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9E1864C-7071-4489-80A3-B203ED8CB5CB}" xr6:coauthVersionLast="47" xr6:coauthVersionMax="47" xr10:uidLastSave="{00000000-0000-0000-0000-000000000000}"/>
  <bookViews>
    <workbookView xWindow="-120" yWindow="-120" windowWidth="20730" windowHeight="11160" firstSheet="3" activeTab="12" xr2:uid="{F45EC95E-9581-42DC-BE07-F7A33F2F7EE1}"/>
  </bookViews>
  <sheets>
    <sheet name="يوليو" sheetId="1" r:id="rId1"/>
    <sheet name="اغسطس" sheetId="2" r:id="rId2"/>
    <sheet name="بيرول يوليو واغسطس" sheetId="3" r:id="rId3"/>
    <sheet name="سبتمبر" sheetId="4" r:id="rId4"/>
    <sheet name="اكتوبر" sheetId="5" r:id="rId5"/>
    <sheet name="نوفمبر" sheetId="6" r:id="rId6"/>
    <sheet name="ديسمبر" sheetId="7" r:id="rId7"/>
    <sheet name="يناير" sheetId="8" r:id="rId8"/>
    <sheet name="فبراير" sheetId="9" r:id="rId9"/>
    <sheet name="مارس" sheetId="10" r:id="rId10"/>
    <sheet name="ابريل" sheetId="11" r:id="rId11"/>
    <sheet name="مايو" sheetId="12" r:id="rId12"/>
    <sheet name="يونيو" sheetId="13" r:id="rId13"/>
    <sheet name="Sheet1" sheetId="14" r:id="rId14"/>
  </sheets>
  <definedNames>
    <definedName name="_xlnm._FilterDatabase" localSheetId="10" hidden="1">ابريل!$A$2:$CS$983</definedName>
    <definedName name="_xlnm._FilterDatabase" localSheetId="4" hidden="1">اكتوبر!$D$2:$D$1311</definedName>
    <definedName name="_xlnm._FilterDatabase" localSheetId="6" hidden="1">ديسمبر!$D$1:$D$1167</definedName>
    <definedName name="_xlnm._FilterDatabase" localSheetId="3" hidden="1">سبتمبر!$D$1:$D$1415</definedName>
    <definedName name="_xlnm._FilterDatabase" localSheetId="8" hidden="1">فبراير!$E$2:$E$1279</definedName>
    <definedName name="_xlnm._FilterDatabase" localSheetId="9" hidden="1">مارس!$E$2:$E$1344</definedName>
    <definedName name="_xlnm._FilterDatabase" localSheetId="11" hidden="1">مايو!$F$2:$F$1942</definedName>
    <definedName name="_xlnm._FilterDatabase" localSheetId="5" hidden="1">نوفمبر!$D$2:$D$1272</definedName>
    <definedName name="_xlnm._FilterDatabase" localSheetId="7" hidden="1">يناير!$E$2:$E$1260</definedName>
    <definedName name="_xlnm._FilterDatabase" localSheetId="12" hidden="1">يونيو!$F$1:$F$2452</definedName>
    <definedName name="_xlnm.Print_Area" localSheetId="3">سبتمبر!$AR$1330:$CD$1345</definedName>
    <definedName name="_xlnm.Print_Area" localSheetId="8">فبراير!$B$1259:$C$1261</definedName>
    <definedName name="_xlnm.Print_Area" localSheetId="11">مايو!$E$1795:$AJ$1799</definedName>
    <definedName name="_xlnm.Print_Area" localSheetId="12">يونيو!$BD$1656:$CN$1665</definedName>
    <definedName name="_xlnm.Print_Titles" localSheetId="3">سبتمبر!$1:$1</definedName>
    <definedName name="_xlnm.Print_Titles" localSheetId="11">مايو!$2:$3</definedName>
    <definedName name="_xlnm.Print_Titles" localSheetId="12">يونيو!$1:$2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665" i="13" l="1"/>
  <c r="K1665" i="13"/>
  <c r="L1665" i="13"/>
  <c r="M1665" i="13"/>
  <c r="N1665" i="13"/>
  <c r="O1665" i="13"/>
  <c r="P1665" i="13"/>
  <c r="Q1665" i="13"/>
  <c r="R1665" i="13"/>
  <c r="S1665" i="13"/>
  <c r="T1665" i="13"/>
  <c r="U1665" i="13"/>
  <c r="V1665" i="13"/>
  <c r="W1665" i="13"/>
  <c r="X1665" i="13"/>
  <c r="Y1665" i="13"/>
  <c r="Z1665" i="13"/>
  <c r="AA1665" i="13"/>
  <c r="AB1665" i="13"/>
  <c r="AC1665" i="13"/>
  <c r="AD1665" i="13"/>
  <c r="AE1665" i="13"/>
  <c r="AF1665" i="13"/>
  <c r="AG1665" i="13"/>
  <c r="AH1665" i="13"/>
  <c r="AJ1665" i="13"/>
  <c r="AK1665" i="13"/>
  <c r="AL1665" i="13"/>
  <c r="AM1665" i="13"/>
  <c r="AN1665" i="13"/>
  <c r="AO1665" i="13"/>
  <c r="AP1665" i="13"/>
  <c r="AQ1665" i="13"/>
  <c r="AR1665" i="13"/>
  <c r="AS1665" i="13"/>
  <c r="AT1665" i="13"/>
  <c r="AU1665" i="13"/>
  <c r="AW1665" i="13"/>
  <c r="AX1665" i="13"/>
  <c r="AY1665" i="13"/>
  <c r="AZ1665" i="13"/>
  <c r="BA1665" i="13"/>
  <c r="BB1665" i="13"/>
  <c r="BC1665" i="13"/>
  <c r="BD1665" i="13"/>
  <c r="BE1665" i="13"/>
  <c r="BF1665" i="13"/>
  <c r="BG1665" i="13"/>
  <c r="BH1665" i="13"/>
  <c r="BI1665" i="13"/>
  <c r="BJ1665" i="13"/>
  <c r="BK1665" i="13"/>
  <c r="BL1665" i="13"/>
  <c r="BM1665" i="13"/>
  <c r="BN1665" i="13"/>
  <c r="BO1665" i="13"/>
  <c r="BP1665" i="13"/>
  <c r="BQ1665" i="13"/>
  <c r="BR1665" i="13"/>
  <c r="BS1665" i="13"/>
  <c r="BT1665" i="13"/>
  <c r="BU1665" i="13"/>
  <c r="BV1665" i="13"/>
  <c r="BW1665" i="13"/>
  <c r="BX1665" i="13"/>
  <c r="BY1665" i="13"/>
  <c r="BZ1665" i="13"/>
  <c r="CA1665" i="13"/>
  <c r="CB1665" i="13"/>
  <c r="CC1665" i="13"/>
  <c r="CD1665" i="13"/>
  <c r="CE1665" i="13"/>
  <c r="CF1665" i="13"/>
  <c r="CG1665" i="13"/>
  <c r="CH1665" i="13"/>
  <c r="CI1665" i="13"/>
  <c r="CJ1665" i="13"/>
  <c r="CO1665" i="13"/>
  <c r="CP1665" i="13"/>
  <c r="CQ1665" i="13"/>
  <c r="CR1665" i="13"/>
  <c r="I1665" i="13"/>
  <c r="AV1664" i="13"/>
  <c r="CK1664" i="13"/>
  <c r="AI1663" i="13"/>
  <c r="AI1665" i="13" s="1"/>
  <c r="K1655" i="13"/>
  <c r="L1655" i="13"/>
  <c r="M1655" i="13"/>
  <c r="N1655" i="13"/>
  <c r="O1655" i="13"/>
  <c r="P1655" i="13"/>
  <c r="Q1655" i="13"/>
  <c r="R1655" i="13"/>
  <c r="S1655" i="13"/>
  <c r="T1655" i="13"/>
  <c r="U1655" i="13"/>
  <c r="V1655" i="13"/>
  <c r="W1655" i="13"/>
  <c r="X1655" i="13"/>
  <c r="Y1655" i="13"/>
  <c r="Z1655" i="13"/>
  <c r="AA1655" i="13"/>
  <c r="AB1655" i="13"/>
  <c r="AC1655" i="13"/>
  <c r="AD1655" i="13"/>
  <c r="AE1655" i="13"/>
  <c r="AF1655" i="13"/>
  <c r="AG1655" i="13"/>
  <c r="AH1655" i="13"/>
  <c r="AI1655" i="13"/>
  <c r="AJ1655" i="13"/>
  <c r="AK1655" i="13"/>
  <c r="AL1655" i="13"/>
  <c r="AM1655" i="13"/>
  <c r="AN1655" i="13"/>
  <c r="AO1655" i="13"/>
  <c r="AP1655" i="13"/>
  <c r="AQ1655" i="13"/>
  <c r="AR1655" i="13"/>
  <c r="AS1655" i="13"/>
  <c r="AT1655" i="13"/>
  <c r="AU1655" i="13"/>
  <c r="AW1655" i="13"/>
  <c r="AX1655" i="13"/>
  <c r="AY1655" i="13"/>
  <c r="AZ1655" i="13"/>
  <c r="BA1655" i="13"/>
  <c r="BB1655" i="13"/>
  <c r="BC1655" i="13"/>
  <c r="BD1655" i="13"/>
  <c r="BE1655" i="13"/>
  <c r="BF1655" i="13"/>
  <c r="BG1655" i="13"/>
  <c r="BH1655" i="13"/>
  <c r="BI1655" i="13"/>
  <c r="BJ1655" i="13"/>
  <c r="BK1655" i="13"/>
  <c r="BL1655" i="13"/>
  <c r="BM1655" i="13"/>
  <c r="BN1655" i="13"/>
  <c r="BO1655" i="13"/>
  <c r="BP1655" i="13"/>
  <c r="BQ1655" i="13"/>
  <c r="BR1655" i="13"/>
  <c r="BS1655" i="13"/>
  <c r="BT1655" i="13"/>
  <c r="BU1655" i="13"/>
  <c r="BV1655" i="13"/>
  <c r="BW1655" i="13"/>
  <c r="BX1655" i="13"/>
  <c r="BY1655" i="13"/>
  <c r="BZ1655" i="13"/>
  <c r="CA1655" i="13"/>
  <c r="CB1655" i="13"/>
  <c r="CC1655" i="13"/>
  <c r="CD1655" i="13"/>
  <c r="CE1655" i="13"/>
  <c r="CF1655" i="13"/>
  <c r="CG1655" i="13"/>
  <c r="CH1655" i="13"/>
  <c r="CJ1655" i="13"/>
  <c r="CO1655" i="13"/>
  <c r="J1655" i="13"/>
  <c r="CK1660" i="13"/>
  <c r="CK1648" i="13"/>
  <c r="CM1648" i="13"/>
  <c r="CN1648" i="13"/>
  <c r="CK1649" i="13"/>
  <c r="CM1649" i="13"/>
  <c r="CN1649" i="13"/>
  <c r="CK1650" i="13"/>
  <c r="CM1650" i="13"/>
  <c r="CN1650" i="13"/>
  <c r="CK1651" i="13"/>
  <c r="CM1651" i="13"/>
  <c r="CN1651" i="13"/>
  <c r="CK1652" i="13"/>
  <c r="CM1652" i="13"/>
  <c r="CN1652" i="13"/>
  <c r="CK1653" i="13"/>
  <c r="CM1653" i="13"/>
  <c r="CN1653" i="13"/>
  <c r="CK1656" i="13"/>
  <c r="CM1656" i="13"/>
  <c r="CN1656" i="13"/>
  <c r="CK1657" i="13"/>
  <c r="CM1657" i="13"/>
  <c r="CN1657" i="13"/>
  <c r="CK1658" i="13"/>
  <c r="CM1658" i="13"/>
  <c r="CN1658" i="13"/>
  <c r="CK1654" i="13"/>
  <c r="CM1654" i="13"/>
  <c r="CN1654" i="13"/>
  <c r="CK1659" i="13"/>
  <c r="CM1659" i="13"/>
  <c r="CN1659" i="13"/>
  <c r="CM1660" i="13"/>
  <c r="CN1660" i="13"/>
  <c r="CK1661" i="13"/>
  <c r="CM1661" i="13"/>
  <c r="CN1661" i="13"/>
  <c r="CK1662" i="13"/>
  <c r="CM1662" i="13"/>
  <c r="CN1662" i="13"/>
  <c r="CK1663" i="13"/>
  <c r="CM1663" i="13"/>
  <c r="CN1663" i="13"/>
  <c r="CM1664" i="13"/>
  <c r="CN1664" i="13"/>
  <c r="CK1666" i="13"/>
  <c r="CM1666" i="13"/>
  <c r="CN1666" i="13"/>
  <c r="CK1667" i="13"/>
  <c r="CM1667" i="13"/>
  <c r="CN1667" i="13"/>
  <c r="CK1668" i="13"/>
  <c r="CM1668" i="13"/>
  <c r="CN1668" i="13"/>
  <c r="CK1669" i="13"/>
  <c r="CM1669" i="13"/>
  <c r="CN1669" i="13"/>
  <c r="CK1670" i="13"/>
  <c r="CM1670" i="13"/>
  <c r="CN1670" i="13"/>
  <c r="CK1671" i="13"/>
  <c r="CM1671" i="13"/>
  <c r="CN1671" i="13"/>
  <c r="CK1672" i="13"/>
  <c r="CM1672" i="13"/>
  <c r="CN1672" i="13"/>
  <c r="CK1673" i="13"/>
  <c r="CM1673" i="13"/>
  <c r="CN1673" i="13"/>
  <c r="CK1674" i="13"/>
  <c r="CM1674" i="13"/>
  <c r="CN1674" i="13"/>
  <c r="CK1675" i="13"/>
  <c r="CM1675" i="13"/>
  <c r="CN1675" i="13"/>
  <c r="CK1676" i="13"/>
  <c r="CM1676" i="13"/>
  <c r="CN1676" i="13"/>
  <c r="CK1677" i="13"/>
  <c r="CM1677" i="13"/>
  <c r="CN1677" i="13"/>
  <c r="CK1678" i="13"/>
  <c r="CM1678" i="13"/>
  <c r="CN1678" i="13"/>
  <c r="CK1679" i="13"/>
  <c r="CM1679" i="13"/>
  <c r="CN1679" i="13"/>
  <c r="CK1680" i="13"/>
  <c r="CM1680" i="13"/>
  <c r="CN1680" i="13"/>
  <c r="CK1681" i="13"/>
  <c r="CM1681" i="13"/>
  <c r="CN1681" i="13"/>
  <c r="CK1682" i="13"/>
  <c r="CM1682" i="13"/>
  <c r="CN1682" i="13"/>
  <c r="CK1683" i="13"/>
  <c r="CM1683" i="13"/>
  <c r="CN1683" i="13"/>
  <c r="CK1684" i="13"/>
  <c r="CM1684" i="13"/>
  <c r="CN1684" i="13"/>
  <c r="CK1685" i="13"/>
  <c r="CM1685" i="13"/>
  <c r="CN1685" i="13"/>
  <c r="CK1686" i="13"/>
  <c r="CM1686" i="13"/>
  <c r="CN1686" i="13"/>
  <c r="CK1687" i="13"/>
  <c r="CM1687" i="13"/>
  <c r="CN1687" i="13"/>
  <c r="CK1688" i="13"/>
  <c r="CM1688" i="13"/>
  <c r="CN1688" i="13"/>
  <c r="CK1689" i="13"/>
  <c r="CM1689" i="13"/>
  <c r="CN1689" i="13"/>
  <c r="CK1690" i="13"/>
  <c r="CM1690" i="13"/>
  <c r="CN1690" i="13"/>
  <c r="CK1691" i="13"/>
  <c r="CM1691" i="13"/>
  <c r="CN1691" i="13"/>
  <c r="CK1692" i="13"/>
  <c r="CM1692" i="13"/>
  <c r="CN1692" i="13"/>
  <c r="CK1693" i="13"/>
  <c r="CM1693" i="13"/>
  <c r="CN1693" i="13"/>
  <c r="CK1694" i="13"/>
  <c r="CM1694" i="13"/>
  <c r="CN1694" i="13"/>
  <c r="CK1695" i="13"/>
  <c r="CM1695" i="13"/>
  <c r="CN1695" i="13"/>
  <c r="CK1696" i="13"/>
  <c r="CM1696" i="13"/>
  <c r="CN1696" i="13"/>
  <c r="CK1697" i="13"/>
  <c r="CM1697" i="13"/>
  <c r="CN1697" i="13"/>
  <c r="CK1698" i="13"/>
  <c r="CM1698" i="13"/>
  <c r="CN1698" i="13"/>
  <c r="CK1699" i="13"/>
  <c r="CM1699" i="13"/>
  <c r="CN1699" i="13"/>
  <c r="CK1700" i="13"/>
  <c r="CM1700" i="13"/>
  <c r="CN1700" i="13"/>
  <c r="CK1701" i="13"/>
  <c r="CM1701" i="13"/>
  <c r="CN1701" i="13"/>
  <c r="CK1702" i="13"/>
  <c r="CM1702" i="13"/>
  <c r="CN1702" i="13"/>
  <c r="CK1703" i="13"/>
  <c r="CM1703" i="13"/>
  <c r="CN1703" i="13"/>
  <c r="CK1704" i="13"/>
  <c r="CM1704" i="13"/>
  <c r="CN1704" i="13"/>
  <c r="CK1705" i="13"/>
  <c r="CM1705" i="13"/>
  <c r="CN1705" i="13"/>
  <c r="CK1706" i="13"/>
  <c r="CM1706" i="13"/>
  <c r="CN1706" i="13"/>
  <c r="CK1707" i="13"/>
  <c r="CM1707" i="13"/>
  <c r="CN1707" i="13"/>
  <c r="CK1708" i="13"/>
  <c r="CM1708" i="13"/>
  <c r="CN1708" i="13"/>
  <c r="CK1709" i="13"/>
  <c r="CM1709" i="13"/>
  <c r="CN1709" i="13"/>
  <c r="CK1710" i="13"/>
  <c r="CM1710" i="13"/>
  <c r="CN1710" i="13"/>
  <c r="CK1711" i="13"/>
  <c r="CM1711" i="13"/>
  <c r="CN1711" i="13"/>
  <c r="CK1712" i="13"/>
  <c r="CM1712" i="13"/>
  <c r="CN1712" i="13"/>
  <c r="CK1713" i="13"/>
  <c r="CM1713" i="13"/>
  <c r="CN1713" i="13"/>
  <c r="CK1714" i="13"/>
  <c r="CM1714" i="13"/>
  <c r="CN1714" i="13"/>
  <c r="CK1644" i="13"/>
  <c r="CN1644" i="13"/>
  <c r="CM1644" i="13"/>
  <c r="J1638" i="13"/>
  <c r="K1638" i="13"/>
  <c r="L1638" i="13"/>
  <c r="M1638" i="13"/>
  <c r="N1638" i="13"/>
  <c r="O1638" i="13"/>
  <c r="P1638" i="13"/>
  <c r="Q1638" i="13"/>
  <c r="R1638" i="13"/>
  <c r="S1638" i="13"/>
  <c r="T1638" i="13"/>
  <c r="U1638" i="13"/>
  <c r="V1638" i="13"/>
  <c r="W1638" i="13"/>
  <c r="X1638" i="13"/>
  <c r="Y1638" i="13"/>
  <c r="Z1638" i="13"/>
  <c r="AA1638" i="13"/>
  <c r="AB1638" i="13"/>
  <c r="AC1638" i="13"/>
  <c r="AD1638" i="13"/>
  <c r="AE1638" i="13"/>
  <c r="AF1638" i="13"/>
  <c r="AG1638" i="13"/>
  <c r="AH1638" i="13"/>
  <c r="AI1638" i="13"/>
  <c r="AJ1638" i="13"/>
  <c r="AK1638" i="13"/>
  <c r="AL1638" i="13"/>
  <c r="AM1638" i="13"/>
  <c r="AN1638" i="13"/>
  <c r="AO1638" i="13"/>
  <c r="AP1638" i="13"/>
  <c r="AQ1638" i="13"/>
  <c r="AR1638" i="13"/>
  <c r="AS1638" i="13"/>
  <c r="AT1638" i="13"/>
  <c r="AU1638" i="13"/>
  <c r="AW1638" i="13"/>
  <c r="AX1638" i="13"/>
  <c r="AY1638" i="13"/>
  <c r="AZ1638" i="13"/>
  <c r="BA1638" i="13"/>
  <c r="BB1638" i="13"/>
  <c r="BC1638" i="13"/>
  <c r="BD1638" i="13"/>
  <c r="BE1638" i="13"/>
  <c r="BF1638" i="13"/>
  <c r="BG1638" i="13"/>
  <c r="BH1638" i="13"/>
  <c r="BI1638" i="13"/>
  <c r="BJ1638" i="13"/>
  <c r="BK1638" i="13"/>
  <c r="BL1638" i="13"/>
  <c r="BM1638" i="13"/>
  <c r="BN1638" i="13"/>
  <c r="BO1638" i="13"/>
  <c r="BP1638" i="13"/>
  <c r="BQ1638" i="13"/>
  <c r="BR1638" i="13"/>
  <c r="BS1638" i="13"/>
  <c r="BT1638" i="13"/>
  <c r="BU1638" i="13"/>
  <c r="BV1638" i="13"/>
  <c r="BW1638" i="13"/>
  <c r="BX1638" i="13"/>
  <c r="BY1638" i="13"/>
  <c r="BZ1638" i="13"/>
  <c r="CA1638" i="13"/>
  <c r="CB1638" i="13"/>
  <c r="CC1638" i="13"/>
  <c r="CD1638" i="13"/>
  <c r="CE1638" i="13"/>
  <c r="CF1638" i="13"/>
  <c r="CG1638" i="13"/>
  <c r="CH1638" i="13"/>
  <c r="CJ1638" i="13"/>
  <c r="I1638" i="13"/>
  <c r="AJ1797" i="12"/>
  <c r="CK1665" i="13" l="1"/>
  <c r="CN1665" i="13"/>
  <c r="C1260" i="9"/>
  <c r="AV1644" i="13" l="1"/>
  <c r="CM1616" i="13"/>
  <c r="I1616" i="13"/>
  <c r="T1615" i="13"/>
  <c r="U1615" i="13"/>
  <c r="V1615" i="13"/>
  <c r="W1615" i="13"/>
  <c r="X1615" i="13"/>
  <c r="Y1615" i="13"/>
  <c r="Z1615" i="13"/>
  <c r="AA1615" i="13"/>
  <c r="AB1615" i="13"/>
  <c r="AC1615" i="13"/>
  <c r="AD1615" i="13"/>
  <c r="AE1615" i="13"/>
  <c r="AF1615" i="13"/>
  <c r="AG1615" i="13"/>
  <c r="AH1615" i="13"/>
  <c r="AI1615" i="13"/>
  <c r="AJ1615" i="13"/>
  <c r="AK1615" i="13"/>
  <c r="AL1615" i="13"/>
  <c r="AM1615" i="13"/>
  <c r="AN1615" i="13"/>
  <c r="AO1615" i="13"/>
  <c r="AP1615" i="13"/>
  <c r="AQ1615" i="13"/>
  <c r="AR1615" i="13"/>
  <c r="AS1615" i="13"/>
  <c r="AT1615" i="13"/>
  <c r="AU1615" i="13"/>
  <c r="AW1615" i="13"/>
  <c r="AX1615" i="13"/>
  <c r="AY1615" i="13"/>
  <c r="AZ1615" i="13"/>
  <c r="BA1615" i="13"/>
  <c r="BB1615" i="13"/>
  <c r="BC1615" i="13"/>
  <c r="BD1615" i="13"/>
  <c r="BE1615" i="13"/>
  <c r="BF1615" i="13"/>
  <c r="BG1615" i="13"/>
  <c r="BH1615" i="13"/>
  <c r="BI1615" i="13"/>
  <c r="BJ1615" i="13"/>
  <c r="BK1615" i="13"/>
  <c r="BL1615" i="13"/>
  <c r="BM1615" i="13"/>
  <c r="BN1615" i="13"/>
  <c r="BO1615" i="13"/>
  <c r="BP1615" i="13"/>
  <c r="BQ1615" i="13"/>
  <c r="BR1615" i="13"/>
  <c r="BS1615" i="13"/>
  <c r="BT1615" i="13"/>
  <c r="BU1615" i="13"/>
  <c r="BV1615" i="13"/>
  <c r="BW1615" i="13"/>
  <c r="BX1615" i="13"/>
  <c r="BY1615" i="13"/>
  <c r="BZ1615" i="13"/>
  <c r="CA1615" i="13"/>
  <c r="CB1615" i="13"/>
  <c r="CC1615" i="13"/>
  <c r="CD1615" i="13"/>
  <c r="CE1615" i="13"/>
  <c r="CF1615" i="13"/>
  <c r="CG1615" i="13"/>
  <c r="CH1615" i="13"/>
  <c r="CJ1615" i="13"/>
  <c r="CO1615" i="13"/>
  <c r="CP1615" i="13"/>
  <c r="S1615" i="13"/>
  <c r="K1605" i="13"/>
  <c r="K1616" i="13" s="1"/>
  <c r="M1605" i="13"/>
  <c r="N1605" i="13"/>
  <c r="O1605" i="13"/>
  <c r="P1605" i="13"/>
  <c r="Q1605" i="13"/>
  <c r="R1605" i="13"/>
  <c r="S1605" i="13"/>
  <c r="T1605" i="13"/>
  <c r="U1605" i="13"/>
  <c r="V1605" i="13"/>
  <c r="W1605" i="13"/>
  <c r="X1605" i="13"/>
  <c r="Z1605" i="13"/>
  <c r="AA1605" i="13"/>
  <c r="AB1605" i="13"/>
  <c r="AC1605" i="13"/>
  <c r="AD1605" i="13"/>
  <c r="AE1605" i="13"/>
  <c r="AF1605" i="13"/>
  <c r="AG1605" i="13"/>
  <c r="AH1605" i="13"/>
  <c r="AI1605" i="13"/>
  <c r="AJ1605" i="13"/>
  <c r="AK1605" i="13"/>
  <c r="AL1605" i="13"/>
  <c r="AM1605" i="13"/>
  <c r="AN1605" i="13"/>
  <c r="AO1605" i="13"/>
  <c r="AP1605" i="13"/>
  <c r="AQ1605" i="13"/>
  <c r="AR1605" i="13"/>
  <c r="AS1605" i="13"/>
  <c r="AT1605" i="13"/>
  <c r="AU1605" i="13"/>
  <c r="AW1605" i="13"/>
  <c r="AX1605" i="13"/>
  <c r="AY1605" i="13"/>
  <c r="AZ1605" i="13"/>
  <c r="BA1605" i="13"/>
  <c r="BB1605" i="13"/>
  <c r="BC1605" i="13"/>
  <c r="BD1605" i="13"/>
  <c r="BE1605" i="13"/>
  <c r="BF1605" i="13"/>
  <c r="BG1605" i="13"/>
  <c r="BH1605" i="13"/>
  <c r="BI1605" i="13"/>
  <c r="BJ1605" i="13"/>
  <c r="BK1605" i="13"/>
  <c r="BL1605" i="13"/>
  <c r="BM1605" i="13"/>
  <c r="BN1605" i="13"/>
  <c r="BO1605" i="13"/>
  <c r="BP1605" i="13"/>
  <c r="BQ1605" i="13"/>
  <c r="BR1605" i="13"/>
  <c r="BS1605" i="13"/>
  <c r="BT1605" i="13"/>
  <c r="BU1605" i="13"/>
  <c r="BV1605" i="13"/>
  <c r="BW1605" i="13"/>
  <c r="BX1605" i="13"/>
  <c r="BY1605" i="13"/>
  <c r="BZ1605" i="13"/>
  <c r="CA1605" i="13"/>
  <c r="CB1605" i="13"/>
  <c r="CC1605" i="13"/>
  <c r="CD1605" i="13"/>
  <c r="CE1605" i="13"/>
  <c r="CF1605" i="13"/>
  <c r="CG1605" i="13"/>
  <c r="CH1605" i="13"/>
  <c r="CJ1605" i="13"/>
  <c r="CO1605" i="13"/>
  <c r="CP1605" i="13"/>
  <c r="J1605" i="13"/>
  <c r="J1616" i="13" s="1"/>
  <c r="Y1604" i="13"/>
  <c r="L1604" i="13"/>
  <c r="L1603" i="13"/>
  <c r="L1602" i="13"/>
  <c r="Y1602" i="13"/>
  <c r="Y1605" i="13" l="1"/>
  <c r="L1605" i="13"/>
  <c r="CO1616" i="13"/>
  <c r="M1595" i="13"/>
  <c r="M1616" i="13" s="1"/>
  <c r="N1595" i="13"/>
  <c r="N1616" i="13" s="1"/>
  <c r="O1595" i="13"/>
  <c r="O1616" i="13" s="1"/>
  <c r="P1595" i="13"/>
  <c r="P1616" i="13" s="1"/>
  <c r="Q1595" i="13"/>
  <c r="Q1616" i="13" s="1"/>
  <c r="R1595" i="13"/>
  <c r="R1616" i="13" s="1"/>
  <c r="S1595" i="13"/>
  <c r="S1616" i="13" s="1"/>
  <c r="T1595" i="13"/>
  <c r="T1616" i="13" s="1"/>
  <c r="U1595" i="13"/>
  <c r="U1616" i="13" s="1"/>
  <c r="V1595" i="13"/>
  <c r="V1616" i="13" s="1"/>
  <c r="W1595" i="13"/>
  <c r="W1616" i="13" s="1"/>
  <c r="X1595" i="13"/>
  <c r="X1616" i="13" s="1"/>
  <c r="Y1595" i="13"/>
  <c r="Z1595" i="13"/>
  <c r="Z1616" i="13" s="1"/>
  <c r="AA1595" i="13"/>
  <c r="AA1616" i="13" s="1"/>
  <c r="AB1595" i="13"/>
  <c r="AB1616" i="13" s="1"/>
  <c r="AC1595" i="13"/>
  <c r="AC1616" i="13" s="1"/>
  <c r="AD1595" i="13"/>
  <c r="AD1616" i="13" s="1"/>
  <c r="AE1595" i="13"/>
  <c r="AE1616" i="13" s="1"/>
  <c r="AF1595" i="13"/>
  <c r="AF1616" i="13" s="1"/>
  <c r="AG1595" i="13"/>
  <c r="AG1616" i="13" s="1"/>
  <c r="AH1595" i="13"/>
  <c r="AH1616" i="13" s="1"/>
  <c r="AI1595" i="13"/>
  <c r="AI1616" i="13" s="1"/>
  <c r="AJ1595" i="13"/>
  <c r="AJ1616" i="13" s="1"/>
  <c r="AK1595" i="13"/>
  <c r="AK1616" i="13" s="1"/>
  <c r="AL1595" i="13"/>
  <c r="AL1616" i="13" s="1"/>
  <c r="AM1595" i="13"/>
  <c r="AM1616" i="13" s="1"/>
  <c r="AN1595" i="13"/>
  <c r="AN1616" i="13" s="1"/>
  <c r="AO1595" i="13"/>
  <c r="AO1616" i="13" s="1"/>
  <c r="AP1595" i="13"/>
  <c r="AP1616" i="13" s="1"/>
  <c r="AQ1595" i="13"/>
  <c r="AQ1616" i="13" s="1"/>
  <c r="AR1595" i="13"/>
  <c r="AR1616" i="13" s="1"/>
  <c r="AS1595" i="13"/>
  <c r="AS1616" i="13" s="1"/>
  <c r="AT1595" i="13"/>
  <c r="AT1616" i="13" s="1"/>
  <c r="AU1595" i="13"/>
  <c r="AU1616" i="13" s="1"/>
  <c r="AW1595" i="13"/>
  <c r="AW1616" i="13" s="1"/>
  <c r="AX1595" i="13"/>
  <c r="AX1616" i="13" s="1"/>
  <c r="AY1595" i="13"/>
  <c r="AY1616" i="13" s="1"/>
  <c r="AZ1595" i="13"/>
  <c r="AZ1616" i="13" s="1"/>
  <c r="BA1595" i="13"/>
  <c r="BA1616" i="13" s="1"/>
  <c r="BB1595" i="13"/>
  <c r="BB1616" i="13" s="1"/>
  <c r="BC1595" i="13"/>
  <c r="BC1616" i="13" s="1"/>
  <c r="BD1595" i="13"/>
  <c r="BD1616" i="13" s="1"/>
  <c r="BE1595" i="13"/>
  <c r="BE1616" i="13" s="1"/>
  <c r="BF1595" i="13"/>
  <c r="BF1616" i="13" s="1"/>
  <c r="BG1595" i="13"/>
  <c r="BG1616" i="13" s="1"/>
  <c r="BH1595" i="13"/>
  <c r="BH1616" i="13" s="1"/>
  <c r="BI1595" i="13"/>
  <c r="BI1616" i="13" s="1"/>
  <c r="BJ1595" i="13"/>
  <c r="BJ1616" i="13" s="1"/>
  <c r="BK1595" i="13"/>
  <c r="BK1616" i="13" s="1"/>
  <c r="BL1595" i="13"/>
  <c r="BL1616" i="13" s="1"/>
  <c r="BM1595" i="13"/>
  <c r="BM1616" i="13" s="1"/>
  <c r="BN1595" i="13"/>
  <c r="BN1616" i="13" s="1"/>
  <c r="BO1595" i="13"/>
  <c r="BO1616" i="13" s="1"/>
  <c r="BP1595" i="13"/>
  <c r="BP1616" i="13" s="1"/>
  <c r="BQ1595" i="13"/>
  <c r="BQ1616" i="13" s="1"/>
  <c r="BR1595" i="13"/>
  <c r="BR1616" i="13" s="1"/>
  <c r="BS1595" i="13"/>
  <c r="BS1616" i="13" s="1"/>
  <c r="BT1595" i="13"/>
  <c r="BT1616" i="13" s="1"/>
  <c r="BU1595" i="13"/>
  <c r="BU1616" i="13" s="1"/>
  <c r="BV1595" i="13"/>
  <c r="BV1616" i="13" s="1"/>
  <c r="BW1595" i="13"/>
  <c r="BW1616" i="13" s="1"/>
  <c r="BX1595" i="13"/>
  <c r="BX1616" i="13" s="1"/>
  <c r="BY1595" i="13"/>
  <c r="BY1616" i="13" s="1"/>
  <c r="BZ1595" i="13"/>
  <c r="BZ1616" i="13" s="1"/>
  <c r="CA1595" i="13"/>
  <c r="CA1616" i="13" s="1"/>
  <c r="CB1595" i="13"/>
  <c r="CB1616" i="13" s="1"/>
  <c r="CC1595" i="13"/>
  <c r="CC1616" i="13" s="1"/>
  <c r="CD1595" i="13"/>
  <c r="CD1616" i="13" s="1"/>
  <c r="CE1595" i="13"/>
  <c r="CE1616" i="13" s="1"/>
  <c r="CF1595" i="13"/>
  <c r="CF1616" i="13" s="1"/>
  <c r="CG1595" i="13"/>
  <c r="CG1616" i="13" s="1"/>
  <c r="CH1595" i="13"/>
  <c r="CH1616" i="13" s="1"/>
  <c r="CJ1595" i="13"/>
  <c r="CJ1616" i="13" s="1"/>
  <c r="L1595" i="13"/>
  <c r="L1616" i="13" s="1"/>
  <c r="G1586" i="13"/>
  <c r="V1202" i="13"/>
  <c r="W1202" i="13"/>
  <c r="X1202" i="13"/>
  <c r="Y1202" i="13"/>
  <c r="Z1202" i="13"/>
  <c r="AB1202" i="13"/>
  <c r="AC1202" i="13"/>
  <c r="AD1202" i="13"/>
  <c r="AE1202" i="13"/>
  <c r="AF1202" i="13"/>
  <c r="AH1202" i="13"/>
  <c r="AI1202" i="13"/>
  <c r="AJ1202" i="13"/>
  <c r="AK1202" i="13"/>
  <c r="AL1202" i="13"/>
  <c r="AM1202" i="13"/>
  <c r="AN1202" i="13"/>
  <c r="AO1202" i="13"/>
  <c r="AP1202" i="13"/>
  <c r="AQ1202" i="13"/>
  <c r="AR1202" i="13"/>
  <c r="AS1202" i="13"/>
  <c r="AT1202" i="13"/>
  <c r="AU1202" i="13"/>
  <c r="AW1202" i="13"/>
  <c r="AX1202" i="13"/>
  <c r="AY1202" i="13"/>
  <c r="AZ1202" i="13"/>
  <c r="BA1202" i="13"/>
  <c r="BC1202" i="13"/>
  <c r="BD1202" i="13"/>
  <c r="BE1202" i="13"/>
  <c r="BF1202" i="13"/>
  <c r="BH1202" i="13"/>
  <c r="BI1202" i="13"/>
  <c r="BJ1202" i="13"/>
  <c r="BK1202" i="13"/>
  <c r="BL1202" i="13"/>
  <c r="BM1202" i="13"/>
  <c r="BN1202" i="13"/>
  <c r="BO1202" i="13"/>
  <c r="BP1202" i="13"/>
  <c r="BQ1202" i="13"/>
  <c r="BR1202" i="13"/>
  <c r="BS1202" i="13"/>
  <c r="BT1202" i="13"/>
  <c r="BU1202" i="13"/>
  <c r="BV1202" i="13"/>
  <c r="BW1202" i="13"/>
  <c r="BX1202" i="13"/>
  <c r="BY1202" i="13"/>
  <c r="BZ1202" i="13"/>
  <c r="CA1202" i="13"/>
  <c r="CB1202" i="13"/>
  <c r="CC1202" i="13"/>
  <c r="CD1202" i="13"/>
  <c r="CE1202" i="13"/>
  <c r="CF1202" i="13"/>
  <c r="CG1202" i="13"/>
  <c r="CH1202" i="13"/>
  <c r="CJ1202" i="13"/>
  <c r="CO1202" i="13"/>
  <c r="CP1202" i="13"/>
  <c r="CQ1202" i="13"/>
  <c r="CR1202" i="13"/>
  <c r="U1202" i="13"/>
  <c r="V1554" i="13"/>
  <c r="W1554" i="13"/>
  <c r="X1554" i="13"/>
  <c r="Y1554" i="13"/>
  <c r="Z1554" i="13"/>
  <c r="AB1554" i="13"/>
  <c r="AC1554" i="13"/>
  <c r="AD1554" i="13"/>
  <c r="AE1554" i="13"/>
  <c r="AF1554" i="13"/>
  <c r="AH1554" i="13"/>
  <c r="AI1554" i="13"/>
  <c r="AJ1554" i="13"/>
  <c r="AK1554" i="13"/>
  <c r="AL1554" i="13"/>
  <c r="AM1554" i="13"/>
  <c r="AN1554" i="13"/>
  <c r="AO1554" i="13"/>
  <c r="AP1554" i="13"/>
  <c r="AQ1554" i="13"/>
  <c r="AR1554" i="13"/>
  <c r="AS1554" i="13"/>
  <c r="AT1554" i="13"/>
  <c r="AU1554" i="13"/>
  <c r="AW1554" i="13"/>
  <c r="AX1554" i="13"/>
  <c r="AY1554" i="13"/>
  <c r="AZ1554" i="13"/>
  <c r="BA1554" i="13"/>
  <c r="BC1554" i="13"/>
  <c r="BD1554" i="13"/>
  <c r="BE1554" i="13"/>
  <c r="BF1554" i="13"/>
  <c r="BH1554" i="13"/>
  <c r="BI1554" i="13"/>
  <c r="BJ1554" i="13"/>
  <c r="BK1554" i="13"/>
  <c r="BL1554" i="13"/>
  <c r="BM1554" i="13"/>
  <c r="BN1554" i="13"/>
  <c r="BO1554" i="13"/>
  <c r="BP1554" i="13"/>
  <c r="BQ1554" i="13"/>
  <c r="BR1554" i="13"/>
  <c r="BS1554" i="13"/>
  <c r="BT1554" i="13"/>
  <c r="BU1554" i="13"/>
  <c r="BV1554" i="13"/>
  <c r="BW1554" i="13"/>
  <c r="BX1554" i="13"/>
  <c r="BY1554" i="13"/>
  <c r="BZ1554" i="13"/>
  <c r="CA1554" i="13"/>
  <c r="CB1554" i="13"/>
  <c r="CC1554" i="13"/>
  <c r="CD1554" i="13"/>
  <c r="CE1554" i="13"/>
  <c r="CF1554" i="13"/>
  <c r="CG1554" i="13"/>
  <c r="CH1554" i="13"/>
  <c r="CJ1554" i="13"/>
  <c r="U1554" i="13"/>
  <c r="AV1544" i="13"/>
  <c r="F1532" i="13"/>
  <c r="CN1532" i="13" s="1"/>
  <c r="G1510" i="13"/>
  <c r="G1516" i="13" s="1"/>
  <c r="G1520" i="13" s="1"/>
  <c r="G1526" i="13" s="1"/>
  <c r="G1532" i="13" s="1"/>
  <c r="G1536" i="13" s="1"/>
  <c r="G1509" i="13"/>
  <c r="G1515" i="13" s="1"/>
  <c r="G1519" i="13" s="1"/>
  <c r="G1525" i="13" s="1"/>
  <c r="G1531" i="13" s="1"/>
  <c r="G1535" i="13" s="1"/>
  <c r="G1508" i="13"/>
  <c r="G1514" i="13" s="1"/>
  <c r="G1518" i="13" s="1"/>
  <c r="G1522" i="13" s="1"/>
  <c r="G1507" i="13"/>
  <c r="G1513" i="13" s="1"/>
  <c r="G1517" i="13" s="1"/>
  <c r="G1521" i="13" s="1"/>
  <c r="G1523" i="13" s="1"/>
  <c r="G1527" i="13" s="1"/>
  <c r="G1529" i="13" s="1"/>
  <c r="G1533" i="13" s="1"/>
  <c r="G1537" i="13" s="1"/>
  <c r="CM1490" i="13"/>
  <c r="CN1490" i="13"/>
  <c r="CK1491" i="13"/>
  <c r="CM1491" i="13"/>
  <c r="CN1491" i="13"/>
  <c r="CK1492" i="13"/>
  <c r="CM1492" i="13"/>
  <c r="CN1492" i="13"/>
  <c r="CK1493" i="13"/>
  <c r="CM1493" i="13"/>
  <c r="CN1493" i="13"/>
  <c r="CK1494" i="13"/>
  <c r="CM1494" i="13"/>
  <c r="CN1494" i="13"/>
  <c r="CK1495" i="13"/>
  <c r="CM1495" i="13"/>
  <c r="CN1495" i="13"/>
  <c r="CK1496" i="13"/>
  <c r="CM1496" i="13"/>
  <c r="CN1496" i="13"/>
  <c r="CK1497" i="13"/>
  <c r="CM1497" i="13"/>
  <c r="CN1497" i="13"/>
  <c r="CK1498" i="13"/>
  <c r="CM1498" i="13"/>
  <c r="CN1498" i="13"/>
  <c r="CK1499" i="13"/>
  <c r="CM1499" i="13"/>
  <c r="CN1499" i="13"/>
  <c r="CK1500" i="13"/>
  <c r="CM1500" i="13"/>
  <c r="CN1500" i="13"/>
  <c r="CK1501" i="13"/>
  <c r="CM1501" i="13"/>
  <c r="CN1501" i="13"/>
  <c r="CK1502" i="13"/>
  <c r="CM1502" i="13"/>
  <c r="CN1502" i="13"/>
  <c r="CK1503" i="13"/>
  <c r="CM1503" i="13"/>
  <c r="CN1503" i="13"/>
  <c r="CK1504" i="13"/>
  <c r="CM1504" i="13"/>
  <c r="CN1504" i="13"/>
  <c r="CK1505" i="13"/>
  <c r="CM1505" i="13"/>
  <c r="CN1505" i="13"/>
  <c r="CK1506" i="13"/>
  <c r="CM1506" i="13"/>
  <c r="CN1506" i="13"/>
  <c r="CK1507" i="13"/>
  <c r="CM1507" i="13"/>
  <c r="CN1507" i="13"/>
  <c r="CK1508" i="13"/>
  <c r="CM1508" i="13"/>
  <c r="CN1508" i="13"/>
  <c r="CK1509" i="13"/>
  <c r="CM1509" i="13"/>
  <c r="CN1509" i="13"/>
  <c r="CK1510" i="13"/>
  <c r="CM1510" i="13"/>
  <c r="CN1510" i="13"/>
  <c r="CK1511" i="13"/>
  <c r="CM1511" i="13"/>
  <c r="CN1511" i="13"/>
  <c r="CK1512" i="13"/>
  <c r="CM1512" i="13"/>
  <c r="CN1512" i="13"/>
  <c r="CK1513" i="13"/>
  <c r="CM1513" i="13"/>
  <c r="CN1513" i="13"/>
  <c r="CK1514" i="13"/>
  <c r="CM1514" i="13"/>
  <c r="CN1514" i="13"/>
  <c r="CK1515" i="13"/>
  <c r="CM1515" i="13"/>
  <c r="CN1515" i="13"/>
  <c r="CK1516" i="13"/>
  <c r="CM1516" i="13"/>
  <c r="CN1516" i="13"/>
  <c r="CK1517" i="13"/>
  <c r="CM1517" i="13"/>
  <c r="CN1517" i="13"/>
  <c r="CK1518" i="13"/>
  <c r="CM1518" i="13"/>
  <c r="CN1518" i="13"/>
  <c r="CK1519" i="13"/>
  <c r="CM1519" i="13"/>
  <c r="CN1519" i="13"/>
  <c r="CK1520" i="13"/>
  <c r="CM1520" i="13"/>
  <c r="CN1520" i="13"/>
  <c r="CK1521" i="13"/>
  <c r="CM1521" i="13"/>
  <c r="CN1521" i="13"/>
  <c r="CK1522" i="13"/>
  <c r="CM1522" i="13"/>
  <c r="CN1522" i="13"/>
  <c r="CK1523" i="13"/>
  <c r="CM1523" i="13"/>
  <c r="CN1523" i="13"/>
  <c r="CK1524" i="13"/>
  <c r="CM1524" i="13"/>
  <c r="CN1524" i="13"/>
  <c r="CK1525" i="13"/>
  <c r="CM1525" i="13"/>
  <c r="CN1525" i="13"/>
  <c r="CK1526" i="13"/>
  <c r="CM1526" i="13"/>
  <c r="CN1526" i="13"/>
  <c r="CK1527" i="13"/>
  <c r="CM1527" i="13"/>
  <c r="CN1527" i="13"/>
  <c r="CK1528" i="13"/>
  <c r="CM1528" i="13"/>
  <c r="CN1528" i="13"/>
  <c r="CK1529" i="13"/>
  <c r="CM1529" i="13"/>
  <c r="CN1529" i="13"/>
  <c r="CK1530" i="13"/>
  <c r="CM1530" i="13"/>
  <c r="CN1530" i="13"/>
  <c r="CK1531" i="13"/>
  <c r="CM1531" i="13"/>
  <c r="CN1531" i="13"/>
  <c r="CK1532" i="13"/>
  <c r="CM1532" i="13"/>
  <c r="CK1533" i="13"/>
  <c r="CM1533" i="13"/>
  <c r="CN1533" i="13"/>
  <c r="CK1534" i="13"/>
  <c r="CM1534" i="13"/>
  <c r="CN1534" i="13"/>
  <c r="CK1535" i="13"/>
  <c r="CM1535" i="13"/>
  <c r="CN1535" i="13"/>
  <c r="CK1536" i="13"/>
  <c r="CM1536" i="13"/>
  <c r="CN1536" i="13"/>
  <c r="CK1537" i="13"/>
  <c r="CM1537" i="13"/>
  <c r="CN1537" i="13"/>
  <c r="CK1538" i="13"/>
  <c r="CM1538" i="13"/>
  <c r="CN1538" i="13"/>
  <c r="CK1539" i="13"/>
  <c r="CM1539" i="13"/>
  <c r="CN1539" i="13"/>
  <c r="CK1540" i="13"/>
  <c r="CM1540" i="13"/>
  <c r="CN1540" i="13"/>
  <c r="CK1541" i="13"/>
  <c r="CM1541" i="13"/>
  <c r="CN1541" i="13"/>
  <c r="CK1542" i="13"/>
  <c r="CM1542" i="13"/>
  <c r="CN1542" i="13"/>
  <c r="CK1543" i="13"/>
  <c r="CM1543" i="13"/>
  <c r="CN1543" i="13"/>
  <c r="CK1545" i="13"/>
  <c r="CM1545" i="13"/>
  <c r="CN1545" i="13"/>
  <c r="CK1546" i="13"/>
  <c r="CM1546" i="13"/>
  <c r="CN1546" i="13"/>
  <c r="CK1547" i="13"/>
  <c r="CM1547" i="13"/>
  <c r="CN1547" i="13"/>
  <c r="CK1548" i="13"/>
  <c r="CM1548" i="13"/>
  <c r="CN1548" i="13"/>
  <c r="CK1549" i="13"/>
  <c r="CM1549" i="13"/>
  <c r="CN1549" i="13"/>
  <c r="CK1550" i="13"/>
  <c r="CM1550" i="13"/>
  <c r="CN1550" i="13"/>
  <c r="CK1551" i="13"/>
  <c r="CM1551" i="13"/>
  <c r="CN1551" i="13"/>
  <c r="CK1552" i="13"/>
  <c r="CM1552" i="13"/>
  <c r="CN1552" i="13"/>
  <c r="CK1553" i="13"/>
  <c r="CM1553" i="13"/>
  <c r="CN1553" i="13"/>
  <c r="CK1556" i="13"/>
  <c r="CM1556" i="13"/>
  <c r="CN1556" i="13"/>
  <c r="CK1557" i="13"/>
  <c r="CM1557" i="13"/>
  <c r="CN1557" i="13"/>
  <c r="CK1558" i="13"/>
  <c r="CM1558" i="13"/>
  <c r="CN1558" i="13"/>
  <c r="CK1559" i="13"/>
  <c r="CM1559" i="13"/>
  <c r="CN1559" i="13"/>
  <c r="CK1560" i="13"/>
  <c r="CM1560" i="13"/>
  <c r="CN1560" i="13"/>
  <c r="CK1561" i="13"/>
  <c r="CM1561" i="13"/>
  <c r="CN1561" i="13"/>
  <c r="CK1562" i="13"/>
  <c r="CM1562" i="13"/>
  <c r="CN1562" i="13"/>
  <c r="CK1563" i="13"/>
  <c r="CM1563" i="13"/>
  <c r="CN1563" i="13"/>
  <c r="CK1564" i="13"/>
  <c r="CM1564" i="13"/>
  <c r="CN1564" i="13"/>
  <c r="CK1565" i="13"/>
  <c r="CM1565" i="13"/>
  <c r="CN1565" i="13"/>
  <c r="CK1566" i="13"/>
  <c r="CM1566" i="13"/>
  <c r="CN1566" i="13"/>
  <c r="CM1567" i="13"/>
  <c r="CN1567" i="13"/>
  <c r="CK1568" i="13"/>
  <c r="CM1568" i="13"/>
  <c r="CN1568" i="13"/>
  <c r="CK1569" i="13"/>
  <c r="CM1569" i="13"/>
  <c r="CN1569" i="13"/>
  <c r="CK1570" i="13"/>
  <c r="CM1570" i="13"/>
  <c r="CN1570" i="13"/>
  <c r="CM1571" i="13"/>
  <c r="CN1571" i="13"/>
  <c r="CK1572" i="13"/>
  <c r="CM1572" i="13"/>
  <c r="CN1572" i="13"/>
  <c r="CK1573" i="13"/>
  <c r="CM1573" i="13"/>
  <c r="CN1573" i="13"/>
  <c r="CK1574" i="13"/>
  <c r="CM1574" i="13"/>
  <c r="CN1574" i="13"/>
  <c r="CK1575" i="13"/>
  <c r="CM1575" i="13"/>
  <c r="CN1575" i="13"/>
  <c r="AV1491" i="13"/>
  <c r="AV1492" i="13"/>
  <c r="AV1493" i="13"/>
  <c r="AV1494" i="13"/>
  <c r="AV1495" i="13"/>
  <c r="AV1496" i="13"/>
  <c r="AV1497" i="13"/>
  <c r="AV1498" i="13"/>
  <c r="AV1499" i="13"/>
  <c r="AV1500" i="13"/>
  <c r="AV1501" i="13"/>
  <c r="AV1502" i="13"/>
  <c r="AV1503" i="13"/>
  <c r="AV1504" i="13"/>
  <c r="AV1505" i="13"/>
  <c r="AV1506" i="13"/>
  <c r="AV1507" i="13"/>
  <c r="AV1508" i="13"/>
  <c r="AV1509" i="13"/>
  <c r="AV1510" i="13"/>
  <c r="AV1511" i="13"/>
  <c r="AV1512" i="13"/>
  <c r="AV1513" i="13"/>
  <c r="AV1514" i="13"/>
  <c r="AV1515" i="13"/>
  <c r="AV1516" i="13"/>
  <c r="AV1517" i="13"/>
  <c r="AV1518" i="13"/>
  <c r="AV1519" i="13"/>
  <c r="AV1520" i="13"/>
  <c r="AV1521" i="13"/>
  <c r="AV1522" i="13"/>
  <c r="AV1523" i="13"/>
  <c r="AV1524" i="13"/>
  <c r="AV1525" i="13"/>
  <c r="AV1526" i="13"/>
  <c r="AV1527" i="13"/>
  <c r="AV1528" i="13"/>
  <c r="AV1529" i="13"/>
  <c r="AV1530" i="13"/>
  <c r="AV1531" i="13"/>
  <c r="AV1532" i="13"/>
  <c r="AV1533" i="13"/>
  <c r="CL1533" i="13" s="1"/>
  <c r="AV1534" i="13"/>
  <c r="AV1535" i="13"/>
  <c r="CL1535" i="13" s="1"/>
  <c r="AV1536" i="13"/>
  <c r="AV1537" i="13"/>
  <c r="CL1537" i="13" s="1"/>
  <c r="AV1538" i="13"/>
  <c r="AV1539" i="13"/>
  <c r="CL1539" i="13" s="1"/>
  <c r="AV1540" i="13"/>
  <c r="AV1541" i="13"/>
  <c r="CL1541" i="13" s="1"/>
  <c r="AV1542" i="13"/>
  <c r="AV1543" i="13"/>
  <c r="CL1543" i="13" s="1"/>
  <c r="AV1545" i="13"/>
  <c r="AV1546" i="13"/>
  <c r="AV1547" i="13"/>
  <c r="AV1548" i="13"/>
  <c r="CL1548" i="13" s="1"/>
  <c r="AV1549" i="13"/>
  <c r="AV1550" i="13"/>
  <c r="AV1551" i="13"/>
  <c r="AV1552" i="13"/>
  <c r="AV1553" i="13"/>
  <c r="AV1556" i="13"/>
  <c r="AV1557" i="13"/>
  <c r="AV1558" i="13"/>
  <c r="AV1559" i="13"/>
  <c r="AV1560" i="13"/>
  <c r="AV1561" i="13"/>
  <c r="AV1562" i="13"/>
  <c r="AV1563" i="13"/>
  <c r="AV1564" i="13"/>
  <c r="AV1565" i="13"/>
  <c r="AV1566" i="13"/>
  <c r="AV1568" i="13"/>
  <c r="AV1569" i="13"/>
  <c r="AV1570" i="13"/>
  <c r="AV1572" i="13"/>
  <c r="AV1573" i="13"/>
  <c r="AV1574" i="13"/>
  <c r="AV1575" i="13"/>
  <c r="AV1576" i="13"/>
  <c r="AV1577" i="13"/>
  <c r="AV1578" i="13"/>
  <c r="AV1579" i="13"/>
  <c r="AV1580" i="13"/>
  <c r="AV1581" i="13"/>
  <c r="AV1582" i="13"/>
  <c r="AV1583" i="13"/>
  <c r="AV1584" i="13"/>
  <c r="AV1585" i="13"/>
  <c r="AV1586" i="13"/>
  <c r="AV1587" i="13"/>
  <c r="AV1588" i="13"/>
  <c r="AV1589" i="13"/>
  <c r="AV1590" i="13"/>
  <c r="AV1591" i="13"/>
  <c r="AV1592" i="13"/>
  <c r="AV1593" i="13"/>
  <c r="AV1594" i="13"/>
  <c r="AV1596" i="13"/>
  <c r="AV1597" i="13"/>
  <c r="AV1598" i="13"/>
  <c r="AV1599" i="13"/>
  <c r="AV1600" i="13"/>
  <c r="AV1601" i="13"/>
  <c r="AV1602" i="13"/>
  <c r="AV1603" i="13"/>
  <c r="AV1604" i="13"/>
  <c r="AV1606" i="13"/>
  <c r="AV1607" i="13"/>
  <c r="AV1608" i="13"/>
  <c r="AV1609" i="13"/>
  <c r="AV1610" i="13"/>
  <c r="AV1611" i="13"/>
  <c r="AV1612" i="13"/>
  <c r="AV1613" i="13"/>
  <c r="AV1614" i="13"/>
  <c r="AV1617" i="13"/>
  <c r="AV1618" i="13"/>
  <c r="AV1619" i="13"/>
  <c r="AV1620" i="13"/>
  <c r="AV1621" i="13"/>
  <c r="AV1622" i="13"/>
  <c r="AV1623" i="13"/>
  <c r="AV1624" i="13"/>
  <c r="AV1625" i="13"/>
  <c r="AV1626" i="13"/>
  <c r="AV1627" i="13"/>
  <c r="AV1628" i="13"/>
  <c r="AV1629" i="13"/>
  <c r="AV1630" i="13"/>
  <c r="AV1631" i="13"/>
  <c r="AV1632" i="13"/>
  <c r="AV1633" i="13"/>
  <c r="AV1634" i="13"/>
  <c r="AV1635" i="13"/>
  <c r="AV1636" i="13"/>
  <c r="AV1637" i="13"/>
  <c r="AV1639" i="13"/>
  <c r="AV1640" i="13"/>
  <c r="AV1641" i="13"/>
  <c r="AV1642" i="13"/>
  <c r="AV1643" i="13"/>
  <c r="AV1645" i="13"/>
  <c r="AV1646" i="13"/>
  <c r="AV1656" i="13"/>
  <c r="AV1657" i="13"/>
  <c r="CL1657" i="13" s="1"/>
  <c r="AV1658" i="13"/>
  <c r="CL1658" i="13" s="1"/>
  <c r="AV1659" i="13"/>
  <c r="CL1659" i="13" s="1"/>
  <c r="AV1660" i="13"/>
  <c r="CL1660" i="13" s="1"/>
  <c r="AV1661" i="13"/>
  <c r="CL1661" i="13" s="1"/>
  <c r="AV1662" i="13"/>
  <c r="CL1662" i="13" s="1"/>
  <c r="AV1663" i="13"/>
  <c r="CL1663" i="13" s="1"/>
  <c r="CL1664" i="13"/>
  <c r="AV1666" i="13"/>
  <c r="CL1666" i="13" s="1"/>
  <c r="AV1667" i="13"/>
  <c r="CL1667" i="13" s="1"/>
  <c r="AV1668" i="13"/>
  <c r="CL1668" i="13" s="1"/>
  <c r="AV1669" i="13"/>
  <c r="CL1669" i="13" s="1"/>
  <c r="AV1670" i="13"/>
  <c r="CL1670" i="13" s="1"/>
  <c r="AV1671" i="13"/>
  <c r="CL1671" i="13" s="1"/>
  <c r="AV1665" i="13" l="1"/>
  <c r="Y1616" i="13"/>
  <c r="CL1546" i="13"/>
  <c r="AV1648" i="13"/>
  <c r="CL1648" i="13" s="1"/>
  <c r="AV1649" i="13"/>
  <c r="CL1649" i="13" s="1"/>
  <c r="AV1647" i="13"/>
  <c r="AV1650" i="13"/>
  <c r="CL1650" i="13" s="1"/>
  <c r="AV1651" i="13"/>
  <c r="CL1651" i="13" s="1"/>
  <c r="CL1656" i="13"/>
  <c r="CL1665" i="13" s="1"/>
  <c r="CL1510" i="13"/>
  <c r="AV1638" i="13"/>
  <c r="AV1615" i="13"/>
  <c r="AV1605" i="13"/>
  <c r="AV1595" i="13"/>
  <c r="CL1531" i="13"/>
  <c r="CL1527" i="13"/>
  <c r="CL1511" i="13"/>
  <c r="AV1554" i="13"/>
  <c r="CK1554" i="13"/>
  <c r="CL1529" i="13"/>
  <c r="CL1525" i="13"/>
  <c r="CL1521" i="13"/>
  <c r="CL1517" i="13"/>
  <c r="CL1513" i="13"/>
  <c r="CL1505" i="13"/>
  <c r="CL1501" i="13"/>
  <c r="CL1497" i="13"/>
  <c r="CL1493" i="13"/>
  <c r="CL1545" i="13"/>
  <c r="CL1540" i="13"/>
  <c r="CL1536" i="13"/>
  <c r="CL1506" i="13"/>
  <c r="CL1532" i="13"/>
  <c r="CL1528" i="13"/>
  <c r="CL1524" i="13"/>
  <c r="CL1520" i="13"/>
  <c r="CL1516" i="13"/>
  <c r="CL1512" i="13"/>
  <c r="CL1504" i="13"/>
  <c r="CL1503" i="13"/>
  <c r="G1524" i="13"/>
  <c r="G1530" i="13" s="1"/>
  <c r="G1534" i="13" s="1"/>
  <c r="G1538" i="13" s="1"/>
  <c r="CL1499" i="13"/>
  <c r="CL1491" i="13"/>
  <c r="CL1566" i="13"/>
  <c r="CL1562" i="13"/>
  <c r="CL1558" i="13"/>
  <c r="CL1523" i="13"/>
  <c r="CL1547" i="13"/>
  <c r="CL1542" i="13"/>
  <c r="CL1538" i="13"/>
  <c r="CL1534" i="13"/>
  <c r="CL1530" i="13"/>
  <c r="CL1526" i="13"/>
  <c r="CL1522" i="13"/>
  <c r="CL1518" i="13"/>
  <c r="CL1514" i="13"/>
  <c r="CL1570" i="13"/>
  <c r="CL1574" i="13"/>
  <c r="CL1507" i="13"/>
  <c r="CL1519" i="13"/>
  <c r="CL1563" i="13"/>
  <c r="CL1553" i="13"/>
  <c r="CL1549" i="13"/>
  <c r="CL1572" i="13"/>
  <c r="CL1568" i="13"/>
  <c r="CL1564" i="13"/>
  <c r="CL1560" i="13"/>
  <c r="CL1556" i="13"/>
  <c r="CL1550" i="13"/>
  <c r="CL1494" i="13"/>
  <c r="CL1575" i="13"/>
  <c r="CL1559" i="13"/>
  <c r="CL1509" i="13"/>
  <c r="CL1573" i="13"/>
  <c r="CL1569" i="13"/>
  <c r="CL1565" i="13"/>
  <c r="CL1561" i="13"/>
  <c r="CL1557" i="13"/>
  <c r="CL1508" i="13"/>
  <c r="CL1515" i="13"/>
  <c r="CL1551" i="13"/>
  <c r="G1511" i="13"/>
  <c r="CL1552" i="13"/>
  <c r="G1512" i="13"/>
  <c r="CL1495" i="13"/>
  <c r="CL1500" i="13"/>
  <c r="CL1496" i="13"/>
  <c r="CL1492" i="13"/>
  <c r="CL1502" i="13"/>
  <c r="CL1498" i="13"/>
  <c r="AV1616" i="13" l="1"/>
  <c r="CL1554" i="13"/>
  <c r="G1528" i="13"/>
  <c r="J1571" i="13"/>
  <c r="K1571" i="13"/>
  <c r="L1571" i="13"/>
  <c r="M1571" i="13"/>
  <c r="N1571" i="13"/>
  <c r="O1571" i="13"/>
  <c r="P1571" i="13"/>
  <c r="Q1571" i="13"/>
  <c r="R1571" i="13"/>
  <c r="S1571" i="13"/>
  <c r="T1571" i="13"/>
  <c r="U1571" i="13"/>
  <c r="V1571" i="13"/>
  <c r="W1571" i="13"/>
  <c r="X1571" i="13"/>
  <c r="Y1571" i="13"/>
  <c r="Z1571" i="13"/>
  <c r="AB1571" i="13"/>
  <c r="AC1571" i="13"/>
  <c r="AD1571" i="13"/>
  <c r="AE1571" i="13"/>
  <c r="AF1571" i="13"/>
  <c r="AH1571" i="13"/>
  <c r="AI1571" i="13"/>
  <c r="AJ1571" i="13"/>
  <c r="AK1571" i="13"/>
  <c r="AL1571" i="13"/>
  <c r="AM1571" i="13"/>
  <c r="AN1571" i="13"/>
  <c r="AO1571" i="13"/>
  <c r="AP1571" i="13"/>
  <c r="AQ1571" i="13"/>
  <c r="AR1571" i="13"/>
  <c r="AS1571" i="13"/>
  <c r="AT1571" i="13"/>
  <c r="AU1571" i="13"/>
  <c r="AW1571" i="13"/>
  <c r="AX1571" i="13"/>
  <c r="AY1571" i="13"/>
  <c r="AZ1571" i="13"/>
  <c r="BA1571" i="13"/>
  <c r="BC1571" i="13"/>
  <c r="BD1571" i="13"/>
  <c r="BE1571" i="13"/>
  <c r="BF1571" i="13"/>
  <c r="BH1571" i="13"/>
  <c r="BI1571" i="13"/>
  <c r="BJ1571" i="13"/>
  <c r="BK1571" i="13"/>
  <c r="BL1571" i="13"/>
  <c r="BM1571" i="13"/>
  <c r="BN1571" i="13"/>
  <c r="BO1571" i="13"/>
  <c r="BP1571" i="13"/>
  <c r="BQ1571" i="13"/>
  <c r="BR1571" i="13"/>
  <c r="BS1571" i="13"/>
  <c r="BT1571" i="13"/>
  <c r="BU1571" i="13"/>
  <c r="BV1571" i="13"/>
  <c r="BW1571" i="13"/>
  <c r="BX1571" i="13"/>
  <c r="BY1571" i="13"/>
  <c r="BZ1571" i="13"/>
  <c r="CA1571" i="13"/>
  <c r="CB1571" i="13"/>
  <c r="CC1571" i="13"/>
  <c r="CD1571" i="13"/>
  <c r="CE1571" i="13"/>
  <c r="CF1571" i="13"/>
  <c r="CG1571" i="13"/>
  <c r="CH1571" i="13"/>
  <c r="CJ1571" i="13"/>
  <c r="CO1571" i="13"/>
  <c r="CP1571" i="13"/>
  <c r="I1571" i="13"/>
  <c r="CK1576" i="13"/>
  <c r="CL1576" i="13" s="1"/>
  <c r="CM1576" i="13"/>
  <c r="CN1576" i="13"/>
  <c r="CK1577" i="13"/>
  <c r="CL1577" i="13" s="1"/>
  <c r="CM1577" i="13"/>
  <c r="CN1577" i="13"/>
  <c r="CK1578" i="13"/>
  <c r="CM1578" i="13"/>
  <c r="CN1578" i="13"/>
  <c r="CK1579" i="13"/>
  <c r="CL1579" i="13" s="1"/>
  <c r="CM1579" i="13"/>
  <c r="CN1579" i="13"/>
  <c r="CK1580" i="13"/>
  <c r="CM1580" i="13"/>
  <c r="CN1580" i="13"/>
  <c r="CK1581" i="13"/>
  <c r="CL1581" i="13" s="1"/>
  <c r="CM1581" i="13"/>
  <c r="CN1581" i="13"/>
  <c r="CK1582" i="13"/>
  <c r="CM1582" i="13"/>
  <c r="CN1582" i="13"/>
  <c r="CK1583" i="13"/>
  <c r="CL1583" i="13" s="1"/>
  <c r="CM1583" i="13"/>
  <c r="CN1583" i="13"/>
  <c r="CK1584" i="13"/>
  <c r="CM1584" i="13"/>
  <c r="CN1584" i="13"/>
  <c r="CK1585" i="13"/>
  <c r="CM1585" i="13"/>
  <c r="CN1585" i="13"/>
  <c r="CK1586" i="13"/>
  <c r="CM1586" i="13"/>
  <c r="CN1586" i="13"/>
  <c r="CK1587" i="13"/>
  <c r="CM1587" i="13"/>
  <c r="CN1587" i="13"/>
  <c r="S1567" i="13"/>
  <c r="T1567" i="13"/>
  <c r="U1567" i="13"/>
  <c r="V1567" i="13"/>
  <c r="W1567" i="13"/>
  <c r="X1567" i="13"/>
  <c r="Y1567" i="13"/>
  <c r="Z1567" i="13"/>
  <c r="AB1567" i="13"/>
  <c r="AC1567" i="13"/>
  <c r="AD1567" i="13"/>
  <c r="AE1567" i="13"/>
  <c r="AF1567" i="13"/>
  <c r="AH1567" i="13"/>
  <c r="AI1567" i="13"/>
  <c r="AJ1567" i="13"/>
  <c r="AK1567" i="13"/>
  <c r="AL1567" i="13"/>
  <c r="AM1567" i="13"/>
  <c r="AN1567" i="13"/>
  <c r="AO1567" i="13"/>
  <c r="AP1567" i="13"/>
  <c r="AQ1567" i="13"/>
  <c r="AR1567" i="13"/>
  <c r="AS1567" i="13"/>
  <c r="AT1567" i="13"/>
  <c r="AU1567" i="13"/>
  <c r="AW1567" i="13"/>
  <c r="AX1567" i="13"/>
  <c r="AY1567" i="13"/>
  <c r="AZ1567" i="13"/>
  <c r="BA1567" i="13"/>
  <c r="BC1567" i="13"/>
  <c r="BD1567" i="13"/>
  <c r="BE1567" i="13"/>
  <c r="BF1567" i="13"/>
  <c r="BH1567" i="13"/>
  <c r="BI1567" i="13"/>
  <c r="BJ1567" i="13"/>
  <c r="BK1567" i="13"/>
  <c r="BL1567" i="13"/>
  <c r="BM1567" i="13"/>
  <c r="BN1567" i="13"/>
  <c r="BO1567" i="13"/>
  <c r="BP1567" i="13"/>
  <c r="BQ1567" i="13"/>
  <c r="BR1567" i="13"/>
  <c r="BS1567" i="13"/>
  <c r="BT1567" i="13"/>
  <c r="BU1567" i="13"/>
  <c r="BV1567" i="13"/>
  <c r="BW1567" i="13"/>
  <c r="BX1567" i="13"/>
  <c r="BY1567" i="13"/>
  <c r="BZ1567" i="13"/>
  <c r="CA1567" i="13"/>
  <c r="CB1567" i="13"/>
  <c r="CC1567" i="13"/>
  <c r="CD1567" i="13"/>
  <c r="CE1567" i="13"/>
  <c r="CF1567" i="13"/>
  <c r="CG1567" i="13"/>
  <c r="CH1567" i="13"/>
  <c r="CJ1567" i="13"/>
  <c r="CO1567" i="13"/>
  <c r="R1567" i="13"/>
  <c r="AV1652" i="13" l="1"/>
  <c r="AV1567" i="13"/>
  <c r="CK1567" i="13"/>
  <c r="CK1571" i="13"/>
  <c r="AV1571" i="13"/>
  <c r="CL1578" i="13"/>
  <c r="CL1586" i="13"/>
  <c r="CL1582" i="13"/>
  <c r="CL1584" i="13"/>
  <c r="CL1585" i="13"/>
  <c r="CL1580" i="13"/>
  <c r="CL1587" i="13"/>
  <c r="AG1183" i="13"/>
  <c r="AG1202" i="13" s="1"/>
  <c r="B465" i="13"/>
  <c r="AX26" i="13"/>
  <c r="AX27" i="13"/>
  <c r="AX28" i="13"/>
  <c r="AV1653" i="13" l="1"/>
  <c r="CL1653" i="13" s="1"/>
  <c r="CL1652" i="13"/>
  <c r="CL1567" i="13"/>
  <c r="CL1571" i="13"/>
  <c r="J721" i="13"/>
  <c r="K721" i="13"/>
  <c r="L721" i="13"/>
  <c r="M721" i="13"/>
  <c r="N721" i="13"/>
  <c r="O721" i="13"/>
  <c r="P721" i="13"/>
  <c r="Q721" i="13"/>
  <c r="R721" i="13"/>
  <c r="S721" i="13"/>
  <c r="T721" i="13"/>
  <c r="U721" i="13"/>
  <c r="V721" i="13"/>
  <c r="W721" i="13"/>
  <c r="X721" i="13"/>
  <c r="Y721" i="13"/>
  <c r="Z721" i="13"/>
  <c r="AB721" i="13"/>
  <c r="AC721" i="13"/>
  <c r="AD721" i="13"/>
  <c r="AE721" i="13"/>
  <c r="AF721" i="13"/>
  <c r="AH721" i="13"/>
  <c r="AI721" i="13"/>
  <c r="AJ721" i="13"/>
  <c r="AK721" i="13"/>
  <c r="AL721" i="13"/>
  <c r="AM721" i="13"/>
  <c r="AN721" i="13"/>
  <c r="AO721" i="13"/>
  <c r="AP721" i="13"/>
  <c r="AQ721" i="13"/>
  <c r="AR721" i="13"/>
  <c r="AS721" i="13"/>
  <c r="AT721" i="13"/>
  <c r="AU721" i="13"/>
  <c r="AW721" i="13"/>
  <c r="BC721" i="13"/>
  <c r="BD721" i="13"/>
  <c r="BE721" i="13"/>
  <c r="BF721" i="13"/>
  <c r="BH721" i="13"/>
  <c r="BI721" i="13"/>
  <c r="BJ721" i="13"/>
  <c r="BK721" i="13"/>
  <c r="BL721" i="13"/>
  <c r="BM721" i="13"/>
  <c r="BN721" i="13"/>
  <c r="BO721" i="13"/>
  <c r="BP721" i="13"/>
  <c r="BQ721" i="13"/>
  <c r="BR721" i="13"/>
  <c r="BS721" i="13"/>
  <c r="BT721" i="13"/>
  <c r="BU721" i="13"/>
  <c r="BV721" i="13"/>
  <c r="BW721" i="13"/>
  <c r="BX721" i="13"/>
  <c r="BY721" i="13"/>
  <c r="BZ721" i="13"/>
  <c r="CA721" i="13"/>
  <c r="CB721" i="13"/>
  <c r="CC721" i="13"/>
  <c r="CD721" i="13"/>
  <c r="CE721" i="13"/>
  <c r="CF721" i="13"/>
  <c r="CG721" i="13"/>
  <c r="CH721" i="13"/>
  <c r="CJ721" i="13"/>
  <c r="I721" i="13"/>
  <c r="AY695" i="13"/>
  <c r="AZ695" i="13"/>
  <c r="CM672" i="13"/>
  <c r="CN672" i="13"/>
  <c r="CM673" i="13"/>
  <c r="CN673" i="13"/>
  <c r="CM674" i="13"/>
  <c r="CN674" i="13"/>
  <c r="CM675" i="13"/>
  <c r="CN675" i="13"/>
  <c r="CM676" i="13"/>
  <c r="CN676" i="13"/>
  <c r="CM677" i="13"/>
  <c r="CN677" i="13"/>
  <c r="CM678" i="13"/>
  <c r="CN678" i="13"/>
  <c r="CM679" i="13"/>
  <c r="CN679" i="13"/>
  <c r="CM680" i="13"/>
  <c r="CN680" i="13"/>
  <c r="CM681" i="13"/>
  <c r="CN681" i="13"/>
  <c r="CM682" i="13"/>
  <c r="CN682" i="13"/>
  <c r="CM683" i="13"/>
  <c r="CN683" i="13"/>
  <c r="CM684" i="13"/>
  <c r="CN684" i="13"/>
  <c r="CM685" i="13"/>
  <c r="CN685" i="13"/>
  <c r="CM686" i="13"/>
  <c r="CN686" i="13"/>
  <c r="CM687" i="13"/>
  <c r="CN687" i="13"/>
  <c r="CM688" i="13"/>
  <c r="CN688" i="13"/>
  <c r="CM689" i="13"/>
  <c r="CN689" i="13"/>
  <c r="CM690" i="13"/>
  <c r="CN690" i="13"/>
  <c r="CM691" i="13"/>
  <c r="CN691" i="13"/>
  <c r="CM692" i="13"/>
  <c r="CN692" i="13"/>
  <c r="CM693" i="13"/>
  <c r="CN693" i="13"/>
  <c r="CM694" i="13"/>
  <c r="CN694" i="13"/>
  <c r="CM695" i="13"/>
  <c r="CN695" i="13"/>
  <c r="CM696" i="13"/>
  <c r="CN696" i="13"/>
  <c r="CM697" i="13"/>
  <c r="CN697" i="13"/>
  <c r="CM698" i="13"/>
  <c r="CN698" i="13"/>
  <c r="CM699" i="13"/>
  <c r="CN699" i="13"/>
  <c r="CM700" i="13"/>
  <c r="CN700" i="13"/>
  <c r="CM701" i="13"/>
  <c r="CN701" i="13"/>
  <c r="CM702" i="13"/>
  <c r="CN702" i="13"/>
  <c r="CM703" i="13"/>
  <c r="CN703" i="13"/>
  <c r="CM704" i="13"/>
  <c r="CN704" i="13"/>
  <c r="CM705" i="13"/>
  <c r="CN705" i="13"/>
  <c r="CM706" i="13"/>
  <c r="CN706" i="13"/>
  <c r="CM707" i="13"/>
  <c r="CN707" i="13"/>
  <c r="CM708" i="13"/>
  <c r="CN708" i="13"/>
  <c r="CM709" i="13"/>
  <c r="CN709" i="13"/>
  <c r="CM710" i="13"/>
  <c r="CN710" i="13"/>
  <c r="CM711" i="13"/>
  <c r="CN711" i="13"/>
  <c r="CM712" i="13"/>
  <c r="CN712" i="13"/>
  <c r="CM713" i="13"/>
  <c r="CN713" i="13"/>
  <c r="CM714" i="13"/>
  <c r="CN714" i="13"/>
  <c r="CM715" i="13"/>
  <c r="CN715" i="13"/>
  <c r="CM716" i="13"/>
  <c r="CN716" i="13"/>
  <c r="CK717" i="13"/>
  <c r="CM717" i="13"/>
  <c r="CN717" i="13"/>
  <c r="CM718" i="13"/>
  <c r="CN718" i="13"/>
  <c r="CM719" i="13"/>
  <c r="CN719" i="13"/>
  <c r="CM720" i="13"/>
  <c r="CN720" i="13"/>
  <c r="AV672" i="13"/>
  <c r="AV673" i="13"/>
  <c r="AV674" i="13"/>
  <c r="AV675" i="13"/>
  <c r="AV676" i="13"/>
  <c r="AV677" i="13"/>
  <c r="AV678" i="13"/>
  <c r="AV679" i="13"/>
  <c r="AV680" i="13"/>
  <c r="AV681" i="13"/>
  <c r="AV682" i="13"/>
  <c r="AV683" i="13"/>
  <c r="AV684" i="13"/>
  <c r="AV685" i="13"/>
  <c r="AV686" i="13"/>
  <c r="AV687" i="13"/>
  <c r="AV688" i="13"/>
  <c r="AV689" i="13"/>
  <c r="AV690" i="13"/>
  <c r="AV691" i="13"/>
  <c r="AV692" i="13"/>
  <c r="AV693" i="13"/>
  <c r="AV694" i="13"/>
  <c r="AV695" i="13"/>
  <c r="AV696" i="13"/>
  <c r="AV697" i="13"/>
  <c r="AV698" i="13"/>
  <c r="AV699" i="13"/>
  <c r="AV700" i="13"/>
  <c r="AV701" i="13"/>
  <c r="AV702" i="13"/>
  <c r="AV703" i="13"/>
  <c r="AV704" i="13"/>
  <c r="AV705" i="13"/>
  <c r="AV706" i="13"/>
  <c r="AV707" i="13"/>
  <c r="AV708" i="13"/>
  <c r="AV709" i="13"/>
  <c r="AV710" i="13"/>
  <c r="AV711" i="13"/>
  <c r="AV712" i="13"/>
  <c r="AV713" i="13"/>
  <c r="AV714" i="13"/>
  <c r="AV715" i="13"/>
  <c r="AV716" i="13"/>
  <c r="AV717" i="13"/>
  <c r="AV718" i="13"/>
  <c r="AV719" i="13"/>
  <c r="AV720" i="13"/>
  <c r="AZ708" i="13"/>
  <c r="AY708" i="13"/>
  <c r="G708" i="13"/>
  <c r="G707" i="13"/>
  <c r="AZ688" i="13"/>
  <c r="AY688" i="13"/>
  <c r="AX688" i="13"/>
  <c r="AZ687" i="13"/>
  <c r="AY687" i="13"/>
  <c r="AX687" i="13"/>
  <c r="AZ686" i="13"/>
  <c r="AY686" i="13"/>
  <c r="AZ684" i="13"/>
  <c r="AY684" i="13"/>
  <c r="AY683" i="13"/>
  <c r="AZ683" i="13"/>
  <c r="AZ682" i="13"/>
  <c r="AY682" i="13"/>
  <c r="AZ681" i="13"/>
  <c r="AY681" i="13"/>
  <c r="AX681" i="13"/>
  <c r="AZ680" i="13"/>
  <c r="AY680" i="13"/>
  <c r="AZ679" i="13"/>
  <c r="AY679" i="13"/>
  <c r="AX679" i="13"/>
  <c r="AZ678" i="13"/>
  <c r="AY678" i="13"/>
  <c r="AY690" i="13"/>
  <c r="AZ690" i="13"/>
  <c r="AX690" i="13"/>
  <c r="AZ691" i="13"/>
  <c r="AY691" i="13"/>
  <c r="AZ685" i="13"/>
  <c r="AY685" i="13"/>
  <c r="AX685" i="13"/>
  <c r="AZ692" i="13"/>
  <c r="AY692" i="13"/>
  <c r="AY689" i="13"/>
  <c r="AZ689" i="13"/>
  <c r="AZ693" i="13"/>
  <c r="AY693" i="13"/>
  <c r="AY694" i="13"/>
  <c r="AZ694" i="13"/>
  <c r="AX694" i="13"/>
  <c r="AZ698" i="13"/>
  <c r="AY698" i="13"/>
  <c r="AZ696" i="13"/>
  <c r="AY696" i="13"/>
  <c r="AZ703" i="13"/>
  <c r="AY703" i="13"/>
  <c r="AX703" i="13"/>
  <c r="AZ697" i="13"/>
  <c r="AY697" i="13"/>
  <c r="AZ699" i="13"/>
  <c r="AY699" i="13"/>
  <c r="AX699" i="13"/>
  <c r="AZ700" i="13"/>
  <c r="AY700" i="13"/>
  <c r="AZ701" i="13"/>
  <c r="AY701" i="13"/>
  <c r="AX701" i="13"/>
  <c r="AZ702" i="13"/>
  <c r="AY702" i="13"/>
  <c r="AZ706" i="13"/>
  <c r="AY706" i="13"/>
  <c r="G706" i="13"/>
  <c r="AZ705" i="13"/>
  <c r="AY705" i="13"/>
  <c r="AX705" i="13"/>
  <c r="G705" i="13"/>
  <c r="AZ707" i="13"/>
  <c r="AY707" i="13"/>
  <c r="AX707" i="13"/>
  <c r="AZ704" i="13"/>
  <c r="AY704" i="13"/>
  <c r="AX704" i="13"/>
  <c r="G704" i="13"/>
  <c r="AZ720" i="13"/>
  <c r="AY720" i="13"/>
  <c r="AX720" i="13"/>
  <c r="AZ719" i="13"/>
  <c r="BA719" i="13"/>
  <c r="AY719" i="13"/>
  <c r="AZ718" i="13"/>
  <c r="AY718" i="13"/>
  <c r="AX718" i="13"/>
  <c r="BA716" i="13"/>
  <c r="AY716" i="13"/>
  <c r="AZ716" i="13"/>
  <c r="AZ715" i="13"/>
  <c r="AY715" i="13"/>
  <c r="AZ714" i="13"/>
  <c r="AY714" i="13"/>
  <c r="AZ713" i="13"/>
  <c r="AY713" i="13"/>
  <c r="AZ712" i="13"/>
  <c r="AY712" i="13"/>
  <c r="AZ711" i="13"/>
  <c r="AY711" i="13"/>
  <c r="AX711" i="13"/>
  <c r="AZ710" i="13"/>
  <c r="AY710" i="13"/>
  <c r="AZ709" i="13"/>
  <c r="AY709" i="13"/>
  <c r="J1490" i="13"/>
  <c r="K1490" i="13"/>
  <c r="L1490" i="13"/>
  <c r="M1490" i="13"/>
  <c r="N1490" i="13"/>
  <c r="O1490" i="13"/>
  <c r="P1490" i="13"/>
  <c r="Q1490" i="13"/>
  <c r="R1490" i="13"/>
  <c r="S1490" i="13"/>
  <c r="T1490" i="13"/>
  <c r="U1490" i="13"/>
  <c r="V1490" i="13"/>
  <c r="W1490" i="13"/>
  <c r="X1490" i="13"/>
  <c r="Y1490" i="13"/>
  <c r="Z1490" i="13"/>
  <c r="AB1490" i="13"/>
  <c r="AC1490" i="13"/>
  <c r="AD1490" i="13"/>
  <c r="AE1490" i="13"/>
  <c r="AF1490" i="13"/>
  <c r="AH1490" i="13"/>
  <c r="AI1490" i="13"/>
  <c r="AJ1490" i="13"/>
  <c r="AK1490" i="13"/>
  <c r="AL1490" i="13"/>
  <c r="AM1490" i="13"/>
  <c r="AN1490" i="13"/>
  <c r="AO1490" i="13"/>
  <c r="AP1490" i="13"/>
  <c r="AQ1490" i="13"/>
  <c r="AR1490" i="13"/>
  <c r="AS1490" i="13"/>
  <c r="AT1490" i="13"/>
  <c r="AU1490" i="13"/>
  <c r="AW1490" i="13"/>
  <c r="AY1490" i="13"/>
  <c r="AZ1490" i="13"/>
  <c r="BA1490" i="13"/>
  <c r="BC1490" i="13"/>
  <c r="BD1490" i="13"/>
  <c r="BE1490" i="13"/>
  <c r="BF1490" i="13"/>
  <c r="BH1490" i="13"/>
  <c r="BI1490" i="13"/>
  <c r="BJ1490" i="13"/>
  <c r="BK1490" i="13"/>
  <c r="BL1490" i="13"/>
  <c r="BM1490" i="13"/>
  <c r="BN1490" i="13"/>
  <c r="BO1490" i="13"/>
  <c r="BP1490" i="13"/>
  <c r="BQ1490" i="13"/>
  <c r="BR1490" i="13"/>
  <c r="BS1490" i="13"/>
  <c r="BT1490" i="13"/>
  <c r="BU1490" i="13"/>
  <c r="BV1490" i="13"/>
  <c r="BW1490" i="13"/>
  <c r="BX1490" i="13"/>
  <c r="BY1490" i="13"/>
  <c r="BZ1490" i="13"/>
  <c r="CA1490" i="13"/>
  <c r="CB1490" i="13"/>
  <c r="CC1490" i="13"/>
  <c r="CD1490" i="13"/>
  <c r="CE1490" i="13"/>
  <c r="CF1490" i="13"/>
  <c r="CG1490" i="13"/>
  <c r="CH1490" i="13"/>
  <c r="CJ1490" i="13"/>
  <c r="CO1490" i="13"/>
  <c r="CP1490" i="13"/>
  <c r="I1490" i="13"/>
  <c r="AX1489" i="13"/>
  <c r="AX1490" i="13" s="1"/>
  <c r="AY677" i="13"/>
  <c r="AZ677" i="13"/>
  <c r="AX677" i="13"/>
  <c r="AZ676" i="13"/>
  <c r="AY676" i="13"/>
  <c r="AZ675" i="13"/>
  <c r="AY675" i="13"/>
  <c r="AZ674" i="13"/>
  <c r="AY674" i="13"/>
  <c r="AZ673" i="13"/>
  <c r="AY673" i="13"/>
  <c r="AZ672" i="13"/>
  <c r="AY672" i="13"/>
  <c r="AZ671" i="13"/>
  <c r="AY671" i="13"/>
  <c r="V1488" i="13"/>
  <c r="W1488" i="13"/>
  <c r="X1488" i="13"/>
  <c r="Y1488" i="13"/>
  <c r="Z1488" i="13"/>
  <c r="AB1488" i="13"/>
  <c r="AC1488" i="13"/>
  <c r="AD1488" i="13"/>
  <c r="AE1488" i="13"/>
  <c r="AF1488" i="13"/>
  <c r="AH1488" i="13"/>
  <c r="AI1488" i="13"/>
  <c r="AJ1488" i="13"/>
  <c r="AK1488" i="13"/>
  <c r="AL1488" i="13"/>
  <c r="AM1488" i="13"/>
  <c r="AN1488" i="13"/>
  <c r="AO1488" i="13"/>
  <c r="AP1488" i="13"/>
  <c r="AQ1488" i="13"/>
  <c r="AR1488" i="13"/>
  <c r="AS1488" i="13"/>
  <c r="AT1488" i="13"/>
  <c r="AU1488" i="13"/>
  <c r="AW1488" i="13"/>
  <c r="AX1488" i="13"/>
  <c r="AY1488" i="13"/>
  <c r="AZ1488" i="13"/>
  <c r="BA1488" i="13"/>
  <c r="BC1488" i="13"/>
  <c r="BD1488" i="13"/>
  <c r="BE1488" i="13"/>
  <c r="BF1488" i="13"/>
  <c r="BH1488" i="13"/>
  <c r="BI1488" i="13"/>
  <c r="BJ1488" i="13"/>
  <c r="BL1488" i="13"/>
  <c r="BM1488" i="13"/>
  <c r="BN1488" i="13"/>
  <c r="BO1488" i="13"/>
  <c r="BP1488" i="13"/>
  <c r="BQ1488" i="13"/>
  <c r="BR1488" i="13"/>
  <c r="BS1488" i="13"/>
  <c r="BT1488" i="13"/>
  <c r="BU1488" i="13"/>
  <c r="BV1488" i="13"/>
  <c r="BW1488" i="13"/>
  <c r="BX1488" i="13"/>
  <c r="BY1488" i="13"/>
  <c r="BZ1488" i="13"/>
  <c r="CA1488" i="13"/>
  <c r="CB1488" i="13"/>
  <c r="CC1488" i="13"/>
  <c r="CD1488" i="13"/>
  <c r="CE1488" i="13"/>
  <c r="CF1488" i="13"/>
  <c r="CG1488" i="13"/>
  <c r="CH1488" i="13"/>
  <c r="CJ1488" i="13"/>
  <c r="CO1488" i="13"/>
  <c r="CP1488" i="13"/>
  <c r="CQ1488" i="13"/>
  <c r="CR1488" i="13"/>
  <c r="U1488" i="13"/>
  <c r="AX1372" i="13"/>
  <c r="AV1654" i="13" l="1"/>
  <c r="AV1655" i="13" s="1"/>
  <c r="CK1490" i="13"/>
  <c r="AV1490" i="13"/>
  <c r="CK672" i="13"/>
  <c r="CL672" i="13" s="1"/>
  <c r="CK674" i="13"/>
  <c r="CL674" i="13" s="1"/>
  <c r="CK695" i="13"/>
  <c r="CL695" i="13" s="1"/>
  <c r="CK676" i="13"/>
  <c r="CL676" i="13" s="1"/>
  <c r="CK712" i="13"/>
  <c r="CL712" i="13" s="1"/>
  <c r="CK714" i="13"/>
  <c r="CL714" i="13" s="1"/>
  <c r="CK707" i="13"/>
  <c r="CL707" i="13" s="1"/>
  <c r="CK705" i="13"/>
  <c r="CL705" i="13" s="1"/>
  <c r="CK706" i="13"/>
  <c r="CL706" i="13" s="1"/>
  <c r="CK701" i="13"/>
  <c r="CL701" i="13" s="1"/>
  <c r="CK697" i="13"/>
  <c r="CL697" i="13" s="1"/>
  <c r="CK693" i="13"/>
  <c r="CL693" i="13" s="1"/>
  <c r="CK692" i="13"/>
  <c r="CL692" i="13" s="1"/>
  <c r="CK679" i="13"/>
  <c r="CL679" i="13" s="1"/>
  <c r="CK682" i="13"/>
  <c r="CL682" i="13" s="1"/>
  <c r="CK684" i="13"/>
  <c r="CL684" i="13" s="1"/>
  <c r="CK687" i="13"/>
  <c r="CL687" i="13" s="1"/>
  <c r="CK708" i="13"/>
  <c r="CL708" i="13" s="1"/>
  <c r="CK709" i="13"/>
  <c r="CL709" i="13" s="1"/>
  <c r="CK696" i="13"/>
  <c r="CL696" i="13" s="1"/>
  <c r="CK691" i="13"/>
  <c r="CL691" i="13" s="1"/>
  <c r="AZ721" i="13"/>
  <c r="CK710" i="13"/>
  <c r="CL710" i="13" s="1"/>
  <c r="CK711" i="13"/>
  <c r="CL711" i="13" s="1"/>
  <c r="CK715" i="13"/>
  <c r="CL715" i="13" s="1"/>
  <c r="CK718" i="13"/>
  <c r="CL718" i="13" s="1"/>
  <c r="CK719" i="13"/>
  <c r="CL719" i="13" s="1"/>
  <c r="CK700" i="13"/>
  <c r="CL700" i="13" s="1"/>
  <c r="CK699" i="13"/>
  <c r="CL699" i="13" s="1"/>
  <c r="CK703" i="13"/>
  <c r="CL703" i="13" s="1"/>
  <c r="CK698" i="13"/>
  <c r="CL698" i="13" s="1"/>
  <c r="CK689" i="13"/>
  <c r="CL689" i="13" s="1"/>
  <c r="CK690" i="13"/>
  <c r="CL690" i="13" s="1"/>
  <c r="CK683" i="13"/>
  <c r="CL683" i="13" s="1"/>
  <c r="AY721" i="13"/>
  <c r="CK688" i="13"/>
  <c r="CL688" i="13" s="1"/>
  <c r="CK716" i="13"/>
  <c r="CL716" i="13" s="1"/>
  <c r="CK720" i="13"/>
  <c r="CL720" i="13" s="1"/>
  <c r="CK704" i="13"/>
  <c r="CL704" i="13" s="1"/>
  <c r="CK694" i="13"/>
  <c r="CL694" i="13" s="1"/>
  <c r="CK681" i="13"/>
  <c r="CL681" i="13" s="1"/>
  <c r="CL717" i="13"/>
  <c r="CK673" i="13"/>
  <c r="CL673" i="13" s="1"/>
  <c r="CK675" i="13"/>
  <c r="CL675" i="13" s="1"/>
  <c r="AX721" i="13"/>
  <c r="CK713" i="13"/>
  <c r="CL713" i="13" s="1"/>
  <c r="BA721" i="13"/>
  <c r="CK702" i="13"/>
  <c r="CL702" i="13" s="1"/>
  <c r="CK685" i="13"/>
  <c r="CL685" i="13" s="1"/>
  <c r="CK678" i="13"/>
  <c r="CL678" i="13" s="1"/>
  <c r="CK686" i="13"/>
  <c r="CL686" i="13" s="1"/>
  <c r="CK677" i="13"/>
  <c r="CL677" i="13" s="1"/>
  <c r="CK680" i="13"/>
  <c r="CL680" i="13" s="1"/>
  <c r="AV1487" i="13"/>
  <c r="AV1488" i="13" s="1"/>
  <c r="AV1489" i="13"/>
  <c r="CM1480" i="13"/>
  <c r="CN1480" i="13"/>
  <c r="CM1481" i="13"/>
  <c r="CN1481" i="13"/>
  <c r="CM1482" i="13"/>
  <c r="CN1482" i="13"/>
  <c r="CM1483" i="13"/>
  <c r="CN1483" i="13"/>
  <c r="CM1484" i="13"/>
  <c r="CN1484" i="13"/>
  <c r="CM1485" i="13"/>
  <c r="CN1485" i="13"/>
  <c r="CK1487" i="13"/>
  <c r="CK1488" i="13" s="1"/>
  <c r="CM1487" i="13"/>
  <c r="CN1487" i="13"/>
  <c r="CN1488" i="13" s="1"/>
  <c r="CK1489" i="13"/>
  <c r="CM1489" i="13"/>
  <c r="CN1489" i="13"/>
  <c r="J1486" i="13"/>
  <c r="K1486" i="13"/>
  <c r="L1486" i="13"/>
  <c r="M1486" i="13"/>
  <c r="N1486" i="13"/>
  <c r="O1486" i="13"/>
  <c r="P1486" i="13"/>
  <c r="Q1486" i="13"/>
  <c r="R1486" i="13"/>
  <c r="S1486" i="13"/>
  <c r="T1486" i="13"/>
  <c r="U1486" i="13"/>
  <c r="V1486" i="13"/>
  <c r="W1486" i="13"/>
  <c r="X1486" i="13"/>
  <c r="Y1486" i="13"/>
  <c r="Z1486" i="13"/>
  <c r="AB1486" i="13"/>
  <c r="AC1486" i="13"/>
  <c r="AD1486" i="13"/>
  <c r="AE1486" i="13"/>
  <c r="AF1486" i="13"/>
  <c r="AH1486" i="13"/>
  <c r="AI1486" i="13"/>
  <c r="AJ1486" i="13"/>
  <c r="AK1486" i="13"/>
  <c r="AL1486" i="13"/>
  <c r="AM1486" i="13"/>
  <c r="AN1486" i="13"/>
  <c r="AO1486" i="13"/>
  <c r="AP1486" i="13"/>
  <c r="AQ1486" i="13"/>
  <c r="AR1486" i="13"/>
  <c r="AS1486" i="13"/>
  <c r="AT1486" i="13"/>
  <c r="AU1486" i="13"/>
  <c r="AW1486" i="13"/>
  <c r="AZ1486" i="13"/>
  <c r="BA1486" i="13"/>
  <c r="BC1486" i="13"/>
  <c r="BD1486" i="13"/>
  <c r="BE1486" i="13"/>
  <c r="BF1486" i="13"/>
  <c r="BH1486" i="13"/>
  <c r="BI1486" i="13"/>
  <c r="BJ1486" i="13"/>
  <c r="BL1486" i="13"/>
  <c r="BM1486" i="13"/>
  <c r="BN1486" i="13"/>
  <c r="BO1486" i="13"/>
  <c r="BP1486" i="13"/>
  <c r="BQ1486" i="13"/>
  <c r="BR1486" i="13"/>
  <c r="BS1486" i="13"/>
  <c r="BT1486" i="13"/>
  <c r="BU1486" i="13"/>
  <c r="BV1486" i="13"/>
  <c r="BW1486" i="13"/>
  <c r="BX1486" i="13"/>
  <c r="BY1486" i="13"/>
  <c r="BZ1486" i="13"/>
  <c r="CA1486" i="13"/>
  <c r="CB1486" i="13"/>
  <c r="CC1486" i="13"/>
  <c r="CD1486" i="13"/>
  <c r="CE1486" i="13"/>
  <c r="CF1486" i="13"/>
  <c r="CG1486" i="13"/>
  <c r="CH1486" i="13"/>
  <c r="CJ1486" i="13"/>
  <c r="CO1486" i="13"/>
  <c r="CP1486" i="13"/>
  <c r="I1486" i="13"/>
  <c r="AX1484" i="13"/>
  <c r="CK1484" i="13" s="1"/>
  <c r="G1484" i="13"/>
  <c r="AX1480" i="13"/>
  <c r="CK1480" i="13" s="1"/>
  <c r="G1480" i="13"/>
  <c r="AX1483" i="13"/>
  <c r="CK1483" i="13" s="1"/>
  <c r="G1485" i="13"/>
  <c r="AX1485" i="13"/>
  <c r="CK1485" i="13" s="1"/>
  <c r="AX1482" i="13"/>
  <c r="CK1482" i="13" s="1"/>
  <c r="AX1481" i="13"/>
  <c r="CK1481" i="13" s="1"/>
  <c r="CK1464" i="13"/>
  <c r="CM1464" i="13"/>
  <c r="CN1464" i="13"/>
  <c r="CM1465" i="13"/>
  <c r="CN1465" i="13"/>
  <c r="CK1466" i="13"/>
  <c r="CM1466" i="13"/>
  <c r="CN1466" i="13"/>
  <c r="CK1467" i="13"/>
  <c r="CM1467" i="13"/>
  <c r="CN1467" i="13"/>
  <c r="CK1468" i="13"/>
  <c r="CM1468" i="13"/>
  <c r="CN1468" i="13"/>
  <c r="CK1469" i="13"/>
  <c r="CM1469" i="13"/>
  <c r="CN1469" i="13"/>
  <c r="CK1470" i="13"/>
  <c r="CM1470" i="13"/>
  <c r="CN1470" i="13"/>
  <c r="CK1471" i="13"/>
  <c r="CM1471" i="13"/>
  <c r="CN1471" i="13"/>
  <c r="CK1472" i="13"/>
  <c r="CM1472" i="13"/>
  <c r="CN1472" i="13"/>
  <c r="CK1473" i="13"/>
  <c r="CM1473" i="13"/>
  <c r="CN1473" i="13"/>
  <c r="CK1474" i="13"/>
  <c r="CM1474" i="13"/>
  <c r="CN1474" i="13"/>
  <c r="CK1475" i="13"/>
  <c r="CM1475" i="13"/>
  <c r="CN1475" i="13"/>
  <c r="CK1476" i="13"/>
  <c r="CM1476" i="13"/>
  <c r="CN1476" i="13"/>
  <c r="CM1477" i="13"/>
  <c r="CN1477" i="13"/>
  <c r="CK1478" i="13"/>
  <c r="CM1478" i="13"/>
  <c r="CN1478" i="13"/>
  <c r="CK1479" i="13"/>
  <c r="CM1479" i="13"/>
  <c r="CN1479" i="13"/>
  <c r="AV1464" i="13"/>
  <c r="AV1465" i="13"/>
  <c r="AV1466" i="13"/>
  <c r="AV1467" i="13"/>
  <c r="AV1468" i="13"/>
  <c r="AV1469" i="13"/>
  <c r="AV1470" i="13"/>
  <c r="AV1471" i="13"/>
  <c r="AV1472" i="13"/>
  <c r="AV1473" i="13"/>
  <c r="AV1474" i="13"/>
  <c r="AV1475" i="13"/>
  <c r="AV1476" i="13"/>
  <c r="AV1477" i="13"/>
  <c r="AV1478" i="13"/>
  <c r="AV1479" i="13"/>
  <c r="AV1480" i="13"/>
  <c r="AV1481" i="13"/>
  <c r="AV1482" i="13"/>
  <c r="AV1483" i="13"/>
  <c r="AV1484" i="13"/>
  <c r="AV1485" i="13"/>
  <c r="AX1477" i="13"/>
  <c r="CK1477" i="13" s="1"/>
  <c r="AX1465" i="13"/>
  <c r="AY1465" i="13" s="1"/>
  <c r="J1180" i="13"/>
  <c r="K1180" i="13"/>
  <c r="L1180" i="13"/>
  <c r="M1180" i="13"/>
  <c r="N1180" i="13"/>
  <c r="O1180" i="13"/>
  <c r="P1180" i="13"/>
  <c r="Q1180" i="13"/>
  <c r="R1180" i="13"/>
  <c r="S1180" i="13"/>
  <c r="T1180" i="13"/>
  <c r="U1180" i="13"/>
  <c r="V1180" i="13"/>
  <c r="W1180" i="13"/>
  <c r="X1180" i="13"/>
  <c r="Y1180" i="13"/>
  <c r="Z1180" i="13"/>
  <c r="AB1180" i="13"/>
  <c r="AC1180" i="13"/>
  <c r="AD1180" i="13"/>
  <c r="AE1180" i="13"/>
  <c r="AF1180" i="13"/>
  <c r="AH1180" i="13"/>
  <c r="AI1180" i="13"/>
  <c r="AJ1180" i="13"/>
  <c r="AK1180" i="13"/>
  <c r="AL1180" i="13"/>
  <c r="AM1180" i="13"/>
  <c r="AN1180" i="13"/>
  <c r="AO1180" i="13"/>
  <c r="AP1180" i="13"/>
  <c r="AQ1180" i="13"/>
  <c r="AR1180" i="13"/>
  <c r="AS1180" i="13"/>
  <c r="AT1180" i="13"/>
  <c r="AU1180" i="13"/>
  <c r="AW1180" i="13"/>
  <c r="BA1180" i="13"/>
  <c r="BC1180" i="13"/>
  <c r="BD1180" i="13"/>
  <c r="BE1180" i="13"/>
  <c r="BF1180" i="13"/>
  <c r="BH1180" i="13"/>
  <c r="BI1180" i="13"/>
  <c r="BJ1180" i="13"/>
  <c r="BL1180" i="13"/>
  <c r="BM1180" i="13"/>
  <c r="BN1180" i="13"/>
  <c r="BP1180" i="13"/>
  <c r="BQ1180" i="13"/>
  <c r="BR1180" i="13"/>
  <c r="BS1180" i="13"/>
  <c r="BT1180" i="13"/>
  <c r="BU1180" i="13"/>
  <c r="BV1180" i="13"/>
  <c r="BW1180" i="13"/>
  <c r="BX1180" i="13"/>
  <c r="BY1180" i="13"/>
  <c r="BZ1180" i="13"/>
  <c r="CA1180" i="13"/>
  <c r="CB1180" i="13"/>
  <c r="CC1180" i="13"/>
  <c r="CD1180" i="13"/>
  <c r="CE1180" i="13"/>
  <c r="CF1180" i="13"/>
  <c r="CG1180" i="13"/>
  <c r="CH1180" i="13"/>
  <c r="CO1180" i="13"/>
  <c r="CP1180" i="13"/>
  <c r="CQ1180" i="13"/>
  <c r="CR1180" i="13"/>
  <c r="I1180" i="13"/>
  <c r="CK1178" i="13"/>
  <c r="CM1178" i="13"/>
  <c r="CN1178" i="13"/>
  <c r="CK1179" i="13"/>
  <c r="CM1179" i="13"/>
  <c r="CN1179" i="13"/>
  <c r="CK1181" i="13"/>
  <c r="CM1181" i="13"/>
  <c r="CN1181" i="13"/>
  <c r="CK1182" i="13"/>
  <c r="CM1182" i="13"/>
  <c r="CN1182" i="13"/>
  <c r="CK1183" i="13"/>
  <c r="CM1183" i="13"/>
  <c r="CN1183" i="13"/>
  <c r="CK1184" i="13"/>
  <c r="CM1184" i="13"/>
  <c r="CN1184" i="13"/>
  <c r="CK1185" i="13"/>
  <c r="CM1185" i="13"/>
  <c r="CN1185" i="13"/>
  <c r="CK1186" i="13"/>
  <c r="CM1186" i="13"/>
  <c r="CN1186" i="13"/>
  <c r="CK1187" i="13"/>
  <c r="CM1187" i="13"/>
  <c r="CN1187" i="13"/>
  <c r="CK1188" i="13"/>
  <c r="CM1188" i="13"/>
  <c r="CN1188" i="13"/>
  <c r="CK1189" i="13"/>
  <c r="CM1189" i="13"/>
  <c r="CN1189" i="13"/>
  <c r="CK1190" i="13"/>
  <c r="CM1190" i="13"/>
  <c r="CN1190" i="13"/>
  <c r="CK1191" i="13"/>
  <c r="CM1191" i="13"/>
  <c r="CN1191" i="13"/>
  <c r="CK1192" i="13"/>
  <c r="CM1192" i="13"/>
  <c r="CN1192" i="13"/>
  <c r="CK1193" i="13"/>
  <c r="CM1193" i="13"/>
  <c r="CN1193" i="13"/>
  <c r="CK1194" i="13"/>
  <c r="CM1194" i="13"/>
  <c r="CN1194" i="13"/>
  <c r="CK1195" i="13"/>
  <c r="CM1195" i="13"/>
  <c r="CN1195" i="13"/>
  <c r="CK1196" i="13"/>
  <c r="CM1196" i="13"/>
  <c r="CN1196" i="13"/>
  <c r="CK1197" i="13"/>
  <c r="CM1197" i="13"/>
  <c r="CN1197" i="13"/>
  <c r="CK1198" i="13"/>
  <c r="CM1198" i="13"/>
  <c r="CN1198" i="13"/>
  <c r="CK1199" i="13"/>
  <c r="CM1199" i="13"/>
  <c r="CN1199" i="13"/>
  <c r="CK1200" i="13"/>
  <c r="CM1200" i="13"/>
  <c r="CN1200" i="13"/>
  <c r="CK1201" i="13"/>
  <c r="CM1201" i="13"/>
  <c r="CN1201" i="13"/>
  <c r="CK1203" i="13"/>
  <c r="CM1203" i="13"/>
  <c r="CN1203" i="13"/>
  <c r="CK1204" i="13"/>
  <c r="CM1204" i="13"/>
  <c r="CN1204" i="13"/>
  <c r="CK1205" i="13"/>
  <c r="CM1205" i="13"/>
  <c r="CN1205" i="13"/>
  <c r="CK1206" i="13"/>
  <c r="CM1206" i="13"/>
  <c r="CN1206" i="13"/>
  <c r="CK1207" i="13"/>
  <c r="CM1207" i="13"/>
  <c r="CN1207" i="13"/>
  <c r="CK1208" i="13"/>
  <c r="CM1208" i="13"/>
  <c r="CN1208" i="13"/>
  <c r="CK1209" i="13"/>
  <c r="CM1209" i="13"/>
  <c r="CN1209" i="13"/>
  <c r="CK1210" i="13"/>
  <c r="CM1210" i="13"/>
  <c r="CN1210" i="13"/>
  <c r="CK1211" i="13"/>
  <c r="CM1211" i="13"/>
  <c r="CN1211" i="13"/>
  <c r="CK1212" i="13"/>
  <c r="CM1212" i="13"/>
  <c r="CN1212" i="13"/>
  <c r="CK1213" i="13"/>
  <c r="CM1213" i="13"/>
  <c r="CN1213" i="13"/>
  <c r="CK1214" i="13"/>
  <c r="CM1214" i="13"/>
  <c r="CN1214" i="13"/>
  <c r="CK1215" i="13"/>
  <c r="CM1215" i="13"/>
  <c r="CN1215" i="13"/>
  <c r="CK1216" i="13"/>
  <c r="CM1216" i="13"/>
  <c r="CN1216" i="13"/>
  <c r="CK1217" i="13"/>
  <c r="CM1217" i="13"/>
  <c r="CN1217" i="13"/>
  <c r="CK1218" i="13"/>
  <c r="CM1218" i="13"/>
  <c r="CN1218" i="13"/>
  <c r="CK1219" i="13"/>
  <c r="CM1219" i="13"/>
  <c r="CN1219" i="13"/>
  <c r="CK1220" i="13"/>
  <c r="CM1220" i="13"/>
  <c r="CN1220" i="13"/>
  <c r="CM1221" i="13"/>
  <c r="CN1221" i="13"/>
  <c r="CM1222" i="13"/>
  <c r="CN1222" i="13"/>
  <c r="CK1223" i="13"/>
  <c r="CM1223" i="13"/>
  <c r="CN1223" i="13"/>
  <c r="CM1224" i="13"/>
  <c r="CN1224" i="13"/>
  <c r="CK1225" i="13"/>
  <c r="CM1225" i="13"/>
  <c r="CN1225" i="13"/>
  <c r="CK1226" i="13"/>
  <c r="CM1226" i="13"/>
  <c r="CN1226" i="13"/>
  <c r="CK1227" i="13"/>
  <c r="CM1227" i="13"/>
  <c r="CN1227" i="13"/>
  <c r="CM1228" i="13"/>
  <c r="CN1228" i="13"/>
  <c r="CK1229" i="13"/>
  <c r="CM1229" i="13"/>
  <c r="CN1229" i="13"/>
  <c r="CK1230" i="13"/>
  <c r="CM1230" i="13"/>
  <c r="CN1230" i="13"/>
  <c r="CM1231" i="13"/>
  <c r="CN1231" i="13"/>
  <c r="CK1232" i="13"/>
  <c r="CM1232" i="13"/>
  <c r="CN1232" i="13"/>
  <c r="CK1233" i="13"/>
  <c r="CM1233" i="13"/>
  <c r="CN1233" i="13"/>
  <c r="CK1234" i="13"/>
  <c r="CM1234" i="13"/>
  <c r="CN1234" i="13"/>
  <c r="CK1235" i="13"/>
  <c r="CM1235" i="13"/>
  <c r="CN1235" i="13"/>
  <c r="CK1236" i="13"/>
  <c r="CM1236" i="13"/>
  <c r="CN1236" i="13"/>
  <c r="CK1237" i="13"/>
  <c r="CM1237" i="13"/>
  <c r="CN1237" i="13"/>
  <c r="CM1238" i="13"/>
  <c r="CN1238" i="13"/>
  <c r="CK1239" i="13"/>
  <c r="CM1239" i="13"/>
  <c r="CN1239" i="13"/>
  <c r="CM1240" i="13"/>
  <c r="CN1240" i="13"/>
  <c r="CM1241" i="13"/>
  <c r="CN1241" i="13"/>
  <c r="CM1242" i="13"/>
  <c r="CN1242" i="13"/>
  <c r="CM1243" i="13"/>
  <c r="CN1243" i="13"/>
  <c r="CK1244" i="13"/>
  <c r="CM1244" i="13"/>
  <c r="CN1244" i="13"/>
  <c r="CM1245" i="13"/>
  <c r="CN1245" i="13"/>
  <c r="CM1246" i="13"/>
  <c r="CN1246" i="13"/>
  <c r="CM1247" i="13"/>
  <c r="CN1247" i="13"/>
  <c r="CM1248" i="13"/>
  <c r="CN1248" i="13"/>
  <c r="CK1249" i="13"/>
  <c r="CM1249" i="13"/>
  <c r="CN1249" i="13"/>
  <c r="CM1250" i="13"/>
  <c r="CN1250" i="13"/>
  <c r="CK1251" i="13"/>
  <c r="CM1251" i="13"/>
  <c r="CN1251" i="13"/>
  <c r="CK1252" i="13"/>
  <c r="CM1252" i="13"/>
  <c r="CN1252" i="13"/>
  <c r="CK1253" i="13"/>
  <c r="CM1253" i="13"/>
  <c r="CN1253" i="13"/>
  <c r="CK1254" i="13"/>
  <c r="CM1254" i="13"/>
  <c r="CN1254" i="13"/>
  <c r="CM1255" i="13"/>
  <c r="CN1255" i="13"/>
  <c r="CK1256" i="13"/>
  <c r="CM1256" i="13"/>
  <c r="CN1256" i="13"/>
  <c r="CK1257" i="13"/>
  <c r="CM1257" i="13"/>
  <c r="CN1257" i="13"/>
  <c r="CK1258" i="13"/>
  <c r="CM1258" i="13"/>
  <c r="CN1258" i="13"/>
  <c r="CK1259" i="13"/>
  <c r="CM1259" i="13"/>
  <c r="CN1259" i="13"/>
  <c r="CK1260" i="13"/>
  <c r="CM1260" i="13"/>
  <c r="CN1260" i="13"/>
  <c r="CK1261" i="13"/>
  <c r="CM1261" i="13"/>
  <c r="CN1261" i="13"/>
  <c r="CK1262" i="13"/>
  <c r="CM1262" i="13"/>
  <c r="CN1262" i="13"/>
  <c r="CK1263" i="13"/>
  <c r="CM1263" i="13"/>
  <c r="CN1263" i="13"/>
  <c r="CK1264" i="13"/>
  <c r="CM1264" i="13"/>
  <c r="CN1264" i="13"/>
  <c r="CK1265" i="13"/>
  <c r="CM1265" i="13"/>
  <c r="CN1265" i="13"/>
  <c r="CK1266" i="13"/>
  <c r="CM1266" i="13"/>
  <c r="CN1266" i="13"/>
  <c r="CK1267" i="13"/>
  <c r="CM1267" i="13"/>
  <c r="CN1267" i="13"/>
  <c r="CK1268" i="13"/>
  <c r="CM1268" i="13"/>
  <c r="CN1268" i="13"/>
  <c r="CK1269" i="13"/>
  <c r="CM1269" i="13"/>
  <c r="CN1269" i="13"/>
  <c r="CK1270" i="13"/>
  <c r="CM1270" i="13"/>
  <c r="CN1270" i="13"/>
  <c r="CK1271" i="13"/>
  <c r="CM1271" i="13"/>
  <c r="CN1271" i="13"/>
  <c r="CK1272" i="13"/>
  <c r="CM1272" i="13"/>
  <c r="CN1272" i="13"/>
  <c r="CK1273" i="13"/>
  <c r="CM1273" i="13"/>
  <c r="CN1273" i="13"/>
  <c r="CK1274" i="13"/>
  <c r="CM1274" i="13"/>
  <c r="CN1274" i="13"/>
  <c r="CK1275" i="13"/>
  <c r="CM1275" i="13"/>
  <c r="CN1275" i="13"/>
  <c r="CM1276" i="13"/>
  <c r="CN1276" i="13"/>
  <c r="CK1277" i="13"/>
  <c r="CM1277" i="13"/>
  <c r="CN1277" i="13"/>
  <c r="CK1278" i="13"/>
  <c r="CM1278" i="13"/>
  <c r="CN1278" i="13"/>
  <c r="CK1279" i="13"/>
  <c r="CM1279" i="13"/>
  <c r="CN1279" i="13"/>
  <c r="CK1280" i="13"/>
  <c r="CM1280" i="13"/>
  <c r="CN1280" i="13"/>
  <c r="CK1281" i="13"/>
  <c r="CM1281" i="13"/>
  <c r="CN1281" i="13"/>
  <c r="CK1282" i="13"/>
  <c r="CM1282" i="13"/>
  <c r="CN1282" i="13"/>
  <c r="CK1283" i="13"/>
  <c r="CM1283" i="13"/>
  <c r="CN1283" i="13"/>
  <c r="CK1284" i="13"/>
  <c r="CM1284" i="13"/>
  <c r="CN1284" i="13"/>
  <c r="CK1285" i="13"/>
  <c r="CM1285" i="13"/>
  <c r="CN1285" i="13"/>
  <c r="CM1286" i="13"/>
  <c r="CN1286" i="13"/>
  <c r="CM1287" i="13"/>
  <c r="CN1287" i="13"/>
  <c r="CK1288" i="13"/>
  <c r="CM1288" i="13"/>
  <c r="CN1288" i="13"/>
  <c r="CK1289" i="13"/>
  <c r="CM1289" i="13"/>
  <c r="CN1289" i="13"/>
  <c r="CK1290" i="13"/>
  <c r="CM1290" i="13"/>
  <c r="CN1290" i="13"/>
  <c r="CK1291" i="13"/>
  <c r="CM1291" i="13"/>
  <c r="CN1291" i="13"/>
  <c r="CK1292" i="13"/>
  <c r="CM1292" i="13"/>
  <c r="CN1292" i="13"/>
  <c r="CK1293" i="13"/>
  <c r="CM1293" i="13"/>
  <c r="CN1293" i="13"/>
  <c r="CK1294" i="13"/>
  <c r="CM1294" i="13"/>
  <c r="CN1294" i="13"/>
  <c r="CK1295" i="13"/>
  <c r="CM1295" i="13"/>
  <c r="CN1295" i="13"/>
  <c r="CK1296" i="13"/>
  <c r="CM1296" i="13"/>
  <c r="CN1296" i="13"/>
  <c r="CK1297" i="13"/>
  <c r="CM1297" i="13"/>
  <c r="CN1297" i="13"/>
  <c r="CK1298" i="13"/>
  <c r="CM1298" i="13"/>
  <c r="CN1298" i="13"/>
  <c r="CK1299" i="13"/>
  <c r="CM1299" i="13"/>
  <c r="CN1299" i="13"/>
  <c r="CK1300" i="13"/>
  <c r="CM1300" i="13"/>
  <c r="CN1300" i="13"/>
  <c r="CK1301" i="13"/>
  <c r="CM1301" i="13"/>
  <c r="CN1301" i="13"/>
  <c r="CK1302" i="13"/>
  <c r="CM1302" i="13"/>
  <c r="CN1302" i="13"/>
  <c r="CK1303" i="13"/>
  <c r="CM1303" i="13"/>
  <c r="CN1303" i="13"/>
  <c r="CK1304" i="13"/>
  <c r="CM1304" i="13"/>
  <c r="CN1304" i="13"/>
  <c r="CK1305" i="13"/>
  <c r="CM1305" i="13"/>
  <c r="CN1305" i="13"/>
  <c r="CK1306" i="13"/>
  <c r="CM1306" i="13"/>
  <c r="CN1306" i="13"/>
  <c r="CK1307" i="13"/>
  <c r="CM1307" i="13"/>
  <c r="CN1307" i="13"/>
  <c r="CK1308" i="13"/>
  <c r="CM1308" i="13"/>
  <c r="CN1308" i="13"/>
  <c r="CK1309" i="13"/>
  <c r="CM1309" i="13"/>
  <c r="CN1309" i="13"/>
  <c r="CK1310" i="13"/>
  <c r="CM1310" i="13"/>
  <c r="CN1310" i="13"/>
  <c r="CM1311" i="13"/>
  <c r="CN1311" i="13"/>
  <c r="CM1312" i="13"/>
  <c r="CN1312" i="13"/>
  <c r="CM1313" i="13"/>
  <c r="CN1313" i="13"/>
  <c r="CK1314" i="13"/>
  <c r="CM1314" i="13"/>
  <c r="CN1314" i="13"/>
  <c r="CK1315" i="13"/>
  <c r="CM1315" i="13"/>
  <c r="CN1315" i="13"/>
  <c r="CK1316" i="13"/>
  <c r="CM1316" i="13"/>
  <c r="CN1316" i="13"/>
  <c r="CK1317" i="13"/>
  <c r="CM1317" i="13"/>
  <c r="CN1317" i="13"/>
  <c r="CK1318" i="13"/>
  <c r="CM1318" i="13"/>
  <c r="CN1318" i="13"/>
  <c r="CK1319" i="13"/>
  <c r="CM1319" i="13"/>
  <c r="CN1319" i="13"/>
  <c r="CK1320" i="13"/>
  <c r="CM1320" i="13"/>
  <c r="CN1320" i="13"/>
  <c r="CK1321" i="13"/>
  <c r="CM1321" i="13"/>
  <c r="CN1321" i="13"/>
  <c r="CK1322" i="13"/>
  <c r="CM1322" i="13"/>
  <c r="CN1322" i="13"/>
  <c r="CK1323" i="13"/>
  <c r="CM1323" i="13"/>
  <c r="CN1323" i="13"/>
  <c r="CK1324" i="13"/>
  <c r="CM1324" i="13"/>
  <c r="CN1324" i="13"/>
  <c r="CK1325" i="13"/>
  <c r="CM1325" i="13"/>
  <c r="CN1325" i="13"/>
  <c r="CK1326" i="13"/>
  <c r="CM1326" i="13"/>
  <c r="CN1326" i="13"/>
  <c r="CK1327" i="13"/>
  <c r="CM1327" i="13"/>
  <c r="CN1327" i="13"/>
  <c r="CK1328" i="13"/>
  <c r="CM1328" i="13"/>
  <c r="CN1328" i="13"/>
  <c r="CK1329" i="13"/>
  <c r="CM1329" i="13"/>
  <c r="CN1329" i="13"/>
  <c r="CK1330" i="13"/>
  <c r="CM1330" i="13"/>
  <c r="CN1330" i="13"/>
  <c r="CK1331" i="13"/>
  <c r="CM1331" i="13"/>
  <c r="CN1331" i="13"/>
  <c r="CK1332" i="13"/>
  <c r="CM1332" i="13"/>
  <c r="CN1332" i="13"/>
  <c r="CK1333" i="13"/>
  <c r="CM1333" i="13"/>
  <c r="CN1333" i="13"/>
  <c r="CK1334" i="13"/>
  <c r="CM1334" i="13"/>
  <c r="CN1334" i="13"/>
  <c r="CK1335" i="13"/>
  <c r="CM1335" i="13"/>
  <c r="CN1335" i="13"/>
  <c r="CK1336" i="13"/>
  <c r="CM1336" i="13"/>
  <c r="CN1336" i="13"/>
  <c r="CK1337" i="13"/>
  <c r="CM1337" i="13"/>
  <c r="CN1337" i="13"/>
  <c r="CK1338" i="13"/>
  <c r="CM1338" i="13"/>
  <c r="CN1338" i="13"/>
  <c r="CK1339" i="13"/>
  <c r="CM1339" i="13"/>
  <c r="CN1339" i="13"/>
  <c r="CK1340" i="13"/>
  <c r="CM1340" i="13"/>
  <c r="CN1340" i="13"/>
  <c r="CK1341" i="13"/>
  <c r="CM1341" i="13"/>
  <c r="CN1341" i="13"/>
  <c r="CK1342" i="13"/>
  <c r="CM1342" i="13"/>
  <c r="CN1342" i="13"/>
  <c r="CK1343" i="13"/>
  <c r="CM1343" i="13"/>
  <c r="CN1343" i="13"/>
  <c r="CK1344" i="13"/>
  <c r="CM1344" i="13"/>
  <c r="CN1344" i="13"/>
  <c r="CK1345" i="13"/>
  <c r="CM1345" i="13"/>
  <c r="CN1345" i="13"/>
  <c r="CK1346" i="13"/>
  <c r="CM1346" i="13"/>
  <c r="CN1346" i="13"/>
  <c r="CK1347" i="13"/>
  <c r="CM1347" i="13"/>
  <c r="CN1347" i="13"/>
  <c r="CK1348" i="13"/>
  <c r="CM1348" i="13"/>
  <c r="CN1348" i="13"/>
  <c r="CK1349" i="13"/>
  <c r="CM1349" i="13"/>
  <c r="CN1349" i="13"/>
  <c r="CK1350" i="13"/>
  <c r="CM1350" i="13"/>
  <c r="CN1350" i="13"/>
  <c r="CK1351" i="13"/>
  <c r="CM1351" i="13"/>
  <c r="CN1351" i="13"/>
  <c r="CK1352" i="13"/>
  <c r="CM1352" i="13"/>
  <c r="CN1352" i="13"/>
  <c r="CK1353" i="13"/>
  <c r="CM1353" i="13"/>
  <c r="CN1353" i="13"/>
  <c r="CK1354" i="13"/>
  <c r="CM1354" i="13"/>
  <c r="CN1354" i="13"/>
  <c r="CK1355" i="13"/>
  <c r="CM1355" i="13"/>
  <c r="CN1355" i="13"/>
  <c r="CK1356" i="13"/>
  <c r="CM1356" i="13"/>
  <c r="CN1356" i="13"/>
  <c r="CK1357" i="13"/>
  <c r="CM1357" i="13"/>
  <c r="CN1357" i="13"/>
  <c r="CK1358" i="13"/>
  <c r="CM1358" i="13"/>
  <c r="CN1358" i="13"/>
  <c r="CK1359" i="13"/>
  <c r="CM1359" i="13"/>
  <c r="CN1359" i="13"/>
  <c r="CK1360" i="13"/>
  <c r="CM1360" i="13"/>
  <c r="CN1360" i="13"/>
  <c r="CK1361" i="13"/>
  <c r="CM1361" i="13"/>
  <c r="CN1361" i="13"/>
  <c r="CK1362" i="13"/>
  <c r="CM1362" i="13"/>
  <c r="CN1362" i="13"/>
  <c r="CK1363" i="13"/>
  <c r="CM1363" i="13"/>
  <c r="CN1363" i="13"/>
  <c r="CK1364" i="13"/>
  <c r="CM1364" i="13"/>
  <c r="CN1364" i="13"/>
  <c r="CK1365" i="13"/>
  <c r="CM1365" i="13"/>
  <c r="CN1365" i="13"/>
  <c r="CK1366" i="13"/>
  <c r="CM1366" i="13"/>
  <c r="CN1366" i="13"/>
  <c r="CK1367" i="13"/>
  <c r="CM1367" i="13"/>
  <c r="CN1367" i="13"/>
  <c r="CK1368" i="13"/>
  <c r="CM1368" i="13"/>
  <c r="CN1368" i="13"/>
  <c r="CK1369" i="13"/>
  <c r="CM1369" i="13"/>
  <c r="CN1369" i="13"/>
  <c r="CK1370" i="13"/>
  <c r="CM1370" i="13"/>
  <c r="CN1370" i="13"/>
  <c r="CK1371" i="13"/>
  <c r="CM1371" i="13"/>
  <c r="CN1371" i="13"/>
  <c r="CK1372" i="13"/>
  <c r="CM1372" i="13"/>
  <c r="CN1372" i="13"/>
  <c r="CK1373" i="13"/>
  <c r="CM1373" i="13"/>
  <c r="CN1373" i="13"/>
  <c r="CK1374" i="13"/>
  <c r="CM1374" i="13"/>
  <c r="CN1374" i="13"/>
  <c r="CK1375" i="13"/>
  <c r="CM1375" i="13"/>
  <c r="CN1375" i="13"/>
  <c r="CK1376" i="13"/>
  <c r="CM1376" i="13"/>
  <c r="CN1376" i="13"/>
  <c r="CK1377" i="13"/>
  <c r="CM1377" i="13"/>
  <c r="CN1377" i="13"/>
  <c r="CK1378" i="13"/>
  <c r="CM1378" i="13"/>
  <c r="CN1378" i="13"/>
  <c r="CK1379" i="13"/>
  <c r="CM1379" i="13"/>
  <c r="CN1379" i="13"/>
  <c r="CK1380" i="13"/>
  <c r="CM1380" i="13"/>
  <c r="CN1380" i="13"/>
  <c r="CK1381" i="13"/>
  <c r="CM1381" i="13"/>
  <c r="CN1381" i="13"/>
  <c r="CM1382" i="13"/>
  <c r="CN1382" i="13"/>
  <c r="CK1383" i="13"/>
  <c r="CM1383" i="13"/>
  <c r="CN1383" i="13"/>
  <c r="CK1384" i="13"/>
  <c r="CM1384" i="13"/>
  <c r="CN1384" i="13"/>
  <c r="CK1385" i="13"/>
  <c r="CM1385" i="13"/>
  <c r="CN1385" i="13"/>
  <c r="CK1386" i="13"/>
  <c r="CM1386" i="13"/>
  <c r="CN1386" i="13"/>
  <c r="CK1387" i="13"/>
  <c r="CM1387" i="13"/>
  <c r="CN1387" i="13"/>
  <c r="CK1388" i="13"/>
  <c r="CM1388" i="13"/>
  <c r="CN1388" i="13"/>
  <c r="CK1389" i="13"/>
  <c r="CM1389" i="13"/>
  <c r="CN1389" i="13"/>
  <c r="CK1390" i="13"/>
  <c r="CM1390" i="13"/>
  <c r="CN1390" i="13"/>
  <c r="CK1391" i="13"/>
  <c r="CM1391" i="13"/>
  <c r="CN1391" i="13"/>
  <c r="CK1392" i="13"/>
  <c r="CM1392" i="13"/>
  <c r="CN1392" i="13"/>
  <c r="CK1393" i="13"/>
  <c r="CM1393" i="13"/>
  <c r="CN1393" i="13"/>
  <c r="CK1394" i="13"/>
  <c r="CM1394" i="13"/>
  <c r="CN1394" i="13"/>
  <c r="CK1395" i="13"/>
  <c r="CM1395" i="13"/>
  <c r="CN1395" i="13"/>
  <c r="CM1396" i="13"/>
  <c r="CN1396" i="13"/>
  <c r="CK1397" i="13"/>
  <c r="CM1397" i="13"/>
  <c r="CN1397" i="13"/>
  <c r="CK1398" i="13"/>
  <c r="CM1398" i="13"/>
  <c r="CN1398" i="13"/>
  <c r="CK1399" i="13"/>
  <c r="CM1399" i="13"/>
  <c r="CN1399" i="13"/>
  <c r="CK1400" i="13"/>
  <c r="CM1400" i="13"/>
  <c r="CN1400" i="13"/>
  <c r="CK1401" i="13"/>
  <c r="CM1401" i="13"/>
  <c r="CN1401" i="13"/>
  <c r="CK1402" i="13"/>
  <c r="CM1402" i="13"/>
  <c r="CN1402" i="13"/>
  <c r="CK1403" i="13"/>
  <c r="CM1403" i="13"/>
  <c r="CN1403" i="13"/>
  <c r="CK1404" i="13"/>
  <c r="CM1404" i="13"/>
  <c r="CN1404" i="13"/>
  <c r="CK1405" i="13"/>
  <c r="CM1405" i="13"/>
  <c r="CN1405" i="13"/>
  <c r="CK1406" i="13"/>
  <c r="CM1406" i="13"/>
  <c r="CN1406" i="13"/>
  <c r="CM1407" i="13"/>
  <c r="CN1407" i="13"/>
  <c r="CK1408" i="13"/>
  <c r="CM1408" i="13"/>
  <c r="CN1408" i="13"/>
  <c r="CK1409" i="13"/>
  <c r="CM1409" i="13"/>
  <c r="CN1409" i="13"/>
  <c r="CK1410" i="13"/>
  <c r="CM1410" i="13"/>
  <c r="CN1410" i="13"/>
  <c r="CK1411" i="13"/>
  <c r="CM1411" i="13"/>
  <c r="CN1411" i="13"/>
  <c r="CK1412" i="13"/>
  <c r="CM1412" i="13"/>
  <c r="CN1412" i="13"/>
  <c r="CK1413" i="13"/>
  <c r="CM1413" i="13"/>
  <c r="CN1413" i="13"/>
  <c r="CK1414" i="13"/>
  <c r="CM1414" i="13"/>
  <c r="CN1414" i="13"/>
  <c r="CK1415" i="13"/>
  <c r="CM1415" i="13"/>
  <c r="CN1415" i="13"/>
  <c r="CK1416" i="13"/>
  <c r="CM1416" i="13"/>
  <c r="CN1416" i="13"/>
  <c r="CK1417" i="13"/>
  <c r="CM1417" i="13"/>
  <c r="CN1417" i="13"/>
  <c r="CK1418" i="13"/>
  <c r="CM1418" i="13"/>
  <c r="CN1418" i="13"/>
  <c r="CK1419" i="13"/>
  <c r="CM1419" i="13"/>
  <c r="CN1419" i="13"/>
  <c r="CK1420" i="13"/>
  <c r="CM1420" i="13"/>
  <c r="CN1420" i="13"/>
  <c r="CK1421" i="13"/>
  <c r="CM1421" i="13"/>
  <c r="CN1421" i="13"/>
  <c r="CK1422" i="13"/>
  <c r="CM1422" i="13"/>
  <c r="CN1422" i="13"/>
  <c r="CM1423" i="13"/>
  <c r="CN1423" i="13"/>
  <c r="CK1424" i="13"/>
  <c r="CM1424" i="13"/>
  <c r="CN1424" i="13"/>
  <c r="CM1425" i="13"/>
  <c r="CN1425" i="13"/>
  <c r="CK1426" i="13"/>
  <c r="CM1426" i="13"/>
  <c r="CN1426" i="13"/>
  <c r="CM1427" i="13"/>
  <c r="CN1427" i="13"/>
  <c r="CK1428" i="13"/>
  <c r="CM1428" i="13"/>
  <c r="CN1428" i="13"/>
  <c r="CK1429" i="13"/>
  <c r="CM1429" i="13"/>
  <c r="CN1429" i="13"/>
  <c r="CK1430" i="13"/>
  <c r="CM1430" i="13"/>
  <c r="CN1430" i="13"/>
  <c r="CK1431" i="13"/>
  <c r="CM1431" i="13"/>
  <c r="CN1431" i="13"/>
  <c r="CK1432" i="13"/>
  <c r="CM1432" i="13"/>
  <c r="CN1432" i="13"/>
  <c r="CK1433" i="13"/>
  <c r="CM1433" i="13"/>
  <c r="CN1433" i="13"/>
  <c r="CK1434" i="13"/>
  <c r="CM1434" i="13"/>
  <c r="CN1434" i="13"/>
  <c r="CK1435" i="13"/>
  <c r="CM1435" i="13"/>
  <c r="CN1435" i="13"/>
  <c r="CK1436" i="13"/>
  <c r="CM1436" i="13"/>
  <c r="CN1436" i="13"/>
  <c r="CK1437" i="13"/>
  <c r="CM1437" i="13"/>
  <c r="CN1437" i="13"/>
  <c r="CK1438" i="13"/>
  <c r="CM1438" i="13"/>
  <c r="CN1438" i="13"/>
  <c r="CK1439" i="13"/>
  <c r="CM1439" i="13"/>
  <c r="CN1439" i="13"/>
  <c r="CK1440" i="13"/>
  <c r="CM1440" i="13"/>
  <c r="CN1440" i="13"/>
  <c r="CK1441" i="13"/>
  <c r="CM1441" i="13"/>
  <c r="CN1441" i="13"/>
  <c r="CK1442" i="13"/>
  <c r="CM1442" i="13"/>
  <c r="CN1442" i="13"/>
  <c r="CK1443" i="13"/>
  <c r="CM1443" i="13"/>
  <c r="CN1443" i="13"/>
  <c r="CK1444" i="13"/>
  <c r="CM1444" i="13"/>
  <c r="CN1444" i="13"/>
  <c r="CK1445" i="13"/>
  <c r="CM1445" i="13"/>
  <c r="CN1445" i="13"/>
  <c r="CK1446" i="13"/>
  <c r="CM1446" i="13"/>
  <c r="CN1446" i="13"/>
  <c r="CK1447" i="13"/>
  <c r="CM1447" i="13"/>
  <c r="CN1447" i="13"/>
  <c r="CK1448" i="13"/>
  <c r="CM1448" i="13"/>
  <c r="CN1448" i="13"/>
  <c r="CK1449" i="13"/>
  <c r="CM1449" i="13"/>
  <c r="CN1449" i="13"/>
  <c r="CK1450" i="13"/>
  <c r="CM1450" i="13"/>
  <c r="CN1450" i="13"/>
  <c r="CK1451" i="13"/>
  <c r="CM1451" i="13"/>
  <c r="CN1451" i="13"/>
  <c r="CK1452" i="13"/>
  <c r="CM1452" i="13"/>
  <c r="CN1452" i="13"/>
  <c r="CK1453" i="13"/>
  <c r="CM1453" i="13"/>
  <c r="CN1453" i="13"/>
  <c r="CK1454" i="13"/>
  <c r="CM1454" i="13"/>
  <c r="CN1454" i="13"/>
  <c r="CK1455" i="13"/>
  <c r="CM1455" i="13"/>
  <c r="CN1455" i="13"/>
  <c r="CK1456" i="13"/>
  <c r="CM1456" i="13"/>
  <c r="CN1456" i="13"/>
  <c r="CK1457" i="13"/>
  <c r="CM1457" i="13"/>
  <c r="CN1457" i="13"/>
  <c r="CK1458" i="13"/>
  <c r="CM1458" i="13"/>
  <c r="CN1458" i="13"/>
  <c r="CK1459" i="13"/>
  <c r="CM1459" i="13"/>
  <c r="CN1459" i="13"/>
  <c r="CK1460" i="13"/>
  <c r="CM1460" i="13"/>
  <c r="CN1460" i="13"/>
  <c r="CM1461" i="13"/>
  <c r="CN1461" i="13"/>
  <c r="CK1462" i="13"/>
  <c r="CM1462" i="13"/>
  <c r="CN1462" i="13"/>
  <c r="CK1463" i="13"/>
  <c r="CM1463" i="13"/>
  <c r="CN1463" i="13"/>
  <c r="AV1178" i="13"/>
  <c r="AV1179" i="13"/>
  <c r="AV1181" i="13"/>
  <c r="AV1182" i="13"/>
  <c r="AV1183" i="13"/>
  <c r="AV1184" i="13"/>
  <c r="AV1185" i="13"/>
  <c r="AV1186" i="13"/>
  <c r="AV1187" i="13"/>
  <c r="AV1188" i="13"/>
  <c r="AV1189" i="13"/>
  <c r="AV1190" i="13"/>
  <c r="AV1191" i="13"/>
  <c r="AV1192" i="13"/>
  <c r="AV1193" i="13"/>
  <c r="AV1194" i="13"/>
  <c r="AV1195" i="13"/>
  <c r="AV1196" i="13"/>
  <c r="AV1197" i="13"/>
  <c r="AV1198" i="13"/>
  <c r="AV1199" i="13"/>
  <c r="AV1200" i="13"/>
  <c r="AV1201" i="13"/>
  <c r="AV1203" i="13"/>
  <c r="AV1204" i="13"/>
  <c r="AV1205" i="13"/>
  <c r="AV1206" i="13"/>
  <c r="AV1207" i="13"/>
  <c r="AV1208" i="13"/>
  <c r="AV1209" i="13"/>
  <c r="AV1210" i="13"/>
  <c r="AV1211" i="13"/>
  <c r="AV1212" i="13"/>
  <c r="AV1213" i="13"/>
  <c r="AV1214" i="13"/>
  <c r="AV1215" i="13"/>
  <c r="AV1216" i="13"/>
  <c r="AV1217" i="13"/>
  <c r="AV1218" i="13"/>
  <c r="AV1219" i="13"/>
  <c r="AV1220" i="13"/>
  <c r="AV1221" i="13"/>
  <c r="AV1222" i="13"/>
  <c r="AV1223" i="13"/>
  <c r="AV1224" i="13"/>
  <c r="AV1225" i="13"/>
  <c r="AV1226" i="13"/>
  <c r="AV1227" i="13"/>
  <c r="AV1228" i="13"/>
  <c r="AV1229" i="13"/>
  <c r="AV1230" i="13"/>
  <c r="AV1231" i="13"/>
  <c r="AV1232" i="13"/>
  <c r="AV1233" i="13"/>
  <c r="AV1234" i="13"/>
  <c r="AV1235" i="13"/>
  <c r="AV1236" i="13"/>
  <c r="AV1237" i="13"/>
  <c r="AV1238" i="13"/>
  <c r="AV1239" i="13"/>
  <c r="AV1240" i="13"/>
  <c r="AV1241" i="13"/>
  <c r="AV1242" i="13"/>
  <c r="AV1243" i="13"/>
  <c r="AV1244" i="13"/>
  <c r="AV1245" i="13"/>
  <c r="AV1246" i="13"/>
  <c r="AV1247" i="13"/>
  <c r="AV1248" i="13"/>
  <c r="AV1249" i="13"/>
  <c r="AV1250" i="13"/>
  <c r="AV1251" i="13"/>
  <c r="AV1252" i="13"/>
  <c r="AV1253" i="13"/>
  <c r="AV1254" i="13"/>
  <c r="AV1255" i="13"/>
  <c r="AV1256" i="13"/>
  <c r="AV1257" i="13"/>
  <c r="AV1258" i="13"/>
  <c r="AV1259" i="13"/>
  <c r="AV1260" i="13"/>
  <c r="AV1261" i="13"/>
  <c r="AV1262" i="13"/>
  <c r="AV1263" i="13"/>
  <c r="AV1264" i="13"/>
  <c r="AV1265" i="13"/>
  <c r="AV1266" i="13"/>
  <c r="AV1267" i="13"/>
  <c r="AV1268" i="13"/>
  <c r="AV1269" i="13"/>
  <c r="AV1270" i="13"/>
  <c r="AV1271" i="13"/>
  <c r="AV1272" i="13"/>
  <c r="AV1273" i="13"/>
  <c r="AV1274" i="13"/>
  <c r="AV1275" i="13"/>
  <c r="AV1276" i="13"/>
  <c r="AV1277" i="13"/>
  <c r="AV1278" i="13"/>
  <c r="AV1279" i="13"/>
  <c r="AV1280" i="13"/>
  <c r="AV1281" i="13"/>
  <c r="AV1282" i="13"/>
  <c r="AV1283" i="13"/>
  <c r="AV1284" i="13"/>
  <c r="AV1285" i="13"/>
  <c r="AV1286" i="13"/>
  <c r="AV1287" i="13"/>
  <c r="AV1288" i="13"/>
  <c r="AV1289" i="13"/>
  <c r="AV1290" i="13"/>
  <c r="AV1291" i="13"/>
  <c r="AV1292" i="13"/>
  <c r="AV1293" i="13"/>
  <c r="AV1294" i="13"/>
  <c r="AV1295" i="13"/>
  <c r="AV1296" i="13"/>
  <c r="AV1297" i="13"/>
  <c r="AV1298" i="13"/>
  <c r="AV1299" i="13"/>
  <c r="AV1300" i="13"/>
  <c r="AV1301" i="13"/>
  <c r="AV1302" i="13"/>
  <c r="AV1303" i="13"/>
  <c r="AV1304" i="13"/>
  <c r="AV1305" i="13"/>
  <c r="AV1306" i="13"/>
  <c r="AV1307" i="13"/>
  <c r="AV1308" i="13"/>
  <c r="AV1309" i="13"/>
  <c r="AV1310" i="13"/>
  <c r="AV1311" i="13"/>
  <c r="AV1312" i="13"/>
  <c r="AV1313" i="13"/>
  <c r="AV1314" i="13"/>
  <c r="AV1315" i="13"/>
  <c r="AV1316" i="13"/>
  <c r="AV1317" i="13"/>
  <c r="AV1318" i="13"/>
  <c r="AV1319" i="13"/>
  <c r="AV1320" i="13"/>
  <c r="AV1321" i="13"/>
  <c r="AV1322" i="13"/>
  <c r="AV1323" i="13"/>
  <c r="AV1324" i="13"/>
  <c r="AV1325" i="13"/>
  <c r="AV1326" i="13"/>
  <c r="AV1327" i="13"/>
  <c r="AV1328" i="13"/>
  <c r="AV1329" i="13"/>
  <c r="AV1330" i="13"/>
  <c r="AV1331" i="13"/>
  <c r="AV1332" i="13"/>
  <c r="AV1333" i="13"/>
  <c r="AV1334" i="13"/>
  <c r="AV1335" i="13"/>
  <c r="AV1336" i="13"/>
  <c r="AV1337" i="13"/>
  <c r="AV1338" i="13"/>
  <c r="AV1339" i="13"/>
  <c r="AV1340" i="13"/>
  <c r="AV1341" i="13"/>
  <c r="AV1342" i="13"/>
  <c r="AV1343" i="13"/>
  <c r="AV1344" i="13"/>
  <c r="AV1345" i="13"/>
  <c r="AV1346" i="13"/>
  <c r="AV1347" i="13"/>
  <c r="AV1348" i="13"/>
  <c r="AV1349" i="13"/>
  <c r="AV1350" i="13"/>
  <c r="AV1351" i="13"/>
  <c r="AV1352" i="13"/>
  <c r="AV1353" i="13"/>
  <c r="AV1354" i="13"/>
  <c r="AV1355" i="13"/>
  <c r="AV1356" i="13"/>
  <c r="AV1357" i="13"/>
  <c r="AV1358" i="13"/>
  <c r="AV1359" i="13"/>
  <c r="AV1360" i="13"/>
  <c r="AV1361" i="13"/>
  <c r="AV1362" i="13"/>
  <c r="AV1363" i="13"/>
  <c r="AV1364" i="13"/>
  <c r="AV1365" i="13"/>
  <c r="AV1366" i="13"/>
  <c r="AV1367" i="13"/>
  <c r="AV1368" i="13"/>
  <c r="AV1369" i="13"/>
  <c r="AV1370" i="13"/>
  <c r="AV1371" i="13"/>
  <c r="AV1372" i="13"/>
  <c r="AV1373" i="13"/>
  <c r="AV1374" i="13"/>
  <c r="AV1375" i="13"/>
  <c r="AV1376" i="13"/>
  <c r="AV1377" i="13"/>
  <c r="AV1378" i="13"/>
  <c r="AV1379" i="13"/>
  <c r="AV1380" i="13"/>
  <c r="AV1381" i="13"/>
  <c r="AV1382" i="13"/>
  <c r="AV1383" i="13"/>
  <c r="AV1384" i="13"/>
  <c r="AV1385" i="13"/>
  <c r="AV1386" i="13"/>
  <c r="AV1387" i="13"/>
  <c r="AV1388" i="13"/>
  <c r="AV1389" i="13"/>
  <c r="AV1390" i="13"/>
  <c r="AV1391" i="13"/>
  <c r="AV1392" i="13"/>
  <c r="AV1393" i="13"/>
  <c r="AV1394" i="13"/>
  <c r="AV1395" i="13"/>
  <c r="AV1396" i="13"/>
  <c r="AV1397" i="13"/>
  <c r="AV1398" i="13"/>
  <c r="AV1399" i="13"/>
  <c r="AV1400" i="13"/>
  <c r="AV1401" i="13"/>
  <c r="AV1402" i="13"/>
  <c r="AV1403" i="13"/>
  <c r="AV1404" i="13"/>
  <c r="AV1405" i="13"/>
  <c r="AV1406" i="13"/>
  <c r="AV1407" i="13"/>
  <c r="AV1408" i="13"/>
  <c r="AV1409" i="13"/>
  <c r="AV1410" i="13"/>
  <c r="AV1411" i="13"/>
  <c r="AV1412" i="13"/>
  <c r="AV1413" i="13"/>
  <c r="AV1414" i="13"/>
  <c r="AV1415" i="13"/>
  <c r="AV1416" i="13"/>
  <c r="AV1417" i="13"/>
  <c r="AV1418" i="13"/>
  <c r="AV1419" i="13"/>
  <c r="AV1420" i="13"/>
  <c r="AV1421" i="13"/>
  <c r="AV1422" i="13"/>
  <c r="AV1423" i="13"/>
  <c r="AV1424" i="13"/>
  <c r="AV1425" i="13"/>
  <c r="AV1426" i="13"/>
  <c r="AV1427" i="13"/>
  <c r="AV1428" i="13"/>
  <c r="AV1429" i="13"/>
  <c r="AV1430" i="13"/>
  <c r="AV1431" i="13"/>
  <c r="AV1432" i="13"/>
  <c r="AV1433" i="13"/>
  <c r="AV1434" i="13"/>
  <c r="AV1435" i="13"/>
  <c r="AV1436" i="13"/>
  <c r="AV1437" i="13"/>
  <c r="AV1438" i="13"/>
  <c r="AV1439" i="13"/>
  <c r="AV1440" i="13"/>
  <c r="AV1441" i="13"/>
  <c r="AV1442" i="13"/>
  <c r="AV1443" i="13"/>
  <c r="AV1444" i="13"/>
  <c r="AV1445" i="13"/>
  <c r="AV1446" i="13"/>
  <c r="AV1447" i="13"/>
  <c r="AV1448" i="13"/>
  <c r="AV1449" i="13"/>
  <c r="AV1450" i="13"/>
  <c r="AV1451" i="13"/>
  <c r="AV1452" i="13"/>
  <c r="AV1453" i="13"/>
  <c r="AV1454" i="13"/>
  <c r="AV1455" i="13"/>
  <c r="AV1456" i="13"/>
  <c r="AV1457" i="13"/>
  <c r="AV1458" i="13"/>
  <c r="AV1459" i="13"/>
  <c r="AV1460" i="13"/>
  <c r="AV1461" i="13"/>
  <c r="AV1462" i="13"/>
  <c r="AV1463" i="13"/>
  <c r="AX1461" i="13"/>
  <c r="CK1461" i="13" s="1"/>
  <c r="G1458" i="13"/>
  <c r="CL1654" i="13" l="1"/>
  <c r="CK1202" i="13"/>
  <c r="AV1202" i="13"/>
  <c r="CN1202" i="13"/>
  <c r="CL1490" i="13"/>
  <c r="CL1374" i="13"/>
  <c r="CL1370" i="13"/>
  <c r="CL1366" i="13"/>
  <c r="CL1358" i="13"/>
  <c r="CL1354" i="13"/>
  <c r="CL1350" i="13"/>
  <c r="CL1326" i="13"/>
  <c r="CL1322" i="13"/>
  <c r="CL1318" i="13"/>
  <c r="CL1275" i="13"/>
  <c r="CL1259" i="13"/>
  <c r="CL1399" i="13"/>
  <c r="CL1291" i="13"/>
  <c r="CL1474" i="13"/>
  <c r="CL1482" i="13"/>
  <c r="CL1461" i="13"/>
  <c r="CL1282" i="13"/>
  <c r="CL1278" i="13"/>
  <c r="CL1470" i="13"/>
  <c r="CL1466" i="13"/>
  <c r="CL1392" i="13"/>
  <c r="CL1388" i="13"/>
  <c r="CL1384" i="13"/>
  <c r="CL1308" i="13"/>
  <c r="CL1304" i="13"/>
  <c r="CL1300" i="13"/>
  <c r="CL1296" i="13"/>
  <c r="CL1292" i="13"/>
  <c r="CL1288" i="13"/>
  <c r="CL1477" i="13"/>
  <c r="CL1481" i="13"/>
  <c r="CL1484" i="13"/>
  <c r="CL1443" i="13"/>
  <c r="CL1439" i="13"/>
  <c r="CL1483" i="13"/>
  <c r="AV1486" i="13"/>
  <c r="CL1377" i="13"/>
  <c r="CL1369" i="13"/>
  <c r="CL1365" i="13"/>
  <c r="CL1361" i="13"/>
  <c r="CL1353" i="13"/>
  <c r="CL1349" i="13"/>
  <c r="CL1345" i="13"/>
  <c r="CL1337" i="13"/>
  <c r="CL1333" i="13"/>
  <c r="CL1485" i="13"/>
  <c r="CL1480" i="13"/>
  <c r="CL1274" i="13"/>
  <c r="CL1270" i="13"/>
  <c r="CL1262" i="13"/>
  <c r="CL1258" i="13"/>
  <c r="CL1371" i="13"/>
  <c r="CL1487" i="13"/>
  <c r="CL1488" i="13" s="1"/>
  <c r="CL1489" i="13"/>
  <c r="CL1285" i="13"/>
  <c r="CL1277" i="13"/>
  <c r="CL1424" i="13"/>
  <c r="CL1380" i="13"/>
  <c r="CL1376" i="13"/>
  <c r="CL1372" i="13"/>
  <c r="CL1368" i="13"/>
  <c r="CL1364" i="13"/>
  <c r="CL1360" i="13"/>
  <c r="CL1356" i="13"/>
  <c r="CL1352" i="13"/>
  <c r="CL1348" i="13"/>
  <c r="CL1344" i="13"/>
  <c r="CL1340" i="13"/>
  <c r="CL1336" i="13"/>
  <c r="CL1332" i="13"/>
  <c r="CL1328" i="13"/>
  <c r="CL1324" i="13"/>
  <c r="CL1320" i="13"/>
  <c r="CL1316" i="13"/>
  <c r="CL1464" i="13"/>
  <c r="CK1465" i="13"/>
  <c r="CL1465" i="13" s="1"/>
  <c r="CL1478" i="13"/>
  <c r="CL1471" i="13"/>
  <c r="CL1479" i="13"/>
  <c r="CL1476" i="13"/>
  <c r="CL1472" i="13"/>
  <c r="CL1468" i="13"/>
  <c r="CL1475" i="13"/>
  <c r="CL1467" i="13"/>
  <c r="CL1473" i="13"/>
  <c r="CL1469" i="13"/>
  <c r="CL1394" i="13"/>
  <c r="CL1390" i="13"/>
  <c r="CL1386" i="13"/>
  <c r="CL1254" i="13"/>
  <c r="CL1449" i="13"/>
  <c r="CL1445" i="13"/>
  <c r="CL1437" i="13"/>
  <c r="CL1433" i="13"/>
  <c r="CL1401" i="13"/>
  <c r="CL1265" i="13"/>
  <c r="CL1257" i="13"/>
  <c r="CL1284" i="13"/>
  <c r="CL1280" i="13"/>
  <c r="CL1305" i="13"/>
  <c r="CL1301" i="13"/>
  <c r="CL1448" i="13"/>
  <c r="CL1444" i="13"/>
  <c r="CL1440" i="13"/>
  <c r="CL1436" i="13"/>
  <c r="CL1432" i="13"/>
  <c r="CL1428" i="13"/>
  <c r="CL1404" i="13"/>
  <c r="CL1400" i="13"/>
  <c r="CL1272" i="13"/>
  <c r="CL1268" i="13"/>
  <c r="CL1264" i="13"/>
  <c r="CL1260" i="13"/>
  <c r="CL1256" i="13"/>
  <c r="CL1447" i="13"/>
  <c r="CL1347" i="13"/>
  <c r="CL1331" i="13"/>
  <c r="CL1315" i="13"/>
  <c r="CL1459" i="13"/>
  <c r="CL1455" i="13"/>
  <c r="CL1451" i="13"/>
  <c r="CL1383" i="13"/>
  <c r="CL1299" i="13"/>
  <c r="CL1235" i="13"/>
  <c r="CL1395" i="13"/>
  <c r="CL1327" i="13"/>
  <c r="CL1279" i="13"/>
  <c r="CL1431" i="13"/>
  <c r="CL1403" i="13"/>
  <c r="CL1303" i="13"/>
  <c r="CL1406" i="13"/>
  <c r="CL1398" i="13"/>
  <c r="CL1310" i="13"/>
  <c r="CL1306" i="13"/>
  <c r="CL1302" i="13"/>
  <c r="CL1297" i="13"/>
  <c r="CL1289" i="13"/>
  <c r="CL1379" i="13"/>
  <c r="CL1363" i="13"/>
  <c r="CL1359" i="13"/>
  <c r="CL1355" i="13"/>
  <c r="CL1351" i="13"/>
  <c r="CL1267" i="13"/>
  <c r="CL1416" i="13"/>
  <c r="CL1412" i="13"/>
  <c r="CL1307" i="13"/>
  <c r="CL1435" i="13"/>
  <c r="CL1421" i="13"/>
  <c r="CL1417" i="13"/>
  <c r="CL1413" i="13"/>
  <c r="CL1409" i="13"/>
  <c r="CL1343" i="13"/>
  <c r="CL1339" i="13"/>
  <c r="CL1335" i="13"/>
  <c r="CL1295" i="13"/>
  <c r="CL1408" i="13"/>
  <c r="CL1442" i="13"/>
  <c r="CL1438" i="13"/>
  <c r="CL1434" i="13"/>
  <c r="CL1426" i="13"/>
  <c r="CL1342" i="13"/>
  <c r="CL1338" i="13"/>
  <c r="CL1334" i="13"/>
  <c r="CL1294" i="13"/>
  <c r="CL1290" i="13"/>
  <c r="CL1422" i="13"/>
  <c r="CL1418" i="13"/>
  <c r="CL1414" i="13"/>
  <c r="CL1410" i="13"/>
  <c r="CL1391" i="13"/>
  <c r="CL1387" i="13"/>
  <c r="CL1323" i="13"/>
  <c r="CL1319" i="13"/>
  <c r="CL1271" i="13"/>
  <c r="CL1420" i="13"/>
  <c r="CL1429" i="13"/>
  <c r="CL1405" i="13"/>
  <c r="CL1389" i="13"/>
  <c r="CL1385" i="13"/>
  <c r="CL1381" i="13"/>
  <c r="CL1329" i="13"/>
  <c r="CL1321" i="13"/>
  <c r="CL1317" i="13"/>
  <c r="CL1273" i="13"/>
  <c r="CL1269" i="13"/>
  <c r="CL1419" i="13"/>
  <c r="CL1415" i="13"/>
  <c r="CL1411" i="13"/>
  <c r="CL1375" i="13"/>
  <c r="CL1367" i="13"/>
  <c r="CL1283" i="13"/>
  <c r="CL1263" i="13"/>
  <c r="CL1463" i="13"/>
  <c r="CL1239" i="13"/>
  <c r="CL1223" i="13"/>
  <c r="CL1446" i="13"/>
  <c r="CL1430" i="13"/>
  <c r="CL1402" i="13"/>
  <c r="CL1378" i="13"/>
  <c r="CL1362" i="13"/>
  <c r="CL1346" i="13"/>
  <c r="CL1330" i="13"/>
  <c r="CL1314" i="13"/>
  <c r="CL1298" i="13"/>
  <c r="CL1266" i="13"/>
  <c r="CL1251" i="13"/>
  <c r="CL1227" i="13"/>
  <c r="CL1441" i="13"/>
  <c r="CL1397" i="13"/>
  <c r="CL1393" i="13"/>
  <c r="CL1373" i="13"/>
  <c r="CL1357" i="13"/>
  <c r="CL1341" i="13"/>
  <c r="CL1325" i="13"/>
  <c r="CL1309" i="13"/>
  <c r="CL1293" i="13"/>
  <c r="CL1281" i="13"/>
  <c r="CL1261" i="13"/>
  <c r="CL1219" i="13"/>
  <c r="CL1215" i="13"/>
  <c r="CL1211" i="13"/>
  <c r="CL1207" i="13"/>
  <c r="CL1203" i="13"/>
  <c r="CL1199" i="13"/>
  <c r="CL1195" i="13"/>
  <c r="CL1191" i="13"/>
  <c r="CL1187" i="13"/>
  <c r="CL1183" i="13"/>
  <c r="CL1178" i="13"/>
  <c r="CL1244" i="13"/>
  <c r="CL1237" i="13"/>
  <c r="CL1233" i="13"/>
  <c r="CL1230" i="13"/>
  <c r="CL1218" i="13"/>
  <c r="CL1214" i="13"/>
  <c r="CL1210" i="13"/>
  <c r="CL1206" i="13"/>
  <c r="CL1198" i="13"/>
  <c r="CL1194" i="13"/>
  <c r="CL1190" i="13"/>
  <c r="CL1186" i="13"/>
  <c r="CL1182" i="13"/>
  <c r="CL1252" i="13"/>
  <c r="CL1249" i="13"/>
  <c r="CL1234" i="13"/>
  <c r="CL1460" i="13"/>
  <c r="CL1456" i="13"/>
  <c r="CL1452" i="13"/>
  <c r="CL1225" i="13"/>
  <c r="CL1220" i="13"/>
  <c r="CL1216" i="13"/>
  <c r="CL1212" i="13"/>
  <c r="CL1208" i="13"/>
  <c r="CL1204" i="13"/>
  <c r="CL1200" i="13"/>
  <c r="CL1196" i="13"/>
  <c r="CL1192" i="13"/>
  <c r="CL1188" i="13"/>
  <c r="CL1184" i="13"/>
  <c r="CL1179" i="13"/>
  <c r="CL1457" i="13"/>
  <c r="CL1453" i="13"/>
  <c r="CL1236" i="13"/>
  <c r="CL1232" i="13"/>
  <c r="CL1229" i="13"/>
  <c r="CL1226" i="13"/>
  <c r="CL1217" i="13"/>
  <c r="CL1213" i="13"/>
  <c r="CL1209" i="13"/>
  <c r="CL1205" i="13"/>
  <c r="CL1201" i="13"/>
  <c r="CL1197" i="13"/>
  <c r="CL1193" i="13"/>
  <c r="CL1189" i="13"/>
  <c r="CL1185" i="13"/>
  <c r="CL1181" i="13"/>
  <c r="CL1253" i="13"/>
  <c r="CL1462" i="13"/>
  <c r="CL1458" i="13"/>
  <c r="CL1454" i="13"/>
  <c r="CL1450" i="13"/>
  <c r="CL1202" i="13" l="1"/>
  <c r="G1434" i="13"/>
  <c r="AX1427" i="13"/>
  <c r="CK1427" i="13" s="1"/>
  <c r="CL1427" i="13" s="1"/>
  <c r="G1426" i="13"/>
  <c r="G1431" i="13" s="1"/>
  <c r="AX1425" i="13"/>
  <c r="CK1425" i="13" s="1"/>
  <c r="CL1425" i="13" s="1"/>
  <c r="G1425" i="13"/>
  <c r="AX1423" i="13"/>
  <c r="CK1423" i="13" s="1"/>
  <c r="CL1423" i="13" s="1"/>
  <c r="AX1407" i="13"/>
  <c r="CK1407" i="13" s="1"/>
  <c r="CL1407" i="13" s="1"/>
  <c r="AX1396" i="13"/>
  <c r="CK1396" i="13" s="1"/>
  <c r="CL1396" i="13" s="1"/>
  <c r="AX1382" i="13"/>
  <c r="CK1382" i="13" s="1"/>
  <c r="CL1382" i="13" s="1"/>
  <c r="AX1313" i="13" l="1"/>
  <c r="AX1312" i="13"/>
  <c r="AX1311" i="13"/>
  <c r="AX1287" i="13"/>
  <c r="AX1286" i="13"/>
  <c r="AX1276" i="13"/>
  <c r="G1257" i="13"/>
  <c r="G1258" i="13" s="1"/>
  <c r="G1260" i="13" s="1"/>
  <c r="AX1255" i="13"/>
  <c r="AX1250" i="13"/>
  <c r="AX1248" i="13"/>
  <c r="AX1247" i="13"/>
  <c r="AX1246" i="13"/>
  <c r="AG11" i="12"/>
  <c r="AX1245" i="13"/>
  <c r="AX1243" i="13"/>
  <c r="AX1242" i="13"/>
  <c r="AX1241" i="13"/>
  <c r="AX1240" i="13"/>
  <c r="G1239" i="13"/>
  <c r="G1240" i="13" s="1"/>
  <c r="G1241" i="13" s="1"/>
  <c r="G1242" i="13" s="1"/>
  <c r="G1243" i="13" s="1"/>
  <c r="AX1238" i="13"/>
  <c r="AX1231" i="13"/>
  <c r="G1231" i="13"/>
  <c r="G1232" i="13" s="1"/>
  <c r="G1233" i="13" s="1"/>
  <c r="G1234" i="13" s="1"/>
  <c r="G1230" i="13"/>
  <c r="AX1228" i="13"/>
  <c r="G1228" i="13"/>
  <c r="AX1224" i="13"/>
  <c r="G1222" i="13"/>
  <c r="AX1222" i="13"/>
  <c r="CK1222" i="13" s="1"/>
  <c r="CL1222" i="13" s="1"/>
  <c r="AX1221" i="13"/>
  <c r="AX1147" i="13"/>
  <c r="G1123" i="13"/>
  <c r="G1119" i="13"/>
  <c r="G1109" i="13"/>
  <c r="G1103" i="13"/>
  <c r="G1104" i="13" s="1"/>
  <c r="G1099" i="13"/>
  <c r="AX1099" i="13"/>
  <c r="G1098" i="13"/>
  <c r="AX1097" i="13"/>
  <c r="AX1095" i="13"/>
  <c r="AX1094" i="13"/>
  <c r="AX1486" i="13" l="1"/>
  <c r="AY1228" i="13"/>
  <c r="CK1228" i="13" s="1"/>
  <c r="CL1228" i="13" s="1"/>
  <c r="AY1238" i="13"/>
  <c r="CK1238" i="13" s="1"/>
  <c r="CL1238" i="13" s="1"/>
  <c r="AY1242" i="13"/>
  <c r="CK1242" i="13" s="1"/>
  <c r="CL1242" i="13" s="1"/>
  <c r="AY1246" i="13"/>
  <c r="CK1246" i="13" s="1"/>
  <c r="CL1246" i="13" s="1"/>
  <c r="AY1255" i="13"/>
  <c r="CK1255" i="13" s="1"/>
  <c r="CL1255" i="13" s="1"/>
  <c r="AY1287" i="13"/>
  <c r="CK1287" i="13" s="1"/>
  <c r="CL1287" i="13" s="1"/>
  <c r="AY1243" i="13"/>
  <c r="CK1243" i="13" s="1"/>
  <c r="CL1243" i="13" s="1"/>
  <c r="AY1247" i="13"/>
  <c r="CK1247" i="13" s="1"/>
  <c r="CL1247" i="13" s="1"/>
  <c r="AY1311" i="13"/>
  <c r="CK1311" i="13" s="1"/>
  <c r="CL1311" i="13" s="1"/>
  <c r="AY1224" i="13"/>
  <c r="CK1224" i="13" s="1"/>
  <c r="CL1224" i="13" s="1"/>
  <c r="AY1240" i="13"/>
  <c r="CK1240" i="13" s="1"/>
  <c r="CL1240" i="13" s="1"/>
  <c r="AY1245" i="13"/>
  <c r="CK1245" i="13" s="1"/>
  <c r="CL1245" i="13" s="1"/>
  <c r="AY1248" i="13"/>
  <c r="CK1248" i="13" s="1"/>
  <c r="CL1248" i="13" s="1"/>
  <c r="AY1276" i="13"/>
  <c r="CK1276" i="13" s="1"/>
  <c r="CL1276" i="13" s="1"/>
  <c r="AY1312" i="13"/>
  <c r="CK1312" i="13" s="1"/>
  <c r="CL1312" i="13" s="1"/>
  <c r="AY1221" i="13"/>
  <c r="AY1231" i="13"/>
  <c r="CK1231" i="13" s="1"/>
  <c r="CL1231" i="13" s="1"/>
  <c r="AY1241" i="13"/>
  <c r="CK1241" i="13" s="1"/>
  <c r="CL1241" i="13" s="1"/>
  <c r="AY1250" i="13"/>
  <c r="CK1250" i="13" s="1"/>
  <c r="CL1250" i="13" s="1"/>
  <c r="AY1286" i="13"/>
  <c r="CK1286" i="13" s="1"/>
  <c r="CL1286" i="13" s="1"/>
  <c r="AY1313" i="13"/>
  <c r="CK1313" i="13" s="1"/>
  <c r="CL1313" i="13" s="1"/>
  <c r="G1273" i="13"/>
  <c r="G1274" i="13" s="1"/>
  <c r="G1245" i="13"/>
  <c r="M1799" i="12"/>
  <c r="N1799" i="12"/>
  <c r="O1799" i="12"/>
  <c r="P1799" i="12"/>
  <c r="Q1799" i="12"/>
  <c r="R1799" i="12"/>
  <c r="S1799" i="12"/>
  <c r="T1799" i="12"/>
  <c r="U1799" i="12"/>
  <c r="V1799" i="12"/>
  <c r="W1799" i="12"/>
  <c r="X1799" i="12"/>
  <c r="Y1799" i="12"/>
  <c r="Z1799" i="12"/>
  <c r="AA1799" i="12"/>
  <c r="AB1799" i="12"/>
  <c r="AC1799" i="12"/>
  <c r="AD1799" i="12"/>
  <c r="AE1799" i="12"/>
  <c r="AF1799" i="12"/>
  <c r="AG1799" i="12"/>
  <c r="AH1799" i="12"/>
  <c r="AI1799" i="12"/>
  <c r="AJ1799" i="12"/>
  <c r="AK1799" i="12"/>
  <c r="AL1799" i="12"/>
  <c r="AM1799" i="12"/>
  <c r="AN1799" i="12"/>
  <c r="AO1799" i="12"/>
  <c r="AP1799" i="12"/>
  <c r="AQ1799" i="12"/>
  <c r="AR1799" i="12"/>
  <c r="AS1799" i="12"/>
  <c r="AT1799" i="12"/>
  <c r="AV1799" i="12"/>
  <c r="AW1799" i="12"/>
  <c r="AX1799" i="12"/>
  <c r="AY1799" i="12"/>
  <c r="AZ1799" i="12"/>
  <c r="BA1799" i="12"/>
  <c r="BB1799" i="12"/>
  <c r="BC1799" i="12"/>
  <c r="BD1799" i="12"/>
  <c r="BE1799" i="12"/>
  <c r="BF1799" i="12"/>
  <c r="BG1799" i="12"/>
  <c r="BH1799" i="12"/>
  <c r="BI1799" i="12"/>
  <c r="BJ1799" i="12"/>
  <c r="BK1799" i="12"/>
  <c r="BL1799" i="12"/>
  <c r="BM1799" i="12"/>
  <c r="BN1799" i="12"/>
  <c r="BO1799" i="12"/>
  <c r="BP1799" i="12"/>
  <c r="BQ1799" i="12"/>
  <c r="BR1799" i="12"/>
  <c r="BS1799" i="12"/>
  <c r="BT1799" i="12"/>
  <c r="BU1799" i="12"/>
  <c r="BV1799" i="12"/>
  <c r="BW1799" i="12"/>
  <c r="BX1799" i="12"/>
  <c r="BY1799" i="12"/>
  <c r="BZ1799" i="12"/>
  <c r="CA1799" i="12"/>
  <c r="CB1799" i="12"/>
  <c r="CC1799" i="12"/>
  <c r="CD1799" i="12"/>
  <c r="CE1799" i="12"/>
  <c r="CF1799" i="12"/>
  <c r="CG1799" i="12"/>
  <c r="CL1799" i="12"/>
  <c r="L1799" i="12"/>
  <c r="Z1801" i="12"/>
  <c r="AA1801" i="12"/>
  <c r="AB1801" i="12"/>
  <c r="AC1801" i="12"/>
  <c r="AD1801" i="12"/>
  <c r="AE1801" i="12"/>
  <c r="AF1801" i="12"/>
  <c r="AG1801" i="12"/>
  <c r="AH1801" i="12"/>
  <c r="AI1801" i="12"/>
  <c r="AJ1801" i="12"/>
  <c r="AK1801" i="12"/>
  <c r="AL1801" i="12"/>
  <c r="AM1801" i="12"/>
  <c r="AN1801" i="12"/>
  <c r="AO1801" i="12"/>
  <c r="AP1801" i="12"/>
  <c r="AQ1801" i="12"/>
  <c r="AR1801" i="12"/>
  <c r="AS1801" i="12"/>
  <c r="AT1801" i="12"/>
  <c r="AV1801" i="12"/>
  <c r="AW1801" i="12"/>
  <c r="AX1801" i="12"/>
  <c r="AY1801" i="12"/>
  <c r="AZ1801" i="12"/>
  <c r="BA1801" i="12"/>
  <c r="BB1801" i="12"/>
  <c r="BC1801" i="12"/>
  <c r="BD1801" i="12"/>
  <c r="BE1801" i="12"/>
  <c r="BF1801" i="12"/>
  <c r="BG1801" i="12"/>
  <c r="BH1801" i="12"/>
  <c r="BI1801" i="12"/>
  <c r="BJ1801" i="12"/>
  <c r="BK1801" i="12"/>
  <c r="BL1801" i="12"/>
  <c r="BM1801" i="12"/>
  <c r="BN1801" i="12"/>
  <c r="BO1801" i="12"/>
  <c r="BP1801" i="12"/>
  <c r="BQ1801" i="12"/>
  <c r="BR1801" i="12"/>
  <c r="BS1801" i="12"/>
  <c r="BT1801" i="12"/>
  <c r="BU1801" i="12"/>
  <c r="BV1801" i="12"/>
  <c r="BW1801" i="12"/>
  <c r="BX1801" i="12"/>
  <c r="BY1801" i="12"/>
  <c r="BZ1801" i="12"/>
  <c r="CA1801" i="12"/>
  <c r="CB1801" i="12"/>
  <c r="CC1801" i="12"/>
  <c r="CD1801" i="12"/>
  <c r="CE1801" i="12"/>
  <c r="CF1801" i="12"/>
  <c r="CG1801" i="12"/>
  <c r="CL1801" i="12"/>
  <c r="Y1801" i="12"/>
  <c r="J967" i="13"/>
  <c r="K967" i="13"/>
  <c r="L967" i="13"/>
  <c r="M967" i="13"/>
  <c r="N967" i="13"/>
  <c r="O967" i="13"/>
  <c r="P967" i="13"/>
  <c r="Q967" i="13"/>
  <c r="R967" i="13"/>
  <c r="S967" i="13"/>
  <c r="T967" i="13"/>
  <c r="U967" i="13"/>
  <c r="V967" i="13"/>
  <c r="W967" i="13"/>
  <c r="X967" i="13"/>
  <c r="Y967" i="13"/>
  <c r="Z967" i="13"/>
  <c r="AB967" i="13"/>
  <c r="AC967" i="13"/>
  <c r="AD967" i="13"/>
  <c r="AE967" i="13"/>
  <c r="AF967" i="13"/>
  <c r="AH967" i="13"/>
  <c r="AI967" i="13"/>
  <c r="AJ967" i="13"/>
  <c r="AK967" i="13"/>
  <c r="AL967" i="13"/>
  <c r="AM967" i="13"/>
  <c r="AN967" i="13"/>
  <c r="AO967" i="13"/>
  <c r="AP967" i="13"/>
  <c r="AQ967" i="13"/>
  <c r="AR967" i="13"/>
  <c r="AS967" i="13"/>
  <c r="AT967" i="13"/>
  <c r="AU967" i="13"/>
  <c r="AW967" i="13"/>
  <c r="AY967" i="13"/>
  <c r="AZ967" i="13"/>
  <c r="BA967" i="13"/>
  <c r="BC967" i="13"/>
  <c r="BD967" i="13"/>
  <c r="BE967" i="13"/>
  <c r="BF967" i="13"/>
  <c r="BH967" i="13"/>
  <c r="BI967" i="13"/>
  <c r="BJ967" i="13"/>
  <c r="BL967" i="13"/>
  <c r="BM967" i="13"/>
  <c r="BN967" i="13"/>
  <c r="BP967" i="13"/>
  <c r="BQ967" i="13"/>
  <c r="BR967" i="13"/>
  <c r="BS967" i="13"/>
  <c r="BT967" i="13"/>
  <c r="BU967" i="13"/>
  <c r="BV967" i="13"/>
  <c r="BW967" i="13"/>
  <c r="BX967" i="13"/>
  <c r="BY967" i="13"/>
  <c r="BZ967" i="13"/>
  <c r="CA967" i="13"/>
  <c r="CB967" i="13"/>
  <c r="CC967" i="13"/>
  <c r="CD967" i="13"/>
  <c r="CE967" i="13"/>
  <c r="CF967" i="13"/>
  <c r="CG967" i="13"/>
  <c r="CH967" i="13"/>
  <c r="CJ967" i="13"/>
  <c r="CO967" i="13"/>
  <c r="CP967" i="13"/>
  <c r="CQ967" i="13"/>
  <c r="CR967" i="13"/>
  <c r="CS967" i="13"/>
  <c r="CT967" i="13"/>
  <c r="CU967" i="13"/>
  <c r="I967" i="13"/>
  <c r="BM207" i="13"/>
  <c r="BM469" i="13"/>
  <c r="BM670" i="13"/>
  <c r="AY1486" i="13" l="1"/>
  <c r="CK1486" i="13" s="1"/>
  <c r="CL1486" i="13" s="1"/>
  <c r="CK1221" i="13"/>
  <c r="G1246" i="13"/>
  <c r="G1275" i="13"/>
  <c r="AV1672" i="13"/>
  <c r="CL1672" i="13" s="1"/>
  <c r="AV1673" i="13"/>
  <c r="CL1673" i="13" s="1"/>
  <c r="AV1674" i="13"/>
  <c r="CL1674" i="13" s="1"/>
  <c r="AV1675" i="13"/>
  <c r="CL1675" i="13" s="1"/>
  <c r="AV1676" i="13"/>
  <c r="CL1676" i="13" s="1"/>
  <c r="AV1677" i="13"/>
  <c r="CL1677" i="13" s="1"/>
  <c r="AV1678" i="13"/>
  <c r="CL1678" i="13" s="1"/>
  <c r="AV1679" i="13"/>
  <c r="CL1679" i="13" s="1"/>
  <c r="AV1680" i="13"/>
  <c r="CL1680" i="13" s="1"/>
  <c r="AV1681" i="13"/>
  <c r="CL1681" i="13" s="1"/>
  <c r="AV1682" i="13"/>
  <c r="CL1682" i="13" s="1"/>
  <c r="AV1683" i="13"/>
  <c r="CL1683" i="13" s="1"/>
  <c r="AV1684" i="13"/>
  <c r="CL1684" i="13" s="1"/>
  <c r="AV1685" i="13"/>
  <c r="CL1685" i="13" s="1"/>
  <c r="AV1686" i="13"/>
  <c r="CL1686" i="13" s="1"/>
  <c r="AV1687" i="13"/>
  <c r="CL1687" i="13" s="1"/>
  <c r="AV1688" i="13"/>
  <c r="CL1688" i="13" s="1"/>
  <c r="AV1689" i="13"/>
  <c r="CL1689" i="13" s="1"/>
  <c r="AV1690" i="13"/>
  <c r="CL1690" i="13" s="1"/>
  <c r="AV1691" i="13"/>
  <c r="CL1691" i="13" s="1"/>
  <c r="AV1692" i="13"/>
  <c r="CL1692" i="13" s="1"/>
  <c r="AV1693" i="13"/>
  <c r="CL1693" i="13" s="1"/>
  <c r="AV1694" i="13"/>
  <c r="CL1694" i="13" s="1"/>
  <c r="AV1695" i="13"/>
  <c r="CL1695" i="13" s="1"/>
  <c r="AV1696" i="13"/>
  <c r="CL1696" i="13" s="1"/>
  <c r="AV1697" i="13"/>
  <c r="CL1697" i="13" s="1"/>
  <c r="AV1698" i="13"/>
  <c r="CL1698" i="13" s="1"/>
  <c r="AV1699" i="13"/>
  <c r="CL1699" i="13" s="1"/>
  <c r="AV1700" i="13"/>
  <c r="CL1700" i="13" s="1"/>
  <c r="AV1701" i="13"/>
  <c r="CL1701" i="13" s="1"/>
  <c r="AV1702" i="13"/>
  <c r="CL1702" i="13" s="1"/>
  <c r="AV1703" i="13"/>
  <c r="CL1703" i="13" s="1"/>
  <c r="AV1704" i="13"/>
  <c r="CL1704" i="13" s="1"/>
  <c r="AV1705" i="13"/>
  <c r="CL1705" i="13" s="1"/>
  <c r="AV1706" i="13"/>
  <c r="CL1706" i="13" s="1"/>
  <c r="AV1707" i="13"/>
  <c r="CL1707" i="13" s="1"/>
  <c r="AV1708" i="13"/>
  <c r="CL1708" i="13" s="1"/>
  <c r="AV1709" i="13"/>
  <c r="CL1709" i="13" s="1"/>
  <c r="AV1710" i="13"/>
  <c r="CL1710" i="13" s="1"/>
  <c r="AV1711" i="13"/>
  <c r="CL1711" i="13" s="1"/>
  <c r="AV1712" i="13"/>
  <c r="CL1712" i="13" s="1"/>
  <c r="AV1713" i="13"/>
  <c r="CL1713" i="13" s="1"/>
  <c r="AV1714" i="13"/>
  <c r="CL1714" i="13" s="1"/>
  <c r="AV1715" i="13"/>
  <c r="AV1716" i="13"/>
  <c r="AV1717" i="13"/>
  <c r="AV1718" i="13"/>
  <c r="AV1719" i="13"/>
  <c r="AV1720" i="13"/>
  <c r="AV1721" i="13"/>
  <c r="AV1722" i="13"/>
  <c r="AV1723" i="13"/>
  <c r="AV1724" i="13"/>
  <c r="AV1725" i="13"/>
  <c r="AV1726" i="13"/>
  <c r="AV1727" i="13"/>
  <c r="AV1728" i="13"/>
  <c r="AV1729" i="13"/>
  <c r="AV1730" i="13"/>
  <c r="AV1731" i="13"/>
  <c r="AV1732" i="13"/>
  <c r="AV1733" i="13"/>
  <c r="AV1734" i="13"/>
  <c r="AV1735" i="13"/>
  <c r="AV1736" i="13"/>
  <c r="AV1737" i="13"/>
  <c r="AV1738" i="13"/>
  <c r="AV1739" i="13"/>
  <c r="AV1740" i="13"/>
  <c r="AV1741" i="13"/>
  <c r="AV1742" i="13"/>
  <c r="AV1743" i="13"/>
  <c r="AV1744" i="13"/>
  <c r="AV1745" i="13"/>
  <c r="AV1746" i="13"/>
  <c r="AV1747" i="13"/>
  <c r="AV1748" i="13"/>
  <c r="AV1749" i="13"/>
  <c r="AV1750" i="13"/>
  <c r="AV1751" i="13"/>
  <c r="AV1752" i="13"/>
  <c r="AV1753" i="13"/>
  <c r="AV1754" i="13"/>
  <c r="AV1755" i="13"/>
  <c r="AV1756" i="13"/>
  <c r="AV1757" i="13"/>
  <c r="AV1758" i="13"/>
  <c r="AV1759" i="13"/>
  <c r="AV1760" i="13"/>
  <c r="AV1761" i="13"/>
  <c r="AV1762" i="13"/>
  <c r="AV1763" i="13"/>
  <c r="AV1764" i="13"/>
  <c r="AV1765" i="13"/>
  <c r="AV1766" i="13"/>
  <c r="AV1767" i="13"/>
  <c r="AV1768" i="13"/>
  <c r="AV1769" i="13"/>
  <c r="AV1770" i="13"/>
  <c r="AV1771" i="13"/>
  <c r="AV1772" i="13"/>
  <c r="AV1773" i="13"/>
  <c r="AV1774" i="13"/>
  <c r="AV1775" i="13"/>
  <c r="AV1776" i="13"/>
  <c r="AV1777" i="13"/>
  <c r="AV1778" i="13"/>
  <c r="AV1779" i="13"/>
  <c r="AV1780" i="13"/>
  <c r="AV1781" i="13"/>
  <c r="AV1782" i="13"/>
  <c r="AV1783" i="13"/>
  <c r="AV1784" i="13"/>
  <c r="AV1785" i="13"/>
  <c r="AV1786" i="13"/>
  <c r="AV1787" i="13"/>
  <c r="AV1788" i="13"/>
  <c r="AV1789" i="13"/>
  <c r="AV1790" i="13"/>
  <c r="AV1791" i="13"/>
  <c r="AV1792" i="13"/>
  <c r="AV1793" i="13"/>
  <c r="AV1794" i="13"/>
  <c r="AV1795" i="13"/>
  <c r="AV1796" i="13"/>
  <c r="AV1797" i="13"/>
  <c r="AV1798" i="13"/>
  <c r="AV1799" i="13"/>
  <c r="AV1800" i="13"/>
  <c r="AV1801" i="13"/>
  <c r="AV1802" i="13"/>
  <c r="AV1803" i="13"/>
  <c r="AV1804" i="13"/>
  <c r="AV1805" i="13"/>
  <c r="AV1806" i="13"/>
  <c r="AV1807" i="13"/>
  <c r="AV1808" i="13"/>
  <c r="AV1809" i="13"/>
  <c r="AV1810" i="13"/>
  <c r="AV1811" i="13"/>
  <c r="AV1812" i="13"/>
  <c r="AV1813" i="13"/>
  <c r="AV1814" i="13"/>
  <c r="AV1815" i="13"/>
  <c r="AV1816" i="13"/>
  <c r="AV1817" i="13"/>
  <c r="AV1818" i="13"/>
  <c r="AV1819" i="13"/>
  <c r="AV1820" i="13"/>
  <c r="AV1821" i="13"/>
  <c r="AV1822" i="13"/>
  <c r="AV1823" i="13"/>
  <c r="AV1824" i="13"/>
  <c r="AV1825" i="13"/>
  <c r="AV1826" i="13"/>
  <c r="AV1827" i="13"/>
  <c r="AV1828" i="13"/>
  <c r="AV1829" i="13"/>
  <c r="AV1830" i="13"/>
  <c r="AV1831" i="13"/>
  <c r="AV1832" i="13"/>
  <c r="AV1833" i="13"/>
  <c r="AV1834" i="13"/>
  <c r="AV1835" i="13"/>
  <c r="AV1836" i="13"/>
  <c r="AV1837" i="13"/>
  <c r="AV1838" i="13"/>
  <c r="AV1839" i="13"/>
  <c r="AV1840" i="13"/>
  <c r="AV1841" i="13"/>
  <c r="AV1842" i="13"/>
  <c r="AV1843" i="13"/>
  <c r="AV1844" i="13"/>
  <c r="AV1845" i="13"/>
  <c r="AV1846" i="13"/>
  <c r="AV1847" i="13"/>
  <c r="AV1848" i="13"/>
  <c r="AV1849" i="13"/>
  <c r="AV1850" i="13"/>
  <c r="AV1851" i="13"/>
  <c r="AV1852" i="13"/>
  <c r="AV1853" i="13"/>
  <c r="AV1854" i="13"/>
  <c r="AV1855" i="13"/>
  <c r="AV1856" i="13"/>
  <c r="AV1857" i="13"/>
  <c r="AV1858" i="13"/>
  <c r="AV1859" i="13"/>
  <c r="AV1860" i="13"/>
  <c r="AV1861" i="13"/>
  <c r="AV1862" i="13"/>
  <c r="AV1863" i="13"/>
  <c r="AV1864" i="13"/>
  <c r="AV1865" i="13"/>
  <c r="AV1866" i="13"/>
  <c r="AV1867" i="13"/>
  <c r="AV1868" i="13"/>
  <c r="AV1869" i="13"/>
  <c r="AV1870" i="13"/>
  <c r="AV1871" i="13"/>
  <c r="AV1872" i="13"/>
  <c r="AV1873" i="13"/>
  <c r="AV1874" i="13"/>
  <c r="AV1875" i="13"/>
  <c r="AV1876" i="13"/>
  <c r="AV1877" i="13"/>
  <c r="AV1878" i="13"/>
  <c r="AV1879" i="13"/>
  <c r="AV1880" i="13"/>
  <c r="AV1881" i="13"/>
  <c r="AV1882" i="13"/>
  <c r="AV1883" i="13"/>
  <c r="AV1884" i="13"/>
  <c r="AV1885" i="13"/>
  <c r="AV1886" i="13"/>
  <c r="AV1887" i="13"/>
  <c r="AV1888" i="13"/>
  <c r="AV1889" i="13"/>
  <c r="AV1890" i="13"/>
  <c r="AV1891" i="13"/>
  <c r="AV1892" i="13"/>
  <c r="AV1893" i="13"/>
  <c r="AV1894" i="13"/>
  <c r="AV1895" i="13"/>
  <c r="AV1896" i="13"/>
  <c r="AV1897" i="13"/>
  <c r="AV1898" i="13"/>
  <c r="AV1899" i="13"/>
  <c r="AV1900" i="13"/>
  <c r="AV1901" i="13"/>
  <c r="AV1902" i="13"/>
  <c r="AV1903" i="13"/>
  <c r="AV1904" i="13"/>
  <c r="AV1905" i="13"/>
  <c r="AV1906" i="13"/>
  <c r="AV1907" i="13"/>
  <c r="AV1908" i="13"/>
  <c r="AV1909" i="13"/>
  <c r="AV1910" i="13"/>
  <c r="AV1911" i="13"/>
  <c r="AV1912" i="13"/>
  <c r="AV1913" i="13"/>
  <c r="AV1914" i="13"/>
  <c r="AV1915" i="13"/>
  <c r="AV1916" i="13"/>
  <c r="AV1917" i="13"/>
  <c r="AV1918" i="13"/>
  <c r="AV1919" i="13"/>
  <c r="AV1920" i="13"/>
  <c r="AV1921" i="13"/>
  <c r="AV1922" i="13"/>
  <c r="AV1923" i="13"/>
  <c r="AV1924" i="13"/>
  <c r="AV1925" i="13"/>
  <c r="AV1926" i="13"/>
  <c r="AV1927" i="13"/>
  <c r="AV1928" i="13"/>
  <c r="AV1929" i="13"/>
  <c r="AV1930" i="13"/>
  <c r="AV1931" i="13"/>
  <c r="AV1932" i="13"/>
  <c r="AV1933" i="13"/>
  <c r="AV1934" i="13"/>
  <c r="AV1935" i="13"/>
  <c r="AV1936" i="13"/>
  <c r="AV1937" i="13"/>
  <c r="AV1938" i="13"/>
  <c r="AV1939" i="13"/>
  <c r="AV1940" i="13"/>
  <c r="AV1941" i="13"/>
  <c r="AV1942" i="13"/>
  <c r="AV1943" i="13"/>
  <c r="AV1944" i="13"/>
  <c r="AV1945" i="13"/>
  <c r="AV1946" i="13"/>
  <c r="AV1947" i="13"/>
  <c r="AV1948" i="13"/>
  <c r="AV1949" i="13"/>
  <c r="AV1950" i="13"/>
  <c r="AV1951" i="13"/>
  <c r="AV1952" i="13"/>
  <c r="AV1953" i="13"/>
  <c r="AV1954" i="13"/>
  <c r="AV1955" i="13"/>
  <c r="AV1956" i="13"/>
  <c r="AV1957" i="13"/>
  <c r="AV1958" i="13"/>
  <c r="AV1959" i="13"/>
  <c r="AV1960" i="13"/>
  <c r="AV1961" i="13"/>
  <c r="AV1962" i="13"/>
  <c r="AV1963" i="13"/>
  <c r="AV1964" i="13"/>
  <c r="AV1965" i="13"/>
  <c r="AV1966" i="13"/>
  <c r="AV1967" i="13"/>
  <c r="AV1968" i="13"/>
  <c r="AV1969" i="13"/>
  <c r="AV1970" i="13"/>
  <c r="AV1971" i="13"/>
  <c r="AV1972" i="13"/>
  <c r="AV1973" i="13"/>
  <c r="AV1974" i="13"/>
  <c r="AV1975" i="13"/>
  <c r="AV1976" i="13"/>
  <c r="AV1977" i="13"/>
  <c r="AV1978" i="13"/>
  <c r="AV1979" i="13"/>
  <c r="AV1980" i="13"/>
  <c r="AV1981" i="13"/>
  <c r="AV1982" i="13"/>
  <c r="AV1983" i="13"/>
  <c r="AV1984" i="13"/>
  <c r="AV1985" i="13"/>
  <c r="AV1986" i="13"/>
  <c r="AV1987" i="13"/>
  <c r="AV1988" i="13"/>
  <c r="AV1989" i="13"/>
  <c r="AV1990" i="13"/>
  <c r="AV1991" i="13"/>
  <c r="AV1992" i="13"/>
  <c r="AV1993" i="13"/>
  <c r="AV1994" i="13"/>
  <c r="AV1995" i="13"/>
  <c r="AV1996" i="13"/>
  <c r="AV1997" i="13"/>
  <c r="AV1998" i="13"/>
  <c r="AV1999" i="13"/>
  <c r="AV2000" i="13"/>
  <c r="AV2001" i="13"/>
  <c r="AV2002" i="13"/>
  <c r="AV2003" i="13"/>
  <c r="AV2004" i="13"/>
  <c r="AV2005" i="13"/>
  <c r="AV2006" i="13"/>
  <c r="AV2007" i="13"/>
  <c r="AV2008" i="13"/>
  <c r="AV2009" i="13"/>
  <c r="AV2010" i="13"/>
  <c r="AV2011" i="13"/>
  <c r="AV2012" i="13"/>
  <c r="AV2013" i="13"/>
  <c r="AV2014" i="13"/>
  <c r="AV2015" i="13"/>
  <c r="AV2016" i="13"/>
  <c r="AV2017" i="13"/>
  <c r="AV2018" i="13"/>
  <c r="AV2019" i="13"/>
  <c r="AV2020" i="13"/>
  <c r="AV2021" i="13"/>
  <c r="AV2022" i="13"/>
  <c r="AV2023" i="13"/>
  <c r="AV2024" i="13"/>
  <c r="AV2025" i="13"/>
  <c r="AV2026" i="13"/>
  <c r="AV2027" i="13"/>
  <c r="AV2028" i="13"/>
  <c r="AV2029" i="13"/>
  <c r="AV2030" i="13"/>
  <c r="AV2031" i="13"/>
  <c r="AV2032" i="13"/>
  <c r="AV2033" i="13"/>
  <c r="AV2034" i="13"/>
  <c r="AV2035" i="13"/>
  <c r="AV2036" i="13"/>
  <c r="AV2037" i="13"/>
  <c r="AV2038" i="13"/>
  <c r="AV2039" i="13"/>
  <c r="AV2040" i="13"/>
  <c r="AV2041" i="13"/>
  <c r="AV2042" i="13"/>
  <c r="AV2043" i="13"/>
  <c r="AV2044" i="13"/>
  <c r="AV2045" i="13"/>
  <c r="AV2046" i="13"/>
  <c r="AV2047" i="13"/>
  <c r="AV2048" i="13"/>
  <c r="AV2049" i="13"/>
  <c r="AV2050" i="13"/>
  <c r="AV2051" i="13"/>
  <c r="AV2052" i="13"/>
  <c r="AV2053" i="13"/>
  <c r="AV2054" i="13"/>
  <c r="AV2055" i="13"/>
  <c r="AV2056" i="13"/>
  <c r="AV2057" i="13"/>
  <c r="AV2058" i="13"/>
  <c r="AV2059" i="13"/>
  <c r="AV2060" i="13"/>
  <c r="AV2061" i="13"/>
  <c r="AV2062" i="13"/>
  <c r="AV2063" i="13"/>
  <c r="AV2064" i="13"/>
  <c r="AV2065" i="13"/>
  <c r="AV2066" i="13"/>
  <c r="AV2067" i="13"/>
  <c r="AV2068" i="13"/>
  <c r="AV2069" i="13"/>
  <c r="AV2070" i="13"/>
  <c r="AV2071" i="13"/>
  <c r="AV2072" i="13"/>
  <c r="AV2073" i="13"/>
  <c r="AV2074" i="13"/>
  <c r="AV2075" i="13"/>
  <c r="AV2076" i="13"/>
  <c r="AV2077" i="13"/>
  <c r="AV2078" i="13"/>
  <c r="AV2079" i="13"/>
  <c r="AV2080" i="13"/>
  <c r="AV2081" i="13"/>
  <c r="AV2082" i="13"/>
  <c r="AV2083" i="13"/>
  <c r="AV2084" i="13"/>
  <c r="AV2085" i="13"/>
  <c r="AV2086" i="13"/>
  <c r="AV2087" i="13"/>
  <c r="AV2088" i="13"/>
  <c r="AV2089" i="13"/>
  <c r="AV2090" i="13"/>
  <c r="AV2091" i="13"/>
  <c r="AV2092" i="13"/>
  <c r="AV2093" i="13"/>
  <c r="AV2094" i="13"/>
  <c r="AV2095" i="13"/>
  <c r="AV2096" i="13"/>
  <c r="AV2097" i="13"/>
  <c r="AV2098" i="13"/>
  <c r="AV2099" i="13"/>
  <c r="AV2100" i="13"/>
  <c r="AV2101" i="13"/>
  <c r="AV2102" i="13"/>
  <c r="AV2103" i="13"/>
  <c r="AV2104" i="13"/>
  <c r="AV2105" i="13"/>
  <c r="AV2106" i="13"/>
  <c r="AV2107" i="13"/>
  <c r="AV2108" i="13"/>
  <c r="AV2109" i="13"/>
  <c r="AV2110" i="13"/>
  <c r="AV2111" i="13"/>
  <c r="AV2112" i="13"/>
  <c r="AV2113" i="13"/>
  <c r="AV2114" i="13"/>
  <c r="AV2115" i="13"/>
  <c r="AV2116" i="13"/>
  <c r="AV2117" i="13"/>
  <c r="AV2118" i="13"/>
  <c r="AV2119" i="13"/>
  <c r="AV2120" i="13"/>
  <c r="AV2121" i="13"/>
  <c r="AV2122" i="13"/>
  <c r="AV2123" i="13"/>
  <c r="AV2124" i="13"/>
  <c r="AV2125" i="13"/>
  <c r="AV2126" i="13"/>
  <c r="AV2127" i="13"/>
  <c r="AV2128" i="13"/>
  <c r="AV2129" i="13"/>
  <c r="AV2130" i="13"/>
  <c r="AV2131" i="13"/>
  <c r="AV2132" i="13"/>
  <c r="AV2133" i="13"/>
  <c r="AV2134" i="13"/>
  <c r="AV2135" i="13"/>
  <c r="AV2136" i="13"/>
  <c r="AV2137" i="13"/>
  <c r="AV2138" i="13"/>
  <c r="AV2139" i="13"/>
  <c r="AV2140" i="13"/>
  <c r="AV2141" i="13"/>
  <c r="AV2142" i="13"/>
  <c r="AV2143" i="13"/>
  <c r="AV2144" i="13"/>
  <c r="AV2145" i="13"/>
  <c r="AV2146" i="13"/>
  <c r="AV2147" i="13"/>
  <c r="AV2148" i="13"/>
  <c r="AV2149" i="13"/>
  <c r="AV2150" i="13"/>
  <c r="AV2151" i="13"/>
  <c r="AV2152" i="13"/>
  <c r="AV2153" i="13"/>
  <c r="AV2154" i="13"/>
  <c r="AV2155" i="13"/>
  <c r="AV2156" i="13"/>
  <c r="AV2157" i="13"/>
  <c r="AV2158" i="13"/>
  <c r="AV2159" i="13"/>
  <c r="AV2160" i="13"/>
  <c r="AV2161" i="13"/>
  <c r="AV2162" i="13"/>
  <c r="AV2163" i="13"/>
  <c r="AV2164" i="13"/>
  <c r="AV2165" i="13"/>
  <c r="AV2166" i="13"/>
  <c r="AV2167" i="13"/>
  <c r="AV2168" i="13"/>
  <c r="AV2169" i="13"/>
  <c r="AV2170" i="13"/>
  <c r="AV2171" i="13"/>
  <c r="AV2172" i="13"/>
  <c r="AV2173" i="13"/>
  <c r="AV2174" i="13"/>
  <c r="AV2175" i="13"/>
  <c r="AV2176" i="13"/>
  <c r="AV2177" i="13"/>
  <c r="AV2178" i="13"/>
  <c r="AV2179" i="13"/>
  <c r="AV2180" i="13"/>
  <c r="AV2181" i="13"/>
  <c r="AV2182" i="13"/>
  <c r="AV2183" i="13"/>
  <c r="AV2184" i="13"/>
  <c r="AV2185" i="13"/>
  <c r="AV2186" i="13"/>
  <c r="AV2187" i="13"/>
  <c r="AV2188" i="13"/>
  <c r="AV2189" i="13"/>
  <c r="AV2190" i="13"/>
  <c r="AV2191" i="13"/>
  <c r="AV2192" i="13"/>
  <c r="AV2193" i="13"/>
  <c r="AV2194" i="13"/>
  <c r="AV2195" i="13"/>
  <c r="AV2196" i="13"/>
  <c r="AV2197" i="13"/>
  <c r="AV2198" i="13"/>
  <c r="AV2199" i="13"/>
  <c r="AV2200" i="13"/>
  <c r="AV2201" i="13"/>
  <c r="AV2202" i="13"/>
  <c r="AV2203" i="13"/>
  <c r="AV2204" i="13"/>
  <c r="AV2205" i="13"/>
  <c r="AV2206" i="13"/>
  <c r="AV2207" i="13"/>
  <c r="AV2208" i="13"/>
  <c r="AV2209" i="13"/>
  <c r="AV2210" i="13"/>
  <c r="AV2211" i="13"/>
  <c r="AV2212" i="13"/>
  <c r="AV2213" i="13"/>
  <c r="AV2214" i="13"/>
  <c r="AV2215" i="13"/>
  <c r="AV2216" i="13"/>
  <c r="AV2217" i="13"/>
  <c r="AV2218" i="13"/>
  <c r="AV2219" i="13"/>
  <c r="AV2220" i="13"/>
  <c r="AV2221" i="13"/>
  <c r="AV2222" i="13"/>
  <c r="AV2223" i="13"/>
  <c r="AV2224" i="13"/>
  <c r="AV2225" i="13"/>
  <c r="AV2226" i="13"/>
  <c r="AV2227" i="13"/>
  <c r="AV2228" i="13"/>
  <c r="AV2229" i="13"/>
  <c r="AV2230" i="13"/>
  <c r="AV2231" i="13"/>
  <c r="AV2232" i="13"/>
  <c r="AV2233" i="13"/>
  <c r="AV2234" i="13"/>
  <c r="AV2235" i="13"/>
  <c r="AV2236" i="13"/>
  <c r="AV2237" i="13"/>
  <c r="AV2238" i="13"/>
  <c r="AV2239" i="13"/>
  <c r="AV2240" i="13"/>
  <c r="AV2241" i="13"/>
  <c r="AV2242" i="13"/>
  <c r="AV2243" i="13"/>
  <c r="AV2244" i="13"/>
  <c r="AV2245" i="13"/>
  <c r="AV2246" i="13"/>
  <c r="AV2247" i="13"/>
  <c r="AV2248" i="13"/>
  <c r="AV2249" i="13"/>
  <c r="AV2250" i="13"/>
  <c r="AV2251" i="13"/>
  <c r="AV2252" i="13"/>
  <c r="AV2253" i="13"/>
  <c r="AV2254" i="13"/>
  <c r="AV2255" i="13"/>
  <c r="AV2256" i="13"/>
  <c r="AV2257" i="13"/>
  <c r="AV2258" i="13"/>
  <c r="AV2259" i="13"/>
  <c r="AV2260" i="13"/>
  <c r="AV2261" i="13"/>
  <c r="AV2262" i="13"/>
  <c r="AV2263" i="13"/>
  <c r="AV2264" i="13"/>
  <c r="AV2265" i="13"/>
  <c r="AV2266" i="13"/>
  <c r="AV2267" i="13"/>
  <c r="AV2268" i="13"/>
  <c r="AV2269" i="13"/>
  <c r="AV2270" i="13"/>
  <c r="AV2271" i="13"/>
  <c r="AV2272" i="13"/>
  <c r="AV2273" i="13"/>
  <c r="AV2274" i="13"/>
  <c r="AV2275" i="13"/>
  <c r="AV2276" i="13"/>
  <c r="AV2277" i="13"/>
  <c r="AV2278" i="13"/>
  <c r="AV2279" i="13"/>
  <c r="AV2280" i="13"/>
  <c r="AV2281" i="13"/>
  <c r="AV2282" i="13"/>
  <c r="AV2283" i="13"/>
  <c r="AV2284" i="13"/>
  <c r="AV2285" i="13"/>
  <c r="AV2286" i="13"/>
  <c r="AV2287" i="13"/>
  <c r="AV2288" i="13"/>
  <c r="AV2289" i="13"/>
  <c r="AV2290" i="13"/>
  <c r="AV2291" i="13"/>
  <c r="AV2292" i="13"/>
  <c r="AV2293" i="13"/>
  <c r="AV2294" i="13"/>
  <c r="AV2295" i="13"/>
  <c r="AV2296" i="13"/>
  <c r="AV2297" i="13"/>
  <c r="AV2298" i="13"/>
  <c r="AV2299" i="13"/>
  <c r="AV2300" i="13"/>
  <c r="AV2301" i="13"/>
  <c r="AV2302" i="13"/>
  <c r="AV2303" i="13"/>
  <c r="AV2304" i="13"/>
  <c r="AV2305" i="13"/>
  <c r="AV2306" i="13"/>
  <c r="AV2307" i="13"/>
  <c r="AV2308" i="13"/>
  <c r="AV2309" i="13"/>
  <c r="AV2310" i="13"/>
  <c r="AV2311" i="13"/>
  <c r="AV2312" i="13"/>
  <c r="AV2313" i="13"/>
  <c r="AV2314" i="13"/>
  <c r="AV2315" i="13"/>
  <c r="AV2316" i="13"/>
  <c r="AV2317" i="13"/>
  <c r="AV2318" i="13"/>
  <c r="AV2319" i="13"/>
  <c r="AV2320" i="13"/>
  <c r="AV2321" i="13"/>
  <c r="AV2322" i="13"/>
  <c r="AV2323" i="13"/>
  <c r="AV2324" i="13"/>
  <c r="AV2325" i="13"/>
  <c r="AV2326" i="13"/>
  <c r="AV2327" i="13"/>
  <c r="AV2328" i="13"/>
  <c r="AV2329" i="13"/>
  <c r="AV2330" i="13"/>
  <c r="AV2331" i="13"/>
  <c r="AV2332" i="13"/>
  <c r="AV2333" i="13"/>
  <c r="AV2334" i="13"/>
  <c r="AV2335" i="13"/>
  <c r="AV2336" i="13"/>
  <c r="AV2337" i="13"/>
  <c r="AV2338" i="13"/>
  <c r="AV2339" i="13"/>
  <c r="AV2340" i="13"/>
  <c r="AV2341" i="13"/>
  <c r="AV2342" i="13"/>
  <c r="AV2343" i="13"/>
  <c r="AV2344" i="13"/>
  <c r="AV2345" i="13"/>
  <c r="AV2346" i="13"/>
  <c r="AV2347" i="13"/>
  <c r="AV2348" i="13"/>
  <c r="AV2349" i="13"/>
  <c r="AV2350" i="13"/>
  <c r="AV2351" i="13"/>
  <c r="AV2352" i="13"/>
  <c r="AV2353" i="13"/>
  <c r="AV2354" i="13"/>
  <c r="AV2355" i="13"/>
  <c r="AV2356" i="13"/>
  <c r="AV2357" i="13"/>
  <c r="AV2358" i="13"/>
  <c r="AV2359" i="13"/>
  <c r="AV2360" i="13"/>
  <c r="AV2361" i="13"/>
  <c r="AV2362" i="13"/>
  <c r="AV2363" i="13"/>
  <c r="AV2364" i="13"/>
  <c r="AV2365" i="13"/>
  <c r="AV2366" i="13"/>
  <c r="AV2367" i="13"/>
  <c r="AV2368" i="13"/>
  <c r="AV2369" i="13"/>
  <c r="AV2370" i="13"/>
  <c r="AV2371" i="13"/>
  <c r="AV2372" i="13"/>
  <c r="AV2373" i="13"/>
  <c r="AV2374" i="13"/>
  <c r="AV2375" i="13"/>
  <c r="AV2376" i="13"/>
  <c r="AV2377" i="13"/>
  <c r="AV2378" i="13"/>
  <c r="AV2379" i="13"/>
  <c r="AV2380" i="13"/>
  <c r="AV2381" i="13"/>
  <c r="AV2382" i="13"/>
  <c r="AV2383" i="13"/>
  <c r="AV2384" i="13"/>
  <c r="AV2385" i="13"/>
  <c r="AV2386" i="13"/>
  <c r="AV2387" i="13"/>
  <c r="AV2388" i="13"/>
  <c r="AV2389" i="13"/>
  <c r="AV2390" i="13"/>
  <c r="AV2391" i="13"/>
  <c r="AV2392" i="13"/>
  <c r="AV2393" i="13"/>
  <c r="AV2394" i="13"/>
  <c r="AV2395" i="13"/>
  <c r="AV2396" i="13"/>
  <c r="AV2397" i="13"/>
  <c r="AV2398" i="13"/>
  <c r="AV2399" i="13"/>
  <c r="AV2400" i="13"/>
  <c r="AV2401" i="13"/>
  <c r="AV2402" i="13"/>
  <c r="AV2403" i="13"/>
  <c r="AV2404" i="13"/>
  <c r="AV2405" i="13"/>
  <c r="AV2406" i="13"/>
  <c r="AV2407" i="13"/>
  <c r="AV2408" i="13"/>
  <c r="AV2409" i="13"/>
  <c r="AV2410" i="13"/>
  <c r="AV2411" i="13"/>
  <c r="AV2412" i="13"/>
  <c r="AV2413" i="13"/>
  <c r="AV2414" i="13"/>
  <c r="AV2415" i="13"/>
  <c r="AV2416" i="13"/>
  <c r="AV2417" i="13"/>
  <c r="AV2418" i="13"/>
  <c r="AV2419" i="13"/>
  <c r="AV2420" i="13"/>
  <c r="AV2421" i="13"/>
  <c r="AV2422" i="13"/>
  <c r="AV2423" i="13"/>
  <c r="AV2424" i="13"/>
  <c r="AV2425" i="13"/>
  <c r="AV2426" i="13"/>
  <c r="AV2427" i="13"/>
  <c r="AV2428" i="13"/>
  <c r="AV2429" i="13"/>
  <c r="AV2430" i="13"/>
  <c r="AV2431" i="13"/>
  <c r="AV2432" i="13"/>
  <c r="AV2433" i="13"/>
  <c r="AV2434" i="13"/>
  <c r="AV2435" i="13"/>
  <c r="AV2436" i="13"/>
  <c r="AV2437" i="13"/>
  <c r="AV2438" i="13"/>
  <c r="AV2439" i="13"/>
  <c r="AV2440" i="13"/>
  <c r="AV2441" i="13"/>
  <c r="AV2442" i="13"/>
  <c r="AV2443" i="13"/>
  <c r="AV2444" i="13"/>
  <c r="AV2445" i="13"/>
  <c r="AV2446" i="13"/>
  <c r="AV2447" i="13"/>
  <c r="AV2448" i="13"/>
  <c r="AV2449" i="13"/>
  <c r="AV2450" i="13"/>
  <c r="AV2451" i="13"/>
  <c r="AV2452" i="13"/>
  <c r="CK1588" i="13"/>
  <c r="CM1588" i="13"/>
  <c r="CN1588" i="13"/>
  <c r="CK1589" i="13"/>
  <c r="CM1589" i="13"/>
  <c r="CN1589" i="13"/>
  <c r="CK1590" i="13"/>
  <c r="CM1590" i="13"/>
  <c r="CN1590" i="13"/>
  <c r="CK1591" i="13"/>
  <c r="CM1591" i="13"/>
  <c r="CN1591" i="13"/>
  <c r="CK1592" i="13"/>
  <c r="CM1592" i="13"/>
  <c r="CN1592" i="13"/>
  <c r="CK1593" i="13"/>
  <c r="CM1593" i="13"/>
  <c r="CN1593" i="13"/>
  <c r="CK1594" i="13"/>
  <c r="CM1594" i="13"/>
  <c r="CN1594" i="13"/>
  <c r="CK1596" i="13"/>
  <c r="CM1596" i="13"/>
  <c r="CN1596" i="13"/>
  <c r="CK1597" i="13"/>
  <c r="CM1597" i="13"/>
  <c r="CN1597" i="13"/>
  <c r="CK1598" i="13"/>
  <c r="CM1598" i="13"/>
  <c r="CN1598" i="13"/>
  <c r="CK1599" i="13"/>
  <c r="CM1599" i="13"/>
  <c r="CN1599" i="13"/>
  <c r="CK1600" i="13"/>
  <c r="CM1600" i="13"/>
  <c r="CN1600" i="13"/>
  <c r="CK1601" i="13"/>
  <c r="CM1601" i="13"/>
  <c r="CN1601" i="13"/>
  <c r="CK1602" i="13"/>
  <c r="CM1602" i="13"/>
  <c r="CN1602" i="13"/>
  <c r="CK1603" i="13"/>
  <c r="CM1603" i="13"/>
  <c r="CN1603" i="13"/>
  <c r="CK1604" i="13"/>
  <c r="CM1604" i="13"/>
  <c r="CN1604" i="13"/>
  <c r="CK1606" i="13"/>
  <c r="CM1606" i="13"/>
  <c r="CN1606" i="13"/>
  <c r="CK1607" i="13"/>
  <c r="CM1607" i="13"/>
  <c r="CN1607" i="13"/>
  <c r="CK1608" i="13"/>
  <c r="CM1608" i="13"/>
  <c r="CN1608" i="13"/>
  <c r="CK1609" i="13"/>
  <c r="CM1609" i="13"/>
  <c r="CN1609" i="13"/>
  <c r="CK1610" i="13"/>
  <c r="CM1610" i="13"/>
  <c r="CN1610" i="13"/>
  <c r="CK1611" i="13"/>
  <c r="CM1611" i="13"/>
  <c r="CN1611" i="13"/>
  <c r="CK1612" i="13"/>
  <c r="CM1612" i="13"/>
  <c r="CN1612" i="13"/>
  <c r="CK1613" i="13"/>
  <c r="CM1613" i="13"/>
  <c r="CN1613" i="13"/>
  <c r="CK1614" i="13"/>
  <c r="CM1614" i="13"/>
  <c r="CN1614" i="13"/>
  <c r="CK1617" i="13"/>
  <c r="CM1617" i="13"/>
  <c r="CN1617" i="13"/>
  <c r="CK1618" i="13"/>
  <c r="CM1618" i="13"/>
  <c r="CN1618" i="13"/>
  <c r="CK1619" i="13"/>
  <c r="CM1619" i="13"/>
  <c r="CN1619" i="13"/>
  <c r="CK1620" i="13"/>
  <c r="CM1620" i="13"/>
  <c r="CN1620" i="13"/>
  <c r="CK1621" i="13"/>
  <c r="CM1621" i="13"/>
  <c r="CN1621" i="13"/>
  <c r="CK1622" i="13"/>
  <c r="CM1622" i="13"/>
  <c r="CN1622" i="13"/>
  <c r="CK1623" i="13"/>
  <c r="CM1623" i="13"/>
  <c r="CN1623" i="13"/>
  <c r="CK1624" i="13"/>
  <c r="CM1624" i="13"/>
  <c r="CN1624" i="13"/>
  <c r="CK1625" i="13"/>
  <c r="CL1625" i="13" s="1"/>
  <c r="CM1625" i="13"/>
  <c r="CN1625" i="13"/>
  <c r="CK1626" i="13"/>
  <c r="CM1626" i="13"/>
  <c r="CN1626" i="13"/>
  <c r="CK1627" i="13"/>
  <c r="CM1627" i="13"/>
  <c r="CN1627" i="13"/>
  <c r="CK1628" i="13"/>
  <c r="CM1628" i="13"/>
  <c r="CN1628" i="13"/>
  <c r="CK1629" i="13"/>
  <c r="CM1629" i="13"/>
  <c r="CN1629" i="13"/>
  <c r="CK1630" i="13"/>
  <c r="CM1630" i="13"/>
  <c r="CN1630" i="13"/>
  <c r="CK1631" i="13"/>
  <c r="CM1631" i="13"/>
  <c r="CN1631" i="13"/>
  <c r="CK1632" i="13"/>
  <c r="CM1632" i="13"/>
  <c r="CN1632" i="13"/>
  <c r="CK1633" i="13"/>
  <c r="CM1633" i="13"/>
  <c r="CN1633" i="13"/>
  <c r="CK1634" i="13"/>
  <c r="CM1634" i="13"/>
  <c r="CN1634" i="13"/>
  <c r="CK1635" i="13"/>
  <c r="CM1635" i="13"/>
  <c r="CN1635" i="13"/>
  <c r="CK1636" i="13"/>
  <c r="CM1636" i="13"/>
  <c r="CN1636" i="13"/>
  <c r="CK1637" i="13"/>
  <c r="CM1637" i="13"/>
  <c r="CN1637" i="13"/>
  <c r="CK1639" i="13"/>
  <c r="CM1639" i="13"/>
  <c r="CN1639" i="13"/>
  <c r="CK1640" i="13"/>
  <c r="CM1640" i="13"/>
  <c r="CN1640" i="13"/>
  <c r="CK1641" i="13"/>
  <c r="CM1641" i="13"/>
  <c r="CN1641" i="13"/>
  <c r="CK1642" i="13"/>
  <c r="CM1642" i="13"/>
  <c r="CN1642" i="13"/>
  <c r="CK1643" i="13"/>
  <c r="CM1643" i="13"/>
  <c r="CN1643" i="13"/>
  <c r="CK1645" i="13"/>
  <c r="CM1645" i="13"/>
  <c r="CN1645" i="13"/>
  <c r="CK1646" i="13"/>
  <c r="CM1646" i="13"/>
  <c r="CN1646" i="13"/>
  <c r="CK1647" i="13"/>
  <c r="CM1647" i="13"/>
  <c r="CN1647" i="13"/>
  <c r="CP1567" i="13"/>
  <c r="CQ1567" i="13"/>
  <c r="CR1567" i="13"/>
  <c r="CS1567" i="13"/>
  <c r="CT1567" i="13"/>
  <c r="BO1177" i="13"/>
  <c r="AX1177" i="13"/>
  <c r="BO1176" i="13"/>
  <c r="AX1176" i="13"/>
  <c r="BO1175" i="13"/>
  <c r="AX1175" i="13"/>
  <c r="AX1174" i="13"/>
  <c r="CK1174" i="13" s="1"/>
  <c r="AX1173" i="13"/>
  <c r="CK1173" i="13" s="1"/>
  <c r="AX1172" i="13"/>
  <c r="CK1172" i="13" s="1"/>
  <c r="AX1171" i="13"/>
  <c r="CK1171" i="13" s="1"/>
  <c r="BO1170" i="13"/>
  <c r="CK1170" i="13" s="1"/>
  <c r="G1170" i="13"/>
  <c r="BO1169" i="13"/>
  <c r="CK1169" i="13" s="1"/>
  <c r="BO1168" i="13"/>
  <c r="CK1168" i="13" s="1"/>
  <c r="BO1167" i="13"/>
  <c r="CK1167" i="13" s="1"/>
  <c r="BO1166" i="13"/>
  <c r="CK1166" i="13" s="1"/>
  <c r="BO1164" i="13"/>
  <c r="CK1164" i="13" s="1"/>
  <c r="BO1163" i="13"/>
  <c r="CK1163" i="13" s="1"/>
  <c r="BO1162" i="13"/>
  <c r="CK1162" i="13" s="1"/>
  <c r="CJ1161" i="13"/>
  <c r="CJ1180" i="13" s="1"/>
  <c r="BO1161" i="13"/>
  <c r="AX1161" i="13"/>
  <c r="BO1159" i="13"/>
  <c r="AX1159" i="13"/>
  <c r="AX1157" i="13"/>
  <c r="CK1157" i="13" s="1"/>
  <c r="BO1156" i="13"/>
  <c r="AX1156" i="13"/>
  <c r="BO1155" i="13"/>
  <c r="AZ1155" i="13"/>
  <c r="AZ1180" i="13" s="1"/>
  <c r="AX1155" i="13"/>
  <c r="CM1172" i="13"/>
  <c r="CN1172" i="13"/>
  <c r="CM1173" i="13"/>
  <c r="CN1173" i="13"/>
  <c r="CM1174" i="13"/>
  <c r="CN1174" i="13"/>
  <c r="CM1175" i="13"/>
  <c r="CN1175" i="13"/>
  <c r="CM1176" i="13"/>
  <c r="CN1176" i="13"/>
  <c r="CM1177" i="13"/>
  <c r="CN1177" i="13"/>
  <c r="AV1168" i="13"/>
  <c r="AV1169" i="13"/>
  <c r="AV1170" i="13"/>
  <c r="AV1171" i="13"/>
  <c r="AV1172" i="13"/>
  <c r="AV1173" i="13"/>
  <c r="AV1174" i="13"/>
  <c r="AV1175" i="13"/>
  <c r="AV1176" i="13"/>
  <c r="AV1177" i="13"/>
  <c r="AX1089" i="13"/>
  <c r="CK1089" i="13" s="1"/>
  <c r="AX1087" i="13"/>
  <c r="CK1087" i="13" s="1"/>
  <c r="AX1083" i="13"/>
  <c r="AX1081" i="13"/>
  <c r="CK1081" i="13" s="1"/>
  <c r="AX1080" i="13"/>
  <c r="AY1080" i="13" s="1"/>
  <c r="AX1079" i="13"/>
  <c r="AY1079" i="13" s="1"/>
  <c r="G1065" i="13"/>
  <c r="AX1054" i="13"/>
  <c r="CK1054" i="13" s="1"/>
  <c r="G1051" i="13"/>
  <c r="G1052" i="13" s="1"/>
  <c r="G1053" i="13" s="1"/>
  <c r="AX1040" i="13"/>
  <c r="CK1040" i="13" s="1"/>
  <c r="G1036" i="13"/>
  <c r="G1031" i="13"/>
  <c r="AX1030" i="13"/>
  <c r="G1029" i="13"/>
  <c r="G1033" i="13" s="1"/>
  <c r="AX978" i="13"/>
  <c r="CK978" i="13" s="1"/>
  <c r="G1007" i="13"/>
  <c r="CK1022" i="13"/>
  <c r="CM1022" i="13"/>
  <c r="CN1022" i="13"/>
  <c r="CK1023" i="13"/>
  <c r="CM1023" i="13"/>
  <c r="CN1023" i="13"/>
  <c r="CK1024" i="13"/>
  <c r="CM1024" i="13"/>
  <c r="CN1024" i="13"/>
  <c r="CK1025" i="13"/>
  <c r="CM1025" i="13"/>
  <c r="CN1025" i="13"/>
  <c r="CK1026" i="13"/>
  <c r="CM1026" i="13"/>
  <c r="CN1026" i="13"/>
  <c r="CK1027" i="13"/>
  <c r="CM1027" i="13"/>
  <c r="CN1027" i="13"/>
  <c r="CK1028" i="13"/>
  <c r="CM1028" i="13"/>
  <c r="CN1028" i="13"/>
  <c r="CK1029" i="13"/>
  <c r="CM1029" i="13"/>
  <c r="CN1029" i="13"/>
  <c r="CK1030" i="13"/>
  <c r="CM1030" i="13"/>
  <c r="CN1030" i="13"/>
  <c r="CK1031" i="13"/>
  <c r="CM1031" i="13"/>
  <c r="CN1031" i="13"/>
  <c r="CK1032" i="13"/>
  <c r="CM1032" i="13"/>
  <c r="CN1032" i="13"/>
  <c r="CK1033" i="13"/>
  <c r="CM1033" i="13"/>
  <c r="CN1033" i="13"/>
  <c r="CK1034" i="13"/>
  <c r="CM1034" i="13"/>
  <c r="CN1034" i="13"/>
  <c r="CK1035" i="13"/>
  <c r="CM1035" i="13"/>
  <c r="CN1035" i="13"/>
  <c r="CK1036" i="13"/>
  <c r="CM1036" i="13"/>
  <c r="CN1036" i="13"/>
  <c r="CK1037" i="13"/>
  <c r="CM1037" i="13"/>
  <c r="CN1037" i="13"/>
  <c r="CK1038" i="13"/>
  <c r="CM1038" i="13"/>
  <c r="CN1038" i="13"/>
  <c r="CK1039" i="13"/>
  <c r="CM1039" i="13"/>
  <c r="CN1039" i="13"/>
  <c r="CM1040" i="13"/>
  <c r="CN1040" i="13"/>
  <c r="CK1041" i="13"/>
  <c r="CM1041" i="13"/>
  <c r="CN1041" i="13"/>
  <c r="CK1042" i="13"/>
  <c r="CM1042" i="13"/>
  <c r="CN1042" i="13"/>
  <c r="CK1043" i="13"/>
  <c r="CM1043" i="13"/>
  <c r="CN1043" i="13"/>
  <c r="CK1044" i="13"/>
  <c r="CM1044" i="13"/>
  <c r="CN1044" i="13"/>
  <c r="CK1045" i="13"/>
  <c r="CM1045" i="13"/>
  <c r="CN1045" i="13"/>
  <c r="CK1046" i="13"/>
  <c r="CM1046" i="13"/>
  <c r="CN1046" i="13"/>
  <c r="CK1047" i="13"/>
  <c r="CM1047" i="13"/>
  <c r="CN1047" i="13"/>
  <c r="CK1048" i="13"/>
  <c r="CM1048" i="13"/>
  <c r="CN1048" i="13"/>
  <c r="CK1049" i="13"/>
  <c r="CM1049" i="13"/>
  <c r="CN1049" i="13"/>
  <c r="CK1050" i="13"/>
  <c r="CM1050" i="13"/>
  <c r="CN1050" i="13"/>
  <c r="CK1051" i="13"/>
  <c r="CM1051" i="13"/>
  <c r="CN1051" i="13"/>
  <c r="CK1052" i="13"/>
  <c r="CM1052" i="13"/>
  <c r="CN1052" i="13"/>
  <c r="CK1053" i="13"/>
  <c r="CM1053" i="13"/>
  <c r="CN1053" i="13"/>
  <c r="CM1054" i="13"/>
  <c r="CN1054" i="13"/>
  <c r="CK1055" i="13"/>
  <c r="CM1055" i="13"/>
  <c r="CN1055" i="13"/>
  <c r="CK1056" i="13"/>
  <c r="CM1056" i="13"/>
  <c r="CN1056" i="13"/>
  <c r="CK1057" i="13"/>
  <c r="CM1057" i="13"/>
  <c r="CN1057" i="13"/>
  <c r="CK1058" i="13"/>
  <c r="CM1058" i="13"/>
  <c r="CN1058" i="13"/>
  <c r="CK1059" i="13"/>
  <c r="CM1059" i="13"/>
  <c r="CN1059" i="13"/>
  <c r="CK1060" i="13"/>
  <c r="CM1060" i="13"/>
  <c r="CN1060" i="13"/>
  <c r="CK1061" i="13"/>
  <c r="CM1061" i="13"/>
  <c r="CN1061" i="13"/>
  <c r="CK1062" i="13"/>
  <c r="CM1062" i="13"/>
  <c r="CN1062" i="13"/>
  <c r="CK1063" i="13"/>
  <c r="CM1063" i="13"/>
  <c r="CN1063" i="13"/>
  <c r="CK1064" i="13"/>
  <c r="CM1064" i="13"/>
  <c r="CN1064" i="13"/>
  <c r="CK1065" i="13"/>
  <c r="CM1065" i="13"/>
  <c r="CN1065" i="13"/>
  <c r="CK1066" i="13"/>
  <c r="CM1066" i="13"/>
  <c r="CN1066" i="13"/>
  <c r="CK1067" i="13"/>
  <c r="CM1067" i="13"/>
  <c r="CN1067" i="13"/>
  <c r="CK1068" i="13"/>
  <c r="CM1068" i="13"/>
  <c r="CN1068" i="13"/>
  <c r="CK1069" i="13"/>
  <c r="CM1069" i="13"/>
  <c r="CN1069" i="13"/>
  <c r="CK1070" i="13"/>
  <c r="CM1070" i="13"/>
  <c r="CN1070" i="13"/>
  <c r="CK1071" i="13"/>
  <c r="CM1071" i="13"/>
  <c r="CN1071" i="13"/>
  <c r="CK1072" i="13"/>
  <c r="CM1072" i="13"/>
  <c r="CN1072" i="13"/>
  <c r="CK1073" i="13"/>
  <c r="CM1073" i="13"/>
  <c r="CN1073" i="13"/>
  <c r="CK1074" i="13"/>
  <c r="CM1074" i="13"/>
  <c r="CN1074" i="13"/>
  <c r="CK1075" i="13"/>
  <c r="CM1075" i="13"/>
  <c r="CN1075" i="13"/>
  <c r="CK1076" i="13"/>
  <c r="CM1076" i="13"/>
  <c r="CN1076" i="13"/>
  <c r="CK1077" i="13"/>
  <c r="CM1077" i="13"/>
  <c r="CN1077" i="13"/>
  <c r="CK1078" i="13"/>
  <c r="CM1078" i="13"/>
  <c r="CN1078" i="13"/>
  <c r="CM1079" i="13"/>
  <c r="CN1079" i="13"/>
  <c r="CM1080" i="13"/>
  <c r="CN1080" i="13"/>
  <c r="CM1081" i="13"/>
  <c r="CN1081" i="13"/>
  <c r="CK1082" i="13"/>
  <c r="CM1082" i="13"/>
  <c r="CN1082" i="13"/>
  <c r="CK1083" i="13"/>
  <c r="CM1083" i="13"/>
  <c r="CN1083" i="13"/>
  <c r="CK1084" i="13"/>
  <c r="CM1084" i="13"/>
  <c r="CN1084" i="13"/>
  <c r="CK1085" i="13"/>
  <c r="CM1085" i="13"/>
  <c r="CN1085" i="13"/>
  <c r="CK1086" i="13"/>
  <c r="CM1086" i="13"/>
  <c r="CN1086" i="13"/>
  <c r="CM1087" i="13"/>
  <c r="CN1087" i="13"/>
  <c r="CK1088" i="13"/>
  <c r="CM1088" i="13"/>
  <c r="CN1088" i="13"/>
  <c r="CM1089" i="13"/>
  <c r="CN1089" i="13"/>
  <c r="CK1090" i="13"/>
  <c r="CM1090" i="13"/>
  <c r="CN1090" i="13"/>
  <c r="CK1091" i="13"/>
  <c r="CM1091" i="13"/>
  <c r="CN1091" i="13"/>
  <c r="CK1092" i="13"/>
  <c r="CM1092" i="13"/>
  <c r="CN1092" i="13"/>
  <c r="CK1093" i="13"/>
  <c r="CM1093" i="13"/>
  <c r="CN1093" i="13"/>
  <c r="CK1094" i="13"/>
  <c r="CM1094" i="13"/>
  <c r="CN1094" i="13"/>
  <c r="CK1095" i="13"/>
  <c r="CM1095" i="13"/>
  <c r="CN1095" i="13"/>
  <c r="CK1096" i="13"/>
  <c r="CM1096" i="13"/>
  <c r="CN1096" i="13"/>
  <c r="CK1097" i="13"/>
  <c r="CM1097" i="13"/>
  <c r="CN1097" i="13"/>
  <c r="CK1098" i="13"/>
  <c r="CM1098" i="13"/>
  <c r="CN1098" i="13"/>
  <c r="CK1099" i="13"/>
  <c r="CM1099" i="13"/>
  <c r="CN1099" i="13"/>
  <c r="CK1100" i="13"/>
  <c r="CM1100" i="13"/>
  <c r="CN1100" i="13"/>
  <c r="CK1101" i="13"/>
  <c r="CM1101" i="13"/>
  <c r="CN1101" i="13"/>
  <c r="CK1102" i="13"/>
  <c r="CM1102" i="13"/>
  <c r="CN1102" i="13"/>
  <c r="CK1103" i="13"/>
  <c r="CM1103" i="13"/>
  <c r="CN1103" i="13"/>
  <c r="CK1104" i="13"/>
  <c r="CM1104" i="13"/>
  <c r="CN1104" i="13"/>
  <c r="CK1105" i="13"/>
  <c r="CM1105" i="13"/>
  <c r="CN1105" i="13"/>
  <c r="CK1106" i="13"/>
  <c r="CM1106" i="13"/>
  <c r="CN1106" i="13"/>
  <c r="CK1107" i="13"/>
  <c r="CM1107" i="13"/>
  <c r="CN1107" i="13"/>
  <c r="CK1108" i="13"/>
  <c r="CM1108" i="13"/>
  <c r="CN1108" i="13"/>
  <c r="CK1109" i="13"/>
  <c r="CM1109" i="13"/>
  <c r="CN1109" i="13"/>
  <c r="CK1110" i="13"/>
  <c r="CM1110" i="13"/>
  <c r="CN1110" i="13"/>
  <c r="CK1111" i="13"/>
  <c r="CM1111" i="13"/>
  <c r="CN1111" i="13"/>
  <c r="CK1112" i="13"/>
  <c r="CM1112" i="13"/>
  <c r="CN1112" i="13"/>
  <c r="CK1113" i="13"/>
  <c r="CM1113" i="13"/>
  <c r="CN1113" i="13"/>
  <c r="CK1114" i="13"/>
  <c r="CM1114" i="13"/>
  <c r="CN1114" i="13"/>
  <c r="CK1115" i="13"/>
  <c r="CM1115" i="13"/>
  <c r="CN1115" i="13"/>
  <c r="CK1116" i="13"/>
  <c r="CM1116" i="13"/>
  <c r="CN1116" i="13"/>
  <c r="CK1117" i="13"/>
  <c r="CM1117" i="13"/>
  <c r="CN1117" i="13"/>
  <c r="CK1118" i="13"/>
  <c r="CM1118" i="13"/>
  <c r="CN1118" i="13"/>
  <c r="CK1119" i="13"/>
  <c r="CM1119" i="13"/>
  <c r="CN1119" i="13"/>
  <c r="CK1120" i="13"/>
  <c r="CM1120" i="13"/>
  <c r="CN1120" i="13"/>
  <c r="CK1121" i="13"/>
  <c r="CM1121" i="13"/>
  <c r="CN1121" i="13"/>
  <c r="CK1122" i="13"/>
  <c r="CM1122" i="13"/>
  <c r="CN1122" i="13"/>
  <c r="CK1123" i="13"/>
  <c r="CM1123" i="13"/>
  <c r="CN1123" i="13"/>
  <c r="CK1124" i="13"/>
  <c r="CM1124" i="13"/>
  <c r="CN1124" i="13"/>
  <c r="CK1125" i="13"/>
  <c r="CM1125" i="13"/>
  <c r="CN1125" i="13"/>
  <c r="CK1126" i="13"/>
  <c r="CM1126" i="13"/>
  <c r="CN1126" i="13"/>
  <c r="CK1127" i="13"/>
  <c r="CM1127" i="13"/>
  <c r="CN1127" i="13"/>
  <c r="CK1128" i="13"/>
  <c r="CM1128" i="13"/>
  <c r="CN1128" i="13"/>
  <c r="CK1129" i="13"/>
  <c r="CM1129" i="13"/>
  <c r="CN1129" i="13"/>
  <c r="CK1130" i="13"/>
  <c r="CM1130" i="13"/>
  <c r="CN1130" i="13"/>
  <c r="CK1131" i="13"/>
  <c r="CM1131" i="13"/>
  <c r="CN1131" i="13"/>
  <c r="CK1132" i="13"/>
  <c r="CM1132" i="13"/>
  <c r="CN1132" i="13"/>
  <c r="CK1133" i="13"/>
  <c r="CM1133" i="13"/>
  <c r="CN1133" i="13"/>
  <c r="CK1134" i="13"/>
  <c r="CM1134" i="13"/>
  <c r="CN1134" i="13"/>
  <c r="CK1135" i="13"/>
  <c r="CM1135" i="13"/>
  <c r="CN1135" i="13"/>
  <c r="CK1136" i="13"/>
  <c r="CM1136" i="13"/>
  <c r="CN1136" i="13"/>
  <c r="CK1137" i="13"/>
  <c r="CM1137" i="13"/>
  <c r="CN1137" i="13"/>
  <c r="CK1138" i="13"/>
  <c r="CM1138" i="13"/>
  <c r="CN1138" i="13"/>
  <c r="CK1139" i="13"/>
  <c r="CM1139" i="13"/>
  <c r="CN1139" i="13"/>
  <c r="CK1140" i="13"/>
  <c r="CM1140" i="13"/>
  <c r="CN1140" i="13"/>
  <c r="CK1141" i="13"/>
  <c r="CM1141" i="13"/>
  <c r="CN1141" i="13"/>
  <c r="CK1142" i="13"/>
  <c r="CM1142" i="13"/>
  <c r="CN1142" i="13"/>
  <c r="CK1143" i="13"/>
  <c r="CM1143" i="13"/>
  <c r="CN1143" i="13"/>
  <c r="CK1144" i="13"/>
  <c r="CM1144" i="13"/>
  <c r="CN1144" i="13"/>
  <c r="CK1145" i="13"/>
  <c r="CM1145" i="13"/>
  <c r="CN1145" i="13"/>
  <c r="CK1146" i="13"/>
  <c r="CM1146" i="13"/>
  <c r="CN1146" i="13"/>
  <c r="CK1147" i="13"/>
  <c r="CM1147" i="13"/>
  <c r="CN1147" i="13"/>
  <c r="CK1148" i="13"/>
  <c r="CM1148" i="13"/>
  <c r="CN1148" i="13"/>
  <c r="CK1149" i="13"/>
  <c r="CM1149" i="13"/>
  <c r="CN1149" i="13"/>
  <c r="CK1150" i="13"/>
  <c r="CM1150" i="13"/>
  <c r="CN1150" i="13"/>
  <c r="CK1151" i="13"/>
  <c r="CM1151" i="13"/>
  <c r="CN1151" i="13"/>
  <c r="CK1152" i="13"/>
  <c r="CM1152" i="13"/>
  <c r="CN1152" i="13"/>
  <c r="CK1153" i="13"/>
  <c r="CM1153" i="13"/>
  <c r="CN1153" i="13"/>
  <c r="CK1154" i="13"/>
  <c r="CM1154" i="13"/>
  <c r="CN1154" i="13"/>
  <c r="CM1155" i="13"/>
  <c r="CN1155" i="13"/>
  <c r="CM1156" i="13"/>
  <c r="CN1156" i="13"/>
  <c r="CM1157" i="13"/>
  <c r="CN1157" i="13"/>
  <c r="CK1158" i="13"/>
  <c r="CM1158" i="13"/>
  <c r="CN1158" i="13"/>
  <c r="CM1159" i="13"/>
  <c r="CN1159" i="13"/>
  <c r="CK1160" i="13"/>
  <c r="CM1160" i="13"/>
  <c r="CN1160" i="13"/>
  <c r="CM1161" i="13"/>
  <c r="CN1161" i="13"/>
  <c r="CM1162" i="13"/>
  <c r="CN1162" i="13"/>
  <c r="CM1163" i="13"/>
  <c r="CN1163" i="13"/>
  <c r="CM1164" i="13"/>
  <c r="CN1164" i="13"/>
  <c r="CK1165" i="13"/>
  <c r="CM1165" i="13"/>
  <c r="CN1165" i="13"/>
  <c r="CM1166" i="13"/>
  <c r="CN1166" i="13"/>
  <c r="CM1167" i="13"/>
  <c r="CN1167" i="13"/>
  <c r="CM1168" i="13"/>
  <c r="CN1168" i="13"/>
  <c r="CM1169" i="13"/>
  <c r="CN1169" i="13"/>
  <c r="CM1170" i="13"/>
  <c r="CN1170" i="13"/>
  <c r="CM1171" i="13"/>
  <c r="CN1171" i="13"/>
  <c r="AV1020" i="13"/>
  <c r="AV1021" i="13"/>
  <c r="AV1022" i="13"/>
  <c r="AV1023" i="13"/>
  <c r="AV1024" i="13"/>
  <c r="AV1025" i="13"/>
  <c r="AV1026" i="13"/>
  <c r="AV1027" i="13"/>
  <c r="AV1028" i="13"/>
  <c r="AV1029" i="13"/>
  <c r="AV1030" i="13"/>
  <c r="AV1031" i="13"/>
  <c r="AV1032" i="13"/>
  <c r="AV1033" i="13"/>
  <c r="AV1034" i="13"/>
  <c r="AV1035" i="13"/>
  <c r="AV1036" i="13"/>
  <c r="AV1037" i="13"/>
  <c r="AV1038" i="13"/>
  <c r="AV1039" i="13"/>
  <c r="AV1040" i="13"/>
  <c r="AV1041" i="13"/>
  <c r="AV1042" i="13"/>
  <c r="AV1043" i="13"/>
  <c r="AV1044" i="13"/>
  <c r="AV1045" i="13"/>
  <c r="AV1046" i="13"/>
  <c r="AV1047" i="13"/>
  <c r="AV1048" i="13"/>
  <c r="AV1049" i="13"/>
  <c r="AV1050" i="13"/>
  <c r="AV1051" i="13"/>
  <c r="AV1052" i="13"/>
  <c r="AV1053" i="13"/>
  <c r="AV1054" i="13"/>
  <c r="AV1055" i="13"/>
  <c r="AV1056" i="13"/>
  <c r="AV1057" i="13"/>
  <c r="AV1058" i="13"/>
  <c r="AV1059" i="13"/>
  <c r="AV1060" i="13"/>
  <c r="AV1061" i="13"/>
  <c r="AV1062" i="13"/>
  <c r="AV1063" i="13"/>
  <c r="AV1064" i="13"/>
  <c r="AV1065" i="13"/>
  <c r="AV1066" i="13"/>
  <c r="AV1067" i="13"/>
  <c r="AV1068" i="13"/>
  <c r="AV1069" i="13"/>
  <c r="AV1070" i="13"/>
  <c r="AV1071" i="13"/>
  <c r="AV1072" i="13"/>
  <c r="AV1073" i="13"/>
  <c r="AV1074" i="13"/>
  <c r="AV1075" i="13"/>
  <c r="AV1076" i="13"/>
  <c r="AV1077" i="13"/>
  <c r="AV1078" i="13"/>
  <c r="AV1079" i="13"/>
  <c r="AV1080" i="13"/>
  <c r="AV1081" i="13"/>
  <c r="AV1082" i="13"/>
  <c r="AV1083" i="13"/>
  <c r="AV1084" i="13"/>
  <c r="AV1085" i="13"/>
  <c r="AV1086" i="13"/>
  <c r="AV1087" i="13"/>
  <c r="AV1088" i="13"/>
  <c r="AV1089" i="13"/>
  <c r="AV1090" i="13"/>
  <c r="AV1091" i="13"/>
  <c r="AV1092" i="13"/>
  <c r="AV1093" i="13"/>
  <c r="AV1094" i="13"/>
  <c r="AV1095" i="13"/>
  <c r="AV1096" i="13"/>
  <c r="AV1097" i="13"/>
  <c r="AV1098" i="13"/>
  <c r="AV1099" i="13"/>
  <c r="AV1100" i="13"/>
  <c r="AV1101" i="13"/>
  <c r="AV1102" i="13"/>
  <c r="AV1103" i="13"/>
  <c r="AV1104" i="13"/>
  <c r="AV1105" i="13"/>
  <c r="AV1106" i="13"/>
  <c r="AV1107" i="13"/>
  <c r="AV1108" i="13"/>
  <c r="AV1109" i="13"/>
  <c r="AV1110" i="13"/>
  <c r="AV1111" i="13"/>
  <c r="AV1112" i="13"/>
  <c r="AV1113" i="13"/>
  <c r="AV1114" i="13"/>
  <c r="AV1115" i="13"/>
  <c r="AV1116" i="13"/>
  <c r="AV1117" i="13"/>
  <c r="AV1118" i="13"/>
  <c r="AV1119" i="13"/>
  <c r="AV1120" i="13"/>
  <c r="AV1121" i="13"/>
  <c r="AV1122" i="13"/>
  <c r="AV1123" i="13"/>
  <c r="AV1124" i="13"/>
  <c r="AV1125" i="13"/>
  <c r="AV1126" i="13"/>
  <c r="AV1127" i="13"/>
  <c r="AV1128" i="13"/>
  <c r="AV1129" i="13"/>
  <c r="AV1130" i="13"/>
  <c r="AV1131" i="13"/>
  <c r="AV1132" i="13"/>
  <c r="AV1133" i="13"/>
  <c r="AV1134" i="13"/>
  <c r="AV1135" i="13"/>
  <c r="AV1136" i="13"/>
  <c r="AV1137" i="13"/>
  <c r="AV1138" i="13"/>
  <c r="AV1139" i="13"/>
  <c r="AV1140" i="13"/>
  <c r="AV1141" i="13"/>
  <c r="AV1142" i="13"/>
  <c r="AV1143" i="13"/>
  <c r="AV1144" i="13"/>
  <c r="AV1145" i="13"/>
  <c r="AV1146" i="13"/>
  <c r="AV1147" i="13"/>
  <c r="AV1148" i="13"/>
  <c r="AV1149" i="13"/>
  <c r="AV1150" i="13"/>
  <c r="AV1151" i="13"/>
  <c r="AV1152" i="13"/>
  <c r="AV1153" i="13"/>
  <c r="AV1154" i="13"/>
  <c r="AV1155" i="13"/>
  <c r="AV1156" i="13"/>
  <c r="AV1157" i="13"/>
  <c r="AV1158" i="13"/>
  <c r="AV1159" i="13"/>
  <c r="AV1160" i="13"/>
  <c r="AV1161" i="13"/>
  <c r="AV1162" i="13"/>
  <c r="AV1163" i="13"/>
  <c r="AV1164" i="13"/>
  <c r="AV1165" i="13"/>
  <c r="AV1166" i="13"/>
  <c r="AV1167" i="13"/>
  <c r="AX979" i="13"/>
  <c r="CK979" i="13" s="1"/>
  <c r="G979" i="13"/>
  <c r="G978" i="13"/>
  <c r="G980" i="13" s="1"/>
  <c r="G981" i="13" s="1"/>
  <c r="AX974" i="13"/>
  <c r="AV953" i="13"/>
  <c r="AV954" i="13"/>
  <c r="AV955" i="13"/>
  <c r="AV956" i="13"/>
  <c r="AV957" i="13"/>
  <c r="AV958" i="13"/>
  <c r="AV959" i="13"/>
  <c r="AV960" i="13"/>
  <c r="AV961" i="13"/>
  <c r="AV962" i="13"/>
  <c r="AV963" i="13"/>
  <c r="AV964" i="13"/>
  <c r="AV965" i="13"/>
  <c r="AV966" i="13"/>
  <c r="AV968" i="13"/>
  <c r="AV969" i="13"/>
  <c r="AV970" i="13"/>
  <c r="AV971" i="13"/>
  <c r="AV972" i="13"/>
  <c r="AV973" i="13"/>
  <c r="AV974" i="13"/>
  <c r="AV975" i="13"/>
  <c r="AV976" i="13"/>
  <c r="AV977" i="13"/>
  <c r="AV978" i="13"/>
  <c r="AV979" i="13"/>
  <c r="AV980" i="13"/>
  <c r="AV981" i="13"/>
  <c r="AV982" i="13"/>
  <c r="AV983" i="13"/>
  <c r="AV984" i="13"/>
  <c r="AV985" i="13"/>
  <c r="AV986" i="13"/>
  <c r="AV987" i="13"/>
  <c r="AV988" i="13"/>
  <c r="AV989" i="13"/>
  <c r="AV990" i="13"/>
  <c r="AV991" i="13"/>
  <c r="AV992" i="13"/>
  <c r="AV993" i="13"/>
  <c r="AV994" i="13"/>
  <c r="AV995" i="13"/>
  <c r="AV996" i="13"/>
  <c r="AV997" i="13"/>
  <c r="AV998" i="13"/>
  <c r="AV999" i="13"/>
  <c r="AV1000" i="13"/>
  <c r="AV1001" i="13"/>
  <c r="AV1002" i="13"/>
  <c r="AV1003" i="13"/>
  <c r="AV1004" i="13"/>
  <c r="AV1005" i="13"/>
  <c r="AV1006" i="13"/>
  <c r="AV1007" i="13"/>
  <c r="AV1008" i="13"/>
  <c r="AV1009" i="13"/>
  <c r="AV1010" i="13"/>
  <c r="AV1011" i="13"/>
  <c r="AV1012" i="13"/>
  <c r="AV1013" i="13"/>
  <c r="AV1014" i="13"/>
  <c r="AV1015" i="13"/>
  <c r="AV1016" i="13"/>
  <c r="AV1017" i="13"/>
  <c r="AV1018" i="13"/>
  <c r="AV1019" i="13"/>
  <c r="CK948" i="13"/>
  <c r="CM948" i="13"/>
  <c r="CN948" i="13"/>
  <c r="CK949" i="13"/>
  <c r="CM949" i="13"/>
  <c r="CN949" i="13"/>
  <c r="CK950" i="13"/>
  <c r="CM950" i="13"/>
  <c r="CN950" i="13"/>
  <c r="CK951" i="13"/>
  <c r="CM951" i="13"/>
  <c r="CN951" i="13"/>
  <c r="CK952" i="13"/>
  <c r="CM952" i="13"/>
  <c r="CN952" i="13"/>
  <c r="CK953" i="13"/>
  <c r="CM953" i="13"/>
  <c r="CN953" i="13"/>
  <c r="CK954" i="13"/>
  <c r="CM954" i="13"/>
  <c r="CN954" i="13"/>
  <c r="CK955" i="13"/>
  <c r="CM955" i="13"/>
  <c r="CN955" i="13"/>
  <c r="CK956" i="13"/>
  <c r="CM956" i="13"/>
  <c r="CN956" i="13"/>
  <c r="CK957" i="13"/>
  <c r="CM957" i="13"/>
  <c r="CN957" i="13"/>
  <c r="CK958" i="13"/>
  <c r="CM958" i="13"/>
  <c r="CN958" i="13"/>
  <c r="CK959" i="13"/>
  <c r="CM959" i="13"/>
  <c r="CN959" i="13"/>
  <c r="CK960" i="13"/>
  <c r="CM960" i="13"/>
  <c r="CN960" i="13"/>
  <c r="CK961" i="13"/>
  <c r="CM961" i="13"/>
  <c r="CN961" i="13"/>
  <c r="CK962" i="13"/>
  <c r="CM962" i="13"/>
  <c r="CN962" i="13"/>
  <c r="CK963" i="13"/>
  <c r="CM963" i="13"/>
  <c r="CN963" i="13"/>
  <c r="CK964" i="13"/>
  <c r="CM964" i="13"/>
  <c r="CN964" i="13"/>
  <c r="CK965" i="13"/>
  <c r="CM965" i="13"/>
  <c r="CN965" i="13"/>
  <c r="CK966" i="13"/>
  <c r="CM966" i="13"/>
  <c r="CN966" i="13"/>
  <c r="CK968" i="13"/>
  <c r="CM968" i="13"/>
  <c r="CN968" i="13"/>
  <c r="CK969" i="13"/>
  <c r="CM969" i="13"/>
  <c r="CN969" i="13"/>
  <c r="CK970" i="13"/>
  <c r="CM970" i="13"/>
  <c r="CN970" i="13"/>
  <c r="CK971" i="13"/>
  <c r="CM971" i="13"/>
  <c r="CN971" i="13"/>
  <c r="CK972" i="13"/>
  <c r="CM972" i="13"/>
  <c r="CN972" i="13"/>
  <c r="CK973" i="13"/>
  <c r="CM973" i="13"/>
  <c r="CN973" i="13"/>
  <c r="CM974" i="13"/>
  <c r="CN974" i="13"/>
  <c r="CK975" i="13"/>
  <c r="CM975" i="13"/>
  <c r="CN975" i="13"/>
  <c r="CK976" i="13"/>
  <c r="CM976" i="13"/>
  <c r="CN976" i="13"/>
  <c r="CK977" i="13"/>
  <c r="CM977" i="13"/>
  <c r="CN977" i="13"/>
  <c r="CM978" i="13"/>
  <c r="CN978" i="13"/>
  <c r="CM979" i="13"/>
  <c r="CN979" i="13"/>
  <c r="CK980" i="13"/>
  <c r="CM980" i="13"/>
  <c r="CN980" i="13"/>
  <c r="CK981" i="13"/>
  <c r="CM981" i="13"/>
  <c r="CN981" i="13"/>
  <c r="CK982" i="13"/>
  <c r="CM982" i="13"/>
  <c r="CN982" i="13"/>
  <c r="CK983" i="13"/>
  <c r="CM983" i="13"/>
  <c r="CN983" i="13"/>
  <c r="CK984" i="13"/>
  <c r="CM984" i="13"/>
  <c r="CN984" i="13"/>
  <c r="CK985" i="13"/>
  <c r="CM985" i="13"/>
  <c r="CN985" i="13"/>
  <c r="CK986" i="13"/>
  <c r="CM986" i="13"/>
  <c r="CN986" i="13"/>
  <c r="CK987" i="13"/>
  <c r="CM987" i="13"/>
  <c r="CN987" i="13"/>
  <c r="CK988" i="13"/>
  <c r="CM988" i="13"/>
  <c r="CN988" i="13"/>
  <c r="CK989" i="13"/>
  <c r="CM989" i="13"/>
  <c r="CN989" i="13"/>
  <c r="CK990" i="13"/>
  <c r="CM990" i="13"/>
  <c r="CN990" i="13"/>
  <c r="CK991" i="13"/>
  <c r="CM991" i="13"/>
  <c r="CN991" i="13"/>
  <c r="CK992" i="13"/>
  <c r="CM992" i="13"/>
  <c r="CN992" i="13"/>
  <c r="CK993" i="13"/>
  <c r="CM993" i="13"/>
  <c r="CN993" i="13"/>
  <c r="CK994" i="13"/>
  <c r="CM994" i="13"/>
  <c r="CN994" i="13"/>
  <c r="CK995" i="13"/>
  <c r="CL995" i="13" s="1"/>
  <c r="CM995" i="13"/>
  <c r="CN995" i="13"/>
  <c r="CK996" i="13"/>
  <c r="CM996" i="13"/>
  <c r="CN996" i="13"/>
  <c r="CK997" i="13"/>
  <c r="CM997" i="13"/>
  <c r="CN997" i="13"/>
  <c r="CK998" i="13"/>
  <c r="CM998" i="13"/>
  <c r="CN998" i="13"/>
  <c r="CK999" i="13"/>
  <c r="CL999" i="13" s="1"/>
  <c r="CM999" i="13"/>
  <c r="CN999" i="13"/>
  <c r="CK1000" i="13"/>
  <c r="CM1000" i="13"/>
  <c r="CN1000" i="13"/>
  <c r="CK1001" i="13"/>
  <c r="CM1001" i="13"/>
  <c r="CN1001" i="13"/>
  <c r="CK1002" i="13"/>
  <c r="CM1002" i="13"/>
  <c r="CN1002" i="13"/>
  <c r="CK1003" i="13"/>
  <c r="CL1003" i="13" s="1"/>
  <c r="CM1003" i="13"/>
  <c r="CN1003" i="13"/>
  <c r="CK1004" i="13"/>
  <c r="CM1004" i="13"/>
  <c r="CN1004" i="13"/>
  <c r="CK1005" i="13"/>
  <c r="CM1005" i="13"/>
  <c r="CN1005" i="13"/>
  <c r="CK1006" i="13"/>
  <c r="CM1006" i="13"/>
  <c r="CN1006" i="13"/>
  <c r="CK1007" i="13"/>
  <c r="CM1007" i="13"/>
  <c r="CN1007" i="13"/>
  <c r="CK1008" i="13"/>
  <c r="CM1008" i="13"/>
  <c r="CN1008" i="13"/>
  <c r="CK1009" i="13"/>
  <c r="CM1009" i="13"/>
  <c r="CN1009" i="13"/>
  <c r="CK1010" i="13"/>
  <c r="CM1010" i="13"/>
  <c r="CN1010" i="13"/>
  <c r="CK1011" i="13"/>
  <c r="CL1011" i="13" s="1"/>
  <c r="CM1011" i="13"/>
  <c r="CN1011" i="13"/>
  <c r="CK1012" i="13"/>
  <c r="CM1012" i="13"/>
  <c r="CN1012" i="13"/>
  <c r="CK1013" i="13"/>
  <c r="CM1013" i="13"/>
  <c r="CN1013" i="13"/>
  <c r="CK1014" i="13"/>
  <c r="CM1014" i="13"/>
  <c r="CN1014" i="13"/>
  <c r="CK1015" i="13"/>
  <c r="CM1015" i="13"/>
  <c r="CN1015" i="13"/>
  <c r="CK1016" i="13"/>
  <c r="CM1016" i="13"/>
  <c r="CN1016" i="13"/>
  <c r="CK1017" i="13"/>
  <c r="CM1017" i="13"/>
  <c r="CN1017" i="13"/>
  <c r="CK1018" i="13"/>
  <c r="CM1018" i="13"/>
  <c r="CN1018" i="13"/>
  <c r="CK1019" i="13"/>
  <c r="CL1019" i="13" s="1"/>
  <c r="CM1019" i="13"/>
  <c r="CN1019" i="13"/>
  <c r="CK1020" i="13"/>
  <c r="CM1020" i="13"/>
  <c r="CN1020" i="13"/>
  <c r="CK1021" i="13"/>
  <c r="CM1021" i="13"/>
  <c r="CN1021" i="13"/>
  <c r="AV942" i="13"/>
  <c r="AV943" i="13"/>
  <c r="AV944" i="13"/>
  <c r="AV945" i="13"/>
  <c r="AV946" i="13"/>
  <c r="AV947" i="13"/>
  <c r="AV948" i="13"/>
  <c r="AV949" i="13"/>
  <c r="AV950" i="13"/>
  <c r="AV951" i="13"/>
  <c r="AV952" i="13"/>
  <c r="G931" i="13"/>
  <c r="G935" i="13" s="1"/>
  <c r="G928" i="13"/>
  <c r="G929" i="13" s="1"/>
  <c r="G932" i="13" s="1"/>
  <c r="AV928" i="13"/>
  <c r="AV929" i="13"/>
  <c r="AV930" i="13"/>
  <c r="AV931" i="13"/>
  <c r="AV932" i="13"/>
  <c r="AV933" i="13"/>
  <c r="AV934" i="13"/>
  <c r="AV935" i="13"/>
  <c r="AV936" i="13"/>
  <c r="AV937" i="13"/>
  <c r="AV938" i="13"/>
  <c r="AV939" i="13"/>
  <c r="AV940" i="13"/>
  <c r="AV941" i="13"/>
  <c r="CK920" i="13"/>
  <c r="CM920" i="13"/>
  <c r="CN920" i="13"/>
  <c r="CK921" i="13"/>
  <c r="CM921" i="13"/>
  <c r="CN921" i="13"/>
  <c r="CK922" i="13"/>
  <c r="CM922" i="13"/>
  <c r="CN922" i="13"/>
  <c r="CK923" i="13"/>
  <c r="CM923" i="13"/>
  <c r="CN923" i="13"/>
  <c r="CK924" i="13"/>
  <c r="CM924" i="13"/>
  <c r="CN924" i="13"/>
  <c r="CK925" i="13"/>
  <c r="CM925" i="13"/>
  <c r="CN925" i="13"/>
  <c r="CK926" i="13"/>
  <c r="CM926" i="13"/>
  <c r="CN926" i="13"/>
  <c r="CK927" i="13"/>
  <c r="CM927" i="13"/>
  <c r="CN927" i="13"/>
  <c r="CK928" i="13"/>
  <c r="CM928" i="13"/>
  <c r="CN928" i="13"/>
  <c r="CK929" i="13"/>
  <c r="CM929" i="13"/>
  <c r="CN929" i="13"/>
  <c r="CK930" i="13"/>
  <c r="CM930" i="13"/>
  <c r="CN930" i="13"/>
  <c r="CK931" i="13"/>
  <c r="CM931" i="13"/>
  <c r="CN931" i="13"/>
  <c r="CK932" i="13"/>
  <c r="CM932" i="13"/>
  <c r="CN932" i="13"/>
  <c r="CK933" i="13"/>
  <c r="CM933" i="13"/>
  <c r="CN933" i="13"/>
  <c r="CK934" i="13"/>
  <c r="CM934" i="13"/>
  <c r="CN934" i="13"/>
  <c r="CK935" i="13"/>
  <c r="CM935" i="13"/>
  <c r="CN935" i="13"/>
  <c r="CK936" i="13"/>
  <c r="CM936" i="13"/>
  <c r="CN936" i="13"/>
  <c r="CK937" i="13"/>
  <c r="CM937" i="13"/>
  <c r="CN937" i="13"/>
  <c r="CK938" i="13"/>
  <c r="CM938" i="13"/>
  <c r="CN938" i="13"/>
  <c r="CK939" i="13"/>
  <c r="CM939" i="13"/>
  <c r="CN939" i="13"/>
  <c r="CK940" i="13"/>
  <c r="CM940" i="13"/>
  <c r="CN940" i="13"/>
  <c r="CK941" i="13"/>
  <c r="CM941" i="13"/>
  <c r="CN941" i="13"/>
  <c r="CK942" i="13"/>
  <c r="CM942" i="13"/>
  <c r="CN942" i="13"/>
  <c r="CK943" i="13"/>
  <c r="CM943" i="13"/>
  <c r="CN943" i="13"/>
  <c r="CK944" i="13"/>
  <c r="CM944" i="13"/>
  <c r="CN944" i="13"/>
  <c r="CK945" i="13"/>
  <c r="CM945" i="13"/>
  <c r="CN945" i="13"/>
  <c r="CK946" i="13"/>
  <c r="CM946" i="13"/>
  <c r="CN946" i="13"/>
  <c r="CK947" i="13"/>
  <c r="CM947" i="13"/>
  <c r="CN947" i="13"/>
  <c r="G916" i="13"/>
  <c r="G917" i="13" s="1"/>
  <c r="G918" i="13" s="1"/>
  <c r="G919" i="13" s="1"/>
  <c r="G920" i="13" s="1"/>
  <c r="G921" i="13" s="1"/>
  <c r="G922" i="13" s="1"/>
  <c r="G923" i="13" s="1"/>
  <c r="G924" i="13" s="1"/>
  <c r="G925" i="13" s="1"/>
  <c r="G926" i="13" s="1"/>
  <c r="G937" i="13" s="1"/>
  <c r="G938" i="13" s="1"/>
  <c r="G915" i="13"/>
  <c r="G914" i="13"/>
  <c r="G913" i="13"/>
  <c r="AX900" i="13"/>
  <c r="CK900" i="13" s="1"/>
  <c r="AV887" i="13"/>
  <c r="G872" i="13"/>
  <c r="G871" i="13"/>
  <c r="G869" i="13"/>
  <c r="G870" i="13" s="1"/>
  <c r="AX862" i="13"/>
  <c r="CK862" i="13" s="1"/>
  <c r="G841" i="13"/>
  <c r="G842" i="13" s="1"/>
  <c r="G843" i="13" s="1"/>
  <c r="G840" i="13"/>
  <c r="G839" i="13"/>
  <c r="G829" i="13"/>
  <c r="G818" i="13"/>
  <c r="G821" i="13" s="1"/>
  <c r="G817" i="13"/>
  <c r="G820" i="13" s="1"/>
  <c r="G822" i="13" s="1"/>
  <c r="G823" i="13" s="1"/>
  <c r="G824" i="13" s="1"/>
  <c r="G827" i="13" s="1"/>
  <c r="G828" i="13" s="1"/>
  <c r="G847" i="13" s="1"/>
  <c r="G848" i="13" s="1"/>
  <c r="G849" i="13" s="1"/>
  <c r="G850" i="13" s="1"/>
  <c r="G851" i="13" s="1"/>
  <c r="G852" i="13" s="1"/>
  <c r="G853" i="13" s="1"/>
  <c r="G854" i="13" s="1"/>
  <c r="G855" i="13" s="1"/>
  <c r="G856" i="13" s="1"/>
  <c r="AV890" i="13"/>
  <c r="AV891" i="13"/>
  <c r="AV892" i="13"/>
  <c r="AV893" i="13"/>
  <c r="AV894" i="13"/>
  <c r="AV895" i="13"/>
  <c r="AV896" i="13"/>
  <c r="AV897" i="13"/>
  <c r="AV898" i="13"/>
  <c r="AV899" i="13"/>
  <c r="AV900" i="13"/>
  <c r="AV901" i="13"/>
  <c r="AV902" i="13"/>
  <c r="AV903" i="13"/>
  <c r="AV904" i="13"/>
  <c r="AV905" i="13"/>
  <c r="AV906" i="13"/>
  <c r="AV907" i="13"/>
  <c r="AV908" i="13"/>
  <c r="AV909" i="13"/>
  <c r="AV910" i="13"/>
  <c r="AV911" i="13"/>
  <c r="AV912" i="13"/>
  <c r="AV913" i="13"/>
  <c r="AV914" i="13"/>
  <c r="AV915" i="13"/>
  <c r="AV916" i="13"/>
  <c r="AV917" i="13"/>
  <c r="AV918" i="13"/>
  <c r="AV919" i="13"/>
  <c r="AV920" i="13"/>
  <c r="AV921" i="13"/>
  <c r="AV922" i="13"/>
  <c r="AV923" i="13"/>
  <c r="AV924" i="13"/>
  <c r="AV925" i="13"/>
  <c r="AV926" i="13"/>
  <c r="AV927" i="13"/>
  <c r="CK776" i="13"/>
  <c r="CM776" i="13"/>
  <c r="CN776" i="13"/>
  <c r="CK777" i="13"/>
  <c r="CM777" i="13"/>
  <c r="CN777" i="13"/>
  <c r="CK778" i="13"/>
  <c r="CM778" i="13"/>
  <c r="CN778" i="13"/>
  <c r="CK779" i="13"/>
  <c r="CM779" i="13"/>
  <c r="CN779" i="13"/>
  <c r="CK780" i="13"/>
  <c r="CM780" i="13"/>
  <c r="CN780" i="13"/>
  <c r="CK781" i="13"/>
  <c r="CM781" i="13"/>
  <c r="CN781" i="13"/>
  <c r="CK782" i="13"/>
  <c r="CM782" i="13"/>
  <c r="CN782" i="13"/>
  <c r="CK783" i="13"/>
  <c r="CM783" i="13"/>
  <c r="CN783" i="13"/>
  <c r="CK784" i="13"/>
  <c r="CM784" i="13"/>
  <c r="CN784" i="13"/>
  <c r="CK785" i="13"/>
  <c r="CM785" i="13"/>
  <c r="CN785" i="13"/>
  <c r="CK786" i="13"/>
  <c r="CM786" i="13"/>
  <c r="CN786" i="13"/>
  <c r="CK787" i="13"/>
  <c r="CM787" i="13"/>
  <c r="CN787" i="13"/>
  <c r="CK788" i="13"/>
  <c r="CM788" i="13"/>
  <c r="CN788" i="13"/>
  <c r="CK789" i="13"/>
  <c r="CM789" i="13"/>
  <c r="CN789" i="13"/>
  <c r="CK790" i="13"/>
  <c r="CM790" i="13"/>
  <c r="CN790" i="13"/>
  <c r="CK791" i="13"/>
  <c r="CM791" i="13"/>
  <c r="CN791" i="13"/>
  <c r="CK792" i="13"/>
  <c r="CM792" i="13"/>
  <c r="CN792" i="13"/>
  <c r="CK793" i="13"/>
  <c r="CM793" i="13"/>
  <c r="CN793" i="13"/>
  <c r="CK794" i="13"/>
  <c r="CM794" i="13"/>
  <c r="CN794" i="13"/>
  <c r="CK795" i="13"/>
  <c r="CM795" i="13"/>
  <c r="CN795" i="13"/>
  <c r="CK796" i="13"/>
  <c r="CM796" i="13"/>
  <c r="CN796" i="13"/>
  <c r="CK797" i="13"/>
  <c r="CM797" i="13"/>
  <c r="CN797" i="13"/>
  <c r="CK798" i="13"/>
  <c r="CM798" i="13"/>
  <c r="CN798" i="13"/>
  <c r="CK799" i="13"/>
  <c r="CM799" i="13"/>
  <c r="CN799" i="13"/>
  <c r="CK800" i="13"/>
  <c r="CM800" i="13"/>
  <c r="CN800" i="13"/>
  <c r="CK801" i="13"/>
  <c r="CM801" i="13"/>
  <c r="CN801" i="13"/>
  <c r="CK802" i="13"/>
  <c r="CM802" i="13"/>
  <c r="CN802" i="13"/>
  <c r="CK803" i="13"/>
  <c r="CM803" i="13"/>
  <c r="CN803" i="13"/>
  <c r="CK804" i="13"/>
  <c r="CM804" i="13"/>
  <c r="CN804" i="13"/>
  <c r="CK805" i="13"/>
  <c r="CM805" i="13"/>
  <c r="CN805" i="13"/>
  <c r="CK806" i="13"/>
  <c r="CM806" i="13"/>
  <c r="CN806" i="13"/>
  <c r="CK807" i="13"/>
  <c r="CM807" i="13"/>
  <c r="CN807" i="13"/>
  <c r="CK808" i="13"/>
  <c r="CM808" i="13"/>
  <c r="CN808" i="13"/>
  <c r="CK809" i="13"/>
  <c r="CM809" i="13"/>
  <c r="CN809" i="13"/>
  <c r="CK810" i="13"/>
  <c r="CM810" i="13"/>
  <c r="CN810" i="13"/>
  <c r="CK811" i="13"/>
  <c r="CM811" i="13"/>
  <c r="CN811" i="13"/>
  <c r="CK812" i="13"/>
  <c r="CM812" i="13"/>
  <c r="CN812" i="13"/>
  <c r="CK813" i="13"/>
  <c r="CM813" i="13"/>
  <c r="CN813" i="13"/>
  <c r="CK814" i="13"/>
  <c r="CM814" i="13"/>
  <c r="CN814" i="13"/>
  <c r="CK815" i="13"/>
  <c r="CM815" i="13"/>
  <c r="CN815" i="13"/>
  <c r="CK816" i="13"/>
  <c r="CM816" i="13"/>
  <c r="CN816" i="13"/>
  <c r="CK817" i="13"/>
  <c r="CM817" i="13"/>
  <c r="CN817" i="13"/>
  <c r="CK818" i="13"/>
  <c r="CM818" i="13"/>
  <c r="CN818" i="13"/>
  <c r="CK819" i="13"/>
  <c r="CM819" i="13"/>
  <c r="CN819" i="13"/>
  <c r="CK820" i="13"/>
  <c r="CM820" i="13"/>
  <c r="CN820" i="13"/>
  <c r="CK821" i="13"/>
  <c r="CM821" i="13"/>
  <c r="CN821" i="13"/>
  <c r="CK822" i="13"/>
  <c r="CM822" i="13"/>
  <c r="CN822" i="13"/>
  <c r="CK823" i="13"/>
  <c r="CM823" i="13"/>
  <c r="CN823" i="13"/>
  <c r="CK824" i="13"/>
  <c r="CM824" i="13"/>
  <c r="CN824" i="13"/>
  <c r="CK825" i="13"/>
  <c r="CM825" i="13"/>
  <c r="CN825" i="13"/>
  <c r="CK826" i="13"/>
  <c r="CM826" i="13"/>
  <c r="CN826" i="13"/>
  <c r="CK827" i="13"/>
  <c r="CM827" i="13"/>
  <c r="CN827" i="13"/>
  <c r="CK828" i="13"/>
  <c r="CM828" i="13"/>
  <c r="CN828" i="13"/>
  <c r="CK829" i="13"/>
  <c r="CM829" i="13"/>
  <c r="CN829" i="13"/>
  <c r="CK830" i="13"/>
  <c r="CM830" i="13"/>
  <c r="CN830" i="13"/>
  <c r="CK831" i="13"/>
  <c r="CM831" i="13"/>
  <c r="CN831" i="13"/>
  <c r="CK832" i="13"/>
  <c r="CM832" i="13"/>
  <c r="CN832" i="13"/>
  <c r="CK833" i="13"/>
  <c r="CM833" i="13"/>
  <c r="CN833" i="13"/>
  <c r="CK834" i="13"/>
  <c r="CM834" i="13"/>
  <c r="CN834" i="13"/>
  <c r="CK835" i="13"/>
  <c r="CM835" i="13"/>
  <c r="CN835" i="13"/>
  <c r="CK836" i="13"/>
  <c r="CM836" i="13"/>
  <c r="CN836" i="13"/>
  <c r="CK837" i="13"/>
  <c r="CM837" i="13"/>
  <c r="CN837" i="13"/>
  <c r="CK838" i="13"/>
  <c r="CM838" i="13"/>
  <c r="CN838" i="13"/>
  <c r="CK839" i="13"/>
  <c r="CM839" i="13"/>
  <c r="CN839" i="13"/>
  <c r="CK840" i="13"/>
  <c r="CM840" i="13"/>
  <c r="CN840" i="13"/>
  <c r="CK841" i="13"/>
  <c r="CM841" i="13"/>
  <c r="CN841" i="13"/>
  <c r="CK842" i="13"/>
  <c r="CM842" i="13"/>
  <c r="CN842" i="13"/>
  <c r="CK843" i="13"/>
  <c r="CM843" i="13"/>
  <c r="CN843" i="13"/>
  <c r="CK844" i="13"/>
  <c r="CM844" i="13"/>
  <c r="CN844" i="13"/>
  <c r="CK845" i="13"/>
  <c r="CM845" i="13"/>
  <c r="CN845" i="13"/>
  <c r="CK846" i="13"/>
  <c r="CM846" i="13"/>
  <c r="CN846" i="13"/>
  <c r="CK847" i="13"/>
  <c r="CM847" i="13"/>
  <c r="CN847" i="13"/>
  <c r="CK848" i="13"/>
  <c r="CM848" i="13"/>
  <c r="CN848" i="13"/>
  <c r="CK849" i="13"/>
  <c r="CM849" i="13"/>
  <c r="CN849" i="13"/>
  <c r="CK850" i="13"/>
  <c r="CM850" i="13"/>
  <c r="CN850" i="13"/>
  <c r="CK851" i="13"/>
  <c r="CM851" i="13"/>
  <c r="CN851" i="13"/>
  <c r="CK852" i="13"/>
  <c r="CM852" i="13"/>
  <c r="CN852" i="13"/>
  <c r="CK853" i="13"/>
  <c r="CM853" i="13"/>
  <c r="CN853" i="13"/>
  <c r="CK854" i="13"/>
  <c r="CM854" i="13"/>
  <c r="CN854" i="13"/>
  <c r="CK855" i="13"/>
  <c r="CM855" i="13"/>
  <c r="CN855" i="13"/>
  <c r="CK856" i="13"/>
  <c r="CM856" i="13"/>
  <c r="CN856" i="13"/>
  <c r="CK857" i="13"/>
  <c r="CM857" i="13"/>
  <c r="CN857" i="13"/>
  <c r="CK858" i="13"/>
  <c r="CM858" i="13"/>
  <c r="CN858" i="13"/>
  <c r="CK859" i="13"/>
  <c r="CM859" i="13"/>
  <c r="CN859" i="13"/>
  <c r="CK860" i="13"/>
  <c r="CM860" i="13"/>
  <c r="CN860" i="13"/>
  <c r="CK861" i="13"/>
  <c r="CM861" i="13"/>
  <c r="CN861" i="13"/>
  <c r="CM862" i="13"/>
  <c r="CN862" i="13"/>
  <c r="CK863" i="13"/>
  <c r="CM863" i="13"/>
  <c r="CN863" i="13"/>
  <c r="CK864" i="13"/>
  <c r="CM864" i="13"/>
  <c r="CN864" i="13"/>
  <c r="CK865" i="13"/>
  <c r="CM865" i="13"/>
  <c r="CN865" i="13"/>
  <c r="CK866" i="13"/>
  <c r="CM866" i="13"/>
  <c r="CN866" i="13"/>
  <c r="CK867" i="13"/>
  <c r="CM867" i="13"/>
  <c r="CN867" i="13"/>
  <c r="CK868" i="13"/>
  <c r="CM868" i="13"/>
  <c r="CN868" i="13"/>
  <c r="CK869" i="13"/>
  <c r="CM869" i="13"/>
  <c r="CN869" i="13"/>
  <c r="CK870" i="13"/>
  <c r="CM870" i="13"/>
  <c r="CN870" i="13"/>
  <c r="CK871" i="13"/>
  <c r="CM871" i="13"/>
  <c r="CN871" i="13"/>
  <c r="CK872" i="13"/>
  <c r="CM872" i="13"/>
  <c r="CN872" i="13"/>
  <c r="CK873" i="13"/>
  <c r="CM873" i="13"/>
  <c r="CN873" i="13"/>
  <c r="CK874" i="13"/>
  <c r="CM874" i="13"/>
  <c r="CN874" i="13"/>
  <c r="CK875" i="13"/>
  <c r="CM875" i="13"/>
  <c r="CN875" i="13"/>
  <c r="CK876" i="13"/>
  <c r="CM876" i="13"/>
  <c r="CN876" i="13"/>
  <c r="CK877" i="13"/>
  <c r="CM877" i="13"/>
  <c r="CN877" i="13"/>
  <c r="CK878" i="13"/>
  <c r="CM878" i="13"/>
  <c r="CN878" i="13"/>
  <c r="CK879" i="13"/>
  <c r="CM879" i="13"/>
  <c r="CN879" i="13"/>
  <c r="CK880" i="13"/>
  <c r="CM880" i="13"/>
  <c r="CN880" i="13"/>
  <c r="CK881" i="13"/>
  <c r="CM881" i="13"/>
  <c r="CN881" i="13"/>
  <c r="CK882" i="13"/>
  <c r="CM882" i="13"/>
  <c r="CN882" i="13"/>
  <c r="CK883" i="13"/>
  <c r="CM883" i="13"/>
  <c r="CN883" i="13"/>
  <c r="CK884" i="13"/>
  <c r="CM884" i="13"/>
  <c r="CN884" i="13"/>
  <c r="CK885" i="13"/>
  <c r="CM885" i="13"/>
  <c r="CN885" i="13"/>
  <c r="CK886" i="13"/>
  <c r="CM886" i="13"/>
  <c r="CN886" i="13"/>
  <c r="CK887" i="13"/>
  <c r="CM887" i="13"/>
  <c r="CN887" i="13"/>
  <c r="CK888" i="13"/>
  <c r="CM888" i="13"/>
  <c r="CN888" i="13"/>
  <c r="CK889" i="13"/>
  <c r="CM889" i="13"/>
  <c r="CN889" i="13"/>
  <c r="CK890" i="13"/>
  <c r="CM890" i="13"/>
  <c r="CN890" i="13"/>
  <c r="CK891" i="13"/>
  <c r="CM891" i="13"/>
  <c r="CN891" i="13"/>
  <c r="CK892" i="13"/>
  <c r="CM892" i="13"/>
  <c r="CN892" i="13"/>
  <c r="CK893" i="13"/>
  <c r="CM893" i="13"/>
  <c r="CN893" i="13"/>
  <c r="CK894" i="13"/>
  <c r="CM894" i="13"/>
  <c r="CN894" i="13"/>
  <c r="CK895" i="13"/>
  <c r="CM895" i="13"/>
  <c r="CN895" i="13"/>
  <c r="CK896" i="13"/>
  <c r="CM896" i="13"/>
  <c r="CN896" i="13"/>
  <c r="CK897" i="13"/>
  <c r="CM897" i="13"/>
  <c r="CN897" i="13"/>
  <c r="CK898" i="13"/>
  <c r="CM898" i="13"/>
  <c r="CN898" i="13"/>
  <c r="CK899" i="13"/>
  <c r="CM899" i="13"/>
  <c r="CN899" i="13"/>
  <c r="CM900" i="13"/>
  <c r="CN900" i="13"/>
  <c r="CK901" i="13"/>
  <c r="CM901" i="13"/>
  <c r="CN901" i="13"/>
  <c r="CK902" i="13"/>
  <c r="CM902" i="13"/>
  <c r="CN902" i="13"/>
  <c r="CK903" i="13"/>
  <c r="CL903" i="13" s="1"/>
  <c r="CM903" i="13"/>
  <c r="CN903" i="13"/>
  <c r="CK904" i="13"/>
  <c r="CM904" i="13"/>
  <c r="CN904" i="13"/>
  <c r="CK905" i="13"/>
  <c r="CM905" i="13"/>
  <c r="CN905" i="13"/>
  <c r="CK906" i="13"/>
  <c r="CM906" i="13"/>
  <c r="CN906" i="13"/>
  <c r="CK907" i="13"/>
  <c r="CL907" i="13" s="1"/>
  <c r="CM907" i="13"/>
  <c r="CN907" i="13"/>
  <c r="CK908" i="13"/>
  <c r="CM908" i="13"/>
  <c r="CN908" i="13"/>
  <c r="CK909" i="13"/>
  <c r="CM909" i="13"/>
  <c r="CN909" i="13"/>
  <c r="CK910" i="13"/>
  <c r="CM910" i="13"/>
  <c r="CN910" i="13"/>
  <c r="CK911" i="13"/>
  <c r="CM911" i="13"/>
  <c r="CN911" i="13"/>
  <c r="CK912" i="13"/>
  <c r="CM912" i="13"/>
  <c r="CN912" i="13"/>
  <c r="CK913" i="13"/>
  <c r="CM913" i="13"/>
  <c r="CN913" i="13"/>
  <c r="CK914" i="13"/>
  <c r="CM914" i="13"/>
  <c r="CN914" i="13"/>
  <c r="CK915" i="13"/>
  <c r="CM915" i="13"/>
  <c r="CN915" i="13"/>
  <c r="CK916" i="13"/>
  <c r="CM916" i="13"/>
  <c r="CN916" i="13"/>
  <c r="CK917" i="13"/>
  <c r="CM917" i="13"/>
  <c r="CN917" i="13"/>
  <c r="CK918" i="13"/>
  <c r="CM918" i="13"/>
  <c r="CN918" i="13"/>
  <c r="CK919" i="13"/>
  <c r="CL919" i="13" s="1"/>
  <c r="CM919" i="13"/>
  <c r="CN919" i="13"/>
  <c r="AV776" i="13"/>
  <c r="AV777" i="13"/>
  <c r="AV778" i="13"/>
  <c r="AV779" i="13"/>
  <c r="AV780" i="13"/>
  <c r="AV781" i="13"/>
  <c r="AV782" i="13"/>
  <c r="AV783" i="13"/>
  <c r="AV784" i="13"/>
  <c r="AV785" i="13"/>
  <c r="AV786" i="13"/>
  <c r="AV787" i="13"/>
  <c r="AV788" i="13"/>
  <c r="AV789" i="13"/>
  <c r="AV790" i="13"/>
  <c r="AV791" i="13"/>
  <c r="AV792" i="13"/>
  <c r="AV793" i="13"/>
  <c r="AV794" i="13"/>
  <c r="AV795" i="13"/>
  <c r="AV796" i="13"/>
  <c r="AV797" i="13"/>
  <c r="AV798" i="13"/>
  <c r="AV799" i="13"/>
  <c r="AV800" i="13"/>
  <c r="AV801" i="13"/>
  <c r="AV802" i="13"/>
  <c r="AV803" i="13"/>
  <c r="AV804" i="13"/>
  <c r="AV805" i="13"/>
  <c r="AV806" i="13"/>
  <c r="AV807" i="13"/>
  <c r="AV808" i="13"/>
  <c r="AV809" i="13"/>
  <c r="AV810" i="13"/>
  <c r="AV811" i="13"/>
  <c r="AV812" i="13"/>
  <c r="AV813" i="13"/>
  <c r="AV814" i="13"/>
  <c r="AV815" i="13"/>
  <c r="AV816" i="13"/>
  <c r="AV817" i="13"/>
  <c r="AV818" i="13"/>
  <c r="AV819" i="13"/>
  <c r="AV820" i="13"/>
  <c r="AV821" i="13"/>
  <c r="AV822" i="13"/>
  <c r="AV823" i="13"/>
  <c r="AV824" i="13"/>
  <c r="AV825" i="13"/>
  <c r="AV826" i="13"/>
  <c r="AV827" i="13"/>
  <c r="AV828" i="13"/>
  <c r="AV829" i="13"/>
  <c r="AV830" i="13"/>
  <c r="AV831" i="13"/>
  <c r="AV832" i="13"/>
  <c r="AV833" i="13"/>
  <c r="AV834" i="13"/>
  <c r="AV835" i="13"/>
  <c r="AV836" i="13"/>
  <c r="AV837" i="13"/>
  <c r="AV838" i="13"/>
  <c r="AV839" i="13"/>
  <c r="AV840" i="13"/>
  <c r="AV841" i="13"/>
  <c r="AV842" i="13"/>
  <c r="AV843" i="13"/>
  <c r="AV844" i="13"/>
  <c r="AV845" i="13"/>
  <c r="AV846" i="13"/>
  <c r="AV847" i="13"/>
  <c r="AV848" i="13"/>
  <c r="AV849" i="13"/>
  <c r="AV850" i="13"/>
  <c r="AV851" i="13"/>
  <c r="AV852" i="13"/>
  <c r="AV853" i="13"/>
  <c r="AV854" i="13"/>
  <c r="AV855" i="13"/>
  <c r="AV856" i="13"/>
  <c r="AV857" i="13"/>
  <c r="AV858" i="13"/>
  <c r="AV859" i="13"/>
  <c r="AV860" i="13"/>
  <c r="AV861" i="13"/>
  <c r="AV862" i="13"/>
  <c r="AV863" i="13"/>
  <c r="AV864" i="13"/>
  <c r="AV865" i="13"/>
  <c r="AV866" i="13"/>
  <c r="AV867" i="13"/>
  <c r="AV868" i="13"/>
  <c r="AV869" i="13"/>
  <c r="AV870" i="13"/>
  <c r="AV871" i="13"/>
  <c r="AV872" i="13"/>
  <c r="AV873" i="13"/>
  <c r="AV874" i="13"/>
  <c r="AV875" i="13"/>
  <c r="AV876" i="13"/>
  <c r="AV877" i="13"/>
  <c r="AV878" i="13"/>
  <c r="AV879" i="13"/>
  <c r="AV880" i="13"/>
  <c r="AV881" i="13"/>
  <c r="AV882" i="13"/>
  <c r="AV883" i="13"/>
  <c r="AV884" i="13"/>
  <c r="AV885" i="13"/>
  <c r="AV886" i="13"/>
  <c r="AV888" i="13"/>
  <c r="AV889" i="13"/>
  <c r="F742" i="13"/>
  <c r="CN742" i="13" s="1"/>
  <c r="BO740" i="13"/>
  <c r="AX740" i="13"/>
  <c r="AX739" i="13"/>
  <c r="CK739" i="13" s="1"/>
  <c r="BO729" i="13"/>
  <c r="AX729" i="13"/>
  <c r="AX728" i="13"/>
  <c r="CK728" i="13" s="1"/>
  <c r="AX727" i="13"/>
  <c r="CK727" i="13" s="1"/>
  <c r="AX726" i="13"/>
  <c r="CK726" i="13" s="1"/>
  <c r="AX724" i="13"/>
  <c r="AX725" i="13"/>
  <c r="CK725" i="13" s="1"/>
  <c r="AV722" i="13"/>
  <c r="AV723" i="13"/>
  <c r="BO724" i="13"/>
  <c r="CM670" i="13"/>
  <c r="CN670" i="13"/>
  <c r="CK671" i="13"/>
  <c r="CK721" i="13" s="1"/>
  <c r="CM671" i="13"/>
  <c r="CN671" i="13"/>
  <c r="CK722" i="13"/>
  <c r="CM722" i="13"/>
  <c r="CN722" i="13"/>
  <c r="CK723" i="13"/>
  <c r="CM723" i="13"/>
  <c r="CN723" i="13"/>
  <c r="CM724" i="13"/>
  <c r="CN724" i="13"/>
  <c r="CM725" i="13"/>
  <c r="CN725" i="13"/>
  <c r="CM726" i="13"/>
  <c r="CN726" i="13"/>
  <c r="CM727" i="13"/>
  <c r="CN727" i="13"/>
  <c r="CM728" i="13"/>
  <c r="CN728" i="13"/>
  <c r="CM729" i="13"/>
  <c r="CN729" i="13"/>
  <c r="CK730" i="13"/>
  <c r="CM730" i="13"/>
  <c r="CN730" i="13"/>
  <c r="CK731" i="13"/>
  <c r="CM731" i="13"/>
  <c r="CN731" i="13"/>
  <c r="CK732" i="13"/>
  <c r="CM732" i="13"/>
  <c r="CN732" i="13"/>
  <c r="CK733" i="13"/>
  <c r="CM733" i="13"/>
  <c r="CN733" i="13"/>
  <c r="CK734" i="13"/>
  <c r="CM734" i="13"/>
  <c r="CN734" i="13"/>
  <c r="CK735" i="13"/>
  <c r="CM735" i="13"/>
  <c r="CN735" i="13"/>
  <c r="CK736" i="13"/>
  <c r="CM736" i="13"/>
  <c r="CN736" i="13"/>
  <c r="CK737" i="13"/>
  <c r="CM737" i="13"/>
  <c r="CN737" i="13"/>
  <c r="CK738" i="13"/>
  <c r="CM738" i="13"/>
  <c r="CN738" i="13"/>
  <c r="CM739" i="13"/>
  <c r="CN739" i="13"/>
  <c r="CM740" i="13"/>
  <c r="CN740" i="13"/>
  <c r="CK741" i="13"/>
  <c r="CM741" i="13"/>
  <c r="CN741" i="13"/>
  <c r="CK742" i="13"/>
  <c r="CM742" i="13"/>
  <c r="CK743" i="13"/>
  <c r="CM743" i="13"/>
  <c r="CN743" i="13"/>
  <c r="CK744" i="13"/>
  <c r="CM744" i="13"/>
  <c r="CN744" i="13"/>
  <c r="CK745" i="13"/>
  <c r="CM745" i="13"/>
  <c r="CN745" i="13"/>
  <c r="CK746" i="13"/>
  <c r="CM746" i="13"/>
  <c r="CN746" i="13"/>
  <c r="CK747" i="13"/>
  <c r="CM747" i="13"/>
  <c r="CN747" i="13"/>
  <c r="CK748" i="13"/>
  <c r="CM748" i="13"/>
  <c r="CN748" i="13"/>
  <c r="CK749" i="13"/>
  <c r="CM749" i="13"/>
  <c r="CN749" i="13"/>
  <c r="CK750" i="13"/>
  <c r="CM750" i="13"/>
  <c r="CN750" i="13"/>
  <c r="CK751" i="13"/>
  <c r="CM751" i="13"/>
  <c r="CN751" i="13"/>
  <c r="CK752" i="13"/>
  <c r="CM752" i="13"/>
  <c r="CN752" i="13"/>
  <c r="CK753" i="13"/>
  <c r="CM753" i="13"/>
  <c r="CN753" i="13"/>
  <c r="CK754" i="13"/>
  <c r="CM754" i="13"/>
  <c r="CN754" i="13"/>
  <c r="CK755" i="13"/>
  <c r="CM755" i="13"/>
  <c r="CN755" i="13"/>
  <c r="CK756" i="13"/>
  <c r="CM756" i="13"/>
  <c r="CN756" i="13"/>
  <c r="CK757" i="13"/>
  <c r="CM757" i="13"/>
  <c r="CN757" i="13"/>
  <c r="CK758" i="13"/>
  <c r="CM758" i="13"/>
  <c r="CN758" i="13"/>
  <c r="CK759" i="13"/>
  <c r="CM759" i="13"/>
  <c r="CN759" i="13"/>
  <c r="CK760" i="13"/>
  <c r="CM760" i="13"/>
  <c r="CN760" i="13"/>
  <c r="CK761" i="13"/>
  <c r="CM761" i="13"/>
  <c r="CN761" i="13"/>
  <c r="CK762" i="13"/>
  <c r="CM762" i="13"/>
  <c r="CN762" i="13"/>
  <c r="CK763" i="13"/>
  <c r="CM763" i="13"/>
  <c r="CN763" i="13"/>
  <c r="CK764" i="13"/>
  <c r="CM764" i="13"/>
  <c r="CN764" i="13"/>
  <c r="CK765" i="13"/>
  <c r="CM765" i="13"/>
  <c r="CN765" i="13"/>
  <c r="CK766" i="13"/>
  <c r="CM766" i="13"/>
  <c r="CN766" i="13"/>
  <c r="CK767" i="13"/>
  <c r="CM767" i="13"/>
  <c r="CN767" i="13"/>
  <c r="CK768" i="13"/>
  <c r="CM768" i="13"/>
  <c r="CN768" i="13"/>
  <c r="CK769" i="13"/>
  <c r="CM769" i="13"/>
  <c r="CN769" i="13"/>
  <c r="CK770" i="13"/>
  <c r="CM770" i="13"/>
  <c r="CN770" i="13"/>
  <c r="CK771" i="13"/>
  <c r="CM771" i="13"/>
  <c r="CN771" i="13"/>
  <c r="CK772" i="13"/>
  <c r="CM772" i="13"/>
  <c r="CN772" i="13"/>
  <c r="CK773" i="13"/>
  <c r="CM773" i="13"/>
  <c r="CN773" i="13"/>
  <c r="CK774" i="13"/>
  <c r="CM774" i="13"/>
  <c r="CN774" i="13"/>
  <c r="CK775" i="13"/>
  <c r="CM775" i="13"/>
  <c r="CN775" i="13"/>
  <c r="AV671" i="13"/>
  <c r="AV721" i="13" s="1"/>
  <c r="AV724" i="13"/>
  <c r="AV725" i="13"/>
  <c r="AV726" i="13"/>
  <c r="AV727" i="13"/>
  <c r="AV728" i="13"/>
  <c r="AV729" i="13"/>
  <c r="AV730" i="13"/>
  <c r="AV731" i="13"/>
  <c r="AV732" i="13"/>
  <c r="AV733" i="13"/>
  <c r="AV734" i="13"/>
  <c r="AV735" i="13"/>
  <c r="AV736" i="13"/>
  <c r="AV737" i="13"/>
  <c r="AV738" i="13"/>
  <c r="AV739" i="13"/>
  <c r="AV740" i="13"/>
  <c r="AV741" i="13"/>
  <c r="AV742" i="13"/>
  <c r="AV743" i="13"/>
  <c r="AV744" i="13"/>
  <c r="AV745" i="13"/>
  <c r="AV746" i="13"/>
  <c r="AV747" i="13"/>
  <c r="AV748" i="13"/>
  <c r="AV749" i="13"/>
  <c r="AV750" i="13"/>
  <c r="AV751" i="13"/>
  <c r="AV752" i="13"/>
  <c r="AV753" i="13"/>
  <c r="AV754" i="13"/>
  <c r="AV755" i="13"/>
  <c r="AV756" i="13"/>
  <c r="AV757" i="13"/>
  <c r="AV758" i="13"/>
  <c r="AV759" i="13"/>
  <c r="AV760" i="13"/>
  <c r="AV761" i="13"/>
  <c r="AV762" i="13"/>
  <c r="AV763" i="13"/>
  <c r="AV764" i="13"/>
  <c r="AV765" i="13"/>
  <c r="AV766" i="13"/>
  <c r="AV767" i="13"/>
  <c r="AV768" i="13"/>
  <c r="AV769" i="13"/>
  <c r="AV770" i="13"/>
  <c r="AV771" i="13"/>
  <c r="AV772" i="13"/>
  <c r="AV773" i="13"/>
  <c r="AV774" i="13"/>
  <c r="AV775" i="13"/>
  <c r="J670" i="13"/>
  <c r="K670" i="13"/>
  <c r="L670" i="13"/>
  <c r="M670" i="13"/>
  <c r="N670" i="13"/>
  <c r="O670" i="13"/>
  <c r="P670" i="13"/>
  <c r="Q670" i="13"/>
  <c r="R670" i="13"/>
  <c r="S670" i="13"/>
  <c r="T670" i="13"/>
  <c r="U670" i="13"/>
  <c r="V670" i="13"/>
  <c r="W670" i="13"/>
  <c r="X670" i="13"/>
  <c r="Y670" i="13"/>
  <c r="Z670" i="13"/>
  <c r="AB670" i="13"/>
  <c r="AC670" i="13"/>
  <c r="AD670" i="13"/>
  <c r="AE670" i="13"/>
  <c r="AF670" i="13"/>
  <c r="AH670" i="13"/>
  <c r="AI670" i="13"/>
  <c r="AJ670" i="13"/>
  <c r="AK670" i="13"/>
  <c r="AL670" i="13"/>
  <c r="AM670" i="13"/>
  <c r="AN670" i="13"/>
  <c r="AO670" i="13"/>
  <c r="AP670" i="13"/>
  <c r="AQ670" i="13"/>
  <c r="AR670" i="13"/>
  <c r="AS670" i="13"/>
  <c r="AT670" i="13"/>
  <c r="AU670" i="13"/>
  <c r="AW670" i="13"/>
  <c r="AZ670" i="13"/>
  <c r="BA670" i="13"/>
  <c r="BC670" i="13"/>
  <c r="BD670" i="13"/>
  <c r="BE670" i="13"/>
  <c r="BF670" i="13"/>
  <c r="BH670" i="13"/>
  <c r="BI670" i="13"/>
  <c r="BJ670" i="13"/>
  <c r="BL670" i="13"/>
  <c r="BN670" i="13"/>
  <c r="BP670" i="13"/>
  <c r="BQ670" i="13"/>
  <c r="BR670" i="13"/>
  <c r="BS670" i="13"/>
  <c r="BT670" i="13"/>
  <c r="BU670" i="13"/>
  <c r="BV670" i="13"/>
  <c r="BW670" i="13"/>
  <c r="BX670" i="13"/>
  <c r="BY670" i="13"/>
  <c r="BZ670" i="13"/>
  <c r="CA670" i="13"/>
  <c r="CB670" i="13"/>
  <c r="CC670" i="13"/>
  <c r="CD670" i="13"/>
  <c r="CE670" i="13"/>
  <c r="CF670" i="13"/>
  <c r="CG670" i="13"/>
  <c r="CH670" i="13"/>
  <c r="CJ670" i="13"/>
  <c r="CO670" i="13"/>
  <c r="CP670" i="13"/>
  <c r="CQ670" i="13"/>
  <c r="CR670" i="13"/>
  <c r="CS670" i="13"/>
  <c r="CT670" i="13"/>
  <c r="CU670" i="13"/>
  <c r="CV670" i="13"/>
  <c r="I670" i="13"/>
  <c r="CG1796" i="12"/>
  <c r="AH1796" i="12"/>
  <c r="CN465" i="13"/>
  <c r="J469" i="13"/>
  <c r="K469" i="13"/>
  <c r="L469" i="13"/>
  <c r="M469" i="13"/>
  <c r="N469" i="13"/>
  <c r="O469" i="13"/>
  <c r="P469" i="13"/>
  <c r="Q469" i="13"/>
  <c r="R469" i="13"/>
  <c r="S469" i="13"/>
  <c r="T469" i="13"/>
  <c r="U469" i="13"/>
  <c r="V469" i="13"/>
  <c r="W469" i="13"/>
  <c r="X469" i="13"/>
  <c r="Y469" i="13"/>
  <c r="Z469" i="13"/>
  <c r="AB469" i="13"/>
  <c r="AC469" i="13"/>
  <c r="AD469" i="13"/>
  <c r="AE469" i="13"/>
  <c r="AF469" i="13"/>
  <c r="AH469" i="13"/>
  <c r="AI469" i="13"/>
  <c r="AJ469" i="13"/>
  <c r="AK469" i="13"/>
  <c r="AL469" i="13"/>
  <c r="AM469" i="13"/>
  <c r="AN469" i="13"/>
  <c r="AO469" i="13"/>
  <c r="AP469" i="13"/>
  <c r="AQ469" i="13"/>
  <c r="AR469" i="13"/>
  <c r="AS469" i="13"/>
  <c r="AT469" i="13"/>
  <c r="AU469" i="13"/>
  <c r="AW469" i="13"/>
  <c r="AZ469" i="13"/>
  <c r="BA469" i="13"/>
  <c r="BC469" i="13"/>
  <c r="BD469" i="13"/>
  <c r="BE469" i="13"/>
  <c r="BF469" i="13"/>
  <c r="BH469" i="13"/>
  <c r="BI469" i="13"/>
  <c r="BJ469" i="13"/>
  <c r="BL469" i="13"/>
  <c r="BN469" i="13"/>
  <c r="BO469" i="13"/>
  <c r="BP469" i="13"/>
  <c r="BQ469" i="13"/>
  <c r="BR469" i="13"/>
  <c r="BS469" i="13"/>
  <c r="BT469" i="13"/>
  <c r="BU469" i="13"/>
  <c r="BV469" i="13"/>
  <c r="BW469" i="13"/>
  <c r="BX469" i="13"/>
  <c r="BY469" i="13"/>
  <c r="BZ469" i="13"/>
  <c r="CA469" i="13"/>
  <c r="CB469" i="13"/>
  <c r="CC469" i="13"/>
  <c r="CD469" i="13"/>
  <c r="CE469" i="13"/>
  <c r="CF469" i="13"/>
  <c r="CG469" i="13"/>
  <c r="CH469" i="13"/>
  <c r="CJ469" i="13"/>
  <c r="CO469" i="13"/>
  <c r="I469" i="13"/>
  <c r="AX638" i="13"/>
  <c r="CK638" i="13" s="1"/>
  <c r="F667" i="13"/>
  <c r="F668" i="13" s="1"/>
  <c r="CN668" i="13" s="1"/>
  <c r="F665" i="13"/>
  <c r="CN665" i="13" s="1"/>
  <c r="BO665" i="13"/>
  <c r="AX665" i="13"/>
  <c r="F663" i="13"/>
  <c r="CN663" i="13" s="1"/>
  <c r="BO663" i="13"/>
  <c r="AX663" i="13"/>
  <c r="BO662" i="13"/>
  <c r="AX662" i="13"/>
  <c r="BO660" i="13"/>
  <c r="AX660" i="13"/>
  <c r="BO659" i="13"/>
  <c r="AX659" i="13"/>
  <c r="G626" i="13"/>
  <c r="G627" i="13" s="1"/>
  <c r="G628" i="13" s="1"/>
  <c r="G629" i="13" s="1"/>
  <c r="G630" i="13" s="1"/>
  <c r="G631" i="13" s="1"/>
  <c r="G621" i="13"/>
  <c r="G619" i="13"/>
  <c r="G620" i="13" s="1"/>
  <c r="G602" i="13"/>
  <c r="G603" i="13" s="1"/>
  <c r="G623" i="13" s="1"/>
  <c r="G624" i="13" s="1"/>
  <c r="G625" i="13" s="1"/>
  <c r="AX587" i="13"/>
  <c r="CK587" i="13" s="1"/>
  <c r="G583" i="13"/>
  <c r="G576" i="13"/>
  <c r="G568" i="13"/>
  <c r="G569" i="13" s="1"/>
  <c r="G570" i="13" s="1"/>
  <c r="G571" i="13" s="1"/>
  <c r="G572" i="13" s="1"/>
  <c r="G573" i="13" s="1"/>
  <c r="G567" i="13"/>
  <c r="AX567" i="13"/>
  <c r="AX557" i="13"/>
  <c r="CK557" i="13" s="1"/>
  <c r="AX556" i="13"/>
  <c r="CK556" i="13" s="1"/>
  <c r="AX550" i="13"/>
  <c r="CK550" i="13" s="1"/>
  <c r="G549" i="13"/>
  <c r="AX547" i="13"/>
  <c r="AY547" i="13" s="1"/>
  <c r="CK547" i="13" s="1"/>
  <c r="G544" i="13"/>
  <c r="AX540" i="13"/>
  <c r="AX536" i="13"/>
  <c r="AY536" i="13" s="1"/>
  <c r="CK536" i="13" s="1"/>
  <c r="G532" i="13"/>
  <c r="AX528" i="13"/>
  <c r="G523" i="13"/>
  <c r="G513" i="13"/>
  <c r="CK562" i="13"/>
  <c r="CM562" i="13"/>
  <c r="CN562" i="13"/>
  <c r="CK563" i="13"/>
  <c r="CM563" i="13"/>
  <c r="CN563" i="13"/>
  <c r="CK564" i="13"/>
  <c r="CM564" i="13"/>
  <c r="CN564" i="13"/>
  <c r="CK565" i="13"/>
  <c r="CM565" i="13"/>
  <c r="CN565" i="13"/>
  <c r="CK566" i="13"/>
  <c r="CM566" i="13"/>
  <c r="CN566" i="13"/>
  <c r="CM567" i="13"/>
  <c r="CN567" i="13"/>
  <c r="CK568" i="13"/>
  <c r="CM568" i="13"/>
  <c r="CN568" i="13"/>
  <c r="CK569" i="13"/>
  <c r="CM569" i="13"/>
  <c r="CN569" i="13"/>
  <c r="CK570" i="13"/>
  <c r="CM570" i="13"/>
  <c r="CN570" i="13"/>
  <c r="CK571" i="13"/>
  <c r="CM571" i="13"/>
  <c r="CN571" i="13"/>
  <c r="CK572" i="13"/>
  <c r="CM572" i="13"/>
  <c r="CN572" i="13"/>
  <c r="CK573" i="13"/>
  <c r="CM573" i="13"/>
  <c r="CN573" i="13"/>
  <c r="CK574" i="13"/>
  <c r="CM574" i="13"/>
  <c r="CN574" i="13"/>
  <c r="CK575" i="13"/>
  <c r="CM575" i="13"/>
  <c r="CN575" i="13"/>
  <c r="CK576" i="13"/>
  <c r="CM576" i="13"/>
  <c r="CN576" i="13"/>
  <c r="CK577" i="13"/>
  <c r="CM577" i="13"/>
  <c r="CN577" i="13"/>
  <c r="CK578" i="13"/>
  <c r="CM578" i="13"/>
  <c r="CN578" i="13"/>
  <c r="CK579" i="13"/>
  <c r="CM579" i="13"/>
  <c r="CN579" i="13"/>
  <c r="CK580" i="13"/>
  <c r="CM580" i="13"/>
  <c r="CN580" i="13"/>
  <c r="CK581" i="13"/>
  <c r="CM581" i="13"/>
  <c r="CN581" i="13"/>
  <c r="CK582" i="13"/>
  <c r="CM582" i="13"/>
  <c r="CN582" i="13"/>
  <c r="CK583" i="13"/>
  <c r="CM583" i="13"/>
  <c r="CN583" i="13"/>
  <c r="CK584" i="13"/>
  <c r="CM584" i="13"/>
  <c r="CN584" i="13"/>
  <c r="CK585" i="13"/>
  <c r="CM585" i="13"/>
  <c r="CN585" i="13"/>
  <c r="CK586" i="13"/>
  <c r="CM586" i="13"/>
  <c r="CN586" i="13"/>
  <c r="CM587" i="13"/>
  <c r="CN587" i="13"/>
  <c r="CK588" i="13"/>
  <c r="CM588" i="13"/>
  <c r="CN588" i="13"/>
  <c r="CK589" i="13"/>
  <c r="CM589" i="13"/>
  <c r="CN589" i="13"/>
  <c r="CK590" i="13"/>
  <c r="CM590" i="13"/>
  <c r="CN590" i="13"/>
  <c r="CK591" i="13"/>
  <c r="CM591" i="13"/>
  <c r="CN591" i="13"/>
  <c r="CK592" i="13"/>
  <c r="CM592" i="13"/>
  <c r="CN592" i="13"/>
  <c r="CK593" i="13"/>
  <c r="CM593" i="13"/>
  <c r="CN593" i="13"/>
  <c r="CK594" i="13"/>
  <c r="CM594" i="13"/>
  <c r="CN594" i="13"/>
  <c r="CK595" i="13"/>
  <c r="CM595" i="13"/>
  <c r="CN595" i="13"/>
  <c r="CK596" i="13"/>
  <c r="CM596" i="13"/>
  <c r="CN596" i="13"/>
  <c r="CK597" i="13"/>
  <c r="CM597" i="13"/>
  <c r="CN597" i="13"/>
  <c r="CK598" i="13"/>
  <c r="CM598" i="13"/>
  <c r="CN598" i="13"/>
  <c r="CK599" i="13"/>
  <c r="CM599" i="13"/>
  <c r="CN599" i="13"/>
  <c r="CK600" i="13"/>
  <c r="CM600" i="13"/>
  <c r="CN600" i="13"/>
  <c r="CK601" i="13"/>
  <c r="CM601" i="13"/>
  <c r="CN601" i="13"/>
  <c r="CK602" i="13"/>
  <c r="CM602" i="13"/>
  <c r="CN602" i="13"/>
  <c r="CK603" i="13"/>
  <c r="CM603" i="13"/>
  <c r="CN603" i="13"/>
  <c r="CK604" i="13"/>
  <c r="CM604" i="13"/>
  <c r="CN604" i="13"/>
  <c r="CK605" i="13"/>
  <c r="CM605" i="13"/>
  <c r="CN605" i="13"/>
  <c r="CK606" i="13"/>
  <c r="CM606" i="13"/>
  <c r="CN606" i="13"/>
  <c r="CK607" i="13"/>
  <c r="CM607" i="13"/>
  <c r="CN607" i="13"/>
  <c r="CK608" i="13"/>
  <c r="CM608" i="13"/>
  <c r="CN608" i="13"/>
  <c r="CK609" i="13"/>
  <c r="CM609" i="13"/>
  <c r="CN609" i="13"/>
  <c r="CK610" i="13"/>
  <c r="CM610" i="13"/>
  <c r="CN610" i="13"/>
  <c r="CK611" i="13"/>
  <c r="CM611" i="13"/>
  <c r="CN611" i="13"/>
  <c r="CK612" i="13"/>
  <c r="CM612" i="13"/>
  <c r="CN612" i="13"/>
  <c r="CK613" i="13"/>
  <c r="CM613" i="13"/>
  <c r="CN613" i="13"/>
  <c r="CK614" i="13"/>
  <c r="CM614" i="13"/>
  <c r="CN614" i="13"/>
  <c r="CK615" i="13"/>
  <c r="CM615" i="13"/>
  <c r="CN615" i="13"/>
  <c r="CK616" i="13"/>
  <c r="CM616" i="13"/>
  <c r="CN616" i="13"/>
  <c r="CK617" i="13"/>
  <c r="CM617" i="13"/>
  <c r="CN617" i="13"/>
  <c r="CK618" i="13"/>
  <c r="CM618" i="13"/>
  <c r="CN618" i="13"/>
  <c r="CK619" i="13"/>
  <c r="CM619" i="13"/>
  <c r="CN619" i="13"/>
  <c r="CK620" i="13"/>
  <c r="CM620" i="13"/>
  <c r="CN620" i="13"/>
  <c r="CK621" i="13"/>
  <c r="CM621" i="13"/>
  <c r="CN621" i="13"/>
  <c r="CK622" i="13"/>
  <c r="CM622" i="13"/>
  <c r="CN622" i="13"/>
  <c r="CK623" i="13"/>
  <c r="CM623" i="13"/>
  <c r="CN623" i="13"/>
  <c r="CK624" i="13"/>
  <c r="CM624" i="13"/>
  <c r="CN624" i="13"/>
  <c r="CK625" i="13"/>
  <c r="CM625" i="13"/>
  <c r="CN625" i="13"/>
  <c r="CK626" i="13"/>
  <c r="CM626" i="13"/>
  <c r="CN626" i="13"/>
  <c r="CK627" i="13"/>
  <c r="CM627" i="13"/>
  <c r="CN627" i="13"/>
  <c r="CK628" i="13"/>
  <c r="CM628" i="13"/>
  <c r="CN628" i="13"/>
  <c r="CK629" i="13"/>
  <c r="CM629" i="13"/>
  <c r="CN629" i="13"/>
  <c r="CK630" i="13"/>
  <c r="CM630" i="13"/>
  <c r="CN630" i="13"/>
  <c r="CK631" i="13"/>
  <c r="CM631" i="13"/>
  <c r="CN631" i="13"/>
  <c r="CK632" i="13"/>
  <c r="CM632" i="13"/>
  <c r="CN632" i="13"/>
  <c r="CK633" i="13"/>
  <c r="CM633" i="13"/>
  <c r="CN633" i="13"/>
  <c r="CK634" i="13"/>
  <c r="CM634" i="13"/>
  <c r="CN634" i="13"/>
  <c r="CK635" i="13"/>
  <c r="CM635" i="13"/>
  <c r="CN635" i="13"/>
  <c r="CK636" i="13"/>
  <c r="CM636" i="13"/>
  <c r="CN636" i="13"/>
  <c r="CK637" i="13"/>
  <c r="CM637" i="13"/>
  <c r="CN637" i="13"/>
  <c r="CM638" i="13"/>
  <c r="CN638" i="13"/>
  <c r="CK639" i="13"/>
  <c r="CM639" i="13"/>
  <c r="CN639" i="13"/>
  <c r="CK640" i="13"/>
  <c r="CM640" i="13"/>
  <c r="CN640" i="13"/>
  <c r="CK641" i="13"/>
  <c r="CM641" i="13"/>
  <c r="CN641" i="13"/>
  <c r="CK642" i="13"/>
  <c r="CM642" i="13"/>
  <c r="CN642" i="13"/>
  <c r="CK643" i="13"/>
  <c r="CM643" i="13"/>
  <c r="CN643" i="13"/>
  <c r="CK644" i="13"/>
  <c r="CM644" i="13"/>
  <c r="CN644" i="13"/>
  <c r="CK645" i="13"/>
  <c r="CM645" i="13"/>
  <c r="CN645" i="13"/>
  <c r="CK646" i="13"/>
  <c r="CM646" i="13"/>
  <c r="CN646" i="13"/>
  <c r="CK647" i="13"/>
  <c r="CM647" i="13"/>
  <c r="CN647" i="13"/>
  <c r="CK648" i="13"/>
  <c r="CM648" i="13"/>
  <c r="CN648" i="13"/>
  <c r="CK649" i="13"/>
  <c r="CM649" i="13"/>
  <c r="CN649" i="13"/>
  <c r="CK650" i="13"/>
  <c r="CM650" i="13"/>
  <c r="CN650" i="13"/>
  <c r="CK651" i="13"/>
  <c r="CM651" i="13"/>
  <c r="CN651" i="13"/>
  <c r="CK652" i="13"/>
  <c r="CM652" i="13"/>
  <c r="CN652" i="13"/>
  <c r="CK653" i="13"/>
  <c r="CM653" i="13"/>
  <c r="CN653" i="13"/>
  <c r="CK654" i="13"/>
  <c r="CM654" i="13"/>
  <c r="CN654" i="13"/>
  <c r="CK655" i="13"/>
  <c r="CM655" i="13"/>
  <c r="CN655" i="13"/>
  <c r="CK656" i="13"/>
  <c r="CM656" i="13"/>
  <c r="CN656" i="13"/>
  <c r="CK657" i="13"/>
  <c r="CM657" i="13"/>
  <c r="CN657" i="13"/>
  <c r="CK658" i="13"/>
  <c r="CM658" i="13"/>
  <c r="CN658" i="13"/>
  <c r="CM659" i="13"/>
  <c r="CN659" i="13"/>
  <c r="CM660" i="13"/>
  <c r="CN660" i="13"/>
  <c r="CK661" i="13"/>
  <c r="CM661" i="13"/>
  <c r="CN661" i="13"/>
  <c r="CM662" i="13"/>
  <c r="CN662" i="13"/>
  <c r="CM663" i="13"/>
  <c r="CK664" i="13"/>
  <c r="CM664" i="13"/>
  <c r="CN664" i="13"/>
  <c r="CM665" i="13"/>
  <c r="CK666" i="13"/>
  <c r="CM666" i="13"/>
  <c r="CN666" i="13"/>
  <c r="CK667" i="13"/>
  <c r="CM667" i="13"/>
  <c r="CK668" i="13"/>
  <c r="CM668" i="13"/>
  <c r="CK669" i="13"/>
  <c r="CM669" i="13"/>
  <c r="CN669" i="13"/>
  <c r="AV571" i="13"/>
  <c r="AV572" i="13"/>
  <c r="AV573" i="13"/>
  <c r="AV574" i="13"/>
  <c r="AV575" i="13"/>
  <c r="AV576" i="13"/>
  <c r="AV577" i="13"/>
  <c r="AV578" i="13"/>
  <c r="AV579" i="13"/>
  <c r="AV580" i="13"/>
  <c r="AV581" i="13"/>
  <c r="AV582" i="13"/>
  <c r="AV583" i="13"/>
  <c r="AV584" i="13"/>
  <c r="AV585" i="13"/>
  <c r="AV586" i="13"/>
  <c r="AV587" i="13"/>
  <c r="AV588" i="13"/>
  <c r="AV589" i="13"/>
  <c r="AV590" i="13"/>
  <c r="AV591" i="13"/>
  <c r="AV592" i="13"/>
  <c r="AV593" i="13"/>
  <c r="AV594" i="13"/>
  <c r="AV595" i="13"/>
  <c r="AV596" i="13"/>
  <c r="AV597" i="13"/>
  <c r="AV598" i="13"/>
  <c r="AV599" i="13"/>
  <c r="AV600" i="13"/>
  <c r="AV601" i="13"/>
  <c r="AV602" i="13"/>
  <c r="AV603" i="13"/>
  <c r="AV604" i="13"/>
  <c r="AV605" i="13"/>
  <c r="AV606" i="13"/>
  <c r="AV607" i="13"/>
  <c r="AV608" i="13"/>
  <c r="AV609" i="13"/>
  <c r="AV610" i="13"/>
  <c r="AV611" i="13"/>
  <c r="AV612" i="13"/>
  <c r="AV613" i="13"/>
  <c r="AV614" i="13"/>
  <c r="AV615" i="13"/>
  <c r="AV616" i="13"/>
  <c r="AV617" i="13"/>
  <c r="AV618" i="13"/>
  <c r="AV619" i="13"/>
  <c r="AV620" i="13"/>
  <c r="AV621" i="13"/>
  <c r="AV622" i="13"/>
  <c r="AV623" i="13"/>
  <c r="AV624" i="13"/>
  <c r="AV625" i="13"/>
  <c r="AV626" i="13"/>
  <c r="AV627" i="13"/>
  <c r="AV628" i="13"/>
  <c r="AV629" i="13"/>
  <c r="AV630" i="13"/>
  <c r="AV631" i="13"/>
  <c r="AV632" i="13"/>
  <c r="AV633" i="13"/>
  <c r="AV634" i="13"/>
  <c r="AV635" i="13"/>
  <c r="AV636" i="13"/>
  <c r="AV637" i="13"/>
  <c r="AV638" i="13"/>
  <c r="AV639" i="13"/>
  <c r="AV640" i="13"/>
  <c r="AV641" i="13"/>
  <c r="AV642" i="13"/>
  <c r="AV643" i="13"/>
  <c r="AV644" i="13"/>
  <c r="AV645" i="13"/>
  <c r="AV646" i="13"/>
  <c r="AV647" i="13"/>
  <c r="AV648" i="13"/>
  <c r="AV649" i="13"/>
  <c r="AV650" i="13"/>
  <c r="AV651" i="13"/>
  <c r="AV652" i="13"/>
  <c r="AV653" i="13"/>
  <c r="AV654" i="13"/>
  <c r="AV655" i="13"/>
  <c r="AV656" i="13"/>
  <c r="AV657" i="13"/>
  <c r="CL657" i="13" s="1"/>
  <c r="AV658" i="13"/>
  <c r="AV659" i="13"/>
  <c r="AV660" i="13"/>
  <c r="AV661" i="13"/>
  <c r="AV662" i="13"/>
  <c r="AV663" i="13"/>
  <c r="AV664" i="13"/>
  <c r="AV665" i="13"/>
  <c r="AV666" i="13"/>
  <c r="AV667" i="13"/>
  <c r="AV668" i="13"/>
  <c r="AV669" i="13"/>
  <c r="AV465" i="13"/>
  <c r="CK459" i="13"/>
  <c r="CK460" i="13"/>
  <c r="AV459" i="13"/>
  <c r="AX450" i="13"/>
  <c r="AY450" i="13" s="1"/>
  <c r="CK450" i="13" s="1"/>
  <c r="AX428" i="13"/>
  <c r="CK428" i="13" s="1"/>
  <c r="AX418" i="13"/>
  <c r="CK418" i="13" s="1"/>
  <c r="AX405" i="13"/>
  <c r="CK405" i="13" s="1"/>
  <c r="AX400" i="13"/>
  <c r="CK400" i="13" s="1"/>
  <c r="AX394" i="13"/>
  <c r="CK394" i="13" s="1"/>
  <c r="AX388" i="13"/>
  <c r="CK388" i="13" s="1"/>
  <c r="AX387" i="13"/>
  <c r="CK387" i="13" s="1"/>
  <c r="AX386" i="13"/>
  <c r="CK386" i="13" s="1"/>
  <c r="AX385" i="13"/>
  <c r="CK385" i="13" s="1"/>
  <c r="AX364" i="13"/>
  <c r="AY364" i="13" s="1"/>
  <c r="CK364" i="13" s="1"/>
  <c r="AX361" i="13"/>
  <c r="AY361" i="13" s="1"/>
  <c r="CK361" i="13" s="1"/>
  <c r="AX359" i="13"/>
  <c r="AY359" i="13" s="1"/>
  <c r="G352" i="13"/>
  <c r="G351" i="13"/>
  <c r="AX321" i="13"/>
  <c r="AY321" i="13" s="1"/>
  <c r="AX311" i="13"/>
  <c r="AX303" i="13"/>
  <c r="AY303" i="13" s="1"/>
  <c r="CK348" i="13"/>
  <c r="CM348" i="13"/>
  <c r="CN348" i="13"/>
  <c r="CK349" i="13"/>
  <c r="CM349" i="13"/>
  <c r="CN349" i="13"/>
  <c r="CK350" i="13"/>
  <c r="CM350" i="13"/>
  <c r="CN350" i="13"/>
  <c r="CK351" i="13"/>
  <c r="CM351" i="13"/>
  <c r="CN351" i="13"/>
  <c r="CK352" i="13"/>
  <c r="CM352" i="13"/>
  <c r="CN352" i="13"/>
  <c r="CK353" i="13"/>
  <c r="CM353" i="13"/>
  <c r="CN353" i="13"/>
  <c r="CK354" i="13"/>
  <c r="CM354" i="13"/>
  <c r="CN354" i="13"/>
  <c r="CK355" i="13"/>
  <c r="CM355" i="13"/>
  <c r="CN355" i="13"/>
  <c r="CK356" i="13"/>
  <c r="CM356" i="13"/>
  <c r="CN356" i="13"/>
  <c r="CK357" i="13"/>
  <c r="CM357" i="13"/>
  <c r="CN357" i="13"/>
  <c r="CK358" i="13"/>
  <c r="CM358" i="13"/>
  <c r="CN358" i="13"/>
  <c r="CM359" i="13"/>
  <c r="CN359" i="13"/>
  <c r="CK360" i="13"/>
  <c r="CM360" i="13"/>
  <c r="CN360" i="13"/>
  <c r="CM361" i="13"/>
  <c r="CN361" i="13"/>
  <c r="CK362" i="13"/>
  <c r="CM362" i="13"/>
  <c r="CN362" i="13"/>
  <c r="CK363" i="13"/>
  <c r="CM363" i="13"/>
  <c r="CN363" i="13"/>
  <c r="CM364" i="13"/>
  <c r="CN364" i="13"/>
  <c r="CK365" i="13"/>
  <c r="CM365" i="13"/>
  <c r="CN365" i="13"/>
  <c r="CK366" i="13"/>
  <c r="CM366" i="13"/>
  <c r="CN366" i="13"/>
  <c r="CK367" i="13"/>
  <c r="CM367" i="13"/>
  <c r="CN367" i="13"/>
  <c r="CK368" i="13"/>
  <c r="CM368" i="13"/>
  <c r="CN368" i="13"/>
  <c r="CK369" i="13"/>
  <c r="CM369" i="13"/>
  <c r="CN369" i="13"/>
  <c r="CK370" i="13"/>
  <c r="CM370" i="13"/>
  <c r="CN370" i="13"/>
  <c r="CK371" i="13"/>
  <c r="CM371" i="13"/>
  <c r="CN371" i="13"/>
  <c r="CK372" i="13"/>
  <c r="CM372" i="13"/>
  <c r="CN372" i="13"/>
  <c r="CK373" i="13"/>
  <c r="CM373" i="13"/>
  <c r="CN373" i="13"/>
  <c r="CK374" i="13"/>
  <c r="CM374" i="13"/>
  <c r="CN374" i="13"/>
  <c r="CK375" i="13"/>
  <c r="CM375" i="13"/>
  <c r="CN375" i="13"/>
  <c r="CK376" i="13"/>
  <c r="CM376" i="13"/>
  <c r="CN376" i="13"/>
  <c r="CK377" i="13"/>
  <c r="CM377" i="13"/>
  <c r="CN377" i="13"/>
  <c r="CK378" i="13"/>
  <c r="CM378" i="13"/>
  <c r="CN378" i="13"/>
  <c r="CK379" i="13"/>
  <c r="CM379" i="13"/>
  <c r="CN379" i="13"/>
  <c r="CK380" i="13"/>
  <c r="CM380" i="13"/>
  <c r="CN380" i="13"/>
  <c r="CK381" i="13"/>
  <c r="CM381" i="13"/>
  <c r="CN381" i="13"/>
  <c r="CK382" i="13"/>
  <c r="CM382" i="13"/>
  <c r="CN382" i="13"/>
  <c r="CK383" i="13"/>
  <c r="CM383" i="13"/>
  <c r="CN383" i="13"/>
  <c r="CK384" i="13"/>
  <c r="CM384" i="13"/>
  <c r="CN384" i="13"/>
  <c r="CM385" i="13"/>
  <c r="CN385" i="13"/>
  <c r="CM386" i="13"/>
  <c r="CN386" i="13"/>
  <c r="CM387" i="13"/>
  <c r="CN387" i="13"/>
  <c r="CM388" i="13"/>
  <c r="CN388" i="13"/>
  <c r="CK389" i="13"/>
  <c r="CM389" i="13"/>
  <c r="CN389" i="13"/>
  <c r="CK390" i="13"/>
  <c r="CM390" i="13"/>
  <c r="CN390" i="13"/>
  <c r="CK391" i="13"/>
  <c r="CM391" i="13"/>
  <c r="CN391" i="13"/>
  <c r="CK392" i="13"/>
  <c r="CM392" i="13"/>
  <c r="CN392" i="13"/>
  <c r="CK393" i="13"/>
  <c r="CM393" i="13"/>
  <c r="CN393" i="13"/>
  <c r="CM394" i="13"/>
  <c r="CN394" i="13"/>
  <c r="CK395" i="13"/>
  <c r="CM395" i="13"/>
  <c r="CN395" i="13"/>
  <c r="CK396" i="13"/>
  <c r="CM396" i="13"/>
  <c r="CN396" i="13"/>
  <c r="CK397" i="13"/>
  <c r="CM397" i="13"/>
  <c r="CN397" i="13"/>
  <c r="CK398" i="13"/>
  <c r="CM398" i="13"/>
  <c r="CN398" i="13"/>
  <c r="CK399" i="13"/>
  <c r="CM399" i="13"/>
  <c r="CN399" i="13"/>
  <c r="CM400" i="13"/>
  <c r="CN400" i="13"/>
  <c r="CK401" i="13"/>
  <c r="CM401" i="13"/>
  <c r="CN401" i="13"/>
  <c r="CK402" i="13"/>
  <c r="CM402" i="13"/>
  <c r="CN402" i="13"/>
  <c r="CK403" i="13"/>
  <c r="CM403" i="13"/>
  <c r="CN403" i="13"/>
  <c r="CK404" i="13"/>
  <c r="CM404" i="13"/>
  <c r="CN404" i="13"/>
  <c r="CM405" i="13"/>
  <c r="CN405" i="13"/>
  <c r="CK406" i="13"/>
  <c r="CM406" i="13"/>
  <c r="CN406" i="13"/>
  <c r="CK407" i="13"/>
  <c r="CM407" i="13"/>
  <c r="CN407" i="13"/>
  <c r="CK408" i="13"/>
  <c r="CM408" i="13"/>
  <c r="CN408" i="13"/>
  <c r="CK409" i="13"/>
  <c r="CM409" i="13"/>
  <c r="CN409" i="13"/>
  <c r="CK410" i="13"/>
  <c r="CM410" i="13"/>
  <c r="CN410" i="13"/>
  <c r="CK411" i="13"/>
  <c r="CM411" i="13"/>
  <c r="CN411" i="13"/>
  <c r="CK412" i="13"/>
  <c r="CM412" i="13"/>
  <c r="CN412" i="13"/>
  <c r="CK413" i="13"/>
  <c r="CM413" i="13"/>
  <c r="CN413" i="13"/>
  <c r="CK414" i="13"/>
  <c r="CM414" i="13"/>
  <c r="CN414" i="13"/>
  <c r="CK415" i="13"/>
  <c r="CM415" i="13"/>
  <c r="CN415" i="13"/>
  <c r="CK416" i="13"/>
  <c r="CM416" i="13"/>
  <c r="CN416" i="13"/>
  <c r="CK417" i="13"/>
  <c r="CM417" i="13"/>
  <c r="CN417" i="13"/>
  <c r="CM418" i="13"/>
  <c r="CN418" i="13"/>
  <c r="CK419" i="13"/>
  <c r="CM419" i="13"/>
  <c r="CN419" i="13"/>
  <c r="CK420" i="13"/>
  <c r="CM420" i="13"/>
  <c r="CN420" i="13"/>
  <c r="CK421" i="13"/>
  <c r="CM421" i="13"/>
  <c r="CN421" i="13"/>
  <c r="CK422" i="13"/>
  <c r="CM422" i="13"/>
  <c r="CN422" i="13"/>
  <c r="CK423" i="13"/>
  <c r="CM423" i="13"/>
  <c r="CN423" i="13"/>
  <c r="CK424" i="13"/>
  <c r="CM424" i="13"/>
  <c r="CN424" i="13"/>
  <c r="CK425" i="13"/>
  <c r="CM425" i="13"/>
  <c r="CN425" i="13"/>
  <c r="CK426" i="13"/>
  <c r="CM426" i="13"/>
  <c r="CN426" i="13"/>
  <c r="CK427" i="13"/>
  <c r="CM427" i="13"/>
  <c r="CN427" i="13"/>
  <c r="CM428" i="13"/>
  <c r="CN428" i="13"/>
  <c r="CK429" i="13"/>
  <c r="CM429" i="13"/>
  <c r="CN429" i="13"/>
  <c r="CK430" i="13"/>
  <c r="CM430" i="13"/>
  <c r="CN430" i="13"/>
  <c r="CK431" i="13"/>
  <c r="CM431" i="13"/>
  <c r="CN431" i="13"/>
  <c r="CK432" i="13"/>
  <c r="CM432" i="13"/>
  <c r="CN432" i="13"/>
  <c r="CK433" i="13"/>
  <c r="CM433" i="13"/>
  <c r="CN433" i="13"/>
  <c r="CK434" i="13"/>
  <c r="CM434" i="13"/>
  <c r="CN434" i="13"/>
  <c r="CK435" i="13"/>
  <c r="CM435" i="13"/>
  <c r="CN435" i="13"/>
  <c r="CK436" i="13"/>
  <c r="CM436" i="13"/>
  <c r="CN436" i="13"/>
  <c r="CK437" i="13"/>
  <c r="CM437" i="13"/>
  <c r="CN437" i="13"/>
  <c r="CK438" i="13"/>
  <c r="CM438" i="13"/>
  <c r="CN438" i="13"/>
  <c r="CK439" i="13"/>
  <c r="CM439" i="13"/>
  <c r="CN439" i="13"/>
  <c r="CK440" i="13"/>
  <c r="CM440" i="13"/>
  <c r="CN440" i="13"/>
  <c r="CK441" i="13"/>
  <c r="CM441" i="13"/>
  <c r="CN441" i="13"/>
  <c r="CK442" i="13"/>
  <c r="CM442" i="13"/>
  <c r="CN442" i="13"/>
  <c r="CK443" i="13"/>
  <c r="CM443" i="13"/>
  <c r="CN443" i="13"/>
  <c r="CK444" i="13"/>
  <c r="CM444" i="13"/>
  <c r="CN444" i="13"/>
  <c r="CK445" i="13"/>
  <c r="CM445" i="13"/>
  <c r="CN445" i="13"/>
  <c r="CK446" i="13"/>
  <c r="CM446" i="13"/>
  <c r="CN446" i="13"/>
  <c r="CK447" i="13"/>
  <c r="CM447" i="13"/>
  <c r="CN447" i="13"/>
  <c r="CK448" i="13"/>
  <c r="CM448" i="13"/>
  <c r="CN448" i="13"/>
  <c r="CK449" i="13"/>
  <c r="CM449" i="13"/>
  <c r="CN449" i="13"/>
  <c r="CM450" i="13"/>
  <c r="CN450" i="13"/>
  <c r="CK451" i="13"/>
  <c r="CM451" i="13"/>
  <c r="CN451" i="13"/>
  <c r="CK452" i="13"/>
  <c r="CM452" i="13"/>
  <c r="CN452" i="13"/>
  <c r="CK453" i="13"/>
  <c r="CM453" i="13"/>
  <c r="CN453" i="13"/>
  <c r="CK454" i="13"/>
  <c r="CM454" i="13"/>
  <c r="CN454" i="13"/>
  <c r="CK455" i="13"/>
  <c r="CM455" i="13"/>
  <c r="CN455" i="13"/>
  <c r="CK456" i="13"/>
  <c r="CM456" i="13"/>
  <c r="CN456" i="13"/>
  <c r="CK457" i="13"/>
  <c r="CM457" i="13"/>
  <c r="CN457" i="13"/>
  <c r="CK458" i="13"/>
  <c r="CM458" i="13"/>
  <c r="CN458" i="13"/>
  <c r="CM459" i="13"/>
  <c r="CN459" i="13"/>
  <c r="CM460" i="13"/>
  <c r="CN460" i="13"/>
  <c r="CK461" i="13"/>
  <c r="CM461" i="13"/>
  <c r="CN461" i="13"/>
  <c r="CK462" i="13"/>
  <c r="CM462" i="13"/>
  <c r="CN462" i="13"/>
  <c r="CK463" i="13"/>
  <c r="CM463" i="13"/>
  <c r="CN463" i="13"/>
  <c r="CK464" i="13"/>
  <c r="CM464" i="13"/>
  <c r="CN464" i="13"/>
  <c r="CK465" i="13"/>
  <c r="CM465" i="13"/>
  <c r="CK466" i="13"/>
  <c r="CM466" i="13"/>
  <c r="CN466" i="13"/>
  <c r="CK467" i="13"/>
  <c r="CM467" i="13"/>
  <c r="CN467" i="13"/>
  <c r="CK468" i="13"/>
  <c r="CM468" i="13"/>
  <c r="CN468" i="13"/>
  <c r="CK470" i="13"/>
  <c r="CM470" i="13"/>
  <c r="CN470" i="13"/>
  <c r="CK471" i="13"/>
  <c r="CM471" i="13"/>
  <c r="CN471" i="13"/>
  <c r="CK472" i="13"/>
  <c r="CM472" i="13"/>
  <c r="CN472" i="13"/>
  <c r="CK473" i="13"/>
  <c r="CM473" i="13"/>
  <c r="CN473" i="13"/>
  <c r="CK474" i="13"/>
  <c r="CM474" i="13"/>
  <c r="CN474" i="13"/>
  <c r="CK475" i="13"/>
  <c r="CM475" i="13"/>
  <c r="CN475" i="13"/>
  <c r="CK476" i="13"/>
  <c r="CM476" i="13"/>
  <c r="CN476" i="13"/>
  <c r="CK477" i="13"/>
  <c r="CM477" i="13"/>
  <c r="CN477" i="13"/>
  <c r="CK478" i="13"/>
  <c r="CM478" i="13"/>
  <c r="CN478" i="13"/>
  <c r="CK479" i="13"/>
  <c r="CM479" i="13"/>
  <c r="CN479" i="13"/>
  <c r="CK480" i="13"/>
  <c r="CM480" i="13"/>
  <c r="CN480" i="13"/>
  <c r="CK481" i="13"/>
  <c r="CM481" i="13"/>
  <c r="CN481" i="13"/>
  <c r="CK482" i="13"/>
  <c r="CM482" i="13"/>
  <c r="CN482" i="13"/>
  <c r="CK483" i="13"/>
  <c r="CM483" i="13"/>
  <c r="CN483" i="13"/>
  <c r="CK484" i="13"/>
  <c r="CM484" i="13"/>
  <c r="CN484" i="13"/>
  <c r="CK485" i="13"/>
  <c r="CM485" i="13"/>
  <c r="CN485" i="13"/>
  <c r="CK486" i="13"/>
  <c r="CM486" i="13"/>
  <c r="CN486" i="13"/>
  <c r="CK487" i="13"/>
  <c r="CM487" i="13"/>
  <c r="CN487" i="13"/>
  <c r="CK488" i="13"/>
  <c r="CM488" i="13"/>
  <c r="CN488" i="13"/>
  <c r="CK489" i="13"/>
  <c r="CM489" i="13"/>
  <c r="CN489" i="13"/>
  <c r="CK490" i="13"/>
  <c r="CM490" i="13"/>
  <c r="CN490" i="13"/>
  <c r="CK491" i="13"/>
  <c r="CM491" i="13"/>
  <c r="CN491" i="13"/>
  <c r="CK492" i="13"/>
  <c r="CM492" i="13"/>
  <c r="CN492" i="13"/>
  <c r="CK493" i="13"/>
  <c r="CM493" i="13"/>
  <c r="CN493" i="13"/>
  <c r="CK494" i="13"/>
  <c r="CM494" i="13"/>
  <c r="CN494" i="13"/>
  <c r="CK495" i="13"/>
  <c r="CM495" i="13"/>
  <c r="CN495" i="13"/>
  <c r="CK496" i="13"/>
  <c r="CM496" i="13"/>
  <c r="CN496" i="13"/>
  <c r="CK497" i="13"/>
  <c r="CM497" i="13"/>
  <c r="CN497" i="13"/>
  <c r="CK498" i="13"/>
  <c r="CM498" i="13"/>
  <c r="CN498" i="13"/>
  <c r="CK499" i="13"/>
  <c r="CM499" i="13"/>
  <c r="CN499" i="13"/>
  <c r="CK500" i="13"/>
  <c r="CM500" i="13"/>
  <c r="CN500" i="13"/>
  <c r="CK501" i="13"/>
  <c r="CM501" i="13"/>
  <c r="CN501" i="13"/>
  <c r="CK502" i="13"/>
  <c r="CM502" i="13"/>
  <c r="CN502" i="13"/>
  <c r="CK503" i="13"/>
  <c r="CM503" i="13"/>
  <c r="CN503" i="13"/>
  <c r="CK504" i="13"/>
  <c r="CM504" i="13"/>
  <c r="CN504" i="13"/>
  <c r="CK505" i="13"/>
  <c r="CM505" i="13"/>
  <c r="CN505" i="13"/>
  <c r="CK506" i="13"/>
  <c r="CM506" i="13"/>
  <c r="CN506" i="13"/>
  <c r="CK507" i="13"/>
  <c r="CM507" i="13"/>
  <c r="CN507" i="13"/>
  <c r="CK508" i="13"/>
  <c r="CM508" i="13"/>
  <c r="CN508" i="13"/>
  <c r="CK509" i="13"/>
  <c r="CM509" i="13"/>
  <c r="CN509" i="13"/>
  <c r="CK510" i="13"/>
  <c r="CM510" i="13"/>
  <c r="CN510" i="13"/>
  <c r="CK511" i="13"/>
  <c r="CM511" i="13"/>
  <c r="CN511" i="13"/>
  <c r="CK512" i="13"/>
  <c r="CM512" i="13"/>
  <c r="CN512" i="13"/>
  <c r="CK513" i="13"/>
  <c r="CM513" i="13"/>
  <c r="CN513" i="13"/>
  <c r="CK514" i="13"/>
  <c r="CM514" i="13"/>
  <c r="CN514" i="13"/>
  <c r="CK515" i="13"/>
  <c r="CM515" i="13"/>
  <c r="CN515" i="13"/>
  <c r="CK516" i="13"/>
  <c r="CM516" i="13"/>
  <c r="CN516" i="13"/>
  <c r="CK517" i="13"/>
  <c r="CM517" i="13"/>
  <c r="CN517" i="13"/>
  <c r="CK518" i="13"/>
  <c r="CM518" i="13"/>
  <c r="CN518" i="13"/>
  <c r="CK519" i="13"/>
  <c r="CM519" i="13"/>
  <c r="CN519" i="13"/>
  <c r="CK520" i="13"/>
  <c r="CM520" i="13"/>
  <c r="CN520" i="13"/>
  <c r="CK521" i="13"/>
  <c r="CM521" i="13"/>
  <c r="CN521" i="13"/>
  <c r="CK522" i="13"/>
  <c r="CM522" i="13"/>
  <c r="CN522" i="13"/>
  <c r="CK523" i="13"/>
  <c r="CM523" i="13"/>
  <c r="CN523" i="13"/>
  <c r="CK524" i="13"/>
  <c r="CM524" i="13"/>
  <c r="CN524" i="13"/>
  <c r="CK525" i="13"/>
  <c r="CM525" i="13"/>
  <c r="CN525" i="13"/>
  <c r="CK526" i="13"/>
  <c r="CM526" i="13"/>
  <c r="CN526" i="13"/>
  <c r="CK527" i="13"/>
  <c r="CM527" i="13"/>
  <c r="CN527" i="13"/>
  <c r="CM528" i="13"/>
  <c r="CN528" i="13"/>
  <c r="CK529" i="13"/>
  <c r="CM529" i="13"/>
  <c r="CN529" i="13"/>
  <c r="CK530" i="13"/>
  <c r="CM530" i="13"/>
  <c r="CN530" i="13"/>
  <c r="CK531" i="13"/>
  <c r="CM531" i="13"/>
  <c r="CN531" i="13"/>
  <c r="CK532" i="13"/>
  <c r="CM532" i="13"/>
  <c r="CN532" i="13"/>
  <c r="CK533" i="13"/>
  <c r="CM533" i="13"/>
  <c r="CN533" i="13"/>
  <c r="CK534" i="13"/>
  <c r="CM534" i="13"/>
  <c r="CN534" i="13"/>
  <c r="CK535" i="13"/>
  <c r="CM535" i="13"/>
  <c r="CN535" i="13"/>
  <c r="CM536" i="13"/>
  <c r="CN536" i="13"/>
  <c r="CK537" i="13"/>
  <c r="CM537" i="13"/>
  <c r="CN537" i="13"/>
  <c r="CK538" i="13"/>
  <c r="CM538" i="13"/>
  <c r="CN538" i="13"/>
  <c r="CK539" i="13"/>
  <c r="CM539" i="13"/>
  <c r="CN539" i="13"/>
  <c r="CM540" i="13"/>
  <c r="CN540" i="13"/>
  <c r="CK541" i="13"/>
  <c r="CM541" i="13"/>
  <c r="CN541" i="13"/>
  <c r="CK542" i="13"/>
  <c r="CM542" i="13"/>
  <c r="CN542" i="13"/>
  <c r="CK543" i="13"/>
  <c r="CM543" i="13"/>
  <c r="CN543" i="13"/>
  <c r="CK544" i="13"/>
  <c r="CM544" i="13"/>
  <c r="CN544" i="13"/>
  <c r="CK545" i="13"/>
  <c r="CM545" i="13"/>
  <c r="CN545" i="13"/>
  <c r="CK546" i="13"/>
  <c r="CM546" i="13"/>
  <c r="CN546" i="13"/>
  <c r="CM547" i="13"/>
  <c r="CN547" i="13"/>
  <c r="CK548" i="13"/>
  <c r="CM548" i="13"/>
  <c r="CN548" i="13"/>
  <c r="CK549" i="13"/>
  <c r="CM549" i="13"/>
  <c r="CN549" i="13"/>
  <c r="CM550" i="13"/>
  <c r="CN550" i="13"/>
  <c r="CK551" i="13"/>
  <c r="CM551" i="13"/>
  <c r="CN551" i="13"/>
  <c r="CK552" i="13"/>
  <c r="CM552" i="13"/>
  <c r="CN552" i="13"/>
  <c r="CK553" i="13"/>
  <c r="CM553" i="13"/>
  <c r="CN553" i="13"/>
  <c r="CK554" i="13"/>
  <c r="CM554" i="13"/>
  <c r="CN554" i="13"/>
  <c r="CK555" i="13"/>
  <c r="CM555" i="13"/>
  <c r="CN555" i="13"/>
  <c r="CM556" i="13"/>
  <c r="CN556" i="13"/>
  <c r="CM557" i="13"/>
  <c r="CN557" i="13"/>
  <c r="CK558" i="13"/>
  <c r="CM558" i="13"/>
  <c r="CN558" i="13"/>
  <c r="CK559" i="13"/>
  <c r="CM559" i="13"/>
  <c r="CN559" i="13"/>
  <c r="CK560" i="13"/>
  <c r="CM560" i="13"/>
  <c r="CN560" i="13"/>
  <c r="CK561" i="13"/>
  <c r="CM561" i="13"/>
  <c r="CN561" i="13"/>
  <c r="AV359" i="13"/>
  <c r="AV360" i="13"/>
  <c r="AV361" i="13"/>
  <c r="AV362" i="13"/>
  <c r="AV363" i="13"/>
  <c r="AV364" i="13"/>
  <c r="AV365" i="13"/>
  <c r="AV366" i="13"/>
  <c r="AV367" i="13"/>
  <c r="AV368" i="13"/>
  <c r="CL368" i="13" s="1"/>
  <c r="AV369" i="13"/>
  <c r="AV370" i="13"/>
  <c r="AV371" i="13"/>
  <c r="AV372" i="13"/>
  <c r="CL372" i="13" s="1"/>
  <c r="AV373" i="13"/>
  <c r="AV374" i="13"/>
  <c r="AV375" i="13"/>
  <c r="AV376" i="13"/>
  <c r="CL376" i="13" s="1"/>
  <c r="AV377" i="13"/>
  <c r="AV378" i="13"/>
  <c r="AV379" i="13"/>
  <c r="AV380" i="13"/>
  <c r="AV381" i="13"/>
  <c r="AV382" i="13"/>
  <c r="AV383" i="13"/>
  <c r="AV384" i="13"/>
  <c r="AV385" i="13"/>
  <c r="AV386" i="13"/>
  <c r="AV387" i="13"/>
  <c r="AV388" i="13"/>
  <c r="AV389" i="13"/>
  <c r="AV390" i="13"/>
  <c r="AV391" i="13"/>
  <c r="AV392" i="13"/>
  <c r="AV393" i="13"/>
  <c r="AV394" i="13"/>
  <c r="AV395" i="13"/>
  <c r="AV396" i="13"/>
  <c r="AV397" i="13"/>
  <c r="AV398" i="13"/>
  <c r="AV399" i="13"/>
  <c r="AV400" i="13"/>
  <c r="AV401" i="13"/>
  <c r="AV402" i="13"/>
  <c r="AV403" i="13"/>
  <c r="AV404" i="13"/>
  <c r="AV405" i="13"/>
  <c r="AV406" i="13"/>
  <c r="AV407" i="13"/>
  <c r="AV408" i="13"/>
  <c r="AV409" i="13"/>
  <c r="AV410" i="13"/>
  <c r="AV411" i="13"/>
  <c r="AV412" i="13"/>
  <c r="AV413" i="13"/>
  <c r="AV414" i="13"/>
  <c r="AV415" i="13"/>
  <c r="AV416" i="13"/>
  <c r="AV417" i="13"/>
  <c r="AV418" i="13"/>
  <c r="AV419" i="13"/>
  <c r="AV420" i="13"/>
  <c r="AV421" i="13"/>
  <c r="AV422" i="13"/>
  <c r="AV423" i="13"/>
  <c r="AV424" i="13"/>
  <c r="AV425" i="13"/>
  <c r="AV426" i="13"/>
  <c r="AV427" i="13"/>
  <c r="AV428" i="13"/>
  <c r="AV429" i="13"/>
  <c r="AV430" i="13"/>
  <c r="AV431" i="13"/>
  <c r="AV432" i="13"/>
  <c r="AV433" i="13"/>
  <c r="AV434" i="13"/>
  <c r="AV435" i="13"/>
  <c r="AV436" i="13"/>
  <c r="AV437" i="13"/>
  <c r="AV438" i="13"/>
  <c r="AV439" i="13"/>
  <c r="AV440" i="13"/>
  <c r="AV441" i="13"/>
  <c r="AV442" i="13"/>
  <c r="AV443" i="13"/>
  <c r="AV444" i="13"/>
  <c r="AV445" i="13"/>
  <c r="AV446" i="13"/>
  <c r="AV447" i="13"/>
  <c r="AV448" i="13"/>
  <c r="AV449" i="13"/>
  <c r="AV450" i="13"/>
  <c r="AV451" i="13"/>
  <c r="AV452" i="13"/>
  <c r="AV453" i="13"/>
  <c r="AV454" i="13"/>
  <c r="AV455" i="13"/>
  <c r="AV456" i="13"/>
  <c r="AV457" i="13"/>
  <c r="AV458" i="13"/>
  <c r="AV460" i="13"/>
  <c r="AV461" i="13"/>
  <c r="AV462" i="13"/>
  <c r="AV463" i="13"/>
  <c r="AV464" i="13"/>
  <c r="AV466" i="13"/>
  <c r="AV467" i="13"/>
  <c r="AV468" i="13"/>
  <c r="AV470" i="13"/>
  <c r="AV471" i="13"/>
  <c r="AV472" i="13"/>
  <c r="AV473" i="13"/>
  <c r="AV474" i="13"/>
  <c r="AV475" i="13"/>
  <c r="AV476" i="13"/>
  <c r="AV477" i="13"/>
  <c r="AV478" i="13"/>
  <c r="AV479" i="13"/>
  <c r="AV480" i="13"/>
  <c r="AV481" i="13"/>
  <c r="AV482" i="13"/>
  <c r="AV483" i="13"/>
  <c r="AV484" i="13"/>
  <c r="AV485" i="13"/>
  <c r="AV486" i="13"/>
  <c r="AV487" i="13"/>
  <c r="AV488" i="13"/>
  <c r="AV489" i="13"/>
  <c r="AV490" i="13"/>
  <c r="AV491" i="13"/>
  <c r="AV492" i="13"/>
  <c r="AV493" i="13"/>
  <c r="AV494" i="13"/>
  <c r="AV495" i="13"/>
  <c r="AV496" i="13"/>
  <c r="AV497" i="13"/>
  <c r="AV498" i="13"/>
  <c r="AV499" i="13"/>
  <c r="AV500" i="13"/>
  <c r="AV501" i="13"/>
  <c r="AV502" i="13"/>
  <c r="AV503" i="13"/>
  <c r="AV504" i="13"/>
  <c r="AV505" i="13"/>
  <c r="AV506" i="13"/>
  <c r="AV507" i="13"/>
  <c r="AV508" i="13"/>
  <c r="AV509" i="13"/>
  <c r="AV510" i="13"/>
  <c r="AV511" i="13"/>
  <c r="AV512" i="13"/>
  <c r="AV513" i="13"/>
  <c r="AV514" i="13"/>
  <c r="AV515" i="13"/>
  <c r="AV516" i="13"/>
  <c r="AV517" i="13"/>
  <c r="AV518" i="13"/>
  <c r="AV519" i="13"/>
  <c r="AV520" i="13"/>
  <c r="AV521" i="13"/>
  <c r="AV522" i="13"/>
  <c r="AV523" i="13"/>
  <c r="AV524" i="13"/>
  <c r="AV525" i="13"/>
  <c r="AV526" i="13"/>
  <c r="AV527" i="13"/>
  <c r="AV528" i="13"/>
  <c r="AV529" i="13"/>
  <c r="AV530" i="13"/>
  <c r="AV531" i="13"/>
  <c r="AV532" i="13"/>
  <c r="AV533" i="13"/>
  <c r="AV534" i="13"/>
  <c r="AV535" i="13"/>
  <c r="AV536" i="13"/>
  <c r="AV537" i="13"/>
  <c r="AV538" i="13"/>
  <c r="AV539" i="13"/>
  <c r="AV540" i="13"/>
  <c r="AV541" i="13"/>
  <c r="AV542" i="13"/>
  <c r="AV543" i="13"/>
  <c r="AV544" i="13"/>
  <c r="AV545" i="13"/>
  <c r="AV546" i="13"/>
  <c r="AV547" i="13"/>
  <c r="AV548" i="13"/>
  <c r="AV549" i="13"/>
  <c r="AV550" i="13"/>
  <c r="AV551" i="13"/>
  <c r="AV552" i="13"/>
  <c r="AV553" i="13"/>
  <c r="AV554" i="13"/>
  <c r="AV555" i="13"/>
  <c r="AV556" i="13"/>
  <c r="AV557" i="13"/>
  <c r="AV558" i="13"/>
  <c r="AV559" i="13"/>
  <c r="AV560" i="13"/>
  <c r="AV561" i="13"/>
  <c r="AV562" i="13"/>
  <c r="AV563" i="13"/>
  <c r="AV564" i="13"/>
  <c r="AV565" i="13"/>
  <c r="AV566" i="13"/>
  <c r="AV567" i="13"/>
  <c r="AV568" i="13"/>
  <c r="AV569" i="13"/>
  <c r="AV570" i="13"/>
  <c r="AX289" i="13"/>
  <c r="AX264" i="13"/>
  <c r="AX261" i="13"/>
  <c r="AY261" i="13" s="1"/>
  <c r="AX248" i="13"/>
  <c r="AY248" i="13" s="1"/>
  <c r="G215" i="13"/>
  <c r="G216" i="13" s="1"/>
  <c r="G225" i="13" s="1"/>
  <c r="G229" i="13" s="1"/>
  <c r="G231" i="13" s="1"/>
  <c r="G235" i="13" s="1"/>
  <c r="G243" i="13" s="1"/>
  <c r="G214" i="13"/>
  <c r="G217" i="13" s="1"/>
  <c r="G224" i="13" s="1"/>
  <c r="G228" i="13" s="1"/>
  <c r="G230" i="13" s="1"/>
  <c r="G234" i="13" s="1"/>
  <c r="G242" i="13" s="1"/>
  <c r="G213" i="13"/>
  <c r="G218" i="13" s="1"/>
  <c r="G221" i="13" s="1"/>
  <c r="G212" i="13"/>
  <c r="G219" i="13" s="1"/>
  <c r="G220" i="13" s="1"/>
  <c r="G223" i="13" s="1"/>
  <c r="G226" i="13" s="1"/>
  <c r="G232" i="13" s="1"/>
  <c r="G236" i="13" s="1"/>
  <c r="G238" i="13" s="1"/>
  <c r="G240" i="13" s="1"/>
  <c r="G244" i="13" s="1"/>
  <c r="CN5" i="13"/>
  <c r="CN6" i="13"/>
  <c r="CN7" i="13"/>
  <c r="CN8" i="13"/>
  <c r="CN9" i="13"/>
  <c r="CN10" i="13"/>
  <c r="CN11" i="13"/>
  <c r="CN12" i="13"/>
  <c r="CN13" i="13"/>
  <c r="CN14" i="13"/>
  <c r="CN15" i="13"/>
  <c r="CN16" i="13"/>
  <c r="CN17" i="13"/>
  <c r="CN18" i="13"/>
  <c r="CN19" i="13"/>
  <c r="CN20" i="13"/>
  <c r="CN21" i="13"/>
  <c r="CN22" i="13"/>
  <c r="CN23" i="13"/>
  <c r="CN24" i="13"/>
  <c r="CN25" i="13"/>
  <c r="CN26" i="13"/>
  <c r="CN27" i="13"/>
  <c r="CN28" i="13"/>
  <c r="CN29" i="13"/>
  <c r="CN30" i="13"/>
  <c r="CN31" i="13"/>
  <c r="CN32" i="13"/>
  <c r="CN33" i="13"/>
  <c r="CN34" i="13"/>
  <c r="CN35" i="13"/>
  <c r="CN36" i="13"/>
  <c r="CN37" i="13"/>
  <c r="CN38" i="13"/>
  <c r="CN39" i="13"/>
  <c r="CN40" i="13"/>
  <c r="CN41" i="13"/>
  <c r="CN42" i="13"/>
  <c r="CN43" i="13"/>
  <c r="CN44" i="13"/>
  <c r="CN45" i="13"/>
  <c r="CN46" i="13"/>
  <c r="CN47" i="13"/>
  <c r="CN48" i="13"/>
  <c r="CN49" i="13"/>
  <c r="CN50" i="13"/>
  <c r="CN51" i="13"/>
  <c r="CN52" i="13"/>
  <c r="CN53" i="13"/>
  <c r="CN54" i="13"/>
  <c r="CN55" i="13"/>
  <c r="CN56" i="13"/>
  <c r="CN57" i="13"/>
  <c r="CN58" i="13"/>
  <c r="CN59" i="13"/>
  <c r="CN60" i="13"/>
  <c r="CN61" i="13"/>
  <c r="CN62" i="13"/>
  <c r="CN63" i="13"/>
  <c r="CN64" i="13"/>
  <c r="CN65" i="13"/>
  <c r="CN66" i="13"/>
  <c r="CN67" i="13"/>
  <c r="CN68" i="13"/>
  <c r="CN69" i="13"/>
  <c r="CN70" i="13"/>
  <c r="CN71" i="13"/>
  <c r="CN72" i="13"/>
  <c r="CN73" i="13"/>
  <c r="CN74" i="13"/>
  <c r="CN75" i="13"/>
  <c r="CN76" i="13"/>
  <c r="CN77" i="13"/>
  <c r="CN78" i="13"/>
  <c r="CN79" i="13"/>
  <c r="CN80" i="13"/>
  <c r="CN81" i="13"/>
  <c r="CN82" i="13"/>
  <c r="CN83" i="13"/>
  <c r="CN84" i="13"/>
  <c r="CN85" i="13"/>
  <c r="CN86" i="13"/>
  <c r="CN87" i="13"/>
  <c r="CN88" i="13"/>
  <c r="CN89" i="13"/>
  <c r="CN90" i="13"/>
  <c r="CN91" i="13"/>
  <c r="CN92" i="13"/>
  <c r="CN93" i="13"/>
  <c r="CN94" i="13"/>
  <c r="CN95" i="13"/>
  <c r="CN96" i="13"/>
  <c r="CN97" i="13"/>
  <c r="CN98" i="13"/>
  <c r="CN99" i="13"/>
  <c r="CN100" i="13"/>
  <c r="CN101" i="13"/>
  <c r="CN102" i="13"/>
  <c r="CN103" i="13"/>
  <c r="CN104" i="13"/>
  <c r="CN105" i="13"/>
  <c r="CN106" i="13"/>
  <c r="CN107" i="13"/>
  <c r="CN108" i="13"/>
  <c r="CN109" i="13"/>
  <c r="CN110" i="13"/>
  <c r="CN111" i="13"/>
  <c r="CN112" i="13"/>
  <c r="CN113" i="13"/>
  <c r="CN114" i="13"/>
  <c r="CN115" i="13"/>
  <c r="CN116" i="13"/>
  <c r="CN117" i="13"/>
  <c r="CN118" i="13"/>
  <c r="CN119" i="13"/>
  <c r="CN120" i="13"/>
  <c r="CN121" i="13"/>
  <c r="CN122" i="13"/>
  <c r="CN123" i="13"/>
  <c r="CN124" i="13"/>
  <c r="CN125" i="13"/>
  <c r="CN126" i="13"/>
  <c r="CN127" i="13"/>
  <c r="CN128" i="13"/>
  <c r="CN129" i="13"/>
  <c r="CN130" i="13"/>
  <c r="CN131" i="13"/>
  <c r="CN132" i="13"/>
  <c r="CN133" i="13"/>
  <c r="CN134" i="13"/>
  <c r="CN135" i="13"/>
  <c r="CN136" i="13"/>
  <c r="CN137" i="13"/>
  <c r="CN138" i="13"/>
  <c r="CN139" i="13"/>
  <c r="CN140" i="13"/>
  <c r="CN141" i="13"/>
  <c r="CN142" i="13"/>
  <c r="CN143" i="13"/>
  <c r="CN144" i="13"/>
  <c r="CN145" i="13"/>
  <c r="CN146" i="13"/>
  <c r="CN147" i="13"/>
  <c r="CN148" i="13"/>
  <c r="CN149" i="13"/>
  <c r="CN150" i="13"/>
  <c r="CN151" i="13"/>
  <c r="CN152" i="13"/>
  <c r="CN153" i="13"/>
  <c r="CN154" i="13"/>
  <c r="CN155" i="13"/>
  <c r="CN156" i="13"/>
  <c r="CN157" i="13"/>
  <c r="CN158" i="13"/>
  <c r="CN159" i="13"/>
  <c r="CN160" i="13"/>
  <c r="CN161" i="13"/>
  <c r="CN162" i="13"/>
  <c r="CN163" i="13"/>
  <c r="CN164" i="13"/>
  <c r="CN165" i="13"/>
  <c r="CN166" i="13"/>
  <c r="CN167" i="13"/>
  <c r="CN168" i="13"/>
  <c r="CN169" i="13"/>
  <c r="CN170" i="13"/>
  <c r="CN171" i="13"/>
  <c r="CN172" i="13"/>
  <c r="CN173" i="13"/>
  <c r="CN174" i="13"/>
  <c r="CN175" i="13"/>
  <c r="CN176" i="13"/>
  <c r="CN177" i="13"/>
  <c r="CN178" i="13"/>
  <c r="CN179" i="13"/>
  <c r="CN180" i="13"/>
  <c r="CN181" i="13"/>
  <c r="CN182" i="13"/>
  <c r="CN183" i="13"/>
  <c r="CN184" i="13"/>
  <c r="CN185" i="13"/>
  <c r="CN186" i="13"/>
  <c r="CN187" i="13"/>
  <c r="CN188" i="13"/>
  <c r="CN189" i="13"/>
  <c r="CN190" i="13"/>
  <c r="CN191" i="13"/>
  <c r="CN192" i="13"/>
  <c r="CN193" i="13"/>
  <c r="CN194" i="13"/>
  <c r="CN195" i="13"/>
  <c r="CN196" i="13"/>
  <c r="CN197" i="13"/>
  <c r="CN198" i="13"/>
  <c r="CN199" i="13"/>
  <c r="CN200" i="13"/>
  <c r="CN201" i="13"/>
  <c r="CN202" i="13"/>
  <c r="CN203" i="13"/>
  <c r="CN204" i="13"/>
  <c r="CN205" i="13"/>
  <c r="CN206" i="13"/>
  <c r="CN207" i="13"/>
  <c r="CN208" i="13"/>
  <c r="CN209" i="13"/>
  <c r="CN210" i="13"/>
  <c r="CN211" i="13"/>
  <c r="CN212" i="13"/>
  <c r="CN213" i="13"/>
  <c r="CN214" i="13"/>
  <c r="CN215" i="13"/>
  <c r="CN216" i="13"/>
  <c r="CN217" i="13"/>
  <c r="CN218" i="13"/>
  <c r="CN219" i="13"/>
  <c r="CN220" i="13"/>
  <c r="CN221" i="13"/>
  <c r="CN222" i="13"/>
  <c r="CN223" i="13"/>
  <c r="CN224" i="13"/>
  <c r="CN225" i="13"/>
  <c r="CN226" i="13"/>
  <c r="CN227" i="13"/>
  <c r="CN228" i="13"/>
  <c r="CN229" i="13"/>
  <c r="CN230" i="13"/>
  <c r="CN231" i="13"/>
  <c r="CN232" i="13"/>
  <c r="CN233" i="13"/>
  <c r="CN234" i="13"/>
  <c r="CN235" i="13"/>
  <c r="CN236" i="13"/>
  <c r="CN237" i="13"/>
  <c r="CN238" i="13"/>
  <c r="CN239" i="13"/>
  <c r="CN240" i="13"/>
  <c r="CN241" i="13"/>
  <c r="CN242" i="13"/>
  <c r="CN243" i="13"/>
  <c r="CN244" i="13"/>
  <c r="CN245" i="13"/>
  <c r="CN246" i="13"/>
  <c r="CN247" i="13"/>
  <c r="CN248" i="13"/>
  <c r="CN249" i="13"/>
  <c r="CN250" i="13"/>
  <c r="CN251" i="13"/>
  <c r="CN252" i="13"/>
  <c r="CN253" i="13"/>
  <c r="CN254" i="13"/>
  <c r="CN255" i="13"/>
  <c r="CN256" i="13"/>
  <c r="CN257" i="13"/>
  <c r="CN258" i="13"/>
  <c r="CN259" i="13"/>
  <c r="CN260" i="13"/>
  <c r="CN261" i="13"/>
  <c r="CN262" i="13"/>
  <c r="CN263" i="13"/>
  <c r="CN264" i="13"/>
  <c r="CN265" i="13"/>
  <c r="CN266" i="13"/>
  <c r="CN267" i="13"/>
  <c r="CN268" i="13"/>
  <c r="CN269" i="13"/>
  <c r="CN270" i="13"/>
  <c r="CN271" i="13"/>
  <c r="CN272" i="13"/>
  <c r="CN273" i="13"/>
  <c r="CN274" i="13"/>
  <c r="CN275" i="13"/>
  <c r="CN276" i="13"/>
  <c r="CN277" i="13"/>
  <c r="CN278" i="13"/>
  <c r="CN279" i="13"/>
  <c r="CN280" i="13"/>
  <c r="CN281" i="13"/>
  <c r="CN282" i="13"/>
  <c r="CN283" i="13"/>
  <c r="CN284" i="13"/>
  <c r="CN285" i="13"/>
  <c r="CN286" i="13"/>
  <c r="CN287" i="13"/>
  <c r="CN288" i="13"/>
  <c r="CN289" i="13"/>
  <c r="CN290" i="13"/>
  <c r="CN291" i="13"/>
  <c r="CN292" i="13"/>
  <c r="CN293" i="13"/>
  <c r="CN294" i="13"/>
  <c r="CN295" i="13"/>
  <c r="CN296" i="13"/>
  <c r="CN297" i="13"/>
  <c r="CN298" i="13"/>
  <c r="CN299" i="13"/>
  <c r="CN300" i="13"/>
  <c r="CN301" i="13"/>
  <c r="CN302" i="13"/>
  <c r="CN303" i="13"/>
  <c r="CN304" i="13"/>
  <c r="CN305" i="13"/>
  <c r="CN306" i="13"/>
  <c r="CN307" i="13"/>
  <c r="CN308" i="13"/>
  <c r="CN309" i="13"/>
  <c r="CN310" i="13"/>
  <c r="CN311" i="13"/>
  <c r="CN312" i="13"/>
  <c r="CN313" i="13"/>
  <c r="CN314" i="13"/>
  <c r="CN315" i="13"/>
  <c r="CN316" i="13"/>
  <c r="CN317" i="13"/>
  <c r="CN318" i="13"/>
  <c r="CN319" i="13"/>
  <c r="CN320" i="13"/>
  <c r="CN321" i="13"/>
  <c r="CN322" i="13"/>
  <c r="CN323" i="13"/>
  <c r="CN324" i="13"/>
  <c r="CN325" i="13"/>
  <c r="CN326" i="13"/>
  <c r="CN327" i="13"/>
  <c r="CN328" i="13"/>
  <c r="CN329" i="13"/>
  <c r="CN330" i="13"/>
  <c r="CN331" i="13"/>
  <c r="CN332" i="13"/>
  <c r="CN333" i="13"/>
  <c r="CN334" i="13"/>
  <c r="CN335" i="13"/>
  <c r="CN336" i="13"/>
  <c r="CN337" i="13"/>
  <c r="CN338" i="13"/>
  <c r="CN339" i="13"/>
  <c r="CN340" i="13"/>
  <c r="CN341" i="13"/>
  <c r="CN342" i="13"/>
  <c r="CN343" i="13"/>
  <c r="CN344" i="13"/>
  <c r="CN345" i="13"/>
  <c r="CN346" i="13"/>
  <c r="CN347" i="13"/>
  <c r="CN4" i="13"/>
  <c r="J207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X207" i="13"/>
  <c r="Y207" i="13"/>
  <c r="Z207" i="13"/>
  <c r="AB207" i="13"/>
  <c r="AC207" i="13"/>
  <c r="AD207" i="13"/>
  <c r="AE207" i="13"/>
  <c r="AF207" i="13"/>
  <c r="AH207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W207" i="13"/>
  <c r="AZ207" i="13"/>
  <c r="BA207" i="13"/>
  <c r="BC207" i="13"/>
  <c r="BD207" i="13"/>
  <c r="BE207" i="13"/>
  <c r="BF207" i="13"/>
  <c r="BH207" i="13"/>
  <c r="BI207" i="13"/>
  <c r="BJ207" i="13"/>
  <c r="BL207" i="13"/>
  <c r="BN207" i="13"/>
  <c r="BP207" i="13"/>
  <c r="BQ207" i="13"/>
  <c r="BR207" i="13"/>
  <c r="BS207" i="13"/>
  <c r="BT207" i="13"/>
  <c r="BU207" i="13"/>
  <c r="BV207" i="13"/>
  <c r="BW207" i="13"/>
  <c r="BX207" i="13"/>
  <c r="BY207" i="13"/>
  <c r="BZ207" i="13"/>
  <c r="CA207" i="13"/>
  <c r="CB207" i="13"/>
  <c r="CC207" i="13"/>
  <c r="CD207" i="13"/>
  <c r="CE207" i="13"/>
  <c r="CF207" i="13"/>
  <c r="CG207" i="13"/>
  <c r="CH207" i="13"/>
  <c r="CJ207" i="13"/>
  <c r="CO207" i="13"/>
  <c r="I207" i="13"/>
  <c r="G199" i="13"/>
  <c r="G195" i="13"/>
  <c r="AX179" i="13"/>
  <c r="AX178" i="13"/>
  <c r="AX164" i="13"/>
  <c r="AX163" i="13"/>
  <c r="AX162" i="13"/>
  <c r="AX161" i="13"/>
  <c r="AX160" i="13"/>
  <c r="AX159" i="13"/>
  <c r="AX158" i="13"/>
  <c r="AX157" i="13"/>
  <c r="AX156" i="13"/>
  <c r="G154" i="13"/>
  <c r="G155" i="13" s="1"/>
  <c r="AX152" i="13"/>
  <c r="AX149" i="13"/>
  <c r="CK1655" i="13" l="1"/>
  <c r="CN1655" i="13"/>
  <c r="CN1615" i="13"/>
  <c r="CK1638" i="13"/>
  <c r="CN1638" i="13"/>
  <c r="CK1605" i="13"/>
  <c r="CK1615" i="13"/>
  <c r="CN1605" i="13"/>
  <c r="CN1595" i="13"/>
  <c r="CK1595" i="13"/>
  <c r="CL1221" i="13"/>
  <c r="AY1180" i="13"/>
  <c r="AV1180" i="13"/>
  <c r="BO1180" i="13"/>
  <c r="CN1180" i="13"/>
  <c r="CK974" i="13"/>
  <c r="CL974" i="13" s="1"/>
  <c r="AX1180" i="13"/>
  <c r="AX967" i="13"/>
  <c r="CL1647" i="13"/>
  <c r="CL1643" i="13"/>
  <c r="CL1639" i="13"/>
  <c r="CL1635" i="13"/>
  <c r="CL1631" i="13"/>
  <c r="CL1627" i="13"/>
  <c r="CL1623" i="13"/>
  <c r="CL1619" i="13"/>
  <c r="CL1611" i="13"/>
  <c r="CL1607" i="13"/>
  <c r="CL1600" i="13"/>
  <c r="CL1596" i="13"/>
  <c r="CL1591" i="13"/>
  <c r="G1276" i="13"/>
  <c r="G1247" i="13"/>
  <c r="CK729" i="13"/>
  <c r="CL729" i="13" s="1"/>
  <c r="BO967" i="13"/>
  <c r="AV967" i="13"/>
  <c r="CN967" i="13"/>
  <c r="CL1622" i="13"/>
  <c r="CL1590" i="13"/>
  <c r="CL1589" i="13"/>
  <c r="CL1637" i="13"/>
  <c r="CL1633" i="13"/>
  <c r="CL1629" i="13"/>
  <c r="CL1033" i="13"/>
  <c r="CL1621" i="13"/>
  <c r="CL1617" i="13"/>
  <c r="CL1613" i="13"/>
  <c r="CL1609" i="13"/>
  <c r="CL1602" i="13"/>
  <c r="CL1598" i="13"/>
  <c r="CL1593" i="13"/>
  <c r="CL895" i="13"/>
  <c r="CL1063" i="13"/>
  <c r="CL1055" i="13"/>
  <c r="CL1641" i="13"/>
  <c r="CL1626" i="13"/>
  <c r="CL1606" i="13"/>
  <c r="CL1170" i="13"/>
  <c r="CL1634" i="13"/>
  <c r="CL1630" i="13"/>
  <c r="CL1610" i="13"/>
  <c r="CL1014" i="13"/>
  <c r="CL1010" i="13"/>
  <c r="CL1002" i="13"/>
  <c r="CL998" i="13"/>
  <c r="CL990" i="13"/>
  <c r="CL1047" i="13"/>
  <c r="CL1043" i="13"/>
  <c r="CL1603" i="13"/>
  <c r="CL1599" i="13"/>
  <c r="CL1594" i="13"/>
  <c r="CL965" i="13"/>
  <c r="CL1134" i="13"/>
  <c r="CL1130" i="13"/>
  <c r="CL1126" i="13"/>
  <c r="CL1122" i="13"/>
  <c r="CL1118" i="13"/>
  <c r="CL1114" i="13"/>
  <c r="CL1110" i="13"/>
  <c r="CL1106" i="13"/>
  <c r="CL1102" i="13"/>
  <c r="CL1098" i="13"/>
  <c r="CL1094" i="13"/>
  <c r="CL1034" i="13"/>
  <c r="CL1030" i="13"/>
  <c r="CL1642" i="13"/>
  <c r="CL1136" i="13"/>
  <c r="CL1132" i="13"/>
  <c r="CL1128" i="13"/>
  <c r="CL1124" i="13"/>
  <c r="CL1120" i="13"/>
  <c r="CL1116" i="13"/>
  <c r="CL1112" i="13"/>
  <c r="CL1108" i="13"/>
  <c r="CL1104" i="13"/>
  <c r="CL1100" i="13"/>
  <c r="CL1096" i="13"/>
  <c r="CL1092" i="13"/>
  <c r="CL1646" i="13"/>
  <c r="CL1618" i="13"/>
  <c r="CL1614" i="13"/>
  <c r="CL1645" i="13"/>
  <c r="CL1640" i="13"/>
  <c r="CL1632" i="13"/>
  <c r="CL1628" i="13"/>
  <c r="CL1624" i="13"/>
  <c r="CL1612" i="13"/>
  <c r="CL1608" i="13"/>
  <c r="CL1601" i="13"/>
  <c r="CL1597" i="13"/>
  <c r="CL1592" i="13"/>
  <c r="CL1636" i="13"/>
  <c r="CL1620" i="13"/>
  <c r="CL1604" i="13"/>
  <c r="CL1588" i="13"/>
  <c r="CL898" i="13"/>
  <c r="CL894" i="13"/>
  <c r="CL890" i="13"/>
  <c r="CK1159" i="13"/>
  <c r="CL1159" i="13" s="1"/>
  <c r="CL906" i="13"/>
  <c r="CL902" i="13"/>
  <c r="CL1135" i="13"/>
  <c r="CL1131" i="13"/>
  <c r="CL1127" i="13"/>
  <c r="CL1123" i="13"/>
  <c r="CL1119" i="13"/>
  <c r="CL1115" i="13"/>
  <c r="CL1111" i="13"/>
  <c r="CL1107" i="13"/>
  <c r="CL1103" i="13"/>
  <c r="CL1099" i="13"/>
  <c r="CL1095" i="13"/>
  <c r="CL1091" i="13"/>
  <c r="CK1175" i="13"/>
  <c r="CL1175" i="13" s="1"/>
  <c r="CL1083" i="13"/>
  <c r="CL1039" i="13"/>
  <c r="CL1035" i="13"/>
  <c r="CL1031" i="13"/>
  <c r="CL1027" i="13"/>
  <c r="CL1023" i="13"/>
  <c r="CL1137" i="13"/>
  <c r="CL1129" i="13"/>
  <c r="CL1113" i="13"/>
  <c r="CL1109" i="13"/>
  <c r="CL1105" i="13"/>
  <c r="CL1101" i="13"/>
  <c r="CL1097" i="13"/>
  <c r="CL1093" i="13"/>
  <c r="CL1065" i="13"/>
  <c r="CK740" i="13"/>
  <c r="CL740" i="13" s="1"/>
  <c r="CL362" i="13"/>
  <c r="CL975" i="13"/>
  <c r="CL1133" i="13"/>
  <c r="CL1125" i="13"/>
  <c r="CL1121" i="13"/>
  <c r="CL1117" i="13"/>
  <c r="CK1161" i="13"/>
  <c r="CL1161" i="13" s="1"/>
  <c r="CL1075" i="13"/>
  <c r="CL1071" i="13"/>
  <c r="CL1067" i="13"/>
  <c r="CL1059" i="13"/>
  <c r="CL664" i="13"/>
  <c r="AX670" i="13"/>
  <c r="CL875" i="13"/>
  <c r="CL863" i="13"/>
  <c r="CL776" i="13"/>
  <c r="CL979" i="13"/>
  <c r="CL1153" i="13"/>
  <c r="CL1149" i="13"/>
  <c r="CL1145" i="13"/>
  <c r="CL1141" i="13"/>
  <c r="CL1040" i="13"/>
  <c r="CL1168" i="13"/>
  <c r="CL564" i="13"/>
  <c r="CK660" i="13"/>
  <c r="CL660" i="13" s="1"/>
  <c r="CL978" i="13"/>
  <c r="CL1151" i="13"/>
  <c r="CL1147" i="13"/>
  <c r="CL1143" i="13"/>
  <c r="CL1139" i="13"/>
  <c r="CL1076" i="13"/>
  <c r="CL1068" i="13"/>
  <c r="CL888" i="13"/>
  <c r="CL991" i="13"/>
  <c r="CL983" i="13"/>
  <c r="CL1163" i="13"/>
  <c r="CL1152" i="13"/>
  <c r="CL1148" i="13"/>
  <c r="CL1144" i="13"/>
  <c r="CL1140" i="13"/>
  <c r="CL1073" i="13"/>
  <c r="CL1061" i="13"/>
  <c r="CL1046" i="13"/>
  <c r="CK1176" i="13"/>
  <c r="CL1176" i="13" s="1"/>
  <c r="CL1022" i="13"/>
  <c r="CL1054" i="13"/>
  <c r="CL1173" i="13"/>
  <c r="CK659" i="13"/>
  <c r="CL659" i="13" s="1"/>
  <c r="CL566" i="13"/>
  <c r="CL562" i="13"/>
  <c r="CL530" i="13"/>
  <c r="CL946" i="13"/>
  <c r="CL938" i="13"/>
  <c r="CL934" i="13"/>
  <c r="CL930" i="13"/>
  <c r="CL926" i="13"/>
  <c r="CL922" i="13"/>
  <c r="CL1064" i="13"/>
  <c r="CL1090" i="13"/>
  <c r="CL1078" i="13"/>
  <c r="CL1074" i="13"/>
  <c r="CL1070" i="13"/>
  <c r="CL1066" i="13"/>
  <c r="CL1036" i="13"/>
  <c r="CL1032" i="13"/>
  <c r="CL1024" i="13"/>
  <c r="CK1155" i="13"/>
  <c r="CL1155" i="13" s="1"/>
  <c r="CL1086" i="13"/>
  <c r="CL1038" i="13"/>
  <c r="CN667" i="13"/>
  <c r="CK662" i="13"/>
  <c r="CL662" i="13" s="1"/>
  <c r="CL971" i="13"/>
  <c r="CL966" i="13"/>
  <c r="CL962" i="13"/>
  <c r="CL954" i="13"/>
  <c r="CL950" i="13"/>
  <c r="CL1169" i="13"/>
  <c r="CL1154" i="13"/>
  <c r="CL1150" i="13"/>
  <c r="CL1146" i="13"/>
  <c r="CL1142" i="13"/>
  <c r="CL1138" i="13"/>
  <c r="CL1088" i="13"/>
  <c r="CL1048" i="13"/>
  <c r="CL1044" i="13"/>
  <c r="CL1037" i="13"/>
  <c r="CL1029" i="13"/>
  <c r="CL1025" i="13"/>
  <c r="CK1177" i="13"/>
  <c r="CL1177" i="13" s="1"/>
  <c r="CL1174" i="13"/>
  <c r="CL1172" i="13"/>
  <c r="CL1167" i="13"/>
  <c r="CL1166" i="13"/>
  <c r="CL1165" i="13"/>
  <c r="CL1164" i="13"/>
  <c r="CL1162" i="13"/>
  <c r="CL1160" i="13"/>
  <c r="CL1158" i="13"/>
  <c r="CL1157" i="13"/>
  <c r="CK1156" i="13"/>
  <c r="CL1156" i="13" s="1"/>
  <c r="CL1171" i="13"/>
  <c r="CL1089" i="13"/>
  <c r="CL1087" i="13"/>
  <c r="CL1085" i="13"/>
  <c r="CL1084" i="13"/>
  <c r="CL1082" i="13"/>
  <c r="CL1081" i="13"/>
  <c r="CK1080" i="13"/>
  <c r="CL1080" i="13" s="1"/>
  <c r="CK1079" i="13"/>
  <c r="CL1079" i="13" s="1"/>
  <c r="CL1077" i="13"/>
  <c r="CL1072" i="13"/>
  <c r="CL1069" i="13"/>
  <c r="CL1062" i="13"/>
  <c r="CL1060" i="13"/>
  <c r="CL1058" i="13"/>
  <c r="CL1057" i="13"/>
  <c r="CL1056" i="13"/>
  <c r="CL1053" i="13"/>
  <c r="CL1052" i="13"/>
  <c r="CL1051" i="13"/>
  <c r="CL1050" i="13"/>
  <c r="CL1049" i="13"/>
  <c r="CL1045" i="13"/>
  <c r="CL1042" i="13"/>
  <c r="CL1041" i="13"/>
  <c r="CL1028" i="13"/>
  <c r="CL1026" i="13"/>
  <c r="CL1021" i="13"/>
  <c r="CL1018" i="13"/>
  <c r="CL1017" i="13"/>
  <c r="CL1016" i="13"/>
  <c r="CL1015" i="13"/>
  <c r="CL1013" i="13"/>
  <c r="CL1009" i="13"/>
  <c r="CL1008" i="13"/>
  <c r="CL1007" i="13"/>
  <c r="CL1006" i="13"/>
  <c r="CL1005" i="13"/>
  <c r="CL1001" i="13"/>
  <c r="CL1000" i="13"/>
  <c r="CL997" i="13"/>
  <c r="CL994" i="13"/>
  <c r="CL993" i="13"/>
  <c r="CL992" i="13"/>
  <c r="CL989" i="13"/>
  <c r="CL987" i="13"/>
  <c r="CL986" i="13"/>
  <c r="CL985" i="13"/>
  <c r="CL984" i="13"/>
  <c r="CL982" i="13"/>
  <c r="CL981" i="13"/>
  <c r="CL977" i="13"/>
  <c r="CL976" i="13"/>
  <c r="CL973" i="13"/>
  <c r="CL970" i="13"/>
  <c r="CL969" i="13"/>
  <c r="CL968" i="13"/>
  <c r="G858" i="13"/>
  <c r="G859" i="13" s="1"/>
  <c r="G860" i="13" s="1"/>
  <c r="G861" i="13" s="1"/>
  <c r="G902" i="13" s="1"/>
  <c r="G903" i="13" s="1"/>
  <c r="G904" i="13" s="1"/>
  <c r="G905" i="13" s="1"/>
  <c r="G906" i="13" s="1"/>
  <c r="G907" i="13" s="1"/>
  <c r="G908" i="13" s="1"/>
  <c r="G909" i="13" s="1"/>
  <c r="G910" i="13" s="1"/>
  <c r="G911" i="13" s="1"/>
  <c r="G912" i="13" s="1"/>
  <c r="G832" i="13"/>
  <c r="G877" i="13"/>
  <c r="G857" i="13"/>
  <c r="G878" i="13" s="1"/>
  <c r="CL841" i="13"/>
  <c r="CL837" i="13"/>
  <c r="CL825" i="13"/>
  <c r="CL801" i="13"/>
  <c r="G819" i="13"/>
  <c r="CL1020" i="13"/>
  <c r="CL996" i="13"/>
  <c r="CL988" i="13"/>
  <c r="CL980" i="13"/>
  <c r="CL972" i="13"/>
  <c r="CL668" i="13"/>
  <c r="CL584" i="13"/>
  <c r="CL580" i="13"/>
  <c r="CL576" i="13"/>
  <c r="CL572" i="13"/>
  <c r="CL912" i="13"/>
  <c r="CL904" i="13"/>
  <c r="CL885" i="13"/>
  <c r="G622" i="13"/>
  <c r="CL367" i="13"/>
  <c r="CL896" i="13"/>
  <c r="CL892" i="13"/>
  <c r="CL829" i="13"/>
  <c r="CL805" i="13"/>
  <c r="CL797" i="13"/>
  <c r="CL793" i="13"/>
  <c r="CL789" i="13"/>
  <c r="CL785" i="13"/>
  <c r="CL781" i="13"/>
  <c r="CL777" i="13"/>
  <c r="CL1012" i="13"/>
  <c r="CL1004" i="13"/>
  <c r="CL643" i="13"/>
  <c r="CL639" i="13"/>
  <c r="CL635" i="13"/>
  <c r="CL623" i="13"/>
  <c r="AV670" i="13"/>
  <c r="CL859" i="13"/>
  <c r="CL855" i="13"/>
  <c r="CL839" i="13"/>
  <c r="CL827" i="13"/>
  <c r="CL823" i="13"/>
  <c r="CL807" i="13"/>
  <c r="CL803" i="13"/>
  <c r="CL779" i="13"/>
  <c r="CL900" i="13"/>
  <c r="CL944" i="13"/>
  <c r="CL932" i="13"/>
  <c r="CL924" i="13"/>
  <c r="CL964" i="13"/>
  <c r="CL961" i="13"/>
  <c r="CL958" i="13"/>
  <c r="CL957" i="13"/>
  <c r="CL953" i="13"/>
  <c r="CL952" i="13"/>
  <c r="CL951" i="13"/>
  <c r="CL949" i="13"/>
  <c r="CL948" i="13"/>
  <c r="CL963" i="13"/>
  <c r="CL959" i="13"/>
  <c r="CL955" i="13"/>
  <c r="CL960" i="13"/>
  <c r="CL956" i="13"/>
  <c r="CL945" i="13"/>
  <c r="CL947" i="13"/>
  <c r="CL943" i="13"/>
  <c r="CL942" i="13"/>
  <c r="CL940" i="13"/>
  <c r="CL936" i="13"/>
  <c r="CL928" i="13"/>
  <c r="CL927" i="13"/>
  <c r="CL925" i="13"/>
  <c r="CL923" i="13"/>
  <c r="CL921" i="13"/>
  <c r="CL920" i="13"/>
  <c r="CL941" i="13"/>
  <c r="CL937" i="13"/>
  <c r="CL933" i="13"/>
  <c r="CL929" i="13"/>
  <c r="CL939" i="13"/>
  <c r="CL935" i="13"/>
  <c r="CL931" i="13"/>
  <c r="CL918" i="13"/>
  <c r="CL916" i="13"/>
  <c r="CL915" i="13"/>
  <c r="CL914" i="13"/>
  <c r="CL911" i="13"/>
  <c r="CL910" i="13"/>
  <c r="CL908" i="13"/>
  <c r="CL899" i="13"/>
  <c r="CL891" i="13"/>
  <c r="CL889" i="13"/>
  <c r="CL887" i="13"/>
  <c r="CL886" i="13"/>
  <c r="CL884" i="13"/>
  <c r="CL883" i="13"/>
  <c r="CL882" i="13"/>
  <c r="CL881" i="13"/>
  <c r="CL880" i="13"/>
  <c r="CL879" i="13"/>
  <c r="CL878" i="13"/>
  <c r="CL877" i="13"/>
  <c r="CL876" i="13"/>
  <c r="CL874" i="13"/>
  <c r="CL873" i="13"/>
  <c r="CL872" i="13"/>
  <c r="CL871" i="13"/>
  <c r="CL870" i="13"/>
  <c r="CL869" i="13"/>
  <c r="CL868" i="13"/>
  <c r="CL867" i="13"/>
  <c r="CL866" i="13"/>
  <c r="CL865" i="13"/>
  <c r="CL864" i="13"/>
  <c r="CL862" i="13"/>
  <c r="CL861" i="13"/>
  <c r="CL860" i="13"/>
  <c r="CL858" i="13"/>
  <c r="CL857" i="13"/>
  <c r="CL856" i="13"/>
  <c r="CL854" i="13"/>
  <c r="CL853" i="13"/>
  <c r="CL852" i="13"/>
  <c r="CL851" i="13"/>
  <c r="CL850" i="13"/>
  <c r="CL849" i="13"/>
  <c r="CL848" i="13"/>
  <c r="CL847" i="13"/>
  <c r="CL846" i="13"/>
  <c r="CL845" i="13"/>
  <c r="CL844" i="13"/>
  <c r="CL843" i="13"/>
  <c r="CL842" i="13"/>
  <c r="CL840" i="13"/>
  <c r="CL838" i="13"/>
  <c r="CL836" i="13"/>
  <c r="CL835" i="13"/>
  <c r="CL834" i="13"/>
  <c r="CL833" i="13"/>
  <c r="CL832" i="13"/>
  <c r="CL831" i="13"/>
  <c r="CL830" i="13"/>
  <c r="CL828" i="13"/>
  <c r="CL826" i="13"/>
  <c r="CL824" i="13"/>
  <c r="CL822" i="13"/>
  <c r="CL821" i="13"/>
  <c r="CL820" i="13"/>
  <c r="CL819" i="13"/>
  <c r="CL818" i="13"/>
  <c r="CL817" i="13"/>
  <c r="CL816" i="13"/>
  <c r="CL815" i="13"/>
  <c r="CL814" i="13"/>
  <c r="CL813" i="13"/>
  <c r="CL812" i="13"/>
  <c r="CL811" i="13"/>
  <c r="CL810" i="13"/>
  <c r="CL809" i="13"/>
  <c r="CL808" i="13"/>
  <c r="CL806" i="13"/>
  <c r="CL804" i="13"/>
  <c r="CL802" i="13"/>
  <c r="CL800" i="13"/>
  <c r="CL799" i="13"/>
  <c r="CL798" i="13"/>
  <c r="CL796" i="13"/>
  <c r="CL795" i="13"/>
  <c r="CL794" i="13"/>
  <c r="CL792" i="13"/>
  <c r="CL791" i="13"/>
  <c r="CL790" i="13"/>
  <c r="CL788" i="13"/>
  <c r="CL787" i="13"/>
  <c r="CL786" i="13"/>
  <c r="CL784" i="13"/>
  <c r="CL783" i="13"/>
  <c r="CL782" i="13"/>
  <c r="CL780" i="13"/>
  <c r="CL778" i="13"/>
  <c r="CL917" i="13"/>
  <c r="CL913" i="13"/>
  <c r="CL909" i="13"/>
  <c r="CL905" i="13"/>
  <c r="CL901" i="13"/>
  <c r="CL897" i="13"/>
  <c r="CL893" i="13"/>
  <c r="CL773" i="13"/>
  <c r="CL769" i="13"/>
  <c r="CL765" i="13"/>
  <c r="CL761" i="13"/>
  <c r="CL757" i="13"/>
  <c r="CL753" i="13"/>
  <c r="CL749" i="13"/>
  <c r="CL745" i="13"/>
  <c r="CL741" i="13"/>
  <c r="CL737" i="13"/>
  <c r="CL733" i="13"/>
  <c r="CK724" i="13"/>
  <c r="CL724" i="13" s="1"/>
  <c r="CL725" i="13"/>
  <c r="CL597" i="13"/>
  <c r="CL586" i="13"/>
  <c r="CL574" i="13"/>
  <c r="AY528" i="13"/>
  <c r="CK528" i="13" s="1"/>
  <c r="CL528" i="13" s="1"/>
  <c r="AY567" i="13"/>
  <c r="CK567" i="13" s="1"/>
  <c r="CL567" i="13" s="1"/>
  <c r="CK663" i="13"/>
  <c r="CL663" i="13" s="1"/>
  <c r="CN469" i="13"/>
  <c r="CL546" i="13"/>
  <c r="CL519" i="13"/>
  <c r="CL585" i="13"/>
  <c r="CL602" i="13"/>
  <c r="CL569" i="13"/>
  <c r="CL565" i="13"/>
  <c r="CL517" i="13"/>
  <c r="CL644" i="13"/>
  <c r="CL628" i="13"/>
  <c r="CL624" i="13"/>
  <c r="CL620" i="13"/>
  <c r="CL616" i="13"/>
  <c r="CL612" i="13"/>
  <c r="CL608" i="13"/>
  <c r="CL604" i="13"/>
  <c r="CL600" i="13"/>
  <c r="CL596" i="13"/>
  <c r="CL588" i="13"/>
  <c r="CL557" i="13"/>
  <c r="CL638" i="13"/>
  <c r="CL630" i="13"/>
  <c r="AY469" i="13"/>
  <c r="BO670" i="13"/>
  <c r="CL374" i="13"/>
  <c r="CL370" i="13"/>
  <c r="CL366" i="13"/>
  <c r="CL559" i="13"/>
  <c r="CL543" i="13"/>
  <c r="CL655" i="13"/>
  <c r="CL651" i="13"/>
  <c r="CL647" i="13"/>
  <c r="CL627" i="13"/>
  <c r="CL603" i="13"/>
  <c r="CL599" i="13"/>
  <c r="CL575" i="13"/>
  <c r="AY540" i="13"/>
  <c r="CK540" i="13" s="1"/>
  <c r="CL540" i="13" s="1"/>
  <c r="CK665" i="13"/>
  <c r="CL665" i="13" s="1"/>
  <c r="AX469" i="13"/>
  <c r="CL774" i="13"/>
  <c r="CL770" i="13"/>
  <c r="CL766" i="13"/>
  <c r="CL762" i="13"/>
  <c r="CL758" i="13"/>
  <c r="CL754" i="13"/>
  <c r="CL750" i="13"/>
  <c r="CL746" i="13"/>
  <c r="CL742" i="13"/>
  <c r="CL738" i="13"/>
  <c r="CL734" i="13"/>
  <c r="CL730" i="13"/>
  <c r="CL726" i="13"/>
  <c r="CL722" i="13"/>
  <c r="CL671" i="13"/>
  <c r="CL658" i="13"/>
  <c r="CL653" i="13"/>
  <c r="CL649" i="13"/>
  <c r="CL645" i="13"/>
  <c r="CL775" i="13"/>
  <c r="CL771" i="13"/>
  <c r="CL767" i="13"/>
  <c r="CL763" i="13"/>
  <c r="CL759" i="13"/>
  <c r="CL755" i="13"/>
  <c r="CL751" i="13"/>
  <c r="CL747" i="13"/>
  <c r="CL743" i="13"/>
  <c r="CL739" i="13"/>
  <c r="CL735" i="13"/>
  <c r="CL731" i="13"/>
  <c r="CL727" i="13"/>
  <c r="CL723" i="13"/>
  <c r="CL542" i="13"/>
  <c r="CL570" i="13"/>
  <c r="CL669" i="13"/>
  <c r="CL593" i="13"/>
  <c r="CL654" i="13"/>
  <c r="CL646" i="13"/>
  <c r="CL633" i="13"/>
  <c r="CL601" i="13"/>
  <c r="CL573" i="13"/>
  <c r="CL772" i="13"/>
  <c r="CL768" i="13"/>
  <c r="CL764" i="13"/>
  <c r="CL760" i="13"/>
  <c r="CL756" i="13"/>
  <c r="CL752" i="13"/>
  <c r="CL748" i="13"/>
  <c r="CL744" i="13"/>
  <c r="CL736" i="13"/>
  <c r="CL732" i="13"/>
  <c r="CL728" i="13"/>
  <c r="CL592" i="13"/>
  <c r="CL656" i="13"/>
  <c r="CL652" i="13"/>
  <c r="CL650" i="13"/>
  <c r="CL648" i="13"/>
  <c r="CL642" i="13"/>
  <c r="CL641" i="13"/>
  <c r="CL640" i="13"/>
  <c r="CL637" i="13"/>
  <c r="CL636" i="13"/>
  <c r="CL634" i="13"/>
  <c r="CL632" i="13"/>
  <c r="CL667" i="13"/>
  <c r="CL666" i="13"/>
  <c r="CL661" i="13"/>
  <c r="CL631" i="13"/>
  <c r="CL629" i="13"/>
  <c r="CL626" i="13"/>
  <c r="CL625" i="13"/>
  <c r="CL622" i="13"/>
  <c r="CL621" i="13"/>
  <c r="CL619" i="13"/>
  <c r="CL618" i="13"/>
  <c r="CL617" i="13"/>
  <c r="CL615" i="13"/>
  <c r="CL614" i="13"/>
  <c r="CL613" i="13"/>
  <c r="CL611" i="13"/>
  <c r="CL610" i="13"/>
  <c r="CL609" i="13"/>
  <c r="CL607" i="13"/>
  <c r="CL606" i="13"/>
  <c r="CL605" i="13"/>
  <c r="CL598" i="13"/>
  <c r="CL595" i="13"/>
  <c r="CL594" i="13"/>
  <c r="CL591" i="13"/>
  <c r="CL590" i="13"/>
  <c r="CL589" i="13"/>
  <c r="CL587" i="13"/>
  <c r="CL583" i="13"/>
  <c r="CL582" i="13"/>
  <c r="CL581" i="13"/>
  <c r="CL579" i="13"/>
  <c r="CL578" i="13"/>
  <c r="CL577" i="13"/>
  <c r="CL571" i="13"/>
  <c r="CL568" i="13"/>
  <c r="CL563" i="13"/>
  <c r="CL561" i="13"/>
  <c r="CL558" i="13"/>
  <c r="CL556" i="13"/>
  <c r="CL555" i="13"/>
  <c r="CL554" i="13"/>
  <c r="CL553" i="13"/>
  <c r="CL552" i="13"/>
  <c r="CL551" i="13"/>
  <c r="CL550" i="13"/>
  <c r="CL549" i="13"/>
  <c r="CL548" i="13"/>
  <c r="CL547" i="13"/>
  <c r="CL545" i="13"/>
  <c r="CL541" i="13"/>
  <c r="CL539" i="13"/>
  <c r="CL538" i="13"/>
  <c r="CL537" i="13"/>
  <c r="CL536" i="13"/>
  <c r="CL535" i="13"/>
  <c r="CL534" i="13"/>
  <c r="CL533" i="13"/>
  <c r="CL532" i="13"/>
  <c r="CL531" i="13"/>
  <c r="CL529" i="13"/>
  <c r="CL527" i="13"/>
  <c r="CL526" i="13"/>
  <c r="CL525" i="13"/>
  <c r="CL524" i="13"/>
  <c r="CL523" i="13"/>
  <c r="CL522" i="13"/>
  <c r="CL521" i="13"/>
  <c r="CL520" i="13"/>
  <c r="CL518" i="13"/>
  <c r="CL516" i="13"/>
  <c r="CL515" i="13"/>
  <c r="CL514" i="13"/>
  <c r="CL513" i="13"/>
  <c r="CL560" i="13"/>
  <c r="CL544" i="13"/>
  <c r="CL364" i="13"/>
  <c r="CL377" i="13"/>
  <c r="CL375" i="13"/>
  <c r="CL373" i="13"/>
  <c r="CL371" i="13"/>
  <c r="CL369" i="13"/>
  <c r="CL365" i="13"/>
  <c r="CL363" i="13"/>
  <c r="CL361" i="13"/>
  <c r="CK359" i="13"/>
  <c r="CL359" i="13" s="1"/>
  <c r="CL512" i="13"/>
  <c r="CL504" i="13"/>
  <c r="CL492" i="13"/>
  <c r="CL484" i="13"/>
  <c r="CL460" i="13"/>
  <c r="CL448" i="13"/>
  <c r="CL380" i="13"/>
  <c r="CL509" i="13"/>
  <c r="CL505" i="13"/>
  <c r="CL501" i="13"/>
  <c r="CL497" i="13"/>
  <c r="CL493" i="13"/>
  <c r="CL489" i="13"/>
  <c r="CL485" i="13"/>
  <c r="CL481" i="13"/>
  <c r="CL477" i="13"/>
  <c r="CL473" i="13"/>
  <c r="CL465" i="13"/>
  <c r="CL461" i="13"/>
  <c r="CL457" i="13"/>
  <c r="CL453" i="13"/>
  <c r="CL449" i="13"/>
  <c r="CL385" i="13"/>
  <c r="CL381" i="13"/>
  <c r="CL496" i="13"/>
  <c r="CL480" i="13"/>
  <c r="CL472" i="13"/>
  <c r="CL464" i="13"/>
  <c r="CL456" i="13"/>
  <c r="CL384" i="13"/>
  <c r="CL510" i="13"/>
  <c r="CL506" i="13"/>
  <c r="CL502" i="13"/>
  <c r="CL498" i="13"/>
  <c r="CL494" i="13"/>
  <c r="CL490" i="13"/>
  <c r="CL486" i="13"/>
  <c r="CL482" i="13"/>
  <c r="CL478" i="13"/>
  <c r="CL474" i="13"/>
  <c r="CL470" i="13"/>
  <c r="CL466" i="13"/>
  <c r="CL462" i="13"/>
  <c r="CL458" i="13"/>
  <c r="CL454" i="13"/>
  <c r="CL450" i="13"/>
  <c r="CL382" i="13"/>
  <c r="CL378" i="13"/>
  <c r="CL508" i="13"/>
  <c r="CL500" i="13"/>
  <c r="CL488" i="13"/>
  <c r="CL476" i="13"/>
  <c r="CL468" i="13"/>
  <c r="CL452" i="13"/>
  <c r="CL511" i="13"/>
  <c r="CL507" i="13"/>
  <c r="CL503" i="13"/>
  <c r="CL499" i="13"/>
  <c r="CL495" i="13"/>
  <c r="CL491" i="13"/>
  <c r="CL487" i="13"/>
  <c r="CL483" i="13"/>
  <c r="CL479" i="13"/>
  <c r="CL475" i="13"/>
  <c r="CL471" i="13"/>
  <c r="CL467" i="13"/>
  <c r="CL463" i="13"/>
  <c r="CL459" i="13"/>
  <c r="CL455" i="13"/>
  <c r="CL451" i="13"/>
  <c r="CL383" i="13"/>
  <c r="CL379" i="13"/>
  <c r="CL447" i="13"/>
  <c r="CL443" i="13"/>
  <c r="CL439" i="13"/>
  <c r="CL435" i="13"/>
  <c r="CL431" i="13"/>
  <c r="CL427" i="13"/>
  <c r="CL423" i="13"/>
  <c r="CL419" i="13"/>
  <c r="CL415" i="13"/>
  <c r="CL411" i="13"/>
  <c r="CL407" i="13"/>
  <c r="CL403" i="13"/>
  <c r="CL399" i="13"/>
  <c r="CL395" i="13"/>
  <c r="CL391" i="13"/>
  <c r="CL387" i="13"/>
  <c r="CL444" i="13"/>
  <c r="CL440" i="13"/>
  <c r="CL436" i="13"/>
  <c r="CL432" i="13"/>
  <c r="CL428" i="13"/>
  <c r="CL424" i="13"/>
  <c r="CL420" i="13"/>
  <c r="CL416" i="13"/>
  <c r="CL412" i="13"/>
  <c r="CL408" i="13"/>
  <c r="CL404" i="13"/>
  <c r="CL400" i="13"/>
  <c r="CL396" i="13"/>
  <c r="CL392" i="13"/>
  <c r="CL388" i="13"/>
  <c r="CL445" i="13"/>
  <c r="CL441" i="13"/>
  <c r="CL437" i="13"/>
  <c r="CL433" i="13"/>
  <c r="CL429" i="13"/>
  <c r="CL425" i="13"/>
  <c r="CL421" i="13"/>
  <c r="CL417" i="13"/>
  <c r="CL413" i="13"/>
  <c r="CL409" i="13"/>
  <c r="CL405" i="13"/>
  <c r="CL401" i="13"/>
  <c r="CL397" i="13"/>
  <c r="CL393" i="13"/>
  <c r="CL389" i="13"/>
  <c r="CL360" i="13"/>
  <c r="CL446" i="13"/>
  <c r="CL442" i="13"/>
  <c r="CL438" i="13"/>
  <c r="CL434" i="13"/>
  <c r="CL430" i="13"/>
  <c r="CL426" i="13"/>
  <c r="CL422" i="13"/>
  <c r="CL418" i="13"/>
  <c r="CL414" i="13"/>
  <c r="CL410" i="13"/>
  <c r="CL406" i="13"/>
  <c r="CL402" i="13"/>
  <c r="CL398" i="13"/>
  <c r="CL394" i="13"/>
  <c r="CL390" i="13"/>
  <c r="CL386" i="13"/>
  <c r="G227" i="13"/>
  <c r="G233" i="13" s="1"/>
  <c r="G237" i="13" s="1"/>
  <c r="G239" i="13" s="1"/>
  <c r="G241" i="13" s="1"/>
  <c r="G245" i="13" s="1"/>
  <c r="G222" i="13"/>
  <c r="CL1655" i="13" l="1"/>
  <c r="CN1616" i="13"/>
  <c r="CL1615" i="13"/>
  <c r="CL1638" i="13"/>
  <c r="CK1616" i="13"/>
  <c r="CL1605" i="13"/>
  <c r="CL1595" i="13"/>
  <c r="CL1180" i="13"/>
  <c r="CK1180" i="13"/>
  <c r="G1277" i="13"/>
  <c r="G1248" i="13"/>
  <c r="G1278" i="13" s="1"/>
  <c r="G1279" i="13" s="1"/>
  <c r="G1280" i="13" s="1"/>
  <c r="G1281" i="13" s="1"/>
  <c r="G1282" i="13" s="1"/>
  <c r="G1283" i="13" s="1"/>
  <c r="G1284" i="13" s="1"/>
  <c r="G1285" i="13" s="1"/>
  <c r="G1286" i="13" s="1"/>
  <c r="G1287" i="13" s="1"/>
  <c r="G1288" i="13" s="1"/>
  <c r="G1289" i="13" s="1"/>
  <c r="G1290" i="13" s="1"/>
  <c r="G1291" i="13" s="1"/>
  <c r="G1292" i="13" s="1"/>
  <c r="G1293" i="13" s="1"/>
  <c r="G1294" i="13" s="1"/>
  <c r="G1296" i="13" s="1"/>
  <c r="CL967" i="13"/>
  <c r="AY670" i="13"/>
  <c r="CK670" i="13" s="1"/>
  <c r="CL670" i="13" s="1"/>
  <c r="AX145" i="13"/>
  <c r="AV138" i="13"/>
  <c r="AX129" i="13"/>
  <c r="G123" i="13"/>
  <c r="G124" i="13" s="1"/>
  <c r="G121" i="13"/>
  <c r="G120" i="13"/>
  <c r="G122" i="13" s="1"/>
  <c r="G119" i="13"/>
  <c r="AX107" i="13"/>
  <c r="AX105" i="13"/>
  <c r="AX104" i="13"/>
  <c r="AX103" i="13"/>
  <c r="AX102" i="13"/>
  <c r="AY102" i="13" s="1"/>
  <c r="AX101" i="13"/>
  <c r="AX100" i="13"/>
  <c r="AY100" i="13" s="1"/>
  <c r="AX86" i="13"/>
  <c r="AY86" i="13" s="1"/>
  <c r="G86" i="13"/>
  <c r="AX85" i="13"/>
  <c r="G66" i="13"/>
  <c r="CL1616" i="13" l="1"/>
  <c r="G1298" i="13"/>
  <c r="G1300" i="13" s="1"/>
  <c r="G1302" i="13" s="1"/>
  <c r="G1304" i="13" s="1"/>
  <c r="G1306" i="13" s="1"/>
  <c r="G1297" i="13"/>
  <c r="G1299" i="13" s="1"/>
  <c r="G1301" i="13" s="1"/>
  <c r="G1303" i="13" s="1"/>
  <c r="G1305" i="13" s="1"/>
  <c r="G1307" i="13" s="1"/>
  <c r="G1311" i="13" s="1"/>
  <c r="G1312" i="13" s="1"/>
  <c r="G1313" i="13" s="1"/>
  <c r="G1314" i="13" s="1"/>
  <c r="G1315" i="13" s="1"/>
  <c r="G1316" i="13" s="1"/>
  <c r="G1317" i="13" s="1"/>
  <c r="AY207" i="13"/>
  <c r="AX59" i="13"/>
  <c r="G56" i="13"/>
  <c r="AX56" i="13"/>
  <c r="AV46" i="13"/>
  <c r="AV47" i="13"/>
  <c r="AV48" i="13"/>
  <c r="AV49" i="13"/>
  <c r="AV50" i="13"/>
  <c r="AV51" i="13"/>
  <c r="AV52" i="13"/>
  <c r="AV53" i="13"/>
  <c r="AV54" i="13"/>
  <c r="AV55" i="13"/>
  <c r="AV56" i="13"/>
  <c r="AV57" i="13"/>
  <c r="AV58" i="13"/>
  <c r="AV59" i="13"/>
  <c r="AV60" i="13"/>
  <c r="AV61" i="13"/>
  <c r="AV62" i="13"/>
  <c r="AV63" i="13"/>
  <c r="AV64" i="13"/>
  <c r="AV65" i="13"/>
  <c r="AV66" i="13"/>
  <c r="AV67" i="13"/>
  <c r="AV68" i="13"/>
  <c r="AV69" i="13"/>
  <c r="AV70" i="13"/>
  <c r="AV71" i="13"/>
  <c r="AV72" i="13"/>
  <c r="AV73" i="13"/>
  <c r="AV74" i="13"/>
  <c r="AV75" i="13"/>
  <c r="AV76" i="13"/>
  <c r="AV77" i="13"/>
  <c r="AV78" i="13"/>
  <c r="AV79" i="13"/>
  <c r="AV80" i="13"/>
  <c r="AV81" i="13"/>
  <c r="AV82" i="13"/>
  <c r="AV83" i="13"/>
  <c r="AV84" i="13"/>
  <c r="AV85" i="13"/>
  <c r="AV86" i="13"/>
  <c r="AV87" i="13"/>
  <c r="AV88" i="13"/>
  <c r="AV89" i="13"/>
  <c r="AV90" i="13"/>
  <c r="AV91" i="13"/>
  <c r="AV92" i="13"/>
  <c r="AV93" i="13"/>
  <c r="AV94" i="13"/>
  <c r="AV95" i="13"/>
  <c r="AV96" i="13"/>
  <c r="AV97" i="13"/>
  <c r="AV98" i="13"/>
  <c r="AV99" i="13"/>
  <c r="AV100" i="13"/>
  <c r="AV101" i="13"/>
  <c r="AV102" i="13"/>
  <c r="AV103" i="13"/>
  <c r="AV104" i="13"/>
  <c r="AV105" i="13"/>
  <c r="AV106" i="13"/>
  <c r="AV107" i="13"/>
  <c r="AV108" i="13"/>
  <c r="AV109" i="13"/>
  <c r="AV110" i="13"/>
  <c r="AV111" i="13"/>
  <c r="AV112" i="13"/>
  <c r="AV113" i="13"/>
  <c r="AV114" i="13"/>
  <c r="AV115" i="13"/>
  <c r="AV116" i="13"/>
  <c r="AV117" i="13"/>
  <c r="AV118" i="13"/>
  <c r="AV119" i="13"/>
  <c r="AV120" i="13"/>
  <c r="AV121" i="13"/>
  <c r="AV122" i="13"/>
  <c r="AV123" i="13"/>
  <c r="AV124" i="13"/>
  <c r="AV125" i="13"/>
  <c r="AV126" i="13"/>
  <c r="AV127" i="13"/>
  <c r="AV128" i="13"/>
  <c r="AV129" i="13"/>
  <c r="AV130" i="13"/>
  <c r="AV131" i="13"/>
  <c r="AV132" i="13"/>
  <c r="AV133" i="13"/>
  <c r="AV134" i="13"/>
  <c r="AV135" i="13"/>
  <c r="AV136" i="13"/>
  <c r="AV137" i="13"/>
  <c r="AV139" i="13"/>
  <c r="AV140" i="13"/>
  <c r="AV141" i="13"/>
  <c r="AV142" i="13"/>
  <c r="AV143" i="13"/>
  <c r="AV144" i="13"/>
  <c r="AV145" i="13"/>
  <c r="AV146" i="13"/>
  <c r="AV147" i="13"/>
  <c r="AV148" i="13"/>
  <c r="AV149" i="13"/>
  <c r="AV150" i="13"/>
  <c r="AV151" i="13"/>
  <c r="AV152" i="13"/>
  <c r="AV153" i="13"/>
  <c r="AV154" i="13"/>
  <c r="AV155" i="13"/>
  <c r="AV156" i="13"/>
  <c r="AV157" i="13"/>
  <c r="AV158" i="13"/>
  <c r="AV159" i="13"/>
  <c r="AV160" i="13"/>
  <c r="AV161" i="13"/>
  <c r="AV162" i="13"/>
  <c r="AV163" i="13"/>
  <c r="AV164" i="13"/>
  <c r="AV165" i="13"/>
  <c r="AV166" i="13"/>
  <c r="AV167" i="13"/>
  <c r="AV168" i="13"/>
  <c r="AV169" i="13"/>
  <c r="AV170" i="13"/>
  <c r="AV171" i="13"/>
  <c r="AV172" i="13"/>
  <c r="AV173" i="13"/>
  <c r="AV174" i="13"/>
  <c r="AV175" i="13"/>
  <c r="AV176" i="13"/>
  <c r="AV177" i="13"/>
  <c r="AV178" i="13"/>
  <c r="AV179" i="13"/>
  <c r="AV180" i="13"/>
  <c r="AV181" i="13"/>
  <c r="AV182" i="13"/>
  <c r="AV183" i="13"/>
  <c r="AV184" i="13"/>
  <c r="AV185" i="13"/>
  <c r="AV186" i="13"/>
  <c r="AV187" i="13"/>
  <c r="AV188" i="13"/>
  <c r="AV189" i="13"/>
  <c r="AV190" i="13"/>
  <c r="AV191" i="13"/>
  <c r="AV192" i="13"/>
  <c r="AV193" i="13"/>
  <c r="AV194" i="13"/>
  <c r="AV195" i="13"/>
  <c r="AV196" i="13"/>
  <c r="AV197" i="13"/>
  <c r="AV198" i="13"/>
  <c r="AV199" i="13"/>
  <c r="AV200" i="13"/>
  <c r="AV201" i="13"/>
  <c r="AV202" i="13"/>
  <c r="AV203" i="13"/>
  <c r="AV204" i="13"/>
  <c r="AV205" i="13"/>
  <c r="AV206" i="13"/>
  <c r="AV208" i="13"/>
  <c r="AV209" i="13"/>
  <c r="AV210" i="13"/>
  <c r="AV211" i="13"/>
  <c r="AV212" i="13"/>
  <c r="AV213" i="13"/>
  <c r="AV214" i="13"/>
  <c r="AV215" i="13"/>
  <c r="AV216" i="13"/>
  <c r="AV217" i="13"/>
  <c r="AV218" i="13"/>
  <c r="AV219" i="13"/>
  <c r="AV220" i="13"/>
  <c r="AV221" i="13"/>
  <c r="AV222" i="13"/>
  <c r="AV223" i="13"/>
  <c r="AV224" i="13"/>
  <c r="AV225" i="13"/>
  <c r="AV226" i="13"/>
  <c r="AV227" i="13"/>
  <c r="AV228" i="13"/>
  <c r="AV229" i="13"/>
  <c r="AV230" i="13"/>
  <c r="AV231" i="13"/>
  <c r="AV232" i="13"/>
  <c r="AV233" i="13"/>
  <c r="AV234" i="13"/>
  <c r="AV235" i="13"/>
  <c r="AV236" i="13"/>
  <c r="AV237" i="13"/>
  <c r="AV238" i="13"/>
  <c r="AV239" i="13"/>
  <c r="AV240" i="13"/>
  <c r="AV241" i="13"/>
  <c r="AV242" i="13"/>
  <c r="AV243" i="13"/>
  <c r="AV244" i="13"/>
  <c r="AV245" i="13"/>
  <c r="AV246" i="13"/>
  <c r="AV247" i="13"/>
  <c r="AV248" i="13"/>
  <c r="AV249" i="13"/>
  <c r="AV250" i="13"/>
  <c r="AV251" i="13"/>
  <c r="AV252" i="13"/>
  <c r="AV253" i="13"/>
  <c r="AV254" i="13"/>
  <c r="AV255" i="13"/>
  <c r="AV256" i="13"/>
  <c r="AV257" i="13"/>
  <c r="AV258" i="13"/>
  <c r="AV259" i="13"/>
  <c r="AV260" i="13"/>
  <c r="AV261" i="13"/>
  <c r="AV262" i="13"/>
  <c r="AV263" i="13"/>
  <c r="AV264" i="13"/>
  <c r="AV265" i="13"/>
  <c r="AV266" i="13"/>
  <c r="AV267" i="13"/>
  <c r="AV268" i="13"/>
  <c r="AV269" i="13"/>
  <c r="AV270" i="13"/>
  <c r="AV271" i="13"/>
  <c r="AV272" i="13"/>
  <c r="AV273" i="13"/>
  <c r="AV274" i="13"/>
  <c r="AV275" i="13"/>
  <c r="AV276" i="13"/>
  <c r="AV277" i="13"/>
  <c r="AV278" i="13"/>
  <c r="AV279" i="13"/>
  <c r="AV280" i="13"/>
  <c r="AV281" i="13"/>
  <c r="AV282" i="13"/>
  <c r="AV283" i="13"/>
  <c r="AV284" i="13"/>
  <c r="AV285" i="13"/>
  <c r="AV286" i="13"/>
  <c r="AV287" i="13"/>
  <c r="AV288" i="13"/>
  <c r="AV289" i="13"/>
  <c r="AV290" i="13"/>
  <c r="AV291" i="13"/>
  <c r="AV292" i="13"/>
  <c r="AV293" i="13"/>
  <c r="AV294" i="13"/>
  <c r="AV295" i="13"/>
  <c r="AV296" i="13"/>
  <c r="AV297" i="13"/>
  <c r="AV298" i="13"/>
  <c r="AV299" i="13"/>
  <c r="AV300" i="13"/>
  <c r="AV301" i="13"/>
  <c r="AV302" i="13"/>
  <c r="AV303" i="13"/>
  <c r="AV304" i="13"/>
  <c r="AV305" i="13"/>
  <c r="AV306" i="13"/>
  <c r="AV307" i="13"/>
  <c r="AV308" i="13"/>
  <c r="AV309" i="13"/>
  <c r="AV310" i="13"/>
  <c r="AV311" i="13"/>
  <c r="AV312" i="13"/>
  <c r="AV313" i="13"/>
  <c r="AV314" i="13"/>
  <c r="AV315" i="13"/>
  <c r="AV316" i="13"/>
  <c r="AV317" i="13"/>
  <c r="AV318" i="13"/>
  <c r="AV319" i="13"/>
  <c r="AV320" i="13"/>
  <c r="AV321" i="13"/>
  <c r="AV322" i="13"/>
  <c r="AV323" i="13"/>
  <c r="AV324" i="13"/>
  <c r="AV325" i="13"/>
  <c r="AV326" i="13"/>
  <c r="AV327" i="13"/>
  <c r="AV328" i="13"/>
  <c r="AV329" i="13"/>
  <c r="AV330" i="13"/>
  <c r="AV331" i="13"/>
  <c r="AV332" i="13"/>
  <c r="AV333" i="13"/>
  <c r="AV334" i="13"/>
  <c r="AV335" i="13"/>
  <c r="AV336" i="13"/>
  <c r="AV337" i="13"/>
  <c r="AV338" i="13"/>
  <c r="AV339" i="13"/>
  <c r="AV340" i="13"/>
  <c r="AV341" i="13"/>
  <c r="AV342" i="13"/>
  <c r="AV343" i="13"/>
  <c r="AV344" i="13"/>
  <c r="AV345" i="13"/>
  <c r="AV346" i="13"/>
  <c r="AV347" i="13"/>
  <c r="AV348" i="13"/>
  <c r="CL348" i="13" s="1"/>
  <c r="AV349" i="13"/>
  <c r="CL349" i="13" s="1"/>
  <c r="AV350" i="13"/>
  <c r="CL350" i="13" s="1"/>
  <c r="AV351" i="13"/>
  <c r="CL351" i="13" s="1"/>
  <c r="AV352" i="13"/>
  <c r="CL352" i="13" s="1"/>
  <c r="AV353" i="13"/>
  <c r="CL353" i="13" s="1"/>
  <c r="AV354" i="13"/>
  <c r="CL354" i="13" s="1"/>
  <c r="AV355" i="13"/>
  <c r="CL355" i="13" s="1"/>
  <c r="AV356" i="13"/>
  <c r="CL356" i="13" s="1"/>
  <c r="AV357" i="13"/>
  <c r="CL357" i="13" s="1"/>
  <c r="AV358" i="13"/>
  <c r="CL358" i="13" s="1"/>
  <c r="AV45" i="13"/>
  <c r="AV469" i="13" l="1"/>
  <c r="AX44" i="13"/>
  <c r="AX43" i="13"/>
  <c r="AX42" i="13"/>
  <c r="AX41" i="13"/>
  <c r="AX40" i="13"/>
  <c r="AX39" i="13"/>
  <c r="AX38" i="13"/>
  <c r="AX37" i="13"/>
  <c r="AX36" i="13"/>
  <c r="G36" i="13"/>
  <c r="BO35" i="13"/>
  <c r="AX35" i="13"/>
  <c r="AX34" i="13"/>
  <c r="AX33" i="13"/>
  <c r="BO27" i="13"/>
  <c r="AX25" i="13"/>
  <c r="CK25" i="13" s="1"/>
  <c r="CM25" i="13"/>
  <c r="BO24" i="13" l="1"/>
  <c r="AX24" i="13"/>
  <c r="BO21" i="13"/>
  <c r="CK21" i="13" s="1"/>
  <c r="CK5" i="13"/>
  <c r="CM5" i="13"/>
  <c r="CK6" i="13"/>
  <c r="CM6" i="13"/>
  <c r="CK7" i="13"/>
  <c r="CM7" i="13"/>
  <c r="CK8" i="13"/>
  <c r="CM8" i="13"/>
  <c r="CK9" i="13"/>
  <c r="CM9" i="13"/>
  <c r="CK10" i="13"/>
  <c r="CM10" i="13"/>
  <c r="CK11" i="13"/>
  <c r="CM11" i="13"/>
  <c r="CK12" i="13"/>
  <c r="CM12" i="13"/>
  <c r="CK13" i="13"/>
  <c r="CM13" i="13"/>
  <c r="CK14" i="13"/>
  <c r="CM14" i="13"/>
  <c r="CK15" i="13"/>
  <c r="CM15" i="13"/>
  <c r="CK16" i="13"/>
  <c r="CM16" i="13"/>
  <c r="CK17" i="13"/>
  <c r="CM17" i="13"/>
  <c r="CK18" i="13"/>
  <c r="CM18" i="13"/>
  <c r="CK19" i="13"/>
  <c r="CM19" i="13"/>
  <c r="CM20" i="13"/>
  <c r="CM21" i="13"/>
  <c r="CK22" i="13"/>
  <c r="CM22" i="13"/>
  <c r="CK23" i="13"/>
  <c r="CM23" i="13"/>
  <c r="CM24" i="13"/>
  <c r="CK26" i="13"/>
  <c r="CM26" i="13"/>
  <c r="CK27" i="13"/>
  <c r="CM27" i="13"/>
  <c r="CK28" i="13"/>
  <c r="CM28" i="13"/>
  <c r="CK29" i="13"/>
  <c r="CM29" i="13"/>
  <c r="CK30" i="13"/>
  <c r="CM30" i="13"/>
  <c r="CK31" i="13"/>
  <c r="CM31" i="13"/>
  <c r="CK32" i="13"/>
  <c r="CM32" i="13"/>
  <c r="CK33" i="13"/>
  <c r="CM33" i="13"/>
  <c r="CK34" i="13"/>
  <c r="CM34" i="13"/>
  <c r="CK35" i="13"/>
  <c r="CM35" i="13"/>
  <c r="CK36" i="13"/>
  <c r="CM36" i="13"/>
  <c r="CK37" i="13"/>
  <c r="CM37" i="13"/>
  <c r="CK38" i="13"/>
  <c r="CM38" i="13"/>
  <c r="CK39" i="13"/>
  <c r="CM39" i="13"/>
  <c r="CK40" i="13"/>
  <c r="CM40" i="13"/>
  <c r="CK41" i="13"/>
  <c r="CM41" i="13"/>
  <c r="CK42" i="13"/>
  <c r="CM42" i="13"/>
  <c r="CK43" i="13"/>
  <c r="CM43" i="13"/>
  <c r="CK44" i="13"/>
  <c r="CM44" i="13"/>
  <c r="CK45" i="13"/>
  <c r="CL45" i="13" s="1"/>
  <c r="CM45" i="13"/>
  <c r="CK46" i="13"/>
  <c r="CL46" i="13" s="1"/>
  <c r="CM46" i="13"/>
  <c r="CK47" i="13"/>
  <c r="CL47" i="13" s="1"/>
  <c r="CM47" i="13"/>
  <c r="CK48" i="13"/>
  <c r="CL48" i="13" s="1"/>
  <c r="CM48" i="13"/>
  <c r="CK49" i="13"/>
  <c r="CL49" i="13" s="1"/>
  <c r="CM49" i="13"/>
  <c r="CK50" i="13"/>
  <c r="CL50" i="13" s="1"/>
  <c r="CM50" i="13"/>
  <c r="CK51" i="13"/>
  <c r="CL51" i="13" s="1"/>
  <c r="CM51" i="13"/>
  <c r="CK52" i="13"/>
  <c r="CL52" i="13" s="1"/>
  <c r="CM52" i="13"/>
  <c r="CK53" i="13"/>
  <c r="CL53" i="13" s="1"/>
  <c r="CM53" i="13"/>
  <c r="CK54" i="13"/>
  <c r="CL54" i="13" s="1"/>
  <c r="CM54" i="13"/>
  <c r="CK55" i="13"/>
  <c r="CL55" i="13" s="1"/>
  <c r="CM55" i="13"/>
  <c r="CK56" i="13"/>
  <c r="CL56" i="13" s="1"/>
  <c r="CM56" i="13"/>
  <c r="CK57" i="13"/>
  <c r="CL57" i="13" s="1"/>
  <c r="CM57" i="13"/>
  <c r="CK58" i="13"/>
  <c r="CL58" i="13" s="1"/>
  <c r="CM58" i="13"/>
  <c r="CK59" i="13"/>
  <c r="CL59" i="13" s="1"/>
  <c r="CM59" i="13"/>
  <c r="CK60" i="13"/>
  <c r="CL60" i="13" s="1"/>
  <c r="CM60" i="13"/>
  <c r="CK61" i="13"/>
  <c r="CL61" i="13" s="1"/>
  <c r="CM61" i="13"/>
  <c r="CK62" i="13"/>
  <c r="CL62" i="13" s="1"/>
  <c r="CM62" i="13"/>
  <c r="CK63" i="13"/>
  <c r="CL63" i="13" s="1"/>
  <c r="CM63" i="13"/>
  <c r="CK64" i="13"/>
  <c r="CL64" i="13" s="1"/>
  <c r="CM64" i="13"/>
  <c r="CK65" i="13"/>
  <c r="CL65" i="13" s="1"/>
  <c r="CM65" i="13"/>
  <c r="CK66" i="13"/>
  <c r="CL66" i="13" s="1"/>
  <c r="CM66" i="13"/>
  <c r="CK67" i="13"/>
  <c r="CL67" i="13" s="1"/>
  <c r="CM67" i="13"/>
  <c r="CK68" i="13"/>
  <c r="CL68" i="13" s="1"/>
  <c r="CM68" i="13"/>
  <c r="CK69" i="13"/>
  <c r="CL69" i="13" s="1"/>
  <c r="CM69" i="13"/>
  <c r="CK70" i="13"/>
  <c r="CL70" i="13" s="1"/>
  <c r="CM70" i="13"/>
  <c r="CK71" i="13"/>
  <c r="CL71" i="13" s="1"/>
  <c r="CM71" i="13"/>
  <c r="CK72" i="13"/>
  <c r="CL72" i="13" s="1"/>
  <c r="CM72" i="13"/>
  <c r="CK73" i="13"/>
  <c r="CL73" i="13" s="1"/>
  <c r="CM73" i="13"/>
  <c r="CK74" i="13"/>
  <c r="CL74" i="13" s="1"/>
  <c r="CM74" i="13"/>
  <c r="CK75" i="13"/>
  <c r="CL75" i="13" s="1"/>
  <c r="CM75" i="13"/>
  <c r="CK76" i="13"/>
  <c r="CL76" i="13" s="1"/>
  <c r="CM76" i="13"/>
  <c r="CK77" i="13"/>
  <c r="CL77" i="13" s="1"/>
  <c r="CM77" i="13"/>
  <c r="CK78" i="13"/>
  <c r="CL78" i="13" s="1"/>
  <c r="CM78" i="13"/>
  <c r="CK79" i="13"/>
  <c r="CL79" i="13" s="1"/>
  <c r="CM79" i="13"/>
  <c r="CK80" i="13"/>
  <c r="CL80" i="13" s="1"/>
  <c r="CM80" i="13"/>
  <c r="CK81" i="13"/>
  <c r="CL81" i="13" s="1"/>
  <c r="CM81" i="13"/>
  <c r="CK82" i="13"/>
  <c r="CL82" i="13" s="1"/>
  <c r="CM82" i="13"/>
  <c r="CK83" i="13"/>
  <c r="CL83" i="13" s="1"/>
  <c r="CM83" i="13"/>
  <c r="CK84" i="13"/>
  <c r="CL84" i="13" s="1"/>
  <c r="CM84" i="13"/>
  <c r="CK85" i="13"/>
  <c r="CL85" i="13" s="1"/>
  <c r="CM85" i="13"/>
  <c r="CK86" i="13"/>
  <c r="CL86" i="13" s="1"/>
  <c r="CM86" i="13"/>
  <c r="CK87" i="13"/>
  <c r="CL87" i="13" s="1"/>
  <c r="CM87" i="13"/>
  <c r="CK88" i="13"/>
  <c r="CL88" i="13" s="1"/>
  <c r="CM88" i="13"/>
  <c r="CK89" i="13"/>
  <c r="CL89" i="13" s="1"/>
  <c r="CM89" i="13"/>
  <c r="CK90" i="13"/>
  <c r="CL90" i="13" s="1"/>
  <c r="CM90" i="13"/>
  <c r="CK91" i="13"/>
  <c r="CL91" i="13" s="1"/>
  <c r="CM91" i="13"/>
  <c r="CK92" i="13"/>
  <c r="CL92" i="13" s="1"/>
  <c r="CM92" i="13"/>
  <c r="CK93" i="13"/>
  <c r="CL93" i="13" s="1"/>
  <c r="CM93" i="13"/>
  <c r="CK94" i="13"/>
  <c r="CL94" i="13" s="1"/>
  <c r="CM94" i="13"/>
  <c r="CK95" i="13"/>
  <c r="CL95" i="13" s="1"/>
  <c r="CM95" i="13"/>
  <c r="CK96" i="13"/>
  <c r="CL96" i="13" s="1"/>
  <c r="CM96" i="13"/>
  <c r="CK97" i="13"/>
  <c r="CL97" i="13" s="1"/>
  <c r="CM97" i="13"/>
  <c r="CK98" i="13"/>
  <c r="CL98" i="13" s="1"/>
  <c r="CM98" i="13"/>
  <c r="CK99" i="13"/>
  <c r="CL99" i="13" s="1"/>
  <c r="CM99" i="13"/>
  <c r="CK100" i="13"/>
  <c r="CL100" i="13" s="1"/>
  <c r="CM100" i="13"/>
  <c r="CK101" i="13"/>
  <c r="CL101" i="13" s="1"/>
  <c r="CM101" i="13"/>
  <c r="CK102" i="13"/>
  <c r="CL102" i="13" s="1"/>
  <c r="CM102" i="13"/>
  <c r="CK103" i="13"/>
  <c r="CL103" i="13" s="1"/>
  <c r="CM103" i="13"/>
  <c r="CK104" i="13"/>
  <c r="CL104" i="13" s="1"/>
  <c r="CM104" i="13"/>
  <c r="CK105" i="13"/>
  <c r="CL105" i="13" s="1"/>
  <c r="CM105" i="13"/>
  <c r="CK106" i="13"/>
  <c r="CL106" i="13" s="1"/>
  <c r="CM106" i="13"/>
  <c r="CK107" i="13"/>
  <c r="CL107" i="13" s="1"/>
  <c r="CM107" i="13"/>
  <c r="CK108" i="13"/>
  <c r="CL108" i="13" s="1"/>
  <c r="CM108" i="13"/>
  <c r="CK109" i="13"/>
  <c r="CL109" i="13" s="1"/>
  <c r="CM109" i="13"/>
  <c r="CK110" i="13"/>
  <c r="CL110" i="13" s="1"/>
  <c r="CM110" i="13"/>
  <c r="CK111" i="13"/>
  <c r="CL111" i="13" s="1"/>
  <c r="CM111" i="13"/>
  <c r="CK112" i="13"/>
  <c r="CL112" i="13" s="1"/>
  <c r="CM112" i="13"/>
  <c r="CK113" i="13"/>
  <c r="CL113" i="13" s="1"/>
  <c r="CM113" i="13"/>
  <c r="CK114" i="13"/>
  <c r="CL114" i="13" s="1"/>
  <c r="CM114" i="13"/>
  <c r="CK115" i="13"/>
  <c r="CL115" i="13" s="1"/>
  <c r="CM115" i="13"/>
  <c r="CK116" i="13"/>
  <c r="CL116" i="13" s="1"/>
  <c r="CM116" i="13"/>
  <c r="CK117" i="13"/>
  <c r="CL117" i="13" s="1"/>
  <c r="CM117" i="13"/>
  <c r="CK118" i="13"/>
  <c r="CL118" i="13" s="1"/>
  <c r="CM118" i="13"/>
  <c r="CK119" i="13"/>
  <c r="CL119" i="13" s="1"/>
  <c r="CM119" i="13"/>
  <c r="CK120" i="13"/>
  <c r="CL120" i="13" s="1"/>
  <c r="CM120" i="13"/>
  <c r="CK121" i="13"/>
  <c r="CL121" i="13" s="1"/>
  <c r="CM121" i="13"/>
  <c r="CK122" i="13"/>
  <c r="CL122" i="13" s="1"/>
  <c r="CM122" i="13"/>
  <c r="CK123" i="13"/>
  <c r="CL123" i="13" s="1"/>
  <c r="CM123" i="13"/>
  <c r="CK124" i="13"/>
  <c r="CL124" i="13" s="1"/>
  <c r="CM124" i="13"/>
  <c r="CK125" i="13"/>
  <c r="CL125" i="13" s="1"/>
  <c r="CM125" i="13"/>
  <c r="CK126" i="13"/>
  <c r="CL126" i="13" s="1"/>
  <c r="CM126" i="13"/>
  <c r="CK127" i="13"/>
  <c r="CL127" i="13" s="1"/>
  <c r="CM127" i="13"/>
  <c r="CK128" i="13"/>
  <c r="CL128" i="13" s="1"/>
  <c r="CM128" i="13"/>
  <c r="CK129" i="13"/>
  <c r="CL129" i="13" s="1"/>
  <c r="CM129" i="13"/>
  <c r="CK130" i="13"/>
  <c r="CL130" i="13" s="1"/>
  <c r="CM130" i="13"/>
  <c r="CK131" i="13"/>
  <c r="CL131" i="13" s="1"/>
  <c r="CM131" i="13"/>
  <c r="CK132" i="13"/>
  <c r="CL132" i="13" s="1"/>
  <c r="CM132" i="13"/>
  <c r="CK133" i="13"/>
  <c r="CL133" i="13" s="1"/>
  <c r="CM133" i="13"/>
  <c r="CK134" i="13"/>
  <c r="CL134" i="13" s="1"/>
  <c r="CM134" i="13"/>
  <c r="CK135" i="13"/>
  <c r="CL135" i="13" s="1"/>
  <c r="CM135" i="13"/>
  <c r="CK136" i="13"/>
  <c r="CL136" i="13" s="1"/>
  <c r="CM136" i="13"/>
  <c r="CK137" i="13"/>
  <c r="CL137" i="13" s="1"/>
  <c r="CM137" i="13"/>
  <c r="CK138" i="13"/>
  <c r="CL138" i="13" s="1"/>
  <c r="CM138" i="13"/>
  <c r="CK139" i="13"/>
  <c r="CL139" i="13" s="1"/>
  <c r="CM139" i="13"/>
  <c r="CK140" i="13"/>
  <c r="CL140" i="13" s="1"/>
  <c r="CM140" i="13"/>
  <c r="CK141" i="13"/>
  <c r="CL141" i="13" s="1"/>
  <c r="CM141" i="13"/>
  <c r="CK142" i="13"/>
  <c r="CL142" i="13" s="1"/>
  <c r="CM142" i="13"/>
  <c r="CK143" i="13"/>
  <c r="CL143" i="13" s="1"/>
  <c r="CM143" i="13"/>
  <c r="CK144" i="13"/>
  <c r="CL144" i="13" s="1"/>
  <c r="CM144" i="13"/>
  <c r="CK145" i="13"/>
  <c r="CL145" i="13" s="1"/>
  <c r="CM145" i="13"/>
  <c r="CK146" i="13"/>
  <c r="CL146" i="13" s="1"/>
  <c r="CM146" i="13"/>
  <c r="CK147" i="13"/>
  <c r="CL147" i="13" s="1"/>
  <c r="CM147" i="13"/>
  <c r="CK148" i="13"/>
  <c r="CL148" i="13" s="1"/>
  <c r="CM148" i="13"/>
  <c r="CK149" i="13"/>
  <c r="CL149" i="13" s="1"/>
  <c r="CM149" i="13"/>
  <c r="CK150" i="13"/>
  <c r="CL150" i="13" s="1"/>
  <c r="CM150" i="13"/>
  <c r="CK151" i="13"/>
  <c r="CL151" i="13" s="1"/>
  <c r="CM151" i="13"/>
  <c r="CK152" i="13"/>
  <c r="CL152" i="13" s="1"/>
  <c r="CM152" i="13"/>
  <c r="CK153" i="13"/>
  <c r="CL153" i="13" s="1"/>
  <c r="CM153" i="13"/>
  <c r="CK154" i="13"/>
  <c r="CL154" i="13" s="1"/>
  <c r="CM154" i="13"/>
  <c r="CK155" i="13"/>
  <c r="CL155" i="13" s="1"/>
  <c r="CM155" i="13"/>
  <c r="CK156" i="13"/>
  <c r="CL156" i="13" s="1"/>
  <c r="CM156" i="13"/>
  <c r="CK157" i="13"/>
  <c r="CL157" i="13" s="1"/>
  <c r="CM157" i="13"/>
  <c r="CK158" i="13"/>
  <c r="CL158" i="13" s="1"/>
  <c r="CM158" i="13"/>
  <c r="CK159" i="13"/>
  <c r="CL159" i="13" s="1"/>
  <c r="CM159" i="13"/>
  <c r="CK160" i="13"/>
  <c r="CL160" i="13" s="1"/>
  <c r="CM160" i="13"/>
  <c r="CK161" i="13"/>
  <c r="CL161" i="13" s="1"/>
  <c r="CM161" i="13"/>
  <c r="CK162" i="13"/>
  <c r="CL162" i="13" s="1"/>
  <c r="CM162" i="13"/>
  <c r="CK163" i="13"/>
  <c r="CL163" i="13" s="1"/>
  <c r="CM163" i="13"/>
  <c r="CK164" i="13"/>
  <c r="CL164" i="13" s="1"/>
  <c r="CM164" i="13"/>
  <c r="CK165" i="13"/>
  <c r="CL165" i="13" s="1"/>
  <c r="CM165" i="13"/>
  <c r="CK166" i="13"/>
  <c r="CL166" i="13" s="1"/>
  <c r="CM166" i="13"/>
  <c r="CK167" i="13"/>
  <c r="CL167" i="13" s="1"/>
  <c r="CM167" i="13"/>
  <c r="CK168" i="13"/>
  <c r="CL168" i="13" s="1"/>
  <c r="CM168" i="13"/>
  <c r="CK169" i="13"/>
  <c r="CL169" i="13" s="1"/>
  <c r="CM169" i="13"/>
  <c r="CK170" i="13"/>
  <c r="CL170" i="13" s="1"/>
  <c r="CM170" i="13"/>
  <c r="CK171" i="13"/>
  <c r="CL171" i="13" s="1"/>
  <c r="CM171" i="13"/>
  <c r="CK172" i="13"/>
  <c r="CL172" i="13" s="1"/>
  <c r="CM172" i="13"/>
  <c r="CK173" i="13"/>
  <c r="CL173" i="13" s="1"/>
  <c r="CM173" i="13"/>
  <c r="CK174" i="13"/>
  <c r="CL174" i="13" s="1"/>
  <c r="CM174" i="13"/>
  <c r="CK175" i="13"/>
  <c r="CL175" i="13" s="1"/>
  <c r="CM175" i="13"/>
  <c r="CK176" i="13"/>
  <c r="CL176" i="13" s="1"/>
  <c r="CM176" i="13"/>
  <c r="CK177" i="13"/>
  <c r="CL177" i="13" s="1"/>
  <c r="CM177" i="13"/>
  <c r="CK178" i="13"/>
  <c r="CL178" i="13" s="1"/>
  <c r="CM178" i="13"/>
  <c r="CK179" i="13"/>
  <c r="CL179" i="13" s="1"/>
  <c r="CM179" i="13"/>
  <c r="CK180" i="13"/>
  <c r="CL180" i="13" s="1"/>
  <c r="CM180" i="13"/>
  <c r="CK181" i="13"/>
  <c r="CL181" i="13" s="1"/>
  <c r="CM181" i="13"/>
  <c r="CK182" i="13"/>
  <c r="CL182" i="13" s="1"/>
  <c r="CM182" i="13"/>
  <c r="CK183" i="13"/>
  <c r="CL183" i="13" s="1"/>
  <c r="CM183" i="13"/>
  <c r="CK184" i="13"/>
  <c r="CL184" i="13" s="1"/>
  <c r="CM184" i="13"/>
  <c r="CK185" i="13"/>
  <c r="CL185" i="13" s="1"/>
  <c r="CM185" i="13"/>
  <c r="CK186" i="13"/>
  <c r="CL186" i="13" s="1"/>
  <c r="CM186" i="13"/>
  <c r="CK187" i="13"/>
  <c r="CL187" i="13" s="1"/>
  <c r="CM187" i="13"/>
  <c r="CK188" i="13"/>
  <c r="CL188" i="13" s="1"/>
  <c r="CM188" i="13"/>
  <c r="CK189" i="13"/>
  <c r="CL189" i="13" s="1"/>
  <c r="CM189" i="13"/>
  <c r="CK190" i="13"/>
  <c r="CL190" i="13" s="1"/>
  <c r="CM190" i="13"/>
  <c r="CK191" i="13"/>
  <c r="CL191" i="13" s="1"/>
  <c r="CM191" i="13"/>
  <c r="CK192" i="13"/>
  <c r="CL192" i="13" s="1"/>
  <c r="CM192" i="13"/>
  <c r="CK193" i="13"/>
  <c r="CL193" i="13" s="1"/>
  <c r="CM193" i="13"/>
  <c r="CK194" i="13"/>
  <c r="CL194" i="13" s="1"/>
  <c r="CM194" i="13"/>
  <c r="CK195" i="13"/>
  <c r="CL195" i="13" s="1"/>
  <c r="CM195" i="13"/>
  <c r="CK196" i="13"/>
  <c r="CL196" i="13" s="1"/>
  <c r="CM196" i="13"/>
  <c r="CK197" i="13"/>
  <c r="CL197" i="13" s="1"/>
  <c r="CM197" i="13"/>
  <c r="CK198" i="13"/>
  <c r="CL198" i="13" s="1"/>
  <c r="CM198" i="13"/>
  <c r="CK199" i="13"/>
  <c r="CL199" i="13" s="1"/>
  <c r="CM199" i="13"/>
  <c r="CK200" i="13"/>
  <c r="CL200" i="13" s="1"/>
  <c r="CM200" i="13"/>
  <c r="CK201" i="13"/>
  <c r="CL201" i="13" s="1"/>
  <c r="CM201" i="13"/>
  <c r="CK202" i="13"/>
  <c r="CL202" i="13" s="1"/>
  <c r="CM202" i="13"/>
  <c r="CK203" i="13"/>
  <c r="CL203" i="13" s="1"/>
  <c r="CM203" i="13"/>
  <c r="CK204" i="13"/>
  <c r="CL204" i="13" s="1"/>
  <c r="CM204" i="13"/>
  <c r="CK205" i="13"/>
  <c r="CL205" i="13" s="1"/>
  <c r="CM205" i="13"/>
  <c r="CK206" i="13"/>
  <c r="CL206" i="13" s="1"/>
  <c r="CM206" i="13"/>
  <c r="CK208" i="13"/>
  <c r="CM208" i="13"/>
  <c r="CK209" i="13"/>
  <c r="CL209" i="13" s="1"/>
  <c r="CM209" i="13"/>
  <c r="CK210" i="13"/>
  <c r="CL210" i="13" s="1"/>
  <c r="CM210" i="13"/>
  <c r="CK211" i="13"/>
  <c r="CL211" i="13" s="1"/>
  <c r="CM211" i="13"/>
  <c r="CK212" i="13"/>
  <c r="CL212" i="13" s="1"/>
  <c r="CM212" i="13"/>
  <c r="CK213" i="13"/>
  <c r="CL213" i="13" s="1"/>
  <c r="CM213" i="13"/>
  <c r="CK214" i="13"/>
  <c r="CL214" i="13" s="1"/>
  <c r="CM214" i="13"/>
  <c r="CK215" i="13"/>
  <c r="CL215" i="13" s="1"/>
  <c r="CM215" i="13"/>
  <c r="CK216" i="13"/>
  <c r="CL216" i="13" s="1"/>
  <c r="CM216" i="13"/>
  <c r="CK217" i="13"/>
  <c r="CL217" i="13" s="1"/>
  <c r="CM217" i="13"/>
  <c r="CK218" i="13"/>
  <c r="CL218" i="13" s="1"/>
  <c r="CM218" i="13"/>
  <c r="CK219" i="13"/>
  <c r="CL219" i="13" s="1"/>
  <c r="CM219" i="13"/>
  <c r="CK220" i="13"/>
  <c r="CL220" i="13" s="1"/>
  <c r="CM220" i="13"/>
  <c r="CK221" i="13"/>
  <c r="CL221" i="13" s="1"/>
  <c r="CM221" i="13"/>
  <c r="CK222" i="13"/>
  <c r="CL222" i="13" s="1"/>
  <c r="CM222" i="13"/>
  <c r="CK223" i="13"/>
  <c r="CL223" i="13" s="1"/>
  <c r="CM223" i="13"/>
  <c r="CK224" i="13"/>
  <c r="CL224" i="13" s="1"/>
  <c r="CM224" i="13"/>
  <c r="CK225" i="13"/>
  <c r="CL225" i="13" s="1"/>
  <c r="CM225" i="13"/>
  <c r="CK226" i="13"/>
  <c r="CL226" i="13" s="1"/>
  <c r="CM226" i="13"/>
  <c r="CK227" i="13"/>
  <c r="CL227" i="13" s="1"/>
  <c r="CM227" i="13"/>
  <c r="CK228" i="13"/>
  <c r="CL228" i="13" s="1"/>
  <c r="CM228" i="13"/>
  <c r="CK229" i="13"/>
  <c r="CL229" i="13" s="1"/>
  <c r="CM229" i="13"/>
  <c r="CK230" i="13"/>
  <c r="CL230" i="13" s="1"/>
  <c r="CM230" i="13"/>
  <c r="CK231" i="13"/>
  <c r="CL231" i="13" s="1"/>
  <c r="CM231" i="13"/>
  <c r="CK232" i="13"/>
  <c r="CL232" i="13" s="1"/>
  <c r="CM232" i="13"/>
  <c r="CK233" i="13"/>
  <c r="CL233" i="13" s="1"/>
  <c r="CM233" i="13"/>
  <c r="CK234" i="13"/>
  <c r="CL234" i="13" s="1"/>
  <c r="CM234" i="13"/>
  <c r="CK235" i="13"/>
  <c r="CL235" i="13" s="1"/>
  <c r="CM235" i="13"/>
  <c r="CK236" i="13"/>
  <c r="CL236" i="13" s="1"/>
  <c r="CM236" i="13"/>
  <c r="CK237" i="13"/>
  <c r="CL237" i="13" s="1"/>
  <c r="CM237" i="13"/>
  <c r="CK238" i="13"/>
  <c r="CL238" i="13" s="1"/>
  <c r="CM238" i="13"/>
  <c r="CK239" i="13"/>
  <c r="CL239" i="13" s="1"/>
  <c r="CM239" i="13"/>
  <c r="CK240" i="13"/>
  <c r="CL240" i="13" s="1"/>
  <c r="CM240" i="13"/>
  <c r="CK241" i="13"/>
  <c r="CL241" i="13" s="1"/>
  <c r="CM241" i="13"/>
  <c r="CK242" i="13"/>
  <c r="CL242" i="13" s="1"/>
  <c r="CM242" i="13"/>
  <c r="CK243" i="13"/>
  <c r="CL243" i="13" s="1"/>
  <c r="CM243" i="13"/>
  <c r="CK244" i="13"/>
  <c r="CL244" i="13" s="1"/>
  <c r="CM244" i="13"/>
  <c r="CK245" i="13"/>
  <c r="CL245" i="13" s="1"/>
  <c r="CM245" i="13"/>
  <c r="CK246" i="13"/>
  <c r="CL246" i="13" s="1"/>
  <c r="CM246" i="13"/>
  <c r="CK247" i="13"/>
  <c r="CL247" i="13" s="1"/>
  <c r="CM247" i="13"/>
  <c r="CK248" i="13"/>
  <c r="CL248" i="13" s="1"/>
  <c r="CM248" i="13"/>
  <c r="CK249" i="13"/>
  <c r="CL249" i="13" s="1"/>
  <c r="CM249" i="13"/>
  <c r="CK250" i="13"/>
  <c r="CL250" i="13" s="1"/>
  <c r="CM250" i="13"/>
  <c r="CK251" i="13"/>
  <c r="CL251" i="13" s="1"/>
  <c r="CM251" i="13"/>
  <c r="CK252" i="13"/>
  <c r="CL252" i="13" s="1"/>
  <c r="CM252" i="13"/>
  <c r="CK253" i="13"/>
  <c r="CL253" i="13" s="1"/>
  <c r="CM253" i="13"/>
  <c r="CK254" i="13"/>
  <c r="CL254" i="13" s="1"/>
  <c r="CM254" i="13"/>
  <c r="CK255" i="13"/>
  <c r="CL255" i="13" s="1"/>
  <c r="CM255" i="13"/>
  <c r="CK256" i="13"/>
  <c r="CL256" i="13" s="1"/>
  <c r="CM256" i="13"/>
  <c r="CK257" i="13"/>
  <c r="CL257" i="13" s="1"/>
  <c r="CM257" i="13"/>
  <c r="CK258" i="13"/>
  <c r="CL258" i="13" s="1"/>
  <c r="CM258" i="13"/>
  <c r="CK259" i="13"/>
  <c r="CL259" i="13" s="1"/>
  <c r="CM259" i="13"/>
  <c r="CK260" i="13"/>
  <c r="CL260" i="13" s="1"/>
  <c r="CM260" i="13"/>
  <c r="CK261" i="13"/>
  <c r="CL261" i="13" s="1"/>
  <c r="CM261" i="13"/>
  <c r="CK262" i="13"/>
  <c r="CL262" i="13" s="1"/>
  <c r="CM262" i="13"/>
  <c r="CK263" i="13"/>
  <c r="CL263" i="13" s="1"/>
  <c r="CM263" i="13"/>
  <c r="CK264" i="13"/>
  <c r="CL264" i="13" s="1"/>
  <c r="CM264" i="13"/>
  <c r="CK265" i="13"/>
  <c r="CL265" i="13" s="1"/>
  <c r="CM265" i="13"/>
  <c r="CK266" i="13"/>
  <c r="CL266" i="13" s="1"/>
  <c r="CM266" i="13"/>
  <c r="CK267" i="13"/>
  <c r="CL267" i="13" s="1"/>
  <c r="CM267" i="13"/>
  <c r="CK268" i="13"/>
  <c r="CL268" i="13" s="1"/>
  <c r="CM268" i="13"/>
  <c r="CK269" i="13"/>
  <c r="CL269" i="13" s="1"/>
  <c r="CM269" i="13"/>
  <c r="CK270" i="13"/>
  <c r="CL270" i="13" s="1"/>
  <c r="CM270" i="13"/>
  <c r="CK271" i="13"/>
  <c r="CL271" i="13" s="1"/>
  <c r="CM271" i="13"/>
  <c r="CK272" i="13"/>
  <c r="CL272" i="13" s="1"/>
  <c r="CM272" i="13"/>
  <c r="CK273" i="13"/>
  <c r="CL273" i="13" s="1"/>
  <c r="CM273" i="13"/>
  <c r="CK274" i="13"/>
  <c r="CL274" i="13" s="1"/>
  <c r="CM274" i="13"/>
  <c r="CK275" i="13"/>
  <c r="CL275" i="13" s="1"/>
  <c r="CM275" i="13"/>
  <c r="CK276" i="13"/>
  <c r="CL276" i="13" s="1"/>
  <c r="CM276" i="13"/>
  <c r="CK277" i="13"/>
  <c r="CL277" i="13" s="1"/>
  <c r="CM277" i="13"/>
  <c r="CK278" i="13"/>
  <c r="CL278" i="13" s="1"/>
  <c r="CM278" i="13"/>
  <c r="CK279" i="13"/>
  <c r="CL279" i="13" s="1"/>
  <c r="CM279" i="13"/>
  <c r="CK280" i="13"/>
  <c r="CL280" i="13" s="1"/>
  <c r="CM280" i="13"/>
  <c r="CK281" i="13"/>
  <c r="CL281" i="13" s="1"/>
  <c r="CM281" i="13"/>
  <c r="CK282" i="13"/>
  <c r="CL282" i="13" s="1"/>
  <c r="CM282" i="13"/>
  <c r="CK283" i="13"/>
  <c r="CL283" i="13" s="1"/>
  <c r="CM283" i="13"/>
  <c r="CK284" i="13"/>
  <c r="CL284" i="13" s="1"/>
  <c r="CM284" i="13"/>
  <c r="CK285" i="13"/>
  <c r="CL285" i="13" s="1"/>
  <c r="CM285" i="13"/>
  <c r="CK286" i="13"/>
  <c r="CL286" i="13" s="1"/>
  <c r="CM286" i="13"/>
  <c r="CK287" i="13"/>
  <c r="CL287" i="13" s="1"/>
  <c r="CM287" i="13"/>
  <c r="CK288" i="13"/>
  <c r="CL288" i="13" s="1"/>
  <c r="CM288" i="13"/>
  <c r="CK289" i="13"/>
  <c r="CL289" i="13" s="1"/>
  <c r="CM289" i="13"/>
  <c r="CK290" i="13"/>
  <c r="CL290" i="13" s="1"/>
  <c r="CM290" i="13"/>
  <c r="CK291" i="13"/>
  <c r="CL291" i="13" s="1"/>
  <c r="CM291" i="13"/>
  <c r="CK292" i="13"/>
  <c r="CL292" i="13" s="1"/>
  <c r="CM292" i="13"/>
  <c r="CK293" i="13"/>
  <c r="CL293" i="13" s="1"/>
  <c r="CM293" i="13"/>
  <c r="CK294" i="13"/>
  <c r="CL294" i="13" s="1"/>
  <c r="CM294" i="13"/>
  <c r="CK295" i="13"/>
  <c r="CL295" i="13" s="1"/>
  <c r="CM295" i="13"/>
  <c r="CK296" i="13"/>
  <c r="CL296" i="13" s="1"/>
  <c r="CM296" i="13"/>
  <c r="CK297" i="13"/>
  <c r="CL297" i="13" s="1"/>
  <c r="CM297" i="13"/>
  <c r="CK298" i="13"/>
  <c r="CL298" i="13" s="1"/>
  <c r="CM298" i="13"/>
  <c r="CK299" i="13"/>
  <c r="CL299" i="13" s="1"/>
  <c r="CM299" i="13"/>
  <c r="CK300" i="13"/>
  <c r="CL300" i="13" s="1"/>
  <c r="CM300" i="13"/>
  <c r="CK301" i="13"/>
  <c r="CL301" i="13" s="1"/>
  <c r="CM301" i="13"/>
  <c r="CK302" i="13"/>
  <c r="CL302" i="13" s="1"/>
  <c r="CM302" i="13"/>
  <c r="CK303" i="13"/>
  <c r="CL303" i="13" s="1"/>
  <c r="CM303" i="13"/>
  <c r="CK304" i="13"/>
  <c r="CL304" i="13" s="1"/>
  <c r="CM304" i="13"/>
  <c r="CK305" i="13"/>
  <c r="CL305" i="13" s="1"/>
  <c r="CM305" i="13"/>
  <c r="CK306" i="13"/>
  <c r="CL306" i="13" s="1"/>
  <c r="CM306" i="13"/>
  <c r="CK307" i="13"/>
  <c r="CL307" i="13" s="1"/>
  <c r="CM307" i="13"/>
  <c r="CK308" i="13"/>
  <c r="CL308" i="13" s="1"/>
  <c r="CM308" i="13"/>
  <c r="CK309" i="13"/>
  <c r="CL309" i="13" s="1"/>
  <c r="CM309" i="13"/>
  <c r="CK310" i="13"/>
  <c r="CL310" i="13" s="1"/>
  <c r="CM310" i="13"/>
  <c r="CK311" i="13"/>
  <c r="CL311" i="13" s="1"/>
  <c r="CM311" i="13"/>
  <c r="CK312" i="13"/>
  <c r="CL312" i="13" s="1"/>
  <c r="CM312" i="13"/>
  <c r="CK313" i="13"/>
  <c r="CL313" i="13" s="1"/>
  <c r="CM313" i="13"/>
  <c r="CK314" i="13"/>
  <c r="CL314" i="13" s="1"/>
  <c r="CM314" i="13"/>
  <c r="CK315" i="13"/>
  <c r="CL315" i="13" s="1"/>
  <c r="CM315" i="13"/>
  <c r="CK316" i="13"/>
  <c r="CL316" i="13" s="1"/>
  <c r="CM316" i="13"/>
  <c r="CK317" i="13"/>
  <c r="CL317" i="13" s="1"/>
  <c r="CM317" i="13"/>
  <c r="CK318" i="13"/>
  <c r="CL318" i="13" s="1"/>
  <c r="CM318" i="13"/>
  <c r="CK319" i="13"/>
  <c r="CL319" i="13" s="1"/>
  <c r="CM319" i="13"/>
  <c r="CK320" i="13"/>
  <c r="CL320" i="13" s="1"/>
  <c r="CM320" i="13"/>
  <c r="CK321" i="13"/>
  <c r="CL321" i="13" s="1"/>
  <c r="CM321" i="13"/>
  <c r="CK322" i="13"/>
  <c r="CL322" i="13" s="1"/>
  <c r="CM322" i="13"/>
  <c r="CK323" i="13"/>
  <c r="CL323" i="13" s="1"/>
  <c r="CM323" i="13"/>
  <c r="CK324" i="13"/>
  <c r="CL324" i="13" s="1"/>
  <c r="CM324" i="13"/>
  <c r="CK325" i="13"/>
  <c r="CL325" i="13" s="1"/>
  <c r="CM325" i="13"/>
  <c r="CK326" i="13"/>
  <c r="CL326" i="13" s="1"/>
  <c r="CM326" i="13"/>
  <c r="CK327" i="13"/>
  <c r="CL327" i="13" s="1"/>
  <c r="CM327" i="13"/>
  <c r="CK328" i="13"/>
  <c r="CL328" i="13" s="1"/>
  <c r="CM328" i="13"/>
  <c r="CK329" i="13"/>
  <c r="CL329" i="13" s="1"/>
  <c r="CM329" i="13"/>
  <c r="CK330" i="13"/>
  <c r="CL330" i="13" s="1"/>
  <c r="CM330" i="13"/>
  <c r="CK331" i="13"/>
  <c r="CL331" i="13" s="1"/>
  <c r="CM331" i="13"/>
  <c r="CK332" i="13"/>
  <c r="CL332" i="13" s="1"/>
  <c r="CM332" i="13"/>
  <c r="CK333" i="13"/>
  <c r="CL333" i="13" s="1"/>
  <c r="CM333" i="13"/>
  <c r="CK334" i="13"/>
  <c r="CL334" i="13" s="1"/>
  <c r="CM334" i="13"/>
  <c r="CK335" i="13"/>
  <c r="CL335" i="13" s="1"/>
  <c r="CM335" i="13"/>
  <c r="CK336" i="13"/>
  <c r="CL336" i="13" s="1"/>
  <c r="CM336" i="13"/>
  <c r="CK337" i="13"/>
  <c r="CL337" i="13" s="1"/>
  <c r="CM337" i="13"/>
  <c r="CK338" i="13"/>
  <c r="CL338" i="13" s="1"/>
  <c r="CM338" i="13"/>
  <c r="CK339" i="13"/>
  <c r="CL339" i="13" s="1"/>
  <c r="CM339" i="13"/>
  <c r="CK340" i="13"/>
  <c r="CL340" i="13" s="1"/>
  <c r="CM340" i="13"/>
  <c r="CK341" i="13"/>
  <c r="CL341" i="13" s="1"/>
  <c r="CM341" i="13"/>
  <c r="CK342" i="13"/>
  <c r="CL342" i="13" s="1"/>
  <c r="CM342" i="13"/>
  <c r="CK343" i="13"/>
  <c r="CL343" i="13" s="1"/>
  <c r="CM343" i="13"/>
  <c r="CK344" i="13"/>
  <c r="CL344" i="13" s="1"/>
  <c r="CM344" i="13"/>
  <c r="CK345" i="13"/>
  <c r="CL345" i="13" s="1"/>
  <c r="CM345" i="13"/>
  <c r="CK346" i="13"/>
  <c r="CL346" i="13" s="1"/>
  <c r="CM346" i="13"/>
  <c r="CK347" i="13"/>
  <c r="CL347" i="13" s="1"/>
  <c r="CM347" i="13"/>
  <c r="CK4" i="13"/>
  <c r="BO20" i="13"/>
  <c r="AX20" i="13"/>
  <c r="AX207" i="13" s="1"/>
  <c r="CM4" i="13"/>
  <c r="CK1792" i="12"/>
  <c r="CK1793" i="12"/>
  <c r="AU1793" i="12"/>
  <c r="CH1793" i="12"/>
  <c r="J1794" i="12"/>
  <c r="K1794" i="12"/>
  <c r="L1794" i="12"/>
  <c r="M1794" i="12"/>
  <c r="N1794" i="12"/>
  <c r="O1794" i="12"/>
  <c r="P1794" i="12"/>
  <c r="Q1794" i="12"/>
  <c r="R1794" i="12"/>
  <c r="S1794" i="12"/>
  <c r="T1794" i="12"/>
  <c r="U1794" i="12"/>
  <c r="V1794" i="12"/>
  <c r="W1794" i="12"/>
  <c r="X1794" i="12"/>
  <c r="Y1794" i="12"/>
  <c r="Z1794" i="12"/>
  <c r="AA1794" i="12"/>
  <c r="AB1794" i="12"/>
  <c r="AC1794" i="12"/>
  <c r="AD1794" i="12"/>
  <c r="AE1794" i="12"/>
  <c r="AF1794" i="12"/>
  <c r="AG1794" i="12"/>
  <c r="AH1794" i="12"/>
  <c r="AI1794" i="12"/>
  <c r="AJ1794" i="12"/>
  <c r="AK1794" i="12"/>
  <c r="AL1794" i="12"/>
  <c r="AM1794" i="12"/>
  <c r="AN1794" i="12"/>
  <c r="AO1794" i="12"/>
  <c r="AP1794" i="12"/>
  <c r="AQ1794" i="12"/>
  <c r="AR1794" i="12"/>
  <c r="AS1794" i="12"/>
  <c r="AT1794" i="12"/>
  <c r="AV1794" i="12"/>
  <c r="AW1794" i="12"/>
  <c r="AX1794" i="12"/>
  <c r="AY1794" i="12"/>
  <c r="AZ1794" i="12"/>
  <c r="BA1794" i="12"/>
  <c r="BB1794" i="12"/>
  <c r="BC1794" i="12"/>
  <c r="BD1794" i="12"/>
  <c r="BF1794" i="12"/>
  <c r="BG1794" i="12"/>
  <c r="BH1794" i="12"/>
  <c r="BI1794" i="12"/>
  <c r="BJ1794" i="12"/>
  <c r="BK1794" i="12"/>
  <c r="BL1794" i="12"/>
  <c r="BM1794" i="12"/>
  <c r="BN1794" i="12"/>
  <c r="BO1794" i="12"/>
  <c r="BP1794" i="12"/>
  <c r="BQ1794" i="12"/>
  <c r="BR1794" i="12"/>
  <c r="BS1794" i="12"/>
  <c r="BT1794" i="12"/>
  <c r="BU1794" i="12"/>
  <c r="BV1794" i="12"/>
  <c r="BW1794" i="12"/>
  <c r="BX1794" i="12"/>
  <c r="BY1794" i="12"/>
  <c r="BZ1794" i="12"/>
  <c r="CA1794" i="12"/>
  <c r="CB1794" i="12"/>
  <c r="CC1794" i="12"/>
  <c r="CD1794" i="12"/>
  <c r="CE1794" i="12"/>
  <c r="CF1794" i="12"/>
  <c r="CG1794" i="12"/>
  <c r="CL1794" i="12"/>
  <c r="I1794" i="12"/>
  <c r="CJ1793" i="12"/>
  <c r="B557" i="12"/>
  <c r="AU1789" i="12"/>
  <c r="AU1790" i="12"/>
  <c r="AU1791" i="12"/>
  <c r="AU1792" i="12"/>
  <c r="CH1788" i="12"/>
  <c r="CJ1788" i="12"/>
  <c r="CK1788" i="12"/>
  <c r="CH1789" i="12"/>
  <c r="CJ1789" i="12"/>
  <c r="CK1789" i="12"/>
  <c r="CH1790" i="12"/>
  <c r="CJ1790" i="12"/>
  <c r="CK1790" i="12"/>
  <c r="CH1791" i="12"/>
  <c r="CJ1791" i="12"/>
  <c r="CK1791" i="12"/>
  <c r="CH1792" i="12"/>
  <c r="CJ1792" i="12"/>
  <c r="CK24" i="13" l="1"/>
  <c r="CL208" i="13"/>
  <c r="CL469" i="13" s="1"/>
  <c r="CK469" i="13"/>
  <c r="CI1793" i="12"/>
  <c r="BO207" i="13"/>
  <c r="CK20" i="13"/>
  <c r="CI1791" i="12"/>
  <c r="CI1792" i="12"/>
  <c r="CI1789" i="12"/>
  <c r="CI1790" i="12"/>
  <c r="CK510" i="12" l="1"/>
  <c r="B933" i="12" l="1"/>
  <c r="G1786" i="12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Y337" i="12"/>
  <c r="Z337" i="12"/>
  <c r="AA337" i="12"/>
  <c r="AB33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V337" i="12"/>
  <c r="AY337" i="12"/>
  <c r="AZ337" i="12"/>
  <c r="BA337" i="12"/>
  <c r="BB337" i="12"/>
  <c r="BC337" i="12"/>
  <c r="BD337" i="12"/>
  <c r="BF337" i="12"/>
  <c r="BG337" i="12"/>
  <c r="BH337" i="12"/>
  <c r="BI337" i="12"/>
  <c r="BJ337" i="12"/>
  <c r="BK337" i="12"/>
  <c r="BL337" i="12"/>
  <c r="BM337" i="12"/>
  <c r="BN337" i="12"/>
  <c r="BO337" i="12"/>
  <c r="BP337" i="12"/>
  <c r="BQ337" i="12"/>
  <c r="BR337" i="12"/>
  <c r="BS337" i="12"/>
  <c r="BT337" i="12"/>
  <c r="BU337" i="12"/>
  <c r="BV337" i="12"/>
  <c r="BW337" i="12"/>
  <c r="BX337" i="12"/>
  <c r="BY337" i="12"/>
  <c r="BZ337" i="12"/>
  <c r="CA337" i="12"/>
  <c r="CB337" i="12"/>
  <c r="CC337" i="12"/>
  <c r="CD337" i="12"/>
  <c r="CE337" i="12"/>
  <c r="CF337" i="12"/>
  <c r="CG337" i="12"/>
  <c r="CL337" i="12"/>
  <c r="I337" i="12"/>
  <c r="AX317" i="12"/>
  <c r="AX337" i="12" s="1"/>
  <c r="AW317" i="12"/>
  <c r="AW337" i="12" s="1"/>
  <c r="J553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Y553" i="12"/>
  <c r="Z553" i="12"/>
  <c r="AA553" i="12"/>
  <c r="AB553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V553" i="12"/>
  <c r="AY553" i="12"/>
  <c r="AZ553" i="12"/>
  <c r="BA553" i="12"/>
  <c r="BB553" i="12"/>
  <c r="BC553" i="12"/>
  <c r="BD553" i="12"/>
  <c r="BF553" i="12"/>
  <c r="BG553" i="12"/>
  <c r="BH553" i="12"/>
  <c r="BI553" i="12"/>
  <c r="BJ553" i="12"/>
  <c r="BK553" i="12"/>
  <c r="BL553" i="12"/>
  <c r="BM553" i="12"/>
  <c r="BN553" i="12"/>
  <c r="BO553" i="12"/>
  <c r="BP553" i="12"/>
  <c r="BQ553" i="12"/>
  <c r="BR553" i="12"/>
  <c r="BS553" i="12"/>
  <c r="BT553" i="12"/>
  <c r="BU553" i="12"/>
  <c r="BV553" i="12"/>
  <c r="BW553" i="12"/>
  <c r="BX553" i="12"/>
  <c r="BY553" i="12"/>
  <c r="BZ553" i="12"/>
  <c r="CA553" i="12"/>
  <c r="CB553" i="12"/>
  <c r="CC553" i="12"/>
  <c r="CD553" i="12"/>
  <c r="CE553" i="12"/>
  <c r="CF553" i="12"/>
  <c r="CG553" i="12"/>
  <c r="I553" i="12"/>
  <c r="CJ551" i="12"/>
  <c r="CK551" i="12"/>
  <c r="CJ552" i="12"/>
  <c r="CK552" i="12"/>
  <c r="CK553" i="12" s="1"/>
  <c r="AU552" i="12"/>
  <c r="AU553" i="12" s="1"/>
  <c r="AX552" i="12"/>
  <c r="AW552" i="12"/>
  <c r="AW553" i="12" s="1"/>
  <c r="CH552" i="12" l="1"/>
  <c r="CH553" i="12" s="1"/>
  <c r="AX553" i="12"/>
  <c r="AX1620" i="12"/>
  <c r="AY1620" i="12"/>
  <c r="AZ1620" i="12"/>
  <c r="BA1620" i="12"/>
  <c r="BB1620" i="12"/>
  <c r="BC1620" i="12"/>
  <c r="BD1620" i="12"/>
  <c r="BF1620" i="12"/>
  <c r="BG1620" i="12"/>
  <c r="BH1620" i="12"/>
  <c r="BI1620" i="12"/>
  <c r="BJ1620" i="12"/>
  <c r="BK1620" i="12"/>
  <c r="BL1620" i="12"/>
  <c r="BN1620" i="12"/>
  <c r="BO1620" i="12"/>
  <c r="BP1620" i="12"/>
  <c r="BQ1620" i="12"/>
  <c r="BR1620" i="12"/>
  <c r="BS1620" i="12"/>
  <c r="BT1620" i="12"/>
  <c r="BU1620" i="12"/>
  <c r="BV1620" i="12"/>
  <c r="BW1620" i="12"/>
  <c r="BX1620" i="12"/>
  <c r="BY1620" i="12"/>
  <c r="BZ1620" i="12"/>
  <c r="CA1620" i="12"/>
  <c r="CB1620" i="12"/>
  <c r="CC1620" i="12"/>
  <c r="CD1620" i="12"/>
  <c r="CE1620" i="12"/>
  <c r="CF1620" i="12"/>
  <c r="CG1620" i="12"/>
  <c r="J1728" i="12"/>
  <c r="K1728" i="12"/>
  <c r="L1728" i="12"/>
  <c r="M1728" i="12"/>
  <c r="N1728" i="12"/>
  <c r="O1728" i="12"/>
  <c r="P1728" i="12"/>
  <c r="Q1728" i="12"/>
  <c r="R1728" i="12"/>
  <c r="S1728" i="12"/>
  <c r="T1728" i="12"/>
  <c r="U1728" i="12"/>
  <c r="V1728" i="12"/>
  <c r="W1728" i="12"/>
  <c r="X1728" i="12"/>
  <c r="Y1728" i="12"/>
  <c r="Z1728" i="12"/>
  <c r="AA1728" i="12"/>
  <c r="AB1728" i="12"/>
  <c r="AC1728" i="12"/>
  <c r="AD1728" i="12"/>
  <c r="AE1728" i="12"/>
  <c r="AF1728" i="12"/>
  <c r="AG1728" i="12"/>
  <c r="AH1728" i="12"/>
  <c r="AI1728" i="12"/>
  <c r="AJ1728" i="12"/>
  <c r="AK1728" i="12"/>
  <c r="AL1728" i="12"/>
  <c r="AM1728" i="12"/>
  <c r="AN1728" i="12"/>
  <c r="AO1728" i="12"/>
  <c r="AP1728" i="12"/>
  <c r="AQ1728" i="12"/>
  <c r="AR1728" i="12"/>
  <c r="AS1728" i="12"/>
  <c r="AT1728" i="12"/>
  <c r="AV1728" i="12"/>
  <c r="AY1728" i="12"/>
  <c r="AZ1728" i="12"/>
  <c r="BA1728" i="12"/>
  <c r="BB1728" i="12"/>
  <c r="BC1728" i="12"/>
  <c r="BD1728" i="12"/>
  <c r="BF1728" i="12"/>
  <c r="BG1728" i="12"/>
  <c r="BH1728" i="12"/>
  <c r="BI1728" i="12"/>
  <c r="BJ1728" i="12"/>
  <c r="BK1728" i="12"/>
  <c r="BL1728" i="12"/>
  <c r="BN1728" i="12"/>
  <c r="BO1728" i="12"/>
  <c r="BP1728" i="12"/>
  <c r="BQ1728" i="12"/>
  <c r="BR1728" i="12"/>
  <c r="BS1728" i="12"/>
  <c r="BT1728" i="12"/>
  <c r="BU1728" i="12"/>
  <c r="BV1728" i="12"/>
  <c r="BW1728" i="12"/>
  <c r="BX1728" i="12"/>
  <c r="BY1728" i="12"/>
  <c r="BZ1728" i="12"/>
  <c r="CA1728" i="12"/>
  <c r="CB1728" i="12"/>
  <c r="CC1728" i="12"/>
  <c r="CD1728" i="12"/>
  <c r="CE1728" i="12"/>
  <c r="CF1728" i="12"/>
  <c r="CG1728" i="12"/>
  <c r="CL1728" i="12"/>
  <c r="CM1728" i="12"/>
  <c r="CN1728" i="12"/>
  <c r="I1728" i="12"/>
  <c r="BM1727" i="12"/>
  <c r="AW1727" i="12"/>
  <c r="BM1726" i="12"/>
  <c r="AW1726" i="12"/>
  <c r="G1716" i="12"/>
  <c r="G1712" i="12"/>
  <c r="AW1711" i="12"/>
  <c r="AX1711" i="12" s="1"/>
  <c r="CH1711" i="12" s="1"/>
  <c r="AU1676" i="12"/>
  <c r="AU1677" i="12"/>
  <c r="AU1678" i="12"/>
  <c r="AU1679" i="12"/>
  <c r="AU1680" i="12"/>
  <c r="AU1681" i="12"/>
  <c r="AU1682" i="12"/>
  <c r="AU1683" i="12"/>
  <c r="AU1684" i="12"/>
  <c r="AU1685" i="12"/>
  <c r="AU1686" i="12"/>
  <c r="AU1687" i="12"/>
  <c r="AU1688" i="12"/>
  <c r="AU1689" i="12"/>
  <c r="AU1690" i="12"/>
  <c r="AU1691" i="12"/>
  <c r="AU1692" i="12"/>
  <c r="AU1693" i="12"/>
  <c r="AU1694" i="12"/>
  <c r="AU1695" i="12"/>
  <c r="AU1696" i="12"/>
  <c r="AU1697" i="12"/>
  <c r="AU1698" i="12"/>
  <c r="AU1699" i="12"/>
  <c r="AU1700" i="12"/>
  <c r="AU1701" i="12"/>
  <c r="AU1702" i="12"/>
  <c r="AU1703" i="12"/>
  <c r="AU1704" i="12"/>
  <c r="AU1705" i="12"/>
  <c r="AU1706" i="12"/>
  <c r="AU1707" i="12"/>
  <c r="AU1708" i="12"/>
  <c r="AU1709" i="12"/>
  <c r="AU1710" i="12"/>
  <c r="AU1711" i="12"/>
  <c r="AU1712" i="12"/>
  <c r="AU1713" i="12"/>
  <c r="AU1714" i="12"/>
  <c r="AU1715" i="12"/>
  <c r="AU1716" i="12"/>
  <c r="AU1717" i="12"/>
  <c r="AU1718" i="12"/>
  <c r="AU1719" i="12"/>
  <c r="AU1720" i="12"/>
  <c r="AU1721" i="12"/>
  <c r="AU1722" i="12"/>
  <c r="AU1723" i="12"/>
  <c r="AU1724" i="12"/>
  <c r="AU1725" i="12"/>
  <c r="AU1726" i="12"/>
  <c r="AU1727" i="12"/>
  <c r="AU1670" i="12"/>
  <c r="AU1671" i="12"/>
  <c r="AU1672" i="12"/>
  <c r="AU1673" i="12"/>
  <c r="AU1674" i="12"/>
  <c r="AU1675" i="12"/>
  <c r="CJ1666" i="12"/>
  <c r="CK1666" i="12"/>
  <c r="CJ1667" i="12"/>
  <c r="CK1667" i="12"/>
  <c r="CJ1668" i="12"/>
  <c r="CK1668" i="12"/>
  <c r="CJ1669" i="12"/>
  <c r="CK1669" i="12"/>
  <c r="CJ1670" i="12"/>
  <c r="CK1670" i="12"/>
  <c r="CJ1671" i="12"/>
  <c r="CK1671" i="12"/>
  <c r="CJ1672" i="12"/>
  <c r="CK1672" i="12"/>
  <c r="CJ1673" i="12"/>
  <c r="CK1673" i="12"/>
  <c r="CJ1674" i="12"/>
  <c r="CK1674" i="12"/>
  <c r="CJ1675" i="12"/>
  <c r="CK1675" i="12"/>
  <c r="CJ1676" i="12"/>
  <c r="CK1676" i="12"/>
  <c r="CJ1677" i="12"/>
  <c r="CK1677" i="12"/>
  <c r="CJ1678" i="12"/>
  <c r="CK1678" i="12"/>
  <c r="CJ1679" i="12"/>
  <c r="CK1679" i="12"/>
  <c r="CJ1680" i="12"/>
  <c r="CK1680" i="12"/>
  <c r="CJ1681" i="12"/>
  <c r="CK1681" i="12"/>
  <c r="CJ1682" i="12"/>
  <c r="CK1682" i="12"/>
  <c r="CJ1683" i="12"/>
  <c r="CK1683" i="12"/>
  <c r="CJ1684" i="12"/>
  <c r="CK1684" i="12"/>
  <c r="CJ1685" i="12"/>
  <c r="CK1685" i="12"/>
  <c r="CJ1686" i="12"/>
  <c r="CK1686" i="12"/>
  <c r="CJ1687" i="12"/>
  <c r="CK1687" i="12"/>
  <c r="CJ1688" i="12"/>
  <c r="CK1688" i="12"/>
  <c r="CJ1689" i="12"/>
  <c r="CK1689" i="12"/>
  <c r="CJ1690" i="12"/>
  <c r="CK1690" i="12"/>
  <c r="CJ1691" i="12"/>
  <c r="CK1691" i="12"/>
  <c r="CJ1692" i="12"/>
  <c r="CK1692" i="12"/>
  <c r="CJ1693" i="12"/>
  <c r="CK1693" i="12"/>
  <c r="CJ1694" i="12"/>
  <c r="CK1694" i="12"/>
  <c r="CJ1695" i="12"/>
  <c r="CK1695" i="12"/>
  <c r="CJ1696" i="12"/>
  <c r="CK1696" i="12"/>
  <c r="CJ1697" i="12"/>
  <c r="CK1697" i="12"/>
  <c r="CJ1698" i="12"/>
  <c r="CK1698" i="12"/>
  <c r="CJ1699" i="12"/>
  <c r="CK1699" i="12"/>
  <c r="CJ1700" i="12"/>
  <c r="CK1700" i="12"/>
  <c r="CJ1701" i="12"/>
  <c r="CK1701" i="12"/>
  <c r="CJ1702" i="12"/>
  <c r="CK1702" i="12"/>
  <c r="CJ1703" i="12"/>
  <c r="CK1703" i="12"/>
  <c r="CJ1704" i="12"/>
  <c r="CK1704" i="12"/>
  <c r="CJ1705" i="12"/>
  <c r="CK1705" i="12"/>
  <c r="CJ1706" i="12"/>
  <c r="CK1706" i="12"/>
  <c r="CJ1707" i="12"/>
  <c r="CK1707" i="12"/>
  <c r="CJ1708" i="12"/>
  <c r="CK1708" i="12"/>
  <c r="CJ1709" i="12"/>
  <c r="CK1709" i="12"/>
  <c r="CJ1710" i="12"/>
  <c r="CK1710" i="12"/>
  <c r="CJ1711" i="12"/>
  <c r="CK1711" i="12"/>
  <c r="CJ1712" i="12"/>
  <c r="CK1712" i="12"/>
  <c r="CJ1713" i="12"/>
  <c r="CK1713" i="12"/>
  <c r="CJ1714" i="12"/>
  <c r="CK1714" i="12"/>
  <c r="CJ1715" i="12"/>
  <c r="CK1715" i="12"/>
  <c r="CJ1716" i="12"/>
  <c r="CK1716" i="12"/>
  <c r="CJ1717" i="12"/>
  <c r="CK1717" i="12"/>
  <c r="CJ1718" i="12"/>
  <c r="CK1718" i="12"/>
  <c r="CJ1719" i="12"/>
  <c r="CK1719" i="12"/>
  <c r="CJ1720" i="12"/>
  <c r="CK1720" i="12"/>
  <c r="CJ1721" i="12"/>
  <c r="CK1721" i="12"/>
  <c r="CJ1722" i="12"/>
  <c r="CK1722" i="12"/>
  <c r="CJ1723" i="12"/>
  <c r="CK1723" i="12"/>
  <c r="CJ1724" i="12"/>
  <c r="CK1724" i="12"/>
  <c r="CJ1725" i="12"/>
  <c r="CK1725" i="12"/>
  <c r="CJ1726" i="12"/>
  <c r="CK1726" i="12"/>
  <c r="CJ1727" i="12"/>
  <c r="CK1727" i="12"/>
  <c r="CJ1620" i="12"/>
  <c r="CK1620" i="12"/>
  <c r="CJ1621" i="12"/>
  <c r="CK1621" i="12"/>
  <c r="CJ1622" i="12"/>
  <c r="CK1622" i="12"/>
  <c r="CJ1623" i="12"/>
  <c r="CK1623" i="12"/>
  <c r="CJ1624" i="12"/>
  <c r="CK1624" i="12"/>
  <c r="CJ1625" i="12"/>
  <c r="CK1625" i="12"/>
  <c r="CJ1626" i="12"/>
  <c r="CK1626" i="12"/>
  <c r="CJ1627" i="12"/>
  <c r="CK1627" i="12"/>
  <c r="CJ1628" i="12"/>
  <c r="CK1628" i="12"/>
  <c r="CJ1629" i="12"/>
  <c r="CK1629" i="12"/>
  <c r="CJ1630" i="12"/>
  <c r="CK1630" i="12"/>
  <c r="CJ1631" i="12"/>
  <c r="CK1631" i="12"/>
  <c r="CJ1632" i="12"/>
  <c r="CK1632" i="12"/>
  <c r="CJ1633" i="12"/>
  <c r="CK1633" i="12"/>
  <c r="CJ1634" i="12"/>
  <c r="CK1634" i="12"/>
  <c r="CJ1635" i="12"/>
  <c r="CK1635" i="12"/>
  <c r="CJ1636" i="12"/>
  <c r="CK1636" i="12"/>
  <c r="CJ1637" i="12"/>
  <c r="CK1637" i="12"/>
  <c r="CJ1638" i="12"/>
  <c r="CK1638" i="12"/>
  <c r="CJ1639" i="12"/>
  <c r="CK1639" i="12"/>
  <c r="CJ1640" i="12"/>
  <c r="CK1640" i="12"/>
  <c r="CJ1641" i="12"/>
  <c r="CK1641" i="12"/>
  <c r="CJ1642" i="12"/>
  <c r="CK1642" i="12"/>
  <c r="CJ1643" i="12"/>
  <c r="CK1643" i="12"/>
  <c r="CJ1644" i="12"/>
  <c r="CK1644" i="12"/>
  <c r="CJ1645" i="12"/>
  <c r="CK1645" i="12"/>
  <c r="CJ1646" i="12"/>
  <c r="CK1646" i="12"/>
  <c r="CJ1647" i="12"/>
  <c r="CK1647" i="12"/>
  <c r="CJ1648" i="12"/>
  <c r="CK1648" i="12"/>
  <c r="CJ1649" i="12"/>
  <c r="CK1649" i="12"/>
  <c r="CJ1650" i="12"/>
  <c r="CK1650" i="12"/>
  <c r="CJ1651" i="12"/>
  <c r="CK1651" i="12"/>
  <c r="CJ1652" i="12"/>
  <c r="CK1652" i="12"/>
  <c r="CJ1653" i="12"/>
  <c r="CK1653" i="12"/>
  <c r="CJ1654" i="12"/>
  <c r="CK1654" i="12"/>
  <c r="CJ1655" i="12"/>
  <c r="CK1655" i="12"/>
  <c r="CJ1656" i="12"/>
  <c r="CK1656" i="12"/>
  <c r="CJ1657" i="12"/>
  <c r="CK1657" i="12"/>
  <c r="CJ1658" i="12"/>
  <c r="CK1658" i="12"/>
  <c r="CJ1659" i="12"/>
  <c r="CK1659" i="12"/>
  <c r="CJ1660" i="12"/>
  <c r="CK1660" i="12"/>
  <c r="CJ1661" i="12"/>
  <c r="CK1661" i="12"/>
  <c r="CJ1662" i="12"/>
  <c r="CK1662" i="12"/>
  <c r="CJ1663" i="12"/>
  <c r="CK1663" i="12"/>
  <c r="CJ1664" i="12"/>
  <c r="CK1664" i="12"/>
  <c r="CJ1665" i="12"/>
  <c r="CK1665" i="12"/>
  <c r="AU1621" i="12"/>
  <c r="AU1622" i="12"/>
  <c r="AU1623" i="12"/>
  <c r="AU1624" i="12"/>
  <c r="AU1625" i="12"/>
  <c r="AU1626" i="12"/>
  <c r="AU1627" i="12"/>
  <c r="AU1628" i="12"/>
  <c r="AU1629" i="12"/>
  <c r="AU1630" i="12"/>
  <c r="AU1631" i="12"/>
  <c r="AU1632" i="12"/>
  <c r="AU1633" i="12"/>
  <c r="AU1634" i="12"/>
  <c r="AU1635" i="12"/>
  <c r="AU1636" i="12"/>
  <c r="AU1637" i="12"/>
  <c r="AU1638" i="12"/>
  <c r="AU1639" i="12"/>
  <c r="AU1640" i="12"/>
  <c r="AU1641" i="12"/>
  <c r="AU1642" i="12"/>
  <c r="AU1643" i="12"/>
  <c r="AU1644" i="12"/>
  <c r="AU1645" i="12"/>
  <c r="AU1646" i="12"/>
  <c r="AU1647" i="12"/>
  <c r="AU1648" i="12"/>
  <c r="AU1649" i="12"/>
  <c r="AU1650" i="12"/>
  <c r="AU1651" i="12"/>
  <c r="AU1652" i="12"/>
  <c r="AU1653" i="12"/>
  <c r="AU1654" i="12"/>
  <c r="AU1655" i="12"/>
  <c r="AU1656" i="12"/>
  <c r="AU1657" i="12"/>
  <c r="AU1658" i="12"/>
  <c r="AU1659" i="12"/>
  <c r="AU1660" i="12"/>
  <c r="AU1661" i="12"/>
  <c r="AU1662" i="12"/>
  <c r="AU1663" i="12"/>
  <c r="AU1664" i="12"/>
  <c r="AU1665" i="12"/>
  <c r="AU1666" i="12"/>
  <c r="AU1667" i="12"/>
  <c r="AU1668" i="12"/>
  <c r="AU1669" i="12"/>
  <c r="CH1621" i="12"/>
  <c r="CH1622" i="12"/>
  <c r="CH1623" i="12"/>
  <c r="CH1624" i="12"/>
  <c r="CH1625" i="12"/>
  <c r="CH1626" i="12"/>
  <c r="CH1627" i="12"/>
  <c r="CH1628" i="12"/>
  <c r="CH1629" i="12"/>
  <c r="CH1630" i="12"/>
  <c r="CH1631" i="12"/>
  <c r="CH1632" i="12"/>
  <c r="CH1633" i="12"/>
  <c r="CH1634" i="12"/>
  <c r="CH1635" i="12"/>
  <c r="CH1636" i="12"/>
  <c r="CH1637" i="12"/>
  <c r="CH1638" i="12"/>
  <c r="CH1639" i="12"/>
  <c r="CH1640" i="12"/>
  <c r="CH1641" i="12"/>
  <c r="CH1642" i="12"/>
  <c r="CH1643" i="12"/>
  <c r="CH1644" i="12"/>
  <c r="CH1645" i="12"/>
  <c r="CH1646" i="12"/>
  <c r="CH1647" i="12"/>
  <c r="CH1648" i="12"/>
  <c r="CH1649" i="12"/>
  <c r="CH1650" i="12"/>
  <c r="CH1651" i="12"/>
  <c r="CH1652" i="12"/>
  <c r="CH1653" i="12"/>
  <c r="CH1654" i="12"/>
  <c r="CH1655" i="12"/>
  <c r="CH1656" i="12"/>
  <c r="CH1657" i="12"/>
  <c r="CH1658" i="12"/>
  <c r="CH1659" i="12"/>
  <c r="CH1660" i="12"/>
  <c r="CH1661" i="12"/>
  <c r="CH1662" i="12"/>
  <c r="CH1663" i="12"/>
  <c r="CH1664" i="12"/>
  <c r="CH1665" i="12"/>
  <c r="CH1666" i="12"/>
  <c r="CH1667" i="12"/>
  <c r="CH1668" i="12"/>
  <c r="CH1669" i="12"/>
  <c r="CH1670" i="12"/>
  <c r="CH1671" i="12"/>
  <c r="CH1672" i="12"/>
  <c r="CI1672" i="12" s="1"/>
  <c r="CH1673" i="12"/>
  <c r="CH1674" i="12"/>
  <c r="CH1675" i="12"/>
  <c r="CH1676" i="12"/>
  <c r="CH1677" i="12"/>
  <c r="CH1678" i="12"/>
  <c r="CH1679" i="12"/>
  <c r="CH1680" i="12"/>
  <c r="CH1681" i="12"/>
  <c r="CH1682" i="12"/>
  <c r="CH1683" i="12"/>
  <c r="CH1684" i="12"/>
  <c r="CH1685" i="12"/>
  <c r="CH1686" i="12"/>
  <c r="CH1687" i="12"/>
  <c r="CH1688" i="12"/>
  <c r="CH1689" i="12"/>
  <c r="CH1690" i="12"/>
  <c r="CH1691" i="12"/>
  <c r="CH1692" i="12"/>
  <c r="CH1693" i="12"/>
  <c r="CH1694" i="12"/>
  <c r="CH1695" i="12"/>
  <c r="CH1696" i="12"/>
  <c r="CH1697" i="12"/>
  <c r="CH1698" i="12"/>
  <c r="CH1699" i="12"/>
  <c r="CH1700" i="12"/>
  <c r="CH1701" i="12"/>
  <c r="CH1702" i="12"/>
  <c r="CH1703" i="12"/>
  <c r="CH1704" i="12"/>
  <c r="CH1705" i="12"/>
  <c r="CH1706" i="12"/>
  <c r="CH1707" i="12"/>
  <c r="CH1708" i="12"/>
  <c r="CH1709" i="12"/>
  <c r="CH1710" i="12"/>
  <c r="CH1712" i="12"/>
  <c r="CH1713" i="12"/>
  <c r="CH1714" i="12"/>
  <c r="CH1715" i="12"/>
  <c r="CH1716" i="12"/>
  <c r="CH1717" i="12"/>
  <c r="CH1718" i="12"/>
  <c r="CH1719" i="12"/>
  <c r="CH1720" i="12"/>
  <c r="CH1721" i="12"/>
  <c r="CH1722" i="12"/>
  <c r="CH1723" i="12"/>
  <c r="CH1724" i="12"/>
  <c r="CH1725" i="12"/>
  <c r="CH1730" i="12"/>
  <c r="CJ1730" i="12"/>
  <c r="CK1730" i="12"/>
  <c r="CH1731" i="12"/>
  <c r="CJ1731" i="12"/>
  <c r="CK1731" i="12"/>
  <c r="CH1732" i="12"/>
  <c r="CJ1732" i="12"/>
  <c r="CK1732" i="12"/>
  <c r="CH1733" i="12"/>
  <c r="CJ1733" i="12"/>
  <c r="CK1733" i="12"/>
  <c r="CH1734" i="12"/>
  <c r="CJ1734" i="12"/>
  <c r="CK1734" i="12"/>
  <c r="CH1735" i="12"/>
  <c r="CJ1735" i="12"/>
  <c r="CK1735" i="12"/>
  <c r="CH1736" i="12"/>
  <c r="CJ1736" i="12"/>
  <c r="CK1736" i="12"/>
  <c r="CH1737" i="12"/>
  <c r="CJ1737" i="12"/>
  <c r="CK1737" i="12"/>
  <c r="CH1738" i="12"/>
  <c r="CJ1738" i="12"/>
  <c r="CK1738" i="12"/>
  <c r="CH1739" i="12"/>
  <c r="CJ1739" i="12"/>
  <c r="CK1739" i="12"/>
  <c r="CH1740" i="12"/>
  <c r="CJ1740" i="12"/>
  <c r="CK1740" i="12"/>
  <c r="CH1741" i="12"/>
  <c r="CJ1741" i="12"/>
  <c r="CK1741" i="12"/>
  <c r="CH1742" i="12"/>
  <c r="CJ1742" i="12"/>
  <c r="CK1742" i="12"/>
  <c r="CH1743" i="12"/>
  <c r="CJ1743" i="12"/>
  <c r="CK1743" i="12"/>
  <c r="CH1744" i="12"/>
  <c r="CJ1744" i="12"/>
  <c r="CK1744" i="12"/>
  <c r="CH1745" i="12"/>
  <c r="CJ1745" i="12"/>
  <c r="CK1745" i="12"/>
  <c r="CH1746" i="12"/>
  <c r="CJ1746" i="12"/>
  <c r="CK1746" i="12"/>
  <c r="CH1747" i="12"/>
  <c r="CJ1747" i="12"/>
  <c r="CK1747" i="12"/>
  <c r="CH1748" i="12"/>
  <c r="CJ1748" i="12"/>
  <c r="CK1748" i="12"/>
  <c r="CJ1749" i="12"/>
  <c r="CK1749" i="12"/>
  <c r="CH1750" i="12"/>
  <c r="CJ1750" i="12"/>
  <c r="CK1750" i="12"/>
  <c r="CH1751" i="12"/>
  <c r="CJ1751" i="12"/>
  <c r="CK1751" i="12"/>
  <c r="CH1752" i="12"/>
  <c r="CJ1752" i="12"/>
  <c r="CK1752" i="12"/>
  <c r="CH1753" i="12"/>
  <c r="CJ1753" i="12"/>
  <c r="CK1753" i="12"/>
  <c r="CH1754" i="12"/>
  <c r="CJ1754" i="12"/>
  <c r="CK1754" i="12"/>
  <c r="CH1755" i="12"/>
  <c r="CJ1755" i="12"/>
  <c r="CK1755" i="12"/>
  <c r="CJ1756" i="12"/>
  <c r="CK1756" i="12"/>
  <c r="CH1757" i="12"/>
  <c r="CJ1757" i="12"/>
  <c r="CK1757" i="12"/>
  <c r="CH1758" i="12"/>
  <c r="CJ1758" i="12"/>
  <c r="CK1758" i="12"/>
  <c r="CH1759" i="12"/>
  <c r="CJ1759" i="12"/>
  <c r="CK1759" i="12"/>
  <c r="CH1760" i="12"/>
  <c r="CJ1760" i="12"/>
  <c r="CK1760" i="12"/>
  <c r="CH1761" i="12"/>
  <c r="CJ1761" i="12"/>
  <c r="CK1761" i="12"/>
  <c r="CH1762" i="12"/>
  <c r="CJ1762" i="12"/>
  <c r="CK1762" i="12"/>
  <c r="CH1763" i="12"/>
  <c r="CJ1763" i="12"/>
  <c r="CK1763" i="12"/>
  <c r="CH1764" i="12"/>
  <c r="CJ1764" i="12"/>
  <c r="CK1764" i="12"/>
  <c r="CH1765" i="12"/>
  <c r="CJ1765" i="12"/>
  <c r="CK1765" i="12"/>
  <c r="CH1766" i="12"/>
  <c r="CJ1766" i="12"/>
  <c r="CK1766" i="12"/>
  <c r="AU1730" i="12"/>
  <c r="AU1731" i="12"/>
  <c r="AU1732" i="12"/>
  <c r="AU1733" i="12"/>
  <c r="AU1734" i="12"/>
  <c r="AU1735" i="12"/>
  <c r="AU1736" i="12"/>
  <c r="AU1737" i="12"/>
  <c r="AU1738" i="12"/>
  <c r="AU1739" i="12"/>
  <c r="AU1740" i="12"/>
  <c r="AU1741" i="12"/>
  <c r="AU1742" i="12"/>
  <c r="AU1743" i="12"/>
  <c r="AU1744" i="12"/>
  <c r="AU1745" i="12"/>
  <c r="AU1746" i="12"/>
  <c r="AU1747" i="12"/>
  <c r="AU1748" i="12"/>
  <c r="AU1750" i="12"/>
  <c r="AU1751" i="12"/>
  <c r="AU1752" i="12"/>
  <c r="AU1753" i="12"/>
  <c r="AU1754" i="12"/>
  <c r="AU1755" i="12"/>
  <c r="AU1757" i="12"/>
  <c r="AU1758" i="12"/>
  <c r="AU1759" i="12"/>
  <c r="AU1760" i="12"/>
  <c r="AU1761" i="12"/>
  <c r="AU1762" i="12"/>
  <c r="AU1763" i="12"/>
  <c r="AU1764" i="12"/>
  <c r="AU1765" i="12"/>
  <c r="AU1766" i="12"/>
  <c r="AU1767" i="12"/>
  <c r="AU1768" i="12"/>
  <c r="AU1769" i="12"/>
  <c r="AU1770" i="12"/>
  <c r="AU1771" i="12"/>
  <c r="AU1772" i="12"/>
  <c r="V1591" i="12"/>
  <c r="W1591" i="12"/>
  <c r="X1591" i="12"/>
  <c r="Y1591" i="12"/>
  <c r="Z1591" i="12"/>
  <c r="AA1591" i="12"/>
  <c r="AB1591" i="12"/>
  <c r="AC1591" i="12"/>
  <c r="AD1591" i="12"/>
  <c r="AE1591" i="12"/>
  <c r="AF1591" i="12"/>
  <c r="AG1591" i="12"/>
  <c r="AH1591" i="12"/>
  <c r="AI1591" i="12"/>
  <c r="AJ1591" i="12"/>
  <c r="AK1591" i="12"/>
  <c r="AL1591" i="12"/>
  <c r="AM1591" i="12"/>
  <c r="AN1591" i="12"/>
  <c r="AO1591" i="12"/>
  <c r="AP1591" i="12"/>
  <c r="AQ1591" i="12"/>
  <c r="AR1591" i="12"/>
  <c r="AS1591" i="12"/>
  <c r="AT1591" i="12"/>
  <c r="AV1591" i="12"/>
  <c r="AW1591" i="12"/>
  <c r="AX1591" i="12"/>
  <c r="AY1591" i="12"/>
  <c r="AZ1591" i="12"/>
  <c r="BA1591" i="12"/>
  <c r="BB1591" i="12"/>
  <c r="BC1591" i="12"/>
  <c r="BD1591" i="12"/>
  <c r="BF1591" i="12"/>
  <c r="BG1591" i="12"/>
  <c r="BH1591" i="12"/>
  <c r="BI1591" i="12"/>
  <c r="BJ1591" i="12"/>
  <c r="BK1591" i="12"/>
  <c r="BL1591" i="12"/>
  <c r="BM1591" i="12"/>
  <c r="BN1591" i="12"/>
  <c r="BO1591" i="12"/>
  <c r="BP1591" i="12"/>
  <c r="BQ1591" i="12"/>
  <c r="BR1591" i="12"/>
  <c r="BS1591" i="12"/>
  <c r="BT1591" i="12"/>
  <c r="BU1591" i="12"/>
  <c r="BV1591" i="12"/>
  <c r="BW1591" i="12"/>
  <c r="BX1591" i="12"/>
  <c r="BY1591" i="12"/>
  <c r="BZ1591" i="12"/>
  <c r="CA1591" i="12"/>
  <c r="CB1591" i="12"/>
  <c r="CC1591" i="12"/>
  <c r="CD1591" i="12"/>
  <c r="CE1591" i="12"/>
  <c r="CF1591" i="12"/>
  <c r="CG1591" i="12"/>
  <c r="U1591" i="12"/>
  <c r="BI964" i="12"/>
  <c r="BJ964" i="12"/>
  <c r="BK964" i="12"/>
  <c r="BL964" i="12"/>
  <c r="BM964" i="12"/>
  <c r="BN964" i="12"/>
  <c r="BO964" i="12"/>
  <c r="BP964" i="12"/>
  <c r="BQ964" i="12"/>
  <c r="BR964" i="12"/>
  <c r="BS964" i="12"/>
  <c r="BT964" i="12"/>
  <c r="BU964" i="12"/>
  <c r="BV964" i="12"/>
  <c r="BW964" i="12"/>
  <c r="BX964" i="12"/>
  <c r="BY964" i="12"/>
  <c r="BZ964" i="12"/>
  <c r="CA964" i="12"/>
  <c r="CB964" i="12"/>
  <c r="CC964" i="12"/>
  <c r="CD964" i="12"/>
  <c r="CE964" i="12"/>
  <c r="CF964" i="12"/>
  <c r="CG964" i="12"/>
  <c r="S1756" i="12"/>
  <c r="T1756" i="12"/>
  <c r="U1756" i="12"/>
  <c r="V1756" i="12"/>
  <c r="W1756" i="12"/>
  <c r="X1756" i="12"/>
  <c r="Y1756" i="12"/>
  <c r="Z1756" i="12"/>
  <c r="AA1756" i="12"/>
  <c r="AB1756" i="12"/>
  <c r="AC1756" i="12"/>
  <c r="AD1756" i="12"/>
  <c r="AE1756" i="12"/>
  <c r="AG1756" i="12"/>
  <c r="AH1756" i="12"/>
  <c r="AI1756" i="12"/>
  <c r="AJ1756" i="12"/>
  <c r="AK1756" i="12"/>
  <c r="AL1756" i="12"/>
  <c r="AM1756" i="12"/>
  <c r="AN1756" i="12"/>
  <c r="AO1756" i="12"/>
  <c r="AP1756" i="12"/>
  <c r="AQ1756" i="12"/>
  <c r="AR1756" i="12"/>
  <c r="AS1756" i="12"/>
  <c r="AT1756" i="12"/>
  <c r="AV1756" i="12"/>
  <c r="AW1756" i="12"/>
  <c r="AX1756" i="12"/>
  <c r="AY1756" i="12"/>
  <c r="AZ1756" i="12"/>
  <c r="BA1756" i="12"/>
  <c r="BB1756" i="12"/>
  <c r="BC1756" i="12"/>
  <c r="BD1756" i="12"/>
  <c r="BF1756" i="12"/>
  <c r="BG1756" i="12"/>
  <c r="BH1756" i="12"/>
  <c r="BJ1756" i="12"/>
  <c r="BK1756" i="12"/>
  <c r="BL1756" i="12"/>
  <c r="BM1756" i="12"/>
  <c r="BN1756" i="12"/>
  <c r="BO1756" i="12"/>
  <c r="BP1756" i="12"/>
  <c r="BQ1756" i="12"/>
  <c r="BR1756" i="12"/>
  <c r="BS1756" i="12"/>
  <c r="BT1756" i="12"/>
  <c r="BU1756" i="12"/>
  <c r="BV1756" i="12"/>
  <c r="BW1756" i="12"/>
  <c r="BX1756" i="12"/>
  <c r="BY1756" i="12"/>
  <c r="BZ1756" i="12"/>
  <c r="CA1756" i="12"/>
  <c r="CB1756" i="12"/>
  <c r="CC1756" i="12"/>
  <c r="CD1756" i="12"/>
  <c r="CE1756" i="12"/>
  <c r="CF1756" i="12"/>
  <c r="CG1756" i="12"/>
  <c r="CL1756" i="12"/>
  <c r="R1756" i="12"/>
  <c r="AU1773" i="12"/>
  <c r="AU1774" i="12"/>
  <c r="AU1775" i="12"/>
  <c r="AU1776" i="12"/>
  <c r="AU1777" i="12"/>
  <c r="AU1778" i="12"/>
  <c r="AU1779" i="12"/>
  <c r="AU1780" i="12"/>
  <c r="AU1781" i="12"/>
  <c r="AU1782" i="12"/>
  <c r="AU1783" i="12"/>
  <c r="AU1784" i="12"/>
  <c r="AU1785" i="12"/>
  <c r="AU1786" i="12"/>
  <c r="AU1787" i="12"/>
  <c r="AU1788" i="12"/>
  <c r="CI1788" i="12" s="1"/>
  <c r="AU1795" i="12"/>
  <c r="AU1796" i="12"/>
  <c r="AU1797" i="12"/>
  <c r="AU1798" i="12"/>
  <c r="AU1800" i="12"/>
  <c r="AU1801" i="12" s="1"/>
  <c r="AU1802" i="12"/>
  <c r="AU1803" i="12"/>
  <c r="AU1804" i="12"/>
  <c r="AU1805" i="12"/>
  <c r="AU1806" i="12"/>
  <c r="AU1807" i="12"/>
  <c r="AU1808" i="12"/>
  <c r="AU1809" i="12"/>
  <c r="AU1810" i="12"/>
  <c r="AU1811" i="12"/>
  <c r="AU1812" i="12"/>
  <c r="AU1813" i="12"/>
  <c r="AU1814" i="12"/>
  <c r="AU1815" i="12"/>
  <c r="AU1816" i="12"/>
  <c r="AU1817" i="12"/>
  <c r="AU1818" i="12"/>
  <c r="AU1819" i="12"/>
  <c r="AU1820" i="12"/>
  <c r="AU1821" i="12"/>
  <c r="AU1822" i="12"/>
  <c r="AU1823" i="12"/>
  <c r="AU1824" i="12"/>
  <c r="AU1825" i="12"/>
  <c r="AU1826" i="12"/>
  <c r="AU1827" i="12"/>
  <c r="AU1828" i="12"/>
  <c r="CH1767" i="12"/>
  <c r="CJ1767" i="12"/>
  <c r="CK1767" i="12"/>
  <c r="CH1768" i="12"/>
  <c r="CJ1768" i="12"/>
  <c r="CK1768" i="12"/>
  <c r="CH1769" i="12"/>
  <c r="CJ1769" i="12"/>
  <c r="CK1769" i="12"/>
  <c r="CH1770" i="12"/>
  <c r="CJ1770" i="12"/>
  <c r="CK1770" i="12"/>
  <c r="CH1771" i="12"/>
  <c r="CJ1771" i="12"/>
  <c r="CK1771" i="12"/>
  <c r="CH1772" i="12"/>
  <c r="CJ1772" i="12"/>
  <c r="CK1772" i="12"/>
  <c r="CH1773" i="12"/>
  <c r="CJ1773" i="12"/>
  <c r="CK1773" i="12"/>
  <c r="CH1774" i="12"/>
  <c r="CJ1774" i="12"/>
  <c r="CK1774" i="12"/>
  <c r="CH1775" i="12"/>
  <c r="CJ1775" i="12"/>
  <c r="CK1775" i="12"/>
  <c r="CH1776" i="12"/>
  <c r="CJ1776" i="12"/>
  <c r="CK1776" i="12"/>
  <c r="CH1777" i="12"/>
  <c r="CJ1777" i="12"/>
  <c r="CK1777" i="12"/>
  <c r="CH1778" i="12"/>
  <c r="CJ1778" i="12"/>
  <c r="CK1778" i="12"/>
  <c r="CH1779" i="12"/>
  <c r="CJ1779" i="12"/>
  <c r="CK1779" i="12"/>
  <c r="CH1780" i="12"/>
  <c r="CJ1780" i="12"/>
  <c r="CK1780" i="12"/>
  <c r="CH1781" i="12"/>
  <c r="CJ1781" i="12"/>
  <c r="CK1781" i="12"/>
  <c r="CH1782" i="12"/>
  <c r="CJ1782" i="12"/>
  <c r="CK1782" i="12"/>
  <c r="CH1783" i="12"/>
  <c r="CJ1783" i="12"/>
  <c r="CK1783" i="12"/>
  <c r="CH1784" i="12"/>
  <c r="CJ1784" i="12"/>
  <c r="CK1784" i="12"/>
  <c r="CH1785" i="12"/>
  <c r="CJ1785" i="12"/>
  <c r="CK1785" i="12"/>
  <c r="CH1786" i="12"/>
  <c r="CJ1786" i="12"/>
  <c r="CK1786" i="12"/>
  <c r="CH1787" i="12"/>
  <c r="CJ1787" i="12"/>
  <c r="CK1787" i="12"/>
  <c r="CH1795" i="12"/>
  <c r="CH1799" i="12" s="1"/>
  <c r="CJ1795" i="12"/>
  <c r="CK1795" i="12"/>
  <c r="CH1796" i="12"/>
  <c r="CJ1796" i="12"/>
  <c r="CK1796" i="12"/>
  <c r="CH1797" i="12"/>
  <c r="CJ1797" i="12"/>
  <c r="CK1797" i="12"/>
  <c r="CH1798" i="12"/>
  <c r="CJ1798" i="12"/>
  <c r="CK1798" i="12"/>
  <c r="CH1800" i="12"/>
  <c r="CH1801" i="12" s="1"/>
  <c r="CJ1800" i="12"/>
  <c r="CK1800" i="12"/>
  <c r="CK1801" i="12" s="1"/>
  <c r="CH1802" i="12"/>
  <c r="CJ1802" i="12"/>
  <c r="CK1802" i="12"/>
  <c r="CH1803" i="12"/>
  <c r="CJ1803" i="12"/>
  <c r="CK1803" i="12"/>
  <c r="CH1804" i="12"/>
  <c r="CJ1804" i="12"/>
  <c r="CK1804" i="12"/>
  <c r="CH1805" i="12"/>
  <c r="CJ1805" i="12"/>
  <c r="CK1805" i="12"/>
  <c r="CH1806" i="12"/>
  <c r="CJ1806" i="12"/>
  <c r="CK1806" i="12"/>
  <c r="CH1807" i="12"/>
  <c r="CJ1807" i="12"/>
  <c r="CK1807" i="12"/>
  <c r="CH1808" i="12"/>
  <c r="CJ1808" i="12"/>
  <c r="CK1808" i="12"/>
  <c r="CH1809" i="12"/>
  <c r="CJ1809" i="12"/>
  <c r="CK1809" i="12"/>
  <c r="CH1810" i="12"/>
  <c r="CJ1810" i="12"/>
  <c r="CK1810" i="12"/>
  <c r="CH1811" i="12"/>
  <c r="CJ1811" i="12"/>
  <c r="CK1811" i="12"/>
  <c r="CH1812" i="12"/>
  <c r="CJ1812" i="12"/>
  <c r="CK1812" i="12"/>
  <c r="CH1813" i="12"/>
  <c r="CJ1813" i="12"/>
  <c r="CK1813" i="12"/>
  <c r="CH1814" i="12"/>
  <c r="CJ1814" i="12"/>
  <c r="CK1814" i="12"/>
  <c r="CH1815" i="12"/>
  <c r="CJ1815" i="12"/>
  <c r="CK1815" i="12"/>
  <c r="CH1816" i="12"/>
  <c r="CJ1816" i="12"/>
  <c r="CK1816" i="12"/>
  <c r="CH1817" i="12"/>
  <c r="CJ1817" i="12"/>
  <c r="CK1817" i="12"/>
  <c r="CH1818" i="12"/>
  <c r="CJ1818" i="12"/>
  <c r="CK1818" i="12"/>
  <c r="CH1819" i="12"/>
  <c r="CJ1819" i="12"/>
  <c r="CK1819" i="12"/>
  <c r="CH1820" i="12"/>
  <c r="CJ1820" i="12"/>
  <c r="CK1820" i="12"/>
  <c r="CH1821" i="12"/>
  <c r="CJ1821" i="12"/>
  <c r="CK1821" i="12"/>
  <c r="CH1822" i="12"/>
  <c r="CJ1822" i="12"/>
  <c r="CK1822" i="12"/>
  <c r="CH1823" i="12"/>
  <c r="CJ1823" i="12"/>
  <c r="CK1823" i="12"/>
  <c r="CH1824" i="12"/>
  <c r="CJ1824" i="12"/>
  <c r="CK1824" i="12"/>
  <c r="CH1825" i="12"/>
  <c r="CJ1825" i="12"/>
  <c r="CK1825" i="12"/>
  <c r="CH1826" i="12"/>
  <c r="CJ1826" i="12"/>
  <c r="CK1826" i="12"/>
  <c r="CH1827" i="12"/>
  <c r="CJ1827" i="12"/>
  <c r="CK1827" i="12"/>
  <c r="CH1828" i="12"/>
  <c r="CJ1828" i="12"/>
  <c r="CK1828" i="12"/>
  <c r="CH1829" i="12"/>
  <c r="CI1829" i="12" s="1"/>
  <c r="CJ1829" i="12"/>
  <c r="CK1829" i="12"/>
  <c r="CH1830" i="12"/>
  <c r="CI1830" i="12" s="1"/>
  <c r="CJ1830" i="12"/>
  <c r="CK1830" i="12"/>
  <c r="CH1831" i="12"/>
  <c r="CI1831" i="12" s="1"/>
  <c r="CJ1831" i="12"/>
  <c r="CK1831" i="12"/>
  <c r="CH1832" i="12"/>
  <c r="CI1832" i="12" s="1"/>
  <c r="CJ1832" i="12"/>
  <c r="CK1832" i="12"/>
  <c r="CH1833" i="12"/>
  <c r="CI1833" i="12" s="1"/>
  <c r="CJ1833" i="12"/>
  <c r="CK1833" i="12"/>
  <c r="CH1834" i="12"/>
  <c r="CI1834" i="12" s="1"/>
  <c r="CJ1834" i="12"/>
  <c r="CK1834" i="12"/>
  <c r="CH1835" i="12"/>
  <c r="CI1835" i="12" s="1"/>
  <c r="CJ1835" i="12"/>
  <c r="CK1835" i="12"/>
  <c r="CH1836" i="12"/>
  <c r="CI1836" i="12" s="1"/>
  <c r="CJ1836" i="12"/>
  <c r="CK1836" i="12"/>
  <c r="CH1837" i="12"/>
  <c r="CI1837" i="12" s="1"/>
  <c r="CJ1837" i="12"/>
  <c r="CK1837" i="12"/>
  <c r="CH1838" i="12"/>
  <c r="CI1838" i="12" s="1"/>
  <c r="CJ1838" i="12"/>
  <c r="CK1838" i="12"/>
  <c r="CH1839" i="12"/>
  <c r="CI1839" i="12" s="1"/>
  <c r="CJ1839" i="12"/>
  <c r="CK1839" i="12"/>
  <c r="CH1840" i="12"/>
  <c r="CI1840" i="12" s="1"/>
  <c r="CJ1840" i="12"/>
  <c r="CK1840" i="12"/>
  <c r="S1749" i="12"/>
  <c r="T1749" i="12"/>
  <c r="U1749" i="12"/>
  <c r="V1749" i="12"/>
  <c r="W1749" i="12"/>
  <c r="X1749" i="12"/>
  <c r="Y1749" i="12"/>
  <c r="Z1749" i="12"/>
  <c r="AA1749" i="12"/>
  <c r="AB1749" i="12"/>
  <c r="AC1749" i="12"/>
  <c r="AD1749" i="12"/>
  <c r="AE1749" i="12"/>
  <c r="AG1749" i="12"/>
  <c r="AH1749" i="12"/>
  <c r="AI1749" i="12"/>
  <c r="AJ1749" i="12"/>
  <c r="AK1749" i="12"/>
  <c r="AL1749" i="12"/>
  <c r="AM1749" i="12"/>
  <c r="AN1749" i="12"/>
  <c r="AO1749" i="12"/>
  <c r="AP1749" i="12"/>
  <c r="AQ1749" i="12"/>
  <c r="AR1749" i="12"/>
  <c r="AS1749" i="12"/>
  <c r="AT1749" i="12"/>
  <c r="AV1749" i="12"/>
  <c r="AW1749" i="12"/>
  <c r="AX1749" i="12"/>
  <c r="AY1749" i="12"/>
  <c r="AZ1749" i="12"/>
  <c r="BA1749" i="12"/>
  <c r="BB1749" i="12"/>
  <c r="BC1749" i="12"/>
  <c r="BD1749" i="12"/>
  <c r="BF1749" i="12"/>
  <c r="BG1749" i="12"/>
  <c r="BH1749" i="12"/>
  <c r="BJ1749" i="12"/>
  <c r="BK1749" i="12"/>
  <c r="BL1749" i="12"/>
  <c r="BM1749" i="12"/>
  <c r="BN1749" i="12"/>
  <c r="BO1749" i="12"/>
  <c r="BP1749" i="12"/>
  <c r="BQ1749" i="12"/>
  <c r="BR1749" i="12"/>
  <c r="BS1749" i="12"/>
  <c r="BT1749" i="12"/>
  <c r="BU1749" i="12"/>
  <c r="BV1749" i="12"/>
  <c r="BW1749" i="12"/>
  <c r="BX1749" i="12"/>
  <c r="BY1749" i="12"/>
  <c r="BZ1749" i="12"/>
  <c r="CA1749" i="12"/>
  <c r="CB1749" i="12"/>
  <c r="CC1749" i="12"/>
  <c r="CD1749" i="12"/>
  <c r="CE1749" i="12"/>
  <c r="CF1749" i="12"/>
  <c r="CL1749" i="12"/>
  <c r="CM1749" i="12"/>
  <c r="R1749" i="12"/>
  <c r="J1620" i="12"/>
  <c r="K1620" i="12"/>
  <c r="L1620" i="12"/>
  <c r="M1620" i="12"/>
  <c r="N1620" i="12"/>
  <c r="O1620" i="12"/>
  <c r="P1620" i="12"/>
  <c r="Q1620" i="12"/>
  <c r="R1620" i="12"/>
  <c r="S1620" i="12"/>
  <c r="T1620" i="12"/>
  <c r="U1620" i="12"/>
  <c r="V1620" i="12"/>
  <c r="W1620" i="12"/>
  <c r="X1620" i="12"/>
  <c r="Y1620" i="12"/>
  <c r="Z1620" i="12"/>
  <c r="AA1620" i="12"/>
  <c r="AB1620" i="12"/>
  <c r="AC1620" i="12"/>
  <c r="AD1620" i="12"/>
  <c r="AE1620" i="12"/>
  <c r="AG1620" i="12"/>
  <c r="AH1620" i="12"/>
  <c r="AI1620" i="12"/>
  <c r="AJ1620" i="12"/>
  <c r="AK1620" i="12"/>
  <c r="AL1620" i="12"/>
  <c r="AM1620" i="12"/>
  <c r="AN1620" i="12"/>
  <c r="AO1620" i="12"/>
  <c r="AP1620" i="12"/>
  <c r="AQ1620" i="12"/>
  <c r="AR1620" i="12"/>
  <c r="AS1620" i="12"/>
  <c r="AT1620" i="12"/>
  <c r="AV1620" i="12"/>
  <c r="CL1620" i="12"/>
  <c r="CM1620" i="12"/>
  <c r="CN1620" i="12"/>
  <c r="I1620" i="12"/>
  <c r="BM503" i="12"/>
  <c r="AW503" i="12"/>
  <c r="J964" i="12"/>
  <c r="K964" i="12"/>
  <c r="L964" i="12"/>
  <c r="M964" i="12"/>
  <c r="N964" i="12"/>
  <c r="O964" i="12"/>
  <c r="P964" i="12"/>
  <c r="Q964" i="12"/>
  <c r="R964" i="12"/>
  <c r="S964" i="12"/>
  <c r="T964" i="12"/>
  <c r="U964" i="12"/>
  <c r="V964" i="12"/>
  <c r="W964" i="12"/>
  <c r="X964" i="12"/>
  <c r="Y964" i="12"/>
  <c r="Z964" i="12"/>
  <c r="AA964" i="12"/>
  <c r="AB964" i="12"/>
  <c r="AC964" i="12"/>
  <c r="AD964" i="12"/>
  <c r="AE964" i="12"/>
  <c r="AG964" i="12"/>
  <c r="AH964" i="12"/>
  <c r="AI964" i="12"/>
  <c r="AJ964" i="12"/>
  <c r="AK964" i="12"/>
  <c r="AL964" i="12"/>
  <c r="AM964" i="12"/>
  <c r="AN964" i="12"/>
  <c r="AO964" i="12"/>
  <c r="AP964" i="12"/>
  <c r="AQ964" i="12"/>
  <c r="AR964" i="12"/>
  <c r="AS964" i="12"/>
  <c r="AT964" i="12"/>
  <c r="AV964" i="12"/>
  <c r="BA964" i="12"/>
  <c r="BB964" i="12"/>
  <c r="BC964" i="12"/>
  <c r="BD964" i="12"/>
  <c r="BF964" i="12"/>
  <c r="BG964" i="12"/>
  <c r="BH964" i="12"/>
  <c r="CL964" i="12"/>
  <c r="CM964" i="12"/>
  <c r="CN964" i="12"/>
  <c r="I964" i="12"/>
  <c r="CJ952" i="12"/>
  <c r="CK952" i="12"/>
  <c r="CJ953" i="12"/>
  <c r="CK953" i="12"/>
  <c r="CJ954" i="12"/>
  <c r="CK954" i="12"/>
  <c r="CJ955" i="12"/>
  <c r="CK955" i="12"/>
  <c r="CJ956" i="12"/>
  <c r="CK956" i="12"/>
  <c r="CJ957" i="12"/>
  <c r="CK957" i="12"/>
  <c r="CJ958" i="12"/>
  <c r="CK958" i="12"/>
  <c r="CJ959" i="12"/>
  <c r="CK959" i="12"/>
  <c r="CJ960" i="12"/>
  <c r="CK960" i="12"/>
  <c r="CJ961" i="12"/>
  <c r="CK961" i="12"/>
  <c r="CJ962" i="12"/>
  <c r="CK962" i="12"/>
  <c r="CJ963" i="12"/>
  <c r="CK963" i="12"/>
  <c r="CH965" i="12"/>
  <c r="CJ965" i="12"/>
  <c r="CK965" i="12"/>
  <c r="CH966" i="12"/>
  <c r="CJ966" i="12"/>
  <c r="CK966" i="12"/>
  <c r="CH967" i="12"/>
  <c r="CJ967" i="12"/>
  <c r="CK967" i="12"/>
  <c r="CH968" i="12"/>
  <c r="CJ968" i="12"/>
  <c r="CK968" i="12"/>
  <c r="CH969" i="12"/>
  <c r="CJ969" i="12"/>
  <c r="CK969" i="12"/>
  <c r="AY963" i="12"/>
  <c r="AX963" i="12"/>
  <c r="AW963" i="12"/>
  <c r="AY962" i="12"/>
  <c r="AX962" i="12"/>
  <c r="AW962" i="12"/>
  <c r="AU962" i="12"/>
  <c r="AY961" i="12"/>
  <c r="AX961" i="12"/>
  <c r="AW961" i="12"/>
  <c r="AY960" i="12"/>
  <c r="AX960" i="12"/>
  <c r="AY959" i="12"/>
  <c r="AX959" i="12"/>
  <c r="AW959" i="12"/>
  <c r="AY958" i="12"/>
  <c r="AX958" i="12"/>
  <c r="AU958" i="12"/>
  <c r="AY957" i="12"/>
  <c r="AX957" i="12"/>
  <c r="AW957" i="12"/>
  <c r="AU957" i="12"/>
  <c r="AY956" i="12"/>
  <c r="AX956" i="12"/>
  <c r="AU956" i="12"/>
  <c r="AY955" i="12"/>
  <c r="AX955" i="12"/>
  <c r="AY954" i="12"/>
  <c r="AX954" i="12"/>
  <c r="AW954" i="12"/>
  <c r="AU953" i="12"/>
  <c r="AU954" i="12"/>
  <c r="AY953" i="12"/>
  <c r="AX953" i="12"/>
  <c r="AY952" i="12"/>
  <c r="AX952" i="12"/>
  <c r="AU952" i="12"/>
  <c r="AY951" i="12"/>
  <c r="AX951" i="12"/>
  <c r="AW951" i="12"/>
  <c r="AY950" i="12"/>
  <c r="AX950" i="12"/>
  <c r="AY949" i="12"/>
  <c r="AX949" i="12"/>
  <c r="AU949" i="12"/>
  <c r="CJ948" i="12"/>
  <c r="CK948" i="12"/>
  <c r="CJ949" i="12"/>
  <c r="CK949" i="12"/>
  <c r="AY948" i="12"/>
  <c r="AX948" i="12"/>
  <c r="AU948" i="12"/>
  <c r="AY947" i="12"/>
  <c r="AX947" i="12"/>
  <c r="AY946" i="12"/>
  <c r="AX946" i="12"/>
  <c r="AW946" i="12"/>
  <c r="AY945" i="12"/>
  <c r="AX945" i="12"/>
  <c r="AY944" i="12"/>
  <c r="AX944" i="12"/>
  <c r="AW944" i="12"/>
  <c r="AY943" i="12"/>
  <c r="AX943" i="12"/>
  <c r="AW943" i="12"/>
  <c r="CJ942" i="12"/>
  <c r="CK942" i="12"/>
  <c r="CJ943" i="12"/>
  <c r="CK943" i="12"/>
  <c r="AY942" i="12"/>
  <c r="AX942" i="12"/>
  <c r="AW942" i="12"/>
  <c r="AU942" i="12"/>
  <c r="AU943" i="12"/>
  <c r="AY941" i="12"/>
  <c r="AX941" i="12"/>
  <c r="AY940" i="12"/>
  <c r="AX940" i="12"/>
  <c r="AU940" i="12"/>
  <c r="CJ939" i="12"/>
  <c r="CK939" i="12"/>
  <c r="CJ940" i="12"/>
  <c r="CK940" i="12"/>
  <c r="AY939" i="12"/>
  <c r="AX939" i="12"/>
  <c r="AU939" i="12"/>
  <c r="AY938" i="12"/>
  <c r="AX938" i="12"/>
  <c r="AY937" i="12"/>
  <c r="AX937" i="12"/>
  <c r="CJ937" i="12"/>
  <c r="CK937" i="12"/>
  <c r="AU937" i="12"/>
  <c r="AY936" i="12"/>
  <c r="AX936" i="12"/>
  <c r="AW936" i="12"/>
  <c r="AU936" i="12"/>
  <c r="CJ935" i="12"/>
  <c r="CK935" i="12"/>
  <c r="CJ936" i="12"/>
  <c r="CK936" i="12"/>
  <c r="AY935" i="12"/>
  <c r="AX935" i="12"/>
  <c r="AU935" i="12"/>
  <c r="AW934" i="12"/>
  <c r="AY934" i="12"/>
  <c r="AX934" i="12"/>
  <c r="J1070" i="12"/>
  <c r="K1070" i="12"/>
  <c r="L1070" i="12"/>
  <c r="M1070" i="12"/>
  <c r="N1070" i="12"/>
  <c r="O1070" i="12"/>
  <c r="P1070" i="12"/>
  <c r="Q1070" i="12"/>
  <c r="R1070" i="12"/>
  <c r="S1070" i="12"/>
  <c r="T1070" i="12"/>
  <c r="U1070" i="12"/>
  <c r="V1070" i="12"/>
  <c r="W1070" i="12"/>
  <c r="X1070" i="12"/>
  <c r="Y1070" i="12"/>
  <c r="Z1070" i="12"/>
  <c r="AA1070" i="12"/>
  <c r="AB1070" i="12"/>
  <c r="AC1070" i="12"/>
  <c r="AD1070" i="12"/>
  <c r="AE1070" i="12"/>
  <c r="AG1070" i="12"/>
  <c r="AH1070" i="12"/>
  <c r="AI1070" i="12"/>
  <c r="AJ1070" i="12"/>
  <c r="AK1070" i="12"/>
  <c r="AL1070" i="12"/>
  <c r="AM1070" i="12"/>
  <c r="AN1070" i="12"/>
  <c r="AO1070" i="12"/>
  <c r="AP1070" i="12"/>
  <c r="AQ1070" i="12"/>
  <c r="AR1070" i="12"/>
  <c r="AS1070" i="12"/>
  <c r="AT1070" i="12"/>
  <c r="AV1070" i="12"/>
  <c r="AZ1070" i="12"/>
  <c r="BA1070" i="12"/>
  <c r="BB1070" i="12"/>
  <c r="BC1070" i="12"/>
  <c r="BD1070" i="12"/>
  <c r="BF1070" i="12"/>
  <c r="BG1070" i="12"/>
  <c r="BH1070" i="12"/>
  <c r="BJ1070" i="12"/>
  <c r="BK1070" i="12"/>
  <c r="BL1070" i="12"/>
  <c r="BM1070" i="12"/>
  <c r="BN1070" i="12"/>
  <c r="BO1070" i="12"/>
  <c r="BP1070" i="12"/>
  <c r="BQ1070" i="12"/>
  <c r="BR1070" i="12"/>
  <c r="BS1070" i="12"/>
  <c r="BT1070" i="12"/>
  <c r="BU1070" i="12"/>
  <c r="BV1070" i="12"/>
  <c r="BW1070" i="12"/>
  <c r="BX1070" i="12"/>
  <c r="BY1070" i="12"/>
  <c r="BZ1070" i="12"/>
  <c r="CA1070" i="12"/>
  <c r="CB1070" i="12"/>
  <c r="CC1070" i="12"/>
  <c r="CD1070" i="12"/>
  <c r="CE1070" i="12"/>
  <c r="CF1070" i="12"/>
  <c r="CG1070" i="12"/>
  <c r="I1070" i="12"/>
  <c r="AY1069" i="12"/>
  <c r="AY1070" i="12" s="1"/>
  <c r="AX1069" i="12"/>
  <c r="AX1070" i="12" s="1"/>
  <c r="AW1069" i="12"/>
  <c r="AW1070" i="12" s="1"/>
  <c r="CK1799" i="12" l="1"/>
  <c r="AU1799" i="12"/>
  <c r="CH1726" i="12"/>
  <c r="AU1794" i="12"/>
  <c r="CH1794" i="12"/>
  <c r="CI1772" i="12"/>
  <c r="CI552" i="12"/>
  <c r="CI553" i="12" s="1"/>
  <c r="CH1727" i="12"/>
  <c r="CI1727" i="12" s="1"/>
  <c r="CI1724" i="12"/>
  <c r="BM1728" i="12"/>
  <c r="CI1734" i="12"/>
  <c r="CI1730" i="12"/>
  <c r="CI1721" i="12"/>
  <c r="CI1713" i="12"/>
  <c r="CI1651" i="12"/>
  <c r="CI1701" i="12"/>
  <c r="CI1697" i="12"/>
  <c r="CI1693" i="12"/>
  <c r="CI1689" i="12"/>
  <c r="CI1685" i="12"/>
  <c r="CI1681" i="12"/>
  <c r="CI1677" i="12"/>
  <c r="CK1728" i="12"/>
  <c r="CH1728" i="12"/>
  <c r="AU1728" i="12"/>
  <c r="CI1702" i="12"/>
  <c r="AX1728" i="12"/>
  <c r="AW1728" i="12"/>
  <c r="CI1732" i="12"/>
  <c r="CI1635" i="12"/>
  <c r="CI1720" i="12"/>
  <c r="CI1716" i="12"/>
  <c r="CI1712" i="12"/>
  <c r="CI1674" i="12"/>
  <c r="CI1670" i="12"/>
  <c r="CI1708" i="12"/>
  <c r="CI1704" i="12"/>
  <c r="CI1676" i="12"/>
  <c r="CI1664" i="12"/>
  <c r="CI1660" i="12"/>
  <c r="CI1656" i="12"/>
  <c r="CI1652" i="12"/>
  <c r="CI1648" i="12"/>
  <c r="CI1644" i="12"/>
  <c r="CI1640" i="12"/>
  <c r="CI1636" i="12"/>
  <c r="CI1632" i="12"/>
  <c r="CI1628" i="12"/>
  <c r="CI1624" i="12"/>
  <c r="AU1620" i="12"/>
  <c r="CI1771" i="12"/>
  <c r="CI1731" i="12"/>
  <c r="CI1763" i="12"/>
  <c r="CI1759" i="12"/>
  <c r="CI1745" i="12"/>
  <c r="CI1741" i="12"/>
  <c r="CI1737" i="12"/>
  <c r="CI1722" i="12"/>
  <c r="CI1654" i="12"/>
  <c r="CI1650" i="12"/>
  <c r="CI1646" i="12"/>
  <c r="CI1642" i="12"/>
  <c r="CI1638" i="12"/>
  <c r="CI1634" i="12"/>
  <c r="CI1630" i="12"/>
  <c r="CI1626" i="12"/>
  <c r="CI1622" i="12"/>
  <c r="CI1655" i="12"/>
  <c r="CI1647" i="12"/>
  <c r="CI1643" i="12"/>
  <c r="CI1639" i="12"/>
  <c r="CI1631" i="12"/>
  <c r="CI1627" i="12"/>
  <c r="CI1623" i="12"/>
  <c r="CI1699" i="12"/>
  <c r="CI1691" i="12"/>
  <c r="CI1679" i="12"/>
  <c r="CI1711" i="12"/>
  <c r="CI1726" i="12"/>
  <c r="CI1719" i="12"/>
  <c r="CI1715" i="12"/>
  <c r="CI1653" i="12"/>
  <c r="CI1649" i="12"/>
  <c r="CI1645" i="12"/>
  <c r="CI1641" i="12"/>
  <c r="CI1637" i="12"/>
  <c r="CI1633" i="12"/>
  <c r="CI1629" i="12"/>
  <c r="CI1625" i="12"/>
  <c r="CI1621" i="12"/>
  <c r="AU1749" i="12"/>
  <c r="CI1776" i="12"/>
  <c r="CH1756" i="12"/>
  <c r="AU1756" i="12"/>
  <c r="CI1764" i="12"/>
  <c r="CI1760" i="12"/>
  <c r="CI1753" i="12"/>
  <c r="CI1746" i="12"/>
  <c r="CI1742" i="12"/>
  <c r="CI1738" i="12"/>
  <c r="CI1717" i="12"/>
  <c r="CI1752" i="12"/>
  <c r="CI1733" i="12"/>
  <c r="CI1765" i="12"/>
  <c r="CI1761" i="12"/>
  <c r="CI1757" i="12"/>
  <c r="CI1754" i="12"/>
  <c r="CI1750" i="12"/>
  <c r="CI1747" i="12"/>
  <c r="CI1743" i="12"/>
  <c r="CI1739" i="12"/>
  <c r="CI1735" i="12"/>
  <c r="CI1725" i="12"/>
  <c r="CI1718" i="12"/>
  <c r="CI1710" i="12"/>
  <c r="CI1706" i="12"/>
  <c r="CI1694" i="12"/>
  <c r="CI1686" i="12"/>
  <c r="CI1662" i="12"/>
  <c r="CI1766" i="12"/>
  <c r="CI1762" i="12"/>
  <c r="CI1758" i="12"/>
  <c r="CI1755" i="12"/>
  <c r="CI1751" i="12"/>
  <c r="CI1748" i="12"/>
  <c r="CI1744" i="12"/>
  <c r="CI1740" i="12"/>
  <c r="CI1736" i="12"/>
  <c r="CI1703" i="12"/>
  <c r="CI1723" i="12"/>
  <c r="CI1714" i="12"/>
  <c r="CI1709" i="12"/>
  <c r="CI1707" i="12"/>
  <c r="CI1705" i="12"/>
  <c r="CI1700" i="12"/>
  <c r="CI1698" i="12"/>
  <c r="CI1696" i="12"/>
  <c r="CI1695" i="12"/>
  <c r="CI1692" i="12"/>
  <c r="CI1690" i="12"/>
  <c r="CI1688" i="12"/>
  <c r="CI1687" i="12"/>
  <c r="CI1684" i="12"/>
  <c r="CI1683" i="12"/>
  <c r="CI1682" i="12"/>
  <c r="CI1680" i="12"/>
  <c r="CI1678" i="12"/>
  <c r="CI1675" i="12"/>
  <c r="CI1673" i="12"/>
  <c r="CI1671" i="12"/>
  <c r="CI1669" i="12"/>
  <c r="CI1668" i="12"/>
  <c r="CI1667" i="12"/>
  <c r="CI1666" i="12"/>
  <c r="CI1665" i="12"/>
  <c r="CI1663" i="12"/>
  <c r="CI1661" i="12"/>
  <c r="CI1659" i="12"/>
  <c r="CI1658" i="12"/>
  <c r="CI1657" i="12"/>
  <c r="CI1769" i="12"/>
  <c r="CI1779" i="12"/>
  <c r="CI1767" i="12"/>
  <c r="CI1787" i="12"/>
  <c r="CI1780" i="12"/>
  <c r="CI1828" i="12"/>
  <c r="CI1824" i="12"/>
  <c r="CI1820" i="12"/>
  <c r="CI1816" i="12"/>
  <c r="CI1812" i="12"/>
  <c r="CI1808" i="12"/>
  <c r="CI1804" i="12"/>
  <c r="CI1800" i="12"/>
  <c r="CI1801" i="12" s="1"/>
  <c r="CI1795" i="12"/>
  <c r="CI1768" i="12"/>
  <c r="CI1783" i="12"/>
  <c r="CI1784" i="12"/>
  <c r="CI1775" i="12"/>
  <c r="CI1781" i="12"/>
  <c r="CI1785" i="12"/>
  <c r="CI1777" i="12"/>
  <c r="CI1825" i="12"/>
  <c r="CI1821" i="12"/>
  <c r="CI1817" i="12"/>
  <c r="CI1813" i="12"/>
  <c r="CI1809" i="12"/>
  <c r="CI1805" i="12"/>
  <c r="CI1796" i="12"/>
  <c r="CI1826" i="12"/>
  <c r="CI1822" i="12"/>
  <c r="CI1818" i="12"/>
  <c r="CI1814" i="12"/>
  <c r="CI1810" i="12"/>
  <c r="CI1806" i="12"/>
  <c r="CI1802" i="12"/>
  <c r="CI1797" i="12"/>
  <c r="CI1786" i="12"/>
  <c r="CI1782" i="12"/>
  <c r="CI1778" i="12"/>
  <c r="CI1774" i="12"/>
  <c r="CI1770" i="12"/>
  <c r="CI1827" i="12"/>
  <c r="CI1819" i="12"/>
  <c r="CI1815" i="12"/>
  <c r="CI1807" i="12"/>
  <c r="CI1798" i="12"/>
  <c r="CI1773" i="12"/>
  <c r="CI1823" i="12"/>
  <c r="CI1811" i="12"/>
  <c r="CI1803" i="12"/>
  <c r="CH956" i="12"/>
  <c r="CI956" i="12" s="1"/>
  <c r="CH955" i="12"/>
  <c r="CH960" i="12"/>
  <c r="CH953" i="12"/>
  <c r="CI953" i="12" s="1"/>
  <c r="CH954" i="12"/>
  <c r="CI954" i="12" s="1"/>
  <c r="CH957" i="12"/>
  <c r="CI957" i="12" s="1"/>
  <c r="CH958" i="12"/>
  <c r="CI958" i="12" s="1"/>
  <c r="CH959" i="12"/>
  <c r="CH961" i="12"/>
  <c r="CH962" i="12"/>
  <c r="CI962" i="12" s="1"/>
  <c r="CH963" i="12"/>
  <c r="CH952" i="12"/>
  <c r="CI952" i="12" s="1"/>
  <c r="CH949" i="12"/>
  <c r="CI949" i="12" s="1"/>
  <c r="CH948" i="12"/>
  <c r="CI948" i="12" s="1"/>
  <c r="CH935" i="12"/>
  <c r="CI935" i="12" s="1"/>
  <c r="CH940" i="12"/>
  <c r="CI940" i="12" s="1"/>
  <c r="CH942" i="12"/>
  <c r="CI942" i="12" s="1"/>
  <c r="CH943" i="12"/>
  <c r="CI943" i="12" s="1"/>
  <c r="CH939" i="12"/>
  <c r="CI939" i="12" s="1"/>
  <c r="CH937" i="12"/>
  <c r="CI937" i="12" s="1"/>
  <c r="CH936" i="12"/>
  <c r="CI936" i="12" s="1"/>
  <c r="CI1799" i="12" l="1"/>
  <c r="CI1794" i="12"/>
  <c r="CI1728" i="12"/>
  <c r="CI1756" i="12"/>
  <c r="AY933" i="12"/>
  <c r="AX933" i="12"/>
  <c r="AY932" i="12"/>
  <c r="AX932" i="12"/>
  <c r="AY931" i="12"/>
  <c r="AX931" i="12"/>
  <c r="AW931" i="12"/>
  <c r="AY930" i="12"/>
  <c r="AX930" i="12"/>
  <c r="AY929" i="12"/>
  <c r="AX929" i="12"/>
  <c r="AY928" i="12"/>
  <c r="AX928" i="12"/>
  <c r="AY927" i="12"/>
  <c r="AX927" i="12"/>
  <c r="AZ925" i="12"/>
  <c r="AY925" i="12"/>
  <c r="AX925" i="12"/>
  <c r="AZ924" i="12"/>
  <c r="AY924" i="12"/>
  <c r="AX924" i="12"/>
  <c r="AY923" i="12"/>
  <c r="AX923" i="12"/>
  <c r="AY922" i="12"/>
  <c r="AX922" i="12"/>
  <c r="AY921" i="12"/>
  <c r="AX921" i="12"/>
  <c r="AU921" i="12"/>
  <c r="AY920" i="12"/>
  <c r="CJ920" i="12"/>
  <c r="CK920" i="12"/>
  <c r="CJ921" i="12"/>
  <c r="CK921" i="12"/>
  <c r="AX920" i="12"/>
  <c r="AU920" i="12"/>
  <c r="AY919" i="12"/>
  <c r="AX919" i="12"/>
  <c r="AY918" i="12"/>
  <c r="AX918" i="12"/>
  <c r="AW918" i="12"/>
  <c r="AY917" i="12"/>
  <c r="AX917" i="12"/>
  <c r="AW917" i="12"/>
  <c r="CJ916" i="12"/>
  <c r="CK916" i="12"/>
  <c r="CJ917" i="12"/>
  <c r="CK917" i="12"/>
  <c r="AY916" i="12"/>
  <c r="AX916" i="12"/>
  <c r="AU916" i="12"/>
  <c r="AY915" i="12"/>
  <c r="AX915" i="12"/>
  <c r="CH920" i="12" l="1"/>
  <c r="CI920" i="12" s="1"/>
  <c r="CH916" i="12"/>
  <c r="CI916" i="12" s="1"/>
  <c r="AX964" i="12"/>
  <c r="AY964" i="12"/>
  <c r="AW964" i="12"/>
  <c r="AZ964" i="12"/>
  <c r="CH921" i="12"/>
  <c r="CI921" i="12" s="1"/>
  <c r="CH917" i="12"/>
  <c r="AV18" i="13"/>
  <c r="CL18" i="13" s="1"/>
  <c r="AV19" i="13"/>
  <c r="CL19" i="13" s="1"/>
  <c r="AV20" i="13"/>
  <c r="CL20" i="13" s="1"/>
  <c r="AV21" i="13"/>
  <c r="CL21" i="13" s="1"/>
  <c r="AV22" i="13"/>
  <c r="CL22" i="13" s="1"/>
  <c r="AV23" i="13"/>
  <c r="CL23" i="13" s="1"/>
  <c r="AV24" i="13"/>
  <c r="CL24" i="13" s="1"/>
  <c r="AV25" i="13"/>
  <c r="CL25" i="13" s="1"/>
  <c r="AV26" i="13"/>
  <c r="CL26" i="13" s="1"/>
  <c r="AV27" i="13"/>
  <c r="CL27" i="13" s="1"/>
  <c r="AV28" i="13"/>
  <c r="CL28" i="13" s="1"/>
  <c r="AV29" i="13"/>
  <c r="CL29" i="13" s="1"/>
  <c r="AV30" i="13"/>
  <c r="CL30" i="13" s="1"/>
  <c r="AV31" i="13"/>
  <c r="CL31" i="13" s="1"/>
  <c r="AV32" i="13"/>
  <c r="CL32" i="13" s="1"/>
  <c r="AV33" i="13"/>
  <c r="CL33" i="13" s="1"/>
  <c r="AV34" i="13"/>
  <c r="CL34" i="13" s="1"/>
  <c r="AV35" i="13"/>
  <c r="CL35" i="13" s="1"/>
  <c r="AV36" i="13"/>
  <c r="CL36" i="13" s="1"/>
  <c r="AV37" i="13"/>
  <c r="CL37" i="13" s="1"/>
  <c r="AV38" i="13"/>
  <c r="CL38" i="13" s="1"/>
  <c r="AV39" i="13"/>
  <c r="CL39" i="13" s="1"/>
  <c r="AV40" i="13"/>
  <c r="CL40" i="13" s="1"/>
  <c r="AV41" i="13"/>
  <c r="CL41" i="13" s="1"/>
  <c r="AV42" i="13"/>
  <c r="CL42" i="13" s="1"/>
  <c r="AV43" i="13"/>
  <c r="CL43" i="13" s="1"/>
  <c r="AV44" i="13"/>
  <c r="CL44" i="13" s="1"/>
  <c r="AV17" i="13"/>
  <c r="CL17" i="13" s="1"/>
  <c r="AV16" i="13"/>
  <c r="CL16" i="13" s="1"/>
  <c r="AV15" i="13"/>
  <c r="CL15" i="13" s="1"/>
  <c r="AV14" i="13"/>
  <c r="CL14" i="13" s="1"/>
  <c r="AV13" i="13"/>
  <c r="CL13" i="13" s="1"/>
  <c r="AV12" i="13"/>
  <c r="CL12" i="13" s="1"/>
  <c r="AV11" i="13"/>
  <c r="CL11" i="13" s="1"/>
  <c r="AV10" i="13"/>
  <c r="CL10" i="13" s="1"/>
  <c r="AV9" i="13"/>
  <c r="CL9" i="13" s="1"/>
  <c r="AV8" i="13"/>
  <c r="CL8" i="13" s="1"/>
  <c r="AV7" i="13"/>
  <c r="CL7" i="13" s="1"/>
  <c r="AV6" i="13"/>
  <c r="CL6" i="13" s="1"/>
  <c r="AV5" i="13"/>
  <c r="CL5" i="13" s="1"/>
  <c r="AV4" i="13"/>
  <c r="CH1606" i="12"/>
  <c r="CJ1606" i="12"/>
  <c r="CK1606" i="12"/>
  <c r="CH1607" i="12"/>
  <c r="CJ1607" i="12"/>
  <c r="CK1607" i="12"/>
  <c r="CH1608" i="12"/>
  <c r="CJ1608" i="12"/>
  <c r="CK1608" i="12"/>
  <c r="CH1609" i="12"/>
  <c r="CJ1609" i="12"/>
  <c r="CK1609" i="12"/>
  <c r="AV207" i="13" l="1"/>
  <c r="CL4" i="13"/>
  <c r="CL207" i="13" s="1"/>
  <c r="CG1749" i="12"/>
  <c r="CH1749" i="12" s="1"/>
  <c r="CI1749" i="12" s="1"/>
  <c r="CJ1569" i="12" l="1"/>
  <c r="CK1569" i="12"/>
  <c r="CH1570" i="12"/>
  <c r="CJ1570" i="12"/>
  <c r="CK1570" i="12"/>
  <c r="CH1571" i="12"/>
  <c r="CJ1571" i="12"/>
  <c r="CK1571" i="12"/>
  <c r="CH1572" i="12"/>
  <c r="CJ1572" i="12"/>
  <c r="CK1572" i="12"/>
  <c r="CH1573" i="12"/>
  <c r="CJ1573" i="12"/>
  <c r="CK1573" i="12"/>
  <c r="CH1574" i="12"/>
  <c r="CJ1574" i="12"/>
  <c r="CK1574" i="12"/>
  <c r="CH1575" i="12"/>
  <c r="CJ1575" i="12"/>
  <c r="CK1575" i="12"/>
  <c r="CH1576" i="12"/>
  <c r="CJ1576" i="12"/>
  <c r="CK1576" i="12"/>
  <c r="CH1577" i="12"/>
  <c r="CJ1577" i="12"/>
  <c r="CK1577" i="12"/>
  <c r="CH1578" i="12"/>
  <c r="CJ1578" i="12"/>
  <c r="CK1578" i="12"/>
  <c r="CH1579" i="12"/>
  <c r="CJ1579" i="12"/>
  <c r="CK1579" i="12"/>
  <c r="CH1580" i="12"/>
  <c r="CJ1580" i="12"/>
  <c r="CK1580" i="12"/>
  <c r="CH1581" i="12"/>
  <c r="CJ1581" i="12"/>
  <c r="CK1581" i="12"/>
  <c r="CH1582" i="12"/>
  <c r="CJ1582" i="12"/>
  <c r="CK1582" i="12"/>
  <c r="CH1583" i="12"/>
  <c r="CJ1583" i="12"/>
  <c r="CK1583" i="12"/>
  <c r="CH1584" i="12"/>
  <c r="CJ1584" i="12"/>
  <c r="CK1584" i="12"/>
  <c r="CH1585" i="12"/>
  <c r="CJ1585" i="12"/>
  <c r="CK1585" i="12"/>
  <c r="CH1586" i="12"/>
  <c r="CJ1586" i="12"/>
  <c r="CK1586" i="12"/>
  <c r="CH1587" i="12"/>
  <c r="CJ1587" i="12"/>
  <c r="CK1587" i="12"/>
  <c r="CH1588" i="12"/>
  <c r="CJ1588" i="12"/>
  <c r="CK1588" i="12"/>
  <c r="CH1589" i="12"/>
  <c r="CJ1589" i="12"/>
  <c r="CK1589" i="12"/>
  <c r="CH1590" i="12"/>
  <c r="CJ1590" i="12"/>
  <c r="CK1590" i="12"/>
  <c r="CK1591" i="12"/>
  <c r="CH1592" i="12"/>
  <c r="CJ1592" i="12"/>
  <c r="CK1592" i="12"/>
  <c r="CH1593" i="12"/>
  <c r="CJ1593" i="12"/>
  <c r="CK1593" i="12"/>
  <c r="CH1594" i="12"/>
  <c r="CJ1594" i="12"/>
  <c r="CK1594" i="12"/>
  <c r="CH1595" i="12"/>
  <c r="CJ1595" i="12"/>
  <c r="CK1595" i="12"/>
  <c r="CH1596" i="12"/>
  <c r="CJ1596" i="12"/>
  <c r="CK1596" i="12"/>
  <c r="CH1597" i="12"/>
  <c r="CJ1597" i="12"/>
  <c r="CK1597" i="12"/>
  <c r="CH1598" i="12"/>
  <c r="CJ1598" i="12"/>
  <c r="CK1598" i="12"/>
  <c r="CH1599" i="12"/>
  <c r="CJ1599" i="12"/>
  <c r="CK1599" i="12"/>
  <c r="CH1600" i="12"/>
  <c r="CJ1600" i="12"/>
  <c r="CK1600" i="12"/>
  <c r="CH1601" i="12"/>
  <c r="CJ1601" i="12"/>
  <c r="CK1601" i="12"/>
  <c r="CH1602" i="12"/>
  <c r="CJ1602" i="12"/>
  <c r="CK1602" i="12"/>
  <c r="CH1605" i="12"/>
  <c r="CJ1605" i="12"/>
  <c r="CK1605" i="12"/>
  <c r="CH1613" i="12"/>
  <c r="CJ1613" i="12"/>
  <c r="CK1613" i="12"/>
  <c r="CJ1614" i="12"/>
  <c r="CK1614" i="12"/>
  <c r="CJ1615" i="12"/>
  <c r="CK1615" i="12"/>
  <c r="CJ1616" i="12"/>
  <c r="CK1616" i="12"/>
  <c r="CJ1617" i="12"/>
  <c r="CK1617" i="12"/>
  <c r="CJ1618" i="12"/>
  <c r="CK1618" i="12"/>
  <c r="CH1619" i="12"/>
  <c r="CJ1619" i="12"/>
  <c r="CK1619" i="12"/>
  <c r="CH1610" i="12"/>
  <c r="CJ1610" i="12"/>
  <c r="CK1610" i="12"/>
  <c r="CH1611" i="12"/>
  <c r="CJ1611" i="12"/>
  <c r="CK1611" i="12"/>
  <c r="CH1612" i="12"/>
  <c r="CJ1612" i="12"/>
  <c r="CK1612" i="12"/>
  <c r="AU1570" i="12"/>
  <c r="AU1571" i="12"/>
  <c r="AU1572" i="12"/>
  <c r="AU1573" i="12"/>
  <c r="AU1574" i="12"/>
  <c r="AU1575" i="12"/>
  <c r="AU1576" i="12"/>
  <c r="AU1577" i="12"/>
  <c r="AU1578" i="12"/>
  <c r="AU1579" i="12"/>
  <c r="AU1580" i="12"/>
  <c r="AU1581" i="12"/>
  <c r="AU1582" i="12"/>
  <c r="AU1583" i="12"/>
  <c r="AU1584" i="12"/>
  <c r="AU1585" i="12"/>
  <c r="AU1586" i="12"/>
  <c r="AU1587" i="12"/>
  <c r="AU1588" i="12"/>
  <c r="AU1589" i="12"/>
  <c r="AU1590" i="12"/>
  <c r="AU1592" i="12"/>
  <c r="AU1593" i="12"/>
  <c r="AU1594" i="12"/>
  <c r="AU1595" i="12"/>
  <c r="AU1596" i="12"/>
  <c r="AU1597" i="12"/>
  <c r="AU1598" i="12"/>
  <c r="AU1599" i="12"/>
  <c r="AU1600" i="12"/>
  <c r="AU1601" i="12"/>
  <c r="AU1602" i="12"/>
  <c r="AU1605" i="12"/>
  <c r="AU1606" i="12"/>
  <c r="CI1606" i="12" s="1"/>
  <c r="AU1613" i="12"/>
  <c r="AU1614" i="12"/>
  <c r="AU1615" i="12"/>
  <c r="AU1616" i="12"/>
  <c r="AU1617" i="12"/>
  <c r="AU1618" i="12"/>
  <c r="AU1619" i="12"/>
  <c r="AU1610" i="12"/>
  <c r="AU1611" i="12"/>
  <c r="AU1612" i="12"/>
  <c r="AU1607" i="12"/>
  <c r="CI1607" i="12" s="1"/>
  <c r="AU1608" i="12"/>
  <c r="CI1608" i="12" s="1"/>
  <c r="AU1609" i="12"/>
  <c r="CI1609" i="12" s="1"/>
  <c r="AU1603" i="12"/>
  <c r="AU1604" i="12"/>
  <c r="J1569" i="12"/>
  <c r="K1569" i="12"/>
  <c r="L1569" i="12"/>
  <c r="M1569" i="12"/>
  <c r="N1569" i="12"/>
  <c r="O1569" i="12"/>
  <c r="P1569" i="12"/>
  <c r="Q1569" i="12"/>
  <c r="R1569" i="12"/>
  <c r="S1569" i="12"/>
  <c r="T1569" i="12"/>
  <c r="U1569" i="12"/>
  <c r="V1569" i="12"/>
  <c r="W1569" i="12"/>
  <c r="X1569" i="12"/>
  <c r="Y1569" i="12"/>
  <c r="Z1569" i="12"/>
  <c r="AA1569" i="12"/>
  <c r="AB1569" i="12"/>
  <c r="AC1569" i="12"/>
  <c r="AD1569" i="12"/>
  <c r="AE1569" i="12"/>
  <c r="AG1569" i="12"/>
  <c r="AH1569" i="12"/>
  <c r="AI1569" i="12"/>
  <c r="AJ1569" i="12"/>
  <c r="AK1569" i="12"/>
  <c r="AL1569" i="12"/>
  <c r="AM1569" i="12"/>
  <c r="AN1569" i="12"/>
  <c r="AO1569" i="12"/>
  <c r="AP1569" i="12"/>
  <c r="AQ1569" i="12"/>
  <c r="AR1569" i="12"/>
  <c r="AS1569" i="12"/>
  <c r="AT1569" i="12"/>
  <c r="AV1569" i="12"/>
  <c r="AY1569" i="12"/>
  <c r="AZ1569" i="12"/>
  <c r="BA1569" i="12"/>
  <c r="BB1569" i="12"/>
  <c r="BC1569" i="12"/>
  <c r="BD1569" i="12"/>
  <c r="BF1569" i="12"/>
  <c r="BG1569" i="12"/>
  <c r="BH1569" i="12"/>
  <c r="BJ1569" i="12"/>
  <c r="BK1569" i="12"/>
  <c r="BL1569" i="12"/>
  <c r="BM1569" i="12"/>
  <c r="BN1569" i="12"/>
  <c r="BO1569" i="12"/>
  <c r="BP1569" i="12"/>
  <c r="BQ1569" i="12"/>
  <c r="BR1569" i="12"/>
  <c r="BS1569" i="12"/>
  <c r="BT1569" i="12"/>
  <c r="BU1569" i="12"/>
  <c r="BV1569" i="12"/>
  <c r="BW1569" i="12"/>
  <c r="BX1569" i="12"/>
  <c r="BY1569" i="12"/>
  <c r="BZ1569" i="12"/>
  <c r="CA1569" i="12"/>
  <c r="CB1569" i="12"/>
  <c r="CC1569" i="12"/>
  <c r="CD1569" i="12"/>
  <c r="CE1569" i="12"/>
  <c r="CF1569" i="12"/>
  <c r="CG1569" i="12"/>
  <c r="CL1569" i="12"/>
  <c r="I1569" i="12"/>
  <c r="J1380" i="12"/>
  <c r="K1380" i="12"/>
  <c r="L1380" i="12"/>
  <c r="M1380" i="12"/>
  <c r="N1380" i="12"/>
  <c r="O1380" i="12"/>
  <c r="P1380" i="12"/>
  <c r="Q1380" i="12"/>
  <c r="R1380" i="12"/>
  <c r="S1380" i="12"/>
  <c r="T1380" i="12"/>
  <c r="U1380" i="12"/>
  <c r="V1380" i="12"/>
  <c r="W1380" i="12"/>
  <c r="X1380" i="12"/>
  <c r="Y1380" i="12"/>
  <c r="Z1380" i="12"/>
  <c r="AA1380" i="12"/>
  <c r="AB1380" i="12"/>
  <c r="AC1380" i="12"/>
  <c r="AD1380" i="12"/>
  <c r="AE1380" i="12"/>
  <c r="AG1380" i="12"/>
  <c r="AH1380" i="12"/>
  <c r="AI1380" i="12"/>
  <c r="AJ1380" i="12"/>
  <c r="AK1380" i="12"/>
  <c r="AL1380" i="12"/>
  <c r="AM1380" i="12"/>
  <c r="AN1380" i="12"/>
  <c r="AO1380" i="12"/>
  <c r="AP1380" i="12"/>
  <c r="AQ1380" i="12"/>
  <c r="AR1380" i="12"/>
  <c r="AS1380" i="12"/>
  <c r="AT1380" i="12"/>
  <c r="AV1380" i="12"/>
  <c r="AY1380" i="12"/>
  <c r="AZ1380" i="12"/>
  <c r="BA1380" i="12"/>
  <c r="BB1380" i="12"/>
  <c r="BC1380" i="12"/>
  <c r="BD1380" i="12"/>
  <c r="BF1380" i="12"/>
  <c r="BG1380" i="12"/>
  <c r="BH1380" i="12"/>
  <c r="BJ1380" i="12"/>
  <c r="BK1380" i="12"/>
  <c r="BL1380" i="12"/>
  <c r="BM1380" i="12"/>
  <c r="BN1380" i="12"/>
  <c r="BO1380" i="12"/>
  <c r="BP1380" i="12"/>
  <c r="BQ1380" i="12"/>
  <c r="BR1380" i="12"/>
  <c r="BS1380" i="12"/>
  <c r="BT1380" i="12"/>
  <c r="BU1380" i="12"/>
  <c r="BV1380" i="12"/>
  <c r="BW1380" i="12"/>
  <c r="BX1380" i="12"/>
  <c r="BY1380" i="12"/>
  <c r="BZ1380" i="12"/>
  <c r="CA1380" i="12"/>
  <c r="CB1380" i="12"/>
  <c r="CC1380" i="12"/>
  <c r="CD1380" i="12"/>
  <c r="CE1380" i="12"/>
  <c r="CF1380" i="12"/>
  <c r="CG1380" i="12"/>
  <c r="CL1380" i="12"/>
  <c r="CM1380" i="12"/>
  <c r="I1380" i="12"/>
  <c r="BM1618" i="12"/>
  <c r="AW1618" i="12"/>
  <c r="BM1617" i="12"/>
  <c r="CH1617" i="12" s="1"/>
  <c r="BM1616" i="12"/>
  <c r="AW1616" i="12"/>
  <c r="G1607" i="12"/>
  <c r="G1608" i="12" s="1"/>
  <c r="G1609" i="12" s="1"/>
  <c r="CH1562" i="12"/>
  <c r="CJ1562" i="12"/>
  <c r="CK1562" i="12"/>
  <c r="CH1563" i="12"/>
  <c r="CJ1563" i="12"/>
  <c r="CK1563" i="12"/>
  <c r="CH1564" i="12"/>
  <c r="CJ1564" i="12"/>
  <c r="CK1564" i="12"/>
  <c r="CH1565" i="12"/>
  <c r="CJ1565" i="12"/>
  <c r="CK1565" i="12"/>
  <c r="CH1566" i="12"/>
  <c r="CJ1566" i="12"/>
  <c r="CK1566" i="12"/>
  <c r="CH1567" i="12"/>
  <c r="CJ1567" i="12"/>
  <c r="CK1567" i="12"/>
  <c r="CH1568" i="12"/>
  <c r="CJ1568" i="12"/>
  <c r="CK1568" i="12"/>
  <c r="CH1553" i="12"/>
  <c r="CJ1553" i="12"/>
  <c r="CK1553" i="12"/>
  <c r="CH1554" i="12"/>
  <c r="CJ1554" i="12"/>
  <c r="CK1554" i="12"/>
  <c r="CH1555" i="12"/>
  <c r="CJ1555" i="12"/>
  <c r="CK1555" i="12"/>
  <c r="CH1556" i="12"/>
  <c r="CJ1556" i="12"/>
  <c r="CK1556" i="12"/>
  <c r="CH1557" i="12"/>
  <c r="CJ1557" i="12"/>
  <c r="CK1557" i="12"/>
  <c r="CH1558" i="12"/>
  <c r="CJ1558" i="12"/>
  <c r="CK1558" i="12"/>
  <c r="CH1559" i="12"/>
  <c r="CJ1559" i="12"/>
  <c r="CK1559" i="12"/>
  <c r="CH1560" i="12"/>
  <c r="CJ1560" i="12"/>
  <c r="CK1560" i="12"/>
  <c r="CH1561" i="12"/>
  <c r="CJ1561" i="12"/>
  <c r="CK1561" i="12"/>
  <c r="AW1543" i="12"/>
  <c r="CH1543" i="12" s="1"/>
  <c r="G1537" i="12"/>
  <c r="G1538" i="12" s="1"/>
  <c r="G1539" i="12" s="1"/>
  <c r="G1535" i="12"/>
  <c r="G1534" i="12"/>
  <c r="CJ1382" i="12"/>
  <c r="CK1382" i="12"/>
  <c r="CJ1383" i="12"/>
  <c r="CK1383" i="12"/>
  <c r="CH1384" i="12"/>
  <c r="CJ1384" i="12"/>
  <c r="CK1384" i="12"/>
  <c r="CH1385" i="12"/>
  <c r="CJ1385" i="12"/>
  <c r="CK1385" i="12"/>
  <c r="CH1386" i="12"/>
  <c r="CJ1386" i="12"/>
  <c r="CK1386" i="12"/>
  <c r="CH1387" i="12"/>
  <c r="CJ1387" i="12"/>
  <c r="CK1387" i="12"/>
  <c r="CH1388" i="12"/>
  <c r="CJ1388" i="12"/>
  <c r="CK1388" i="12"/>
  <c r="CH1389" i="12"/>
  <c r="CJ1389" i="12"/>
  <c r="CK1389" i="12"/>
  <c r="CH1390" i="12"/>
  <c r="CJ1390" i="12"/>
  <c r="CK1390" i="12"/>
  <c r="CH1391" i="12"/>
  <c r="CJ1391" i="12"/>
  <c r="CK1391" i="12"/>
  <c r="CH1392" i="12"/>
  <c r="CJ1392" i="12"/>
  <c r="CK1392" i="12"/>
  <c r="CH1393" i="12"/>
  <c r="CJ1393" i="12"/>
  <c r="CK1393" i="12"/>
  <c r="CH1394" i="12"/>
  <c r="CJ1394" i="12"/>
  <c r="CK1394" i="12"/>
  <c r="CH1395" i="12"/>
  <c r="CJ1395" i="12"/>
  <c r="CK1395" i="12"/>
  <c r="CJ1396" i="12"/>
  <c r="CK1396" i="12"/>
  <c r="CH1397" i="12"/>
  <c r="CJ1397" i="12"/>
  <c r="CK1397" i="12"/>
  <c r="CH1398" i="12"/>
  <c r="CJ1398" i="12"/>
  <c r="CK1398" i="12"/>
  <c r="CH1399" i="12"/>
  <c r="CJ1399" i="12"/>
  <c r="CK1399" i="12"/>
  <c r="CH1400" i="12"/>
  <c r="CJ1400" i="12"/>
  <c r="CK1400" i="12"/>
  <c r="CH1401" i="12"/>
  <c r="CJ1401" i="12"/>
  <c r="CK1401" i="12"/>
  <c r="CH1402" i="12"/>
  <c r="CJ1402" i="12"/>
  <c r="CK1402" i="12"/>
  <c r="CH1403" i="12"/>
  <c r="CJ1403" i="12"/>
  <c r="CK1403" i="12"/>
  <c r="CH1404" i="12"/>
  <c r="CJ1404" i="12"/>
  <c r="CK1404" i="12"/>
  <c r="CH1405" i="12"/>
  <c r="CJ1405" i="12"/>
  <c r="CK1405" i="12"/>
  <c r="CH1406" i="12"/>
  <c r="CJ1406" i="12"/>
  <c r="CK1406" i="12"/>
  <c r="CH1407" i="12"/>
  <c r="CJ1407" i="12"/>
  <c r="CK1407" i="12"/>
  <c r="CH1408" i="12"/>
  <c r="CJ1408" i="12"/>
  <c r="CK1408" i="12"/>
  <c r="CH1409" i="12"/>
  <c r="CJ1409" i="12"/>
  <c r="CK1409" i="12"/>
  <c r="CH1410" i="12"/>
  <c r="CJ1410" i="12"/>
  <c r="CK1410" i="12"/>
  <c r="CH1411" i="12"/>
  <c r="CJ1411" i="12"/>
  <c r="CK1411" i="12"/>
  <c r="CH1412" i="12"/>
  <c r="CJ1412" i="12"/>
  <c r="CK1412" i="12"/>
  <c r="CH1413" i="12"/>
  <c r="CJ1413" i="12"/>
  <c r="CK1413" i="12"/>
  <c r="CJ1414" i="12"/>
  <c r="CK1414" i="12"/>
  <c r="CH1415" i="12"/>
  <c r="CJ1415" i="12"/>
  <c r="CK1415" i="12"/>
  <c r="CH1416" i="12"/>
  <c r="CJ1416" i="12"/>
  <c r="CK1416" i="12"/>
  <c r="CH1417" i="12"/>
  <c r="CJ1417" i="12"/>
  <c r="CK1417" i="12"/>
  <c r="CH1418" i="12"/>
  <c r="CJ1418" i="12"/>
  <c r="CK1418" i="12"/>
  <c r="CH1419" i="12"/>
  <c r="CJ1419" i="12"/>
  <c r="CK1419" i="12"/>
  <c r="CJ1420" i="12"/>
  <c r="CK1420" i="12"/>
  <c r="CJ1421" i="12"/>
  <c r="CK1421" i="12"/>
  <c r="CH1422" i="12"/>
  <c r="CJ1422" i="12"/>
  <c r="CK1422" i="12"/>
  <c r="CH1423" i="12"/>
  <c r="CJ1423" i="12"/>
  <c r="CK1423" i="12"/>
  <c r="CH1424" i="12"/>
  <c r="CJ1424" i="12"/>
  <c r="CK1424" i="12"/>
  <c r="CH1425" i="12"/>
  <c r="CJ1425" i="12"/>
  <c r="CK1425" i="12"/>
  <c r="CH1426" i="12"/>
  <c r="CJ1426" i="12"/>
  <c r="CK1426" i="12"/>
  <c r="CH1427" i="12"/>
  <c r="CJ1427" i="12"/>
  <c r="CK1427" i="12"/>
  <c r="CH1428" i="12"/>
  <c r="CJ1428" i="12"/>
  <c r="CK1428" i="12"/>
  <c r="CH1429" i="12"/>
  <c r="CJ1429" i="12"/>
  <c r="CK1429" i="12"/>
  <c r="CH1430" i="12"/>
  <c r="CJ1430" i="12"/>
  <c r="CK1430" i="12"/>
  <c r="CH1431" i="12"/>
  <c r="CJ1431" i="12"/>
  <c r="CK1431" i="12"/>
  <c r="CH1432" i="12"/>
  <c r="CJ1432" i="12"/>
  <c r="CK1432" i="12"/>
  <c r="CH1433" i="12"/>
  <c r="CJ1433" i="12"/>
  <c r="CK1433" i="12"/>
  <c r="CJ1434" i="12"/>
  <c r="CK1434" i="12"/>
  <c r="CH1435" i="12"/>
  <c r="CJ1435" i="12"/>
  <c r="CK1435" i="12"/>
  <c r="CH1436" i="12"/>
  <c r="CJ1436" i="12"/>
  <c r="CK1436" i="12"/>
  <c r="CH1437" i="12"/>
  <c r="CJ1437" i="12"/>
  <c r="CK1437" i="12"/>
  <c r="CH1438" i="12"/>
  <c r="CJ1438" i="12"/>
  <c r="CK1438" i="12"/>
  <c r="CH1439" i="12"/>
  <c r="CJ1439" i="12"/>
  <c r="CK1439" i="12"/>
  <c r="CH1440" i="12"/>
  <c r="CJ1440" i="12"/>
  <c r="CK1440" i="12"/>
  <c r="CH1441" i="12"/>
  <c r="CJ1441" i="12"/>
  <c r="CK1441" i="12"/>
  <c r="CH1442" i="12"/>
  <c r="CJ1442" i="12"/>
  <c r="CK1442" i="12"/>
  <c r="CH1443" i="12"/>
  <c r="CJ1443" i="12"/>
  <c r="CK1443" i="12"/>
  <c r="CH1444" i="12"/>
  <c r="CJ1444" i="12"/>
  <c r="CK1444" i="12"/>
  <c r="CH1445" i="12"/>
  <c r="CJ1445" i="12"/>
  <c r="CK1445" i="12"/>
  <c r="CJ1446" i="12"/>
  <c r="CK1446" i="12"/>
  <c r="CH1447" i="12"/>
  <c r="CJ1447" i="12"/>
  <c r="CK1447" i="12"/>
  <c r="CH1448" i="12"/>
  <c r="CJ1448" i="12"/>
  <c r="CK1448" i="12"/>
  <c r="CH1449" i="12"/>
  <c r="CJ1449" i="12"/>
  <c r="CK1449" i="12"/>
  <c r="CH1450" i="12"/>
  <c r="CJ1450" i="12"/>
  <c r="CK1450" i="12"/>
  <c r="CH1451" i="12"/>
  <c r="CJ1451" i="12"/>
  <c r="CK1451" i="12"/>
  <c r="CH1452" i="12"/>
  <c r="CJ1452" i="12"/>
  <c r="CK1452" i="12"/>
  <c r="CH1453" i="12"/>
  <c r="CJ1453" i="12"/>
  <c r="CK1453" i="12"/>
  <c r="CH1454" i="12"/>
  <c r="CJ1454" i="12"/>
  <c r="CK1454" i="12"/>
  <c r="CH1455" i="12"/>
  <c r="CJ1455" i="12"/>
  <c r="CK1455" i="12"/>
  <c r="CH1456" i="12"/>
  <c r="CJ1456" i="12"/>
  <c r="CK1456" i="12"/>
  <c r="CH1457" i="12"/>
  <c r="CJ1457" i="12"/>
  <c r="CK1457" i="12"/>
  <c r="CH1458" i="12"/>
  <c r="CJ1458" i="12"/>
  <c r="CK1458" i="12"/>
  <c r="CH1459" i="12"/>
  <c r="CJ1459" i="12"/>
  <c r="CK1459" i="12"/>
  <c r="CH1460" i="12"/>
  <c r="CJ1460" i="12"/>
  <c r="CK1460" i="12"/>
  <c r="CH1461" i="12"/>
  <c r="CJ1461" i="12"/>
  <c r="CK1461" i="12"/>
  <c r="CH1462" i="12"/>
  <c r="CJ1462" i="12"/>
  <c r="CK1462" i="12"/>
  <c r="CH1463" i="12"/>
  <c r="CJ1463" i="12"/>
  <c r="CK1463" i="12"/>
  <c r="CH1464" i="12"/>
  <c r="CJ1464" i="12"/>
  <c r="CK1464" i="12"/>
  <c r="CH1465" i="12"/>
  <c r="CJ1465" i="12"/>
  <c r="CK1465" i="12"/>
  <c r="CH1466" i="12"/>
  <c r="CJ1466" i="12"/>
  <c r="CK1466" i="12"/>
  <c r="CH1467" i="12"/>
  <c r="CJ1467" i="12"/>
  <c r="CK1467" i="12"/>
  <c r="CJ1468" i="12"/>
  <c r="CK1468" i="12"/>
  <c r="CH1469" i="12"/>
  <c r="CJ1469" i="12"/>
  <c r="CK1469" i="12"/>
  <c r="CH1470" i="12"/>
  <c r="CJ1470" i="12"/>
  <c r="CK1470" i="12"/>
  <c r="CH1471" i="12"/>
  <c r="CJ1471" i="12"/>
  <c r="CK1471" i="12"/>
  <c r="CH1472" i="12"/>
  <c r="CJ1472" i="12"/>
  <c r="CK1472" i="12"/>
  <c r="CH1473" i="12"/>
  <c r="CJ1473" i="12"/>
  <c r="CK1473" i="12"/>
  <c r="CH1474" i="12"/>
  <c r="CJ1474" i="12"/>
  <c r="CK1474" i="12"/>
  <c r="CJ1475" i="12"/>
  <c r="CK1475" i="12"/>
  <c r="CH1476" i="12"/>
  <c r="CJ1476" i="12"/>
  <c r="CK1476" i="12"/>
  <c r="CH1477" i="12"/>
  <c r="CJ1477" i="12"/>
  <c r="CK1477" i="12"/>
  <c r="CJ1478" i="12"/>
  <c r="CK1478" i="12"/>
  <c r="CH1479" i="12"/>
  <c r="CJ1479" i="12"/>
  <c r="CK1479" i="12"/>
  <c r="CH1480" i="12"/>
  <c r="CJ1480" i="12"/>
  <c r="CK1480" i="12"/>
  <c r="CH1481" i="12"/>
  <c r="CJ1481" i="12"/>
  <c r="CK1481" i="12"/>
  <c r="CH1482" i="12"/>
  <c r="CJ1482" i="12"/>
  <c r="CK1482" i="12"/>
  <c r="CH1483" i="12"/>
  <c r="CJ1483" i="12"/>
  <c r="CK1483" i="12"/>
  <c r="CJ1484" i="12"/>
  <c r="CK1484" i="12"/>
  <c r="CH1485" i="12"/>
  <c r="CJ1485" i="12"/>
  <c r="CK1485" i="12"/>
  <c r="CH1486" i="12"/>
  <c r="CJ1486" i="12"/>
  <c r="CK1486" i="12"/>
  <c r="CH1487" i="12"/>
  <c r="CJ1487" i="12"/>
  <c r="CK1487" i="12"/>
  <c r="CH1488" i="12"/>
  <c r="CJ1488" i="12"/>
  <c r="CK1488" i="12"/>
  <c r="CH1489" i="12"/>
  <c r="CJ1489" i="12"/>
  <c r="CK1489" i="12"/>
  <c r="CH1490" i="12"/>
  <c r="CJ1490" i="12"/>
  <c r="CK1490" i="12"/>
  <c r="CH1491" i="12"/>
  <c r="CJ1491" i="12"/>
  <c r="CK1491" i="12"/>
  <c r="CH1492" i="12"/>
  <c r="CJ1492" i="12"/>
  <c r="CK1492" i="12"/>
  <c r="CH1493" i="12"/>
  <c r="CJ1493" i="12"/>
  <c r="CK1493" i="12"/>
  <c r="CH1494" i="12"/>
  <c r="CJ1494" i="12"/>
  <c r="CK1494" i="12"/>
  <c r="CH1495" i="12"/>
  <c r="CJ1495" i="12"/>
  <c r="CK1495" i="12"/>
  <c r="CH1496" i="12"/>
  <c r="CJ1496" i="12"/>
  <c r="CK1496" i="12"/>
  <c r="CH1497" i="12"/>
  <c r="CJ1497" i="12"/>
  <c r="CK1497" i="12"/>
  <c r="CH1498" i="12"/>
  <c r="CJ1498" i="12"/>
  <c r="CK1498" i="12"/>
  <c r="CH1499" i="12"/>
  <c r="CJ1499" i="12"/>
  <c r="CK1499" i="12"/>
  <c r="CH1500" i="12"/>
  <c r="CJ1500" i="12"/>
  <c r="CK1500" i="12"/>
  <c r="CH1501" i="12"/>
  <c r="CJ1501" i="12"/>
  <c r="CK1501" i="12"/>
  <c r="CH1502" i="12"/>
  <c r="CJ1502" i="12"/>
  <c r="CK1502" i="12"/>
  <c r="CH1503" i="12"/>
  <c r="CJ1503" i="12"/>
  <c r="CK1503" i="12"/>
  <c r="CH1504" i="12"/>
  <c r="CJ1504" i="12"/>
  <c r="CK1504" i="12"/>
  <c r="CH1505" i="12"/>
  <c r="CJ1505" i="12"/>
  <c r="CK1505" i="12"/>
  <c r="CH1506" i="12"/>
  <c r="CJ1506" i="12"/>
  <c r="CK1506" i="12"/>
  <c r="CH1507" i="12"/>
  <c r="CJ1507" i="12"/>
  <c r="CK1507" i="12"/>
  <c r="CH1508" i="12"/>
  <c r="CJ1508" i="12"/>
  <c r="CK1508" i="12"/>
  <c r="CH1509" i="12"/>
  <c r="CJ1509" i="12"/>
  <c r="CK1509" i="12"/>
  <c r="CH1510" i="12"/>
  <c r="CJ1510" i="12"/>
  <c r="CK1510" i="12"/>
  <c r="CH1511" i="12"/>
  <c r="CJ1511" i="12"/>
  <c r="CK1511" i="12"/>
  <c r="CH1512" i="12"/>
  <c r="CJ1512" i="12"/>
  <c r="CK1512" i="12"/>
  <c r="CH1513" i="12"/>
  <c r="CJ1513" i="12"/>
  <c r="CK1513" i="12"/>
  <c r="CH1514" i="12"/>
  <c r="CJ1514" i="12"/>
  <c r="CK1514" i="12"/>
  <c r="CH1515" i="12"/>
  <c r="CJ1515" i="12"/>
  <c r="CK1515" i="12"/>
  <c r="CH1516" i="12"/>
  <c r="CJ1516" i="12"/>
  <c r="CK1516" i="12"/>
  <c r="CH1517" i="12"/>
  <c r="CJ1517" i="12"/>
  <c r="CK1517" i="12"/>
  <c r="CH1518" i="12"/>
  <c r="CJ1518" i="12"/>
  <c r="CK1518" i="12"/>
  <c r="CH1519" i="12"/>
  <c r="CJ1519" i="12"/>
  <c r="CK1519" i="12"/>
  <c r="CH1520" i="12"/>
  <c r="CJ1520" i="12"/>
  <c r="CK1520" i="12"/>
  <c r="CH1521" i="12"/>
  <c r="CJ1521" i="12"/>
  <c r="CK1521" i="12"/>
  <c r="CH1522" i="12"/>
  <c r="CJ1522" i="12"/>
  <c r="CK1522" i="12"/>
  <c r="CH1523" i="12"/>
  <c r="CJ1523" i="12"/>
  <c r="CK1523" i="12"/>
  <c r="CH1524" i="12"/>
  <c r="CJ1524" i="12"/>
  <c r="CK1524" i="12"/>
  <c r="CH1525" i="12"/>
  <c r="CJ1525" i="12"/>
  <c r="CK1525" i="12"/>
  <c r="CH1526" i="12"/>
  <c r="CJ1526" i="12"/>
  <c r="CK1526" i="12"/>
  <c r="CH1527" i="12"/>
  <c r="CJ1527" i="12"/>
  <c r="CK1527" i="12"/>
  <c r="CH1528" i="12"/>
  <c r="CJ1528" i="12"/>
  <c r="CK1528" i="12"/>
  <c r="CH1529" i="12"/>
  <c r="CJ1529" i="12"/>
  <c r="CK1529" i="12"/>
  <c r="CH1530" i="12"/>
  <c r="CJ1530" i="12"/>
  <c r="CK1530" i="12"/>
  <c r="CH1531" i="12"/>
  <c r="CJ1531" i="12"/>
  <c r="CK1531" i="12"/>
  <c r="CH1532" i="12"/>
  <c r="CJ1532" i="12"/>
  <c r="CK1532" i="12"/>
  <c r="CH1533" i="12"/>
  <c r="CJ1533" i="12"/>
  <c r="CK1533" i="12"/>
  <c r="CH1534" i="12"/>
  <c r="CJ1534" i="12"/>
  <c r="CK1534" i="12"/>
  <c r="CH1535" i="12"/>
  <c r="CJ1535" i="12"/>
  <c r="CK1535" i="12"/>
  <c r="CH1536" i="12"/>
  <c r="CJ1536" i="12"/>
  <c r="CK1536" i="12"/>
  <c r="CH1537" i="12"/>
  <c r="CJ1537" i="12"/>
  <c r="CK1537" i="12"/>
  <c r="CH1538" i="12"/>
  <c r="CJ1538" i="12"/>
  <c r="CK1538" i="12"/>
  <c r="CH1539" i="12"/>
  <c r="CJ1539" i="12"/>
  <c r="CK1539" i="12"/>
  <c r="CH1542" i="12"/>
  <c r="CJ1542" i="12"/>
  <c r="CK1542" i="12"/>
  <c r="CJ1543" i="12"/>
  <c r="CK1543" i="12"/>
  <c r="CH1544" i="12"/>
  <c r="CJ1544" i="12"/>
  <c r="CK1544" i="12"/>
  <c r="CH1545" i="12"/>
  <c r="CJ1545" i="12"/>
  <c r="CK1545" i="12"/>
  <c r="CH1546" i="12"/>
  <c r="CJ1546" i="12"/>
  <c r="CK1546" i="12"/>
  <c r="CH1547" i="12"/>
  <c r="CJ1547" i="12"/>
  <c r="CK1547" i="12"/>
  <c r="CH1548" i="12"/>
  <c r="CJ1548" i="12"/>
  <c r="CK1548" i="12"/>
  <c r="CH1549" i="12"/>
  <c r="CJ1549" i="12"/>
  <c r="CK1549" i="12"/>
  <c r="CH1550" i="12"/>
  <c r="CJ1550" i="12"/>
  <c r="CK1550" i="12"/>
  <c r="CH1551" i="12"/>
  <c r="CJ1551" i="12"/>
  <c r="CK1551" i="12"/>
  <c r="CH1552" i="12"/>
  <c r="CJ1552" i="12"/>
  <c r="CK1552" i="12"/>
  <c r="CH1381" i="12"/>
  <c r="AW1484" i="12"/>
  <c r="CH1484" i="12" s="1"/>
  <c r="AW1478" i="12"/>
  <c r="CH1478" i="12" s="1"/>
  <c r="AW1475" i="12"/>
  <c r="CH1475" i="12" s="1"/>
  <c r="AW1614" i="12"/>
  <c r="AW1615" i="12"/>
  <c r="CH1615" i="12" s="1"/>
  <c r="CH1541" i="12"/>
  <c r="CJ1541" i="12"/>
  <c r="CK1541" i="12"/>
  <c r="CH1603" i="12"/>
  <c r="CI1603" i="12" s="1"/>
  <c r="CJ1603" i="12"/>
  <c r="CK1603" i="12"/>
  <c r="CH1604" i="12"/>
  <c r="CJ1604" i="12"/>
  <c r="CK1604" i="12"/>
  <c r="CH1841" i="12"/>
  <c r="CI1841" i="12" s="1"/>
  <c r="CJ1841" i="12"/>
  <c r="CK1841" i="12"/>
  <c r="CH1842" i="12"/>
  <c r="CI1842" i="12" s="1"/>
  <c r="CJ1842" i="12"/>
  <c r="CK1842" i="12"/>
  <c r="CH1843" i="12"/>
  <c r="CI1843" i="12" s="1"/>
  <c r="CJ1843" i="12"/>
  <c r="CK1843" i="12"/>
  <c r="CH1844" i="12"/>
  <c r="CI1844" i="12" s="1"/>
  <c r="CJ1844" i="12"/>
  <c r="CK1844" i="12"/>
  <c r="CH1845" i="12"/>
  <c r="CI1845" i="12" s="1"/>
  <c r="CJ1845" i="12"/>
  <c r="CK1845" i="12"/>
  <c r="CH1846" i="12"/>
  <c r="CI1846" i="12" s="1"/>
  <c r="CJ1846" i="12"/>
  <c r="CK1846" i="12"/>
  <c r="CH1847" i="12"/>
  <c r="CI1847" i="12" s="1"/>
  <c r="CJ1847" i="12"/>
  <c r="CK1847" i="12"/>
  <c r="CH1848" i="12"/>
  <c r="CI1848" i="12" s="1"/>
  <c r="CJ1848" i="12"/>
  <c r="CK1848" i="12"/>
  <c r="CH1849" i="12"/>
  <c r="CI1849" i="12" s="1"/>
  <c r="CJ1849" i="12"/>
  <c r="CK1849" i="12"/>
  <c r="CH1850" i="12"/>
  <c r="CI1850" i="12" s="1"/>
  <c r="CJ1850" i="12"/>
  <c r="CK1850" i="12"/>
  <c r="CH1851" i="12"/>
  <c r="CI1851" i="12" s="1"/>
  <c r="CJ1851" i="12"/>
  <c r="CK1851" i="12"/>
  <c r="CH1852" i="12"/>
  <c r="CI1852" i="12" s="1"/>
  <c r="CJ1852" i="12"/>
  <c r="CK1852" i="12"/>
  <c r="CH1853" i="12"/>
  <c r="CI1853" i="12" s="1"/>
  <c r="CJ1853" i="12"/>
  <c r="CK1853" i="12"/>
  <c r="CH1854" i="12"/>
  <c r="CI1854" i="12" s="1"/>
  <c r="CJ1854" i="12"/>
  <c r="CK1854" i="12"/>
  <c r="CH1855" i="12"/>
  <c r="CI1855" i="12" s="1"/>
  <c r="CJ1855" i="12"/>
  <c r="CK1855" i="12"/>
  <c r="CH1856" i="12"/>
  <c r="CI1856" i="12" s="1"/>
  <c r="CJ1856" i="12"/>
  <c r="CK1856" i="12"/>
  <c r="CH1857" i="12"/>
  <c r="CI1857" i="12" s="1"/>
  <c r="CJ1857" i="12"/>
  <c r="CK1857" i="12"/>
  <c r="CH1858" i="12"/>
  <c r="CI1858" i="12" s="1"/>
  <c r="CJ1858" i="12"/>
  <c r="CK1858" i="12"/>
  <c r="CH1859" i="12"/>
  <c r="CI1859" i="12" s="1"/>
  <c r="CJ1859" i="12"/>
  <c r="CK1859" i="12"/>
  <c r="CH1860" i="12"/>
  <c r="CI1860" i="12" s="1"/>
  <c r="CJ1860" i="12"/>
  <c r="CK1860" i="12"/>
  <c r="CH1861" i="12"/>
  <c r="CI1861" i="12" s="1"/>
  <c r="CJ1861" i="12"/>
  <c r="CK1861" i="12"/>
  <c r="CH1862" i="12"/>
  <c r="CI1862" i="12" s="1"/>
  <c r="CJ1862" i="12"/>
  <c r="CK1862" i="12"/>
  <c r="CH1863" i="12"/>
  <c r="CI1863" i="12" s="1"/>
  <c r="CJ1863" i="12"/>
  <c r="CK1863" i="12"/>
  <c r="CH1864" i="12"/>
  <c r="CI1864" i="12" s="1"/>
  <c r="CJ1864" i="12"/>
  <c r="CK1864" i="12"/>
  <c r="CH1865" i="12"/>
  <c r="CI1865" i="12" s="1"/>
  <c r="CJ1865" i="12"/>
  <c r="CK1865" i="12"/>
  <c r="CH1866" i="12"/>
  <c r="CI1866" i="12" s="1"/>
  <c r="CJ1866" i="12"/>
  <c r="CK1866" i="12"/>
  <c r="CH1867" i="12"/>
  <c r="CI1867" i="12" s="1"/>
  <c r="CJ1867" i="12"/>
  <c r="CK1867" i="12"/>
  <c r="CH1868" i="12"/>
  <c r="CI1868" i="12" s="1"/>
  <c r="CJ1868" i="12"/>
  <c r="CK1868" i="12"/>
  <c r="CH1869" i="12"/>
  <c r="CI1869" i="12" s="1"/>
  <c r="CJ1869" i="12"/>
  <c r="CK1869" i="12"/>
  <c r="CH1870" i="12"/>
  <c r="CI1870" i="12" s="1"/>
  <c r="CJ1870" i="12"/>
  <c r="CK1870" i="12"/>
  <c r="CH1871" i="12"/>
  <c r="CI1871" i="12" s="1"/>
  <c r="CJ1871" i="12"/>
  <c r="CK1871" i="12"/>
  <c r="CH1872" i="12"/>
  <c r="CI1872" i="12" s="1"/>
  <c r="CJ1872" i="12"/>
  <c r="CK1872" i="12"/>
  <c r="CH1873" i="12"/>
  <c r="CI1873" i="12" s="1"/>
  <c r="CJ1873" i="12"/>
  <c r="CK1873" i="12"/>
  <c r="CH1874" i="12"/>
  <c r="CI1874" i="12" s="1"/>
  <c r="CJ1874" i="12"/>
  <c r="CK1874" i="12"/>
  <c r="CH1875" i="12"/>
  <c r="CI1875" i="12" s="1"/>
  <c r="CJ1875" i="12"/>
  <c r="CK1875" i="12"/>
  <c r="CH1876" i="12"/>
  <c r="CI1876" i="12" s="1"/>
  <c r="CJ1876" i="12"/>
  <c r="CK1876" i="12"/>
  <c r="CH1877" i="12"/>
  <c r="CI1877" i="12" s="1"/>
  <c r="CJ1877" i="12"/>
  <c r="CK1877" i="12"/>
  <c r="CH1878" i="12"/>
  <c r="CI1878" i="12" s="1"/>
  <c r="CJ1878" i="12"/>
  <c r="CK1878" i="12"/>
  <c r="CH1879" i="12"/>
  <c r="CI1879" i="12" s="1"/>
  <c r="CJ1879" i="12"/>
  <c r="CK1879" i="12"/>
  <c r="CH1880" i="12"/>
  <c r="CI1880" i="12" s="1"/>
  <c r="CJ1880" i="12"/>
  <c r="CK1880" i="12"/>
  <c r="CH1881" i="12"/>
  <c r="CI1881" i="12" s="1"/>
  <c r="CJ1881" i="12"/>
  <c r="CK1881" i="12"/>
  <c r="CH1882" i="12"/>
  <c r="CI1882" i="12" s="1"/>
  <c r="CJ1882" i="12"/>
  <c r="CK1882" i="12"/>
  <c r="CH1883" i="12"/>
  <c r="CI1883" i="12" s="1"/>
  <c r="CJ1883" i="12"/>
  <c r="CK1883" i="12"/>
  <c r="CH1884" i="12"/>
  <c r="CI1884" i="12" s="1"/>
  <c r="CJ1884" i="12"/>
  <c r="CK1884" i="12"/>
  <c r="CH1885" i="12"/>
  <c r="CI1885" i="12" s="1"/>
  <c r="CJ1885" i="12"/>
  <c r="CK1885" i="12"/>
  <c r="CH1886" i="12"/>
  <c r="CI1886" i="12" s="1"/>
  <c r="CJ1886" i="12"/>
  <c r="CK1886" i="12"/>
  <c r="CH1887" i="12"/>
  <c r="CI1887" i="12" s="1"/>
  <c r="CJ1887" i="12"/>
  <c r="CK1887" i="12"/>
  <c r="CH1888" i="12"/>
  <c r="CI1888" i="12" s="1"/>
  <c r="CJ1888" i="12"/>
  <c r="CK1888" i="12"/>
  <c r="CH1889" i="12"/>
  <c r="CI1889" i="12" s="1"/>
  <c r="CJ1889" i="12"/>
  <c r="CK1889" i="12"/>
  <c r="CH1890" i="12"/>
  <c r="CI1890" i="12" s="1"/>
  <c r="CJ1890" i="12"/>
  <c r="CK1890" i="12"/>
  <c r="CH1891" i="12"/>
  <c r="CI1891" i="12" s="1"/>
  <c r="CJ1891" i="12"/>
  <c r="CK1891" i="12"/>
  <c r="CH1892" i="12"/>
  <c r="CI1892" i="12" s="1"/>
  <c r="CJ1892" i="12"/>
  <c r="CK1892" i="12"/>
  <c r="CH1893" i="12"/>
  <c r="CI1893" i="12" s="1"/>
  <c r="CJ1893" i="12"/>
  <c r="CK1893" i="12"/>
  <c r="CH1894" i="12"/>
  <c r="CI1894" i="12" s="1"/>
  <c r="CJ1894" i="12"/>
  <c r="CK1894" i="12"/>
  <c r="CH1895" i="12"/>
  <c r="CI1895" i="12" s="1"/>
  <c r="CJ1895" i="12"/>
  <c r="CK1895" i="12"/>
  <c r="CH1896" i="12"/>
  <c r="CI1896" i="12" s="1"/>
  <c r="CJ1896" i="12"/>
  <c r="CK1896" i="12"/>
  <c r="CH1897" i="12"/>
  <c r="CI1897" i="12" s="1"/>
  <c r="CJ1897" i="12"/>
  <c r="CK1897" i="12"/>
  <c r="CH1898" i="12"/>
  <c r="CI1898" i="12" s="1"/>
  <c r="CJ1898" i="12"/>
  <c r="CK1898" i="12"/>
  <c r="CH1899" i="12"/>
  <c r="CI1899" i="12" s="1"/>
  <c r="CJ1899" i="12"/>
  <c r="CK1899" i="12"/>
  <c r="CH1900" i="12"/>
  <c r="CI1900" i="12" s="1"/>
  <c r="CJ1900" i="12"/>
  <c r="CK1900" i="12"/>
  <c r="CH1901" i="12"/>
  <c r="CI1901" i="12" s="1"/>
  <c r="CJ1901" i="12"/>
  <c r="CK1901" i="12"/>
  <c r="CH1902" i="12"/>
  <c r="CI1902" i="12" s="1"/>
  <c r="CJ1902" i="12"/>
  <c r="CK1902" i="12"/>
  <c r="CH1903" i="12"/>
  <c r="CI1903" i="12" s="1"/>
  <c r="CJ1903" i="12"/>
  <c r="CK1903" i="12"/>
  <c r="CH1904" i="12"/>
  <c r="CI1904" i="12" s="1"/>
  <c r="CJ1904" i="12"/>
  <c r="CK1904" i="12"/>
  <c r="CH1905" i="12"/>
  <c r="CI1905" i="12" s="1"/>
  <c r="CJ1905" i="12"/>
  <c r="CK1905" i="12"/>
  <c r="CH1906" i="12"/>
  <c r="CI1906" i="12" s="1"/>
  <c r="CJ1906" i="12"/>
  <c r="CK1906" i="12"/>
  <c r="CH1907" i="12"/>
  <c r="CI1907" i="12" s="1"/>
  <c r="CJ1907" i="12"/>
  <c r="CK1907" i="12"/>
  <c r="CH1908" i="12"/>
  <c r="CI1908" i="12" s="1"/>
  <c r="CJ1908" i="12"/>
  <c r="CK1908" i="12"/>
  <c r="CH1909" i="12"/>
  <c r="CI1909" i="12" s="1"/>
  <c r="CJ1909" i="12"/>
  <c r="CK1909" i="12"/>
  <c r="CH1910" i="12"/>
  <c r="CI1910" i="12" s="1"/>
  <c r="CJ1910" i="12"/>
  <c r="CK1910" i="12"/>
  <c r="CH1911" i="12"/>
  <c r="CI1911" i="12" s="1"/>
  <c r="CJ1911" i="12"/>
  <c r="CK1911" i="12"/>
  <c r="CH1912" i="12"/>
  <c r="CI1912" i="12" s="1"/>
  <c r="CJ1912" i="12"/>
  <c r="CK1912" i="12"/>
  <c r="CH1913" i="12"/>
  <c r="CI1913" i="12" s="1"/>
  <c r="CJ1913" i="12"/>
  <c r="CK1913" i="12"/>
  <c r="CH1914" i="12"/>
  <c r="CI1914" i="12" s="1"/>
  <c r="CJ1914" i="12"/>
  <c r="CK1914" i="12"/>
  <c r="CH1915" i="12"/>
  <c r="CI1915" i="12" s="1"/>
  <c r="CJ1915" i="12"/>
  <c r="CK1915" i="12"/>
  <c r="CH1916" i="12"/>
  <c r="CI1916" i="12" s="1"/>
  <c r="CJ1916" i="12"/>
  <c r="CK1916" i="12"/>
  <c r="CH1917" i="12"/>
  <c r="CI1917" i="12" s="1"/>
  <c r="CJ1917" i="12"/>
  <c r="CK1917" i="12"/>
  <c r="CH1918" i="12"/>
  <c r="CI1918" i="12" s="1"/>
  <c r="CJ1918" i="12"/>
  <c r="CK1918" i="12"/>
  <c r="CH1919" i="12"/>
  <c r="CI1919" i="12" s="1"/>
  <c r="CJ1919" i="12"/>
  <c r="CK1919" i="12"/>
  <c r="CH1920" i="12"/>
  <c r="CI1920" i="12" s="1"/>
  <c r="CJ1920" i="12"/>
  <c r="CK1920" i="12"/>
  <c r="CH1921" i="12"/>
  <c r="CI1921" i="12" s="1"/>
  <c r="CJ1921" i="12"/>
  <c r="CK1921" i="12"/>
  <c r="CH1922" i="12"/>
  <c r="CI1922" i="12" s="1"/>
  <c r="CJ1922" i="12"/>
  <c r="CK1922" i="12"/>
  <c r="CH1923" i="12"/>
  <c r="CI1923" i="12" s="1"/>
  <c r="CJ1923" i="12"/>
  <c r="CK1923" i="12"/>
  <c r="CH1924" i="12"/>
  <c r="CI1924" i="12" s="1"/>
  <c r="CJ1924" i="12"/>
  <c r="CK1924" i="12"/>
  <c r="CH1925" i="12"/>
  <c r="CI1925" i="12" s="1"/>
  <c r="CJ1925" i="12"/>
  <c r="CK1925" i="12"/>
  <c r="CH1926" i="12"/>
  <c r="CI1926" i="12" s="1"/>
  <c r="CJ1926" i="12"/>
  <c r="CK1926" i="12"/>
  <c r="CH1927" i="12"/>
  <c r="CI1927" i="12" s="1"/>
  <c r="CJ1927" i="12"/>
  <c r="CK1927" i="12"/>
  <c r="CH1928" i="12"/>
  <c r="CI1928" i="12" s="1"/>
  <c r="CJ1928" i="12"/>
  <c r="CK1928" i="12"/>
  <c r="CH1929" i="12"/>
  <c r="CI1929" i="12" s="1"/>
  <c r="CJ1929" i="12"/>
  <c r="CK1929" i="12"/>
  <c r="CH1930" i="12"/>
  <c r="CI1930" i="12" s="1"/>
  <c r="CJ1930" i="12"/>
  <c r="CK1930" i="12"/>
  <c r="CH1931" i="12"/>
  <c r="CI1931" i="12" s="1"/>
  <c r="CJ1931" i="12"/>
  <c r="CK1931" i="12"/>
  <c r="CH1932" i="12"/>
  <c r="CI1932" i="12" s="1"/>
  <c r="CJ1932" i="12"/>
  <c r="CK1932" i="12"/>
  <c r="CH1933" i="12"/>
  <c r="CI1933" i="12" s="1"/>
  <c r="CJ1933" i="12"/>
  <c r="CK1933" i="12"/>
  <c r="CH1934" i="12"/>
  <c r="CI1934" i="12" s="1"/>
  <c r="CJ1934" i="12"/>
  <c r="CK1934" i="12"/>
  <c r="CK1540" i="12"/>
  <c r="CJ1540" i="12"/>
  <c r="CH1540" i="12"/>
  <c r="AW1468" i="12"/>
  <c r="CH1468" i="12" s="1"/>
  <c r="AQ3" i="2"/>
  <c r="CB3" i="2"/>
  <c r="CC3" i="2"/>
  <c r="CD3" i="2"/>
  <c r="CE3" i="2"/>
  <c r="AQ4" i="2"/>
  <c r="CB4" i="2"/>
  <c r="CC4" i="2"/>
  <c r="CD4" i="2"/>
  <c r="CE4" i="2"/>
  <c r="E5" i="2"/>
  <c r="AQ5" i="2"/>
  <c r="CB5" i="2"/>
  <c r="CD5" i="2"/>
  <c r="CE5" i="2"/>
  <c r="AQ6" i="2"/>
  <c r="AS6" i="2"/>
  <c r="BG6" i="2"/>
  <c r="CB6" i="2"/>
  <c r="CC6" i="2" s="1"/>
  <c r="CD6" i="2"/>
  <c r="CE6" i="2"/>
  <c r="AQ7" i="2"/>
  <c r="AS7" i="2"/>
  <c r="CB7" i="2"/>
  <c r="CC7" i="2"/>
  <c r="CD7" i="2"/>
  <c r="CE7" i="2"/>
  <c r="AQ8" i="2"/>
  <c r="AS8" i="2"/>
  <c r="CB8" i="2" s="1"/>
  <c r="CC8" i="2" s="1"/>
  <c r="CD8" i="2"/>
  <c r="CE8" i="2"/>
  <c r="AQ9" i="2"/>
  <c r="AS9" i="2"/>
  <c r="BG9" i="2"/>
  <c r="CB9" i="2"/>
  <c r="CC9" i="2" s="1"/>
  <c r="CD9" i="2"/>
  <c r="CE9" i="2"/>
  <c r="AQ10" i="2"/>
  <c r="CB10" i="2"/>
  <c r="CD10" i="2"/>
  <c r="CE10" i="2"/>
  <c r="AQ11" i="2"/>
  <c r="CC11" i="2" s="1"/>
  <c r="CB11" i="2"/>
  <c r="CD11" i="2"/>
  <c r="CE11" i="2"/>
  <c r="AQ12" i="2"/>
  <c r="CB12" i="2"/>
  <c r="CC12" i="2"/>
  <c r="CD12" i="2"/>
  <c r="CE12" i="2"/>
  <c r="AQ13" i="2"/>
  <c r="CB13" i="2"/>
  <c r="CC13" i="2"/>
  <c r="CD13" i="2"/>
  <c r="CE13" i="2"/>
  <c r="D14" i="2"/>
  <c r="D15" i="2" s="1"/>
  <c r="D16" i="2" s="1"/>
  <c r="AQ14" i="2"/>
  <c r="CC14" i="2" s="1"/>
  <c r="BG14" i="2"/>
  <c r="CB14" i="2"/>
  <c r="CD14" i="2"/>
  <c r="CE14" i="2"/>
  <c r="E15" i="2"/>
  <c r="AQ15" i="2"/>
  <c r="CC15" i="2" s="1"/>
  <c r="CB15" i="2"/>
  <c r="CD15" i="2"/>
  <c r="CE15" i="2"/>
  <c r="AQ16" i="2"/>
  <c r="CB16" i="2"/>
  <c r="CC16" i="2"/>
  <c r="CD16" i="2"/>
  <c r="CE16" i="2"/>
  <c r="D17" i="2"/>
  <c r="E17" i="2"/>
  <c r="AQ17" i="2"/>
  <c r="CB17" i="2"/>
  <c r="CC17" i="2"/>
  <c r="CD17" i="2"/>
  <c r="CE17" i="2"/>
  <c r="AQ18" i="2"/>
  <c r="CB18" i="2"/>
  <c r="CC18" i="2"/>
  <c r="CD18" i="2"/>
  <c r="CE18" i="2"/>
  <c r="AQ19" i="2"/>
  <c r="CB19" i="2"/>
  <c r="CC19" i="2" s="1"/>
  <c r="CD19" i="2"/>
  <c r="CE19" i="2"/>
  <c r="AQ20" i="2"/>
  <c r="CC20" i="2" s="1"/>
  <c r="CB20" i="2"/>
  <c r="CD20" i="2"/>
  <c r="CE20" i="2"/>
  <c r="AQ21" i="2"/>
  <c r="CB21" i="2"/>
  <c r="CC21" i="2"/>
  <c r="CD21" i="2"/>
  <c r="CE21" i="2"/>
  <c r="AQ22" i="2"/>
  <c r="CB22" i="2"/>
  <c r="CC22" i="2" s="1"/>
  <c r="CD22" i="2"/>
  <c r="CE22" i="2"/>
  <c r="AQ23" i="2"/>
  <c r="CB23" i="2"/>
  <c r="CD23" i="2"/>
  <c r="CE23" i="2"/>
  <c r="AQ24" i="2"/>
  <c r="CC24" i="2" s="1"/>
  <c r="CB24" i="2"/>
  <c r="CD24" i="2"/>
  <c r="CE24" i="2"/>
  <c r="AQ25" i="2"/>
  <c r="CB25" i="2"/>
  <c r="CC25" i="2"/>
  <c r="CD25" i="2"/>
  <c r="CE25" i="2"/>
  <c r="AQ26" i="2"/>
  <c r="CB26" i="2"/>
  <c r="CC26" i="2"/>
  <c r="CD26" i="2"/>
  <c r="CE26" i="2"/>
  <c r="AQ27" i="2"/>
  <c r="CB27" i="2"/>
  <c r="CC27" i="2" s="1"/>
  <c r="CD27" i="2"/>
  <c r="CE27" i="2"/>
  <c r="AQ28" i="2"/>
  <c r="CC28" i="2" s="1"/>
  <c r="CB28" i="2"/>
  <c r="CD28" i="2"/>
  <c r="CE28" i="2"/>
  <c r="AQ29" i="2"/>
  <c r="CB29" i="2"/>
  <c r="CC29" i="2"/>
  <c r="CD29" i="2"/>
  <c r="CE29" i="2"/>
  <c r="AQ30" i="2"/>
  <c r="CB30" i="2"/>
  <c r="CC30" i="2" s="1"/>
  <c r="CD30" i="2"/>
  <c r="CE30" i="2"/>
  <c r="AQ31" i="2"/>
  <c r="CB31" i="2"/>
  <c r="CD31" i="2"/>
  <c r="CE31" i="2"/>
  <c r="AQ32" i="2"/>
  <c r="CC32" i="2" s="1"/>
  <c r="CB32" i="2"/>
  <c r="CD32" i="2"/>
  <c r="CE32" i="2"/>
  <c r="AQ33" i="2"/>
  <c r="CB33" i="2"/>
  <c r="CC33" i="2"/>
  <c r="CD33" i="2"/>
  <c r="CE33" i="2"/>
  <c r="AQ34" i="2"/>
  <c r="CB34" i="2"/>
  <c r="CC34" i="2"/>
  <c r="CD34" i="2"/>
  <c r="CE34" i="2"/>
  <c r="AQ35" i="2"/>
  <c r="CB35" i="2"/>
  <c r="CC35" i="2" s="1"/>
  <c r="CD35" i="2"/>
  <c r="CE35" i="2"/>
  <c r="AQ36" i="2"/>
  <c r="CC36" i="2" s="1"/>
  <c r="CB36" i="2"/>
  <c r="CD36" i="2"/>
  <c r="CE36" i="2"/>
  <c r="AQ37" i="2"/>
  <c r="CB37" i="2"/>
  <c r="CC37" i="2"/>
  <c r="CD37" i="2"/>
  <c r="CE37" i="2"/>
  <c r="AQ38" i="2"/>
  <c r="CB38" i="2"/>
  <c r="CC38" i="2" s="1"/>
  <c r="CD38" i="2"/>
  <c r="CE38" i="2"/>
  <c r="AQ39" i="2"/>
  <c r="CB39" i="2"/>
  <c r="CD39" i="2"/>
  <c r="CE39" i="2"/>
  <c r="E40" i="2"/>
  <c r="AQ40" i="2"/>
  <c r="CB40" i="2"/>
  <c r="CC40" i="2"/>
  <c r="CD40" i="2"/>
  <c r="CE40" i="2"/>
  <c r="E41" i="2"/>
  <c r="AQ41" i="2"/>
  <c r="CB41" i="2"/>
  <c r="CD41" i="2"/>
  <c r="CE41" i="2"/>
  <c r="AQ42" i="2"/>
  <c r="CC42" i="2" s="1"/>
  <c r="CB42" i="2"/>
  <c r="CD42" i="2"/>
  <c r="CE42" i="2"/>
  <c r="AQ43" i="2"/>
  <c r="CB43" i="2"/>
  <c r="CC43" i="2"/>
  <c r="CD43" i="2"/>
  <c r="CE43" i="2"/>
  <c r="AQ44" i="2"/>
  <c r="CB44" i="2"/>
  <c r="CC44" i="2"/>
  <c r="CD44" i="2"/>
  <c r="CE44" i="2"/>
  <c r="AQ45" i="2"/>
  <c r="CB45" i="2"/>
  <c r="CC45" i="2" s="1"/>
  <c r="CD45" i="2"/>
  <c r="CE45" i="2"/>
  <c r="AQ46" i="2"/>
  <c r="CC46" i="2" s="1"/>
  <c r="CB46" i="2"/>
  <c r="CD46" i="2"/>
  <c r="CE46" i="2"/>
  <c r="AQ47" i="2"/>
  <c r="CB47" i="2"/>
  <c r="CC47" i="2"/>
  <c r="CD47" i="2"/>
  <c r="CE47" i="2"/>
  <c r="AQ48" i="2"/>
  <c r="CB48" i="2"/>
  <c r="CC48" i="2" s="1"/>
  <c r="CD48" i="2"/>
  <c r="CE48" i="2"/>
  <c r="AQ49" i="2"/>
  <c r="CB49" i="2"/>
  <c r="CD49" i="2"/>
  <c r="CE49" i="2"/>
  <c r="AQ50" i="2"/>
  <c r="CC50" i="2" s="1"/>
  <c r="CB50" i="2"/>
  <c r="CD50" i="2"/>
  <c r="CE50" i="2"/>
  <c r="E51" i="2"/>
  <c r="AQ51" i="2"/>
  <c r="CB51" i="2"/>
  <c r="CC51" i="2"/>
  <c r="CD51" i="2"/>
  <c r="CE51" i="2"/>
  <c r="E52" i="2"/>
  <c r="AQ52" i="2"/>
  <c r="CC52" i="2" s="1"/>
  <c r="CB52" i="2"/>
  <c r="CD52" i="2"/>
  <c r="CE52" i="2"/>
  <c r="AQ53" i="2"/>
  <c r="CB53" i="2"/>
  <c r="CC53" i="2"/>
  <c r="CD53" i="2"/>
  <c r="CE53" i="2"/>
  <c r="AQ54" i="2"/>
  <c r="CB54" i="2"/>
  <c r="CC54" i="2" s="1"/>
  <c r="CD54" i="2"/>
  <c r="CE54" i="2"/>
  <c r="AQ55" i="2"/>
  <c r="CB55" i="2"/>
  <c r="CD55" i="2"/>
  <c r="CE55" i="2"/>
  <c r="AQ56" i="2"/>
  <c r="AS56" i="2"/>
  <c r="AT56" i="2"/>
  <c r="CB56" i="2"/>
  <c r="CC56" i="2" s="1"/>
  <c r="CD56" i="2"/>
  <c r="CE56" i="2"/>
  <c r="AQ57" i="2"/>
  <c r="CB57" i="2"/>
  <c r="CD57" i="2"/>
  <c r="CE57" i="2"/>
  <c r="AQ58" i="2"/>
  <c r="CC58" i="2" s="1"/>
  <c r="CB58" i="2"/>
  <c r="CD58" i="2"/>
  <c r="CE58" i="2"/>
  <c r="AQ59" i="2"/>
  <c r="CB59" i="2"/>
  <c r="CC59" i="2"/>
  <c r="CD59" i="2"/>
  <c r="CE59" i="2"/>
  <c r="E60" i="2"/>
  <c r="AQ60" i="2"/>
  <c r="CB60" i="2"/>
  <c r="CC60" i="2" s="1"/>
  <c r="CD60" i="2"/>
  <c r="CE60" i="2"/>
  <c r="AQ61" i="2"/>
  <c r="CC61" i="2" s="1"/>
  <c r="CB61" i="2"/>
  <c r="CD61" i="2"/>
  <c r="CE61" i="2"/>
  <c r="AQ62" i="2"/>
  <c r="CB62" i="2"/>
  <c r="CC62" i="2"/>
  <c r="CD62" i="2"/>
  <c r="CE62" i="2"/>
  <c r="AQ63" i="2"/>
  <c r="CB63" i="2"/>
  <c r="CC63" i="2" s="1"/>
  <c r="CD63" i="2"/>
  <c r="CE63" i="2"/>
  <c r="AQ64" i="2"/>
  <c r="CB64" i="2"/>
  <c r="CD64" i="2"/>
  <c r="CE64" i="2"/>
  <c r="AQ65" i="2"/>
  <c r="CC65" i="2" s="1"/>
  <c r="CB65" i="2"/>
  <c r="CD65" i="2"/>
  <c r="CE65" i="2"/>
  <c r="E66" i="2"/>
  <c r="AQ66" i="2"/>
  <c r="CB66" i="2"/>
  <c r="CC66" i="2"/>
  <c r="CD66" i="2"/>
  <c r="CE66" i="2"/>
  <c r="E67" i="2"/>
  <c r="E68" i="2" s="1"/>
  <c r="AQ67" i="2"/>
  <c r="CC67" i="2" s="1"/>
  <c r="CB67" i="2"/>
  <c r="CD67" i="2"/>
  <c r="CE67" i="2"/>
  <c r="AQ68" i="2"/>
  <c r="CB68" i="2"/>
  <c r="CC68" i="2" s="1"/>
  <c r="CD68" i="2"/>
  <c r="CE68" i="2"/>
  <c r="E69" i="2"/>
  <c r="E70" i="2" s="1"/>
  <c r="E71" i="2" s="1"/>
  <c r="E72" i="2" s="1"/>
  <c r="AQ69" i="2"/>
  <c r="CC69" i="2" s="1"/>
  <c r="CB69" i="2"/>
  <c r="CD69" i="2"/>
  <c r="CE69" i="2"/>
  <c r="AQ70" i="2"/>
  <c r="AS70" i="2"/>
  <c r="AT70" i="2"/>
  <c r="AT75" i="2" s="1"/>
  <c r="CD70" i="2"/>
  <c r="CE70" i="2"/>
  <c r="AQ71" i="2"/>
  <c r="CB71" i="2"/>
  <c r="CC71" i="2"/>
  <c r="CD71" i="2"/>
  <c r="CE71" i="2"/>
  <c r="AQ72" i="2"/>
  <c r="CC72" i="2" s="1"/>
  <c r="CB72" i="2"/>
  <c r="CD72" i="2"/>
  <c r="CE72" i="2"/>
  <c r="E73" i="2"/>
  <c r="AQ73" i="2"/>
  <c r="CB73" i="2"/>
  <c r="CC73" i="2"/>
  <c r="CD73" i="2"/>
  <c r="CE73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R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E75" i="2"/>
  <c r="AQ76" i="2"/>
  <c r="CB76" i="2"/>
  <c r="CC76" i="2" s="1"/>
  <c r="CD76" i="2"/>
  <c r="CE76" i="2"/>
  <c r="AQ77" i="2"/>
  <c r="CC77" i="2" s="1"/>
  <c r="CB77" i="2"/>
  <c r="CD77" i="2"/>
  <c r="CE77" i="2"/>
  <c r="AQ78" i="2"/>
  <c r="CB78" i="2"/>
  <c r="CC78" i="2"/>
  <c r="CD78" i="2"/>
  <c r="CE78" i="2"/>
  <c r="AQ79" i="2"/>
  <c r="CB79" i="2"/>
  <c r="CC79" i="2" s="1"/>
  <c r="CD79" i="2"/>
  <c r="CE79" i="2"/>
  <c r="AQ80" i="2"/>
  <c r="CB80" i="2"/>
  <c r="CD80" i="2"/>
  <c r="CE80" i="2"/>
  <c r="AQ81" i="2"/>
  <c r="CC81" i="2" s="1"/>
  <c r="CB81" i="2"/>
  <c r="CD81" i="2"/>
  <c r="CE81" i="2"/>
  <c r="AQ82" i="2"/>
  <c r="CB82" i="2"/>
  <c r="CC82" i="2"/>
  <c r="CD82" i="2"/>
  <c r="CE82" i="2"/>
  <c r="AQ83" i="2"/>
  <c r="CB83" i="2"/>
  <c r="CC83" i="2"/>
  <c r="CD83" i="2"/>
  <c r="CE83" i="2"/>
  <c r="AQ84" i="2"/>
  <c r="CB84" i="2"/>
  <c r="CD84" i="2"/>
  <c r="CE84" i="2"/>
  <c r="AQ85" i="2"/>
  <c r="CC85" i="2" s="1"/>
  <c r="CB85" i="2"/>
  <c r="CD85" i="2"/>
  <c r="CE85" i="2"/>
  <c r="AQ86" i="2"/>
  <c r="CB86" i="2"/>
  <c r="CC86" i="2"/>
  <c r="CD86" i="2"/>
  <c r="CE86" i="2"/>
  <c r="AQ87" i="2"/>
  <c r="CB87" i="2"/>
  <c r="CC87" i="2" s="1"/>
  <c r="CD87" i="2"/>
  <c r="CE87" i="2"/>
  <c r="AQ88" i="2"/>
  <c r="CB88" i="2"/>
  <c r="CD88" i="2"/>
  <c r="CE88" i="2"/>
  <c r="AQ89" i="2"/>
  <c r="CC89" i="2" s="1"/>
  <c r="CB89" i="2"/>
  <c r="CD89" i="2"/>
  <c r="CE89" i="2"/>
  <c r="AQ90" i="2"/>
  <c r="CB90" i="2"/>
  <c r="CC90" i="2"/>
  <c r="CD90" i="2"/>
  <c r="CE90" i="2"/>
  <c r="D93" i="2"/>
  <c r="AQ93" i="2"/>
  <c r="CB93" i="2"/>
  <c r="CD93" i="2"/>
  <c r="CE93" i="2"/>
  <c r="AQ94" i="2"/>
  <c r="CC94" i="2" s="1"/>
  <c r="CB94" i="2"/>
  <c r="CD94" i="2"/>
  <c r="CE94" i="2"/>
  <c r="AQ95" i="2"/>
  <c r="CB95" i="2"/>
  <c r="CC95" i="2"/>
  <c r="CD95" i="2"/>
  <c r="CE95" i="2"/>
  <c r="AQ96" i="2"/>
  <c r="AS96" i="2"/>
  <c r="CB96" i="2" s="1"/>
  <c r="CC96" i="2" s="1"/>
  <c r="CD96" i="2"/>
  <c r="CE96" i="2"/>
  <c r="AQ97" i="2"/>
  <c r="CC97" i="2" s="1"/>
  <c r="CB97" i="2"/>
  <c r="CD97" i="2"/>
  <c r="CE97" i="2"/>
  <c r="AQ98" i="2"/>
  <c r="AS98" i="2"/>
  <c r="CB98" i="2"/>
  <c r="CC98" i="2"/>
  <c r="CD98" i="2"/>
  <c r="CE98" i="2"/>
  <c r="E99" i="2"/>
  <c r="AQ99" i="2"/>
  <c r="CC99" i="2" s="1"/>
  <c r="CB99" i="2"/>
  <c r="CD99" i="2"/>
  <c r="CE99" i="2"/>
  <c r="AQ100" i="2"/>
  <c r="CB100" i="2"/>
  <c r="CC100" i="2"/>
  <c r="CD100" i="2"/>
  <c r="CE100" i="2"/>
  <c r="AQ101" i="2"/>
  <c r="CB101" i="2"/>
  <c r="CC101" i="2"/>
  <c r="CD101" i="2"/>
  <c r="CE101" i="2"/>
  <c r="E102" i="2"/>
  <c r="E103" i="2" s="1"/>
  <c r="AQ102" i="2"/>
  <c r="CC102" i="2" s="1"/>
  <c r="CB102" i="2"/>
  <c r="CD102" i="2"/>
  <c r="CE102" i="2"/>
  <c r="AQ103" i="2"/>
  <c r="CB103" i="2"/>
  <c r="CC103" i="2" s="1"/>
  <c r="CD103" i="2"/>
  <c r="CE103" i="2"/>
  <c r="E104" i="2"/>
  <c r="AQ104" i="2"/>
  <c r="CC104" i="2" s="1"/>
  <c r="CB104" i="2"/>
  <c r="CD104" i="2"/>
  <c r="CE104" i="2"/>
  <c r="AQ105" i="2"/>
  <c r="CB105" i="2"/>
  <c r="CC105" i="2"/>
  <c r="CD105" i="2"/>
  <c r="CE105" i="2"/>
  <c r="AQ106" i="2"/>
  <c r="CB106" i="2"/>
  <c r="CC106" i="2" s="1"/>
  <c r="CD106" i="2"/>
  <c r="CE106" i="2"/>
  <c r="AQ107" i="2"/>
  <c r="CB107" i="2"/>
  <c r="CD107" i="2"/>
  <c r="CE107" i="2"/>
  <c r="AQ108" i="2"/>
  <c r="CC108" i="2" s="1"/>
  <c r="CB108" i="2"/>
  <c r="CD108" i="2"/>
  <c r="CE108" i="2"/>
  <c r="AQ109" i="2"/>
  <c r="CB109" i="2"/>
  <c r="CC109" i="2"/>
  <c r="CD109" i="2"/>
  <c r="CE109" i="2"/>
  <c r="AQ110" i="2"/>
  <c r="CB110" i="2"/>
  <c r="CC110" i="2" s="1"/>
  <c r="CD110" i="2"/>
  <c r="CE110" i="2"/>
  <c r="AQ111" i="2"/>
  <c r="CB111" i="2"/>
  <c r="CD111" i="2"/>
  <c r="CE111" i="2"/>
  <c r="AQ112" i="2"/>
  <c r="CC112" i="2" s="1"/>
  <c r="CB112" i="2"/>
  <c r="CD112" i="2"/>
  <c r="CE112" i="2"/>
  <c r="AQ113" i="2"/>
  <c r="CB113" i="2"/>
  <c r="CC113" i="2"/>
  <c r="CD113" i="2"/>
  <c r="CE113" i="2"/>
  <c r="AQ114" i="2"/>
  <c r="CB114" i="2"/>
  <c r="CC114" i="2" s="1"/>
  <c r="CD114" i="2"/>
  <c r="CE114" i="2"/>
  <c r="AQ115" i="2"/>
  <c r="CB115" i="2"/>
  <c r="CD115" i="2"/>
  <c r="CE115" i="2"/>
  <c r="AQ116" i="2"/>
  <c r="CC116" i="2" s="1"/>
  <c r="CB116" i="2"/>
  <c r="CD116" i="2"/>
  <c r="CE116" i="2"/>
  <c r="AQ117" i="2"/>
  <c r="CB117" i="2"/>
  <c r="CC117" i="2"/>
  <c r="CD117" i="2"/>
  <c r="CE117" i="2"/>
  <c r="E118" i="2"/>
  <c r="AQ118" i="2"/>
  <c r="CB118" i="2"/>
  <c r="CD118" i="2"/>
  <c r="CE118" i="2"/>
  <c r="E119" i="2"/>
  <c r="E120" i="2" s="1"/>
  <c r="AQ119" i="2"/>
  <c r="CB119" i="2"/>
  <c r="CC119" i="2"/>
  <c r="CD119" i="2"/>
  <c r="CE119" i="2"/>
  <c r="AQ120" i="2"/>
  <c r="CB120" i="2"/>
  <c r="CD120" i="2"/>
  <c r="CE120" i="2"/>
  <c r="E121" i="2"/>
  <c r="E122" i="2" s="1"/>
  <c r="E123" i="2" s="1"/>
  <c r="E124" i="2" s="1"/>
  <c r="AQ121" i="2"/>
  <c r="CB121" i="2"/>
  <c r="CC121" i="2"/>
  <c r="CD121" i="2"/>
  <c r="CE121" i="2"/>
  <c r="AQ122" i="2"/>
  <c r="CB122" i="2"/>
  <c r="CD122" i="2"/>
  <c r="CE122" i="2"/>
  <c r="AQ123" i="2"/>
  <c r="CB123" i="2"/>
  <c r="CC123" i="2"/>
  <c r="CD123" i="2"/>
  <c r="CE123" i="2"/>
  <c r="AQ124" i="2"/>
  <c r="CB124" i="2"/>
  <c r="CC124" i="2" s="1"/>
  <c r="CD124" i="2"/>
  <c r="CE124" i="2"/>
  <c r="E125" i="2"/>
  <c r="E126" i="2" s="1"/>
  <c r="E127" i="2" s="1"/>
  <c r="AQ125" i="2"/>
  <c r="AS125" i="2"/>
  <c r="CB125" i="2"/>
  <c r="CC125" i="2"/>
  <c r="CD125" i="2"/>
  <c r="CE125" i="2"/>
  <c r="AQ126" i="2"/>
  <c r="CC126" i="2" s="1"/>
  <c r="CB126" i="2"/>
  <c r="CD126" i="2"/>
  <c r="CE126" i="2"/>
  <c r="AQ127" i="2"/>
  <c r="AS127" i="2"/>
  <c r="CB127" i="2" s="1"/>
  <c r="CC127" i="2" s="1"/>
  <c r="CD127" i="2"/>
  <c r="CE127" i="2"/>
  <c r="AQ128" i="2"/>
  <c r="CC128" i="2" s="1"/>
  <c r="CB128" i="2"/>
  <c r="CD128" i="2"/>
  <c r="CE128" i="2"/>
  <c r="AQ129" i="2"/>
  <c r="CB129" i="2"/>
  <c r="CC129" i="2"/>
  <c r="CD129" i="2"/>
  <c r="CE129" i="2"/>
  <c r="AQ130" i="2"/>
  <c r="CB130" i="2"/>
  <c r="CC130" i="2"/>
  <c r="CD130" i="2"/>
  <c r="CE130" i="2"/>
  <c r="AQ131" i="2"/>
  <c r="CB131" i="2"/>
  <c r="CC131" i="2" s="1"/>
  <c r="CD131" i="2"/>
  <c r="CE131" i="2"/>
  <c r="AQ132" i="2"/>
  <c r="CC132" i="2" s="1"/>
  <c r="CB132" i="2"/>
  <c r="CD132" i="2"/>
  <c r="CE132" i="2"/>
  <c r="AQ133" i="2"/>
  <c r="CB133" i="2"/>
  <c r="CC133" i="2"/>
  <c r="CD133" i="2"/>
  <c r="CE133" i="2"/>
  <c r="AQ134" i="2"/>
  <c r="CB134" i="2"/>
  <c r="CC134" i="2" s="1"/>
  <c r="CD134" i="2"/>
  <c r="CE134" i="2"/>
  <c r="AQ135" i="2"/>
  <c r="CB135" i="2"/>
  <c r="CD135" i="2"/>
  <c r="CE135" i="2"/>
  <c r="AQ136" i="2"/>
  <c r="CC136" i="2" s="1"/>
  <c r="CB136" i="2"/>
  <c r="CD136" i="2"/>
  <c r="CE136" i="2"/>
  <c r="AQ137" i="2"/>
  <c r="AS137" i="2"/>
  <c r="AT137" i="2"/>
  <c r="CB137" i="2"/>
  <c r="CC137" i="2" s="1"/>
  <c r="CD137" i="2"/>
  <c r="CE137" i="2"/>
  <c r="AQ138" i="2"/>
  <c r="CC138" i="2" s="1"/>
  <c r="CB138" i="2"/>
  <c r="CD138" i="2"/>
  <c r="CE138" i="2"/>
  <c r="AQ139" i="2"/>
  <c r="CB139" i="2"/>
  <c r="CC139" i="2"/>
  <c r="CD139" i="2"/>
  <c r="CE139" i="2"/>
  <c r="AQ140" i="2"/>
  <c r="CB140" i="2"/>
  <c r="CC140" i="2" s="1"/>
  <c r="CD140" i="2"/>
  <c r="CE140" i="2"/>
  <c r="AQ141" i="2"/>
  <c r="CB141" i="2"/>
  <c r="CD141" i="2"/>
  <c r="CE141" i="2"/>
  <c r="AQ142" i="2"/>
  <c r="CC142" i="2" s="1"/>
  <c r="CB142" i="2"/>
  <c r="CD142" i="2"/>
  <c r="CE142" i="2"/>
  <c r="AQ143" i="2"/>
  <c r="CB143" i="2"/>
  <c r="CC143" i="2"/>
  <c r="CD143" i="2"/>
  <c r="CE143" i="2"/>
  <c r="AQ144" i="2"/>
  <c r="CB144" i="2"/>
  <c r="CC144" i="2"/>
  <c r="CD144" i="2"/>
  <c r="CE144" i="2"/>
  <c r="AQ145" i="2"/>
  <c r="CB145" i="2"/>
  <c r="CC145" i="2" s="1"/>
  <c r="CD145" i="2"/>
  <c r="CE145" i="2"/>
  <c r="AQ146" i="2"/>
  <c r="CC146" i="2" s="1"/>
  <c r="CB146" i="2"/>
  <c r="CD146" i="2"/>
  <c r="CE146" i="2"/>
  <c r="AQ147" i="2"/>
  <c r="CB147" i="2"/>
  <c r="CC147" i="2"/>
  <c r="CD147" i="2"/>
  <c r="CE147" i="2"/>
  <c r="AQ148" i="2"/>
  <c r="CB148" i="2"/>
  <c r="CC148" i="2" s="1"/>
  <c r="CD148" i="2"/>
  <c r="CE148" i="2"/>
  <c r="AQ149" i="2"/>
  <c r="CB149" i="2"/>
  <c r="CD149" i="2"/>
  <c r="CE149" i="2"/>
  <c r="AQ150" i="2"/>
  <c r="CC150" i="2" s="1"/>
  <c r="CB150" i="2"/>
  <c r="CD150" i="2"/>
  <c r="CE150" i="2"/>
  <c r="AQ151" i="2"/>
  <c r="CB151" i="2"/>
  <c r="CC151" i="2"/>
  <c r="CD151" i="2"/>
  <c r="CE151" i="2"/>
  <c r="E152" i="2"/>
  <c r="AQ152" i="2"/>
  <c r="CB152" i="2"/>
  <c r="CC152" i="2" s="1"/>
  <c r="CD152" i="2"/>
  <c r="CE152" i="2"/>
  <c r="AQ153" i="2"/>
  <c r="AS153" i="2"/>
  <c r="AT153" i="2"/>
  <c r="CB153" i="2"/>
  <c r="CC153" i="2" s="1"/>
  <c r="CD153" i="2"/>
  <c r="CE153" i="2"/>
  <c r="E154" i="2"/>
  <c r="AQ154" i="2"/>
  <c r="AS154" i="2"/>
  <c r="AT154" i="2"/>
  <c r="CB154" i="2"/>
  <c r="CC154" i="2" s="1"/>
  <c r="CD154" i="2"/>
  <c r="CE154" i="2"/>
  <c r="E155" i="2"/>
  <c r="E156" i="2" s="1"/>
  <c r="AQ155" i="2"/>
  <c r="CC155" i="2" s="1"/>
  <c r="CB155" i="2"/>
  <c r="CD155" i="2"/>
  <c r="CE155" i="2"/>
  <c r="AQ156" i="2"/>
  <c r="CB156" i="2"/>
  <c r="CC156" i="2" s="1"/>
  <c r="CD156" i="2"/>
  <c r="CE156" i="2"/>
  <c r="E157" i="2"/>
  <c r="E158" i="2" s="1"/>
  <c r="AQ157" i="2"/>
  <c r="CC157" i="2" s="1"/>
  <c r="CB157" i="2"/>
  <c r="CD157" i="2"/>
  <c r="CE157" i="2"/>
  <c r="AQ158" i="2"/>
  <c r="CB158" i="2"/>
  <c r="CC158" i="2" s="1"/>
  <c r="CD158" i="2"/>
  <c r="CE158" i="2"/>
  <c r="AQ159" i="2"/>
  <c r="CB159" i="2"/>
  <c r="CD159" i="2"/>
  <c r="CE159" i="2"/>
  <c r="AQ160" i="2"/>
  <c r="AS160" i="2"/>
  <c r="AT160" i="2"/>
  <c r="CB160" i="2"/>
  <c r="CC160" i="2" s="1"/>
  <c r="CD160" i="2"/>
  <c r="CE160" i="2"/>
  <c r="AQ161" i="2"/>
  <c r="CB161" i="2"/>
  <c r="CD161" i="2"/>
  <c r="CE161" i="2"/>
  <c r="AQ162" i="2"/>
  <c r="CC162" i="2" s="1"/>
  <c r="CB162" i="2"/>
  <c r="CD162" i="2"/>
  <c r="CE162" i="2"/>
  <c r="AQ163" i="2"/>
  <c r="CB163" i="2"/>
  <c r="CC163" i="2"/>
  <c r="CD163" i="2"/>
  <c r="CE163" i="2"/>
  <c r="AQ164" i="2"/>
  <c r="CB164" i="2"/>
  <c r="CC164" i="2"/>
  <c r="CD164" i="2"/>
  <c r="CE164" i="2"/>
  <c r="AQ165" i="2"/>
  <c r="CB165" i="2"/>
  <c r="CC165" i="2" s="1"/>
  <c r="CD165" i="2"/>
  <c r="CE165" i="2"/>
  <c r="AQ166" i="2"/>
  <c r="CC166" i="2" s="1"/>
  <c r="CB166" i="2"/>
  <c r="CD166" i="2"/>
  <c r="CE166" i="2"/>
  <c r="AQ167" i="2"/>
  <c r="CB167" i="2"/>
  <c r="CC167" i="2"/>
  <c r="CD167" i="2"/>
  <c r="CE167" i="2"/>
  <c r="AQ168" i="2"/>
  <c r="CB168" i="2"/>
  <c r="CC168" i="2" s="1"/>
  <c r="CD168" i="2"/>
  <c r="CE168" i="2"/>
  <c r="AQ169" i="2"/>
  <c r="CB169" i="2"/>
  <c r="CD169" i="2"/>
  <c r="CE169" i="2"/>
  <c r="AQ170" i="2"/>
  <c r="CC170" i="2" s="1"/>
  <c r="CB170" i="2"/>
  <c r="CD170" i="2"/>
  <c r="CE170" i="2"/>
  <c r="AQ171" i="2"/>
  <c r="CB171" i="2"/>
  <c r="CC171" i="2"/>
  <c r="CD171" i="2"/>
  <c r="CE171" i="2"/>
  <c r="AQ172" i="2"/>
  <c r="CB172" i="2"/>
  <c r="CC172" i="2"/>
  <c r="CD172" i="2"/>
  <c r="CE172" i="2"/>
  <c r="AQ173" i="2"/>
  <c r="CB173" i="2"/>
  <c r="CC173" i="2" s="1"/>
  <c r="CD173" i="2"/>
  <c r="CE173" i="2"/>
  <c r="AQ174" i="2"/>
  <c r="CC174" i="2" s="1"/>
  <c r="CB174" i="2"/>
  <c r="CD174" i="2"/>
  <c r="CE174" i="2"/>
  <c r="AQ175" i="2"/>
  <c r="CB175" i="2"/>
  <c r="CC175" i="2"/>
  <c r="CD175" i="2"/>
  <c r="CE175" i="2"/>
  <c r="AQ176" i="2"/>
  <c r="CB176" i="2"/>
  <c r="CC176" i="2" s="1"/>
  <c r="CD176" i="2"/>
  <c r="CE176" i="2"/>
  <c r="AQ177" i="2"/>
  <c r="CB177" i="2"/>
  <c r="CD177" i="2"/>
  <c r="CE177" i="2"/>
  <c r="AQ178" i="2"/>
  <c r="CC178" i="2" s="1"/>
  <c r="CB178" i="2"/>
  <c r="CD178" i="2"/>
  <c r="CE178" i="2"/>
  <c r="AQ179" i="2"/>
  <c r="CB179" i="2"/>
  <c r="CC179" i="2"/>
  <c r="CD179" i="2"/>
  <c r="CE179" i="2"/>
  <c r="AQ180" i="2"/>
  <c r="CB180" i="2"/>
  <c r="CC180" i="2"/>
  <c r="CD180" i="2"/>
  <c r="CE180" i="2"/>
  <c r="AQ181" i="2"/>
  <c r="CB181" i="2"/>
  <c r="CC181" i="2" s="1"/>
  <c r="CD181" i="2"/>
  <c r="CE181" i="2"/>
  <c r="AQ182" i="2"/>
  <c r="CC182" i="2" s="1"/>
  <c r="CB182" i="2"/>
  <c r="CD182" i="2"/>
  <c r="CE182" i="2"/>
  <c r="AQ183" i="2"/>
  <c r="CB183" i="2"/>
  <c r="CC183" i="2"/>
  <c r="CD183" i="2"/>
  <c r="CE183" i="2"/>
  <c r="AQ184" i="2"/>
  <c r="CB184" i="2"/>
  <c r="CC184" i="2" s="1"/>
  <c r="CD184" i="2"/>
  <c r="CE184" i="2"/>
  <c r="AQ185" i="2"/>
  <c r="CB185" i="2"/>
  <c r="CD185" i="2"/>
  <c r="CE185" i="2"/>
  <c r="AQ186" i="2"/>
  <c r="CC186" i="2" s="1"/>
  <c r="CB186" i="2"/>
  <c r="CD186" i="2"/>
  <c r="CE186" i="2"/>
  <c r="AQ187" i="2"/>
  <c r="CB187" i="2"/>
  <c r="CC187" i="2"/>
  <c r="CD187" i="2"/>
  <c r="CE187" i="2"/>
  <c r="AQ188" i="2"/>
  <c r="CB188" i="2"/>
  <c r="CC188" i="2"/>
  <c r="CD188" i="2"/>
  <c r="CE188" i="2"/>
  <c r="AQ189" i="2"/>
  <c r="CB189" i="2"/>
  <c r="CC189" i="2" s="1"/>
  <c r="CD189" i="2"/>
  <c r="CE189" i="2"/>
  <c r="AQ190" i="2"/>
  <c r="CC190" i="2" s="1"/>
  <c r="CB190" i="2"/>
  <c r="CD190" i="2"/>
  <c r="CE190" i="2"/>
  <c r="AQ191" i="2"/>
  <c r="CB191" i="2"/>
  <c r="CC191" i="2" s="1"/>
  <c r="CD191" i="2"/>
  <c r="CE191" i="2"/>
  <c r="AQ192" i="2"/>
  <c r="CB192" i="2"/>
  <c r="CC192" i="2"/>
  <c r="CD192" i="2"/>
  <c r="CE192" i="2"/>
  <c r="AQ193" i="2"/>
  <c r="CB193" i="2"/>
  <c r="CC193" i="2" s="1"/>
  <c r="CD193" i="2"/>
  <c r="CE193" i="2"/>
  <c r="AQ194" i="2"/>
  <c r="CB194" i="2"/>
  <c r="CC194" i="2"/>
  <c r="CD194" i="2"/>
  <c r="CE194" i="2"/>
  <c r="AQ195" i="2"/>
  <c r="CB195" i="2"/>
  <c r="CC195" i="2" s="1"/>
  <c r="CD195" i="2"/>
  <c r="CE195" i="2"/>
  <c r="AQ196" i="2"/>
  <c r="CB196" i="2"/>
  <c r="CD196" i="2"/>
  <c r="CE196" i="2"/>
  <c r="AQ197" i="2"/>
  <c r="AT197" i="2"/>
  <c r="CB197" i="2" s="1"/>
  <c r="CC197" i="2"/>
  <c r="CD197" i="2"/>
  <c r="CE197" i="2"/>
  <c r="AQ198" i="2"/>
  <c r="CB198" i="2"/>
  <c r="CC198" i="2"/>
  <c r="CD198" i="2"/>
  <c r="CE198" i="2"/>
  <c r="AQ199" i="2"/>
  <c r="CB199" i="2"/>
  <c r="CC199" i="2" s="1"/>
  <c r="CD199" i="2"/>
  <c r="CE199" i="2"/>
  <c r="AQ200" i="2"/>
  <c r="CB200" i="2"/>
  <c r="CD200" i="2"/>
  <c r="CE200" i="2"/>
  <c r="AQ201" i="2"/>
  <c r="CC201" i="2" s="1"/>
  <c r="CB201" i="2"/>
  <c r="CD201" i="2"/>
  <c r="CE201" i="2"/>
  <c r="E202" i="2"/>
  <c r="AQ202" i="2"/>
  <c r="CB202" i="2"/>
  <c r="CC202" i="2" s="1"/>
  <c r="CD202" i="2"/>
  <c r="CE202" i="2"/>
  <c r="E203" i="2"/>
  <c r="AQ203" i="2"/>
  <c r="CC203" i="2" s="1"/>
  <c r="CB203" i="2"/>
  <c r="CD203" i="2"/>
  <c r="CE203" i="2"/>
  <c r="AQ204" i="2"/>
  <c r="CB204" i="2"/>
  <c r="CC204" i="2"/>
  <c r="CD204" i="2"/>
  <c r="CE204" i="2"/>
  <c r="AQ205" i="2"/>
  <c r="CB205" i="2"/>
  <c r="CC205" i="2"/>
  <c r="CD205" i="2"/>
  <c r="CE205" i="2"/>
  <c r="AQ206" i="2"/>
  <c r="CB206" i="2"/>
  <c r="CC206" i="2" s="1"/>
  <c r="CD206" i="2"/>
  <c r="CE206" i="2"/>
  <c r="AQ207" i="2"/>
  <c r="CC207" i="2" s="1"/>
  <c r="CB207" i="2"/>
  <c r="CD207" i="2"/>
  <c r="CE207" i="2"/>
  <c r="AQ208" i="2"/>
  <c r="CB208" i="2"/>
  <c r="CC208" i="2" s="1"/>
  <c r="CD208" i="2"/>
  <c r="CE208" i="2"/>
  <c r="E209" i="2"/>
  <c r="AQ209" i="2"/>
  <c r="CB209" i="2"/>
  <c r="CC209" i="2" s="1"/>
  <c r="CD209" i="2"/>
  <c r="CE209" i="2"/>
  <c r="AQ210" i="2"/>
  <c r="CB210" i="2"/>
  <c r="CC210" i="2"/>
  <c r="CD210" i="2"/>
  <c r="CE210" i="2"/>
  <c r="AQ211" i="2"/>
  <c r="CB211" i="2"/>
  <c r="CC211" i="2" s="1"/>
  <c r="CD211" i="2"/>
  <c r="CE211" i="2"/>
  <c r="AQ212" i="2"/>
  <c r="CB212" i="2"/>
  <c r="CD212" i="2"/>
  <c r="CE212" i="2"/>
  <c r="E213" i="2"/>
  <c r="AQ213" i="2"/>
  <c r="CB213" i="2"/>
  <c r="CC213" i="2"/>
  <c r="CD213" i="2"/>
  <c r="CE213" i="2"/>
  <c r="AQ214" i="2"/>
  <c r="CB214" i="2"/>
  <c r="CC214" i="2" s="1"/>
  <c r="CD214" i="2"/>
  <c r="CE214" i="2"/>
  <c r="E215" i="2"/>
  <c r="AQ215" i="2"/>
  <c r="CB215" i="2"/>
  <c r="CD215" i="2"/>
  <c r="CE215" i="2"/>
  <c r="E216" i="2"/>
  <c r="AQ216" i="2"/>
  <c r="CB216" i="2"/>
  <c r="CC216" i="2"/>
  <c r="CD216" i="2"/>
  <c r="CE216" i="2"/>
  <c r="AQ217" i="2"/>
  <c r="CB217" i="2"/>
  <c r="CC217" i="2" s="1"/>
  <c r="CD217" i="2"/>
  <c r="CE217" i="2"/>
  <c r="AQ218" i="2"/>
  <c r="CB218" i="2"/>
  <c r="CD218" i="2"/>
  <c r="CE218" i="2"/>
  <c r="AQ219" i="2"/>
  <c r="CC219" i="2" s="1"/>
  <c r="CB219" i="2"/>
  <c r="CD219" i="2"/>
  <c r="CE219" i="2"/>
  <c r="AQ220" i="2"/>
  <c r="CB220" i="2"/>
  <c r="CC220" i="2"/>
  <c r="CD220" i="2"/>
  <c r="CE220" i="2"/>
  <c r="E221" i="2"/>
  <c r="AQ221" i="2"/>
  <c r="CB221" i="2"/>
  <c r="CD221" i="2"/>
  <c r="CE221" i="2"/>
  <c r="E222" i="2"/>
  <c r="AQ222" i="2"/>
  <c r="CB222" i="2"/>
  <c r="CC222" i="2" s="1"/>
  <c r="CD222" i="2"/>
  <c r="CE222" i="2"/>
  <c r="AQ223" i="2"/>
  <c r="CB223" i="2"/>
  <c r="CC223" i="2"/>
  <c r="CD223" i="2"/>
  <c r="CE223" i="2"/>
  <c r="AQ224" i="2"/>
  <c r="CB224" i="2"/>
  <c r="CC224" i="2" s="1"/>
  <c r="CD224" i="2"/>
  <c r="CE224" i="2"/>
  <c r="AQ225" i="2"/>
  <c r="CB225" i="2"/>
  <c r="CC225" i="2"/>
  <c r="CD225" i="2"/>
  <c r="CE225" i="2"/>
  <c r="AQ226" i="2"/>
  <c r="CB226" i="2"/>
  <c r="CC226" i="2" s="1"/>
  <c r="CD226" i="2"/>
  <c r="CE226" i="2"/>
  <c r="E227" i="2"/>
  <c r="AQ227" i="2"/>
  <c r="CB227" i="2"/>
  <c r="CD227" i="2"/>
  <c r="CE227" i="2"/>
  <c r="AQ228" i="2"/>
  <c r="CB228" i="2"/>
  <c r="CC228" i="2"/>
  <c r="CD228" i="2"/>
  <c r="CE228" i="2"/>
  <c r="AQ229" i="2"/>
  <c r="CB229" i="2"/>
  <c r="CC229" i="2"/>
  <c r="CD229" i="2"/>
  <c r="CE229" i="2"/>
  <c r="AQ230" i="2"/>
  <c r="CB230" i="2"/>
  <c r="CC230" i="2" s="1"/>
  <c r="CD230" i="2"/>
  <c r="CE230" i="2"/>
  <c r="E231" i="2"/>
  <c r="AQ231" i="2"/>
  <c r="CB231" i="2"/>
  <c r="CC231" i="2"/>
  <c r="CD231" i="2"/>
  <c r="CE231" i="2"/>
  <c r="E232" i="2"/>
  <c r="AQ232" i="2"/>
  <c r="CB232" i="2"/>
  <c r="CD232" i="2"/>
  <c r="CE232" i="2"/>
  <c r="AQ233" i="2"/>
  <c r="CB233" i="2"/>
  <c r="CD233" i="2"/>
  <c r="CE233" i="2"/>
  <c r="AQ234" i="2"/>
  <c r="CC234" i="2" s="1"/>
  <c r="CB234" i="2"/>
  <c r="CD234" i="2"/>
  <c r="CE234" i="2"/>
  <c r="E235" i="2"/>
  <c r="AQ235" i="2"/>
  <c r="CB235" i="2"/>
  <c r="CC235" i="2"/>
  <c r="CD235" i="2"/>
  <c r="CE235" i="2"/>
  <c r="AQ236" i="2"/>
  <c r="CB236" i="2"/>
  <c r="CC236" i="2" s="1"/>
  <c r="CD236" i="2"/>
  <c r="CE236" i="2"/>
  <c r="AQ237" i="2"/>
  <c r="CC237" i="2" s="1"/>
  <c r="CB237" i="2"/>
  <c r="CD237" i="2"/>
  <c r="CE237" i="2"/>
  <c r="AQ238" i="2"/>
  <c r="CB238" i="2"/>
  <c r="CC238" i="2" s="1"/>
  <c r="CD238" i="2"/>
  <c r="CE238" i="2"/>
  <c r="AQ239" i="2"/>
  <c r="CB239" i="2"/>
  <c r="CC239" i="2"/>
  <c r="CD239" i="2"/>
  <c r="CE239" i="2"/>
  <c r="AQ240" i="2"/>
  <c r="CB240" i="2"/>
  <c r="CC240" i="2" s="1"/>
  <c r="CD240" i="2"/>
  <c r="CE240" i="2"/>
  <c r="E241" i="2"/>
  <c r="AQ241" i="2"/>
  <c r="CB241" i="2"/>
  <c r="CC241" i="2" s="1"/>
  <c r="CD241" i="2"/>
  <c r="CE241" i="2"/>
  <c r="AQ242" i="2"/>
  <c r="CB242" i="2"/>
  <c r="CD242" i="2"/>
  <c r="CE242" i="2"/>
  <c r="AQ243" i="2"/>
  <c r="CB243" i="2"/>
  <c r="CD243" i="2"/>
  <c r="CE243" i="2"/>
  <c r="E244" i="2"/>
  <c r="AQ244" i="2"/>
  <c r="CB244" i="2"/>
  <c r="CC244" i="2"/>
  <c r="CD244" i="2"/>
  <c r="CE244" i="2"/>
  <c r="AQ245" i="2"/>
  <c r="CB245" i="2"/>
  <c r="CC245" i="2" s="1"/>
  <c r="CD245" i="2"/>
  <c r="CE245" i="2"/>
  <c r="AQ246" i="2"/>
  <c r="CB246" i="2"/>
  <c r="CD246" i="2"/>
  <c r="CE246" i="2"/>
  <c r="AQ247" i="2"/>
  <c r="CC247" i="2" s="1"/>
  <c r="CB247" i="2"/>
  <c r="CD247" i="2"/>
  <c r="CE247" i="2"/>
  <c r="AQ248" i="2"/>
  <c r="CB248" i="2"/>
  <c r="CC248" i="2"/>
  <c r="CD248" i="2"/>
  <c r="CE248" i="2"/>
  <c r="AQ249" i="2"/>
  <c r="CB249" i="2"/>
  <c r="CC249" i="2" s="1"/>
  <c r="CD249" i="2"/>
  <c r="CE249" i="2"/>
  <c r="AQ250" i="2"/>
  <c r="CB250" i="2"/>
  <c r="CD250" i="2"/>
  <c r="CE250" i="2"/>
  <c r="AQ251" i="2"/>
  <c r="CC251" i="2" s="1"/>
  <c r="CB251" i="2"/>
  <c r="CD251" i="2"/>
  <c r="CE251" i="2"/>
  <c r="AQ252" i="2"/>
  <c r="CB252" i="2"/>
  <c r="CC252" i="2" s="1"/>
  <c r="CD252" i="2"/>
  <c r="CE252" i="2"/>
  <c r="AQ253" i="2"/>
  <c r="CB253" i="2"/>
  <c r="CC253" i="2"/>
  <c r="CD253" i="2"/>
  <c r="CE253" i="2"/>
  <c r="AQ254" i="2"/>
  <c r="BG254" i="2"/>
  <c r="CB254" i="2" s="1"/>
  <c r="CC254" i="2"/>
  <c r="CD254" i="2"/>
  <c r="CE254" i="2"/>
  <c r="AQ255" i="2"/>
  <c r="CB255" i="2"/>
  <c r="CC255" i="2" s="1"/>
  <c r="CD255" i="2"/>
  <c r="CE255" i="2"/>
  <c r="AQ256" i="2"/>
  <c r="BG256" i="2"/>
  <c r="CB256" i="2" s="1"/>
  <c r="CC256" i="2" s="1"/>
  <c r="CD256" i="2"/>
  <c r="CE256" i="2"/>
  <c r="E257" i="2"/>
  <c r="AQ257" i="2"/>
  <c r="BG257" i="2"/>
  <c r="CB257" i="2" s="1"/>
  <c r="CC257" i="2" s="1"/>
  <c r="CD257" i="2"/>
  <c r="CE257" i="2"/>
  <c r="E258" i="2"/>
  <c r="E259" i="2" s="1"/>
  <c r="AQ258" i="2"/>
  <c r="CB258" i="2"/>
  <c r="CC258" i="2"/>
  <c r="CD258" i="2"/>
  <c r="CE258" i="2"/>
  <c r="AQ259" i="2"/>
  <c r="BG259" i="2"/>
  <c r="CB259" i="2" s="1"/>
  <c r="CC259" i="2" s="1"/>
  <c r="CD259" i="2"/>
  <c r="CE259" i="2"/>
  <c r="E260" i="2"/>
  <c r="E261" i="2" s="1"/>
  <c r="AQ260" i="2"/>
  <c r="BG260" i="2"/>
  <c r="CB260" i="2" s="1"/>
  <c r="CC260" i="2"/>
  <c r="CD260" i="2"/>
  <c r="CE260" i="2"/>
  <c r="AQ261" i="2"/>
  <c r="BG261" i="2"/>
  <c r="CB261" i="2"/>
  <c r="CC261" i="2" s="1"/>
  <c r="CD261" i="2"/>
  <c r="CE261" i="2"/>
  <c r="AQ262" i="2"/>
  <c r="BG262" i="2"/>
  <c r="CB262" i="2"/>
  <c r="CC262" i="2" s="1"/>
  <c r="CD262" i="2"/>
  <c r="CE262" i="2"/>
  <c r="AQ263" i="2"/>
  <c r="BG263" i="2"/>
  <c r="CB263" i="2"/>
  <c r="CC263" i="2" s="1"/>
  <c r="CD263" i="2"/>
  <c r="CE263" i="2"/>
  <c r="AQ264" i="2"/>
  <c r="CB264" i="2"/>
  <c r="CD264" i="2"/>
  <c r="CE264" i="2"/>
  <c r="AQ265" i="2"/>
  <c r="CB265" i="2"/>
  <c r="CD265" i="2"/>
  <c r="AQ266" i="2"/>
  <c r="CB266" i="2"/>
  <c r="CD266" i="2"/>
  <c r="AQ267" i="2"/>
  <c r="CB267" i="2"/>
  <c r="CD267" i="2"/>
  <c r="AQ268" i="2"/>
  <c r="CB268" i="2"/>
  <c r="CD268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R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E269" i="2"/>
  <c r="AQ270" i="2"/>
  <c r="CB270" i="2"/>
  <c r="CD270" i="2"/>
  <c r="CE270" i="2"/>
  <c r="AQ271" i="2"/>
  <c r="CB271" i="2"/>
  <c r="CD271" i="2"/>
  <c r="CE271" i="2"/>
  <c r="AQ272" i="2"/>
  <c r="CB272" i="2"/>
  <c r="CD272" i="2"/>
  <c r="CE272" i="2"/>
  <c r="AQ273" i="2"/>
  <c r="CB273" i="2"/>
  <c r="CC273" i="2"/>
  <c r="CD273" i="2"/>
  <c r="CE273" i="2"/>
  <c r="AQ274" i="2"/>
  <c r="CB274" i="2"/>
  <c r="CC274" i="2"/>
  <c r="CD274" i="2"/>
  <c r="CE274" i="2"/>
  <c r="AQ275" i="2"/>
  <c r="CB275" i="2"/>
  <c r="CC275" i="2" s="1"/>
  <c r="CD275" i="2"/>
  <c r="CE275" i="2"/>
  <c r="AQ276" i="2"/>
  <c r="CB276" i="2"/>
  <c r="CC276" i="2" s="1"/>
  <c r="CD276" i="2"/>
  <c r="CE276" i="2"/>
  <c r="AQ277" i="2"/>
  <c r="CB277" i="2"/>
  <c r="CC277" i="2"/>
  <c r="CD277" i="2"/>
  <c r="CE277" i="2"/>
  <c r="AQ278" i="2"/>
  <c r="CB278" i="2"/>
  <c r="CC278" i="2" s="1"/>
  <c r="CD278" i="2"/>
  <c r="CE278" i="2"/>
  <c r="AQ279" i="2"/>
  <c r="CB279" i="2"/>
  <c r="CD279" i="2"/>
  <c r="CE279" i="2"/>
  <c r="AQ280" i="2"/>
  <c r="CB280" i="2"/>
  <c r="CD280" i="2"/>
  <c r="CE280" i="2"/>
  <c r="AQ281" i="2"/>
  <c r="CB281" i="2"/>
  <c r="CC281" i="2"/>
  <c r="CD281" i="2"/>
  <c r="CE281" i="2"/>
  <c r="AQ282" i="2"/>
  <c r="CB282" i="2"/>
  <c r="CC282" i="2"/>
  <c r="CD282" i="2"/>
  <c r="CE282" i="2"/>
  <c r="AQ283" i="2"/>
  <c r="CB283" i="2"/>
  <c r="CC283" i="2" s="1"/>
  <c r="CD283" i="2"/>
  <c r="CE283" i="2"/>
  <c r="AQ284" i="2"/>
  <c r="CB284" i="2"/>
  <c r="CC284" i="2" s="1"/>
  <c r="CD284" i="2"/>
  <c r="CE284" i="2"/>
  <c r="AQ285" i="2"/>
  <c r="CB285" i="2"/>
  <c r="CC285" i="2"/>
  <c r="CD285" i="2"/>
  <c r="CE285" i="2"/>
  <c r="AQ286" i="2"/>
  <c r="CB286" i="2"/>
  <c r="CC286" i="2" s="1"/>
  <c r="CD286" i="2"/>
  <c r="CE286" i="2"/>
  <c r="AQ287" i="2"/>
  <c r="CB287" i="2"/>
  <c r="CD287" i="2"/>
  <c r="CE287" i="2"/>
  <c r="AQ288" i="2"/>
  <c r="CB288" i="2"/>
  <c r="CD288" i="2"/>
  <c r="CE288" i="2"/>
  <c r="AQ289" i="2"/>
  <c r="CB289" i="2"/>
  <c r="CC289" i="2"/>
  <c r="CD289" i="2"/>
  <c r="CE289" i="2"/>
  <c r="AQ290" i="2"/>
  <c r="CB290" i="2"/>
  <c r="CC290" i="2"/>
  <c r="CD290" i="2"/>
  <c r="CE290" i="2"/>
  <c r="AQ291" i="2"/>
  <c r="CB291" i="2"/>
  <c r="CC291" i="2" s="1"/>
  <c r="CD291" i="2"/>
  <c r="CE291" i="2"/>
  <c r="AQ292" i="2"/>
  <c r="CB292" i="2"/>
  <c r="CC292" i="2" s="1"/>
  <c r="CD292" i="2"/>
  <c r="CE292" i="2"/>
  <c r="AQ293" i="2"/>
  <c r="CB293" i="2"/>
  <c r="CC293" i="2"/>
  <c r="CD293" i="2"/>
  <c r="CE293" i="2"/>
  <c r="AQ294" i="2"/>
  <c r="CB294" i="2"/>
  <c r="CC294" i="2" s="1"/>
  <c r="CD294" i="2"/>
  <c r="CE294" i="2"/>
  <c r="AQ295" i="2"/>
  <c r="CB295" i="2"/>
  <c r="CD295" i="2"/>
  <c r="CE295" i="2"/>
  <c r="AQ296" i="2"/>
  <c r="CB296" i="2"/>
  <c r="CD296" i="2"/>
  <c r="CE296" i="2"/>
  <c r="AQ297" i="2"/>
  <c r="CB297" i="2"/>
  <c r="CC297" i="2"/>
  <c r="CD297" i="2"/>
  <c r="CE297" i="2"/>
  <c r="AQ298" i="2"/>
  <c r="CB298" i="2"/>
  <c r="CC298" i="2"/>
  <c r="CD298" i="2"/>
  <c r="CE298" i="2"/>
  <c r="AQ299" i="2"/>
  <c r="CB299" i="2"/>
  <c r="CC299" i="2" s="1"/>
  <c r="CD299" i="2"/>
  <c r="CE299" i="2"/>
  <c r="AQ300" i="2"/>
  <c r="CB300" i="2"/>
  <c r="CC300" i="2" s="1"/>
  <c r="CD300" i="2"/>
  <c r="CE300" i="2"/>
  <c r="AQ301" i="2"/>
  <c r="CB301" i="2"/>
  <c r="CC301" i="2"/>
  <c r="CD301" i="2"/>
  <c r="CE301" i="2"/>
  <c r="AQ302" i="2"/>
  <c r="CB302" i="2"/>
  <c r="CC302" i="2" s="1"/>
  <c r="CD302" i="2"/>
  <c r="CE302" i="2"/>
  <c r="AQ303" i="2"/>
  <c r="CB303" i="2"/>
  <c r="CD303" i="2"/>
  <c r="CE303" i="2"/>
  <c r="AQ304" i="2"/>
  <c r="CB304" i="2"/>
  <c r="CD304" i="2"/>
  <c r="CE304" i="2"/>
  <c r="AQ305" i="2"/>
  <c r="CB305" i="2"/>
  <c r="CC305" i="2"/>
  <c r="CD305" i="2"/>
  <c r="CE305" i="2"/>
  <c r="AQ306" i="2"/>
  <c r="CB306" i="2"/>
  <c r="CC306" i="2"/>
  <c r="CD306" i="2"/>
  <c r="CE306" i="2"/>
  <c r="AQ307" i="2"/>
  <c r="CB307" i="2"/>
  <c r="CC307" i="2" s="1"/>
  <c r="CD307" i="2"/>
  <c r="CE307" i="2"/>
  <c r="AQ308" i="2"/>
  <c r="CB308" i="2"/>
  <c r="CC308" i="2" s="1"/>
  <c r="CD308" i="2"/>
  <c r="CE308" i="2"/>
  <c r="AQ309" i="2"/>
  <c r="CB309" i="2"/>
  <c r="CC309" i="2"/>
  <c r="CD309" i="2"/>
  <c r="CE309" i="2"/>
  <c r="AQ310" i="2"/>
  <c r="CB310" i="2"/>
  <c r="CC310" i="2" s="1"/>
  <c r="CD310" i="2"/>
  <c r="CE310" i="2"/>
  <c r="AQ311" i="2"/>
  <c r="CB311" i="2"/>
  <c r="CD311" i="2"/>
  <c r="CE311" i="2"/>
  <c r="AQ312" i="2"/>
  <c r="CB312" i="2"/>
  <c r="CD312" i="2"/>
  <c r="CE312" i="2"/>
  <c r="AQ313" i="2"/>
  <c r="CB313" i="2"/>
  <c r="CC313" i="2"/>
  <c r="CD313" i="2"/>
  <c r="CE313" i="2"/>
  <c r="AQ314" i="2"/>
  <c r="CB314" i="2"/>
  <c r="CC314" i="2"/>
  <c r="CD314" i="2"/>
  <c r="CE314" i="2"/>
  <c r="AQ315" i="2"/>
  <c r="CB315" i="2"/>
  <c r="CC315" i="2" s="1"/>
  <c r="CD315" i="2"/>
  <c r="CE315" i="2"/>
  <c r="AQ316" i="2"/>
  <c r="CB316" i="2"/>
  <c r="CC316" i="2" s="1"/>
  <c r="CD316" i="2"/>
  <c r="CE316" i="2"/>
  <c r="AQ317" i="2"/>
  <c r="CB317" i="2"/>
  <c r="CC317" i="2"/>
  <c r="CD317" i="2"/>
  <c r="CE317" i="2"/>
  <c r="AQ318" i="2"/>
  <c r="CB318" i="2"/>
  <c r="CC318" i="2" s="1"/>
  <c r="CD318" i="2"/>
  <c r="CE318" i="2"/>
  <c r="AQ319" i="2"/>
  <c r="CB319" i="2"/>
  <c r="CD319" i="2"/>
  <c r="CE319" i="2"/>
  <c r="AQ320" i="2"/>
  <c r="CB320" i="2"/>
  <c r="CD320" i="2"/>
  <c r="CE320" i="2"/>
  <c r="AQ321" i="2"/>
  <c r="CB321" i="2"/>
  <c r="CC321" i="2"/>
  <c r="CD321" i="2"/>
  <c r="CE321" i="2"/>
  <c r="AQ322" i="2"/>
  <c r="CB322" i="2"/>
  <c r="CC322" i="2"/>
  <c r="CD322" i="2"/>
  <c r="CE322" i="2"/>
  <c r="AQ323" i="2"/>
  <c r="CB323" i="2"/>
  <c r="CC323" i="2" s="1"/>
  <c r="CD323" i="2"/>
  <c r="CE323" i="2"/>
  <c r="AQ324" i="2"/>
  <c r="CB324" i="2"/>
  <c r="CC324" i="2" s="1"/>
  <c r="CD324" i="2"/>
  <c r="CE324" i="2"/>
  <c r="AQ325" i="2"/>
  <c r="CB325" i="2"/>
  <c r="CC325" i="2"/>
  <c r="CD325" i="2"/>
  <c r="CE325" i="2"/>
  <c r="AQ326" i="2"/>
  <c r="CB326" i="2"/>
  <c r="CC326" i="2" s="1"/>
  <c r="CD326" i="2"/>
  <c r="CE326" i="2"/>
  <c r="AQ327" i="2"/>
  <c r="CB327" i="2"/>
  <c r="CD327" i="2"/>
  <c r="CE327" i="2"/>
  <c r="AQ328" i="2"/>
  <c r="CB328" i="2"/>
  <c r="CD328" i="2"/>
  <c r="CE328" i="2"/>
  <c r="AQ329" i="2"/>
  <c r="CB329" i="2"/>
  <c r="CC329" i="2"/>
  <c r="CD329" i="2"/>
  <c r="CE329" i="2"/>
  <c r="AQ330" i="2"/>
  <c r="CB330" i="2"/>
  <c r="CC330" i="2"/>
  <c r="CD330" i="2"/>
  <c r="CE330" i="2"/>
  <c r="AQ331" i="2"/>
  <c r="CB331" i="2"/>
  <c r="CC331" i="2" s="1"/>
  <c r="CD331" i="2"/>
  <c r="CE331" i="2"/>
  <c r="AQ332" i="2"/>
  <c r="CB332" i="2"/>
  <c r="CC332" i="2" s="1"/>
  <c r="CD332" i="2"/>
  <c r="CE332" i="2"/>
  <c r="AQ333" i="2"/>
  <c r="CB333" i="2"/>
  <c r="CC333" i="2"/>
  <c r="CD333" i="2"/>
  <c r="CE333" i="2"/>
  <c r="AQ334" i="2"/>
  <c r="CB334" i="2"/>
  <c r="CC334" i="2" s="1"/>
  <c r="CD334" i="2"/>
  <c r="CE334" i="2"/>
  <c r="AQ335" i="2"/>
  <c r="CB335" i="2"/>
  <c r="CD335" i="2"/>
  <c r="CE335" i="2"/>
  <c r="AQ336" i="2"/>
  <c r="CB336" i="2"/>
  <c r="CD336" i="2"/>
  <c r="CE336" i="2"/>
  <c r="AQ337" i="2"/>
  <c r="CB337" i="2"/>
  <c r="CC337" i="2"/>
  <c r="CD337" i="2"/>
  <c r="CE337" i="2"/>
  <c r="AQ338" i="2"/>
  <c r="CB338" i="2"/>
  <c r="CC338" i="2"/>
  <c r="CD338" i="2"/>
  <c r="CE338" i="2"/>
  <c r="AQ339" i="2"/>
  <c r="CB339" i="2"/>
  <c r="CC339" i="2" s="1"/>
  <c r="CD339" i="2"/>
  <c r="CE339" i="2"/>
  <c r="AQ340" i="2"/>
  <c r="CB340" i="2"/>
  <c r="CC340" i="2" s="1"/>
  <c r="CD340" i="2"/>
  <c r="CE340" i="2"/>
  <c r="AQ341" i="2"/>
  <c r="CB341" i="2"/>
  <c r="CC341" i="2"/>
  <c r="CD341" i="2"/>
  <c r="CE341" i="2"/>
  <c r="AQ342" i="2"/>
  <c r="CB342" i="2"/>
  <c r="CC342" i="2" s="1"/>
  <c r="CD342" i="2"/>
  <c r="CE342" i="2"/>
  <c r="AQ343" i="2"/>
  <c r="CB343" i="2"/>
  <c r="CD343" i="2"/>
  <c r="CE343" i="2"/>
  <c r="AQ344" i="2"/>
  <c r="CB344" i="2"/>
  <c r="CD344" i="2"/>
  <c r="CE344" i="2"/>
  <c r="AQ345" i="2"/>
  <c r="CB345" i="2"/>
  <c r="CC345" i="2"/>
  <c r="CD345" i="2"/>
  <c r="CE345" i="2"/>
  <c r="AQ346" i="2"/>
  <c r="CB346" i="2"/>
  <c r="CC346" i="2"/>
  <c r="CD346" i="2"/>
  <c r="CE346" i="2"/>
  <c r="AQ347" i="2"/>
  <c r="CB347" i="2"/>
  <c r="CC347" i="2" s="1"/>
  <c r="CD347" i="2"/>
  <c r="CE347" i="2"/>
  <c r="AQ348" i="2"/>
  <c r="CB348" i="2"/>
  <c r="CC348" i="2" s="1"/>
  <c r="CD348" i="2"/>
  <c r="CE348" i="2"/>
  <c r="AQ349" i="2"/>
  <c r="CB349" i="2"/>
  <c r="CC349" i="2"/>
  <c r="CD349" i="2"/>
  <c r="CE349" i="2"/>
  <c r="AQ350" i="2"/>
  <c r="CB350" i="2"/>
  <c r="CC350" i="2" s="1"/>
  <c r="CD350" i="2"/>
  <c r="CE350" i="2"/>
  <c r="AQ351" i="2"/>
  <c r="CB351" i="2"/>
  <c r="CD351" i="2"/>
  <c r="CE351" i="2"/>
  <c r="AQ352" i="2"/>
  <c r="CB352" i="2"/>
  <c r="CD352" i="2"/>
  <c r="CE352" i="2"/>
  <c r="AQ353" i="2"/>
  <c r="CB353" i="2"/>
  <c r="CC353" i="2"/>
  <c r="CD353" i="2"/>
  <c r="CE353" i="2"/>
  <c r="AQ354" i="2"/>
  <c r="CB354" i="2"/>
  <c r="CC354" i="2"/>
  <c r="CD354" i="2"/>
  <c r="CE354" i="2"/>
  <c r="AQ355" i="2"/>
  <c r="CB355" i="2"/>
  <c r="CC355" i="2" s="1"/>
  <c r="CD355" i="2"/>
  <c r="CE355" i="2"/>
  <c r="AQ356" i="2"/>
  <c r="CB356" i="2"/>
  <c r="CC356" i="2" s="1"/>
  <c r="CD356" i="2"/>
  <c r="CE356" i="2"/>
  <c r="AQ357" i="2"/>
  <c r="CB357" i="2"/>
  <c r="CC357" i="2"/>
  <c r="CD357" i="2"/>
  <c r="CE357" i="2"/>
  <c r="AQ358" i="2"/>
  <c r="CB358" i="2"/>
  <c r="CC358" i="2" s="1"/>
  <c r="CD358" i="2"/>
  <c r="CE358" i="2"/>
  <c r="AQ359" i="2"/>
  <c r="CB359" i="2"/>
  <c r="CD359" i="2"/>
  <c r="CE359" i="2"/>
  <c r="AQ360" i="2"/>
  <c r="CB360" i="2"/>
  <c r="CD360" i="2"/>
  <c r="CE360" i="2"/>
  <c r="AQ361" i="2"/>
  <c r="CB361" i="2"/>
  <c r="CC361" i="2"/>
  <c r="CD361" i="2"/>
  <c r="CE361" i="2"/>
  <c r="AQ362" i="2"/>
  <c r="CB362" i="2"/>
  <c r="CC362" i="2"/>
  <c r="CD362" i="2"/>
  <c r="CE362" i="2"/>
  <c r="AQ363" i="2"/>
  <c r="CB363" i="2"/>
  <c r="CC363" i="2" s="1"/>
  <c r="CD363" i="2"/>
  <c r="CE363" i="2"/>
  <c r="AQ364" i="2"/>
  <c r="CB364" i="2"/>
  <c r="CC364" i="2" s="1"/>
  <c r="CD364" i="2"/>
  <c r="CE364" i="2"/>
  <c r="AQ365" i="2"/>
  <c r="CB365" i="2"/>
  <c r="CC365" i="2"/>
  <c r="CD365" i="2"/>
  <c r="CE365" i="2"/>
  <c r="AQ366" i="2"/>
  <c r="CB366" i="2"/>
  <c r="CC366" i="2" s="1"/>
  <c r="CD366" i="2"/>
  <c r="CE366" i="2"/>
  <c r="AQ367" i="2"/>
  <c r="CB367" i="2"/>
  <c r="CD367" i="2"/>
  <c r="CE367" i="2"/>
  <c r="AQ368" i="2"/>
  <c r="CB368" i="2"/>
  <c r="CD368" i="2"/>
  <c r="CE368" i="2"/>
  <c r="AQ369" i="2"/>
  <c r="CB369" i="2"/>
  <c r="CC369" i="2"/>
  <c r="CD369" i="2"/>
  <c r="CE369" i="2"/>
  <c r="AQ370" i="2"/>
  <c r="CB370" i="2"/>
  <c r="CC370" i="2"/>
  <c r="CD370" i="2"/>
  <c r="CE370" i="2"/>
  <c r="AQ371" i="2"/>
  <c r="CB371" i="2"/>
  <c r="CC371" i="2" s="1"/>
  <c r="CD371" i="2"/>
  <c r="CE371" i="2"/>
  <c r="AQ372" i="2"/>
  <c r="CB372" i="2"/>
  <c r="CC372" i="2" s="1"/>
  <c r="CD372" i="2"/>
  <c r="CE372" i="2"/>
  <c r="AQ373" i="2"/>
  <c r="CB373" i="2"/>
  <c r="CC373" i="2"/>
  <c r="CD373" i="2"/>
  <c r="CE373" i="2"/>
  <c r="AQ374" i="2"/>
  <c r="CB374" i="2"/>
  <c r="CC374" i="2" s="1"/>
  <c r="CD374" i="2"/>
  <c r="CE374" i="2"/>
  <c r="AQ375" i="2"/>
  <c r="CB375" i="2"/>
  <c r="CD375" i="2"/>
  <c r="CE375" i="2"/>
  <c r="AQ376" i="2"/>
  <c r="CB376" i="2"/>
  <c r="CD376" i="2"/>
  <c r="CE376" i="2"/>
  <c r="AQ377" i="2"/>
  <c r="CB377" i="2"/>
  <c r="CC377" i="2"/>
  <c r="CD377" i="2"/>
  <c r="CE377" i="2"/>
  <c r="AQ378" i="2"/>
  <c r="CB378" i="2"/>
  <c r="CC378" i="2"/>
  <c r="CD378" i="2"/>
  <c r="CE378" i="2"/>
  <c r="AQ379" i="2"/>
  <c r="CB379" i="2"/>
  <c r="CC379" i="2" s="1"/>
  <c r="CD379" i="2"/>
  <c r="CE379" i="2"/>
  <c r="AQ380" i="2"/>
  <c r="CB380" i="2"/>
  <c r="CC380" i="2" s="1"/>
  <c r="CD380" i="2"/>
  <c r="CE380" i="2"/>
  <c r="AQ381" i="2"/>
  <c r="CB381" i="2"/>
  <c r="CC381" i="2"/>
  <c r="CD381" i="2"/>
  <c r="CE381" i="2"/>
  <c r="AQ382" i="2"/>
  <c r="CB382" i="2"/>
  <c r="CC382" i="2" s="1"/>
  <c r="CD382" i="2"/>
  <c r="CE382" i="2"/>
  <c r="AQ383" i="2"/>
  <c r="CC383" i="2" s="1"/>
  <c r="CB383" i="2"/>
  <c r="CD383" i="2"/>
  <c r="CE383" i="2"/>
  <c r="AQ384" i="2"/>
  <c r="CB384" i="2"/>
  <c r="CC384" i="2" s="1"/>
  <c r="CD384" i="2"/>
  <c r="CE384" i="2"/>
  <c r="AQ385" i="2"/>
  <c r="CB385" i="2"/>
  <c r="CC385" i="2"/>
  <c r="CD385" i="2"/>
  <c r="CE385" i="2"/>
  <c r="AQ386" i="2"/>
  <c r="CB386" i="2"/>
  <c r="CC386" i="2" s="1"/>
  <c r="CD386" i="2"/>
  <c r="CE386" i="2"/>
  <c r="AQ387" i="2"/>
  <c r="CB387" i="2"/>
  <c r="CD387" i="2"/>
  <c r="CE387" i="2"/>
  <c r="AQ388" i="2"/>
  <c r="CB388" i="2"/>
  <c r="CD388" i="2"/>
  <c r="CE388" i="2"/>
  <c r="AQ389" i="2"/>
  <c r="CC389" i="2" s="1"/>
  <c r="CB389" i="2"/>
  <c r="CD389" i="2"/>
  <c r="CE389" i="2"/>
  <c r="AQ390" i="2"/>
  <c r="CB390" i="2"/>
  <c r="CC390" i="2"/>
  <c r="CD390" i="2"/>
  <c r="CE390" i="2"/>
  <c r="AQ391" i="2"/>
  <c r="CB391" i="2"/>
  <c r="CC391" i="2" s="1"/>
  <c r="CD391" i="2"/>
  <c r="CE391" i="2"/>
  <c r="AQ392" i="2"/>
  <c r="CB392" i="2"/>
  <c r="CD392" i="2"/>
  <c r="CE392" i="2"/>
  <c r="AQ393" i="2"/>
  <c r="CC393" i="2" s="1"/>
  <c r="CB393" i="2"/>
  <c r="CD393" i="2"/>
  <c r="CE393" i="2"/>
  <c r="AQ394" i="2"/>
  <c r="CB394" i="2"/>
  <c r="CC394" i="2"/>
  <c r="CD394" i="2"/>
  <c r="CE394" i="2"/>
  <c r="AQ395" i="2"/>
  <c r="CB395" i="2"/>
  <c r="CC395" i="2"/>
  <c r="CD395" i="2"/>
  <c r="CE395" i="2"/>
  <c r="AQ396" i="2"/>
  <c r="CB396" i="2"/>
  <c r="CC396" i="2" s="1"/>
  <c r="CD396" i="2"/>
  <c r="CE396" i="2"/>
  <c r="AQ397" i="2"/>
  <c r="CB397" i="2"/>
  <c r="CC397" i="2"/>
  <c r="CD397" i="2"/>
  <c r="CE397" i="2"/>
  <c r="AQ398" i="2"/>
  <c r="CB398" i="2"/>
  <c r="CC398" i="2" s="1"/>
  <c r="CD398" i="2"/>
  <c r="CE398" i="2"/>
  <c r="AQ399" i="2"/>
  <c r="CC399" i="2" s="1"/>
  <c r="CB399" i="2"/>
  <c r="CD399" i="2"/>
  <c r="CE399" i="2"/>
  <c r="AQ400" i="2"/>
  <c r="CB400" i="2"/>
  <c r="CC400" i="2" s="1"/>
  <c r="CD400" i="2"/>
  <c r="CE400" i="2"/>
  <c r="AQ401" i="2"/>
  <c r="CB401" i="2"/>
  <c r="CC401" i="2"/>
  <c r="CD401" i="2"/>
  <c r="CE401" i="2"/>
  <c r="AQ402" i="2"/>
  <c r="CB402" i="2"/>
  <c r="CC402" i="2" s="1"/>
  <c r="CD402" i="2"/>
  <c r="CE402" i="2"/>
  <c r="AQ403" i="2"/>
  <c r="CB403" i="2"/>
  <c r="CD403" i="2"/>
  <c r="CE403" i="2"/>
  <c r="AQ404" i="2"/>
  <c r="CB404" i="2"/>
  <c r="CD404" i="2"/>
  <c r="CE404" i="2"/>
  <c r="AQ405" i="2"/>
  <c r="CC405" i="2" s="1"/>
  <c r="CB405" i="2"/>
  <c r="CD405" i="2"/>
  <c r="CE405" i="2"/>
  <c r="AQ406" i="2"/>
  <c r="CB406" i="2"/>
  <c r="CC406" i="2"/>
  <c r="CD406" i="2"/>
  <c r="CE406" i="2"/>
  <c r="AQ407" i="2"/>
  <c r="CB407" i="2"/>
  <c r="CC407" i="2" s="1"/>
  <c r="CD407" i="2"/>
  <c r="CE407" i="2"/>
  <c r="AQ408" i="2"/>
  <c r="CB408" i="2"/>
  <c r="CD408" i="2"/>
  <c r="CE408" i="2"/>
  <c r="AQ409" i="2"/>
  <c r="CC409" i="2" s="1"/>
  <c r="CB409" i="2"/>
  <c r="CD409" i="2"/>
  <c r="CE409" i="2"/>
  <c r="AQ410" i="2"/>
  <c r="CB410" i="2"/>
  <c r="CC410" i="2"/>
  <c r="CD410" i="2"/>
  <c r="CE410" i="2"/>
  <c r="AQ411" i="2"/>
  <c r="CB411" i="2"/>
  <c r="CC411" i="2"/>
  <c r="CD411" i="2"/>
  <c r="CE411" i="2"/>
  <c r="AQ412" i="2"/>
  <c r="CB412" i="2"/>
  <c r="CC412" i="2" s="1"/>
  <c r="CD412" i="2"/>
  <c r="CE412" i="2"/>
  <c r="AQ413" i="2"/>
  <c r="CB413" i="2"/>
  <c r="CC413" i="2"/>
  <c r="CD413" i="2"/>
  <c r="CE413" i="2"/>
  <c r="AQ414" i="2"/>
  <c r="CB414" i="2"/>
  <c r="CC414" i="2" s="1"/>
  <c r="CD414" i="2"/>
  <c r="CE414" i="2"/>
  <c r="AQ415" i="2"/>
  <c r="CC415" i="2" s="1"/>
  <c r="CB415" i="2"/>
  <c r="CD415" i="2"/>
  <c r="CE415" i="2"/>
  <c r="AQ416" i="2"/>
  <c r="CB416" i="2"/>
  <c r="CC416" i="2" s="1"/>
  <c r="CD416" i="2"/>
  <c r="CE416" i="2"/>
  <c r="AQ417" i="2"/>
  <c r="CB417" i="2"/>
  <c r="CC417" i="2"/>
  <c r="CD417" i="2"/>
  <c r="CE417" i="2"/>
  <c r="AQ418" i="2"/>
  <c r="CB418" i="2"/>
  <c r="CC418" i="2" s="1"/>
  <c r="CD418" i="2"/>
  <c r="CE418" i="2"/>
  <c r="AQ419" i="2"/>
  <c r="CB419" i="2"/>
  <c r="CD419" i="2"/>
  <c r="CE419" i="2"/>
  <c r="AQ420" i="2"/>
  <c r="CC420" i="2" s="1"/>
  <c r="CB420" i="2"/>
  <c r="CD420" i="2"/>
  <c r="CE420" i="2"/>
  <c r="AQ421" i="2"/>
  <c r="CB421" i="2"/>
  <c r="CC421" i="2"/>
  <c r="CD421" i="2"/>
  <c r="CE421" i="2"/>
  <c r="AQ422" i="2"/>
  <c r="CB422" i="2"/>
  <c r="CC422" i="2" s="1"/>
  <c r="CD422" i="2"/>
  <c r="CE422" i="2"/>
  <c r="AQ423" i="2"/>
  <c r="CB423" i="2"/>
  <c r="CC423" i="2" s="1"/>
  <c r="CD423" i="2"/>
  <c r="CE423" i="2"/>
  <c r="AQ424" i="2"/>
  <c r="CC424" i="2" s="1"/>
  <c r="CB424" i="2"/>
  <c r="CD424" i="2"/>
  <c r="CE424" i="2"/>
  <c r="AQ425" i="2"/>
  <c r="CB425" i="2"/>
  <c r="CC425" i="2"/>
  <c r="CD425" i="2"/>
  <c r="CE425" i="2"/>
  <c r="AQ426" i="2"/>
  <c r="CB426" i="2"/>
  <c r="CC426" i="2" s="1"/>
  <c r="CD426" i="2"/>
  <c r="CE426" i="2"/>
  <c r="AQ427" i="2"/>
  <c r="CB427" i="2"/>
  <c r="CD427" i="2"/>
  <c r="CE427" i="2"/>
  <c r="AQ428" i="2"/>
  <c r="CC428" i="2" s="1"/>
  <c r="CB428" i="2"/>
  <c r="CD428" i="2"/>
  <c r="CE428" i="2"/>
  <c r="AQ429" i="2"/>
  <c r="CB429" i="2"/>
  <c r="CC429" i="2"/>
  <c r="CD429" i="2"/>
  <c r="CE429" i="2"/>
  <c r="AQ430" i="2"/>
  <c r="CB430" i="2"/>
  <c r="CC430" i="2" s="1"/>
  <c r="CD430" i="2"/>
  <c r="CE430" i="2"/>
  <c r="AQ431" i="2"/>
  <c r="CB431" i="2"/>
  <c r="CD431" i="2"/>
  <c r="CE431" i="2"/>
  <c r="AQ432" i="2"/>
  <c r="CC432" i="2" s="1"/>
  <c r="CB432" i="2"/>
  <c r="CD432" i="2"/>
  <c r="CE432" i="2"/>
  <c r="AQ433" i="2"/>
  <c r="CB433" i="2"/>
  <c r="CC433" i="2"/>
  <c r="CD433" i="2"/>
  <c r="CE433" i="2"/>
  <c r="AQ434" i="2"/>
  <c r="CB434" i="2"/>
  <c r="CC434" i="2" s="1"/>
  <c r="CD434" i="2"/>
  <c r="CE434" i="2"/>
  <c r="AQ435" i="2"/>
  <c r="CB435" i="2"/>
  <c r="CD435" i="2"/>
  <c r="CE435" i="2"/>
  <c r="AQ436" i="2"/>
  <c r="CC436" i="2" s="1"/>
  <c r="CB436" i="2"/>
  <c r="CD436" i="2"/>
  <c r="CE436" i="2"/>
  <c r="AQ437" i="2"/>
  <c r="CB437" i="2"/>
  <c r="CC437" i="2"/>
  <c r="CD437" i="2"/>
  <c r="CE437" i="2"/>
  <c r="AQ438" i="2"/>
  <c r="AS438" i="2"/>
  <c r="BG438" i="2"/>
  <c r="CD438" i="2"/>
  <c r="CE438" i="2"/>
  <c r="AQ439" i="2"/>
  <c r="CB439" i="2"/>
  <c r="CC439" i="2"/>
  <c r="CD439" i="2"/>
  <c r="CE439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R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E440" i="2"/>
  <c r="AQ441" i="2"/>
  <c r="CB441" i="2"/>
  <c r="CD441" i="2"/>
  <c r="CE441" i="2"/>
  <c r="AQ442" i="2"/>
  <c r="CB442" i="2"/>
  <c r="CD442" i="2"/>
  <c r="CE442" i="2"/>
  <c r="AQ443" i="2"/>
  <c r="CB443" i="2"/>
  <c r="CC443" i="2" s="1"/>
  <c r="CD443" i="2"/>
  <c r="CE443" i="2"/>
  <c r="AQ444" i="2"/>
  <c r="CB444" i="2"/>
  <c r="CC444" i="2"/>
  <c r="CD444" i="2"/>
  <c r="CE444" i="2"/>
  <c r="AQ445" i="2"/>
  <c r="CB445" i="2"/>
  <c r="CC445" i="2" s="1"/>
  <c r="CD445" i="2"/>
  <c r="CE445" i="2"/>
  <c r="AQ446" i="2"/>
  <c r="CB446" i="2"/>
  <c r="CC446" i="2" s="1"/>
  <c r="CD446" i="2"/>
  <c r="CE446" i="2"/>
  <c r="AQ447" i="2"/>
  <c r="CB447" i="2"/>
  <c r="CC447" i="2" s="1"/>
  <c r="CD447" i="2"/>
  <c r="CE447" i="2"/>
  <c r="AQ448" i="2"/>
  <c r="CB448" i="2"/>
  <c r="CC448" i="2"/>
  <c r="CD448" i="2"/>
  <c r="CE448" i="2"/>
  <c r="AQ449" i="2"/>
  <c r="CB449" i="2"/>
  <c r="CC449" i="2" s="1"/>
  <c r="CD449" i="2"/>
  <c r="CE449" i="2"/>
  <c r="AQ450" i="2"/>
  <c r="CB450" i="2"/>
  <c r="CD450" i="2"/>
  <c r="CE450" i="2"/>
  <c r="AQ451" i="2"/>
  <c r="CB451" i="2"/>
  <c r="CC451" i="2" s="1"/>
  <c r="CD451" i="2"/>
  <c r="CE451" i="2"/>
  <c r="AQ452" i="2"/>
  <c r="CB452" i="2"/>
  <c r="CC452" i="2"/>
  <c r="CD452" i="2"/>
  <c r="CE452" i="2"/>
  <c r="AQ453" i="2"/>
  <c r="CB453" i="2"/>
  <c r="CC453" i="2" s="1"/>
  <c r="CD453" i="2"/>
  <c r="CE453" i="2"/>
  <c r="AQ454" i="2"/>
  <c r="CB454" i="2"/>
  <c r="CD454" i="2"/>
  <c r="CE454" i="2"/>
  <c r="AQ455" i="2"/>
  <c r="CB455" i="2"/>
  <c r="CC455" i="2" s="1"/>
  <c r="CD455" i="2"/>
  <c r="CE455" i="2"/>
  <c r="AQ456" i="2"/>
  <c r="CB456" i="2"/>
  <c r="CC456" i="2"/>
  <c r="CD456" i="2"/>
  <c r="CE456" i="2"/>
  <c r="AQ457" i="2"/>
  <c r="CB457" i="2"/>
  <c r="CC457" i="2" s="1"/>
  <c r="CD457" i="2"/>
  <c r="CE457" i="2"/>
  <c r="AQ458" i="2"/>
  <c r="CB458" i="2"/>
  <c r="CD458" i="2"/>
  <c r="CE458" i="2"/>
  <c r="AQ459" i="2"/>
  <c r="CB459" i="2"/>
  <c r="CC459" i="2" s="1"/>
  <c r="CD459" i="2"/>
  <c r="CE459" i="2"/>
  <c r="AQ460" i="2"/>
  <c r="CB460" i="2"/>
  <c r="CC460" i="2"/>
  <c r="CD460" i="2"/>
  <c r="CE460" i="2"/>
  <c r="AQ461" i="2"/>
  <c r="CB461" i="2"/>
  <c r="CC461" i="2" s="1"/>
  <c r="CD461" i="2"/>
  <c r="CE461" i="2"/>
  <c r="AQ462" i="2"/>
  <c r="CB462" i="2"/>
  <c r="CC462" i="2" s="1"/>
  <c r="CD462" i="2"/>
  <c r="CE462" i="2"/>
  <c r="AQ463" i="2"/>
  <c r="CB463" i="2"/>
  <c r="CC463" i="2" s="1"/>
  <c r="CD463" i="2"/>
  <c r="CE463" i="2"/>
  <c r="AQ464" i="2"/>
  <c r="CB464" i="2"/>
  <c r="CC464" i="2"/>
  <c r="CD464" i="2"/>
  <c r="CE464" i="2"/>
  <c r="AQ465" i="2"/>
  <c r="CB465" i="2"/>
  <c r="CC465" i="2" s="1"/>
  <c r="CD465" i="2"/>
  <c r="CE465" i="2"/>
  <c r="AQ466" i="2"/>
  <c r="CB466" i="2"/>
  <c r="CD466" i="2"/>
  <c r="CE466" i="2"/>
  <c r="AQ467" i="2"/>
  <c r="CB467" i="2"/>
  <c r="CC467" i="2" s="1"/>
  <c r="CD467" i="2"/>
  <c r="CE467" i="2"/>
  <c r="AQ468" i="2"/>
  <c r="CB468" i="2"/>
  <c r="CC468" i="2"/>
  <c r="CD468" i="2"/>
  <c r="CE468" i="2"/>
  <c r="AQ469" i="2"/>
  <c r="CB469" i="2"/>
  <c r="CC469" i="2" s="1"/>
  <c r="CD469" i="2"/>
  <c r="CE469" i="2"/>
  <c r="AQ470" i="2"/>
  <c r="CB470" i="2"/>
  <c r="CD470" i="2"/>
  <c r="CE470" i="2"/>
  <c r="AQ471" i="2"/>
  <c r="CB471" i="2"/>
  <c r="CC471" i="2" s="1"/>
  <c r="CD471" i="2"/>
  <c r="CE471" i="2"/>
  <c r="AQ472" i="2"/>
  <c r="CB472" i="2"/>
  <c r="CC472" i="2"/>
  <c r="CD472" i="2"/>
  <c r="CE472" i="2"/>
  <c r="AQ473" i="2"/>
  <c r="CB473" i="2"/>
  <c r="CC473" i="2" s="1"/>
  <c r="CD473" i="2"/>
  <c r="CE473" i="2"/>
  <c r="AQ474" i="2"/>
  <c r="CB474" i="2"/>
  <c r="CD474" i="2"/>
  <c r="CE474" i="2"/>
  <c r="AQ475" i="2"/>
  <c r="CB475" i="2"/>
  <c r="CC475" i="2" s="1"/>
  <c r="CD475" i="2"/>
  <c r="CE475" i="2"/>
  <c r="AQ476" i="2"/>
  <c r="CB476" i="2"/>
  <c r="CC476" i="2"/>
  <c r="CD476" i="2"/>
  <c r="CE476" i="2"/>
  <c r="AQ477" i="2"/>
  <c r="CB477" i="2"/>
  <c r="CC477" i="2" s="1"/>
  <c r="CD477" i="2"/>
  <c r="CE477" i="2"/>
  <c r="AQ478" i="2"/>
  <c r="CC478" i="2" s="1"/>
  <c r="CB478" i="2"/>
  <c r="CD478" i="2"/>
  <c r="CE478" i="2"/>
  <c r="AQ479" i="2"/>
  <c r="CB479" i="2"/>
  <c r="CC479" i="2" s="1"/>
  <c r="CD479" i="2"/>
  <c r="CE479" i="2"/>
  <c r="AQ480" i="2"/>
  <c r="CB480" i="2"/>
  <c r="CC480" i="2"/>
  <c r="CD480" i="2"/>
  <c r="CE480" i="2"/>
  <c r="E481" i="2"/>
  <c r="AQ481" i="2"/>
  <c r="CB481" i="2"/>
  <c r="CD481" i="2"/>
  <c r="CE481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E482" i="2"/>
  <c r="AQ483" i="2"/>
  <c r="CB483" i="2"/>
  <c r="CC483" i="2" s="1"/>
  <c r="CD483" i="2"/>
  <c r="CE483" i="2"/>
  <c r="AQ484" i="2"/>
  <c r="CB484" i="2"/>
  <c r="CC484" i="2"/>
  <c r="CD484" i="2"/>
  <c r="CE484" i="2"/>
  <c r="AQ485" i="2"/>
  <c r="CB485" i="2"/>
  <c r="CD485" i="2"/>
  <c r="CE485" i="2"/>
  <c r="AQ486" i="2"/>
  <c r="AQ510" i="2" s="1"/>
  <c r="CB486" i="2"/>
  <c r="CC486" i="2" s="1"/>
  <c r="CD486" i="2"/>
  <c r="CE486" i="2"/>
  <c r="AQ487" i="2"/>
  <c r="CB487" i="2"/>
  <c r="CC487" i="2" s="1"/>
  <c r="CD487" i="2"/>
  <c r="CE487" i="2"/>
  <c r="E488" i="2"/>
  <c r="AQ488" i="2"/>
  <c r="CB488" i="2"/>
  <c r="CC488" i="2" s="1"/>
  <c r="CD488" i="2"/>
  <c r="CE488" i="2"/>
  <c r="E489" i="2"/>
  <c r="AQ489" i="2"/>
  <c r="CB489" i="2"/>
  <c r="CC489" i="2" s="1"/>
  <c r="CD489" i="2"/>
  <c r="CE489" i="2"/>
  <c r="E490" i="2"/>
  <c r="AQ490" i="2"/>
  <c r="CB490" i="2"/>
  <c r="CC490" i="2" s="1"/>
  <c r="CD490" i="2"/>
  <c r="CE490" i="2"/>
  <c r="E491" i="2"/>
  <c r="AQ491" i="2"/>
  <c r="CB491" i="2"/>
  <c r="CC491" i="2" s="1"/>
  <c r="CD491" i="2"/>
  <c r="CE491" i="2"/>
  <c r="E492" i="2"/>
  <c r="AQ492" i="2"/>
  <c r="CB492" i="2"/>
  <c r="CC492" i="2" s="1"/>
  <c r="CD492" i="2"/>
  <c r="CE492" i="2"/>
  <c r="E493" i="2"/>
  <c r="E496" i="2" s="1"/>
  <c r="E503" i="2" s="1"/>
  <c r="E509" i="2" s="1"/>
  <c r="AQ493" i="2"/>
  <c r="CB493" i="2"/>
  <c r="CC493" i="2" s="1"/>
  <c r="CD493" i="2"/>
  <c r="CE493" i="2"/>
  <c r="AQ494" i="2"/>
  <c r="CB494" i="2"/>
  <c r="CC494" i="2" s="1"/>
  <c r="CD494" i="2"/>
  <c r="CE494" i="2"/>
  <c r="E495" i="2"/>
  <c r="E499" i="2" s="1"/>
  <c r="E500" i="2" s="1"/>
  <c r="E504" i="2" s="1"/>
  <c r="E506" i="2" s="1"/>
  <c r="AQ495" i="2"/>
  <c r="CB495" i="2"/>
  <c r="CC495" i="2" s="1"/>
  <c r="CD495" i="2"/>
  <c r="CE495" i="2"/>
  <c r="AQ496" i="2"/>
  <c r="CB496" i="2"/>
  <c r="CC496" i="2" s="1"/>
  <c r="CD496" i="2"/>
  <c r="CE496" i="2"/>
  <c r="E497" i="2"/>
  <c r="E502" i="2" s="1"/>
  <c r="AQ497" i="2"/>
  <c r="CB497" i="2"/>
  <c r="CC497" i="2" s="1"/>
  <c r="CD497" i="2"/>
  <c r="CE497" i="2"/>
  <c r="AQ498" i="2"/>
  <c r="CB498" i="2"/>
  <c r="CC498" i="2" s="1"/>
  <c r="CD498" i="2"/>
  <c r="CE498" i="2"/>
  <c r="AQ499" i="2"/>
  <c r="CB499" i="2"/>
  <c r="CC499" i="2" s="1"/>
  <c r="CD499" i="2"/>
  <c r="CE499" i="2"/>
  <c r="AQ500" i="2"/>
  <c r="CB500" i="2"/>
  <c r="CC500" i="2" s="1"/>
  <c r="CD500" i="2"/>
  <c r="CE500" i="2"/>
  <c r="AQ501" i="2"/>
  <c r="CB501" i="2"/>
  <c r="CC501" i="2" s="1"/>
  <c r="CD501" i="2"/>
  <c r="CE501" i="2"/>
  <c r="AQ502" i="2"/>
  <c r="CB502" i="2"/>
  <c r="CC502" i="2" s="1"/>
  <c r="CD502" i="2"/>
  <c r="CE502" i="2"/>
  <c r="AQ503" i="2"/>
  <c r="CB503" i="2"/>
  <c r="CC503" i="2" s="1"/>
  <c r="CD503" i="2"/>
  <c r="CE503" i="2"/>
  <c r="AQ504" i="2"/>
  <c r="CB504" i="2"/>
  <c r="CC504" i="2" s="1"/>
  <c r="CD504" i="2"/>
  <c r="CE504" i="2"/>
  <c r="E505" i="2"/>
  <c r="E508" i="2" s="1"/>
  <c r="AQ505" i="2"/>
  <c r="CB505" i="2"/>
  <c r="CC505" i="2" s="1"/>
  <c r="CD505" i="2"/>
  <c r="CE505" i="2"/>
  <c r="AQ506" i="2"/>
  <c r="CB506" i="2"/>
  <c r="CC506" i="2" s="1"/>
  <c r="CD506" i="2"/>
  <c r="CE506" i="2"/>
  <c r="AQ507" i="2"/>
  <c r="CB507" i="2"/>
  <c r="CC507" i="2" s="1"/>
  <c r="CD507" i="2"/>
  <c r="CE507" i="2"/>
  <c r="AQ508" i="2"/>
  <c r="CB508" i="2"/>
  <c r="CC508" i="2" s="1"/>
  <c r="CD508" i="2"/>
  <c r="CE508" i="2"/>
  <c r="AQ509" i="2"/>
  <c r="CB509" i="2"/>
  <c r="CC509" i="2" s="1"/>
  <c r="CD509" i="2"/>
  <c r="CE509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E510" i="2"/>
  <c r="AQ511" i="2"/>
  <c r="CB511" i="2"/>
  <c r="CC511" i="2" s="1"/>
  <c r="CD511" i="2"/>
  <c r="CE511" i="2"/>
  <c r="AQ512" i="2"/>
  <c r="CB512" i="2"/>
  <c r="CC512" i="2"/>
  <c r="CD512" i="2"/>
  <c r="CE512" i="2"/>
  <c r="AQ513" i="2"/>
  <c r="CB513" i="2"/>
  <c r="CC513" i="2" s="1"/>
  <c r="CD513" i="2"/>
  <c r="CE513" i="2"/>
  <c r="AQ514" i="2"/>
  <c r="CB514" i="2"/>
  <c r="CD514" i="2"/>
  <c r="CE514" i="2"/>
  <c r="AQ515" i="2"/>
  <c r="CC515" i="2" s="1"/>
  <c r="CB515" i="2"/>
  <c r="CD515" i="2"/>
  <c r="CE515" i="2"/>
  <c r="AQ516" i="2"/>
  <c r="CB516" i="2"/>
  <c r="CC516" i="2"/>
  <c r="CD516" i="2"/>
  <c r="CE516" i="2"/>
  <c r="AQ517" i="2"/>
  <c r="CB517" i="2"/>
  <c r="CC517" i="2" s="1"/>
  <c r="CD517" i="2"/>
  <c r="CE517" i="2"/>
  <c r="AQ518" i="2"/>
  <c r="CB518" i="2"/>
  <c r="CC518" i="2" s="1"/>
  <c r="CD518" i="2"/>
  <c r="CE518" i="2"/>
  <c r="AQ519" i="2"/>
  <c r="CC519" i="2" s="1"/>
  <c r="CB519" i="2"/>
  <c r="CD519" i="2"/>
  <c r="CE519" i="2"/>
  <c r="AQ520" i="2"/>
  <c r="CB520" i="2"/>
  <c r="CC520" i="2"/>
  <c r="CD520" i="2"/>
  <c r="CE520" i="2"/>
  <c r="AQ521" i="2"/>
  <c r="CB521" i="2"/>
  <c r="CC521" i="2" s="1"/>
  <c r="CD521" i="2"/>
  <c r="CE521" i="2"/>
  <c r="AQ522" i="2"/>
  <c r="CB522" i="2"/>
  <c r="CD522" i="2"/>
  <c r="CE522" i="2"/>
  <c r="AQ523" i="2"/>
  <c r="CC523" i="2" s="1"/>
  <c r="CB523" i="2"/>
  <c r="CD523" i="2"/>
  <c r="CE523" i="2"/>
  <c r="AQ524" i="2"/>
  <c r="CB524" i="2"/>
  <c r="CC524" i="2"/>
  <c r="CD524" i="2"/>
  <c r="CE524" i="2"/>
  <c r="AQ525" i="2"/>
  <c r="CB525" i="2"/>
  <c r="CC525" i="2" s="1"/>
  <c r="CD525" i="2"/>
  <c r="CE525" i="2"/>
  <c r="AQ526" i="2"/>
  <c r="CB526" i="2"/>
  <c r="CD526" i="2"/>
  <c r="CE526" i="2"/>
  <c r="AQ527" i="2"/>
  <c r="CC527" i="2" s="1"/>
  <c r="CB527" i="2"/>
  <c r="CD527" i="2"/>
  <c r="CE527" i="2"/>
  <c r="AQ528" i="2"/>
  <c r="CB528" i="2"/>
  <c r="CC528" i="2"/>
  <c r="CD528" i="2"/>
  <c r="CE528" i="2"/>
  <c r="AQ529" i="2"/>
  <c r="CB529" i="2"/>
  <c r="CC529" i="2" s="1"/>
  <c r="CD529" i="2"/>
  <c r="CE529" i="2"/>
  <c r="AQ530" i="2"/>
  <c r="CB530" i="2"/>
  <c r="CD530" i="2"/>
  <c r="CE530" i="2"/>
  <c r="AQ531" i="2"/>
  <c r="CC531" i="2" s="1"/>
  <c r="CB531" i="2"/>
  <c r="CD531" i="2"/>
  <c r="CE531" i="2"/>
  <c r="AQ532" i="2"/>
  <c r="CB532" i="2"/>
  <c r="CC532" i="2"/>
  <c r="CD532" i="2"/>
  <c r="CE532" i="2"/>
  <c r="AQ533" i="2"/>
  <c r="CB533" i="2"/>
  <c r="CC533" i="2" s="1"/>
  <c r="CD533" i="2"/>
  <c r="CE533" i="2"/>
  <c r="AQ534" i="2"/>
  <c r="CB534" i="2"/>
  <c r="CC534" i="2" s="1"/>
  <c r="CD534" i="2"/>
  <c r="CE534" i="2"/>
  <c r="AQ535" i="2"/>
  <c r="CB535" i="2"/>
  <c r="CC535" i="2" s="1"/>
  <c r="CD535" i="2"/>
  <c r="CE535" i="2"/>
  <c r="AQ536" i="2"/>
  <c r="CB536" i="2"/>
  <c r="CC536" i="2"/>
  <c r="CD536" i="2"/>
  <c r="CE536" i="2"/>
  <c r="AQ537" i="2"/>
  <c r="CB537" i="2"/>
  <c r="CC537" i="2" s="1"/>
  <c r="CD537" i="2"/>
  <c r="CE537" i="2"/>
  <c r="AQ538" i="2"/>
  <c r="CB538" i="2"/>
  <c r="CD538" i="2"/>
  <c r="CE538" i="2"/>
  <c r="AQ539" i="2"/>
  <c r="CB539" i="2"/>
  <c r="CC539" i="2" s="1"/>
  <c r="CD539" i="2"/>
  <c r="CE539" i="2"/>
  <c r="AQ540" i="2"/>
  <c r="CB540" i="2"/>
  <c r="CC540" i="2"/>
  <c r="CD540" i="2"/>
  <c r="CE540" i="2"/>
  <c r="AQ541" i="2"/>
  <c r="AQ542" i="2"/>
  <c r="AQ544" i="2"/>
  <c r="AQ545" i="2"/>
  <c r="AQ546" i="2"/>
  <c r="AQ547" i="2"/>
  <c r="AQ548" i="2"/>
  <c r="AQ549" i="2"/>
  <c r="AQ550" i="2"/>
  <c r="AQ551" i="2"/>
  <c r="AQ552" i="2"/>
  <c r="AQ553" i="2"/>
  <c r="AQ555" i="2"/>
  <c r="AQ556" i="2"/>
  <c r="AQ557" i="2"/>
  <c r="AQ558" i="2"/>
  <c r="AQ559" i="2"/>
  <c r="AQ560" i="2"/>
  <c r="CC560" i="2" s="1"/>
  <c r="CB560" i="2"/>
  <c r="CD560" i="2"/>
  <c r="CE560" i="2"/>
  <c r="AQ561" i="2"/>
  <c r="CB561" i="2"/>
  <c r="CC561" i="2" s="1"/>
  <c r="CD561" i="2"/>
  <c r="CD571" i="2" s="1"/>
  <c r="CE561" i="2"/>
  <c r="AQ562" i="2"/>
  <c r="CB562" i="2"/>
  <c r="CC562" i="2"/>
  <c r="CD562" i="2"/>
  <c r="CE562" i="2"/>
  <c r="AQ563" i="2"/>
  <c r="CB563" i="2"/>
  <c r="CD563" i="2"/>
  <c r="CE563" i="2"/>
  <c r="AQ564" i="2"/>
  <c r="CB564" i="2"/>
  <c r="CD564" i="2"/>
  <c r="CE564" i="2"/>
  <c r="AQ565" i="2"/>
  <c r="CB565" i="2"/>
  <c r="CC565" i="2" s="1"/>
  <c r="CD565" i="2"/>
  <c r="CE565" i="2"/>
  <c r="AQ566" i="2"/>
  <c r="CB566" i="2"/>
  <c r="CC566" i="2"/>
  <c r="CD566" i="2"/>
  <c r="CE566" i="2"/>
  <c r="AQ567" i="2"/>
  <c r="CB567" i="2"/>
  <c r="CC567" i="2" s="1"/>
  <c r="CD567" i="2"/>
  <c r="CE567" i="2"/>
  <c r="AQ568" i="2"/>
  <c r="CB568" i="2"/>
  <c r="CD568" i="2"/>
  <c r="CE568" i="2"/>
  <c r="AQ569" i="2"/>
  <c r="CB569" i="2"/>
  <c r="CC569" i="2" s="1"/>
  <c r="CD569" i="2"/>
  <c r="CE569" i="2"/>
  <c r="AQ570" i="2"/>
  <c r="CB570" i="2"/>
  <c r="CC570" i="2"/>
  <c r="CD570" i="2"/>
  <c r="CE570" i="2"/>
  <c r="AI571" i="2"/>
  <c r="AJ571" i="2"/>
  <c r="AK571" i="2"/>
  <c r="AL571" i="2"/>
  <c r="AM571" i="2"/>
  <c r="AN571" i="2"/>
  <c r="AO571" i="2"/>
  <c r="AP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AQ572" i="2"/>
  <c r="CB572" i="2"/>
  <c r="CD572" i="2"/>
  <c r="CE572" i="2"/>
  <c r="AQ573" i="2"/>
  <c r="CB573" i="2"/>
  <c r="CD573" i="2"/>
  <c r="CE573" i="2"/>
  <c r="AQ574" i="2"/>
  <c r="CB574" i="2"/>
  <c r="CC574" i="2" s="1"/>
  <c r="CD574" i="2"/>
  <c r="CE574" i="2"/>
  <c r="AQ575" i="2"/>
  <c r="CB575" i="2"/>
  <c r="CC575" i="2"/>
  <c r="CD575" i="2"/>
  <c r="CE575" i="2"/>
  <c r="AQ576" i="2"/>
  <c r="CB576" i="2"/>
  <c r="CC576" i="2" s="1"/>
  <c r="CD576" i="2"/>
  <c r="CE576" i="2"/>
  <c r="AQ577" i="2"/>
  <c r="CB577" i="2"/>
  <c r="CC577" i="2" s="1"/>
  <c r="CD577" i="2"/>
  <c r="CE577" i="2"/>
  <c r="AQ578" i="2"/>
  <c r="AS578" i="2"/>
  <c r="CB578" i="2" s="1"/>
  <c r="CC578" i="2" s="1"/>
  <c r="CD578" i="2"/>
  <c r="CE578" i="2"/>
  <c r="AQ579" i="2"/>
  <c r="CB579" i="2"/>
  <c r="CC579" i="2" s="1"/>
  <c r="CD579" i="2"/>
  <c r="CE579" i="2"/>
  <c r="AQ580" i="2"/>
  <c r="CC580" i="2" s="1"/>
  <c r="CB580" i="2"/>
  <c r="CD580" i="2"/>
  <c r="CE580" i="2"/>
  <c r="AQ581" i="2"/>
  <c r="CB581" i="2"/>
  <c r="CC581" i="2" s="1"/>
  <c r="CD581" i="2"/>
  <c r="CE581" i="2"/>
  <c r="AQ582" i="2"/>
  <c r="CB582" i="2"/>
  <c r="CC582" i="2"/>
  <c r="CD582" i="2"/>
  <c r="CE582" i="2"/>
  <c r="AQ583" i="2"/>
  <c r="CB583" i="2"/>
  <c r="CC583" i="2" s="1"/>
  <c r="CD583" i="2"/>
  <c r="CE583" i="2"/>
  <c r="AQ584" i="2"/>
  <c r="CB584" i="2"/>
  <c r="CD584" i="2"/>
  <c r="CE584" i="2"/>
  <c r="AQ585" i="2"/>
  <c r="AS585" i="2"/>
  <c r="CB585" i="2"/>
  <c r="CC585" i="2"/>
  <c r="CD585" i="2"/>
  <c r="CE585" i="2"/>
  <c r="AQ586" i="2"/>
  <c r="CB586" i="2"/>
  <c r="CC586" i="2" s="1"/>
  <c r="CD586" i="2"/>
  <c r="CE586" i="2"/>
  <c r="AQ587" i="2"/>
  <c r="AS587" i="2"/>
  <c r="CB587" i="2" s="1"/>
  <c r="CC587" i="2" s="1"/>
  <c r="CD587" i="2"/>
  <c r="CE587" i="2"/>
  <c r="AQ588" i="2"/>
  <c r="CB588" i="2"/>
  <c r="CC588" i="2"/>
  <c r="CD588" i="2"/>
  <c r="CE588" i="2"/>
  <c r="AQ589" i="2"/>
  <c r="CB589" i="2"/>
  <c r="CC589" i="2" s="1"/>
  <c r="CD589" i="2"/>
  <c r="CE589" i="2"/>
  <c r="AQ590" i="2"/>
  <c r="CB590" i="2"/>
  <c r="CD590" i="2"/>
  <c r="CE590" i="2"/>
  <c r="E591" i="2"/>
  <c r="AQ591" i="2"/>
  <c r="CB591" i="2"/>
  <c r="CC591" i="2"/>
  <c r="CD591" i="2"/>
  <c r="CE591" i="2"/>
  <c r="AQ592" i="2"/>
  <c r="CB592" i="2"/>
  <c r="CC592" i="2" s="1"/>
  <c r="CD592" i="2"/>
  <c r="CE592" i="2"/>
  <c r="AQ593" i="2"/>
  <c r="CB593" i="2"/>
  <c r="CD593" i="2"/>
  <c r="CE593" i="2"/>
  <c r="AQ594" i="2"/>
  <c r="CC594" i="2" s="1"/>
  <c r="CB594" i="2"/>
  <c r="CD594" i="2"/>
  <c r="CE594" i="2"/>
  <c r="AQ595" i="2"/>
  <c r="CB595" i="2"/>
  <c r="CC595" i="2"/>
  <c r="CD595" i="2"/>
  <c r="CE595" i="2"/>
  <c r="AQ596" i="2"/>
  <c r="CB596" i="2"/>
  <c r="CC596" i="2" s="1"/>
  <c r="CD596" i="2"/>
  <c r="CE596" i="2"/>
  <c r="AQ597" i="2"/>
  <c r="AS597" i="2"/>
  <c r="CB597" i="2" s="1"/>
  <c r="CC597" i="2" s="1"/>
  <c r="CD597" i="2"/>
  <c r="CE597" i="2"/>
  <c r="AQ598" i="2"/>
  <c r="CB598" i="2"/>
  <c r="CC598" i="2"/>
  <c r="CD598" i="2"/>
  <c r="CE598" i="2"/>
  <c r="AQ599" i="2"/>
  <c r="CB599" i="2"/>
  <c r="CC599" i="2" s="1"/>
  <c r="CD599" i="2"/>
  <c r="CE599" i="2"/>
  <c r="AQ600" i="2"/>
  <c r="CB600" i="2"/>
  <c r="CD600" i="2"/>
  <c r="CE600" i="2"/>
  <c r="AQ601" i="2"/>
  <c r="CB601" i="2"/>
  <c r="CC601" i="2" s="1"/>
  <c r="CD601" i="2"/>
  <c r="CE601" i="2"/>
  <c r="AQ602" i="2"/>
  <c r="CB602" i="2"/>
  <c r="CC602" i="2"/>
  <c r="CD602" i="2"/>
  <c r="CE602" i="2"/>
  <c r="AQ603" i="2"/>
  <c r="CB603" i="2"/>
  <c r="CC603" i="2" s="1"/>
  <c r="CD603" i="2"/>
  <c r="CE603" i="2"/>
  <c r="AQ604" i="2"/>
  <c r="CB604" i="2"/>
  <c r="CD604" i="2"/>
  <c r="CE604" i="2"/>
  <c r="AQ605" i="2"/>
  <c r="CB605" i="2"/>
  <c r="CC605" i="2" s="1"/>
  <c r="CD605" i="2"/>
  <c r="CE605" i="2"/>
  <c r="AQ606" i="2"/>
  <c r="CB606" i="2"/>
  <c r="CC606" i="2"/>
  <c r="CD606" i="2"/>
  <c r="CE606" i="2"/>
  <c r="E607" i="2"/>
  <c r="AQ607" i="2"/>
  <c r="CB607" i="2"/>
  <c r="CC607" i="2" s="1"/>
  <c r="CD607" i="2"/>
  <c r="CE607" i="2"/>
  <c r="E608" i="2"/>
  <c r="AQ608" i="2"/>
  <c r="CB608" i="2"/>
  <c r="CC608" i="2"/>
  <c r="CD608" i="2"/>
  <c r="CE608" i="2"/>
  <c r="AQ609" i="2"/>
  <c r="CB609" i="2"/>
  <c r="CC609" i="2" s="1"/>
  <c r="CD609" i="2"/>
  <c r="CE609" i="2"/>
  <c r="AQ610" i="2"/>
  <c r="CB610" i="2"/>
  <c r="CD610" i="2"/>
  <c r="CE610" i="2"/>
  <c r="AQ611" i="2"/>
  <c r="CC611" i="2" s="1"/>
  <c r="CB611" i="2"/>
  <c r="CD611" i="2"/>
  <c r="CE611" i="2"/>
  <c r="AQ612" i="2"/>
  <c r="CB612" i="2"/>
  <c r="CC612" i="2"/>
  <c r="CD612" i="2"/>
  <c r="CE612" i="2"/>
  <c r="AQ613" i="2"/>
  <c r="CB613" i="2"/>
  <c r="CC613" i="2" s="1"/>
  <c r="CD613" i="2"/>
  <c r="CE613" i="2"/>
  <c r="AQ614" i="2"/>
  <c r="CC614" i="2" s="1"/>
  <c r="CB614" i="2"/>
  <c r="CD614" i="2"/>
  <c r="CE614" i="2"/>
  <c r="AQ615" i="2"/>
  <c r="CB615" i="2"/>
  <c r="CC615" i="2" s="1"/>
  <c r="CD615" i="2"/>
  <c r="CE615" i="2"/>
  <c r="AQ616" i="2"/>
  <c r="CB616" i="2"/>
  <c r="CC616" i="2"/>
  <c r="CD616" i="2"/>
  <c r="CE616" i="2"/>
  <c r="AQ617" i="2"/>
  <c r="CB617" i="2"/>
  <c r="CC617" i="2" s="1"/>
  <c r="CD617" i="2"/>
  <c r="CE617" i="2"/>
  <c r="AQ618" i="2"/>
  <c r="CC618" i="2" s="1"/>
  <c r="CB618" i="2"/>
  <c r="CD618" i="2"/>
  <c r="CE618" i="2"/>
  <c r="AQ619" i="2"/>
  <c r="CB619" i="2"/>
  <c r="CC619" i="2" s="1"/>
  <c r="CD619" i="2"/>
  <c r="CE619" i="2"/>
  <c r="AQ620" i="2"/>
  <c r="CB620" i="2"/>
  <c r="CC620" i="2"/>
  <c r="CD620" i="2"/>
  <c r="CE620" i="2"/>
  <c r="AQ621" i="2"/>
  <c r="CB621" i="2"/>
  <c r="CC621" i="2" s="1"/>
  <c r="CD621" i="2"/>
  <c r="CE621" i="2"/>
  <c r="AQ622" i="2"/>
  <c r="CC622" i="2" s="1"/>
  <c r="CB622" i="2"/>
  <c r="CD622" i="2"/>
  <c r="CE622" i="2"/>
  <c r="AQ623" i="2"/>
  <c r="CB623" i="2"/>
  <c r="CC623" i="2"/>
  <c r="CD623" i="2"/>
  <c r="CE623" i="2"/>
  <c r="AQ624" i="2"/>
  <c r="CB624" i="2"/>
  <c r="CC624" i="2"/>
  <c r="CD624" i="2"/>
  <c r="CE624" i="2"/>
  <c r="AQ625" i="2"/>
  <c r="CB625" i="2"/>
  <c r="CC625" i="2" s="1"/>
  <c r="CD625" i="2"/>
  <c r="CE625" i="2"/>
  <c r="AQ626" i="2"/>
  <c r="CB626" i="2"/>
  <c r="CD626" i="2"/>
  <c r="CE626" i="2"/>
  <c r="AQ627" i="2"/>
  <c r="CC627" i="2" s="1"/>
  <c r="CB627" i="2"/>
  <c r="CD627" i="2"/>
  <c r="CE627" i="2"/>
  <c r="AQ628" i="2"/>
  <c r="CB628" i="2"/>
  <c r="CC628" i="2"/>
  <c r="CD628" i="2"/>
  <c r="CE628" i="2"/>
  <c r="AQ629" i="2"/>
  <c r="CB629" i="2"/>
  <c r="CC629" i="2" s="1"/>
  <c r="CD629" i="2"/>
  <c r="CE629" i="2"/>
  <c r="AQ630" i="2"/>
  <c r="CB630" i="2"/>
  <c r="CC630" i="2" s="1"/>
  <c r="CD630" i="2"/>
  <c r="CE630" i="2"/>
  <c r="AQ631" i="2"/>
  <c r="CB631" i="2"/>
  <c r="CC631" i="2" s="1"/>
  <c r="CD631" i="2"/>
  <c r="CE631" i="2"/>
  <c r="AQ632" i="2"/>
  <c r="CB632" i="2"/>
  <c r="CC632" i="2"/>
  <c r="CD632" i="2"/>
  <c r="CE632" i="2"/>
  <c r="AQ633" i="2"/>
  <c r="CB633" i="2"/>
  <c r="CC633" i="2" s="1"/>
  <c r="CD633" i="2"/>
  <c r="CE633" i="2"/>
  <c r="AQ634" i="2"/>
  <c r="CB634" i="2"/>
  <c r="CD634" i="2"/>
  <c r="CE634" i="2"/>
  <c r="AQ635" i="2"/>
  <c r="CB635" i="2"/>
  <c r="CC635" i="2" s="1"/>
  <c r="CD635" i="2"/>
  <c r="CE635" i="2"/>
  <c r="AQ636" i="2"/>
  <c r="CB636" i="2"/>
  <c r="CC636" i="2"/>
  <c r="CD636" i="2"/>
  <c r="CE636" i="2"/>
  <c r="AQ637" i="2"/>
  <c r="CB637" i="2"/>
  <c r="CC637" i="2" s="1"/>
  <c r="CD637" i="2"/>
  <c r="CE637" i="2"/>
  <c r="AQ638" i="2"/>
  <c r="CB638" i="2"/>
  <c r="CD638" i="2"/>
  <c r="CE638" i="2"/>
  <c r="AQ639" i="2"/>
  <c r="CB639" i="2"/>
  <c r="CC639" i="2" s="1"/>
  <c r="CD639" i="2"/>
  <c r="CE639" i="2"/>
  <c r="E640" i="2"/>
  <c r="AQ640" i="2"/>
  <c r="CB640" i="2"/>
  <c r="CC640" i="2" s="1"/>
  <c r="CD640" i="2"/>
  <c r="CE640" i="2"/>
  <c r="E641" i="2"/>
  <c r="AQ641" i="2"/>
  <c r="AS641" i="2"/>
  <c r="CB641" i="2" s="1"/>
  <c r="CC641" i="2" s="1"/>
  <c r="CD641" i="2"/>
  <c r="CE641" i="2"/>
  <c r="AQ642" i="2"/>
  <c r="CB642" i="2"/>
  <c r="CC642" i="2" s="1"/>
  <c r="CD642" i="2"/>
  <c r="CE642" i="2"/>
  <c r="AQ643" i="2"/>
  <c r="CC643" i="2" s="1"/>
  <c r="CB643" i="2"/>
  <c r="CD643" i="2"/>
  <c r="CE643" i="2"/>
  <c r="AQ644" i="2"/>
  <c r="CB644" i="2"/>
  <c r="CC644" i="2" s="1"/>
  <c r="CD644" i="2"/>
  <c r="CE644" i="2"/>
  <c r="AQ645" i="2"/>
  <c r="CB645" i="2"/>
  <c r="CC645" i="2"/>
  <c r="CD645" i="2"/>
  <c r="CE645" i="2"/>
  <c r="AQ646" i="2"/>
  <c r="AS646" i="2"/>
  <c r="CD646" i="2"/>
  <c r="CE646" i="2"/>
  <c r="AQ647" i="2"/>
  <c r="CB647" i="2"/>
  <c r="CC647" i="2" s="1"/>
  <c r="CD647" i="2"/>
  <c r="CE647" i="2"/>
  <c r="AQ648" i="2"/>
  <c r="CB648" i="2"/>
  <c r="CC648" i="2"/>
  <c r="CD648" i="2"/>
  <c r="CE648" i="2"/>
  <c r="AQ649" i="2"/>
  <c r="CB649" i="2"/>
  <c r="CC649" i="2" s="1"/>
  <c r="CD649" i="2"/>
  <c r="CE649" i="2"/>
  <c r="AQ650" i="2"/>
  <c r="CB650" i="2"/>
  <c r="CD650" i="2"/>
  <c r="CE650" i="2"/>
  <c r="AQ651" i="2"/>
  <c r="CB651" i="2"/>
  <c r="CC651" i="2" s="1"/>
  <c r="CD651" i="2"/>
  <c r="CE651" i="2"/>
  <c r="AQ652" i="2"/>
  <c r="CB652" i="2"/>
  <c r="CC652" i="2"/>
  <c r="CD652" i="2"/>
  <c r="CE652" i="2"/>
  <c r="AQ653" i="2"/>
  <c r="CB653" i="2"/>
  <c r="CC653" i="2" s="1"/>
  <c r="CD653" i="2"/>
  <c r="CE653" i="2"/>
  <c r="AQ654" i="2"/>
  <c r="CB654" i="2"/>
  <c r="CC654" i="2" s="1"/>
  <c r="CD654" i="2"/>
  <c r="CE654" i="2"/>
  <c r="AQ655" i="2"/>
  <c r="CB655" i="2"/>
  <c r="CC655" i="2" s="1"/>
  <c r="CD655" i="2"/>
  <c r="CE655" i="2"/>
  <c r="AQ656" i="2"/>
  <c r="CB656" i="2"/>
  <c r="CC656" i="2"/>
  <c r="CD656" i="2"/>
  <c r="CE656" i="2"/>
  <c r="AQ657" i="2"/>
  <c r="AS657" i="2"/>
  <c r="CB657" i="2" s="1"/>
  <c r="CC657" i="2" s="1"/>
  <c r="CD657" i="2"/>
  <c r="CE657" i="2"/>
  <c r="AQ658" i="2"/>
  <c r="CB658" i="2"/>
  <c r="CC658" i="2" s="1"/>
  <c r="CD658" i="2"/>
  <c r="CE658" i="2"/>
  <c r="AQ659" i="2"/>
  <c r="CB659" i="2"/>
  <c r="CC659" i="2"/>
  <c r="CD659" i="2"/>
  <c r="CE659" i="2"/>
  <c r="AQ660" i="2"/>
  <c r="AS660" i="2"/>
  <c r="CB660" i="2" s="1"/>
  <c r="CC660" i="2" s="1"/>
  <c r="CD660" i="2"/>
  <c r="CE660" i="2"/>
  <c r="AQ661" i="2"/>
  <c r="CB661" i="2"/>
  <c r="CC661" i="2" s="1"/>
  <c r="CD661" i="2"/>
  <c r="CE661" i="2"/>
  <c r="AQ662" i="2"/>
  <c r="CB662" i="2"/>
  <c r="CC662" i="2"/>
  <c r="CD662" i="2"/>
  <c r="CE662" i="2"/>
  <c r="AQ663" i="2"/>
  <c r="CB663" i="2"/>
  <c r="CC663" i="2" s="1"/>
  <c r="CD663" i="2"/>
  <c r="CE663" i="2"/>
  <c r="AQ664" i="2"/>
  <c r="CB664" i="2"/>
  <c r="CD664" i="2"/>
  <c r="CE664" i="2"/>
  <c r="E665" i="2"/>
  <c r="AQ665" i="2"/>
  <c r="AS665" i="2"/>
  <c r="CB665" i="2"/>
  <c r="CC665" i="2" s="1"/>
  <c r="CD665" i="2"/>
  <c r="CE665" i="2"/>
  <c r="AQ666" i="2"/>
  <c r="BG666" i="2"/>
  <c r="CB666" i="2" s="1"/>
  <c r="CD666" i="2"/>
  <c r="CE666" i="2"/>
  <c r="AQ667" i="2"/>
  <c r="CB667" i="2"/>
  <c r="CC667" i="2"/>
  <c r="CD667" i="2"/>
  <c r="CE667" i="2"/>
  <c r="AQ668" i="2"/>
  <c r="AS668" i="2"/>
  <c r="CB668" i="2" s="1"/>
  <c r="CC668" i="2" s="1"/>
  <c r="BG668" i="2"/>
  <c r="CD668" i="2"/>
  <c r="CE668" i="2"/>
  <c r="AQ669" i="2"/>
  <c r="CB669" i="2"/>
  <c r="CC669" i="2"/>
  <c r="CD669" i="2"/>
  <c r="CE669" i="2"/>
  <c r="AQ670" i="2"/>
  <c r="BG670" i="2"/>
  <c r="CD670" i="2"/>
  <c r="CE670" i="2"/>
  <c r="AQ671" i="2"/>
  <c r="CB671" i="2"/>
  <c r="CC671" i="2" s="1"/>
  <c r="CD671" i="2"/>
  <c r="CE671" i="2"/>
  <c r="D672" i="2"/>
  <c r="AQ672" i="2"/>
  <c r="CB672" i="2"/>
  <c r="CC672" i="2" s="1"/>
  <c r="CD672" i="2"/>
  <c r="CE672" i="2"/>
  <c r="D673" i="2"/>
  <c r="D674" i="2" s="1"/>
  <c r="AQ673" i="2"/>
  <c r="CB673" i="2"/>
  <c r="CC673" i="2" s="1"/>
  <c r="CD673" i="2"/>
  <c r="CE673" i="2"/>
  <c r="AQ674" i="2"/>
  <c r="AS674" i="2"/>
  <c r="CB674" i="2" s="1"/>
  <c r="CC674" i="2" s="1"/>
  <c r="CD674" i="2"/>
  <c r="CE674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R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E675" i="2"/>
  <c r="AQ676" i="2"/>
  <c r="CB676" i="2"/>
  <c r="CC676" i="2" s="1"/>
  <c r="CD676" i="2"/>
  <c r="CE676" i="2"/>
  <c r="AQ677" i="2"/>
  <c r="CB677" i="2"/>
  <c r="CC677" i="2"/>
  <c r="CD677" i="2"/>
  <c r="CE677" i="2"/>
  <c r="AQ678" i="2"/>
  <c r="CB678" i="2"/>
  <c r="CC678" i="2" s="1"/>
  <c r="CD678" i="2"/>
  <c r="CE678" i="2"/>
  <c r="AQ679" i="2"/>
  <c r="CC679" i="2" s="1"/>
  <c r="CB679" i="2"/>
  <c r="CD679" i="2"/>
  <c r="CE679" i="2"/>
  <c r="AQ680" i="2"/>
  <c r="CB680" i="2"/>
  <c r="CC680" i="2" s="1"/>
  <c r="CD680" i="2"/>
  <c r="CE680" i="2"/>
  <c r="AQ681" i="2"/>
  <c r="CB681" i="2"/>
  <c r="CC681" i="2"/>
  <c r="CD681" i="2"/>
  <c r="CE681" i="2"/>
  <c r="AQ682" i="2"/>
  <c r="CB682" i="2"/>
  <c r="CC682" i="2" s="1"/>
  <c r="CD682" i="2"/>
  <c r="CE682" i="2"/>
  <c r="AQ683" i="2"/>
  <c r="CB683" i="2"/>
  <c r="CD683" i="2"/>
  <c r="CE683" i="2"/>
  <c r="E684" i="2"/>
  <c r="AQ684" i="2"/>
  <c r="CB684" i="2"/>
  <c r="CC684" i="2"/>
  <c r="CD684" i="2"/>
  <c r="CE684" i="2"/>
  <c r="AQ685" i="2"/>
  <c r="CB685" i="2"/>
  <c r="CC685" i="2" s="1"/>
  <c r="CD685" i="2"/>
  <c r="CE685" i="2"/>
  <c r="AQ686" i="2"/>
  <c r="CB686" i="2"/>
  <c r="CD686" i="2"/>
  <c r="CE686" i="2"/>
  <c r="AQ687" i="2"/>
  <c r="CB687" i="2"/>
  <c r="CC687" i="2" s="1"/>
  <c r="CD687" i="2"/>
  <c r="CE687" i="2"/>
  <c r="AQ688" i="2"/>
  <c r="CB688" i="2"/>
  <c r="CC688" i="2"/>
  <c r="CD688" i="2"/>
  <c r="CE688" i="2"/>
  <c r="AQ689" i="2"/>
  <c r="CB689" i="2"/>
  <c r="CC689" i="2" s="1"/>
  <c r="CD689" i="2"/>
  <c r="CE689" i="2"/>
  <c r="AQ690" i="2"/>
  <c r="CB690" i="2"/>
  <c r="CD690" i="2"/>
  <c r="CE690" i="2"/>
  <c r="AQ691" i="2"/>
  <c r="CB691" i="2"/>
  <c r="CD691" i="2"/>
  <c r="CE691" i="2"/>
  <c r="AQ692" i="2"/>
  <c r="CB692" i="2"/>
  <c r="CC692" i="2"/>
  <c r="CD692" i="2"/>
  <c r="CE692" i="2"/>
  <c r="AQ693" i="2"/>
  <c r="CB693" i="2"/>
  <c r="CD693" i="2"/>
  <c r="CE693" i="2"/>
  <c r="AQ694" i="2"/>
  <c r="CB694" i="2"/>
  <c r="CD694" i="2"/>
  <c r="CE694" i="2"/>
  <c r="AQ695" i="2"/>
  <c r="CB695" i="2"/>
  <c r="CC695" i="2" s="1"/>
  <c r="CD695" i="2"/>
  <c r="CE695" i="2"/>
  <c r="AQ696" i="2"/>
  <c r="CB696" i="2"/>
  <c r="CC696" i="2"/>
  <c r="CD696" i="2"/>
  <c r="CE696" i="2"/>
  <c r="AQ697" i="2"/>
  <c r="CB697" i="2"/>
  <c r="CC697" i="2" s="1"/>
  <c r="CD697" i="2"/>
  <c r="CE697" i="2"/>
  <c r="AQ698" i="2"/>
  <c r="CB698" i="2"/>
  <c r="CD698" i="2"/>
  <c r="CE698" i="2"/>
  <c r="E699" i="2"/>
  <c r="E700" i="2" s="1"/>
  <c r="AQ699" i="2"/>
  <c r="CB699" i="2"/>
  <c r="CC699" i="2"/>
  <c r="CD699" i="2"/>
  <c r="CE699" i="2"/>
  <c r="AQ700" i="2"/>
  <c r="CB700" i="2"/>
  <c r="CC700" i="2" s="1"/>
  <c r="CD700" i="2"/>
  <c r="CE700" i="2"/>
  <c r="AQ701" i="2"/>
  <c r="CB701" i="2"/>
  <c r="CC701" i="2" s="1"/>
  <c r="CD701" i="2"/>
  <c r="CE701" i="2"/>
  <c r="AQ702" i="2"/>
  <c r="CB702" i="2"/>
  <c r="CC702" i="2"/>
  <c r="CD702" i="2"/>
  <c r="CE702" i="2"/>
  <c r="AQ703" i="2"/>
  <c r="CB703" i="2"/>
  <c r="CC703" i="2" s="1"/>
  <c r="CD703" i="2"/>
  <c r="CE703" i="2"/>
  <c r="AQ704" i="2"/>
  <c r="AS704" i="2"/>
  <c r="AT704" i="2" s="1"/>
  <c r="AT746" i="2" s="1"/>
  <c r="CD704" i="2"/>
  <c r="CE704" i="2"/>
  <c r="AQ705" i="2"/>
  <c r="CB705" i="2"/>
  <c r="CC705" i="2" s="1"/>
  <c r="CD705" i="2"/>
  <c r="CE705" i="2"/>
  <c r="AQ706" i="2"/>
  <c r="CB706" i="2"/>
  <c r="CD706" i="2"/>
  <c r="CE706" i="2"/>
  <c r="AQ707" i="2"/>
  <c r="CB707" i="2"/>
  <c r="CC707" i="2" s="1"/>
  <c r="CD707" i="2"/>
  <c r="CE707" i="2"/>
  <c r="AQ708" i="2"/>
  <c r="AS708" i="2"/>
  <c r="AT708" i="2"/>
  <c r="CB708" i="2" s="1"/>
  <c r="CC708" i="2" s="1"/>
  <c r="CD708" i="2"/>
  <c r="CE708" i="2"/>
  <c r="AQ709" i="2"/>
  <c r="CB709" i="2"/>
  <c r="CC709" i="2" s="1"/>
  <c r="CD709" i="2"/>
  <c r="CE709" i="2"/>
  <c r="AQ710" i="2"/>
  <c r="CB710" i="2"/>
  <c r="CC710" i="2"/>
  <c r="CD710" i="2"/>
  <c r="CE710" i="2"/>
  <c r="AQ711" i="2"/>
  <c r="CB711" i="2"/>
  <c r="CC711" i="2" s="1"/>
  <c r="CD711" i="2"/>
  <c r="CE711" i="2"/>
  <c r="AQ712" i="2"/>
  <c r="CB712" i="2"/>
  <c r="CC712" i="2" s="1"/>
  <c r="CD712" i="2"/>
  <c r="CE712" i="2"/>
  <c r="E713" i="2"/>
  <c r="AQ713" i="2"/>
  <c r="CB713" i="2"/>
  <c r="CC713" i="2"/>
  <c r="CD713" i="2"/>
  <c r="CE713" i="2"/>
  <c r="AQ714" i="2"/>
  <c r="AS714" i="2"/>
  <c r="CB714" i="2" s="1"/>
  <c r="CC714" i="2" s="1"/>
  <c r="CD714" i="2"/>
  <c r="CE714" i="2"/>
  <c r="AQ715" i="2"/>
  <c r="CB715" i="2"/>
  <c r="CC715" i="2" s="1"/>
  <c r="CD715" i="2"/>
  <c r="CE715" i="2"/>
  <c r="AQ716" i="2"/>
  <c r="CB716" i="2"/>
  <c r="CC716" i="2"/>
  <c r="CD716" i="2"/>
  <c r="CE716" i="2"/>
  <c r="AQ717" i="2"/>
  <c r="CB717" i="2"/>
  <c r="CC717" i="2" s="1"/>
  <c r="CD717" i="2"/>
  <c r="CE717" i="2"/>
  <c r="AQ718" i="2"/>
  <c r="AS718" i="2"/>
  <c r="AT718" i="2" s="1"/>
  <c r="CD718" i="2"/>
  <c r="CE718" i="2"/>
  <c r="AQ719" i="2"/>
  <c r="AS719" i="2"/>
  <c r="CB719" i="2" s="1"/>
  <c r="CC719" i="2" s="1"/>
  <c r="CD719" i="2"/>
  <c r="CE719" i="2"/>
  <c r="AQ720" i="2"/>
  <c r="AS720" i="2"/>
  <c r="CB720" i="2" s="1"/>
  <c r="CC720" i="2" s="1"/>
  <c r="CD720" i="2"/>
  <c r="CE720" i="2"/>
  <c r="AQ721" i="2"/>
  <c r="AS721" i="2"/>
  <c r="CB721" i="2" s="1"/>
  <c r="CC721" i="2" s="1"/>
  <c r="CD721" i="2"/>
  <c r="CE721" i="2"/>
  <c r="AQ722" i="2"/>
  <c r="AS722" i="2"/>
  <c r="CB722" i="2" s="1"/>
  <c r="CC722" i="2" s="1"/>
  <c r="CD722" i="2"/>
  <c r="CE722" i="2"/>
  <c r="AQ723" i="2"/>
  <c r="CB723" i="2"/>
  <c r="CC723" i="2" s="1"/>
  <c r="CD723" i="2"/>
  <c r="CE723" i="2"/>
  <c r="AQ724" i="2"/>
  <c r="CB724" i="2"/>
  <c r="CD724" i="2"/>
  <c r="CE724" i="2"/>
  <c r="AQ725" i="2"/>
  <c r="CB725" i="2"/>
  <c r="CC725" i="2" s="1"/>
  <c r="CD725" i="2"/>
  <c r="CE725" i="2"/>
  <c r="AQ726" i="2"/>
  <c r="CB726" i="2"/>
  <c r="CC726" i="2"/>
  <c r="CD726" i="2"/>
  <c r="CE726" i="2"/>
  <c r="AQ727" i="2"/>
  <c r="CB727" i="2"/>
  <c r="CC727" i="2" s="1"/>
  <c r="CD727" i="2"/>
  <c r="CE727" i="2"/>
  <c r="AQ728" i="2"/>
  <c r="AS728" i="2"/>
  <c r="CB728" i="2" s="1"/>
  <c r="CD728" i="2"/>
  <c r="CE728" i="2"/>
  <c r="AQ729" i="2"/>
  <c r="CB729" i="2"/>
  <c r="CC729" i="2"/>
  <c r="CD729" i="2"/>
  <c r="CE729" i="2"/>
  <c r="AQ730" i="2"/>
  <c r="CB730" i="2"/>
  <c r="CC730" i="2" s="1"/>
  <c r="CD730" i="2"/>
  <c r="CE730" i="2"/>
  <c r="AQ731" i="2"/>
  <c r="CB731" i="2"/>
  <c r="CC731" i="2" s="1"/>
  <c r="CD731" i="2"/>
  <c r="CE731" i="2"/>
  <c r="AQ732" i="2"/>
  <c r="CB732" i="2"/>
  <c r="CC732" i="2" s="1"/>
  <c r="CD732" i="2"/>
  <c r="CE732" i="2"/>
  <c r="AQ733" i="2"/>
  <c r="CB733" i="2"/>
  <c r="CC733" i="2"/>
  <c r="CD733" i="2"/>
  <c r="CE733" i="2"/>
  <c r="AQ734" i="2"/>
  <c r="CB734" i="2"/>
  <c r="CC734" i="2" s="1"/>
  <c r="CD734" i="2"/>
  <c r="CE734" i="2"/>
  <c r="AQ735" i="2"/>
  <c r="CB735" i="2"/>
  <c r="CD735" i="2"/>
  <c r="CE735" i="2"/>
  <c r="AQ736" i="2"/>
  <c r="AS736" i="2"/>
  <c r="CB736" i="2" s="1"/>
  <c r="CC736" i="2" s="1"/>
  <c r="CD736" i="2"/>
  <c r="CE736" i="2"/>
  <c r="AQ737" i="2"/>
  <c r="CB737" i="2"/>
  <c r="CC737" i="2" s="1"/>
  <c r="CD737" i="2"/>
  <c r="CE737" i="2"/>
  <c r="AQ738" i="2"/>
  <c r="CB738" i="2"/>
  <c r="CD738" i="2"/>
  <c r="CE738" i="2"/>
  <c r="AQ739" i="2"/>
  <c r="CB739" i="2"/>
  <c r="CC739" i="2" s="1"/>
  <c r="CD739" i="2"/>
  <c r="CE739" i="2"/>
  <c r="AQ740" i="2"/>
  <c r="CB740" i="2"/>
  <c r="CC740" i="2"/>
  <c r="CD740" i="2"/>
  <c r="CE740" i="2"/>
  <c r="AQ741" i="2"/>
  <c r="CB741" i="2"/>
  <c r="CC741" i="2" s="1"/>
  <c r="CD741" i="2"/>
  <c r="CE741" i="2"/>
  <c r="E742" i="2"/>
  <c r="E743" i="2" s="1"/>
  <c r="E744" i="2" s="1"/>
  <c r="AQ742" i="2"/>
  <c r="CB742" i="2"/>
  <c r="CC742" i="2" s="1"/>
  <c r="CD742" i="2"/>
  <c r="CE742" i="2"/>
  <c r="AQ743" i="2"/>
  <c r="AS743" i="2"/>
  <c r="CB743" i="2" s="1"/>
  <c r="CC743" i="2" s="1"/>
  <c r="CD743" i="2"/>
  <c r="CE743" i="2"/>
  <c r="AQ744" i="2"/>
  <c r="CB744" i="2"/>
  <c r="CC744" i="2"/>
  <c r="CD744" i="2"/>
  <c r="CE744" i="2"/>
  <c r="AQ745" i="2"/>
  <c r="CB745" i="2"/>
  <c r="CC745" i="2" s="1"/>
  <c r="CD745" i="2"/>
  <c r="CE745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E746" i="2"/>
  <c r="AQ747" i="2"/>
  <c r="AS747" i="2"/>
  <c r="CB747" i="2" s="1"/>
  <c r="CC747" i="2" s="1"/>
  <c r="BG747" i="2"/>
  <c r="CD747" i="2"/>
  <c r="CE747" i="2"/>
  <c r="AQ748" i="2"/>
  <c r="AS748" i="2"/>
  <c r="CB748" i="2" s="1"/>
  <c r="CC748" i="2" s="1"/>
  <c r="BG748" i="2"/>
  <c r="CD748" i="2"/>
  <c r="CE748" i="2"/>
  <c r="AQ749" i="2"/>
  <c r="BG749" i="2"/>
  <c r="CB749" i="2"/>
  <c r="CC749" i="2" s="1"/>
  <c r="CD749" i="2"/>
  <c r="CE749" i="2"/>
  <c r="AQ750" i="2"/>
  <c r="BG750" i="2"/>
  <c r="CB750" i="2" s="1"/>
  <c r="CD750" i="2"/>
  <c r="CE750" i="2"/>
  <c r="E751" i="2"/>
  <c r="AQ751" i="2"/>
  <c r="BG751" i="2"/>
  <c r="CD751" i="2"/>
  <c r="CE751" i="2"/>
  <c r="AQ752" i="2"/>
  <c r="CB752" i="2"/>
  <c r="CC752" i="2" s="1"/>
  <c r="CD752" i="2"/>
  <c r="CE752" i="2"/>
  <c r="AQ753" i="2"/>
  <c r="CB753" i="2"/>
  <c r="CC753" i="2"/>
  <c r="CD753" i="2"/>
  <c r="CE753" i="2"/>
  <c r="AQ754" i="2"/>
  <c r="CB754" i="2"/>
  <c r="CC754" i="2" s="1"/>
  <c r="CD754" i="2"/>
  <c r="CE754" i="2"/>
  <c r="AQ755" i="2"/>
  <c r="AS755" i="2"/>
  <c r="CB755" i="2" s="1"/>
  <c r="CD755" i="2"/>
  <c r="CE755" i="2"/>
  <c r="E756" i="2"/>
  <c r="AQ756" i="2"/>
  <c r="CB756" i="2"/>
  <c r="CC756" i="2" s="1"/>
  <c r="CD756" i="2"/>
  <c r="CE756" i="2"/>
  <c r="E757" i="2"/>
  <c r="E758" i="2" s="1"/>
  <c r="E759" i="2" s="1"/>
  <c r="E764" i="2" s="1"/>
  <c r="AQ757" i="2"/>
  <c r="CB757" i="2"/>
  <c r="CC757" i="2" s="1"/>
  <c r="CD757" i="2"/>
  <c r="CE757" i="2"/>
  <c r="AQ758" i="2"/>
  <c r="AS758" i="2"/>
  <c r="CB758" i="2" s="1"/>
  <c r="CC758" i="2" s="1"/>
  <c r="CD758" i="2"/>
  <c r="CE758" i="2"/>
  <c r="AQ759" i="2"/>
  <c r="CB759" i="2"/>
  <c r="CC759" i="2"/>
  <c r="CD759" i="2"/>
  <c r="CE759" i="2"/>
  <c r="AQ760" i="2"/>
  <c r="CB760" i="2"/>
  <c r="CC760" i="2" s="1"/>
  <c r="CD760" i="2"/>
  <c r="CE760" i="2"/>
  <c r="AQ761" i="2"/>
  <c r="CB761" i="2"/>
  <c r="CC761" i="2" s="1"/>
  <c r="CD761" i="2"/>
  <c r="CE761" i="2"/>
  <c r="AQ762" i="2"/>
  <c r="CB762" i="2"/>
  <c r="CC762" i="2" s="1"/>
  <c r="CD762" i="2"/>
  <c r="CE762" i="2"/>
  <c r="AQ763" i="2"/>
  <c r="CB763" i="2"/>
  <c r="CC763" i="2"/>
  <c r="CD763" i="2"/>
  <c r="CE763" i="2"/>
  <c r="AQ764" i="2"/>
  <c r="AS764" i="2"/>
  <c r="CB764" i="2" s="1"/>
  <c r="CD764" i="2"/>
  <c r="CE764" i="2"/>
  <c r="AQ765" i="2"/>
  <c r="CB765" i="2"/>
  <c r="CC765" i="2"/>
  <c r="CD765" i="2"/>
  <c r="CE765" i="2"/>
  <c r="E766" i="2"/>
  <c r="AQ766" i="2"/>
  <c r="CB766" i="2"/>
  <c r="CD766" i="2"/>
  <c r="CE766" i="2"/>
  <c r="E767" i="2"/>
  <c r="AQ767" i="2"/>
  <c r="CB767" i="2"/>
  <c r="CC767" i="2"/>
  <c r="CD767" i="2"/>
  <c r="CE767" i="2"/>
  <c r="AQ768" i="2"/>
  <c r="AS768" i="2"/>
  <c r="CB768" i="2" s="1"/>
  <c r="CC768" i="2" s="1"/>
  <c r="CD768" i="2"/>
  <c r="AQ769" i="2"/>
  <c r="AS769" i="2"/>
  <c r="CB769" i="2" s="1"/>
  <c r="CC769" i="2" s="1"/>
  <c r="CD769" i="2"/>
  <c r="AQ770" i="2"/>
  <c r="CB770" i="2"/>
  <c r="CC770" i="2" s="1"/>
  <c r="CD770" i="2"/>
  <c r="AQ771" i="2"/>
  <c r="CB771" i="2"/>
  <c r="CC771" i="2" s="1"/>
  <c r="CD771" i="2"/>
  <c r="AQ772" i="2"/>
  <c r="CB772" i="2"/>
  <c r="CC772" i="2" s="1"/>
  <c r="CD772" i="2"/>
  <c r="AQ773" i="2"/>
  <c r="CB773" i="2"/>
  <c r="CC773" i="2" s="1"/>
  <c r="CD773" i="2"/>
  <c r="AQ774" i="2"/>
  <c r="CB774" i="2"/>
  <c r="CC774" i="2" s="1"/>
  <c r="CD774" i="2"/>
  <c r="AQ775" i="2"/>
  <c r="CB775" i="2"/>
  <c r="CC775" i="2" s="1"/>
  <c r="CD775" i="2"/>
  <c r="AQ776" i="2"/>
  <c r="CB776" i="2"/>
  <c r="CC776" i="2" s="1"/>
  <c r="CD776" i="2"/>
  <c r="AQ777" i="2"/>
  <c r="CB777" i="2"/>
  <c r="CC777" i="2" s="1"/>
  <c r="CD777" i="2"/>
  <c r="AQ778" i="2"/>
  <c r="CB778" i="2"/>
  <c r="CC778" i="2" s="1"/>
  <c r="CD778" i="2"/>
  <c r="AQ779" i="2"/>
  <c r="CB779" i="2"/>
  <c r="CC779" i="2" s="1"/>
  <c r="CD779" i="2"/>
  <c r="AQ780" i="2"/>
  <c r="CB780" i="2"/>
  <c r="CC780" i="2" s="1"/>
  <c r="CD780" i="2"/>
  <c r="AQ781" i="2"/>
  <c r="CB781" i="2"/>
  <c r="CC781" i="2" s="1"/>
  <c r="CD781" i="2"/>
  <c r="AQ782" i="2"/>
  <c r="CB782" i="2"/>
  <c r="CC782" i="2" s="1"/>
  <c r="CD782" i="2"/>
  <c r="AQ783" i="2"/>
  <c r="CB783" i="2"/>
  <c r="CC783" i="2" s="1"/>
  <c r="CD783" i="2"/>
  <c r="AQ784" i="2"/>
  <c r="CB784" i="2"/>
  <c r="CC784" i="2" s="1"/>
  <c r="CD784" i="2"/>
  <c r="AQ785" i="2"/>
  <c r="CB785" i="2"/>
  <c r="CC785" i="2" s="1"/>
  <c r="CD785" i="2"/>
  <c r="AQ786" i="2"/>
  <c r="AR786" i="2"/>
  <c r="CB786" i="2" s="1"/>
  <c r="CC786" i="2"/>
  <c r="CD786" i="2"/>
  <c r="AQ787" i="2"/>
  <c r="CB787" i="2"/>
  <c r="CC787" i="2"/>
  <c r="CD787" i="2"/>
  <c r="AQ788" i="2"/>
  <c r="CB788" i="2"/>
  <c r="CC788" i="2"/>
  <c r="CD788" i="2"/>
  <c r="AQ789" i="2"/>
  <c r="CB789" i="2"/>
  <c r="CC789" i="2"/>
  <c r="CD789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AQ791" i="2"/>
  <c r="CB791" i="2"/>
  <c r="CC791" i="2" s="1"/>
  <c r="CD791" i="2"/>
  <c r="AQ792" i="2"/>
  <c r="CB792" i="2"/>
  <c r="CC792" i="2" s="1"/>
  <c r="CD792" i="2"/>
  <c r="AQ793" i="2"/>
  <c r="CB793" i="2"/>
  <c r="CC793" i="2" s="1"/>
  <c r="CD793" i="2"/>
  <c r="AQ794" i="2"/>
  <c r="AS794" i="2"/>
  <c r="AT794" i="2" s="1"/>
  <c r="AT818" i="2" s="1"/>
  <c r="CD794" i="2"/>
  <c r="AQ795" i="2"/>
  <c r="CB795" i="2"/>
  <c r="CC795" i="2" s="1"/>
  <c r="CD795" i="2"/>
  <c r="AQ796" i="2"/>
  <c r="CB796" i="2"/>
  <c r="CC796" i="2" s="1"/>
  <c r="CD796" i="2"/>
  <c r="AQ797" i="2"/>
  <c r="CB797" i="2"/>
  <c r="CC797" i="2" s="1"/>
  <c r="CD797" i="2"/>
  <c r="AQ798" i="2"/>
  <c r="CB798" i="2"/>
  <c r="CC798" i="2" s="1"/>
  <c r="CD798" i="2"/>
  <c r="AQ799" i="2"/>
  <c r="CB799" i="2"/>
  <c r="CC799" i="2" s="1"/>
  <c r="CD799" i="2"/>
  <c r="AQ800" i="2"/>
  <c r="CB800" i="2"/>
  <c r="CC800" i="2" s="1"/>
  <c r="CD800" i="2"/>
  <c r="AQ801" i="2"/>
  <c r="CB801" i="2"/>
  <c r="CC801" i="2" s="1"/>
  <c r="CD801" i="2"/>
  <c r="AQ802" i="2"/>
  <c r="CB802" i="2"/>
  <c r="CC802" i="2" s="1"/>
  <c r="CD802" i="2"/>
  <c r="AQ803" i="2"/>
  <c r="CB803" i="2"/>
  <c r="CC803" i="2" s="1"/>
  <c r="CD803" i="2"/>
  <c r="AQ804" i="2"/>
  <c r="CB804" i="2"/>
  <c r="CC804" i="2" s="1"/>
  <c r="CD804" i="2"/>
  <c r="AQ805" i="2"/>
  <c r="CB805" i="2"/>
  <c r="CC805" i="2" s="1"/>
  <c r="CD805" i="2"/>
  <c r="AQ806" i="2"/>
  <c r="CB806" i="2"/>
  <c r="CC806" i="2" s="1"/>
  <c r="CD806" i="2"/>
  <c r="AQ807" i="2"/>
  <c r="CB807" i="2"/>
  <c r="CC807" i="2" s="1"/>
  <c r="CD807" i="2"/>
  <c r="AQ808" i="2"/>
  <c r="CB808" i="2"/>
  <c r="CC808" i="2" s="1"/>
  <c r="CD808" i="2"/>
  <c r="AQ809" i="2"/>
  <c r="CB809" i="2"/>
  <c r="CC809" i="2" s="1"/>
  <c r="CD809" i="2"/>
  <c r="AQ810" i="2"/>
  <c r="CB810" i="2"/>
  <c r="CC810" i="2" s="1"/>
  <c r="CD810" i="2"/>
  <c r="AQ811" i="2"/>
  <c r="CB811" i="2"/>
  <c r="CC811" i="2" s="1"/>
  <c r="CD811" i="2"/>
  <c r="AQ812" i="2"/>
  <c r="AS812" i="2"/>
  <c r="CD812" i="2"/>
  <c r="E813" i="2"/>
  <c r="E815" i="2" s="1"/>
  <c r="AQ813" i="2"/>
  <c r="CC813" i="2" s="1"/>
  <c r="CB813" i="2"/>
  <c r="CD813" i="2"/>
  <c r="E814" i="2"/>
  <c r="AQ814" i="2"/>
  <c r="CB814" i="2"/>
  <c r="CC814" i="2"/>
  <c r="CD814" i="2"/>
  <c r="AQ815" i="2"/>
  <c r="CB815" i="2"/>
  <c r="CC815" i="2" s="1"/>
  <c r="CD815" i="2"/>
  <c r="AQ816" i="2"/>
  <c r="AS816" i="2"/>
  <c r="CB816" i="2" s="1"/>
  <c r="CC816" i="2" s="1"/>
  <c r="CD816" i="2"/>
  <c r="AQ817" i="2"/>
  <c r="AQ818" i="2" s="1"/>
  <c r="CB817" i="2"/>
  <c r="CD817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R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AQ819" i="2"/>
  <c r="CB819" i="2"/>
  <c r="CD819" i="2"/>
  <c r="AQ820" i="2"/>
  <c r="CB820" i="2"/>
  <c r="CC820" i="2" s="1"/>
  <c r="CD820" i="2"/>
  <c r="AQ821" i="2"/>
  <c r="CB821" i="2"/>
  <c r="CC821" i="2" s="1"/>
  <c r="CD821" i="2"/>
  <c r="AQ822" i="2"/>
  <c r="CB822" i="2"/>
  <c r="CC822" i="2" s="1"/>
  <c r="CD822" i="2"/>
  <c r="AQ823" i="2"/>
  <c r="CB823" i="2"/>
  <c r="CC823" i="2" s="1"/>
  <c r="CD823" i="2"/>
  <c r="AQ824" i="2"/>
  <c r="CB824" i="2"/>
  <c r="CC824" i="2" s="1"/>
  <c r="CD824" i="2"/>
  <c r="AQ825" i="2"/>
  <c r="CB825" i="2"/>
  <c r="CC825" i="2" s="1"/>
  <c r="CD825" i="2"/>
  <c r="AQ826" i="2"/>
  <c r="CB826" i="2"/>
  <c r="CC826" i="2" s="1"/>
  <c r="CD826" i="2"/>
  <c r="AQ827" i="2"/>
  <c r="CB827" i="2"/>
  <c r="CC827" i="2" s="1"/>
  <c r="CD827" i="2"/>
  <c r="AQ828" i="2"/>
  <c r="CB828" i="2"/>
  <c r="CC828" i="2" s="1"/>
  <c r="CD828" i="2"/>
  <c r="AQ829" i="2"/>
  <c r="CB829" i="2"/>
  <c r="CC829" i="2" s="1"/>
  <c r="CD829" i="2"/>
  <c r="AQ830" i="2"/>
  <c r="CB830" i="2"/>
  <c r="CC830" i="2" s="1"/>
  <c r="CD830" i="2"/>
  <c r="AQ831" i="2"/>
  <c r="AS831" i="2"/>
  <c r="CB831" i="2" s="1"/>
  <c r="CC831" i="2" s="1"/>
  <c r="CD831" i="2"/>
  <c r="AQ832" i="2"/>
  <c r="AS832" i="2"/>
  <c r="CB832" i="2" s="1"/>
  <c r="CC832" i="2" s="1"/>
  <c r="CD832" i="2"/>
  <c r="AQ833" i="2"/>
  <c r="CC833" i="2" s="1"/>
  <c r="CB833" i="2"/>
  <c r="CD833" i="2"/>
  <c r="AQ834" i="2"/>
  <c r="CC834" i="2" s="1"/>
  <c r="CB834" i="2"/>
  <c r="CD834" i="2"/>
  <c r="AQ835" i="2"/>
  <c r="CC835" i="2" s="1"/>
  <c r="CB835" i="2"/>
  <c r="CD835" i="2"/>
  <c r="AQ836" i="2"/>
  <c r="CC836" i="2" s="1"/>
  <c r="CB836" i="2"/>
  <c r="CD836" i="2"/>
  <c r="AQ837" i="2"/>
  <c r="CC837" i="2" s="1"/>
  <c r="CB837" i="2"/>
  <c r="CD837" i="2"/>
  <c r="AQ838" i="2"/>
  <c r="CC838" i="2" s="1"/>
  <c r="CB838" i="2"/>
  <c r="CD838" i="2"/>
  <c r="AQ839" i="2"/>
  <c r="CC839" i="2" s="1"/>
  <c r="CB839" i="2"/>
  <c r="CD839" i="2"/>
  <c r="AQ840" i="2"/>
  <c r="CC840" i="2" s="1"/>
  <c r="CB840" i="2"/>
  <c r="CD840" i="2"/>
  <c r="AQ841" i="2"/>
  <c r="CC841" i="2" s="1"/>
  <c r="CB841" i="2"/>
  <c r="CD841" i="2"/>
  <c r="AQ842" i="2"/>
  <c r="CC842" i="2" s="1"/>
  <c r="CB842" i="2"/>
  <c r="CD842" i="2"/>
  <c r="AQ843" i="2"/>
  <c r="CC843" i="2" s="1"/>
  <c r="CB843" i="2"/>
  <c r="CD843" i="2"/>
  <c r="AQ844" i="2"/>
  <c r="CB844" i="2"/>
  <c r="CC844" i="2" s="1"/>
  <c r="CD844" i="2"/>
  <c r="AQ845" i="2"/>
  <c r="CB845" i="2"/>
  <c r="CC845" i="2" s="1"/>
  <c r="CD845" i="2"/>
  <c r="AQ846" i="2"/>
  <c r="CB846" i="2"/>
  <c r="CC846" i="2" s="1"/>
  <c r="CD846" i="2"/>
  <c r="AQ847" i="2"/>
  <c r="CB847" i="2"/>
  <c r="CC847" i="2" s="1"/>
  <c r="CD847" i="2"/>
  <c r="AQ848" i="2"/>
  <c r="CB848" i="2"/>
  <c r="CC848" i="2" s="1"/>
  <c r="CD848" i="2"/>
  <c r="AQ849" i="2"/>
  <c r="CB849" i="2"/>
  <c r="CC849" i="2" s="1"/>
  <c r="CD849" i="2"/>
  <c r="AQ850" i="2"/>
  <c r="CB850" i="2"/>
  <c r="CC850" i="2" s="1"/>
  <c r="CD850" i="2"/>
  <c r="AQ851" i="2"/>
  <c r="CB851" i="2"/>
  <c r="CC851" i="2" s="1"/>
  <c r="CD851" i="2"/>
  <c r="AQ852" i="2"/>
  <c r="CB852" i="2"/>
  <c r="CC852" i="2" s="1"/>
  <c r="CD852" i="2"/>
  <c r="AQ853" i="2"/>
  <c r="CB853" i="2"/>
  <c r="CC853" i="2" s="1"/>
  <c r="CD853" i="2"/>
  <c r="AQ854" i="2"/>
  <c r="CB854" i="2"/>
  <c r="CC854" i="2" s="1"/>
  <c r="CD854" i="2"/>
  <c r="AQ855" i="2"/>
  <c r="CB855" i="2"/>
  <c r="CC855" i="2" s="1"/>
  <c r="CD855" i="2"/>
  <c r="AQ856" i="2"/>
  <c r="CB856" i="2"/>
  <c r="CC856" i="2" s="1"/>
  <c r="CD856" i="2"/>
  <c r="AQ857" i="2"/>
  <c r="CB857" i="2"/>
  <c r="CC857" i="2" s="1"/>
  <c r="CD857" i="2"/>
  <c r="AQ858" i="2"/>
  <c r="CB858" i="2"/>
  <c r="CC858" i="2" s="1"/>
  <c r="CD858" i="2"/>
  <c r="AQ859" i="2"/>
  <c r="CB859" i="2"/>
  <c r="CC859" i="2" s="1"/>
  <c r="CD859" i="2"/>
  <c r="AQ860" i="2"/>
  <c r="CB860" i="2"/>
  <c r="CC860" i="2" s="1"/>
  <c r="CD860" i="2"/>
  <c r="AQ861" i="2"/>
  <c r="CB861" i="2"/>
  <c r="CC861" i="2" s="1"/>
  <c r="CD861" i="2"/>
  <c r="AQ862" i="2"/>
  <c r="CB862" i="2"/>
  <c r="CC862" i="2" s="1"/>
  <c r="CD862" i="2"/>
  <c r="AQ863" i="2"/>
  <c r="CB863" i="2"/>
  <c r="CC863" i="2" s="1"/>
  <c r="CD863" i="2"/>
  <c r="AQ864" i="2"/>
  <c r="CB864" i="2"/>
  <c r="CC864" i="2" s="1"/>
  <c r="CD864" i="2"/>
  <c r="AQ865" i="2"/>
  <c r="CB865" i="2"/>
  <c r="CC865" i="2" s="1"/>
  <c r="CD865" i="2"/>
  <c r="AQ866" i="2"/>
  <c r="CB866" i="2"/>
  <c r="CC866" i="2" s="1"/>
  <c r="CD866" i="2"/>
  <c r="AQ867" i="2"/>
  <c r="CB867" i="2"/>
  <c r="CC867" i="2" s="1"/>
  <c r="CD867" i="2"/>
  <c r="AQ868" i="2"/>
  <c r="CB868" i="2"/>
  <c r="CC868" i="2" s="1"/>
  <c r="CD868" i="2"/>
  <c r="AQ869" i="2"/>
  <c r="CB869" i="2"/>
  <c r="CC869" i="2" s="1"/>
  <c r="CD869" i="2"/>
  <c r="AQ870" i="2"/>
  <c r="CB870" i="2"/>
  <c r="CC870" i="2" s="1"/>
  <c r="CD870" i="2"/>
  <c r="AQ871" i="2"/>
  <c r="CB871" i="2"/>
  <c r="CC871" i="2" s="1"/>
  <c r="CD871" i="2"/>
  <c r="AQ872" i="2"/>
  <c r="CB872" i="2"/>
  <c r="CC872" i="2" s="1"/>
  <c r="CD872" i="2"/>
  <c r="AQ873" i="2"/>
  <c r="CB873" i="2"/>
  <c r="CC873" i="2" s="1"/>
  <c r="CD873" i="2"/>
  <c r="AQ874" i="2"/>
  <c r="CB874" i="2"/>
  <c r="CC874" i="2" s="1"/>
  <c r="CD874" i="2"/>
  <c r="AQ875" i="2"/>
  <c r="CB875" i="2"/>
  <c r="CC875" i="2" s="1"/>
  <c r="CD875" i="2"/>
  <c r="AQ876" i="2"/>
  <c r="CB876" i="2"/>
  <c r="CC876" i="2" s="1"/>
  <c r="CD876" i="2"/>
  <c r="AQ877" i="2"/>
  <c r="CB877" i="2"/>
  <c r="CC877" i="2" s="1"/>
  <c r="CD877" i="2"/>
  <c r="AQ878" i="2"/>
  <c r="CB878" i="2"/>
  <c r="CC878" i="2" s="1"/>
  <c r="CD878" i="2"/>
  <c r="AQ879" i="2"/>
  <c r="CB879" i="2"/>
  <c r="CC879" i="2" s="1"/>
  <c r="CD879" i="2"/>
  <c r="AQ880" i="2"/>
  <c r="CB880" i="2"/>
  <c r="CC880" i="2" s="1"/>
  <c r="CD880" i="2"/>
  <c r="AQ881" i="2"/>
  <c r="CB881" i="2"/>
  <c r="CC881" i="2" s="1"/>
  <c r="CD881" i="2"/>
  <c r="AQ882" i="2"/>
  <c r="CB882" i="2"/>
  <c r="CC882" i="2" s="1"/>
  <c r="CD882" i="2"/>
  <c r="AQ883" i="2"/>
  <c r="CB883" i="2"/>
  <c r="CC883" i="2" s="1"/>
  <c r="CD883" i="2"/>
  <c r="AQ884" i="2"/>
  <c r="CB884" i="2"/>
  <c r="CC884" i="2" s="1"/>
  <c r="CD884" i="2"/>
  <c r="AQ885" i="2"/>
  <c r="CB885" i="2"/>
  <c r="CC885" i="2" s="1"/>
  <c r="CD885" i="2"/>
  <c r="AQ886" i="2"/>
  <c r="CB886" i="2"/>
  <c r="CC886" i="2" s="1"/>
  <c r="CD886" i="2"/>
  <c r="AQ887" i="2"/>
  <c r="CB887" i="2"/>
  <c r="CC887" i="2" s="1"/>
  <c r="CD887" i="2"/>
  <c r="AQ888" i="2"/>
  <c r="CB888" i="2"/>
  <c r="CC888" i="2" s="1"/>
  <c r="CD888" i="2"/>
  <c r="AQ889" i="2"/>
  <c r="CB889" i="2"/>
  <c r="CC889" i="2" s="1"/>
  <c r="CD889" i="2"/>
  <c r="AQ890" i="2"/>
  <c r="CB890" i="2"/>
  <c r="CC890" i="2" s="1"/>
  <c r="CD890" i="2"/>
  <c r="AQ891" i="2"/>
  <c r="CB891" i="2"/>
  <c r="CC891" i="2" s="1"/>
  <c r="CD891" i="2"/>
  <c r="AQ892" i="2"/>
  <c r="CB892" i="2"/>
  <c r="CC892" i="2" s="1"/>
  <c r="CD892" i="2"/>
  <c r="AQ893" i="2"/>
  <c r="CB893" i="2"/>
  <c r="CC893" i="2" s="1"/>
  <c r="CD893" i="2"/>
  <c r="AQ894" i="2"/>
  <c r="CB894" i="2"/>
  <c r="CC894" i="2" s="1"/>
  <c r="CD894" i="2"/>
  <c r="AQ895" i="2"/>
  <c r="CB895" i="2"/>
  <c r="CC895" i="2" s="1"/>
  <c r="CD895" i="2"/>
  <c r="AQ896" i="2"/>
  <c r="CB896" i="2"/>
  <c r="CC896" i="2" s="1"/>
  <c r="CD896" i="2"/>
  <c r="AQ897" i="2"/>
  <c r="CB897" i="2"/>
  <c r="CC897" i="2" s="1"/>
  <c r="CD897" i="2"/>
  <c r="AQ898" i="2"/>
  <c r="CB898" i="2"/>
  <c r="CC898" i="2" s="1"/>
  <c r="CD898" i="2"/>
  <c r="AQ899" i="2"/>
  <c r="CB899" i="2"/>
  <c r="CC899" i="2" s="1"/>
  <c r="CD899" i="2"/>
  <c r="AQ900" i="2"/>
  <c r="CB900" i="2"/>
  <c r="CC900" i="2" s="1"/>
  <c r="CD900" i="2"/>
  <c r="AQ901" i="2"/>
  <c r="CB901" i="2"/>
  <c r="CC901" i="2" s="1"/>
  <c r="CD901" i="2"/>
  <c r="AQ902" i="2"/>
  <c r="CB902" i="2"/>
  <c r="CC902" i="2" s="1"/>
  <c r="CD902" i="2"/>
  <c r="AQ903" i="2"/>
  <c r="CB903" i="2"/>
  <c r="CC903" i="2" s="1"/>
  <c r="CD903" i="2"/>
  <c r="AQ904" i="2"/>
  <c r="CB904" i="2"/>
  <c r="CC904" i="2" s="1"/>
  <c r="CD904" i="2"/>
  <c r="AQ905" i="2"/>
  <c r="CB905" i="2"/>
  <c r="CC905" i="2" s="1"/>
  <c r="CD905" i="2"/>
  <c r="AQ906" i="2"/>
  <c r="CB906" i="2"/>
  <c r="CC906" i="2" s="1"/>
  <c r="CD906" i="2"/>
  <c r="AQ907" i="2"/>
  <c r="CB907" i="2"/>
  <c r="CC907" i="2" s="1"/>
  <c r="CD907" i="2"/>
  <c r="AQ908" i="2"/>
  <c r="CB908" i="2"/>
  <c r="CC908" i="2" s="1"/>
  <c r="CD908" i="2"/>
  <c r="AQ909" i="2"/>
  <c r="CB909" i="2"/>
  <c r="CC909" i="2" s="1"/>
  <c r="CD909" i="2"/>
  <c r="AQ910" i="2"/>
  <c r="CB910" i="2"/>
  <c r="CC910" i="2" s="1"/>
  <c r="CD910" i="2"/>
  <c r="AQ911" i="2"/>
  <c r="CB911" i="2"/>
  <c r="CC911" i="2" s="1"/>
  <c r="CD911" i="2"/>
  <c r="AQ912" i="2"/>
  <c r="AS912" i="2"/>
  <c r="AT912" i="2" s="1"/>
  <c r="CD912" i="2"/>
  <c r="AQ913" i="2"/>
  <c r="CB913" i="2"/>
  <c r="CC913" i="2" s="1"/>
  <c r="CD913" i="2"/>
  <c r="AQ914" i="2"/>
  <c r="CB914" i="2"/>
  <c r="CC914" i="2" s="1"/>
  <c r="CD914" i="2"/>
  <c r="E915" i="2"/>
  <c r="AQ915" i="2"/>
  <c r="CB915" i="2"/>
  <c r="CD915" i="2"/>
  <c r="E916" i="2"/>
  <c r="E917" i="2" s="1"/>
  <c r="AQ916" i="2"/>
  <c r="CB916" i="2"/>
  <c r="CC916" i="2" s="1"/>
  <c r="CD916" i="2"/>
  <c r="AQ917" i="2"/>
  <c r="CB917" i="2"/>
  <c r="CC917" i="2"/>
  <c r="CD917" i="2"/>
  <c r="AQ918" i="2"/>
  <c r="CB918" i="2"/>
  <c r="CC918" i="2" s="1"/>
  <c r="CD918" i="2"/>
  <c r="AQ919" i="2"/>
  <c r="CB919" i="2"/>
  <c r="CC919" i="2" s="1"/>
  <c r="CD919" i="2"/>
  <c r="AQ920" i="2"/>
  <c r="CB920" i="2"/>
  <c r="CC920" i="2" s="1"/>
  <c r="CD920" i="2"/>
  <c r="AQ921" i="2"/>
  <c r="CB921" i="2"/>
  <c r="CC921" i="2" s="1"/>
  <c r="CD921" i="2"/>
  <c r="AQ922" i="2"/>
  <c r="CB922" i="2"/>
  <c r="CC922" i="2" s="1"/>
  <c r="CD922" i="2"/>
  <c r="AQ923" i="2"/>
  <c r="CB923" i="2"/>
  <c r="CC923" i="2" s="1"/>
  <c r="CD923" i="2"/>
  <c r="AQ924" i="2"/>
  <c r="CB924" i="2"/>
  <c r="CC924" i="2" s="1"/>
  <c r="CD924" i="2"/>
  <c r="AQ925" i="2"/>
  <c r="AS925" i="2"/>
  <c r="CD925" i="2"/>
  <c r="AQ926" i="2"/>
  <c r="CB926" i="2"/>
  <c r="CC926" i="2" s="1"/>
  <c r="CD926" i="2"/>
  <c r="AQ927" i="2"/>
  <c r="CB927" i="2"/>
  <c r="CC927" i="2" s="1"/>
  <c r="CD927" i="2"/>
  <c r="AQ928" i="2"/>
  <c r="CB928" i="2"/>
  <c r="CC928" i="2" s="1"/>
  <c r="CD928" i="2"/>
  <c r="AQ929" i="2"/>
  <c r="CB929" i="2"/>
  <c r="CC929" i="2" s="1"/>
  <c r="CD929" i="2"/>
  <c r="AQ930" i="2"/>
  <c r="AS930" i="2"/>
  <c r="AT930" i="2" s="1"/>
  <c r="CB930" i="2" s="1"/>
  <c r="CC930" i="2" s="1"/>
  <c r="CD930" i="2"/>
  <c r="AQ931" i="2"/>
  <c r="CB931" i="2"/>
  <c r="CC931" i="2" s="1"/>
  <c r="CD931" i="2"/>
  <c r="AQ932" i="2"/>
  <c r="CB932" i="2"/>
  <c r="CC932" i="2" s="1"/>
  <c r="CD932" i="2"/>
  <c r="AQ933" i="2"/>
  <c r="CB933" i="2"/>
  <c r="CC933" i="2" s="1"/>
  <c r="CD933" i="2"/>
  <c r="AQ934" i="2"/>
  <c r="CB934" i="2"/>
  <c r="CC934" i="2" s="1"/>
  <c r="CD934" i="2"/>
  <c r="AQ935" i="2"/>
  <c r="CB935" i="2"/>
  <c r="CC935" i="2" s="1"/>
  <c r="CD935" i="2"/>
  <c r="E936" i="2"/>
  <c r="AQ936" i="2"/>
  <c r="CB936" i="2"/>
  <c r="CD936" i="2"/>
  <c r="E937" i="2"/>
  <c r="E938" i="2" s="1"/>
  <c r="E939" i="2" s="1"/>
  <c r="E940" i="2" s="1"/>
  <c r="E941" i="2" s="1"/>
  <c r="E942" i="2" s="1"/>
  <c r="E943" i="2" s="1"/>
  <c r="AQ937" i="2"/>
  <c r="CB937" i="2"/>
  <c r="CC937" i="2" s="1"/>
  <c r="CD937" i="2"/>
  <c r="AQ938" i="2"/>
  <c r="CB938" i="2"/>
  <c r="CC938" i="2"/>
  <c r="CD938" i="2"/>
  <c r="AQ939" i="2"/>
  <c r="CB939" i="2"/>
  <c r="CC939" i="2" s="1"/>
  <c r="CD939" i="2"/>
  <c r="AQ940" i="2"/>
  <c r="CB940" i="2"/>
  <c r="CC940" i="2" s="1"/>
  <c r="CD940" i="2"/>
  <c r="AQ941" i="2"/>
  <c r="CB941" i="2"/>
  <c r="CC941" i="2" s="1"/>
  <c r="CD941" i="2"/>
  <c r="AQ942" i="2"/>
  <c r="CB942" i="2"/>
  <c r="CC942" i="2"/>
  <c r="CD942" i="2"/>
  <c r="AQ943" i="2"/>
  <c r="CB943" i="2"/>
  <c r="CC943" i="2" s="1"/>
  <c r="CD943" i="2"/>
  <c r="AQ944" i="2"/>
  <c r="CB944" i="2"/>
  <c r="CD944" i="2"/>
  <c r="AQ945" i="2"/>
  <c r="CB945" i="2"/>
  <c r="CC945" i="2" s="1"/>
  <c r="CD945" i="2"/>
  <c r="AQ946" i="2"/>
  <c r="CB946" i="2"/>
  <c r="CC946" i="2"/>
  <c r="CD946" i="2"/>
  <c r="AQ947" i="2"/>
  <c r="CB947" i="2"/>
  <c r="CC947" i="2"/>
  <c r="CD947" i="2"/>
  <c r="AQ948" i="2"/>
  <c r="CB948" i="2"/>
  <c r="CC948" i="2"/>
  <c r="CD948" i="2"/>
  <c r="AQ949" i="2"/>
  <c r="BG949" i="2"/>
  <c r="CB949" i="2"/>
  <c r="CC949" i="2" s="1"/>
  <c r="CD949" i="2"/>
  <c r="AQ950" i="2"/>
  <c r="CB950" i="2"/>
  <c r="CC950" i="2" s="1"/>
  <c r="CD950" i="2"/>
  <c r="AQ951" i="2"/>
  <c r="CB951" i="2"/>
  <c r="CC951" i="2" s="1"/>
  <c r="CD951" i="2"/>
  <c r="D952" i="2"/>
  <c r="AQ952" i="2"/>
  <c r="CB952" i="2"/>
  <c r="CC952" i="2" s="1"/>
  <c r="CD952" i="2"/>
  <c r="AQ953" i="2"/>
  <c r="CB953" i="2"/>
  <c r="CD953" i="2"/>
  <c r="AQ954" i="2"/>
  <c r="AS954" i="2"/>
  <c r="CB954" i="2" s="1"/>
  <c r="BG954" i="2"/>
  <c r="CC954" i="2"/>
  <c r="CD954" i="2"/>
  <c r="AQ955" i="2"/>
  <c r="CB955" i="2"/>
  <c r="CC955" i="2"/>
  <c r="CD955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R956" i="2"/>
  <c r="AS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AQ957" i="2"/>
  <c r="CB957" i="2"/>
  <c r="CC957" i="2" s="1"/>
  <c r="CD957" i="2"/>
  <c r="AQ958" i="2"/>
  <c r="CB958" i="2"/>
  <c r="CC958" i="2" s="1"/>
  <c r="CD958" i="2"/>
  <c r="AQ959" i="2"/>
  <c r="AQ1005" i="2" s="1"/>
  <c r="CB959" i="2"/>
  <c r="CD959" i="2"/>
  <c r="AQ960" i="2"/>
  <c r="CB960" i="2"/>
  <c r="CC960" i="2" s="1"/>
  <c r="CD960" i="2"/>
  <c r="AQ961" i="2"/>
  <c r="CB961" i="2"/>
  <c r="CC961" i="2"/>
  <c r="CD961" i="2"/>
  <c r="AQ962" i="2"/>
  <c r="CB962" i="2"/>
  <c r="CC962" i="2"/>
  <c r="CD962" i="2"/>
  <c r="AQ963" i="2"/>
  <c r="CB963" i="2"/>
  <c r="CC963" i="2"/>
  <c r="CD963" i="2"/>
  <c r="AQ964" i="2"/>
  <c r="CB964" i="2"/>
  <c r="CC964" i="2"/>
  <c r="CD964" i="2"/>
  <c r="AQ965" i="2"/>
  <c r="CB965" i="2"/>
  <c r="CC965" i="2"/>
  <c r="CD965" i="2"/>
  <c r="AQ966" i="2"/>
  <c r="CB966" i="2"/>
  <c r="CC966" i="2"/>
  <c r="CD966" i="2"/>
  <c r="AQ967" i="2"/>
  <c r="AS967" i="2"/>
  <c r="CB967" i="2"/>
  <c r="CC967" i="2" s="1"/>
  <c r="CD967" i="2"/>
  <c r="AQ968" i="2"/>
  <c r="CB968" i="2"/>
  <c r="CC968" i="2" s="1"/>
  <c r="CD968" i="2"/>
  <c r="AQ969" i="2"/>
  <c r="CB969" i="2"/>
  <c r="CC969" i="2" s="1"/>
  <c r="CD969" i="2"/>
  <c r="AQ970" i="2"/>
  <c r="CB970" i="2"/>
  <c r="CC970" i="2" s="1"/>
  <c r="CD970" i="2"/>
  <c r="AQ971" i="2"/>
  <c r="CB971" i="2"/>
  <c r="CC971" i="2" s="1"/>
  <c r="CD971" i="2"/>
  <c r="AQ972" i="2"/>
  <c r="CB972" i="2"/>
  <c r="CC972" i="2" s="1"/>
  <c r="CD972" i="2"/>
  <c r="AQ973" i="2"/>
  <c r="CB973" i="2"/>
  <c r="CC973" i="2" s="1"/>
  <c r="CD973" i="2"/>
  <c r="AQ974" i="2"/>
  <c r="CB974" i="2"/>
  <c r="CC974" i="2" s="1"/>
  <c r="CD974" i="2"/>
  <c r="AQ975" i="2"/>
  <c r="CB975" i="2"/>
  <c r="CC975" i="2" s="1"/>
  <c r="CD975" i="2"/>
  <c r="AQ976" i="2"/>
  <c r="CB976" i="2"/>
  <c r="CC976" i="2" s="1"/>
  <c r="CD976" i="2"/>
  <c r="AQ977" i="2"/>
  <c r="CB977" i="2"/>
  <c r="CC977" i="2" s="1"/>
  <c r="CD977" i="2"/>
  <c r="AQ978" i="2"/>
  <c r="CB978" i="2"/>
  <c r="CC978" i="2" s="1"/>
  <c r="CD978" i="2"/>
  <c r="AQ979" i="2"/>
  <c r="CB979" i="2"/>
  <c r="CC979" i="2" s="1"/>
  <c r="CD979" i="2"/>
  <c r="AQ980" i="2"/>
  <c r="CB980" i="2"/>
  <c r="CC980" i="2" s="1"/>
  <c r="CD980" i="2"/>
  <c r="AQ981" i="2"/>
  <c r="CB981" i="2"/>
  <c r="CC981" i="2" s="1"/>
  <c r="CD981" i="2"/>
  <c r="AQ982" i="2"/>
  <c r="CB982" i="2"/>
  <c r="CC982" i="2" s="1"/>
  <c r="CD982" i="2"/>
  <c r="AQ983" i="2"/>
  <c r="CB983" i="2"/>
  <c r="CC983" i="2" s="1"/>
  <c r="CD983" i="2"/>
  <c r="AQ984" i="2"/>
  <c r="CB984" i="2"/>
  <c r="CC984" i="2" s="1"/>
  <c r="CD984" i="2"/>
  <c r="AQ985" i="2"/>
  <c r="CB985" i="2"/>
  <c r="CC985" i="2" s="1"/>
  <c r="CD985" i="2"/>
  <c r="AQ986" i="2"/>
  <c r="CB986" i="2"/>
  <c r="CC986" i="2" s="1"/>
  <c r="CD986" i="2"/>
  <c r="AQ987" i="2"/>
  <c r="CB987" i="2"/>
  <c r="CC987" i="2" s="1"/>
  <c r="CD987" i="2"/>
  <c r="AQ988" i="2"/>
  <c r="CB988" i="2"/>
  <c r="CC988" i="2" s="1"/>
  <c r="CD988" i="2"/>
  <c r="E989" i="2"/>
  <c r="AQ989" i="2"/>
  <c r="AS989" i="2"/>
  <c r="CB989" i="2"/>
  <c r="CC989" i="2" s="1"/>
  <c r="CD989" i="2"/>
  <c r="AQ990" i="2"/>
  <c r="CB990" i="2"/>
  <c r="CC990" i="2" s="1"/>
  <c r="CD990" i="2"/>
  <c r="AQ991" i="2"/>
  <c r="CB991" i="2"/>
  <c r="CC991" i="2" s="1"/>
  <c r="CD991" i="2"/>
  <c r="AQ992" i="2"/>
  <c r="CB992" i="2"/>
  <c r="CC992" i="2" s="1"/>
  <c r="CD992" i="2"/>
  <c r="AQ993" i="2"/>
  <c r="CB993" i="2"/>
  <c r="CC993" i="2" s="1"/>
  <c r="CD993" i="2"/>
  <c r="AQ994" i="2"/>
  <c r="CB994" i="2"/>
  <c r="CC994" i="2" s="1"/>
  <c r="CD994" i="2"/>
  <c r="D995" i="2"/>
  <c r="AQ995" i="2"/>
  <c r="CB995" i="2"/>
  <c r="CC995" i="2"/>
  <c r="CD995" i="2"/>
  <c r="AQ996" i="2"/>
  <c r="CB996" i="2"/>
  <c r="CC996" i="2"/>
  <c r="CD996" i="2"/>
  <c r="AQ997" i="2"/>
  <c r="CB997" i="2"/>
  <c r="CC997" i="2"/>
  <c r="CD997" i="2"/>
  <c r="AQ998" i="2"/>
  <c r="CB998" i="2"/>
  <c r="CC998" i="2"/>
  <c r="CD998" i="2"/>
  <c r="AQ999" i="2"/>
  <c r="CB999" i="2"/>
  <c r="CC999" i="2"/>
  <c r="CD999" i="2"/>
  <c r="AQ1000" i="2"/>
  <c r="CB1000" i="2"/>
  <c r="CC1000" i="2"/>
  <c r="CD1000" i="2"/>
  <c r="AQ1001" i="2"/>
  <c r="CB1001" i="2"/>
  <c r="CC1001" i="2"/>
  <c r="CD1001" i="2"/>
  <c r="AQ1002" i="2"/>
  <c r="CB1002" i="2"/>
  <c r="CC1002" i="2"/>
  <c r="CD1002" i="2"/>
  <c r="AQ1003" i="2"/>
  <c r="CB1003" i="2"/>
  <c r="CC1003" i="2"/>
  <c r="CD1003" i="2"/>
  <c r="AQ1004" i="2"/>
  <c r="CB1004" i="2"/>
  <c r="CC1004" i="2"/>
  <c r="CD1004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CD1005" i="2"/>
  <c r="AQ1006" i="2"/>
  <c r="CB1006" i="2"/>
  <c r="CC1006" i="2"/>
  <c r="CD1006" i="2"/>
  <c r="CE1006" i="2"/>
  <c r="AQ1007" i="2"/>
  <c r="CB1007" i="2"/>
  <c r="CC1007" i="2" s="1"/>
  <c r="CD1007" i="2"/>
  <c r="CE1007" i="2"/>
  <c r="AQ1008" i="2"/>
  <c r="CC1008" i="2" s="1"/>
  <c r="CB1008" i="2"/>
  <c r="CD1008" i="2"/>
  <c r="CE1008" i="2"/>
  <c r="AQ1009" i="2"/>
  <c r="CB1009" i="2"/>
  <c r="CC1009" i="2" s="1"/>
  <c r="CD1009" i="2"/>
  <c r="CD1011" i="2" s="1"/>
  <c r="CE1009" i="2"/>
  <c r="W1010" i="2"/>
  <c r="AQ1010" i="2" s="1"/>
  <c r="AQ1011" i="2" s="1"/>
  <c r="AX1010" i="2"/>
  <c r="CB1010" i="2" s="1"/>
  <c r="CC1010" i="2" s="1"/>
  <c r="CD1010" i="2"/>
  <c r="CE1010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R1011" i="2"/>
  <c r="AS1011" i="2"/>
  <c r="AT1011" i="2"/>
  <c r="AU1011" i="2"/>
  <c r="AV1011" i="2"/>
  <c r="AW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AQ1012" i="2"/>
  <c r="AQ1017" i="2" s="1"/>
  <c r="CB1012" i="2"/>
  <c r="CC1012" i="2" s="1"/>
  <c r="CD1012" i="2"/>
  <c r="CE1012" i="2"/>
  <c r="AQ1013" i="2"/>
  <c r="CB1013" i="2"/>
  <c r="CC1013" i="2" s="1"/>
  <c r="CD1013" i="2"/>
  <c r="CD1017" i="2" s="1"/>
  <c r="CE1013" i="2"/>
  <c r="AQ1014" i="2"/>
  <c r="CB1014" i="2"/>
  <c r="CC1014" i="2"/>
  <c r="CD1014" i="2"/>
  <c r="CE1014" i="2"/>
  <c r="AQ1015" i="2"/>
  <c r="CB1015" i="2"/>
  <c r="CC1015" i="2" s="1"/>
  <c r="CD1015" i="2"/>
  <c r="CE1015" i="2"/>
  <c r="AQ1016" i="2"/>
  <c r="CB1016" i="2"/>
  <c r="CC1016" i="2" s="1"/>
  <c r="CD1016" i="2"/>
  <c r="CE1016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BY1017" i="2"/>
  <c r="BZ1017" i="2"/>
  <c r="CA1017" i="2"/>
  <c r="BM1620" i="12" l="1"/>
  <c r="AW1620" i="12"/>
  <c r="AU1591" i="12"/>
  <c r="CH1591" i="12"/>
  <c r="CH1614" i="12"/>
  <c r="CI1614" i="12" s="1"/>
  <c r="CI1604" i="12"/>
  <c r="CH1616" i="12"/>
  <c r="CI1616" i="12" s="1"/>
  <c r="AU1569" i="12"/>
  <c r="CH1618" i="12"/>
  <c r="CI1618" i="12" s="1"/>
  <c r="CI1611" i="12"/>
  <c r="CI1617" i="12"/>
  <c r="CI1613" i="12"/>
  <c r="CI1602" i="12"/>
  <c r="CI1590" i="12"/>
  <c r="CI1586" i="12"/>
  <c r="CI1582" i="12"/>
  <c r="CI1578" i="12"/>
  <c r="CI1574" i="12"/>
  <c r="CI1570" i="12"/>
  <c r="CI1612" i="12"/>
  <c r="CI1599" i="12"/>
  <c r="CI1587" i="12"/>
  <c r="CI1583" i="12"/>
  <c r="CI1579" i="12"/>
  <c r="CI1575" i="12"/>
  <c r="CI1571" i="12"/>
  <c r="CI1619" i="12"/>
  <c r="CI1615" i="12"/>
  <c r="CI1596" i="12"/>
  <c r="CI1592" i="12"/>
  <c r="CI1588" i="12"/>
  <c r="CI1584" i="12"/>
  <c r="CI1580" i="12"/>
  <c r="CI1576" i="12"/>
  <c r="CI1572" i="12"/>
  <c r="CI1610" i="12"/>
  <c r="CI1589" i="12"/>
  <c r="CI1585" i="12"/>
  <c r="CI1581" i="12"/>
  <c r="CI1577" i="12"/>
  <c r="CI1573" i="12"/>
  <c r="CI1605" i="12"/>
  <c r="CI1601" i="12"/>
  <c r="CI1600" i="12"/>
  <c r="CI1598" i="12"/>
  <c r="CI1597" i="12"/>
  <c r="CI1595" i="12"/>
  <c r="CI1594" i="12"/>
  <c r="CI1593" i="12"/>
  <c r="CC1011" i="2"/>
  <c r="CC1017" i="2"/>
  <c r="AQ790" i="2"/>
  <c r="AS440" i="2"/>
  <c r="CB438" i="2"/>
  <c r="CC93" i="2"/>
  <c r="CB269" i="2"/>
  <c r="CB1017" i="2"/>
  <c r="AX1011" i="2"/>
  <c r="CB1005" i="2"/>
  <c r="CC1005" i="2" s="1"/>
  <c r="CC953" i="2"/>
  <c r="AT925" i="2"/>
  <c r="AT956" i="2" s="1"/>
  <c r="CB925" i="2"/>
  <c r="CC925" i="2" s="1"/>
  <c r="CC915" i="2"/>
  <c r="AQ956" i="2"/>
  <c r="CC817" i="2"/>
  <c r="CB794" i="2"/>
  <c r="CC764" i="2"/>
  <c r="CC755" i="2"/>
  <c r="CC728" i="2"/>
  <c r="E494" i="2"/>
  <c r="E498" i="2"/>
  <c r="E501" i="2" s="1"/>
  <c r="E507" i="2" s="1"/>
  <c r="CC485" i="2"/>
  <c r="CC510" i="2" s="1"/>
  <c r="CB510" i="2"/>
  <c r="AQ440" i="2"/>
  <c r="CC5" i="2"/>
  <c r="AQ75" i="2"/>
  <c r="CC944" i="2"/>
  <c r="CC936" i="2"/>
  <c r="CB751" i="2"/>
  <c r="CC751" i="2" s="1"/>
  <c r="BG790" i="2"/>
  <c r="CC738" i="2"/>
  <c r="CC724" i="2"/>
  <c r="CC706" i="2"/>
  <c r="CC698" i="2"/>
  <c r="CB670" i="2"/>
  <c r="CC670" i="2" s="1"/>
  <c r="BG675" i="2"/>
  <c r="CB1011" i="2"/>
  <c r="CC959" i="2"/>
  <c r="E918" i="2"/>
  <c r="E945" i="2" s="1"/>
  <c r="E946" i="2" s="1"/>
  <c r="E944" i="2"/>
  <c r="CB912" i="2"/>
  <c r="CC912" i="2" s="1"/>
  <c r="CC819" i="2"/>
  <c r="CB812" i="2"/>
  <c r="CC812" i="2" s="1"/>
  <c r="AS818" i="2"/>
  <c r="CC766" i="2"/>
  <c r="CC750" i="2"/>
  <c r="CC790" i="2" s="1"/>
  <c r="CB790" i="2"/>
  <c r="CC735" i="2"/>
  <c r="CC694" i="2"/>
  <c r="CC693" i="2"/>
  <c r="CB746" i="2"/>
  <c r="CC563" i="2"/>
  <c r="CB571" i="2"/>
  <c r="CB718" i="2"/>
  <c r="CC718" i="2" s="1"/>
  <c r="CB704" i="2"/>
  <c r="CC704" i="2" s="1"/>
  <c r="CC691" i="2"/>
  <c r="CC690" i="2"/>
  <c r="CC683" i="2"/>
  <c r="CC664" i="2"/>
  <c r="CC650" i="2"/>
  <c r="CC626" i="2"/>
  <c r="CC593" i="2"/>
  <c r="CC572" i="2"/>
  <c r="CC564" i="2"/>
  <c r="AQ571" i="2"/>
  <c r="CC530" i="2"/>
  <c r="CC514" i="2"/>
  <c r="CC474" i="2"/>
  <c r="CC458" i="2"/>
  <c r="CC442" i="2"/>
  <c r="CC441" i="2"/>
  <c r="CB482" i="2"/>
  <c r="CC435" i="2"/>
  <c r="CC419" i="2"/>
  <c r="AS746" i="2"/>
  <c r="CB646" i="2"/>
  <c r="CC646" i="2" s="1"/>
  <c r="AS675" i="2"/>
  <c r="CC638" i="2"/>
  <c r="CC610" i="2"/>
  <c r="CC604" i="2"/>
  <c r="CC584" i="2"/>
  <c r="AQ675" i="2"/>
  <c r="CC573" i="2"/>
  <c r="CC526" i="2"/>
  <c r="CC481" i="2"/>
  <c r="CC470" i="2"/>
  <c r="CC454" i="2"/>
  <c r="AQ482" i="2"/>
  <c r="CC431" i="2"/>
  <c r="CC403" i="2"/>
  <c r="CC686" i="2"/>
  <c r="CC666" i="2"/>
  <c r="CC634" i="2"/>
  <c r="CC600" i="2"/>
  <c r="CC590" i="2"/>
  <c r="CC568" i="2"/>
  <c r="CC571" i="2" s="1"/>
  <c r="CC538" i="2"/>
  <c r="CC522" i="2"/>
  <c r="CC466" i="2"/>
  <c r="CC450" i="2"/>
  <c r="CC427" i="2"/>
  <c r="CC387" i="2"/>
  <c r="BG269" i="2"/>
  <c r="AQ269" i="2"/>
  <c r="CC404" i="2"/>
  <c r="CC388" i="2"/>
  <c r="CC376" i="2"/>
  <c r="CC375" i="2"/>
  <c r="CC368" i="2"/>
  <c r="CC367" i="2"/>
  <c r="CC360" i="2"/>
  <c r="CC359" i="2"/>
  <c r="CC352" i="2"/>
  <c r="CC351" i="2"/>
  <c r="CC344" i="2"/>
  <c r="CC343" i="2"/>
  <c r="CC336" i="2"/>
  <c r="CC335" i="2"/>
  <c r="CC328" i="2"/>
  <c r="CC327" i="2"/>
  <c r="CC320" i="2"/>
  <c r="CC319" i="2"/>
  <c r="CC312" i="2"/>
  <c r="CC311" i="2"/>
  <c r="CC304" i="2"/>
  <c r="CC303" i="2"/>
  <c r="CC296" i="2"/>
  <c r="CC295" i="2"/>
  <c r="CC288" i="2"/>
  <c r="CC287" i="2"/>
  <c r="CC280" i="2"/>
  <c r="CC279" i="2"/>
  <c r="CC272" i="2"/>
  <c r="CC271" i="2"/>
  <c r="CC270" i="2"/>
  <c r="CC264" i="2"/>
  <c r="CC250" i="2"/>
  <c r="CC242" i="2"/>
  <c r="CC232" i="2"/>
  <c r="CC212" i="2"/>
  <c r="CC107" i="2"/>
  <c r="CC408" i="2"/>
  <c r="CC392" i="2"/>
  <c r="CC221" i="2"/>
  <c r="CC196" i="2"/>
  <c r="CC120" i="2"/>
  <c r="CC115" i="2"/>
  <c r="CC84" i="2"/>
  <c r="CC243" i="2"/>
  <c r="CC227" i="2"/>
  <c r="CC215" i="2"/>
  <c r="CC159" i="2"/>
  <c r="CC122" i="2"/>
  <c r="CC118" i="2"/>
  <c r="CC111" i="2"/>
  <c r="CC88" i="2"/>
  <c r="CC80" i="2"/>
  <c r="CB70" i="2"/>
  <c r="CC70" i="2" s="1"/>
  <c r="CC55" i="2"/>
  <c r="CC39" i="2"/>
  <c r="CC31" i="2"/>
  <c r="CC23" i="2"/>
  <c r="CC246" i="2"/>
  <c r="CC233" i="2"/>
  <c r="CC218" i="2"/>
  <c r="CC200" i="2"/>
  <c r="CC185" i="2"/>
  <c r="CC177" i="2"/>
  <c r="CC169" i="2"/>
  <c r="CC161" i="2"/>
  <c r="CC149" i="2"/>
  <c r="CC141" i="2"/>
  <c r="CC135" i="2"/>
  <c r="AS269" i="2"/>
  <c r="CC64" i="2"/>
  <c r="CC57" i="2"/>
  <c r="CC49" i="2"/>
  <c r="CC41" i="2"/>
  <c r="CC75" i="2" s="1"/>
  <c r="CC10" i="2"/>
  <c r="AS75" i="2"/>
  <c r="CH1620" i="12" l="1"/>
  <c r="CI1620" i="12" s="1"/>
  <c r="CI1591" i="12"/>
  <c r="CC482" i="2"/>
  <c r="CC746" i="2"/>
  <c r="CC265" i="2"/>
  <c r="CC266" i="2" s="1"/>
  <c r="CB75" i="2"/>
  <c r="CB956" i="2"/>
  <c r="CC794" i="2"/>
  <c r="CC818" i="2" s="1"/>
  <c r="CB818" i="2"/>
  <c r="CC438" i="2"/>
  <c r="CB440" i="2"/>
  <c r="CC675" i="2"/>
  <c r="CC440" i="2"/>
  <c r="CB675" i="2"/>
  <c r="CC956" i="2"/>
  <c r="CC267" i="2" l="1"/>
  <c r="CC268" i="2" l="1"/>
  <c r="CC269" i="2" s="1"/>
  <c r="CK1311" i="5" l="1"/>
  <c r="CJ1311" i="5"/>
  <c r="CI1311" i="5"/>
  <c r="CH1311" i="5"/>
  <c r="CG1311" i="5"/>
  <c r="CB1311" i="5"/>
  <c r="CA1311" i="5"/>
  <c r="BZ1311" i="5"/>
  <c r="BY1311" i="5"/>
  <c r="BX1311" i="5"/>
  <c r="BW1311" i="5"/>
  <c r="BV1311" i="5"/>
  <c r="BU1311" i="5"/>
  <c r="BT1311" i="5"/>
  <c r="BS1311" i="5"/>
  <c r="BR1311" i="5"/>
  <c r="BQ1311" i="5"/>
  <c r="BP1311" i="5"/>
  <c r="BO1311" i="5"/>
  <c r="BN1311" i="5"/>
  <c r="BM1311" i="5"/>
  <c r="BL1311" i="5"/>
  <c r="BK1311" i="5"/>
  <c r="BJ1311" i="5"/>
  <c r="BI1311" i="5"/>
  <c r="BH1311" i="5"/>
  <c r="BG1311" i="5"/>
  <c r="BF1311" i="5"/>
  <c r="BE1311" i="5"/>
  <c r="BD1311" i="5"/>
  <c r="BC1311" i="5"/>
  <c r="BB1311" i="5"/>
  <c r="BA1311" i="5"/>
  <c r="AZ1311" i="5"/>
  <c r="AY1311" i="5"/>
  <c r="AX1311" i="5"/>
  <c r="AW1311" i="5"/>
  <c r="AV1311" i="5"/>
  <c r="AU1311" i="5"/>
  <c r="AT1311" i="5"/>
  <c r="AS1311" i="5"/>
  <c r="AQ1311" i="5"/>
  <c r="AP1311" i="5"/>
  <c r="AO1311" i="5"/>
  <c r="AN1311" i="5"/>
  <c r="AM1311" i="5"/>
  <c r="AL1311" i="5"/>
  <c r="AK1311" i="5"/>
  <c r="AJ1311" i="5"/>
  <c r="AI1311" i="5"/>
  <c r="AH1311" i="5"/>
  <c r="AG1311" i="5"/>
  <c r="AF1311" i="5"/>
  <c r="AE1311" i="5"/>
  <c r="AD1311" i="5"/>
  <c r="AC1311" i="5"/>
  <c r="AB1311" i="5"/>
  <c r="AA1311" i="5"/>
  <c r="Z1311" i="5"/>
  <c r="Y1311" i="5"/>
  <c r="X1311" i="5"/>
  <c r="W1311" i="5"/>
  <c r="V1311" i="5"/>
  <c r="U1311" i="5"/>
  <c r="T1311" i="5"/>
  <c r="S1311" i="5"/>
  <c r="R1311" i="5"/>
  <c r="Q1311" i="5"/>
  <c r="P1311" i="5"/>
  <c r="O1311" i="5"/>
  <c r="N1311" i="5"/>
  <c r="M1311" i="5"/>
  <c r="L1311" i="5"/>
  <c r="K1311" i="5"/>
  <c r="J1311" i="5"/>
  <c r="CF1310" i="5"/>
  <c r="CE1310" i="5"/>
  <c r="CC1310" i="5"/>
  <c r="AR1310" i="5"/>
  <c r="CF1309" i="5"/>
  <c r="CE1309" i="5"/>
  <c r="CC1309" i="5"/>
  <c r="AR1309" i="5"/>
  <c r="CF1308" i="5"/>
  <c r="CE1308" i="5"/>
  <c r="CC1308" i="5"/>
  <c r="AR1308" i="5"/>
  <c r="CF1307" i="5"/>
  <c r="CE1307" i="5"/>
  <c r="CC1307" i="5"/>
  <c r="AR1307" i="5"/>
  <c r="CF1306" i="5"/>
  <c r="CE1306" i="5"/>
  <c r="CC1306" i="5"/>
  <c r="AR1306" i="5"/>
  <c r="CG1305" i="5"/>
  <c r="CB1305" i="5"/>
  <c r="CA1305" i="5"/>
  <c r="BZ1305" i="5"/>
  <c r="BY1305" i="5"/>
  <c r="BX1305" i="5"/>
  <c r="BW1305" i="5"/>
  <c r="BV1305" i="5"/>
  <c r="BU1305" i="5"/>
  <c r="BT1305" i="5"/>
  <c r="BS1305" i="5"/>
  <c r="BR1305" i="5"/>
  <c r="BQ1305" i="5"/>
  <c r="BP1305" i="5"/>
  <c r="BO1305" i="5"/>
  <c r="BN1305" i="5"/>
  <c r="BM1305" i="5"/>
  <c r="BL1305" i="5"/>
  <c r="BK1305" i="5"/>
  <c r="BJ1305" i="5"/>
  <c r="BI1305" i="5"/>
  <c r="BH1305" i="5"/>
  <c r="BG1305" i="5"/>
  <c r="BF1305" i="5"/>
  <c r="BE1305" i="5"/>
  <c r="BD1305" i="5"/>
  <c r="BC1305" i="5"/>
  <c r="BB1305" i="5"/>
  <c r="BA1305" i="5"/>
  <c r="AZ1305" i="5"/>
  <c r="AY1305" i="5"/>
  <c r="AX1305" i="5"/>
  <c r="AW1305" i="5"/>
  <c r="AV1305" i="5"/>
  <c r="AU1305" i="5"/>
  <c r="AT1305" i="5"/>
  <c r="AS1305" i="5"/>
  <c r="AQ1305" i="5"/>
  <c r="AP1305" i="5"/>
  <c r="AO1305" i="5"/>
  <c r="AN1305" i="5"/>
  <c r="AM1305" i="5"/>
  <c r="AL1305" i="5"/>
  <c r="AK1305" i="5"/>
  <c r="AJ1305" i="5"/>
  <c r="AI1305" i="5"/>
  <c r="AH1305" i="5"/>
  <c r="AG1305" i="5"/>
  <c r="AF1305" i="5"/>
  <c r="AE1305" i="5"/>
  <c r="AD1305" i="5"/>
  <c r="AC1305" i="5"/>
  <c r="AB1305" i="5"/>
  <c r="AA1305" i="5"/>
  <c r="Z1305" i="5"/>
  <c r="Y1305" i="5"/>
  <c r="X1305" i="5"/>
  <c r="W1305" i="5"/>
  <c r="V1305" i="5"/>
  <c r="U1305" i="5"/>
  <c r="T1305" i="5"/>
  <c r="S1305" i="5"/>
  <c r="R1305" i="5"/>
  <c r="Q1305" i="5"/>
  <c r="P1305" i="5"/>
  <c r="CF1304" i="5"/>
  <c r="CE1304" i="5"/>
  <c r="CC1304" i="5"/>
  <c r="AR1304" i="5"/>
  <c r="CF1303" i="5"/>
  <c r="CE1303" i="5"/>
  <c r="CC1303" i="5"/>
  <c r="AR1303" i="5"/>
  <c r="CF1302" i="5"/>
  <c r="CE1302" i="5"/>
  <c r="CC1302" i="5"/>
  <c r="AR1302" i="5"/>
  <c r="CD1302" i="5" s="1"/>
  <c r="CF1301" i="5"/>
  <c r="CE1301" i="5"/>
  <c r="CC1301" i="5"/>
  <c r="AR1301" i="5"/>
  <c r="CF1300" i="5"/>
  <c r="CF1305" i="5" s="1"/>
  <c r="CE1300" i="5"/>
  <c r="CC1300" i="5"/>
  <c r="AR1300" i="5"/>
  <c r="CG1299" i="5"/>
  <c r="CF1299" i="5"/>
  <c r="CE1299" i="5"/>
  <c r="CB1299" i="5"/>
  <c r="CA1299" i="5"/>
  <c r="BZ1299" i="5"/>
  <c r="BY1299" i="5"/>
  <c r="BX1299" i="5"/>
  <c r="BW1299" i="5"/>
  <c r="BV1299" i="5"/>
  <c r="BU1299" i="5"/>
  <c r="BT1299" i="5"/>
  <c r="BS1299" i="5"/>
  <c r="BR1299" i="5"/>
  <c r="BQ1299" i="5"/>
  <c r="BP1299" i="5"/>
  <c r="BO1299" i="5"/>
  <c r="BN1299" i="5"/>
  <c r="BM1299" i="5"/>
  <c r="BL1299" i="5"/>
  <c r="BK1299" i="5"/>
  <c r="BJ1299" i="5"/>
  <c r="BI1299" i="5"/>
  <c r="BH1299" i="5"/>
  <c r="BG1299" i="5"/>
  <c r="BF1299" i="5"/>
  <c r="BE1299" i="5"/>
  <c r="BD1299" i="5"/>
  <c r="BC1299" i="5"/>
  <c r="BB1299" i="5"/>
  <c r="BA1299" i="5"/>
  <c r="AZ1299" i="5"/>
  <c r="AY1299" i="5"/>
  <c r="AX1299" i="5"/>
  <c r="AW1299" i="5"/>
  <c r="AV1299" i="5"/>
  <c r="AU1299" i="5"/>
  <c r="AT1299" i="5"/>
  <c r="AS1299" i="5"/>
  <c r="AQ1299" i="5"/>
  <c r="AP1299" i="5"/>
  <c r="AO1299" i="5"/>
  <c r="AM1299" i="5"/>
  <c r="AL1299" i="5"/>
  <c r="AK1299" i="5"/>
  <c r="AJ1299" i="5"/>
  <c r="AI1299" i="5"/>
  <c r="AH1299" i="5"/>
  <c r="AG1299" i="5"/>
  <c r="AF1299" i="5"/>
  <c r="AE1299" i="5"/>
  <c r="CF1298" i="5"/>
  <c r="CE1298" i="5"/>
  <c r="CC1298" i="5"/>
  <c r="AR1298" i="5"/>
  <c r="CF1297" i="5"/>
  <c r="CE1297" i="5"/>
  <c r="CC1297" i="5"/>
  <c r="AR1297" i="5"/>
  <c r="CF1296" i="5"/>
  <c r="CE1296" i="5"/>
  <c r="CC1296" i="5"/>
  <c r="AR1296" i="5"/>
  <c r="CF1295" i="5"/>
  <c r="CE1295" i="5"/>
  <c r="CC1295" i="5"/>
  <c r="AR1295" i="5"/>
  <c r="CI1294" i="5"/>
  <c r="CH1294" i="5"/>
  <c r="CF1294" i="5"/>
  <c r="CE1294" i="5"/>
  <c r="CB1294" i="5"/>
  <c r="CA1294" i="5"/>
  <c r="BZ1294" i="5"/>
  <c r="BY1294" i="5"/>
  <c r="BX1294" i="5"/>
  <c r="BW1294" i="5"/>
  <c r="BV1294" i="5"/>
  <c r="BU1294" i="5"/>
  <c r="BT1294" i="5"/>
  <c r="BS1294" i="5"/>
  <c r="BR1294" i="5"/>
  <c r="BQ1294" i="5"/>
  <c r="BP1294" i="5"/>
  <c r="BO1294" i="5"/>
  <c r="BN1294" i="5"/>
  <c r="BM1294" i="5"/>
  <c r="BL1294" i="5"/>
  <c r="BK1294" i="5"/>
  <c r="BJ1294" i="5"/>
  <c r="BI1294" i="5"/>
  <c r="BH1294" i="5"/>
  <c r="BG1294" i="5"/>
  <c r="BF1294" i="5"/>
  <c r="BE1294" i="5"/>
  <c r="BD1294" i="5"/>
  <c r="BC1294" i="5"/>
  <c r="BB1294" i="5"/>
  <c r="BA1294" i="5"/>
  <c r="AZ1294" i="5"/>
  <c r="AY1294" i="5"/>
  <c r="AX1294" i="5"/>
  <c r="AW1294" i="5"/>
  <c r="AV1294" i="5"/>
  <c r="AU1294" i="5"/>
  <c r="AT1294" i="5"/>
  <c r="AS1294" i="5"/>
  <c r="AQ1294" i="5"/>
  <c r="AP1294" i="5"/>
  <c r="AO1294" i="5"/>
  <c r="AM1294" i="5"/>
  <c r="AL1294" i="5"/>
  <c r="AK1294" i="5"/>
  <c r="AJ1294" i="5"/>
  <c r="AI1294" i="5"/>
  <c r="AH1294" i="5"/>
  <c r="AG1294" i="5"/>
  <c r="AF1294" i="5"/>
  <c r="AE1294" i="5"/>
  <c r="AD1294" i="5"/>
  <c r="AC1294" i="5"/>
  <c r="AB1294" i="5"/>
  <c r="AA1294" i="5"/>
  <c r="Z1294" i="5"/>
  <c r="Y1294" i="5"/>
  <c r="X1294" i="5"/>
  <c r="W1294" i="5"/>
  <c r="V1294" i="5"/>
  <c r="U1294" i="5"/>
  <c r="T1294" i="5"/>
  <c r="S1294" i="5"/>
  <c r="R1294" i="5"/>
  <c r="Q1294" i="5"/>
  <c r="P1294" i="5"/>
  <c r="O1294" i="5"/>
  <c r="N1294" i="5"/>
  <c r="M1294" i="5"/>
  <c r="L1294" i="5"/>
  <c r="K1294" i="5"/>
  <c r="J1294" i="5"/>
  <c r="I1294" i="5"/>
  <c r="H1294" i="5"/>
  <c r="CF1293" i="5"/>
  <c r="CE1293" i="5"/>
  <c r="CC1293" i="5"/>
  <c r="AR1293" i="5"/>
  <c r="CF1292" i="5"/>
  <c r="CE1292" i="5"/>
  <c r="CC1292" i="5"/>
  <c r="AR1292" i="5"/>
  <c r="E1292" i="5"/>
  <c r="CF1291" i="5"/>
  <c r="CE1291" i="5"/>
  <c r="CC1291" i="5"/>
  <c r="AR1291" i="5"/>
  <c r="CF1290" i="5"/>
  <c r="CE1290" i="5"/>
  <c r="CC1290" i="5"/>
  <c r="AR1290" i="5"/>
  <c r="CF1289" i="5"/>
  <c r="CE1289" i="5"/>
  <c r="CC1289" i="5"/>
  <c r="AR1289" i="5"/>
  <c r="CF1288" i="5"/>
  <c r="CE1288" i="5"/>
  <c r="CC1288" i="5"/>
  <c r="AR1288" i="5"/>
  <c r="CF1287" i="5"/>
  <c r="CE1287" i="5"/>
  <c r="CC1287" i="5"/>
  <c r="AR1287" i="5"/>
  <c r="CF1286" i="5"/>
  <c r="CE1286" i="5"/>
  <c r="CC1286" i="5"/>
  <c r="AR1286" i="5"/>
  <c r="CF1285" i="5"/>
  <c r="CE1285" i="5"/>
  <c r="CC1285" i="5"/>
  <c r="AR1285" i="5"/>
  <c r="CF1284" i="5"/>
  <c r="CE1284" i="5"/>
  <c r="CC1284" i="5"/>
  <c r="AR1284" i="5"/>
  <c r="CF1283" i="5"/>
  <c r="CE1283" i="5"/>
  <c r="CC1283" i="5"/>
  <c r="AR1283" i="5"/>
  <c r="A1283" i="5"/>
  <c r="A1285" i="5" s="1"/>
  <c r="CF1282" i="5"/>
  <c r="CE1282" i="5"/>
  <c r="CC1282" i="5"/>
  <c r="AR1282" i="5"/>
  <c r="CF1281" i="5"/>
  <c r="CE1281" i="5"/>
  <c r="CC1281" i="5"/>
  <c r="AR1281" i="5"/>
  <c r="CF1280" i="5"/>
  <c r="CE1280" i="5"/>
  <c r="CC1280" i="5"/>
  <c r="AR1280" i="5"/>
  <c r="CF1279" i="5"/>
  <c r="CE1279" i="5"/>
  <c r="CC1279" i="5"/>
  <c r="AR1279" i="5"/>
  <c r="CF1278" i="5"/>
  <c r="CE1278" i="5"/>
  <c r="CC1278" i="5"/>
  <c r="AR1278" i="5"/>
  <c r="CD1278" i="5" s="1"/>
  <c r="CF1277" i="5"/>
  <c r="CE1277" i="5"/>
  <c r="CC1277" i="5"/>
  <c r="AR1277" i="5"/>
  <c r="CG1276" i="5"/>
  <c r="CF1276" i="5"/>
  <c r="CE1276" i="5"/>
  <c r="CC1276" i="5"/>
  <c r="AR1276" i="5"/>
  <c r="CF1275" i="5"/>
  <c r="CE1275" i="5"/>
  <c r="CC1275" i="5"/>
  <c r="AR1275" i="5"/>
  <c r="CF1274" i="5"/>
  <c r="CE1274" i="5"/>
  <c r="CC1274" i="5"/>
  <c r="CD1274" i="5" s="1"/>
  <c r="AR1274" i="5"/>
  <c r="CF1273" i="5"/>
  <c r="CE1273" i="5"/>
  <c r="CC1273" i="5"/>
  <c r="AR1273" i="5"/>
  <c r="CF1272" i="5"/>
  <c r="CE1272" i="5"/>
  <c r="CC1272" i="5"/>
  <c r="AR1272" i="5"/>
  <c r="CF1271" i="5"/>
  <c r="CE1271" i="5"/>
  <c r="CC1271" i="5"/>
  <c r="AR1271" i="5"/>
  <c r="CF1270" i="5"/>
  <c r="CE1270" i="5"/>
  <c r="CC1270" i="5"/>
  <c r="AR1270" i="5"/>
  <c r="CF1269" i="5"/>
  <c r="CE1269" i="5"/>
  <c r="CC1269" i="5"/>
  <c r="AR1269" i="5"/>
  <c r="CF1268" i="5"/>
  <c r="CE1268" i="5"/>
  <c r="CC1268" i="5"/>
  <c r="AR1268" i="5"/>
  <c r="CF1267" i="5"/>
  <c r="CE1267" i="5"/>
  <c r="CC1267" i="5"/>
  <c r="CD1267" i="5" s="1"/>
  <c r="AR1267" i="5"/>
  <c r="CF1266" i="5"/>
  <c r="CE1266" i="5"/>
  <c r="CC1266" i="5"/>
  <c r="AR1266" i="5"/>
  <c r="CF1265" i="5"/>
  <c r="CE1265" i="5"/>
  <c r="CC1265" i="5"/>
  <c r="AR1265" i="5"/>
  <c r="CF1264" i="5"/>
  <c r="CE1264" i="5"/>
  <c r="CC1264" i="5"/>
  <c r="AR1264" i="5"/>
  <c r="CH1263" i="5"/>
  <c r="CG1263" i="5"/>
  <c r="CB1263" i="5"/>
  <c r="CA1263" i="5"/>
  <c r="BZ1263" i="5"/>
  <c r="BY1263" i="5"/>
  <c r="BX1263" i="5"/>
  <c r="BW1263" i="5"/>
  <c r="BV1263" i="5"/>
  <c r="BU1263" i="5"/>
  <c r="BT1263" i="5"/>
  <c r="BS1263" i="5"/>
  <c r="BR1263" i="5"/>
  <c r="BQ1263" i="5"/>
  <c r="BP1263" i="5"/>
  <c r="BO1263" i="5"/>
  <c r="BN1263" i="5"/>
  <c r="BM1263" i="5"/>
  <c r="BL1263" i="5"/>
  <c r="BK1263" i="5"/>
  <c r="BJ1263" i="5"/>
  <c r="BI1263" i="5"/>
  <c r="BH1263" i="5"/>
  <c r="BG1263" i="5"/>
  <c r="BF1263" i="5"/>
  <c r="BE1263" i="5"/>
  <c r="BC1263" i="5"/>
  <c r="BB1263" i="5"/>
  <c r="BA1263" i="5"/>
  <c r="AZ1263" i="5"/>
  <c r="AY1263" i="5"/>
  <c r="AX1263" i="5"/>
  <c r="AW1263" i="5"/>
  <c r="AV1263" i="5"/>
  <c r="AU1263" i="5"/>
  <c r="AT1263" i="5"/>
  <c r="AS1263" i="5"/>
  <c r="AQ1263" i="5"/>
  <c r="AP1263" i="5"/>
  <c r="AO1263" i="5"/>
  <c r="AM1263" i="5"/>
  <c r="AL1263" i="5"/>
  <c r="AK1263" i="5"/>
  <c r="AJ1263" i="5"/>
  <c r="AI1263" i="5"/>
  <c r="AH1263" i="5"/>
  <c r="AG1263" i="5"/>
  <c r="AF1263" i="5"/>
  <c r="AE1263" i="5"/>
  <c r="AD1263" i="5"/>
  <c r="AC1263" i="5"/>
  <c r="AB1263" i="5"/>
  <c r="AA1263" i="5"/>
  <c r="Z1263" i="5"/>
  <c r="Y1263" i="5"/>
  <c r="X1263" i="5"/>
  <c r="W1263" i="5"/>
  <c r="V1263" i="5"/>
  <c r="U1263" i="5"/>
  <c r="T1263" i="5"/>
  <c r="S1263" i="5"/>
  <c r="R1263" i="5"/>
  <c r="Q1263" i="5"/>
  <c r="P1263" i="5"/>
  <c r="O1263" i="5"/>
  <c r="N1263" i="5"/>
  <c r="M1263" i="5"/>
  <c r="L1263" i="5"/>
  <c r="K1263" i="5"/>
  <c r="J1263" i="5"/>
  <c r="I1263" i="5"/>
  <c r="H1263" i="5"/>
  <c r="G1263" i="5"/>
  <c r="CF1262" i="5"/>
  <c r="CE1262" i="5"/>
  <c r="CC1262" i="5"/>
  <c r="CD1262" i="5" s="1"/>
  <c r="AR1262" i="5"/>
  <c r="CF1261" i="5"/>
  <c r="CE1261" i="5"/>
  <c r="CC1261" i="5"/>
  <c r="AR1261" i="5"/>
  <c r="CF1260" i="5"/>
  <c r="CE1260" i="5"/>
  <c r="CC1260" i="5"/>
  <c r="CD1260" i="5" s="1"/>
  <c r="AR1260" i="5"/>
  <c r="CF1259" i="5"/>
  <c r="CE1259" i="5"/>
  <c r="CC1259" i="5"/>
  <c r="BD1259" i="5"/>
  <c r="BD1263" i="5" s="1"/>
  <c r="AR1259" i="5"/>
  <c r="CF1258" i="5"/>
  <c r="CE1258" i="5"/>
  <c r="CC1258" i="5"/>
  <c r="AR1258" i="5"/>
  <c r="CF1257" i="5"/>
  <c r="CE1257" i="5"/>
  <c r="CC1257" i="5"/>
  <c r="AR1257" i="5"/>
  <c r="CF1256" i="5"/>
  <c r="CE1256" i="5"/>
  <c r="CC1256" i="5"/>
  <c r="AR1256" i="5"/>
  <c r="CF1255" i="5"/>
  <c r="CE1255" i="5"/>
  <c r="CC1255" i="5"/>
  <c r="AR1255" i="5"/>
  <c r="CF1254" i="5"/>
  <c r="CE1254" i="5"/>
  <c r="CC1254" i="5"/>
  <c r="AR1254" i="5"/>
  <c r="CF1253" i="5"/>
  <c r="CE1253" i="5"/>
  <c r="CC1253" i="5"/>
  <c r="AR1253" i="5"/>
  <c r="CF1252" i="5"/>
  <c r="CE1252" i="5"/>
  <c r="CC1252" i="5"/>
  <c r="AR1252" i="5"/>
  <c r="CF1251" i="5"/>
  <c r="CE1251" i="5"/>
  <c r="CC1251" i="5"/>
  <c r="AR1251" i="5"/>
  <c r="CF1250" i="5"/>
  <c r="CE1250" i="5"/>
  <c r="CC1250" i="5"/>
  <c r="AR1250" i="5"/>
  <c r="CF1249" i="5"/>
  <c r="CE1249" i="5"/>
  <c r="CC1249" i="5"/>
  <c r="AR1249" i="5"/>
  <c r="CF1248" i="5"/>
  <c r="CE1248" i="5"/>
  <c r="CC1248" i="5"/>
  <c r="AR1248" i="5"/>
  <c r="CF1247" i="5"/>
  <c r="CE1247" i="5"/>
  <c r="CC1247" i="5"/>
  <c r="AR1247" i="5"/>
  <c r="CF1246" i="5"/>
  <c r="CE1246" i="5"/>
  <c r="CC1246" i="5"/>
  <c r="AR1246" i="5"/>
  <c r="CF1245" i="5"/>
  <c r="CE1245" i="5"/>
  <c r="CC1245" i="5"/>
  <c r="AR1245" i="5"/>
  <c r="CD1245" i="5" s="1"/>
  <c r="CF1244" i="5"/>
  <c r="CE1244" i="5"/>
  <c r="CC1244" i="5"/>
  <c r="AR1244" i="5"/>
  <c r="CF1243" i="5"/>
  <c r="CE1243" i="5"/>
  <c r="CC1243" i="5"/>
  <c r="AR1243" i="5"/>
  <c r="CT1242" i="5"/>
  <c r="CS1242" i="5"/>
  <c r="CR1242" i="5"/>
  <c r="CQ1242" i="5"/>
  <c r="CP1242" i="5"/>
  <c r="CF1242" i="5"/>
  <c r="CE1242" i="5"/>
  <c r="CH1241" i="5"/>
  <c r="CG1241" i="5"/>
  <c r="CB1241" i="5"/>
  <c r="CA1241" i="5"/>
  <c r="BZ1241" i="5"/>
  <c r="BY1241" i="5"/>
  <c r="BX1241" i="5"/>
  <c r="BW1241" i="5"/>
  <c r="BV1241" i="5"/>
  <c r="BU1241" i="5"/>
  <c r="BT1241" i="5"/>
  <c r="BS1241" i="5"/>
  <c r="BR1241" i="5"/>
  <c r="BQ1241" i="5"/>
  <c r="BP1241" i="5"/>
  <c r="BO1241" i="5"/>
  <c r="BN1241" i="5"/>
  <c r="BM1241" i="5"/>
  <c r="BL1241" i="5"/>
  <c r="BK1241" i="5"/>
  <c r="BJ1241" i="5"/>
  <c r="BI1241" i="5"/>
  <c r="BH1241" i="5"/>
  <c r="BG1241" i="5"/>
  <c r="BF1241" i="5"/>
  <c r="BE1241" i="5"/>
  <c r="BD1241" i="5"/>
  <c r="BC1241" i="5"/>
  <c r="BB1241" i="5"/>
  <c r="BA1241" i="5"/>
  <c r="AZ1241" i="5"/>
  <c r="AY1241" i="5"/>
  <c r="AX1241" i="5"/>
  <c r="AW1241" i="5"/>
  <c r="AV1241" i="5"/>
  <c r="AU1241" i="5"/>
  <c r="AT1241" i="5"/>
  <c r="AS1241" i="5"/>
  <c r="AQ1241" i="5"/>
  <c r="AP1241" i="5"/>
  <c r="AO1241" i="5"/>
  <c r="AM1241" i="5"/>
  <c r="AL1241" i="5"/>
  <c r="AK1241" i="5"/>
  <c r="AJ1241" i="5"/>
  <c r="AI1241" i="5"/>
  <c r="AH1241" i="5"/>
  <c r="AG1241" i="5"/>
  <c r="AF1241" i="5"/>
  <c r="AE1241" i="5"/>
  <c r="AD1241" i="5"/>
  <c r="AC1241" i="5"/>
  <c r="AB1241" i="5"/>
  <c r="AA1241" i="5"/>
  <c r="Z1241" i="5"/>
  <c r="Y1241" i="5"/>
  <c r="X1241" i="5"/>
  <c r="W1241" i="5"/>
  <c r="CF1240" i="5"/>
  <c r="CE1240" i="5"/>
  <c r="CC1240" i="5"/>
  <c r="AR1240" i="5"/>
  <c r="CF1239" i="5"/>
  <c r="CE1239" i="5"/>
  <c r="CC1239" i="5"/>
  <c r="CC1241" i="5" s="1"/>
  <c r="AR1239" i="5"/>
  <c r="AR1241" i="5" s="1"/>
  <c r="CI1238" i="5"/>
  <c r="CH1238" i="5"/>
  <c r="CG1238" i="5"/>
  <c r="CB1238" i="5"/>
  <c r="CA1238" i="5"/>
  <c r="BZ1238" i="5"/>
  <c r="BY1238" i="5"/>
  <c r="BX1238" i="5"/>
  <c r="BW1238" i="5"/>
  <c r="BV1238" i="5"/>
  <c r="BU1238" i="5"/>
  <c r="BT1238" i="5"/>
  <c r="BS1238" i="5"/>
  <c r="BR1238" i="5"/>
  <c r="BQ1238" i="5"/>
  <c r="BP1238" i="5"/>
  <c r="BO1238" i="5"/>
  <c r="BN1238" i="5"/>
  <c r="BM1238" i="5"/>
  <c r="BL1238" i="5"/>
  <c r="BK1238" i="5"/>
  <c r="BJ1238" i="5"/>
  <c r="BI1238" i="5"/>
  <c r="BH1238" i="5"/>
  <c r="BG1238" i="5"/>
  <c r="BF1238" i="5"/>
  <c r="BE1238" i="5"/>
  <c r="BD1238" i="5"/>
  <c r="BC1238" i="5"/>
  <c r="BB1238" i="5"/>
  <c r="BA1238" i="5"/>
  <c r="AZ1238" i="5"/>
  <c r="AY1238" i="5"/>
  <c r="AX1238" i="5"/>
  <c r="AW1238" i="5"/>
  <c r="AV1238" i="5"/>
  <c r="AU1238" i="5"/>
  <c r="AT1238" i="5"/>
  <c r="AS1238" i="5"/>
  <c r="AQ1238" i="5"/>
  <c r="AP1238" i="5"/>
  <c r="AO1238" i="5"/>
  <c r="AM1238" i="5"/>
  <c r="AL1238" i="5"/>
  <c r="AK1238" i="5"/>
  <c r="AJ1238" i="5"/>
  <c r="AI1238" i="5"/>
  <c r="AH1238" i="5"/>
  <c r="AG1238" i="5"/>
  <c r="AF1238" i="5"/>
  <c r="AE1238" i="5"/>
  <c r="AD1238" i="5"/>
  <c r="AC1238" i="5"/>
  <c r="AB1238" i="5"/>
  <c r="AA1238" i="5"/>
  <c r="Z1238" i="5"/>
  <c r="Y1238" i="5"/>
  <c r="X1238" i="5"/>
  <c r="W1238" i="5"/>
  <c r="V1238" i="5"/>
  <c r="U1238" i="5"/>
  <c r="T1238" i="5"/>
  <c r="S1238" i="5"/>
  <c r="R1238" i="5"/>
  <c r="Q1238" i="5"/>
  <c r="P1238" i="5"/>
  <c r="O1238" i="5"/>
  <c r="N1238" i="5"/>
  <c r="M1238" i="5"/>
  <c r="L1238" i="5"/>
  <c r="K1238" i="5"/>
  <c r="J1238" i="5"/>
  <c r="I1238" i="5"/>
  <c r="H1238" i="5"/>
  <c r="G1238" i="5"/>
  <c r="CF1237" i="5"/>
  <c r="CE1237" i="5"/>
  <c r="CC1237" i="5"/>
  <c r="AR1237" i="5"/>
  <c r="CF1236" i="5"/>
  <c r="CE1236" i="5"/>
  <c r="CC1236" i="5"/>
  <c r="AR1236" i="5"/>
  <c r="CF1235" i="5"/>
  <c r="CE1235" i="5"/>
  <c r="CC1235" i="5"/>
  <c r="AR1235" i="5"/>
  <c r="CF1234" i="5"/>
  <c r="CE1234" i="5"/>
  <c r="CC1234" i="5"/>
  <c r="AR1234" i="5"/>
  <c r="CF1233" i="5"/>
  <c r="CE1233" i="5"/>
  <c r="CC1233" i="5"/>
  <c r="AR1233" i="5"/>
  <c r="CG1232" i="5"/>
  <c r="CB1232" i="5"/>
  <c r="CA1232" i="5"/>
  <c r="BZ1232" i="5"/>
  <c r="BY1232" i="5"/>
  <c r="BX1232" i="5"/>
  <c r="BW1232" i="5"/>
  <c r="BV1232" i="5"/>
  <c r="BU1232" i="5"/>
  <c r="BT1232" i="5"/>
  <c r="BS1232" i="5"/>
  <c r="BR1232" i="5"/>
  <c r="BQ1232" i="5"/>
  <c r="BP1232" i="5"/>
  <c r="BO1232" i="5"/>
  <c r="BN1232" i="5"/>
  <c r="BM1232" i="5"/>
  <c r="BL1232" i="5"/>
  <c r="BK1232" i="5"/>
  <c r="BJ1232" i="5"/>
  <c r="BI1232" i="5"/>
  <c r="BH1232" i="5"/>
  <c r="BG1232" i="5"/>
  <c r="BF1232" i="5"/>
  <c r="BE1232" i="5"/>
  <c r="BD1232" i="5"/>
  <c r="BC1232" i="5"/>
  <c r="BB1232" i="5"/>
  <c r="BA1232" i="5"/>
  <c r="AZ1232" i="5"/>
  <c r="AY1232" i="5"/>
  <c r="AX1232" i="5"/>
  <c r="AW1232" i="5"/>
  <c r="AV1232" i="5"/>
  <c r="AU1232" i="5"/>
  <c r="AT1232" i="5"/>
  <c r="AS1232" i="5"/>
  <c r="AQ1232" i="5"/>
  <c r="AP1232" i="5"/>
  <c r="AO1232" i="5"/>
  <c r="AM1232" i="5"/>
  <c r="AL1232" i="5"/>
  <c r="AK1232" i="5"/>
  <c r="AJ1232" i="5"/>
  <c r="AI1232" i="5"/>
  <c r="AH1232" i="5"/>
  <c r="AG1232" i="5"/>
  <c r="AF1232" i="5"/>
  <c r="AE1232" i="5"/>
  <c r="AD1232" i="5"/>
  <c r="AC1232" i="5"/>
  <c r="AB1232" i="5"/>
  <c r="AA1232" i="5"/>
  <c r="Z1232" i="5"/>
  <c r="Y1232" i="5"/>
  <c r="X1232" i="5"/>
  <c r="W1232" i="5"/>
  <c r="V1232" i="5"/>
  <c r="U1232" i="5"/>
  <c r="T1232" i="5"/>
  <c r="S1232" i="5"/>
  <c r="R1232" i="5"/>
  <c r="Q1232" i="5"/>
  <c r="P1232" i="5"/>
  <c r="O1232" i="5"/>
  <c r="N1232" i="5"/>
  <c r="M1232" i="5"/>
  <c r="L1232" i="5"/>
  <c r="K1232" i="5"/>
  <c r="J1232" i="5"/>
  <c r="I1232" i="5"/>
  <c r="H1232" i="5"/>
  <c r="G1232" i="5"/>
  <c r="CF1231" i="5"/>
  <c r="CE1231" i="5"/>
  <c r="CC1231" i="5"/>
  <c r="AR1231" i="5"/>
  <c r="CF1230" i="5"/>
  <c r="CE1230" i="5"/>
  <c r="CC1230" i="5"/>
  <c r="AR1230" i="5"/>
  <c r="CF1229" i="5"/>
  <c r="CE1229" i="5"/>
  <c r="CC1229" i="5"/>
  <c r="AR1229" i="5"/>
  <c r="A1229" i="5"/>
  <c r="A1235" i="5" s="1"/>
  <c r="CF1228" i="5"/>
  <c r="CE1228" i="5"/>
  <c r="CC1228" i="5"/>
  <c r="AR1228" i="5"/>
  <c r="CF1227" i="5"/>
  <c r="CE1227" i="5"/>
  <c r="CC1227" i="5"/>
  <c r="CD1227" i="5" s="1"/>
  <c r="AR1227" i="5"/>
  <c r="CF1226" i="5"/>
  <c r="CE1226" i="5"/>
  <c r="CC1226" i="5"/>
  <c r="CD1226" i="5" s="1"/>
  <c r="AR1226" i="5"/>
  <c r="CF1225" i="5"/>
  <c r="CE1225" i="5"/>
  <c r="CC1225" i="5"/>
  <c r="AR1225" i="5"/>
  <c r="CF1224" i="5"/>
  <c r="CE1224" i="5"/>
  <c r="CC1224" i="5"/>
  <c r="AR1224" i="5"/>
  <c r="CF1223" i="5"/>
  <c r="CE1223" i="5"/>
  <c r="CC1223" i="5"/>
  <c r="AR1223" i="5"/>
  <c r="CF1222" i="5"/>
  <c r="CE1222" i="5"/>
  <c r="CC1222" i="5"/>
  <c r="AR1222" i="5"/>
  <c r="CF1221" i="5"/>
  <c r="CE1221" i="5"/>
  <c r="CC1221" i="5"/>
  <c r="CD1221" i="5" s="1"/>
  <c r="AR1221" i="5"/>
  <c r="CF1220" i="5"/>
  <c r="CE1220" i="5"/>
  <c r="CC1220" i="5"/>
  <c r="AR1220" i="5"/>
  <c r="CF1219" i="5"/>
  <c r="CE1219" i="5"/>
  <c r="CC1219" i="5"/>
  <c r="AR1219" i="5"/>
  <c r="CF1218" i="5"/>
  <c r="CE1218" i="5"/>
  <c r="CC1218" i="5"/>
  <c r="AR1218" i="5"/>
  <c r="CF1217" i="5"/>
  <c r="CE1217" i="5"/>
  <c r="CC1217" i="5"/>
  <c r="AR1217" i="5"/>
  <c r="CF1216" i="5"/>
  <c r="CE1216" i="5"/>
  <c r="CC1216" i="5"/>
  <c r="AR1216" i="5"/>
  <c r="CF1215" i="5"/>
  <c r="CE1215" i="5"/>
  <c r="CC1215" i="5"/>
  <c r="AR1215" i="5"/>
  <c r="CF1214" i="5"/>
  <c r="CE1214" i="5"/>
  <c r="CC1214" i="5"/>
  <c r="AR1214" i="5"/>
  <c r="CF1213" i="5"/>
  <c r="CE1213" i="5"/>
  <c r="CC1213" i="5"/>
  <c r="AR1213" i="5"/>
  <c r="CF1212" i="5"/>
  <c r="CE1212" i="5"/>
  <c r="CC1212" i="5"/>
  <c r="AR1212" i="5"/>
  <c r="CI1211" i="5"/>
  <c r="CH1211" i="5"/>
  <c r="CG1211" i="5"/>
  <c r="CB1211" i="5"/>
  <c r="CA1211" i="5"/>
  <c r="BZ1211" i="5"/>
  <c r="BY1211" i="5"/>
  <c r="BX1211" i="5"/>
  <c r="BW1211" i="5"/>
  <c r="BV1211" i="5"/>
  <c r="BU1211" i="5"/>
  <c r="BT1211" i="5"/>
  <c r="BS1211" i="5"/>
  <c r="BR1211" i="5"/>
  <c r="BQ1211" i="5"/>
  <c r="BP1211" i="5"/>
  <c r="BO1211" i="5"/>
  <c r="BN1211" i="5"/>
  <c r="BM1211" i="5"/>
  <c r="BL1211" i="5"/>
  <c r="BK1211" i="5"/>
  <c r="BJ1211" i="5"/>
  <c r="BI1211" i="5"/>
  <c r="BH1211" i="5"/>
  <c r="BG1211" i="5"/>
  <c r="BF1211" i="5"/>
  <c r="BE1211" i="5"/>
  <c r="BD1211" i="5"/>
  <c r="BC1211" i="5"/>
  <c r="BB1211" i="5"/>
  <c r="BA1211" i="5"/>
  <c r="AZ1211" i="5"/>
  <c r="AY1211" i="5"/>
  <c r="AX1211" i="5"/>
  <c r="AW1211" i="5"/>
  <c r="AV1211" i="5"/>
  <c r="AU1211" i="5"/>
  <c r="AT1211" i="5"/>
  <c r="AS1211" i="5"/>
  <c r="AQ1211" i="5"/>
  <c r="AP1211" i="5"/>
  <c r="AO1211" i="5"/>
  <c r="AM1211" i="5"/>
  <c r="AL1211" i="5"/>
  <c r="AK1211" i="5"/>
  <c r="AJ1211" i="5"/>
  <c r="AI1211" i="5"/>
  <c r="AH1211" i="5"/>
  <c r="AG1211" i="5"/>
  <c r="AF1211" i="5"/>
  <c r="AE1211" i="5"/>
  <c r="AD1211" i="5"/>
  <c r="AC1211" i="5"/>
  <c r="AB1211" i="5"/>
  <c r="AA1211" i="5"/>
  <c r="Z1211" i="5"/>
  <c r="Y1211" i="5"/>
  <c r="X1211" i="5"/>
  <c r="W1211" i="5"/>
  <c r="V1211" i="5"/>
  <c r="U1211" i="5"/>
  <c r="T1211" i="5"/>
  <c r="S1211" i="5"/>
  <c r="R1211" i="5"/>
  <c r="Q1211" i="5"/>
  <c r="P1211" i="5"/>
  <c r="O1211" i="5"/>
  <c r="N1211" i="5"/>
  <c r="M1211" i="5"/>
  <c r="L1211" i="5"/>
  <c r="K1211" i="5"/>
  <c r="J1211" i="5"/>
  <c r="I1211" i="5"/>
  <c r="H1211" i="5"/>
  <c r="G1211" i="5"/>
  <c r="CF1210" i="5"/>
  <c r="CE1210" i="5"/>
  <c r="CC1210" i="5"/>
  <c r="AR1210" i="5"/>
  <c r="CE1209" i="5"/>
  <c r="CC1209" i="5"/>
  <c r="AR1209" i="5"/>
  <c r="D1209" i="5"/>
  <c r="CF1209" i="5" s="1"/>
  <c r="CF1208" i="5"/>
  <c r="CE1208" i="5"/>
  <c r="CC1208" i="5"/>
  <c r="AR1208" i="5"/>
  <c r="CF1207" i="5"/>
  <c r="CE1207" i="5"/>
  <c r="CC1207" i="5"/>
  <c r="AR1207" i="5"/>
  <c r="CF1206" i="5"/>
  <c r="CE1206" i="5"/>
  <c r="CC1206" i="5"/>
  <c r="AR1206" i="5"/>
  <c r="CH1205" i="5"/>
  <c r="CG1205" i="5"/>
  <c r="CF1205" i="5"/>
  <c r="CE1205" i="5"/>
  <c r="CB1205" i="5"/>
  <c r="CA1205" i="5"/>
  <c r="BZ1205" i="5"/>
  <c r="BY1205" i="5"/>
  <c r="BX1205" i="5"/>
  <c r="BW1205" i="5"/>
  <c r="BV1205" i="5"/>
  <c r="BU1205" i="5"/>
  <c r="BT1205" i="5"/>
  <c r="BS1205" i="5"/>
  <c r="BR1205" i="5"/>
  <c r="BQ1205" i="5"/>
  <c r="BP1205" i="5"/>
  <c r="BO1205" i="5"/>
  <c r="BN1205" i="5"/>
  <c r="BM1205" i="5"/>
  <c r="BL1205" i="5"/>
  <c r="BK1205" i="5"/>
  <c r="BJ1205" i="5"/>
  <c r="BI1205" i="5"/>
  <c r="BH1205" i="5"/>
  <c r="BG1205" i="5"/>
  <c r="BF1205" i="5"/>
  <c r="BE1205" i="5"/>
  <c r="BD1205" i="5"/>
  <c r="BC1205" i="5"/>
  <c r="BB1205" i="5"/>
  <c r="BA1205" i="5"/>
  <c r="AZ1205" i="5"/>
  <c r="AY1205" i="5"/>
  <c r="AX1205" i="5"/>
  <c r="AW1205" i="5"/>
  <c r="AV1205" i="5"/>
  <c r="AU1205" i="5"/>
  <c r="AT1205" i="5"/>
  <c r="AS1205" i="5"/>
  <c r="AQ1205" i="5"/>
  <c r="AP1205" i="5"/>
  <c r="AO1205" i="5"/>
  <c r="AM1205" i="5"/>
  <c r="AL1205" i="5"/>
  <c r="AK1205" i="5"/>
  <c r="AJ1205" i="5"/>
  <c r="AI1205" i="5"/>
  <c r="AH1205" i="5"/>
  <c r="AG1205" i="5"/>
  <c r="AF1205" i="5"/>
  <c r="AE1205" i="5"/>
  <c r="AD1205" i="5"/>
  <c r="AC1205" i="5"/>
  <c r="AB1205" i="5"/>
  <c r="AA1205" i="5"/>
  <c r="Z1205" i="5"/>
  <c r="Y1205" i="5"/>
  <c r="X1205" i="5"/>
  <c r="W1205" i="5"/>
  <c r="V1205" i="5"/>
  <c r="U1205" i="5"/>
  <c r="T1205" i="5"/>
  <c r="CF1204" i="5"/>
  <c r="CE1204" i="5"/>
  <c r="CC1204" i="5"/>
  <c r="AR1204" i="5"/>
  <c r="CH1201" i="5"/>
  <c r="CG1201" i="5"/>
  <c r="CB1201" i="5"/>
  <c r="CA1201" i="5"/>
  <c r="BZ1201" i="5"/>
  <c r="BY1201" i="5"/>
  <c r="BX1201" i="5"/>
  <c r="BW1201" i="5"/>
  <c r="BV1201" i="5"/>
  <c r="BU1201" i="5"/>
  <c r="BT1201" i="5"/>
  <c r="BS1201" i="5"/>
  <c r="BR1201" i="5"/>
  <c r="BQ1201" i="5"/>
  <c r="BP1201" i="5"/>
  <c r="BO1201" i="5"/>
  <c r="BN1201" i="5"/>
  <c r="BM1201" i="5"/>
  <c r="BL1201" i="5"/>
  <c r="BK1201" i="5"/>
  <c r="BJ1201" i="5"/>
  <c r="BI1201" i="5"/>
  <c r="BH1201" i="5"/>
  <c r="BG1201" i="5"/>
  <c r="BF1201" i="5"/>
  <c r="BE1201" i="5"/>
  <c r="BD1201" i="5"/>
  <c r="BC1201" i="5"/>
  <c r="BB1201" i="5"/>
  <c r="BA1201" i="5"/>
  <c r="AZ1201" i="5"/>
  <c r="AY1201" i="5"/>
  <c r="AX1201" i="5"/>
  <c r="AW1201" i="5"/>
  <c r="AV1201" i="5"/>
  <c r="AU1201" i="5"/>
  <c r="AS1201" i="5"/>
  <c r="AQ1201" i="5"/>
  <c r="AP1201" i="5"/>
  <c r="AO1201" i="5"/>
  <c r="AM1201" i="5"/>
  <c r="AL1201" i="5"/>
  <c r="AK1201" i="5"/>
  <c r="AJ1201" i="5"/>
  <c r="AI1201" i="5"/>
  <c r="AH1201" i="5"/>
  <c r="AG1201" i="5"/>
  <c r="AF1201" i="5"/>
  <c r="AE1201" i="5"/>
  <c r="AD1201" i="5"/>
  <c r="AC1201" i="5"/>
  <c r="AB1201" i="5"/>
  <c r="AA1201" i="5"/>
  <c r="Z1201" i="5"/>
  <c r="Y1201" i="5"/>
  <c r="X1201" i="5"/>
  <c r="W1201" i="5"/>
  <c r="V1201" i="5"/>
  <c r="U1201" i="5"/>
  <c r="T1201" i="5"/>
  <c r="S1201" i="5"/>
  <c r="R1201" i="5"/>
  <c r="Q1201" i="5"/>
  <c r="P1201" i="5"/>
  <c r="O1201" i="5"/>
  <c r="N1201" i="5"/>
  <c r="M1201" i="5"/>
  <c r="L1201" i="5"/>
  <c r="K1201" i="5"/>
  <c r="J1201" i="5"/>
  <c r="I1201" i="5"/>
  <c r="H1201" i="5"/>
  <c r="G1201" i="5"/>
  <c r="CF1200" i="5"/>
  <c r="CE1200" i="5"/>
  <c r="CC1200" i="5"/>
  <c r="AR1200" i="5"/>
  <c r="CF1199" i="5"/>
  <c r="CE1199" i="5"/>
  <c r="CC1199" i="5"/>
  <c r="AR1199" i="5"/>
  <c r="CF1198" i="5"/>
  <c r="CE1198" i="5"/>
  <c r="AT1198" i="5"/>
  <c r="CC1198" i="5" s="1"/>
  <c r="AR1198" i="5"/>
  <c r="CF1197" i="5"/>
  <c r="CE1197" i="5"/>
  <c r="AT1197" i="5"/>
  <c r="CC1197" i="5" s="1"/>
  <c r="AR1197" i="5"/>
  <c r="CF1196" i="5"/>
  <c r="CE1196" i="5"/>
  <c r="CC1196" i="5"/>
  <c r="AR1196" i="5"/>
  <c r="CF1195" i="5"/>
  <c r="CE1195" i="5"/>
  <c r="CC1195" i="5"/>
  <c r="AR1195" i="5"/>
  <c r="CF1194" i="5"/>
  <c r="CE1194" i="5"/>
  <c r="AT1194" i="5"/>
  <c r="CC1194" i="5" s="1"/>
  <c r="AR1194" i="5"/>
  <c r="CF1193" i="5"/>
  <c r="CE1193" i="5"/>
  <c r="CC1193" i="5"/>
  <c r="AR1193" i="5"/>
  <c r="CF1192" i="5"/>
  <c r="CE1192" i="5"/>
  <c r="CC1192" i="5"/>
  <c r="CD1192" i="5" s="1"/>
  <c r="AR1192" i="5"/>
  <c r="CF1191" i="5"/>
  <c r="CE1191" i="5"/>
  <c r="CC1191" i="5"/>
  <c r="AR1191" i="5"/>
  <c r="CF1190" i="5"/>
  <c r="CE1190" i="5"/>
  <c r="CC1190" i="5"/>
  <c r="AR1190" i="5"/>
  <c r="CF1189" i="5"/>
  <c r="CE1189" i="5"/>
  <c r="CC1189" i="5"/>
  <c r="AR1189" i="5"/>
  <c r="CF1188" i="5"/>
  <c r="CE1188" i="5"/>
  <c r="CC1188" i="5"/>
  <c r="CD1188" i="5" s="1"/>
  <c r="AR1188" i="5"/>
  <c r="CF1187" i="5"/>
  <c r="CE1187" i="5"/>
  <c r="CC1187" i="5"/>
  <c r="AR1187" i="5"/>
  <c r="CF1186" i="5"/>
  <c r="CE1186" i="5"/>
  <c r="CC1186" i="5"/>
  <c r="AR1186" i="5"/>
  <c r="CF1185" i="5"/>
  <c r="CE1185" i="5"/>
  <c r="CC1185" i="5"/>
  <c r="AR1185" i="5"/>
  <c r="CF1184" i="5"/>
  <c r="CE1184" i="5"/>
  <c r="CC1184" i="5"/>
  <c r="CD1184" i="5" s="1"/>
  <c r="AR1184" i="5"/>
  <c r="CF1183" i="5"/>
  <c r="CE1183" i="5"/>
  <c r="CC1183" i="5"/>
  <c r="AR1183" i="5"/>
  <c r="CF1182" i="5"/>
  <c r="CE1182" i="5"/>
  <c r="CC1182" i="5"/>
  <c r="AR1182" i="5"/>
  <c r="CF1181" i="5"/>
  <c r="CE1181" i="5"/>
  <c r="CC1181" i="5"/>
  <c r="AR1181" i="5"/>
  <c r="CF1180" i="5"/>
  <c r="CE1180" i="5"/>
  <c r="CC1180" i="5"/>
  <c r="AR1180" i="5"/>
  <c r="CF1179" i="5"/>
  <c r="CE1179" i="5"/>
  <c r="CC1179" i="5"/>
  <c r="CD1179" i="5" s="1"/>
  <c r="AR1179" i="5"/>
  <c r="CF1178" i="5"/>
  <c r="CE1178" i="5"/>
  <c r="CC1178" i="5"/>
  <c r="AR1178" i="5"/>
  <c r="CF1177" i="5"/>
  <c r="CE1177" i="5"/>
  <c r="CC1177" i="5"/>
  <c r="CD1177" i="5" s="1"/>
  <c r="AR1177" i="5"/>
  <c r="CF1176" i="5"/>
  <c r="CE1176" i="5"/>
  <c r="CD1176" i="5"/>
  <c r="CC1176" i="5"/>
  <c r="AR1176" i="5"/>
  <c r="CF1175" i="5"/>
  <c r="CE1175" i="5"/>
  <c r="CC1175" i="5"/>
  <c r="AR1175" i="5"/>
  <c r="CF1174" i="5"/>
  <c r="CE1174" i="5"/>
  <c r="CC1174" i="5"/>
  <c r="AR1174" i="5"/>
  <c r="CF1173" i="5"/>
  <c r="CE1173" i="5"/>
  <c r="CC1173" i="5"/>
  <c r="AR1173" i="5"/>
  <c r="CF1172" i="5"/>
  <c r="CE1172" i="5"/>
  <c r="CC1172" i="5"/>
  <c r="CD1172" i="5" s="1"/>
  <c r="AR1172" i="5"/>
  <c r="CB1171" i="5"/>
  <c r="CA1171" i="5"/>
  <c r="BZ1171" i="5"/>
  <c r="BY1171" i="5"/>
  <c r="BX1171" i="5"/>
  <c r="BW1171" i="5"/>
  <c r="BV1171" i="5"/>
  <c r="BU1171" i="5"/>
  <c r="BT1171" i="5"/>
  <c r="BS1171" i="5"/>
  <c r="BR1171" i="5"/>
  <c r="BQ1171" i="5"/>
  <c r="BP1171" i="5"/>
  <c r="BO1171" i="5"/>
  <c r="BN1171" i="5"/>
  <c r="BM1171" i="5"/>
  <c r="BL1171" i="5"/>
  <c r="BK1171" i="5"/>
  <c r="BJ1171" i="5"/>
  <c r="BI1171" i="5"/>
  <c r="BH1171" i="5"/>
  <c r="BG1171" i="5"/>
  <c r="BF1171" i="5"/>
  <c r="BE1171" i="5"/>
  <c r="BD1171" i="5"/>
  <c r="BC1171" i="5"/>
  <c r="BB1171" i="5"/>
  <c r="BA1171" i="5"/>
  <c r="AZ1171" i="5"/>
  <c r="AY1171" i="5"/>
  <c r="AX1171" i="5"/>
  <c r="AW1171" i="5"/>
  <c r="AV1171" i="5"/>
  <c r="AU1171" i="5"/>
  <c r="AT1171" i="5"/>
  <c r="AS1171" i="5"/>
  <c r="AQ1171" i="5"/>
  <c r="AP1171" i="5"/>
  <c r="AO1171" i="5"/>
  <c r="AM1171" i="5"/>
  <c r="AL1171" i="5"/>
  <c r="AK1171" i="5"/>
  <c r="AJ1171" i="5"/>
  <c r="AI1171" i="5"/>
  <c r="AH1171" i="5"/>
  <c r="AG1171" i="5"/>
  <c r="AF1171" i="5"/>
  <c r="AE1171" i="5"/>
  <c r="AD1171" i="5"/>
  <c r="AC1171" i="5"/>
  <c r="AB1171" i="5"/>
  <c r="AA1171" i="5"/>
  <c r="Z1171" i="5"/>
  <c r="Y1171" i="5"/>
  <c r="X1171" i="5"/>
  <c r="W1171" i="5"/>
  <c r="V1171" i="5"/>
  <c r="U1171" i="5"/>
  <c r="T1171" i="5"/>
  <c r="S1171" i="5"/>
  <c r="R1171" i="5"/>
  <c r="Q1171" i="5"/>
  <c r="P1171" i="5"/>
  <c r="O1171" i="5"/>
  <c r="N1171" i="5"/>
  <c r="M1171" i="5"/>
  <c r="L1171" i="5"/>
  <c r="K1171" i="5"/>
  <c r="J1171" i="5"/>
  <c r="I1171" i="5"/>
  <c r="H1171" i="5"/>
  <c r="G1171" i="5"/>
  <c r="CF1170" i="5"/>
  <c r="CE1170" i="5"/>
  <c r="CC1170" i="5"/>
  <c r="CC1171" i="5" s="1"/>
  <c r="AR1170" i="5"/>
  <c r="AR1171" i="5" s="1"/>
  <c r="CH1169" i="5"/>
  <c r="CG1169" i="5"/>
  <c r="CF1169" i="5"/>
  <c r="CD1169" i="5"/>
  <c r="CC1169" i="5"/>
  <c r="CB1169" i="5"/>
  <c r="CA1169" i="5"/>
  <c r="BZ1169" i="5"/>
  <c r="BY1169" i="5"/>
  <c r="BX1169" i="5"/>
  <c r="BW1169" i="5"/>
  <c r="BV1169" i="5"/>
  <c r="BU1169" i="5"/>
  <c r="BT1169" i="5"/>
  <c r="BS1169" i="5"/>
  <c r="BR1169" i="5"/>
  <c r="BQ1169" i="5"/>
  <c r="BP1169" i="5"/>
  <c r="BO1169" i="5"/>
  <c r="BN1169" i="5"/>
  <c r="BM1169" i="5"/>
  <c r="BL1169" i="5"/>
  <c r="BK1169" i="5"/>
  <c r="BJ1169" i="5"/>
  <c r="BI1169" i="5"/>
  <c r="BH1169" i="5"/>
  <c r="BG1169" i="5"/>
  <c r="BF1169" i="5"/>
  <c r="BE1169" i="5"/>
  <c r="BD1169" i="5"/>
  <c r="BC1169" i="5"/>
  <c r="BB1169" i="5"/>
  <c r="BA1169" i="5"/>
  <c r="AZ1169" i="5"/>
  <c r="AY1169" i="5"/>
  <c r="AX1169" i="5"/>
  <c r="AW1169" i="5"/>
  <c r="AV1169" i="5"/>
  <c r="AU1169" i="5"/>
  <c r="AT1169" i="5"/>
  <c r="AS1169" i="5"/>
  <c r="AR1169" i="5"/>
  <c r="AQ1169" i="5"/>
  <c r="AP1169" i="5"/>
  <c r="AO1169" i="5"/>
  <c r="AM1169" i="5"/>
  <c r="AL1169" i="5"/>
  <c r="AK1169" i="5"/>
  <c r="AJ1169" i="5"/>
  <c r="AI1169" i="5"/>
  <c r="AH1169" i="5"/>
  <c r="AG1169" i="5"/>
  <c r="AF1169" i="5"/>
  <c r="AE1169" i="5"/>
  <c r="AD1169" i="5"/>
  <c r="AC1169" i="5"/>
  <c r="AB1169" i="5"/>
  <c r="AA1169" i="5"/>
  <c r="Z1169" i="5"/>
  <c r="Y1169" i="5"/>
  <c r="X1169" i="5"/>
  <c r="W1169" i="5"/>
  <c r="V1169" i="5"/>
  <c r="U1169" i="5"/>
  <c r="T1169" i="5"/>
  <c r="S1169" i="5"/>
  <c r="R1169" i="5"/>
  <c r="Q1169" i="5"/>
  <c r="P1169" i="5"/>
  <c r="O1169" i="5"/>
  <c r="N1169" i="5"/>
  <c r="M1169" i="5"/>
  <c r="L1169" i="5"/>
  <c r="K1169" i="5"/>
  <c r="J1169" i="5"/>
  <c r="I1169" i="5"/>
  <c r="H1169" i="5"/>
  <c r="G1169" i="5"/>
  <c r="CH1167" i="5"/>
  <c r="CG1167" i="5"/>
  <c r="CB1167" i="5"/>
  <c r="CA1167" i="5"/>
  <c r="BZ1167" i="5"/>
  <c r="BY1167" i="5"/>
  <c r="BX1167" i="5"/>
  <c r="BW1167" i="5"/>
  <c r="BV1167" i="5"/>
  <c r="BU1167" i="5"/>
  <c r="BT1167" i="5"/>
  <c r="BS1167" i="5"/>
  <c r="BR1167" i="5"/>
  <c r="BQ1167" i="5"/>
  <c r="BP1167" i="5"/>
  <c r="BO1167" i="5"/>
  <c r="BN1167" i="5"/>
  <c r="BM1167" i="5"/>
  <c r="BL1167" i="5"/>
  <c r="BK1167" i="5"/>
  <c r="BJ1167" i="5"/>
  <c r="BI1167" i="5"/>
  <c r="BH1167" i="5"/>
  <c r="BG1167" i="5"/>
  <c r="BF1167" i="5"/>
  <c r="BE1167" i="5"/>
  <c r="BD1167" i="5"/>
  <c r="BC1167" i="5"/>
  <c r="BB1167" i="5"/>
  <c r="BA1167" i="5"/>
  <c r="AZ1167" i="5"/>
  <c r="AY1167" i="5"/>
  <c r="AX1167" i="5"/>
  <c r="AW1167" i="5"/>
  <c r="AV1167" i="5"/>
  <c r="AS1167" i="5"/>
  <c r="AQ1167" i="5"/>
  <c r="AP1167" i="5"/>
  <c r="AO1167" i="5"/>
  <c r="AM1167" i="5"/>
  <c r="AL1167" i="5"/>
  <c r="AK1167" i="5"/>
  <c r="AJ1167" i="5"/>
  <c r="AI1167" i="5"/>
  <c r="AH1167" i="5"/>
  <c r="AG1167" i="5"/>
  <c r="AF1167" i="5"/>
  <c r="AE1167" i="5"/>
  <c r="AD1167" i="5"/>
  <c r="AC1167" i="5"/>
  <c r="AB1167" i="5"/>
  <c r="AA1167" i="5"/>
  <c r="Z1167" i="5"/>
  <c r="Y1167" i="5"/>
  <c r="X1167" i="5"/>
  <c r="W1167" i="5"/>
  <c r="V1167" i="5"/>
  <c r="U1167" i="5"/>
  <c r="T1167" i="5"/>
  <c r="S1167" i="5"/>
  <c r="R1167" i="5"/>
  <c r="Q1167" i="5"/>
  <c r="P1167" i="5"/>
  <c r="O1167" i="5"/>
  <c r="N1167" i="5"/>
  <c r="M1167" i="5"/>
  <c r="L1167" i="5"/>
  <c r="K1167" i="5"/>
  <c r="J1167" i="5"/>
  <c r="I1167" i="5"/>
  <c r="H1167" i="5"/>
  <c r="G1167" i="5"/>
  <c r="CF1166" i="5"/>
  <c r="CE1166" i="5"/>
  <c r="CC1166" i="5"/>
  <c r="AR1166" i="5"/>
  <c r="CF1165" i="5"/>
  <c r="CE1165" i="5"/>
  <c r="CC1165" i="5"/>
  <c r="AR1165" i="5"/>
  <c r="CF1164" i="5"/>
  <c r="CE1164" i="5"/>
  <c r="CC1164" i="5"/>
  <c r="AR1164" i="5"/>
  <c r="CF1163" i="5"/>
  <c r="CE1163" i="5"/>
  <c r="CC1163" i="5"/>
  <c r="AR1163" i="5"/>
  <c r="CD1163" i="5" s="1"/>
  <c r="CF1162" i="5"/>
  <c r="CE1162" i="5"/>
  <c r="CC1162" i="5"/>
  <c r="AR1162" i="5"/>
  <c r="CF1161" i="5"/>
  <c r="CE1161" i="5"/>
  <c r="CC1161" i="5"/>
  <c r="AR1161" i="5"/>
  <c r="CF1160" i="5"/>
  <c r="CE1160" i="5"/>
  <c r="CC1160" i="5"/>
  <c r="AR1160" i="5"/>
  <c r="CF1159" i="5"/>
  <c r="CE1159" i="5"/>
  <c r="CC1159" i="5"/>
  <c r="AR1159" i="5"/>
  <c r="CF1158" i="5"/>
  <c r="CE1158" i="5"/>
  <c r="AT1158" i="5"/>
  <c r="AR1158" i="5"/>
  <c r="CF1157" i="5"/>
  <c r="CE1157" i="5"/>
  <c r="CC1157" i="5"/>
  <c r="AR1157" i="5"/>
  <c r="CF1156" i="5"/>
  <c r="CE1156" i="5"/>
  <c r="CC1156" i="5"/>
  <c r="AR1156" i="5"/>
  <c r="CF1155" i="5"/>
  <c r="CE1155" i="5"/>
  <c r="CC1155" i="5"/>
  <c r="AR1155" i="5"/>
  <c r="CF1154" i="5"/>
  <c r="CE1154" i="5"/>
  <c r="CC1154" i="5"/>
  <c r="AR1154" i="5"/>
  <c r="CF1153" i="5"/>
  <c r="CE1153" i="5"/>
  <c r="CC1153" i="5"/>
  <c r="AR1153" i="5"/>
  <c r="CF1152" i="5"/>
  <c r="CE1152" i="5"/>
  <c r="CC1152" i="5"/>
  <c r="CD1152" i="5" s="1"/>
  <c r="AR1152" i="5"/>
  <c r="CF1151" i="5"/>
  <c r="CE1151" i="5"/>
  <c r="CC1151" i="5"/>
  <c r="AR1151" i="5"/>
  <c r="CF1150" i="5"/>
  <c r="CE1150" i="5"/>
  <c r="CC1150" i="5"/>
  <c r="AR1150" i="5"/>
  <c r="CF1149" i="5"/>
  <c r="CE1149" i="5"/>
  <c r="CC1149" i="5"/>
  <c r="CD1149" i="5" s="1"/>
  <c r="AR1149" i="5"/>
  <c r="CF1148" i="5"/>
  <c r="CE1148" i="5"/>
  <c r="CC1148" i="5"/>
  <c r="AR1148" i="5"/>
  <c r="CF1147" i="5"/>
  <c r="CE1147" i="5"/>
  <c r="CC1147" i="5"/>
  <c r="AR1147" i="5"/>
  <c r="CF1146" i="5"/>
  <c r="CE1146" i="5"/>
  <c r="CC1146" i="5"/>
  <c r="AR1146" i="5"/>
  <c r="CF1145" i="5"/>
  <c r="CE1145" i="5"/>
  <c r="CC1145" i="5"/>
  <c r="CD1145" i="5" s="1"/>
  <c r="AR1145" i="5"/>
  <c r="CF1144" i="5"/>
  <c r="CE1144" i="5"/>
  <c r="CD1144" i="5"/>
  <c r="CC1144" i="5"/>
  <c r="AR1144" i="5"/>
  <c r="CF1143" i="5"/>
  <c r="CE1143" i="5"/>
  <c r="CC1143" i="5"/>
  <c r="AR1143" i="5"/>
  <c r="CF1142" i="5"/>
  <c r="CE1142" i="5"/>
  <c r="CC1142" i="5"/>
  <c r="AR1142" i="5"/>
  <c r="CF1141" i="5"/>
  <c r="CE1141" i="5"/>
  <c r="CC1141" i="5"/>
  <c r="AR1141" i="5"/>
  <c r="CF1140" i="5"/>
  <c r="CE1140" i="5"/>
  <c r="CC1140" i="5"/>
  <c r="AR1140" i="5"/>
  <c r="CF1139" i="5"/>
  <c r="CE1139" i="5"/>
  <c r="CC1139" i="5"/>
  <c r="AR1139" i="5"/>
  <c r="CF1138" i="5"/>
  <c r="CE1138" i="5"/>
  <c r="CC1138" i="5"/>
  <c r="AR1138" i="5"/>
  <c r="CF1137" i="5"/>
  <c r="CE1137" i="5"/>
  <c r="CC1137" i="5"/>
  <c r="AR1137" i="5"/>
  <c r="CF1136" i="5"/>
  <c r="CE1136" i="5"/>
  <c r="CC1136" i="5"/>
  <c r="AR1136" i="5"/>
  <c r="CD1136" i="5" s="1"/>
  <c r="CF1135" i="5"/>
  <c r="CE1135" i="5"/>
  <c r="CC1135" i="5"/>
  <c r="AR1135" i="5"/>
  <c r="CF1134" i="5"/>
  <c r="CE1134" i="5"/>
  <c r="CC1134" i="5"/>
  <c r="AR1134" i="5"/>
  <c r="CF1133" i="5"/>
  <c r="CE1133" i="5"/>
  <c r="CC1133" i="5"/>
  <c r="AR1133" i="5"/>
  <c r="CD1133" i="5" s="1"/>
  <c r="CF1132" i="5"/>
  <c r="CE1132" i="5"/>
  <c r="CC1132" i="5"/>
  <c r="AR1132" i="5"/>
  <c r="CF1131" i="5"/>
  <c r="CE1131" i="5"/>
  <c r="CC1131" i="5"/>
  <c r="AR1131" i="5"/>
  <c r="CF1130" i="5"/>
  <c r="CE1130" i="5"/>
  <c r="AT1130" i="5"/>
  <c r="CC1130" i="5" s="1"/>
  <c r="AR1130" i="5"/>
  <c r="CF1129" i="5"/>
  <c r="CE1129" i="5"/>
  <c r="CC1129" i="5"/>
  <c r="AR1129" i="5"/>
  <c r="CF1128" i="5"/>
  <c r="CE1128" i="5"/>
  <c r="CC1128" i="5"/>
  <c r="AR1128" i="5"/>
  <c r="CF1127" i="5"/>
  <c r="CE1127" i="5"/>
  <c r="CC1127" i="5"/>
  <c r="AR1127" i="5"/>
  <c r="CF1126" i="5"/>
  <c r="CE1126" i="5"/>
  <c r="CC1126" i="5"/>
  <c r="AR1126" i="5"/>
  <c r="CF1125" i="5"/>
  <c r="CE1125" i="5"/>
  <c r="CC1125" i="5"/>
  <c r="AR1125" i="5"/>
  <c r="CF1124" i="5"/>
  <c r="CE1124" i="5"/>
  <c r="CC1124" i="5"/>
  <c r="AR1124" i="5"/>
  <c r="CF1123" i="5"/>
  <c r="CE1123" i="5"/>
  <c r="CC1123" i="5"/>
  <c r="AR1123" i="5"/>
  <c r="CF1122" i="5"/>
  <c r="CE1122" i="5"/>
  <c r="CC1122" i="5"/>
  <c r="AR1122" i="5"/>
  <c r="CF1121" i="5"/>
  <c r="CE1121" i="5"/>
  <c r="CC1121" i="5"/>
  <c r="CD1121" i="5" s="1"/>
  <c r="AR1121" i="5"/>
  <c r="CF1120" i="5"/>
  <c r="CE1120" i="5"/>
  <c r="CC1120" i="5"/>
  <c r="AR1120" i="5"/>
  <c r="CF1119" i="5"/>
  <c r="CE1119" i="5"/>
  <c r="CC1119" i="5"/>
  <c r="AR1119" i="5"/>
  <c r="CF1118" i="5"/>
  <c r="CE1118" i="5"/>
  <c r="CC1118" i="5"/>
  <c r="AR1118" i="5"/>
  <c r="CF1117" i="5"/>
  <c r="CE1117" i="5"/>
  <c r="CC1117" i="5"/>
  <c r="AR1117" i="5"/>
  <c r="CF1116" i="5"/>
  <c r="CE1116" i="5"/>
  <c r="CC1116" i="5"/>
  <c r="AR1116" i="5"/>
  <c r="CF1115" i="5"/>
  <c r="CE1115" i="5"/>
  <c r="CC1115" i="5"/>
  <c r="AR1115" i="5"/>
  <c r="CF1114" i="5"/>
  <c r="CE1114" i="5"/>
  <c r="CC1114" i="5"/>
  <c r="AR1114" i="5"/>
  <c r="CF1113" i="5"/>
  <c r="CE1113" i="5"/>
  <c r="CC1113" i="5"/>
  <c r="AR1113" i="5"/>
  <c r="E1113" i="5"/>
  <c r="CF1112" i="5"/>
  <c r="CE1112" i="5"/>
  <c r="CC1112" i="5"/>
  <c r="AR1112" i="5"/>
  <c r="CF1111" i="5"/>
  <c r="CE1111" i="5"/>
  <c r="CC1111" i="5"/>
  <c r="AR1111" i="5"/>
  <c r="CF1110" i="5"/>
  <c r="CE1110" i="5"/>
  <c r="CC1110" i="5"/>
  <c r="AR1110" i="5"/>
  <c r="CF1109" i="5"/>
  <c r="CE1109" i="5"/>
  <c r="CC1109" i="5"/>
  <c r="AR1109" i="5"/>
  <c r="CD1109" i="5" s="1"/>
  <c r="CF1108" i="5"/>
  <c r="CE1108" i="5"/>
  <c r="CC1108" i="5"/>
  <c r="AR1108" i="5"/>
  <c r="CF1107" i="5"/>
  <c r="CE1107" i="5"/>
  <c r="CC1107" i="5"/>
  <c r="AR1107" i="5"/>
  <c r="CF1106" i="5"/>
  <c r="CE1106" i="5"/>
  <c r="CC1106" i="5"/>
  <c r="AR1106" i="5"/>
  <c r="CF1105" i="5"/>
  <c r="CE1105" i="5"/>
  <c r="CC1105" i="5"/>
  <c r="AR1105" i="5"/>
  <c r="CD1105" i="5" s="1"/>
  <c r="CF1104" i="5"/>
  <c r="CE1104" i="5"/>
  <c r="CC1104" i="5"/>
  <c r="AR1104" i="5"/>
  <c r="CF1103" i="5"/>
  <c r="CE1103" i="5"/>
  <c r="CC1103" i="5"/>
  <c r="AR1103" i="5"/>
  <c r="CF1102" i="5"/>
  <c r="CE1102" i="5"/>
  <c r="CC1102" i="5"/>
  <c r="AR1102" i="5"/>
  <c r="CF1101" i="5"/>
  <c r="CE1101" i="5"/>
  <c r="CC1101" i="5"/>
  <c r="AR1101" i="5"/>
  <c r="CF1100" i="5"/>
  <c r="CE1100" i="5"/>
  <c r="CC1100" i="5"/>
  <c r="AR1100" i="5"/>
  <c r="E1100" i="5"/>
  <c r="E1101" i="5" s="1"/>
  <c r="E1102" i="5" s="1"/>
  <c r="CF1099" i="5"/>
  <c r="CE1099" i="5"/>
  <c r="CC1099" i="5"/>
  <c r="AR1099" i="5"/>
  <c r="CF1098" i="5"/>
  <c r="CE1098" i="5"/>
  <c r="CC1098" i="5"/>
  <c r="AR1098" i="5"/>
  <c r="CF1097" i="5"/>
  <c r="CE1097" i="5"/>
  <c r="CC1097" i="5"/>
  <c r="CD1097" i="5" s="1"/>
  <c r="AR1097" i="5"/>
  <c r="CF1096" i="5"/>
  <c r="CE1096" i="5"/>
  <c r="CC1096" i="5"/>
  <c r="CD1096" i="5" s="1"/>
  <c r="AR1096" i="5"/>
  <c r="CF1095" i="5"/>
  <c r="CE1095" i="5"/>
  <c r="CC1095" i="5"/>
  <c r="CD1095" i="5" s="1"/>
  <c r="AR1095" i="5"/>
  <c r="CF1094" i="5"/>
  <c r="CE1094" i="5"/>
  <c r="CC1094" i="5"/>
  <c r="AR1094" i="5"/>
  <c r="CF1093" i="5"/>
  <c r="CE1093" i="5"/>
  <c r="CC1093" i="5"/>
  <c r="AR1093" i="5"/>
  <c r="E1093" i="5"/>
  <c r="CF1092" i="5"/>
  <c r="CE1092" i="5"/>
  <c r="CC1092" i="5"/>
  <c r="AR1092" i="5"/>
  <c r="CF1091" i="5"/>
  <c r="CE1091" i="5"/>
  <c r="CC1091" i="5"/>
  <c r="AR1091" i="5"/>
  <c r="CF1090" i="5"/>
  <c r="CE1090" i="5"/>
  <c r="CC1090" i="5"/>
  <c r="AR1090" i="5"/>
  <c r="CF1089" i="5"/>
  <c r="CE1089" i="5"/>
  <c r="AT1089" i="5"/>
  <c r="AU1089" i="5" s="1"/>
  <c r="CC1089" i="5" s="1"/>
  <c r="AR1089" i="5"/>
  <c r="CF1088" i="5"/>
  <c r="CE1088" i="5"/>
  <c r="CC1088" i="5"/>
  <c r="AR1088" i="5"/>
  <c r="CF1087" i="5"/>
  <c r="CE1087" i="5"/>
  <c r="CC1087" i="5"/>
  <c r="CD1087" i="5" s="1"/>
  <c r="AR1087" i="5"/>
  <c r="CF1086" i="5"/>
  <c r="CE1086" i="5"/>
  <c r="CC1086" i="5"/>
  <c r="AR1086" i="5"/>
  <c r="CD1086" i="5" s="1"/>
  <c r="CF1085" i="5"/>
  <c r="CE1085" i="5"/>
  <c r="CC1085" i="5"/>
  <c r="AR1085" i="5"/>
  <c r="CF1084" i="5"/>
  <c r="CE1084" i="5"/>
  <c r="CC1084" i="5"/>
  <c r="AR1084" i="5"/>
  <c r="CF1083" i="5"/>
  <c r="CE1083" i="5"/>
  <c r="AU1083" i="5"/>
  <c r="AT1083" i="5"/>
  <c r="AR1083" i="5"/>
  <c r="CF1082" i="5"/>
  <c r="CE1082" i="5"/>
  <c r="CC1082" i="5"/>
  <c r="AR1082" i="5"/>
  <c r="CF1081" i="5"/>
  <c r="CE1081" i="5"/>
  <c r="CC1081" i="5"/>
  <c r="AR1081" i="5"/>
  <c r="CD1081" i="5" s="1"/>
  <c r="CF1080" i="5"/>
  <c r="CE1080" i="5"/>
  <c r="CC1080" i="5"/>
  <c r="AR1080" i="5"/>
  <c r="CD1080" i="5" s="1"/>
  <c r="CF1079" i="5"/>
  <c r="CE1079" i="5"/>
  <c r="CC1079" i="5"/>
  <c r="AR1079" i="5"/>
  <c r="CF1078" i="5"/>
  <c r="CE1078" i="5"/>
  <c r="CC1078" i="5"/>
  <c r="AR1078" i="5"/>
  <c r="CF1077" i="5"/>
  <c r="CE1077" i="5"/>
  <c r="CC1077" i="5"/>
  <c r="AR1077" i="5"/>
  <c r="E1077" i="5"/>
  <c r="E1078" i="5" s="1"/>
  <c r="E1079" i="5" s="1"/>
  <c r="E1080" i="5" s="1"/>
  <c r="E1083" i="5" s="1"/>
  <c r="E1084" i="5" s="1"/>
  <c r="E1085" i="5" s="1"/>
  <c r="E1095" i="5" s="1"/>
  <c r="CF1076" i="5"/>
  <c r="CE1076" i="5"/>
  <c r="CC1076" i="5"/>
  <c r="AR1076" i="5"/>
  <c r="CF1075" i="5"/>
  <c r="CE1075" i="5"/>
  <c r="CC1075" i="5"/>
  <c r="AR1075" i="5"/>
  <c r="CF1074" i="5"/>
  <c r="CE1074" i="5"/>
  <c r="AT1074" i="5"/>
  <c r="AR1074" i="5"/>
  <c r="CF1073" i="5"/>
  <c r="CE1073" i="5"/>
  <c r="CC1073" i="5"/>
  <c r="CD1073" i="5" s="1"/>
  <c r="AR1073" i="5"/>
  <c r="CF1072" i="5"/>
  <c r="CE1072" i="5"/>
  <c r="CC1072" i="5"/>
  <c r="AR1072" i="5"/>
  <c r="CF1071" i="5"/>
  <c r="CE1071" i="5"/>
  <c r="AT1071" i="5"/>
  <c r="AR1071" i="5"/>
  <c r="E1071" i="5"/>
  <c r="E1073" i="5" s="1"/>
  <c r="E1074" i="5" s="1"/>
  <c r="E1075" i="5" s="1"/>
  <c r="E1076" i="5" s="1"/>
  <c r="E1082" i="5" s="1"/>
  <c r="CF1070" i="5"/>
  <c r="CE1070" i="5"/>
  <c r="CC1070" i="5"/>
  <c r="CD1070" i="5" s="1"/>
  <c r="AR1070" i="5"/>
  <c r="E1070" i="5"/>
  <c r="E1072" i="5" s="1"/>
  <c r="CF1069" i="5"/>
  <c r="CE1069" i="5"/>
  <c r="CC1069" i="5"/>
  <c r="AR1069" i="5"/>
  <c r="CF1068" i="5"/>
  <c r="CE1068" i="5"/>
  <c r="CC1068" i="5"/>
  <c r="AR1068" i="5"/>
  <c r="CF1067" i="5"/>
  <c r="CE1067" i="5"/>
  <c r="CC1067" i="5"/>
  <c r="CD1067" i="5" s="1"/>
  <c r="AR1067" i="5"/>
  <c r="CF1066" i="5"/>
  <c r="CE1066" i="5"/>
  <c r="AT1066" i="5"/>
  <c r="CC1066" i="5" s="1"/>
  <c r="AR1066" i="5"/>
  <c r="CF1065" i="5"/>
  <c r="CE1065" i="5"/>
  <c r="CC1065" i="5"/>
  <c r="CD1065" i="5" s="1"/>
  <c r="AR1065" i="5"/>
  <c r="CF1064" i="5"/>
  <c r="CE1064" i="5"/>
  <c r="CC1064" i="5"/>
  <c r="AR1064" i="5"/>
  <c r="CF1063" i="5"/>
  <c r="CE1063" i="5"/>
  <c r="CC1063" i="5"/>
  <c r="AR1063" i="5"/>
  <c r="CF1062" i="5"/>
  <c r="CE1062" i="5"/>
  <c r="CC1062" i="5"/>
  <c r="AR1062" i="5"/>
  <c r="CF1061" i="5"/>
  <c r="CE1061" i="5"/>
  <c r="CC1061" i="5"/>
  <c r="AR1061" i="5"/>
  <c r="CF1060" i="5"/>
  <c r="CE1060" i="5"/>
  <c r="CC1060" i="5"/>
  <c r="AR1060" i="5"/>
  <c r="CF1059" i="5"/>
  <c r="CE1059" i="5"/>
  <c r="CC1059" i="5"/>
  <c r="AR1059" i="5"/>
  <c r="CF1058" i="5"/>
  <c r="CE1058" i="5"/>
  <c r="CC1058" i="5"/>
  <c r="AR1058" i="5"/>
  <c r="CF1057" i="5"/>
  <c r="CE1057" i="5"/>
  <c r="CC1057" i="5"/>
  <c r="AR1057" i="5"/>
  <c r="CF1056" i="5"/>
  <c r="CE1056" i="5"/>
  <c r="CC1056" i="5"/>
  <c r="AR1056" i="5"/>
  <c r="CF1055" i="5"/>
  <c r="CE1055" i="5"/>
  <c r="CC1055" i="5"/>
  <c r="AR1055" i="5"/>
  <c r="CF1054" i="5"/>
  <c r="CE1054" i="5"/>
  <c r="CC1054" i="5"/>
  <c r="AR1054" i="5"/>
  <c r="CF1053" i="5"/>
  <c r="CE1053" i="5"/>
  <c r="CC1053" i="5"/>
  <c r="AR1053" i="5"/>
  <c r="CF1052" i="5"/>
  <c r="CE1052" i="5"/>
  <c r="AT1052" i="5"/>
  <c r="CC1052" i="5" s="1"/>
  <c r="AR1052" i="5"/>
  <c r="CF1051" i="5"/>
  <c r="CE1051" i="5"/>
  <c r="CC1051" i="5"/>
  <c r="AR1051" i="5"/>
  <c r="CF1050" i="5"/>
  <c r="CE1050" i="5"/>
  <c r="CC1050" i="5"/>
  <c r="CD1050" i="5" s="1"/>
  <c r="AR1050" i="5"/>
  <c r="CF1049" i="5"/>
  <c r="CE1049" i="5"/>
  <c r="AT1049" i="5"/>
  <c r="CC1049" i="5" s="1"/>
  <c r="AR1049" i="5"/>
  <c r="CF1048" i="5"/>
  <c r="CE1048" i="5"/>
  <c r="CC1048" i="5"/>
  <c r="AR1048" i="5"/>
  <c r="CF1047" i="5"/>
  <c r="CE1047" i="5"/>
  <c r="CC1047" i="5"/>
  <c r="CD1047" i="5" s="1"/>
  <c r="AR1047" i="5"/>
  <c r="CF1046" i="5"/>
  <c r="CE1046" i="5"/>
  <c r="CC1046" i="5"/>
  <c r="AR1046" i="5"/>
  <c r="CF1045" i="5"/>
  <c r="CE1045" i="5"/>
  <c r="CC1045" i="5"/>
  <c r="AR1045" i="5"/>
  <c r="CF1044" i="5"/>
  <c r="CE1044" i="5"/>
  <c r="CC1044" i="5"/>
  <c r="AR1044" i="5"/>
  <c r="CF1043" i="5"/>
  <c r="CE1043" i="5"/>
  <c r="CC1043" i="5"/>
  <c r="CD1043" i="5" s="1"/>
  <c r="AR1043" i="5"/>
  <c r="CF1042" i="5"/>
  <c r="CE1042" i="5"/>
  <c r="CC1042" i="5"/>
  <c r="CD1042" i="5" s="1"/>
  <c r="AR1042" i="5"/>
  <c r="CF1041" i="5"/>
  <c r="CE1041" i="5"/>
  <c r="CC1041" i="5"/>
  <c r="AR1041" i="5"/>
  <c r="CF1040" i="5"/>
  <c r="CE1040" i="5"/>
  <c r="CC1040" i="5"/>
  <c r="AR1040" i="5"/>
  <c r="CF1039" i="5"/>
  <c r="CE1039" i="5"/>
  <c r="CC1039" i="5"/>
  <c r="CD1039" i="5" s="1"/>
  <c r="AR1039" i="5"/>
  <c r="CF1038" i="5"/>
  <c r="CE1038" i="5"/>
  <c r="CD1038" i="5"/>
  <c r="CC1038" i="5"/>
  <c r="AR1038" i="5"/>
  <c r="E1038" i="5"/>
  <c r="CF1037" i="5"/>
  <c r="CE1037" i="5"/>
  <c r="AT1037" i="5"/>
  <c r="CC1037" i="5" s="1"/>
  <c r="AR1037" i="5"/>
  <c r="CF1036" i="5"/>
  <c r="CE1036" i="5"/>
  <c r="CC1036" i="5"/>
  <c r="AR1036" i="5"/>
  <c r="CF1035" i="5"/>
  <c r="CE1035" i="5"/>
  <c r="CC1035" i="5"/>
  <c r="AR1035" i="5"/>
  <c r="CF1034" i="5"/>
  <c r="CE1034" i="5"/>
  <c r="CC1034" i="5"/>
  <c r="AR1034" i="5"/>
  <c r="CF1033" i="5"/>
  <c r="CE1033" i="5"/>
  <c r="CC1033" i="5"/>
  <c r="AR1033" i="5"/>
  <c r="CF1032" i="5"/>
  <c r="CE1032" i="5"/>
  <c r="CC1032" i="5"/>
  <c r="AR1032" i="5"/>
  <c r="CD1032" i="5" s="1"/>
  <c r="CF1031" i="5"/>
  <c r="CE1031" i="5"/>
  <c r="CC1031" i="5"/>
  <c r="AR1031" i="5"/>
  <c r="E1031" i="5"/>
  <c r="E1032" i="5" s="1"/>
  <c r="CF1030" i="5"/>
  <c r="CE1030" i="5"/>
  <c r="AT1030" i="5"/>
  <c r="CC1030" i="5" s="1"/>
  <c r="AR1030" i="5"/>
  <c r="CF1029" i="5"/>
  <c r="CE1029" i="5"/>
  <c r="CC1029" i="5"/>
  <c r="AR1029" i="5"/>
  <c r="CF1028" i="5"/>
  <c r="CE1028" i="5"/>
  <c r="CC1028" i="5"/>
  <c r="AR1028" i="5"/>
  <c r="CF1027" i="5"/>
  <c r="CE1027" i="5"/>
  <c r="CC1027" i="5"/>
  <c r="CD1027" i="5" s="1"/>
  <c r="AR1027" i="5"/>
  <c r="CF1026" i="5"/>
  <c r="CE1026" i="5"/>
  <c r="CC1026" i="5"/>
  <c r="AR1026" i="5"/>
  <c r="CF1025" i="5"/>
  <c r="CE1025" i="5"/>
  <c r="CC1025" i="5"/>
  <c r="AR1025" i="5"/>
  <c r="CF1024" i="5"/>
  <c r="CE1024" i="5"/>
  <c r="CC1024" i="5"/>
  <c r="AR1024" i="5"/>
  <c r="CF1023" i="5"/>
  <c r="CE1023" i="5"/>
  <c r="CC1023" i="5"/>
  <c r="AR1023" i="5"/>
  <c r="CF1022" i="5"/>
  <c r="CE1022" i="5"/>
  <c r="CC1022" i="5"/>
  <c r="AR1022" i="5"/>
  <c r="CF1021" i="5"/>
  <c r="CE1021" i="5"/>
  <c r="CC1021" i="5"/>
  <c r="AR1021" i="5"/>
  <c r="CF1020" i="5"/>
  <c r="CE1020" i="5"/>
  <c r="CC1020" i="5"/>
  <c r="AR1020" i="5"/>
  <c r="CF1019" i="5"/>
  <c r="CE1019" i="5"/>
  <c r="CC1019" i="5"/>
  <c r="AR1019" i="5"/>
  <c r="CF1018" i="5"/>
  <c r="CE1018" i="5"/>
  <c r="CC1018" i="5"/>
  <c r="AR1018" i="5"/>
  <c r="CF1017" i="5"/>
  <c r="CE1017" i="5"/>
  <c r="CC1017" i="5"/>
  <c r="AR1017" i="5"/>
  <c r="CF1016" i="5"/>
  <c r="CE1016" i="5"/>
  <c r="CC1016" i="5"/>
  <c r="AR1016" i="5"/>
  <c r="CF1015" i="5"/>
  <c r="CE1015" i="5"/>
  <c r="AU1015" i="5"/>
  <c r="AR1015" i="5"/>
  <c r="CF1014" i="5"/>
  <c r="CE1014" i="5"/>
  <c r="CC1014" i="5"/>
  <c r="AR1014" i="5"/>
  <c r="CF1013" i="5"/>
  <c r="CE1013" i="5"/>
  <c r="CC1013" i="5"/>
  <c r="CD1013" i="5" s="1"/>
  <c r="AR1013" i="5"/>
  <c r="CG1012" i="5"/>
  <c r="CB1012" i="5"/>
  <c r="CA1012" i="5"/>
  <c r="BZ1012" i="5"/>
  <c r="BY1012" i="5"/>
  <c r="BX1012" i="5"/>
  <c r="BW1012" i="5"/>
  <c r="BV1012" i="5"/>
  <c r="BU1012" i="5"/>
  <c r="BT1012" i="5"/>
  <c r="BS1012" i="5"/>
  <c r="BR1012" i="5"/>
  <c r="BQ1012" i="5"/>
  <c r="BP1012" i="5"/>
  <c r="BO1012" i="5"/>
  <c r="BN1012" i="5"/>
  <c r="BM1012" i="5"/>
  <c r="BL1012" i="5"/>
  <c r="BK1012" i="5"/>
  <c r="BJ1012" i="5"/>
  <c r="BI1012" i="5"/>
  <c r="BG1012" i="5"/>
  <c r="BF1012" i="5"/>
  <c r="BE1012" i="5"/>
  <c r="BD1012" i="5"/>
  <c r="BC1012" i="5"/>
  <c r="BB1012" i="5"/>
  <c r="BA1012" i="5"/>
  <c r="AZ1012" i="5"/>
  <c r="AY1012" i="5"/>
  <c r="AX1012" i="5"/>
  <c r="AW1012" i="5"/>
  <c r="AV1012" i="5"/>
  <c r="AS1012" i="5"/>
  <c r="AQ1012" i="5"/>
  <c r="AP1012" i="5"/>
  <c r="AO1012" i="5"/>
  <c r="AM1012" i="5"/>
  <c r="AL1012" i="5"/>
  <c r="AK1012" i="5"/>
  <c r="AJ1012" i="5"/>
  <c r="AI1012" i="5"/>
  <c r="AH1012" i="5"/>
  <c r="AG1012" i="5"/>
  <c r="AF1012" i="5"/>
  <c r="AE1012" i="5"/>
  <c r="AD1012" i="5"/>
  <c r="AC1012" i="5"/>
  <c r="AB1012" i="5"/>
  <c r="AA1012" i="5"/>
  <c r="Z1012" i="5"/>
  <c r="Y1012" i="5"/>
  <c r="X1012" i="5"/>
  <c r="W1012" i="5"/>
  <c r="V1012" i="5"/>
  <c r="U1012" i="5"/>
  <c r="T1012" i="5"/>
  <c r="S1012" i="5"/>
  <c r="R1012" i="5"/>
  <c r="Q1012" i="5"/>
  <c r="P1012" i="5"/>
  <c r="O1012" i="5"/>
  <c r="N1012" i="5"/>
  <c r="M1012" i="5"/>
  <c r="L1012" i="5"/>
  <c r="K1012" i="5"/>
  <c r="J1012" i="5"/>
  <c r="I1012" i="5"/>
  <c r="H1012" i="5"/>
  <c r="G1012" i="5"/>
  <c r="CF1011" i="5"/>
  <c r="CE1011" i="5"/>
  <c r="CC1011" i="5"/>
  <c r="AR1011" i="5"/>
  <c r="CF1010" i="5"/>
  <c r="CE1010" i="5"/>
  <c r="CC1010" i="5"/>
  <c r="AR1010" i="5"/>
  <c r="CF1009" i="5"/>
  <c r="CE1009" i="5"/>
  <c r="CC1009" i="5"/>
  <c r="AR1009" i="5"/>
  <c r="CF1008" i="5"/>
  <c r="CE1008" i="5"/>
  <c r="CC1008" i="5"/>
  <c r="AR1008" i="5"/>
  <c r="CF1007" i="5"/>
  <c r="CE1007" i="5"/>
  <c r="CC1007" i="5"/>
  <c r="AR1007" i="5"/>
  <c r="CF1006" i="5"/>
  <c r="CE1006" i="5"/>
  <c r="CC1006" i="5"/>
  <c r="AR1006" i="5"/>
  <c r="CF1005" i="5"/>
  <c r="CE1005" i="5"/>
  <c r="CC1005" i="5"/>
  <c r="AR1005" i="5"/>
  <c r="CF1004" i="5"/>
  <c r="CE1004" i="5"/>
  <c r="CC1004" i="5"/>
  <c r="AR1004" i="5"/>
  <c r="CF1003" i="5"/>
  <c r="CE1003" i="5"/>
  <c r="BH1003" i="5"/>
  <c r="AR1003" i="5"/>
  <c r="CF1002" i="5"/>
  <c r="CE1002" i="5"/>
  <c r="CC1002" i="5"/>
  <c r="AR1002" i="5"/>
  <c r="CF1001" i="5"/>
  <c r="CE1001" i="5"/>
  <c r="CC1001" i="5"/>
  <c r="AR1001" i="5"/>
  <c r="CF1000" i="5"/>
  <c r="CE1000" i="5"/>
  <c r="CC1000" i="5"/>
  <c r="AR1000" i="5"/>
  <c r="CF999" i="5"/>
  <c r="CE999" i="5"/>
  <c r="CC999" i="5"/>
  <c r="AR999" i="5"/>
  <c r="CF998" i="5"/>
  <c r="CE998" i="5"/>
  <c r="CC998" i="5"/>
  <c r="AR998" i="5"/>
  <c r="CF997" i="5"/>
  <c r="CE997" i="5"/>
  <c r="CC997" i="5"/>
  <c r="CD997" i="5" s="1"/>
  <c r="AR997" i="5"/>
  <c r="CF996" i="5"/>
  <c r="CE996" i="5"/>
  <c r="CC996" i="5"/>
  <c r="AR996" i="5"/>
  <c r="CF995" i="5"/>
  <c r="CE995" i="5"/>
  <c r="CC995" i="5"/>
  <c r="AR995" i="5"/>
  <c r="CF994" i="5"/>
  <c r="CE994" i="5"/>
  <c r="CC994" i="5"/>
  <c r="AR994" i="5"/>
  <c r="CF993" i="5"/>
  <c r="CE993" i="5"/>
  <c r="CC993" i="5"/>
  <c r="CD993" i="5" s="1"/>
  <c r="AR993" i="5"/>
  <c r="CF992" i="5"/>
  <c r="CE992" i="5"/>
  <c r="CC992" i="5"/>
  <c r="CD992" i="5" s="1"/>
  <c r="AR992" i="5"/>
  <c r="CF991" i="5"/>
  <c r="CE991" i="5"/>
  <c r="CC991" i="5"/>
  <c r="CD991" i="5" s="1"/>
  <c r="AR991" i="5"/>
  <c r="E991" i="5"/>
  <c r="CF990" i="5"/>
  <c r="CE990" i="5"/>
  <c r="CC990" i="5"/>
  <c r="AR990" i="5"/>
  <c r="CF989" i="5"/>
  <c r="CE989" i="5"/>
  <c r="CC989" i="5"/>
  <c r="AR989" i="5"/>
  <c r="CF988" i="5"/>
  <c r="CE988" i="5"/>
  <c r="CC988" i="5"/>
  <c r="AR988" i="5"/>
  <c r="CF987" i="5"/>
  <c r="CE987" i="5"/>
  <c r="CC987" i="5"/>
  <c r="AR987" i="5"/>
  <c r="CF986" i="5"/>
  <c r="CE986" i="5"/>
  <c r="CC986" i="5"/>
  <c r="AR986" i="5"/>
  <c r="CF985" i="5"/>
  <c r="CE985" i="5"/>
  <c r="CC985" i="5"/>
  <c r="AR985" i="5"/>
  <c r="CF984" i="5"/>
  <c r="CE984" i="5"/>
  <c r="CC984" i="5"/>
  <c r="AR984" i="5"/>
  <c r="CF983" i="5"/>
  <c r="CE983" i="5"/>
  <c r="CC983" i="5"/>
  <c r="AR983" i="5"/>
  <c r="CF982" i="5"/>
  <c r="CE982" i="5"/>
  <c r="CC982" i="5"/>
  <c r="AR982" i="5"/>
  <c r="CF981" i="5"/>
  <c r="CE981" i="5"/>
  <c r="CC981" i="5"/>
  <c r="AR981" i="5"/>
  <c r="CF980" i="5"/>
  <c r="CE980" i="5"/>
  <c r="CC980" i="5"/>
  <c r="AR980" i="5"/>
  <c r="CF979" i="5"/>
  <c r="CE979" i="5"/>
  <c r="CC979" i="5"/>
  <c r="AR979" i="5"/>
  <c r="CF978" i="5"/>
  <c r="CE978" i="5"/>
  <c r="CC978" i="5"/>
  <c r="AR978" i="5"/>
  <c r="CF977" i="5"/>
  <c r="CE977" i="5"/>
  <c r="CC977" i="5"/>
  <c r="AR977" i="5"/>
  <c r="CF976" i="5"/>
  <c r="CE976" i="5"/>
  <c r="CC976" i="5"/>
  <c r="AR976" i="5"/>
  <c r="CF975" i="5"/>
  <c r="CE975" i="5"/>
  <c r="CC975" i="5"/>
  <c r="CD975" i="5" s="1"/>
  <c r="AR975" i="5"/>
  <c r="CF974" i="5"/>
  <c r="CE974" i="5"/>
  <c r="CC974" i="5"/>
  <c r="AR974" i="5"/>
  <c r="CF973" i="5"/>
  <c r="CE973" i="5"/>
  <c r="CC973" i="5"/>
  <c r="AR973" i="5"/>
  <c r="CF972" i="5"/>
  <c r="CE972" i="5"/>
  <c r="CC972" i="5"/>
  <c r="AR972" i="5"/>
  <c r="CF971" i="5"/>
  <c r="CE971" i="5"/>
  <c r="CC971" i="5"/>
  <c r="AR971" i="5"/>
  <c r="CF970" i="5"/>
  <c r="CE970" i="5"/>
  <c r="CC970" i="5"/>
  <c r="AR970" i="5"/>
  <c r="CF969" i="5"/>
  <c r="CE969" i="5"/>
  <c r="CC969" i="5"/>
  <c r="AR969" i="5"/>
  <c r="CF968" i="5"/>
  <c r="CE968" i="5"/>
  <c r="CC968" i="5"/>
  <c r="AR968" i="5"/>
  <c r="CF967" i="5"/>
  <c r="CE967" i="5"/>
  <c r="CC967" i="5"/>
  <c r="CD967" i="5" s="1"/>
  <c r="AR967" i="5"/>
  <c r="A967" i="5"/>
  <c r="CF966" i="5"/>
  <c r="CE966" i="5"/>
  <c r="CC966" i="5"/>
  <c r="AR966" i="5"/>
  <c r="CF965" i="5"/>
  <c r="CE965" i="5"/>
  <c r="CC965" i="5"/>
  <c r="AR965" i="5"/>
  <c r="CF964" i="5"/>
  <c r="CE964" i="5"/>
  <c r="CC964" i="5"/>
  <c r="AR964" i="5"/>
  <c r="CF963" i="5"/>
  <c r="CE963" i="5"/>
  <c r="CC963" i="5"/>
  <c r="AR963" i="5"/>
  <c r="CF962" i="5"/>
  <c r="CE962" i="5"/>
  <c r="CC962" i="5"/>
  <c r="AR962" i="5"/>
  <c r="CF961" i="5"/>
  <c r="CE961" i="5"/>
  <c r="CC961" i="5"/>
  <c r="AR961" i="5"/>
  <c r="CF960" i="5"/>
  <c r="CE960" i="5"/>
  <c r="CC960" i="5"/>
  <c r="AR960" i="5"/>
  <c r="E960" i="5"/>
  <c r="CF959" i="5"/>
  <c r="CE959" i="5"/>
  <c r="CC959" i="5"/>
  <c r="AR959" i="5"/>
  <c r="CF958" i="5"/>
  <c r="CE958" i="5"/>
  <c r="CC958" i="5"/>
  <c r="AR958" i="5"/>
  <c r="CF957" i="5"/>
  <c r="CE957" i="5"/>
  <c r="CC957" i="5"/>
  <c r="AR957" i="5"/>
  <c r="CF956" i="5"/>
  <c r="CE956" i="5"/>
  <c r="CC956" i="5"/>
  <c r="CD956" i="5" s="1"/>
  <c r="AR956" i="5"/>
  <c r="CF955" i="5"/>
  <c r="CE955" i="5"/>
  <c r="CC955" i="5"/>
  <c r="AR955" i="5"/>
  <c r="CF954" i="5"/>
  <c r="CE954" i="5"/>
  <c r="CC954" i="5"/>
  <c r="AR954" i="5"/>
  <c r="CF953" i="5"/>
  <c r="CE953" i="5"/>
  <c r="CC953" i="5"/>
  <c r="AR953" i="5"/>
  <c r="CF952" i="5"/>
  <c r="CE952" i="5"/>
  <c r="CC952" i="5"/>
  <c r="AR952" i="5"/>
  <c r="A952" i="5"/>
  <c r="CF951" i="5"/>
  <c r="CE951" i="5"/>
  <c r="CC951" i="5"/>
  <c r="AR951" i="5"/>
  <c r="CD951" i="5" s="1"/>
  <c r="CF950" i="5"/>
  <c r="CE950" i="5"/>
  <c r="CC950" i="5"/>
  <c r="AR950" i="5"/>
  <c r="CD950" i="5" s="1"/>
  <c r="CF949" i="5"/>
  <c r="CE949" i="5"/>
  <c r="CC949" i="5"/>
  <c r="AR949" i="5"/>
  <c r="CD949" i="5" s="1"/>
  <c r="CF948" i="5"/>
  <c r="CE948" i="5"/>
  <c r="CC948" i="5"/>
  <c r="AR948" i="5"/>
  <c r="CF947" i="5"/>
  <c r="CE947" i="5"/>
  <c r="AT947" i="5"/>
  <c r="AR947" i="5"/>
  <c r="CF946" i="5"/>
  <c r="CE946" i="5"/>
  <c r="CC946" i="5"/>
  <c r="AR946" i="5"/>
  <c r="CF945" i="5"/>
  <c r="CE945" i="5"/>
  <c r="CC945" i="5"/>
  <c r="AR945" i="5"/>
  <c r="CF944" i="5"/>
  <c r="CE944" i="5"/>
  <c r="CC944" i="5"/>
  <c r="AR944" i="5"/>
  <c r="CF943" i="5"/>
  <c r="CE943" i="5"/>
  <c r="CC943" i="5"/>
  <c r="AR943" i="5"/>
  <c r="CF942" i="5"/>
  <c r="CE942" i="5"/>
  <c r="CC942" i="5"/>
  <c r="AR942" i="5"/>
  <c r="CF941" i="5"/>
  <c r="CE941" i="5"/>
  <c r="CC941" i="5"/>
  <c r="AR941" i="5"/>
  <c r="CF940" i="5"/>
  <c r="CE940" i="5"/>
  <c r="CC940" i="5"/>
  <c r="AR940" i="5"/>
  <c r="CF939" i="5"/>
  <c r="CE939" i="5"/>
  <c r="CC939" i="5"/>
  <c r="AR939" i="5"/>
  <c r="CF938" i="5"/>
  <c r="CE938" i="5"/>
  <c r="CC938" i="5"/>
  <c r="AR938" i="5"/>
  <c r="CF937" i="5"/>
  <c r="CE937" i="5"/>
  <c r="CC937" i="5"/>
  <c r="AR937" i="5"/>
  <c r="CF936" i="5"/>
  <c r="CE936" i="5"/>
  <c r="CC936" i="5"/>
  <c r="AR936" i="5"/>
  <c r="CF935" i="5"/>
  <c r="CE935" i="5"/>
  <c r="CC935" i="5"/>
  <c r="AR935" i="5"/>
  <c r="CF934" i="5"/>
  <c r="CE934" i="5"/>
  <c r="CC934" i="5"/>
  <c r="AR934" i="5"/>
  <c r="CF933" i="5"/>
  <c r="CE933" i="5"/>
  <c r="CC933" i="5"/>
  <c r="AR933" i="5"/>
  <c r="CF932" i="5"/>
  <c r="CE932" i="5"/>
  <c r="CC932" i="5"/>
  <c r="CD932" i="5" s="1"/>
  <c r="AR932" i="5"/>
  <c r="CF931" i="5"/>
  <c r="CE931" i="5"/>
  <c r="CC931" i="5"/>
  <c r="AR931" i="5"/>
  <c r="CF930" i="5"/>
  <c r="CE930" i="5"/>
  <c r="AT930" i="5"/>
  <c r="CC930" i="5" s="1"/>
  <c r="AR930" i="5"/>
  <c r="CF929" i="5"/>
  <c r="CE929" i="5"/>
  <c r="CC929" i="5"/>
  <c r="AT929" i="5"/>
  <c r="AR929" i="5"/>
  <c r="CF928" i="5"/>
  <c r="CE928" i="5"/>
  <c r="CC928" i="5"/>
  <c r="AR928" i="5"/>
  <c r="CF927" i="5"/>
  <c r="CE927" i="5"/>
  <c r="CC927" i="5"/>
  <c r="AR927" i="5"/>
  <c r="CF926" i="5"/>
  <c r="CE926" i="5"/>
  <c r="AT926" i="5"/>
  <c r="CC926" i="5" s="1"/>
  <c r="AR926" i="5"/>
  <c r="CF925" i="5"/>
  <c r="CE925" i="5"/>
  <c r="AT925" i="5"/>
  <c r="CC925" i="5" s="1"/>
  <c r="AR925" i="5"/>
  <c r="CF924" i="5"/>
  <c r="CE924" i="5"/>
  <c r="CC924" i="5"/>
  <c r="AR924" i="5"/>
  <c r="CD924" i="5" s="1"/>
  <c r="CF923" i="5"/>
  <c r="CE923" i="5"/>
  <c r="AU923" i="5"/>
  <c r="AT923" i="5"/>
  <c r="CC923" i="5" s="1"/>
  <c r="AR923" i="5"/>
  <c r="CF922" i="5"/>
  <c r="CE922" i="5"/>
  <c r="CC922" i="5"/>
  <c r="AR922" i="5"/>
  <c r="CF921" i="5"/>
  <c r="CE921" i="5"/>
  <c r="CC921" i="5"/>
  <c r="AR921" i="5"/>
  <c r="CF920" i="5"/>
  <c r="CE920" i="5"/>
  <c r="CC920" i="5"/>
  <c r="AR920" i="5"/>
  <c r="CF919" i="5"/>
  <c r="CE919" i="5"/>
  <c r="CC919" i="5"/>
  <c r="AR919" i="5"/>
  <c r="CF918" i="5"/>
  <c r="CE918" i="5"/>
  <c r="CC918" i="5"/>
  <c r="AR918" i="5"/>
  <c r="CF917" i="5"/>
  <c r="CE917" i="5"/>
  <c r="AT917" i="5"/>
  <c r="CC917" i="5" s="1"/>
  <c r="CD917" i="5" s="1"/>
  <c r="AR917" i="5"/>
  <c r="CF916" i="5"/>
  <c r="CE916" i="5"/>
  <c r="AU916" i="5"/>
  <c r="AT916" i="5"/>
  <c r="AR916" i="5"/>
  <c r="CF915" i="5"/>
  <c r="CE915" i="5"/>
  <c r="CC915" i="5"/>
  <c r="AT915" i="5"/>
  <c r="AR915" i="5"/>
  <c r="CF914" i="5"/>
  <c r="CE914" i="5"/>
  <c r="CC914" i="5"/>
  <c r="AR914" i="5"/>
  <c r="CF913" i="5"/>
  <c r="CE913" i="5"/>
  <c r="CC913" i="5"/>
  <c r="AR913" i="5"/>
  <c r="CF912" i="5"/>
  <c r="CE912" i="5"/>
  <c r="CC912" i="5"/>
  <c r="AR912" i="5"/>
  <c r="CF911" i="5"/>
  <c r="CE911" i="5"/>
  <c r="CC911" i="5"/>
  <c r="AR911" i="5"/>
  <c r="CF910" i="5"/>
  <c r="CE910" i="5"/>
  <c r="CC910" i="5"/>
  <c r="AR910" i="5"/>
  <c r="CD910" i="5" s="1"/>
  <c r="CF909" i="5"/>
  <c r="CE909" i="5"/>
  <c r="CC909" i="5"/>
  <c r="AR909" i="5"/>
  <c r="CD909" i="5" s="1"/>
  <c r="CF908" i="5"/>
  <c r="CE908" i="5"/>
  <c r="CC908" i="5"/>
  <c r="AR908" i="5"/>
  <c r="CF907" i="5"/>
  <c r="CE907" i="5"/>
  <c r="CC907" i="5"/>
  <c r="AR907" i="5"/>
  <c r="CF906" i="5"/>
  <c r="CE906" i="5"/>
  <c r="CC906" i="5"/>
  <c r="AR906" i="5"/>
  <c r="CF905" i="5"/>
  <c r="CE905" i="5"/>
  <c r="CC905" i="5"/>
  <c r="AR905" i="5"/>
  <c r="CF904" i="5"/>
  <c r="CE904" i="5"/>
  <c r="CC904" i="5"/>
  <c r="AT904" i="5"/>
  <c r="AR904" i="5"/>
  <c r="E904" i="5"/>
  <c r="CF903" i="5"/>
  <c r="CE903" i="5"/>
  <c r="CC903" i="5"/>
  <c r="AR903" i="5"/>
  <c r="CF902" i="5"/>
  <c r="CE902" i="5"/>
  <c r="CC902" i="5"/>
  <c r="AR902" i="5"/>
  <c r="CF901" i="5"/>
  <c r="CE901" i="5"/>
  <c r="CC901" i="5"/>
  <c r="AR901" i="5"/>
  <c r="CF900" i="5"/>
  <c r="CE900" i="5"/>
  <c r="CC900" i="5"/>
  <c r="CD900" i="5" s="1"/>
  <c r="AR900" i="5"/>
  <c r="CF899" i="5"/>
  <c r="CE899" i="5"/>
  <c r="CC899" i="5"/>
  <c r="AR899" i="5"/>
  <c r="CF898" i="5"/>
  <c r="CE898" i="5"/>
  <c r="CC898" i="5"/>
  <c r="AR898" i="5"/>
  <c r="CF897" i="5"/>
  <c r="CE897" i="5"/>
  <c r="CC897" i="5"/>
  <c r="AR897" i="5"/>
  <c r="CF896" i="5"/>
  <c r="CE896" i="5"/>
  <c r="CC896" i="5"/>
  <c r="AR896" i="5"/>
  <c r="CF895" i="5"/>
  <c r="CE895" i="5"/>
  <c r="CC895" i="5"/>
  <c r="AR895" i="5"/>
  <c r="CF894" i="5"/>
  <c r="CE894" i="5"/>
  <c r="CC894" i="5"/>
  <c r="AR894" i="5"/>
  <c r="CF893" i="5"/>
  <c r="CE893" i="5"/>
  <c r="CC893" i="5"/>
  <c r="AR893" i="5"/>
  <c r="CF892" i="5"/>
  <c r="CE892" i="5"/>
  <c r="CC892" i="5"/>
  <c r="CD892" i="5" s="1"/>
  <c r="AR892" i="5"/>
  <c r="CF891" i="5"/>
  <c r="CE891" i="5"/>
  <c r="CC891" i="5"/>
  <c r="AR891" i="5"/>
  <c r="CF890" i="5"/>
  <c r="CE890" i="5"/>
  <c r="CC890" i="5"/>
  <c r="AR890" i="5"/>
  <c r="CF889" i="5"/>
  <c r="CE889" i="5"/>
  <c r="CC889" i="5"/>
  <c r="AR889" i="5"/>
  <c r="CF888" i="5"/>
  <c r="CE888" i="5"/>
  <c r="CC888" i="5"/>
  <c r="AR888" i="5"/>
  <c r="CF887" i="5"/>
  <c r="CE887" i="5"/>
  <c r="AT887" i="5"/>
  <c r="CC887" i="5" s="1"/>
  <c r="AR887" i="5"/>
  <c r="CF886" i="5"/>
  <c r="CE886" i="5"/>
  <c r="CC886" i="5"/>
  <c r="CD886" i="5" s="1"/>
  <c r="AR886" i="5"/>
  <c r="CF885" i="5"/>
  <c r="CE885" i="5"/>
  <c r="CC885" i="5"/>
  <c r="AR885" i="5"/>
  <c r="CF884" i="5"/>
  <c r="CE884" i="5"/>
  <c r="CC884" i="5"/>
  <c r="AR884" i="5"/>
  <c r="CF883" i="5"/>
  <c r="CE883" i="5"/>
  <c r="AT883" i="5"/>
  <c r="AR883" i="5"/>
  <c r="CF882" i="5"/>
  <c r="CE882" i="5"/>
  <c r="CC882" i="5"/>
  <c r="AR882" i="5"/>
  <c r="CF881" i="5"/>
  <c r="CE881" i="5"/>
  <c r="CC881" i="5"/>
  <c r="AR881" i="5"/>
  <c r="CF880" i="5"/>
  <c r="CE880" i="5"/>
  <c r="CC880" i="5"/>
  <c r="AR880" i="5"/>
  <c r="CH879" i="5"/>
  <c r="CG879" i="5"/>
  <c r="CB879" i="5"/>
  <c r="CA879" i="5"/>
  <c r="BZ879" i="5"/>
  <c r="BY879" i="5"/>
  <c r="BX879" i="5"/>
  <c r="BW879" i="5"/>
  <c r="BV879" i="5"/>
  <c r="BU879" i="5"/>
  <c r="BT879" i="5"/>
  <c r="BS879" i="5"/>
  <c r="BR879" i="5"/>
  <c r="BQ879" i="5"/>
  <c r="BP879" i="5"/>
  <c r="BO879" i="5"/>
  <c r="BN879" i="5"/>
  <c r="BM879" i="5"/>
  <c r="BL879" i="5"/>
  <c r="BK879" i="5"/>
  <c r="BJ879" i="5"/>
  <c r="BI879" i="5"/>
  <c r="BG879" i="5"/>
  <c r="BF879" i="5"/>
  <c r="BE879" i="5"/>
  <c r="BD879" i="5"/>
  <c r="BC879" i="5"/>
  <c r="BB879" i="5"/>
  <c r="BA879" i="5"/>
  <c r="AZ879" i="5"/>
  <c r="AY879" i="5"/>
  <c r="AX879" i="5"/>
  <c r="AW879" i="5"/>
  <c r="AV879" i="5"/>
  <c r="AU879" i="5"/>
  <c r="AS879" i="5"/>
  <c r="AQ879" i="5"/>
  <c r="AP879" i="5"/>
  <c r="AO879" i="5"/>
  <c r="AM879" i="5"/>
  <c r="AL879" i="5"/>
  <c r="AK879" i="5"/>
  <c r="AJ879" i="5"/>
  <c r="AI879" i="5"/>
  <c r="AH879" i="5"/>
  <c r="AG879" i="5"/>
  <c r="AF879" i="5"/>
  <c r="AE879" i="5"/>
  <c r="AD879" i="5"/>
  <c r="AC879" i="5"/>
  <c r="AB879" i="5"/>
  <c r="AA879" i="5"/>
  <c r="Z879" i="5"/>
  <c r="Y879" i="5"/>
  <c r="X879" i="5"/>
  <c r="W879" i="5"/>
  <c r="V879" i="5"/>
  <c r="U879" i="5"/>
  <c r="T879" i="5"/>
  <c r="S879" i="5"/>
  <c r="R879" i="5"/>
  <c r="Q879" i="5"/>
  <c r="P879" i="5"/>
  <c r="O879" i="5"/>
  <c r="N879" i="5"/>
  <c r="M879" i="5"/>
  <c r="L879" i="5"/>
  <c r="K879" i="5"/>
  <c r="J879" i="5"/>
  <c r="I879" i="5"/>
  <c r="H879" i="5"/>
  <c r="G879" i="5"/>
  <c r="CF878" i="5"/>
  <c r="CE878" i="5"/>
  <c r="CC878" i="5"/>
  <c r="AR878" i="5"/>
  <c r="CF877" i="5"/>
  <c r="CE877" i="5"/>
  <c r="CC877" i="5"/>
  <c r="AR877" i="5"/>
  <c r="CF876" i="5"/>
  <c r="CE876" i="5"/>
  <c r="CC876" i="5"/>
  <c r="AR876" i="5"/>
  <c r="CF875" i="5"/>
  <c r="CE875" i="5"/>
  <c r="CC875" i="5"/>
  <c r="AR875" i="5"/>
  <c r="CF874" i="5"/>
  <c r="CE874" i="5"/>
  <c r="CC874" i="5"/>
  <c r="AR874" i="5"/>
  <c r="CF873" i="5"/>
  <c r="CE873" i="5"/>
  <c r="CC873" i="5"/>
  <c r="AR873" i="5"/>
  <c r="CF872" i="5"/>
  <c r="CE872" i="5"/>
  <c r="CC872" i="5"/>
  <c r="AR872" i="5"/>
  <c r="CF871" i="5"/>
  <c r="CE871" i="5"/>
  <c r="CC871" i="5"/>
  <c r="AR871" i="5"/>
  <c r="E871" i="5"/>
  <c r="E873" i="5" s="1"/>
  <c r="E874" i="5" s="1"/>
  <c r="CF870" i="5"/>
  <c r="CE870" i="5"/>
  <c r="CC870" i="5"/>
  <c r="AR870" i="5"/>
  <c r="E870" i="5"/>
  <c r="E872" i="5" s="1"/>
  <c r="CF869" i="5"/>
  <c r="CE869" i="5"/>
  <c r="AT869" i="5"/>
  <c r="CC869" i="5" s="1"/>
  <c r="AR869" i="5"/>
  <c r="CF868" i="5"/>
  <c r="CE868" i="5"/>
  <c r="CC868" i="5"/>
  <c r="AR868" i="5"/>
  <c r="CF867" i="5"/>
  <c r="CE867" i="5"/>
  <c r="CC867" i="5"/>
  <c r="AR867" i="5"/>
  <c r="CF866" i="5"/>
  <c r="CE866" i="5"/>
  <c r="CC866" i="5"/>
  <c r="AR866" i="5"/>
  <c r="CF865" i="5"/>
  <c r="CE865" i="5"/>
  <c r="CC865" i="5"/>
  <c r="AR865" i="5"/>
  <c r="CF864" i="5"/>
  <c r="CE864" i="5"/>
  <c r="CC864" i="5"/>
  <c r="AR864" i="5"/>
  <c r="CF863" i="5"/>
  <c r="CE863" i="5"/>
  <c r="CC863" i="5"/>
  <c r="AR863" i="5"/>
  <c r="CF862" i="5"/>
  <c r="CE862" i="5"/>
  <c r="CC862" i="5"/>
  <c r="AR862" i="5"/>
  <c r="CF861" i="5"/>
  <c r="CE861" i="5"/>
  <c r="CC861" i="5"/>
  <c r="AR861" i="5"/>
  <c r="CF860" i="5"/>
  <c r="CE860" i="5"/>
  <c r="CC860" i="5"/>
  <c r="AR860" i="5"/>
  <c r="CF859" i="5"/>
  <c r="CE859" i="5"/>
  <c r="CC859" i="5"/>
  <c r="AR859" i="5"/>
  <c r="CF858" i="5"/>
  <c r="CE858" i="5"/>
  <c r="CC858" i="5"/>
  <c r="AR858" i="5"/>
  <c r="CF857" i="5"/>
  <c r="CE857" i="5"/>
  <c r="CC857" i="5"/>
  <c r="AR857" i="5"/>
  <c r="CF856" i="5"/>
  <c r="CE856" i="5"/>
  <c r="CC856" i="5"/>
  <c r="AR856" i="5"/>
  <c r="CF855" i="5"/>
  <c r="CE855" i="5"/>
  <c r="CC855" i="5"/>
  <c r="AR855" i="5"/>
  <c r="E855" i="5"/>
  <c r="CF854" i="5"/>
  <c r="CE854" i="5"/>
  <c r="CC854" i="5"/>
  <c r="AR854" i="5"/>
  <c r="CF853" i="5"/>
  <c r="CE853" i="5"/>
  <c r="CC853" i="5"/>
  <c r="AR853" i="5"/>
  <c r="CF852" i="5"/>
  <c r="CE852" i="5"/>
  <c r="CC852" i="5"/>
  <c r="AR852" i="5"/>
  <c r="CF851" i="5"/>
  <c r="CE851" i="5"/>
  <c r="CC851" i="5"/>
  <c r="CD851" i="5" s="1"/>
  <c r="AR851" i="5"/>
  <c r="CF850" i="5"/>
  <c r="CE850" i="5"/>
  <c r="CC850" i="5"/>
  <c r="AR850" i="5"/>
  <c r="CF849" i="5"/>
  <c r="CE849" i="5"/>
  <c r="CC849" i="5"/>
  <c r="CD849" i="5" s="1"/>
  <c r="AR849" i="5"/>
  <c r="CF848" i="5"/>
  <c r="CE848" i="5"/>
  <c r="CC848" i="5"/>
  <c r="CD848" i="5" s="1"/>
  <c r="AR848" i="5"/>
  <c r="CF847" i="5"/>
  <c r="CE847" i="5"/>
  <c r="CC847" i="5"/>
  <c r="AR847" i="5"/>
  <c r="CF846" i="5"/>
  <c r="CE846" i="5"/>
  <c r="CC846" i="5"/>
  <c r="AR846" i="5"/>
  <c r="CF845" i="5"/>
  <c r="CE845" i="5"/>
  <c r="CC845" i="5"/>
  <c r="AR845" i="5"/>
  <c r="CF844" i="5"/>
  <c r="CE844" i="5"/>
  <c r="CC844" i="5"/>
  <c r="CD844" i="5" s="1"/>
  <c r="AR844" i="5"/>
  <c r="CF843" i="5"/>
  <c r="CE843" i="5"/>
  <c r="CD843" i="5"/>
  <c r="CC843" i="5"/>
  <c r="AR843" i="5"/>
  <c r="E843" i="5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CF842" i="5"/>
  <c r="CE842" i="5"/>
  <c r="CC842" i="5"/>
  <c r="AR842" i="5"/>
  <c r="CF841" i="5"/>
  <c r="CE841" i="5"/>
  <c r="CC841" i="5"/>
  <c r="AR841" i="5"/>
  <c r="CF840" i="5"/>
  <c r="CE840" i="5"/>
  <c r="CC840" i="5"/>
  <c r="AR840" i="5"/>
  <c r="CD840" i="5" s="1"/>
  <c r="CF839" i="5"/>
  <c r="CE839" i="5"/>
  <c r="CC839" i="5"/>
  <c r="AR839" i="5"/>
  <c r="CF838" i="5"/>
  <c r="CE838" i="5"/>
  <c r="CC838" i="5"/>
  <c r="AR838" i="5"/>
  <c r="CF837" i="5"/>
  <c r="CE837" i="5"/>
  <c r="CC837" i="5"/>
  <c r="AR837" i="5"/>
  <c r="CF836" i="5"/>
  <c r="CE836" i="5"/>
  <c r="CC836" i="5"/>
  <c r="AR836" i="5"/>
  <c r="CF835" i="5"/>
  <c r="CE835" i="5"/>
  <c r="CC835" i="5"/>
  <c r="AR835" i="5"/>
  <c r="CF834" i="5"/>
  <c r="CE834" i="5"/>
  <c r="CC834" i="5"/>
  <c r="AR834" i="5"/>
  <c r="CF833" i="5"/>
  <c r="CE833" i="5"/>
  <c r="CC833" i="5"/>
  <c r="AR833" i="5"/>
  <c r="CF832" i="5"/>
  <c r="CE832" i="5"/>
  <c r="CC832" i="5"/>
  <c r="AR832" i="5"/>
  <c r="CF831" i="5"/>
  <c r="CE831" i="5"/>
  <c r="CC831" i="5"/>
  <c r="AR831" i="5"/>
  <c r="CD831" i="5" s="1"/>
  <c r="CF830" i="5"/>
  <c r="CE830" i="5"/>
  <c r="CC830" i="5"/>
  <c r="AR830" i="5"/>
  <c r="CF829" i="5"/>
  <c r="CE829" i="5"/>
  <c r="CC829" i="5"/>
  <c r="AR829" i="5"/>
  <c r="CF828" i="5"/>
  <c r="CE828" i="5"/>
  <c r="CC828" i="5"/>
  <c r="AR828" i="5"/>
  <c r="E828" i="5"/>
  <c r="E829" i="5" s="1"/>
  <c r="E830" i="5" s="1"/>
  <c r="E831" i="5" s="1"/>
  <c r="E832" i="5" s="1"/>
  <c r="E833" i="5" s="1"/>
  <c r="CF827" i="5"/>
  <c r="CE827" i="5"/>
  <c r="AT827" i="5"/>
  <c r="CC827" i="5" s="1"/>
  <c r="AR827" i="5"/>
  <c r="CF826" i="5"/>
  <c r="CE826" i="5"/>
  <c r="CC826" i="5"/>
  <c r="AR826" i="5"/>
  <c r="CF825" i="5"/>
  <c r="CE825" i="5"/>
  <c r="CC825" i="5"/>
  <c r="AR825" i="5"/>
  <c r="CF824" i="5"/>
  <c r="CE824" i="5"/>
  <c r="CC824" i="5"/>
  <c r="AR824" i="5"/>
  <c r="CF823" i="5"/>
  <c r="CE823" i="5"/>
  <c r="CC823" i="5"/>
  <c r="AR823" i="5"/>
  <c r="CF822" i="5"/>
  <c r="CE822" i="5"/>
  <c r="CC822" i="5"/>
  <c r="AR822" i="5"/>
  <c r="CF821" i="5"/>
  <c r="CE821" i="5"/>
  <c r="CC821" i="5"/>
  <c r="AR821" i="5"/>
  <c r="E821" i="5"/>
  <c r="CF820" i="5"/>
  <c r="CE820" i="5"/>
  <c r="CC820" i="5"/>
  <c r="AR820" i="5"/>
  <c r="CF819" i="5"/>
  <c r="CE819" i="5"/>
  <c r="CC819" i="5"/>
  <c r="AR819" i="5"/>
  <c r="CF818" i="5"/>
  <c r="CE818" i="5"/>
  <c r="CC818" i="5"/>
  <c r="AR818" i="5"/>
  <c r="CF817" i="5"/>
  <c r="CE817" i="5"/>
  <c r="CC817" i="5"/>
  <c r="CD817" i="5" s="1"/>
  <c r="AR817" i="5"/>
  <c r="CF816" i="5"/>
  <c r="CE816" i="5"/>
  <c r="CC816" i="5"/>
  <c r="AR816" i="5"/>
  <c r="CF815" i="5"/>
  <c r="CE815" i="5"/>
  <c r="CC815" i="5"/>
  <c r="AR815" i="5"/>
  <c r="CF814" i="5"/>
  <c r="CE814" i="5"/>
  <c r="CC814" i="5"/>
  <c r="AR814" i="5"/>
  <c r="CF813" i="5"/>
  <c r="CE813" i="5"/>
  <c r="CC813" i="5"/>
  <c r="AR813" i="5"/>
  <c r="CF812" i="5"/>
  <c r="CE812" i="5"/>
  <c r="CC812" i="5"/>
  <c r="CD812" i="5" s="1"/>
  <c r="AR812" i="5"/>
  <c r="CF811" i="5"/>
  <c r="CE811" i="5"/>
  <c r="CC811" i="5"/>
  <c r="CD811" i="5" s="1"/>
  <c r="AR811" i="5"/>
  <c r="CF810" i="5"/>
  <c r="CE810" i="5"/>
  <c r="CC810" i="5"/>
  <c r="AR810" i="5"/>
  <c r="CF809" i="5"/>
  <c r="CE809" i="5"/>
  <c r="CC809" i="5"/>
  <c r="AR809" i="5"/>
  <c r="CF808" i="5"/>
  <c r="CE808" i="5"/>
  <c r="CC808" i="5"/>
  <c r="AR808" i="5"/>
  <c r="CF807" i="5"/>
  <c r="CE807" i="5"/>
  <c r="CC807" i="5"/>
  <c r="AR807" i="5"/>
  <c r="CF806" i="5"/>
  <c r="CE806" i="5"/>
  <c r="AT806" i="5"/>
  <c r="CC806" i="5" s="1"/>
  <c r="AR806" i="5"/>
  <c r="CF805" i="5"/>
  <c r="CE805" i="5"/>
  <c r="CC805" i="5"/>
  <c r="AR805" i="5"/>
  <c r="CF804" i="5"/>
  <c r="CE804" i="5"/>
  <c r="CC804" i="5"/>
  <c r="AR804" i="5"/>
  <c r="CF803" i="5"/>
  <c r="CE803" i="5"/>
  <c r="CC803" i="5"/>
  <c r="AR803" i="5"/>
  <c r="CF802" i="5"/>
  <c r="CE802" i="5"/>
  <c r="CC802" i="5"/>
  <c r="AR802" i="5"/>
  <c r="CF801" i="5"/>
  <c r="CE801" i="5"/>
  <c r="AT801" i="5"/>
  <c r="CC801" i="5" s="1"/>
  <c r="AR801" i="5"/>
  <c r="CF800" i="5"/>
  <c r="CE800" i="5"/>
  <c r="AT800" i="5"/>
  <c r="CC800" i="5" s="1"/>
  <c r="AR800" i="5"/>
  <c r="CF799" i="5"/>
  <c r="CE799" i="5"/>
  <c r="AT799" i="5"/>
  <c r="CC799" i="5" s="1"/>
  <c r="AR799" i="5"/>
  <c r="CF798" i="5"/>
  <c r="CE798" i="5"/>
  <c r="AT798" i="5"/>
  <c r="CC798" i="5" s="1"/>
  <c r="AR798" i="5"/>
  <c r="CF797" i="5"/>
  <c r="CE797" i="5"/>
  <c r="CC797" i="5"/>
  <c r="AR797" i="5"/>
  <c r="CF796" i="5"/>
  <c r="CE796" i="5"/>
  <c r="CC796" i="5"/>
  <c r="AR796" i="5"/>
  <c r="CF795" i="5"/>
  <c r="CE795" i="5"/>
  <c r="CC795" i="5"/>
  <c r="AR795" i="5"/>
  <c r="CF794" i="5"/>
  <c r="CE794" i="5"/>
  <c r="CC794" i="5"/>
  <c r="CD794" i="5" s="1"/>
  <c r="AR794" i="5"/>
  <c r="CF793" i="5"/>
  <c r="CE793" i="5"/>
  <c r="CC793" i="5"/>
  <c r="AR793" i="5"/>
  <c r="CF792" i="5"/>
  <c r="CE792" i="5"/>
  <c r="CC792" i="5"/>
  <c r="AR792" i="5"/>
  <c r="CF791" i="5"/>
  <c r="CE791" i="5"/>
  <c r="CC791" i="5"/>
  <c r="AR791" i="5"/>
  <c r="CF790" i="5"/>
  <c r="CE790" i="5"/>
  <c r="CC790" i="5"/>
  <c r="AR790" i="5"/>
  <c r="CF789" i="5"/>
  <c r="CE789" i="5"/>
  <c r="CC789" i="5"/>
  <c r="AR789" i="5"/>
  <c r="CF788" i="5"/>
  <c r="CE788" i="5"/>
  <c r="BH788" i="5"/>
  <c r="CC788" i="5" s="1"/>
  <c r="AT788" i="5"/>
  <c r="AR788" i="5"/>
  <c r="CF787" i="5"/>
  <c r="CE787" i="5"/>
  <c r="CC787" i="5"/>
  <c r="AR787" i="5"/>
  <c r="CF786" i="5"/>
  <c r="CE786" i="5"/>
  <c r="BH786" i="5"/>
  <c r="AT786" i="5"/>
  <c r="AR786" i="5"/>
  <c r="CF785" i="5"/>
  <c r="CE785" i="5"/>
  <c r="BH785" i="5"/>
  <c r="AT785" i="5"/>
  <c r="AR785" i="5"/>
  <c r="CK784" i="5"/>
  <c r="CJ784" i="5"/>
  <c r="CI784" i="5"/>
  <c r="CH784" i="5"/>
  <c r="CG784" i="5"/>
  <c r="CB784" i="5"/>
  <c r="CA784" i="5"/>
  <c r="BZ784" i="5"/>
  <c r="BY784" i="5"/>
  <c r="BX784" i="5"/>
  <c r="BW784" i="5"/>
  <c r="BV784" i="5"/>
  <c r="BU784" i="5"/>
  <c r="BT784" i="5"/>
  <c r="BS784" i="5"/>
  <c r="BR784" i="5"/>
  <c r="BQ784" i="5"/>
  <c r="BP784" i="5"/>
  <c r="BO784" i="5"/>
  <c r="BN784" i="5"/>
  <c r="BM784" i="5"/>
  <c r="BL784" i="5"/>
  <c r="BK784" i="5"/>
  <c r="BJ784" i="5"/>
  <c r="BI784" i="5"/>
  <c r="BH784" i="5"/>
  <c r="BG784" i="5"/>
  <c r="BF784" i="5"/>
  <c r="BE784" i="5"/>
  <c r="BD784" i="5"/>
  <c r="BC784" i="5"/>
  <c r="BB784" i="5"/>
  <c r="BA784" i="5"/>
  <c r="AZ784" i="5"/>
  <c r="AY784" i="5"/>
  <c r="AX784" i="5"/>
  <c r="AW784" i="5"/>
  <c r="AV784" i="5"/>
  <c r="AU784" i="5"/>
  <c r="AT784" i="5"/>
  <c r="AS784" i="5"/>
  <c r="AQ784" i="5"/>
  <c r="AP784" i="5"/>
  <c r="AO784" i="5"/>
  <c r="AM784" i="5"/>
  <c r="AL784" i="5"/>
  <c r="AK784" i="5"/>
  <c r="AJ784" i="5"/>
  <c r="AI784" i="5"/>
  <c r="AH784" i="5"/>
  <c r="AG784" i="5"/>
  <c r="AF784" i="5"/>
  <c r="AE784" i="5"/>
  <c r="AD784" i="5"/>
  <c r="AC784" i="5"/>
  <c r="AB784" i="5"/>
  <c r="AA784" i="5"/>
  <c r="Z784" i="5"/>
  <c r="Y784" i="5"/>
  <c r="X784" i="5"/>
  <c r="W784" i="5"/>
  <c r="V784" i="5"/>
  <c r="U784" i="5"/>
  <c r="T784" i="5"/>
  <c r="CF783" i="5"/>
  <c r="CE783" i="5"/>
  <c r="CC783" i="5"/>
  <c r="AR783" i="5"/>
  <c r="CF782" i="5"/>
  <c r="CE782" i="5"/>
  <c r="CC782" i="5"/>
  <c r="AR782" i="5"/>
  <c r="CF781" i="5"/>
  <c r="CE781" i="5"/>
  <c r="CC781" i="5"/>
  <c r="AR781" i="5"/>
  <c r="CM780" i="5"/>
  <c r="CL780" i="5"/>
  <c r="CK780" i="5"/>
  <c r="CJ780" i="5"/>
  <c r="CI780" i="5"/>
  <c r="CH780" i="5"/>
  <c r="CG780" i="5"/>
  <c r="CF780" i="5"/>
  <c r="CE780" i="5"/>
  <c r="CB780" i="5"/>
  <c r="CA780" i="5"/>
  <c r="BZ780" i="5"/>
  <c r="BY780" i="5"/>
  <c r="BX780" i="5"/>
  <c r="BW780" i="5"/>
  <c r="BV780" i="5"/>
  <c r="BU780" i="5"/>
  <c r="BT780" i="5"/>
  <c r="BS780" i="5"/>
  <c r="BR780" i="5"/>
  <c r="BQ780" i="5"/>
  <c r="BP780" i="5"/>
  <c r="BO780" i="5"/>
  <c r="BN780" i="5"/>
  <c r="BM780" i="5"/>
  <c r="BL780" i="5"/>
  <c r="BK780" i="5"/>
  <c r="BJ780" i="5"/>
  <c r="BI780" i="5"/>
  <c r="BH780" i="5"/>
  <c r="BG780" i="5"/>
  <c r="BF780" i="5"/>
  <c r="BE780" i="5"/>
  <c r="BD780" i="5"/>
  <c r="BC780" i="5"/>
  <c r="BB780" i="5"/>
  <c r="BA780" i="5"/>
  <c r="AZ780" i="5"/>
  <c r="AY780" i="5"/>
  <c r="AX780" i="5"/>
  <c r="AW780" i="5"/>
  <c r="AV780" i="5"/>
  <c r="AS780" i="5"/>
  <c r="AQ780" i="5"/>
  <c r="AP780" i="5"/>
  <c r="AO780" i="5"/>
  <c r="AM780" i="5"/>
  <c r="AL780" i="5"/>
  <c r="AK780" i="5"/>
  <c r="AJ780" i="5"/>
  <c r="AI780" i="5"/>
  <c r="AH780" i="5"/>
  <c r="AG780" i="5"/>
  <c r="AF780" i="5"/>
  <c r="AE780" i="5"/>
  <c r="AD780" i="5"/>
  <c r="AC780" i="5"/>
  <c r="AB780" i="5"/>
  <c r="AA780" i="5"/>
  <c r="Z780" i="5"/>
  <c r="Y780" i="5"/>
  <c r="X780" i="5"/>
  <c r="W780" i="5"/>
  <c r="V780" i="5"/>
  <c r="U780" i="5"/>
  <c r="T780" i="5"/>
  <c r="S780" i="5"/>
  <c r="R780" i="5"/>
  <c r="Q780" i="5"/>
  <c r="P780" i="5"/>
  <c r="O780" i="5"/>
  <c r="N780" i="5"/>
  <c r="M780" i="5"/>
  <c r="L780" i="5"/>
  <c r="K780" i="5"/>
  <c r="J780" i="5"/>
  <c r="I780" i="5"/>
  <c r="H780" i="5"/>
  <c r="G780" i="5"/>
  <c r="CF779" i="5"/>
  <c r="CE779" i="5"/>
  <c r="CC779" i="5"/>
  <c r="AR779" i="5"/>
  <c r="CF778" i="5"/>
  <c r="CE778" i="5"/>
  <c r="CC778" i="5"/>
  <c r="AR778" i="5"/>
  <c r="CF777" i="5"/>
  <c r="CE777" i="5"/>
  <c r="CC777" i="5"/>
  <c r="AR777" i="5"/>
  <c r="CF776" i="5"/>
  <c r="CE776" i="5"/>
  <c r="CC776" i="5"/>
  <c r="AR776" i="5"/>
  <c r="CF775" i="5"/>
  <c r="CE775" i="5"/>
  <c r="AT775" i="5"/>
  <c r="AU775" i="5" s="1"/>
  <c r="CC775" i="5" s="1"/>
  <c r="AR775" i="5"/>
  <c r="CF774" i="5"/>
  <c r="CE774" i="5"/>
  <c r="CC774" i="5"/>
  <c r="AR774" i="5"/>
  <c r="CD774" i="5" s="1"/>
  <c r="A774" i="5"/>
  <c r="A791" i="5" s="1"/>
  <c r="CF773" i="5"/>
  <c r="CE773" i="5"/>
  <c r="CD773" i="5"/>
  <c r="CC773" i="5"/>
  <c r="AR773" i="5"/>
  <c r="CF772" i="5"/>
  <c r="CE772" i="5"/>
  <c r="CC772" i="5"/>
  <c r="AR772" i="5"/>
  <c r="CF771" i="5"/>
  <c r="CE771" i="5"/>
  <c r="CC771" i="5"/>
  <c r="AR771" i="5"/>
  <c r="CF770" i="5"/>
  <c r="CE770" i="5"/>
  <c r="CC770" i="5"/>
  <c r="AR770" i="5"/>
  <c r="CF769" i="5"/>
  <c r="CE769" i="5"/>
  <c r="CC769" i="5"/>
  <c r="AR769" i="5"/>
  <c r="CF768" i="5"/>
  <c r="CE768" i="5"/>
  <c r="CC768" i="5"/>
  <c r="AR768" i="5"/>
  <c r="CF767" i="5"/>
  <c r="CE767" i="5"/>
  <c r="CC767" i="5"/>
  <c r="AR767" i="5"/>
  <c r="CF766" i="5"/>
  <c r="CE766" i="5"/>
  <c r="CC766" i="5"/>
  <c r="AR766" i="5"/>
  <c r="CF765" i="5"/>
  <c r="CE765" i="5"/>
  <c r="CC765" i="5"/>
  <c r="AR765" i="5"/>
  <c r="CF764" i="5"/>
  <c r="CE764" i="5"/>
  <c r="CC764" i="5"/>
  <c r="AR764" i="5"/>
  <c r="CF763" i="5"/>
  <c r="CE763" i="5"/>
  <c r="CC763" i="5"/>
  <c r="AR763" i="5"/>
  <c r="CF762" i="5"/>
  <c r="CE762" i="5"/>
  <c r="CC762" i="5"/>
  <c r="AR762" i="5"/>
  <c r="CF761" i="5"/>
  <c r="CE761" i="5"/>
  <c r="CC761" i="5"/>
  <c r="AR761" i="5"/>
  <c r="CF760" i="5"/>
  <c r="CE760" i="5"/>
  <c r="CC760" i="5"/>
  <c r="AR760" i="5"/>
  <c r="CF759" i="5"/>
  <c r="CE759" i="5"/>
  <c r="CC759" i="5"/>
  <c r="AR759" i="5"/>
  <c r="CF758" i="5"/>
  <c r="CE758" i="5"/>
  <c r="CC758" i="5"/>
  <c r="AR758" i="5"/>
  <c r="CF757" i="5"/>
  <c r="CE757" i="5"/>
  <c r="CC757" i="5"/>
  <c r="AR757" i="5"/>
  <c r="CF756" i="5"/>
  <c r="CE756" i="5"/>
  <c r="CC756" i="5"/>
  <c r="AR756" i="5"/>
  <c r="CF755" i="5"/>
  <c r="CE755" i="5"/>
  <c r="CC755" i="5"/>
  <c r="AR755" i="5"/>
  <c r="CF754" i="5"/>
  <c r="CE754" i="5"/>
  <c r="CC754" i="5"/>
  <c r="AR754" i="5"/>
  <c r="CF753" i="5"/>
  <c r="CE753" i="5"/>
  <c r="AT753" i="5"/>
  <c r="AR753" i="5"/>
  <c r="CF752" i="5"/>
  <c r="CE752" i="5"/>
  <c r="CC752" i="5"/>
  <c r="AR752" i="5"/>
  <c r="CD752" i="5" s="1"/>
  <c r="CF751" i="5"/>
  <c r="CE751" i="5"/>
  <c r="CC751" i="5"/>
  <c r="AR751" i="5"/>
  <c r="CD751" i="5" s="1"/>
  <c r="CF750" i="5"/>
  <c r="CE750" i="5"/>
  <c r="AT750" i="5"/>
  <c r="CC750" i="5" s="1"/>
  <c r="AR750" i="5"/>
  <c r="CF749" i="5"/>
  <c r="CE749" i="5"/>
  <c r="CC749" i="5"/>
  <c r="AR749" i="5"/>
  <c r="CF748" i="5"/>
  <c r="CE748" i="5"/>
  <c r="CC748" i="5"/>
  <c r="AR748" i="5"/>
  <c r="CF747" i="5"/>
  <c r="CE747" i="5"/>
  <c r="CC747" i="5"/>
  <c r="AR747" i="5"/>
  <c r="CF746" i="5"/>
  <c r="CE746" i="5"/>
  <c r="CC746" i="5"/>
  <c r="AR746" i="5"/>
  <c r="CF745" i="5"/>
  <c r="CE745" i="5"/>
  <c r="CC745" i="5"/>
  <c r="AR745" i="5"/>
  <c r="CF744" i="5"/>
  <c r="CE744" i="5"/>
  <c r="CC744" i="5"/>
  <c r="AR744" i="5"/>
  <c r="E744" i="5"/>
  <c r="E745" i="5" s="1"/>
  <c r="E746" i="5" s="1"/>
  <c r="E747" i="5" s="1"/>
  <c r="CF743" i="5"/>
  <c r="CE743" i="5"/>
  <c r="AU743" i="5"/>
  <c r="CC743" i="5" s="1"/>
  <c r="AR743" i="5"/>
  <c r="CF742" i="5"/>
  <c r="CE742" i="5"/>
  <c r="CC742" i="5"/>
  <c r="AR742" i="5"/>
  <c r="CD742" i="5" s="1"/>
  <c r="CF741" i="5"/>
  <c r="CE741" i="5"/>
  <c r="CC741" i="5"/>
  <c r="AR741" i="5"/>
  <c r="CD741" i="5" s="1"/>
  <c r="CF740" i="5"/>
  <c r="CE740" i="5"/>
  <c r="CC740" i="5"/>
  <c r="AR740" i="5"/>
  <c r="CF739" i="5"/>
  <c r="CE739" i="5"/>
  <c r="CC739" i="5"/>
  <c r="AR739" i="5"/>
  <c r="CF738" i="5"/>
  <c r="CE738" i="5"/>
  <c r="CC738" i="5"/>
  <c r="AR738" i="5"/>
  <c r="CF737" i="5"/>
  <c r="CE737" i="5"/>
  <c r="CC737" i="5"/>
  <c r="AR737" i="5"/>
  <c r="E737" i="5"/>
  <c r="E738" i="5" s="1"/>
  <c r="CF736" i="5"/>
  <c r="CE736" i="5"/>
  <c r="CC736" i="5"/>
  <c r="AR736" i="5"/>
  <c r="CF735" i="5"/>
  <c r="CE735" i="5"/>
  <c r="CC735" i="5"/>
  <c r="AR735" i="5"/>
  <c r="CF734" i="5"/>
  <c r="CE734" i="5"/>
  <c r="CC734" i="5"/>
  <c r="AR734" i="5"/>
  <c r="CF733" i="5"/>
  <c r="CE733" i="5"/>
  <c r="AU733" i="5"/>
  <c r="CC733" i="5" s="1"/>
  <c r="AT733" i="5"/>
  <c r="AR733" i="5"/>
  <c r="CF732" i="5"/>
  <c r="CE732" i="5"/>
  <c r="CC732" i="5"/>
  <c r="CD732" i="5" s="1"/>
  <c r="AR732" i="5"/>
  <c r="E732" i="5"/>
  <c r="E733" i="5" s="1"/>
  <c r="CF731" i="5"/>
  <c r="CE731" i="5"/>
  <c r="CC731" i="5"/>
  <c r="AR731" i="5"/>
  <c r="CF730" i="5"/>
  <c r="CE730" i="5"/>
  <c r="CC730" i="5"/>
  <c r="AR730" i="5"/>
  <c r="E730" i="5"/>
  <c r="E731" i="5" s="1"/>
  <c r="CF729" i="5"/>
  <c r="CE729" i="5"/>
  <c r="CC729" i="5"/>
  <c r="AR729" i="5"/>
  <c r="CD729" i="5" s="1"/>
  <c r="CF728" i="5"/>
  <c r="CE728" i="5"/>
  <c r="CC728" i="5"/>
  <c r="AR728" i="5"/>
  <c r="CF727" i="5"/>
  <c r="CE727" i="5"/>
  <c r="CC727" i="5"/>
  <c r="AR727" i="5"/>
  <c r="CF726" i="5"/>
  <c r="CE726" i="5"/>
  <c r="AT726" i="5"/>
  <c r="AU726" i="5" s="1"/>
  <c r="CC726" i="5" s="1"/>
  <c r="AR726" i="5"/>
  <c r="CF725" i="5"/>
  <c r="CE725" i="5"/>
  <c r="CC725" i="5"/>
  <c r="AR725" i="5"/>
  <c r="CF724" i="5"/>
  <c r="CE724" i="5"/>
  <c r="CC724" i="5"/>
  <c r="AR724" i="5"/>
  <c r="CF723" i="5"/>
  <c r="CE723" i="5"/>
  <c r="CC723" i="5"/>
  <c r="AR723" i="5"/>
  <c r="CF722" i="5"/>
  <c r="CE722" i="5"/>
  <c r="CC722" i="5"/>
  <c r="AR722" i="5"/>
  <c r="CF721" i="5"/>
  <c r="CE721" i="5"/>
  <c r="CC721" i="5"/>
  <c r="AR721" i="5"/>
  <c r="CF720" i="5"/>
  <c r="CE720" i="5"/>
  <c r="CC720" i="5"/>
  <c r="AR720" i="5"/>
  <c r="CF719" i="5"/>
  <c r="CE719" i="5"/>
  <c r="CC719" i="5"/>
  <c r="AR719" i="5"/>
  <c r="CD719" i="5" s="1"/>
  <c r="CF718" i="5"/>
  <c r="CE718" i="5"/>
  <c r="CC718" i="5"/>
  <c r="AR718" i="5"/>
  <c r="CF717" i="5"/>
  <c r="CE717" i="5"/>
  <c r="CC717" i="5"/>
  <c r="AR717" i="5"/>
  <c r="CF716" i="5"/>
  <c r="CE716" i="5"/>
  <c r="CC716" i="5"/>
  <c r="AR716" i="5"/>
  <c r="CD716" i="5" s="1"/>
  <c r="CF715" i="5"/>
  <c r="CE715" i="5"/>
  <c r="CC715" i="5"/>
  <c r="AR715" i="5"/>
  <c r="CD715" i="5" s="1"/>
  <c r="CF714" i="5"/>
  <c r="CE714" i="5"/>
  <c r="CC714" i="5"/>
  <c r="AR714" i="5"/>
  <c r="CF713" i="5"/>
  <c r="CE713" i="5"/>
  <c r="CC713" i="5"/>
  <c r="AR713" i="5"/>
  <c r="E713" i="5"/>
  <c r="E714" i="5" s="1"/>
  <c r="CF712" i="5"/>
  <c r="CE712" i="5"/>
  <c r="CC712" i="5"/>
  <c r="AR712" i="5"/>
  <c r="CF711" i="5"/>
  <c r="CE711" i="5"/>
  <c r="AT711" i="5"/>
  <c r="AU711" i="5" s="1"/>
  <c r="AR711" i="5"/>
  <c r="CF710" i="5"/>
  <c r="CE710" i="5"/>
  <c r="CC710" i="5"/>
  <c r="AR710" i="5"/>
  <c r="CF709" i="5"/>
  <c r="CE709" i="5"/>
  <c r="CC709" i="5"/>
  <c r="AR709" i="5"/>
  <c r="CF708" i="5"/>
  <c r="CE708" i="5"/>
  <c r="CC708" i="5"/>
  <c r="AR708" i="5"/>
  <c r="CF707" i="5"/>
  <c r="CE707" i="5"/>
  <c r="CC707" i="5"/>
  <c r="CD707" i="5" s="1"/>
  <c r="AR707" i="5"/>
  <c r="CF706" i="5"/>
  <c r="CE706" i="5"/>
  <c r="CC706" i="5"/>
  <c r="AR706" i="5"/>
  <c r="CF705" i="5"/>
  <c r="CE705" i="5"/>
  <c r="CC705" i="5"/>
  <c r="AR705" i="5"/>
  <c r="CH704" i="5"/>
  <c r="CG704" i="5"/>
  <c r="CB704" i="5"/>
  <c r="CA704" i="5"/>
  <c r="BZ704" i="5"/>
  <c r="BY704" i="5"/>
  <c r="BX704" i="5"/>
  <c r="BW704" i="5"/>
  <c r="BV704" i="5"/>
  <c r="BU704" i="5"/>
  <c r="BT704" i="5"/>
  <c r="BS704" i="5"/>
  <c r="BR704" i="5"/>
  <c r="BQ704" i="5"/>
  <c r="BP704" i="5"/>
  <c r="BO704" i="5"/>
  <c r="BN704" i="5"/>
  <c r="BM704" i="5"/>
  <c r="BL704" i="5"/>
  <c r="BK704" i="5"/>
  <c r="BJ704" i="5"/>
  <c r="BI704" i="5"/>
  <c r="BH704" i="5"/>
  <c r="BG704" i="5"/>
  <c r="BF704" i="5"/>
  <c r="BE704" i="5"/>
  <c r="BD704" i="5"/>
  <c r="BC704" i="5"/>
  <c r="BB704" i="5"/>
  <c r="BA704" i="5"/>
  <c r="AZ704" i="5"/>
  <c r="AY704" i="5"/>
  <c r="AX704" i="5"/>
  <c r="AW704" i="5"/>
  <c r="AS704" i="5"/>
  <c r="AQ704" i="5"/>
  <c r="AP704" i="5"/>
  <c r="AO704" i="5"/>
  <c r="AN704" i="5"/>
  <c r="AM704" i="5"/>
  <c r="AL704" i="5"/>
  <c r="AK704" i="5"/>
  <c r="AJ704" i="5"/>
  <c r="AI704" i="5"/>
  <c r="AH704" i="5"/>
  <c r="AG704" i="5"/>
  <c r="AF704" i="5"/>
  <c r="AE704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CF703" i="5"/>
  <c r="CE703" i="5"/>
  <c r="CC703" i="5"/>
  <c r="AV703" i="5"/>
  <c r="AU703" i="5"/>
  <c r="AT703" i="5"/>
  <c r="AR703" i="5"/>
  <c r="CF702" i="5"/>
  <c r="CE702" i="5"/>
  <c r="AV702" i="5"/>
  <c r="AU702" i="5"/>
  <c r="AT702" i="5"/>
  <c r="CC702" i="5" s="1"/>
  <c r="AR702" i="5"/>
  <c r="CF701" i="5"/>
  <c r="CE701" i="5"/>
  <c r="CC701" i="5"/>
  <c r="AV701" i="5"/>
  <c r="AU701" i="5"/>
  <c r="AT701" i="5"/>
  <c r="AR701" i="5"/>
  <c r="CF700" i="5"/>
  <c r="CE700" i="5"/>
  <c r="AV700" i="5"/>
  <c r="AU700" i="5"/>
  <c r="AT700" i="5"/>
  <c r="AR700" i="5"/>
  <c r="CF699" i="5"/>
  <c r="CE699" i="5"/>
  <c r="AV699" i="5"/>
  <c r="AU699" i="5"/>
  <c r="CC699" i="5" s="1"/>
  <c r="AT699" i="5"/>
  <c r="AR699" i="5"/>
  <c r="CF698" i="5"/>
  <c r="CE698" i="5"/>
  <c r="AV698" i="5"/>
  <c r="AU698" i="5"/>
  <c r="AT698" i="5"/>
  <c r="AR698" i="5"/>
  <c r="CF697" i="5"/>
  <c r="CE697" i="5"/>
  <c r="AV697" i="5"/>
  <c r="AU697" i="5"/>
  <c r="CC697" i="5" s="1"/>
  <c r="AT697" i="5"/>
  <c r="AR697" i="5"/>
  <c r="CF696" i="5"/>
  <c r="CE696" i="5"/>
  <c r="AV696" i="5"/>
  <c r="AU696" i="5"/>
  <c r="AT696" i="5"/>
  <c r="CC696" i="5" s="1"/>
  <c r="AR696" i="5"/>
  <c r="CF695" i="5"/>
  <c r="CE695" i="5"/>
  <c r="CC695" i="5"/>
  <c r="AV695" i="5"/>
  <c r="AU695" i="5"/>
  <c r="AT695" i="5"/>
  <c r="AR695" i="5"/>
  <c r="CF694" i="5"/>
  <c r="CE694" i="5"/>
  <c r="AV694" i="5"/>
  <c r="AU694" i="5"/>
  <c r="AT694" i="5"/>
  <c r="CC694" i="5" s="1"/>
  <c r="AR694" i="5"/>
  <c r="CF693" i="5"/>
  <c r="CE693" i="5"/>
  <c r="CC693" i="5"/>
  <c r="AV693" i="5"/>
  <c r="AU693" i="5"/>
  <c r="AT693" i="5"/>
  <c r="AR693" i="5"/>
  <c r="CF692" i="5"/>
  <c r="CE692" i="5"/>
  <c r="AV692" i="5"/>
  <c r="AU692" i="5"/>
  <c r="AT692" i="5"/>
  <c r="AR692" i="5"/>
  <c r="CF691" i="5"/>
  <c r="CE691" i="5"/>
  <c r="AV691" i="5"/>
  <c r="AU691" i="5"/>
  <c r="CC691" i="5" s="1"/>
  <c r="AT691" i="5"/>
  <c r="AR691" i="5"/>
  <c r="CF690" i="5"/>
  <c r="CE690" i="5"/>
  <c r="AV690" i="5"/>
  <c r="AU690" i="5"/>
  <c r="AT690" i="5"/>
  <c r="AR690" i="5"/>
  <c r="CF689" i="5"/>
  <c r="CE689" i="5"/>
  <c r="AV689" i="5"/>
  <c r="AU689" i="5"/>
  <c r="CC689" i="5" s="1"/>
  <c r="AT689" i="5"/>
  <c r="AR689" i="5"/>
  <c r="CF688" i="5"/>
  <c r="CE688" i="5"/>
  <c r="AV688" i="5"/>
  <c r="AU688" i="5"/>
  <c r="AT688" i="5"/>
  <c r="CC688" i="5" s="1"/>
  <c r="AR688" i="5"/>
  <c r="CF687" i="5"/>
  <c r="CE687" i="5"/>
  <c r="CC687" i="5"/>
  <c r="AV687" i="5"/>
  <c r="AU687" i="5"/>
  <c r="AT687" i="5"/>
  <c r="AR687" i="5"/>
  <c r="CF686" i="5"/>
  <c r="CE686" i="5"/>
  <c r="AV686" i="5"/>
  <c r="AU686" i="5"/>
  <c r="AT686" i="5"/>
  <c r="CC686" i="5" s="1"/>
  <c r="G686" i="5"/>
  <c r="CF685" i="5"/>
  <c r="CE685" i="5"/>
  <c r="AV685" i="5"/>
  <c r="AU685" i="5"/>
  <c r="AT685" i="5"/>
  <c r="AR685" i="5"/>
  <c r="CF684" i="5"/>
  <c r="CE684" i="5"/>
  <c r="AV684" i="5"/>
  <c r="AU684" i="5"/>
  <c r="AT684" i="5"/>
  <c r="CC684" i="5" s="1"/>
  <c r="CD684" i="5" s="1"/>
  <c r="AR684" i="5"/>
  <c r="CF683" i="5"/>
  <c r="CE683" i="5"/>
  <c r="AV683" i="5"/>
  <c r="AU683" i="5"/>
  <c r="AT683" i="5"/>
  <c r="AR683" i="5"/>
  <c r="CF682" i="5"/>
  <c r="CE682" i="5"/>
  <c r="AV682" i="5"/>
  <c r="AU682" i="5"/>
  <c r="AT682" i="5"/>
  <c r="AR682" i="5"/>
  <c r="CF681" i="5"/>
  <c r="CE681" i="5"/>
  <c r="AV681" i="5"/>
  <c r="AU681" i="5"/>
  <c r="AT681" i="5"/>
  <c r="CC681" i="5" s="1"/>
  <c r="AR681" i="5"/>
  <c r="CF680" i="5"/>
  <c r="CE680" i="5"/>
  <c r="AV680" i="5"/>
  <c r="AU680" i="5"/>
  <c r="AT680" i="5"/>
  <c r="AR680" i="5"/>
  <c r="CF679" i="5"/>
  <c r="CE679" i="5"/>
  <c r="AV679" i="5"/>
  <c r="AU679" i="5"/>
  <c r="AT679" i="5"/>
  <c r="AR679" i="5"/>
  <c r="CF678" i="5"/>
  <c r="CE678" i="5"/>
  <c r="AV678" i="5"/>
  <c r="AU678" i="5"/>
  <c r="AT678" i="5"/>
  <c r="AR678" i="5"/>
  <c r="CF677" i="5"/>
  <c r="CE677" i="5"/>
  <c r="AV677" i="5"/>
  <c r="AU677" i="5"/>
  <c r="AT677" i="5"/>
  <c r="CC677" i="5" s="1"/>
  <c r="AR677" i="5"/>
  <c r="CF676" i="5"/>
  <c r="CE676" i="5"/>
  <c r="AV676" i="5"/>
  <c r="AU676" i="5"/>
  <c r="AT676" i="5"/>
  <c r="AR676" i="5"/>
  <c r="CF675" i="5"/>
  <c r="CE675" i="5"/>
  <c r="AV675" i="5"/>
  <c r="AU675" i="5"/>
  <c r="AT675" i="5"/>
  <c r="AR675" i="5"/>
  <c r="CF674" i="5"/>
  <c r="CE674" i="5"/>
  <c r="AV674" i="5"/>
  <c r="AU674" i="5"/>
  <c r="AT674" i="5"/>
  <c r="AR674" i="5"/>
  <c r="A674" i="5"/>
  <c r="CF673" i="5"/>
  <c r="CE673" i="5"/>
  <c r="AV673" i="5"/>
  <c r="AU673" i="5"/>
  <c r="AT673" i="5"/>
  <c r="AR673" i="5"/>
  <c r="CF672" i="5"/>
  <c r="CE672" i="5"/>
  <c r="AV672" i="5"/>
  <c r="AU672" i="5"/>
  <c r="CC672" i="5" s="1"/>
  <c r="AT672" i="5"/>
  <c r="AR672" i="5"/>
  <c r="CF671" i="5"/>
  <c r="CE671" i="5"/>
  <c r="AV671" i="5"/>
  <c r="AU671" i="5"/>
  <c r="AT671" i="5"/>
  <c r="CC671" i="5" s="1"/>
  <c r="AR671" i="5"/>
  <c r="CF670" i="5"/>
  <c r="CE670" i="5"/>
  <c r="AV670" i="5"/>
  <c r="AU670" i="5"/>
  <c r="AT670" i="5"/>
  <c r="AR670" i="5"/>
  <c r="CF669" i="5"/>
  <c r="CE669" i="5"/>
  <c r="AV669" i="5"/>
  <c r="AU669" i="5"/>
  <c r="AT669" i="5"/>
  <c r="AR669" i="5"/>
  <c r="CF668" i="5"/>
  <c r="CE668" i="5"/>
  <c r="CC668" i="5"/>
  <c r="AV668" i="5"/>
  <c r="AU668" i="5"/>
  <c r="AT668" i="5"/>
  <c r="AR668" i="5"/>
  <c r="A668" i="5"/>
  <c r="CF667" i="5"/>
  <c r="CE667" i="5"/>
  <c r="AV667" i="5"/>
  <c r="AU667" i="5"/>
  <c r="AT667" i="5"/>
  <c r="AR667" i="5"/>
  <c r="CF666" i="5"/>
  <c r="CE666" i="5"/>
  <c r="AV666" i="5"/>
  <c r="AU666" i="5"/>
  <c r="CC666" i="5" s="1"/>
  <c r="AT666" i="5"/>
  <c r="AR666" i="5"/>
  <c r="CF665" i="5"/>
  <c r="CE665" i="5"/>
  <c r="AV665" i="5"/>
  <c r="AU665" i="5"/>
  <c r="AT665" i="5"/>
  <c r="AR665" i="5"/>
  <c r="CF664" i="5"/>
  <c r="CE664" i="5"/>
  <c r="AV664" i="5"/>
  <c r="AU664" i="5"/>
  <c r="CC664" i="5" s="1"/>
  <c r="AT664" i="5"/>
  <c r="AR664" i="5"/>
  <c r="CF663" i="5"/>
  <c r="CE663" i="5"/>
  <c r="AV663" i="5"/>
  <c r="AU663" i="5"/>
  <c r="AT663" i="5"/>
  <c r="CC663" i="5" s="1"/>
  <c r="AR663" i="5"/>
  <c r="CF662" i="5"/>
  <c r="CE662" i="5"/>
  <c r="CC662" i="5"/>
  <c r="AV662" i="5"/>
  <c r="AU662" i="5"/>
  <c r="AT662" i="5"/>
  <c r="AR662" i="5"/>
  <c r="CF661" i="5"/>
  <c r="CE661" i="5"/>
  <c r="AV661" i="5"/>
  <c r="AU661" i="5"/>
  <c r="AT661" i="5"/>
  <c r="CC661" i="5" s="1"/>
  <c r="AR661" i="5"/>
  <c r="CF660" i="5"/>
  <c r="CE660" i="5"/>
  <c r="CC660" i="5"/>
  <c r="AV660" i="5"/>
  <c r="AU660" i="5"/>
  <c r="AT660" i="5"/>
  <c r="AR660" i="5"/>
  <c r="A660" i="5"/>
  <c r="CF659" i="5"/>
  <c r="CE659" i="5"/>
  <c r="AV659" i="5"/>
  <c r="AU659" i="5"/>
  <c r="AT659" i="5"/>
  <c r="AR659" i="5"/>
  <c r="CF658" i="5"/>
  <c r="CE658" i="5"/>
  <c r="AV658" i="5"/>
  <c r="AU658" i="5"/>
  <c r="A659" i="5" s="1"/>
  <c r="AT658" i="5"/>
  <c r="AR658" i="5"/>
  <c r="CM657" i="5"/>
  <c r="CL657" i="5"/>
  <c r="CK657" i="5"/>
  <c r="CJ657" i="5"/>
  <c r="CI657" i="5"/>
  <c r="CH657" i="5"/>
  <c r="CG657" i="5"/>
  <c r="CB657" i="5"/>
  <c r="CA657" i="5"/>
  <c r="BZ657" i="5"/>
  <c r="BY657" i="5"/>
  <c r="BX657" i="5"/>
  <c r="BW657" i="5"/>
  <c r="BV657" i="5"/>
  <c r="BU657" i="5"/>
  <c r="BT657" i="5"/>
  <c r="BS657" i="5"/>
  <c r="BR657" i="5"/>
  <c r="BQ657" i="5"/>
  <c r="BP657" i="5"/>
  <c r="BO657" i="5"/>
  <c r="BN657" i="5"/>
  <c r="BM657" i="5"/>
  <c r="BL657" i="5"/>
  <c r="BK657" i="5"/>
  <c r="BJ657" i="5"/>
  <c r="BI657" i="5"/>
  <c r="BG657" i="5"/>
  <c r="BF657" i="5"/>
  <c r="BE657" i="5"/>
  <c r="BD657" i="5"/>
  <c r="BC657" i="5"/>
  <c r="BB657" i="5"/>
  <c r="BA657" i="5"/>
  <c r="AZ657" i="5"/>
  <c r="AY657" i="5"/>
  <c r="AX657" i="5"/>
  <c r="AW657" i="5"/>
  <c r="AV657" i="5"/>
  <c r="AS657" i="5"/>
  <c r="AQ657" i="5"/>
  <c r="AP657" i="5"/>
  <c r="AO657" i="5"/>
  <c r="AM657" i="5"/>
  <c r="AL657" i="5"/>
  <c r="AK657" i="5"/>
  <c r="AJ657" i="5"/>
  <c r="AI657" i="5"/>
  <c r="AH657" i="5"/>
  <c r="AG657" i="5"/>
  <c r="AF657" i="5"/>
  <c r="AE657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CF656" i="5"/>
  <c r="CE656" i="5"/>
  <c r="CC656" i="5"/>
  <c r="AR656" i="5"/>
  <c r="CD656" i="5" s="1"/>
  <c r="CF655" i="5"/>
  <c r="CE655" i="5"/>
  <c r="CC655" i="5"/>
  <c r="AR655" i="5"/>
  <c r="CF654" i="5"/>
  <c r="CE654" i="5"/>
  <c r="CC654" i="5"/>
  <c r="AR654" i="5"/>
  <c r="CF653" i="5"/>
  <c r="CE653" i="5"/>
  <c r="CC653" i="5"/>
  <c r="BH653" i="5"/>
  <c r="AR653" i="5"/>
  <c r="CF652" i="5"/>
  <c r="CE652" i="5"/>
  <c r="BH652" i="5"/>
  <c r="CC652" i="5" s="1"/>
  <c r="AR652" i="5"/>
  <c r="CF651" i="5"/>
  <c r="CE651" i="5"/>
  <c r="CC651" i="5"/>
  <c r="AR651" i="5"/>
  <c r="CF650" i="5"/>
  <c r="CE650" i="5"/>
  <c r="BH650" i="5"/>
  <c r="CC650" i="5" s="1"/>
  <c r="AR650" i="5"/>
  <c r="CF649" i="5"/>
  <c r="CE649" i="5"/>
  <c r="BH649" i="5"/>
  <c r="CC649" i="5" s="1"/>
  <c r="AR649" i="5"/>
  <c r="CF648" i="5"/>
  <c r="CE648" i="5"/>
  <c r="AT648" i="5"/>
  <c r="CC648" i="5" s="1"/>
  <c r="CD648" i="5" s="1"/>
  <c r="AR648" i="5"/>
  <c r="CF647" i="5"/>
  <c r="CE647" i="5"/>
  <c r="CD647" i="5"/>
  <c r="CC647" i="5"/>
  <c r="AR647" i="5"/>
  <c r="CF646" i="5"/>
  <c r="CE646" i="5"/>
  <c r="AT646" i="5"/>
  <c r="CC646" i="5" s="1"/>
  <c r="CD646" i="5" s="1"/>
  <c r="AR646" i="5"/>
  <c r="CF645" i="5"/>
  <c r="CE645" i="5"/>
  <c r="BH645" i="5"/>
  <c r="CC645" i="5" s="1"/>
  <c r="CD645" i="5" s="1"/>
  <c r="AR645" i="5"/>
  <c r="CF644" i="5"/>
  <c r="CE644" i="5"/>
  <c r="BH644" i="5"/>
  <c r="AR644" i="5"/>
  <c r="A644" i="5"/>
  <c r="CF643" i="5"/>
  <c r="CE643" i="5"/>
  <c r="CC643" i="5"/>
  <c r="AR643" i="5"/>
  <c r="CF642" i="5"/>
  <c r="CE642" i="5"/>
  <c r="CC642" i="5"/>
  <c r="AR642" i="5"/>
  <c r="CF641" i="5"/>
  <c r="CE641" i="5"/>
  <c r="CC641" i="5"/>
  <c r="AR641" i="5"/>
  <c r="CF640" i="5"/>
  <c r="CE640" i="5"/>
  <c r="CC640" i="5"/>
  <c r="AR640" i="5"/>
  <c r="CF639" i="5"/>
  <c r="CE639" i="5"/>
  <c r="CC639" i="5"/>
  <c r="AR639" i="5"/>
  <c r="CF638" i="5"/>
  <c r="CE638" i="5"/>
  <c r="CC638" i="5"/>
  <c r="AR638" i="5"/>
  <c r="CF637" i="5"/>
  <c r="CE637" i="5"/>
  <c r="CC637" i="5"/>
  <c r="AR637" i="5"/>
  <c r="CF636" i="5"/>
  <c r="CE636" i="5"/>
  <c r="CC636" i="5"/>
  <c r="AR636" i="5"/>
  <c r="CF635" i="5"/>
  <c r="CE635" i="5"/>
  <c r="CC635" i="5"/>
  <c r="AR635" i="5"/>
  <c r="CF634" i="5"/>
  <c r="CE634" i="5"/>
  <c r="CC634" i="5"/>
  <c r="AR634" i="5"/>
  <c r="CD634" i="5" s="1"/>
  <c r="CF633" i="5"/>
  <c r="CE633" i="5"/>
  <c r="CC633" i="5"/>
  <c r="AR633" i="5"/>
  <c r="CF632" i="5"/>
  <c r="CE632" i="5"/>
  <c r="AT632" i="5"/>
  <c r="CC632" i="5" s="1"/>
  <c r="AR632" i="5"/>
  <c r="CF631" i="5"/>
  <c r="CE631" i="5"/>
  <c r="CC631" i="5"/>
  <c r="AR631" i="5"/>
  <c r="CF630" i="5"/>
  <c r="CE630" i="5"/>
  <c r="AU630" i="5"/>
  <c r="AR630" i="5"/>
  <c r="CF629" i="5"/>
  <c r="CE629" i="5"/>
  <c r="CC629" i="5"/>
  <c r="AR629" i="5"/>
  <c r="CF628" i="5"/>
  <c r="CE628" i="5"/>
  <c r="CC628" i="5"/>
  <c r="AR628" i="5"/>
  <c r="CD628" i="5" s="1"/>
  <c r="CF627" i="5"/>
  <c r="CE627" i="5"/>
  <c r="CC627" i="5"/>
  <c r="AR627" i="5"/>
  <c r="CF626" i="5"/>
  <c r="CE626" i="5"/>
  <c r="CC626" i="5"/>
  <c r="AR626" i="5"/>
  <c r="CF625" i="5"/>
  <c r="CE625" i="5"/>
  <c r="CC625" i="5"/>
  <c r="AR625" i="5"/>
  <c r="CF624" i="5"/>
  <c r="CE624" i="5"/>
  <c r="CC624" i="5"/>
  <c r="AR624" i="5"/>
  <c r="CF623" i="5"/>
  <c r="CE623" i="5"/>
  <c r="CC623" i="5"/>
  <c r="AR623" i="5"/>
  <c r="CF622" i="5"/>
  <c r="CE622" i="5"/>
  <c r="CC622" i="5"/>
  <c r="AR622" i="5"/>
  <c r="CF621" i="5"/>
  <c r="CE621" i="5"/>
  <c r="CC621" i="5"/>
  <c r="AR621" i="5"/>
  <c r="CF620" i="5"/>
  <c r="CE620" i="5"/>
  <c r="CC620" i="5"/>
  <c r="AR620" i="5"/>
  <c r="CF619" i="5"/>
  <c r="CE619" i="5"/>
  <c r="CC619" i="5"/>
  <c r="AR619" i="5"/>
  <c r="CF618" i="5"/>
  <c r="CE618" i="5"/>
  <c r="CC618" i="5"/>
  <c r="AR618" i="5"/>
  <c r="CF617" i="5"/>
  <c r="CE617" i="5"/>
  <c r="CC617" i="5"/>
  <c r="AR617" i="5"/>
  <c r="CD617" i="5" s="1"/>
  <c r="CF616" i="5"/>
  <c r="CE616" i="5"/>
  <c r="CC616" i="5"/>
  <c r="AR616" i="5"/>
  <c r="CF615" i="5"/>
  <c r="CE615" i="5"/>
  <c r="CC615" i="5"/>
  <c r="AR615" i="5"/>
  <c r="CD615" i="5" s="1"/>
  <c r="CF614" i="5"/>
  <c r="CE614" i="5"/>
  <c r="CC614" i="5"/>
  <c r="AR614" i="5"/>
  <c r="CF613" i="5"/>
  <c r="CE613" i="5"/>
  <c r="CC613" i="5"/>
  <c r="AR613" i="5"/>
  <c r="CF612" i="5"/>
  <c r="CE612" i="5"/>
  <c r="CC612" i="5"/>
  <c r="AR612" i="5"/>
  <c r="CF611" i="5"/>
  <c r="CE611" i="5"/>
  <c r="CC611" i="5"/>
  <c r="AR611" i="5"/>
  <c r="CF610" i="5"/>
  <c r="CE610" i="5"/>
  <c r="CC610" i="5"/>
  <c r="AR610" i="5"/>
  <c r="CF609" i="5"/>
  <c r="CE609" i="5"/>
  <c r="CC609" i="5"/>
  <c r="AR609" i="5"/>
  <c r="CF608" i="5"/>
  <c r="CE608" i="5"/>
  <c r="CC608" i="5"/>
  <c r="AR608" i="5"/>
  <c r="CF607" i="5"/>
  <c r="CE607" i="5"/>
  <c r="CC607" i="5"/>
  <c r="AR607" i="5"/>
  <c r="CF606" i="5"/>
  <c r="CE606" i="5"/>
  <c r="CC606" i="5"/>
  <c r="AR606" i="5"/>
  <c r="CF605" i="5"/>
  <c r="CE605" i="5"/>
  <c r="CC605" i="5"/>
  <c r="AR605" i="5"/>
  <c r="CF604" i="5"/>
  <c r="CE604" i="5"/>
  <c r="CC604" i="5"/>
  <c r="AR604" i="5"/>
  <c r="CF603" i="5"/>
  <c r="CE603" i="5"/>
  <c r="CC603" i="5"/>
  <c r="AR603" i="5"/>
  <c r="CF602" i="5"/>
  <c r="CE602" i="5"/>
  <c r="CC602" i="5"/>
  <c r="AR602" i="5"/>
  <c r="CF601" i="5"/>
  <c r="CE601" i="5"/>
  <c r="CC601" i="5"/>
  <c r="AR601" i="5"/>
  <c r="CF600" i="5"/>
  <c r="CE600" i="5"/>
  <c r="CC600" i="5"/>
  <c r="AR600" i="5"/>
  <c r="CF599" i="5"/>
  <c r="CE599" i="5"/>
  <c r="CC599" i="5"/>
  <c r="AR599" i="5"/>
  <c r="CD599" i="5" s="1"/>
  <c r="CF598" i="5"/>
  <c r="CE598" i="5"/>
  <c r="CC598" i="5"/>
  <c r="AR598" i="5"/>
  <c r="CF597" i="5"/>
  <c r="CE597" i="5"/>
  <c r="CC597" i="5"/>
  <c r="AR597" i="5"/>
  <c r="CF596" i="5"/>
  <c r="CE596" i="5"/>
  <c r="CC596" i="5"/>
  <c r="AR596" i="5"/>
  <c r="CF595" i="5"/>
  <c r="CE595" i="5"/>
  <c r="CC595" i="5"/>
  <c r="AR595" i="5"/>
  <c r="CD595" i="5" s="1"/>
  <c r="CF594" i="5"/>
  <c r="CE594" i="5"/>
  <c r="CC594" i="5"/>
  <c r="AR594" i="5"/>
  <c r="CF593" i="5"/>
  <c r="CE593" i="5"/>
  <c r="CC593" i="5"/>
  <c r="AR593" i="5"/>
  <c r="CF592" i="5"/>
  <c r="CE592" i="5"/>
  <c r="CC592" i="5"/>
  <c r="AR592" i="5"/>
  <c r="CF591" i="5"/>
  <c r="CE591" i="5"/>
  <c r="CC591" i="5"/>
  <c r="AR591" i="5"/>
  <c r="CD591" i="5" s="1"/>
  <c r="CF590" i="5"/>
  <c r="CE590" i="5"/>
  <c r="CC590" i="5"/>
  <c r="AR590" i="5"/>
  <c r="CF589" i="5"/>
  <c r="CE589" i="5"/>
  <c r="CC589" i="5"/>
  <c r="AR589" i="5"/>
  <c r="CD589" i="5" s="1"/>
  <c r="CF588" i="5"/>
  <c r="CE588" i="5"/>
  <c r="CC588" i="5"/>
  <c r="AR588" i="5"/>
  <c r="CF587" i="5"/>
  <c r="CE587" i="5"/>
  <c r="CC587" i="5"/>
  <c r="AR587" i="5"/>
  <c r="CF586" i="5"/>
  <c r="CE586" i="5"/>
  <c r="CC586" i="5"/>
  <c r="AR586" i="5"/>
  <c r="CF585" i="5"/>
  <c r="CE585" i="5"/>
  <c r="CC585" i="5"/>
  <c r="AR585" i="5"/>
  <c r="CF584" i="5"/>
  <c r="CE584" i="5"/>
  <c r="CC584" i="5"/>
  <c r="AR584" i="5"/>
  <c r="CF583" i="5"/>
  <c r="CE583" i="5"/>
  <c r="CC583" i="5"/>
  <c r="AR583" i="5"/>
  <c r="CF582" i="5"/>
  <c r="CE582" i="5"/>
  <c r="CC582" i="5"/>
  <c r="AR582" i="5"/>
  <c r="CF581" i="5"/>
  <c r="CE581" i="5"/>
  <c r="CC581" i="5"/>
  <c r="AR581" i="5"/>
  <c r="CF580" i="5"/>
  <c r="CE580" i="5"/>
  <c r="CC580" i="5"/>
  <c r="AR580" i="5"/>
  <c r="CF579" i="5"/>
  <c r="CE579" i="5"/>
  <c r="CC579" i="5"/>
  <c r="AR579" i="5"/>
  <c r="CF578" i="5"/>
  <c r="CE578" i="5"/>
  <c r="CC578" i="5"/>
  <c r="AR578" i="5"/>
  <c r="CF577" i="5"/>
  <c r="CE577" i="5"/>
  <c r="CC577" i="5"/>
  <c r="AR577" i="5"/>
  <c r="CF576" i="5"/>
  <c r="CE576" i="5"/>
  <c r="CC576" i="5"/>
  <c r="AR576" i="5"/>
  <c r="CF575" i="5"/>
  <c r="CE575" i="5"/>
  <c r="CC575" i="5"/>
  <c r="CD575" i="5" s="1"/>
  <c r="AR575" i="5"/>
  <c r="E575" i="5"/>
  <c r="E576" i="5" s="1"/>
  <c r="E580" i="5" s="1"/>
  <c r="E581" i="5" s="1"/>
  <c r="E582" i="5" s="1"/>
  <c r="CF574" i="5"/>
  <c r="CE574" i="5"/>
  <c r="CC574" i="5"/>
  <c r="AR574" i="5"/>
  <c r="E574" i="5"/>
  <c r="CF573" i="5"/>
  <c r="CE573" i="5"/>
  <c r="CC573" i="5"/>
  <c r="AR573" i="5"/>
  <c r="E573" i="5"/>
  <c r="E577" i="5" s="1"/>
  <c r="E578" i="5" s="1"/>
  <c r="E579" i="5" s="1"/>
  <c r="CF572" i="5"/>
  <c r="CE572" i="5"/>
  <c r="CC572" i="5"/>
  <c r="AR572" i="5"/>
  <c r="CF571" i="5"/>
  <c r="CE571" i="5"/>
  <c r="CC571" i="5"/>
  <c r="AR571" i="5"/>
  <c r="CF570" i="5"/>
  <c r="CE570" i="5"/>
  <c r="CC570" i="5"/>
  <c r="CD570" i="5" s="1"/>
  <c r="AR570" i="5"/>
  <c r="E570" i="5"/>
  <c r="CF569" i="5"/>
  <c r="CE569" i="5"/>
  <c r="AT569" i="5"/>
  <c r="CC569" i="5" s="1"/>
  <c r="AR569" i="5"/>
  <c r="CF568" i="5"/>
  <c r="CE568" i="5"/>
  <c r="AT568" i="5"/>
  <c r="CC568" i="5" s="1"/>
  <c r="CD568" i="5" s="1"/>
  <c r="AR568" i="5"/>
  <c r="CF567" i="5"/>
  <c r="CE567" i="5"/>
  <c r="AT567" i="5"/>
  <c r="AT657" i="5" s="1"/>
  <c r="AR567" i="5"/>
  <c r="CF566" i="5"/>
  <c r="CE566" i="5"/>
  <c r="CC566" i="5"/>
  <c r="AT566" i="5"/>
  <c r="AR566" i="5"/>
  <c r="CD566" i="5" s="1"/>
  <c r="CF565" i="5"/>
  <c r="CE565" i="5"/>
  <c r="CC565" i="5"/>
  <c r="AR565" i="5"/>
  <c r="CH564" i="5"/>
  <c r="CG564" i="5"/>
  <c r="CB564" i="5"/>
  <c r="CA564" i="5"/>
  <c r="BZ564" i="5"/>
  <c r="BY564" i="5"/>
  <c r="BX564" i="5"/>
  <c r="BW564" i="5"/>
  <c r="BV564" i="5"/>
  <c r="BU564" i="5"/>
  <c r="BT564" i="5"/>
  <c r="BS564" i="5"/>
  <c r="BR564" i="5"/>
  <c r="BQ564" i="5"/>
  <c r="BP564" i="5"/>
  <c r="BO564" i="5"/>
  <c r="BN564" i="5"/>
  <c r="BM564" i="5"/>
  <c r="BL564" i="5"/>
  <c r="BK564" i="5"/>
  <c r="BJ564" i="5"/>
  <c r="BI564" i="5"/>
  <c r="BG564" i="5"/>
  <c r="BF564" i="5"/>
  <c r="BE564" i="5"/>
  <c r="BD564" i="5"/>
  <c r="BC564" i="5"/>
  <c r="BB564" i="5"/>
  <c r="BA564" i="5"/>
  <c r="AZ564" i="5"/>
  <c r="AY564" i="5"/>
  <c r="AX564" i="5"/>
  <c r="AW564" i="5"/>
  <c r="AV564" i="5"/>
  <c r="AU564" i="5"/>
  <c r="AS564" i="5"/>
  <c r="AQ564" i="5"/>
  <c r="AP564" i="5"/>
  <c r="AO564" i="5"/>
  <c r="AM564" i="5"/>
  <c r="AL564" i="5"/>
  <c r="AK564" i="5"/>
  <c r="AJ564" i="5"/>
  <c r="AI564" i="5"/>
  <c r="AH564" i="5"/>
  <c r="AG564" i="5"/>
  <c r="AF564" i="5"/>
  <c r="AE564" i="5"/>
  <c r="AD564" i="5"/>
  <c r="AC564" i="5"/>
  <c r="AB564" i="5"/>
  <c r="AA564" i="5"/>
  <c r="Z564" i="5"/>
  <c r="Y564" i="5"/>
  <c r="X564" i="5"/>
  <c r="W564" i="5"/>
  <c r="V564" i="5"/>
  <c r="U564" i="5"/>
  <c r="T564" i="5"/>
  <c r="S564" i="5"/>
  <c r="R564" i="5"/>
  <c r="Q564" i="5"/>
  <c r="P564" i="5"/>
  <c r="O564" i="5"/>
  <c r="N564" i="5"/>
  <c r="M564" i="5"/>
  <c r="L564" i="5"/>
  <c r="K564" i="5"/>
  <c r="J564" i="5"/>
  <c r="I564" i="5"/>
  <c r="H564" i="5"/>
  <c r="CF563" i="5"/>
  <c r="CE563" i="5"/>
  <c r="CC563" i="5"/>
  <c r="AR563" i="5"/>
  <c r="CF562" i="5"/>
  <c r="CE562" i="5"/>
  <c r="BH562" i="5"/>
  <c r="CC562" i="5" s="1"/>
  <c r="AR562" i="5"/>
  <c r="CF561" i="5"/>
  <c r="CE561" i="5"/>
  <c r="CC561" i="5"/>
  <c r="AR561" i="5"/>
  <c r="CF560" i="5"/>
  <c r="CE560" i="5"/>
  <c r="BH560" i="5"/>
  <c r="CC560" i="5" s="1"/>
  <c r="AR560" i="5"/>
  <c r="CF559" i="5"/>
  <c r="CE559" i="5"/>
  <c r="BH559" i="5"/>
  <c r="CC559" i="5" s="1"/>
  <c r="AR559" i="5"/>
  <c r="CF558" i="5"/>
  <c r="CE558" i="5"/>
  <c r="BH558" i="5"/>
  <c r="BH564" i="5" s="1"/>
  <c r="AR558" i="5"/>
  <c r="CF557" i="5"/>
  <c r="CE557" i="5"/>
  <c r="CC557" i="5"/>
  <c r="AR557" i="5"/>
  <c r="CF556" i="5"/>
  <c r="CE556" i="5"/>
  <c r="AT556" i="5"/>
  <c r="AR556" i="5"/>
  <c r="CF555" i="5"/>
  <c r="CE555" i="5"/>
  <c r="AT555" i="5"/>
  <c r="CC555" i="5" s="1"/>
  <c r="AR555" i="5"/>
  <c r="CF554" i="5"/>
  <c r="CE554" i="5"/>
  <c r="AT554" i="5"/>
  <c r="CC554" i="5" s="1"/>
  <c r="AR554" i="5"/>
  <c r="CF553" i="5"/>
  <c r="CE553" i="5"/>
  <c r="CC553" i="5"/>
  <c r="AR553" i="5"/>
  <c r="CF552" i="5"/>
  <c r="CE552" i="5"/>
  <c r="CC552" i="5"/>
  <c r="AR552" i="5"/>
  <c r="CF551" i="5"/>
  <c r="CE551" i="5"/>
  <c r="CC551" i="5"/>
  <c r="AR551" i="5"/>
  <c r="CF550" i="5"/>
  <c r="CE550" i="5"/>
  <c r="CC550" i="5"/>
  <c r="AR550" i="5"/>
  <c r="CF549" i="5"/>
  <c r="CE549" i="5"/>
  <c r="CC549" i="5"/>
  <c r="AR549" i="5"/>
  <c r="CM548" i="5"/>
  <c r="CL548" i="5"/>
  <c r="CK548" i="5"/>
  <c r="CJ548" i="5"/>
  <c r="CI548" i="5"/>
  <c r="CH548" i="5"/>
  <c r="CG548" i="5"/>
  <c r="CB548" i="5"/>
  <c r="CA548" i="5"/>
  <c r="BZ548" i="5"/>
  <c r="BY548" i="5"/>
  <c r="BX548" i="5"/>
  <c r="BW548" i="5"/>
  <c r="BV548" i="5"/>
  <c r="BU548" i="5"/>
  <c r="BT548" i="5"/>
  <c r="BS548" i="5"/>
  <c r="BR548" i="5"/>
  <c r="BQ548" i="5"/>
  <c r="BP548" i="5"/>
  <c r="BO548" i="5"/>
  <c r="BN548" i="5"/>
  <c r="BM548" i="5"/>
  <c r="BL548" i="5"/>
  <c r="BK548" i="5"/>
  <c r="BJ548" i="5"/>
  <c r="BI548" i="5"/>
  <c r="BH548" i="5"/>
  <c r="BG548" i="5"/>
  <c r="BF548" i="5"/>
  <c r="BE548" i="5"/>
  <c r="BD548" i="5"/>
  <c r="BC548" i="5"/>
  <c r="BB548" i="5"/>
  <c r="BA548" i="5"/>
  <c r="AZ548" i="5"/>
  <c r="AY548" i="5"/>
  <c r="AX548" i="5"/>
  <c r="AW548" i="5"/>
  <c r="AV548" i="5"/>
  <c r="AU548" i="5"/>
  <c r="A548" i="5" s="1"/>
  <c r="AS548" i="5"/>
  <c r="AQ548" i="5"/>
  <c r="AP548" i="5"/>
  <c r="AO548" i="5"/>
  <c r="AM548" i="5"/>
  <c r="AL548" i="5"/>
  <c r="AK548" i="5"/>
  <c r="AJ548" i="5"/>
  <c r="AI548" i="5"/>
  <c r="AH548" i="5"/>
  <c r="AG548" i="5"/>
  <c r="AF548" i="5"/>
  <c r="AE548" i="5"/>
  <c r="AD548" i="5"/>
  <c r="AC548" i="5"/>
  <c r="AB548" i="5"/>
  <c r="AA548" i="5"/>
  <c r="Z548" i="5"/>
  <c r="Y548" i="5"/>
  <c r="X548" i="5"/>
  <c r="W548" i="5"/>
  <c r="V548" i="5"/>
  <c r="U548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CF547" i="5"/>
  <c r="CE547" i="5"/>
  <c r="CC547" i="5"/>
  <c r="CD547" i="5" s="1"/>
  <c r="AR547" i="5"/>
  <c r="CF546" i="5"/>
  <c r="CE546" i="5"/>
  <c r="CC546" i="5"/>
  <c r="AR546" i="5"/>
  <c r="CF545" i="5"/>
  <c r="CE545" i="5"/>
  <c r="CC545" i="5"/>
  <c r="CD545" i="5" s="1"/>
  <c r="AR545" i="5"/>
  <c r="CF544" i="5"/>
  <c r="CE544" i="5"/>
  <c r="CC544" i="5"/>
  <c r="AR544" i="5"/>
  <c r="CF543" i="5"/>
  <c r="CE543" i="5"/>
  <c r="CC543" i="5"/>
  <c r="AR543" i="5"/>
  <c r="CF542" i="5"/>
  <c r="CE542" i="5"/>
  <c r="CC542" i="5"/>
  <c r="CD542" i="5" s="1"/>
  <c r="AR542" i="5"/>
  <c r="CF541" i="5"/>
  <c r="CE541" i="5"/>
  <c r="CC541" i="5"/>
  <c r="AR541" i="5"/>
  <c r="CF540" i="5"/>
  <c r="CE540" i="5"/>
  <c r="CC540" i="5"/>
  <c r="AR540" i="5"/>
  <c r="CE539" i="5"/>
  <c r="CC539" i="5"/>
  <c r="AR539" i="5"/>
  <c r="D539" i="5"/>
  <c r="CF539" i="5" s="1"/>
  <c r="CF538" i="5"/>
  <c r="CE538" i="5"/>
  <c r="CC538" i="5"/>
  <c r="CD538" i="5" s="1"/>
  <c r="AR538" i="5"/>
  <c r="CF537" i="5"/>
  <c r="CE537" i="5"/>
  <c r="CC537" i="5"/>
  <c r="AR537" i="5"/>
  <c r="CF536" i="5"/>
  <c r="CE536" i="5"/>
  <c r="CC536" i="5"/>
  <c r="AR536" i="5"/>
  <c r="CD536" i="5" s="1"/>
  <c r="CF535" i="5"/>
  <c r="CE535" i="5"/>
  <c r="CC535" i="5"/>
  <c r="AR535" i="5"/>
  <c r="CF534" i="5"/>
  <c r="CE534" i="5"/>
  <c r="CC534" i="5"/>
  <c r="AR534" i="5"/>
  <c r="CF533" i="5"/>
  <c r="CE533" i="5"/>
  <c r="CC533" i="5"/>
  <c r="AR533" i="5"/>
  <c r="CF532" i="5"/>
  <c r="CE532" i="5"/>
  <c r="CC532" i="5"/>
  <c r="AR532" i="5"/>
  <c r="CE531" i="5"/>
  <c r="CC531" i="5"/>
  <c r="AR531" i="5"/>
  <c r="CE530" i="5"/>
  <c r="CC530" i="5"/>
  <c r="AR530" i="5"/>
  <c r="CE529" i="5"/>
  <c r="CC529" i="5"/>
  <c r="AR529" i="5"/>
  <c r="D529" i="5"/>
  <c r="D530" i="5" s="1"/>
  <c r="D531" i="5" s="1"/>
  <c r="CF531" i="5" s="1"/>
  <c r="CF528" i="5"/>
  <c r="CE528" i="5"/>
  <c r="CC528" i="5"/>
  <c r="AR528" i="5"/>
  <c r="CF527" i="5"/>
  <c r="CE527" i="5"/>
  <c r="CC527" i="5"/>
  <c r="AR527" i="5"/>
  <c r="CF526" i="5"/>
  <c r="CE526" i="5"/>
  <c r="CC526" i="5"/>
  <c r="AR526" i="5"/>
  <c r="CF525" i="5"/>
  <c r="CE525" i="5"/>
  <c r="CC525" i="5"/>
  <c r="AR525" i="5"/>
  <c r="CF524" i="5"/>
  <c r="CE524" i="5"/>
  <c r="CC524" i="5"/>
  <c r="AR524" i="5"/>
  <c r="CF523" i="5"/>
  <c r="CE523" i="5"/>
  <c r="CC523" i="5"/>
  <c r="AR523" i="5"/>
  <c r="CF522" i="5"/>
  <c r="CE522" i="5"/>
  <c r="CC522" i="5"/>
  <c r="AR522" i="5"/>
  <c r="CF521" i="5"/>
  <c r="CE521" i="5"/>
  <c r="CC521" i="5"/>
  <c r="AR521" i="5"/>
  <c r="CF520" i="5"/>
  <c r="CE520" i="5"/>
  <c r="CC520" i="5"/>
  <c r="AR520" i="5"/>
  <c r="CF519" i="5"/>
  <c r="CE519" i="5"/>
  <c r="CC519" i="5"/>
  <c r="AR519" i="5"/>
  <c r="E519" i="5"/>
  <c r="E527" i="5" s="1"/>
  <c r="E531" i="5" s="1"/>
  <c r="E537" i="5" s="1"/>
  <c r="E543" i="5" s="1"/>
  <c r="CF518" i="5"/>
  <c r="CE518" i="5"/>
  <c r="CC518" i="5"/>
  <c r="AR518" i="5"/>
  <c r="E518" i="5"/>
  <c r="E526" i="5" s="1"/>
  <c r="E530" i="5" s="1"/>
  <c r="E536" i="5" s="1"/>
  <c r="E542" i="5" s="1"/>
  <c r="CF517" i="5"/>
  <c r="CE517" i="5"/>
  <c r="CC517" i="5"/>
  <c r="AR517" i="5"/>
  <c r="CD517" i="5" s="1"/>
  <c r="E517" i="5"/>
  <c r="E521" i="5" s="1"/>
  <c r="E523" i="5" s="1"/>
  <c r="E525" i="5" s="1"/>
  <c r="E529" i="5" s="1"/>
  <c r="E533" i="5" s="1"/>
  <c r="E535" i="5" s="1"/>
  <c r="E539" i="5" s="1"/>
  <c r="E541" i="5" s="1"/>
  <c r="E545" i="5" s="1"/>
  <c r="E547" i="5" s="1"/>
  <c r="CF516" i="5"/>
  <c r="CE516" i="5"/>
  <c r="CC516" i="5"/>
  <c r="AR516" i="5"/>
  <c r="E516" i="5"/>
  <c r="E520" i="5" s="1"/>
  <c r="E522" i="5" s="1"/>
  <c r="E524" i="5" s="1"/>
  <c r="E528" i="5" s="1"/>
  <c r="E532" i="5" s="1"/>
  <c r="E534" i="5" s="1"/>
  <c r="E538" i="5" s="1"/>
  <c r="E540" i="5" s="1"/>
  <c r="E544" i="5" s="1"/>
  <c r="E546" i="5" s="1"/>
  <c r="CF515" i="5"/>
  <c r="CE515" i="5"/>
  <c r="CC515" i="5"/>
  <c r="AR515" i="5"/>
  <c r="CF514" i="5"/>
  <c r="CE514" i="5"/>
  <c r="CC514" i="5"/>
  <c r="AR514" i="5"/>
  <c r="CF513" i="5"/>
  <c r="CE513" i="5"/>
  <c r="CC513" i="5"/>
  <c r="AR513" i="5"/>
  <c r="CF512" i="5"/>
  <c r="CE512" i="5"/>
  <c r="CC512" i="5"/>
  <c r="AR512" i="5"/>
  <c r="CF511" i="5"/>
  <c r="CE511" i="5"/>
  <c r="CC511" i="5"/>
  <c r="CD511" i="5" s="1"/>
  <c r="AR511" i="5"/>
  <c r="CF510" i="5"/>
  <c r="CE510" i="5"/>
  <c r="CC510" i="5"/>
  <c r="AR510" i="5"/>
  <c r="CF509" i="5"/>
  <c r="CE509" i="5"/>
  <c r="CD509" i="5"/>
  <c r="CC509" i="5"/>
  <c r="AR509" i="5"/>
  <c r="CF508" i="5"/>
  <c r="CE508" i="5"/>
  <c r="CC508" i="5"/>
  <c r="AR508" i="5"/>
  <c r="E508" i="5"/>
  <c r="E509" i="5" s="1"/>
  <c r="E510" i="5" s="1"/>
  <c r="CF507" i="5"/>
  <c r="CE507" i="5"/>
  <c r="CC507" i="5"/>
  <c r="AR507" i="5"/>
  <c r="CF506" i="5"/>
  <c r="CE506" i="5"/>
  <c r="CC506" i="5"/>
  <c r="AR506" i="5"/>
  <c r="CD506" i="5" s="1"/>
  <c r="CF505" i="5"/>
  <c r="CE505" i="5"/>
  <c r="CC505" i="5"/>
  <c r="AR505" i="5"/>
  <c r="CF504" i="5"/>
  <c r="CE504" i="5"/>
  <c r="CC504" i="5"/>
  <c r="AR504" i="5"/>
  <c r="CF503" i="5"/>
  <c r="CE503" i="5"/>
  <c r="CC503" i="5"/>
  <c r="AR503" i="5"/>
  <c r="CF502" i="5"/>
  <c r="CE502" i="5"/>
  <c r="CC502" i="5"/>
  <c r="AR502" i="5"/>
  <c r="CD502" i="5" s="1"/>
  <c r="CF501" i="5"/>
  <c r="CE501" i="5"/>
  <c r="CC501" i="5"/>
  <c r="AR501" i="5"/>
  <c r="CF500" i="5"/>
  <c r="CE500" i="5"/>
  <c r="CC500" i="5"/>
  <c r="AR500" i="5"/>
  <c r="CD500" i="5" s="1"/>
  <c r="CF499" i="5"/>
  <c r="CE499" i="5"/>
  <c r="CC499" i="5"/>
  <c r="AR499" i="5"/>
  <c r="CF498" i="5"/>
  <c r="CE498" i="5"/>
  <c r="CC498" i="5"/>
  <c r="AR498" i="5"/>
  <c r="CF497" i="5"/>
  <c r="CE497" i="5"/>
  <c r="CC497" i="5"/>
  <c r="AR497" i="5"/>
  <c r="CF496" i="5"/>
  <c r="CE496" i="5"/>
  <c r="CC496" i="5"/>
  <c r="AR496" i="5"/>
  <c r="CF495" i="5"/>
  <c r="CE495" i="5"/>
  <c r="CC495" i="5"/>
  <c r="AR495" i="5"/>
  <c r="CF494" i="5"/>
  <c r="CE494" i="5"/>
  <c r="CC494" i="5"/>
  <c r="AR494" i="5"/>
  <c r="CF493" i="5"/>
  <c r="CE493" i="5"/>
  <c r="AT493" i="5"/>
  <c r="CC493" i="5" s="1"/>
  <c r="AR493" i="5"/>
  <c r="E493" i="5"/>
  <c r="CF492" i="5"/>
  <c r="CE492" i="5"/>
  <c r="AT492" i="5"/>
  <c r="CC492" i="5" s="1"/>
  <c r="AR492" i="5"/>
  <c r="CF491" i="5"/>
  <c r="CE491" i="5"/>
  <c r="AT491" i="5"/>
  <c r="CC491" i="5" s="1"/>
  <c r="CD491" i="5" s="1"/>
  <c r="AR491" i="5"/>
  <c r="E491" i="5"/>
  <c r="CF490" i="5"/>
  <c r="CE490" i="5"/>
  <c r="CC490" i="5"/>
  <c r="CD490" i="5" s="1"/>
  <c r="AR490" i="5"/>
  <c r="CF489" i="5"/>
  <c r="CE489" i="5"/>
  <c r="CC489" i="5"/>
  <c r="AR489" i="5"/>
  <c r="CF488" i="5"/>
  <c r="CE488" i="5"/>
  <c r="CC488" i="5"/>
  <c r="AR488" i="5"/>
  <c r="CF487" i="5"/>
  <c r="CE487" i="5"/>
  <c r="CC487" i="5"/>
  <c r="AR487" i="5"/>
  <c r="E487" i="5"/>
  <c r="E492" i="5" s="1"/>
  <c r="CF486" i="5"/>
  <c r="CE486" i="5"/>
  <c r="CC486" i="5"/>
  <c r="AR486" i="5"/>
  <c r="E486" i="5"/>
  <c r="CF485" i="5"/>
  <c r="CE485" i="5"/>
  <c r="CC485" i="5"/>
  <c r="AR485" i="5"/>
  <c r="CF484" i="5"/>
  <c r="CE484" i="5"/>
  <c r="CC484" i="5"/>
  <c r="AR484" i="5"/>
  <c r="CF483" i="5"/>
  <c r="CE483" i="5"/>
  <c r="CC483" i="5"/>
  <c r="AR483" i="5"/>
  <c r="CF482" i="5"/>
  <c r="CE482" i="5"/>
  <c r="CC482" i="5"/>
  <c r="AR482" i="5"/>
  <c r="CF481" i="5"/>
  <c r="CE481" i="5"/>
  <c r="CC481" i="5"/>
  <c r="AR481" i="5"/>
  <c r="CF480" i="5"/>
  <c r="CE480" i="5"/>
  <c r="AT480" i="5"/>
  <c r="CC480" i="5" s="1"/>
  <c r="AR480" i="5"/>
  <c r="CF479" i="5"/>
  <c r="CE479" i="5"/>
  <c r="CC479" i="5"/>
  <c r="AR479" i="5"/>
  <c r="CF478" i="5"/>
  <c r="CE478" i="5"/>
  <c r="CC478" i="5"/>
  <c r="AR478" i="5"/>
  <c r="CF477" i="5"/>
  <c r="CE477" i="5"/>
  <c r="CC477" i="5"/>
  <c r="AR477" i="5"/>
  <c r="CF476" i="5"/>
  <c r="CE476" i="5"/>
  <c r="CC476" i="5"/>
  <c r="AR476" i="5"/>
  <c r="CF475" i="5"/>
  <c r="CE475" i="5"/>
  <c r="CC475" i="5"/>
  <c r="AR475" i="5"/>
  <c r="CF474" i="5"/>
  <c r="CE474" i="5"/>
  <c r="CC474" i="5"/>
  <c r="AR474" i="5"/>
  <c r="CD474" i="5" s="1"/>
  <c r="CF473" i="5"/>
  <c r="CE473" i="5"/>
  <c r="CC473" i="5"/>
  <c r="AR473" i="5"/>
  <c r="CF472" i="5"/>
  <c r="CE472" i="5"/>
  <c r="CC472" i="5"/>
  <c r="AR472" i="5"/>
  <c r="CD472" i="5" s="1"/>
  <c r="CF471" i="5"/>
  <c r="CE471" i="5"/>
  <c r="CC471" i="5"/>
  <c r="AR471" i="5"/>
  <c r="CF470" i="5"/>
  <c r="CE470" i="5"/>
  <c r="CC470" i="5"/>
  <c r="AR470" i="5"/>
  <c r="CF469" i="5"/>
  <c r="CE469" i="5"/>
  <c r="CC469" i="5"/>
  <c r="AR469" i="5"/>
  <c r="CF468" i="5"/>
  <c r="CE468" i="5"/>
  <c r="CC468" i="5"/>
  <c r="AR468" i="5"/>
  <c r="CF467" i="5"/>
  <c r="CE467" i="5"/>
  <c r="CC467" i="5"/>
  <c r="AR467" i="5"/>
  <c r="CF466" i="5"/>
  <c r="CE466" i="5"/>
  <c r="CC466" i="5"/>
  <c r="AR466" i="5"/>
  <c r="CF465" i="5"/>
  <c r="CE465" i="5"/>
  <c r="CC465" i="5"/>
  <c r="AR465" i="5"/>
  <c r="E465" i="5"/>
  <c r="CF464" i="5"/>
  <c r="CE464" i="5"/>
  <c r="CC464" i="5"/>
  <c r="AR464" i="5"/>
  <c r="E464" i="5"/>
  <c r="CF463" i="5"/>
  <c r="CE463" i="5"/>
  <c r="CD463" i="5"/>
  <c r="CC463" i="5"/>
  <c r="AR463" i="5"/>
  <c r="CF462" i="5"/>
  <c r="CE462" i="5"/>
  <c r="CC462" i="5"/>
  <c r="AR462" i="5"/>
  <c r="CF461" i="5"/>
  <c r="CE461" i="5"/>
  <c r="CC461" i="5"/>
  <c r="AR461" i="5"/>
  <c r="CF460" i="5"/>
  <c r="CE460" i="5"/>
  <c r="CC460" i="5"/>
  <c r="AR460" i="5"/>
  <c r="CD460" i="5" s="1"/>
  <c r="CF459" i="5"/>
  <c r="CE459" i="5"/>
  <c r="CC459" i="5"/>
  <c r="AR459" i="5"/>
  <c r="CF458" i="5"/>
  <c r="CE458" i="5"/>
  <c r="CC458" i="5"/>
  <c r="AR458" i="5"/>
  <c r="CD458" i="5" s="1"/>
  <c r="CF457" i="5"/>
  <c r="CE457" i="5"/>
  <c r="CC457" i="5"/>
  <c r="AR457" i="5"/>
  <c r="CF456" i="5"/>
  <c r="CE456" i="5"/>
  <c r="CC456" i="5"/>
  <c r="AR456" i="5"/>
  <c r="CF455" i="5"/>
  <c r="CE455" i="5"/>
  <c r="CC455" i="5"/>
  <c r="AR455" i="5"/>
  <c r="CF454" i="5"/>
  <c r="CE454" i="5"/>
  <c r="CC454" i="5"/>
  <c r="AR454" i="5"/>
  <c r="CF453" i="5"/>
  <c r="CE453" i="5"/>
  <c r="CC453" i="5"/>
  <c r="AR453" i="5"/>
  <c r="CF452" i="5"/>
  <c r="CE452" i="5"/>
  <c r="AT452" i="5"/>
  <c r="CC452" i="5" s="1"/>
  <c r="AR452" i="5"/>
  <c r="CF451" i="5"/>
  <c r="CE451" i="5"/>
  <c r="CC451" i="5"/>
  <c r="AR451" i="5"/>
  <c r="CF450" i="5"/>
  <c r="CE450" i="5"/>
  <c r="CC450" i="5"/>
  <c r="AR450" i="5"/>
  <c r="CF449" i="5"/>
  <c r="CE449" i="5"/>
  <c r="CC449" i="5"/>
  <c r="AR449" i="5"/>
  <c r="CF448" i="5"/>
  <c r="CE448" i="5"/>
  <c r="CC448" i="5"/>
  <c r="AT448" i="5"/>
  <c r="AR448" i="5"/>
  <c r="CF447" i="5"/>
  <c r="CE447" i="5"/>
  <c r="CC447" i="5"/>
  <c r="AR447" i="5"/>
  <c r="CF446" i="5"/>
  <c r="CE446" i="5"/>
  <c r="CC446" i="5"/>
  <c r="AR446" i="5"/>
  <c r="CF445" i="5"/>
  <c r="CE445" i="5"/>
  <c r="CC445" i="5"/>
  <c r="AR445" i="5"/>
  <c r="CF444" i="5"/>
  <c r="CE444" i="5"/>
  <c r="CC444" i="5"/>
  <c r="AR444" i="5"/>
  <c r="CF443" i="5"/>
  <c r="CE443" i="5"/>
  <c r="CC443" i="5"/>
  <c r="AR443" i="5"/>
  <c r="CF442" i="5"/>
  <c r="CE442" i="5"/>
  <c r="CC442" i="5"/>
  <c r="AR442" i="5"/>
  <c r="CF441" i="5"/>
  <c r="CE441" i="5"/>
  <c r="CC441" i="5"/>
  <c r="AR441" i="5"/>
  <c r="CF440" i="5"/>
  <c r="CE440" i="5"/>
  <c r="CC440" i="5"/>
  <c r="AR440" i="5"/>
  <c r="CF439" i="5"/>
  <c r="CE439" i="5"/>
  <c r="CC439" i="5"/>
  <c r="AR439" i="5"/>
  <c r="CF438" i="5"/>
  <c r="CE438" i="5"/>
  <c r="CC438" i="5"/>
  <c r="AR438" i="5"/>
  <c r="CF437" i="5"/>
  <c r="CE437" i="5"/>
  <c r="CC437" i="5"/>
  <c r="AR437" i="5"/>
  <c r="CF436" i="5"/>
  <c r="CE436" i="5"/>
  <c r="CC436" i="5"/>
  <c r="AR436" i="5"/>
  <c r="CF435" i="5"/>
  <c r="CE435" i="5"/>
  <c r="CC435" i="5"/>
  <c r="AR435" i="5"/>
  <c r="CF434" i="5"/>
  <c r="CE434" i="5"/>
  <c r="CC434" i="5"/>
  <c r="AR434" i="5"/>
  <c r="CF433" i="5"/>
  <c r="CE433" i="5"/>
  <c r="CC433" i="5"/>
  <c r="AR433" i="5"/>
  <c r="CF432" i="5"/>
  <c r="CE432" i="5"/>
  <c r="CC432" i="5"/>
  <c r="AR432" i="5"/>
  <c r="CF431" i="5"/>
  <c r="CE431" i="5"/>
  <c r="CC431" i="5"/>
  <c r="AR431" i="5"/>
  <c r="CF430" i="5"/>
  <c r="CE430" i="5"/>
  <c r="CC430" i="5"/>
  <c r="CD430" i="5" s="1"/>
  <c r="AR430" i="5"/>
  <c r="CF429" i="5"/>
  <c r="CE429" i="5"/>
  <c r="CC429" i="5"/>
  <c r="AR429" i="5"/>
  <c r="CF428" i="5"/>
  <c r="CE428" i="5"/>
  <c r="CC428" i="5"/>
  <c r="AR428" i="5"/>
  <c r="CF427" i="5"/>
  <c r="CE427" i="5"/>
  <c r="CC427" i="5"/>
  <c r="AR427" i="5"/>
  <c r="CF426" i="5"/>
  <c r="CE426" i="5"/>
  <c r="CC426" i="5"/>
  <c r="AR426" i="5"/>
  <c r="CF425" i="5"/>
  <c r="CE425" i="5"/>
  <c r="CC425" i="5"/>
  <c r="AR425" i="5"/>
  <c r="CF424" i="5"/>
  <c r="CE424" i="5"/>
  <c r="CC424" i="5"/>
  <c r="AR424" i="5"/>
  <c r="CF423" i="5"/>
  <c r="CE423" i="5"/>
  <c r="CC423" i="5"/>
  <c r="CD423" i="5" s="1"/>
  <c r="AR423" i="5"/>
  <c r="CF422" i="5"/>
  <c r="CE422" i="5"/>
  <c r="CC422" i="5"/>
  <c r="AR422" i="5"/>
  <c r="CF421" i="5"/>
  <c r="CE421" i="5"/>
  <c r="CC421" i="5"/>
  <c r="CD421" i="5" s="1"/>
  <c r="AR421" i="5"/>
  <c r="CF420" i="5"/>
  <c r="CE420" i="5"/>
  <c r="CC420" i="5"/>
  <c r="AR420" i="5"/>
  <c r="CF419" i="5"/>
  <c r="CE419" i="5"/>
  <c r="CC419" i="5"/>
  <c r="AR419" i="5"/>
  <c r="CF418" i="5"/>
  <c r="CE418" i="5"/>
  <c r="CC418" i="5"/>
  <c r="AR418" i="5"/>
  <c r="CF417" i="5"/>
  <c r="CE417" i="5"/>
  <c r="CC417" i="5"/>
  <c r="CD417" i="5" s="1"/>
  <c r="AR417" i="5"/>
  <c r="CF416" i="5"/>
  <c r="CE416" i="5"/>
  <c r="CC416" i="5"/>
  <c r="AR416" i="5"/>
  <c r="CF415" i="5"/>
  <c r="CE415" i="5"/>
  <c r="CC415" i="5"/>
  <c r="AR415" i="5"/>
  <c r="CF414" i="5"/>
  <c r="CE414" i="5"/>
  <c r="AT414" i="5"/>
  <c r="CC414" i="5" s="1"/>
  <c r="AR414" i="5"/>
  <c r="CF413" i="5"/>
  <c r="CE413" i="5"/>
  <c r="AT413" i="5"/>
  <c r="CC413" i="5" s="1"/>
  <c r="AR413" i="5"/>
  <c r="CF412" i="5"/>
  <c r="CE412" i="5"/>
  <c r="CC412" i="5"/>
  <c r="AR412" i="5"/>
  <c r="CF411" i="5"/>
  <c r="CE411" i="5"/>
  <c r="CC411" i="5"/>
  <c r="AR411" i="5"/>
  <c r="CF410" i="5"/>
  <c r="CE410" i="5"/>
  <c r="CC410" i="5"/>
  <c r="AR410" i="5"/>
  <c r="CF409" i="5"/>
  <c r="CE409" i="5"/>
  <c r="CC409" i="5"/>
  <c r="AR409" i="5"/>
  <c r="CF408" i="5"/>
  <c r="CE408" i="5"/>
  <c r="CC408" i="5"/>
  <c r="AR408" i="5"/>
  <c r="CF407" i="5"/>
  <c r="CE407" i="5"/>
  <c r="CC407" i="5"/>
  <c r="AR407" i="5"/>
  <c r="CF406" i="5"/>
  <c r="CE406" i="5"/>
  <c r="CC406" i="5"/>
  <c r="AR406" i="5"/>
  <c r="CF405" i="5"/>
  <c r="CE405" i="5"/>
  <c r="CC405" i="5"/>
  <c r="AR405" i="5"/>
  <c r="CF404" i="5"/>
  <c r="CE404" i="5"/>
  <c r="AT404" i="5"/>
  <c r="AT548" i="5" s="1"/>
  <c r="AR404" i="5"/>
  <c r="CF403" i="5"/>
  <c r="CE403" i="5"/>
  <c r="CC403" i="5"/>
  <c r="CD403" i="5" s="1"/>
  <c r="AR403" i="5"/>
  <c r="CF402" i="5"/>
  <c r="CE402" i="5"/>
  <c r="AV402" i="5"/>
  <c r="AU402" i="5"/>
  <c r="AS402" i="5"/>
  <c r="AQ402" i="5"/>
  <c r="AP402" i="5"/>
  <c r="AO402" i="5"/>
  <c r="AM402" i="5"/>
  <c r="AL402" i="5"/>
  <c r="AK402" i="5"/>
  <c r="AJ402" i="5"/>
  <c r="AI402" i="5"/>
  <c r="AH402" i="5"/>
  <c r="AG402" i="5"/>
  <c r="AF402" i="5"/>
  <c r="AE402" i="5"/>
  <c r="AD402" i="5"/>
  <c r="AC402" i="5"/>
  <c r="AB402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CF401" i="5"/>
  <c r="CE401" i="5"/>
  <c r="CC401" i="5"/>
  <c r="CD401" i="5" s="1"/>
  <c r="AR401" i="5"/>
  <c r="E401" i="5"/>
  <c r="CF400" i="5"/>
  <c r="CE400" i="5"/>
  <c r="CC400" i="5"/>
  <c r="AR400" i="5"/>
  <c r="E400" i="5"/>
  <c r="CF399" i="5"/>
  <c r="CE399" i="5"/>
  <c r="CC399" i="5"/>
  <c r="AR399" i="5"/>
  <c r="CF398" i="5"/>
  <c r="CE398" i="5"/>
  <c r="CC398" i="5"/>
  <c r="AR398" i="5"/>
  <c r="CF397" i="5"/>
  <c r="CE397" i="5"/>
  <c r="CC397" i="5"/>
  <c r="AR397" i="5"/>
  <c r="CD397" i="5" s="1"/>
  <c r="CF396" i="5"/>
  <c r="CE396" i="5"/>
  <c r="CC396" i="5"/>
  <c r="AR396" i="5"/>
  <c r="CF395" i="5"/>
  <c r="CE395" i="5"/>
  <c r="CC395" i="5"/>
  <c r="AR395" i="5"/>
  <c r="CD395" i="5" s="1"/>
  <c r="CF394" i="5"/>
  <c r="CE394" i="5"/>
  <c r="CC394" i="5"/>
  <c r="AR394" i="5"/>
  <c r="CF393" i="5"/>
  <c r="CE393" i="5"/>
  <c r="CC393" i="5"/>
  <c r="AR393" i="5"/>
  <c r="CF392" i="5"/>
  <c r="CE392" i="5"/>
  <c r="CC392" i="5"/>
  <c r="AR392" i="5"/>
  <c r="CF391" i="5"/>
  <c r="CE391" i="5"/>
  <c r="CC391" i="5"/>
  <c r="AR391" i="5"/>
  <c r="CF390" i="5"/>
  <c r="CE390" i="5"/>
  <c r="CC390" i="5"/>
  <c r="AR390" i="5"/>
  <c r="CD390" i="5" s="1"/>
  <c r="CF389" i="5"/>
  <c r="CE389" i="5"/>
  <c r="AT389" i="5"/>
  <c r="CC389" i="5" s="1"/>
  <c r="AR389" i="5"/>
  <c r="CF388" i="5"/>
  <c r="CE388" i="5"/>
  <c r="CC388" i="5"/>
  <c r="AR388" i="5"/>
  <c r="CF387" i="5"/>
  <c r="CE387" i="5"/>
  <c r="CC387" i="5"/>
  <c r="AR387" i="5"/>
  <c r="CF386" i="5"/>
  <c r="CE386" i="5"/>
  <c r="AT386" i="5"/>
  <c r="AR386" i="5"/>
  <c r="CF385" i="5"/>
  <c r="CE385" i="5"/>
  <c r="CC385" i="5"/>
  <c r="AR385" i="5"/>
  <c r="CF384" i="5"/>
  <c r="CE384" i="5"/>
  <c r="CC384" i="5"/>
  <c r="AR384" i="5"/>
  <c r="CF383" i="5"/>
  <c r="CE383" i="5"/>
  <c r="CC383" i="5"/>
  <c r="AR383" i="5"/>
  <c r="CF382" i="5"/>
  <c r="CE382" i="5"/>
  <c r="CC382" i="5"/>
  <c r="AR382" i="5"/>
  <c r="CF381" i="5"/>
  <c r="CE381" i="5"/>
  <c r="CC381" i="5"/>
  <c r="AR381" i="5"/>
  <c r="CF380" i="5"/>
  <c r="CE380" i="5"/>
  <c r="CC380" i="5"/>
  <c r="AR380" i="5"/>
  <c r="CF379" i="5"/>
  <c r="CE379" i="5"/>
  <c r="CC379" i="5"/>
  <c r="AR379" i="5"/>
  <c r="CF378" i="5"/>
  <c r="CE378" i="5"/>
  <c r="CC378" i="5"/>
  <c r="AR378" i="5"/>
  <c r="CF377" i="5"/>
  <c r="CE377" i="5"/>
  <c r="CC377" i="5"/>
  <c r="AR377" i="5"/>
  <c r="CF376" i="5"/>
  <c r="CE376" i="5"/>
  <c r="CC376" i="5"/>
  <c r="AR376" i="5"/>
  <c r="CF375" i="5"/>
  <c r="CE375" i="5"/>
  <c r="CC375" i="5"/>
  <c r="AR375" i="5"/>
  <c r="CF374" i="5"/>
  <c r="CE374" i="5"/>
  <c r="CC374" i="5"/>
  <c r="AR374" i="5"/>
  <c r="CF373" i="5"/>
  <c r="CE373" i="5"/>
  <c r="CC373" i="5"/>
  <c r="CD373" i="5" s="1"/>
  <c r="AR373" i="5"/>
  <c r="E373" i="5"/>
  <c r="CF372" i="5"/>
  <c r="CE372" i="5"/>
  <c r="CC372" i="5"/>
  <c r="AR372" i="5"/>
  <c r="CF371" i="5"/>
  <c r="CE371" i="5"/>
  <c r="CC371" i="5"/>
  <c r="AR371" i="5"/>
  <c r="CF370" i="5"/>
  <c r="CE370" i="5"/>
  <c r="CC370" i="5"/>
  <c r="AR370" i="5"/>
  <c r="CF369" i="5"/>
  <c r="CE369" i="5"/>
  <c r="CC369" i="5"/>
  <c r="AR369" i="5"/>
  <c r="CF368" i="5"/>
  <c r="CE368" i="5"/>
  <c r="CC368" i="5"/>
  <c r="AR368" i="5"/>
  <c r="CF367" i="5"/>
  <c r="CE367" i="5"/>
  <c r="CC367" i="5"/>
  <c r="AR367" i="5"/>
  <c r="CF366" i="5"/>
  <c r="CE366" i="5"/>
  <c r="CC366" i="5"/>
  <c r="AR366" i="5"/>
  <c r="CF365" i="5"/>
  <c r="CE365" i="5"/>
  <c r="CC365" i="5"/>
  <c r="AR365" i="5"/>
  <c r="CF364" i="5"/>
  <c r="CE364" i="5"/>
  <c r="CC364" i="5"/>
  <c r="AR364" i="5"/>
  <c r="CF363" i="5"/>
  <c r="CE363" i="5"/>
  <c r="CC363" i="5"/>
  <c r="AR363" i="5"/>
  <c r="CF362" i="5"/>
  <c r="CE362" i="5"/>
  <c r="CC362" i="5"/>
  <c r="AR362" i="5"/>
  <c r="CF361" i="5"/>
  <c r="CE361" i="5"/>
  <c r="CC361" i="5"/>
  <c r="CD361" i="5" s="1"/>
  <c r="AR361" i="5"/>
  <c r="CF360" i="5"/>
  <c r="CE360" i="5"/>
  <c r="CC360" i="5"/>
  <c r="AR360" i="5"/>
  <c r="CF359" i="5"/>
  <c r="CE359" i="5"/>
  <c r="CC359" i="5"/>
  <c r="AR359" i="5"/>
  <c r="CF358" i="5"/>
  <c r="CE358" i="5"/>
  <c r="CC358" i="5"/>
  <c r="AR358" i="5"/>
  <c r="CF357" i="5"/>
  <c r="CE357" i="5"/>
  <c r="CC357" i="5"/>
  <c r="AR357" i="5"/>
  <c r="CF356" i="5"/>
  <c r="CE356" i="5"/>
  <c r="CC356" i="5"/>
  <c r="AR356" i="5"/>
  <c r="CF355" i="5"/>
  <c r="CE355" i="5"/>
  <c r="CC355" i="5"/>
  <c r="AR355" i="5"/>
  <c r="CF354" i="5"/>
  <c r="CE354" i="5"/>
  <c r="CC354" i="5"/>
  <c r="AR354" i="5"/>
  <c r="CF353" i="5"/>
  <c r="CE353" i="5"/>
  <c r="CC353" i="5"/>
  <c r="AR353" i="5"/>
  <c r="CF352" i="5"/>
  <c r="CE352" i="5"/>
  <c r="CC352" i="5"/>
  <c r="AR352" i="5"/>
  <c r="CF351" i="5"/>
  <c r="CE351" i="5"/>
  <c r="CC351" i="5"/>
  <c r="AR351" i="5"/>
  <c r="CF350" i="5"/>
  <c r="CE350" i="5"/>
  <c r="CC350" i="5"/>
  <c r="AR350" i="5"/>
  <c r="CF349" i="5"/>
  <c r="CE349" i="5"/>
  <c r="CC349" i="5"/>
  <c r="AR349" i="5"/>
  <c r="CF348" i="5"/>
  <c r="CE348" i="5"/>
  <c r="CC348" i="5"/>
  <c r="CD348" i="5" s="1"/>
  <c r="AR348" i="5"/>
  <c r="AV347" i="5"/>
  <c r="AS347" i="5"/>
  <c r="AQ347" i="5"/>
  <c r="AP347" i="5"/>
  <c r="AO347" i="5"/>
  <c r="AM347" i="5"/>
  <c r="AL347" i="5"/>
  <c r="AK347" i="5"/>
  <c r="AJ347" i="5"/>
  <c r="AI347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CF346" i="5"/>
  <c r="CE346" i="5"/>
  <c r="AT346" i="5"/>
  <c r="CC346" i="5" s="1"/>
  <c r="AR346" i="5"/>
  <c r="CF345" i="5"/>
  <c r="CE345" i="5"/>
  <c r="CC345" i="5"/>
  <c r="AR345" i="5"/>
  <c r="CF344" i="5"/>
  <c r="CE344" i="5"/>
  <c r="CC344" i="5"/>
  <c r="AR344" i="5"/>
  <c r="CF343" i="5"/>
  <c r="CE343" i="5"/>
  <c r="CC343" i="5"/>
  <c r="AR343" i="5"/>
  <c r="CF342" i="5"/>
  <c r="CE342" i="5"/>
  <c r="CC342" i="5"/>
  <c r="AR342" i="5"/>
  <c r="CF341" i="5"/>
  <c r="CE341" i="5"/>
  <c r="CC341" i="5"/>
  <c r="AR341" i="5"/>
  <c r="CF340" i="5"/>
  <c r="CE340" i="5"/>
  <c r="CC340" i="5"/>
  <c r="AR340" i="5"/>
  <c r="CD340" i="5" s="1"/>
  <c r="CF339" i="5"/>
  <c r="CE339" i="5"/>
  <c r="CC339" i="5"/>
  <c r="AR339" i="5"/>
  <c r="CF338" i="5"/>
  <c r="CE338" i="5"/>
  <c r="CC338" i="5"/>
  <c r="AR338" i="5"/>
  <c r="CF337" i="5"/>
  <c r="CE337" i="5"/>
  <c r="AU337" i="5"/>
  <c r="CC337" i="5" s="1"/>
  <c r="AT337" i="5"/>
  <c r="AR337" i="5"/>
  <c r="CF336" i="5"/>
  <c r="CE336" i="5"/>
  <c r="CC336" i="5"/>
  <c r="AR336" i="5"/>
  <c r="CF335" i="5"/>
  <c r="CE335" i="5"/>
  <c r="CC335" i="5"/>
  <c r="AR335" i="5"/>
  <c r="CF334" i="5"/>
  <c r="CE334" i="5"/>
  <c r="CC334" i="5"/>
  <c r="AR334" i="5"/>
  <c r="CF333" i="5"/>
  <c r="CE333" i="5"/>
  <c r="CC333" i="5"/>
  <c r="AR333" i="5"/>
  <c r="E333" i="5"/>
  <c r="CF332" i="5"/>
  <c r="CE332" i="5"/>
  <c r="CC332" i="5"/>
  <c r="CD332" i="5" s="1"/>
  <c r="AR332" i="5"/>
  <c r="E332" i="5"/>
  <c r="CF331" i="5"/>
  <c r="CE331" i="5"/>
  <c r="CC331" i="5"/>
  <c r="AR331" i="5"/>
  <c r="E331" i="5"/>
  <c r="E338" i="5" s="1"/>
  <c r="CF330" i="5"/>
  <c r="CE330" i="5"/>
  <c r="CC330" i="5"/>
  <c r="AR330" i="5"/>
  <c r="E330" i="5"/>
  <c r="CF329" i="5"/>
  <c r="CE329" i="5"/>
  <c r="CC329" i="5"/>
  <c r="AR329" i="5"/>
  <c r="E329" i="5"/>
  <c r="E334" i="5" s="1"/>
  <c r="CF328" i="5"/>
  <c r="CE328" i="5"/>
  <c r="CC328" i="5"/>
  <c r="CD328" i="5" s="1"/>
  <c r="AR328" i="5"/>
  <c r="CF327" i="5"/>
  <c r="CE327" i="5"/>
  <c r="CC327" i="5"/>
  <c r="AR327" i="5"/>
  <c r="CF326" i="5"/>
  <c r="CE326" i="5"/>
  <c r="CC326" i="5"/>
  <c r="AR326" i="5"/>
  <c r="CF325" i="5"/>
  <c r="CE325" i="5"/>
  <c r="CC325" i="5"/>
  <c r="AR325" i="5"/>
  <c r="CF324" i="5"/>
  <c r="CE324" i="5"/>
  <c r="CC324" i="5"/>
  <c r="AR324" i="5"/>
  <c r="CF323" i="5"/>
  <c r="CE323" i="5"/>
  <c r="CC323" i="5"/>
  <c r="AR323" i="5"/>
  <c r="CF322" i="5"/>
  <c r="CE322" i="5"/>
  <c r="CC322" i="5"/>
  <c r="AR322" i="5"/>
  <c r="CF321" i="5"/>
  <c r="CE321" i="5"/>
  <c r="AT321" i="5"/>
  <c r="CC321" i="5" s="1"/>
  <c r="AR321" i="5"/>
  <c r="CF320" i="5"/>
  <c r="CE320" i="5"/>
  <c r="CC320" i="5"/>
  <c r="AR320" i="5"/>
  <c r="CF319" i="5"/>
  <c r="CE319" i="5"/>
  <c r="CC319" i="5"/>
  <c r="AR319" i="5"/>
  <c r="CF318" i="5"/>
  <c r="CE318" i="5"/>
  <c r="CC318" i="5"/>
  <c r="AR318" i="5"/>
  <c r="CF317" i="5"/>
  <c r="CE317" i="5"/>
  <c r="CC317" i="5"/>
  <c r="AR317" i="5"/>
  <c r="CF316" i="5"/>
  <c r="CE316" i="5"/>
  <c r="CC316" i="5"/>
  <c r="AR316" i="5"/>
  <c r="CF315" i="5"/>
  <c r="CE315" i="5"/>
  <c r="CC315" i="5"/>
  <c r="AR315" i="5"/>
  <c r="CF314" i="5"/>
  <c r="CE314" i="5"/>
  <c r="CC314" i="5"/>
  <c r="AR314" i="5"/>
  <c r="CF313" i="5"/>
  <c r="CE313" i="5"/>
  <c r="CC313" i="5"/>
  <c r="AT313" i="5"/>
  <c r="AR313" i="5"/>
  <c r="CF312" i="5"/>
  <c r="CE312" i="5"/>
  <c r="AT312" i="5"/>
  <c r="CC312" i="5" s="1"/>
  <c r="AR312" i="5"/>
  <c r="CF311" i="5"/>
  <c r="CE311" i="5"/>
  <c r="CC311" i="5"/>
  <c r="AR311" i="5"/>
  <c r="E311" i="5"/>
  <c r="CF310" i="5"/>
  <c r="CE310" i="5"/>
  <c r="CC310" i="5"/>
  <c r="AR310" i="5"/>
  <c r="E310" i="5"/>
  <c r="CF309" i="5"/>
  <c r="CE309" i="5"/>
  <c r="CC309" i="5"/>
  <c r="CD309" i="5" s="1"/>
  <c r="AR309" i="5"/>
  <c r="E309" i="5"/>
  <c r="CF308" i="5"/>
  <c r="CE308" i="5"/>
  <c r="CC308" i="5"/>
  <c r="AR308" i="5"/>
  <c r="E308" i="5"/>
  <c r="CF307" i="5"/>
  <c r="CE307" i="5"/>
  <c r="CC307" i="5"/>
  <c r="AR307" i="5"/>
  <c r="E307" i="5"/>
  <c r="CF306" i="5"/>
  <c r="CE306" i="5"/>
  <c r="CC306" i="5"/>
  <c r="AR306" i="5"/>
  <c r="E306" i="5"/>
  <c r="CF305" i="5"/>
  <c r="CE305" i="5"/>
  <c r="CC305" i="5"/>
  <c r="AT305" i="5"/>
  <c r="AR305" i="5"/>
  <c r="E305" i="5"/>
  <c r="CF304" i="5"/>
  <c r="CE304" i="5"/>
  <c r="AT304" i="5"/>
  <c r="CC304" i="5" s="1"/>
  <c r="AR304" i="5"/>
  <c r="E304" i="5"/>
  <c r="CF303" i="5"/>
  <c r="CE303" i="5"/>
  <c r="CC303" i="5"/>
  <c r="AR303" i="5"/>
  <c r="CF302" i="5"/>
  <c r="CE302" i="5"/>
  <c r="CC302" i="5"/>
  <c r="AR302" i="5"/>
  <c r="CF301" i="5"/>
  <c r="CE301" i="5"/>
  <c r="CC301" i="5"/>
  <c r="AR301" i="5"/>
  <c r="CF300" i="5"/>
  <c r="CE300" i="5"/>
  <c r="CC300" i="5"/>
  <c r="AR300" i="5"/>
  <c r="CF299" i="5"/>
  <c r="CE299" i="5"/>
  <c r="CC299" i="5"/>
  <c r="AR299" i="5"/>
  <c r="CF298" i="5"/>
  <c r="CE298" i="5"/>
  <c r="CC298" i="5"/>
  <c r="AR298" i="5"/>
  <c r="CF297" i="5"/>
  <c r="CE297" i="5"/>
  <c r="CC297" i="5"/>
  <c r="AT297" i="5"/>
  <c r="AR297" i="5"/>
  <c r="CF296" i="5"/>
  <c r="CE296" i="5"/>
  <c r="AT296" i="5"/>
  <c r="AR296" i="5"/>
  <c r="CF295" i="5"/>
  <c r="CE295" i="5"/>
  <c r="CC295" i="5"/>
  <c r="AR295" i="5"/>
  <c r="CF294" i="5"/>
  <c r="CE294" i="5"/>
  <c r="CC294" i="5"/>
  <c r="AR294" i="5"/>
  <c r="CF293" i="5"/>
  <c r="CE293" i="5"/>
  <c r="CC293" i="5"/>
  <c r="AR293" i="5"/>
  <c r="CF292" i="5"/>
  <c r="CE292" i="5"/>
  <c r="CC292" i="5"/>
  <c r="AR292" i="5"/>
  <c r="CF291" i="5"/>
  <c r="CE291" i="5"/>
  <c r="CC291" i="5"/>
  <c r="AR291" i="5"/>
  <c r="CF290" i="5"/>
  <c r="CE290" i="5"/>
  <c r="CC290" i="5"/>
  <c r="AR290" i="5"/>
  <c r="CF289" i="5"/>
  <c r="CE289" i="5"/>
  <c r="CC289" i="5"/>
  <c r="AR289" i="5"/>
  <c r="CF288" i="5"/>
  <c r="CE288" i="5"/>
  <c r="CC288" i="5"/>
  <c r="AR288" i="5"/>
  <c r="CF287" i="5"/>
  <c r="CE287" i="5"/>
  <c r="CC287" i="5"/>
  <c r="AR287" i="5"/>
  <c r="CF286" i="5"/>
  <c r="CE286" i="5"/>
  <c r="CC286" i="5"/>
  <c r="AR286" i="5"/>
  <c r="CF285" i="5"/>
  <c r="CE285" i="5"/>
  <c r="CC285" i="5"/>
  <c r="AR285" i="5"/>
  <c r="CF284" i="5"/>
  <c r="CE284" i="5"/>
  <c r="CC284" i="5"/>
  <c r="AR284" i="5"/>
  <c r="CF283" i="5"/>
  <c r="CE283" i="5"/>
  <c r="AV283" i="5"/>
  <c r="AS283" i="5"/>
  <c r="AQ283" i="5"/>
  <c r="AP283" i="5"/>
  <c r="AO283" i="5"/>
  <c r="AM283" i="5"/>
  <c r="AL283" i="5"/>
  <c r="AK283" i="5"/>
  <c r="AJ283" i="5"/>
  <c r="AI283" i="5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CF282" i="5"/>
  <c r="CE282" i="5"/>
  <c r="CC282" i="5"/>
  <c r="CD282" i="5" s="1"/>
  <c r="AR282" i="5"/>
  <c r="CF281" i="5"/>
  <c r="CE281" i="5"/>
  <c r="CC281" i="5"/>
  <c r="AR281" i="5"/>
  <c r="CF280" i="5"/>
  <c r="CE280" i="5"/>
  <c r="CC280" i="5"/>
  <c r="CD280" i="5" s="1"/>
  <c r="AR280" i="5"/>
  <c r="CF279" i="5"/>
  <c r="CE279" i="5"/>
  <c r="CD279" i="5"/>
  <c r="CC279" i="5"/>
  <c r="AR279" i="5"/>
  <c r="CF278" i="5"/>
  <c r="CE278" i="5"/>
  <c r="CC278" i="5"/>
  <c r="AR278" i="5"/>
  <c r="CF277" i="5"/>
  <c r="CE277" i="5"/>
  <c r="CC277" i="5"/>
  <c r="AR277" i="5"/>
  <c r="CF276" i="5"/>
  <c r="CE276" i="5"/>
  <c r="CC276" i="5"/>
  <c r="AR276" i="5"/>
  <c r="CF275" i="5"/>
  <c r="CE275" i="5"/>
  <c r="CC275" i="5"/>
  <c r="CD275" i="5" s="1"/>
  <c r="AR275" i="5"/>
  <c r="CF274" i="5"/>
  <c r="CE274" i="5"/>
  <c r="CC274" i="5"/>
  <c r="CD274" i="5" s="1"/>
  <c r="AR274" i="5"/>
  <c r="CF273" i="5"/>
  <c r="CE273" i="5"/>
  <c r="CC273" i="5"/>
  <c r="AR273" i="5"/>
  <c r="CF272" i="5"/>
  <c r="CE272" i="5"/>
  <c r="CC272" i="5"/>
  <c r="CD272" i="5" s="1"/>
  <c r="AR272" i="5"/>
  <c r="CF271" i="5"/>
  <c r="CE271" i="5"/>
  <c r="CC271" i="5"/>
  <c r="AR271" i="5"/>
  <c r="CF270" i="5"/>
  <c r="CE270" i="5"/>
  <c r="CC270" i="5"/>
  <c r="AR270" i="5"/>
  <c r="CF269" i="5"/>
  <c r="CE269" i="5"/>
  <c r="CC269" i="5"/>
  <c r="AR269" i="5"/>
  <c r="CF268" i="5"/>
  <c r="CE268" i="5"/>
  <c r="CC268" i="5"/>
  <c r="AR268" i="5"/>
  <c r="CF267" i="5"/>
  <c r="CE267" i="5"/>
  <c r="AT267" i="5"/>
  <c r="AU267" i="5" s="1"/>
  <c r="AR267" i="5"/>
  <c r="CF266" i="5"/>
  <c r="CE266" i="5"/>
  <c r="CC266" i="5"/>
  <c r="CD266" i="5" s="1"/>
  <c r="AR266" i="5"/>
  <c r="CF265" i="5"/>
  <c r="CE265" i="5"/>
  <c r="CC265" i="5"/>
  <c r="AR265" i="5"/>
  <c r="CF264" i="5"/>
  <c r="CE264" i="5"/>
  <c r="CC264" i="5"/>
  <c r="AR264" i="5"/>
  <c r="CF263" i="5"/>
  <c r="CE263" i="5"/>
  <c r="CC263" i="5"/>
  <c r="AR263" i="5"/>
  <c r="CF262" i="5"/>
  <c r="CE262" i="5"/>
  <c r="CC262" i="5"/>
  <c r="AR262" i="5"/>
  <c r="CF261" i="5"/>
  <c r="CE261" i="5"/>
  <c r="CC261" i="5"/>
  <c r="AR261" i="5"/>
  <c r="CF260" i="5"/>
  <c r="CE260" i="5"/>
  <c r="CC260" i="5"/>
  <c r="AR260" i="5"/>
  <c r="CF259" i="5"/>
  <c r="CE259" i="5"/>
  <c r="CC259" i="5"/>
  <c r="AR259" i="5"/>
  <c r="CF258" i="5"/>
  <c r="CE258" i="5"/>
  <c r="CC258" i="5"/>
  <c r="AR258" i="5"/>
  <c r="CF257" i="5"/>
  <c r="CE257" i="5"/>
  <c r="CC257" i="5"/>
  <c r="AR257" i="5"/>
  <c r="CF256" i="5"/>
  <c r="CE256" i="5"/>
  <c r="CC256" i="5"/>
  <c r="AR256" i="5"/>
  <c r="CF255" i="5"/>
  <c r="CE255" i="5"/>
  <c r="CC255" i="5"/>
  <c r="AR255" i="5"/>
  <c r="CF254" i="5"/>
  <c r="CE254" i="5"/>
  <c r="CC254" i="5"/>
  <c r="AR254" i="5"/>
  <c r="CF253" i="5"/>
  <c r="CE253" i="5"/>
  <c r="CC253" i="5"/>
  <c r="AR253" i="5"/>
  <c r="CF252" i="5"/>
  <c r="CE252" i="5"/>
  <c r="CC252" i="5"/>
  <c r="AR252" i="5"/>
  <c r="CF251" i="5"/>
  <c r="CE251" i="5"/>
  <c r="CC251" i="5"/>
  <c r="AR251" i="5"/>
  <c r="CF250" i="5"/>
  <c r="CE250" i="5"/>
  <c r="CC250" i="5"/>
  <c r="AR250" i="5"/>
  <c r="CF249" i="5"/>
  <c r="CE249" i="5"/>
  <c r="CC249" i="5"/>
  <c r="CD249" i="5" s="1"/>
  <c r="AR249" i="5"/>
  <c r="CF248" i="5"/>
  <c r="CE248" i="5"/>
  <c r="CC248" i="5"/>
  <c r="AR248" i="5"/>
  <c r="CF247" i="5"/>
  <c r="CE247" i="5"/>
  <c r="CC247" i="5"/>
  <c r="AR247" i="5"/>
  <c r="CF246" i="5"/>
  <c r="CE246" i="5"/>
  <c r="CC246" i="5"/>
  <c r="AR246" i="5"/>
  <c r="CF245" i="5"/>
  <c r="CE245" i="5"/>
  <c r="CC245" i="5"/>
  <c r="CD245" i="5" s="1"/>
  <c r="AR245" i="5"/>
  <c r="CF244" i="5"/>
  <c r="CE244" i="5"/>
  <c r="CC244" i="5"/>
  <c r="CD244" i="5" s="1"/>
  <c r="AR244" i="5"/>
  <c r="CF243" i="5"/>
  <c r="CE243" i="5"/>
  <c r="CC243" i="5"/>
  <c r="CD243" i="5" s="1"/>
  <c r="AR243" i="5"/>
  <c r="CF242" i="5"/>
  <c r="CE242" i="5"/>
  <c r="CC242" i="5"/>
  <c r="CD242" i="5" s="1"/>
  <c r="AR242" i="5"/>
  <c r="CF241" i="5"/>
  <c r="CE241" i="5"/>
  <c r="CC241" i="5"/>
  <c r="AR241" i="5"/>
  <c r="CF240" i="5"/>
  <c r="CE240" i="5"/>
  <c r="CC240" i="5"/>
  <c r="AR240" i="5"/>
  <c r="CF239" i="5"/>
  <c r="CE239" i="5"/>
  <c r="CC239" i="5"/>
  <c r="AR239" i="5"/>
  <c r="CF238" i="5"/>
  <c r="CE238" i="5"/>
  <c r="CC238" i="5"/>
  <c r="AR238" i="5"/>
  <c r="CF237" i="5"/>
  <c r="CE237" i="5"/>
  <c r="CC237" i="5"/>
  <c r="CD237" i="5" s="1"/>
  <c r="AR237" i="5"/>
  <c r="CF236" i="5"/>
  <c r="CE236" i="5"/>
  <c r="AT236" i="5"/>
  <c r="CC236" i="5" s="1"/>
  <c r="CD236" i="5" s="1"/>
  <c r="AR236" i="5"/>
  <c r="CF235" i="5"/>
  <c r="CE235" i="5"/>
  <c r="CC235" i="5"/>
  <c r="CD235" i="5" s="1"/>
  <c r="AR235" i="5"/>
  <c r="CF234" i="5"/>
  <c r="CE234" i="5"/>
  <c r="CD234" i="5"/>
  <c r="CC234" i="5"/>
  <c r="AR234" i="5"/>
  <c r="CF233" i="5"/>
  <c r="CE233" i="5"/>
  <c r="CC233" i="5"/>
  <c r="AR233" i="5"/>
  <c r="CF232" i="5"/>
  <c r="CE232" i="5"/>
  <c r="CC232" i="5"/>
  <c r="AR232" i="5"/>
  <c r="CF231" i="5"/>
  <c r="CE231" i="5"/>
  <c r="CC231" i="5"/>
  <c r="AR231" i="5"/>
  <c r="CF230" i="5"/>
  <c r="CE230" i="5"/>
  <c r="CC230" i="5"/>
  <c r="AR230" i="5"/>
  <c r="CF229" i="5"/>
  <c r="CE229" i="5"/>
  <c r="CC229" i="5"/>
  <c r="AR229" i="5"/>
  <c r="CF228" i="5"/>
  <c r="CE228" i="5"/>
  <c r="CC228" i="5"/>
  <c r="AR228" i="5"/>
  <c r="CF227" i="5"/>
  <c r="CE227" i="5"/>
  <c r="CC227" i="5"/>
  <c r="AR227" i="5"/>
  <c r="CF226" i="5"/>
  <c r="CE226" i="5"/>
  <c r="CC226" i="5"/>
  <c r="AR226" i="5"/>
  <c r="CF225" i="5"/>
  <c r="CE225" i="5"/>
  <c r="CC225" i="5"/>
  <c r="AR225" i="5"/>
  <c r="CF224" i="5"/>
  <c r="CE224" i="5"/>
  <c r="CC224" i="5"/>
  <c r="AR224" i="5"/>
  <c r="CF223" i="5"/>
  <c r="CE223" i="5"/>
  <c r="CC223" i="5"/>
  <c r="AR223" i="5"/>
  <c r="CF222" i="5"/>
  <c r="CE222" i="5"/>
  <c r="CC222" i="5"/>
  <c r="AR222" i="5"/>
  <c r="CF221" i="5"/>
  <c r="CE221" i="5"/>
  <c r="CC221" i="5"/>
  <c r="AR221" i="5"/>
  <c r="CF220" i="5"/>
  <c r="CE220" i="5"/>
  <c r="CC220" i="5"/>
  <c r="AR220" i="5"/>
  <c r="CF219" i="5"/>
  <c r="CE219" i="5"/>
  <c r="CC219" i="5"/>
  <c r="AR219" i="5"/>
  <c r="CF218" i="5"/>
  <c r="CE218" i="5"/>
  <c r="CC218" i="5"/>
  <c r="AR218" i="5"/>
  <c r="CD218" i="5" s="1"/>
  <c r="E218" i="5"/>
  <c r="CF217" i="5"/>
  <c r="CE217" i="5"/>
  <c r="CC217" i="5"/>
  <c r="AR217" i="5"/>
  <c r="CF216" i="5"/>
  <c r="CE216" i="5"/>
  <c r="CC216" i="5"/>
  <c r="AR216" i="5"/>
  <c r="E216" i="5"/>
  <c r="CF215" i="5"/>
  <c r="CE215" i="5"/>
  <c r="CC215" i="5"/>
  <c r="AR215" i="5"/>
  <c r="CF214" i="5"/>
  <c r="CE214" i="5"/>
  <c r="CC214" i="5"/>
  <c r="AR214" i="5"/>
  <c r="CF213" i="5"/>
  <c r="CE213" i="5"/>
  <c r="CC213" i="5"/>
  <c r="AR213" i="5"/>
  <c r="CF212" i="5"/>
  <c r="CE212" i="5"/>
  <c r="CC212" i="5"/>
  <c r="CD212" i="5" s="1"/>
  <c r="AR212" i="5"/>
  <c r="CF211" i="5"/>
  <c r="CE211" i="5"/>
  <c r="AT211" i="5"/>
  <c r="CC211" i="5" s="1"/>
  <c r="CD211" i="5" s="1"/>
  <c r="AR211" i="5"/>
  <c r="CF210" i="5"/>
  <c r="CE210" i="5"/>
  <c r="CC210" i="5"/>
  <c r="CD210" i="5" s="1"/>
  <c r="AR210" i="5"/>
  <c r="CF209" i="5"/>
  <c r="CE209" i="5"/>
  <c r="CD209" i="5"/>
  <c r="CC209" i="5"/>
  <c r="AR209" i="5"/>
  <c r="CF208" i="5"/>
  <c r="CE208" i="5"/>
  <c r="CC208" i="5"/>
  <c r="AR208" i="5"/>
  <c r="CF207" i="5"/>
  <c r="CE207" i="5"/>
  <c r="CC207" i="5"/>
  <c r="AR207" i="5"/>
  <c r="CF206" i="5"/>
  <c r="CE206" i="5"/>
  <c r="CC206" i="5"/>
  <c r="AR206" i="5"/>
  <c r="CF205" i="5"/>
  <c r="CE205" i="5"/>
  <c r="CC205" i="5"/>
  <c r="CD205" i="5" s="1"/>
  <c r="AR205" i="5"/>
  <c r="CF204" i="5"/>
  <c r="CE204" i="5"/>
  <c r="CC204" i="5"/>
  <c r="AR204" i="5"/>
  <c r="E204" i="5"/>
  <c r="E205" i="5" s="1"/>
  <c r="CF203" i="5"/>
  <c r="CE203" i="5"/>
  <c r="CC203" i="5"/>
  <c r="AR203" i="5"/>
  <c r="E203" i="5"/>
  <c r="CF202" i="5"/>
  <c r="CE202" i="5"/>
  <c r="CC202" i="5"/>
  <c r="AR202" i="5"/>
  <c r="CF201" i="5"/>
  <c r="CE201" i="5"/>
  <c r="CC201" i="5"/>
  <c r="AR201" i="5"/>
  <c r="CF200" i="5"/>
  <c r="CE200" i="5"/>
  <c r="CC200" i="5"/>
  <c r="AR200" i="5"/>
  <c r="CF199" i="5"/>
  <c r="CE199" i="5"/>
  <c r="CC199" i="5"/>
  <c r="AR199" i="5"/>
  <c r="CF198" i="5"/>
  <c r="CE198" i="5"/>
  <c r="CC198" i="5"/>
  <c r="AR198" i="5"/>
  <c r="CF197" i="5"/>
  <c r="CE197" i="5"/>
  <c r="CC197" i="5"/>
  <c r="AR197" i="5"/>
  <c r="CF196" i="5"/>
  <c r="CE196" i="5"/>
  <c r="CC196" i="5"/>
  <c r="AR196" i="5"/>
  <c r="CF195" i="5"/>
  <c r="CE195" i="5"/>
  <c r="CC195" i="5"/>
  <c r="AR195" i="5"/>
  <c r="E195" i="5"/>
  <c r="CF194" i="5"/>
  <c r="CE194" i="5"/>
  <c r="CC194" i="5"/>
  <c r="AR194" i="5"/>
  <c r="CF193" i="5"/>
  <c r="CE193" i="5"/>
  <c r="CC193" i="5"/>
  <c r="AR193" i="5"/>
  <c r="CF192" i="5"/>
  <c r="CE192" i="5"/>
  <c r="CC192" i="5"/>
  <c r="AR192" i="5"/>
  <c r="E192" i="5"/>
  <c r="CF191" i="5"/>
  <c r="CE191" i="5"/>
  <c r="CC191" i="5"/>
  <c r="AR191" i="5"/>
  <c r="E191" i="5"/>
  <c r="CF190" i="5"/>
  <c r="CE190" i="5"/>
  <c r="CC190" i="5"/>
  <c r="AR190" i="5"/>
  <c r="CF189" i="5"/>
  <c r="CE189" i="5"/>
  <c r="CC189" i="5"/>
  <c r="AR189" i="5"/>
  <c r="CF188" i="5"/>
  <c r="CE188" i="5"/>
  <c r="CC188" i="5"/>
  <c r="AR188" i="5"/>
  <c r="CF187" i="5"/>
  <c r="CE187" i="5"/>
  <c r="CC187" i="5"/>
  <c r="CD187" i="5" s="1"/>
  <c r="AR187" i="5"/>
  <c r="CF186" i="5"/>
  <c r="CE186" i="5"/>
  <c r="AT186" i="5"/>
  <c r="CC186" i="5" s="1"/>
  <c r="AR186" i="5"/>
  <c r="CF185" i="5"/>
  <c r="CE185" i="5"/>
  <c r="AT185" i="5"/>
  <c r="CC185" i="5" s="1"/>
  <c r="AR185" i="5"/>
  <c r="CF184" i="5"/>
  <c r="CE184" i="5"/>
  <c r="CC184" i="5"/>
  <c r="AR184" i="5"/>
  <c r="CF183" i="5"/>
  <c r="CE183" i="5"/>
  <c r="CC183" i="5"/>
  <c r="AR183" i="5"/>
  <c r="CF182" i="5"/>
  <c r="CE182" i="5"/>
  <c r="CC182" i="5"/>
  <c r="AT182" i="5"/>
  <c r="AR182" i="5"/>
  <c r="CF181" i="5"/>
  <c r="CE181" i="5"/>
  <c r="CC181" i="5"/>
  <c r="AR181" i="5"/>
  <c r="CF180" i="5"/>
  <c r="CE180" i="5"/>
  <c r="CC180" i="5"/>
  <c r="AR180" i="5"/>
  <c r="CF179" i="5"/>
  <c r="CE179" i="5"/>
  <c r="CC179" i="5"/>
  <c r="AR179" i="5"/>
  <c r="CF178" i="5"/>
  <c r="CE178" i="5"/>
  <c r="CC178" i="5"/>
  <c r="AR178" i="5"/>
  <c r="CF177" i="5"/>
  <c r="CE177" i="5"/>
  <c r="CC177" i="5"/>
  <c r="AR177" i="5"/>
  <c r="CF176" i="5"/>
  <c r="CE176" i="5"/>
  <c r="CC176" i="5"/>
  <c r="AR176" i="5"/>
  <c r="CF175" i="5"/>
  <c r="CE175" i="5"/>
  <c r="CC175" i="5"/>
  <c r="AR175" i="5"/>
  <c r="CF174" i="5"/>
  <c r="CE174" i="5"/>
  <c r="CC174" i="5"/>
  <c r="CD174" i="5" s="1"/>
  <c r="AR174" i="5"/>
  <c r="CF173" i="5"/>
  <c r="CE173" i="5"/>
  <c r="CC173" i="5"/>
  <c r="AR173" i="5"/>
  <c r="CF172" i="5"/>
  <c r="CE172" i="5"/>
  <c r="CC172" i="5"/>
  <c r="AR172" i="5"/>
  <c r="CF171" i="5"/>
  <c r="CE171" i="5"/>
  <c r="AT171" i="5"/>
  <c r="AU171" i="5" s="1"/>
  <c r="AR171" i="5"/>
  <c r="CF170" i="5"/>
  <c r="CE170" i="5"/>
  <c r="CC170" i="5"/>
  <c r="AR170" i="5"/>
  <c r="CF169" i="5"/>
  <c r="CE169" i="5"/>
  <c r="CC169" i="5"/>
  <c r="AR169" i="5"/>
  <c r="CF168" i="5"/>
  <c r="CE168" i="5"/>
  <c r="CC168" i="5"/>
  <c r="AR168" i="5"/>
  <c r="CF167" i="5"/>
  <c r="CE167" i="5"/>
  <c r="CC167" i="5"/>
  <c r="AR167" i="5"/>
  <c r="CF166" i="5"/>
  <c r="CE166" i="5"/>
  <c r="CC166" i="5"/>
  <c r="AR166" i="5"/>
  <c r="CF165" i="5"/>
  <c r="CE165" i="5"/>
  <c r="CC165" i="5"/>
  <c r="AR165" i="5"/>
  <c r="CF164" i="5"/>
  <c r="CE164" i="5"/>
  <c r="CC164" i="5"/>
  <c r="AR164" i="5"/>
  <c r="CF163" i="5"/>
  <c r="CE163" i="5"/>
  <c r="CC163" i="5"/>
  <c r="AR163" i="5"/>
  <c r="CF162" i="5"/>
  <c r="CE162" i="5"/>
  <c r="CC162" i="5"/>
  <c r="AR162" i="5"/>
  <c r="CF161" i="5"/>
  <c r="CE161" i="5"/>
  <c r="AT161" i="5"/>
  <c r="CC161" i="5" s="1"/>
  <c r="AR161" i="5"/>
  <c r="CF160" i="5"/>
  <c r="CE160" i="5"/>
  <c r="CC160" i="5"/>
  <c r="AR160" i="5"/>
  <c r="CF159" i="5"/>
  <c r="CE159" i="5"/>
  <c r="CC159" i="5"/>
  <c r="AR159" i="5"/>
  <c r="CF158" i="5"/>
  <c r="CE158" i="5"/>
  <c r="CC158" i="5"/>
  <c r="AR158" i="5"/>
  <c r="CF157" i="5"/>
  <c r="CE157" i="5"/>
  <c r="CC157" i="5"/>
  <c r="CD157" i="5" s="1"/>
  <c r="AR157" i="5"/>
  <c r="CF156" i="5"/>
  <c r="CE156" i="5"/>
  <c r="CC156" i="5"/>
  <c r="AR156" i="5"/>
  <c r="CF155" i="5"/>
  <c r="CE155" i="5"/>
  <c r="CC155" i="5"/>
  <c r="AR155" i="5"/>
  <c r="CF154" i="5"/>
  <c r="CE154" i="5"/>
  <c r="CC154" i="5"/>
  <c r="AR154" i="5"/>
  <c r="CF153" i="5"/>
  <c r="CE153" i="5"/>
  <c r="CC153" i="5"/>
  <c r="CD153" i="5" s="1"/>
  <c r="AR153" i="5"/>
  <c r="CF152" i="5"/>
  <c r="CE152" i="5"/>
  <c r="CC152" i="5"/>
  <c r="CD152" i="5" s="1"/>
  <c r="AR152" i="5"/>
  <c r="CF151" i="5"/>
  <c r="CE151" i="5"/>
  <c r="CC151" i="5"/>
  <c r="CD151" i="5" s="1"/>
  <c r="AR151" i="5"/>
  <c r="CF150" i="5"/>
  <c r="CE150" i="5"/>
  <c r="CC150" i="5"/>
  <c r="CD150" i="5" s="1"/>
  <c r="AR150" i="5"/>
  <c r="CF149" i="5"/>
  <c r="CE149" i="5"/>
  <c r="CC149" i="5"/>
  <c r="AR149" i="5"/>
  <c r="CF148" i="5"/>
  <c r="CE148" i="5"/>
  <c r="CC148" i="5"/>
  <c r="AR148" i="5"/>
  <c r="CF147" i="5"/>
  <c r="CE147" i="5"/>
  <c r="CC147" i="5"/>
  <c r="AR147" i="5"/>
  <c r="CF146" i="5"/>
  <c r="CE146" i="5"/>
  <c r="CC146" i="5"/>
  <c r="AR146" i="5"/>
  <c r="CF145" i="5"/>
  <c r="CE145" i="5"/>
  <c r="CC145" i="5"/>
  <c r="CD145" i="5" s="1"/>
  <c r="AR145" i="5"/>
  <c r="CF144" i="5"/>
  <c r="CE144" i="5"/>
  <c r="CC144" i="5"/>
  <c r="CD144" i="5" s="1"/>
  <c r="AR144" i="5"/>
  <c r="CF143" i="5"/>
  <c r="CE143" i="5"/>
  <c r="CC143" i="5"/>
  <c r="CD143" i="5" s="1"/>
  <c r="AR143" i="5"/>
  <c r="CF142" i="5"/>
  <c r="CE142" i="5"/>
  <c r="CC142" i="5"/>
  <c r="CD142" i="5" s="1"/>
  <c r="AR142" i="5"/>
  <c r="CF141" i="5"/>
  <c r="CE141" i="5"/>
  <c r="CD141" i="5"/>
  <c r="CC141" i="5"/>
  <c r="AR141" i="5"/>
  <c r="CF140" i="5"/>
  <c r="CE140" i="5"/>
  <c r="CC140" i="5"/>
  <c r="AR140" i="5"/>
  <c r="CF139" i="5"/>
  <c r="CE139" i="5"/>
  <c r="CC139" i="5"/>
  <c r="CD139" i="5" s="1"/>
  <c r="AR139" i="5"/>
  <c r="CF138" i="5"/>
  <c r="CE138" i="5"/>
  <c r="CC138" i="5"/>
  <c r="AR138" i="5"/>
  <c r="CF137" i="5"/>
  <c r="CE137" i="5"/>
  <c r="CC137" i="5"/>
  <c r="AR137" i="5"/>
  <c r="CF136" i="5"/>
  <c r="CE136" i="5"/>
  <c r="CC136" i="5"/>
  <c r="AR136" i="5"/>
  <c r="CF135" i="5"/>
  <c r="CE135" i="5"/>
  <c r="AT135" i="5"/>
  <c r="CC135" i="5" s="1"/>
  <c r="CD135" i="5" s="1"/>
  <c r="AR135" i="5"/>
  <c r="CF134" i="5"/>
  <c r="CE134" i="5"/>
  <c r="CC134" i="5"/>
  <c r="CD134" i="5" s="1"/>
  <c r="AR134" i="5"/>
  <c r="CF133" i="5"/>
  <c r="CE133" i="5"/>
  <c r="CC133" i="5"/>
  <c r="CD133" i="5" s="1"/>
  <c r="AR133" i="5"/>
  <c r="CF132" i="5"/>
  <c r="CE132" i="5"/>
  <c r="CC132" i="5"/>
  <c r="CD132" i="5" s="1"/>
  <c r="AR132" i="5"/>
  <c r="CF131" i="5"/>
  <c r="CE131" i="5"/>
  <c r="CC131" i="5"/>
  <c r="AR131" i="5"/>
  <c r="CF130" i="5"/>
  <c r="CE130" i="5"/>
  <c r="AT130" i="5"/>
  <c r="CC130" i="5" s="1"/>
  <c r="AR130" i="5"/>
  <c r="CF129" i="5"/>
  <c r="CE129" i="5"/>
  <c r="CC129" i="5"/>
  <c r="AR129" i="5"/>
  <c r="CF128" i="5"/>
  <c r="CE128" i="5"/>
  <c r="CC128" i="5"/>
  <c r="AR128" i="5"/>
  <c r="CF127" i="5"/>
  <c r="CE127" i="5"/>
  <c r="CC127" i="5"/>
  <c r="AR127" i="5"/>
  <c r="CF126" i="5"/>
  <c r="CE126" i="5"/>
  <c r="CC126" i="5"/>
  <c r="AR126" i="5"/>
  <c r="CF125" i="5"/>
  <c r="CE125" i="5"/>
  <c r="CC125" i="5"/>
  <c r="AR125" i="5"/>
  <c r="CF124" i="5"/>
  <c r="CE124" i="5"/>
  <c r="CC124" i="5"/>
  <c r="AR124" i="5"/>
  <c r="CF123" i="5"/>
  <c r="CE123" i="5"/>
  <c r="CC123" i="5"/>
  <c r="AR123" i="5"/>
  <c r="CF122" i="5"/>
  <c r="CE122" i="5"/>
  <c r="CC122" i="5"/>
  <c r="AR122" i="5"/>
  <c r="CF121" i="5"/>
  <c r="CE121" i="5"/>
  <c r="CC121" i="5"/>
  <c r="AR121" i="5"/>
  <c r="CF120" i="5"/>
  <c r="CE120" i="5"/>
  <c r="CC120" i="5"/>
  <c r="AR120" i="5"/>
  <c r="CF119" i="5"/>
  <c r="CE119" i="5"/>
  <c r="CC119" i="5"/>
  <c r="AR119" i="5"/>
  <c r="CF118" i="5"/>
  <c r="CE118" i="5"/>
  <c r="CC118" i="5"/>
  <c r="AR118" i="5"/>
  <c r="CF117" i="5"/>
  <c r="CE117" i="5"/>
  <c r="CC117" i="5"/>
  <c r="AT117" i="5"/>
  <c r="AR117" i="5"/>
  <c r="CF116" i="5"/>
  <c r="CE116" i="5"/>
  <c r="AT116" i="5"/>
  <c r="CC116" i="5" s="1"/>
  <c r="AR116" i="5"/>
  <c r="CF115" i="5"/>
  <c r="CE115" i="5"/>
  <c r="CC115" i="5"/>
  <c r="AR115" i="5"/>
  <c r="CF114" i="5"/>
  <c r="CE114" i="5"/>
  <c r="CC114" i="5"/>
  <c r="AR114" i="5"/>
  <c r="CF113" i="5"/>
  <c r="CE113" i="5"/>
  <c r="CC113" i="5"/>
  <c r="AR113" i="5"/>
  <c r="CF112" i="5"/>
  <c r="CE112" i="5"/>
  <c r="CC112" i="5"/>
  <c r="AR112" i="5"/>
  <c r="CF111" i="5"/>
  <c r="CE111" i="5"/>
  <c r="CC111" i="5"/>
  <c r="AR111" i="5"/>
  <c r="CF110" i="5"/>
  <c r="CE110" i="5"/>
  <c r="CC110" i="5"/>
  <c r="AR110" i="5"/>
  <c r="CD110" i="5" s="1"/>
  <c r="CF109" i="5"/>
  <c r="CE109" i="5"/>
  <c r="CC109" i="5"/>
  <c r="AR109" i="5"/>
  <c r="CF108" i="5"/>
  <c r="CE108" i="5"/>
  <c r="CC108" i="5"/>
  <c r="AR108" i="5"/>
  <c r="CF107" i="5"/>
  <c r="CE107" i="5"/>
  <c r="CC107" i="5"/>
  <c r="AR107" i="5"/>
  <c r="CF106" i="5"/>
  <c r="CE106" i="5"/>
  <c r="CC106" i="5"/>
  <c r="AR106" i="5"/>
  <c r="E106" i="5"/>
  <c r="E140" i="5" s="1"/>
  <c r="CF105" i="5"/>
  <c r="CE105" i="5"/>
  <c r="CC105" i="5"/>
  <c r="AR105" i="5"/>
  <c r="CF104" i="5"/>
  <c r="CE104" i="5"/>
  <c r="CC104" i="5"/>
  <c r="AR104" i="5"/>
  <c r="CF103" i="5"/>
  <c r="CE103" i="5"/>
  <c r="CC103" i="5"/>
  <c r="AR103" i="5"/>
  <c r="CF102" i="5"/>
  <c r="CE102" i="5"/>
  <c r="CC102" i="5"/>
  <c r="AR102" i="5"/>
  <c r="CF101" i="5"/>
  <c r="CE101" i="5"/>
  <c r="CC101" i="5"/>
  <c r="AR101" i="5"/>
  <c r="CF100" i="5"/>
  <c r="CE100" i="5"/>
  <c r="CC100" i="5"/>
  <c r="AR100" i="5"/>
  <c r="CF99" i="5"/>
  <c r="CE99" i="5"/>
  <c r="CC99" i="5"/>
  <c r="AR99" i="5"/>
  <c r="CF98" i="5"/>
  <c r="CE98" i="5"/>
  <c r="CC98" i="5"/>
  <c r="AR98" i="5"/>
  <c r="CF97" i="5"/>
  <c r="CE97" i="5"/>
  <c r="CC97" i="5"/>
  <c r="AR97" i="5"/>
  <c r="CF96" i="5"/>
  <c r="CE96" i="5"/>
  <c r="CC96" i="5"/>
  <c r="AR96" i="5"/>
  <c r="CF95" i="5"/>
  <c r="CE95" i="5"/>
  <c r="CC95" i="5"/>
  <c r="AR95" i="5"/>
  <c r="CF94" i="5"/>
  <c r="CE94" i="5"/>
  <c r="CC94" i="5"/>
  <c r="AR94" i="5"/>
  <c r="CF93" i="5"/>
  <c r="CE93" i="5"/>
  <c r="CC93" i="5"/>
  <c r="AR93" i="5"/>
  <c r="CF92" i="5"/>
  <c r="CE92" i="5"/>
  <c r="CC92" i="5"/>
  <c r="AR92" i="5"/>
  <c r="E92" i="5"/>
  <c r="CF91" i="5"/>
  <c r="CE91" i="5"/>
  <c r="CC91" i="5"/>
  <c r="AR91" i="5"/>
  <c r="CF90" i="5"/>
  <c r="CE90" i="5"/>
  <c r="CC90" i="5"/>
  <c r="AR90" i="5"/>
  <c r="CF89" i="5"/>
  <c r="CE89" i="5"/>
  <c r="CC89" i="5"/>
  <c r="AR89" i="5"/>
  <c r="CF88" i="5"/>
  <c r="CE88" i="5"/>
  <c r="CC88" i="5"/>
  <c r="CD88" i="5" s="1"/>
  <c r="AR88" i="5"/>
  <c r="CF87" i="5"/>
  <c r="CE87" i="5"/>
  <c r="CC87" i="5"/>
  <c r="CD87" i="5" s="1"/>
  <c r="AR87" i="5"/>
  <c r="CF86" i="5"/>
  <c r="CE86" i="5"/>
  <c r="CC86" i="5"/>
  <c r="CD86" i="5" s="1"/>
  <c r="AR86" i="5"/>
  <c r="CF85" i="5"/>
  <c r="CE85" i="5"/>
  <c r="CC85" i="5"/>
  <c r="CD85" i="5" s="1"/>
  <c r="AR85" i="5"/>
  <c r="CF84" i="5"/>
  <c r="CE84" i="5"/>
  <c r="CC84" i="5"/>
  <c r="AR84" i="5"/>
  <c r="CF83" i="5"/>
  <c r="CE83" i="5"/>
  <c r="CC83" i="5"/>
  <c r="AR83" i="5"/>
  <c r="CF82" i="5"/>
  <c r="CE82" i="5"/>
  <c r="CC82" i="5"/>
  <c r="AR82" i="5"/>
  <c r="CF81" i="5"/>
  <c r="CE81" i="5"/>
  <c r="CC81" i="5"/>
  <c r="AR81" i="5"/>
  <c r="CF80" i="5"/>
  <c r="CE80" i="5"/>
  <c r="CC80" i="5"/>
  <c r="CD80" i="5" s="1"/>
  <c r="AR80" i="5"/>
  <c r="CF79" i="5"/>
  <c r="CE79" i="5"/>
  <c r="CC79" i="5"/>
  <c r="CD79" i="5" s="1"/>
  <c r="AR79" i="5"/>
  <c r="CF78" i="5"/>
  <c r="CE78" i="5"/>
  <c r="CC78" i="5"/>
  <c r="CD78" i="5" s="1"/>
  <c r="AR78" i="5"/>
  <c r="CF77" i="5"/>
  <c r="CE77" i="5"/>
  <c r="CC77" i="5"/>
  <c r="CD77" i="5" s="1"/>
  <c r="AR77" i="5"/>
  <c r="CF76" i="5"/>
  <c r="CE76" i="5"/>
  <c r="CC76" i="5"/>
  <c r="AR76" i="5"/>
  <c r="CF75" i="5"/>
  <c r="CE75" i="5"/>
  <c r="CC75" i="5"/>
  <c r="AR75" i="5"/>
  <c r="CF74" i="5"/>
  <c r="CE74" i="5"/>
  <c r="CC74" i="5"/>
  <c r="AR74" i="5"/>
  <c r="CF73" i="5"/>
  <c r="CE73" i="5"/>
  <c r="CC73" i="5"/>
  <c r="AR73" i="5"/>
  <c r="CF72" i="5"/>
  <c r="CE72" i="5"/>
  <c r="CC72" i="5"/>
  <c r="AR72" i="5"/>
  <c r="CF71" i="5"/>
  <c r="CE71" i="5"/>
  <c r="CC71" i="5"/>
  <c r="AR71" i="5"/>
  <c r="E71" i="5"/>
  <c r="CF70" i="5"/>
  <c r="CE70" i="5"/>
  <c r="CC70" i="5"/>
  <c r="AR70" i="5"/>
  <c r="CF69" i="5"/>
  <c r="CE69" i="5"/>
  <c r="CC69" i="5"/>
  <c r="AR69" i="5"/>
  <c r="CF68" i="5"/>
  <c r="CE68" i="5"/>
  <c r="CC68" i="5"/>
  <c r="AR68" i="5"/>
  <c r="CF67" i="5"/>
  <c r="CE67" i="5"/>
  <c r="AT67" i="5"/>
  <c r="AR67" i="5"/>
  <c r="CF66" i="5"/>
  <c r="CE66" i="5"/>
  <c r="CC66" i="5"/>
  <c r="CD66" i="5" s="1"/>
  <c r="AR66" i="5"/>
  <c r="CF65" i="5"/>
  <c r="CE65" i="5"/>
  <c r="CC65" i="5"/>
  <c r="AR65" i="5"/>
  <c r="CF64" i="5"/>
  <c r="CE64" i="5"/>
  <c r="CC64" i="5"/>
  <c r="AR64" i="5"/>
  <c r="CF63" i="5"/>
  <c r="CE63" i="5"/>
  <c r="CC63" i="5"/>
  <c r="AR63" i="5"/>
  <c r="CF62" i="5"/>
  <c r="CE62" i="5"/>
  <c r="CC62" i="5"/>
  <c r="CD62" i="5" s="1"/>
  <c r="AR62" i="5"/>
  <c r="CF61" i="5"/>
  <c r="CE61" i="5"/>
  <c r="CC61" i="5"/>
  <c r="CD61" i="5" s="1"/>
  <c r="AR61" i="5"/>
  <c r="CF60" i="5"/>
  <c r="CE60" i="5"/>
  <c r="CC60" i="5"/>
  <c r="CD60" i="5" s="1"/>
  <c r="AR60" i="5"/>
  <c r="CF59" i="5"/>
  <c r="CE59" i="5"/>
  <c r="CC59" i="5"/>
  <c r="CD59" i="5" s="1"/>
  <c r="AR59" i="5"/>
  <c r="CF58" i="5"/>
  <c r="CE58" i="5"/>
  <c r="BH58" i="5"/>
  <c r="AR58" i="5"/>
  <c r="CF57" i="5"/>
  <c r="CE57" i="5"/>
  <c r="CC57" i="5"/>
  <c r="CD57" i="5" s="1"/>
  <c r="AR57" i="5"/>
  <c r="CF56" i="5"/>
  <c r="CE56" i="5"/>
  <c r="CC56" i="5"/>
  <c r="CD56" i="5" s="1"/>
  <c r="AR56" i="5"/>
  <c r="CF55" i="5"/>
  <c r="CE55" i="5"/>
  <c r="BH55" i="5"/>
  <c r="AT55" i="5"/>
  <c r="AR55" i="5"/>
  <c r="CF54" i="5"/>
  <c r="CE54" i="5"/>
  <c r="CC54" i="5"/>
  <c r="AR54" i="5"/>
  <c r="CF53" i="5"/>
  <c r="CE53" i="5"/>
  <c r="CC53" i="5"/>
  <c r="AR53" i="5"/>
  <c r="CF52" i="5"/>
  <c r="CE52" i="5"/>
  <c r="CC52" i="5"/>
  <c r="AR52" i="5"/>
  <c r="CF51" i="5"/>
  <c r="CE51" i="5"/>
  <c r="CC51" i="5"/>
  <c r="AR51" i="5"/>
  <c r="CF50" i="5"/>
  <c r="CE50" i="5"/>
  <c r="CC50" i="5"/>
  <c r="AR50" i="5"/>
  <c r="CF49" i="5"/>
  <c r="CE49" i="5"/>
  <c r="CC49" i="5"/>
  <c r="AR49" i="5"/>
  <c r="CF48" i="5"/>
  <c r="CE48" i="5"/>
  <c r="CC48" i="5"/>
  <c r="AR48" i="5"/>
  <c r="CF47" i="5"/>
  <c r="CE47" i="5"/>
  <c r="CC47" i="5"/>
  <c r="AR47" i="5"/>
  <c r="CD47" i="5" s="1"/>
  <c r="CF46" i="5"/>
  <c r="CE46" i="5"/>
  <c r="CC46" i="5"/>
  <c r="AR46" i="5"/>
  <c r="CF45" i="5"/>
  <c r="CE45" i="5"/>
  <c r="CC45" i="5"/>
  <c r="AR45" i="5"/>
  <c r="CO44" i="5"/>
  <c r="CO1242" i="5" s="1"/>
  <c r="CN44" i="5"/>
  <c r="CN1242" i="5" s="1"/>
  <c r="CM44" i="5"/>
  <c r="CM1242" i="5" s="1"/>
  <c r="CL44" i="5"/>
  <c r="CK44" i="5"/>
  <c r="CK1242" i="5" s="1"/>
  <c r="CJ44" i="5"/>
  <c r="CI44" i="5"/>
  <c r="CI1242" i="5" s="1"/>
  <c r="CH44" i="5"/>
  <c r="CG44" i="5"/>
  <c r="CG1242" i="5" s="1"/>
  <c r="CF44" i="5"/>
  <c r="CB44" i="5"/>
  <c r="CA44" i="5"/>
  <c r="CA1242" i="5" s="1"/>
  <c r="BZ44" i="5"/>
  <c r="BZ1242" i="5" s="1"/>
  <c r="BY44" i="5"/>
  <c r="BX44" i="5"/>
  <c r="BW44" i="5"/>
  <c r="BW1242" i="5" s="1"/>
  <c r="BV44" i="5"/>
  <c r="BV1242" i="5" s="1"/>
  <c r="BU44" i="5"/>
  <c r="BT44" i="5"/>
  <c r="BS44" i="5"/>
  <c r="BS1242" i="5" s="1"/>
  <c r="BR44" i="5"/>
  <c r="BR1242" i="5" s="1"/>
  <c r="BQ44" i="5"/>
  <c r="BP44" i="5"/>
  <c r="BO44" i="5"/>
  <c r="BO1242" i="5" s="1"/>
  <c r="BN44" i="5"/>
  <c r="BN1242" i="5" s="1"/>
  <c r="BM44" i="5"/>
  <c r="BL44" i="5"/>
  <c r="BK44" i="5"/>
  <c r="BK1242" i="5" s="1"/>
  <c r="BJ44" i="5"/>
  <c r="BJ1242" i="5" s="1"/>
  <c r="BI44" i="5"/>
  <c r="BH44" i="5"/>
  <c r="BG44" i="5"/>
  <c r="BG1242" i="5" s="1"/>
  <c r="BF44" i="5"/>
  <c r="BF1242" i="5" s="1"/>
  <c r="BE44" i="5"/>
  <c r="BD44" i="5"/>
  <c r="BC44" i="5"/>
  <c r="BC1242" i="5" s="1"/>
  <c r="BB44" i="5"/>
  <c r="BB1242" i="5" s="1"/>
  <c r="BA44" i="5"/>
  <c r="AZ44" i="5"/>
  <c r="AY44" i="5"/>
  <c r="AY1242" i="5" s="1"/>
  <c r="AX44" i="5"/>
  <c r="AX1242" i="5" s="1"/>
  <c r="AW44" i="5"/>
  <c r="AV44" i="5"/>
  <c r="AU44" i="5"/>
  <c r="AT44" i="5"/>
  <c r="AS44" i="5"/>
  <c r="AQ44" i="5"/>
  <c r="AP44" i="5"/>
  <c r="AO44" i="5"/>
  <c r="AO1242" i="5" s="1"/>
  <c r="AM44" i="5"/>
  <c r="AL44" i="5"/>
  <c r="AK44" i="5"/>
  <c r="AJ44" i="5"/>
  <c r="AJ1242" i="5" s="1"/>
  <c r="AI44" i="5"/>
  <c r="AH44" i="5"/>
  <c r="AG44" i="5"/>
  <c r="AF44" i="5"/>
  <c r="AF1242" i="5" s="1"/>
  <c r="AE44" i="5"/>
  <c r="AD44" i="5"/>
  <c r="AC44" i="5"/>
  <c r="AB44" i="5"/>
  <c r="AB1242" i="5" s="1"/>
  <c r="AA44" i="5"/>
  <c r="Z44" i="5"/>
  <c r="Y44" i="5"/>
  <c r="X44" i="5"/>
  <c r="X1242" i="5" s="1"/>
  <c r="W44" i="5"/>
  <c r="V44" i="5"/>
  <c r="U44" i="5"/>
  <c r="T44" i="5"/>
  <c r="T1242" i="5" s="1"/>
  <c r="S44" i="5"/>
  <c r="CE43" i="5"/>
  <c r="CC43" i="5"/>
  <c r="AR43" i="5"/>
  <c r="CE42" i="5"/>
  <c r="CC42" i="5"/>
  <c r="AR42" i="5"/>
  <c r="CE41" i="5"/>
  <c r="CC41" i="5"/>
  <c r="AR41" i="5"/>
  <c r="CE40" i="5"/>
  <c r="CC40" i="5"/>
  <c r="CD40" i="5" s="1"/>
  <c r="AR40" i="5"/>
  <c r="CE39" i="5"/>
  <c r="CC39" i="5"/>
  <c r="AR39" i="5"/>
  <c r="CE38" i="5"/>
  <c r="CC38" i="5"/>
  <c r="AR38" i="5"/>
  <c r="CE37" i="5"/>
  <c r="CC37" i="5"/>
  <c r="AR37" i="5"/>
  <c r="CE36" i="5"/>
  <c r="CC36" i="5"/>
  <c r="CD36" i="5" s="1"/>
  <c r="AR36" i="5"/>
  <c r="CE35" i="5"/>
  <c r="CC35" i="5"/>
  <c r="AR35" i="5"/>
  <c r="CE34" i="5"/>
  <c r="CC34" i="5"/>
  <c r="AR34" i="5"/>
  <c r="CE33" i="5"/>
  <c r="CC33" i="5"/>
  <c r="AR33" i="5"/>
  <c r="E33" i="5"/>
  <c r="CE32" i="5"/>
  <c r="CC32" i="5"/>
  <c r="AR32" i="5"/>
  <c r="CE31" i="5"/>
  <c r="CC31" i="5"/>
  <c r="AR31" i="5"/>
  <c r="CE30" i="5"/>
  <c r="CC30" i="5"/>
  <c r="AR30" i="5"/>
  <c r="CD30" i="5" s="1"/>
  <c r="CE29" i="5"/>
  <c r="CC29" i="5"/>
  <c r="AR29" i="5"/>
  <c r="E29" i="5"/>
  <c r="CE28" i="5"/>
  <c r="CC28" i="5"/>
  <c r="AR28" i="5"/>
  <c r="CE27" i="5"/>
  <c r="CC27" i="5"/>
  <c r="AR27" i="5"/>
  <c r="CE26" i="5"/>
  <c r="CC26" i="5"/>
  <c r="AR26" i="5"/>
  <c r="CI1272" i="6"/>
  <c r="CD1272" i="6"/>
  <c r="CC1272" i="6"/>
  <c r="CB1272" i="6"/>
  <c r="CA1272" i="6"/>
  <c r="BZ1272" i="6"/>
  <c r="BY1272" i="6"/>
  <c r="BX1272" i="6"/>
  <c r="BW1272" i="6"/>
  <c r="BV1272" i="6"/>
  <c r="BU1272" i="6"/>
  <c r="BT1272" i="6"/>
  <c r="BS1272" i="6"/>
  <c r="BR1272" i="6"/>
  <c r="BQ1272" i="6"/>
  <c r="BP1272" i="6"/>
  <c r="BO1272" i="6"/>
  <c r="BN1272" i="6"/>
  <c r="BM1272" i="6"/>
  <c r="BL1272" i="6"/>
  <c r="BK1272" i="6"/>
  <c r="BJ1272" i="6"/>
  <c r="BI1272" i="6"/>
  <c r="BH1272" i="6"/>
  <c r="BG1272" i="6"/>
  <c r="BF1272" i="6"/>
  <c r="BE1272" i="6"/>
  <c r="BD1272" i="6"/>
  <c r="BC1272" i="6"/>
  <c r="BB1272" i="6"/>
  <c r="BA1272" i="6"/>
  <c r="AZ1272" i="6"/>
  <c r="AY1272" i="6"/>
  <c r="AX1272" i="6"/>
  <c r="AW1272" i="6"/>
  <c r="AV1272" i="6"/>
  <c r="AU1272" i="6"/>
  <c r="AT1272" i="6"/>
  <c r="AS1272" i="6"/>
  <c r="AQ1272" i="6"/>
  <c r="AP1272" i="6"/>
  <c r="AO1272" i="6"/>
  <c r="AN1272" i="6"/>
  <c r="AM1272" i="6"/>
  <c r="AL1272" i="6"/>
  <c r="AK1272" i="6"/>
  <c r="AJ1272" i="6"/>
  <c r="AI1272" i="6"/>
  <c r="AH1272" i="6"/>
  <c r="AG1272" i="6"/>
  <c r="AF1272" i="6"/>
  <c r="AE1272" i="6"/>
  <c r="AD1272" i="6"/>
  <c r="AC1272" i="6"/>
  <c r="AB1272" i="6"/>
  <c r="AA1272" i="6"/>
  <c r="Z1272" i="6"/>
  <c r="Y1272" i="6"/>
  <c r="X1272" i="6"/>
  <c r="W1272" i="6"/>
  <c r="V1272" i="6"/>
  <c r="U1272" i="6"/>
  <c r="T1272" i="6"/>
  <c r="S1272" i="6"/>
  <c r="R1272" i="6"/>
  <c r="Q1272" i="6"/>
  <c r="P1272" i="6"/>
  <c r="O1272" i="6"/>
  <c r="N1272" i="6"/>
  <c r="M1272" i="6"/>
  <c r="L1272" i="6"/>
  <c r="K1272" i="6"/>
  <c r="J1272" i="6"/>
  <c r="I1272" i="6"/>
  <c r="H1272" i="6"/>
  <c r="G1272" i="6"/>
  <c r="CH1271" i="6"/>
  <c r="CG1271" i="6"/>
  <c r="CE1271" i="6"/>
  <c r="AR1271" i="6"/>
  <c r="CH1270" i="6"/>
  <c r="CG1270" i="6"/>
  <c r="CE1270" i="6"/>
  <c r="AR1270" i="6"/>
  <c r="CF1270" i="6" s="1"/>
  <c r="CH1269" i="6"/>
  <c r="CG1269" i="6"/>
  <c r="CE1269" i="6"/>
  <c r="AR1269" i="6"/>
  <c r="CH1268" i="6"/>
  <c r="CG1268" i="6"/>
  <c r="CE1268" i="6"/>
  <c r="AR1268" i="6"/>
  <c r="CH1267" i="6"/>
  <c r="CG1267" i="6"/>
  <c r="CE1267" i="6"/>
  <c r="AR1267" i="6"/>
  <c r="CH1266" i="6"/>
  <c r="CG1266" i="6"/>
  <c r="CE1266" i="6"/>
  <c r="AR1266" i="6"/>
  <c r="CH1265" i="6"/>
  <c r="CG1265" i="6"/>
  <c r="CE1265" i="6"/>
  <c r="CF1265" i="6" s="1"/>
  <c r="AR1265" i="6"/>
  <c r="CH1264" i="6"/>
  <c r="CG1264" i="6"/>
  <c r="CE1264" i="6"/>
  <c r="AR1264" i="6"/>
  <c r="CH1263" i="6"/>
  <c r="CG1263" i="6"/>
  <c r="CE1263" i="6"/>
  <c r="CF1263" i="6" s="1"/>
  <c r="AR1263" i="6"/>
  <c r="CH1262" i="6"/>
  <c r="CG1262" i="6"/>
  <c r="CE1262" i="6"/>
  <c r="AR1262" i="6"/>
  <c r="CH1261" i="6"/>
  <c r="CG1261" i="6"/>
  <c r="CE1261" i="6"/>
  <c r="CF1261" i="6" s="1"/>
  <c r="AR1261" i="6"/>
  <c r="CH1260" i="6"/>
  <c r="CG1260" i="6"/>
  <c r="CE1260" i="6"/>
  <c r="CH1259" i="6"/>
  <c r="CG1259" i="6"/>
  <c r="CE1259" i="6"/>
  <c r="CH1258" i="6"/>
  <c r="CG1258" i="6"/>
  <c r="CE1258" i="6"/>
  <c r="AR1258" i="6"/>
  <c r="CH1257" i="6"/>
  <c r="CG1257" i="6"/>
  <c r="CE1257" i="6"/>
  <c r="AR1257" i="6"/>
  <c r="CN1256" i="6"/>
  <c r="CM1256" i="6"/>
  <c r="CL1256" i="6"/>
  <c r="CK1256" i="6"/>
  <c r="CJ1256" i="6"/>
  <c r="CI1256" i="6"/>
  <c r="CD1256" i="6"/>
  <c r="CC1256" i="6"/>
  <c r="CB1256" i="6"/>
  <c r="CA1256" i="6"/>
  <c r="BZ1256" i="6"/>
  <c r="BY1256" i="6"/>
  <c r="BX1256" i="6"/>
  <c r="BW1256" i="6"/>
  <c r="BV1256" i="6"/>
  <c r="BU1256" i="6"/>
  <c r="BT1256" i="6"/>
  <c r="BS1256" i="6"/>
  <c r="BR1256" i="6"/>
  <c r="BQ1256" i="6"/>
  <c r="BP1256" i="6"/>
  <c r="BO1256" i="6"/>
  <c r="BN1256" i="6"/>
  <c r="BM1256" i="6"/>
  <c r="BL1256" i="6"/>
  <c r="BK1256" i="6"/>
  <c r="BJ1256" i="6"/>
  <c r="BI1256" i="6"/>
  <c r="BH1256" i="6"/>
  <c r="BG1256" i="6"/>
  <c r="BF1256" i="6"/>
  <c r="BE1256" i="6"/>
  <c r="BD1256" i="6"/>
  <c r="BC1256" i="6"/>
  <c r="BB1256" i="6"/>
  <c r="BA1256" i="6"/>
  <c r="AZ1256" i="6"/>
  <c r="AY1256" i="6"/>
  <c r="AX1256" i="6"/>
  <c r="AW1256" i="6"/>
  <c r="AV1256" i="6"/>
  <c r="AU1256" i="6"/>
  <c r="AT1256" i="6"/>
  <c r="AS1256" i="6"/>
  <c r="AQ1256" i="6"/>
  <c r="AP1256" i="6"/>
  <c r="AO1256" i="6"/>
  <c r="AN1256" i="6"/>
  <c r="AM1256" i="6"/>
  <c r="AL1256" i="6"/>
  <c r="AK1256" i="6"/>
  <c r="AJ1256" i="6"/>
  <c r="AI1256" i="6"/>
  <c r="AH1256" i="6"/>
  <c r="AG1256" i="6"/>
  <c r="AF1256" i="6"/>
  <c r="AE1256" i="6"/>
  <c r="AD1256" i="6"/>
  <c r="AC1256" i="6"/>
  <c r="AB1256" i="6"/>
  <c r="AA1256" i="6"/>
  <c r="Z1256" i="6"/>
  <c r="Y1256" i="6"/>
  <c r="X1256" i="6"/>
  <c r="W1256" i="6"/>
  <c r="V1256" i="6"/>
  <c r="U1256" i="6"/>
  <c r="T1256" i="6"/>
  <c r="S1256" i="6"/>
  <c r="R1256" i="6"/>
  <c r="Q1256" i="6"/>
  <c r="P1256" i="6"/>
  <c r="O1256" i="6"/>
  <c r="N1256" i="6"/>
  <c r="M1256" i="6"/>
  <c r="L1256" i="6"/>
  <c r="K1256" i="6"/>
  <c r="J1256" i="6"/>
  <c r="I1256" i="6"/>
  <c r="H1256" i="6"/>
  <c r="CH1255" i="6"/>
  <c r="CG1255" i="6"/>
  <c r="CE1255" i="6"/>
  <c r="AR1255" i="6"/>
  <c r="CH1254" i="6"/>
  <c r="CH1256" i="6" s="1"/>
  <c r="CG1254" i="6"/>
  <c r="CE1254" i="6"/>
  <c r="AR1254" i="6"/>
  <c r="AR1256" i="6" s="1"/>
  <c r="CN1253" i="6"/>
  <c r="CM1253" i="6"/>
  <c r="CL1253" i="6"/>
  <c r="CK1253" i="6"/>
  <c r="CJ1253" i="6"/>
  <c r="CI1253" i="6"/>
  <c r="CD1253" i="6"/>
  <c r="CC1253" i="6"/>
  <c r="CB1253" i="6"/>
  <c r="CA1253" i="6"/>
  <c r="BZ1253" i="6"/>
  <c r="BY1253" i="6"/>
  <c r="BX1253" i="6"/>
  <c r="BW1253" i="6"/>
  <c r="BV1253" i="6"/>
  <c r="BU1253" i="6"/>
  <c r="BT1253" i="6"/>
  <c r="BS1253" i="6"/>
  <c r="BR1253" i="6"/>
  <c r="BQ1253" i="6"/>
  <c r="BP1253" i="6"/>
  <c r="BO1253" i="6"/>
  <c r="BN1253" i="6"/>
  <c r="BM1253" i="6"/>
  <c r="BL1253" i="6"/>
  <c r="BK1253" i="6"/>
  <c r="BJ1253" i="6"/>
  <c r="BI1253" i="6"/>
  <c r="BH1253" i="6"/>
  <c r="BG1253" i="6"/>
  <c r="BF1253" i="6"/>
  <c r="BE1253" i="6"/>
  <c r="BD1253" i="6"/>
  <c r="BC1253" i="6"/>
  <c r="BB1253" i="6"/>
  <c r="BA1253" i="6"/>
  <c r="AZ1253" i="6"/>
  <c r="AY1253" i="6"/>
  <c r="AX1253" i="6"/>
  <c r="AW1253" i="6"/>
  <c r="AV1253" i="6"/>
  <c r="AU1253" i="6"/>
  <c r="AT1253" i="6"/>
  <c r="AS1253" i="6"/>
  <c r="AQ1253" i="6"/>
  <c r="AP1253" i="6"/>
  <c r="AO1253" i="6"/>
  <c r="AN1253" i="6"/>
  <c r="AM1253" i="6"/>
  <c r="AL1253" i="6"/>
  <c r="AK1253" i="6"/>
  <c r="AJ1253" i="6"/>
  <c r="AI1253" i="6"/>
  <c r="AH1253" i="6"/>
  <c r="AG1253" i="6"/>
  <c r="AF1253" i="6"/>
  <c r="AE1253" i="6"/>
  <c r="AD1253" i="6"/>
  <c r="AC1253" i="6"/>
  <c r="AB1253" i="6"/>
  <c r="AA1253" i="6"/>
  <c r="Z1253" i="6"/>
  <c r="Y1253" i="6"/>
  <c r="X1253" i="6"/>
  <c r="W1253" i="6"/>
  <c r="V1253" i="6"/>
  <c r="U1253" i="6"/>
  <c r="T1253" i="6"/>
  <c r="S1253" i="6"/>
  <c r="R1253" i="6"/>
  <c r="Q1253" i="6"/>
  <c r="CH1252" i="6"/>
  <c r="CG1252" i="6"/>
  <c r="CE1252" i="6"/>
  <c r="AR1252" i="6"/>
  <c r="CH1251" i="6"/>
  <c r="CG1251" i="6"/>
  <c r="CE1251" i="6"/>
  <c r="AR1251" i="6"/>
  <c r="CH1250" i="6"/>
  <c r="CG1250" i="6"/>
  <c r="CE1250" i="6"/>
  <c r="AR1250" i="6"/>
  <c r="CH1249" i="6"/>
  <c r="CG1249" i="6"/>
  <c r="CE1249" i="6"/>
  <c r="AR1249" i="6"/>
  <c r="CH1248" i="6"/>
  <c r="CG1248" i="6"/>
  <c r="CE1248" i="6"/>
  <c r="AR1248" i="6"/>
  <c r="E1248" i="6"/>
  <c r="CH1247" i="6"/>
  <c r="CG1247" i="6"/>
  <c r="CE1247" i="6"/>
  <c r="AR1247" i="6"/>
  <c r="CH1246" i="6"/>
  <c r="CG1246" i="6"/>
  <c r="CE1246" i="6"/>
  <c r="AR1246" i="6"/>
  <c r="CH1245" i="6"/>
  <c r="CG1245" i="6"/>
  <c r="CE1245" i="6"/>
  <c r="AR1245" i="6"/>
  <c r="CH1244" i="6"/>
  <c r="CG1244" i="6"/>
  <c r="CE1244" i="6"/>
  <c r="AR1244" i="6"/>
  <c r="CH1243" i="6"/>
  <c r="CG1243" i="6"/>
  <c r="CE1243" i="6"/>
  <c r="CF1243" i="6" s="1"/>
  <c r="AR1243" i="6"/>
  <c r="CH1242" i="6"/>
  <c r="CG1242" i="6"/>
  <c r="CE1242" i="6"/>
  <c r="AR1242" i="6"/>
  <c r="CH1241" i="6"/>
  <c r="CG1241" i="6"/>
  <c r="CE1241" i="6"/>
  <c r="AR1241" i="6"/>
  <c r="CH1240" i="6"/>
  <c r="CG1240" i="6"/>
  <c r="CE1240" i="6"/>
  <c r="AR1240" i="6"/>
  <c r="CH1239" i="6"/>
  <c r="CG1239" i="6"/>
  <c r="CE1239" i="6"/>
  <c r="AR1239" i="6"/>
  <c r="CH1238" i="6"/>
  <c r="CG1238" i="6"/>
  <c r="CE1238" i="6"/>
  <c r="AR1238" i="6"/>
  <c r="CH1237" i="6"/>
  <c r="CG1237" i="6"/>
  <c r="CE1237" i="6"/>
  <c r="CF1237" i="6" s="1"/>
  <c r="AR1237" i="6"/>
  <c r="CH1236" i="6"/>
  <c r="CG1236" i="6"/>
  <c r="CE1236" i="6"/>
  <c r="CF1236" i="6" s="1"/>
  <c r="AR1236" i="6"/>
  <c r="CH1235" i="6"/>
  <c r="CG1235" i="6"/>
  <c r="CE1235" i="6"/>
  <c r="AR1235" i="6"/>
  <c r="CH1234" i="6"/>
  <c r="CG1234" i="6"/>
  <c r="CE1234" i="6"/>
  <c r="AR1234" i="6"/>
  <c r="CH1233" i="6"/>
  <c r="CG1233" i="6"/>
  <c r="CE1233" i="6"/>
  <c r="AR1233" i="6"/>
  <c r="CH1232" i="6"/>
  <c r="CG1232" i="6"/>
  <c r="CE1232" i="6"/>
  <c r="AR1232" i="6"/>
  <c r="CH1231" i="6"/>
  <c r="CG1231" i="6"/>
  <c r="CE1231" i="6"/>
  <c r="AR1231" i="6"/>
  <c r="CH1230" i="6"/>
  <c r="CG1230" i="6"/>
  <c r="CE1230" i="6"/>
  <c r="AR1230" i="6"/>
  <c r="CH1229" i="6"/>
  <c r="CG1229" i="6"/>
  <c r="CE1229" i="6"/>
  <c r="CF1229" i="6" s="1"/>
  <c r="AR1229" i="6"/>
  <c r="CH1228" i="6"/>
  <c r="CG1228" i="6"/>
  <c r="CE1228" i="6"/>
  <c r="CF1228" i="6" s="1"/>
  <c r="AR1228" i="6"/>
  <c r="CH1227" i="6"/>
  <c r="CG1227" i="6"/>
  <c r="CE1227" i="6"/>
  <c r="AR1227" i="6"/>
  <c r="CN1226" i="6"/>
  <c r="CM1226" i="6"/>
  <c r="CL1226" i="6"/>
  <c r="CK1226" i="6"/>
  <c r="CJ1226" i="6"/>
  <c r="CI1226" i="6"/>
  <c r="CD1226" i="6"/>
  <c r="CC1226" i="6"/>
  <c r="CB1226" i="6"/>
  <c r="CA1226" i="6"/>
  <c r="BZ1226" i="6"/>
  <c r="BY1226" i="6"/>
  <c r="BX1226" i="6"/>
  <c r="BW1226" i="6"/>
  <c r="BV1226" i="6"/>
  <c r="BU1226" i="6"/>
  <c r="BT1226" i="6"/>
  <c r="BS1226" i="6"/>
  <c r="BR1226" i="6"/>
  <c r="BQ1226" i="6"/>
  <c r="BP1226" i="6"/>
  <c r="BO1226" i="6"/>
  <c r="BN1226" i="6"/>
  <c r="BM1226" i="6"/>
  <c r="BL1226" i="6"/>
  <c r="BK1226" i="6"/>
  <c r="BJ1226" i="6"/>
  <c r="BI1226" i="6"/>
  <c r="BH1226" i="6"/>
  <c r="BG1226" i="6"/>
  <c r="BF1226" i="6"/>
  <c r="BE1226" i="6"/>
  <c r="BC1226" i="6"/>
  <c r="BB1226" i="6"/>
  <c r="BA1226" i="6"/>
  <c r="AZ1226" i="6"/>
  <c r="AY1226" i="6"/>
  <c r="AX1226" i="6"/>
  <c r="AW1226" i="6"/>
  <c r="AV1226" i="6"/>
  <c r="AU1226" i="6"/>
  <c r="AS1226" i="6"/>
  <c r="AQ1226" i="6"/>
  <c r="AP1226" i="6"/>
  <c r="AO1226" i="6"/>
  <c r="AN1226" i="6"/>
  <c r="AM1226" i="6"/>
  <c r="AL1226" i="6"/>
  <c r="AK1226" i="6"/>
  <c r="AJ1226" i="6"/>
  <c r="AI1226" i="6"/>
  <c r="AH1226" i="6"/>
  <c r="AG1226" i="6"/>
  <c r="AF1226" i="6"/>
  <c r="AE1226" i="6"/>
  <c r="AD1226" i="6"/>
  <c r="AC1226" i="6"/>
  <c r="AB1226" i="6"/>
  <c r="AA1226" i="6"/>
  <c r="Z1226" i="6"/>
  <c r="Y1226" i="6"/>
  <c r="X1226" i="6"/>
  <c r="W1226" i="6"/>
  <c r="V1226" i="6"/>
  <c r="U1226" i="6"/>
  <c r="T1226" i="6"/>
  <c r="S1226" i="6"/>
  <c r="R1226" i="6"/>
  <c r="Q1226" i="6"/>
  <c r="P1226" i="6"/>
  <c r="O1226" i="6"/>
  <c r="N1226" i="6"/>
  <c r="M1226" i="6"/>
  <c r="L1226" i="6"/>
  <c r="K1226" i="6"/>
  <c r="J1226" i="6"/>
  <c r="I1226" i="6"/>
  <c r="H1226" i="6"/>
  <c r="G1226" i="6"/>
  <c r="CH1225" i="6"/>
  <c r="CG1225" i="6"/>
  <c r="CE1225" i="6"/>
  <c r="CF1225" i="6" s="1"/>
  <c r="AR1225" i="6"/>
  <c r="CH1224" i="6"/>
  <c r="CG1224" i="6"/>
  <c r="CE1224" i="6"/>
  <c r="CF1224" i="6" s="1"/>
  <c r="AR1224" i="6"/>
  <c r="CH1223" i="6"/>
  <c r="CG1223" i="6"/>
  <c r="CE1223" i="6"/>
  <c r="AR1223" i="6"/>
  <c r="CH1222" i="6"/>
  <c r="CG1222" i="6"/>
  <c r="CE1222" i="6"/>
  <c r="CF1222" i="6" s="1"/>
  <c r="AR1222" i="6"/>
  <c r="CH1221" i="6"/>
  <c r="CG1221" i="6"/>
  <c r="CE1221" i="6"/>
  <c r="AR1221" i="6"/>
  <c r="CH1220" i="6"/>
  <c r="CG1220" i="6"/>
  <c r="CE1220" i="6"/>
  <c r="CF1220" i="6" s="1"/>
  <c r="AR1220" i="6"/>
  <c r="CH1219" i="6"/>
  <c r="CG1219" i="6"/>
  <c r="CE1219" i="6"/>
  <c r="AR1219" i="6"/>
  <c r="CH1218" i="6"/>
  <c r="CG1218" i="6"/>
  <c r="CE1218" i="6"/>
  <c r="AR1218" i="6"/>
  <c r="CH1217" i="6"/>
  <c r="CG1217" i="6"/>
  <c r="CE1217" i="6"/>
  <c r="AR1217" i="6"/>
  <c r="CH1216" i="6"/>
  <c r="CG1216" i="6"/>
  <c r="BD1216" i="6"/>
  <c r="CE1216" i="6" s="1"/>
  <c r="AR1216" i="6"/>
  <c r="CH1215" i="6"/>
  <c r="CG1215" i="6"/>
  <c r="CE1215" i="6"/>
  <c r="AR1215" i="6"/>
  <c r="CH1214" i="6"/>
  <c r="CG1214" i="6"/>
  <c r="CE1214" i="6"/>
  <c r="AR1214" i="6"/>
  <c r="CH1213" i="6"/>
  <c r="CG1213" i="6"/>
  <c r="AT1213" i="6"/>
  <c r="CE1213" i="6" s="1"/>
  <c r="AR1213" i="6"/>
  <c r="CH1212" i="6"/>
  <c r="CG1212" i="6"/>
  <c r="CE1212" i="6"/>
  <c r="AT1212" i="6"/>
  <c r="AR1212" i="6"/>
  <c r="CV1211" i="6"/>
  <c r="CU1211" i="6"/>
  <c r="CT1211" i="6"/>
  <c r="CS1211" i="6"/>
  <c r="CH1211" i="6"/>
  <c r="CG1211" i="6"/>
  <c r="CJ1210" i="6"/>
  <c r="CI1210" i="6"/>
  <c r="CD1210" i="6"/>
  <c r="CC1210" i="6"/>
  <c r="CB1210" i="6"/>
  <c r="CA1210" i="6"/>
  <c r="BZ1210" i="6"/>
  <c r="BY1210" i="6"/>
  <c r="BX1210" i="6"/>
  <c r="BW1210" i="6"/>
  <c r="BV1210" i="6"/>
  <c r="BU1210" i="6"/>
  <c r="BT1210" i="6"/>
  <c r="BS1210" i="6"/>
  <c r="BR1210" i="6"/>
  <c r="BQ1210" i="6"/>
  <c r="BP1210" i="6"/>
  <c r="BO1210" i="6"/>
  <c r="BN1210" i="6"/>
  <c r="BM1210" i="6"/>
  <c r="BL1210" i="6"/>
  <c r="BK1210" i="6"/>
  <c r="BJ1210" i="6"/>
  <c r="BI1210" i="6"/>
  <c r="BH1210" i="6"/>
  <c r="BG1210" i="6"/>
  <c r="BF1210" i="6"/>
  <c r="BE1210" i="6"/>
  <c r="BD1210" i="6"/>
  <c r="BC1210" i="6"/>
  <c r="BB1210" i="6"/>
  <c r="BA1210" i="6"/>
  <c r="AZ1210" i="6"/>
  <c r="AY1210" i="6"/>
  <c r="AX1210" i="6"/>
  <c r="AW1210" i="6"/>
  <c r="AV1210" i="6"/>
  <c r="AU1210" i="6"/>
  <c r="AT1210" i="6"/>
  <c r="AS1210" i="6"/>
  <c r="AQ1210" i="6"/>
  <c r="AP1210" i="6"/>
  <c r="AO1210" i="6"/>
  <c r="AN1210" i="6"/>
  <c r="AM1210" i="6"/>
  <c r="AL1210" i="6"/>
  <c r="AK1210" i="6"/>
  <c r="AJ1210" i="6"/>
  <c r="AI1210" i="6"/>
  <c r="AH1210" i="6"/>
  <c r="AG1210" i="6"/>
  <c r="AF1210" i="6"/>
  <c r="AE1210" i="6"/>
  <c r="CH1209" i="6"/>
  <c r="CG1209" i="6"/>
  <c r="CE1209" i="6"/>
  <c r="AR1209" i="6"/>
  <c r="CH1208" i="6"/>
  <c r="CG1208" i="6"/>
  <c r="CE1208" i="6"/>
  <c r="AR1208" i="6"/>
  <c r="CH1207" i="6"/>
  <c r="CH1210" i="6" s="1"/>
  <c r="CG1207" i="6"/>
  <c r="CG1210" i="6" s="1"/>
  <c r="CE1207" i="6"/>
  <c r="AR1207" i="6"/>
  <c r="CH1206" i="6"/>
  <c r="CG1206" i="6"/>
  <c r="CE1206" i="6"/>
  <c r="AR1206" i="6"/>
  <c r="CH1205" i="6"/>
  <c r="CG1205" i="6"/>
  <c r="CE1205" i="6"/>
  <c r="CF1205" i="6" s="1"/>
  <c r="AR1205" i="6"/>
  <c r="CH1204" i="6"/>
  <c r="CG1204" i="6"/>
  <c r="CE1204" i="6"/>
  <c r="CF1204" i="6" s="1"/>
  <c r="AR1204" i="6"/>
  <c r="CH1203" i="6"/>
  <c r="CG1203" i="6"/>
  <c r="CF1203" i="6"/>
  <c r="CE1203" i="6"/>
  <c r="AR1203" i="6"/>
  <c r="CH1202" i="6"/>
  <c r="CG1202" i="6"/>
  <c r="CE1202" i="6"/>
  <c r="CF1202" i="6" s="1"/>
  <c r="AR1202" i="6"/>
  <c r="CH1201" i="6"/>
  <c r="CG1201" i="6"/>
  <c r="CE1201" i="6"/>
  <c r="AR1201" i="6"/>
  <c r="CH1200" i="6"/>
  <c r="CG1200" i="6"/>
  <c r="CE1200" i="6"/>
  <c r="CF1200" i="6" s="1"/>
  <c r="AR1200" i="6"/>
  <c r="CH1199" i="6"/>
  <c r="CG1199" i="6"/>
  <c r="CE1199" i="6"/>
  <c r="AR1199" i="6"/>
  <c r="CH1198" i="6"/>
  <c r="CG1198" i="6"/>
  <c r="CE1198" i="6"/>
  <c r="CF1198" i="6" s="1"/>
  <c r="AR1198" i="6"/>
  <c r="CH1197" i="6"/>
  <c r="CG1197" i="6"/>
  <c r="CE1197" i="6"/>
  <c r="AR1197" i="6"/>
  <c r="CH1196" i="6"/>
  <c r="CG1196" i="6"/>
  <c r="CE1196" i="6"/>
  <c r="AR1196" i="6"/>
  <c r="CH1195" i="6"/>
  <c r="CG1195" i="6"/>
  <c r="CE1195" i="6"/>
  <c r="CF1195" i="6" s="1"/>
  <c r="AR1195" i="6"/>
  <c r="CH1194" i="6"/>
  <c r="CG1194" i="6"/>
  <c r="CE1194" i="6"/>
  <c r="CF1194" i="6" s="1"/>
  <c r="AR1194" i="6"/>
  <c r="CH1193" i="6"/>
  <c r="CG1193" i="6"/>
  <c r="CE1193" i="6"/>
  <c r="AR1193" i="6"/>
  <c r="CH1192" i="6"/>
  <c r="CG1192" i="6"/>
  <c r="CE1192" i="6"/>
  <c r="CF1192" i="6" s="1"/>
  <c r="AR1192" i="6"/>
  <c r="CH1191" i="6"/>
  <c r="CG1191" i="6"/>
  <c r="CE1191" i="6"/>
  <c r="AR1191" i="6"/>
  <c r="CH1190" i="6"/>
  <c r="CG1190" i="6"/>
  <c r="CE1190" i="6"/>
  <c r="CF1190" i="6" s="1"/>
  <c r="AR1190" i="6"/>
  <c r="CH1189" i="6"/>
  <c r="CG1189" i="6"/>
  <c r="CE1189" i="6"/>
  <c r="AR1189" i="6"/>
  <c r="CH1188" i="6"/>
  <c r="CG1188" i="6"/>
  <c r="CE1188" i="6"/>
  <c r="AR1188" i="6"/>
  <c r="CQ1187" i="6"/>
  <c r="CP1187" i="6"/>
  <c r="CO1187" i="6"/>
  <c r="CN1187" i="6"/>
  <c r="CM1187" i="6"/>
  <c r="CL1187" i="6"/>
  <c r="CK1187" i="6"/>
  <c r="CJ1187" i="6"/>
  <c r="CI1187" i="6"/>
  <c r="CH1187" i="6"/>
  <c r="CG1187" i="6"/>
  <c r="CD1187" i="6"/>
  <c r="CC1187" i="6"/>
  <c r="CB1187" i="6"/>
  <c r="CA1187" i="6"/>
  <c r="BZ1187" i="6"/>
  <c r="BY1187" i="6"/>
  <c r="BX1187" i="6"/>
  <c r="BW1187" i="6"/>
  <c r="BV1187" i="6"/>
  <c r="BU1187" i="6"/>
  <c r="BT1187" i="6"/>
  <c r="BS1187" i="6"/>
  <c r="BR1187" i="6"/>
  <c r="BQ1187" i="6"/>
  <c r="BP1187" i="6"/>
  <c r="BO1187" i="6"/>
  <c r="BN1187" i="6"/>
  <c r="BM1187" i="6"/>
  <c r="BL1187" i="6"/>
  <c r="BK1187" i="6"/>
  <c r="BJ1187" i="6"/>
  <c r="BI1187" i="6"/>
  <c r="BH1187" i="6"/>
  <c r="BG1187" i="6"/>
  <c r="BF1187" i="6"/>
  <c r="BE1187" i="6"/>
  <c r="BD1187" i="6"/>
  <c r="BC1187" i="6"/>
  <c r="BB1187" i="6"/>
  <c r="BA1187" i="6"/>
  <c r="AZ1187" i="6"/>
  <c r="AY1187" i="6"/>
  <c r="AX1187" i="6"/>
  <c r="AW1187" i="6"/>
  <c r="AV1187" i="6"/>
  <c r="AU1187" i="6"/>
  <c r="AS1187" i="6"/>
  <c r="AQ1187" i="6"/>
  <c r="AP1187" i="6"/>
  <c r="AO1187" i="6"/>
  <c r="AN1187" i="6"/>
  <c r="AM1187" i="6"/>
  <c r="AL1187" i="6"/>
  <c r="AK1187" i="6"/>
  <c r="AJ1187" i="6"/>
  <c r="AI1187" i="6"/>
  <c r="AH1187" i="6"/>
  <c r="AG1187" i="6"/>
  <c r="AF1187" i="6"/>
  <c r="AE1187" i="6"/>
  <c r="AD1187" i="6"/>
  <c r="AC1187" i="6"/>
  <c r="AB1187" i="6"/>
  <c r="AA1187" i="6"/>
  <c r="Z1187" i="6"/>
  <c r="Y1187" i="6"/>
  <c r="X1187" i="6"/>
  <c r="W1187" i="6"/>
  <c r="V1187" i="6"/>
  <c r="U1187" i="6"/>
  <c r="T1187" i="6"/>
  <c r="S1187" i="6"/>
  <c r="R1187" i="6"/>
  <c r="Q1187" i="6"/>
  <c r="P1187" i="6"/>
  <c r="O1187" i="6"/>
  <c r="N1187" i="6"/>
  <c r="M1187" i="6"/>
  <c r="L1187" i="6"/>
  <c r="K1187" i="6"/>
  <c r="J1187" i="6"/>
  <c r="I1187" i="6"/>
  <c r="H1187" i="6"/>
  <c r="G1187" i="6"/>
  <c r="AR1187" i="6" s="1"/>
  <c r="CH1186" i="6"/>
  <c r="CG1186" i="6"/>
  <c r="CE1186" i="6"/>
  <c r="AR1186" i="6"/>
  <c r="CH1185" i="6"/>
  <c r="CG1185" i="6"/>
  <c r="CE1185" i="6"/>
  <c r="AR1185" i="6"/>
  <c r="CH1184" i="6"/>
  <c r="CG1184" i="6"/>
  <c r="CE1184" i="6"/>
  <c r="AR1184" i="6"/>
  <c r="CH1183" i="6"/>
  <c r="CG1183" i="6"/>
  <c r="CE1183" i="6"/>
  <c r="AR1183" i="6"/>
  <c r="CH1182" i="6"/>
  <c r="CG1182" i="6"/>
  <c r="CE1182" i="6"/>
  <c r="AR1182" i="6"/>
  <c r="CH1181" i="6"/>
  <c r="CG1181" i="6"/>
  <c r="CE1181" i="6"/>
  <c r="AR1181" i="6"/>
  <c r="CH1180" i="6"/>
  <c r="CG1180" i="6"/>
  <c r="AT1180" i="6"/>
  <c r="CE1180" i="6" s="1"/>
  <c r="AR1180" i="6"/>
  <c r="CH1179" i="6"/>
  <c r="CG1179" i="6"/>
  <c r="CE1179" i="6"/>
  <c r="AR1179" i="6"/>
  <c r="CH1178" i="6"/>
  <c r="CG1178" i="6"/>
  <c r="CE1178" i="6"/>
  <c r="AR1178" i="6"/>
  <c r="CH1177" i="6"/>
  <c r="CG1177" i="6"/>
  <c r="CE1177" i="6"/>
  <c r="AR1177" i="6"/>
  <c r="CH1176" i="6"/>
  <c r="CG1176" i="6"/>
  <c r="CE1176" i="6"/>
  <c r="AR1176" i="6"/>
  <c r="CH1175" i="6"/>
  <c r="CG1175" i="6"/>
  <c r="CE1175" i="6"/>
  <c r="CF1175" i="6" s="1"/>
  <c r="AR1175" i="6"/>
  <c r="CH1174" i="6"/>
  <c r="CG1174" i="6"/>
  <c r="CE1174" i="6"/>
  <c r="AR1174" i="6"/>
  <c r="CH1173" i="6"/>
  <c r="CG1173" i="6"/>
  <c r="CE1173" i="6"/>
  <c r="CF1173" i="6" s="1"/>
  <c r="AR1173" i="6"/>
  <c r="CH1172" i="6"/>
  <c r="CG1172" i="6"/>
  <c r="CE1172" i="6"/>
  <c r="AR1172" i="6"/>
  <c r="CH1171" i="6"/>
  <c r="CG1171" i="6"/>
  <c r="CE1171" i="6"/>
  <c r="CF1171" i="6" s="1"/>
  <c r="AR1171" i="6"/>
  <c r="CH1170" i="6"/>
  <c r="CG1170" i="6"/>
  <c r="CE1170" i="6"/>
  <c r="AR1170" i="6"/>
  <c r="CF1170" i="6" s="1"/>
  <c r="CJ1169" i="6"/>
  <c r="CI1169" i="6"/>
  <c r="CD1169" i="6"/>
  <c r="CC1169" i="6"/>
  <c r="CB1169" i="6"/>
  <c r="CA1169" i="6"/>
  <c r="BZ1169" i="6"/>
  <c r="BY1169" i="6"/>
  <c r="BX1169" i="6"/>
  <c r="BW1169" i="6"/>
  <c r="BV1169" i="6"/>
  <c r="BU1169" i="6"/>
  <c r="BT1169" i="6"/>
  <c r="BS1169" i="6"/>
  <c r="BR1169" i="6"/>
  <c r="BQ1169" i="6"/>
  <c r="BP1169" i="6"/>
  <c r="BO1169" i="6"/>
  <c r="BN1169" i="6"/>
  <c r="BM1169" i="6"/>
  <c r="BL1169" i="6"/>
  <c r="BK1169" i="6"/>
  <c r="BJ1169" i="6"/>
  <c r="BI1169" i="6"/>
  <c r="BH1169" i="6"/>
  <c r="BG1169" i="6"/>
  <c r="BF1169" i="6"/>
  <c r="BE1169" i="6"/>
  <c r="BD1169" i="6"/>
  <c r="BC1169" i="6"/>
  <c r="BB1169" i="6"/>
  <c r="BA1169" i="6"/>
  <c r="AZ1169" i="6"/>
  <c r="AY1169" i="6"/>
  <c r="AX1169" i="6"/>
  <c r="AW1169" i="6"/>
  <c r="AV1169" i="6"/>
  <c r="AU1169" i="6"/>
  <c r="AS1169" i="6"/>
  <c r="AQ1169" i="6"/>
  <c r="AP1169" i="6"/>
  <c r="AO1169" i="6"/>
  <c r="AN1169" i="6"/>
  <c r="AM1169" i="6"/>
  <c r="AL1169" i="6"/>
  <c r="AK1169" i="6"/>
  <c r="AJ1169" i="6"/>
  <c r="AI1169" i="6"/>
  <c r="AH1169" i="6"/>
  <c r="AG1169" i="6"/>
  <c r="AF1169" i="6"/>
  <c r="AE1169" i="6"/>
  <c r="AD1169" i="6"/>
  <c r="AC1169" i="6"/>
  <c r="AB1169" i="6"/>
  <c r="AA1169" i="6"/>
  <c r="Z1169" i="6"/>
  <c r="Y1169" i="6"/>
  <c r="X1169" i="6"/>
  <c r="W1169" i="6"/>
  <c r="V1169" i="6"/>
  <c r="U1169" i="6"/>
  <c r="T1169" i="6"/>
  <c r="S1169" i="6"/>
  <c r="R1169" i="6"/>
  <c r="Q1169" i="6"/>
  <c r="P1169" i="6"/>
  <c r="O1169" i="6"/>
  <c r="N1169" i="6"/>
  <c r="M1169" i="6"/>
  <c r="L1169" i="6"/>
  <c r="K1169" i="6"/>
  <c r="J1169" i="6"/>
  <c r="I1169" i="6"/>
  <c r="H1169" i="6"/>
  <c r="G1169" i="6"/>
  <c r="CH1168" i="6"/>
  <c r="CG1168" i="6"/>
  <c r="CE1168" i="6"/>
  <c r="CF1168" i="6" s="1"/>
  <c r="AR1168" i="6"/>
  <c r="CH1167" i="6"/>
  <c r="CG1167" i="6"/>
  <c r="CE1167" i="6"/>
  <c r="AT1167" i="6"/>
  <c r="AT1169" i="6" s="1"/>
  <c r="AR1167" i="6"/>
  <c r="CH1166" i="6"/>
  <c r="CG1166" i="6"/>
  <c r="CE1166" i="6"/>
  <c r="AR1166" i="6"/>
  <c r="AR1169" i="6" s="1"/>
  <c r="CJ1165" i="6"/>
  <c r="CI1165" i="6"/>
  <c r="CD1165" i="6"/>
  <c r="CC1165" i="6"/>
  <c r="CB1165" i="6"/>
  <c r="CA1165" i="6"/>
  <c r="BZ1165" i="6"/>
  <c r="BY1165" i="6"/>
  <c r="BX1165" i="6"/>
  <c r="BW1165" i="6"/>
  <c r="BV1165" i="6"/>
  <c r="BU1165" i="6"/>
  <c r="BT1165" i="6"/>
  <c r="BS1165" i="6"/>
  <c r="BR1165" i="6"/>
  <c r="BQ1165" i="6"/>
  <c r="BP1165" i="6"/>
  <c r="BO1165" i="6"/>
  <c r="BN1165" i="6"/>
  <c r="BM1165" i="6"/>
  <c r="BL1165" i="6"/>
  <c r="BK1165" i="6"/>
  <c r="BJ1165" i="6"/>
  <c r="BI1165" i="6"/>
  <c r="BH1165" i="6"/>
  <c r="BG1165" i="6"/>
  <c r="BF1165" i="6"/>
  <c r="BE1165" i="6"/>
  <c r="BD1165" i="6"/>
  <c r="BC1165" i="6"/>
  <c r="BB1165" i="6"/>
  <c r="BA1165" i="6"/>
  <c r="AZ1165" i="6"/>
  <c r="AY1165" i="6"/>
  <c r="AX1165" i="6"/>
  <c r="AW1165" i="6"/>
  <c r="AV1165" i="6"/>
  <c r="AU1165" i="6"/>
  <c r="AT1165" i="6"/>
  <c r="AS1165" i="6"/>
  <c r="AQ1165" i="6"/>
  <c r="AP1165" i="6"/>
  <c r="AO1165" i="6"/>
  <c r="AN1165" i="6"/>
  <c r="AM1165" i="6"/>
  <c r="AL1165" i="6"/>
  <c r="AK1165" i="6"/>
  <c r="AJ1165" i="6"/>
  <c r="AI1165" i="6"/>
  <c r="AH1165" i="6"/>
  <c r="AG1165" i="6"/>
  <c r="AF1165" i="6"/>
  <c r="AE1165" i="6"/>
  <c r="AD1165" i="6"/>
  <c r="AC1165" i="6"/>
  <c r="AB1165" i="6"/>
  <c r="AA1165" i="6"/>
  <c r="Z1165" i="6"/>
  <c r="Y1165" i="6"/>
  <c r="X1165" i="6"/>
  <c r="W1165" i="6"/>
  <c r="V1165" i="6"/>
  <c r="U1165" i="6"/>
  <c r="T1165" i="6"/>
  <c r="S1165" i="6"/>
  <c r="R1165" i="6"/>
  <c r="Q1165" i="6"/>
  <c r="P1165" i="6"/>
  <c r="O1165" i="6"/>
  <c r="N1165" i="6"/>
  <c r="M1165" i="6"/>
  <c r="L1165" i="6"/>
  <c r="K1165" i="6"/>
  <c r="J1165" i="6"/>
  <c r="I1165" i="6"/>
  <c r="H1165" i="6"/>
  <c r="G1165" i="6"/>
  <c r="CH1164" i="6"/>
  <c r="CG1164" i="6"/>
  <c r="CE1164" i="6"/>
  <c r="AR1164" i="6"/>
  <c r="CH1163" i="6"/>
  <c r="CG1163" i="6"/>
  <c r="CE1163" i="6"/>
  <c r="AR1163" i="6"/>
  <c r="CH1162" i="6"/>
  <c r="CG1162" i="6"/>
  <c r="CE1162" i="6"/>
  <c r="AR1162" i="6"/>
  <c r="CH1161" i="6"/>
  <c r="CG1161" i="6"/>
  <c r="CE1161" i="6"/>
  <c r="AR1161" i="6"/>
  <c r="CH1160" i="6"/>
  <c r="CG1160" i="6"/>
  <c r="CE1160" i="6"/>
  <c r="AR1160" i="6"/>
  <c r="CH1159" i="6"/>
  <c r="CG1159" i="6"/>
  <c r="CE1159" i="6"/>
  <c r="AR1159" i="6"/>
  <c r="CH1158" i="6"/>
  <c r="CG1158" i="6"/>
  <c r="CE1158" i="6"/>
  <c r="CF1158" i="6" s="1"/>
  <c r="AR1158" i="6"/>
  <c r="CL1157" i="6"/>
  <c r="CK1157" i="6"/>
  <c r="CJ1157" i="6"/>
  <c r="CI1157" i="6"/>
  <c r="CD1157" i="6"/>
  <c r="CC1157" i="6"/>
  <c r="CB1157" i="6"/>
  <c r="CA1157" i="6"/>
  <c r="BZ1157" i="6"/>
  <c r="BY1157" i="6"/>
  <c r="BX1157" i="6"/>
  <c r="BW1157" i="6"/>
  <c r="BV1157" i="6"/>
  <c r="BU1157" i="6"/>
  <c r="BT1157" i="6"/>
  <c r="BS1157" i="6"/>
  <c r="BR1157" i="6"/>
  <c r="BQ1157" i="6"/>
  <c r="BP1157" i="6"/>
  <c r="BO1157" i="6"/>
  <c r="BN1157" i="6"/>
  <c r="BM1157" i="6"/>
  <c r="BL1157" i="6"/>
  <c r="BK1157" i="6"/>
  <c r="BJ1157" i="6"/>
  <c r="BH1157" i="6"/>
  <c r="BG1157" i="6"/>
  <c r="BF1157" i="6"/>
  <c r="BE1157" i="6"/>
  <c r="BD1157" i="6"/>
  <c r="BC1157" i="6"/>
  <c r="BB1157" i="6"/>
  <c r="BA1157" i="6"/>
  <c r="AZ1157" i="6"/>
  <c r="AY1157" i="6"/>
  <c r="AX1157" i="6"/>
  <c r="AW1157" i="6"/>
  <c r="AV1157" i="6"/>
  <c r="AS1157" i="6"/>
  <c r="AQ1157" i="6"/>
  <c r="AP1157" i="6"/>
  <c r="AO1157" i="6"/>
  <c r="AN1157" i="6"/>
  <c r="AM1157" i="6"/>
  <c r="AL1157" i="6"/>
  <c r="AK1157" i="6"/>
  <c r="AJ1157" i="6"/>
  <c r="AI1157" i="6"/>
  <c r="AH1157" i="6"/>
  <c r="AG1157" i="6"/>
  <c r="AF1157" i="6"/>
  <c r="AE1157" i="6"/>
  <c r="AD1157" i="6"/>
  <c r="AC1157" i="6"/>
  <c r="AB1157" i="6"/>
  <c r="AA1157" i="6"/>
  <c r="Z1157" i="6"/>
  <c r="Y1157" i="6"/>
  <c r="X1157" i="6"/>
  <c r="W1157" i="6"/>
  <c r="V1157" i="6"/>
  <c r="U1157" i="6"/>
  <c r="T1157" i="6"/>
  <c r="S1157" i="6"/>
  <c r="R1157" i="6"/>
  <c r="Q1157" i="6"/>
  <c r="P1157" i="6"/>
  <c r="O1157" i="6"/>
  <c r="N1157" i="6"/>
  <c r="M1157" i="6"/>
  <c r="L1157" i="6"/>
  <c r="K1157" i="6"/>
  <c r="J1157" i="6"/>
  <c r="I1157" i="6"/>
  <c r="H1157" i="6"/>
  <c r="G1157" i="6"/>
  <c r="CH1156" i="6"/>
  <c r="CG1156" i="6"/>
  <c r="CE1156" i="6"/>
  <c r="CF1156" i="6" s="1"/>
  <c r="AR1156" i="6"/>
  <c r="CH1155" i="6"/>
  <c r="CG1155" i="6"/>
  <c r="CE1155" i="6"/>
  <c r="CF1155" i="6" s="1"/>
  <c r="AR1155" i="6"/>
  <c r="CH1154" i="6"/>
  <c r="CG1154" i="6"/>
  <c r="CE1154" i="6"/>
  <c r="AR1154" i="6"/>
  <c r="CH1153" i="6"/>
  <c r="CG1153" i="6"/>
  <c r="CE1153" i="6"/>
  <c r="AR1153" i="6"/>
  <c r="CH1152" i="6"/>
  <c r="CG1152" i="6"/>
  <c r="CE1152" i="6"/>
  <c r="AR1152" i="6"/>
  <c r="CH1151" i="6"/>
  <c r="CG1151" i="6"/>
  <c r="CE1151" i="6"/>
  <c r="AR1151" i="6"/>
  <c r="CH1150" i="6"/>
  <c r="CG1150" i="6"/>
  <c r="CE1150" i="6"/>
  <c r="AR1150" i="6"/>
  <c r="CH1149" i="6"/>
  <c r="CG1149" i="6"/>
  <c r="CE1149" i="6"/>
  <c r="AR1149" i="6"/>
  <c r="CH1148" i="6"/>
  <c r="CG1148" i="6"/>
  <c r="CE1148" i="6"/>
  <c r="CF1148" i="6" s="1"/>
  <c r="AR1148" i="6"/>
  <c r="CH1147" i="6"/>
  <c r="CG1147" i="6"/>
  <c r="CE1147" i="6"/>
  <c r="CF1147" i="6" s="1"/>
  <c r="AR1147" i="6"/>
  <c r="CH1146" i="6"/>
  <c r="CG1146" i="6"/>
  <c r="CF1146" i="6"/>
  <c r="CE1146" i="6"/>
  <c r="AR1146" i="6"/>
  <c r="CH1145" i="6"/>
  <c r="CG1145" i="6"/>
  <c r="CE1145" i="6"/>
  <c r="CF1145" i="6" s="1"/>
  <c r="AR1145" i="6"/>
  <c r="CH1144" i="6"/>
  <c r="CG1144" i="6"/>
  <c r="BI1144" i="6"/>
  <c r="CE1144" i="6" s="1"/>
  <c r="AT1144" i="6"/>
  <c r="AR1144" i="6"/>
  <c r="CH1143" i="6"/>
  <c r="CG1143" i="6"/>
  <c r="CE1143" i="6"/>
  <c r="AR1143" i="6"/>
  <c r="CH1142" i="6"/>
  <c r="CG1142" i="6"/>
  <c r="BI1142" i="6"/>
  <c r="BI1157" i="6" s="1"/>
  <c r="AT1142" i="6"/>
  <c r="AR1142" i="6"/>
  <c r="CH1141" i="6"/>
  <c r="CG1141" i="6"/>
  <c r="CE1141" i="6"/>
  <c r="AR1141" i="6"/>
  <c r="CH1140" i="6"/>
  <c r="CG1140" i="6"/>
  <c r="CE1140" i="6"/>
  <c r="AR1140" i="6"/>
  <c r="CF1140" i="6" s="1"/>
  <c r="CH1139" i="6"/>
  <c r="CG1139" i="6"/>
  <c r="AT1139" i="6"/>
  <c r="CE1139" i="6" s="1"/>
  <c r="AR1139" i="6"/>
  <c r="CH1138" i="6"/>
  <c r="CG1138" i="6"/>
  <c r="CE1138" i="6"/>
  <c r="AR1138" i="6"/>
  <c r="CH1137" i="6"/>
  <c r="CG1137" i="6"/>
  <c r="CE1137" i="6"/>
  <c r="AR1137" i="6"/>
  <c r="CH1136" i="6"/>
  <c r="CG1136" i="6"/>
  <c r="CE1136" i="6"/>
  <c r="AR1136" i="6"/>
  <c r="CH1135" i="6"/>
  <c r="CG1135" i="6"/>
  <c r="CE1135" i="6"/>
  <c r="AR1135" i="6"/>
  <c r="CH1134" i="6"/>
  <c r="CG1134" i="6"/>
  <c r="CE1134" i="6"/>
  <c r="AR1134" i="6"/>
  <c r="CH1133" i="6"/>
  <c r="CG1133" i="6"/>
  <c r="CE1133" i="6"/>
  <c r="AR1133" i="6"/>
  <c r="CH1132" i="6"/>
  <c r="CG1132" i="6"/>
  <c r="CE1132" i="6"/>
  <c r="AR1132" i="6"/>
  <c r="CH1131" i="6"/>
  <c r="CG1131" i="6"/>
  <c r="AT1131" i="6"/>
  <c r="CE1131" i="6" s="1"/>
  <c r="AR1131" i="6"/>
  <c r="CH1130" i="6"/>
  <c r="CG1130" i="6"/>
  <c r="AT1130" i="6"/>
  <c r="CE1130" i="6" s="1"/>
  <c r="AR1130" i="6"/>
  <c r="CH1129" i="6"/>
  <c r="CG1129" i="6"/>
  <c r="CE1129" i="6"/>
  <c r="AR1129" i="6"/>
  <c r="CH1128" i="6"/>
  <c r="CG1128" i="6"/>
  <c r="CE1128" i="6"/>
  <c r="AR1128" i="6"/>
  <c r="CH1127" i="6"/>
  <c r="CG1127" i="6"/>
  <c r="CE1127" i="6"/>
  <c r="AR1127" i="6"/>
  <c r="CH1126" i="6"/>
  <c r="CG1126" i="6"/>
  <c r="CE1126" i="6"/>
  <c r="AR1126" i="6"/>
  <c r="CH1125" i="6"/>
  <c r="CG1125" i="6"/>
  <c r="CE1125" i="6"/>
  <c r="AR1125" i="6"/>
  <c r="CH1124" i="6"/>
  <c r="CG1124" i="6"/>
  <c r="CE1124" i="6"/>
  <c r="AR1124" i="6"/>
  <c r="CH1123" i="6"/>
  <c r="CG1123" i="6"/>
  <c r="CE1123" i="6"/>
  <c r="AR1123" i="6"/>
  <c r="CH1122" i="6"/>
  <c r="CG1122" i="6"/>
  <c r="CE1122" i="6"/>
  <c r="AR1122" i="6"/>
  <c r="CH1121" i="6"/>
  <c r="CG1121" i="6"/>
  <c r="CE1121" i="6"/>
  <c r="AR1121" i="6"/>
  <c r="CH1120" i="6"/>
  <c r="CG1120" i="6"/>
  <c r="CE1120" i="6"/>
  <c r="CF1120" i="6" s="1"/>
  <c r="AR1120" i="6"/>
  <c r="CH1119" i="6"/>
  <c r="CG1119" i="6"/>
  <c r="CE1119" i="6"/>
  <c r="AR1119" i="6"/>
  <c r="CH1118" i="6"/>
  <c r="CG1118" i="6"/>
  <c r="CE1118" i="6"/>
  <c r="AR1118" i="6"/>
  <c r="CH1117" i="6"/>
  <c r="CG1117" i="6"/>
  <c r="CE1117" i="6"/>
  <c r="AR1117" i="6"/>
  <c r="CH1116" i="6"/>
  <c r="CG1116" i="6"/>
  <c r="CE1116" i="6"/>
  <c r="CF1116" i="6" s="1"/>
  <c r="AR1116" i="6"/>
  <c r="CH1115" i="6"/>
  <c r="CG1115" i="6"/>
  <c r="CE1115" i="6"/>
  <c r="AR1115" i="6"/>
  <c r="CH1114" i="6"/>
  <c r="CG1114" i="6"/>
  <c r="CE1114" i="6"/>
  <c r="AR1114" i="6"/>
  <c r="CH1113" i="6"/>
  <c r="CG1113" i="6"/>
  <c r="CE1113" i="6"/>
  <c r="CF1113" i="6" s="1"/>
  <c r="AR1113" i="6"/>
  <c r="CH1112" i="6"/>
  <c r="CG1112" i="6"/>
  <c r="CE1112" i="6"/>
  <c r="AR1112" i="6"/>
  <c r="CH1111" i="6"/>
  <c r="CG1111" i="6"/>
  <c r="CE1111" i="6"/>
  <c r="AR1111" i="6"/>
  <c r="CH1110" i="6"/>
  <c r="CG1110" i="6"/>
  <c r="CE1110" i="6"/>
  <c r="AR1110" i="6"/>
  <c r="CH1109" i="6"/>
  <c r="CG1109" i="6"/>
  <c r="CE1109" i="6"/>
  <c r="AR1109" i="6"/>
  <c r="CH1108" i="6"/>
  <c r="CG1108" i="6"/>
  <c r="CE1108" i="6"/>
  <c r="CF1108" i="6" s="1"/>
  <c r="AR1108" i="6"/>
  <c r="CH1107" i="6"/>
  <c r="CG1107" i="6"/>
  <c r="CE1107" i="6"/>
  <c r="AR1107" i="6"/>
  <c r="CH1106" i="6"/>
  <c r="CG1106" i="6"/>
  <c r="CE1106" i="6"/>
  <c r="CF1106" i="6" s="1"/>
  <c r="AR1106" i="6"/>
  <c r="CH1105" i="6"/>
  <c r="CG1105" i="6"/>
  <c r="CE1105" i="6"/>
  <c r="CF1105" i="6" s="1"/>
  <c r="AR1105" i="6"/>
  <c r="CH1104" i="6"/>
  <c r="CG1104" i="6"/>
  <c r="CE1104" i="6"/>
  <c r="AT1104" i="6"/>
  <c r="AR1104" i="6"/>
  <c r="CH1103" i="6"/>
  <c r="CG1103" i="6"/>
  <c r="AT1103" i="6"/>
  <c r="CE1103" i="6" s="1"/>
  <c r="AR1103" i="6"/>
  <c r="CH1102" i="6"/>
  <c r="CG1102" i="6"/>
  <c r="AT1102" i="6"/>
  <c r="CE1102" i="6" s="1"/>
  <c r="AR1102" i="6"/>
  <c r="CH1101" i="6"/>
  <c r="CG1101" i="6"/>
  <c r="AT1101" i="6"/>
  <c r="CE1101" i="6" s="1"/>
  <c r="AR1101" i="6"/>
  <c r="CH1100" i="6"/>
  <c r="CG1100" i="6"/>
  <c r="CE1100" i="6"/>
  <c r="CF1100" i="6" s="1"/>
  <c r="AR1100" i="6"/>
  <c r="CH1099" i="6"/>
  <c r="CG1099" i="6"/>
  <c r="CE1099" i="6"/>
  <c r="AR1099" i="6"/>
  <c r="CH1098" i="6"/>
  <c r="CG1098" i="6"/>
  <c r="CE1098" i="6"/>
  <c r="AR1098" i="6"/>
  <c r="CH1097" i="6"/>
  <c r="CG1097" i="6"/>
  <c r="AU1097" i="6"/>
  <c r="CE1097" i="6" s="1"/>
  <c r="AT1097" i="6"/>
  <c r="AR1097" i="6"/>
  <c r="CH1096" i="6"/>
  <c r="CG1096" i="6"/>
  <c r="CE1096" i="6"/>
  <c r="AR1096" i="6"/>
  <c r="CH1095" i="6"/>
  <c r="CG1095" i="6"/>
  <c r="CE1095" i="6"/>
  <c r="AR1095" i="6"/>
  <c r="CH1094" i="6"/>
  <c r="CG1094" i="6"/>
  <c r="CE1094" i="6"/>
  <c r="AR1094" i="6"/>
  <c r="CH1093" i="6"/>
  <c r="CG1093" i="6"/>
  <c r="CE1093" i="6"/>
  <c r="AR1093" i="6"/>
  <c r="CH1092" i="6"/>
  <c r="CG1092" i="6"/>
  <c r="CE1092" i="6"/>
  <c r="AR1092" i="6"/>
  <c r="CH1091" i="6"/>
  <c r="CG1091" i="6"/>
  <c r="CE1091" i="6"/>
  <c r="AR1091" i="6"/>
  <c r="CH1090" i="6"/>
  <c r="CG1090" i="6"/>
  <c r="CE1090" i="6"/>
  <c r="AR1090" i="6"/>
  <c r="CF1090" i="6" s="1"/>
  <c r="CH1089" i="6"/>
  <c r="CG1089" i="6"/>
  <c r="CE1089" i="6"/>
  <c r="AR1089" i="6"/>
  <c r="CF1089" i="6" s="1"/>
  <c r="CH1088" i="6"/>
  <c r="CG1088" i="6"/>
  <c r="CE1088" i="6"/>
  <c r="AR1088" i="6"/>
  <c r="CH1087" i="6"/>
  <c r="CG1087" i="6"/>
  <c r="AU1087" i="6"/>
  <c r="AU1157" i="6" s="1"/>
  <c r="AT1087" i="6"/>
  <c r="AR1087" i="6"/>
  <c r="CH1086" i="6"/>
  <c r="CG1086" i="6"/>
  <c r="CE1086" i="6"/>
  <c r="AR1086" i="6"/>
  <c r="CH1085" i="6"/>
  <c r="CG1085" i="6"/>
  <c r="CE1085" i="6"/>
  <c r="AR1085" i="6"/>
  <c r="CH1084" i="6"/>
  <c r="CG1084" i="6"/>
  <c r="CE1084" i="6"/>
  <c r="AR1084" i="6"/>
  <c r="CH1083" i="6"/>
  <c r="CG1083" i="6"/>
  <c r="CE1083" i="6"/>
  <c r="AR1083" i="6"/>
  <c r="CH1082" i="6"/>
  <c r="CG1082" i="6"/>
  <c r="AT1082" i="6"/>
  <c r="CE1082" i="6" s="1"/>
  <c r="AR1082" i="6"/>
  <c r="CH1081" i="6"/>
  <c r="CG1081" i="6"/>
  <c r="CE1081" i="6"/>
  <c r="CF1081" i="6" s="1"/>
  <c r="AR1081" i="6"/>
  <c r="CH1080" i="6"/>
  <c r="CG1080" i="6"/>
  <c r="CE1080" i="6"/>
  <c r="AR1080" i="6"/>
  <c r="CH1079" i="6"/>
  <c r="CG1079" i="6"/>
  <c r="CE1079" i="6"/>
  <c r="AR1079" i="6"/>
  <c r="CH1078" i="6"/>
  <c r="CG1078" i="6"/>
  <c r="CE1078" i="6"/>
  <c r="AR1078" i="6"/>
  <c r="CH1077" i="6"/>
  <c r="CG1077" i="6"/>
  <c r="CE1077" i="6"/>
  <c r="CF1077" i="6" s="1"/>
  <c r="AR1077" i="6"/>
  <c r="CH1076" i="6"/>
  <c r="CG1076" i="6"/>
  <c r="CE1076" i="6"/>
  <c r="AR1076" i="6"/>
  <c r="CH1075" i="6"/>
  <c r="CG1075" i="6"/>
  <c r="CE1075" i="6"/>
  <c r="AR1075" i="6"/>
  <c r="CH1074" i="6"/>
  <c r="CG1074" i="6"/>
  <c r="CE1074" i="6"/>
  <c r="AT1074" i="6"/>
  <c r="AR1074" i="6"/>
  <c r="CH1073" i="6"/>
  <c r="CG1073" i="6"/>
  <c r="CE1073" i="6"/>
  <c r="AR1073" i="6"/>
  <c r="CH1072" i="6"/>
  <c r="CG1072" i="6"/>
  <c r="CE1072" i="6"/>
  <c r="AR1072" i="6"/>
  <c r="CH1071" i="6"/>
  <c r="CG1071" i="6"/>
  <c r="CE1071" i="6"/>
  <c r="AR1071" i="6"/>
  <c r="CH1070" i="6"/>
  <c r="CG1070" i="6"/>
  <c r="CE1070" i="6"/>
  <c r="AR1070" i="6"/>
  <c r="CH1069" i="6"/>
  <c r="CG1069" i="6"/>
  <c r="CE1069" i="6"/>
  <c r="AR1069" i="6"/>
  <c r="CH1068" i="6"/>
  <c r="CG1068" i="6"/>
  <c r="CE1068" i="6"/>
  <c r="AR1068" i="6"/>
  <c r="CH1067" i="6"/>
  <c r="CG1067" i="6"/>
  <c r="CE1067" i="6"/>
  <c r="AR1067" i="6"/>
  <c r="CH1066" i="6"/>
  <c r="CG1066" i="6"/>
  <c r="CE1066" i="6"/>
  <c r="AR1066" i="6"/>
  <c r="CF1066" i="6" s="1"/>
  <c r="CH1065" i="6"/>
  <c r="CG1065" i="6"/>
  <c r="CE1065" i="6"/>
  <c r="AR1065" i="6"/>
  <c r="CF1065" i="6" s="1"/>
  <c r="CH1064" i="6"/>
  <c r="CG1064" i="6"/>
  <c r="CE1064" i="6"/>
  <c r="AR1064" i="6"/>
  <c r="CH1063" i="6"/>
  <c r="CG1063" i="6"/>
  <c r="CE1063" i="6"/>
  <c r="AR1063" i="6"/>
  <c r="CH1062" i="6"/>
  <c r="CG1062" i="6"/>
  <c r="CE1062" i="6"/>
  <c r="AR1062" i="6"/>
  <c r="CH1061" i="6"/>
  <c r="CG1061" i="6"/>
  <c r="CE1061" i="6"/>
  <c r="AR1061" i="6"/>
  <c r="CH1060" i="6"/>
  <c r="CG1060" i="6"/>
  <c r="CE1060" i="6"/>
  <c r="AR1060" i="6"/>
  <c r="CH1059" i="6"/>
  <c r="CG1059" i="6"/>
  <c r="CE1059" i="6"/>
  <c r="AT1059" i="6"/>
  <c r="AR1059" i="6"/>
  <c r="E1059" i="6"/>
  <c r="CH1058" i="6"/>
  <c r="CG1058" i="6"/>
  <c r="AT1058" i="6"/>
  <c r="CE1058" i="6" s="1"/>
  <c r="AR1058" i="6"/>
  <c r="CH1057" i="6"/>
  <c r="CG1057" i="6"/>
  <c r="AT1057" i="6"/>
  <c r="CE1057" i="6" s="1"/>
  <c r="AR1057" i="6"/>
  <c r="CH1056" i="6"/>
  <c r="CG1056" i="6"/>
  <c r="CE1056" i="6"/>
  <c r="AR1056" i="6"/>
  <c r="CH1055" i="6"/>
  <c r="CG1055" i="6"/>
  <c r="CE1055" i="6"/>
  <c r="AR1055" i="6"/>
  <c r="CH1054" i="6"/>
  <c r="CG1054" i="6"/>
  <c r="CE1054" i="6"/>
  <c r="AR1054" i="6"/>
  <c r="CH1053" i="6"/>
  <c r="CG1053" i="6"/>
  <c r="CE1053" i="6"/>
  <c r="AR1053" i="6"/>
  <c r="CH1052" i="6"/>
  <c r="CG1052" i="6"/>
  <c r="CE1052" i="6"/>
  <c r="AR1052" i="6"/>
  <c r="CH1051" i="6"/>
  <c r="CG1051" i="6"/>
  <c r="CE1051" i="6"/>
  <c r="AR1051" i="6"/>
  <c r="E1051" i="6"/>
  <c r="E1056" i="6" s="1"/>
  <c r="CH1050" i="6"/>
  <c r="CG1050" i="6"/>
  <c r="CE1050" i="6"/>
  <c r="AR1050" i="6"/>
  <c r="CH1049" i="6"/>
  <c r="CG1049" i="6"/>
  <c r="CE1049" i="6"/>
  <c r="CF1049" i="6" s="1"/>
  <c r="AR1049" i="6"/>
  <c r="CH1048" i="6"/>
  <c r="CG1048" i="6"/>
  <c r="AT1048" i="6"/>
  <c r="CE1048" i="6" s="1"/>
  <c r="CF1048" i="6" s="1"/>
  <c r="AR1048" i="6"/>
  <c r="CH1047" i="6"/>
  <c r="CG1047" i="6"/>
  <c r="CE1047" i="6"/>
  <c r="AR1047" i="6"/>
  <c r="CH1046" i="6"/>
  <c r="CG1046" i="6"/>
  <c r="CE1046" i="6"/>
  <c r="AR1046" i="6"/>
  <c r="CH1045" i="6"/>
  <c r="CG1045" i="6"/>
  <c r="CE1045" i="6"/>
  <c r="AR1045" i="6"/>
  <c r="E1045" i="6"/>
  <c r="E1046" i="6" s="1"/>
  <c r="E1047" i="6" s="1"/>
  <c r="E1048" i="6" s="1"/>
  <c r="E1049" i="6" s="1"/>
  <c r="E1050" i="6" s="1"/>
  <c r="CH1044" i="6"/>
  <c r="CG1044" i="6"/>
  <c r="CE1044" i="6"/>
  <c r="AR1044" i="6"/>
  <c r="CH1043" i="6"/>
  <c r="CG1043" i="6"/>
  <c r="CE1043" i="6"/>
  <c r="CF1043" i="6" s="1"/>
  <c r="AR1043" i="6"/>
  <c r="CH1042" i="6"/>
  <c r="CG1042" i="6"/>
  <c r="CE1042" i="6"/>
  <c r="AR1042" i="6"/>
  <c r="CH1041" i="6"/>
  <c r="CG1041" i="6"/>
  <c r="CE1041" i="6"/>
  <c r="AR1041" i="6"/>
  <c r="CH1040" i="6"/>
  <c r="CG1040" i="6"/>
  <c r="CE1040" i="6"/>
  <c r="AR1040" i="6"/>
  <c r="CH1039" i="6"/>
  <c r="CG1039" i="6"/>
  <c r="CE1039" i="6"/>
  <c r="AR1039" i="6"/>
  <c r="CH1038" i="6"/>
  <c r="CG1038" i="6"/>
  <c r="CE1038" i="6"/>
  <c r="AR1038" i="6"/>
  <c r="CH1037" i="6"/>
  <c r="CG1037" i="6"/>
  <c r="AT1037" i="6"/>
  <c r="AR1037" i="6"/>
  <c r="CH1036" i="6"/>
  <c r="CG1036" i="6"/>
  <c r="CE1036" i="6"/>
  <c r="AR1036" i="6"/>
  <c r="CH1035" i="6"/>
  <c r="CG1035" i="6"/>
  <c r="CE1035" i="6"/>
  <c r="AR1035" i="6"/>
  <c r="CH1034" i="6"/>
  <c r="CG1034" i="6"/>
  <c r="CE1034" i="6"/>
  <c r="AR1034" i="6"/>
  <c r="CH1033" i="6"/>
  <c r="CG1033" i="6"/>
  <c r="CE1033" i="6"/>
  <c r="AR1033" i="6"/>
  <c r="CH1032" i="6"/>
  <c r="CG1032" i="6"/>
  <c r="CE1032" i="6"/>
  <c r="AR1032" i="6"/>
  <c r="CH1031" i="6"/>
  <c r="CG1031" i="6"/>
  <c r="CE1031" i="6"/>
  <c r="AR1031" i="6"/>
  <c r="CH1030" i="6"/>
  <c r="CG1030" i="6"/>
  <c r="CE1030" i="6"/>
  <c r="AR1030" i="6"/>
  <c r="CH1029" i="6"/>
  <c r="CG1029" i="6"/>
  <c r="CE1029" i="6"/>
  <c r="AR1029" i="6"/>
  <c r="CH1028" i="6"/>
  <c r="CG1028" i="6"/>
  <c r="CE1028" i="6"/>
  <c r="CF1028" i="6" s="1"/>
  <c r="AR1028" i="6"/>
  <c r="CH1027" i="6"/>
  <c r="CG1027" i="6"/>
  <c r="CE1027" i="6"/>
  <c r="AR1027" i="6"/>
  <c r="CH1026" i="6"/>
  <c r="CG1026" i="6"/>
  <c r="CE1026" i="6"/>
  <c r="AR1026" i="6"/>
  <c r="CH1025" i="6"/>
  <c r="CG1025" i="6"/>
  <c r="CE1025" i="6"/>
  <c r="AR1025" i="6"/>
  <c r="E1025" i="6"/>
  <c r="CH1024" i="6"/>
  <c r="CG1024" i="6"/>
  <c r="CE1024" i="6"/>
  <c r="AR1024" i="6"/>
  <c r="CH1023" i="6"/>
  <c r="CG1023" i="6"/>
  <c r="CE1023" i="6"/>
  <c r="AR1023" i="6"/>
  <c r="CH1022" i="6"/>
  <c r="CG1022" i="6"/>
  <c r="CE1022" i="6"/>
  <c r="AR1022" i="6"/>
  <c r="CH1021" i="6"/>
  <c r="CG1021" i="6"/>
  <c r="CE1021" i="6"/>
  <c r="AR1021" i="6"/>
  <c r="CH1020" i="6"/>
  <c r="CG1020" i="6"/>
  <c r="CE1020" i="6"/>
  <c r="AR1020" i="6"/>
  <c r="CH1019" i="6"/>
  <c r="CG1019" i="6"/>
  <c r="CE1019" i="6"/>
  <c r="AR1019" i="6"/>
  <c r="CH1018" i="6"/>
  <c r="CG1018" i="6"/>
  <c r="CE1018" i="6"/>
  <c r="AR1018" i="6"/>
  <c r="CH1017" i="6"/>
  <c r="CG1017" i="6"/>
  <c r="CE1017" i="6"/>
  <c r="AR1017" i="6"/>
  <c r="CH1016" i="6"/>
  <c r="CG1016" i="6"/>
  <c r="CE1016" i="6"/>
  <c r="AR1016" i="6"/>
  <c r="CH1015" i="6"/>
  <c r="CG1015" i="6"/>
  <c r="CE1015" i="6"/>
  <c r="AR1015" i="6"/>
  <c r="E1015" i="6"/>
  <c r="CH1014" i="6"/>
  <c r="CG1014" i="6"/>
  <c r="CE1014" i="6"/>
  <c r="AR1014" i="6"/>
  <c r="CH1013" i="6"/>
  <c r="CG1013" i="6"/>
  <c r="CE1013" i="6"/>
  <c r="AR1013" i="6"/>
  <c r="CH1012" i="6"/>
  <c r="CG1012" i="6"/>
  <c r="CE1012" i="6"/>
  <c r="AR1012" i="6"/>
  <c r="CH1011" i="6"/>
  <c r="CG1011" i="6"/>
  <c r="CE1011" i="6"/>
  <c r="AR1011" i="6"/>
  <c r="CH1010" i="6"/>
  <c r="CG1010" i="6"/>
  <c r="CE1010" i="6"/>
  <c r="AR1010" i="6"/>
  <c r="CH1009" i="6"/>
  <c r="CG1009" i="6"/>
  <c r="CE1009" i="6"/>
  <c r="AR1009" i="6"/>
  <c r="CH1008" i="6"/>
  <c r="CG1008" i="6"/>
  <c r="CE1008" i="6"/>
  <c r="AR1008" i="6"/>
  <c r="CH1007" i="6"/>
  <c r="CG1007" i="6"/>
  <c r="CE1007" i="6"/>
  <c r="AR1007" i="6"/>
  <c r="CH1006" i="6"/>
  <c r="CG1006" i="6"/>
  <c r="CE1006" i="6"/>
  <c r="AR1006" i="6"/>
  <c r="CH1005" i="6"/>
  <c r="CG1005" i="6"/>
  <c r="CE1005" i="6"/>
  <c r="AR1005" i="6"/>
  <c r="CH1004" i="6"/>
  <c r="CG1004" i="6"/>
  <c r="CE1004" i="6"/>
  <c r="AR1004" i="6"/>
  <c r="CH1003" i="6"/>
  <c r="CG1003" i="6"/>
  <c r="CE1003" i="6"/>
  <c r="AR1003" i="6"/>
  <c r="CH1002" i="6"/>
  <c r="CG1002" i="6"/>
  <c r="CE1002" i="6"/>
  <c r="CF1002" i="6" s="1"/>
  <c r="AR1002" i="6"/>
  <c r="CH1001" i="6"/>
  <c r="CG1001" i="6"/>
  <c r="CE1001" i="6"/>
  <c r="AR1001" i="6"/>
  <c r="CH1000" i="6"/>
  <c r="CG1000" i="6"/>
  <c r="CE1000" i="6"/>
  <c r="AR1000" i="6"/>
  <c r="CH999" i="6"/>
  <c r="CG999" i="6"/>
  <c r="CE999" i="6"/>
  <c r="AR999" i="6"/>
  <c r="CH998" i="6"/>
  <c r="CG998" i="6"/>
  <c r="CE998" i="6"/>
  <c r="AR998" i="6"/>
  <c r="CH997" i="6"/>
  <c r="CG997" i="6"/>
  <c r="CE997" i="6"/>
  <c r="AR997" i="6"/>
  <c r="CH996" i="6"/>
  <c r="CG996" i="6"/>
  <c r="CE996" i="6"/>
  <c r="AR996" i="6"/>
  <c r="CH995" i="6"/>
  <c r="CG995" i="6"/>
  <c r="CE995" i="6"/>
  <c r="AR995" i="6"/>
  <c r="CH994" i="6"/>
  <c r="CG994" i="6"/>
  <c r="CE994" i="6"/>
  <c r="AR994" i="6"/>
  <c r="CH993" i="6"/>
  <c r="CG993" i="6"/>
  <c r="CE993" i="6"/>
  <c r="AR993" i="6"/>
  <c r="CJ992" i="6"/>
  <c r="CI992" i="6"/>
  <c r="CD992" i="6"/>
  <c r="CC992" i="6"/>
  <c r="CB992" i="6"/>
  <c r="CA992" i="6"/>
  <c r="BZ992" i="6"/>
  <c r="BY992" i="6"/>
  <c r="BX992" i="6"/>
  <c r="BW992" i="6"/>
  <c r="BV992" i="6"/>
  <c r="BU992" i="6"/>
  <c r="BT992" i="6"/>
  <c r="BS992" i="6"/>
  <c r="BR992" i="6"/>
  <c r="BQ992" i="6"/>
  <c r="BP992" i="6"/>
  <c r="BO992" i="6"/>
  <c r="BN992" i="6"/>
  <c r="BM992" i="6"/>
  <c r="BL992" i="6"/>
  <c r="BK992" i="6"/>
  <c r="BJ992" i="6"/>
  <c r="BI992" i="6"/>
  <c r="BH992" i="6"/>
  <c r="BG992" i="6"/>
  <c r="BF992" i="6"/>
  <c r="BE992" i="6"/>
  <c r="BD992" i="6"/>
  <c r="BC992" i="6"/>
  <c r="BB992" i="6"/>
  <c r="BA992" i="6"/>
  <c r="AZ992" i="6"/>
  <c r="AY992" i="6"/>
  <c r="AX992" i="6"/>
  <c r="AW992" i="6"/>
  <c r="AV992" i="6"/>
  <c r="AU992" i="6"/>
  <c r="AT992" i="6"/>
  <c r="AS992" i="6"/>
  <c r="AQ992" i="6"/>
  <c r="AP992" i="6"/>
  <c r="AO992" i="6"/>
  <c r="AN992" i="6"/>
  <c r="AM992" i="6"/>
  <c r="AL992" i="6"/>
  <c r="AK992" i="6"/>
  <c r="AJ992" i="6"/>
  <c r="AI992" i="6"/>
  <c r="AH992" i="6"/>
  <c r="AG992" i="6"/>
  <c r="AF992" i="6"/>
  <c r="AE992" i="6"/>
  <c r="AD992" i="6"/>
  <c r="CH991" i="6"/>
  <c r="CH992" i="6" s="1"/>
  <c r="CG991" i="6"/>
  <c r="CE991" i="6"/>
  <c r="AR991" i="6"/>
  <c r="AR992" i="6" s="1"/>
  <c r="CI990" i="6"/>
  <c r="CD990" i="6"/>
  <c r="CC990" i="6"/>
  <c r="CB990" i="6"/>
  <c r="CA990" i="6"/>
  <c r="BZ990" i="6"/>
  <c r="BY990" i="6"/>
  <c r="BX990" i="6"/>
  <c r="BW990" i="6"/>
  <c r="BV990" i="6"/>
  <c r="BU990" i="6"/>
  <c r="BT990" i="6"/>
  <c r="BS990" i="6"/>
  <c r="BR990" i="6"/>
  <c r="BQ990" i="6"/>
  <c r="BP990" i="6"/>
  <c r="BO990" i="6"/>
  <c r="BN990" i="6"/>
  <c r="BM990" i="6"/>
  <c r="BL990" i="6"/>
  <c r="BK990" i="6"/>
  <c r="BJ990" i="6"/>
  <c r="BI990" i="6"/>
  <c r="BH990" i="6"/>
  <c r="BG990" i="6"/>
  <c r="BF990" i="6"/>
  <c r="BE990" i="6"/>
  <c r="BD990" i="6"/>
  <c r="BC990" i="6"/>
  <c r="BB990" i="6"/>
  <c r="BA990" i="6"/>
  <c r="AZ990" i="6"/>
  <c r="AY990" i="6"/>
  <c r="AX990" i="6"/>
  <c r="AW990" i="6"/>
  <c r="AV990" i="6"/>
  <c r="AU990" i="6"/>
  <c r="AT990" i="6"/>
  <c r="AS990" i="6"/>
  <c r="AQ990" i="6"/>
  <c r="AP990" i="6"/>
  <c r="AO990" i="6"/>
  <c r="AN990" i="6"/>
  <c r="AM990" i="6"/>
  <c r="AL990" i="6"/>
  <c r="AK990" i="6"/>
  <c r="AJ990" i="6"/>
  <c r="AI990" i="6"/>
  <c r="AH990" i="6"/>
  <c r="AG990" i="6"/>
  <c r="AF990" i="6"/>
  <c r="AE990" i="6"/>
  <c r="AD990" i="6"/>
  <c r="AC990" i="6"/>
  <c r="AB990" i="6"/>
  <c r="AA990" i="6"/>
  <c r="Z990" i="6"/>
  <c r="Y990" i="6"/>
  <c r="X990" i="6"/>
  <c r="W990" i="6"/>
  <c r="V990" i="6"/>
  <c r="U990" i="6"/>
  <c r="T990" i="6"/>
  <c r="S990" i="6"/>
  <c r="R990" i="6"/>
  <c r="Q990" i="6"/>
  <c r="P990" i="6"/>
  <c r="O990" i="6"/>
  <c r="N990" i="6"/>
  <c r="M990" i="6"/>
  <c r="L990" i="6"/>
  <c r="K990" i="6"/>
  <c r="J990" i="6"/>
  <c r="I990" i="6"/>
  <c r="H990" i="6"/>
  <c r="G990" i="6"/>
  <c r="CH989" i="6"/>
  <c r="CH990" i="6" s="1"/>
  <c r="CG989" i="6"/>
  <c r="CE989" i="6"/>
  <c r="CE990" i="6" s="1"/>
  <c r="AR989" i="6"/>
  <c r="AR990" i="6" s="1"/>
  <c r="CK988" i="6"/>
  <c r="CJ988" i="6"/>
  <c r="CI988" i="6"/>
  <c r="CD988" i="6"/>
  <c r="CC988" i="6"/>
  <c r="CB988" i="6"/>
  <c r="CA988" i="6"/>
  <c r="BZ988" i="6"/>
  <c r="BY988" i="6"/>
  <c r="BX988" i="6"/>
  <c r="BW988" i="6"/>
  <c r="BV988" i="6"/>
  <c r="BU988" i="6"/>
  <c r="BT988" i="6"/>
  <c r="BS988" i="6"/>
  <c r="BR988" i="6"/>
  <c r="BQ988" i="6"/>
  <c r="BP988" i="6"/>
  <c r="BO988" i="6"/>
  <c r="BN988" i="6"/>
  <c r="BM988" i="6"/>
  <c r="BL988" i="6"/>
  <c r="BK988" i="6"/>
  <c r="BJ988" i="6"/>
  <c r="BH988" i="6"/>
  <c r="BG988" i="6"/>
  <c r="BF988" i="6"/>
  <c r="BE988" i="6"/>
  <c r="BD988" i="6"/>
  <c r="BC988" i="6"/>
  <c r="BB988" i="6"/>
  <c r="BA988" i="6"/>
  <c r="AZ988" i="6"/>
  <c r="AY988" i="6"/>
  <c r="AX988" i="6"/>
  <c r="AW988" i="6"/>
  <c r="AV988" i="6"/>
  <c r="AS988" i="6"/>
  <c r="AQ988" i="6"/>
  <c r="AP988" i="6"/>
  <c r="AO988" i="6"/>
  <c r="AN988" i="6"/>
  <c r="AM988" i="6"/>
  <c r="AL988" i="6"/>
  <c r="AK988" i="6"/>
  <c r="AJ988" i="6"/>
  <c r="AI988" i="6"/>
  <c r="AH988" i="6"/>
  <c r="AG988" i="6"/>
  <c r="AF988" i="6"/>
  <c r="AE988" i="6"/>
  <c r="AD988" i="6"/>
  <c r="AC988" i="6"/>
  <c r="AB988" i="6"/>
  <c r="AA988" i="6"/>
  <c r="Z988" i="6"/>
  <c r="Y988" i="6"/>
  <c r="X988" i="6"/>
  <c r="W988" i="6"/>
  <c r="V988" i="6"/>
  <c r="U988" i="6"/>
  <c r="T988" i="6"/>
  <c r="S988" i="6"/>
  <c r="R988" i="6"/>
  <c r="Q988" i="6"/>
  <c r="P988" i="6"/>
  <c r="O988" i="6"/>
  <c r="N988" i="6"/>
  <c r="M988" i="6"/>
  <c r="L988" i="6"/>
  <c r="K988" i="6"/>
  <c r="J988" i="6"/>
  <c r="I988" i="6"/>
  <c r="H988" i="6"/>
  <c r="G988" i="6"/>
  <c r="CH987" i="6"/>
  <c r="CG987" i="6"/>
  <c r="CE987" i="6"/>
  <c r="AR987" i="6"/>
  <c r="CH986" i="6"/>
  <c r="CG986" i="6"/>
  <c r="CE986" i="6"/>
  <c r="AR986" i="6"/>
  <c r="CH985" i="6"/>
  <c r="CG985" i="6"/>
  <c r="BI985" i="6"/>
  <c r="BI988" i="6" s="1"/>
  <c r="AT985" i="6"/>
  <c r="AR985" i="6"/>
  <c r="CH984" i="6"/>
  <c r="CG984" i="6"/>
  <c r="CE984" i="6"/>
  <c r="AR984" i="6"/>
  <c r="CH983" i="6"/>
  <c r="CG983" i="6"/>
  <c r="CE983" i="6"/>
  <c r="AR983" i="6"/>
  <c r="CF983" i="6" s="1"/>
  <c r="CH982" i="6"/>
  <c r="CG982" i="6"/>
  <c r="CE982" i="6"/>
  <c r="AR982" i="6"/>
  <c r="CH981" i="6"/>
  <c r="CG981" i="6"/>
  <c r="CE981" i="6"/>
  <c r="AR981" i="6"/>
  <c r="CH980" i="6"/>
  <c r="CG980" i="6"/>
  <c r="CE980" i="6"/>
  <c r="AR980" i="6"/>
  <c r="CH979" i="6"/>
  <c r="CG979" i="6"/>
  <c r="CE979" i="6"/>
  <c r="AR979" i="6"/>
  <c r="CH978" i="6"/>
  <c r="CG978" i="6"/>
  <c r="CE978" i="6"/>
  <c r="CF978" i="6" s="1"/>
  <c r="AT978" i="6"/>
  <c r="AR978" i="6"/>
  <c r="CH977" i="6"/>
  <c r="CG977" i="6"/>
  <c r="CE977" i="6"/>
  <c r="AR977" i="6"/>
  <c r="CH976" i="6"/>
  <c r="CG976" i="6"/>
  <c r="CE976" i="6"/>
  <c r="AR976" i="6"/>
  <c r="CH975" i="6"/>
  <c r="CG975" i="6"/>
  <c r="CE975" i="6"/>
  <c r="AR975" i="6"/>
  <c r="CH974" i="6"/>
  <c r="CG974" i="6"/>
  <c r="CE974" i="6"/>
  <c r="AR974" i="6"/>
  <c r="CH973" i="6"/>
  <c r="CG973" i="6"/>
  <c r="CE973" i="6"/>
  <c r="AR973" i="6"/>
  <c r="E973" i="6"/>
  <c r="E974" i="6" s="1"/>
  <c r="E975" i="6" s="1"/>
  <c r="E976" i="6" s="1"/>
  <c r="E977" i="6" s="1"/>
  <c r="CH972" i="6"/>
  <c r="CG972" i="6"/>
  <c r="CE972" i="6"/>
  <c r="AR972" i="6"/>
  <c r="CH971" i="6"/>
  <c r="CG971" i="6"/>
  <c r="CE971" i="6"/>
  <c r="AT971" i="6"/>
  <c r="AR971" i="6"/>
  <c r="E971" i="6"/>
  <c r="E972" i="6" s="1"/>
  <c r="E978" i="6" s="1"/>
  <c r="E979" i="6" s="1"/>
  <c r="E980" i="6" s="1"/>
  <c r="CH970" i="6"/>
  <c r="CG970" i="6"/>
  <c r="CE970" i="6"/>
  <c r="AR970" i="6"/>
  <c r="E970" i="6"/>
  <c r="CH969" i="6"/>
  <c r="CG969" i="6"/>
  <c r="CE969" i="6"/>
  <c r="CF969" i="6" s="1"/>
  <c r="AR969" i="6"/>
  <c r="CH968" i="6"/>
  <c r="CG968" i="6"/>
  <c r="CE968" i="6"/>
  <c r="AR968" i="6"/>
  <c r="CH967" i="6"/>
  <c r="CG967" i="6"/>
  <c r="CE967" i="6"/>
  <c r="AR967" i="6"/>
  <c r="CH966" i="6"/>
  <c r="CG966" i="6"/>
  <c r="CE966" i="6"/>
  <c r="CF966" i="6" s="1"/>
  <c r="AR966" i="6"/>
  <c r="CH965" i="6"/>
  <c r="CG965" i="6"/>
  <c r="CE965" i="6"/>
  <c r="AR965" i="6"/>
  <c r="CH964" i="6"/>
  <c r="CG964" i="6"/>
  <c r="CE964" i="6"/>
  <c r="AR964" i="6"/>
  <c r="CH963" i="6"/>
  <c r="CG963" i="6"/>
  <c r="CE963" i="6"/>
  <c r="AR963" i="6"/>
  <c r="CH962" i="6"/>
  <c r="CG962" i="6"/>
  <c r="CE962" i="6"/>
  <c r="AR962" i="6"/>
  <c r="CH961" i="6"/>
  <c r="CG961" i="6"/>
  <c r="CE961" i="6"/>
  <c r="AR961" i="6"/>
  <c r="CH960" i="6"/>
  <c r="CG960" i="6"/>
  <c r="CE960" i="6"/>
  <c r="AR960" i="6"/>
  <c r="CH959" i="6"/>
  <c r="CG959" i="6"/>
  <c r="CE959" i="6"/>
  <c r="AR959" i="6"/>
  <c r="CH958" i="6"/>
  <c r="CG958" i="6"/>
  <c r="CE958" i="6"/>
  <c r="AR958" i="6"/>
  <c r="CH957" i="6"/>
  <c r="CG957" i="6"/>
  <c r="CE957" i="6"/>
  <c r="CF957" i="6" s="1"/>
  <c r="AR957" i="6"/>
  <c r="CH956" i="6"/>
  <c r="CG956" i="6"/>
  <c r="AT956" i="6"/>
  <c r="CE956" i="6" s="1"/>
  <c r="AR956" i="6"/>
  <c r="CH955" i="6"/>
  <c r="CG955" i="6"/>
  <c r="CE955" i="6"/>
  <c r="CF955" i="6" s="1"/>
  <c r="AR955" i="6"/>
  <c r="CH954" i="6"/>
  <c r="CG954" i="6"/>
  <c r="CE954" i="6"/>
  <c r="AR954" i="6"/>
  <c r="CF954" i="6" s="1"/>
  <c r="CH953" i="6"/>
  <c r="CG953" i="6"/>
  <c r="CE953" i="6"/>
  <c r="AR953" i="6"/>
  <c r="E953" i="6"/>
  <c r="CH952" i="6"/>
  <c r="CG952" i="6"/>
  <c r="AT952" i="6"/>
  <c r="CE952" i="6" s="1"/>
  <c r="AR952" i="6"/>
  <c r="CH951" i="6"/>
  <c r="CG951" i="6"/>
  <c r="CE951" i="6"/>
  <c r="AR951" i="6"/>
  <c r="CH950" i="6"/>
  <c r="CG950" i="6"/>
  <c r="CE950" i="6"/>
  <c r="AR950" i="6"/>
  <c r="CH949" i="6"/>
  <c r="CG949" i="6"/>
  <c r="CE949" i="6"/>
  <c r="CF949" i="6" s="1"/>
  <c r="AR949" i="6"/>
  <c r="CH948" i="6"/>
  <c r="CG948" i="6"/>
  <c r="CE948" i="6"/>
  <c r="AR948" i="6"/>
  <c r="CH947" i="6"/>
  <c r="CG947" i="6"/>
  <c r="CE947" i="6"/>
  <c r="AR947" i="6"/>
  <c r="CH946" i="6"/>
  <c r="CG946" i="6"/>
  <c r="CE946" i="6"/>
  <c r="AR946" i="6"/>
  <c r="CH945" i="6"/>
  <c r="CG945" i="6"/>
  <c r="CE945" i="6"/>
  <c r="AR945" i="6"/>
  <c r="CH944" i="6"/>
  <c r="CG944" i="6"/>
  <c r="CE944" i="6"/>
  <c r="CF944" i="6" s="1"/>
  <c r="AR944" i="6"/>
  <c r="CH943" i="6"/>
  <c r="CG943" i="6"/>
  <c r="CE943" i="6"/>
  <c r="AR943" i="6"/>
  <c r="CH942" i="6"/>
  <c r="CG942" i="6"/>
  <c r="CE942" i="6"/>
  <c r="CF942" i="6" s="1"/>
  <c r="AR942" i="6"/>
  <c r="CH941" i="6"/>
  <c r="CG941" i="6"/>
  <c r="CE941" i="6"/>
  <c r="AR941" i="6"/>
  <c r="CF941" i="6" s="1"/>
  <c r="CH940" i="6"/>
  <c r="CG940" i="6"/>
  <c r="CE940" i="6"/>
  <c r="AT940" i="6"/>
  <c r="AR940" i="6"/>
  <c r="A940" i="6"/>
  <c r="CH939" i="6"/>
  <c r="CG939" i="6"/>
  <c r="CE939" i="6"/>
  <c r="AR939" i="6"/>
  <c r="CH938" i="6"/>
  <c r="CG938" i="6"/>
  <c r="CE938" i="6"/>
  <c r="AR938" i="6"/>
  <c r="CH937" i="6"/>
  <c r="CG937" i="6"/>
  <c r="CE937" i="6"/>
  <c r="AR937" i="6"/>
  <c r="CH936" i="6"/>
  <c r="CG936" i="6"/>
  <c r="CE936" i="6"/>
  <c r="AR936" i="6"/>
  <c r="E936" i="6"/>
  <c r="CH935" i="6"/>
  <c r="CG935" i="6"/>
  <c r="CE935" i="6"/>
  <c r="AR935" i="6"/>
  <c r="CH934" i="6"/>
  <c r="CG934" i="6"/>
  <c r="AT934" i="6"/>
  <c r="CE934" i="6" s="1"/>
  <c r="AR934" i="6"/>
  <c r="CH933" i="6"/>
  <c r="CG933" i="6"/>
  <c r="CE933" i="6"/>
  <c r="CF933" i="6" s="1"/>
  <c r="AR933" i="6"/>
  <c r="CH932" i="6"/>
  <c r="CG932" i="6"/>
  <c r="CF932" i="6"/>
  <c r="CE932" i="6"/>
  <c r="AR932" i="6"/>
  <c r="CH931" i="6"/>
  <c r="CG931" i="6"/>
  <c r="CE931" i="6"/>
  <c r="AR931" i="6"/>
  <c r="CH930" i="6"/>
  <c r="CG930" i="6"/>
  <c r="CE930" i="6"/>
  <c r="AR930" i="6"/>
  <c r="CH929" i="6"/>
  <c r="CG929" i="6"/>
  <c r="CE929" i="6"/>
  <c r="AR929" i="6"/>
  <c r="CH928" i="6"/>
  <c r="CG928" i="6"/>
  <c r="CE928" i="6"/>
  <c r="AR928" i="6"/>
  <c r="CH927" i="6"/>
  <c r="CG927" i="6"/>
  <c r="CE927" i="6"/>
  <c r="AR927" i="6"/>
  <c r="CH926" i="6"/>
  <c r="CG926" i="6"/>
  <c r="CE926" i="6"/>
  <c r="AR926" i="6"/>
  <c r="CH925" i="6"/>
  <c r="CG925" i="6"/>
  <c r="CE925" i="6"/>
  <c r="AR925" i="6"/>
  <c r="CH924" i="6"/>
  <c r="CG924" i="6"/>
  <c r="CE924" i="6"/>
  <c r="AR924" i="6"/>
  <c r="CF924" i="6" s="1"/>
  <c r="CH923" i="6"/>
  <c r="CG923" i="6"/>
  <c r="CE923" i="6"/>
  <c r="AR923" i="6"/>
  <c r="CH922" i="6"/>
  <c r="CG922" i="6"/>
  <c r="CE922" i="6"/>
  <c r="AR922" i="6"/>
  <c r="CH921" i="6"/>
  <c r="CG921" i="6"/>
  <c r="CE921" i="6"/>
  <c r="AR921" i="6"/>
  <c r="CF921" i="6" s="1"/>
  <c r="CH920" i="6"/>
  <c r="CG920" i="6"/>
  <c r="CE920" i="6"/>
  <c r="AR920" i="6"/>
  <c r="CH919" i="6"/>
  <c r="CG919" i="6"/>
  <c r="CE919" i="6"/>
  <c r="AR919" i="6"/>
  <c r="CF919" i="6" s="1"/>
  <c r="CH918" i="6"/>
  <c r="CG918" i="6"/>
  <c r="CE918" i="6"/>
  <c r="AR918" i="6"/>
  <c r="CH917" i="6"/>
  <c r="CG917" i="6"/>
  <c r="CE917" i="6"/>
  <c r="AR917" i="6"/>
  <c r="CH916" i="6"/>
  <c r="CG916" i="6"/>
  <c r="CE916" i="6"/>
  <c r="AR916" i="6"/>
  <c r="CH915" i="6"/>
  <c r="CG915" i="6"/>
  <c r="CE915" i="6"/>
  <c r="AR915" i="6"/>
  <c r="CH914" i="6"/>
  <c r="CG914" i="6"/>
  <c r="CE914" i="6"/>
  <c r="AR914" i="6"/>
  <c r="CH913" i="6"/>
  <c r="CG913" i="6"/>
  <c r="CE913" i="6"/>
  <c r="AR913" i="6"/>
  <c r="CF913" i="6" s="1"/>
  <c r="CH912" i="6"/>
  <c r="CG912" i="6"/>
  <c r="CE912" i="6"/>
  <c r="AR912" i="6"/>
  <c r="CH911" i="6"/>
  <c r="CG911" i="6"/>
  <c r="CE911" i="6"/>
  <c r="AR911" i="6"/>
  <c r="CF911" i="6" s="1"/>
  <c r="CH910" i="6"/>
  <c r="CG910" i="6"/>
  <c r="AT910" i="6"/>
  <c r="CE910" i="6" s="1"/>
  <c r="AR910" i="6"/>
  <c r="CH909" i="6"/>
  <c r="CG909" i="6"/>
  <c r="CE909" i="6"/>
  <c r="AR909" i="6"/>
  <c r="CH908" i="6"/>
  <c r="CG908" i="6"/>
  <c r="CE908" i="6"/>
  <c r="AR908" i="6"/>
  <c r="CH907" i="6"/>
  <c r="CG907" i="6"/>
  <c r="CE907" i="6"/>
  <c r="AR907" i="6"/>
  <c r="E907" i="6"/>
  <c r="CH906" i="6"/>
  <c r="CG906" i="6"/>
  <c r="CE906" i="6"/>
  <c r="AR906" i="6"/>
  <c r="CH905" i="6"/>
  <c r="CG905" i="6"/>
  <c r="CE905" i="6"/>
  <c r="AR905" i="6"/>
  <c r="CH904" i="6"/>
  <c r="CG904" i="6"/>
  <c r="CE904" i="6"/>
  <c r="AR904" i="6"/>
  <c r="CH903" i="6"/>
  <c r="CG903" i="6"/>
  <c r="CE903" i="6"/>
  <c r="CF903" i="6" s="1"/>
  <c r="AR903" i="6"/>
  <c r="CH902" i="6"/>
  <c r="CG902" i="6"/>
  <c r="CE902" i="6"/>
  <c r="AR902" i="6"/>
  <c r="CH901" i="6"/>
  <c r="CG901" i="6"/>
  <c r="CE901" i="6"/>
  <c r="AR901" i="6"/>
  <c r="CH900" i="6"/>
  <c r="CG900" i="6"/>
  <c r="CE900" i="6"/>
  <c r="AR900" i="6"/>
  <c r="A900" i="6"/>
  <c r="CH899" i="6"/>
  <c r="CG899" i="6"/>
  <c r="CE899" i="6"/>
  <c r="AR899" i="6"/>
  <c r="CH898" i="6"/>
  <c r="CG898" i="6"/>
  <c r="CE898" i="6"/>
  <c r="AR898" i="6"/>
  <c r="CH897" i="6"/>
  <c r="CG897" i="6"/>
  <c r="CE897" i="6"/>
  <c r="AR897" i="6"/>
  <c r="CH896" i="6"/>
  <c r="CG896" i="6"/>
  <c r="CE896" i="6"/>
  <c r="CF896" i="6" s="1"/>
  <c r="AR896" i="6"/>
  <c r="CH895" i="6"/>
  <c r="CG895" i="6"/>
  <c r="CF895" i="6"/>
  <c r="CE895" i="6"/>
  <c r="AR895" i="6"/>
  <c r="CH894" i="6"/>
  <c r="CG894" i="6"/>
  <c r="CE894" i="6"/>
  <c r="AR894" i="6"/>
  <c r="CH893" i="6"/>
  <c r="CG893" i="6"/>
  <c r="CE893" i="6"/>
  <c r="CF893" i="6" s="1"/>
  <c r="AR893" i="6"/>
  <c r="CH892" i="6"/>
  <c r="CG892" i="6"/>
  <c r="AT892" i="6"/>
  <c r="CE892" i="6" s="1"/>
  <c r="AR892" i="6"/>
  <c r="E892" i="6"/>
  <c r="CH891" i="6"/>
  <c r="CG891" i="6"/>
  <c r="AT891" i="6"/>
  <c r="CE891" i="6" s="1"/>
  <c r="AR891" i="6"/>
  <c r="CH890" i="6"/>
  <c r="CG890" i="6"/>
  <c r="CE890" i="6"/>
  <c r="AR890" i="6"/>
  <c r="CF890" i="6" s="1"/>
  <c r="E890" i="6"/>
  <c r="CH889" i="6"/>
  <c r="CG889" i="6"/>
  <c r="AU889" i="6"/>
  <c r="AU988" i="6" s="1"/>
  <c r="AT889" i="6"/>
  <c r="CE889" i="6" s="1"/>
  <c r="CF889" i="6" s="1"/>
  <c r="AR889" i="6"/>
  <c r="CH888" i="6"/>
  <c r="CG888" i="6"/>
  <c r="CE888" i="6"/>
  <c r="AR888" i="6"/>
  <c r="CH887" i="6"/>
  <c r="CG887" i="6"/>
  <c r="CE887" i="6"/>
  <c r="CF887" i="6" s="1"/>
  <c r="AR887" i="6"/>
  <c r="CH886" i="6"/>
  <c r="CG886" i="6"/>
  <c r="CF886" i="6"/>
  <c r="CE886" i="6"/>
  <c r="AR886" i="6"/>
  <c r="CH885" i="6"/>
  <c r="CG885" i="6"/>
  <c r="CE885" i="6"/>
  <c r="AT885" i="6"/>
  <c r="AR885" i="6"/>
  <c r="CF885" i="6" s="1"/>
  <c r="CH884" i="6"/>
  <c r="CG884" i="6"/>
  <c r="AT884" i="6"/>
  <c r="CE884" i="6" s="1"/>
  <c r="AR884" i="6"/>
  <c r="CH883" i="6"/>
  <c r="CG883" i="6"/>
  <c r="AT883" i="6"/>
  <c r="CE883" i="6" s="1"/>
  <c r="AR883" i="6"/>
  <c r="CH882" i="6"/>
  <c r="CG882" i="6"/>
  <c r="CE882" i="6"/>
  <c r="AR882" i="6"/>
  <c r="CH881" i="6"/>
  <c r="CG881" i="6"/>
  <c r="CE881" i="6"/>
  <c r="AR881" i="6"/>
  <c r="CH880" i="6"/>
  <c r="CG880" i="6"/>
  <c r="CE880" i="6"/>
  <c r="AR880" i="6"/>
  <c r="CH879" i="6"/>
  <c r="CG879" i="6"/>
  <c r="CE879" i="6"/>
  <c r="AR879" i="6"/>
  <c r="CH878" i="6"/>
  <c r="CG878" i="6"/>
  <c r="CE878" i="6"/>
  <c r="AR878" i="6"/>
  <c r="CH877" i="6"/>
  <c r="CG877" i="6"/>
  <c r="CE877" i="6"/>
  <c r="AR877" i="6"/>
  <c r="CH876" i="6"/>
  <c r="CG876" i="6"/>
  <c r="CE876" i="6"/>
  <c r="AR876" i="6"/>
  <c r="CH875" i="6"/>
  <c r="CG875" i="6"/>
  <c r="CE875" i="6"/>
  <c r="AR875" i="6"/>
  <c r="CH874" i="6"/>
  <c r="CG874" i="6"/>
  <c r="CE874" i="6"/>
  <c r="AR874" i="6"/>
  <c r="CH873" i="6"/>
  <c r="CG873" i="6"/>
  <c r="CE873" i="6"/>
  <c r="AT873" i="6"/>
  <c r="AR873" i="6"/>
  <c r="CH872" i="6"/>
  <c r="CG872" i="6"/>
  <c r="CE872" i="6"/>
  <c r="AR872" i="6"/>
  <c r="CH871" i="6"/>
  <c r="CG871" i="6"/>
  <c r="CE871" i="6"/>
  <c r="AR871" i="6"/>
  <c r="CH870" i="6"/>
  <c r="CG870" i="6"/>
  <c r="CE870" i="6"/>
  <c r="AR870" i="6"/>
  <c r="CH869" i="6"/>
  <c r="CG869" i="6"/>
  <c r="CE869" i="6"/>
  <c r="AR869" i="6"/>
  <c r="CH868" i="6"/>
  <c r="CG868" i="6"/>
  <c r="CE868" i="6"/>
  <c r="AR868" i="6"/>
  <c r="CH867" i="6"/>
  <c r="CG867" i="6"/>
  <c r="CE867" i="6"/>
  <c r="CF867" i="6" s="1"/>
  <c r="AR867" i="6"/>
  <c r="CH866" i="6"/>
  <c r="CG866" i="6"/>
  <c r="CE866" i="6"/>
  <c r="AR866" i="6"/>
  <c r="CH865" i="6"/>
  <c r="CG865" i="6"/>
  <c r="CE865" i="6"/>
  <c r="CF865" i="6" s="1"/>
  <c r="AR865" i="6"/>
  <c r="CH864" i="6"/>
  <c r="CG864" i="6"/>
  <c r="CE864" i="6"/>
  <c r="AR864" i="6"/>
  <c r="CH863" i="6"/>
  <c r="CG863" i="6"/>
  <c r="CE863" i="6"/>
  <c r="CF863" i="6" s="1"/>
  <c r="AR863" i="6"/>
  <c r="CH862" i="6"/>
  <c r="CG862" i="6"/>
  <c r="CE862" i="6"/>
  <c r="AR862" i="6"/>
  <c r="CH861" i="6"/>
  <c r="CG861" i="6"/>
  <c r="CE861" i="6"/>
  <c r="CF861" i="6" s="1"/>
  <c r="AR861" i="6"/>
  <c r="CH860" i="6"/>
  <c r="CG860" i="6"/>
  <c r="CE860" i="6"/>
  <c r="AR860" i="6"/>
  <c r="E860" i="6"/>
  <c r="E861" i="6" s="1"/>
  <c r="E862" i="6" s="1"/>
  <c r="E863" i="6" s="1"/>
  <c r="E864" i="6" s="1"/>
  <c r="E865" i="6" s="1"/>
  <c r="E866" i="6" s="1"/>
  <c r="E867" i="6" s="1"/>
  <c r="E868" i="6" s="1"/>
  <c r="CH859" i="6"/>
  <c r="CG859" i="6"/>
  <c r="CE859" i="6"/>
  <c r="AR859" i="6"/>
  <c r="CH858" i="6"/>
  <c r="CG858" i="6"/>
  <c r="CE858" i="6"/>
  <c r="AR858" i="6"/>
  <c r="CH857" i="6"/>
  <c r="CG857" i="6"/>
  <c r="CE857" i="6"/>
  <c r="AR857" i="6"/>
  <c r="CH856" i="6"/>
  <c r="CG856" i="6"/>
  <c r="CE856" i="6"/>
  <c r="AR856" i="6"/>
  <c r="E856" i="6"/>
  <c r="CH855" i="6"/>
  <c r="CG855" i="6"/>
  <c r="CE855" i="6"/>
  <c r="AR855" i="6"/>
  <c r="E855" i="6"/>
  <c r="CH854" i="6"/>
  <c r="CG854" i="6"/>
  <c r="CE854" i="6"/>
  <c r="AR854" i="6"/>
  <c r="CH853" i="6"/>
  <c r="CG853" i="6"/>
  <c r="CE853" i="6"/>
  <c r="AR853" i="6"/>
  <c r="CH852" i="6"/>
  <c r="CG852" i="6"/>
  <c r="CE852" i="6"/>
  <c r="AR852" i="6"/>
  <c r="CH851" i="6"/>
  <c r="CG851" i="6"/>
  <c r="CE851" i="6"/>
  <c r="AR851" i="6"/>
  <c r="E851" i="6"/>
  <c r="CH850" i="6"/>
  <c r="CG850" i="6"/>
  <c r="CE850" i="6"/>
  <c r="CF850" i="6" s="1"/>
  <c r="AR850" i="6"/>
  <c r="CH849" i="6"/>
  <c r="CG849" i="6"/>
  <c r="CF849" i="6"/>
  <c r="CE849" i="6"/>
  <c r="AR849" i="6"/>
  <c r="CH848" i="6"/>
  <c r="CG848" i="6"/>
  <c r="CE848" i="6"/>
  <c r="AR848" i="6"/>
  <c r="CH847" i="6"/>
  <c r="CG847" i="6"/>
  <c r="CE847" i="6"/>
  <c r="AR847" i="6"/>
  <c r="CH846" i="6"/>
  <c r="CG846" i="6"/>
  <c r="CE846" i="6"/>
  <c r="AR846" i="6"/>
  <c r="CH845" i="6"/>
  <c r="CG845" i="6"/>
  <c r="CE845" i="6"/>
  <c r="AR845" i="6"/>
  <c r="CH844" i="6"/>
  <c r="CG844" i="6"/>
  <c r="CE844" i="6"/>
  <c r="AR844" i="6"/>
  <c r="CH843" i="6"/>
  <c r="CG843" i="6"/>
  <c r="CE843" i="6"/>
  <c r="AR843" i="6"/>
  <c r="CH842" i="6"/>
  <c r="CG842" i="6"/>
  <c r="CE842" i="6"/>
  <c r="AR842" i="6"/>
  <c r="CH841" i="6"/>
  <c r="CG841" i="6"/>
  <c r="CE841" i="6"/>
  <c r="AR841" i="6"/>
  <c r="CH840" i="6"/>
  <c r="CG840" i="6"/>
  <c r="CE840" i="6"/>
  <c r="AR840" i="6"/>
  <c r="CH839" i="6"/>
  <c r="CG839" i="6"/>
  <c r="CE839" i="6"/>
  <c r="AR839" i="6"/>
  <c r="CH838" i="6"/>
  <c r="CG838" i="6"/>
  <c r="CE838" i="6"/>
  <c r="AR838" i="6"/>
  <c r="CH837" i="6"/>
  <c r="CG837" i="6"/>
  <c r="CE837" i="6"/>
  <c r="CF837" i="6" s="1"/>
  <c r="AR837" i="6"/>
  <c r="CH836" i="6"/>
  <c r="CG836" i="6"/>
  <c r="CE836" i="6"/>
  <c r="AR836" i="6"/>
  <c r="A836" i="6"/>
  <c r="CH835" i="6"/>
  <c r="CG835" i="6"/>
  <c r="CE835" i="6"/>
  <c r="AR835" i="6"/>
  <c r="CH834" i="6"/>
  <c r="CG834" i="6"/>
  <c r="CE834" i="6"/>
  <c r="AR834" i="6"/>
  <c r="CH833" i="6"/>
  <c r="CG833" i="6"/>
  <c r="CE833" i="6"/>
  <c r="AR833" i="6"/>
  <c r="CH832" i="6"/>
  <c r="CG832" i="6"/>
  <c r="CE832" i="6"/>
  <c r="AR832" i="6"/>
  <c r="CN831" i="6"/>
  <c r="CM831" i="6"/>
  <c r="CL831" i="6"/>
  <c r="CK831" i="6"/>
  <c r="CJ831" i="6"/>
  <c r="CI831" i="6"/>
  <c r="CD831" i="6"/>
  <c r="CC831" i="6"/>
  <c r="CB831" i="6"/>
  <c r="CA831" i="6"/>
  <c r="BZ831" i="6"/>
  <c r="BY831" i="6"/>
  <c r="BX831" i="6"/>
  <c r="BW831" i="6"/>
  <c r="BV831" i="6"/>
  <c r="BU831" i="6"/>
  <c r="BT831" i="6"/>
  <c r="BS831" i="6"/>
  <c r="BR831" i="6"/>
  <c r="BQ831" i="6"/>
  <c r="BP831" i="6"/>
  <c r="BN831" i="6"/>
  <c r="BM831" i="6"/>
  <c r="BL831" i="6"/>
  <c r="BK831" i="6"/>
  <c r="BJ831" i="6"/>
  <c r="BI831" i="6"/>
  <c r="BH831" i="6"/>
  <c r="BG831" i="6"/>
  <c r="BF831" i="6"/>
  <c r="BD831" i="6"/>
  <c r="BC831" i="6"/>
  <c r="BB831" i="6"/>
  <c r="BA831" i="6"/>
  <c r="AZ831" i="6"/>
  <c r="AY831" i="6"/>
  <c r="AX831" i="6"/>
  <c r="AS831" i="6"/>
  <c r="AQ831" i="6"/>
  <c r="AP831" i="6"/>
  <c r="AO831" i="6"/>
  <c r="AN831" i="6"/>
  <c r="AM831" i="6"/>
  <c r="AL831" i="6"/>
  <c r="AK831" i="6"/>
  <c r="AJ831" i="6"/>
  <c r="AI831" i="6"/>
  <c r="AH831" i="6"/>
  <c r="AG831" i="6"/>
  <c r="AF831" i="6"/>
  <c r="AE831" i="6"/>
  <c r="AD831" i="6"/>
  <c r="AC831" i="6"/>
  <c r="AB831" i="6"/>
  <c r="AA831" i="6"/>
  <c r="Z831" i="6"/>
  <c r="Y831" i="6"/>
  <c r="X831" i="6"/>
  <c r="W831" i="6"/>
  <c r="V831" i="6"/>
  <c r="U831" i="6"/>
  <c r="T831" i="6"/>
  <c r="S831" i="6"/>
  <c r="R831" i="6"/>
  <c r="Q831" i="6"/>
  <c r="P831" i="6"/>
  <c r="N831" i="6"/>
  <c r="M831" i="6"/>
  <c r="L831" i="6"/>
  <c r="K831" i="6"/>
  <c r="J831" i="6"/>
  <c r="I831" i="6"/>
  <c r="H831" i="6"/>
  <c r="G831" i="6"/>
  <c r="CH830" i="6"/>
  <c r="CG830" i="6"/>
  <c r="AV830" i="6"/>
  <c r="AU830" i="6"/>
  <c r="AT830" i="6"/>
  <c r="AR830" i="6"/>
  <c r="CH829" i="6"/>
  <c r="CG829" i="6"/>
  <c r="AV829" i="6"/>
  <c r="AU829" i="6"/>
  <c r="AT829" i="6"/>
  <c r="AR829" i="6"/>
  <c r="CH828" i="6"/>
  <c r="CG828" i="6"/>
  <c r="AV828" i="6"/>
  <c r="AU828" i="6"/>
  <c r="AT828" i="6"/>
  <c r="AR828" i="6"/>
  <c r="CH827" i="6"/>
  <c r="CG827" i="6"/>
  <c r="AV827" i="6"/>
  <c r="AU827" i="6"/>
  <c r="AT827" i="6"/>
  <c r="AR827" i="6"/>
  <c r="CH826" i="6"/>
  <c r="CG826" i="6"/>
  <c r="AV826" i="6"/>
  <c r="AU826" i="6"/>
  <c r="AT826" i="6"/>
  <c r="AR826" i="6"/>
  <c r="CH825" i="6"/>
  <c r="CG825" i="6"/>
  <c r="AV825" i="6"/>
  <c r="AU825" i="6"/>
  <c r="AT825" i="6"/>
  <c r="AR825" i="6"/>
  <c r="CH824" i="6"/>
  <c r="CG824" i="6"/>
  <c r="AV824" i="6"/>
  <c r="AU824" i="6"/>
  <c r="AT824" i="6"/>
  <c r="AR824" i="6"/>
  <c r="CH823" i="6"/>
  <c r="CG823" i="6"/>
  <c r="AV823" i="6"/>
  <c r="AU823" i="6"/>
  <c r="AT823" i="6"/>
  <c r="AR823" i="6"/>
  <c r="CH822" i="6"/>
  <c r="CG822" i="6"/>
  <c r="AV822" i="6"/>
  <c r="AU822" i="6"/>
  <c r="AT822" i="6"/>
  <c r="AR822" i="6"/>
  <c r="CH821" i="6"/>
  <c r="CG821" i="6"/>
  <c r="AV821" i="6"/>
  <c r="AU821" i="6"/>
  <c r="AT821" i="6"/>
  <c r="AR821" i="6"/>
  <c r="CH820" i="6"/>
  <c r="CG820" i="6"/>
  <c r="AV820" i="6"/>
  <c r="AU820" i="6"/>
  <c r="AT820" i="6"/>
  <c r="AR820" i="6"/>
  <c r="CH819" i="6"/>
  <c r="CG819" i="6"/>
  <c r="AV819" i="6"/>
  <c r="AU819" i="6"/>
  <c r="AT819" i="6"/>
  <c r="AR819" i="6"/>
  <c r="CH818" i="6"/>
  <c r="CG818" i="6"/>
  <c r="AV818" i="6"/>
  <c r="AU818" i="6"/>
  <c r="AT818" i="6"/>
  <c r="AR818" i="6"/>
  <c r="CH817" i="6"/>
  <c r="CG817" i="6"/>
  <c r="AV817" i="6"/>
  <c r="AU817" i="6"/>
  <c r="AT817" i="6"/>
  <c r="AR817" i="6"/>
  <c r="CH816" i="6"/>
  <c r="CG816" i="6"/>
  <c r="AV816" i="6"/>
  <c r="AU816" i="6"/>
  <c r="AT816" i="6"/>
  <c r="CE816" i="6" s="1"/>
  <c r="AR816" i="6"/>
  <c r="CH815" i="6"/>
  <c r="CG815" i="6"/>
  <c r="AV815" i="6"/>
  <c r="AU815" i="6"/>
  <c r="AT815" i="6"/>
  <c r="AR815" i="6"/>
  <c r="CH814" i="6"/>
  <c r="CG814" i="6"/>
  <c r="AV814" i="6"/>
  <c r="AU814" i="6"/>
  <c r="AT814" i="6"/>
  <c r="AR814" i="6"/>
  <c r="CH813" i="6"/>
  <c r="CG813" i="6"/>
  <c r="AV813" i="6"/>
  <c r="AU813" i="6"/>
  <c r="AT813" i="6"/>
  <c r="AR813" i="6"/>
  <c r="CH812" i="6"/>
  <c r="CG812" i="6"/>
  <c r="AV812" i="6"/>
  <c r="AU812" i="6"/>
  <c r="AT812" i="6"/>
  <c r="CE812" i="6" s="1"/>
  <c r="AR812" i="6"/>
  <c r="CH811" i="6"/>
  <c r="CG811" i="6"/>
  <c r="AV811" i="6"/>
  <c r="AU811" i="6"/>
  <c r="AT811" i="6"/>
  <c r="AR811" i="6"/>
  <c r="CH810" i="6"/>
  <c r="CG810" i="6"/>
  <c r="AV810" i="6"/>
  <c r="AU810" i="6"/>
  <c r="AT810" i="6"/>
  <c r="AR810" i="6"/>
  <c r="CH809" i="6"/>
  <c r="CG809" i="6"/>
  <c r="AV809" i="6"/>
  <c r="AU809" i="6"/>
  <c r="AT809" i="6"/>
  <c r="AR809" i="6"/>
  <c r="CH808" i="6"/>
  <c r="CG808" i="6"/>
  <c r="AV808" i="6"/>
  <c r="AU808" i="6"/>
  <c r="AT808" i="6"/>
  <c r="CE808" i="6" s="1"/>
  <c r="AR808" i="6"/>
  <c r="CH807" i="6"/>
  <c r="CG807" i="6"/>
  <c r="AV807" i="6"/>
  <c r="AU807" i="6"/>
  <c r="AT807" i="6"/>
  <c r="AR807" i="6"/>
  <c r="CH806" i="6"/>
  <c r="CG806" i="6"/>
  <c r="AV806" i="6"/>
  <c r="AU806" i="6"/>
  <c r="AT806" i="6"/>
  <c r="AR806" i="6"/>
  <c r="CH805" i="6"/>
  <c r="CG805" i="6"/>
  <c r="AV805" i="6"/>
  <c r="AU805" i="6"/>
  <c r="AT805" i="6"/>
  <c r="AR805" i="6"/>
  <c r="CH804" i="6"/>
  <c r="CG804" i="6"/>
  <c r="AV804" i="6"/>
  <c r="AU804" i="6"/>
  <c r="AT804" i="6"/>
  <c r="CE804" i="6" s="1"/>
  <c r="AR804" i="6"/>
  <c r="CH803" i="6"/>
  <c r="CG803" i="6"/>
  <c r="AW803" i="6"/>
  <c r="AV803" i="6"/>
  <c r="AU803" i="6"/>
  <c r="AT803" i="6"/>
  <c r="AR803" i="6"/>
  <c r="CH802" i="6"/>
  <c r="CG802" i="6"/>
  <c r="AV802" i="6"/>
  <c r="CE802" i="6" s="1"/>
  <c r="AU802" i="6"/>
  <c r="AT802" i="6"/>
  <c r="AR802" i="6"/>
  <c r="CH801" i="6"/>
  <c r="CG801" i="6"/>
  <c r="AV801" i="6"/>
  <c r="AU801" i="6"/>
  <c r="AT801" i="6"/>
  <c r="AR801" i="6"/>
  <c r="CH800" i="6"/>
  <c r="CG800" i="6"/>
  <c r="AV800" i="6"/>
  <c r="AU800" i="6"/>
  <c r="AT800" i="6"/>
  <c r="AR800" i="6"/>
  <c r="CH799" i="6"/>
  <c r="CG799" i="6"/>
  <c r="AV799" i="6"/>
  <c r="AU799" i="6"/>
  <c r="AT799" i="6"/>
  <c r="AR799" i="6"/>
  <c r="CH798" i="6"/>
  <c r="CG798" i="6"/>
  <c r="CE798" i="6"/>
  <c r="AV798" i="6"/>
  <c r="AU798" i="6"/>
  <c r="AT798" i="6"/>
  <c r="AR798" i="6"/>
  <c r="CH797" i="6"/>
  <c r="CG797" i="6"/>
  <c r="AW797" i="6"/>
  <c r="AV797" i="6"/>
  <c r="AU797" i="6"/>
  <c r="AT797" i="6"/>
  <c r="AR797" i="6"/>
  <c r="CH796" i="6"/>
  <c r="CG796" i="6"/>
  <c r="AV796" i="6"/>
  <c r="AU796" i="6"/>
  <c r="CE796" i="6" s="1"/>
  <c r="CF796" i="6" s="1"/>
  <c r="AT796" i="6"/>
  <c r="AR796" i="6"/>
  <c r="CH795" i="6"/>
  <c r="CG795" i="6"/>
  <c r="AW795" i="6"/>
  <c r="AV795" i="6"/>
  <c r="AU795" i="6"/>
  <c r="CE795" i="6" s="1"/>
  <c r="AR795" i="6"/>
  <c r="CH794" i="6"/>
  <c r="CG794" i="6"/>
  <c r="CE794" i="6"/>
  <c r="AV794" i="6"/>
  <c r="AU794" i="6"/>
  <c r="AT794" i="6"/>
  <c r="AR794" i="6"/>
  <c r="CH793" i="6"/>
  <c r="CG793" i="6"/>
  <c r="AW793" i="6"/>
  <c r="AV793" i="6"/>
  <c r="AU793" i="6"/>
  <c r="AT793" i="6"/>
  <c r="AR793" i="6"/>
  <c r="CH792" i="6"/>
  <c r="CG792" i="6"/>
  <c r="AW792" i="6"/>
  <c r="AV792" i="6"/>
  <c r="AU792" i="6"/>
  <c r="AT792" i="6"/>
  <c r="AR792" i="6"/>
  <c r="CH791" i="6"/>
  <c r="CG791" i="6"/>
  <c r="AV791" i="6"/>
  <c r="AU791" i="6"/>
  <c r="AT791" i="6"/>
  <c r="CE791" i="6" s="1"/>
  <c r="AR791" i="6"/>
  <c r="CH790" i="6"/>
  <c r="CG790" i="6"/>
  <c r="AV790" i="6"/>
  <c r="AU790" i="6"/>
  <c r="AT790" i="6"/>
  <c r="AR790" i="6"/>
  <c r="CH789" i="6"/>
  <c r="CG789" i="6"/>
  <c r="AV789" i="6"/>
  <c r="AU789" i="6"/>
  <c r="AT789" i="6"/>
  <c r="AR789" i="6"/>
  <c r="CH788" i="6"/>
  <c r="CG788" i="6"/>
  <c r="AV788" i="6"/>
  <c r="AU788" i="6"/>
  <c r="AT788" i="6"/>
  <c r="AR788" i="6"/>
  <c r="CH787" i="6"/>
  <c r="CG787" i="6"/>
  <c r="AV787" i="6"/>
  <c r="AU787" i="6"/>
  <c r="AT787" i="6"/>
  <c r="CE787" i="6" s="1"/>
  <c r="AR787" i="6"/>
  <c r="CH786" i="6"/>
  <c r="CG786" i="6"/>
  <c r="AV786" i="6"/>
  <c r="AU786" i="6"/>
  <c r="AT786" i="6"/>
  <c r="AR786" i="6"/>
  <c r="CH785" i="6"/>
  <c r="CG785" i="6"/>
  <c r="AV785" i="6"/>
  <c r="AU785" i="6"/>
  <c r="AT785" i="6"/>
  <c r="AR785" i="6"/>
  <c r="CH784" i="6"/>
  <c r="CG784" i="6"/>
  <c r="AV784" i="6"/>
  <c r="AU784" i="6"/>
  <c r="AU831" i="6" s="1"/>
  <c r="AT784" i="6"/>
  <c r="AR784" i="6"/>
  <c r="CQ783" i="6"/>
  <c r="CP783" i="6"/>
  <c r="CO783" i="6"/>
  <c r="CN783" i="6"/>
  <c r="CM783" i="6"/>
  <c r="CL783" i="6"/>
  <c r="CK783" i="6"/>
  <c r="CJ783" i="6"/>
  <c r="CI783" i="6"/>
  <c r="CH783" i="6"/>
  <c r="CG783" i="6"/>
  <c r="CD783" i="6"/>
  <c r="CC783" i="6"/>
  <c r="CB783" i="6"/>
  <c r="CA783" i="6"/>
  <c r="BZ783" i="6"/>
  <c r="BY783" i="6"/>
  <c r="BX783" i="6"/>
  <c r="BW783" i="6"/>
  <c r="BV783" i="6"/>
  <c r="BU783" i="6"/>
  <c r="BT783" i="6"/>
  <c r="BS783" i="6"/>
  <c r="BR783" i="6"/>
  <c r="BQ783" i="6"/>
  <c r="BP783" i="6"/>
  <c r="BN783" i="6"/>
  <c r="BM783" i="6"/>
  <c r="BL783" i="6"/>
  <c r="BK783" i="6"/>
  <c r="BJ783" i="6"/>
  <c r="BH783" i="6"/>
  <c r="BG783" i="6"/>
  <c r="BF783" i="6"/>
  <c r="BD783" i="6"/>
  <c r="BC783" i="6"/>
  <c r="BB783" i="6"/>
  <c r="BA783" i="6"/>
  <c r="AZ783" i="6"/>
  <c r="AY783" i="6"/>
  <c r="AX783" i="6"/>
  <c r="AW783" i="6"/>
  <c r="AV783" i="6"/>
  <c r="AS783" i="6"/>
  <c r="AQ783" i="6"/>
  <c r="AP783" i="6"/>
  <c r="AO783" i="6"/>
  <c r="AN783" i="6"/>
  <c r="AM783" i="6"/>
  <c r="AL783" i="6"/>
  <c r="AK783" i="6"/>
  <c r="AJ783" i="6"/>
  <c r="AI783" i="6"/>
  <c r="AH783" i="6"/>
  <c r="AG783" i="6"/>
  <c r="AF783" i="6"/>
  <c r="AE783" i="6"/>
  <c r="AD783" i="6"/>
  <c r="AC783" i="6"/>
  <c r="AB783" i="6"/>
  <c r="AA783" i="6"/>
  <c r="Z783" i="6"/>
  <c r="Y783" i="6"/>
  <c r="X783" i="6"/>
  <c r="W783" i="6"/>
  <c r="V783" i="6"/>
  <c r="U783" i="6"/>
  <c r="T783" i="6"/>
  <c r="S783" i="6"/>
  <c r="R783" i="6"/>
  <c r="Q783" i="6"/>
  <c r="P783" i="6"/>
  <c r="N783" i="6"/>
  <c r="M783" i="6"/>
  <c r="L783" i="6"/>
  <c r="K783" i="6"/>
  <c r="J783" i="6"/>
  <c r="I783" i="6"/>
  <c r="H783" i="6"/>
  <c r="G783" i="6"/>
  <c r="CH782" i="6"/>
  <c r="CG782" i="6"/>
  <c r="CE782" i="6"/>
  <c r="AR782" i="6"/>
  <c r="CH781" i="6"/>
  <c r="CG781" i="6"/>
  <c r="CE781" i="6"/>
  <c r="AT781" i="6"/>
  <c r="AR781" i="6"/>
  <c r="CH780" i="6"/>
  <c r="CG780" i="6"/>
  <c r="CE780" i="6"/>
  <c r="AR780" i="6"/>
  <c r="CH779" i="6"/>
  <c r="CG779" i="6"/>
  <c r="CE779" i="6"/>
  <c r="CF779" i="6" s="1"/>
  <c r="AR779" i="6"/>
  <c r="CH778" i="6"/>
  <c r="CG778" i="6"/>
  <c r="CE778" i="6"/>
  <c r="AR778" i="6"/>
  <c r="CH777" i="6"/>
  <c r="CG777" i="6"/>
  <c r="CE777" i="6"/>
  <c r="AR777" i="6"/>
  <c r="CH776" i="6"/>
  <c r="CG776" i="6"/>
  <c r="CE776" i="6"/>
  <c r="AR776" i="6"/>
  <c r="CH775" i="6"/>
  <c r="CG775" i="6"/>
  <c r="CE775" i="6"/>
  <c r="CF775" i="6" s="1"/>
  <c r="AR775" i="6"/>
  <c r="CH774" i="6"/>
  <c r="CG774" i="6"/>
  <c r="CE774" i="6"/>
  <c r="AR774" i="6"/>
  <c r="E774" i="6"/>
  <c r="E775" i="6" s="1"/>
  <c r="E776" i="6" s="1"/>
  <c r="CH773" i="6"/>
  <c r="CG773" i="6"/>
  <c r="CE773" i="6"/>
  <c r="AR773" i="6"/>
  <c r="CH772" i="6"/>
  <c r="CG772" i="6"/>
  <c r="CE772" i="6"/>
  <c r="AR772" i="6"/>
  <c r="CH771" i="6"/>
  <c r="CG771" i="6"/>
  <c r="CE771" i="6"/>
  <c r="AR771" i="6"/>
  <c r="CH770" i="6"/>
  <c r="CG770" i="6"/>
  <c r="CE770" i="6"/>
  <c r="AR770" i="6"/>
  <c r="CH769" i="6"/>
  <c r="CG769" i="6"/>
  <c r="CE769" i="6"/>
  <c r="AR769" i="6"/>
  <c r="CH768" i="6"/>
  <c r="CG768" i="6"/>
  <c r="AT768" i="6"/>
  <c r="AU768" i="6" s="1"/>
  <c r="AU783" i="6" s="1"/>
  <c r="AR768" i="6"/>
  <c r="CH767" i="6"/>
  <c r="CG767" i="6"/>
  <c r="CE767" i="6"/>
  <c r="AR767" i="6"/>
  <c r="CH766" i="6"/>
  <c r="CG766" i="6"/>
  <c r="CE766" i="6"/>
  <c r="AR766" i="6"/>
  <c r="CH765" i="6"/>
  <c r="CG765" i="6"/>
  <c r="CE765" i="6"/>
  <c r="AR765" i="6"/>
  <c r="CH764" i="6"/>
  <c r="CG764" i="6"/>
  <c r="CE764" i="6"/>
  <c r="AR764" i="6"/>
  <c r="CH763" i="6"/>
  <c r="CG763" i="6"/>
  <c r="CE763" i="6"/>
  <c r="AR763" i="6"/>
  <c r="CH762" i="6"/>
  <c r="CG762" i="6"/>
  <c r="CE762" i="6"/>
  <c r="AR762" i="6"/>
  <c r="CH761" i="6"/>
  <c r="CG761" i="6"/>
  <c r="CE761" i="6"/>
  <c r="AR761" i="6"/>
  <c r="CH760" i="6"/>
  <c r="CG760" i="6"/>
  <c r="CE760" i="6"/>
  <c r="AR760" i="6"/>
  <c r="CH759" i="6"/>
  <c r="CG759" i="6"/>
  <c r="CE759" i="6"/>
  <c r="AR759" i="6"/>
  <c r="CH758" i="6"/>
  <c r="CG758" i="6"/>
  <c r="CE758" i="6"/>
  <c r="AR758" i="6"/>
  <c r="CH757" i="6"/>
  <c r="CG757" i="6"/>
  <c r="CE757" i="6"/>
  <c r="AR757" i="6"/>
  <c r="CH756" i="6"/>
  <c r="CG756" i="6"/>
  <c r="CE756" i="6"/>
  <c r="AR756" i="6"/>
  <c r="CH755" i="6"/>
  <c r="CG755" i="6"/>
  <c r="CE755" i="6"/>
  <c r="CF755" i="6" s="1"/>
  <c r="AR755" i="6"/>
  <c r="CH754" i="6"/>
  <c r="CG754" i="6"/>
  <c r="AT754" i="6"/>
  <c r="CE754" i="6" s="1"/>
  <c r="AR754" i="6"/>
  <c r="CH753" i="6"/>
  <c r="CG753" i="6"/>
  <c r="CE753" i="6"/>
  <c r="CF753" i="6" s="1"/>
  <c r="AR753" i="6"/>
  <c r="CH752" i="6"/>
  <c r="CG752" i="6"/>
  <c r="CE752" i="6"/>
  <c r="AR752" i="6"/>
  <c r="CH751" i="6"/>
  <c r="CG751" i="6"/>
  <c r="CE751" i="6"/>
  <c r="AR751" i="6"/>
  <c r="CH750" i="6"/>
  <c r="CG750" i="6"/>
  <c r="CE750" i="6"/>
  <c r="AR750" i="6"/>
  <c r="CH749" i="6"/>
  <c r="CG749" i="6"/>
  <c r="CE749" i="6"/>
  <c r="AR749" i="6"/>
  <c r="CH748" i="6"/>
  <c r="CG748" i="6"/>
  <c r="CE748" i="6"/>
  <c r="CF748" i="6" s="1"/>
  <c r="AR748" i="6"/>
  <c r="CH747" i="6"/>
  <c r="CG747" i="6"/>
  <c r="CE747" i="6"/>
  <c r="AR747" i="6"/>
  <c r="CH746" i="6"/>
  <c r="CG746" i="6"/>
  <c r="CE746" i="6"/>
  <c r="AR746" i="6"/>
  <c r="CH745" i="6"/>
  <c r="CG745" i="6"/>
  <c r="CE745" i="6"/>
  <c r="AR745" i="6"/>
  <c r="CH744" i="6"/>
  <c r="CG744" i="6"/>
  <c r="CE744" i="6"/>
  <c r="AR744" i="6"/>
  <c r="CH743" i="6"/>
  <c r="CG743" i="6"/>
  <c r="CE743" i="6"/>
  <c r="CF743" i="6" s="1"/>
  <c r="AR743" i="6"/>
  <c r="CH742" i="6"/>
  <c r="CG742" i="6"/>
  <c r="CE742" i="6"/>
  <c r="AR742" i="6"/>
  <c r="CH741" i="6"/>
  <c r="CG741" i="6"/>
  <c r="CE741" i="6"/>
  <c r="CF741" i="6" s="1"/>
  <c r="AR741" i="6"/>
  <c r="CH740" i="6"/>
  <c r="CG740" i="6"/>
  <c r="CF740" i="6"/>
  <c r="CE740" i="6"/>
  <c r="AR740" i="6"/>
  <c r="E740" i="6"/>
  <c r="CH739" i="6"/>
  <c r="CG739" i="6"/>
  <c r="CE739" i="6"/>
  <c r="AR739" i="6"/>
  <c r="E739" i="6"/>
  <c r="CH738" i="6"/>
  <c r="CG738" i="6"/>
  <c r="AT738" i="6"/>
  <c r="CE738" i="6" s="1"/>
  <c r="AR738" i="6"/>
  <c r="CH737" i="6"/>
  <c r="CG737" i="6"/>
  <c r="CE737" i="6"/>
  <c r="AR737" i="6"/>
  <c r="CH736" i="6"/>
  <c r="CG736" i="6"/>
  <c r="CE736" i="6"/>
  <c r="AT736" i="6"/>
  <c r="AR736" i="6"/>
  <c r="CH735" i="6"/>
  <c r="CG735" i="6"/>
  <c r="AU735" i="6"/>
  <c r="AT735" i="6"/>
  <c r="AR735" i="6"/>
  <c r="CH734" i="6"/>
  <c r="CG734" i="6"/>
  <c r="CE734" i="6"/>
  <c r="AR734" i="6"/>
  <c r="CH733" i="6"/>
  <c r="CG733" i="6"/>
  <c r="CE733" i="6"/>
  <c r="AR733" i="6"/>
  <c r="CH732" i="6"/>
  <c r="CG732" i="6"/>
  <c r="CE732" i="6"/>
  <c r="AR732" i="6"/>
  <c r="CH731" i="6"/>
  <c r="CG731" i="6"/>
  <c r="CE731" i="6"/>
  <c r="AR731" i="6"/>
  <c r="CH730" i="6"/>
  <c r="CG730" i="6"/>
  <c r="CE730" i="6"/>
  <c r="CF730" i="6" s="1"/>
  <c r="AR730" i="6"/>
  <c r="CH729" i="6"/>
  <c r="CG729" i="6"/>
  <c r="CE729" i="6"/>
  <c r="AR729" i="6"/>
  <c r="CH728" i="6"/>
  <c r="CG728" i="6"/>
  <c r="CE728" i="6"/>
  <c r="AR728" i="6"/>
  <c r="CH727" i="6"/>
  <c r="CG727" i="6"/>
  <c r="CE727" i="6"/>
  <c r="AR727" i="6"/>
  <c r="CH726" i="6"/>
  <c r="CG726" i="6"/>
  <c r="CE726" i="6"/>
  <c r="AR726" i="6"/>
  <c r="CH725" i="6"/>
  <c r="CG725" i="6"/>
  <c r="CE725" i="6"/>
  <c r="AR725" i="6"/>
  <c r="CF725" i="6" s="1"/>
  <c r="CH724" i="6"/>
  <c r="CG724" i="6"/>
  <c r="CE724" i="6"/>
  <c r="AR724" i="6"/>
  <c r="CH723" i="6"/>
  <c r="CG723" i="6"/>
  <c r="CE723" i="6"/>
  <c r="AR723" i="6"/>
  <c r="CH722" i="6"/>
  <c r="CG722" i="6"/>
  <c r="CE722" i="6"/>
  <c r="AR722" i="6"/>
  <c r="CH721" i="6"/>
  <c r="CG721" i="6"/>
  <c r="CE721" i="6"/>
  <c r="AR721" i="6"/>
  <c r="CF721" i="6" s="1"/>
  <c r="CH720" i="6"/>
  <c r="CG720" i="6"/>
  <c r="CE720" i="6"/>
  <c r="AR720" i="6"/>
  <c r="CH719" i="6"/>
  <c r="CG719" i="6"/>
  <c r="CE719" i="6"/>
  <c r="AR719" i="6"/>
  <c r="CF719" i="6" s="1"/>
  <c r="CH718" i="6"/>
  <c r="CG718" i="6"/>
  <c r="CE718" i="6"/>
  <c r="AR718" i="6"/>
  <c r="CH717" i="6"/>
  <c r="CG717" i="6"/>
  <c r="CE717" i="6"/>
  <c r="AR717" i="6"/>
  <c r="CH716" i="6"/>
  <c r="CG716" i="6"/>
  <c r="CE716" i="6"/>
  <c r="AR716" i="6"/>
  <c r="CH715" i="6"/>
  <c r="CG715" i="6"/>
  <c r="CE715" i="6"/>
  <c r="AR715" i="6"/>
  <c r="CH714" i="6"/>
  <c r="CG714" i="6"/>
  <c r="CE714" i="6"/>
  <c r="AR714" i="6"/>
  <c r="CH713" i="6"/>
  <c r="CG713" i="6"/>
  <c r="CE713" i="6"/>
  <c r="AR713" i="6"/>
  <c r="CF713" i="6" s="1"/>
  <c r="CH712" i="6"/>
  <c r="CG712" i="6"/>
  <c r="CE712" i="6"/>
  <c r="AR712" i="6"/>
  <c r="CH711" i="6"/>
  <c r="CG711" i="6"/>
  <c r="CE711" i="6"/>
  <c r="AR711" i="6"/>
  <c r="CH710" i="6"/>
  <c r="CG710" i="6"/>
  <c r="CE710" i="6"/>
  <c r="AR710" i="6"/>
  <c r="CH709" i="6"/>
  <c r="CG709" i="6"/>
  <c r="CE709" i="6"/>
  <c r="AR709" i="6"/>
  <c r="CF709" i="6" s="1"/>
  <c r="CH708" i="6"/>
  <c r="CG708" i="6"/>
  <c r="CE708" i="6"/>
  <c r="AR708" i="6"/>
  <c r="CH707" i="6"/>
  <c r="CG707" i="6"/>
  <c r="CE707" i="6"/>
  <c r="AR707" i="6"/>
  <c r="CH706" i="6"/>
  <c r="CG706" i="6"/>
  <c r="CE706" i="6"/>
  <c r="AR706" i="6"/>
  <c r="E706" i="6"/>
  <c r="CH705" i="6"/>
  <c r="CG705" i="6"/>
  <c r="CE705" i="6"/>
  <c r="AR705" i="6"/>
  <c r="CH704" i="6"/>
  <c r="CG704" i="6"/>
  <c r="CE704" i="6"/>
  <c r="AR704" i="6"/>
  <c r="CH703" i="6"/>
  <c r="CG703" i="6"/>
  <c r="CE703" i="6"/>
  <c r="AR703" i="6"/>
  <c r="CH702" i="6"/>
  <c r="CG702" i="6"/>
  <c r="CE702" i="6"/>
  <c r="AR702" i="6"/>
  <c r="CH701" i="6"/>
  <c r="CG701" i="6"/>
  <c r="CE701" i="6"/>
  <c r="AR701" i="6"/>
  <c r="CH700" i="6"/>
  <c r="CG700" i="6"/>
  <c r="CE700" i="6"/>
  <c r="AR700" i="6"/>
  <c r="CH699" i="6"/>
  <c r="CG699" i="6"/>
  <c r="CE699" i="6"/>
  <c r="AR699" i="6"/>
  <c r="CH698" i="6"/>
  <c r="CG698" i="6"/>
  <c r="CE698" i="6"/>
  <c r="AR698" i="6"/>
  <c r="CH697" i="6"/>
  <c r="CG697" i="6"/>
  <c r="CE697" i="6"/>
  <c r="AR697" i="6"/>
  <c r="CH696" i="6"/>
  <c r="CG696" i="6"/>
  <c r="CE696" i="6"/>
  <c r="CF696" i="6" s="1"/>
  <c r="AR696" i="6"/>
  <c r="CH695" i="6"/>
  <c r="CG695" i="6"/>
  <c r="CE695" i="6"/>
  <c r="CF695" i="6" s="1"/>
  <c r="AR695" i="6"/>
  <c r="CH694" i="6"/>
  <c r="CG694" i="6"/>
  <c r="CE694" i="6"/>
  <c r="AR694" i="6"/>
  <c r="CH693" i="6"/>
  <c r="CG693" i="6"/>
  <c r="CE693" i="6"/>
  <c r="AR693" i="6"/>
  <c r="CH692" i="6"/>
  <c r="CG692" i="6"/>
  <c r="CE692" i="6"/>
  <c r="CF692" i="6" s="1"/>
  <c r="AR692" i="6"/>
  <c r="CH691" i="6"/>
  <c r="CG691" i="6"/>
  <c r="CE691" i="6"/>
  <c r="AR691" i="6"/>
  <c r="CH690" i="6"/>
  <c r="CG690" i="6"/>
  <c r="AT690" i="6"/>
  <c r="CE690" i="6" s="1"/>
  <c r="AR690" i="6"/>
  <c r="CH689" i="6"/>
  <c r="CG689" i="6"/>
  <c r="CE689" i="6"/>
  <c r="AR689" i="6"/>
  <c r="CH688" i="6"/>
  <c r="CG688" i="6"/>
  <c r="CE688" i="6"/>
  <c r="AR688" i="6"/>
  <c r="CH687" i="6"/>
  <c r="CG687" i="6"/>
  <c r="AT687" i="6"/>
  <c r="CE687" i="6" s="1"/>
  <c r="CF687" i="6" s="1"/>
  <c r="AR687" i="6"/>
  <c r="CH686" i="6"/>
  <c r="CG686" i="6"/>
  <c r="CE686" i="6"/>
  <c r="CF686" i="6" s="1"/>
  <c r="AR686" i="6"/>
  <c r="CH685" i="6"/>
  <c r="CG685" i="6"/>
  <c r="CE685" i="6"/>
  <c r="AR685" i="6"/>
  <c r="CH684" i="6"/>
  <c r="CG684" i="6"/>
  <c r="CE684" i="6"/>
  <c r="AR684" i="6"/>
  <c r="CH683" i="6"/>
  <c r="CG683" i="6"/>
  <c r="CE683" i="6"/>
  <c r="AR683" i="6"/>
  <c r="CH682" i="6"/>
  <c r="CG682" i="6"/>
  <c r="CE682" i="6"/>
  <c r="AR682" i="6"/>
  <c r="CH681" i="6"/>
  <c r="CG681" i="6"/>
  <c r="AT681" i="6"/>
  <c r="CE681" i="6" s="1"/>
  <c r="AR681" i="6"/>
  <c r="CH680" i="6"/>
  <c r="CG680" i="6"/>
  <c r="CE680" i="6"/>
  <c r="CF680" i="6" s="1"/>
  <c r="AR680" i="6"/>
  <c r="CH679" i="6"/>
  <c r="CG679" i="6"/>
  <c r="CE679" i="6"/>
  <c r="CF679" i="6" s="1"/>
  <c r="AR679" i="6"/>
  <c r="CH678" i="6"/>
  <c r="CG678" i="6"/>
  <c r="CE678" i="6"/>
  <c r="AR678" i="6"/>
  <c r="E678" i="6"/>
  <c r="CH677" i="6"/>
  <c r="CG677" i="6"/>
  <c r="CE677" i="6"/>
  <c r="AR677" i="6"/>
  <c r="CH676" i="6"/>
  <c r="CG676" i="6"/>
  <c r="CE676" i="6"/>
  <c r="AR676" i="6"/>
  <c r="CH675" i="6"/>
  <c r="CG675" i="6"/>
  <c r="CE675" i="6"/>
  <c r="AR675" i="6"/>
  <c r="CH674" i="6"/>
  <c r="CG674" i="6"/>
  <c r="CE674" i="6"/>
  <c r="AR674" i="6"/>
  <c r="CH673" i="6"/>
  <c r="CG673" i="6"/>
  <c r="CE673" i="6"/>
  <c r="AR673" i="6"/>
  <c r="CH672" i="6"/>
  <c r="CG672" i="6"/>
  <c r="CE672" i="6"/>
  <c r="AR672" i="6"/>
  <c r="CH671" i="6"/>
  <c r="CG671" i="6"/>
  <c r="CE671" i="6"/>
  <c r="AR671" i="6"/>
  <c r="CH670" i="6"/>
  <c r="CG670" i="6"/>
  <c r="CE670" i="6"/>
  <c r="AR670" i="6"/>
  <c r="CH669" i="6"/>
  <c r="CG669" i="6"/>
  <c r="CE669" i="6"/>
  <c r="AR669" i="6"/>
  <c r="CH668" i="6"/>
  <c r="CG668" i="6"/>
  <c r="CE668" i="6"/>
  <c r="AR668" i="6"/>
  <c r="CH667" i="6"/>
  <c r="CG667" i="6"/>
  <c r="CE667" i="6"/>
  <c r="AR667" i="6"/>
  <c r="CH666" i="6"/>
  <c r="CG666" i="6"/>
  <c r="CE666" i="6"/>
  <c r="AR666" i="6"/>
  <c r="CH665" i="6"/>
  <c r="CG665" i="6"/>
  <c r="CE665" i="6"/>
  <c r="CF665" i="6" s="1"/>
  <c r="AR665" i="6"/>
  <c r="CH664" i="6"/>
  <c r="CG664" i="6"/>
  <c r="CE664" i="6"/>
  <c r="AT664" i="6"/>
  <c r="AR664" i="6"/>
  <c r="E664" i="6"/>
  <c r="E681" i="6" s="1"/>
  <c r="CH663" i="6"/>
  <c r="CG663" i="6"/>
  <c r="CE663" i="6"/>
  <c r="AR663" i="6"/>
  <c r="E663" i="6"/>
  <c r="CH662" i="6"/>
  <c r="CG662" i="6"/>
  <c r="AT662" i="6"/>
  <c r="CE662" i="6" s="1"/>
  <c r="AR662" i="6"/>
  <c r="CH661" i="6"/>
  <c r="CG661" i="6"/>
  <c r="CE661" i="6"/>
  <c r="CF661" i="6" s="1"/>
  <c r="AR661" i="6"/>
  <c r="CH660" i="6"/>
  <c r="CG660" i="6"/>
  <c r="CE660" i="6"/>
  <c r="CF660" i="6" s="1"/>
  <c r="AR660" i="6"/>
  <c r="CH659" i="6"/>
  <c r="CG659" i="6"/>
  <c r="CE659" i="6"/>
  <c r="AR659" i="6"/>
  <c r="CH658" i="6"/>
  <c r="CG658" i="6"/>
  <c r="AT658" i="6"/>
  <c r="CE658" i="6" s="1"/>
  <c r="CF658" i="6" s="1"/>
  <c r="AR658" i="6"/>
  <c r="CH657" i="6"/>
  <c r="CG657" i="6"/>
  <c r="CE657" i="6"/>
  <c r="AR657" i="6"/>
  <c r="CH656" i="6"/>
  <c r="CG656" i="6"/>
  <c r="CE656" i="6"/>
  <c r="AR656" i="6"/>
  <c r="CH655" i="6"/>
  <c r="CG655" i="6"/>
  <c r="CE655" i="6"/>
  <c r="AR655" i="6"/>
  <c r="CH654" i="6"/>
  <c r="CG654" i="6"/>
  <c r="CE654" i="6"/>
  <c r="AR654" i="6"/>
  <c r="CH653" i="6"/>
  <c r="CG653" i="6"/>
  <c r="CE653" i="6"/>
  <c r="AR653" i="6"/>
  <c r="CH652" i="6"/>
  <c r="CG652" i="6"/>
  <c r="CE652" i="6"/>
  <c r="CF652" i="6" s="1"/>
  <c r="AR652" i="6"/>
  <c r="CH651" i="6"/>
  <c r="CG651" i="6"/>
  <c r="CE651" i="6"/>
  <c r="AR651" i="6"/>
  <c r="CH650" i="6"/>
  <c r="CG650" i="6"/>
  <c r="CE650" i="6"/>
  <c r="AR650" i="6"/>
  <c r="CH649" i="6"/>
  <c r="CG649" i="6"/>
  <c r="CE649" i="6"/>
  <c r="CF649" i="6" s="1"/>
  <c r="AR649" i="6"/>
  <c r="CH648" i="6"/>
  <c r="CG648" i="6"/>
  <c r="CE648" i="6"/>
  <c r="CF648" i="6" s="1"/>
  <c r="AR648" i="6"/>
  <c r="E648" i="6"/>
  <c r="E649" i="6" s="1"/>
  <c r="CH647" i="6"/>
  <c r="CG647" i="6"/>
  <c r="CE647" i="6"/>
  <c r="AR647" i="6"/>
  <c r="E647" i="6"/>
  <c r="CH646" i="6"/>
  <c r="CG646" i="6"/>
  <c r="CE646" i="6"/>
  <c r="AR646" i="6"/>
  <c r="CH645" i="6"/>
  <c r="CG645" i="6"/>
  <c r="CE645" i="6"/>
  <c r="AR645" i="6"/>
  <c r="E645" i="6"/>
  <c r="E646" i="6" s="1"/>
  <c r="CH644" i="6"/>
  <c r="CG644" i="6"/>
  <c r="CE644" i="6"/>
  <c r="AR644" i="6"/>
  <c r="CH643" i="6"/>
  <c r="CG643" i="6"/>
  <c r="CE643" i="6"/>
  <c r="AR643" i="6"/>
  <c r="CH642" i="6"/>
  <c r="CG642" i="6"/>
  <c r="CE642" i="6"/>
  <c r="AR642" i="6"/>
  <c r="CH641" i="6"/>
  <c r="CG641" i="6"/>
  <c r="CE641" i="6"/>
  <c r="AR641" i="6"/>
  <c r="CH640" i="6"/>
  <c r="CG640" i="6"/>
  <c r="CE640" i="6"/>
  <c r="CF640" i="6" s="1"/>
  <c r="AR640" i="6"/>
  <c r="CH639" i="6"/>
  <c r="CG639" i="6"/>
  <c r="CE639" i="6"/>
  <c r="CF639" i="6" s="1"/>
  <c r="AR639" i="6"/>
  <c r="E639" i="6"/>
  <c r="CH638" i="6"/>
  <c r="CG638" i="6"/>
  <c r="CE638" i="6"/>
  <c r="AR638" i="6"/>
  <c r="CH637" i="6"/>
  <c r="CG637" i="6"/>
  <c r="CE637" i="6"/>
  <c r="AR637" i="6"/>
  <c r="CF637" i="6" s="1"/>
  <c r="CH636" i="6"/>
  <c r="CG636" i="6"/>
  <c r="CE636" i="6"/>
  <c r="AR636" i="6"/>
  <c r="CH635" i="6"/>
  <c r="CG635" i="6"/>
  <c r="CE635" i="6"/>
  <c r="AR635" i="6"/>
  <c r="CH634" i="6"/>
  <c r="CG634" i="6"/>
  <c r="CE634" i="6"/>
  <c r="AR634" i="6"/>
  <c r="CH633" i="6"/>
  <c r="CG633" i="6"/>
  <c r="CE633" i="6"/>
  <c r="AR633" i="6"/>
  <c r="CH632" i="6"/>
  <c r="CG632" i="6"/>
  <c r="CE632" i="6"/>
  <c r="AR632" i="6"/>
  <c r="CH631" i="6"/>
  <c r="CG631" i="6"/>
  <c r="CE631" i="6"/>
  <c r="CF631" i="6" s="1"/>
  <c r="AR631" i="6"/>
  <c r="CH630" i="6"/>
  <c r="CG630" i="6"/>
  <c r="CE630" i="6"/>
  <c r="AR630" i="6"/>
  <c r="CH629" i="6"/>
  <c r="CG629" i="6"/>
  <c r="CE629" i="6"/>
  <c r="AR629" i="6"/>
  <c r="CH628" i="6"/>
  <c r="CG628" i="6"/>
  <c r="CE628" i="6"/>
  <c r="AR628" i="6"/>
  <c r="E628" i="6"/>
  <c r="E629" i="6" s="1"/>
  <c r="E630" i="6" s="1"/>
  <c r="E631" i="6" s="1"/>
  <c r="E632" i="6" s="1"/>
  <c r="E633" i="6" s="1"/>
  <c r="CH627" i="6"/>
  <c r="CG627" i="6"/>
  <c r="CE627" i="6"/>
  <c r="AR627" i="6"/>
  <c r="CF627" i="6" s="1"/>
  <c r="CH626" i="6"/>
  <c r="CG626" i="6"/>
  <c r="CE626" i="6"/>
  <c r="AR626" i="6"/>
  <c r="CH625" i="6"/>
  <c r="CG625" i="6"/>
  <c r="CE625" i="6"/>
  <c r="AR625" i="6"/>
  <c r="CF625" i="6" s="1"/>
  <c r="CH624" i="6"/>
  <c r="CG624" i="6"/>
  <c r="CE624" i="6"/>
  <c r="AR624" i="6"/>
  <c r="CH623" i="6"/>
  <c r="CG623" i="6"/>
  <c r="CE623" i="6"/>
  <c r="AR623" i="6"/>
  <c r="CH622" i="6"/>
  <c r="CG622" i="6"/>
  <c r="AT622" i="6"/>
  <c r="CE622" i="6" s="1"/>
  <c r="AR622" i="6"/>
  <c r="CH621" i="6"/>
  <c r="CG621" i="6"/>
  <c r="AT621" i="6"/>
  <c r="CE621" i="6" s="1"/>
  <c r="AR621" i="6"/>
  <c r="CH620" i="6"/>
  <c r="CG620" i="6"/>
  <c r="CE620" i="6"/>
  <c r="AR620" i="6"/>
  <c r="CH619" i="6"/>
  <c r="CG619" i="6"/>
  <c r="CE619" i="6"/>
  <c r="AR619" i="6"/>
  <c r="CH618" i="6"/>
  <c r="CG618" i="6"/>
  <c r="CE618" i="6"/>
  <c r="AR618" i="6"/>
  <c r="E618" i="6"/>
  <c r="E619" i="6" s="1"/>
  <c r="E620" i="6" s="1"/>
  <c r="E621" i="6" s="1"/>
  <c r="E623" i="6" s="1"/>
  <c r="E624" i="6" s="1"/>
  <c r="E627" i="6" s="1"/>
  <c r="E638" i="6" s="1"/>
  <c r="E643" i="6" s="1"/>
  <c r="E644" i="6" s="1"/>
  <c r="CH617" i="6"/>
  <c r="CG617" i="6"/>
  <c r="CE617" i="6"/>
  <c r="CF617" i="6" s="1"/>
  <c r="AT617" i="6"/>
  <c r="AR617" i="6"/>
  <c r="CH616" i="6"/>
  <c r="CG616" i="6"/>
  <c r="CE616" i="6"/>
  <c r="CF616" i="6" s="1"/>
  <c r="AR616" i="6"/>
  <c r="CH615" i="6"/>
  <c r="CG615" i="6"/>
  <c r="CE615" i="6"/>
  <c r="AR615" i="6"/>
  <c r="CH614" i="6"/>
  <c r="CG614" i="6"/>
  <c r="CE614" i="6"/>
  <c r="AR614" i="6"/>
  <c r="CH613" i="6"/>
  <c r="CG613" i="6"/>
  <c r="CE613" i="6"/>
  <c r="AR613" i="6"/>
  <c r="CH612" i="6"/>
  <c r="CG612" i="6"/>
  <c r="CE612" i="6"/>
  <c r="AR612" i="6"/>
  <c r="CH611" i="6"/>
  <c r="CG611" i="6"/>
  <c r="CE611" i="6"/>
  <c r="AR611" i="6"/>
  <c r="CH610" i="6"/>
  <c r="CG610" i="6"/>
  <c r="CE610" i="6"/>
  <c r="CF610" i="6" s="1"/>
  <c r="AR610" i="6"/>
  <c r="CH609" i="6"/>
  <c r="CG609" i="6"/>
  <c r="CE609" i="6"/>
  <c r="AR609" i="6"/>
  <c r="CH608" i="6"/>
  <c r="CG608" i="6"/>
  <c r="CE608" i="6"/>
  <c r="CF608" i="6" s="1"/>
  <c r="AR608" i="6"/>
  <c r="CH607" i="6"/>
  <c r="CG607" i="6"/>
  <c r="CF607" i="6"/>
  <c r="CE607" i="6"/>
  <c r="AR607" i="6"/>
  <c r="E607" i="6"/>
  <c r="E608" i="6" s="1"/>
  <c r="E609" i="6" s="1"/>
  <c r="CH606" i="6"/>
  <c r="CG606" i="6"/>
  <c r="CE606" i="6"/>
  <c r="AR606" i="6"/>
  <c r="CF606" i="6" s="1"/>
  <c r="CH605" i="6"/>
  <c r="CG605" i="6"/>
  <c r="CE605" i="6"/>
  <c r="AR605" i="6"/>
  <c r="CH604" i="6"/>
  <c r="CG604" i="6"/>
  <c r="CE604" i="6"/>
  <c r="AR604" i="6"/>
  <c r="CH603" i="6"/>
  <c r="CG603" i="6"/>
  <c r="CE603" i="6"/>
  <c r="AR603" i="6"/>
  <c r="CH602" i="6"/>
  <c r="CG602" i="6"/>
  <c r="CE602" i="6"/>
  <c r="AR602" i="6"/>
  <c r="CH601" i="6"/>
  <c r="CG601" i="6"/>
  <c r="CE601" i="6"/>
  <c r="AR601" i="6"/>
  <c r="CH600" i="6"/>
  <c r="CG600" i="6"/>
  <c r="CE600" i="6"/>
  <c r="AR600" i="6"/>
  <c r="CH599" i="6"/>
  <c r="CG599" i="6"/>
  <c r="CE599" i="6"/>
  <c r="CF599" i="6" s="1"/>
  <c r="AR599" i="6"/>
  <c r="CH598" i="6"/>
  <c r="CG598" i="6"/>
  <c r="CE598" i="6"/>
  <c r="AR598" i="6"/>
  <c r="E598" i="6"/>
  <c r="CH597" i="6"/>
  <c r="CG597" i="6"/>
  <c r="CE597" i="6"/>
  <c r="AR597" i="6"/>
  <c r="CH596" i="6"/>
  <c r="CG596" i="6"/>
  <c r="CE596" i="6"/>
  <c r="AR596" i="6"/>
  <c r="CH595" i="6"/>
  <c r="CG595" i="6"/>
  <c r="CE595" i="6"/>
  <c r="AR595" i="6"/>
  <c r="CH594" i="6"/>
  <c r="CG594" i="6"/>
  <c r="CE594" i="6"/>
  <c r="AR594" i="6"/>
  <c r="CH593" i="6"/>
  <c r="CG593" i="6"/>
  <c r="CE593" i="6"/>
  <c r="AR593" i="6"/>
  <c r="CH592" i="6"/>
  <c r="CG592" i="6"/>
  <c r="CE592" i="6"/>
  <c r="AR592" i="6"/>
  <c r="CH591" i="6"/>
  <c r="CG591" i="6"/>
  <c r="CE591" i="6"/>
  <c r="AR591" i="6"/>
  <c r="CH590" i="6"/>
  <c r="CG590" i="6"/>
  <c r="CE590" i="6"/>
  <c r="AR590" i="6"/>
  <c r="CH589" i="6"/>
  <c r="CG589" i="6"/>
  <c r="CE589" i="6"/>
  <c r="CF589" i="6" s="1"/>
  <c r="AR589" i="6"/>
  <c r="CH588" i="6"/>
  <c r="CG588" i="6"/>
  <c r="AT588" i="6"/>
  <c r="CE588" i="6" s="1"/>
  <c r="CF588" i="6" s="1"/>
  <c r="AR588" i="6"/>
  <c r="CH587" i="6"/>
  <c r="CG587" i="6"/>
  <c r="CE587" i="6"/>
  <c r="AR587" i="6"/>
  <c r="CH586" i="6"/>
  <c r="CG586" i="6"/>
  <c r="CE586" i="6"/>
  <c r="CF586" i="6" s="1"/>
  <c r="AR586" i="6"/>
  <c r="CH585" i="6"/>
  <c r="CG585" i="6"/>
  <c r="CE585" i="6"/>
  <c r="AR585" i="6"/>
  <c r="CH584" i="6"/>
  <c r="CG584" i="6"/>
  <c r="CE584" i="6"/>
  <c r="CF584" i="6" s="1"/>
  <c r="AR584" i="6"/>
  <c r="CH583" i="6"/>
  <c r="CG583" i="6"/>
  <c r="CE583" i="6"/>
  <c r="CF583" i="6" s="1"/>
  <c r="AR583" i="6"/>
  <c r="CH582" i="6"/>
  <c r="CG582" i="6"/>
  <c r="CE582" i="6"/>
  <c r="AR582" i="6"/>
  <c r="CH581" i="6"/>
  <c r="CG581" i="6"/>
  <c r="CE581" i="6"/>
  <c r="AR581" i="6"/>
  <c r="CH580" i="6"/>
  <c r="CG580" i="6"/>
  <c r="CE580" i="6"/>
  <c r="CF580" i="6" s="1"/>
  <c r="AR580" i="6"/>
  <c r="CH579" i="6"/>
  <c r="CG579" i="6"/>
  <c r="CE579" i="6"/>
  <c r="AR579" i="6"/>
  <c r="CH578" i="6"/>
  <c r="CG578" i="6"/>
  <c r="CE578" i="6"/>
  <c r="AR578" i="6"/>
  <c r="CH577" i="6"/>
  <c r="CG577" i="6"/>
  <c r="CE577" i="6"/>
  <c r="AR577" i="6"/>
  <c r="CH576" i="6"/>
  <c r="CG576" i="6"/>
  <c r="CE576" i="6"/>
  <c r="AR576" i="6"/>
  <c r="CH575" i="6"/>
  <c r="CG575" i="6"/>
  <c r="CE575" i="6"/>
  <c r="AR575" i="6"/>
  <c r="CH574" i="6"/>
  <c r="CG574" i="6"/>
  <c r="AT574" i="6"/>
  <c r="CE574" i="6" s="1"/>
  <c r="AR574" i="6"/>
  <c r="CH573" i="6"/>
  <c r="CG573" i="6"/>
  <c r="BI573" i="6"/>
  <c r="BI783" i="6" s="1"/>
  <c r="AR573" i="6"/>
  <c r="CH572" i="6"/>
  <c r="CG572" i="6"/>
  <c r="CE572" i="6"/>
  <c r="AR572" i="6"/>
  <c r="CH571" i="6"/>
  <c r="CG571" i="6"/>
  <c r="CE571" i="6"/>
  <c r="AR571" i="6"/>
  <c r="CH569" i="6"/>
  <c r="CG569" i="6"/>
  <c r="CE569" i="6"/>
  <c r="CF569" i="6" s="1"/>
  <c r="AR569" i="6"/>
  <c r="CH568" i="6"/>
  <c r="CG568" i="6"/>
  <c r="CE568" i="6"/>
  <c r="CF568" i="6" s="1"/>
  <c r="AR568" i="6"/>
  <c r="CH567" i="6"/>
  <c r="CG567" i="6"/>
  <c r="CE567" i="6"/>
  <c r="AR567" i="6"/>
  <c r="CH566" i="6"/>
  <c r="CG566" i="6"/>
  <c r="CE566" i="6"/>
  <c r="AR566" i="6"/>
  <c r="CH565" i="6"/>
  <c r="CG565" i="6"/>
  <c r="CE565" i="6"/>
  <c r="CF565" i="6" s="1"/>
  <c r="AR565" i="6"/>
  <c r="CH564" i="6"/>
  <c r="CG564" i="6"/>
  <c r="CE564" i="6"/>
  <c r="AR564" i="6"/>
  <c r="CH563" i="6"/>
  <c r="CG563" i="6"/>
  <c r="CE563" i="6"/>
  <c r="AR563" i="6"/>
  <c r="CH562" i="6"/>
  <c r="CG562" i="6"/>
  <c r="CE562" i="6"/>
  <c r="AR562" i="6"/>
  <c r="CH561" i="6"/>
  <c r="CG561" i="6"/>
  <c r="CE561" i="6"/>
  <c r="AR561" i="6"/>
  <c r="CH560" i="6"/>
  <c r="CG560" i="6"/>
  <c r="CE560" i="6"/>
  <c r="AR560" i="6"/>
  <c r="CH559" i="6"/>
  <c r="CG559" i="6"/>
  <c r="CE559" i="6"/>
  <c r="CF559" i="6" s="1"/>
  <c r="AR559" i="6"/>
  <c r="CH558" i="6"/>
  <c r="CG558" i="6"/>
  <c r="CE558" i="6"/>
  <c r="AR558" i="6"/>
  <c r="CH557" i="6"/>
  <c r="CG557" i="6"/>
  <c r="CE557" i="6"/>
  <c r="AR557" i="6"/>
  <c r="CH556" i="6"/>
  <c r="CG556" i="6"/>
  <c r="CE556" i="6"/>
  <c r="CF556" i="6" s="1"/>
  <c r="AR556" i="6"/>
  <c r="CH555" i="6"/>
  <c r="CG555" i="6"/>
  <c r="CF555" i="6"/>
  <c r="CE555" i="6"/>
  <c r="AR555" i="6"/>
  <c r="CH554" i="6"/>
  <c r="CG554" i="6"/>
  <c r="CE554" i="6"/>
  <c r="AR554" i="6"/>
  <c r="CH553" i="6"/>
  <c r="CG553" i="6"/>
  <c r="CE553" i="6"/>
  <c r="AR553" i="6"/>
  <c r="CH552" i="6"/>
  <c r="CG552" i="6"/>
  <c r="AT552" i="6"/>
  <c r="AT783" i="6" s="1"/>
  <c r="AR552" i="6"/>
  <c r="CH551" i="6"/>
  <c r="CG551" i="6"/>
  <c r="CE551" i="6"/>
  <c r="AR551" i="6"/>
  <c r="CH550" i="6"/>
  <c r="CG550" i="6"/>
  <c r="CE550" i="6"/>
  <c r="CF550" i="6" s="1"/>
  <c r="AR550" i="6"/>
  <c r="CH549" i="6"/>
  <c r="CG549" i="6"/>
  <c r="CF549" i="6"/>
  <c r="CE549" i="6"/>
  <c r="AR549" i="6"/>
  <c r="CH548" i="6"/>
  <c r="CG548" i="6"/>
  <c r="CE548" i="6"/>
  <c r="AR548" i="6"/>
  <c r="CH547" i="6"/>
  <c r="CG547" i="6"/>
  <c r="CE547" i="6"/>
  <c r="AR547" i="6"/>
  <c r="CH546" i="6"/>
  <c r="CG546" i="6"/>
  <c r="CE546" i="6"/>
  <c r="CF546" i="6" s="1"/>
  <c r="AR546" i="6"/>
  <c r="CH545" i="6"/>
  <c r="CG545" i="6"/>
  <c r="CE545" i="6"/>
  <c r="CF545" i="6" s="1"/>
  <c r="AR545" i="6"/>
  <c r="CH544" i="6"/>
  <c r="CG544" i="6"/>
  <c r="CE544" i="6"/>
  <c r="AR544" i="6"/>
  <c r="CH543" i="6"/>
  <c r="CG543" i="6"/>
  <c r="CE543" i="6"/>
  <c r="AR543" i="6"/>
  <c r="CH542" i="6"/>
  <c r="CG542" i="6"/>
  <c r="CE542" i="6"/>
  <c r="AR542" i="6"/>
  <c r="CG541" i="6"/>
  <c r="CE541" i="6"/>
  <c r="CF541" i="6" s="1"/>
  <c r="AR541" i="6"/>
  <c r="CG540" i="6"/>
  <c r="CF540" i="6"/>
  <c r="CE540" i="6"/>
  <c r="AR540" i="6"/>
  <c r="E540" i="6"/>
  <c r="E541" i="6" s="1"/>
  <c r="D540" i="6"/>
  <c r="D541" i="6" s="1"/>
  <c r="CH541" i="6" s="1"/>
  <c r="CH539" i="6"/>
  <c r="CG539" i="6"/>
  <c r="CE539" i="6"/>
  <c r="AR539" i="6"/>
  <c r="CH538" i="6"/>
  <c r="CG538" i="6"/>
  <c r="CE538" i="6"/>
  <c r="AR538" i="6"/>
  <c r="CH537" i="6"/>
  <c r="CG537" i="6"/>
  <c r="CE537" i="6"/>
  <c r="AR537" i="6"/>
  <c r="CH536" i="6"/>
  <c r="CG536" i="6"/>
  <c r="CE536" i="6"/>
  <c r="AR536" i="6"/>
  <c r="CH535" i="6"/>
  <c r="CG535" i="6"/>
  <c r="CE535" i="6"/>
  <c r="AR535" i="6"/>
  <c r="CH534" i="6"/>
  <c r="CG534" i="6"/>
  <c r="CE534" i="6"/>
  <c r="AR534" i="6"/>
  <c r="CD533" i="6"/>
  <c r="CC533" i="6"/>
  <c r="CB533" i="6"/>
  <c r="CA533" i="6"/>
  <c r="BZ533" i="6"/>
  <c r="BY533" i="6"/>
  <c r="BX533" i="6"/>
  <c r="BW533" i="6"/>
  <c r="BV533" i="6"/>
  <c r="BU533" i="6"/>
  <c r="BT533" i="6"/>
  <c r="BS533" i="6"/>
  <c r="BR533" i="6"/>
  <c r="BQ533" i="6"/>
  <c r="BP533" i="6"/>
  <c r="BN533" i="6"/>
  <c r="BM533" i="6"/>
  <c r="BL533" i="6"/>
  <c r="BK533" i="6"/>
  <c r="BJ533" i="6"/>
  <c r="BI533" i="6"/>
  <c r="BH533" i="6"/>
  <c r="BG533" i="6"/>
  <c r="BF533" i="6"/>
  <c r="BD533" i="6"/>
  <c r="BC533" i="6"/>
  <c r="BB533" i="6"/>
  <c r="BA533" i="6"/>
  <c r="AZ533" i="6"/>
  <c r="AY533" i="6"/>
  <c r="AX533" i="6"/>
  <c r="AW533" i="6"/>
  <c r="AV533" i="6"/>
  <c r="AU533" i="6"/>
  <c r="AT533" i="6"/>
  <c r="AS533" i="6"/>
  <c r="AQ533" i="6"/>
  <c r="AP533" i="6"/>
  <c r="AO533" i="6"/>
  <c r="AN533" i="6"/>
  <c r="AM533" i="6"/>
  <c r="AL533" i="6"/>
  <c r="AK533" i="6"/>
  <c r="AJ533" i="6"/>
  <c r="AI533" i="6"/>
  <c r="AH533" i="6"/>
  <c r="AG533" i="6"/>
  <c r="AF533" i="6"/>
  <c r="AE533" i="6"/>
  <c r="AD533" i="6"/>
  <c r="AC533" i="6"/>
  <c r="AB533" i="6"/>
  <c r="AA533" i="6"/>
  <c r="Z533" i="6"/>
  <c r="Y533" i="6"/>
  <c r="X533" i="6"/>
  <c r="W533" i="6"/>
  <c r="V533" i="6"/>
  <c r="CH532" i="6"/>
  <c r="CG532" i="6"/>
  <c r="CE532" i="6"/>
  <c r="U532" i="6"/>
  <c r="AR532" i="6" s="1"/>
  <c r="CH531" i="6"/>
  <c r="CG531" i="6"/>
  <c r="CE531" i="6"/>
  <c r="CE533" i="6" s="1"/>
  <c r="U531" i="6"/>
  <c r="CH530" i="6"/>
  <c r="CG530" i="6"/>
  <c r="CD530" i="6"/>
  <c r="CC530" i="6"/>
  <c r="CB530" i="6"/>
  <c r="CA530" i="6"/>
  <c r="BZ530" i="6"/>
  <c r="BY530" i="6"/>
  <c r="BX530" i="6"/>
  <c r="BW530" i="6"/>
  <c r="BV530" i="6"/>
  <c r="BU530" i="6"/>
  <c r="BT530" i="6"/>
  <c r="BS530" i="6"/>
  <c r="BR530" i="6"/>
  <c r="BQ530" i="6"/>
  <c r="BP530" i="6"/>
  <c r="BN530" i="6"/>
  <c r="BM530" i="6"/>
  <c r="BL530" i="6"/>
  <c r="BK530" i="6"/>
  <c r="BJ530" i="6"/>
  <c r="BH530" i="6"/>
  <c r="BG530" i="6"/>
  <c r="BF530" i="6"/>
  <c r="BD530" i="6"/>
  <c r="BC530" i="6"/>
  <c r="BB530" i="6"/>
  <c r="BA530" i="6"/>
  <c r="AZ530" i="6"/>
  <c r="AY530" i="6"/>
  <c r="AX530" i="6"/>
  <c r="AW530" i="6"/>
  <c r="AV530" i="6"/>
  <c r="AS530" i="6"/>
  <c r="AQ530" i="6"/>
  <c r="AP530" i="6"/>
  <c r="AO530" i="6"/>
  <c r="AN530" i="6"/>
  <c r="AM530" i="6"/>
  <c r="AL530" i="6"/>
  <c r="AK530" i="6"/>
  <c r="AJ530" i="6"/>
  <c r="AI530" i="6"/>
  <c r="AH530" i="6"/>
  <c r="AG530" i="6"/>
  <c r="AF530" i="6"/>
  <c r="AE530" i="6"/>
  <c r="AD530" i="6"/>
  <c r="AC530" i="6"/>
  <c r="AB530" i="6"/>
  <c r="AA530" i="6"/>
  <c r="Z530" i="6"/>
  <c r="Y530" i="6"/>
  <c r="X530" i="6"/>
  <c r="W530" i="6"/>
  <c r="V530" i="6"/>
  <c r="U530" i="6"/>
  <c r="T530" i="6"/>
  <c r="S530" i="6"/>
  <c r="R530" i="6"/>
  <c r="Q530" i="6"/>
  <c r="P530" i="6"/>
  <c r="N530" i="6"/>
  <c r="M530" i="6"/>
  <c r="L530" i="6"/>
  <c r="K530" i="6"/>
  <c r="J530" i="6"/>
  <c r="I530" i="6"/>
  <c r="H530" i="6"/>
  <c r="G530" i="6"/>
  <c r="CH529" i="6"/>
  <c r="CG529" i="6"/>
  <c r="CE529" i="6"/>
  <c r="AR529" i="6"/>
  <c r="CH528" i="6"/>
  <c r="CG528" i="6"/>
  <c r="CE528" i="6"/>
  <c r="AR528" i="6"/>
  <c r="CH527" i="6"/>
  <c r="CG527" i="6"/>
  <c r="BI527" i="6"/>
  <c r="AT527" i="6"/>
  <c r="AR527" i="6"/>
  <c r="CH526" i="6"/>
  <c r="CG526" i="6"/>
  <c r="BI526" i="6"/>
  <c r="AT526" i="6"/>
  <c r="AR526" i="6"/>
  <c r="CH525" i="6"/>
  <c r="CG525" i="6"/>
  <c r="BI525" i="6"/>
  <c r="CE525" i="6" s="1"/>
  <c r="CF525" i="6" s="1"/>
  <c r="AT525" i="6"/>
  <c r="AR525" i="6"/>
  <c r="CH524" i="6"/>
  <c r="CG524" i="6"/>
  <c r="AT524" i="6"/>
  <c r="CE524" i="6" s="1"/>
  <c r="CF524" i="6" s="1"/>
  <c r="AR524" i="6"/>
  <c r="CH523" i="6"/>
  <c r="CG523" i="6"/>
  <c r="BI523" i="6"/>
  <c r="AT523" i="6"/>
  <c r="CE523" i="6" s="1"/>
  <c r="AR523" i="6"/>
  <c r="CH522" i="6"/>
  <c r="CG522" i="6"/>
  <c r="AT522" i="6"/>
  <c r="CE522" i="6" s="1"/>
  <c r="AR522" i="6"/>
  <c r="CH521" i="6"/>
  <c r="CG521" i="6"/>
  <c r="CE521" i="6"/>
  <c r="AR521" i="6"/>
  <c r="CH520" i="6"/>
  <c r="CG520" i="6"/>
  <c r="BI520" i="6"/>
  <c r="CE520" i="6" s="1"/>
  <c r="AR520" i="6"/>
  <c r="CH519" i="6"/>
  <c r="CG519" i="6"/>
  <c r="BI519" i="6"/>
  <c r="CE519" i="6" s="1"/>
  <c r="AR519" i="6"/>
  <c r="CH518" i="6"/>
  <c r="CG518" i="6"/>
  <c r="BI518" i="6"/>
  <c r="BI530" i="6" s="1"/>
  <c r="AR518" i="6"/>
  <c r="CH517" i="6"/>
  <c r="CG517" i="6"/>
  <c r="CE517" i="6"/>
  <c r="AR517" i="6"/>
  <c r="CH516" i="6"/>
  <c r="CG516" i="6"/>
  <c r="CE516" i="6"/>
  <c r="AR516" i="6"/>
  <c r="CH515" i="6"/>
  <c r="CG515" i="6"/>
  <c r="CE515" i="6"/>
  <c r="AR515" i="6"/>
  <c r="CH514" i="6"/>
  <c r="CG514" i="6"/>
  <c r="CE514" i="6"/>
  <c r="AR514" i="6"/>
  <c r="CH513" i="6"/>
  <c r="CG513" i="6"/>
  <c r="CE513" i="6"/>
  <c r="AR513" i="6"/>
  <c r="CH512" i="6"/>
  <c r="CG512" i="6"/>
  <c r="CE512" i="6"/>
  <c r="AR512" i="6"/>
  <c r="CH511" i="6"/>
  <c r="CG511" i="6"/>
  <c r="CE511" i="6"/>
  <c r="AR511" i="6"/>
  <c r="CH510" i="6"/>
  <c r="CG510" i="6"/>
  <c r="CE510" i="6"/>
  <c r="AR510" i="6"/>
  <c r="CH509" i="6"/>
  <c r="CG509" i="6"/>
  <c r="CE509" i="6"/>
  <c r="AR509" i="6"/>
  <c r="CF509" i="6" s="1"/>
  <c r="CH508" i="6"/>
  <c r="CG508" i="6"/>
  <c r="CE508" i="6"/>
  <c r="AR508" i="6"/>
  <c r="CH507" i="6"/>
  <c r="CG507" i="6"/>
  <c r="CE507" i="6"/>
  <c r="AR507" i="6"/>
  <c r="CH506" i="6"/>
  <c r="CG506" i="6"/>
  <c r="AT506" i="6"/>
  <c r="CE506" i="6" s="1"/>
  <c r="AR506" i="6"/>
  <c r="CH505" i="6"/>
  <c r="CG505" i="6"/>
  <c r="CE505" i="6"/>
  <c r="AR505" i="6"/>
  <c r="CH504" i="6"/>
  <c r="CG504" i="6"/>
  <c r="CE504" i="6"/>
  <c r="AR504" i="6"/>
  <c r="CH503" i="6"/>
  <c r="CG503" i="6"/>
  <c r="CE503" i="6"/>
  <c r="AR503" i="6"/>
  <c r="CH502" i="6"/>
  <c r="CG502" i="6"/>
  <c r="CE502" i="6"/>
  <c r="AR502" i="6"/>
  <c r="CH501" i="6"/>
  <c r="CG501" i="6"/>
  <c r="CE501" i="6"/>
  <c r="AR501" i="6"/>
  <c r="CH500" i="6"/>
  <c r="CG500" i="6"/>
  <c r="CE500" i="6"/>
  <c r="AR500" i="6"/>
  <c r="CH499" i="6"/>
  <c r="CG499" i="6"/>
  <c r="CE499" i="6"/>
  <c r="CF499" i="6" s="1"/>
  <c r="AR499" i="6"/>
  <c r="E499" i="6"/>
  <c r="CH498" i="6"/>
  <c r="CG498" i="6"/>
  <c r="CE498" i="6"/>
  <c r="AR498" i="6"/>
  <c r="E498" i="6"/>
  <c r="CH497" i="6"/>
  <c r="CG497" i="6"/>
  <c r="AT497" i="6"/>
  <c r="AR497" i="6"/>
  <c r="E497" i="6"/>
  <c r="CH496" i="6"/>
  <c r="CG496" i="6"/>
  <c r="CE496" i="6"/>
  <c r="AR496" i="6"/>
  <c r="E496" i="6"/>
  <c r="CH495" i="6"/>
  <c r="CG495" i="6"/>
  <c r="CE495" i="6"/>
  <c r="AR495" i="6"/>
  <c r="E495" i="6"/>
  <c r="CH494" i="6"/>
  <c r="CG494" i="6"/>
  <c r="CE494" i="6"/>
  <c r="AR494" i="6"/>
  <c r="E494" i="6"/>
  <c r="E508" i="6" s="1"/>
  <c r="CH493" i="6"/>
  <c r="CG493" i="6"/>
  <c r="CE493" i="6"/>
  <c r="AR493" i="6"/>
  <c r="E493" i="6"/>
  <c r="CH492" i="6"/>
  <c r="CG492" i="6"/>
  <c r="CE492" i="6"/>
  <c r="AR492" i="6"/>
  <c r="CH491" i="6"/>
  <c r="CG491" i="6"/>
  <c r="CE491" i="6"/>
  <c r="AR491" i="6"/>
  <c r="CH490" i="6"/>
  <c r="CG490" i="6"/>
  <c r="AU490" i="6"/>
  <c r="CE490" i="6" s="1"/>
  <c r="AT490" i="6"/>
  <c r="AR490" i="6"/>
  <c r="CH489" i="6"/>
  <c r="CG489" i="6"/>
  <c r="CE489" i="6"/>
  <c r="AR489" i="6"/>
  <c r="CH488" i="6"/>
  <c r="CG488" i="6"/>
  <c r="CE488" i="6"/>
  <c r="AR488" i="6"/>
  <c r="CH487" i="6"/>
  <c r="CG487" i="6"/>
  <c r="CE487" i="6"/>
  <c r="AR487" i="6"/>
  <c r="CH486" i="6"/>
  <c r="CG486" i="6"/>
  <c r="CE486" i="6"/>
  <c r="AR486" i="6"/>
  <c r="CH485" i="6"/>
  <c r="CG485" i="6"/>
  <c r="CE485" i="6"/>
  <c r="AR485" i="6"/>
  <c r="CH484" i="6"/>
  <c r="CG484" i="6"/>
  <c r="CE484" i="6"/>
  <c r="AR484" i="6"/>
  <c r="CH483" i="6"/>
  <c r="CG483" i="6"/>
  <c r="CE483" i="6"/>
  <c r="AR483" i="6"/>
  <c r="CH482" i="6"/>
  <c r="CG482" i="6"/>
  <c r="CE482" i="6"/>
  <c r="AR482" i="6"/>
  <c r="CH481" i="6"/>
  <c r="CG481" i="6"/>
  <c r="CE481" i="6"/>
  <c r="AR481" i="6"/>
  <c r="CH480" i="6"/>
  <c r="CG480" i="6"/>
  <c r="CE480" i="6"/>
  <c r="AR480" i="6"/>
  <c r="CH479" i="6"/>
  <c r="CG479" i="6"/>
  <c r="AU479" i="6"/>
  <c r="CE479" i="6" s="1"/>
  <c r="AR479" i="6"/>
  <c r="CH478" i="6"/>
  <c r="CG478" i="6"/>
  <c r="CE478" i="6"/>
  <c r="CF478" i="6" s="1"/>
  <c r="AR478" i="6"/>
  <c r="CH477" i="6"/>
  <c r="CG477" i="6"/>
  <c r="CE477" i="6"/>
  <c r="AR477" i="6"/>
  <c r="CH476" i="6"/>
  <c r="CG476" i="6"/>
  <c r="CE476" i="6"/>
  <c r="AR476" i="6"/>
  <c r="CH475" i="6"/>
  <c r="CG475" i="6"/>
  <c r="CE475" i="6"/>
  <c r="AR475" i="6"/>
  <c r="CH474" i="6"/>
  <c r="CG474" i="6"/>
  <c r="CE474" i="6"/>
  <c r="AR474" i="6"/>
  <c r="CH473" i="6"/>
  <c r="CG473" i="6"/>
  <c r="CE473" i="6"/>
  <c r="AR473" i="6"/>
  <c r="CH472" i="6"/>
  <c r="CG472" i="6"/>
  <c r="CE472" i="6"/>
  <c r="AR472" i="6"/>
  <c r="CH471" i="6"/>
  <c r="CG471" i="6"/>
  <c r="CE471" i="6"/>
  <c r="AR471" i="6"/>
  <c r="CH470" i="6"/>
  <c r="CG470" i="6"/>
  <c r="CE470" i="6"/>
  <c r="AR470" i="6"/>
  <c r="CH469" i="6"/>
  <c r="CG469" i="6"/>
  <c r="CE469" i="6"/>
  <c r="AR469" i="6"/>
  <c r="CH468" i="6"/>
  <c r="CG468" i="6"/>
  <c r="CE468" i="6"/>
  <c r="AR468" i="6"/>
  <c r="CH467" i="6"/>
  <c r="CG467" i="6"/>
  <c r="CE467" i="6"/>
  <c r="AR467" i="6"/>
  <c r="CH466" i="6"/>
  <c r="CG466" i="6"/>
  <c r="CE466" i="6"/>
  <c r="AR466" i="6"/>
  <c r="CH465" i="6"/>
  <c r="CG465" i="6"/>
  <c r="CE465" i="6"/>
  <c r="AR465" i="6"/>
  <c r="CH464" i="6"/>
  <c r="CG464" i="6"/>
  <c r="CE464" i="6"/>
  <c r="AR464" i="6"/>
  <c r="CH463" i="6"/>
  <c r="CG463" i="6"/>
  <c r="CE463" i="6"/>
  <c r="AR463" i="6"/>
  <c r="CH462" i="6"/>
  <c r="CG462" i="6"/>
  <c r="CE462" i="6"/>
  <c r="CF462" i="6" s="1"/>
  <c r="AR462" i="6"/>
  <c r="CH461" i="6"/>
  <c r="CG461" i="6"/>
  <c r="CE461" i="6"/>
  <c r="AR461" i="6"/>
  <c r="CH460" i="6"/>
  <c r="CG460" i="6"/>
  <c r="CE460" i="6"/>
  <c r="AR460" i="6"/>
  <c r="CH459" i="6"/>
  <c r="CG459" i="6"/>
  <c r="CE459" i="6"/>
  <c r="CF459" i="6" s="1"/>
  <c r="AR459" i="6"/>
  <c r="CH458" i="6"/>
  <c r="CG458" i="6"/>
  <c r="CE458" i="6"/>
  <c r="AR458" i="6"/>
  <c r="CH457" i="6"/>
  <c r="CG457" i="6"/>
  <c r="CE457" i="6"/>
  <c r="AR457" i="6"/>
  <c r="CH456" i="6"/>
  <c r="CG456" i="6"/>
  <c r="AT456" i="6"/>
  <c r="AR456" i="6"/>
  <c r="CH455" i="6"/>
  <c r="CG455" i="6"/>
  <c r="CE455" i="6"/>
  <c r="AR455" i="6"/>
  <c r="CH454" i="6"/>
  <c r="CG454" i="6"/>
  <c r="CE454" i="6"/>
  <c r="AR454" i="6"/>
  <c r="CH453" i="6"/>
  <c r="CG453" i="6"/>
  <c r="CE453" i="6"/>
  <c r="AR453" i="6"/>
  <c r="CH452" i="6"/>
  <c r="CG452" i="6"/>
  <c r="CE452" i="6"/>
  <c r="AR452" i="6"/>
  <c r="CH451" i="6"/>
  <c r="CG451" i="6"/>
  <c r="AU451" i="6"/>
  <c r="AT451" i="6"/>
  <c r="CE451" i="6" s="1"/>
  <c r="AR451" i="6"/>
  <c r="CH450" i="6"/>
  <c r="CG450" i="6"/>
  <c r="CE450" i="6"/>
  <c r="AR450" i="6"/>
  <c r="F450" i="6"/>
  <c r="CH449" i="6"/>
  <c r="CG449" i="6"/>
  <c r="AU449" i="6"/>
  <c r="AT449" i="6"/>
  <c r="CE449" i="6" s="1"/>
  <c r="AR449" i="6"/>
  <c r="CH448" i="6"/>
  <c r="CG448" i="6"/>
  <c r="CE448" i="6"/>
  <c r="AR448" i="6"/>
  <c r="E448" i="6"/>
  <c r="E449" i="6" s="1"/>
  <c r="E450" i="6" s="1"/>
  <c r="E451" i="6" s="1"/>
  <c r="E452" i="6" s="1"/>
  <c r="E453" i="6" s="1"/>
  <c r="E454" i="6" s="1"/>
  <c r="E455" i="6" s="1"/>
  <c r="E457" i="6" s="1"/>
  <c r="E458" i="6" s="1"/>
  <c r="CH447" i="6"/>
  <c r="CG447" i="6"/>
  <c r="CE447" i="6"/>
  <c r="CF447" i="6" s="1"/>
  <c r="AR447" i="6"/>
  <c r="E447" i="6"/>
  <c r="CH446" i="6"/>
  <c r="CG446" i="6"/>
  <c r="CE446" i="6"/>
  <c r="AR446" i="6"/>
  <c r="E446" i="6"/>
  <c r="CH445" i="6"/>
  <c r="CG445" i="6"/>
  <c r="CE445" i="6"/>
  <c r="AR445" i="6"/>
  <c r="E445" i="6"/>
  <c r="CH444" i="6"/>
  <c r="CG444" i="6"/>
  <c r="CE444" i="6"/>
  <c r="AR444" i="6"/>
  <c r="CH443" i="6"/>
  <c r="CG443" i="6"/>
  <c r="CE443" i="6"/>
  <c r="AR443" i="6"/>
  <c r="CH442" i="6"/>
  <c r="CG442" i="6"/>
  <c r="CE442" i="6"/>
  <c r="AR442" i="6"/>
  <c r="CH441" i="6"/>
  <c r="CG441" i="6"/>
  <c r="CE441" i="6"/>
  <c r="AR441" i="6"/>
  <c r="CH440" i="6"/>
  <c r="CG440" i="6"/>
  <c r="CE440" i="6"/>
  <c r="AR440" i="6"/>
  <c r="CH439" i="6"/>
  <c r="CG439" i="6"/>
  <c r="CE439" i="6"/>
  <c r="CF439" i="6" s="1"/>
  <c r="AR439" i="6"/>
  <c r="CH438" i="6"/>
  <c r="CG438" i="6"/>
  <c r="CE438" i="6"/>
  <c r="AR438" i="6"/>
  <c r="CH437" i="6"/>
  <c r="CG437" i="6"/>
  <c r="CE437" i="6"/>
  <c r="AR437" i="6"/>
  <c r="CH436" i="6"/>
  <c r="CG436" i="6"/>
  <c r="CE436" i="6"/>
  <c r="CF436" i="6" s="1"/>
  <c r="AR436" i="6"/>
  <c r="CH435" i="6"/>
  <c r="CG435" i="6"/>
  <c r="CE435" i="6"/>
  <c r="AR435" i="6"/>
  <c r="E435" i="6"/>
  <c r="E436" i="6" s="1"/>
  <c r="E440" i="6" s="1"/>
  <c r="CH434" i="6"/>
  <c r="CG434" i="6"/>
  <c r="CE434" i="6"/>
  <c r="AR434" i="6"/>
  <c r="CH433" i="6"/>
  <c r="CG433" i="6"/>
  <c r="CE433" i="6"/>
  <c r="AR433" i="6"/>
  <c r="CH432" i="6"/>
  <c r="CG432" i="6"/>
  <c r="CE432" i="6"/>
  <c r="AR432" i="6"/>
  <c r="CH431" i="6"/>
  <c r="CG431" i="6"/>
  <c r="CE431" i="6"/>
  <c r="AR431" i="6"/>
  <c r="CH430" i="6"/>
  <c r="CG430" i="6"/>
  <c r="CE430" i="6"/>
  <c r="AR430" i="6"/>
  <c r="CH429" i="6"/>
  <c r="CG429" i="6"/>
  <c r="CE429" i="6"/>
  <c r="AR429" i="6"/>
  <c r="CH428" i="6"/>
  <c r="CG428" i="6"/>
  <c r="CE428" i="6"/>
  <c r="AR428" i="6"/>
  <c r="CH427" i="6"/>
  <c r="CG427" i="6"/>
  <c r="CE427" i="6"/>
  <c r="AR427" i="6"/>
  <c r="CH426" i="6"/>
  <c r="CG426" i="6"/>
  <c r="CE426" i="6"/>
  <c r="AR426" i="6"/>
  <c r="CH425" i="6"/>
  <c r="CG425" i="6"/>
  <c r="CE425" i="6"/>
  <c r="AR425" i="6"/>
  <c r="CH424" i="6"/>
  <c r="CG424" i="6"/>
  <c r="CE424" i="6"/>
  <c r="AR424" i="6"/>
  <c r="CH423" i="6"/>
  <c r="CG423" i="6"/>
  <c r="CE423" i="6"/>
  <c r="AR423" i="6"/>
  <c r="CH422" i="6"/>
  <c r="CG422" i="6"/>
  <c r="CE422" i="6"/>
  <c r="AR422" i="6"/>
  <c r="CH421" i="6"/>
  <c r="CG421" i="6"/>
  <c r="AU421" i="6"/>
  <c r="CE421" i="6" s="1"/>
  <c r="AT421" i="6"/>
  <c r="AR421" i="6"/>
  <c r="CH420" i="6"/>
  <c r="CG420" i="6"/>
  <c r="CE420" i="6"/>
  <c r="AR420" i="6"/>
  <c r="CH419" i="6"/>
  <c r="CG419" i="6"/>
  <c r="CE419" i="6"/>
  <c r="AR419" i="6"/>
  <c r="CH418" i="6"/>
  <c r="CG418" i="6"/>
  <c r="CE418" i="6"/>
  <c r="CF418" i="6" s="1"/>
  <c r="AR418" i="6"/>
  <c r="CH417" i="6"/>
  <c r="CG417" i="6"/>
  <c r="CE417" i="6"/>
  <c r="AR417" i="6"/>
  <c r="CH416" i="6"/>
  <c r="CG416" i="6"/>
  <c r="CE416" i="6"/>
  <c r="AR416" i="6"/>
  <c r="CH415" i="6"/>
  <c r="CG415" i="6"/>
  <c r="AU415" i="6"/>
  <c r="AT415" i="6"/>
  <c r="CE415" i="6" s="1"/>
  <c r="AR415" i="6"/>
  <c r="CH414" i="6"/>
  <c r="CG414" i="6"/>
  <c r="CE414" i="6"/>
  <c r="AR414" i="6"/>
  <c r="CH413" i="6"/>
  <c r="CG413" i="6"/>
  <c r="CE413" i="6"/>
  <c r="AR413" i="6"/>
  <c r="CH412" i="6"/>
  <c r="CG412" i="6"/>
  <c r="CE412" i="6"/>
  <c r="AR412" i="6"/>
  <c r="CH411" i="6"/>
  <c r="CG411" i="6"/>
  <c r="CE411" i="6"/>
  <c r="AR411" i="6"/>
  <c r="CH410" i="6"/>
  <c r="CG410" i="6"/>
  <c r="AU410" i="6"/>
  <c r="AT410" i="6"/>
  <c r="CE410" i="6" s="1"/>
  <c r="AR410" i="6"/>
  <c r="CH409" i="6"/>
  <c r="CG409" i="6"/>
  <c r="CE409" i="6"/>
  <c r="AR409" i="6"/>
  <c r="CH408" i="6"/>
  <c r="CG408" i="6"/>
  <c r="CE408" i="6"/>
  <c r="AR408" i="6"/>
  <c r="CH407" i="6"/>
  <c r="CG407" i="6"/>
  <c r="CE407" i="6"/>
  <c r="CF407" i="6" s="1"/>
  <c r="AR407" i="6"/>
  <c r="CH406" i="6"/>
  <c r="CG406" i="6"/>
  <c r="CE406" i="6"/>
  <c r="AR406" i="6"/>
  <c r="E406" i="6"/>
  <c r="E407" i="6" s="1"/>
  <c r="E421" i="6" s="1"/>
  <c r="E422" i="6" s="1"/>
  <c r="E423" i="6" s="1"/>
  <c r="CH405" i="6"/>
  <c r="CG405" i="6"/>
  <c r="CE405" i="6"/>
  <c r="AR405" i="6"/>
  <c r="CH404" i="6"/>
  <c r="CG404" i="6"/>
  <c r="CE404" i="6"/>
  <c r="AR404" i="6"/>
  <c r="CH403" i="6"/>
  <c r="CG403" i="6"/>
  <c r="CE403" i="6"/>
  <c r="AR403" i="6"/>
  <c r="CH402" i="6"/>
  <c r="CG402" i="6"/>
  <c r="CE402" i="6"/>
  <c r="AR402" i="6"/>
  <c r="CH401" i="6"/>
  <c r="CG401" i="6"/>
  <c r="CE401" i="6"/>
  <c r="AR401" i="6"/>
  <c r="CH400" i="6"/>
  <c r="CG400" i="6"/>
  <c r="CE400" i="6"/>
  <c r="AR400" i="6"/>
  <c r="CH399" i="6"/>
  <c r="CG399" i="6"/>
  <c r="CE399" i="6"/>
  <c r="AR399" i="6"/>
  <c r="CH398" i="6"/>
  <c r="CG398" i="6"/>
  <c r="CE398" i="6"/>
  <c r="AR398" i="6"/>
  <c r="CH397" i="6"/>
  <c r="CG397" i="6"/>
  <c r="AU397" i="6"/>
  <c r="AT397" i="6"/>
  <c r="CE397" i="6" s="1"/>
  <c r="AR397" i="6"/>
  <c r="CH396" i="6"/>
  <c r="CG396" i="6"/>
  <c r="CE396" i="6"/>
  <c r="AR396" i="6"/>
  <c r="CI395" i="6"/>
  <c r="CD395" i="6"/>
  <c r="CC395" i="6"/>
  <c r="CB395" i="6"/>
  <c r="CA395" i="6"/>
  <c r="BZ395" i="6"/>
  <c r="BY395" i="6"/>
  <c r="BX395" i="6"/>
  <c r="BW395" i="6"/>
  <c r="BV395" i="6"/>
  <c r="BU395" i="6"/>
  <c r="BT395" i="6"/>
  <c r="BS395" i="6"/>
  <c r="BR395" i="6"/>
  <c r="BQ395" i="6"/>
  <c r="BP395" i="6"/>
  <c r="BN395" i="6"/>
  <c r="BM395" i="6"/>
  <c r="BL395" i="6"/>
  <c r="BK395" i="6"/>
  <c r="BJ395" i="6"/>
  <c r="BI395" i="6"/>
  <c r="BH395" i="6"/>
  <c r="BG395" i="6"/>
  <c r="BF395" i="6"/>
  <c r="BD395" i="6"/>
  <c r="BC395" i="6"/>
  <c r="BB395" i="6"/>
  <c r="BA395" i="6"/>
  <c r="AZ395" i="6"/>
  <c r="AY395" i="6"/>
  <c r="AX395" i="6"/>
  <c r="AW395" i="6"/>
  <c r="AV395" i="6"/>
  <c r="AU395" i="6"/>
  <c r="AS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N395" i="6"/>
  <c r="M395" i="6"/>
  <c r="L395" i="6"/>
  <c r="K395" i="6"/>
  <c r="J395" i="6"/>
  <c r="I395" i="6"/>
  <c r="H395" i="6"/>
  <c r="G395" i="6"/>
  <c r="CH394" i="6"/>
  <c r="CG394" i="6"/>
  <c r="CE394" i="6"/>
  <c r="AR394" i="6"/>
  <c r="CH393" i="6"/>
  <c r="CG393" i="6"/>
  <c r="CE393" i="6"/>
  <c r="CF393" i="6" s="1"/>
  <c r="AR393" i="6"/>
  <c r="CH392" i="6"/>
  <c r="CG392" i="6"/>
  <c r="CE392" i="6"/>
  <c r="AR392" i="6"/>
  <c r="CH391" i="6"/>
  <c r="CG391" i="6"/>
  <c r="CE391" i="6"/>
  <c r="CF391" i="6" s="1"/>
  <c r="AR391" i="6"/>
  <c r="CH390" i="6"/>
  <c r="CG390" i="6"/>
  <c r="CE390" i="6"/>
  <c r="CF390" i="6" s="1"/>
  <c r="AR390" i="6"/>
  <c r="CH389" i="6"/>
  <c r="CG389" i="6"/>
  <c r="CF389" i="6"/>
  <c r="CE389" i="6"/>
  <c r="AR389" i="6"/>
  <c r="CH388" i="6"/>
  <c r="CG388" i="6"/>
  <c r="CE388" i="6"/>
  <c r="AR388" i="6"/>
  <c r="CH387" i="6"/>
  <c r="CG387" i="6"/>
  <c r="CE387" i="6"/>
  <c r="AR387" i="6"/>
  <c r="CH386" i="6"/>
  <c r="CG386" i="6"/>
  <c r="CE386" i="6"/>
  <c r="AR386" i="6"/>
  <c r="CH385" i="6"/>
  <c r="CG385" i="6"/>
  <c r="CE385" i="6"/>
  <c r="AR385" i="6"/>
  <c r="CH384" i="6"/>
  <c r="CG384" i="6"/>
  <c r="CE384" i="6"/>
  <c r="AR384" i="6"/>
  <c r="CH383" i="6"/>
  <c r="CG383" i="6"/>
  <c r="CE383" i="6"/>
  <c r="AR383" i="6"/>
  <c r="CH382" i="6"/>
  <c r="CG382" i="6"/>
  <c r="CE382" i="6"/>
  <c r="AR382" i="6"/>
  <c r="CH381" i="6"/>
  <c r="CG381" i="6"/>
  <c r="CE381" i="6"/>
  <c r="AR381" i="6"/>
  <c r="CH380" i="6"/>
  <c r="CG380" i="6"/>
  <c r="CE380" i="6"/>
  <c r="AR380" i="6"/>
  <c r="CH379" i="6"/>
  <c r="CG379" i="6"/>
  <c r="CE379" i="6"/>
  <c r="AR379" i="6"/>
  <c r="CH378" i="6"/>
  <c r="CG378" i="6"/>
  <c r="CE378" i="6"/>
  <c r="AR378" i="6"/>
  <c r="CH377" i="6"/>
  <c r="CG377" i="6"/>
  <c r="CE377" i="6"/>
  <c r="CF377" i="6" s="1"/>
  <c r="AR377" i="6"/>
  <c r="CH376" i="6"/>
  <c r="CG376" i="6"/>
  <c r="CE376" i="6"/>
  <c r="AR376" i="6"/>
  <c r="CH375" i="6"/>
  <c r="CG375" i="6"/>
  <c r="CE375" i="6"/>
  <c r="AR375" i="6"/>
  <c r="E375" i="6"/>
  <c r="CH374" i="6"/>
  <c r="CG374" i="6"/>
  <c r="CE374" i="6"/>
  <c r="AR374" i="6"/>
  <c r="CH373" i="6"/>
  <c r="CG373" i="6"/>
  <c r="CE373" i="6"/>
  <c r="AR373" i="6"/>
  <c r="CH372" i="6"/>
  <c r="CG372" i="6"/>
  <c r="CE372" i="6"/>
  <c r="AR372" i="6"/>
  <c r="CF372" i="6" s="1"/>
  <c r="CH371" i="6"/>
  <c r="CG371" i="6"/>
  <c r="CE371" i="6"/>
  <c r="AR371" i="6"/>
  <c r="CH370" i="6"/>
  <c r="CG370" i="6"/>
  <c r="CE370" i="6"/>
  <c r="AR370" i="6"/>
  <c r="CF370" i="6" s="1"/>
  <c r="CH369" i="6"/>
  <c r="CG369" i="6"/>
  <c r="CE369" i="6"/>
  <c r="AR369" i="6"/>
  <c r="CH368" i="6"/>
  <c r="CG368" i="6"/>
  <c r="CE368" i="6"/>
  <c r="AR368" i="6"/>
  <c r="CH367" i="6"/>
  <c r="CG367" i="6"/>
  <c r="CE367" i="6"/>
  <c r="AR367" i="6"/>
  <c r="CH366" i="6"/>
  <c r="CG366" i="6"/>
  <c r="CE366" i="6"/>
  <c r="AR366" i="6"/>
  <c r="CH365" i="6"/>
  <c r="CG365" i="6"/>
  <c r="CE365" i="6"/>
  <c r="AR365" i="6"/>
  <c r="CH364" i="6"/>
  <c r="CG364" i="6"/>
  <c r="CE364" i="6"/>
  <c r="AR364" i="6"/>
  <c r="CH363" i="6"/>
  <c r="CG363" i="6"/>
  <c r="CE363" i="6"/>
  <c r="AR363" i="6"/>
  <c r="CH362" i="6"/>
  <c r="CG362" i="6"/>
  <c r="AT362" i="6"/>
  <c r="CE362" i="6" s="1"/>
  <c r="AR362" i="6"/>
  <c r="CH361" i="6"/>
  <c r="CG361" i="6"/>
  <c r="CE361" i="6"/>
  <c r="AR361" i="6"/>
  <c r="CH360" i="6"/>
  <c r="CG360" i="6"/>
  <c r="CE360" i="6"/>
  <c r="CF360" i="6" s="1"/>
  <c r="AR360" i="6"/>
  <c r="CH359" i="6"/>
  <c r="CG359" i="6"/>
  <c r="CE359" i="6"/>
  <c r="AR359" i="6"/>
  <c r="CH358" i="6"/>
  <c r="CG358" i="6"/>
  <c r="CE358" i="6"/>
  <c r="AR358" i="6"/>
  <c r="CH357" i="6"/>
  <c r="CG357" i="6"/>
  <c r="AT357" i="6"/>
  <c r="CE357" i="6" s="1"/>
  <c r="AR357" i="6"/>
  <c r="CH356" i="6"/>
  <c r="CG356" i="6"/>
  <c r="CE356" i="6"/>
  <c r="AR356" i="6"/>
  <c r="CH355" i="6"/>
  <c r="CG355" i="6"/>
  <c r="CE355" i="6"/>
  <c r="AR355" i="6"/>
  <c r="CH354" i="6"/>
  <c r="CG354" i="6"/>
  <c r="CE354" i="6"/>
  <c r="AR354" i="6"/>
  <c r="CH353" i="6"/>
  <c r="CG353" i="6"/>
  <c r="CE353" i="6"/>
  <c r="CF353" i="6" s="1"/>
  <c r="AR353" i="6"/>
  <c r="CH352" i="6"/>
  <c r="CG352" i="6"/>
  <c r="CE352" i="6"/>
  <c r="AR352" i="6"/>
  <c r="CH351" i="6"/>
  <c r="CG351" i="6"/>
  <c r="CE351" i="6"/>
  <c r="CF351" i="6" s="1"/>
  <c r="AR351" i="6"/>
  <c r="CH350" i="6"/>
  <c r="CG350" i="6"/>
  <c r="CE350" i="6"/>
  <c r="AR350" i="6"/>
  <c r="CH349" i="6"/>
  <c r="CG349" i="6"/>
  <c r="CE349" i="6"/>
  <c r="CF349" i="6" s="1"/>
  <c r="AR349" i="6"/>
  <c r="CH348" i="6"/>
  <c r="CG348" i="6"/>
  <c r="CE348" i="6"/>
  <c r="AR348" i="6"/>
  <c r="CH347" i="6"/>
  <c r="CG347" i="6"/>
  <c r="CE347" i="6"/>
  <c r="AR347" i="6"/>
  <c r="CH346" i="6"/>
  <c r="CG346" i="6"/>
  <c r="CE346" i="6"/>
  <c r="AR346" i="6"/>
  <c r="CH345" i="6"/>
  <c r="CG345" i="6"/>
  <c r="CE345" i="6"/>
  <c r="AR345" i="6"/>
  <c r="CH344" i="6"/>
  <c r="CG344" i="6"/>
  <c r="CE344" i="6"/>
  <c r="AR344" i="6"/>
  <c r="CH343" i="6"/>
  <c r="CG343" i="6"/>
  <c r="CE343" i="6"/>
  <c r="AR343" i="6"/>
  <c r="CH342" i="6"/>
  <c r="CG342" i="6"/>
  <c r="CE342" i="6"/>
  <c r="AR342" i="6"/>
  <c r="CH341" i="6"/>
  <c r="CG341" i="6"/>
  <c r="CE341" i="6"/>
  <c r="AR341" i="6"/>
  <c r="CH340" i="6"/>
  <c r="CG340" i="6"/>
  <c r="CE340" i="6"/>
  <c r="AR340" i="6"/>
  <c r="CF340" i="6" s="1"/>
  <c r="CH339" i="6"/>
  <c r="CG339" i="6"/>
  <c r="CE339" i="6"/>
  <c r="AR339" i="6"/>
  <c r="CH338" i="6"/>
  <c r="CG338" i="6"/>
  <c r="CE338" i="6"/>
  <c r="AR338" i="6"/>
  <c r="CH337" i="6"/>
  <c r="CG337" i="6"/>
  <c r="CE337" i="6"/>
  <c r="AR337" i="6"/>
  <c r="CH336" i="6"/>
  <c r="CG336" i="6"/>
  <c r="CE336" i="6"/>
  <c r="AR336" i="6"/>
  <c r="CH335" i="6"/>
  <c r="CG335" i="6"/>
  <c r="CE335" i="6"/>
  <c r="AR335" i="6"/>
  <c r="E335" i="6"/>
  <c r="CH334" i="6"/>
  <c r="CG334" i="6"/>
  <c r="CE334" i="6"/>
  <c r="AR334" i="6"/>
  <c r="CH333" i="6"/>
  <c r="CG333" i="6"/>
  <c r="CE333" i="6"/>
  <c r="AR333" i="6"/>
  <c r="CH332" i="6"/>
  <c r="CG332" i="6"/>
  <c r="CE332" i="6"/>
  <c r="AR332" i="6"/>
  <c r="CH331" i="6"/>
  <c r="CG331" i="6"/>
  <c r="CE331" i="6"/>
  <c r="AR331" i="6"/>
  <c r="CH330" i="6"/>
  <c r="CG330" i="6"/>
  <c r="CE330" i="6"/>
  <c r="AR330" i="6"/>
  <c r="CH329" i="6"/>
  <c r="CG329" i="6"/>
  <c r="CE329" i="6"/>
  <c r="AR329" i="6"/>
  <c r="CH328" i="6"/>
  <c r="CG328" i="6"/>
  <c r="CE328" i="6"/>
  <c r="AR328" i="6"/>
  <c r="CH327" i="6"/>
  <c r="CG327" i="6"/>
  <c r="CE327" i="6"/>
  <c r="AR327" i="6"/>
  <c r="CH326" i="6"/>
  <c r="CG326" i="6"/>
  <c r="CE326" i="6"/>
  <c r="AR326" i="6"/>
  <c r="CH325" i="6"/>
  <c r="CG325" i="6"/>
  <c r="CE325" i="6"/>
  <c r="AR325" i="6"/>
  <c r="CH324" i="6"/>
  <c r="CG324" i="6"/>
  <c r="CE324" i="6"/>
  <c r="AR324" i="6"/>
  <c r="CH323" i="6"/>
  <c r="CG323" i="6"/>
  <c r="CE323" i="6"/>
  <c r="AR323" i="6"/>
  <c r="CH322" i="6"/>
  <c r="CG322" i="6"/>
  <c r="CE322" i="6"/>
  <c r="AR322" i="6"/>
  <c r="CH321" i="6"/>
  <c r="CG321" i="6"/>
  <c r="CE321" i="6"/>
  <c r="CF321" i="6" s="1"/>
  <c r="AR321" i="6"/>
  <c r="CH320" i="6"/>
  <c r="CG320" i="6"/>
  <c r="CE320" i="6"/>
  <c r="AR320" i="6"/>
  <c r="CH319" i="6"/>
  <c r="CG319" i="6"/>
  <c r="CE319" i="6"/>
  <c r="AR319" i="6"/>
  <c r="CH318" i="6"/>
  <c r="CG318" i="6"/>
  <c r="CE318" i="6"/>
  <c r="CF318" i="6" s="1"/>
  <c r="E318" i="6"/>
  <c r="E314" i="6" s="1"/>
  <c r="CH317" i="6"/>
  <c r="CG317" i="6"/>
  <c r="CE317" i="6"/>
  <c r="AR317" i="6"/>
  <c r="E317" i="6"/>
  <c r="CH316" i="6"/>
  <c r="CG316" i="6"/>
  <c r="CE316" i="6"/>
  <c r="AR316" i="6"/>
  <c r="E316" i="6"/>
  <c r="CH315" i="6"/>
  <c r="CG315" i="6"/>
  <c r="CE315" i="6"/>
  <c r="AR315" i="6"/>
  <c r="E315" i="6"/>
  <c r="CH314" i="6"/>
  <c r="CG314" i="6"/>
  <c r="CE314" i="6"/>
  <c r="AR314" i="6"/>
  <c r="CF314" i="6" s="1"/>
  <c r="CH313" i="6"/>
  <c r="CG313" i="6"/>
  <c r="AT313" i="6"/>
  <c r="CE313" i="6" s="1"/>
  <c r="AR313" i="6"/>
  <c r="CH312" i="6"/>
  <c r="CG312" i="6"/>
  <c r="CE312" i="6"/>
  <c r="AR312" i="6"/>
  <c r="CH311" i="6"/>
  <c r="CG311" i="6"/>
  <c r="CE311" i="6"/>
  <c r="AR311" i="6"/>
  <c r="CH310" i="6"/>
  <c r="CG310" i="6"/>
  <c r="CE310" i="6"/>
  <c r="AR310" i="6"/>
  <c r="CH309" i="6"/>
  <c r="CG309" i="6"/>
  <c r="CE309" i="6"/>
  <c r="AR309" i="6"/>
  <c r="CH308" i="6"/>
  <c r="CG308" i="6"/>
  <c r="CE308" i="6"/>
  <c r="AR308" i="6"/>
  <c r="CH307" i="6"/>
  <c r="CG307" i="6"/>
  <c r="CE307" i="6"/>
  <c r="AR307" i="6"/>
  <c r="CH306" i="6"/>
  <c r="CG306" i="6"/>
  <c r="CE306" i="6"/>
  <c r="AR306" i="6"/>
  <c r="CF306" i="6" s="1"/>
  <c r="CH305" i="6"/>
  <c r="CG305" i="6"/>
  <c r="CE305" i="6"/>
  <c r="AR305" i="6"/>
  <c r="CH304" i="6"/>
  <c r="CG304" i="6"/>
  <c r="AT304" i="6"/>
  <c r="CE304" i="6" s="1"/>
  <c r="AR304" i="6"/>
  <c r="CH303" i="6"/>
  <c r="CG303" i="6"/>
  <c r="CE303" i="6"/>
  <c r="AR303" i="6"/>
  <c r="CH302" i="6"/>
  <c r="CG302" i="6"/>
  <c r="CE302" i="6"/>
  <c r="AR302" i="6"/>
  <c r="CH301" i="6"/>
  <c r="CG301" i="6"/>
  <c r="CE301" i="6"/>
  <c r="AR301" i="6"/>
  <c r="CF301" i="6" s="1"/>
  <c r="CH300" i="6"/>
  <c r="CG300" i="6"/>
  <c r="CE300" i="6"/>
  <c r="AR300" i="6"/>
  <c r="CH299" i="6"/>
  <c r="CG299" i="6"/>
  <c r="CE299" i="6"/>
  <c r="AR299" i="6"/>
  <c r="CH298" i="6"/>
  <c r="CG298" i="6"/>
  <c r="AT298" i="6"/>
  <c r="CE298" i="6" s="1"/>
  <c r="AR298" i="6"/>
  <c r="CH297" i="6"/>
  <c r="CG297" i="6"/>
  <c r="CE297" i="6"/>
  <c r="AR297" i="6"/>
  <c r="CH296" i="6"/>
  <c r="CG296" i="6"/>
  <c r="CE296" i="6"/>
  <c r="AR296" i="6"/>
  <c r="CH295" i="6"/>
  <c r="CG295" i="6"/>
  <c r="CE295" i="6"/>
  <c r="AR295" i="6"/>
  <c r="CH294" i="6"/>
  <c r="CG294" i="6"/>
  <c r="CE294" i="6"/>
  <c r="AR294" i="6"/>
  <c r="CH293" i="6"/>
  <c r="CG293" i="6"/>
  <c r="AT293" i="6"/>
  <c r="CE293" i="6" s="1"/>
  <c r="AR293" i="6"/>
  <c r="CH292" i="6"/>
  <c r="CG292" i="6"/>
  <c r="CE292" i="6"/>
  <c r="AR292" i="6"/>
  <c r="CH291" i="6"/>
  <c r="CG291" i="6"/>
  <c r="CE291" i="6"/>
  <c r="AR291" i="6"/>
  <c r="CH290" i="6"/>
  <c r="CG290" i="6"/>
  <c r="CE290" i="6"/>
  <c r="AR290" i="6"/>
  <c r="CH289" i="6"/>
  <c r="CG289" i="6"/>
  <c r="CE289" i="6"/>
  <c r="AR289" i="6"/>
  <c r="CH288" i="6"/>
  <c r="CG288" i="6"/>
  <c r="CE288" i="6"/>
  <c r="AR288" i="6"/>
  <c r="CH287" i="6"/>
  <c r="CG287" i="6"/>
  <c r="CE287" i="6"/>
  <c r="AR287" i="6"/>
  <c r="CH286" i="6"/>
  <c r="CG286" i="6"/>
  <c r="CE286" i="6"/>
  <c r="AR286" i="6"/>
  <c r="CH285" i="6"/>
  <c r="CG285" i="6"/>
  <c r="CE285" i="6"/>
  <c r="AR285" i="6"/>
  <c r="CH284" i="6"/>
  <c r="CG284" i="6"/>
  <c r="CE284" i="6"/>
  <c r="AR284" i="6"/>
  <c r="CH283" i="6"/>
  <c r="CG283" i="6"/>
  <c r="CE283" i="6"/>
  <c r="AR283" i="6"/>
  <c r="CH282" i="6"/>
  <c r="CG282" i="6"/>
  <c r="CE282" i="6"/>
  <c r="AR282" i="6"/>
  <c r="CH281" i="6"/>
  <c r="CG281" i="6"/>
  <c r="CE281" i="6"/>
  <c r="CF281" i="6" s="1"/>
  <c r="AR281" i="6"/>
  <c r="CH280" i="6"/>
  <c r="CG280" i="6"/>
  <c r="CE280" i="6"/>
  <c r="AR280" i="6"/>
  <c r="CH279" i="6"/>
  <c r="CG279" i="6"/>
  <c r="CE279" i="6"/>
  <c r="AR279" i="6"/>
  <c r="CH278" i="6"/>
  <c r="CG278" i="6"/>
  <c r="CE278" i="6"/>
  <c r="AR278" i="6"/>
  <c r="CH277" i="6"/>
  <c r="CG277" i="6"/>
  <c r="CE277" i="6"/>
  <c r="AR277" i="6"/>
  <c r="CH276" i="6"/>
  <c r="CG276" i="6"/>
  <c r="CE276" i="6"/>
  <c r="AR276" i="6"/>
  <c r="CH275" i="6"/>
  <c r="CG275" i="6"/>
  <c r="CE275" i="6"/>
  <c r="AR275" i="6"/>
  <c r="CH274" i="6"/>
  <c r="CG274" i="6"/>
  <c r="CE274" i="6"/>
  <c r="AR274" i="6"/>
  <c r="CH273" i="6"/>
  <c r="CG273" i="6"/>
  <c r="CE273" i="6"/>
  <c r="AR273" i="6"/>
  <c r="CH272" i="6"/>
  <c r="CG272" i="6"/>
  <c r="CE272" i="6"/>
  <c r="AR272" i="6"/>
  <c r="CH271" i="6"/>
  <c r="CG271" i="6"/>
  <c r="CE271" i="6"/>
  <c r="AR271" i="6"/>
  <c r="CH270" i="6"/>
  <c r="CG270" i="6"/>
  <c r="CE270" i="6"/>
  <c r="AR270" i="6"/>
  <c r="CH269" i="6"/>
  <c r="CG269" i="6"/>
  <c r="CE269" i="6"/>
  <c r="AR269" i="6"/>
  <c r="CH268" i="6"/>
  <c r="CG268" i="6"/>
  <c r="CE268" i="6"/>
  <c r="AR268" i="6"/>
  <c r="CH267" i="6"/>
  <c r="CG267" i="6"/>
  <c r="CE267" i="6"/>
  <c r="AR267" i="6"/>
  <c r="CH266" i="6"/>
  <c r="CG266" i="6"/>
  <c r="CE266" i="6"/>
  <c r="AR266" i="6"/>
  <c r="CH265" i="6"/>
  <c r="CG265" i="6"/>
  <c r="CE265" i="6"/>
  <c r="CF265" i="6" s="1"/>
  <c r="AR265" i="6"/>
  <c r="CH264" i="6"/>
  <c r="CG264" i="6"/>
  <c r="CE264" i="6"/>
  <c r="AR264" i="6"/>
  <c r="CH263" i="6"/>
  <c r="CG263" i="6"/>
  <c r="CE263" i="6"/>
  <c r="AR263" i="6"/>
  <c r="CH262" i="6"/>
  <c r="CG262" i="6"/>
  <c r="CE262" i="6"/>
  <c r="AR262" i="6"/>
  <c r="CH261" i="6"/>
  <c r="CG261" i="6"/>
  <c r="CE261" i="6"/>
  <c r="CF261" i="6" s="1"/>
  <c r="AR261" i="6"/>
  <c r="CH260" i="6"/>
  <c r="CG260" i="6"/>
  <c r="CE260" i="6"/>
  <c r="AR260" i="6"/>
  <c r="CH259" i="6"/>
  <c r="CG259" i="6"/>
  <c r="CE259" i="6"/>
  <c r="AR259" i="6"/>
  <c r="CH258" i="6"/>
  <c r="CG258" i="6"/>
  <c r="CE258" i="6"/>
  <c r="AR258" i="6"/>
  <c r="CH257" i="6"/>
  <c r="CG257" i="6"/>
  <c r="CE257" i="6"/>
  <c r="CF257" i="6" s="1"/>
  <c r="AR257" i="6"/>
  <c r="CH256" i="6"/>
  <c r="CG256" i="6"/>
  <c r="CE256" i="6"/>
  <c r="AR256" i="6"/>
  <c r="CH255" i="6"/>
  <c r="CG255" i="6"/>
  <c r="CE255" i="6"/>
  <c r="AR255" i="6"/>
  <c r="CH254" i="6"/>
  <c r="CG254" i="6"/>
  <c r="CE254" i="6"/>
  <c r="AR254" i="6"/>
  <c r="CH253" i="6"/>
  <c r="CG253" i="6"/>
  <c r="CE253" i="6"/>
  <c r="CF253" i="6" s="1"/>
  <c r="AR253" i="6"/>
  <c r="CH252" i="6"/>
  <c r="CG252" i="6"/>
  <c r="CE252" i="6"/>
  <c r="CF252" i="6" s="1"/>
  <c r="AR252" i="6"/>
  <c r="CH251" i="6"/>
  <c r="CG251" i="6"/>
  <c r="CE251" i="6"/>
  <c r="AR251" i="6"/>
  <c r="CH250" i="6"/>
  <c r="CG250" i="6"/>
  <c r="CE250" i="6"/>
  <c r="CF250" i="6" s="1"/>
  <c r="AR250" i="6"/>
  <c r="CH249" i="6"/>
  <c r="CG249" i="6"/>
  <c r="CE249" i="6"/>
  <c r="AR249" i="6"/>
  <c r="CH248" i="6"/>
  <c r="CG248" i="6"/>
  <c r="CE248" i="6"/>
  <c r="AR248" i="6"/>
  <c r="CH247" i="6"/>
  <c r="CG247" i="6"/>
  <c r="AT247" i="6"/>
  <c r="CE247" i="6" s="1"/>
  <c r="AR247" i="6"/>
  <c r="CH246" i="6"/>
  <c r="CG246" i="6"/>
  <c r="CE246" i="6"/>
  <c r="AR246" i="6"/>
  <c r="CH245" i="6"/>
  <c r="CG245" i="6"/>
  <c r="CE245" i="6"/>
  <c r="AR245" i="6"/>
  <c r="CH244" i="6"/>
  <c r="CG244" i="6"/>
  <c r="CE244" i="6"/>
  <c r="AR244" i="6"/>
  <c r="CH243" i="6"/>
  <c r="CG243" i="6"/>
  <c r="CE243" i="6"/>
  <c r="AR243" i="6"/>
  <c r="CH242" i="6"/>
  <c r="CG242" i="6"/>
  <c r="CE242" i="6"/>
  <c r="AR242" i="6"/>
  <c r="CH241" i="6"/>
  <c r="CG241" i="6"/>
  <c r="CE241" i="6"/>
  <c r="AR241" i="6"/>
  <c r="CH240" i="6"/>
  <c r="CG240" i="6"/>
  <c r="CE240" i="6"/>
  <c r="AR240" i="6"/>
  <c r="CH239" i="6"/>
  <c r="CG239" i="6"/>
  <c r="CE239" i="6"/>
  <c r="AR239" i="6"/>
  <c r="CH238" i="6"/>
  <c r="CG238" i="6"/>
  <c r="CE238" i="6"/>
  <c r="AR238" i="6"/>
  <c r="CH237" i="6"/>
  <c r="CG237" i="6"/>
  <c r="CE237" i="6"/>
  <c r="AR237" i="6"/>
  <c r="CH236" i="6"/>
  <c r="CG236" i="6"/>
  <c r="CE236" i="6"/>
  <c r="AR236" i="6"/>
  <c r="CH235" i="6"/>
  <c r="CG235" i="6"/>
  <c r="CE235" i="6"/>
  <c r="AR235" i="6"/>
  <c r="CH234" i="6"/>
  <c r="CG234" i="6"/>
  <c r="CE234" i="6"/>
  <c r="CF234" i="6" s="1"/>
  <c r="AR234" i="6"/>
  <c r="CH233" i="6"/>
  <c r="CG233" i="6"/>
  <c r="CE233" i="6"/>
  <c r="AR233" i="6"/>
  <c r="CH232" i="6"/>
  <c r="CG232" i="6"/>
  <c r="CE232" i="6"/>
  <c r="AR232" i="6"/>
  <c r="CH231" i="6"/>
  <c r="CG231" i="6"/>
  <c r="CE231" i="6"/>
  <c r="AR231" i="6"/>
  <c r="CH230" i="6"/>
  <c r="CG230" i="6"/>
  <c r="CE230" i="6"/>
  <c r="CF230" i="6" s="1"/>
  <c r="AR230" i="6"/>
  <c r="CH229" i="6"/>
  <c r="CG229" i="6"/>
  <c r="CE229" i="6"/>
  <c r="CF229" i="6" s="1"/>
  <c r="AR229" i="6"/>
  <c r="CH228" i="6"/>
  <c r="CG228" i="6"/>
  <c r="CE228" i="6"/>
  <c r="AR228" i="6"/>
  <c r="E228" i="6"/>
  <c r="CH227" i="6"/>
  <c r="CG227" i="6"/>
  <c r="CE227" i="6"/>
  <c r="AR227" i="6"/>
  <c r="CH226" i="6"/>
  <c r="CG226" i="6"/>
  <c r="CE226" i="6"/>
  <c r="AR226" i="6"/>
  <c r="CH225" i="6"/>
  <c r="CG225" i="6"/>
  <c r="CE225" i="6"/>
  <c r="AR225" i="6"/>
  <c r="CH224" i="6"/>
  <c r="CG224" i="6"/>
  <c r="CE224" i="6"/>
  <c r="AR224" i="6"/>
  <c r="CH223" i="6"/>
  <c r="CG223" i="6"/>
  <c r="CE223" i="6"/>
  <c r="AR223" i="6"/>
  <c r="CH222" i="6"/>
  <c r="CG222" i="6"/>
  <c r="CE222" i="6"/>
  <c r="AR222" i="6"/>
  <c r="CH221" i="6"/>
  <c r="CG221" i="6"/>
  <c r="AT221" i="6"/>
  <c r="AR221" i="6"/>
  <c r="CH220" i="6"/>
  <c r="CG220" i="6"/>
  <c r="CE220" i="6"/>
  <c r="AR220" i="6"/>
  <c r="CH219" i="6"/>
  <c r="CG219" i="6"/>
  <c r="CE219" i="6"/>
  <c r="AR219" i="6"/>
  <c r="CH218" i="6"/>
  <c r="CG218" i="6"/>
  <c r="CE218" i="6"/>
  <c r="AR218" i="6"/>
  <c r="CH217" i="6"/>
  <c r="CG217" i="6"/>
  <c r="CE217" i="6"/>
  <c r="AR217" i="6"/>
  <c r="CH216" i="6"/>
  <c r="CG216" i="6"/>
  <c r="CE216" i="6"/>
  <c r="AR216" i="6"/>
  <c r="CH215" i="6"/>
  <c r="CG215" i="6"/>
  <c r="CE215" i="6"/>
  <c r="AR215" i="6"/>
  <c r="CH214" i="6"/>
  <c r="CG214" i="6"/>
  <c r="CE214" i="6"/>
  <c r="AR214" i="6"/>
  <c r="CH213" i="6"/>
  <c r="CG213" i="6"/>
  <c r="CE213" i="6"/>
  <c r="AR213" i="6"/>
  <c r="CH212" i="6"/>
  <c r="CG212" i="6"/>
  <c r="CE212" i="6"/>
  <c r="AR212" i="6"/>
  <c r="CH211" i="6"/>
  <c r="CG211" i="6"/>
  <c r="CE211" i="6"/>
  <c r="AR211" i="6"/>
  <c r="CH210" i="6"/>
  <c r="CG210" i="6"/>
  <c r="CE210" i="6"/>
  <c r="AR210" i="6"/>
  <c r="CH209" i="6"/>
  <c r="CG209" i="6"/>
  <c r="CE209" i="6"/>
  <c r="AR209" i="6"/>
  <c r="CH208" i="6"/>
  <c r="CG208" i="6"/>
  <c r="CE208" i="6"/>
  <c r="CF208" i="6" s="1"/>
  <c r="AR208" i="6"/>
  <c r="CH207" i="6"/>
  <c r="CG207" i="6"/>
  <c r="CE207" i="6"/>
  <c r="AR207" i="6"/>
  <c r="CH206" i="6"/>
  <c r="CG206" i="6"/>
  <c r="CE206" i="6"/>
  <c r="AR206" i="6"/>
  <c r="CH205" i="6"/>
  <c r="CG205" i="6"/>
  <c r="CE205" i="6"/>
  <c r="AR205" i="6"/>
  <c r="E205" i="6"/>
  <c r="CH204" i="6"/>
  <c r="CG204" i="6"/>
  <c r="CE204" i="6"/>
  <c r="AR204" i="6"/>
  <c r="CH203" i="6"/>
  <c r="CG203" i="6"/>
  <c r="CE203" i="6"/>
  <c r="AR203" i="6"/>
  <c r="CH202" i="6"/>
  <c r="CG202" i="6"/>
  <c r="CE202" i="6"/>
  <c r="AR202" i="6"/>
  <c r="CH201" i="6"/>
  <c r="CG201" i="6"/>
  <c r="CE201" i="6"/>
  <c r="AR201" i="6"/>
  <c r="CF201" i="6" s="1"/>
  <c r="CH200" i="6"/>
  <c r="CG200" i="6"/>
  <c r="CE200" i="6"/>
  <c r="AR200" i="6"/>
  <c r="CH199" i="6"/>
  <c r="CG199" i="6"/>
  <c r="CE199" i="6"/>
  <c r="AR199" i="6"/>
  <c r="CF199" i="6" s="1"/>
  <c r="CH198" i="6"/>
  <c r="CG198" i="6"/>
  <c r="CE198" i="6"/>
  <c r="AR198" i="6"/>
  <c r="CH197" i="6"/>
  <c r="CG197" i="6"/>
  <c r="CE197" i="6"/>
  <c r="AR197" i="6"/>
  <c r="CH196" i="6"/>
  <c r="CG196" i="6"/>
  <c r="CE196" i="6"/>
  <c r="AR196" i="6"/>
  <c r="CH195" i="6"/>
  <c r="CG195" i="6"/>
  <c r="CE195" i="6"/>
  <c r="AR195" i="6"/>
  <c r="CH194" i="6"/>
  <c r="CG194" i="6"/>
  <c r="CE194" i="6"/>
  <c r="AR194" i="6"/>
  <c r="CH193" i="6"/>
  <c r="CG193" i="6"/>
  <c r="CE193" i="6"/>
  <c r="AR193" i="6"/>
  <c r="CH192" i="6"/>
  <c r="CG192" i="6"/>
  <c r="CE192" i="6"/>
  <c r="AR192" i="6"/>
  <c r="CH191" i="6"/>
  <c r="CG191" i="6"/>
  <c r="CE191" i="6"/>
  <c r="AR191" i="6"/>
  <c r="CF191" i="6" s="1"/>
  <c r="CH190" i="6"/>
  <c r="CG190" i="6"/>
  <c r="CE190" i="6"/>
  <c r="AR190" i="6"/>
  <c r="CH189" i="6"/>
  <c r="CG189" i="6"/>
  <c r="CE189" i="6"/>
  <c r="AR189" i="6"/>
  <c r="CH188" i="6"/>
  <c r="CG188" i="6"/>
  <c r="CE188" i="6"/>
  <c r="AR188" i="6"/>
  <c r="CH187" i="6"/>
  <c r="CG187" i="6"/>
  <c r="CE187" i="6"/>
  <c r="AR187" i="6"/>
  <c r="CH186" i="6"/>
  <c r="CG186" i="6"/>
  <c r="CE186" i="6"/>
  <c r="AR186" i="6"/>
  <c r="CH185" i="6"/>
  <c r="CG185" i="6"/>
  <c r="CE185" i="6"/>
  <c r="AR185" i="6"/>
  <c r="CF185" i="6" s="1"/>
  <c r="CH184" i="6"/>
  <c r="CG184" i="6"/>
  <c r="CE184" i="6"/>
  <c r="AR184" i="6"/>
  <c r="CH183" i="6"/>
  <c r="CG183" i="6"/>
  <c r="CE183" i="6"/>
  <c r="AR183" i="6"/>
  <c r="CF183" i="6" s="1"/>
  <c r="CO182" i="6"/>
  <c r="CN182" i="6"/>
  <c r="CM182" i="6"/>
  <c r="CL182" i="6"/>
  <c r="CK182" i="6"/>
  <c r="CJ182" i="6"/>
  <c r="CI182" i="6"/>
  <c r="CD182" i="6"/>
  <c r="CC182" i="6"/>
  <c r="CB182" i="6"/>
  <c r="CA182" i="6"/>
  <c r="BZ182" i="6"/>
  <c r="BY182" i="6"/>
  <c r="BX182" i="6"/>
  <c r="BW182" i="6"/>
  <c r="BV182" i="6"/>
  <c r="BU182" i="6"/>
  <c r="BT182" i="6"/>
  <c r="BS182" i="6"/>
  <c r="BR182" i="6"/>
  <c r="BQ182" i="6"/>
  <c r="BP182" i="6"/>
  <c r="BN182" i="6"/>
  <c r="BM182" i="6"/>
  <c r="BL182" i="6"/>
  <c r="BK182" i="6"/>
  <c r="BJ182" i="6"/>
  <c r="BH182" i="6"/>
  <c r="BG182" i="6"/>
  <c r="BF182" i="6"/>
  <c r="BD182" i="6"/>
  <c r="BC182" i="6"/>
  <c r="BB182" i="6"/>
  <c r="BA182" i="6"/>
  <c r="AZ182" i="6"/>
  <c r="AY182" i="6"/>
  <c r="AX182" i="6"/>
  <c r="AW182" i="6"/>
  <c r="AV182" i="6"/>
  <c r="AU182" i="6"/>
  <c r="AS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S1211" i="6" s="1"/>
  <c r="R182" i="6"/>
  <c r="R1211" i="6" s="1"/>
  <c r="Q182" i="6"/>
  <c r="Q1211" i="6" s="1"/>
  <c r="P182" i="6"/>
  <c r="P1211" i="6" s="1"/>
  <c r="N182" i="6"/>
  <c r="N1211" i="6" s="1"/>
  <c r="M182" i="6"/>
  <c r="M1211" i="6" s="1"/>
  <c r="L182" i="6"/>
  <c r="L1211" i="6" s="1"/>
  <c r="K182" i="6"/>
  <c r="K1211" i="6" s="1"/>
  <c r="J182" i="6"/>
  <c r="J1211" i="6" s="1"/>
  <c r="I182" i="6"/>
  <c r="I1211" i="6" s="1"/>
  <c r="H182" i="6"/>
  <c r="H1211" i="6" s="1"/>
  <c r="G182" i="6"/>
  <c r="G1211" i="6" s="1"/>
  <c r="CH181" i="6"/>
  <c r="CG181" i="6"/>
  <c r="CF181" i="6"/>
  <c r="CE181" i="6"/>
  <c r="AR181" i="6"/>
  <c r="CH180" i="6"/>
  <c r="CG180" i="6"/>
  <c r="CE180" i="6"/>
  <c r="AR180" i="6"/>
  <c r="CH179" i="6"/>
  <c r="CG179" i="6"/>
  <c r="CE179" i="6"/>
  <c r="CF179" i="6" s="1"/>
  <c r="AR179" i="6"/>
  <c r="CH178" i="6"/>
  <c r="CG178" i="6"/>
  <c r="CE178" i="6"/>
  <c r="AR178" i="6"/>
  <c r="CH177" i="6"/>
  <c r="CG177" i="6"/>
  <c r="CE177" i="6"/>
  <c r="CF177" i="6" s="1"/>
  <c r="AR177" i="6"/>
  <c r="CH176" i="6"/>
  <c r="CG176" i="6"/>
  <c r="CE176" i="6"/>
  <c r="AR176" i="6"/>
  <c r="CH175" i="6"/>
  <c r="CG175" i="6"/>
  <c r="CE175" i="6"/>
  <c r="CF175" i="6" s="1"/>
  <c r="AR175" i="6"/>
  <c r="CH174" i="6"/>
  <c r="CG174" i="6"/>
  <c r="CE174" i="6"/>
  <c r="AR174" i="6"/>
  <c r="CH173" i="6"/>
  <c r="CG173" i="6"/>
  <c r="CF173" i="6"/>
  <c r="CE173" i="6"/>
  <c r="AR173" i="6"/>
  <c r="CH172" i="6"/>
  <c r="CG172" i="6"/>
  <c r="CE172" i="6"/>
  <c r="AR172" i="6"/>
  <c r="CF172" i="6" s="1"/>
  <c r="CH171" i="6"/>
  <c r="CG171" i="6"/>
  <c r="CE171" i="6"/>
  <c r="AR171" i="6"/>
  <c r="CH170" i="6"/>
  <c r="CG170" i="6"/>
  <c r="CE170" i="6"/>
  <c r="AR170" i="6"/>
  <c r="CF170" i="6" s="1"/>
  <c r="CH169" i="6"/>
  <c r="CG169" i="6"/>
  <c r="CE169" i="6"/>
  <c r="AR169" i="6"/>
  <c r="CH168" i="6"/>
  <c r="CG168" i="6"/>
  <c r="CE168" i="6"/>
  <c r="AR168" i="6"/>
  <c r="CF168" i="6" s="1"/>
  <c r="CH167" i="6"/>
  <c r="CG167" i="6"/>
  <c r="CE167" i="6"/>
  <c r="AR167" i="6"/>
  <c r="CH166" i="6"/>
  <c r="CG166" i="6"/>
  <c r="CE166" i="6"/>
  <c r="AR166" i="6"/>
  <c r="CH165" i="6"/>
  <c r="CG165" i="6"/>
  <c r="CE165" i="6"/>
  <c r="AR165" i="6"/>
  <c r="CH164" i="6"/>
  <c r="CG164" i="6"/>
  <c r="CE164" i="6"/>
  <c r="AR164" i="6"/>
  <c r="CH163" i="6"/>
  <c r="CG163" i="6"/>
  <c r="CE163" i="6"/>
  <c r="AR163" i="6"/>
  <c r="CH162" i="6"/>
  <c r="CG162" i="6"/>
  <c r="CE162" i="6"/>
  <c r="AR162" i="6"/>
  <c r="CH161" i="6"/>
  <c r="CG161" i="6"/>
  <c r="CE161" i="6"/>
  <c r="AR161" i="6"/>
  <c r="CF161" i="6" s="1"/>
  <c r="CH160" i="6"/>
  <c r="CG160" i="6"/>
  <c r="CE160" i="6"/>
  <c r="AR160" i="6"/>
  <c r="CF160" i="6" s="1"/>
  <c r="CH159" i="6"/>
  <c r="CG159" i="6"/>
  <c r="CE159" i="6"/>
  <c r="AR159" i="6"/>
  <c r="CH158" i="6"/>
  <c r="CG158" i="6"/>
  <c r="CE158" i="6"/>
  <c r="AR158" i="6"/>
  <c r="CH157" i="6"/>
  <c r="CG157" i="6"/>
  <c r="CE157" i="6"/>
  <c r="AR157" i="6"/>
  <c r="CF157" i="6" s="1"/>
  <c r="CH156" i="6"/>
  <c r="CG156" i="6"/>
  <c r="CE156" i="6"/>
  <c r="AR156" i="6"/>
  <c r="CF156" i="6" s="1"/>
  <c r="E156" i="6"/>
  <c r="E160" i="6" s="1"/>
  <c r="E164" i="6" s="1"/>
  <c r="E166" i="6" s="1"/>
  <c r="CH155" i="6"/>
  <c r="CG155" i="6"/>
  <c r="CE155" i="6"/>
  <c r="CF155" i="6" s="1"/>
  <c r="AR155" i="6"/>
  <c r="CH154" i="6"/>
  <c r="CG154" i="6"/>
  <c r="CE154" i="6"/>
  <c r="AR154" i="6"/>
  <c r="CH153" i="6"/>
  <c r="CG153" i="6"/>
  <c r="CE153" i="6"/>
  <c r="CF153" i="6" s="1"/>
  <c r="AR153" i="6"/>
  <c r="CH152" i="6"/>
  <c r="CG152" i="6"/>
  <c r="CE152" i="6"/>
  <c r="AR152" i="6"/>
  <c r="CH151" i="6"/>
  <c r="CG151" i="6"/>
  <c r="CE151" i="6"/>
  <c r="AR151" i="6"/>
  <c r="CH150" i="6"/>
  <c r="CG150" i="6"/>
  <c r="CE150" i="6"/>
  <c r="AR150" i="6"/>
  <c r="CH149" i="6"/>
  <c r="CG149" i="6"/>
  <c r="CE149" i="6"/>
  <c r="AR149" i="6"/>
  <c r="CH148" i="6"/>
  <c r="CG148" i="6"/>
  <c r="CE148" i="6"/>
  <c r="AR148" i="6"/>
  <c r="CH147" i="6"/>
  <c r="CG147" i="6"/>
  <c r="CE147" i="6"/>
  <c r="AR147" i="6"/>
  <c r="E147" i="6"/>
  <c r="E153" i="6" s="1"/>
  <c r="E157" i="6" s="1"/>
  <c r="E161" i="6" s="1"/>
  <c r="E165" i="6" s="1"/>
  <c r="E175" i="6" s="1"/>
  <c r="E179" i="6" s="1"/>
  <c r="CH146" i="6"/>
  <c r="CG146" i="6"/>
  <c r="CE146" i="6"/>
  <c r="AR146" i="6"/>
  <c r="E146" i="6"/>
  <c r="E152" i="6" s="1"/>
  <c r="E154" i="6" s="1"/>
  <c r="E158" i="6" s="1"/>
  <c r="E162" i="6" s="1"/>
  <c r="E172" i="6" s="1"/>
  <c r="E178" i="6" s="1"/>
  <c r="CH145" i="6"/>
  <c r="CG145" i="6"/>
  <c r="CE145" i="6"/>
  <c r="AR145" i="6"/>
  <c r="CH144" i="6"/>
  <c r="CG144" i="6"/>
  <c r="CE144" i="6"/>
  <c r="AR144" i="6"/>
  <c r="CH143" i="6"/>
  <c r="CG143" i="6"/>
  <c r="CE143" i="6"/>
  <c r="AR143" i="6"/>
  <c r="CH142" i="6"/>
  <c r="CG142" i="6"/>
  <c r="CE142" i="6"/>
  <c r="AR142" i="6"/>
  <c r="E142" i="6"/>
  <c r="E145" i="6" s="1"/>
  <c r="E149" i="6" s="1"/>
  <c r="CH141" i="6"/>
  <c r="CG141" i="6"/>
  <c r="CE141" i="6"/>
  <c r="AR141" i="6"/>
  <c r="E141" i="6"/>
  <c r="E143" i="6" s="1"/>
  <c r="E144" i="6" s="1"/>
  <c r="E148" i="6" s="1"/>
  <c r="E151" i="6" s="1"/>
  <c r="E155" i="6" s="1"/>
  <c r="E159" i="6" s="1"/>
  <c r="E163" i="6" s="1"/>
  <c r="E167" i="6" s="1"/>
  <c r="CH140" i="6"/>
  <c r="CG140" i="6"/>
  <c r="CE140" i="6"/>
  <c r="AR140" i="6"/>
  <c r="CH139" i="6"/>
  <c r="CG139" i="6"/>
  <c r="CE139" i="6"/>
  <c r="AR139" i="6"/>
  <c r="CH138" i="6"/>
  <c r="CG138" i="6"/>
  <c r="CE138" i="6"/>
  <c r="AR138" i="6"/>
  <c r="CH137" i="6"/>
  <c r="CG137" i="6"/>
  <c r="CE137" i="6"/>
  <c r="AR137" i="6"/>
  <c r="CH136" i="6"/>
  <c r="CG136" i="6"/>
  <c r="CE136" i="6"/>
  <c r="AR136" i="6"/>
  <c r="CH135" i="6"/>
  <c r="CG135" i="6"/>
  <c r="CE135" i="6"/>
  <c r="AR135" i="6"/>
  <c r="CH134" i="6"/>
  <c r="CG134" i="6"/>
  <c r="CE134" i="6"/>
  <c r="AR134" i="6"/>
  <c r="CH133" i="6"/>
  <c r="CG133" i="6"/>
  <c r="BI133" i="6"/>
  <c r="CE133" i="6" s="1"/>
  <c r="AR133" i="6"/>
  <c r="CH132" i="6"/>
  <c r="CG132" i="6"/>
  <c r="CE132" i="6"/>
  <c r="AR132" i="6"/>
  <c r="CH131" i="6"/>
  <c r="CG131" i="6"/>
  <c r="CE131" i="6"/>
  <c r="CF131" i="6" s="1"/>
  <c r="BI131" i="6"/>
  <c r="AR131" i="6"/>
  <c r="CH130" i="6"/>
  <c r="CG130" i="6"/>
  <c r="CE130" i="6"/>
  <c r="CF130" i="6" s="1"/>
  <c r="AR130" i="6"/>
  <c r="CH129" i="6"/>
  <c r="CG129" i="6"/>
  <c r="BI129" i="6"/>
  <c r="CE129" i="6" s="1"/>
  <c r="CF129" i="6" s="1"/>
  <c r="AR129" i="6"/>
  <c r="CH128" i="6"/>
  <c r="CG128" i="6"/>
  <c r="CE128" i="6"/>
  <c r="AR128" i="6"/>
  <c r="CH127" i="6"/>
  <c r="CG127" i="6"/>
  <c r="BI127" i="6"/>
  <c r="CE127" i="6" s="1"/>
  <c r="AR127" i="6"/>
  <c r="CH126" i="6"/>
  <c r="CG126" i="6"/>
  <c r="CE126" i="6"/>
  <c r="BI126" i="6"/>
  <c r="AR126" i="6"/>
  <c r="CH125" i="6"/>
  <c r="CG125" i="6"/>
  <c r="BI125" i="6"/>
  <c r="CE125" i="6" s="1"/>
  <c r="AR125" i="6"/>
  <c r="CH124" i="6"/>
  <c r="CG124" i="6"/>
  <c r="CE124" i="6"/>
  <c r="BI124" i="6"/>
  <c r="AR124" i="6"/>
  <c r="CH123" i="6"/>
  <c r="CG123" i="6"/>
  <c r="BI123" i="6"/>
  <c r="CE123" i="6" s="1"/>
  <c r="AR123" i="6"/>
  <c r="CH122" i="6"/>
  <c r="CG122" i="6"/>
  <c r="CE122" i="6"/>
  <c r="BI122" i="6"/>
  <c r="AR122" i="6"/>
  <c r="CH121" i="6"/>
  <c r="CG121" i="6"/>
  <c r="BI121" i="6"/>
  <c r="CE121" i="6" s="1"/>
  <c r="AR121" i="6"/>
  <c r="CH120" i="6"/>
  <c r="CG120" i="6"/>
  <c r="AT120" i="6"/>
  <c r="CE120" i="6" s="1"/>
  <c r="AR120" i="6"/>
  <c r="CH119" i="6"/>
  <c r="CG119" i="6"/>
  <c r="CE119" i="6"/>
  <c r="AR119" i="6"/>
  <c r="CH118" i="6"/>
  <c r="CG118" i="6"/>
  <c r="CE118" i="6"/>
  <c r="AR118" i="6"/>
  <c r="CH117" i="6"/>
  <c r="CG117" i="6"/>
  <c r="CE117" i="6"/>
  <c r="AR117" i="6"/>
  <c r="CH116" i="6"/>
  <c r="CG116" i="6"/>
  <c r="CE116" i="6"/>
  <c r="CF116" i="6" s="1"/>
  <c r="AR116" i="6"/>
  <c r="CH115" i="6"/>
  <c r="CG115" i="6"/>
  <c r="CE115" i="6"/>
  <c r="AR115" i="6"/>
  <c r="CH114" i="6"/>
  <c r="CG114" i="6"/>
  <c r="CE114" i="6"/>
  <c r="AR114" i="6"/>
  <c r="CH113" i="6"/>
  <c r="CG113" i="6"/>
  <c r="CE113" i="6"/>
  <c r="AR113" i="6"/>
  <c r="CH112" i="6"/>
  <c r="CG112" i="6"/>
  <c r="CE112" i="6"/>
  <c r="CF112" i="6" s="1"/>
  <c r="AR112" i="6"/>
  <c r="CH111" i="6"/>
  <c r="CG111" i="6"/>
  <c r="CE111" i="6"/>
  <c r="AR111" i="6"/>
  <c r="CH110" i="6"/>
  <c r="CG110" i="6"/>
  <c r="CE110" i="6"/>
  <c r="CF110" i="6" s="1"/>
  <c r="AR110" i="6"/>
  <c r="CH109" i="6"/>
  <c r="CG109" i="6"/>
  <c r="CE109" i="6"/>
  <c r="CF109" i="6" s="1"/>
  <c r="AR109" i="6"/>
  <c r="CH108" i="6"/>
  <c r="CG108" i="6"/>
  <c r="AT108" i="6"/>
  <c r="CE108" i="6" s="1"/>
  <c r="CF108" i="6" s="1"/>
  <c r="AR108" i="6"/>
  <c r="CH107" i="6"/>
  <c r="CG107" i="6"/>
  <c r="CE107" i="6"/>
  <c r="CF107" i="6" s="1"/>
  <c r="AR107" i="6"/>
  <c r="CH106" i="6"/>
  <c r="CG106" i="6"/>
  <c r="CE106" i="6"/>
  <c r="CF106" i="6" s="1"/>
  <c r="AR106" i="6"/>
  <c r="CH105" i="6"/>
  <c r="CG105" i="6"/>
  <c r="CF105" i="6"/>
  <c r="CE105" i="6"/>
  <c r="AR105" i="6"/>
  <c r="CH104" i="6"/>
  <c r="CG104" i="6"/>
  <c r="CE104" i="6"/>
  <c r="AR104" i="6"/>
  <c r="E104" i="6"/>
  <c r="CH103" i="6"/>
  <c r="CG103" i="6"/>
  <c r="CE103" i="6"/>
  <c r="AR103" i="6"/>
  <c r="E103" i="6"/>
  <c r="E105" i="6" s="1"/>
  <c r="CH102" i="6"/>
  <c r="CG102" i="6"/>
  <c r="CE102" i="6"/>
  <c r="AR102" i="6"/>
  <c r="CH101" i="6"/>
  <c r="CG101" i="6"/>
  <c r="CE101" i="6"/>
  <c r="AR101" i="6"/>
  <c r="CH100" i="6"/>
  <c r="CG100" i="6"/>
  <c r="CE100" i="6"/>
  <c r="AR100" i="6"/>
  <c r="CH99" i="6"/>
  <c r="CG99" i="6"/>
  <c r="AT99" i="6"/>
  <c r="AR99" i="6"/>
  <c r="CH98" i="6"/>
  <c r="CG98" i="6"/>
  <c r="CE98" i="6"/>
  <c r="CF98" i="6" s="1"/>
  <c r="AR98" i="6"/>
  <c r="CH97" i="6"/>
  <c r="CG97" i="6"/>
  <c r="CE97" i="6"/>
  <c r="AR97" i="6"/>
  <c r="CH96" i="6"/>
  <c r="CG96" i="6"/>
  <c r="CE96" i="6"/>
  <c r="AR96" i="6"/>
  <c r="CH95" i="6"/>
  <c r="CG95" i="6"/>
  <c r="CE95" i="6"/>
  <c r="AR95" i="6"/>
  <c r="CH94" i="6"/>
  <c r="CG94" i="6"/>
  <c r="CE94" i="6"/>
  <c r="AR94" i="6"/>
  <c r="CH93" i="6"/>
  <c r="CG93" i="6"/>
  <c r="CE93" i="6"/>
  <c r="AR93" i="6"/>
  <c r="CH92" i="6"/>
  <c r="CG92" i="6"/>
  <c r="CE92" i="6"/>
  <c r="AR92" i="6"/>
  <c r="CH91" i="6"/>
  <c r="CG91" i="6"/>
  <c r="CE91" i="6"/>
  <c r="AR91" i="6"/>
  <c r="CH90" i="6"/>
  <c r="CG90" i="6"/>
  <c r="CE90" i="6"/>
  <c r="CF90" i="6" s="1"/>
  <c r="AR90" i="6"/>
  <c r="CH89" i="6"/>
  <c r="CG89" i="6"/>
  <c r="CE89" i="6"/>
  <c r="AR89" i="6"/>
  <c r="CH88" i="6"/>
  <c r="CG88" i="6"/>
  <c r="CE88" i="6"/>
  <c r="AR88" i="6"/>
  <c r="CH87" i="6"/>
  <c r="CG87" i="6"/>
  <c r="CE87" i="6"/>
  <c r="AR87" i="6"/>
  <c r="CH86" i="6"/>
  <c r="CG86" i="6"/>
  <c r="CE86" i="6"/>
  <c r="AR86" i="6"/>
  <c r="CH85" i="6"/>
  <c r="CG85" i="6"/>
  <c r="CE85" i="6"/>
  <c r="AR85" i="6"/>
  <c r="CH84" i="6"/>
  <c r="CG84" i="6"/>
  <c r="CE84" i="6"/>
  <c r="AR84" i="6"/>
  <c r="CH83" i="6"/>
  <c r="CG83" i="6"/>
  <c r="CE83" i="6"/>
  <c r="AR83" i="6"/>
  <c r="CH82" i="6"/>
  <c r="CG82" i="6"/>
  <c r="CE82" i="6"/>
  <c r="AR82" i="6"/>
  <c r="CH81" i="6"/>
  <c r="CG81" i="6"/>
  <c r="CE81" i="6"/>
  <c r="CF81" i="6" s="1"/>
  <c r="AR81" i="6"/>
  <c r="CH80" i="6"/>
  <c r="CG80" i="6"/>
  <c r="CE80" i="6"/>
  <c r="AR80" i="6"/>
  <c r="CH79" i="6"/>
  <c r="CG79" i="6"/>
  <c r="CE79" i="6"/>
  <c r="AR79" i="6"/>
  <c r="CH78" i="6"/>
  <c r="CG78" i="6"/>
  <c r="CE78" i="6"/>
  <c r="CF78" i="6" s="1"/>
  <c r="AR78" i="6"/>
  <c r="CH77" i="6"/>
  <c r="CG77" i="6"/>
  <c r="CF77" i="6"/>
  <c r="CE77" i="6"/>
  <c r="AR77" i="6"/>
  <c r="CH76" i="6"/>
  <c r="CG76" i="6"/>
  <c r="CE76" i="6"/>
  <c r="AR76" i="6"/>
  <c r="CH75" i="6"/>
  <c r="CG75" i="6"/>
  <c r="CE75" i="6"/>
  <c r="AR75" i="6"/>
  <c r="CH74" i="6"/>
  <c r="CG74" i="6"/>
  <c r="CE74" i="6"/>
  <c r="AR74" i="6"/>
  <c r="CH73" i="6"/>
  <c r="CG73" i="6"/>
  <c r="CE73" i="6"/>
  <c r="AR73" i="6"/>
  <c r="CF73" i="6" s="1"/>
  <c r="CH72" i="6"/>
  <c r="CG72" i="6"/>
  <c r="CE72" i="6"/>
  <c r="AR72" i="6"/>
  <c r="CH71" i="6"/>
  <c r="CG71" i="6"/>
  <c r="CE71" i="6"/>
  <c r="AR71" i="6"/>
  <c r="CH70" i="6"/>
  <c r="CG70" i="6"/>
  <c r="CE70" i="6"/>
  <c r="AR70" i="6"/>
  <c r="CH69" i="6"/>
  <c r="CG69" i="6"/>
  <c r="CE69" i="6"/>
  <c r="AR69" i="6"/>
  <c r="CH68" i="6"/>
  <c r="CG68" i="6"/>
  <c r="CE68" i="6"/>
  <c r="AR68" i="6"/>
  <c r="CH67" i="6"/>
  <c r="CG67" i="6"/>
  <c r="CE67" i="6"/>
  <c r="AR67" i="6"/>
  <c r="CH66" i="6"/>
  <c r="CG66" i="6"/>
  <c r="CE66" i="6"/>
  <c r="AR66" i="6"/>
  <c r="CH65" i="6"/>
  <c r="CG65" i="6"/>
  <c r="CE65" i="6"/>
  <c r="AR65" i="6"/>
  <c r="CH64" i="6"/>
  <c r="CG64" i="6"/>
  <c r="CE64" i="6"/>
  <c r="AR64" i="6"/>
  <c r="CH63" i="6"/>
  <c r="CG63" i="6"/>
  <c r="CE63" i="6"/>
  <c r="AR63" i="6"/>
  <c r="CH62" i="6"/>
  <c r="CG62" i="6"/>
  <c r="CE62" i="6"/>
  <c r="AR62" i="6"/>
  <c r="CH61" i="6"/>
  <c r="CG61" i="6"/>
  <c r="CE61" i="6"/>
  <c r="AR61" i="6"/>
  <c r="CH60" i="6"/>
  <c r="CG60" i="6"/>
  <c r="AT60" i="6"/>
  <c r="AR60" i="6"/>
  <c r="CH59" i="6"/>
  <c r="CG59" i="6"/>
  <c r="CE59" i="6"/>
  <c r="AR59" i="6"/>
  <c r="CH58" i="6"/>
  <c r="CG58" i="6"/>
  <c r="CE58" i="6"/>
  <c r="AR58" i="6"/>
  <c r="CF58" i="6" s="1"/>
  <c r="CH57" i="6"/>
  <c r="CG57" i="6"/>
  <c r="CE57" i="6"/>
  <c r="AR57" i="6"/>
  <c r="CH56" i="6"/>
  <c r="CG56" i="6"/>
  <c r="CE56" i="6"/>
  <c r="AR56" i="6"/>
  <c r="CH55" i="6"/>
  <c r="CG55" i="6"/>
  <c r="CE55" i="6"/>
  <c r="AR55" i="6"/>
  <c r="CH54" i="6"/>
  <c r="CG54" i="6"/>
  <c r="CE54" i="6"/>
  <c r="AR54" i="6"/>
  <c r="CH53" i="6"/>
  <c r="CG53" i="6"/>
  <c r="CE53" i="6"/>
  <c r="AR53" i="6"/>
  <c r="E53" i="6"/>
  <c r="CH52" i="6"/>
  <c r="CG52" i="6"/>
  <c r="CE52" i="6"/>
  <c r="AR52" i="6"/>
  <c r="CF52" i="6" s="1"/>
  <c r="CH51" i="6"/>
  <c r="CG51" i="6"/>
  <c r="CE51" i="6"/>
  <c r="AR51" i="6"/>
  <c r="CH50" i="6"/>
  <c r="CG50" i="6"/>
  <c r="CE50" i="6"/>
  <c r="AR50" i="6"/>
  <c r="CH49" i="6"/>
  <c r="CG49" i="6"/>
  <c r="CE49" i="6"/>
  <c r="AR49" i="6"/>
  <c r="CH48" i="6"/>
  <c r="CG48" i="6"/>
  <c r="CE48" i="6"/>
  <c r="CF48" i="6" s="1"/>
  <c r="AR48" i="6"/>
  <c r="CH47" i="6"/>
  <c r="CG47" i="6"/>
  <c r="CE47" i="6"/>
  <c r="CF47" i="6" s="1"/>
  <c r="AR47" i="6"/>
  <c r="CH46" i="6"/>
  <c r="CG46" i="6"/>
  <c r="CE46" i="6"/>
  <c r="AR46" i="6"/>
  <c r="CL45" i="6"/>
  <c r="CK45" i="6"/>
  <c r="CK1211" i="6" s="1"/>
  <c r="CJ45" i="6"/>
  <c r="CJ1211" i="6" s="1"/>
  <c r="CI45" i="6"/>
  <c r="CI1211" i="6" s="1"/>
  <c r="CD45" i="6"/>
  <c r="CD1211" i="6" s="1"/>
  <c r="CC45" i="6"/>
  <c r="CC1211" i="6" s="1"/>
  <c r="CB45" i="6"/>
  <c r="CB1211" i="6" s="1"/>
  <c r="CA45" i="6"/>
  <c r="CA1211" i="6" s="1"/>
  <c r="BZ45" i="6"/>
  <c r="BZ1211" i="6" s="1"/>
  <c r="BY45" i="6"/>
  <c r="BY1211" i="6" s="1"/>
  <c r="BX45" i="6"/>
  <c r="BX1211" i="6" s="1"/>
  <c r="BW45" i="6"/>
  <c r="BW1211" i="6" s="1"/>
  <c r="BV45" i="6"/>
  <c r="BV1211" i="6" s="1"/>
  <c r="BU45" i="6"/>
  <c r="BU1211" i="6" s="1"/>
  <c r="BT45" i="6"/>
  <c r="BT1211" i="6" s="1"/>
  <c r="BS45" i="6"/>
  <c r="BS1211" i="6" s="1"/>
  <c r="BR45" i="6"/>
  <c r="BR1211" i="6" s="1"/>
  <c r="BQ45" i="6"/>
  <c r="BQ1211" i="6" s="1"/>
  <c r="BP45" i="6"/>
  <c r="BP1211" i="6" s="1"/>
  <c r="BN45" i="6"/>
  <c r="BN1211" i="6" s="1"/>
  <c r="BM45" i="6"/>
  <c r="BM1211" i="6" s="1"/>
  <c r="BL45" i="6"/>
  <c r="BL1211" i="6" s="1"/>
  <c r="BK45" i="6"/>
  <c r="BK1211" i="6" s="1"/>
  <c r="BJ45" i="6"/>
  <c r="BJ1211" i="6" s="1"/>
  <c r="BI45" i="6"/>
  <c r="BH45" i="6"/>
  <c r="BG45" i="6"/>
  <c r="BG1211" i="6" s="1"/>
  <c r="BF45" i="6"/>
  <c r="BF1211" i="6" s="1"/>
  <c r="BD45" i="6"/>
  <c r="BD1211" i="6" s="1"/>
  <c r="BC45" i="6"/>
  <c r="BB45" i="6"/>
  <c r="BB1211" i="6" s="1"/>
  <c r="BA45" i="6"/>
  <c r="BA1211" i="6" s="1"/>
  <c r="AZ45" i="6"/>
  <c r="AZ1211" i="6" s="1"/>
  <c r="AY45" i="6"/>
  <c r="AX45" i="6"/>
  <c r="AX1211" i="6" s="1"/>
  <c r="AW45" i="6"/>
  <c r="AV45" i="6"/>
  <c r="AU45" i="6"/>
  <c r="AT45" i="6"/>
  <c r="AS45" i="6"/>
  <c r="AS1211" i="6" s="1"/>
  <c r="AQ45" i="6"/>
  <c r="AQ1211" i="6" s="1"/>
  <c r="AP45" i="6"/>
  <c r="AP1211" i="6" s="1"/>
  <c r="AO45" i="6"/>
  <c r="AN45" i="6"/>
  <c r="AN1211" i="6" s="1"/>
  <c r="AM45" i="6"/>
  <c r="AM1211" i="6" s="1"/>
  <c r="AL45" i="6"/>
  <c r="AL1211" i="6" s="1"/>
  <c r="AK45" i="6"/>
  <c r="AJ45" i="6"/>
  <c r="AJ1211" i="6" s="1"/>
  <c r="AI45" i="6"/>
  <c r="AI1211" i="6" s="1"/>
  <c r="AH45" i="6"/>
  <c r="AH1211" i="6" s="1"/>
  <c r="AG45" i="6"/>
  <c r="AF45" i="6"/>
  <c r="AF1211" i="6" s="1"/>
  <c r="AE45" i="6"/>
  <c r="AE1211" i="6" s="1"/>
  <c r="AD45" i="6"/>
  <c r="AD1211" i="6" s="1"/>
  <c r="AC45" i="6"/>
  <c r="AB45" i="6"/>
  <c r="AB1211" i="6" s="1"/>
  <c r="AA45" i="6"/>
  <c r="AA1211" i="6" s="1"/>
  <c r="Z45" i="6"/>
  <c r="Z1211" i="6" s="1"/>
  <c r="Y45" i="6"/>
  <c r="X45" i="6"/>
  <c r="X1211" i="6" s="1"/>
  <c r="W45" i="6"/>
  <c r="W1211" i="6" s="1"/>
  <c r="V45" i="6"/>
  <c r="V1211" i="6" s="1"/>
  <c r="U45" i="6"/>
  <c r="T45" i="6"/>
  <c r="T1211" i="6" s="1"/>
  <c r="CH44" i="6"/>
  <c r="CG44" i="6"/>
  <c r="CE44" i="6"/>
  <c r="AR44" i="6"/>
  <c r="CH43" i="6"/>
  <c r="CG43" i="6"/>
  <c r="CE43" i="6"/>
  <c r="CF43" i="6" s="1"/>
  <c r="AR43" i="6"/>
  <c r="CH42" i="6"/>
  <c r="CG42" i="6"/>
  <c r="CE42" i="6"/>
  <c r="AR42" i="6"/>
  <c r="CH41" i="6"/>
  <c r="CG41" i="6"/>
  <c r="CE41" i="6"/>
  <c r="AR41" i="6"/>
  <c r="CH40" i="6"/>
  <c r="CG40" i="6"/>
  <c r="CE40" i="6"/>
  <c r="CF40" i="6" s="1"/>
  <c r="AR40" i="6"/>
  <c r="CH39" i="6"/>
  <c r="CG39" i="6"/>
  <c r="CE39" i="6"/>
  <c r="CF39" i="6" s="1"/>
  <c r="AR39" i="6"/>
  <c r="CH38" i="6"/>
  <c r="CG38" i="6"/>
  <c r="CE38" i="6"/>
  <c r="AR38" i="6"/>
  <c r="CH37" i="6"/>
  <c r="CG37" i="6"/>
  <c r="CE37" i="6"/>
  <c r="AR37" i="6"/>
  <c r="CH36" i="6"/>
  <c r="CG36" i="6"/>
  <c r="CE36" i="6"/>
  <c r="CF36" i="6" s="1"/>
  <c r="AR36" i="6"/>
  <c r="CH35" i="6"/>
  <c r="CG35" i="6"/>
  <c r="CF35" i="6"/>
  <c r="CE35" i="6"/>
  <c r="AR35" i="6"/>
  <c r="CH34" i="6"/>
  <c r="CG34" i="6"/>
  <c r="CE34" i="6"/>
  <c r="CF34" i="6" s="1"/>
  <c r="AR34" i="6"/>
  <c r="CH33" i="6"/>
  <c r="CG33" i="6"/>
  <c r="CE33" i="6"/>
  <c r="CF33" i="6" s="1"/>
  <c r="AR33" i="6"/>
  <c r="CH32" i="6"/>
  <c r="CG32" i="6"/>
  <c r="CF32" i="6"/>
  <c r="CE32" i="6"/>
  <c r="AR32" i="6"/>
  <c r="CH31" i="6"/>
  <c r="CG31" i="6"/>
  <c r="CE31" i="6"/>
  <c r="AR31" i="6"/>
  <c r="CH30" i="6"/>
  <c r="CG30" i="6"/>
  <c r="CE30" i="6"/>
  <c r="AR30" i="6"/>
  <c r="CH29" i="6"/>
  <c r="CG29" i="6"/>
  <c r="CE29" i="6"/>
  <c r="AR29" i="6"/>
  <c r="CH28" i="6"/>
  <c r="CG28" i="6"/>
  <c r="CE28" i="6"/>
  <c r="AR28" i="6"/>
  <c r="CH27" i="6"/>
  <c r="CG27" i="6"/>
  <c r="CE27" i="6"/>
  <c r="CF27" i="6" s="1"/>
  <c r="AR27" i="6"/>
  <c r="CH26" i="6"/>
  <c r="CG26" i="6"/>
  <c r="CE26" i="6"/>
  <c r="AR26" i="6"/>
  <c r="CH3" i="6"/>
  <c r="CG3" i="6"/>
  <c r="CI1167" i="7"/>
  <c r="CH1167" i="7"/>
  <c r="CC1167" i="7"/>
  <c r="CB1167" i="7"/>
  <c r="CA1167" i="7"/>
  <c r="BZ1167" i="7"/>
  <c r="BY1167" i="7"/>
  <c r="BX1167" i="7"/>
  <c r="BW1167" i="7"/>
  <c r="BV1167" i="7"/>
  <c r="BU1167" i="7"/>
  <c r="BT1167" i="7"/>
  <c r="BS1167" i="7"/>
  <c r="BR1167" i="7"/>
  <c r="BQ1167" i="7"/>
  <c r="BP1167" i="7"/>
  <c r="BO1167" i="7"/>
  <c r="BN1167" i="7"/>
  <c r="BM1167" i="7"/>
  <c r="BL1167" i="7"/>
  <c r="BK1167" i="7"/>
  <c r="BJ1167" i="7"/>
  <c r="BI1167" i="7"/>
  <c r="BH1167" i="7"/>
  <c r="BG1167" i="7"/>
  <c r="BF1167" i="7"/>
  <c r="BE1167" i="7"/>
  <c r="BD1167" i="7"/>
  <c r="BC1167" i="7"/>
  <c r="BB1167" i="7"/>
  <c r="BA1167" i="7"/>
  <c r="AZ1167" i="7"/>
  <c r="AY1167" i="7"/>
  <c r="AX1167" i="7"/>
  <c r="AW1167" i="7"/>
  <c r="AV1167" i="7"/>
  <c r="AU1167" i="7"/>
  <c r="AT1167" i="7"/>
  <c r="AS1167" i="7"/>
  <c r="AQ1167" i="7"/>
  <c r="AP1167" i="7"/>
  <c r="AO1167" i="7"/>
  <c r="AN1167" i="7"/>
  <c r="AM1167" i="7"/>
  <c r="AL1167" i="7"/>
  <c r="AK1167" i="7"/>
  <c r="AJ1167" i="7"/>
  <c r="AI1167" i="7"/>
  <c r="AH1167" i="7"/>
  <c r="AF1167" i="7"/>
  <c r="AE1167" i="7"/>
  <c r="AD1167" i="7"/>
  <c r="AC1167" i="7"/>
  <c r="AB1167" i="7"/>
  <c r="AA1167" i="7"/>
  <c r="Z1167" i="7"/>
  <c r="Y1167" i="7"/>
  <c r="X1167" i="7"/>
  <c r="W1167" i="7"/>
  <c r="V1167" i="7"/>
  <c r="U1167" i="7"/>
  <c r="T1167" i="7"/>
  <c r="S1167" i="7"/>
  <c r="R1167" i="7"/>
  <c r="Q1167" i="7"/>
  <c r="P1167" i="7"/>
  <c r="O1167" i="7"/>
  <c r="N1167" i="7"/>
  <c r="M1167" i="7"/>
  <c r="L1167" i="7"/>
  <c r="K1167" i="7"/>
  <c r="J1167" i="7"/>
  <c r="I1167" i="7"/>
  <c r="H1167" i="7"/>
  <c r="CF1166" i="7"/>
  <c r="CG1165" i="7"/>
  <c r="CF1165" i="7"/>
  <c r="CD1165" i="7"/>
  <c r="AR1165" i="7"/>
  <c r="CG1164" i="7"/>
  <c r="CF1164" i="7"/>
  <c r="CD1164" i="7"/>
  <c r="AR1164" i="7"/>
  <c r="CG1163" i="7"/>
  <c r="CF1163" i="7"/>
  <c r="CD1163" i="7"/>
  <c r="CE1163" i="7" s="1"/>
  <c r="AR1163" i="7"/>
  <c r="CG1162" i="7"/>
  <c r="CF1162" i="7"/>
  <c r="CD1162" i="7"/>
  <c r="AR1162" i="7"/>
  <c r="CG1161" i="7"/>
  <c r="CF1161" i="7"/>
  <c r="CD1161" i="7"/>
  <c r="CE1161" i="7" s="1"/>
  <c r="AR1161" i="7"/>
  <c r="CG1160" i="7"/>
  <c r="CF1160" i="7"/>
  <c r="CD1160" i="7"/>
  <c r="AR1160" i="7"/>
  <c r="CG1159" i="7"/>
  <c r="CF1159" i="7"/>
  <c r="CD1159" i="7"/>
  <c r="AR1159" i="7"/>
  <c r="CG1158" i="7"/>
  <c r="CF1158" i="7"/>
  <c r="CD1158" i="7"/>
  <c r="AR1158" i="7"/>
  <c r="CG1157" i="7"/>
  <c r="CF1157" i="7"/>
  <c r="CD1157" i="7"/>
  <c r="AR1157" i="7"/>
  <c r="CG1156" i="7"/>
  <c r="CF1156" i="7"/>
  <c r="CD1156" i="7"/>
  <c r="AR1156" i="7"/>
  <c r="CG1155" i="7"/>
  <c r="CF1155" i="7"/>
  <c r="CD1155" i="7"/>
  <c r="AR1155" i="7"/>
  <c r="CG1154" i="7"/>
  <c r="CF1154" i="7"/>
  <c r="CD1154" i="7"/>
  <c r="AR1154" i="7"/>
  <c r="CG1153" i="7"/>
  <c r="CF1153" i="7"/>
  <c r="CD1153" i="7"/>
  <c r="AZ1153" i="7"/>
  <c r="AR1153" i="7"/>
  <c r="AG1153" i="7"/>
  <c r="AG1167" i="7" s="1"/>
  <c r="CG1152" i="7"/>
  <c r="CF1152" i="7"/>
  <c r="CD1152" i="7"/>
  <c r="AR1152" i="7"/>
  <c r="CG1151" i="7"/>
  <c r="CF1151" i="7"/>
  <c r="CD1151" i="7"/>
  <c r="AR1151" i="7"/>
  <c r="CG1150" i="7"/>
  <c r="CF1150" i="7"/>
  <c r="CD1150" i="7"/>
  <c r="AR1150" i="7"/>
  <c r="CG1149" i="7"/>
  <c r="CF1149" i="7"/>
  <c r="CD1149" i="7"/>
  <c r="AR1149" i="7"/>
  <c r="CH1148" i="7"/>
  <c r="CC1148" i="7"/>
  <c r="CB1148" i="7"/>
  <c r="CA1148" i="7"/>
  <c r="BY1148" i="7"/>
  <c r="BX1148" i="7"/>
  <c r="BW1148" i="7"/>
  <c r="BV1148" i="7"/>
  <c r="BU1148" i="7"/>
  <c r="BT1148" i="7"/>
  <c r="BS1148" i="7"/>
  <c r="BR1148" i="7"/>
  <c r="BQ1148" i="7"/>
  <c r="BP1148" i="7"/>
  <c r="BO1148" i="7"/>
  <c r="BN1148" i="7"/>
  <c r="BM1148" i="7"/>
  <c r="BL1148" i="7"/>
  <c r="BK1148" i="7"/>
  <c r="BJ1148" i="7"/>
  <c r="BI1148" i="7"/>
  <c r="BH1148" i="7"/>
  <c r="BG1148" i="7"/>
  <c r="BF1148" i="7"/>
  <c r="BE1148" i="7"/>
  <c r="BD1148" i="7"/>
  <c r="BC1148" i="7"/>
  <c r="BB1148" i="7"/>
  <c r="BA1148" i="7"/>
  <c r="AZ1148" i="7"/>
  <c r="AY1148" i="7"/>
  <c r="AX1148" i="7"/>
  <c r="AW1148" i="7"/>
  <c r="AV1148" i="7"/>
  <c r="AU1148" i="7"/>
  <c r="AT1148" i="7"/>
  <c r="AS1148" i="7"/>
  <c r="AQ1148" i="7"/>
  <c r="AP1148" i="7"/>
  <c r="AO1148" i="7"/>
  <c r="AM1148" i="7"/>
  <c r="AL1148" i="7"/>
  <c r="AK1148" i="7"/>
  <c r="AJ1148" i="7"/>
  <c r="AI1148" i="7"/>
  <c r="AH1148" i="7"/>
  <c r="AG1148" i="7"/>
  <c r="AF1148" i="7"/>
  <c r="AE1148" i="7"/>
  <c r="AD1148" i="7"/>
  <c r="AC1148" i="7"/>
  <c r="AB1148" i="7"/>
  <c r="AA1148" i="7"/>
  <c r="Z1148" i="7"/>
  <c r="Y1148" i="7"/>
  <c r="X1148" i="7"/>
  <c r="W1148" i="7"/>
  <c r="V1148" i="7"/>
  <c r="U1148" i="7"/>
  <c r="T1148" i="7"/>
  <c r="S1148" i="7"/>
  <c r="R1148" i="7"/>
  <c r="Q1148" i="7"/>
  <c r="P1148" i="7"/>
  <c r="O1148" i="7"/>
  <c r="N1148" i="7"/>
  <c r="M1148" i="7"/>
  <c r="L1148" i="7"/>
  <c r="K1148" i="7"/>
  <c r="J1148" i="7"/>
  <c r="I1148" i="7"/>
  <c r="H1148" i="7"/>
  <c r="G1148" i="7"/>
  <c r="CG1147" i="7"/>
  <c r="CF1147" i="7"/>
  <c r="CD1147" i="7"/>
  <c r="AR1147" i="7"/>
  <c r="CG1146" i="7"/>
  <c r="CF1146" i="7"/>
  <c r="CD1146" i="7"/>
  <c r="AR1146" i="7"/>
  <c r="CG1145" i="7"/>
  <c r="CF1145" i="7"/>
  <c r="CD1145" i="7"/>
  <c r="AR1145" i="7"/>
  <c r="CG1144" i="7"/>
  <c r="CF1144" i="7"/>
  <c r="CD1144" i="7"/>
  <c r="AR1144" i="7"/>
  <c r="CG1143" i="7"/>
  <c r="CF1143" i="7"/>
  <c r="CD1143" i="7"/>
  <c r="AR1143" i="7"/>
  <c r="CG1142" i="7"/>
  <c r="CF1142" i="7"/>
  <c r="CD1142" i="7"/>
  <c r="AR1142" i="7"/>
  <c r="CG1141" i="7"/>
  <c r="CF1141" i="7"/>
  <c r="CD1141" i="7"/>
  <c r="AR1141" i="7"/>
  <c r="CG1140" i="7"/>
  <c r="CF1140" i="7"/>
  <c r="CD1140" i="7"/>
  <c r="CE1140" i="7" s="1"/>
  <c r="AR1140" i="7"/>
  <c r="CG1139" i="7"/>
  <c r="CF1139" i="7"/>
  <c r="CD1139" i="7"/>
  <c r="AR1139" i="7"/>
  <c r="CG1138" i="7"/>
  <c r="CF1138" i="7"/>
  <c r="CD1138" i="7"/>
  <c r="AR1138" i="7"/>
  <c r="CG1137" i="7"/>
  <c r="CF1137" i="7"/>
  <c r="CD1137" i="7"/>
  <c r="AR1137" i="7"/>
  <c r="CG1136" i="7"/>
  <c r="CF1136" i="7"/>
  <c r="CD1136" i="7"/>
  <c r="AR1136" i="7"/>
  <c r="CG1135" i="7"/>
  <c r="CF1135" i="7"/>
  <c r="CD1135" i="7"/>
  <c r="AR1135" i="7"/>
  <c r="CG1134" i="7"/>
  <c r="CF1134" i="7"/>
  <c r="CD1134" i="7"/>
  <c r="AR1134" i="7"/>
  <c r="CG1133" i="7"/>
  <c r="CF1133" i="7"/>
  <c r="CD1133" i="7"/>
  <c r="AR1133" i="7"/>
  <c r="CG1132" i="7"/>
  <c r="CF1132" i="7"/>
  <c r="CD1132" i="7"/>
  <c r="AR1132" i="7"/>
  <c r="CG1131" i="7"/>
  <c r="CF1131" i="7"/>
  <c r="CD1131" i="7"/>
  <c r="AR1131" i="7"/>
  <c r="CG1130" i="7"/>
  <c r="CF1130" i="7"/>
  <c r="CD1130" i="7"/>
  <c r="AR1130" i="7"/>
  <c r="CG1129" i="7"/>
  <c r="CF1129" i="7"/>
  <c r="CD1129" i="7"/>
  <c r="AR1129" i="7"/>
  <c r="CG1128" i="7"/>
  <c r="CF1128" i="7"/>
  <c r="CD1128" i="7"/>
  <c r="AR1128" i="7"/>
  <c r="CG1127" i="7"/>
  <c r="CF1127" i="7"/>
  <c r="CD1127" i="7"/>
  <c r="CE1127" i="7" s="1"/>
  <c r="AR1127" i="7"/>
  <c r="CG1126" i="7"/>
  <c r="CF1126" i="7"/>
  <c r="CD1126" i="7"/>
  <c r="AR1126" i="7"/>
  <c r="CG1125" i="7"/>
  <c r="CF1125" i="7"/>
  <c r="CD1125" i="7"/>
  <c r="AR1125" i="7"/>
  <c r="CG1124" i="7"/>
  <c r="CF1124" i="7"/>
  <c r="CD1124" i="7"/>
  <c r="AR1124" i="7"/>
  <c r="CG1123" i="7"/>
  <c r="CF1123" i="7"/>
  <c r="CD1123" i="7"/>
  <c r="AR1123" i="7"/>
  <c r="CG1122" i="7"/>
  <c r="CF1122" i="7"/>
  <c r="CD1122" i="7"/>
  <c r="AR1122" i="7"/>
  <c r="CG1121" i="7"/>
  <c r="CF1121" i="7"/>
  <c r="CD1121" i="7"/>
  <c r="AR1121" i="7"/>
  <c r="CG1120" i="7"/>
  <c r="CF1120" i="7"/>
  <c r="CD1120" i="7"/>
  <c r="AR1120" i="7"/>
  <c r="CG1119" i="7"/>
  <c r="CF1119" i="7"/>
  <c r="CD1119" i="7"/>
  <c r="AR1119" i="7"/>
  <c r="CG1118" i="7"/>
  <c r="CF1118" i="7"/>
  <c r="CD1118" i="7"/>
  <c r="AR1118" i="7"/>
  <c r="CG1117" i="7"/>
  <c r="CF1117" i="7"/>
  <c r="CD1117" i="7"/>
  <c r="AR1117" i="7"/>
  <c r="CG1116" i="7"/>
  <c r="CF1116" i="7"/>
  <c r="CD1116" i="7"/>
  <c r="AR1116" i="7"/>
  <c r="CG1115" i="7"/>
  <c r="CF1115" i="7"/>
  <c r="CD1115" i="7"/>
  <c r="CE1115" i="7" s="1"/>
  <c r="AR1115" i="7"/>
  <c r="CG1114" i="7"/>
  <c r="CF1114" i="7"/>
  <c r="CE1114" i="7"/>
  <c r="CD1114" i="7"/>
  <c r="AR1114" i="7"/>
  <c r="CG1113" i="7"/>
  <c r="CF1113" i="7"/>
  <c r="CD1113" i="7"/>
  <c r="AR1113" i="7"/>
  <c r="CG1112" i="7"/>
  <c r="CF1112" i="7"/>
  <c r="CD1112" i="7"/>
  <c r="AR1112" i="7"/>
  <c r="CG1111" i="7"/>
  <c r="CF1111" i="7"/>
  <c r="CD1111" i="7"/>
  <c r="CE1111" i="7" s="1"/>
  <c r="AR1111" i="7"/>
  <c r="CG1110" i="7"/>
  <c r="CF1110" i="7"/>
  <c r="CD1110" i="7"/>
  <c r="AR1110" i="7"/>
  <c r="CG1109" i="7"/>
  <c r="CF1109" i="7"/>
  <c r="CD1109" i="7"/>
  <c r="AR1109" i="7"/>
  <c r="CG1108" i="7"/>
  <c r="CF1108" i="7"/>
  <c r="CD1108" i="7"/>
  <c r="AR1108" i="7"/>
  <c r="CG1107" i="7"/>
  <c r="CF1107" i="7"/>
  <c r="CD1107" i="7"/>
  <c r="AR1107" i="7"/>
  <c r="CK1106" i="7"/>
  <c r="CJ1106" i="7"/>
  <c r="CI1106" i="7"/>
  <c r="CH1106" i="7"/>
  <c r="CC1106" i="7"/>
  <c r="CB1106" i="7"/>
  <c r="CA1106" i="7"/>
  <c r="BY1106" i="7"/>
  <c r="BX1106" i="7"/>
  <c r="BW1106" i="7"/>
  <c r="BV1106" i="7"/>
  <c r="BU1106" i="7"/>
  <c r="BT1106" i="7"/>
  <c r="BS1106" i="7"/>
  <c r="BR1106" i="7"/>
  <c r="BQ1106" i="7"/>
  <c r="BP1106" i="7"/>
  <c r="BO1106" i="7"/>
  <c r="BN1106" i="7"/>
  <c r="BM1106" i="7"/>
  <c r="BL1106" i="7"/>
  <c r="BK1106" i="7"/>
  <c r="BJ1106" i="7"/>
  <c r="BI1106" i="7"/>
  <c r="BH1106" i="7"/>
  <c r="BG1106" i="7"/>
  <c r="BF1106" i="7"/>
  <c r="BE1106" i="7"/>
  <c r="BD1106" i="7"/>
  <c r="BC1106" i="7"/>
  <c r="BB1106" i="7"/>
  <c r="BA1106" i="7"/>
  <c r="AZ1106" i="7"/>
  <c r="AY1106" i="7"/>
  <c r="AX1106" i="7"/>
  <c r="AW1106" i="7"/>
  <c r="AV1106" i="7"/>
  <c r="AU1106" i="7"/>
  <c r="AT1106" i="7"/>
  <c r="AS1106" i="7"/>
  <c r="AQ1106" i="7"/>
  <c r="AP1106" i="7"/>
  <c r="AO1106" i="7"/>
  <c r="AM1106" i="7"/>
  <c r="AL1106" i="7"/>
  <c r="AK1106" i="7"/>
  <c r="AJ1106" i="7"/>
  <c r="AI1106" i="7"/>
  <c r="AH1106" i="7"/>
  <c r="AG1106" i="7"/>
  <c r="AF1106" i="7"/>
  <c r="AE1106" i="7"/>
  <c r="AD1106" i="7"/>
  <c r="AC1106" i="7"/>
  <c r="AB1106" i="7"/>
  <c r="AA1106" i="7"/>
  <c r="Z1106" i="7"/>
  <c r="Y1106" i="7"/>
  <c r="X1106" i="7"/>
  <c r="W1106" i="7"/>
  <c r="V1106" i="7"/>
  <c r="U1106" i="7"/>
  <c r="T1106" i="7"/>
  <c r="S1106" i="7"/>
  <c r="R1106" i="7"/>
  <c r="Q1106" i="7"/>
  <c r="P1106" i="7"/>
  <c r="O1106" i="7"/>
  <c r="N1106" i="7"/>
  <c r="M1106" i="7"/>
  <c r="L1106" i="7"/>
  <c r="K1106" i="7"/>
  <c r="J1106" i="7"/>
  <c r="I1106" i="7"/>
  <c r="H1106" i="7"/>
  <c r="G1106" i="7"/>
  <c r="CG1105" i="7"/>
  <c r="CF1105" i="7"/>
  <c r="CD1105" i="7"/>
  <c r="AR1105" i="7"/>
  <c r="CG1104" i="7"/>
  <c r="CF1104" i="7"/>
  <c r="CD1104" i="7"/>
  <c r="AR1104" i="7"/>
  <c r="CG1103" i="7"/>
  <c r="CF1103" i="7"/>
  <c r="CD1103" i="7"/>
  <c r="AR1103" i="7"/>
  <c r="CG1102" i="7"/>
  <c r="CF1102" i="7"/>
  <c r="CD1102" i="7"/>
  <c r="AR1102" i="7"/>
  <c r="CU1101" i="7"/>
  <c r="CT1101" i="7"/>
  <c r="CS1101" i="7"/>
  <c r="CR1101" i="7"/>
  <c r="CQ1101" i="7"/>
  <c r="CG1101" i="7"/>
  <c r="CF1101" i="7"/>
  <c r="CH1100" i="7"/>
  <c r="CC1100" i="7"/>
  <c r="CB1100" i="7"/>
  <c r="CA1100" i="7"/>
  <c r="BY1100" i="7"/>
  <c r="BX1100" i="7"/>
  <c r="BW1100" i="7"/>
  <c r="BV1100" i="7"/>
  <c r="BU1100" i="7"/>
  <c r="BT1100" i="7"/>
  <c r="BS1100" i="7"/>
  <c r="BR1100" i="7"/>
  <c r="BQ1100" i="7"/>
  <c r="BP1100" i="7"/>
  <c r="BO1100" i="7"/>
  <c r="BN1100" i="7"/>
  <c r="BM1100" i="7"/>
  <c r="BL1100" i="7"/>
  <c r="BK1100" i="7"/>
  <c r="BJ1100" i="7"/>
  <c r="BI1100" i="7"/>
  <c r="BH1100" i="7"/>
  <c r="BG1100" i="7"/>
  <c r="BF1100" i="7"/>
  <c r="BE1100" i="7"/>
  <c r="BD1100" i="7"/>
  <c r="BC1100" i="7"/>
  <c r="BB1100" i="7"/>
  <c r="BA1100" i="7"/>
  <c r="AZ1100" i="7"/>
  <c r="AY1100" i="7"/>
  <c r="AX1100" i="7"/>
  <c r="AW1100" i="7"/>
  <c r="AV1100" i="7"/>
  <c r="AU1100" i="7"/>
  <c r="AT1100" i="7"/>
  <c r="AS1100" i="7"/>
  <c r="AQ1100" i="7"/>
  <c r="AP1100" i="7"/>
  <c r="AO1100" i="7"/>
  <c r="AM1100" i="7"/>
  <c r="AL1100" i="7"/>
  <c r="AK1100" i="7"/>
  <c r="AJ1100" i="7"/>
  <c r="AI1100" i="7"/>
  <c r="AH1100" i="7"/>
  <c r="AG1100" i="7"/>
  <c r="AF1100" i="7"/>
  <c r="AE1100" i="7"/>
  <c r="AD1100" i="7"/>
  <c r="AC1100" i="7"/>
  <c r="AB1100" i="7"/>
  <c r="AA1100" i="7"/>
  <c r="Z1100" i="7"/>
  <c r="Y1100" i="7"/>
  <c r="X1100" i="7"/>
  <c r="W1100" i="7"/>
  <c r="V1100" i="7"/>
  <c r="U1100" i="7"/>
  <c r="S1100" i="7"/>
  <c r="CG1099" i="7"/>
  <c r="CF1099" i="7"/>
  <c r="CD1099" i="7"/>
  <c r="AR1099" i="7"/>
  <c r="CG1098" i="7"/>
  <c r="CF1098" i="7"/>
  <c r="CD1098" i="7"/>
  <c r="CD1100" i="7" s="1"/>
  <c r="T1098" i="7"/>
  <c r="CK1097" i="7"/>
  <c r="CJ1097" i="7"/>
  <c r="CI1097" i="7"/>
  <c r="CH1097" i="7"/>
  <c r="CG1097" i="7"/>
  <c r="CF1097" i="7"/>
  <c r="CC1097" i="7"/>
  <c r="CB1097" i="7"/>
  <c r="CA1097" i="7"/>
  <c r="BY1097" i="7"/>
  <c r="BX1097" i="7"/>
  <c r="BW1097" i="7"/>
  <c r="BV1097" i="7"/>
  <c r="BU1097" i="7"/>
  <c r="BT1097" i="7"/>
  <c r="BS1097" i="7"/>
  <c r="BR1097" i="7"/>
  <c r="BQ1097" i="7"/>
  <c r="BP1097" i="7"/>
  <c r="BO1097" i="7"/>
  <c r="BN1097" i="7"/>
  <c r="BM1097" i="7"/>
  <c r="BL1097" i="7"/>
  <c r="BK1097" i="7"/>
  <c r="BJ1097" i="7"/>
  <c r="BI1097" i="7"/>
  <c r="BH1097" i="7"/>
  <c r="BG1097" i="7"/>
  <c r="BF1097" i="7"/>
  <c r="BE1097" i="7"/>
  <c r="BD1097" i="7"/>
  <c r="BC1097" i="7"/>
  <c r="BB1097" i="7"/>
  <c r="BA1097" i="7"/>
  <c r="AZ1097" i="7"/>
  <c r="AY1097" i="7"/>
  <c r="AX1097" i="7"/>
  <c r="AW1097" i="7"/>
  <c r="AV1097" i="7"/>
  <c r="AU1097" i="7"/>
  <c r="AT1097" i="7"/>
  <c r="AS1097" i="7"/>
  <c r="AQ1097" i="7"/>
  <c r="AP1097" i="7"/>
  <c r="AO1097" i="7"/>
  <c r="AM1097" i="7"/>
  <c r="AL1097" i="7"/>
  <c r="AK1097" i="7"/>
  <c r="AJ1097" i="7"/>
  <c r="AI1097" i="7"/>
  <c r="AH1097" i="7"/>
  <c r="AG1097" i="7"/>
  <c r="AF1097" i="7"/>
  <c r="AE1097" i="7"/>
  <c r="AD1097" i="7"/>
  <c r="AC1097" i="7"/>
  <c r="AB1097" i="7"/>
  <c r="AA1097" i="7"/>
  <c r="Z1097" i="7"/>
  <c r="Y1097" i="7"/>
  <c r="X1097" i="7"/>
  <c r="W1097" i="7"/>
  <c r="V1097" i="7"/>
  <c r="U1097" i="7"/>
  <c r="T1097" i="7"/>
  <c r="S1097" i="7"/>
  <c r="R1097" i="7"/>
  <c r="Q1097" i="7"/>
  <c r="P1097" i="7"/>
  <c r="O1097" i="7"/>
  <c r="N1097" i="7"/>
  <c r="M1097" i="7"/>
  <c r="L1097" i="7"/>
  <c r="K1097" i="7"/>
  <c r="J1097" i="7"/>
  <c r="I1097" i="7"/>
  <c r="H1097" i="7"/>
  <c r="G1097" i="7"/>
  <c r="CG1096" i="7"/>
  <c r="CF1096" i="7"/>
  <c r="CD1096" i="7"/>
  <c r="AR1096" i="7"/>
  <c r="CG1095" i="7"/>
  <c r="CF1095" i="7"/>
  <c r="CD1095" i="7"/>
  <c r="AR1095" i="7"/>
  <c r="CG1094" i="7"/>
  <c r="CF1094" i="7"/>
  <c r="CD1094" i="7"/>
  <c r="AR1094" i="7"/>
  <c r="CG1093" i="7"/>
  <c r="CF1093" i="7"/>
  <c r="CD1093" i="7"/>
  <c r="AR1093" i="7"/>
  <c r="CG1092" i="7"/>
  <c r="CF1092" i="7"/>
  <c r="CD1092" i="7"/>
  <c r="CE1092" i="7" s="1"/>
  <c r="AR1092" i="7"/>
  <c r="CG1091" i="7"/>
  <c r="CF1091" i="7"/>
  <c r="CD1091" i="7"/>
  <c r="CE1091" i="7" s="1"/>
  <c r="AR1091" i="7"/>
  <c r="CG1090" i="7"/>
  <c r="CF1090" i="7"/>
  <c r="CD1090" i="7"/>
  <c r="CE1090" i="7" s="1"/>
  <c r="AR1090" i="7"/>
  <c r="CG1089" i="7"/>
  <c r="CF1089" i="7"/>
  <c r="CD1089" i="7"/>
  <c r="AR1089" i="7"/>
  <c r="CG1088" i="7"/>
  <c r="CF1088" i="7"/>
  <c r="CD1088" i="7"/>
  <c r="AR1088" i="7"/>
  <c r="CG1087" i="7"/>
  <c r="CF1087" i="7"/>
  <c r="CD1087" i="7"/>
  <c r="AR1087" i="7"/>
  <c r="CG1086" i="7"/>
  <c r="CF1086" i="7"/>
  <c r="CD1086" i="7"/>
  <c r="AR1086" i="7"/>
  <c r="CG1085" i="7"/>
  <c r="CF1085" i="7"/>
  <c r="CD1085" i="7"/>
  <c r="CE1085" i="7" s="1"/>
  <c r="AR1085" i="7"/>
  <c r="CG1084" i="7"/>
  <c r="CF1084" i="7"/>
  <c r="CD1084" i="7"/>
  <c r="AR1084" i="7"/>
  <c r="CI1083" i="7"/>
  <c r="CH1083" i="7"/>
  <c r="CC1083" i="7"/>
  <c r="CB1083" i="7"/>
  <c r="CA1083" i="7"/>
  <c r="BY1083" i="7"/>
  <c r="BX1083" i="7"/>
  <c r="BW1083" i="7"/>
  <c r="BV1083" i="7"/>
  <c r="BU1083" i="7"/>
  <c r="BT1083" i="7"/>
  <c r="BS1083" i="7"/>
  <c r="BR1083" i="7"/>
  <c r="BQ1083" i="7"/>
  <c r="BP1083" i="7"/>
  <c r="BO1083" i="7"/>
  <c r="BN1083" i="7"/>
  <c r="BM1083" i="7"/>
  <c r="BL1083" i="7"/>
  <c r="BK1083" i="7"/>
  <c r="BJ1083" i="7"/>
  <c r="BI1083" i="7"/>
  <c r="BH1083" i="7"/>
  <c r="BG1083" i="7"/>
  <c r="BF1083" i="7"/>
  <c r="BE1083" i="7"/>
  <c r="BD1083" i="7"/>
  <c r="BC1083" i="7"/>
  <c r="BB1083" i="7"/>
  <c r="BA1083" i="7"/>
  <c r="AZ1083" i="7"/>
  <c r="AY1083" i="7"/>
  <c r="AX1083" i="7"/>
  <c r="AW1083" i="7"/>
  <c r="AV1083" i="7"/>
  <c r="AU1083" i="7"/>
  <c r="AT1083" i="7"/>
  <c r="AS1083" i="7"/>
  <c r="AQ1083" i="7"/>
  <c r="AP1083" i="7"/>
  <c r="AO1083" i="7"/>
  <c r="AM1083" i="7"/>
  <c r="AL1083" i="7"/>
  <c r="AK1083" i="7"/>
  <c r="AJ1083" i="7"/>
  <c r="AI1083" i="7"/>
  <c r="AH1083" i="7"/>
  <c r="AG1083" i="7"/>
  <c r="AF1083" i="7"/>
  <c r="AE1083" i="7"/>
  <c r="AD1083" i="7"/>
  <c r="AC1083" i="7"/>
  <c r="AB1083" i="7"/>
  <c r="AA1083" i="7"/>
  <c r="Z1083" i="7"/>
  <c r="Y1083" i="7"/>
  <c r="X1083" i="7"/>
  <c r="W1083" i="7"/>
  <c r="V1083" i="7"/>
  <c r="U1083" i="7"/>
  <c r="T1083" i="7"/>
  <c r="S1083" i="7"/>
  <c r="R1083" i="7"/>
  <c r="Q1083" i="7"/>
  <c r="P1083" i="7"/>
  <c r="O1083" i="7"/>
  <c r="N1083" i="7"/>
  <c r="M1083" i="7"/>
  <c r="L1083" i="7"/>
  <c r="K1083" i="7"/>
  <c r="J1083" i="7"/>
  <c r="I1083" i="7"/>
  <c r="H1083" i="7"/>
  <c r="G1083" i="7"/>
  <c r="CG1082" i="7"/>
  <c r="CF1082" i="7"/>
  <c r="CD1082" i="7"/>
  <c r="AR1082" i="7"/>
  <c r="CG1081" i="7"/>
  <c r="CF1081" i="7"/>
  <c r="CD1081" i="7"/>
  <c r="AR1081" i="7"/>
  <c r="CG1080" i="7"/>
  <c r="CF1080" i="7"/>
  <c r="CD1080" i="7"/>
  <c r="AR1080" i="7"/>
  <c r="CG1079" i="7"/>
  <c r="CF1079" i="7"/>
  <c r="CD1079" i="7"/>
  <c r="AR1079" i="7"/>
  <c r="CG1078" i="7"/>
  <c r="CF1078" i="7"/>
  <c r="CD1078" i="7"/>
  <c r="AR1078" i="7"/>
  <c r="CG1077" i="7"/>
  <c r="CF1077" i="7"/>
  <c r="CD1077" i="7"/>
  <c r="AR1077" i="7"/>
  <c r="CG1076" i="7"/>
  <c r="CF1076" i="7"/>
  <c r="CD1076" i="7"/>
  <c r="AR1076" i="7"/>
  <c r="CG1075" i="7"/>
  <c r="CF1075" i="7"/>
  <c r="CD1075" i="7"/>
  <c r="AR1075" i="7"/>
  <c r="CG1074" i="7"/>
  <c r="CF1074" i="7"/>
  <c r="CD1074" i="7"/>
  <c r="CE1074" i="7" s="1"/>
  <c r="AR1074" i="7"/>
  <c r="CG1073" i="7"/>
  <c r="CF1073" i="7"/>
  <c r="CD1073" i="7"/>
  <c r="AR1073" i="7"/>
  <c r="CG1072" i="7"/>
  <c r="CF1072" i="7"/>
  <c r="CD1072" i="7"/>
  <c r="AR1072" i="7"/>
  <c r="CG1071" i="7"/>
  <c r="CF1071" i="7"/>
  <c r="CD1071" i="7"/>
  <c r="AR1071" i="7"/>
  <c r="CG1070" i="7"/>
  <c r="CF1070" i="7"/>
  <c r="CD1070" i="7"/>
  <c r="AR1070" i="7"/>
  <c r="CG1069" i="7"/>
  <c r="CF1069" i="7"/>
  <c r="CD1069" i="7"/>
  <c r="AR1069" i="7"/>
  <c r="CG1068" i="7"/>
  <c r="CF1068" i="7"/>
  <c r="CD1068" i="7"/>
  <c r="AR1068" i="7"/>
  <c r="CG1067" i="7"/>
  <c r="CF1067" i="7"/>
  <c r="CD1067" i="7"/>
  <c r="AR1067" i="7"/>
  <c r="CG1066" i="7"/>
  <c r="CF1066" i="7"/>
  <c r="CD1066" i="7"/>
  <c r="AR1066" i="7"/>
  <c r="CG1065" i="7"/>
  <c r="CF1065" i="7"/>
  <c r="CD1065" i="7"/>
  <c r="AR1065" i="7"/>
  <c r="CG1064" i="7"/>
  <c r="CF1064" i="7"/>
  <c r="CD1064" i="7"/>
  <c r="AR1064" i="7"/>
  <c r="CG1063" i="7"/>
  <c r="CF1063" i="7"/>
  <c r="CD1063" i="7"/>
  <c r="AR1063" i="7"/>
  <c r="CJ1062" i="7"/>
  <c r="CI1062" i="7"/>
  <c r="CH1062" i="7"/>
  <c r="CD1062" i="7"/>
  <c r="CC1062" i="7"/>
  <c r="CB1062" i="7"/>
  <c r="CA1062" i="7"/>
  <c r="BY1062" i="7"/>
  <c r="BX1062" i="7"/>
  <c r="BW1062" i="7"/>
  <c r="BV1062" i="7"/>
  <c r="BU1062" i="7"/>
  <c r="BT1062" i="7"/>
  <c r="BS1062" i="7"/>
  <c r="BR1062" i="7"/>
  <c r="BQ1062" i="7"/>
  <c r="BP1062" i="7"/>
  <c r="BO1062" i="7"/>
  <c r="BN1062" i="7"/>
  <c r="BM1062" i="7"/>
  <c r="BL1062" i="7"/>
  <c r="BK1062" i="7"/>
  <c r="BJ1062" i="7"/>
  <c r="BI1062" i="7"/>
  <c r="BH1062" i="7"/>
  <c r="BG1062" i="7"/>
  <c r="BF1062" i="7"/>
  <c r="BE1062" i="7"/>
  <c r="BD1062" i="7"/>
  <c r="BC1062" i="7"/>
  <c r="BB1062" i="7"/>
  <c r="BA1062" i="7"/>
  <c r="AZ1062" i="7"/>
  <c r="AY1062" i="7"/>
  <c r="AX1062" i="7"/>
  <c r="AW1062" i="7"/>
  <c r="AV1062" i="7"/>
  <c r="AU1062" i="7"/>
  <c r="AT1062" i="7"/>
  <c r="AS1062" i="7"/>
  <c r="AQ1062" i="7"/>
  <c r="AP1062" i="7"/>
  <c r="AO1062" i="7"/>
  <c r="AM1062" i="7"/>
  <c r="AL1062" i="7"/>
  <c r="AK1062" i="7"/>
  <c r="AJ1062" i="7"/>
  <c r="AI1062" i="7"/>
  <c r="AH1062" i="7"/>
  <c r="AG1062" i="7"/>
  <c r="AF1062" i="7"/>
  <c r="AE1062" i="7"/>
  <c r="AD1062" i="7"/>
  <c r="AC1062" i="7"/>
  <c r="CG1061" i="7"/>
  <c r="CG1062" i="7" s="1"/>
  <c r="CF1061" i="7"/>
  <c r="CF1062" i="7" s="1"/>
  <c r="CD1061" i="7"/>
  <c r="AR1061" i="7"/>
  <c r="CH1060" i="7"/>
  <c r="CG1060" i="7"/>
  <c r="CF1060" i="7"/>
  <c r="CC1060" i="7"/>
  <c r="CB1060" i="7"/>
  <c r="CA1060" i="7"/>
  <c r="BY1060" i="7"/>
  <c r="BX1060" i="7"/>
  <c r="BW1060" i="7"/>
  <c r="BV1060" i="7"/>
  <c r="BU1060" i="7"/>
  <c r="BT1060" i="7"/>
  <c r="BS1060" i="7"/>
  <c r="BR1060" i="7"/>
  <c r="BQ1060" i="7"/>
  <c r="BP1060" i="7"/>
  <c r="BO1060" i="7"/>
  <c r="BN1060" i="7"/>
  <c r="BM1060" i="7"/>
  <c r="BL1060" i="7"/>
  <c r="BK1060" i="7"/>
  <c r="BJ1060" i="7"/>
  <c r="BI1060" i="7"/>
  <c r="BG1060" i="7"/>
  <c r="BF1060" i="7"/>
  <c r="BE1060" i="7"/>
  <c r="BD1060" i="7"/>
  <c r="BC1060" i="7"/>
  <c r="BB1060" i="7"/>
  <c r="BA1060" i="7"/>
  <c r="AZ1060" i="7"/>
  <c r="AY1060" i="7"/>
  <c r="AX1060" i="7"/>
  <c r="AW1060" i="7"/>
  <c r="AV1060" i="7"/>
  <c r="AS1060" i="7"/>
  <c r="AQ1060" i="7"/>
  <c r="AP1060" i="7"/>
  <c r="AO1060" i="7"/>
  <c r="AM1060" i="7"/>
  <c r="AL1060" i="7"/>
  <c r="AK1060" i="7"/>
  <c r="AJ1060" i="7"/>
  <c r="AI1060" i="7"/>
  <c r="AH1060" i="7"/>
  <c r="AG1060" i="7"/>
  <c r="AF1060" i="7"/>
  <c r="AE1060" i="7"/>
  <c r="AD1060" i="7"/>
  <c r="AC1060" i="7"/>
  <c r="AB1060" i="7"/>
  <c r="AA1060" i="7"/>
  <c r="Z1060" i="7"/>
  <c r="Y1060" i="7"/>
  <c r="X1060" i="7"/>
  <c r="W1060" i="7"/>
  <c r="V1060" i="7"/>
  <c r="U1060" i="7"/>
  <c r="T1060" i="7"/>
  <c r="S1060" i="7"/>
  <c r="R1060" i="7"/>
  <c r="Q1060" i="7"/>
  <c r="P1060" i="7"/>
  <c r="O1060" i="7"/>
  <c r="N1060" i="7"/>
  <c r="M1060" i="7"/>
  <c r="L1060" i="7"/>
  <c r="K1060" i="7"/>
  <c r="J1060" i="7"/>
  <c r="I1060" i="7"/>
  <c r="H1060" i="7"/>
  <c r="G1060" i="7"/>
  <c r="CG1059" i="7"/>
  <c r="CF1059" i="7"/>
  <c r="BH1059" i="7"/>
  <c r="AT1059" i="7"/>
  <c r="CD1059" i="7" s="1"/>
  <c r="AR1059" i="7"/>
  <c r="CG1058" i="7"/>
  <c r="CF1058" i="7"/>
  <c r="CD1058" i="7"/>
  <c r="AR1058" i="7"/>
  <c r="CG1057" i="7"/>
  <c r="CF1057" i="7"/>
  <c r="AU1057" i="7"/>
  <c r="AT1057" i="7"/>
  <c r="AR1057" i="7"/>
  <c r="CG1056" i="7"/>
  <c r="CF1056" i="7"/>
  <c r="CD1056" i="7"/>
  <c r="AR1056" i="7"/>
  <c r="CG1055" i="7"/>
  <c r="CF1055" i="7"/>
  <c r="CD1055" i="7"/>
  <c r="CE1055" i="7" s="1"/>
  <c r="AR1055" i="7"/>
  <c r="CG1054" i="7"/>
  <c r="CF1054" i="7"/>
  <c r="AT1054" i="7"/>
  <c r="CD1054" i="7" s="1"/>
  <c r="AR1054" i="7"/>
  <c r="CG1053" i="7"/>
  <c r="CF1053" i="7"/>
  <c r="AU1053" i="7"/>
  <c r="AT1053" i="7"/>
  <c r="AR1053" i="7"/>
  <c r="CG1052" i="7"/>
  <c r="CF1052" i="7"/>
  <c r="AU1052" i="7"/>
  <c r="AT1052" i="7"/>
  <c r="AR1052" i="7"/>
  <c r="CG1051" i="7"/>
  <c r="CF1051" i="7"/>
  <c r="CD1051" i="7"/>
  <c r="AR1051" i="7"/>
  <c r="CG1050" i="7"/>
  <c r="CF1050" i="7"/>
  <c r="CD1050" i="7"/>
  <c r="AR1050" i="7"/>
  <c r="CG1049" i="7"/>
  <c r="CF1049" i="7"/>
  <c r="CD1049" i="7"/>
  <c r="CE1049" i="7" s="1"/>
  <c r="AR1049" i="7"/>
  <c r="CG1048" i="7"/>
  <c r="CF1048" i="7"/>
  <c r="CD1048" i="7"/>
  <c r="AR1048" i="7"/>
  <c r="CG1047" i="7"/>
  <c r="CF1047" i="7"/>
  <c r="CD1047" i="7"/>
  <c r="AR1047" i="7"/>
  <c r="CG1046" i="7"/>
  <c r="CF1046" i="7"/>
  <c r="CD1046" i="7"/>
  <c r="AR1046" i="7"/>
  <c r="CG1045" i="7"/>
  <c r="CF1045" i="7"/>
  <c r="CD1045" i="7"/>
  <c r="AR1045" i="7"/>
  <c r="CG1044" i="7"/>
  <c r="CF1044" i="7"/>
  <c r="CD1044" i="7"/>
  <c r="AR1044" i="7"/>
  <c r="CG1043" i="7"/>
  <c r="CF1043" i="7"/>
  <c r="CD1043" i="7"/>
  <c r="AR1043" i="7"/>
  <c r="CG1042" i="7"/>
  <c r="CF1042" i="7"/>
  <c r="CD1042" i="7"/>
  <c r="AR1042" i="7"/>
  <c r="CG1041" i="7"/>
  <c r="CF1041" i="7"/>
  <c r="CD1041" i="7"/>
  <c r="AR1041" i="7"/>
  <c r="CG1040" i="7"/>
  <c r="CF1040" i="7"/>
  <c r="CD1040" i="7"/>
  <c r="AR1040" i="7"/>
  <c r="CG1039" i="7"/>
  <c r="CF1039" i="7"/>
  <c r="CD1039" i="7"/>
  <c r="CE1039" i="7" s="1"/>
  <c r="AR1039" i="7"/>
  <c r="CG1038" i="7"/>
  <c r="CF1038" i="7"/>
  <c r="CD1038" i="7"/>
  <c r="CE1038" i="7" s="1"/>
  <c r="AR1038" i="7"/>
  <c r="CG1037" i="7"/>
  <c r="CF1037" i="7"/>
  <c r="CD1037" i="7"/>
  <c r="AR1037" i="7"/>
  <c r="CG1036" i="7"/>
  <c r="CF1036" i="7"/>
  <c r="CD1036" i="7"/>
  <c r="CE1036" i="7" s="1"/>
  <c r="AR1036" i="7"/>
  <c r="CG1035" i="7"/>
  <c r="CF1035" i="7"/>
  <c r="CD1035" i="7"/>
  <c r="AR1035" i="7"/>
  <c r="CE1035" i="7" s="1"/>
  <c r="CG1034" i="7"/>
  <c r="CF1034" i="7"/>
  <c r="CD1034" i="7"/>
  <c r="AR1034" i="7"/>
  <c r="CG1033" i="7"/>
  <c r="CF1033" i="7"/>
  <c r="AT1033" i="7"/>
  <c r="CD1033" i="7" s="1"/>
  <c r="AR1033" i="7"/>
  <c r="CG1032" i="7"/>
  <c r="CF1032" i="7"/>
  <c r="AT1032" i="7"/>
  <c r="CD1032" i="7" s="1"/>
  <c r="AR1032" i="7"/>
  <c r="CG1031" i="7"/>
  <c r="CF1031" i="7"/>
  <c r="CD1031" i="7"/>
  <c r="AR1031" i="7"/>
  <c r="CG1030" i="7"/>
  <c r="CF1030" i="7"/>
  <c r="CD1030" i="7"/>
  <c r="CE1030" i="7" s="1"/>
  <c r="AR1030" i="7"/>
  <c r="E1030" i="7"/>
  <c r="E1031" i="7" s="1"/>
  <c r="CG1029" i="7"/>
  <c r="CF1029" i="7"/>
  <c r="CD1029" i="7"/>
  <c r="AR1029" i="7"/>
  <c r="CG1028" i="7"/>
  <c r="CF1028" i="7"/>
  <c r="CD1028" i="7"/>
  <c r="AR1028" i="7"/>
  <c r="CG1027" i="7"/>
  <c r="CF1027" i="7"/>
  <c r="CD1027" i="7"/>
  <c r="AR1027" i="7"/>
  <c r="CG1026" i="7"/>
  <c r="CF1026" i="7"/>
  <c r="CD1026" i="7"/>
  <c r="AR1026" i="7"/>
  <c r="CG1025" i="7"/>
  <c r="CF1025" i="7"/>
  <c r="CD1025" i="7"/>
  <c r="CE1025" i="7" s="1"/>
  <c r="AR1025" i="7"/>
  <c r="CG1024" i="7"/>
  <c r="CF1024" i="7"/>
  <c r="CD1024" i="7"/>
  <c r="CE1024" i="7" s="1"/>
  <c r="AR1024" i="7"/>
  <c r="CG1023" i="7"/>
  <c r="CF1023" i="7"/>
  <c r="CD1023" i="7"/>
  <c r="AR1023" i="7"/>
  <c r="CG1022" i="7"/>
  <c r="CF1022" i="7"/>
  <c r="CD1022" i="7"/>
  <c r="AR1022" i="7"/>
  <c r="CG1021" i="7"/>
  <c r="CF1021" i="7"/>
  <c r="CD1021" i="7"/>
  <c r="AR1021" i="7"/>
  <c r="CG1020" i="7"/>
  <c r="CF1020" i="7"/>
  <c r="AU1020" i="7"/>
  <c r="AT1020" i="7"/>
  <c r="CD1020" i="7" s="1"/>
  <c r="CE1020" i="7" s="1"/>
  <c r="AR1020" i="7"/>
  <c r="CG1019" i="7"/>
  <c r="CF1019" i="7"/>
  <c r="CD1019" i="7"/>
  <c r="AR1019" i="7"/>
  <c r="CE1019" i="7" s="1"/>
  <c r="CG1018" i="7"/>
  <c r="CF1018" i="7"/>
  <c r="CD1018" i="7"/>
  <c r="AR1018" i="7"/>
  <c r="CG1017" i="7"/>
  <c r="CF1017" i="7"/>
  <c r="CD1017" i="7"/>
  <c r="AR1017" i="7"/>
  <c r="CE1017" i="7" s="1"/>
  <c r="E1017" i="7"/>
  <c r="E1018" i="7" s="1"/>
  <c r="E1019" i="7" s="1"/>
  <c r="CG1016" i="7"/>
  <c r="CF1016" i="7"/>
  <c r="CD1016" i="7"/>
  <c r="AR1016" i="7"/>
  <c r="E1016" i="7"/>
  <c r="E1020" i="7" s="1"/>
  <c r="E1021" i="7" s="1"/>
  <c r="CG1015" i="7"/>
  <c r="CF1015" i="7"/>
  <c r="CD1015" i="7"/>
  <c r="AR1015" i="7"/>
  <c r="CG1014" i="7"/>
  <c r="CF1014" i="7"/>
  <c r="CD1014" i="7"/>
  <c r="AR1014" i="7"/>
  <c r="CG1013" i="7"/>
  <c r="CF1013" i="7"/>
  <c r="CD1013" i="7"/>
  <c r="AR1013" i="7"/>
  <c r="CG1012" i="7"/>
  <c r="CF1012" i="7"/>
  <c r="AU1012" i="7"/>
  <c r="CD1012" i="7" s="1"/>
  <c r="CE1012" i="7" s="1"/>
  <c r="AT1012" i="7"/>
  <c r="AR1012" i="7"/>
  <c r="CG1011" i="7"/>
  <c r="CF1011" i="7"/>
  <c r="CD1011" i="7"/>
  <c r="AR1011" i="7"/>
  <c r="CG1010" i="7"/>
  <c r="CF1010" i="7"/>
  <c r="CD1010" i="7"/>
  <c r="CE1010" i="7" s="1"/>
  <c r="AR1010" i="7"/>
  <c r="CG1009" i="7"/>
  <c r="CF1009" i="7"/>
  <c r="CD1009" i="7"/>
  <c r="CE1009" i="7" s="1"/>
  <c r="AR1009" i="7"/>
  <c r="CG1008" i="7"/>
  <c r="CF1008" i="7"/>
  <c r="CD1008" i="7"/>
  <c r="AR1008" i="7"/>
  <c r="CG1007" i="7"/>
  <c r="CF1007" i="7"/>
  <c r="CD1007" i="7"/>
  <c r="AR1007" i="7"/>
  <c r="CG1006" i="7"/>
  <c r="CF1006" i="7"/>
  <c r="CD1006" i="7"/>
  <c r="CE1006" i="7" s="1"/>
  <c r="AR1006" i="7"/>
  <c r="CG1005" i="7"/>
  <c r="CF1005" i="7"/>
  <c r="CD1005" i="7"/>
  <c r="CE1005" i="7" s="1"/>
  <c r="AR1005" i="7"/>
  <c r="CG1004" i="7"/>
  <c r="CF1004" i="7"/>
  <c r="CD1004" i="7"/>
  <c r="CE1004" i="7" s="1"/>
  <c r="AR1004" i="7"/>
  <c r="CG1003" i="7"/>
  <c r="CF1003" i="7"/>
  <c r="CD1003" i="7"/>
  <c r="AR1003" i="7"/>
  <c r="CG1002" i="7"/>
  <c r="CF1002" i="7"/>
  <c r="CD1002" i="7"/>
  <c r="CE1002" i="7" s="1"/>
  <c r="AR1002" i="7"/>
  <c r="CG1001" i="7"/>
  <c r="CF1001" i="7"/>
  <c r="CD1001" i="7"/>
  <c r="AR1001" i="7"/>
  <c r="CE1001" i="7" s="1"/>
  <c r="CG1000" i="7"/>
  <c r="CF1000" i="7"/>
  <c r="CD1000" i="7"/>
  <c r="AR1000" i="7"/>
  <c r="CG999" i="7"/>
  <c r="CF999" i="7"/>
  <c r="CD999" i="7"/>
  <c r="AR999" i="7"/>
  <c r="CG998" i="7"/>
  <c r="CF998" i="7"/>
  <c r="CD998" i="7"/>
  <c r="AR998" i="7"/>
  <c r="CG997" i="7"/>
  <c r="CF997" i="7"/>
  <c r="CD997" i="7"/>
  <c r="AR997" i="7"/>
  <c r="CE997" i="7" s="1"/>
  <c r="CG996" i="7"/>
  <c r="CF996" i="7"/>
  <c r="CD996" i="7"/>
  <c r="AR996" i="7"/>
  <c r="CG995" i="7"/>
  <c r="CF995" i="7"/>
  <c r="CD995" i="7"/>
  <c r="AR995" i="7"/>
  <c r="CG994" i="7"/>
  <c r="CF994" i="7"/>
  <c r="CD994" i="7"/>
  <c r="AR994" i="7"/>
  <c r="CG993" i="7"/>
  <c r="CF993" i="7"/>
  <c r="CD993" i="7"/>
  <c r="AR993" i="7"/>
  <c r="E993" i="7"/>
  <c r="CG992" i="7"/>
  <c r="CF992" i="7"/>
  <c r="CD992" i="7"/>
  <c r="AR992" i="7"/>
  <c r="CG991" i="7"/>
  <c r="CF991" i="7"/>
  <c r="CD991" i="7"/>
  <c r="AR991" i="7"/>
  <c r="CG990" i="7"/>
  <c r="CF990" i="7"/>
  <c r="CD990" i="7"/>
  <c r="AR990" i="7"/>
  <c r="CG989" i="7"/>
  <c r="CF989" i="7"/>
  <c r="CD989" i="7"/>
  <c r="AR989" i="7"/>
  <c r="CG988" i="7"/>
  <c r="CF988" i="7"/>
  <c r="CD988" i="7"/>
  <c r="AR988" i="7"/>
  <c r="CG987" i="7"/>
  <c r="CF987" i="7"/>
  <c r="CD987" i="7"/>
  <c r="AR987" i="7"/>
  <c r="CG986" i="7"/>
  <c r="CF986" i="7"/>
  <c r="CD986" i="7"/>
  <c r="AR986" i="7"/>
  <c r="CG985" i="7"/>
  <c r="CF985" i="7"/>
  <c r="CD985" i="7"/>
  <c r="AR985" i="7"/>
  <c r="CG984" i="7"/>
  <c r="CF984" i="7"/>
  <c r="CD984" i="7"/>
  <c r="CE984" i="7" s="1"/>
  <c r="AR984" i="7"/>
  <c r="CG983" i="7"/>
  <c r="CF983" i="7"/>
  <c r="CD983" i="7"/>
  <c r="AR983" i="7"/>
  <c r="CG982" i="7"/>
  <c r="CF982" i="7"/>
  <c r="CD982" i="7"/>
  <c r="CE982" i="7" s="1"/>
  <c r="AR982" i="7"/>
  <c r="E982" i="7"/>
  <c r="CG981" i="7"/>
  <c r="CF981" i="7"/>
  <c r="CD981" i="7"/>
  <c r="AR981" i="7"/>
  <c r="CG980" i="7"/>
  <c r="CF980" i="7"/>
  <c r="CD980" i="7"/>
  <c r="AR980" i="7"/>
  <c r="CG979" i="7"/>
  <c r="CF979" i="7"/>
  <c r="AT979" i="7"/>
  <c r="CD979" i="7" s="1"/>
  <c r="AR979" i="7"/>
  <c r="CG978" i="7"/>
  <c r="CF978" i="7"/>
  <c r="CD978" i="7"/>
  <c r="CE978" i="7" s="1"/>
  <c r="AR978" i="7"/>
  <c r="CG977" i="7"/>
  <c r="CF977" i="7"/>
  <c r="CE977" i="7"/>
  <c r="CD977" i="7"/>
  <c r="AR977" i="7"/>
  <c r="CG976" i="7"/>
  <c r="CF976" i="7"/>
  <c r="CD976" i="7"/>
  <c r="AR976" i="7"/>
  <c r="CG975" i="7"/>
  <c r="CF975" i="7"/>
  <c r="CD975" i="7"/>
  <c r="AR975" i="7"/>
  <c r="CG974" i="7"/>
  <c r="CF974" i="7"/>
  <c r="AT974" i="7"/>
  <c r="CD974" i="7" s="1"/>
  <c r="AR974" i="7"/>
  <c r="CG973" i="7"/>
  <c r="CF973" i="7"/>
  <c r="CD973" i="7"/>
  <c r="AR973" i="7"/>
  <c r="CG972" i="7"/>
  <c r="CF972" i="7"/>
  <c r="CD972" i="7"/>
  <c r="AR972" i="7"/>
  <c r="CG971" i="7"/>
  <c r="CF971" i="7"/>
  <c r="CD971" i="7"/>
  <c r="AR971" i="7"/>
  <c r="CG970" i="7"/>
  <c r="CF970" i="7"/>
  <c r="CD970" i="7"/>
  <c r="AR970" i="7"/>
  <c r="CG969" i="7"/>
  <c r="CF969" i="7"/>
  <c r="CD969" i="7"/>
  <c r="AR969" i="7"/>
  <c r="CG968" i="7"/>
  <c r="CF968" i="7"/>
  <c r="CD968" i="7"/>
  <c r="AR968" i="7"/>
  <c r="CG967" i="7"/>
  <c r="CF967" i="7"/>
  <c r="AT967" i="7"/>
  <c r="AR967" i="7"/>
  <c r="CG966" i="7"/>
  <c r="CF966" i="7"/>
  <c r="AT966" i="7"/>
  <c r="AR966" i="7"/>
  <c r="CG965" i="7"/>
  <c r="CF965" i="7"/>
  <c r="CD965" i="7"/>
  <c r="CE965" i="7" s="1"/>
  <c r="AR965" i="7"/>
  <c r="CG964" i="7"/>
  <c r="CF964" i="7"/>
  <c r="CD964" i="7"/>
  <c r="AR964" i="7"/>
  <c r="CG963" i="7"/>
  <c r="CF963" i="7"/>
  <c r="CD963" i="7"/>
  <c r="AR963" i="7"/>
  <c r="CG962" i="7"/>
  <c r="CF962" i="7"/>
  <c r="CD962" i="7"/>
  <c r="AR962" i="7"/>
  <c r="CG961" i="7"/>
  <c r="CF961" i="7"/>
  <c r="CD961" i="7"/>
  <c r="AR961" i="7"/>
  <c r="CG960" i="7"/>
  <c r="CF960" i="7"/>
  <c r="AT960" i="7"/>
  <c r="CD960" i="7" s="1"/>
  <c r="AR960" i="7"/>
  <c r="CG959" i="7"/>
  <c r="CF959" i="7"/>
  <c r="CD959" i="7"/>
  <c r="AR959" i="7"/>
  <c r="CG958" i="7"/>
  <c r="CF958" i="7"/>
  <c r="CD958" i="7"/>
  <c r="AR958" i="7"/>
  <c r="CG957" i="7"/>
  <c r="CF957" i="7"/>
  <c r="CD957" i="7"/>
  <c r="AR957" i="7"/>
  <c r="CG956" i="7"/>
  <c r="CF956" i="7"/>
  <c r="CD956" i="7"/>
  <c r="CE956" i="7" s="1"/>
  <c r="AR956" i="7"/>
  <c r="CG955" i="7"/>
  <c r="CF955" i="7"/>
  <c r="CD955" i="7"/>
  <c r="AR955" i="7"/>
  <c r="CG954" i="7"/>
  <c r="CF954" i="7"/>
  <c r="CD954" i="7"/>
  <c r="CE954" i="7" s="1"/>
  <c r="AR954" i="7"/>
  <c r="CG953" i="7"/>
  <c r="CF953" i="7"/>
  <c r="CD953" i="7"/>
  <c r="CE953" i="7" s="1"/>
  <c r="AR953" i="7"/>
  <c r="CG952" i="7"/>
  <c r="CF952" i="7"/>
  <c r="AT952" i="7"/>
  <c r="CD952" i="7" s="1"/>
  <c r="AR952" i="7"/>
  <c r="CG951" i="7"/>
  <c r="CF951" i="7"/>
  <c r="CD951" i="7"/>
  <c r="CE951" i="7" s="1"/>
  <c r="AR951" i="7"/>
  <c r="CG950" i="7"/>
  <c r="CF950" i="7"/>
  <c r="CD950" i="7"/>
  <c r="AR950" i="7"/>
  <c r="CG949" i="7"/>
  <c r="CF949" i="7"/>
  <c r="CD949" i="7"/>
  <c r="AR949" i="7"/>
  <c r="CG948" i="7"/>
  <c r="CF948" i="7"/>
  <c r="CD948" i="7"/>
  <c r="AR948" i="7"/>
  <c r="CG947" i="7"/>
  <c r="CF947" i="7"/>
  <c r="CD947" i="7"/>
  <c r="CE947" i="7" s="1"/>
  <c r="AR947" i="7"/>
  <c r="CG946" i="7"/>
  <c r="CF946" i="7"/>
  <c r="CD946" i="7"/>
  <c r="AR946" i="7"/>
  <c r="CE946" i="7" s="1"/>
  <c r="CG945" i="7"/>
  <c r="CF945" i="7"/>
  <c r="CD945" i="7"/>
  <c r="AR945" i="7"/>
  <c r="CG944" i="7"/>
  <c r="CF944" i="7"/>
  <c r="CD944" i="7"/>
  <c r="AR944" i="7"/>
  <c r="CG943" i="7"/>
  <c r="CF943" i="7"/>
  <c r="CD943" i="7"/>
  <c r="AR943" i="7"/>
  <c r="CG942" i="7"/>
  <c r="CF942" i="7"/>
  <c r="CD942" i="7"/>
  <c r="AR942" i="7"/>
  <c r="CG941" i="7"/>
  <c r="CF941" i="7"/>
  <c r="CD941" i="7"/>
  <c r="AR941" i="7"/>
  <c r="CG940" i="7"/>
  <c r="CF940" i="7"/>
  <c r="CD940" i="7"/>
  <c r="AR940" i="7"/>
  <c r="CG939" i="7"/>
  <c r="CF939" i="7"/>
  <c r="CD939" i="7"/>
  <c r="AR939" i="7"/>
  <c r="CG938" i="7"/>
  <c r="CF938" i="7"/>
  <c r="CD938" i="7"/>
  <c r="AR938" i="7"/>
  <c r="CG937" i="7"/>
  <c r="CF937" i="7"/>
  <c r="CD937" i="7"/>
  <c r="AR937" i="7"/>
  <c r="CG936" i="7"/>
  <c r="CF936" i="7"/>
  <c r="CD936" i="7"/>
  <c r="AR936" i="7"/>
  <c r="CG935" i="7"/>
  <c r="CF935" i="7"/>
  <c r="CD935" i="7"/>
  <c r="AR935" i="7"/>
  <c r="CG934" i="7"/>
  <c r="CF934" i="7"/>
  <c r="CD934" i="7"/>
  <c r="AR934" i="7"/>
  <c r="CG933" i="7"/>
  <c r="CF933" i="7"/>
  <c r="CD933" i="7"/>
  <c r="AR933" i="7"/>
  <c r="CG932" i="7"/>
  <c r="CF932" i="7"/>
  <c r="CD932" i="7"/>
  <c r="AR932" i="7"/>
  <c r="CG931" i="7"/>
  <c r="CF931" i="7"/>
  <c r="CD931" i="7"/>
  <c r="AR931" i="7"/>
  <c r="CG930" i="7"/>
  <c r="CF930" i="7"/>
  <c r="CD930" i="7"/>
  <c r="AR930" i="7"/>
  <c r="CG929" i="7"/>
  <c r="CF929" i="7"/>
  <c r="CD929" i="7"/>
  <c r="AR929" i="7"/>
  <c r="CG928" i="7"/>
  <c r="CF928" i="7"/>
  <c r="AU928" i="7"/>
  <c r="AU1060" i="7" s="1"/>
  <c r="AT928" i="7"/>
  <c r="AR928" i="7"/>
  <c r="CG927" i="7"/>
  <c r="CF927" i="7"/>
  <c r="CD927" i="7"/>
  <c r="AR927" i="7"/>
  <c r="CG926" i="7"/>
  <c r="CF926" i="7"/>
  <c r="CD926" i="7"/>
  <c r="AR926" i="7"/>
  <c r="CG925" i="7"/>
  <c r="CF925" i="7"/>
  <c r="CD925" i="7"/>
  <c r="AR925" i="7"/>
  <c r="CG924" i="7"/>
  <c r="CF924" i="7"/>
  <c r="CD924" i="7"/>
  <c r="AR924" i="7"/>
  <c r="CG923" i="7"/>
  <c r="CF923" i="7"/>
  <c r="CD923" i="7"/>
  <c r="AR923" i="7"/>
  <c r="CG922" i="7"/>
  <c r="CF922" i="7"/>
  <c r="CD922" i="7"/>
  <c r="AR922" i="7"/>
  <c r="CG921" i="7"/>
  <c r="CF921" i="7"/>
  <c r="CD921" i="7"/>
  <c r="AR921" i="7"/>
  <c r="CG920" i="7"/>
  <c r="CF920" i="7"/>
  <c r="CD920" i="7"/>
  <c r="CE920" i="7" s="1"/>
  <c r="AR920" i="7"/>
  <c r="CG919" i="7"/>
  <c r="CF919" i="7"/>
  <c r="AT919" i="7"/>
  <c r="CD919" i="7" s="1"/>
  <c r="AR919" i="7"/>
  <c r="CG918" i="7"/>
  <c r="CF918" i="7"/>
  <c r="AT918" i="7"/>
  <c r="CD918" i="7" s="1"/>
  <c r="AR918" i="7"/>
  <c r="CG917" i="7"/>
  <c r="CF917" i="7"/>
  <c r="AT917" i="7"/>
  <c r="CD917" i="7" s="1"/>
  <c r="AR917" i="7"/>
  <c r="CG916" i="7"/>
  <c r="CF916" i="7"/>
  <c r="AT916" i="7"/>
  <c r="CD916" i="7" s="1"/>
  <c r="AR916" i="7"/>
  <c r="CG915" i="7"/>
  <c r="CF915" i="7"/>
  <c r="AT915" i="7"/>
  <c r="CD915" i="7" s="1"/>
  <c r="AR915" i="7"/>
  <c r="CG914" i="7"/>
  <c r="CF914" i="7"/>
  <c r="CD914" i="7"/>
  <c r="AR914" i="7"/>
  <c r="CG913" i="7"/>
  <c r="CF913" i="7"/>
  <c r="CD913" i="7"/>
  <c r="AR913" i="7"/>
  <c r="CG912" i="7"/>
  <c r="CF912" i="7"/>
  <c r="BH912" i="7"/>
  <c r="CD912" i="7" s="1"/>
  <c r="CE912" i="7" s="1"/>
  <c r="AR912" i="7"/>
  <c r="CG911" i="7"/>
  <c r="CF911" i="7"/>
  <c r="CD911" i="7"/>
  <c r="CE911" i="7" s="1"/>
  <c r="AR911" i="7"/>
  <c r="CG910" i="7"/>
  <c r="CF910" i="7"/>
  <c r="CD910" i="7"/>
  <c r="AR910" i="7"/>
  <c r="CG909" i="7"/>
  <c r="CF909" i="7"/>
  <c r="CD909" i="7"/>
  <c r="AR909" i="7"/>
  <c r="CG908" i="7"/>
  <c r="CF908" i="7"/>
  <c r="CD908" i="7"/>
  <c r="AR908" i="7"/>
  <c r="CG907" i="7"/>
  <c r="CF907" i="7"/>
  <c r="BH907" i="7"/>
  <c r="AR907" i="7"/>
  <c r="CG906" i="7"/>
  <c r="CF906" i="7"/>
  <c r="AT906" i="7"/>
  <c r="CD906" i="7" s="1"/>
  <c r="AR906" i="7"/>
  <c r="CN905" i="7"/>
  <c r="CM905" i="7"/>
  <c r="CL905" i="7"/>
  <c r="CK905" i="7"/>
  <c r="CJ905" i="7"/>
  <c r="CI905" i="7"/>
  <c r="CH905" i="7"/>
  <c r="CC905" i="7"/>
  <c r="CB905" i="7"/>
  <c r="CA905" i="7"/>
  <c r="BY905" i="7"/>
  <c r="BX905" i="7"/>
  <c r="BW905" i="7"/>
  <c r="BV905" i="7"/>
  <c r="BU905" i="7"/>
  <c r="BT905" i="7"/>
  <c r="BS905" i="7"/>
  <c r="BR905" i="7"/>
  <c r="BQ905" i="7"/>
  <c r="BP905" i="7"/>
  <c r="BO905" i="7"/>
  <c r="BN905" i="7"/>
  <c r="BM905" i="7"/>
  <c r="BL905" i="7"/>
  <c r="BK905" i="7"/>
  <c r="BJ905" i="7"/>
  <c r="BI905" i="7"/>
  <c r="BH905" i="7"/>
  <c r="BG905" i="7"/>
  <c r="BF905" i="7"/>
  <c r="BE905" i="7"/>
  <c r="BD905" i="7"/>
  <c r="BC905" i="7"/>
  <c r="BB905" i="7"/>
  <c r="BA905" i="7"/>
  <c r="AZ905" i="7"/>
  <c r="AY905" i="7"/>
  <c r="AX905" i="7"/>
  <c r="AW905" i="7"/>
  <c r="AV905" i="7"/>
  <c r="AU905" i="7"/>
  <c r="AS905" i="7"/>
  <c r="AQ905" i="7"/>
  <c r="AP905" i="7"/>
  <c r="AO905" i="7"/>
  <c r="AM905" i="7"/>
  <c r="AL905" i="7"/>
  <c r="AK905" i="7"/>
  <c r="AJ905" i="7"/>
  <c r="AI905" i="7"/>
  <c r="AH905" i="7"/>
  <c r="AG905" i="7"/>
  <c r="AF905" i="7"/>
  <c r="AE905" i="7"/>
  <c r="AD905" i="7"/>
  <c r="AC905" i="7"/>
  <c r="AB905" i="7"/>
  <c r="AA905" i="7"/>
  <c r="Z905" i="7"/>
  <c r="Y905" i="7"/>
  <c r="X905" i="7"/>
  <c r="W905" i="7"/>
  <c r="V905" i="7"/>
  <c r="U905" i="7"/>
  <c r="T905" i="7"/>
  <c r="S905" i="7"/>
  <c r="R905" i="7"/>
  <c r="Q905" i="7"/>
  <c r="P905" i="7"/>
  <c r="O905" i="7"/>
  <c r="N905" i="7"/>
  <c r="M905" i="7"/>
  <c r="L905" i="7"/>
  <c r="K905" i="7"/>
  <c r="J905" i="7"/>
  <c r="I905" i="7"/>
  <c r="H905" i="7"/>
  <c r="G905" i="7"/>
  <c r="CG904" i="7"/>
  <c r="CF904" i="7"/>
  <c r="CD904" i="7"/>
  <c r="AR904" i="7"/>
  <c r="E904" i="7"/>
  <c r="CG903" i="7"/>
  <c r="CF903" i="7"/>
  <c r="CD903" i="7"/>
  <c r="AR903" i="7"/>
  <c r="CG902" i="7"/>
  <c r="CF902" i="7"/>
  <c r="CD902" i="7"/>
  <c r="AR902" i="7"/>
  <c r="CG901" i="7"/>
  <c r="CF901" i="7"/>
  <c r="CD901" i="7"/>
  <c r="AR901" i="7"/>
  <c r="CG900" i="7"/>
  <c r="CF900" i="7"/>
  <c r="CD900" i="7"/>
  <c r="AR900" i="7"/>
  <c r="E900" i="7"/>
  <c r="E902" i="7" s="1"/>
  <c r="E903" i="7" s="1"/>
  <c r="CG899" i="7"/>
  <c r="CF899" i="7"/>
  <c r="CD899" i="7"/>
  <c r="AR899" i="7"/>
  <c r="E899" i="7"/>
  <c r="CG898" i="7"/>
  <c r="CF898" i="7"/>
  <c r="CD898" i="7"/>
  <c r="AR898" i="7"/>
  <c r="CG897" i="7"/>
  <c r="CF897" i="7"/>
  <c r="CD897" i="7"/>
  <c r="AR897" i="7"/>
  <c r="CG896" i="7"/>
  <c r="CF896" i="7"/>
  <c r="CD896" i="7"/>
  <c r="AR896" i="7"/>
  <c r="CG895" i="7"/>
  <c r="CF895" i="7"/>
  <c r="CD895" i="7"/>
  <c r="AR895" i="7"/>
  <c r="CG894" i="7"/>
  <c r="CF894" i="7"/>
  <c r="CD894" i="7"/>
  <c r="AR894" i="7"/>
  <c r="CG893" i="7"/>
  <c r="CF893" i="7"/>
  <c r="CD893" i="7"/>
  <c r="AR893" i="7"/>
  <c r="CG892" i="7"/>
  <c r="CF892" i="7"/>
  <c r="CD892" i="7"/>
  <c r="CE892" i="7" s="1"/>
  <c r="AR892" i="7"/>
  <c r="CG891" i="7"/>
  <c r="CF891" i="7"/>
  <c r="CD891" i="7"/>
  <c r="AR891" i="7"/>
  <c r="CG890" i="7"/>
  <c r="CF890" i="7"/>
  <c r="CD890" i="7"/>
  <c r="AR890" i="7"/>
  <c r="CG889" i="7"/>
  <c r="CF889" i="7"/>
  <c r="CD889" i="7"/>
  <c r="AR889" i="7"/>
  <c r="CG888" i="7"/>
  <c r="CF888" i="7"/>
  <c r="CD888" i="7"/>
  <c r="AR888" i="7"/>
  <c r="CG887" i="7"/>
  <c r="CF887" i="7"/>
  <c r="CD887" i="7"/>
  <c r="CE887" i="7" s="1"/>
  <c r="AR887" i="7"/>
  <c r="CG886" i="7"/>
  <c r="CF886" i="7"/>
  <c r="CD886" i="7"/>
  <c r="AR886" i="7"/>
  <c r="CG885" i="7"/>
  <c r="CF885" i="7"/>
  <c r="CD885" i="7"/>
  <c r="CE885" i="7" s="1"/>
  <c r="AR885" i="7"/>
  <c r="CG884" i="7"/>
  <c r="CF884" i="7"/>
  <c r="AT884" i="7"/>
  <c r="CD884" i="7" s="1"/>
  <c r="CE884" i="7" s="1"/>
  <c r="AR884" i="7"/>
  <c r="CG883" i="7"/>
  <c r="CF883" i="7"/>
  <c r="CD883" i="7"/>
  <c r="AR883" i="7"/>
  <c r="CG882" i="7"/>
  <c r="CF882" i="7"/>
  <c r="CD882" i="7"/>
  <c r="AR882" i="7"/>
  <c r="CG881" i="7"/>
  <c r="CF881" i="7"/>
  <c r="AT881" i="7"/>
  <c r="AR881" i="7"/>
  <c r="CG880" i="7"/>
  <c r="CF880" i="7"/>
  <c r="CE880" i="7"/>
  <c r="AT880" i="7"/>
  <c r="CD880" i="7" s="1"/>
  <c r="AR880" i="7"/>
  <c r="CG879" i="7"/>
  <c r="CF879" i="7"/>
  <c r="CD879" i="7"/>
  <c r="AR879" i="7"/>
  <c r="CG878" i="7"/>
  <c r="CF878" i="7"/>
  <c r="CD878" i="7"/>
  <c r="AR878" i="7"/>
  <c r="CG877" i="7"/>
  <c r="CF877" i="7"/>
  <c r="CD877" i="7"/>
  <c r="AR877" i="7"/>
  <c r="CG876" i="7"/>
  <c r="CF876" i="7"/>
  <c r="CD876" i="7"/>
  <c r="AR876" i="7"/>
  <c r="CG875" i="7"/>
  <c r="CF875" i="7"/>
  <c r="CD875" i="7"/>
  <c r="AR875" i="7"/>
  <c r="CG874" i="7"/>
  <c r="CF874" i="7"/>
  <c r="CD874" i="7"/>
  <c r="CE874" i="7" s="1"/>
  <c r="AR874" i="7"/>
  <c r="CG873" i="7"/>
  <c r="CF873" i="7"/>
  <c r="CD873" i="7"/>
  <c r="AR873" i="7"/>
  <c r="CG872" i="7"/>
  <c r="CF872" i="7"/>
  <c r="CD872" i="7"/>
  <c r="AR872" i="7"/>
  <c r="CG871" i="7"/>
  <c r="CF871" i="7"/>
  <c r="CD871" i="7"/>
  <c r="AR871" i="7"/>
  <c r="CG870" i="7"/>
  <c r="CF870" i="7"/>
  <c r="CD870" i="7"/>
  <c r="AR870" i="7"/>
  <c r="CG869" i="7"/>
  <c r="CF869" i="7"/>
  <c r="CD869" i="7"/>
  <c r="AR869" i="7"/>
  <c r="CG868" i="7"/>
  <c r="CF868" i="7"/>
  <c r="CD868" i="7"/>
  <c r="AR868" i="7"/>
  <c r="CG867" i="7"/>
  <c r="CF867" i="7"/>
  <c r="CD867" i="7"/>
  <c r="AR867" i="7"/>
  <c r="CG866" i="7"/>
  <c r="CF866" i="7"/>
  <c r="CD866" i="7"/>
  <c r="AT866" i="7"/>
  <c r="AR866" i="7"/>
  <c r="CG865" i="7"/>
  <c r="CF865" i="7"/>
  <c r="CD865" i="7"/>
  <c r="AR865" i="7"/>
  <c r="E865" i="7"/>
  <c r="E866" i="7" s="1"/>
  <c r="CG864" i="7"/>
  <c r="CF864" i="7"/>
  <c r="CD864" i="7"/>
  <c r="AR864" i="7"/>
  <c r="CG863" i="7"/>
  <c r="CF863" i="7"/>
  <c r="CD863" i="7"/>
  <c r="AR863" i="7"/>
  <c r="CG862" i="7"/>
  <c r="CF862" i="7"/>
  <c r="CD862" i="7"/>
  <c r="AR862" i="7"/>
  <c r="E862" i="7"/>
  <c r="E863" i="7" s="1"/>
  <c r="E864" i="7" s="1"/>
  <c r="CG861" i="7"/>
  <c r="CF861" i="7"/>
  <c r="CD861" i="7"/>
  <c r="CE861" i="7" s="1"/>
  <c r="AR861" i="7"/>
  <c r="CG860" i="7"/>
  <c r="CF860" i="7"/>
  <c r="CD860" i="7"/>
  <c r="AR860" i="7"/>
  <c r="CG859" i="7"/>
  <c r="CF859" i="7"/>
  <c r="CD859" i="7"/>
  <c r="AR859" i="7"/>
  <c r="CG858" i="7"/>
  <c r="CF858" i="7"/>
  <c r="CD858" i="7"/>
  <c r="AR858" i="7"/>
  <c r="CG857" i="7"/>
  <c r="CF857" i="7"/>
  <c r="CD857" i="7"/>
  <c r="AR857" i="7"/>
  <c r="CG856" i="7"/>
  <c r="CF856" i="7"/>
  <c r="CD856" i="7"/>
  <c r="CE856" i="7" s="1"/>
  <c r="AT856" i="7"/>
  <c r="AR856" i="7"/>
  <c r="CG855" i="7"/>
  <c r="CF855" i="7"/>
  <c r="CD855" i="7"/>
  <c r="CE855" i="7" s="1"/>
  <c r="AR855" i="7"/>
  <c r="CG854" i="7"/>
  <c r="CF854" i="7"/>
  <c r="CD854" i="7"/>
  <c r="AR854" i="7"/>
  <c r="CG853" i="7"/>
  <c r="CF853" i="7"/>
  <c r="CD853" i="7"/>
  <c r="CE853" i="7" s="1"/>
  <c r="AR853" i="7"/>
  <c r="CG852" i="7"/>
  <c r="CF852" i="7"/>
  <c r="CD852" i="7"/>
  <c r="AR852" i="7"/>
  <c r="CG851" i="7"/>
  <c r="CF851" i="7"/>
  <c r="CD851" i="7"/>
  <c r="AR851" i="7"/>
  <c r="CG850" i="7"/>
  <c r="CF850" i="7"/>
  <c r="CD850" i="7"/>
  <c r="AR850" i="7"/>
  <c r="CG849" i="7"/>
  <c r="CF849" i="7"/>
  <c r="CD849" i="7"/>
  <c r="CE849" i="7" s="1"/>
  <c r="AR849" i="7"/>
  <c r="CH848" i="7"/>
  <c r="CC848" i="7"/>
  <c r="CB848" i="7"/>
  <c r="CA848" i="7"/>
  <c r="BY848" i="7"/>
  <c r="BX848" i="7"/>
  <c r="BW848" i="7"/>
  <c r="BV848" i="7"/>
  <c r="BU848" i="7"/>
  <c r="BT848" i="7"/>
  <c r="BS848" i="7"/>
  <c r="BR848" i="7"/>
  <c r="BQ848" i="7"/>
  <c r="BP848" i="7"/>
  <c r="BO848" i="7"/>
  <c r="BN848" i="7"/>
  <c r="BM848" i="7"/>
  <c r="BL848" i="7"/>
  <c r="BK848" i="7"/>
  <c r="BJ848" i="7"/>
  <c r="BI848" i="7"/>
  <c r="BG848" i="7"/>
  <c r="BF848" i="7"/>
  <c r="BE848" i="7"/>
  <c r="BD848" i="7"/>
  <c r="BC848" i="7"/>
  <c r="BB848" i="7"/>
  <c r="BA848" i="7"/>
  <c r="AZ848" i="7"/>
  <c r="AY848" i="7"/>
  <c r="AX848" i="7"/>
  <c r="AW848" i="7"/>
  <c r="AV848" i="7"/>
  <c r="AU848" i="7"/>
  <c r="AS848" i="7"/>
  <c r="AQ848" i="7"/>
  <c r="AP848" i="7"/>
  <c r="AO848" i="7"/>
  <c r="AM848" i="7"/>
  <c r="AL848" i="7"/>
  <c r="AK848" i="7"/>
  <c r="AJ848" i="7"/>
  <c r="AI848" i="7"/>
  <c r="AH848" i="7"/>
  <c r="AG848" i="7"/>
  <c r="AF848" i="7"/>
  <c r="AE848" i="7"/>
  <c r="AD848" i="7"/>
  <c r="AC848" i="7"/>
  <c r="AB848" i="7"/>
  <c r="AA848" i="7"/>
  <c r="Z848" i="7"/>
  <c r="Y848" i="7"/>
  <c r="X848" i="7"/>
  <c r="W848" i="7"/>
  <c r="V848" i="7"/>
  <c r="U848" i="7"/>
  <c r="T848" i="7"/>
  <c r="S848" i="7"/>
  <c r="R848" i="7"/>
  <c r="Q848" i="7"/>
  <c r="P848" i="7"/>
  <c r="O848" i="7"/>
  <c r="N848" i="7"/>
  <c r="M848" i="7"/>
  <c r="L848" i="7"/>
  <c r="K848" i="7"/>
  <c r="J848" i="7"/>
  <c r="I848" i="7"/>
  <c r="H848" i="7"/>
  <c r="G848" i="7"/>
  <c r="CG847" i="7"/>
  <c r="CF847" i="7"/>
  <c r="CD847" i="7"/>
  <c r="AR847" i="7"/>
  <c r="CG846" i="7"/>
  <c r="CF846" i="7"/>
  <c r="CD846" i="7"/>
  <c r="CE846" i="7" s="1"/>
  <c r="AR846" i="7"/>
  <c r="CG845" i="7"/>
  <c r="CF845" i="7"/>
  <c r="CE845" i="7"/>
  <c r="CD845" i="7"/>
  <c r="AR845" i="7"/>
  <c r="CG844" i="7"/>
  <c r="CF844" i="7"/>
  <c r="CD844" i="7"/>
  <c r="AR844" i="7"/>
  <c r="CG843" i="7"/>
  <c r="CF843" i="7"/>
  <c r="BH843" i="7"/>
  <c r="AT843" i="7"/>
  <c r="AR843" i="7"/>
  <c r="CG842" i="7"/>
  <c r="CF842" i="7"/>
  <c r="AT842" i="7"/>
  <c r="CD842" i="7" s="1"/>
  <c r="AR842" i="7"/>
  <c r="CE842" i="7" s="1"/>
  <c r="CG841" i="7"/>
  <c r="CF841" i="7"/>
  <c r="AT841" i="7"/>
  <c r="CD841" i="7" s="1"/>
  <c r="AR841" i="7"/>
  <c r="CG840" i="7"/>
  <c r="CF840" i="7"/>
  <c r="CD840" i="7"/>
  <c r="AR840" i="7"/>
  <c r="CG839" i="7"/>
  <c r="CF839" i="7"/>
  <c r="CD839" i="7"/>
  <c r="AR839" i="7"/>
  <c r="CG838" i="7"/>
  <c r="CF838" i="7"/>
  <c r="AT838" i="7"/>
  <c r="CD838" i="7" s="1"/>
  <c r="AR838" i="7"/>
  <c r="CG837" i="7"/>
  <c r="CF837" i="7"/>
  <c r="CD837" i="7"/>
  <c r="AR837" i="7"/>
  <c r="CG836" i="7"/>
  <c r="CF836" i="7"/>
  <c r="CD836" i="7"/>
  <c r="AR836" i="7"/>
  <c r="E836" i="7"/>
  <c r="E837" i="7" s="1"/>
  <c r="E838" i="7" s="1"/>
  <c r="CG835" i="7"/>
  <c r="CF835" i="7"/>
  <c r="CD835" i="7"/>
  <c r="AR835" i="7"/>
  <c r="CG834" i="7"/>
  <c r="CF834" i="7"/>
  <c r="CD834" i="7"/>
  <c r="AR834" i="7"/>
  <c r="CG833" i="7"/>
  <c r="CF833" i="7"/>
  <c r="CD833" i="7"/>
  <c r="CE833" i="7" s="1"/>
  <c r="AR833" i="7"/>
  <c r="CG832" i="7"/>
  <c r="CF832" i="7"/>
  <c r="CD832" i="7"/>
  <c r="AR832" i="7"/>
  <c r="CG831" i="7"/>
  <c r="CF831" i="7"/>
  <c r="CD831" i="7"/>
  <c r="AR831" i="7"/>
  <c r="CG830" i="7"/>
  <c r="CF830" i="7"/>
  <c r="AT830" i="7"/>
  <c r="AR830" i="7"/>
  <c r="CG829" i="7"/>
  <c r="CF829" i="7"/>
  <c r="AT829" i="7"/>
  <c r="CD829" i="7" s="1"/>
  <c r="CE829" i="7" s="1"/>
  <c r="AR829" i="7"/>
  <c r="E829" i="7"/>
  <c r="CG828" i="7"/>
  <c r="CF828" i="7"/>
  <c r="CD828" i="7"/>
  <c r="AR828" i="7"/>
  <c r="CG827" i="7"/>
  <c r="CF827" i="7"/>
  <c r="AT827" i="7"/>
  <c r="CD827" i="7" s="1"/>
  <c r="AR827" i="7"/>
  <c r="CG826" i="7"/>
  <c r="CF826" i="7"/>
  <c r="AT826" i="7"/>
  <c r="CD826" i="7" s="1"/>
  <c r="CE826" i="7" s="1"/>
  <c r="AR826" i="7"/>
  <c r="CG825" i="7"/>
  <c r="CF825" i="7"/>
  <c r="CD825" i="7"/>
  <c r="AR825" i="7"/>
  <c r="CG824" i="7"/>
  <c r="CF824" i="7"/>
  <c r="CD824" i="7"/>
  <c r="CE824" i="7" s="1"/>
  <c r="AR824" i="7"/>
  <c r="CG823" i="7"/>
  <c r="CF823" i="7"/>
  <c r="CD823" i="7"/>
  <c r="AR823" i="7"/>
  <c r="CG822" i="7"/>
  <c r="CF822" i="7"/>
  <c r="CD822" i="7"/>
  <c r="CE822" i="7" s="1"/>
  <c r="AR822" i="7"/>
  <c r="CG821" i="7"/>
  <c r="CF821" i="7"/>
  <c r="CE821" i="7"/>
  <c r="CD821" i="7"/>
  <c r="AR821" i="7"/>
  <c r="CG820" i="7"/>
  <c r="CF820" i="7"/>
  <c r="CD820" i="7"/>
  <c r="AR820" i="7"/>
  <c r="CG819" i="7"/>
  <c r="CF819" i="7"/>
  <c r="CD819" i="7"/>
  <c r="AR819" i="7"/>
  <c r="CG818" i="7"/>
  <c r="CF818" i="7"/>
  <c r="CD818" i="7"/>
  <c r="CE818" i="7" s="1"/>
  <c r="AR818" i="7"/>
  <c r="CG817" i="7"/>
  <c r="CF817" i="7"/>
  <c r="AT817" i="7"/>
  <c r="AR817" i="7"/>
  <c r="CG816" i="7"/>
  <c r="CF816" i="7"/>
  <c r="CD816" i="7"/>
  <c r="AR816" i="7"/>
  <c r="CG815" i="7"/>
  <c r="CF815" i="7"/>
  <c r="CD815" i="7"/>
  <c r="CE815" i="7" s="1"/>
  <c r="AR815" i="7"/>
  <c r="CG814" i="7"/>
  <c r="CF814" i="7"/>
  <c r="CD814" i="7"/>
  <c r="AR814" i="7"/>
  <c r="CG813" i="7"/>
  <c r="CF813" i="7"/>
  <c r="CD813" i="7"/>
  <c r="AR813" i="7"/>
  <c r="CG812" i="7"/>
  <c r="CF812" i="7"/>
  <c r="CD812" i="7"/>
  <c r="CE812" i="7" s="1"/>
  <c r="AR812" i="7"/>
  <c r="CG811" i="7"/>
  <c r="CF811" i="7"/>
  <c r="CD811" i="7"/>
  <c r="AR811" i="7"/>
  <c r="CG810" i="7"/>
  <c r="CF810" i="7"/>
  <c r="CD810" i="7"/>
  <c r="AR810" i="7"/>
  <c r="CG809" i="7"/>
  <c r="CF809" i="7"/>
  <c r="CD809" i="7"/>
  <c r="AR809" i="7"/>
  <c r="CG808" i="7"/>
  <c r="CF808" i="7"/>
  <c r="CD808" i="7"/>
  <c r="AR808" i="7"/>
  <c r="CG807" i="7"/>
  <c r="CF807" i="7"/>
  <c r="CD807" i="7"/>
  <c r="AR807" i="7"/>
  <c r="CG806" i="7"/>
  <c r="CF806" i="7"/>
  <c r="AT806" i="7"/>
  <c r="CD806" i="7" s="1"/>
  <c r="AR806" i="7"/>
  <c r="CG805" i="7"/>
  <c r="CF805" i="7"/>
  <c r="CD805" i="7"/>
  <c r="AR805" i="7"/>
  <c r="CG804" i="7"/>
  <c r="CF804" i="7"/>
  <c r="CD804" i="7"/>
  <c r="AR804" i="7"/>
  <c r="CG803" i="7"/>
  <c r="CF803" i="7"/>
  <c r="CD803" i="7"/>
  <c r="AR803" i="7"/>
  <c r="CG802" i="7"/>
  <c r="CF802" i="7"/>
  <c r="CD802" i="7"/>
  <c r="AR802" i="7"/>
  <c r="CG801" i="7"/>
  <c r="CF801" i="7"/>
  <c r="CD801" i="7"/>
  <c r="CE801" i="7" s="1"/>
  <c r="AR801" i="7"/>
  <c r="CG800" i="7"/>
  <c r="CF800" i="7"/>
  <c r="AT800" i="7"/>
  <c r="CD800" i="7" s="1"/>
  <c r="CE800" i="7" s="1"/>
  <c r="AR800" i="7"/>
  <c r="CG799" i="7"/>
  <c r="CF799" i="7"/>
  <c r="CD799" i="7"/>
  <c r="CE799" i="7" s="1"/>
  <c r="AR799" i="7"/>
  <c r="CG798" i="7"/>
  <c r="CF798" i="7"/>
  <c r="CD798" i="7"/>
  <c r="AR798" i="7"/>
  <c r="CG797" i="7"/>
  <c r="CF797" i="7"/>
  <c r="CD797" i="7"/>
  <c r="CE797" i="7" s="1"/>
  <c r="AR797" i="7"/>
  <c r="CG796" i="7"/>
  <c r="CF796" i="7"/>
  <c r="CD796" i="7"/>
  <c r="AR796" i="7"/>
  <c r="CG795" i="7"/>
  <c r="CF795" i="7"/>
  <c r="CD795" i="7"/>
  <c r="AR795" i="7"/>
  <c r="CG794" i="7"/>
  <c r="CF794" i="7"/>
  <c r="CD794" i="7"/>
  <c r="CE794" i="7" s="1"/>
  <c r="AR794" i="7"/>
  <c r="CG793" i="7"/>
  <c r="CF793" i="7"/>
  <c r="CD793" i="7"/>
  <c r="AR793" i="7"/>
  <c r="CE793" i="7" s="1"/>
  <c r="CG792" i="7"/>
  <c r="CF792" i="7"/>
  <c r="CD792" i="7"/>
  <c r="AR792" i="7"/>
  <c r="CG791" i="7"/>
  <c r="CF791" i="7"/>
  <c r="CD791" i="7"/>
  <c r="AR791" i="7"/>
  <c r="CG790" i="7"/>
  <c r="CF790" i="7"/>
  <c r="CD790" i="7"/>
  <c r="AR790" i="7"/>
  <c r="CG789" i="7"/>
  <c r="CF789" i="7"/>
  <c r="CD789" i="7"/>
  <c r="AR789" i="7"/>
  <c r="CG788" i="7"/>
  <c r="CF788" i="7"/>
  <c r="CD788" i="7"/>
  <c r="AR788" i="7"/>
  <c r="CG787" i="7"/>
  <c r="CF787" i="7"/>
  <c r="CD787" i="7"/>
  <c r="AR787" i="7"/>
  <c r="CG786" i="7"/>
  <c r="CF786" i="7"/>
  <c r="CD786" i="7"/>
  <c r="AR786" i="7"/>
  <c r="CG785" i="7"/>
  <c r="CF785" i="7"/>
  <c r="CD785" i="7"/>
  <c r="AR785" i="7"/>
  <c r="CG784" i="7"/>
  <c r="CF784" i="7"/>
  <c r="CD784" i="7"/>
  <c r="AR784" i="7"/>
  <c r="CG783" i="7"/>
  <c r="CF783" i="7"/>
  <c r="CD783" i="7"/>
  <c r="AR783" i="7"/>
  <c r="CG782" i="7"/>
  <c r="CF782" i="7"/>
  <c r="CD782" i="7"/>
  <c r="AR782" i="7"/>
  <c r="CG781" i="7"/>
  <c r="CF781" i="7"/>
  <c r="CD781" i="7"/>
  <c r="AT781" i="7"/>
  <c r="AR781" i="7"/>
  <c r="CE781" i="7" s="1"/>
  <c r="CG780" i="7"/>
  <c r="CF780" i="7"/>
  <c r="CD780" i="7"/>
  <c r="AR780" i="7"/>
  <c r="CG779" i="7"/>
  <c r="CF779" i="7"/>
  <c r="CD779" i="7"/>
  <c r="AR779" i="7"/>
  <c r="CG778" i="7"/>
  <c r="CF778" i="7"/>
  <c r="CD778" i="7"/>
  <c r="AT778" i="7"/>
  <c r="AR778" i="7"/>
  <c r="CG777" i="7"/>
  <c r="CF777" i="7"/>
  <c r="CD777" i="7"/>
  <c r="AR777" i="7"/>
  <c r="CG776" i="7"/>
  <c r="CF776" i="7"/>
  <c r="CD776" i="7"/>
  <c r="AR776" i="7"/>
  <c r="CG775" i="7"/>
  <c r="CF775" i="7"/>
  <c r="CD775" i="7"/>
  <c r="CE775" i="7" s="1"/>
  <c r="AR775" i="7"/>
  <c r="CG774" i="7"/>
  <c r="CF774" i="7"/>
  <c r="CD774" i="7"/>
  <c r="AR774" i="7"/>
  <c r="CG773" i="7"/>
  <c r="CF773" i="7"/>
  <c r="CD773" i="7"/>
  <c r="AR773" i="7"/>
  <c r="CG772" i="7"/>
  <c r="CF772" i="7"/>
  <c r="CD772" i="7"/>
  <c r="AR772" i="7"/>
  <c r="CG771" i="7"/>
  <c r="CF771" i="7"/>
  <c r="CD771" i="7"/>
  <c r="AR771" i="7"/>
  <c r="CG770" i="7"/>
  <c r="CF770" i="7"/>
  <c r="CD770" i="7"/>
  <c r="CE770" i="7" s="1"/>
  <c r="AR770" i="7"/>
  <c r="CG769" i="7"/>
  <c r="CF769" i="7"/>
  <c r="CD769" i="7"/>
  <c r="CE769" i="7" s="1"/>
  <c r="AT769" i="7"/>
  <c r="AR769" i="7"/>
  <c r="CG768" i="7"/>
  <c r="CF768" i="7"/>
  <c r="AT768" i="7"/>
  <c r="CD768" i="7" s="1"/>
  <c r="AR768" i="7"/>
  <c r="CG767" i="7"/>
  <c r="CF767" i="7"/>
  <c r="CD767" i="7"/>
  <c r="AR767" i="7"/>
  <c r="CG766" i="7"/>
  <c r="CF766" i="7"/>
  <c r="CD766" i="7"/>
  <c r="CE766" i="7" s="1"/>
  <c r="AR766" i="7"/>
  <c r="CG765" i="7"/>
  <c r="CF765" i="7"/>
  <c r="AT765" i="7"/>
  <c r="CD765" i="7" s="1"/>
  <c r="CE765" i="7" s="1"/>
  <c r="AR765" i="7"/>
  <c r="CG764" i="7"/>
  <c r="CF764" i="7"/>
  <c r="CD764" i="7"/>
  <c r="AR764" i="7"/>
  <c r="CG763" i="7"/>
  <c r="CF763" i="7"/>
  <c r="CD763" i="7"/>
  <c r="AR763" i="7"/>
  <c r="CG762" i="7"/>
  <c r="CF762" i="7"/>
  <c r="CD762" i="7"/>
  <c r="AT762" i="7"/>
  <c r="AR762" i="7"/>
  <c r="CG761" i="7"/>
  <c r="CF761" i="7"/>
  <c r="CD761" i="7"/>
  <c r="AR761" i="7"/>
  <c r="CG760" i="7"/>
  <c r="CF760" i="7"/>
  <c r="CD760" i="7"/>
  <c r="AR760" i="7"/>
  <c r="CG759" i="7"/>
  <c r="CF759" i="7"/>
  <c r="CD759" i="7"/>
  <c r="AR759" i="7"/>
  <c r="CG758" i="7"/>
  <c r="CF758" i="7"/>
  <c r="CD758" i="7"/>
  <c r="AR758" i="7"/>
  <c r="CG757" i="7"/>
  <c r="CF757" i="7"/>
  <c r="CD757" i="7"/>
  <c r="AR757" i="7"/>
  <c r="CG756" i="7"/>
  <c r="CF756" i="7"/>
  <c r="CD756" i="7"/>
  <c r="AR756" i="7"/>
  <c r="CG755" i="7"/>
  <c r="CF755" i="7"/>
  <c r="CD755" i="7"/>
  <c r="AR755" i="7"/>
  <c r="CG754" i="7"/>
  <c r="CF754" i="7"/>
  <c r="CD754" i="7"/>
  <c r="AR754" i="7"/>
  <c r="CG753" i="7"/>
  <c r="CF753" i="7"/>
  <c r="CD753" i="7"/>
  <c r="AR753" i="7"/>
  <c r="CG752" i="7"/>
  <c r="CF752" i="7"/>
  <c r="CD752" i="7"/>
  <c r="AR752" i="7"/>
  <c r="CG751" i="7"/>
  <c r="CF751" i="7"/>
  <c r="CD751" i="7"/>
  <c r="AR751" i="7"/>
  <c r="CE751" i="7" s="1"/>
  <c r="CG750" i="7"/>
  <c r="CF750" i="7"/>
  <c r="CD750" i="7"/>
  <c r="AR750" i="7"/>
  <c r="CE750" i="7" s="1"/>
  <c r="CG749" i="7"/>
  <c r="CF749" i="7"/>
  <c r="AT749" i="7"/>
  <c r="CD749" i="7" s="1"/>
  <c r="AR749" i="7"/>
  <c r="CG748" i="7"/>
  <c r="CF748" i="7"/>
  <c r="AT748" i="7"/>
  <c r="CD748" i="7" s="1"/>
  <c r="AR748" i="7"/>
  <c r="CG747" i="7"/>
  <c r="CF747" i="7"/>
  <c r="CD747" i="7"/>
  <c r="AR747" i="7"/>
  <c r="CG746" i="7"/>
  <c r="CF746" i="7"/>
  <c r="CD746" i="7"/>
  <c r="AR746" i="7"/>
  <c r="CE746" i="7" s="1"/>
  <c r="CG745" i="7"/>
  <c r="CF745" i="7"/>
  <c r="CD745" i="7"/>
  <c r="AR745" i="7"/>
  <c r="CG744" i="7"/>
  <c r="CF744" i="7"/>
  <c r="CD744" i="7"/>
  <c r="AR744" i="7"/>
  <c r="CE744" i="7" s="1"/>
  <c r="CG743" i="7"/>
  <c r="CF743" i="7"/>
  <c r="CD743" i="7"/>
  <c r="AR743" i="7"/>
  <c r="CG742" i="7"/>
  <c r="CF742" i="7"/>
  <c r="CD742" i="7"/>
  <c r="AR742" i="7"/>
  <c r="CG741" i="7"/>
  <c r="CF741" i="7"/>
  <c r="CD741" i="7"/>
  <c r="AR741" i="7"/>
  <c r="CE741" i="7" s="1"/>
  <c r="CG740" i="7"/>
  <c r="CF740" i="7"/>
  <c r="AT740" i="7"/>
  <c r="CD740" i="7" s="1"/>
  <c r="AR740" i="7"/>
  <c r="CG739" i="7"/>
  <c r="CF739" i="7"/>
  <c r="AT739" i="7"/>
  <c r="CD739" i="7" s="1"/>
  <c r="AR739" i="7"/>
  <c r="CG738" i="7"/>
  <c r="CF738" i="7"/>
  <c r="CD738" i="7"/>
  <c r="AR738" i="7"/>
  <c r="CG737" i="7"/>
  <c r="CF737" i="7"/>
  <c r="AT737" i="7"/>
  <c r="AR737" i="7"/>
  <c r="CG736" i="7"/>
  <c r="CF736" i="7"/>
  <c r="CD736" i="7"/>
  <c r="AR736" i="7"/>
  <c r="CG735" i="7"/>
  <c r="CF735" i="7"/>
  <c r="CD735" i="7"/>
  <c r="AR735" i="7"/>
  <c r="CG734" i="7"/>
  <c r="CF734" i="7"/>
  <c r="CD734" i="7"/>
  <c r="AR734" i="7"/>
  <c r="CM733" i="7"/>
  <c r="CL733" i="7"/>
  <c r="CK733" i="7"/>
  <c r="CJ733" i="7"/>
  <c r="CI733" i="7"/>
  <c r="CH733" i="7"/>
  <c r="CC733" i="7"/>
  <c r="CB733" i="7"/>
  <c r="CA733" i="7"/>
  <c r="BY733" i="7"/>
  <c r="BX733" i="7"/>
  <c r="BW733" i="7"/>
  <c r="BV733" i="7"/>
  <c r="BU733" i="7"/>
  <c r="BT733" i="7"/>
  <c r="BS733" i="7"/>
  <c r="BR733" i="7"/>
  <c r="BQ733" i="7"/>
  <c r="BP733" i="7"/>
  <c r="BO733" i="7"/>
  <c r="BN733" i="7"/>
  <c r="BM733" i="7"/>
  <c r="BL733" i="7"/>
  <c r="BK733" i="7"/>
  <c r="BJ733" i="7"/>
  <c r="BI733" i="7"/>
  <c r="BH733" i="7"/>
  <c r="BG733" i="7"/>
  <c r="BF733" i="7"/>
  <c r="BE733" i="7"/>
  <c r="BD733" i="7"/>
  <c r="BC733" i="7"/>
  <c r="BB733" i="7"/>
  <c r="BA733" i="7"/>
  <c r="AZ733" i="7"/>
  <c r="AY733" i="7"/>
  <c r="AX733" i="7"/>
  <c r="AS733" i="7"/>
  <c r="AQ733" i="7"/>
  <c r="AP733" i="7"/>
  <c r="AO733" i="7"/>
  <c r="AN733" i="7"/>
  <c r="AM733" i="7"/>
  <c r="AL733" i="7"/>
  <c r="AK733" i="7"/>
  <c r="AJ733" i="7"/>
  <c r="AI733" i="7"/>
  <c r="AH733" i="7"/>
  <c r="AG733" i="7"/>
  <c r="AF733" i="7"/>
  <c r="AE733" i="7"/>
  <c r="AD733" i="7"/>
  <c r="AC733" i="7"/>
  <c r="AB733" i="7"/>
  <c r="AA733" i="7"/>
  <c r="Z733" i="7"/>
  <c r="Y733" i="7"/>
  <c r="X733" i="7"/>
  <c r="W733" i="7"/>
  <c r="V733" i="7"/>
  <c r="U733" i="7"/>
  <c r="T733" i="7"/>
  <c r="S733" i="7"/>
  <c r="R733" i="7"/>
  <c r="Q733" i="7"/>
  <c r="P733" i="7"/>
  <c r="O733" i="7"/>
  <c r="N733" i="7"/>
  <c r="M733" i="7"/>
  <c r="L733" i="7"/>
  <c r="K733" i="7"/>
  <c r="J733" i="7"/>
  <c r="I733" i="7"/>
  <c r="H733" i="7"/>
  <c r="CG732" i="7"/>
  <c r="CF732" i="7"/>
  <c r="AV732" i="7"/>
  <c r="AU732" i="7"/>
  <c r="AT732" i="7"/>
  <c r="CD732" i="7" s="1"/>
  <c r="AR732" i="7"/>
  <c r="CG731" i="7"/>
  <c r="CF731" i="7"/>
  <c r="CD731" i="7"/>
  <c r="AV731" i="7"/>
  <c r="AU731" i="7"/>
  <c r="AR731" i="7"/>
  <c r="CG730" i="7"/>
  <c r="CF730" i="7"/>
  <c r="AV730" i="7"/>
  <c r="AU730" i="7"/>
  <c r="AT730" i="7"/>
  <c r="AR730" i="7"/>
  <c r="CG729" i="7"/>
  <c r="CF729" i="7"/>
  <c r="AV729" i="7"/>
  <c r="CD729" i="7" s="1"/>
  <c r="AU729" i="7"/>
  <c r="AT729" i="7"/>
  <c r="AR729" i="7"/>
  <c r="CG728" i="7"/>
  <c r="CF728" i="7"/>
  <c r="AV728" i="7"/>
  <c r="AU728" i="7"/>
  <c r="AT728" i="7"/>
  <c r="AR728" i="7"/>
  <c r="CG727" i="7"/>
  <c r="CF727" i="7"/>
  <c r="AV727" i="7"/>
  <c r="CD727" i="7" s="1"/>
  <c r="AU727" i="7"/>
  <c r="AR727" i="7"/>
  <c r="CG726" i="7"/>
  <c r="CF726" i="7"/>
  <c r="AV726" i="7"/>
  <c r="AU726" i="7"/>
  <c r="CD726" i="7" s="1"/>
  <c r="CE726" i="7" s="1"/>
  <c r="AR726" i="7"/>
  <c r="CG725" i="7"/>
  <c r="CF725" i="7"/>
  <c r="AV725" i="7"/>
  <c r="AU725" i="7"/>
  <c r="AT725" i="7"/>
  <c r="AR725" i="7"/>
  <c r="CG724" i="7"/>
  <c r="CF724" i="7"/>
  <c r="AV724" i="7"/>
  <c r="AU724" i="7"/>
  <c r="AT724" i="7"/>
  <c r="AR724" i="7"/>
  <c r="CG723" i="7"/>
  <c r="CF723" i="7"/>
  <c r="AV723" i="7"/>
  <c r="AU723" i="7"/>
  <c r="AT723" i="7"/>
  <c r="CD723" i="7" s="1"/>
  <c r="AR723" i="7"/>
  <c r="CG722" i="7"/>
  <c r="CF722" i="7"/>
  <c r="AV722" i="7"/>
  <c r="AU722" i="7"/>
  <c r="AT722" i="7"/>
  <c r="AR722" i="7"/>
  <c r="CG721" i="7"/>
  <c r="CF721" i="7"/>
  <c r="AV721" i="7"/>
  <c r="AU721" i="7"/>
  <c r="AT721" i="7"/>
  <c r="AR721" i="7"/>
  <c r="CG720" i="7"/>
  <c r="CF720" i="7"/>
  <c r="AV720" i="7"/>
  <c r="AU720" i="7"/>
  <c r="AT720" i="7"/>
  <c r="AR720" i="7"/>
  <c r="CG719" i="7"/>
  <c r="CF719" i="7"/>
  <c r="AV719" i="7"/>
  <c r="AU719" i="7"/>
  <c r="CD719" i="7" s="1"/>
  <c r="AT719" i="7"/>
  <c r="AR719" i="7"/>
  <c r="CG718" i="7"/>
  <c r="CF718" i="7"/>
  <c r="AV718" i="7"/>
  <c r="AU718" i="7"/>
  <c r="AT718" i="7"/>
  <c r="AR718" i="7"/>
  <c r="E718" i="7"/>
  <c r="CG717" i="7"/>
  <c r="CF717" i="7"/>
  <c r="CD717" i="7"/>
  <c r="AV717" i="7"/>
  <c r="AU717" i="7"/>
  <c r="AT717" i="7"/>
  <c r="AR717" i="7"/>
  <c r="E717" i="7"/>
  <c r="CG716" i="7"/>
  <c r="CF716" i="7"/>
  <c r="CD716" i="7"/>
  <c r="CE716" i="7" s="1"/>
  <c r="AR716" i="7"/>
  <c r="CG715" i="7"/>
  <c r="CF715" i="7"/>
  <c r="AV715" i="7"/>
  <c r="AU715" i="7"/>
  <c r="CD715" i="7" s="1"/>
  <c r="AT715" i="7"/>
  <c r="AR715" i="7"/>
  <c r="CG714" i="7"/>
  <c r="CF714" i="7"/>
  <c r="AV714" i="7"/>
  <c r="AU714" i="7"/>
  <c r="AT714" i="7"/>
  <c r="AR714" i="7"/>
  <c r="CG713" i="7"/>
  <c r="CF713" i="7"/>
  <c r="AV713" i="7"/>
  <c r="AU713" i="7"/>
  <c r="AT713" i="7"/>
  <c r="AR713" i="7"/>
  <c r="CG712" i="7"/>
  <c r="CF712" i="7"/>
  <c r="AV712" i="7"/>
  <c r="AU712" i="7"/>
  <c r="AT712" i="7"/>
  <c r="AR712" i="7"/>
  <c r="CG711" i="7"/>
  <c r="CF711" i="7"/>
  <c r="AV711" i="7"/>
  <c r="AU711" i="7"/>
  <c r="AT711" i="7"/>
  <c r="AR711" i="7"/>
  <c r="CG710" i="7"/>
  <c r="CF710" i="7"/>
  <c r="CD710" i="7"/>
  <c r="AV710" i="7"/>
  <c r="AU710" i="7"/>
  <c r="AR710" i="7"/>
  <c r="CG709" i="7"/>
  <c r="CF709" i="7"/>
  <c r="AV709" i="7"/>
  <c r="AU709" i="7"/>
  <c r="AT709" i="7"/>
  <c r="AR709" i="7"/>
  <c r="CG708" i="7"/>
  <c r="CF708" i="7"/>
  <c r="AV708" i="7"/>
  <c r="AU708" i="7"/>
  <c r="AT708" i="7"/>
  <c r="AR708" i="7"/>
  <c r="CG707" i="7"/>
  <c r="CF707" i="7"/>
  <c r="AV707" i="7"/>
  <c r="AU707" i="7"/>
  <c r="AT707" i="7"/>
  <c r="AR707" i="7"/>
  <c r="CG706" i="7"/>
  <c r="CF706" i="7"/>
  <c r="AV706" i="7"/>
  <c r="AU706" i="7"/>
  <c r="AT706" i="7"/>
  <c r="AR706" i="7"/>
  <c r="CG705" i="7"/>
  <c r="CF705" i="7"/>
  <c r="AV705" i="7"/>
  <c r="AU705" i="7"/>
  <c r="AT705" i="7"/>
  <c r="G705" i="7"/>
  <c r="G733" i="7" s="1"/>
  <c r="CG704" i="7"/>
  <c r="CF704" i="7"/>
  <c r="AV704" i="7"/>
  <c r="AU704" i="7"/>
  <c r="AT704" i="7"/>
  <c r="AR704" i="7"/>
  <c r="CG703" i="7"/>
  <c r="CF703" i="7"/>
  <c r="AV703" i="7"/>
  <c r="AU703" i="7"/>
  <c r="AT703" i="7"/>
  <c r="CD703" i="7" s="1"/>
  <c r="AR703" i="7"/>
  <c r="CG702" i="7"/>
  <c r="CF702" i="7"/>
  <c r="AW702" i="7"/>
  <c r="AV702" i="7"/>
  <c r="AU702" i="7"/>
  <c r="AT702" i="7"/>
  <c r="AR702" i="7"/>
  <c r="CG701" i="7"/>
  <c r="CF701" i="7"/>
  <c r="AV701" i="7"/>
  <c r="AU701" i="7"/>
  <c r="AT701" i="7"/>
  <c r="CD701" i="7" s="1"/>
  <c r="AR701" i="7"/>
  <c r="CG700" i="7"/>
  <c r="CF700" i="7"/>
  <c r="CD700" i="7"/>
  <c r="AV700" i="7"/>
  <c r="AU700" i="7"/>
  <c r="AR700" i="7"/>
  <c r="CG699" i="7"/>
  <c r="CF699" i="7"/>
  <c r="AV699" i="7"/>
  <c r="AU699" i="7"/>
  <c r="AT699" i="7"/>
  <c r="AR699" i="7"/>
  <c r="CG698" i="7"/>
  <c r="CF698" i="7"/>
  <c r="AV698" i="7"/>
  <c r="AU698" i="7"/>
  <c r="AT698" i="7"/>
  <c r="AR698" i="7"/>
  <c r="CG697" i="7"/>
  <c r="CF697" i="7"/>
  <c r="AV697" i="7"/>
  <c r="AU697" i="7"/>
  <c r="AT697" i="7"/>
  <c r="AR697" i="7"/>
  <c r="CG696" i="7"/>
  <c r="CF696" i="7"/>
  <c r="AW696" i="7"/>
  <c r="AV696" i="7"/>
  <c r="AU696" i="7"/>
  <c r="AT696" i="7"/>
  <c r="AR696" i="7"/>
  <c r="CG695" i="7"/>
  <c r="CF695" i="7"/>
  <c r="CD695" i="7"/>
  <c r="AV695" i="7"/>
  <c r="AU695" i="7"/>
  <c r="AT695" i="7"/>
  <c r="AR695" i="7"/>
  <c r="CG694" i="7"/>
  <c r="CF694" i="7"/>
  <c r="AV694" i="7"/>
  <c r="AU694" i="7"/>
  <c r="AT694" i="7"/>
  <c r="CD694" i="7" s="1"/>
  <c r="AR694" i="7"/>
  <c r="CG693" i="7"/>
  <c r="CF693" i="7"/>
  <c r="AV693" i="7"/>
  <c r="AU693" i="7"/>
  <c r="AT693" i="7"/>
  <c r="AR693" i="7"/>
  <c r="CG692" i="7"/>
  <c r="CF692" i="7"/>
  <c r="AV692" i="7"/>
  <c r="AU692" i="7"/>
  <c r="AT692" i="7"/>
  <c r="CD692" i="7" s="1"/>
  <c r="AR692" i="7"/>
  <c r="CG691" i="7"/>
  <c r="CF691" i="7"/>
  <c r="CD691" i="7"/>
  <c r="AV691" i="7"/>
  <c r="AU691" i="7"/>
  <c r="AT691" i="7"/>
  <c r="AR691" i="7"/>
  <c r="CG690" i="7"/>
  <c r="CF690" i="7"/>
  <c r="AV690" i="7"/>
  <c r="AU690" i="7"/>
  <c r="AT690" i="7"/>
  <c r="AR690" i="7"/>
  <c r="CG689" i="7"/>
  <c r="CF689" i="7"/>
  <c r="AV689" i="7"/>
  <c r="AU689" i="7"/>
  <c r="AT689" i="7"/>
  <c r="CD689" i="7" s="1"/>
  <c r="AR689" i="7"/>
  <c r="CG688" i="7"/>
  <c r="CF688" i="7"/>
  <c r="AV688" i="7"/>
  <c r="AU688" i="7"/>
  <c r="AT688" i="7"/>
  <c r="AR688" i="7"/>
  <c r="CG687" i="7"/>
  <c r="CF687" i="7"/>
  <c r="AV687" i="7"/>
  <c r="AU687" i="7"/>
  <c r="AT687" i="7"/>
  <c r="CD687" i="7" s="1"/>
  <c r="AR687" i="7"/>
  <c r="CG686" i="7"/>
  <c r="CF686" i="7"/>
  <c r="AV686" i="7"/>
  <c r="AU686" i="7"/>
  <c r="AT686" i="7"/>
  <c r="AR686" i="7"/>
  <c r="CG685" i="7"/>
  <c r="CF685" i="7"/>
  <c r="AV685" i="7"/>
  <c r="AU685" i="7"/>
  <c r="AT685" i="7"/>
  <c r="AT733" i="7" s="1"/>
  <c r="AR685" i="7"/>
  <c r="CH684" i="7"/>
  <c r="CG684" i="7"/>
  <c r="CF684" i="7"/>
  <c r="CC684" i="7"/>
  <c r="CB684" i="7"/>
  <c r="CA684" i="7"/>
  <c r="BY684" i="7"/>
  <c r="BX684" i="7"/>
  <c r="BW684" i="7"/>
  <c r="BV684" i="7"/>
  <c r="BU684" i="7"/>
  <c r="BT684" i="7"/>
  <c r="BS684" i="7"/>
  <c r="BR684" i="7"/>
  <c r="BQ684" i="7"/>
  <c r="BP684" i="7"/>
  <c r="BO684" i="7"/>
  <c r="BN684" i="7"/>
  <c r="BM684" i="7"/>
  <c r="BL684" i="7"/>
  <c r="BK684" i="7"/>
  <c r="BJ684" i="7"/>
  <c r="BI684" i="7"/>
  <c r="BH684" i="7"/>
  <c r="BG684" i="7"/>
  <c r="BF684" i="7"/>
  <c r="BE684" i="7"/>
  <c r="BD684" i="7"/>
  <c r="BC684" i="7"/>
  <c r="BB684" i="7"/>
  <c r="BA684" i="7"/>
  <c r="AZ684" i="7"/>
  <c r="AY684" i="7"/>
  <c r="AX684" i="7"/>
  <c r="AW684" i="7"/>
  <c r="AV684" i="7"/>
  <c r="AS684" i="7"/>
  <c r="AQ684" i="7"/>
  <c r="AP684" i="7"/>
  <c r="AO684" i="7"/>
  <c r="AM684" i="7"/>
  <c r="AL684" i="7"/>
  <c r="AK684" i="7"/>
  <c r="AJ684" i="7"/>
  <c r="AI684" i="7"/>
  <c r="AH684" i="7"/>
  <c r="AG684" i="7"/>
  <c r="AF684" i="7"/>
  <c r="AE684" i="7"/>
  <c r="AD684" i="7"/>
  <c r="AC684" i="7"/>
  <c r="AB684" i="7"/>
  <c r="AA684" i="7"/>
  <c r="Z684" i="7"/>
  <c r="Y684" i="7"/>
  <c r="X684" i="7"/>
  <c r="W684" i="7"/>
  <c r="V684" i="7"/>
  <c r="U684" i="7"/>
  <c r="T684" i="7"/>
  <c r="S684" i="7"/>
  <c r="R684" i="7"/>
  <c r="Q684" i="7"/>
  <c r="P684" i="7"/>
  <c r="O684" i="7"/>
  <c r="N684" i="7"/>
  <c r="M684" i="7"/>
  <c r="L684" i="7"/>
  <c r="K684" i="7"/>
  <c r="J684" i="7"/>
  <c r="I684" i="7"/>
  <c r="H684" i="7"/>
  <c r="G684" i="7"/>
  <c r="CG683" i="7"/>
  <c r="CF683" i="7"/>
  <c r="CD683" i="7"/>
  <c r="AR683" i="7"/>
  <c r="CG682" i="7"/>
  <c r="CF682" i="7"/>
  <c r="CD682" i="7"/>
  <c r="AR682" i="7"/>
  <c r="E682" i="7"/>
  <c r="E683" i="7" s="1"/>
  <c r="CG681" i="7"/>
  <c r="CF681" i="7"/>
  <c r="CD681" i="7"/>
  <c r="CE681" i="7" s="1"/>
  <c r="AR681" i="7"/>
  <c r="CG680" i="7"/>
  <c r="CF680" i="7"/>
  <c r="CD680" i="7"/>
  <c r="AR680" i="7"/>
  <c r="CG679" i="7"/>
  <c r="CF679" i="7"/>
  <c r="AT679" i="7"/>
  <c r="CD679" i="7" s="1"/>
  <c r="AR679" i="7"/>
  <c r="E679" i="7"/>
  <c r="CG678" i="7"/>
  <c r="CF678" i="7"/>
  <c r="CD678" i="7"/>
  <c r="AR678" i="7"/>
  <c r="CG677" i="7"/>
  <c r="CF677" i="7"/>
  <c r="CD677" i="7"/>
  <c r="AR677" i="7"/>
  <c r="CE677" i="7" s="1"/>
  <c r="CG676" i="7"/>
  <c r="CF676" i="7"/>
  <c r="CD676" i="7"/>
  <c r="AR676" i="7"/>
  <c r="CG675" i="7"/>
  <c r="CF675" i="7"/>
  <c r="CD675" i="7"/>
  <c r="AR675" i="7"/>
  <c r="CG674" i="7"/>
  <c r="CF674" i="7"/>
  <c r="CD674" i="7"/>
  <c r="AR674" i="7"/>
  <c r="E674" i="7"/>
  <c r="CG673" i="7"/>
  <c r="CF673" i="7"/>
  <c r="CD673" i="7"/>
  <c r="CE673" i="7" s="1"/>
  <c r="AR673" i="7"/>
  <c r="CG672" i="7"/>
  <c r="CF672" i="7"/>
  <c r="CD672" i="7"/>
  <c r="AR672" i="7"/>
  <c r="CG671" i="7"/>
  <c r="CF671" i="7"/>
  <c r="CD671" i="7"/>
  <c r="AR671" i="7"/>
  <c r="CG670" i="7"/>
  <c r="CF670" i="7"/>
  <c r="CD670" i="7"/>
  <c r="AR670" i="7"/>
  <c r="CG669" i="7"/>
  <c r="CF669" i="7"/>
  <c r="CD669" i="7"/>
  <c r="CE669" i="7" s="1"/>
  <c r="AR669" i="7"/>
  <c r="CG668" i="7"/>
  <c r="CF668" i="7"/>
  <c r="CD668" i="7"/>
  <c r="AR668" i="7"/>
  <c r="CG667" i="7"/>
  <c r="CF667" i="7"/>
  <c r="CD667" i="7"/>
  <c r="AR667" i="7"/>
  <c r="CG666" i="7"/>
  <c r="CF666" i="7"/>
  <c r="AT666" i="7"/>
  <c r="AU666" i="7" s="1"/>
  <c r="CD666" i="7" s="1"/>
  <c r="CE666" i="7" s="1"/>
  <c r="AR666" i="7"/>
  <c r="CG665" i="7"/>
  <c r="CF665" i="7"/>
  <c r="CD665" i="7"/>
  <c r="CE665" i="7" s="1"/>
  <c r="AR665" i="7"/>
  <c r="CG664" i="7"/>
  <c r="CF664" i="7"/>
  <c r="CE664" i="7"/>
  <c r="CD664" i="7"/>
  <c r="AR664" i="7"/>
  <c r="CG663" i="7"/>
  <c r="CF663" i="7"/>
  <c r="CD663" i="7"/>
  <c r="CE663" i="7" s="1"/>
  <c r="AR663" i="7"/>
  <c r="CG662" i="7"/>
  <c r="CF662" i="7"/>
  <c r="CD662" i="7"/>
  <c r="AR662" i="7"/>
  <c r="CG661" i="7"/>
  <c r="CF661" i="7"/>
  <c r="CD661" i="7"/>
  <c r="AR661" i="7"/>
  <c r="CG660" i="7"/>
  <c r="CF660" i="7"/>
  <c r="CD660" i="7"/>
  <c r="CE660" i="7" s="1"/>
  <c r="AR660" i="7"/>
  <c r="CG659" i="7"/>
  <c r="CF659" i="7"/>
  <c r="CD659" i="7"/>
  <c r="AR659" i="7"/>
  <c r="CG658" i="7"/>
  <c r="CF658" i="7"/>
  <c r="CD658" i="7"/>
  <c r="AR658" i="7"/>
  <c r="CG657" i="7"/>
  <c r="CF657" i="7"/>
  <c r="CD657" i="7"/>
  <c r="AR657" i="7"/>
  <c r="CG656" i="7"/>
  <c r="CF656" i="7"/>
  <c r="CD656" i="7"/>
  <c r="AR656" i="7"/>
  <c r="CG655" i="7"/>
  <c r="CF655" i="7"/>
  <c r="CD655" i="7"/>
  <c r="AR655" i="7"/>
  <c r="CG654" i="7"/>
  <c r="CF654" i="7"/>
  <c r="CD654" i="7"/>
  <c r="CE654" i="7" s="1"/>
  <c r="AR654" i="7"/>
  <c r="CG653" i="7"/>
  <c r="CF653" i="7"/>
  <c r="CD653" i="7"/>
  <c r="AR653" i="7"/>
  <c r="CG652" i="7"/>
  <c r="CF652" i="7"/>
  <c r="CD652" i="7"/>
  <c r="AR652" i="7"/>
  <c r="CG651" i="7"/>
  <c r="CF651" i="7"/>
  <c r="CD651" i="7"/>
  <c r="AR651" i="7"/>
  <c r="CG650" i="7"/>
  <c r="CF650" i="7"/>
  <c r="CD650" i="7"/>
  <c r="CE650" i="7" s="1"/>
  <c r="AR650" i="7"/>
  <c r="CG649" i="7"/>
  <c r="CF649" i="7"/>
  <c r="CD649" i="7"/>
  <c r="CE649" i="7" s="1"/>
  <c r="AR649" i="7"/>
  <c r="CG648" i="7"/>
  <c r="CF648" i="7"/>
  <c r="CD648" i="7"/>
  <c r="AR648" i="7"/>
  <c r="CG647" i="7"/>
  <c r="CF647" i="7"/>
  <c r="CD647" i="7"/>
  <c r="CE647" i="7" s="1"/>
  <c r="AR647" i="7"/>
  <c r="CG646" i="7"/>
  <c r="CF646" i="7"/>
  <c r="CD646" i="7"/>
  <c r="AR646" i="7"/>
  <c r="CG645" i="7"/>
  <c r="CF645" i="7"/>
  <c r="CD645" i="7"/>
  <c r="AR645" i="7"/>
  <c r="CG644" i="7"/>
  <c r="CF644" i="7"/>
  <c r="CD644" i="7"/>
  <c r="CE644" i="7" s="1"/>
  <c r="AR644" i="7"/>
  <c r="CG643" i="7"/>
  <c r="CF643" i="7"/>
  <c r="CD643" i="7"/>
  <c r="AR643" i="7"/>
  <c r="CG642" i="7"/>
  <c r="CF642" i="7"/>
  <c r="CD642" i="7"/>
  <c r="AR642" i="7"/>
  <c r="CG641" i="7"/>
  <c r="CF641" i="7"/>
  <c r="CD641" i="7"/>
  <c r="AR641" i="7"/>
  <c r="CG640" i="7"/>
  <c r="CF640" i="7"/>
  <c r="CD640" i="7"/>
  <c r="AR640" i="7"/>
  <c r="CG639" i="7"/>
  <c r="CF639" i="7"/>
  <c r="CD639" i="7"/>
  <c r="AR639" i="7"/>
  <c r="CG638" i="7"/>
  <c r="CF638" i="7"/>
  <c r="CD638" i="7"/>
  <c r="AR638" i="7"/>
  <c r="CG637" i="7"/>
  <c r="CF637" i="7"/>
  <c r="CD637" i="7"/>
  <c r="AR637" i="7"/>
  <c r="CG636" i="7"/>
  <c r="CF636" i="7"/>
  <c r="CD636" i="7"/>
  <c r="AR636" i="7"/>
  <c r="CG635" i="7"/>
  <c r="CF635" i="7"/>
  <c r="CD635" i="7"/>
  <c r="AR635" i="7"/>
  <c r="CG634" i="7"/>
  <c r="CF634" i="7"/>
  <c r="CD634" i="7"/>
  <c r="AR634" i="7"/>
  <c r="CG633" i="7"/>
  <c r="CF633" i="7"/>
  <c r="CD633" i="7"/>
  <c r="AR633" i="7"/>
  <c r="CG632" i="7"/>
  <c r="CF632" i="7"/>
  <c r="CD632" i="7"/>
  <c r="AR632" i="7"/>
  <c r="CG631" i="7"/>
  <c r="CF631" i="7"/>
  <c r="CD631" i="7"/>
  <c r="CE631" i="7" s="1"/>
  <c r="AR631" i="7"/>
  <c r="CG630" i="7"/>
  <c r="CF630" i="7"/>
  <c r="CD630" i="7"/>
  <c r="AR630" i="7"/>
  <c r="CG629" i="7"/>
  <c r="CF629" i="7"/>
  <c r="CD629" i="7"/>
  <c r="AR629" i="7"/>
  <c r="CG628" i="7"/>
  <c r="CF628" i="7"/>
  <c r="CD628" i="7"/>
  <c r="CE628" i="7" s="1"/>
  <c r="AR628" i="7"/>
  <c r="CG627" i="7"/>
  <c r="CF627" i="7"/>
  <c r="CD627" i="7"/>
  <c r="AR627" i="7"/>
  <c r="CG626" i="7"/>
  <c r="CF626" i="7"/>
  <c r="AT626" i="7"/>
  <c r="AR626" i="7"/>
  <c r="CG625" i="7"/>
  <c r="CF625" i="7"/>
  <c r="CD625" i="7"/>
  <c r="CE625" i="7" s="1"/>
  <c r="AR625" i="7"/>
  <c r="CG624" i="7"/>
  <c r="CF624" i="7"/>
  <c r="CD624" i="7"/>
  <c r="AR624" i="7"/>
  <c r="CG623" i="7"/>
  <c r="CF623" i="7"/>
  <c r="CD623" i="7"/>
  <c r="CE623" i="7" s="1"/>
  <c r="AR623" i="7"/>
  <c r="CG622" i="7"/>
  <c r="CF622" i="7"/>
  <c r="CE622" i="7"/>
  <c r="CD622" i="7"/>
  <c r="AR622" i="7"/>
  <c r="CG621" i="7"/>
  <c r="CF621" i="7"/>
  <c r="CD621" i="7"/>
  <c r="CE621" i="7" s="1"/>
  <c r="AR621" i="7"/>
  <c r="CG620" i="7"/>
  <c r="CF620" i="7"/>
  <c r="CD620" i="7"/>
  <c r="AR620" i="7"/>
  <c r="CG619" i="7"/>
  <c r="CF619" i="7"/>
  <c r="CD619" i="7"/>
  <c r="AR619" i="7"/>
  <c r="CG618" i="7"/>
  <c r="CF618" i="7"/>
  <c r="CD618" i="7"/>
  <c r="CE618" i="7" s="1"/>
  <c r="AR618" i="7"/>
  <c r="CG617" i="7"/>
  <c r="CF617" i="7"/>
  <c r="CD617" i="7"/>
  <c r="AR617" i="7"/>
  <c r="CG616" i="7"/>
  <c r="CF616" i="7"/>
  <c r="CD616" i="7"/>
  <c r="AR616" i="7"/>
  <c r="CG615" i="7"/>
  <c r="CF615" i="7"/>
  <c r="CD615" i="7"/>
  <c r="AR615" i="7"/>
  <c r="CG614" i="7"/>
  <c r="CF614" i="7"/>
  <c r="CD614" i="7"/>
  <c r="CE614" i="7" s="1"/>
  <c r="AR614" i="7"/>
  <c r="CG613" i="7"/>
  <c r="CF613" i="7"/>
  <c r="CD613" i="7"/>
  <c r="AR613" i="7"/>
  <c r="CE613" i="7" s="1"/>
  <c r="CG612" i="7"/>
  <c r="CF612" i="7"/>
  <c r="CD612" i="7"/>
  <c r="AR612" i="7"/>
  <c r="CG611" i="7"/>
  <c r="CF611" i="7"/>
  <c r="CD611" i="7"/>
  <c r="AR611" i="7"/>
  <c r="CG610" i="7"/>
  <c r="CF610" i="7"/>
  <c r="CD610" i="7"/>
  <c r="AR610" i="7"/>
  <c r="CG609" i="7"/>
  <c r="CF609" i="7"/>
  <c r="CD609" i="7"/>
  <c r="AR609" i="7"/>
  <c r="CG608" i="7"/>
  <c r="CF608" i="7"/>
  <c r="CD608" i="7"/>
  <c r="AR608" i="7"/>
  <c r="CG607" i="7"/>
  <c r="CF607" i="7"/>
  <c r="CD607" i="7"/>
  <c r="AR607" i="7"/>
  <c r="CG606" i="7"/>
  <c r="CF606" i="7"/>
  <c r="CD606" i="7"/>
  <c r="AR606" i="7"/>
  <c r="CG605" i="7"/>
  <c r="CF605" i="7"/>
  <c r="CD605" i="7"/>
  <c r="AR605" i="7"/>
  <c r="CG604" i="7"/>
  <c r="CF604" i="7"/>
  <c r="CD604" i="7"/>
  <c r="AR604" i="7"/>
  <c r="CG603" i="7"/>
  <c r="CF603" i="7"/>
  <c r="CD603" i="7"/>
  <c r="AR603" i="7"/>
  <c r="CG602" i="7"/>
  <c r="CF602" i="7"/>
  <c r="CD602" i="7"/>
  <c r="AR602" i="7"/>
  <c r="CG601" i="7"/>
  <c r="CF601" i="7"/>
  <c r="CD601" i="7"/>
  <c r="AR601" i="7"/>
  <c r="CE601" i="7" s="1"/>
  <c r="CG600" i="7"/>
  <c r="CF600" i="7"/>
  <c r="CD600" i="7"/>
  <c r="AR600" i="7"/>
  <c r="CE600" i="7" s="1"/>
  <c r="CG599" i="7"/>
  <c r="CF599" i="7"/>
  <c r="CD599" i="7"/>
  <c r="AR599" i="7"/>
  <c r="CG598" i="7"/>
  <c r="CF598" i="7"/>
  <c r="CD598" i="7"/>
  <c r="AR598" i="7"/>
  <c r="CG597" i="7"/>
  <c r="CF597" i="7"/>
  <c r="CD597" i="7"/>
  <c r="AR597" i="7"/>
  <c r="CE597" i="7" s="1"/>
  <c r="CG596" i="7"/>
  <c r="CF596" i="7"/>
  <c r="CD596" i="7"/>
  <c r="AR596" i="7"/>
  <c r="CE596" i="7" s="1"/>
  <c r="CG595" i="7"/>
  <c r="CF595" i="7"/>
  <c r="CD595" i="7"/>
  <c r="AR595" i="7"/>
  <c r="CG594" i="7"/>
  <c r="CF594" i="7"/>
  <c r="CD594" i="7"/>
  <c r="AR594" i="7"/>
  <c r="CG593" i="7"/>
  <c r="CF593" i="7"/>
  <c r="CD593" i="7"/>
  <c r="AR593" i="7"/>
  <c r="CG592" i="7"/>
  <c r="CF592" i="7"/>
  <c r="CD592" i="7"/>
  <c r="AR592" i="7"/>
  <c r="CG591" i="7"/>
  <c r="CF591" i="7"/>
  <c r="CD591" i="7"/>
  <c r="AR591" i="7"/>
  <c r="CG590" i="7"/>
  <c r="CF590" i="7"/>
  <c r="CD590" i="7"/>
  <c r="AR590" i="7"/>
  <c r="CG589" i="7"/>
  <c r="CF589" i="7"/>
  <c r="CD589" i="7"/>
  <c r="AR589" i="7"/>
  <c r="CG588" i="7"/>
  <c r="CF588" i="7"/>
  <c r="CD588" i="7"/>
  <c r="AR588" i="7"/>
  <c r="CG587" i="7"/>
  <c r="CF587" i="7"/>
  <c r="CD587" i="7"/>
  <c r="AR587" i="7"/>
  <c r="CG586" i="7"/>
  <c r="CF586" i="7"/>
  <c r="CD586" i="7"/>
  <c r="AR586" i="7"/>
  <c r="CG585" i="7"/>
  <c r="CF585" i="7"/>
  <c r="CD585" i="7"/>
  <c r="AR585" i="7"/>
  <c r="CG584" i="7"/>
  <c r="CF584" i="7"/>
  <c r="CD584" i="7"/>
  <c r="AR584" i="7"/>
  <c r="CG583" i="7"/>
  <c r="CF583" i="7"/>
  <c r="CD583" i="7"/>
  <c r="AR583" i="7"/>
  <c r="CG582" i="7"/>
  <c r="CF582" i="7"/>
  <c r="CD582" i="7"/>
  <c r="AR582" i="7"/>
  <c r="CG581" i="7"/>
  <c r="CF581" i="7"/>
  <c r="CD581" i="7"/>
  <c r="AR581" i="7"/>
  <c r="CG580" i="7"/>
  <c r="CF580" i="7"/>
  <c r="CD580" i="7"/>
  <c r="AR580" i="7"/>
  <c r="CG579" i="7"/>
  <c r="CF579" i="7"/>
  <c r="CD579" i="7"/>
  <c r="AR579" i="7"/>
  <c r="CG578" i="7"/>
  <c r="CF578" i="7"/>
  <c r="CD578" i="7"/>
  <c r="AR578" i="7"/>
  <c r="CG577" i="7"/>
  <c r="CF577" i="7"/>
  <c r="CD577" i="7"/>
  <c r="AR577" i="7"/>
  <c r="CG576" i="7"/>
  <c r="CF576" i="7"/>
  <c r="CD576" i="7"/>
  <c r="AR576" i="7"/>
  <c r="CG575" i="7"/>
  <c r="CF575" i="7"/>
  <c r="CD575" i="7"/>
  <c r="AR575" i="7"/>
  <c r="CG574" i="7"/>
  <c r="CF574" i="7"/>
  <c r="CD574" i="7"/>
  <c r="AR574" i="7"/>
  <c r="CG573" i="7"/>
  <c r="CF573" i="7"/>
  <c r="CD573" i="7"/>
  <c r="AR573" i="7"/>
  <c r="CG572" i="7"/>
  <c r="CF572" i="7"/>
  <c r="CD572" i="7"/>
  <c r="AR572" i="7"/>
  <c r="CG571" i="7"/>
  <c r="CF571" i="7"/>
  <c r="CD571" i="7"/>
  <c r="CE571" i="7" s="1"/>
  <c r="AR571" i="7"/>
  <c r="CG570" i="7"/>
  <c r="CF570" i="7"/>
  <c r="AT570" i="7"/>
  <c r="CD570" i="7" s="1"/>
  <c r="CE570" i="7" s="1"/>
  <c r="AR570" i="7"/>
  <c r="CG569" i="7"/>
  <c r="CF569" i="7"/>
  <c r="AT569" i="7"/>
  <c r="CD569" i="7" s="1"/>
  <c r="AR569" i="7"/>
  <c r="CG568" i="7"/>
  <c r="CF568" i="7"/>
  <c r="CD568" i="7"/>
  <c r="AR568" i="7"/>
  <c r="CG567" i="7"/>
  <c r="CF567" i="7"/>
  <c r="CD567" i="7"/>
  <c r="AR567" i="7"/>
  <c r="CG566" i="7"/>
  <c r="CF566" i="7"/>
  <c r="AT566" i="7"/>
  <c r="CD566" i="7" s="1"/>
  <c r="AR566" i="7"/>
  <c r="CG565" i="7"/>
  <c r="CF565" i="7"/>
  <c r="CD565" i="7"/>
  <c r="AR565" i="7"/>
  <c r="CG564" i="7"/>
  <c r="CF564" i="7"/>
  <c r="CD564" i="7"/>
  <c r="AR564" i="7"/>
  <c r="CG563" i="7"/>
  <c r="CF563" i="7"/>
  <c r="CD563" i="7"/>
  <c r="CE563" i="7" s="1"/>
  <c r="AT563" i="7"/>
  <c r="AR563" i="7"/>
  <c r="CG562" i="7"/>
  <c r="CF562" i="7"/>
  <c r="CD562" i="7"/>
  <c r="AR562" i="7"/>
  <c r="CG561" i="7"/>
  <c r="CF561" i="7"/>
  <c r="CD561" i="7"/>
  <c r="CE561" i="7" s="1"/>
  <c r="AR561" i="7"/>
  <c r="CG560" i="7"/>
  <c r="CF560" i="7"/>
  <c r="CD560" i="7"/>
  <c r="AR560" i="7"/>
  <c r="CG559" i="7"/>
  <c r="CF559" i="7"/>
  <c r="CD559" i="7"/>
  <c r="AT559" i="7"/>
  <c r="AR559" i="7"/>
  <c r="E559" i="7"/>
  <c r="E560" i="7" s="1"/>
  <c r="E561" i="7" s="1"/>
  <c r="E562" i="7" s="1"/>
  <c r="E563" i="7" s="1"/>
  <c r="E566" i="7" s="1"/>
  <c r="E567" i="7" s="1"/>
  <c r="E568" i="7" s="1"/>
  <c r="E569" i="7" s="1"/>
  <c r="E570" i="7" s="1"/>
  <c r="E571" i="7" s="1"/>
  <c r="E572" i="7" s="1"/>
  <c r="E573" i="7" s="1"/>
  <c r="CG558" i="7"/>
  <c r="CF558" i="7"/>
  <c r="CD558" i="7"/>
  <c r="AR558" i="7"/>
  <c r="CG557" i="7"/>
  <c r="CF557" i="7"/>
  <c r="CD557" i="7"/>
  <c r="AR557" i="7"/>
  <c r="CG556" i="7"/>
  <c r="CF556" i="7"/>
  <c r="CD556" i="7"/>
  <c r="AR556" i="7"/>
  <c r="E556" i="7"/>
  <c r="E557" i="7" s="1"/>
  <c r="E558" i="7" s="1"/>
  <c r="E564" i="7" s="1"/>
  <c r="E565" i="7" s="1"/>
  <c r="CG555" i="7"/>
  <c r="CF555" i="7"/>
  <c r="CD555" i="7"/>
  <c r="AR555" i="7"/>
  <c r="CG554" i="7"/>
  <c r="CF554" i="7"/>
  <c r="AT554" i="7"/>
  <c r="CD554" i="7" s="1"/>
  <c r="AR554" i="7"/>
  <c r="CG553" i="7"/>
  <c r="CF553" i="7"/>
  <c r="CD553" i="7"/>
  <c r="CE553" i="7" s="1"/>
  <c r="AR553" i="7"/>
  <c r="CG552" i="7"/>
  <c r="CF552" i="7"/>
  <c r="CD552" i="7"/>
  <c r="AR552" i="7"/>
  <c r="CG551" i="7"/>
  <c r="CF551" i="7"/>
  <c r="CD551" i="7"/>
  <c r="AR551" i="7"/>
  <c r="CG550" i="7"/>
  <c r="CF550" i="7"/>
  <c r="CD550" i="7"/>
  <c r="CE550" i="7" s="1"/>
  <c r="AR550" i="7"/>
  <c r="CG549" i="7"/>
  <c r="CF549" i="7"/>
  <c r="CE549" i="7"/>
  <c r="CD549" i="7"/>
  <c r="AR549" i="7"/>
  <c r="CG548" i="7"/>
  <c r="CF548" i="7"/>
  <c r="CD548" i="7"/>
  <c r="AR548" i="7"/>
  <c r="CG547" i="7"/>
  <c r="CF547" i="7"/>
  <c r="CD547" i="7"/>
  <c r="AR547" i="7"/>
  <c r="CG546" i="7"/>
  <c r="CF546" i="7"/>
  <c r="CD546" i="7"/>
  <c r="AR546" i="7"/>
  <c r="CG545" i="7"/>
  <c r="CF545" i="7"/>
  <c r="CD545" i="7"/>
  <c r="AR545" i="7"/>
  <c r="CG544" i="7"/>
  <c r="CF544" i="7"/>
  <c r="CD544" i="7"/>
  <c r="AR544" i="7"/>
  <c r="CG543" i="7"/>
  <c r="CF543" i="7"/>
  <c r="CD543" i="7"/>
  <c r="AR543" i="7"/>
  <c r="CG542" i="7"/>
  <c r="CF542" i="7"/>
  <c r="CD542" i="7"/>
  <c r="AR542" i="7"/>
  <c r="CG541" i="7"/>
  <c r="CF541" i="7"/>
  <c r="CD541" i="7"/>
  <c r="AR541" i="7"/>
  <c r="CG540" i="7"/>
  <c r="CF540" i="7"/>
  <c r="AT540" i="7"/>
  <c r="CD540" i="7" s="1"/>
  <c r="AR540" i="7"/>
  <c r="CG539" i="7"/>
  <c r="CF539" i="7"/>
  <c r="CD539" i="7"/>
  <c r="AR539" i="7"/>
  <c r="CG538" i="7"/>
  <c r="CF538" i="7"/>
  <c r="CD538" i="7"/>
  <c r="CE538" i="7" s="1"/>
  <c r="AR538" i="7"/>
  <c r="CG537" i="7"/>
  <c r="CF537" i="7"/>
  <c r="CD537" i="7"/>
  <c r="AR537" i="7"/>
  <c r="E537" i="7"/>
  <c r="CG536" i="7"/>
  <c r="CF536" i="7"/>
  <c r="CD536" i="7"/>
  <c r="AR536" i="7"/>
  <c r="E536" i="7"/>
  <c r="CG535" i="7"/>
  <c r="CF535" i="7"/>
  <c r="CD535" i="7"/>
  <c r="AR535" i="7"/>
  <c r="CG534" i="7"/>
  <c r="CF534" i="7"/>
  <c r="CD534" i="7"/>
  <c r="AR534" i="7"/>
  <c r="CG533" i="7"/>
  <c r="CF533" i="7"/>
  <c r="AT533" i="7"/>
  <c r="AU533" i="7" s="1"/>
  <c r="CD533" i="7" s="1"/>
  <c r="CE533" i="7" s="1"/>
  <c r="AR533" i="7"/>
  <c r="CG532" i="7"/>
  <c r="CF532" i="7"/>
  <c r="CD532" i="7"/>
  <c r="AR532" i="7"/>
  <c r="CG531" i="7"/>
  <c r="CF531" i="7"/>
  <c r="CD531" i="7"/>
  <c r="CE531" i="7" s="1"/>
  <c r="AR531" i="7"/>
  <c r="CG530" i="7"/>
  <c r="CF530" i="7"/>
  <c r="CD530" i="7"/>
  <c r="AR530" i="7"/>
  <c r="CG529" i="7"/>
  <c r="CF529" i="7"/>
  <c r="CD529" i="7"/>
  <c r="AR529" i="7"/>
  <c r="CG528" i="7"/>
  <c r="CF528" i="7"/>
  <c r="CD528" i="7"/>
  <c r="AR528" i="7"/>
  <c r="CG527" i="7"/>
  <c r="CF527" i="7"/>
  <c r="AU527" i="7"/>
  <c r="AT527" i="7"/>
  <c r="AR527" i="7"/>
  <c r="CG526" i="7"/>
  <c r="CF526" i="7"/>
  <c r="AT526" i="7"/>
  <c r="CD526" i="7" s="1"/>
  <c r="AR526" i="7"/>
  <c r="CG525" i="7"/>
  <c r="CF525" i="7"/>
  <c r="AT525" i="7"/>
  <c r="CD525" i="7" s="1"/>
  <c r="AR525" i="7"/>
  <c r="CG524" i="7"/>
  <c r="CF524" i="7"/>
  <c r="CD524" i="7"/>
  <c r="AR524" i="7"/>
  <c r="CG523" i="7"/>
  <c r="CF523" i="7"/>
  <c r="CD523" i="7"/>
  <c r="AR523" i="7"/>
  <c r="CG522" i="7"/>
  <c r="CF522" i="7"/>
  <c r="CD522" i="7"/>
  <c r="AR522" i="7"/>
  <c r="CG521" i="7"/>
  <c r="CF521" i="7"/>
  <c r="CD521" i="7"/>
  <c r="AR521" i="7"/>
  <c r="CG520" i="7"/>
  <c r="CF520" i="7"/>
  <c r="CD520" i="7"/>
  <c r="AR520" i="7"/>
  <c r="CG519" i="7"/>
  <c r="CF519" i="7"/>
  <c r="CD519" i="7"/>
  <c r="AU519" i="7"/>
  <c r="AT519" i="7"/>
  <c r="AR519" i="7"/>
  <c r="CG518" i="7"/>
  <c r="CF518" i="7"/>
  <c r="CD518" i="7"/>
  <c r="AR518" i="7"/>
  <c r="CG517" i="7"/>
  <c r="CF517" i="7"/>
  <c r="CD517" i="7"/>
  <c r="AR517" i="7"/>
  <c r="CG516" i="7"/>
  <c r="CF516" i="7"/>
  <c r="CD516" i="7"/>
  <c r="AR516" i="7"/>
  <c r="CE516" i="7" s="1"/>
  <c r="CG515" i="7"/>
  <c r="CF515" i="7"/>
  <c r="CD515" i="7"/>
  <c r="AR515" i="7"/>
  <c r="CE515" i="7" s="1"/>
  <c r="CG514" i="7"/>
  <c r="CF514" i="7"/>
  <c r="CD514" i="7"/>
  <c r="AR514" i="7"/>
  <c r="CG513" i="7"/>
  <c r="CF513" i="7"/>
  <c r="CD513" i="7"/>
  <c r="AR513" i="7"/>
  <c r="CG512" i="7"/>
  <c r="CF512" i="7"/>
  <c r="CD512" i="7"/>
  <c r="AR512" i="7"/>
  <c r="CG511" i="7"/>
  <c r="CF511" i="7"/>
  <c r="CD511" i="7"/>
  <c r="AR511" i="7"/>
  <c r="CG510" i="7"/>
  <c r="CF510" i="7"/>
  <c r="CD510" i="7"/>
  <c r="AR510" i="7"/>
  <c r="CG509" i="7"/>
  <c r="CF509" i="7"/>
  <c r="CD509" i="7"/>
  <c r="AR509" i="7"/>
  <c r="CG508" i="7"/>
  <c r="CF508" i="7"/>
  <c r="CD508" i="7"/>
  <c r="AR508" i="7"/>
  <c r="CG507" i="7"/>
  <c r="CF507" i="7"/>
  <c r="CD507" i="7"/>
  <c r="AR507" i="7"/>
  <c r="CG506" i="7"/>
  <c r="CF506" i="7"/>
  <c r="CD506" i="7"/>
  <c r="AR506" i="7"/>
  <c r="E506" i="7"/>
  <c r="CG505" i="7"/>
  <c r="CF505" i="7"/>
  <c r="CD505" i="7"/>
  <c r="AR505" i="7"/>
  <c r="CG504" i="7"/>
  <c r="CF504" i="7"/>
  <c r="CD504" i="7"/>
  <c r="AR504" i="7"/>
  <c r="CG503" i="7"/>
  <c r="CF503" i="7"/>
  <c r="CD503" i="7"/>
  <c r="AR503" i="7"/>
  <c r="CG502" i="7"/>
  <c r="CF502" i="7"/>
  <c r="CD502" i="7"/>
  <c r="AR502" i="7"/>
  <c r="CG501" i="7"/>
  <c r="CF501" i="7"/>
  <c r="CD501" i="7"/>
  <c r="CE501" i="7" s="1"/>
  <c r="AR501" i="7"/>
  <c r="CG500" i="7"/>
  <c r="CF500" i="7"/>
  <c r="CD500" i="7"/>
  <c r="AR500" i="7"/>
  <c r="CG499" i="7"/>
  <c r="CF499" i="7"/>
  <c r="CD499" i="7"/>
  <c r="AR499" i="7"/>
  <c r="CG498" i="7"/>
  <c r="CF498" i="7"/>
  <c r="CD498" i="7"/>
  <c r="CE498" i="7" s="1"/>
  <c r="AR498" i="7"/>
  <c r="CG497" i="7"/>
  <c r="CF497" i="7"/>
  <c r="CD497" i="7"/>
  <c r="AR497" i="7"/>
  <c r="CG496" i="7"/>
  <c r="CF496" i="7"/>
  <c r="CD496" i="7"/>
  <c r="AR496" i="7"/>
  <c r="CG495" i="7"/>
  <c r="CF495" i="7"/>
  <c r="CD495" i="7"/>
  <c r="AR495" i="7"/>
  <c r="CG494" i="7"/>
  <c r="CF494" i="7"/>
  <c r="CD494" i="7"/>
  <c r="AR494" i="7"/>
  <c r="CG493" i="7"/>
  <c r="CF493" i="7"/>
  <c r="CD493" i="7"/>
  <c r="CE493" i="7" s="1"/>
  <c r="AR493" i="7"/>
  <c r="CG492" i="7"/>
  <c r="CF492" i="7"/>
  <c r="CD492" i="7"/>
  <c r="AR492" i="7"/>
  <c r="CG491" i="7"/>
  <c r="CF491" i="7"/>
  <c r="CD491" i="7"/>
  <c r="CE491" i="7" s="1"/>
  <c r="AR491" i="7"/>
  <c r="CG490" i="7"/>
  <c r="CF490" i="7"/>
  <c r="CD490" i="7"/>
  <c r="AR490" i="7"/>
  <c r="CG489" i="7"/>
  <c r="CF489" i="7"/>
  <c r="CD489" i="7"/>
  <c r="CE489" i="7" s="1"/>
  <c r="AR489" i="7"/>
  <c r="CG488" i="7"/>
  <c r="CF488" i="7"/>
  <c r="AT488" i="7"/>
  <c r="CD488" i="7" s="1"/>
  <c r="AR488" i="7"/>
  <c r="CK487" i="7"/>
  <c r="CJ487" i="7"/>
  <c r="CI487" i="7"/>
  <c r="CH487" i="7"/>
  <c r="CC487" i="7"/>
  <c r="CB487" i="7"/>
  <c r="CA487" i="7"/>
  <c r="BY487" i="7"/>
  <c r="BX487" i="7"/>
  <c r="BW487" i="7"/>
  <c r="BV487" i="7"/>
  <c r="BU487" i="7"/>
  <c r="BT487" i="7"/>
  <c r="BS487" i="7"/>
  <c r="BR487" i="7"/>
  <c r="BQ487" i="7"/>
  <c r="BP487" i="7"/>
  <c r="BO487" i="7"/>
  <c r="BN487" i="7"/>
  <c r="BM487" i="7"/>
  <c r="BL487" i="7"/>
  <c r="BK487" i="7"/>
  <c r="BJ487" i="7"/>
  <c r="BI487" i="7"/>
  <c r="BG487" i="7"/>
  <c r="BF487" i="7"/>
  <c r="BE487" i="7"/>
  <c r="BD487" i="7"/>
  <c r="BC487" i="7"/>
  <c r="BB487" i="7"/>
  <c r="BA487" i="7"/>
  <c r="AZ487" i="7"/>
  <c r="AY487" i="7"/>
  <c r="AX487" i="7"/>
  <c r="AW487" i="7"/>
  <c r="AV487" i="7"/>
  <c r="AU487" i="7"/>
  <c r="AT487" i="7"/>
  <c r="AS487" i="7"/>
  <c r="AQ487" i="7"/>
  <c r="AP487" i="7"/>
  <c r="AO487" i="7"/>
  <c r="AM487" i="7"/>
  <c r="AL487" i="7"/>
  <c r="AK487" i="7"/>
  <c r="AJ487" i="7"/>
  <c r="AI487" i="7"/>
  <c r="AH487" i="7"/>
  <c r="AG487" i="7"/>
  <c r="AF487" i="7"/>
  <c r="AE487" i="7"/>
  <c r="AD487" i="7"/>
  <c r="AC487" i="7"/>
  <c r="AB487" i="7"/>
  <c r="AA487" i="7"/>
  <c r="Z487" i="7"/>
  <c r="Y487" i="7"/>
  <c r="X487" i="7"/>
  <c r="W487" i="7"/>
  <c r="V487" i="7"/>
  <c r="U487" i="7"/>
  <c r="T487" i="7"/>
  <c r="S487" i="7"/>
  <c r="R487" i="7"/>
  <c r="Q487" i="7"/>
  <c r="P487" i="7"/>
  <c r="O487" i="7"/>
  <c r="N487" i="7"/>
  <c r="M487" i="7"/>
  <c r="L487" i="7"/>
  <c r="K487" i="7"/>
  <c r="J487" i="7"/>
  <c r="I487" i="7"/>
  <c r="H487" i="7"/>
  <c r="CG486" i="7"/>
  <c r="CF486" i="7"/>
  <c r="CD486" i="7"/>
  <c r="AR486" i="7"/>
  <c r="CG485" i="7"/>
  <c r="CF485" i="7"/>
  <c r="CD485" i="7"/>
  <c r="CE485" i="7" s="1"/>
  <c r="AR485" i="7"/>
  <c r="CG484" i="7"/>
  <c r="CF484" i="7"/>
  <c r="CD484" i="7"/>
  <c r="AR484" i="7"/>
  <c r="CG483" i="7"/>
  <c r="CF483" i="7"/>
  <c r="CD483" i="7"/>
  <c r="AR483" i="7"/>
  <c r="CG482" i="7"/>
  <c r="CF482" i="7"/>
  <c r="CD482" i="7"/>
  <c r="CE482" i="7" s="1"/>
  <c r="AR482" i="7"/>
  <c r="E482" i="7"/>
  <c r="CG481" i="7"/>
  <c r="CF481" i="7"/>
  <c r="CD481" i="7"/>
  <c r="AR481" i="7"/>
  <c r="CG480" i="7"/>
  <c r="CF480" i="7"/>
  <c r="CD480" i="7"/>
  <c r="AR480" i="7"/>
  <c r="CG479" i="7"/>
  <c r="CF479" i="7"/>
  <c r="CD479" i="7"/>
  <c r="AR479" i="7"/>
  <c r="CG478" i="7"/>
  <c r="CF478" i="7"/>
  <c r="CD478" i="7"/>
  <c r="AR478" i="7"/>
  <c r="CG477" i="7"/>
  <c r="CF477" i="7"/>
  <c r="CD477" i="7"/>
  <c r="AR477" i="7"/>
  <c r="CG476" i="7"/>
  <c r="CF476" i="7"/>
  <c r="CD476" i="7"/>
  <c r="AR476" i="7"/>
  <c r="CE476" i="7" s="1"/>
  <c r="CG475" i="7"/>
  <c r="CF475" i="7"/>
  <c r="CD475" i="7"/>
  <c r="AR475" i="7"/>
  <c r="CG474" i="7"/>
  <c r="CF474" i="7"/>
  <c r="CD474" i="7"/>
  <c r="AR474" i="7"/>
  <c r="CG473" i="7"/>
  <c r="CF473" i="7"/>
  <c r="CD473" i="7"/>
  <c r="AR473" i="7"/>
  <c r="CG472" i="7"/>
  <c r="CF472" i="7"/>
  <c r="CD472" i="7"/>
  <c r="AR472" i="7"/>
  <c r="CG471" i="7"/>
  <c r="CF471" i="7"/>
  <c r="CD471" i="7"/>
  <c r="AR471" i="7"/>
  <c r="CG470" i="7"/>
  <c r="CF470" i="7"/>
  <c r="CD470" i="7"/>
  <c r="AR470" i="7"/>
  <c r="CG469" i="7"/>
  <c r="CF469" i="7"/>
  <c r="CD469" i="7"/>
  <c r="AR469" i="7"/>
  <c r="CG468" i="7"/>
  <c r="CF468" i="7"/>
  <c r="CD468" i="7"/>
  <c r="AR468" i="7"/>
  <c r="CG467" i="7"/>
  <c r="CF467" i="7"/>
  <c r="CD467" i="7"/>
  <c r="AR467" i="7"/>
  <c r="CG466" i="7"/>
  <c r="CF466" i="7"/>
  <c r="CD466" i="7"/>
  <c r="AR466" i="7"/>
  <c r="CG465" i="7"/>
  <c r="CF465" i="7"/>
  <c r="CD465" i="7"/>
  <c r="AR465" i="7"/>
  <c r="CE465" i="7" s="1"/>
  <c r="CG464" i="7"/>
  <c r="CF464" i="7"/>
  <c r="CD464" i="7"/>
  <c r="AR464" i="7"/>
  <c r="CG463" i="7"/>
  <c r="CF463" i="7"/>
  <c r="CD463" i="7"/>
  <c r="AR463" i="7"/>
  <c r="CG462" i="7"/>
  <c r="CF462" i="7"/>
  <c r="CD462" i="7"/>
  <c r="AR462" i="7"/>
  <c r="CG461" i="7"/>
  <c r="CF461" i="7"/>
  <c r="CD461" i="7"/>
  <c r="AR461" i="7"/>
  <c r="E461" i="7"/>
  <c r="E463" i="7" s="1"/>
  <c r="E467" i="7" s="1"/>
  <c r="E469" i="7" s="1"/>
  <c r="E472" i="7" s="1"/>
  <c r="E473" i="7" s="1"/>
  <c r="E476" i="7" s="1"/>
  <c r="E477" i="7" s="1"/>
  <c r="E479" i="7" s="1"/>
  <c r="E483" i="7" s="1"/>
  <c r="CG460" i="7"/>
  <c r="CF460" i="7"/>
  <c r="CD460" i="7"/>
  <c r="AR460" i="7"/>
  <c r="E460" i="7"/>
  <c r="CG459" i="7"/>
  <c r="CF459" i="7"/>
  <c r="CD459" i="7"/>
  <c r="AR459" i="7"/>
  <c r="E459" i="7"/>
  <c r="E462" i="7" s="1"/>
  <c r="E464" i="7" s="1"/>
  <c r="E468" i="7" s="1"/>
  <c r="E470" i="7" s="1"/>
  <c r="CG458" i="7"/>
  <c r="CF458" i="7"/>
  <c r="CD458" i="7"/>
  <c r="AR458" i="7"/>
  <c r="E458" i="7"/>
  <c r="E465" i="7" s="1"/>
  <c r="E481" i="7" s="1"/>
  <c r="CG457" i="7"/>
  <c r="CF457" i="7"/>
  <c r="CD457" i="7"/>
  <c r="AR457" i="7"/>
  <c r="CG456" i="7"/>
  <c r="CF456" i="7"/>
  <c r="CD456" i="7"/>
  <c r="AR456" i="7"/>
  <c r="CG455" i="7"/>
  <c r="CF455" i="7"/>
  <c r="CD455" i="7"/>
  <c r="AR455" i="7"/>
  <c r="CG454" i="7"/>
  <c r="CF454" i="7"/>
  <c r="CD454" i="7"/>
  <c r="AR454" i="7"/>
  <c r="CG453" i="7"/>
  <c r="CF453" i="7"/>
  <c r="CD453" i="7"/>
  <c r="AR453" i="7"/>
  <c r="CG452" i="7"/>
  <c r="CF452" i="7"/>
  <c r="CD452" i="7"/>
  <c r="AR452" i="7"/>
  <c r="CG451" i="7"/>
  <c r="CF451" i="7"/>
  <c r="CD451" i="7"/>
  <c r="AR451" i="7"/>
  <c r="CG450" i="7"/>
  <c r="CF450" i="7"/>
  <c r="CD450" i="7"/>
  <c r="AR450" i="7"/>
  <c r="CE450" i="7" s="1"/>
  <c r="CG449" i="7"/>
  <c r="CF449" i="7"/>
  <c r="CD449" i="7"/>
  <c r="AR449" i="7"/>
  <c r="CG448" i="7"/>
  <c r="CF448" i="7"/>
  <c r="BH448" i="7"/>
  <c r="BH487" i="7" s="1"/>
  <c r="AR448" i="7"/>
  <c r="CG447" i="7"/>
  <c r="CF447" i="7"/>
  <c r="CD447" i="7"/>
  <c r="AR447" i="7"/>
  <c r="CG446" i="7"/>
  <c r="CF446" i="7"/>
  <c r="CD446" i="7"/>
  <c r="AR446" i="7"/>
  <c r="A446" i="7"/>
  <c r="CG445" i="7"/>
  <c r="CF445" i="7"/>
  <c r="CD445" i="7"/>
  <c r="AR445" i="7"/>
  <c r="CG444" i="7"/>
  <c r="CF444" i="7"/>
  <c r="CD444" i="7"/>
  <c r="CE444" i="7" s="1"/>
  <c r="AR444" i="7"/>
  <c r="CN443" i="7"/>
  <c r="CM443" i="7"/>
  <c r="CL443" i="7"/>
  <c r="CK443" i="7"/>
  <c r="CJ443" i="7"/>
  <c r="CI443" i="7"/>
  <c r="CH443" i="7"/>
  <c r="CC443" i="7"/>
  <c r="CB443" i="7"/>
  <c r="CA443" i="7"/>
  <c r="BY443" i="7"/>
  <c r="BX443" i="7"/>
  <c r="BW443" i="7"/>
  <c r="BV443" i="7"/>
  <c r="BU443" i="7"/>
  <c r="BT443" i="7"/>
  <c r="BS443" i="7"/>
  <c r="BR443" i="7"/>
  <c r="BQ443" i="7"/>
  <c r="BP443" i="7"/>
  <c r="BO443" i="7"/>
  <c r="BN443" i="7"/>
  <c r="BM443" i="7"/>
  <c r="BL443" i="7"/>
  <c r="BK443" i="7"/>
  <c r="BJ443" i="7"/>
  <c r="BI443" i="7"/>
  <c r="BH443" i="7"/>
  <c r="BG443" i="7"/>
  <c r="BF443" i="7"/>
  <c r="BE443" i="7"/>
  <c r="BD443" i="7"/>
  <c r="BC443" i="7"/>
  <c r="BB443" i="7"/>
  <c r="BA443" i="7"/>
  <c r="AZ443" i="7"/>
  <c r="AY443" i="7"/>
  <c r="AX443" i="7"/>
  <c r="AW443" i="7"/>
  <c r="AV443" i="7"/>
  <c r="AU443" i="7"/>
  <c r="AT443" i="7"/>
  <c r="AS443" i="7"/>
  <c r="AQ443" i="7"/>
  <c r="AP443" i="7"/>
  <c r="AO443" i="7"/>
  <c r="AM443" i="7"/>
  <c r="AL443" i="7"/>
  <c r="AK443" i="7"/>
  <c r="AJ443" i="7"/>
  <c r="AI443" i="7"/>
  <c r="AH443" i="7"/>
  <c r="AG443" i="7"/>
  <c r="AF443" i="7"/>
  <c r="AE443" i="7"/>
  <c r="AD443" i="7"/>
  <c r="AC443" i="7"/>
  <c r="AB443" i="7"/>
  <c r="AA443" i="7"/>
  <c r="Z443" i="7"/>
  <c r="Y443" i="7"/>
  <c r="X443" i="7"/>
  <c r="W443" i="7"/>
  <c r="V443" i="7"/>
  <c r="U443" i="7"/>
  <c r="T443" i="7"/>
  <c r="CG442" i="7"/>
  <c r="CF442" i="7"/>
  <c r="CD442" i="7"/>
  <c r="CD443" i="7" s="1"/>
  <c r="AR442" i="7"/>
  <c r="AR443" i="7" s="1"/>
  <c r="CP441" i="7"/>
  <c r="CP1101" i="7" s="1"/>
  <c r="CO441" i="7"/>
  <c r="CO1101" i="7" s="1"/>
  <c r="CN441" i="7"/>
  <c r="CM441" i="7"/>
  <c r="CL441" i="7"/>
  <c r="CK441" i="7"/>
  <c r="CJ441" i="7"/>
  <c r="CI441" i="7"/>
  <c r="CH441" i="7"/>
  <c r="CG441" i="7"/>
  <c r="CF441" i="7"/>
  <c r="CC441" i="7"/>
  <c r="CB441" i="7"/>
  <c r="CA441" i="7"/>
  <c r="BY441" i="7"/>
  <c r="BX441" i="7"/>
  <c r="BW441" i="7"/>
  <c r="BV441" i="7"/>
  <c r="BU441" i="7"/>
  <c r="BT441" i="7"/>
  <c r="BS441" i="7"/>
  <c r="BR441" i="7"/>
  <c r="BQ441" i="7"/>
  <c r="BP441" i="7"/>
  <c r="BO441" i="7"/>
  <c r="BN441" i="7"/>
  <c r="BM441" i="7"/>
  <c r="BL441" i="7"/>
  <c r="BK441" i="7"/>
  <c r="BJ441" i="7"/>
  <c r="BI441" i="7"/>
  <c r="BH441" i="7"/>
  <c r="BG441" i="7"/>
  <c r="BF441" i="7"/>
  <c r="BE441" i="7"/>
  <c r="BD441" i="7"/>
  <c r="BC441" i="7"/>
  <c r="BB441" i="7"/>
  <c r="BA441" i="7"/>
  <c r="AZ441" i="7"/>
  <c r="AY441" i="7"/>
  <c r="AX441" i="7"/>
  <c r="AW441" i="7"/>
  <c r="AV441" i="7"/>
  <c r="AS441" i="7"/>
  <c r="AQ441" i="7"/>
  <c r="AP441" i="7"/>
  <c r="AO441" i="7"/>
  <c r="AM441" i="7"/>
  <c r="AL441" i="7"/>
  <c r="AK441" i="7"/>
  <c r="AJ441" i="7"/>
  <c r="AI441" i="7"/>
  <c r="AH441" i="7"/>
  <c r="AG441" i="7"/>
  <c r="AF441" i="7"/>
  <c r="AE441" i="7"/>
  <c r="AD441" i="7"/>
  <c r="AC441" i="7"/>
  <c r="AB441" i="7"/>
  <c r="AA441" i="7"/>
  <c r="Z441" i="7"/>
  <c r="Y441" i="7"/>
  <c r="X441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H441" i="7"/>
  <c r="G441" i="7"/>
  <c r="CG440" i="7"/>
  <c r="CF440" i="7"/>
  <c r="AU440" i="7"/>
  <c r="AU441" i="7" s="1"/>
  <c r="AT440" i="7"/>
  <c r="AR440" i="7"/>
  <c r="CG439" i="7"/>
  <c r="CF439" i="7"/>
  <c r="CD439" i="7"/>
  <c r="CE439" i="7" s="1"/>
  <c r="AR439" i="7"/>
  <c r="CG438" i="7"/>
  <c r="CF438" i="7"/>
  <c r="CD438" i="7"/>
  <c r="AR438" i="7"/>
  <c r="CG437" i="7"/>
  <c r="CF437" i="7"/>
  <c r="CD437" i="7"/>
  <c r="CE437" i="7" s="1"/>
  <c r="AR437" i="7"/>
  <c r="CG436" i="7"/>
  <c r="CF436" i="7"/>
  <c r="CD436" i="7"/>
  <c r="AR436" i="7"/>
  <c r="CG435" i="7"/>
  <c r="CF435" i="7"/>
  <c r="CD435" i="7"/>
  <c r="AR435" i="7"/>
  <c r="CG434" i="7"/>
  <c r="CF434" i="7"/>
  <c r="CD434" i="7"/>
  <c r="AR434" i="7"/>
  <c r="CG433" i="7"/>
  <c r="CF433" i="7"/>
  <c r="CD433" i="7"/>
  <c r="AR433" i="7"/>
  <c r="CG432" i="7"/>
  <c r="CF432" i="7"/>
  <c r="CD432" i="7"/>
  <c r="AT432" i="7"/>
  <c r="AR432" i="7"/>
  <c r="CG431" i="7"/>
  <c r="CF431" i="7"/>
  <c r="CD431" i="7"/>
  <c r="AR431" i="7"/>
  <c r="CG430" i="7"/>
  <c r="CF430" i="7"/>
  <c r="CD430" i="7"/>
  <c r="CE430" i="7" s="1"/>
  <c r="CG429" i="7"/>
  <c r="CF429" i="7"/>
  <c r="CD429" i="7"/>
  <c r="AR429" i="7"/>
  <c r="CG428" i="7"/>
  <c r="CF428" i="7"/>
  <c r="CD428" i="7"/>
  <c r="AR428" i="7"/>
  <c r="CG427" i="7"/>
  <c r="CF427" i="7"/>
  <c r="CD427" i="7"/>
  <c r="AR427" i="7"/>
  <c r="CG426" i="7"/>
  <c r="CF426" i="7"/>
  <c r="CD426" i="7"/>
  <c r="AR426" i="7"/>
  <c r="CG425" i="7"/>
  <c r="CF425" i="7"/>
  <c r="CD425" i="7"/>
  <c r="AR425" i="7"/>
  <c r="CG424" i="7"/>
  <c r="CF424" i="7"/>
  <c r="CD424" i="7"/>
  <c r="AR424" i="7"/>
  <c r="CG423" i="7"/>
  <c r="CF423" i="7"/>
  <c r="CD423" i="7"/>
  <c r="AR423" i="7"/>
  <c r="CG422" i="7"/>
  <c r="CF422" i="7"/>
  <c r="CD422" i="7"/>
  <c r="AR422" i="7"/>
  <c r="CG421" i="7"/>
  <c r="CF421" i="7"/>
  <c r="CD421" i="7"/>
  <c r="AR421" i="7"/>
  <c r="CG420" i="7"/>
  <c r="CF420" i="7"/>
  <c r="CD420" i="7"/>
  <c r="AR420" i="7"/>
  <c r="CG419" i="7"/>
  <c r="CF419" i="7"/>
  <c r="CD419" i="7"/>
  <c r="CE419" i="7" s="1"/>
  <c r="AR419" i="7"/>
  <c r="CG418" i="7"/>
  <c r="CF418" i="7"/>
  <c r="CD418" i="7"/>
  <c r="AR418" i="7"/>
  <c r="CG417" i="7"/>
  <c r="CF417" i="7"/>
  <c r="CD417" i="7"/>
  <c r="AR417" i="7"/>
  <c r="CG416" i="7"/>
  <c r="CF416" i="7"/>
  <c r="CD416" i="7"/>
  <c r="CE416" i="7" s="1"/>
  <c r="AR416" i="7"/>
  <c r="CG415" i="7"/>
  <c r="CF415" i="7"/>
  <c r="CD415" i="7"/>
  <c r="CE415" i="7" s="1"/>
  <c r="AR415" i="7"/>
  <c r="CG414" i="7"/>
  <c r="CF414" i="7"/>
  <c r="CD414" i="7"/>
  <c r="AR414" i="7"/>
  <c r="CG413" i="7"/>
  <c r="CF413" i="7"/>
  <c r="CD413" i="7"/>
  <c r="AR413" i="7"/>
  <c r="CG412" i="7"/>
  <c r="CF412" i="7"/>
  <c r="CD412" i="7"/>
  <c r="CE412" i="7" s="1"/>
  <c r="AR412" i="7"/>
  <c r="CG411" i="7"/>
  <c r="CF411" i="7"/>
  <c r="CD411" i="7"/>
  <c r="CE411" i="7" s="1"/>
  <c r="AR411" i="7"/>
  <c r="CG410" i="7"/>
  <c r="CF410" i="7"/>
  <c r="CD410" i="7"/>
  <c r="AR410" i="7"/>
  <c r="CG409" i="7"/>
  <c r="CF409" i="7"/>
  <c r="CD409" i="7"/>
  <c r="AR409" i="7"/>
  <c r="CG408" i="7"/>
  <c r="CF408" i="7"/>
  <c r="CD408" i="7"/>
  <c r="AR408" i="7"/>
  <c r="CG407" i="7"/>
  <c r="CF407" i="7"/>
  <c r="CD407" i="7"/>
  <c r="CE407" i="7" s="1"/>
  <c r="AR407" i="7"/>
  <c r="CG406" i="7"/>
  <c r="CF406" i="7"/>
  <c r="CD406" i="7"/>
  <c r="AR406" i="7"/>
  <c r="CG405" i="7"/>
  <c r="CF405" i="7"/>
  <c r="CD405" i="7"/>
  <c r="AR405" i="7"/>
  <c r="CG404" i="7"/>
  <c r="CF404" i="7"/>
  <c r="CD404" i="7"/>
  <c r="CE404" i="7" s="1"/>
  <c r="AR404" i="7"/>
  <c r="CG403" i="7"/>
  <c r="CF403" i="7"/>
  <c r="CE403" i="7"/>
  <c r="CD403" i="7"/>
  <c r="AR403" i="7"/>
  <c r="CG402" i="7"/>
  <c r="CF402" i="7"/>
  <c r="CD402" i="7"/>
  <c r="AR402" i="7"/>
  <c r="CG401" i="7"/>
  <c r="CF401" i="7"/>
  <c r="CD401" i="7"/>
  <c r="AR401" i="7"/>
  <c r="CG400" i="7"/>
  <c r="CF400" i="7"/>
  <c r="CD400" i="7"/>
  <c r="AR400" i="7"/>
  <c r="CG399" i="7"/>
  <c r="CF399" i="7"/>
  <c r="CD399" i="7"/>
  <c r="CE399" i="7" s="1"/>
  <c r="AR399" i="7"/>
  <c r="CG398" i="7"/>
  <c r="CF398" i="7"/>
  <c r="CD398" i="7"/>
  <c r="AR398" i="7"/>
  <c r="CG397" i="7"/>
  <c r="CF397" i="7"/>
  <c r="AT397" i="7"/>
  <c r="AT441" i="7" s="1"/>
  <c r="AR397" i="7"/>
  <c r="CG396" i="7"/>
  <c r="CF396" i="7"/>
  <c r="CD396" i="7"/>
  <c r="AR396" i="7"/>
  <c r="CL395" i="7"/>
  <c r="CK395" i="7"/>
  <c r="CJ395" i="7"/>
  <c r="CI395" i="7"/>
  <c r="CH395" i="7"/>
  <c r="CC395" i="7"/>
  <c r="CB395" i="7"/>
  <c r="CA395" i="7"/>
  <c r="BY395" i="7"/>
  <c r="BX395" i="7"/>
  <c r="BW395" i="7"/>
  <c r="BV395" i="7"/>
  <c r="BU395" i="7"/>
  <c r="BT395" i="7"/>
  <c r="BS395" i="7"/>
  <c r="BR395" i="7"/>
  <c r="BQ395" i="7"/>
  <c r="BP395" i="7"/>
  <c r="BO395" i="7"/>
  <c r="BN395" i="7"/>
  <c r="BM395" i="7"/>
  <c r="BL395" i="7"/>
  <c r="BK395" i="7"/>
  <c r="BJ395" i="7"/>
  <c r="BI395" i="7"/>
  <c r="BH395" i="7"/>
  <c r="BG395" i="7"/>
  <c r="BF395" i="7"/>
  <c r="BE395" i="7"/>
  <c r="BD395" i="7"/>
  <c r="BC395" i="7"/>
  <c r="BB395" i="7"/>
  <c r="BA395" i="7"/>
  <c r="AZ395" i="7"/>
  <c r="AY395" i="7"/>
  <c r="AX395" i="7"/>
  <c r="AW395" i="7"/>
  <c r="AV395" i="7"/>
  <c r="AS395" i="7"/>
  <c r="AQ395" i="7"/>
  <c r="AP395" i="7"/>
  <c r="AO395" i="7"/>
  <c r="AM395" i="7"/>
  <c r="AL395" i="7"/>
  <c r="AK395" i="7"/>
  <c r="AJ395" i="7"/>
  <c r="AI395" i="7"/>
  <c r="AH395" i="7"/>
  <c r="AG395" i="7"/>
  <c r="AF395" i="7"/>
  <c r="AE395" i="7"/>
  <c r="AD395" i="7"/>
  <c r="AC395" i="7"/>
  <c r="AB395" i="7"/>
  <c r="AA395" i="7"/>
  <c r="Z395" i="7"/>
  <c r="Y395" i="7"/>
  <c r="X395" i="7"/>
  <c r="W395" i="7"/>
  <c r="V395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CG394" i="7"/>
  <c r="CF394" i="7"/>
  <c r="CD394" i="7"/>
  <c r="AR394" i="7"/>
  <c r="CG393" i="7"/>
  <c r="CF393" i="7"/>
  <c r="CD393" i="7"/>
  <c r="AR393" i="7"/>
  <c r="CG392" i="7"/>
  <c r="CF392" i="7"/>
  <c r="CD392" i="7"/>
  <c r="AR392" i="7"/>
  <c r="CG391" i="7"/>
  <c r="CF391" i="7"/>
  <c r="CD391" i="7"/>
  <c r="AR391" i="7"/>
  <c r="CG390" i="7"/>
  <c r="CF390" i="7"/>
  <c r="CD390" i="7"/>
  <c r="AR390" i="7"/>
  <c r="CG389" i="7"/>
  <c r="CF389" i="7"/>
  <c r="CD389" i="7"/>
  <c r="AR389" i="7"/>
  <c r="CG388" i="7"/>
  <c r="CF388" i="7"/>
  <c r="CD388" i="7"/>
  <c r="CE388" i="7" s="1"/>
  <c r="AT388" i="7"/>
  <c r="AR388" i="7"/>
  <c r="CG387" i="7"/>
  <c r="CF387" i="7"/>
  <c r="CD387" i="7"/>
  <c r="AR387" i="7"/>
  <c r="CG386" i="7"/>
  <c r="CF386" i="7"/>
  <c r="CD386" i="7"/>
  <c r="AR386" i="7"/>
  <c r="CG385" i="7"/>
  <c r="CF385" i="7"/>
  <c r="CD385" i="7"/>
  <c r="AR385" i="7"/>
  <c r="CG384" i="7"/>
  <c r="CF384" i="7"/>
  <c r="CD384" i="7"/>
  <c r="CE384" i="7" s="1"/>
  <c r="AR384" i="7"/>
  <c r="CG383" i="7"/>
  <c r="CF383" i="7"/>
  <c r="CD383" i="7"/>
  <c r="AR383" i="7"/>
  <c r="CG382" i="7"/>
  <c r="CF382" i="7"/>
  <c r="CD382" i="7"/>
  <c r="AR382" i="7"/>
  <c r="CG381" i="7"/>
  <c r="CF381" i="7"/>
  <c r="CD381" i="7"/>
  <c r="AR381" i="7"/>
  <c r="CG380" i="7"/>
  <c r="CF380" i="7"/>
  <c r="CD380" i="7"/>
  <c r="AR380" i="7"/>
  <c r="CG379" i="7"/>
  <c r="CF379" i="7"/>
  <c r="CD379" i="7"/>
  <c r="AR379" i="7"/>
  <c r="CG378" i="7"/>
  <c r="CF378" i="7"/>
  <c r="CD378" i="7"/>
  <c r="AR378" i="7"/>
  <c r="CG377" i="7"/>
  <c r="CF377" i="7"/>
  <c r="CD377" i="7"/>
  <c r="AR377" i="7"/>
  <c r="CG376" i="7"/>
  <c r="CF376" i="7"/>
  <c r="CD376" i="7"/>
  <c r="CE376" i="7" s="1"/>
  <c r="AR376" i="7"/>
  <c r="CG375" i="7"/>
  <c r="CF375" i="7"/>
  <c r="CD375" i="7"/>
  <c r="AR375" i="7"/>
  <c r="CG374" i="7"/>
  <c r="CF374" i="7"/>
  <c r="CD374" i="7"/>
  <c r="AR374" i="7"/>
  <c r="CG373" i="7"/>
  <c r="CF373" i="7"/>
  <c r="CD373" i="7"/>
  <c r="CE373" i="7" s="1"/>
  <c r="AR373" i="7"/>
  <c r="CG372" i="7"/>
  <c r="CF372" i="7"/>
  <c r="CD372" i="7"/>
  <c r="AR372" i="7"/>
  <c r="CG371" i="7"/>
  <c r="CF371" i="7"/>
  <c r="CD371" i="7"/>
  <c r="AR371" i="7"/>
  <c r="CG370" i="7"/>
  <c r="CF370" i="7"/>
  <c r="CD370" i="7"/>
  <c r="AR370" i="7"/>
  <c r="CG369" i="7"/>
  <c r="CF369" i="7"/>
  <c r="CD369" i="7"/>
  <c r="AR369" i="7"/>
  <c r="CG368" i="7"/>
  <c r="CF368" i="7"/>
  <c r="CD368" i="7"/>
  <c r="AR368" i="7"/>
  <c r="CG367" i="7"/>
  <c r="CF367" i="7"/>
  <c r="CD367" i="7"/>
  <c r="AR367" i="7"/>
  <c r="CG366" i="7"/>
  <c r="CF366" i="7"/>
  <c r="CD366" i="7"/>
  <c r="AR366" i="7"/>
  <c r="CG365" i="7"/>
  <c r="CF365" i="7"/>
  <c r="CD365" i="7"/>
  <c r="AR365" i="7"/>
  <c r="CG364" i="7"/>
  <c r="CF364" i="7"/>
  <c r="CD364" i="7"/>
  <c r="AR364" i="7"/>
  <c r="CG363" i="7"/>
  <c r="CF363" i="7"/>
  <c r="CD363" i="7"/>
  <c r="AR363" i="7"/>
  <c r="CG362" i="7"/>
  <c r="CF362" i="7"/>
  <c r="CD362" i="7"/>
  <c r="AR362" i="7"/>
  <c r="CG361" i="7"/>
  <c r="CF361" i="7"/>
  <c r="CD361" i="7"/>
  <c r="AR361" i="7"/>
  <c r="CG360" i="7"/>
  <c r="CF360" i="7"/>
  <c r="CD360" i="7"/>
  <c r="AR360" i="7"/>
  <c r="CG359" i="7"/>
  <c r="CF359" i="7"/>
  <c r="CD359" i="7"/>
  <c r="AR359" i="7"/>
  <c r="CG358" i="7"/>
  <c r="CF358" i="7"/>
  <c r="CD358" i="7"/>
  <c r="AR358" i="7"/>
  <c r="CG357" i="7"/>
  <c r="CF357" i="7"/>
  <c r="CD357" i="7"/>
  <c r="AR357" i="7"/>
  <c r="CG356" i="7"/>
  <c r="CF356" i="7"/>
  <c r="CD356" i="7"/>
  <c r="CE356" i="7" s="1"/>
  <c r="AR356" i="7"/>
  <c r="CG355" i="7"/>
  <c r="CF355" i="7"/>
  <c r="CD355" i="7"/>
  <c r="AR355" i="7"/>
  <c r="CG354" i="7"/>
  <c r="CF354" i="7"/>
  <c r="CD354" i="7"/>
  <c r="AR354" i="7"/>
  <c r="CG353" i="7"/>
  <c r="CF353" i="7"/>
  <c r="CD353" i="7"/>
  <c r="AR353" i="7"/>
  <c r="CG352" i="7"/>
  <c r="CF352" i="7"/>
  <c r="CD352" i="7"/>
  <c r="CE352" i="7" s="1"/>
  <c r="AR352" i="7"/>
  <c r="CG351" i="7"/>
  <c r="CF351" i="7"/>
  <c r="AT351" i="7"/>
  <c r="CD351" i="7" s="1"/>
  <c r="AR351" i="7"/>
  <c r="CG350" i="7"/>
  <c r="CF350" i="7"/>
  <c r="AT350" i="7"/>
  <c r="CD350" i="7" s="1"/>
  <c r="CE350" i="7" s="1"/>
  <c r="AR350" i="7"/>
  <c r="CG349" i="7"/>
  <c r="CF349" i="7"/>
  <c r="CD349" i="7"/>
  <c r="AR349" i="7"/>
  <c r="CG348" i="7"/>
  <c r="CF348" i="7"/>
  <c r="CD348" i="7"/>
  <c r="AR348" i="7"/>
  <c r="CG347" i="7"/>
  <c r="CF347" i="7"/>
  <c r="CD347" i="7"/>
  <c r="AR347" i="7"/>
  <c r="CG346" i="7"/>
  <c r="CF346" i="7"/>
  <c r="CD346" i="7"/>
  <c r="AR346" i="7"/>
  <c r="CG345" i="7"/>
  <c r="CF345" i="7"/>
  <c r="CD345" i="7"/>
  <c r="AR345" i="7"/>
  <c r="CG344" i="7"/>
  <c r="CF344" i="7"/>
  <c r="CD344" i="7"/>
  <c r="CE344" i="7" s="1"/>
  <c r="AR344" i="7"/>
  <c r="CG343" i="7"/>
  <c r="CF343" i="7"/>
  <c r="CD343" i="7"/>
  <c r="AR343" i="7"/>
  <c r="CG342" i="7"/>
  <c r="CF342" i="7"/>
  <c r="CD342" i="7"/>
  <c r="AR342" i="7"/>
  <c r="CE342" i="7" s="1"/>
  <c r="CG341" i="7"/>
  <c r="CF341" i="7"/>
  <c r="CD341" i="7"/>
  <c r="AR341" i="7"/>
  <c r="CG340" i="7"/>
  <c r="CF340" i="7"/>
  <c r="CD340" i="7"/>
  <c r="AR340" i="7"/>
  <c r="CG339" i="7"/>
  <c r="CF339" i="7"/>
  <c r="CD339" i="7"/>
  <c r="AR339" i="7"/>
  <c r="CG338" i="7"/>
  <c r="CF338" i="7"/>
  <c r="CD338" i="7"/>
  <c r="AT338" i="7"/>
  <c r="AR338" i="7"/>
  <c r="E338" i="7"/>
  <c r="E339" i="7" s="1"/>
  <c r="E340" i="7" s="1"/>
  <c r="E341" i="7" s="1"/>
  <c r="E342" i="7" s="1"/>
  <c r="E343" i="7" s="1"/>
  <c r="E344" i="7" s="1"/>
  <c r="E345" i="7" s="1"/>
  <c r="E347" i="7" s="1"/>
  <c r="CG337" i="7"/>
  <c r="CF337" i="7"/>
  <c r="CD337" i="7"/>
  <c r="AR337" i="7"/>
  <c r="E337" i="7"/>
  <c r="CG336" i="7"/>
  <c r="CF336" i="7"/>
  <c r="AT336" i="7"/>
  <c r="CD336" i="7" s="1"/>
  <c r="AR336" i="7"/>
  <c r="CG335" i="7"/>
  <c r="CF335" i="7"/>
  <c r="CD335" i="7"/>
  <c r="AR335" i="7"/>
  <c r="E335" i="7"/>
  <c r="CG334" i="7"/>
  <c r="CF334" i="7"/>
  <c r="CD334" i="7"/>
  <c r="AR334" i="7"/>
  <c r="CG333" i="7"/>
  <c r="CF333" i="7"/>
  <c r="CD333" i="7"/>
  <c r="AR333" i="7"/>
  <c r="CG332" i="7"/>
  <c r="CF332" i="7"/>
  <c r="CD332" i="7"/>
  <c r="AR332" i="7"/>
  <c r="CG331" i="7"/>
  <c r="CF331" i="7"/>
  <c r="CD331" i="7"/>
  <c r="CE331" i="7" s="1"/>
  <c r="AT331" i="7"/>
  <c r="AR331" i="7"/>
  <c r="CG330" i="7"/>
  <c r="CF330" i="7"/>
  <c r="CD330" i="7"/>
  <c r="AR330" i="7"/>
  <c r="CG329" i="7"/>
  <c r="CF329" i="7"/>
  <c r="CD329" i="7"/>
  <c r="CE329" i="7" s="1"/>
  <c r="AR329" i="7"/>
  <c r="CG328" i="7"/>
  <c r="CF328" i="7"/>
  <c r="AT328" i="7"/>
  <c r="CD328" i="7" s="1"/>
  <c r="AR328" i="7"/>
  <c r="CG327" i="7"/>
  <c r="CF327" i="7"/>
  <c r="CD327" i="7"/>
  <c r="AR327" i="7"/>
  <c r="CG326" i="7"/>
  <c r="CF326" i="7"/>
  <c r="CE326" i="7"/>
  <c r="CD326" i="7"/>
  <c r="AR326" i="7"/>
  <c r="E326" i="7"/>
  <c r="E327" i="7" s="1"/>
  <c r="CG325" i="7"/>
  <c r="CF325" i="7"/>
  <c r="CD325" i="7"/>
  <c r="AR325" i="7"/>
  <c r="CG324" i="7"/>
  <c r="CF324" i="7"/>
  <c r="CD324" i="7"/>
  <c r="AR324" i="7"/>
  <c r="CG323" i="7"/>
  <c r="CF323" i="7"/>
  <c r="CD323" i="7"/>
  <c r="AR323" i="7"/>
  <c r="CG322" i="7"/>
  <c r="CF322" i="7"/>
  <c r="CD322" i="7"/>
  <c r="AR322" i="7"/>
  <c r="CG321" i="7"/>
  <c r="CF321" i="7"/>
  <c r="CD321" i="7"/>
  <c r="AR321" i="7"/>
  <c r="CG320" i="7"/>
  <c r="CF320" i="7"/>
  <c r="CD320" i="7"/>
  <c r="AR320" i="7"/>
  <c r="CG319" i="7"/>
  <c r="CF319" i="7"/>
  <c r="CD319" i="7"/>
  <c r="AT319" i="7"/>
  <c r="AR319" i="7"/>
  <c r="CG318" i="7"/>
  <c r="CF318" i="7"/>
  <c r="CD318" i="7"/>
  <c r="AR318" i="7"/>
  <c r="CG317" i="7"/>
  <c r="CF317" i="7"/>
  <c r="CD317" i="7"/>
  <c r="AR317" i="7"/>
  <c r="CG316" i="7"/>
  <c r="CF316" i="7"/>
  <c r="AT316" i="7"/>
  <c r="CD316" i="7" s="1"/>
  <c r="AR316" i="7"/>
  <c r="CG315" i="7"/>
  <c r="CF315" i="7"/>
  <c r="CD315" i="7"/>
  <c r="AR315" i="7"/>
  <c r="CG314" i="7"/>
  <c r="CF314" i="7"/>
  <c r="CD314" i="7"/>
  <c r="AR314" i="7"/>
  <c r="CG313" i="7"/>
  <c r="CF313" i="7"/>
  <c r="CD313" i="7"/>
  <c r="AR313" i="7"/>
  <c r="CG312" i="7"/>
  <c r="CF312" i="7"/>
  <c r="CD312" i="7"/>
  <c r="AR312" i="7"/>
  <c r="CG311" i="7"/>
  <c r="CF311" i="7"/>
  <c r="CD311" i="7"/>
  <c r="AR311" i="7"/>
  <c r="CG310" i="7"/>
  <c r="CF310" i="7"/>
  <c r="CD310" i="7"/>
  <c r="AR310" i="7"/>
  <c r="CG309" i="7"/>
  <c r="CF309" i="7"/>
  <c r="CD309" i="7"/>
  <c r="CE309" i="7" s="1"/>
  <c r="AR309" i="7"/>
  <c r="CG308" i="7"/>
  <c r="CF308" i="7"/>
  <c r="CD308" i="7"/>
  <c r="AR308" i="7"/>
  <c r="CG307" i="7"/>
  <c r="CF307" i="7"/>
  <c r="CD307" i="7"/>
  <c r="AR307" i="7"/>
  <c r="CG306" i="7"/>
  <c r="CF306" i="7"/>
  <c r="CD306" i="7"/>
  <c r="CE306" i="7" s="1"/>
  <c r="AR306" i="7"/>
  <c r="CG305" i="7"/>
  <c r="CF305" i="7"/>
  <c r="CD305" i="7"/>
  <c r="AR305" i="7"/>
  <c r="CG304" i="7"/>
  <c r="CF304" i="7"/>
  <c r="CD304" i="7"/>
  <c r="AR304" i="7"/>
  <c r="CG303" i="7"/>
  <c r="CF303" i="7"/>
  <c r="CD303" i="7"/>
  <c r="AR303" i="7"/>
  <c r="CG302" i="7"/>
  <c r="CF302" i="7"/>
  <c r="CD302" i="7"/>
  <c r="AR302" i="7"/>
  <c r="CG301" i="7"/>
  <c r="CF301" i="7"/>
  <c r="CD301" i="7"/>
  <c r="CE301" i="7" s="1"/>
  <c r="AR301" i="7"/>
  <c r="CG300" i="7"/>
  <c r="CF300" i="7"/>
  <c r="AT300" i="7"/>
  <c r="CD300" i="7" s="1"/>
  <c r="AR300" i="7"/>
  <c r="CG299" i="7"/>
  <c r="CF299" i="7"/>
  <c r="CD299" i="7"/>
  <c r="CE299" i="7" s="1"/>
  <c r="AR299" i="7"/>
  <c r="CG298" i="7"/>
  <c r="CF298" i="7"/>
  <c r="CE298" i="7"/>
  <c r="CD298" i="7"/>
  <c r="AR298" i="7"/>
  <c r="CG297" i="7"/>
  <c r="CF297" i="7"/>
  <c r="CD297" i="7"/>
  <c r="AR297" i="7"/>
  <c r="CG296" i="7"/>
  <c r="CF296" i="7"/>
  <c r="CD296" i="7"/>
  <c r="AR296" i="7"/>
  <c r="CG295" i="7"/>
  <c r="CF295" i="7"/>
  <c r="CD295" i="7"/>
  <c r="AR295" i="7"/>
  <c r="CG294" i="7"/>
  <c r="CF294" i="7"/>
  <c r="CD294" i="7"/>
  <c r="AR294" i="7"/>
  <c r="CG293" i="7"/>
  <c r="CF293" i="7"/>
  <c r="CD293" i="7"/>
  <c r="AR293" i="7"/>
  <c r="CG292" i="7"/>
  <c r="CF292" i="7"/>
  <c r="CD292" i="7"/>
  <c r="AR292" i="7"/>
  <c r="CG291" i="7"/>
  <c r="CF291" i="7"/>
  <c r="CD291" i="7"/>
  <c r="AR291" i="7"/>
  <c r="CG290" i="7"/>
  <c r="CF290" i="7"/>
  <c r="CD290" i="7"/>
  <c r="AR290" i="7"/>
  <c r="CG289" i="7"/>
  <c r="CF289" i="7"/>
  <c r="CD289" i="7"/>
  <c r="AR289" i="7"/>
  <c r="CG288" i="7"/>
  <c r="CF288" i="7"/>
  <c r="CD288" i="7"/>
  <c r="AR288" i="7"/>
  <c r="E288" i="7"/>
  <c r="E289" i="7" s="1"/>
  <c r="E290" i="7" s="1"/>
  <c r="CG287" i="7"/>
  <c r="CF287" i="7"/>
  <c r="CD287" i="7"/>
  <c r="AR287" i="7"/>
  <c r="CG286" i="7"/>
  <c r="CF286" i="7"/>
  <c r="CD286" i="7"/>
  <c r="AR286" i="7"/>
  <c r="CG285" i="7"/>
  <c r="CF285" i="7"/>
  <c r="CD285" i="7"/>
  <c r="AR285" i="7"/>
  <c r="CG284" i="7"/>
  <c r="CF284" i="7"/>
  <c r="CD284" i="7"/>
  <c r="AR284" i="7"/>
  <c r="CG283" i="7"/>
  <c r="CF283" i="7"/>
  <c r="CD283" i="7"/>
  <c r="AR283" i="7"/>
  <c r="CG282" i="7"/>
  <c r="CF282" i="7"/>
  <c r="AT282" i="7"/>
  <c r="CD282" i="7" s="1"/>
  <c r="CE282" i="7" s="1"/>
  <c r="AR282" i="7"/>
  <c r="E282" i="7"/>
  <c r="E285" i="7" s="1"/>
  <c r="E286" i="7" s="1"/>
  <c r="E287" i="7" s="1"/>
  <c r="E291" i="7" s="1"/>
  <c r="E292" i="7" s="1"/>
  <c r="E293" i="7" s="1"/>
  <c r="E294" i="7" s="1"/>
  <c r="E295" i="7" s="1"/>
  <c r="CG281" i="7"/>
  <c r="CF281" i="7"/>
  <c r="CD281" i="7"/>
  <c r="AR281" i="7"/>
  <c r="CG280" i="7"/>
  <c r="CF280" i="7"/>
  <c r="CD280" i="7"/>
  <c r="AR280" i="7"/>
  <c r="CG279" i="7"/>
  <c r="CF279" i="7"/>
  <c r="CD279" i="7"/>
  <c r="AR279" i="7"/>
  <c r="CG278" i="7"/>
  <c r="CF278" i="7"/>
  <c r="CD278" i="7"/>
  <c r="AR278" i="7"/>
  <c r="CG277" i="7"/>
  <c r="CF277" i="7"/>
  <c r="CD277" i="7"/>
  <c r="AR277" i="7"/>
  <c r="CG276" i="7"/>
  <c r="CF276" i="7"/>
  <c r="CD276" i="7"/>
  <c r="AR276" i="7"/>
  <c r="CG275" i="7"/>
  <c r="CF275" i="7"/>
  <c r="CD275" i="7"/>
  <c r="AR275" i="7"/>
  <c r="CG274" i="7"/>
  <c r="CF274" i="7"/>
  <c r="CD274" i="7"/>
  <c r="AR274" i="7"/>
  <c r="CG273" i="7"/>
  <c r="CF273" i="7"/>
  <c r="CD273" i="7"/>
  <c r="AR273" i="7"/>
  <c r="CG272" i="7"/>
  <c r="CF272" i="7"/>
  <c r="CD272" i="7"/>
  <c r="AR272" i="7"/>
  <c r="CG271" i="7"/>
  <c r="CF271" i="7"/>
  <c r="CD271" i="7"/>
  <c r="AR271" i="7"/>
  <c r="CG270" i="7"/>
  <c r="CF270" i="7"/>
  <c r="CD270" i="7"/>
  <c r="AR270" i="7"/>
  <c r="E270" i="7"/>
  <c r="CG269" i="7"/>
  <c r="CF269" i="7"/>
  <c r="CD269" i="7"/>
  <c r="CE269" i="7" s="1"/>
  <c r="AR269" i="7"/>
  <c r="CG268" i="7"/>
  <c r="CF268" i="7"/>
  <c r="CD268" i="7"/>
  <c r="CE268" i="7" s="1"/>
  <c r="AR268" i="7"/>
  <c r="CG267" i="7"/>
  <c r="CF267" i="7"/>
  <c r="CD267" i="7"/>
  <c r="AR267" i="7"/>
  <c r="CG266" i="7"/>
  <c r="CF266" i="7"/>
  <c r="AT266" i="7"/>
  <c r="CD266" i="7" s="1"/>
  <c r="AR266" i="7"/>
  <c r="CG265" i="7"/>
  <c r="CF265" i="7"/>
  <c r="AU265" i="7"/>
  <c r="AU395" i="7" s="1"/>
  <c r="AT265" i="7"/>
  <c r="CD265" i="7" s="1"/>
  <c r="AR265" i="7"/>
  <c r="CG264" i="7"/>
  <c r="CF264" i="7"/>
  <c r="CD264" i="7"/>
  <c r="AR264" i="7"/>
  <c r="CG263" i="7"/>
  <c r="CF263" i="7"/>
  <c r="AT263" i="7"/>
  <c r="CD263" i="7" s="1"/>
  <c r="AR263" i="7"/>
  <c r="CG262" i="7"/>
  <c r="CF262" i="7"/>
  <c r="AT262" i="7"/>
  <c r="AT395" i="7" s="1"/>
  <c r="AR262" i="7"/>
  <c r="CG261" i="7"/>
  <c r="CF261" i="7"/>
  <c r="AT261" i="7"/>
  <c r="CD261" i="7" s="1"/>
  <c r="CE261" i="7" s="1"/>
  <c r="AR261" i="7"/>
  <c r="CG260" i="7"/>
  <c r="CF260" i="7"/>
  <c r="CD260" i="7"/>
  <c r="AR260" i="7"/>
  <c r="CG259" i="7"/>
  <c r="CF259" i="7"/>
  <c r="CD259" i="7"/>
  <c r="AR259" i="7"/>
  <c r="CG258" i="7"/>
  <c r="CF258" i="7"/>
  <c r="CD258" i="7"/>
  <c r="CE258" i="7" s="1"/>
  <c r="AR258" i="7"/>
  <c r="CG257" i="7"/>
  <c r="CF257" i="7"/>
  <c r="CD257" i="7"/>
  <c r="AR257" i="7"/>
  <c r="CG256" i="7"/>
  <c r="CF256" i="7"/>
  <c r="CD256" i="7"/>
  <c r="AR256" i="7"/>
  <c r="CG255" i="7"/>
  <c r="CF255" i="7"/>
  <c r="CD255" i="7"/>
  <c r="AR255" i="7"/>
  <c r="CG254" i="7"/>
  <c r="CF254" i="7"/>
  <c r="CD254" i="7"/>
  <c r="CE254" i="7" s="1"/>
  <c r="AR254" i="7"/>
  <c r="CG253" i="7"/>
  <c r="CF253" i="7"/>
  <c r="CD253" i="7"/>
  <c r="AR253" i="7"/>
  <c r="CG252" i="7"/>
  <c r="CF252" i="7"/>
  <c r="CD252" i="7"/>
  <c r="AR252" i="7"/>
  <c r="CG251" i="7"/>
  <c r="CF251" i="7"/>
  <c r="CD251" i="7"/>
  <c r="AR251" i="7"/>
  <c r="CG250" i="7"/>
  <c r="CF250" i="7"/>
  <c r="CD250" i="7"/>
  <c r="CE250" i="7" s="1"/>
  <c r="AR250" i="7"/>
  <c r="CG249" i="7"/>
  <c r="CF249" i="7"/>
  <c r="CD249" i="7"/>
  <c r="AR249" i="7"/>
  <c r="CG248" i="7"/>
  <c r="CF248" i="7"/>
  <c r="CD248" i="7"/>
  <c r="AR248" i="7"/>
  <c r="CK247" i="7"/>
  <c r="CJ247" i="7"/>
  <c r="CI247" i="7"/>
  <c r="CH247" i="7"/>
  <c r="CC247" i="7"/>
  <c r="CB247" i="7"/>
  <c r="CA247" i="7"/>
  <c r="BY247" i="7"/>
  <c r="BX247" i="7"/>
  <c r="BW247" i="7"/>
  <c r="BV247" i="7"/>
  <c r="BU247" i="7"/>
  <c r="BT247" i="7"/>
  <c r="BS247" i="7"/>
  <c r="BR247" i="7"/>
  <c r="BQ247" i="7"/>
  <c r="BP247" i="7"/>
  <c r="BO247" i="7"/>
  <c r="BN247" i="7"/>
  <c r="BM247" i="7"/>
  <c r="BL247" i="7"/>
  <c r="BK247" i="7"/>
  <c r="BJ247" i="7"/>
  <c r="BI247" i="7"/>
  <c r="BG247" i="7"/>
  <c r="BF247" i="7"/>
  <c r="BE247" i="7"/>
  <c r="BD247" i="7"/>
  <c r="BC247" i="7"/>
  <c r="BB247" i="7"/>
  <c r="BA247" i="7"/>
  <c r="AZ247" i="7"/>
  <c r="AY247" i="7"/>
  <c r="AX247" i="7"/>
  <c r="AW247" i="7"/>
  <c r="AV247" i="7"/>
  <c r="AS247" i="7"/>
  <c r="AQ247" i="7"/>
  <c r="AP247" i="7"/>
  <c r="AO247" i="7"/>
  <c r="AM247" i="7"/>
  <c r="AL247" i="7"/>
  <c r="AK247" i="7"/>
  <c r="AJ247" i="7"/>
  <c r="AI247" i="7"/>
  <c r="AH247" i="7"/>
  <c r="AG247" i="7"/>
  <c r="AF247" i="7"/>
  <c r="AE247" i="7"/>
  <c r="AD247" i="7"/>
  <c r="AC247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CG246" i="7"/>
  <c r="CF246" i="7"/>
  <c r="AT246" i="7"/>
  <c r="CD246" i="7" s="1"/>
  <c r="AR246" i="7"/>
  <c r="CG245" i="7"/>
  <c r="CF245" i="7"/>
  <c r="BH245" i="7"/>
  <c r="AR245" i="7"/>
  <c r="CG244" i="7"/>
  <c r="CF244" i="7"/>
  <c r="CD244" i="7"/>
  <c r="AR244" i="7"/>
  <c r="CG243" i="7"/>
  <c r="CF243" i="7"/>
  <c r="CD243" i="7"/>
  <c r="AR243" i="7"/>
  <c r="CG242" i="7"/>
  <c r="CF242" i="7"/>
  <c r="CD242" i="7"/>
  <c r="AR242" i="7"/>
  <c r="CG241" i="7"/>
  <c r="CF241" i="7"/>
  <c r="CD241" i="7"/>
  <c r="AR241" i="7"/>
  <c r="CG240" i="7"/>
  <c r="CF240" i="7"/>
  <c r="CD240" i="7"/>
  <c r="AR240" i="7"/>
  <c r="CG239" i="7"/>
  <c r="CF239" i="7"/>
  <c r="CD239" i="7"/>
  <c r="AR239" i="7"/>
  <c r="CG238" i="7"/>
  <c r="CF238" i="7"/>
  <c r="CD238" i="7"/>
  <c r="CE238" i="7" s="1"/>
  <c r="AR238" i="7"/>
  <c r="CG237" i="7"/>
  <c r="CF237" i="7"/>
  <c r="BH237" i="7"/>
  <c r="AR237" i="7"/>
  <c r="CG236" i="7"/>
  <c r="CF236" i="7"/>
  <c r="CD236" i="7"/>
  <c r="BH236" i="7"/>
  <c r="AR236" i="7"/>
  <c r="CG235" i="7"/>
  <c r="CF235" i="7"/>
  <c r="BH235" i="7"/>
  <c r="CD235" i="7" s="1"/>
  <c r="AR235" i="7"/>
  <c r="CG234" i="7"/>
  <c r="CF234" i="7"/>
  <c r="CD234" i="7"/>
  <c r="BH234" i="7"/>
  <c r="AR234" i="7"/>
  <c r="CG233" i="7"/>
  <c r="CF233" i="7"/>
  <c r="AT233" i="7"/>
  <c r="CD233" i="7" s="1"/>
  <c r="AR233" i="7"/>
  <c r="CG232" i="7"/>
  <c r="CF232" i="7"/>
  <c r="AT232" i="7"/>
  <c r="CD232" i="7" s="1"/>
  <c r="CE232" i="7" s="1"/>
  <c r="AR232" i="7"/>
  <c r="CG231" i="7"/>
  <c r="CF231" i="7"/>
  <c r="BH231" i="7"/>
  <c r="AT231" i="7"/>
  <c r="AR231" i="7"/>
  <c r="CG230" i="7"/>
  <c r="CF230" i="7"/>
  <c r="AT230" i="7"/>
  <c r="CD230" i="7" s="1"/>
  <c r="AR230" i="7"/>
  <c r="CG229" i="7"/>
  <c r="CF229" i="7"/>
  <c r="BH229" i="7"/>
  <c r="CD229" i="7" s="1"/>
  <c r="AT229" i="7"/>
  <c r="AR229" i="7"/>
  <c r="CG228" i="7"/>
  <c r="CF228" i="7"/>
  <c r="CD228" i="7"/>
  <c r="AR228" i="7"/>
  <c r="CG227" i="7"/>
  <c r="CF227" i="7"/>
  <c r="BH227" i="7"/>
  <c r="AT227" i="7"/>
  <c r="AR227" i="7"/>
  <c r="CG226" i="7"/>
  <c r="CF226" i="7"/>
  <c r="BH226" i="7"/>
  <c r="AT226" i="7"/>
  <c r="AR226" i="7"/>
  <c r="CI225" i="7"/>
  <c r="CG225" i="7"/>
  <c r="CF225" i="7"/>
  <c r="CD225" i="7"/>
  <c r="AR225" i="7"/>
  <c r="CG224" i="7"/>
  <c r="CF224" i="7"/>
  <c r="CD224" i="7"/>
  <c r="AR224" i="7"/>
  <c r="CG223" i="7"/>
  <c r="CF223" i="7"/>
  <c r="CD223" i="7"/>
  <c r="AR223" i="7"/>
  <c r="CG222" i="7"/>
  <c r="CF222" i="7"/>
  <c r="CD222" i="7"/>
  <c r="AR222" i="7"/>
  <c r="CG221" i="7"/>
  <c r="CF221" i="7"/>
  <c r="CD221" i="7"/>
  <c r="AR221" i="7"/>
  <c r="CG220" i="7"/>
  <c r="CF220" i="7"/>
  <c r="CD220" i="7"/>
  <c r="AR220" i="7"/>
  <c r="CG219" i="7"/>
  <c r="CF219" i="7"/>
  <c r="CD219" i="7"/>
  <c r="AR219" i="7"/>
  <c r="CG218" i="7"/>
  <c r="CF218" i="7"/>
  <c r="CD218" i="7"/>
  <c r="AR218" i="7"/>
  <c r="CE218" i="7" s="1"/>
  <c r="CG217" i="7"/>
  <c r="CF217" i="7"/>
  <c r="CD217" i="7"/>
  <c r="AR217" i="7"/>
  <c r="CG216" i="7"/>
  <c r="CF216" i="7"/>
  <c r="CD216" i="7"/>
  <c r="AR216" i="7"/>
  <c r="CG215" i="7"/>
  <c r="CF215" i="7"/>
  <c r="CD215" i="7"/>
  <c r="AR215" i="7"/>
  <c r="CG214" i="7"/>
  <c r="CF214" i="7"/>
  <c r="CD214" i="7"/>
  <c r="AR214" i="7"/>
  <c r="E214" i="7"/>
  <c r="CG213" i="7"/>
  <c r="CF213" i="7"/>
  <c r="CD213" i="7"/>
  <c r="AR213" i="7"/>
  <c r="CG212" i="7"/>
  <c r="CF212" i="7"/>
  <c r="CD212" i="7"/>
  <c r="AR212" i="7"/>
  <c r="CG211" i="7"/>
  <c r="CF211" i="7"/>
  <c r="CD211" i="7"/>
  <c r="AR211" i="7"/>
  <c r="CG210" i="7"/>
  <c r="CF210" i="7"/>
  <c r="CD210" i="7"/>
  <c r="AR210" i="7"/>
  <c r="CG209" i="7"/>
  <c r="CF209" i="7"/>
  <c r="CD209" i="7"/>
  <c r="AR209" i="7"/>
  <c r="CG208" i="7"/>
  <c r="CF208" i="7"/>
  <c r="CD208" i="7"/>
  <c r="CE208" i="7" s="1"/>
  <c r="AR208" i="7"/>
  <c r="CG207" i="7"/>
  <c r="CF207" i="7"/>
  <c r="CD207" i="7"/>
  <c r="AR207" i="7"/>
  <c r="CG206" i="7"/>
  <c r="CF206" i="7"/>
  <c r="CD206" i="7"/>
  <c r="AR206" i="7"/>
  <c r="CG205" i="7"/>
  <c r="CF205" i="7"/>
  <c r="CD205" i="7"/>
  <c r="AR205" i="7"/>
  <c r="CG204" i="7"/>
  <c r="CF204" i="7"/>
  <c r="CD204" i="7"/>
  <c r="AR204" i="7"/>
  <c r="CG203" i="7"/>
  <c r="CF203" i="7"/>
  <c r="CD203" i="7"/>
  <c r="AR203" i="7"/>
  <c r="CG202" i="7"/>
  <c r="CF202" i="7"/>
  <c r="CD202" i="7"/>
  <c r="AR202" i="7"/>
  <c r="CG201" i="7"/>
  <c r="CF201" i="7"/>
  <c r="CD201" i="7"/>
  <c r="AR201" i="7"/>
  <c r="CG200" i="7"/>
  <c r="CF200" i="7"/>
  <c r="CD200" i="7"/>
  <c r="AR200" i="7"/>
  <c r="CG199" i="7"/>
  <c r="CF199" i="7"/>
  <c r="CD199" i="7"/>
  <c r="CE199" i="7" s="1"/>
  <c r="AR199" i="7"/>
  <c r="CG198" i="7"/>
  <c r="CF198" i="7"/>
  <c r="CD198" i="7"/>
  <c r="AR198" i="7"/>
  <c r="CG197" i="7"/>
  <c r="CF197" i="7"/>
  <c r="CD197" i="7"/>
  <c r="AR197" i="7"/>
  <c r="CG196" i="7"/>
  <c r="CF196" i="7"/>
  <c r="CD196" i="7"/>
  <c r="CE196" i="7" s="1"/>
  <c r="AR196" i="7"/>
  <c r="CG195" i="7"/>
  <c r="CF195" i="7"/>
  <c r="CD195" i="7"/>
  <c r="AR195" i="7"/>
  <c r="CE195" i="7" s="1"/>
  <c r="CG194" i="7"/>
  <c r="CF194" i="7"/>
  <c r="CD194" i="7"/>
  <c r="AR194" i="7"/>
  <c r="E194" i="7"/>
  <c r="CG193" i="7"/>
  <c r="CF193" i="7"/>
  <c r="AU193" i="7"/>
  <c r="AU247" i="7" s="1"/>
  <c r="AT193" i="7"/>
  <c r="CD193" i="7" s="1"/>
  <c r="AR193" i="7"/>
  <c r="E193" i="7"/>
  <c r="CG192" i="7"/>
  <c r="CF192" i="7"/>
  <c r="CD192" i="7"/>
  <c r="AR192" i="7"/>
  <c r="CG191" i="7"/>
  <c r="CF191" i="7"/>
  <c r="CD191" i="7"/>
  <c r="CE191" i="7" s="1"/>
  <c r="AR191" i="7"/>
  <c r="CG190" i="7"/>
  <c r="CF190" i="7"/>
  <c r="CD190" i="7"/>
  <c r="AR190" i="7"/>
  <c r="CG189" i="7"/>
  <c r="CF189" i="7"/>
  <c r="CD189" i="7"/>
  <c r="AR189" i="7"/>
  <c r="CG188" i="7"/>
  <c r="CF188" i="7"/>
  <c r="CD188" i="7"/>
  <c r="CE188" i="7" s="1"/>
  <c r="AR188" i="7"/>
  <c r="CG187" i="7"/>
  <c r="CF187" i="7"/>
  <c r="CD187" i="7"/>
  <c r="AR187" i="7"/>
  <c r="CE187" i="7" s="1"/>
  <c r="CG186" i="7"/>
  <c r="CF186" i="7"/>
  <c r="AT186" i="7"/>
  <c r="CD186" i="7" s="1"/>
  <c r="AR186" i="7"/>
  <c r="CG185" i="7"/>
  <c r="CF185" i="7"/>
  <c r="CD185" i="7"/>
  <c r="AR185" i="7"/>
  <c r="CG184" i="7"/>
  <c r="CF184" i="7"/>
  <c r="CD184" i="7"/>
  <c r="AR184" i="7"/>
  <c r="CG183" i="7"/>
  <c r="CF183" i="7"/>
  <c r="CD183" i="7"/>
  <c r="AR183" i="7"/>
  <c r="CG182" i="7"/>
  <c r="CF182" i="7"/>
  <c r="CD182" i="7"/>
  <c r="AR182" i="7"/>
  <c r="CG181" i="7"/>
  <c r="CF181" i="7"/>
  <c r="CD181" i="7"/>
  <c r="AR181" i="7"/>
  <c r="CG180" i="7"/>
  <c r="CF180" i="7"/>
  <c r="CD180" i="7"/>
  <c r="AR180" i="7"/>
  <c r="CG179" i="7"/>
  <c r="CF179" i="7"/>
  <c r="CD179" i="7"/>
  <c r="AR179" i="7"/>
  <c r="CG178" i="7"/>
  <c r="CF178" i="7"/>
  <c r="CD178" i="7"/>
  <c r="AR178" i="7"/>
  <c r="CG177" i="7"/>
  <c r="CF177" i="7"/>
  <c r="CD177" i="7"/>
  <c r="AR177" i="7"/>
  <c r="CE177" i="7" s="1"/>
  <c r="CG176" i="7"/>
  <c r="CF176" i="7"/>
  <c r="CD176" i="7"/>
  <c r="AR176" i="7"/>
  <c r="CG175" i="7"/>
  <c r="CF175" i="7"/>
  <c r="AT175" i="7"/>
  <c r="CD175" i="7" s="1"/>
  <c r="AR175" i="7"/>
  <c r="CG174" i="7"/>
  <c r="CF174" i="7"/>
  <c r="CD174" i="7"/>
  <c r="AR174" i="7"/>
  <c r="CG173" i="7"/>
  <c r="CF173" i="7"/>
  <c r="CD173" i="7"/>
  <c r="AR173" i="7"/>
  <c r="CG172" i="7"/>
  <c r="CF172" i="7"/>
  <c r="CD172" i="7"/>
  <c r="AR172" i="7"/>
  <c r="CG171" i="7"/>
  <c r="CF171" i="7"/>
  <c r="CD171" i="7"/>
  <c r="AR171" i="7"/>
  <c r="CG170" i="7"/>
  <c r="CF170" i="7"/>
  <c r="CD170" i="7"/>
  <c r="AR170" i="7"/>
  <c r="CG169" i="7"/>
  <c r="CF169" i="7"/>
  <c r="CD169" i="7"/>
  <c r="AT169" i="7"/>
  <c r="AR169" i="7"/>
  <c r="CG168" i="7"/>
  <c r="CF168" i="7"/>
  <c r="CD168" i="7"/>
  <c r="AR168" i="7"/>
  <c r="CG167" i="7"/>
  <c r="CF167" i="7"/>
  <c r="CD167" i="7"/>
  <c r="CE167" i="7" s="1"/>
  <c r="AR167" i="7"/>
  <c r="E167" i="7"/>
  <c r="CG166" i="7"/>
  <c r="CF166" i="7"/>
  <c r="CD166" i="7"/>
  <c r="AR166" i="7"/>
  <c r="CG165" i="7"/>
  <c r="CF165" i="7"/>
  <c r="CD165" i="7"/>
  <c r="AR165" i="7"/>
  <c r="CG164" i="7"/>
  <c r="CF164" i="7"/>
  <c r="CD164" i="7"/>
  <c r="AR164" i="7"/>
  <c r="CG163" i="7"/>
  <c r="CF163" i="7"/>
  <c r="CD163" i="7"/>
  <c r="AR163" i="7"/>
  <c r="CG162" i="7"/>
  <c r="CF162" i="7"/>
  <c r="CD162" i="7"/>
  <c r="AR162" i="7"/>
  <c r="CG161" i="7"/>
  <c r="CF161" i="7"/>
  <c r="CD161" i="7"/>
  <c r="AR161" i="7"/>
  <c r="CG160" i="7"/>
  <c r="CF160" i="7"/>
  <c r="CD160" i="7"/>
  <c r="AR160" i="7"/>
  <c r="CG159" i="7"/>
  <c r="CF159" i="7"/>
  <c r="CD159" i="7"/>
  <c r="CE159" i="7" s="1"/>
  <c r="AR159" i="7"/>
  <c r="CG158" i="7"/>
  <c r="CF158" i="7"/>
  <c r="CD158" i="7"/>
  <c r="AR158" i="7"/>
  <c r="CG157" i="7"/>
  <c r="CF157" i="7"/>
  <c r="CD157" i="7"/>
  <c r="AR157" i="7"/>
  <c r="CG156" i="7"/>
  <c r="CF156" i="7"/>
  <c r="CD156" i="7"/>
  <c r="AR156" i="7"/>
  <c r="CG155" i="7"/>
  <c r="CF155" i="7"/>
  <c r="CD155" i="7"/>
  <c r="AR155" i="7"/>
  <c r="CG154" i="7"/>
  <c r="CF154" i="7"/>
  <c r="CD154" i="7"/>
  <c r="AR154" i="7"/>
  <c r="E154" i="7"/>
  <c r="CG153" i="7"/>
  <c r="CF153" i="7"/>
  <c r="CD153" i="7"/>
  <c r="AR153" i="7"/>
  <c r="CE153" i="7" s="1"/>
  <c r="CG152" i="7"/>
  <c r="CF152" i="7"/>
  <c r="CD152" i="7"/>
  <c r="AR152" i="7"/>
  <c r="CG151" i="7"/>
  <c r="CF151" i="7"/>
  <c r="CD151" i="7"/>
  <c r="AR151" i="7"/>
  <c r="CG150" i="7"/>
  <c r="CF150" i="7"/>
  <c r="CD150" i="7"/>
  <c r="AR150" i="7"/>
  <c r="CG149" i="7"/>
  <c r="CF149" i="7"/>
  <c r="CD149" i="7"/>
  <c r="AR149" i="7"/>
  <c r="CG148" i="7"/>
  <c r="CF148" i="7"/>
  <c r="CD148" i="7"/>
  <c r="AR148" i="7"/>
  <c r="CG147" i="7"/>
  <c r="CF147" i="7"/>
  <c r="CD147" i="7"/>
  <c r="AR147" i="7"/>
  <c r="CG146" i="7"/>
  <c r="CF146" i="7"/>
  <c r="CD146" i="7"/>
  <c r="AR146" i="7"/>
  <c r="CG145" i="7"/>
  <c r="CF145" i="7"/>
  <c r="CD145" i="7"/>
  <c r="AR145" i="7"/>
  <c r="CG144" i="7"/>
  <c r="CF144" i="7"/>
  <c r="CD144" i="7"/>
  <c r="AR144" i="7"/>
  <c r="CG143" i="7"/>
  <c r="CF143" i="7"/>
  <c r="CD143" i="7"/>
  <c r="AR143" i="7"/>
  <c r="CG142" i="7"/>
  <c r="CF142" i="7"/>
  <c r="CD142" i="7"/>
  <c r="AR142" i="7"/>
  <c r="CG141" i="7"/>
  <c r="CF141" i="7"/>
  <c r="CD141" i="7"/>
  <c r="AR141" i="7"/>
  <c r="CG140" i="7"/>
  <c r="CF140" i="7"/>
  <c r="CD140" i="7"/>
  <c r="AR140" i="7"/>
  <c r="CG139" i="7"/>
  <c r="CF139" i="7"/>
  <c r="CD139" i="7"/>
  <c r="AR139" i="7"/>
  <c r="CG138" i="7"/>
  <c r="CF138" i="7"/>
  <c r="CD138" i="7"/>
  <c r="AR138" i="7"/>
  <c r="CG137" i="7"/>
  <c r="CF137" i="7"/>
  <c r="CD137" i="7"/>
  <c r="AR137" i="7"/>
  <c r="CG136" i="7"/>
  <c r="CF136" i="7"/>
  <c r="AT136" i="7"/>
  <c r="AR136" i="7"/>
  <c r="CG135" i="7"/>
  <c r="CF135" i="7"/>
  <c r="CD135" i="7"/>
  <c r="AR135" i="7"/>
  <c r="CG134" i="7"/>
  <c r="CF134" i="7"/>
  <c r="CD134" i="7"/>
  <c r="AR134" i="7"/>
  <c r="CG133" i="7"/>
  <c r="CF133" i="7"/>
  <c r="CD133" i="7"/>
  <c r="AR133" i="7"/>
  <c r="CG132" i="7"/>
  <c r="CF132" i="7"/>
  <c r="CD132" i="7"/>
  <c r="AR132" i="7"/>
  <c r="CG131" i="7"/>
  <c r="CF131" i="7"/>
  <c r="CD131" i="7"/>
  <c r="AR131" i="7"/>
  <c r="CG130" i="7"/>
  <c r="CF130" i="7"/>
  <c r="CD130" i="7"/>
  <c r="AR130" i="7"/>
  <c r="CE130" i="7" s="1"/>
  <c r="CG129" i="7"/>
  <c r="CF129" i="7"/>
  <c r="CD129" i="7"/>
  <c r="AR129" i="7"/>
  <c r="CG128" i="7"/>
  <c r="CF128" i="7"/>
  <c r="CD128" i="7"/>
  <c r="AR128" i="7"/>
  <c r="CG127" i="7"/>
  <c r="CF127" i="7"/>
  <c r="CD127" i="7"/>
  <c r="AR127" i="7"/>
  <c r="CG126" i="7"/>
  <c r="CF126" i="7"/>
  <c r="CD126" i="7"/>
  <c r="AR126" i="7"/>
  <c r="CG125" i="7"/>
  <c r="CF125" i="7"/>
  <c r="CD125" i="7"/>
  <c r="AR125" i="7"/>
  <c r="CG124" i="7"/>
  <c r="CF124" i="7"/>
  <c r="CD124" i="7"/>
  <c r="AR124" i="7"/>
  <c r="CG123" i="7"/>
  <c r="CF123" i="7"/>
  <c r="CD123" i="7"/>
  <c r="AR123" i="7"/>
  <c r="CG122" i="7"/>
  <c r="CF122" i="7"/>
  <c r="CD122" i="7"/>
  <c r="AR122" i="7"/>
  <c r="CG121" i="7"/>
  <c r="CF121" i="7"/>
  <c r="CD121" i="7"/>
  <c r="CE121" i="7" s="1"/>
  <c r="AR121" i="7"/>
  <c r="CG120" i="7"/>
  <c r="CF120" i="7"/>
  <c r="CD120" i="7"/>
  <c r="AR120" i="7"/>
  <c r="CG119" i="7"/>
  <c r="CF119" i="7"/>
  <c r="AT119" i="7"/>
  <c r="CD119" i="7" s="1"/>
  <c r="AR119" i="7"/>
  <c r="CG118" i="7"/>
  <c r="CF118" i="7"/>
  <c r="CD118" i="7"/>
  <c r="CE118" i="7" s="1"/>
  <c r="AR118" i="7"/>
  <c r="CG117" i="7"/>
  <c r="CF117" i="7"/>
  <c r="CD117" i="7"/>
  <c r="CE117" i="7" s="1"/>
  <c r="AR117" i="7"/>
  <c r="CG116" i="7"/>
  <c r="CF116" i="7"/>
  <c r="CD116" i="7"/>
  <c r="CE116" i="7" s="1"/>
  <c r="AR116" i="7"/>
  <c r="CG115" i="7"/>
  <c r="CF115" i="7"/>
  <c r="CD115" i="7"/>
  <c r="AR115" i="7"/>
  <c r="CG114" i="7"/>
  <c r="CF114" i="7"/>
  <c r="CD114" i="7"/>
  <c r="CE114" i="7" s="1"/>
  <c r="AR114" i="7"/>
  <c r="CG113" i="7"/>
  <c r="CF113" i="7"/>
  <c r="CD113" i="7"/>
  <c r="AR113" i="7"/>
  <c r="CG112" i="7"/>
  <c r="CF112" i="7"/>
  <c r="CD112" i="7"/>
  <c r="AR112" i="7"/>
  <c r="CG111" i="7"/>
  <c r="CF111" i="7"/>
  <c r="CD111" i="7"/>
  <c r="CE111" i="7" s="1"/>
  <c r="AR111" i="7"/>
  <c r="CG110" i="7"/>
  <c r="CF110" i="7"/>
  <c r="AT110" i="7"/>
  <c r="CD110" i="7" s="1"/>
  <c r="AR110" i="7"/>
  <c r="CG109" i="7"/>
  <c r="CF109" i="7"/>
  <c r="CD109" i="7"/>
  <c r="CE109" i="7" s="1"/>
  <c r="AT109" i="7"/>
  <c r="AR109" i="7"/>
  <c r="CG108" i="7"/>
  <c r="CF108" i="7"/>
  <c r="CD108" i="7"/>
  <c r="AR108" i="7"/>
  <c r="CG107" i="7"/>
  <c r="CF107" i="7"/>
  <c r="CD107" i="7"/>
  <c r="AR107" i="7"/>
  <c r="CG106" i="7"/>
  <c r="CF106" i="7"/>
  <c r="CD106" i="7"/>
  <c r="AR106" i="7"/>
  <c r="CG105" i="7"/>
  <c r="CF105" i="7"/>
  <c r="CD105" i="7"/>
  <c r="AR105" i="7"/>
  <c r="CG104" i="7"/>
  <c r="CF104" i="7"/>
  <c r="CD104" i="7"/>
  <c r="CE104" i="7" s="1"/>
  <c r="AR104" i="7"/>
  <c r="CG103" i="7"/>
  <c r="CF103" i="7"/>
  <c r="CD103" i="7"/>
  <c r="AR103" i="7"/>
  <c r="CG102" i="7"/>
  <c r="CF102" i="7"/>
  <c r="CD102" i="7"/>
  <c r="CE102" i="7" s="1"/>
  <c r="AR102" i="7"/>
  <c r="CG101" i="7"/>
  <c r="CF101" i="7"/>
  <c r="CD101" i="7"/>
  <c r="AT101" i="7"/>
  <c r="AR101" i="7"/>
  <c r="CE101" i="7" s="1"/>
  <c r="CG100" i="7"/>
  <c r="CF100" i="7"/>
  <c r="CD100" i="7"/>
  <c r="AR100" i="7"/>
  <c r="E100" i="7"/>
  <c r="CG99" i="7"/>
  <c r="CF99" i="7"/>
  <c r="CD99" i="7"/>
  <c r="AR99" i="7"/>
  <c r="CG98" i="7"/>
  <c r="CF98" i="7"/>
  <c r="CD98" i="7"/>
  <c r="AR98" i="7"/>
  <c r="E98" i="7"/>
  <c r="E99" i="7" s="1"/>
  <c r="CG97" i="7"/>
  <c r="CF97" i="7"/>
  <c r="CD97" i="7"/>
  <c r="AR97" i="7"/>
  <c r="CE97" i="7" s="1"/>
  <c r="E97" i="7"/>
  <c r="CG96" i="7"/>
  <c r="CF96" i="7"/>
  <c r="CD96" i="7"/>
  <c r="AR96" i="7"/>
  <c r="CG95" i="7"/>
  <c r="CF95" i="7"/>
  <c r="CD95" i="7"/>
  <c r="AR95" i="7"/>
  <c r="CG94" i="7"/>
  <c r="CF94" i="7"/>
  <c r="CD94" i="7"/>
  <c r="AR94" i="7"/>
  <c r="CG93" i="7"/>
  <c r="CF93" i="7"/>
  <c r="CD93" i="7"/>
  <c r="AR93" i="7"/>
  <c r="CE93" i="7" s="1"/>
  <c r="CG92" i="7"/>
  <c r="CF92" i="7"/>
  <c r="CD92" i="7"/>
  <c r="AR92" i="7"/>
  <c r="CG91" i="7"/>
  <c r="CF91" i="7"/>
  <c r="CD91" i="7"/>
  <c r="AR91" i="7"/>
  <c r="CG90" i="7"/>
  <c r="CF90" i="7"/>
  <c r="CD90" i="7"/>
  <c r="AR90" i="7"/>
  <c r="E90" i="7"/>
  <c r="E91" i="7" s="1"/>
  <c r="CG89" i="7"/>
  <c r="CF89" i="7"/>
  <c r="CD89" i="7"/>
  <c r="AR89" i="7"/>
  <c r="E89" i="7"/>
  <c r="CG88" i="7"/>
  <c r="CF88" i="7"/>
  <c r="AT88" i="7"/>
  <c r="CD88" i="7" s="1"/>
  <c r="AR88" i="7"/>
  <c r="CG87" i="7"/>
  <c r="CF87" i="7"/>
  <c r="CD87" i="7"/>
  <c r="AR87" i="7"/>
  <c r="CG86" i="7"/>
  <c r="CF86" i="7"/>
  <c r="CD86" i="7"/>
  <c r="CE86" i="7" s="1"/>
  <c r="AR86" i="7"/>
  <c r="CG85" i="7"/>
  <c r="CF85" i="7"/>
  <c r="CD85" i="7"/>
  <c r="AR85" i="7"/>
  <c r="CG84" i="7"/>
  <c r="CF84" i="7"/>
  <c r="CD84" i="7"/>
  <c r="AR84" i="7"/>
  <c r="CG83" i="7"/>
  <c r="CF83" i="7"/>
  <c r="CD83" i="7"/>
  <c r="AR83" i="7"/>
  <c r="CG82" i="7"/>
  <c r="CF82" i="7"/>
  <c r="CD82" i="7"/>
  <c r="CE82" i="7" s="1"/>
  <c r="AR82" i="7"/>
  <c r="CG81" i="7"/>
  <c r="CF81" i="7"/>
  <c r="CD81" i="7"/>
  <c r="AR81" i="7"/>
  <c r="CE81" i="7" s="1"/>
  <c r="CG80" i="7"/>
  <c r="CF80" i="7"/>
  <c r="CD80" i="7"/>
  <c r="AR80" i="7"/>
  <c r="CG79" i="7"/>
  <c r="CF79" i="7"/>
  <c r="CD79" i="7"/>
  <c r="AR79" i="7"/>
  <c r="CG78" i="7"/>
  <c r="CF78" i="7"/>
  <c r="CD78" i="7"/>
  <c r="AR78" i="7"/>
  <c r="CG77" i="7"/>
  <c r="CF77" i="7"/>
  <c r="CD77" i="7"/>
  <c r="AR77" i="7"/>
  <c r="CG76" i="7"/>
  <c r="CF76" i="7"/>
  <c r="CD76" i="7"/>
  <c r="AR76" i="7"/>
  <c r="CG75" i="7"/>
  <c r="CF75" i="7"/>
  <c r="CD75" i="7"/>
  <c r="AR75" i="7"/>
  <c r="CG74" i="7"/>
  <c r="CF74" i="7"/>
  <c r="CD74" i="7"/>
  <c r="AR74" i="7"/>
  <c r="CG73" i="7"/>
  <c r="CF73" i="7"/>
  <c r="CD73" i="7"/>
  <c r="AR73" i="7"/>
  <c r="CE73" i="7" s="1"/>
  <c r="CG72" i="7"/>
  <c r="CF72" i="7"/>
  <c r="CD72" i="7"/>
  <c r="AR72" i="7"/>
  <c r="CG71" i="7"/>
  <c r="CF71" i="7"/>
  <c r="CD71" i="7"/>
  <c r="AR71" i="7"/>
  <c r="CG70" i="7"/>
  <c r="CF70" i="7"/>
  <c r="CD70" i="7"/>
  <c r="AR70" i="7"/>
  <c r="CG69" i="7"/>
  <c r="CF69" i="7"/>
  <c r="CD69" i="7"/>
  <c r="AR69" i="7"/>
  <c r="E69" i="7"/>
  <c r="CG68" i="7"/>
  <c r="CF68" i="7"/>
  <c r="CD68" i="7"/>
  <c r="AR68" i="7"/>
  <c r="CG67" i="7"/>
  <c r="CF67" i="7"/>
  <c r="CD67" i="7"/>
  <c r="AR67" i="7"/>
  <c r="CG66" i="7"/>
  <c r="CF66" i="7"/>
  <c r="CD66" i="7"/>
  <c r="AR66" i="7"/>
  <c r="CG65" i="7"/>
  <c r="CF65" i="7"/>
  <c r="CD65" i="7"/>
  <c r="AR65" i="7"/>
  <c r="CG64" i="7"/>
  <c r="CF64" i="7"/>
  <c r="CD64" i="7"/>
  <c r="AR64" i="7"/>
  <c r="CG63" i="7"/>
  <c r="CF63" i="7"/>
  <c r="CD63" i="7"/>
  <c r="AR63" i="7"/>
  <c r="CG62" i="7"/>
  <c r="CF62" i="7"/>
  <c r="CD62" i="7"/>
  <c r="AR62" i="7"/>
  <c r="CE62" i="7" s="1"/>
  <c r="CG61" i="7"/>
  <c r="CF61" i="7"/>
  <c r="CD61" i="7"/>
  <c r="AR61" i="7"/>
  <c r="CG60" i="7"/>
  <c r="CF60" i="7"/>
  <c r="CD60" i="7"/>
  <c r="AR60" i="7"/>
  <c r="CG59" i="7"/>
  <c r="CF59" i="7"/>
  <c r="CD59" i="7"/>
  <c r="AT59" i="7"/>
  <c r="AR59" i="7"/>
  <c r="CG58" i="7"/>
  <c r="CF58" i="7"/>
  <c r="CD58" i="7"/>
  <c r="AR58" i="7"/>
  <c r="CG57" i="7"/>
  <c r="CF57" i="7"/>
  <c r="CD57" i="7"/>
  <c r="AR57" i="7"/>
  <c r="CG56" i="7"/>
  <c r="CF56" i="7"/>
  <c r="CD56" i="7"/>
  <c r="AR56" i="7"/>
  <c r="CG55" i="7"/>
  <c r="CF55" i="7"/>
  <c r="CD55" i="7"/>
  <c r="CE55" i="7" s="1"/>
  <c r="AR55" i="7"/>
  <c r="CG54" i="7"/>
  <c r="CF54" i="7"/>
  <c r="CD54" i="7"/>
  <c r="AR54" i="7"/>
  <c r="CG53" i="7"/>
  <c r="CF53" i="7"/>
  <c r="CD53" i="7"/>
  <c r="AR53" i="7"/>
  <c r="CG52" i="7"/>
  <c r="CF52" i="7"/>
  <c r="CD52" i="7"/>
  <c r="CE52" i="7" s="1"/>
  <c r="AR52" i="7"/>
  <c r="CG51" i="7"/>
  <c r="CF51" i="7"/>
  <c r="CE51" i="7"/>
  <c r="CD51" i="7"/>
  <c r="AR51" i="7"/>
  <c r="CG50" i="7"/>
  <c r="CF50" i="7"/>
  <c r="CD50" i="7"/>
  <c r="AR50" i="7"/>
  <c r="CG49" i="7"/>
  <c r="CF49" i="7"/>
  <c r="CD49" i="7"/>
  <c r="AR49" i="7"/>
  <c r="CG48" i="7"/>
  <c r="CF48" i="7"/>
  <c r="CD48" i="7"/>
  <c r="AR48" i="7"/>
  <c r="CL47" i="7"/>
  <c r="CK47" i="7"/>
  <c r="CJ47" i="7"/>
  <c r="CI47" i="7"/>
  <c r="CH47" i="7"/>
  <c r="CC47" i="7"/>
  <c r="CB47" i="7"/>
  <c r="CA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Q47" i="7"/>
  <c r="AP47" i="7"/>
  <c r="AO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CG46" i="7"/>
  <c r="CF46" i="7"/>
  <c r="CD46" i="7"/>
  <c r="AR46" i="7"/>
  <c r="CG45" i="7"/>
  <c r="CF45" i="7"/>
  <c r="CD45" i="7"/>
  <c r="AR45" i="7"/>
  <c r="CG44" i="7"/>
  <c r="CF44" i="7"/>
  <c r="CD44" i="7"/>
  <c r="AR44" i="7"/>
  <c r="CG43" i="7"/>
  <c r="CF43" i="7"/>
  <c r="CD43" i="7"/>
  <c r="AR43" i="7"/>
  <c r="CG42" i="7"/>
  <c r="CF42" i="7"/>
  <c r="CD42" i="7"/>
  <c r="AR42" i="7"/>
  <c r="CG41" i="7"/>
  <c r="CF41" i="7"/>
  <c r="CD41" i="7"/>
  <c r="AR41" i="7"/>
  <c r="CG40" i="7"/>
  <c r="CF40" i="7"/>
  <c r="CD40" i="7"/>
  <c r="AR40" i="7"/>
  <c r="CG39" i="7"/>
  <c r="CF39" i="7"/>
  <c r="CD39" i="7"/>
  <c r="AR39" i="7"/>
  <c r="CG38" i="7"/>
  <c r="CF38" i="7"/>
  <c r="CD38" i="7"/>
  <c r="AR38" i="7"/>
  <c r="CG37" i="7"/>
  <c r="CF37" i="7"/>
  <c r="CD37" i="7"/>
  <c r="AR37" i="7"/>
  <c r="CG36" i="7"/>
  <c r="CF36" i="7"/>
  <c r="CD36" i="7"/>
  <c r="AR36" i="7"/>
  <c r="CG35" i="7"/>
  <c r="CF35" i="7"/>
  <c r="CD35" i="7"/>
  <c r="AR35" i="7"/>
  <c r="CG34" i="7"/>
  <c r="CF34" i="7"/>
  <c r="CD34" i="7"/>
  <c r="AR34" i="7"/>
  <c r="CG33" i="7"/>
  <c r="CF33" i="7"/>
  <c r="CD33" i="7"/>
  <c r="AR33" i="7"/>
  <c r="CG32" i="7"/>
  <c r="CF32" i="7"/>
  <c r="CD32" i="7"/>
  <c r="AR32" i="7"/>
  <c r="CG31" i="7"/>
  <c r="CF31" i="7"/>
  <c r="CD31" i="7"/>
  <c r="AR31" i="7"/>
  <c r="CG30" i="7"/>
  <c r="CF30" i="7"/>
  <c r="CD30" i="7"/>
  <c r="AR30" i="7"/>
  <c r="CG29" i="7"/>
  <c r="CF29" i="7"/>
  <c r="CD29" i="7"/>
  <c r="AR29" i="7"/>
  <c r="CG28" i="7"/>
  <c r="CF28" i="7"/>
  <c r="CD28" i="7"/>
  <c r="AR28" i="7"/>
  <c r="CG27" i="7"/>
  <c r="CF27" i="7"/>
  <c r="CD27" i="7"/>
  <c r="AR27" i="7"/>
  <c r="CG26" i="7"/>
  <c r="CF26" i="7"/>
  <c r="CD26" i="7"/>
  <c r="AR26" i="7"/>
  <c r="DR1260" i="8"/>
  <c r="DQ1260" i="8"/>
  <c r="DP1260" i="8"/>
  <c r="DO1260" i="8"/>
  <c r="DN1260" i="8"/>
  <c r="DM1260" i="8"/>
  <c r="DL1260" i="8"/>
  <c r="DK1260" i="8"/>
  <c r="DJ1260" i="8"/>
  <c r="DI1260" i="8"/>
  <c r="DH1260" i="8"/>
  <c r="DG1260" i="8"/>
  <c r="DF1260" i="8"/>
  <c r="DE1260" i="8"/>
  <c r="DD1260" i="8"/>
  <c r="DC1260" i="8"/>
  <c r="DB1260" i="8"/>
  <c r="DA1260" i="8"/>
  <c r="CZ1260" i="8"/>
  <c r="CY1260" i="8"/>
  <c r="CX1260" i="8"/>
  <c r="CW1260" i="8"/>
  <c r="CV1260" i="8"/>
  <c r="CU1260" i="8"/>
  <c r="CT1260" i="8"/>
  <c r="CS1260" i="8"/>
  <c r="CR1260" i="8"/>
  <c r="CQ1260" i="8"/>
  <c r="CP1260" i="8"/>
  <c r="CO1260" i="8"/>
  <c r="CN1260" i="8"/>
  <c r="CM1260" i="8"/>
  <c r="CL1260" i="8"/>
  <c r="CK1260" i="8"/>
  <c r="CJ1260" i="8"/>
  <c r="CD1260" i="8"/>
  <c r="CC1260" i="8"/>
  <c r="CB1260" i="8"/>
  <c r="CA1260" i="8"/>
  <c r="BZ1260" i="8"/>
  <c r="BY1260" i="8"/>
  <c r="BX1260" i="8"/>
  <c r="BW1260" i="8"/>
  <c r="BV1260" i="8"/>
  <c r="BU1260" i="8"/>
  <c r="BT1260" i="8"/>
  <c r="BS1260" i="8"/>
  <c r="BR1260" i="8"/>
  <c r="BQ1260" i="8"/>
  <c r="BP1260" i="8"/>
  <c r="BO1260" i="8"/>
  <c r="BN1260" i="8"/>
  <c r="BM1260" i="8"/>
  <c r="BL1260" i="8"/>
  <c r="BK1260" i="8"/>
  <c r="BJ1260" i="8"/>
  <c r="BI1260" i="8"/>
  <c r="BH1260" i="8"/>
  <c r="BG1260" i="8"/>
  <c r="BF1260" i="8"/>
  <c r="BE1260" i="8"/>
  <c r="BD1260" i="8"/>
  <c r="BC1260" i="8"/>
  <c r="BB1260" i="8"/>
  <c r="AZ1260" i="8"/>
  <c r="AY1260" i="8"/>
  <c r="AX1260" i="8"/>
  <c r="AW1260" i="8"/>
  <c r="AV1260" i="8"/>
  <c r="AU1260" i="8"/>
  <c r="AT1260" i="8"/>
  <c r="AR1260" i="8"/>
  <c r="AQ1260" i="8"/>
  <c r="AP1260" i="8"/>
  <c r="AO1260" i="8"/>
  <c r="AN1260" i="8"/>
  <c r="AM1260" i="8"/>
  <c r="AL1260" i="8"/>
  <c r="AK1260" i="8"/>
  <c r="AJ1260" i="8"/>
  <c r="AI1260" i="8"/>
  <c r="AH1260" i="8"/>
  <c r="AG1260" i="8"/>
  <c r="AF1260" i="8"/>
  <c r="AE1260" i="8"/>
  <c r="AD1260" i="8"/>
  <c r="AC1260" i="8"/>
  <c r="AB1260" i="8"/>
  <c r="AA1260" i="8"/>
  <c r="Z1260" i="8"/>
  <c r="Y1260" i="8"/>
  <c r="X1260" i="8"/>
  <c r="W1260" i="8"/>
  <c r="V1260" i="8"/>
  <c r="U1260" i="8"/>
  <c r="T1260" i="8"/>
  <c r="S1260" i="8"/>
  <c r="R1260" i="8"/>
  <c r="Q1260" i="8"/>
  <c r="P1260" i="8"/>
  <c r="O1260" i="8"/>
  <c r="N1260" i="8"/>
  <c r="M1260" i="8"/>
  <c r="L1260" i="8"/>
  <c r="K1260" i="8"/>
  <c r="CH1259" i="8"/>
  <c r="CI1258" i="8"/>
  <c r="CH1258" i="8"/>
  <c r="CE1258" i="8"/>
  <c r="AS1258" i="8"/>
  <c r="CI1257" i="8"/>
  <c r="CH1257" i="8"/>
  <c r="CE1257" i="8"/>
  <c r="AS1257" i="8"/>
  <c r="CI1256" i="8"/>
  <c r="CH1256" i="8"/>
  <c r="CE1256" i="8"/>
  <c r="AS1256" i="8"/>
  <c r="CI1255" i="8"/>
  <c r="CH1255" i="8"/>
  <c r="CE1255" i="8"/>
  <c r="AS1255" i="8"/>
  <c r="CI1254" i="8"/>
  <c r="CH1254" i="8"/>
  <c r="CE1254" i="8"/>
  <c r="AS1254" i="8"/>
  <c r="CI1253" i="8"/>
  <c r="CH1253" i="8"/>
  <c r="CE1253" i="8"/>
  <c r="AS1253" i="8"/>
  <c r="CI1252" i="8"/>
  <c r="CH1252" i="8"/>
  <c r="BA1252" i="8"/>
  <c r="AS1252" i="8"/>
  <c r="CI1251" i="8"/>
  <c r="CH1251" i="8"/>
  <c r="CE1251" i="8"/>
  <c r="AS1251" i="8"/>
  <c r="CI1250" i="8"/>
  <c r="CH1250" i="8"/>
  <c r="CE1250" i="8"/>
  <c r="AS1250" i="8"/>
  <c r="CI1249" i="8"/>
  <c r="CH1249" i="8"/>
  <c r="CE1249" i="8"/>
  <c r="AS1249" i="8"/>
  <c r="CI1248" i="8"/>
  <c r="CH1248" i="8"/>
  <c r="CE1248" i="8"/>
  <c r="AS1248" i="8"/>
  <c r="CM1247" i="8"/>
  <c r="CL1247" i="8"/>
  <c r="CK1247" i="8"/>
  <c r="CJ1247" i="8"/>
  <c r="CC1247" i="8"/>
  <c r="CB1247" i="8"/>
  <c r="CA1247" i="8"/>
  <c r="BZ1247" i="8"/>
  <c r="BY1247" i="8"/>
  <c r="BX1247" i="8"/>
  <c r="BW1247" i="8"/>
  <c r="BV1247" i="8"/>
  <c r="BU1247" i="8"/>
  <c r="BT1247" i="8"/>
  <c r="BS1247" i="8"/>
  <c r="BR1247" i="8"/>
  <c r="BQ1247" i="8"/>
  <c r="BP1247" i="8"/>
  <c r="BO1247" i="8"/>
  <c r="BN1247" i="8"/>
  <c r="BM1247" i="8"/>
  <c r="BL1247" i="8"/>
  <c r="BK1247" i="8"/>
  <c r="BJ1247" i="8"/>
  <c r="BI1247" i="8"/>
  <c r="BH1247" i="8"/>
  <c r="BG1247" i="8"/>
  <c r="BF1247" i="8"/>
  <c r="BE1247" i="8"/>
  <c r="BD1247" i="8"/>
  <c r="BC1247" i="8"/>
  <c r="BB1247" i="8"/>
  <c r="BA1247" i="8"/>
  <c r="AZ1247" i="8"/>
  <c r="AY1247" i="8"/>
  <c r="AX1247" i="8"/>
  <c r="AW1247" i="8"/>
  <c r="AV1247" i="8"/>
  <c r="AU1247" i="8"/>
  <c r="AT1247" i="8"/>
  <c r="AR1247" i="8"/>
  <c r="AQ1247" i="8"/>
  <c r="AP1247" i="8"/>
  <c r="AO1247" i="8"/>
  <c r="AN1247" i="8"/>
  <c r="AM1247" i="8"/>
  <c r="AL1247" i="8"/>
  <c r="AK1247" i="8"/>
  <c r="AJ1247" i="8"/>
  <c r="AI1247" i="8"/>
  <c r="AH1247" i="8"/>
  <c r="AG1247" i="8"/>
  <c r="AF1247" i="8"/>
  <c r="AE1247" i="8"/>
  <c r="AD1247" i="8"/>
  <c r="AC1247" i="8"/>
  <c r="AB1247" i="8"/>
  <c r="AA1247" i="8"/>
  <c r="Z1247" i="8"/>
  <c r="Y1247" i="8"/>
  <c r="X1247" i="8"/>
  <c r="W1247" i="8"/>
  <c r="V1247" i="8"/>
  <c r="U1247" i="8"/>
  <c r="T1247" i="8"/>
  <c r="S1247" i="8"/>
  <c r="R1247" i="8"/>
  <c r="Q1247" i="8"/>
  <c r="P1247" i="8"/>
  <c r="O1247" i="8"/>
  <c r="N1247" i="8"/>
  <c r="M1247" i="8"/>
  <c r="L1247" i="8"/>
  <c r="K1247" i="8"/>
  <c r="J1247" i="8"/>
  <c r="I1247" i="8"/>
  <c r="H1247" i="8"/>
  <c r="CI1246" i="8"/>
  <c r="CH1246" i="8"/>
  <c r="CE1246" i="8"/>
  <c r="AS1246" i="8"/>
  <c r="CI1245" i="8"/>
  <c r="CI1247" i="8" s="1"/>
  <c r="CH1245" i="8"/>
  <c r="CE1245" i="8"/>
  <c r="AS1245" i="8"/>
  <c r="CD1244" i="8"/>
  <c r="CC1244" i="8"/>
  <c r="CB1244" i="8"/>
  <c r="CA1244" i="8"/>
  <c r="BZ1244" i="8"/>
  <c r="BY1244" i="8"/>
  <c r="BX1244" i="8"/>
  <c r="BW1244" i="8"/>
  <c r="BV1244" i="8"/>
  <c r="BU1244" i="8"/>
  <c r="BT1244" i="8"/>
  <c r="BS1244" i="8"/>
  <c r="BR1244" i="8"/>
  <c r="BQ1244" i="8"/>
  <c r="BP1244" i="8"/>
  <c r="BO1244" i="8"/>
  <c r="BN1244" i="8"/>
  <c r="BM1244" i="8"/>
  <c r="BL1244" i="8"/>
  <c r="BK1244" i="8"/>
  <c r="BJ1244" i="8"/>
  <c r="BI1244" i="8"/>
  <c r="BH1244" i="8"/>
  <c r="BG1244" i="8"/>
  <c r="BF1244" i="8"/>
  <c r="BE1244" i="8"/>
  <c r="BD1244" i="8"/>
  <c r="BC1244" i="8"/>
  <c r="BB1244" i="8"/>
  <c r="BA1244" i="8"/>
  <c r="AZ1244" i="8"/>
  <c r="AY1244" i="8"/>
  <c r="AX1244" i="8"/>
  <c r="AW1244" i="8"/>
  <c r="AV1244" i="8"/>
  <c r="AU1244" i="8"/>
  <c r="AT1244" i="8"/>
  <c r="AR1244" i="8"/>
  <c r="AQ1244" i="8"/>
  <c r="AP1244" i="8"/>
  <c r="AO1244" i="8"/>
  <c r="AN1244" i="8"/>
  <c r="AM1244" i="8"/>
  <c r="AL1244" i="8"/>
  <c r="AK1244" i="8"/>
  <c r="AJ1244" i="8"/>
  <c r="AI1244" i="8"/>
  <c r="AH1244" i="8"/>
  <c r="AG1244" i="8"/>
  <c r="AF1244" i="8"/>
  <c r="AE1244" i="8"/>
  <c r="AD1244" i="8"/>
  <c r="AC1244" i="8"/>
  <c r="AB1244" i="8"/>
  <c r="AA1244" i="8"/>
  <c r="Z1244" i="8"/>
  <c r="Y1244" i="8"/>
  <c r="X1244" i="8"/>
  <c r="W1244" i="8"/>
  <c r="V1244" i="8"/>
  <c r="U1244" i="8"/>
  <c r="T1244" i="8"/>
  <c r="S1244" i="8"/>
  <c r="R1244" i="8"/>
  <c r="Q1244" i="8"/>
  <c r="P1244" i="8"/>
  <c r="O1244" i="8"/>
  <c r="N1244" i="8"/>
  <c r="M1244" i="8"/>
  <c r="L1244" i="8"/>
  <c r="K1244" i="8"/>
  <c r="CI1243" i="8"/>
  <c r="CH1243" i="8"/>
  <c r="CE1243" i="8"/>
  <c r="AS1243" i="8"/>
  <c r="CI1242" i="8"/>
  <c r="CH1242" i="8"/>
  <c r="CE1242" i="8"/>
  <c r="AS1242" i="8"/>
  <c r="CI1241" i="8"/>
  <c r="CH1241" i="8"/>
  <c r="CE1241" i="8"/>
  <c r="AS1241" i="8"/>
  <c r="CI1240" i="8"/>
  <c r="CH1240" i="8"/>
  <c r="CE1240" i="8"/>
  <c r="AS1240" i="8"/>
  <c r="CI1239" i="8"/>
  <c r="CH1239" i="8"/>
  <c r="CE1239" i="8"/>
  <c r="AS1239" i="8"/>
  <c r="CI1238" i="8"/>
  <c r="CH1238" i="8"/>
  <c r="CE1238" i="8"/>
  <c r="AS1238" i="8"/>
  <c r="CI1237" i="8"/>
  <c r="CH1237" i="8"/>
  <c r="CE1237" i="8"/>
  <c r="AS1237" i="8"/>
  <c r="CI1236" i="8"/>
  <c r="CH1236" i="8"/>
  <c r="CE1236" i="8"/>
  <c r="AS1236" i="8"/>
  <c r="CI1235" i="8"/>
  <c r="CH1235" i="8"/>
  <c r="CE1235" i="8"/>
  <c r="AS1235" i="8"/>
  <c r="CI1234" i="8"/>
  <c r="CH1234" i="8"/>
  <c r="CE1234" i="8"/>
  <c r="AS1234" i="8"/>
  <c r="CI1233" i="8"/>
  <c r="CH1233" i="8"/>
  <c r="CE1233" i="8"/>
  <c r="AS1233" i="8"/>
  <c r="CI1232" i="8"/>
  <c r="CH1232" i="8"/>
  <c r="CE1232" i="8"/>
  <c r="AS1232" i="8"/>
  <c r="CI1231" i="8"/>
  <c r="CH1231" i="8"/>
  <c r="CE1231" i="8"/>
  <c r="AS1231" i="8"/>
  <c r="CI1230" i="8"/>
  <c r="CH1230" i="8"/>
  <c r="CE1230" i="8"/>
  <c r="AS1230" i="8"/>
  <c r="CI1229" i="8"/>
  <c r="CH1229" i="8"/>
  <c r="CE1229" i="8"/>
  <c r="AS1229" i="8"/>
  <c r="CI1228" i="8"/>
  <c r="CH1228" i="8"/>
  <c r="CE1228" i="8"/>
  <c r="AS1228" i="8"/>
  <c r="CI1227" i="8"/>
  <c r="CH1227" i="8"/>
  <c r="CE1227" i="8"/>
  <c r="AS1227" i="8"/>
  <c r="CI1226" i="8"/>
  <c r="CH1226" i="8"/>
  <c r="CE1226" i="8"/>
  <c r="AS1226" i="8"/>
  <c r="CI1225" i="8"/>
  <c r="CH1225" i="8"/>
  <c r="CE1225" i="8"/>
  <c r="AS1225" i="8"/>
  <c r="CI1224" i="8"/>
  <c r="CH1224" i="8"/>
  <c r="CE1224" i="8"/>
  <c r="AS1224" i="8"/>
  <c r="CI1223" i="8"/>
  <c r="CH1223" i="8"/>
  <c r="CE1223" i="8"/>
  <c r="AS1223" i="8"/>
  <c r="CI1222" i="8"/>
  <c r="CH1222" i="8"/>
  <c r="CE1222" i="8"/>
  <c r="AS1222" i="8"/>
  <c r="CI1221" i="8"/>
  <c r="CH1221" i="8"/>
  <c r="CE1221" i="8"/>
  <c r="AS1221" i="8"/>
  <c r="CI1220" i="8"/>
  <c r="CH1220" i="8"/>
  <c r="CE1220" i="8"/>
  <c r="AS1220" i="8"/>
  <c r="CI1219" i="8"/>
  <c r="CH1219" i="8"/>
  <c r="CE1219" i="8"/>
  <c r="AS1219" i="8"/>
  <c r="CI1218" i="8"/>
  <c r="CH1218" i="8"/>
  <c r="CE1218" i="8"/>
  <c r="AS1218" i="8"/>
  <c r="CW1217" i="8"/>
  <c r="CV1217" i="8"/>
  <c r="CU1217" i="8"/>
  <c r="CT1217" i="8"/>
  <c r="CS1217" i="8"/>
  <c r="CD1216" i="8"/>
  <c r="CC1216" i="8"/>
  <c r="CB1216" i="8"/>
  <c r="CA1216" i="8"/>
  <c r="BZ1216" i="8"/>
  <c r="BY1216" i="8"/>
  <c r="BX1216" i="8"/>
  <c r="BW1216" i="8"/>
  <c r="BV1216" i="8"/>
  <c r="BU1216" i="8"/>
  <c r="BT1216" i="8"/>
  <c r="BS1216" i="8"/>
  <c r="BR1216" i="8"/>
  <c r="BQ1216" i="8"/>
  <c r="BP1216" i="8"/>
  <c r="BO1216" i="8"/>
  <c r="BN1216" i="8"/>
  <c r="BM1216" i="8"/>
  <c r="BL1216" i="8"/>
  <c r="BK1216" i="8"/>
  <c r="BJ1216" i="8"/>
  <c r="BI1216" i="8"/>
  <c r="BH1216" i="8"/>
  <c r="BG1216" i="8"/>
  <c r="BF1216" i="8"/>
  <c r="BE1216" i="8"/>
  <c r="BD1216" i="8"/>
  <c r="BC1216" i="8"/>
  <c r="BB1216" i="8"/>
  <c r="BA1216" i="8"/>
  <c r="AZ1216" i="8"/>
  <c r="AY1216" i="8"/>
  <c r="AX1216" i="8"/>
  <c r="AW1216" i="8"/>
  <c r="AV1216" i="8"/>
  <c r="AU1216" i="8"/>
  <c r="AT1216" i="8"/>
  <c r="AR1216" i="8"/>
  <c r="AQ1216" i="8"/>
  <c r="AP1216" i="8"/>
  <c r="AO1216" i="8"/>
  <c r="AN1216" i="8"/>
  <c r="AM1216" i="8"/>
  <c r="AL1216" i="8"/>
  <c r="AK1216" i="8"/>
  <c r="AJ1216" i="8"/>
  <c r="AI1216" i="8"/>
  <c r="AH1216" i="8"/>
  <c r="AG1216" i="8"/>
  <c r="AF1216" i="8"/>
  <c r="AE1216" i="8"/>
  <c r="AD1216" i="8"/>
  <c r="AC1216" i="8"/>
  <c r="AB1216" i="8"/>
  <c r="AA1216" i="8"/>
  <c r="Z1216" i="8"/>
  <c r="Y1216" i="8"/>
  <c r="X1216" i="8"/>
  <c r="W1216" i="8"/>
  <c r="V1216" i="8"/>
  <c r="U1216" i="8"/>
  <c r="T1216" i="8"/>
  <c r="S1216" i="8"/>
  <c r="R1216" i="8"/>
  <c r="Q1216" i="8"/>
  <c r="P1216" i="8"/>
  <c r="O1216" i="8"/>
  <c r="N1216" i="8"/>
  <c r="M1216" i="8"/>
  <c r="L1216" i="8"/>
  <c r="K1216" i="8"/>
  <c r="J1216" i="8"/>
  <c r="I1216" i="8"/>
  <c r="H1216" i="8"/>
  <c r="CH1215" i="8"/>
  <c r="CG1215" i="8"/>
  <c r="CE1215" i="8"/>
  <c r="AS1215" i="8"/>
  <c r="AS1216" i="8" s="1"/>
  <c r="CH1213" i="8"/>
  <c r="CG1213" i="8"/>
  <c r="CE1213" i="8"/>
  <c r="AS1213" i="8"/>
  <c r="CH1212" i="8"/>
  <c r="CG1212" i="8"/>
  <c r="CE1212" i="8"/>
  <c r="AS1212" i="8"/>
  <c r="CG1211" i="8"/>
  <c r="CO1210" i="8"/>
  <c r="CN1210" i="8"/>
  <c r="CM1210" i="8"/>
  <c r="CL1210" i="8"/>
  <c r="CK1210" i="8"/>
  <c r="CJ1210" i="8"/>
  <c r="CJ1209" i="8" s="1"/>
  <c r="CI1210" i="8"/>
  <c r="CI1209" i="8" s="1"/>
  <c r="CD1210" i="8"/>
  <c r="CD1209" i="8" s="1"/>
  <c r="CC1210" i="8"/>
  <c r="CC1209" i="8" s="1"/>
  <c r="CB1210" i="8"/>
  <c r="CB1209" i="8" s="1"/>
  <c r="CA1210" i="8"/>
  <c r="CA1209" i="8" s="1"/>
  <c r="BZ1210" i="8"/>
  <c r="BZ1209" i="8" s="1"/>
  <c r="BY1210" i="8"/>
  <c r="BY1209" i="8" s="1"/>
  <c r="BX1210" i="8"/>
  <c r="BX1209" i="8" s="1"/>
  <c r="BW1210" i="8"/>
  <c r="BW1209" i="8" s="1"/>
  <c r="BV1210" i="8"/>
  <c r="BU1210" i="8"/>
  <c r="BU1209" i="8" s="1"/>
  <c r="BT1210" i="8"/>
  <c r="BT1209" i="8" s="1"/>
  <c r="BS1210" i="8"/>
  <c r="BS1209" i="8" s="1"/>
  <c r="BR1210" i="8"/>
  <c r="BR1209" i="8" s="1"/>
  <c r="BQ1210" i="8"/>
  <c r="BQ1209" i="8" s="1"/>
  <c r="BP1210" i="8"/>
  <c r="BP1209" i="8" s="1"/>
  <c r="BO1210" i="8"/>
  <c r="BO1209" i="8" s="1"/>
  <c r="BN1210" i="8"/>
  <c r="BN1209" i="8" s="1"/>
  <c r="BM1210" i="8"/>
  <c r="BM1209" i="8" s="1"/>
  <c r="BL1210" i="8"/>
  <c r="BL1209" i="8" s="1"/>
  <c r="BK1210" i="8"/>
  <c r="BK1209" i="8" s="1"/>
  <c r="BJ1210" i="8"/>
  <c r="BJ1209" i="8" s="1"/>
  <c r="BI1210" i="8"/>
  <c r="BH1210" i="8"/>
  <c r="BH1209" i="8" s="1"/>
  <c r="BG1210" i="8"/>
  <c r="BG1209" i="8" s="1"/>
  <c r="BF1210" i="8"/>
  <c r="BF1209" i="8" s="1"/>
  <c r="BE1210" i="8"/>
  <c r="BE1209" i="8" s="1"/>
  <c r="BD1210" i="8"/>
  <c r="BD1209" i="8" s="1"/>
  <c r="BC1210" i="8"/>
  <c r="BC1209" i="8" s="1"/>
  <c r="BB1210" i="8"/>
  <c r="BB1209" i="8" s="1"/>
  <c r="BA1210" i="8"/>
  <c r="BA1209" i="8" s="1"/>
  <c r="AZ1210" i="8"/>
  <c r="AZ1209" i="8" s="1"/>
  <c r="AY1210" i="8"/>
  <c r="AY1209" i="8" s="1"/>
  <c r="AX1210" i="8"/>
  <c r="AX1209" i="8" s="1"/>
  <c r="AT1210" i="8"/>
  <c r="AT1209" i="8" s="1"/>
  <c r="AR1210" i="8"/>
  <c r="AQ1210" i="8"/>
  <c r="AQ1209" i="8" s="1"/>
  <c r="AP1210" i="8"/>
  <c r="AP1209" i="8" s="1"/>
  <c r="AO1210" i="8"/>
  <c r="AO1209" i="8" s="1"/>
  <c r="AN1210" i="8"/>
  <c r="AM1210" i="8"/>
  <c r="AM1209" i="8" s="1"/>
  <c r="AL1210" i="8"/>
  <c r="AL1209" i="8" s="1"/>
  <c r="AK1210" i="8"/>
  <c r="AK1209" i="8" s="1"/>
  <c r="AJ1210" i="8"/>
  <c r="AJ1209" i="8" s="1"/>
  <c r="AI1210" i="8"/>
  <c r="AI1209" i="8" s="1"/>
  <c r="AH1210" i="8"/>
  <c r="AH1209" i="8" s="1"/>
  <c r="AG1210" i="8"/>
  <c r="AG1209" i="8" s="1"/>
  <c r="AF1210" i="8"/>
  <c r="AE1210" i="8"/>
  <c r="AE1209" i="8" s="1"/>
  <c r="AD1210" i="8"/>
  <c r="AD1209" i="8" s="1"/>
  <c r="AC1210" i="8"/>
  <c r="AC1209" i="8" s="1"/>
  <c r="AB1210" i="8"/>
  <c r="AA1210" i="8"/>
  <c r="AA1209" i="8" s="1"/>
  <c r="Z1210" i="8"/>
  <c r="Z1209" i="8" s="1"/>
  <c r="Y1210" i="8"/>
  <c r="Y1209" i="8" s="1"/>
  <c r="X1210" i="8"/>
  <c r="W1210" i="8"/>
  <c r="W1209" i="8" s="1"/>
  <c r="V1210" i="8"/>
  <c r="V1209" i="8" s="1"/>
  <c r="U1210" i="8"/>
  <c r="U1209" i="8" s="1"/>
  <c r="T1210" i="8"/>
  <c r="S1210" i="8"/>
  <c r="R1210" i="8"/>
  <c r="R1209" i="8" s="1"/>
  <c r="Q1210" i="8"/>
  <c r="Q1209" i="8" s="1"/>
  <c r="P1210" i="8"/>
  <c r="O1210" i="8"/>
  <c r="O1209" i="8" s="1"/>
  <c r="N1210" i="8"/>
  <c r="N1209" i="8" s="1"/>
  <c r="M1210" i="8"/>
  <c r="M1209" i="8" s="1"/>
  <c r="L1210" i="8"/>
  <c r="L1209" i="8" s="1"/>
  <c r="K1210" i="8"/>
  <c r="K1209" i="8" s="1"/>
  <c r="J1210" i="8"/>
  <c r="J1209" i="8" s="1"/>
  <c r="I1210" i="8"/>
  <c r="H1210" i="8"/>
  <c r="CO1209" i="8"/>
  <c r="CN1209" i="8"/>
  <c r="CM1209" i="8"/>
  <c r="CL1209" i="8"/>
  <c r="CK1209" i="8"/>
  <c r="BV1209" i="8"/>
  <c r="S1209" i="8"/>
  <c r="I1209" i="8"/>
  <c r="CH1208" i="8"/>
  <c r="CG1208" i="8"/>
  <c r="CE1208" i="8"/>
  <c r="AS1208" i="8"/>
  <c r="CH1207" i="8"/>
  <c r="CG1207" i="8"/>
  <c r="CE1207" i="8"/>
  <c r="AS1207" i="8"/>
  <c r="CH1206" i="8"/>
  <c r="CG1206" i="8"/>
  <c r="CE1206" i="8"/>
  <c r="AS1206" i="8"/>
  <c r="CH1205" i="8"/>
  <c r="CG1205" i="8"/>
  <c r="CE1205" i="8"/>
  <c r="AS1205" i="8"/>
  <c r="CH1204" i="8"/>
  <c r="CG1204" i="8"/>
  <c r="CE1204" i="8"/>
  <c r="AS1204" i="8"/>
  <c r="CH1203" i="8"/>
  <c r="CG1203" i="8"/>
  <c r="CE1203" i="8"/>
  <c r="BI1203" i="8"/>
  <c r="AU1203" i="8"/>
  <c r="AS1203" i="8"/>
  <c r="CH1202" i="8"/>
  <c r="CG1202" i="8"/>
  <c r="AU1202" i="8"/>
  <c r="CE1202" i="8" s="1"/>
  <c r="AS1202" i="8"/>
  <c r="CH1201" i="8"/>
  <c r="CG1201" i="8"/>
  <c r="BI1201" i="8"/>
  <c r="AU1201" i="8"/>
  <c r="AS1201" i="8"/>
  <c r="CH1200" i="8"/>
  <c r="CG1200" i="8"/>
  <c r="CE1200" i="8"/>
  <c r="AS1200" i="8"/>
  <c r="CH1199" i="8"/>
  <c r="CG1199" i="8"/>
  <c r="CE1199" i="8"/>
  <c r="AS1199" i="8"/>
  <c r="CH1198" i="8"/>
  <c r="CG1198" i="8"/>
  <c r="CE1198" i="8"/>
  <c r="AS1198" i="8"/>
  <c r="CH1197" i="8"/>
  <c r="CG1197" i="8"/>
  <c r="CE1197" i="8"/>
  <c r="AS1197" i="8"/>
  <c r="CH1196" i="8"/>
  <c r="CG1196" i="8"/>
  <c r="AV1196" i="8"/>
  <c r="AU1196" i="8"/>
  <c r="AS1196" i="8"/>
  <c r="CH1195" i="8"/>
  <c r="CG1195" i="8"/>
  <c r="CE1195" i="8"/>
  <c r="AS1195" i="8"/>
  <c r="CH1194" i="8"/>
  <c r="CG1194" i="8"/>
  <c r="CE1194" i="8"/>
  <c r="AS1194" i="8"/>
  <c r="CH1193" i="8"/>
  <c r="CG1193" i="8"/>
  <c r="CE1193" i="8"/>
  <c r="AS1193" i="8"/>
  <c r="CH1192" i="8"/>
  <c r="CG1192" i="8"/>
  <c r="CE1192" i="8"/>
  <c r="AS1192" i="8"/>
  <c r="CH1191" i="8"/>
  <c r="CG1191" i="8"/>
  <c r="CE1191" i="8"/>
  <c r="AS1191" i="8"/>
  <c r="CH1190" i="8"/>
  <c r="CG1190" i="8"/>
  <c r="CE1190" i="8"/>
  <c r="AS1190" i="8"/>
  <c r="CH1189" i="8"/>
  <c r="CG1189" i="8"/>
  <c r="CE1189" i="8"/>
  <c r="AS1189" i="8"/>
  <c r="CH1188" i="8"/>
  <c r="CG1188" i="8"/>
  <c r="CE1188" i="8"/>
  <c r="AS1188" i="8"/>
  <c r="CH1187" i="8"/>
  <c r="CG1187" i="8"/>
  <c r="CE1187" i="8"/>
  <c r="AS1187" i="8"/>
  <c r="CH1186" i="8"/>
  <c r="CG1186" i="8"/>
  <c r="CE1186" i="8"/>
  <c r="AS1186" i="8"/>
  <c r="CH1185" i="8"/>
  <c r="CG1185" i="8"/>
  <c r="CE1185" i="8"/>
  <c r="AS1185" i="8"/>
  <c r="CH1184" i="8"/>
  <c r="CG1184" i="8"/>
  <c r="AU1184" i="8"/>
  <c r="CE1184" i="8" s="1"/>
  <c r="AS1184" i="8"/>
  <c r="CH1183" i="8"/>
  <c r="CG1183" i="8"/>
  <c r="CE1183" i="8"/>
  <c r="AS1183" i="8"/>
  <c r="CH1182" i="8"/>
  <c r="CG1182" i="8"/>
  <c r="CE1182" i="8"/>
  <c r="AS1182" i="8"/>
  <c r="CH1181" i="8"/>
  <c r="CG1181" i="8"/>
  <c r="CE1181" i="8"/>
  <c r="AS1181" i="8"/>
  <c r="CH1180" i="8"/>
  <c r="CG1180" i="8"/>
  <c r="CE1180" i="8"/>
  <c r="AS1180" i="8"/>
  <c r="CH1179" i="8"/>
  <c r="CG1179" i="8"/>
  <c r="CE1179" i="8"/>
  <c r="AS1179" i="8"/>
  <c r="CH1178" i="8"/>
  <c r="CG1178" i="8"/>
  <c r="CE1178" i="8"/>
  <c r="AS1178" i="8"/>
  <c r="CH1177" i="8"/>
  <c r="CG1177" i="8"/>
  <c r="CE1177" i="8"/>
  <c r="AS1177" i="8"/>
  <c r="CH1176" i="8"/>
  <c r="CG1176" i="8"/>
  <c r="CE1176" i="8"/>
  <c r="AS1176" i="8"/>
  <c r="CH1175" i="8"/>
  <c r="CG1175" i="8"/>
  <c r="CE1175" i="8"/>
  <c r="AS1175" i="8"/>
  <c r="CH1174" i="8"/>
  <c r="CG1174" i="8"/>
  <c r="CE1174" i="8"/>
  <c r="AS1174" i="8"/>
  <c r="CH1173" i="8"/>
  <c r="CG1173" i="8"/>
  <c r="CE1173" i="8"/>
  <c r="AS1173" i="8"/>
  <c r="CH1172" i="8"/>
  <c r="CG1172" i="8"/>
  <c r="CE1172" i="8"/>
  <c r="AS1172" i="8"/>
  <c r="CH1171" i="8"/>
  <c r="CG1171" i="8"/>
  <c r="CE1171" i="8"/>
  <c r="AS1171" i="8"/>
  <c r="CH1170" i="8"/>
  <c r="CG1170" i="8"/>
  <c r="CE1170" i="8"/>
  <c r="AS1170" i="8"/>
  <c r="CH1169" i="8"/>
  <c r="CG1169" i="8"/>
  <c r="CE1169" i="8"/>
  <c r="AS1169" i="8"/>
  <c r="CH1168" i="8"/>
  <c r="CG1168" i="8"/>
  <c r="CE1168" i="8"/>
  <c r="AS1168" i="8"/>
  <c r="CH1167" i="8"/>
  <c r="CG1167" i="8"/>
  <c r="CE1167" i="8"/>
  <c r="AS1167" i="8"/>
  <c r="CH1166" i="8"/>
  <c r="CG1166" i="8"/>
  <c r="AU1166" i="8"/>
  <c r="CE1166" i="8" s="1"/>
  <c r="AS1166" i="8"/>
  <c r="CH1165" i="8"/>
  <c r="CG1165" i="8"/>
  <c r="CE1165" i="8"/>
  <c r="AS1165" i="8"/>
  <c r="CH1164" i="8"/>
  <c r="CG1164" i="8"/>
  <c r="CE1164" i="8"/>
  <c r="AS1164" i="8"/>
  <c r="CH1163" i="8"/>
  <c r="CG1163" i="8"/>
  <c r="AU1163" i="8"/>
  <c r="CE1163" i="8" s="1"/>
  <c r="AS1163" i="8"/>
  <c r="CH1162" i="8"/>
  <c r="CG1162" i="8"/>
  <c r="CE1162" i="8"/>
  <c r="AS1162" i="8"/>
  <c r="CH1161" i="8"/>
  <c r="CG1161" i="8"/>
  <c r="CE1161" i="8"/>
  <c r="AS1161" i="8"/>
  <c r="F1161" i="8"/>
  <c r="F1162" i="8" s="1"/>
  <c r="F1163" i="8" s="1"/>
  <c r="CH1160" i="8"/>
  <c r="CG1160" i="8"/>
  <c r="CE1160" i="8"/>
  <c r="AS1160" i="8"/>
  <c r="F1160" i="8"/>
  <c r="CH1159" i="8"/>
  <c r="CG1159" i="8"/>
  <c r="CE1159" i="8"/>
  <c r="AS1159" i="8"/>
  <c r="CH1158" i="8"/>
  <c r="CG1158" i="8"/>
  <c r="CE1158" i="8"/>
  <c r="AS1158" i="8"/>
  <c r="CH1157" i="8"/>
  <c r="CG1157" i="8"/>
  <c r="CE1157" i="8"/>
  <c r="AS1157" i="8"/>
  <c r="CH1156" i="8"/>
  <c r="CG1156" i="8"/>
  <c r="CE1156" i="8"/>
  <c r="AS1156" i="8"/>
  <c r="CH1155" i="8"/>
  <c r="CG1155" i="8"/>
  <c r="CE1155" i="8"/>
  <c r="AS1155" i="8"/>
  <c r="F1155" i="8"/>
  <c r="CH1154" i="8"/>
  <c r="CG1154" i="8"/>
  <c r="CE1154" i="8"/>
  <c r="AS1154" i="8"/>
  <c r="CH1153" i="8"/>
  <c r="CG1153" i="8"/>
  <c r="CE1153" i="8"/>
  <c r="AS1153" i="8"/>
  <c r="CH1152" i="8"/>
  <c r="CG1152" i="8"/>
  <c r="CE1152" i="8"/>
  <c r="AS1152" i="8"/>
  <c r="CH1151" i="8"/>
  <c r="CG1151" i="8"/>
  <c r="CE1151" i="8"/>
  <c r="AS1151" i="8"/>
  <c r="CH1150" i="8"/>
  <c r="CG1150" i="8"/>
  <c r="CE1150" i="8"/>
  <c r="AS1150" i="8"/>
  <c r="CH1149" i="8"/>
  <c r="CG1149" i="8"/>
  <c r="CE1149" i="8"/>
  <c r="AS1149" i="8"/>
  <c r="CH1148" i="8"/>
  <c r="CG1148" i="8"/>
  <c r="CE1148" i="8"/>
  <c r="AS1148" i="8"/>
  <c r="CH1147" i="8"/>
  <c r="CG1147" i="8"/>
  <c r="CE1147" i="8"/>
  <c r="AU1147" i="8"/>
  <c r="AS1147" i="8"/>
  <c r="F1147" i="8"/>
  <c r="CH1146" i="8"/>
  <c r="CG1146" i="8"/>
  <c r="CE1146" i="8"/>
  <c r="AS1146" i="8"/>
  <c r="CH1145" i="8"/>
  <c r="CG1145" i="8"/>
  <c r="CE1145" i="8"/>
  <c r="AS1145" i="8"/>
  <c r="CH1144" i="8"/>
  <c r="CG1144" i="8"/>
  <c r="CE1144" i="8"/>
  <c r="AS1144" i="8"/>
  <c r="CH1143" i="8"/>
  <c r="CG1143" i="8"/>
  <c r="AU1143" i="8"/>
  <c r="CE1143" i="8" s="1"/>
  <c r="AS1143" i="8"/>
  <c r="CH1142" i="8"/>
  <c r="CG1142" i="8"/>
  <c r="CE1142" i="8"/>
  <c r="AU1142" i="8"/>
  <c r="AS1142" i="8"/>
  <c r="CH1141" i="8"/>
  <c r="CG1141" i="8"/>
  <c r="AU1141" i="8"/>
  <c r="CE1141" i="8" s="1"/>
  <c r="AS1141" i="8"/>
  <c r="CH1140" i="8"/>
  <c r="CG1140" i="8"/>
  <c r="CE1140" i="8"/>
  <c r="AS1140" i="8"/>
  <c r="CH1139" i="8"/>
  <c r="CG1139" i="8"/>
  <c r="CE1139" i="8"/>
  <c r="AS1139" i="8"/>
  <c r="CH1138" i="8"/>
  <c r="CG1138" i="8"/>
  <c r="CE1138" i="8"/>
  <c r="AS1138" i="8"/>
  <c r="CH1137" i="8"/>
  <c r="CG1137" i="8"/>
  <c r="CE1137" i="8"/>
  <c r="AS1137" i="8"/>
  <c r="CH1136" i="8"/>
  <c r="CG1136" i="8"/>
  <c r="CE1136" i="8"/>
  <c r="AS1136" i="8"/>
  <c r="CH1135" i="8"/>
  <c r="CG1135" i="8"/>
  <c r="CE1135" i="8"/>
  <c r="AS1135" i="8"/>
  <c r="CH1134" i="8"/>
  <c r="CG1134" i="8"/>
  <c r="CE1134" i="8"/>
  <c r="AS1134" i="8"/>
  <c r="CH1133" i="8"/>
  <c r="CG1133" i="8"/>
  <c r="CE1133" i="8"/>
  <c r="AS1133" i="8"/>
  <c r="CH1132" i="8"/>
  <c r="CG1132" i="8"/>
  <c r="CE1132" i="8"/>
  <c r="AS1132" i="8"/>
  <c r="CH1131" i="8"/>
  <c r="CG1131" i="8"/>
  <c r="CE1131" i="8"/>
  <c r="AS1131" i="8"/>
  <c r="CH1130" i="8"/>
  <c r="CG1130" i="8"/>
  <c r="CE1130" i="8"/>
  <c r="AS1130" i="8"/>
  <c r="CH1129" i="8"/>
  <c r="CG1129" i="8"/>
  <c r="AU1129" i="8"/>
  <c r="CE1129" i="8" s="1"/>
  <c r="AS1129" i="8"/>
  <c r="CH1128" i="8"/>
  <c r="CG1128" i="8"/>
  <c r="CE1128" i="8"/>
  <c r="AS1128" i="8"/>
  <c r="CH1127" i="8"/>
  <c r="CG1127" i="8"/>
  <c r="CE1127" i="8"/>
  <c r="AS1127" i="8"/>
  <c r="CH1126" i="8"/>
  <c r="CG1126" i="8"/>
  <c r="CE1126" i="8"/>
  <c r="AS1126" i="8"/>
  <c r="CH1125" i="8"/>
  <c r="CG1125" i="8"/>
  <c r="CE1125" i="8"/>
  <c r="AS1125" i="8"/>
  <c r="CH1124" i="8"/>
  <c r="CG1124" i="8"/>
  <c r="CE1124" i="8"/>
  <c r="AS1124" i="8"/>
  <c r="CH1123" i="8"/>
  <c r="CG1123" i="8"/>
  <c r="CE1123" i="8"/>
  <c r="AS1123" i="8"/>
  <c r="CH1122" i="8"/>
  <c r="CG1122" i="8"/>
  <c r="CE1122" i="8"/>
  <c r="AS1122" i="8"/>
  <c r="CH1121" i="8"/>
  <c r="CG1121" i="8"/>
  <c r="CE1121" i="8"/>
  <c r="AS1121" i="8"/>
  <c r="CH1120" i="8"/>
  <c r="CG1120" i="8"/>
  <c r="CE1120" i="8"/>
  <c r="AS1120" i="8"/>
  <c r="CH1119" i="8"/>
  <c r="CG1119" i="8"/>
  <c r="CE1119" i="8"/>
  <c r="AS1119" i="8"/>
  <c r="CH1118" i="8"/>
  <c r="CG1118" i="8"/>
  <c r="CE1118" i="8"/>
  <c r="AS1118" i="8"/>
  <c r="CH1117" i="8"/>
  <c r="CG1117" i="8"/>
  <c r="CE1117" i="8"/>
  <c r="AS1117" i="8"/>
  <c r="CH1116" i="8"/>
  <c r="CG1116" i="8"/>
  <c r="CE1116" i="8"/>
  <c r="AS1116" i="8"/>
  <c r="CH1115" i="8"/>
  <c r="CG1115" i="8"/>
  <c r="CE1115" i="8"/>
  <c r="AS1115" i="8"/>
  <c r="CH1114" i="8"/>
  <c r="CG1114" i="8"/>
  <c r="AU1114" i="8"/>
  <c r="CE1114" i="8" s="1"/>
  <c r="AS1114" i="8"/>
  <c r="CH1113" i="8"/>
  <c r="CG1113" i="8"/>
  <c r="AU1113" i="8"/>
  <c r="CE1113" i="8" s="1"/>
  <c r="AS1113" i="8"/>
  <c r="CH1112" i="8"/>
  <c r="CG1112" i="8"/>
  <c r="CE1112" i="8"/>
  <c r="AS1112" i="8"/>
  <c r="CH1111" i="8"/>
  <c r="CG1111" i="8"/>
  <c r="CE1111" i="8"/>
  <c r="AS1111" i="8"/>
  <c r="CH1110" i="8"/>
  <c r="CG1110" i="8"/>
  <c r="CE1110" i="8"/>
  <c r="AS1110" i="8"/>
  <c r="CH1109" i="8"/>
  <c r="CG1109" i="8"/>
  <c r="CE1109" i="8"/>
  <c r="AU1109" i="8"/>
  <c r="AS1109" i="8"/>
  <c r="CH1108" i="8"/>
  <c r="CG1108" i="8"/>
  <c r="AU1108" i="8"/>
  <c r="AS1108" i="8"/>
  <c r="CH1107" i="8"/>
  <c r="CG1107" i="8"/>
  <c r="CE1107" i="8"/>
  <c r="AS1107" i="8"/>
  <c r="CH1106" i="8"/>
  <c r="CG1106" i="8"/>
  <c r="CE1106" i="8"/>
  <c r="AS1106" i="8"/>
  <c r="CH1105" i="8"/>
  <c r="CG1105" i="8"/>
  <c r="CE1105" i="8"/>
  <c r="AS1105" i="8"/>
  <c r="CH1104" i="8"/>
  <c r="CG1104" i="8"/>
  <c r="CE1104" i="8"/>
  <c r="AS1104" i="8"/>
  <c r="CH1103" i="8"/>
  <c r="CG1103" i="8"/>
  <c r="CE1103" i="8"/>
  <c r="AS1103" i="8"/>
  <c r="CH1102" i="8"/>
  <c r="CG1102" i="8"/>
  <c r="CE1102" i="8"/>
  <c r="AS1102" i="8"/>
  <c r="CH1101" i="8"/>
  <c r="CG1101" i="8"/>
  <c r="CE1101" i="8"/>
  <c r="AS1101" i="8"/>
  <c r="CH1100" i="8"/>
  <c r="CG1100" i="8"/>
  <c r="CE1100" i="8"/>
  <c r="AS1100" i="8"/>
  <c r="CH1099" i="8"/>
  <c r="CG1099" i="8"/>
  <c r="CE1099" i="8"/>
  <c r="AS1099" i="8"/>
  <c r="CH1098" i="8"/>
  <c r="CG1098" i="8"/>
  <c r="CE1098" i="8"/>
  <c r="AS1098" i="8"/>
  <c r="CH1097" i="8"/>
  <c r="CG1097" i="8"/>
  <c r="CE1097" i="8"/>
  <c r="AS1097" i="8"/>
  <c r="CH1096" i="8"/>
  <c r="CG1096" i="8"/>
  <c r="CE1096" i="8"/>
  <c r="AS1096" i="8"/>
  <c r="CH1095" i="8"/>
  <c r="CG1095" i="8"/>
  <c r="CE1095" i="8"/>
  <c r="AS1095" i="8"/>
  <c r="CH1094" i="8"/>
  <c r="CG1094" i="8"/>
  <c r="CE1094" i="8"/>
  <c r="AS1094" i="8"/>
  <c r="CH1093" i="8"/>
  <c r="CG1093" i="8"/>
  <c r="CE1093" i="8"/>
  <c r="AS1093" i="8"/>
  <c r="CH1092" i="8"/>
  <c r="CG1092" i="8"/>
  <c r="CE1092" i="8"/>
  <c r="AS1092" i="8"/>
  <c r="CH1091" i="8"/>
  <c r="CG1091" i="8"/>
  <c r="CE1091" i="8"/>
  <c r="AS1091" i="8"/>
  <c r="CH1090" i="8"/>
  <c r="CG1090" i="8"/>
  <c r="CE1090" i="8"/>
  <c r="AS1090" i="8"/>
  <c r="CH1089" i="8"/>
  <c r="CG1089" i="8"/>
  <c r="CE1089" i="8"/>
  <c r="AS1089" i="8"/>
  <c r="CH1088" i="8"/>
  <c r="CG1088" i="8"/>
  <c r="CE1088" i="8"/>
  <c r="AS1088" i="8"/>
  <c r="CH1087" i="8"/>
  <c r="CG1087" i="8"/>
  <c r="CE1087" i="8"/>
  <c r="AS1087" i="8"/>
  <c r="CH1086" i="8"/>
  <c r="CG1086" i="8"/>
  <c r="CE1086" i="8"/>
  <c r="AS1086" i="8"/>
  <c r="CH1085" i="8"/>
  <c r="CG1085" i="8"/>
  <c r="CE1085" i="8"/>
  <c r="AS1085" i="8"/>
  <c r="CH1083" i="8"/>
  <c r="CG1083" i="8"/>
  <c r="AW1083" i="8"/>
  <c r="AV1083" i="8"/>
  <c r="AS1083" i="8"/>
  <c r="CH1082" i="8"/>
  <c r="CG1082" i="8"/>
  <c r="AW1082" i="8"/>
  <c r="AV1082" i="8"/>
  <c r="AU1082" i="8"/>
  <c r="AS1082" i="8"/>
  <c r="CH1081" i="8"/>
  <c r="CG1081" i="8"/>
  <c r="AW1081" i="8"/>
  <c r="AV1081" i="8"/>
  <c r="AU1081" i="8"/>
  <c r="AS1081" i="8"/>
  <c r="CH1080" i="8"/>
  <c r="CG1080" i="8"/>
  <c r="AW1080" i="8"/>
  <c r="AV1080" i="8"/>
  <c r="AU1080" i="8"/>
  <c r="AS1080" i="8"/>
  <c r="CH1079" i="8"/>
  <c r="CG1079" i="8"/>
  <c r="AW1079" i="8"/>
  <c r="AV1079" i="8"/>
  <c r="AU1079" i="8"/>
  <c r="AS1079" i="8"/>
  <c r="CH1078" i="8"/>
  <c r="CG1078" i="8"/>
  <c r="CE1078" i="8"/>
  <c r="AS1078" i="8"/>
  <c r="CH1077" i="8"/>
  <c r="CG1077" i="8"/>
  <c r="CE1077" i="8"/>
  <c r="AS1077" i="8"/>
  <c r="CH1076" i="8"/>
  <c r="CG1076" i="8"/>
  <c r="CE1076" i="8"/>
  <c r="AS1076" i="8"/>
  <c r="CH1075" i="8"/>
  <c r="CG1075" i="8"/>
  <c r="CE1075" i="8"/>
  <c r="AS1075" i="8"/>
  <c r="CH1074" i="8"/>
  <c r="CG1074" i="8"/>
  <c r="CE1074" i="8"/>
  <c r="AS1074" i="8"/>
  <c r="CH1073" i="8"/>
  <c r="CG1073" i="8"/>
  <c r="CE1073" i="8"/>
  <c r="AS1073" i="8"/>
  <c r="CH1072" i="8"/>
  <c r="CG1072" i="8"/>
  <c r="AU1072" i="8"/>
  <c r="CE1072" i="8" s="1"/>
  <c r="AS1072" i="8"/>
  <c r="CH1071" i="8"/>
  <c r="CG1071" i="8"/>
  <c r="CE1071" i="8"/>
  <c r="AS1071" i="8"/>
  <c r="CH1070" i="8"/>
  <c r="CG1070" i="8"/>
  <c r="CE1070" i="8"/>
  <c r="AS1070" i="8"/>
  <c r="CP1069" i="8"/>
  <c r="CO1069" i="8"/>
  <c r="CN1069" i="8"/>
  <c r="CM1069" i="8"/>
  <c r="CL1069" i="8"/>
  <c r="CK1069" i="8"/>
  <c r="CJ1069" i="8"/>
  <c r="CI1069" i="8"/>
  <c r="CD1069" i="8"/>
  <c r="CC1069" i="8"/>
  <c r="CB1069" i="8"/>
  <c r="CA1069" i="8"/>
  <c r="BZ1069" i="8"/>
  <c r="BY1069" i="8"/>
  <c r="BX1069" i="8"/>
  <c r="BW1069" i="8"/>
  <c r="BV1069" i="8"/>
  <c r="BU1069" i="8"/>
  <c r="BT1069" i="8"/>
  <c r="BS1069" i="8"/>
  <c r="BR1069" i="8"/>
  <c r="BQ1069" i="8"/>
  <c r="BP1069" i="8"/>
  <c r="BO1069" i="8"/>
  <c r="BN1069" i="8"/>
  <c r="BM1069" i="8"/>
  <c r="BL1069" i="8"/>
  <c r="BK1069" i="8"/>
  <c r="BJ1069" i="8"/>
  <c r="BH1069" i="8"/>
  <c r="BG1069" i="8"/>
  <c r="BF1069" i="8"/>
  <c r="BE1069" i="8"/>
  <c r="BD1069" i="8"/>
  <c r="BC1069" i="8"/>
  <c r="BB1069" i="8"/>
  <c r="BA1069" i="8"/>
  <c r="AZ1069" i="8"/>
  <c r="AY1069" i="8"/>
  <c r="AX1069" i="8"/>
  <c r="AW1069" i="8"/>
  <c r="AT1069" i="8"/>
  <c r="AR1069" i="8"/>
  <c r="AQ1069" i="8"/>
  <c r="AP1069" i="8"/>
  <c r="AO1069" i="8"/>
  <c r="AN1069" i="8"/>
  <c r="AM1069" i="8"/>
  <c r="AL1069" i="8"/>
  <c r="AK1069" i="8"/>
  <c r="AJ1069" i="8"/>
  <c r="AI1069" i="8"/>
  <c r="AH1069" i="8"/>
  <c r="AG1069" i="8"/>
  <c r="AF1069" i="8"/>
  <c r="AE1069" i="8"/>
  <c r="AD1069" i="8"/>
  <c r="AC1069" i="8"/>
  <c r="AB1069" i="8"/>
  <c r="AA1069" i="8"/>
  <c r="Z1069" i="8"/>
  <c r="Y1069" i="8"/>
  <c r="X1069" i="8"/>
  <c r="W1069" i="8"/>
  <c r="V1069" i="8"/>
  <c r="U1069" i="8"/>
  <c r="T1069" i="8"/>
  <c r="S1069" i="8"/>
  <c r="R1069" i="8"/>
  <c r="Q1069" i="8"/>
  <c r="P1069" i="8"/>
  <c r="O1069" i="8"/>
  <c r="N1069" i="8"/>
  <c r="M1069" i="8"/>
  <c r="L1069" i="8"/>
  <c r="K1069" i="8"/>
  <c r="J1069" i="8"/>
  <c r="I1069" i="8"/>
  <c r="H1069" i="8"/>
  <c r="CH1068" i="8"/>
  <c r="CG1068" i="8"/>
  <c r="CE1068" i="8"/>
  <c r="AS1068" i="8"/>
  <c r="CH1067" i="8"/>
  <c r="CG1067" i="8"/>
  <c r="BI1067" i="8"/>
  <c r="CE1067" i="8" s="1"/>
  <c r="AS1067" i="8"/>
  <c r="CH1066" i="8"/>
  <c r="CG1066" i="8"/>
  <c r="BI1066" i="8"/>
  <c r="AU1066" i="8"/>
  <c r="CE1066" i="8" s="1"/>
  <c r="AS1066" i="8"/>
  <c r="CH1065" i="8"/>
  <c r="CG1065" i="8"/>
  <c r="CE1065" i="8"/>
  <c r="AS1065" i="8"/>
  <c r="CH1064" i="8"/>
  <c r="CG1064" i="8"/>
  <c r="CE1064" i="8"/>
  <c r="AS1064" i="8"/>
  <c r="CH1063" i="8"/>
  <c r="CG1063" i="8"/>
  <c r="BI1063" i="8"/>
  <c r="AU1063" i="8"/>
  <c r="AS1063" i="8"/>
  <c r="CH1062" i="8"/>
  <c r="CG1062" i="8"/>
  <c r="BI1062" i="8"/>
  <c r="CE1062" i="8" s="1"/>
  <c r="AS1062" i="8"/>
  <c r="CH1061" i="8"/>
  <c r="CG1061" i="8"/>
  <c r="CE1061" i="8"/>
  <c r="AS1061" i="8"/>
  <c r="CH1060" i="8"/>
  <c r="CG1060" i="8"/>
  <c r="BI1060" i="8"/>
  <c r="CE1060" i="8" s="1"/>
  <c r="AS1060" i="8"/>
  <c r="CH1059" i="8"/>
  <c r="CG1059" i="8"/>
  <c r="CE1059" i="8"/>
  <c r="AS1059" i="8"/>
  <c r="CH1058" i="8"/>
  <c r="CG1058" i="8"/>
  <c r="CE1058" i="8"/>
  <c r="AS1058" i="8"/>
  <c r="CH1057" i="8"/>
  <c r="CG1057" i="8"/>
  <c r="CE1057" i="8"/>
  <c r="AS1057" i="8"/>
  <c r="CH1056" i="8"/>
  <c r="CG1056" i="8"/>
  <c r="CE1056" i="8"/>
  <c r="AS1056" i="8"/>
  <c r="CH1055" i="8"/>
  <c r="CG1055" i="8"/>
  <c r="CE1055" i="8"/>
  <c r="AS1055" i="8"/>
  <c r="CH1054" i="8"/>
  <c r="CG1054" i="8"/>
  <c r="CE1054" i="8"/>
  <c r="AS1054" i="8"/>
  <c r="CH1053" i="8"/>
  <c r="CG1053" i="8"/>
  <c r="CE1053" i="8"/>
  <c r="AS1053" i="8"/>
  <c r="CH1052" i="8"/>
  <c r="CG1052" i="8"/>
  <c r="CE1052" i="8"/>
  <c r="AS1052" i="8"/>
  <c r="CH1051" i="8"/>
  <c r="CG1051" i="8"/>
  <c r="CE1051" i="8"/>
  <c r="AS1051" i="8"/>
  <c r="CH1050" i="8"/>
  <c r="CG1050" i="8"/>
  <c r="CE1050" i="8"/>
  <c r="AS1050" i="8"/>
  <c r="CH1049" i="8"/>
  <c r="CG1049" i="8"/>
  <c r="CE1049" i="8"/>
  <c r="AS1049" i="8"/>
  <c r="CH1048" i="8"/>
  <c r="CG1048" i="8"/>
  <c r="CE1048" i="8"/>
  <c r="AS1048" i="8"/>
  <c r="CH1047" i="8"/>
  <c r="CG1047" i="8"/>
  <c r="CE1047" i="8"/>
  <c r="AS1047" i="8"/>
  <c r="CH1046" i="8"/>
  <c r="CG1046" i="8"/>
  <c r="CE1046" i="8"/>
  <c r="AS1046" i="8"/>
  <c r="CH1045" i="8"/>
  <c r="CG1045" i="8"/>
  <c r="CE1045" i="8"/>
  <c r="AS1045" i="8"/>
  <c r="CH1044" i="8"/>
  <c r="CG1044" i="8"/>
  <c r="CE1044" i="8"/>
  <c r="AS1044" i="8"/>
  <c r="CH1043" i="8"/>
  <c r="CG1043" i="8"/>
  <c r="CE1043" i="8"/>
  <c r="AS1043" i="8"/>
  <c r="CH1042" i="8"/>
  <c r="CG1042" i="8"/>
  <c r="CE1042" i="8"/>
  <c r="AS1042" i="8"/>
  <c r="CH1041" i="8"/>
  <c r="CG1041" i="8"/>
  <c r="CE1041" i="8"/>
  <c r="AS1041" i="8"/>
  <c r="CH1040" i="8"/>
  <c r="CG1040" i="8"/>
  <c r="CE1040" i="8"/>
  <c r="AS1040" i="8"/>
  <c r="CH1039" i="8"/>
  <c r="CG1039" i="8"/>
  <c r="AV1039" i="8"/>
  <c r="AU1039" i="8"/>
  <c r="AS1039" i="8"/>
  <c r="CH1038" i="8"/>
  <c r="CG1038" i="8"/>
  <c r="AV1038" i="8"/>
  <c r="AU1038" i="8"/>
  <c r="AS1038" i="8"/>
  <c r="CH1037" i="8"/>
  <c r="CG1037" i="8"/>
  <c r="CE1037" i="8"/>
  <c r="AS1037" i="8"/>
  <c r="CH1036" i="8"/>
  <c r="CG1036" i="8"/>
  <c r="CE1036" i="8"/>
  <c r="AS1036" i="8"/>
  <c r="CH1035" i="8"/>
  <c r="CG1035" i="8"/>
  <c r="CE1035" i="8"/>
  <c r="AS1035" i="8"/>
  <c r="F1035" i="8"/>
  <c r="CH1034" i="8"/>
  <c r="CG1034" i="8"/>
  <c r="AV1034" i="8"/>
  <c r="CE1034" i="8" s="1"/>
  <c r="AU1034" i="8"/>
  <c r="AS1034" i="8"/>
  <c r="CH1033" i="8"/>
  <c r="CG1033" i="8"/>
  <c r="CE1033" i="8"/>
  <c r="AS1033" i="8"/>
  <c r="F1033" i="8"/>
  <c r="F1036" i="8" s="1"/>
  <c r="CH1032" i="8"/>
  <c r="CG1032" i="8"/>
  <c r="CE1032" i="8"/>
  <c r="AS1032" i="8"/>
  <c r="CH1031" i="8"/>
  <c r="CG1031" i="8"/>
  <c r="CE1031" i="8"/>
  <c r="AS1031" i="8"/>
  <c r="CH1030" i="8"/>
  <c r="CG1030" i="8"/>
  <c r="AV1030" i="8"/>
  <c r="CE1030" i="8" s="1"/>
  <c r="AU1030" i="8"/>
  <c r="AS1030" i="8"/>
  <c r="CH1029" i="8"/>
  <c r="CG1029" i="8"/>
  <c r="CE1029" i="8"/>
  <c r="AS1029" i="8"/>
  <c r="CH1028" i="8"/>
  <c r="CG1028" i="8"/>
  <c r="CE1028" i="8"/>
  <c r="AS1028" i="8"/>
  <c r="CH1027" i="8"/>
  <c r="CG1027" i="8"/>
  <c r="CE1027" i="8"/>
  <c r="AS1027" i="8"/>
  <c r="CH1026" i="8"/>
  <c r="CG1026" i="8"/>
  <c r="AU1026" i="8"/>
  <c r="AS1026" i="8"/>
  <c r="CH1025" i="8"/>
  <c r="CG1025" i="8"/>
  <c r="CE1025" i="8"/>
  <c r="AS1025" i="8"/>
  <c r="F1025" i="8"/>
  <c r="CH1024" i="8"/>
  <c r="CG1024" i="8"/>
  <c r="CE1024" i="8"/>
  <c r="AS1024" i="8"/>
  <c r="F1024" i="8"/>
  <c r="CH1023" i="8"/>
  <c r="CG1023" i="8"/>
  <c r="CE1023" i="8"/>
  <c r="AS1023" i="8"/>
  <c r="CH1022" i="8"/>
  <c r="CG1022" i="8"/>
  <c r="CE1022" i="8"/>
  <c r="AS1022" i="8"/>
  <c r="CH1021" i="8"/>
  <c r="CG1021" i="8"/>
  <c r="CE1021" i="8"/>
  <c r="AS1021" i="8"/>
  <c r="CH1020" i="8"/>
  <c r="CG1020" i="8"/>
  <c r="CE1020" i="8"/>
  <c r="AS1020" i="8"/>
  <c r="CH1019" i="8"/>
  <c r="CG1019" i="8"/>
  <c r="CE1019" i="8"/>
  <c r="AS1019" i="8"/>
  <c r="CH1018" i="8"/>
  <c r="CG1018" i="8"/>
  <c r="CE1018" i="8"/>
  <c r="AS1018" i="8"/>
  <c r="CH1017" i="8"/>
  <c r="CG1017" i="8"/>
  <c r="CE1017" i="8"/>
  <c r="AS1017" i="8"/>
  <c r="CH1016" i="8"/>
  <c r="CG1016" i="8"/>
  <c r="CE1016" i="8"/>
  <c r="AS1016" i="8"/>
  <c r="CH1015" i="8"/>
  <c r="CG1015" i="8"/>
  <c r="AU1015" i="8"/>
  <c r="AS1015" i="8"/>
  <c r="CH1014" i="8"/>
  <c r="CG1014" i="8"/>
  <c r="CE1014" i="8"/>
  <c r="AS1014" i="8"/>
  <c r="CH1013" i="8"/>
  <c r="CG1013" i="8"/>
  <c r="CE1013" i="8"/>
  <c r="AS1013" i="8"/>
  <c r="CH1012" i="8"/>
  <c r="CG1012" i="8"/>
  <c r="CE1012" i="8"/>
  <c r="AS1012" i="8"/>
  <c r="CH1011" i="8"/>
  <c r="CG1011" i="8"/>
  <c r="CE1011" i="8"/>
  <c r="AS1011" i="8"/>
  <c r="CH1010" i="8"/>
  <c r="CG1010" i="8"/>
  <c r="CE1010" i="8"/>
  <c r="AS1010" i="8"/>
  <c r="CH1009" i="8"/>
  <c r="CG1009" i="8"/>
  <c r="AU1009" i="8"/>
  <c r="CE1009" i="8" s="1"/>
  <c r="AS1009" i="8"/>
  <c r="CH1008" i="8"/>
  <c r="CG1008" i="8"/>
  <c r="CE1008" i="8"/>
  <c r="AS1008" i="8"/>
  <c r="CH1007" i="8"/>
  <c r="CG1007" i="8"/>
  <c r="AU1007" i="8"/>
  <c r="CE1007" i="8" s="1"/>
  <c r="AS1007" i="8"/>
  <c r="CH1006" i="8"/>
  <c r="CG1006" i="8"/>
  <c r="CE1006" i="8"/>
  <c r="AS1006" i="8"/>
  <c r="CH1005" i="8"/>
  <c r="CG1005" i="8"/>
  <c r="CE1005" i="8"/>
  <c r="AS1005" i="8"/>
  <c r="CH1004" i="8"/>
  <c r="CG1004" i="8"/>
  <c r="CE1004" i="8"/>
  <c r="AS1004" i="8"/>
  <c r="CH1003" i="8"/>
  <c r="CG1003" i="8"/>
  <c r="CE1003" i="8"/>
  <c r="AS1003" i="8"/>
  <c r="CH1002" i="8"/>
  <c r="CG1002" i="8"/>
  <c r="CE1002" i="8"/>
  <c r="AS1002" i="8"/>
  <c r="CH1001" i="8"/>
  <c r="CG1001" i="8"/>
  <c r="CE1001" i="8"/>
  <c r="AS1001" i="8"/>
  <c r="CH1000" i="8"/>
  <c r="CG1000" i="8"/>
  <c r="CE1000" i="8"/>
  <c r="AS1000" i="8"/>
  <c r="CH999" i="8"/>
  <c r="CG999" i="8"/>
  <c r="CE999" i="8"/>
  <c r="AS999" i="8"/>
  <c r="CH998" i="8"/>
  <c r="CG998" i="8"/>
  <c r="CE998" i="8"/>
  <c r="AS998" i="8"/>
  <c r="CH997" i="8"/>
  <c r="CG997" i="8"/>
  <c r="CE997" i="8"/>
  <c r="AS997" i="8"/>
  <c r="CH996" i="8"/>
  <c r="CG996" i="8"/>
  <c r="CE996" i="8"/>
  <c r="AS996" i="8"/>
  <c r="CH995" i="8"/>
  <c r="CG995" i="8"/>
  <c r="CE995" i="8"/>
  <c r="AS995" i="8"/>
  <c r="CH994" i="8"/>
  <c r="CG994" i="8"/>
  <c r="CE994" i="8"/>
  <c r="AS994" i="8"/>
  <c r="CH993" i="8"/>
  <c r="CG993" i="8"/>
  <c r="CE993" i="8"/>
  <c r="AS993" i="8"/>
  <c r="CH992" i="8"/>
  <c r="CG992" i="8"/>
  <c r="CE992" i="8"/>
  <c r="AS992" i="8"/>
  <c r="CH991" i="8"/>
  <c r="CG991" i="8"/>
  <c r="CE991" i="8"/>
  <c r="AS991" i="8"/>
  <c r="CH990" i="8"/>
  <c r="CG990" i="8"/>
  <c r="CE990" i="8"/>
  <c r="AS990" i="8"/>
  <c r="CH989" i="8"/>
  <c r="CG989" i="8"/>
  <c r="AU989" i="8"/>
  <c r="CE989" i="8" s="1"/>
  <c r="AS989" i="8"/>
  <c r="CH988" i="8"/>
  <c r="CG988" i="8"/>
  <c r="CE988" i="8"/>
  <c r="AS988" i="8"/>
  <c r="CH987" i="8"/>
  <c r="CG987" i="8"/>
  <c r="CE987" i="8"/>
  <c r="AS987" i="8"/>
  <c r="CH986" i="8"/>
  <c r="CG986" i="8"/>
  <c r="CE986" i="8"/>
  <c r="AS986" i="8"/>
  <c r="CH985" i="8"/>
  <c r="CG985" i="8"/>
  <c r="CE985" i="8"/>
  <c r="AS985" i="8"/>
  <c r="CH984" i="8"/>
  <c r="CG984" i="8"/>
  <c r="CE984" i="8"/>
  <c r="AS984" i="8"/>
  <c r="CH983" i="8"/>
  <c r="CG983" i="8"/>
  <c r="AU983" i="8"/>
  <c r="CE983" i="8" s="1"/>
  <c r="AS983" i="8"/>
  <c r="CH982" i="8"/>
  <c r="CG982" i="8"/>
  <c r="CE982" i="8"/>
  <c r="AS982" i="8"/>
  <c r="CH981" i="8"/>
  <c r="CG981" i="8"/>
  <c r="CE981" i="8"/>
  <c r="AS981" i="8"/>
  <c r="CH980" i="8"/>
  <c r="CG980" i="8"/>
  <c r="CE980" i="8"/>
  <c r="AS980" i="8"/>
  <c r="CH979" i="8"/>
  <c r="CG979" i="8"/>
  <c r="CE979" i="8"/>
  <c r="AS979" i="8"/>
  <c r="CH978" i="8"/>
  <c r="CG978" i="8"/>
  <c r="CE978" i="8"/>
  <c r="AS978" i="8"/>
  <c r="CH977" i="8"/>
  <c r="CG977" i="8"/>
  <c r="CE977" i="8"/>
  <c r="AS977" i="8"/>
  <c r="CH976" i="8"/>
  <c r="CG976" i="8"/>
  <c r="CE976" i="8"/>
  <c r="AS976" i="8"/>
  <c r="CH975" i="8"/>
  <c r="CG975" i="8"/>
  <c r="CE975" i="8"/>
  <c r="AS975" i="8"/>
  <c r="CH974" i="8"/>
  <c r="CG974" i="8"/>
  <c r="CE974" i="8"/>
  <c r="AS974" i="8"/>
  <c r="CH973" i="8"/>
  <c r="CG973" i="8"/>
  <c r="CE973" i="8"/>
  <c r="AS973" i="8"/>
  <c r="CH972" i="8"/>
  <c r="CG972" i="8"/>
  <c r="CE972" i="8"/>
  <c r="AS972" i="8"/>
  <c r="CH971" i="8"/>
  <c r="CG971" i="8"/>
  <c r="CE971" i="8"/>
  <c r="AS971" i="8"/>
  <c r="CH970" i="8"/>
  <c r="CG970" i="8"/>
  <c r="CE970" i="8"/>
  <c r="AS970" i="8"/>
  <c r="CH969" i="8"/>
  <c r="CG969" i="8"/>
  <c r="CE969" i="8"/>
  <c r="AS969" i="8"/>
  <c r="CH968" i="8"/>
  <c r="CG968" i="8"/>
  <c r="CE968" i="8"/>
  <c r="AS968" i="8"/>
  <c r="CH967" i="8"/>
  <c r="CG967" i="8"/>
  <c r="CE967" i="8"/>
  <c r="AS967" i="8"/>
  <c r="CH966" i="8"/>
  <c r="CG966" i="8"/>
  <c r="CE966" i="8"/>
  <c r="AS966" i="8"/>
  <c r="CH965" i="8"/>
  <c r="CG965" i="8"/>
  <c r="CE965" i="8"/>
  <c r="AS965" i="8"/>
  <c r="CH964" i="8"/>
  <c r="CG964" i="8"/>
  <c r="AU964" i="8"/>
  <c r="CE964" i="8" s="1"/>
  <c r="AS964" i="8"/>
  <c r="CH963" i="8"/>
  <c r="CG963" i="8"/>
  <c r="CE963" i="8"/>
  <c r="AS963" i="8"/>
  <c r="CH962" i="8"/>
  <c r="CG962" i="8"/>
  <c r="AV962" i="8"/>
  <c r="CE962" i="8" s="1"/>
  <c r="AU962" i="8"/>
  <c r="AS962" i="8"/>
  <c r="CH961" i="8"/>
  <c r="CG961" i="8"/>
  <c r="CE961" i="8"/>
  <c r="AS961" i="8"/>
  <c r="CH960" i="8"/>
  <c r="CG960" i="8"/>
  <c r="CE960" i="8"/>
  <c r="AS960" i="8"/>
  <c r="CH959" i="8"/>
  <c r="CG959" i="8"/>
  <c r="CE959" i="8"/>
  <c r="AS959" i="8"/>
  <c r="CH958" i="8"/>
  <c r="CG958" i="8"/>
  <c r="CE958" i="8"/>
  <c r="AS958" i="8"/>
  <c r="CH957" i="8"/>
  <c r="CG957" i="8"/>
  <c r="CE957" i="8"/>
  <c r="AS957" i="8"/>
  <c r="CH956" i="8"/>
  <c r="CG956" i="8"/>
  <c r="CE956" i="8"/>
  <c r="AS956" i="8"/>
  <c r="CH955" i="8"/>
  <c r="CG955" i="8"/>
  <c r="CE955" i="8"/>
  <c r="AS955" i="8"/>
  <c r="CH954" i="8"/>
  <c r="CG954" i="8"/>
  <c r="CE954" i="8"/>
  <c r="AS954" i="8"/>
  <c r="CH953" i="8"/>
  <c r="CG953" i="8"/>
  <c r="CE953" i="8"/>
  <c r="AS953" i="8"/>
  <c r="CH952" i="8"/>
  <c r="CG952" i="8"/>
  <c r="CE952" i="8"/>
  <c r="AS952" i="8"/>
  <c r="CH951" i="8"/>
  <c r="CG951" i="8"/>
  <c r="CE951" i="8"/>
  <c r="AS951" i="8"/>
  <c r="CH950" i="8"/>
  <c r="CG950" i="8"/>
  <c r="CE950" i="8"/>
  <c r="AS950" i="8"/>
  <c r="CH949" i="8"/>
  <c r="CG949" i="8"/>
  <c r="CE949" i="8"/>
  <c r="AS949" i="8"/>
  <c r="CH948" i="8"/>
  <c r="CG948" i="8"/>
  <c r="CE948" i="8"/>
  <c r="AS948" i="8"/>
  <c r="CH947" i="8"/>
  <c r="CG947" i="8"/>
  <c r="CE947" i="8"/>
  <c r="AS947" i="8"/>
  <c r="CH946" i="8"/>
  <c r="CG946" i="8"/>
  <c r="CE946" i="8"/>
  <c r="AS946" i="8"/>
  <c r="CH945" i="8"/>
  <c r="CG945" i="8"/>
  <c r="CE945" i="8"/>
  <c r="AS945" i="8"/>
  <c r="CH944" i="8"/>
  <c r="CG944" i="8"/>
  <c r="CE944" i="8"/>
  <c r="AS944" i="8"/>
  <c r="CH943" i="8"/>
  <c r="CG943" i="8"/>
  <c r="CE943" i="8"/>
  <c r="AS943" i="8"/>
  <c r="CH942" i="8"/>
  <c r="CG942" i="8"/>
  <c r="CE942" i="8"/>
  <c r="AS942" i="8"/>
  <c r="CH941" i="8"/>
  <c r="CG941" i="8"/>
  <c r="CE941" i="8"/>
  <c r="AS941" i="8"/>
  <c r="CH940" i="8"/>
  <c r="CG940" i="8"/>
  <c r="CE940" i="8"/>
  <c r="AS940" i="8"/>
  <c r="CH939" i="8"/>
  <c r="CG939" i="8"/>
  <c r="CE939" i="8"/>
  <c r="AS939" i="8"/>
  <c r="CH938" i="8"/>
  <c r="CG938" i="8"/>
  <c r="CE938" i="8"/>
  <c r="AS938" i="8"/>
  <c r="CH937" i="8"/>
  <c r="CG937" i="8"/>
  <c r="CE937" i="8"/>
  <c r="AS937" i="8"/>
  <c r="CH936" i="8"/>
  <c r="CG936" i="8"/>
  <c r="CE936" i="8"/>
  <c r="AS936" i="8"/>
  <c r="CH935" i="8"/>
  <c r="CG935" i="8"/>
  <c r="CE935" i="8"/>
  <c r="AS935" i="8"/>
  <c r="CH934" i="8"/>
  <c r="CG934" i="8"/>
  <c r="CE934" i="8"/>
  <c r="AS934" i="8"/>
  <c r="CH933" i="8"/>
  <c r="CG933" i="8"/>
  <c r="CE933" i="8"/>
  <c r="AS933" i="8"/>
  <c r="CH932" i="8"/>
  <c r="CG932" i="8"/>
  <c r="CE932" i="8"/>
  <c r="AS932" i="8"/>
  <c r="CH931" i="8"/>
  <c r="CG931" i="8"/>
  <c r="CE931" i="8"/>
  <c r="AS931" i="8"/>
  <c r="CH930" i="8"/>
  <c r="CG930" i="8"/>
  <c r="CE930" i="8"/>
  <c r="AS930" i="8"/>
  <c r="CH929" i="8"/>
  <c r="CG929" i="8"/>
  <c r="AU929" i="8"/>
  <c r="CE929" i="8" s="1"/>
  <c r="AS929" i="8"/>
  <c r="CH928" i="8"/>
  <c r="CG928" i="8"/>
  <c r="CE928" i="8"/>
  <c r="AS928" i="8"/>
  <c r="CH927" i="8"/>
  <c r="CG927" i="8"/>
  <c r="CE927" i="8"/>
  <c r="AS927" i="8"/>
  <c r="CH926" i="8"/>
  <c r="CG926" i="8"/>
  <c r="CE926" i="8"/>
  <c r="AS926" i="8"/>
  <c r="CH925" i="8"/>
  <c r="CG925" i="8"/>
  <c r="CE925" i="8"/>
  <c r="AS925" i="8"/>
  <c r="CH924" i="8"/>
  <c r="CG924" i="8"/>
  <c r="CE924" i="8"/>
  <c r="AS924" i="8"/>
  <c r="CH923" i="8"/>
  <c r="CG923" i="8"/>
  <c r="CE923" i="8"/>
  <c r="AS923" i="8"/>
  <c r="CH922" i="8"/>
  <c r="CG922" i="8"/>
  <c r="CE922" i="8"/>
  <c r="AS922" i="8"/>
  <c r="CH921" i="8"/>
  <c r="CG921" i="8"/>
  <c r="CE921" i="8"/>
  <c r="AS921" i="8"/>
  <c r="CH920" i="8"/>
  <c r="CG920" i="8"/>
  <c r="CE920" i="8"/>
  <c r="AS920" i="8"/>
  <c r="CH919" i="8"/>
  <c r="CG919" i="8"/>
  <c r="CE919" i="8"/>
  <c r="AS919" i="8"/>
  <c r="CH918" i="8"/>
  <c r="CG918" i="8"/>
  <c r="CE918" i="8"/>
  <c r="AS918" i="8"/>
  <c r="CH917" i="8"/>
  <c r="CG917" i="8"/>
  <c r="CE917" i="8"/>
  <c r="AS917" i="8"/>
  <c r="CH916" i="8"/>
  <c r="CG916" i="8"/>
  <c r="CE916" i="8"/>
  <c r="AS916" i="8"/>
  <c r="CH915" i="8"/>
  <c r="CG915" i="8"/>
  <c r="CE915" i="8"/>
  <c r="AS915" i="8"/>
  <c r="CH914" i="8"/>
  <c r="CG914" i="8"/>
  <c r="CE914" i="8"/>
  <c r="AS914" i="8"/>
  <c r="CH913" i="8"/>
  <c r="CG913" i="8"/>
  <c r="CE913" i="8"/>
  <c r="AS913" i="8"/>
  <c r="CH912" i="8"/>
  <c r="CG912" i="8"/>
  <c r="CE912" i="8"/>
  <c r="AS912" i="8"/>
  <c r="CH911" i="8"/>
  <c r="CG911" i="8"/>
  <c r="CE911" i="8"/>
  <c r="AS911" i="8"/>
  <c r="CH910" i="8"/>
  <c r="CG910" i="8"/>
  <c r="AU910" i="8"/>
  <c r="CE910" i="8" s="1"/>
  <c r="AS910" i="8"/>
  <c r="CH909" i="8"/>
  <c r="CG909" i="8"/>
  <c r="CE909" i="8"/>
  <c r="AS909" i="8"/>
  <c r="CH908" i="8"/>
  <c r="CG908" i="8"/>
  <c r="AU908" i="8"/>
  <c r="CE908" i="8" s="1"/>
  <c r="AS908" i="8"/>
  <c r="CH907" i="8"/>
  <c r="CG907" i="8"/>
  <c r="CE907" i="8"/>
  <c r="AS907" i="8"/>
  <c r="CH906" i="8"/>
  <c r="CG906" i="8"/>
  <c r="CE906" i="8"/>
  <c r="AS906" i="8"/>
  <c r="CH905" i="8"/>
  <c r="CG905" i="8"/>
  <c r="CE905" i="8"/>
  <c r="AS905" i="8"/>
  <c r="CH904" i="8"/>
  <c r="CG904" i="8"/>
  <c r="CE904" i="8"/>
  <c r="AS904" i="8"/>
  <c r="CH903" i="8"/>
  <c r="CG903" i="8"/>
  <c r="AU903" i="8"/>
  <c r="CE903" i="8" s="1"/>
  <c r="AS903" i="8"/>
  <c r="CH902" i="8"/>
  <c r="CG902" i="8"/>
  <c r="CE902" i="8"/>
  <c r="AS902" i="8"/>
  <c r="CH901" i="8"/>
  <c r="CG901" i="8"/>
  <c r="CE901" i="8"/>
  <c r="AS901" i="8"/>
  <c r="CH900" i="8"/>
  <c r="CG900" i="8"/>
  <c r="CE900" i="8"/>
  <c r="AS900" i="8"/>
  <c r="CH899" i="8"/>
  <c r="CG899" i="8"/>
  <c r="AU899" i="8"/>
  <c r="CE899" i="8" s="1"/>
  <c r="AS899" i="8"/>
  <c r="F899" i="8"/>
  <c r="F910" i="8" s="1"/>
  <c r="F911" i="8" s="1"/>
  <c r="F912" i="8" s="1"/>
  <c r="F913" i="8" s="1"/>
  <c r="CH898" i="8"/>
  <c r="CG898" i="8"/>
  <c r="CE898" i="8"/>
  <c r="AS898" i="8"/>
  <c r="F898" i="8"/>
  <c r="CH897" i="8"/>
  <c r="CG897" i="8"/>
  <c r="CE897" i="8"/>
  <c r="AS897" i="8"/>
  <c r="F897" i="8"/>
  <c r="CH896" i="8"/>
  <c r="CG896" i="8"/>
  <c r="CE896" i="8"/>
  <c r="AS896" i="8"/>
  <c r="CH895" i="8"/>
  <c r="CG895" i="8"/>
  <c r="CE895" i="8"/>
  <c r="AS895" i="8"/>
  <c r="F895" i="8"/>
  <c r="CH894" i="8"/>
  <c r="CG894" i="8"/>
  <c r="CE894" i="8"/>
  <c r="AS894" i="8"/>
  <c r="F894" i="8"/>
  <c r="CH893" i="8"/>
  <c r="CG893" i="8"/>
  <c r="CE893" i="8"/>
  <c r="AS893" i="8"/>
  <c r="F893" i="8"/>
  <c r="CH892" i="8"/>
  <c r="CG892" i="8"/>
  <c r="CE892" i="8"/>
  <c r="AS892" i="8"/>
  <c r="F892" i="8"/>
  <c r="CH891" i="8"/>
  <c r="CG891" i="8"/>
  <c r="AU891" i="8"/>
  <c r="CE891" i="8" s="1"/>
  <c r="AS891" i="8"/>
  <c r="CH890" i="8"/>
  <c r="CG890" i="8"/>
  <c r="CE890" i="8"/>
  <c r="AS890" i="8"/>
  <c r="CH889" i="8"/>
  <c r="CG889" i="8"/>
  <c r="CE889" i="8"/>
  <c r="AS889" i="8"/>
  <c r="CH888" i="8"/>
  <c r="CG888" i="8"/>
  <c r="CE888" i="8"/>
  <c r="AS888" i="8"/>
  <c r="CH887" i="8"/>
  <c r="CG887" i="8"/>
  <c r="CE887" i="8"/>
  <c r="AS887" i="8"/>
  <c r="CH886" i="8"/>
  <c r="CG886" i="8"/>
  <c r="CE886" i="8"/>
  <c r="AU886" i="8"/>
  <c r="AS886" i="8"/>
  <c r="CH885" i="8"/>
  <c r="CG885" i="8"/>
  <c r="AV885" i="8"/>
  <c r="AU885" i="8"/>
  <c r="AS885" i="8"/>
  <c r="CH884" i="8"/>
  <c r="CG884" i="8"/>
  <c r="CE884" i="8"/>
  <c r="AS884" i="8"/>
  <c r="CH883" i="8"/>
  <c r="CG883" i="8"/>
  <c r="CE883" i="8"/>
  <c r="AS883" i="8"/>
  <c r="CH882" i="8"/>
  <c r="CG882" i="8"/>
  <c r="CE882" i="8"/>
  <c r="AS882" i="8"/>
  <c r="CH881" i="8"/>
  <c r="CG881" i="8"/>
  <c r="CE881" i="8"/>
  <c r="AS881" i="8"/>
  <c r="CH880" i="8"/>
  <c r="CG880" i="8"/>
  <c r="CE880" i="8"/>
  <c r="AS880" i="8"/>
  <c r="CH879" i="8"/>
  <c r="CG879" i="8"/>
  <c r="CE879" i="8"/>
  <c r="AS879" i="8"/>
  <c r="CH878" i="8"/>
  <c r="CG878" i="8"/>
  <c r="CE878" i="8"/>
  <c r="AS878" i="8"/>
  <c r="CH877" i="8"/>
  <c r="CG877" i="8"/>
  <c r="AU877" i="8"/>
  <c r="CE877" i="8" s="1"/>
  <c r="AS877" i="8"/>
  <c r="CH876" i="8"/>
  <c r="CG876" i="8"/>
  <c r="CE876" i="8"/>
  <c r="AS876" i="8"/>
  <c r="CH875" i="8"/>
  <c r="CG875" i="8"/>
  <c r="CE875" i="8"/>
  <c r="AS875" i="8"/>
  <c r="CH874" i="8"/>
  <c r="CG874" i="8"/>
  <c r="CE874" i="8"/>
  <c r="AS874" i="8"/>
  <c r="CH873" i="8"/>
  <c r="CG873" i="8"/>
  <c r="CE873" i="8"/>
  <c r="AS873" i="8"/>
  <c r="F873" i="8"/>
  <c r="CH872" i="8"/>
  <c r="CG872" i="8"/>
  <c r="CE872" i="8"/>
  <c r="AS872" i="8"/>
  <c r="F872" i="8"/>
  <c r="CH871" i="8"/>
  <c r="CG871" i="8"/>
  <c r="CE871" i="8"/>
  <c r="AS871" i="8"/>
  <c r="CH870" i="8"/>
  <c r="CG870" i="8"/>
  <c r="CE870" i="8"/>
  <c r="AS870" i="8"/>
  <c r="F870" i="8"/>
  <c r="F871" i="8" s="1"/>
  <c r="CH869" i="8"/>
  <c r="CG869" i="8"/>
  <c r="CE869" i="8"/>
  <c r="AS869" i="8"/>
  <c r="CH868" i="8"/>
  <c r="CG868" i="8"/>
  <c r="CE868" i="8"/>
  <c r="AS868" i="8"/>
  <c r="CH867" i="8"/>
  <c r="CG867" i="8"/>
  <c r="CE867" i="8"/>
  <c r="AS867" i="8"/>
  <c r="CH866" i="8"/>
  <c r="CG866" i="8"/>
  <c r="CE866" i="8"/>
  <c r="AS866" i="8"/>
  <c r="CH865" i="8"/>
  <c r="CG865" i="8"/>
  <c r="CE865" i="8"/>
  <c r="AS865" i="8"/>
  <c r="CH864" i="8"/>
  <c r="CG864" i="8"/>
  <c r="AU864" i="8"/>
  <c r="CE864" i="8" s="1"/>
  <c r="AS864" i="8"/>
  <c r="CH863" i="8"/>
  <c r="CG863" i="8"/>
  <c r="CE863" i="8"/>
  <c r="AU863" i="8"/>
  <c r="AS863" i="8"/>
  <c r="CH862" i="8"/>
  <c r="CG862" i="8"/>
  <c r="CE862" i="8"/>
  <c r="AS862" i="8"/>
  <c r="CH861" i="8"/>
  <c r="CG861" i="8"/>
  <c r="CE861" i="8"/>
  <c r="AS861" i="8"/>
  <c r="CH860" i="8"/>
  <c r="CG860" i="8"/>
  <c r="CE860" i="8"/>
  <c r="AS860" i="8"/>
  <c r="CH859" i="8"/>
  <c r="CG859" i="8"/>
  <c r="CE859" i="8"/>
  <c r="AS859" i="8"/>
  <c r="CH858" i="8"/>
  <c r="CG858" i="8"/>
  <c r="CE858" i="8"/>
  <c r="AS858" i="8"/>
  <c r="CH857" i="8"/>
  <c r="CG857" i="8"/>
  <c r="CE857" i="8"/>
  <c r="AS857" i="8"/>
  <c r="CH856" i="8"/>
  <c r="CG856" i="8"/>
  <c r="CE856" i="8"/>
  <c r="AS856" i="8"/>
  <c r="CH855" i="8"/>
  <c r="CG855" i="8"/>
  <c r="CE855" i="8"/>
  <c r="AU855" i="8"/>
  <c r="AS855" i="8"/>
  <c r="CH854" i="8"/>
  <c r="CG854" i="8"/>
  <c r="CE854" i="8"/>
  <c r="AS854" i="8"/>
  <c r="CH853" i="8"/>
  <c r="CG853" i="8"/>
  <c r="CE853" i="8"/>
  <c r="AS853" i="8"/>
  <c r="CH852" i="8"/>
  <c r="CG852" i="8"/>
  <c r="CE852" i="8"/>
  <c r="AS852" i="8"/>
  <c r="CH851" i="8"/>
  <c r="CG851" i="8"/>
  <c r="CE851" i="8"/>
  <c r="AS851" i="8"/>
  <c r="CH850" i="8"/>
  <c r="CG850" i="8"/>
  <c r="CE850" i="8"/>
  <c r="AS850" i="8"/>
  <c r="CH849" i="8"/>
  <c r="CG849" i="8"/>
  <c r="CE849" i="8"/>
  <c r="AS849" i="8"/>
  <c r="F849" i="8"/>
  <c r="F850" i="8" s="1"/>
  <c r="F851" i="8" s="1"/>
  <c r="F852" i="8" s="1"/>
  <c r="F853" i="8" s="1"/>
  <c r="F854" i="8" s="1"/>
  <c r="F855" i="8" s="1"/>
  <c r="F856" i="8" s="1"/>
  <c r="F857" i="8" s="1"/>
  <c r="CH848" i="8"/>
  <c r="CG848" i="8"/>
  <c r="CE848" i="8"/>
  <c r="AS848" i="8"/>
  <c r="F848" i="8"/>
  <c r="CH847" i="8"/>
  <c r="CG847" i="8"/>
  <c r="AU847" i="8"/>
  <c r="CE847" i="8" s="1"/>
  <c r="AS847" i="8"/>
  <c r="F847" i="8"/>
  <c r="CH846" i="8"/>
  <c r="CG846" i="8"/>
  <c r="CE846" i="8"/>
  <c r="AS846" i="8"/>
  <c r="CH845" i="8"/>
  <c r="CG845" i="8"/>
  <c r="CE845" i="8"/>
  <c r="AS845" i="8"/>
  <c r="CH844" i="8"/>
  <c r="CG844" i="8"/>
  <c r="CE844" i="8"/>
  <c r="AS844" i="8"/>
  <c r="CH843" i="8"/>
  <c r="CG843" i="8"/>
  <c r="CE843" i="8"/>
  <c r="AS843" i="8"/>
  <c r="CH842" i="8"/>
  <c r="CG842" i="8"/>
  <c r="CE842" i="8"/>
  <c r="AS842" i="8"/>
  <c r="CH841" i="8"/>
  <c r="CG841" i="8"/>
  <c r="CE841" i="8"/>
  <c r="AS841" i="8"/>
  <c r="CH840" i="8"/>
  <c r="CG840" i="8"/>
  <c r="CE840" i="8"/>
  <c r="AS840" i="8"/>
  <c r="CH839" i="8"/>
  <c r="CG839" i="8"/>
  <c r="CE839" i="8"/>
  <c r="AS839" i="8"/>
  <c r="CH838" i="8"/>
  <c r="CG838" i="8"/>
  <c r="CE838" i="8"/>
  <c r="AS838" i="8"/>
  <c r="CH837" i="8"/>
  <c r="CG837" i="8"/>
  <c r="CE837" i="8"/>
  <c r="AS837" i="8"/>
  <c r="CH836" i="8"/>
  <c r="CG836" i="8"/>
  <c r="CE836" i="8"/>
  <c r="AS836" i="8"/>
  <c r="CH835" i="8"/>
  <c r="CG835" i="8"/>
  <c r="CE835" i="8"/>
  <c r="AS835" i="8"/>
  <c r="CH834" i="8"/>
  <c r="CG834" i="8"/>
  <c r="CE834" i="8"/>
  <c r="AS834" i="8"/>
  <c r="CH833" i="8"/>
  <c r="CG833" i="8"/>
  <c r="CE833" i="8"/>
  <c r="AS833" i="8"/>
  <c r="CH832" i="8"/>
  <c r="CG832" i="8"/>
  <c r="CE832" i="8"/>
  <c r="AS832" i="8"/>
  <c r="CH831" i="8"/>
  <c r="CG831" i="8"/>
  <c r="CE831" i="8"/>
  <c r="AS831" i="8"/>
  <c r="CH830" i="8"/>
  <c r="CG830" i="8"/>
  <c r="CE830" i="8"/>
  <c r="AS830" i="8"/>
  <c r="CH829" i="8"/>
  <c r="CG829" i="8"/>
  <c r="AV829" i="8"/>
  <c r="AU829" i="8"/>
  <c r="AS829" i="8"/>
  <c r="CH828" i="8"/>
  <c r="CG828" i="8"/>
  <c r="AU828" i="8"/>
  <c r="CE828" i="8" s="1"/>
  <c r="AS828" i="8"/>
  <c r="CH827" i="8"/>
  <c r="CG827" i="8"/>
  <c r="CE827" i="8"/>
  <c r="AU827" i="8"/>
  <c r="AS827" i="8"/>
  <c r="CH826" i="8"/>
  <c r="CG826" i="8"/>
  <c r="CE826" i="8"/>
  <c r="AS826" i="8"/>
  <c r="CH825" i="8"/>
  <c r="CG825" i="8"/>
  <c r="CE825" i="8"/>
  <c r="AS825" i="8"/>
  <c r="CH824" i="8"/>
  <c r="CG824" i="8"/>
  <c r="CE824" i="8"/>
  <c r="AS824" i="8"/>
  <c r="CH823" i="8"/>
  <c r="CG823" i="8"/>
  <c r="CE823" i="8"/>
  <c r="AS823" i="8"/>
  <c r="CH822" i="8"/>
  <c r="CG822" i="8"/>
  <c r="CE822" i="8"/>
  <c r="AS822" i="8"/>
  <c r="CH821" i="8"/>
  <c r="CG821" i="8"/>
  <c r="AU821" i="8"/>
  <c r="CE821" i="8" s="1"/>
  <c r="AS821" i="8"/>
  <c r="CH820" i="8"/>
  <c r="CG820" i="8"/>
  <c r="CE820" i="8"/>
  <c r="AS820" i="8"/>
  <c r="CH819" i="8"/>
  <c r="CG819" i="8"/>
  <c r="CE819" i="8"/>
  <c r="AS819" i="8"/>
  <c r="CH818" i="8"/>
  <c r="CG818" i="8"/>
  <c r="CE818" i="8"/>
  <c r="AS818" i="8"/>
  <c r="CH817" i="8"/>
  <c r="CG817" i="8"/>
  <c r="CE817" i="8"/>
  <c r="AS817" i="8"/>
  <c r="CH816" i="8"/>
  <c r="CG816" i="8"/>
  <c r="CE816" i="8"/>
  <c r="AS816" i="8"/>
  <c r="CH815" i="8"/>
  <c r="CG815" i="8"/>
  <c r="CE815" i="8"/>
  <c r="AS815" i="8"/>
  <c r="CH814" i="8"/>
  <c r="CG814" i="8"/>
  <c r="CE814" i="8"/>
  <c r="AS814" i="8"/>
  <c r="CH813" i="8"/>
  <c r="CG813" i="8"/>
  <c r="AU813" i="8"/>
  <c r="CE813" i="8" s="1"/>
  <c r="AS813" i="8"/>
  <c r="CH812" i="8"/>
  <c r="CG812" i="8"/>
  <c r="CE812" i="8"/>
  <c r="AS812" i="8"/>
  <c r="CH811" i="8"/>
  <c r="CG811" i="8"/>
  <c r="CE811" i="8"/>
  <c r="AS811" i="8"/>
  <c r="CH810" i="8"/>
  <c r="CG810" i="8"/>
  <c r="CE810" i="8"/>
  <c r="AS810" i="8"/>
  <c r="CH809" i="8"/>
  <c r="CG809" i="8"/>
  <c r="CE809" i="8"/>
  <c r="AS809" i="8"/>
  <c r="CH808" i="8"/>
  <c r="CG808" i="8"/>
  <c r="CE808" i="8"/>
  <c r="AS808" i="8"/>
  <c r="CH807" i="8"/>
  <c r="CG807" i="8"/>
  <c r="CE807" i="8"/>
  <c r="AS807" i="8"/>
  <c r="CH806" i="8"/>
  <c r="CG806" i="8"/>
  <c r="CE806" i="8"/>
  <c r="AS806" i="8"/>
  <c r="CH805" i="8"/>
  <c r="CG805" i="8"/>
  <c r="CE805" i="8"/>
  <c r="AS805" i="8"/>
  <c r="CH804" i="8"/>
  <c r="CG804" i="8"/>
  <c r="CE804" i="8"/>
  <c r="AS804" i="8"/>
  <c r="CH803" i="8"/>
  <c r="CG803" i="8"/>
  <c r="CE803" i="8"/>
  <c r="AS803" i="8"/>
  <c r="CH802" i="8"/>
  <c r="CG802" i="8"/>
  <c r="BI802" i="8"/>
  <c r="BI1069" i="8" s="1"/>
  <c r="AU802" i="8"/>
  <c r="AU1069" i="8" s="1"/>
  <c r="AS802" i="8"/>
  <c r="CH801" i="8"/>
  <c r="CG801" i="8"/>
  <c r="CE801" i="8"/>
  <c r="AS801" i="8"/>
  <c r="CH800" i="8"/>
  <c r="CG800" i="8"/>
  <c r="CE800" i="8"/>
  <c r="AS800" i="8"/>
  <c r="CH799" i="8"/>
  <c r="CG799" i="8"/>
  <c r="CE799" i="8"/>
  <c r="AS799" i="8"/>
  <c r="CH798" i="8"/>
  <c r="CG798" i="8"/>
  <c r="CE798" i="8"/>
  <c r="AS798" i="8"/>
  <c r="CH797" i="8"/>
  <c r="CG797" i="8"/>
  <c r="CE797" i="8"/>
  <c r="AS797" i="8"/>
  <c r="CH796" i="8"/>
  <c r="CG796" i="8"/>
  <c r="CE796" i="8"/>
  <c r="AS796" i="8"/>
  <c r="CH795" i="8"/>
  <c r="CG795" i="8"/>
  <c r="CE795" i="8"/>
  <c r="AS795" i="8"/>
  <c r="CH794" i="8"/>
  <c r="CG794" i="8"/>
  <c r="CE794" i="8"/>
  <c r="AS794" i="8"/>
  <c r="CH793" i="8"/>
  <c r="CG793" i="8"/>
  <c r="CE793" i="8"/>
  <c r="AS793" i="8"/>
  <c r="CH792" i="8"/>
  <c r="CG792" i="8"/>
  <c r="CE792" i="8"/>
  <c r="AS792" i="8"/>
  <c r="CH791" i="8"/>
  <c r="CG791" i="8"/>
  <c r="CE791" i="8"/>
  <c r="AS791" i="8"/>
  <c r="CH790" i="8"/>
  <c r="CG790" i="8"/>
  <c r="CE790" i="8"/>
  <c r="AS790" i="8"/>
  <c r="CH789" i="8"/>
  <c r="CG789" i="8"/>
  <c r="CE789" i="8"/>
  <c r="AS789" i="8"/>
  <c r="CH788" i="8"/>
  <c r="CG788" i="8"/>
  <c r="CE788" i="8"/>
  <c r="AS788" i="8"/>
  <c r="CH787" i="8"/>
  <c r="CG787" i="8"/>
  <c r="CE787" i="8"/>
  <c r="AS787" i="8"/>
  <c r="CH786" i="8"/>
  <c r="CG786" i="8"/>
  <c r="CE786" i="8"/>
  <c r="AS786" i="8"/>
  <c r="CH785" i="8"/>
  <c r="CG785" i="8"/>
  <c r="CE785" i="8"/>
  <c r="AS785" i="8"/>
  <c r="CO784" i="8"/>
  <c r="CN784" i="8"/>
  <c r="CM784" i="8"/>
  <c r="CL784" i="8"/>
  <c r="CK784" i="8"/>
  <c r="CJ784" i="8"/>
  <c r="CI784" i="8"/>
  <c r="CD784" i="8"/>
  <c r="CC784" i="8"/>
  <c r="CB784" i="8"/>
  <c r="CA784" i="8"/>
  <c r="BZ784" i="8"/>
  <c r="BY784" i="8"/>
  <c r="BX784" i="8"/>
  <c r="BW784" i="8"/>
  <c r="BV784" i="8"/>
  <c r="BU784" i="8"/>
  <c r="BT784" i="8"/>
  <c r="BS784" i="8"/>
  <c r="BR784" i="8"/>
  <c r="BQ784" i="8"/>
  <c r="BP784" i="8"/>
  <c r="BO784" i="8"/>
  <c r="BN784" i="8"/>
  <c r="BM784" i="8"/>
  <c r="BL784" i="8"/>
  <c r="BK784" i="8"/>
  <c r="BJ784" i="8"/>
  <c r="BI784" i="8"/>
  <c r="BH784" i="8"/>
  <c r="BG784" i="8"/>
  <c r="BF784" i="8"/>
  <c r="BE784" i="8"/>
  <c r="BD784" i="8"/>
  <c r="BC784" i="8"/>
  <c r="BC782" i="8" s="1"/>
  <c r="BB784" i="8"/>
  <c r="BA784" i="8"/>
  <c r="AZ784" i="8"/>
  <c r="AY784" i="8"/>
  <c r="AX784" i="8"/>
  <c r="AT784" i="8"/>
  <c r="AR784" i="8"/>
  <c r="AQ784" i="8"/>
  <c r="AP784" i="8"/>
  <c r="AO784" i="8"/>
  <c r="AN784" i="8"/>
  <c r="AM784" i="8"/>
  <c r="AL784" i="8"/>
  <c r="AK784" i="8"/>
  <c r="AJ784" i="8"/>
  <c r="AI784" i="8"/>
  <c r="AH784" i="8"/>
  <c r="AG784" i="8"/>
  <c r="AF784" i="8"/>
  <c r="AE784" i="8"/>
  <c r="AD784" i="8"/>
  <c r="AC784" i="8"/>
  <c r="AB784" i="8"/>
  <c r="AA784" i="8"/>
  <c r="Z784" i="8"/>
  <c r="Y784" i="8"/>
  <c r="X784" i="8"/>
  <c r="W784" i="8"/>
  <c r="V784" i="8"/>
  <c r="U784" i="8"/>
  <c r="T784" i="8"/>
  <c r="S784" i="8"/>
  <c r="R784" i="8"/>
  <c r="Q784" i="8"/>
  <c r="P784" i="8"/>
  <c r="O784" i="8"/>
  <c r="N784" i="8"/>
  <c r="M784" i="8"/>
  <c r="L784" i="8"/>
  <c r="K784" i="8"/>
  <c r="J784" i="8"/>
  <c r="I784" i="8"/>
  <c r="H784" i="8"/>
  <c r="CN783" i="8"/>
  <c r="CM783" i="8"/>
  <c r="CL783" i="8"/>
  <c r="CK783" i="8"/>
  <c r="CJ783" i="8"/>
  <c r="CI783" i="8"/>
  <c r="CD783" i="8"/>
  <c r="CC783" i="8"/>
  <c r="CB783" i="8"/>
  <c r="CA783" i="8"/>
  <c r="BZ783" i="8"/>
  <c r="BY783" i="8"/>
  <c r="BX783" i="8"/>
  <c r="BW783" i="8"/>
  <c r="BV783" i="8"/>
  <c r="BU783" i="8"/>
  <c r="BT783" i="8"/>
  <c r="BS783" i="8"/>
  <c r="BR783" i="8"/>
  <c r="BQ783" i="8"/>
  <c r="BP783" i="8"/>
  <c r="BO783" i="8"/>
  <c r="BN783" i="8"/>
  <c r="BM783" i="8"/>
  <c r="BL783" i="8"/>
  <c r="BK783" i="8"/>
  <c r="BJ783" i="8"/>
  <c r="BI783" i="8"/>
  <c r="BH783" i="8"/>
  <c r="BG783" i="8"/>
  <c r="BF783" i="8"/>
  <c r="BE783" i="8"/>
  <c r="BD783" i="8"/>
  <c r="BC783" i="8"/>
  <c r="BB783" i="8"/>
  <c r="BA783" i="8"/>
  <c r="AZ783" i="8"/>
  <c r="AY783" i="8"/>
  <c r="AX783" i="8"/>
  <c r="AT783" i="8"/>
  <c r="AR783" i="8"/>
  <c r="AQ783" i="8"/>
  <c r="AP783" i="8"/>
  <c r="AO783" i="8"/>
  <c r="AN783" i="8"/>
  <c r="AM783" i="8"/>
  <c r="AL783" i="8"/>
  <c r="AK783" i="8"/>
  <c r="AJ783" i="8"/>
  <c r="AI783" i="8"/>
  <c r="AH783" i="8"/>
  <c r="AG783" i="8"/>
  <c r="AF783" i="8"/>
  <c r="AE783" i="8"/>
  <c r="AD783" i="8"/>
  <c r="AC783" i="8"/>
  <c r="AB783" i="8"/>
  <c r="AA783" i="8"/>
  <c r="Z783" i="8"/>
  <c r="Y783" i="8"/>
  <c r="X783" i="8"/>
  <c r="W783" i="8"/>
  <c r="V783" i="8"/>
  <c r="U783" i="8"/>
  <c r="T783" i="8"/>
  <c r="S783" i="8"/>
  <c r="R783" i="8"/>
  <c r="Q783" i="8"/>
  <c r="P783" i="8"/>
  <c r="O783" i="8"/>
  <c r="N783" i="8"/>
  <c r="M783" i="8"/>
  <c r="L783" i="8"/>
  <c r="K783" i="8"/>
  <c r="J783" i="8"/>
  <c r="I783" i="8"/>
  <c r="H783" i="8"/>
  <c r="CH781" i="8"/>
  <c r="CG781" i="8"/>
  <c r="CE781" i="8"/>
  <c r="AS781" i="8"/>
  <c r="CH780" i="8"/>
  <c r="CG780" i="8"/>
  <c r="CE780" i="8"/>
  <c r="AS780" i="8"/>
  <c r="CH779" i="8"/>
  <c r="CG779" i="8"/>
  <c r="CE779" i="8"/>
  <c r="AS779" i="8"/>
  <c r="CH778" i="8"/>
  <c r="CG778" i="8"/>
  <c r="CE778" i="8"/>
  <c r="AS778" i="8"/>
  <c r="CH777" i="8"/>
  <c r="CG777" i="8"/>
  <c r="CE777" i="8"/>
  <c r="AS777" i="8"/>
  <c r="CH776" i="8"/>
  <c r="CG776" i="8"/>
  <c r="CE776" i="8"/>
  <c r="AS776" i="8"/>
  <c r="CH775" i="8"/>
  <c r="CG775" i="8"/>
  <c r="CE775" i="8"/>
  <c r="AS775" i="8"/>
  <c r="CH774" i="8"/>
  <c r="CG774" i="8"/>
  <c r="CE774" i="8"/>
  <c r="AS774" i="8"/>
  <c r="CH773" i="8"/>
  <c r="CG773" i="8"/>
  <c r="CE773" i="8"/>
  <c r="AS773" i="8"/>
  <c r="CH772" i="8"/>
  <c r="CG772" i="8"/>
  <c r="CE772" i="8"/>
  <c r="AS772" i="8"/>
  <c r="CH771" i="8"/>
  <c r="CG771" i="8"/>
  <c r="CE771" i="8"/>
  <c r="AS771" i="8"/>
  <c r="CH770" i="8"/>
  <c r="CG770" i="8"/>
  <c r="CE770" i="8"/>
  <c r="AS770" i="8"/>
  <c r="CH769" i="8"/>
  <c r="CG769" i="8"/>
  <c r="CE769" i="8"/>
  <c r="AS769" i="8"/>
  <c r="CH768" i="8"/>
  <c r="CG768" i="8"/>
  <c r="CE768" i="8"/>
  <c r="AS768" i="8"/>
  <c r="CH767" i="8"/>
  <c r="CG767" i="8"/>
  <c r="CE767" i="8"/>
  <c r="AS767" i="8"/>
  <c r="CH766" i="8"/>
  <c r="CG766" i="8"/>
  <c r="CE766" i="8"/>
  <c r="AS766" i="8"/>
  <c r="CH765" i="8"/>
  <c r="CG765" i="8"/>
  <c r="CE765" i="8"/>
  <c r="AS765" i="8"/>
  <c r="CH764" i="8"/>
  <c r="CG764" i="8"/>
  <c r="CE764" i="8"/>
  <c r="AS764" i="8"/>
  <c r="CH763" i="8"/>
  <c r="CG763" i="8"/>
  <c r="CE763" i="8"/>
  <c r="AS763" i="8"/>
  <c r="CH762" i="8"/>
  <c r="CG762" i="8"/>
  <c r="CE762" i="8"/>
  <c r="AS762" i="8"/>
  <c r="CH761" i="8"/>
  <c r="CG761" i="8"/>
  <c r="CE761" i="8"/>
  <c r="AS761" i="8"/>
  <c r="CH760" i="8"/>
  <c r="CG760" i="8"/>
  <c r="CE760" i="8"/>
  <c r="AS760" i="8"/>
  <c r="F760" i="8"/>
  <c r="F761" i="8" s="1"/>
  <c r="F762" i="8" s="1"/>
  <c r="F766" i="8" s="1"/>
  <c r="F767" i="8" s="1"/>
  <c r="F768" i="8" s="1"/>
  <c r="F769" i="8" s="1"/>
  <c r="F772" i="8" s="1"/>
  <c r="F773" i="8" s="1"/>
  <c r="F774" i="8" s="1"/>
  <c r="CH759" i="8"/>
  <c r="CG759" i="8"/>
  <c r="CE759" i="8"/>
  <c r="AS759" i="8"/>
  <c r="F759" i="8"/>
  <c r="CH758" i="8"/>
  <c r="CG758" i="8"/>
  <c r="CE758" i="8"/>
  <c r="AS758" i="8"/>
  <c r="CH757" i="8"/>
  <c r="CG757" i="8"/>
  <c r="CE757" i="8"/>
  <c r="AS757" i="8"/>
  <c r="CH756" i="8"/>
  <c r="CG756" i="8"/>
  <c r="CE756" i="8"/>
  <c r="AS756" i="8"/>
  <c r="CH755" i="8"/>
  <c r="CG755" i="8"/>
  <c r="CE755" i="8"/>
  <c r="AS755" i="8"/>
  <c r="F755" i="8"/>
  <c r="F756" i="8" s="1"/>
  <c r="F757" i="8" s="1"/>
  <c r="F758" i="8" s="1"/>
  <c r="F763" i="8" s="1"/>
  <c r="F764" i="8" s="1"/>
  <c r="CH754" i="8"/>
  <c r="CG754" i="8"/>
  <c r="CE754" i="8"/>
  <c r="AS754" i="8"/>
  <c r="F754" i="8"/>
  <c r="F615" i="8" s="1"/>
  <c r="F616" i="8" s="1"/>
  <c r="F695" i="8" s="1"/>
  <c r="F696" i="8" s="1"/>
  <c r="F697" i="8" s="1"/>
  <c r="F698" i="8" s="1"/>
  <c r="F699" i="8" s="1"/>
  <c r="CH753" i="8"/>
  <c r="CG753" i="8"/>
  <c r="CE753" i="8"/>
  <c r="AS753" i="8"/>
  <c r="CH752" i="8"/>
  <c r="CG752" i="8"/>
  <c r="CE752" i="8"/>
  <c r="AS752" i="8"/>
  <c r="CH751" i="8"/>
  <c r="CG751" i="8"/>
  <c r="CE751" i="8"/>
  <c r="AS751" i="8"/>
  <c r="CH750" i="8"/>
  <c r="CG750" i="8"/>
  <c r="CE750" i="8"/>
  <c r="AS750" i="8"/>
  <c r="CH749" i="8"/>
  <c r="CG749" i="8"/>
  <c r="CE749" i="8"/>
  <c r="AW749" i="8"/>
  <c r="AV749" i="8"/>
  <c r="AU749" i="8"/>
  <c r="AS749" i="8"/>
  <c r="CH748" i="8"/>
  <c r="CG748" i="8"/>
  <c r="CE748" i="8"/>
  <c r="AW748" i="8"/>
  <c r="AV748" i="8"/>
  <c r="AU748" i="8"/>
  <c r="AS748" i="8"/>
  <c r="CH747" i="8"/>
  <c r="CG747" i="8"/>
  <c r="AW747" i="8"/>
  <c r="AV747" i="8"/>
  <c r="AU747" i="8"/>
  <c r="CE747" i="8" s="1"/>
  <c r="AS747" i="8"/>
  <c r="CH746" i="8"/>
  <c r="CG746" i="8"/>
  <c r="AW746" i="8"/>
  <c r="AV746" i="8"/>
  <c r="AU746" i="8"/>
  <c r="AS746" i="8"/>
  <c r="CH745" i="8"/>
  <c r="CG745" i="8"/>
  <c r="CE745" i="8"/>
  <c r="AW745" i="8"/>
  <c r="AV745" i="8"/>
  <c r="AS745" i="8"/>
  <c r="CH744" i="8"/>
  <c r="CG744" i="8"/>
  <c r="AW744" i="8"/>
  <c r="AV744" i="8"/>
  <c r="AU744" i="8"/>
  <c r="AS744" i="8"/>
  <c r="CH743" i="8"/>
  <c r="CG743" i="8"/>
  <c r="AW743" i="8"/>
  <c r="AV743" i="8"/>
  <c r="AU743" i="8"/>
  <c r="AS743" i="8"/>
  <c r="CH742" i="8"/>
  <c r="CG742" i="8"/>
  <c r="AW742" i="8"/>
  <c r="AV742" i="8"/>
  <c r="AU742" i="8"/>
  <c r="AS742" i="8"/>
  <c r="CH741" i="8"/>
  <c r="CG741" i="8"/>
  <c r="AW741" i="8"/>
  <c r="AV741" i="8"/>
  <c r="AU741" i="8"/>
  <c r="AS741" i="8"/>
  <c r="CH740" i="8"/>
  <c r="CG740" i="8"/>
  <c r="AW740" i="8"/>
  <c r="AV740" i="8"/>
  <c r="AU740" i="8"/>
  <c r="AS740" i="8"/>
  <c r="CH739" i="8"/>
  <c r="CG739" i="8"/>
  <c r="AW739" i="8"/>
  <c r="AV739" i="8"/>
  <c r="AU739" i="8"/>
  <c r="AS739" i="8"/>
  <c r="CH738" i="8"/>
  <c r="CG738" i="8"/>
  <c r="AW738" i="8"/>
  <c r="AV738" i="8"/>
  <c r="AU738" i="8"/>
  <c r="AS738" i="8"/>
  <c r="CH737" i="8"/>
  <c r="CG737" i="8"/>
  <c r="AW737" i="8"/>
  <c r="AV737" i="8"/>
  <c r="AU737" i="8"/>
  <c r="AS737" i="8"/>
  <c r="CH736" i="8"/>
  <c r="CG736" i="8"/>
  <c r="AW736" i="8"/>
  <c r="AV736" i="8"/>
  <c r="AU736" i="8"/>
  <c r="AS736" i="8"/>
  <c r="CH735" i="8"/>
  <c r="CG735" i="8"/>
  <c r="AW735" i="8"/>
  <c r="AV735" i="8"/>
  <c r="CE735" i="8" s="1"/>
  <c r="AU735" i="8"/>
  <c r="AS735" i="8"/>
  <c r="CH734" i="8"/>
  <c r="CG734" i="8"/>
  <c r="AW734" i="8"/>
  <c r="AV734" i="8"/>
  <c r="AU734" i="8"/>
  <c r="AS734" i="8"/>
  <c r="CH733" i="8"/>
  <c r="CG733" i="8"/>
  <c r="AW733" i="8"/>
  <c r="AV733" i="8"/>
  <c r="CE733" i="8" s="1"/>
  <c r="AU733" i="8"/>
  <c r="AS733" i="8"/>
  <c r="CH732" i="8"/>
  <c r="CG732" i="8"/>
  <c r="AW732" i="8"/>
  <c r="AV732" i="8"/>
  <c r="AU732" i="8"/>
  <c r="AS732" i="8"/>
  <c r="CH731" i="8"/>
  <c r="CG731" i="8"/>
  <c r="AW731" i="8"/>
  <c r="AV731" i="8"/>
  <c r="CE731" i="8" s="1"/>
  <c r="AU731" i="8"/>
  <c r="AS731" i="8"/>
  <c r="CH730" i="8"/>
  <c r="CG730" i="8"/>
  <c r="AW730" i="8"/>
  <c r="AV730" i="8"/>
  <c r="AS730" i="8"/>
  <c r="CH729" i="8"/>
  <c r="CG729" i="8"/>
  <c r="AW729" i="8"/>
  <c r="AV729" i="8"/>
  <c r="AU729" i="8"/>
  <c r="CE729" i="8" s="1"/>
  <c r="AS729" i="8"/>
  <c r="CH728" i="8"/>
  <c r="CG728" i="8"/>
  <c r="AW728" i="8"/>
  <c r="AV728" i="8"/>
  <c r="AU728" i="8"/>
  <c r="AS728" i="8"/>
  <c r="CH727" i="8"/>
  <c r="CG727" i="8"/>
  <c r="AW727" i="8"/>
  <c r="AV727" i="8"/>
  <c r="AU727" i="8"/>
  <c r="CE727" i="8" s="1"/>
  <c r="AS727" i="8"/>
  <c r="CH726" i="8"/>
  <c r="CG726" i="8"/>
  <c r="AW726" i="8"/>
  <c r="AV726" i="8"/>
  <c r="AU726" i="8"/>
  <c r="AS726" i="8"/>
  <c r="CH725" i="8"/>
  <c r="CG725" i="8"/>
  <c r="AW725" i="8"/>
  <c r="AV725" i="8"/>
  <c r="AU725" i="8"/>
  <c r="CE725" i="8" s="1"/>
  <c r="AS725" i="8"/>
  <c r="CH724" i="8"/>
  <c r="CG724" i="8"/>
  <c r="AW724" i="8"/>
  <c r="AV724" i="8"/>
  <c r="AU724" i="8"/>
  <c r="AS724" i="8"/>
  <c r="CH723" i="8"/>
  <c r="CG723" i="8"/>
  <c r="AW723" i="8"/>
  <c r="AV723" i="8"/>
  <c r="AU723" i="8"/>
  <c r="CE723" i="8" s="1"/>
  <c r="AS723" i="8"/>
  <c r="CH722" i="8"/>
  <c r="CG722" i="8"/>
  <c r="AW722" i="8"/>
  <c r="AV722" i="8"/>
  <c r="AU722" i="8"/>
  <c r="AS722" i="8"/>
  <c r="CH721" i="8"/>
  <c r="CG721" i="8"/>
  <c r="AW721" i="8"/>
  <c r="AV721" i="8"/>
  <c r="AU721" i="8"/>
  <c r="AU784" i="8" s="1"/>
  <c r="AS721" i="8"/>
  <c r="CH720" i="8"/>
  <c r="CG720" i="8"/>
  <c r="CE720" i="8"/>
  <c r="AS720" i="8"/>
  <c r="CH719" i="8"/>
  <c r="CG719" i="8"/>
  <c r="CE719" i="8"/>
  <c r="AS719" i="8"/>
  <c r="CH718" i="8"/>
  <c r="CG718" i="8"/>
  <c r="CE718" i="8"/>
  <c r="AS718" i="8"/>
  <c r="CH717" i="8"/>
  <c r="CG717" i="8"/>
  <c r="CE717" i="8"/>
  <c r="AS717" i="8"/>
  <c r="CH716" i="8"/>
  <c r="CG716" i="8"/>
  <c r="CE716" i="8"/>
  <c r="AS716" i="8"/>
  <c r="CH715" i="8"/>
  <c r="CG715" i="8"/>
  <c r="CE715" i="8"/>
  <c r="AS715" i="8"/>
  <c r="CH714" i="8"/>
  <c r="CG714" i="8"/>
  <c r="CE714" i="8"/>
  <c r="AS714" i="8"/>
  <c r="CH713" i="8"/>
  <c r="CG713" i="8"/>
  <c r="CE713" i="8"/>
  <c r="AS713" i="8"/>
  <c r="CH712" i="8"/>
  <c r="CG712" i="8"/>
  <c r="CE712" i="8"/>
  <c r="AS712" i="8"/>
  <c r="CH711" i="8"/>
  <c r="CG711" i="8"/>
  <c r="CE711" i="8"/>
  <c r="AS711" i="8"/>
  <c r="CH710" i="8"/>
  <c r="CG710" i="8"/>
  <c r="CE710" i="8"/>
  <c r="AS710" i="8"/>
  <c r="CH709" i="8"/>
  <c r="CG709" i="8"/>
  <c r="CE709" i="8"/>
  <c r="AS709" i="8"/>
  <c r="CH708" i="8"/>
  <c r="CG708" i="8"/>
  <c r="CE708" i="8"/>
  <c r="AS708" i="8"/>
  <c r="CH707" i="8"/>
  <c r="CG707" i="8"/>
  <c r="CE707" i="8"/>
  <c r="AS707" i="8"/>
  <c r="CH706" i="8"/>
  <c r="CG706" i="8"/>
  <c r="CE706" i="8"/>
  <c r="AS706" i="8"/>
  <c r="CH705" i="8"/>
  <c r="CG705" i="8"/>
  <c r="CE705" i="8"/>
  <c r="AS705" i="8"/>
  <c r="CH704" i="8"/>
  <c r="CG704" i="8"/>
  <c r="CE704" i="8"/>
  <c r="AS704" i="8"/>
  <c r="F704" i="8"/>
  <c r="F706" i="8" s="1"/>
  <c r="CH703" i="8"/>
  <c r="CG703" i="8"/>
  <c r="CE703" i="8"/>
  <c r="AS703" i="8"/>
  <c r="CH702" i="8"/>
  <c r="CG702" i="8"/>
  <c r="CE702" i="8"/>
  <c r="AS702" i="8"/>
  <c r="CH701" i="8"/>
  <c r="CG701" i="8"/>
  <c r="CE701" i="8"/>
  <c r="AS701" i="8"/>
  <c r="CH700" i="8"/>
  <c r="CG700" i="8"/>
  <c r="CE700" i="8"/>
  <c r="AS700" i="8"/>
  <c r="CH699" i="8"/>
  <c r="CG699" i="8"/>
  <c r="CE699" i="8"/>
  <c r="AS699" i="8"/>
  <c r="CH698" i="8"/>
  <c r="CG698" i="8"/>
  <c r="CE698" i="8"/>
  <c r="AS698" i="8"/>
  <c r="CH697" i="8"/>
  <c r="CG697" i="8"/>
  <c r="CE697" i="8"/>
  <c r="AS697" i="8"/>
  <c r="CH696" i="8"/>
  <c r="CG696" i="8"/>
  <c r="CE696" i="8"/>
  <c r="AS696" i="8"/>
  <c r="CH695" i="8"/>
  <c r="CG695" i="8"/>
  <c r="CE695" i="8"/>
  <c r="AS695" i="8"/>
  <c r="CH694" i="8"/>
  <c r="CG694" i="8"/>
  <c r="AU694" i="8"/>
  <c r="CE694" i="8" s="1"/>
  <c r="AS694" i="8"/>
  <c r="CH693" i="8"/>
  <c r="CG693" i="8"/>
  <c r="CE693" i="8"/>
  <c r="AS693" i="8"/>
  <c r="CH692" i="8"/>
  <c r="CG692" i="8"/>
  <c r="CE692" i="8"/>
  <c r="AS692" i="8"/>
  <c r="CH691" i="8"/>
  <c r="CG691" i="8"/>
  <c r="CE691" i="8"/>
  <c r="AS691" i="8"/>
  <c r="CH690" i="8"/>
  <c r="CG690" i="8"/>
  <c r="CE690" i="8"/>
  <c r="AS690" i="8"/>
  <c r="CH689" i="8"/>
  <c r="CG689" i="8"/>
  <c r="CE689" i="8"/>
  <c r="AS689" i="8"/>
  <c r="CH688" i="8"/>
  <c r="CG688" i="8"/>
  <c r="CE688" i="8"/>
  <c r="AS688" i="8"/>
  <c r="CH687" i="8"/>
  <c r="CG687" i="8"/>
  <c r="CE687" i="8"/>
  <c r="AS687" i="8"/>
  <c r="CH686" i="8"/>
  <c r="CG686" i="8"/>
  <c r="CE686" i="8"/>
  <c r="AS686" i="8"/>
  <c r="CH685" i="8"/>
  <c r="CG685" i="8"/>
  <c r="CE685" i="8"/>
  <c r="AS685" i="8"/>
  <c r="CH684" i="8"/>
  <c r="CG684" i="8"/>
  <c r="CE684" i="8"/>
  <c r="AS684" i="8"/>
  <c r="CH683" i="8"/>
  <c r="CG683" i="8"/>
  <c r="CE683" i="8"/>
  <c r="AS683" i="8"/>
  <c r="CH682" i="8"/>
  <c r="CG682" i="8"/>
  <c r="CE682" i="8"/>
  <c r="AS682" i="8"/>
  <c r="CH681" i="8"/>
  <c r="CG681" i="8"/>
  <c r="CE681" i="8"/>
  <c r="AS681" i="8"/>
  <c r="CH680" i="8"/>
  <c r="CG680" i="8"/>
  <c r="CE680" i="8"/>
  <c r="AS680" i="8"/>
  <c r="CH679" i="8"/>
  <c r="CG679" i="8"/>
  <c r="CE679" i="8"/>
  <c r="AS679" i="8"/>
  <c r="CH678" i="8"/>
  <c r="CG678" i="8"/>
  <c r="CE678" i="8"/>
  <c r="AS678" i="8"/>
  <c r="CH677" i="8"/>
  <c r="CG677" i="8"/>
  <c r="CE677" i="8"/>
  <c r="AS677" i="8"/>
  <c r="CH676" i="8"/>
  <c r="CG676" i="8"/>
  <c r="CE676" i="8"/>
  <c r="AS676" i="8"/>
  <c r="CH675" i="8"/>
  <c r="CG675" i="8"/>
  <c r="CE675" i="8"/>
  <c r="AS675" i="8"/>
  <c r="CH674" i="8"/>
  <c r="CG674" i="8"/>
  <c r="CE674" i="8"/>
  <c r="AS674" i="8"/>
  <c r="CH673" i="8"/>
  <c r="CG673" i="8"/>
  <c r="CE673" i="8"/>
  <c r="AS673" i="8"/>
  <c r="CH672" i="8"/>
  <c r="CG672" i="8"/>
  <c r="CE672" i="8"/>
  <c r="AS672" i="8"/>
  <c r="CH671" i="8"/>
  <c r="CG671" i="8"/>
  <c r="CE671" i="8"/>
  <c r="AS671" i="8"/>
  <c r="CH670" i="8"/>
  <c r="CG670" i="8"/>
  <c r="CE670" i="8"/>
  <c r="AS670" i="8"/>
  <c r="CH669" i="8"/>
  <c r="CG669" i="8"/>
  <c r="CE669" i="8"/>
  <c r="AS669" i="8"/>
  <c r="CH668" i="8"/>
  <c r="CG668" i="8"/>
  <c r="CE668" i="8"/>
  <c r="AS668" i="8"/>
  <c r="CH667" i="8"/>
  <c r="CG667" i="8"/>
  <c r="CE667" i="8"/>
  <c r="AS667" i="8"/>
  <c r="CH666" i="8"/>
  <c r="CG666" i="8"/>
  <c r="CE666" i="8"/>
  <c r="AS666" i="8"/>
  <c r="CH665" i="8"/>
  <c r="CG665" i="8"/>
  <c r="CE665" i="8"/>
  <c r="AS665" i="8"/>
  <c r="CH664" i="8"/>
  <c r="CG664" i="8"/>
  <c r="CE664" i="8"/>
  <c r="AS664" i="8"/>
  <c r="CH663" i="8"/>
  <c r="CG663" i="8"/>
  <c r="CE663" i="8"/>
  <c r="AS663" i="8"/>
  <c r="CH662" i="8"/>
  <c r="CG662" i="8"/>
  <c r="CE662" i="8"/>
  <c r="AS662" i="8"/>
  <c r="CH661" i="8"/>
  <c r="CG661" i="8"/>
  <c r="CE661" i="8"/>
  <c r="AS661" i="8"/>
  <c r="CH660" i="8"/>
  <c r="CG660" i="8"/>
  <c r="CE660" i="8"/>
  <c r="AS660" i="8"/>
  <c r="CH659" i="8"/>
  <c r="CG659" i="8"/>
  <c r="CE659" i="8"/>
  <c r="AS659" i="8"/>
  <c r="CH658" i="8"/>
  <c r="CG658" i="8"/>
  <c r="CE658" i="8"/>
  <c r="AS658" i="8"/>
  <c r="F658" i="8"/>
  <c r="F659" i="8" s="1"/>
  <c r="F660" i="8" s="1"/>
  <c r="F661" i="8" s="1"/>
  <c r="F662" i="8" s="1"/>
  <c r="F667" i="8" s="1"/>
  <c r="F669" i="8" s="1"/>
  <c r="CH657" i="8"/>
  <c r="CG657" i="8"/>
  <c r="CE657" i="8"/>
  <c r="AS657" i="8"/>
  <c r="CH656" i="8"/>
  <c r="CG656" i="8"/>
  <c r="CE656" i="8"/>
  <c r="AS656" i="8"/>
  <c r="CH655" i="8"/>
  <c r="CG655" i="8"/>
  <c r="CE655" i="8"/>
  <c r="AS655" i="8"/>
  <c r="CH654" i="8"/>
  <c r="CG654" i="8"/>
  <c r="CE654" i="8"/>
  <c r="AS654" i="8"/>
  <c r="CH653" i="8"/>
  <c r="CG653" i="8"/>
  <c r="CE653" i="8"/>
  <c r="AS653" i="8"/>
  <c r="CH652" i="8"/>
  <c r="CG652" i="8"/>
  <c r="CE652" i="8"/>
  <c r="AS652" i="8"/>
  <c r="CH651" i="8"/>
  <c r="CG651" i="8"/>
  <c r="CE651" i="8"/>
  <c r="AS651" i="8"/>
  <c r="CH650" i="8"/>
  <c r="CG650" i="8"/>
  <c r="CE650" i="8"/>
  <c r="AS650" i="8"/>
  <c r="CH649" i="8"/>
  <c r="CG649" i="8"/>
  <c r="CE649" i="8"/>
  <c r="AS649" i="8"/>
  <c r="CH648" i="8"/>
  <c r="CG648" i="8"/>
  <c r="CE648" i="8"/>
  <c r="AS648" i="8"/>
  <c r="CH647" i="8"/>
  <c r="CG647" i="8"/>
  <c r="CE647" i="8"/>
  <c r="AS647" i="8"/>
  <c r="CH646" i="8"/>
  <c r="CG646" i="8"/>
  <c r="CE646" i="8"/>
  <c r="AS646" i="8"/>
  <c r="CH645" i="8"/>
  <c r="CG645" i="8"/>
  <c r="AU645" i="8"/>
  <c r="CE645" i="8" s="1"/>
  <c r="AS645" i="8"/>
  <c r="CH644" i="8"/>
  <c r="CG644" i="8"/>
  <c r="AU644" i="8"/>
  <c r="CE644" i="8" s="1"/>
  <c r="AS644" i="8"/>
  <c r="CH643" i="8"/>
  <c r="CG643" i="8"/>
  <c r="AU643" i="8"/>
  <c r="CE643" i="8" s="1"/>
  <c r="AS643" i="8"/>
  <c r="CH642" i="8"/>
  <c r="CG642" i="8"/>
  <c r="CE642" i="8"/>
  <c r="AU642" i="8"/>
  <c r="AS642" i="8"/>
  <c r="F642" i="8"/>
  <c r="F643" i="8" s="1"/>
  <c r="F644" i="8" s="1"/>
  <c r="F645" i="8" s="1"/>
  <c r="F646" i="8" s="1"/>
  <c r="F647" i="8" s="1"/>
  <c r="F648" i="8" s="1"/>
  <c r="F649" i="8" s="1"/>
  <c r="F650" i="8" s="1"/>
  <c r="CH641" i="8"/>
  <c r="CG641" i="8"/>
  <c r="CE641" i="8"/>
  <c r="AS641" i="8"/>
  <c r="F641" i="8"/>
  <c r="F655" i="8" s="1"/>
  <c r="F656" i="8" s="1"/>
  <c r="CH640" i="8"/>
  <c r="CG640" i="8"/>
  <c r="CE640" i="8"/>
  <c r="AS640" i="8"/>
  <c r="CH639" i="8"/>
  <c r="CG639" i="8"/>
  <c r="CE639" i="8"/>
  <c r="AS639" i="8"/>
  <c r="CH638" i="8"/>
  <c r="CG638" i="8"/>
  <c r="CE638" i="8"/>
  <c r="AS638" i="8"/>
  <c r="CH637" i="8"/>
  <c r="CG637" i="8"/>
  <c r="CE637" i="8"/>
  <c r="AS637" i="8"/>
  <c r="CH636" i="8"/>
  <c r="CG636" i="8"/>
  <c r="CE636" i="8"/>
  <c r="AS636" i="8"/>
  <c r="CH635" i="8"/>
  <c r="CG635" i="8"/>
  <c r="CE635" i="8"/>
  <c r="AS635" i="8"/>
  <c r="CH634" i="8"/>
  <c r="CG634" i="8"/>
  <c r="CE634" i="8"/>
  <c r="AS634" i="8"/>
  <c r="CH633" i="8"/>
  <c r="CG633" i="8"/>
  <c r="CE633" i="8"/>
  <c r="AS633" i="8"/>
  <c r="CH632" i="8"/>
  <c r="CG632" i="8"/>
  <c r="AU632" i="8"/>
  <c r="CE632" i="8" s="1"/>
  <c r="AS632" i="8"/>
  <c r="CH631" i="8"/>
  <c r="CG631" i="8"/>
  <c r="CE631" i="8"/>
  <c r="AS631" i="8"/>
  <c r="CH630" i="8"/>
  <c r="CG630" i="8"/>
  <c r="CE630" i="8"/>
  <c r="AS630" i="8"/>
  <c r="CH629" i="8"/>
  <c r="CG629" i="8"/>
  <c r="CE629" i="8"/>
  <c r="AS629" i="8"/>
  <c r="CH628" i="8"/>
  <c r="CG628" i="8"/>
  <c r="CE628" i="8"/>
  <c r="AS628" i="8"/>
  <c r="CH627" i="8"/>
  <c r="CG627" i="8"/>
  <c r="CE627" i="8"/>
  <c r="AS627" i="8"/>
  <c r="CH626" i="8"/>
  <c r="CG626" i="8"/>
  <c r="CE626" i="8"/>
  <c r="AS626" i="8"/>
  <c r="CH625" i="8"/>
  <c r="CG625" i="8"/>
  <c r="CE625" i="8"/>
  <c r="AS625" i="8"/>
  <c r="CH624" i="8"/>
  <c r="CG624" i="8"/>
  <c r="CE624" i="8"/>
  <c r="AS624" i="8"/>
  <c r="CH623" i="8"/>
  <c r="CG623" i="8"/>
  <c r="CE623" i="8"/>
  <c r="AS623" i="8"/>
  <c r="F623" i="8"/>
  <c r="F624" i="8" s="1"/>
  <c r="F625" i="8" s="1"/>
  <c r="F626" i="8" s="1"/>
  <c r="CH622" i="8"/>
  <c r="CG622" i="8"/>
  <c r="CE622" i="8"/>
  <c r="AS622" i="8"/>
  <c r="F622" i="8"/>
  <c r="F627" i="8" s="1"/>
  <c r="F628" i="8" s="1"/>
  <c r="F629" i="8" s="1"/>
  <c r="F630" i="8" s="1"/>
  <c r="F631" i="8" s="1"/>
  <c r="F632" i="8" s="1"/>
  <c r="F633" i="8" s="1"/>
  <c r="F634" i="8" s="1"/>
  <c r="F635" i="8" s="1"/>
  <c r="F636" i="8" s="1"/>
  <c r="F637" i="8" s="1"/>
  <c r="F638" i="8" s="1"/>
  <c r="F639" i="8" s="1"/>
  <c r="F640" i="8" s="1"/>
  <c r="CH621" i="8"/>
  <c r="CG621" i="8"/>
  <c r="CE621" i="8"/>
  <c r="AS621" i="8"/>
  <c r="CH620" i="8"/>
  <c r="CG620" i="8"/>
  <c r="CE620" i="8"/>
  <c r="AS620" i="8"/>
  <c r="CH619" i="8"/>
  <c r="CG619" i="8"/>
  <c r="CE619" i="8"/>
  <c r="AS619" i="8"/>
  <c r="CH618" i="8"/>
  <c r="CG618" i="8"/>
  <c r="CE618" i="8"/>
  <c r="AS618" i="8"/>
  <c r="CH617" i="8"/>
  <c r="CG617" i="8"/>
  <c r="CE617" i="8"/>
  <c r="AS617" i="8"/>
  <c r="CH616" i="8"/>
  <c r="CG616" i="8"/>
  <c r="CE616" i="8"/>
  <c r="AS616" i="8"/>
  <c r="CH615" i="8"/>
  <c r="CG615" i="8"/>
  <c r="AU615" i="8"/>
  <c r="CE615" i="8" s="1"/>
  <c r="AS615" i="8"/>
  <c r="CH614" i="8"/>
  <c r="CG614" i="8"/>
  <c r="CE614" i="8"/>
  <c r="AS614" i="8"/>
  <c r="CH613" i="8"/>
  <c r="CG613" i="8"/>
  <c r="AW613" i="8"/>
  <c r="AV613" i="8"/>
  <c r="AU613" i="8"/>
  <c r="AS613" i="8"/>
  <c r="CH612" i="8"/>
  <c r="CG612" i="8"/>
  <c r="AW612" i="8"/>
  <c r="AV612" i="8"/>
  <c r="AU612" i="8"/>
  <c r="CE612" i="8" s="1"/>
  <c r="AS612" i="8"/>
  <c r="CH611" i="8"/>
  <c r="CG611" i="8"/>
  <c r="AW611" i="8"/>
  <c r="AV611" i="8"/>
  <c r="AU611" i="8"/>
  <c r="AS611" i="8"/>
  <c r="CH610" i="8"/>
  <c r="CG610" i="8"/>
  <c r="AW610" i="8"/>
  <c r="AV610" i="8"/>
  <c r="AU610" i="8"/>
  <c r="CE610" i="8" s="1"/>
  <c r="AS610" i="8"/>
  <c r="CH609" i="8"/>
  <c r="CG609" i="8"/>
  <c r="AW609" i="8"/>
  <c r="AV609" i="8"/>
  <c r="AU609" i="8"/>
  <c r="AS609" i="8"/>
  <c r="CH608" i="8"/>
  <c r="CG608" i="8"/>
  <c r="AW608" i="8"/>
  <c r="AV608" i="8"/>
  <c r="AU608" i="8"/>
  <c r="CE608" i="8" s="1"/>
  <c r="AS608" i="8"/>
  <c r="CH607" i="8"/>
  <c r="CG607" i="8"/>
  <c r="AW607" i="8"/>
  <c r="AV607" i="8"/>
  <c r="AU607" i="8"/>
  <c r="AS607" i="8"/>
  <c r="CH606" i="8"/>
  <c r="CG606" i="8"/>
  <c r="AW606" i="8"/>
  <c r="CE606" i="8" s="1"/>
  <c r="AV606" i="8"/>
  <c r="AS606" i="8"/>
  <c r="CH605" i="8"/>
  <c r="CG605" i="8"/>
  <c r="AW605" i="8"/>
  <c r="AV605" i="8"/>
  <c r="AU605" i="8"/>
  <c r="AS605" i="8"/>
  <c r="CH604" i="8"/>
  <c r="CG604" i="8"/>
  <c r="AW604" i="8"/>
  <c r="AV604" i="8"/>
  <c r="AU604" i="8"/>
  <c r="AS604" i="8"/>
  <c r="CH603" i="8"/>
  <c r="CG603" i="8"/>
  <c r="AW603" i="8"/>
  <c r="AV603" i="8"/>
  <c r="AU603" i="8"/>
  <c r="AS603" i="8"/>
  <c r="CH602" i="8"/>
  <c r="CG602" i="8"/>
  <c r="AW602" i="8"/>
  <c r="AV602" i="8"/>
  <c r="AS602" i="8"/>
  <c r="CH601" i="8"/>
  <c r="CG601" i="8"/>
  <c r="AW601" i="8"/>
  <c r="AV601" i="8"/>
  <c r="AS601" i="8"/>
  <c r="CH600" i="8"/>
  <c r="CG600" i="8"/>
  <c r="CE600" i="8"/>
  <c r="AW600" i="8"/>
  <c r="AV600" i="8"/>
  <c r="AS600" i="8"/>
  <c r="CH599" i="8"/>
  <c r="CG599" i="8"/>
  <c r="AW599" i="8"/>
  <c r="AV599" i="8"/>
  <c r="AU599" i="8"/>
  <c r="AS599" i="8"/>
  <c r="CH598" i="8"/>
  <c r="CG598" i="8"/>
  <c r="CE598" i="8"/>
  <c r="AS598" i="8"/>
  <c r="CH597" i="8"/>
  <c r="CG597" i="8"/>
  <c r="CE597" i="8"/>
  <c r="AS597" i="8"/>
  <c r="CH596" i="8"/>
  <c r="CG596" i="8"/>
  <c r="CE596" i="8"/>
  <c r="AS596" i="8"/>
  <c r="CH595" i="8"/>
  <c r="CG595" i="8"/>
  <c r="CE595" i="8"/>
  <c r="AS595" i="8"/>
  <c r="CH594" i="8"/>
  <c r="CG594" i="8"/>
  <c r="CE594" i="8"/>
  <c r="AS594" i="8"/>
  <c r="CH593" i="8"/>
  <c r="CG593" i="8"/>
  <c r="CE593" i="8"/>
  <c r="AS593" i="8"/>
  <c r="CH592" i="8"/>
  <c r="CG592" i="8"/>
  <c r="CE592" i="8"/>
  <c r="AS592" i="8"/>
  <c r="CH591" i="8"/>
  <c r="CG591" i="8"/>
  <c r="CE591" i="8"/>
  <c r="AS591" i="8"/>
  <c r="CH590" i="8"/>
  <c r="CG590" i="8"/>
  <c r="CE590" i="8"/>
  <c r="AS590" i="8"/>
  <c r="CH589" i="8"/>
  <c r="CG589" i="8"/>
  <c r="CE589" i="8"/>
  <c r="AS589" i="8"/>
  <c r="CH588" i="8"/>
  <c r="CG588" i="8"/>
  <c r="CE588" i="8"/>
  <c r="AS588" i="8"/>
  <c r="CH587" i="8"/>
  <c r="CG587" i="8"/>
  <c r="CE587" i="8"/>
  <c r="AS587" i="8"/>
  <c r="CH586" i="8"/>
  <c r="CG586" i="8"/>
  <c r="CE586" i="8"/>
  <c r="AS586" i="8"/>
  <c r="CH585" i="8"/>
  <c r="CG585" i="8"/>
  <c r="CE585" i="8"/>
  <c r="AS585" i="8"/>
  <c r="CH584" i="8"/>
  <c r="CG584" i="8"/>
  <c r="CE584" i="8"/>
  <c r="AS584" i="8"/>
  <c r="CH583" i="8"/>
  <c r="CG583" i="8"/>
  <c r="CE583" i="8"/>
  <c r="AS583" i="8"/>
  <c r="CH582" i="8"/>
  <c r="CG582" i="8"/>
  <c r="CE582" i="8"/>
  <c r="AS582" i="8"/>
  <c r="CH581" i="8"/>
  <c r="CG581" i="8"/>
  <c r="CE581" i="8"/>
  <c r="AS581" i="8"/>
  <c r="CH580" i="8"/>
  <c r="CG580" i="8"/>
  <c r="CE580" i="8"/>
  <c r="AS580" i="8"/>
  <c r="CH579" i="8"/>
  <c r="CG579" i="8"/>
  <c r="CE579" i="8"/>
  <c r="AS579" i="8"/>
  <c r="CH578" i="8"/>
  <c r="CG578" i="8"/>
  <c r="CE578" i="8"/>
  <c r="AS578" i="8"/>
  <c r="CH577" i="8"/>
  <c r="CG577" i="8"/>
  <c r="CE577" i="8"/>
  <c r="AS577" i="8"/>
  <c r="CH576" i="8"/>
  <c r="CG576" i="8"/>
  <c r="CE576" i="8"/>
  <c r="AS576" i="8"/>
  <c r="CH575" i="8"/>
  <c r="CG575" i="8"/>
  <c r="CE575" i="8"/>
  <c r="AS575" i="8"/>
  <c r="CH574" i="8"/>
  <c r="CG574" i="8"/>
  <c r="CE574" i="8"/>
  <c r="AS574" i="8"/>
  <c r="CH573" i="8"/>
  <c r="CG573" i="8"/>
  <c r="CE573" i="8"/>
  <c r="AS573" i="8"/>
  <c r="CH572" i="8"/>
  <c r="CG572" i="8"/>
  <c r="CE572" i="8"/>
  <c r="AS572" i="8"/>
  <c r="CH571" i="8"/>
  <c r="CG571" i="8"/>
  <c r="CE571" i="8"/>
  <c r="AS571" i="8"/>
  <c r="CH570" i="8"/>
  <c r="CG570" i="8"/>
  <c r="CE570" i="8"/>
  <c r="AS570" i="8"/>
  <c r="CH569" i="8"/>
  <c r="CG569" i="8"/>
  <c r="CE569" i="8"/>
  <c r="AS569" i="8"/>
  <c r="CH568" i="8"/>
  <c r="CG568" i="8"/>
  <c r="CE568" i="8"/>
  <c r="AS568" i="8"/>
  <c r="CH567" i="8"/>
  <c r="CG567" i="8"/>
  <c r="CE567" i="8"/>
  <c r="AS567" i="8"/>
  <c r="CH566" i="8"/>
  <c r="CG566" i="8"/>
  <c r="CE566" i="8"/>
  <c r="AS566" i="8"/>
  <c r="CH565" i="8"/>
  <c r="CG565" i="8"/>
  <c r="CE565" i="8"/>
  <c r="AS565" i="8"/>
  <c r="CH564" i="8"/>
  <c r="CG564" i="8"/>
  <c r="CE564" i="8"/>
  <c r="AS564" i="8"/>
  <c r="CH563" i="8"/>
  <c r="CG563" i="8"/>
  <c r="CE563" i="8"/>
  <c r="AS563" i="8"/>
  <c r="CH562" i="8"/>
  <c r="CG562" i="8"/>
  <c r="CE562" i="8"/>
  <c r="AS562" i="8"/>
  <c r="CH561" i="8"/>
  <c r="CG561" i="8"/>
  <c r="CE561" i="8"/>
  <c r="AS561" i="8"/>
  <c r="CH560" i="8"/>
  <c r="CG560" i="8"/>
  <c r="CE560" i="8"/>
  <c r="AS560" i="8"/>
  <c r="CH559" i="8"/>
  <c r="CG559" i="8"/>
  <c r="CE559" i="8"/>
  <c r="AS559" i="8"/>
  <c r="CH558" i="8"/>
  <c r="CG558" i="8"/>
  <c r="CE558" i="8"/>
  <c r="AS558" i="8"/>
  <c r="CH557" i="8"/>
  <c r="CG557" i="8"/>
  <c r="CE557" i="8"/>
  <c r="AS557" i="8"/>
  <c r="CH556" i="8"/>
  <c r="CG556" i="8"/>
  <c r="CE556" i="8"/>
  <c r="AS556" i="8"/>
  <c r="CH555" i="8"/>
  <c r="CG555" i="8"/>
  <c r="CE555" i="8"/>
  <c r="AS555" i="8"/>
  <c r="CH554" i="8"/>
  <c r="CG554" i="8"/>
  <c r="CE554" i="8"/>
  <c r="AS554" i="8"/>
  <c r="CH553" i="8"/>
  <c r="CG553" i="8"/>
  <c r="CE553" i="8"/>
  <c r="AS553" i="8"/>
  <c r="CH552" i="8"/>
  <c r="CG552" i="8"/>
  <c r="CE552" i="8"/>
  <c r="AS552" i="8"/>
  <c r="CH551" i="8"/>
  <c r="CG551" i="8"/>
  <c r="CE551" i="8"/>
  <c r="AS551" i="8"/>
  <c r="CH550" i="8"/>
  <c r="CG550" i="8"/>
  <c r="CE550" i="8"/>
  <c r="AS550" i="8"/>
  <c r="CH549" i="8"/>
  <c r="CG549" i="8"/>
  <c r="CE549" i="8"/>
  <c r="AS549" i="8"/>
  <c r="CH548" i="8"/>
  <c r="CG548" i="8"/>
  <c r="CE548" i="8"/>
  <c r="AS548" i="8"/>
  <c r="CH547" i="8"/>
  <c r="CG547" i="8"/>
  <c r="CE547" i="8"/>
  <c r="AS547" i="8"/>
  <c r="CH546" i="8"/>
  <c r="CG546" i="8"/>
  <c r="CE546" i="8"/>
  <c r="AS546" i="8"/>
  <c r="CH545" i="8"/>
  <c r="CG545" i="8"/>
  <c r="CE545" i="8"/>
  <c r="AS545" i="8"/>
  <c r="CH544" i="8"/>
  <c r="CG544" i="8"/>
  <c r="CE544" i="8"/>
  <c r="AS544" i="8"/>
  <c r="CH543" i="8"/>
  <c r="CG543" i="8"/>
  <c r="CE543" i="8"/>
  <c r="AS543" i="8"/>
  <c r="CH542" i="8"/>
  <c r="CG542" i="8"/>
  <c r="CE542" i="8"/>
  <c r="AS542" i="8"/>
  <c r="CH541" i="8"/>
  <c r="CG541" i="8"/>
  <c r="CE541" i="8"/>
  <c r="AS541" i="8"/>
  <c r="CH540" i="8"/>
  <c r="CG540" i="8"/>
  <c r="CE540" i="8"/>
  <c r="AS540" i="8"/>
  <c r="CH539" i="8"/>
  <c r="CG539" i="8"/>
  <c r="CE539" i="8"/>
  <c r="AS539" i="8"/>
  <c r="CH538" i="8"/>
  <c r="CG538" i="8"/>
  <c r="CE538" i="8"/>
  <c r="AS538" i="8"/>
  <c r="CH537" i="8"/>
  <c r="CG537" i="8"/>
  <c r="CE537" i="8"/>
  <c r="AS537" i="8"/>
  <c r="CH536" i="8"/>
  <c r="CG536" i="8"/>
  <c r="CE536" i="8"/>
  <c r="AS536" i="8"/>
  <c r="CH535" i="8"/>
  <c r="CG535" i="8"/>
  <c r="CE535" i="8"/>
  <c r="AS535" i="8"/>
  <c r="CH534" i="8"/>
  <c r="CG534" i="8"/>
  <c r="CE534" i="8"/>
  <c r="AS534" i="8"/>
  <c r="CH533" i="8"/>
  <c r="CG533" i="8"/>
  <c r="CE533" i="8"/>
  <c r="AS533" i="8"/>
  <c r="CH532" i="8"/>
  <c r="CG532" i="8"/>
  <c r="CE532" i="8"/>
  <c r="AS532" i="8"/>
  <c r="CH531" i="8"/>
  <c r="CG531" i="8"/>
  <c r="CE531" i="8"/>
  <c r="AS531" i="8"/>
  <c r="CH530" i="8"/>
  <c r="CG530" i="8"/>
  <c r="CE530" i="8"/>
  <c r="AS530" i="8"/>
  <c r="CH529" i="8"/>
  <c r="CG529" i="8"/>
  <c r="CE529" i="8"/>
  <c r="AS529" i="8"/>
  <c r="CH528" i="8"/>
  <c r="CG528" i="8"/>
  <c r="CE528" i="8"/>
  <c r="AS528" i="8"/>
  <c r="CH527" i="8"/>
  <c r="CG527" i="8"/>
  <c r="CE527" i="8"/>
  <c r="AS527" i="8"/>
  <c r="CH526" i="8"/>
  <c r="CG526" i="8"/>
  <c r="CE526" i="8"/>
  <c r="AS526" i="8"/>
  <c r="CH525" i="8"/>
  <c r="CG525" i="8"/>
  <c r="CE525" i="8"/>
  <c r="AS525" i="8"/>
  <c r="CH524" i="8"/>
  <c r="CG524" i="8"/>
  <c r="CE524" i="8"/>
  <c r="AS524" i="8"/>
  <c r="CH523" i="8"/>
  <c r="CG523" i="8"/>
  <c r="CE523" i="8"/>
  <c r="AS523" i="8"/>
  <c r="CH522" i="8"/>
  <c r="CG522" i="8"/>
  <c r="CE522" i="8"/>
  <c r="AS522" i="8"/>
  <c r="CH521" i="8"/>
  <c r="CG521" i="8"/>
  <c r="CE521" i="8"/>
  <c r="AS521" i="8"/>
  <c r="CH520" i="8"/>
  <c r="CG520" i="8"/>
  <c r="CE520" i="8"/>
  <c r="AS520" i="8"/>
  <c r="CH519" i="8"/>
  <c r="CG519" i="8"/>
  <c r="CE519" i="8"/>
  <c r="AS519" i="8"/>
  <c r="CH518" i="8"/>
  <c r="CG518" i="8"/>
  <c r="CE518" i="8"/>
  <c r="AS518" i="8"/>
  <c r="CH517" i="8"/>
  <c r="CG517" i="8"/>
  <c r="CE517" i="8"/>
  <c r="AS517" i="8"/>
  <c r="CH516" i="8"/>
  <c r="CG516" i="8"/>
  <c r="CE516" i="8"/>
  <c r="AS516" i="8"/>
  <c r="CH515" i="8"/>
  <c r="CG515" i="8"/>
  <c r="CE515" i="8"/>
  <c r="AS515" i="8"/>
  <c r="CH514" i="8"/>
  <c r="CG514" i="8"/>
  <c r="CE514" i="8"/>
  <c r="AS514" i="8"/>
  <c r="CH513" i="8"/>
  <c r="CG513" i="8"/>
  <c r="CE513" i="8"/>
  <c r="AS513" i="8"/>
  <c r="CH512" i="8"/>
  <c r="CG512" i="8"/>
  <c r="CE512" i="8"/>
  <c r="AS512" i="8"/>
  <c r="CH511" i="8"/>
  <c r="CG511" i="8"/>
  <c r="CE511" i="8"/>
  <c r="AS511" i="8"/>
  <c r="CH510" i="8"/>
  <c r="CG510" i="8"/>
  <c r="CE510" i="8"/>
  <c r="AS510" i="8"/>
  <c r="CH509" i="8"/>
  <c r="CG509" i="8"/>
  <c r="CE509" i="8"/>
  <c r="AS509" i="8"/>
  <c r="CH508" i="8"/>
  <c r="CG508" i="8"/>
  <c r="CE508" i="8"/>
  <c r="AS508" i="8"/>
  <c r="CH507" i="8"/>
  <c r="CG507" i="8"/>
  <c r="CE507" i="8"/>
  <c r="AS507" i="8"/>
  <c r="CH506" i="8"/>
  <c r="CG506" i="8"/>
  <c r="CE506" i="8"/>
  <c r="AS506" i="8"/>
  <c r="CH505" i="8"/>
  <c r="CG505" i="8"/>
  <c r="CE505" i="8"/>
  <c r="AS505" i="8"/>
  <c r="CH504" i="8"/>
  <c r="CG504" i="8"/>
  <c r="CE504" i="8"/>
  <c r="AS504" i="8"/>
  <c r="CH503" i="8"/>
  <c r="CG503" i="8"/>
  <c r="CE503" i="8"/>
  <c r="AS503" i="8"/>
  <c r="CH502" i="8"/>
  <c r="CG502" i="8"/>
  <c r="CE502" i="8"/>
  <c r="AS502" i="8"/>
  <c r="CH501" i="8"/>
  <c r="CG501" i="8"/>
  <c r="CE501" i="8"/>
  <c r="AU501" i="8"/>
  <c r="AS501" i="8"/>
  <c r="CH500" i="8"/>
  <c r="CG500" i="8"/>
  <c r="CE500" i="8"/>
  <c r="AS500" i="8"/>
  <c r="CH499" i="8"/>
  <c r="CG499" i="8"/>
  <c r="CE499" i="8"/>
  <c r="AS499" i="8"/>
  <c r="CH498" i="8"/>
  <c r="CG498" i="8"/>
  <c r="CE498" i="8"/>
  <c r="AS498" i="8"/>
  <c r="CH497" i="8"/>
  <c r="CG497" i="8"/>
  <c r="CE497" i="8"/>
  <c r="AS497" i="8"/>
  <c r="CH496" i="8"/>
  <c r="CG496" i="8"/>
  <c r="CE496" i="8"/>
  <c r="AS496" i="8"/>
  <c r="CH495" i="8"/>
  <c r="CG495" i="8"/>
  <c r="CE495" i="8"/>
  <c r="AS495" i="8"/>
  <c r="CH494" i="8"/>
  <c r="CG494" i="8"/>
  <c r="CE494" i="8"/>
  <c r="AS494" i="8"/>
  <c r="CH493" i="8"/>
  <c r="CG493" i="8"/>
  <c r="CE493" i="8"/>
  <c r="AS493" i="8"/>
  <c r="CH492" i="8"/>
  <c r="CG492" i="8"/>
  <c r="CE492" i="8"/>
  <c r="AS492" i="8"/>
  <c r="CH491" i="8"/>
  <c r="CG491" i="8"/>
  <c r="CE491" i="8"/>
  <c r="AS491" i="8"/>
  <c r="CH490" i="8"/>
  <c r="CG490" i="8"/>
  <c r="CE490" i="8"/>
  <c r="AS490" i="8"/>
  <c r="CH489" i="8"/>
  <c r="CG489" i="8"/>
  <c r="CE489" i="8"/>
  <c r="AS489" i="8"/>
  <c r="CH488" i="8"/>
  <c r="CG488" i="8"/>
  <c r="CE488" i="8"/>
  <c r="AS488" i="8"/>
  <c r="CH487" i="8"/>
  <c r="CG487" i="8"/>
  <c r="CE487" i="8"/>
  <c r="AS487" i="8"/>
  <c r="CH486" i="8"/>
  <c r="CG486" i="8"/>
  <c r="CE486" i="8"/>
  <c r="AS486" i="8"/>
  <c r="CH485" i="8"/>
  <c r="CG485" i="8"/>
  <c r="CE485" i="8"/>
  <c r="AS485" i="8"/>
  <c r="CH484" i="8"/>
  <c r="CG484" i="8"/>
  <c r="CE484" i="8"/>
  <c r="AS484" i="8"/>
  <c r="CH483" i="8"/>
  <c r="CG483" i="8"/>
  <c r="CE483" i="8"/>
  <c r="AS483" i="8"/>
  <c r="CH482" i="8"/>
  <c r="CG482" i="8"/>
  <c r="CE482" i="8"/>
  <c r="AS482" i="8"/>
  <c r="CH481" i="8"/>
  <c r="CG481" i="8"/>
  <c r="CE481" i="8"/>
  <c r="AS481" i="8"/>
  <c r="CH480" i="8"/>
  <c r="CG480" i="8"/>
  <c r="CE480" i="8"/>
  <c r="AS480" i="8"/>
  <c r="CH479" i="8"/>
  <c r="CG479" i="8"/>
  <c r="CE479" i="8"/>
  <c r="AS479" i="8"/>
  <c r="CH478" i="8"/>
  <c r="CG478" i="8"/>
  <c r="CE478" i="8"/>
  <c r="AS478" i="8"/>
  <c r="CH477" i="8"/>
  <c r="CG477" i="8"/>
  <c r="CE477" i="8"/>
  <c r="AS477" i="8"/>
  <c r="CH476" i="8"/>
  <c r="CG476" i="8"/>
  <c r="CE476" i="8"/>
  <c r="AS476" i="8"/>
  <c r="CH475" i="8"/>
  <c r="CG475" i="8"/>
  <c r="CE475" i="8"/>
  <c r="AS475" i="8"/>
  <c r="CH474" i="8"/>
  <c r="CG474" i="8"/>
  <c r="CE474" i="8"/>
  <c r="AS474" i="8"/>
  <c r="CH473" i="8"/>
  <c r="CG473" i="8"/>
  <c r="CE473" i="8"/>
  <c r="AS473" i="8"/>
  <c r="CH472" i="8"/>
  <c r="CG472" i="8"/>
  <c r="CE472" i="8"/>
  <c r="AS472" i="8"/>
  <c r="CH471" i="8"/>
  <c r="CG471" i="8"/>
  <c r="CE471" i="8"/>
  <c r="AS471" i="8"/>
  <c r="CH470" i="8"/>
  <c r="CG470" i="8"/>
  <c r="CE470" i="8"/>
  <c r="AS470" i="8"/>
  <c r="CH469" i="8"/>
  <c r="CG469" i="8"/>
  <c r="CE469" i="8"/>
  <c r="AS469" i="8"/>
  <c r="CH468" i="8"/>
  <c r="CG468" i="8"/>
  <c r="CE468" i="8"/>
  <c r="AS468" i="8"/>
  <c r="CH467" i="8"/>
  <c r="CG467" i="8"/>
  <c r="CE467" i="8"/>
  <c r="AS467" i="8"/>
  <c r="CH466" i="8"/>
  <c r="CG466" i="8"/>
  <c r="CE466" i="8"/>
  <c r="AS466" i="8"/>
  <c r="CH465" i="8"/>
  <c r="CG465" i="8"/>
  <c r="CE465" i="8"/>
  <c r="AS465" i="8"/>
  <c r="CH464" i="8"/>
  <c r="CG464" i="8"/>
  <c r="CE464" i="8"/>
  <c r="AS464" i="8"/>
  <c r="CH463" i="8"/>
  <c r="CG463" i="8"/>
  <c r="CE463" i="8"/>
  <c r="AS463" i="8"/>
  <c r="CH462" i="8"/>
  <c r="CG462" i="8"/>
  <c r="CE462" i="8"/>
  <c r="AS462" i="8"/>
  <c r="CH461" i="8"/>
  <c r="CG461" i="8"/>
  <c r="CE461" i="8"/>
  <c r="AS461" i="8"/>
  <c r="CH460" i="8"/>
  <c r="CG460" i="8"/>
  <c r="CE460" i="8"/>
  <c r="AS460" i="8"/>
  <c r="CH459" i="8"/>
  <c r="CG459" i="8"/>
  <c r="CE459" i="8"/>
  <c r="AS459" i="8"/>
  <c r="CH458" i="8"/>
  <c r="CG458" i="8"/>
  <c r="CE458" i="8"/>
  <c r="AS458" i="8"/>
  <c r="CH457" i="8"/>
  <c r="CG457" i="8"/>
  <c r="AU457" i="8"/>
  <c r="CE457" i="8" s="1"/>
  <c r="AS457" i="8"/>
  <c r="CH456" i="8"/>
  <c r="CG456" i="8"/>
  <c r="CE456" i="8"/>
  <c r="AS456" i="8"/>
  <c r="CH455" i="8"/>
  <c r="CG455" i="8"/>
  <c r="CE455" i="8"/>
  <c r="AS455" i="8"/>
  <c r="CH454" i="8"/>
  <c r="CG454" i="8"/>
  <c r="CE454" i="8"/>
  <c r="AU454" i="8"/>
  <c r="AS454" i="8"/>
  <c r="CH453" i="8"/>
  <c r="CG453" i="8"/>
  <c r="CE453" i="8"/>
  <c r="AS453" i="8"/>
  <c r="CH452" i="8"/>
  <c r="CG452" i="8"/>
  <c r="CE452" i="8"/>
  <c r="AS452" i="8"/>
  <c r="CH451" i="8"/>
  <c r="CG451" i="8"/>
  <c r="CE451" i="8"/>
  <c r="AS451" i="8"/>
  <c r="CH450" i="8"/>
  <c r="CG450" i="8"/>
  <c r="CE450" i="8"/>
  <c r="AS450" i="8"/>
  <c r="CH449" i="8"/>
  <c r="CG449" i="8"/>
  <c r="CE449" i="8"/>
  <c r="AS449" i="8"/>
  <c r="F449" i="8"/>
  <c r="CH448" i="8"/>
  <c r="CG448" i="8"/>
  <c r="CE448" i="8"/>
  <c r="AS448" i="8"/>
  <c r="CH447" i="8"/>
  <c r="CG447" i="8"/>
  <c r="CE447" i="8"/>
  <c r="AS447" i="8"/>
  <c r="CH446" i="8"/>
  <c r="CG446" i="8"/>
  <c r="CE446" i="8"/>
  <c r="AS446" i="8"/>
  <c r="CH445" i="8"/>
  <c r="CG445" i="8"/>
  <c r="CE445" i="8"/>
  <c r="AS445" i="8"/>
  <c r="CH444" i="8"/>
  <c r="CG444" i="8"/>
  <c r="CE444" i="8"/>
  <c r="AS444" i="8"/>
  <c r="CH443" i="8"/>
  <c r="CG443" i="8"/>
  <c r="CE443" i="8"/>
  <c r="AS443" i="8"/>
  <c r="CH442" i="8"/>
  <c r="CG442" i="8"/>
  <c r="CE442" i="8"/>
  <c r="AS442" i="8"/>
  <c r="CH441" i="8"/>
  <c r="CG441" i="8"/>
  <c r="CE441" i="8"/>
  <c r="AS441" i="8"/>
  <c r="CH440" i="8"/>
  <c r="CG440" i="8"/>
  <c r="CE440" i="8"/>
  <c r="AS440" i="8"/>
  <c r="CH439" i="8"/>
  <c r="CG439" i="8"/>
  <c r="CE439" i="8"/>
  <c r="AS439" i="8"/>
  <c r="CH438" i="8"/>
  <c r="CG438" i="8"/>
  <c r="CE438" i="8"/>
  <c r="AS438" i="8"/>
  <c r="CH437" i="8"/>
  <c r="CG437" i="8"/>
  <c r="CE437" i="8"/>
  <c r="AS437" i="8"/>
  <c r="CH436" i="8"/>
  <c r="CG436" i="8"/>
  <c r="CE436" i="8"/>
  <c r="AS436" i="8"/>
  <c r="CH435" i="8"/>
  <c r="CG435" i="8"/>
  <c r="CE435" i="8"/>
  <c r="AS435" i="8"/>
  <c r="CH434" i="8"/>
  <c r="CG434" i="8"/>
  <c r="CE434" i="8"/>
  <c r="AS434" i="8"/>
  <c r="CH433" i="8"/>
  <c r="CG433" i="8"/>
  <c r="AU433" i="8"/>
  <c r="CE433" i="8" s="1"/>
  <c r="AS433" i="8"/>
  <c r="CH432" i="8"/>
  <c r="CG432" i="8"/>
  <c r="AU432" i="8"/>
  <c r="CE432" i="8" s="1"/>
  <c r="AS432" i="8"/>
  <c r="CH431" i="8"/>
  <c r="CG431" i="8"/>
  <c r="CE431" i="8"/>
  <c r="AS431" i="8"/>
  <c r="CH430" i="8"/>
  <c r="CG430" i="8"/>
  <c r="CE430" i="8"/>
  <c r="AS430" i="8"/>
  <c r="CH429" i="8"/>
  <c r="CG429" i="8"/>
  <c r="CE429" i="8"/>
  <c r="AS429" i="8"/>
  <c r="CH428" i="8"/>
  <c r="CG428" i="8"/>
  <c r="CE428" i="8"/>
  <c r="AS428" i="8"/>
  <c r="CH427" i="8"/>
  <c r="CG427" i="8"/>
  <c r="CE427" i="8"/>
  <c r="AS427" i="8"/>
  <c r="CH426" i="8"/>
  <c r="CG426" i="8"/>
  <c r="CE426" i="8"/>
  <c r="AS426" i="8"/>
  <c r="CH425" i="8"/>
  <c r="CG425" i="8"/>
  <c r="CE425" i="8"/>
  <c r="AS425" i="8"/>
  <c r="CH424" i="8"/>
  <c r="CG424" i="8"/>
  <c r="CE424" i="8"/>
  <c r="AS424" i="8"/>
  <c r="CH423" i="8"/>
  <c r="CG423" i="8"/>
  <c r="CE423" i="8"/>
  <c r="AS423" i="8"/>
  <c r="CH422" i="8"/>
  <c r="CG422" i="8"/>
  <c r="CE422" i="8"/>
  <c r="AS422" i="8"/>
  <c r="CH421" i="8"/>
  <c r="CG421" i="8"/>
  <c r="CE421" i="8"/>
  <c r="AS421" i="8"/>
  <c r="CH420" i="8"/>
  <c r="CG420" i="8"/>
  <c r="CE420" i="8"/>
  <c r="AS420" i="8"/>
  <c r="CH419" i="8"/>
  <c r="CG419" i="8"/>
  <c r="CE419" i="8"/>
  <c r="AS419" i="8"/>
  <c r="CH418" i="8"/>
  <c r="CG418" i="8"/>
  <c r="CE418" i="8"/>
  <c r="AS418" i="8"/>
  <c r="CN417" i="8"/>
  <c r="CM417" i="8"/>
  <c r="CL417" i="8"/>
  <c r="CK417" i="8"/>
  <c r="CJ417" i="8"/>
  <c r="CI417" i="8"/>
  <c r="CD417" i="8"/>
  <c r="CC417" i="8"/>
  <c r="CB417" i="8"/>
  <c r="CA417" i="8"/>
  <c r="BZ417" i="8"/>
  <c r="BY417" i="8"/>
  <c r="BX417" i="8"/>
  <c r="BW417" i="8"/>
  <c r="BV417" i="8"/>
  <c r="BU417" i="8"/>
  <c r="BT417" i="8"/>
  <c r="BS417" i="8"/>
  <c r="BR417" i="8"/>
  <c r="BQ417" i="8"/>
  <c r="BP417" i="8"/>
  <c r="BO417" i="8"/>
  <c r="BN417" i="8"/>
  <c r="BM417" i="8"/>
  <c r="BL417" i="8"/>
  <c r="BK417" i="8"/>
  <c r="BJ417" i="8"/>
  <c r="BH417" i="8"/>
  <c r="BG417" i="8"/>
  <c r="BF417" i="8"/>
  <c r="BE417" i="8"/>
  <c r="BD417" i="8"/>
  <c r="BC417" i="8"/>
  <c r="BB417" i="8"/>
  <c r="BA417" i="8"/>
  <c r="AZ417" i="8"/>
  <c r="AY417" i="8"/>
  <c r="AX417" i="8"/>
  <c r="AW417" i="8"/>
  <c r="AV417" i="8"/>
  <c r="AT417" i="8"/>
  <c r="AR417" i="8"/>
  <c r="AQ417" i="8"/>
  <c r="AP417" i="8"/>
  <c r="AO417" i="8"/>
  <c r="AN417" i="8"/>
  <c r="AM417" i="8"/>
  <c r="AL417" i="8"/>
  <c r="AK417" i="8"/>
  <c r="AJ417" i="8"/>
  <c r="AI417" i="8"/>
  <c r="AH417" i="8"/>
  <c r="AG417" i="8"/>
  <c r="AF417" i="8"/>
  <c r="AE417" i="8"/>
  <c r="AD417" i="8"/>
  <c r="AC417" i="8"/>
  <c r="AB417" i="8"/>
  <c r="AA417" i="8"/>
  <c r="Z417" i="8"/>
  <c r="Y417" i="8"/>
  <c r="X417" i="8"/>
  <c r="W417" i="8"/>
  <c r="V417" i="8"/>
  <c r="U417" i="8"/>
  <c r="T417" i="8"/>
  <c r="S417" i="8"/>
  <c r="R417" i="8"/>
  <c r="Q417" i="8"/>
  <c r="P417" i="8"/>
  <c r="O417" i="8"/>
  <c r="N417" i="8"/>
  <c r="M417" i="8"/>
  <c r="L417" i="8"/>
  <c r="K417" i="8"/>
  <c r="J417" i="8"/>
  <c r="I417" i="8"/>
  <c r="CH416" i="8"/>
  <c r="CG416" i="8"/>
  <c r="BI416" i="8"/>
  <c r="CE416" i="8" s="1"/>
  <c r="AU416" i="8"/>
  <c r="AS416" i="8"/>
  <c r="CH415" i="8"/>
  <c r="CG415" i="8"/>
  <c r="BI415" i="8"/>
  <c r="AU415" i="8"/>
  <c r="AS415" i="8"/>
  <c r="CH414" i="8"/>
  <c r="CG414" i="8"/>
  <c r="CE414" i="8"/>
  <c r="AS414" i="8"/>
  <c r="CH413" i="8"/>
  <c r="CG413" i="8"/>
  <c r="BI413" i="8"/>
  <c r="CE413" i="8" s="1"/>
  <c r="AS413" i="8"/>
  <c r="CH412" i="8"/>
  <c r="CG412" i="8"/>
  <c r="BI412" i="8"/>
  <c r="CE412" i="8" s="1"/>
  <c r="AS412" i="8"/>
  <c r="CH411" i="8"/>
  <c r="CG411" i="8"/>
  <c r="BI411" i="8"/>
  <c r="AS411" i="8"/>
  <c r="CH410" i="8"/>
  <c r="CG410" i="8"/>
  <c r="BI410" i="8"/>
  <c r="AU410" i="8"/>
  <c r="AS410" i="8"/>
  <c r="B410" i="8"/>
  <c r="CH409" i="8"/>
  <c r="CG409" i="8"/>
  <c r="BI409" i="8"/>
  <c r="CE409" i="8" s="1"/>
  <c r="AS409" i="8"/>
  <c r="CI408" i="8"/>
  <c r="CH408" i="8"/>
  <c r="CG408" i="8"/>
  <c r="CD408" i="8"/>
  <c r="CC408" i="8"/>
  <c r="CB408" i="8"/>
  <c r="CA408" i="8"/>
  <c r="BZ408" i="8"/>
  <c r="BY408" i="8"/>
  <c r="BX408" i="8"/>
  <c r="BW408" i="8"/>
  <c r="BV408" i="8"/>
  <c r="BU408" i="8"/>
  <c r="BT408" i="8"/>
  <c r="BS408" i="8"/>
  <c r="BR408" i="8"/>
  <c r="BQ408" i="8"/>
  <c r="BP408" i="8"/>
  <c r="BO408" i="8"/>
  <c r="BN408" i="8"/>
  <c r="BM408" i="8"/>
  <c r="BL408" i="8"/>
  <c r="BK408" i="8"/>
  <c r="BJ408" i="8"/>
  <c r="BH408" i="8"/>
  <c r="BG408" i="8"/>
  <c r="BF408" i="8"/>
  <c r="BE408" i="8"/>
  <c r="BD408" i="8"/>
  <c r="BC408" i="8"/>
  <c r="BB408" i="8"/>
  <c r="BA408" i="8"/>
  <c r="AZ408" i="8"/>
  <c r="AY408" i="8"/>
  <c r="AX408" i="8"/>
  <c r="AW408" i="8"/>
  <c r="AT408" i="8"/>
  <c r="AR408" i="8"/>
  <c r="AQ408" i="8"/>
  <c r="AP408" i="8"/>
  <c r="AO408" i="8"/>
  <c r="AN408" i="8"/>
  <c r="AM408" i="8"/>
  <c r="AL408" i="8"/>
  <c r="AK408" i="8"/>
  <c r="AJ408" i="8"/>
  <c r="AI408" i="8"/>
  <c r="AH408" i="8"/>
  <c r="AG408" i="8"/>
  <c r="AF408" i="8"/>
  <c r="AE408" i="8"/>
  <c r="AD408" i="8"/>
  <c r="AC408" i="8"/>
  <c r="AB408" i="8"/>
  <c r="AA408" i="8"/>
  <c r="Z408" i="8"/>
  <c r="Y408" i="8"/>
  <c r="X408" i="8"/>
  <c r="W408" i="8"/>
  <c r="V408" i="8"/>
  <c r="U408" i="8"/>
  <c r="T408" i="8"/>
  <c r="S408" i="8"/>
  <c r="R408" i="8"/>
  <c r="Q408" i="8"/>
  <c r="P408" i="8"/>
  <c r="O408" i="8"/>
  <c r="N408" i="8"/>
  <c r="M408" i="8"/>
  <c r="L408" i="8"/>
  <c r="K408" i="8"/>
  <c r="J408" i="8"/>
  <c r="I408" i="8"/>
  <c r="H408" i="8"/>
  <c r="CH407" i="8"/>
  <c r="CG407" i="8"/>
  <c r="CE407" i="8"/>
  <c r="AS407" i="8"/>
  <c r="CH406" i="8"/>
  <c r="CG406" i="8"/>
  <c r="BI406" i="8"/>
  <c r="AU406" i="8"/>
  <c r="CE406" i="8" s="1"/>
  <c r="AS406" i="8"/>
  <c r="CH405" i="8"/>
  <c r="CG405" i="8"/>
  <c r="BI405" i="8"/>
  <c r="AU405" i="8"/>
  <c r="AS405" i="8"/>
  <c r="CH404" i="8"/>
  <c r="CG404" i="8"/>
  <c r="AU404" i="8"/>
  <c r="CE404" i="8" s="1"/>
  <c r="AS404" i="8"/>
  <c r="CH403" i="8"/>
  <c r="CG403" i="8"/>
  <c r="CE403" i="8"/>
  <c r="AS403" i="8"/>
  <c r="CH402" i="8"/>
  <c r="CG402" i="8"/>
  <c r="CE402" i="8"/>
  <c r="AS402" i="8"/>
  <c r="CH401" i="8"/>
  <c r="CG401" i="8"/>
  <c r="CE401" i="8"/>
  <c r="AS401" i="8"/>
  <c r="CH400" i="8"/>
  <c r="CG400" i="8"/>
  <c r="AU400" i="8"/>
  <c r="AV400" i="8" s="1"/>
  <c r="AV408" i="8" s="1"/>
  <c r="AS400" i="8"/>
  <c r="CH399" i="8"/>
  <c r="CG399" i="8"/>
  <c r="CE399" i="8"/>
  <c r="AS399" i="8"/>
  <c r="CH398" i="8"/>
  <c r="CG398" i="8"/>
  <c r="CE398" i="8"/>
  <c r="AS398" i="8"/>
  <c r="CH397" i="8"/>
  <c r="CG397" i="8"/>
  <c r="CE397" i="8"/>
  <c r="AS397" i="8"/>
  <c r="CH396" i="8"/>
  <c r="CG396" i="8"/>
  <c r="CE396" i="8"/>
  <c r="AS396" i="8"/>
  <c r="CH395" i="8"/>
  <c r="CG395" i="8"/>
  <c r="CE395" i="8"/>
  <c r="AS395" i="8"/>
  <c r="CH394" i="8"/>
  <c r="CG394" i="8"/>
  <c r="CE394" i="8"/>
  <c r="AS394" i="8"/>
  <c r="CH393" i="8"/>
  <c r="CG393" i="8"/>
  <c r="CE393" i="8"/>
  <c r="AS393" i="8"/>
  <c r="CH392" i="8"/>
  <c r="CG392" i="8"/>
  <c r="CE392" i="8"/>
  <c r="AS392" i="8"/>
  <c r="CH391" i="8"/>
  <c r="CG391" i="8"/>
  <c r="CE391" i="8"/>
  <c r="AS391" i="8"/>
  <c r="CH390" i="8"/>
  <c r="CG390" i="8"/>
  <c r="CE390" i="8"/>
  <c r="AS390" i="8"/>
  <c r="CH389" i="8"/>
  <c r="CG389" i="8"/>
  <c r="CE389" i="8"/>
  <c r="AU389" i="8"/>
  <c r="AS389" i="8"/>
  <c r="CH388" i="8"/>
  <c r="CG388" i="8"/>
  <c r="CE388" i="8"/>
  <c r="AS388" i="8"/>
  <c r="CH387" i="8"/>
  <c r="CG387" i="8"/>
  <c r="CE387" i="8"/>
  <c r="AS387" i="8"/>
  <c r="CH386" i="8"/>
  <c r="CG386" i="8"/>
  <c r="CE386" i="8"/>
  <c r="AS386" i="8"/>
  <c r="CH385" i="8"/>
  <c r="CG385" i="8"/>
  <c r="CE385" i="8"/>
  <c r="AS385" i="8"/>
  <c r="CH384" i="8"/>
  <c r="CG384" i="8"/>
  <c r="CE384" i="8"/>
  <c r="AS384" i="8"/>
  <c r="CH383" i="8"/>
  <c r="CG383" i="8"/>
  <c r="CE383" i="8"/>
  <c r="AS383" i="8"/>
  <c r="CH382" i="8"/>
  <c r="CG382" i="8"/>
  <c r="CE382" i="8"/>
  <c r="AS382" i="8"/>
  <c r="CH381" i="8"/>
  <c r="CG381" i="8"/>
  <c r="CE381" i="8"/>
  <c r="AS381" i="8"/>
  <c r="CH380" i="8"/>
  <c r="CG380" i="8"/>
  <c r="CE380" i="8"/>
  <c r="AS380" i="8"/>
  <c r="CH379" i="8"/>
  <c r="CG379" i="8"/>
  <c r="CE379" i="8"/>
  <c r="AS379" i="8"/>
  <c r="CH378" i="8"/>
  <c r="CG378" i="8"/>
  <c r="CE378" i="8"/>
  <c r="AS378" i="8"/>
  <c r="CH377" i="8"/>
  <c r="CG377" i="8"/>
  <c r="CE377" i="8"/>
  <c r="AS377" i="8"/>
  <c r="CH376" i="8"/>
  <c r="CG376" i="8"/>
  <c r="CE376" i="8"/>
  <c r="AS376" i="8"/>
  <c r="CH375" i="8"/>
  <c r="CG375" i="8"/>
  <c r="CE375" i="8"/>
  <c r="AS375" i="8"/>
  <c r="CH374" i="8"/>
  <c r="CG374" i="8"/>
  <c r="CE374" i="8"/>
  <c r="AS374" i="8"/>
  <c r="CH373" i="8"/>
  <c r="CG373" i="8"/>
  <c r="CE373" i="8"/>
  <c r="AS373" i="8"/>
  <c r="CH372" i="8"/>
  <c r="CG372" i="8"/>
  <c r="CE372" i="8"/>
  <c r="AS372" i="8"/>
  <c r="CH371" i="8"/>
  <c r="CG371" i="8"/>
  <c r="CE371" i="8"/>
  <c r="AS371" i="8"/>
  <c r="CH370" i="8"/>
  <c r="CG370" i="8"/>
  <c r="CE370" i="8"/>
  <c r="AS370" i="8"/>
  <c r="CH369" i="8"/>
  <c r="CG369" i="8"/>
  <c r="CE369" i="8"/>
  <c r="AS369" i="8"/>
  <c r="CH368" i="8"/>
  <c r="CG368" i="8"/>
  <c r="CE368" i="8"/>
  <c r="AS368" i="8"/>
  <c r="CH367" i="8"/>
  <c r="CG367" i="8"/>
  <c r="CE367" i="8"/>
  <c r="AS367" i="8"/>
  <c r="CH366" i="8"/>
  <c r="CG366" i="8"/>
  <c r="CE366" i="8"/>
  <c r="AS366" i="8"/>
  <c r="CH365" i="8"/>
  <c r="CG365" i="8"/>
  <c r="CE365" i="8"/>
  <c r="AS365" i="8"/>
  <c r="CH364" i="8"/>
  <c r="CG364" i="8"/>
  <c r="CE364" i="8"/>
  <c r="AS364" i="8"/>
  <c r="CH363" i="8"/>
  <c r="CG363" i="8"/>
  <c r="CE363" i="8"/>
  <c r="AS363" i="8"/>
  <c r="CH362" i="8"/>
  <c r="CG362" i="8"/>
  <c r="CE362" i="8"/>
  <c r="AS362" i="8"/>
  <c r="CH361" i="8"/>
  <c r="CG361" i="8"/>
  <c r="CE361" i="8"/>
  <c r="AS361" i="8"/>
  <c r="CH360" i="8"/>
  <c r="CG360" i="8"/>
  <c r="CE360" i="8"/>
  <c r="AS360" i="8"/>
  <c r="CH359" i="8"/>
  <c r="CG359" i="8"/>
  <c r="CE359" i="8"/>
  <c r="AS359" i="8"/>
  <c r="CH358" i="8"/>
  <c r="CG358" i="8"/>
  <c r="CE358" i="8"/>
  <c r="AS358" i="8"/>
  <c r="CH357" i="8"/>
  <c r="CG357" i="8"/>
  <c r="CE357" i="8"/>
  <c r="AS357" i="8"/>
  <c r="CH356" i="8"/>
  <c r="CG356" i="8"/>
  <c r="CE356" i="8"/>
  <c r="AS356" i="8"/>
  <c r="CH355" i="8"/>
  <c r="CG355" i="8"/>
  <c r="CE355" i="8"/>
  <c r="AS355" i="8"/>
  <c r="CH354" i="8"/>
  <c r="CG354" i="8"/>
  <c r="CE354" i="8"/>
  <c r="AS354" i="8"/>
  <c r="CH353" i="8"/>
  <c r="CG353" i="8"/>
  <c r="CE353" i="8"/>
  <c r="AS353" i="8"/>
  <c r="CH352" i="8"/>
  <c r="CG352" i="8"/>
  <c r="CE352" i="8"/>
  <c r="AS352" i="8"/>
  <c r="CH351" i="8"/>
  <c r="CG351" i="8"/>
  <c r="CE351" i="8"/>
  <c r="AS351" i="8"/>
  <c r="CH350" i="8"/>
  <c r="CG350" i="8"/>
  <c r="CE350" i="8"/>
  <c r="AS350" i="8"/>
  <c r="CH349" i="8"/>
  <c r="CG349" i="8"/>
  <c r="CE349" i="8"/>
  <c r="AS349" i="8"/>
  <c r="CH348" i="8"/>
  <c r="CG348" i="8"/>
  <c r="CE348" i="8"/>
  <c r="AS348" i="8"/>
  <c r="CH347" i="8"/>
  <c r="CG347" i="8"/>
  <c r="CE347" i="8"/>
  <c r="AS347" i="8"/>
  <c r="CH346" i="8"/>
  <c r="CG346" i="8"/>
  <c r="CE346" i="8"/>
  <c r="AS346" i="8"/>
  <c r="F346" i="8"/>
  <c r="F352" i="8" s="1"/>
  <c r="F360" i="8" s="1"/>
  <c r="F366" i="8" s="1"/>
  <c r="F369" i="8" s="1"/>
  <c r="CH345" i="8"/>
  <c r="CG345" i="8"/>
  <c r="CE345" i="8"/>
  <c r="AS345" i="8"/>
  <c r="F345" i="8"/>
  <c r="F351" i="8" s="1"/>
  <c r="F359" i="8" s="1"/>
  <c r="F365" i="8" s="1"/>
  <c r="F368" i="8" s="1"/>
  <c r="CH344" i="8"/>
  <c r="CG344" i="8"/>
  <c r="CE344" i="8"/>
  <c r="AS344" i="8"/>
  <c r="F344" i="8"/>
  <c r="F348" i="8" s="1"/>
  <c r="F350" i="8" s="1"/>
  <c r="F354" i="8" s="1"/>
  <c r="F356" i="8" s="1"/>
  <c r="F358" i="8" s="1"/>
  <c r="CH343" i="8"/>
  <c r="CG343" i="8"/>
  <c r="CE343" i="8"/>
  <c r="AS343" i="8"/>
  <c r="F343" i="8"/>
  <c r="F347" i="8" s="1"/>
  <c r="F349" i="8" s="1"/>
  <c r="F353" i="8" s="1"/>
  <c r="F355" i="8" s="1"/>
  <c r="F357" i="8" s="1"/>
  <c r="F361" i="8" s="1"/>
  <c r="F363" i="8" s="1"/>
  <c r="F370" i="8" s="1"/>
  <c r="CH342" i="8"/>
  <c r="CG342" i="8"/>
  <c r="CE342" i="8"/>
  <c r="AS342" i="8"/>
  <c r="CH341" i="8"/>
  <c r="CG341" i="8"/>
  <c r="CE341" i="8"/>
  <c r="AS341" i="8"/>
  <c r="CH340" i="8"/>
  <c r="CG340" i="8"/>
  <c r="CE340" i="8"/>
  <c r="AS340" i="8"/>
  <c r="CH339" i="8"/>
  <c r="CH338" i="8"/>
  <c r="CG338" i="8"/>
  <c r="CE338" i="8"/>
  <c r="AS338" i="8"/>
  <c r="CH337" i="8"/>
  <c r="CG337" i="8"/>
  <c r="CE337" i="8"/>
  <c r="AS337" i="8"/>
  <c r="CH336" i="8"/>
  <c r="CG336" i="8"/>
  <c r="BI336" i="8"/>
  <c r="AU336" i="8"/>
  <c r="AS336" i="8"/>
  <c r="CH335" i="8"/>
  <c r="CG335" i="8"/>
  <c r="BI335" i="8"/>
  <c r="AU335" i="8"/>
  <c r="CE335" i="8" s="1"/>
  <c r="AS335" i="8"/>
  <c r="CH334" i="8"/>
  <c r="CG334" i="8"/>
  <c r="CE334" i="8"/>
  <c r="BI334" i="8"/>
  <c r="AS334" i="8"/>
  <c r="CH333" i="8"/>
  <c r="CG333" i="8"/>
  <c r="BI333" i="8"/>
  <c r="CE333" i="8" s="1"/>
  <c r="AS333" i="8"/>
  <c r="CH332" i="8"/>
  <c r="CG332" i="8"/>
  <c r="CE332" i="8"/>
  <c r="BI332" i="8"/>
  <c r="AS332" i="8"/>
  <c r="CH331" i="8"/>
  <c r="CG331" i="8"/>
  <c r="CE331" i="8"/>
  <c r="AS331" i="8"/>
  <c r="CH330" i="8"/>
  <c r="CG330" i="8"/>
  <c r="CE330" i="8"/>
  <c r="AS330" i="8"/>
  <c r="CH329" i="8"/>
  <c r="CG329" i="8"/>
  <c r="BI329" i="8"/>
  <c r="CE329" i="8" s="1"/>
  <c r="AS329" i="8"/>
  <c r="CH328" i="8"/>
  <c r="CG328" i="8"/>
  <c r="CE328" i="8"/>
  <c r="BI328" i="8"/>
  <c r="AS328" i="8"/>
  <c r="CH327" i="8"/>
  <c r="CG327" i="8"/>
  <c r="CE327" i="8"/>
  <c r="AS327" i="8"/>
  <c r="CH326" i="8"/>
  <c r="CG326" i="8"/>
  <c r="CE326" i="8"/>
  <c r="AS326" i="8"/>
  <c r="CH325" i="8"/>
  <c r="CG325" i="8"/>
  <c r="CE325" i="8"/>
  <c r="AS325" i="8"/>
  <c r="CP324" i="8"/>
  <c r="CO324" i="8"/>
  <c r="CN324" i="8"/>
  <c r="CM324" i="8"/>
  <c r="CL324" i="8"/>
  <c r="CK324" i="8"/>
  <c r="CJ324" i="8"/>
  <c r="CI324" i="8"/>
  <c r="CD324" i="8"/>
  <c r="CC324" i="8"/>
  <c r="CB324" i="8"/>
  <c r="CA324" i="8"/>
  <c r="BZ324" i="8"/>
  <c r="BY324" i="8"/>
  <c r="BX324" i="8"/>
  <c r="BW324" i="8"/>
  <c r="BV324" i="8"/>
  <c r="BU324" i="8"/>
  <c r="BT324" i="8"/>
  <c r="BS324" i="8"/>
  <c r="BR324" i="8"/>
  <c r="BQ324" i="8"/>
  <c r="BP324" i="8"/>
  <c r="BO324" i="8"/>
  <c r="BN324" i="8"/>
  <c r="BM324" i="8"/>
  <c r="BL324" i="8"/>
  <c r="BK324" i="8"/>
  <c r="BJ324" i="8"/>
  <c r="BI324" i="8"/>
  <c r="BH324" i="8"/>
  <c r="BG324" i="8"/>
  <c r="BF324" i="8"/>
  <c r="BE324" i="8"/>
  <c r="BD324" i="8"/>
  <c r="BC324" i="8"/>
  <c r="BB324" i="8"/>
  <c r="BA324" i="8"/>
  <c r="AZ324" i="8"/>
  <c r="AY324" i="8"/>
  <c r="AX324" i="8"/>
  <c r="AW324" i="8"/>
  <c r="AV324" i="8"/>
  <c r="AU324" i="8"/>
  <c r="AT324" i="8"/>
  <c r="AR324" i="8"/>
  <c r="AQ324" i="8"/>
  <c r="AP324" i="8"/>
  <c r="AO324" i="8"/>
  <c r="AN324" i="8"/>
  <c r="AM324" i="8"/>
  <c r="AL324" i="8"/>
  <c r="AK324" i="8"/>
  <c r="AJ324" i="8"/>
  <c r="AI324" i="8"/>
  <c r="AH324" i="8"/>
  <c r="AG324" i="8"/>
  <c r="AF324" i="8"/>
  <c r="AE324" i="8"/>
  <c r="AD324" i="8"/>
  <c r="AC324" i="8"/>
  <c r="AB324" i="8"/>
  <c r="AA324" i="8"/>
  <c r="Z324" i="8"/>
  <c r="Y324" i="8"/>
  <c r="X324" i="8"/>
  <c r="W324" i="8"/>
  <c r="V324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CH323" i="8"/>
  <c r="CG323" i="8"/>
  <c r="CE323" i="8"/>
  <c r="AS323" i="8"/>
  <c r="CH322" i="8"/>
  <c r="CG322" i="8"/>
  <c r="CE322" i="8"/>
  <c r="AS322" i="8"/>
  <c r="CH321" i="8"/>
  <c r="CG321" i="8"/>
  <c r="CE321" i="8"/>
  <c r="AS321" i="8"/>
  <c r="CH320" i="8"/>
  <c r="CG320" i="8"/>
  <c r="CE320" i="8"/>
  <c r="AS320" i="8"/>
  <c r="CH319" i="8"/>
  <c r="CG319" i="8"/>
  <c r="CE319" i="8"/>
  <c r="AS319" i="8"/>
  <c r="CH318" i="8"/>
  <c r="CG318" i="8"/>
  <c r="CE318" i="8"/>
  <c r="AS318" i="8"/>
  <c r="CR317" i="8"/>
  <c r="CR1217" i="8" s="1"/>
  <c r="CQ317" i="8"/>
  <c r="CQ1217" i="8" s="1"/>
  <c r="CP317" i="8"/>
  <c r="CO317" i="8"/>
  <c r="CN317" i="8"/>
  <c r="CM317" i="8"/>
  <c r="CL317" i="8"/>
  <c r="CK317" i="8"/>
  <c r="CJ317" i="8"/>
  <c r="CI317" i="8"/>
  <c r="CD317" i="8"/>
  <c r="CC317" i="8"/>
  <c r="CB317" i="8"/>
  <c r="CA317" i="8"/>
  <c r="BZ317" i="8"/>
  <c r="BY317" i="8"/>
  <c r="BX317" i="8"/>
  <c r="BW317" i="8"/>
  <c r="BV317" i="8"/>
  <c r="BU317" i="8"/>
  <c r="BT317" i="8"/>
  <c r="BS317" i="8"/>
  <c r="BR317" i="8"/>
  <c r="BQ317" i="8"/>
  <c r="BP317" i="8"/>
  <c r="BO317" i="8"/>
  <c r="BN317" i="8"/>
  <c r="BM317" i="8"/>
  <c r="BL317" i="8"/>
  <c r="BK317" i="8"/>
  <c r="BJ317" i="8"/>
  <c r="BI317" i="8"/>
  <c r="BH317" i="8"/>
  <c r="BG317" i="8"/>
  <c r="BF317" i="8"/>
  <c r="BE317" i="8"/>
  <c r="BD317" i="8"/>
  <c r="BC317" i="8"/>
  <c r="BB317" i="8"/>
  <c r="BA317" i="8"/>
  <c r="AZ317" i="8"/>
  <c r="AY317" i="8"/>
  <c r="AX317" i="8"/>
  <c r="AW317" i="8"/>
  <c r="AT317" i="8"/>
  <c r="AR317" i="8"/>
  <c r="AQ317" i="8"/>
  <c r="AP317" i="8"/>
  <c r="AO317" i="8"/>
  <c r="AN317" i="8"/>
  <c r="AM317" i="8"/>
  <c r="AL317" i="8"/>
  <c r="AK317" i="8"/>
  <c r="AJ317" i="8"/>
  <c r="AI317" i="8"/>
  <c r="AH317" i="8"/>
  <c r="AG317" i="8"/>
  <c r="AF317" i="8"/>
  <c r="AE317" i="8"/>
  <c r="AD317" i="8"/>
  <c r="AC317" i="8"/>
  <c r="AB317" i="8"/>
  <c r="AA317" i="8"/>
  <c r="Z317" i="8"/>
  <c r="Y317" i="8"/>
  <c r="X317" i="8"/>
  <c r="W317" i="8"/>
  <c r="V317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CH316" i="8"/>
  <c r="CG316" i="8"/>
  <c r="CE316" i="8"/>
  <c r="AS316" i="8"/>
  <c r="CH315" i="8"/>
  <c r="CG315" i="8"/>
  <c r="CE315" i="8"/>
  <c r="AS315" i="8"/>
  <c r="CH314" i="8"/>
  <c r="CG314" i="8"/>
  <c r="CE314" i="8"/>
  <c r="AS314" i="8"/>
  <c r="CH313" i="8"/>
  <c r="CG313" i="8"/>
  <c r="CE313" i="8"/>
  <c r="AS313" i="8"/>
  <c r="CH312" i="8"/>
  <c r="CG312" i="8"/>
  <c r="CE312" i="8"/>
  <c r="AS312" i="8"/>
  <c r="CH311" i="8"/>
  <c r="CG311" i="8"/>
  <c r="CE311" i="8"/>
  <c r="AS311" i="8"/>
  <c r="CH310" i="8"/>
  <c r="CG310" i="8"/>
  <c r="CE310" i="8"/>
  <c r="AS310" i="8"/>
  <c r="CH309" i="8"/>
  <c r="CG309" i="8"/>
  <c r="CE309" i="8"/>
  <c r="AS309" i="8"/>
  <c r="CH308" i="8"/>
  <c r="CG308" i="8"/>
  <c r="CE308" i="8"/>
  <c r="AS308" i="8"/>
  <c r="CH307" i="8"/>
  <c r="CG307" i="8"/>
  <c r="CE307" i="8"/>
  <c r="AS307" i="8"/>
  <c r="CH306" i="8"/>
  <c r="CG306" i="8"/>
  <c r="CE306" i="8"/>
  <c r="AS306" i="8"/>
  <c r="CH305" i="8"/>
  <c r="CG305" i="8"/>
  <c r="AU305" i="8"/>
  <c r="CE305" i="8" s="1"/>
  <c r="AS305" i="8"/>
  <c r="CH304" i="8"/>
  <c r="CG304" i="8"/>
  <c r="CE304" i="8"/>
  <c r="AS304" i="8"/>
  <c r="CH303" i="8"/>
  <c r="CG303" i="8"/>
  <c r="CE303" i="8"/>
  <c r="AS303" i="8"/>
  <c r="CH302" i="8"/>
  <c r="CG302" i="8"/>
  <c r="CE302" i="8"/>
  <c r="AS302" i="8"/>
  <c r="CH301" i="8"/>
  <c r="CG301" i="8"/>
  <c r="CE301" i="8"/>
  <c r="AS301" i="8"/>
  <c r="CH300" i="8"/>
  <c r="CG300" i="8"/>
  <c r="CE300" i="8"/>
  <c r="AS300" i="8"/>
  <c r="CH299" i="8"/>
  <c r="CG299" i="8"/>
  <c r="CE299" i="8"/>
  <c r="AS299" i="8"/>
  <c r="CH298" i="8"/>
  <c r="CG298" i="8"/>
  <c r="AU298" i="8"/>
  <c r="CE298" i="8" s="1"/>
  <c r="AS298" i="8"/>
  <c r="CH297" i="8"/>
  <c r="CG297" i="8"/>
  <c r="CE297" i="8"/>
  <c r="AS297" i="8"/>
  <c r="CH296" i="8"/>
  <c r="CG296" i="8"/>
  <c r="CE296" i="8"/>
  <c r="AS296" i="8"/>
  <c r="CH295" i="8"/>
  <c r="CG295" i="8"/>
  <c r="CE295" i="8"/>
  <c r="AS295" i="8"/>
  <c r="CH294" i="8"/>
  <c r="CG294" i="8"/>
  <c r="AV294" i="8"/>
  <c r="AU294" i="8"/>
  <c r="AS294" i="8"/>
  <c r="CH293" i="8"/>
  <c r="CG293" i="8"/>
  <c r="CE293" i="8"/>
  <c r="AS293" i="8"/>
  <c r="CH292" i="8"/>
  <c r="CG292" i="8"/>
  <c r="CE292" i="8"/>
  <c r="AS292" i="8"/>
  <c r="CH291" i="8"/>
  <c r="CG291" i="8"/>
  <c r="CE291" i="8"/>
  <c r="AS291" i="8"/>
  <c r="CH290" i="8"/>
  <c r="CG290" i="8"/>
  <c r="CE290" i="8"/>
  <c r="AS290" i="8"/>
  <c r="CH289" i="8"/>
  <c r="CG289" i="8"/>
  <c r="AU289" i="8"/>
  <c r="AS289" i="8"/>
  <c r="CH288" i="8"/>
  <c r="CG288" i="8"/>
  <c r="CE288" i="8"/>
  <c r="AS288" i="8"/>
  <c r="CH287" i="8"/>
  <c r="CG287" i="8"/>
  <c r="CE287" i="8"/>
  <c r="AS287" i="8"/>
  <c r="CH286" i="8"/>
  <c r="CG286" i="8"/>
  <c r="CE286" i="8"/>
  <c r="AS286" i="8"/>
  <c r="CH285" i="8"/>
  <c r="CG285" i="8"/>
  <c r="CE285" i="8"/>
  <c r="AS285" i="8"/>
  <c r="CH284" i="8"/>
  <c r="CG284" i="8"/>
  <c r="CE284" i="8"/>
  <c r="AS284" i="8"/>
  <c r="CH283" i="8"/>
  <c r="CG283" i="8"/>
  <c r="CE283" i="8"/>
  <c r="AS283" i="8"/>
  <c r="CH282" i="8"/>
  <c r="CG282" i="8"/>
  <c r="AU282" i="8"/>
  <c r="AS282" i="8"/>
  <c r="CH281" i="8"/>
  <c r="CG281" i="8"/>
  <c r="CE281" i="8"/>
  <c r="AS281" i="8"/>
  <c r="CH280" i="8"/>
  <c r="CG280" i="8"/>
  <c r="CE280" i="8"/>
  <c r="AS280" i="8"/>
  <c r="CH279" i="8"/>
  <c r="CG279" i="8"/>
  <c r="AU279" i="8"/>
  <c r="CE279" i="8" s="1"/>
  <c r="AS279" i="8"/>
  <c r="CH278" i="8"/>
  <c r="CG278" i="8"/>
  <c r="CE278" i="8"/>
  <c r="AS278" i="8"/>
  <c r="CH277" i="8"/>
  <c r="CG277" i="8"/>
  <c r="CE277" i="8"/>
  <c r="AS277" i="8"/>
  <c r="CH276" i="8"/>
  <c r="CG276" i="8"/>
  <c r="CE276" i="8"/>
  <c r="AS276" i="8"/>
  <c r="CH275" i="8"/>
  <c r="CG275" i="8"/>
  <c r="CE275" i="8"/>
  <c r="AS275" i="8"/>
  <c r="CH274" i="8"/>
  <c r="CG274" i="8"/>
  <c r="CE274" i="8"/>
  <c r="AS274" i="8"/>
  <c r="CH273" i="8"/>
  <c r="CG273" i="8"/>
  <c r="CE273" i="8"/>
  <c r="AS273" i="8"/>
  <c r="CH272" i="8"/>
  <c r="CG272" i="8"/>
  <c r="CE272" i="8"/>
  <c r="AS272" i="8"/>
  <c r="CH271" i="8"/>
  <c r="CG271" i="8"/>
  <c r="CE271" i="8"/>
  <c r="AS271" i="8"/>
  <c r="CH270" i="8"/>
  <c r="CG270" i="8"/>
  <c r="CE270" i="8"/>
  <c r="AS270" i="8"/>
  <c r="CH269" i="8"/>
  <c r="CG269" i="8"/>
  <c r="CE269" i="8"/>
  <c r="AS269" i="8"/>
  <c r="CH268" i="8"/>
  <c r="CG268" i="8"/>
  <c r="CE268" i="8"/>
  <c r="AS268" i="8"/>
  <c r="CH267" i="8"/>
  <c r="CG267" i="8"/>
  <c r="CE267" i="8"/>
  <c r="AS267" i="8"/>
  <c r="CH266" i="8"/>
  <c r="CG266" i="8"/>
  <c r="CE266" i="8"/>
  <c r="AS266" i="8"/>
  <c r="CH265" i="8"/>
  <c r="CG265" i="8"/>
  <c r="CE265" i="8"/>
  <c r="AS265" i="8"/>
  <c r="CH264" i="8"/>
  <c r="CG264" i="8"/>
  <c r="CE264" i="8"/>
  <c r="AS264" i="8"/>
  <c r="CH263" i="8"/>
  <c r="CG263" i="8"/>
  <c r="CE263" i="8"/>
  <c r="AS263" i="8"/>
  <c r="CH262" i="8"/>
  <c r="CG262" i="8"/>
  <c r="CE262" i="8"/>
  <c r="AS262" i="8"/>
  <c r="CH261" i="8"/>
  <c r="CG261" i="8"/>
  <c r="CE261" i="8"/>
  <c r="AS261" i="8"/>
  <c r="CH260" i="8"/>
  <c r="CG260" i="8"/>
  <c r="CE260" i="8"/>
  <c r="AS260" i="8"/>
  <c r="CH259" i="8"/>
  <c r="CG259" i="8"/>
  <c r="CE259" i="8"/>
  <c r="AS259" i="8"/>
  <c r="CH258" i="8"/>
  <c r="CG258" i="8"/>
  <c r="CE258" i="8"/>
  <c r="AS258" i="8"/>
  <c r="CH257" i="8"/>
  <c r="CG257" i="8"/>
  <c r="CE257" i="8"/>
  <c r="AS257" i="8"/>
  <c r="CH256" i="8"/>
  <c r="CG256" i="8"/>
  <c r="CE256" i="8"/>
  <c r="AS256" i="8"/>
  <c r="CH255" i="8"/>
  <c r="CG255" i="8"/>
  <c r="CE255" i="8"/>
  <c r="AS255" i="8"/>
  <c r="CH254" i="8"/>
  <c r="CG254" i="8"/>
  <c r="CE254" i="8"/>
  <c r="AS254" i="8"/>
  <c r="CH253" i="8"/>
  <c r="CG253" i="8"/>
  <c r="CE253" i="8"/>
  <c r="AS253" i="8"/>
  <c r="CH252" i="8"/>
  <c r="CG252" i="8"/>
  <c r="CE252" i="8"/>
  <c r="AS252" i="8"/>
  <c r="CH251" i="8"/>
  <c r="CG251" i="8"/>
  <c r="CE251" i="8"/>
  <c r="AS251" i="8"/>
  <c r="CH250" i="8"/>
  <c r="CG250" i="8"/>
  <c r="CE250" i="8"/>
  <c r="AS250" i="8"/>
  <c r="CH249" i="8"/>
  <c r="CG249" i="8"/>
  <c r="CE249" i="8"/>
  <c r="AS249" i="8"/>
  <c r="CH248" i="8"/>
  <c r="CG248" i="8"/>
  <c r="CE248" i="8"/>
  <c r="AS248" i="8"/>
  <c r="CH247" i="8"/>
  <c r="CG247" i="8"/>
  <c r="CE247" i="8"/>
  <c r="AS247" i="8"/>
  <c r="CH246" i="8"/>
  <c r="CG246" i="8"/>
  <c r="CE246" i="8"/>
  <c r="AS246" i="8"/>
  <c r="CH245" i="8"/>
  <c r="CG245" i="8"/>
  <c r="CE245" i="8"/>
  <c r="AS245" i="8"/>
  <c r="CH244" i="8"/>
  <c r="CG244" i="8"/>
  <c r="AU244" i="8"/>
  <c r="CE244" i="8" s="1"/>
  <c r="AS244" i="8"/>
  <c r="CH243" i="8"/>
  <c r="CG243" i="8"/>
  <c r="CE243" i="8"/>
  <c r="AS243" i="8"/>
  <c r="CH242" i="8"/>
  <c r="CG242" i="8"/>
  <c r="CE242" i="8"/>
  <c r="AS242" i="8"/>
  <c r="CH241" i="8"/>
  <c r="CG241" i="8"/>
  <c r="CE241" i="8"/>
  <c r="AS241" i="8"/>
  <c r="F241" i="8"/>
  <c r="F245" i="8" s="1"/>
  <c r="CH240" i="8"/>
  <c r="CG240" i="8"/>
  <c r="CE240" i="8"/>
  <c r="AS240" i="8"/>
  <c r="CH239" i="8"/>
  <c r="CG239" i="8"/>
  <c r="CE239" i="8"/>
  <c r="AS239" i="8"/>
  <c r="CH238" i="8"/>
  <c r="CG238" i="8"/>
  <c r="CE238" i="8"/>
  <c r="AS238" i="8"/>
  <c r="CH237" i="8"/>
  <c r="CG237" i="8"/>
  <c r="CE237" i="8"/>
  <c r="AS237" i="8"/>
  <c r="CH236" i="8"/>
  <c r="CG236" i="8"/>
  <c r="CE236" i="8"/>
  <c r="AS236" i="8"/>
  <c r="CF236" i="8" s="1"/>
  <c r="CH235" i="8"/>
  <c r="CG235" i="8"/>
  <c r="CE235" i="8"/>
  <c r="AS235" i="8"/>
  <c r="CH234" i="8"/>
  <c r="CG234" i="8"/>
  <c r="CE234" i="8"/>
  <c r="AS234" i="8"/>
  <c r="CH233" i="8"/>
  <c r="CG233" i="8"/>
  <c r="CE233" i="8"/>
  <c r="AS233" i="8"/>
  <c r="CH232" i="8"/>
  <c r="CG232" i="8"/>
  <c r="CE232" i="8"/>
  <c r="AS232" i="8"/>
  <c r="CH231" i="8"/>
  <c r="CG231" i="8"/>
  <c r="CE231" i="8"/>
  <c r="AS231" i="8"/>
  <c r="CH230" i="8"/>
  <c r="CG230" i="8"/>
  <c r="CE230" i="8"/>
  <c r="AS230" i="8"/>
  <c r="CH229" i="8"/>
  <c r="CG229" i="8"/>
  <c r="CE229" i="8"/>
  <c r="AS229" i="8"/>
  <c r="CH228" i="8"/>
  <c r="CG228" i="8"/>
  <c r="CE228" i="8"/>
  <c r="AS228" i="8"/>
  <c r="CH227" i="8"/>
  <c r="CG227" i="8"/>
  <c r="CE227" i="8"/>
  <c r="AS227" i="8"/>
  <c r="CH226" i="8"/>
  <c r="CG226" i="8"/>
  <c r="CE226" i="8"/>
  <c r="AS226" i="8"/>
  <c r="CH225" i="8"/>
  <c r="CG225" i="8"/>
  <c r="CE225" i="8"/>
  <c r="AS225" i="8"/>
  <c r="CH224" i="8"/>
  <c r="CG224" i="8"/>
  <c r="CE224" i="8"/>
  <c r="AS224" i="8"/>
  <c r="CH223" i="8"/>
  <c r="CG223" i="8"/>
  <c r="CE223" i="8"/>
  <c r="AS223" i="8"/>
  <c r="CH222" i="8"/>
  <c r="CG222" i="8"/>
  <c r="CE222" i="8"/>
  <c r="AS222" i="8"/>
  <c r="CH221" i="8"/>
  <c r="CG221" i="8"/>
  <c r="CE221" i="8"/>
  <c r="AS221" i="8"/>
  <c r="CH220" i="8"/>
  <c r="CG220" i="8"/>
  <c r="CE220" i="8"/>
  <c r="AS220" i="8"/>
  <c r="CH219" i="8"/>
  <c r="CG219" i="8"/>
  <c r="CE219" i="8"/>
  <c r="AS219" i="8"/>
  <c r="CH218" i="8"/>
  <c r="CG218" i="8"/>
  <c r="CE218" i="8"/>
  <c r="AS218" i="8"/>
  <c r="F218" i="8"/>
  <c r="CH217" i="8"/>
  <c r="CG217" i="8"/>
  <c r="CE217" i="8"/>
  <c r="AS217" i="8"/>
  <c r="CH216" i="8"/>
  <c r="CG216" i="8"/>
  <c r="CE216" i="8"/>
  <c r="AS216" i="8"/>
  <c r="F216" i="8"/>
  <c r="F217" i="8" s="1"/>
  <c r="CH215" i="8"/>
  <c r="CG215" i="8"/>
  <c r="CE215" i="8"/>
  <c r="AS215" i="8"/>
  <c r="CH214" i="8"/>
  <c r="CG214" i="8"/>
  <c r="CE214" i="8"/>
  <c r="AS214" i="8"/>
  <c r="CH213" i="8"/>
  <c r="CG213" i="8"/>
  <c r="CE213" i="8"/>
  <c r="AS213" i="8"/>
  <c r="CH212" i="8"/>
  <c r="CG212" i="8"/>
  <c r="CE212" i="8"/>
  <c r="AS212" i="8"/>
  <c r="CH211" i="8"/>
  <c r="CG211" i="8"/>
  <c r="CE211" i="8"/>
  <c r="AS211" i="8"/>
  <c r="F211" i="8"/>
  <c r="CH210" i="8"/>
  <c r="CG210" i="8"/>
  <c r="CE210" i="8"/>
  <c r="AS210" i="8"/>
  <c r="CH209" i="8"/>
  <c r="CG209" i="8"/>
  <c r="CE209" i="8"/>
  <c r="AS209" i="8"/>
  <c r="CH208" i="8"/>
  <c r="CG208" i="8"/>
  <c r="CE208" i="8"/>
  <c r="AS208" i="8"/>
  <c r="CH207" i="8"/>
  <c r="CG207" i="8"/>
  <c r="CE207" i="8"/>
  <c r="AS207" i="8"/>
  <c r="CH206" i="8"/>
  <c r="CG206" i="8"/>
  <c r="CE206" i="8"/>
  <c r="AS206" i="8"/>
  <c r="CH205" i="8"/>
  <c r="CG205" i="8"/>
  <c r="CE205" i="8"/>
  <c r="AS205" i="8"/>
  <c r="CH204" i="8"/>
  <c r="CG204" i="8"/>
  <c r="CE204" i="8"/>
  <c r="AS204" i="8"/>
  <c r="CH203" i="8"/>
  <c r="CG203" i="8"/>
  <c r="CE203" i="8"/>
  <c r="AS203" i="8"/>
  <c r="CH202" i="8"/>
  <c r="CG202" i="8"/>
  <c r="CE202" i="8"/>
  <c r="AS202" i="8"/>
  <c r="CH201" i="8"/>
  <c r="CG201" i="8"/>
  <c r="CE201" i="8"/>
  <c r="AS201" i="8"/>
  <c r="CH200" i="8"/>
  <c r="CG200" i="8"/>
  <c r="CE200" i="8"/>
  <c r="AS200" i="8"/>
  <c r="CH199" i="8"/>
  <c r="CG199" i="8"/>
  <c r="CE199" i="8"/>
  <c r="AS199" i="8"/>
  <c r="CH198" i="8"/>
  <c r="CG198" i="8"/>
  <c r="CE198" i="8"/>
  <c r="AS198" i="8"/>
  <c r="CH197" i="8"/>
  <c r="CG197" i="8"/>
  <c r="CE197" i="8"/>
  <c r="AS197" i="8"/>
  <c r="CH196" i="8"/>
  <c r="CG196" i="8"/>
  <c r="CE196" i="8"/>
  <c r="AS196" i="8"/>
  <c r="CH195" i="8"/>
  <c r="CG195" i="8"/>
  <c r="CE195" i="8"/>
  <c r="AS195" i="8"/>
  <c r="CH194" i="8"/>
  <c r="CG194" i="8"/>
  <c r="CE194" i="8"/>
  <c r="AS194" i="8"/>
  <c r="CH193" i="8"/>
  <c r="CG193" i="8"/>
  <c r="CE193" i="8"/>
  <c r="AS193" i="8"/>
  <c r="CH192" i="8"/>
  <c r="CG192" i="8"/>
  <c r="AU192" i="8"/>
  <c r="CE192" i="8" s="1"/>
  <c r="AS192" i="8"/>
  <c r="CH191" i="8"/>
  <c r="CG191" i="8"/>
  <c r="CE191" i="8"/>
  <c r="AU191" i="8"/>
  <c r="AS191" i="8"/>
  <c r="CH190" i="8"/>
  <c r="CG190" i="8"/>
  <c r="AU190" i="8"/>
  <c r="CE190" i="8" s="1"/>
  <c r="AS190" i="8"/>
  <c r="CH189" i="8"/>
  <c r="CG189" i="8"/>
  <c r="CE189" i="8"/>
  <c r="AS189" i="8"/>
  <c r="CH188" i="8"/>
  <c r="CG188" i="8"/>
  <c r="CE188" i="8"/>
  <c r="AS188" i="8"/>
  <c r="CH187" i="8"/>
  <c r="CG187" i="8"/>
  <c r="CE187" i="8"/>
  <c r="AS187" i="8"/>
  <c r="CH186" i="8"/>
  <c r="CG186" i="8"/>
  <c r="CE186" i="8"/>
  <c r="AS186" i="8"/>
  <c r="CH185" i="8"/>
  <c r="CG185" i="8"/>
  <c r="CE185" i="8"/>
  <c r="AS185" i="8"/>
  <c r="F185" i="8"/>
  <c r="CH184" i="8"/>
  <c r="CG184" i="8"/>
  <c r="CE184" i="8"/>
  <c r="AS184" i="8"/>
  <c r="F184" i="8"/>
  <c r="CH183" i="8"/>
  <c r="CG183" i="8"/>
  <c r="CE183" i="8"/>
  <c r="AS183" i="8"/>
  <c r="F183" i="8"/>
  <c r="CH182" i="8"/>
  <c r="CG182" i="8"/>
  <c r="CE182" i="8"/>
  <c r="AS182" i="8"/>
  <c r="F182" i="8"/>
  <c r="CH181" i="8"/>
  <c r="CG181" i="8"/>
  <c r="CE181" i="8"/>
  <c r="AS181" i="8"/>
  <c r="F181" i="8"/>
  <c r="CH180" i="8"/>
  <c r="CG180" i="8"/>
  <c r="CE180" i="8"/>
  <c r="AS180" i="8"/>
  <c r="F180" i="8"/>
  <c r="CH179" i="8"/>
  <c r="CG179" i="8"/>
  <c r="CE179" i="8"/>
  <c r="AS179" i="8"/>
  <c r="F179" i="8"/>
  <c r="CH178" i="8"/>
  <c r="CG178" i="8"/>
  <c r="CE178" i="8"/>
  <c r="AS178" i="8"/>
  <c r="CH177" i="8"/>
  <c r="CG177" i="8"/>
  <c r="CE177" i="8"/>
  <c r="AS177" i="8"/>
  <c r="CH176" i="8"/>
  <c r="CG176" i="8"/>
  <c r="CE176" i="8"/>
  <c r="AS176" i="8"/>
  <c r="CH175" i="8"/>
  <c r="CG175" i="8"/>
  <c r="CE175" i="8"/>
  <c r="AS175" i="8"/>
  <c r="CH174" i="8"/>
  <c r="CG174" i="8"/>
  <c r="CE174" i="8"/>
  <c r="AS174" i="8"/>
  <c r="CH173" i="8"/>
  <c r="CG173" i="8"/>
  <c r="CE173" i="8"/>
  <c r="AS173" i="8"/>
  <c r="CH172" i="8"/>
  <c r="CG172" i="8"/>
  <c r="CE172" i="8"/>
  <c r="AS172" i="8"/>
  <c r="CH171" i="8"/>
  <c r="CG171" i="8"/>
  <c r="CE171" i="8"/>
  <c r="AS171" i="8"/>
  <c r="CH170" i="8"/>
  <c r="CG170" i="8"/>
  <c r="CE170" i="8"/>
  <c r="AS170" i="8"/>
  <c r="CH169" i="8"/>
  <c r="CG169" i="8"/>
  <c r="CE169" i="8"/>
  <c r="AS169" i="8"/>
  <c r="CH168" i="8"/>
  <c r="CG168" i="8"/>
  <c r="CE168" i="8"/>
  <c r="AS168" i="8"/>
  <c r="CH167" i="8"/>
  <c r="CG167" i="8"/>
  <c r="CE167" i="8"/>
  <c r="AS167" i="8"/>
  <c r="F167" i="8"/>
  <c r="CH166" i="8"/>
  <c r="CG166" i="8"/>
  <c r="CE166" i="8"/>
  <c r="AS166" i="8"/>
  <c r="CH165" i="8"/>
  <c r="CG165" i="8"/>
  <c r="CE165" i="8"/>
  <c r="AS165" i="8"/>
  <c r="CH164" i="8"/>
  <c r="CG164" i="8"/>
  <c r="CE164" i="8"/>
  <c r="AS164" i="8"/>
  <c r="CH163" i="8"/>
  <c r="CG163" i="8"/>
  <c r="CE163" i="8"/>
  <c r="AS163" i="8"/>
  <c r="CH162" i="8"/>
  <c r="CG162" i="8"/>
  <c r="CE162" i="8"/>
  <c r="AS162" i="8"/>
  <c r="CH161" i="8"/>
  <c r="CG161" i="8"/>
  <c r="CE161" i="8"/>
  <c r="AS161" i="8"/>
  <c r="CH160" i="8"/>
  <c r="CG160" i="8"/>
  <c r="CE160" i="8"/>
  <c r="AS160" i="8"/>
  <c r="CN159" i="8"/>
  <c r="CM159" i="8"/>
  <c r="CL159" i="8"/>
  <c r="CK159" i="8"/>
  <c r="CJ159" i="8"/>
  <c r="CI159" i="8"/>
  <c r="CH159" i="8"/>
  <c r="CG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T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CH158" i="8"/>
  <c r="CG158" i="8"/>
  <c r="CE158" i="8"/>
  <c r="AS158" i="8"/>
  <c r="CH157" i="8"/>
  <c r="CG157" i="8"/>
  <c r="CE157" i="8"/>
  <c r="AS157" i="8"/>
  <c r="CH156" i="8"/>
  <c r="CG156" i="8"/>
  <c r="CE156" i="8"/>
  <c r="AS156" i="8"/>
  <c r="CH155" i="8"/>
  <c r="CG155" i="8"/>
  <c r="CE155" i="8"/>
  <c r="AS155" i="8"/>
  <c r="CH154" i="8"/>
  <c r="CG154" i="8"/>
  <c r="BI154" i="8"/>
  <c r="AU154" i="8"/>
  <c r="AS154" i="8"/>
  <c r="CH153" i="8"/>
  <c r="CG153" i="8"/>
  <c r="CD153" i="8"/>
  <c r="AU153" i="8"/>
  <c r="CE153" i="8" s="1"/>
  <c r="AS153" i="8"/>
  <c r="CH152" i="8"/>
  <c r="CG152" i="8"/>
  <c r="CE152" i="8"/>
  <c r="AS152" i="8"/>
  <c r="CH151" i="8"/>
  <c r="CG151" i="8"/>
  <c r="CE151" i="8"/>
  <c r="AS151" i="8"/>
  <c r="CH150" i="8"/>
  <c r="CG150" i="8"/>
  <c r="CE150" i="8"/>
  <c r="AS150" i="8"/>
  <c r="CH149" i="8"/>
  <c r="CG149" i="8"/>
  <c r="CE149" i="8"/>
  <c r="AS149" i="8"/>
  <c r="CH148" i="8"/>
  <c r="CG148" i="8"/>
  <c r="CE148" i="8"/>
  <c r="AS148" i="8"/>
  <c r="CH147" i="8"/>
  <c r="CG147" i="8"/>
  <c r="CE147" i="8"/>
  <c r="AS147" i="8"/>
  <c r="CH146" i="8"/>
  <c r="CG146" i="8"/>
  <c r="CE146" i="8"/>
  <c r="AS146" i="8"/>
  <c r="CH145" i="8"/>
  <c r="CG145" i="8"/>
  <c r="CE145" i="8"/>
  <c r="AS145" i="8"/>
  <c r="CH144" i="8"/>
  <c r="CG144" i="8"/>
  <c r="CE144" i="8"/>
  <c r="AS144" i="8"/>
  <c r="CH143" i="8"/>
  <c r="CG143" i="8"/>
  <c r="CE143" i="8"/>
  <c r="AS143" i="8"/>
  <c r="CH142" i="8"/>
  <c r="CG142" i="8"/>
  <c r="CE142" i="8"/>
  <c r="AS142" i="8"/>
  <c r="CH141" i="8"/>
  <c r="CG141" i="8"/>
  <c r="CE141" i="8"/>
  <c r="AS141" i="8"/>
  <c r="CH140" i="8"/>
  <c r="CG140" i="8"/>
  <c r="CE140" i="8"/>
  <c r="AS140" i="8"/>
  <c r="CH139" i="8"/>
  <c r="CG139" i="8"/>
  <c r="CE139" i="8"/>
  <c r="AS139" i="8"/>
  <c r="CH138" i="8"/>
  <c r="CG138" i="8"/>
  <c r="CH137" i="8"/>
  <c r="CG137" i="8"/>
  <c r="CE137" i="8"/>
  <c r="AS137" i="8"/>
  <c r="CH136" i="8"/>
  <c r="CG136" i="8"/>
  <c r="CE136" i="8"/>
  <c r="AS136" i="8"/>
  <c r="CH135" i="8"/>
  <c r="CG135" i="8"/>
  <c r="CE135" i="8"/>
  <c r="AU135" i="8"/>
  <c r="AS135" i="8"/>
  <c r="CH134" i="8"/>
  <c r="CG134" i="8"/>
  <c r="CE134" i="8"/>
  <c r="AS134" i="8"/>
  <c r="CH133" i="8"/>
  <c r="CG133" i="8"/>
  <c r="AU133" i="8"/>
  <c r="CE133" i="8" s="1"/>
  <c r="AS133" i="8"/>
  <c r="CH132" i="8"/>
  <c r="CG132" i="8"/>
  <c r="CE132" i="8"/>
  <c r="AS132" i="8"/>
  <c r="CH131" i="8"/>
  <c r="CG131" i="8"/>
  <c r="AU131" i="8"/>
  <c r="CE131" i="8" s="1"/>
  <c r="AS131" i="8"/>
  <c r="CH130" i="8"/>
  <c r="CG130" i="8"/>
  <c r="CE130" i="8"/>
  <c r="AS130" i="8"/>
  <c r="F130" i="8"/>
  <c r="F131" i="8" s="1"/>
  <c r="F132" i="8" s="1"/>
  <c r="F133" i="8" s="1"/>
  <c r="F134" i="8" s="1"/>
  <c r="F135" i="8" s="1"/>
  <c r="F136" i="8" s="1"/>
  <c r="F137" i="8" s="1"/>
  <c r="CH129" i="8"/>
  <c r="CG129" i="8"/>
  <c r="CE129" i="8"/>
  <c r="AS129" i="8"/>
  <c r="F129" i="8"/>
  <c r="CH128" i="8"/>
  <c r="CG128" i="8"/>
  <c r="AU128" i="8"/>
  <c r="CE128" i="8" s="1"/>
  <c r="AS128" i="8"/>
  <c r="F128" i="8"/>
  <c r="CH127" i="8"/>
  <c r="CG127" i="8"/>
  <c r="CE127" i="8"/>
  <c r="AS127" i="8"/>
  <c r="CH126" i="8"/>
  <c r="CG126" i="8"/>
  <c r="CE126" i="8"/>
  <c r="AS126" i="8"/>
  <c r="CH125" i="8"/>
  <c r="CG125" i="8"/>
  <c r="AU125" i="8"/>
  <c r="CE125" i="8" s="1"/>
  <c r="AS125" i="8"/>
  <c r="CH124" i="8"/>
  <c r="CG124" i="8"/>
  <c r="CE124" i="8"/>
  <c r="AS124" i="8"/>
  <c r="CH123" i="8"/>
  <c r="CG123" i="8"/>
  <c r="AU123" i="8"/>
  <c r="CE123" i="8" s="1"/>
  <c r="AS123" i="8"/>
  <c r="CH122" i="8"/>
  <c r="CG122" i="8"/>
  <c r="CE122" i="8"/>
  <c r="AS122" i="8"/>
  <c r="CH121" i="8"/>
  <c r="CG121" i="8"/>
  <c r="CE121" i="8"/>
  <c r="AU121" i="8"/>
  <c r="AS121" i="8"/>
  <c r="CH120" i="8"/>
  <c r="CG120" i="8"/>
  <c r="AU120" i="8"/>
  <c r="AS120" i="8"/>
  <c r="CH119" i="8"/>
  <c r="CG119" i="8"/>
  <c r="CE119" i="8"/>
  <c r="AU119" i="8"/>
  <c r="AS119" i="8"/>
  <c r="CH118" i="8"/>
  <c r="CG118" i="8"/>
  <c r="CE118" i="8"/>
  <c r="AS118" i="8"/>
  <c r="CH117" i="8"/>
  <c r="CG117" i="8"/>
  <c r="CE117" i="8"/>
  <c r="AS117" i="8"/>
  <c r="CH116" i="8"/>
  <c r="CG116" i="8"/>
  <c r="CE116" i="8"/>
  <c r="AS116" i="8"/>
  <c r="CH115" i="8"/>
  <c r="CG115" i="8"/>
  <c r="CE115" i="8"/>
  <c r="AS115" i="8"/>
  <c r="CH114" i="8"/>
  <c r="CG114" i="8"/>
  <c r="CE114" i="8"/>
  <c r="AS114" i="8"/>
  <c r="CH113" i="8"/>
  <c r="CG113" i="8"/>
  <c r="CE113" i="8"/>
  <c r="AS113" i="8"/>
  <c r="CH112" i="8"/>
  <c r="CG112" i="8"/>
  <c r="CE112" i="8"/>
  <c r="AS112" i="8"/>
  <c r="CH111" i="8"/>
  <c r="CG111" i="8"/>
  <c r="CE111" i="8"/>
  <c r="AS111" i="8"/>
  <c r="CH110" i="8"/>
  <c r="CG110" i="8"/>
  <c r="CE110" i="8"/>
  <c r="AS110" i="8"/>
  <c r="CH109" i="8"/>
  <c r="CG109" i="8"/>
  <c r="CH108" i="8"/>
  <c r="CG108" i="8"/>
  <c r="CE108" i="8"/>
  <c r="AS108" i="8"/>
  <c r="CH107" i="8"/>
  <c r="CG107" i="8"/>
  <c r="CE107" i="8"/>
  <c r="AS107" i="8"/>
  <c r="CH106" i="8"/>
  <c r="CG106" i="8"/>
  <c r="CE106" i="8"/>
  <c r="AS106" i="8"/>
  <c r="CH105" i="8"/>
  <c r="CG105" i="8"/>
  <c r="CH104" i="8"/>
  <c r="CG104" i="8"/>
  <c r="CE104" i="8"/>
  <c r="AS104" i="8"/>
  <c r="CH103" i="8"/>
  <c r="CG103" i="8"/>
  <c r="CE103" i="8"/>
  <c r="AS103" i="8"/>
  <c r="CH102" i="8"/>
  <c r="CG102" i="8"/>
  <c r="CE102" i="8"/>
  <c r="AS102" i="8"/>
  <c r="CH101" i="8"/>
  <c r="CG101" i="8"/>
  <c r="CE101" i="8"/>
  <c r="AS101" i="8"/>
  <c r="CH100" i="8"/>
  <c r="CG100" i="8"/>
  <c r="CE100" i="8"/>
  <c r="AS100" i="8"/>
  <c r="CH99" i="8"/>
  <c r="CG99" i="8"/>
  <c r="CE99" i="8"/>
  <c r="AS99" i="8"/>
  <c r="CH98" i="8"/>
  <c r="CG98" i="8"/>
  <c r="CE98" i="8"/>
  <c r="AS98" i="8"/>
  <c r="CH97" i="8"/>
  <c r="CG97" i="8"/>
  <c r="CE97" i="8"/>
  <c r="AS97" i="8"/>
  <c r="CH96" i="8"/>
  <c r="CG96" i="8"/>
  <c r="CE96" i="8"/>
  <c r="AS96" i="8"/>
  <c r="CH95" i="8"/>
  <c r="CG95" i="8"/>
  <c r="CE95" i="8"/>
  <c r="AS95" i="8"/>
  <c r="CH94" i="8"/>
  <c r="CG94" i="8"/>
  <c r="CE94" i="8"/>
  <c r="AS94" i="8"/>
  <c r="CH93" i="8"/>
  <c r="CG93" i="8"/>
  <c r="CE93" i="8"/>
  <c r="AS93" i="8"/>
  <c r="CH92" i="8"/>
  <c r="CG92" i="8"/>
  <c r="CE92" i="8"/>
  <c r="AS92" i="8"/>
  <c r="CH91" i="8"/>
  <c r="CG91" i="8"/>
  <c r="CE91" i="8"/>
  <c r="AS91" i="8"/>
  <c r="CH90" i="8"/>
  <c r="CG90" i="8"/>
  <c r="CE90" i="8"/>
  <c r="AS90" i="8"/>
  <c r="CH89" i="8"/>
  <c r="CG89" i="8"/>
  <c r="CE89" i="8"/>
  <c r="AS89" i="8"/>
  <c r="CH88" i="8"/>
  <c r="CG88" i="8"/>
  <c r="CE88" i="8"/>
  <c r="AS88" i="8"/>
  <c r="CH87" i="8"/>
  <c r="CG87" i="8"/>
  <c r="CE87" i="8"/>
  <c r="AS87" i="8"/>
  <c r="F87" i="8"/>
  <c r="CH86" i="8"/>
  <c r="CG86" i="8"/>
  <c r="AU86" i="8"/>
  <c r="CE86" i="8" s="1"/>
  <c r="AS86" i="8"/>
  <c r="CH85" i="8"/>
  <c r="CG85" i="8"/>
  <c r="CE85" i="8"/>
  <c r="AS85" i="8"/>
  <c r="CH84" i="8"/>
  <c r="CG84" i="8"/>
  <c r="CE84" i="8"/>
  <c r="AS84" i="8"/>
  <c r="CH83" i="8"/>
  <c r="CG83" i="8"/>
  <c r="CE83" i="8"/>
  <c r="AS83" i="8"/>
  <c r="CH82" i="8"/>
  <c r="CG82" i="8"/>
  <c r="CE82" i="8"/>
  <c r="AS82" i="8"/>
  <c r="CH81" i="8"/>
  <c r="CG81" i="8"/>
  <c r="CE81" i="8"/>
  <c r="AS81" i="8"/>
  <c r="CH80" i="8"/>
  <c r="CG80" i="8"/>
  <c r="CE80" i="8"/>
  <c r="AS80" i="8"/>
  <c r="CH79" i="8"/>
  <c r="CG79" i="8"/>
  <c r="CE79" i="8"/>
  <c r="AS79" i="8"/>
  <c r="CH78" i="8"/>
  <c r="CG78" i="8"/>
  <c r="CE78" i="8"/>
  <c r="AS78" i="8"/>
  <c r="CH77" i="8"/>
  <c r="CG77" i="8"/>
  <c r="CE77" i="8"/>
  <c r="AS77" i="8"/>
  <c r="CH76" i="8"/>
  <c r="CG76" i="8"/>
  <c r="CE76" i="8"/>
  <c r="AS76" i="8"/>
  <c r="CH75" i="8"/>
  <c r="CG75" i="8"/>
  <c r="CE75" i="8"/>
  <c r="AS75" i="8"/>
  <c r="CH74" i="8"/>
  <c r="CG74" i="8"/>
  <c r="CE74" i="8"/>
  <c r="AS74" i="8"/>
  <c r="CH73" i="8"/>
  <c r="CG73" i="8"/>
  <c r="CE73" i="8"/>
  <c r="AS73" i="8"/>
  <c r="CH72" i="8"/>
  <c r="CG72" i="8"/>
  <c r="CE72" i="8"/>
  <c r="AS72" i="8"/>
  <c r="CH71" i="8"/>
  <c r="CG71" i="8"/>
  <c r="CE71" i="8"/>
  <c r="AS71" i="8"/>
  <c r="CH70" i="8"/>
  <c r="CG70" i="8"/>
  <c r="CE70" i="8"/>
  <c r="AS70" i="8"/>
  <c r="CH69" i="8"/>
  <c r="CG69" i="8"/>
  <c r="CE69" i="8"/>
  <c r="AS69" i="8"/>
  <c r="CH68" i="8"/>
  <c r="CG68" i="8"/>
  <c r="CE68" i="8"/>
  <c r="AS68" i="8"/>
  <c r="CH67" i="8"/>
  <c r="CG67" i="8"/>
  <c r="CE67" i="8"/>
  <c r="AS67" i="8"/>
  <c r="CH66" i="8"/>
  <c r="CG66" i="8"/>
  <c r="CE66" i="8"/>
  <c r="AS66" i="8"/>
  <c r="CH65" i="8"/>
  <c r="CG65" i="8"/>
  <c r="CE65" i="8"/>
  <c r="AS65" i="8"/>
  <c r="CH64" i="8"/>
  <c r="CG64" i="8"/>
  <c r="CE64" i="8"/>
  <c r="AS64" i="8"/>
  <c r="CH63" i="8"/>
  <c r="CG63" i="8"/>
  <c r="AU63" i="8"/>
  <c r="CE63" i="8" s="1"/>
  <c r="AS63" i="8"/>
  <c r="CH62" i="8"/>
  <c r="CG62" i="8"/>
  <c r="CE62" i="8"/>
  <c r="AS62" i="8"/>
  <c r="CH61" i="8"/>
  <c r="CG61" i="8"/>
  <c r="CE61" i="8"/>
  <c r="AS61" i="8"/>
  <c r="CH60" i="8"/>
  <c r="CG60" i="8"/>
  <c r="CE60" i="8"/>
  <c r="AS60" i="8"/>
  <c r="CH59" i="8"/>
  <c r="CG59" i="8"/>
  <c r="CE59" i="8"/>
  <c r="AS59" i="8"/>
  <c r="CH58" i="8"/>
  <c r="CG58" i="8"/>
  <c r="CE58" i="8"/>
  <c r="AS58" i="8"/>
  <c r="F58" i="8"/>
  <c r="CH57" i="8"/>
  <c r="CG57" i="8"/>
  <c r="AU57" i="8"/>
  <c r="AS57" i="8"/>
  <c r="CH56" i="8"/>
  <c r="CG56" i="8"/>
  <c r="CE56" i="8"/>
  <c r="AS56" i="8"/>
  <c r="CH55" i="8"/>
  <c r="CG55" i="8"/>
  <c r="CE55" i="8"/>
  <c r="AS55" i="8"/>
  <c r="CH54" i="8"/>
  <c r="CG54" i="8"/>
  <c r="CE54" i="8"/>
  <c r="AS54" i="8"/>
  <c r="CH53" i="8"/>
  <c r="CG53" i="8"/>
  <c r="CE53" i="8"/>
  <c r="AS53" i="8"/>
  <c r="CH52" i="8"/>
  <c r="CG52" i="8"/>
  <c r="CE52" i="8"/>
  <c r="AS52" i="8"/>
  <c r="CH51" i="8"/>
  <c r="CG51" i="8"/>
  <c r="CE51" i="8"/>
  <c r="AS51" i="8"/>
  <c r="CH50" i="8"/>
  <c r="CG50" i="8"/>
  <c r="CE50" i="8"/>
  <c r="AS50" i="8"/>
  <c r="CH49" i="8"/>
  <c r="CG49" i="8"/>
  <c r="CE49" i="8"/>
  <c r="AS49" i="8"/>
  <c r="F49" i="8"/>
  <c r="F50" i="8" s="1"/>
  <c r="F51" i="8" s="1"/>
  <c r="CH48" i="8"/>
  <c r="CG48" i="8"/>
  <c r="CE48" i="8"/>
  <c r="AS48" i="8"/>
  <c r="CH47" i="8"/>
  <c r="CG47" i="8"/>
  <c r="CE47" i="8"/>
  <c r="AS47" i="8"/>
  <c r="F47" i="8"/>
  <c r="F48" i="8" s="1"/>
  <c r="CH46" i="8"/>
  <c r="CG46" i="8"/>
  <c r="CE46" i="8"/>
  <c r="AS46" i="8"/>
  <c r="CH45" i="8"/>
  <c r="CG45" i="8"/>
  <c r="CE45" i="8"/>
  <c r="AU45" i="8"/>
  <c r="AS45" i="8"/>
  <c r="CO44" i="8"/>
  <c r="CN44" i="8"/>
  <c r="CM44" i="8"/>
  <c r="CL44" i="8"/>
  <c r="CK44" i="8"/>
  <c r="CJ44" i="8"/>
  <c r="CI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CH43" i="8"/>
  <c r="CG43" i="8"/>
  <c r="CE43" i="8"/>
  <c r="AS43" i="8"/>
  <c r="CH42" i="8"/>
  <c r="CG42" i="8"/>
  <c r="CE42" i="8"/>
  <c r="AS42" i="8"/>
  <c r="CH41" i="8"/>
  <c r="CG41" i="8"/>
  <c r="CE41" i="8"/>
  <c r="AS41" i="8"/>
  <c r="CH40" i="8"/>
  <c r="CG40" i="8"/>
  <c r="CE40" i="8"/>
  <c r="AS40" i="8"/>
  <c r="CH39" i="8"/>
  <c r="CG39" i="8"/>
  <c r="CE39" i="8"/>
  <c r="AS39" i="8"/>
  <c r="CH38" i="8"/>
  <c r="CG38" i="8"/>
  <c r="CE38" i="8"/>
  <c r="AS38" i="8"/>
  <c r="CH37" i="8"/>
  <c r="CG37" i="8"/>
  <c r="CE37" i="8"/>
  <c r="AS37" i="8"/>
  <c r="CH36" i="8"/>
  <c r="CG36" i="8"/>
  <c r="CE36" i="8"/>
  <c r="AS36" i="8"/>
  <c r="CH35" i="8"/>
  <c r="CG35" i="8"/>
  <c r="CE35" i="8"/>
  <c r="AS35" i="8"/>
  <c r="CH34" i="8"/>
  <c r="CG34" i="8"/>
  <c r="CE34" i="8"/>
  <c r="AS34" i="8"/>
  <c r="CH33" i="8"/>
  <c r="CG33" i="8"/>
  <c r="CE33" i="8"/>
  <c r="AS33" i="8"/>
  <c r="CH32" i="8"/>
  <c r="CG32" i="8"/>
  <c r="CE32" i="8"/>
  <c r="AS32" i="8"/>
  <c r="CH31" i="8"/>
  <c r="CG31" i="8"/>
  <c r="CE31" i="8"/>
  <c r="AS31" i="8"/>
  <c r="CH30" i="8"/>
  <c r="CG30" i="8"/>
  <c r="CE30" i="8"/>
  <c r="AS30" i="8"/>
  <c r="F30" i="8"/>
  <c r="CH29" i="8"/>
  <c r="CG29" i="8"/>
  <c r="CE29" i="8"/>
  <c r="AS29" i="8"/>
  <c r="CH28" i="8"/>
  <c r="CG28" i="8"/>
  <c r="CE28" i="8"/>
  <c r="AS28" i="8"/>
  <c r="CH27" i="8"/>
  <c r="CG27" i="8"/>
  <c r="CE27" i="8"/>
  <c r="AS27" i="8"/>
  <c r="CH26" i="8"/>
  <c r="CG26" i="8"/>
  <c r="CE26" i="8"/>
  <c r="AS26" i="8"/>
  <c r="CQ1279" i="9"/>
  <c r="CP1279" i="9"/>
  <c r="CO1279" i="9"/>
  <c r="CN1279" i="9"/>
  <c r="CM1279" i="9"/>
  <c r="CL1279" i="9"/>
  <c r="CK1279" i="9"/>
  <c r="CJ1279" i="9"/>
  <c r="CI1279" i="9"/>
  <c r="CH1279" i="9"/>
  <c r="CC1279" i="9"/>
  <c r="CB1279" i="9"/>
  <c r="CA1279" i="9"/>
  <c r="BZ1279" i="9"/>
  <c r="BY1279" i="9"/>
  <c r="BX1279" i="9"/>
  <c r="BW1279" i="9"/>
  <c r="BV1279" i="9"/>
  <c r="BU1279" i="9"/>
  <c r="BT1279" i="9"/>
  <c r="BS1279" i="9"/>
  <c r="BR1279" i="9"/>
  <c r="BQ1279" i="9"/>
  <c r="BP1279" i="9"/>
  <c r="BO1279" i="9"/>
  <c r="BN1279" i="9"/>
  <c r="BM1279" i="9"/>
  <c r="BL1279" i="9"/>
  <c r="BK1279" i="9"/>
  <c r="BJ1279" i="9"/>
  <c r="BI1279" i="9"/>
  <c r="BH1279" i="9"/>
  <c r="BG1279" i="9"/>
  <c r="BF1279" i="9"/>
  <c r="BE1279" i="9"/>
  <c r="BD1279" i="9"/>
  <c r="BC1279" i="9"/>
  <c r="BB1279" i="9"/>
  <c r="BA1279" i="9"/>
  <c r="AZ1279" i="9"/>
  <c r="AY1279" i="9"/>
  <c r="AX1279" i="9"/>
  <c r="AW1279" i="9"/>
  <c r="AV1279" i="9"/>
  <c r="AU1279" i="9"/>
  <c r="AT1279" i="9"/>
  <c r="AR1279" i="9"/>
  <c r="AQ1279" i="9"/>
  <c r="AP1279" i="9"/>
  <c r="AO1279" i="9"/>
  <c r="AN1279" i="9"/>
  <c r="AM1279" i="9"/>
  <c r="AL1279" i="9"/>
  <c r="AK1279" i="9"/>
  <c r="AJ1279" i="9"/>
  <c r="AI1279" i="9"/>
  <c r="AH1279" i="9"/>
  <c r="AG1279" i="9"/>
  <c r="AF1279" i="9"/>
  <c r="AE1279" i="9"/>
  <c r="AD1279" i="9"/>
  <c r="AC1279" i="9"/>
  <c r="AB1279" i="9"/>
  <c r="AA1279" i="9"/>
  <c r="Z1279" i="9"/>
  <c r="Y1279" i="9"/>
  <c r="X1279" i="9"/>
  <c r="W1279" i="9"/>
  <c r="V1279" i="9"/>
  <c r="U1279" i="9"/>
  <c r="T1279" i="9"/>
  <c r="S1279" i="9"/>
  <c r="R1279" i="9"/>
  <c r="Q1279" i="9"/>
  <c r="P1279" i="9"/>
  <c r="O1279" i="9"/>
  <c r="N1279" i="9"/>
  <c r="M1279" i="9"/>
  <c r="L1279" i="9"/>
  <c r="K1279" i="9"/>
  <c r="CG1278" i="9"/>
  <c r="CF1278" i="9"/>
  <c r="CD1278" i="9"/>
  <c r="AS1278" i="9"/>
  <c r="CG1277" i="9"/>
  <c r="CF1277" i="9"/>
  <c r="CD1277" i="9"/>
  <c r="AS1277" i="9"/>
  <c r="CG1276" i="9"/>
  <c r="CF1276" i="9"/>
  <c r="CD1276" i="9"/>
  <c r="AS1276" i="9"/>
  <c r="CG1275" i="9"/>
  <c r="CF1275" i="9"/>
  <c r="CD1275" i="9"/>
  <c r="CE1275" i="9" s="1"/>
  <c r="AS1275" i="9"/>
  <c r="CG1274" i="9"/>
  <c r="CF1274" i="9"/>
  <c r="CE1274" i="9"/>
  <c r="CD1274" i="9"/>
  <c r="AS1274" i="9"/>
  <c r="CG1273" i="9"/>
  <c r="CF1273" i="9"/>
  <c r="CD1273" i="9"/>
  <c r="AS1273" i="9"/>
  <c r="CG1272" i="9"/>
  <c r="CF1272" i="9"/>
  <c r="CD1272" i="9"/>
  <c r="AS1272" i="9"/>
  <c r="CE1272" i="9" s="1"/>
  <c r="CG1271" i="9"/>
  <c r="CF1271" i="9"/>
  <c r="CD1271" i="9"/>
  <c r="AS1271" i="9"/>
  <c r="CG1270" i="9"/>
  <c r="CF1270" i="9"/>
  <c r="CD1270" i="9"/>
  <c r="AS1270" i="9"/>
  <c r="CE1270" i="9" s="1"/>
  <c r="CG1269" i="9"/>
  <c r="CF1269" i="9"/>
  <c r="CD1269" i="9"/>
  <c r="AS1269" i="9"/>
  <c r="CG1268" i="9"/>
  <c r="CF1268" i="9"/>
  <c r="CD1268" i="9"/>
  <c r="AS1268" i="9"/>
  <c r="CG1267" i="9"/>
  <c r="CF1267" i="9"/>
  <c r="CD1267" i="9"/>
  <c r="AS1267" i="9"/>
  <c r="CG1266" i="9"/>
  <c r="CF1266" i="9"/>
  <c r="CD1266" i="9"/>
  <c r="AS1266" i="9"/>
  <c r="CG1265" i="9"/>
  <c r="CF1265" i="9"/>
  <c r="CD1265" i="9"/>
  <c r="AS1265" i="9"/>
  <c r="CG1264" i="9"/>
  <c r="CF1264" i="9"/>
  <c r="CD1264" i="9"/>
  <c r="AS1264" i="9"/>
  <c r="CG1263" i="9"/>
  <c r="CF1263" i="9"/>
  <c r="CD1263" i="9"/>
  <c r="AS1263" i="9"/>
  <c r="CJ1262" i="9"/>
  <c r="CH1262" i="9"/>
  <c r="CC1262" i="9"/>
  <c r="CB1262" i="9"/>
  <c r="CA1262" i="9"/>
  <c r="BZ1262" i="9"/>
  <c r="BY1262" i="9"/>
  <c r="BX1262" i="9"/>
  <c r="BW1262" i="9"/>
  <c r="BV1262" i="9"/>
  <c r="BU1262" i="9"/>
  <c r="BT1262" i="9"/>
  <c r="BS1262" i="9"/>
  <c r="BR1262" i="9"/>
  <c r="BQ1262" i="9"/>
  <c r="BP1262" i="9"/>
  <c r="BO1262" i="9"/>
  <c r="BN1262" i="9"/>
  <c r="BM1262" i="9"/>
  <c r="BL1262" i="9"/>
  <c r="BK1262" i="9"/>
  <c r="BJ1262" i="9"/>
  <c r="BI1262" i="9"/>
  <c r="BH1262" i="9"/>
  <c r="BG1262" i="9"/>
  <c r="BF1262" i="9"/>
  <c r="BE1262" i="9"/>
  <c r="BD1262" i="9"/>
  <c r="BC1262" i="9"/>
  <c r="BB1262" i="9"/>
  <c r="BA1262" i="9"/>
  <c r="AZ1262" i="9"/>
  <c r="AY1262" i="9"/>
  <c r="AX1262" i="9"/>
  <c r="AW1262" i="9"/>
  <c r="AV1262" i="9"/>
  <c r="AU1262" i="9"/>
  <c r="AT1262" i="9"/>
  <c r="AR1262" i="9"/>
  <c r="AQ1262" i="9"/>
  <c r="AP1262" i="9"/>
  <c r="AO1262" i="9"/>
  <c r="AN1262" i="9"/>
  <c r="AM1262" i="9"/>
  <c r="AL1262" i="9"/>
  <c r="AK1262" i="9"/>
  <c r="AJ1262" i="9"/>
  <c r="AI1262" i="9"/>
  <c r="AH1262" i="9"/>
  <c r="AG1262" i="9"/>
  <c r="AF1262" i="9"/>
  <c r="AE1262" i="9"/>
  <c r="AD1262" i="9"/>
  <c r="AC1262" i="9"/>
  <c r="AB1262" i="9"/>
  <c r="AA1262" i="9"/>
  <c r="Z1262" i="9"/>
  <c r="Y1262" i="9"/>
  <c r="W1262" i="9"/>
  <c r="V1262" i="9"/>
  <c r="U1262" i="9"/>
  <c r="T1262" i="9"/>
  <c r="S1262" i="9"/>
  <c r="R1262" i="9"/>
  <c r="Q1262" i="9"/>
  <c r="P1262" i="9"/>
  <c r="O1262" i="9"/>
  <c r="N1262" i="9"/>
  <c r="M1262" i="9"/>
  <c r="L1262" i="9"/>
  <c r="K1262" i="9"/>
  <c r="J1262" i="9"/>
  <c r="I1262" i="9"/>
  <c r="CG1261" i="9"/>
  <c r="CF1261" i="9"/>
  <c r="CD1261" i="9"/>
  <c r="AS1261" i="9"/>
  <c r="CG1260" i="9"/>
  <c r="CF1260" i="9"/>
  <c r="CD1260" i="9"/>
  <c r="AS1260" i="9"/>
  <c r="X1260" i="9"/>
  <c r="CG1259" i="9"/>
  <c r="CF1259" i="9"/>
  <c r="CD1259" i="9"/>
  <c r="X1259" i="9"/>
  <c r="C1259" i="9" s="1"/>
  <c r="CG1258" i="9"/>
  <c r="CF1258" i="9"/>
  <c r="CD1258" i="9"/>
  <c r="AS1258" i="9"/>
  <c r="CG1257" i="9"/>
  <c r="CF1257" i="9"/>
  <c r="CD1257" i="9"/>
  <c r="AS1257" i="9"/>
  <c r="B1257" i="9"/>
  <c r="CG1256" i="9"/>
  <c r="CF1256" i="9"/>
  <c r="CD1256" i="9"/>
  <c r="AS1256" i="9"/>
  <c r="CG1255" i="9"/>
  <c r="CF1255" i="9"/>
  <c r="CD1255" i="9"/>
  <c r="AS1255" i="9"/>
  <c r="CG1254" i="9"/>
  <c r="CF1254" i="9"/>
  <c r="CD1254" i="9"/>
  <c r="AS1254" i="9"/>
  <c r="CG1253" i="9"/>
  <c r="CF1253" i="9"/>
  <c r="CD1253" i="9"/>
  <c r="CE1253" i="9" s="1"/>
  <c r="AS1253" i="9"/>
  <c r="CG1252" i="9"/>
  <c r="CF1252" i="9"/>
  <c r="CD1252" i="9"/>
  <c r="CE1252" i="9" s="1"/>
  <c r="AS1252" i="9"/>
  <c r="CG1251" i="9"/>
  <c r="CF1251" i="9"/>
  <c r="CE1251" i="9"/>
  <c r="CD1251" i="9"/>
  <c r="AS1251" i="9"/>
  <c r="CG1250" i="9"/>
  <c r="CF1250" i="9"/>
  <c r="CD1250" i="9"/>
  <c r="CE1250" i="9" s="1"/>
  <c r="AS1250" i="9"/>
  <c r="CG1249" i="9"/>
  <c r="CF1249" i="9"/>
  <c r="CD1249" i="9"/>
  <c r="AS1249" i="9"/>
  <c r="CE1249" i="9" s="1"/>
  <c r="CG1248" i="9"/>
  <c r="CF1248" i="9"/>
  <c r="CD1248" i="9"/>
  <c r="AS1248" i="9"/>
  <c r="CG1247" i="9"/>
  <c r="CF1247" i="9"/>
  <c r="CD1247" i="9"/>
  <c r="AS1247" i="9"/>
  <c r="CG1246" i="9"/>
  <c r="CF1246" i="9"/>
  <c r="CD1246" i="9"/>
  <c r="AS1246" i="9"/>
  <c r="CE1246" i="9" s="1"/>
  <c r="CG1245" i="9"/>
  <c r="CF1245" i="9"/>
  <c r="CD1245" i="9"/>
  <c r="AS1245" i="9"/>
  <c r="CE1245" i="9" s="1"/>
  <c r="CG1244" i="9"/>
  <c r="CF1244" i="9"/>
  <c r="CD1244" i="9"/>
  <c r="AS1244" i="9"/>
  <c r="CG1243" i="9"/>
  <c r="CF1243" i="9"/>
  <c r="CD1243" i="9"/>
  <c r="AS1243" i="9"/>
  <c r="CG1242" i="9"/>
  <c r="CF1242" i="9"/>
  <c r="CD1242" i="9"/>
  <c r="AS1242" i="9"/>
  <c r="CG1241" i="9"/>
  <c r="CF1241" i="9"/>
  <c r="CD1241" i="9"/>
  <c r="AS1241" i="9"/>
  <c r="CG1240" i="9"/>
  <c r="CF1240" i="9"/>
  <c r="CD1240" i="9"/>
  <c r="AS1240" i="9"/>
  <c r="CG1239" i="9"/>
  <c r="CF1239" i="9"/>
  <c r="CD1239" i="9"/>
  <c r="AS1239" i="9"/>
  <c r="CG1238" i="9"/>
  <c r="CF1238" i="9"/>
  <c r="CD1238" i="9"/>
  <c r="AS1238" i="9"/>
  <c r="CG1237" i="9"/>
  <c r="CF1237" i="9"/>
  <c r="CD1237" i="9"/>
  <c r="AS1237" i="9"/>
  <c r="CG1236" i="9"/>
  <c r="CF1236" i="9"/>
  <c r="CD1236" i="9"/>
  <c r="AS1236" i="9"/>
  <c r="CG1235" i="9"/>
  <c r="CF1235" i="9"/>
  <c r="CD1235" i="9"/>
  <c r="AS1235" i="9"/>
  <c r="CI1234" i="9"/>
  <c r="CG1234" i="9"/>
  <c r="CF1234" i="9"/>
  <c r="CD1234" i="9"/>
  <c r="AS1234" i="9"/>
  <c r="CG1233" i="9"/>
  <c r="CF1233" i="9"/>
  <c r="CD1233" i="9"/>
  <c r="AS1233" i="9"/>
  <c r="CG1232" i="9"/>
  <c r="CF1232" i="9"/>
  <c r="CD1232" i="9"/>
  <c r="AS1232" i="9"/>
  <c r="CI1231" i="9"/>
  <c r="CG1231" i="9"/>
  <c r="CF1231" i="9"/>
  <c r="CD1231" i="9"/>
  <c r="AS1231" i="9"/>
  <c r="CG1230" i="9"/>
  <c r="CF1230" i="9"/>
  <c r="CD1230" i="9"/>
  <c r="AS1230" i="9"/>
  <c r="CG1229" i="9"/>
  <c r="CF1229" i="9"/>
  <c r="CD1229" i="9"/>
  <c r="AS1229" i="9"/>
  <c r="CG1228" i="9"/>
  <c r="CF1228" i="9"/>
  <c r="CD1228" i="9"/>
  <c r="AS1228" i="9"/>
  <c r="CG1227" i="9"/>
  <c r="CF1227" i="9"/>
  <c r="CD1227" i="9"/>
  <c r="CE1227" i="9" s="1"/>
  <c r="AS1227" i="9"/>
  <c r="CG1226" i="9"/>
  <c r="CF1226" i="9"/>
  <c r="CD1226" i="9"/>
  <c r="AS1226" i="9"/>
  <c r="CG1225" i="9"/>
  <c r="CF1225" i="9"/>
  <c r="CD1225" i="9"/>
  <c r="AS1225" i="9"/>
  <c r="CG1224" i="9"/>
  <c r="CF1224" i="9"/>
  <c r="CD1224" i="9"/>
  <c r="CE1224" i="9" s="1"/>
  <c r="AS1224" i="9"/>
  <c r="CG1223" i="9"/>
  <c r="CF1223" i="9"/>
  <c r="CD1223" i="9"/>
  <c r="AS1223" i="9"/>
  <c r="CG1222" i="9"/>
  <c r="CF1222" i="9"/>
  <c r="CD1222" i="9"/>
  <c r="AS1222" i="9"/>
  <c r="CI1221" i="9"/>
  <c r="CG1221" i="9"/>
  <c r="CF1221" i="9"/>
  <c r="CD1221" i="9"/>
  <c r="AS1221" i="9"/>
  <c r="CG1220" i="9"/>
  <c r="CF1220" i="9"/>
  <c r="CD1220" i="9"/>
  <c r="AS1220" i="9"/>
  <c r="CE1220" i="9" s="1"/>
  <c r="CG1219" i="9"/>
  <c r="CF1219" i="9"/>
  <c r="CD1219" i="9"/>
  <c r="AS1219" i="9"/>
  <c r="CG1218" i="9"/>
  <c r="CF1218" i="9"/>
  <c r="CD1218" i="9"/>
  <c r="AS1218" i="9"/>
  <c r="CG1217" i="9"/>
  <c r="CF1217" i="9"/>
  <c r="CD1217" i="9"/>
  <c r="AS1217" i="9"/>
  <c r="CE1217" i="9" s="1"/>
  <c r="CG1216" i="9"/>
  <c r="CF1216" i="9"/>
  <c r="CD1216" i="9"/>
  <c r="AS1216" i="9"/>
  <c r="CE1216" i="9" s="1"/>
  <c r="CG1215" i="9"/>
  <c r="CF1215" i="9"/>
  <c r="CD1215" i="9"/>
  <c r="AS1215" i="9"/>
  <c r="CG1214" i="9"/>
  <c r="CF1214" i="9"/>
  <c r="CD1214" i="9"/>
  <c r="AS1214" i="9"/>
  <c r="CG1213" i="9"/>
  <c r="CF1213" i="9"/>
  <c r="CD1213" i="9"/>
  <c r="AS1213" i="9"/>
  <c r="CU1212" i="9"/>
  <c r="CT1212" i="9"/>
  <c r="CS1212" i="9"/>
  <c r="CR1212" i="9"/>
  <c r="CQ1212" i="9"/>
  <c r="CG1212" i="9"/>
  <c r="CF1212" i="9"/>
  <c r="CO1211" i="9"/>
  <c r="CN1211" i="9"/>
  <c r="CM1211" i="9"/>
  <c r="CL1211" i="9"/>
  <c r="CL1209" i="9" s="1"/>
  <c r="CK1211" i="9"/>
  <c r="CK1209" i="9" s="1"/>
  <c r="CJ1211" i="9"/>
  <c r="CI1211" i="9"/>
  <c r="CH1211" i="9"/>
  <c r="CC1211" i="9"/>
  <c r="CB1211" i="9"/>
  <c r="CA1211" i="9"/>
  <c r="BZ1211" i="9"/>
  <c r="BY1211" i="9"/>
  <c r="BX1211" i="9"/>
  <c r="BW1211" i="9"/>
  <c r="BV1211" i="9"/>
  <c r="BU1211" i="9"/>
  <c r="BT1211" i="9"/>
  <c r="BS1211" i="9"/>
  <c r="BR1211" i="9"/>
  <c r="BQ1211" i="9"/>
  <c r="BP1211" i="9"/>
  <c r="BO1211" i="9"/>
  <c r="BN1211" i="9"/>
  <c r="BM1211" i="9"/>
  <c r="BL1211" i="9"/>
  <c r="BK1211" i="9"/>
  <c r="BJ1211" i="9"/>
  <c r="BI1211" i="9"/>
  <c r="BH1211" i="9"/>
  <c r="BG1211" i="9"/>
  <c r="BF1211" i="9"/>
  <c r="BE1211" i="9"/>
  <c r="BD1211" i="9"/>
  <c r="BC1211" i="9"/>
  <c r="BB1211" i="9"/>
  <c r="BA1211" i="9"/>
  <c r="AZ1211" i="9"/>
  <c r="AY1211" i="9"/>
  <c r="AX1211" i="9"/>
  <c r="AW1211" i="9"/>
  <c r="AV1211" i="9"/>
  <c r="AU1211" i="9"/>
  <c r="AT1211" i="9"/>
  <c r="AR1211" i="9"/>
  <c r="AQ1211" i="9"/>
  <c r="AP1211" i="9"/>
  <c r="AP1209" i="9" s="1"/>
  <c r="AO1211" i="9"/>
  <c r="AN1211" i="9"/>
  <c r="AM1211" i="9"/>
  <c r="AL1211" i="9"/>
  <c r="AK1211" i="9"/>
  <c r="AJ1211" i="9"/>
  <c r="AI1211" i="9"/>
  <c r="AH1211" i="9"/>
  <c r="AH1209" i="9" s="1"/>
  <c r="AG1211" i="9"/>
  <c r="AF1211" i="9"/>
  <c r="AE1211" i="9"/>
  <c r="AD1211" i="9"/>
  <c r="AD1209" i="9" s="1"/>
  <c r="AC1211" i="9"/>
  <c r="AB1211" i="9"/>
  <c r="AA1211" i="9"/>
  <c r="Z1211" i="9"/>
  <c r="Z1209" i="9" s="1"/>
  <c r="Y1211" i="9"/>
  <c r="X1211" i="9"/>
  <c r="W1211" i="9"/>
  <c r="V1211" i="9"/>
  <c r="V1209" i="9" s="1"/>
  <c r="U1211" i="9"/>
  <c r="T1211" i="9"/>
  <c r="S1211" i="9"/>
  <c r="R1211" i="9"/>
  <c r="R1209" i="9" s="1"/>
  <c r="Q1211" i="9"/>
  <c r="P1211" i="9"/>
  <c r="O1211" i="9"/>
  <c r="N1211" i="9"/>
  <c r="N1209" i="9" s="1"/>
  <c r="M1211" i="9"/>
  <c r="L1211" i="9"/>
  <c r="K1211" i="9"/>
  <c r="J1211" i="9"/>
  <c r="J1209" i="9" s="1"/>
  <c r="I1211" i="9"/>
  <c r="H1211" i="9"/>
  <c r="CJ1210" i="9"/>
  <c r="CI1210" i="9"/>
  <c r="CH1210" i="9"/>
  <c r="CC1210" i="9"/>
  <c r="CB1210" i="9"/>
  <c r="CB1209" i="9" s="1"/>
  <c r="CA1210" i="9"/>
  <c r="CA1209" i="9" s="1"/>
  <c r="BZ1210" i="9"/>
  <c r="BZ1209" i="9" s="1"/>
  <c r="BY1210" i="9"/>
  <c r="BX1210" i="9"/>
  <c r="BX1209" i="9" s="1"/>
  <c r="BW1210" i="9"/>
  <c r="BW1209" i="9" s="1"/>
  <c r="BV1210" i="9"/>
  <c r="BV1209" i="9" s="1"/>
  <c r="BU1210" i="9"/>
  <c r="BT1210" i="9"/>
  <c r="BS1210" i="9"/>
  <c r="BS1209" i="9" s="1"/>
  <c r="BR1210" i="9"/>
  <c r="BR1209" i="9" s="1"/>
  <c r="BQ1210" i="9"/>
  <c r="BP1210" i="9"/>
  <c r="BO1210" i="9"/>
  <c r="BO1209" i="9" s="1"/>
  <c r="BN1210" i="9"/>
  <c r="BN1209" i="9" s="1"/>
  <c r="BM1210" i="9"/>
  <c r="BL1210" i="9"/>
  <c r="BL1209" i="9" s="1"/>
  <c r="BK1210" i="9"/>
  <c r="BK1209" i="9" s="1"/>
  <c r="BJ1210" i="9"/>
  <c r="BJ1209" i="9" s="1"/>
  <c r="BI1210" i="9"/>
  <c r="BH1210" i="9"/>
  <c r="BH1209" i="9" s="1"/>
  <c r="BG1210" i="9"/>
  <c r="BG1209" i="9" s="1"/>
  <c r="BF1210" i="9"/>
  <c r="BF1209" i="9" s="1"/>
  <c r="BE1210" i="9"/>
  <c r="BD1210" i="9"/>
  <c r="BC1210" i="9"/>
  <c r="BC1209" i="9" s="1"/>
  <c r="BB1210" i="9"/>
  <c r="BB1209" i="9" s="1"/>
  <c r="BA1210" i="9"/>
  <c r="AZ1210" i="9"/>
  <c r="AY1210" i="9"/>
  <c r="AY1209" i="9" s="1"/>
  <c r="AX1210" i="9"/>
  <c r="AX1209" i="9" s="1"/>
  <c r="AW1210" i="9"/>
  <c r="AT1210" i="9"/>
  <c r="AT1209" i="9" s="1"/>
  <c r="AR1210" i="9"/>
  <c r="AR1209" i="9" s="1"/>
  <c r="AQ1210" i="9"/>
  <c r="AP1210" i="9"/>
  <c r="AO1210" i="9"/>
  <c r="AN1210" i="9"/>
  <c r="AN1209" i="9" s="1"/>
  <c r="AM1210" i="9"/>
  <c r="AL1210" i="9"/>
  <c r="AK1210" i="9"/>
  <c r="AJ1210" i="9"/>
  <c r="AJ1209" i="9" s="1"/>
  <c r="AI1210" i="9"/>
  <c r="AH1210" i="9"/>
  <c r="AG1210" i="9"/>
  <c r="AF1210" i="9"/>
  <c r="AF1209" i="9" s="1"/>
  <c r="AE1210" i="9"/>
  <c r="AD1210" i="9"/>
  <c r="AC1210" i="9"/>
  <c r="AB1210" i="9"/>
  <c r="AB1209" i="9" s="1"/>
  <c r="AA1210" i="9"/>
  <c r="Z1210" i="9"/>
  <c r="Y1210" i="9"/>
  <c r="X1210" i="9"/>
  <c r="X1209" i="9" s="1"/>
  <c r="W1210" i="9"/>
  <c r="V1210" i="9"/>
  <c r="U1210" i="9"/>
  <c r="T1210" i="9"/>
  <c r="T1209" i="9" s="1"/>
  <c r="S1210" i="9"/>
  <c r="R1210" i="9"/>
  <c r="Q1210" i="9"/>
  <c r="P1210" i="9"/>
  <c r="P1209" i="9" s="1"/>
  <c r="O1210" i="9"/>
  <c r="N1210" i="9"/>
  <c r="M1210" i="9"/>
  <c r="L1210" i="9"/>
  <c r="L1209" i="9" s="1"/>
  <c r="K1210" i="9"/>
  <c r="J1210" i="9"/>
  <c r="I1210" i="9"/>
  <c r="H1210" i="9"/>
  <c r="CN1209" i="9"/>
  <c r="CM1209" i="9"/>
  <c r="CJ1209" i="9"/>
  <c r="CI1209" i="9"/>
  <c r="BT1209" i="9"/>
  <c r="BP1209" i="9"/>
  <c r="BD1209" i="9"/>
  <c r="AZ1209" i="9"/>
  <c r="AL1209" i="9"/>
  <c r="CG1208" i="9"/>
  <c r="CF1208" i="9"/>
  <c r="CD1208" i="9"/>
  <c r="AS1208" i="9"/>
  <c r="CG1207" i="9"/>
  <c r="CF1207" i="9"/>
  <c r="CD1207" i="9"/>
  <c r="AS1207" i="9"/>
  <c r="CG1206" i="9"/>
  <c r="CF1206" i="9"/>
  <c r="CD1206" i="9"/>
  <c r="AS1206" i="9"/>
  <c r="CG1205" i="9"/>
  <c r="CF1205" i="9"/>
  <c r="CD1205" i="9"/>
  <c r="AS1205" i="9"/>
  <c r="CG1204" i="9"/>
  <c r="CF1204" i="9"/>
  <c r="CD1204" i="9"/>
  <c r="AS1204" i="9"/>
  <c r="CG1203" i="9"/>
  <c r="CF1203" i="9"/>
  <c r="CD1203" i="9"/>
  <c r="AS1203" i="9"/>
  <c r="CG1202" i="9"/>
  <c r="CF1202" i="9"/>
  <c r="CD1202" i="9"/>
  <c r="AS1202" i="9"/>
  <c r="CG1201" i="9"/>
  <c r="CG1211" i="9" s="1"/>
  <c r="CF1201" i="9"/>
  <c r="CD1201" i="9"/>
  <c r="AS1201" i="9"/>
  <c r="AS1211" i="9" s="1"/>
  <c r="CG1200" i="9"/>
  <c r="CF1200" i="9"/>
  <c r="CD1200" i="9"/>
  <c r="CE1200" i="9" s="1"/>
  <c r="AS1200" i="9"/>
  <c r="CG1199" i="9"/>
  <c r="CF1199" i="9"/>
  <c r="CD1199" i="9"/>
  <c r="AS1199" i="9"/>
  <c r="CG1198" i="9"/>
  <c r="CF1198" i="9"/>
  <c r="CD1198" i="9"/>
  <c r="AS1198" i="9"/>
  <c r="CG1197" i="9"/>
  <c r="CF1197" i="9"/>
  <c r="CD1197" i="9"/>
  <c r="AS1197" i="9"/>
  <c r="CG1196" i="9"/>
  <c r="CF1196" i="9"/>
  <c r="CD1196" i="9"/>
  <c r="AS1196" i="9"/>
  <c r="CG1195" i="9"/>
  <c r="CF1195" i="9"/>
  <c r="AU1195" i="9"/>
  <c r="CD1195" i="9" s="1"/>
  <c r="AS1195" i="9"/>
  <c r="CG1194" i="9"/>
  <c r="CF1194" i="9"/>
  <c r="CD1194" i="9"/>
  <c r="H1194" i="9"/>
  <c r="CG1193" i="9"/>
  <c r="CF1193" i="9"/>
  <c r="CD1193" i="9"/>
  <c r="AS1193" i="9"/>
  <c r="CG1192" i="9"/>
  <c r="CF1192" i="9"/>
  <c r="CD1192" i="9"/>
  <c r="AS1192" i="9"/>
  <c r="CG1191" i="9"/>
  <c r="CF1191" i="9"/>
  <c r="CD1191" i="9"/>
  <c r="AS1191" i="9"/>
  <c r="CG1190" i="9"/>
  <c r="CF1190" i="9"/>
  <c r="CD1190" i="9"/>
  <c r="AS1190" i="9"/>
  <c r="CG1189" i="9"/>
  <c r="CF1189" i="9"/>
  <c r="CD1189" i="9"/>
  <c r="AS1189" i="9"/>
  <c r="CG1188" i="9"/>
  <c r="CF1188" i="9"/>
  <c r="CD1188" i="9"/>
  <c r="CE1188" i="9" s="1"/>
  <c r="AS1188" i="9"/>
  <c r="CG1187" i="9"/>
  <c r="CF1187" i="9"/>
  <c r="CD1187" i="9"/>
  <c r="AS1187" i="9"/>
  <c r="F1187" i="9"/>
  <c r="F1188" i="9" s="1"/>
  <c r="F1189" i="9" s="1"/>
  <c r="CG1186" i="9"/>
  <c r="CF1186" i="9"/>
  <c r="CD1186" i="9"/>
  <c r="AS1186" i="9"/>
  <c r="CG1185" i="9"/>
  <c r="CF1185" i="9"/>
  <c r="CD1185" i="9"/>
  <c r="AS1185" i="9"/>
  <c r="CG1184" i="9"/>
  <c r="CF1184" i="9"/>
  <c r="CD1184" i="9"/>
  <c r="AS1184" i="9"/>
  <c r="CG1183" i="9"/>
  <c r="CF1183" i="9"/>
  <c r="CD1183" i="9"/>
  <c r="AS1183" i="9"/>
  <c r="CG1182" i="9"/>
  <c r="CF1182" i="9"/>
  <c r="CD1182" i="9"/>
  <c r="AS1182" i="9"/>
  <c r="CE1182" i="9" s="1"/>
  <c r="CG1181" i="9"/>
  <c r="CF1181" i="9"/>
  <c r="CD1181" i="9"/>
  <c r="AS1181" i="9"/>
  <c r="CG1180" i="9"/>
  <c r="CF1180" i="9"/>
  <c r="CD1180" i="9"/>
  <c r="AS1180" i="9"/>
  <c r="CG1179" i="9"/>
  <c r="CF1179" i="9"/>
  <c r="CD1179" i="9"/>
  <c r="AU1179" i="9"/>
  <c r="AS1179" i="9"/>
  <c r="CG1178" i="9"/>
  <c r="CF1178" i="9"/>
  <c r="CD1178" i="9"/>
  <c r="AS1178" i="9"/>
  <c r="CG1177" i="9"/>
  <c r="CF1177" i="9"/>
  <c r="CD1177" i="9"/>
  <c r="AS1177" i="9"/>
  <c r="CG1176" i="9"/>
  <c r="CF1176" i="9"/>
  <c r="CD1176" i="9"/>
  <c r="AS1176" i="9"/>
  <c r="CG1175" i="9"/>
  <c r="CF1175" i="9"/>
  <c r="CD1175" i="9"/>
  <c r="AS1175" i="9"/>
  <c r="CG1174" i="9"/>
  <c r="CF1174" i="9"/>
  <c r="CD1174" i="9"/>
  <c r="AS1174" i="9"/>
  <c r="CG1173" i="9"/>
  <c r="CF1173" i="9"/>
  <c r="CD1173" i="9"/>
  <c r="AS1173" i="9"/>
  <c r="CG1172" i="9"/>
  <c r="CF1172" i="9"/>
  <c r="CD1172" i="9"/>
  <c r="AS1172" i="9"/>
  <c r="CG1171" i="9"/>
  <c r="CF1171" i="9"/>
  <c r="CD1171" i="9"/>
  <c r="AS1171" i="9"/>
  <c r="CG1170" i="9"/>
  <c r="CF1170" i="9"/>
  <c r="CD1170" i="9"/>
  <c r="AS1170" i="9"/>
  <c r="CG1169" i="9"/>
  <c r="CF1169" i="9"/>
  <c r="CD1169" i="9"/>
  <c r="AS1169" i="9"/>
  <c r="CG1168" i="9"/>
  <c r="CF1168" i="9"/>
  <c r="CD1168" i="9"/>
  <c r="AS1168" i="9"/>
  <c r="CG1167" i="9"/>
  <c r="CF1167" i="9"/>
  <c r="AU1167" i="9"/>
  <c r="CD1167" i="9" s="1"/>
  <c r="AS1167" i="9"/>
  <c r="CG1166" i="9"/>
  <c r="CF1166" i="9"/>
  <c r="CD1166" i="9"/>
  <c r="AS1166" i="9"/>
  <c r="F1166" i="9"/>
  <c r="F1170" i="9" s="1"/>
  <c r="F1171" i="9" s="1"/>
  <c r="F1172" i="9" s="1"/>
  <c r="F1173" i="9" s="1"/>
  <c r="F1174" i="9" s="1"/>
  <c r="F1175" i="9" s="1"/>
  <c r="F1176" i="9" s="1"/>
  <c r="F1177" i="9" s="1"/>
  <c r="F1178" i="9" s="1"/>
  <c r="F1179" i="9" s="1"/>
  <c r="CG1165" i="9"/>
  <c r="CF1165" i="9"/>
  <c r="CD1165" i="9"/>
  <c r="AS1165" i="9"/>
  <c r="CG1164" i="9"/>
  <c r="CF1164" i="9"/>
  <c r="CD1164" i="9"/>
  <c r="AS1164" i="9"/>
  <c r="CG1163" i="9"/>
  <c r="CF1163" i="9"/>
  <c r="CD1163" i="9"/>
  <c r="CE1163" i="9" s="1"/>
  <c r="AS1163" i="9"/>
  <c r="CG1162" i="9"/>
  <c r="CF1162" i="9"/>
  <c r="AU1162" i="9"/>
  <c r="CD1162" i="9" s="1"/>
  <c r="CE1162" i="9" s="1"/>
  <c r="AS1162" i="9"/>
  <c r="CG1161" i="9"/>
  <c r="CF1161" i="9"/>
  <c r="CD1161" i="9"/>
  <c r="CE1161" i="9" s="1"/>
  <c r="AS1161" i="9"/>
  <c r="CG1160" i="9"/>
  <c r="CF1160" i="9"/>
  <c r="CD1160" i="9"/>
  <c r="AS1160" i="9"/>
  <c r="CG1159" i="9"/>
  <c r="CF1159" i="9"/>
  <c r="CD1159" i="9"/>
  <c r="AS1159" i="9"/>
  <c r="CG1158" i="9"/>
  <c r="CF1158" i="9"/>
  <c r="CD1158" i="9"/>
  <c r="CE1158" i="9" s="1"/>
  <c r="AS1158" i="9"/>
  <c r="CG1157" i="9"/>
  <c r="CF1157" i="9"/>
  <c r="CD1157" i="9"/>
  <c r="CE1157" i="9" s="1"/>
  <c r="AS1157" i="9"/>
  <c r="CG1156" i="9"/>
  <c r="CF1156" i="9"/>
  <c r="CD1156" i="9"/>
  <c r="AS1156" i="9"/>
  <c r="CG1155" i="9"/>
  <c r="CF1155" i="9"/>
  <c r="CD1155" i="9"/>
  <c r="AS1155" i="9"/>
  <c r="CG1154" i="9"/>
  <c r="CF1154" i="9"/>
  <c r="CD1154" i="9"/>
  <c r="CE1154" i="9" s="1"/>
  <c r="AS1154" i="9"/>
  <c r="CG1153" i="9"/>
  <c r="CF1153" i="9"/>
  <c r="CD1153" i="9"/>
  <c r="AS1153" i="9"/>
  <c r="CG1152" i="9"/>
  <c r="CF1152" i="9"/>
  <c r="CD1152" i="9"/>
  <c r="AS1152" i="9"/>
  <c r="CG1151" i="9"/>
  <c r="CF1151" i="9"/>
  <c r="CD1151" i="9"/>
  <c r="AS1151" i="9"/>
  <c r="CG1150" i="9"/>
  <c r="CF1150" i="9"/>
  <c r="CD1150" i="9"/>
  <c r="AS1150" i="9"/>
  <c r="CG1149" i="9"/>
  <c r="CF1149" i="9"/>
  <c r="CD1149" i="9"/>
  <c r="AS1149" i="9"/>
  <c r="B1149" i="9"/>
  <c r="CG1148" i="9"/>
  <c r="CF1148" i="9"/>
  <c r="CD1148" i="9"/>
  <c r="AS1148" i="9"/>
  <c r="CG1147" i="9"/>
  <c r="CF1147" i="9"/>
  <c r="CD1147" i="9"/>
  <c r="AS1147" i="9"/>
  <c r="CG1146" i="9"/>
  <c r="CF1146" i="9"/>
  <c r="CD1146" i="9"/>
  <c r="AS1146" i="9"/>
  <c r="CG1145" i="9"/>
  <c r="CF1145" i="9"/>
  <c r="CD1145" i="9"/>
  <c r="AS1145" i="9"/>
  <c r="CG1144" i="9"/>
  <c r="CF1144" i="9"/>
  <c r="CD1144" i="9"/>
  <c r="AS1144" i="9"/>
  <c r="CG1143" i="9"/>
  <c r="CF1143" i="9"/>
  <c r="CD1143" i="9"/>
  <c r="AS1143" i="9"/>
  <c r="CG1142" i="9"/>
  <c r="CF1142" i="9"/>
  <c r="CD1142" i="9"/>
  <c r="AS1142" i="9"/>
  <c r="CG1141" i="9"/>
  <c r="CF1141" i="9"/>
  <c r="CD1141" i="9"/>
  <c r="AS1141" i="9"/>
  <c r="CG1140" i="9"/>
  <c r="CF1140" i="9"/>
  <c r="CD1140" i="9"/>
  <c r="CE1140" i="9" s="1"/>
  <c r="AS1140" i="9"/>
  <c r="CG1139" i="9"/>
  <c r="CF1139" i="9"/>
  <c r="CD1139" i="9"/>
  <c r="AS1139" i="9"/>
  <c r="CG1138" i="9"/>
  <c r="CF1138" i="9"/>
  <c r="CD1138" i="9"/>
  <c r="CE1138" i="9" s="1"/>
  <c r="AS1138" i="9"/>
  <c r="CG1137" i="9"/>
  <c r="CF1137" i="9"/>
  <c r="CD1137" i="9"/>
  <c r="AS1137" i="9"/>
  <c r="F1137" i="9"/>
  <c r="CG1136" i="9"/>
  <c r="CF1136" i="9"/>
  <c r="CD1136" i="9"/>
  <c r="AS1136" i="9"/>
  <c r="CG1135" i="9"/>
  <c r="CF1135" i="9"/>
  <c r="CD1135" i="9"/>
  <c r="AS1135" i="9"/>
  <c r="CE1135" i="9" s="1"/>
  <c r="CG1134" i="9"/>
  <c r="CF1134" i="9"/>
  <c r="CD1134" i="9"/>
  <c r="AS1134" i="9"/>
  <c r="CG1133" i="9"/>
  <c r="CF1133" i="9"/>
  <c r="CD1133" i="9"/>
  <c r="AS1133" i="9"/>
  <c r="F1133" i="9"/>
  <c r="F1134" i="9" s="1"/>
  <c r="F1136" i="9" s="1"/>
  <c r="F1138" i="9" s="1"/>
  <c r="CG1132" i="9"/>
  <c r="CF1132" i="9"/>
  <c r="CD1132" i="9"/>
  <c r="AS1132" i="9"/>
  <c r="F1132" i="9"/>
  <c r="F1139" i="9" s="1"/>
  <c r="F1140" i="9" s="1"/>
  <c r="F1141" i="9" s="1"/>
  <c r="CG1131" i="9"/>
  <c r="CF1131" i="9"/>
  <c r="CD1131" i="9"/>
  <c r="CE1131" i="9" s="1"/>
  <c r="AS1131" i="9"/>
  <c r="CG1130" i="9"/>
  <c r="CF1130" i="9"/>
  <c r="AU1130" i="9"/>
  <c r="CD1130" i="9" s="1"/>
  <c r="CE1130" i="9" s="1"/>
  <c r="AS1130" i="9"/>
  <c r="CG1129" i="9"/>
  <c r="CF1129" i="9"/>
  <c r="CD1129" i="9"/>
  <c r="CE1129" i="9" s="1"/>
  <c r="AS1129" i="9"/>
  <c r="CG1128" i="9"/>
  <c r="CF1128" i="9"/>
  <c r="CD1128" i="9"/>
  <c r="CE1128" i="9" s="1"/>
  <c r="AS1128" i="9"/>
  <c r="CG1127" i="9"/>
  <c r="CF1127" i="9"/>
  <c r="CE1127" i="9"/>
  <c r="CD1127" i="9"/>
  <c r="AS1127" i="9"/>
  <c r="CG1126" i="9"/>
  <c r="CF1126" i="9"/>
  <c r="CD1126" i="9"/>
  <c r="AS1126" i="9"/>
  <c r="CG1125" i="9"/>
  <c r="CF1125" i="9"/>
  <c r="CD1125" i="9"/>
  <c r="AS1125" i="9"/>
  <c r="CG1124" i="9"/>
  <c r="CF1124" i="9"/>
  <c r="CD1124" i="9"/>
  <c r="AS1124" i="9"/>
  <c r="CG1123" i="9"/>
  <c r="CF1123" i="9"/>
  <c r="CD1123" i="9"/>
  <c r="CE1123" i="9" s="1"/>
  <c r="AS1123" i="9"/>
  <c r="CG1122" i="9"/>
  <c r="CF1122" i="9"/>
  <c r="CD1122" i="9"/>
  <c r="AS1122" i="9"/>
  <c r="CG1121" i="9"/>
  <c r="CF1121" i="9"/>
  <c r="CD1121" i="9"/>
  <c r="AS1121" i="9"/>
  <c r="CG1120" i="9"/>
  <c r="CF1120" i="9"/>
  <c r="CD1120" i="9"/>
  <c r="AS1120" i="9"/>
  <c r="CG1119" i="9"/>
  <c r="CF1119" i="9"/>
  <c r="CD1119" i="9"/>
  <c r="AS1119" i="9"/>
  <c r="CG1118" i="9"/>
  <c r="CF1118" i="9"/>
  <c r="CD1118" i="9"/>
  <c r="AS1118" i="9"/>
  <c r="CG1117" i="9"/>
  <c r="CF1117" i="9"/>
  <c r="CD1117" i="9"/>
  <c r="AS1117" i="9"/>
  <c r="CG1116" i="9"/>
  <c r="CF1116" i="9"/>
  <c r="CD1116" i="9"/>
  <c r="AS1116" i="9"/>
  <c r="B1116" i="9"/>
  <c r="B1102" i="9" s="1"/>
  <c r="CG1115" i="9"/>
  <c r="CF1115" i="9"/>
  <c r="CD1115" i="9"/>
  <c r="AS1115" i="9"/>
  <c r="CG1114" i="9"/>
  <c r="CF1114" i="9"/>
  <c r="BI1114" i="9"/>
  <c r="AU1114" i="9"/>
  <c r="AS1114" i="9"/>
  <c r="CG1113" i="9"/>
  <c r="CF1113" i="9"/>
  <c r="CD1113" i="9"/>
  <c r="AS1113" i="9"/>
  <c r="CG1112" i="9"/>
  <c r="CF1112" i="9"/>
  <c r="CD1112" i="9"/>
  <c r="AS1112" i="9"/>
  <c r="CG1111" i="9"/>
  <c r="CF1111" i="9"/>
  <c r="CD1111" i="9"/>
  <c r="AS1111" i="9"/>
  <c r="CG1110" i="9"/>
  <c r="CF1110" i="9"/>
  <c r="CD1110" i="9"/>
  <c r="AS1110" i="9"/>
  <c r="CG1109" i="9"/>
  <c r="CF1109" i="9"/>
  <c r="CD1109" i="9"/>
  <c r="AS1109" i="9"/>
  <c r="CG1108" i="9"/>
  <c r="CF1108" i="9"/>
  <c r="CD1108" i="9"/>
  <c r="AS1108" i="9"/>
  <c r="CG1107" i="9"/>
  <c r="CF1107" i="9"/>
  <c r="BI1107" i="9"/>
  <c r="CD1107" i="9" s="1"/>
  <c r="AS1107" i="9"/>
  <c r="CG1106" i="9"/>
  <c r="CF1106" i="9"/>
  <c r="CD1106" i="9"/>
  <c r="AS1106" i="9"/>
  <c r="CE1106" i="9" s="1"/>
  <c r="CG1105" i="9"/>
  <c r="CF1105" i="9"/>
  <c r="CD1105" i="9"/>
  <c r="AS1105" i="9"/>
  <c r="CG1104" i="9"/>
  <c r="CF1104" i="9"/>
  <c r="CG1103" i="9"/>
  <c r="CF1103" i="9"/>
  <c r="CD1103" i="9"/>
  <c r="CE1103" i="9" s="1"/>
  <c r="AS1103" i="9"/>
  <c r="CG1102" i="9"/>
  <c r="CF1102" i="9"/>
  <c r="CD1102" i="9"/>
  <c r="CE1102" i="9" s="1"/>
  <c r="AS1102" i="9"/>
  <c r="CG1101" i="9"/>
  <c r="CF1101" i="9"/>
  <c r="CD1101" i="9"/>
  <c r="CE1101" i="9" s="1"/>
  <c r="AS1101" i="9"/>
  <c r="CG1100" i="9"/>
  <c r="CF1100" i="9"/>
  <c r="AU1100" i="9"/>
  <c r="CD1100" i="9" s="1"/>
  <c r="CE1100" i="9" s="1"/>
  <c r="AS1100" i="9"/>
  <c r="CG1099" i="9"/>
  <c r="CF1099" i="9"/>
  <c r="CD1099" i="9"/>
  <c r="CE1099" i="9" s="1"/>
  <c r="AS1099" i="9"/>
  <c r="CG1098" i="9"/>
  <c r="CF1098" i="9"/>
  <c r="CD1098" i="9"/>
  <c r="CE1098" i="9" s="1"/>
  <c r="AS1098" i="9"/>
  <c r="CG1097" i="9"/>
  <c r="CF1097" i="9"/>
  <c r="CD1097" i="9"/>
  <c r="AS1097" i="9"/>
  <c r="CE1097" i="9" s="1"/>
  <c r="CG1096" i="9"/>
  <c r="CF1096" i="9"/>
  <c r="CD1096" i="9"/>
  <c r="AS1096" i="9"/>
  <c r="CG1095" i="9"/>
  <c r="CF1095" i="9"/>
  <c r="CD1095" i="9"/>
  <c r="AS1095" i="9"/>
  <c r="CG1094" i="9"/>
  <c r="CF1094" i="9"/>
  <c r="CD1094" i="9"/>
  <c r="AS1094" i="9"/>
  <c r="CG1093" i="9"/>
  <c r="CF1093" i="9"/>
  <c r="CD1093" i="9"/>
  <c r="AS1093" i="9"/>
  <c r="CG1092" i="9"/>
  <c r="CF1092" i="9"/>
  <c r="AU1092" i="9"/>
  <c r="CD1092" i="9" s="1"/>
  <c r="AS1092" i="9"/>
  <c r="CG1091" i="9"/>
  <c r="CF1091" i="9"/>
  <c r="CD1091" i="9"/>
  <c r="AS1091" i="9"/>
  <c r="CG1090" i="9"/>
  <c r="CF1090" i="9"/>
  <c r="CD1090" i="9"/>
  <c r="AS1090" i="9"/>
  <c r="CG1089" i="9"/>
  <c r="CF1089" i="9"/>
  <c r="CD1089" i="9"/>
  <c r="AS1089" i="9"/>
  <c r="CG1088" i="9"/>
  <c r="CF1088" i="9"/>
  <c r="CD1088" i="9"/>
  <c r="AS1088" i="9"/>
  <c r="CG1087" i="9"/>
  <c r="CF1087" i="9"/>
  <c r="CD1087" i="9"/>
  <c r="AS1087" i="9"/>
  <c r="CG1086" i="9"/>
  <c r="CF1086" i="9"/>
  <c r="CD1086" i="9"/>
  <c r="AS1086" i="9"/>
  <c r="CE1086" i="9" s="1"/>
  <c r="CG1085" i="9"/>
  <c r="CF1085" i="9"/>
  <c r="CD1085" i="9"/>
  <c r="AS1085" i="9"/>
  <c r="CG1084" i="9"/>
  <c r="CF1084" i="9"/>
  <c r="CD1084" i="9"/>
  <c r="AS1084" i="9"/>
  <c r="CG1083" i="9"/>
  <c r="CF1083" i="9"/>
  <c r="CD1083" i="9"/>
  <c r="AS1083" i="9"/>
  <c r="CG1082" i="9"/>
  <c r="CF1082" i="9"/>
  <c r="CD1082" i="9"/>
  <c r="AS1082" i="9"/>
  <c r="CG1081" i="9"/>
  <c r="CF1081" i="9"/>
  <c r="CD1081" i="9"/>
  <c r="AS1081" i="9"/>
  <c r="CG1080" i="9"/>
  <c r="CF1080" i="9"/>
  <c r="CD1080" i="9"/>
  <c r="AS1080" i="9"/>
  <c r="CG1079" i="9"/>
  <c r="CF1079" i="9"/>
  <c r="CD1079" i="9"/>
  <c r="AS1079" i="9"/>
  <c r="CG1078" i="9"/>
  <c r="CF1078" i="9"/>
  <c r="CD1078" i="9"/>
  <c r="AS1078" i="9"/>
  <c r="CG1077" i="9"/>
  <c r="CF1077" i="9"/>
  <c r="CD1077" i="9"/>
  <c r="AS1077" i="9"/>
  <c r="CG1076" i="9"/>
  <c r="CF1076" i="9"/>
  <c r="AV1076" i="9"/>
  <c r="AU1076" i="9"/>
  <c r="AS1076" i="9"/>
  <c r="CG1075" i="9"/>
  <c r="CF1075" i="9"/>
  <c r="AV1075" i="9"/>
  <c r="AU1075" i="9"/>
  <c r="AS1075" i="9"/>
  <c r="B1075" i="9"/>
  <c r="CG1074" i="9"/>
  <c r="CF1074" i="9"/>
  <c r="AV1074" i="9"/>
  <c r="AU1074" i="9"/>
  <c r="CD1074" i="9" s="1"/>
  <c r="AS1074" i="9"/>
  <c r="CG1073" i="9"/>
  <c r="CF1073" i="9"/>
  <c r="AV1073" i="9"/>
  <c r="AU1073" i="9"/>
  <c r="AS1073" i="9"/>
  <c r="CG1072" i="9"/>
  <c r="CF1072" i="9"/>
  <c r="CD1072" i="9"/>
  <c r="CE1072" i="9" s="1"/>
  <c r="AS1072" i="9"/>
  <c r="CG1071" i="9"/>
  <c r="CF1071" i="9"/>
  <c r="CD1071" i="9"/>
  <c r="AS1071" i="9"/>
  <c r="CG1070" i="9"/>
  <c r="CF1070" i="9"/>
  <c r="CD1070" i="9"/>
  <c r="AS1070" i="9"/>
  <c r="CG1069" i="9"/>
  <c r="CF1069" i="9"/>
  <c r="CD1069" i="9"/>
  <c r="AS1069" i="9"/>
  <c r="CG1068" i="9"/>
  <c r="CF1068" i="9"/>
  <c r="CD1068" i="9"/>
  <c r="AS1068" i="9"/>
  <c r="CG1067" i="9"/>
  <c r="CF1067" i="9"/>
  <c r="CD1067" i="9"/>
  <c r="AS1067" i="9"/>
  <c r="CG1066" i="9"/>
  <c r="CF1066" i="9"/>
  <c r="CD1066" i="9"/>
  <c r="AS1066" i="9"/>
  <c r="CG1065" i="9"/>
  <c r="CF1065" i="9"/>
  <c r="CD1065" i="9"/>
  <c r="AS1065" i="9"/>
  <c r="CG1064" i="9"/>
  <c r="CF1064" i="9"/>
  <c r="CD1064" i="9"/>
  <c r="CE1064" i="9" s="1"/>
  <c r="AS1064" i="9"/>
  <c r="CG1063" i="9"/>
  <c r="CF1063" i="9"/>
  <c r="CD1063" i="9"/>
  <c r="CE1063" i="9" s="1"/>
  <c r="AS1063" i="9"/>
  <c r="CG1062" i="9"/>
  <c r="CF1062" i="9"/>
  <c r="CD1062" i="9"/>
  <c r="CE1062" i="9" s="1"/>
  <c r="AS1062" i="9"/>
  <c r="CG1061" i="9"/>
  <c r="CF1061" i="9"/>
  <c r="CD1061" i="9"/>
  <c r="CE1061" i="9" s="1"/>
  <c r="AS1061" i="9"/>
  <c r="CG1060" i="9"/>
  <c r="CF1060" i="9"/>
  <c r="CD1060" i="9"/>
  <c r="AS1060" i="9"/>
  <c r="CG1059" i="9"/>
  <c r="CF1059" i="9"/>
  <c r="CD1059" i="9"/>
  <c r="CE1059" i="9" s="1"/>
  <c r="AS1059" i="9"/>
  <c r="CG1058" i="9"/>
  <c r="CF1058" i="9"/>
  <c r="CD1058" i="9"/>
  <c r="CE1058" i="9" s="1"/>
  <c r="AS1058" i="9"/>
  <c r="CG1057" i="9"/>
  <c r="CF1057" i="9"/>
  <c r="CD1057" i="9"/>
  <c r="CE1057" i="9" s="1"/>
  <c r="AS1057" i="9"/>
  <c r="CG1056" i="9"/>
  <c r="CF1056" i="9"/>
  <c r="CE1056" i="9"/>
  <c r="CD1056" i="9"/>
  <c r="AS1056" i="9"/>
  <c r="CG1055" i="9"/>
  <c r="CF1055" i="9"/>
  <c r="CD1055" i="9"/>
  <c r="AS1055" i="9"/>
  <c r="CG1054" i="9"/>
  <c r="CF1054" i="9"/>
  <c r="CD1054" i="9"/>
  <c r="AS1054" i="9"/>
  <c r="CG1053" i="9"/>
  <c r="CF1053" i="9"/>
  <c r="CD1053" i="9"/>
  <c r="AS1053" i="9"/>
  <c r="CG1052" i="9"/>
  <c r="CF1052" i="9"/>
  <c r="CD1052" i="9"/>
  <c r="AS1052" i="9"/>
  <c r="CG1051" i="9"/>
  <c r="CF1051" i="9"/>
  <c r="CD1051" i="9"/>
  <c r="AS1051" i="9"/>
  <c r="CG1050" i="9"/>
  <c r="CF1050" i="9"/>
  <c r="CD1050" i="9"/>
  <c r="AS1050" i="9"/>
  <c r="CG1049" i="9"/>
  <c r="CF1049" i="9"/>
  <c r="CD1049" i="9"/>
  <c r="AS1049" i="9"/>
  <c r="CG1048" i="9"/>
  <c r="CF1048" i="9"/>
  <c r="CD1048" i="9"/>
  <c r="CE1048" i="9" s="1"/>
  <c r="AS1048" i="9"/>
  <c r="CG1047" i="9"/>
  <c r="CF1047" i="9"/>
  <c r="CD1047" i="9"/>
  <c r="CE1047" i="9" s="1"/>
  <c r="AS1047" i="9"/>
  <c r="CG1046" i="9"/>
  <c r="CF1046" i="9"/>
  <c r="CD1046" i="9"/>
  <c r="CE1046" i="9" s="1"/>
  <c r="AS1046" i="9"/>
  <c r="CG1045" i="9"/>
  <c r="CF1045" i="9"/>
  <c r="CD1045" i="9"/>
  <c r="CE1045" i="9" s="1"/>
  <c r="AS1045" i="9"/>
  <c r="CG1044" i="9"/>
  <c r="CF1044" i="9"/>
  <c r="CD1044" i="9"/>
  <c r="AS1044" i="9"/>
  <c r="CG1043" i="9"/>
  <c r="CF1043" i="9"/>
  <c r="CD1043" i="9"/>
  <c r="CE1043" i="9" s="1"/>
  <c r="AS1043" i="9"/>
  <c r="CG1042" i="9"/>
  <c r="CF1042" i="9"/>
  <c r="CD1042" i="9"/>
  <c r="CE1042" i="9" s="1"/>
  <c r="AS1042" i="9"/>
  <c r="CG1041" i="9"/>
  <c r="CF1041" i="9"/>
  <c r="CD1041" i="9"/>
  <c r="CE1041" i="9" s="1"/>
  <c r="AS1041" i="9"/>
  <c r="CG1040" i="9"/>
  <c r="CF1040" i="9"/>
  <c r="CD1040" i="9"/>
  <c r="AU1040" i="9"/>
  <c r="AS1040" i="9"/>
  <c r="CE1040" i="9" s="1"/>
  <c r="CG1039" i="9"/>
  <c r="CF1039" i="9"/>
  <c r="CD1039" i="9"/>
  <c r="AS1039" i="9"/>
  <c r="CG1038" i="9"/>
  <c r="CF1038" i="9"/>
  <c r="CD1038" i="9"/>
  <c r="AS1038" i="9"/>
  <c r="CG1037" i="9"/>
  <c r="CF1037" i="9"/>
  <c r="CD1037" i="9"/>
  <c r="AS1037" i="9"/>
  <c r="CE1037" i="9" s="1"/>
  <c r="CG1036" i="9"/>
  <c r="CF1036" i="9"/>
  <c r="CD1036" i="9"/>
  <c r="AS1036" i="9"/>
  <c r="CG1035" i="9"/>
  <c r="CF1035" i="9"/>
  <c r="CD1035" i="9"/>
  <c r="AS1035" i="9"/>
  <c r="CG1034" i="9"/>
  <c r="CF1034" i="9"/>
  <c r="CD1034" i="9"/>
  <c r="AS1034" i="9"/>
  <c r="CG1033" i="9"/>
  <c r="CF1033" i="9"/>
  <c r="CD1033" i="9"/>
  <c r="AS1033" i="9"/>
  <c r="CG1032" i="9"/>
  <c r="CF1032" i="9"/>
  <c r="CD1032" i="9"/>
  <c r="AS1032" i="9"/>
  <c r="CG1031" i="9"/>
  <c r="CF1031" i="9"/>
  <c r="CD1031" i="9"/>
  <c r="AS1031" i="9"/>
  <c r="CG1030" i="9"/>
  <c r="CF1030" i="9"/>
  <c r="CD1030" i="9"/>
  <c r="AS1030" i="9"/>
  <c r="CG1029" i="9"/>
  <c r="CF1029" i="9"/>
  <c r="CD1029" i="9"/>
  <c r="AS1029" i="9"/>
  <c r="CG1028" i="9"/>
  <c r="CF1028" i="9"/>
  <c r="CD1028" i="9"/>
  <c r="AS1028" i="9"/>
  <c r="CG1027" i="9"/>
  <c r="CF1027" i="9"/>
  <c r="AU1027" i="9"/>
  <c r="CD1027" i="9" s="1"/>
  <c r="AS1027" i="9"/>
  <c r="CG1026" i="9"/>
  <c r="CF1026" i="9"/>
  <c r="CD1026" i="9"/>
  <c r="CE1026" i="9" s="1"/>
  <c r="AU1026" i="9"/>
  <c r="AS1026" i="9"/>
  <c r="CG1025" i="9"/>
  <c r="CF1025" i="9"/>
  <c r="CD1025" i="9"/>
  <c r="AS1025" i="9"/>
  <c r="CG1024" i="9"/>
  <c r="CF1024" i="9"/>
  <c r="CD1024" i="9"/>
  <c r="AS1024" i="9"/>
  <c r="CG1023" i="9"/>
  <c r="CF1023" i="9"/>
  <c r="CD1023" i="9"/>
  <c r="AS1023" i="9"/>
  <c r="CG1022" i="9"/>
  <c r="CF1022" i="9"/>
  <c r="CD1022" i="9"/>
  <c r="AS1022" i="9"/>
  <c r="CG1021" i="9"/>
  <c r="CF1021" i="9"/>
  <c r="CD1021" i="9"/>
  <c r="AS1021" i="9"/>
  <c r="CG1020" i="9"/>
  <c r="CF1020" i="9"/>
  <c r="CD1020" i="9"/>
  <c r="AS1020" i="9"/>
  <c r="CG1019" i="9"/>
  <c r="CF1019" i="9"/>
  <c r="CD1019" i="9"/>
  <c r="CE1019" i="9" s="1"/>
  <c r="AS1019" i="9"/>
  <c r="CG1018" i="9"/>
  <c r="CF1018" i="9"/>
  <c r="CD1018" i="9"/>
  <c r="CE1018" i="9" s="1"/>
  <c r="AS1018" i="9"/>
  <c r="CG1017" i="9"/>
  <c r="CF1017" i="9"/>
  <c r="CD1017" i="9"/>
  <c r="CE1017" i="9" s="1"/>
  <c r="AS1017" i="9"/>
  <c r="CG1016" i="9"/>
  <c r="CF1016" i="9"/>
  <c r="CD1016" i="9"/>
  <c r="CE1016" i="9" s="1"/>
  <c r="AS1016" i="9"/>
  <c r="CG1015" i="9"/>
  <c r="CF1015" i="9"/>
  <c r="CD1015" i="9"/>
  <c r="AS1015" i="9"/>
  <c r="CG1014" i="9"/>
  <c r="CF1014" i="9"/>
  <c r="CD1014" i="9"/>
  <c r="CE1014" i="9" s="1"/>
  <c r="AS1014" i="9"/>
  <c r="CG1013" i="9"/>
  <c r="CF1013" i="9"/>
  <c r="CD1013" i="9"/>
  <c r="CE1013" i="9" s="1"/>
  <c r="AS1013" i="9"/>
  <c r="CG1012" i="9"/>
  <c r="CF1012" i="9"/>
  <c r="CD1012" i="9"/>
  <c r="CE1012" i="9" s="1"/>
  <c r="AS1012" i="9"/>
  <c r="CG1011" i="9"/>
  <c r="CF1011" i="9"/>
  <c r="CD1011" i="9"/>
  <c r="AS1011" i="9"/>
  <c r="CE1011" i="9" s="1"/>
  <c r="CG1010" i="9"/>
  <c r="CF1010" i="9"/>
  <c r="CD1010" i="9"/>
  <c r="AS1010" i="9"/>
  <c r="CE1010" i="9" s="1"/>
  <c r="CG1009" i="9"/>
  <c r="CF1009" i="9"/>
  <c r="CD1009" i="9"/>
  <c r="AS1009" i="9"/>
  <c r="CG1008" i="9"/>
  <c r="CF1008" i="9"/>
  <c r="CD1008" i="9"/>
  <c r="AS1008" i="9"/>
  <c r="CG1007" i="9"/>
  <c r="CF1007" i="9"/>
  <c r="CD1007" i="9"/>
  <c r="AS1007" i="9"/>
  <c r="CE1007" i="9" s="1"/>
  <c r="CG1006" i="9"/>
  <c r="CF1006" i="9"/>
  <c r="CD1006" i="9"/>
  <c r="AS1006" i="9"/>
  <c r="CG1005" i="9"/>
  <c r="CF1005" i="9"/>
  <c r="CD1005" i="9"/>
  <c r="AS1005" i="9"/>
  <c r="F1005" i="9"/>
  <c r="CG1004" i="9"/>
  <c r="CF1004" i="9"/>
  <c r="CD1004" i="9"/>
  <c r="AS1004" i="9"/>
  <c r="CG1003" i="9"/>
  <c r="CF1003" i="9"/>
  <c r="CD1003" i="9"/>
  <c r="AS1003" i="9"/>
  <c r="CG1002" i="9"/>
  <c r="CF1002" i="9"/>
  <c r="CD1002" i="9"/>
  <c r="AS1002" i="9"/>
  <c r="CG1001" i="9"/>
  <c r="CF1001" i="9"/>
  <c r="CD1001" i="9"/>
  <c r="AS1001" i="9"/>
  <c r="CG1000" i="9"/>
  <c r="CF1000" i="9"/>
  <c r="CD1000" i="9"/>
  <c r="AS1000" i="9"/>
  <c r="CG999" i="9"/>
  <c r="CF999" i="9"/>
  <c r="CD999" i="9"/>
  <c r="AS999" i="9"/>
  <c r="CG998" i="9"/>
  <c r="CF998" i="9"/>
  <c r="CD998" i="9"/>
  <c r="AS998" i="9"/>
  <c r="CG997" i="9"/>
  <c r="CF997" i="9"/>
  <c r="CD997" i="9"/>
  <c r="AS997" i="9"/>
  <c r="CG996" i="9"/>
  <c r="CF996" i="9"/>
  <c r="CD996" i="9"/>
  <c r="AS996" i="9"/>
  <c r="CG995" i="9"/>
  <c r="CF995" i="9"/>
  <c r="CD995" i="9"/>
  <c r="AS995" i="9"/>
  <c r="CG994" i="9"/>
  <c r="CF994" i="9"/>
  <c r="CD994" i="9"/>
  <c r="AS994" i="9"/>
  <c r="CG993" i="9"/>
  <c r="CF993" i="9"/>
  <c r="CD993" i="9"/>
  <c r="AS993" i="9"/>
  <c r="CG992" i="9"/>
  <c r="CF992" i="9"/>
  <c r="CD992" i="9"/>
  <c r="AS992" i="9"/>
  <c r="CG991" i="9"/>
  <c r="CF991" i="9"/>
  <c r="CD991" i="9"/>
  <c r="CE991" i="9" s="1"/>
  <c r="AS991" i="9"/>
  <c r="CG990" i="9"/>
  <c r="CF990" i="9"/>
  <c r="CD990" i="9"/>
  <c r="AS990" i="9"/>
  <c r="CG989" i="9"/>
  <c r="CF989" i="9"/>
  <c r="CD989" i="9"/>
  <c r="AS989" i="9"/>
  <c r="CG988" i="9"/>
  <c r="CF988" i="9"/>
  <c r="CD988" i="9"/>
  <c r="AS988" i="9"/>
  <c r="F988" i="9"/>
  <c r="F989" i="9" s="1"/>
  <c r="CG987" i="9"/>
  <c r="CF987" i="9"/>
  <c r="CD987" i="9"/>
  <c r="AS987" i="9"/>
  <c r="F987" i="9"/>
  <c r="CG986" i="9"/>
  <c r="CF986" i="9"/>
  <c r="CD986" i="9"/>
  <c r="CE986" i="9" s="1"/>
  <c r="AS986" i="9"/>
  <c r="CG985" i="9"/>
  <c r="CF985" i="9"/>
  <c r="CD985" i="9"/>
  <c r="AU985" i="9"/>
  <c r="AS985" i="9"/>
  <c r="F985" i="9"/>
  <c r="F986" i="9" s="1"/>
  <c r="CG984" i="9"/>
  <c r="CF984" i="9"/>
  <c r="CD984" i="9"/>
  <c r="AS984" i="9"/>
  <c r="F984" i="9"/>
  <c r="CG983" i="9"/>
  <c r="CF983" i="9"/>
  <c r="CD983" i="9"/>
  <c r="AS983" i="9"/>
  <c r="CG982" i="9"/>
  <c r="CF982" i="9"/>
  <c r="CD982" i="9"/>
  <c r="CE982" i="9" s="1"/>
  <c r="AS982" i="9"/>
  <c r="CG981" i="9"/>
  <c r="CF981" i="9"/>
  <c r="CD981" i="9"/>
  <c r="AS981" i="9"/>
  <c r="CG980" i="9"/>
  <c r="CF980" i="9"/>
  <c r="CD980" i="9"/>
  <c r="AS980" i="9"/>
  <c r="CG979" i="9"/>
  <c r="CF979" i="9"/>
  <c r="CD979" i="9"/>
  <c r="AS979" i="9"/>
  <c r="CG978" i="9"/>
  <c r="CF978" i="9"/>
  <c r="CD978" i="9"/>
  <c r="AS978" i="9"/>
  <c r="CG977" i="9"/>
  <c r="CF977" i="9"/>
  <c r="CD977" i="9"/>
  <c r="AS977" i="9"/>
  <c r="CG976" i="9"/>
  <c r="CF976" i="9"/>
  <c r="CD976" i="9"/>
  <c r="AS976" i="9"/>
  <c r="CG975" i="9"/>
  <c r="CF975" i="9"/>
  <c r="CD975" i="9"/>
  <c r="AS975" i="9"/>
  <c r="CG974" i="9"/>
  <c r="CF974" i="9"/>
  <c r="CD974" i="9"/>
  <c r="AS974" i="9"/>
  <c r="CE974" i="9" s="1"/>
  <c r="CG973" i="9"/>
  <c r="CF973" i="9"/>
  <c r="CD973" i="9"/>
  <c r="AS973" i="9"/>
  <c r="CG972" i="9"/>
  <c r="CF972" i="9"/>
  <c r="CD972" i="9"/>
  <c r="AS972" i="9"/>
  <c r="CG971" i="9"/>
  <c r="CF971" i="9"/>
  <c r="CD971" i="9"/>
  <c r="AS971" i="9"/>
  <c r="CG970" i="9"/>
  <c r="CF970" i="9"/>
  <c r="CD970" i="9"/>
  <c r="AS970" i="9"/>
  <c r="CE970" i="9" s="1"/>
  <c r="B970" i="9"/>
  <c r="CG969" i="9"/>
  <c r="CF969" i="9"/>
  <c r="CD969" i="9"/>
  <c r="CE969" i="9" s="1"/>
  <c r="AS969" i="9"/>
  <c r="CG968" i="9"/>
  <c r="CF968" i="9"/>
  <c r="CE968" i="9"/>
  <c r="CD968" i="9"/>
  <c r="AS968" i="9"/>
  <c r="CG967" i="9"/>
  <c r="CF967" i="9"/>
  <c r="CD967" i="9"/>
  <c r="AS967" i="9"/>
  <c r="B967" i="9"/>
  <c r="CG966" i="9"/>
  <c r="CF966" i="9"/>
  <c r="CD966" i="9"/>
  <c r="AS966" i="9"/>
  <c r="CG965" i="9"/>
  <c r="CF965" i="9"/>
  <c r="CD965" i="9"/>
  <c r="AS965" i="9"/>
  <c r="CG964" i="9"/>
  <c r="CF964" i="9"/>
  <c r="CD964" i="9"/>
  <c r="AS964" i="9"/>
  <c r="CG963" i="9"/>
  <c r="CF963" i="9"/>
  <c r="CD963" i="9"/>
  <c r="AS963" i="9"/>
  <c r="CG962" i="9"/>
  <c r="CF962" i="9"/>
  <c r="CD962" i="9"/>
  <c r="AS962" i="9"/>
  <c r="CG961" i="9"/>
  <c r="CF961" i="9"/>
  <c r="CD961" i="9"/>
  <c r="AS961" i="9"/>
  <c r="CJ960" i="9"/>
  <c r="CI960" i="9"/>
  <c r="CH960" i="9"/>
  <c r="CC960" i="9"/>
  <c r="CB960" i="9"/>
  <c r="CA960" i="9"/>
  <c r="BZ960" i="9"/>
  <c r="BY960" i="9"/>
  <c r="BX960" i="9"/>
  <c r="BW960" i="9"/>
  <c r="BV960" i="9"/>
  <c r="BU960" i="9"/>
  <c r="BT960" i="9"/>
  <c r="BS960" i="9"/>
  <c r="BR960" i="9"/>
  <c r="BQ960" i="9"/>
  <c r="BP960" i="9"/>
  <c r="BO960" i="9"/>
  <c r="BN960" i="9"/>
  <c r="BM960" i="9"/>
  <c r="BL960" i="9"/>
  <c r="BK960" i="9"/>
  <c r="BJ960" i="9"/>
  <c r="BI960" i="9"/>
  <c r="BH960" i="9"/>
  <c r="BG960" i="9"/>
  <c r="BF960" i="9"/>
  <c r="BE960" i="9"/>
  <c r="BD960" i="9"/>
  <c r="BC960" i="9"/>
  <c r="BB960" i="9"/>
  <c r="BA960" i="9"/>
  <c r="AZ960" i="9"/>
  <c r="AY960" i="9"/>
  <c r="AX960" i="9"/>
  <c r="AW960" i="9"/>
  <c r="AV960" i="9"/>
  <c r="AU960" i="9"/>
  <c r="AT960" i="9"/>
  <c r="AR960" i="9"/>
  <c r="AQ960" i="9"/>
  <c r="AP960" i="9"/>
  <c r="AN960" i="9"/>
  <c r="AM960" i="9"/>
  <c r="AL960" i="9"/>
  <c r="AK960" i="9"/>
  <c r="AJ960" i="9"/>
  <c r="AI960" i="9"/>
  <c r="AH960" i="9"/>
  <c r="AG960" i="9"/>
  <c r="AF960" i="9"/>
  <c r="AE960" i="9"/>
  <c r="AD960" i="9"/>
  <c r="AC960" i="9"/>
  <c r="AB960" i="9"/>
  <c r="AA960" i="9"/>
  <c r="Z960" i="9"/>
  <c r="Y960" i="9"/>
  <c r="X960" i="9"/>
  <c r="W960" i="9"/>
  <c r="V960" i="9"/>
  <c r="U960" i="9"/>
  <c r="T960" i="9"/>
  <c r="S960" i="9"/>
  <c r="R960" i="9"/>
  <c r="Q960" i="9"/>
  <c r="P960" i="9"/>
  <c r="O960" i="9"/>
  <c r="N960" i="9"/>
  <c r="M960" i="9"/>
  <c r="L960" i="9"/>
  <c r="K960" i="9"/>
  <c r="J960" i="9"/>
  <c r="I960" i="9"/>
  <c r="CG959" i="9"/>
  <c r="CF959" i="9"/>
  <c r="CD959" i="9"/>
  <c r="AS959" i="9"/>
  <c r="CG958" i="9"/>
  <c r="CG960" i="9" s="1"/>
  <c r="CF958" i="9"/>
  <c r="CD958" i="9"/>
  <c r="CE958" i="9" s="1"/>
  <c r="AS958" i="9"/>
  <c r="AS960" i="9" s="1"/>
  <c r="CP957" i="9"/>
  <c r="CO957" i="9"/>
  <c r="CN957" i="9"/>
  <c r="CM957" i="9"/>
  <c r="CM955" i="9" s="1"/>
  <c r="CL957" i="9"/>
  <c r="CK957" i="9"/>
  <c r="CJ957" i="9"/>
  <c r="CI957" i="9"/>
  <c r="CH957" i="9"/>
  <c r="CC957" i="9"/>
  <c r="CB957" i="9"/>
  <c r="CA957" i="9"/>
  <c r="BZ957" i="9"/>
  <c r="BY957" i="9"/>
  <c r="BX957" i="9"/>
  <c r="BW957" i="9"/>
  <c r="BV957" i="9"/>
  <c r="BU957" i="9"/>
  <c r="BT957" i="9"/>
  <c r="BS957" i="9"/>
  <c r="BR957" i="9"/>
  <c r="BQ957" i="9"/>
  <c r="BP957" i="9"/>
  <c r="BO957" i="9"/>
  <c r="BN957" i="9"/>
  <c r="BM957" i="9"/>
  <c r="BL957" i="9"/>
  <c r="BK957" i="9"/>
  <c r="BJ957" i="9"/>
  <c r="BI957" i="9"/>
  <c r="BH957" i="9"/>
  <c r="BG957" i="9"/>
  <c r="BF957" i="9"/>
  <c r="BE957" i="9"/>
  <c r="BD957" i="9"/>
  <c r="BD955" i="9" s="1"/>
  <c r="BC957" i="9"/>
  <c r="BB957" i="9"/>
  <c r="BA957" i="9"/>
  <c r="AZ957" i="9"/>
  <c r="AZ955" i="9" s="1"/>
  <c r="AY957" i="9"/>
  <c r="AX957" i="9"/>
  <c r="AR957" i="9"/>
  <c r="AQ957" i="9"/>
  <c r="AP957" i="9"/>
  <c r="AO957" i="9"/>
  <c r="AN957" i="9"/>
  <c r="AM957" i="9"/>
  <c r="AL957" i="9"/>
  <c r="AK957" i="9"/>
  <c r="AJ957" i="9"/>
  <c r="AI957" i="9"/>
  <c r="AH957" i="9"/>
  <c r="AG957" i="9"/>
  <c r="AF957" i="9"/>
  <c r="AF955" i="9" s="1"/>
  <c r="AE957" i="9"/>
  <c r="AD957" i="9"/>
  <c r="AC957" i="9"/>
  <c r="AB957" i="9"/>
  <c r="AA957" i="9"/>
  <c r="Z957" i="9"/>
  <c r="Y957" i="9"/>
  <c r="X957" i="9"/>
  <c r="W957" i="9"/>
  <c r="V957" i="9"/>
  <c r="U957" i="9"/>
  <c r="T957" i="9"/>
  <c r="S957" i="9"/>
  <c r="R957" i="9"/>
  <c r="Q957" i="9"/>
  <c r="P957" i="9"/>
  <c r="P955" i="9" s="1"/>
  <c r="O957" i="9"/>
  <c r="N957" i="9"/>
  <c r="M957" i="9"/>
  <c r="L957" i="9"/>
  <c r="K957" i="9"/>
  <c r="J957" i="9"/>
  <c r="I957" i="9"/>
  <c r="CP956" i="9"/>
  <c r="CO956" i="9"/>
  <c r="CN956" i="9"/>
  <c r="CM956" i="9"/>
  <c r="CL956" i="9"/>
  <c r="CL955" i="9" s="1"/>
  <c r="CK956" i="9"/>
  <c r="CJ956" i="9"/>
  <c r="CI956" i="9"/>
  <c r="CH956" i="9"/>
  <c r="CH955" i="9" s="1"/>
  <c r="CC956" i="9"/>
  <c r="CB956" i="9"/>
  <c r="CA956" i="9"/>
  <c r="BZ956" i="9"/>
  <c r="BZ955" i="9" s="1"/>
  <c r="BY956" i="9"/>
  <c r="BY955" i="9" s="1"/>
  <c r="BX956" i="9"/>
  <c r="BW956" i="9"/>
  <c r="BV956" i="9"/>
  <c r="BU956" i="9"/>
  <c r="BU955" i="9" s="1"/>
  <c r="BT956" i="9"/>
  <c r="BS956" i="9"/>
  <c r="BR956" i="9"/>
  <c r="BR955" i="9" s="1"/>
  <c r="BQ956" i="9"/>
  <c r="BP956" i="9"/>
  <c r="BO956" i="9"/>
  <c r="BN956" i="9"/>
  <c r="BN955" i="9" s="1"/>
  <c r="BM956" i="9"/>
  <c r="BM955" i="9" s="1"/>
  <c r="BL956" i="9"/>
  <c r="BK956" i="9"/>
  <c r="BJ956" i="9"/>
  <c r="BJ955" i="9" s="1"/>
  <c r="BI956" i="9"/>
  <c r="BH956" i="9"/>
  <c r="BG956" i="9"/>
  <c r="BF956" i="9"/>
  <c r="BE956" i="9"/>
  <c r="BD956" i="9"/>
  <c r="BC956" i="9"/>
  <c r="BB956" i="9"/>
  <c r="BB955" i="9" s="1"/>
  <c r="BA956" i="9"/>
  <c r="BA955" i="9" s="1"/>
  <c r="AZ956" i="9"/>
  <c r="AY956" i="9"/>
  <c r="AX956" i="9"/>
  <c r="AX955" i="9" s="1"/>
  <c r="AW956" i="9"/>
  <c r="AT956" i="9"/>
  <c r="AR956" i="9"/>
  <c r="AQ956" i="9"/>
  <c r="AP956" i="9"/>
  <c r="AP955" i="9" s="1"/>
  <c r="AN956" i="9"/>
  <c r="AM956" i="9"/>
  <c r="AL956" i="9"/>
  <c r="AL955" i="9" s="1"/>
  <c r="AK956" i="9"/>
  <c r="AK955" i="9" s="1"/>
  <c r="AJ956" i="9"/>
  <c r="AI956" i="9"/>
  <c r="AH956" i="9"/>
  <c r="AH955" i="9" s="1"/>
  <c r="AG956" i="9"/>
  <c r="AG955" i="9" s="1"/>
  <c r="AF956" i="9"/>
  <c r="AE956" i="9"/>
  <c r="AD956" i="9"/>
  <c r="AD955" i="9" s="1"/>
  <c r="AC956" i="9"/>
  <c r="AB956" i="9"/>
  <c r="AA956" i="9"/>
  <c r="Z956" i="9"/>
  <c r="Z955" i="9" s="1"/>
  <c r="Y956" i="9"/>
  <c r="X956" i="9"/>
  <c r="W956" i="9"/>
  <c r="V956" i="9"/>
  <c r="V955" i="9" s="1"/>
  <c r="U956" i="9"/>
  <c r="U955" i="9" s="1"/>
  <c r="T956" i="9"/>
  <c r="S956" i="9"/>
  <c r="R956" i="9"/>
  <c r="R955" i="9" s="1"/>
  <c r="Q956" i="9"/>
  <c r="P956" i="9"/>
  <c r="O956" i="9"/>
  <c r="N956" i="9"/>
  <c r="N955" i="9" s="1"/>
  <c r="M956" i="9"/>
  <c r="L956" i="9"/>
  <c r="K956" i="9"/>
  <c r="J956" i="9"/>
  <c r="J955" i="9" s="1"/>
  <c r="I956" i="9"/>
  <c r="I955" i="9" s="1"/>
  <c r="H956" i="9"/>
  <c r="BV955" i="9"/>
  <c r="BF955" i="9"/>
  <c r="CG954" i="9"/>
  <c r="CF954" i="9"/>
  <c r="CD954" i="9"/>
  <c r="AU954" i="9"/>
  <c r="AS954" i="9"/>
  <c r="CE954" i="9" s="1"/>
  <c r="CG953" i="9"/>
  <c r="CF953" i="9"/>
  <c r="CD953" i="9"/>
  <c r="AS953" i="9"/>
  <c r="CG952" i="9"/>
  <c r="CF952" i="9"/>
  <c r="CD952" i="9"/>
  <c r="AS952" i="9"/>
  <c r="CG951" i="9"/>
  <c r="CF951" i="9"/>
  <c r="AW951" i="9"/>
  <c r="AW957" i="9" s="1"/>
  <c r="AT951" i="9"/>
  <c r="H951" i="9"/>
  <c r="H957" i="9" s="1"/>
  <c r="CG950" i="9"/>
  <c r="CF950" i="9"/>
  <c r="AV950" i="9"/>
  <c r="AV951" i="9" s="1"/>
  <c r="AS950" i="9"/>
  <c r="F950" i="9"/>
  <c r="F951" i="9" s="1"/>
  <c r="B950" i="9"/>
  <c r="CG949" i="9"/>
  <c r="CF949" i="9"/>
  <c r="AV949" i="9"/>
  <c r="AU949" i="9"/>
  <c r="AU951" i="9" s="1"/>
  <c r="AS949" i="9"/>
  <c r="CG948" i="9"/>
  <c r="CF948" i="9"/>
  <c r="CD948" i="9"/>
  <c r="CE948" i="9" s="1"/>
  <c r="AV948" i="9"/>
  <c r="AU948" i="9"/>
  <c r="AS948" i="9"/>
  <c r="F948" i="9"/>
  <c r="B948" i="9"/>
  <c r="CG947" i="9"/>
  <c r="CF947" i="9"/>
  <c r="CD947" i="9"/>
  <c r="AV947" i="9"/>
  <c r="AU947" i="9"/>
  <c r="AS947" i="9"/>
  <c r="CG946" i="9"/>
  <c r="CF946" i="9"/>
  <c r="AV946" i="9"/>
  <c r="AU946" i="9"/>
  <c r="CD946" i="9" s="1"/>
  <c r="AS946" i="9"/>
  <c r="CG945" i="9"/>
  <c r="CF945" i="9"/>
  <c r="AV945" i="9"/>
  <c r="AU945" i="9"/>
  <c r="AS945" i="9"/>
  <c r="B945" i="9"/>
  <c r="CG944" i="9"/>
  <c r="CF944" i="9"/>
  <c r="AV944" i="9"/>
  <c r="AU944" i="9"/>
  <c r="AS944" i="9"/>
  <c r="CG943" i="9"/>
  <c r="CF943" i="9"/>
  <c r="CD943" i="9"/>
  <c r="AS943" i="9"/>
  <c r="CG942" i="9"/>
  <c r="CF942" i="9"/>
  <c r="AV942" i="9"/>
  <c r="AU942" i="9"/>
  <c r="AS942" i="9"/>
  <c r="CG941" i="9"/>
  <c r="CG956" i="9" s="1"/>
  <c r="CF941" i="9"/>
  <c r="AV941" i="9"/>
  <c r="AV956" i="9" s="1"/>
  <c r="AU941" i="9"/>
  <c r="AS941" i="9"/>
  <c r="AS956" i="9" s="1"/>
  <c r="CG940" i="9"/>
  <c r="CF940" i="9"/>
  <c r="CD940" i="9"/>
  <c r="BI940" i="9"/>
  <c r="AS940" i="9"/>
  <c r="CG939" i="9"/>
  <c r="CF939" i="9"/>
  <c r="BI939" i="9"/>
  <c r="AU939" i="9"/>
  <c r="AS939" i="9"/>
  <c r="CG938" i="9"/>
  <c r="CF938" i="9"/>
  <c r="CD938" i="9"/>
  <c r="CE938" i="9" s="1"/>
  <c r="AS938" i="9"/>
  <c r="CG937" i="9"/>
  <c r="CF937" i="9"/>
  <c r="CD937" i="9"/>
  <c r="AS937" i="9"/>
  <c r="CG936" i="9"/>
  <c r="CF936" i="9"/>
  <c r="CD936" i="9"/>
  <c r="AS936" i="9"/>
  <c r="CG935" i="9"/>
  <c r="CF935" i="9"/>
  <c r="CD935" i="9"/>
  <c r="AS935" i="9"/>
  <c r="CG934" i="9"/>
  <c r="CF934" i="9"/>
  <c r="CD934" i="9"/>
  <c r="AS934" i="9"/>
  <c r="CG933" i="9"/>
  <c r="CF933" i="9"/>
  <c r="CD933" i="9"/>
  <c r="AS933" i="9"/>
  <c r="CG932" i="9"/>
  <c r="CF932" i="9"/>
  <c r="AU932" i="9"/>
  <c r="CD932" i="9" s="1"/>
  <c r="AS932" i="9"/>
  <c r="CG931" i="9"/>
  <c r="CF931" i="9"/>
  <c r="CD931" i="9"/>
  <c r="AS931" i="9"/>
  <c r="CG930" i="9"/>
  <c r="CF930" i="9"/>
  <c r="AU930" i="9"/>
  <c r="AS930" i="9"/>
  <c r="CG929" i="9"/>
  <c r="CF929" i="9"/>
  <c r="CD929" i="9"/>
  <c r="AS929" i="9"/>
  <c r="CG928" i="9"/>
  <c r="CF928" i="9"/>
  <c r="CD928" i="9"/>
  <c r="AS928" i="9"/>
  <c r="CG927" i="9"/>
  <c r="CF927" i="9"/>
  <c r="CD927" i="9"/>
  <c r="AS927" i="9"/>
  <c r="CG926" i="9"/>
  <c r="CF926" i="9"/>
  <c r="CD926" i="9"/>
  <c r="AS926" i="9"/>
  <c r="CG925" i="9"/>
  <c r="CF925" i="9"/>
  <c r="CD925" i="9"/>
  <c r="AS925" i="9"/>
  <c r="CG924" i="9"/>
  <c r="CF924" i="9"/>
  <c r="CD924" i="9"/>
  <c r="AU924" i="9"/>
  <c r="AS924" i="9"/>
  <c r="F924" i="9"/>
  <c r="CG923" i="9"/>
  <c r="CF923" i="9"/>
  <c r="CD923" i="9"/>
  <c r="AS923" i="9"/>
  <c r="CG922" i="9"/>
  <c r="CF922" i="9"/>
  <c r="AU922" i="9"/>
  <c r="CD922" i="9" s="1"/>
  <c r="AS922" i="9"/>
  <c r="CG921" i="9"/>
  <c r="CF921" i="9"/>
  <c r="CD921" i="9"/>
  <c r="AS921" i="9"/>
  <c r="CG920" i="9"/>
  <c r="CF920" i="9"/>
  <c r="CD920" i="9"/>
  <c r="AU920" i="9"/>
  <c r="AS920" i="9"/>
  <c r="CG919" i="9"/>
  <c r="CF919" i="9"/>
  <c r="CD919" i="9"/>
  <c r="AS919" i="9"/>
  <c r="CG918" i="9"/>
  <c r="CF918" i="9"/>
  <c r="AU918" i="9"/>
  <c r="CD918" i="9" s="1"/>
  <c r="AS918" i="9"/>
  <c r="CG917" i="9"/>
  <c r="CF917" i="9"/>
  <c r="CD917" i="9"/>
  <c r="AS917" i="9"/>
  <c r="CG916" i="9"/>
  <c r="CF916" i="9"/>
  <c r="CD916" i="9"/>
  <c r="AS916" i="9"/>
  <c r="CG915" i="9"/>
  <c r="CF915" i="9"/>
  <c r="CD915" i="9"/>
  <c r="CE915" i="9" s="1"/>
  <c r="AS915" i="9"/>
  <c r="CG914" i="9"/>
  <c r="CF914" i="9"/>
  <c r="CD914" i="9"/>
  <c r="AS914" i="9"/>
  <c r="CG913" i="9"/>
  <c r="CF913" i="9"/>
  <c r="CD913" i="9"/>
  <c r="CE913" i="9" s="1"/>
  <c r="AS913" i="9"/>
  <c r="CG912" i="9"/>
  <c r="CF912" i="9"/>
  <c r="CD912" i="9"/>
  <c r="AS912" i="9"/>
  <c r="CG911" i="9"/>
  <c r="CF911" i="9"/>
  <c r="CD911" i="9"/>
  <c r="AS911" i="9"/>
  <c r="CG910" i="9"/>
  <c r="CF910" i="9"/>
  <c r="CD910" i="9"/>
  <c r="CE910" i="9" s="1"/>
  <c r="AS910" i="9"/>
  <c r="CG909" i="9"/>
  <c r="CF909" i="9"/>
  <c r="CD909" i="9"/>
  <c r="AS909" i="9"/>
  <c r="CG908" i="9"/>
  <c r="CF908" i="9"/>
  <c r="CD908" i="9"/>
  <c r="AS908" i="9"/>
  <c r="B908" i="9"/>
  <c r="B910" i="9" s="1"/>
  <c r="CG907" i="9"/>
  <c r="CF907" i="9"/>
  <c r="CD907" i="9"/>
  <c r="AS907" i="9"/>
  <c r="CG906" i="9"/>
  <c r="CF906" i="9"/>
  <c r="CD906" i="9"/>
  <c r="CE906" i="9" s="1"/>
  <c r="AS906" i="9"/>
  <c r="CG905" i="9"/>
  <c r="CF905" i="9"/>
  <c r="CD905" i="9"/>
  <c r="CE905" i="9" s="1"/>
  <c r="AS905" i="9"/>
  <c r="CG904" i="9"/>
  <c r="CF904" i="9"/>
  <c r="CD904" i="9"/>
  <c r="AS904" i="9"/>
  <c r="CG903" i="9"/>
  <c r="CF903" i="9"/>
  <c r="CD903" i="9"/>
  <c r="CE903" i="9" s="1"/>
  <c r="AS903" i="9"/>
  <c r="CG902" i="9"/>
  <c r="CF902" i="9"/>
  <c r="CD902" i="9"/>
  <c r="AS902" i="9"/>
  <c r="CE902" i="9" s="1"/>
  <c r="CG901" i="9"/>
  <c r="CF901" i="9"/>
  <c r="CD901" i="9"/>
  <c r="AS901" i="9"/>
  <c r="CG900" i="9"/>
  <c r="CF900" i="9"/>
  <c r="CD900" i="9"/>
  <c r="AS900" i="9"/>
  <c r="CG899" i="9"/>
  <c r="CF899" i="9"/>
  <c r="CD899" i="9"/>
  <c r="AS899" i="9"/>
  <c r="CG898" i="9"/>
  <c r="CF898" i="9"/>
  <c r="CD898" i="9"/>
  <c r="AS898" i="9"/>
  <c r="CE898" i="9" s="1"/>
  <c r="CG897" i="9"/>
  <c r="CF897" i="9"/>
  <c r="CD897" i="9"/>
  <c r="AS897" i="9"/>
  <c r="CG896" i="9"/>
  <c r="CF896" i="9"/>
  <c r="CD896" i="9"/>
  <c r="AS896" i="9"/>
  <c r="CG895" i="9"/>
  <c r="CF895" i="9"/>
  <c r="CD895" i="9"/>
  <c r="AS895" i="9"/>
  <c r="CG894" i="9"/>
  <c r="CF894" i="9"/>
  <c r="CD894" i="9"/>
  <c r="AS894" i="9"/>
  <c r="CG893" i="9"/>
  <c r="CF893" i="9"/>
  <c r="CD893" i="9"/>
  <c r="AS893" i="9"/>
  <c r="CG892" i="9"/>
  <c r="CF892" i="9"/>
  <c r="CD892" i="9"/>
  <c r="AS892" i="9"/>
  <c r="CG891" i="9"/>
  <c r="CF891" i="9"/>
  <c r="CD891" i="9"/>
  <c r="AS891" i="9"/>
  <c r="CG890" i="9"/>
  <c r="CF890" i="9"/>
  <c r="CD890" i="9"/>
  <c r="AS890" i="9"/>
  <c r="CE890" i="9" s="1"/>
  <c r="CG889" i="9"/>
  <c r="CF889" i="9"/>
  <c r="CD889" i="9"/>
  <c r="AS889" i="9"/>
  <c r="CG888" i="9"/>
  <c r="CF888" i="9"/>
  <c r="CD888" i="9"/>
  <c r="AS888" i="9"/>
  <c r="CE888" i="9" s="1"/>
  <c r="CG887" i="9"/>
  <c r="CF887" i="9"/>
  <c r="CD887" i="9"/>
  <c r="AS887" i="9"/>
  <c r="CG886" i="9"/>
  <c r="CF886" i="9"/>
  <c r="CD886" i="9"/>
  <c r="AS886" i="9"/>
  <c r="CG885" i="9"/>
  <c r="CF885" i="9"/>
  <c r="CD885" i="9"/>
  <c r="AS885" i="9"/>
  <c r="CG884" i="9"/>
  <c r="CF884" i="9"/>
  <c r="CD884" i="9"/>
  <c r="AS884" i="9"/>
  <c r="CE884" i="9" s="1"/>
  <c r="CG883" i="9"/>
  <c r="CF883" i="9"/>
  <c r="CD883" i="9"/>
  <c r="AS883" i="9"/>
  <c r="CG882" i="9"/>
  <c r="CF882" i="9"/>
  <c r="CD882" i="9"/>
  <c r="AS882" i="9"/>
  <c r="CG881" i="9"/>
  <c r="CF881" i="9"/>
  <c r="CD881" i="9"/>
  <c r="AS881" i="9"/>
  <c r="CG880" i="9"/>
  <c r="CF880" i="9"/>
  <c r="CD880" i="9"/>
  <c r="AS880" i="9"/>
  <c r="CG879" i="9"/>
  <c r="CF879" i="9"/>
  <c r="CD879" i="9"/>
  <c r="AS879" i="9"/>
  <c r="CG878" i="9"/>
  <c r="CF878" i="9"/>
  <c r="CD878" i="9"/>
  <c r="AS878" i="9"/>
  <c r="CG877" i="9"/>
  <c r="CF877" i="9"/>
  <c r="CD877" i="9"/>
  <c r="AS877" i="9"/>
  <c r="CG876" i="9"/>
  <c r="CF876" i="9"/>
  <c r="CD876" i="9"/>
  <c r="AS876" i="9"/>
  <c r="CG875" i="9"/>
  <c r="CF875" i="9"/>
  <c r="CD875" i="9"/>
  <c r="AS875" i="9"/>
  <c r="CG874" i="9"/>
  <c r="CF874" i="9"/>
  <c r="CD874" i="9"/>
  <c r="AS874" i="9"/>
  <c r="CG873" i="9"/>
  <c r="CF873" i="9"/>
  <c r="CD873" i="9"/>
  <c r="AS873" i="9"/>
  <c r="CG872" i="9"/>
  <c r="CF872" i="9"/>
  <c r="CD872" i="9"/>
  <c r="AS872" i="9"/>
  <c r="CG871" i="9"/>
  <c r="CF871" i="9"/>
  <c r="CD871" i="9"/>
  <c r="AS871" i="9"/>
  <c r="CG870" i="9"/>
  <c r="CF870" i="9"/>
  <c r="CD870" i="9"/>
  <c r="AS870" i="9"/>
  <c r="CG869" i="9"/>
  <c r="CF869" i="9"/>
  <c r="CD869" i="9"/>
  <c r="AS869" i="9"/>
  <c r="CG868" i="9"/>
  <c r="CF868" i="9"/>
  <c r="CD868" i="9"/>
  <c r="AS868" i="9"/>
  <c r="CG867" i="9"/>
  <c r="CF867" i="9"/>
  <c r="CD867" i="9"/>
  <c r="AS867" i="9"/>
  <c r="CG866" i="9"/>
  <c r="CF866" i="9"/>
  <c r="CD866" i="9"/>
  <c r="AS866" i="9"/>
  <c r="CG865" i="9"/>
  <c r="CF865" i="9"/>
  <c r="CD865" i="9"/>
  <c r="AS865" i="9"/>
  <c r="CG864" i="9"/>
  <c r="CF864" i="9"/>
  <c r="CD864" i="9"/>
  <c r="AS864" i="9"/>
  <c r="CG863" i="9"/>
  <c r="CF863" i="9"/>
  <c r="CD863" i="9"/>
  <c r="AS863" i="9"/>
  <c r="CG862" i="9"/>
  <c r="CF862" i="9"/>
  <c r="CD862" i="9"/>
  <c r="AS862" i="9"/>
  <c r="CG861" i="9"/>
  <c r="CF861" i="9"/>
  <c r="CD861" i="9"/>
  <c r="AS861" i="9"/>
  <c r="CG860" i="9"/>
  <c r="CF860" i="9"/>
  <c r="AV860" i="9"/>
  <c r="CD860" i="9" s="1"/>
  <c r="AU860" i="9"/>
  <c r="AS860" i="9"/>
  <c r="CG859" i="9"/>
  <c r="CF859" i="9"/>
  <c r="CD859" i="9"/>
  <c r="AS859" i="9"/>
  <c r="CG858" i="9"/>
  <c r="CF858" i="9"/>
  <c r="CD858" i="9"/>
  <c r="AS858" i="9"/>
  <c r="CG857" i="9"/>
  <c r="CF857" i="9"/>
  <c r="CD857" i="9"/>
  <c r="AS857" i="9"/>
  <c r="CG856" i="9"/>
  <c r="CF856" i="9"/>
  <c r="CD856" i="9"/>
  <c r="AS856" i="9"/>
  <c r="CG855" i="9"/>
  <c r="CF855" i="9"/>
  <c r="CD855" i="9"/>
  <c r="AS855" i="9"/>
  <c r="CG854" i="9"/>
  <c r="CF854" i="9"/>
  <c r="CD854" i="9"/>
  <c r="CE854" i="9" s="1"/>
  <c r="AS854" i="9"/>
  <c r="CG853" i="9"/>
  <c r="CF853" i="9"/>
  <c r="CD853" i="9"/>
  <c r="AS853" i="9"/>
  <c r="CG852" i="9"/>
  <c r="CF852" i="9"/>
  <c r="CD852" i="9"/>
  <c r="AS852" i="9"/>
  <c r="CG851" i="9"/>
  <c r="CF851" i="9"/>
  <c r="CD851" i="9"/>
  <c r="AS851" i="9"/>
  <c r="CG850" i="9"/>
  <c r="CF850" i="9"/>
  <c r="CD850" i="9"/>
  <c r="AS850" i="9"/>
  <c r="CG849" i="9"/>
  <c r="CF849" i="9"/>
  <c r="CD849" i="9"/>
  <c r="AS849" i="9"/>
  <c r="CG848" i="9"/>
  <c r="CF848" i="9"/>
  <c r="CD848" i="9"/>
  <c r="AS848" i="9"/>
  <c r="CG847" i="9"/>
  <c r="CF847" i="9"/>
  <c r="CD847" i="9"/>
  <c r="AS847" i="9"/>
  <c r="CG846" i="9"/>
  <c r="CF846" i="9"/>
  <c r="CD846" i="9"/>
  <c r="AS846" i="9"/>
  <c r="CG845" i="9"/>
  <c r="CF845" i="9"/>
  <c r="CD845" i="9"/>
  <c r="AS845" i="9"/>
  <c r="CG844" i="9"/>
  <c r="CF844" i="9"/>
  <c r="CD844" i="9"/>
  <c r="AS844" i="9"/>
  <c r="CG843" i="9"/>
  <c r="CF843" i="9"/>
  <c r="CD843" i="9"/>
  <c r="AS843" i="9"/>
  <c r="CG842" i="9"/>
  <c r="CF842" i="9"/>
  <c r="AU842" i="9"/>
  <c r="CD842" i="9" s="1"/>
  <c r="AS842" i="9"/>
  <c r="CG841" i="9"/>
  <c r="CF841" i="9"/>
  <c r="CD841" i="9"/>
  <c r="CE841" i="9" s="1"/>
  <c r="AS841" i="9"/>
  <c r="CG840" i="9"/>
  <c r="CF840" i="9"/>
  <c r="CD840" i="9"/>
  <c r="AS840" i="9"/>
  <c r="CG839" i="9"/>
  <c r="CF839" i="9"/>
  <c r="CD839" i="9"/>
  <c r="CE839" i="9" s="1"/>
  <c r="AS839" i="9"/>
  <c r="CG838" i="9"/>
  <c r="CF838" i="9"/>
  <c r="CD838" i="9"/>
  <c r="AS838" i="9"/>
  <c r="CG837" i="9"/>
  <c r="CF837" i="9"/>
  <c r="CD837" i="9"/>
  <c r="AS837" i="9"/>
  <c r="CG836" i="9"/>
  <c r="CF836" i="9"/>
  <c r="CD836" i="9"/>
  <c r="AS836" i="9"/>
  <c r="CG835" i="9"/>
  <c r="CF835" i="9"/>
  <c r="CD835" i="9"/>
  <c r="AS835" i="9"/>
  <c r="CG834" i="9"/>
  <c r="CF834" i="9"/>
  <c r="CD834" i="9"/>
  <c r="CE834" i="9" s="1"/>
  <c r="AS834" i="9"/>
  <c r="CG833" i="9"/>
  <c r="CF833" i="9"/>
  <c r="AU833" i="9"/>
  <c r="CD833" i="9" s="1"/>
  <c r="CE833" i="9" s="1"/>
  <c r="AS833" i="9"/>
  <c r="CG832" i="9"/>
  <c r="CF832" i="9"/>
  <c r="CE832" i="9"/>
  <c r="CD832" i="9"/>
  <c r="AS832" i="9"/>
  <c r="B832" i="9"/>
  <c r="CG831" i="9"/>
  <c r="CF831" i="9"/>
  <c r="CD831" i="9"/>
  <c r="AS831" i="9"/>
  <c r="B831" i="9"/>
  <c r="CG830" i="9"/>
  <c r="CF830" i="9"/>
  <c r="CD830" i="9"/>
  <c r="AS830" i="9"/>
  <c r="B830" i="9"/>
  <c r="CG829" i="9"/>
  <c r="CF829" i="9"/>
  <c r="CD829" i="9"/>
  <c r="AS829" i="9"/>
  <c r="CG828" i="9"/>
  <c r="CF828" i="9"/>
  <c r="CD828" i="9"/>
  <c r="AS828" i="9"/>
  <c r="CD827" i="9"/>
  <c r="AS827" i="9"/>
  <c r="CG826" i="9"/>
  <c r="CF826" i="9"/>
  <c r="CD826" i="9"/>
  <c r="AS826" i="9"/>
  <c r="CG825" i="9"/>
  <c r="CF825" i="9"/>
  <c r="CD825" i="9"/>
  <c r="AS825" i="9"/>
  <c r="CG824" i="9"/>
  <c r="CF824" i="9"/>
  <c r="CD824" i="9"/>
  <c r="AS824" i="9"/>
  <c r="CG823" i="9"/>
  <c r="CF823" i="9"/>
  <c r="AU823" i="9"/>
  <c r="CD823" i="9" s="1"/>
  <c r="AS823" i="9"/>
  <c r="CG822" i="9"/>
  <c r="CF822" i="9"/>
  <c r="CD822" i="9"/>
  <c r="AS822" i="9"/>
  <c r="CG821" i="9"/>
  <c r="CF821" i="9"/>
  <c r="CD821" i="9"/>
  <c r="AS821" i="9"/>
  <c r="CE821" i="9" s="1"/>
  <c r="CG820" i="9"/>
  <c r="CF820" i="9"/>
  <c r="CD820" i="9"/>
  <c r="AS820" i="9"/>
  <c r="CG819" i="9"/>
  <c r="CF819" i="9"/>
  <c r="CD819" i="9"/>
  <c r="AS819" i="9"/>
  <c r="CG818" i="9"/>
  <c r="CF818" i="9"/>
  <c r="CD818" i="9"/>
  <c r="AS818" i="9"/>
  <c r="CG817" i="9"/>
  <c r="CF817" i="9"/>
  <c r="AU817" i="9"/>
  <c r="CD817" i="9" s="1"/>
  <c r="AS817" i="9"/>
  <c r="CG816" i="9"/>
  <c r="CF816" i="9"/>
  <c r="CD816" i="9"/>
  <c r="AS816" i="9"/>
  <c r="CG815" i="9"/>
  <c r="CF815" i="9"/>
  <c r="CD815" i="9"/>
  <c r="AS815" i="9"/>
  <c r="CE815" i="9" s="1"/>
  <c r="CG814" i="9"/>
  <c r="CF814" i="9"/>
  <c r="CD814" i="9"/>
  <c r="AS814" i="9"/>
  <c r="CE814" i="9" s="1"/>
  <c r="CG813" i="9"/>
  <c r="CF813" i="9"/>
  <c r="CD813" i="9"/>
  <c r="AS813" i="9"/>
  <c r="CG812" i="9"/>
  <c r="CF812" i="9"/>
  <c r="CD812" i="9"/>
  <c r="AS812" i="9"/>
  <c r="CG811" i="9"/>
  <c r="CF811" i="9"/>
  <c r="CC811" i="9"/>
  <c r="BI811" i="9"/>
  <c r="AW811" i="9"/>
  <c r="AU811" i="9"/>
  <c r="AS811" i="9"/>
  <c r="CO810" i="9"/>
  <c r="CN810" i="9"/>
  <c r="CM810" i="9"/>
  <c r="CL810" i="9"/>
  <c r="CK810" i="9"/>
  <c r="CJ810" i="9"/>
  <c r="CI810" i="9"/>
  <c r="CH810" i="9"/>
  <c r="CC810" i="9"/>
  <c r="CB810" i="9"/>
  <c r="CA810" i="9"/>
  <c r="BZ810" i="9"/>
  <c r="BY810" i="9"/>
  <c r="BX810" i="9"/>
  <c r="BW810" i="9"/>
  <c r="BV810" i="9"/>
  <c r="BU810" i="9"/>
  <c r="BT810" i="9"/>
  <c r="BS810" i="9"/>
  <c r="BR810" i="9"/>
  <c r="BQ810" i="9"/>
  <c r="BP810" i="9"/>
  <c r="BO810" i="9"/>
  <c r="BN810" i="9"/>
  <c r="BM810" i="9"/>
  <c r="BL810" i="9"/>
  <c r="BK810" i="9"/>
  <c r="BJ810" i="9"/>
  <c r="BI810" i="9"/>
  <c r="BH810" i="9"/>
  <c r="BG810" i="9"/>
  <c r="BF810" i="9"/>
  <c r="BE810" i="9"/>
  <c r="BD810" i="9"/>
  <c r="BC810" i="9"/>
  <c r="BB810" i="9"/>
  <c r="BA810" i="9"/>
  <c r="AZ810" i="9"/>
  <c r="AY810" i="9"/>
  <c r="AX810" i="9"/>
  <c r="AW810" i="9"/>
  <c r="AT810" i="9"/>
  <c r="AR810" i="9"/>
  <c r="AQ810" i="9"/>
  <c r="AP810" i="9"/>
  <c r="AO810" i="9"/>
  <c r="AN810" i="9"/>
  <c r="AM810" i="9"/>
  <c r="AL810" i="9"/>
  <c r="AK810" i="9"/>
  <c r="AJ810" i="9"/>
  <c r="AI810" i="9"/>
  <c r="AH810" i="9"/>
  <c r="AG810" i="9"/>
  <c r="AF810" i="9"/>
  <c r="AE810" i="9"/>
  <c r="AD810" i="9"/>
  <c r="AC810" i="9"/>
  <c r="AB810" i="9"/>
  <c r="AA810" i="9"/>
  <c r="Z810" i="9"/>
  <c r="Y810" i="9"/>
  <c r="X810" i="9"/>
  <c r="W810" i="9"/>
  <c r="V810" i="9"/>
  <c r="U810" i="9"/>
  <c r="T810" i="9"/>
  <c r="S810" i="9"/>
  <c r="R810" i="9"/>
  <c r="Q810" i="9"/>
  <c r="P810" i="9"/>
  <c r="O810" i="9"/>
  <c r="N810" i="9"/>
  <c r="M810" i="9"/>
  <c r="L810" i="9"/>
  <c r="K810" i="9"/>
  <c r="J810" i="9"/>
  <c r="I810" i="9"/>
  <c r="H810" i="9"/>
  <c r="CG809" i="9"/>
  <c r="CF809" i="9"/>
  <c r="AV809" i="9"/>
  <c r="AU809" i="9"/>
  <c r="AS809" i="9"/>
  <c r="CG808" i="9"/>
  <c r="CF808" i="9"/>
  <c r="AV808" i="9"/>
  <c r="AU808" i="9"/>
  <c r="AS808" i="9"/>
  <c r="CG807" i="9"/>
  <c r="CF807" i="9"/>
  <c r="AV807" i="9"/>
  <c r="CD807" i="9" s="1"/>
  <c r="AS807" i="9"/>
  <c r="CG806" i="9"/>
  <c r="CF806" i="9"/>
  <c r="AV806" i="9"/>
  <c r="CD806" i="9" s="1"/>
  <c r="AS806" i="9"/>
  <c r="CG805" i="9"/>
  <c r="CF805" i="9"/>
  <c r="AV805" i="9"/>
  <c r="AU805" i="9"/>
  <c r="CD805" i="9" s="1"/>
  <c r="AS805" i="9"/>
  <c r="CG804" i="9"/>
  <c r="CF804" i="9"/>
  <c r="CD804" i="9"/>
  <c r="CE804" i="9" s="1"/>
  <c r="AV804" i="9"/>
  <c r="AU804" i="9"/>
  <c r="AS804" i="9"/>
  <c r="B804" i="9"/>
  <c r="CG803" i="9"/>
  <c r="CF803" i="9"/>
  <c r="AV803" i="9"/>
  <c r="AU803" i="9"/>
  <c r="CD803" i="9" s="1"/>
  <c r="AS803" i="9"/>
  <c r="B803" i="9"/>
  <c r="CG802" i="9"/>
  <c r="CF802" i="9"/>
  <c r="AV802" i="9"/>
  <c r="AU802" i="9"/>
  <c r="CD802" i="9" s="1"/>
  <c r="AS802" i="9"/>
  <c r="CG801" i="9"/>
  <c r="CF801" i="9"/>
  <c r="AV801" i="9"/>
  <c r="CD801" i="9" s="1"/>
  <c r="AU801" i="9"/>
  <c r="AS801" i="9"/>
  <c r="CG800" i="9"/>
  <c r="CF800" i="9"/>
  <c r="AV800" i="9"/>
  <c r="AU800" i="9"/>
  <c r="AS800" i="9"/>
  <c r="CG799" i="9"/>
  <c r="CF799" i="9"/>
  <c r="AV799" i="9"/>
  <c r="AU799" i="9"/>
  <c r="AS799" i="9"/>
  <c r="CG798" i="9"/>
  <c r="CF798" i="9"/>
  <c r="AV798" i="9"/>
  <c r="AU798" i="9"/>
  <c r="CD798" i="9" s="1"/>
  <c r="AS798" i="9"/>
  <c r="CI797" i="9"/>
  <c r="CH797" i="9"/>
  <c r="CC797" i="9"/>
  <c r="CB797" i="9"/>
  <c r="CA797" i="9"/>
  <c r="BZ797" i="9"/>
  <c r="BY797" i="9"/>
  <c r="BX797" i="9"/>
  <c r="BW797" i="9"/>
  <c r="BV797" i="9"/>
  <c r="BU797" i="9"/>
  <c r="BT797" i="9"/>
  <c r="BS797" i="9"/>
  <c r="BR797" i="9"/>
  <c r="BQ797" i="9"/>
  <c r="BP797" i="9"/>
  <c r="BO797" i="9"/>
  <c r="BN797" i="9"/>
  <c r="BM797" i="9"/>
  <c r="BL797" i="9"/>
  <c r="BK797" i="9"/>
  <c r="BJ797" i="9"/>
  <c r="BI797" i="9"/>
  <c r="BH797" i="9"/>
  <c r="BG797" i="9"/>
  <c r="BF797" i="9"/>
  <c r="BE797" i="9"/>
  <c r="BD797" i="9"/>
  <c r="BC797" i="9"/>
  <c r="BB797" i="9"/>
  <c r="BA797" i="9"/>
  <c r="AZ797" i="9"/>
  <c r="AY797" i="9"/>
  <c r="AX797" i="9"/>
  <c r="AW797" i="9"/>
  <c r="AV797" i="9"/>
  <c r="AU797" i="9"/>
  <c r="AT797" i="9"/>
  <c r="AR797" i="9"/>
  <c r="AQ797" i="9"/>
  <c r="AP797" i="9"/>
  <c r="AN797" i="9"/>
  <c r="AM797" i="9"/>
  <c r="AL797" i="9"/>
  <c r="AK797" i="9"/>
  <c r="AJ797" i="9"/>
  <c r="AI797" i="9"/>
  <c r="AH797" i="9"/>
  <c r="AG797" i="9"/>
  <c r="AF797" i="9"/>
  <c r="AE797" i="9"/>
  <c r="AD797" i="9"/>
  <c r="AC797" i="9"/>
  <c r="AB797" i="9"/>
  <c r="AA797" i="9"/>
  <c r="Z797" i="9"/>
  <c r="Y797" i="9"/>
  <c r="X797" i="9"/>
  <c r="W797" i="9"/>
  <c r="V797" i="9"/>
  <c r="U797" i="9"/>
  <c r="T797" i="9"/>
  <c r="S797" i="9"/>
  <c r="R797" i="9"/>
  <c r="Q797" i="9"/>
  <c r="P797" i="9"/>
  <c r="O797" i="9"/>
  <c r="N797" i="9"/>
  <c r="M797" i="9"/>
  <c r="L797" i="9"/>
  <c r="K797" i="9"/>
  <c r="J797" i="9"/>
  <c r="I797" i="9"/>
  <c r="H797" i="9"/>
  <c r="CG796" i="9"/>
  <c r="CG797" i="9" s="1"/>
  <c r="CF796" i="9"/>
  <c r="CD796" i="9"/>
  <c r="CD797" i="9" s="1"/>
  <c r="AS796" i="9"/>
  <c r="AS797" i="9" s="1"/>
  <c r="CI795" i="9"/>
  <c r="CH795" i="9"/>
  <c r="CC795" i="9"/>
  <c r="CB795" i="9"/>
  <c r="CA795" i="9"/>
  <c r="BZ795" i="9"/>
  <c r="BY795" i="9"/>
  <c r="BX795" i="9"/>
  <c r="BW795" i="9"/>
  <c r="BV795" i="9"/>
  <c r="BU795" i="9"/>
  <c r="BT795" i="9"/>
  <c r="BS795" i="9"/>
  <c r="BR795" i="9"/>
  <c r="BQ795" i="9"/>
  <c r="BP795" i="9"/>
  <c r="BO795" i="9"/>
  <c r="BN795" i="9"/>
  <c r="BM795" i="9"/>
  <c r="BL795" i="9"/>
  <c r="BK795" i="9"/>
  <c r="BJ795" i="9"/>
  <c r="BI795" i="9"/>
  <c r="BH795" i="9"/>
  <c r="BG795" i="9"/>
  <c r="BF795" i="9"/>
  <c r="BE795" i="9"/>
  <c r="BD795" i="9"/>
  <c r="BC795" i="9"/>
  <c r="BB795" i="9"/>
  <c r="BA795" i="9"/>
  <c r="AZ795" i="9"/>
  <c r="AY795" i="9"/>
  <c r="AX795" i="9"/>
  <c r="AT795" i="9"/>
  <c r="AR795" i="9"/>
  <c r="AQ795" i="9"/>
  <c r="AP795" i="9"/>
  <c r="AN795" i="9"/>
  <c r="AM795" i="9"/>
  <c r="AL795" i="9"/>
  <c r="AK795" i="9"/>
  <c r="AJ795" i="9"/>
  <c r="AI795" i="9"/>
  <c r="AH795" i="9"/>
  <c r="AG795" i="9"/>
  <c r="AF795" i="9"/>
  <c r="AE795" i="9"/>
  <c r="AD795" i="9"/>
  <c r="AC795" i="9"/>
  <c r="AB795" i="9"/>
  <c r="AA795" i="9"/>
  <c r="Z795" i="9"/>
  <c r="Y795" i="9"/>
  <c r="X795" i="9"/>
  <c r="W795" i="9"/>
  <c r="V795" i="9"/>
  <c r="U795" i="9"/>
  <c r="T795" i="9"/>
  <c r="S795" i="9"/>
  <c r="R795" i="9"/>
  <c r="Q795" i="9"/>
  <c r="P795" i="9"/>
  <c r="O795" i="9"/>
  <c r="N795" i="9"/>
  <c r="M795" i="9"/>
  <c r="L795" i="9"/>
  <c r="K795" i="9"/>
  <c r="J795" i="9"/>
  <c r="I795" i="9"/>
  <c r="H795" i="9"/>
  <c r="CG794" i="9"/>
  <c r="CF794" i="9"/>
  <c r="CD794" i="9"/>
  <c r="AS794" i="9"/>
  <c r="CG793" i="9"/>
  <c r="CF793" i="9"/>
  <c r="CD793" i="9"/>
  <c r="AS793" i="9"/>
  <c r="CG792" i="9"/>
  <c r="CF792" i="9"/>
  <c r="CD792" i="9"/>
  <c r="AS792" i="9"/>
  <c r="CG791" i="9"/>
  <c r="CF791" i="9"/>
  <c r="CD791" i="9"/>
  <c r="AS791" i="9"/>
  <c r="CG790" i="9"/>
  <c r="CF790" i="9"/>
  <c r="CD790" i="9"/>
  <c r="CE790" i="9" s="1"/>
  <c r="AS790" i="9"/>
  <c r="CG789" i="9"/>
  <c r="CF789" i="9"/>
  <c r="CD789" i="9"/>
  <c r="AS789" i="9"/>
  <c r="CG788" i="9"/>
  <c r="CF788" i="9"/>
  <c r="CD788" i="9"/>
  <c r="AS788" i="9"/>
  <c r="CG787" i="9"/>
  <c r="CF787" i="9"/>
  <c r="CD787" i="9"/>
  <c r="AS787" i="9"/>
  <c r="CG786" i="9"/>
  <c r="CF786" i="9"/>
  <c r="CD786" i="9"/>
  <c r="AS786" i="9"/>
  <c r="CG785" i="9"/>
  <c r="CF785" i="9"/>
  <c r="CD785" i="9"/>
  <c r="AS785" i="9"/>
  <c r="CG784" i="9"/>
  <c r="CF784" i="9"/>
  <c r="CD784" i="9"/>
  <c r="AS784" i="9"/>
  <c r="CG783" i="9"/>
  <c r="CF783" i="9"/>
  <c r="CD783" i="9"/>
  <c r="AS783" i="9"/>
  <c r="CG782" i="9"/>
  <c r="CF782" i="9"/>
  <c r="CD782" i="9"/>
  <c r="AS782" i="9"/>
  <c r="CG781" i="9"/>
  <c r="CF781" i="9"/>
  <c r="CD781" i="9"/>
  <c r="AS781" i="9"/>
  <c r="CG780" i="9"/>
  <c r="CF780" i="9"/>
  <c r="CD780" i="9"/>
  <c r="AS780" i="9"/>
  <c r="CG779" i="9"/>
  <c r="CF779" i="9"/>
  <c r="CD779" i="9"/>
  <c r="AS779" i="9"/>
  <c r="CG778" i="9"/>
  <c r="CF778" i="9"/>
  <c r="CD778" i="9"/>
  <c r="CE778" i="9" s="1"/>
  <c r="AS778" i="9"/>
  <c r="CG777" i="9"/>
  <c r="CF777" i="9"/>
  <c r="CD777" i="9"/>
  <c r="CE777" i="9" s="1"/>
  <c r="AS777" i="9"/>
  <c r="CG776" i="9"/>
  <c r="CF776" i="9"/>
  <c r="CD776" i="9"/>
  <c r="AS776" i="9"/>
  <c r="CG775" i="9"/>
  <c r="CF775" i="9"/>
  <c r="CD775" i="9"/>
  <c r="CE775" i="9" s="1"/>
  <c r="AS775" i="9"/>
  <c r="CG774" i="9"/>
  <c r="CF774" i="9"/>
  <c r="CD774" i="9"/>
  <c r="CE774" i="9" s="1"/>
  <c r="AS774" i="9"/>
  <c r="CG773" i="9"/>
  <c r="CF773" i="9"/>
  <c r="CD773" i="9"/>
  <c r="CE773" i="9" s="1"/>
  <c r="AS773" i="9"/>
  <c r="CG772" i="9"/>
  <c r="CF772" i="9"/>
  <c r="CD772" i="9"/>
  <c r="AS772" i="9"/>
  <c r="CG771" i="9"/>
  <c r="CF771" i="9"/>
  <c r="CD771" i="9"/>
  <c r="AS771" i="9"/>
  <c r="CG770" i="9"/>
  <c r="CF770" i="9"/>
  <c r="CD770" i="9"/>
  <c r="AS770" i="9"/>
  <c r="CG769" i="9"/>
  <c r="CF769" i="9"/>
  <c r="CD769" i="9"/>
  <c r="AS769" i="9"/>
  <c r="CG768" i="9"/>
  <c r="CF768" i="9"/>
  <c r="CD768" i="9"/>
  <c r="AS768" i="9"/>
  <c r="CG767" i="9"/>
  <c r="CF767" i="9"/>
  <c r="CD767" i="9"/>
  <c r="AS767" i="9"/>
  <c r="CG766" i="9"/>
  <c r="CF766" i="9"/>
  <c r="CD766" i="9"/>
  <c r="CE766" i="9" s="1"/>
  <c r="AS766" i="9"/>
  <c r="CG765" i="9"/>
  <c r="CF765" i="9"/>
  <c r="CD765" i="9"/>
  <c r="CE765" i="9" s="1"/>
  <c r="AS765" i="9"/>
  <c r="CG764" i="9"/>
  <c r="CF764" i="9"/>
  <c r="CD764" i="9"/>
  <c r="AS764" i="9"/>
  <c r="CG763" i="9"/>
  <c r="CF763" i="9"/>
  <c r="CD763" i="9"/>
  <c r="CE763" i="9" s="1"/>
  <c r="AS763" i="9"/>
  <c r="CG762" i="9"/>
  <c r="CF762" i="9"/>
  <c r="AW762" i="9"/>
  <c r="AV762" i="9"/>
  <c r="AU762" i="9"/>
  <c r="AS762" i="9"/>
  <c r="F762" i="9"/>
  <c r="CG761" i="9"/>
  <c r="CF761" i="9"/>
  <c r="AW761" i="9"/>
  <c r="AV761" i="9"/>
  <c r="CD761" i="9" s="1"/>
  <c r="AU761" i="9"/>
  <c r="AS761" i="9"/>
  <c r="F761" i="9"/>
  <c r="CG760" i="9"/>
  <c r="CF760" i="9"/>
  <c r="AW760" i="9"/>
  <c r="AV760" i="9"/>
  <c r="AU760" i="9"/>
  <c r="CD760" i="9" s="1"/>
  <c r="CE760" i="9" s="1"/>
  <c r="AS760" i="9"/>
  <c r="F760" i="9"/>
  <c r="CG759" i="9"/>
  <c r="CF759" i="9"/>
  <c r="AW759" i="9"/>
  <c r="AV759" i="9"/>
  <c r="AU759" i="9"/>
  <c r="CD759" i="9" s="1"/>
  <c r="AS759" i="9"/>
  <c r="F759" i="9"/>
  <c r="CG758" i="9"/>
  <c r="CF758" i="9"/>
  <c r="AW758" i="9"/>
  <c r="AV758" i="9"/>
  <c r="AU758" i="9"/>
  <c r="CD758" i="9" s="1"/>
  <c r="AS758" i="9"/>
  <c r="CG757" i="9"/>
  <c r="CF757" i="9"/>
  <c r="AW757" i="9"/>
  <c r="AV757" i="9"/>
  <c r="AU757" i="9"/>
  <c r="AS757" i="9"/>
  <c r="CG756" i="9"/>
  <c r="CF756" i="9"/>
  <c r="AW756" i="9"/>
  <c r="AV756" i="9"/>
  <c r="CD756" i="9" s="1"/>
  <c r="AS756" i="9"/>
  <c r="CG755" i="9"/>
  <c r="CF755" i="9"/>
  <c r="CD755" i="9"/>
  <c r="AS755" i="9"/>
  <c r="CG754" i="9"/>
  <c r="CF754" i="9"/>
  <c r="AW754" i="9"/>
  <c r="AV754" i="9"/>
  <c r="CD754" i="9" s="1"/>
  <c r="AS754" i="9"/>
  <c r="CG753" i="9"/>
  <c r="CF753" i="9"/>
  <c r="AW753" i="9"/>
  <c r="AV753" i="9"/>
  <c r="CD753" i="9" s="1"/>
  <c r="CE753" i="9" s="1"/>
  <c r="AU753" i="9"/>
  <c r="AS753" i="9"/>
  <c r="CG752" i="9"/>
  <c r="CF752" i="9"/>
  <c r="AW752" i="9"/>
  <c r="AV752" i="9"/>
  <c r="AU752" i="9"/>
  <c r="CD752" i="9" s="1"/>
  <c r="AS752" i="9"/>
  <c r="CG751" i="9"/>
  <c r="CF751" i="9"/>
  <c r="AW751" i="9"/>
  <c r="AV751" i="9"/>
  <c r="AU751" i="9"/>
  <c r="AS751" i="9"/>
  <c r="CG750" i="9"/>
  <c r="CF750" i="9"/>
  <c r="AW750" i="9"/>
  <c r="AV750" i="9"/>
  <c r="AU750" i="9"/>
  <c r="CD750" i="9" s="1"/>
  <c r="AS750" i="9"/>
  <c r="CG749" i="9"/>
  <c r="CF749" i="9"/>
  <c r="AW749" i="9"/>
  <c r="AV749" i="9"/>
  <c r="AU749" i="9"/>
  <c r="AS749" i="9"/>
  <c r="CG748" i="9"/>
  <c r="CF748" i="9"/>
  <c r="AW748" i="9"/>
  <c r="AV748" i="9"/>
  <c r="AU748" i="9"/>
  <c r="CD748" i="9" s="1"/>
  <c r="AS748" i="9"/>
  <c r="CG747" i="9"/>
  <c r="CF747" i="9"/>
  <c r="AW747" i="9"/>
  <c r="AV747" i="9"/>
  <c r="AU747" i="9"/>
  <c r="AS747" i="9"/>
  <c r="CG746" i="9"/>
  <c r="CF746" i="9"/>
  <c r="AW746" i="9"/>
  <c r="AV746" i="9"/>
  <c r="AU746" i="9"/>
  <c r="AS746" i="9"/>
  <c r="CL745" i="9"/>
  <c r="CK745" i="9"/>
  <c r="CJ745" i="9"/>
  <c r="CI745" i="9"/>
  <c r="CH745" i="9"/>
  <c r="CC745" i="9"/>
  <c r="CB745" i="9"/>
  <c r="CA745" i="9"/>
  <c r="BZ745" i="9"/>
  <c r="BY745" i="9"/>
  <c r="BX745" i="9"/>
  <c r="BW745" i="9"/>
  <c r="BV745" i="9"/>
  <c r="BU745" i="9"/>
  <c r="BT745" i="9"/>
  <c r="BS745" i="9"/>
  <c r="BR745" i="9"/>
  <c r="BQ745" i="9"/>
  <c r="BP745" i="9"/>
  <c r="BO745" i="9"/>
  <c r="BN745" i="9"/>
  <c r="BM745" i="9"/>
  <c r="BL745" i="9"/>
  <c r="BK745" i="9"/>
  <c r="BH745" i="9"/>
  <c r="BG745" i="9"/>
  <c r="BF745" i="9"/>
  <c r="BE745" i="9"/>
  <c r="BD745" i="9"/>
  <c r="BC745" i="9"/>
  <c r="BB745" i="9"/>
  <c r="BA745" i="9"/>
  <c r="AZ745" i="9"/>
  <c r="AY745" i="9"/>
  <c r="AX745" i="9"/>
  <c r="AW745" i="9"/>
  <c r="AT745" i="9"/>
  <c r="AR745" i="9"/>
  <c r="AQ745" i="9"/>
  <c r="AP745" i="9"/>
  <c r="AN745" i="9"/>
  <c r="AM745" i="9"/>
  <c r="AL745" i="9"/>
  <c r="AK745" i="9"/>
  <c r="AJ745" i="9"/>
  <c r="AI745" i="9"/>
  <c r="AH745" i="9"/>
  <c r="AG745" i="9"/>
  <c r="AF745" i="9"/>
  <c r="AE745" i="9"/>
  <c r="AD745" i="9"/>
  <c r="AC745" i="9"/>
  <c r="AB745" i="9"/>
  <c r="AA745" i="9"/>
  <c r="Z745" i="9"/>
  <c r="Y745" i="9"/>
  <c r="X745" i="9"/>
  <c r="W745" i="9"/>
  <c r="V745" i="9"/>
  <c r="U745" i="9"/>
  <c r="T745" i="9"/>
  <c r="S745" i="9"/>
  <c r="R745" i="9"/>
  <c r="Q745" i="9"/>
  <c r="P745" i="9"/>
  <c r="O745" i="9"/>
  <c r="N745" i="9"/>
  <c r="M745" i="9"/>
  <c r="L745" i="9"/>
  <c r="K745" i="9"/>
  <c r="J745" i="9"/>
  <c r="I745" i="9"/>
  <c r="H745" i="9"/>
  <c r="CG744" i="9"/>
  <c r="CF744" i="9"/>
  <c r="CD744" i="9"/>
  <c r="AS744" i="9"/>
  <c r="CG743" i="9"/>
  <c r="CF743" i="9"/>
  <c r="CD743" i="9"/>
  <c r="AS743" i="9"/>
  <c r="CG742" i="9"/>
  <c r="CF742" i="9"/>
  <c r="CD742" i="9"/>
  <c r="AS742" i="9"/>
  <c r="CG741" i="9"/>
  <c r="CF741" i="9"/>
  <c r="CD741" i="9"/>
  <c r="AS741" i="9"/>
  <c r="CE741" i="9" s="1"/>
  <c r="F741" i="9"/>
  <c r="F742" i="9" s="1"/>
  <c r="F743" i="9" s="1"/>
  <c r="F744" i="9" s="1"/>
  <c r="CG740" i="9"/>
  <c r="CF740" i="9"/>
  <c r="CD740" i="9"/>
  <c r="AS740" i="9"/>
  <c r="CG739" i="9"/>
  <c r="CF739" i="9"/>
  <c r="AV739" i="9"/>
  <c r="AU739" i="9"/>
  <c r="CD739" i="9" s="1"/>
  <c r="AS739" i="9"/>
  <c r="CG738" i="9"/>
  <c r="CF738" i="9"/>
  <c r="CD738" i="9"/>
  <c r="AS738" i="9"/>
  <c r="CG737" i="9"/>
  <c r="CF737" i="9"/>
  <c r="CD737" i="9"/>
  <c r="CE737" i="9" s="1"/>
  <c r="AS737" i="9"/>
  <c r="CG736" i="9"/>
  <c r="CF736" i="9"/>
  <c r="CD736" i="9"/>
  <c r="AS736" i="9"/>
  <c r="CG735" i="9"/>
  <c r="CF735" i="9"/>
  <c r="CD735" i="9"/>
  <c r="AS735" i="9"/>
  <c r="CG734" i="9"/>
  <c r="CF734" i="9"/>
  <c r="CD734" i="9"/>
  <c r="AS734" i="9"/>
  <c r="CG733" i="9"/>
  <c r="CF733" i="9"/>
  <c r="CD733" i="9"/>
  <c r="CE733" i="9" s="1"/>
  <c r="AS733" i="9"/>
  <c r="CG732" i="9"/>
  <c r="CF732" i="9"/>
  <c r="CD732" i="9"/>
  <c r="AS732" i="9"/>
  <c r="CE732" i="9" s="1"/>
  <c r="F732" i="9"/>
  <c r="CG731" i="9"/>
  <c r="CF731" i="9"/>
  <c r="AV731" i="9"/>
  <c r="AU731" i="9"/>
  <c r="CD731" i="9" s="1"/>
  <c r="AS731" i="9"/>
  <c r="F731" i="9"/>
  <c r="CG730" i="9"/>
  <c r="CF730" i="9"/>
  <c r="CD730" i="9"/>
  <c r="AS730" i="9"/>
  <c r="F730" i="9"/>
  <c r="CG729" i="9"/>
  <c r="CF729" i="9"/>
  <c r="CD729" i="9"/>
  <c r="AS729" i="9"/>
  <c r="F729" i="9"/>
  <c r="CG728" i="9"/>
  <c r="CF728" i="9"/>
  <c r="CD728" i="9"/>
  <c r="AS728" i="9"/>
  <c r="F728" i="9"/>
  <c r="CG727" i="9"/>
  <c r="CF727" i="9"/>
  <c r="CD727" i="9"/>
  <c r="CE727" i="9" s="1"/>
  <c r="AS727" i="9"/>
  <c r="F727" i="9"/>
  <c r="CG726" i="9"/>
  <c r="CF726" i="9"/>
  <c r="CD726" i="9"/>
  <c r="AS726" i="9"/>
  <c r="CG725" i="9"/>
  <c r="CF725" i="9"/>
  <c r="CD725" i="9"/>
  <c r="CE725" i="9" s="1"/>
  <c r="AS725" i="9"/>
  <c r="CG724" i="9"/>
  <c r="CF724" i="9"/>
  <c r="CD724" i="9"/>
  <c r="AS724" i="9"/>
  <c r="CE724" i="9" s="1"/>
  <c r="CG723" i="9"/>
  <c r="CF723" i="9"/>
  <c r="CD723" i="9"/>
  <c r="AS723" i="9"/>
  <c r="CG722" i="9"/>
  <c r="CF722" i="9"/>
  <c r="CD722" i="9"/>
  <c r="AS722" i="9"/>
  <c r="CG721" i="9"/>
  <c r="CF721" i="9"/>
  <c r="CD721" i="9"/>
  <c r="AS721" i="9"/>
  <c r="CE721" i="9" s="1"/>
  <c r="CG720" i="9"/>
  <c r="CF720" i="9"/>
  <c r="CD720" i="9"/>
  <c r="AS720" i="9"/>
  <c r="CG719" i="9"/>
  <c r="CF719" i="9"/>
  <c r="CD719" i="9"/>
  <c r="AS719" i="9"/>
  <c r="CE719" i="9" s="1"/>
  <c r="CG718" i="9"/>
  <c r="CF718" i="9"/>
  <c r="CD718" i="9"/>
  <c r="AS718" i="9"/>
  <c r="CG717" i="9"/>
  <c r="CF717" i="9"/>
  <c r="CD717" i="9"/>
  <c r="AU717" i="9"/>
  <c r="AS717" i="9"/>
  <c r="CG716" i="9"/>
  <c r="CF716" i="9"/>
  <c r="CD716" i="9"/>
  <c r="AS716" i="9"/>
  <c r="CG715" i="9"/>
  <c r="CF715" i="9"/>
  <c r="CD715" i="9"/>
  <c r="AS715" i="9"/>
  <c r="CG714" i="9"/>
  <c r="CF714" i="9"/>
  <c r="CD714" i="9"/>
  <c r="AS714" i="9"/>
  <c r="CG713" i="9"/>
  <c r="CF713" i="9"/>
  <c r="CD713" i="9"/>
  <c r="AS713" i="9"/>
  <c r="CG712" i="9"/>
  <c r="CF712" i="9"/>
  <c r="AV712" i="9"/>
  <c r="AU712" i="9"/>
  <c r="CD712" i="9" s="1"/>
  <c r="CE712" i="9" s="1"/>
  <c r="AS712" i="9"/>
  <c r="CG711" i="9"/>
  <c r="CF711" i="9"/>
  <c r="CD711" i="9"/>
  <c r="AS711" i="9"/>
  <c r="CG710" i="9"/>
  <c r="CF710" i="9"/>
  <c r="CD710" i="9"/>
  <c r="AS710" i="9"/>
  <c r="CG709" i="9"/>
  <c r="CF709" i="9"/>
  <c r="CD709" i="9"/>
  <c r="AS709" i="9"/>
  <c r="CG708" i="9"/>
  <c r="CF708" i="9"/>
  <c r="CD708" i="9"/>
  <c r="CE708" i="9" s="1"/>
  <c r="AS708" i="9"/>
  <c r="CG707" i="9"/>
  <c r="CF707" i="9"/>
  <c r="CD707" i="9"/>
  <c r="AS707" i="9"/>
  <c r="CG706" i="9"/>
  <c r="CF706" i="9"/>
  <c r="AV706" i="9"/>
  <c r="AU706" i="9"/>
  <c r="CD706" i="9" s="1"/>
  <c r="CE706" i="9" s="1"/>
  <c r="AS706" i="9"/>
  <c r="CG705" i="9"/>
  <c r="CF705" i="9"/>
  <c r="CD705" i="9"/>
  <c r="AS705" i="9"/>
  <c r="CE705" i="9" s="1"/>
  <c r="CG704" i="9"/>
  <c r="CF704" i="9"/>
  <c r="CD704" i="9"/>
  <c r="AS704" i="9"/>
  <c r="CG703" i="9"/>
  <c r="CF703" i="9"/>
  <c r="CD703" i="9"/>
  <c r="AS703" i="9"/>
  <c r="CG702" i="9"/>
  <c r="CF702" i="9"/>
  <c r="CD702" i="9"/>
  <c r="AS702" i="9"/>
  <c r="CG701" i="9"/>
  <c r="CF701" i="9"/>
  <c r="CD701" i="9"/>
  <c r="AS701" i="9"/>
  <c r="CG700" i="9"/>
  <c r="CF700" i="9"/>
  <c r="CD700" i="9"/>
  <c r="AS700" i="9"/>
  <c r="CE700" i="9" s="1"/>
  <c r="CG699" i="9"/>
  <c r="CF699" i="9"/>
  <c r="CD699" i="9"/>
  <c r="AS699" i="9"/>
  <c r="CG698" i="9"/>
  <c r="CF698" i="9"/>
  <c r="CD698" i="9"/>
  <c r="AS698" i="9"/>
  <c r="CG697" i="9"/>
  <c r="CF697" i="9"/>
  <c r="CD697" i="9"/>
  <c r="AU697" i="9"/>
  <c r="AS697" i="9"/>
  <c r="CG696" i="9"/>
  <c r="CF696" i="9"/>
  <c r="CD696" i="9"/>
  <c r="AU696" i="9"/>
  <c r="AS696" i="9"/>
  <c r="CG695" i="9"/>
  <c r="CF695" i="9"/>
  <c r="AU695" i="9"/>
  <c r="CD695" i="9" s="1"/>
  <c r="AS695" i="9"/>
  <c r="CG694" i="9"/>
  <c r="CF694" i="9"/>
  <c r="CD694" i="9"/>
  <c r="AS694" i="9"/>
  <c r="CG693" i="9"/>
  <c r="CF693" i="9"/>
  <c r="CD693" i="9"/>
  <c r="CE693" i="9" s="1"/>
  <c r="AS693" i="9"/>
  <c r="CG692" i="9"/>
  <c r="CF692" i="9"/>
  <c r="CD692" i="9"/>
  <c r="AS692" i="9"/>
  <c r="CE692" i="9" s="1"/>
  <c r="F692" i="9"/>
  <c r="CG691" i="9"/>
  <c r="CF691" i="9"/>
  <c r="CD691" i="9"/>
  <c r="AS691" i="9"/>
  <c r="F691" i="9"/>
  <c r="CG690" i="9"/>
  <c r="CF690" i="9"/>
  <c r="CD690" i="9"/>
  <c r="AS690" i="9"/>
  <c r="CG689" i="9"/>
  <c r="CF689" i="9"/>
  <c r="AU689" i="9"/>
  <c r="CD689" i="9" s="1"/>
  <c r="AS689" i="9"/>
  <c r="CG688" i="9"/>
  <c r="CF688" i="9"/>
  <c r="CD688" i="9"/>
  <c r="CE688" i="9" s="1"/>
  <c r="AS688" i="9"/>
  <c r="F688" i="9"/>
  <c r="CG687" i="9"/>
  <c r="CF687" i="9"/>
  <c r="CD687" i="9"/>
  <c r="AS687" i="9"/>
  <c r="B687" i="9"/>
  <c r="CG686" i="9"/>
  <c r="CF686" i="9"/>
  <c r="CD686" i="9"/>
  <c r="AS686" i="9"/>
  <c r="CG685" i="9"/>
  <c r="CF685" i="9"/>
  <c r="CD685" i="9"/>
  <c r="AS685" i="9"/>
  <c r="CG684" i="9"/>
  <c r="CF684" i="9"/>
  <c r="AU684" i="9"/>
  <c r="AS684" i="9"/>
  <c r="CG683" i="9"/>
  <c r="CF683" i="9"/>
  <c r="CD683" i="9"/>
  <c r="AS683" i="9"/>
  <c r="CE683" i="9" s="1"/>
  <c r="CG682" i="9"/>
  <c r="CF682" i="9"/>
  <c r="CD682" i="9"/>
  <c r="AS682" i="9"/>
  <c r="CG681" i="9"/>
  <c r="CF681" i="9"/>
  <c r="CD681" i="9"/>
  <c r="AS681" i="9"/>
  <c r="CE681" i="9" s="1"/>
  <c r="CG680" i="9"/>
  <c r="CF680" i="9"/>
  <c r="CD680" i="9"/>
  <c r="AS680" i="9"/>
  <c r="CG679" i="9"/>
  <c r="CF679" i="9"/>
  <c r="CD679" i="9"/>
  <c r="AU679" i="9"/>
  <c r="AS679" i="9"/>
  <c r="CG678" i="9"/>
  <c r="CF678" i="9"/>
  <c r="CD678" i="9"/>
  <c r="AS678" i="9"/>
  <c r="CG677" i="9"/>
  <c r="CF677" i="9"/>
  <c r="CD677" i="9"/>
  <c r="AS677" i="9"/>
  <c r="CG676" i="9"/>
  <c r="CF676" i="9"/>
  <c r="AV676" i="9"/>
  <c r="CD676" i="9" s="1"/>
  <c r="AU676" i="9"/>
  <c r="AS676" i="9"/>
  <c r="CG675" i="9"/>
  <c r="CF675" i="9"/>
  <c r="AU675" i="9"/>
  <c r="AV675" i="9" s="1"/>
  <c r="CD675" i="9" s="1"/>
  <c r="AS675" i="9"/>
  <c r="CG674" i="9"/>
  <c r="CF674" i="9"/>
  <c r="AV674" i="9"/>
  <c r="AU674" i="9"/>
  <c r="CD674" i="9" s="1"/>
  <c r="AS674" i="9"/>
  <c r="CG673" i="9"/>
  <c r="CF673" i="9"/>
  <c r="AU673" i="9"/>
  <c r="AS673" i="9"/>
  <c r="CG672" i="9"/>
  <c r="CF672" i="9"/>
  <c r="CD672" i="9"/>
  <c r="AS672" i="9"/>
  <c r="CG671" i="9"/>
  <c r="CF671" i="9"/>
  <c r="CD671" i="9"/>
  <c r="AS671" i="9"/>
  <c r="CG670" i="9"/>
  <c r="CF670" i="9"/>
  <c r="CD670" i="9"/>
  <c r="AS670" i="9"/>
  <c r="CG669" i="9"/>
  <c r="CF669" i="9"/>
  <c r="CD669" i="9"/>
  <c r="AS669" i="9"/>
  <c r="CG668" i="9"/>
  <c r="CF668" i="9"/>
  <c r="CD668" i="9"/>
  <c r="CE668" i="9" s="1"/>
  <c r="AS668" i="9"/>
  <c r="CG667" i="9"/>
  <c r="CF667" i="9"/>
  <c r="CD667" i="9"/>
  <c r="AS667" i="9"/>
  <c r="CG666" i="9"/>
  <c r="CF666" i="9"/>
  <c r="CD666" i="9"/>
  <c r="AS666" i="9"/>
  <c r="CG665" i="9"/>
  <c r="CF665" i="9"/>
  <c r="CD665" i="9"/>
  <c r="AS665" i="9"/>
  <c r="CG664" i="9"/>
  <c r="CF664" i="9"/>
  <c r="CD664" i="9"/>
  <c r="AS664" i="9"/>
  <c r="CG663" i="9"/>
  <c r="CF663" i="9"/>
  <c r="CD663" i="9"/>
  <c r="AS663" i="9"/>
  <c r="CG662" i="9"/>
  <c r="CF662" i="9"/>
  <c r="CD662" i="9"/>
  <c r="AS662" i="9"/>
  <c r="CG661" i="9"/>
  <c r="CF661" i="9"/>
  <c r="CD661" i="9"/>
  <c r="AS661" i="9"/>
  <c r="CG660" i="9"/>
  <c r="CF660" i="9"/>
  <c r="CD660" i="9"/>
  <c r="AS660" i="9"/>
  <c r="CG659" i="9"/>
  <c r="CF659" i="9"/>
  <c r="CD659" i="9"/>
  <c r="AS659" i="9"/>
  <c r="CG658" i="9"/>
  <c r="CF658" i="9"/>
  <c r="CD658" i="9"/>
  <c r="AS658" i="9"/>
  <c r="CG657" i="9"/>
  <c r="CF657" i="9"/>
  <c r="CD657" i="9"/>
  <c r="AS657" i="9"/>
  <c r="CG656" i="9"/>
  <c r="CF656" i="9"/>
  <c r="CD656" i="9"/>
  <c r="AS656" i="9"/>
  <c r="CG655" i="9"/>
  <c r="CF655" i="9"/>
  <c r="CD655" i="9"/>
  <c r="AS655" i="9"/>
  <c r="CG654" i="9"/>
  <c r="CF654" i="9"/>
  <c r="CD654" i="9"/>
  <c r="AS654" i="9"/>
  <c r="CG653" i="9"/>
  <c r="CF653" i="9"/>
  <c r="CD653" i="9"/>
  <c r="AS653" i="9"/>
  <c r="CG652" i="9"/>
  <c r="CF652" i="9"/>
  <c r="CD652" i="9"/>
  <c r="CE652" i="9" s="1"/>
  <c r="AS652" i="9"/>
  <c r="CG651" i="9"/>
  <c r="CF651" i="9"/>
  <c r="CD651" i="9"/>
  <c r="AU651" i="9"/>
  <c r="AS651" i="9"/>
  <c r="CG650" i="9"/>
  <c r="CF650" i="9"/>
  <c r="AU650" i="9"/>
  <c r="CD650" i="9" s="1"/>
  <c r="AS650" i="9"/>
  <c r="CG649" i="9"/>
  <c r="CF649" i="9"/>
  <c r="AU649" i="9"/>
  <c r="CD649" i="9" s="1"/>
  <c r="AS649" i="9"/>
  <c r="CG648" i="9"/>
  <c r="CF648" i="9"/>
  <c r="CD648" i="9"/>
  <c r="AU648" i="9"/>
  <c r="AS648" i="9"/>
  <c r="CG647" i="9"/>
  <c r="CF647" i="9"/>
  <c r="BJ647" i="9"/>
  <c r="BI647" i="9"/>
  <c r="AS647" i="9"/>
  <c r="CG646" i="9"/>
  <c r="CF646" i="9"/>
  <c r="BI646" i="9"/>
  <c r="CD646" i="9" s="1"/>
  <c r="AS646" i="9"/>
  <c r="CG645" i="9"/>
  <c r="CF645" i="9"/>
  <c r="BI645" i="9"/>
  <c r="AU645" i="9"/>
  <c r="AS645" i="9"/>
  <c r="CG644" i="9"/>
  <c r="CF644" i="9"/>
  <c r="BI644" i="9"/>
  <c r="AU644" i="9"/>
  <c r="AS644" i="9"/>
  <c r="CP643" i="9"/>
  <c r="CP1212" i="9" s="1"/>
  <c r="CO643" i="9"/>
  <c r="CO1212" i="9" s="1"/>
  <c r="CN643" i="9"/>
  <c r="CN1212" i="9" s="1"/>
  <c r="CM643" i="9"/>
  <c r="CM1212" i="9" s="1"/>
  <c r="CL643" i="9"/>
  <c r="CK643" i="9"/>
  <c r="CJ643" i="9"/>
  <c r="CI643" i="9"/>
  <c r="CH643" i="9"/>
  <c r="CG643" i="9"/>
  <c r="CF643" i="9"/>
  <c r="CC643" i="9"/>
  <c r="CB643" i="9"/>
  <c r="CA643" i="9"/>
  <c r="BZ643" i="9"/>
  <c r="BY643" i="9"/>
  <c r="BX643" i="9"/>
  <c r="BW643" i="9"/>
  <c r="BV643" i="9"/>
  <c r="BU643" i="9"/>
  <c r="BT643" i="9"/>
  <c r="BS643" i="9"/>
  <c r="BR643" i="9"/>
  <c r="BQ643" i="9"/>
  <c r="BP643" i="9"/>
  <c r="BO643" i="9"/>
  <c r="BN643" i="9"/>
  <c r="BM643" i="9"/>
  <c r="BL643" i="9"/>
  <c r="BK643" i="9"/>
  <c r="BJ643" i="9"/>
  <c r="BH643" i="9"/>
  <c r="BG643" i="9"/>
  <c r="BF643" i="9"/>
  <c r="BE643" i="9"/>
  <c r="BD643" i="9"/>
  <c r="BC643" i="9"/>
  <c r="BB643" i="9"/>
  <c r="BA643" i="9"/>
  <c r="AZ643" i="9"/>
  <c r="AY643" i="9"/>
  <c r="AX643" i="9"/>
  <c r="AW643" i="9"/>
  <c r="AT643" i="9"/>
  <c r="AR643" i="9"/>
  <c r="AQ643" i="9"/>
  <c r="AP643" i="9"/>
  <c r="AN643" i="9"/>
  <c r="AM643" i="9"/>
  <c r="AL643" i="9"/>
  <c r="AK643" i="9"/>
  <c r="AJ643" i="9"/>
  <c r="AI643" i="9"/>
  <c r="AH643" i="9"/>
  <c r="AG643" i="9"/>
  <c r="AF643" i="9"/>
  <c r="AE643" i="9"/>
  <c r="AD643" i="9"/>
  <c r="AC643" i="9"/>
  <c r="AB643" i="9"/>
  <c r="AA643" i="9"/>
  <c r="Z643" i="9"/>
  <c r="Y643" i="9"/>
  <c r="X643" i="9"/>
  <c r="W643" i="9"/>
  <c r="V643" i="9"/>
  <c r="U643" i="9"/>
  <c r="T643" i="9"/>
  <c r="S643" i="9"/>
  <c r="R643" i="9"/>
  <c r="Q643" i="9"/>
  <c r="P643" i="9"/>
  <c r="O643" i="9"/>
  <c r="N643" i="9"/>
  <c r="M643" i="9"/>
  <c r="L643" i="9"/>
  <c r="K643" i="9"/>
  <c r="J643" i="9"/>
  <c r="I643" i="9"/>
  <c r="H643" i="9"/>
  <c r="CG642" i="9"/>
  <c r="CF642" i="9"/>
  <c r="CD642" i="9"/>
  <c r="AS642" i="9"/>
  <c r="CG641" i="9"/>
  <c r="CF641" i="9"/>
  <c r="CD641" i="9"/>
  <c r="AS641" i="9"/>
  <c r="CG640" i="9"/>
  <c r="CF640" i="9"/>
  <c r="CD640" i="9"/>
  <c r="AS640" i="9"/>
  <c r="CG639" i="9"/>
  <c r="CF639" i="9"/>
  <c r="CD639" i="9"/>
  <c r="AS639" i="9"/>
  <c r="CG638" i="9"/>
  <c r="CF638" i="9"/>
  <c r="CD638" i="9"/>
  <c r="AS638" i="9"/>
  <c r="CG637" i="9"/>
  <c r="CF637" i="9"/>
  <c r="CD637" i="9"/>
  <c r="AS637" i="9"/>
  <c r="CG636" i="9"/>
  <c r="CF636" i="9"/>
  <c r="CD636" i="9"/>
  <c r="AS636" i="9"/>
  <c r="CG635" i="9"/>
  <c r="CF635" i="9"/>
  <c r="CD635" i="9"/>
  <c r="AS635" i="9"/>
  <c r="CG634" i="9"/>
  <c r="CF634" i="9"/>
  <c r="CD634" i="9"/>
  <c r="AS634" i="9"/>
  <c r="CG633" i="9"/>
  <c r="CF633" i="9"/>
  <c r="CD633" i="9"/>
  <c r="AS633" i="9"/>
  <c r="CG632" i="9"/>
  <c r="CF632" i="9"/>
  <c r="CD632" i="9"/>
  <c r="AS632" i="9"/>
  <c r="CG631" i="9"/>
  <c r="CF631" i="9"/>
  <c r="CD631" i="9"/>
  <c r="AS631" i="9"/>
  <c r="CG630" i="9"/>
  <c r="CF630" i="9"/>
  <c r="CD630" i="9"/>
  <c r="AS630" i="9"/>
  <c r="CG629" i="9"/>
  <c r="CF629" i="9"/>
  <c r="CD629" i="9"/>
  <c r="AS629" i="9"/>
  <c r="CG628" i="9"/>
  <c r="CF628" i="9"/>
  <c r="CD628" i="9"/>
  <c r="AS628" i="9"/>
  <c r="CG627" i="9"/>
  <c r="CF627" i="9"/>
  <c r="CD627" i="9"/>
  <c r="AS627" i="9"/>
  <c r="CG626" i="9"/>
  <c r="CF626" i="9"/>
  <c r="CD626" i="9"/>
  <c r="AS626" i="9"/>
  <c r="CG625" i="9"/>
  <c r="CF625" i="9"/>
  <c r="CD625" i="9"/>
  <c r="AS625" i="9"/>
  <c r="CG624" i="9"/>
  <c r="CF624" i="9"/>
  <c r="CD624" i="9"/>
  <c r="AS624" i="9"/>
  <c r="CG623" i="9"/>
  <c r="CF623" i="9"/>
  <c r="CD623" i="9"/>
  <c r="AS623" i="9"/>
  <c r="CG622" i="9"/>
  <c r="CF622" i="9"/>
  <c r="CD622" i="9"/>
  <c r="AS622" i="9"/>
  <c r="CG621" i="9"/>
  <c r="CF621" i="9"/>
  <c r="CD621" i="9"/>
  <c r="AS621" i="9"/>
  <c r="CG620" i="9"/>
  <c r="CF620" i="9"/>
  <c r="CD620" i="9"/>
  <c r="AS620" i="9"/>
  <c r="CG619" i="9"/>
  <c r="CF619" i="9"/>
  <c r="CD619" i="9"/>
  <c r="AS619" i="9"/>
  <c r="CG618" i="9"/>
  <c r="CF618" i="9"/>
  <c r="CD618" i="9"/>
  <c r="AS618" i="9"/>
  <c r="CG617" i="9"/>
  <c r="CF617" i="9"/>
  <c r="CD617" i="9"/>
  <c r="AS617" i="9"/>
  <c r="CG616" i="9"/>
  <c r="CF616" i="9"/>
  <c r="CD616" i="9"/>
  <c r="AS616" i="9"/>
  <c r="F616" i="9"/>
  <c r="F620" i="9" s="1"/>
  <c r="F623" i="9" s="1"/>
  <c r="F624" i="9" s="1"/>
  <c r="F626" i="9" s="1"/>
  <c r="F631" i="9" s="1"/>
  <c r="F634" i="9" s="1"/>
  <c r="F638" i="9" s="1"/>
  <c r="CG615" i="9"/>
  <c r="CF615" i="9"/>
  <c r="CD615" i="9"/>
  <c r="AS615" i="9"/>
  <c r="CG614" i="9"/>
  <c r="CF614" i="9"/>
  <c r="CD614" i="9"/>
  <c r="AS614" i="9"/>
  <c r="CG613" i="9"/>
  <c r="CF613" i="9"/>
  <c r="CD613" i="9"/>
  <c r="AS613" i="9"/>
  <c r="CG612" i="9"/>
  <c r="CF612" i="9"/>
  <c r="CD612" i="9"/>
  <c r="AS612" i="9"/>
  <c r="CG611" i="9"/>
  <c r="CF611" i="9"/>
  <c r="CD611" i="9"/>
  <c r="AS611" i="9"/>
  <c r="F611" i="9"/>
  <c r="F613" i="9" s="1"/>
  <c r="F615" i="9" s="1"/>
  <c r="F619" i="9" s="1"/>
  <c r="F629" i="9" s="1"/>
  <c r="F630" i="9" s="1"/>
  <c r="F637" i="9" s="1"/>
  <c r="CG610" i="9"/>
  <c r="CF610" i="9"/>
  <c r="CD610" i="9"/>
  <c r="AS610" i="9"/>
  <c r="F610" i="9"/>
  <c r="F612" i="9" s="1"/>
  <c r="F614" i="9" s="1"/>
  <c r="CG609" i="9"/>
  <c r="CF609" i="9"/>
  <c r="CD609" i="9"/>
  <c r="AS609" i="9"/>
  <c r="F609" i="9"/>
  <c r="F617" i="9" s="1"/>
  <c r="F621" i="9" s="1"/>
  <c r="F622" i="9" s="1"/>
  <c r="F625" i="9" s="1"/>
  <c r="F627" i="9" s="1"/>
  <c r="F632" i="9" s="1"/>
  <c r="F635" i="9" s="1"/>
  <c r="F639" i="9" s="1"/>
  <c r="CG608" i="9"/>
  <c r="CF608" i="9"/>
  <c r="CD608" i="9"/>
  <c r="AS608" i="9"/>
  <c r="CG607" i="9"/>
  <c r="CF607" i="9"/>
  <c r="CD607" i="9"/>
  <c r="AS607" i="9"/>
  <c r="CG606" i="9"/>
  <c r="CF606" i="9"/>
  <c r="CD606" i="9"/>
  <c r="AS606" i="9"/>
  <c r="CG605" i="9"/>
  <c r="CF605" i="9"/>
  <c r="CD605" i="9"/>
  <c r="AS605" i="9"/>
  <c r="CG604" i="9"/>
  <c r="CF604" i="9"/>
  <c r="CD604" i="9"/>
  <c r="AS604" i="9"/>
  <c r="CG603" i="9"/>
  <c r="CF603" i="9"/>
  <c r="CD603" i="9"/>
  <c r="AS603" i="9"/>
  <c r="CG602" i="9"/>
  <c r="CF602" i="9"/>
  <c r="CD602" i="9"/>
  <c r="AS602" i="9"/>
  <c r="CG601" i="9"/>
  <c r="CF601" i="9"/>
  <c r="CD601" i="9"/>
  <c r="AS601" i="9"/>
  <c r="CG600" i="9"/>
  <c r="CF600" i="9"/>
  <c r="CD600" i="9"/>
  <c r="BI600" i="9"/>
  <c r="AU600" i="9"/>
  <c r="AS600" i="9"/>
  <c r="CG599" i="9"/>
  <c r="CF599" i="9"/>
  <c r="AU599" i="9"/>
  <c r="CD599" i="9" s="1"/>
  <c r="AS599" i="9"/>
  <c r="CG598" i="9"/>
  <c r="CF598" i="9"/>
  <c r="CD598" i="9"/>
  <c r="AS598" i="9"/>
  <c r="CG597" i="9"/>
  <c r="CF597" i="9"/>
  <c r="BI597" i="9"/>
  <c r="AS597" i="9"/>
  <c r="CF596" i="9"/>
  <c r="CG595" i="9"/>
  <c r="CF595" i="9"/>
  <c r="CD595" i="9"/>
  <c r="CE595" i="9" s="1"/>
  <c r="AS595" i="9"/>
  <c r="CG594" i="9"/>
  <c r="CF594" i="9"/>
  <c r="CD594" i="9"/>
  <c r="AS594" i="9"/>
  <c r="CE594" i="9" s="1"/>
  <c r="CG593" i="9"/>
  <c r="CF593" i="9"/>
  <c r="CD593" i="9"/>
  <c r="AS593" i="9"/>
  <c r="CG592" i="9"/>
  <c r="CF592" i="9"/>
  <c r="CD592" i="9"/>
  <c r="AS592" i="9"/>
  <c r="CG591" i="9"/>
  <c r="CF591" i="9"/>
  <c r="CD591" i="9"/>
  <c r="AS591" i="9"/>
  <c r="CG590" i="9"/>
  <c r="CF590" i="9"/>
  <c r="CD590" i="9"/>
  <c r="AS590" i="9"/>
  <c r="CE590" i="9" s="1"/>
  <c r="CG589" i="9"/>
  <c r="CF589" i="9"/>
  <c r="CD589" i="9"/>
  <c r="AS589" i="9"/>
  <c r="CG588" i="9"/>
  <c r="CF588" i="9"/>
  <c r="CD588" i="9"/>
  <c r="AS588" i="9"/>
  <c r="CG587" i="9"/>
  <c r="CF587" i="9"/>
  <c r="CD587" i="9"/>
  <c r="AS587" i="9"/>
  <c r="CG586" i="9"/>
  <c r="CF586" i="9"/>
  <c r="CD586" i="9"/>
  <c r="AS586" i="9"/>
  <c r="CE586" i="9" s="1"/>
  <c r="CG585" i="9"/>
  <c r="CF585" i="9"/>
  <c r="CD585" i="9"/>
  <c r="AS585" i="9"/>
  <c r="CG584" i="9"/>
  <c r="CF584" i="9"/>
  <c r="CD584" i="9"/>
  <c r="AS584" i="9"/>
  <c r="CG583" i="9"/>
  <c r="CF583" i="9"/>
  <c r="CD583" i="9"/>
  <c r="AS583" i="9"/>
  <c r="CG582" i="9"/>
  <c r="CF582" i="9"/>
  <c r="CD582" i="9"/>
  <c r="AS582" i="9"/>
  <c r="CG581" i="9"/>
  <c r="CF581" i="9"/>
  <c r="CD581" i="9"/>
  <c r="AS581" i="9"/>
  <c r="CG580" i="9"/>
  <c r="CF580" i="9"/>
  <c r="CD580" i="9"/>
  <c r="AS580" i="9"/>
  <c r="CG579" i="9"/>
  <c r="CF579" i="9"/>
  <c r="AU579" i="9"/>
  <c r="AS579" i="9"/>
  <c r="CG578" i="9"/>
  <c r="CF578" i="9"/>
  <c r="CD578" i="9"/>
  <c r="AS578" i="9"/>
  <c r="CG577" i="9"/>
  <c r="CF577" i="9"/>
  <c r="CD577" i="9"/>
  <c r="AS577" i="9"/>
  <c r="CG576" i="9"/>
  <c r="CF576" i="9"/>
  <c r="CD576" i="9"/>
  <c r="AS576" i="9"/>
  <c r="CG575" i="9"/>
  <c r="CF575" i="9"/>
  <c r="CD575" i="9"/>
  <c r="AS575" i="9"/>
  <c r="CG574" i="9"/>
  <c r="CF574" i="9"/>
  <c r="CD574" i="9"/>
  <c r="AS574" i="9"/>
  <c r="CG573" i="9"/>
  <c r="CF573" i="9"/>
  <c r="CD573" i="9"/>
  <c r="AS573" i="9"/>
  <c r="CG572" i="9"/>
  <c r="CF572" i="9"/>
  <c r="CD572" i="9"/>
  <c r="AS572" i="9"/>
  <c r="CG571" i="9"/>
  <c r="CF571" i="9"/>
  <c r="CD571" i="9"/>
  <c r="AS571" i="9"/>
  <c r="CG570" i="9"/>
  <c r="CF570" i="9"/>
  <c r="CD570" i="9"/>
  <c r="AS570" i="9"/>
  <c r="CG569" i="9"/>
  <c r="CF569" i="9"/>
  <c r="CD569" i="9"/>
  <c r="AS569" i="9"/>
  <c r="CG568" i="9"/>
  <c r="CF568" i="9"/>
  <c r="CD568" i="9"/>
  <c r="AS568" i="9"/>
  <c r="CG567" i="9"/>
  <c r="CF567" i="9"/>
  <c r="AU567" i="9"/>
  <c r="CD567" i="9" s="1"/>
  <c r="AS567" i="9"/>
  <c r="CG566" i="9"/>
  <c r="CF566" i="9"/>
  <c r="CD566" i="9"/>
  <c r="AS566" i="9"/>
  <c r="CG565" i="9"/>
  <c r="CF565" i="9"/>
  <c r="CD565" i="9"/>
  <c r="AS565" i="9"/>
  <c r="CG564" i="9"/>
  <c r="CF564" i="9"/>
  <c r="CD564" i="9"/>
  <c r="AS564" i="9"/>
  <c r="F564" i="9"/>
  <c r="F565" i="9" s="1"/>
  <c r="F566" i="9" s="1"/>
  <c r="CG563" i="9"/>
  <c r="CF563" i="9"/>
  <c r="CD563" i="9"/>
  <c r="AS563" i="9"/>
  <c r="CG562" i="9"/>
  <c r="CF562" i="9"/>
  <c r="CD562" i="9"/>
  <c r="AS562" i="9"/>
  <c r="CG561" i="9"/>
  <c r="CF561" i="9"/>
  <c r="AV561" i="9"/>
  <c r="AU561" i="9"/>
  <c r="CD561" i="9" s="1"/>
  <c r="CE561" i="9" s="1"/>
  <c r="AS561" i="9"/>
  <c r="CG560" i="9"/>
  <c r="CF560" i="9"/>
  <c r="CD560" i="9"/>
  <c r="CE560" i="9" s="1"/>
  <c r="AS560" i="9"/>
  <c r="CG559" i="9"/>
  <c r="CF559" i="9"/>
  <c r="CD559" i="9"/>
  <c r="CE559" i="9" s="1"/>
  <c r="AS559" i="9"/>
  <c r="CG558" i="9"/>
  <c r="CF558" i="9"/>
  <c r="CE558" i="9"/>
  <c r="CD558" i="9"/>
  <c r="AS558" i="9"/>
  <c r="CG557" i="9"/>
  <c r="CF557" i="9"/>
  <c r="CD557" i="9"/>
  <c r="AS557" i="9"/>
  <c r="CG556" i="9"/>
  <c r="CF556" i="9"/>
  <c r="CD556" i="9"/>
  <c r="AS556" i="9"/>
  <c r="CG555" i="9"/>
  <c r="CF555" i="9"/>
  <c r="CD555" i="9"/>
  <c r="AS555" i="9"/>
  <c r="CG554" i="9"/>
  <c r="CF554" i="9"/>
  <c r="CD554" i="9"/>
  <c r="AS554" i="9"/>
  <c r="CE554" i="9" s="1"/>
  <c r="CG553" i="9"/>
  <c r="CF553" i="9"/>
  <c r="CD553" i="9"/>
  <c r="AS553" i="9"/>
  <c r="CG552" i="9"/>
  <c r="CF552" i="9"/>
  <c r="CD552" i="9"/>
  <c r="AS552" i="9"/>
  <c r="CG551" i="9"/>
  <c r="CF551" i="9"/>
  <c r="CD551" i="9"/>
  <c r="AS551" i="9"/>
  <c r="CG550" i="9"/>
  <c r="CF550" i="9"/>
  <c r="CD550" i="9"/>
  <c r="AS550" i="9"/>
  <c r="CE550" i="9" s="1"/>
  <c r="F550" i="9"/>
  <c r="CG549" i="9"/>
  <c r="CF549" i="9"/>
  <c r="CD549" i="9"/>
  <c r="AS549" i="9"/>
  <c r="CG548" i="9"/>
  <c r="CF548" i="9"/>
  <c r="CD548" i="9"/>
  <c r="AS548" i="9"/>
  <c r="CE548" i="9" s="1"/>
  <c r="CG547" i="9"/>
  <c r="CF547" i="9"/>
  <c r="CD547" i="9"/>
  <c r="AS547" i="9"/>
  <c r="CE547" i="9" s="1"/>
  <c r="CG546" i="9"/>
  <c r="CF546" i="9"/>
  <c r="CD546" i="9"/>
  <c r="AS546" i="9"/>
  <c r="CG545" i="9"/>
  <c r="CF545" i="9"/>
  <c r="CD545" i="9"/>
  <c r="AS545" i="9"/>
  <c r="CG544" i="9"/>
  <c r="CF544" i="9"/>
  <c r="CD544" i="9"/>
  <c r="AS544" i="9"/>
  <c r="CG543" i="9"/>
  <c r="CF543" i="9"/>
  <c r="CD543" i="9"/>
  <c r="AS543" i="9"/>
  <c r="CJ542" i="9"/>
  <c r="CI542" i="9"/>
  <c r="CH542" i="9"/>
  <c r="CC542" i="9"/>
  <c r="CB542" i="9"/>
  <c r="CA542" i="9"/>
  <c r="BZ542" i="9"/>
  <c r="BY542" i="9"/>
  <c r="BX542" i="9"/>
  <c r="BW542" i="9"/>
  <c r="BV542" i="9"/>
  <c r="BU542" i="9"/>
  <c r="BT542" i="9"/>
  <c r="BS542" i="9"/>
  <c r="BR542" i="9"/>
  <c r="BQ542" i="9"/>
  <c r="BP542" i="9"/>
  <c r="BO542" i="9"/>
  <c r="BN542" i="9"/>
  <c r="BM542" i="9"/>
  <c r="BL542" i="9"/>
  <c r="BK542" i="9"/>
  <c r="BJ542" i="9"/>
  <c r="BI542" i="9"/>
  <c r="BH542" i="9"/>
  <c r="BG542" i="9"/>
  <c r="BF542" i="9"/>
  <c r="BE542" i="9"/>
  <c r="BD542" i="9"/>
  <c r="BC542" i="9"/>
  <c r="BB542" i="9"/>
  <c r="BA542" i="9"/>
  <c r="AZ542" i="9"/>
  <c r="AY542" i="9"/>
  <c r="AX542" i="9"/>
  <c r="AW542" i="9"/>
  <c r="AT542" i="9"/>
  <c r="AR542" i="9"/>
  <c r="AQ542" i="9"/>
  <c r="AP542" i="9"/>
  <c r="AN542" i="9"/>
  <c r="AM542" i="9"/>
  <c r="AL542" i="9"/>
  <c r="AK542" i="9"/>
  <c r="AJ542" i="9"/>
  <c r="AI542" i="9"/>
  <c r="AH542" i="9"/>
  <c r="AG542" i="9"/>
  <c r="AF542" i="9"/>
  <c r="AE542" i="9"/>
  <c r="AD542" i="9"/>
  <c r="AC542" i="9"/>
  <c r="AB542" i="9"/>
  <c r="AA542" i="9"/>
  <c r="Z542" i="9"/>
  <c r="Y542" i="9"/>
  <c r="X542" i="9"/>
  <c r="W542" i="9"/>
  <c r="V542" i="9"/>
  <c r="U542" i="9"/>
  <c r="T542" i="9"/>
  <c r="S542" i="9"/>
  <c r="R542" i="9"/>
  <c r="Q542" i="9"/>
  <c r="P542" i="9"/>
  <c r="O542" i="9"/>
  <c r="N542" i="9"/>
  <c r="M542" i="9"/>
  <c r="L542" i="9"/>
  <c r="K542" i="9"/>
  <c r="J542" i="9"/>
  <c r="I542" i="9"/>
  <c r="H542" i="9"/>
  <c r="CG541" i="9"/>
  <c r="CF541" i="9"/>
  <c r="CD541" i="9"/>
  <c r="AS541" i="9"/>
  <c r="CG540" i="9"/>
  <c r="CF540" i="9"/>
  <c r="CD540" i="9"/>
  <c r="AS540" i="9"/>
  <c r="CG539" i="9"/>
  <c r="CF539" i="9"/>
  <c r="CD539" i="9"/>
  <c r="AS539" i="9"/>
  <c r="CG538" i="9"/>
  <c r="CF538" i="9"/>
  <c r="CD538" i="9"/>
  <c r="AS538" i="9"/>
  <c r="CG537" i="9"/>
  <c r="CF537" i="9"/>
  <c r="CD537" i="9"/>
  <c r="AS537" i="9"/>
  <c r="CG536" i="9"/>
  <c r="CF536" i="9"/>
  <c r="CD536" i="9"/>
  <c r="CE536" i="9" s="1"/>
  <c r="AS536" i="9"/>
  <c r="CG535" i="9"/>
  <c r="CF535" i="9"/>
  <c r="CD535" i="9"/>
  <c r="AS535" i="9"/>
  <c r="CG534" i="9"/>
  <c r="CF534" i="9"/>
  <c r="CD534" i="9"/>
  <c r="AS534" i="9"/>
  <c r="CG533" i="9"/>
  <c r="CF533" i="9"/>
  <c r="CD533" i="9"/>
  <c r="AS533" i="9"/>
  <c r="CG532" i="9"/>
  <c r="CF532" i="9"/>
  <c r="AU532" i="9"/>
  <c r="CD532" i="9" s="1"/>
  <c r="CE532" i="9" s="1"/>
  <c r="AS532" i="9"/>
  <c r="CG531" i="9"/>
  <c r="CF531" i="9"/>
  <c r="CD531" i="9"/>
  <c r="CE531" i="9" s="1"/>
  <c r="AS531" i="9"/>
  <c r="CG530" i="9"/>
  <c r="CF530" i="9"/>
  <c r="CD530" i="9"/>
  <c r="CE530" i="9" s="1"/>
  <c r="AS530" i="9"/>
  <c r="CG529" i="9"/>
  <c r="CF529" i="9"/>
  <c r="CE529" i="9"/>
  <c r="CD529" i="9"/>
  <c r="AS529" i="9"/>
  <c r="CG528" i="9"/>
  <c r="CF528" i="9"/>
  <c r="CD528" i="9"/>
  <c r="AS528" i="9"/>
  <c r="CG527" i="9"/>
  <c r="CF527" i="9"/>
  <c r="CD527" i="9"/>
  <c r="AS527" i="9"/>
  <c r="CG526" i="9"/>
  <c r="CF526" i="9"/>
  <c r="CD526" i="9"/>
  <c r="AS526" i="9"/>
  <c r="CG525" i="9"/>
  <c r="CF525" i="9"/>
  <c r="CD525" i="9"/>
  <c r="AS525" i="9"/>
  <c r="CG524" i="9"/>
  <c r="CF524" i="9"/>
  <c r="CD524" i="9"/>
  <c r="AS524" i="9"/>
  <c r="CG523" i="9"/>
  <c r="CF523" i="9"/>
  <c r="CD523" i="9"/>
  <c r="AS523" i="9"/>
  <c r="CG522" i="9"/>
  <c r="CF522" i="9"/>
  <c r="CD522" i="9"/>
  <c r="AS522" i="9"/>
  <c r="CG521" i="9"/>
  <c r="CF521" i="9"/>
  <c r="CD521" i="9"/>
  <c r="CE521" i="9" s="1"/>
  <c r="AS521" i="9"/>
  <c r="CG520" i="9"/>
  <c r="CF520" i="9"/>
  <c r="CD520" i="9"/>
  <c r="CE520" i="9" s="1"/>
  <c r="AS520" i="9"/>
  <c r="CG519" i="9"/>
  <c r="CF519" i="9"/>
  <c r="CD519" i="9"/>
  <c r="CE519" i="9" s="1"/>
  <c r="AS519" i="9"/>
  <c r="CG518" i="9"/>
  <c r="CF518" i="9"/>
  <c r="CD518" i="9"/>
  <c r="CE518" i="9" s="1"/>
  <c r="AS518" i="9"/>
  <c r="CG517" i="9"/>
  <c r="CF517" i="9"/>
  <c r="CD517" i="9"/>
  <c r="AS517" i="9"/>
  <c r="CE517" i="9" s="1"/>
  <c r="CG516" i="9"/>
  <c r="CF516" i="9"/>
  <c r="CD516" i="9"/>
  <c r="AS516" i="9"/>
  <c r="CG515" i="9"/>
  <c r="CF515" i="9"/>
  <c r="CD515" i="9"/>
  <c r="AS515" i="9"/>
  <c r="CG514" i="9"/>
  <c r="CF514" i="9"/>
  <c r="CD514" i="9"/>
  <c r="AS514" i="9"/>
  <c r="CG513" i="9"/>
  <c r="CF513" i="9"/>
  <c r="CD513" i="9"/>
  <c r="AS513" i="9"/>
  <c r="CG512" i="9"/>
  <c r="CF512" i="9"/>
  <c r="CD512" i="9"/>
  <c r="AS512" i="9"/>
  <c r="CG511" i="9"/>
  <c r="CF511" i="9"/>
  <c r="CD511" i="9"/>
  <c r="AS511" i="9"/>
  <c r="CG510" i="9"/>
  <c r="CF510" i="9"/>
  <c r="CD510" i="9"/>
  <c r="AS510" i="9"/>
  <c r="CG509" i="9"/>
  <c r="CF509" i="9"/>
  <c r="CD509" i="9"/>
  <c r="AS509" i="9"/>
  <c r="CG508" i="9"/>
  <c r="CF508" i="9"/>
  <c r="CD508" i="9"/>
  <c r="AS508" i="9"/>
  <c r="CG507" i="9"/>
  <c r="CF507" i="9"/>
  <c r="CD507" i="9"/>
  <c r="AS507" i="9"/>
  <c r="CG506" i="9"/>
  <c r="CF506" i="9"/>
  <c r="CD506" i="9"/>
  <c r="AS506" i="9"/>
  <c r="CG505" i="9"/>
  <c r="CF505" i="9"/>
  <c r="CD505" i="9"/>
  <c r="AS505" i="9"/>
  <c r="CG504" i="9"/>
  <c r="CF504" i="9"/>
  <c r="CD504" i="9"/>
  <c r="AS504" i="9"/>
  <c r="CG503" i="9"/>
  <c r="CF503" i="9"/>
  <c r="CD503" i="9"/>
  <c r="AS503" i="9"/>
  <c r="CG502" i="9"/>
  <c r="CF502" i="9"/>
  <c r="CD502" i="9"/>
  <c r="CE502" i="9" s="1"/>
  <c r="AS502" i="9"/>
  <c r="CG501" i="9"/>
  <c r="CF501" i="9"/>
  <c r="CE501" i="9"/>
  <c r="CD501" i="9"/>
  <c r="AS501" i="9"/>
  <c r="CG500" i="9"/>
  <c r="CF500" i="9"/>
  <c r="CD500" i="9"/>
  <c r="AS500" i="9"/>
  <c r="CG499" i="9"/>
  <c r="CF499" i="9"/>
  <c r="CD499" i="9"/>
  <c r="AS499" i="9"/>
  <c r="CG498" i="9"/>
  <c r="CF498" i="9"/>
  <c r="CD498" i="9"/>
  <c r="AS498" i="9"/>
  <c r="CG497" i="9"/>
  <c r="CF497" i="9"/>
  <c r="CD497" i="9"/>
  <c r="AS497" i="9"/>
  <c r="CG496" i="9"/>
  <c r="CF496" i="9"/>
  <c r="CD496" i="9"/>
  <c r="AS496" i="9"/>
  <c r="CG495" i="9"/>
  <c r="CF495" i="9"/>
  <c r="CD495" i="9"/>
  <c r="AS495" i="9"/>
  <c r="CG494" i="9"/>
  <c r="CF494" i="9"/>
  <c r="CD494" i="9"/>
  <c r="AS494" i="9"/>
  <c r="CG493" i="9"/>
  <c r="CF493" i="9"/>
  <c r="CD493" i="9"/>
  <c r="AS493" i="9"/>
  <c r="CG492" i="9"/>
  <c r="CF492" i="9"/>
  <c r="CD492" i="9"/>
  <c r="AS492" i="9"/>
  <c r="CG491" i="9"/>
  <c r="CF491" i="9"/>
  <c r="CD491" i="9"/>
  <c r="AS491" i="9"/>
  <c r="CG490" i="9"/>
  <c r="CF490" i="9"/>
  <c r="CD490" i="9"/>
  <c r="AS490" i="9"/>
  <c r="CG489" i="9"/>
  <c r="CF489" i="9"/>
  <c r="CD489" i="9"/>
  <c r="AS489" i="9"/>
  <c r="CG488" i="9"/>
  <c r="CF488" i="9"/>
  <c r="AV488" i="9"/>
  <c r="AU488" i="9"/>
  <c r="AS488" i="9"/>
  <c r="CG487" i="9"/>
  <c r="CF487" i="9"/>
  <c r="CD487" i="9"/>
  <c r="AS487" i="9"/>
  <c r="CE487" i="9" s="1"/>
  <c r="CG486" i="9"/>
  <c r="CF486" i="9"/>
  <c r="CD486" i="9"/>
  <c r="AS486" i="9"/>
  <c r="CG485" i="9"/>
  <c r="CF485" i="9"/>
  <c r="CD485" i="9"/>
  <c r="AS485" i="9"/>
  <c r="CG484" i="9"/>
  <c r="CF484" i="9"/>
  <c r="AV484" i="9"/>
  <c r="AU484" i="9"/>
  <c r="CD484" i="9" s="1"/>
  <c r="CE484" i="9" s="1"/>
  <c r="AS484" i="9"/>
  <c r="CG483" i="9"/>
  <c r="CF483" i="9"/>
  <c r="CD483" i="9"/>
  <c r="CE483" i="9" s="1"/>
  <c r="AS483" i="9"/>
  <c r="CG482" i="9"/>
  <c r="CF482" i="9"/>
  <c r="CE482" i="9"/>
  <c r="CD482" i="9"/>
  <c r="AS482" i="9"/>
  <c r="CG481" i="9"/>
  <c r="CF481" i="9"/>
  <c r="CD481" i="9"/>
  <c r="AS481" i="9"/>
  <c r="CG480" i="9"/>
  <c r="CF480" i="9"/>
  <c r="CD480" i="9"/>
  <c r="AS480" i="9"/>
  <c r="CG479" i="9"/>
  <c r="CF479" i="9"/>
  <c r="AV479" i="9"/>
  <c r="AU479" i="9"/>
  <c r="CD479" i="9" s="1"/>
  <c r="CE479" i="9" s="1"/>
  <c r="AS479" i="9"/>
  <c r="CG478" i="9"/>
  <c r="CF478" i="9"/>
  <c r="AV478" i="9"/>
  <c r="AU478" i="9"/>
  <c r="AS478" i="9"/>
  <c r="F478" i="9"/>
  <c r="F479" i="9" s="1"/>
  <c r="CG477" i="9"/>
  <c r="CF477" i="9"/>
  <c r="CE477" i="9"/>
  <c r="CD477" i="9"/>
  <c r="AS477" i="9"/>
  <c r="F477" i="9"/>
  <c r="F482" i="9" s="1"/>
  <c r="F483" i="9" s="1"/>
  <c r="CG476" i="9"/>
  <c r="CF476" i="9"/>
  <c r="CD476" i="9"/>
  <c r="AS476" i="9"/>
  <c r="CG475" i="9"/>
  <c r="CF475" i="9"/>
  <c r="CD475" i="9"/>
  <c r="AS475" i="9"/>
  <c r="CG474" i="9"/>
  <c r="CF474" i="9"/>
  <c r="CD474" i="9"/>
  <c r="AS474" i="9"/>
  <c r="CG473" i="9"/>
  <c r="CF473" i="9"/>
  <c r="CD473" i="9"/>
  <c r="AS473" i="9"/>
  <c r="CG472" i="9"/>
  <c r="CF472" i="9"/>
  <c r="AV472" i="9"/>
  <c r="AU472" i="9"/>
  <c r="CD472" i="9" s="1"/>
  <c r="AS472" i="9"/>
  <c r="CG471" i="9"/>
  <c r="CF471" i="9"/>
  <c r="CD471" i="9"/>
  <c r="AS471" i="9"/>
  <c r="CG470" i="9"/>
  <c r="CF470" i="9"/>
  <c r="CD470" i="9"/>
  <c r="AS470" i="9"/>
  <c r="CG469" i="9"/>
  <c r="CF469" i="9"/>
  <c r="CD469" i="9"/>
  <c r="AS469" i="9"/>
  <c r="CG468" i="9"/>
  <c r="CF468" i="9"/>
  <c r="CD468" i="9"/>
  <c r="AS468" i="9"/>
  <c r="CG467" i="9"/>
  <c r="CF467" i="9"/>
  <c r="CD467" i="9"/>
  <c r="AS467" i="9"/>
  <c r="CG466" i="9"/>
  <c r="CF466" i="9"/>
  <c r="CD466" i="9"/>
  <c r="AS466" i="9"/>
  <c r="CG465" i="9"/>
  <c r="CF465" i="9"/>
  <c r="AV465" i="9"/>
  <c r="AU465" i="9"/>
  <c r="CD465" i="9" s="1"/>
  <c r="AS465" i="9"/>
  <c r="CG464" i="9"/>
  <c r="CF464" i="9"/>
  <c r="CD464" i="9"/>
  <c r="AS464" i="9"/>
  <c r="CG463" i="9"/>
  <c r="CF463" i="9"/>
  <c r="CD463" i="9"/>
  <c r="AS463" i="9"/>
  <c r="CG462" i="9"/>
  <c r="CF462" i="9"/>
  <c r="CD462" i="9"/>
  <c r="CE462" i="9" s="1"/>
  <c r="AS462" i="9"/>
  <c r="CG461" i="9"/>
  <c r="CF461" i="9"/>
  <c r="AV461" i="9"/>
  <c r="CD461" i="9" s="1"/>
  <c r="AU461" i="9"/>
  <c r="AS461" i="9"/>
  <c r="CG460" i="9"/>
  <c r="CF460" i="9"/>
  <c r="CD460" i="9"/>
  <c r="AS460" i="9"/>
  <c r="CG459" i="9"/>
  <c r="CF459" i="9"/>
  <c r="CD459" i="9"/>
  <c r="AS459" i="9"/>
  <c r="CG458" i="9"/>
  <c r="CF458" i="9"/>
  <c r="AU458" i="9"/>
  <c r="CD458" i="9" s="1"/>
  <c r="AS458" i="9"/>
  <c r="CG457" i="9"/>
  <c r="CF457" i="9"/>
  <c r="CD457" i="9"/>
  <c r="AS457" i="9"/>
  <c r="CG456" i="9"/>
  <c r="CF456" i="9"/>
  <c r="CD456" i="9"/>
  <c r="AS456" i="9"/>
  <c r="CG455" i="9"/>
  <c r="CF455" i="9"/>
  <c r="CD455" i="9"/>
  <c r="AS455" i="9"/>
  <c r="F455" i="9"/>
  <c r="F460" i="9" s="1"/>
  <c r="CG454" i="9"/>
  <c r="CF454" i="9"/>
  <c r="CD454" i="9"/>
  <c r="AS454" i="9"/>
  <c r="F454" i="9"/>
  <c r="F459" i="9" s="1"/>
  <c r="CG453" i="9"/>
  <c r="CF453" i="9"/>
  <c r="CD453" i="9"/>
  <c r="AS453" i="9"/>
  <c r="F453" i="9"/>
  <c r="CG452" i="9"/>
  <c r="CF452" i="9"/>
  <c r="CD452" i="9"/>
  <c r="AS452" i="9"/>
  <c r="F452" i="9"/>
  <c r="CG451" i="9"/>
  <c r="CF451" i="9"/>
  <c r="AV451" i="9"/>
  <c r="AU451" i="9"/>
  <c r="CD451" i="9" s="1"/>
  <c r="CE451" i="9" s="1"/>
  <c r="AS451" i="9"/>
  <c r="CG450" i="9"/>
  <c r="CF450" i="9"/>
  <c r="CD450" i="9"/>
  <c r="CE450" i="9" s="1"/>
  <c r="AS450" i="9"/>
  <c r="F450" i="9"/>
  <c r="CG449" i="9"/>
  <c r="CF449" i="9"/>
  <c r="CD449" i="9"/>
  <c r="AS449" i="9"/>
  <c r="F449" i="9"/>
  <c r="CG448" i="9"/>
  <c r="CF448" i="9"/>
  <c r="CD448" i="9"/>
  <c r="AS448" i="9"/>
  <c r="CG447" i="9"/>
  <c r="CF447" i="9"/>
  <c r="AU447" i="9"/>
  <c r="AV447" i="9" s="1"/>
  <c r="CD447" i="9" s="1"/>
  <c r="AS447" i="9"/>
  <c r="CG446" i="9"/>
  <c r="CF446" i="9"/>
  <c r="AV446" i="9"/>
  <c r="CD446" i="9" s="1"/>
  <c r="AS446" i="9"/>
  <c r="CG445" i="9"/>
  <c r="CF445" i="9"/>
  <c r="CD445" i="9"/>
  <c r="CE445" i="9" s="1"/>
  <c r="AS445" i="9"/>
  <c r="CG444" i="9"/>
  <c r="CF444" i="9"/>
  <c r="CD444" i="9"/>
  <c r="CE444" i="9" s="1"/>
  <c r="AS444" i="9"/>
  <c r="CG443" i="9"/>
  <c r="CF443" i="9"/>
  <c r="CD443" i="9"/>
  <c r="CE443" i="9" s="1"/>
  <c r="AS443" i="9"/>
  <c r="CG442" i="9"/>
  <c r="CF442" i="9"/>
  <c r="CD442" i="9"/>
  <c r="CE442" i="9" s="1"/>
  <c r="AS442" i="9"/>
  <c r="CG441" i="9"/>
  <c r="CF441" i="9"/>
  <c r="CD441" i="9"/>
  <c r="AS441" i="9"/>
  <c r="CG440" i="9"/>
  <c r="CF440" i="9"/>
  <c r="CD440" i="9"/>
  <c r="AS440" i="9"/>
  <c r="CG439" i="9"/>
  <c r="CF439" i="9"/>
  <c r="CD439" i="9"/>
  <c r="AS439" i="9"/>
  <c r="CG438" i="9"/>
  <c r="CF438" i="9"/>
  <c r="CD438" i="9"/>
  <c r="AS438" i="9"/>
  <c r="CG437" i="9"/>
  <c r="CF437" i="9"/>
  <c r="CD437" i="9"/>
  <c r="AS437" i="9"/>
  <c r="CG436" i="9"/>
  <c r="CF436" i="9"/>
  <c r="CD436" i="9"/>
  <c r="AS436" i="9"/>
  <c r="CG435" i="9"/>
  <c r="CF435" i="9"/>
  <c r="CD435" i="9"/>
  <c r="AS435" i="9"/>
  <c r="CG434" i="9"/>
  <c r="CF434" i="9"/>
  <c r="CD434" i="9"/>
  <c r="AS434" i="9"/>
  <c r="CG433" i="9"/>
  <c r="CF433" i="9"/>
  <c r="CD433" i="9"/>
  <c r="AS433" i="9"/>
  <c r="CG432" i="9"/>
  <c r="CF432" i="9"/>
  <c r="CD432" i="9"/>
  <c r="AS432" i="9"/>
  <c r="CG431" i="9"/>
  <c r="CF431" i="9"/>
  <c r="CD431" i="9"/>
  <c r="AS431" i="9"/>
  <c r="CG430" i="9"/>
  <c r="CF430" i="9"/>
  <c r="CD430" i="9"/>
  <c r="AS430" i="9"/>
  <c r="CG429" i="9"/>
  <c r="CF429" i="9"/>
  <c r="CD429" i="9"/>
  <c r="AS429" i="9"/>
  <c r="CG428" i="9"/>
  <c r="CF428" i="9"/>
  <c r="CD428" i="9"/>
  <c r="AS428" i="9"/>
  <c r="CG427" i="9"/>
  <c r="CF427" i="9"/>
  <c r="CD427" i="9"/>
  <c r="AS427" i="9"/>
  <c r="CG426" i="9"/>
  <c r="CF426" i="9"/>
  <c r="CD426" i="9"/>
  <c r="AS426" i="9"/>
  <c r="CG425" i="9"/>
  <c r="CF425" i="9"/>
  <c r="CD425" i="9"/>
  <c r="CE425" i="9" s="1"/>
  <c r="AS425" i="9"/>
  <c r="CG424" i="9"/>
  <c r="CF424" i="9"/>
  <c r="CD424" i="9"/>
  <c r="AS424" i="9"/>
  <c r="CG423" i="9"/>
  <c r="CF423" i="9"/>
  <c r="CD423" i="9"/>
  <c r="AS423" i="9"/>
  <c r="CG422" i="9"/>
  <c r="CF422" i="9"/>
  <c r="CD422" i="9"/>
  <c r="AS422" i="9"/>
  <c r="CG421" i="9"/>
  <c r="CF421" i="9"/>
  <c r="CD421" i="9"/>
  <c r="CE421" i="9" s="1"/>
  <c r="AS421" i="9"/>
  <c r="CG420" i="9"/>
  <c r="CF420" i="9"/>
  <c r="CD420" i="9"/>
  <c r="CE420" i="9" s="1"/>
  <c r="AS420" i="9"/>
  <c r="CG419" i="9"/>
  <c r="CF419" i="9"/>
  <c r="AV419" i="9"/>
  <c r="CD419" i="9" s="1"/>
  <c r="AU419" i="9"/>
  <c r="AS419" i="9"/>
  <c r="CG418" i="9"/>
  <c r="CF418" i="9"/>
  <c r="AU418" i="9"/>
  <c r="AS418" i="9"/>
  <c r="F418" i="9"/>
  <c r="CG417" i="9"/>
  <c r="CF417" i="9"/>
  <c r="CD417" i="9"/>
  <c r="AS417" i="9"/>
  <c r="CG416" i="9"/>
  <c r="CF416" i="9"/>
  <c r="CD416" i="9"/>
  <c r="AS416" i="9"/>
  <c r="CG415" i="9"/>
  <c r="CF415" i="9"/>
  <c r="CD415" i="9"/>
  <c r="AS415" i="9"/>
  <c r="CG414" i="9"/>
  <c r="CF414" i="9"/>
  <c r="CD414" i="9"/>
  <c r="AS414" i="9"/>
  <c r="CG413" i="9"/>
  <c r="CF413" i="9"/>
  <c r="CD413" i="9"/>
  <c r="AS413" i="9"/>
  <c r="CG412" i="9"/>
  <c r="CF412" i="9"/>
  <c r="CD412" i="9"/>
  <c r="AS412" i="9"/>
  <c r="CG411" i="9"/>
  <c r="CF411" i="9"/>
  <c r="CD411" i="9"/>
  <c r="AS411" i="9"/>
  <c r="CG410" i="9"/>
  <c r="CF410" i="9"/>
  <c r="CD410" i="9"/>
  <c r="AS410" i="9"/>
  <c r="CH409" i="9"/>
  <c r="CC409" i="9"/>
  <c r="CB409" i="9"/>
  <c r="CA409" i="9"/>
  <c r="BZ409" i="9"/>
  <c r="BY409" i="9"/>
  <c r="BX409" i="9"/>
  <c r="BW409" i="9"/>
  <c r="BV409" i="9"/>
  <c r="BU409" i="9"/>
  <c r="BT409" i="9"/>
  <c r="BS409" i="9"/>
  <c r="BR409" i="9"/>
  <c r="BQ409" i="9"/>
  <c r="BP409" i="9"/>
  <c r="BO409" i="9"/>
  <c r="BN409" i="9"/>
  <c r="BM409" i="9"/>
  <c r="BL409" i="9"/>
  <c r="BK409" i="9"/>
  <c r="BJ409" i="9"/>
  <c r="BH409" i="9"/>
  <c r="BG409" i="9"/>
  <c r="BF409" i="9"/>
  <c r="BE409" i="9"/>
  <c r="BD409" i="9"/>
  <c r="BC409" i="9"/>
  <c r="BB409" i="9"/>
  <c r="BA409" i="9"/>
  <c r="AZ409" i="9"/>
  <c r="AY409" i="9"/>
  <c r="AX409" i="9"/>
  <c r="AW409" i="9"/>
  <c r="AT409" i="9"/>
  <c r="AR409" i="9"/>
  <c r="AQ409" i="9"/>
  <c r="AP409" i="9"/>
  <c r="AN409" i="9"/>
  <c r="AM409" i="9"/>
  <c r="AL409" i="9"/>
  <c r="AK409" i="9"/>
  <c r="AJ409" i="9"/>
  <c r="AI409" i="9"/>
  <c r="AH409" i="9"/>
  <c r="AG409" i="9"/>
  <c r="AF409" i="9"/>
  <c r="AE409" i="9"/>
  <c r="AD409" i="9"/>
  <c r="AC409" i="9"/>
  <c r="AB409" i="9"/>
  <c r="AA409" i="9"/>
  <c r="Z409" i="9"/>
  <c r="Y409" i="9"/>
  <c r="X409" i="9"/>
  <c r="W409" i="9"/>
  <c r="V409" i="9"/>
  <c r="U409" i="9"/>
  <c r="T409" i="9"/>
  <c r="S409" i="9"/>
  <c r="R409" i="9"/>
  <c r="Q409" i="9"/>
  <c r="P409" i="9"/>
  <c r="O409" i="9"/>
  <c r="N409" i="9"/>
  <c r="M409" i="9"/>
  <c r="L409" i="9"/>
  <c r="K409" i="9"/>
  <c r="J409" i="9"/>
  <c r="I409" i="9"/>
  <c r="H409" i="9"/>
  <c r="CG408" i="9"/>
  <c r="CF408" i="9"/>
  <c r="CD408" i="9"/>
  <c r="AS408" i="9"/>
  <c r="CG407" i="9"/>
  <c r="CF407" i="9"/>
  <c r="CD407" i="9"/>
  <c r="AS407" i="9"/>
  <c r="CG406" i="9"/>
  <c r="CF406" i="9"/>
  <c r="CD406" i="9"/>
  <c r="AS406" i="9"/>
  <c r="CG405" i="9"/>
  <c r="CF405" i="9"/>
  <c r="CD405" i="9"/>
  <c r="CE405" i="9" s="1"/>
  <c r="AS405" i="9"/>
  <c r="CG404" i="9"/>
  <c r="CF404" i="9"/>
  <c r="CD404" i="9"/>
  <c r="CE404" i="9" s="1"/>
  <c r="AS404" i="9"/>
  <c r="CG403" i="9"/>
  <c r="CF403" i="9"/>
  <c r="CD403" i="9"/>
  <c r="CE403" i="9" s="1"/>
  <c r="AS403" i="9"/>
  <c r="CG402" i="9"/>
  <c r="CF402" i="9"/>
  <c r="CE402" i="9"/>
  <c r="CD402" i="9"/>
  <c r="AS402" i="9"/>
  <c r="CG401" i="9"/>
  <c r="CF401" i="9"/>
  <c r="CD401" i="9"/>
  <c r="AS401" i="9"/>
  <c r="CG400" i="9"/>
  <c r="CF400" i="9"/>
  <c r="CD400" i="9"/>
  <c r="CE400" i="9" s="1"/>
  <c r="AS400" i="9"/>
  <c r="CG399" i="9"/>
  <c r="CF399" i="9"/>
  <c r="CD399" i="9"/>
  <c r="AS399" i="9"/>
  <c r="CG398" i="9"/>
  <c r="CF398" i="9"/>
  <c r="AU398" i="9"/>
  <c r="CD398" i="9" s="1"/>
  <c r="AS398" i="9"/>
  <c r="CG397" i="9"/>
  <c r="CF397" i="9"/>
  <c r="CD397" i="9"/>
  <c r="CE397" i="9" s="1"/>
  <c r="AS397" i="9"/>
  <c r="CG396" i="9"/>
  <c r="CF396" i="9"/>
  <c r="CD396" i="9"/>
  <c r="CE396" i="9" s="1"/>
  <c r="AS396" i="9"/>
  <c r="CG395" i="9"/>
  <c r="CF395" i="9"/>
  <c r="CD395" i="9"/>
  <c r="CE395" i="9" s="1"/>
  <c r="AS395" i="9"/>
  <c r="CG394" i="9"/>
  <c r="CF394" i="9"/>
  <c r="AV394" i="9"/>
  <c r="AU394" i="9"/>
  <c r="AS394" i="9"/>
  <c r="CG393" i="9"/>
  <c r="CF393" i="9"/>
  <c r="CD393" i="9"/>
  <c r="CE393" i="9" s="1"/>
  <c r="AS393" i="9"/>
  <c r="CG392" i="9"/>
  <c r="CF392" i="9"/>
  <c r="CD392" i="9"/>
  <c r="AS392" i="9"/>
  <c r="CG391" i="9"/>
  <c r="CF391" i="9"/>
  <c r="CD391" i="9"/>
  <c r="AS391" i="9"/>
  <c r="CG390" i="9"/>
  <c r="CF390" i="9"/>
  <c r="CD390" i="9"/>
  <c r="AU390" i="9"/>
  <c r="AS390" i="9"/>
  <c r="F390" i="9"/>
  <c r="F392" i="9" s="1"/>
  <c r="CG389" i="9"/>
  <c r="CF389" i="9"/>
  <c r="CD389" i="9"/>
  <c r="AS389" i="9"/>
  <c r="F389" i="9"/>
  <c r="F391" i="9" s="1"/>
  <c r="F393" i="9" s="1"/>
  <c r="F395" i="9" s="1"/>
  <c r="CG388" i="9"/>
  <c r="CF388" i="9"/>
  <c r="AV388" i="9"/>
  <c r="CD388" i="9" s="1"/>
  <c r="AU388" i="9"/>
  <c r="AS388" i="9"/>
  <c r="CG387" i="9"/>
  <c r="CF387" i="9"/>
  <c r="CD387" i="9"/>
  <c r="CE387" i="9" s="1"/>
  <c r="AS387" i="9"/>
  <c r="CG386" i="9"/>
  <c r="CF386" i="9"/>
  <c r="AV386" i="9"/>
  <c r="CD386" i="9" s="1"/>
  <c r="CE386" i="9" s="1"/>
  <c r="AS386" i="9"/>
  <c r="CG385" i="9"/>
  <c r="CF385" i="9"/>
  <c r="CD385" i="9"/>
  <c r="CE385" i="9" s="1"/>
  <c r="AS385" i="9"/>
  <c r="CG384" i="9"/>
  <c r="CF384" i="9"/>
  <c r="CD384" i="9"/>
  <c r="CE384" i="9" s="1"/>
  <c r="AS384" i="9"/>
  <c r="CG383" i="9"/>
  <c r="CF383" i="9"/>
  <c r="CD383" i="9"/>
  <c r="AS383" i="9"/>
  <c r="CE383" i="9" s="1"/>
  <c r="CG382" i="9"/>
  <c r="CF382" i="9"/>
  <c r="CD382" i="9"/>
  <c r="AS382" i="9"/>
  <c r="CG381" i="9"/>
  <c r="CF381" i="9"/>
  <c r="CD381" i="9"/>
  <c r="AS381" i="9"/>
  <c r="CG380" i="9"/>
  <c r="CF380" i="9"/>
  <c r="CD380" i="9"/>
  <c r="AS380" i="9"/>
  <c r="CG379" i="9"/>
  <c r="CF379" i="9"/>
  <c r="CD379" i="9"/>
  <c r="AS379" i="9"/>
  <c r="CG378" i="9"/>
  <c r="CF378" i="9"/>
  <c r="CD378" i="9"/>
  <c r="AS378" i="9"/>
  <c r="CG377" i="9"/>
  <c r="CF377" i="9"/>
  <c r="CD377" i="9"/>
  <c r="AS377" i="9"/>
  <c r="CG376" i="9"/>
  <c r="CF376" i="9"/>
  <c r="CD376" i="9"/>
  <c r="AS376" i="9"/>
  <c r="CG375" i="9"/>
  <c r="CF375" i="9"/>
  <c r="CD375" i="9"/>
  <c r="AS375" i="9"/>
  <c r="CE375" i="9" s="1"/>
  <c r="CG374" i="9"/>
  <c r="CF374" i="9"/>
  <c r="CD374" i="9"/>
  <c r="AS374" i="9"/>
  <c r="CG373" i="9"/>
  <c r="CF373" i="9"/>
  <c r="CD373" i="9"/>
  <c r="AS373" i="9"/>
  <c r="CG372" i="9"/>
  <c r="CF372" i="9"/>
  <c r="CD372" i="9"/>
  <c r="AS372" i="9"/>
  <c r="CG371" i="9"/>
  <c r="CF371" i="9"/>
  <c r="CD371" i="9"/>
  <c r="AS371" i="9"/>
  <c r="CG370" i="9"/>
  <c r="CF370" i="9"/>
  <c r="CD370" i="9"/>
  <c r="AS370" i="9"/>
  <c r="CG369" i="9"/>
  <c r="CF369" i="9"/>
  <c r="CD369" i="9"/>
  <c r="AS369" i="9"/>
  <c r="CG368" i="9"/>
  <c r="CF368" i="9"/>
  <c r="CD368" i="9"/>
  <c r="AS368" i="9"/>
  <c r="CG367" i="9"/>
  <c r="CF367" i="9"/>
  <c r="CD367" i="9"/>
  <c r="CE367" i="9" s="1"/>
  <c r="AU367" i="9"/>
  <c r="AS367" i="9"/>
  <c r="CG366" i="9"/>
  <c r="CF366" i="9"/>
  <c r="CD366" i="9"/>
  <c r="CE366" i="9" s="1"/>
  <c r="AS366" i="9"/>
  <c r="CG365" i="9"/>
  <c r="CF365" i="9"/>
  <c r="CD365" i="9"/>
  <c r="CE365" i="9" s="1"/>
  <c r="AS365" i="9"/>
  <c r="CG364" i="9"/>
  <c r="CF364" i="9"/>
  <c r="CD364" i="9"/>
  <c r="AS364" i="9"/>
  <c r="CG363" i="9"/>
  <c r="CF363" i="9"/>
  <c r="CD363" i="9"/>
  <c r="CE363" i="9" s="1"/>
  <c r="AS363" i="9"/>
  <c r="CG362" i="9"/>
  <c r="CF362" i="9"/>
  <c r="CD362" i="9"/>
  <c r="CE362" i="9" s="1"/>
  <c r="AS362" i="9"/>
  <c r="CG361" i="9"/>
  <c r="CF361" i="9"/>
  <c r="CD361" i="9"/>
  <c r="CE361" i="9" s="1"/>
  <c r="AS361" i="9"/>
  <c r="CG360" i="9"/>
  <c r="CF360" i="9"/>
  <c r="CD360" i="9"/>
  <c r="AS360" i="9"/>
  <c r="CG359" i="9"/>
  <c r="CF359" i="9"/>
  <c r="CD359" i="9"/>
  <c r="AS359" i="9"/>
  <c r="CG358" i="9"/>
  <c r="CF358" i="9"/>
  <c r="AV358" i="9"/>
  <c r="AU358" i="9"/>
  <c r="AS358" i="9"/>
  <c r="CG357" i="9"/>
  <c r="CF357" i="9"/>
  <c r="CD357" i="9"/>
  <c r="AS357" i="9"/>
  <c r="CG356" i="9"/>
  <c r="CF356" i="9"/>
  <c r="CD356" i="9"/>
  <c r="AS356" i="9"/>
  <c r="CG355" i="9"/>
  <c r="CF355" i="9"/>
  <c r="CD355" i="9"/>
  <c r="AS355" i="9"/>
  <c r="CG354" i="9"/>
  <c r="CF354" i="9"/>
  <c r="CD354" i="9"/>
  <c r="AS354" i="9"/>
  <c r="CG353" i="9"/>
  <c r="CF353" i="9"/>
  <c r="CD353" i="9"/>
  <c r="CE353" i="9" s="1"/>
  <c r="AS353" i="9"/>
  <c r="CG352" i="9"/>
  <c r="CF352" i="9"/>
  <c r="CD352" i="9"/>
  <c r="AS352" i="9"/>
  <c r="CG351" i="9"/>
  <c r="CF351" i="9"/>
  <c r="CD351" i="9"/>
  <c r="AS351" i="9"/>
  <c r="CG350" i="9"/>
  <c r="CF350" i="9"/>
  <c r="CD350" i="9"/>
  <c r="AS350" i="9"/>
  <c r="CE350" i="9" s="1"/>
  <c r="CG349" i="9"/>
  <c r="CF349" i="9"/>
  <c r="CD349" i="9"/>
  <c r="AS349" i="9"/>
  <c r="CG348" i="9"/>
  <c r="CF348" i="9"/>
  <c r="CD348" i="9"/>
  <c r="AS348" i="9"/>
  <c r="CG347" i="9"/>
  <c r="CF347" i="9"/>
  <c r="CD347" i="9"/>
  <c r="AS347" i="9"/>
  <c r="CG346" i="9"/>
  <c r="CF346" i="9"/>
  <c r="CD346" i="9"/>
  <c r="AS346" i="9"/>
  <c r="CG345" i="9"/>
  <c r="CF345" i="9"/>
  <c r="CD345" i="9"/>
  <c r="AS345" i="9"/>
  <c r="CG344" i="9"/>
  <c r="CF344" i="9"/>
  <c r="CD344" i="9"/>
  <c r="AS344" i="9"/>
  <c r="CG343" i="9"/>
  <c r="CF343" i="9"/>
  <c r="CD343" i="9"/>
  <c r="AS343" i="9"/>
  <c r="CG342" i="9"/>
  <c r="CF342" i="9"/>
  <c r="CD342" i="9"/>
  <c r="AS342" i="9"/>
  <c r="CG341" i="9"/>
  <c r="CF341" i="9"/>
  <c r="CD341" i="9"/>
  <c r="AS341" i="9"/>
  <c r="CG340" i="9"/>
  <c r="CF340" i="9"/>
  <c r="CD340" i="9"/>
  <c r="AS340" i="9"/>
  <c r="F340" i="9"/>
  <c r="F341" i="9" s="1"/>
  <c r="CG339" i="9"/>
  <c r="CF339" i="9"/>
  <c r="CD339" i="9"/>
  <c r="AS339" i="9"/>
  <c r="CG338" i="9"/>
  <c r="CF338" i="9"/>
  <c r="CD338" i="9"/>
  <c r="AS338" i="9"/>
  <c r="CG337" i="9"/>
  <c r="CF337" i="9"/>
  <c r="CD337" i="9"/>
  <c r="AS337" i="9"/>
  <c r="CG336" i="9"/>
  <c r="CF336" i="9"/>
  <c r="AU336" i="9"/>
  <c r="CD336" i="9" s="1"/>
  <c r="AS336" i="9"/>
  <c r="CG335" i="9"/>
  <c r="CF335" i="9"/>
  <c r="AU335" i="9"/>
  <c r="CD335" i="9" s="1"/>
  <c r="AS335" i="9"/>
  <c r="CG334" i="9"/>
  <c r="CF334" i="9"/>
  <c r="CD334" i="9"/>
  <c r="AS334" i="9"/>
  <c r="CG333" i="9"/>
  <c r="CF333" i="9"/>
  <c r="CD333" i="9"/>
  <c r="AS333" i="9"/>
  <c r="CG332" i="9"/>
  <c r="CF332" i="9"/>
  <c r="CD332" i="9"/>
  <c r="AS332" i="9"/>
  <c r="CG331" i="9"/>
  <c r="CF331" i="9"/>
  <c r="CD331" i="9"/>
  <c r="CE331" i="9" s="1"/>
  <c r="AS331" i="9"/>
  <c r="CG330" i="9"/>
  <c r="CF330" i="9"/>
  <c r="CD330" i="9"/>
  <c r="AS330" i="9"/>
  <c r="CG329" i="9"/>
  <c r="CF329" i="9"/>
  <c r="CD329" i="9"/>
  <c r="AS329" i="9"/>
  <c r="F329" i="9"/>
  <c r="F327" i="9" s="1"/>
  <c r="CG328" i="9"/>
  <c r="CF328" i="9"/>
  <c r="CD328" i="9"/>
  <c r="CE328" i="9" s="1"/>
  <c r="AS328" i="9"/>
  <c r="CG327" i="9"/>
  <c r="CF327" i="9"/>
  <c r="CD327" i="9"/>
  <c r="AS327" i="9"/>
  <c r="CG326" i="9"/>
  <c r="CF326" i="9"/>
  <c r="CD326" i="9"/>
  <c r="AS326" i="9"/>
  <c r="CG325" i="9"/>
  <c r="CF325" i="9"/>
  <c r="CD325" i="9"/>
  <c r="AS325" i="9"/>
  <c r="CG324" i="9"/>
  <c r="CF324" i="9"/>
  <c r="CD324" i="9"/>
  <c r="AS324" i="9"/>
  <c r="CG323" i="9"/>
  <c r="CF323" i="9"/>
  <c r="AU323" i="9"/>
  <c r="CD323" i="9" s="1"/>
  <c r="AS323" i="9"/>
  <c r="CG322" i="9"/>
  <c r="CF322" i="9"/>
  <c r="CD322" i="9"/>
  <c r="AS322" i="9"/>
  <c r="CG321" i="9"/>
  <c r="CF321" i="9"/>
  <c r="CD321" i="9"/>
  <c r="AS321" i="9"/>
  <c r="F321" i="9"/>
  <c r="F328" i="9" s="1"/>
  <c r="CG320" i="9"/>
  <c r="CF320" i="9"/>
  <c r="CD320" i="9"/>
  <c r="AS320" i="9"/>
  <c r="CG319" i="9"/>
  <c r="CF319" i="9"/>
  <c r="AU319" i="9"/>
  <c r="CD319" i="9" s="1"/>
  <c r="AS319" i="9"/>
  <c r="CG318" i="9"/>
  <c r="CF318" i="9"/>
  <c r="CD318" i="9"/>
  <c r="CE318" i="9" s="1"/>
  <c r="AS318" i="9"/>
  <c r="CG317" i="9"/>
  <c r="CF317" i="9"/>
  <c r="CD317" i="9"/>
  <c r="AS317" i="9"/>
  <c r="CG316" i="9"/>
  <c r="CF316" i="9"/>
  <c r="AU316" i="9"/>
  <c r="CD316" i="9" s="1"/>
  <c r="AS316" i="9"/>
  <c r="F316" i="9"/>
  <c r="CG315" i="9"/>
  <c r="CF315" i="9"/>
  <c r="CD315" i="9"/>
  <c r="AS315" i="9"/>
  <c r="CG314" i="9"/>
  <c r="CF314" i="9"/>
  <c r="CD314" i="9"/>
  <c r="AS314" i="9"/>
  <c r="CG313" i="9"/>
  <c r="CF313" i="9"/>
  <c r="CD313" i="9"/>
  <c r="AS313" i="9"/>
  <c r="CG312" i="9"/>
  <c r="CF312" i="9"/>
  <c r="CD312" i="9"/>
  <c r="CE312" i="9" s="1"/>
  <c r="AS312" i="9"/>
  <c r="CG311" i="9"/>
  <c r="CF311" i="9"/>
  <c r="CD311" i="9"/>
  <c r="CE311" i="9" s="1"/>
  <c r="AS311" i="9"/>
  <c r="CG310" i="9"/>
  <c r="CF310" i="9"/>
  <c r="CD310" i="9"/>
  <c r="CE310" i="9" s="1"/>
  <c r="AS310" i="9"/>
  <c r="CG309" i="9"/>
  <c r="CF309" i="9"/>
  <c r="CD309" i="9"/>
  <c r="CE309" i="9" s="1"/>
  <c r="AS309" i="9"/>
  <c r="CG308" i="9"/>
  <c r="CF308" i="9"/>
  <c r="CD308" i="9"/>
  <c r="AS308" i="9"/>
  <c r="CG307" i="9"/>
  <c r="CF307" i="9"/>
  <c r="CD307" i="9"/>
  <c r="AS307" i="9"/>
  <c r="CG306" i="9"/>
  <c r="CF306" i="9"/>
  <c r="CD306" i="9"/>
  <c r="AS306" i="9"/>
  <c r="CG305" i="9"/>
  <c r="CF305" i="9"/>
  <c r="CD305" i="9"/>
  <c r="AS305" i="9"/>
  <c r="CG304" i="9"/>
  <c r="CF304" i="9"/>
  <c r="CD304" i="9"/>
  <c r="CE304" i="9" s="1"/>
  <c r="AS304" i="9"/>
  <c r="CG303" i="9"/>
  <c r="CF303" i="9"/>
  <c r="CD303" i="9"/>
  <c r="CE303" i="9" s="1"/>
  <c r="AS303" i="9"/>
  <c r="CG302" i="9"/>
  <c r="CF302" i="9"/>
  <c r="CD302" i="9"/>
  <c r="CE302" i="9" s="1"/>
  <c r="AS302" i="9"/>
  <c r="CG301" i="9"/>
  <c r="CF301" i="9"/>
  <c r="CD301" i="9"/>
  <c r="CE301" i="9" s="1"/>
  <c r="AS301" i="9"/>
  <c r="CG300" i="9"/>
  <c r="CF300" i="9"/>
  <c r="CD300" i="9"/>
  <c r="AS300" i="9"/>
  <c r="CG299" i="9"/>
  <c r="CF299" i="9"/>
  <c r="CD299" i="9"/>
  <c r="AS299" i="9"/>
  <c r="CG298" i="9"/>
  <c r="CF298" i="9"/>
  <c r="CD298" i="9"/>
  <c r="AS298" i="9"/>
  <c r="CG297" i="9"/>
  <c r="CF297" i="9"/>
  <c r="CD297" i="9"/>
  <c r="AS297" i="9"/>
  <c r="CG296" i="9"/>
  <c r="CF296" i="9"/>
  <c r="CD296" i="9"/>
  <c r="CE296" i="9" s="1"/>
  <c r="AS296" i="9"/>
  <c r="CG295" i="9"/>
  <c r="CF295" i="9"/>
  <c r="CD295" i="9"/>
  <c r="CE295" i="9" s="1"/>
  <c r="AS295" i="9"/>
  <c r="CG294" i="9"/>
  <c r="CF294" i="9"/>
  <c r="CD294" i="9"/>
  <c r="CE294" i="9" s="1"/>
  <c r="AS294" i="9"/>
  <c r="CG293" i="9"/>
  <c r="CF293" i="9"/>
  <c r="CD293" i="9"/>
  <c r="CE293" i="9" s="1"/>
  <c r="AS293" i="9"/>
  <c r="CG292" i="9"/>
  <c r="CF292" i="9"/>
  <c r="CE292" i="9"/>
  <c r="CD292" i="9"/>
  <c r="AS292" i="9"/>
  <c r="CG291" i="9"/>
  <c r="CF291" i="9"/>
  <c r="CD291" i="9"/>
  <c r="AS291" i="9"/>
  <c r="CG290" i="9"/>
  <c r="CF290" i="9"/>
  <c r="CD290" i="9"/>
  <c r="AS290" i="9"/>
  <c r="CG289" i="9"/>
  <c r="CF289" i="9"/>
  <c r="CD289" i="9"/>
  <c r="AS289" i="9"/>
  <c r="CG288" i="9"/>
  <c r="CF288" i="9"/>
  <c r="CD288" i="9"/>
  <c r="CE288" i="9" s="1"/>
  <c r="AS288" i="9"/>
  <c r="CG287" i="9"/>
  <c r="CF287" i="9"/>
  <c r="CD287" i="9"/>
  <c r="CE287" i="9" s="1"/>
  <c r="AS287" i="9"/>
  <c r="CG286" i="9"/>
  <c r="CF286" i="9"/>
  <c r="CD286" i="9"/>
  <c r="CE286" i="9" s="1"/>
  <c r="AS286" i="9"/>
  <c r="CG285" i="9"/>
  <c r="CF285" i="9"/>
  <c r="CD285" i="9"/>
  <c r="CE285" i="9" s="1"/>
  <c r="AS285" i="9"/>
  <c r="CG284" i="9"/>
  <c r="CF284" i="9"/>
  <c r="CD284" i="9"/>
  <c r="AS284" i="9"/>
  <c r="CG283" i="9"/>
  <c r="CF283" i="9"/>
  <c r="CD283" i="9"/>
  <c r="AS283" i="9"/>
  <c r="CG282" i="9"/>
  <c r="CF282" i="9"/>
  <c r="CD282" i="9"/>
  <c r="AS282" i="9"/>
  <c r="CG281" i="9"/>
  <c r="CF281" i="9"/>
  <c r="CD281" i="9"/>
  <c r="AS281" i="9"/>
  <c r="CG280" i="9"/>
  <c r="CF280" i="9"/>
  <c r="CD280" i="9"/>
  <c r="CE280" i="9" s="1"/>
  <c r="AS280" i="9"/>
  <c r="CG279" i="9"/>
  <c r="CF279" i="9"/>
  <c r="CD279" i="9"/>
  <c r="AS279" i="9"/>
  <c r="CG278" i="9"/>
  <c r="CF278" i="9"/>
  <c r="CD278" i="9"/>
  <c r="CE278" i="9" s="1"/>
  <c r="AS278" i="9"/>
  <c r="CG277" i="9"/>
  <c r="CF277" i="9"/>
  <c r="CD277" i="9"/>
  <c r="CE277" i="9" s="1"/>
  <c r="AS277" i="9"/>
  <c r="CG276" i="9"/>
  <c r="CF276" i="9"/>
  <c r="CD276" i="9"/>
  <c r="CE276" i="9" s="1"/>
  <c r="AS276" i="9"/>
  <c r="CG275" i="9"/>
  <c r="CF275" i="9"/>
  <c r="CD275" i="9"/>
  <c r="CE275" i="9" s="1"/>
  <c r="AS275" i="9"/>
  <c r="CG274" i="9"/>
  <c r="CF274" i="9"/>
  <c r="CD274" i="9"/>
  <c r="CE274" i="9" s="1"/>
  <c r="AS274" i="9"/>
  <c r="CG273" i="9"/>
  <c r="CF273" i="9"/>
  <c r="CD273" i="9"/>
  <c r="CE273" i="9" s="1"/>
  <c r="AS273" i="9"/>
  <c r="CG272" i="9"/>
  <c r="CF272" i="9"/>
  <c r="AU272" i="9"/>
  <c r="CD272" i="9" s="1"/>
  <c r="CE272" i="9" s="1"/>
  <c r="AS272" i="9"/>
  <c r="CG271" i="9"/>
  <c r="CF271" i="9"/>
  <c r="CD271" i="9"/>
  <c r="CE271" i="9" s="1"/>
  <c r="AS271" i="9"/>
  <c r="CG270" i="9"/>
  <c r="CF270" i="9"/>
  <c r="CD270" i="9"/>
  <c r="CE270" i="9" s="1"/>
  <c r="AS270" i="9"/>
  <c r="CG269" i="9"/>
  <c r="CF269" i="9"/>
  <c r="CD269" i="9"/>
  <c r="AS269" i="9"/>
  <c r="CG268" i="9"/>
  <c r="CF268" i="9"/>
  <c r="CD268" i="9"/>
  <c r="AS268" i="9"/>
  <c r="CG267" i="9"/>
  <c r="CF267" i="9"/>
  <c r="CD267" i="9"/>
  <c r="AS267" i="9"/>
  <c r="CG266" i="9"/>
  <c r="CF266" i="9"/>
  <c r="CD266" i="9"/>
  <c r="AS266" i="9"/>
  <c r="CG265" i="9"/>
  <c r="CF265" i="9"/>
  <c r="CD265" i="9"/>
  <c r="AS265" i="9"/>
  <c r="CG264" i="9"/>
  <c r="CF264" i="9"/>
  <c r="CD264" i="9"/>
  <c r="AS264" i="9"/>
  <c r="CG263" i="9"/>
  <c r="CF263" i="9"/>
  <c r="AV263" i="9"/>
  <c r="AU263" i="9"/>
  <c r="AS263" i="9"/>
  <c r="CG262" i="9"/>
  <c r="CF262" i="9"/>
  <c r="CD262" i="9"/>
  <c r="AS262" i="9"/>
  <c r="CG261" i="9"/>
  <c r="CF261" i="9"/>
  <c r="CD261" i="9"/>
  <c r="AS261" i="9"/>
  <c r="CG260" i="9"/>
  <c r="CF260" i="9"/>
  <c r="CD260" i="9"/>
  <c r="AS260" i="9"/>
  <c r="CG259" i="9"/>
  <c r="CF259" i="9"/>
  <c r="CD259" i="9"/>
  <c r="CE259" i="9" s="1"/>
  <c r="AS259" i="9"/>
  <c r="CG258" i="9"/>
  <c r="CF258" i="9"/>
  <c r="CD258" i="9"/>
  <c r="CE258" i="9" s="1"/>
  <c r="AS258" i="9"/>
  <c r="CG257" i="9"/>
  <c r="CF257" i="9"/>
  <c r="CD257" i="9"/>
  <c r="CE257" i="9" s="1"/>
  <c r="AS257" i="9"/>
  <c r="CG256" i="9"/>
  <c r="CF256" i="9"/>
  <c r="CD256" i="9"/>
  <c r="CE256" i="9" s="1"/>
  <c r="AS256" i="9"/>
  <c r="CG255" i="9"/>
  <c r="CF255" i="9"/>
  <c r="CD255" i="9"/>
  <c r="AS255" i="9"/>
  <c r="CE255" i="9" s="1"/>
  <c r="CG254" i="9"/>
  <c r="CF254" i="9"/>
  <c r="CD254" i="9"/>
  <c r="AS254" i="9"/>
  <c r="CG253" i="9"/>
  <c r="CF253" i="9"/>
  <c r="CD253" i="9"/>
  <c r="AS253" i="9"/>
  <c r="CG252" i="9"/>
  <c r="CF252" i="9"/>
  <c r="CD252" i="9"/>
  <c r="AS252" i="9"/>
  <c r="CG251" i="9"/>
  <c r="CF251" i="9"/>
  <c r="CD251" i="9"/>
  <c r="AS251" i="9"/>
  <c r="CE251" i="9" s="1"/>
  <c r="CG250" i="9"/>
  <c r="CF250" i="9"/>
  <c r="CD250" i="9"/>
  <c r="AS250" i="9"/>
  <c r="CG249" i="9"/>
  <c r="CF249" i="9"/>
  <c r="CD249" i="9"/>
  <c r="AS249" i="9"/>
  <c r="CG248" i="9"/>
  <c r="CF248" i="9"/>
  <c r="CD248" i="9"/>
  <c r="AS248" i="9"/>
  <c r="CG247" i="9"/>
  <c r="CF247" i="9"/>
  <c r="CD247" i="9"/>
  <c r="AS247" i="9"/>
  <c r="CG246" i="9"/>
  <c r="CF246" i="9"/>
  <c r="CD246" i="9"/>
  <c r="AS246" i="9"/>
  <c r="CG245" i="9"/>
  <c r="CF245" i="9"/>
  <c r="CD245" i="9"/>
  <c r="AS245" i="9"/>
  <c r="CG244" i="9"/>
  <c r="CF244" i="9"/>
  <c r="CD244" i="9"/>
  <c r="AS244" i="9"/>
  <c r="CG243" i="9"/>
  <c r="CF243" i="9"/>
  <c r="CD243" i="9"/>
  <c r="AS243" i="9"/>
  <c r="CG242" i="9"/>
  <c r="CF242" i="9"/>
  <c r="CD242" i="9"/>
  <c r="AS242" i="9"/>
  <c r="CG241" i="9"/>
  <c r="CF241" i="9"/>
  <c r="CD241" i="9"/>
  <c r="AS241" i="9"/>
  <c r="CG240" i="9"/>
  <c r="CF240" i="9"/>
  <c r="CD240" i="9"/>
  <c r="AS240" i="9"/>
  <c r="CG239" i="9"/>
  <c r="CF239" i="9"/>
  <c r="CD239" i="9"/>
  <c r="AS239" i="9"/>
  <c r="CE239" i="9" s="1"/>
  <c r="CG238" i="9"/>
  <c r="CF238" i="9"/>
  <c r="CD238" i="9"/>
  <c r="AS238" i="9"/>
  <c r="CG237" i="9"/>
  <c r="CF237" i="9"/>
  <c r="CD237" i="9"/>
  <c r="AS237" i="9"/>
  <c r="CG236" i="9"/>
  <c r="CF236" i="9"/>
  <c r="CD236" i="9"/>
  <c r="AS236" i="9"/>
  <c r="CG235" i="9"/>
  <c r="CF235" i="9"/>
  <c r="CD235" i="9"/>
  <c r="AS235" i="9"/>
  <c r="CE235" i="9" s="1"/>
  <c r="CG234" i="9"/>
  <c r="CF234" i="9"/>
  <c r="CD234" i="9"/>
  <c r="AS234" i="9"/>
  <c r="CG233" i="9"/>
  <c r="CF233" i="9"/>
  <c r="CD233" i="9"/>
  <c r="AS233" i="9"/>
  <c r="CG232" i="9"/>
  <c r="CF232" i="9"/>
  <c r="AU232" i="9"/>
  <c r="CD232" i="9" s="1"/>
  <c r="AS232" i="9"/>
  <c r="CG231" i="9"/>
  <c r="CF231" i="9"/>
  <c r="CD231" i="9"/>
  <c r="AS231" i="9"/>
  <c r="CG230" i="9"/>
  <c r="CF230" i="9"/>
  <c r="CD230" i="9"/>
  <c r="AS230" i="9"/>
  <c r="CG229" i="9"/>
  <c r="CF229" i="9"/>
  <c r="CD229" i="9"/>
  <c r="AS229" i="9"/>
  <c r="CG228" i="9"/>
  <c r="CF228" i="9"/>
  <c r="CD228" i="9"/>
  <c r="AS228" i="9"/>
  <c r="CG227" i="9"/>
  <c r="CF227" i="9"/>
  <c r="CD227" i="9"/>
  <c r="AS227" i="9"/>
  <c r="CG226" i="9"/>
  <c r="CF226" i="9"/>
  <c r="CD226" i="9"/>
  <c r="AS226" i="9"/>
  <c r="CG225" i="9"/>
  <c r="CF225" i="9"/>
  <c r="CD225" i="9"/>
  <c r="AS225" i="9"/>
  <c r="CG224" i="9"/>
  <c r="CF224" i="9"/>
  <c r="CD224" i="9"/>
  <c r="CE224" i="9" s="1"/>
  <c r="AS224" i="9"/>
  <c r="CG223" i="9"/>
  <c r="CF223" i="9"/>
  <c r="CD223" i="9"/>
  <c r="AS223" i="9"/>
  <c r="CG222" i="9"/>
  <c r="CF222" i="9"/>
  <c r="CD222" i="9"/>
  <c r="AS222" i="9"/>
  <c r="CG221" i="9"/>
  <c r="CF221" i="9"/>
  <c r="CD221" i="9"/>
  <c r="AS221" i="9"/>
  <c r="CG220" i="9"/>
  <c r="CF220" i="9"/>
  <c r="AU220" i="9"/>
  <c r="CD220" i="9" s="1"/>
  <c r="AS220" i="9"/>
  <c r="CG219" i="9"/>
  <c r="CF219" i="9"/>
  <c r="AU219" i="9"/>
  <c r="AS219" i="9"/>
  <c r="CG218" i="9"/>
  <c r="CF218" i="9"/>
  <c r="CD218" i="9"/>
  <c r="AS218" i="9"/>
  <c r="CE218" i="9" s="1"/>
  <c r="CG217" i="9"/>
  <c r="CF217" i="9"/>
  <c r="CD217" i="9"/>
  <c r="AS217" i="9"/>
  <c r="CG216" i="9"/>
  <c r="CF216" i="9"/>
  <c r="CD216" i="9"/>
  <c r="AS216" i="9"/>
  <c r="CG215" i="9"/>
  <c r="CF215" i="9"/>
  <c r="CD215" i="9"/>
  <c r="AS215" i="9"/>
  <c r="CG214" i="9"/>
  <c r="CF214" i="9"/>
  <c r="CD214" i="9"/>
  <c r="AS214" i="9"/>
  <c r="CG213" i="9"/>
  <c r="CF213" i="9"/>
  <c r="CD213" i="9"/>
  <c r="AS213" i="9"/>
  <c r="CG212" i="9"/>
  <c r="CF212" i="9"/>
  <c r="CD212" i="9"/>
  <c r="AS212" i="9"/>
  <c r="CG211" i="9"/>
  <c r="CF211" i="9"/>
  <c r="CD211" i="9"/>
  <c r="AS211" i="9"/>
  <c r="CG210" i="9"/>
  <c r="CF210" i="9"/>
  <c r="CD210" i="9"/>
  <c r="AS210" i="9"/>
  <c r="CG209" i="9"/>
  <c r="CF209" i="9"/>
  <c r="CD209" i="9"/>
  <c r="AS209" i="9"/>
  <c r="CG208" i="9"/>
  <c r="CF208" i="9"/>
  <c r="CD208" i="9"/>
  <c r="AS208" i="9"/>
  <c r="CG207" i="9"/>
  <c r="CF207" i="9"/>
  <c r="CD207" i="9"/>
  <c r="AS207" i="9"/>
  <c r="CG206" i="9"/>
  <c r="CF206" i="9"/>
  <c r="CD206" i="9"/>
  <c r="AS206" i="9"/>
  <c r="CE206" i="9" s="1"/>
  <c r="CG205" i="9"/>
  <c r="CF205" i="9"/>
  <c r="CD205" i="9"/>
  <c r="AS205" i="9"/>
  <c r="CG204" i="9"/>
  <c r="CF204" i="9"/>
  <c r="CD204" i="9"/>
  <c r="AS204" i="9"/>
  <c r="CG203" i="9"/>
  <c r="CF203" i="9"/>
  <c r="CD203" i="9"/>
  <c r="AS203" i="9"/>
  <c r="CG202" i="9"/>
  <c r="CF202" i="9"/>
  <c r="CD202" i="9"/>
  <c r="AS202" i="9"/>
  <c r="CE202" i="9" s="1"/>
  <c r="CG201" i="9"/>
  <c r="CF201" i="9"/>
  <c r="CD201" i="9"/>
  <c r="AS201" i="9"/>
  <c r="CG200" i="9"/>
  <c r="CF200" i="9"/>
  <c r="CD200" i="9"/>
  <c r="AS200" i="9"/>
  <c r="CG199" i="9"/>
  <c r="CF199" i="9"/>
  <c r="CD199" i="9"/>
  <c r="AS199" i="9"/>
  <c r="CG198" i="9"/>
  <c r="CF198" i="9"/>
  <c r="CD198" i="9"/>
  <c r="AS198" i="9"/>
  <c r="CG197" i="9"/>
  <c r="CF197" i="9"/>
  <c r="CD197" i="9"/>
  <c r="AS197" i="9"/>
  <c r="CG196" i="9"/>
  <c r="CF196" i="9"/>
  <c r="CD196" i="9"/>
  <c r="AS196" i="9"/>
  <c r="CG195" i="9"/>
  <c r="CF195" i="9"/>
  <c r="CD195" i="9"/>
  <c r="AS195" i="9"/>
  <c r="CG194" i="9"/>
  <c r="CF194" i="9"/>
  <c r="CD194" i="9"/>
  <c r="AS194" i="9"/>
  <c r="CG193" i="9"/>
  <c r="CF193" i="9"/>
  <c r="CD193" i="9"/>
  <c r="AS193" i="9"/>
  <c r="CG192" i="9"/>
  <c r="CF192" i="9"/>
  <c r="CD192" i="9"/>
  <c r="AS192" i="9"/>
  <c r="CG191" i="9"/>
  <c r="CF191" i="9"/>
  <c r="CD191" i="9"/>
  <c r="AS191" i="9"/>
  <c r="CG190" i="9"/>
  <c r="CF190" i="9"/>
  <c r="AU190" i="9"/>
  <c r="AS190" i="9"/>
  <c r="CG189" i="9"/>
  <c r="CF189" i="9"/>
  <c r="CD189" i="9"/>
  <c r="AS189" i="9"/>
  <c r="CG188" i="9"/>
  <c r="CF188" i="9"/>
  <c r="CD188" i="9"/>
  <c r="AS188" i="9"/>
  <c r="CG187" i="9"/>
  <c r="CF187" i="9"/>
  <c r="CD187" i="9"/>
  <c r="CE187" i="9" s="1"/>
  <c r="AS187" i="9"/>
  <c r="CG186" i="9"/>
  <c r="CF186" i="9"/>
  <c r="CD186" i="9"/>
  <c r="AS186" i="9"/>
  <c r="CG185" i="9"/>
  <c r="CF185" i="9"/>
  <c r="CD185" i="9"/>
  <c r="AS185" i="9"/>
  <c r="CG184" i="9"/>
  <c r="CF184" i="9"/>
  <c r="CD184" i="9"/>
  <c r="AS184" i="9"/>
  <c r="CG183" i="9"/>
  <c r="CF183" i="9"/>
  <c r="CD183" i="9"/>
  <c r="AS183" i="9"/>
  <c r="CG182" i="9"/>
  <c r="CF182" i="9"/>
  <c r="CD182" i="9"/>
  <c r="AS182" i="9"/>
  <c r="CG181" i="9"/>
  <c r="CF181" i="9"/>
  <c r="CD181" i="9"/>
  <c r="AS181" i="9"/>
  <c r="CG180" i="9"/>
  <c r="CF180" i="9"/>
  <c r="CD180" i="9"/>
  <c r="AS180" i="9"/>
  <c r="CG179" i="9"/>
  <c r="CF179" i="9"/>
  <c r="CD179" i="9"/>
  <c r="AS179" i="9"/>
  <c r="CG178" i="9"/>
  <c r="CF178" i="9"/>
  <c r="CD178" i="9"/>
  <c r="AS178" i="9"/>
  <c r="CG177" i="9"/>
  <c r="CF177" i="9"/>
  <c r="CD177" i="9"/>
  <c r="AS177" i="9"/>
  <c r="CG176" i="9"/>
  <c r="CF176" i="9"/>
  <c r="CD176" i="9"/>
  <c r="AS176" i="9"/>
  <c r="CG175" i="9"/>
  <c r="CF175" i="9"/>
  <c r="BI175" i="9"/>
  <c r="AU175" i="9"/>
  <c r="AU409" i="9" s="1"/>
  <c r="AS175" i="9"/>
  <c r="CG174" i="9"/>
  <c r="CF174" i="9"/>
  <c r="CD174" i="9"/>
  <c r="BI174" i="9"/>
  <c r="AS174" i="9"/>
  <c r="CG173" i="9"/>
  <c r="CF173" i="9"/>
  <c r="CD173" i="9"/>
  <c r="AS173" i="9"/>
  <c r="CG172" i="9"/>
  <c r="CF172" i="9"/>
  <c r="CD172" i="9"/>
  <c r="AS172" i="9"/>
  <c r="CG171" i="9"/>
  <c r="CF171" i="9"/>
  <c r="CD171" i="9"/>
  <c r="AS171" i="9"/>
  <c r="CG170" i="9"/>
  <c r="CF170" i="9"/>
  <c r="CD170" i="9"/>
  <c r="AS170" i="9"/>
  <c r="CE170" i="9" s="1"/>
  <c r="CG169" i="9"/>
  <c r="CF169" i="9"/>
  <c r="CD169" i="9"/>
  <c r="AS169" i="9"/>
  <c r="CG168" i="9"/>
  <c r="CF168" i="9"/>
  <c r="CD168" i="9"/>
  <c r="AS168" i="9"/>
  <c r="CE168" i="9" s="1"/>
  <c r="CG167" i="9"/>
  <c r="CF167" i="9"/>
  <c r="CD167" i="9"/>
  <c r="AS167" i="9"/>
  <c r="CG166" i="9"/>
  <c r="CF166" i="9"/>
  <c r="CD166" i="9"/>
  <c r="AS166" i="9"/>
  <c r="AS409" i="9" s="1"/>
  <c r="CL165" i="9"/>
  <c r="CL1212" i="9" s="1"/>
  <c r="CK165" i="9"/>
  <c r="CK1212" i="9" s="1"/>
  <c r="CJ165" i="9"/>
  <c r="CJ1212" i="9" s="1"/>
  <c r="CI165" i="9"/>
  <c r="CI1212" i="9" s="1"/>
  <c r="CH165" i="9"/>
  <c r="CH1212" i="9" s="1"/>
  <c r="CC165" i="9"/>
  <c r="CC1212" i="9" s="1"/>
  <c r="CB165" i="9"/>
  <c r="CB1212" i="9" s="1"/>
  <c r="CA165" i="9"/>
  <c r="CA1212" i="9" s="1"/>
  <c r="BZ165" i="9"/>
  <c r="BZ1212" i="9" s="1"/>
  <c r="BY165" i="9"/>
  <c r="BY1212" i="9" s="1"/>
  <c r="BX165" i="9"/>
  <c r="BX1212" i="9" s="1"/>
  <c r="BW165" i="9"/>
  <c r="BW1212" i="9" s="1"/>
  <c r="BV165" i="9"/>
  <c r="BV1212" i="9" s="1"/>
  <c r="BU165" i="9"/>
  <c r="BU1212" i="9" s="1"/>
  <c r="BT165" i="9"/>
  <c r="BT1212" i="9" s="1"/>
  <c r="BS165" i="9"/>
  <c r="BS1212" i="9" s="1"/>
  <c r="BR165" i="9"/>
  <c r="BR1212" i="9" s="1"/>
  <c r="BQ165" i="9"/>
  <c r="BQ1212" i="9" s="1"/>
  <c r="BP165" i="9"/>
  <c r="BP1212" i="9" s="1"/>
  <c r="BO165" i="9"/>
  <c r="BO1212" i="9" s="1"/>
  <c r="BN165" i="9"/>
  <c r="BN1212" i="9" s="1"/>
  <c r="BM165" i="9"/>
  <c r="BM1212" i="9" s="1"/>
  <c r="BL165" i="9"/>
  <c r="BL1212" i="9" s="1"/>
  <c r="BK165" i="9"/>
  <c r="BK1212" i="9" s="1"/>
  <c r="BJ165" i="9"/>
  <c r="BI165" i="9"/>
  <c r="BH165" i="9"/>
  <c r="BH1212" i="9" s="1"/>
  <c r="BG165" i="9"/>
  <c r="BG1212" i="9" s="1"/>
  <c r="BF165" i="9"/>
  <c r="BF1212" i="9" s="1"/>
  <c r="BE165" i="9"/>
  <c r="BE1212" i="9" s="1"/>
  <c r="BD165" i="9"/>
  <c r="BD1212" i="9" s="1"/>
  <c r="BC165" i="9"/>
  <c r="BC1212" i="9" s="1"/>
  <c r="BB165" i="9"/>
  <c r="BB1212" i="9" s="1"/>
  <c r="BA165" i="9"/>
  <c r="BA1212" i="9" s="1"/>
  <c r="AZ165" i="9"/>
  <c r="AZ1212" i="9" s="1"/>
  <c r="AY165" i="9"/>
  <c r="AY1212" i="9" s="1"/>
  <c r="AX165" i="9"/>
  <c r="AX1212" i="9" s="1"/>
  <c r="AW165" i="9"/>
  <c r="AW1212" i="9" s="1"/>
  <c r="AV165" i="9"/>
  <c r="AT165" i="9"/>
  <c r="AT1212" i="9" s="1"/>
  <c r="AR165" i="9"/>
  <c r="AR1212" i="9" s="1"/>
  <c r="AQ165" i="9"/>
  <c r="AQ1212" i="9" s="1"/>
  <c r="AP165" i="9"/>
  <c r="AP1212" i="9" s="1"/>
  <c r="AN165" i="9"/>
  <c r="AN1212" i="9" s="1"/>
  <c r="AM165" i="9"/>
  <c r="AM1212" i="9" s="1"/>
  <c r="AL165" i="9"/>
  <c r="AL1212" i="9" s="1"/>
  <c r="AK165" i="9"/>
  <c r="AK1212" i="9" s="1"/>
  <c r="AJ165" i="9"/>
  <c r="AJ1212" i="9" s="1"/>
  <c r="AI165" i="9"/>
  <c r="AI1212" i="9" s="1"/>
  <c r="AH165" i="9"/>
  <c r="AH1212" i="9" s="1"/>
  <c r="AG165" i="9"/>
  <c r="AG1212" i="9" s="1"/>
  <c r="AF165" i="9"/>
  <c r="AF1212" i="9" s="1"/>
  <c r="AE165" i="9"/>
  <c r="AE1212" i="9" s="1"/>
  <c r="AD165" i="9"/>
  <c r="AD1212" i="9" s="1"/>
  <c r="AC165" i="9"/>
  <c r="AC1212" i="9" s="1"/>
  <c r="AB165" i="9"/>
  <c r="AB1212" i="9" s="1"/>
  <c r="AA165" i="9"/>
  <c r="AA1212" i="9" s="1"/>
  <c r="Z165" i="9"/>
  <c r="Z1212" i="9" s="1"/>
  <c r="Y165" i="9"/>
  <c r="Y1212" i="9" s="1"/>
  <c r="X165" i="9"/>
  <c r="X1212" i="9" s="1"/>
  <c r="W165" i="9"/>
  <c r="W1212" i="9" s="1"/>
  <c r="V165" i="9"/>
  <c r="V1212" i="9" s="1"/>
  <c r="U165" i="9"/>
  <c r="U1212" i="9" s="1"/>
  <c r="T165" i="9"/>
  <c r="T1212" i="9" s="1"/>
  <c r="S165" i="9"/>
  <c r="S1212" i="9" s="1"/>
  <c r="R165" i="9"/>
  <c r="R1212" i="9" s="1"/>
  <c r="Q165" i="9"/>
  <c r="Q1212" i="9" s="1"/>
  <c r="P165" i="9"/>
  <c r="P1212" i="9" s="1"/>
  <c r="O165" i="9"/>
  <c r="O1212" i="9" s="1"/>
  <c r="N165" i="9"/>
  <c r="N1212" i="9" s="1"/>
  <c r="M165" i="9"/>
  <c r="M1212" i="9" s="1"/>
  <c r="L165" i="9"/>
  <c r="L1212" i="9" s="1"/>
  <c r="K165" i="9"/>
  <c r="K1212" i="9" s="1"/>
  <c r="J165" i="9"/>
  <c r="J1212" i="9" s="1"/>
  <c r="I165" i="9"/>
  <c r="I1212" i="9" s="1"/>
  <c r="H165" i="9"/>
  <c r="H1212" i="9" s="1"/>
  <c r="CG164" i="9"/>
  <c r="CF164" i="9"/>
  <c r="CD164" i="9"/>
  <c r="AS164" i="9"/>
  <c r="CG163" i="9"/>
  <c r="CF163" i="9"/>
  <c r="CD163" i="9"/>
  <c r="AS163" i="9"/>
  <c r="CG162" i="9"/>
  <c r="CF162" i="9"/>
  <c r="CD162" i="9"/>
  <c r="AS162" i="9"/>
  <c r="CG161" i="9"/>
  <c r="CF161" i="9"/>
  <c r="CD161" i="9"/>
  <c r="AS161" i="9"/>
  <c r="CG160" i="9"/>
  <c r="CF160" i="9"/>
  <c r="CD160" i="9"/>
  <c r="AS160" i="9"/>
  <c r="CG159" i="9"/>
  <c r="CF159" i="9"/>
  <c r="CD159" i="9"/>
  <c r="AS159" i="9"/>
  <c r="CG158" i="9"/>
  <c r="CF158" i="9"/>
  <c r="CD158" i="9"/>
  <c r="CE158" i="9" s="1"/>
  <c r="AS158" i="9"/>
  <c r="CG157" i="9"/>
  <c r="CF157" i="9"/>
  <c r="CD157" i="9"/>
  <c r="AS157" i="9"/>
  <c r="CG156" i="9"/>
  <c r="CF156" i="9"/>
  <c r="CD156" i="9"/>
  <c r="AS156" i="9"/>
  <c r="CG155" i="9"/>
  <c r="CF155" i="9"/>
  <c r="CD155" i="9"/>
  <c r="CE155" i="9" s="1"/>
  <c r="AS155" i="9"/>
  <c r="CG154" i="9"/>
  <c r="CF154" i="9"/>
  <c r="CD154" i="9"/>
  <c r="AS154" i="9"/>
  <c r="CG153" i="9"/>
  <c r="CF153" i="9"/>
  <c r="CD153" i="9"/>
  <c r="AS153" i="9"/>
  <c r="CG152" i="9"/>
  <c r="CF152" i="9"/>
  <c r="CD152" i="9"/>
  <c r="AS152" i="9"/>
  <c r="CG151" i="9"/>
  <c r="CF151" i="9"/>
  <c r="CD151" i="9"/>
  <c r="AS151" i="9"/>
  <c r="CG150" i="9"/>
  <c r="CF150" i="9"/>
  <c r="CD150" i="9"/>
  <c r="AS150" i="9"/>
  <c r="CG149" i="9"/>
  <c r="CF149" i="9"/>
  <c r="CD149" i="9"/>
  <c r="AS149" i="9"/>
  <c r="CG148" i="9"/>
  <c r="CF148" i="9"/>
  <c r="CD148" i="9"/>
  <c r="CE148" i="9" s="1"/>
  <c r="AS148" i="9"/>
  <c r="CG147" i="9"/>
  <c r="CF147" i="9"/>
  <c r="CD147" i="9"/>
  <c r="CE147" i="9" s="1"/>
  <c r="AS147" i="9"/>
  <c r="CG146" i="9"/>
  <c r="CF146" i="9"/>
  <c r="CE146" i="9"/>
  <c r="CD146" i="9"/>
  <c r="AS146" i="9"/>
  <c r="CG145" i="9"/>
  <c r="CF145" i="9"/>
  <c r="CD145" i="9"/>
  <c r="AS145" i="9"/>
  <c r="CG144" i="9"/>
  <c r="CF144" i="9"/>
  <c r="CD144" i="9"/>
  <c r="AS144" i="9"/>
  <c r="CG143" i="9"/>
  <c r="CF143" i="9"/>
  <c r="CD143" i="9"/>
  <c r="CE143" i="9" s="1"/>
  <c r="AS143" i="9"/>
  <c r="CG142" i="9"/>
  <c r="CF142" i="9"/>
  <c r="CD142" i="9"/>
  <c r="AS142" i="9"/>
  <c r="CG141" i="9"/>
  <c r="CF141" i="9"/>
  <c r="CD141" i="9"/>
  <c r="CE141" i="9" s="1"/>
  <c r="AS141" i="9"/>
  <c r="CG140" i="9"/>
  <c r="CF140" i="9"/>
  <c r="CD140" i="9"/>
  <c r="AS140" i="9"/>
  <c r="CG139" i="9"/>
  <c r="CF139" i="9"/>
  <c r="CD139" i="9"/>
  <c r="AS139" i="9"/>
  <c r="CG138" i="9"/>
  <c r="CF138" i="9"/>
  <c r="CD138" i="9"/>
  <c r="AS138" i="9"/>
  <c r="CG137" i="9"/>
  <c r="CF137" i="9"/>
  <c r="CD137" i="9"/>
  <c r="AS137" i="9"/>
  <c r="CG136" i="9"/>
  <c r="CF136" i="9"/>
  <c r="CD136" i="9"/>
  <c r="AS136" i="9"/>
  <c r="CG135" i="9"/>
  <c r="CF135" i="9"/>
  <c r="CD135" i="9"/>
  <c r="AS135" i="9"/>
  <c r="CG134" i="9"/>
  <c r="CF134" i="9"/>
  <c r="CD134" i="9"/>
  <c r="AS134" i="9"/>
  <c r="CG133" i="9"/>
  <c r="CF133" i="9"/>
  <c r="CD133" i="9"/>
  <c r="AS133" i="9"/>
  <c r="CG132" i="9"/>
  <c r="CF132" i="9"/>
  <c r="CD132" i="9"/>
  <c r="AS132" i="9"/>
  <c r="CG131" i="9"/>
  <c r="CF131" i="9"/>
  <c r="CD131" i="9"/>
  <c r="AS131" i="9"/>
  <c r="CG130" i="9"/>
  <c r="CF130" i="9"/>
  <c r="CD130" i="9"/>
  <c r="CE130" i="9" s="1"/>
  <c r="AS130" i="9"/>
  <c r="CG129" i="9"/>
  <c r="CF129" i="9"/>
  <c r="CD129" i="9"/>
  <c r="CE129" i="9" s="1"/>
  <c r="AS129" i="9"/>
  <c r="CG128" i="9"/>
  <c r="CF128" i="9"/>
  <c r="CD128" i="9"/>
  <c r="AS128" i="9"/>
  <c r="CG127" i="9"/>
  <c r="CF127" i="9"/>
  <c r="CD127" i="9"/>
  <c r="CE127" i="9" s="1"/>
  <c r="AS127" i="9"/>
  <c r="CG126" i="9"/>
  <c r="CF126" i="9"/>
  <c r="CD126" i="9"/>
  <c r="AS126" i="9"/>
  <c r="CG125" i="9"/>
  <c r="CF125" i="9"/>
  <c r="CD125" i="9"/>
  <c r="CE125" i="9" s="1"/>
  <c r="AS125" i="9"/>
  <c r="CG124" i="9"/>
  <c r="CF124" i="9"/>
  <c r="CE124" i="9"/>
  <c r="CD124" i="9"/>
  <c r="AS124" i="9"/>
  <c r="CG123" i="9"/>
  <c r="CF123" i="9"/>
  <c r="CD123" i="9"/>
  <c r="AS123" i="9"/>
  <c r="CG122" i="9"/>
  <c r="CF122" i="9"/>
  <c r="CD122" i="9"/>
  <c r="AS122" i="9"/>
  <c r="CG121" i="9"/>
  <c r="CF121" i="9"/>
  <c r="CD121" i="9"/>
  <c r="AS121" i="9"/>
  <c r="CG120" i="9"/>
  <c r="CF120" i="9"/>
  <c r="CD120" i="9"/>
  <c r="AS120" i="9"/>
  <c r="CG119" i="9"/>
  <c r="CF119" i="9"/>
  <c r="CD119" i="9"/>
  <c r="AS119" i="9"/>
  <c r="CG118" i="9"/>
  <c r="CF118" i="9"/>
  <c r="CD118" i="9"/>
  <c r="AS118" i="9"/>
  <c r="CG117" i="9"/>
  <c r="CF117" i="9"/>
  <c r="CD117" i="9"/>
  <c r="AS117" i="9"/>
  <c r="CG116" i="9"/>
  <c r="CF116" i="9"/>
  <c r="CD116" i="9"/>
  <c r="AS116" i="9"/>
  <c r="CG115" i="9"/>
  <c r="CF115" i="9"/>
  <c r="CD115" i="9"/>
  <c r="CE115" i="9" s="1"/>
  <c r="AS115" i="9"/>
  <c r="CG114" i="9"/>
  <c r="CF114" i="9"/>
  <c r="CD114" i="9"/>
  <c r="CE114" i="9" s="1"/>
  <c r="AS114" i="9"/>
  <c r="CG113" i="9"/>
  <c r="CF113" i="9"/>
  <c r="CD113" i="9"/>
  <c r="AS113" i="9"/>
  <c r="CG112" i="9"/>
  <c r="CF112" i="9"/>
  <c r="CD112" i="9"/>
  <c r="AS112" i="9"/>
  <c r="CG111" i="9"/>
  <c r="CF111" i="9"/>
  <c r="CD111" i="9"/>
  <c r="AS111" i="9"/>
  <c r="CG110" i="9"/>
  <c r="CF110" i="9"/>
  <c r="CD110" i="9"/>
  <c r="AS110" i="9"/>
  <c r="CG109" i="9"/>
  <c r="CF109" i="9"/>
  <c r="CD109" i="9"/>
  <c r="AS109" i="9"/>
  <c r="CG108" i="9"/>
  <c r="CF108" i="9"/>
  <c r="CD108" i="9"/>
  <c r="AS108" i="9"/>
  <c r="CG107" i="9"/>
  <c r="CF107" i="9"/>
  <c r="CD107" i="9"/>
  <c r="AS107" i="9"/>
  <c r="CG106" i="9"/>
  <c r="CF106" i="9"/>
  <c r="CD106" i="9"/>
  <c r="AS106" i="9"/>
  <c r="CG105" i="9"/>
  <c r="CF105" i="9"/>
  <c r="CD105" i="9"/>
  <c r="AS105" i="9"/>
  <c r="CG104" i="9"/>
  <c r="CF104" i="9"/>
  <c r="CD104" i="9"/>
  <c r="AS104" i="9"/>
  <c r="CE104" i="9" s="1"/>
  <c r="F104" i="9"/>
  <c r="CG103" i="9"/>
  <c r="CF103" i="9"/>
  <c r="CD103" i="9"/>
  <c r="CE103" i="9" s="1"/>
  <c r="AS103" i="9"/>
  <c r="CG102" i="9"/>
  <c r="CF102" i="9"/>
  <c r="CD102" i="9"/>
  <c r="CE102" i="9" s="1"/>
  <c r="AS102" i="9"/>
  <c r="CG101" i="9"/>
  <c r="CF101" i="9"/>
  <c r="CE101" i="9"/>
  <c r="CD101" i="9"/>
  <c r="AS101" i="9"/>
  <c r="CG100" i="9"/>
  <c r="CF100" i="9"/>
  <c r="CD100" i="9"/>
  <c r="AS100" i="9"/>
  <c r="CG99" i="9"/>
  <c r="CF99" i="9"/>
  <c r="CD99" i="9"/>
  <c r="AS99" i="9"/>
  <c r="CG98" i="9"/>
  <c r="CF98" i="9"/>
  <c r="CD98" i="9"/>
  <c r="AS98" i="9"/>
  <c r="CG97" i="9"/>
  <c r="CF97" i="9"/>
  <c r="CD97" i="9"/>
  <c r="AS97" i="9"/>
  <c r="CG96" i="9"/>
  <c r="CF96" i="9"/>
  <c r="CD96" i="9"/>
  <c r="AS96" i="9"/>
  <c r="CG95" i="9"/>
  <c r="CF95" i="9"/>
  <c r="CD95" i="9"/>
  <c r="AS95" i="9"/>
  <c r="CG94" i="9"/>
  <c r="CF94" i="9"/>
  <c r="CD94" i="9"/>
  <c r="AS94" i="9"/>
  <c r="CG93" i="9"/>
  <c r="CF93" i="9"/>
  <c r="CD93" i="9"/>
  <c r="AS93" i="9"/>
  <c r="CG92" i="9"/>
  <c r="CF92" i="9"/>
  <c r="CD92" i="9"/>
  <c r="AS92" i="9"/>
  <c r="CG91" i="9"/>
  <c r="CF91" i="9"/>
  <c r="CD91" i="9"/>
  <c r="AS91" i="9"/>
  <c r="CG90" i="9"/>
  <c r="CF90" i="9"/>
  <c r="CD90" i="9"/>
  <c r="AS90" i="9"/>
  <c r="CG89" i="9"/>
  <c r="CF89" i="9"/>
  <c r="CD89" i="9"/>
  <c r="CE89" i="9" s="1"/>
  <c r="AS89" i="9"/>
  <c r="CG88" i="9"/>
  <c r="CF88" i="9"/>
  <c r="CD88" i="9"/>
  <c r="AS88" i="9"/>
  <c r="CG87" i="9"/>
  <c r="CF87" i="9"/>
  <c r="CD87" i="9"/>
  <c r="AS87" i="9"/>
  <c r="CG86" i="9"/>
  <c r="CF86" i="9"/>
  <c r="CD86" i="9"/>
  <c r="AS86" i="9"/>
  <c r="CG85" i="9"/>
  <c r="CF85" i="9"/>
  <c r="CD85" i="9"/>
  <c r="AS85" i="9"/>
  <c r="CG84" i="9"/>
  <c r="CF84" i="9"/>
  <c r="AU84" i="9"/>
  <c r="CD84" i="9" s="1"/>
  <c r="CE84" i="9" s="1"/>
  <c r="AS84" i="9"/>
  <c r="CG83" i="9"/>
  <c r="CF83" i="9"/>
  <c r="AU83" i="9"/>
  <c r="CD83" i="9" s="1"/>
  <c r="AS83" i="9"/>
  <c r="CG82" i="9"/>
  <c r="CF82" i="9"/>
  <c r="CD82" i="9"/>
  <c r="CE82" i="9" s="1"/>
  <c r="AS82" i="9"/>
  <c r="CG81" i="9"/>
  <c r="CF81" i="9"/>
  <c r="CD81" i="9"/>
  <c r="AS81" i="9"/>
  <c r="CG80" i="9"/>
  <c r="CF80" i="9"/>
  <c r="CD80" i="9"/>
  <c r="AS80" i="9"/>
  <c r="CG79" i="9"/>
  <c r="CF79" i="9"/>
  <c r="CD79" i="9"/>
  <c r="AS79" i="9"/>
  <c r="CG78" i="9"/>
  <c r="CF78" i="9"/>
  <c r="CE78" i="9"/>
  <c r="CD78" i="9"/>
  <c r="AS78" i="9"/>
  <c r="CG77" i="9"/>
  <c r="CF77" i="9"/>
  <c r="CD77" i="9"/>
  <c r="AS77" i="9"/>
  <c r="CG76" i="9"/>
  <c r="CF76" i="9"/>
  <c r="CD76" i="9"/>
  <c r="AS76" i="9"/>
  <c r="CG75" i="9"/>
  <c r="CG74" i="9"/>
  <c r="CF74" i="9"/>
  <c r="CD74" i="9"/>
  <c r="AS74" i="9"/>
  <c r="CG73" i="9"/>
  <c r="CF73" i="9"/>
  <c r="CD73" i="9"/>
  <c r="AS73" i="9"/>
  <c r="CG72" i="9"/>
  <c r="CF72" i="9"/>
  <c r="CD72" i="9"/>
  <c r="AS72" i="9"/>
  <c r="CG71" i="9"/>
  <c r="CF71" i="9"/>
  <c r="CD71" i="9"/>
  <c r="AS71" i="9"/>
  <c r="CG70" i="9"/>
  <c r="CF70" i="9"/>
  <c r="CD70" i="9"/>
  <c r="AS70" i="9"/>
  <c r="CG69" i="9"/>
  <c r="CF69" i="9"/>
  <c r="CD69" i="9"/>
  <c r="CE69" i="9" s="1"/>
  <c r="AS69" i="9"/>
  <c r="CG68" i="9"/>
  <c r="CF68" i="9"/>
  <c r="CD68" i="9"/>
  <c r="AS68" i="9"/>
  <c r="CG67" i="9"/>
  <c r="CF67" i="9"/>
  <c r="AU67" i="9"/>
  <c r="CD67" i="9" s="1"/>
  <c r="AS67" i="9"/>
  <c r="CG66" i="9"/>
  <c r="CF66" i="9"/>
  <c r="AU66" i="9"/>
  <c r="CD66" i="9" s="1"/>
  <c r="CE66" i="9" s="1"/>
  <c r="AS66" i="9"/>
  <c r="CG65" i="9"/>
  <c r="CF65" i="9"/>
  <c r="AU65" i="9"/>
  <c r="CD65" i="9" s="1"/>
  <c r="CE65" i="9" s="1"/>
  <c r="AS65" i="9"/>
  <c r="CG64" i="9"/>
  <c r="CF64" i="9"/>
  <c r="CD64" i="9"/>
  <c r="AS64" i="9"/>
  <c r="CG63" i="9"/>
  <c r="CF63" i="9"/>
  <c r="CD63" i="9"/>
  <c r="AS63" i="9"/>
  <c r="CG62" i="9"/>
  <c r="CF62" i="9"/>
  <c r="CD62" i="9"/>
  <c r="CE62" i="9" s="1"/>
  <c r="AS62" i="9"/>
  <c r="CG61" i="9"/>
  <c r="CF61" i="9"/>
  <c r="CD61" i="9"/>
  <c r="CE61" i="9" s="1"/>
  <c r="AS61" i="9"/>
  <c r="CG60" i="9"/>
  <c r="CF60" i="9"/>
  <c r="CD60" i="9"/>
  <c r="AS60" i="9"/>
  <c r="CG59" i="9"/>
  <c r="CF59" i="9"/>
  <c r="CD59" i="9"/>
  <c r="AS59" i="9"/>
  <c r="CG58" i="9"/>
  <c r="CF58" i="9"/>
  <c r="CD58" i="9"/>
  <c r="CE58" i="9" s="1"/>
  <c r="AS58" i="9"/>
  <c r="CG57" i="9"/>
  <c r="CF57" i="9"/>
  <c r="CE57" i="9"/>
  <c r="CD57" i="9"/>
  <c r="AS57" i="9"/>
  <c r="CG56" i="9"/>
  <c r="CF56" i="9"/>
  <c r="CD56" i="9"/>
  <c r="CE56" i="9" s="1"/>
  <c r="AS56" i="9"/>
  <c r="CG55" i="9"/>
  <c r="CF55" i="9"/>
  <c r="CD55" i="9"/>
  <c r="AS55" i="9"/>
  <c r="CG54" i="9"/>
  <c r="CF54" i="9"/>
  <c r="CD54" i="9"/>
  <c r="AS54" i="9"/>
  <c r="CG53" i="9"/>
  <c r="CF53" i="9"/>
  <c r="CD53" i="9"/>
  <c r="AS53" i="9"/>
  <c r="CG52" i="9"/>
  <c r="CF52" i="9"/>
  <c r="CD52" i="9"/>
  <c r="AS52" i="9"/>
  <c r="CG51" i="9"/>
  <c r="CF51" i="9"/>
  <c r="CD51" i="9"/>
  <c r="AS51" i="9"/>
  <c r="CG50" i="9"/>
  <c r="CF50" i="9"/>
  <c r="CD50" i="9"/>
  <c r="AS50" i="9"/>
  <c r="CG49" i="9"/>
  <c r="CF49" i="9"/>
  <c r="CD49" i="9"/>
  <c r="AS49" i="9"/>
  <c r="CG48" i="9"/>
  <c r="CF48" i="9"/>
  <c r="CD48" i="9"/>
  <c r="AS48" i="9"/>
  <c r="CG47" i="9"/>
  <c r="CF47" i="9"/>
  <c r="CD47" i="9"/>
  <c r="AS47" i="9"/>
  <c r="CG46" i="9"/>
  <c r="CF46" i="9"/>
  <c r="CD46" i="9"/>
  <c r="CE46" i="9" s="1"/>
  <c r="AS46" i="9"/>
  <c r="CG45" i="9"/>
  <c r="CF45" i="9"/>
  <c r="CD45" i="9"/>
  <c r="AS45" i="9"/>
  <c r="C45" i="9"/>
  <c r="CN44" i="9"/>
  <c r="CM44" i="9"/>
  <c r="CL44" i="9"/>
  <c r="CK44" i="9"/>
  <c r="CJ44" i="9"/>
  <c r="CI44" i="9"/>
  <c r="CH44" i="9"/>
  <c r="CC44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W44" i="9"/>
  <c r="AV44" i="9"/>
  <c r="AU44" i="9"/>
  <c r="AT44" i="9"/>
  <c r="AR44" i="9"/>
  <c r="AQ44" i="9"/>
  <c r="AP44" i="9"/>
  <c r="AN44" i="9"/>
  <c r="AM44" i="9"/>
  <c r="AL44" i="9"/>
  <c r="AK44" i="9"/>
  <c r="AJ44" i="9"/>
  <c r="AI44" i="9"/>
  <c r="AH44" i="9"/>
  <c r="AG44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CG43" i="9"/>
  <c r="CF43" i="9"/>
  <c r="CD43" i="9"/>
  <c r="AS43" i="9"/>
  <c r="CG42" i="9"/>
  <c r="CF42" i="9"/>
  <c r="CD42" i="9"/>
  <c r="AS42" i="9"/>
  <c r="CG41" i="9"/>
  <c r="CF41" i="9"/>
  <c r="CD41" i="9"/>
  <c r="AS41" i="9"/>
  <c r="CG40" i="9"/>
  <c r="CF40" i="9"/>
  <c r="CD40" i="9"/>
  <c r="AS40" i="9"/>
  <c r="CG39" i="9"/>
  <c r="CF39" i="9"/>
  <c r="CD39" i="9"/>
  <c r="AS39" i="9"/>
  <c r="CG38" i="9"/>
  <c r="CF38" i="9"/>
  <c r="CD38" i="9"/>
  <c r="AS38" i="9"/>
  <c r="CG37" i="9"/>
  <c r="CF37" i="9"/>
  <c r="CD37" i="9"/>
  <c r="AS37" i="9"/>
  <c r="CG36" i="9"/>
  <c r="CF36" i="9"/>
  <c r="CD36" i="9"/>
  <c r="AS36" i="9"/>
  <c r="CG35" i="9"/>
  <c r="CF35" i="9"/>
  <c r="CD35" i="9"/>
  <c r="AS35" i="9"/>
  <c r="CG34" i="9"/>
  <c r="CF34" i="9"/>
  <c r="CD34" i="9"/>
  <c r="AS34" i="9"/>
  <c r="CG33" i="9"/>
  <c r="CF33" i="9"/>
  <c r="CD33" i="9"/>
  <c r="AS33" i="9"/>
  <c r="CG32" i="9"/>
  <c r="CF32" i="9"/>
  <c r="CD32" i="9"/>
  <c r="AS32" i="9"/>
  <c r="CG31" i="9"/>
  <c r="CF31" i="9"/>
  <c r="CD31" i="9"/>
  <c r="CE31" i="9" s="1"/>
  <c r="AS31" i="9"/>
  <c r="CG30" i="9"/>
  <c r="CF30" i="9"/>
  <c r="CD30" i="9"/>
  <c r="CE30" i="9" s="1"/>
  <c r="AS30" i="9"/>
  <c r="CG29" i="9"/>
  <c r="CF29" i="9"/>
  <c r="CD29" i="9"/>
  <c r="AS29" i="9"/>
  <c r="CG28" i="9"/>
  <c r="CF28" i="9"/>
  <c r="CD28" i="9"/>
  <c r="CE28" i="9" s="1"/>
  <c r="AS28" i="9"/>
  <c r="CG27" i="9"/>
  <c r="CF27" i="9"/>
  <c r="CE27" i="9"/>
  <c r="CD27" i="9"/>
  <c r="AS27" i="9"/>
  <c r="CG26" i="9"/>
  <c r="CF26" i="9"/>
  <c r="CD26" i="9"/>
  <c r="AS26" i="9"/>
  <c r="CF1344" i="10"/>
  <c r="CE1344" i="10"/>
  <c r="CC1344" i="10"/>
  <c r="AR1344" i="10"/>
  <c r="CK1343" i="10"/>
  <c r="CJ1343" i="10"/>
  <c r="CI1343" i="10"/>
  <c r="CH1343" i="10"/>
  <c r="CG1343" i="10"/>
  <c r="CB1343" i="10"/>
  <c r="CA1343" i="10"/>
  <c r="BZ1343" i="10"/>
  <c r="BY1343" i="10"/>
  <c r="BX1343" i="10"/>
  <c r="BW1343" i="10"/>
  <c r="BV1343" i="10"/>
  <c r="BU1343" i="10"/>
  <c r="BT1343" i="10"/>
  <c r="BS1343" i="10"/>
  <c r="BR1343" i="10"/>
  <c r="BQ1343" i="10"/>
  <c r="BP1343" i="10"/>
  <c r="BO1343" i="10"/>
  <c r="BN1343" i="10"/>
  <c r="BM1343" i="10"/>
  <c r="BL1343" i="10"/>
  <c r="BK1343" i="10"/>
  <c r="BJ1343" i="10"/>
  <c r="BI1343" i="10"/>
  <c r="BH1343" i="10"/>
  <c r="BG1343" i="10"/>
  <c r="BF1343" i="10"/>
  <c r="BE1343" i="10"/>
  <c r="BD1343" i="10"/>
  <c r="BC1343" i="10"/>
  <c r="BB1343" i="10"/>
  <c r="BA1343" i="10"/>
  <c r="AZ1343" i="10"/>
  <c r="AY1343" i="10"/>
  <c r="AX1343" i="10"/>
  <c r="AW1343" i="10"/>
  <c r="AV1343" i="10"/>
  <c r="AU1343" i="10"/>
  <c r="AT1343" i="10"/>
  <c r="AS1343" i="10"/>
  <c r="AQ1343" i="10"/>
  <c r="AP1343" i="10"/>
  <c r="AO1343" i="10"/>
  <c r="AN1343" i="10"/>
  <c r="AM1343" i="10"/>
  <c r="AL1343" i="10"/>
  <c r="AK1343" i="10"/>
  <c r="AJ1343" i="10"/>
  <c r="AI1343" i="10"/>
  <c r="AH1343" i="10"/>
  <c r="AG1343" i="10"/>
  <c r="AE1343" i="10"/>
  <c r="AD1343" i="10"/>
  <c r="AC1343" i="10"/>
  <c r="AB1343" i="10"/>
  <c r="AA1343" i="10"/>
  <c r="Z1343" i="10"/>
  <c r="Y1343" i="10"/>
  <c r="X1343" i="10"/>
  <c r="CF1342" i="10"/>
  <c r="CE1342" i="10"/>
  <c r="CC1342" i="10"/>
  <c r="AR1342" i="10"/>
  <c r="CF1341" i="10"/>
  <c r="CE1341" i="10"/>
  <c r="CC1341" i="10"/>
  <c r="AR1341" i="10"/>
  <c r="CF1340" i="10"/>
  <c r="CE1340" i="10"/>
  <c r="CC1340" i="10"/>
  <c r="AR1340" i="10"/>
  <c r="CF1339" i="10"/>
  <c r="CE1339" i="10"/>
  <c r="CC1339" i="10"/>
  <c r="AR1339" i="10"/>
  <c r="AF1339" i="10"/>
  <c r="AF1343" i="10" s="1"/>
  <c r="CF1338" i="10"/>
  <c r="CE1338" i="10"/>
  <c r="CC1338" i="10"/>
  <c r="AR1338" i="10"/>
  <c r="CM1337" i="10"/>
  <c r="CL1337" i="10"/>
  <c r="CK1337" i="10"/>
  <c r="CJ1337" i="10"/>
  <c r="CI1337" i="10"/>
  <c r="CH1337" i="10"/>
  <c r="CG1337" i="10"/>
  <c r="CF1337" i="10"/>
  <c r="CE1337" i="10"/>
  <c r="CA1337" i="10"/>
  <c r="BZ1337" i="10"/>
  <c r="BY1337" i="10"/>
  <c r="BX1337" i="10"/>
  <c r="BW1337" i="10"/>
  <c r="BV1337" i="10"/>
  <c r="BU1337" i="10"/>
  <c r="BT1337" i="10"/>
  <c r="BS1337" i="10"/>
  <c r="BR1337" i="10"/>
  <c r="BQ1337" i="10"/>
  <c r="BP1337" i="10"/>
  <c r="BO1337" i="10"/>
  <c r="BN1337" i="10"/>
  <c r="BM1337" i="10"/>
  <c r="BL1337" i="10"/>
  <c r="BK1337" i="10"/>
  <c r="BJ1337" i="10"/>
  <c r="BI1337" i="10"/>
  <c r="BH1337" i="10"/>
  <c r="BG1337" i="10"/>
  <c r="BF1337" i="10"/>
  <c r="BE1337" i="10"/>
  <c r="BD1337" i="10"/>
  <c r="BC1337" i="10"/>
  <c r="BB1337" i="10"/>
  <c r="BA1337" i="10"/>
  <c r="AZ1337" i="10"/>
  <c r="AY1337" i="10"/>
  <c r="AX1337" i="10"/>
  <c r="AW1337" i="10"/>
  <c r="AV1337" i="10"/>
  <c r="AU1337" i="10"/>
  <c r="AT1337" i="10"/>
  <c r="AS1337" i="10"/>
  <c r="AQ1337" i="10"/>
  <c r="AP1337" i="10"/>
  <c r="AO1337" i="10"/>
  <c r="AN1337" i="10"/>
  <c r="AM1337" i="10"/>
  <c r="AL1337" i="10"/>
  <c r="AK1337" i="10"/>
  <c r="AJ1337" i="10"/>
  <c r="AI1337" i="10"/>
  <c r="AH1337" i="10"/>
  <c r="AG1337" i="10"/>
  <c r="AF1337" i="10"/>
  <c r="AE1337" i="10"/>
  <c r="AD1337" i="10"/>
  <c r="AC1337" i="10"/>
  <c r="AB1337" i="10"/>
  <c r="AA1337" i="10"/>
  <c r="Z1337" i="10"/>
  <c r="Y1337" i="10"/>
  <c r="X1337" i="10"/>
  <c r="W1337" i="10"/>
  <c r="V1337" i="10"/>
  <c r="U1337" i="10"/>
  <c r="T1337" i="10"/>
  <c r="S1337" i="10"/>
  <c r="R1337" i="10"/>
  <c r="Q1337" i="10"/>
  <c r="P1337" i="10"/>
  <c r="O1337" i="10"/>
  <c r="N1337" i="10"/>
  <c r="M1337" i="10"/>
  <c r="L1337" i="10"/>
  <c r="K1337" i="10"/>
  <c r="J1337" i="10"/>
  <c r="I1337" i="10"/>
  <c r="CF1336" i="10"/>
  <c r="CE1336" i="10"/>
  <c r="CC1336" i="10"/>
  <c r="AR1336" i="10"/>
  <c r="CF1335" i="10"/>
  <c r="CE1335" i="10"/>
  <c r="CC1335" i="10"/>
  <c r="AR1335" i="10"/>
  <c r="CF1334" i="10"/>
  <c r="CE1334" i="10"/>
  <c r="CB1334" i="10"/>
  <c r="AR1334" i="10"/>
  <c r="CF1333" i="10"/>
  <c r="CE1333" i="10"/>
  <c r="CC1333" i="10"/>
  <c r="CD1333" i="10" s="1"/>
  <c r="AR1333" i="10"/>
  <c r="CF1332" i="10"/>
  <c r="CE1332" i="10"/>
  <c r="CC1332" i="10"/>
  <c r="AR1332" i="10"/>
  <c r="CF1331" i="10"/>
  <c r="CE1331" i="10"/>
  <c r="CC1331" i="10"/>
  <c r="CD1331" i="10" s="1"/>
  <c r="AR1331" i="10"/>
  <c r="CF1330" i="10"/>
  <c r="CE1330" i="10"/>
  <c r="CC1330" i="10"/>
  <c r="CD1330" i="10" s="1"/>
  <c r="AR1330" i="10"/>
  <c r="CF1329" i="10"/>
  <c r="CE1329" i="10"/>
  <c r="CC1329" i="10"/>
  <c r="AR1329" i="10"/>
  <c r="CF1328" i="10"/>
  <c r="CE1328" i="10"/>
  <c r="CC1328" i="10"/>
  <c r="AR1328" i="10"/>
  <c r="CF1327" i="10"/>
  <c r="CE1327" i="10"/>
  <c r="CC1327" i="10"/>
  <c r="AR1327" i="10"/>
  <c r="CF1326" i="10"/>
  <c r="CE1326" i="10"/>
  <c r="CC1326" i="10"/>
  <c r="AR1326" i="10"/>
  <c r="CF1325" i="10"/>
  <c r="CE1325" i="10"/>
  <c r="CC1325" i="10"/>
  <c r="AR1325" i="10"/>
  <c r="CF1324" i="10"/>
  <c r="CE1324" i="10"/>
  <c r="CC1324" i="10"/>
  <c r="AR1324" i="10"/>
  <c r="CF1323" i="10"/>
  <c r="CE1323" i="10"/>
  <c r="CC1323" i="10"/>
  <c r="AR1323" i="10"/>
  <c r="CF1322" i="10"/>
  <c r="CE1322" i="10"/>
  <c r="CC1322" i="10"/>
  <c r="AR1322" i="10"/>
  <c r="CF1321" i="10"/>
  <c r="CE1321" i="10"/>
  <c r="CC1321" i="10"/>
  <c r="AR1321" i="10"/>
  <c r="CF1320" i="10"/>
  <c r="CE1320" i="10"/>
  <c r="CC1320" i="10"/>
  <c r="AR1320" i="10"/>
  <c r="CF1319" i="10"/>
  <c r="CE1319" i="10"/>
  <c r="CC1319" i="10"/>
  <c r="AR1319" i="10"/>
  <c r="CF1318" i="10"/>
  <c r="CE1318" i="10"/>
  <c r="CC1318" i="10"/>
  <c r="AR1318" i="10"/>
  <c r="CF1317" i="10"/>
  <c r="CE1317" i="10"/>
  <c r="CC1317" i="10"/>
  <c r="AR1317" i="10"/>
  <c r="CF1316" i="10"/>
  <c r="CE1316" i="10"/>
  <c r="CC1316" i="10"/>
  <c r="AR1316" i="10"/>
  <c r="CF1315" i="10"/>
  <c r="CE1315" i="10"/>
  <c r="CC1315" i="10"/>
  <c r="AR1315" i="10"/>
  <c r="CF1314" i="10"/>
  <c r="CE1314" i="10"/>
  <c r="CC1314" i="10"/>
  <c r="AR1314" i="10"/>
  <c r="CF1313" i="10"/>
  <c r="CE1313" i="10"/>
  <c r="CC1313" i="10"/>
  <c r="CD1313" i="10" s="1"/>
  <c r="AR1313" i="10"/>
  <c r="CF1312" i="10"/>
  <c r="CE1312" i="10"/>
  <c r="CC1312" i="10"/>
  <c r="AR1312" i="10"/>
  <c r="CF1311" i="10"/>
  <c r="CE1311" i="10"/>
  <c r="CC1311" i="10"/>
  <c r="AR1311" i="10"/>
  <c r="CF1310" i="10"/>
  <c r="CE1310" i="10"/>
  <c r="CC1310" i="10"/>
  <c r="AR1310" i="10"/>
  <c r="CF1309" i="10"/>
  <c r="CE1309" i="10"/>
  <c r="CC1309" i="10"/>
  <c r="AR1309" i="10"/>
  <c r="CF1308" i="10"/>
  <c r="CE1308" i="10"/>
  <c r="CC1308" i="10"/>
  <c r="AR1308" i="10"/>
  <c r="CF1307" i="10"/>
  <c r="CE1307" i="10"/>
  <c r="CC1307" i="10"/>
  <c r="AR1307" i="10"/>
  <c r="CF1306" i="10"/>
  <c r="CE1306" i="10"/>
  <c r="CC1306" i="10"/>
  <c r="AR1306" i="10"/>
  <c r="CF1305" i="10"/>
  <c r="CE1305" i="10"/>
  <c r="CC1305" i="10"/>
  <c r="AR1305" i="10"/>
  <c r="CF1304" i="10"/>
  <c r="CE1304" i="10"/>
  <c r="CC1304" i="10"/>
  <c r="AR1304" i="10"/>
  <c r="CF1303" i="10"/>
  <c r="CE1303" i="10"/>
  <c r="CC1303" i="10"/>
  <c r="AR1303" i="10"/>
  <c r="CF1302" i="10"/>
  <c r="CE1302" i="10"/>
  <c r="CC1302" i="10"/>
  <c r="AR1302" i="10"/>
  <c r="CF1301" i="10"/>
  <c r="CE1301" i="10"/>
  <c r="CC1301" i="10"/>
  <c r="CD1301" i="10" s="1"/>
  <c r="AR1301" i="10"/>
  <c r="CF1300" i="10"/>
  <c r="CE1300" i="10"/>
  <c r="CC1300" i="10"/>
  <c r="AR1300" i="10"/>
  <c r="CF1299" i="10"/>
  <c r="CE1299" i="10"/>
  <c r="CC1299" i="10"/>
  <c r="CD1299" i="10" s="1"/>
  <c r="AR1299" i="10"/>
  <c r="CF1298" i="10"/>
  <c r="CE1298" i="10"/>
  <c r="CC1298" i="10"/>
  <c r="CD1298" i="10" s="1"/>
  <c r="AR1298" i="10"/>
  <c r="CF1297" i="10"/>
  <c r="CE1297" i="10"/>
  <c r="CD1297" i="10"/>
  <c r="CC1297" i="10"/>
  <c r="AR1297" i="10"/>
  <c r="CF1296" i="10"/>
  <c r="CE1296" i="10"/>
  <c r="CC1296" i="10"/>
  <c r="AR1296" i="10"/>
  <c r="CF1295" i="10"/>
  <c r="CE1295" i="10"/>
  <c r="CC1295" i="10"/>
  <c r="AR1295" i="10"/>
  <c r="CF1294" i="10"/>
  <c r="CE1294" i="10"/>
  <c r="CC1294" i="10"/>
  <c r="AR1294" i="10"/>
  <c r="CF1293" i="10"/>
  <c r="CE1293" i="10"/>
  <c r="CC1293" i="10"/>
  <c r="AR1293" i="10"/>
  <c r="CF1292" i="10"/>
  <c r="CE1292" i="10"/>
  <c r="CC1292" i="10"/>
  <c r="AR1292" i="10"/>
  <c r="CF1291" i="10"/>
  <c r="CE1291" i="10"/>
  <c r="CC1291" i="10"/>
  <c r="AR1291" i="10"/>
  <c r="CF1290" i="10"/>
  <c r="CE1290" i="10"/>
  <c r="CC1290" i="10"/>
  <c r="AR1290" i="10"/>
  <c r="CI1289" i="10"/>
  <c r="CH1289" i="10"/>
  <c r="CG1289" i="10"/>
  <c r="CB1289" i="10"/>
  <c r="CA1289" i="10"/>
  <c r="BZ1289" i="10"/>
  <c r="BY1289" i="10"/>
  <c r="BX1289" i="10"/>
  <c r="BW1289" i="10"/>
  <c r="BV1289" i="10"/>
  <c r="BU1289" i="10"/>
  <c r="BT1289" i="10"/>
  <c r="BS1289" i="10"/>
  <c r="BR1289" i="10"/>
  <c r="BQ1289" i="10"/>
  <c r="BP1289" i="10"/>
  <c r="BO1289" i="10"/>
  <c r="BN1289" i="10"/>
  <c r="BM1289" i="10"/>
  <c r="BL1289" i="10"/>
  <c r="BK1289" i="10"/>
  <c r="BJ1289" i="10"/>
  <c r="BI1289" i="10"/>
  <c r="BH1289" i="10"/>
  <c r="BG1289" i="10"/>
  <c r="BF1289" i="10"/>
  <c r="BE1289" i="10"/>
  <c r="BD1289" i="10"/>
  <c r="BC1289" i="10"/>
  <c r="BB1289" i="10"/>
  <c r="BA1289" i="10"/>
  <c r="AZ1289" i="10"/>
  <c r="AY1289" i="10"/>
  <c r="AX1289" i="10"/>
  <c r="AW1289" i="10"/>
  <c r="AV1289" i="10"/>
  <c r="AU1289" i="10"/>
  <c r="AT1289" i="10"/>
  <c r="AS1289" i="10"/>
  <c r="AQ1289" i="10"/>
  <c r="AP1289" i="10"/>
  <c r="AO1289" i="10"/>
  <c r="AN1289" i="10"/>
  <c r="AM1289" i="10"/>
  <c r="AL1289" i="10"/>
  <c r="AK1289" i="10"/>
  <c r="AJ1289" i="10"/>
  <c r="AI1289" i="10"/>
  <c r="AH1289" i="10"/>
  <c r="AG1289" i="10"/>
  <c r="AF1289" i="10"/>
  <c r="AE1289" i="10"/>
  <c r="AD1289" i="10"/>
  <c r="AC1289" i="10"/>
  <c r="AB1289" i="10"/>
  <c r="AA1289" i="10"/>
  <c r="Z1289" i="10"/>
  <c r="Y1289" i="10"/>
  <c r="X1289" i="10"/>
  <c r="W1289" i="10"/>
  <c r="V1289" i="10"/>
  <c r="U1289" i="10"/>
  <c r="T1289" i="10"/>
  <c r="S1289" i="10"/>
  <c r="R1289" i="10"/>
  <c r="Q1289" i="10"/>
  <c r="P1289" i="10"/>
  <c r="O1289" i="10"/>
  <c r="N1289" i="10"/>
  <c r="M1289" i="10"/>
  <c r="L1289" i="10"/>
  <c r="K1289" i="10"/>
  <c r="J1289" i="10"/>
  <c r="I1289" i="10"/>
  <c r="H1289" i="10"/>
  <c r="CF1288" i="10"/>
  <c r="CF1289" i="10" s="1"/>
  <c r="CE1288" i="10"/>
  <c r="CC1288" i="10"/>
  <c r="AR1288" i="10"/>
  <c r="AR1289" i="10" s="1"/>
  <c r="CI1287" i="10"/>
  <c r="CH1287" i="10"/>
  <c r="CG1287" i="10"/>
  <c r="CF1287" i="10"/>
  <c r="CE1287" i="10"/>
  <c r="CB1287" i="10"/>
  <c r="CA1287" i="10"/>
  <c r="BZ1287" i="10"/>
  <c r="BY1287" i="10"/>
  <c r="BX1287" i="10"/>
  <c r="BW1287" i="10"/>
  <c r="BV1287" i="10"/>
  <c r="BU1287" i="10"/>
  <c r="BT1287" i="10"/>
  <c r="BS1287" i="10"/>
  <c r="BR1287" i="10"/>
  <c r="BQ1287" i="10"/>
  <c r="BP1287" i="10"/>
  <c r="BO1287" i="10"/>
  <c r="BN1287" i="10"/>
  <c r="BM1287" i="10"/>
  <c r="BL1287" i="10"/>
  <c r="BK1287" i="10"/>
  <c r="BJ1287" i="10"/>
  <c r="BI1287" i="10"/>
  <c r="BH1287" i="10"/>
  <c r="BG1287" i="10"/>
  <c r="BF1287" i="10"/>
  <c r="BE1287" i="10"/>
  <c r="BD1287" i="10"/>
  <c r="BC1287" i="10"/>
  <c r="BB1287" i="10"/>
  <c r="BA1287" i="10"/>
  <c r="AZ1287" i="10"/>
  <c r="AY1287" i="10"/>
  <c r="AX1287" i="10"/>
  <c r="AW1287" i="10"/>
  <c r="AV1287" i="10"/>
  <c r="AU1287" i="10"/>
  <c r="AT1287" i="10"/>
  <c r="AS1287" i="10"/>
  <c r="AQ1287" i="10"/>
  <c r="AP1287" i="10"/>
  <c r="AO1287" i="10"/>
  <c r="AN1287" i="10"/>
  <c r="AM1287" i="10"/>
  <c r="AL1287" i="10"/>
  <c r="AK1287" i="10"/>
  <c r="AJ1287" i="10"/>
  <c r="AI1287" i="10"/>
  <c r="AH1287" i="10"/>
  <c r="AG1287" i="10"/>
  <c r="AF1287" i="10"/>
  <c r="AE1287" i="10"/>
  <c r="AD1287" i="10"/>
  <c r="AC1287" i="10"/>
  <c r="AB1287" i="10"/>
  <c r="AA1287" i="10"/>
  <c r="Z1287" i="10"/>
  <c r="Y1287" i="10"/>
  <c r="CE1286" i="10"/>
  <c r="CC1286" i="10"/>
  <c r="AR1286" i="10"/>
  <c r="E1286" i="10"/>
  <c r="CF1285" i="10"/>
  <c r="CE1285" i="10"/>
  <c r="CC1285" i="10"/>
  <c r="AR1285" i="10"/>
  <c r="CF1284" i="10"/>
  <c r="CE1284" i="10"/>
  <c r="CC1284" i="10"/>
  <c r="AR1284" i="10"/>
  <c r="CF1283" i="10"/>
  <c r="CE1283" i="10"/>
  <c r="CC1283" i="10"/>
  <c r="CD1283" i="10" s="1"/>
  <c r="AR1283" i="10"/>
  <c r="CT1282" i="10"/>
  <c r="CS1282" i="10"/>
  <c r="CR1282" i="10"/>
  <c r="CQ1282" i="10"/>
  <c r="CP1282" i="10"/>
  <c r="CO1282" i="10"/>
  <c r="CF1282" i="10"/>
  <c r="CE1282" i="10"/>
  <c r="CL1277" i="10"/>
  <c r="CK1277" i="10"/>
  <c r="CJ1277" i="10"/>
  <c r="CI1277" i="10"/>
  <c r="CH1277" i="10"/>
  <c r="CG1277" i="10"/>
  <c r="CF1277" i="10"/>
  <c r="CE1277" i="10"/>
  <c r="CB1277" i="10"/>
  <c r="CA1277" i="10"/>
  <c r="BZ1277" i="10"/>
  <c r="BY1277" i="10"/>
  <c r="BX1277" i="10"/>
  <c r="BW1277" i="10"/>
  <c r="BV1277" i="10"/>
  <c r="BU1277" i="10"/>
  <c r="BT1277" i="10"/>
  <c r="BS1277" i="10"/>
  <c r="BR1277" i="10"/>
  <c r="BQ1277" i="10"/>
  <c r="BP1277" i="10"/>
  <c r="BO1277" i="10"/>
  <c r="BN1277" i="10"/>
  <c r="BM1277" i="10"/>
  <c r="BL1277" i="10"/>
  <c r="BK1277" i="10"/>
  <c r="BJ1277" i="10"/>
  <c r="BI1277" i="10"/>
  <c r="BH1277" i="10"/>
  <c r="BG1277" i="10"/>
  <c r="BF1277" i="10"/>
  <c r="BE1277" i="10"/>
  <c r="BD1277" i="10"/>
  <c r="BC1277" i="10"/>
  <c r="BB1277" i="10"/>
  <c r="BA1277" i="10"/>
  <c r="AZ1277" i="10"/>
  <c r="AY1277" i="10"/>
  <c r="AX1277" i="10"/>
  <c r="AW1277" i="10"/>
  <c r="AV1277" i="10"/>
  <c r="AU1277" i="10"/>
  <c r="AT1277" i="10"/>
  <c r="AS1277" i="10"/>
  <c r="AQ1277" i="10"/>
  <c r="AP1277" i="10"/>
  <c r="AO1277" i="10"/>
  <c r="AN1277" i="10"/>
  <c r="AM1277" i="10"/>
  <c r="AL1277" i="10"/>
  <c r="AK1277" i="10"/>
  <c r="AJ1277" i="10"/>
  <c r="AI1277" i="10"/>
  <c r="AH1277" i="10"/>
  <c r="AG1277" i="10"/>
  <c r="AF1277" i="10"/>
  <c r="AE1277" i="10"/>
  <c r="AD1277" i="10"/>
  <c r="CF1276" i="10"/>
  <c r="CE1276" i="10"/>
  <c r="CC1276" i="10"/>
  <c r="CC1277" i="10" s="1"/>
  <c r="AR1276" i="10"/>
  <c r="AR1277" i="10" s="1"/>
  <c r="CK1275" i="10"/>
  <c r="CJ1275" i="10"/>
  <c r="CI1275" i="10"/>
  <c r="CH1275" i="10"/>
  <c r="CG1275" i="10"/>
  <c r="CF1275" i="10"/>
  <c r="CE1275" i="10"/>
  <c r="CB1275" i="10"/>
  <c r="CA1275" i="10"/>
  <c r="BZ1275" i="10"/>
  <c r="BY1275" i="10"/>
  <c r="BX1275" i="10"/>
  <c r="BW1275" i="10"/>
  <c r="BV1275" i="10"/>
  <c r="BU1275" i="10"/>
  <c r="BT1275" i="10"/>
  <c r="BS1275" i="10"/>
  <c r="BR1275" i="10"/>
  <c r="BQ1275" i="10"/>
  <c r="BP1275" i="10"/>
  <c r="BO1275" i="10"/>
  <c r="BN1275" i="10"/>
  <c r="BM1275" i="10"/>
  <c r="BL1275" i="10"/>
  <c r="BK1275" i="10"/>
  <c r="BJ1275" i="10"/>
  <c r="BI1275" i="10"/>
  <c r="BG1275" i="10"/>
  <c r="BF1275" i="10"/>
  <c r="BE1275" i="10"/>
  <c r="BD1275" i="10"/>
  <c r="BC1275" i="10"/>
  <c r="BB1275" i="10"/>
  <c r="BA1275" i="10"/>
  <c r="AZ1275" i="10"/>
  <c r="AY1275" i="10"/>
  <c r="AX1275" i="10"/>
  <c r="AW1275" i="10"/>
  <c r="AV1275" i="10"/>
  <c r="AS1275" i="10"/>
  <c r="AQ1275" i="10"/>
  <c r="AP1275" i="10"/>
  <c r="AO1275" i="10"/>
  <c r="AN1275" i="10"/>
  <c r="AM1275" i="10"/>
  <c r="AL1275" i="10"/>
  <c r="AK1275" i="10"/>
  <c r="AJ1275" i="10"/>
  <c r="AI1275" i="10"/>
  <c r="AH1275" i="10"/>
  <c r="AG1275" i="10"/>
  <c r="AF1275" i="10"/>
  <c r="AE1275" i="10"/>
  <c r="AD1275" i="10"/>
  <c r="AC1275" i="10"/>
  <c r="AB1275" i="10"/>
  <c r="AA1275" i="10"/>
  <c r="Z1275" i="10"/>
  <c r="Y1275" i="10"/>
  <c r="X1275" i="10"/>
  <c r="W1275" i="10"/>
  <c r="V1275" i="10"/>
  <c r="U1275" i="10"/>
  <c r="T1275" i="10"/>
  <c r="S1275" i="10"/>
  <c r="R1275" i="10"/>
  <c r="Q1275" i="10"/>
  <c r="P1275" i="10"/>
  <c r="O1275" i="10"/>
  <c r="N1275" i="10"/>
  <c r="M1275" i="10"/>
  <c r="L1275" i="10"/>
  <c r="K1275" i="10"/>
  <c r="J1275" i="10"/>
  <c r="I1275" i="10"/>
  <c r="H1275" i="10"/>
  <c r="CF1274" i="10"/>
  <c r="CE1274" i="10"/>
  <c r="CC1274" i="10"/>
  <c r="AR1274" i="10"/>
  <c r="CF1273" i="10"/>
  <c r="CE1273" i="10"/>
  <c r="CC1273" i="10"/>
  <c r="AR1273" i="10"/>
  <c r="CF1272" i="10"/>
  <c r="CE1272" i="10"/>
  <c r="CC1272" i="10"/>
  <c r="AR1272" i="10"/>
  <c r="CF1271" i="10"/>
  <c r="CE1271" i="10"/>
  <c r="CC1271" i="10"/>
  <c r="AR1271" i="10"/>
  <c r="CF1270" i="10"/>
  <c r="CE1270" i="10"/>
  <c r="CC1270" i="10"/>
  <c r="AR1270" i="10"/>
  <c r="CF1269" i="10"/>
  <c r="CE1269" i="10"/>
  <c r="CC1269" i="10"/>
  <c r="AR1269" i="10"/>
  <c r="CF1268" i="10"/>
  <c r="CE1268" i="10"/>
  <c r="CC1268" i="10"/>
  <c r="AR1268" i="10"/>
  <c r="CF1267" i="10"/>
  <c r="CE1267" i="10"/>
  <c r="CC1267" i="10"/>
  <c r="AR1267" i="10"/>
  <c r="CF1266" i="10"/>
  <c r="CE1266" i="10"/>
  <c r="CC1266" i="10"/>
  <c r="CD1266" i="10" s="1"/>
  <c r="AR1266" i="10"/>
  <c r="CF1265" i="10"/>
  <c r="CE1265" i="10"/>
  <c r="CC1265" i="10"/>
  <c r="AR1265" i="10"/>
  <c r="CF1264" i="10"/>
  <c r="CE1264" i="10"/>
  <c r="CC1264" i="10"/>
  <c r="AR1264" i="10"/>
  <c r="CF1263" i="10"/>
  <c r="CE1263" i="10"/>
  <c r="CC1263" i="10"/>
  <c r="AR1263" i="10"/>
  <c r="CF1262" i="10"/>
  <c r="CE1262" i="10"/>
  <c r="CC1262" i="10"/>
  <c r="CD1262" i="10" s="1"/>
  <c r="AR1262" i="10"/>
  <c r="CF1261" i="10"/>
  <c r="CE1261" i="10"/>
  <c r="CC1261" i="10"/>
  <c r="AR1261" i="10"/>
  <c r="CD1261" i="10" s="1"/>
  <c r="CF1260" i="10"/>
  <c r="CE1260" i="10"/>
  <c r="CC1260" i="10"/>
  <c r="AR1260" i="10"/>
  <c r="CF1259" i="10"/>
  <c r="CE1259" i="10"/>
  <c r="CC1259" i="10"/>
  <c r="AR1259" i="10"/>
  <c r="CF1258" i="10"/>
  <c r="CE1258" i="10"/>
  <c r="CC1258" i="10"/>
  <c r="AR1258" i="10"/>
  <c r="CF1257" i="10"/>
  <c r="CE1257" i="10"/>
  <c r="CC1257" i="10"/>
  <c r="AR1257" i="10"/>
  <c r="CF1256" i="10"/>
  <c r="CE1256" i="10"/>
  <c r="CC1256" i="10"/>
  <c r="AR1256" i="10"/>
  <c r="CF1255" i="10"/>
  <c r="CE1255" i="10"/>
  <c r="CC1255" i="10"/>
  <c r="AR1255" i="10"/>
  <c r="CF1254" i="10"/>
  <c r="CE1254" i="10"/>
  <c r="CC1254" i="10"/>
  <c r="AR1254" i="10"/>
  <c r="CF1253" i="10"/>
  <c r="CE1253" i="10"/>
  <c r="CC1253" i="10"/>
  <c r="AR1253" i="10"/>
  <c r="CF1252" i="10"/>
  <c r="CE1252" i="10"/>
  <c r="CC1252" i="10"/>
  <c r="AR1252" i="10"/>
  <c r="CF1251" i="10"/>
  <c r="CE1251" i="10"/>
  <c r="CC1251" i="10"/>
  <c r="AR1251" i="10"/>
  <c r="CF1250" i="10"/>
  <c r="CE1250" i="10"/>
  <c r="CC1250" i="10"/>
  <c r="AR1250" i="10"/>
  <c r="CD1250" i="10" s="1"/>
  <c r="CF1249" i="10"/>
  <c r="CE1249" i="10"/>
  <c r="CC1249" i="10"/>
  <c r="AR1249" i="10"/>
  <c r="CF1248" i="10"/>
  <c r="CE1248" i="10"/>
  <c r="CC1248" i="10"/>
  <c r="AR1248" i="10"/>
  <c r="CF1247" i="10"/>
  <c r="CE1247" i="10"/>
  <c r="CC1247" i="10"/>
  <c r="AR1247" i="10"/>
  <c r="CF1246" i="10"/>
  <c r="CE1246" i="10"/>
  <c r="CC1246" i="10"/>
  <c r="AR1246" i="10"/>
  <c r="CF1245" i="10"/>
  <c r="CE1245" i="10"/>
  <c r="CC1245" i="10"/>
  <c r="AR1245" i="10"/>
  <c r="CF1244" i="10"/>
  <c r="CE1244" i="10"/>
  <c r="CC1244" i="10"/>
  <c r="AR1244" i="10"/>
  <c r="CF1243" i="10"/>
  <c r="CE1243" i="10"/>
  <c r="CC1243" i="10"/>
  <c r="AR1243" i="10"/>
  <c r="CF1242" i="10"/>
  <c r="CE1242" i="10"/>
  <c r="CC1242" i="10"/>
  <c r="AR1242" i="10"/>
  <c r="CF1241" i="10"/>
  <c r="CE1241" i="10"/>
  <c r="CC1241" i="10"/>
  <c r="AR1241" i="10"/>
  <c r="CD1241" i="10" s="1"/>
  <c r="CF1240" i="10"/>
  <c r="CE1240" i="10"/>
  <c r="CC1240" i="10"/>
  <c r="AR1240" i="10"/>
  <c r="CF1239" i="10"/>
  <c r="CE1239" i="10"/>
  <c r="CC1239" i="10"/>
  <c r="AR1239" i="10"/>
  <c r="CF1238" i="10"/>
  <c r="CE1238" i="10"/>
  <c r="CC1238" i="10"/>
  <c r="AR1238" i="10"/>
  <c r="CF1237" i="10"/>
  <c r="CE1237" i="10"/>
  <c r="CC1237" i="10"/>
  <c r="AR1237" i="10"/>
  <c r="CD1237" i="10" s="1"/>
  <c r="CF1236" i="10"/>
  <c r="CE1236" i="10"/>
  <c r="CC1236" i="10"/>
  <c r="AR1236" i="10"/>
  <c r="CF1235" i="10"/>
  <c r="CE1235" i="10"/>
  <c r="CC1235" i="10"/>
  <c r="AR1235" i="10"/>
  <c r="CF1234" i="10"/>
  <c r="CE1234" i="10"/>
  <c r="CC1234" i="10"/>
  <c r="AR1234" i="10"/>
  <c r="CF1233" i="10"/>
  <c r="CE1233" i="10"/>
  <c r="CC1233" i="10"/>
  <c r="AR1233" i="10"/>
  <c r="CF1232" i="10"/>
  <c r="CE1232" i="10"/>
  <c r="CC1232" i="10"/>
  <c r="AR1232" i="10"/>
  <c r="CF1231" i="10"/>
  <c r="CE1231" i="10"/>
  <c r="CC1231" i="10"/>
  <c r="AR1231" i="10"/>
  <c r="CF1230" i="10"/>
  <c r="CE1230" i="10"/>
  <c r="CC1230" i="10"/>
  <c r="AR1230" i="10"/>
  <c r="CF1229" i="10"/>
  <c r="CE1229" i="10"/>
  <c r="CC1229" i="10"/>
  <c r="AR1229" i="10"/>
  <c r="CF1228" i="10"/>
  <c r="CE1228" i="10"/>
  <c r="CC1228" i="10"/>
  <c r="AR1228" i="10"/>
  <c r="CF1227" i="10"/>
  <c r="CE1227" i="10"/>
  <c r="CC1227" i="10"/>
  <c r="AR1227" i="10"/>
  <c r="CF1226" i="10"/>
  <c r="CE1226" i="10"/>
  <c r="CC1226" i="10"/>
  <c r="AR1226" i="10"/>
  <c r="CF1225" i="10"/>
  <c r="CE1225" i="10"/>
  <c r="CC1225" i="10"/>
  <c r="AR1225" i="10"/>
  <c r="CF1224" i="10"/>
  <c r="CE1224" i="10"/>
  <c r="CC1224" i="10"/>
  <c r="AR1224" i="10"/>
  <c r="CF1223" i="10"/>
  <c r="CE1223" i="10"/>
  <c r="CC1223" i="10"/>
  <c r="AR1223" i="10"/>
  <c r="CF1222" i="10"/>
  <c r="CE1222" i="10"/>
  <c r="CC1222" i="10"/>
  <c r="AR1222" i="10"/>
  <c r="CF1221" i="10"/>
  <c r="CE1221" i="10"/>
  <c r="CC1221" i="10"/>
  <c r="AR1221" i="10"/>
  <c r="CF1220" i="10"/>
  <c r="CE1220" i="10"/>
  <c r="CC1220" i="10"/>
  <c r="AR1220" i="10"/>
  <c r="CF1219" i="10"/>
  <c r="CE1219" i="10"/>
  <c r="CC1219" i="10"/>
  <c r="AR1219" i="10"/>
  <c r="CF1218" i="10"/>
  <c r="CE1218" i="10"/>
  <c r="CC1218" i="10"/>
  <c r="CD1218" i="10" s="1"/>
  <c r="AR1218" i="10"/>
  <c r="CF1217" i="10"/>
  <c r="CE1217" i="10"/>
  <c r="CC1217" i="10"/>
  <c r="AR1217" i="10"/>
  <c r="CF1216" i="10"/>
  <c r="CE1216" i="10"/>
  <c r="CC1216" i="10"/>
  <c r="AR1216" i="10"/>
  <c r="CF1215" i="10"/>
  <c r="CE1215" i="10"/>
  <c r="CC1215" i="10"/>
  <c r="AR1215" i="10"/>
  <c r="CF1214" i="10"/>
  <c r="CE1214" i="10"/>
  <c r="CC1214" i="10"/>
  <c r="CD1214" i="10" s="1"/>
  <c r="AR1214" i="10"/>
  <c r="CF1213" i="10"/>
  <c r="CE1213" i="10"/>
  <c r="CC1213" i="10"/>
  <c r="AR1213" i="10"/>
  <c r="CF1212" i="10"/>
  <c r="CE1212" i="10"/>
  <c r="CC1212" i="10"/>
  <c r="AR1212" i="10"/>
  <c r="CF1211" i="10"/>
  <c r="CE1211" i="10"/>
  <c r="CC1211" i="10"/>
  <c r="AR1211" i="10"/>
  <c r="CF1210" i="10"/>
  <c r="CE1210" i="10"/>
  <c r="CC1210" i="10"/>
  <c r="AR1210" i="10"/>
  <c r="CF1209" i="10"/>
  <c r="CE1209" i="10"/>
  <c r="CC1209" i="10"/>
  <c r="AR1209" i="10"/>
  <c r="CF1208" i="10"/>
  <c r="CE1208" i="10"/>
  <c r="CC1208" i="10"/>
  <c r="AR1208" i="10"/>
  <c r="CF1207" i="10"/>
  <c r="CE1207" i="10"/>
  <c r="CC1207" i="10"/>
  <c r="AR1207" i="10"/>
  <c r="CF1206" i="10"/>
  <c r="CE1206" i="10"/>
  <c r="CC1206" i="10"/>
  <c r="AR1206" i="10"/>
  <c r="CF1205" i="10"/>
  <c r="CE1205" i="10"/>
  <c r="CC1205" i="10"/>
  <c r="AR1205" i="10"/>
  <c r="CF1204" i="10"/>
  <c r="CE1204" i="10"/>
  <c r="CC1204" i="10"/>
  <c r="AR1204" i="10"/>
  <c r="CF1203" i="10"/>
  <c r="CE1203" i="10"/>
  <c r="CC1203" i="10"/>
  <c r="AR1203" i="10"/>
  <c r="CF1202" i="10"/>
  <c r="CE1202" i="10"/>
  <c r="CC1202" i="10"/>
  <c r="AR1202" i="10"/>
  <c r="CF1201" i="10"/>
  <c r="CE1201" i="10"/>
  <c r="CC1201" i="10"/>
  <c r="AR1201" i="10"/>
  <c r="CF1200" i="10"/>
  <c r="CE1200" i="10"/>
  <c r="CC1200" i="10"/>
  <c r="AR1200" i="10"/>
  <c r="CF1199" i="10"/>
  <c r="CE1199" i="10"/>
  <c r="CC1199" i="10"/>
  <c r="AR1199" i="10"/>
  <c r="CF1198" i="10"/>
  <c r="CE1198" i="10"/>
  <c r="CC1198" i="10"/>
  <c r="AR1198" i="10"/>
  <c r="CF1197" i="10"/>
  <c r="CE1197" i="10"/>
  <c r="CC1197" i="10"/>
  <c r="CD1197" i="10" s="1"/>
  <c r="AR1197" i="10"/>
  <c r="CF1196" i="10"/>
  <c r="CE1196" i="10"/>
  <c r="CC1196" i="10"/>
  <c r="AR1196" i="10"/>
  <c r="CF1195" i="10"/>
  <c r="CE1195" i="10"/>
  <c r="CC1195" i="10"/>
  <c r="AR1195" i="10"/>
  <c r="CF1194" i="10"/>
  <c r="CE1194" i="10"/>
  <c r="CC1194" i="10"/>
  <c r="AR1194" i="10"/>
  <c r="CF1193" i="10"/>
  <c r="CE1193" i="10"/>
  <c r="CC1193" i="10"/>
  <c r="AR1193" i="10"/>
  <c r="CF1192" i="10"/>
  <c r="CE1192" i="10"/>
  <c r="CC1192" i="10"/>
  <c r="AR1192" i="10"/>
  <c r="CF1191" i="10"/>
  <c r="CE1191" i="10"/>
  <c r="CC1191" i="10"/>
  <c r="AR1191" i="10"/>
  <c r="CF1190" i="10"/>
  <c r="CE1190" i="10"/>
  <c r="CC1190" i="10"/>
  <c r="AR1190" i="10"/>
  <c r="CF1189" i="10"/>
  <c r="CE1189" i="10"/>
  <c r="CC1189" i="10"/>
  <c r="AR1189" i="10"/>
  <c r="CF1188" i="10"/>
  <c r="CE1188" i="10"/>
  <c r="CC1188" i="10"/>
  <c r="AR1188" i="10"/>
  <c r="CF1187" i="10"/>
  <c r="CE1187" i="10"/>
  <c r="CC1187" i="10"/>
  <c r="AR1187" i="10"/>
  <c r="CF1186" i="10"/>
  <c r="CE1186" i="10"/>
  <c r="CC1186" i="10"/>
  <c r="CD1186" i="10" s="1"/>
  <c r="AR1186" i="10"/>
  <c r="CF1185" i="10"/>
  <c r="CE1185" i="10"/>
  <c r="CC1185" i="10"/>
  <c r="AR1185" i="10"/>
  <c r="CF1184" i="10"/>
  <c r="CE1184" i="10"/>
  <c r="CC1184" i="10"/>
  <c r="AR1184" i="10"/>
  <c r="CF1183" i="10"/>
  <c r="CE1183" i="10"/>
  <c r="CC1183" i="10"/>
  <c r="AR1183" i="10"/>
  <c r="CF1182" i="10"/>
  <c r="CE1182" i="10"/>
  <c r="CC1182" i="10"/>
  <c r="CD1182" i="10" s="1"/>
  <c r="AR1182" i="10"/>
  <c r="CF1181" i="10"/>
  <c r="CE1181" i="10"/>
  <c r="CD1181" i="10"/>
  <c r="CC1181" i="10"/>
  <c r="AR1181" i="10"/>
  <c r="CF1180" i="10"/>
  <c r="CE1180" i="10"/>
  <c r="CC1180" i="10"/>
  <c r="AR1180" i="10"/>
  <c r="CF1179" i="10"/>
  <c r="CE1179" i="10"/>
  <c r="CC1179" i="10"/>
  <c r="CD1179" i="10" s="1"/>
  <c r="AR1179" i="10"/>
  <c r="CF1178" i="10"/>
  <c r="CE1178" i="10"/>
  <c r="CC1178" i="10"/>
  <c r="CD1178" i="10" s="1"/>
  <c r="AR1178" i="10"/>
  <c r="CF1177" i="10"/>
  <c r="CE1177" i="10"/>
  <c r="CC1177" i="10"/>
  <c r="AR1177" i="10"/>
  <c r="CF1176" i="10"/>
  <c r="CE1176" i="10"/>
  <c r="CC1176" i="10"/>
  <c r="AR1176" i="10"/>
  <c r="CF1175" i="10"/>
  <c r="CE1175" i="10"/>
  <c r="CC1175" i="10"/>
  <c r="AR1175" i="10"/>
  <c r="CF1174" i="10"/>
  <c r="CE1174" i="10"/>
  <c r="CC1174" i="10"/>
  <c r="AR1174" i="10"/>
  <c r="CF1173" i="10"/>
  <c r="CE1173" i="10"/>
  <c r="CC1173" i="10"/>
  <c r="AR1173" i="10"/>
  <c r="CF1172" i="10"/>
  <c r="CE1172" i="10"/>
  <c r="CC1172" i="10"/>
  <c r="AR1172" i="10"/>
  <c r="CF1171" i="10"/>
  <c r="CE1171" i="10"/>
  <c r="CC1171" i="10"/>
  <c r="AR1171" i="10"/>
  <c r="CF1170" i="10"/>
  <c r="CE1170" i="10"/>
  <c r="CC1170" i="10"/>
  <c r="CD1170" i="10" s="1"/>
  <c r="AR1170" i="10"/>
  <c r="CF1169" i="10"/>
  <c r="CE1169" i="10"/>
  <c r="CC1169" i="10"/>
  <c r="AR1169" i="10"/>
  <c r="CF1168" i="10"/>
  <c r="CE1168" i="10"/>
  <c r="CC1168" i="10"/>
  <c r="AR1168" i="10"/>
  <c r="CF1167" i="10"/>
  <c r="CE1167" i="10"/>
  <c r="CC1167" i="10"/>
  <c r="AR1167" i="10"/>
  <c r="CF1166" i="10"/>
  <c r="CE1166" i="10"/>
  <c r="CC1166" i="10"/>
  <c r="CD1166" i="10" s="1"/>
  <c r="AR1166" i="10"/>
  <c r="CF1165" i="10"/>
  <c r="CE1165" i="10"/>
  <c r="CC1165" i="10"/>
  <c r="AR1165" i="10"/>
  <c r="CF1164" i="10"/>
  <c r="CE1164" i="10"/>
  <c r="CC1164" i="10"/>
  <c r="AR1164" i="10"/>
  <c r="CF1163" i="10"/>
  <c r="CE1163" i="10"/>
  <c r="CC1163" i="10"/>
  <c r="AR1163" i="10"/>
  <c r="CF1162" i="10"/>
  <c r="CE1162" i="10"/>
  <c r="CC1162" i="10"/>
  <c r="AR1162" i="10"/>
  <c r="CF1161" i="10"/>
  <c r="CE1161" i="10"/>
  <c r="CC1161" i="10"/>
  <c r="AR1161" i="10"/>
  <c r="CF1160" i="10"/>
  <c r="CE1160" i="10"/>
  <c r="CC1160" i="10"/>
  <c r="AR1160" i="10"/>
  <c r="CF1159" i="10"/>
  <c r="CE1159" i="10"/>
  <c r="CC1159" i="10"/>
  <c r="AR1159" i="10"/>
  <c r="CF1158" i="10"/>
  <c r="CE1158" i="10"/>
  <c r="CC1158" i="10"/>
  <c r="AR1158" i="10"/>
  <c r="CF1157" i="10"/>
  <c r="CE1157" i="10"/>
  <c r="CC1157" i="10"/>
  <c r="AR1157" i="10"/>
  <c r="CF1156" i="10"/>
  <c r="CE1156" i="10"/>
  <c r="CC1156" i="10"/>
  <c r="AR1156" i="10"/>
  <c r="CF1155" i="10"/>
  <c r="CE1155" i="10"/>
  <c r="CC1155" i="10"/>
  <c r="AR1155" i="10"/>
  <c r="CF1154" i="10"/>
  <c r="CE1154" i="10"/>
  <c r="CC1154" i="10"/>
  <c r="AR1154" i="10"/>
  <c r="CF1153" i="10"/>
  <c r="CE1153" i="10"/>
  <c r="CC1153" i="10"/>
  <c r="AR1153" i="10"/>
  <c r="CF1152" i="10"/>
  <c r="CE1152" i="10"/>
  <c r="CC1152" i="10"/>
  <c r="AR1152" i="10"/>
  <c r="CF1151" i="10"/>
  <c r="CE1151" i="10"/>
  <c r="CC1151" i="10"/>
  <c r="AR1151" i="10"/>
  <c r="CF1150" i="10"/>
  <c r="CE1150" i="10"/>
  <c r="CC1150" i="10"/>
  <c r="AR1150" i="10"/>
  <c r="CF1149" i="10"/>
  <c r="CE1149" i="10"/>
  <c r="CC1149" i="10"/>
  <c r="CD1149" i="10" s="1"/>
  <c r="AR1149" i="10"/>
  <c r="CF1148" i="10"/>
  <c r="CE1148" i="10"/>
  <c r="CC1148" i="10"/>
  <c r="AR1148" i="10"/>
  <c r="CF1147" i="10"/>
  <c r="CE1147" i="10"/>
  <c r="CC1147" i="10"/>
  <c r="CD1147" i="10" s="1"/>
  <c r="AR1147" i="10"/>
  <c r="CF1146" i="10"/>
  <c r="CE1146" i="10"/>
  <c r="CC1146" i="10"/>
  <c r="CD1146" i="10" s="1"/>
  <c r="AR1146" i="10"/>
  <c r="CF1145" i="10"/>
  <c r="CE1145" i="10"/>
  <c r="CC1145" i="10"/>
  <c r="AR1145" i="10"/>
  <c r="CF1144" i="10"/>
  <c r="CE1144" i="10"/>
  <c r="CC1144" i="10"/>
  <c r="AR1144" i="10"/>
  <c r="CF1143" i="10"/>
  <c r="CE1143" i="10"/>
  <c r="CC1143" i="10"/>
  <c r="AR1143" i="10"/>
  <c r="CF1142" i="10"/>
  <c r="CE1142" i="10"/>
  <c r="CC1142" i="10"/>
  <c r="AR1142" i="10"/>
  <c r="CF1141" i="10"/>
  <c r="CE1141" i="10"/>
  <c r="CC1141" i="10"/>
  <c r="AR1141" i="10"/>
  <c r="CF1140" i="10"/>
  <c r="CE1140" i="10"/>
  <c r="CF1139" i="10"/>
  <c r="CE1139" i="10"/>
  <c r="CC1139" i="10"/>
  <c r="AR1139" i="10"/>
  <c r="CF1138" i="10"/>
  <c r="CE1138" i="10"/>
  <c r="CC1138" i="10"/>
  <c r="AR1138" i="10"/>
  <c r="CF1137" i="10"/>
  <c r="CE1137" i="10"/>
  <c r="CC1137" i="10"/>
  <c r="AR1137" i="10"/>
  <c r="CF1136" i="10"/>
  <c r="CE1136" i="10"/>
  <c r="CC1136" i="10"/>
  <c r="AR1136" i="10"/>
  <c r="CD1136" i="10" s="1"/>
  <c r="CF1135" i="10"/>
  <c r="CE1135" i="10"/>
  <c r="CC1135" i="10"/>
  <c r="AR1135" i="10"/>
  <c r="CF1134" i="10"/>
  <c r="CE1134" i="10"/>
  <c r="CC1134" i="10"/>
  <c r="AR1134" i="10"/>
  <c r="CF1133" i="10"/>
  <c r="CE1133" i="10"/>
  <c r="CC1133" i="10"/>
  <c r="AR1133" i="10"/>
  <c r="CF1132" i="10"/>
  <c r="CE1132" i="10"/>
  <c r="CC1132" i="10"/>
  <c r="AR1132" i="10"/>
  <c r="F1132" i="10"/>
  <c r="CF1131" i="10"/>
  <c r="CE1131" i="10"/>
  <c r="CC1131" i="10"/>
  <c r="AR1131" i="10"/>
  <c r="CF1130" i="10"/>
  <c r="CE1130" i="10"/>
  <c r="CC1130" i="10"/>
  <c r="AR1130" i="10"/>
  <c r="CF1129" i="10"/>
  <c r="CE1129" i="10"/>
  <c r="CC1129" i="10"/>
  <c r="CD1129" i="10" s="1"/>
  <c r="AR1129" i="10"/>
  <c r="CF1128" i="10"/>
  <c r="CE1128" i="10"/>
  <c r="CC1128" i="10"/>
  <c r="CD1128" i="10" s="1"/>
  <c r="AR1128" i="10"/>
  <c r="CF1127" i="10"/>
  <c r="CE1127" i="10"/>
  <c r="CC1127" i="10"/>
  <c r="CD1127" i="10" s="1"/>
  <c r="AR1127" i="10"/>
  <c r="CF1126" i="10"/>
  <c r="CE1126" i="10"/>
  <c r="CC1126" i="10"/>
  <c r="CD1126" i="10" s="1"/>
  <c r="AR1126" i="10"/>
  <c r="CF1125" i="10"/>
  <c r="CE1125" i="10"/>
  <c r="CC1125" i="10"/>
  <c r="AR1125" i="10"/>
  <c r="CF1124" i="10"/>
  <c r="CE1124" i="10"/>
  <c r="CC1124" i="10"/>
  <c r="AR1124" i="10"/>
  <c r="CF1123" i="10"/>
  <c r="CE1123" i="10"/>
  <c r="CC1123" i="10"/>
  <c r="AR1123" i="10"/>
  <c r="CF1122" i="10"/>
  <c r="CE1122" i="10"/>
  <c r="BH1122" i="10"/>
  <c r="AT1122" i="10"/>
  <c r="CC1122" i="10" s="1"/>
  <c r="CD1122" i="10" s="1"/>
  <c r="AR1122" i="10"/>
  <c r="CF1121" i="10"/>
  <c r="CE1121" i="10"/>
  <c r="BH1121" i="10"/>
  <c r="CC1121" i="10" s="1"/>
  <c r="CD1121" i="10" s="1"/>
  <c r="AR1121" i="10"/>
  <c r="CF1120" i="10"/>
  <c r="CE1120" i="10"/>
  <c r="CC1120" i="10"/>
  <c r="AR1120" i="10"/>
  <c r="CF1119" i="10"/>
  <c r="CE1119" i="10"/>
  <c r="CC1119" i="10"/>
  <c r="AR1119" i="10"/>
  <c r="CF1118" i="10"/>
  <c r="CE1118" i="10"/>
  <c r="CC1118" i="10"/>
  <c r="AR1118" i="10"/>
  <c r="CF1117" i="10"/>
  <c r="CE1117" i="10"/>
  <c r="CC1117" i="10"/>
  <c r="AR1117" i="10"/>
  <c r="CF1116" i="10"/>
  <c r="CE1116" i="10"/>
  <c r="CC1116" i="10"/>
  <c r="AR1116" i="10"/>
  <c r="CF1115" i="10"/>
  <c r="CE1115" i="10"/>
  <c r="CC1115" i="10"/>
  <c r="AR1115" i="10"/>
  <c r="CF1114" i="10"/>
  <c r="CE1114" i="10"/>
  <c r="CC1114" i="10"/>
  <c r="AR1114" i="10"/>
  <c r="CF1113" i="10"/>
  <c r="CE1113" i="10"/>
  <c r="CC1113" i="10"/>
  <c r="AR1113" i="10"/>
  <c r="CF1112" i="10"/>
  <c r="CE1112" i="10"/>
  <c r="CC1112" i="10"/>
  <c r="AR1112" i="10"/>
  <c r="CF1111" i="10"/>
  <c r="CE1111" i="10"/>
  <c r="CC1111" i="10"/>
  <c r="AR1111" i="10"/>
  <c r="CF1110" i="10"/>
  <c r="CE1110" i="10"/>
  <c r="CC1110" i="10"/>
  <c r="AR1110" i="10"/>
  <c r="CF1109" i="10"/>
  <c r="CE1109" i="10"/>
  <c r="CC1109" i="10"/>
  <c r="AR1109" i="10"/>
  <c r="CF1108" i="10"/>
  <c r="CE1108" i="10"/>
  <c r="CC1108" i="10"/>
  <c r="AR1108" i="10"/>
  <c r="CF1107" i="10"/>
  <c r="CE1107" i="10"/>
  <c r="CC1107" i="10"/>
  <c r="AR1107" i="10"/>
  <c r="CF1106" i="10"/>
  <c r="CE1106" i="10"/>
  <c r="CC1106" i="10"/>
  <c r="AR1106" i="10"/>
  <c r="F1106" i="10"/>
  <c r="F1107" i="10" s="1"/>
  <c r="CF1105" i="10"/>
  <c r="CE1105" i="10"/>
  <c r="CC1105" i="10"/>
  <c r="AR1105" i="10"/>
  <c r="CF1104" i="10"/>
  <c r="CE1104" i="10"/>
  <c r="CC1104" i="10"/>
  <c r="AR1104" i="10"/>
  <c r="CF1103" i="10"/>
  <c r="CE1103" i="10"/>
  <c r="CC1103" i="10"/>
  <c r="AR1103" i="10"/>
  <c r="CF1102" i="10"/>
  <c r="CE1102" i="10"/>
  <c r="CC1102" i="10"/>
  <c r="AR1102" i="10"/>
  <c r="CF1101" i="10"/>
  <c r="CE1101" i="10"/>
  <c r="CC1101" i="10"/>
  <c r="AR1101" i="10"/>
  <c r="CF1100" i="10"/>
  <c r="CE1100" i="10"/>
  <c r="CC1100" i="10"/>
  <c r="AR1100" i="10"/>
  <c r="CF1099" i="10"/>
  <c r="CE1099" i="10"/>
  <c r="CC1099" i="10"/>
  <c r="AR1099" i="10"/>
  <c r="CF1098" i="10"/>
  <c r="CE1098" i="10"/>
  <c r="AU1098" i="10"/>
  <c r="AT1098" i="10"/>
  <c r="AR1098" i="10"/>
  <c r="CF1097" i="10"/>
  <c r="CE1097" i="10"/>
  <c r="CC1097" i="10"/>
  <c r="AR1097" i="10"/>
  <c r="CF1096" i="10"/>
  <c r="CE1096" i="10"/>
  <c r="CC1096" i="10"/>
  <c r="AR1096" i="10"/>
  <c r="CD1096" i="10" s="1"/>
  <c r="CF1095" i="10"/>
  <c r="CE1095" i="10"/>
  <c r="CC1095" i="10"/>
  <c r="AR1095" i="10"/>
  <c r="CF1094" i="10"/>
  <c r="CE1094" i="10"/>
  <c r="CC1094" i="10"/>
  <c r="AR1094" i="10"/>
  <c r="CF1093" i="10"/>
  <c r="CE1093" i="10"/>
  <c r="CC1093" i="10"/>
  <c r="AR1093" i="10"/>
  <c r="CF1092" i="10"/>
  <c r="CE1092" i="10"/>
  <c r="CC1092" i="10"/>
  <c r="AR1092" i="10"/>
  <c r="CF1091" i="10"/>
  <c r="CE1091" i="10"/>
  <c r="CC1091" i="10"/>
  <c r="AR1091" i="10"/>
  <c r="CF1090" i="10"/>
  <c r="CE1090" i="10"/>
  <c r="CC1090" i="10"/>
  <c r="AR1090" i="10"/>
  <c r="CF1089" i="10"/>
  <c r="CE1089" i="10"/>
  <c r="CC1089" i="10"/>
  <c r="AU1089" i="10"/>
  <c r="AT1089" i="10"/>
  <c r="AR1089" i="10"/>
  <c r="CF1088" i="10"/>
  <c r="CE1088" i="10"/>
  <c r="CC1088" i="10"/>
  <c r="AR1088" i="10"/>
  <c r="CF1087" i="10"/>
  <c r="CE1087" i="10"/>
  <c r="CC1087" i="10"/>
  <c r="AR1087" i="10"/>
  <c r="CF1086" i="10"/>
  <c r="CE1086" i="10"/>
  <c r="CC1086" i="10"/>
  <c r="AR1086" i="10"/>
  <c r="CF1085" i="10"/>
  <c r="CE1085" i="10"/>
  <c r="CC1085" i="10"/>
  <c r="AR1085" i="10"/>
  <c r="CF1084" i="10"/>
  <c r="CE1084" i="10"/>
  <c r="CC1084" i="10"/>
  <c r="AR1084" i="10"/>
  <c r="CF1083" i="10"/>
  <c r="CE1083" i="10"/>
  <c r="CC1083" i="10"/>
  <c r="AR1083" i="10"/>
  <c r="CF1082" i="10"/>
  <c r="CE1082" i="10"/>
  <c r="AT1082" i="10"/>
  <c r="CC1082" i="10" s="1"/>
  <c r="AR1082" i="10"/>
  <c r="CF1081" i="10"/>
  <c r="CE1081" i="10"/>
  <c r="CC1081" i="10"/>
  <c r="AR1081" i="10"/>
  <c r="CF1080" i="10"/>
  <c r="CE1080" i="10"/>
  <c r="CC1080" i="10"/>
  <c r="AR1080" i="10"/>
  <c r="CF1079" i="10"/>
  <c r="CE1079" i="10"/>
  <c r="CC1079" i="10"/>
  <c r="AR1079" i="10"/>
  <c r="CF1078" i="10"/>
  <c r="CE1078" i="10"/>
  <c r="CC1078" i="10"/>
  <c r="AR1078" i="10"/>
  <c r="CF1077" i="10"/>
  <c r="CE1077" i="10"/>
  <c r="CC1077" i="10"/>
  <c r="AR1077" i="10"/>
  <c r="CF1076" i="10"/>
  <c r="CE1076" i="10"/>
  <c r="CC1076" i="10"/>
  <c r="AR1076" i="10"/>
  <c r="CF1075" i="10"/>
  <c r="CE1075" i="10"/>
  <c r="AU1075" i="10"/>
  <c r="CC1075" i="10" s="1"/>
  <c r="AR1075" i="10"/>
  <c r="CF1074" i="10"/>
  <c r="CE1074" i="10"/>
  <c r="CC1074" i="10"/>
  <c r="AR1074" i="10"/>
  <c r="CF1073" i="10"/>
  <c r="CE1073" i="10"/>
  <c r="CC1073" i="10"/>
  <c r="AR1073" i="10"/>
  <c r="CF1072" i="10"/>
  <c r="CE1072" i="10"/>
  <c r="CC1072" i="10"/>
  <c r="AR1072" i="10"/>
  <c r="CF1071" i="10"/>
  <c r="CE1071" i="10"/>
  <c r="CC1071" i="10"/>
  <c r="AR1071" i="10"/>
  <c r="CF1070" i="10"/>
  <c r="CE1070" i="10"/>
  <c r="CC1070" i="10"/>
  <c r="AR1070" i="10"/>
  <c r="CF1069" i="10"/>
  <c r="CE1069" i="10"/>
  <c r="CC1069" i="10"/>
  <c r="AR1069" i="10"/>
  <c r="CF1068" i="10"/>
  <c r="CE1068" i="10"/>
  <c r="AU1068" i="10"/>
  <c r="CC1068" i="10" s="1"/>
  <c r="AR1068" i="10"/>
  <c r="CF1067" i="10"/>
  <c r="CE1067" i="10"/>
  <c r="CC1067" i="10"/>
  <c r="AR1067" i="10"/>
  <c r="CF1066" i="10"/>
  <c r="CE1066" i="10"/>
  <c r="CC1066" i="10"/>
  <c r="AR1066" i="10"/>
  <c r="CF1065" i="10"/>
  <c r="CE1065" i="10"/>
  <c r="CC1065" i="10"/>
  <c r="CD1065" i="10" s="1"/>
  <c r="AR1065" i="10"/>
  <c r="CF1064" i="10"/>
  <c r="CE1064" i="10"/>
  <c r="AT1064" i="10"/>
  <c r="CC1064" i="10" s="1"/>
  <c r="AR1064" i="10"/>
  <c r="CF1063" i="10"/>
  <c r="CE1063" i="10"/>
  <c r="CC1063" i="10"/>
  <c r="CD1063" i="10" s="1"/>
  <c r="AR1063" i="10"/>
  <c r="CF1062" i="10"/>
  <c r="CE1062" i="10"/>
  <c r="CC1062" i="10"/>
  <c r="AR1062" i="10"/>
  <c r="F1062" i="10"/>
  <c r="F1063" i="10" s="1"/>
  <c r="F1064" i="10" s="1"/>
  <c r="CF1061" i="10"/>
  <c r="CE1061" i="10"/>
  <c r="CC1061" i="10"/>
  <c r="AR1061" i="10"/>
  <c r="CF1060" i="10"/>
  <c r="CE1060" i="10"/>
  <c r="CC1060" i="10"/>
  <c r="AR1060" i="10"/>
  <c r="CF1059" i="10"/>
  <c r="CE1059" i="10"/>
  <c r="AT1059" i="10"/>
  <c r="CC1059" i="10" s="1"/>
  <c r="AR1059" i="10"/>
  <c r="CF1058" i="10"/>
  <c r="CE1058" i="10"/>
  <c r="CC1058" i="10"/>
  <c r="AR1058" i="10"/>
  <c r="CD1058" i="10" s="1"/>
  <c r="CF1057" i="10"/>
  <c r="CE1057" i="10"/>
  <c r="CC1057" i="10"/>
  <c r="AR1057" i="10"/>
  <c r="CF1056" i="10"/>
  <c r="CE1056" i="10"/>
  <c r="CC1056" i="10"/>
  <c r="AR1056" i="10"/>
  <c r="CF1055" i="10"/>
  <c r="CE1055" i="10"/>
  <c r="CC1055" i="10"/>
  <c r="AR1055" i="10"/>
  <c r="CF1054" i="10"/>
  <c r="CE1054" i="10"/>
  <c r="CC1054" i="10"/>
  <c r="AR1054" i="10"/>
  <c r="CF1053" i="10"/>
  <c r="CE1053" i="10"/>
  <c r="CC1053" i="10"/>
  <c r="AR1053" i="10"/>
  <c r="CF1052" i="10"/>
  <c r="CE1052" i="10"/>
  <c r="AU1052" i="10"/>
  <c r="AT1052" i="10"/>
  <c r="AR1052" i="10"/>
  <c r="CF1051" i="10"/>
  <c r="CE1051" i="10"/>
  <c r="CC1051" i="10"/>
  <c r="AR1051" i="10"/>
  <c r="CF1050" i="10"/>
  <c r="CE1050" i="10"/>
  <c r="CC1050" i="10"/>
  <c r="AR1050" i="10"/>
  <c r="CF1049" i="10"/>
  <c r="CE1049" i="10"/>
  <c r="CC1049" i="10"/>
  <c r="AR1049" i="10"/>
  <c r="CF1048" i="10"/>
  <c r="CE1048" i="10"/>
  <c r="CC1048" i="10"/>
  <c r="CD1048" i="10" s="1"/>
  <c r="AR1048" i="10"/>
  <c r="CF1047" i="10"/>
  <c r="CE1047" i="10"/>
  <c r="CC1047" i="10"/>
  <c r="CD1047" i="10" s="1"/>
  <c r="AR1047" i="10"/>
  <c r="CF1046" i="10"/>
  <c r="CE1046" i="10"/>
  <c r="CC1046" i="10"/>
  <c r="AR1046" i="10"/>
  <c r="CF1045" i="10"/>
  <c r="CE1045" i="10"/>
  <c r="CC1045" i="10"/>
  <c r="CD1045" i="10" s="1"/>
  <c r="AR1045" i="10"/>
  <c r="CF1044" i="10"/>
  <c r="CE1044" i="10"/>
  <c r="CC1044" i="10"/>
  <c r="AR1044" i="10"/>
  <c r="CF1043" i="10"/>
  <c r="CE1043" i="10"/>
  <c r="CC1043" i="10"/>
  <c r="AR1043" i="10"/>
  <c r="CF1042" i="10"/>
  <c r="CE1042" i="10"/>
  <c r="CC1042" i="10"/>
  <c r="AR1042" i="10"/>
  <c r="CF1041" i="10"/>
  <c r="CE1041" i="10"/>
  <c r="CC1041" i="10"/>
  <c r="AR1041" i="10"/>
  <c r="CF1040" i="10"/>
  <c r="CE1040" i="10"/>
  <c r="CC1040" i="10"/>
  <c r="AR1040" i="10"/>
  <c r="CF1039" i="10"/>
  <c r="CE1039" i="10"/>
  <c r="CC1039" i="10"/>
  <c r="AR1039" i="10"/>
  <c r="CF1038" i="10"/>
  <c r="CE1038" i="10"/>
  <c r="CC1038" i="10"/>
  <c r="AR1038" i="10"/>
  <c r="CF1037" i="10"/>
  <c r="CE1037" i="10"/>
  <c r="CC1037" i="10"/>
  <c r="AR1037" i="10"/>
  <c r="CF1036" i="10"/>
  <c r="CE1036" i="10"/>
  <c r="AT1036" i="10"/>
  <c r="AR1036" i="10"/>
  <c r="CF1035" i="10"/>
  <c r="CE1035" i="10"/>
  <c r="CC1035" i="10"/>
  <c r="AR1035" i="10"/>
  <c r="CF1034" i="10"/>
  <c r="CE1034" i="10"/>
  <c r="CC1034" i="10"/>
  <c r="AR1034" i="10"/>
  <c r="CF1033" i="10"/>
  <c r="CE1033" i="10"/>
  <c r="CC1033" i="10"/>
  <c r="CD1033" i="10" s="1"/>
  <c r="AR1033" i="10"/>
  <c r="CF1032" i="10"/>
  <c r="CE1032" i="10"/>
  <c r="CC1032" i="10"/>
  <c r="CD1032" i="10" s="1"/>
  <c r="AR1032" i="10"/>
  <c r="CF1031" i="10"/>
  <c r="CE1031" i="10"/>
  <c r="CC1031" i="10"/>
  <c r="AR1031" i="10"/>
  <c r="CF1030" i="10"/>
  <c r="CE1030" i="10"/>
  <c r="CC1030" i="10"/>
  <c r="CD1030" i="10" s="1"/>
  <c r="AR1030" i="10"/>
  <c r="CF1029" i="10"/>
  <c r="CE1029" i="10"/>
  <c r="CC1029" i="10"/>
  <c r="AR1029" i="10"/>
  <c r="F1029" i="10"/>
  <c r="CF1028" i="10"/>
  <c r="CE1028" i="10"/>
  <c r="CC1028" i="10"/>
  <c r="AR1028" i="10"/>
  <c r="CF1027" i="10"/>
  <c r="CE1027" i="10"/>
  <c r="CC1027" i="10"/>
  <c r="AR1027" i="10"/>
  <c r="CF1026" i="10"/>
  <c r="CE1026" i="10"/>
  <c r="CC1026" i="10"/>
  <c r="AR1026" i="10"/>
  <c r="CF1025" i="10"/>
  <c r="CE1025" i="10"/>
  <c r="CC1025" i="10"/>
  <c r="AR1025" i="10"/>
  <c r="CF1024" i="10"/>
  <c r="CE1024" i="10"/>
  <c r="CC1024" i="10"/>
  <c r="AR1024" i="10"/>
  <c r="CF1023" i="10"/>
  <c r="CE1023" i="10"/>
  <c r="CC1023" i="10"/>
  <c r="AR1023" i="10"/>
  <c r="CF1022" i="10"/>
  <c r="CE1022" i="10"/>
  <c r="CC1022" i="10"/>
  <c r="CD1022" i="10" s="1"/>
  <c r="AR1022" i="10"/>
  <c r="CF1021" i="10"/>
  <c r="CE1021" i="10"/>
  <c r="CC1021" i="10"/>
  <c r="CD1021" i="10" s="1"/>
  <c r="AR1021" i="10"/>
  <c r="CF1020" i="10"/>
  <c r="CE1020" i="10"/>
  <c r="CC1020" i="10"/>
  <c r="CD1020" i="10" s="1"/>
  <c r="AR1020" i="10"/>
  <c r="CF1019" i="10"/>
  <c r="CE1019" i="10"/>
  <c r="CC1019" i="10"/>
  <c r="CD1019" i="10" s="1"/>
  <c r="AR1019" i="10"/>
  <c r="F1019" i="10"/>
  <c r="CF1018" i="10"/>
  <c r="CE1018" i="10"/>
  <c r="CC1018" i="10"/>
  <c r="AR1018" i="10"/>
  <c r="CF1017" i="10"/>
  <c r="CE1017" i="10"/>
  <c r="CC1017" i="10"/>
  <c r="AR1017" i="10"/>
  <c r="CF1016" i="10"/>
  <c r="CE1016" i="10"/>
  <c r="CC1016" i="10"/>
  <c r="AR1016" i="10"/>
  <c r="CF1015" i="10"/>
  <c r="CE1015" i="10"/>
  <c r="CC1015" i="10"/>
  <c r="AR1015" i="10"/>
  <c r="CF1014" i="10"/>
  <c r="CE1014" i="10"/>
  <c r="CC1014" i="10"/>
  <c r="AR1014" i="10"/>
  <c r="CF1013" i="10"/>
  <c r="CE1013" i="10"/>
  <c r="CC1013" i="10"/>
  <c r="AR1013" i="10"/>
  <c r="CF1012" i="10"/>
  <c r="CE1012" i="10"/>
  <c r="CC1012" i="10"/>
  <c r="AR1012" i="10"/>
  <c r="CF1011" i="10"/>
  <c r="CE1011" i="10"/>
  <c r="CC1011" i="10"/>
  <c r="AR1011" i="10"/>
  <c r="CF1010" i="10"/>
  <c r="CE1010" i="10"/>
  <c r="CC1010" i="10"/>
  <c r="AR1010" i="10"/>
  <c r="CF1009" i="10"/>
  <c r="CE1009" i="10"/>
  <c r="CC1009" i="10"/>
  <c r="AR1009" i="10"/>
  <c r="CF1008" i="10"/>
  <c r="CE1008" i="10"/>
  <c r="CC1008" i="10"/>
  <c r="AR1008" i="10"/>
  <c r="CF1007" i="10"/>
  <c r="CE1007" i="10"/>
  <c r="CC1007" i="10"/>
  <c r="AR1007" i="10"/>
  <c r="CD1007" i="10" s="1"/>
  <c r="CF1006" i="10"/>
  <c r="CE1006" i="10"/>
  <c r="CC1006" i="10"/>
  <c r="AR1006" i="10"/>
  <c r="CF1005" i="10"/>
  <c r="CE1005" i="10"/>
  <c r="CC1005" i="10"/>
  <c r="AR1005" i="10"/>
  <c r="CF1004" i="10"/>
  <c r="CE1004" i="10"/>
  <c r="CC1004" i="10"/>
  <c r="AR1004" i="10"/>
  <c r="CF1003" i="10"/>
  <c r="CE1003" i="10"/>
  <c r="CC1003" i="10"/>
  <c r="AR1003" i="10"/>
  <c r="CD1003" i="10" s="1"/>
  <c r="CF1002" i="10"/>
  <c r="CE1002" i="10"/>
  <c r="CC1002" i="10"/>
  <c r="AR1002" i="10"/>
  <c r="CF1001" i="10"/>
  <c r="CE1001" i="10"/>
  <c r="CC1001" i="10"/>
  <c r="AR1001" i="10"/>
  <c r="CF1000" i="10"/>
  <c r="CE1000" i="10"/>
  <c r="CC1000" i="10"/>
  <c r="AR1000" i="10"/>
  <c r="CF999" i="10"/>
  <c r="CE999" i="10"/>
  <c r="CC999" i="10"/>
  <c r="AR999" i="10"/>
  <c r="CF998" i="10"/>
  <c r="CE998" i="10"/>
  <c r="CC998" i="10"/>
  <c r="AR998" i="10"/>
  <c r="CF997" i="10"/>
  <c r="CE997" i="10"/>
  <c r="CC997" i="10"/>
  <c r="AR997" i="10"/>
  <c r="CF996" i="10"/>
  <c r="CE996" i="10"/>
  <c r="CC996" i="10"/>
  <c r="AR996" i="10"/>
  <c r="CF995" i="10"/>
  <c r="CE995" i="10"/>
  <c r="CC995" i="10"/>
  <c r="AR995" i="10"/>
  <c r="CF994" i="10"/>
  <c r="CE994" i="10"/>
  <c r="CC994" i="10"/>
  <c r="AR994" i="10"/>
  <c r="CM993" i="10"/>
  <c r="CL993" i="10"/>
  <c r="CK993" i="10"/>
  <c r="CJ993" i="10"/>
  <c r="CI993" i="10"/>
  <c r="CH993" i="10"/>
  <c r="CG993" i="10"/>
  <c r="CB993" i="10"/>
  <c r="CA993" i="10"/>
  <c r="BZ993" i="10"/>
  <c r="BY993" i="10"/>
  <c r="BX993" i="10"/>
  <c r="BW993" i="10"/>
  <c r="BV993" i="10"/>
  <c r="BU993" i="10"/>
  <c r="BT993" i="10"/>
  <c r="BS993" i="10"/>
  <c r="BR993" i="10"/>
  <c r="BQ993" i="10"/>
  <c r="BP993" i="10"/>
  <c r="BO993" i="10"/>
  <c r="BN993" i="10"/>
  <c r="BM993" i="10"/>
  <c r="BL993" i="10"/>
  <c r="BK993" i="10"/>
  <c r="BJ993" i="10"/>
  <c r="BI993" i="10"/>
  <c r="BH993" i="10"/>
  <c r="BG993" i="10"/>
  <c r="BF993" i="10"/>
  <c r="BE993" i="10"/>
  <c r="BD993" i="10"/>
  <c r="BC993" i="10"/>
  <c r="BB993" i="10"/>
  <c r="BA993" i="10"/>
  <c r="AZ993" i="10"/>
  <c r="AY993" i="10"/>
  <c r="AX993" i="10"/>
  <c r="AW993" i="10"/>
  <c r="AV993" i="10"/>
  <c r="AU993" i="10"/>
  <c r="AT993" i="10"/>
  <c r="AS993" i="10"/>
  <c r="AQ993" i="10"/>
  <c r="AP993" i="10"/>
  <c r="AO993" i="10"/>
  <c r="AN993" i="10"/>
  <c r="AM993" i="10"/>
  <c r="AL993" i="10"/>
  <c r="AK993" i="10"/>
  <c r="AJ993" i="10"/>
  <c r="AI993" i="10"/>
  <c r="AH993" i="10"/>
  <c r="AG993" i="10"/>
  <c r="AF993" i="10"/>
  <c r="AE993" i="10"/>
  <c r="CF992" i="10"/>
  <c r="CF993" i="10" s="1"/>
  <c r="CE992" i="10"/>
  <c r="CC992" i="10"/>
  <c r="CC993" i="10" s="1"/>
  <c r="AR992" i="10"/>
  <c r="AR993" i="10" s="1"/>
  <c r="CI991" i="10"/>
  <c r="CH991" i="10"/>
  <c r="CG991" i="10"/>
  <c r="CB991" i="10"/>
  <c r="CA991" i="10"/>
  <c r="BZ991" i="10"/>
  <c r="BY991" i="10"/>
  <c r="BX991" i="10"/>
  <c r="BW991" i="10"/>
  <c r="BV991" i="10"/>
  <c r="BU991" i="10"/>
  <c r="BT991" i="10"/>
  <c r="BS991" i="10"/>
  <c r="BR991" i="10"/>
  <c r="BQ991" i="10"/>
  <c r="BP991" i="10"/>
  <c r="BO991" i="10"/>
  <c r="BN991" i="10"/>
  <c r="BM991" i="10"/>
  <c r="BL991" i="10"/>
  <c r="BK991" i="10"/>
  <c r="BJ991" i="10"/>
  <c r="BI991" i="10"/>
  <c r="BH991" i="10"/>
  <c r="BG991" i="10"/>
  <c r="BF991" i="10"/>
  <c r="BE991" i="10"/>
  <c r="BD991" i="10"/>
  <c r="BC991" i="10"/>
  <c r="BB991" i="10"/>
  <c r="BA991" i="10"/>
  <c r="AZ991" i="10"/>
  <c r="AY991" i="10"/>
  <c r="AX991" i="10"/>
  <c r="AW991" i="10"/>
  <c r="AV991" i="10"/>
  <c r="AU991" i="10"/>
  <c r="AT991" i="10"/>
  <c r="AS991" i="10"/>
  <c r="AQ991" i="10"/>
  <c r="AP991" i="10"/>
  <c r="AO991" i="10"/>
  <c r="AN991" i="10"/>
  <c r="AM991" i="10"/>
  <c r="AL991" i="10"/>
  <c r="AK991" i="10"/>
  <c r="AJ991" i="10"/>
  <c r="AI991" i="10"/>
  <c r="AH991" i="10"/>
  <c r="AG991" i="10"/>
  <c r="AF991" i="10"/>
  <c r="AE991" i="10"/>
  <c r="AD991" i="10"/>
  <c r="AC991" i="10"/>
  <c r="AB991" i="10"/>
  <c r="AA991" i="10"/>
  <c r="Z991" i="10"/>
  <c r="Y991" i="10"/>
  <c r="X991" i="10"/>
  <c r="W991" i="10"/>
  <c r="V991" i="10"/>
  <c r="CF990" i="10"/>
  <c r="CE990" i="10"/>
  <c r="CC990" i="10"/>
  <c r="AR990" i="10"/>
  <c r="CF989" i="10"/>
  <c r="CE989" i="10"/>
  <c r="CC989" i="10"/>
  <c r="U989" i="10"/>
  <c r="CF988" i="10"/>
  <c r="CE988" i="10"/>
  <c r="CC988" i="10"/>
  <c r="AR988" i="10"/>
  <c r="CF987" i="10"/>
  <c r="CE987" i="10"/>
  <c r="CC987" i="10"/>
  <c r="AR987" i="10"/>
  <c r="CF986" i="10"/>
  <c r="CE986" i="10"/>
  <c r="CC986" i="10"/>
  <c r="AR986" i="10"/>
  <c r="CF985" i="10"/>
  <c r="CE985" i="10"/>
  <c r="CC985" i="10"/>
  <c r="AR985" i="10"/>
  <c r="CD985" i="10" s="1"/>
  <c r="CN984" i="10"/>
  <c r="CN1282" i="10" s="1"/>
  <c r="CM984" i="10"/>
  <c r="CL984" i="10"/>
  <c r="CK984" i="10"/>
  <c r="CJ984" i="10"/>
  <c r="CI984" i="10"/>
  <c r="CH984" i="10"/>
  <c r="CG984" i="10"/>
  <c r="CF984" i="10"/>
  <c r="CE984" i="10"/>
  <c r="CB984" i="10"/>
  <c r="CA984" i="10"/>
  <c r="BZ984" i="10"/>
  <c r="BY984" i="10"/>
  <c r="BX984" i="10"/>
  <c r="BW984" i="10"/>
  <c r="BV984" i="10"/>
  <c r="BU984" i="10"/>
  <c r="BT984" i="10"/>
  <c r="BS984" i="10"/>
  <c r="BR984" i="10"/>
  <c r="BQ984" i="10"/>
  <c r="BP984" i="10"/>
  <c r="BO984" i="10"/>
  <c r="BN984" i="10"/>
  <c r="BM984" i="10"/>
  <c r="BL984" i="10"/>
  <c r="BK984" i="10"/>
  <c r="BJ984" i="10"/>
  <c r="BI984" i="10"/>
  <c r="BH984" i="10"/>
  <c r="BG984" i="10"/>
  <c r="BF984" i="10"/>
  <c r="BE984" i="10"/>
  <c r="BD984" i="10"/>
  <c r="BC984" i="10"/>
  <c r="BB984" i="10"/>
  <c r="BA984" i="10"/>
  <c r="AZ984" i="10"/>
  <c r="AY984" i="10"/>
  <c r="AX984" i="10"/>
  <c r="AW984" i="10"/>
  <c r="AV984" i="10"/>
  <c r="AU984" i="10"/>
  <c r="AS984" i="10"/>
  <c r="AQ984" i="10"/>
  <c r="AP984" i="10"/>
  <c r="AO984" i="10"/>
  <c r="AN984" i="10"/>
  <c r="AM984" i="10"/>
  <c r="AL984" i="10"/>
  <c r="AK984" i="10"/>
  <c r="AJ984" i="10"/>
  <c r="AI984" i="10"/>
  <c r="AH984" i="10"/>
  <c r="AG984" i="10"/>
  <c r="AF984" i="10"/>
  <c r="AE984" i="10"/>
  <c r="AD984" i="10"/>
  <c r="AC984" i="10"/>
  <c r="AB984" i="10"/>
  <c r="AA984" i="10"/>
  <c r="Z984" i="10"/>
  <c r="Y984" i="10"/>
  <c r="X984" i="10"/>
  <c r="W984" i="10"/>
  <c r="V984" i="10"/>
  <c r="U984" i="10"/>
  <c r="T984" i="10"/>
  <c r="S984" i="10"/>
  <c r="R984" i="10"/>
  <c r="Q984" i="10"/>
  <c r="P984" i="10"/>
  <c r="O984" i="10"/>
  <c r="N984" i="10"/>
  <c r="M984" i="10"/>
  <c r="L984" i="10"/>
  <c r="K984" i="10"/>
  <c r="J984" i="10"/>
  <c r="I984" i="10"/>
  <c r="H984" i="10"/>
  <c r="CF983" i="10"/>
  <c r="CE983" i="10"/>
  <c r="CC983" i="10"/>
  <c r="AR983" i="10"/>
  <c r="CF982" i="10"/>
  <c r="CE982" i="10"/>
  <c r="CC982" i="10"/>
  <c r="AR982" i="10"/>
  <c r="CF981" i="10"/>
  <c r="CE981" i="10"/>
  <c r="CC981" i="10"/>
  <c r="AR981" i="10"/>
  <c r="CF980" i="10"/>
  <c r="CE980" i="10"/>
  <c r="CC980" i="10"/>
  <c r="AR980" i="10"/>
  <c r="CF979" i="10"/>
  <c r="CE979" i="10"/>
  <c r="CC979" i="10"/>
  <c r="AR979" i="10"/>
  <c r="CF978" i="10"/>
  <c r="CE978" i="10"/>
  <c r="CC978" i="10"/>
  <c r="AR978" i="10"/>
  <c r="CF977" i="10"/>
  <c r="CE977" i="10"/>
  <c r="CC977" i="10"/>
  <c r="AR977" i="10"/>
  <c r="CF976" i="10"/>
  <c r="CE976" i="10"/>
  <c r="CC976" i="10"/>
  <c r="AR976" i="10"/>
  <c r="CF975" i="10"/>
  <c r="CE975" i="10"/>
  <c r="CC975" i="10"/>
  <c r="AR975" i="10"/>
  <c r="CF974" i="10"/>
  <c r="CE974" i="10"/>
  <c r="CC974" i="10"/>
  <c r="AR974" i="10"/>
  <c r="CF973" i="10"/>
  <c r="CE973" i="10"/>
  <c r="CC973" i="10"/>
  <c r="CD973" i="10" s="1"/>
  <c r="AR973" i="10"/>
  <c r="CF972" i="10"/>
  <c r="CE972" i="10"/>
  <c r="CC972" i="10"/>
  <c r="AR972" i="10"/>
  <c r="CF971" i="10"/>
  <c r="CE971" i="10"/>
  <c r="CC971" i="10"/>
  <c r="AR971" i="10"/>
  <c r="CF970" i="10"/>
  <c r="CE970" i="10"/>
  <c r="CC970" i="10"/>
  <c r="AR970" i="10"/>
  <c r="CF969" i="10"/>
  <c r="CE969" i="10"/>
  <c r="CC969" i="10"/>
  <c r="CD969" i="10" s="1"/>
  <c r="AR969" i="10"/>
  <c r="CF968" i="10"/>
  <c r="CE968" i="10"/>
  <c r="CC968" i="10"/>
  <c r="AR968" i="10"/>
  <c r="CF967" i="10"/>
  <c r="CE967" i="10"/>
  <c r="CC967" i="10"/>
  <c r="CD967" i="10" s="1"/>
  <c r="AR967" i="10"/>
  <c r="CF966" i="10"/>
  <c r="CE966" i="10"/>
  <c r="CC966" i="10"/>
  <c r="AR966" i="10"/>
  <c r="CF965" i="10"/>
  <c r="CE965" i="10"/>
  <c r="CD965" i="10"/>
  <c r="CC965" i="10"/>
  <c r="AR965" i="10"/>
  <c r="CF964" i="10"/>
  <c r="CE964" i="10"/>
  <c r="CC964" i="10"/>
  <c r="AR964" i="10"/>
  <c r="CF963" i="10"/>
  <c r="CE963" i="10"/>
  <c r="CC963" i="10"/>
  <c r="AR963" i="10"/>
  <c r="CF962" i="10"/>
  <c r="CE962" i="10"/>
  <c r="CC962" i="10"/>
  <c r="AR962" i="10"/>
  <c r="CF961" i="10"/>
  <c r="CE961" i="10"/>
  <c r="CC961" i="10"/>
  <c r="AR961" i="10"/>
  <c r="CD961" i="10" s="1"/>
  <c r="CF960" i="10"/>
  <c r="CE960" i="10"/>
  <c r="CC960" i="10"/>
  <c r="AR960" i="10"/>
  <c r="CF959" i="10"/>
  <c r="CE959" i="10"/>
  <c r="CC959" i="10"/>
  <c r="AR959" i="10"/>
  <c r="CF958" i="10"/>
  <c r="CE958" i="10"/>
  <c r="CC958" i="10"/>
  <c r="AR958" i="10"/>
  <c r="CF957" i="10"/>
  <c r="CE957" i="10"/>
  <c r="CC957" i="10"/>
  <c r="AR957" i="10"/>
  <c r="CF956" i="10"/>
  <c r="CE956" i="10"/>
  <c r="CC956" i="10"/>
  <c r="AR956" i="10"/>
  <c r="CF955" i="10"/>
  <c r="CE955" i="10"/>
  <c r="CC955" i="10"/>
  <c r="AR955" i="10"/>
  <c r="CF954" i="10"/>
  <c r="CE954" i="10"/>
  <c r="CC954" i="10"/>
  <c r="AR954" i="10"/>
  <c r="CF953" i="10"/>
  <c r="CE953" i="10"/>
  <c r="CC953" i="10"/>
  <c r="AR953" i="10"/>
  <c r="CF952" i="10"/>
  <c r="CE952" i="10"/>
  <c r="CC952" i="10"/>
  <c r="CD952" i="10" s="1"/>
  <c r="AR952" i="10"/>
  <c r="F952" i="10"/>
  <c r="F959" i="10" s="1"/>
  <c r="F961" i="10" s="1"/>
  <c r="F966" i="10" s="1"/>
  <c r="F972" i="10" s="1"/>
  <c r="CF951" i="10"/>
  <c r="CE951" i="10"/>
  <c r="CC951" i="10"/>
  <c r="AR951" i="10"/>
  <c r="CD951" i="10" s="1"/>
  <c r="F951" i="10"/>
  <c r="F958" i="10" s="1"/>
  <c r="F964" i="10" s="1"/>
  <c r="F965" i="10" s="1"/>
  <c r="F971" i="10" s="1"/>
  <c r="CF950" i="10"/>
  <c r="CE950" i="10"/>
  <c r="CC950" i="10"/>
  <c r="AR950" i="10"/>
  <c r="F950" i="10"/>
  <c r="F954" i="10" s="1"/>
  <c r="F956" i="10" s="1"/>
  <c r="F957" i="10" s="1"/>
  <c r="F963" i="10" s="1"/>
  <c r="F967" i="10" s="1"/>
  <c r="F970" i="10" s="1"/>
  <c r="F974" i="10" s="1"/>
  <c r="F976" i="10" s="1"/>
  <c r="F978" i="10" s="1"/>
  <c r="F980" i="10" s="1"/>
  <c r="F982" i="10" s="1"/>
  <c r="CF949" i="10"/>
  <c r="CE949" i="10"/>
  <c r="CC949" i="10"/>
  <c r="CD949" i="10" s="1"/>
  <c r="AR949" i="10"/>
  <c r="F949" i="10"/>
  <c r="F955" i="10" s="1"/>
  <c r="F960" i="10" s="1"/>
  <c r="F962" i="10" s="1"/>
  <c r="F968" i="10" s="1"/>
  <c r="F969" i="10" s="1"/>
  <c r="F973" i="10" s="1"/>
  <c r="CF948" i="10"/>
  <c r="CE948" i="10"/>
  <c r="CC948" i="10"/>
  <c r="AR948" i="10"/>
  <c r="CF947" i="10"/>
  <c r="CE947" i="10"/>
  <c r="CC947" i="10"/>
  <c r="AR947" i="10"/>
  <c r="CF946" i="10"/>
  <c r="CE946" i="10"/>
  <c r="CC946" i="10"/>
  <c r="AR946" i="10"/>
  <c r="CF945" i="10"/>
  <c r="CE945" i="10"/>
  <c r="CC945" i="10"/>
  <c r="AR945" i="10"/>
  <c r="CD945" i="10" s="1"/>
  <c r="CF944" i="10"/>
  <c r="CE944" i="10"/>
  <c r="CC944" i="10"/>
  <c r="AR944" i="10"/>
  <c r="CF943" i="10"/>
  <c r="CE943" i="10"/>
  <c r="CC943" i="10"/>
  <c r="AR943" i="10"/>
  <c r="F943" i="10"/>
  <c r="CF942" i="10"/>
  <c r="CE942" i="10"/>
  <c r="CC942" i="10"/>
  <c r="AR942" i="10"/>
  <c r="CF941" i="10"/>
  <c r="CE941" i="10"/>
  <c r="CC941" i="10"/>
  <c r="AR941" i="10"/>
  <c r="CF940" i="10"/>
  <c r="CE940" i="10"/>
  <c r="CC940" i="10"/>
  <c r="CD940" i="10" s="1"/>
  <c r="AR940" i="10"/>
  <c r="F940" i="10"/>
  <c r="F941" i="10" s="1"/>
  <c r="CF939" i="10"/>
  <c r="CE939" i="10"/>
  <c r="CC939" i="10"/>
  <c r="AR939" i="10"/>
  <c r="CF938" i="10"/>
  <c r="CE938" i="10"/>
  <c r="CC938" i="10"/>
  <c r="AR938" i="10"/>
  <c r="CF937" i="10"/>
  <c r="CE937" i="10"/>
  <c r="CC937" i="10"/>
  <c r="AR937" i="10"/>
  <c r="CF936" i="10"/>
  <c r="CE936" i="10"/>
  <c r="CC936" i="10"/>
  <c r="AR936" i="10"/>
  <c r="CF935" i="10"/>
  <c r="CE935" i="10"/>
  <c r="CC935" i="10"/>
  <c r="AR935" i="10"/>
  <c r="CF934" i="10"/>
  <c r="CE934" i="10"/>
  <c r="CC934" i="10"/>
  <c r="AR934" i="10"/>
  <c r="CF933" i="10"/>
  <c r="CE933" i="10"/>
  <c r="CC933" i="10"/>
  <c r="AR933" i="10"/>
  <c r="CF932" i="10"/>
  <c r="CE932" i="10"/>
  <c r="CC932" i="10"/>
  <c r="AR932" i="10"/>
  <c r="CD932" i="10" s="1"/>
  <c r="CF931" i="10"/>
  <c r="CE931" i="10"/>
  <c r="CC931" i="10"/>
  <c r="AR931" i="10"/>
  <c r="CF930" i="10"/>
  <c r="CE930" i="10"/>
  <c r="CC930" i="10"/>
  <c r="AR930" i="10"/>
  <c r="CD930" i="10" s="1"/>
  <c r="CF929" i="10"/>
  <c r="CE929" i="10"/>
  <c r="CC929" i="10"/>
  <c r="AR929" i="10"/>
  <c r="CF928" i="10"/>
  <c r="CE928" i="10"/>
  <c r="AT928" i="10"/>
  <c r="CC928" i="10" s="1"/>
  <c r="AR928" i="10"/>
  <c r="CF927" i="10"/>
  <c r="CE927" i="10"/>
  <c r="CC927" i="10"/>
  <c r="AR927" i="10"/>
  <c r="CF926" i="10"/>
  <c r="CE926" i="10"/>
  <c r="CC926" i="10"/>
  <c r="AR926" i="10"/>
  <c r="CF925" i="10"/>
  <c r="CE925" i="10"/>
  <c r="AT925" i="10"/>
  <c r="CC925" i="10" s="1"/>
  <c r="AR925" i="10"/>
  <c r="CF924" i="10"/>
  <c r="CE924" i="10"/>
  <c r="CC924" i="10"/>
  <c r="AR924" i="10"/>
  <c r="CF923" i="10"/>
  <c r="CE923" i="10"/>
  <c r="CC923" i="10"/>
  <c r="AR923" i="10"/>
  <c r="CF922" i="10"/>
  <c r="CE922" i="10"/>
  <c r="CC922" i="10"/>
  <c r="AR922" i="10"/>
  <c r="CF921" i="10"/>
  <c r="CE921" i="10"/>
  <c r="CC921" i="10"/>
  <c r="AR921" i="10"/>
  <c r="CF920" i="10"/>
  <c r="CE920" i="10"/>
  <c r="CC920" i="10"/>
  <c r="AR920" i="10"/>
  <c r="CF919" i="10"/>
  <c r="CE919" i="10"/>
  <c r="CC919" i="10"/>
  <c r="AR919" i="10"/>
  <c r="CF918" i="10"/>
  <c r="CE918" i="10"/>
  <c r="CC918" i="10"/>
  <c r="AR918" i="10"/>
  <c r="CF917" i="10"/>
  <c r="CE917" i="10"/>
  <c r="CC917" i="10"/>
  <c r="AR917" i="10"/>
  <c r="CF916" i="10"/>
  <c r="CE916" i="10"/>
  <c r="CC916" i="10"/>
  <c r="CD916" i="10" s="1"/>
  <c r="AR916" i="10"/>
  <c r="CF915" i="10"/>
  <c r="CE915" i="10"/>
  <c r="CC915" i="10"/>
  <c r="AT915" i="10"/>
  <c r="AR915" i="10"/>
  <c r="CF914" i="10"/>
  <c r="CE914" i="10"/>
  <c r="CC914" i="10"/>
  <c r="AR914" i="10"/>
  <c r="CF913" i="10"/>
  <c r="CE913" i="10"/>
  <c r="CC913" i="10"/>
  <c r="AR913" i="10"/>
  <c r="CD913" i="10" s="1"/>
  <c r="CF912" i="10"/>
  <c r="CE912" i="10"/>
  <c r="AT912" i="10"/>
  <c r="CC912" i="10" s="1"/>
  <c r="AR912" i="10"/>
  <c r="CF911" i="10"/>
  <c r="CE911" i="10"/>
  <c r="CC911" i="10"/>
  <c r="AR911" i="10"/>
  <c r="CF910" i="10"/>
  <c r="CE910" i="10"/>
  <c r="AT910" i="10"/>
  <c r="CC910" i="10" s="1"/>
  <c r="AR910" i="10"/>
  <c r="CF909" i="10"/>
  <c r="CE909" i="10"/>
  <c r="CC909" i="10"/>
  <c r="AR909" i="10"/>
  <c r="CF908" i="10"/>
  <c r="CE908" i="10"/>
  <c r="CC908" i="10"/>
  <c r="AR908" i="10"/>
  <c r="CF907" i="10"/>
  <c r="CE907" i="10"/>
  <c r="CC907" i="10"/>
  <c r="AR907" i="10"/>
  <c r="CF906" i="10"/>
  <c r="CE906" i="10"/>
  <c r="CC906" i="10"/>
  <c r="AR906" i="10"/>
  <c r="CF905" i="10"/>
  <c r="CE905" i="10"/>
  <c r="CC905" i="10"/>
  <c r="AR905" i="10"/>
  <c r="F905" i="10"/>
  <c r="F906" i="10" s="1"/>
  <c r="F907" i="10" s="1"/>
  <c r="F908" i="10" s="1"/>
  <c r="F909" i="10" s="1"/>
  <c r="F910" i="10" s="1"/>
  <c r="F911" i="10" s="1"/>
  <c r="F912" i="10" s="1"/>
  <c r="F913" i="10" s="1"/>
  <c r="F914" i="10" s="1"/>
  <c r="CF904" i="10"/>
  <c r="CE904" i="10"/>
  <c r="CC904" i="10"/>
  <c r="CD904" i="10" s="1"/>
  <c r="AR904" i="10"/>
  <c r="CF903" i="10"/>
  <c r="CE903" i="10"/>
  <c r="CD903" i="10"/>
  <c r="CC903" i="10"/>
  <c r="AR903" i="10"/>
  <c r="CF902" i="10"/>
  <c r="CE902" i="10"/>
  <c r="CC902" i="10"/>
  <c r="CD902" i="10" s="1"/>
  <c r="AR902" i="10"/>
  <c r="CF901" i="10"/>
  <c r="CE901" i="10"/>
  <c r="CC901" i="10"/>
  <c r="AR901" i="10"/>
  <c r="CF900" i="10"/>
  <c r="CE900" i="10"/>
  <c r="CC900" i="10"/>
  <c r="AT900" i="10"/>
  <c r="AR900" i="10"/>
  <c r="CF899" i="10"/>
  <c r="CE899" i="10"/>
  <c r="CC899" i="10"/>
  <c r="AR899" i="10"/>
  <c r="CF898" i="10"/>
  <c r="CE898" i="10"/>
  <c r="CC898" i="10"/>
  <c r="AR898" i="10"/>
  <c r="CF897" i="10"/>
  <c r="CE897" i="10"/>
  <c r="AT897" i="10"/>
  <c r="CC897" i="10" s="1"/>
  <c r="AR897" i="10"/>
  <c r="CF896" i="10"/>
  <c r="CE896" i="10"/>
  <c r="CC896" i="10"/>
  <c r="AR896" i="10"/>
  <c r="CF895" i="10"/>
  <c r="CE895" i="10"/>
  <c r="CC895" i="10"/>
  <c r="CD895" i="10" s="1"/>
  <c r="AR895" i="10"/>
  <c r="CF894" i="10"/>
  <c r="CE894" i="10"/>
  <c r="CC894" i="10"/>
  <c r="AR894" i="10"/>
  <c r="CF893" i="10"/>
  <c r="CE893" i="10"/>
  <c r="AT893" i="10"/>
  <c r="CC893" i="10" s="1"/>
  <c r="AR893" i="10"/>
  <c r="CF892" i="10"/>
  <c r="CE892" i="10"/>
  <c r="CC892" i="10"/>
  <c r="AR892" i="10"/>
  <c r="CF891" i="10"/>
  <c r="CE891" i="10"/>
  <c r="CC891" i="10"/>
  <c r="AR891" i="10"/>
  <c r="CF890" i="10"/>
  <c r="CE890" i="10"/>
  <c r="CC890" i="10"/>
  <c r="AR890" i="10"/>
  <c r="CF889" i="10"/>
  <c r="CE889" i="10"/>
  <c r="CC889" i="10"/>
  <c r="AT889" i="10"/>
  <c r="AR889" i="10"/>
  <c r="CF888" i="10"/>
  <c r="CE888" i="10"/>
  <c r="CC888" i="10"/>
  <c r="AR888" i="10"/>
  <c r="CK887" i="10"/>
  <c r="CJ887" i="10"/>
  <c r="CI887" i="10"/>
  <c r="CH887" i="10"/>
  <c r="CG887" i="10"/>
  <c r="CB887" i="10"/>
  <c r="CA887" i="10"/>
  <c r="BZ887" i="10"/>
  <c r="BY887" i="10"/>
  <c r="BX887" i="10"/>
  <c r="BW887" i="10"/>
  <c r="BV887" i="10"/>
  <c r="BU887" i="10"/>
  <c r="BT887" i="10"/>
  <c r="BS887" i="10"/>
  <c r="BR887" i="10"/>
  <c r="BQ887" i="10"/>
  <c r="BP887" i="10"/>
  <c r="BO887" i="10"/>
  <c r="BN887" i="10"/>
  <c r="BM887" i="10"/>
  <c r="BL887" i="10"/>
  <c r="BK887" i="10"/>
  <c r="BJ887" i="10"/>
  <c r="BI887" i="10"/>
  <c r="BH887" i="10"/>
  <c r="BG887" i="10"/>
  <c r="BF887" i="10"/>
  <c r="BE887" i="10"/>
  <c r="BD887" i="10"/>
  <c r="BC887" i="10"/>
  <c r="BB887" i="10"/>
  <c r="BA887" i="10"/>
  <c r="AZ887" i="10"/>
  <c r="AY887" i="10"/>
  <c r="AX887" i="10"/>
  <c r="AS887" i="10"/>
  <c r="AQ887" i="10"/>
  <c r="AP887" i="10"/>
  <c r="AO887" i="10"/>
  <c r="AN887" i="10"/>
  <c r="AM887" i="10"/>
  <c r="AL887" i="10"/>
  <c r="AK887" i="10"/>
  <c r="AJ887" i="10"/>
  <c r="AI887" i="10"/>
  <c r="AH887" i="10"/>
  <c r="AG887" i="10"/>
  <c r="AF887" i="10"/>
  <c r="AE887" i="10"/>
  <c r="AD887" i="10"/>
  <c r="AC887" i="10"/>
  <c r="AB887" i="10"/>
  <c r="AA887" i="10"/>
  <c r="Z887" i="10"/>
  <c r="Y887" i="10"/>
  <c r="X887" i="10"/>
  <c r="W887" i="10"/>
  <c r="V887" i="10"/>
  <c r="U887" i="10"/>
  <c r="T887" i="10"/>
  <c r="S887" i="10"/>
  <c r="R887" i="10"/>
  <c r="Q887" i="10"/>
  <c r="P887" i="10"/>
  <c r="O887" i="10"/>
  <c r="N887" i="10"/>
  <c r="M887" i="10"/>
  <c r="L887" i="10"/>
  <c r="K887" i="10"/>
  <c r="J887" i="10"/>
  <c r="I887" i="10"/>
  <c r="H887" i="10"/>
  <c r="CF886" i="10"/>
  <c r="CE886" i="10"/>
  <c r="CC886" i="10"/>
  <c r="AR886" i="10"/>
  <c r="CF885" i="10"/>
  <c r="CE885" i="10"/>
  <c r="AV885" i="10"/>
  <c r="AU885" i="10"/>
  <c r="CC885" i="10" s="1"/>
  <c r="AR885" i="10"/>
  <c r="CF884" i="10"/>
  <c r="CE884" i="10"/>
  <c r="CC884" i="10"/>
  <c r="AR884" i="10"/>
  <c r="CF883" i="10"/>
  <c r="CE883" i="10"/>
  <c r="AV883" i="10"/>
  <c r="AU883" i="10"/>
  <c r="AT883" i="10"/>
  <c r="AR883" i="10"/>
  <c r="CF882" i="10"/>
  <c r="CE882" i="10"/>
  <c r="AW882" i="10"/>
  <c r="AV882" i="10"/>
  <c r="AU882" i="10"/>
  <c r="CC882" i="10" s="1"/>
  <c r="AR882" i="10"/>
  <c r="CF881" i="10"/>
  <c r="CE881" i="10"/>
  <c r="AW881" i="10"/>
  <c r="AV881" i="10"/>
  <c r="AU881" i="10"/>
  <c r="AR881" i="10"/>
  <c r="CF880" i="10"/>
  <c r="CE880" i="10"/>
  <c r="AV880" i="10"/>
  <c r="AU880" i="10"/>
  <c r="AT880" i="10"/>
  <c r="CC880" i="10" s="1"/>
  <c r="AR880" i="10"/>
  <c r="CF879" i="10"/>
  <c r="CE879" i="10"/>
  <c r="CC879" i="10"/>
  <c r="AV879" i="10"/>
  <c r="AU879" i="10"/>
  <c r="AR879" i="10"/>
  <c r="CF878" i="10"/>
  <c r="CE878" i="10"/>
  <c r="AV878" i="10"/>
  <c r="AU878" i="10"/>
  <c r="CC878" i="10" s="1"/>
  <c r="AR878" i="10"/>
  <c r="CF877" i="10"/>
  <c r="CE877" i="10"/>
  <c r="AV877" i="10"/>
  <c r="AU877" i="10"/>
  <c r="AR877" i="10"/>
  <c r="CF876" i="10"/>
  <c r="CE876" i="10"/>
  <c r="AV876" i="10"/>
  <c r="AU876" i="10"/>
  <c r="AR876" i="10"/>
  <c r="CF875" i="10"/>
  <c r="CE875" i="10"/>
  <c r="AV875" i="10"/>
  <c r="AU875" i="10"/>
  <c r="CC875" i="10" s="1"/>
  <c r="AR875" i="10"/>
  <c r="CF874" i="10"/>
  <c r="CE874" i="10"/>
  <c r="CC874" i="10"/>
  <c r="AV874" i="10"/>
  <c r="AU874" i="10"/>
  <c r="AR874" i="10"/>
  <c r="CF873" i="10"/>
  <c r="CE873" i="10"/>
  <c r="AV873" i="10"/>
  <c r="AU873" i="10"/>
  <c r="CC873" i="10" s="1"/>
  <c r="AR873" i="10"/>
  <c r="CM872" i="10"/>
  <c r="CL872" i="10"/>
  <c r="CK872" i="10"/>
  <c r="CJ872" i="10"/>
  <c r="CI872" i="10"/>
  <c r="CH872" i="10"/>
  <c r="CG872" i="10"/>
  <c r="CA872" i="10"/>
  <c r="BZ872" i="10"/>
  <c r="BY872" i="10"/>
  <c r="BX872" i="10"/>
  <c r="BW872" i="10"/>
  <c r="BV872" i="10"/>
  <c r="BU872" i="10"/>
  <c r="BT872" i="10"/>
  <c r="BS872" i="10"/>
  <c r="BR872" i="10"/>
  <c r="BQ872" i="10"/>
  <c r="BP872" i="10"/>
  <c r="BO872" i="10"/>
  <c r="BN872" i="10"/>
  <c r="BM872" i="10"/>
  <c r="BL872" i="10"/>
  <c r="BK872" i="10"/>
  <c r="BJ872" i="10"/>
  <c r="BI872" i="10"/>
  <c r="BG872" i="10"/>
  <c r="BF872" i="10"/>
  <c r="BE872" i="10"/>
  <c r="BD872" i="10"/>
  <c r="BC872" i="10"/>
  <c r="BB872" i="10"/>
  <c r="BA872" i="10"/>
  <c r="AZ872" i="10"/>
  <c r="AY872" i="10"/>
  <c r="AX872" i="10"/>
  <c r="AW872" i="10"/>
  <c r="AV872" i="10"/>
  <c r="AS872" i="10"/>
  <c r="AQ872" i="10"/>
  <c r="AP872" i="10"/>
  <c r="AO872" i="10"/>
  <c r="AN872" i="10"/>
  <c r="AM872" i="10"/>
  <c r="AL872" i="10"/>
  <c r="AK872" i="10"/>
  <c r="AJ872" i="10"/>
  <c r="AI872" i="10"/>
  <c r="AH872" i="10"/>
  <c r="AG872" i="10"/>
  <c r="AF872" i="10"/>
  <c r="AE872" i="10"/>
  <c r="AD872" i="10"/>
  <c r="AC872" i="10"/>
  <c r="AB872" i="10"/>
  <c r="AA872" i="10"/>
  <c r="Z872" i="10"/>
  <c r="Y872" i="10"/>
  <c r="X872" i="10"/>
  <c r="W872" i="10"/>
  <c r="V872" i="10"/>
  <c r="U872" i="10"/>
  <c r="T872" i="10"/>
  <c r="S872" i="10"/>
  <c r="R872" i="10"/>
  <c r="Q872" i="10"/>
  <c r="P872" i="10"/>
  <c r="O872" i="10"/>
  <c r="N872" i="10"/>
  <c r="M872" i="10"/>
  <c r="L872" i="10"/>
  <c r="K872" i="10"/>
  <c r="J872" i="10"/>
  <c r="I872" i="10"/>
  <c r="H872" i="10"/>
  <c r="CF871" i="10"/>
  <c r="CE871" i="10"/>
  <c r="CB871" i="10"/>
  <c r="BH871" i="10"/>
  <c r="AT871" i="10"/>
  <c r="AR871" i="10"/>
  <c r="CF870" i="10"/>
  <c r="CE870" i="10"/>
  <c r="BH870" i="10"/>
  <c r="AT870" i="10"/>
  <c r="AR870" i="10"/>
  <c r="CF869" i="10"/>
  <c r="CE869" i="10"/>
  <c r="AT869" i="10"/>
  <c r="CC869" i="10" s="1"/>
  <c r="AR869" i="10"/>
  <c r="CF868" i="10"/>
  <c r="CE868" i="10"/>
  <c r="AU868" i="10"/>
  <c r="AT868" i="10"/>
  <c r="CC868" i="10" s="1"/>
  <c r="AR868" i="10"/>
  <c r="CF867" i="10"/>
  <c r="CE867" i="10"/>
  <c r="CC867" i="10"/>
  <c r="AR867" i="10"/>
  <c r="CF866" i="10"/>
  <c r="CE866" i="10"/>
  <c r="CC866" i="10"/>
  <c r="AR866" i="10"/>
  <c r="CF865" i="10"/>
  <c r="CE865" i="10"/>
  <c r="CC865" i="10"/>
  <c r="AR865" i="10"/>
  <c r="CF864" i="10"/>
  <c r="CE864" i="10"/>
  <c r="CC864" i="10"/>
  <c r="AR864" i="10"/>
  <c r="CF863" i="10"/>
  <c r="CE863" i="10"/>
  <c r="CC863" i="10"/>
  <c r="AR863" i="10"/>
  <c r="CD863" i="10" s="1"/>
  <c r="CF862" i="10"/>
  <c r="CE862" i="10"/>
  <c r="CC862" i="10"/>
  <c r="AR862" i="10"/>
  <c r="CF861" i="10"/>
  <c r="CE861" i="10"/>
  <c r="CC861" i="10"/>
  <c r="AR861" i="10"/>
  <c r="CF860" i="10"/>
  <c r="CE860" i="10"/>
  <c r="CC860" i="10"/>
  <c r="AR860" i="10"/>
  <c r="CF859" i="10"/>
  <c r="CE859" i="10"/>
  <c r="CC859" i="10"/>
  <c r="AR859" i="10"/>
  <c r="CF858" i="10"/>
  <c r="CE858" i="10"/>
  <c r="CC858" i="10"/>
  <c r="AR858" i="10"/>
  <c r="CF857" i="10"/>
  <c r="CE857" i="10"/>
  <c r="CC857" i="10"/>
  <c r="AR857" i="10"/>
  <c r="CF856" i="10"/>
  <c r="CE856" i="10"/>
  <c r="CC856" i="10"/>
  <c r="AR856" i="10"/>
  <c r="CF855" i="10"/>
  <c r="CE855" i="10"/>
  <c r="CC855" i="10"/>
  <c r="AR855" i="10"/>
  <c r="CF854" i="10"/>
  <c r="CE854" i="10"/>
  <c r="CC854" i="10"/>
  <c r="AR854" i="10"/>
  <c r="CF853" i="10"/>
  <c r="CE853" i="10"/>
  <c r="CC853" i="10"/>
  <c r="AR853" i="10"/>
  <c r="CF852" i="10"/>
  <c r="CE852" i="10"/>
  <c r="CC852" i="10"/>
  <c r="AR852" i="10"/>
  <c r="CF851" i="10"/>
  <c r="CE851" i="10"/>
  <c r="CC851" i="10"/>
  <c r="AR851" i="10"/>
  <c r="CF850" i="10"/>
  <c r="CE850" i="10"/>
  <c r="CC850" i="10"/>
  <c r="AR850" i="10"/>
  <c r="CF849" i="10"/>
  <c r="CE849" i="10"/>
  <c r="AT849" i="10"/>
  <c r="CC849" i="10" s="1"/>
  <c r="AR849" i="10"/>
  <c r="CF848" i="10"/>
  <c r="CE848" i="10"/>
  <c r="AT848" i="10"/>
  <c r="CC848" i="10" s="1"/>
  <c r="AR848" i="10"/>
  <c r="CF847" i="10"/>
  <c r="CE847" i="10"/>
  <c r="CC847" i="10"/>
  <c r="AR847" i="10"/>
  <c r="CF846" i="10"/>
  <c r="CE846" i="10"/>
  <c r="CC846" i="10"/>
  <c r="AR846" i="10"/>
  <c r="CF845" i="10"/>
  <c r="CE845" i="10"/>
  <c r="AT845" i="10"/>
  <c r="CC845" i="10" s="1"/>
  <c r="AR845" i="10"/>
  <c r="CF844" i="10"/>
  <c r="CE844" i="10"/>
  <c r="AT844" i="10"/>
  <c r="CC844" i="10" s="1"/>
  <c r="AR844" i="10"/>
  <c r="CF843" i="10"/>
  <c r="CE843" i="10"/>
  <c r="CC843" i="10"/>
  <c r="AR843" i="10"/>
  <c r="CF842" i="10"/>
  <c r="CE842" i="10"/>
  <c r="CC842" i="10"/>
  <c r="AR842" i="10"/>
  <c r="CF841" i="10"/>
  <c r="CE841" i="10"/>
  <c r="CC841" i="10"/>
  <c r="AR841" i="10"/>
  <c r="CF840" i="10"/>
  <c r="CE840" i="10"/>
  <c r="CC840" i="10"/>
  <c r="AR840" i="10"/>
  <c r="CF839" i="10"/>
  <c r="CE839" i="10"/>
  <c r="CC839" i="10"/>
  <c r="AR839" i="10"/>
  <c r="CF838" i="10"/>
  <c r="CE838" i="10"/>
  <c r="CC838" i="10"/>
  <c r="AR838" i="10"/>
  <c r="CF837" i="10"/>
  <c r="CE837" i="10"/>
  <c r="CC837" i="10"/>
  <c r="AR837" i="10"/>
  <c r="CF836" i="10"/>
  <c r="CE836" i="10"/>
  <c r="CC836" i="10"/>
  <c r="AR836" i="10"/>
  <c r="CF835" i="10"/>
  <c r="CE835" i="10"/>
  <c r="CC835" i="10"/>
  <c r="CD835" i="10" s="1"/>
  <c r="AR835" i="10"/>
  <c r="CF834" i="10"/>
  <c r="CE834" i="10"/>
  <c r="CC834" i="10"/>
  <c r="CD834" i="10" s="1"/>
  <c r="AR834" i="10"/>
  <c r="CF833" i="10"/>
  <c r="CE833" i="10"/>
  <c r="CC833" i="10"/>
  <c r="CD833" i="10" s="1"/>
  <c r="AR833" i="10"/>
  <c r="CF832" i="10"/>
  <c r="CE832" i="10"/>
  <c r="CC832" i="10"/>
  <c r="CD832" i="10" s="1"/>
  <c r="AR832" i="10"/>
  <c r="CF831" i="10"/>
  <c r="CE831" i="10"/>
  <c r="CC831" i="10"/>
  <c r="AR831" i="10"/>
  <c r="CD831" i="10" s="1"/>
  <c r="CF830" i="10"/>
  <c r="CE830" i="10"/>
  <c r="CC830" i="10"/>
  <c r="AR830" i="10"/>
  <c r="CF829" i="10"/>
  <c r="CE829" i="10"/>
  <c r="CC829" i="10"/>
  <c r="AR829" i="10"/>
  <c r="CF828" i="10"/>
  <c r="CE828" i="10"/>
  <c r="CC828" i="10"/>
  <c r="AR828" i="10"/>
  <c r="CF827" i="10"/>
  <c r="CE827" i="10"/>
  <c r="CC827" i="10"/>
  <c r="AR827" i="10"/>
  <c r="CF826" i="10"/>
  <c r="CE826" i="10"/>
  <c r="CC826" i="10"/>
  <c r="AR826" i="10"/>
  <c r="CF825" i="10"/>
  <c r="CE825" i="10"/>
  <c r="CC825" i="10"/>
  <c r="AR825" i="10"/>
  <c r="CF824" i="10"/>
  <c r="CE824" i="10"/>
  <c r="CC824" i="10"/>
  <c r="AR824" i="10"/>
  <c r="CF823" i="10"/>
  <c r="CE823" i="10"/>
  <c r="CC823" i="10"/>
  <c r="AR823" i="10"/>
  <c r="CF822" i="10"/>
  <c r="CE822" i="10"/>
  <c r="CC822" i="10"/>
  <c r="AR822" i="10"/>
  <c r="CF821" i="10"/>
  <c r="CE821" i="10"/>
  <c r="CC821" i="10"/>
  <c r="AR821" i="10"/>
  <c r="CF820" i="10"/>
  <c r="CE820" i="10"/>
  <c r="CC820" i="10"/>
  <c r="AR820" i="10"/>
  <c r="CF819" i="10"/>
  <c r="CE819" i="10"/>
  <c r="CC819" i="10"/>
  <c r="AR819" i="10"/>
  <c r="CD819" i="10" s="1"/>
  <c r="CF818" i="10"/>
  <c r="CE818" i="10"/>
  <c r="CC818" i="10"/>
  <c r="AR818" i="10"/>
  <c r="CF817" i="10"/>
  <c r="CE817" i="10"/>
  <c r="CC817" i="10"/>
  <c r="AR817" i="10"/>
  <c r="CF816" i="10"/>
  <c r="CE816" i="10"/>
  <c r="CC816" i="10"/>
  <c r="AT816" i="10"/>
  <c r="AR816" i="10"/>
  <c r="CF815" i="10"/>
  <c r="CE815" i="10"/>
  <c r="CC815" i="10"/>
  <c r="AR815" i="10"/>
  <c r="CF814" i="10"/>
  <c r="CE814" i="10"/>
  <c r="CC814" i="10"/>
  <c r="AR814" i="10"/>
  <c r="CF813" i="10"/>
  <c r="CE813" i="10"/>
  <c r="CC813" i="10"/>
  <c r="AR813" i="10"/>
  <c r="CF812" i="10"/>
  <c r="CE812" i="10"/>
  <c r="CC812" i="10"/>
  <c r="CD812" i="10" s="1"/>
  <c r="AR812" i="10"/>
  <c r="CF811" i="10"/>
  <c r="CE811" i="10"/>
  <c r="CC811" i="10"/>
  <c r="AR811" i="10"/>
  <c r="CF810" i="10"/>
  <c r="CE810" i="10"/>
  <c r="CC810" i="10"/>
  <c r="AR810" i="10"/>
  <c r="CF809" i="10"/>
  <c r="CE809" i="10"/>
  <c r="CC809" i="10"/>
  <c r="AR809" i="10"/>
  <c r="CF808" i="10"/>
  <c r="CE808" i="10"/>
  <c r="CC808" i="10"/>
  <c r="CD808" i="10" s="1"/>
  <c r="AR808" i="10"/>
  <c r="CF807" i="10"/>
  <c r="CE807" i="10"/>
  <c r="CC807" i="10"/>
  <c r="CD807" i="10" s="1"/>
  <c r="AR807" i="10"/>
  <c r="CF806" i="10"/>
  <c r="CE806" i="10"/>
  <c r="CC806" i="10"/>
  <c r="AR806" i="10"/>
  <c r="CF805" i="10"/>
  <c r="CE805" i="10"/>
  <c r="CC805" i="10"/>
  <c r="CD805" i="10" s="1"/>
  <c r="AR805" i="10"/>
  <c r="CF804" i="10"/>
  <c r="CE804" i="10"/>
  <c r="CD804" i="10"/>
  <c r="CC804" i="10"/>
  <c r="AR804" i="10"/>
  <c r="CF803" i="10"/>
  <c r="CE803" i="10"/>
  <c r="CC803" i="10"/>
  <c r="AR803" i="10"/>
  <c r="CF802" i="10"/>
  <c r="CE802" i="10"/>
  <c r="CC802" i="10"/>
  <c r="AR802" i="10"/>
  <c r="CF801" i="10"/>
  <c r="CE801" i="10"/>
  <c r="CC801" i="10"/>
  <c r="AR801" i="10"/>
  <c r="CF800" i="10"/>
  <c r="CE800" i="10"/>
  <c r="CC800" i="10"/>
  <c r="AR800" i="10"/>
  <c r="CF799" i="10"/>
  <c r="CE799" i="10"/>
  <c r="AT799" i="10"/>
  <c r="CC799" i="10" s="1"/>
  <c r="AR799" i="10"/>
  <c r="CF798" i="10"/>
  <c r="CE798" i="10"/>
  <c r="CC798" i="10"/>
  <c r="AT798" i="10"/>
  <c r="AR798" i="10"/>
  <c r="CF797" i="10"/>
  <c r="CE797" i="10"/>
  <c r="AU797" i="10"/>
  <c r="AT797" i="10"/>
  <c r="CC797" i="10" s="1"/>
  <c r="AR797" i="10"/>
  <c r="CF796" i="10"/>
  <c r="CE796" i="10"/>
  <c r="CC796" i="10"/>
  <c r="AR796" i="10"/>
  <c r="CF795" i="10"/>
  <c r="CE795" i="10"/>
  <c r="AT795" i="10"/>
  <c r="CC795" i="10" s="1"/>
  <c r="AR795" i="10"/>
  <c r="CF794" i="10"/>
  <c r="CE794" i="10"/>
  <c r="CC794" i="10"/>
  <c r="AR794" i="10"/>
  <c r="CF793" i="10"/>
  <c r="CE793" i="10"/>
  <c r="AT793" i="10"/>
  <c r="CC793" i="10" s="1"/>
  <c r="AR793" i="10"/>
  <c r="CF792" i="10"/>
  <c r="CE792" i="10"/>
  <c r="BH792" i="10"/>
  <c r="CC792" i="10" s="1"/>
  <c r="AT792" i="10"/>
  <c r="AR792" i="10"/>
  <c r="CF791" i="10"/>
  <c r="CE791" i="10"/>
  <c r="AT791" i="10"/>
  <c r="CC791" i="10" s="1"/>
  <c r="AR791" i="10"/>
  <c r="CF790" i="10"/>
  <c r="CE790" i="10"/>
  <c r="AT790" i="10"/>
  <c r="CC790" i="10" s="1"/>
  <c r="AR790" i="10"/>
  <c r="CF789" i="10"/>
  <c r="CE789" i="10"/>
  <c r="BH789" i="10"/>
  <c r="AT789" i="10"/>
  <c r="AR789" i="10"/>
  <c r="CF788" i="10"/>
  <c r="CE788" i="10"/>
  <c r="BH788" i="10"/>
  <c r="AT788" i="10"/>
  <c r="AR788" i="10"/>
  <c r="CF787" i="10"/>
  <c r="CE787" i="10"/>
  <c r="CC787" i="10"/>
  <c r="AR787" i="10"/>
  <c r="CF786" i="10"/>
  <c r="CE786" i="10"/>
  <c r="CC786" i="10"/>
  <c r="AR786" i="10"/>
  <c r="CF785" i="10"/>
  <c r="CE785" i="10"/>
  <c r="CC785" i="10"/>
  <c r="AR785" i="10"/>
  <c r="CF784" i="10"/>
  <c r="CE784" i="10"/>
  <c r="CC784" i="10"/>
  <c r="AR784" i="10"/>
  <c r="CF783" i="10"/>
  <c r="CE783" i="10"/>
  <c r="CC783" i="10"/>
  <c r="AR783" i="10"/>
  <c r="CF782" i="10"/>
  <c r="CE782" i="10"/>
  <c r="CC782" i="10"/>
  <c r="CD782" i="10" s="1"/>
  <c r="AR782" i="10"/>
  <c r="CF781" i="10"/>
  <c r="CE781" i="10"/>
  <c r="CC781" i="10"/>
  <c r="AR781" i="10"/>
  <c r="CF780" i="10"/>
  <c r="CE780" i="10"/>
  <c r="AU780" i="10"/>
  <c r="AT780" i="10"/>
  <c r="AR780" i="10"/>
  <c r="CF779" i="10"/>
  <c r="CE779" i="10"/>
  <c r="CC779" i="10"/>
  <c r="AR779" i="10"/>
  <c r="CF778" i="10"/>
  <c r="CE778" i="10"/>
  <c r="CC778" i="10"/>
  <c r="AR778" i="10"/>
  <c r="CF777" i="10"/>
  <c r="CE777" i="10"/>
  <c r="CC777" i="10"/>
  <c r="AR777" i="10"/>
  <c r="F777" i="10"/>
  <c r="CF776" i="10"/>
  <c r="CE776" i="10"/>
  <c r="AU776" i="10"/>
  <c r="AT776" i="10"/>
  <c r="CC776" i="10" s="1"/>
  <c r="AR776" i="10"/>
  <c r="CF775" i="10"/>
  <c r="CE775" i="10"/>
  <c r="CC775" i="10"/>
  <c r="CD775" i="10" s="1"/>
  <c r="AR775" i="10"/>
  <c r="CF774" i="10"/>
  <c r="CE774" i="10"/>
  <c r="CC774" i="10"/>
  <c r="AR774" i="10"/>
  <c r="CF773" i="10"/>
  <c r="CE773" i="10"/>
  <c r="CC773" i="10"/>
  <c r="AR773" i="10"/>
  <c r="CF772" i="10"/>
  <c r="CE772" i="10"/>
  <c r="CC772" i="10"/>
  <c r="AR772" i="10"/>
  <c r="CF771" i="10"/>
  <c r="CE771" i="10"/>
  <c r="CC771" i="10"/>
  <c r="CD771" i="10" s="1"/>
  <c r="AR771" i="10"/>
  <c r="CF770" i="10"/>
  <c r="CE770" i="10"/>
  <c r="CC770" i="10"/>
  <c r="CD770" i="10" s="1"/>
  <c r="AR770" i="10"/>
  <c r="CF769" i="10"/>
  <c r="CE769" i="10"/>
  <c r="CC769" i="10"/>
  <c r="AR769" i="10"/>
  <c r="CF768" i="10"/>
  <c r="CE768" i="10"/>
  <c r="CC768" i="10"/>
  <c r="CD768" i="10" s="1"/>
  <c r="AR768" i="10"/>
  <c r="CF767" i="10"/>
  <c r="CE767" i="10"/>
  <c r="AT767" i="10"/>
  <c r="CC767" i="10" s="1"/>
  <c r="AR767" i="10"/>
  <c r="CF766" i="10"/>
  <c r="CE766" i="10"/>
  <c r="CC766" i="10"/>
  <c r="AR766" i="10"/>
  <c r="CF765" i="10"/>
  <c r="CE765" i="10"/>
  <c r="CC765" i="10"/>
  <c r="AR765" i="10"/>
  <c r="CF764" i="10"/>
  <c r="CE764" i="10"/>
  <c r="CC764" i="10"/>
  <c r="CD764" i="10" s="1"/>
  <c r="AR764" i="10"/>
  <c r="CF763" i="10"/>
  <c r="CE763" i="10"/>
  <c r="CC763" i="10"/>
  <c r="CD763" i="10" s="1"/>
  <c r="AR763" i="10"/>
  <c r="CF762" i="10"/>
  <c r="CE762" i="10"/>
  <c r="CC762" i="10"/>
  <c r="AR762" i="10"/>
  <c r="CF761" i="10"/>
  <c r="CE761" i="10"/>
  <c r="CC761" i="10"/>
  <c r="CD761" i="10" s="1"/>
  <c r="AR761" i="10"/>
  <c r="CF760" i="10"/>
  <c r="CE760" i="10"/>
  <c r="CD760" i="10"/>
  <c r="CC760" i="10"/>
  <c r="AR760" i="10"/>
  <c r="CF759" i="10"/>
  <c r="CE759" i="10"/>
  <c r="CC759" i="10"/>
  <c r="AR759" i="10"/>
  <c r="CF758" i="10"/>
  <c r="CE758" i="10"/>
  <c r="CC758" i="10"/>
  <c r="AR758" i="10"/>
  <c r="CF757" i="10"/>
  <c r="CE757" i="10"/>
  <c r="CC757" i="10"/>
  <c r="AR757" i="10"/>
  <c r="CF756" i="10"/>
  <c r="CE756" i="10"/>
  <c r="CC756" i="10"/>
  <c r="AR756" i="10"/>
  <c r="CF755" i="10"/>
  <c r="CE755" i="10"/>
  <c r="CC755" i="10"/>
  <c r="AR755" i="10"/>
  <c r="CF754" i="10"/>
  <c r="CE754" i="10"/>
  <c r="CC754" i="10"/>
  <c r="AR754" i="10"/>
  <c r="CF753" i="10"/>
  <c r="CE753" i="10"/>
  <c r="CC753" i="10"/>
  <c r="AR753" i="10"/>
  <c r="CF752" i="10"/>
  <c r="CE752" i="10"/>
  <c r="CC752" i="10"/>
  <c r="AR752" i="10"/>
  <c r="CF751" i="10"/>
  <c r="CE751" i="10"/>
  <c r="CC751" i="10"/>
  <c r="AR751" i="10"/>
  <c r="CF750" i="10"/>
  <c r="CE750" i="10"/>
  <c r="CC750" i="10"/>
  <c r="AR750" i="10"/>
  <c r="CF749" i="10"/>
  <c r="CE749" i="10"/>
  <c r="CC749" i="10"/>
  <c r="AR749" i="10"/>
  <c r="CF748" i="10"/>
  <c r="CE748" i="10"/>
  <c r="CC748" i="10"/>
  <c r="AR748" i="10"/>
  <c r="CF747" i="10"/>
  <c r="CE747" i="10"/>
  <c r="CC747" i="10"/>
  <c r="AR747" i="10"/>
  <c r="CF746" i="10"/>
  <c r="CE746" i="10"/>
  <c r="CC746" i="10"/>
  <c r="AR746" i="10"/>
  <c r="CF745" i="10"/>
  <c r="CE745" i="10"/>
  <c r="CC745" i="10"/>
  <c r="AR745" i="10"/>
  <c r="CF744" i="10"/>
  <c r="CE744" i="10"/>
  <c r="CC744" i="10"/>
  <c r="CD744" i="10" s="1"/>
  <c r="AR744" i="10"/>
  <c r="CF743" i="10"/>
  <c r="CE743" i="10"/>
  <c r="CC743" i="10"/>
  <c r="AR743" i="10"/>
  <c r="CF742" i="10"/>
  <c r="CE742" i="10"/>
  <c r="CC742" i="10"/>
  <c r="AR742" i="10"/>
  <c r="CF741" i="10"/>
  <c r="CE741" i="10"/>
  <c r="CC741" i="10"/>
  <c r="AR741" i="10"/>
  <c r="CF740" i="10"/>
  <c r="CE740" i="10"/>
  <c r="CC740" i="10"/>
  <c r="CD740" i="10" s="1"/>
  <c r="AR740" i="10"/>
  <c r="CF739" i="10"/>
  <c r="CE739" i="10"/>
  <c r="CC739" i="10"/>
  <c r="CD739" i="10" s="1"/>
  <c r="AR739" i="10"/>
  <c r="CF738" i="10"/>
  <c r="CE738" i="10"/>
  <c r="AT738" i="10"/>
  <c r="CC738" i="10" s="1"/>
  <c r="CD738" i="10" s="1"/>
  <c r="AR738" i="10"/>
  <c r="CF737" i="10"/>
  <c r="CE737" i="10"/>
  <c r="CC737" i="10"/>
  <c r="AR737" i="10"/>
  <c r="CF736" i="10"/>
  <c r="CE736" i="10"/>
  <c r="CC736" i="10"/>
  <c r="AR736" i="10"/>
  <c r="CF735" i="10"/>
  <c r="CE735" i="10"/>
  <c r="CC735" i="10"/>
  <c r="AR735" i="10"/>
  <c r="CF734" i="10"/>
  <c r="CE734" i="10"/>
  <c r="CC734" i="10"/>
  <c r="AR734" i="10"/>
  <c r="CF733" i="10"/>
  <c r="CE733" i="10"/>
  <c r="AU733" i="10"/>
  <c r="AT733" i="10"/>
  <c r="CC733" i="10" s="1"/>
  <c r="AR733" i="10"/>
  <c r="CF732" i="10"/>
  <c r="CE732" i="10"/>
  <c r="CC732" i="10"/>
  <c r="AR732" i="10"/>
  <c r="CF731" i="10"/>
  <c r="CE731" i="10"/>
  <c r="CC731" i="10"/>
  <c r="AR731" i="10"/>
  <c r="CF730" i="10"/>
  <c r="CE730" i="10"/>
  <c r="CC730" i="10"/>
  <c r="AR730" i="10"/>
  <c r="CF729" i="10"/>
  <c r="CE729" i="10"/>
  <c r="CC729" i="10"/>
  <c r="AR729" i="10"/>
  <c r="CF728" i="10"/>
  <c r="CE728" i="10"/>
  <c r="CC728" i="10"/>
  <c r="AR728" i="10"/>
  <c r="CF727" i="10"/>
  <c r="CE727" i="10"/>
  <c r="AT727" i="10"/>
  <c r="CC727" i="10" s="1"/>
  <c r="AR727" i="10"/>
  <c r="CF726" i="10"/>
  <c r="CE726" i="10"/>
  <c r="BH726" i="10"/>
  <c r="CC726" i="10" s="1"/>
  <c r="AT726" i="10"/>
  <c r="AR726" i="10"/>
  <c r="CF725" i="10"/>
  <c r="CE725" i="10"/>
  <c r="BH725" i="10"/>
  <c r="AT725" i="10"/>
  <c r="CC725" i="10" s="1"/>
  <c r="CD725" i="10" s="1"/>
  <c r="AR725" i="10"/>
  <c r="CF724" i="10"/>
  <c r="CE724" i="10"/>
  <c r="BH724" i="10"/>
  <c r="AT724" i="10"/>
  <c r="CC724" i="10" s="1"/>
  <c r="CD724" i="10" s="1"/>
  <c r="AR724" i="10"/>
  <c r="CF723" i="10"/>
  <c r="CE723" i="10"/>
  <c r="CC723" i="10"/>
  <c r="CD723" i="10" s="1"/>
  <c r="AR723" i="10"/>
  <c r="CF722" i="10"/>
  <c r="CE722" i="10"/>
  <c r="CC722" i="10"/>
  <c r="AR722" i="10"/>
  <c r="CF721" i="10"/>
  <c r="CE721" i="10"/>
  <c r="CC721" i="10"/>
  <c r="AR721" i="10"/>
  <c r="CF720" i="10"/>
  <c r="CE720" i="10"/>
  <c r="CC720" i="10"/>
  <c r="AR720" i="10"/>
  <c r="CF719" i="10"/>
  <c r="CE719" i="10"/>
  <c r="CC719" i="10"/>
  <c r="AR719" i="10"/>
  <c r="CF718" i="10"/>
  <c r="CE718" i="10"/>
  <c r="AT718" i="10"/>
  <c r="CC718" i="10" s="1"/>
  <c r="AR718" i="10"/>
  <c r="CF717" i="10"/>
  <c r="CE717" i="10"/>
  <c r="CC717" i="10"/>
  <c r="AR717" i="10"/>
  <c r="CF716" i="10"/>
  <c r="CE716" i="10"/>
  <c r="CC716" i="10"/>
  <c r="AR716" i="10"/>
  <c r="CF715" i="10"/>
  <c r="CE715" i="10"/>
  <c r="CC715" i="10"/>
  <c r="CD715" i="10" s="1"/>
  <c r="AR715" i="10"/>
  <c r="CF714" i="10"/>
  <c r="CE714" i="10"/>
  <c r="CC714" i="10"/>
  <c r="CD714" i="10" s="1"/>
  <c r="AR714" i="10"/>
  <c r="CF713" i="10"/>
  <c r="CE713" i="10"/>
  <c r="AT713" i="10"/>
  <c r="CC713" i="10" s="1"/>
  <c r="CD713" i="10" s="1"/>
  <c r="AR713" i="10"/>
  <c r="CF712" i="10"/>
  <c r="CE712" i="10"/>
  <c r="AT712" i="10"/>
  <c r="CC712" i="10" s="1"/>
  <c r="AR712" i="10"/>
  <c r="CD712" i="10" s="1"/>
  <c r="CF711" i="10"/>
  <c r="CE711" i="10"/>
  <c r="AT711" i="10"/>
  <c r="CC711" i="10" s="1"/>
  <c r="AR711" i="10"/>
  <c r="CF710" i="10"/>
  <c r="CE710" i="10"/>
  <c r="CC710" i="10"/>
  <c r="AR710" i="10"/>
  <c r="CF709" i="10"/>
  <c r="CE709" i="10"/>
  <c r="CC709" i="10"/>
  <c r="AR709" i="10"/>
  <c r="F709" i="10"/>
  <c r="CF708" i="10"/>
  <c r="CE708" i="10"/>
  <c r="CC708" i="10"/>
  <c r="AR708" i="10"/>
  <c r="CF707" i="10"/>
  <c r="CE707" i="10"/>
  <c r="CC707" i="10"/>
  <c r="CD707" i="10" s="1"/>
  <c r="AR707" i="10"/>
  <c r="CF706" i="10"/>
  <c r="CE706" i="10"/>
  <c r="CC706" i="10"/>
  <c r="AT706" i="10"/>
  <c r="AR706" i="10"/>
  <c r="CF705" i="10"/>
  <c r="CE705" i="10"/>
  <c r="CC705" i="10"/>
  <c r="AR705" i="10"/>
  <c r="CF704" i="10"/>
  <c r="CE704" i="10"/>
  <c r="CC704" i="10"/>
  <c r="AR704" i="10"/>
  <c r="CF703" i="10"/>
  <c r="CE703" i="10"/>
  <c r="CC703" i="10"/>
  <c r="AR703" i="10"/>
  <c r="CF702" i="10"/>
  <c r="CE702" i="10"/>
  <c r="CC702" i="10"/>
  <c r="AR702" i="10"/>
  <c r="CF701" i="10"/>
  <c r="CE701" i="10"/>
  <c r="CC701" i="10"/>
  <c r="AR701" i="10"/>
  <c r="CF700" i="10"/>
  <c r="CE700" i="10"/>
  <c r="CC700" i="10"/>
  <c r="AR700" i="10"/>
  <c r="CD700" i="10" s="1"/>
  <c r="F700" i="10"/>
  <c r="CF699" i="10"/>
  <c r="CE699" i="10"/>
  <c r="CC699" i="10"/>
  <c r="AR699" i="10"/>
  <c r="CF698" i="10"/>
  <c r="CE698" i="10"/>
  <c r="CC698" i="10"/>
  <c r="CD698" i="10" s="1"/>
  <c r="AR698" i="10"/>
  <c r="CF697" i="10"/>
  <c r="CE697" i="10"/>
  <c r="CC697" i="10"/>
  <c r="AR697" i="10"/>
  <c r="CD697" i="10" s="1"/>
  <c r="CF696" i="10"/>
  <c r="CE696" i="10"/>
  <c r="CC696" i="10"/>
  <c r="AR696" i="10"/>
  <c r="CF695" i="10"/>
  <c r="CE695" i="10"/>
  <c r="CC695" i="10"/>
  <c r="AR695" i="10"/>
  <c r="CD695" i="10" s="1"/>
  <c r="CF694" i="10"/>
  <c r="CE694" i="10"/>
  <c r="CC694" i="10"/>
  <c r="AU694" i="10"/>
  <c r="AT694" i="10"/>
  <c r="AR694" i="10"/>
  <c r="CF693" i="10"/>
  <c r="CE693" i="10"/>
  <c r="CC693" i="10"/>
  <c r="AR693" i="10"/>
  <c r="CD693" i="10" s="1"/>
  <c r="CF692" i="10"/>
  <c r="CE692" i="10"/>
  <c r="CC692" i="10"/>
  <c r="AR692" i="10"/>
  <c r="CF691" i="10"/>
  <c r="CE691" i="10"/>
  <c r="AU691" i="10"/>
  <c r="AT691" i="10"/>
  <c r="AR691" i="10"/>
  <c r="CF690" i="10"/>
  <c r="CE690" i="10"/>
  <c r="CC690" i="10"/>
  <c r="AU690" i="10"/>
  <c r="AT690" i="10"/>
  <c r="AR690" i="10"/>
  <c r="CF689" i="10"/>
  <c r="CE689" i="10"/>
  <c r="CC689" i="10"/>
  <c r="AR689" i="10"/>
  <c r="CF688" i="10"/>
  <c r="CE688" i="10"/>
  <c r="CC688" i="10"/>
  <c r="AR688" i="10"/>
  <c r="CF687" i="10"/>
  <c r="CE687" i="10"/>
  <c r="CC687" i="10"/>
  <c r="CD687" i="10" s="1"/>
  <c r="AR687" i="10"/>
  <c r="CF686" i="10"/>
  <c r="CE686" i="10"/>
  <c r="CC686" i="10"/>
  <c r="CD686" i="10" s="1"/>
  <c r="AR686" i="10"/>
  <c r="CF685" i="10"/>
  <c r="CE685" i="10"/>
  <c r="CC685" i="10"/>
  <c r="AR685" i="10"/>
  <c r="CF684" i="10"/>
  <c r="CE684" i="10"/>
  <c r="CC684" i="10"/>
  <c r="CD684" i="10" s="1"/>
  <c r="AR684" i="10"/>
  <c r="CF683" i="10"/>
  <c r="CE683" i="10"/>
  <c r="CC683" i="10"/>
  <c r="AR683" i="10"/>
  <c r="CF682" i="10"/>
  <c r="CE682" i="10"/>
  <c r="CC682" i="10"/>
  <c r="AR682" i="10"/>
  <c r="CF681" i="10"/>
  <c r="CE681" i="10"/>
  <c r="CC681" i="10"/>
  <c r="AR681" i="10"/>
  <c r="CF680" i="10"/>
  <c r="CE680" i="10"/>
  <c r="CC680" i="10"/>
  <c r="AT680" i="10"/>
  <c r="AR680" i="10"/>
  <c r="CF679" i="10"/>
  <c r="CE679" i="10"/>
  <c r="CC679" i="10"/>
  <c r="AR679" i="10"/>
  <c r="CF678" i="10"/>
  <c r="CE678" i="10"/>
  <c r="CC678" i="10"/>
  <c r="AR678" i="10"/>
  <c r="CF677" i="10"/>
  <c r="CE677" i="10"/>
  <c r="CC677" i="10"/>
  <c r="AT677" i="10"/>
  <c r="AR677" i="10"/>
  <c r="F677" i="10"/>
  <c r="CF676" i="10"/>
  <c r="CE676" i="10"/>
  <c r="CC676" i="10"/>
  <c r="AR676" i="10"/>
  <c r="CF675" i="10"/>
  <c r="CE675" i="10"/>
  <c r="CC675" i="10"/>
  <c r="AR675" i="10"/>
  <c r="CF674" i="10"/>
  <c r="CE674" i="10"/>
  <c r="CC674" i="10"/>
  <c r="AR674" i="10"/>
  <c r="CD674" i="10" s="1"/>
  <c r="CF673" i="10"/>
  <c r="CE673" i="10"/>
  <c r="CC673" i="10"/>
  <c r="AR673" i="10"/>
  <c r="CF672" i="10"/>
  <c r="CE672" i="10"/>
  <c r="CC672" i="10"/>
  <c r="AR672" i="10"/>
  <c r="CF671" i="10"/>
  <c r="CE671" i="10"/>
  <c r="CC671" i="10"/>
  <c r="AR671" i="10"/>
  <c r="CF670" i="10"/>
  <c r="CE670" i="10"/>
  <c r="CC670" i="10"/>
  <c r="AR670" i="10"/>
  <c r="CF669" i="10"/>
  <c r="CE669" i="10"/>
  <c r="CC669" i="10"/>
  <c r="AR669" i="10"/>
  <c r="F669" i="10"/>
  <c r="F670" i="10" s="1"/>
  <c r="CF668" i="10"/>
  <c r="CE668" i="10"/>
  <c r="CC668" i="10"/>
  <c r="CD668" i="10" s="1"/>
  <c r="AR668" i="10"/>
  <c r="F668" i="10"/>
  <c r="CF667" i="10"/>
  <c r="CE667" i="10"/>
  <c r="CC667" i="10"/>
  <c r="AR667" i="10"/>
  <c r="CF666" i="10"/>
  <c r="CE666" i="10"/>
  <c r="CC666" i="10"/>
  <c r="AR666" i="10"/>
  <c r="CF665" i="10"/>
  <c r="CE665" i="10"/>
  <c r="CC665" i="10"/>
  <c r="AR665" i="10"/>
  <c r="CF664" i="10"/>
  <c r="CE664" i="10"/>
  <c r="CC664" i="10"/>
  <c r="AR664" i="10"/>
  <c r="CF663" i="10"/>
  <c r="CE663" i="10"/>
  <c r="CC663" i="10"/>
  <c r="AR663" i="10"/>
  <c r="CF662" i="10"/>
  <c r="CE662" i="10"/>
  <c r="CC662" i="10"/>
  <c r="AR662" i="10"/>
  <c r="CF661" i="10"/>
  <c r="CE661" i="10"/>
  <c r="CC661" i="10"/>
  <c r="AR661" i="10"/>
  <c r="CF660" i="10"/>
  <c r="CE660" i="10"/>
  <c r="CC660" i="10"/>
  <c r="AR660" i="10"/>
  <c r="CF659" i="10"/>
  <c r="CE659" i="10"/>
  <c r="CC659" i="10"/>
  <c r="AR659" i="10"/>
  <c r="CF658" i="10"/>
  <c r="CE658" i="10"/>
  <c r="CC658" i="10"/>
  <c r="AR658" i="10"/>
  <c r="CF657" i="10"/>
  <c r="CE657" i="10"/>
  <c r="CC657" i="10"/>
  <c r="AR657" i="10"/>
  <c r="CD657" i="10" s="1"/>
  <c r="CF656" i="10"/>
  <c r="CE656" i="10"/>
  <c r="CC656" i="10"/>
  <c r="AR656" i="10"/>
  <c r="CF655" i="10"/>
  <c r="CE655" i="10"/>
  <c r="CC655" i="10"/>
  <c r="AR655" i="10"/>
  <c r="CF654" i="10"/>
  <c r="CE654" i="10"/>
  <c r="CC654" i="10"/>
  <c r="AR654" i="10"/>
  <c r="CF653" i="10"/>
  <c r="CE653" i="10"/>
  <c r="CC653" i="10"/>
  <c r="AR653" i="10"/>
  <c r="CF652" i="10"/>
  <c r="CE652" i="10"/>
  <c r="CC652" i="10"/>
  <c r="AT652" i="10"/>
  <c r="AR652" i="10"/>
  <c r="F652" i="10"/>
  <c r="CF651" i="10"/>
  <c r="CE651" i="10"/>
  <c r="CC651" i="10"/>
  <c r="AR651" i="10"/>
  <c r="CF650" i="10"/>
  <c r="CE650" i="10"/>
  <c r="CC650" i="10"/>
  <c r="AR650" i="10"/>
  <c r="CF649" i="10"/>
  <c r="CE649" i="10"/>
  <c r="CC649" i="10"/>
  <c r="AR649" i="10"/>
  <c r="CF648" i="10"/>
  <c r="CE648" i="10"/>
  <c r="CC648" i="10"/>
  <c r="AR648" i="10"/>
  <c r="CF647" i="10"/>
  <c r="CE647" i="10"/>
  <c r="CC647" i="10"/>
  <c r="CD647" i="10" s="1"/>
  <c r="AR647" i="10"/>
  <c r="CF646" i="10"/>
  <c r="CE646" i="10"/>
  <c r="CC646" i="10"/>
  <c r="CD646" i="10" s="1"/>
  <c r="AR646" i="10"/>
  <c r="CF645" i="10"/>
  <c r="CE645" i="10"/>
  <c r="CC645" i="10"/>
  <c r="AR645" i="10"/>
  <c r="CF644" i="10"/>
  <c r="CE644" i="10"/>
  <c r="CC644" i="10"/>
  <c r="CD644" i="10" s="1"/>
  <c r="AR644" i="10"/>
  <c r="CF643" i="10"/>
  <c r="CE643" i="10"/>
  <c r="CC643" i="10"/>
  <c r="AR643" i="10"/>
  <c r="CF642" i="10"/>
  <c r="CE642" i="10"/>
  <c r="CC642" i="10"/>
  <c r="AR642" i="10"/>
  <c r="CF641" i="10"/>
  <c r="CE641" i="10"/>
  <c r="CC641" i="10"/>
  <c r="AR641" i="10"/>
  <c r="CF640" i="10"/>
  <c r="CE640" i="10"/>
  <c r="CC640" i="10"/>
  <c r="AR640" i="10"/>
  <c r="CF639" i="10"/>
  <c r="CE639" i="10"/>
  <c r="CC639" i="10"/>
  <c r="CD639" i="10" s="1"/>
  <c r="AR639" i="10"/>
  <c r="CF638" i="10"/>
  <c r="CE638" i="10"/>
  <c r="CC638" i="10"/>
  <c r="CD638" i="10" s="1"/>
  <c r="AR638" i="10"/>
  <c r="CF637" i="10"/>
  <c r="CE637" i="10"/>
  <c r="CC637" i="10"/>
  <c r="AR637" i="10"/>
  <c r="CF636" i="10"/>
  <c r="CE636" i="10"/>
  <c r="CC636" i="10"/>
  <c r="CD636" i="10" s="1"/>
  <c r="AR636" i="10"/>
  <c r="CF635" i="10"/>
  <c r="CE635" i="10"/>
  <c r="CC635" i="10"/>
  <c r="AR635" i="10"/>
  <c r="CD635" i="10" s="1"/>
  <c r="CF634" i="10"/>
  <c r="CE634" i="10"/>
  <c r="CC634" i="10"/>
  <c r="AR634" i="10"/>
  <c r="CF633" i="10"/>
  <c r="CE633" i="10"/>
  <c r="CC633" i="10"/>
  <c r="AR633" i="10"/>
  <c r="CF632" i="10"/>
  <c r="CE632" i="10"/>
  <c r="CC632" i="10"/>
  <c r="AU632" i="10"/>
  <c r="AT632" i="10"/>
  <c r="AR632" i="10"/>
  <c r="CF631" i="10"/>
  <c r="CE631" i="10"/>
  <c r="CC631" i="10"/>
  <c r="AR631" i="10"/>
  <c r="CF630" i="10"/>
  <c r="CE630" i="10"/>
  <c r="CC630" i="10"/>
  <c r="AR630" i="10"/>
  <c r="CF629" i="10"/>
  <c r="CE629" i="10"/>
  <c r="CC629" i="10"/>
  <c r="AR629" i="10"/>
  <c r="CF628" i="10"/>
  <c r="CE628" i="10"/>
  <c r="AU628" i="10"/>
  <c r="AT628" i="10"/>
  <c r="AR628" i="10"/>
  <c r="CF627" i="10"/>
  <c r="CE627" i="10"/>
  <c r="CC627" i="10"/>
  <c r="CD627" i="10" s="1"/>
  <c r="AR627" i="10"/>
  <c r="CF626" i="10"/>
  <c r="CE626" i="10"/>
  <c r="CC626" i="10"/>
  <c r="AR626" i="10"/>
  <c r="CF625" i="10"/>
  <c r="CE625" i="10"/>
  <c r="CC625" i="10"/>
  <c r="AR625" i="10"/>
  <c r="CF624" i="10"/>
  <c r="CE624" i="10"/>
  <c r="CC624" i="10"/>
  <c r="AR624" i="10"/>
  <c r="CF623" i="10"/>
  <c r="CE623" i="10"/>
  <c r="CC623" i="10"/>
  <c r="AR623" i="10"/>
  <c r="CD623" i="10" s="1"/>
  <c r="CF622" i="10"/>
  <c r="CE622" i="10"/>
  <c r="CC622" i="10"/>
  <c r="AR622" i="10"/>
  <c r="CF621" i="10"/>
  <c r="CE621" i="10"/>
  <c r="CC621" i="10"/>
  <c r="AR621" i="10"/>
  <c r="CD621" i="10" s="1"/>
  <c r="CF620" i="10"/>
  <c r="CE620" i="10"/>
  <c r="CC620" i="10"/>
  <c r="AR620" i="10"/>
  <c r="CF619" i="10"/>
  <c r="CE619" i="10"/>
  <c r="CC619" i="10"/>
  <c r="AR619" i="10"/>
  <c r="CF618" i="10"/>
  <c r="CE618" i="10"/>
  <c r="CC618" i="10"/>
  <c r="AR618" i="10"/>
  <c r="CF617" i="10"/>
  <c r="CE617" i="10"/>
  <c r="CC617" i="10"/>
  <c r="AR617" i="10"/>
  <c r="CF616" i="10"/>
  <c r="CE616" i="10"/>
  <c r="CC616" i="10"/>
  <c r="AR616" i="10"/>
  <c r="CF615" i="10"/>
  <c r="CE615" i="10"/>
  <c r="AU615" i="10"/>
  <c r="AT615" i="10"/>
  <c r="AR615" i="10"/>
  <c r="CF614" i="10"/>
  <c r="CE614" i="10"/>
  <c r="CC614" i="10"/>
  <c r="AR614" i="10"/>
  <c r="CF613" i="10"/>
  <c r="CE613" i="10"/>
  <c r="CC613" i="10"/>
  <c r="CD613" i="10" s="1"/>
  <c r="AR613" i="10"/>
  <c r="CF612" i="10"/>
  <c r="CE612" i="10"/>
  <c r="CC612" i="10"/>
  <c r="AR612" i="10"/>
  <c r="CF611" i="10"/>
  <c r="CE611" i="10"/>
  <c r="AU611" i="10"/>
  <c r="AT611" i="10"/>
  <c r="AR611" i="10"/>
  <c r="CF610" i="10"/>
  <c r="CE610" i="10"/>
  <c r="CC610" i="10"/>
  <c r="AR610" i="10"/>
  <c r="CF609" i="10"/>
  <c r="AR609" i="10"/>
  <c r="CF608" i="10"/>
  <c r="CE608" i="10"/>
  <c r="AT608" i="10"/>
  <c r="CC608" i="10" s="1"/>
  <c r="AR608" i="10"/>
  <c r="CF607" i="10"/>
  <c r="CE607" i="10"/>
  <c r="AT607" i="10"/>
  <c r="CC607" i="10" s="1"/>
  <c r="AR607" i="10"/>
  <c r="CF606" i="10"/>
  <c r="CE606" i="10"/>
  <c r="AT606" i="10"/>
  <c r="CC606" i="10" s="1"/>
  <c r="CD606" i="10" s="1"/>
  <c r="AR606" i="10"/>
  <c r="CF605" i="10"/>
  <c r="CE605" i="10"/>
  <c r="AT605" i="10"/>
  <c r="CC605" i="10" s="1"/>
  <c r="AR605" i="10"/>
  <c r="CF604" i="10"/>
  <c r="CE604" i="10"/>
  <c r="AT604" i="10"/>
  <c r="AR604" i="10"/>
  <c r="CF603" i="10"/>
  <c r="CE603" i="10"/>
  <c r="CC603" i="10"/>
  <c r="AR603" i="10"/>
  <c r="CF602" i="10"/>
  <c r="CE602" i="10"/>
  <c r="CC602" i="10"/>
  <c r="AR602" i="10"/>
  <c r="CF601" i="10"/>
  <c r="CE601" i="10"/>
  <c r="CC601" i="10"/>
  <c r="AR601" i="10"/>
  <c r="CF600" i="10"/>
  <c r="CE600" i="10"/>
  <c r="BH600" i="10"/>
  <c r="CC600" i="10" s="1"/>
  <c r="AR600" i="10"/>
  <c r="CF599" i="10"/>
  <c r="CE599" i="10"/>
  <c r="CC599" i="10"/>
  <c r="BH599" i="10"/>
  <c r="AR599" i="10"/>
  <c r="CF598" i="10"/>
  <c r="CE598" i="10"/>
  <c r="CC598" i="10"/>
  <c r="CD598" i="10" s="1"/>
  <c r="BH598" i="10"/>
  <c r="AR598" i="10"/>
  <c r="CF597" i="10"/>
  <c r="CE597" i="10"/>
  <c r="CC597" i="10"/>
  <c r="BH597" i="10"/>
  <c r="AR597" i="10"/>
  <c r="CF596" i="10"/>
  <c r="CE596" i="10"/>
  <c r="BH596" i="10"/>
  <c r="CC596" i="10" s="1"/>
  <c r="AR596" i="10"/>
  <c r="CF595" i="10"/>
  <c r="CE595" i="10"/>
  <c r="CC595" i="10"/>
  <c r="BH595" i="10"/>
  <c r="AR595" i="10"/>
  <c r="CF594" i="10"/>
  <c r="CE594" i="10"/>
  <c r="CC594" i="10"/>
  <c r="AR594" i="10"/>
  <c r="CF593" i="10"/>
  <c r="CE593" i="10"/>
  <c r="CC593" i="10"/>
  <c r="AR593" i="10"/>
  <c r="CF592" i="10"/>
  <c r="CE592" i="10"/>
  <c r="CC592" i="10"/>
  <c r="BH592" i="10"/>
  <c r="AR592" i="10"/>
  <c r="CF591" i="10"/>
  <c r="CE591" i="10"/>
  <c r="CC591" i="10"/>
  <c r="CD591" i="10" s="1"/>
  <c r="AR591" i="10"/>
  <c r="CF590" i="10"/>
  <c r="CE590" i="10"/>
  <c r="BH590" i="10"/>
  <c r="AR590" i="10"/>
  <c r="CF589" i="10"/>
  <c r="CE589" i="10"/>
  <c r="CC589" i="10"/>
  <c r="AR589" i="10"/>
  <c r="CF588" i="10"/>
  <c r="CE588" i="10"/>
  <c r="CC588" i="10"/>
  <c r="AR588" i="10"/>
  <c r="CF587" i="10"/>
  <c r="CE587" i="10"/>
  <c r="CC587" i="10"/>
  <c r="AR587" i="10"/>
  <c r="CF586" i="10"/>
  <c r="CE586" i="10"/>
  <c r="CC586" i="10"/>
  <c r="AR586" i="10"/>
  <c r="CF585" i="10"/>
  <c r="CE585" i="10"/>
  <c r="CC585" i="10"/>
  <c r="CD585" i="10" s="1"/>
  <c r="AR585" i="10"/>
  <c r="CF584" i="10"/>
  <c r="CE584" i="10"/>
  <c r="CC584" i="10"/>
  <c r="CD584" i="10" s="1"/>
  <c r="AR584" i="10"/>
  <c r="CF583" i="10"/>
  <c r="CE583" i="10"/>
  <c r="CC583" i="10"/>
  <c r="AR583" i="10"/>
  <c r="CF582" i="10"/>
  <c r="CE582" i="10"/>
  <c r="CC582" i="10"/>
  <c r="CD582" i="10" s="1"/>
  <c r="AR582" i="10"/>
  <c r="CF581" i="10"/>
  <c r="CE581" i="10"/>
  <c r="CD581" i="10"/>
  <c r="CC581" i="10"/>
  <c r="AR581" i="10"/>
  <c r="CF580" i="10"/>
  <c r="CE580" i="10"/>
  <c r="CC580" i="10"/>
  <c r="AR580" i="10"/>
  <c r="CF579" i="10"/>
  <c r="CE579" i="10"/>
  <c r="CC579" i="10"/>
  <c r="AR579" i="10"/>
  <c r="CL578" i="10"/>
  <c r="CK578" i="10"/>
  <c r="CJ578" i="10"/>
  <c r="CI578" i="10"/>
  <c r="CH578" i="10"/>
  <c r="CG578" i="10"/>
  <c r="CB578" i="10"/>
  <c r="CA578" i="10"/>
  <c r="BZ578" i="10"/>
  <c r="BY578" i="10"/>
  <c r="BX578" i="10"/>
  <c r="BW578" i="10"/>
  <c r="BV578" i="10"/>
  <c r="BU578" i="10"/>
  <c r="BT578" i="10"/>
  <c r="BS578" i="10"/>
  <c r="BR578" i="10"/>
  <c r="BQ578" i="10"/>
  <c r="BP578" i="10"/>
  <c r="BO578" i="10"/>
  <c r="BN578" i="10"/>
  <c r="BM578" i="10"/>
  <c r="BL578" i="10"/>
  <c r="BK578" i="10"/>
  <c r="BJ578" i="10"/>
  <c r="BI578" i="10"/>
  <c r="BH578" i="10"/>
  <c r="BG578" i="10"/>
  <c r="BF578" i="10"/>
  <c r="BE578" i="10"/>
  <c r="BD578" i="10"/>
  <c r="BC578" i="10"/>
  <c r="BB578" i="10"/>
  <c r="BA578" i="10"/>
  <c r="AZ578" i="10"/>
  <c r="AY578" i="10"/>
  <c r="AX578" i="10"/>
  <c r="AW578" i="10"/>
  <c r="AS578" i="10"/>
  <c r="AQ578" i="10"/>
  <c r="AP578" i="10"/>
  <c r="AO578" i="10"/>
  <c r="AN578" i="10"/>
  <c r="AM578" i="10"/>
  <c r="AL578" i="10"/>
  <c r="AK578" i="10"/>
  <c r="AJ578" i="10"/>
  <c r="AI578" i="10"/>
  <c r="AH578" i="10"/>
  <c r="AG578" i="10"/>
  <c r="AF578" i="10"/>
  <c r="AE578" i="10"/>
  <c r="AD578" i="10"/>
  <c r="AC578" i="10"/>
  <c r="AB578" i="10"/>
  <c r="AA578" i="10"/>
  <c r="Z578" i="10"/>
  <c r="Y578" i="10"/>
  <c r="X578" i="10"/>
  <c r="W578" i="10"/>
  <c r="V578" i="10"/>
  <c r="U578" i="10"/>
  <c r="T578" i="10"/>
  <c r="S578" i="10"/>
  <c r="R578" i="10"/>
  <c r="Q578" i="10"/>
  <c r="P578" i="10"/>
  <c r="O578" i="10"/>
  <c r="N578" i="10"/>
  <c r="M578" i="10"/>
  <c r="L578" i="10"/>
  <c r="K578" i="10"/>
  <c r="J578" i="10"/>
  <c r="I578" i="10"/>
  <c r="H578" i="10"/>
  <c r="CF577" i="10"/>
  <c r="CE577" i="10"/>
  <c r="AV577" i="10"/>
  <c r="AU577" i="10"/>
  <c r="AT577" i="10"/>
  <c r="AR577" i="10"/>
  <c r="CF576" i="10"/>
  <c r="CE576" i="10"/>
  <c r="AV576" i="10"/>
  <c r="AU576" i="10"/>
  <c r="AT576" i="10"/>
  <c r="AR576" i="10"/>
  <c r="CF575" i="10"/>
  <c r="CE575" i="10"/>
  <c r="AV575" i="10"/>
  <c r="AU575" i="10"/>
  <c r="AT575" i="10"/>
  <c r="AR575" i="10"/>
  <c r="CF574" i="10"/>
  <c r="CE574" i="10"/>
  <c r="AV574" i="10"/>
  <c r="AU574" i="10"/>
  <c r="AR574" i="10"/>
  <c r="CF573" i="10"/>
  <c r="CE573" i="10"/>
  <c r="AV573" i="10"/>
  <c r="AU573" i="10"/>
  <c r="AT573" i="10"/>
  <c r="AR573" i="10"/>
  <c r="CF572" i="10"/>
  <c r="CE572" i="10"/>
  <c r="AV572" i="10"/>
  <c r="AU572" i="10"/>
  <c r="AT572" i="10"/>
  <c r="CC572" i="10" s="1"/>
  <c r="AR572" i="10"/>
  <c r="CF571" i="10"/>
  <c r="CE571" i="10"/>
  <c r="AV571" i="10"/>
  <c r="AU571" i="10"/>
  <c r="AR571" i="10"/>
  <c r="CF570" i="10"/>
  <c r="CE570" i="10"/>
  <c r="CC570" i="10"/>
  <c r="AV570" i="10"/>
  <c r="AU570" i="10"/>
  <c r="AR570" i="10"/>
  <c r="CF569" i="10"/>
  <c r="CE569" i="10"/>
  <c r="AV569" i="10"/>
  <c r="AU569" i="10"/>
  <c r="AT569" i="10"/>
  <c r="AR569" i="10"/>
  <c r="CF568" i="10"/>
  <c r="CE568" i="10"/>
  <c r="AV568" i="10"/>
  <c r="CC568" i="10" s="1"/>
  <c r="AU568" i="10"/>
  <c r="AR568" i="10"/>
  <c r="CF567" i="10"/>
  <c r="CE567" i="10"/>
  <c r="AV567" i="10"/>
  <c r="AU567" i="10"/>
  <c r="CC567" i="10" s="1"/>
  <c r="AT567" i="10"/>
  <c r="AR567" i="10"/>
  <c r="CF566" i="10"/>
  <c r="CE566" i="10"/>
  <c r="AV566" i="10"/>
  <c r="AU566" i="10"/>
  <c r="AR566" i="10"/>
  <c r="CF565" i="10"/>
  <c r="CE565" i="10"/>
  <c r="AV565" i="10"/>
  <c r="AU565" i="10"/>
  <c r="AR565" i="10"/>
  <c r="CF564" i="10"/>
  <c r="CE564" i="10"/>
  <c r="AV564" i="10"/>
  <c r="AU564" i="10"/>
  <c r="CC564" i="10" s="1"/>
  <c r="AT564" i="10"/>
  <c r="AR564" i="10"/>
  <c r="CF563" i="10"/>
  <c r="CE563" i="10"/>
  <c r="CC563" i="10"/>
  <c r="AV563" i="10"/>
  <c r="AU563" i="10"/>
  <c r="AR563" i="10"/>
  <c r="CF562" i="10"/>
  <c r="CE562" i="10"/>
  <c r="AV562" i="10"/>
  <c r="AU562" i="10"/>
  <c r="AR562" i="10"/>
  <c r="CF561" i="10"/>
  <c r="CE561" i="10"/>
  <c r="CC561" i="10"/>
  <c r="CD561" i="10" s="1"/>
  <c r="AV561" i="10"/>
  <c r="AU561" i="10"/>
  <c r="AR561" i="10"/>
  <c r="CF560" i="10"/>
  <c r="CE560" i="10"/>
  <c r="AV560" i="10"/>
  <c r="AU560" i="10"/>
  <c r="AR560" i="10"/>
  <c r="CF559" i="10"/>
  <c r="CE559" i="10"/>
  <c r="AV559" i="10"/>
  <c r="AU559" i="10"/>
  <c r="AT559" i="10"/>
  <c r="AR559" i="10"/>
  <c r="CF558" i="10"/>
  <c r="CE558" i="10"/>
  <c r="AV558" i="10"/>
  <c r="AU558" i="10"/>
  <c r="AT558" i="10"/>
  <c r="CC558" i="10" s="1"/>
  <c r="AR558" i="10"/>
  <c r="CF557" i="10"/>
  <c r="CE557" i="10"/>
  <c r="AV557" i="10"/>
  <c r="AU557" i="10"/>
  <c r="AR557" i="10"/>
  <c r="CF556" i="10"/>
  <c r="CE556" i="10"/>
  <c r="AV556" i="10"/>
  <c r="AU556" i="10"/>
  <c r="AT556" i="10"/>
  <c r="AR556" i="10"/>
  <c r="CF555" i="10"/>
  <c r="CE555" i="10"/>
  <c r="AV555" i="10"/>
  <c r="CC555" i="10" s="1"/>
  <c r="AU555" i="10"/>
  <c r="AR555" i="10"/>
  <c r="CF554" i="10"/>
  <c r="CE554" i="10"/>
  <c r="AV554" i="10"/>
  <c r="AU554" i="10"/>
  <c r="AR554" i="10"/>
  <c r="CF553" i="10"/>
  <c r="CE553" i="10"/>
  <c r="AV553" i="10"/>
  <c r="AU553" i="10"/>
  <c r="AR553" i="10"/>
  <c r="CF552" i="10"/>
  <c r="CE552" i="10"/>
  <c r="AV552" i="10"/>
  <c r="AU552" i="10"/>
  <c r="AR552" i="10"/>
  <c r="CF551" i="10"/>
  <c r="CE551" i="10"/>
  <c r="AV551" i="10"/>
  <c r="AU551" i="10"/>
  <c r="AT551" i="10"/>
  <c r="AR551" i="10"/>
  <c r="CF550" i="10"/>
  <c r="CE550" i="10"/>
  <c r="AV550" i="10"/>
  <c r="AU550" i="10"/>
  <c r="AR550" i="10"/>
  <c r="CF549" i="10"/>
  <c r="CE549" i="10"/>
  <c r="CC549" i="10"/>
  <c r="AV549" i="10"/>
  <c r="AU549" i="10"/>
  <c r="AT549" i="10"/>
  <c r="AR549" i="10"/>
  <c r="CF548" i="10"/>
  <c r="CE548" i="10"/>
  <c r="AV548" i="10"/>
  <c r="AU548" i="10"/>
  <c r="AR548" i="10"/>
  <c r="CF547" i="10"/>
  <c r="CE547" i="10"/>
  <c r="AV547" i="10"/>
  <c r="AU547" i="10"/>
  <c r="AR547" i="10"/>
  <c r="CF546" i="10"/>
  <c r="CE546" i="10"/>
  <c r="AV546" i="10"/>
  <c r="AU546" i="10"/>
  <c r="CC546" i="10" s="1"/>
  <c r="AR546" i="10"/>
  <c r="CF545" i="10"/>
  <c r="CE545" i="10"/>
  <c r="AV545" i="10"/>
  <c r="AU545" i="10"/>
  <c r="AT545" i="10"/>
  <c r="AR545" i="10"/>
  <c r="CF544" i="10"/>
  <c r="CE544" i="10"/>
  <c r="AV544" i="10"/>
  <c r="AU544" i="10"/>
  <c r="AR544" i="10"/>
  <c r="CF543" i="10"/>
  <c r="CE543" i="10"/>
  <c r="AV543" i="10"/>
  <c r="AU543" i="10"/>
  <c r="AR543" i="10"/>
  <c r="CF542" i="10"/>
  <c r="CE542" i="10"/>
  <c r="AV542" i="10"/>
  <c r="AU542" i="10"/>
  <c r="AR542" i="10"/>
  <c r="CF541" i="10"/>
  <c r="CE541" i="10"/>
  <c r="AV541" i="10"/>
  <c r="AU541" i="10"/>
  <c r="AR541" i="10"/>
  <c r="CK540" i="10"/>
  <c r="CJ540" i="10"/>
  <c r="CI540" i="10"/>
  <c r="CH540" i="10"/>
  <c r="CG540" i="10"/>
  <c r="CF540" i="10"/>
  <c r="CE540" i="10"/>
  <c r="CB540" i="10"/>
  <c r="CA540" i="10"/>
  <c r="BZ540" i="10"/>
  <c r="BY540" i="10"/>
  <c r="BX540" i="10"/>
  <c r="BW540" i="10"/>
  <c r="BV540" i="10"/>
  <c r="BU540" i="10"/>
  <c r="BT540" i="10"/>
  <c r="BS540" i="10"/>
  <c r="BR540" i="10"/>
  <c r="BQ540" i="10"/>
  <c r="BP540" i="10"/>
  <c r="BO540" i="10"/>
  <c r="BN540" i="10"/>
  <c r="BM540" i="10"/>
  <c r="BL540" i="10"/>
  <c r="BK540" i="10"/>
  <c r="BJ540" i="10"/>
  <c r="BI540" i="10"/>
  <c r="BG540" i="10"/>
  <c r="BF540" i="10"/>
  <c r="BE540" i="10"/>
  <c r="BD540" i="10"/>
  <c r="BC540" i="10"/>
  <c r="BB540" i="10"/>
  <c r="BA540" i="10"/>
  <c r="AZ540" i="10"/>
  <c r="AY540" i="10"/>
  <c r="AX540" i="10"/>
  <c r="AW540" i="10"/>
  <c r="AV540" i="10"/>
  <c r="AS540" i="10"/>
  <c r="AQ540" i="10"/>
  <c r="AP540" i="10"/>
  <c r="AO540" i="10"/>
  <c r="AN540" i="10"/>
  <c r="AM540" i="10"/>
  <c r="AL540" i="10"/>
  <c r="AK540" i="10"/>
  <c r="AJ540" i="10"/>
  <c r="AI540" i="10"/>
  <c r="AH540" i="10"/>
  <c r="AG540" i="10"/>
  <c r="AF540" i="10"/>
  <c r="AE540" i="10"/>
  <c r="AD540" i="10"/>
  <c r="AC540" i="10"/>
  <c r="AB540" i="10"/>
  <c r="AA540" i="10"/>
  <c r="Z540" i="10"/>
  <c r="Y540" i="10"/>
  <c r="X540" i="10"/>
  <c r="W540" i="10"/>
  <c r="V540" i="10"/>
  <c r="U540" i="10"/>
  <c r="T540" i="10"/>
  <c r="S540" i="10"/>
  <c r="R540" i="10"/>
  <c r="Q540" i="10"/>
  <c r="P540" i="10"/>
  <c r="O540" i="10"/>
  <c r="N540" i="10"/>
  <c r="M540" i="10"/>
  <c r="L540" i="10"/>
  <c r="K540" i="10"/>
  <c r="J540" i="10"/>
  <c r="I540" i="10"/>
  <c r="H540" i="10"/>
  <c r="CF539" i="10"/>
  <c r="CE539" i="10"/>
  <c r="CC539" i="10"/>
  <c r="AR539" i="10"/>
  <c r="CF538" i="10"/>
  <c r="CE538" i="10"/>
  <c r="AS538" i="10"/>
  <c r="CC538" i="10" s="1"/>
  <c r="AR538" i="10"/>
  <c r="CF537" i="10"/>
  <c r="CE537" i="10"/>
  <c r="CC537" i="10"/>
  <c r="AR537" i="10"/>
  <c r="CF536" i="10"/>
  <c r="CE536" i="10"/>
  <c r="BH536" i="10"/>
  <c r="AR536" i="10"/>
  <c r="CF535" i="10"/>
  <c r="CE535" i="10"/>
  <c r="CC535" i="10"/>
  <c r="AR535" i="10"/>
  <c r="CF534" i="10"/>
  <c r="CE534" i="10"/>
  <c r="CC534" i="10"/>
  <c r="AR534" i="10"/>
  <c r="CF533" i="10"/>
  <c r="CE533" i="10"/>
  <c r="AT533" i="10"/>
  <c r="CC533" i="10" s="1"/>
  <c r="AR533" i="10"/>
  <c r="CF532" i="10"/>
  <c r="CE532" i="10"/>
  <c r="CC532" i="10"/>
  <c r="CD532" i="10" s="1"/>
  <c r="AR532" i="10"/>
  <c r="CF531" i="10"/>
  <c r="CE531" i="10"/>
  <c r="CC531" i="10"/>
  <c r="CD531" i="10" s="1"/>
  <c r="AR531" i="10"/>
  <c r="CF530" i="10"/>
  <c r="CE530" i="10"/>
  <c r="CD530" i="10"/>
  <c r="CC530" i="10"/>
  <c r="AR530" i="10"/>
  <c r="CF529" i="10"/>
  <c r="CE529" i="10"/>
  <c r="CC529" i="10"/>
  <c r="AR529" i="10"/>
  <c r="CF528" i="10"/>
  <c r="CE528" i="10"/>
  <c r="CC528" i="10"/>
  <c r="AR528" i="10"/>
  <c r="CF527" i="10"/>
  <c r="CE527" i="10"/>
  <c r="CC527" i="10"/>
  <c r="AR527" i="10"/>
  <c r="CF526" i="10"/>
  <c r="CE526" i="10"/>
  <c r="CC526" i="10"/>
  <c r="AR526" i="10"/>
  <c r="CF525" i="10"/>
  <c r="CE525" i="10"/>
  <c r="CC525" i="10"/>
  <c r="AR525" i="10"/>
  <c r="CF524" i="10"/>
  <c r="CE524" i="10"/>
  <c r="CC524" i="10"/>
  <c r="AR524" i="10"/>
  <c r="CF523" i="10"/>
  <c r="CE523" i="10"/>
  <c r="CC523" i="10"/>
  <c r="AR523" i="10"/>
  <c r="CF522" i="10"/>
  <c r="CE522" i="10"/>
  <c r="CC522" i="10"/>
  <c r="AR522" i="10"/>
  <c r="CF521" i="10"/>
  <c r="CE521" i="10"/>
  <c r="CC521" i="10"/>
  <c r="AR521" i="10"/>
  <c r="CF520" i="10"/>
  <c r="CE520" i="10"/>
  <c r="AT520" i="10"/>
  <c r="CC520" i="10" s="1"/>
  <c r="AR520" i="10"/>
  <c r="CF519" i="10"/>
  <c r="CE519" i="10"/>
  <c r="CC519" i="10"/>
  <c r="AR519" i="10"/>
  <c r="CF518" i="10"/>
  <c r="CE518" i="10"/>
  <c r="CC518" i="10"/>
  <c r="AR518" i="10"/>
  <c r="CF517" i="10"/>
  <c r="CE517" i="10"/>
  <c r="CC517" i="10"/>
  <c r="CD517" i="10" s="1"/>
  <c r="AR517" i="10"/>
  <c r="CF516" i="10"/>
  <c r="CE516" i="10"/>
  <c r="CC516" i="10"/>
  <c r="CD516" i="10" s="1"/>
  <c r="AR516" i="10"/>
  <c r="CF515" i="10"/>
  <c r="CE515" i="10"/>
  <c r="CC515" i="10"/>
  <c r="AR515" i="10"/>
  <c r="CF514" i="10"/>
  <c r="CE514" i="10"/>
  <c r="CC514" i="10"/>
  <c r="AR514" i="10"/>
  <c r="CF513" i="10"/>
  <c r="CE513" i="10"/>
  <c r="CC513" i="10"/>
  <c r="AR513" i="10"/>
  <c r="CF512" i="10"/>
  <c r="CE512" i="10"/>
  <c r="CC512" i="10"/>
  <c r="AR512" i="10"/>
  <c r="CF511" i="10"/>
  <c r="CE511" i="10"/>
  <c r="AT511" i="10"/>
  <c r="CC511" i="10" s="1"/>
  <c r="AR511" i="10"/>
  <c r="CF510" i="10"/>
  <c r="CE510" i="10"/>
  <c r="CC510" i="10"/>
  <c r="AR510" i="10"/>
  <c r="CF509" i="10"/>
  <c r="CE509" i="10"/>
  <c r="CC509" i="10"/>
  <c r="AR509" i="10"/>
  <c r="CF508" i="10"/>
  <c r="CE508" i="10"/>
  <c r="CC508" i="10"/>
  <c r="AR508" i="10"/>
  <c r="F508" i="10"/>
  <c r="F509" i="10" s="1"/>
  <c r="CF507" i="10"/>
  <c r="CE507" i="10"/>
  <c r="AU507" i="10"/>
  <c r="AT507" i="10"/>
  <c r="AR507" i="10"/>
  <c r="F507" i="10"/>
  <c r="CF506" i="10"/>
  <c r="CE506" i="10"/>
  <c r="CC506" i="10"/>
  <c r="CD506" i="10" s="1"/>
  <c r="AR506" i="10"/>
  <c r="F506" i="10"/>
  <c r="CF505" i="10"/>
  <c r="CE505" i="10"/>
  <c r="AU505" i="10"/>
  <c r="AT505" i="10"/>
  <c r="CC505" i="10" s="1"/>
  <c r="AR505" i="10"/>
  <c r="CF504" i="10"/>
  <c r="CE504" i="10"/>
  <c r="CC504" i="10"/>
  <c r="CD504" i="10" s="1"/>
  <c r="AR504" i="10"/>
  <c r="CF503" i="10"/>
  <c r="CE503" i="10"/>
  <c r="CC503" i="10"/>
  <c r="AR503" i="10"/>
  <c r="CF502" i="10"/>
  <c r="CE502" i="10"/>
  <c r="CC502" i="10"/>
  <c r="AR502" i="10"/>
  <c r="CF501" i="10"/>
  <c r="CE501" i="10"/>
  <c r="CC501" i="10"/>
  <c r="AR501" i="10"/>
  <c r="CF500" i="10"/>
  <c r="CE500" i="10"/>
  <c r="CC500" i="10"/>
  <c r="AR500" i="10"/>
  <c r="CF499" i="10"/>
  <c r="CE499" i="10"/>
  <c r="AT499" i="10"/>
  <c r="AU499" i="10" s="1"/>
  <c r="AR499" i="10"/>
  <c r="CF498" i="10"/>
  <c r="CE498" i="10"/>
  <c r="CC498" i="10"/>
  <c r="AR498" i="10"/>
  <c r="CF497" i="10"/>
  <c r="CE497" i="10"/>
  <c r="CC497" i="10"/>
  <c r="AR497" i="10"/>
  <c r="CF496" i="10"/>
  <c r="CE496" i="10"/>
  <c r="CC496" i="10"/>
  <c r="AR496" i="10"/>
  <c r="CF495" i="10"/>
  <c r="CE495" i="10"/>
  <c r="CC495" i="10"/>
  <c r="AR495" i="10"/>
  <c r="CF494" i="10"/>
  <c r="CE494" i="10"/>
  <c r="CC494" i="10"/>
  <c r="AR494" i="10"/>
  <c r="CF493" i="10"/>
  <c r="CE493" i="10"/>
  <c r="CC493" i="10"/>
  <c r="AR493" i="10"/>
  <c r="CF492" i="10"/>
  <c r="CE492" i="10"/>
  <c r="CC492" i="10"/>
  <c r="AR492" i="10"/>
  <c r="CF491" i="10"/>
  <c r="CE491" i="10"/>
  <c r="AU491" i="10"/>
  <c r="AT491" i="10"/>
  <c r="AR491" i="10"/>
  <c r="CF490" i="10"/>
  <c r="CE490" i="10"/>
  <c r="CC490" i="10"/>
  <c r="AR490" i="10"/>
  <c r="CF489" i="10"/>
  <c r="CE489" i="10"/>
  <c r="CC489" i="10"/>
  <c r="AT489" i="10"/>
  <c r="AR489" i="10"/>
  <c r="CF488" i="10"/>
  <c r="CE488" i="10"/>
  <c r="CC488" i="10"/>
  <c r="CD488" i="10" s="1"/>
  <c r="AR488" i="10"/>
  <c r="CF487" i="10"/>
  <c r="CE487" i="10"/>
  <c r="CC487" i="10"/>
  <c r="AR487" i="10"/>
  <c r="CF486" i="10"/>
  <c r="CE486" i="10"/>
  <c r="CC486" i="10"/>
  <c r="AR486" i="10"/>
  <c r="CF485" i="10"/>
  <c r="CE485" i="10"/>
  <c r="CC485" i="10"/>
  <c r="AR485" i="10"/>
  <c r="CF484" i="10"/>
  <c r="CE484" i="10"/>
  <c r="CC484" i="10"/>
  <c r="AR484" i="10"/>
  <c r="CF483" i="10"/>
  <c r="CE483" i="10"/>
  <c r="AT483" i="10"/>
  <c r="CC483" i="10" s="1"/>
  <c r="AR483" i="10"/>
  <c r="CF482" i="10"/>
  <c r="CE482" i="10"/>
  <c r="CC482" i="10"/>
  <c r="CD482" i="10" s="1"/>
  <c r="AR482" i="10"/>
  <c r="CF481" i="10"/>
  <c r="CE481" i="10"/>
  <c r="CC481" i="10"/>
  <c r="CD481" i="10" s="1"/>
  <c r="AR481" i="10"/>
  <c r="CF480" i="10"/>
  <c r="CE480" i="10"/>
  <c r="CD480" i="10"/>
  <c r="CC480" i="10"/>
  <c r="AR480" i="10"/>
  <c r="CF479" i="10"/>
  <c r="CE479" i="10"/>
  <c r="CC479" i="10"/>
  <c r="AR479" i="10"/>
  <c r="CF478" i="10"/>
  <c r="CE478" i="10"/>
  <c r="AT478" i="10"/>
  <c r="CC478" i="10" s="1"/>
  <c r="AR478" i="10"/>
  <c r="CF477" i="10"/>
  <c r="CE477" i="10"/>
  <c r="AT477" i="10"/>
  <c r="CC477" i="10" s="1"/>
  <c r="AR477" i="10"/>
  <c r="CF476" i="10"/>
  <c r="CE476" i="10"/>
  <c r="CC476" i="10"/>
  <c r="AR476" i="10"/>
  <c r="CF475" i="10"/>
  <c r="CE475" i="10"/>
  <c r="CC475" i="10"/>
  <c r="AR475" i="10"/>
  <c r="CF474" i="10"/>
  <c r="CE474" i="10"/>
  <c r="AT474" i="10"/>
  <c r="AR474" i="10"/>
  <c r="CF473" i="10"/>
  <c r="CE473" i="10"/>
  <c r="CC473" i="10"/>
  <c r="AR473" i="10"/>
  <c r="CF472" i="10"/>
  <c r="CE472" i="10"/>
  <c r="CC472" i="10"/>
  <c r="AR472" i="10"/>
  <c r="CF471" i="10"/>
  <c r="CE471" i="10"/>
  <c r="CC471" i="10"/>
  <c r="AR471" i="10"/>
  <c r="CF470" i="10"/>
  <c r="CE470" i="10"/>
  <c r="CC470" i="10"/>
  <c r="AR470" i="10"/>
  <c r="CF469" i="10"/>
  <c r="CE469" i="10"/>
  <c r="CC469" i="10"/>
  <c r="AR469" i="10"/>
  <c r="CF468" i="10"/>
  <c r="CE468" i="10"/>
  <c r="CC468" i="10"/>
  <c r="AR468" i="10"/>
  <c r="CL467" i="10"/>
  <c r="CL466" i="10" s="1"/>
  <c r="CK467" i="10"/>
  <c r="CJ467" i="10"/>
  <c r="CJ466" i="10" s="1"/>
  <c r="CI467" i="10"/>
  <c r="CI466" i="10" s="1"/>
  <c r="CH467" i="10"/>
  <c r="CH466" i="10" s="1"/>
  <c r="CG467" i="10"/>
  <c r="CG466" i="10" s="1"/>
  <c r="CB467" i="10"/>
  <c r="CB466" i="10" s="1"/>
  <c r="CA467" i="10"/>
  <c r="BZ467" i="10"/>
  <c r="BZ466" i="10" s="1"/>
  <c r="BY467" i="10"/>
  <c r="BX467" i="10"/>
  <c r="BX466" i="10" s="1"/>
  <c r="BW467" i="10"/>
  <c r="BV467" i="10"/>
  <c r="BV466" i="10" s="1"/>
  <c r="BU467" i="10"/>
  <c r="BT467" i="10"/>
  <c r="BT466" i="10" s="1"/>
  <c r="BS467" i="10"/>
  <c r="BS466" i="10" s="1"/>
  <c r="BR467" i="10"/>
  <c r="BR466" i="10" s="1"/>
  <c r="BQ467" i="10"/>
  <c r="BP467" i="10"/>
  <c r="BP466" i="10" s="1"/>
  <c r="BO467" i="10"/>
  <c r="BO466" i="10" s="1"/>
  <c r="BN467" i="10"/>
  <c r="BN466" i="10" s="1"/>
  <c r="BM467" i="10"/>
  <c r="BL467" i="10"/>
  <c r="BL466" i="10" s="1"/>
  <c r="BK467" i="10"/>
  <c r="BK466" i="10" s="1"/>
  <c r="BJ467" i="10"/>
  <c r="BJ466" i="10" s="1"/>
  <c r="BI467" i="10"/>
  <c r="BH467" i="10"/>
  <c r="BG467" i="10"/>
  <c r="BF467" i="10"/>
  <c r="BF466" i="10" s="1"/>
  <c r="BE467" i="10"/>
  <c r="BD467" i="10"/>
  <c r="BD466" i="10" s="1"/>
  <c r="BC467" i="10"/>
  <c r="BC466" i="10" s="1"/>
  <c r="BB467" i="10"/>
  <c r="BB466" i="10" s="1"/>
  <c r="BA467" i="10"/>
  <c r="AZ467" i="10"/>
  <c r="AZ466" i="10" s="1"/>
  <c r="AY467" i="10"/>
  <c r="AX467" i="10"/>
  <c r="AX466" i="10" s="1"/>
  <c r="AW467" i="10"/>
  <c r="AV467" i="10"/>
  <c r="AV466" i="10" s="1"/>
  <c r="AU467" i="10"/>
  <c r="AT467" i="10"/>
  <c r="AS467" i="10"/>
  <c r="AQ467" i="10"/>
  <c r="AQ466" i="10" s="1"/>
  <c r="AP467" i="10"/>
  <c r="AP466" i="10" s="1"/>
  <c r="AO467" i="10"/>
  <c r="AO466" i="10" s="1"/>
  <c r="AN467" i="10"/>
  <c r="AM467" i="10"/>
  <c r="AM466" i="10" s="1"/>
  <c r="AL467" i="10"/>
  <c r="AL466" i="10" s="1"/>
  <c r="AK467" i="10"/>
  <c r="AK466" i="10" s="1"/>
  <c r="AJ467" i="10"/>
  <c r="AI467" i="10"/>
  <c r="AI466" i="10" s="1"/>
  <c r="AH467" i="10"/>
  <c r="AH466" i="10" s="1"/>
  <c r="AG467" i="10"/>
  <c r="AF467" i="10"/>
  <c r="AE467" i="10"/>
  <c r="AE466" i="10" s="1"/>
  <c r="AD467" i="10"/>
  <c r="AD466" i="10" s="1"/>
  <c r="AC467" i="10"/>
  <c r="AC466" i="10" s="1"/>
  <c r="AB467" i="10"/>
  <c r="AA467" i="10"/>
  <c r="AA466" i="10" s="1"/>
  <c r="Z467" i="10"/>
  <c r="Z466" i="10" s="1"/>
  <c r="Y467" i="10"/>
  <c r="Y466" i="10" s="1"/>
  <c r="X467" i="10"/>
  <c r="W467" i="10"/>
  <c r="W466" i="10" s="1"/>
  <c r="V467" i="10"/>
  <c r="V466" i="10" s="1"/>
  <c r="U467" i="10"/>
  <c r="U466" i="10" s="1"/>
  <c r="T467" i="10"/>
  <c r="S467" i="10"/>
  <c r="S466" i="10" s="1"/>
  <c r="R467" i="10"/>
  <c r="R466" i="10" s="1"/>
  <c r="Q467" i="10"/>
  <c r="Q466" i="10" s="1"/>
  <c r="P467" i="10"/>
  <c r="O467" i="10"/>
  <c r="O466" i="10" s="1"/>
  <c r="N467" i="10"/>
  <c r="N466" i="10" s="1"/>
  <c r="M467" i="10"/>
  <c r="M466" i="10" s="1"/>
  <c r="L467" i="10"/>
  <c r="K467" i="10"/>
  <c r="K466" i="10" s="1"/>
  <c r="J467" i="10"/>
  <c r="J466" i="10" s="1"/>
  <c r="I467" i="10"/>
  <c r="I466" i="10" s="1"/>
  <c r="H467" i="10"/>
  <c r="CM466" i="10"/>
  <c r="CK466" i="10"/>
  <c r="CA466" i="10"/>
  <c r="BY466" i="10"/>
  <c r="BW466" i="10"/>
  <c r="BU466" i="10"/>
  <c r="BQ466" i="10"/>
  <c r="BM466" i="10"/>
  <c r="BI466" i="10"/>
  <c r="BG466" i="10"/>
  <c r="BE466" i="10"/>
  <c r="BA466" i="10"/>
  <c r="AY466" i="10"/>
  <c r="AW466" i="10"/>
  <c r="AU466" i="10"/>
  <c r="AS466" i="10"/>
  <c r="AN466" i="10"/>
  <c r="AJ466" i="10"/>
  <c r="AG466" i="10"/>
  <c r="AF466" i="10"/>
  <c r="AB466" i="10"/>
  <c r="X466" i="10"/>
  <c r="T466" i="10"/>
  <c r="P466" i="10"/>
  <c r="L466" i="10"/>
  <c r="H466" i="10"/>
  <c r="CF465" i="10"/>
  <c r="CE465" i="10"/>
  <c r="CC465" i="10"/>
  <c r="AR465" i="10"/>
  <c r="CF464" i="10"/>
  <c r="CE464" i="10"/>
  <c r="AT464" i="10"/>
  <c r="CC464" i="10" s="1"/>
  <c r="AR464" i="10"/>
  <c r="CF463" i="10"/>
  <c r="CE463" i="10"/>
  <c r="CC463" i="10"/>
  <c r="AR463" i="10"/>
  <c r="CF462" i="10"/>
  <c r="CE462" i="10"/>
  <c r="CC462" i="10"/>
  <c r="CD462" i="10" s="1"/>
  <c r="AR462" i="10"/>
  <c r="CF461" i="10"/>
  <c r="CE461" i="10"/>
  <c r="CC461" i="10"/>
  <c r="CD461" i="10" s="1"/>
  <c r="AR461" i="10"/>
  <c r="CF460" i="10"/>
  <c r="CE460" i="10"/>
  <c r="CC460" i="10"/>
  <c r="AR460" i="10"/>
  <c r="CF459" i="10"/>
  <c r="CE459" i="10"/>
  <c r="CC459" i="10"/>
  <c r="AT459" i="10"/>
  <c r="AR459" i="10"/>
  <c r="F459" i="10"/>
  <c r="CF458" i="10"/>
  <c r="CE458" i="10"/>
  <c r="CC458" i="10"/>
  <c r="CD458" i="10" s="1"/>
  <c r="AR458" i="10"/>
  <c r="CF457" i="10"/>
  <c r="CE457" i="10"/>
  <c r="CC457" i="10"/>
  <c r="CD457" i="10" s="1"/>
  <c r="AR457" i="10"/>
  <c r="CF456" i="10"/>
  <c r="CE456" i="10"/>
  <c r="CC456" i="10"/>
  <c r="AR456" i="10"/>
  <c r="CF455" i="10"/>
  <c r="CE455" i="10"/>
  <c r="CC455" i="10"/>
  <c r="CD455" i="10" s="1"/>
  <c r="AR455" i="10"/>
  <c r="CF454" i="10"/>
  <c r="CE454" i="10"/>
  <c r="AT454" i="10"/>
  <c r="AR454" i="10"/>
  <c r="CF453" i="10"/>
  <c r="CE453" i="10"/>
  <c r="CC453" i="10"/>
  <c r="AR453" i="10"/>
  <c r="CD453" i="10" s="1"/>
  <c r="CF452" i="10"/>
  <c r="CE452" i="10"/>
  <c r="CC452" i="10"/>
  <c r="AR452" i="10"/>
  <c r="CF451" i="10"/>
  <c r="CE451" i="10"/>
  <c r="CC451" i="10"/>
  <c r="AR451" i="10"/>
  <c r="CF450" i="10"/>
  <c r="CE450" i="10"/>
  <c r="CC450" i="10"/>
  <c r="AR450" i="10"/>
  <c r="CF449" i="10"/>
  <c r="CE449" i="10"/>
  <c r="CC449" i="10"/>
  <c r="AR449" i="10"/>
  <c r="CF448" i="10"/>
  <c r="CE448" i="10"/>
  <c r="CC448" i="10"/>
  <c r="AR448" i="10"/>
  <c r="CF447" i="10"/>
  <c r="CE447" i="10"/>
  <c r="CC447" i="10"/>
  <c r="AR447" i="10"/>
  <c r="CF446" i="10"/>
  <c r="CE446" i="10"/>
  <c r="CC446" i="10"/>
  <c r="AR446" i="10"/>
  <c r="CF445" i="10"/>
  <c r="CE445" i="10"/>
  <c r="CC445" i="10"/>
  <c r="AR445" i="10"/>
  <c r="CF444" i="10"/>
  <c r="CE444" i="10"/>
  <c r="CC444" i="10"/>
  <c r="AR444" i="10"/>
  <c r="CF443" i="10"/>
  <c r="CE443" i="10"/>
  <c r="CC443" i="10"/>
  <c r="AR443" i="10"/>
  <c r="CF442" i="10"/>
  <c r="CE442" i="10"/>
  <c r="CC442" i="10"/>
  <c r="AR442" i="10"/>
  <c r="CF441" i="10"/>
  <c r="CE441" i="10"/>
  <c r="CC441" i="10"/>
  <c r="AR441" i="10"/>
  <c r="CF440" i="10"/>
  <c r="CE440" i="10"/>
  <c r="CC440" i="10"/>
  <c r="AR440" i="10"/>
  <c r="CF439" i="10"/>
  <c r="CE439" i="10"/>
  <c r="CC439" i="10"/>
  <c r="AR439" i="10"/>
  <c r="CF438" i="10"/>
  <c r="CE438" i="10"/>
  <c r="CC438" i="10"/>
  <c r="AR438" i="10"/>
  <c r="CF437" i="10"/>
  <c r="CE437" i="10"/>
  <c r="CC437" i="10"/>
  <c r="AR437" i="10"/>
  <c r="CD437" i="10" s="1"/>
  <c r="CF436" i="10"/>
  <c r="CE436" i="10"/>
  <c r="CC436" i="10"/>
  <c r="AR436" i="10"/>
  <c r="CF435" i="10"/>
  <c r="CE435" i="10"/>
  <c r="CC435" i="10"/>
  <c r="AR435" i="10"/>
  <c r="CF434" i="10"/>
  <c r="CE434" i="10"/>
  <c r="CC434" i="10"/>
  <c r="AR434" i="10"/>
  <c r="CF433" i="10"/>
  <c r="CE433" i="10"/>
  <c r="CC433" i="10"/>
  <c r="AR433" i="10"/>
  <c r="CF432" i="10"/>
  <c r="CE432" i="10"/>
  <c r="CC432" i="10"/>
  <c r="AR432" i="10"/>
  <c r="CF431" i="10"/>
  <c r="CE431" i="10"/>
  <c r="CC431" i="10"/>
  <c r="AR431" i="10"/>
  <c r="CF430" i="10"/>
  <c r="CE430" i="10"/>
  <c r="CC430" i="10"/>
  <c r="AR430" i="10"/>
  <c r="CF429" i="10"/>
  <c r="CE429" i="10"/>
  <c r="CC429" i="10"/>
  <c r="AR429" i="10"/>
  <c r="CF428" i="10"/>
  <c r="CE428" i="10"/>
  <c r="CC428" i="10"/>
  <c r="AR428" i="10"/>
  <c r="CF427" i="10"/>
  <c r="CE427" i="10"/>
  <c r="CC427" i="10"/>
  <c r="AR427" i="10"/>
  <c r="CF426" i="10"/>
  <c r="CE426" i="10"/>
  <c r="CC426" i="10"/>
  <c r="AR426" i="10"/>
  <c r="CF425" i="10"/>
  <c r="CF467" i="10" s="1"/>
  <c r="CE425" i="10"/>
  <c r="CC425" i="10"/>
  <c r="CC467" i="10" s="1"/>
  <c r="AR425" i="10"/>
  <c r="AR467" i="10" s="1"/>
  <c r="CF424" i="10"/>
  <c r="CE424" i="10"/>
  <c r="CC424" i="10"/>
  <c r="AR424" i="10"/>
  <c r="CF423" i="10"/>
  <c r="CE423" i="10"/>
  <c r="CC423" i="10"/>
  <c r="AR423" i="10"/>
  <c r="CF422" i="10"/>
  <c r="CE422" i="10"/>
  <c r="CC422" i="10"/>
  <c r="AR422" i="10"/>
  <c r="CF421" i="10"/>
  <c r="CE421" i="10"/>
  <c r="CC421" i="10"/>
  <c r="CD421" i="10" s="1"/>
  <c r="AR421" i="10"/>
  <c r="CF420" i="10"/>
  <c r="CE420" i="10"/>
  <c r="CC420" i="10"/>
  <c r="AR420" i="10"/>
  <c r="CF419" i="10"/>
  <c r="CE419" i="10"/>
  <c r="CC419" i="10"/>
  <c r="CD419" i="10" s="1"/>
  <c r="AR419" i="10"/>
  <c r="CF418" i="10"/>
  <c r="CE418" i="10"/>
  <c r="CC418" i="10"/>
  <c r="CD418" i="10" s="1"/>
  <c r="AR418" i="10"/>
  <c r="CF417" i="10"/>
  <c r="CE417" i="10"/>
  <c r="CC417" i="10"/>
  <c r="AR417" i="10"/>
  <c r="CF416" i="10"/>
  <c r="CE416" i="10"/>
  <c r="CC416" i="10"/>
  <c r="CD416" i="10" s="1"/>
  <c r="AR416" i="10"/>
  <c r="CF415" i="10"/>
  <c r="CE415" i="10"/>
  <c r="CC415" i="10"/>
  <c r="AR415" i="10"/>
  <c r="CF414" i="10"/>
  <c r="CE414" i="10"/>
  <c r="CC414" i="10"/>
  <c r="CD414" i="10" s="1"/>
  <c r="AR414" i="10"/>
  <c r="CF413" i="10"/>
  <c r="CE413" i="10"/>
  <c r="CC413" i="10"/>
  <c r="AR413" i="10"/>
  <c r="CF412" i="10"/>
  <c r="CE412" i="10"/>
  <c r="CC412" i="10"/>
  <c r="AR412" i="10"/>
  <c r="CF411" i="10"/>
  <c r="CE411" i="10"/>
  <c r="CC411" i="10"/>
  <c r="CD411" i="10" s="1"/>
  <c r="AR411" i="10"/>
  <c r="CF410" i="10"/>
  <c r="CE410" i="10"/>
  <c r="CC410" i="10"/>
  <c r="CD410" i="10" s="1"/>
  <c r="AR410" i="10"/>
  <c r="CF409" i="10"/>
  <c r="CE409" i="10"/>
  <c r="CC409" i="10"/>
  <c r="AR409" i="10"/>
  <c r="CF408" i="10"/>
  <c r="CE408" i="10"/>
  <c r="CC408" i="10"/>
  <c r="CD408" i="10" s="1"/>
  <c r="AR408" i="10"/>
  <c r="F408" i="10"/>
  <c r="CF407" i="10"/>
  <c r="CE407" i="10"/>
  <c r="CC407" i="10"/>
  <c r="AR407" i="10"/>
  <c r="CF406" i="10"/>
  <c r="CE406" i="10"/>
  <c r="CC406" i="10"/>
  <c r="AR406" i="10"/>
  <c r="CF405" i="10"/>
  <c r="CE405" i="10"/>
  <c r="CC405" i="10"/>
  <c r="AR405" i="10"/>
  <c r="F405" i="10"/>
  <c r="CF404" i="10"/>
  <c r="CE404" i="10"/>
  <c r="CC404" i="10"/>
  <c r="AR404" i="10"/>
  <c r="CF403" i="10"/>
  <c r="CE403" i="10"/>
  <c r="CC403" i="10"/>
  <c r="AR403" i="10"/>
  <c r="CD403" i="10" s="1"/>
  <c r="CF402" i="10"/>
  <c r="CE402" i="10"/>
  <c r="CC402" i="10"/>
  <c r="AR402" i="10"/>
  <c r="CF401" i="10"/>
  <c r="CE401" i="10"/>
  <c r="CC401" i="10"/>
  <c r="AR401" i="10"/>
  <c r="CD401" i="10" s="1"/>
  <c r="CF400" i="10"/>
  <c r="CE400" i="10"/>
  <c r="CC400" i="10"/>
  <c r="AR400" i="10"/>
  <c r="CF399" i="10"/>
  <c r="CE399" i="10"/>
  <c r="CC399" i="10"/>
  <c r="AR399" i="10"/>
  <c r="CF398" i="10"/>
  <c r="CE398" i="10"/>
  <c r="CC398" i="10"/>
  <c r="AR398" i="10"/>
  <c r="CF397" i="10"/>
  <c r="CE397" i="10"/>
  <c r="CC397" i="10"/>
  <c r="AR397" i="10"/>
  <c r="CF396" i="10"/>
  <c r="CE396" i="10"/>
  <c r="CC396" i="10"/>
  <c r="AR396" i="10"/>
  <c r="CF395" i="10"/>
  <c r="CE395" i="10"/>
  <c r="CC395" i="10"/>
  <c r="AR395" i="10"/>
  <c r="CF394" i="10"/>
  <c r="CE394" i="10"/>
  <c r="CC394" i="10"/>
  <c r="AR394" i="10"/>
  <c r="CF393" i="10"/>
  <c r="CE393" i="10"/>
  <c r="CC393" i="10"/>
  <c r="AR393" i="10"/>
  <c r="CF392" i="10"/>
  <c r="CE392" i="10"/>
  <c r="CC392" i="10"/>
  <c r="AR392" i="10"/>
  <c r="CF391" i="10"/>
  <c r="CE391" i="10"/>
  <c r="CC391" i="10"/>
  <c r="AR391" i="10"/>
  <c r="CF390" i="10"/>
  <c r="CE390" i="10"/>
  <c r="CC390" i="10"/>
  <c r="AR390" i="10"/>
  <c r="CF389" i="10"/>
  <c r="CE389" i="10"/>
  <c r="CC389" i="10"/>
  <c r="AR389" i="10"/>
  <c r="CD389" i="10" s="1"/>
  <c r="CF388" i="10"/>
  <c r="CE388" i="10"/>
  <c r="CC388" i="10"/>
  <c r="AR388" i="10"/>
  <c r="CF387" i="10"/>
  <c r="CE387" i="10"/>
  <c r="CC387" i="10"/>
  <c r="AR387" i="10"/>
  <c r="CD387" i="10" s="1"/>
  <c r="CF386" i="10"/>
  <c r="CE386" i="10"/>
  <c r="CC386" i="10"/>
  <c r="AR386" i="10"/>
  <c r="CF385" i="10"/>
  <c r="CE385" i="10"/>
  <c r="CC385" i="10"/>
  <c r="AR385" i="10"/>
  <c r="CD385" i="10" s="1"/>
  <c r="CF384" i="10"/>
  <c r="CE384" i="10"/>
  <c r="CC384" i="10"/>
  <c r="AR384" i="10"/>
  <c r="CF383" i="10"/>
  <c r="CE383" i="10"/>
  <c r="CC383" i="10"/>
  <c r="AR383" i="10"/>
  <c r="CF382" i="10"/>
  <c r="CE382" i="10"/>
  <c r="CC382" i="10"/>
  <c r="AR382" i="10"/>
  <c r="CF381" i="10"/>
  <c r="CE381" i="10"/>
  <c r="CC381" i="10"/>
  <c r="AR381" i="10"/>
  <c r="CF380" i="10"/>
  <c r="CE380" i="10"/>
  <c r="CC380" i="10"/>
  <c r="AR380" i="10"/>
  <c r="CF379" i="10"/>
  <c r="CE379" i="10"/>
  <c r="CC379" i="10"/>
  <c r="AR379" i="10"/>
  <c r="CF378" i="10"/>
  <c r="CE378" i="10"/>
  <c r="CC378" i="10"/>
  <c r="AR378" i="10"/>
  <c r="CF377" i="10"/>
  <c r="CE377" i="10"/>
  <c r="CC377" i="10"/>
  <c r="AR377" i="10"/>
  <c r="CF376" i="10"/>
  <c r="CE376" i="10"/>
  <c r="CC376" i="10"/>
  <c r="AR376" i="10"/>
  <c r="CF375" i="10"/>
  <c r="CE375" i="10"/>
  <c r="CC375" i="10"/>
  <c r="CD375" i="10" s="1"/>
  <c r="AR375" i="10"/>
  <c r="CF374" i="10"/>
  <c r="CE374" i="10"/>
  <c r="CC374" i="10"/>
  <c r="AR374" i="10"/>
  <c r="CF373" i="10"/>
  <c r="CE373" i="10"/>
  <c r="CC373" i="10"/>
  <c r="AR373" i="10"/>
  <c r="CF372" i="10"/>
  <c r="CE372" i="10"/>
  <c r="CC372" i="10"/>
  <c r="AR372" i="10"/>
  <c r="CF371" i="10"/>
  <c r="CE371" i="10"/>
  <c r="CC371" i="10"/>
  <c r="AR371" i="10"/>
  <c r="CF370" i="10"/>
  <c r="CE370" i="10"/>
  <c r="CC370" i="10"/>
  <c r="AR370" i="10"/>
  <c r="CF369" i="10"/>
  <c r="CE369" i="10"/>
  <c r="CC369" i="10"/>
  <c r="AR369" i="10"/>
  <c r="CF368" i="10"/>
  <c r="CE368" i="10"/>
  <c r="CC368" i="10"/>
  <c r="AR368" i="10"/>
  <c r="CF367" i="10"/>
  <c r="CE367" i="10"/>
  <c r="CC367" i="10"/>
  <c r="AR367" i="10"/>
  <c r="CF366" i="10"/>
  <c r="CE366" i="10"/>
  <c r="CC366" i="10"/>
  <c r="AR366" i="10"/>
  <c r="CF365" i="10"/>
  <c r="CE365" i="10"/>
  <c r="CC365" i="10"/>
  <c r="CD365" i="10" s="1"/>
  <c r="AR365" i="10"/>
  <c r="CF364" i="10"/>
  <c r="CE364" i="10"/>
  <c r="CC364" i="10"/>
  <c r="CD364" i="10" s="1"/>
  <c r="AR364" i="10"/>
  <c r="CF363" i="10"/>
  <c r="CE363" i="10"/>
  <c r="CC363" i="10"/>
  <c r="AR363" i="10"/>
  <c r="CF362" i="10"/>
  <c r="CE362" i="10"/>
  <c r="CC362" i="10"/>
  <c r="CD362" i="10" s="1"/>
  <c r="AR362" i="10"/>
  <c r="CF361" i="10"/>
  <c r="CE361" i="10"/>
  <c r="CC361" i="10"/>
  <c r="AR361" i="10"/>
  <c r="CF360" i="10"/>
  <c r="CE360" i="10"/>
  <c r="CC360" i="10"/>
  <c r="CD360" i="10" s="1"/>
  <c r="AR360" i="10"/>
  <c r="CF359" i="10"/>
  <c r="CE359" i="10"/>
  <c r="CD359" i="10"/>
  <c r="CC359" i="10"/>
  <c r="AR359" i="10"/>
  <c r="CF358" i="10"/>
  <c r="CE358" i="10"/>
  <c r="CC358" i="10"/>
  <c r="AR358" i="10"/>
  <c r="CF357" i="10"/>
  <c r="CE357" i="10"/>
  <c r="CC357" i="10"/>
  <c r="AR357" i="10"/>
  <c r="CD357" i="10" s="1"/>
  <c r="CF356" i="10"/>
  <c r="CE356" i="10"/>
  <c r="CC356" i="10"/>
  <c r="AR356" i="10"/>
  <c r="CF355" i="10"/>
  <c r="CE355" i="10"/>
  <c r="CC355" i="10"/>
  <c r="AR355" i="10"/>
  <c r="CD355" i="10" s="1"/>
  <c r="CF354" i="10"/>
  <c r="CE354" i="10"/>
  <c r="CC354" i="10"/>
  <c r="AR354" i="10"/>
  <c r="CF353" i="10"/>
  <c r="CE353" i="10"/>
  <c r="CC353" i="10"/>
  <c r="AR353" i="10"/>
  <c r="CD353" i="10" s="1"/>
  <c r="CF352" i="10"/>
  <c r="CE352" i="10"/>
  <c r="CC352" i="10"/>
  <c r="AR352" i="10"/>
  <c r="CF351" i="10"/>
  <c r="CE351" i="10"/>
  <c r="CC351" i="10"/>
  <c r="AR351" i="10"/>
  <c r="CF350" i="10"/>
  <c r="CE350" i="10"/>
  <c r="CC350" i="10"/>
  <c r="AR350" i="10"/>
  <c r="CF349" i="10"/>
  <c r="CE349" i="10"/>
  <c r="CC349" i="10"/>
  <c r="AR349" i="10"/>
  <c r="CF348" i="10"/>
  <c r="CE348" i="10"/>
  <c r="CC348" i="10"/>
  <c r="AR348" i="10"/>
  <c r="CF347" i="10"/>
  <c r="CE347" i="10"/>
  <c r="CC347" i="10"/>
  <c r="AR347" i="10"/>
  <c r="CF346" i="10"/>
  <c r="CE346" i="10"/>
  <c r="CC346" i="10"/>
  <c r="BH346" i="10"/>
  <c r="AR346" i="10"/>
  <c r="CF345" i="10"/>
  <c r="CE345" i="10"/>
  <c r="CC345" i="10"/>
  <c r="AR345" i="10"/>
  <c r="CF344" i="10"/>
  <c r="CE344" i="10"/>
  <c r="CC344" i="10"/>
  <c r="AR344" i="10"/>
  <c r="CD344" i="10" s="1"/>
  <c r="CF343" i="10"/>
  <c r="CE343" i="10"/>
  <c r="BH343" i="10"/>
  <c r="CC343" i="10" s="1"/>
  <c r="AR343" i="10"/>
  <c r="CF342" i="10"/>
  <c r="CE342" i="10"/>
  <c r="CC342" i="10"/>
  <c r="BH342" i="10"/>
  <c r="AR342" i="10"/>
  <c r="CF341" i="10"/>
  <c r="CE341" i="10"/>
  <c r="CC341" i="10"/>
  <c r="AR341" i="10"/>
  <c r="CF340" i="10"/>
  <c r="CE340" i="10"/>
  <c r="CC340" i="10"/>
  <c r="AR340" i="10"/>
  <c r="CF339" i="10"/>
  <c r="CE339" i="10"/>
  <c r="CC339" i="10"/>
  <c r="AR339" i="10"/>
  <c r="CF338" i="10"/>
  <c r="CE338" i="10"/>
  <c r="CC338" i="10"/>
  <c r="AR338" i="10"/>
  <c r="CD338" i="10" s="1"/>
  <c r="CF337" i="10"/>
  <c r="CE337" i="10"/>
  <c r="CC337" i="10"/>
  <c r="AR337" i="10"/>
  <c r="CF336" i="10"/>
  <c r="CE336" i="10"/>
  <c r="CC336" i="10"/>
  <c r="AR336" i="10"/>
  <c r="CD336" i="10" s="1"/>
  <c r="CF335" i="10"/>
  <c r="CE335" i="10"/>
  <c r="CC335" i="10"/>
  <c r="AR335" i="10"/>
  <c r="CF334" i="10"/>
  <c r="CE334" i="10"/>
  <c r="CC334" i="10"/>
  <c r="AR334" i="10"/>
  <c r="CD334" i="10" s="1"/>
  <c r="CF333" i="10"/>
  <c r="CE333" i="10"/>
  <c r="CC333" i="10"/>
  <c r="AR333" i="10"/>
  <c r="CF332" i="10"/>
  <c r="CE332" i="10"/>
  <c r="CC332" i="10"/>
  <c r="AR332" i="10"/>
  <c r="CD332" i="10" s="1"/>
  <c r="CF331" i="10"/>
  <c r="CE331" i="10"/>
  <c r="CC331" i="10"/>
  <c r="AR331" i="10"/>
  <c r="CF330" i="10"/>
  <c r="CE330" i="10"/>
  <c r="CC330" i="10"/>
  <c r="AR330" i="10"/>
  <c r="CF329" i="10"/>
  <c r="CE329" i="10"/>
  <c r="CC329" i="10"/>
  <c r="AR329" i="10"/>
  <c r="CF328" i="10"/>
  <c r="CE328" i="10"/>
  <c r="BH328" i="10"/>
  <c r="AR328" i="10"/>
  <c r="CF327" i="10"/>
  <c r="CE327" i="10"/>
  <c r="CC327" i="10"/>
  <c r="AR327" i="10"/>
  <c r="CF326" i="10"/>
  <c r="CE326" i="10"/>
  <c r="CC326" i="10"/>
  <c r="BH326" i="10"/>
  <c r="AR326" i="10"/>
  <c r="CF325" i="10"/>
  <c r="CE325" i="10"/>
  <c r="CC325" i="10"/>
  <c r="CD325" i="10" s="1"/>
  <c r="AR325" i="10"/>
  <c r="CF324" i="10"/>
  <c r="CE324" i="10"/>
  <c r="CD324" i="10"/>
  <c r="AT324" i="10"/>
  <c r="CC324" i="10" s="1"/>
  <c r="AR324" i="10"/>
  <c r="CL323" i="10"/>
  <c r="CK323" i="10"/>
  <c r="CK322" i="10" s="1"/>
  <c r="CK1282" i="10" s="1"/>
  <c r="CJ323" i="10"/>
  <c r="CJ322" i="10" s="1"/>
  <c r="CI323" i="10"/>
  <c r="CI322" i="10" s="1"/>
  <c r="CH323" i="10"/>
  <c r="CH322" i="10" s="1"/>
  <c r="CG323" i="10"/>
  <c r="CG322" i="10" s="1"/>
  <c r="CB323" i="10"/>
  <c r="CA323" i="10"/>
  <c r="BZ323" i="10"/>
  <c r="BZ322" i="10" s="1"/>
  <c r="BY323" i="10"/>
  <c r="BY322" i="10" s="1"/>
  <c r="BX323" i="10"/>
  <c r="BW323" i="10"/>
  <c r="BV323" i="10"/>
  <c r="BV322" i="10" s="1"/>
  <c r="BU323" i="10"/>
  <c r="BU322" i="10" s="1"/>
  <c r="BT323" i="10"/>
  <c r="BS323" i="10"/>
  <c r="BR323" i="10"/>
  <c r="BR322" i="10" s="1"/>
  <c r="BR1282" i="10" s="1"/>
  <c r="BQ323" i="10"/>
  <c r="BQ322" i="10" s="1"/>
  <c r="BP323" i="10"/>
  <c r="BO323" i="10"/>
  <c r="BN323" i="10"/>
  <c r="BN322" i="10" s="1"/>
  <c r="BN1282" i="10" s="1"/>
  <c r="BM323" i="10"/>
  <c r="BM322" i="10" s="1"/>
  <c r="BL323" i="10"/>
  <c r="BK323" i="10"/>
  <c r="BJ323" i="10"/>
  <c r="BJ322" i="10" s="1"/>
  <c r="BJ1282" i="10" s="1"/>
  <c r="BI323" i="10"/>
  <c r="BI322" i="10" s="1"/>
  <c r="BH323" i="10"/>
  <c r="BG323" i="10"/>
  <c r="BF323" i="10"/>
  <c r="BF322" i="10" s="1"/>
  <c r="BF1282" i="10" s="1"/>
  <c r="BE323" i="10"/>
  <c r="BE322" i="10" s="1"/>
  <c r="BD323" i="10"/>
  <c r="BC323" i="10"/>
  <c r="BB323" i="10"/>
  <c r="BB322" i="10" s="1"/>
  <c r="BB1282" i="10" s="1"/>
  <c r="BA323" i="10"/>
  <c r="BA322" i="10" s="1"/>
  <c r="AZ323" i="10"/>
  <c r="AY323" i="10"/>
  <c r="AX323" i="10"/>
  <c r="AX322" i="10" s="1"/>
  <c r="AX1282" i="10" s="1"/>
  <c r="AW323" i="10"/>
  <c r="AW322" i="10" s="1"/>
  <c r="AV323" i="10"/>
  <c r="AU323" i="10"/>
  <c r="AT323" i="10"/>
  <c r="AS323" i="10"/>
  <c r="AQ323" i="10"/>
  <c r="AP323" i="10"/>
  <c r="AO323" i="10"/>
  <c r="AO322" i="10" s="1"/>
  <c r="AN323" i="10"/>
  <c r="AN322" i="10" s="1"/>
  <c r="AM323" i="10"/>
  <c r="AL323" i="10"/>
  <c r="AK323" i="10"/>
  <c r="AK322" i="10" s="1"/>
  <c r="AJ323" i="10"/>
  <c r="AI323" i="10"/>
  <c r="AH323" i="10"/>
  <c r="AG323" i="10"/>
  <c r="AG322" i="10" s="1"/>
  <c r="AG1282" i="10" s="1"/>
  <c r="AF323" i="10"/>
  <c r="AE323" i="10"/>
  <c r="AD323" i="10"/>
  <c r="AC323" i="10"/>
  <c r="AC322" i="10" s="1"/>
  <c r="AC1282" i="10" s="1"/>
  <c r="AB323" i="10"/>
  <c r="AA323" i="10"/>
  <c r="Z323" i="10"/>
  <c r="Y323" i="10"/>
  <c r="Y322" i="10" s="1"/>
  <c r="X323" i="10"/>
  <c r="W323" i="10"/>
  <c r="V323" i="10"/>
  <c r="U323" i="10"/>
  <c r="U322" i="10" s="1"/>
  <c r="T323" i="10"/>
  <c r="S323" i="10"/>
  <c r="R323" i="10"/>
  <c r="Q323" i="10"/>
  <c r="Q322" i="10" s="1"/>
  <c r="Q1282" i="10" s="1"/>
  <c r="P323" i="10"/>
  <c r="O323" i="10"/>
  <c r="N323" i="10"/>
  <c r="M323" i="10"/>
  <c r="M322" i="10" s="1"/>
  <c r="M1282" i="10" s="1"/>
  <c r="L323" i="10"/>
  <c r="K323" i="10"/>
  <c r="J323" i="10"/>
  <c r="I323" i="10"/>
  <c r="I322" i="10" s="1"/>
  <c r="H323" i="10"/>
  <c r="CB322" i="10"/>
  <c r="CA322" i="10"/>
  <c r="BX322" i="10"/>
  <c r="BW322" i="10"/>
  <c r="BT322" i="10"/>
  <c r="BS322" i="10"/>
  <c r="BP322" i="10"/>
  <c r="BO322" i="10"/>
  <c r="BL322" i="10"/>
  <c r="BK322" i="10"/>
  <c r="BG322" i="10"/>
  <c r="BD322" i="10"/>
  <c r="BC322" i="10"/>
  <c r="AZ322" i="10"/>
  <c r="AY322" i="10"/>
  <c r="AV322" i="10"/>
  <c r="AQ322" i="10"/>
  <c r="AP322" i="10"/>
  <c r="AP1282" i="10" s="1"/>
  <c r="AM322" i="10"/>
  <c r="AL322" i="10"/>
  <c r="AL1282" i="10" s="1"/>
  <c r="AJ322" i="10"/>
  <c r="AI322" i="10"/>
  <c r="AH322" i="10"/>
  <c r="AH1282" i="10" s="1"/>
  <c r="AF322" i="10"/>
  <c r="AE322" i="10"/>
  <c r="AD322" i="10"/>
  <c r="AD1282" i="10" s="1"/>
  <c r="AB322" i="10"/>
  <c r="AA322" i="10"/>
  <c r="Z322" i="10"/>
  <c r="Z1282" i="10" s="1"/>
  <c r="X322" i="10"/>
  <c r="X1282" i="10" s="1"/>
  <c r="W322" i="10"/>
  <c r="V322" i="10"/>
  <c r="V1282" i="10" s="1"/>
  <c r="T322" i="10"/>
  <c r="S322" i="10"/>
  <c r="R322" i="10"/>
  <c r="R1282" i="10" s="1"/>
  <c r="P322" i="10"/>
  <c r="O322" i="10"/>
  <c r="N322" i="10"/>
  <c r="N1282" i="10" s="1"/>
  <c r="L322" i="10"/>
  <c r="K322" i="10"/>
  <c r="J322" i="10"/>
  <c r="J1282" i="10" s="1"/>
  <c r="H322" i="10"/>
  <c r="CF321" i="10"/>
  <c r="CE321" i="10"/>
  <c r="CC321" i="10"/>
  <c r="AR321" i="10"/>
  <c r="CF320" i="10"/>
  <c r="CE320" i="10"/>
  <c r="CC320" i="10"/>
  <c r="AR320" i="10"/>
  <c r="CF319" i="10"/>
  <c r="CE319" i="10"/>
  <c r="CC319" i="10"/>
  <c r="CD319" i="10" s="1"/>
  <c r="AR319" i="10"/>
  <c r="CF318" i="10"/>
  <c r="CE318" i="10"/>
  <c r="CC318" i="10"/>
  <c r="AR318" i="10"/>
  <c r="CF317" i="10"/>
  <c r="CE317" i="10"/>
  <c r="CC317" i="10"/>
  <c r="AR317" i="10"/>
  <c r="CF316" i="10"/>
  <c r="CE316" i="10"/>
  <c r="CC316" i="10"/>
  <c r="AR316" i="10"/>
  <c r="CD316" i="10" s="1"/>
  <c r="CF315" i="10"/>
  <c r="CE315" i="10"/>
  <c r="CC315" i="10"/>
  <c r="AR315" i="10"/>
  <c r="CF314" i="10"/>
  <c r="CE314" i="10"/>
  <c r="CC314" i="10"/>
  <c r="AR314" i="10"/>
  <c r="CD314" i="10" s="1"/>
  <c r="CF313" i="10"/>
  <c r="CE313" i="10"/>
  <c r="CC313" i="10"/>
  <c r="AR313" i="10"/>
  <c r="CF312" i="10"/>
  <c r="CE312" i="10"/>
  <c r="CC312" i="10"/>
  <c r="AR312" i="10"/>
  <c r="CF311" i="10"/>
  <c r="CE311" i="10"/>
  <c r="CC311" i="10"/>
  <c r="AR311" i="10"/>
  <c r="CF310" i="10"/>
  <c r="CE310" i="10"/>
  <c r="CC310" i="10"/>
  <c r="AR310" i="10"/>
  <c r="CF309" i="10"/>
  <c r="CE309" i="10"/>
  <c r="CC309" i="10"/>
  <c r="AR309" i="10"/>
  <c r="CF308" i="10"/>
  <c r="CE308" i="10"/>
  <c r="CC308" i="10"/>
  <c r="AR308" i="10"/>
  <c r="CF307" i="10"/>
  <c r="CE307" i="10"/>
  <c r="CC307" i="10"/>
  <c r="AR307" i="10"/>
  <c r="CF306" i="10"/>
  <c r="CE306" i="10"/>
  <c r="CC306" i="10"/>
  <c r="CD306" i="10" s="1"/>
  <c r="AR306" i="10"/>
  <c r="CF305" i="10"/>
  <c r="CE305" i="10"/>
  <c r="AT305" i="10"/>
  <c r="CC305" i="10" s="1"/>
  <c r="CD305" i="10" s="1"/>
  <c r="AR305" i="10"/>
  <c r="CF304" i="10"/>
  <c r="CE304" i="10"/>
  <c r="CC304" i="10"/>
  <c r="CD304" i="10" s="1"/>
  <c r="AR304" i="10"/>
  <c r="CF303" i="10"/>
  <c r="CE303" i="10"/>
  <c r="CC303" i="10"/>
  <c r="AR303" i="10"/>
  <c r="CF302" i="10"/>
  <c r="CE302" i="10"/>
  <c r="CC302" i="10"/>
  <c r="CD302" i="10" s="1"/>
  <c r="AT302" i="10"/>
  <c r="AR302" i="10"/>
  <c r="CF301" i="10"/>
  <c r="CE301" i="10"/>
  <c r="CC301" i="10"/>
  <c r="AR301" i="10"/>
  <c r="CD301" i="10" s="1"/>
  <c r="CF300" i="10"/>
  <c r="CE300" i="10"/>
  <c r="CC300" i="10"/>
  <c r="AR300" i="10"/>
  <c r="CD300" i="10" s="1"/>
  <c r="CF299" i="10"/>
  <c r="CE299" i="10"/>
  <c r="CC299" i="10"/>
  <c r="AR299" i="10"/>
  <c r="CF298" i="10"/>
  <c r="CE298" i="10"/>
  <c r="CC298" i="10"/>
  <c r="AR298" i="10"/>
  <c r="CF297" i="10"/>
  <c r="CE297" i="10"/>
  <c r="CC297" i="10"/>
  <c r="AR297" i="10"/>
  <c r="CF296" i="10"/>
  <c r="CE296" i="10"/>
  <c r="CC296" i="10"/>
  <c r="AR296" i="10"/>
  <c r="CF295" i="10"/>
  <c r="CE295" i="10"/>
  <c r="CC295" i="10"/>
  <c r="AR295" i="10"/>
  <c r="F295" i="10"/>
  <c r="CF294" i="10"/>
  <c r="CE294" i="10"/>
  <c r="CC294" i="10"/>
  <c r="AR294" i="10"/>
  <c r="CF293" i="10"/>
  <c r="CE293" i="10"/>
  <c r="CC293" i="10"/>
  <c r="CD293" i="10" s="1"/>
  <c r="AR293" i="10"/>
  <c r="CF292" i="10"/>
  <c r="CE292" i="10"/>
  <c r="CC292" i="10"/>
  <c r="AR292" i="10"/>
  <c r="CF291" i="10"/>
  <c r="CE291" i="10"/>
  <c r="CC291" i="10"/>
  <c r="AR291" i="10"/>
  <c r="CF290" i="10"/>
  <c r="CE290" i="10"/>
  <c r="CC290" i="10"/>
  <c r="AR290" i="10"/>
  <c r="CF289" i="10"/>
  <c r="CE289" i="10"/>
  <c r="CC289" i="10"/>
  <c r="AR289" i="10"/>
  <c r="CF288" i="10"/>
  <c r="CE288" i="10"/>
  <c r="CC288" i="10"/>
  <c r="AR288" i="10"/>
  <c r="CF287" i="10"/>
  <c r="CE287" i="10"/>
  <c r="CC287" i="10"/>
  <c r="CD287" i="10" s="1"/>
  <c r="AR287" i="10"/>
  <c r="CF286" i="10"/>
  <c r="CE286" i="10"/>
  <c r="CC286" i="10"/>
  <c r="AR286" i="10"/>
  <c r="CF285" i="10"/>
  <c r="CE285" i="10"/>
  <c r="CC285" i="10"/>
  <c r="AR285" i="10"/>
  <c r="CF284" i="10"/>
  <c r="CE284" i="10"/>
  <c r="CC284" i="10"/>
  <c r="AR284" i="10"/>
  <c r="CF283" i="10"/>
  <c r="CE283" i="10"/>
  <c r="CC283" i="10"/>
  <c r="AR283" i="10"/>
  <c r="CF282" i="10"/>
  <c r="CE282" i="10"/>
  <c r="CC282" i="10"/>
  <c r="AR282" i="10"/>
  <c r="CF281" i="10"/>
  <c r="CE281" i="10"/>
  <c r="CC281" i="10"/>
  <c r="AR281" i="10"/>
  <c r="CF280" i="10"/>
  <c r="CE280" i="10"/>
  <c r="CC280" i="10"/>
  <c r="AR280" i="10"/>
  <c r="CF279" i="10"/>
  <c r="CE279" i="10"/>
  <c r="CC279" i="10"/>
  <c r="AR279" i="10"/>
  <c r="CF278" i="10"/>
  <c r="CE278" i="10"/>
  <c r="CC278" i="10"/>
  <c r="AR278" i="10"/>
  <c r="CF277" i="10"/>
  <c r="CE277" i="10"/>
  <c r="CC277" i="10"/>
  <c r="AR277" i="10"/>
  <c r="CF276" i="10"/>
  <c r="CE276" i="10"/>
  <c r="CC276" i="10"/>
  <c r="AR276" i="10"/>
  <c r="CF275" i="10"/>
  <c r="CE275" i="10"/>
  <c r="CC275" i="10"/>
  <c r="CD275" i="10" s="1"/>
  <c r="AR275" i="10"/>
  <c r="CF274" i="10"/>
  <c r="CE274" i="10"/>
  <c r="CC274" i="10"/>
  <c r="CD274" i="10" s="1"/>
  <c r="AR274" i="10"/>
  <c r="CF273" i="10"/>
  <c r="CE273" i="10"/>
  <c r="CC273" i="10"/>
  <c r="AR273" i="10"/>
  <c r="CF272" i="10"/>
  <c r="CE272" i="10"/>
  <c r="CC272" i="10"/>
  <c r="AR272" i="10"/>
  <c r="CF271" i="10"/>
  <c r="CE271" i="10"/>
  <c r="CC271" i="10"/>
  <c r="CD271" i="10" s="1"/>
  <c r="AR271" i="10"/>
  <c r="CF270" i="10"/>
  <c r="CE270" i="10"/>
  <c r="CD270" i="10"/>
  <c r="CC270" i="10"/>
  <c r="AR270" i="10"/>
  <c r="CF269" i="10"/>
  <c r="CE269" i="10"/>
  <c r="CC269" i="10"/>
  <c r="AR269" i="10"/>
  <c r="CF268" i="10"/>
  <c r="CE268" i="10"/>
  <c r="CC268" i="10"/>
  <c r="AR268" i="10"/>
  <c r="CF267" i="10"/>
  <c r="CE267" i="10"/>
  <c r="CC267" i="10"/>
  <c r="AR267" i="10"/>
  <c r="CF266" i="10"/>
  <c r="CE266" i="10"/>
  <c r="CC266" i="10"/>
  <c r="CD266" i="10" s="1"/>
  <c r="AR266" i="10"/>
  <c r="CF265" i="10"/>
  <c r="CE265" i="10"/>
  <c r="CC265" i="10"/>
  <c r="AR265" i="10"/>
  <c r="CF264" i="10"/>
  <c r="CE264" i="10"/>
  <c r="CC264" i="10"/>
  <c r="AR264" i="10"/>
  <c r="CF263" i="10"/>
  <c r="CE263" i="10"/>
  <c r="CC263" i="10"/>
  <c r="AR263" i="10"/>
  <c r="CF262" i="10"/>
  <c r="CE262" i="10"/>
  <c r="AT262" i="10"/>
  <c r="CC262" i="10" s="1"/>
  <c r="AR262" i="10"/>
  <c r="CF261" i="10"/>
  <c r="CE261" i="10"/>
  <c r="AT261" i="10"/>
  <c r="CC261" i="10" s="1"/>
  <c r="AR261" i="10"/>
  <c r="F261" i="10"/>
  <c r="CF260" i="10"/>
  <c r="CE260" i="10"/>
  <c r="CC260" i="10"/>
  <c r="AR260" i="10"/>
  <c r="CD260" i="10" s="1"/>
  <c r="CF259" i="10"/>
  <c r="CE259" i="10"/>
  <c r="CC259" i="10"/>
  <c r="AR259" i="10"/>
  <c r="CF258" i="10"/>
  <c r="CE258" i="10"/>
  <c r="CC258" i="10"/>
  <c r="AR258" i="10"/>
  <c r="CF257" i="10"/>
  <c r="CE257" i="10"/>
  <c r="CC257" i="10"/>
  <c r="AR257" i="10"/>
  <c r="CF256" i="10"/>
  <c r="CE256" i="10"/>
  <c r="CC256" i="10"/>
  <c r="AR256" i="10"/>
  <c r="CF255" i="10"/>
  <c r="CE255" i="10"/>
  <c r="CC255" i="10"/>
  <c r="AR255" i="10"/>
  <c r="CF254" i="10"/>
  <c r="CE254" i="10"/>
  <c r="CC254" i="10"/>
  <c r="AR254" i="10"/>
  <c r="CF253" i="10"/>
  <c r="CE253" i="10"/>
  <c r="CC253" i="10"/>
  <c r="AR253" i="10"/>
  <c r="CF252" i="10"/>
  <c r="CE252" i="10"/>
  <c r="CC252" i="10"/>
  <c r="CD252" i="10" s="1"/>
  <c r="AR252" i="10"/>
  <c r="CF251" i="10"/>
  <c r="CE251" i="10"/>
  <c r="CC251" i="10"/>
  <c r="AR251" i="10"/>
  <c r="CF250" i="10"/>
  <c r="CE250" i="10"/>
  <c r="CC250" i="10"/>
  <c r="AR250" i="10"/>
  <c r="CF249" i="10"/>
  <c r="CE249" i="10"/>
  <c r="CC249" i="10"/>
  <c r="AR249" i="10"/>
  <c r="CF248" i="10"/>
  <c r="CE248" i="10"/>
  <c r="CC248" i="10"/>
  <c r="AR248" i="10"/>
  <c r="CF247" i="10"/>
  <c r="CE247" i="10"/>
  <c r="CC247" i="10"/>
  <c r="AR247" i="10"/>
  <c r="CF246" i="10"/>
  <c r="CE246" i="10"/>
  <c r="CC246" i="10"/>
  <c r="AR246" i="10"/>
  <c r="CF245" i="10"/>
  <c r="CE245" i="10"/>
  <c r="CC245" i="10"/>
  <c r="CD245" i="10" s="1"/>
  <c r="AR245" i="10"/>
  <c r="CF244" i="10"/>
  <c r="CE244" i="10"/>
  <c r="CC244" i="10"/>
  <c r="AR244" i="10"/>
  <c r="CF243" i="10"/>
  <c r="CE243" i="10"/>
  <c r="CC243" i="10"/>
  <c r="CD243" i="10" s="1"/>
  <c r="AR243" i="10"/>
  <c r="CF242" i="10"/>
  <c r="CE242" i="10"/>
  <c r="CD242" i="10"/>
  <c r="CC242" i="10"/>
  <c r="AR242" i="10"/>
  <c r="CF241" i="10"/>
  <c r="CE241" i="10"/>
  <c r="CC241" i="10"/>
  <c r="AR241" i="10"/>
  <c r="F241" i="10"/>
  <c r="F243" i="10" s="1"/>
  <c r="CF240" i="10"/>
  <c r="CE240" i="10"/>
  <c r="CC240" i="10"/>
  <c r="AR240" i="10"/>
  <c r="F240" i="10"/>
  <c r="CF239" i="10"/>
  <c r="CE239" i="10"/>
  <c r="AT239" i="10"/>
  <c r="CC239" i="10" s="1"/>
  <c r="AR239" i="10"/>
  <c r="CF238" i="10"/>
  <c r="CE238" i="10"/>
  <c r="CC238" i="10"/>
  <c r="AR238" i="10"/>
  <c r="CF237" i="10"/>
  <c r="CE237" i="10"/>
  <c r="CC237" i="10"/>
  <c r="AR237" i="10"/>
  <c r="CF236" i="10"/>
  <c r="CE236" i="10"/>
  <c r="CC236" i="10"/>
  <c r="AR236" i="10"/>
  <c r="CF235" i="10"/>
  <c r="CE235" i="10"/>
  <c r="CC235" i="10"/>
  <c r="CD235" i="10" s="1"/>
  <c r="AR235" i="10"/>
  <c r="CF234" i="10"/>
  <c r="CE234" i="10"/>
  <c r="CD234" i="10"/>
  <c r="CC234" i="10"/>
  <c r="AR234" i="10"/>
  <c r="CF233" i="10"/>
  <c r="CE233" i="10"/>
  <c r="CC233" i="10"/>
  <c r="AR233" i="10"/>
  <c r="CF232" i="10"/>
  <c r="CE232" i="10"/>
  <c r="CC232" i="10"/>
  <c r="AR232" i="10"/>
  <c r="CF231" i="10"/>
  <c r="CE231" i="10"/>
  <c r="CC231" i="10"/>
  <c r="AR231" i="10"/>
  <c r="CF230" i="10"/>
  <c r="CE230" i="10"/>
  <c r="CC230" i="10"/>
  <c r="AR230" i="10"/>
  <c r="CF229" i="10"/>
  <c r="CE229" i="10"/>
  <c r="CC229" i="10"/>
  <c r="AR229" i="10"/>
  <c r="CF228" i="10"/>
  <c r="CE228" i="10"/>
  <c r="CC228" i="10"/>
  <c r="AR228" i="10"/>
  <c r="CF227" i="10"/>
  <c r="CE227" i="10"/>
  <c r="CC227" i="10"/>
  <c r="AR227" i="10"/>
  <c r="CF226" i="10"/>
  <c r="CE226" i="10"/>
  <c r="CC226" i="10"/>
  <c r="AR226" i="10"/>
  <c r="CF225" i="10"/>
  <c r="CE225" i="10"/>
  <c r="CC225" i="10"/>
  <c r="AR225" i="10"/>
  <c r="CD225" i="10" s="1"/>
  <c r="CF224" i="10"/>
  <c r="CE224" i="10"/>
  <c r="CC224" i="10"/>
  <c r="AR224" i="10"/>
  <c r="CF223" i="10"/>
  <c r="CE223" i="10"/>
  <c r="CC223" i="10"/>
  <c r="AR223" i="10"/>
  <c r="CD223" i="10" s="1"/>
  <c r="CF222" i="10"/>
  <c r="CE222" i="10"/>
  <c r="CC222" i="10"/>
  <c r="AR222" i="10"/>
  <c r="CF221" i="10"/>
  <c r="CE221" i="10"/>
  <c r="CC221" i="10"/>
  <c r="AR221" i="10"/>
  <c r="CF220" i="10"/>
  <c r="CE220" i="10"/>
  <c r="CC220" i="10"/>
  <c r="AR220" i="10"/>
  <c r="CF219" i="10"/>
  <c r="CE219" i="10"/>
  <c r="CC219" i="10"/>
  <c r="AR219" i="10"/>
  <c r="CF218" i="10"/>
  <c r="CE218" i="10"/>
  <c r="CC218" i="10"/>
  <c r="AR218" i="10"/>
  <c r="CF217" i="10"/>
  <c r="CE217" i="10"/>
  <c r="CC217" i="10"/>
  <c r="AR217" i="10"/>
  <c r="CF216" i="10"/>
  <c r="CE216" i="10"/>
  <c r="CC216" i="10"/>
  <c r="AR216" i="10"/>
  <c r="CF215" i="10"/>
  <c r="CE215" i="10"/>
  <c r="CC215" i="10"/>
  <c r="CD215" i="10" s="1"/>
  <c r="AR215" i="10"/>
  <c r="CF214" i="10"/>
  <c r="CE214" i="10"/>
  <c r="CC214" i="10"/>
  <c r="AR214" i="10"/>
  <c r="CF213" i="10"/>
  <c r="CE213" i="10"/>
  <c r="CC213" i="10"/>
  <c r="AR213" i="10"/>
  <c r="CF212" i="10"/>
  <c r="CE212" i="10"/>
  <c r="CC212" i="10"/>
  <c r="AR212" i="10"/>
  <c r="CF211" i="10"/>
  <c r="CE211" i="10"/>
  <c r="CC211" i="10"/>
  <c r="AR211" i="10"/>
  <c r="CF210" i="10"/>
  <c r="CE210" i="10"/>
  <c r="CC210" i="10"/>
  <c r="AR210" i="10"/>
  <c r="CF209" i="10"/>
  <c r="CE209" i="10"/>
  <c r="CC209" i="10"/>
  <c r="AR209" i="10"/>
  <c r="F209" i="10"/>
  <c r="CF208" i="10"/>
  <c r="CE208" i="10"/>
  <c r="CC208" i="10"/>
  <c r="AR208" i="10"/>
  <c r="CF207" i="10"/>
  <c r="CE207" i="10"/>
  <c r="CC207" i="10"/>
  <c r="AR207" i="10"/>
  <c r="CF206" i="10"/>
  <c r="CE206" i="10"/>
  <c r="CC206" i="10"/>
  <c r="AR206" i="10"/>
  <c r="F206" i="10"/>
  <c r="F207" i="10" s="1"/>
  <c r="F208" i="10" s="1"/>
  <c r="CF205" i="10"/>
  <c r="CE205" i="10"/>
  <c r="CC205" i="10"/>
  <c r="CD205" i="10" s="1"/>
  <c r="AR205" i="10"/>
  <c r="F205" i="10"/>
  <c r="CF204" i="10"/>
  <c r="CE204" i="10"/>
  <c r="CC204" i="10"/>
  <c r="AR204" i="10"/>
  <c r="CF203" i="10"/>
  <c r="CE203" i="10"/>
  <c r="CC203" i="10"/>
  <c r="AR203" i="10"/>
  <c r="CF202" i="10"/>
  <c r="CE202" i="10"/>
  <c r="CC202" i="10"/>
  <c r="AR202" i="10"/>
  <c r="CF201" i="10"/>
  <c r="CE201" i="10"/>
  <c r="AU201" i="10"/>
  <c r="CC201" i="10" s="1"/>
  <c r="AT201" i="10"/>
  <c r="AR201" i="10"/>
  <c r="CF200" i="10"/>
  <c r="CE200" i="10"/>
  <c r="CC200" i="10"/>
  <c r="AR200" i="10"/>
  <c r="CF199" i="10"/>
  <c r="CE199" i="10"/>
  <c r="AT199" i="10"/>
  <c r="AR199" i="10"/>
  <c r="CF198" i="10"/>
  <c r="CE198" i="10"/>
  <c r="CC198" i="10"/>
  <c r="AR198" i="10"/>
  <c r="CF197" i="10"/>
  <c r="CE197" i="10"/>
  <c r="CC197" i="10"/>
  <c r="AR197" i="10"/>
  <c r="CF196" i="10"/>
  <c r="CE196" i="10"/>
  <c r="CC196" i="10"/>
  <c r="AR196" i="10"/>
  <c r="CF195" i="10"/>
  <c r="CE195" i="10"/>
  <c r="CC195" i="10"/>
  <c r="AR195" i="10"/>
  <c r="CF194" i="10"/>
  <c r="CE194" i="10"/>
  <c r="CC194" i="10"/>
  <c r="CD194" i="10" s="1"/>
  <c r="AR194" i="10"/>
  <c r="F194" i="10"/>
  <c r="CF193" i="10"/>
  <c r="CE193" i="10"/>
  <c r="AT193" i="10"/>
  <c r="CC193" i="10" s="1"/>
  <c r="AR193" i="10"/>
  <c r="F193" i="10"/>
  <c r="CF192" i="10"/>
  <c r="CE192" i="10"/>
  <c r="CC192" i="10"/>
  <c r="AR192" i="10"/>
  <c r="F192" i="10"/>
  <c r="CF191" i="10"/>
  <c r="CE191" i="10"/>
  <c r="CC191" i="10"/>
  <c r="AR191" i="10"/>
  <c r="F191" i="10"/>
  <c r="CF190" i="10"/>
  <c r="CE190" i="10"/>
  <c r="CC190" i="10"/>
  <c r="AR190" i="10"/>
  <c r="CF189" i="10"/>
  <c r="CE189" i="10"/>
  <c r="CC189" i="10"/>
  <c r="AR189" i="10"/>
  <c r="CF188" i="10"/>
  <c r="CE188" i="10"/>
  <c r="CC188" i="10"/>
  <c r="CD188" i="10" s="1"/>
  <c r="AR188" i="10"/>
  <c r="CF187" i="10"/>
  <c r="CE187" i="10"/>
  <c r="CC187" i="10"/>
  <c r="AR187" i="10"/>
  <c r="CF186" i="10"/>
  <c r="CE186" i="10"/>
  <c r="CC186" i="10"/>
  <c r="AR186" i="10"/>
  <c r="CD186" i="10" s="1"/>
  <c r="CF185" i="10"/>
  <c r="CE185" i="10"/>
  <c r="CC185" i="10"/>
  <c r="AR185" i="10"/>
  <c r="F185" i="10"/>
  <c r="F186" i="10" s="1"/>
  <c r="CF184" i="10"/>
  <c r="CE184" i="10"/>
  <c r="CC184" i="10"/>
  <c r="AR184" i="10"/>
  <c r="CF183" i="10"/>
  <c r="CE183" i="10"/>
  <c r="CC183" i="10"/>
  <c r="CD183" i="10" s="1"/>
  <c r="AR183" i="10"/>
  <c r="CF182" i="10"/>
  <c r="CE182" i="10"/>
  <c r="CC182" i="10"/>
  <c r="AR182" i="10"/>
  <c r="CF181" i="10"/>
  <c r="CE181" i="10"/>
  <c r="CC181" i="10"/>
  <c r="AR181" i="10"/>
  <c r="CF180" i="10"/>
  <c r="CE180" i="10"/>
  <c r="CC180" i="10"/>
  <c r="CD180" i="10" s="1"/>
  <c r="AR180" i="10"/>
  <c r="CF179" i="10"/>
  <c r="CE179" i="10"/>
  <c r="CD179" i="10"/>
  <c r="CC179" i="10"/>
  <c r="AR179" i="10"/>
  <c r="F179" i="10"/>
  <c r="F180" i="10" s="1"/>
  <c r="CF178" i="10"/>
  <c r="CE178" i="10"/>
  <c r="CC178" i="10"/>
  <c r="AR178" i="10"/>
  <c r="CF177" i="10"/>
  <c r="CE177" i="10"/>
  <c r="CC177" i="10"/>
  <c r="AR177" i="10"/>
  <c r="CF176" i="10"/>
  <c r="CE176" i="10"/>
  <c r="CC176" i="10"/>
  <c r="AR176" i="10"/>
  <c r="CF175" i="10"/>
  <c r="CE175" i="10"/>
  <c r="AT175" i="10"/>
  <c r="CC175" i="10" s="1"/>
  <c r="AR175" i="10"/>
  <c r="CF174" i="10"/>
  <c r="CE174" i="10"/>
  <c r="CC174" i="10"/>
  <c r="AT174" i="10"/>
  <c r="AR174" i="10"/>
  <c r="CF173" i="10"/>
  <c r="CE173" i="10"/>
  <c r="CC173" i="10"/>
  <c r="AR173" i="10"/>
  <c r="CF172" i="10"/>
  <c r="CE172" i="10"/>
  <c r="CC172" i="10"/>
  <c r="AR172" i="10"/>
  <c r="CF171" i="10"/>
  <c r="CE171" i="10"/>
  <c r="CC171" i="10"/>
  <c r="AR171" i="10"/>
  <c r="CF170" i="10"/>
  <c r="CE170" i="10"/>
  <c r="CC170" i="10"/>
  <c r="AR170" i="10"/>
  <c r="CF169" i="10"/>
  <c r="CE169" i="10"/>
  <c r="CC169" i="10"/>
  <c r="AR169" i="10"/>
  <c r="CF168" i="10"/>
  <c r="CE168" i="10"/>
  <c r="CC168" i="10"/>
  <c r="AR168" i="10"/>
  <c r="CF167" i="10"/>
  <c r="CE167" i="10"/>
  <c r="CC167" i="10"/>
  <c r="CD167" i="10" s="1"/>
  <c r="AT167" i="10"/>
  <c r="AR167" i="10"/>
  <c r="CF166" i="10"/>
  <c r="CE166" i="10"/>
  <c r="CC166" i="10"/>
  <c r="CD166" i="10" s="1"/>
  <c r="AR166" i="10"/>
  <c r="CF165" i="10"/>
  <c r="CE165" i="10"/>
  <c r="AT165" i="10"/>
  <c r="CC165" i="10" s="1"/>
  <c r="CD165" i="10" s="1"/>
  <c r="AR165" i="10"/>
  <c r="CF164" i="10"/>
  <c r="CE164" i="10"/>
  <c r="CC164" i="10"/>
  <c r="AR164" i="10"/>
  <c r="CF163" i="10"/>
  <c r="CE163" i="10"/>
  <c r="CC163" i="10"/>
  <c r="AR163" i="10"/>
  <c r="CF162" i="10"/>
  <c r="CE162" i="10"/>
  <c r="CC162" i="10"/>
  <c r="AR162" i="10"/>
  <c r="CF161" i="10"/>
  <c r="CE161" i="10"/>
  <c r="CC161" i="10"/>
  <c r="CD161" i="10" s="1"/>
  <c r="AR161" i="10"/>
  <c r="CF160" i="10"/>
  <c r="CE160" i="10"/>
  <c r="CC160" i="10"/>
  <c r="AR160" i="10"/>
  <c r="CF159" i="10"/>
  <c r="CE159" i="10"/>
  <c r="CC159" i="10"/>
  <c r="CD159" i="10" s="1"/>
  <c r="AR159" i="10"/>
  <c r="CF158" i="10"/>
  <c r="CE158" i="10"/>
  <c r="CD158" i="10"/>
  <c r="CC158" i="10"/>
  <c r="AR158" i="10"/>
  <c r="CF157" i="10"/>
  <c r="CE157" i="10"/>
  <c r="CC157" i="10"/>
  <c r="AT157" i="10"/>
  <c r="AR157" i="10"/>
  <c r="CD157" i="10" s="1"/>
  <c r="CF156" i="10"/>
  <c r="CE156" i="10"/>
  <c r="AT156" i="10"/>
  <c r="AR156" i="10"/>
  <c r="CF155" i="10"/>
  <c r="CE155" i="10"/>
  <c r="CC155" i="10"/>
  <c r="AR155" i="10"/>
  <c r="CF154" i="10"/>
  <c r="CE154" i="10"/>
  <c r="CC154" i="10"/>
  <c r="AR154" i="10"/>
  <c r="CF153" i="10"/>
  <c r="CE153" i="10"/>
  <c r="CC153" i="10"/>
  <c r="AR153" i="10"/>
  <c r="CF152" i="10"/>
  <c r="CE152" i="10"/>
  <c r="CC152" i="10"/>
  <c r="AR152" i="10"/>
  <c r="CF151" i="10"/>
  <c r="CE151" i="10"/>
  <c r="CC151" i="10"/>
  <c r="AR151" i="10"/>
  <c r="CF150" i="10"/>
  <c r="CE150" i="10"/>
  <c r="CC150" i="10"/>
  <c r="CD150" i="10" s="1"/>
  <c r="AR150" i="10"/>
  <c r="CF149" i="10"/>
  <c r="CE149" i="10"/>
  <c r="CC149" i="10"/>
  <c r="AR149" i="10"/>
  <c r="CF148" i="10"/>
  <c r="CE148" i="10"/>
  <c r="CC148" i="10"/>
  <c r="AR148" i="10"/>
  <c r="CF147" i="10"/>
  <c r="CE147" i="10"/>
  <c r="CC147" i="10"/>
  <c r="AR147" i="10"/>
  <c r="CF146" i="10"/>
  <c r="CE146" i="10"/>
  <c r="CC146" i="10"/>
  <c r="AR146" i="10"/>
  <c r="CF145" i="10"/>
  <c r="CE145" i="10"/>
  <c r="CC145" i="10"/>
  <c r="AR145" i="10"/>
  <c r="CF144" i="10"/>
  <c r="CE144" i="10"/>
  <c r="CC144" i="10"/>
  <c r="AR144" i="10"/>
  <c r="CF143" i="10"/>
  <c r="CE143" i="10"/>
  <c r="CC143" i="10"/>
  <c r="CD143" i="10" s="1"/>
  <c r="AR143" i="10"/>
  <c r="CF142" i="10"/>
  <c r="CE142" i="10"/>
  <c r="CC142" i="10"/>
  <c r="AR142" i="10"/>
  <c r="CF141" i="10"/>
  <c r="CE141" i="10"/>
  <c r="CC141" i="10"/>
  <c r="AR141" i="10"/>
  <c r="CF140" i="10"/>
  <c r="CE140" i="10"/>
  <c r="CC140" i="10"/>
  <c r="AR140" i="10"/>
  <c r="CF139" i="10"/>
  <c r="CE139" i="10"/>
  <c r="CC139" i="10"/>
  <c r="CD139" i="10" s="1"/>
  <c r="AR139" i="10"/>
  <c r="CF138" i="10"/>
  <c r="CE138" i="10"/>
  <c r="CC138" i="10"/>
  <c r="CD138" i="10" s="1"/>
  <c r="AR138" i="10"/>
  <c r="CF137" i="10"/>
  <c r="CE137" i="10"/>
  <c r="CC137" i="10"/>
  <c r="CD137" i="10" s="1"/>
  <c r="AR137" i="10"/>
  <c r="CF136" i="10"/>
  <c r="CE136" i="10"/>
  <c r="CC136" i="10"/>
  <c r="AR136" i="10"/>
  <c r="CF135" i="10"/>
  <c r="CE135" i="10"/>
  <c r="CC135" i="10"/>
  <c r="CD135" i="10" s="1"/>
  <c r="AR135" i="10"/>
  <c r="CF134" i="10"/>
  <c r="CE134" i="10"/>
  <c r="CC134" i="10"/>
  <c r="AR134" i="10"/>
  <c r="CF133" i="10"/>
  <c r="CE133" i="10"/>
  <c r="CC133" i="10"/>
  <c r="AR133" i="10"/>
  <c r="CF132" i="10"/>
  <c r="CE132" i="10"/>
  <c r="CC132" i="10"/>
  <c r="CD132" i="10" s="1"/>
  <c r="AR132" i="10"/>
  <c r="CF131" i="10"/>
  <c r="CE131" i="10"/>
  <c r="CC131" i="10"/>
  <c r="AR131" i="10"/>
  <c r="CF130" i="10"/>
  <c r="CE130" i="10"/>
  <c r="CC130" i="10"/>
  <c r="AR130" i="10"/>
  <c r="CF129" i="10"/>
  <c r="CE129" i="10"/>
  <c r="CC129" i="10"/>
  <c r="AR129" i="10"/>
  <c r="CF128" i="10"/>
  <c r="CE128" i="10"/>
  <c r="CC128" i="10"/>
  <c r="AR128" i="10"/>
  <c r="CF127" i="10"/>
  <c r="CE127" i="10"/>
  <c r="CC127" i="10"/>
  <c r="CD127" i="10" s="1"/>
  <c r="AR127" i="10"/>
  <c r="CF126" i="10"/>
  <c r="CE126" i="10"/>
  <c r="CC126" i="10"/>
  <c r="AR126" i="10"/>
  <c r="CF125" i="10"/>
  <c r="CE125" i="10"/>
  <c r="CC125" i="10"/>
  <c r="AR125" i="10"/>
  <c r="CF124" i="10"/>
  <c r="CE124" i="10"/>
  <c r="CC124" i="10"/>
  <c r="CD124" i="10" s="1"/>
  <c r="AR124" i="10"/>
  <c r="CF123" i="10"/>
  <c r="CE123" i="10"/>
  <c r="CD123" i="10"/>
  <c r="CC123" i="10"/>
  <c r="AR123" i="10"/>
  <c r="CF122" i="10"/>
  <c r="CE122" i="10"/>
  <c r="CC122" i="10"/>
  <c r="AR122" i="10"/>
  <c r="CF121" i="10"/>
  <c r="CE121" i="10"/>
  <c r="CC121" i="10"/>
  <c r="AR121" i="10"/>
  <c r="CF120" i="10"/>
  <c r="CE120" i="10"/>
  <c r="CC120" i="10"/>
  <c r="AR120" i="10"/>
  <c r="CF119" i="10"/>
  <c r="CE119" i="10"/>
  <c r="CC119" i="10"/>
  <c r="AR119" i="10"/>
  <c r="CF118" i="10"/>
  <c r="CE118" i="10"/>
  <c r="CC118" i="10"/>
  <c r="AR118" i="10"/>
  <c r="CF117" i="10"/>
  <c r="CE117" i="10"/>
  <c r="CC117" i="10"/>
  <c r="AR117" i="10"/>
  <c r="CF116" i="10"/>
  <c r="CE116" i="10"/>
  <c r="CC116" i="10"/>
  <c r="CD116" i="10" s="1"/>
  <c r="AR116" i="10"/>
  <c r="CF115" i="10"/>
  <c r="CE115" i="10"/>
  <c r="CC115" i="10"/>
  <c r="AR115" i="10"/>
  <c r="CD115" i="10" s="1"/>
  <c r="CF114" i="10"/>
  <c r="CE114" i="10"/>
  <c r="CC114" i="10"/>
  <c r="AR114" i="10"/>
  <c r="CD114" i="10" s="1"/>
  <c r="CF113" i="10"/>
  <c r="CE113" i="10"/>
  <c r="CC113" i="10"/>
  <c r="AR113" i="10"/>
  <c r="CF112" i="10"/>
  <c r="CE112" i="10"/>
  <c r="CC112" i="10"/>
  <c r="AR112" i="10"/>
  <c r="CF111" i="10"/>
  <c r="CE111" i="10"/>
  <c r="CC111" i="10"/>
  <c r="AR111" i="10"/>
  <c r="CF110" i="10"/>
  <c r="CE110" i="10"/>
  <c r="CC110" i="10"/>
  <c r="AR110" i="10"/>
  <c r="CD110" i="10" s="1"/>
  <c r="CF109" i="10"/>
  <c r="CE109" i="10"/>
  <c r="CC109" i="10"/>
  <c r="AR109" i="10"/>
  <c r="CF108" i="10"/>
  <c r="CE108" i="10"/>
  <c r="CC108" i="10"/>
  <c r="AR108" i="10"/>
  <c r="CF107" i="10"/>
  <c r="CE107" i="10"/>
  <c r="CC107" i="10"/>
  <c r="AR107" i="10"/>
  <c r="CF106" i="10"/>
  <c r="CE106" i="10"/>
  <c r="CC106" i="10"/>
  <c r="AR106" i="10"/>
  <c r="CF105" i="10"/>
  <c r="CE105" i="10"/>
  <c r="CC105" i="10"/>
  <c r="AR105" i="10"/>
  <c r="CF104" i="10"/>
  <c r="CE104" i="10"/>
  <c r="CC104" i="10"/>
  <c r="AR104" i="10"/>
  <c r="CF103" i="10"/>
  <c r="CE103" i="10"/>
  <c r="CC103" i="10"/>
  <c r="AR103" i="10"/>
  <c r="CF102" i="10"/>
  <c r="CE102" i="10"/>
  <c r="CC102" i="10"/>
  <c r="AR102" i="10"/>
  <c r="CF101" i="10"/>
  <c r="CE101" i="10"/>
  <c r="CC101" i="10"/>
  <c r="AR101" i="10"/>
  <c r="CF100" i="10"/>
  <c r="CE100" i="10"/>
  <c r="CC100" i="10"/>
  <c r="AR100" i="10"/>
  <c r="CF99" i="10"/>
  <c r="CE99" i="10"/>
  <c r="CC99" i="10"/>
  <c r="CD99" i="10" s="1"/>
  <c r="AR99" i="10"/>
  <c r="CF98" i="10"/>
  <c r="CE98" i="10"/>
  <c r="CC98" i="10"/>
  <c r="AR98" i="10"/>
  <c r="F98" i="10"/>
  <c r="CF97" i="10"/>
  <c r="CE97" i="10"/>
  <c r="CC97" i="10"/>
  <c r="AR97" i="10"/>
  <c r="CF96" i="10"/>
  <c r="CE96" i="10"/>
  <c r="CC96" i="10"/>
  <c r="AR96" i="10"/>
  <c r="CF95" i="10"/>
  <c r="CE95" i="10"/>
  <c r="CC95" i="10"/>
  <c r="AR95" i="10"/>
  <c r="CF94" i="10"/>
  <c r="CE94" i="10"/>
  <c r="CC94" i="10"/>
  <c r="AR94" i="10"/>
  <c r="CF93" i="10"/>
  <c r="CE93" i="10"/>
  <c r="CC93" i="10"/>
  <c r="CD93" i="10" s="1"/>
  <c r="AR93" i="10"/>
  <c r="CF92" i="10"/>
  <c r="CE92" i="10"/>
  <c r="CC92" i="10"/>
  <c r="AR92" i="10"/>
  <c r="F92" i="10"/>
  <c r="CF91" i="10"/>
  <c r="CE91" i="10"/>
  <c r="CC91" i="10"/>
  <c r="AR91" i="10"/>
  <c r="CF90" i="10"/>
  <c r="CE90" i="10"/>
  <c r="CC90" i="10"/>
  <c r="AR90" i="10"/>
  <c r="CF89" i="10"/>
  <c r="CE89" i="10"/>
  <c r="CC89" i="10"/>
  <c r="AR89" i="10"/>
  <c r="CF88" i="10"/>
  <c r="CE88" i="10"/>
  <c r="CC88" i="10"/>
  <c r="AR88" i="10"/>
  <c r="CF87" i="10"/>
  <c r="CE87" i="10"/>
  <c r="CC87" i="10"/>
  <c r="AR87" i="10"/>
  <c r="CF86" i="10"/>
  <c r="CE86" i="10"/>
  <c r="CC86" i="10"/>
  <c r="AR86" i="10"/>
  <c r="CF85" i="10"/>
  <c r="CE85" i="10"/>
  <c r="CC85" i="10"/>
  <c r="AR85" i="10"/>
  <c r="CF84" i="10"/>
  <c r="CE84" i="10"/>
  <c r="CC84" i="10"/>
  <c r="CD84" i="10" s="1"/>
  <c r="AR84" i="10"/>
  <c r="CF83" i="10"/>
  <c r="CE83" i="10"/>
  <c r="CC83" i="10"/>
  <c r="AR83" i="10"/>
  <c r="CF82" i="10"/>
  <c r="CE82" i="10"/>
  <c r="CC82" i="10"/>
  <c r="CD82" i="10" s="1"/>
  <c r="AR82" i="10"/>
  <c r="CF81" i="10"/>
  <c r="CE81" i="10"/>
  <c r="CC81" i="10"/>
  <c r="CD81" i="10" s="1"/>
  <c r="AR81" i="10"/>
  <c r="CF80" i="10"/>
  <c r="CE80" i="10"/>
  <c r="CC80" i="10"/>
  <c r="AR80" i="10"/>
  <c r="CF79" i="10"/>
  <c r="CE79" i="10"/>
  <c r="CC79" i="10"/>
  <c r="CD79" i="10" s="1"/>
  <c r="AR79" i="10"/>
  <c r="CF78" i="10"/>
  <c r="CE78" i="10"/>
  <c r="CC78" i="10"/>
  <c r="AR78" i="10"/>
  <c r="CD78" i="10" s="1"/>
  <c r="CF77" i="10"/>
  <c r="CE77" i="10"/>
  <c r="CC77" i="10"/>
  <c r="AR77" i="10"/>
  <c r="CD77" i="10" s="1"/>
  <c r="CF76" i="10"/>
  <c r="CE76" i="10"/>
  <c r="CC76" i="10"/>
  <c r="AR76" i="10"/>
  <c r="CF75" i="10"/>
  <c r="CE75" i="10"/>
  <c r="CC75" i="10"/>
  <c r="AR75" i="10"/>
  <c r="CF74" i="10"/>
  <c r="CE74" i="10"/>
  <c r="CC74" i="10"/>
  <c r="AR74" i="10"/>
  <c r="F74" i="10"/>
  <c r="CF73" i="10"/>
  <c r="CE73" i="10"/>
  <c r="CC73" i="10"/>
  <c r="AR73" i="10"/>
  <c r="CF72" i="10"/>
  <c r="CE72" i="10"/>
  <c r="CC72" i="10"/>
  <c r="AR72" i="10"/>
  <c r="CF71" i="10"/>
  <c r="CE71" i="10"/>
  <c r="CC71" i="10"/>
  <c r="AR71" i="10"/>
  <c r="CF70" i="10"/>
  <c r="CE70" i="10"/>
  <c r="CC70" i="10"/>
  <c r="AR70" i="10"/>
  <c r="CF69" i="10"/>
  <c r="CE69" i="10"/>
  <c r="CC69" i="10"/>
  <c r="CD69" i="10" s="1"/>
  <c r="AR69" i="10"/>
  <c r="CF68" i="10"/>
  <c r="CE68" i="10"/>
  <c r="CC68" i="10"/>
  <c r="CD68" i="10" s="1"/>
  <c r="AR68" i="10"/>
  <c r="CF67" i="10"/>
  <c r="CE67" i="10"/>
  <c r="CD67" i="10"/>
  <c r="CC67" i="10"/>
  <c r="AR67" i="10"/>
  <c r="CF66" i="10"/>
  <c r="CE66" i="10"/>
  <c r="CC66" i="10"/>
  <c r="AR66" i="10"/>
  <c r="CF65" i="10"/>
  <c r="CE65" i="10"/>
  <c r="CC65" i="10"/>
  <c r="AR65" i="10"/>
  <c r="CF64" i="10"/>
  <c r="CE64" i="10"/>
  <c r="CC64" i="10"/>
  <c r="AR64" i="10"/>
  <c r="CF63" i="10"/>
  <c r="CE63" i="10"/>
  <c r="CC63" i="10"/>
  <c r="AR63" i="10"/>
  <c r="CF62" i="10"/>
  <c r="CE62" i="10"/>
  <c r="CC62" i="10"/>
  <c r="CD62" i="10" s="1"/>
  <c r="AR62" i="10"/>
  <c r="CF61" i="10"/>
  <c r="CE61" i="10"/>
  <c r="CC61" i="10"/>
  <c r="AR61" i="10"/>
  <c r="CF60" i="10"/>
  <c r="CE60" i="10"/>
  <c r="CC60" i="10"/>
  <c r="AR60" i="10"/>
  <c r="CF59" i="10"/>
  <c r="CE59" i="10"/>
  <c r="CC59" i="10"/>
  <c r="CD59" i="10" s="1"/>
  <c r="AR59" i="10"/>
  <c r="CF58" i="10"/>
  <c r="CE58" i="10"/>
  <c r="CC58" i="10"/>
  <c r="AR58" i="10"/>
  <c r="CF57" i="10"/>
  <c r="CE57" i="10"/>
  <c r="CC57" i="10"/>
  <c r="AR57" i="10"/>
  <c r="CF56" i="10"/>
  <c r="CE56" i="10"/>
  <c r="CC56" i="10"/>
  <c r="AR56" i="10"/>
  <c r="CF55" i="10"/>
  <c r="CE55" i="10"/>
  <c r="CC55" i="10"/>
  <c r="AR55" i="10"/>
  <c r="CF54" i="10"/>
  <c r="CE54" i="10"/>
  <c r="AT54" i="10"/>
  <c r="AU54" i="10" s="1"/>
  <c r="CC54" i="10" s="1"/>
  <c r="AR54" i="10"/>
  <c r="CF53" i="10"/>
  <c r="CE53" i="10"/>
  <c r="CC53" i="10"/>
  <c r="AR53" i="10"/>
  <c r="F53" i="10"/>
  <c r="F54" i="10" s="1"/>
  <c r="F55" i="10" s="1"/>
  <c r="F56" i="10" s="1"/>
  <c r="F57" i="10" s="1"/>
  <c r="CF52" i="10"/>
  <c r="CE52" i="10"/>
  <c r="CC52" i="10"/>
  <c r="AR52" i="10"/>
  <c r="CF51" i="10"/>
  <c r="CE51" i="10"/>
  <c r="CC51" i="10"/>
  <c r="AR51" i="10"/>
  <c r="CF50" i="10"/>
  <c r="CE50" i="10"/>
  <c r="AU50" i="10"/>
  <c r="CC50" i="10" s="1"/>
  <c r="AT50" i="10"/>
  <c r="AR50" i="10"/>
  <c r="CF49" i="10"/>
  <c r="CE49" i="10"/>
  <c r="CC49" i="10"/>
  <c r="CD49" i="10" s="1"/>
  <c r="AR49" i="10"/>
  <c r="CF48" i="10"/>
  <c r="CE48" i="10"/>
  <c r="CC48" i="10"/>
  <c r="AR48" i="10"/>
  <c r="CF47" i="10"/>
  <c r="CE47" i="10"/>
  <c r="CC47" i="10"/>
  <c r="CD47" i="10" s="1"/>
  <c r="AR47" i="10"/>
  <c r="CF46" i="10"/>
  <c r="CE46" i="10"/>
  <c r="AT46" i="10"/>
  <c r="AS46" i="10"/>
  <c r="AR46" i="10"/>
  <c r="CF45" i="10"/>
  <c r="CE45" i="10"/>
  <c r="CC45" i="10"/>
  <c r="AT45" i="10"/>
  <c r="AR45" i="10"/>
  <c r="CD45" i="10" s="1"/>
  <c r="CF44" i="10"/>
  <c r="CE44" i="10"/>
  <c r="CC44" i="10"/>
  <c r="AR44" i="10"/>
  <c r="CF43" i="10"/>
  <c r="CE43" i="10"/>
  <c r="BH43" i="10"/>
  <c r="AT43" i="10"/>
  <c r="AR43" i="10"/>
  <c r="CM42" i="10"/>
  <c r="CL42" i="10"/>
  <c r="CK42" i="10"/>
  <c r="CJ42" i="10"/>
  <c r="CI42" i="10"/>
  <c r="CH42" i="10"/>
  <c r="CG42" i="10"/>
  <c r="CB42" i="10"/>
  <c r="CA42" i="10"/>
  <c r="BZ42" i="10"/>
  <c r="BY42" i="10"/>
  <c r="BX42" i="10"/>
  <c r="BW42" i="10"/>
  <c r="BV42" i="10"/>
  <c r="BU42" i="10"/>
  <c r="BT42" i="10"/>
  <c r="BS42" i="10"/>
  <c r="BR42" i="10"/>
  <c r="BQ42" i="10"/>
  <c r="BP42" i="10"/>
  <c r="BO42" i="10"/>
  <c r="BN42" i="10"/>
  <c r="BM42" i="10"/>
  <c r="BL42" i="10"/>
  <c r="BK42" i="10"/>
  <c r="BJ42" i="10"/>
  <c r="BI42" i="10"/>
  <c r="BH42" i="10"/>
  <c r="BG42" i="10"/>
  <c r="BF42" i="10"/>
  <c r="BE42" i="10"/>
  <c r="BD42" i="10"/>
  <c r="BC42" i="10"/>
  <c r="BB42" i="10"/>
  <c r="BA42" i="10"/>
  <c r="AZ42" i="10"/>
  <c r="AY42" i="10"/>
  <c r="AX42" i="10"/>
  <c r="AW42" i="10"/>
  <c r="AV42" i="10"/>
  <c r="AU42" i="10"/>
  <c r="AT42" i="10"/>
  <c r="AS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CF41" i="10"/>
  <c r="CE41" i="10"/>
  <c r="CC41" i="10"/>
  <c r="CD41" i="10" s="1"/>
  <c r="AR41" i="10"/>
  <c r="CF40" i="10"/>
  <c r="CE40" i="10"/>
  <c r="CC40" i="10"/>
  <c r="AR40" i="10"/>
  <c r="CF39" i="10"/>
  <c r="CE39" i="10"/>
  <c r="CC39" i="10"/>
  <c r="AR39" i="10"/>
  <c r="CF38" i="10"/>
  <c r="CE38" i="10"/>
  <c r="CC38" i="10"/>
  <c r="AR38" i="10"/>
  <c r="CF37" i="10"/>
  <c r="CE37" i="10"/>
  <c r="CC37" i="10"/>
  <c r="AR37" i="10"/>
  <c r="CF36" i="10"/>
  <c r="CE36" i="10"/>
  <c r="CC36" i="10"/>
  <c r="AR36" i="10"/>
  <c r="CF35" i="10"/>
  <c r="CE35" i="10"/>
  <c r="CC35" i="10"/>
  <c r="AR35" i="10"/>
  <c r="CF34" i="10"/>
  <c r="CE34" i="10"/>
  <c r="CC34" i="10"/>
  <c r="AR34" i="10"/>
  <c r="CF33" i="10"/>
  <c r="CE33" i="10"/>
  <c r="CC33" i="10"/>
  <c r="AR33" i="10"/>
  <c r="CF32" i="10"/>
  <c r="CE32" i="10"/>
  <c r="CC32" i="10"/>
  <c r="CD32" i="10" s="1"/>
  <c r="AR32" i="10"/>
  <c r="CF31" i="10"/>
  <c r="CE31" i="10"/>
  <c r="CC31" i="10"/>
  <c r="AR31" i="10"/>
  <c r="CF30" i="10"/>
  <c r="CE30" i="10"/>
  <c r="CC30" i="10"/>
  <c r="AR30" i="10"/>
  <c r="CF29" i="10"/>
  <c r="CE29" i="10"/>
  <c r="CC29" i="10"/>
  <c r="AR29" i="10"/>
  <c r="CM28" i="10"/>
  <c r="CL28" i="10"/>
  <c r="CK28" i="10"/>
  <c r="CJ28" i="10"/>
  <c r="CI28" i="10"/>
  <c r="CH28" i="10"/>
  <c r="CG28" i="10"/>
  <c r="CB28" i="10"/>
  <c r="CA28" i="10"/>
  <c r="BZ28" i="10"/>
  <c r="BY28" i="10"/>
  <c r="BX28" i="10"/>
  <c r="BW28" i="10"/>
  <c r="BV28" i="10"/>
  <c r="BU28" i="10"/>
  <c r="BT28" i="10"/>
  <c r="BS28" i="10"/>
  <c r="BR28" i="10"/>
  <c r="BQ28" i="10"/>
  <c r="BP28" i="10"/>
  <c r="BO28" i="10"/>
  <c r="BN28" i="10"/>
  <c r="BM28" i="10"/>
  <c r="BL28" i="10"/>
  <c r="BK28" i="10"/>
  <c r="BJ28" i="10"/>
  <c r="BI28" i="10"/>
  <c r="BH28" i="10"/>
  <c r="BG28" i="10"/>
  <c r="BF28" i="10"/>
  <c r="BE28" i="10"/>
  <c r="BD28" i="10"/>
  <c r="BC28" i="10"/>
  <c r="BB28" i="10"/>
  <c r="BA28" i="10"/>
  <c r="AZ28" i="10"/>
  <c r="AY28" i="10"/>
  <c r="AX28" i="10"/>
  <c r="AW28" i="10"/>
  <c r="AV28" i="10"/>
  <c r="AU28" i="10"/>
  <c r="AT28" i="10"/>
  <c r="AS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CF27" i="10"/>
  <c r="CE27" i="10"/>
  <c r="CC27" i="10"/>
  <c r="AR27" i="10"/>
  <c r="CF26" i="10"/>
  <c r="CF28" i="10" s="1"/>
  <c r="CE26" i="10"/>
  <c r="CC26" i="10"/>
  <c r="AR26" i="10"/>
  <c r="AR28" i="10" s="1"/>
  <c r="CM983" i="11"/>
  <c r="CL983" i="11"/>
  <c r="CK983" i="11"/>
  <c r="CJ983" i="11"/>
  <c r="CI983" i="11"/>
  <c r="CD983" i="11"/>
  <c r="CC983" i="11"/>
  <c r="CB983" i="11"/>
  <c r="CA983" i="11"/>
  <c r="BZ983" i="11"/>
  <c r="BY983" i="11"/>
  <c r="BX983" i="11"/>
  <c r="BW983" i="11"/>
  <c r="BV983" i="11"/>
  <c r="BU983" i="11"/>
  <c r="BT983" i="11"/>
  <c r="BS983" i="11"/>
  <c r="BR983" i="11"/>
  <c r="BQ983" i="11"/>
  <c r="BP983" i="11"/>
  <c r="BO983" i="11"/>
  <c r="BN983" i="11"/>
  <c r="BM983" i="11"/>
  <c r="BL983" i="11"/>
  <c r="BK983" i="11"/>
  <c r="BJ983" i="11"/>
  <c r="BI983" i="11"/>
  <c r="BH983" i="11"/>
  <c r="BG983" i="11"/>
  <c r="BF983" i="11"/>
  <c r="BE983" i="11"/>
  <c r="BD983" i="11"/>
  <c r="BC983" i="11"/>
  <c r="BB983" i="11"/>
  <c r="BA983" i="11"/>
  <c r="AZ983" i="11"/>
  <c r="AY983" i="11"/>
  <c r="AX983" i="11"/>
  <c r="AW983" i="11"/>
  <c r="AV983" i="11"/>
  <c r="AU983" i="11"/>
  <c r="AT983" i="11"/>
  <c r="AR983" i="11"/>
  <c r="AQ983" i="11"/>
  <c r="AP983" i="11"/>
  <c r="AO983" i="11"/>
  <c r="AN983" i="11"/>
  <c r="AM983" i="11"/>
  <c r="AL983" i="11"/>
  <c r="AK983" i="11"/>
  <c r="AJ983" i="11"/>
  <c r="AI983" i="11"/>
  <c r="AH983" i="11"/>
  <c r="AG983" i="11"/>
  <c r="AF983" i="11"/>
  <c r="AE983" i="11"/>
  <c r="AD983" i="11"/>
  <c r="AC983" i="11"/>
  <c r="AB983" i="11"/>
  <c r="AA983" i="11"/>
  <c r="Z983" i="11"/>
  <c r="Y983" i="11"/>
  <c r="X983" i="11"/>
  <c r="W983" i="11"/>
  <c r="V983" i="11"/>
  <c r="U983" i="11"/>
  <c r="T983" i="11"/>
  <c r="S983" i="11"/>
  <c r="R983" i="11"/>
  <c r="Q983" i="11"/>
  <c r="P983" i="11"/>
  <c r="O983" i="11"/>
  <c r="N983" i="11"/>
  <c r="M983" i="11"/>
  <c r="L983" i="11"/>
  <c r="K983" i="11"/>
  <c r="CH982" i="11"/>
  <c r="CG982" i="11"/>
  <c r="CE982" i="11"/>
  <c r="AS982" i="11"/>
  <c r="CH981" i="11"/>
  <c r="CG981" i="11"/>
  <c r="CE981" i="11"/>
  <c r="AS981" i="11"/>
  <c r="CH980" i="11"/>
  <c r="CG980" i="11"/>
  <c r="CE980" i="11"/>
  <c r="AS980" i="11"/>
  <c r="CH979" i="11"/>
  <c r="CG979" i="11"/>
  <c r="CE979" i="11"/>
  <c r="AS979" i="11"/>
  <c r="CH978" i="11"/>
  <c r="CG978" i="11"/>
  <c r="CE978" i="11"/>
  <c r="AS978" i="11"/>
  <c r="AS983" i="11" s="1"/>
  <c r="F978" i="11"/>
  <c r="CP977" i="11"/>
  <c r="CO977" i="11"/>
  <c r="CN977" i="11"/>
  <c r="CM977" i="11"/>
  <c r="CL977" i="11"/>
  <c r="CK977" i="11"/>
  <c r="CJ977" i="11"/>
  <c r="CI977" i="11"/>
  <c r="CD977" i="11"/>
  <c r="CC977" i="11"/>
  <c r="CB977" i="11"/>
  <c r="CA977" i="11"/>
  <c r="BZ977" i="11"/>
  <c r="BY977" i="11"/>
  <c r="BX977" i="11"/>
  <c r="BW977" i="11"/>
  <c r="BV977" i="11"/>
  <c r="BU977" i="11"/>
  <c r="BT977" i="11"/>
  <c r="BS977" i="11"/>
  <c r="BR977" i="11"/>
  <c r="BQ977" i="11"/>
  <c r="BP977" i="11"/>
  <c r="BO977" i="11"/>
  <c r="BN977" i="11"/>
  <c r="BM977" i="11"/>
  <c r="BL977" i="11"/>
  <c r="BK977" i="11"/>
  <c r="BJ977" i="11"/>
  <c r="BI977" i="11"/>
  <c r="BH977" i="11"/>
  <c r="BG977" i="11"/>
  <c r="BF977" i="11"/>
  <c r="BE977" i="11"/>
  <c r="BD977" i="11"/>
  <c r="BC977" i="11"/>
  <c r="BB977" i="11"/>
  <c r="BA977" i="11"/>
  <c r="AZ977" i="11"/>
  <c r="AY977" i="11"/>
  <c r="AX977" i="11"/>
  <c r="AW977" i="11"/>
  <c r="AV977" i="11"/>
  <c r="AU977" i="11"/>
  <c r="AT977" i="11"/>
  <c r="AR977" i="11"/>
  <c r="AQ977" i="11"/>
  <c r="AP977" i="11"/>
  <c r="AO977" i="11"/>
  <c r="AN977" i="11"/>
  <c r="AM977" i="11"/>
  <c r="AL977" i="11"/>
  <c r="AK977" i="11"/>
  <c r="AJ977" i="11"/>
  <c r="AI977" i="11"/>
  <c r="AH977" i="11"/>
  <c r="AG977" i="11"/>
  <c r="AF977" i="11"/>
  <c r="AE977" i="11"/>
  <c r="AD977" i="11"/>
  <c r="AC977" i="11"/>
  <c r="AB977" i="11"/>
  <c r="AA977" i="11"/>
  <c r="Z977" i="11"/>
  <c r="Y977" i="11"/>
  <c r="X977" i="11"/>
  <c r="W977" i="11"/>
  <c r="V977" i="11"/>
  <c r="U977" i="11"/>
  <c r="T977" i="11"/>
  <c r="S977" i="11"/>
  <c r="R977" i="11"/>
  <c r="Q977" i="11"/>
  <c r="P977" i="11"/>
  <c r="O977" i="11"/>
  <c r="N977" i="11"/>
  <c r="M977" i="11"/>
  <c r="L977" i="11"/>
  <c r="K977" i="11"/>
  <c r="J977" i="11"/>
  <c r="I977" i="11"/>
  <c r="CH976" i="11"/>
  <c r="CG976" i="11"/>
  <c r="CE976" i="11"/>
  <c r="AS976" i="11"/>
  <c r="CH975" i="11"/>
  <c r="CG975" i="11"/>
  <c r="CE975" i="11"/>
  <c r="AS975" i="11"/>
  <c r="CK974" i="11"/>
  <c r="CJ974" i="11"/>
  <c r="CI974" i="11"/>
  <c r="CD974" i="11"/>
  <c r="CC974" i="11"/>
  <c r="CB974" i="11"/>
  <c r="CA974" i="11"/>
  <c r="BZ974" i="11"/>
  <c r="BY974" i="11"/>
  <c r="BX974" i="11"/>
  <c r="BW974" i="11"/>
  <c r="BV974" i="11"/>
  <c r="BU974" i="11"/>
  <c r="BT974" i="11"/>
  <c r="BS974" i="11"/>
  <c r="BR974" i="11"/>
  <c r="BQ974" i="11"/>
  <c r="BP974" i="11"/>
  <c r="BO974" i="11"/>
  <c r="BN974" i="11"/>
  <c r="BM974" i="11"/>
  <c r="BL974" i="11"/>
  <c r="BK974" i="11"/>
  <c r="BJ974" i="11"/>
  <c r="BI974" i="11"/>
  <c r="BH974" i="11"/>
  <c r="BG974" i="11"/>
  <c r="BF974" i="11"/>
  <c r="BE974" i="11"/>
  <c r="BD974" i="11"/>
  <c r="BC974" i="11"/>
  <c r="BB974" i="11"/>
  <c r="BA974" i="11"/>
  <c r="AZ974" i="11"/>
  <c r="AY974" i="11"/>
  <c r="AX974" i="11"/>
  <c r="AW974" i="11"/>
  <c r="AV974" i="11"/>
  <c r="AU974" i="11"/>
  <c r="AT974" i="11"/>
  <c r="AR974" i="11"/>
  <c r="CH973" i="11"/>
  <c r="CH974" i="11" s="1"/>
  <c r="CG973" i="11"/>
  <c r="CE973" i="11"/>
  <c r="AS973" i="11"/>
  <c r="AS974" i="11" s="1"/>
  <c r="CM972" i="11"/>
  <c r="CL972" i="11"/>
  <c r="CK972" i="11"/>
  <c r="CJ972" i="11"/>
  <c r="CI972" i="11"/>
  <c r="CC972" i="11"/>
  <c r="CB972" i="11"/>
  <c r="CA972" i="11"/>
  <c r="BZ972" i="11"/>
  <c r="BY972" i="11"/>
  <c r="BX972" i="11"/>
  <c r="BW972" i="11"/>
  <c r="BV972" i="11"/>
  <c r="BU972" i="11"/>
  <c r="BT972" i="11"/>
  <c r="BS972" i="11"/>
  <c r="BR972" i="11"/>
  <c r="BQ972" i="11"/>
  <c r="BP972" i="11"/>
  <c r="BO972" i="11"/>
  <c r="BN972" i="11"/>
  <c r="BM972" i="11"/>
  <c r="BL972" i="11"/>
  <c r="BK972" i="11"/>
  <c r="BJ972" i="11"/>
  <c r="BI972" i="11"/>
  <c r="BH972" i="11"/>
  <c r="BG972" i="11"/>
  <c r="BF972" i="11"/>
  <c r="BE972" i="11"/>
  <c r="BD972" i="11"/>
  <c r="BC972" i="11"/>
  <c r="BB972" i="11"/>
  <c r="BA972" i="11"/>
  <c r="AZ972" i="11"/>
  <c r="AY972" i="11"/>
  <c r="AX972" i="11"/>
  <c r="AW972" i="11"/>
  <c r="AV972" i="11"/>
  <c r="AU972" i="11"/>
  <c r="AT972" i="11"/>
  <c r="AQ972" i="11"/>
  <c r="AP972" i="11"/>
  <c r="AO972" i="11"/>
  <c r="AN972" i="11"/>
  <c r="AM972" i="11"/>
  <c r="AL972" i="11"/>
  <c r="AK972" i="11"/>
  <c r="AJ972" i="11"/>
  <c r="AI972" i="11"/>
  <c r="AH972" i="11"/>
  <c r="AG972" i="11"/>
  <c r="AF972" i="11"/>
  <c r="AE972" i="11"/>
  <c r="AD972" i="11"/>
  <c r="AC972" i="11"/>
  <c r="AB972" i="11"/>
  <c r="AA972" i="11"/>
  <c r="Z972" i="11"/>
  <c r="Y972" i="11"/>
  <c r="X972" i="11"/>
  <c r="W972" i="11"/>
  <c r="V972" i="11"/>
  <c r="U972" i="11"/>
  <c r="T972" i="11"/>
  <c r="S972" i="11"/>
  <c r="R972" i="11"/>
  <c r="Q972" i="11"/>
  <c r="P972" i="11"/>
  <c r="O972" i="11"/>
  <c r="N972" i="11"/>
  <c r="M972" i="11"/>
  <c r="L972" i="11"/>
  <c r="K972" i="11"/>
  <c r="J972" i="11"/>
  <c r="I972" i="11"/>
  <c r="CH971" i="11"/>
  <c r="CG971" i="11"/>
  <c r="CE971" i="11"/>
  <c r="AS971" i="11"/>
  <c r="CH970" i="11"/>
  <c r="CG970" i="11"/>
  <c r="CE970" i="11"/>
  <c r="AS970" i="11"/>
  <c r="CH969" i="11"/>
  <c r="CG969" i="11"/>
  <c r="CE969" i="11"/>
  <c r="AS969" i="11"/>
  <c r="F969" i="11"/>
  <c r="CH968" i="11"/>
  <c r="CG968" i="11"/>
  <c r="CE968" i="11"/>
  <c r="AS968" i="11"/>
  <c r="CH967" i="11"/>
  <c r="CG967" i="11"/>
  <c r="CE967" i="11"/>
  <c r="AS967" i="11"/>
  <c r="CH966" i="11"/>
  <c r="CG966" i="11"/>
  <c r="CE966" i="11"/>
  <c r="CF966" i="11" s="1"/>
  <c r="AS966" i="11"/>
  <c r="CH965" i="11"/>
  <c r="CG965" i="11"/>
  <c r="CE965" i="11"/>
  <c r="CF965" i="11" s="1"/>
  <c r="AS965" i="11"/>
  <c r="CH964" i="11"/>
  <c r="CG964" i="11"/>
  <c r="CE964" i="11"/>
  <c r="AS964" i="11"/>
  <c r="CH963" i="11"/>
  <c r="CG963" i="11"/>
  <c r="CE963" i="11"/>
  <c r="AS963" i="11"/>
  <c r="CH962" i="11"/>
  <c r="CG962" i="11"/>
  <c r="CE962" i="11"/>
  <c r="AS962" i="11"/>
  <c r="CH961" i="11"/>
  <c r="CG961" i="11"/>
  <c r="CE961" i="11"/>
  <c r="AS961" i="11"/>
  <c r="CH960" i="11"/>
  <c r="CG960" i="11"/>
  <c r="CE960" i="11"/>
  <c r="AS960" i="11"/>
  <c r="CH959" i="11"/>
  <c r="CG959" i="11"/>
  <c r="CE959" i="11"/>
  <c r="AS959" i="11"/>
  <c r="CH958" i="11"/>
  <c r="CG958" i="11"/>
  <c r="CE958" i="11"/>
  <c r="AS958" i="11"/>
  <c r="CH957" i="11"/>
  <c r="CG957" i="11"/>
  <c r="CE957" i="11"/>
  <c r="AS957" i="11"/>
  <c r="CH956" i="11"/>
  <c r="CG956" i="11"/>
  <c r="CE956" i="11"/>
  <c r="AS956" i="11"/>
  <c r="CH955" i="11"/>
  <c r="CG955" i="11"/>
  <c r="CE955" i="11"/>
  <c r="AS955" i="11"/>
  <c r="CH954" i="11"/>
  <c r="CG954" i="11"/>
  <c r="CE954" i="11"/>
  <c r="CF954" i="11" s="1"/>
  <c r="AS954" i="11"/>
  <c r="CH953" i="11"/>
  <c r="CG953" i="11"/>
  <c r="CE953" i="11"/>
  <c r="AS953" i="11"/>
  <c r="CH952" i="11"/>
  <c r="CG952" i="11"/>
  <c r="CE952" i="11"/>
  <c r="AS952" i="11"/>
  <c r="CH951" i="11"/>
  <c r="CG951" i="11"/>
  <c r="CE951" i="11"/>
  <c r="CF951" i="11" s="1"/>
  <c r="AS951" i="11"/>
  <c r="CH950" i="11"/>
  <c r="CG950" i="11"/>
  <c r="CE950" i="11"/>
  <c r="AS950" i="11"/>
  <c r="CH949" i="11"/>
  <c r="CG949" i="11"/>
  <c r="CE949" i="11"/>
  <c r="AS949" i="11"/>
  <c r="CH948" i="11"/>
  <c r="CG948" i="11"/>
  <c r="CE948" i="11"/>
  <c r="AS948" i="11"/>
  <c r="CH947" i="11"/>
  <c r="CG947" i="11"/>
  <c r="CE947" i="11"/>
  <c r="AS947" i="11"/>
  <c r="CH946" i="11"/>
  <c r="CG946" i="11"/>
  <c r="CE946" i="11"/>
  <c r="AS946" i="11"/>
  <c r="CH945" i="11"/>
  <c r="CG945" i="11"/>
  <c r="CE945" i="11"/>
  <c r="AS945" i="11"/>
  <c r="CH944" i="11"/>
  <c r="CG944" i="11"/>
  <c r="CE944" i="11"/>
  <c r="AS944" i="11"/>
  <c r="CH943" i="11"/>
  <c r="CG943" i="11"/>
  <c r="CE943" i="11"/>
  <c r="AS943" i="11"/>
  <c r="CH942" i="11"/>
  <c r="CG942" i="11"/>
  <c r="CE942" i="11"/>
  <c r="AS942" i="11"/>
  <c r="CH941" i="11"/>
  <c r="CG941" i="11"/>
  <c r="CE941" i="11"/>
  <c r="AS941" i="11"/>
  <c r="CH940" i="11"/>
  <c r="CG940" i="11"/>
  <c r="CE940" i="11"/>
  <c r="AS940" i="11"/>
  <c r="CH939" i="11"/>
  <c r="CG939" i="11"/>
  <c r="CE939" i="11"/>
  <c r="AS939" i="11"/>
  <c r="CL938" i="11"/>
  <c r="CK938" i="11"/>
  <c r="CJ938" i="11"/>
  <c r="CI938" i="11"/>
  <c r="CC938" i="11"/>
  <c r="CB938" i="11"/>
  <c r="CA938" i="11"/>
  <c r="BZ938" i="11"/>
  <c r="BY938" i="11"/>
  <c r="BX938" i="11"/>
  <c r="BW938" i="11"/>
  <c r="BV938" i="11"/>
  <c r="BU938" i="11"/>
  <c r="BT938" i="11"/>
  <c r="BS938" i="11"/>
  <c r="BR938" i="11"/>
  <c r="BQ938" i="11"/>
  <c r="BP938" i="11"/>
  <c r="BO938" i="11"/>
  <c r="BN938" i="11"/>
  <c r="BM938" i="11"/>
  <c r="BL938" i="11"/>
  <c r="BK938" i="11"/>
  <c r="BJ938" i="11"/>
  <c r="BI938" i="11"/>
  <c r="BH938" i="11"/>
  <c r="BG938" i="11"/>
  <c r="BF938" i="11"/>
  <c r="BE938" i="11"/>
  <c r="BD938" i="11"/>
  <c r="BC938" i="11"/>
  <c r="BB938" i="11"/>
  <c r="BA938" i="11"/>
  <c r="AZ938" i="11"/>
  <c r="AY938" i="11"/>
  <c r="AX938" i="11"/>
  <c r="AW938" i="11"/>
  <c r="AV938" i="11"/>
  <c r="AU938" i="11"/>
  <c r="AT938" i="11"/>
  <c r="AQ938" i="11"/>
  <c r="AP938" i="11"/>
  <c r="AO938" i="11"/>
  <c r="AN938" i="11"/>
  <c r="AM938" i="11"/>
  <c r="AL938" i="11"/>
  <c r="AK938" i="11"/>
  <c r="AJ938" i="11"/>
  <c r="AI938" i="11"/>
  <c r="AH938" i="11"/>
  <c r="AG938" i="11"/>
  <c r="AF938" i="11"/>
  <c r="AE938" i="11"/>
  <c r="AD938" i="11"/>
  <c r="AC938" i="11"/>
  <c r="AB938" i="11"/>
  <c r="AA938" i="11"/>
  <c r="Z938" i="11"/>
  <c r="Y938" i="11"/>
  <c r="X938" i="11"/>
  <c r="W938" i="11"/>
  <c r="V938" i="11"/>
  <c r="U938" i="11"/>
  <c r="T938" i="11"/>
  <c r="S938" i="11"/>
  <c r="R938" i="11"/>
  <c r="Q938" i="11"/>
  <c r="P938" i="11"/>
  <c r="O938" i="11"/>
  <c r="N938" i="11"/>
  <c r="M938" i="11"/>
  <c r="L938" i="11"/>
  <c r="K938" i="11"/>
  <c r="J938" i="11"/>
  <c r="I938" i="11"/>
  <c r="H938" i="11"/>
  <c r="CH937" i="11"/>
  <c r="CG937" i="11"/>
  <c r="CE937" i="11"/>
  <c r="AS937" i="11"/>
  <c r="CH936" i="11"/>
  <c r="CG936" i="11"/>
  <c r="CE936" i="11"/>
  <c r="AS936" i="11"/>
  <c r="CH935" i="11"/>
  <c r="CG935" i="11"/>
  <c r="CE935" i="11"/>
  <c r="AS935" i="11"/>
  <c r="CH934" i="11"/>
  <c r="CG934" i="11"/>
  <c r="CE934" i="11"/>
  <c r="AS934" i="11"/>
  <c r="AS938" i="11" s="1"/>
  <c r="CN926" i="11"/>
  <c r="CM926" i="11"/>
  <c r="CL926" i="11"/>
  <c r="CK926" i="11"/>
  <c r="CJ926" i="11"/>
  <c r="CI926" i="11"/>
  <c r="CH926" i="11"/>
  <c r="CG926" i="11"/>
  <c r="CC926" i="11"/>
  <c r="CB926" i="11"/>
  <c r="CA926" i="11"/>
  <c r="BZ926" i="11"/>
  <c r="BY926" i="11"/>
  <c r="BX926" i="11"/>
  <c r="BW926" i="11"/>
  <c r="BV926" i="11"/>
  <c r="BU926" i="11"/>
  <c r="BT926" i="11"/>
  <c r="BS926" i="11"/>
  <c r="BR926" i="11"/>
  <c r="BQ926" i="11"/>
  <c r="BP926" i="11"/>
  <c r="BO926" i="11"/>
  <c r="BN926" i="11"/>
  <c r="BM926" i="11"/>
  <c r="BL926" i="11"/>
  <c r="BK926" i="11"/>
  <c r="BJ926" i="11"/>
  <c r="BI926" i="11"/>
  <c r="BH926" i="11"/>
  <c r="BG926" i="11"/>
  <c r="BF926" i="11"/>
  <c r="BE926" i="11"/>
  <c r="BD926" i="11"/>
  <c r="BC926" i="11"/>
  <c r="BB926" i="11"/>
  <c r="BA926" i="11"/>
  <c r="AZ926" i="11"/>
  <c r="AY926" i="11"/>
  <c r="AX926" i="11"/>
  <c r="AW926" i="11"/>
  <c r="AV926" i="11"/>
  <c r="AU926" i="11"/>
  <c r="AT926" i="11"/>
  <c r="AQ926" i="11"/>
  <c r="AP926" i="11"/>
  <c r="AO926" i="11"/>
  <c r="AN926" i="11"/>
  <c r="AM926" i="11"/>
  <c r="AL926" i="11"/>
  <c r="AK926" i="11"/>
  <c r="AJ926" i="11"/>
  <c r="AI926" i="11"/>
  <c r="AH926" i="11"/>
  <c r="AG926" i="11"/>
  <c r="AF926" i="11"/>
  <c r="AE926" i="11"/>
  <c r="AD926" i="11"/>
  <c r="AC926" i="11"/>
  <c r="AB926" i="11"/>
  <c r="AA926" i="11"/>
  <c r="Z926" i="11"/>
  <c r="Y926" i="11"/>
  <c r="X926" i="11"/>
  <c r="CH925" i="11"/>
  <c r="CG925" i="11"/>
  <c r="CE925" i="11"/>
  <c r="AS925" i="11"/>
  <c r="CL924" i="11"/>
  <c r="CK924" i="11"/>
  <c r="CJ924" i="11"/>
  <c r="CI924" i="11"/>
  <c r="CB924" i="11"/>
  <c r="CA924" i="11"/>
  <c r="BZ924" i="11"/>
  <c r="BY924" i="11"/>
  <c r="BX924" i="11"/>
  <c r="BW924" i="11"/>
  <c r="BV924" i="11"/>
  <c r="BU924" i="11"/>
  <c r="BT924" i="11"/>
  <c r="BS924" i="11"/>
  <c r="BR924" i="11"/>
  <c r="BQ924" i="11"/>
  <c r="BP924" i="11"/>
  <c r="BO924" i="11"/>
  <c r="BN924" i="11"/>
  <c r="BM924" i="11"/>
  <c r="BL924" i="11"/>
  <c r="BK924" i="11"/>
  <c r="BJ924" i="11"/>
  <c r="BH924" i="11"/>
  <c r="BG924" i="11"/>
  <c r="BF924" i="11"/>
  <c r="BE924" i="11"/>
  <c r="BD924" i="11"/>
  <c r="BC924" i="11"/>
  <c r="BB924" i="11"/>
  <c r="BA924" i="11"/>
  <c r="AZ924" i="11"/>
  <c r="AY924" i="11"/>
  <c r="AX924" i="11"/>
  <c r="AW924" i="11"/>
  <c r="AT924" i="11"/>
  <c r="AQ924" i="11"/>
  <c r="AP924" i="11"/>
  <c r="AO924" i="11"/>
  <c r="AN924" i="11"/>
  <c r="AM924" i="11"/>
  <c r="AL924" i="11"/>
  <c r="AK924" i="11"/>
  <c r="AJ924" i="11"/>
  <c r="AI924" i="11"/>
  <c r="AH924" i="11"/>
  <c r="AG924" i="11"/>
  <c r="AF924" i="11"/>
  <c r="AE924" i="11"/>
  <c r="AD924" i="11"/>
  <c r="AC924" i="11"/>
  <c r="AB924" i="11"/>
  <c r="AA924" i="11"/>
  <c r="Z924" i="11"/>
  <c r="Y924" i="11"/>
  <c r="X924" i="11"/>
  <c r="W924" i="11"/>
  <c r="V924" i="11"/>
  <c r="U924" i="11"/>
  <c r="T924" i="11"/>
  <c r="S924" i="11"/>
  <c r="R924" i="11"/>
  <c r="Q924" i="11"/>
  <c r="P924" i="11"/>
  <c r="O924" i="11"/>
  <c r="N924" i="11"/>
  <c r="M924" i="11"/>
  <c r="L924" i="11"/>
  <c r="K924" i="11"/>
  <c r="J924" i="11"/>
  <c r="I924" i="11"/>
  <c r="H924" i="11"/>
  <c r="CH923" i="11"/>
  <c r="CG923" i="11"/>
  <c r="CE923" i="11"/>
  <c r="AS923" i="11"/>
  <c r="CH922" i="11"/>
  <c r="CG922" i="11"/>
  <c r="CE922" i="11"/>
  <c r="AS922" i="11"/>
  <c r="CH921" i="11"/>
  <c r="CG921" i="11"/>
  <c r="CE921" i="11"/>
  <c r="AS921" i="11"/>
  <c r="CH920" i="11"/>
  <c r="CG920" i="11"/>
  <c r="CE920" i="11"/>
  <c r="AS920" i="11"/>
  <c r="CH919" i="11"/>
  <c r="CG919" i="11"/>
  <c r="CE919" i="11"/>
  <c r="AS919" i="11"/>
  <c r="CH918" i="11"/>
  <c r="CG918" i="11"/>
  <c r="CE918" i="11"/>
  <c r="AS918" i="11"/>
  <c r="CH917" i="11"/>
  <c r="CG917" i="11"/>
  <c r="CE917" i="11"/>
  <c r="AS917" i="11"/>
  <c r="CH916" i="11"/>
  <c r="CG916" i="11"/>
  <c r="CE916" i="11"/>
  <c r="AS916" i="11"/>
  <c r="CH915" i="11"/>
  <c r="CG915" i="11"/>
  <c r="CE915" i="11"/>
  <c r="AS915" i="11"/>
  <c r="CH914" i="11"/>
  <c r="CG914" i="11"/>
  <c r="CE914" i="11"/>
  <c r="AS914" i="11"/>
  <c r="CH913" i="11"/>
  <c r="CG913" i="11"/>
  <c r="AV913" i="11"/>
  <c r="AU913" i="11"/>
  <c r="AS913" i="11"/>
  <c r="CH912" i="11"/>
  <c r="CG912" i="11"/>
  <c r="AU912" i="11"/>
  <c r="AV912" i="11" s="1"/>
  <c r="AS912" i="11"/>
  <c r="CH911" i="11"/>
  <c r="CG911" i="11"/>
  <c r="AU911" i="11"/>
  <c r="CE911" i="11" s="1"/>
  <c r="AS911" i="11"/>
  <c r="CH910" i="11"/>
  <c r="CG910" i="11"/>
  <c r="AU910" i="11"/>
  <c r="CE910" i="11" s="1"/>
  <c r="AS910" i="11"/>
  <c r="CH909" i="11"/>
  <c r="CG909" i="11"/>
  <c r="CE909" i="11"/>
  <c r="AS909" i="11"/>
  <c r="CH908" i="11"/>
  <c r="CG908" i="11"/>
  <c r="CE908" i="11"/>
  <c r="AS908" i="11"/>
  <c r="CH907" i="11"/>
  <c r="CG907" i="11"/>
  <c r="CE907" i="11"/>
  <c r="AS907" i="11"/>
  <c r="CH906" i="11"/>
  <c r="CG906" i="11"/>
  <c r="CE906" i="11"/>
  <c r="AS906" i="11"/>
  <c r="CH905" i="11"/>
  <c r="CG905" i="11"/>
  <c r="CE905" i="11"/>
  <c r="AS905" i="11"/>
  <c r="CH904" i="11"/>
  <c r="CG904" i="11"/>
  <c r="CE904" i="11"/>
  <c r="AS904" i="11"/>
  <c r="CH903" i="11"/>
  <c r="CG903" i="11"/>
  <c r="CE903" i="11"/>
  <c r="AS903" i="11"/>
  <c r="CH902" i="11"/>
  <c r="CG902" i="11"/>
  <c r="CE902" i="11"/>
  <c r="AS902" i="11"/>
  <c r="CH901" i="11"/>
  <c r="CG901" i="11"/>
  <c r="CE901" i="11"/>
  <c r="AS901" i="11"/>
  <c r="CH900" i="11"/>
  <c r="CG900" i="11"/>
  <c r="CE900" i="11"/>
  <c r="AS900" i="11"/>
  <c r="CH899" i="11"/>
  <c r="CG899" i="11"/>
  <c r="CE899" i="11"/>
  <c r="AS899" i="11"/>
  <c r="CH898" i="11"/>
  <c r="CG898" i="11"/>
  <c r="CE898" i="11"/>
  <c r="AS898" i="11"/>
  <c r="CH897" i="11"/>
  <c r="CG897" i="11"/>
  <c r="CE897" i="11"/>
  <c r="AS897" i="11"/>
  <c r="CH896" i="11"/>
  <c r="CG896" i="11"/>
  <c r="BI896" i="11"/>
  <c r="AU896" i="11"/>
  <c r="CE896" i="11" s="1"/>
  <c r="AS896" i="11"/>
  <c r="CH895" i="11"/>
  <c r="CG895" i="11"/>
  <c r="CE895" i="11"/>
  <c r="AS895" i="11"/>
  <c r="CH894" i="11"/>
  <c r="CG894" i="11"/>
  <c r="CE894" i="11"/>
  <c r="AS894" i="11"/>
  <c r="CH893" i="11"/>
  <c r="CG893" i="11"/>
  <c r="BI893" i="11"/>
  <c r="CE893" i="11" s="1"/>
  <c r="AS893" i="11"/>
  <c r="CH892" i="11"/>
  <c r="CG892" i="11"/>
  <c r="BI892" i="11"/>
  <c r="AU892" i="11"/>
  <c r="AS892" i="11"/>
  <c r="CH891" i="11"/>
  <c r="CG891" i="11"/>
  <c r="AU891" i="11"/>
  <c r="CE891" i="11" s="1"/>
  <c r="AS891" i="11"/>
  <c r="CH890" i="11"/>
  <c r="CG890" i="11"/>
  <c r="BI890" i="11"/>
  <c r="AU890" i="11"/>
  <c r="AS890" i="11"/>
  <c r="CH889" i="11"/>
  <c r="CG889" i="11"/>
  <c r="CE889" i="11"/>
  <c r="AS889" i="11"/>
  <c r="CH888" i="11"/>
  <c r="CG888" i="11"/>
  <c r="CE888" i="11"/>
  <c r="AS888" i="11"/>
  <c r="CH887" i="11"/>
  <c r="CG887" i="11"/>
  <c r="CE887" i="11"/>
  <c r="AS887" i="11"/>
  <c r="CH886" i="11"/>
  <c r="CG886" i="11"/>
  <c r="CE886" i="11"/>
  <c r="AS886" i="11"/>
  <c r="CH885" i="11"/>
  <c r="CG885" i="11"/>
  <c r="CE885" i="11"/>
  <c r="AS885" i="11"/>
  <c r="CH884" i="11"/>
  <c r="CG884" i="11"/>
  <c r="CE884" i="11"/>
  <c r="AS884" i="11"/>
  <c r="CH883" i="11"/>
  <c r="CG883" i="11"/>
  <c r="CE883" i="11"/>
  <c r="AS883" i="11"/>
  <c r="CH882" i="11"/>
  <c r="CG882" i="11"/>
  <c r="CE882" i="11"/>
  <c r="AS882" i="11"/>
  <c r="CH881" i="11"/>
  <c r="CG881" i="11"/>
  <c r="BI881" i="11"/>
  <c r="AU881" i="11"/>
  <c r="AS881" i="11"/>
  <c r="CH880" i="11"/>
  <c r="CG880" i="11"/>
  <c r="CE880" i="11"/>
  <c r="AS880" i="11"/>
  <c r="CH879" i="11"/>
  <c r="CG879" i="11"/>
  <c r="CE879" i="11"/>
  <c r="AS879" i="11"/>
  <c r="CH878" i="11"/>
  <c r="CG878" i="11"/>
  <c r="AU878" i="11"/>
  <c r="CE878" i="11" s="1"/>
  <c r="AS878" i="11"/>
  <c r="CH877" i="11"/>
  <c r="CG877" i="11"/>
  <c r="CE877" i="11"/>
  <c r="AS877" i="11"/>
  <c r="CH876" i="11"/>
  <c r="CG876" i="11"/>
  <c r="CE876" i="11"/>
  <c r="AS876" i="11"/>
  <c r="CH875" i="11"/>
  <c r="CG875" i="11"/>
  <c r="CC875" i="11"/>
  <c r="CC924" i="11" s="1"/>
  <c r="BI875" i="11"/>
  <c r="AU875" i="11"/>
  <c r="AS875" i="11"/>
  <c r="CH874" i="11"/>
  <c r="CG874" i="11"/>
  <c r="CE874" i="11"/>
  <c r="AS874" i="11"/>
  <c r="CH873" i="11"/>
  <c r="CG873" i="11"/>
  <c r="CE873" i="11"/>
  <c r="AS873" i="11"/>
  <c r="CH872" i="11"/>
  <c r="CG872" i="11"/>
  <c r="CE872" i="11"/>
  <c r="AS872" i="11"/>
  <c r="CH871" i="11"/>
  <c r="CG871" i="11"/>
  <c r="CE871" i="11"/>
  <c r="AS871" i="11"/>
  <c r="CH870" i="11"/>
  <c r="CG870" i="11"/>
  <c r="CE870" i="11"/>
  <c r="AS870" i="11"/>
  <c r="CH869" i="11"/>
  <c r="CG869" i="11"/>
  <c r="CE869" i="11"/>
  <c r="AS869" i="11"/>
  <c r="CH868" i="11"/>
  <c r="CG868" i="11"/>
  <c r="CE868" i="11"/>
  <c r="AS868" i="11"/>
  <c r="CS867" i="11"/>
  <c r="CR867" i="11"/>
  <c r="CQ867" i="11"/>
  <c r="CP867" i="11"/>
  <c r="CO867" i="11"/>
  <c r="CN867" i="11"/>
  <c r="CM867" i="11"/>
  <c r="CL867" i="11"/>
  <c r="CK867" i="11"/>
  <c r="CJ867" i="11"/>
  <c r="CI867" i="11"/>
  <c r="CC867" i="11"/>
  <c r="CB867" i="11"/>
  <c r="CA867" i="11"/>
  <c r="BZ867" i="11"/>
  <c r="BY867" i="11"/>
  <c r="BX867" i="11"/>
  <c r="BW867" i="11"/>
  <c r="BV867" i="11"/>
  <c r="BU867" i="11"/>
  <c r="BT867" i="11"/>
  <c r="BS867" i="11"/>
  <c r="BR867" i="11"/>
  <c r="BQ867" i="11"/>
  <c r="BP867" i="11"/>
  <c r="BO867" i="11"/>
  <c r="BN867" i="11"/>
  <c r="BM867" i="11"/>
  <c r="BL867" i="11"/>
  <c r="BK867" i="11"/>
  <c r="BJ867" i="11"/>
  <c r="BI867" i="11"/>
  <c r="BH867" i="11"/>
  <c r="BG867" i="11"/>
  <c r="BF867" i="11"/>
  <c r="BE867" i="11"/>
  <c r="BD867" i="11"/>
  <c r="BC867" i="11"/>
  <c r="BB867" i="11"/>
  <c r="BA867" i="11"/>
  <c r="AZ867" i="11"/>
  <c r="AY867" i="11"/>
  <c r="AX867" i="11"/>
  <c r="AW867" i="11"/>
  <c r="AT867" i="11"/>
  <c r="AQ867" i="11"/>
  <c r="AP867" i="11"/>
  <c r="AO867" i="11"/>
  <c r="AN867" i="11"/>
  <c r="AM867" i="11"/>
  <c r="AL867" i="11"/>
  <c r="AK867" i="11"/>
  <c r="AJ867" i="11"/>
  <c r="AI867" i="11"/>
  <c r="AH867" i="11"/>
  <c r="AG867" i="11"/>
  <c r="AF867" i="11"/>
  <c r="AE867" i="11"/>
  <c r="AD867" i="11"/>
  <c r="AC867" i="11"/>
  <c r="AB867" i="11"/>
  <c r="AA867" i="11"/>
  <c r="Z867" i="11"/>
  <c r="Y867" i="11"/>
  <c r="X867" i="11"/>
  <c r="W867" i="11"/>
  <c r="V867" i="11"/>
  <c r="U867" i="11"/>
  <c r="T867" i="11"/>
  <c r="S867" i="11"/>
  <c r="R867" i="11"/>
  <c r="Q867" i="11"/>
  <c r="P867" i="11"/>
  <c r="O867" i="11"/>
  <c r="N867" i="11"/>
  <c r="M867" i="11"/>
  <c r="L867" i="11"/>
  <c r="K867" i="11"/>
  <c r="J867" i="11"/>
  <c r="I867" i="11"/>
  <c r="H867" i="11"/>
  <c r="CH866" i="11"/>
  <c r="CG866" i="11"/>
  <c r="CE866" i="11"/>
  <c r="AS866" i="11"/>
  <c r="CH865" i="11"/>
  <c r="CG865" i="11"/>
  <c r="CE865" i="11"/>
  <c r="AS865" i="11"/>
  <c r="CH864" i="11"/>
  <c r="CG864" i="11"/>
  <c r="CE864" i="11"/>
  <c r="AS864" i="11"/>
  <c r="F864" i="11"/>
  <c r="F865" i="11" s="1"/>
  <c r="CH863" i="11"/>
  <c r="CG863" i="11"/>
  <c r="CE863" i="11"/>
  <c r="AS863" i="11"/>
  <c r="F863" i="11"/>
  <c r="CH862" i="11"/>
  <c r="CG862" i="11"/>
  <c r="CE862" i="11"/>
  <c r="AS862" i="11"/>
  <c r="CH861" i="11"/>
  <c r="CG861" i="11"/>
  <c r="CE861" i="11"/>
  <c r="AS861" i="11"/>
  <c r="CH860" i="11"/>
  <c r="CG860" i="11"/>
  <c r="CE860" i="11"/>
  <c r="AS860" i="11"/>
  <c r="CH859" i="11"/>
  <c r="CG859" i="11"/>
  <c r="CE859" i="11"/>
  <c r="AS859" i="11"/>
  <c r="CH858" i="11"/>
  <c r="CG858" i="11"/>
  <c r="CE858" i="11"/>
  <c r="AS858" i="11"/>
  <c r="CH857" i="11"/>
  <c r="CG857" i="11"/>
  <c r="CE857" i="11"/>
  <c r="AS857" i="11"/>
  <c r="CH856" i="11"/>
  <c r="CG856" i="11"/>
  <c r="CE856" i="11"/>
  <c r="AS856" i="11"/>
  <c r="CH855" i="11"/>
  <c r="CG855" i="11"/>
  <c r="CE855" i="11"/>
  <c r="AS855" i="11"/>
  <c r="CH854" i="11"/>
  <c r="CG854" i="11"/>
  <c r="CE854" i="11"/>
  <c r="AS854" i="11"/>
  <c r="CH853" i="11"/>
  <c r="CG853" i="11"/>
  <c r="CE853" i="11"/>
  <c r="AS853" i="11"/>
  <c r="CH852" i="11"/>
  <c r="CG852" i="11"/>
  <c r="CE852" i="11"/>
  <c r="AS852" i="11"/>
  <c r="CH851" i="11"/>
  <c r="CG851" i="11"/>
  <c r="CE851" i="11"/>
  <c r="AS851" i="11"/>
  <c r="CH850" i="11"/>
  <c r="CG850" i="11"/>
  <c r="CE850" i="11"/>
  <c r="AS850" i="11"/>
  <c r="CH849" i="11"/>
  <c r="CG849" i="11"/>
  <c r="CE849" i="11"/>
  <c r="AS849" i="11"/>
  <c r="CH848" i="11"/>
  <c r="CG848" i="11"/>
  <c r="CE848" i="11"/>
  <c r="AS848" i="11"/>
  <c r="CH847" i="11"/>
  <c r="CG847" i="11"/>
  <c r="CE847" i="11"/>
  <c r="AS847" i="11"/>
  <c r="CH846" i="11"/>
  <c r="CG846" i="11"/>
  <c r="CE846" i="11"/>
  <c r="AS846" i="11"/>
  <c r="CH845" i="11"/>
  <c r="CG845" i="11"/>
  <c r="CE845" i="11"/>
  <c r="AS845" i="11"/>
  <c r="CH844" i="11"/>
  <c r="CG844" i="11"/>
  <c r="CE844" i="11"/>
  <c r="AS844" i="11"/>
  <c r="CH843" i="11"/>
  <c r="CG843" i="11"/>
  <c r="CE843" i="11"/>
  <c r="AS843" i="11"/>
  <c r="CH842" i="11"/>
  <c r="CG842" i="11"/>
  <c r="CE842" i="11"/>
  <c r="AS842" i="11"/>
  <c r="CH841" i="11"/>
  <c r="CG841" i="11"/>
  <c r="CE841" i="11"/>
  <c r="AS841" i="11"/>
  <c r="CH840" i="11"/>
  <c r="CG840" i="11"/>
  <c r="CE840" i="11"/>
  <c r="AS840" i="11"/>
  <c r="CH839" i="11"/>
  <c r="CG839" i="11"/>
  <c r="CE839" i="11"/>
  <c r="AS839" i="11"/>
  <c r="CH838" i="11"/>
  <c r="CG838" i="11"/>
  <c r="CE838" i="11"/>
  <c r="AS838" i="11"/>
  <c r="CH837" i="11"/>
  <c r="CG837" i="11"/>
  <c r="CE837" i="11"/>
  <c r="AS837" i="11"/>
  <c r="CH836" i="11"/>
  <c r="CG836" i="11"/>
  <c r="CE836" i="11"/>
  <c r="AS836" i="11"/>
  <c r="CH835" i="11"/>
  <c r="CG835" i="11"/>
  <c r="CE835" i="11"/>
  <c r="AS835" i="11"/>
  <c r="CH834" i="11"/>
  <c r="CG834" i="11"/>
  <c r="CE834" i="11"/>
  <c r="AS834" i="11"/>
  <c r="CH833" i="11"/>
  <c r="CG833" i="11"/>
  <c r="CE833" i="11"/>
  <c r="AS833" i="11"/>
  <c r="CH832" i="11"/>
  <c r="CG832" i="11"/>
  <c r="CE832" i="11"/>
  <c r="AS832" i="11"/>
  <c r="CH831" i="11"/>
  <c r="CG831" i="11"/>
  <c r="CE831" i="11"/>
  <c r="AS831" i="11"/>
  <c r="CH830" i="11"/>
  <c r="CG830" i="11"/>
  <c r="CE830" i="11"/>
  <c r="AS830" i="11"/>
  <c r="CH829" i="11"/>
  <c r="CG829" i="11"/>
  <c r="CE829" i="11"/>
  <c r="AS829" i="11"/>
  <c r="CH828" i="11"/>
  <c r="CG828" i="11"/>
  <c r="CE828" i="11"/>
  <c r="AS828" i="11"/>
  <c r="CH827" i="11"/>
  <c r="CG827" i="11"/>
  <c r="CE827" i="11"/>
  <c r="AS827" i="11"/>
  <c r="CH826" i="11"/>
  <c r="CG826" i="11"/>
  <c r="CE826" i="11"/>
  <c r="AS826" i="11"/>
  <c r="CH825" i="11"/>
  <c r="CG825" i="11"/>
  <c r="CE825" i="11"/>
  <c r="AS825" i="11"/>
  <c r="CH824" i="11"/>
  <c r="CG824" i="11"/>
  <c r="CE824" i="11"/>
  <c r="AS824" i="11"/>
  <c r="CH823" i="11"/>
  <c r="CG823" i="11"/>
  <c r="CE823" i="11"/>
  <c r="AS823" i="11"/>
  <c r="CH822" i="11"/>
  <c r="CG822" i="11"/>
  <c r="CE822" i="11"/>
  <c r="AS822" i="11"/>
  <c r="CH821" i="11"/>
  <c r="CG821" i="11"/>
  <c r="CE821" i="11"/>
  <c r="AS821" i="11"/>
  <c r="CH820" i="11"/>
  <c r="CG820" i="11"/>
  <c r="CE820" i="11"/>
  <c r="AS820" i="11"/>
  <c r="CH819" i="11"/>
  <c r="CG819" i="11"/>
  <c r="CE819" i="11"/>
  <c r="AS819" i="11"/>
  <c r="CH818" i="11"/>
  <c r="CG818" i="11"/>
  <c r="CE818" i="11"/>
  <c r="AS818" i="11"/>
  <c r="CH817" i="11"/>
  <c r="CG817" i="11"/>
  <c r="CE817" i="11"/>
  <c r="AS817" i="11"/>
  <c r="CH816" i="11"/>
  <c r="CG816" i="11"/>
  <c r="CE816" i="11"/>
  <c r="AS816" i="11"/>
  <c r="CH815" i="11"/>
  <c r="CG815" i="11"/>
  <c r="CE815" i="11"/>
  <c r="AS815" i="11"/>
  <c r="CH814" i="11"/>
  <c r="CG814" i="11"/>
  <c r="CE814" i="11"/>
  <c r="AS814" i="11"/>
  <c r="CH813" i="11"/>
  <c r="CG813" i="11"/>
  <c r="CE813" i="11"/>
  <c r="AS813" i="11"/>
  <c r="CH812" i="11"/>
  <c r="CG812" i="11"/>
  <c r="CE812" i="11"/>
  <c r="AS812" i="11"/>
  <c r="CH811" i="11"/>
  <c r="CG811" i="11"/>
  <c r="CE811" i="11"/>
  <c r="AS811" i="11"/>
  <c r="CH810" i="11"/>
  <c r="CG810" i="11"/>
  <c r="CE810" i="11"/>
  <c r="AS810" i="11"/>
  <c r="CH809" i="11"/>
  <c r="CG809" i="11"/>
  <c r="CE809" i="11"/>
  <c r="AS809" i="11"/>
  <c r="CH808" i="11"/>
  <c r="CG808" i="11"/>
  <c r="CE808" i="11"/>
  <c r="AS808" i="11"/>
  <c r="CH807" i="11"/>
  <c r="CG807" i="11"/>
  <c r="CE807" i="11"/>
  <c r="AS807" i="11"/>
  <c r="CH806" i="11"/>
  <c r="CG806" i="11"/>
  <c r="CE806" i="11"/>
  <c r="AS806" i="11"/>
  <c r="CH805" i="11"/>
  <c r="CG805" i="11"/>
  <c r="CE805" i="11"/>
  <c r="AS805" i="11"/>
  <c r="CH804" i="11"/>
  <c r="CG804" i="11"/>
  <c r="CE804" i="11"/>
  <c r="AS804" i="11"/>
  <c r="CH803" i="11"/>
  <c r="CG803" i="11"/>
  <c r="CE803" i="11"/>
  <c r="AS803" i="11"/>
  <c r="CH802" i="11"/>
  <c r="CG802" i="11"/>
  <c r="CE802" i="11"/>
  <c r="AS802" i="11"/>
  <c r="CH801" i="11"/>
  <c r="CG801" i="11"/>
  <c r="CE801" i="11"/>
  <c r="AS801" i="11"/>
  <c r="CH800" i="11"/>
  <c r="CG800" i="11"/>
  <c r="CE800" i="11"/>
  <c r="AS800" i="11"/>
  <c r="CH799" i="11"/>
  <c r="CG799" i="11"/>
  <c r="CE799" i="11"/>
  <c r="AS799" i="11"/>
  <c r="CH798" i="11"/>
  <c r="CG798" i="11"/>
  <c r="CE798" i="11"/>
  <c r="AS798" i="11"/>
  <c r="CH797" i="11"/>
  <c r="CG797" i="11"/>
  <c r="CE797" i="11"/>
  <c r="AS797" i="11"/>
  <c r="CH796" i="11"/>
  <c r="CG796" i="11"/>
  <c r="CE796" i="11"/>
  <c r="AS796" i="11"/>
  <c r="CH795" i="11"/>
  <c r="CG795" i="11"/>
  <c r="CE795" i="11"/>
  <c r="AS795" i="11"/>
  <c r="CH794" i="11"/>
  <c r="CG794" i="11"/>
  <c r="CE794" i="11"/>
  <c r="AS794" i="11"/>
  <c r="CH793" i="11"/>
  <c r="CG793" i="11"/>
  <c r="CE793" i="11"/>
  <c r="AS793" i="11"/>
  <c r="CH792" i="11"/>
  <c r="CG792" i="11"/>
  <c r="CE792" i="11"/>
  <c r="AS792" i="11"/>
  <c r="CH791" i="11"/>
  <c r="CG791" i="11"/>
  <c r="CE791" i="11"/>
  <c r="AS791" i="11"/>
  <c r="CH790" i="11"/>
  <c r="CG790" i="11"/>
  <c r="CE790" i="11"/>
  <c r="AS790" i="11"/>
  <c r="CH789" i="11"/>
  <c r="CG789" i="11"/>
  <c r="CE789" i="11"/>
  <c r="AS789" i="11"/>
  <c r="CH788" i="11"/>
  <c r="CG788" i="11"/>
  <c r="CE788" i="11"/>
  <c r="AS788" i="11"/>
  <c r="CH787" i="11"/>
  <c r="CG787" i="11"/>
  <c r="CE787" i="11"/>
  <c r="AS787" i="11"/>
  <c r="CH786" i="11"/>
  <c r="CG786" i="11"/>
  <c r="CE786" i="11"/>
  <c r="AS786" i="11"/>
  <c r="CH785" i="11"/>
  <c r="CG785" i="11"/>
  <c r="CE785" i="11"/>
  <c r="AS785" i="11"/>
  <c r="CH784" i="11"/>
  <c r="CG784" i="11"/>
  <c r="CE784" i="11"/>
  <c r="AS784" i="11"/>
  <c r="CH783" i="11"/>
  <c r="CG783" i="11"/>
  <c r="CE783" i="11"/>
  <c r="AS783" i="11"/>
  <c r="CH782" i="11"/>
  <c r="CG782" i="11"/>
  <c r="CE782" i="11"/>
  <c r="AS782" i="11"/>
  <c r="CH781" i="11"/>
  <c r="CG781" i="11"/>
  <c r="CE781" i="11"/>
  <c r="AS781" i="11"/>
  <c r="CH780" i="11"/>
  <c r="CG780" i="11"/>
  <c r="CE780" i="11"/>
  <c r="AS780" i="11"/>
  <c r="CH779" i="11"/>
  <c r="CG779" i="11"/>
  <c r="CE779" i="11"/>
  <c r="AS779" i="11"/>
  <c r="CH778" i="11"/>
  <c r="CG778" i="11"/>
  <c r="CE778" i="11"/>
  <c r="AS778" i="11"/>
  <c r="CH777" i="11"/>
  <c r="CG777" i="11"/>
  <c r="CE777" i="11"/>
  <c r="AS777" i="11"/>
  <c r="CH776" i="11"/>
  <c r="CG776" i="11"/>
  <c r="CE776" i="11"/>
  <c r="AS776" i="11"/>
  <c r="CH775" i="11"/>
  <c r="CG775" i="11"/>
  <c r="CE775" i="11"/>
  <c r="AS775" i="11"/>
  <c r="CH774" i="11"/>
  <c r="CG774" i="11"/>
  <c r="CE774" i="11"/>
  <c r="AS774" i="11"/>
  <c r="CH773" i="11"/>
  <c r="CG773" i="11"/>
  <c r="CE773" i="11"/>
  <c r="AS773" i="11"/>
  <c r="CH772" i="11"/>
  <c r="CG772" i="11"/>
  <c r="CE772" i="11"/>
  <c r="AS772" i="11"/>
  <c r="CH771" i="11"/>
  <c r="CG771" i="11"/>
  <c r="CE771" i="11"/>
  <c r="AS771" i="11"/>
  <c r="CH770" i="11"/>
  <c r="CG770" i="11"/>
  <c r="CE770" i="11"/>
  <c r="AS770" i="11"/>
  <c r="CH769" i="11"/>
  <c r="CG769" i="11"/>
  <c r="CE769" i="11"/>
  <c r="AS769" i="11"/>
  <c r="CH768" i="11"/>
  <c r="CG768" i="11"/>
  <c r="CE768" i="11"/>
  <c r="AS768" i="11"/>
  <c r="CH767" i="11"/>
  <c r="CG767" i="11"/>
  <c r="CE767" i="11"/>
  <c r="AS767" i="11"/>
  <c r="CH766" i="11"/>
  <c r="CG766" i="11"/>
  <c r="CE766" i="11"/>
  <c r="AS766" i="11"/>
  <c r="CH765" i="11"/>
  <c r="CG765" i="11"/>
  <c r="CE765" i="11"/>
  <c r="AS765" i="11"/>
  <c r="CH764" i="11"/>
  <c r="CG764" i="11"/>
  <c r="CE764" i="11"/>
  <c r="AS764" i="11"/>
  <c r="CH763" i="11"/>
  <c r="CG763" i="11"/>
  <c r="CE763" i="11"/>
  <c r="AS763" i="11"/>
  <c r="CH762" i="11"/>
  <c r="CG762" i="11"/>
  <c r="CE762" i="11"/>
  <c r="AS762" i="11"/>
  <c r="CH761" i="11"/>
  <c r="CG761" i="11"/>
  <c r="CE761" i="11"/>
  <c r="AS761" i="11"/>
  <c r="CH760" i="11"/>
  <c r="CG760" i="11"/>
  <c r="CE760" i="11"/>
  <c r="AS760" i="11"/>
  <c r="CH759" i="11"/>
  <c r="CG759" i="11"/>
  <c r="CE759" i="11"/>
  <c r="AS759" i="11"/>
  <c r="CH758" i="11"/>
  <c r="CG758" i="11"/>
  <c r="CE758" i="11"/>
  <c r="AS758" i="11"/>
  <c r="CH757" i="11"/>
  <c r="CG757" i="11"/>
  <c r="CE757" i="11"/>
  <c r="AS757" i="11"/>
  <c r="CH756" i="11"/>
  <c r="CG756" i="11"/>
  <c r="CE756" i="11"/>
  <c r="AS756" i="11"/>
  <c r="CH755" i="11"/>
  <c r="CG755" i="11"/>
  <c r="AU755" i="11"/>
  <c r="CE755" i="11" s="1"/>
  <c r="AS755" i="11"/>
  <c r="CH754" i="11"/>
  <c r="CG754" i="11"/>
  <c r="CE754" i="11"/>
  <c r="AS754" i="11"/>
  <c r="CH753" i="11"/>
  <c r="CG753" i="11"/>
  <c r="CE753" i="11"/>
  <c r="AS753" i="11"/>
  <c r="CH752" i="11"/>
  <c r="CG752" i="11"/>
  <c r="CE752" i="11"/>
  <c r="AS752" i="11"/>
  <c r="CH751" i="11"/>
  <c r="CG751" i="11"/>
  <c r="AU751" i="11"/>
  <c r="CE751" i="11" s="1"/>
  <c r="AS751" i="11"/>
  <c r="CH750" i="11"/>
  <c r="CG750" i="11"/>
  <c r="CE750" i="11"/>
  <c r="AS750" i="11"/>
  <c r="CH749" i="11"/>
  <c r="CG749" i="11"/>
  <c r="CE749" i="11"/>
  <c r="AS749" i="11"/>
  <c r="CH748" i="11"/>
  <c r="CG748" i="11"/>
  <c r="CE748" i="11"/>
  <c r="AS748" i="11"/>
  <c r="CH747" i="11"/>
  <c r="CG747" i="11"/>
  <c r="CE747" i="11"/>
  <c r="AS747" i="11"/>
  <c r="CH746" i="11"/>
  <c r="CG746" i="11"/>
  <c r="CE746" i="11"/>
  <c r="AS746" i="11"/>
  <c r="CH745" i="11"/>
  <c r="CG745" i="11"/>
  <c r="AU745" i="11"/>
  <c r="CE745" i="11" s="1"/>
  <c r="AS745" i="11"/>
  <c r="CH744" i="11"/>
  <c r="CG744" i="11"/>
  <c r="CE744" i="11"/>
  <c r="AS744" i="11"/>
  <c r="CH743" i="11"/>
  <c r="CG743" i="11"/>
  <c r="CE743" i="11"/>
  <c r="AS743" i="11"/>
  <c r="CH742" i="11"/>
  <c r="CG742" i="11"/>
  <c r="CE742" i="11"/>
  <c r="AS742" i="11"/>
  <c r="CH741" i="11"/>
  <c r="CG741" i="11"/>
  <c r="CE741" i="11"/>
  <c r="AS741" i="11"/>
  <c r="CH740" i="11"/>
  <c r="CG740" i="11"/>
  <c r="CE740" i="11"/>
  <c r="AS740" i="11"/>
  <c r="CH739" i="11"/>
  <c r="CG739" i="11"/>
  <c r="CE739" i="11"/>
  <c r="AS739" i="11"/>
  <c r="CH738" i="11"/>
  <c r="CG738" i="11"/>
  <c r="CE738" i="11"/>
  <c r="AS738" i="11"/>
  <c r="CH737" i="11"/>
  <c r="CG737" i="11"/>
  <c r="CE737" i="11"/>
  <c r="AS737" i="11"/>
  <c r="CH736" i="11"/>
  <c r="CG736" i="11"/>
  <c r="CE736" i="11"/>
  <c r="AS736" i="11"/>
  <c r="CH735" i="11"/>
  <c r="CG735" i="11"/>
  <c r="AU735" i="11"/>
  <c r="CE735" i="11" s="1"/>
  <c r="AS735" i="11"/>
  <c r="CH734" i="11"/>
  <c r="CG734" i="11"/>
  <c r="AU734" i="11"/>
  <c r="CE734" i="11" s="1"/>
  <c r="AS734" i="11"/>
  <c r="CH733" i="11"/>
  <c r="CG733" i="11"/>
  <c r="CE733" i="11"/>
  <c r="AS733" i="11"/>
  <c r="CH732" i="11"/>
  <c r="CG732" i="11"/>
  <c r="CE732" i="11"/>
  <c r="AS732" i="11"/>
  <c r="CH731" i="11"/>
  <c r="CG731" i="11"/>
  <c r="CE731" i="11"/>
  <c r="AS731" i="11"/>
  <c r="CH730" i="11"/>
  <c r="CG730" i="11"/>
  <c r="CE730" i="11"/>
  <c r="AS730" i="11"/>
  <c r="CH729" i="11"/>
  <c r="CG729" i="11"/>
  <c r="CE729" i="11"/>
  <c r="AS729" i="11"/>
  <c r="CH728" i="11"/>
  <c r="CG728" i="11"/>
  <c r="AU728" i="11"/>
  <c r="AV728" i="11" s="1"/>
  <c r="AS728" i="11"/>
  <c r="CH727" i="11"/>
  <c r="CG727" i="11"/>
  <c r="CE727" i="11"/>
  <c r="AS727" i="11"/>
  <c r="CH726" i="11"/>
  <c r="CG726" i="11"/>
  <c r="CE726" i="11"/>
  <c r="AS726" i="11"/>
  <c r="CH725" i="11"/>
  <c r="CG725" i="11"/>
  <c r="CE725" i="11"/>
  <c r="AS725" i="11"/>
  <c r="F725" i="11"/>
  <c r="F726" i="11" s="1"/>
  <c r="F727" i="11" s="1"/>
  <c r="F728" i="11" s="1"/>
  <c r="F729" i="11" s="1"/>
  <c r="CH724" i="11"/>
  <c r="CG724" i="11"/>
  <c r="CE724" i="11"/>
  <c r="AS724" i="11"/>
  <c r="CH723" i="11"/>
  <c r="CG723" i="11"/>
  <c r="CE723" i="11"/>
  <c r="AS723" i="11"/>
  <c r="CH722" i="11"/>
  <c r="CG722" i="11"/>
  <c r="CE722" i="11"/>
  <c r="AS722" i="11"/>
  <c r="CH721" i="11"/>
  <c r="CG721" i="11"/>
  <c r="AU721" i="11"/>
  <c r="AS721" i="11"/>
  <c r="CH720" i="11"/>
  <c r="CG720" i="11"/>
  <c r="CE720" i="11"/>
  <c r="AS720" i="11"/>
  <c r="CH719" i="11"/>
  <c r="CG719" i="11"/>
  <c r="CE719" i="11"/>
  <c r="AS719" i="11"/>
  <c r="CH718" i="11"/>
  <c r="CG718" i="11"/>
  <c r="CE718" i="11"/>
  <c r="AS718" i="11"/>
  <c r="CH717" i="11"/>
  <c r="CG717" i="11"/>
  <c r="CE717" i="11"/>
  <c r="AS717" i="11"/>
  <c r="CH716" i="11"/>
  <c r="CG716" i="11"/>
  <c r="CE716" i="11"/>
  <c r="AS716" i="11"/>
  <c r="CH715" i="11"/>
  <c r="CG715" i="11"/>
  <c r="CE715" i="11"/>
  <c r="AS715" i="11"/>
  <c r="CH714" i="11"/>
  <c r="CG714" i="11"/>
  <c r="CE714" i="11"/>
  <c r="AS714" i="11"/>
  <c r="CH713" i="11"/>
  <c r="CG713" i="11"/>
  <c r="CE713" i="11"/>
  <c r="AS713" i="11"/>
  <c r="CH712" i="11"/>
  <c r="CG712" i="11"/>
  <c r="CE712" i="11"/>
  <c r="AS712" i="11"/>
  <c r="CH711" i="11"/>
  <c r="CG711" i="11"/>
  <c r="CE711" i="11"/>
  <c r="AS711" i="11"/>
  <c r="CH710" i="11"/>
  <c r="CG710" i="11"/>
  <c r="CE710" i="11"/>
  <c r="AS710" i="11"/>
  <c r="CH709" i="11"/>
  <c r="CG709" i="11"/>
  <c r="CE709" i="11"/>
  <c r="AS709" i="11"/>
  <c r="CH708" i="11"/>
  <c r="CG708" i="11"/>
  <c r="CE708" i="11"/>
  <c r="AS708" i="11"/>
  <c r="CH707" i="11"/>
  <c r="CG707" i="11"/>
  <c r="CE707" i="11"/>
  <c r="AS707" i="11"/>
  <c r="CH706" i="11"/>
  <c r="CG706" i="11"/>
  <c r="AV706" i="11"/>
  <c r="AU706" i="11"/>
  <c r="CE706" i="11" s="1"/>
  <c r="AS706" i="11"/>
  <c r="F706" i="11"/>
  <c r="F707" i="11" s="1"/>
  <c r="CH705" i="11"/>
  <c r="CG705" i="11"/>
  <c r="CE705" i="11"/>
  <c r="AS705" i="11"/>
  <c r="CH704" i="11"/>
  <c r="CG704" i="11"/>
  <c r="AV704" i="11"/>
  <c r="AU704" i="11"/>
  <c r="AS704" i="11"/>
  <c r="CH703" i="11"/>
  <c r="CG703" i="11"/>
  <c r="CE703" i="11"/>
  <c r="AS703" i="11"/>
  <c r="CH702" i="11"/>
  <c r="CG702" i="11"/>
  <c r="CE702" i="11"/>
  <c r="AS702" i="11"/>
  <c r="CH701" i="11"/>
  <c r="CG701" i="11"/>
  <c r="CE701" i="11"/>
  <c r="AS701" i="11"/>
  <c r="CH700" i="11"/>
  <c r="CG700" i="11"/>
  <c r="CE700" i="11"/>
  <c r="AS700" i="11"/>
  <c r="CH699" i="11"/>
  <c r="CG699" i="11"/>
  <c r="CE699" i="11"/>
  <c r="AS699" i="11"/>
  <c r="CH698" i="11"/>
  <c r="CG698" i="11"/>
  <c r="CE698" i="11"/>
  <c r="AS698" i="11"/>
  <c r="CH697" i="11"/>
  <c r="CG697" i="11"/>
  <c r="CE697" i="11"/>
  <c r="AS697" i="11"/>
  <c r="CH696" i="11"/>
  <c r="CG696" i="11"/>
  <c r="CE696" i="11"/>
  <c r="AS696" i="11"/>
  <c r="F696" i="11"/>
  <c r="F704" i="11" s="1"/>
  <c r="CH695" i="11"/>
  <c r="CG695" i="11"/>
  <c r="CE695" i="11"/>
  <c r="AS695" i="11"/>
  <c r="CH694" i="11"/>
  <c r="CG694" i="11"/>
  <c r="CE694" i="11"/>
  <c r="AS694" i="11"/>
  <c r="CH693" i="11"/>
  <c r="CG693" i="11"/>
  <c r="CE693" i="11"/>
  <c r="AS693" i="11"/>
  <c r="CH692" i="11"/>
  <c r="CG692" i="11"/>
  <c r="CE692" i="11"/>
  <c r="AS692" i="11"/>
  <c r="CH691" i="11"/>
  <c r="CG691" i="11"/>
  <c r="CE691" i="11"/>
  <c r="AS691" i="11"/>
  <c r="CH690" i="11"/>
  <c r="CG690" i="11"/>
  <c r="CE690" i="11"/>
  <c r="AS690" i="11"/>
  <c r="CH689" i="11"/>
  <c r="CG689" i="11"/>
  <c r="CE689" i="11"/>
  <c r="AS689" i="11"/>
  <c r="CH688" i="11"/>
  <c r="CG688" i="11"/>
  <c r="CE688" i="11"/>
  <c r="AS688" i="11"/>
  <c r="CH687" i="11"/>
  <c r="CG687" i="11"/>
  <c r="CE687" i="11"/>
  <c r="AS687" i="11"/>
  <c r="F687" i="11"/>
  <c r="F688" i="11" s="1"/>
  <c r="F689" i="11" s="1"/>
  <c r="F719" i="11" s="1"/>
  <c r="F720" i="11" s="1"/>
  <c r="F721" i="11" s="1"/>
  <c r="F722" i="11" s="1"/>
  <c r="CH686" i="11"/>
  <c r="CG686" i="11"/>
  <c r="AV686" i="11"/>
  <c r="CE686" i="11" s="1"/>
  <c r="AU686" i="11"/>
  <c r="AS686" i="11"/>
  <c r="CH685" i="11"/>
  <c r="CG685" i="11"/>
  <c r="CE685" i="11"/>
  <c r="AS685" i="11"/>
  <c r="CH684" i="11"/>
  <c r="CG684" i="11"/>
  <c r="CE684" i="11"/>
  <c r="AS684" i="11"/>
  <c r="CH683" i="11"/>
  <c r="CG683" i="11"/>
  <c r="CE683" i="11"/>
  <c r="AS683" i="11"/>
  <c r="CH682" i="11"/>
  <c r="CG682" i="11"/>
  <c r="AU682" i="11"/>
  <c r="AV682" i="11" s="1"/>
  <c r="AS682" i="11"/>
  <c r="CH681" i="11"/>
  <c r="CG681" i="11"/>
  <c r="CE681" i="11"/>
  <c r="AS681" i="11"/>
  <c r="CH680" i="11"/>
  <c r="CG680" i="11"/>
  <c r="CE680" i="11"/>
  <c r="AS680" i="11"/>
  <c r="CH679" i="11"/>
  <c r="CG679" i="11"/>
  <c r="CE679" i="11"/>
  <c r="AS679" i="11"/>
  <c r="F679" i="11"/>
  <c r="CH678" i="11"/>
  <c r="CG678" i="11"/>
  <c r="CE678" i="11"/>
  <c r="AS678" i="11"/>
  <c r="CH677" i="11"/>
  <c r="CG677" i="11"/>
  <c r="CE677" i="11"/>
  <c r="AS677" i="11"/>
  <c r="CH676" i="11"/>
  <c r="CG676" i="11"/>
  <c r="CE676" i="11"/>
  <c r="AS676" i="11"/>
  <c r="CH675" i="11"/>
  <c r="CG675" i="11"/>
  <c r="CE675" i="11"/>
  <c r="AS675" i="11"/>
  <c r="CH674" i="11"/>
  <c r="CG674" i="11"/>
  <c r="CE674" i="11"/>
  <c r="AS674" i="11"/>
  <c r="CH673" i="11"/>
  <c r="CG673" i="11"/>
  <c r="CE673" i="11"/>
  <c r="AS673" i="11"/>
  <c r="CH672" i="11"/>
  <c r="CG672" i="11"/>
  <c r="CE672" i="11"/>
  <c r="AS672" i="11"/>
  <c r="CH671" i="11"/>
  <c r="CG671" i="11"/>
  <c r="CE671" i="11"/>
  <c r="AS671" i="11"/>
  <c r="CH670" i="11"/>
  <c r="CG670" i="11"/>
  <c r="CE670" i="11"/>
  <c r="AS670" i="11"/>
  <c r="F670" i="11"/>
  <c r="F671" i="11" s="1"/>
  <c r="F672" i="11" s="1"/>
  <c r="F673" i="11" s="1"/>
  <c r="F674" i="11" s="1"/>
  <c r="F675" i="11" s="1"/>
  <c r="F676" i="11" s="1"/>
  <c r="F705" i="11" s="1"/>
  <c r="CH669" i="11"/>
  <c r="CG669" i="11"/>
  <c r="CE669" i="11"/>
  <c r="AS669" i="11"/>
  <c r="CH668" i="11"/>
  <c r="CG668" i="11"/>
  <c r="AU668" i="11"/>
  <c r="AS668" i="11"/>
  <c r="CH667" i="11"/>
  <c r="CG667" i="11"/>
  <c r="CE667" i="11"/>
  <c r="AS667" i="11"/>
  <c r="CH666" i="11"/>
  <c r="CG666" i="11"/>
  <c r="CE666" i="11"/>
  <c r="AS666" i="11"/>
  <c r="CH665" i="11"/>
  <c r="CG665" i="11"/>
  <c r="CE665" i="11"/>
  <c r="AS665" i="11"/>
  <c r="CH664" i="11"/>
  <c r="CG664" i="11"/>
  <c r="CE664" i="11"/>
  <c r="AS664" i="11"/>
  <c r="CH663" i="11"/>
  <c r="CG663" i="11"/>
  <c r="CE663" i="11"/>
  <c r="AS663" i="11"/>
  <c r="CH662" i="11"/>
  <c r="CG662" i="11"/>
  <c r="CE662" i="11"/>
  <c r="AS662" i="11"/>
  <c r="CH661" i="11"/>
  <c r="CG661" i="11"/>
  <c r="CE661" i="11"/>
  <c r="AS661" i="11"/>
  <c r="CH660" i="11"/>
  <c r="CG660" i="11"/>
  <c r="CE660" i="11"/>
  <c r="AS660" i="11"/>
  <c r="CH659" i="11"/>
  <c r="CG659" i="11"/>
  <c r="CE659" i="11"/>
  <c r="AS659" i="11"/>
  <c r="CH658" i="11"/>
  <c r="CG658" i="11"/>
  <c r="CE658" i="11"/>
  <c r="AU658" i="11"/>
  <c r="AS658" i="11"/>
  <c r="CH657" i="11"/>
  <c r="CG657" i="11"/>
  <c r="CE657" i="11"/>
  <c r="AS657" i="11"/>
  <c r="CH656" i="11"/>
  <c r="CG656" i="11"/>
  <c r="AU656" i="11"/>
  <c r="CE656" i="11" s="1"/>
  <c r="AS656" i="11"/>
  <c r="CH655" i="11"/>
  <c r="CG655" i="11"/>
  <c r="CE655" i="11"/>
  <c r="AS655" i="11"/>
  <c r="CH654" i="11"/>
  <c r="CG654" i="11"/>
  <c r="AU654" i="11"/>
  <c r="CE654" i="11" s="1"/>
  <c r="AS654" i="11"/>
  <c r="CH653" i="11"/>
  <c r="CG653" i="11"/>
  <c r="CE653" i="11"/>
  <c r="AS653" i="11"/>
  <c r="CH652" i="11"/>
  <c r="CG652" i="11"/>
  <c r="CE652" i="11"/>
  <c r="AS652" i="11"/>
  <c r="CH651" i="11"/>
  <c r="CG651" i="11"/>
  <c r="CE651" i="11"/>
  <c r="AS651" i="11"/>
  <c r="CH650" i="11"/>
  <c r="CG650" i="11"/>
  <c r="CE650" i="11"/>
  <c r="AS650" i="11"/>
  <c r="CH649" i="11"/>
  <c r="CG649" i="11"/>
  <c r="CE649" i="11"/>
  <c r="AS649" i="11"/>
  <c r="CH648" i="11"/>
  <c r="CG648" i="11"/>
  <c r="CE648" i="11"/>
  <c r="AS648" i="11"/>
  <c r="CH647" i="11"/>
  <c r="CG647" i="11"/>
  <c r="CE647" i="11"/>
  <c r="AS647" i="11"/>
  <c r="CH646" i="11"/>
  <c r="CG646" i="11"/>
  <c r="CE646" i="11"/>
  <c r="AS646" i="11"/>
  <c r="CH645" i="11"/>
  <c r="CG645" i="11"/>
  <c r="CE645" i="11"/>
  <c r="AS645" i="11"/>
  <c r="CH644" i="11"/>
  <c r="CG644" i="11"/>
  <c r="CE644" i="11"/>
  <c r="AS644" i="11"/>
  <c r="CH643" i="11"/>
  <c r="CG643" i="11"/>
  <c r="CE643" i="11"/>
  <c r="AS643" i="11"/>
  <c r="CH642" i="11"/>
  <c r="CG642" i="11"/>
  <c r="CE642" i="11"/>
  <c r="AS642" i="11"/>
  <c r="CH641" i="11"/>
  <c r="CG641" i="11"/>
  <c r="CE641" i="11"/>
  <c r="AS641" i="11"/>
  <c r="CH640" i="11"/>
  <c r="CG640" i="11"/>
  <c r="CE640" i="11"/>
  <c r="AS640" i="11"/>
  <c r="CH639" i="11"/>
  <c r="CG639" i="11"/>
  <c r="CE639" i="11"/>
  <c r="AS639" i="11"/>
  <c r="CH638" i="11"/>
  <c r="CG638" i="11"/>
  <c r="CE638" i="11"/>
  <c r="AS638" i="11"/>
  <c r="CH637" i="11"/>
  <c r="CG637" i="11"/>
  <c r="CE637" i="11"/>
  <c r="AS637" i="11"/>
  <c r="CH636" i="11"/>
  <c r="CG636" i="11"/>
  <c r="AU636" i="11"/>
  <c r="CE636" i="11" s="1"/>
  <c r="AS636" i="11"/>
  <c r="CH635" i="11"/>
  <c r="CG635" i="11"/>
  <c r="AU635" i="11"/>
  <c r="AV635" i="11" s="1"/>
  <c r="AS635" i="11"/>
  <c r="CH634" i="11"/>
  <c r="CG634" i="11"/>
  <c r="CE634" i="11"/>
  <c r="AU634" i="11"/>
  <c r="AS634" i="11"/>
  <c r="CH633" i="11"/>
  <c r="CG633" i="11"/>
  <c r="CE633" i="11"/>
  <c r="AS633" i="11"/>
  <c r="CH632" i="11"/>
  <c r="CG632" i="11"/>
  <c r="CE632" i="11"/>
  <c r="AS632" i="11"/>
  <c r="CH631" i="11"/>
  <c r="CG631" i="11"/>
  <c r="CE631" i="11"/>
  <c r="AS631" i="11"/>
  <c r="CH630" i="11"/>
  <c r="CG630" i="11"/>
  <c r="CE630" i="11"/>
  <c r="AS630" i="11"/>
  <c r="CH629" i="11"/>
  <c r="CG629" i="11"/>
  <c r="CE629" i="11"/>
  <c r="AS629" i="11"/>
  <c r="CH628" i="11"/>
  <c r="CG628" i="11"/>
  <c r="CE628" i="11"/>
  <c r="AS628" i="11"/>
  <c r="CH627" i="11"/>
  <c r="CG627" i="11"/>
  <c r="CE627" i="11"/>
  <c r="AS627" i="11"/>
  <c r="CH626" i="11"/>
  <c r="CG626" i="11"/>
  <c r="CE626" i="11"/>
  <c r="AS626" i="11"/>
  <c r="CH625" i="11"/>
  <c r="CG625" i="11"/>
  <c r="CE625" i="11"/>
  <c r="AS625" i="11"/>
  <c r="CH624" i="11"/>
  <c r="CG624" i="11"/>
  <c r="AU624" i="11"/>
  <c r="CE624" i="11" s="1"/>
  <c r="AS624" i="11"/>
  <c r="CH623" i="11"/>
  <c r="CG623" i="11"/>
  <c r="AU623" i="11"/>
  <c r="CE623" i="11" s="1"/>
  <c r="AS623" i="11"/>
  <c r="CO622" i="11"/>
  <c r="CO621" i="11" s="1"/>
  <c r="CN622" i="11"/>
  <c r="CN621" i="11" s="1"/>
  <c r="CM622" i="11"/>
  <c r="CL622" i="11"/>
  <c r="CK622" i="11"/>
  <c r="CK621" i="11" s="1"/>
  <c r="CJ622" i="11"/>
  <c r="CJ621" i="11" s="1"/>
  <c r="CI622" i="11"/>
  <c r="CI621" i="11" s="1"/>
  <c r="CH622" i="11"/>
  <c r="CD622" i="11"/>
  <c r="CD621" i="11" s="1"/>
  <c r="CC622" i="11"/>
  <c r="CC621" i="11" s="1"/>
  <c r="CB622" i="11"/>
  <c r="CB621" i="11" s="1"/>
  <c r="CA622" i="11"/>
  <c r="CA621" i="11" s="1"/>
  <c r="BZ622" i="11"/>
  <c r="BZ621" i="11" s="1"/>
  <c r="BY622" i="11"/>
  <c r="BY621" i="11" s="1"/>
  <c r="BX622" i="11"/>
  <c r="BX621" i="11" s="1"/>
  <c r="BW622" i="11"/>
  <c r="BW621" i="11" s="1"/>
  <c r="BV622" i="11"/>
  <c r="BV621" i="11" s="1"/>
  <c r="BU622" i="11"/>
  <c r="BU621" i="11" s="1"/>
  <c r="BT622" i="11"/>
  <c r="BT621" i="11" s="1"/>
  <c r="BS622" i="11"/>
  <c r="BS621" i="11" s="1"/>
  <c r="BR622" i="11"/>
  <c r="BR621" i="11" s="1"/>
  <c r="BQ622" i="11"/>
  <c r="BQ621" i="11" s="1"/>
  <c r="BP622" i="11"/>
  <c r="BP621" i="11" s="1"/>
  <c r="BO622" i="11"/>
  <c r="BO621" i="11" s="1"/>
  <c r="BN622" i="11"/>
  <c r="BN621" i="11" s="1"/>
  <c r="BM622" i="11"/>
  <c r="BL622" i="11"/>
  <c r="BL621" i="11" s="1"/>
  <c r="BK622" i="11"/>
  <c r="BK621" i="11" s="1"/>
  <c r="BJ622" i="11"/>
  <c r="BJ621" i="11" s="1"/>
  <c r="BI622" i="11"/>
  <c r="BH622" i="11"/>
  <c r="BH621" i="11" s="1"/>
  <c r="BG622" i="11"/>
  <c r="BG621" i="11" s="1"/>
  <c r="BF622" i="11"/>
  <c r="BF621" i="11" s="1"/>
  <c r="BE622" i="11"/>
  <c r="BE621" i="11" s="1"/>
  <c r="BD622" i="11"/>
  <c r="BD621" i="11" s="1"/>
  <c r="BC622" i="11"/>
  <c r="BC621" i="11" s="1"/>
  <c r="BB622" i="11"/>
  <c r="BB621" i="11" s="1"/>
  <c r="BA622" i="11"/>
  <c r="BA621" i="11" s="1"/>
  <c r="AZ622" i="11"/>
  <c r="AZ621" i="11" s="1"/>
  <c r="AY622" i="11"/>
  <c r="AY621" i="11" s="1"/>
  <c r="AX622" i="11"/>
  <c r="AX621" i="11" s="1"/>
  <c r="AW622" i="11"/>
  <c r="AW621" i="11" s="1"/>
  <c r="AV622" i="11"/>
  <c r="AV621" i="11" s="1"/>
  <c r="AU622" i="11"/>
  <c r="AT622" i="11"/>
  <c r="AT621" i="11" s="1"/>
  <c r="AR622" i="11"/>
  <c r="AR621" i="11" s="1"/>
  <c r="AQ622" i="11"/>
  <c r="AQ621" i="11" s="1"/>
  <c r="AP622" i="11"/>
  <c r="AP621" i="11" s="1"/>
  <c r="AO622" i="11"/>
  <c r="AO621" i="11" s="1"/>
  <c r="AN622" i="11"/>
  <c r="AN621" i="11" s="1"/>
  <c r="AM622" i="11"/>
  <c r="AM621" i="11" s="1"/>
  <c r="AL622" i="11"/>
  <c r="AL621" i="11" s="1"/>
  <c r="AK622" i="11"/>
  <c r="AK621" i="11" s="1"/>
  <c r="AJ622" i="11"/>
  <c r="AJ621" i="11" s="1"/>
  <c r="AI622" i="11"/>
  <c r="AI621" i="11" s="1"/>
  <c r="AH622" i="11"/>
  <c r="AH621" i="11" s="1"/>
  <c r="AG622" i="11"/>
  <c r="AG621" i="11" s="1"/>
  <c r="AF622" i="11"/>
  <c r="AF621" i="11" s="1"/>
  <c r="AE622" i="11"/>
  <c r="AE621" i="11" s="1"/>
  <c r="AD622" i="11"/>
  <c r="AD621" i="11" s="1"/>
  <c r="AC622" i="11"/>
  <c r="AC621" i="11" s="1"/>
  <c r="AB622" i="11"/>
  <c r="AB621" i="11" s="1"/>
  <c r="AA622" i="11"/>
  <c r="AA621" i="11" s="1"/>
  <c r="Z622" i="11"/>
  <c r="Z621" i="11" s="1"/>
  <c r="Y622" i="11"/>
  <c r="Y621" i="11" s="1"/>
  <c r="X622" i="11"/>
  <c r="X621" i="11" s="1"/>
  <c r="W622" i="11"/>
  <c r="W621" i="11" s="1"/>
  <c r="V622" i="11"/>
  <c r="V621" i="11" s="1"/>
  <c r="U622" i="11"/>
  <c r="U621" i="11" s="1"/>
  <c r="T622" i="11"/>
  <c r="T621" i="11" s="1"/>
  <c r="S622" i="11"/>
  <c r="S621" i="11" s="1"/>
  <c r="R622" i="11"/>
  <c r="R621" i="11" s="1"/>
  <c r="Q622" i="11"/>
  <c r="Q621" i="11" s="1"/>
  <c r="P622" i="11"/>
  <c r="P621" i="11" s="1"/>
  <c r="O622" i="11"/>
  <c r="O621" i="11" s="1"/>
  <c r="N622" i="11"/>
  <c r="N621" i="11" s="1"/>
  <c r="M622" i="11"/>
  <c r="M621" i="11" s="1"/>
  <c r="L622" i="11"/>
  <c r="L621" i="11" s="1"/>
  <c r="K622" i="11"/>
  <c r="K621" i="11" s="1"/>
  <c r="J622" i="11"/>
  <c r="J621" i="11" s="1"/>
  <c r="I622" i="11"/>
  <c r="I621" i="11" s="1"/>
  <c r="H622" i="11"/>
  <c r="H621" i="11" s="1"/>
  <c r="CM621" i="11"/>
  <c r="CL621" i="11"/>
  <c r="BM621" i="11"/>
  <c r="CH620" i="11"/>
  <c r="CG620" i="11"/>
  <c r="CE620" i="11"/>
  <c r="AS620" i="11"/>
  <c r="CH619" i="11"/>
  <c r="CG619" i="11"/>
  <c r="CE619" i="11"/>
  <c r="AS619" i="11"/>
  <c r="CH618" i="11"/>
  <c r="CG618" i="11"/>
  <c r="AU618" i="11"/>
  <c r="CE618" i="11" s="1"/>
  <c r="AS618" i="11"/>
  <c r="CH617" i="11"/>
  <c r="CG617" i="11"/>
  <c r="CE617" i="11"/>
  <c r="AS617" i="11"/>
  <c r="CH616" i="11"/>
  <c r="CG616" i="11"/>
  <c r="CE616" i="11"/>
  <c r="AS616" i="11"/>
  <c r="CH615" i="11"/>
  <c r="CG615" i="11"/>
  <c r="CE615" i="11"/>
  <c r="AS615" i="11"/>
  <c r="CH614" i="11"/>
  <c r="CG614" i="11"/>
  <c r="CE614" i="11"/>
  <c r="AS614" i="11"/>
  <c r="CH613" i="11"/>
  <c r="CG613" i="11"/>
  <c r="CE613" i="11"/>
  <c r="AS613" i="11"/>
  <c r="CH612" i="11"/>
  <c r="CG612" i="11"/>
  <c r="CE612" i="11"/>
  <c r="AU612" i="11"/>
  <c r="AS612" i="11"/>
  <c r="CH611" i="11"/>
  <c r="CG611" i="11"/>
  <c r="CE611" i="11"/>
  <c r="AS611" i="11"/>
  <c r="CH610" i="11"/>
  <c r="CG610" i="11"/>
  <c r="CE610" i="11"/>
  <c r="AS610" i="11"/>
  <c r="CH609" i="11"/>
  <c r="CG609" i="11"/>
  <c r="CE609" i="11"/>
  <c r="AS609" i="11"/>
  <c r="CH608" i="11"/>
  <c r="CG608" i="11"/>
  <c r="CE608" i="11"/>
  <c r="AS608" i="11"/>
  <c r="CH607" i="11"/>
  <c r="CG607" i="11"/>
  <c r="CE607" i="11"/>
  <c r="AS607" i="11"/>
  <c r="CH606" i="11"/>
  <c r="CG606" i="11"/>
  <c r="AU606" i="11"/>
  <c r="CE606" i="11" s="1"/>
  <c r="AS606" i="11"/>
  <c r="CH605" i="11"/>
  <c r="CG605" i="11"/>
  <c r="CE605" i="11"/>
  <c r="AS605" i="11"/>
  <c r="CH604" i="11"/>
  <c r="CG604" i="11"/>
  <c r="CE604" i="11"/>
  <c r="AS604" i="11"/>
  <c r="CH603" i="11"/>
  <c r="CG603" i="11"/>
  <c r="CE603" i="11"/>
  <c r="AS603" i="11"/>
  <c r="CH602" i="11"/>
  <c r="CG602" i="11"/>
  <c r="CE602" i="11"/>
  <c r="AS602" i="11"/>
  <c r="CH601" i="11"/>
  <c r="CG601" i="11"/>
  <c r="CE601" i="11"/>
  <c r="AS601" i="11"/>
  <c r="CH600" i="11"/>
  <c r="CG600" i="11"/>
  <c r="CE600" i="11"/>
  <c r="AS600" i="11"/>
  <c r="CH599" i="11"/>
  <c r="CG599" i="11"/>
  <c r="CE599" i="11"/>
  <c r="AS599" i="11"/>
  <c r="CH598" i="11"/>
  <c r="CG598" i="11"/>
  <c r="CE598" i="11"/>
  <c r="AS598" i="11"/>
  <c r="CH597" i="11"/>
  <c r="CG597" i="11"/>
  <c r="CE597" i="11"/>
  <c r="AS597" i="11"/>
  <c r="F597" i="11"/>
  <c r="F598" i="11" s="1"/>
  <c r="CH596" i="11"/>
  <c r="CG596" i="11"/>
  <c r="AU596" i="11"/>
  <c r="CE596" i="11" s="1"/>
  <c r="AS596" i="11"/>
  <c r="CH595" i="11"/>
  <c r="CG595" i="11"/>
  <c r="CE595" i="11"/>
  <c r="AS595" i="11"/>
  <c r="CH594" i="11"/>
  <c r="CG594" i="11"/>
  <c r="CE594" i="11"/>
  <c r="AS594" i="11"/>
  <c r="CH593" i="11"/>
  <c r="CG593" i="11"/>
  <c r="CE593" i="11"/>
  <c r="AS593" i="11"/>
  <c r="CH592" i="11"/>
  <c r="CG592" i="11"/>
  <c r="CE592" i="11"/>
  <c r="AS592" i="11"/>
  <c r="CH591" i="11"/>
  <c r="CG591" i="11"/>
  <c r="CE591" i="11"/>
  <c r="AS591" i="11"/>
  <c r="CH590" i="11"/>
  <c r="CG590" i="11"/>
  <c r="CE590" i="11"/>
  <c r="AS590" i="11"/>
  <c r="CH589" i="11"/>
  <c r="CG589" i="11"/>
  <c r="CE589" i="11"/>
  <c r="AS589" i="11"/>
  <c r="CH588" i="11"/>
  <c r="CG588" i="11"/>
  <c r="CE588" i="11"/>
  <c r="AS588" i="11"/>
  <c r="CH587" i="11"/>
  <c r="CG587" i="11"/>
  <c r="CE587" i="11"/>
  <c r="AS587" i="11"/>
  <c r="CH586" i="11"/>
  <c r="CG586" i="11"/>
  <c r="CE586" i="11"/>
  <c r="AS586" i="11"/>
  <c r="CH585" i="11"/>
  <c r="CG585" i="11"/>
  <c r="CE585" i="11"/>
  <c r="AS585" i="11"/>
  <c r="CH584" i="11"/>
  <c r="CG584" i="11"/>
  <c r="CE584" i="11"/>
  <c r="AS584" i="11"/>
  <c r="CH583" i="11"/>
  <c r="CG583" i="11"/>
  <c r="CE583" i="11"/>
  <c r="AS583" i="11"/>
  <c r="CH582" i="11"/>
  <c r="CG582" i="11"/>
  <c r="CE582" i="11"/>
  <c r="AS582" i="11"/>
  <c r="CH581" i="11"/>
  <c r="CG581" i="11"/>
  <c r="AU581" i="11"/>
  <c r="CE581" i="11" s="1"/>
  <c r="AS581" i="11"/>
  <c r="F581" i="11"/>
  <c r="CH580" i="11"/>
  <c r="CG580" i="11"/>
  <c r="CE580" i="11"/>
  <c r="AS580" i="11"/>
  <c r="CH579" i="11"/>
  <c r="CG579" i="11"/>
  <c r="CE579" i="11"/>
  <c r="AS579" i="11"/>
  <c r="CH578" i="11"/>
  <c r="CG578" i="11"/>
  <c r="CE578" i="11"/>
  <c r="AS578" i="11"/>
  <c r="CH577" i="11"/>
  <c r="CG577" i="11"/>
  <c r="CE577" i="11"/>
  <c r="AS577" i="11"/>
  <c r="CG576" i="11"/>
  <c r="CG622" i="11" s="1"/>
  <c r="CE576" i="11"/>
  <c r="CE622" i="11" s="1"/>
  <c r="AS576" i="11"/>
  <c r="AS622" i="11" s="1"/>
  <c r="CH575" i="11"/>
  <c r="CG575" i="11"/>
  <c r="CE575" i="11"/>
  <c r="AS575" i="11"/>
  <c r="CH574" i="11"/>
  <c r="CG574" i="11"/>
  <c r="CE574" i="11"/>
  <c r="AS574" i="11"/>
  <c r="CH573" i="11"/>
  <c r="CG573" i="11"/>
  <c r="CE573" i="11"/>
  <c r="AS573" i="11"/>
  <c r="CH572" i="11"/>
  <c r="CG572" i="11"/>
  <c r="CE572" i="11"/>
  <c r="AS572" i="11"/>
  <c r="CH571" i="11"/>
  <c r="CG571" i="11"/>
  <c r="CE571" i="11"/>
  <c r="AS571" i="11"/>
  <c r="CH570" i="11"/>
  <c r="CG570" i="11"/>
  <c r="CE570" i="11"/>
  <c r="AS570" i="11"/>
  <c r="CH569" i="11"/>
  <c r="CG569" i="11"/>
  <c r="CE569" i="11"/>
  <c r="AS569" i="11"/>
  <c r="CH568" i="11"/>
  <c r="CG568" i="11"/>
  <c r="CE568" i="11"/>
  <c r="AS568" i="11"/>
  <c r="CH567" i="11"/>
  <c r="CG567" i="11"/>
  <c r="CE567" i="11"/>
  <c r="AS567" i="11"/>
  <c r="CH566" i="11"/>
  <c r="CG566" i="11"/>
  <c r="CE566" i="11"/>
  <c r="AS566" i="11"/>
  <c r="CH565" i="11"/>
  <c r="CG565" i="11"/>
  <c r="CE565" i="11"/>
  <c r="AS565" i="11"/>
  <c r="CH564" i="11"/>
  <c r="CG564" i="11"/>
  <c r="CE564" i="11"/>
  <c r="AS564" i="11"/>
  <c r="CH563" i="11"/>
  <c r="CG563" i="11"/>
  <c r="CE563" i="11"/>
  <c r="AS563" i="11"/>
  <c r="CH562" i="11"/>
  <c r="CG562" i="11"/>
  <c r="CE562" i="11"/>
  <c r="AS562" i="11"/>
  <c r="CH561" i="11"/>
  <c r="CG561" i="11"/>
  <c r="CE561" i="11"/>
  <c r="AS561" i="11"/>
  <c r="CH560" i="11"/>
  <c r="CG560" i="11"/>
  <c r="CE560" i="11"/>
  <c r="AS560" i="11"/>
  <c r="CH559" i="11"/>
  <c r="CG559" i="11"/>
  <c r="CE559" i="11"/>
  <c r="AS559" i="11"/>
  <c r="CH558" i="11"/>
  <c r="CG558" i="11"/>
  <c r="CE558" i="11"/>
  <c r="AS558" i="11"/>
  <c r="F558" i="11"/>
  <c r="F559" i="11" s="1"/>
  <c r="CH557" i="11"/>
  <c r="CG557" i="11"/>
  <c r="CE557" i="11"/>
  <c r="AS557" i="11"/>
  <c r="CH556" i="11"/>
  <c r="CG556" i="11"/>
  <c r="CE556" i="11"/>
  <c r="AS556" i="11"/>
  <c r="F556" i="11"/>
  <c r="F557" i="11" s="1"/>
  <c r="CH555" i="11"/>
  <c r="CG555" i="11"/>
  <c r="CE555" i="11"/>
  <c r="AS555" i="11"/>
  <c r="CH554" i="11"/>
  <c r="CG554" i="11"/>
  <c r="CE554" i="11"/>
  <c r="AS554" i="11"/>
  <c r="CH553" i="11"/>
  <c r="CG553" i="11"/>
  <c r="CE553" i="11"/>
  <c r="AS553" i="11"/>
  <c r="CH552" i="11"/>
  <c r="CG552" i="11"/>
  <c r="CE552" i="11"/>
  <c r="AS552" i="11"/>
  <c r="CH551" i="11"/>
  <c r="CG551" i="11"/>
  <c r="CE551" i="11"/>
  <c r="AS551" i="11"/>
  <c r="CH550" i="11"/>
  <c r="CG550" i="11"/>
  <c r="CE550" i="11"/>
  <c r="AS550" i="11"/>
  <c r="F550" i="11"/>
  <c r="CH549" i="11"/>
  <c r="CG549" i="11"/>
  <c r="CE549" i="11"/>
  <c r="AS549" i="11"/>
  <c r="CH548" i="11"/>
  <c r="CG548" i="11"/>
  <c r="CE548" i="11"/>
  <c r="AS548" i="11"/>
  <c r="CH547" i="11"/>
  <c r="CG547" i="11"/>
  <c r="CE547" i="11"/>
  <c r="AS547" i="11"/>
  <c r="CH546" i="11"/>
  <c r="CG546" i="11"/>
  <c r="CE546" i="11"/>
  <c r="AS546" i="11"/>
  <c r="CH545" i="11"/>
  <c r="CG545" i="11"/>
  <c r="CE545" i="11"/>
  <c r="AS545" i="11"/>
  <c r="CH544" i="11"/>
  <c r="CG544" i="11"/>
  <c r="CE544" i="11"/>
  <c r="AS544" i="11"/>
  <c r="CH543" i="11"/>
  <c r="CG543" i="11"/>
  <c r="CE543" i="11"/>
  <c r="AS543" i="11"/>
  <c r="CH542" i="11"/>
  <c r="CG542" i="11"/>
  <c r="CE542" i="11"/>
  <c r="AS542" i="11"/>
  <c r="CH541" i="11"/>
  <c r="CG541" i="11"/>
  <c r="CE541" i="11"/>
  <c r="AS541" i="11"/>
  <c r="CH540" i="11"/>
  <c r="CG540" i="11"/>
  <c r="CE540" i="11"/>
  <c r="AS540" i="11"/>
  <c r="CH539" i="11"/>
  <c r="CG539" i="11"/>
  <c r="CE539" i="11"/>
  <c r="AS539" i="11"/>
  <c r="CH538" i="11"/>
  <c r="CG538" i="11"/>
  <c r="CE538" i="11"/>
  <c r="AS538" i="11"/>
  <c r="CH537" i="11"/>
  <c r="CG537" i="11"/>
  <c r="CE537" i="11"/>
  <c r="AS537" i="11"/>
  <c r="CH536" i="11"/>
  <c r="CG536" i="11"/>
  <c r="CE536" i="11"/>
  <c r="AS536" i="11"/>
  <c r="CH535" i="11"/>
  <c r="CG535" i="11"/>
  <c r="CE535" i="11"/>
  <c r="AS535" i="11"/>
  <c r="CH534" i="11"/>
  <c r="CG534" i="11"/>
  <c r="CE534" i="11"/>
  <c r="AS534" i="11"/>
  <c r="CH533" i="11"/>
  <c r="CG533" i="11"/>
  <c r="CE533" i="11"/>
  <c r="AS533" i="11"/>
  <c r="F533" i="11"/>
  <c r="CH532" i="11"/>
  <c r="CG532" i="11"/>
  <c r="CE532" i="11"/>
  <c r="AS532" i="11"/>
  <c r="F532" i="11"/>
  <c r="CH531" i="11"/>
  <c r="CG531" i="11"/>
  <c r="CE531" i="11"/>
  <c r="AS531" i="11"/>
  <c r="CH530" i="11"/>
  <c r="CG530" i="11"/>
  <c r="CE530" i="11"/>
  <c r="AS530" i="11"/>
  <c r="CH529" i="11"/>
  <c r="CG529" i="11"/>
  <c r="CE529" i="11"/>
  <c r="AS529" i="11"/>
  <c r="CH528" i="11"/>
  <c r="CG528" i="11"/>
  <c r="CE528" i="11"/>
  <c r="AS528" i="11"/>
  <c r="CH527" i="11"/>
  <c r="CG527" i="11"/>
  <c r="CE527" i="11"/>
  <c r="AS527" i="11"/>
  <c r="CH526" i="11"/>
  <c r="CG526" i="11"/>
  <c r="CE526" i="11"/>
  <c r="AS526" i="11"/>
  <c r="CH525" i="11"/>
  <c r="CG525" i="11"/>
  <c r="CE525" i="11"/>
  <c r="AS525" i="11"/>
  <c r="F525" i="11"/>
  <c r="F526" i="11" s="1"/>
  <c r="CH524" i="11"/>
  <c r="CG524" i="11"/>
  <c r="CE524" i="11"/>
  <c r="AS524" i="11"/>
  <c r="F524" i="11"/>
  <c r="F527" i="11" s="1"/>
  <c r="F528" i="11" s="1"/>
  <c r="F529" i="11" s="1"/>
  <c r="CH523" i="11"/>
  <c r="CG523" i="11"/>
  <c r="CE523" i="11"/>
  <c r="AS523" i="11"/>
  <c r="CH522" i="11"/>
  <c r="CG522" i="11"/>
  <c r="CE522" i="11"/>
  <c r="AS522" i="11"/>
  <c r="CH521" i="11"/>
  <c r="CG521" i="11"/>
  <c r="CE521" i="11"/>
  <c r="AS521" i="11"/>
  <c r="CH520" i="11"/>
  <c r="CG520" i="11"/>
  <c r="CE520" i="11"/>
  <c r="AS520" i="11"/>
  <c r="CH519" i="11"/>
  <c r="CG519" i="11"/>
  <c r="CE519" i="11"/>
  <c r="AS519" i="11"/>
  <c r="CH518" i="11"/>
  <c r="CG518" i="11"/>
  <c r="CE518" i="11"/>
  <c r="AS518" i="11"/>
  <c r="CH517" i="11"/>
  <c r="CG517" i="11"/>
  <c r="CE517" i="11"/>
  <c r="AS517" i="11"/>
  <c r="CH516" i="11"/>
  <c r="CG516" i="11"/>
  <c r="CE516" i="11"/>
  <c r="AS516" i="11"/>
  <c r="CH515" i="11"/>
  <c r="CG515" i="11"/>
  <c r="CE515" i="11"/>
  <c r="AS515" i="11"/>
  <c r="CH514" i="11"/>
  <c r="CG514" i="11"/>
  <c r="CE514" i="11"/>
  <c r="AS514" i="11"/>
  <c r="CH513" i="11"/>
  <c r="CG513" i="11"/>
  <c r="CE513" i="11"/>
  <c r="AS513" i="11"/>
  <c r="CH512" i="11"/>
  <c r="CG512" i="11"/>
  <c r="CE512" i="11"/>
  <c r="AS512" i="11"/>
  <c r="CH511" i="11"/>
  <c r="CG511" i="11"/>
  <c r="CE511" i="11"/>
  <c r="AS511" i="11"/>
  <c r="CH510" i="11"/>
  <c r="CG510" i="11"/>
  <c r="CE510" i="11"/>
  <c r="AS510" i="11"/>
  <c r="CH509" i="11"/>
  <c r="CG509" i="11"/>
  <c r="CE509" i="11"/>
  <c r="AS509" i="11"/>
  <c r="CH508" i="11"/>
  <c r="CG508" i="11"/>
  <c r="CE508" i="11"/>
  <c r="AS508" i="11"/>
  <c r="CH507" i="11"/>
  <c r="CG507" i="11"/>
  <c r="CE507" i="11"/>
  <c r="AS507" i="11"/>
  <c r="CH506" i="11"/>
  <c r="CG506" i="11"/>
  <c r="CE506" i="11"/>
  <c r="AS506" i="11"/>
  <c r="CH505" i="11"/>
  <c r="CG505" i="11"/>
  <c r="CE505" i="11"/>
  <c r="AS505" i="11"/>
  <c r="CH504" i="11"/>
  <c r="CG504" i="11"/>
  <c r="AU504" i="11"/>
  <c r="CE504" i="11" s="1"/>
  <c r="AS504" i="11"/>
  <c r="B504" i="11"/>
  <c r="CH503" i="11"/>
  <c r="CG503" i="11"/>
  <c r="CE503" i="11"/>
  <c r="AS503" i="11"/>
  <c r="CH502" i="11"/>
  <c r="CG502" i="11"/>
  <c r="CE502" i="11"/>
  <c r="AS502" i="11"/>
  <c r="CH501" i="11"/>
  <c r="CG501" i="11"/>
  <c r="CE501" i="11"/>
  <c r="AS501" i="11"/>
  <c r="CH500" i="11"/>
  <c r="CG500" i="11"/>
  <c r="AU500" i="11"/>
  <c r="CE500" i="11" s="1"/>
  <c r="AS500" i="11"/>
  <c r="CH499" i="11"/>
  <c r="CG499" i="11"/>
  <c r="AU499" i="11"/>
  <c r="CE499" i="11" s="1"/>
  <c r="AS499" i="11"/>
  <c r="CH498" i="11"/>
  <c r="CG498" i="11"/>
  <c r="CE498" i="11"/>
  <c r="AU498" i="11"/>
  <c r="AS498" i="11"/>
  <c r="CH497" i="11"/>
  <c r="CG497" i="11"/>
  <c r="AU497" i="11"/>
  <c r="CE497" i="11" s="1"/>
  <c r="AS497" i="11"/>
  <c r="CH496" i="11"/>
  <c r="CG496" i="11"/>
  <c r="CE496" i="11"/>
  <c r="AS496" i="11"/>
  <c r="CH495" i="11"/>
  <c r="CG495" i="11"/>
  <c r="BI495" i="11"/>
  <c r="CE495" i="11" s="1"/>
  <c r="AS495" i="11"/>
  <c r="CH494" i="11"/>
  <c r="CG494" i="11"/>
  <c r="BI494" i="11"/>
  <c r="CE494" i="11" s="1"/>
  <c r="AS494" i="11"/>
  <c r="CH493" i="11"/>
  <c r="CG493" i="11"/>
  <c r="BI493" i="11"/>
  <c r="AU493" i="11"/>
  <c r="AS493" i="11"/>
  <c r="CH492" i="11"/>
  <c r="CG492" i="11"/>
  <c r="CE492" i="11"/>
  <c r="BI492" i="11"/>
  <c r="AS492" i="11"/>
  <c r="CH491" i="11"/>
  <c r="CG491" i="11"/>
  <c r="BI491" i="11"/>
  <c r="AS491" i="11"/>
  <c r="CH490" i="11"/>
  <c r="CG490" i="11"/>
  <c r="CE490" i="11"/>
  <c r="AS490" i="11"/>
  <c r="CH489" i="11"/>
  <c r="CG489" i="11"/>
  <c r="CE489" i="11"/>
  <c r="AS489" i="11"/>
  <c r="CH488" i="11"/>
  <c r="CG488" i="11"/>
  <c r="CE488" i="11"/>
  <c r="AS488" i="11"/>
  <c r="CH487" i="11"/>
  <c r="CG487" i="11"/>
  <c r="CE487" i="11"/>
  <c r="AS487" i="11"/>
  <c r="CH486" i="11"/>
  <c r="CG486" i="11"/>
  <c r="CE486" i="11"/>
  <c r="AS486" i="11"/>
  <c r="CH485" i="11"/>
  <c r="CG485" i="11"/>
  <c r="CE485" i="11"/>
  <c r="AS485" i="11"/>
  <c r="CH484" i="11"/>
  <c r="CG484" i="11"/>
  <c r="CE484" i="11"/>
  <c r="AS484" i="11"/>
  <c r="CH483" i="11"/>
  <c r="CG483" i="11"/>
  <c r="CE483" i="11"/>
  <c r="AS483" i="11"/>
  <c r="CH482" i="11"/>
  <c r="CG482" i="11"/>
  <c r="CE482" i="11"/>
  <c r="AS482" i="11"/>
  <c r="CH481" i="11"/>
  <c r="CG481" i="11"/>
  <c r="CE481" i="11"/>
  <c r="AS481" i="11"/>
  <c r="CH480" i="11"/>
  <c r="CG480" i="11"/>
  <c r="CE480" i="11"/>
  <c r="AS480" i="11"/>
  <c r="CH479" i="11"/>
  <c r="CG479" i="11"/>
  <c r="CE479" i="11"/>
  <c r="AS479" i="11"/>
  <c r="CH478" i="11"/>
  <c r="CG478" i="11"/>
  <c r="CE478" i="11"/>
  <c r="AS478" i="11"/>
  <c r="CH477" i="11"/>
  <c r="CG477" i="11"/>
  <c r="CE477" i="11"/>
  <c r="AS477" i="11"/>
  <c r="CH476" i="11"/>
  <c r="CG476" i="11"/>
  <c r="CE476" i="11"/>
  <c r="AS476" i="11"/>
  <c r="CH475" i="11"/>
  <c r="CG475" i="11"/>
  <c r="CE475" i="11"/>
  <c r="AS475" i="11"/>
  <c r="CH474" i="11"/>
  <c r="CG474" i="11"/>
  <c r="CE474" i="11"/>
  <c r="AS474" i="11"/>
  <c r="CH473" i="11"/>
  <c r="CG473" i="11"/>
  <c r="CE473" i="11"/>
  <c r="AS473" i="11"/>
  <c r="CH472" i="11"/>
  <c r="CG472" i="11"/>
  <c r="CE472" i="11"/>
  <c r="AS472" i="11"/>
  <c r="CH471" i="11"/>
  <c r="CG471" i="11"/>
  <c r="CE471" i="11"/>
  <c r="AS471" i="11"/>
  <c r="CH470" i="11"/>
  <c r="CG470" i="11"/>
  <c r="CE470" i="11"/>
  <c r="AS470" i="11"/>
  <c r="CH469" i="11"/>
  <c r="CG469" i="11"/>
  <c r="CE469" i="11"/>
  <c r="AS469" i="11"/>
  <c r="CH468" i="11"/>
  <c r="CG468" i="11"/>
  <c r="CE468" i="11"/>
  <c r="AS468" i="11"/>
  <c r="CH467" i="11"/>
  <c r="CG467" i="11"/>
  <c r="CE467" i="11"/>
  <c r="AS467" i="11"/>
  <c r="CH466" i="11"/>
  <c r="CG466" i="11"/>
  <c r="CE466" i="11"/>
  <c r="AS466" i="11"/>
  <c r="CH465" i="11"/>
  <c r="CG465" i="11"/>
  <c r="CE465" i="11"/>
  <c r="AS465" i="11"/>
  <c r="CH464" i="11"/>
  <c r="CG464" i="11"/>
  <c r="CE464" i="11"/>
  <c r="AS464" i="11"/>
  <c r="CH463" i="11"/>
  <c r="CG463" i="11"/>
  <c r="CE463" i="11"/>
  <c r="AS463" i="11"/>
  <c r="CH462" i="11"/>
  <c r="CG462" i="11"/>
  <c r="CE462" i="11"/>
  <c r="AS462" i="11"/>
  <c r="CH461" i="11"/>
  <c r="CG461" i="11"/>
  <c r="CE461" i="11"/>
  <c r="AS461" i="11"/>
  <c r="CH460" i="11"/>
  <c r="CG460" i="11"/>
  <c r="CE460" i="11"/>
  <c r="AS460" i="11"/>
  <c r="CH459" i="11"/>
  <c r="CG459" i="11"/>
  <c r="CE459" i="11"/>
  <c r="AS459" i="11"/>
  <c r="F459" i="11"/>
  <c r="F463" i="11" s="1"/>
  <c r="F465" i="11" s="1"/>
  <c r="F469" i="11" s="1"/>
  <c r="F471" i="11" s="1"/>
  <c r="F473" i="11" s="1"/>
  <c r="F477" i="11" s="1"/>
  <c r="F481" i="11" s="1"/>
  <c r="F485" i="11" s="1"/>
  <c r="CH458" i="11"/>
  <c r="CG458" i="11"/>
  <c r="CE458" i="11"/>
  <c r="AS458" i="11"/>
  <c r="F458" i="11"/>
  <c r="F462" i="11" s="1"/>
  <c r="F468" i="11" s="1"/>
  <c r="F476" i="11" s="1"/>
  <c r="F480" i="11" s="1"/>
  <c r="F484" i="11" s="1"/>
  <c r="CH457" i="11"/>
  <c r="CG457" i="11"/>
  <c r="CE457" i="11"/>
  <c r="AS457" i="11"/>
  <c r="F457" i="11"/>
  <c r="F461" i="11" s="1"/>
  <c r="F467" i="11" s="1"/>
  <c r="F475" i="11" s="1"/>
  <c r="F479" i="11" s="1"/>
  <c r="F483" i="11" s="1"/>
  <c r="CH456" i="11"/>
  <c r="CG456" i="11"/>
  <c r="CE456" i="11"/>
  <c r="AS456" i="11"/>
  <c r="F456" i="11"/>
  <c r="F460" i="11" s="1"/>
  <c r="F464" i="11" s="1"/>
  <c r="F466" i="11" s="1"/>
  <c r="F470" i="11" s="1"/>
  <c r="F472" i="11" s="1"/>
  <c r="F474" i="11" s="1"/>
  <c r="F478" i="11" s="1"/>
  <c r="F482" i="11" s="1"/>
  <c r="F486" i="11" s="1"/>
  <c r="CH455" i="11"/>
  <c r="CG455" i="11"/>
  <c r="CE455" i="11"/>
  <c r="AS455" i="11"/>
  <c r="F455" i="11"/>
  <c r="CH454" i="11"/>
  <c r="CG454" i="11"/>
  <c r="CE454" i="11"/>
  <c r="AS454" i="11"/>
  <c r="CH453" i="11"/>
  <c r="CG453" i="11"/>
  <c r="CE453" i="11"/>
  <c r="AS453" i="11"/>
  <c r="CH452" i="11"/>
  <c r="CG452" i="11"/>
  <c r="CE452" i="11"/>
  <c r="AS452" i="11"/>
  <c r="CH451" i="11"/>
  <c r="CG451" i="11"/>
  <c r="CE451" i="11"/>
  <c r="AS451" i="11"/>
  <c r="CJ450" i="11"/>
  <c r="CI450" i="11"/>
  <c r="CB450" i="11"/>
  <c r="CA450" i="11"/>
  <c r="BZ450" i="11"/>
  <c r="BY450" i="11"/>
  <c r="BX450" i="11"/>
  <c r="BW450" i="11"/>
  <c r="BV450" i="11"/>
  <c r="BU450" i="11"/>
  <c r="BT450" i="11"/>
  <c r="BS450" i="11"/>
  <c r="BR450" i="11"/>
  <c r="BQ450" i="11"/>
  <c r="BP450" i="11"/>
  <c r="BO450" i="11"/>
  <c r="BN450" i="11"/>
  <c r="BM450" i="11"/>
  <c r="BL450" i="11"/>
  <c r="BK450" i="11"/>
  <c r="BJ450" i="11"/>
  <c r="BI450" i="11"/>
  <c r="BH450" i="11"/>
  <c r="BG450" i="11"/>
  <c r="BF450" i="11"/>
  <c r="BE450" i="11"/>
  <c r="BD450" i="11"/>
  <c r="BC450" i="11"/>
  <c r="BB450" i="11"/>
  <c r="BA450" i="11"/>
  <c r="AZ450" i="11"/>
  <c r="AY450" i="11"/>
  <c r="AT450" i="11"/>
  <c r="AQ450" i="11"/>
  <c r="AP450" i="11"/>
  <c r="AO450" i="11"/>
  <c r="AN450" i="11"/>
  <c r="AM450" i="11"/>
  <c r="AL450" i="11"/>
  <c r="AK450" i="11"/>
  <c r="AJ450" i="11"/>
  <c r="AI450" i="11"/>
  <c r="AH450" i="11"/>
  <c r="AG450" i="11"/>
  <c r="AF450" i="11"/>
  <c r="AE450" i="11"/>
  <c r="AD450" i="11"/>
  <c r="AC450" i="11"/>
  <c r="AB450" i="11"/>
  <c r="AA450" i="11"/>
  <c r="Z450" i="11"/>
  <c r="Y450" i="11"/>
  <c r="X450" i="11"/>
  <c r="W450" i="11"/>
  <c r="V450" i="11"/>
  <c r="U450" i="11"/>
  <c r="T450" i="11"/>
  <c r="S450" i="11"/>
  <c r="R450" i="11"/>
  <c r="Q450" i="11"/>
  <c r="P450" i="11"/>
  <c r="O450" i="11"/>
  <c r="N450" i="11"/>
  <c r="M450" i="11"/>
  <c r="L450" i="11"/>
  <c r="K450" i="11"/>
  <c r="J450" i="11"/>
  <c r="I450" i="11"/>
  <c r="H450" i="11"/>
  <c r="CH449" i="11"/>
  <c r="CG449" i="11"/>
  <c r="AW449" i="11"/>
  <c r="AV449" i="11"/>
  <c r="AU449" i="11"/>
  <c r="AS449" i="11"/>
  <c r="CH448" i="11"/>
  <c r="CG448" i="11"/>
  <c r="AW448" i="11"/>
  <c r="AV448" i="11"/>
  <c r="AS448" i="11"/>
  <c r="CH447" i="11"/>
  <c r="CG447" i="11"/>
  <c r="AW447" i="11"/>
  <c r="AV447" i="11"/>
  <c r="AS447" i="11"/>
  <c r="CH446" i="11"/>
  <c r="CG446" i="11"/>
  <c r="AW446" i="11"/>
  <c r="AV446" i="11"/>
  <c r="AS446" i="11"/>
  <c r="CH445" i="11"/>
  <c r="CG445" i="11"/>
  <c r="AW445" i="11"/>
  <c r="CE445" i="11" s="1"/>
  <c r="AV445" i="11"/>
  <c r="AS445" i="11"/>
  <c r="CH444" i="11"/>
  <c r="CG444" i="11"/>
  <c r="AW444" i="11"/>
  <c r="AV444" i="11"/>
  <c r="AU444" i="11"/>
  <c r="AS444" i="11"/>
  <c r="CH443" i="11"/>
  <c r="CG443" i="11"/>
  <c r="CC443" i="11"/>
  <c r="AW443" i="11"/>
  <c r="AV443" i="11"/>
  <c r="AU443" i="11"/>
  <c r="AS443" i="11"/>
  <c r="CH442" i="11"/>
  <c r="CG442" i="11"/>
  <c r="AW442" i="11"/>
  <c r="CE442" i="11" s="1"/>
  <c r="AV442" i="11"/>
  <c r="AS442" i="11"/>
  <c r="CH441" i="11"/>
  <c r="CG441" i="11"/>
  <c r="AW441" i="11"/>
  <c r="AV441" i="11"/>
  <c r="AS441" i="11"/>
  <c r="CH440" i="11"/>
  <c r="CG440" i="11"/>
  <c r="AX440" i="11"/>
  <c r="AW440" i="11"/>
  <c r="AV440" i="11"/>
  <c r="CE440" i="11" s="1"/>
  <c r="AS440" i="11"/>
  <c r="CH439" i="11"/>
  <c r="CG439" i="11"/>
  <c r="AX439" i="11"/>
  <c r="AW439" i="11"/>
  <c r="AV439" i="11"/>
  <c r="AS439" i="11"/>
  <c r="CS438" i="11"/>
  <c r="CR438" i="11"/>
  <c r="CQ438" i="11"/>
  <c r="CP438" i="11"/>
  <c r="CO438" i="11"/>
  <c r="CN438" i="11"/>
  <c r="CM438" i="11"/>
  <c r="CL438" i="11"/>
  <c r="CK438" i="11"/>
  <c r="CJ438" i="11"/>
  <c r="CI438" i="11"/>
  <c r="CC438" i="11"/>
  <c r="CB438" i="11"/>
  <c r="CA438" i="11"/>
  <c r="BZ438" i="11"/>
  <c r="BY438" i="11"/>
  <c r="BX438" i="11"/>
  <c r="BW438" i="11"/>
  <c r="BV438" i="11"/>
  <c r="BU438" i="11"/>
  <c r="BT438" i="11"/>
  <c r="BS438" i="11"/>
  <c r="BR438" i="11"/>
  <c r="BQ438" i="11"/>
  <c r="BP438" i="11"/>
  <c r="BO438" i="11"/>
  <c r="BN438" i="11"/>
  <c r="BM438" i="11"/>
  <c r="BL438" i="11"/>
  <c r="BK438" i="11"/>
  <c r="BJ438" i="11"/>
  <c r="BI438" i="11"/>
  <c r="BH438" i="11"/>
  <c r="BG438" i="11"/>
  <c r="BF438" i="11"/>
  <c r="BE438" i="11"/>
  <c r="BD438" i="11"/>
  <c r="BC438" i="11"/>
  <c r="BB438" i="11"/>
  <c r="BA438" i="11"/>
  <c r="AZ438" i="11"/>
  <c r="AY438" i="11"/>
  <c r="AX438" i="11"/>
  <c r="AT438" i="11"/>
  <c r="AQ438" i="11"/>
  <c r="AP438" i="11"/>
  <c r="AO438" i="11"/>
  <c r="AN438" i="11"/>
  <c r="AM438" i="11"/>
  <c r="AL438" i="11"/>
  <c r="AK438" i="11"/>
  <c r="AJ438" i="11"/>
  <c r="AI438" i="11"/>
  <c r="AH438" i="11"/>
  <c r="AG438" i="11"/>
  <c r="AF438" i="11"/>
  <c r="AE438" i="11"/>
  <c r="AD438" i="11"/>
  <c r="AC438" i="11"/>
  <c r="AB438" i="11"/>
  <c r="AA438" i="11"/>
  <c r="Z438" i="11"/>
  <c r="Y438" i="11"/>
  <c r="X438" i="11"/>
  <c r="W438" i="11"/>
  <c r="V438" i="11"/>
  <c r="U438" i="11"/>
  <c r="T438" i="11"/>
  <c r="S438" i="11"/>
  <c r="R438" i="11"/>
  <c r="Q438" i="11"/>
  <c r="P438" i="11"/>
  <c r="O438" i="11"/>
  <c r="N438" i="11"/>
  <c r="M438" i="11"/>
  <c r="L438" i="11"/>
  <c r="K438" i="11"/>
  <c r="J438" i="11"/>
  <c r="I438" i="11"/>
  <c r="H438" i="11"/>
  <c r="CH437" i="11"/>
  <c r="CG437" i="11"/>
  <c r="AW437" i="11"/>
  <c r="AV437" i="11"/>
  <c r="AU437" i="11"/>
  <c r="CE437" i="11" s="1"/>
  <c r="AS437" i="11"/>
  <c r="CH436" i="11"/>
  <c r="CG436" i="11"/>
  <c r="AW436" i="11"/>
  <c r="AV436" i="11"/>
  <c r="AU436" i="11"/>
  <c r="AS436" i="11"/>
  <c r="CH435" i="11"/>
  <c r="CG435" i="11"/>
  <c r="AW435" i="11"/>
  <c r="AV435" i="11"/>
  <c r="AU435" i="11"/>
  <c r="CE435" i="11" s="1"/>
  <c r="AS435" i="11"/>
  <c r="CH434" i="11"/>
  <c r="CG434" i="11"/>
  <c r="CE434" i="11"/>
  <c r="AW434" i="11"/>
  <c r="AV434" i="11"/>
  <c r="AS434" i="11"/>
  <c r="CH433" i="11"/>
  <c r="CG433" i="11"/>
  <c r="AW433" i="11"/>
  <c r="AV433" i="11"/>
  <c r="AS433" i="11"/>
  <c r="CH432" i="11"/>
  <c r="CG432" i="11"/>
  <c r="AW432" i="11"/>
  <c r="AV432" i="11"/>
  <c r="AU432" i="11"/>
  <c r="AS432" i="11"/>
  <c r="CH431" i="11"/>
  <c r="CG431" i="11"/>
  <c r="AW431" i="11"/>
  <c r="AV431" i="11"/>
  <c r="CE431" i="11" s="1"/>
  <c r="AS431" i="11"/>
  <c r="CH430" i="11"/>
  <c r="CG430" i="11"/>
  <c r="AW430" i="11"/>
  <c r="AV430" i="11"/>
  <c r="AU430" i="11"/>
  <c r="AS430" i="11"/>
  <c r="CH429" i="11"/>
  <c r="CG429" i="11"/>
  <c r="AW429" i="11"/>
  <c r="AV429" i="11"/>
  <c r="AS429" i="11"/>
  <c r="CH428" i="11"/>
  <c r="CG428" i="11"/>
  <c r="AW428" i="11"/>
  <c r="AV428" i="11"/>
  <c r="AS428" i="11"/>
  <c r="CH427" i="11"/>
  <c r="CG427" i="11"/>
  <c r="AW427" i="11"/>
  <c r="AV427" i="11"/>
  <c r="AU427" i="11"/>
  <c r="CE427" i="11" s="1"/>
  <c r="AS427" i="11"/>
  <c r="CH426" i="11"/>
  <c r="CG426" i="11"/>
  <c r="CE426" i="11"/>
  <c r="AW426" i="11"/>
  <c r="AV426" i="11"/>
  <c r="AS426" i="11"/>
  <c r="CH425" i="11"/>
  <c r="CG425" i="11"/>
  <c r="AW425" i="11"/>
  <c r="AV425" i="11"/>
  <c r="AS425" i="11"/>
  <c r="CH424" i="11"/>
  <c r="CG424" i="11"/>
  <c r="AW424" i="11"/>
  <c r="AV424" i="11"/>
  <c r="CE424" i="11" s="1"/>
  <c r="AS424" i="11"/>
  <c r="CH423" i="11"/>
  <c r="CG423" i="11"/>
  <c r="AW423" i="11"/>
  <c r="AV423" i="11"/>
  <c r="AU423" i="11"/>
  <c r="AS423" i="11"/>
  <c r="CH422" i="11"/>
  <c r="CG422" i="11"/>
  <c r="AW422" i="11"/>
  <c r="AV422" i="11"/>
  <c r="AS422" i="11"/>
  <c r="CH421" i="11"/>
  <c r="CG421" i="11"/>
  <c r="AW421" i="11"/>
  <c r="AV421" i="11"/>
  <c r="AS421" i="11"/>
  <c r="CH420" i="11"/>
  <c r="CG420" i="11"/>
  <c r="AW420" i="11"/>
  <c r="AV420" i="11"/>
  <c r="AS420" i="11"/>
  <c r="CH419" i="11"/>
  <c r="CG419" i="11"/>
  <c r="AW419" i="11"/>
  <c r="AV419" i="11"/>
  <c r="CE419" i="11" s="1"/>
  <c r="AS419" i="11"/>
  <c r="CH418" i="11"/>
  <c r="CG418" i="11"/>
  <c r="AW418" i="11"/>
  <c r="AV418" i="11"/>
  <c r="AU418" i="11"/>
  <c r="AS418" i="11"/>
  <c r="CH417" i="11"/>
  <c r="CG417" i="11"/>
  <c r="AW417" i="11"/>
  <c r="AV417" i="11"/>
  <c r="AS417" i="11"/>
  <c r="CH416" i="11"/>
  <c r="CG416" i="11"/>
  <c r="AW416" i="11"/>
  <c r="AV416" i="11"/>
  <c r="AS416" i="11"/>
  <c r="CH415" i="11"/>
  <c r="CG415" i="11"/>
  <c r="AW415" i="11"/>
  <c r="AV415" i="11"/>
  <c r="AU415" i="11"/>
  <c r="CE415" i="11" s="1"/>
  <c r="AS415" i="11"/>
  <c r="CH414" i="11"/>
  <c r="CG414" i="11"/>
  <c r="AW414" i="11"/>
  <c r="AV414" i="11"/>
  <c r="AU414" i="11"/>
  <c r="AS414" i="11"/>
  <c r="CH413" i="11"/>
  <c r="CG413" i="11"/>
  <c r="AW413" i="11"/>
  <c r="AV413" i="11"/>
  <c r="AU413" i="11"/>
  <c r="CE413" i="11" s="1"/>
  <c r="AS413" i="11"/>
  <c r="CH412" i="11"/>
  <c r="CG412" i="11"/>
  <c r="AW412" i="11"/>
  <c r="AV412" i="11"/>
  <c r="AS412" i="11"/>
  <c r="CH411" i="11"/>
  <c r="CG411" i="11"/>
  <c r="AW411" i="11"/>
  <c r="AV411" i="11"/>
  <c r="AU411" i="11"/>
  <c r="AS411" i="11"/>
  <c r="CH410" i="11"/>
  <c r="CG410" i="11"/>
  <c r="AW410" i="11"/>
  <c r="AV410" i="11"/>
  <c r="CE410" i="11" s="1"/>
  <c r="AS410" i="11"/>
  <c r="CH409" i="11"/>
  <c r="CG409" i="11"/>
  <c r="AW409" i="11"/>
  <c r="AV409" i="11"/>
  <c r="AU409" i="11"/>
  <c r="AS409" i="11"/>
  <c r="CH408" i="11"/>
  <c r="CG408" i="11"/>
  <c r="AW408" i="11"/>
  <c r="AV408" i="11"/>
  <c r="AS408" i="11"/>
  <c r="CH407" i="11"/>
  <c r="CG407" i="11"/>
  <c r="AW407" i="11"/>
  <c r="AV407" i="11"/>
  <c r="AU407" i="11"/>
  <c r="CE407" i="11" s="1"/>
  <c r="AS407" i="11"/>
  <c r="CH406" i="11"/>
  <c r="CG406" i="11"/>
  <c r="AW406" i="11"/>
  <c r="AV406" i="11"/>
  <c r="AS406" i="11"/>
  <c r="CH405" i="11"/>
  <c r="CG405" i="11"/>
  <c r="AW405" i="11"/>
  <c r="AV405" i="11"/>
  <c r="AS405" i="11"/>
  <c r="CH404" i="11"/>
  <c r="CG404" i="11"/>
  <c r="AW404" i="11"/>
  <c r="AV404" i="11"/>
  <c r="AS404" i="11"/>
  <c r="CH403" i="11"/>
  <c r="CG403" i="11"/>
  <c r="AW403" i="11"/>
  <c r="AV403" i="11"/>
  <c r="AS403" i="11"/>
  <c r="CH402" i="11"/>
  <c r="CG402" i="11"/>
  <c r="AW402" i="11"/>
  <c r="AV402" i="11"/>
  <c r="CE402" i="11" s="1"/>
  <c r="AS402" i="11"/>
  <c r="CH401" i="11"/>
  <c r="CG401" i="11"/>
  <c r="AW401" i="11"/>
  <c r="AV401" i="11"/>
  <c r="AS401" i="11"/>
  <c r="CK400" i="11"/>
  <c r="CJ400" i="11"/>
  <c r="CI400" i="11"/>
  <c r="CB400" i="11"/>
  <c r="CA400" i="11"/>
  <c r="BZ400" i="11"/>
  <c r="BY400" i="11"/>
  <c r="BX400" i="11"/>
  <c r="BW400" i="11"/>
  <c r="BV400" i="11"/>
  <c r="BU400" i="11"/>
  <c r="BT400" i="11"/>
  <c r="BS400" i="11"/>
  <c r="BR400" i="11"/>
  <c r="BQ400" i="11"/>
  <c r="BP400" i="11"/>
  <c r="BO400" i="11"/>
  <c r="BN400" i="11"/>
  <c r="BM400" i="11"/>
  <c r="BL400" i="11"/>
  <c r="BK400" i="11"/>
  <c r="BJ400" i="11"/>
  <c r="BH400" i="11"/>
  <c r="BG400" i="11"/>
  <c r="BF400" i="11"/>
  <c r="BE400" i="11"/>
  <c r="BD400" i="11"/>
  <c r="BC400" i="11"/>
  <c r="BB400" i="11"/>
  <c r="BA400" i="11"/>
  <c r="AZ400" i="11"/>
  <c r="AY400" i="11"/>
  <c r="AX400" i="11"/>
  <c r="AW400" i="11"/>
  <c r="AV400" i="11"/>
  <c r="AT400" i="11"/>
  <c r="AQ400" i="11"/>
  <c r="AP400" i="11"/>
  <c r="AO400" i="11"/>
  <c r="AN400" i="11"/>
  <c r="AM400" i="11"/>
  <c r="AL400" i="11"/>
  <c r="AK400" i="11"/>
  <c r="AJ400" i="11"/>
  <c r="AI400" i="11"/>
  <c r="AH400" i="11"/>
  <c r="AG400" i="11"/>
  <c r="AF400" i="11"/>
  <c r="AE400" i="11"/>
  <c r="AD400" i="11"/>
  <c r="AC400" i="11"/>
  <c r="AB400" i="11"/>
  <c r="AA400" i="11"/>
  <c r="Z400" i="11"/>
  <c r="Y400" i="11"/>
  <c r="X400" i="11"/>
  <c r="W400" i="11"/>
  <c r="V400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CH399" i="11"/>
  <c r="CG399" i="11"/>
  <c r="AU399" i="11"/>
  <c r="CE399" i="11" s="1"/>
  <c r="AS399" i="11"/>
  <c r="CH398" i="11"/>
  <c r="CG398" i="11"/>
  <c r="CE398" i="11"/>
  <c r="AU398" i="11"/>
  <c r="AS398" i="11"/>
  <c r="CH397" i="11"/>
  <c r="CG397" i="11"/>
  <c r="BI397" i="11"/>
  <c r="AU397" i="11"/>
  <c r="CE397" i="11" s="1"/>
  <c r="AS397" i="11"/>
  <c r="CH396" i="11"/>
  <c r="CG396" i="11"/>
  <c r="BI396" i="11"/>
  <c r="AS396" i="11"/>
  <c r="CH395" i="11"/>
  <c r="CG395" i="11"/>
  <c r="CC395" i="11"/>
  <c r="CC400" i="11" s="1"/>
  <c r="BI395" i="11"/>
  <c r="AU395" i="11"/>
  <c r="AS395" i="11"/>
  <c r="CK394" i="11"/>
  <c r="CJ394" i="11"/>
  <c r="CI394" i="11"/>
  <c r="CC394" i="11"/>
  <c r="CB394" i="11"/>
  <c r="CA394" i="11"/>
  <c r="BZ394" i="11"/>
  <c r="BY394" i="11"/>
  <c r="BX394" i="11"/>
  <c r="BW394" i="11"/>
  <c r="BV394" i="11"/>
  <c r="BU394" i="11"/>
  <c r="BT394" i="11"/>
  <c r="BS394" i="11"/>
  <c r="BR394" i="11"/>
  <c r="BQ394" i="11"/>
  <c r="BP394" i="11"/>
  <c r="BO394" i="11"/>
  <c r="BN394" i="11"/>
  <c r="BM394" i="11"/>
  <c r="BL394" i="11"/>
  <c r="BK394" i="11"/>
  <c r="BJ394" i="11"/>
  <c r="BI394" i="11"/>
  <c r="BH394" i="11"/>
  <c r="BG394" i="11"/>
  <c r="BF394" i="11"/>
  <c r="BE394" i="11"/>
  <c r="BD394" i="11"/>
  <c r="BC394" i="11"/>
  <c r="BB394" i="11"/>
  <c r="BA394" i="11"/>
  <c r="AZ394" i="11"/>
  <c r="AY394" i="11"/>
  <c r="AX394" i="11"/>
  <c r="AW394" i="11"/>
  <c r="AU394" i="11"/>
  <c r="AT394" i="11"/>
  <c r="AQ394" i="11"/>
  <c r="AP394" i="11"/>
  <c r="AO394" i="11"/>
  <c r="AN394" i="11"/>
  <c r="AM394" i="11"/>
  <c r="AL394" i="11"/>
  <c r="AK394" i="11"/>
  <c r="AJ394" i="11"/>
  <c r="AI394" i="11"/>
  <c r="AH394" i="11"/>
  <c r="AG394" i="11"/>
  <c r="AF394" i="11"/>
  <c r="AE394" i="11"/>
  <c r="AD394" i="11"/>
  <c r="AC394" i="11"/>
  <c r="AB394" i="11"/>
  <c r="AA394" i="11"/>
  <c r="Z394" i="11"/>
  <c r="Y394" i="11"/>
  <c r="X394" i="11"/>
  <c r="W394" i="11"/>
  <c r="V394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CG393" i="11"/>
  <c r="CE393" i="11"/>
  <c r="AS393" i="11"/>
  <c r="CH392" i="11"/>
  <c r="CG392" i="11"/>
  <c r="CE392" i="11"/>
  <c r="AS392" i="11"/>
  <c r="CH391" i="11"/>
  <c r="CG391" i="11"/>
  <c r="CE391" i="11"/>
  <c r="AS391" i="11"/>
  <c r="F391" i="11"/>
  <c r="CH390" i="11"/>
  <c r="CG390" i="11"/>
  <c r="CE390" i="11"/>
  <c r="AS390" i="11"/>
  <c r="CH389" i="11"/>
  <c r="CG389" i="11"/>
  <c r="CE389" i="11"/>
  <c r="AS389" i="11"/>
  <c r="CH388" i="11"/>
  <c r="CG388" i="11"/>
  <c r="AV388" i="11"/>
  <c r="AU388" i="11"/>
  <c r="AS388" i="11"/>
  <c r="F388" i="11"/>
  <c r="CH387" i="11"/>
  <c r="CG387" i="11"/>
  <c r="CE387" i="11"/>
  <c r="AS387" i="11"/>
  <c r="F387" i="11"/>
  <c r="CH386" i="11"/>
  <c r="CG386" i="11"/>
  <c r="CE386" i="11"/>
  <c r="AS386" i="11"/>
  <c r="F386" i="11"/>
  <c r="CH385" i="11"/>
  <c r="CG385" i="11"/>
  <c r="CE385" i="11"/>
  <c r="AS385" i="11"/>
  <c r="CH384" i="11"/>
  <c r="CG384" i="11"/>
  <c r="CE384" i="11"/>
  <c r="AS384" i="11"/>
  <c r="CH383" i="11"/>
  <c r="CG383" i="11"/>
  <c r="CE383" i="11"/>
  <c r="AS383" i="11"/>
  <c r="CH382" i="11"/>
  <c r="CG382" i="11"/>
  <c r="CE382" i="11"/>
  <c r="AS382" i="11"/>
  <c r="CH381" i="11"/>
  <c r="CG381" i="11"/>
  <c r="CE381" i="11"/>
  <c r="AS381" i="11"/>
  <c r="CH380" i="11"/>
  <c r="CG380" i="11"/>
  <c r="CE380" i="11"/>
  <c r="AS380" i="11"/>
  <c r="CH379" i="11"/>
  <c r="CG379" i="11"/>
  <c r="CE379" i="11"/>
  <c r="AS379" i="11"/>
  <c r="CH378" i="11"/>
  <c r="CG378" i="11"/>
  <c r="CE378" i="11"/>
  <c r="AS378" i="11"/>
  <c r="CH377" i="11"/>
  <c r="CG377" i="11"/>
  <c r="CE377" i="11"/>
  <c r="AS377" i="11"/>
  <c r="CH376" i="11"/>
  <c r="CG376" i="11"/>
  <c r="CE376" i="11"/>
  <c r="AS376" i="11"/>
  <c r="CH375" i="11"/>
  <c r="CG375" i="11"/>
  <c r="CE375" i="11"/>
  <c r="AS375" i="11"/>
  <c r="F375" i="11"/>
  <c r="CH374" i="11"/>
  <c r="CG374" i="11"/>
  <c r="CE374" i="11"/>
  <c r="AS374" i="11"/>
  <c r="CH373" i="11"/>
  <c r="CG373" i="11"/>
  <c r="CE373" i="11"/>
  <c r="AS373" i="11"/>
  <c r="CH372" i="11"/>
  <c r="CG372" i="11"/>
  <c r="CE372" i="11"/>
  <c r="AS372" i="11"/>
  <c r="CH371" i="11"/>
  <c r="CG371" i="11"/>
  <c r="CE371" i="11"/>
  <c r="AS371" i="11"/>
  <c r="CH370" i="11"/>
  <c r="CG370" i="11"/>
  <c r="CE370" i="11"/>
  <c r="AS370" i="11"/>
  <c r="CH369" i="11"/>
  <c r="CG369" i="11"/>
  <c r="CE369" i="11"/>
  <c r="AS369" i="11"/>
  <c r="CH368" i="11"/>
  <c r="CG368" i="11"/>
  <c r="CE368" i="11"/>
  <c r="AS368" i="11"/>
  <c r="CH367" i="11"/>
  <c r="CG367" i="11"/>
  <c r="CE367" i="11"/>
  <c r="AS367" i="11"/>
  <c r="CH366" i="11"/>
  <c r="CG366" i="11"/>
  <c r="CE366" i="11"/>
  <c r="AS366" i="11"/>
  <c r="CJ365" i="11"/>
  <c r="CI365" i="11"/>
  <c r="CC365" i="11"/>
  <c r="CB365" i="11"/>
  <c r="CA365" i="11"/>
  <c r="BZ365" i="11"/>
  <c r="BY365" i="11"/>
  <c r="BX365" i="11"/>
  <c r="BW365" i="11"/>
  <c r="BV365" i="11"/>
  <c r="BU365" i="11"/>
  <c r="BT365" i="11"/>
  <c r="BS365" i="11"/>
  <c r="BR365" i="11"/>
  <c r="BQ365" i="11"/>
  <c r="BP365" i="11"/>
  <c r="BO365" i="11"/>
  <c r="BN365" i="11"/>
  <c r="BM365" i="11"/>
  <c r="BL365" i="11"/>
  <c r="BK365" i="11"/>
  <c r="BJ365" i="11"/>
  <c r="BI365" i="11"/>
  <c r="BH365" i="11"/>
  <c r="BG365" i="11"/>
  <c r="BF365" i="11"/>
  <c r="BE365" i="11"/>
  <c r="BD365" i="11"/>
  <c r="BC365" i="11"/>
  <c r="BB365" i="11"/>
  <c r="BA365" i="11"/>
  <c r="AZ365" i="11"/>
  <c r="AY365" i="11"/>
  <c r="AX365" i="11"/>
  <c r="AW365" i="11"/>
  <c r="AT365" i="11"/>
  <c r="AQ365" i="11"/>
  <c r="AP365" i="11"/>
  <c r="AO365" i="11"/>
  <c r="AN365" i="11"/>
  <c r="AM365" i="11"/>
  <c r="AL365" i="11"/>
  <c r="AK365" i="11"/>
  <c r="AJ365" i="11"/>
  <c r="AI365" i="11"/>
  <c r="AH365" i="11"/>
  <c r="AG365" i="11"/>
  <c r="AF365" i="11"/>
  <c r="AE365" i="11"/>
  <c r="AD365" i="11"/>
  <c r="AC365" i="11"/>
  <c r="AB365" i="11"/>
  <c r="AA365" i="11"/>
  <c r="Z365" i="11"/>
  <c r="Y365" i="11"/>
  <c r="X365" i="11"/>
  <c r="W365" i="11"/>
  <c r="V365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CH364" i="11"/>
  <c r="CG364" i="11"/>
  <c r="CE364" i="11"/>
  <c r="AS364" i="11"/>
  <c r="CH363" i="11"/>
  <c r="CG363" i="11"/>
  <c r="CE363" i="11"/>
  <c r="AS363" i="11"/>
  <c r="CH362" i="11"/>
  <c r="CG362" i="11"/>
  <c r="CE362" i="11"/>
  <c r="AS362" i="11"/>
  <c r="CH361" i="11"/>
  <c r="CG361" i="11"/>
  <c r="CE361" i="11"/>
  <c r="AS361" i="11"/>
  <c r="CH360" i="11"/>
  <c r="CG360" i="11"/>
  <c r="CE360" i="11"/>
  <c r="AS360" i="11"/>
  <c r="CH359" i="11"/>
  <c r="CG359" i="11"/>
  <c r="CE359" i="11"/>
  <c r="AS359" i="11"/>
  <c r="CH358" i="11"/>
  <c r="CG358" i="11"/>
  <c r="CE358" i="11"/>
  <c r="AS358" i="11"/>
  <c r="CH357" i="11"/>
  <c r="CG357" i="11"/>
  <c r="CE357" i="11"/>
  <c r="AS357" i="11"/>
  <c r="CH356" i="11"/>
  <c r="CG356" i="11"/>
  <c r="CE356" i="11"/>
  <c r="AS356" i="11"/>
  <c r="CH355" i="11"/>
  <c r="CG355" i="11"/>
  <c r="CE355" i="11"/>
  <c r="AS355" i="11"/>
  <c r="CH354" i="11"/>
  <c r="CG354" i="11"/>
  <c r="CE354" i="11"/>
  <c r="AS354" i="11"/>
  <c r="CH353" i="11"/>
  <c r="CG353" i="11"/>
  <c r="CE353" i="11"/>
  <c r="AS353" i="11"/>
  <c r="CH352" i="11"/>
  <c r="CG352" i="11"/>
  <c r="CE352" i="11"/>
  <c r="AS352" i="11"/>
  <c r="CH351" i="11"/>
  <c r="CG351" i="11"/>
  <c r="CE351" i="11"/>
  <c r="AS351" i="11"/>
  <c r="CH350" i="11"/>
  <c r="CG350" i="11"/>
  <c r="CE350" i="11"/>
  <c r="AS350" i="11"/>
  <c r="CH349" i="11"/>
  <c r="CG349" i="11"/>
  <c r="CE349" i="11"/>
  <c r="AS349" i="11"/>
  <c r="CH348" i="11"/>
  <c r="CG348" i="11"/>
  <c r="CE348" i="11"/>
  <c r="AS348" i="11"/>
  <c r="CH347" i="11"/>
  <c r="CG347" i="11"/>
  <c r="CE347" i="11"/>
  <c r="AS347" i="11"/>
  <c r="CH346" i="11"/>
  <c r="CG346" i="11"/>
  <c r="CE346" i="11"/>
  <c r="AS346" i="11"/>
  <c r="CH345" i="11"/>
  <c r="CG345" i="11"/>
  <c r="CE345" i="11"/>
  <c r="AS345" i="11"/>
  <c r="CH344" i="11"/>
  <c r="CG344" i="11"/>
  <c r="CE344" i="11"/>
  <c r="AS344" i="11"/>
  <c r="CH343" i="11"/>
  <c r="CG343" i="11"/>
  <c r="CE343" i="11"/>
  <c r="AS343" i="11"/>
  <c r="CH342" i="11"/>
  <c r="CG342" i="11"/>
  <c r="CE342" i="11"/>
  <c r="AS342" i="11"/>
  <c r="CH341" i="11"/>
  <c r="CG341" i="11"/>
  <c r="CE341" i="11"/>
  <c r="AS341" i="11"/>
  <c r="CH340" i="11"/>
  <c r="CG340" i="11"/>
  <c r="CE340" i="11"/>
  <c r="AS340" i="11"/>
  <c r="CH339" i="11"/>
  <c r="CG339" i="11"/>
  <c r="CE339" i="11"/>
  <c r="AS339" i="11"/>
  <c r="CH338" i="11"/>
  <c r="CG338" i="11"/>
  <c r="CE338" i="11"/>
  <c r="AS338" i="11"/>
  <c r="CH337" i="11"/>
  <c r="CG337" i="11"/>
  <c r="CE337" i="11"/>
  <c r="AS337" i="11"/>
  <c r="CH336" i="11"/>
  <c r="CG336" i="11"/>
  <c r="CE336" i="11"/>
  <c r="AS336" i="11"/>
  <c r="CH335" i="11"/>
  <c r="CG335" i="11"/>
  <c r="CE335" i="11"/>
  <c r="AS335" i="11"/>
  <c r="CH334" i="11"/>
  <c r="CG334" i="11"/>
  <c r="CE334" i="11"/>
  <c r="AS334" i="11"/>
  <c r="CH333" i="11"/>
  <c r="CG333" i="11"/>
  <c r="CE333" i="11"/>
  <c r="AS333" i="11"/>
  <c r="CH332" i="11"/>
  <c r="CG332" i="11"/>
  <c r="CE332" i="11"/>
  <c r="AS332" i="11"/>
  <c r="CH331" i="11"/>
  <c r="CG331" i="11"/>
  <c r="CE331" i="11"/>
  <c r="AS331" i="11"/>
  <c r="F331" i="11"/>
  <c r="CH330" i="11"/>
  <c r="CG330" i="11"/>
  <c r="CE330" i="11"/>
  <c r="AS330" i="11"/>
  <c r="F330" i="11"/>
  <c r="CH329" i="11"/>
  <c r="CG329" i="11"/>
  <c r="AU329" i="11"/>
  <c r="CE329" i="11" s="1"/>
  <c r="AS329" i="11"/>
  <c r="CH328" i="11"/>
  <c r="CG328" i="11"/>
  <c r="CE328" i="11"/>
  <c r="AS328" i="11"/>
  <c r="CH327" i="11"/>
  <c r="CG327" i="11"/>
  <c r="CE327" i="11"/>
  <c r="AS327" i="11"/>
  <c r="CH326" i="11"/>
  <c r="CG326" i="11"/>
  <c r="CE326" i="11"/>
  <c r="AS326" i="11"/>
  <c r="CH325" i="11"/>
  <c r="CG325" i="11"/>
  <c r="CE325" i="11"/>
  <c r="AS325" i="11"/>
  <c r="CH324" i="11"/>
  <c r="CG324" i="11"/>
  <c r="CE324" i="11"/>
  <c r="AS324" i="11"/>
  <c r="CH323" i="11"/>
  <c r="CG323" i="11"/>
  <c r="AU323" i="11"/>
  <c r="CE323" i="11" s="1"/>
  <c r="AS323" i="11"/>
  <c r="CH322" i="11"/>
  <c r="CG322" i="11"/>
  <c r="CE322" i="11"/>
  <c r="AS322" i="11"/>
  <c r="CH321" i="11"/>
  <c r="CG321" i="11"/>
  <c r="CE321" i="11"/>
  <c r="AS321" i="11"/>
  <c r="CH320" i="11"/>
  <c r="CG320" i="11"/>
  <c r="CE320" i="11"/>
  <c r="AS320" i="11"/>
  <c r="CH319" i="11"/>
  <c r="CG319" i="11"/>
  <c r="AV319" i="11"/>
  <c r="AV365" i="11" s="1"/>
  <c r="B366" i="11" s="1"/>
  <c r="AU319" i="11"/>
  <c r="AS319" i="11"/>
  <c r="CH318" i="11"/>
  <c r="CG318" i="11"/>
  <c r="CE318" i="11"/>
  <c r="AS318" i="11"/>
  <c r="CH317" i="11"/>
  <c r="CG317" i="11"/>
  <c r="AU317" i="11"/>
  <c r="CE317" i="11" s="1"/>
  <c r="AS317" i="11"/>
  <c r="CH316" i="11"/>
  <c r="CG316" i="11"/>
  <c r="CE316" i="11"/>
  <c r="AS316" i="11"/>
  <c r="CH315" i="11"/>
  <c r="CG315" i="11"/>
  <c r="CE315" i="11"/>
  <c r="AS315" i="11"/>
  <c r="CH314" i="11"/>
  <c r="CG314" i="11"/>
  <c r="CE314" i="11"/>
  <c r="AS314" i="11"/>
  <c r="CH313" i="11"/>
  <c r="CG313" i="11"/>
  <c r="CE313" i="11"/>
  <c r="AS313" i="11"/>
  <c r="CH312" i="11"/>
  <c r="CG312" i="11"/>
  <c r="CE312" i="11"/>
  <c r="AS312" i="11"/>
  <c r="CH311" i="11"/>
  <c r="CG311" i="11"/>
  <c r="CE311" i="11"/>
  <c r="AS311" i="11"/>
  <c r="CH310" i="11"/>
  <c r="CG310" i="11"/>
  <c r="AU310" i="11"/>
  <c r="CE310" i="11" s="1"/>
  <c r="AS310" i="11"/>
  <c r="CH309" i="11"/>
  <c r="CG309" i="11"/>
  <c r="CE309" i="11"/>
  <c r="AS309" i="11"/>
  <c r="CH308" i="11"/>
  <c r="CG308" i="11"/>
  <c r="AU308" i="11"/>
  <c r="CE308" i="11" s="1"/>
  <c r="AS308" i="11"/>
  <c r="F308" i="11"/>
  <c r="CH307" i="11"/>
  <c r="CG307" i="11"/>
  <c r="CE307" i="11"/>
  <c r="AS307" i="11"/>
  <c r="CH306" i="11"/>
  <c r="CG306" i="11"/>
  <c r="CE306" i="11"/>
  <c r="AS306" i="11"/>
  <c r="F306" i="11"/>
  <c r="F307" i="11" s="1"/>
  <c r="F309" i="11" s="1"/>
  <c r="F311" i="11" s="1"/>
  <c r="F312" i="11" s="1"/>
  <c r="CH305" i="11"/>
  <c r="CG305" i="11"/>
  <c r="AU305" i="11"/>
  <c r="CE305" i="11" s="1"/>
  <c r="AS305" i="11"/>
  <c r="CH304" i="11"/>
  <c r="CG304" i="11"/>
  <c r="CE304" i="11"/>
  <c r="AS304" i="11"/>
  <c r="CH303" i="11"/>
  <c r="CG303" i="11"/>
  <c r="CE303" i="11"/>
  <c r="AS303" i="11"/>
  <c r="CH302" i="11"/>
  <c r="CG302" i="11"/>
  <c r="AU302" i="11"/>
  <c r="CE302" i="11" s="1"/>
  <c r="AS302" i="11"/>
  <c r="CH301" i="11"/>
  <c r="CG301" i="11"/>
  <c r="CE301" i="11"/>
  <c r="AS301" i="11"/>
  <c r="CH300" i="11"/>
  <c r="CG300" i="11"/>
  <c r="CE300" i="11"/>
  <c r="AS300" i="11"/>
  <c r="CH299" i="11"/>
  <c r="CG299" i="11"/>
  <c r="CE299" i="11"/>
  <c r="AS299" i="11"/>
  <c r="CH298" i="11"/>
  <c r="CG298" i="11"/>
  <c r="CE298" i="11"/>
  <c r="AS298" i="11"/>
  <c r="CH297" i="11"/>
  <c r="CG297" i="11"/>
  <c r="CE297" i="11"/>
  <c r="AU297" i="11"/>
  <c r="AS297" i="11"/>
  <c r="CH296" i="11"/>
  <c r="CG296" i="11"/>
  <c r="AU296" i="11"/>
  <c r="CE296" i="11" s="1"/>
  <c r="AS296" i="11"/>
  <c r="CH295" i="11"/>
  <c r="CG295" i="11"/>
  <c r="CE295" i="11"/>
  <c r="AS295" i="11"/>
  <c r="CH294" i="11"/>
  <c r="CG294" i="11"/>
  <c r="CE294" i="11"/>
  <c r="AS294" i="11"/>
  <c r="CH293" i="11"/>
  <c r="CG293" i="11"/>
  <c r="CE293" i="11"/>
  <c r="AS293" i="11"/>
  <c r="CH292" i="11"/>
  <c r="CG292" i="11"/>
  <c r="CE292" i="11"/>
  <c r="AS292" i="11"/>
  <c r="CH291" i="11"/>
  <c r="CG291" i="11"/>
  <c r="CE291" i="11"/>
  <c r="AS291" i="11"/>
  <c r="CH290" i="11"/>
  <c r="CG290" i="11"/>
  <c r="CE290" i="11"/>
  <c r="AS290" i="11"/>
  <c r="CH289" i="11"/>
  <c r="CG289" i="11"/>
  <c r="CE289" i="11"/>
  <c r="AS289" i="11"/>
  <c r="CH288" i="11"/>
  <c r="CG288" i="11"/>
  <c r="CE288" i="11"/>
  <c r="AS288" i="11"/>
  <c r="CH287" i="11"/>
  <c r="CG287" i="11"/>
  <c r="CE287" i="11"/>
  <c r="AS287" i="11"/>
  <c r="F287" i="11"/>
  <c r="F288" i="11" s="1"/>
  <c r="F289" i="11" s="1"/>
  <c r="CH286" i="11"/>
  <c r="CG286" i="11"/>
  <c r="CE286" i="11"/>
  <c r="AS286" i="11"/>
  <c r="CH285" i="11"/>
  <c r="CG285" i="11"/>
  <c r="CE285" i="11"/>
  <c r="AS285" i="11"/>
  <c r="CH284" i="11"/>
  <c r="CG284" i="11"/>
  <c r="CE284" i="11"/>
  <c r="AS284" i="11"/>
  <c r="CH283" i="11"/>
  <c r="CG283" i="11"/>
  <c r="CE283" i="11"/>
  <c r="AS283" i="11"/>
  <c r="CH282" i="11"/>
  <c r="CG282" i="11"/>
  <c r="CE282" i="11"/>
  <c r="AS282" i="11"/>
  <c r="CH281" i="11"/>
  <c r="CG281" i="11"/>
  <c r="CE281" i="11"/>
  <c r="AS281" i="11"/>
  <c r="CH280" i="11"/>
  <c r="CG280" i="11"/>
  <c r="CE280" i="11"/>
  <c r="AS280" i="11"/>
  <c r="CH279" i="11"/>
  <c r="CG279" i="11"/>
  <c r="CE279" i="11"/>
  <c r="AS279" i="11"/>
  <c r="CH278" i="11"/>
  <c r="CG278" i="11"/>
  <c r="CE278" i="11"/>
  <c r="AS278" i="11"/>
  <c r="CH277" i="11"/>
  <c r="CG277" i="11"/>
  <c r="CE277" i="11"/>
  <c r="AS277" i="11"/>
  <c r="CH276" i="11"/>
  <c r="CG276" i="11"/>
  <c r="CE276" i="11"/>
  <c r="AS276" i="11"/>
  <c r="CH275" i="11"/>
  <c r="CG275" i="11"/>
  <c r="CE275" i="11"/>
  <c r="AS275" i="11"/>
  <c r="CH274" i="11"/>
  <c r="CG274" i="11"/>
  <c r="CE274" i="11"/>
  <c r="AS274" i="11"/>
  <c r="CH273" i="11"/>
  <c r="CG273" i="11"/>
  <c r="CE273" i="11"/>
  <c r="AS273" i="11"/>
  <c r="CH272" i="11"/>
  <c r="CG272" i="11"/>
  <c r="CE272" i="11"/>
  <c r="AS272" i="11"/>
  <c r="CH271" i="11"/>
  <c r="CG271" i="11"/>
  <c r="CE271" i="11"/>
  <c r="AS271" i="11"/>
  <c r="CH270" i="11"/>
  <c r="CG270" i="11"/>
  <c r="CE270" i="11"/>
  <c r="AS270" i="11"/>
  <c r="CH269" i="11"/>
  <c r="CG269" i="11"/>
  <c r="CE269" i="11"/>
  <c r="AS269" i="11"/>
  <c r="CH268" i="11"/>
  <c r="CG268" i="11"/>
  <c r="CE268" i="11"/>
  <c r="AS268" i="11"/>
  <c r="CH267" i="11"/>
  <c r="CG267" i="11"/>
  <c r="CE267" i="11"/>
  <c r="AS267" i="11"/>
  <c r="CH266" i="11"/>
  <c r="CG266" i="11"/>
  <c r="CE266" i="11"/>
  <c r="AS266" i="11"/>
  <c r="CH265" i="11"/>
  <c r="CG265" i="11"/>
  <c r="CE265" i="11"/>
  <c r="AS265" i="11"/>
  <c r="CH264" i="11"/>
  <c r="CG264" i="11"/>
  <c r="CE264" i="11"/>
  <c r="AS264" i="11"/>
  <c r="CH263" i="11"/>
  <c r="CG263" i="11"/>
  <c r="CE263" i="11"/>
  <c r="AS263" i="11"/>
  <c r="CH262" i="11"/>
  <c r="CG262" i="11"/>
  <c r="CE262" i="11"/>
  <c r="AS262" i="11"/>
  <c r="F262" i="11"/>
  <c r="F263" i="11" s="1"/>
  <c r="F264" i="11" s="1"/>
  <c r="CH261" i="11"/>
  <c r="CG261" i="11"/>
  <c r="CE261" i="11"/>
  <c r="AS261" i="11"/>
  <c r="CH260" i="11"/>
  <c r="CG260" i="11"/>
  <c r="CE260" i="11"/>
  <c r="AS260" i="11"/>
  <c r="CH259" i="11"/>
  <c r="CG259" i="11"/>
  <c r="CE259" i="11"/>
  <c r="AS259" i="11"/>
  <c r="CH258" i="11"/>
  <c r="CG258" i="11"/>
  <c r="CE258" i="11"/>
  <c r="AS258" i="11"/>
  <c r="CH257" i="11"/>
  <c r="CG257" i="11"/>
  <c r="CE257" i="11"/>
  <c r="AS257" i="11"/>
  <c r="CH256" i="11"/>
  <c r="CG256" i="11"/>
  <c r="CE256" i="11"/>
  <c r="AS256" i="11"/>
  <c r="CH255" i="11"/>
  <c r="CG255" i="11"/>
  <c r="CE255" i="11"/>
  <c r="AS255" i="11"/>
  <c r="CH254" i="11"/>
  <c r="CG254" i="11"/>
  <c r="CE254" i="11"/>
  <c r="AS254" i="11"/>
  <c r="CH253" i="11"/>
  <c r="CG253" i="11"/>
  <c r="CE253" i="11"/>
  <c r="AS253" i="11"/>
  <c r="CH252" i="11"/>
  <c r="CG252" i="11"/>
  <c r="CE252" i="11"/>
  <c r="AS252" i="11"/>
  <c r="CH251" i="11"/>
  <c r="CG251" i="11"/>
  <c r="CE251" i="11"/>
  <c r="AS251" i="11"/>
  <c r="CH250" i="11"/>
  <c r="CG250" i="11"/>
  <c r="AU250" i="11"/>
  <c r="CE250" i="11" s="1"/>
  <c r="AS250" i="11"/>
  <c r="CH249" i="11"/>
  <c r="CG249" i="11"/>
  <c r="CE249" i="11"/>
  <c r="AS249" i="11"/>
  <c r="CH248" i="11"/>
  <c r="CG248" i="11"/>
  <c r="CE248" i="11"/>
  <c r="AS248" i="11"/>
  <c r="F248" i="11"/>
  <c r="CH247" i="11"/>
  <c r="CG247" i="11"/>
  <c r="CE247" i="11"/>
  <c r="AU247" i="11"/>
  <c r="AS247" i="11"/>
  <c r="F247" i="11"/>
  <c r="CH246" i="11"/>
  <c r="CG246" i="11"/>
  <c r="AU246" i="11"/>
  <c r="CE246" i="11" s="1"/>
  <c r="AS246" i="11"/>
  <c r="CH245" i="11"/>
  <c r="CG245" i="11"/>
  <c r="CE245" i="11"/>
  <c r="AS245" i="11"/>
  <c r="CH244" i="11"/>
  <c r="CG244" i="11"/>
  <c r="CE244" i="11"/>
  <c r="AS244" i="11"/>
  <c r="CH243" i="11"/>
  <c r="CG243" i="11"/>
  <c r="CE243" i="11"/>
  <c r="AS243" i="11"/>
  <c r="CH242" i="11"/>
  <c r="CG242" i="11"/>
  <c r="CE242" i="11"/>
  <c r="AS242" i="11"/>
  <c r="CH241" i="11"/>
  <c r="CG241" i="11"/>
  <c r="CE241" i="11"/>
  <c r="AS241" i="11"/>
  <c r="CH240" i="11"/>
  <c r="CG240" i="11"/>
  <c r="CE240" i="11"/>
  <c r="AS240" i="11"/>
  <c r="CH239" i="11"/>
  <c r="CG239" i="11"/>
  <c r="CE239" i="11"/>
  <c r="AS239" i="11"/>
  <c r="CH238" i="11"/>
  <c r="CG238" i="11"/>
  <c r="CE238" i="11"/>
  <c r="AS238" i="11"/>
  <c r="CH237" i="11"/>
  <c r="CG237" i="11"/>
  <c r="CE237" i="11"/>
  <c r="AS237" i="11"/>
  <c r="CH236" i="11"/>
  <c r="CG236" i="11"/>
  <c r="CE236" i="11"/>
  <c r="AS236" i="11"/>
  <c r="CH235" i="11"/>
  <c r="CG235" i="11"/>
  <c r="CE235" i="11"/>
  <c r="AS235" i="11"/>
  <c r="CH234" i="11"/>
  <c r="CG234" i="11"/>
  <c r="CE234" i="11"/>
  <c r="AS234" i="11"/>
  <c r="CH233" i="11"/>
  <c r="CG233" i="11"/>
  <c r="CE233" i="11"/>
  <c r="AS233" i="11"/>
  <c r="CH232" i="11"/>
  <c r="CG232" i="11"/>
  <c r="AU232" i="11"/>
  <c r="CE232" i="11" s="1"/>
  <c r="AS232" i="11"/>
  <c r="CH231" i="11"/>
  <c r="CG231" i="11"/>
  <c r="CE231" i="11"/>
  <c r="AS231" i="11"/>
  <c r="CH230" i="11"/>
  <c r="CG230" i="11"/>
  <c r="CE230" i="11"/>
  <c r="AS230" i="11"/>
  <c r="CH229" i="11"/>
  <c r="CG229" i="11"/>
  <c r="CE229" i="11"/>
  <c r="AS229" i="11"/>
  <c r="CH228" i="11"/>
  <c r="CG228" i="11"/>
  <c r="CE228" i="11"/>
  <c r="AS228" i="11"/>
  <c r="CH227" i="11"/>
  <c r="CG227" i="11"/>
  <c r="CE227" i="11"/>
  <c r="AS227" i="11"/>
  <c r="CH226" i="11"/>
  <c r="CG226" i="11"/>
  <c r="CE226" i="11"/>
  <c r="AS226" i="11"/>
  <c r="CH225" i="11"/>
  <c r="CG225" i="11"/>
  <c r="CE225" i="11"/>
  <c r="AS225" i="11"/>
  <c r="CH224" i="11"/>
  <c r="CG224" i="11"/>
  <c r="CE224" i="11"/>
  <c r="AS224" i="11"/>
  <c r="CH223" i="11"/>
  <c r="CG223" i="11"/>
  <c r="CE223" i="11"/>
  <c r="AS223" i="11"/>
  <c r="CH222" i="11"/>
  <c r="CG222" i="11"/>
  <c r="CE222" i="11"/>
  <c r="AS222" i="11"/>
  <c r="CK221" i="11"/>
  <c r="CJ221" i="11"/>
  <c r="CI221" i="11"/>
  <c r="CC221" i="11"/>
  <c r="CB221" i="11"/>
  <c r="CA221" i="11"/>
  <c r="BZ221" i="11"/>
  <c r="BY221" i="11"/>
  <c r="BX221" i="11"/>
  <c r="BW221" i="11"/>
  <c r="BV221" i="11"/>
  <c r="BU221" i="11"/>
  <c r="BT221" i="11"/>
  <c r="BS221" i="11"/>
  <c r="BR221" i="11"/>
  <c r="BQ221" i="11"/>
  <c r="BP221" i="11"/>
  <c r="BO221" i="11"/>
  <c r="BN221" i="11"/>
  <c r="BM221" i="11"/>
  <c r="BL221" i="11"/>
  <c r="BK221" i="11"/>
  <c r="BJ221" i="11"/>
  <c r="BI221" i="11"/>
  <c r="BH221" i="11"/>
  <c r="BG221" i="11"/>
  <c r="BF221" i="11"/>
  <c r="BE221" i="11"/>
  <c r="BD221" i="11"/>
  <c r="BC221" i="11"/>
  <c r="BB221" i="11"/>
  <c r="BA221" i="11"/>
  <c r="AZ221" i="11"/>
  <c r="AY221" i="11"/>
  <c r="AX221" i="11"/>
  <c r="AW221" i="11"/>
  <c r="AV221" i="11"/>
  <c r="AU221" i="11"/>
  <c r="AT221" i="11"/>
  <c r="AQ221" i="11"/>
  <c r="AP221" i="11"/>
  <c r="AO221" i="11"/>
  <c r="AN221" i="11"/>
  <c r="AM221" i="11"/>
  <c r="AL221" i="11"/>
  <c r="AK221" i="11"/>
  <c r="AJ221" i="11"/>
  <c r="AI221" i="11"/>
  <c r="AH221" i="11"/>
  <c r="AG221" i="11"/>
  <c r="AF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CH220" i="11"/>
  <c r="CG220" i="11"/>
  <c r="CE220" i="11"/>
  <c r="AS220" i="11"/>
  <c r="CH219" i="11"/>
  <c r="CG219" i="11"/>
  <c r="CE219" i="11"/>
  <c r="AS219" i="11"/>
  <c r="CH218" i="11"/>
  <c r="CG218" i="11"/>
  <c r="CE218" i="11"/>
  <c r="AS218" i="11"/>
  <c r="CH217" i="11"/>
  <c r="CG217" i="11"/>
  <c r="CE217" i="11"/>
  <c r="AS217" i="11"/>
  <c r="CH216" i="11"/>
  <c r="CG216" i="11"/>
  <c r="CE216" i="11"/>
  <c r="AS216" i="11"/>
  <c r="CH215" i="11"/>
  <c r="CG215" i="11"/>
  <c r="CE215" i="11"/>
  <c r="AS215" i="11"/>
  <c r="CH214" i="11"/>
  <c r="CG214" i="11"/>
  <c r="CE214" i="11"/>
  <c r="AS214" i="11"/>
  <c r="CH213" i="11"/>
  <c r="CG213" i="11"/>
  <c r="CE213" i="11"/>
  <c r="AS213" i="11"/>
  <c r="CH212" i="11"/>
  <c r="CG212" i="11"/>
  <c r="CE212" i="11"/>
  <c r="AS212" i="11"/>
  <c r="CH211" i="11"/>
  <c r="CG211" i="11"/>
  <c r="CE211" i="11"/>
  <c r="AS211" i="11"/>
  <c r="CH210" i="11"/>
  <c r="CG210" i="11"/>
  <c r="CE210" i="11"/>
  <c r="AS210" i="11"/>
  <c r="CH209" i="11"/>
  <c r="CG209" i="11"/>
  <c r="CE209" i="11"/>
  <c r="AS209" i="11"/>
  <c r="CH208" i="11"/>
  <c r="CG208" i="11"/>
  <c r="CE208" i="11"/>
  <c r="AS208" i="11"/>
  <c r="CH207" i="11"/>
  <c r="CG207" i="11"/>
  <c r="CE207" i="11"/>
  <c r="AS207" i="11"/>
  <c r="CH206" i="11"/>
  <c r="CG206" i="11"/>
  <c r="CE206" i="11"/>
  <c r="AS206" i="11"/>
  <c r="CH205" i="11"/>
  <c r="CG205" i="11"/>
  <c r="CE205" i="11"/>
  <c r="AS205" i="11"/>
  <c r="CH204" i="11"/>
  <c r="CG204" i="11"/>
  <c r="CE204" i="11"/>
  <c r="AS204" i="11"/>
  <c r="CH203" i="11"/>
  <c r="CG203" i="11"/>
  <c r="CE203" i="11"/>
  <c r="AS203" i="11"/>
  <c r="CM202" i="11"/>
  <c r="CL202" i="11"/>
  <c r="CJ202" i="11"/>
  <c r="CI202" i="11"/>
  <c r="CC202" i="11"/>
  <c r="CB202" i="11"/>
  <c r="CA202" i="11"/>
  <c r="BZ202" i="11"/>
  <c r="BY202" i="11"/>
  <c r="BX202" i="11"/>
  <c r="BW202" i="11"/>
  <c r="BV202" i="11"/>
  <c r="BU202" i="11"/>
  <c r="BT202" i="11"/>
  <c r="BS202" i="11"/>
  <c r="BR202" i="11"/>
  <c r="BQ202" i="11"/>
  <c r="BP202" i="11"/>
  <c r="BO202" i="11"/>
  <c r="BN202" i="11"/>
  <c r="BM202" i="11"/>
  <c r="BL202" i="11"/>
  <c r="BK202" i="11"/>
  <c r="BJ202" i="11"/>
  <c r="BH202" i="11"/>
  <c r="BF202" i="11"/>
  <c r="BE202" i="11"/>
  <c r="BD202" i="11"/>
  <c r="BC202" i="11"/>
  <c r="BB202" i="11"/>
  <c r="BA202" i="11"/>
  <c r="AZ202" i="11"/>
  <c r="AY202" i="11"/>
  <c r="AX202" i="11"/>
  <c r="AW202" i="11"/>
  <c r="AV202" i="11"/>
  <c r="AT202" i="11"/>
  <c r="AQ202" i="11"/>
  <c r="AP202" i="11"/>
  <c r="AO202" i="11"/>
  <c r="AN202" i="11"/>
  <c r="AM202" i="11"/>
  <c r="AL202" i="11"/>
  <c r="AK202" i="11"/>
  <c r="AJ202" i="11"/>
  <c r="AI202" i="11"/>
  <c r="AH202" i="11"/>
  <c r="AG202" i="11"/>
  <c r="AF202" i="11"/>
  <c r="AE202" i="11"/>
  <c r="AD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CH201" i="11"/>
  <c r="CG201" i="11"/>
  <c r="CE201" i="11"/>
  <c r="AS201" i="11"/>
  <c r="CH200" i="11"/>
  <c r="CG200" i="11"/>
  <c r="CE200" i="11"/>
  <c r="AS200" i="11"/>
  <c r="CH199" i="11"/>
  <c r="CG199" i="11"/>
  <c r="CE199" i="11"/>
  <c r="AS199" i="11"/>
  <c r="CH198" i="11"/>
  <c r="CG198" i="11"/>
  <c r="CE198" i="11"/>
  <c r="AS198" i="11"/>
  <c r="CH197" i="11"/>
  <c r="CG197" i="11"/>
  <c r="CE197" i="11"/>
  <c r="AS197" i="11"/>
  <c r="CH196" i="11"/>
  <c r="CG196" i="11"/>
  <c r="CE196" i="11"/>
  <c r="AS196" i="11"/>
  <c r="CH195" i="11"/>
  <c r="CG195" i="11"/>
  <c r="CE195" i="11"/>
  <c r="AS195" i="11"/>
  <c r="CH194" i="11"/>
  <c r="CG194" i="11"/>
  <c r="CE194" i="11"/>
  <c r="AS194" i="11"/>
  <c r="CH193" i="11"/>
  <c r="CG193" i="11"/>
  <c r="CE193" i="11"/>
  <c r="AS193" i="11"/>
  <c r="CH192" i="11"/>
  <c r="CG192" i="11"/>
  <c r="CE192" i="11"/>
  <c r="AS192" i="11"/>
  <c r="CH191" i="11"/>
  <c r="CG191" i="11"/>
  <c r="CE191" i="11"/>
  <c r="AS191" i="11"/>
  <c r="CH190" i="11"/>
  <c r="CG190" i="11"/>
  <c r="CE190" i="11"/>
  <c r="AS190" i="11"/>
  <c r="CH189" i="11"/>
  <c r="CG189" i="11"/>
  <c r="CE189" i="11"/>
  <c r="AS189" i="11"/>
  <c r="CH188" i="11"/>
  <c r="CG188" i="11"/>
  <c r="CE188" i="11"/>
  <c r="AS188" i="11"/>
  <c r="CH187" i="11"/>
  <c r="CG187" i="11"/>
  <c r="CE187" i="11"/>
  <c r="AS187" i="11"/>
  <c r="CH186" i="11"/>
  <c r="CG186" i="11"/>
  <c r="CE186" i="11"/>
  <c r="AS186" i="11"/>
  <c r="CH185" i="11"/>
  <c r="CG185" i="11"/>
  <c r="CE185" i="11"/>
  <c r="AS185" i="11"/>
  <c r="CH184" i="11"/>
  <c r="CG184" i="11"/>
  <c r="CE184" i="11"/>
  <c r="AS184" i="11"/>
  <c r="CH183" i="11"/>
  <c r="CG183" i="11"/>
  <c r="CE183" i="11"/>
  <c r="AS183" i="11"/>
  <c r="CH182" i="11"/>
  <c r="CG182" i="11"/>
  <c r="AU182" i="11"/>
  <c r="CE182" i="11" s="1"/>
  <c r="AS182" i="11"/>
  <c r="CH181" i="11"/>
  <c r="CG181" i="11"/>
  <c r="CE181" i="11"/>
  <c r="AS181" i="11"/>
  <c r="CH180" i="11"/>
  <c r="CG180" i="11"/>
  <c r="CE180" i="11"/>
  <c r="AS180" i="11"/>
  <c r="CH179" i="11"/>
  <c r="CG179" i="11"/>
  <c r="CE179" i="11"/>
  <c r="AS179" i="11"/>
  <c r="F179" i="11"/>
  <c r="F180" i="11" s="1"/>
  <c r="F181" i="11" s="1"/>
  <c r="CH178" i="11"/>
  <c r="CG178" i="11"/>
  <c r="AU178" i="11"/>
  <c r="CE178" i="11" s="1"/>
  <c r="AS178" i="11"/>
  <c r="CH177" i="11"/>
  <c r="CG177" i="11"/>
  <c r="CE177" i="11"/>
  <c r="AS177" i="11"/>
  <c r="CH176" i="11"/>
  <c r="CG176" i="11"/>
  <c r="CE176" i="11"/>
  <c r="AS176" i="11"/>
  <c r="CH175" i="11"/>
  <c r="CG175" i="11"/>
  <c r="CE175" i="11"/>
  <c r="AS175" i="11"/>
  <c r="CH174" i="11"/>
  <c r="CG174" i="11"/>
  <c r="CE174" i="11"/>
  <c r="AS174" i="11"/>
  <c r="CH173" i="11"/>
  <c r="CG173" i="11"/>
  <c r="CE173" i="11"/>
  <c r="AS173" i="11"/>
  <c r="CH172" i="11"/>
  <c r="CG172" i="11"/>
  <c r="CE172" i="11"/>
  <c r="AS172" i="11"/>
  <c r="CH171" i="11"/>
  <c r="CG171" i="11"/>
  <c r="CE171" i="11"/>
  <c r="AS171" i="11"/>
  <c r="CH170" i="11"/>
  <c r="CG170" i="11"/>
  <c r="AU170" i="11"/>
  <c r="CE170" i="11" s="1"/>
  <c r="AS170" i="11"/>
  <c r="CH169" i="11"/>
  <c r="CG169" i="11"/>
  <c r="AU169" i="11"/>
  <c r="CE169" i="11" s="1"/>
  <c r="AS169" i="11"/>
  <c r="CH168" i="11"/>
  <c r="CG168" i="11"/>
  <c r="CE168" i="11"/>
  <c r="AS168" i="11"/>
  <c r="F168" i="11"/>
  <c r="CH167" i="11"/>
  <c r="CG167" i="11"/>
  <c r="CE167" i="11"/>
  <c r="AS167" i="11"/>
  <c r="CH166" i="11"/>
  <c r="CG166" i="11"/>
  <c r="CE166" i="11"/>
  <c r="AS166" i="11"/>
  <c r="CH165" i="11"/>
  <c r="CG165" i="11"/>
  <c r="CE165" i="11"/>
  <c r="AS165" i="11"/>
  <c r="CH164" i="11"/>
  <c r="CG164" i="11"/>
  <c r="CE164" i="11"/>
  <c r="AS164" i="11"/>
  <c r="CH163" i="11"/>
  <c r="CG163" i="11"/>
  <c r="CE163" i="11"/>
  <c r="AS163" i="11"/>
  <c r="CH162" i="11"/>
  <c r="CG162" i="11"/>
  <c r="CE162" i="11"/>
  <c r="AS162" i="11"/>
  <c r="CH161" i="11"/>
  <c r="CG161" i="11"/>
  <c r="CE161" i="11"/>
  <c r="AS161" i="11"/>
  <c r="CH160" i="11"/>
  <c r="CG160" i="11"/>
  <c r="CE160" i="11"/>
  <c r="AS160" i="11"/>
  <c r="CH159" i="11"/>
  <c r="CG159" i="11"/>
  <c r="CE159" i="11"/>
  <c r="AS159" i="11"/>
  <c r="CH158" i="11"/>
  <c r="CG158" i="11"/>
  <c r="CE158" i="11"/>
  <c r="AS158" i="11"/>
  <c r="CH157" i="11"/>
  <c r="CG157" i="11"/>
  <c r="CE157" i="11"/>
  <c r="AS157" i="11"/>
  <c r="CH156" i="11"/>
  <c r="CG156" i="11"/>
  <c r="CE156" i="11"/>
  <c r="AS156" i="11"/>
  <c r="CH155" i="11"/>
  <c r="CG155" i="11"/>
  <c r="CE155" i="11"/>
  <c r="AS155" i="11"/>
  <c r="CH154" i="11"/>
  <c r="CG154" i="11"/>
  <c r="CE154" i="11"/>
  <c r="AS154" i="11"/>
  <c r="CH153" i="11"/>
  <c r="CG153" i="11"/>
  <c r="CE153" i="11"/>
  <c r="AS153" i="11"/>
  <c r="CH152" i="11"/>
  <c r="CG152" i="11"/>
  <c r="CE152" i="11"/>
  <c r="AS152" i="11"/>
  <c r="CH151" i="11"/>
  <c r="CG151" i="11"/>
  <c r="CE151" i="11"/>
  <c r="AS151" i="11"/>
  <c r="CH150" i="11"/>
  <c r="CG150" i="11"/>
  <c r="CE150" i="11"/>
  <c r="AS150" i="11"/>
  <c r="F150" i="11"/>
  <c r="F151" i="11" s="1"/>
  <c r="CH149" i="11"/>
  <c r="CG149" i="11"/>
  <c r="CE149" i="11"/>
  <c r="AS149" i="11"/>
  <c r="CH148" i="11"/>
  <c r="CG148" i="11"/>
  <c r="CE148" i="11"/>
  <c r="AS148" i="11"/>
  <c r="CH147" i="11"/>
  <c r="CG147" i="11"/>
  <c r="CE147" i="11"/>
  <c r="AS147" i="11"/>
  <c r="CH146" i="11"/>
  <c r="CG146" i="11"/>
  <c r="CE146" i="11"/>
  <c r="AS146" i="11"/>
  <c r="CH145" i="11"/>
  <c r="CG145" i="11"/>
  <c r="CE145" i="11"/>
  <c r="AS145" i="11"/>
  <c r="CH144" i="11"/>
  <c r="CG144" i="11"/>
  <c r="CE144" i="11"/>
  <c r="AS144" i="11"/>
  <c r="CH143" i="11"/>
  <c r="CG143" i="11"/>
  <c r="CE143" i="11"/>
  <c r="AS143" i="11"/>
  <c r="CH142" i="11"/>
  <c r="CG142" i="11"/>
  <c r="CE142" i="11"/>
  <c r="AS142" i="11"/>
  <c r="CH141" i="11"/>
  <c r="CG141" i="11"/>
  <c r="CE141" i="11"/>
  <c r="AS141" i="11"/>
  <c r="CH140" i="11"/>
  <c r="CG140" i="11"/>
  <c r="CE140" i="11"/>
  <c r="AS140" i="11"/>
  <c r="CH139" i="11"/>
  <c r="CG139" i="11"/>
  <c r="CE139" i="11"/>
  <c r="AS139" i="11"/>
  <c r="CH138" i="11"/>
  <c r="CG138" i="11"/>
  <c r="CE138" i="11"/>
  <c r="AS138" i="11"/>
  <c r="CH137" i="11"/>
  <c r="CG137" i="11"/>
  <c r="CE137" i="11"/>
  <c r="AS137" i="11"/>
  <c r="CH136" i="11"/>
  <c r="CG136" i="11"/>
  <c r="CE136" i="11"/>
  <c r="AS136" i="11"/>
  <c r="CH135" i="11"/>
  <c r="CG135" i="11"/>
  <c r="CE135" i="11"/>
  <c r="AS135" i="11"/>
  <c r="CH134" i="11"/>
  <c r="CG134" i="11"/>
  <c r="CE134" i="11"/>
  <c r="AS134" i="11"/>
  <c r="CH133" i="11"/>
  <c r="CG133" i="11"/>
  <c r="AU133" i="11"/>
  <c r="CE133" i="11" s="1"/>
  <c r="AS133" i="11"/>
  <c r="CH132" i="11"/>
  <c r="CG132" i="11"/>
  <c r="CE132" i="11"/>
  <c r="AS132" i="11"/>
  <c r="CH131" i="11"/>
  <c r="CG131" i="11"/>
  <c r="AU131" i="11"/>
  <c r="CE131" i="11" s="1"/>
  <c r="AS131" i="11"/>
  <c r="CH130" i="11"/>
  <c r="CG130" i="11"/>
  <c r="AU130" i="11"/>
  <c r="CE130" i="11" s="1"/>
  <c r="AS130" i="11"/>
  <c r="CH129" i="11"/>
  <c r="CG129" i="11"/>
  <c r="CE129" i="11"/>
  <c r="AS129" i="11"/>
  <c r="CH128" i="11"/>
  <c r="CG128" i="11"/>
  <c r="CE128" i="11"/>
  <c r="AS128" i="11"/>
  <c r="CH127" i="11"/>
  <c r="CG127" i="11"/>
  <c r="AU127" i="11"/>
  <c r="CE127" i="11" s="1"/>
  <c r="AS127" i="11"/>
  <c r="CH126" i="11"/>
  <c r="CG126" i="11"/>
  <c r="CE126" i="11"/>
  <c r="AS126" i="11"/>
  <c r="CH125" i="11"/>
  <c r="CG125" i="11"/>
  <c r="CE125" i="11"/>
  <c r="AS125" i="11"/>
  <c r="CH124" i="11"/>
  <c r="CG124" i="11"/>
  <c r="CE124" i="11"/>
  <c r="AS124" i="11"/>
  <c r="CH123" i="11"/>
  <c r="CG123" i="11"/>
  <c r="CE123" i="11"/>
  <c r="AS123" i="11"/>
  <c r="CH122" i="11"/>
  <c r="CG122" i="11"/>
  <c r="CE122" i="11"/>
  <c r="AS122" i="11"/>
  <c r="CH121" i="11"/>
  <c r="CG121" i="11"/>
  <c r="CE121" i="11"/>
  <c r="AS121" i="11"/>
  <c r="CH120" i="11"/>
  <c r="CG120" i="11"/>
  <c r="CE120" i="11"/>
  <c r="AS120" i="11"/>
  <c r="CH119" i="11"/>
  <c r="CG119" i="11"/>
  <c r="CE119" i="11"/>
  <c r="AS119" i="11"/>
  <c r="CH118" i="11"/>
  <c r="CG118" i="11"/>
  <c r="CE118" i="11"/>
  <c r="AS118" i="11"/>
  <c r="CH117" i="11"/>
  <c r="CG117" i="11"/>
  <c r="CE117" i="11"/>
  <c r="AS117" i="11"/>
  <c r="CH116" i="11"/>
  <c r="CG116" i="11"/>
  <c r="CE116" i="11"/>
  <c r="AS116" i="11"/>
  <c r="CH115" i="11"/>
  <c r="CG115" i="11"/>
  <c r="CE115" i="11"/>
  <c r="AS115" i="11"/>
  <c r="CH114" i="11"/>
  <c r="CG114" i="11"/>
  <c r="CE114" i="11"/>
  <c r="AS114" i="11"/>
  <c r="CH113" i="11"/>
  <c r="CG113" i="11"/>
  <c r="CE113" i="11"/>
  <c r="AS113" i="11"/>
  <c r="CH112" i="11"/>
  <c r="CG112" i="11"/>
  <c r="CE112" i="11"/>
  <c r="AS112" i="11"/>
  <c r="CH111" i="11"/>
  <c r="CG111" i="11"/>
  <c r="CE111" i="11"/>
  <c r="AS111" i="11"/>
  <c r="CH110" i="11"/>
  <c r="CG110" i="11"/>
  <c r="AU110" i="11"/>
  <c r="CE110" i="11" s="1"/>
  <c r="AS110" i="11"/>
  <c r="CH109" i="11"/>
  <c r="CG109" i="11"/>
  <c r="CE109" i="11"/>
  <c r="AS109" i="11"/>
  <c r="CH108" i="11"/>
  <c r="CG108" i="11"/>
  <c r="CE108" i="11"/>
  <c r="AS108" i="11"/>
  <c r="CH107" i="11"/>
  <c r="CG107" i="11"/>
  <c r="CE107" i="11"/>
  <c r="AS107" i="11"/>
  <c r="CH106" i="11"/>
  <c r="CG106" i="11"/>
  <c r="CE106" i="11"/>
  <c r="AS106" i="11"/>
  <c r="CH105" i="11"/>
  <c r="CG105" i="11"/>
  <c r="CE105" i="11"/>
  <c r="AS105" i="11"/>
  <c r="CH104" i="11"/>
  <c r="CG104" i="11"/>
  <c r="CE104" i="11"/>
  <c r="AS104" i="11"/>
  <c r="CH103" i="11"/>
  <c r="CG103" i="11"/>
  <c r="CE103" i="11"/>
  <c r="AS103" i="11"/>
  <c r="CH102" i="11"/>
  <c r="CG102" i="11"/>
  <c r="CE102" i="11"/>
  <c r="AS102" i="11"/>
  <c r="CH101" i="11"/>
  <c r="CG101" i="11"/>
  <c r="CE101" i="11"/>
  <c r="AS101" i="11"/>
  <c r="CH100" i="11"/>
  <c r="CG100" i="11"/>
  <c r="CE100" i="11"/>
  <c r="AS100" i="11"/>
  <c r="CH99" i="11"/>
  <c r="CG99" i="11"/>
  <c r="CE99" i="11"/>
  <c r="AS99" i="11"/>
  <c r="CH98" i="11"/>
  <c r="CG98" i="11"/>
  <c r="CE98" i="11"/>
  <c r="AS98" i="11"/>
  <c r="CH97" i="11"/>
  <c r="CG97" i="11"/>
  <c r="CE97" i="11"/>
  <c r="AS97" i="11"/>
  <c r="CH96" i="11"/>
  <c r="CG96" i="11"/>
  <c r="CE96" i="11"/>
  <c r="AS96" i="11"/>
  <c r="CH95" i="11"/>
  <c r="CG95" i="11"/>
  <c r="CE95" i="11"/>
  <c r="AS95" i="11"/>
  <c r="CH94" i="11"/>
  <c r="CG94" i="11"/>
  <c r="CE94" i="11"/>
  <c r="AS94" i="11"/>
  <c r="F94" i="11"/>
  <c r="CH93" i="11"/>
  <c r="CG93" i="11"/>
  <c r="CE93" i="11"/>
  <c r="AS93" i="11"/>
  <c r="CH92" i="11"/>
  <c r="CG92" i="11"/>
  <c r="AU92" i="11"/>
  <c r="CE92" i="11" s="1"/>
  <c r="AS92" i="11"/>
  <c r="CH91" i="11"/>
  <c r="CG91" i="11"/>
  <c r="CE91" i="11"/>
  <c r="AS91" i="11"/>
  <c r="CH90" i="11"/>
  <c r="CG90" i="11"/>
  <c r="CE90" i="11"/>
  <c r="AS90" i="11"/>
  <c r="CH89" i="11"/>
  <c r="CG89" i="11"/>
  <c r="CE89" i="11"/>
  <c r="AS89" i="11"/>
  <c r="CH88" i="11"/>
  <c r="CG88" i="11"/>
  <c r="CE88" i="11"/>
  <c r="AS88" i="11"/>
  <c r="CH87" i="11"/>
  <c r="CG87" i="11"/>
  <c r="CE87" i="11"/>
  <c r="AS87" i="11"/>
  <c r="CH86" i="11"/>
  <c r="CG86" i="11"/>
  <c r="CE86" i="11"/>
  <c r="AS86" i="11"/>
  <c r="CH85" i="11"/>
  <c r="CG85" i="11"/>
  <c r="CE85" i="11"/>
  <c r="AS85" i="11"/>
  <c r="CH84" i="11"/>
  <c r="CG84" i="11"/>
  <c r="CE84" i="11"/>
  <c r="AS84" i="11"/>
  <c r="CH83" i="11"/>
  <c r="CG83" i="11"/>
  <c r="CE83" i="11"/>
  <c r="AS83" i="11"/>
  <c r="CH82" i="11"/>
  <c r="CG82" i="11"/>
  <c r="CE82" i="11"/>
  <c r="AS82" i="11"/>
  <c r="CH81" i="11"/>
  <c r="CG81" i="11"/>
  <c r="CE81" i="11"/>
  <c r="AS81" i="11"/>
  <c r="CH80" i="11"/>
  <c r="CG80" i="11"/>
  <c r="CE80" i="11"/>
  <c r="AS80" i="11"/>
  <c r="CH79" i="11"/>
  <c r="CG79" i="11"/>
  <c r="CE79" i="11"/>
  <c r="AS79" i="11"/>
  <c r="CK78" i="11"/>
  <c r="CK202" i="11" s="1"/>
  <c r="CH78" i="11"/>
  <c r="CG78" i="11"/>
  <c r="CE78" i="11"/>
  <c r="AS78" i="11"/>
  <c r="CH77" i="11"/>
  <c r="CG77" i="11"/>
  <c r="CE77" i="11"/>
  <c r="AS77" i="11"/>
  <c r="CH76" i="11"/>
  <c r="CG76" i="11"/>
  <c r="BI76" i="11"/>
  <c r="BG76" i="11"/>
  <c r="AU76" i="11"/>
  <c r="AS76" i="11"/>
  <c r="CH75" i="11"/>
  <c r="CG75" i="11"/>
  <c r="BI75" i="11"/>
  <c r="CE75" i="11" s="1"/>
  <c r="AS75" i="11"/>
  <c r="CH74" i="11"/>
  <c r="CG74" i="11"/>
  <c r="CE74" i="11"/>
  <c r="AS74" i="11"/>
  <c r="CH73" i="11"/>
  <c r="CG73" i="11"/>
  <c r="CE73" i="11"/>
  <c r="AS73" i="11"/>
  <c r="CH72" i="11"/>
  <c r="CG72" i="11"/>
  <c r="CE72" i="11"/>
  <c r="AS72" i="11"/>
  <c r="CH71" i="11"/>
  <c r="CG71" i="11"/>
  <c r="CE71" i="11"/>
  <c r="AS71" i="11"/>
  <c r="CH70" i="11"/>
  <c r="CG70" i="11"/>
  <c r="CE70" i="11"/>
  <c r="AS70" i="11"/>
  <c r="CH69" i="11"/>
  <c r="CG69" i="11"/>
  <c r="BI69" i="11"/>
  <c r="CE69" i="11" s="1"/>
  <c r="AS69" i="11"/>
  <c r="CH68" i="11"/>
  <c r="CG68" i="11"/>
  <c r="BI68" i="11"/>
  <c r="CE68" i="11" s="1"/>
  <c r="AS68" i="11"/>
  <c r="CH67" i="11"/>
  <c r="CG67" i="11"/>
  <c r="CE67" i="11"/>
  <c r="AS67" i="11"/>
  <c r="CH66" i="11"/>
  <c r="CG66" i="11"/>
  <c r="BI66" i="11"/>
  <c r="CE66" i="11" s="1"/>
  <c r="AS66" i="11"/>
  <c r="CH65" i="11"/>
  <c r="CG65" i="11"/>
  <c r="CE65" i="11"/>
  <c r="AS65" i="11"/>
  <c r="CH64" i="11"/>
  <c r="CG64" i="11"/>
  <c r="CE64" i="11"/>
  <c r="AS64" i="11"/>
  <c r="CH63" i="11"/>
  <c r="CG63" i="11"/>
  <c r="CE63" i="11"/>
  <c r="AS63" i="11"/>
  <c r="CH62" i="11"/>
  <c r="CG62" i="11"/>
  <c r="CE62" i="11"/>
  <c r="AS62" i="11"/>
  <c r="CH61" i="11"/>
  <c r="CG61" i="11"/>
  <c r="CE61" i="11"/>
  <c r="AS61" i="11"/>
  <c r="CH60" i="11"/>
  <c r="CG60" i="11"/>
  <c r="CE60" i="11"/>
  <c r="AS60" i="11"/>
  <c r="CH59" i="11"/>
  <c r="CG59" i="11"/>
  <c r="CE59" i="11"/>
  <c r="AS59" i="11"/>
  <c r="CH58" i="11"/>
  <c r="CG58" i="11"/>
  <c r="CE58" i="11"/>
  <c r="AS58" i="11"/>
  <c r="CH57" i="11"/>
  <c r="CG57" i="11"/>
  <c r="CE57" i="11"/>
  <c r="AS57" i="11"/>
  <c r="CH56" i="11"/>
  <c r="CG56" i="11"/>
  <c r="CE56" i="11"/>
  <c r="AS56" i="11"/>
  <c r="CH55" i="11"/>
  <c r="CG55" i="11"/>
  <c r="BI55" i="11"/>
  <c r="CE55" i="11" s="1"/>
  <c r="AS55" i="11"/>
  <c r="CH54" i="11"/>
  <c r="CG54" i="11"/>
  <c r="BI54" i="11"/>
  <c r="CE54" i="11" s="1"/>
  <c r="AS54" i="11"/>
  <c r="CH53" i="11"/>
  <c r="CG53" i="11"/>
  <c r="BI53" i="11"/>
  <c r="CE53" i="11" s="1"/>
  <c r="AS53" i="11"/>
  <c r="CH52" i="11"/>
  <c r="CG52" i="11"/>
  <c r="BI52" i="11"/>
  <c r="CE52" i="11" s="1"/>
  <c r="AS52" i="11"/>
  <c r="CH51" i="11"/>
  <c r="CG51" i="11"/>
  <c r="BI51" i="11"/>
  <c r="AS51" i="11"/>
  <c r="CH50" i="11"/>
  <c r="CG50" i="11"/>
  <c r="CE50" i="11"/>
  <c r="AS50" i="11"/>
  <c r="CH49" i="11"/>
  <c r="CG49" i="11"/>
  <c r="BI49" i="11"/>
  <c r="CE49" i="11" s="1"/>
  <c r="AS49" i="11"/>
  <c r="CH48" i="11"/>
  <c r="CG48" i="11"/>
  <c r="BI48" i="11"/>
  <c r="AU48" i="11"/>
  <c r="AS48" i="11"/>
  <c r="CH47" i="11"/>
  <c r="CG47" i="11"/>
  <c r="BI47" i="11"/>
  <c r="AU47" i="11"/>
  <c r="AS47" i="11"/>
  <c r="CH46" i="11"/>
  <c r="CG46" i="11"/>
  <c r="BI46" i="11"/>
  <c r="AU46" i="11"/>
  <c r="AS46" i="11"/>
  <c r="CH45" i="11"/>
  <c r="CG45" i="11"/>
  <c r="BI45" i="11"/>
  <c r="AU45" i="11"/>
  <c r="AS45" i="11"/>
  <c r="CH44" i="11"/>
  <c r="CG44" i="11"/>
  <c r="AU44" i="11"/>
  <c r="CE44" i="11" s="1"/>
  <c r="AS44" i="11"/>
  <c r="CH43" i="11"/>
  <c r="CG43" i="11"/>
  <c r="BI43" i="11"/>
  <c r="AU43" i="11"/>
  <c r="AS43" i="11"/>
  <c r="CH42" i="11"/>
  <c r="CG42" i="11"/>
  <c r="BI42" i="11"/>
  <c r="AU42" i="11"/>
  <c r="CE42" i="11" s="1"/>
  <c r="AS42" i="11"/>
  <c r="CH41" i="11"/>
  <c r="CG41" i="11"/>
  <c r="BI41" i="11"/>
  <c r="AU41" i="11"/>
  <c r="CE41" i="11" s="1"/>
  <c r="AS41" i="11"/>
  <c r="CH40" i="11"/>
  <c r="CG40" i="11"/>
  <c r="CE40" i="11"/>
  <c r="AS40" i="11"/>
  <c r="CH39" i="11"/>
  <c r="CG39" i="11"/>
  <c r="CE39" i="11"/>
  <c r="AU39" i="11"/>
  <c r="AS39" i="11"/>
  <c r="CH38" i="11"/>
  <c r="CG38" i="11"/>
  <c r="CE38" i="11"/>
  <c r="AS38" i="11"/>
  <c r="CH37" i="11"/>
  <c r="CG37" i="11"/>
  <c r="CE37" i="11"/>
  <c r="AS37" i="11"/>
  <c r="F37" i="11"/>
  <c r="CH36" i="11"/>
  <c r="CG36" i="11"/>
  <c r="CE36" i="11"/>
  <c r="AS36" i="11"/>
  <c r="CH35" i="11"/>
  <c r="CG35" i="11"/>
  <c r="CE35" i="11"/>
  <c r="AS35" i="11"/>
  <c r="CH34" i="11"/>
  <c r="CG34" i="11"/>
  <c r="CE34" i="11"/>
  <c r="AS34" i="11"/>
  <c r="CH33" i="11"/>
  <c r="CG33" i="11"/>
  <c r="CE33" i="11"/>
  <c r="AS33" i="11"/>
  <c r="F33" i="11"/>
  <c r="CH32" i="11"/>
  <c r="CG32" i="11"/>
  <c r="AU32" i="11"/>
  <c r="CE32" i="11" s="1"/>
  <c r="AS32" i="11"/>
  <c r="CH31" i="11"/>
  <c r="CG31" i="11"/>
  <c r="CE31" i="11"/>
  <c r="AU31" i="11"/>
  <c r="AS31" i="11"/>
  <c r="CH30" i="11"/>
  <c r="CG30" i="11"/>
  <c r="CE30" i="11"/>
  <c r="AS30" i="11"/>
  <c r="CH29" i="11"/>
  <c r="CG29" i="11"/>
  <c r="CE29" i="11"/>
  <c r="AS29" i="11"/>
  <c r="CH28" i="11"/>
  <c r="CG28" i="11"/>
  <c r="CE28" i="11"/>
  <c r="AS28" i="11"/>
  <c r="CH27" i="11"/>
  <c r="CG27" i="11"/>
  <c r="AU27" i="11"/>
  <c r="CE27" i="11" s="1"/>
  <c r="AS27" i="11"/>
  <c r="CH26" i="11"/>
  <c r="CG26" i="11"/>
  <c r="AU26" i="11"/>
  <c r="AS26" i="11"/>
  <c r="CF1162" i="8" l="1"/>
  <c r="CF33" i="8"/>
  <c r="CF34" i="8"/>
  <c r="CF36" i="8"/>
  <c r="CF40" i="8"/>
  <c r="CF127" i="8"/>
  <c r="CF643" i="8"/>
  <c r="CF644" i="8"/>
  <c r="CF649" i="8"/>
  <c r="CL782" i="8"/>
  <c r="CB782" i="8"/>
  <c r="CF805" i="8"/>
  <c r="CF673" i="8"/>
  <c r="S1211" i="8"/>
  <c r="W1211" i="8"/>
  <c r="AA1211" i="8"/>
  <c r="CF175" i="8"/>
  <c r="CF266" i="8"/>
  <c r="CF460" i="8"/>
  <c r="CF469" i="8"/>
  <c r="AF782" i="8"/>
  <c r="AZ782" i="8"/>
  <c r="CF267" i="8"/>
  <c r="CF268" i="8"/>
  <c r="CF269" i="8"/>
  <c r="CF270" i="8"/>
  <c r="CF275" i="8"/>
  <c r="CF276" i="8"/>
  <c r="CF277" i="8"/>
  <c r="CF278" i="8"/>
  <c r="CF827" i="8"/>
  <c r="CF893" i="8"/>
  <c r="CF652" i="8"/>
  <c r="CF345" i="8"/>
  <c r="CF916" i="8"/>
  <c r="CF378" i="8"/>
  <c r="CF379" i="8"/>
  <c r="CF380" i="8"/>
  <c r="CF381" i="8"/>
  <c r="CF392" i="8"/>
  <c r="CF710" i="8"/>
  <c r="CF806" i="8"/>
  <c r="CF966" i="8"/>
  <c r="CF967" i="8"/>
  <c r="CF968" i="8"/>
  <c r="CF969" i="8"/>
  <c r="CF58" i="8"/>
  <c r="CF59" i="8"/>
  <c r="CF60" i="8"/>
  <c r="CF61" i="8"/>
  <c r="CF72" i="8"/>
  <c r="CF143" i="8"/>
  <c r="CF144" i="8"/>
  <c r="CF179" i="8"/>
  <c r="CF184" i="8"/>
  <c r="CF281" i="8"/>
  <c r="CF334" i="8"/>
  <c r="CF832" i="8"/>
  <c r="CF837" i="8"/>
  <c r="CF845" i="8"/>
  <c r="CF443" i="8"/>
  <c r="CF907" i="8"/>
  <c r="CF102" i="8"/>
  <c r="CF485" i="8"/>
  <c r="CF705" i="8"/>
  <c r="CF706" i="8"/>
  <c r="CF764" i="8"/>
  <c r="CF780" i="8"/>
  <c r="CM782" i="8"/>
  <c r="CF786" i="8"/>
  <c r="CF787" i="8"/>
  <c r="CF1076" i="8"/>
  <c r="CF32" i="8"/>
  <c r="CF329" i="8"/>
  <c r="CF337" i="8"/>
  <c r="CF501" i="8"/>
  <c r="CF502" i="8"/>
  <c r="CF505" i="8"/>
  <c r="CF513" i="8"/>
  <c r="CF516" i="8"/>
  <c r="CF520" i="8"/>
  <c r="CF536" i="8"/>
  <c r="CF537" i="8"/>
  <c r="CF552" i="8"/>
  <c r="CF568" i="8"/>
  <c r="CF711" i="8"/>
  <c r="CF712" i="8"/>
  <c r="CF723" i="8"/>
  <c r="CF727" i="8"/>
  <c r="CF1105" i="8"/>
  <c r="CF1147" i="8"/>
  <c r="CF1148" i="8"/>
  <c r="CF1149" i="8"/>
  <c r="CF1152" i="8"/>
  <c r="CF1166" i="8"/>
  <c r="CF1181" i="8"/>
  <c r="CF155" i="8"/>
  <c r="CF182" i="8"/>
  <c r="CF192" i="8"/>
  <c r="CF193" i="8"/>
  <c r="CF197" i="8"/>
  <c r="CF201" i="8"/>
  <c r="CF204" i="8"/>
  <c r="CF318" i="8"/>
  <c r="CF322" i="8"/>
  <c r="CF341" i="8"/>
  <c r="CF444" i="8"/>
  <c r="CF445" i="8"/>
  <c r="CF446" i="8"/>
  <c r="CF447" i="8"/>
  <c r="CF642" i="8"/>
  <c r="CF670" i="8"/>
  <c r="CF671" i="8"/>
  <c r="CF688" i="8"/>
  <c r="CF702" i="8"/>
  <c r="CF807" i="8"/>
  <c r="CF809" i="8"/>
  <c r="CF813" i="8"/>
  <c r="CF814" i="8"/>
  <c r="CF817" i="8"/>
  <c r="CF818" i="8"/>
  <c r="CF824" i="8"/>
  <c r="CF889" i="8"/>
  <c r="CF890" i="8"/>
  <c r="CF896" i="8"/>
  <c r="CF921" i="8"/>
  <c r="CF931" i="8"/>
  <c r="CF936" i="8"/>
  <c r="CF994" i="8"/>
  <c r="CF1006" i="8"/>
  <c r="CF1022" i="8"/>
  <c r="CF1032" i="8"/>
  <c r="CF1056" i="8"/>
  <c r="CF1135" i="8"/>
  <c r="CF1146" i="8"/>
  <c r="CF1230" i="8"/>
  <c r="CF103" i="8"/>
  <c r="CF104" i="8"/>
  <c r="CF110" i="8"/>
  <c r="CF111" i="8"/>
  <c r="CF112" i="8"/>
  <c r="CF216" i="8"/>
  <c r="CF393" i="8"/>
  <c r="CF394" i="8"/>
  <c r="CF395" i="8"/>
  <c r="CF396" i="8"/>
  <c r="CF402" i="8"/>
  <c r="CF659" i="8"/>
  <c r="H782" i="8"/>
  <c r="L782" i="8"/>
  <c r="P782" i="8"/>
  <c r="T782" i="8"/>
  <c r="X782" i="8"/>
  <c r="AB782" i="8"/>
  <c r="AJ782" i="8"/>
  <c r="AN782" i="8"/>
  <c r="AR782" i="8"/>
  <c r="BD782" i="8"/>
  <c r="BH782" i="8"/>
  <c r="BL782" i="8"/>
  <c r="BP782" i="8"/>
  <c r="BX782" i="8"/>
  <c r="CF788" i="8"/>
  <c r="CF791" i="8"/>
  <c r="CF796" i="8"/>
  <c r="CF846" i="8"/>
  <c r="CF856" i="8"/>
  <c r="CF873" i="8"/>
  <c r="CF970" i="8"/>
  <c r="CF971" i="8"/>
  <c r="CF972" i="8"/>
  <c r="CF973" i="8"/>
  <c r="CF977" i="8"/>
  <c r="CF981" i="8"/>
  <c r="CF988" i="8"/>
  <c r="CF1018" i="8"/>
  <c r="CF1023" i="8"/>
  <c r="CF1040" i="8"/>
  <c r="CF1057" i="8"/>
  <c r="CF1060" i="8"/>
  <c r="CF1061" i="8"/>
  <c r="CF1062" i="8"/>
  <c r="CL1217" i="8"/>
  <c r="CF49" i="8"/>
  <c r="CF84" i="8"/>
  <c r="CF124" i="8"/>
  <c r="CF132" i="8"/>
  <c r="CF160" i="8"/>
  <c r="CF171" i="8"/>
  <c r="CF174" i="8"/>
  <c r="CF185" i="8"/>
  <c r="CF186" i="8"/>
  <c r="CF187" i="8"/>
  <c r="CF218" i="8"/>
  <c r="CF219" i="8"/>
  <c r="CF220" i="8"/>
  <c r="CF228" i="8"/>
  <c r="CF258" i="8"/>
  <c r="CF426" i="8"/>
  <c r="CF427" i="8"/>
  <c r="CF428" i="8"/>
  <c r="CF486" i="8"/>
  <c r="CF487" i="8"/>
  <c r="CF490" i="8"/>
  <c r="CF496" i="8"/>
  <c r="CF497" i="8"/>
  <c r="CF592" i="8"/>
  <c r="CF616" i="8"/>
  <c r="CF618" i="8"/>
  <c r="CF675" i="8"/>
  <c r="J782" i="8"/>
  <c r="N782" i="8"/>
  <c r="R782" i="8"/>
  <c r="V782" i="8"/>
  <c r="Z782" i="8"/>
  <c r="AD782" i="8"/>
  <c r="AH782" i="8"/>
  <c r="AL782" i="8"/>
  <c r="CF847" i="8"/>
  <c r="CF863" i="8"/>
  <c r="CF865" i="8"/>
  <c r="CF866" i="8"/>
  <c r="CF908" i="8"/>
  <c r="CF909" i="8"/>
  <c r="CF913" i="8"/>
  <c r="CF1068" i="8"/>
  <c r="CF1096" i="8"/>
  <c r="CF1104" i="8"/>
  <c r="CG1223" i="8"/>
  <c r="CF1224" i="8"/>
  <c r="CF1227" i="8"/>
  <c r="CF1240" i="8"/>
  <c r="CG1250" i="8"/>
  <c r="CF1255" i="8"/>
  <c r="CF1258" i="8"/>
  <c r="CF98" i="8"/>
  <c r="K782" i="8"/>
  <c r="O782" i="8"/>
  <c r="S782" i="8"/>
  <c r="W782" i="8"/>
  <c r="W1217" i="8" s="1"/>
  <c r="AA782" i="8"/>
  <c r="AA1217" i="8" s="1"/>
  <c r="AE782" i="8"/>
  <c r="AI782" i="8"/>
  <c r="AM782" i="8"/>
  <c r="AQ782" i="8"/>
  <c r="AY782" i="8"/>
  <c r="BG782" i="8"/>
  <c r="BK782" i="8"/>
  <c r="BO782" i="8"/>
  <c r="BS782" i="8"/>
  <c r="BW782" i="8"/>
  <c r="CA782" i="8"/>
  <c r="CI782" i="8"/>
  <c r="CF851" i="8"/>
  <c r="CF965" i="8"/>
  <c r="CF1157" i="8"/>
  <c r="CF1159" i="8"/>
  <c r="CF1200" i="8"/>
  <c r="CF1203" i="8"/>
  <c r="CF659" i="11"/>
  <c r="CF669" i="11"/>
  <c r="CF950" i="11"/>
  <c r="CF690" i="11"/>
  <c r="CF693" i="11"/>
  <c r="CF716" i="11"/>
  <c r="CD39" i="10"/>
  <c r="CD40" i="10"/>
  <c r="CD63" i="10"/>
  <c r="CD85" i="10"/>
  <c r="CD87" i="10"/>
  <c r="CD88" i="10"/>
  <c r="CD92" i="10"/>
  <c r="CD117" i="10"/>
  <c r="CD118" i="10"/>
  <c r="CD122" i="10"/>
  <c r="CD134" i="10"/>
  <c r="CD191" i="10"/>
  <c r="CD195" i="10"/>
  <c r="CD216" i="10"/>
  <c r="CD218" i="10"/>
  <c r="CD226" i="10"/>
  <c r="CD267" i="10"/>
  <c r="CD279" i="10"/>
  <c r="CD285" i="10"/>
  <c r="CD286" i="10"/>
  <c r="CD391" i="10"/>
  <c r="CD52" i="10"/>
  <c r="CD57" i="10"/>
  <c r="CD58" i="10"/>
  <c r="CD144" i="10"/>
  <c r="CD149" i="10"/>
  <c r="CD193" i="10"/>
  <c r="CD202" i="10"/>
  <c r="CD207" i="10"/>
  <c r="CD236" i="10"/>
  <c r="CD237" i="10"/>
  <c r="CD253" i="10"/>
  <c r="CD288" i="10"/>
  <c r="CD290" i="10"/>
  <c r="CD291" i="10"/>
  <c r="CD307" i="10"/>
  <c r="CD309" i="10"/>
  <c r="CD310" i="10"/>
  <c r="CD317" i="10"/>
  <c r="CD100" i="10"/>
  <c r="CD102" i="10"/>
  <c r="CD106" i="10"/>
  <c r="CD151" i="10"/>
  <c r="CD153" i="10"/>
  <c r="CD154" i="10"/>
  <c r="CD175" i="10"/>
  <c r="CD189" i="10"/>
  <c r="CD209" i="10"/>
  <c r="CD261" i="10"/>
  <c r="CD294" i="10"/>
  <c r="CD320" i="10"/>
  <c r="BV1282" i="10"/>
  <c r="BZ1282" i="10"/>
  <c r="CH1282" i="10"/>
  <c r="CL1282" i="10"/>
  <c r="CD339" i="10"/>
  <c r="CD341" i="10"/>
  <c r="CD376" i="10"/>
  <c r="CD378" i="10"/>
  <c r="CD380" i="10"/>
  <c r="CD381" i="10"/>
  <c r="CD422" i="10"/>
  <c r="CD424" i="10"/>
  <c r="CD426" i="10"/>
  <c r="CD427" i="10"/>
  <c r="CD430" i="10"/>
  <c r="CD432" i="10"/>
  <c r="CD434" i="10"/>
  <c r="CD435" i="10"/>
  <c r="CD438" i="10"/>
  <c r="CD440" i="10"/>
  <c r="CD442" i="10"/>
  <c r="CD443" i="10"/>
  <c r="CD446" i="10"/>
  <c r="CD448" i="10"/>
  <c r="CD450" i="10"/>
  <c r="CD451" i="10"/>
  <c r="CD493" i="10"/>
  <c r="CD495" i="10"/>
  <c r="CD497" i="10"/>
  <c r="CD498" i="10"/>
  <c r="CD564" i="10"/>
  <c r="CD607" i="10"/>
  <c r="CD608" i="10"/>
  <c r="CD614" i="10"/>
  <c r="CD653" i="10"/>
  <c r="CD658" i="10"/>
  <c r="CD660" i="10"/>
  <c r="CD661" i="10"/>
  <c r="CD666" i="10"/>
  <c r="CD670" i="10"/>
  <c r="CD675" i="10"/>
  <c r="CD727" i="10"/>
  <c r="CD731" i="10"/>
  <c r="CD750" i="10"/>
  <c r="CD752" i="10"/>
  <c r="CD758" i="10"/>
  <c r="CD793" i="10"/>
  <c r="CD796" i="10"/>
  <c r="CD820" i="10"/>
  <c r="CD822" i="10"/>
  <c r="CD823" i="10"/>
  <c r="CD827" i="10"/>
  <c r="CF887" i="10"/>
  <c r="CD874" i="10"/>
  <c r="CD888" i="10"/>
  <c r="CD893" i="10"/>
  <c r="CD894" i="10"/>
  <c r="CD906" i="10"/>
  <c r="CD986" i="10"/>
  <c r="CD987" i="10"/>
  <c r="CD1049" i="10"/>
  <c r="CD1050" i="10"/>
  <c r="CD1051" i="10"/>
  <c r="CD1219" i="10"/>
  <c r="CD1222" i="10"/>
  <c r="CD1223" i="10"/>
  <c r="CD1226" i="10"/>
  <c r="CD1227" i="10"/>
  <c r="CD1229" i="10"/>
  <c r="CD1251" i="10"/>
  <c r="CD1254" i="10"/>
  <c r="CD1255" i="10"/>
  <c r="CD1258" i="10"/>
  <c r="CD1259" i="10"/>
  <c r="CD1339" i="10"/>
  <c r="CD1342" i="10"/>
  <c r="CI1282" i="10"/>
  <c r="CD392" i="10"/>
  <c r="CD394" i="10"/>
  <c r="CD396" i="10"/>
  <c r="CD397" i="10"/>
  <c r="CM1282" i="10"/>
  <c r="CD470" i="10"/>
  <c r="CD472" i="10"/>
  <c r="CD475" i="10"/>
  <c r="CD476" i="10"/>
  <c r="CD505" i="10"/>
  <c r="CD510" i="10"/>
  <c r="CD515" i="10"/>
  <c r="CD524" i="10"/>
  <c r="CD651" i="10"/>
  <c r="CD994" i="10"/>
  <c r="CD995" i="10"/>
  <c r="CD999" i="10"/>
  <c r="CD1008" i="10"/>
  <c r="CD1016" i="10"/>
  <c r="CD1061" i="10"/>
  <c r="CD1086" i="10"/>
  <c r="CD1116" i="10"/>
  <c r="CD1120" i="10"/>
  <c r="CD1161" i="10"/>
  <c r="CD1165" i="10"/>
  <c r="CD348" i="10"/>
  <c r="CD349" i="10"/>
  <c r="CD369" i="10"/>
  <c r="CD371" i="10"/>
  <c r="CD373" i="10"/>
  <c r="CD405" i="10"/>
  <c r="CD406" i="10"/>
  <c r="CD465" i="10"/>
  <c r="CD539" i="10"/>
  <c r="CD601" i="10"/>
  <c r="CD631" i="10"/>
  <c r="CD669" i="10"/>
  <c r="CD679" i="10"/>
  <c r="CD683" i="10"/>
  <c r="CD836" i="10"/>
  <c r="CD838" i="10"/>
  <c r="CD839" i="10"/>
  <c r="CD843" i="10"/>
  <c r="CD846" i="10"/>
  <c r="CD847" i="10"/>
  <c r="CD848" i="10"/>
  <c r="CD849" i="10"/>
  <c r="CD850" i="10"/>
  <c r="CD851" i="10"/>
  <c r="CD867" i="10"/>
  <c r="CD917" i="10"/>
  <c r="CD918" i="10"/>
  <c r="CD924" i="10"/>
  <c r="CD926" i="10"/>
  <c r="CD933" i="10"/>
  <c r="CD935" i="10"/>
  <c r="CD936" i="10"/>
  <c r="CD962" i="10"/>
  <c r="CD963" i="10"/>
  <c r="CD964" i="10"/>
  <c r="CD983" i="10"/>
  <c r="CD1029" i="10"/>
  <c r="CD1193" i="10"/>
  <c r="CD1205" i="10"/>
  <c r="CD1209" i="10"/>
  <c r="CD1213" i="10"/>
  <c r="CD1296" i="10"/>
  <c r="CD1309" i="10"/>
  <c r="CD1311" i="10"/>
  <c r="CD1321" i="10"/>
  <c r="CD1325" i="10"/>
  <c r="CD1327" i="10"/>
  <c r="CD1329" i="10"/>
  <c r="CD26" i="10"/>
  <c r="CF42" i="10"/>
  <c r="CD48" i="10"/>
  <c r="CD65" i="10"/>
  <c r="CD66" i="10"/>
  <c r="CD120" i="10"/>
  <c r="CD146" i="10"/>
  <c r="CD148" i="10"/>
  <c r="CD164" i="10"/>
  <c r="CD201" i="10"/>
  <c r="CD213" i="10"/>
  <c r="CD250" i="10"/>
  <c r="CD343" i="10"/>
  <c r="CD345" i="10"/>
  <c r="CD366" i="10"/>
  <c r="CD367" i="10"/>
  <c r="CD374" i="10"/>
  <c r="CD398" i="10"/>
  <c r="CD399" i="10"/>
  <c r="CD420" i="10"/>
  <c r="CD429" i="10"/>
  <c r="CD452" i="10"/>
  <c r="CD463" i="10"/>
  <c r="CD464" i="10"/>
  <c r="CD469" i="10"/>
  <c r="CD489" i="10"/>
  <c r="CD492" i="10"/>
  <c r="CD511" i="10"/>
  <c r="CD512" i="10"/>
  <c r="CD514" i="10"/>
  <c r="CD533" i="10"/>
  <c r="CD534" i="10"/>
  <c r="CD537" i="10"/>
  <c r="CD538" i="10"/>
  <c r="CD572" i="10"/>
  <c r="CD592" i="10"/>
  <c r="CD594" i="10"/>
  <c r="CD599" i="10"/>
  <c r="CD602" i="10"/>
  <c r="CD605" i="10"/>
  <c r="CD612" i="10"/>
  <c r="CD629" i="10"/>
  <c r="CD648" i="10"/>
  <c r="CD650" i="10"/>
  <c r="CD654" i="10"/>
  <c r="CD656" i="10"/>
  <c r="CD663" i="10"/>
  <c r="CD31" i="10"/>
  <c r="CD71" i="10"/>
  <c r="CD130" i="10"/>
  <c r="CD198" i="10"/>
  <c r="CD200" i="10"/>
  <c r="CD273" i="10"/>
  <c r="CD567" i="10"/>
  <c r="CD568" i="10"/>
  <c r="CD595" i="10"/>
  <c r="CD1245" i="10"/>
  <c r="CD329" i="10"/>
  <c r="CD330" i="10"/>
  <c r="CD337" i="10"/>
  <c r="CD350" i="10"/>
  <c r="CD351" i="10"/>
  <c r="CD358" i="10"/>
  <c r="CD382" i="10"/>
  <c r="CD383" i="10"/>
  <c r="CD390" i="10"/>
  <c r="CD407" i="10"/>
  <c r="CD413" i="10"/>
  <c r="CD436" i="10"/>
  <c r="CD445" i="10"/>
  <c r="CD477" i="10"/>
  <c r="CD478" i="10"/>
  <c r="CD479" i="10"/>
  <c r="CD485" i="10"/>
  <c r="CD487" i="10"/>
  <c r="CD501" i="10"/>
  <c r="CD503" i="10"/>
  <c r="CD518" i="10"/>
  <c r="CD520" i="10"/>
  <c r="CD521" i="10"/>
  <c r="CD522" i="10"/>
  <c r="CD525" i="10"/>
  <c r="CD527" i="10"/>
  <c r="CD529" i="10"/>
  <c r="CD546" i="10"/>
  <c r="CD587" i="10"/>
  <c r="CD589" i="10"/>
  <c r="CD616" i="10"/>
  <c r="CD618" i="10"/>
  <c r="CD619" i="10"/>
  <c r="CD624" i="10"/>
  <c r="CD626" i="10"/>
  <c r="CD634" i="10"/>
  <c r="CD641" i="10"/>
  <c r="CD33" i="10"/>
  <c r="CD36" i="10"/>
  <c r="CD37" i="10"/>
  <c r="CD54" i="10"/>
  <c r="CD74" i="10"/>
  <c r="CD95" i="10"/>
  <c r="CC323" i="10"/>
  <c r="CD133" i="10"/>
  <c r="CD142" i="10"/>
  <c r="CD155" i="10"/>
  <c r="CD168" i="10"/>
  <c r="CD171" i="10"/>
  <c r="CD172" i="10"/>
  <c r="CD178" i="10"/>
  <c r="CD192" i="10"/>
  <c r="CD204" i="10"/>
  <c r="CD219" i="10"/>
  <c r="CD221" i="10"/>
  <c r="CD229" i="10"/>
  <c r="CD233" i="10"/>
  <c r="CD240" i="10"/>
  <c r="CD254" i="10"/>
  <c r="CD257" i="10"/>
  <c r="CD258" i="10"/>
  <c r="CD263" i="10"/>
  <c r="CD276" i="10"/>
  <c r="CD277" i="10"/>
  <c r="CD311" i="10"/>
  <c r="CD555" i="10"/>
  <c r="CD927" i="10"/>
  <c r="CD1108" i="10"/>
  <c r="CD1154" i="10"/>
  <c r="CD643" i="10"/>
  <c r="CD671" i="10"/>
  <c r="CD673" i="10"/>
  <c r="CD680" i="10"/>
  <c r="CD682" i="10"/>
  <c r="CD689" i="10"/>
  <c r="CD701" i="10"/>
  <c r="CD703" i="10"/>
  <c r="CD704" i="10"/>
  <c r="CD732" i="10"/>
  <c r="CD733" i="10"/>
  <c r="CD735" i="10"/>
  <c r="CD737" i="10"/>
  <c r="CD742" i="10"/>
  <c r="CD776" i="10"/>
  <c r="CD783" i="10"/>
  <c r="CD785" i="10"/>
  <c r="CD786" i="10"/>
  <c r="CD797" i="10"/>
  <c r="CD816" i="10"/>
  <c r="CD817" i="10"/>
  <c r="CD818" i="10"/>
  <c r="CD852" i="10"/>
  <c r="CD854" i="10"/>
  <c r="CD855" i="10"/>
  <c r="CD864" i="10"/>
  <c r="CD866" i="10"/>
  <c r="CD890" i="10"/>
  <c r="CD941" i="10"/>
  <c r="CD953" i="10"/>
  <c r="CD955" i="10"/>
  <c r="CD956" i="10"/>
  <c r="CD957" i="10"/>
  <c r="CD975" i="10"/>
  <c r="CD996" i="10"/>
  <c r="CD1023" i="10"/>
  <c r="CD1024" i="10"/>
  <c r="CD1025" i="10"/>
  <c r="CD1026" i="10"/>
  <c r="CD1053" i="10"/>
  <c r="CD1054" i="10"/>
  <c r="CD1059" i="10"/>
  <c r="CD1060" i="10"/>
  <c r="CD1066" i="10"/>
  <c r="CD1067" i="10"/>
  <c r="CD1068" i="10"/>
  <c r="CD1069" i="10"/>
  <c r="CD1071" i="10"/>
  <c r="CD1072" i="10"/>
  <c r="CD1087" i="10"/>
  <c r="CD1107" i="10"/>
  <c r="CD1130" i="10"/>
  <c r="CD1150" i="10"/>
  <c r="CD1187" i="10"/>
  <c r="CD1190" i="10"/>
  <c r="CD1191" i="10"/>
  <c r="CD1194" i="10"/>
  <c r="CD1195" i="10"/>
  <c r="CD1230" i="10"/>
  <c r="CD1234" i="10"/>
  <c r="CD1242" i="10"/>
  <c r="CD1243" i="10"/>
  <c r="CD1276" i="10"/>
  <c r="CD1277" i="10" s="1"/>
  <c r="CD1302" i="10"/>
  <c r="CD1303" i="10"/>
  <c r="CD1306" i="10"/>
  <c r="CD1312" i="10"/>
  <c r="CD706" i="10"/>
  <c r="CD868" i="10"/>
  <c r="CD880" i="10"/>
  <c r="CD882" i="10"/>
  <c r="CD884" i="10"/>
  <c r="CD896" i="10"/>
  <c r="CD898" i="10"/>
  <c r="CD907" i="10"/>
  <c r="CD908" i="10"/>
  <c r="CD911" i="10"/>
  <c r="CD928" i="10"/>
  <c r="CD929" i="10"/>
  <c r="CD931" i="10"/>
  <c r="CD946" i="10"/>
  <c r="CD948" i="10"/>
  <c r="CD1000" i="10"/>
  <c r="CD1004" i="10"/>
  <c r="CD1015" i="10"/>
  <c r="CD1044" i="10"/>
  <c r="CD1109" i="10"/>
  <c r="CD1110" i="10"/>
  <c r="CD1111" i="10"/>
  <c r="CD1112" i="10"/>
  <c r="CD1117" i="10"/>
  <c r="CD1118" i="10"/>
  <c r="CD1119" i="10"/>
  <c r="CD1132" i="10"/>
  <c r="CD1137" i="10"/>
  <c r="CD1138" i="10"/>
  <c r="CD1139" i="10"/>
  <c r="CD1155" i="10"/>
  <c r="CD1158" i="10"/>
  <c r="CD1159" i="10"/>
  <c r="CD1162" i="10"/>
  <c r="CD1163" i="10"/>
  <c r="CD1173" i="10"/>
  <c r="CD1177" i="10"/>
  <c r="CD1198" i="10"/>
  <c r="CD1202" i="10"/>
  <c r="CD1210" i="10"/>
  <c r="CD1211" i="10"/>
  <c r="CD1246" i="10"/>
  <c r="CD1257" i="10"/>
  <c r="CD1293" i="10"/>
  <c r="CD1295" i="10"/>
  <c r="CD1314" i="10"/>
  <c r="CD1315" i="10"/>
  <c r="CD1317" i="10"/>
  <c r="CD1328" i="10"/>
  <c r="CD665" i="10"/>
  <c r="CD709" i="10"/>
  <c r="CD710" i="10"/>
  <c r="CD717" i="10"/>
  <c r="CD720" i="10"/>
  <c r="CD722" i="10"/>
  <c r="CD729" i="10"/>
  <c r="CD745" i="10"/>
  <c r="CD747" i="10"/>
  <c r="CD748" i="10"/>
  <c r="CD753" i="10"/>
  <c r="CD755" i="10"/>
  <c r="CD756" i="10"/>
  <c r="CD766" i="10"/>
  <c r="CD767" i="10"/>
  <c r="CD773" i="10"/>
  <c r="CD777" i="10"/>
  <c r="CD779" i="10"/>
  <c r="CD790" i="10"/>
  <c r="CD799" i="10"/>
  <c r="CD800" i="10"/>
  <c r="CD845" i="10"/>
  <c r="CD869" i="10"/>
  <c r="CD878" i="10"/>
  <c r="CD920" i="10"/>
  <c r="CD923" i="10"/>
  <c r="F953" i="10"/>
  <c r="CD1089" i="10"/>
  <c r="CD1090" i="10"/>
  <c r="CD1091" i="10"/>
  <c r="CD1092" i="10"/>
  <c r="CD1097" i="10"/>
  <c r="CD1125" i="10"/>
  <c r="CD1145" i="10"/>
  <c r="CD1225" i="10"/>
  <c r="CD1269" i="10"/>
  <c r="CD1341" i="10"/>
  <c r="CE26" i="9"/>
  <c r="CE37" i="9"/>
  <c r="CE41" i="9"/>
  <c r="CE43" i="9"/>
  <c r="CE54" i="9"/>
  <c r="CE81" i="9"/>
  <c r="CE97" i="9"/>
  <c r="CE99" i="9"/>
  <c r="CE116" i="9"/>
  <c r="CE122" i="9"/>
  <c r="CE123" i="9"/>
  <c r="CE134" i="9"/>
  <c r="CE136" i="9"/>
  <c r="CE140" i="9"/>
  <c r="CE183" i="9"/>
  <c r="CE265" i="9"/>
  <c r="CE269" i="9"/>
  <c r="CE319" i="9"/>
  <c r="CE324" i="9"/>
  <c r="CE354" i="9"/>
  <c r="CE357" i="9"/>
  <c r="CE360" i="9"/>
  <c r="CE390" i="9"/>
  <c r="CE150" i="9"/>
  <c r="CE308" i="9"/>
  <c r="CE334" i="9"/>
  <c r="CE433" i="9"/>
  <c r="CE441" i="9"/>
  <c r="CE702" i="9"/>
  <c r="CE73" i="9"/>
  <c r="CE188" i="9"/>
  <c r="CE189" i="9"/>
  <c r="CE191" i="9"/>
  <c r="CE192" i="9"/>
  <c r="CE193" i="9"/>
  <c r="CE194" i="9"/>
  <c r="CE207" i="9"/>
  <c r="CE208" i="9"/>
  <c r="CE209" i="9"/>
  <c r="CE210" i="9"/>
  <c r="CE677" i="9"/>
  <c r="CE108" i="9"/>
  <c r="CE159" i="9"/>
  <c r="CE161" i="9"/>
  <c r="CE162" i="9"/>
  <c r="CE225" i="9"/>
  <c r="CE226" i="9"/>
  <c r="CE227" i="9"/>
  <c r="CE228" i="9"/>
  <c r="CE240" i="9"/>
  <c r="CE241" i="9"/>
  <c r="CE242" i="9"/>
  <c r="CE243" i="9"/>
  <c r="CE340" i="9"/>
  <c r="CE341" i="9"/>
  <c r="CE343" i="9"/>
  <c r="CE344" i="9"/>
  <c r="CE345" i="9"/>
  <c r="CE368" i="9"/>
  <c r="CE369" i="9"/>
  <c r="CE370" i="9"/>
  <c r="CE372" i="9"/>
  <c r="CE373" i="9"/>
  <c r="CE374" i="9"/>
  <c r="CE376" i="9"/>
  <c r="CE377" i="9"/>
  <c r="CE378" i="9"/>
  <c r="CE380" i="9"/>
  <c r="CE381" i="9"/>
  <c r="CE382" i="9"/>
  <c r="CE391" i="9"/>
  <c r="CE413" i="9"/>
  <c r="CE417" i="9"/>
  <c r="CE468" i="9"/>
  <c r="CE469" i="9"/>
  <c r="CE470" i="9"/>
  <c r="CE497" i="9"/>
  <c r="CE537" i="9"/>
  <c r="CE538" i="9"/>
  <c r="CE539" i="9"/>
  <c r="CE867" i="9"/>
  <c r="CE714" i="9"/>
  <c r="CE728" i="9"/>
  <c r="CE742" i="9"/>
  <c r="CE743" i="9"/>
  <c r="CE759" i="9"/>
  <c r="CE779" i="9"/>
  <c r="CE781" i="9"/>
  <c r="CE782" i="9"/>
  <c r="CE786" i="9"/>
  <c r="CE803" i="9"/>
  <c r="CE805" i="9"/>
  <c r="BI955" i="9"/>
  <c r="CE863" i="9"/>
  <c r="CE975" i="9"/>
  <c r="CE978" i="9"/>
  <c r="CE980" i="9"/>
  <c r="CE981" i="9"/>
  <c r="CE992" i="9"/>
  <c r="CE995" i="9"/>
  <c r="CE1000" i="9"/>
  <c r="CE1003" i="9"/>
  <c r="CE1027" i="9"/>
  <c r="CE1028" i="9"/>
  <c r="CE1030" i="9"/>
  <c r="CE1031" i="9"/>
  <c r="CE1032" i="9"/>
  <c r="CE1033" i="9"/>
  <c r="CE1107" i="9"/>
  <c r="CE1108" i="9"/>
  <c r="CE1109" i="9"/>
  <c r="CE1166" i="9"/>
  <c r="CE1172" i="9"/>
  <c r="CE1173" i="9"/>
  <c r="CE1175" i="9"/>
  <c r="CE503" i="9"/>
  <c r="CE504" i="9"/>
  <c r="CE505" i="9"/>
  <c r="CE510" i="9"/>
  <c r="CE511" i="9"/>
  <c r="CE512" i="9"/>
  <c r="CE513" i="9"/>
  <c r="CE549" i="9"/>
  <c r="CE564" i="9"/>
  <c r="CE566" i="9"/>
  <c r="CE574" i="9"/>
  <c r="CE577" i="9"/>
  <c r="CE616" i="9"/>
  <c r="CE617" i="9"/>
  <c r="CE618" i="9"/>
  <c r="CE619" i="9"/>
  <c r="CE620" i="9"/>
  <c r="CE621" i="9"/>
  <c r="CE622" i="9"/>
  <c r="CE623" i="9"/>
  <c r="CE624" i="9"/>
  <c r="CE625" i="9"/>
  <c r="CE626" i="9"/>
  <c r="CE627" i="9"/>
  <c r="CE628" i="9"/>
  <c r="CE629" i="9"/>
  <c r="CE630" i="9"/>
  <c r="CE631" i="9"/>
  <c r="CE632" i="9"/>
  <c r="CE633" i="9"/>
  <c r="CE640" i="9"/>
  <c r="CE649" i="9"/>
  <c r="CE650" i="9"/>
  <c r="CE658" i="9"/>
  <c r="CE662" i="9"/>
  <c r="CE664" i="9"/>
  <c r="CE679" i="9"/>
  <c r="CE685" i="9"/>
  <c r="CE703" i="9"/>
  <c r="CE722" i="9"/>
  <c r="CE791" i="9"/>
  <c r="CE793" i="9"/>
  <c r="CE794" i="9"/>
  <c r="CE822" i="9"/>
  <c r="CE868" i="9"/>
  <c r="CE871" i="9"/>
  <c r="CE873" i="9"/>
  <c r="CE874" i="9"/>
  <c r="CE879" i="9"/>
  <c r="CE899" i="9"/>
  <c r="CE927" i="9"/>
  <c r="CE937" i="9"/>
  <c r="CE961" i="9"/>
  <c r="CE967" i="9"/>
  <c r="CE983" i="9"/>
  <c r="CE1023" i="9"/>
  <c r="CE1052" i="9"/>
  <c r="CE1055" i="9"/>
  <c r="CE1082" i="9"/>
  <c r="CE1087" i="9"/>
  <c r="CE1090" i="9"/>
  <c r="CE1096" i="9"/>
  <c r="CE1115" i="9"/>
  <c r="CE1118" i="9"/>
  <c r="CE1122" i="9"/>
  <c r="CE1136" i="9"/>
  <c r="CE1145" i="9"/>
  <c r="CE1183" i="9"/>
  <c r="CE1184" i="9"/>
  <c r="CE1186" i="9"/>
  <c r="CE1235" i="9"/>
  <c r="CE1237" i="9"/>
  <c r="CE609" i="9"/>
  <c r="CE711" i="9"/>
  <c r="CE848" i="9"/>
  <c r="CE849" i="9"/>
  <c r="CE858" i="9"/>
  <c r="CE919" i="9"/>
  <c r="CE988" i="9"/>
  <c r="CE1071" i="9"/>
  <c r="CE1152" i="9"/>
  <c r="CE1153" i="9"/>
  <c r="K1209" i="9"/>
  <c r="O1209" i="9"/>
  <c r="S1209" i="9"/>
  <c r="W1209" i="9"/>
  <c r="AA1209" i="9"/>
  <c r="AE1209" i="9"/>
  <c r="AI1209" i="9"/>
  <c r="AM1209" i="9"/>
  <c r="AQ1209" i="9"/>
  <c r="I1209" i="9"/>
  <c r="M1209" i="9"/>
  <c r="Q1209" i="9"/>
  <c r="U1209" i="9"/>
  <c r="Y1209" i="9"/>
  <c r="AC1209" i="9"/>
  <c r="AG1209" i="9"/>
  <c r="AK1209" i="9"/>
  <c r="AO1209" i="9"/>
  <c r="CE1218" i="9"/>
  <c r="CE1221" i="9"/>
  <c r="CE79" i="9"/>
  <c r="CE392" i="9"/>
  <c r="CE406" i="9"/>
  <c r="CE449" i="9"/>
  <c r="CE453" i="9"/>
  <c r="CE463" i="9"/>
  <c r="CE464" i="9"/>
  <c r="CE467" i="9"/>
  <c r="CE481" i="9"/>
  <c r="CE489" i="9"/>
  <c r="CE490" i="9"/>
  <c r="CE493" i="9"/>
  <c r="CE498" i="9"/>
  <c r="CE499" i="9"/>
  <c r="CE500" i="9"/>
  <c r="CE509" i="9"/>
  <c r="CE533" i="9"/>
  <c r="CE534" i="9"/>
  <c r="CE535" i="9"/>
  <c r="CE551" i="9"/>
  <c r="CE556" i="9"/>
  <c r="CE557" i="9"/>
  <c r="CE578" i="9"/>
  <c r="CE580" i="9"/>
  <c r="CE583" i="9"/>
  <c r="CE587" i="9"/>
  <c r="CE591" i="9"/>
  <c r="CE600" i="9"/>
  <c r="CE601" i="9"/>
  <c r="CE602" i="9"/>
  <c r="CE603" i="9"/>
  <c r="CE607" i="9"/>
  <c r="CE653" i="9"/>
  <c r="CE655" i="9"/>
  <c r="CE656" i="9"/>
  <c r="CE660" i="9"/>
  <c r="CE665" i="9"/>
  <c r="CE667" i="9"/>
  <c r="CE682" i="9"/>
  <c r="CE689" i="9"/>
  <c r="CE690" i="9"/>
  <c r="CE696" i="9"/>
  <c r="CE707" i="9"/>
  <c r="CE715" i="9"/>
  <c r="CE744" i="9"/>
  <c r="CE837" i="9"/>
  <c r="CE838" i="9"/>
  <c r="CE870" i="9"/>
  <c r="CE878" i="9"/>
  <c r="CE912" i="9"/>
  <c r="CE32" i="9"/>
  <c r="CE34" i="9"/>
  <c r="CE35" i="9"/>
  <c r="CE39" i="9"/>
  <c r="CE67" i="9"/>
  <c r="CE68" i="9"/>
  <c r="CE85" i="9"/>
  <c r="CE88" i="9"/>
  <c r="CE106" i="9"/>
  <c r="CE131" i="9"/>
  <c r="CE132" i="9"/>
  <c r="CE138" i="9"/>
  <c r="CE163" i="9"/>
  <c r="CE166" i="9"/>
  <c r="CE171" i="9"/>
  <c r="CE173" i="9"/>
  <c r="CE195" i="9"/>
  <c r="CE196" i="9"/>
  <c r="CE197" i="9"/>
  <c r="CE198" i="9"/>
  <c r="CE203" i="9"/>
  <c r="CE204" i="9"/>
  <c r="CE205" i="9"/>
  <c r="CE229" i="9"/>
  <c r="CE230" i="9"/>
  <c r="CE231" i="9"/>
  <c r="CE232" i="9"/>
  <c r="CE236" i="9"/>
  <c r="CE237" i="9"/>
  <c r="CE238" i="9"/>
  <c r="CE266" i="9"/>
  <c r="CE267" i="9"/>
  <c r="CE268" i="9"/>
  <c r="CE284" i="9"/>
  <c r="CE305" i="9"/>
  <c r="CE306" i="9"/>
  <c r="CE321" i="9"/>
  <c r="CE326" i="9"/>
  <c r="CE333" i="9"/>
  <c r="CE335" i="9"/>
  <c r="CE336" i="9"/>
  <c r="CE337" i="9"/>
  <c r="CE338" i="9"/>
  <c r="CE339" i="9"/>
  <c r="CE342" i="9"/>
  <c r="CE359" i="9"/>
  <c r="CE364" i="9"/>
  <c r="CE379" i="9"/>
  <c r="CE399" i="9"/>
  <c r="CE540" i="9"/>
  <c r="CE669" i="9"/>
  <c r="CE671" i="9"/>
  <c r="CE672" i="9"/>
  <c r="CE686" i="9"/>
  <c r="CE687" i="9"/>
  <c r="CE698" i="9"/>
  <c r="CE709" i="9"/>
  <c r="CE717" i="9"/>
  <c r="CE731" i="9"/>
  <c r="CE971" i="9"/>
  <c r="CE47" i="9"/>
  <c r="CE49" i="9"/>
  <c r="CE52" i="9"/>
  <c r="CE70" i="9"/>
  <c r="CE77" i="9"/>
  <c r="CE90" i="9"/>
  <c r="CE92" i="9"/>
  <c r="CE95" i="9"/>
  <c r="CE109" i="9"/>
  <c r="CE111" i="9"/>
  <c r="CE113" i="9"/>
  <c r="CE118" i="9"/>
  <c r="CE120" i="9"/>
  <c r="CE145" i="9"/>
  <c r="CE152" i="9"/>
  <c r="CE154" i="9"/>
  <c r="CE174" i="9"/>
  <c r="CE410" i="9"/>
  <c r="CE414" i="9"/>
  <c r="CE426" i="9"/>
  <c r="CE427" i="9"/>
  <c r="CE428" i="9"/>
  <c r="CE429" i="9"/>
  <c r="CE434" i="9"/>
  <c r="CE435" i="9"/>
  <c r="CE436" i="9"/>
  <c r="CE437" i="9"/>
  <c r="CE456" i="9"/>
  <c r="CE457" i="9"/>
  <c r="CE459" i="9"/>
  <c r="CE471" i="9"/>
  <c r="CE472" i="9"/>
  <c r="CE485" i="9"/>
  <c r="CE514" i="9"/>
  <c r="CE515" i="9"/>
  <c r="CE516" i="9"/>
  <c r="CE543" i="9"/>
  <c r="CE568" i="9"/>
  <c r="CE572" i="9"/>
  <c r="CE573" i="9"/>
  <c r="CE576" i="9"/>
  <c r="CE598" i="9"/>
  <c r="CE610" i="9"/>
  <c r="CE641" i="9"/>
  <c r="CE642" i="9"/>
  <c r="CE648" i="9"/>
  <c r="CE768" i="9"/>
  <c r="CE772" i="9"/>
  <c r="CE816" i="9"/>
  <c r="CE817" i="9"/>
  <c r="CE818" i="9"/>
  <c r="CE830" i="9"/>
  <c r="CE842" i="9"/>
  <c r="CE843" i="9"/>
  <c r="CE844" i="9"/>
  <c r="CE850" i="9"/>
  <c r="CE853" i="9"/>
  <c r="CE880" i="9"/>
  <c r="CE883" i="9"/>
  <c r="CE885" i="9"/>
  <c r="CE886" i="9"/>
  <c r="CE891" i="9"/>
  <c r="CE892" i="9"/>
  <c r="CE895" i="9"/>
  <c r="CE920" i="9"/>
  <c r="CE64" i="9"/>
  <c r="CE157" i="9"/>
  <c r="CG409" i="9"/>
  <c r="CE176" i="9"/>
  <c r="CE177" i="9"/>
  <c r="CE178" i="9"/>
  <c r="CE179" i="9"/>
  <c r="CE184" i="9"/>
  <c r="CE185" i="9"/>
  <c r="CE186" i="9"/>
  <c r="CE211" i="9"/>
  <c r="CE212" i="9"/>
  <c r="CE213" i="9"/>
  <c r="CE214" i="9"/>
  <c r="CE220" i="9"/>
  <c r="CE221" i="9"/>
  <c r="CE222" i="9"/>
  <c r="CE223" i="9"/>
  <c r="CE244" i="9"/>
  <c r="CE245" i="9"/>
  <c r="CE246" i="9"/>
  <c r="CE247" i="9"/>
  <c r="CE252" i="9"/>
  <c r="CE253" i="9"/>
  <c r="CE254" i="9"/>
  <c r="CE289" i="9"/>
  <c r="CE290" i="9"/>
  <c r="CE291" i="9"/>
  <c r="CE300" i="9"/>
  <c r="CE316" i="9"/>
  <c r="CE330" i="9"/>
  <c r="F333" i="9"/>
  <c r="CE346" i="9"/>
  <c r="CE349" i="9"/>
  <c r="CE351" i="9"/>
  <c r="CE352" i="9"/>
  <c r="CE371" i="9"/>
  <c r="CE735" i="9"/>
  <c r="CE736" i="9"/>
  <c r="CE761" i="9"/>
  <c r="CE784" i="9"/>
  <c r="CE802" i="9"/>
  <c r="CE823" i="9"/>
  <c r="CE825" i="9"/>
  <c r="CE831" i="9"/>
  <c r="CE855" i="9"/>
  <c r="CE856" i="9"/>
  <c r="CE866" i="9"/>
  <c r="CE900" i="9"/>
  <c r="BH955" i="9"/>
  <c r="BL955" i="9"/>
  <c r="BP955" i="9"/>
  <c r="BT955" i="9"/>
  <c r="BX955" i="9"/>
  <c r="CB955" i="9"/>
  <c r="CJ955" i="9"/>
  <c r="CN955" i="9"/>
  <c r="CE962" i="9"/>
  <c r="CE963" i="9"/>
  <c r="CE964" i="9"/>
  <c r="CE984" i="9"/>
  <c r="CE1004" i="9"/>
  <c r="CE1142" i="9"/>
  <c r="CE1143" i="9"/>
  <c r="CE1146" i="9"/>
  <c r="CE1147" i="9"/>
  <c r="CE1176" i="9"/>
  <c r="CE1178" i="9"/>
  <c r="CE1189" i="9"/>
  <c r="CE1192" i="9"/>
  <c r="CE1193" i="9"/>
  <c r="CE1196" i="9"/>
  <c r="CE1225" i="9"/>
  <c r="CE1236" i="9"/>
  <c r="CE1257" i="9"/>
  <c r="CE1258" i="9"/>
  <c r="CE925" i="9"/>
  <c r="CE928" i="9"/>
  <c r="CE931" i="9"/>
  <c r="CE932" i="9"/>
  <c r="CE934" i="9"/>
  <c r="CG957" i="9"/>
  <c r="CE946" i="9"/>
  <c r="CI955" i="9"/>
  <c r="M955" i="9"/>
  <c r="Q955" i="9"/>
  <c r="Y955" i="9"/>
  <c r="AC955" i="9"/>
  <c r="BE955" i="9"/>
  <c r="BQ955" i="9"/>
  <c r="CK955" i="9"/>
  <c r="CO955" i="9"/>
  <c r="CE959" i="9"/>
  <c r="CE960" i="9" s="1"/>
  <c r="CE972" i="9"/>
  <c r="CE973" i="9"/>
  <c r="CE979" i="9"/>
  <c r="CE1005" i="9"/>
  <c r="CE1006" i="9"/>
  <c r="CE1008" i="9"/>
  <c r="CE1009" i="9"/>
  <c r="CE1020" i="9"/>
  <c r="CE1021" i="9"/>
  <c r="CE1022" i="9"/>
  <c r="CE1024" i="9"/>
  <c r="CE1025" i="9"/>
  <c r="CE1034" i="9"/>
  <c r="CE1035" i="9"/>
  <c r="CE1036" i="9"/>
  <c r="CE1038" i="9"/>
  <c r="CE1039" i="9"/>
  <c r="CE1049" i="9"/>
  <c r="CE1050" i="9"/>
  <c r="CE1051" i="9"/>
  <c r="CE1053" i="9"/>
  <c r="CE1054" i="9"/>
  <c r="CE1065" i="9"/>
  <c r="CE1066" i="9"/>
  <c r="CE1067" i="9"/>
  <c r="CE1068" i="9"/>
  <c r="CE1083" i="9"/>
  <c r="CE1105" i="9"/>
  <c r="CE1113" i="9"/>
  <c r="CE1119" i="9"/>
  <c r="CE1120" i="9"/>
  <c r="CE1121" i="9"/>
  <c r="CE1160" i="9"/>
  <c r="CE1180" i="9"/>
  <c r="CE1205" i="9"/>
  <c r="CE1207" i="9"/>
  <c r="CE1208" i="9"/>
  <c r="CE1219" i="9"/>
  <c r="CE1228" i="9"/>
  <c r="CE1229" i="9"/>
  <c r="CE1234" i="9"/>
  <c r="CE1238" i="9"/>
  <c r="CE1242" i="9"/>
  <c r="CE1247" i="9"/>
  <c r="CE1261" i="9"/>
  <c r="CE916" i="9"/>
  <c r="CE923" i="9"/>
  <c r="CE999" i="9"/>
  <c r="CE1015" i="9"/>
  <c r="CE1029" i="9"/>
  <c r="CE1044" i="9"/>
  <c r="CE1060" i="9"/>
  <c r="CE1137" i="9"/>
  <c r="CE1139" i="9"/>
  <c r="CE1169" i="9"/>
  <c r="CE1170" i="9"/>
  <c r="CE1223" i="9"/>
  <c r="CE1263" i="9"/>
  <c r="CE1264" i="9"/>
  <c r="CE1267" i="9"/>
  <c r="CF716" i="8"/>
  <c r="CF720" i="8"/>
  <c r="CF29" i="8"/>
  <c r="CF183" i="8"/>
  <c r="CF205" i="8"/>
  <c r="CF209" i="8"/>
  <c r="CF229" i="8"/>
  <c r="CF237" i="8"/>
  <c r="CF295" i="8"/>
  <c r="CF303" i="8"/>
  <c r="CF304" i="8"/>
  <c r="CF305" i="8"/>
  <c r="CF306" i="8"/>
  <c r="CF307" i="8"/>
  <c r="CF308" i="8"/>
  <c r="CF309" i="8"/>
  <c r="CF313" i="8"/>
  <c r="CF623" i="8"/>
  <c r="CF624" i="8"/>
  <c r="CF625" i="8"/>
  <c r="CF626" i="8"/>
  <c r="CF627" i="8"/>
  <c r="CF628" i="8"/>
  <c r="CF629" i="8"/>
  <c r="CF630" i="8"/>
  <c r="CF631" i="8"/>
  <c r="CF632" i="8"/>
  <c r="CF633" i="8"/>
  <c r="CF729" i="8"/>
  <c r="CF148" i="8"/>
  <c r="S1217" i="8"/>
  <c r="CF164" i="8"/>
  <c r="CF180" i="8"/>
  <c r="CF528" i="8"/>
  <c r="CF544" i="8"/>
  <c r="CF758" i="8"/>
  <c r="CF68" i="8"/>
  <c r="CF347" i="8"/>
  <c r="CF373" i="8"/>
  <c r="CF377" i="8"/>
  <c r="CF656" i="8"/>
  <c r="CF657" i="8"/>
  <c r="CF677" i="8"/>
  <c r="CF681" i="8"/>
  <c r="CF684" i="8"/>
  <c r="CF690" i="8"/>
  <c r="CF692" i="8"/>
  <c r="CF762" i="8"/>
  <c r="I782" i="8"/>
  <c r="Y782" i="8"/>
  <c r="AT782" i="8"/>
  <c r="BI1211" i="8"/>
  <c r="BY1211" i="8"/>
  <c r="CK782" i="8"/>
  <c r="CF797" i="8"/>
  <c r="CF800" i="8"/>
  <c r="CF801" i="8"/>
  <c r="CF848" i="8"/>
  <c r="CF867" i="8"/>
  <c r="CF868" i="8"/>
  <c r="CF869" i="8"/>
  <c r="CF874" i="8"/>
  <c r="CF877" i="8"/>
  <c r="CF878" i="8"/>
  <c r="CF879" i="8"/>
  <c r="CF937" i="8"/>
  <c r="CF939" i="8"/>
  <c r="CF948" i="8"/>
  <c r="CF951" i="8"/>
  <c r="CF989" i="8"/>
  <c r="CF990" i="8"/>
  <c r="CF1007" i="8"/>
  <c r="CF1008" i="8"/>
  <c r="CF1009" i="8"/>
  <c r="CF1012" i="8"/>
  <c r="CF1077" i="8"/>
  <c r="CF1136" i="8"/>
  <c r="CF1137" i="8"/>
  <c r="CF1182" i="8"/>
  <c r="CF1194" i="8"/>
  <c r="CF46" i="8"/>
  <c r="CF47" i="8"/>
  <c r="CF73" i="8"/>
  <c r="CF74" i="8"/>
  <c r="CF75" i="8"/>
  <c r="CF76" i="8"/>
  <c r="CF156" i="8"/>
  <c r="CF167" i="8"/>
  <c r="CF211" i="8"/>
  <c r="CF213" i="8"/>
  <c r="CF214" i="8"/>
  <c r="CF215" i="8"/>
  <c r="CF217" i="8"/>
  <c r="CF243" i="8"/>
  <c r="CF314" i="8"/>
  <c r="CF315" i="8"/>
  <c r="CF316" i="8"/>
  <c r="CF449" i="8"/>
  <c r="CF450" i="8"/>
  <c r="CF553" i="8"/>
  <c r="CF556" i="8"/>
  <c r="CF561" i="8"/>
  <c r="CF564" i="8"/>
  <c r="CF608" i="8"/>
  <c r="CF610" i="8"/>
  <c r="CF612" i="8"/>
  <c r="CF614" i="8"/>
  <c r="CF635" i="8"/>
  <c r="CF639" i="8"/>
  <c r="CF691" i="8"/>
  <c r="CF757" i="8"/>
  <c r="CF765" i="8"/>
  <c r="CF766" i="8"/>
  <c r="CF769" i="8"/>
  <c r="CF770" i="8"/>
  <c r="CF773" i="8"/>
  <c r="CF774" i="8"/>
  <c r="CF776" i="8"/>
  <c r="CF777" i="8"/>
  <c r="CF785" i="8"/>
  <c r="CF803" i="8"/>
  <c r="CF833" i="8"/>
  <c r="CF849" i="8"/>
  <c r="CF1019" i="8"/>
  <c r="CF1021" i="8"/>
  <c r="CF1030" i="8"/>
  <c r="CF1031" i="8"/>
  <c r="CF1034" i="8"/>
  <c r="CF1041" i="8"/>
  <c r="CF1042" i="8"/>
  <c r="CF1043" i="8"/>
  <c r="CF1044" i="8"/>
  <c r="CF1049" i="8"/>
  <c r="CF1051" i="8"/>
  <c r="CF1052" i="8"/>
  <c r="CF1088" i="8"/>
  <c r="CF1099" i="8"/>
  <c r="CF1243" i="8"/>
  <c r="CK1217" i="8"/>
  <c r="CO1217" i="8"/>
  <c r="CF55" i="8"/>
  <c r="CF87" i="8"/>
  <c r="CF88" i="8"/>
  <c r="CF89" i="8"/>
  <c r="CF90" i="8"/>
  <c r="CF119" i="8"/>
  <c r="CF133" i="8"/>
  <c r="CF134" i="8"/>
  <c r="CF137" i="8"/>
  <c r="CF149" i="8"/>
  <c r="CF150" i="8"/>
  <c r="CF152" i="8"/>
  <c r="CF196" i="8"/>
  <c r="CF224" i="8"/>
  <c r="CF246" i="8"/>
  <c r="CF250" i="8"/>
  <c r="CF287" i="8"/>
  <c r="AS417" i="8"/>
  <c r="CF416" i="8"/>
  <c r="CF425" i="8"/>
  <c r="CF435" i="8"/>
  <c r="CF470" i="8"/>
  <c r="CF471" i="8"/>
  <c r="CF474" i="8"/>
  <c r="CF480" i="8"/>
  <c r="CF481" i="8"/>
  <c r="CF569" i="8"/>
  <c r="CF572" i="8"/>
  <c r="CF577" i="8"/>
  <c r="CF580" i="8"/>
  <c r="CF584" i="8"/>
  <c r="CF661" i="8"/>
  <c r="CF665" i="8"/>
  <c r="CF667" i="8"/>
  <c r="CF693" i="8"/>
  <c r="CF694" i="8"/>
  <c r="CF695" i="8"/>
  <c r="CF696" i="8"/>
  <c r="CF698" i="8"/>
  <c r="CF704" i="8"/>
  <c r="CF708" i="8"/>
  <c r="CF781" i="8"/>
  <c r="CF823" i="8"/>
  <c r="CF886" i="8"/>
  <c r="CF980" i="8"/>
  <c r="CF987" i="8"/>
  <c r="F1034" i="8"/>
  <c r="F1037" i="8" s="1"/>
  <c r="F1039" i="8" s="1"/>
  <c r="CF1035" i="8"/>
  <c r="CF1071" i="8"/>
  <c r="CF1118" i="8"/>
  <c r="CF1120" i="8"/>
  <c r="CF1128" i="8"/>
  <c r="CF1133" i="8"/>
  <c r="CF1154" i="8"/>
  <c r="CF1177" i="8"/>
  <c r="CF1213" i="8"/>
  <c r="CF1231" i="8"/>
  <c r="CF1238" i="8"/>
  <c r="CG1248" i="8"/>
  <c r="CF328" i="8"/>
  <c r="M1211" i="8"/>
  <c r="M782" i="8"/>
  <c r="Q1211" i="8"/>
  <c r="Q782" i="8"/>
  <c r="U1211" i="8"/>
  <c r="U782" i="8"/>
  <c r="AC1211" i="8"/>
  <c r="AC782" i="8"/>
  <c r="AG1211" i="8"/>
  <c r="AG782" i="8"/>
  <c r="AK1211" i="8"/>
  <c r="AK782" i="8"/>
  <c r="AO1211" i="8"/>
  <c r="AO782" i="8"/>
  <c r="BA1211" i="8"/>
  <c r="BA782" i="8"/>
  <c r="BE1211" i="8"/>
  <c r="BE782" i="8"/>
  <c r="BE1217" i="8" s="1"/>
  <c r="BM1211" i="8"/>
  <c r="BM782" i="8"/>
  <c r="BQ1211" i="8"/>
  <c r="BQ782" i="8"/>
  <c r="BQ1217" i="8" s="1"/>
  <c r="BU1211" i="8"/>
  <c r="BU1217" i="8" s="1"/>
  <c r="BU782" i="8"/>
  <c r="CC1211" i="8"/>
  <c r="CC782" i="8"/>
  <c r="CC1217" i="8" s="1"/>
  <c r="CF30" i="8"/>
  <c r="CF39" i="8"/>
  <c r="CF43" i="8"/>
  <c r="BA1217" i="8"/>
  <c r="BM1217" i="8"/>
  <c r="CF48" i="8"/>
  <c r="CF62" i="8"/>
  <c r="CF63" i="8"/>
  <c r="CF64" i="8"/>
  <c r="CF69" i="8"/>
  <c r="CF70" i="8"/>
  <c r="CF71" i="8"/>
  <c r="CF91" i="8"/>
  <c r="CF92" i="8"/>
  <c r="CF93" i="8"/>
  <c r="CF94" i="8"/>
  <c r="CF99" i="8"/>
  <c r="CF100" i="8"/>
  <c r="CF101" i="8"/>
  <c r="CF121" i="8"/>
  <c r="CF125" i="8"/>
  <c r="CF131" i="8"/>
  <c r="CF140" i="8"/>
  <c r="CF145" i="8"/>
  <c r="CF146" i="8"/>
  <c r="CF168" i="8"/>
  <c r="CF169" i="8"/>
  <c r="CF170" i="8"/>
  <c r="CF172" i="8"/>
  <c r="CF173" i="8"/>
  <c r="CF188" i="8"/>
  <c r="CF202" i="8"/>
  <c r="CF203" i="8"/>
  <c r="CF208" i="8"/>
  <c r="CF221" i="8"/>
  <c r="CF225" i="8"/>
  <c r="CF238" i="8"/>
  <c r="CF239" i="8"/>
  <c r="CF240" i="8"/>
  <c r="CF251" i="8"/>
  <c r="CF252" i="8"/>
  <c r="CF253" i="8"/>
  <c r="CF254" i="8"/>
  <c r="CF259" i="8"/>
  <c r="CF260" i="8"/>
  <c r="CF261" i="8"/>
  <c r="CF262" i="8"/>
  <c r="CF274" i="8"/>
  <c r="CF310" i="8"/>
  <c r="CF311" i="8"/>
  <c r="CF312" i="8"/>
  <c r="CF323" i="8"/>
  <c r="CF333" i="8"/>
  <c r="CF338" i="8"/>
  <c r="CF340" i="8"/>
  <c r="AS44" i="8"/>
  <c r="CF28" i="8"/>
  <c r="CF50" i="8"/>
  <c r="CF51" i="8"/>
  <c r="CF56" i="8"/>
  <c r="CF77" i="8"/>
  <c r="CF78" i="8"/>
  <c r="CF79" i="8"/>
  <c r="CF80" i="8"/>
  <c r="CF85" i="8"/>
  <c r="CF86" i="8"/>
  <c r="CF113" i="8"/>
  <c r="CF114" i="8"/>
  <c r="CF115" i="8"/>
  <c r="CF116" i="8"/>
  <c r="CF128" i="8"/>
  <c r="CF135" i="8"/>
  <c r="CF153" i="8"/>
  <c r="CF157" i="8"/>
  <c r="CF158" i="8"/>
  <c r="M1217" i="8"/>
  <c r="Q1217" i="8"/>
  <c r="CF161" i="8"/>
  <c r="CF162" i="8"/>
  <c r="CF163" i="8"/>
  <c r="CF165" i="8"/>
  <c r="CF166" i="8"/>
  <c r="CF176" i="8"/>
  <c r="CF177" i="8"/>
  <c r="CF178" i="8"/>
  <c r="CF194" i="8"/>
  <c r="CF195" i="8"/>
  <c r="CF200" i="8"/>
  <c r="CF210" i="8"/>
  <c r="CF212" i="8"/>
  <c r="CF230" i="8"/>
  <c r="CF231" i="8"/>
  <c r="CF232" i="8"/>
  <c r="CF233" i="8"/>
  <c r="CF244" i="8"/>
  <c r="CF283" i="8"/>
  <c r="CF288" i="8"/>
  <c r="CF293" i="8"/>
  <c r="CF302" i="8"/>
  <c r="CF325" i="8"/>
  <c r="CF326" i="8"/>
  <c r="CF330" i="8"/>
  <c r="CF343" i="8"/>
  <c r="CF348" i="8"/>
  <c r="CF350" i="8"/>
  <c r="CF352" i="8"/>
  <c r="CF354" i="8"/>
  <c r="CF356" i="8"/>
  <c r="CF358" i="8"/>
  <c r="CF360" i="8"/>
  <c r="CF362" i="8"/>
  <c r="CF363" i="8"/>
  <c r="CF364" i="8"/>
  <c r="CF365" i="8"/>
  <c r="CF366" i="8"/>
  <c r="CF374" i="8"/>
  <c r="CF375" i="8"/>
  <c r="CF376" i="8"/>
  <c r="CF406" i="8"/>
  <c r="CF418" i="8"/>
  <c r="CF419" i="8"/>
  <c r="CF420" i="8"/>
  <c r="CF421" i="8"/>
  <c r="CF454" i="8"/>
  <c r="CF455" i="8"/>
  <c r="CF456" i="8"/>
  <c r="CF457" i="8"/>
  <c r="CF461" i="8"/>
  <c r="CF462" i="8"/>
  <c r="CF463" i="8"/>
  <c r="CF464" i="8"/>
  <c r="CF477" i="8"/>
  <c r="CF479" i="8"/>
  <c r="CF521" i="8"/>
  <c r="CF524" i="8"/>
  <c r="CF529" i="8"/>
  <c r="CF532" i="8"/>
  <c r="CF585" i="8"/>
  <c r="CF588" i="8"/>
  <c r="CF593" i="8"/>
  <c r="CF596" i="8"/>
  <c r="CH783" i="8"/>
  <c r="CF619" i="8"/>
  <c r="CF621" i="8"/>
  <c r="CF651" i="8"/>
  <c r="CF683" i="8"/>
  <c r="CF697" i="8"/>
  <c r="CF713" i="8"/>
  <c r="CF714" i="8"/>
  <c r="CF717" i="8"/>
  <c r="CF718" i="8"/>
  <c r="AP782" i="8"/>
  <c r="AX782" i="8"/>
  <c r="BB782" i="8"/>
  <c r="BF782" i="8"/>
  <c r="CF831" i="8"/>
  <c r="CF850" i="8"/>
  <c r="CF852" i="8"/>
  <c r="CF895" i="8"/>
  <c r="CF899" i="8"/>
  <c r="CF900" i="8"/>
  <c r="CF906" i="8"/>
  <c r="CF952" i="8"/>
  <c r="CF955" i="8"/>
  <c r="CF1073" i="8"/>
  <c r="CF1110" i="8"/>
  <c r="CF1112" i="8"/>
  <c r="CF1122" i="8"/>
  <c r="CF1195" i="8"/>
  <c r="CF1206" i="8"/>
  <c r="CF1207" i="8"/>
  <c r="CG1219" i="8"/>
  <c r="CF1223" i="8"/>
  <c r="CG1225" i="8"/>
  <c r="CF1225" i="8"/>
  <c r="CF412" i="8"/>
  <c r="CF413" i="8"/>
  <c r="CF414" i="8"/>
  <c r="CF429" i="8"/>
  <c r="CF436" i="8"/>
  <c r="CF437" i="8"/>
  <c r="CF438" i="8"/>
  <c r="CF439" i="8"/>
  <c r="CF493" i="8"/>
  <c r="CF495" i="8"/>
  <c r="CF540" i="8"/>
  <c r="CF545" i="8"/>
  <c r="CF548" i="8"/>
  <c r="CF560" i="8"/>
  <c r="CF641" i="8"/>
  <c r="CF653" i="8"/>
  <c r="CF655" i="8"/>
  <c r="CF669" i="8"/>
  <c r="CF685" i="8"/>
  <c r="CF686" i="8"/>
  <c r="CF689" i="8"/>
  <c r="CF699" i="8"/>
  <c r="CF700" i="8"/>
  <c r="CF703" i="8"/>
  <c r="CF811" i="8"/>
  <c r="CF918" i="8"/>
  <c r="CF920" i="8"/>
  <c r="CF991" i="8"/>
  <c r="CF995" i="8"/>
  <c r="CF998" i="8"/>
  <c r="CF1085" i="8"/>
  <c r="CF1087" i="8"/>
  <c r="CG1245" i="8"/>
  <c r="CF1245" i="8"/>
  <c r="CF390" i="8"/>
  <c r="CF508" i="8"/>
  <c r="CF512" i="8"/>
  <c r="CF576" i="8"/>
  <c r="CF636" i="8"/>
  <c r="CF637" i="8"/>
  <c r="CF646" i="8"/>
  <c r="CF647" i="8"/>
  <c r="CF662" i="8"/>
  <c r="CF663" i="8"/>
  <c r="CF678" i="8"/>
  <c r="CF679" i="8"/>
  <c r="CF1138" i="8"/>
  <c r="CF1141" i="8"/>
  <c r="CF1169" i="8"/>
  <c r="CF1239" i="8"/>
  <c r="CG1243" i="8"/>
  <c r="CF1253" i="8"/>
  <c r="CF719" i="8"/>
  <c r="CF747" i="8"/>
  <c r="CF751" i="8"/>
  <c r="CF752" i="8"/>
  <c r="CF819" i="8"/>
  <c r="CF820" i="8"/>
  <c r="CF821" i="8"/>
  <c r="CF839" i="8"/>
  <c r="CF843" i="8"/>
  <c r="CF853" i="8"/>
  <c r="CF860" i="8"/>
  <c r="CF862" i="8"/>
  <c r="CF871" i="8"/>
  <c r="CF880" i="8"/>
  <c r="CF883" i="8"/>
  <c r="CF901" i="8"/>
  <c r="CF903" i="8"/>
  <c r="CF904" i="8"/>
  <c r="CF922" i="8"/>
  <c r="CF925" i="8"/>
  <c r="CF926" i="8"/>
  <c r="CF928" i="8"/>
  <c r="CF956" i="8"/>
  <c r="CF959" i="8"/>
  <c r="CF978" i="8"/>
  <c r="CF979" i="8"/>
  <c r="CF999" i="8"/>
  <c r="CF1001" i="8"/>
  <c r="CF1002" i="8"/>
  <c r="CF1064" i="8"/>
  <c r="CF1065" i="8"/>
  <c r="CF1066" i="8"/>
  <c r="CF1072" i="8"/>
  <c r="CF1089" i="8"/>
  <c r="CF1092" i="8"/>
  <c r="CF1093" i="8"/>
  <c r="CF1097" i="8"/>
  <c r="CF1113" i="8"/>
  <c r="CF1114" i="8"/>
  <c r="CF1115" i="8"/>
  <c r="CF1121" i="8"/>
  <c r="CF1143" i="8"/>
  <c r="CF1155" i="8"/>
  <c r="CF1167" i="8"/>
  <c r="CF1198" i="8"/>
  <c r="AS1247" i="8"/>
  <c r="CG1251" i="8"/>
  <c r="CF709" i="8"/>
  <c r="CH784" i="8"/>
  <c r="CH1211" i="8" s="1"/>
  <c r="CF725" i="8"/>
  <c r="CF731" i="8"/>
  <c r="CF733" i="8"/>
  <c r="CF735" i="8"/>
  <c r="CF754" i="8"/>
  <c r="CF756" i="8"/>
  <c r="CF760" i="8"/>
  <c r="CF761" i="8"/>
  <c r="CF768" i="8"/>
  <c r="CF772" i="8"/>
  <c r="CF779" i="8"/>
  <c r="BI782" i="8"/>
  <c r="BY782" i="8"/>
  <c r="BY1217" i="8" s="1"/>
  <c r="BP1211" i="8"/>
  <c r="BP1217" i="8" s="1"/>
  <c r="BT782" i="8"/>
  <c r="CJ1211" i="8"/>
  <c r="CN782" i="8"/>
  <c r="CN1217" i="8" s="1"/>
  <c r="CF793" i="8"/>
  <c r="CF795" i="8"/>
  <c r="CF826" i="8"/>
  <c r="CF835" i="8"/>
  <c r="CF840" i="8"/>
  <c r="CF855" i="8"/>
  <c r="CF858" i="8"/>
  <c r="CF932" i="8"/>
  <c r="CF934" i="8"/>
  <c r="CF947" i="8"/>
  <c r="CF1048" i="8"/>
  <c r="CF1074" i="8"/>
  <c r="AS1210" i="8"/>
  <c r="CF1100" i="8"/>
  <c r="CF1102" i="8"/>
  <c r="CF1109" i="8"/>
  <c r="CF1123" i="8"/>
  <c r="CF1161" i="8"/>
  <c r="CF1170" i="8"/>
  <c r="CF1172" i="8"/>
  <c r="CF1174" i="8"/>
  <c r="CF1179" i="8"/>
  <c r="CF1186" i="8"/>
  <c r="CF1188" i="8"/>
  <c r="CF1192" i="8"/>
  <c r="CF1212" i="8"/>
  <c r="CF1232" i="8"/>
  <c r="CF1235" i="8"/>
  <c r="CF1254" i="8"/>
  <c r="CE31" i="7"/>
  <c r="CE63" i="7"/>
  <c r="CE66" i="7"/>
  <c r="CE90" i="7"/>
  <c r="CE94" i="7"/>
  <c r="CE122" i="7"/>
  <c r="CE126" i="7"/>
  <c r="CE129" i="7"/>
  <c r="CE131" i="7"/>
  <c r="CE132" i="7"/>
  <c r="CE133" i="7"/>
  <c r="CE138" i="7"/>
  <c r="CE139" i="7"/>
  <c r="CE140" i="7"/>
  <c r="CE144" i="7"/>
  <c r="CE447" i="7"/>
  <c r="CE451" i="7"/>
  <c r="CE454" i="7"/>
  <c r="CE464" i="7"/>
  <c r="CE468" i="7"/>
  <c r="CE110" i="7"/>
  <c r="CE160" i="7"/>
  <c r="CE214" i="7"/>
  <c r="CE219" i="7"/>
  <c r="CE223" i="7"/>
  <c r="CE230" i="7"/>
  <c r="I1101" i="7"/>
  <c r="CE32" i="7"/>
  <c r="CE35" i="7"/>
  <c r="CE39" i="7"/>
  <c r="CE43" i="7"/>
  <c r="CE70" i="7"/>
  <c r="CE74" i="7"/>
  <c r="CE78" i="7"/>
  <c r="CE88" i="7"/>
  <c r="CE145" i="7"/>
  <c r="CE149" i="7"/>
  <c r="CE152" i="7"/>
  <c r="CE155" i="7"/>
  <c r="CE170" i="7"/>
  <c r="CE174" i="7"/>
  <c r="CE176" i="7"/>
  <c r="CE178" i="7"/>
  <c r="CE180" i="7"/>
  <c r="CE185" i="7"/>
  <c r="CE203" i="7"/>
  <c r="CE207" i="7"/>
  <c r="G1101" i="7"/>
  <c r="CE271" i="7"/>
  <c r="CE275" i="7"/>
  <c r="CE279" i="7"/>
  <c r="CE332" i="7"/>
  <c r="CE363" i="7"/>
  <c r="CE367" i="7"/>
  <c r="CE371" i="7"/>
  <c r="CE372" i="7"/>
  <c r="CE402" i="7"/>
  <c r="CE469" i="7"/>
  <c r="CE470" i="7"/>
  <c r="CE477" i="7"/>
  <c r="CE478" i="7"/>
  <c r="CE484" i="7"/>
  <c r="CE509" i="7"/>
  <c r="CE512" i="7"/>
  <c r="CE544" i="7"/>
  <c r="CE548" i="7"/>
  <c r="CE573" i="7"/>
  <c r="CE577" i="7"/>
  <c r="CE581" i="7"/>
  <c r="CE586" i="7"/>
  <c r="CE589" i="7"/>
  <c r="CE590" i="7"/>
  <c r="CE602" i="7"/>
  <c r="CE605" i="7"/>
  <c r="CE609" i="7"/>
  <c r="CE723" i="7"/>
  <c r="CE727" i="7"/>
  <c r="CE729" i="7"/>
  <c r="CE731" i="7"/>
  <c r="CE732" i="7"/>
  <c r="CE735" i="7"/>
  <c r="CE736" i="7"/>
  <c r="CE752" i="7"/>
  <c r="CE756" i="7"/>
  <c r="CE759" i="7"/>
  <c r="CE760" i="7"/>
  <c r="CE782" i="7"/>
  <c r="CE786" i="7"/>
  <c r="CE788" i="7"/>
  <c r="CE810" i="7"/>
  <c r="CE811" i="7"/>
  <c r="CE836" i="7"/>
  <c r="CE838" i="7"/>
  <c r="CE901" i="7"/>
  <c r="CE929" i="7"/>
  <c r="CE935" i="7"/>
  <c r="CE938" i="7"/>
  <c r="CE940" i="7"/>
  <c r="CE941" i="7"/>
  <c r="CE963" i="7"/>
  <c r="CE973" i="7"/>
  <c r="CE1033" i="7"/>
  <c r="CE1045" i="7"/>
  <c r="CE1047" i="7"/>
  <c r="CE1048" i="7"/>
  <c r="CE1150" i="7"/>
  <c r="CE288" i="7"/>
  <c r="CE290" i="7"/>
  <c r="CE292" i="7"/>
  <c r="CE294" i="7"/>
  <c r="CE394" i="7"/>
  <c r="CE426" i="7"/>
  <c r="CE427" i="7"/>
  <c r="CE436" i="7"/>
  <c r="CE634" i="7"/>
  <c r="CE642" i="7"/>
  <c r="CE643" i="7"/>
  <c r="CE762" i="7"/>
  <c r="CE866" i="7"/>
  <c r="CE890" i="7"/>
  <c r="CE898" i="7"/>
  <c r="CE1162" i="7"/>
  <c r="CE490" i="7"/>
  <c r="CE557" i="7"/>
  <c r="CE700" i="7"/>
  <c r="CE925" i="7"/>
  <c r="CE987" i="7"/>
  <c r="CE1068" i="7"/>
  <c r="CE1073" i="7"/>
  <c r="CE1078" i="7"/>
  <c r="CE1132" i="7"/>
  <c r="CE1134" i="7"/>
  <c r="CE1138" i="7"/>
  <c r="CE1143" i="7"/>
  <c r="CE1146" i="7"/>
  <c r="CE27" i="7"/>
  <c r="BA1101" i="7"/>
  <c r="BY1101" i="7"/>
  <c r="CE71" i="7"/>
  <c r="CE72" i="7"/>
  <c r="CE77" i="7"/>
  <c r="CE87" i="7"/>
  <c r="CE91" i="7"/>
  <c r="CE92" i="7"/>
  <c r="CE98" i="7"/>
  <c r="CE99" i="7"/>
  <c r="CE115" i="7"/>
  <c r="CE137" i="7"/>
  <c r="CE161" i="7"/>
  <c r="CE162" i="7"/>
  <c r="CE163" i="7"/>
  <c r="CE183" i="7"/>
  <c r="CE184" i="7"/>
  <c r="CE200" i="7"/>
  <c r="CE204" i="7"/>
  <c r="CE215" i="7"/>
  <c r="CE222" i="7"/>
  <c r="CE263" i="7"/>
  <c r="CE264" i="7"/>
  <c r="CE265" i="7"/>
  <c r="CE267" i="7"/>
  <c r="CE280" i="7"/>
  <c r="CE284" i="7"/>
  <c r="CE286" i="7"/>
  <c r="CE310" i="7"/>
  <c r="CE313" i="7"/>
  <c r="CE317" i="7"/>
  <c r="CE322" i="7"/>
  <c r="CE357" i="7"/>
  <c r="CE360" i="7"/>
  <c r="CE368" i="7"/>
  <c r="CE379" i="7"/>
  <c r="CE383" i="7"/>
  <c r="CE387" i="7"/>
  <c r="CE398" i="7"/>
  <c r="CE420" i="7"/>
  <c r="CE423" i="7"/>
  <c r="CE428" i="7"/>
  <c r="CE435" i="7"/>
  <c r="CE457" i="7"/>
  <c r="CE460" i="7"/>
  <c r="CE461" i="7"/>
  <c r="CE472" i="7"/>
  <c r="CE496" i="7"/>
  <c r="CE500" i="7"/>
  <c r="CE513" i="7"/>
  <c r="CE517" i="7"/>
  <c r="CE554" i="7"/>
  <c r="CE559" i="7"/>
  <c r="CE582" i="7"/>
  <c r="CE236" i="7"/>
  <c r="K1101" i="7"/>
  <c r="O1101" i="7"/>
  <c r="CE319" i="7"/>
  <c r="CE338" i="7"/>
  <c r="CG47" i="7"/>
  <c r="U1101" i="7"/>
  <c r="Y1101" i="7"/>
  <c r="AC1101" i="7"/>
  <c r="AG1101" i="7"/>
  <c r="AK1101" i="7"/>
  <c r="AP1101" i="7"/>
  <c r="AY1101" i="7"/>
  <c r="BC1101" i="7"/>
  <c r="BG1101" i="7"/>
  <c r="BK1101" i="7"/>
  <c r="BO1101" i="7"/>
  <c r="BS1101" i="7"/>
  <c r="BW1101" i="7"/>
  <c r="CB1101" i="7"/>
  <c r="CJ1101" i="7"/>
  <c r="CE67" i="7"/>
  <c r="CE69" i="7"/>
  <c r="CE79" i="7"/>
  <c r="CE80" i="7"/>
  <c r="CE85" i="7"/>
  <c r="CE108" i="7"/>
  <c r="CE119" i="7"/>
  <c r="CE125" i="7"/>
  <c r="CE141" i="7"/>
  <c r="CE148" i="7"/>
  <c r="CE156" i="7"/>
  <c r="CE168" i="7"/>
  <c r="CE172" i="7"/>
  <c r="CE173" i="7"/>
  <c r="CE186" i="7"/>
  <c r="CE192" i="7"/>
  <c r="CE194" i="7"/>
  <c r="CE209" i="7"/>
  <c r="CE210" i="7"/>
  <c r="CE211" i="7"/>
  <c r="CE239" i="7"/>
  <c r="CE242" i="7"/>
  <c r="CE270" i="7"/>
  <c r="CE274" i="7"/>
  <c r="CE278" i="7"/>
  <c r="CE304" i="7"/>
  <c r="CE305" i="7"/>
  <c r="CE340" i="7"/>
  <c r="CE346" i="7"/>
  <c r="CE349" i="7"/>
  <c r="CE355" i="7"/>
  <c r="CE391" i="7"/>
  <c r="CE410" i="7"/>
  <c r="CE414" i="7"/>
  <c r="CE431" i="7"/>
  <c r="CE445" i="7"/>
  <c r="CE480" i="7"/>
  <c r="CE502" i="7"/>
  <c r="CE505" i="7"/>
  <c r="CE507" i="7"/>
  <c r="CE508" i="7"/>
  <c r="CE519" i="7"/>
  <c r="CE522" i="7"/>
  <c r="CE526" i="7"/>
  <c r="CE529" i="7"/>
  <c r="CE530" i="7"/>
  <c r="CE539" i="7"/>
  <c r="CE541" i="7"/>
  <c r="CE545" i="7"/>
  <c r="CE565" i="7"/>
  <c r="CE566" i="7"/>
  <c r="CE576" i="7"/>
  <c r="CE568" i="7"/>
  <c r="CE591" i="7"/>
  <c r="CE593" i="7"/>
  <c r="CE598" i="7"/>
  <c r="CE606" i="7"/>
  <c r="CE608" i="7"/>
  <c r="CE612" i="7"/>
  <c r="CE632" i="7"/>
  <c r="CE635" i="7"/>
  <c r="CE637" i="7"/>
  <c r="CE638" i="7"/>
  <c r="CE648" i="7"/>
  <c r="CE652" i="7"/>
  <c r="CE676" i="7"/>
  <c r="CE678" i="7"/>
  <c r="CE683" i="7"/>
  <c r="CE692" i="7"/>
  <c r="CE701" i="7"/>
  <c r="CE719" i="7"/>
  <c r="CE738" i="7"/>
  <c r="CE742" i="7"/>
  <c r="CE748" i="7"/>
  <c r="CE754" i="7"/>
  <c r="CE755" i="7"/>
  <c r="CE778" i="7"/>
  <c r="CE780" i="7"/>
  <c r="CE802" i="7"/>
  <c r="CE803" i="7"/>
  <c r="CE804" i="7"/>
  <c r="CE806" i="7"/>
  <c r="CE814" i="7"/>
  <c r="CE834" i="7"/>
  <c r="CE864" i="7"/>
  <c r="CE903" i="7"/>
  <c r="CE913" i="7"/>
  <c r="CE914" i="7"/>
  <c r="CE916" i="7"/>
  <c r="CE917" i="7"/>
  <c r="CE957" i="7"/>
  <c r="CE960" i="7"/>
  <c r="CE961" i="7"/>
  <c r="CE964" i="7"/>
  <c r="CE985" i="7"/>
  <c r="CE986" i="7"/>
  <c r="CE988" i="7"/>
  <c r="CE990" i="7"/>
  <c r="CE1018" i="7"/>
  <c r="CE1026" i="7"/>
  <c r="CE1027" i="7"/>
  <c r="CE1028" i="7"/>
  <c r="CE1040" i="7"/>
  <c r="CE1043" i="7"/>
  <c r="CE1044" i="7"/>
  <c r="CE1046" i="7"/>
  <c r="CE1056" i="7"/>
  <c r="CE1064" i="7"/>
  <c r="CE1069" i="7"/>
  <c r="CE1070" i="7"/>
  <c r="CE1093" i="7"/>
  <c r="CE1094" i="7"/>
  <c r="CE1096" i="7"/>
  <c r="CE1105" i="7"/>
  <c r="CE1128" i="7"/>
  <c r="CE1130" i="7"/>
  <c r="CE1135" i="7"/>
  <c r="CE1136" i="7"/>
  <c r="CE1154" i="7"/>
  <c r="CE1156" i="7"/>
  <c r="CE1157" i="7"/>
  <c r="CE580" i="7"/>
  <c r="CE616" i="7"/>
  <c r="CE617" i="7"/>
  <c r="CE658" i="7"/>
  <c r="CE659" i="7"/>
  <c r="CE687" i="7"/>
  <c r="CE689" i="7"/>
  <c r="CE710" i="7"/>
  <c r="CE792" i="7"/>
  <c r="CE852" i="7"/>
  <c r="CE871" i="7"/>
  <c r="CE873" i="7"/>
  <c r="CE877" i="7"/>
  <c r="CE879" i="7"/>
  <c r="CE893" i="7"/>
  <c r="CE894" i="7"/>
  <c r="CE904" i="7"/>
  <c r="CE921" i="7"/>
  <c r="CE927" i="7"/>
  <c r="CE931" i="7"/>
  <c r="CE933" i="7"/>
  <c r="CE934" i="7"/>
  <c r="CE945" i="7"/>
  <c r="CE968" i="7"/>
  <c r="CE969" i="7"/>
  <c r="CE974" i="7"/>
  <c r="CE981" i="7"/>
  <c r="CE993" i="7"/>
  <c r="CE999" i="7"/>
  <c r="CE1076" i="7"/>
  <c r="CE1141" i="7"/>
  <c r="CE1142" i="7"/>
  <c r="CE1147" i="7"/>
  <c r="CE1152" i="7"/>
  <c r="CE584" i="7"/>
  <c r="CE585" i="7"/>
  <c r="CE627" i="7"/>
  <c r="CE630" i="7"/>
  <c r="CE655" i="7"/>
  <c r="CE668" i="7"/>
  <c r="CE772" i="7"/>
  <c r="CE774" i="7"/>
  <c r="CE798" i="7"/>
  <c r="CE859" i="7"/>
  <c r="CE886" i="7"/>
  <c r="CE900" i="7"/>
  <c r="CE909" i="7"/>
  <c r="CE949" i="7"/>
  <c r="CE950" i="7"/>
  <c r="CE1013" i="7"/>
  <c r="CE1015" i="7"/>
  <c r="CE1023" i="7"/>
  <c r="CE1054" i="7"/>
  <c r="CE1088" i="7"/>
  <c r="CE1112" i="7"/>
  <c r="CE1118" i="7"/>
  <c r="CE1122" i="7"/>
  <c r="CE1124" i="7"/>
  <c r="CE1126" i="7"/>
  <c r="CE1165" i="7"/>
  <c r="CF128" i="6"/>
  <c r="CF163" i="6"/>
  <c r="CF315" i="6"/>
  <c r="CF362" i="6"/>
  <c r="CF385" i="6"/>
  <c r="CF387" i="6"/>
  <c r="CF554" i="6"/>
  <c r="CF574" i="6"/>
  <c r="CF579" i="6"/>
  <c r="CF664" i="6"/>
  <c r="CF697" i="6"/>
  <c r="CF698" i="6"/>
  <c r="CF699" i="6"/>
  <c r="CF703" i="6"/>
  <c r="CF705" i="6"/>
  <c r="CF727" i="6"/>
  <c r="CF729" i="6"/>
  <c r="CF781" i="6"/>
  <c r="CF869" i="6"/>
  <c r="CF1003" i="6"/>
  <c r="CF1004" i="6"/>
  <c r="CF1006" i="6"/>
  <c r="CF1014" i="6"/>
  <c r="CF1020" i="6"/>
  <c r="CF1024" i="6"/>
  <c r="CF1044" i="6"/>
  <c r="CF1045" i="6"/>
  <c r="CF1104" i="6"/>
  <c r="CF59" i="6"/>
  <c r="CF61" i="6"/>
  <c r="CF66" i="6"/>
  <c r="CF89" i="6"/>
  <c r="CF97" i="6"/>
  <c r="CF120" i="6"/>
  <c r="CF139" i="6"/>
  <c r="CF146" i="6"/>
  <c r="CF150" i="6"/>
  <c r="CF209" i="6"/>
  <c r="CF211" i="6"/>
  <c r="CF212" i="6"/>
  <c r="CF217" i="6"/>
  <c r="CF219" i="6"/>
  <c r="CF220" i="6"/>
  <c r="CF223" i="6"/>
  <c r="CF240" i="6"/>
  <c r="CF244" i="6"/>
  <c r="CF249" i="6"/>
  <c r="CF271" i="6"/>
  <c r="CF275" i="6"/>
  <c r="CF279" i="6"/>
  <c r="CF319" i="6"/>
  <c r="CF412" i="6"/>
  <c r="CF442" i="6"/>
  <c r="CF445" i="6"/>
  <c r="CF479" i="6"/>
  <c r="CF482" i="6"/>
  <c r="CF487" i="6"/>
  <c r="CF489" i="6"/>
  <c r="CF733" i="6"/>
  <c r="CF762" i="6"/>
  <c r="CF766" i="6"/>
  <c r="CF769" i="6"/>
  <c r="CF795" i="6"/>
  <c r="CF852" i="6"/>
  <c r="CF853" i="6"/>
  <c r="CF874" i="6"/>
  <c r="CF876" i="6"/>
  <c r="CF881" i="6"/>
  <c r="CF891" i="6"/>
  <c r="CF907" i="6"/>
  <c r="CF909" i="6"/>
  <c r="CF925" i="6"/>
  <c r="CF930" i="6"/>
  <c r="CF986" i="6"/>
  <c r="CF1067" i="6"/>
  <c r="CF1068" i="6"/>
  <c r="CF1070" i="6"/>
  <c r="CF1101" i="6"/>
  <c r="CF1102" i="6"/>
  <c r="CF1103" i="6"/>
  <c r="CF1176" i="6"/>
  <c r="CF1179" i="6"/>
  <c r="CF1182" i="6"/>
  <c r="CF1183" i="6"/>
  <c r="CF1189" i="6"/>
  <c r="CF1227" i="6"/>
  <c r="CF1266" i="6"/>
  <c r="CF490" i="6"/>
  <c r="CF496" i="6"/>
  <c r="CF534" i="6"/>
  <c r="CF537" i="6"/>
  <c r="CF544" i="6"/>
  <c r="CF590" i="6"/>
  <c r="CF592" i="6"/>
  <c r="CF594" i="6"/>
  <c r="CF622" i="6"/>
  <c r="CF667" i="6"/>
  <c r="CF670" i="6"/>
  <c r="CF672" i="6"/>
  <c r="CF682" i="6"/>
  <c r="CF685" i="6"/>
  <c r="CF987" i="6"/>
  <c r="CF1214" i="6"/>
  <c r="CF1219" i="6"/>
  <c r="CF1258" i="6"/>
  <c r="CF49" i="6"/>
  <c r="CF50" i="6"/>
  <c r="CF100" i="6"/>
  <c r="CF141" i="6"/>
  <c r="CF193" i="6"/>
  <c r="CF206" i="6"/>
  <c r="CF282" i="6"/>
  <c r="CF284" i="6"/>
  <c r="CF285" i="6"/>
  <c r="CF289" i="6"/>
  <c r="CF293" i="6"/>
  <c r="CF296" i="6"/>
  <c r="CF307" i="6"/>
  <c r="CF309" i="6"/>
  <c r="CF310" i="6"/>
  <c r="CF322" i="6"/>
  <c r="CF324" i="6"/>
  <c r="CF325" i="6"/>
  <c r="CF329" i="6"/>
  <c r="CF333" i="6"/>
  <c r="CF342" i="6"/>
  <c r="CF348" i="6"/>
  <c r="CF400" i="6"/>
  <c r="CF421" i="6"/>
  <c r="CF422" i="6"/>
  <c r="CF425" i="6"/>
  <c r="CF429" i="6"/>
  <c r="CF474" i="6"/>
  <c r="CF600" i="6"/>
  <c r="CF641" i="6"/>
  <c r="CF643" i="6"/>
  <c r="CF644" i="6"/>
  <c r="CF662" i="6"/>
  <c r="CF736" i="6"/>
  <c r="CF902" i="6"/>
  <c r="CF971" i="6"/>
  <c r="CF994" i="6"/>
  <c r="CF998" i="6"/>
  <c r="CF1029" i="6"/>
  <c r="CF1030" i="6"/>
  <c r="CF1032" i="6"/>
  <c r="CF1039" i="6"/>
  <c r="CF1051" i="6"/>
  <c r="CF1057" i="6"/>
  <c r="CF1058" i="6"/>
  <c r="CF1091" i="6"/>
  <c r="CF1092" i="6"/>
  <c r="CF1094" i="6"/>
  <c r="CF1121" i="6"/>
  <c r="CF1122" i="6"/>
  <c r="CF1124" i="6"/>
  <c r="CF1129" i="6"/>
  <c r="CF1131" i="6"/>
  <c r="CF1134" i="6"/>
  <c r="CF1244" i="6"/>
  <c r="CF1245" i="6"/>
  <c r="CF41" i="6"/>
  <c r="CF42" i="6"/>
  <c r="AR182" i="6"/>
  <c r="CF54" i="6"/>
  <c r="CF65" i="6"/>
  <c r="CF82" i="6"/>
  <c r="CF85" i="6"/>
  <c r="CF101" i="6"/>
  <c r="CF102" i="6"/>
  <c r="CF103" i="6"/>
  <c r="CF117" i="6"/>
  <c r="CF118" i="6"/>
  <c r="CF126" i="6"/>
  <c r="CF159" i="6"/>
  <c r="CF164" i="6"/>
  <c r="CF165" i="6"/>
  <c r="CF186" i="6"/>
  <c r="CF188" i="6"/>
  <c r="CF189" i="6"/>
  <c r="CG45" i="6"/>
  <c r="CF28" i="6"/>
  <c r="CF31" i="6"/>
  <c r="CF44" i="6"/>
  <c r="Y1211" i="6"/>
  <c r="AC1211" i="6"/>
  <c r="AG1211" i="6"/>
  <c r="AK1211" i="6"/>
  <c r="AO1211" i="6"/>
  <c r="CF151" i="6"/>
  <c r="CF154" i="6"/>
  <c r="CF167" i="6"/>
  <c r="CF169" i="6"/>
  <c r="CF171" i="6"/>
  <c r="CF176" i="6"/>
  <c r="CF180" i="6"/>
  <c r="CF194" i="6"/>
  <c r="CF196" i="6"/>
  <c r="CF197" i="6"/>
  <c r="CF202" i="6"/>
  <c r="CF204" i="6"/>
  <c r="AY1211" i="6"/>
  <c r="BC1211" i="6"/>
  <c r="BH1211" i="6"/>
  <c r="CF51" i="6"/>
  <c r="CF67" i="6"/>
  <c r="CF68" i="6"/>
  <c r="CF69" i="6"/>
  <c r="CF74" i="6"/>
  <c r="CF91" i="6"/>
  <c r="CF92" i="6"/>
  <c r="CF93" i="6"/>
  <c r="CF104" i="6"/>
  <c r="CF115" i="6"/>
  <c r="CF133" i="6"/>
  <c r="CF134" i="6"/>
  <c r="CF136" i="6"/>
  <c r="CF137" i="6"/>
  <c r="CF214" i="6"/>
  <c r="CF216" i="6"/>
  <c r="CF235" i="6"/>
  <c r="CF237" i="6"/>
  <c r="CF238" i="6"/>
  <c r="CF242" i="6"/>
  <c r="CF246" i="6"/>
  <c r="CF255" i="6"/>
  <c r="CF259" i="6"/>
  <c r="CF263" i="6"/>
  <c r="CF297" i="6"/>
  <c r="CF298" i="6"/>
  <c r="CF299" i="6"/>
  <c r="CF303" i="6"/>
  <c r="CF312" i="6"/>
  <c r="CF316" i="6"/>
  <c r="CF335" i="6"/>
  <c r="CF337" i="6"/>
  <c r="CF344" i="6"/>
  <c r="CF345" i="6"/>
  <c r="CF356" i="6"/>
  <c r="CF408" i="6"/>
  <c r="CF409" i="6"/>
  <c r="CF410" i="6"/>
  <c r="CF430" i="6"/>
  <c r="CF538" i="6"/>
  <c r="CF598" i="6"/>
  <c r="CF706" i="6"/>
  <c r="CF711" i="6"/>
  <c r="CF714" i="6"/>
  <c r="CF879" i="6"/>
  <c r="CF880" i="6"/>
  <c r="CF936" i="6"/>
  <c r="CF938" i="6"/>
  <c r="CF1009" i="6"/>
  <c r="CF1013" i="6"/>
  <c r="CF1082" i="6"/>
  <c r="CF1084" i="6"/>
  <c r="CF1267" i="6"/>
  <c r="CF1268" i="6"/>
  <c r="CF492" i="6"/>
  <c r="CF1206" i="6"/>
  <c r="CF1213" i="6"/>
  <c r="CF1217" i="6"/>
  <c r="CF1254" i="6"/>
  <c r="CF224" i="6"/>
  <c r="CF226" i="6"/>
  <c r="CF227" i="6"/>
  <c r="CF232" i="6"/>
  <c r="CF266" i="6"/>
  <c r="CF268" i="6"/>
  <c r="CF269" i="6"/>
  <c r="CF273" i="6"/>
  <c r="CF277" i="6"/>
  <c r="CF287" i="6"/>
  <c r="CF291" i="6"/>
  <c r="CF294" i="6"/>
  <c r="CF317" i="6"/>
  <c r="CF327" i="6"/>
  <c r="CF331" i="6"/>
  <c r="CF363" i="6"/>
  <c r="CF365" i="6"/>
  <c r="CF367" i="6"/>
  <c r="CF374" i="6"/>
  <c r="CF401" i="6"/>
  <c r="CF437" i="6"/>
  <c r="CF438" i="6"/>
  <c r="CF450" i="6"/>
  <c r="CF451" i="6"/>
  <c r="CF458" i="6"/>
  <c r="CF500" i="6"/>
  <c r="CF501" i="6"/>
  <c r="CF502" i="6"/>
  <c r="CF503" i="6"/>
  <c r="CF510" i="6"/>
  <c r="CF511" i="6"/>
  <c r="CF512" i="6"/>
  <c r="CF513" i="6"/>
  <c r="CF514" i="6"/>
  <c r="CF517" i="6"/>
  <c r="CF561" i="6"/>
  <c r="CF563" i="6"/>
  <c r="CF564" i="6"/>
  <c r="CF629" i="6"/>
  <c r="CF645" i="6"/>
  <c r="CF681" i="6"/>
  <c r="CF683" i="6"/>
  <c r="CF684" i="6"/>
  <c r="CF738" i="6"/>
  <c r="CF756" i="6"/>
  <c r="CF758" i="6"/>
  <c r="CF759" i="6"/>
  <c r="CF763" i="6"/>
  <c r="CF770" i="6"/>
  <c r="CF772" i="6"/>
  <c r="CF898" i="6"/>
  <c r="CF910" i="6"/>
  <c r="CF914" i="6"/>
  <c r="CF916" i="6"/>
  <c r="CF947" i="6"/>
  <c r="CF948" i="6"/>
  <c r="CF979" i="6"/>
  <c r="CF980" i="6"/>
  <c r="CF1135" i="6"/>
  <c r="CF1136" i="6"/>
  <c r="CF1138" i="6"/>
  <c r="CF1159" i="6"/>
  <c r="CF1161" i="6"/>
  <c r="CF1163" i="6"/>
  <c r="CF1164" i="6"/>
  <c r="CF1184" i="6"/>
  <c r="CF1185" i="6"/>
  <c r="CF1248" i="6"/>
  <c r="CF1250" i="6"/>
  <c r="AR530" i="6"/>
  <c r="CF542" i="6"/>
  <c r="CF571" i="6"/>
  <c r="CF572" i="6"/>
  <c r="CF575" i="6"/>
  <c r="CF577" i="6"/>
  <c r="CF587" i="6"/>
  <c r="CF601" i="6"/>
  <c r="CF604" i="6"/>
  <c r="CF619" i="6"/>
  <c r="CF620" i="6"/>
  <c r="CF621" i="6"/>
  <c r="CF624" i="6"/>
  <c r="CF626" i="6"/>
  <c r="CF632" i="6"/>
  <c r="CF634" i="6"/>
  <c r="CF654" i="6"/>
  <c r="CF656" i="6"/>
  <c r="CF657" i="6"/>
  <c r="CF675" i="6"/>
  <c r="CF677" i="6"/>
  <c r="CF689" i="6"/>
  <c r="CF691" i="6"/>
  <c r="CF715" i="6"/>
  <c r="CF717" i="6"/>
  <c r="CF722" i="6"/>
  <c r="CF728" i="6"/>
  <c r="CF773" i="6"/>
  <c r="CF777" i="6"/>
  <c r="CF804" i="6"/>
  <c r="CF808" i="6"/>
  <c r="CF812" i="6"/>
  <c r="CF816" i="6"/>
  <c r="CF832" i="6"/>
  <c r="CF834" i="6"/>
  <c r="CF835" i="6"/>
  <c r="CF840" i="6"/>
  <c r="CF844" i="6"/>
  <c r="CF848" i="6"/>
  <c r="CF855" i="6"/>
  <c r="CF857" i="6"/>
  <c r="CF882" i="6"/>
  <c r="CF883" i="6"/>
  <c r="CF900" i="6"/>
  <c r="CF905" i="6"/>
  <c r="CF917" i="6"/>
  <c r="CF920" i="6"/>
  <c r="CF922" i="6"/>
  <c r="CF927" i="6"/>
  <c r="CF929" i="6"/>
  <c r="CF939" i="6"/>
  <c r="CF940" i="6"/>
  <c r="CF950" i="6"/>
  <c r="CF952" i="6"/>
  <c r="CF974" i="6"/>
  <c r="CF976" i="6"/>
  <c r="CF1015" i="6"/>
  <c r="CF1017" i="6"/>
  <c r="CF1021" i="6"/>
  <c r="CF1027" i="6"/>
  <c r="CF1062" i="6"/>
  <c r="CF1073" i="6"/>
  <c r="CF1111" i="6"/>
  <c r="CF1112" i="6"/>
  <c r="CF1119" i="6"/>
  <c r="CF1188" i="6"/>
  <c r="CF1218" i="6"/>
  <c r="CF1231" i="6"/>
  <c r="CF1233" i="6"/>
  <c r="CF1235" i="6"/>
  <c r="CF1251" i="6"/>
  <c r="CF1255" i="6"/>
  <c r="CF359" i="6"/>
  <c r="CF378" i="6"/>
  <c r="CF379" i="6"/>
  <c r="CF382" i="6"/>
  <c r="CF388" i="6"/>
  <c r="CF402" i="6"/>
  <c r="CF403" i="6"/>
  <c r="CF404" i="6"/>
  <c r="CF405" i="6"/>
  <c r="CF413" i="6"/>
  <c r="CF415" i="6"/>
  <c r="CF431" i="6"/>
  <c r="CF432" i="6"/>
  <c r="CF433" i="6"/>
  <c r="CF449" i="6"/>
  <c r="CF463" i="6"/>
  <c r="CF466" i="6"/>
  <c r="CF470" i="6"/>
  <c r="CF475" i="6"/>
  <c r="CF486" i="6"/>
  <c r="CF494" i="6"/>
  <c r="CF519" i="6"/>
  <c r="CF520" i="6"/>
  <c r="CF521" i="6"/>
  <c r="CF522" i="6"/>
  <c r="CF553" i="6"/>
  <c r="CF597" i="6"/>
  <c r="CF609" i="6"/>
  <c r="CF613" i="6"/>
  <c r="CF615" i="6"/>
  <c r="CF702" i="6"/>
  <c r="CF745" i="6"/>
  <c r="CF747" i="6"/>
  <c r="CF751" i="6"/>
  <c r="AR783" i="6"/>
  <c r="CF872" i="6"/>
  <c r="CF873" i="6"/>
  <c r="CF960" i="6"/>
  <c r="CF964" i="6"/>
  <c r="CF965" i="6"/>
  <c r="CF993" i="6"/>
  <c r="CF997" i="6"/>
  <c r="CF1001" i="6"/>
  <c r="CF1035" i="6"/>
  <c r="CF1036" i="6"/>
  <c r="CF1042" i="6"/>
  <c r="CF1054" i="6"/>
  <c r="CF1055" i="6"/>
  <c r="CF1080" i="6"/>
  <c r="CF1099" i="6"/>
  <c r="CF1127" i="6"/>
  <c r="CF1128" i="6"/>
  <c r="CF1133" i="6"/>
  <c r="CF1150" i="6"/>
  <c r="CF1152" i="6"/>
  <c r="CF1154" i="6"/>
  <c r="AR1165" i="6"/>
  <c r="CF1167" i="6"/>
  <c r="CF1178" i="6"/>
  <c r="AR1226" i="6"/>
  <c r="CF1247" i="6"/>
  <c r="CD92" i="5"/>
  <c r="CD93" i="5"/>
  <c r="CD94" i="5"/>
  <c r="CD95" i="5"/>
  <c r="CD100" i="5"/>
  <c r="CD101" i="5"/>
  <c r="CD102" i="5"/>
  <c r="CD103" i="5"/>
  <c r="CD183" i="5"/>
  <c r="CD184" i="5"/>
  <c r="CD185" i="5"/>
  <c r="CD195" i="5"/>
  <c r="CD196" i="5"/>
  <c r="CD201" i="5"/>
  <c r="CD202" i="5"/>
  <c r="I1242" i="5"/>
  <c r="M1242" i="5"/>
  <c r="Q1242" i="5"/>
  <c r="CD297" i="5"/>
  <c r="CD299" i="5"/>
  <c r="CD300" i="5"/>
  <c r="CD342" i="5"/>
  <c r="CD374" i="5"/>
  <c r="CD375" i="5"/>
  <c r="CD377" i="5"/>
  <c r="CD379" i="5"/>
  <c r="CD384" i="5"/>
  <c r="CD398" i="5"/>
  <c r="CD431" i="5"/>
  <c r="CD432" i="5"/>
  <c r="CD434" i="5"/>
  <c r="CD436" i="5"/>
  <c r="CD441" i="5"/>
  <c r="CD475" i="5"/>
  <c r="CD476" i="5"/>
  <c r="CD480" i="5"/>
  <c r="CD484" i="5"/>
  <c r="CF657" i="5"/>
  <c r="CD579" i="5"/>
  <c r="CD583" i="5"/>
  <c r="CD607" i="5"/>
  <c r="CD859" i="5"/>
  <c r="CD1005" i="5"/>
  <c r="CD32" i="5"/>
  <c r="CD49" i="5"/>
  <c r="CD50" i="5"/>
  <c r="CD124" i="5"/>
  <c r="CD131" i="5"/>
  <c r="CD188" i="5"/>
  <c r="CD189" i="5"/>
  <c r="CD190" i="5"/>
  <c r="CD203" i="5"/>
  <c r="CD219" i="5"/>
  <c r="CD220" i="5"/>
  <c r="CD221" i="5"/>
  <c r="CD222" i="5"/>
  <c r="CD488" i="5"/>
  <c r="CD489" i="5"/>
  <c r="CD76" i="5"/>
  <c r="CD164" i="5"/>
  <c r="CD289" i="5"/>
  <c r="CD291" i="5"/>
  <c r="CD406" i="5"/>
  <c r="CD413" i="5"/>
  <c r="CD416" i="5"/>
  <c r="CD428" i="5"/>
  <c r="CD522" i="5"/>
  <c r="CD523" i="5"/>
  <c r="CD525" i="5"/>
  <c r="CD651" i="5"/>
  <c r="CD708" i="5"/>
  <c r="CD710" i="5"/>
  <c r="CD826" i="5"/>
  <c r="CD827" i="5"/>
  <c r="CD901" i="5"/>
  <c r="CD933" i="5"/>
  <c r="CD936" i="5"/>
  <c r="CD937" i="5"/>
  <c r="CD940" i="5"/>
  <c r="CD942" i="5"/>
  <c r="CD943" i="5"/>
  <c r="CD998" i="5"/>
  <c r="CD1002" i="5"/>
  <c r="CD1004" i="5"/>
  <c r="CD1028" i="5"/>
  <c r="CD1077" i="5"/>
  <c r="CD1078" i="5"/>
  <c r="CD1102" i="5"/>
  <c r="CD1110" i="5"/>
  <c r="CD1112" i="5"/>
  <c r="CD1153" i="5"/>
  <c r="CD1157" i="5"/>
  <c r="CD1159" i="5"/>
  <c r="CD1193" i="5"/>
  <c r="CD1195" i="5"/>
  <c r="CD1230" i="5"/>
  <c r="AR1238" i="5"/>
  <c r="CD584" i="5"/>
  <c r="CD597" i="5"/>
  <c r="CD600" i="5"/>
  <c r="CD602" i="5"/>
  <c r="CD603" i="5"/>
  <c r="CD604" i="5"/>
  <c r="CD664" i="5"/>
  <c r="CD666" i="5"/>
  <c r="CD720" i="5"/>
  <c r="CD726" i="5"/>
  <c r="CD779" i="5"/>
  <c r="CD834" i="5"/>
  <c r="CD860" i="5"/>
  <c r="CD862" i="5"/>
  <c r="CD866" i="5"/>
  <c r="CD867" i="5"/>
  <c r="CD918" i="5"/>
  <c r="CD922" i="5"/>
  <c r="CD955" i="5"/>
  <c r="CD968" i="5"/>
  <c r="CD971" i="5"/>
  <c r="CD974" i="5"/>
  <c r="CD1006" i="5"/>
  <c r="CD1007" i="5"/>
  <c r="CD1008" i="5"/>
  <c r="CD1033" i="5"/>
  <c r="CD1036" i="5"/>
  <c r="CD1037" i="5"/>
  <c r="CD1114" i="5"/>
  <c r="CD1119" i="5"/>
  <c r="CD1120" i="5"/>
  <c r="CD1235" i="5"/>
  <c r="CD1252" i="5"/>
  <c r="CD1256" i="5"/>
  <c r="CD1257" i="5"/>
  <c r="CD1284" i="5"/>
  <c r="CD1287" i="5"/>
  <c r="CD1288" i="5"/>
  <c r="CD1290" i="5"/>
  <c r="CD1306" i="5"/>
  <c r="CD1310" i="5"/>
  <c r="CD227" i="5"/>
  <c r="CD257" i="5"/>
  <c r="CD265" i="5"/>
  <c r="CD318" i="5"/>
  <c r="CD320" i="5"/>
  <c r="CD325" i="5"/>
  <c r="CD327" i="5"/>
  <c r="CD356" i="5"/>
  <c r="CD358" i="5"/>
  <c r="CD366" i="5"/>
  <c r="CD368" i="5"/>
  <c r="CD369" i="5"/>
  <c r="CD451" i="5"/>
  <c r="CD485" i="5"/>
  <c r="CD486" i="5"/>
  <c r="CD495" i="5"/>
  <c r="CD532" i="5"/>
  <c r="CD534" i="5"/>
  <c r="CD535" i="5"/>
  <c r="CD549" i="5"/>
  <c r="CD557" i="5"/>
  <c r="CD563" i="5"/>
  <c r="CD608" i="5"/>
  <c r="CD625" i="5"/>
  <c r="CD629" i="5"/>
  <c r="CD632" i="5"/>
  <c r="CD633" i="5"/>
  <c r="CD635" i="5"/>
  <c r="CD638" i="5"/>
  <c r="CD642" i="5"/>
  <c r="CD730" i="5"/>
  <c r="CD744" i="5"/>
  <c r="CD754" i="5"/>
  <c r="CD756" i="5"/>
  <c r="CD757" i="5"/>
  <c r="CD762" i="5"/>
  <c r="CD766" i="5"/>
  <c r="CD770" i="5"/>
  <c r="CD793" i="5"/>
  <c r="CD801" i="5"/>
  <c r="CD808" i="5"/>
  <c r="CD810" i="5"/>
  <c r="CD870" i="5"/>
  <c r="CD884" i="5"/>
  <c r="CD885" i="5"/>
  <c r="CD899" i="5"/>
  <c r="CD925" i="5"/>
  <c r="CD957" i="5"/>
  <c r="CD959" i="5"/>
  <c r="CD963" i="5"/>
  <c r="CD976" i="5"/>
  <c r="CD977" i="5"/>
  <c r="CD978" i="5"/>
  <c r="CD983" i="5"/>
  <c r="CD986" i="5"/>
  <c r="CD1023" i="5"/>
  <c r="CD1060" i="5"/>
  <c r="CD1064" i="5"/>
  <c r="CD1088" i="5"/>
  <c r="CD1089" i="5"/>
  <c r="CD1090" i="5"/>
  <c r="CD1092" i="5"/>
  <c r="CD1122" i="5"/>
  <c r="CD1125" i="5"/>
  <c r="CD1127" i="5"/>
  <c r="CD1128" i="5"/>
  <c r="CD1129" i="5"/>
  <c r="CD1137" i="5"/>
  <c r="CD1140" i="5"/>
  <c r="CD1141" i="5"/>
  <c r="CD1142" i="5"/>
  <c r="CD1143" i="5"/>
  <c r="CD1187" i="5"/>
  <c r="CD1219" i="5"/>
  <c r="CD1220" i="5"/>
  <c r="CD1259" i="5"/>
  <c r="CD1265" i="5"/>
  <c r="CD68" i="5"/>
  <c r="CD69" i="5"/>
  <c r="CD106" i="5"/>
  <c r="CD111" i="5"/>
  <c r="CD112" i="5"/>
  <c r="CD113" i="5"/>
  <c r="CD114" i="5"/>
  <c r="CD158" i="5"/>
  <c r="CD159" i="5"/>
  <c r="CD160" i="5"/>
  <c r="CD161" i="5"/>
  <c r="CD165" i="5"/>
  <c r="CD166" i="5"/>
  <c r="CD167" i="5"/>
  <c r="CD168" i="5"/>
  <c r="CD216" i="5"/>
  <c r="CD217" i="5"/>
  <c r="CD250" i="5"/>
  <c r="CD251" i="5"/>
  <c r="CD252" i="5"/>
  <c r="CD253" i="5"/>
  <c r="CD258" i="5"/>
  <c r="CD259" i="5"/>
  <c r="CD260" i="5"/>
  <c r="CD261" i="5"/>
  <c r="CD269" i="5"/>
  <c r="CD271" i="5"/>
  <c r="CD277" i="5"/>
  <c r="CD304" i="5"/>
  <c r="CD307" i="5"/>
  <c r="CD311" i="5"/>
  <c r="CD312" i="5"/>
  <c r="CD330" i="5"/>
  <c r="CD338" i="5"/>
  <c r="CD349" i="5"/>
  <c r="CD351" i="5"/>
  <c r="CD353" i="5"/>
  <c r="CD359" i="5"/>
  <c r="CD360" i="5"/>
  <c r="CD385" i="5"/>
  <c r="CD387" i="5"/>
  <c r="CD388" i="5"/>
  <c r="CD391" i="5"/>
  <c r="CD393" i="5"/>
  <c r="CD442" i="5"/>
  <c r="CD445" i="5"/>
  <c r="CD446" i="5"/>
  <c r="CD493" i="5"/>
  <c r="CD494" i="5"/>
  <c r="CD526" i="5"/>
  <c r="CD528" i="5"/>
  <c r="CD530" i="5"/>
  <c r="CD539" i="5"/>
  <c r="CD550" i="5"/>
  <c r="CD553" i="5"/>
  <c r="CD554" i="5"/>
  <c r="CD555" i="5"/>
  <c r="CD585" i="5"/>
  <c r="CD587" i="5"/>
  <c r="CD592" i="5"/>
  <c r="CD609" i="5"/>
  <c r="CD612" i="5"/>
  <c r="CD619" i="5"/>
  <c r="CD735" i="5"/>
  <c r="CD783" i="5"/>
  <c r="CD1208" i="5"/>
  <c r="CD28" i="5"/>
  <c r="CD34" i="5"/>
  <c r="CD38" i="5"/>
  <c r="CD42" i="5"/>
  <c r="AZ1242" i="5"/>
  <c r="BD1242" i="5"/>
  <c r="BL1242" i="5"/>
  <c r="BP1242" i="5"/>
  <c r="BT1242" i="5"/>
  <c r="BX1242" i="5"/>
  <c r="CB1242" i="5"/>
  <c r="CD45" i="5"/>
  <c r="CD71" i="5"/>
  <c r="CD72" i="5"/>
  <c r="CD84" i="5"/>
  <c r="CD117" i="5"/>
  <c r="CD118" i="5"/>
  <c r="CD119" i="5"/>
  <c r="CD120" i="5"/>
  <c r="CD125" i="5"/>
  <c r="CD126" i="5"/>
  <c r="CD127" i="5"/>
  <c r="CD128" i="5"/>
  <c r="CD138" i="5"/>
  <c r="CD175" i="5"/>
  <c r="CD176" i="5"/>
  <c r="CD177" i="5"/>
  <c r="CD178" i="5"/>
  <c r="CD192" i="5"/>
  <c r="CD193" i="5"/>
  <c r="CD200" i="5"/>
  <c r="CD226" i="5"/>
  <c r="CD313" i="5"/>
  <c r="CD315" i="5"/>
  <c r="CD316" i="5"/>
  <c r="CD321" i="5"/>
  <c r="CD322" i="5"/>
  <c r="CD323" i="5"/>
  <c r="CD343" i="5"/>
  <c r="CD345" i="5"/>
  <c r="CD346" i="5"/>
  <c r="CD362" i="5"/>
  <c r="CD364" i="5"/>
  <c r="CD370" i="5"/>
  <c r="CD399" i="5"/>
  <c r="CD400" i="5"/>
  <c r="CD407" i="5"/>
  <c r="CD409" i="5"/>
  <c r="CD411" i="5"/>
  <c r="CD420" i="5"/>
  <c r="CD448" i="5"/>
  <c r="CD465" i="5"/>
  <c r="CD467" i="5"/>
  <c r="CD469" i="5"/>
  <c r="CD477" i="5"/>
  <c r="CD481" i="5"/>
  <c r="CD483" i="5"/>
  <c r="CD496" i="5"/>
  <c r="CD498" i="5"/>
  <c r="CD503" i="5"/>
  <c r="CD559" i="5"/>
  <c r="CD560" i="5"/>
  <c r="CD562" i="5"/>
  <c r="CD571" i="5"/>
  <c r="CD598" i="5"/>
  <c r="CD626" i="5"/>
  <c r="CD1251" i="5"/>
  <c r="CD1291" i="5"/>
  <c r="BI1242" i="5"/>
  <c r="BM1242" i="5"/>
  <c r="BQ1242" i="5"/>
  <c r="BU1242" i="5"/>
  <c r="BY1242" i="5"/>
  <c r="CJ1242" i="5"/>
  <c r="CD52" i="5"/>
  <c r="CD53" i="5"/>
  <c r="CD99" i="5"/>
  <c r="CD149" i="5"/>
  <c r="CD228" i="5"/>
  <c r="CD229" i="5"/>
  <c r="CD230" i="5"/>
  <c r="CD241" i="5"/>
  <c r="H1242" i="5"/>
  <c r="L1242" i="5"/>
  <c r="P1242" i="5"/>
  <c r="CD284" i="5"/>
  <c r="CD286" i="5"/>
  <c r="CD287" i="5"/>
  <c r="CD292" i="5"/>
  <c r="CD294" i="5"/>
  <c r="CD295" i="5"/>
  <c r="CD302" i="5"/>
  <c r="CD305" i="5"/>
  <c r="CD335" i="5"/>
  <c r="CD376" i="5"/>
  <c r="CD381" i="5"/>
  <c r="CD383" i="5"/>
  <c r="CD425" i="5"/>
  <c r="CD433" i="5"/>
  <c r="CD438" i="5"/>
  <c r="CD440" i="5"/>
  <c r="CD452" i="5"/>
  <c r="CD453" i="5"/>
  <c r="CD455" i="5"/>
  <c r="CD461" i="5"/>
  <c r="CD462" i="5"/>
  <c r="CD513" i="5"/>
  <c r="CD515" i="5"/>
  <c r="CD518" i="5"/>
  <c r="CD519" i="5"/>
  <c r="CD520" i="5"/>
  <c r="CD524" i="5"/>
  <c r="CD541" i="5"/>
  <c r="CD543" i="5"/>
  <c r="CD546" i="5"/>
  <c r="CD623" i="5"/>
  <c r="CD677" i="5"/>
  <c r="CD681" i="5"/>
  <c r="CD713" i="5"/>
  <c r="CD717" i="5"/>
  <c r="CD745" i="5"/>
  <c r="CD746" i="5"/>
  <c r="CD747" i="5"/>
  <c r="CD748" i="5"/>
  <c r="CD755" i="5"/>
  <c r="CD759" i="5"/>
  <c r="CD761" i="5"/>
  <c r="CD769" i="5"/>
  <c r="CD781" i="5"/>
  <c r="CD789" i="5"/>
  <c r="CD790" i="5"/>
  <c r="CD829" i="5"/>
  <c r="CD852" i="5"/>
  <c r="CD854" i="5"/>
  <c r="CD873" i="5"/>
  <c r="CD874" i="5"/>
  <c r="CD875" i="5"/>
  <c r="CD877" i="5"/>
  <c r="CD882" i="5"/>
  <c r="CD889" i="5"/>
  <c r="CD891" i="5"/>
  <c r="CD905" i="5"/>
  <c r="CD911" i="5"/>
  <c r="CD914" i="5"/>
  <c r="CD927" i="5"/>
  <c r="CD944" i="5"/>
  <c r="CD945" i="5"/>
  <c r="CD987" i="5"/>
  <c r="CD990" i="5"/>
  <c r="CD1051" i="5"/>
  <c r="CD1052" i="5"/>
  <c r="CD1053" i="5"/>
  <c r="CD1056" i="5"/>
  <c r="CD1061" i="5"/>
  <c r="CD1079" i="5"/>
  <c r="CD1094" i="5"/>
  <c r="CD1104" i="5"/>
  <c r="CD1106" i="5"/>
  <c r="CD1107" i="5"/>
  <c r="CD1108" i="5"/>
  <c r="CD1111" i="5"/>
  <c r="CD1130" i="5"/>
  <c r="CD1134" i="5"/>
  <c r="CD1135" i="5"/>
  <c r="CD1160" i="5"/>
  <c r="CD1162" i="5"/>
  <c r="CD1164" i="5"/>
  <c r="CD1165" i="5"/>
  <c r="CD1166" i="5"/>
  <c r="CD1180" i="5"/>
  <c r="CD1196" i="5"/>
  <c r="CD1197" i="5"/>
  <c r="CD1198" i="5"/>
  <c r="CD1207" i="5"/>
  <c r="CD1212" i="5"/>
  <c r="CD1216" i="5"/>
  <c r="CD1223" i="5"/>
  <c r="CD1225" i="5"/>
  <c r="CD1236" i="5"/>
  <c r="CD1246" i="5"/>
  <c r="CD1247" i="5"/>
  <c r="CD1249" i="5"/>
  <c r="CD1255" i="5"/>
  <c r="CD1273" i="5"/>
  <c r="CD1300" i="5"/>
  <c r="CD663" i="5"/>
  <c r="CD722" i="5"/>
  <c r="CD723" i="5"/>
  <c r="CD736" i="5"/>
  <c r="CD795" i="5"/>
  <c r="CD798" i="5"/>
  <c r="CD802" i="5"/>
  <c r="CD806" i="5"/>
  <c r="CD816" i="5"/>
  <c r="CD835" i="5"/>
  <c r="CD836" i="5"/>
  <c r="CD841" i="5"/>
  <c r="CD856" i="5"/>
  <c r="CD857" i="5"/>
  <c r="CD863" i="5"/>
  <c r="CD865" i="5"/>
  <c r="CD893" i="5"/>
  <c r="CD896" i="5"/>
  <c r="CD903" i="5"/>
  <c r="CD915" i="5"/>
  <c r="CD926" i="5"/>
  <c r="CD952" i="5"/>
  <c r="CD954" i="5"/>
  <c r="CD1001" i="5"/>
  <c r="CD1118" i="5"/>
  <c r="CD1185" i="5"/>
  <c r="CD1191" i="5"/>
  <c r="CD1204" i="5"/>
  <c r="CD1268" i="5"/>
  <c r="CD1269" i="5"/>
  <c r="CD1293" i="5"/>
  <c r="CD1295" i="5"/>
  <c r="CD650" i="5"/>
  <c r="CD705" i="5"/>
  <c r="CD733" i="5"/>
  <c r="CD743" i="5"/>
  <c r="CD771" i="5"/>
  <c r="CF784" i="5"/>
  <c r="AR879" i="5"/>
  <c r="CD823" i="5"/>
  <c r="CD825" i="5"/>
  <c r="CD845" i="5"/>
  <c r="CD846" i="5"/>
  <c r="CD921" i="5"/>
  <c r="CD939" i="5"/>
  <c r="CD982" i="5"/>
  <c r="CD1014" i="5"/>
  <c r="CD1016" i="5"/>
  <c r="CD1019" i="5"/>
  <c r="CD1024" i="5"/>
  <c r="CD1046" i="5"/>
  <c r="CD1076" i="5"/>
  <c r="CD1084" i="5"/>
  <c r="CD1098" i="5"/>
  <c r="CD1100" i="5"/>
  <c r="CD1126" i="5"/>
  <c r="CD1156" i="5"/>
  <c r="CD1258" i="5"/>
  <c r="CD1277" i="5"/>
  <c r="CD1279" i="5"/>
  <c r="CD1281" i="5"/>
  <c r="CD1282" i="5"/>
  <c r="CD1286" i="5"/>
  <c r="CF194" i="11"/>
  <c r="CF195" i="11"/>
  <c r="CF197" i="11"/>
  <c r="CF333" i="11"/>
  <c r="CF337" i="11"/>
  <c r="CF353" i="11"/>
  <c r="CF354" i="11"/>
  <c r="CF361" i="11"/>
  <c r="CF362" i="11"/>
  <c r="CF883" i="11"/>
  <c r="CF338" i="11"/>
  <c r="CE983" i="11"/>
  <c r="CF372" i="11"/>
  <c r="CF561" i="11"/>
  <c r="CF562" i="11"/>
  <c r="CF564" i="11"/>
  <c r="CF569" i="11"/>
  <c r="CF920" i="11"/>
  <c r="CF570" i="11"/>
  <c r="CF922" i="11"/>
  <c r="CF619" i="11"/>
  <c r="CF32" i="11"/>
  <c r="CF442" i="11"/>
  <c r="CF498" i="11"/>
  <c r="CF587" i="11"/>
  <c r="CF910" i="11"/>
  <c r="CF136" i="11"/>
  <c r="CF137" i="11"/>
  <c r="CF139" i="11"/>
  <c r="CF214" i="11"/>
  <c r="CF329" i="11"/>
  <c r="CF506" i="11"/>
  <c r="CF507" i="11"/>
  <c r="CF509" i="11"/>
  <c r="CF518" i="11"/>
  <c r="CF519" i="11"/>
  <c r="CF521" i="11"/>
  <c r="CF541" i="11"/>
  <c r="CF601" i="11"/>
  <c r="CF602" i="11"/>
  <c r="CF604" i="11"/>
  <c r="CF608" i="11"/>
  <c r="CF609" i="11"/>
  <c r="CF611" i="11"/>
  <c r="CF744" i="11"/>
  <c r="CF247" i="11"/>
  <c r="CF297" i="11"/>
  <c r="CF911" i="11"/>
  <c r="CF237" i="11"/>
  <c r="CF277" i="11"/>
  <c r="CF278" i="11"/>
  <c r="CF378" i="11"/>
  <c r="CF379" i="11"/>
  <c r="CF252" i="11"/>
  <c r="CF253" i="11"/>
  <c r="CF256" i="11"/>
  <c r="CF627" i="11"/>
  <c r="CF629" i="11"/>
  <c r="CF680" i="11"/>
  <c r="CF745" i="11"/>
  <c r="CF747" i="11"/>
  <c r="CF755" i="11"/>
  <c r="CF757" i="11"/>
  <c r="CF770" i="11"/>
  <c r="CF771" i="11"/>
  <c r="CF773" i="11"/>
  <c r="CF778" i="11"/>
  <c r="CF779" i="11"/>
  <c r="CF781" i="11"/>
  <c r="CF785" i="11"/>
  <c r="CF824" i="11"/>
  <c r="CF830" i="11"/>
  <c r="CF843" i="11"/>
  <c r="CF845" i="11"/>
  <c r="CF846" i="11"/>
  <c r="CF858" i="11"/>
  <c r="CF170" i="11"/>
  <c r="CF193" i="11"/>
  <c r="CF373" i="11"/>
  <c r="CF383" i="11"/>
  <c r="CF620" i="11"/>
  <c r="CF879" i="11"/>
  <c r="CF135" i="11"/>
  <c r="CF676" i="11"/>
  <c r="CF730" i="11"/>
  <c r="CF44" i="11"/>
  <c r="CF50" i="11"/>
  <c r="CF66" i="11"/>
  <c r="CF67" i="11"/>
  <c r="CF71" i="11"/>
  <c r="CF94" i="11"/>
  <c r="CF96" i="11"/>
  <c r="CF108" i="11"/>
  <c r="CF111" i="11"/>
  <c r="CF124" i="11"/>
  <c r="CF125" i="11"/>
  <c r="CF127" i="11"/>
  <c r="CF146" i="11"/>
  <c r="CF180" i="11"/>
  <c r="CF182" i="11"/>
  <c r="CF306" i="11"/>
  <c r="CF342" i="11"/>
  <c r="CF387" i="11"/>
  <c r="CF399" i="11"/>
  <c r="CF553" i="11"/>
  <c r="CF554" i="11"/>
  <c r="CF588" i="11"/>
  <c r="CF589" i="11"/>
  <c r="CF591" i="11"/>
  <c r="CF600" i="11"/>
  <c r="CF634" i="11"/>
  <c r="CF645" i="11"/>
  <c r="CF686" i="11"/>
  <c r="CF859" i="11"/>
  <c r="CF861" i="11"/>
  <c r="CF862" i="11"/>
  <c r="CF204" i="11"/>
  <c r="CF208" i="11"/>
  <c r="CF212" i="11"/>
  <c r="CF224" i="11"/>
  <c r="CF270" i="11"/>
  <c r="CF374" i="11"/>
  <c r="CF81" i="11"/>
  <c r="CF162" i="11"/>
  <c r="CF163" i="11"/>
  <c r="CF165" i="11"/>
  <c r="CF303" i="11"/>
  <c r="CF304" i="11"/>
  <c r="CF426" i="11"/>
  <c r="CF455" i="11"/>
  <c r="CF459" i="11"/>
  <c r="CF461" i="11"/>
  <c r="CF463" i="11"/>
  <c r="CF465" i="11"/>
  <c r="CF467" i="11"/>
  <c r="CF469" i="11"/>
  <c r="CF471" i="11"/>
  <c r="CF473" i="11"/>
  <c r="CF475" i="11"/>
  <c r="CF477" i="11"/>
  <c r="CF479" i="11"/>
  <c r="CF577" i="11"/>
  <c r="CF614" i="11"/>
  <c r="CF616" i="11"/>
  <c r="CF618" i="11"/>
  <c r="CF741" i="11"/>
  <c r="CF742" i="11"/>
  <c r="CF796" i="11"/>
  <c r="CF800" i="11"/>
  <c r="CF801" i="11"/>
  <c r="CF809" i="11"/>
  <c r="CF823" i="11"/>
  <c r="CF864" i="11"/>
  <c r="CF873" i="11"/>
  <c r="CF874" i="11"/>
  <c r="CF937" i="11"/>
  <c r="CF36" i="11"/>
  <c r="CF59" i="11"/>
  <c r="CF63" i="11"/>
  <c r="CF65" i="11"/>
  <c r="CF74" i="11"/>
  <c r="CF82" i="11"/>
  <c r="CF86" i="11"/>
  <c r="CF118" i="11"/>
  <c r="CF122" i="11"/>
  <c r="CF123" i="11"/>
  <c r="CF166" i="11"/>
  <c r="CF167" i="11"/>
  <c r="CF173" i="11"/>
  <c r="CF177" i="11"/>
  <c r="CF205" i="11"/>
  <c r="CF213" i="11"/>
  <c r="CF257" i="11"/>
  <c r="CF265" i="11"/>
  <c r="CF267" i="11"/>
  <c r="CF384" i="11"/>
  <c r="CF385" i="11"/>
  <c r="CF424" i="11"/>
  <c r="CF427" i="11"/>
  <c r="CF435" i="11"/>
  <c r="CF437" i="11"/>
  <c r="CF440" i="11"/>
  <c r="CF451" i="11"/>
  <c r="CF453" i="11"/>
  <c r="CF481" i="11"/>
  <c r="CF483" i="11"/>
  <c r="CF485" i="11"/>
  <c r="CF488" i="11"/>
  <c r="CF489" i="11"/>
  <c r="CF499" i="11"/>
  <c r="CF500" i="11"/>
  <c r="CF505" i="11"/>
  <c r="CF532" i="11"/>
  <c r="CF536" i="11"/>
  <c r="CF537" i="11"/>
  <c r="CF597" i="11"/>
  <c r="CF625" i="11"/>
  <c r="CF626" i="11"/>
  <c r="CF632" i="11"/>
  <c r="CF633" i="11"/>
  <c r="CF673" i="11"/>
  <c r="CF697" i="11"/>
  <c r="CF700" i="11"/>
  <c r="CF717" i="11"/>
  <c r="CF719" i="11"/>
  <c r="CF722" i="11"/>
  <c r="CF723" i="11"/>
  <c r="CF786" i="11"/>
  <c r="CF787" i="11"/>
  <c r="CF789" i="11"/>
  <c r="CF810" i="11"/>
  <c r="CF811" i="11"/>
  <c r="CF813" i="11"/>
  <c r="CF814" i="11"/>
  <c r="CF820" i="11"/>
  <c r="CF828" i="11"/>
  <c r="CF838" i="11"/>
  <c r="CF839" i="11"/>
  <c r="CF842" i="11"/>
  <c r="CF876" i="11"/>
  <c r="CF896" i="11"/>
  <c r="CF903" i="11"/>
  <c r="CF907" i="11"/>
  <c r="CF908" i="11"/>
  <c r="CF909" i="11"/>
  <c r="CF969" i="11"/>
  <c r="CF215" i="11"/>
  <c r="CF217" i="11"/>
  <c r="CF218" i="11"/>
  <c r="CF225" i="11"/>
  <c r="CF227" i="11"/>
  <c r="CF239" i="11"/>
  <c r="CF367" i="11"/>
  <c r="CF368" i="11"/>
  <c r="CF560" i="11"/>
  <c r="CF582" i="11"/>
  <c r="CF583" i="11"/>
  <c r="CF637" i="11"/>
  <c r="CF641" i="11"/>
  <c r="CF652" i="11"/>
  <c r="CF653" i="11"/>
  <c r="CF857" i="11"/>
  <c r="CF865" i="11"/>
  <c r="CF880" i="11"/>
  <c r="CF919" i="11"/>
  <c r="CF40" i="11"/>
  <c r="CF41" i="11"/>
  <c r="CF152" i="11"/>
  <c r="CF156" i="11"/>
  <c r="CF157" i="11"/>
  <c r="CF161" i="11"/>
  <c r="CF271" i="11"/>
  <c r="CF274" i="11"/>
  <c r="CF283" i="11"/>
  <c r="CF290" i="11"/>
  <c r="CF294" i="11"/>
  <c r="CF295" i="11"/>
  <c r="CF314" i="11"/>
  <c r="CF343" i="11"/>
  <c r="CF344" i="11"/>
  <c r="CF346" i="11"/>
  <c r="CF363" i="11"/>
  <c r="CF364" i="11"/>
  <c r="CF431" i="11"/>
  <c r="CF456" i="11"/>
  <c r="CF524" i="11"/>
  <c r="CF530" i="11"/>
  <c r="CF531" i="11"/>
  <c r="CF542" i="11"/>
  <c r="CF543" i="11"/>
  <c r="CF545" i="11"/>
  <c r="CF552" i="11"/>
  <c r="CF572" i="11"/>
  <c r="CF665" i="11"/>
  <c r="CF666" i="11"/>
  <c r="CF667" i="11"/>
  <c r="CF687" i="11"/>
  <c r="CF689" i="11"/>
  <c r="CF715" i="11"/>
  <c r="CF731" i="11"/>
  <c r="CF734" i="11"/>
  <c r="CF768" i="11"/>
  <c r="CF769" i="11"/>
  <c r="CF917" i="11"/>
  <c r="CF923" i="11"/>
  <c r="CF981" i="11"/>
  <c r="CF982" i="11"/>
  <c r="CC786" i="5"/>
  <c r="CD786" i="5" s="1"/>
  <c r="BH879" i="5"/>
  <c r="CD29" i="5"/>
  <c r="CD35" i="5"/>
  <c r="CD39" i="5"/>
  <c r="CD43" i="5"/>
  <c r="CH1242" i="5"/>
  <c r="CL1242" i="5"/>
  <c r="AR283" i="5"/>
  <c r="CD54" i="5"/>
  <c r="CD70" i="5"/>
  <c r="CD81" i="5"/>
  <c r="CD82" i="5"/>
  <c r="CD83" i="5"/>
  <c r="CD96" i="5"/>
  <c r="CD97" i="5"/>
  <c r="CD98" i="5"/>
  <c r="CD107" i="5"/>
  <c r="CD108" i="5"/>
  <c r="CD109" i="5"/>
  <c r="CD121" i="5"/>
  <c r="CD122" i="5"/>
  <c r="CD123" i="5"/>
  <c r="CD136" i="5"/>
  <c r="CD137" i="5"/>
  <c r="CD146" i="5"/>
  <c r="CD147" i="5"/>
  <c r="CD148" i="5"/>
  <c r="CD162" i="5"/>
  <c r="CD163" i="5"/>
  <c r="CD179" i="5"/>
  <c r="CD180" i="5"/>
  <c r="CD181" i="5"/>
  <c r="CD191" i="5"/>
  <c r="CD197" i="5"/>
  <c r="CD198" i="5"/>
  <c r="CD199" i="5"/>
  <c r="CD204" i="5"/>
  <c r="CD213" i="5"/>
  <c r="CD214" i="5"/>
  <c r="CD215" i="5"/>
  <c r="CD223" i="5"/>
  <c r="CD224" i="5"/>
  <c r="CD225" i="5"/>
  <c r="CD238" i="5"/>
  <c r="CD239" i="5"/>
  <c r="CD240" i="5"/>
  <c r="CD254" i="5"/>
  <c r="CD255" i="5"/>
  <c r="CD256" i="5"/>
  <c r="CD268" i="5"/>
  <c r="CD270" i="5"/>
  <c r="CD273" i="5"/>
  <c r="CD288" i="5"/>
  <c r="CD290" i="5"/>
  <c r="CD293" i="5"/>
  <c r="CD301" i="5"/>
  <c r="CD303" i="5"/>
  <c r="CD306" i="5"/>
  <c r="CD310" i="5"/>
  <c r="CD317" i="5"/>
  <c r="CD319" i="5"/>
  <c r="CD329" i="5"/>
  <c r="CD333" i="5"/>
  <c r="CD334" i="5"/>
  <c r="CD336" i="5"/>
  <c r="CD354" i="5"/>
  <c r="CD357" i="5"/>
  <c r="CD365" i="5"/>
  <c r="CD367" i="5"/>
  <c r="CD372" i="5"/>
  <c r="CD389" i="5"/>
  <c r="CC404" i="5"/>
  <c r="CD408" i="5"/>
  <c r="CD410" i="5"/>
  <c r="CD418" i="5"/>
  <c r="CD422" i="5"/>
  <c r="CD424" i="5"/>
  <c r="CD447" i="5"/>
  <c r="CD456" i="5"/>
  <c r="CD459" i="5"/>
  <c r="CD466" i="5"/>
  <c r="CD468" i="5"/>
  <c r="E488" i="5"/>
  <c r="CD499" i="5"/>
  <c r="CD501" i="5"/>
  <c r="CD512" i="5"/>
  <c r="CD514" i="5"/>
  <c r="CD521" i="5"/>
  <c r="CD540" i="5"/>
  <c r="CD573" i="5"/>
  <c r="CD577" i="5"/>
  <c r="CD578" i="5"/>
  <c r="CD588" i="5"/>
  <c r="CD590" i="5"/>
  <c r="CD613" i="5"/>
  <c r="CD616" i="5"/>
  <c r="CD618" i="5"/>
  <c r="CD631" i="5"/>
  <c r="CD639" i="5"/>
  <c r="CC665" i="5"/>
  <c r="CD665" i="5" s="1"/>
  <c r="CC673" i="5"/>
  <c r="CD673" i="5" s="1"/>
  <c r="CC676" i="5"/>
  <c r="CD676" i="5" s="1"/>
  <c r="CC685" i="5"/>
  <c r="CD685" i="5" s="1"/>
  <c r="CC690" i="5"/>
  <c r="CC698" i="5"/>
  <c r="V1242" i="5"/>
  <c r="Z1242" i="5"/>
  <c r="AD1242" i="5"/>
  <c r="AH1242" i="5"/>
  <c r="AL1242" i="5"/>
  <c r="AQ1242" i="5"/>
  <c r="CD182" i="5"/>
  <c r="J1242" i="5"/>
  <c r="N1242" i="5"/>
  <c r="R1242" i="5"/>
  <c r="CD337" i="5"/>
  <c r="AR402" i="5"/>
  <c r="AR548" i="5"/>
  <c r="CD478" i="5"/>
  <c r="CD487" i="5"/>
  <c r="CD504" i="5"/>
  <c r="CD507" i="5"/>
  <c r="CD516" i="5"/>
  <c r="CD529" i="5"/>
  <c r="CD531" i="5"/>
  <c r="CD544" i="5"/>
  <c r="CD565" i="5"/>
  <c r="CD574" i="5"/>
  <c r="CD581" i="5"/>
  <c r="CD582" i="5"/>
  <c r="CD593" i="5"/>
  <c r="CD596" i="5"/>
  <c r="CD605" i="5"/>
  <c r="CD620" i="5"/>
  <c r="CD624" i="5"/>
  <c r="CD627" i="5"/>
  <c r="BH657" i="5"/>
  <c r="CC644" i="5"/>
  <c r="CD644" i="5" s="1"/>
  <c r="CD653" i="5"/>
  <c r="CC667" i="5"/>
  <c r="CD667" i="5" s="1"/>
  <c r="CC680" i="5"/>
  <c r="CD680" i="5" s="1"/>
  <c r="AR686" i="5"/>
  <c r="G704" i="5"/>
  <c r="G1242" i="5" s="1"/>
  <c r="AR1242" i="5" s="1"/>
  <c r="CC692" i="5"/>
  <c r="CC700" i="5"/>
  <c r="CD775" i="5"/>
  <c r="CD27" i="5"/>
  <c r="CD31" i="5"/>
  <c r="CD33" i="5"/>
  <c r="CD37" i="5"/>
  <c r="CD41" i="5"/>
  <c r="S1242" i="5"/>
  <c r="W1242" i="5"/>
  <c r="AA1242" i="5"/>
  <c r="AE1242" i="5"/>
  <c r="AI1242" i="5"/>
  <c r="AM1242" i="5"/>
  <c r="AS1242" i="5"/>
  <c r="AW1242" i="5"/>
  <c r="BA1242" i="5"/>
  <c r="BE1242" i="5"/>
  <c r="CD46" i="5"/>
  <c r="CD48" i="5"/>
  <c r="CD51" i="5"/>
  <c r="CD63" i="5"/>
  <c r="CD64" i="5"/>
  <c r="CD65" i="5"/>
  <c r="CD73" i="5"/>
  <c r="CD74" i="5"/>
  <c r="CD75" i="5"/>
  <c r="CD89" i="5"/>
  <c r="CD90" i="5"/>
  <c r="CD91" i="5"/>
  <c r="CD104" i="5"/>
  <c r="CD105" i="5"/>
  <c r="CD115" i="5"/>
  <c r="CD116" i="5"/>
  <c r="CD129" i="5"/>
  <c r="CD130" i="5"/>
  <c r="CD140" i="5"/>
  <c r="CD154" i="5"/>
  <c r="CD155" i="5"/>
  <c r="CD156" i="5"/>
  <c r="CD169" i="5"/>
  <c r="CD170" i="5"/>
  <c r="CD172" i="5"/>
  <c r="CD173" i="5"/>
  <c r="CD186" i="5"/>
  <c r="CD194" i="5"/>
  <c r="CD206" i="5"/>
  <c r="CD207" i="5"/>
  <c r="CD208" i="5"/>
  <c r="CD231" i="5"/>
  <c r="CD232" i="5"/>
  <c r="CD233" i="5"/>
  <c r="CD246" i="5"/>
  <c r="CD247" i="5"/>
  <c r="CD248" i="5"/>
  <c r="CD262" i="5"/>
  <c r="CD263" i="5"/>
  <c r="CD264" i="5"/>
  <c r="CD276" i="5"/>
  <c r="CD278" i="5"/>
  <c r="CD281" i="5"/>
  <c r="K1242" i="5"/>
  <c r="O1242" i="5"/>
  <c r="AR347" i="5"/>
  <c r="CD285" i="5"/>
  <c r="CD298" i="5"/>
  <c r="CD308" i="5"/>
  <c r="CD314" i="5"/>
  <c r="CD324" i="5"/>
  <c r="CD326" i="5"/>
  <c r="CD331" i="5"/>
  <c r="CD339" i="5"/>
  <c r="CD341" i="5"/>
  <c r="CD344" i="5"/>
  <c r="CD350" i="5"/>
  <c r="CD352" i="5"/>
  <c r="CD380" i="5"/>
  <c r="CD382" i="5"/>
  <c r="CD394" i="5"/>
  <c r="CD396" i="5"/>
  <c r="CD412" i="5"/>
  <c r="CD414" i="5"/>
  <c r="CD415" i="5"/>
  <c r="CD426" i="5"/>
  <c r="CD429" i="5"/>
  <c r="CD437" i="5"/>
  <c r="CD439" i="5"/>
  <c r="CD444" i="5"/>
  <c r="CD449" i="5"/>
  <c r="CD454" i="5"/>
  <c r="CD470" i="5"/>
  <c r="CD473" i="5"/>
  <c r="CD482" i="5"/>
  <c r="CD492" i="5"/>
  <c r="CD508" i="5"/>
  <c r="CD527" i="5"/>
  <c r="AR564" i="5"/>
  <c r="CD552" i="5"/>
  <c r="AT564" i="5"/>
  <c r="CD601" i="5"/>
  <c r="CD611" i="5"/>
  <c r="CD637" i="5"/>
  <c r="CD643" i="5"/>
  <c r="AV704" i="5"/>
  <c r="AV1242" i="5" s="1"/>
  <c r="CC674" i="5"/>
  <c r="CD674" i="5" s="1"/>
  <c r="CC679" i="5"/>
  <c r="CD679" i="5" s="1"/>
  <c r="CC682" i="5"/>
  <c r="CD682" i="5" s="1"/>
  <c r="CD718" i="5"/>
  <c r="CD721" i="5"/>
  <c r="CD727" i="5"/>
  <c r="CD734" i="5"/>
  <c r="CD767" i="5"/>
  <c r="CD778" i="5"/>
  <c r="AR784" i="5"/>
  <c r="CD799" i="5"/>
  <c r="CD800" i="5"/>
  <c r="CD805" i="5"/>
  <c r="CD813" i="5"/>
  <c r="CD814" i="5"/>
  <c r="CD820" i="5"/>
  <c r="CD833" i="5"/>
  <c r="CD850" i="5"/>
  <c r="CD853" i="5"/>
  <c r="CD858" i="5"/>
  <c r="CD861" i="5"/>
  <c r="CD868" i="5"/>
  <c r="CD869" i="5"/>
  <c r="CD872" i="5"/>
  <c r="CD897" i="5"/>
  <c r="AU947" i="5"/>
  <c r="CC947" i="5" s="1"/>
  <c r="CD947" i="5" s="1"/>
  <c r="CD964" i="5"/>
  <c r="CD1057" i="5"/>
  <c r="CD1132" i="5"/>
  <c r="CD1183" i="5"/>
  <c r="CD1200" i="5"/>
  <c r="AR1211" i="5"/>
  <c r="CD1215" i="5"/>
  <c r="CD1304" i="5"/>
  <c r="AR1311" i="5"/>
  <c r="CD788" i="5"/>
  <c r="E1103" i="5"/>
  <c r="E1111" i="5"/>
  <c r="E1114" i="5" s="1"/>
  <c r="CD641" i="5"/>
  <c r="CD649" i="5"/>
  <c r="CD654" i="5"/>
  <c r="CC670" i="5"/>
  <c r="CD670" i="5" s="1"/>
  <c r="CC675" i="5"/>
  <c r="CD675" i="5" s="1"/>
  <c r="CC678" i="5"/>
  <c r="CD678" i="5" s="1"/>
  <c r="CC683" i="5"/>
  <c r="CD683" i="5" s="1"/>
  <c r="CD706" i="5"/>
  <c r="CD709" i="5"/>
  <c r="CD724" i="5"/>
  <c r="CD731" i="5"/>
  <c r="CD737" i="5"/>
  <c r="CD738" i="5"/>
  <c r="CD739" i="5"/>
  <c r="CD749" i="5"/>
  <c r="CD750" i="5"/>
  <c r="CD758" i="5"/>
  <c r="CD760" i="5"/>
  <c r="CD765" i="5"/>
  <c r="CD772" i="5"/>
  <c r="CD782" i="5"/>
  <c r="CD784" i="5" s="1"/>
  <c r="CD791" i="5"/>
  <c r="CD797" i="5"/>
  <c r="CD809" i="5"/>
  <c r="CD821" i="5"/>
  <c r="CD824" i="5"/>
  <c r="CD837" i="5"/>
  <c r="CD838" i="5"/>
  <c r="CD847" i="5"/>
  <c r="CD855" i="5"/>
  <c r="CD864" i="5"/>
  <c r="CD878" i="5"/>
  <c r="CD881" i="5"/>
  <c r="CD887" i="5"/>
  <c r="CD888" i="5"/>
  <c r="CD890" i="5"/>
  <c r="CD895" i="5"/>
  <c r="CD902" i="5"/>
  <c r="CD906" i="5"/>
  <c r="CD907" i="5"/>
  <c r="CD913" i="5"/>
  <c r="CD953" i="5"/>
  <c r="CD970" i="5"/>
  <c r="CD1020" i="5"/>
  <c r="CD1117" i="5"/>
  <c r="CD1148" i="5"/>
  <c r="CD1175" i="5"/>
  <c r="CD1231" i="5"/>
  <c r="CD919" i="5"/>
  <c r="CD960" i="5"/>
  <c r="CD961" i="5"/>
  <c r="CD969" i="5"/>
  <c r="CD979" i="5"/>
  <c r="CD999" i="5"/>
  <c r="CD1000" i="5"/>
  <c r="CD1009" i="5"/>
  <c r="CD1029" i="5"/>
  <c r="CD1030" i="5"/>
  <c r="CD1066" i="5"/>
  <c r="CD1085" i="5"/>
  <c r="CD1093" i="5"/>
  <c r="CD1115" i="5"/>
  <c r="CD1123" i="5"/>
  <c r="CD1138" i="5"/>
  <c r="CD1146" i="5"/>
  <c r="CD1154" i="5"/>
  <c r="CD1173" i="5"/>
  <c r="CD1174" i="5"/>
  <c r="CD1181" i="5"/>
  <c r="CD1182" i="5"/>
  <c r="CD1189" i="5"/>
  <c r="CD1190" i="5"/>
  <c r="CD1199" i="5"/>
  <c r="CD1209" i="5"/>
  <c r="CD1213" i="5"/>
  <c r="CD1214" i="5"/>
  <c r="CD1222" i="5"/>
  <c r="CD1224" i="5"/>
  <c r="CD1237" i="5"/>
  <c r="CD1253" i="5"/>
  <c r="CD1261" i="5"/>
  <c r="CD1270" i="5"/>
  <c r="CD1280" i="5"/>
  <c r="CD1285" i="5"/>
  <c r="CD1296" i="5"/>
  <c r="CD1297" i="5"/>
  <c r="CD1301" i="5"/>
  <c r="CD1305" i="5" s="1"/>
  <c r="CD1303" i="5"/>
  <c r="CD1308" i="5"/>
  <c r="CD923" i="5"/>
  <c r="CD928" i="5"/>
  <c r="CD931" i="5"/>
  <c r="CD938" i="5"/>
  <c r="CD941" i="5"/>
  <c r="CD965" i="5"/>
  <c r="CD1021" i="5"/>
  <c r="CD1022" i="5"/>
  <c r="CD1044" i="5"/>
  <c r="CD1045" i="5"/>
  <c r="CD1049" i="5"/>
  <c r="CD1058" i="5"/>
  <c r="CD1059" i="5"/>
  <c r="CD1068" i="5"/>
  <c r="CD1170" i="5"/>
  <c r="CD1171" i="5" s="1"/>
  <c r="AT1201" i="5"/>
  <c r="AR1205" i="5"/>
  <c r="CC1205" i="5"/>
  <c r="CD929" i="5"/>
  <c r="CD930" i="5"/>
  <c r="CD935" i="5"/>
  <c r="CD958" i="5"/>
  <c r="CD984" i="5"/>
  <c r="CD985" i="5"/>
  <c r="CD994" i="5"/>
  <c r="CC1083" i="5"/>
  <c r="CD1083" i="5" s="1"/>
  <c r="CD1101" i="5"/>
  <c r="CD1150" i="5"/>
  <c r="CD1151" i="5"/>
  <c r="CD1217" i="5"/>
  <c r="CD1228" i="5"/>
  <c r="CD1248" i="5"/>
  <c r="CF1263" i="5"/>
  <c r="CD1264" i="5"/>
  <c r="CD1266" i="5"/>
  <c r="CD1275" i="5"/>
  <c r="CD1283" i="5"/>
  <c r="AR1305" i="5"/>
  <c r="CF1311" i="5"/>
  <c r="AU283" i="5"/>
  <c r="CC171" i="5"/>
  <c r="CD171" i="5" s="1"/>
  <c r="CC548" i="5"/>
  <c r="U1242" i="5"/>
  <c r="Y1242" i="5"/>
  <c r="AC1242" i="5"/>
  <c r="AG1242" i="5"/>
  <c r="AK1242" i="5"/>
  <c r="AP1242" i="5"/>
  <c r="CC55" i="5"/>
  <c r="CD55" i="5" s="1"/>
  <c r="CC58" i="5"/>
  <c r="CD58" i="5" s="1"/>
  <c r="CC267" i="5"/>
  <c r="CD267" i="5" s="1"/>
  <c r="CD363" i="5"/>
  <c r="CD378" i="5"/>
  <c r="CD392" i="5"/>
  <c r="CD404" i="5"/>
  <c r="CD405" i="5"/>
  <c r="CD419" i="5"/>
  <c r="CD435" i="5"/>
  <c r="CD450" i="5"/>
  <c r="CD464" i="5"/>
  <c r="CD479" i="5"/>
  <c r="CD497" i="5"/>
  <c r="CD510" i="5"/>
  <c r="CF529" i="5"/>
  <c r="CF530" i="5"/>
  <c r="CD537" i="5"/>
  <c r="CC556" i="5"/>
  <c r="CD556" i="5" s="1"/>
  <c r="AR657" i="5"/>
  <c r="CC567" i="5"/>
  <c r="CD567" i="5" s="1"/>
  <c r="CD576" i="5"/>
  <c r="CD586" i="5"/>
  <c r="CD610" i="5"/>
  <c r="CF704" i="5"/>
  <c r="CD662" i="5"/>
  <c r="CD689" i="5"/>
  <c r="CD693" i="5"/>
  <c r="CD697" i="5"/>
  <c r="CD701" i="5"/>
  <c r="CD725" i="5"/>
  <c r="CD776" i="5"/>
  <c r="AR780" i="5"/>
  <c r="CD842" i="5"/>
  <c r="AT1012" i="5"/>
  <c r="CC883" i="5"/>
  <c r="CD883" i="5" s="1"/>
  <c r="CC1211" i="5"/>
  <c r="CD1206" i="5"/>
  <c r="CD1211" i="5" s="1"/>
  <c r="AT283" i="5"/>
  <c r="CD661" i="5"/>
  <c r="CD671" i="5"/>
  <c r="CD688" i="5"/>
  <c r="CD692" i="5"/>
  <c r="CD696" i="5"/>
  <c r="CD700" i="5"/>
  <c r="AT879" i="5"/>
  <c r="CC785" i="5"/>
  <c r="CD26" i="5"/>
  <c r="AR44" i="5"/>
  <c r="CC67" i="5"/>
  <c r="CD67" i="5" s="1"/>
  <c r="AU296" i="5"/>
  <c r="CC296" i="5" s="1"/>
  <c r="CD296" i="5" s="1"/>
  <c r="CD355" i="5"/>
  <c r="CD371" i="5"/>
  <c r="AT402" i="5"/>
  <c r="CC402" i="5" s="1"/>
  <c r="CD402" i="5" s="1"/>
  <c r="CC386" i="5"/>
  <c r="CD386" i="5" s="1"/>
  <c r="CD427" i="5"/>
  <c r="CD443" i="5"/>
  <c r="CD457" i="5"/>
  <c r="CD471" i="5"/>
  <c r="CD505" i="5"/>
  <c r="CD533" i="5"/>
  <c r="CD551" i="5"/>
  <c r="CC558" i="5"/>
  <c r="CD558" i="5" s="1"/>
  <c r="CD561" i="5"/>
  <c r="CD572" i="5"/>
  <c r="CD580" i="5"/>
  <c r="CD594" i="5"/>
  <c r="CD614" i="5"/>
  <c r="CD621" i="5"/>
  <c r="CD640" i="5"/>
  <c r="CD655" i="5"/>
  <c r="AR704" i="5"/>
  <c r="CC658" i="5"/>
  <c r="CD660" i="5"/>
  <c r="CD687" i="5"/>
  <c r="CD691" i="5"/>
  <c r="CD695" i="5"/>
  <c r="CD699" i="5"/>
  <c r="CD703" i="5"/>
  <c r="CC711" i="5"/>
  <c r="CD711" i="5" s="1"/>
  <c r="AU753" i="5"/>
  <c r="AU780" i="5" s="1"/>
  <c r="CD763" i="5"/>
  <c r="CD803" i="5"/>
  <c r="CD818" i="5"/>
  <c r="AU1074" i="5"/>
  <c r="CC1074" i="5" s="1"/>
  <c r="CD1074" i="5" s="1"/>
  <c r="AU1158" i="5"/>
  <c r="CC1158" i="5"/>
  <c r="CD1158" i="5" s="1"/>
  <c r="AT1167" i="5"/>
  <c r="CC1311" i="5"/>
  <c r="CD1307" i="5"/>
  <c r="CC44" i="5"/>
  <c r="AT347" i="5"/>
  <c r="CD569" i="5"/>
  <c r="CC630" i="5"/>
  <c r="CD630" i="5" s="1"/>
  <c r="AU657" i="5"/>
  <c r="CD652" i="5"/>
  <c r="CC669" i="5"/>
  <c r="CD669" i="5" s="1"/>
  <c r="A667" i="5"/>
  <c r="CD686" i="5"/>
  <c r="CD690" i="5"/>
  <c r="CD694" i="5"/>
  <c r="CD698" i="5"/>
  <c r="CD702" i="5"/>
  <c r="AU704" i="5"/>
  <c r="CG1294" i="5"/>
  <c r="CD668" i="5"/>
  <c r="CD672" i="5"/>
  <c r="AT704" i="5"/>
  <c r="CC784" i="5"/>
  <c r="CD815" i="5"/>
  <c r="CD828" i="5"/>
  <c r="CD839" i="5"/>
  <c r="CD876" i="5"/>
  <c r="CD904" i="5"/>
  <c r="E1094" i="5"/>
  <c r="E1096" i="5" s="1"/>
  <c r="CC1201" i="5"/>
  <c r="CD1205" i="5"/>
  <c r="CC1232" i="5"/>
  <c r="CD1271" i="5"/>
  <c r="AR1299" i="5"/>
  <c r="CC1305" i="5"/>
  <c r="CD714" i="5"/>
  <c r="CD728" i="5"/>
  <c r="CD768" i="5"/>
  <c r="AT780" i="5"/>
  <c r="CD787" i="5"/>
  <c r="CD796" i="5"/>
  <c r="CD807" i="5"/>
  <c r="CD822" i="5"/>
  <c r="CD832" i="5"/>
  <c r="CD871" i="5"/>
  <c r="AR1012" i="5"/>
  <c r="CD898" i="5"/>
  <c r="CD912" i="5"/>
  <c r="CD934" i="5"/>
  <c r="CD948" i="5"/>
  <c r="CD966" i="5"/>
  <c r="CD1034" i="5"/>
  <c r="CD1035" i="5"/>
  <c r="AU1071" i="5"/>
  <c r="CC1071" i="5" s="1"/>
  <c r="CD1071" i="5" s="1"/>
  <c r="CD1075" i="5"/>
  <c r="CD1082" i="5"/>
  <c r="CD1099" i="5"/>
  <c r="CD1103" i="5"/>
  <c r="CD1113" i="5"/>
  <c r="CD1161" i="5"/>
  <c r="AR1294" i="5"/>
  <c r="CD606" i="5"/>
  <c r="CD622" i="5"/>
  <c r="CD636" i="5"/>
  <c r="CC659" i="5"/>
  <c r="CD659" i="5" s="1"/>
  <c r="CD712" i="5"/>
  <c r="CD740" i="5"/>
  <c r="CD764" i="5"/>
  <c r="CD777" i="5"/>
  <c r="CD792" i="5"/>
  <c r="CD804" i="5"/>
  <c r="CD819" i="5"/>
  <c r="CD830" i="5"/>
  <c r="CD880" i="5"/>
  <c r="CD894" i="5"/>
  <c r="CD908" i="5"/>
  <c r="CC916" i="5"/>
  <c r="CD916" i="5" s="1"/>
  <c r="CD920" i="5"/>
  <c r="CD946" i="5"/>
  <c r="CD962" i="5"/>
  <c r="CD972" i="5"/>
  <c r="CD973" i="5"/>
  <c r="CD980" i="5"/>
  <c r="CD981" i="5"/>
  <c r="CD988" i="5"/>
  <c r="CD989" i="5"/>
  <c r="CD995" i="5"/>
  <c r="CD996" i="5"/>
  <c r="CC1003" i="5"/>
  <c r="CD1003" i="5" s="1"/>
  <c r="BH1012" i="5"/>
  <c r="BH1242" i="5" s="1"/>
  <c r="CD1010" i="5"/>
  <c r="CD1011" i="5"/>
  <c r="AR1167" i="5"/>
  <c r="CF1167" i="5"/>
  <c r="CD1017" i="5"/>
  <c r="CD1018" i="5"/>
  <c r="CD1025" i="5"/>
  <c r="CD1026" i="5"/>
  <c r="CD1031" i="5"/>
  <c r="CD1040" i="5"/>
  <c r="CD1041" i="5"/>
  <c r="CD1048" i="5"/>
  <c r="CD1054" i="5"/>
  <c r="CD1055" i="5"/>
  <c r="CD1062" i="5"/>
  <c r="CD1063" i="5"/>
  <c r="CD1069" i="5"/>
  <c r="CD1072" i="5"/>
  <c r="CD1091" i="5"/>
  <c r="CD1116" i="5"/>
  <c r="CD1124" i="5"/>
  <c r="CD1131" i="5"/>
  <c r="CD1139" i="5"/>
  <c r="CD1147" i="5"/>
  <c r="CD1155" i="5"/>
  <c r="AR1201" i="5"/>
  <c r="CF1201" i="5"/>
  <c r="CD1178" i="5"/>
  <c r="CD1186" i="5"/>
  <c r="CD1194" i="5"/>
  <c r="AR1232" i="5"/>
  <c r="CC1238" i="5"/>
  <c r="CD1233" i="5"/>
  <c r="CC1263" i="5"/>
  <c r="CC1015" i="5"/>
  <c r="CD1015" i="5" s="1"/>
  <c r="CD1229" i="5"/>
  <c r="CD1239" i="5"/>
  <c r="CD1240" i="5"/>
  <c r="CD1244" i="5"/>
  <c r="CD1250" i="5"/>
  <c r="CD1272" i="5"/>
  <c r="CD1289" i="5"/>
  <c r="CD1298" i="5"/>
  <c r="CC1299" i="5"/>
  <c r="CD1299" i="5" s="1"/>
  <c r="CD1309" i="5"/>
  <c r="AR1263" i="5"/>
  <c r="CD1218" i="5"/>
  <c r="CD1234" i="5"/>
  <c r="CD1243" i="5"/>
  <c r="CD1254" i="5"/>
  <c r="CD1276" i="5"/>
  <c r="CD1292" i="5"/>
  <c r="CC1294" i="5"/>
  <c r="AR45" i="6"/>
  <c r="CF55" i="6"/>
  <c r="CF75" i="6"/>
  <c r="CF76" i="6"/>
  <c r="CF86" i="6"/>
  <c r="CF113" i="6"/>
  <c r="CF114" i="6"/>
  <c r="CF119" i="6"/>
  <c r="CF124" i="6"/>
  <c r="CF70" i="6"/>
  <c r="CH45" i="6"/>
  <c r="CF29" i="6"/>
  <c r="CF30" i="6"/>
  <c r="CF37" i="6"/>
  <c r="CF38" i="6"/>
  <c r="CF46" i="6"/>
  <c r="CF53" i="6"/>
  <c r="CF62" i="6"/>
  <c r="CF83" i="6"/>
  <c r="CF84" i="6"/>
  <c r="CF94" i="6"/>
  <c r="CF122" i="6"/>
  <c r="CF56" i="6"/>
  <c r="CF57" i="6"/>
  <c r="CF63" i="6"/>
  <c r="CF64" i="6"/>
  <c r="CF71" i="6"/>
  <c r="CF72" i="6"/>
  <c r="CF79" i="6"/>
  <c r="CF80" i="6"/>
  <c r="CF87" i="6"/>
  <c r="CF88" i="6"/>
  <c r="CF95" i="6"/>
  <c r="CF96" i="6"/>
  <c r="CF111" i="6"/>
  <c r="CF121" i="6"/>
  <c r="CF125" i="6"/>
  <c r="CF138" i="6"/>
  <c r="CF140" i="6"/>
  <c r="CF147" i="6"/>
  <c r="CF148" i="6"/>
  <c r="CF149" i="6"/>
  <c r="CF152" i="6"/>
  <c r="CF158" i="6"/>
  <c r="CF166" i="6"/>
  <c r="CF174" i="6"/>
  <c r="CH395" i="6"/>
  <c r="CF190" i="6"/>
  <c r="CF192" i="6"/>
  <c r="CF195" i="6"/>
  <c r="CF205" i="6"/>
  <c r="CF207" i="6"/>
  <c r="CF210" i="6"/>
  <c r="CF222" i="6"/>
  <c r="CF225" i="6"/>
  <c r="CF231" i="6"/>
  <c r="CF233" i="6"/>
  <c r="CF236" i="6"/>
  <c r="CF247" i="6"/>
  <c r="CF248" i="6"/>
  <c r="CF251" i="6"/>
  <c r="CF262" i="6"/>
  <c r="CF264" i="6"/>
  <c r="CF267" i="6"/>
  <c r="CF278" i="6"/>
  <c r="CF280" i="6"/>
  <c r="CF283" i="6"/>
  <c r="CF295" i="6"/>
  <c r="CF304" i="6"/>
  <c r="CF305" i="6"/>
  <c r="CF308" i="6"/>
  <c r="CF320" i="6"/>
  <c r="CF323" i="6"/>
  <c r="CF334" i="6"/>
  <c r="CF336" i="6"/>
  <c r="CF346" i="6"/>
  <c r="CF350" i="6"/>
  <c r="CF352" i="6"/>
  <c r="CF361" i="6"/>
  <c r="CF364" i="6"/>
  <c r="CF123" i="6"/>
  <c r="CF127" i="6"/>
  <c r="CF132" i="6"/>
  <c r="CF135" i="6"/>
  <c r="CF142" i="6"/>
  <c r="CF143" i="6"/>
  <c r="CF144" i="6"/>
  <c r="CF145" i="6"/>
  <c r="CF162" i="6"/>
  <c r="CF178" i="6"/>
  <c r="CF184" i="6"/>
  <c r="CF187" i="6"/>
  <c r="CF198" i="6"/>
  <c r="CF200" i="6"/>
  <c r="CF203" i="6"/>
  <c r="CF213" i="6"/>
  <c r="CF215" i="6"/>
  <c r="CF218" i="6"/>
  <c r="CF228" i="6"/>
  <c r="CF239" i="6"/>
  <c r="CF241" i="6"/>
  <c r="CF254" i="6"/>
  <c r="CF256" i="6"/>
  <c r="CF270" i="6"/>
  <c r="CF272" i="6"/>
  <c r="CF286" i="6"/>
  <c r="CF288" i="6"/>
  <c r="CF311" i="6"/>
  <c r="CF313" i="6"/>
  <c r="CF326" i="6"/>
  <c r="CF328" i="6"/>
  <c r="CF338" i="6"/>
  <c r="CF341" i="6"/>
  <c r="CF343" i="6"/>
  <c r="CF354" i="6"/>
  <c r="CF357" i="6"/>
  <c r="CF358" i="6"/>
  <c r="CF243" i="6"/>
  <c r="CF245" i="6"/>
  <c r="CF258" i="6"/>
  <c r="CF260" i="6"/>
  <c r="CF274" i="6"/>
  <c r="CF276" i="6"/>
  <c r="CF290" i="6"/>
  <c r="CF292" i="6"/>
  <c r="CF300" i="6"/>
  <c r="CF302" i="6"/>
  <c r="CF330" i="6"/>
  <c r="CF332" i="6"/>
  <c r="CF397" i="6"/>
  <c r="CE552" i="6"/>
  <c r="CF552" i="6" s="1"/>
  <c r="CF560" i="6"/>
  <c r="CF562" i="6"/>
  <c r="CF567" i="6"/>
  <c r="CE573" i="6"/>
  <c r="CF573" i="6" s="1"/>
  <c r="CF576" i="6"/>
  <c r="CF578" i="6"/>
  <c r="CF605" i="6"/>
  <c r="CF611" i="6"/>
  <c r="CF614" i="6"/>
  <c r="CF630" i="6"/>
  <c r="CF653" i="6"/>
  <c r="CF655" i="6"/>
  <c r="CF659" i="6"/>
  <c r="CF673" i="6"/>
  <c r="CF676" i="6"/>
  <c r="CF688" i="6"/>
  <c r="CF690" i="6"/>
  <c r="CF694" i="6"/>
  <c r="CF700" i="6"/>
  <c r="CF704" i="6"/>
  <c r="CF712" i="6"/>
  <c r="CF723" i="6"/>
  <c r="CF726" i="6"/>
  <c r="CF734" i="6"/>
  <c r="CF739" i="6"/>
  <c r="CF749" i="6"/>
  <c r="CF752" i="6"/>
  <c r="CF764" i="6"/>
  <c r="CF767" i="6"/>
  <c r="CF774" i="6"/>
  <c r="CF782" i="6"/>
  <c r="CH831" i="6"/>
  <c r="CE792" i="6"/>
  <c r="CF792" i="6" s="1"/>
  <c r="CE800" i="6"/>
  <c r="CF800" i="6" s="1"/>
  <c r="AR988" i="6"/>
  <c r="CF833" i="6"/>
  <c r="CF851" i="6"/>
  <c r="CF858" i="6"/>
  <c r="CF877" i="6"/>
  <c r="CF899" i="6"/>
  <c r="CF912" i="6"/>
  <c r="CF945" i="6"/>
  <c r="CF984" i="6"/>
  <c r="CF1010" i="6"/>
  <c r="CF1097" i="6"/>
  <c r="AT1226" i="6"/>
  <c r="CF366" i="6"/>
  <c r="CF375" i="6"/>
  <c r="CF381" i="6"/>
  <c r="CF394" i="6"/>
  <c r="CF467" i="6"/>
  <c r="CF481" i="6"/>
  <c r="CF491" i="6"/>
  <c r="CF504" i="6"/>
  <c r="CF505" i="6"/>
  <c r="CF506" i="6"/>
  <c r="CF507" i="6"/>
  <c r="CF508" i="6"/>
  <c r="CF523" i="6"/>
  <c r="CF528" i="6"/>
  <c r="CF529" i="6"/>
  <c r="CF536" i="6"/>
  <c r="CF548" i="6"/>
  <c r="CF582" i="6"/>
  <c r="CF591" i="6"/>
  <c r="CF593" i="6"/>
  <c r="CF633" i="6"/>
  <c r="CF647" i="6"/>
  <c r="CF678" i="6"/>
  <c r="CF754" i="6"/>
  <c r="CF778" i="6"/>
  <c r="CF794" i="6"/>
  <c r="CE992" i="6"/>
  <c r="CF991" i="6"/>
  <c r="CF992" i="6" s="1"/>
  <c r="CF423" i="6"/>
  <c r="CF424" i="6"/>
  <c r="CF434" i="6"/>
  <c r="CF443" i="6"/>
  <c r="CF452" i="6"/>
  <c r="CF453" i="6"/>
  <c r="CF455" i="6"/>
  <c r="CF457" i="6"/>
  <c r="CF471" i="6"/>
  <c r="CF483" i="6"/>
  <c r="CF485" i="6"/>
  <c r="CF495" i="6"/>
  <c r="CF498" i="6"/>
  <c r="CF669" i="6"/>
  <c r="CF671" i="6"/>
  <c r="CF760" i="6"/>
  <c r="CF780" i="6"/>
  <c r="CF787" i="6"/>
  <c r="CF791" i="6"/>
  <c r="CE799" i="6"/>
  <c r="CF799" i="6" s="1"/>
  <c r="CE803" i="6"/>
  <c r="CF803" i="6" s="1"/>
  <c r="CF870" i="6"/>
  <c r="CF906" i="6"/>
  <c r="CF928" i="6"/>
  <c r="CF368" i="6"/>
  <c r="CF371" i="6"/>
  <c r="CF373" i="6"/>
  <c r="CF383" i="6"/>
  <c r="CF386" i="6"/>
  <c r="CF398" i="6"/>
  <c r="CF399" i="6"/>
  <c r="CF411" i="6"/>
  <c r="CF419" i="6"/>
  <c r="CF426" i="6"/>
  <c r="CF493" i="6"/>
  <c r="CF515" i="6"/>
  <c r="CF516" i="6"/>
  <c r="CE526" i="6"/>
  <c r="CF526" i="6" s="1"/>
  <c r="CF557" i="6"/>
  <c r="CF585" i="6"/>
  <c r="CF595" i="6"/>
  <c r="CF602" i="6"/>
  <c r="CF623" i="6"/>
  <c r="CF628" i="6"/>
  <c r="CF635" i="6"/>
  <c r="CF638" i="6"/>
  <c r="CF650" i="6"/>
  <c r="CF663" i="6"/>
  <c r="CF668" i="6"/>
  <c r="CF707" i="6"/>
  <c r="CF710" i="6"/>
  <c r="CF718" i="6"/>
  <c r="CF720" i="6"/>
  <c r="CF731" i="6"/>
  <c r="CF744" i="6"/>
  <c r="CF746" i="6"/>
  <c r="CF761" i="6"/>
  <c r="CE793" i="6"/>
  <c r="CF793" i="6" s="1"/>
  <c r="CE797" i="6"/>
  <c r="CF797" i="6" s="1"/>
  <c r="CE801" i="6"/>
  <c r="CF801" i="6" s="1"/>
  <c r="CE819" i="6"/>
  <c r="CF819" i="6" s="1"/>
  <c r="CE821" i="6"/>
  <c r="CF821" i="6" s="1"/>
  <c r="CE823" i="6"/>
  <c r="CF823" i="6" s="1"/>
  <c r="CE825" i="6"/>
  <c r="CF825" i="6" s="1"/>
  <c r="CE827" i="6"/>
  <c r="CF827" i="6" s="1"/>
  <c r="CE829" i="6"/>
  <c r="CF829" i="6" s="1"/>
  <c r="CF838" i="6"/>
  <c r="CF841" i="6"/>
  <c r="CF845" i="6"/>
  <c r="CF892" i="6"/>
  <c r="CF935" i="6"/>
  <c r="CF961" i="6"/>
  <c r="CF1197" i="6"/>
  <c r="CF897" i="6"/>
  <c r="CF904" i="6"/>
  <c r="CF918" i="6"/>
  <c r="CF926" i="6"/>
  <c r="CF934" i="6"/>
  <c r="CF958" i="6"/>
  <c r="CF973" i="6"/>
  <c r="CF981" i="6"/>
  <c r="CF1007" i="6"/>
  <c r="CF1018" i="6"/>
  <c r="CF1033" i="6"/>
  <c r="CF1038" i="6"/>
  <c r="CF1046" i="6"/>
  <c r="CF1047" i="6"/>
  <c r="CF1052" i="6"/>
  <c r="CF1061" i="6"/>
  <c r="CF1071" i="6"/>
  <c r="CF1076" i="6"/>
  <c r="CF1085" i="6"/>
  <c r="CF1095" i="6"/>
  <c r="CF1109" i="6"/>
  <c r="CF1115" i="6"/>
  <c r="CF1125" i="6"/>
  <c r="CF1139" i="6"/>
  <c r="CF1141" i="6"/>
  <c r="CF1144" i="6"/>
  <c r="CF1149" i="6"/>
  <c r="CF1151" i="6"/>
  <c r="CF1153" i="6"/>
  <c r="CF1177" i="6"/>
  <c r="CF1186" i="6"/>
  <c r="CF1196" i="6"/>
  <c r="CF1199" i="6"/>
  <c r="CF1201" i="6"/>
  <c r="CF1215" i="6"/>
  <c r="BD1226" i="6"/>
  <c r="CF1230" i="6"/>
  <c r="CF1232" i="6"/>
  <c r="CF1234" i="6"/>
  <c r="CF1246" i="6"/>
  <c r="CF1257" i="6"/>
  <c r="CF1269" i="6"/>
  <c r="CF1271" i="6"/>
  <c r="CF842" i="6"/>
  <c r="CF871" i="6"/>
  <c r="AT988" i="6"/>
  <c r="CF878" i="6"/>
  <c r="CF884" i="6"/>
  <c r="CF894" i="6"/>
  <c r="CF901" i="6"/>
  <c r="CF908" i="6"/>
  <c r="CF915" i="6"/>
  <c r="CF923" i="6"/>
  <c r="CF931" i="6"/>
  <c r="CF937" i="6"/>
  <c r="CF946" i="6"/>
  <c r="CF953" i="6"/>
  <c r="CF962" i="6"/>
  <c r="CF968" i="6"/>
  <c r="CF975" i="6"/>
  <c r="CF977" i="6"/>
  <c r="CE985" i="6"/>
  <c r="CF985" i="6" s="1"/>
  <c r="CF995" i="6"/>
  <c r="CF996" i="6"/>
  <c r="CF1011" i="6"/>
  <c r="CF1012" i="6"/>
  <c r="CF1022" i="6"/>
  <c r="CF1023" i="6"/>
  <c r="CF1059" i="6"/>
  <c r="CF1074" i="6"/>
  <c r="CF1143" i="6"/>
  <c r="CF1181" i="6"/>
  <c r="AT1187" i="6"/>
  <c r="CE1187" i="6" s="1"/>
  <c r="CF1187" i="6" s="1"/>
  <c r="CF1239" i="6"/>
  <c r="CF1241" i="6"/>
  <c r="CF1262" i="6"/>
  <c r="CF1264" i="6"/>
  <c r="CH988" i="6"/>
  <c r="CF836" i="6"/>
  <c r="CF846" i="6"/>
  <c r="CF854" i="6"/>
  <c r="CF859" i="6"/>
  <c r="CF860" i="6"/>
  <c r="CF862" i="6"/>
  <c r="CF864" i="6"/>
  <c r="CF866" i="6"/>
  <c r="CF868" i="6"/>
  <c r="CF875" i="6"/>
  <c r="CF888" i="6"/>
  <c r="CF943" i="6"/>
  <c r="CF951" i="6"/>
  <c r="CF972" i="6"/>
  <c r="CF999" i="6"/>
  <c r="CF1005" i="6"/>
  <c r="CF1016" i="6"/>
  <c r="CF1025" i="6"/>
  <c r="CF1031" i="6"/>
  <c r="CF1040" i="6"/>
  <c r="CF1063" i="6"/>
  <c r="CF1069" i="6"/>
  <c r="CF1078" i="6"/>
  <c r="CF1083" i="6"/>
  <c r="CE1087" i="6"/>
  <c r="CF1087" i="6" s="1"/>
  <c r="CF1093" i="6"/>
  <c r="CF1107" i="6"/>
  <c r="CF1117" i="6"/>
  <c r="CF1123" i="6"/>
  <c r="CF1137" i="6"/>
  <c r="CE1165" i="6"/>
  <c r="CF1160" i="6"/>
  <c r="CF1165" i="6" s="1"/>
  <c r="CF1162" i="6"/>
  <c r="CF1172" i="6"/>
  <c r="CF1174" i="6"/>
  <c r="CF1191" i="6"/>
  <c r="CF1193" i="6"/>
  <c r="CF1209" i="6"/>
  <c r="CF1221" i="6"/>
  <c r="CF1223" i="6"/>
  <c r="CF1238" i="6"/>
  <c r="CF1240" i="6"/>
  <c r="CF1242" i="6"/>
  <c r="CF1249" i="6"/>
  <c r="CF1252" i="6"/>
  <c r="CH1272" i="6"/>
  <c r="E171" i="6"/>
  <c r="E173" i="6" s="1"/>
  <c r="E177" i="6" s="1"/>
  <c r="E181" i="6" s="1"/>
  <c r="E169" i="6"/>
  <c r="E170" i="6"/>
  <c r="E174" i="6" s="1"/>
  <c r="E176" i="6" s="1"/>
  <c r="E180" i="6" s="1"/>
  <c r="E168" i="6"/>
  <c r="CE45" i="6"/>
  <c r="AR395" i="6"/>
  <c r="AT182" i="6"/>
  <c r="CE221" i="6"/>
  <c r="CF221" i="6" s="1"/>
  <c r="CF339" i="6"/>
  <c r="CF355" i="6"/>
  <c r="CF369" i="6"/>
  <c r="CF384" i="6"/>
  <c r="CF396" i="6"/>
  <c r="CF406" i="6"/>
  <c r="CF416" i="6"/>
  <c r="CF417" i="6"/>
  <c r="CF440" i="6"/>
  <c r="CF441" i="6"/>
  <c r="CF448" i="6"/>
  <c r="CF464" i="6"/>
  <c r="CF465" i="6"/>
  <c r="CF472" i="6"/>
  <c r="CF473" i="6"/>
  <c r="CF480" i="6"/>
  <c r="CF380" i="6"/>
  <c r="AT395" i="6"/>
  <c r="CF414" i="6"/>
  <c r="CF427" i="6"/>
  <c r="CF428" i="6"/>
  <c r="CF446" i="6"/>
  <c r="CF454" i="6"/>
  <c r="CF484" i="6"/>
  <c r="CE60" i="6"/>
  <c r="CF60" i="6" s="1"/>
  <c r="CE99" i="6"/>
  <c r="CF99" i="6" s="1"/>
  <c r="CF26" i="6"/>
  <c r="BI182" i="6"/>
  <c r="BI1211" i="6" s="1"/>
  <c r="CF347" i="6"/>
  <c r="CF376" i="6"/>
  <c r="CF392" i="6"/>
  <c r="CF420" i="6"/>
  <c r="CF435" i="6"/>
  <c r="CF444" i="6"/>
  <c r="AU456" i="6"/>
  <c r="CF460" i="6"/>
  <c r="CF461" i="6"/>
  <c r="CF468" i="6"/>
  <c r="CF469" i="6"/>
  <c r="CF476" i="6"/>
  <c r="CF477" i="6"/>
  <c r="CF488" i="6"/>
  <c r="CE783" i="6"/>
  <c r="CF783" i="6" s="1"/>
  <c r="AT530" i="6"/>
  <c r="CE518" i="6"/>
  <c r="CF518" i="6" s="1"/>
  <c r="AR531" i="6"/>
  <c r="AR533" i="6" s="1"/>
  <c r="CF539" i="6"/>
  <c r="CF551" i="6"/>
  <c r="CF566" i="6"/>
  <c r="CF581" i="6"/>
  <c r="CF596" i="6"/>
  <c r="CF612" i="6"/>
  <c r="CF636" i="6"/>
  <c r="CF646" i="6"/>
  <c r="CF674" i="6"/>
  <c r="CF693" i="6"/>
  <c r="CF708" i="6"/>
  <c r="CF724" i="6"/>
  <c r="CE735" i="6"/>
  <c r="CF735" i="6" s="1"/>
  <c r="CF737" i="6"/>
  <c r="CF750" i="6"/>
  <c r="CF765" i="6"/>
  <c r="CF776" i="6"/>
  <c r="AV831" i="6"/>
  <c r="AV1211" i="6" s="1"/>
  <c r="CE786" i="6"/>
  <c r="CF786" i="6" s="1"/>
  <c r="CE790" i="6"/>
  <c r="CF790" i="6" s="1"/>
  <c r="CE807" i="6"/>
  <c r="CF807" i="6" s="1"/>
  <c r="CE811" i="6"/>
  <c r="CF811" i="6" s="1"/>
  <c r="CE815" i="6"/>
  <c r="CF815" i="6" s="1"/>
  <c r="CF843" i="6"/>
  <c r="CF959" i="6"/>
  <c r="CF967" i="6"/>
  <c r="CF1008" i="6"/>
  <c r="CF1019" i="6"/>
  <c r="CF1034" i="6"/>
  <c r="CF1053" i="6"/>
  <c r="CF1072" i="6"/>
  <c r="CF1086" i="6"/>
  <c r="CF1096" i="6"/>
  <c r="CF1110" i="6"/>
  <c r="CF1126" i="6"/>
  <c r="AR1253" i="6"/>
  <c r="AU497" i="6"/>
  <c r="CE497" i="6" s="1"/>
  <c r="CF497" i="6" s="1"/>
  <c r="CF535" i="6"/>
  <c r="CH540" i="6"/>
  <c r="CF547" i="6"/>
  <c r="AR831" i="6"/>
  <c r="CE785" i="6"/>
  <c r="CF785" i="6" s="1"/>
  <c r="CE789" i="6"/>
  <c r="CF789" i="6" s="1"/>
  <c r="CE806" i="6"/>
  <c r="CF806" i="6" s="1"/>
  <c r="CE810" i="6"/>
  <c r="CF810" i="6" s="1"/>
  <c r="CE814" i="6"/>
  <c r="CF814" i="6" s="1"/>
  <c r="CE818" i="6"/>
  <c r="CF818" i="6" s="1"/>
  <c r="CE820" i="6"/>
  <c r="CF820" i="6" s="1"/>
  <c r="CE822" i="6"/>
  <c r="CF822" i="6" s="1"/>
  <c r="CE824" i="6"/>
  <c r="CF824" i="6" s="1"/>
  <c r="CE826" i="6"/>
  <c r="CF826" i="6" s="1"/>
  <c r="CE828" i="6"/>
  <c r="CF828" i="6" s="1"/>
  <c r="CE830" i="6"/>
  <c r="CF830" i="6" s="1"/>
  <c r="AT1157" i="6"/>
  <c r="CE1037" i="6"/>
  <c r="CF1037" i="6" s="1"/>
  <c r="CF1056" i="6"/>
  <c r="CF1060" i="6"/>
  <c r="CF1075" i="6"/>
  <c r="CF1114" i="6"/>
  <c r="CF1130" i="6"/>
  <c r="CE527" i="6"/>
  <c r="CF527" i="6" s="1"/>
  <c r="U533" i="6"/>
  <c r="U1211" i="6" s="1"/>
  <c r="AR1211" i="6" s="1"/>
  <c r="CF543" i="6"/>
  <c r="CF558" i="6"/>
  <c r="CF603" i="6"/>
  <c r="CF618" i="6"/>
  <c r="CF642" i="6"/>
  <c r="CF651" i="6"/>
  <c r="CF666" i="6"/>
  <c r="CF701" i="6"/>
  <c r="CF716" i="6"/>
  <c r="CF732" i="6"/>
  <c r="CF742" i="6"/>
  <c r="CF757" i="6"/>
  <c r="CE768" i="6"/>
  <c r="CF768" i="6" s="1"/>
  <c r="CF771" i="6"/>
  <c r="CE784" i="6"/>
  <c r="CE788" i="6"/>
  <c r="CF788" i="6" s="1"/>
  <c r="AW831" i="6"/>
  <c r="AW1211" i="6" s="1"/>
  <c r="CE805" i="6"/>
  <c r="CF805" i="6" s="1"/>
  <c r="CE809" i="6"/>
  <c r="CF809" i="6" s="1"/>
  <c r="CE813" i="6"/>
  <c r="CF813" i="6" s="1"/>
  <c r="CE817" i="6"/>
  <c r="CF817" i="6" s="1"/>
  <c r="CF839" i="6"/>
  <c r="CF847" i="6"/>
  <c r="CF856" i="6"/>
  <c r="CF956" i="6"/>
  <c r="CF963" i="6"/>
  <c r="CF970" i="6"/>
  <c r="CF982" i="6"/>
  <c r="CF1000" i="6"/>
  <c r="CF1026" i="6"/>
  <c r="CF1041" i="6"/>
  <c r="CF1050" i="6"/>
  <c r="CF1064" i="6"/>
  <c r="CF1079" i="6"/>
  <c r="CF1088" i="6"/>
  <c r="CF1098" i="6"/>
  <c r="CF1118" i="6"/>
  <c r="CF1132" i="6"/>
  <c r="CF1212" i="6"/>
  <c r="CE1226" i="6"/>
  <c r="CE1272" i="6"/>
  <c r="CF532" i="6"/>
  <c r="CF798" i="6"/>
  <c r="CF802" i="6"/>
  <c r="AT831" i="6"/>
  <c r="CE988" i="6"/>
  <c r="AR1210" i="6"/>
  <c r="CF1207" i="6"/>
  <c r="CH1157" i="6"/>
  <c r="AR1157" i="6"/>
  <c r="AR1272" i="6"/>
  <c r="CH1169" i="6"/>
  <c r="CF1180" i="6"/>
  <c r="CE1210" i="6"/>
  <c r="CF1208" i="6"/>
  <c r="CH1253" i="6"/>
  <c r="CF1272" i="6"/>
  <c r="CF989" i="6"/>
  <c r="CF990" i="6" s="1"/>
  <c r="CE1142" i="6"/>
  <c r="CF1142" i="6" s="1"/>
  <c r="CF1166" i="6"/>
  <c r="CF1169" i="6" s="1"/>
  <c r="CE1169" i="6"/>
  <c r="CH1226" i="6"/>
  <c r="CF1216" i="6"/>
  <c r="CE1253" i="6"/>
  <c r="CE1256" i="6"/>
  <c r="CE179" i="7"/>
  <c r="CE190" i="7"/>
  <c r="CD231" i="7"/>
  <c r="CE231" i="7" s="1"/>
  <c r="CD737" i="7"/>
  <c r="CE737" i="7" s="1"/>
  <c r="AT848" i="7"/>
  <c r="CE36" i="7"/>
  <c r="CE251" i="7"/>
  <c r="CE316" i="7"/>
  <c r="CE364" i="7"/>
  <c r="CE474" i="7"/>
  <c r="CE574" i="7"/>
  <c r="CD693" i="7"/>
  <c r="CG848" i="7"/>
  <c r="CE40" i="7"/>
  <c r="CE56" i="7"/>
  <c r="CE75" i="7"/>
  <c r="CE76" i="7"/>
  <c r="CE83" i="7"/>
  <c r="CE84" i="7"/>
  <c r="CE89" i="7"/>
  <c r="CE95" i="7"/>
  <c r="CE96" i="7"/>
  <c r="CE105" i="7"/>
  <c r="CE123" i="7"/>
  <c r="CE124" i="7"/>
  <c r="CE134" i="7"/>
  <c r="CE146" i="7"/>
  <c r="CE147" i="7"/>
  <c r="CE154" i="7"/>
  <c r="CE164" i="7"/>
  <c r="CE171" i="7"/>
  <c r="CE181" i="7"/>
  <c r="CE201" i="7"/>
  <c r="CE202" i="7"/>
  <c r="CE212" i="7"/>
  <c r="CE220" i="7"/>
  <c r="CE221" i="7"/>
  <c r="CD227" i="7"/>
  <c r="CE227" i="7" s="1"/>
  <c r="CE243" i="7"/>
  <c r="CE246" i="7"/>
  <c r="CE255" i="7"/>
  <c r="CE266" i="7"/>
  <c r="CE272" i="7"/>
  <c r="CE285" i="7"/>
  <c r="CE287" i="7"/>
  <c r="CE323" i="7"/>
  <c r="CE380" i="7"/>
  <c r="CE396" i="7"/>
  <c r="CE497" i="7"/>
  <c r="CE536" i="7"/>
  <c r="CD690" i="7"/>
  <c r="CD714" i="7"/>
  <c r="CE28" i="7"/>
  <c r="CE44" i="7"/>
  <c r="AR247" i="7"/>
  <c r="CE59" i="7"/>
  <c r="CE169" i="7"/>
  <c r="CE193" i="7"/>
  <c r="CE229" i="7"/>
  <c r="CE234" i="7"/>
  <c r="AR395" i="7"/>
  <c r="CE259" i="7"/>
  <c r="CE276" i="7"/>
  <c r="CE289" i="7"/>
  <c r="CE291" i="7"/>
  <c r="CE293" i="7"/>
  <c r="CE295" i="7"/>
  <c r="CE466" i="7"/>
  <c r="CE525" i="7"/>
  <c r="CD527" i="7"/>
  <c r="CE527" i="7" s="1"/>
  <c r="CD697" i="7"/>
  <c r="CE314" i="7"/>
  <c r="CE320" i="7"/>
  <c r="CE335" i="7"/>
  <c r="CE345" i="7"/>
  <c r="CE347" i="7"/>
  <c r="CE361" i="7"/>
  <c r="CE377" i="7"/>
  <c r="CE392" i="7"/>
  <c r="CE408" i="7"/>
  <c r="CE424" i="7"/>
  <c r="CE434" i="7"/>
  <c r="CD440" i="7"/>
  <c r="CE440" i="7" s="1"/>
  <c r="CE446" i="7"/>
  <c r="CE455" i="7"/>
  <c r="CE473" i="7"/>
  <c r="CE481" i="7"/>
  <c r="BQ1101" i="7"/>
  <c r="CE494" i="7"/>
  <c r="CE514" i="7"/>
  <c r="CE523" i="7"/>
  <c r="CE542" i="7"/>
  <c r="CE556" i="7"/>
  <c r="CE583" i="7"/>
  <c r="CE588" i="7"/>
  <c r="CE594" i="7"/>
  <c r="CE615" i="7"/>
  <c r="CE620" i="7"/>
  <c r="CE633" i="7"/>
  <c r="CE636" i="7"/>
  <c r="CE656" i="7"/>
  <c r="CE662" i="7"/>
  <c r="CE667" i="7"/>
  <c r="CE672" i="7"/>
  <c r="CD699" i="7"/>
  <c r="CE699" i="7" s="1"/>
  <c r="CD711" i="7"/>
  <c r="CE711" i="7" s="1"/>
  <c r="CD722" i="7"/>
  <c r="CE722" i="7" s="1"/>
  <c r="CE739" i="7"/>
  <c r="CE740" i="7"/>
  <c r="CE753" i="7"/>
  <c r="CE758" i="7"/>
  <c r="CE768" i="7"/>
  <c r="CE771" i="7"/>
  <c r="CE773" i="7"/>
  <c r="CE784" i="7"/>
  <c r="CE840" i="7"/>
  <c r="CE923" i="7"/>
  <c r="CE970" i="7"/>
  <c r="CE998" i="7"/>
  <c r="CD1052" i="7"/>
  <c r="CE1052" i="7" s="1"/>
  <c r="CE1080" i="7"/>
  <c r="CE1110" i="7"/>
  <c r="CE302" i="7"/>
  <c r="CE308" i="7"/>
  <c r="CE324" i="7"/>
  <c r="CE330" i="7"/>
  <c r="CE337" i="7"/>
  <c r="CE365" i="7"/>
  <c r="CE381" i="7"/>
  <c r="Q1101" i="7"/>
  <c r="CE418" i="7"/>
  <c r="CE432" i="7"/>
  <c r="CM1101" i="7"/>
  <c r="AO1101" i="7"/>
  <c r="CE449" i="7"/>
  <c r="CE458" i="7"/>
  <c r="CE459" i="7"/>
  <c r="CE462" i="7"/>
  <c r="CE463" i="7"/>
  <c r="CE506" i="7"/>
  <c r="CE511" i="7"/>
  <c r="CE537" i="7"/>
  <c r="CE546" i="7"/>
  <c r="CE552" i="7"/>
  <c r="CE558" i="7"/>
  <c r="CE567" i="7"/>
  <c r="CE575" i="7"/>
  <c r="CE607" i="7"/>
  <c r="CD686" i="7"/>
  <c r="CE686" i="7" s="1"/>
  <c r="CD688" i="7"/>
  <c r="CE688" i="7" s="1"/>
  <c r="CD704" i="7"/>
  <c r="CE704" i="7" s="1"/>
  <c r="CD708" i="7"/>
  <c r="CE708" i="7" s="1"/>
  <c r="CD713" i="7"/>
  <c r="CE713" i="7" s="1"/>
  <c r="CE715" i="7"/>
  <c r="CD728" i="7"/>
  <c r="CE728" i="7" s="1"/>
  <c r="CD730" i="7"/>
  <c r="CE730" i="7" s="1"/>
  <c r="CE745" i="7"/>
  <c r="CE747" i="7"/>
  <c r="CE869" i="7"/>
  <c r="CE297" i="7"/>
  <c r="CE312" i="7"/>
  <c r="CE328" i="7"/>
  <c r="CE334" i="7"/>
  <c r="CE341" i="7"/>
  <c r="CE353" i="7"/>
  <c r="CE359" i="7"/>
  <c r="CE369" i="7"/>
  <c r="CE375" i="7"/>
  <c r="CE385" i="7"/>
  <c r="CE390" i="7"/>
  <c r="CE400" i="7"/>
  <c r="CE406" i="7"/>
  <c r="CE422" i="7"/>
  <c r="CE438" i="7"/>
  <c r="CE453" i="7"/>
  <c r="L1101" i="7"/>
  <c r="CE492" i="7"/>
  <c r="CE499" i="7"/>
  <c r="CE504" i="7"/>
  <c r="CE521" i="7"/>
  <c r="CE535" i="7"/>
  <c r="CE555" i="7"/>
  <c r="CE562" i="7"/>
  <c r="CE564" i="7"/>
  <c r="CE578" i="7"/>
  <c r="CE592" i="7"/>
  <c r="CE599" i="7"/>
  <c r="CE604" i="7"/>
  <c r="CE610" i="7"/>
  <c r="CE624" i="7"/>
  <c r="CE629" i="7"/>
  <c r="CE639" i="7"/>
  <c r="CE646" i="7"/>
  <c r="CE651" i="7"/>
  <c r="CE653" i="7"/>
  <c r="CE675" i="7"/>
  <c r="CE679" i="7"/>
  <c r="CE680" i="7"/>
  <c r="CD698" i="7"/>
  <c r="CE698" i="7" s="1"/>
  <c r="CD702" i="7"/>
  <c r="CE702" i="7" s="1"/>
  <c r="AV733" i="7"/>
  <c r="CD707" i="7"/>
  <c r="CE707" i="7" s="1"/>
  <c r="CD712" i="7"/>
  <c r="CE712" i="7" s="1"/>
  <c r="CD718" i="7"/>
  <c r="CE718" i="7" s="1"/>
  <c r="CE761" i="7"/>
  <c r="CE776" i="7"/>
  <c r="BH1060" i="7"/>
  <c r="CD907" i="7"/>
  <c r="CE907" i="7" s="1"/>
  <c r="CE910" i="7"/>
  <c r="CE1021" i="7"/>
  <c r="CE1089" i="7"/>
  <c r="CE1119" i="7"/>
  <c r="CE785" i="7"/>
  <c r="CE813" i="7"/>
  <c r="CE816" i="7"/>
  <c r="CE827" i="7"/>
  <c r="CE828" i="7"/>
  <c r="CE835" i="7"/>
  <c r="CE839" i="7"/>
  <c r="CE847" i="7"/>
  <c r="CE857" i="7"/>
  <c r="CE860" i="7"/>
  <c r="CE867" i="7"/>
  <c r="CE895" i="7"/>
  <c r="CE915" i="7"/>
  <c r="CE922" i="7"/>
  <c r="CE930" i="7"/>
  <c r="CE932" i="7"/>
  <c r="CE937" i="7"/>
  <c r="CE939" i="7"/>
  <c r="CE948" i="7"/>
  <c r="CE952" i="7"/>
  <c r="CE979" i="7"/>
  <c r="CE980" i="7"/>
  <c r="CE994" i="7"/>
  <c r="CE995" i="7"/>
  <c r="CE1014" i="7"/>
  <c r="CE1041" i="7"/>
  <c r="CE1058" i="7"/>
  <c r="CE1059" i="7"/>
  <c r="CE1061" i="7"/>
  <c r="CE1062" i="7" s="1"/>
  <c r="AR1083" i="7"/>
  <c r="CE1077" i="7"/>
  <c r="CE1079" i="7"/>
  <c r="CE1086" i="7"/>
  <c r="CE1095" i="7"/>
  <c r="AR1097" i="7"/>
  <c r="CD1097" i="7"/>
  <c r="CE1097" i="7" s="1"/>
  <c r="CE1107" i="7"/>
  <c r="CE1109" i="7"/>
  <c r="CE1116" i="7"/>
  <c r="CE1131" i="7"/>
  <c r="CE1133" i="7"/>
  <c r="CE1151" i="7"/>
  <c r="CE1155" i="7"/>
  <c r="CE1160" i="7"/>
  <c r="CE779" i="7"/>
  <c r="CE787" i="7"/>
  <c r="CE805" i="7"/>
  <c r="CE832" i="7"/>
  <c r="CE841" i="7"/>
  <c r="CE844" i="7"/>
  <c r="CE850" i="7"/>
  <c r="CE854" i="7"/>
  <c r="CE862" i="7"/>
  <c r="CE870" i="7"/>
  <c r="CE872" i="7"/>
  <c r="CE899" i="7"/>
  <c r="CE924" i="7"/>
  <c r="CE926" i="7"/>
  <c r="CE971" i="7"/>
  <c r="CE976" i="7"/>
  <c r="CE1007" i="7"/>
  <c r="CE1011" i="7"/>
  <c r="CE1016" i="7"/>
  <c r="CE1022" i="7"/>
  <c r="CE1029" i="7"/>
  <c r="CE1034" i="7"/>
  <c r="CE1037" i="7"/>
  <c r="CE1051" i="7"/>
  <c r="CD1053" i="7"/>
  <c r="CE1053" i="7" s="1"/>
  <c r="CE1065" i="7"/>
  <c r="CE1072" i="7"/>
  <c r="CE1081" i="7"/>
  <c r="CE1120" i="7"/>
  <c r="CE1123" i="7"/>
  <c r="CE1125" i="7"/>
  <c r="CE1144" i="7"/>
  <c r="CE789" i="7"/>
  <c r="CE796" i="7"/>
  <c r="CE807" i="7"/>
  <c r="CE819" i="7"/>
  <c r="CE823" i="7"/>
  <c r="CE825" i="7"/>
  <c r="CE875" i="7"/>
  <c r="CE878" i="7"/>
  <c r="CE883" i="7"/>
  <c r="CE888" i="7"/>
  <c r="CE891" i="7"/>
  <c r="CE906" i="7"/>
  <c r="CE918" i="7"/>
  <c r="CE942" i="7"/>
  <c r="CE955" i="7"/>
  <c r="CE983" i="7"/>
  <c r="CE991" i="7"/>
  <c r="CE992" i="7"/>
  <c r="CE1000" i="7"/>
  <c r="CE1003" i="7"/>
  <c r="CD1057" i="7"/>
  <c r="CE1057" i="7" s="1"/>
  <c r="AR1062" i="7"/>
  <c r="CE1084" i="7"/>
  <c r="CE1099" i="7"/>
  <c r="CE1137" i="7"/>
  <c r="CE1139" i="7"/>
  <c r="CE1164" i="7"/>
  <c r="E471" i="7"/>
  <c r="E475" i="7" s="1"/>
  <c r="E474" i="7"/>
  <c r="E478" i="7" s="1"/>
  <c r="E480" i="7" s="1"/>
  <c r="E484" i="7" s="1"/>
  <c r="AT684" i="7"/>
  <c r="CE29" i="7"/>
  <c r="CE30" i="7"/>
  <c r="CE37" i="7"/>
  <c r="CE38" i="7"/>
  <c r="CE45" i="7"/>
  <c r="CE46" i="7"/>
  <c r="X1101" i="7"/>
  <c r="AX1101" i="7"/>
  <c r="BB1101" i="7"/>
  <c r="BF1101" i="7"/>
  <c r="BJ1101" i="7"/>
  <c r="BN1101" i="7"/>
  <c r="BR1101" i="7"/>
  <c r="BV1101" i="7"/>
  <c r="CA1101" i="7"/>
  <c r="CK1101" i="7"/>
  <c r="CE48" i="7"/>
  <c r="CE49" i="7"/>
  <c r="CE50" i="7"/>
  <c r="CE57" i="7"/>
  <c r="CE58" i="7"/>
  <c r="CE64" i="7"/>
  <c r="CE65" i="7"/>
  <c r="CE100" i="7"/>
  <c r="CE106" i="7"/>
  <c r="CE107" i="7"/>
  <c r="CE112" i="7"/>
  <c r="CE113" i="7"/>
  <c r="CE120" i="7"/>
  <c r="CE127" i="7"/>
  <c r="CE128" i="7"/>
  <c r="CE135" i="7"/>
  <c r="CE142" i="7"/>
  <c r="CE143" i="7"/>
  <c r="CE150" i="7"/>
  <c r="CE151" i="7"/>
  <c r="CE175" i="7"/>
  <c r="CE182" i="7"/>
  <c r="CE189" i="7"/>
  <c r="CE216" i="7"/>
  <c r="CE217" i="7"/>
  <c r="CE224" i="7"/>
  <c r="CE225" i="7"/>
  <c r="CE228" i="7"/>
  <c r="CE235" i="7"/>
  <c r="CE240" i="7"/>
  <c r="CE241" i="7"/>
  <c r="CD395" i="7"/>
  <c r="CE248" i="7"/>
  <c r="CE249" i="7"/>
  <c r="CE256" i="7"/>
  <c r="CE257" i="7"/>
  <c r="CD262" i="7"/>
  <c r="CE262" i="7" s="1"/>
  <c r="CE277" i="7"/>
  <c r="CE296" i="7"/>
  <c r="CE303" i="7"/>
  <c r="CE311" i="7"/>
  <c r="CE321" i="7"/>
  <c r="CE327" i="7"/>
  <c r="CE336" i="7"/>
  <c r="CE348" i="7"/>
  <c r="CE354" i="7"/>
  <c r="CE362" i="7"/>
  <c r="CE370" i="7"/>
  <c r="CE378" i="7"/>
  <c r="CE386" i="7"/>
  <c r="CE393" i="7"/>
  <c r="CD397" i="7"/>
  <c r="CE397" i="7" s="1"/>
  <c r="CE405" i="7"/>
  <c r="CE413" i="7"/>
  <c r="CE421" i="7"/>
  <c r="CE429" i="7"/>
  <c r="AR441" i="7"/>
  <c r="CD441" i="7"/>
  <c r="CE441" i="7" s="1"/>
  <c r="BI1101" i="7"/>
  <c r="CG487" i="7"/>
  <c r="CE452" i="7"/>
  <c r="CE486" i="7"/>
  <c r="CE520" i="7"/>
  <c r="CE528" i="7"/>
  <c r="CE543" i="7"/>
  <c r="CE551" i="7"/>
  <c r="CE572" i="7"/>
  <c r="CE640" i="7"/>
  <c r="CE674" i="7"/>
  <c r="CE691" i="7"/>
  <c r="CE695" i="7"/>
  <c r="CD696" i="7"/>
  <c r="CE696" i="7" s="1"/>
  <c r="AU733" i="7"/>
  <c r="CE717" i="7"/>
  <c r="AR848" i="7"/>
  <c r="AR905" i="7"/>
  <c r="CG905" i="7"/>
  <c r="AR1060" i="7"/>
  <c r="CE1063" i="7"/>
  <c r="CD1083" i="7"/>
  <c r="AR47" i="7"/>
  <c r="CE157" i="7"/>
  <c r="CE158" i="7"/>
  <c r="CE165" i="7"/>
  <c r="CE166" i="7"/>
  <c r="CE197" i="7"/>
  <c r="CE198" i="7"/>
  <c r="CE205" i="7"/>
  <c r="CE206" i="7"/>
  <c r="CE213" i="7"/>
  <c r="CD226" i="7"/>
  <c r="CE226" i="7" s="1"/>
  <c r="CE283" i="7"/>
  <c r="CE318" i="7"/>
  <c r="CE339" i="7"/>
  <c r="CE343" i="7"/>
  <c r="CE433" i="7"/>
  <c r="CN1101" i="7"/>
  <c r="CE442" i="7"/>
  <c r="CE443" i="7" s="1"/>
  <c r="CE467" i="7"/>
  <c r="CE471" i="7"/>
  <c r="CE475" i="7"/>
  <c r="CE479" i="7"/>
  <c r="CE483" i="7"/>
  <c r="CE488" i="7"/>
  <c r="CE495" i="7"/>
  <c r="CE503" i="7"/>
  <c r="CE510" i="7"/>
  <c r="CE518" i="7"/>
  <c r="CE534" i="7"/>
  <c r="CE560" i="7"/>
  <c r="CE569" i="7"/>
  <c r="CE579" i="7"/>
  <c r="CE587" i="7"/>
  <c r="CE595" i="7"/>
  <c r="CE603" i="7"/>
  <c r="CE611" i="7"/>
  <c r="CE619" i="7"/>
  <c r="AU626" i="7"/>
  <c r="AU684" i="7" s="1"/>
  <c r="CE661" i="7"/>
  <c r="CE682" i="7"/>
  <c r="CG733" i="7"/>
  <c r="CE690" i="7"/>
  <c r="CE694" i="7"/>
  <c r="CE703" i="7"/>
  <c r="CE714" i="7"/>
  <c r="CE808" i="7"/>
  <c r="CD830" i="7"/>
  <c r="CE830" i="7" s="1"/>
  <c r="BH848" i="7"/>
  <c r="CD843" i="7"/>
  <c r="CE843" i="7" s="1"/>
  <c r="AW733" i="7"/>
  <c r="E720" i="7"/>
  <c r="E719" i="7"/>
  <c r="AT905" i="7"/>
  <c r="CD881" i="7"/>
  <c r="CE881" i="7" s="1"/>
  <c r="CE33" i="7"/>
  <c r="CE34" i="7"/>
  <c r="CE41" i="7"/>
  <c r="CE42" i="7"/>
  <c r="V1101" i="7"/>
  <c r="Z1101" i="7"/>
  <c r="AD1101" i="7"/>
  <c r="AH1101" i="7"/>
  <c r="AL1101" i="7"/>
  <c r="AQ1101" i="7"/>
  <c r="CE53" i="7"/>
  <c r="CE54" i="7"/>
  <c r="CE60" i="7"/>
  <c r="CE61" i="7"/>
  <c r="CE68" i="7"/>
  <c r="CE103" i="7"/>
  <c r="CE233" i="7"/>
  <c r="CD237" i="7"/>
  <c r="CE237" i="7" s="1"/>
  <c r="CE244" i="7"/>
  <c r="J1101" i="7"/>
  <c r="N1101" i="7"/>
  <c r="R1101" i="7"/>
  <c r="BH247" i="7"/>
  <c r="CE252" i="7"/>
  <c r="CE253" i="7"/>
  <c r="CE260" i="7"/>
  <c r="CE273" i="7"/>
  <c r="CE281" i="7"/>
  <c r="CE300" i="7"/>
  <c r="CE307" i="7"/>
  <c r="CE315" i="7"/>
  <c r="CE325" i="7"/>
  <c r="CE333" i="7"/>
  <c r="CE351" i="7"/>
  <c r="CE358" i="7"/>
  <c r="CE366" i="7"/>
  <c r="CE374" i="7"/>
  <c r="CE382" i="7"/>
  <c r="CE389" i="7"/>
  <c r="CE401" i="7"/>
  <c r="CE409" i="7"/>
  <c r="CE417" i="7"/>
  <c r="CE425" i="7"/>
  <c r="CD448" i="7"/>
  <c r="CE456" i="7"/>
  <c r="AR487" i="7"/>
  <c r="CE524" i="7"/>
  <c r="CE532" i="7"/>
  <c r="CE540" i="7"/>
  <c r="CE547" i="7"/>
  <c r="CE645" i="7"/>
  <c r="CE670" i="7"/>
  <c r="CD684" i="7"/>
  <c r="CD685" i="7"/>
  <c r="CE693" i="7"/>
  <c r="CE697" i="7"/>
  <c r="CD967" i="7"/>
  <c r="CE967" i="7" s="1"/>
  <c r="CE1031" i="7"/>
  <c r="CE743" i="7"/>
  <c r="CE749" i="7"/>
  <c r="CE767" i="7"/>
  <c r="CE795" i="7"/>
  <c r="CE865" i="7"/>
  <c r="CE876" i="7"/>
  <c r="CE902" i="7"/>
  <c r="CE908" i="7"/>
  <c r="CE936" i="7"/>
  <c r="CE943" i="7"/>
  <c r="CE962" i="7"/>
  <c r="CE1050" i="7"/>
  <c r="AT1060" i="7"/>
  <c r="CD1060" i="7" s="1"/>
  <c r="CE1060" i="7" s="1"/>
  <c r="CE1071" i="7"/>
  <c r="CD1106" i="7"/>
  <c r="CE1121" i="7"/>
  <c r="S1101" i="7"/>
  <c r="W1101" i="7"/>
  <c r="AA1101" i="7"/>
  <c r="AE1101" i="7"/>
  <c r="AI1101" i="7"/>
  <c r="AM1101" i="7"/>
  <c r="AV1101" i="7"/>
  <c r="AZ1101" i="7"/>
  <c r="BD1101" i="7"/>
  <c r="BH1101" i="7"/>
  <c r="BL1101" i="7"/>
  <c r="BP1101" i="7"/>
  <c r="BT1101" i="7"/>
  <c r="BX1101" i="7"/>
  <c r="CC1101" i="7"/>
  <c r="CH1101" i="7"/>
  <c r="CL1101" i="7"/>
  <c r="H1101" i="7"/>
  <c r="P1101" i="7"/>
  <c r="CE641" i="7"/>
  <c r="CE657" i="7"/>
  <c r="CE671" i="7"/>
  <c r="AR705" i="7"/>
  <c r="AR733" i="7" s="1"/>
  <c r="CD706" i="7"/>
  <c r="CE706" i="7" s="1"/>
  <c r="CD721" i="7"/>
  <c r="CE721" i="7" s="1"/>
  <c r="CD725" i="7"/>
  <c r="CE725" i="7" s="1"/>
  <c r="CE734" i="7"/>
  <c r="CE757" i="7"/>
  <c r="CE763" i="7"/>
  <c r="CE783" i="7"/>
  <c r="CE790" i="7"/>
  <c r="CE809" i="7"/>
  <c r="CD817" i="7"/>
  <c r="CE817" i="7" s="1"/>
  <c r="CE837" i="7"/>
  <c r="CE858" i="7"/>
  <c r="CE863" i="7"/>
  <c r="CE889" i="7"/>
  <c r="CE896" i="7"/>
  <c r="CE919" i="7"/>
  <c r="CE958" i="7"/>
  <c r="CE975" i="7"/>
  <c r="CE996" i="7"/>
  <c r="CE1032" i="7"/>
  <c r="CE1066" i="7"/>
  <c r="CE1082" i="7"/>
  <c r="T1100" i="7"/>
  <c r="AR1098" i="7"/>
  <c r="AR1100" i="7" s="1"/>
  <c r="CE1102" i="7"/>
  <c r="CE1103" i="7"/>
  <c r="AR1148" i="7"/>
  <c r="CE1108" i="7"/>
  <c r="CG1167" i="7"/>
  <c r="CE26" i="7"/>
  <c r="T1101" i="7"/>
  <c r="AB1101" i="7"/>
  <c r="AF1101" i="7"/>
  <c r="AJ1101" i="7"/>
  <c r="AS1101" i="7"/>
  <c r="AW1101" i="7"/>
  <c r="BE1101" i="7"/>
  <c r="BM1101" i="7"/>
  <c r="BU1101" i="7"/>
  <c r="CD47" i="7"/>
  <c r="CI1101" i="7"/>
  <c r="CD136" i="7"/>
  <c r="CE136" i="7" s="1"/>
  <c r="CD245" i="7"/>
  <c r="CE245" i="7" s="1"/>
  <c r="M1101" i="7"/>
  <c r="AT247" i="7"/>
  <c r="AT1101" i="7" s="1"/>
  <c r="AR684" i="7"/>
  <c r="CD705" i="7"/>
  <c r="CE705" i="7" s="1"/>
  <c r="CD709" i="7"/>
  <c r="CE709" i="7" s="1"/>
  <c r="CD720" i="7"/>
  <c r="CE720" i="7" s="1"/>
  <c r="CD724" i="7"/>
  <c r="CE724" i="7" s="1"/>
  <c r="CD905" i="7"/>
  <c r="CD928" i="7"/>
  <c r="CE928" i="7" s="1"/>
  <c r="CD966" i="7"/>
  <c r="CE966" i="7" s="1"/>
  <c r="CE1075" i="7"/>
  <c r="CE1087" i="7"/>
  <c r="CE764" i="7"/>
  <c r="CE777" i="7"/>
  <c r="CE791" i="7"/>
  <c r="CE820" i="7"/>
  <c r="CE831" i="7"/>
  <c r="CE851" i="7"/>
  <c r="CE868" i="7"/>
  <c r="CE882" i="7"/>
  <c r="CE897" i="7"/>
  <c r="CE944" i="7"/>
  <c r="CE959" i="7"/>
  <c r="CE972" i="7"/>
  <c r="CE989" i="7"/>
  <c r="CE1008" i="7"/>
  <c r="CE1042" i="7"/>
  <c r="CE1067" i="7"/>
  <c r="AR1167" i="7"/>
  <c r="CE1098" i="7"/>
  <c r="CE1100" i="7" s="1"/>
  <c r="CG1106" i="7"/>
  <c r="CD1148" i="7"/>
  <c r="CD1167" i="7"/>
  <c r="CE1149" i="7"/>
  <c r="CE1153" i="7"/>
  <c r="CE1104" i="7"/>
  <c r="CG1148" i="7"/>
  <c r="CE1117" i="7"/>
  <c r="CE1158" i="7"/>
  <c r="AR1106" i="7"/>
  <c r="CE1113" i="7"/>
  <c r="CE1129" i="7"/>
  <c r="CE1145" i="7"/>
  <c r="CE1159" i="7"/>
  <c r="CE44" i="8"/>
  <c r="CF27" i="8"/>
  <c r="CF37" i="8"/>
  <c r="CF38" i="8"/>
  <c r="CF52" i="8"/>
  <c r="CF53" i="8"/>
  <c r="CF54" i="8"/>
  <c r="CF65" i="8"/>
  <c r="CF66" i="8"/>
  <c r="CF67" i="8"/>
  <c r="CF81" i="8"/>
  <c r="CF82" i="8"/>
  <c r="CF83" i="8"/>
  <c r="CF95" i="8"/>
  <c r="CF96" i="8"/>
  <c r="CF97" i="8"/>
  <c r="CF106" i="8"/>
  <c r="CF107" i="8"/>
  <c r="CF108" i="8"/>
  <c r="CF117" i="8"/>
  <c r="CF118" i="8"/>
  <c r="CF122" i="8"/>
  <c r="CF123" i="8"/>
  <c r="CF126" i="8"/>
  <c r="CF129" i="8"/>
  <c r="CF130" i="8"/>
  <c r="CF136" i="8"/>
  <c r="CF141" i="8"/>
  <c r="CF142" i="8"/>
  <c r="CF147" i="8"/>
  <c r="CE154" i="8"/>
  <c r="CF154" i="8" s="1"/>
  <c r="CF181" i="8"/>
  <c r="CF189" i="8"/>
  <c r="CF190" i="8"/>
  <c r="CF198" i="8"/>
  <c r="CF199" i="8"/>
  <c r="CF206" i="8"/>
  <c r="CF207" i="8"/>
  <c r="CF222" i="8"/>
  <c r="CF223" i="8"/>
  <c r="CF385" i="8"/>
  <c r="AV783" i="8"/>
  <c r="CE599" i="8"/>
  <c r="CF599" i="8" s="1"/>
  <c r="CF31" i="8"/>
  <c r="CF41" i="8"/>
  <c r="CF42" i="8"/>
  <c r="U1217" i="8"/>
  <c r="AC1217" i="8"/>
  <c r="AG1217" i="8"/>
  <c r="AK1217" i="8"/>
  <c r="AS159" i="8"/>
  <c r="CF151" i="8"/>
  <c r="AS317" i="8"/>
  <c r="CH317" i="8"/>
  <c r="CF191" i="8"/>
  <c r="CE605" i="8"/>
  <c r="CF605" i="8" s="1"/>
  <c r="CF35" i="8"/>
  <c r="CM1217" i="8"/>
  <c r="CF139" i="8"/>
  <c r="CH417" i="8"/>
  <c r="CF226" i="8"/>
  <c r="CF227" i="8"/>
  <c r="CF234" i="8"/>
  <c r="CF235" i="8"/>
  <c r="CF241" i="8"/>
  <c r="CF242" i="8"/>
  <c r="CF247" i="8"/>
  <c r="CF248" i="8"/>
  <c r="CF249" i="8"/>
  <c r="CF263" i="8"/>
  <c r="CF264" i="8"/>
  <c r="CF265" i="8"/>
  <c r="CF279" i="8"/>
  <c r="CF280" i="8"/>
  <c r="CE294" i="8"/>
  <c r="CF294" i="8" s="1"/>
  <c r="CF319" i="8"/>
  <c r="CF320" i="8"/>
  <c r="CF321" i="8"/>
  <c r="CF327" i="8"/>
  <c r="CF335" i="8"/>
  <c r="CF342" i="8"/>
  <c r="CF389" i="8"/>
  <c r="CF391" i="8"/>
  <c r="CF403" i="8"/>
  <c r="CF404" i="8"/>
  <c r="CE415" i="8"/>
  <c r="CF415" i="8" s="1"/>
  <c r="CF422" i="8"/>
  <c r="CF423" i="8"/>
  <c r="CF424" i="8"/>
  <c r="CF440" i="8"/>
  <c r="CF441" i="8"/>
  <c r="CF442" i="8"/>
  <c r="CF451" i="8"/>
  <c r="CF452" i="8"/>
  <c r="CF453" i="8"/>
  <c r="CF465" i="8"/>
  <c r="CF466" i="8"/>
  <c r="CF467" i="8"/>
  <c r="CF473" i="8"/>
  <c r="CF482" i="8"/>
  <c r="CF483" i="8"/>
  <c r="CF489" i="8"/>
  <c r="CF498" i="8"/>
  <c r="CF499" i="8"/>
  <c r="CF504" i="8"/>
  <c r="CF517" i="8"/>
  <c r="CF533" i="8"/>
  <c r="CF549" i="8"/>
  <c r="CF565" i="8"/>
  <c r="CF581" i="8"/>
  <c r="CF597" i="8"/>
  <c r="CF598" i="8"/>
  <c r="AU783" i="8"/>
  <c r="CE603" i="8"/>
  <c r="CF603" i="8" s="1"/>
  <c r="CF622" i="8"/>
  <c r="CF638" i="8"/>
  <c r="CF645" i="8"/>
  <c r="CF648" i="8"/>
  <c r="CF664" i="8"/>
  <c r="CF672" i="8"/>
  <c r="CF680" i="8"/>
  <c r="CF687" i="8"/>
  <c r="CF701" i="8"/>
  <c r="CF707" i="8"/>
  <c r="CF715" i="8"/>
  <c r="AV784" i="8"/>
  <c r="CE740" i="8"/>
  <c r="CF740" i="8" s="1"/>
  <c r="CE746" i="8"/>
  <c r="CF746" i="8" s="1"/>
  <c r="CF640" i="8"/>
  <c r="CF650" i="8"/>
  <c r="CF658" i="8"/>
  <c r="CF666" i="8"/>
  <c r="CF674" i="8"/>
  <c r="CF682" i="8"/>
  <c r="AW784" i="8"/>
  <c r="CE722" i="8"/>
  <c r="CF722" i="8" s="1"/>
  <c r="CE724" i="8"/>
  <c r="CF724" i="8" s="1"/>
  <c r="CE726" i="8"/>
  <c r="CF726" i="8" s="1"/>
  <c r="CE728" i="8"/>
  <c r="CF728" i="8" s="1"/>
  <c r="CE730" i="8"/>
  <c r="CF730" i="8" s="1"/>
  <c r="CE732" i="8"/>
  <c r="CF732" i="8" s="1"/>
  <c r="CE734" i="8"/>
  <c r="CF734" i="8" s="1"/>
  <c r="CE736" i="8"/>
  <c r="CF736" i="8" s="1"/>
  <c r="CE738" i="8"/>
  <c r="CF738" i="8" s="1"/>
  <c r="CF255" i="8"/>
  <c r="CF256" i="8"/>
  <c r="CF257" i="8"/>
  <c r="CF271" i="8"/>
  <c r="CF272" i="8"/>
  <c r="CF273" i="8"/>
  <c r="CF284" i="8"/>
  <c r="CF285" i="8"/>
  <c r="CF286" i="8"/>
  <c r="CF296" i="8"/>
  <c r="CF297" i="8"/>
  <c r="CF298" i="8"/>
  <c r="CF299" i="8"/>
  <c r="CF300" i="8"/>
  <c r="CF301" i="8"/>
  <c r="CF331" i="8"/>
  <c r="CF346" i="8"/>
  <c r="CF349" i="8"/>
  <c r="CF351" i="8"/>
  <c r="CF353" i="8"/>
  <c r="CF355" i="8"/>
  <c r="CF357" i="8"/>
  <c r="CF359" i="8"/>
  <c r="CF361" i="8"/>
  <c r="CF382" i="8"/>
  <c r="CF383" i="8"/>
  <c r="CF384" i="8"/>
  <c r="CF397" i="8"/>
  <c r="CF398" i="8"/>
  <c r="CF399" i="8"/>
  <c r="AS408" i="8"/>
  <c r="CE410" i="8"/>
  <c r="CF410" i="8" s="1"/>
  <c r="CF430" i="8"/>
  <c r="CF431" i="8"/>
  <c r="CF432" i="8"/>
  <c r="CF433" i="8"/>
  <c r="CF434" i="8"/>
  <c r="CF448" i="8"/>
  <c r="CF458" i="8"/>
  <c r="CF459" i="8"/>
  <c r="CF475" i="8"/>
  <c r="CF478" i="8"/>
  <c r="CF491" i="8"/>
  <c r="CF494" i="8"/>
  <c r="CF506" i="8"/>
  <c r="CF509" i="8"/>
  <c r="CF525" i="8"/>
  <c r="CF541" i="8"/>
  <c r="CF557" i="8"/>
  <c r="CF573" i="8"/>
  <c r="CF589" i="8"/>
  <c r="CF600" i="8"/>
  <c r="CE602" i="8"/>
  <c r="CF602" i="8" s="1"/>
  <c r="CE604" i="8"/>
  <c r="CF604" i="8" s="1"/>
  <c r="CF615" i="8"/>
  <c r="CF617" i="8"/>
  <c r="CF620" i="8"/>
  <c r="CF634" i="8"/>
  <c r="CF654" i="8"/>
  <c r="CF660" i="8"/>
  <c r="CF668" i="8"/>
  <c r="CF676" i="8"/>
  <c r="AS784" i="8"/>
  <c r="AS1211" i="8" s="1"/>
  <c r="CF245" i="8"/>
  <c r="CF290" i="8"/>
  <c r="CF291" i="8"/>
  <c r="CF292" i="8"/>
  <c r="CE324" i="8"/>
  <c r="AS324" i="8"/>
  <c r="CF332" i="8"/>
  <c r="AU408" i="8"/>
  <c r="CF344" i="8"/>
  <c r="CF367" i="8"/>
  <c r="CF368" i="8"/>
  <c r="CF369" i="8"/>
  <c r="CF370" i="8"/>
  <c r="CF371" i="8"/>
  <c r="CF372" i="8"/>
  <c r="CF386" i="8"/>
  <c r="CF387" i="8"/>
  <c r="CF388" i="8"/>
  <c r="CF401" i="8"/>
  <c r="CF407" i="8"/>
  <c r="AS783" i="8"/>
  <c r="CF606" i="8"/>
  <c r="CE607" i="8"/>
  <c r="CF607" i="8" s="1"/>
  <c r="CE609" i="8"/>
  <c r="CF609" i="8" s="1"/>
  <c r="CE611" i="8"/>
  <c r="CF611" i="8" s="1"/>
  <c r="CE613" i="8"/>
  <c r="CF613" i="8" s="1"/>
  <c r="CF748" i="8"/>
  <c r="CE737" i="8"/>
  <c r="CF737" i="8" s="1"/>
  <c r="CF750" i="8"/>
  <c r="CF792" i="8"/>
  <c r="CF794" i="8"/>
  <c r="CF799" i="8"/>
  <c r="CF804" i="8"/>
  <c r="CF816" i="8"/>
  <c r="CF825" i="8"/>
  <c r="CF830" i="8"/>
  <c r="CF841" i="8"/>
  <c r="CF844" i="8"/>
  <c r="CF854" i="8"/>
  <c r="CF859" i="8"/>
  <c r="CF861" i="8"/>
  <c r="CF864" i="8"/>
  <c r="CF876" i="8"/>
  <c r="CF884" i="8"/>
  <c r="CF892" i="8"/>
  <c r="CF898" i="8"/>
  <c r="CF905" i="8"/>
  <c r="CF914" i="8"/>
  <c r="CF929" i="8"/>
  <c r="CF963" i="8"/>
  <c r="CF964" i="8"/>
  <c r="CF974" i="8"/>
  <c r="CF975" i="8"/>
  <c r="CF976" i="8"/>
  <c r="CF996" i="8"/>
  <c r="CF997" i="8"/>
  <c r="CF1013" i="8"/>
  <c r="AV1015" i="8"/>
  <c r="CE1015" i="8" s="1"/>
  <c r="CF1015" i="8" s="1"/>
  <c r="CE1039" i="8"/>
  <c r="CF1039" i="8" s="1"/>
  <c r="CF1053" i="8"/>
  <c r="CF1055" i="8"/>
  <c r="CF1059" i="8"/>
  <c r="CF1078" i="8"/>
  <c r="CF1094" i="8"/>
  <c r="CF1095" i="8"/>
  <c r="CF1156" i="8"/>
  <c r="CF1158" i="8"/>
  <c r="CF1164" i="8"/>
  <c r="CF1183" i="8"/>
  <c r="CF1184" i="8"/>
  <c r="CF1189" i="8"/>
  <c r="CG1233" i="8"/>
  <c r="CE742" i="8"/>
  <c r="CF742" i="8" s="1"/>
  <c r="CE744" i="8"/>
  <c r="CF744" i="8" s="1"/>
  <c r="CF745" i="8"/>
  <c r="CF749" i="8"/>
  <c r="CF763" i="8"/>
  <c r="CF771" i="8"/>
  <c r="CF778" i="8"/>
  <c r="CF888" i="8"/>
  <c r="CF962" i="8"/>
  <c r="AV1210" i="8"/>
  <c r="CE1083" i="8"/>
  <c r="CF1083" i="8" s="1"/>
  <c r="CF1107" i="8"/>
  <c r="CF1171" i="8"/>
  <c r="CF1173" i="8"/>
  <c r="CE1196" i="8"/>
  <c r="CF1196" i="8" s="1"/>
  <c r="CG1241" i="8"/>
  <c r="CF755" i="8"/>
  <c r="CF759" i="8"/>
  <c r="AV1108" i="8"/>
  <c r="CE1108" i="8" s="1"/>
  <c r="CF1108" i="8" s="1"/>
  <c r="CG1249" i="8"/>
  <c r="CF1249" i="8"/>
  <c r="CE739" i="8"/>
  <c r="CF739" i="8" s="1"/>
  <c r="CE741" i="8"/>
  <c r="CF741" i="8" s="1"/>
  <c r="CE743" i="8"/>
  <c r="CF743" i="8" s="1"/>
  <c r="CF753" i="8"/>
  <c r="CF767" i="8"/>
  <c r="CF775" i="8"/>
  <c r="BJ782" i="8"/>
  <c r="BN782" i="8"/>
  <c r="BR782" i="8"/>
  <c r="BV782" i="8"/>
  <c r="BZ782" i="8"/>
  <c r="CD782" i="8"/>
  <c r="CF789" i="8"/>
  <c r="CF810" i="8"/>
  <c r="CF812" i="8"/>
  <c r="CF828" i="8"/>
  <c r="CF836" i="8"/>
  <c r="CF838" i="8"/>
  <c r="CF872" i="8"/>
  <c r="CF881" i="8"/>
  <c r="CF891" i="8"/>
  <c r="CF894" i="8"/>
  <c r="CF910" i="8"/>
  <c r="CF911" i="8"/>
  <c r="CF912" i="8"/>
  <c r="CF927" i="8"/>
  <c r="CF940" i="8"/>
  <c r="CF943" i="8"/>
  <c r="CF982" i="8"/>
  <c r="CF983" i="8"/>
  <c r="CF984" i="8"/>
  <c r="CF1010" i="8"/>
  <c r="CF1011" i="8"/>
  <c r="CF1024" i="8"/>
  <c r="CF1033" i="8"/>
  <c r="CF1036" i="8"/>
  <c r="CF1037" i="8"/>
  <c r="CF1124" i="8"/>
  <c r="CF1126" i="8"/>
  <c r="CF1130" i="8"/>
  <c r="BI1209" i="8"/>
  <c r="CE1201" i="8"/>
  <c r="CF1201" i="8" s="1"/>
  <c r="CG1227" i="8"/>
  <c r="CG1256" i="8"/>
  <c r="CF1208" i="8"/>
  <c r="CG1222" i="8"/>
  <c r="CI1260" i="8"/>
  <c r="CF1070" i="8"/>
  <c r="CF1116" i="8"/>
  <c r="CF1119" i="8"/>
  <c r="CF1127" i="8"/>
  <c r="CF1129" i="8"/>
  <c r="CF1139" i="8"/>
  <c r="CF1144" i="8"/>
  <c r="CF1150" i="8"/>
  <c r="CF1160" i="8"/>
  <c r="CF1165" i="8"/>
  <c r="CF1175" i="8"/>
  <c r="CF1178" i="8"/>
  <c r="CF1185" i="8"/>
  <c r="CF1187" i="8"/>
  <c r="AZ1211" i="8"/>
  <c r="AZ1217" i="8" s="1"/>
  <c r="BH1211" i="8"/>
  <c r="BH1217" i="8" s="1"/>
  <c r="BX1211" i="8"/>
  <c r="BX1217" i="8" s="1"/>
  <c r="CF1222" i="8"/>
  <c r="CG1228" i="8"/>
  <c r="CF1233" i="8"/>
  <c r="CF1241" i="8"/>
  <c r="CF1251" i="8"/>
  <c r="CF1256" i="8"/>
  <c r="CF917" i="8"/>
  <c r="CF919" i="8"/>
  <c r="CF924" i="8"/>
  <c r="CF933" i="8"/>
  <c r="CF935" i="8"/>
  <c r="CF944" i="8"/>
  <c r="CF960" i="8"/>
  <c r="CF985" i="8"/>
  <c r="CF986" i="8"/>
  <c r="CF992" i="8"/>
  <c r="CF993" i="8"/>
  <c r="CF1003" i="8"/>
  <c r="CF1004" i="8"/>
  <c r="CF1005" i="8"/>
  <c r="CF1016" i="8"/>
  <c r="CF1017" i="8"/>
  <c r="CF1025" i="8"/>
  <c r="CF1027" i="8"/>
  <c r="CF1029" i="8"/>
  <c r="CE1038" i="8"/>
  <c r="CF1038" i="8" s="1"/>
  <c r="CF1045" i="8"/>
  <c r="CF1047" i="8"/>
  <c r="AW1210" i="8"/>
  <c r="CE1080" i="8"/>
  <c r="CF1080" i="8" s="1"/>
  <c r="CE1082" i="8"/>
  <c r="CF1082" i="8" s="1"/>
  <c r="CF1086" i="8"/>
  <c r="CF1091" i="8"/>
  <c r="CF1101" i="8"/>
  <c r="CF1103" i="8"/>
  <c r="CF1131" i="8"/>
  <c r="CF1134" i="8"/>
  <c r="CF1153" i="8"/>
  <c r="CF1180" i="8"/>
  <c r="CF1190" i="8"/>
  <c r="CF1193" i="8"/>
  <c r="CF1199" i="8"/>
  <c r="CF1205" i="8"/>
  <c r="AS1244" i="8"/>
  <c r="CF1219" i="8"/>
  <c r="CF1228" i="8"/>
  <c r="CG1230" i="8"/>
  <c r="CG1231" i="8"/>
  <c r="CG1238" i="8"/>
  <c r="CG1239" i="8"/>
  <c r="CE1247" i="8"/>
  <c r="CF1248" i="8"/>
  <c r="CG1253" i="8"/>
  <c r="CG1254" i="8"/>
  <c r="F364" i="8"/>
  <c r="F367" i="8" s="1"/>
  <c r="F362" i="8"/>
  <c r="CF409" i="8"/>
  <c r="CF26" i="8"/>
  <c r="CF45" i="8"/>
  <c r="CE120" i="8"/>
  <c r="CF120" i="8" s="1"/>
  <c r="AV282" i="8"/>
  <c r="CE282" i="8" s="1"/>
  <c r="AU317" i="8"/>
  <c r="CE400" i="8"/>
  <c r="CF400" i="8" s="1"/>
  <c r="CE405" i="8"/>
  <c r="CF405" i="8" s="1"/>
  <c r="CE411" i="8"/>
  <c r="CF411" i="8" s="1"/>
  <c r="CF476" i="8"/>
  <c r="CF492" i="8"/>
  <c r="CF507" i="8"/>
  <c r="CF514" i="8"/>
  <c r="CF515" i="8"/>
  <c r="CF522" i="8"/>
  <c r="CF523" i="8"/>
  <c r="CF530" i="8"/>
  <c r="CF531" i="8"/>
  <c r="CF538" i="8"/>
  <c r="CF539" i="8"/>
  <c r="CF546" i="8"/>
  <c r="CF547" i="8"/>
  <c r="CF554" i="8"/>
  <c r="CF555" i="8"/>
  <c r="CF562" i="8"/>
  <c r="CF563" i="8"/>
  <c r="CF570" i="8"/>
  <c r="CF571" i="8"/>
  <c r="CF578" i="8"/>
  <c r="CF579" i="8"/>
  <c r="CF586" i="8"/>
  <c r="CF587" i="8"/>
  <c r="CF594" i="8"/>
  <c r="CF595" i="8"/>
  <c r="AS782" i="8"/>
  <c r="CE57" i="8"/>
  <c r="CF57" i="8" s="1"/>
  <c r="BI159" i="8"/>
  <c r="AV289" i="8"/>
  <c r="CE289" i="8" s="1"/>
  <c r="CF289" i="8" s="1"/>
  <c r="CE336" i="8"/>
  <c r="CF336" i="8" s="1"/>
  <c r="BI408" i="8"/>
  <c r="CE408" i="8" s="1"/>
  <c r="CF408" i="8" s="1"/>
  <c r="AU417" i="8"/>
  <c r="CF472" i="8"/>
  <c r="CF488" i="8"/>
  <c r="CF503" i="8"/>
  <c r="AU782" i="8"/>
  <c r="F700" i="8"/>
  <c r="F701" i="8" s="1"/>
  <c r="F703" i="8"/>
  <c r="F705" i="8" s="1"/>
  <c r="F707" i="8" s="1"/>
  <c r="F708" i="8" s="1"/>
  <c r="F709" i="8" s="1"/>
  <c r="F710" i="8" s="1"/>
  <c r="F670" i="8"/>
  <c r="F685" i="8"/>
  <c r="F770" i="8"/>
  <c r="F765" i="8"/>
  <c r="F771" i="8" s="1"/>
  <c r="F775" i="8" s="1"/>
  <c r="F776" i="8" s="1"/>
  <c r="CD159" i="8"/>
  <c r="CP1217" i="8"/>
  <c r="CF468" i="8"/>
  <c r="CF484" i="8"/>
  <c r="CF500" i="8"/>
  <c r="CF510" i="8"/>
  <c r="CF511" i="8"/>
  <c r="CF518" i="8"/>
  <c r="CF519" i="8"/>
  <c r="CF526" i="8"/>
  <c r="CF527" i="8"/>
  <c r="CF534" i="8"/>
  <c r="CF535" i="8"/>
  <c r="CF542" i="8"/>
  <c r="CF543" i="8"/>
  <c r="CF550" i="8"/>
  <c r="CF551" i="8"/>
  <c r="CF558" i="8"/>
  <c r="CF559" i="8"/>
  <c r="CF566" i="8"/>
  <c r="CF567" i="8"/>
  <c r="CF574" i="8"/>
  <c r="CF575" i="8"/>
  <c r="CF582" i="8"/>
  <c r="CF583" i="8"/>
  <c r="CF590" i="8"/>
  <c r="CF591" i="8"/>
  <c r="CH782" i="8"/>
  <c r="CH1217" i="8" s="1"/>
  <c r="F663" i="8"/>
  <c r="F664" i="8" s="1"/>
  <c r="F665" i="8" s="1"/>
  <c r="F666" i="8" s="1"/>
  <c r="F668" i="8" s="1"/>
  <c r="F674" i="8" s="1"/>
  <c r="F675" i="8" s="1"/>
  <c r="F676" i="8" s="1"/>
  <c r="F657" i="8"/>
  <c r="AU159" i="8"/>
  <c r="BI417" i="8"/>
  <c r="BI1217" i="8" s="1"/>
  <c r="CE601" i="8"/>
  <c r="CF601" i="8" s="1"/>
  <c r="CF783" i="8" s="1"/>
  <c r="F715" i="8"/>
  <c r="F716" i="8" s="1"/>
  <c r="F717" i="8" s="1"/>
  <c r="F719" i="8" s="1"/>
  <c r="CE721" i="8"/>
  <c r="CJ782" i="8"/>
  <c r="CJ1217" i="8" s="1"/>
  <c r="CE783" i="8"/>
  <c r="AS1069" i="8"/>
  <c r="CE802" i="8"/>
  <c r="CF802" i="8" s="1"/>
  <c r="CF1050" i="8"/>
  <c r="CE1079" i="8"/>
  <c r="CE1081" i="8"/>
  <c r="CF1081" i="8" s="1"/>
  <c r="AV1211" i="8"/>
  <c r="AV1209" i="8"/>
  <c r="CF1163" i="8"/>
  <c r="AX1211" i="8"/>
  <c r="AX1217" i="8" s="1"/>
  <c r="BB1211" i="8"/>
  <c r="BB1217" i="8" s="1"/>
  <c r="BF1211" i="8"/>
  <c r="BF1217" i="8" s="1"/>
  <c r="BJ1211" i="8"/>
  <c r="BJ1217" i="8" s="1"/>
  <c r="BN1211" i="8"/>
  <c r="BN1217" i="8" s="1"/>
  <c r="BR1211" i="8"/>
  <c r="BR1217" i="8" s="1"/>
  <c r="BV1211" i="8"/>
  <c r="BV1217" i="8" s="1"/>
  <c r="BZ1211" i="8"/>
  <c r="BZ1217" i="8" s="1"/>
  <c r="CD1211" i="8"/>
  <c r="CD1217" i="8" s="1"/>
  <c r="L1211" i="8"/>
  <c r="L1217" i="8" s="1"/>
  <c r="CG1220" i="8"/>
  <c r="CF1220" i="8"/>
  <c r="CF790" i="8"/>
  <c r="CF808" i="8"/>
  <c r="CF822" i="8"/>
  <c r="CE829" i="8"/>
  <c r="CF829" i="8" s="1"/>
  <c r="CF834" i="8"/>
  <c r="CF857" i="8"/>
  <c r="CF870" i="8"/>
  <c r="CF882" i="8"/>
  <c r="CF897" i="8"/>
  <c r="CF915" i="8"/>
  <c r="CF930" i="8"/>
  <c r="CF941" i="8"/>
  <c r="CF942" i="8"/>
  <c r="CF949" i="8"/>
  <c r="CF950" i="8"/>
  <c r="CF957" i="8"/>
  <c r="CF958" i="8"/>
  <c r="CF1000" i="8"/>
  <c r="CF1014" i="8"/>
  <c r="CF1054" i="8"/>
  <c r="K1211" i="8"/>
  <c r="K1217" i="8" s="1"/>
  <c r="AW783" i="8"/>
  <c r="AW782" i="8" s="1"/>
  <c r="AW1209" i="8"/>
  <c r="AW1211" i="8"/>
  <c r="H1209" i="8"/>
  <c r="H1211" i="8"/>
  <c r="P1209" i="8"/>
  <c r="P1211" i="8"/>
  <c r="T1211" i="8"/>
  <c r="T1209" i="8"/>
  <c r="X1211" i="8"/>
  <c r="X1209" i="8"/>
  <c r="AB1211" i="8"/>
  <c r="AB1209" i="8"/>
  <c r="AF1211" i="8"/>
  <c r="AF1209" i="8"/>
  <c r="AN1211" i="8"/>
  <c r="AN1209" i="8"/>
  <c r="AR1211" i="8"/>
  <c r="AR1209" i="8"/>
  <c r="CF798" i="8"/>
  <c r="CF815" i="8"/>
  <c r="CF842" i="8"/>
  <c r="CF875" i="8"/>
  <c r="CE885" i="8"/>
  <c r="CF885" i="8" s="1"/>
  <c r="CF887" i="8"/>
  <c r="CF902" i="8"/>
  <c r="CF923" i="8"/>
  <c r="CF938" i="8"/>
  <c r="CF945" i="8"/>
  <c r="CF946" i="8"/>
  <c r="CF953" i="8"/>
  <c r="CF954" i="8"/>
  <c r="CF961" i="8"/>
  <c r="CF1020" i="8"/>
  <c r="CF1028" i="8"/>
  <c r="CF1046" i="8"/>
  <c r="AJ1211" i="8"/>
  <c r="AJ1217" i="8" s="1"/>
  <c r="AV1026" i="8"/>
  <c r="AV1069" i="8" s="1"/>
  <c r="CE1063" i="8"/>
  <c r="CF1063" i="8" s="1"/>
  <c r="CF1067" i="8"/>
  <c r="CF1142" i="8"/>
  <c r="CF1202" i="8"/>
  <c r="J1211" i="8"/>
  <c r="J1217" i="8" s="1"/>
  <c r="N1211" i="8"/>
  <c r="N1217" i="8" s="1"/>
  <c r="R1211" i="8"/>
  <c r="R1217" i="8" s="1"/>
  <c r="V1211" i="8"/>
  <c r="V1217" i="8" s="1"/>
  <c r="Z1211" i="8"/>
  <c r="Z1217" i="8" s="1"/>
  <c r="AD1211" i="8"/>
  <c r="AD1217" i="8" s="1"/>
  <c r="AH1211" i="8"/>
  <c r="AH1217" i="8" s="1"/>
  <c r="AL1211" i="8"/>
  <c r="AL1217" i="8" s="1"/>
  <c r="AP1211" i="8"/>
  <c r="AP1217" i="8" s="1"/>
  <c r="AU1210" i="8"/>
  <c r="BD1211" i="8"/>
  <c r="BD1217" i="8" s="1"/>
  <c r="BL1211" i="8"/>
  <c r="BL1217" i="8" s="1"/>
  <c r="BT1211" i="8"/>
  <c r="BT1217" i="8" s="1"/>
  <c r="CB1211" i="8"/>
  <c r="CB1217" i="8" s="1"/>
  <c r="CE1216" i="8"/>
  <c r="CF1215" i="8"/>
  <c r="CF1216" i="8" s="1"/>
  <c r="CG1234" i="8"/>
  <c r="CF1234" i="8"/>
  <c r="CG1237" i="8"/>
  <c r="CF1237" i="8"/>
  <c r="CF1075" i="8"/>
  <c r="CF1098" i="8"/>
  <c r="CF1111" i="8"/>
  <c r="CF1125" i="8"/>
  <c r="CF1140" i="8"/>
  <c r="CF1151" i="8"/>
  <c r="CF1168" i="8"/>
  <c r="CF1197" i="8"/>
  <c r="O1211" i="8"/>
  <c r="O1217" i="8" s="1"/>
  <c r="AE1211" i="8"/>
  <c r="AE1217" i="8" s="1"/>
  <c r="AI1211" i="8"/>
  <c r="AI1217" i="8" s="1"/>
  <c r="AM1211" i="8"/>
  <c r="AM1217" i="8" s="1"/>
  <c r="AQ1211" i="8"/>
  <c r="AQ1217" i="8" s="1"/>
  <c r="CG1218" i="8"/>
  <c r="CE1244" i="8"/>
  <c r="CF1218" i="8"/>
  <c r="CG1221" i="8"/>
  <c r="CF1221" i="8"/>
  <c r="CG1235" i="8"/>
  <c r="CG1236" i="8"/>
  <c r="CF1236" i="8"/>
  <c r="CI1244" i="8"/>
  <c r="CF1246" i="8"/>
  <c r="CF1247" i="8" s="1"/>
  <c r="CG1246" i="8"/>
  <c r="CG1247" i="8" s="1"/>
  <c r="CG1258" i="8"/>
  <c r="CF1058" i="8"/>
  <c r="AS1209" i="8"/>
  <c r="CF1090" i="8"/>
  <c r="CF1106" i="8"/>
  <c r="CF1117" i="8"/>
  <c r="CF1132" i="8"/>
  <c r="CF1145" i="8"/>
  <c r="CF1176" i="8"/>
  <c r="CF1191" i="8"/>
  <c r="CF1204" i="8"/>
  <c r="I1211" i="8"/>
  <c r="I1217" i="8" s="1"/>
  <c r="Y1211" i="8"/>
  <c r="Y1217" i="8" s="1"/>
  <c r="AT1211" i="8"/>
  <c r="AT1217" i="8" s="1"/>
  <c r="AY1211" i="8"/>
  <c r="AY1217" i="8" s="1"/>
  <c r="BC1211" i="8"/>
  <c r="BC1217" i="8" s="1"/>
  <c r="BG1211" i="8"/>
  <c r="BG1217" i="8" s="1"/>
  <c r="BK1211" i="8"/>
  <c r="BK1217" i="8" s="1"/>
  <c r="BO1211" i="8"/>
  <c r="BO1217" i="8" s="1"/>
  <c r="BS1211" i="8"/>
  <c r="BS1217" i="8" s="1"/>
  <c r="BW1211" i="8"/>
  <c r="BW1217" i="8" s="1"/>
  <c r="CA1211" i="8"/>
  <c r="CG1229" i="8"/>
  <c r="CF1229" i="8"/>
  <c r="CI1211" i="8"/>
  <c r="CI1217" i="8" s="1"/>
  <c r="CG1226" i="8"/>
  <c r="CF1226" i="8"/>
  <c r="CG1242" i="8"/>
  <c r="CF1242" i="8"/>
  <c r="BA1260" i="8"/>
  <c r="CE1252" i="8"/>
  <c r="CE1260" i="8" s="1"/>
  <c r="CG1257" i="8"/>
  <c r="CF1257" i="8"/>
  <c r="CG1224" i="8"/>
  <c r="CG1232" i="8"/>
  <c r="CG1240" i="8"/>
  <c r="AS1260" i="8"/>
  <c r="CF1250" i="8"/>
  <c r="CG1255" i="8"/>
  <c r="CE33" i="9"/>
  <c r="CE48" i="9"/>
  <c r="CE60" i="9"/>
  <c r="CE91" i="9"/>
  <c r="CE164" i="9"/>
  <c r="CE307" i="9"/>
  <c r="CE317" i="9"/>
  <c r="CE322" i="9"/>
  <c r="CE323" i="9"/>
  <c r="F325" i="9"/>
  <c r="F326" i="9" s="1"/>
  <c r="CE327" i="9"/>
  <c r="CE332" i="9"/>
  <c r="CE347" i="9"/>
  <c r="CE348" i="9"/>
  <c r="CE355" i="9"/>
  <c r="CE356" i="9"/>
  <c r="CE398" i="9"/>
  <c r="CE407" i="9"/>
  <c r="CE408" i="9"/>
  <c r="CE419" i="9"/>
  <c r="AU745" i="9"/>
  <c r="CE695" i="9"/>
  <c r="CE260" i="9"/>
  <c r="CE261" i="9"/>
  <c r="CE262" i="9"/>
  <c r="CE279" i="9"/>
  <c r="CD358" i="9"/>
  <c r="CE358" i="9" s="1"/>
  <c r="CE388" i="9"/>
  <c r="CE389" i="9"/>
  <c r="CE401" i="9"/>
  <c r="AS542" i="9"/>
  <c r="CG542" i="9"/>
  <c r="CE415" i="9"/>
  <c r="CE416" i="9"/>
  <c r="CE422" i="9"/>
  <c r="CE423" i="9"/>
  <c r="CE424" i="9"/>
  <c r="CE438" i="9"/>
  <c r="CE439" i="9"/>
  <c r="CE440" i="9"/>
  <c r="CE452" i="9"/>
  <c r="CE474" i="9"/>
  <c r="CE525" i="9"/>
  <c r="CE569" i="9"/>
  <c r="CE713" i="9"/>
  <c r="CE729" i="9"/>
  <c r="CE770" i="9"/>
  <c r="CE801" i="9"/>
  <c r="CG44" i="9"/>
  <c r="CE36" i="9"/>
  <c r="CE38" i="9"/>
  <c r="CE50" i="9"/>
  <c r="CE63" i="9"/>
  <c r="CE71" i="9"/>
  <c r="CE74" i="9"/>
  <c r="CE93" i="9"/>
  <c r="CE105" i="9"/>
  <c r="CE117" i="9"/>
  <c r="CE119" i="9"/>
  <c r="CE121" i="9"/>
  <c r="CE133" i="9"/>
  <c r="CE135" i="9"/>
  <c r="CE137" i="9"/>
  <c r="CE149" i="9"/>
  <c r="CE151" i="9"/>
  <c r="CE153" i="9"/>
  <c r="CE156" i="9"/>
  <c r="CE167" i="9"/>
  <c r="CE169" i="9"/>
  <c r="CE172" i="9"/>
  <c r="CE180" i="9"/>
  <c r="CE181" i="9"/>
  <c r="CE182" i="9"/>
  <c r="CE199" i="9"/>
  <c r="CE200" i="9"/>
  <c r="CE201" i="9"/>
  <c r="CE215" i="9"/>
  <c r="CE216" i="9"/>
  <c r="CE217" i="9"/>
  <c r="CE233" i="9"/>
  <c r="CE234" i="9"/>
  <c r="CE248" i="9"/>
  <c r="CE249" i="9"/>
  <c r="CE250" i="9"/>
  <c r="CE264" i="9"/>
  <c r="CE281" i="9"/>
  <c r="CE282" i="9"/>
  <c r="CE283" i="9"/>
  <c r="CE297" i="9"/>
  <c r="CE298" i="9"/>
  <c r="CE299" i="9"/>
  <c r="CE313" i="9"/>
  <c r="CE314" i="9"/>
  <c r="CE315" i="9"/>
  <c r="CE320" i="9"/>
  <c r="CE325" i="9"/>
  <c r="CE329" i="9"/>
  <c r="CD394" i="9"/>
  <c r="CE394" i="9" s="1"/>
  <c r="AS795" i="9"/>
  <c r="CE29" i="9"/>
  <c r="CE40" i="9"/>
  <c r="CE42" i="9"/>
  <c r="CE53" i="9"/>
  <c r="CE55" i="9"/>
  <c r="CE76" i="9"/>
  <c r="CE87" i="9"/>
  <c r="CE96" i="9"/>
  <c r="CE98" i="9"/>
  <c r="CE100" i="9"/>
  <c r="CE107" i="9"/>
  <c r="CE110" i="9"/>
  <c r="CE112" i="9"/>
  <c r="CE126" i="9"/>
  <c r="CE128" i="9"/>
  <c r="CE139" i="9"/>
  <c r="CE142" i="9"/>
  <c r="CE144" i="9"/>
  <c r="CE160" i="9"/>
  <c r="CE411" i="9"/>
  <c r="CE412" i="9"/>
  <c r="CE430" i="9"/>
  <c r="CE431" i="9"/>
  <c r="CE432" i="9"/>
  <c r="CE446" i="9"/>
  <c r="CE447" i="9"/>
  <c r="CE448" i="9"/>
  <c r="CE701" i="9"/>
  <c r="CE720" i="9"/>
  <c r="CE458" i="9"/>
  <c r="CE465" i="9"/>
  <c r="CE473" i="9"/>
  <c r="CD478" i="9"/>
  <c r="CE478" i="9" s="1"/>
  <c r="CE491" i="9"/>
  <c r="CE492" i="9"/>
  <c r="CE506" i="9"/>
  <c r="CE507" i="9"/>
  <c r="CE508" i="9"/>
  <c r="CE522" i="9"/>
  <c r="CE523" i="9"/>
  <c r="CE524" i="9"/>
  <c r="CE541" i="9"/>
  <c r="CE567" i="9"/>
  <c r="CE584" i="9"/>
  <c r="CE604" i="9"/>
  <c r="CE606" i="9"/>
  <c r="CE611" i="9"/>
  <c r="CE612" i="9"/>
  <c r="CE657" i="9"/>
  <c r="CE659" i="9"/>
  <c r="CE674" i="9"/>
  <c r="CE680" i="9"/>
  <c r="CE694" i="9"/>
  <c r="CE699" i="9"/>
  <c r="CE718" i="9"/>
  <c r="CE726" i="9"/>
  <c r="CE734" i="9"/>
  <c r="CE740" i="9"/>
  <c r="AU795" i="9"/>
  <c r="CG795" i="9"/>
  <c r="CE748" i="9"/>
  <c r="CE750" i="9"/>
  <c r="CE752" i="9"/>
  <c r="CE754" i="9"/>
  <c r="CE758" i="9"/>
  <c r="CE767" i="9"/>
  <c r="CE769" i="9"/>
  <c r="CE783" i="9"/>
  <c r="CE785" i="9"/>
  <c r="CE788" i="9"/>
  <c r="AS810" i="9"/>
  <c r="CG810" i="9"/>
  <c r="CD800" i="9"/>
  <c r="CE800" i="9" s="1"/>
  <c r="CE806" i="9"/>
  <c r="CE807" i="9"/>
  <c r="CD808" i="9"/>
  <c r="CE808" i="9" s="1"/>
  <c r="CE812" i="9"/>
  <c r="CE813" i="9"/>
  <c r="CE826" i="9"/>
  <c r="CE827" i="9"/>
  <c r="CE835" i="9"/>
  <c r="CE845" i="9"/>
  <c r="CE846" i="9"/>
  <c r="CE852" i="9"/>
  <c r="CE857" i="9"/>
  <c r="CE859" i="9"/>
  <c r="CE862" i="9"/>
  <c r="CE869" i="9"/>
  <c r="CE872" i="9"/>
  <c r="CE1078" i="9"/>
  <c r="CE1195" i="9"/>
  <c r="CE454" i="9"/>
  <c r="F456" i="9"/>
  <c r="F461" i="9" s="1"/>
  <c r="F462" i="9" s="1"/>
  <c r="F463" i="9" s="1"/>
  <c r="F464" i="9" s="1"/>
  <c r="F465" i="9" s="1"/>
  <c r="F466" i="9" s="1"/>
  <c r="F467" i="9" s="1"/>
  <c r="F468" i="9" s="1"/>
  <c r="F473" i="9" s="1"/>
  <c r="CE460" i="9"/>
  <c r="CE466" i="9"/>
  <c r="CE475" i="9"/>
  <c r="CE476" i="9"/>
  <c r="CE486" i="9"/>
  <c r="CE494" i="9"/>
  <c r="CE495" i="9"/>
  <c r="CE496" i="9"/>
  <c r="CE526" i="9"/>
  <c r="CE527" i="9"/>
  <c r="CE528" i="9"/>
  <c r="CE552" i="9"/>
  <c r="CE555" i="9"/>
  <c r="CE562" i="9"/>
  <c r="CE570" i="9"/>
  <c r="CE588" i="9"/>
  <c r="CE599" i="9"/>
  <c r="CE608" i="9"/>
  <c r="CE613" i="9"/>
  <c r="CE614" i="9"/>
  <c r="CE615" i="9"/>
  <c r="CD645" i="9"/>
  <c r="CE645" i="9" s="1"/>
  <c r="CE646" i="9"/>
  <c r="CD647" i="9"/>
  <c r="CE647" i="9" s="1"/>
  <c r="CE661" i="9"/>
  <c r="CE663" i="9"/>
  <c r="CE666" i="9"/>
  <c r="CE675" i="9"/>
  <c r="CE678" i="9"/>
  <c r="CE691" i="9"/>
  <c r="CE697" i="9"/>
  <c r="CE704" i="9"/>
  <c r="CE710" i="9"/>
  <c r="CE716" i="9"/>
  <c r="CE723" i="9"/>
  <c r="CE739" i="9"/>
  <c r="CE755" i="9"/>
  <c r="CE756" i="9"/>
  <c r="CD762" i="9"/>
  <c r="CE762" i="9" s="1"/>
  <c r="CE771" i="9"/>
  <c r="CE776" i="9"/>
  <c r="CE787" i="9"/>
  <c r="CE789" i="9"/>
  <c r="CE792" i="9"/>
  <c r="B802" i="9"/>
  <c r="CD811" i="9"/>
  <c r="CE811" i="9" s="1"/>
  <c r="B833" i="9"/>
  <c r="CE860" i="9"/>
  <c r="CE1206" i="9"/>
  <c r="CE455" i="9"/>
  <c r="CE461" i="9"/>
  <c r="CE480" i="9"/>
  <c r="CD488" i="9"/>
  <c r="CE488" i="9" s="1"/>
  <c r="CE544" i="9"/>
  <c r="CE545" i="9"/>
  <c r="CE582" i="9"/>
  <c r="CE592" i="9"/>
  <c r="CE634" i="9"/>
  <c r="CE635" i="9"/>
  <c r="CE636" i="9"/>
  <c r="CE637" i="9"/>
  <c r="CE638" i="9"/>
  <c r="CE639" i="9"/>
  <c r="AS643" i="9"/>
  <c r="AS745" i="9"/>
  <c r="CG745" i="9"/>
  <c r="CE651" i="9"/>
  <c r="CE654" i="9"/>
  <c r="CE670" i="9"/>
  <c r="CE676" i="9"/>
  <c r="CE730" i="9"/>
  <c r="CE738" i="9"/>
  <c r="CD747" i="9"/>
  <c r="CE747" i="9" s="1"/>
  <c r="CD749" i="9"/>
  <c r="CE749" i="9" s="1"/>
  <c r="CD751" i="9"/>
  <c r="CE751" i="9" s="1"/>
  <c r="CD757" i="9"/>
  <c r="CE757" i="9" s="1"/>
  <c r="CE764" i="9"/>
  <c r="CE780" i="9"/>
  <c r="AV810" i="9"/>
  <c r="CD799" i="9"/>
  <c r="CE799" i="9" s="1"/>
  <c r="CD809" i="9"/>
  <c r="CE809" i="9" s="1"/>
  <c r="CE819" i="9"/>
  <c r="CE820" i="9"/>
  <c r="CE824" i="9"/>
  <c r="CE828" i="9"/>
  <c r="CE829" i="9"/>
  <c r="CE840" i="9"/>
  <c r="CE864" i="9"/>
  <c r="CE940" i="9"/>
  <c r="CE1093" i="9"/>
  <c r="CE875" i="9"/>
  <c r="CE876" i="9"/>
  <c r="CE882" i="9"/>
  <c r="CE887" i="9"/>
  <c r="CE889" i="9"/>
  <c r="CE894" i="9"/>
  <c r="CE901" i="9"/>
  <c r="CE904" i="9"/>
  <c r="CE911" i="9"/>
  <c r="CE914" i="9"/>
  <c r="CE926" i="9"/>
  <c r="CE929" i="9"/>
  <c r="CE933" i="9"/>
  <c r="CE943" i="9"/>
  <c r="CE947" i="9"/>
  <c r="CD949" i="9"/>
  <c r="CE949" i="9" s="1"/>
  <c r="CE952" i="9"/>
  <c r="H955" i="9"/>
  <c r="L955" i="9"/>
  <c r="T955" i="9"/>
  <c r="X955" i="9"/>
  <c r="AB955" i="9"/>
  <c r="AJ955" i="9"/>
  <c r="AN955" i="9"/>
  <c r="CE965" i="9"/>
  <c r="CE996" i="9"/>
  <c r="CE1074" i="9"/>
  <c r="CD1076" i="9"/>
  <c r="CE1076" i="9" s="1"/>
  <c r="CE1091" i="9"/>
  <c r="CE1110" i="9"/>
  <c r="CE1112" i="9"/>
  <c r="CE1117" i="9"/>
  <c r="CE1144" i="9"/>
  <c r="CE1159" i="9"/>
  <c r="CE1167" i="9"/>
  <c r="CE1171" i="9"/>
  <c r="CD1262" i="9"/>
  <c r="CE1214" i="9"/>
  <c r="CE1222" i="9"/>
  <c r="CE1232" i="9"/>
  <c r="CE1243" i="9"/>
  <c r="CE1254" i="9"/>
  <c r="AS1279" i="9"/>
  <c r="CE1266" i="9"/>
  <c r="CE924" i="9"/>
  <c r="AV957" i="9"/>
  <c r="K955" i="9"/>
  <c r="O955" i="9"/>
  <c r="S955" i="9"/>
  <c r="W955" i="9"/>
  <c r="AA955" i="9"/>
  <c r="AE955" i="9"/>
  <c r="AI955" i="9"/>
  <c r="AM955" i="9"/>
  <c r="AQ955" i="9"/>
  <c r="AY955" i="9"/>
  <c r="BC955" i="9"/>
  <c r="BG955" i="9"/>
  <c r="BK955" i="9"/>
  <c r="BO955" i="9"/>
  <c r="BS955" i="9"/>
  <c r="BW955" i="9"/>
  <c r="CA955" i="9"/>
  <c r="CE985" i="9"/>
  <c r="CE1069" i="9"/>
  <c r="CE1070" i="9"/>
  <c r="CE1079" i="9"/>
  <c r="CE1094" i="9"/>
  <c r="CD1114" i="9"/>
  <c r="CE1114" i="9" s="1"/>
  <c r="CE1179" i="9"/>
  <c r="CE896" i="9"/>
  <c r="CE907" i="9"/>
  <c r="CE909" i="9"/>
  <c r="CE917" i="9"/>
  <c r="CE918" i="9"/>
  <c r="CE922" i="9"/>
  <c r="CE935" i="9"/>
  <c r="AU956" i="9"/>
  <c r="CD945" i="9"/>
  <c r="CE945" i="9" s="1"/>
  <c r="AR955" i="9"/>
  <c r="CD960" i="9"/>
  <c r="AS1210" i="9"/>
  <c r="CD1075" i="9"/>
  <c r="CE1075" i="9" s="1"/>
  <c r="CE1125" i="9"/>
  <c r="CE1133" i="9"/>
  <c r="CE1134" i="9"/>
  <c r="CE1141" i="9"/>
  <c r="CE1149" i="9"/>
  <c r="CE1156" i="9"/>
  <c r="CE1164" i="9"/>
  <c r="CE1177" i="9"/>
  <c r="CE1181" i="9"/>
  <c r="CE1191" i="9"/>
  <c r="CE1197" i="9"/>
  <c r="CE1204" i="9"/>
  <c r="AW1209" i="9"/>
  <c r="BA1209" i="9"/>
  <c r="BE1209" i="9"/>
  <c r="BM1209" i="9"/>
  <c r="BQ1209" i="9"/>
  <c r="BU1209" i="9"/>
  <c r="BY1209" i="9"/>
  <c r="CC1209" i="9"/>
  <c r="CI1262" i="9"/>
  <c r="CE1231" i="9"/>
  <c r="CE1241" i="9"/>
  <c r="CE1260" i="9"/>
  <c r="CD1279" i="9"/>
  <c r="CE1271" i="9"/>
  <c r="CE1273" i="9"/>
  <c r="CE1278" i="9"/>
  <c r="CD44" i="9"/>
  <c r="CD165" i="9"/>
  <c r="CE83" i="9"/>
  <c r="F474" i="9"/>
  <c r="F489" i="9" s="1"/>
  <c r="F490" i="9" s="1"/>
  <c r="F491" i="9" s="1"/>
  <c r="F488" i="9"/>
  <c r="CE45" i="9"/>
  <c r="CE51" i="9"/>
  <c r="CE80" i="9"/>
  <c r="CE94" i="9"/>
  <c r="F398" i="9"/>
  <c r="F394" i="9"/>
  <c r="AS44" i="9"/>
  <c r="AS165" i="9"/>
  <c r="CG165" i="9"/>
  <c r="CE59" i="9"/>
  <c r="AU165" i="9"/>
  <c r="CE72" i="9"/>
  <c r="CE86" i="9"/>
  <c r="F399" i="9"/>
  <c r="F403" i="9"/>
  <c r="CD175" i="9"/>
  <c r="CE175" i="9" s="1"/>
  <c r="CD190" i="9"/>
  <c r="CE190" i="9" s="1"/>
  <c r="AV542" i="9"/>
  <c r="AU643" i="9"/>
  <c r="CE563" i="9"/>
  <c r="CE571" i="9"/>
  <c r="AV579" i="9"/>
  <c r="CD579" i="9" s="1"/>
  <c r="CE579" i="9" s="1"/>
  <c r="CE585" i="9"/>
  <c r="CE593" i="9"/>
  <c r="CE798" i="9"/>
  <c r="CE810" i="9" s="1"/>
  <c r="CD810" i="9"/>
  <c r="AS1212" i="9"/>
  <c r="CD219" i="9"/>
  <c r="CE219" i="9" s="1"/>
  <c r="CD263" i="9"/>
  <c r="CE263" i="9" s="1"/>
  <c r="AV409" i="9"/>
  <c r="CE553" i="9"/>
  <c r="CE575" i="9"/>
  <c r="CE581" i="9"/>
  <c r="CE589" i="9"/>
  <c r="CE605" i="9"/>
  <c r="BI409" i="9"/>
  <c r="CD418" i="9"/>
  <c r="CE418" i="9" s="1"/>
  <c r="AU542" i="9"/>
  <c r="AU1212" i="9" s="1"/>
  <c r="CE546" i="9"/>
  <c r="CE565" i="9"/>
  <c r="F628" i="9"/>
  <c r="F633" i="9" s="1"/>
  <c r="F636" i="9" s="1"/>
  <c r="F618" i="9"/>
  <c r="BI643" i="9"/>
  <c r="AV673" i="9"/>
  <c r="AV745" i="9" s="1"/>
  <c r="CD684" i="9"/>
  <c r="CE684" i="9" s="1"/>
  <c r="BJ745" i="9"/>
  <c r="BJ1212" i="9" s="1"/>
  <c r="CD746" i="9"/>
  <c r="B753" i="9"/>
  <c r="AW795" i="9"/>
  <c r="CE796" i="9"/>
  <c r="CE797" i="9" s="1"/>
  <c r="CD930" i="9"/>
  <c r="CE930" i="9" s="1"/>
  <c r="CD939" i="9"/>
  <c r="CE939" i="9" s="1"/>
  <c r="AT957" i="9"/>
  <c r="AT955" i="9" s="1"/>
  <c r="CD951" i="9"/>
  <c r="CE987" i="9"/>
  <c r="CE993" i="9"/>
  <c r="CE994" i="9"/>
  <c r="CE1001" i="9"/>
  <c r="CE1002" i="9"/>
  <c r="CE1080" i="9"/>
  <c r="CE1081" i="9"/>
  <c r="CE1088" i="9"/>
  <c r="CE1089" i="9"/>
  <c r="CE1095" i="9"/>
  <c r="CE1111" i="9"/>
  <c r="CE1116" i="9"/>
  <c r="CD1211" i="9"/>
  <c r="CE1201" i="9"/>
  <c r="CE1211" i="9" s="1"/>
  <c r="CE1202" i="9"/>
  <c r="CD597" i="9"/>
  <c r="CE597" i="9" s="1"/>
  <c r="CD644" i="9"/>
  <c r="AU810" i="9"/>
  <c r="AV955" i="9"/>
  <c r="CG955" i="9"/>
  <c r="CE836" i="9"/>
  <c r="CE851" i="9"/>
  <c r="CE865" i="9"/>
  <c r="CE881" i="9"/>
  <c r="CE897" i="9"/>
  <c r="CE921" i="9"/>
  <c r="CE936" i="9"/>
  <c r="CD941" i="9"/>
  <c r="CD944" i="9"/>
  <c r="CD950" i="9"/>
  <c r="CE950" i="9" s="1"/>
  <c r="CE953" i="9"/>
  <c r="CE966" i="9"/>
  <c r="CE976" i="9"/>
  <c r="CE977" i="9"/>
  <c r="CE989" i="9"/>
  <c r="CE990" i="9"/>
  <c r="CE997" i="9"/>
  <c r="CE998" i="9"/>
  <c r="CE1077" i="9"/>
  <c r="CE1084" i="9"/>
  <c r="CE1085" i="9"/>
  <c r="CE1092" i="9"/>
  <c r="CE1124" i="9"/>
  <c r="CE1150" i="9"/>
  <c r="CE1165" i="9"/>
  <c r="CE1174" i="9"/>
  <c r="CE1187" i="9"/>
  <c r="BI745" i="9"/>
  <c r="AV795" i="9"/>
  <c r="CE847" i="9"/>
  <c r="CE861" i="9"/>
  <c r="CE877" i="9"/>
  <c r="CE893" i="9"/>
  <c r="CE908" i="9"/>
  <c r="CD942" i="9"/>
  <c r="CE942" i="9" s="1"/>
  <c r="AS951" i="9"/>
  <c r="AS957" i="9" s="1"/>
  <c r="AS955" i="9" s="1"/>
  <c r="AW955" i="9"/>
  <c r="CC955" i="9"/>
  <c r="AU957" i="9"/>
  <c r="AU955" i="9" s="1"/>
  <c r="AU1210" i="9"/>
  <c r="AU1209" i="9" s="1"/>
  <c r="CD1073" i="9"/>
  <c r="BI1209" i="9"/>
  <c r="CE1132" i="9"/>
  <c r="CE1155" i="9"/>
  <c r="CE1190" i="9"/>
  <c r="CE1213" i="9"/>
  <c r="CE1233" i="9"/>
  <c r="CE1244" i="9"/>
  <c r="CG1279" i="9"/>
  <c r="CE1268" i="9"/>
  <c r="CE1269" i="9"/>
  <c r="CE1276" i="9"/>
  <c r="AV1210" i="9"/>
  <c r="AV1209" i="9" s="1"/>
  <c r="CG1210" i="9"/>
  <c r="CG1209" i="9" s="1"/>
  <c r="CE1151" i="9"/>
  <c r="CE1168" i="9"/>
  <c r="CE1203" i="9"/>
  <c r="CH1209" i="9"/>
  <c r="CE1215" i="9"/>
  <c r="CE1239" i="9"/>
  <c r="X1262" i="9"/>
  <c r="AS1259" i="9"/>
  <c r="CE1259" i="9" s="1"/>
  <c r="CE1126" i="9"/>
  <c r="CE1148" i="9"/>
  <c r="CE1185" i="9"/>
  <c r="H1209" i="9"/>
  <c r="AS1194" i="9"/>
  <c r="CE1194" i="9" s="1"/>
  <c r="CE1198" i="9"/>
  <c r="CE1230" i="9"/>
  <c r="CE1248" i="9"/>
  <c r="CE1255" i="9"/>
  <c r="CE1265" i="9"/>
  <c r="CE1199" i="9"/>
  <c r="CG1262" i="9"/>
  <c r="CE1226" i="9"/>
  <c r="CE1240" i="9"/>
  <c r="CE1256" i="9"/>
  <c r="CE1277" i="9"/>
  <c r="CD51" i="10"/>
  <c r="CD70" i="10"/>
  <c r="CD72" i="10"/>
  <c r="CD96" i="10"/>
  <c r="CD108" i="10"/>
  <c r="CD111" i="10"/>
  <c r="CD112" i="10"/>
  <c r="CD128" i="10"/>
  <c r="CD131" i="10"/>
  <c r="CD145" i="10"/>
  <c r="CD147" i="10"/>
  <c r="CD184" i="10"/>
  <c r="AT322" i="10"/>
  <c r="CD55" i="10"/>
  <c r="CD73" i="10"/>
  <c r="CD94" i="10"/>
  <c r="CD97" i="10"/>
  <c r="CD107" i="10"/>
  <c r="CD30" i="10"/>
  <c r="CD38" i="10"/>
  <c r="CD44" i="10"/>
  <c r="CD50" i="10"/>
  <c r="CD53" i="10"/>
  <c r="CD89" i="10"/>
  <c r="CD136" i="10"/>
  <c r="CD162" i="10"/>
  <c r="CD176" i="10"/>
  <c r="CD196" i="10"/>
  <c r="AU199" i="10"/>
  <c r="CC199" i="10" s="1"/>
  <c r="CD199" i="10" s="1"/>
  <c r="CD206" i="10"/>
  <c r="CD210" i="10"/>
  <c r="CD214" i="10"/>
  <c r="CD227" i="10"/>
  <c r="CD230" i="10"/>
  <c r="CD231" i="10"/>
  <c r="F242" i="10"/>
  <c r="CD246" i="10"/>
  <c r="CD248" i="10"/>
  <c r="CD262" i="10"/>
  <c r="CD265" i="10"/>
  <c r="CD278" i="10"/>
  <c r="CD280" i="10"/>
  <c r="CD281" i="10"/>
  <c r="CD282" i="10"/>
  <c r="CD295" i="10"/>
  <c r="CD296" i="10"/>
  <c r="CD297" i="10"/>
  <c r="CD315" i="10"/>
  <c r="CJ1282" i="10"/>
  <c r="AR42" i="10"/>
  <c r="CD27" i="10"/>
  <c r="CD35" i="10"/>
  <c r="CD80" i="10"/>
  <c r="CD170" i="10"/>
  <c r="CD256" i="10"/>
  <c r="CD289" i="10"/>
  <c r="H1282" i="10"/>
  <c r="S1282" i="10"/>
  <c r="AI1282" i="10"/>
  <c r="AN1282" i="10"/>
  <c r="BT1282" i="10"/>
  <c r="CC491" i="10"/>
  <c r="CD491" i="10" s="1"/>
  <c r="CC548" i="10"/>
  <c r="CD548" i="10" s="1"/>
  <c r="CC559" i="10"/>
  <c r="CD56" i="10"/>
  <c r="CD64" i="10"/>
  <c r="CD76" i="10"/>
  <c r="CD90" i="10"/>
  <c r="CD101" i="10"/>
  <c r="CD104" i="10"/>
  <c r="CD119" i="10"/>
  <c r="CD121" i="10"/>
  <c r="CD129" i="10"/>
  <c r="CD163" i="10"/>
  <c r="CD174" i="10"/>
  <c r="CD177" i="10"/>
  <c r="CD185" i="10"/>
  <c r="CD190" i="10"/>
  <c r="CD203" i="10"/>
  <c r="CD211" i="10"/>
  <c r="CD220" i="10"/>
  <c r="CD238" i="10"/>
  <c r="CD247" i="10"/>
  <c r="CD264" i="10"/>
  <c r="CD272" i="10"/>
  <c r="CD312" i="10"/>
  <c r="CD321" i="10"/>
  <c r="O1282" i="10"/>
  <c r="T1282" i="10"/>
  <c r="AE1282" i="10"/>
  <c r="AJ1282" i="10"/>
  <c r="AY1282" i="10"/>
  <c r="BD1282" i="10"/>
  <c r="BK1282" i="10"/>
  <c r="BP1282" i="10"/>
  <c r="CA1282" i="10"/>
  <c r="CD331" i="10"/>
  <c r="CD333" i="10"/>
  <c r="CD335" i="10"/>
  <c r="CD352" i="10"/>
  <c r="CD354" i="10"/>
  <c r="CD356" i="10"/>
  <c r="CD368" i="10"/>
  <c r="CD370" i="10"/>
  <c r="CD372" i="10"/>
  <c r="CD384" i="10"/>
  <c r="CD386" i="10"/>
  <c r="CD388" i="10"/>
  <c r="CD400" i="10"/>
  <c r="CD402" i="10"/>
  <c r="CD404" i="10"/>
  <c r="CD412" i="10"/>
  <c r="CD415" i="10"/>
  <c r="CD417" i="10"/>
  <c r="CD428" i="10"/>
  <c r="CD431" i="10"/>
  <c r="CD433" i="10"/>
  <c r="CD444" i="10"/>
  <c r="CD447" i="10"/>
  <c r="CD449" i="10"/>
  <c r="CD468" i="10"/>
  <c r="CD471" i="10"/>
  <c r="CD473" i="10"/>
  <c r="CD483" i="10"/>
  <c r="CD484" i="10"/>
  <c r="CD486" i="10"/>
  <c r="CD494" i="10"/>
  <c r="CD496" i="10"/>
  <c r="CD508" i="10"/>
  <c r="CD509" i="10"/>
  <c r="CD513" i="10"/>
  <c r="CD523" i="10"/>
  <c r="CD526" i="10"/>
  <c r="CD528" i="10"/>
  <c r="CC541" i="10"/>
  <c r="CD541" i="10" s="1"/>
  <c r="AR578" i="10"/>
  <c r="CC544" i="10"/>
  <c r="CD544" i="10" s="1"/>
  <c r="CC550" i="10"/>
  <c r="CD550" i="10" s="1"/>
  <c r="CC554" i="10"/>
  <c r="CD554" i="10" s="1"/>
  <c r="CC560" i="10"/>
  <c r="CD560" i="10" s="1"/>
  <c r="CC562" i="10"/>
  <c r="CD562" i="10" s="1"/>
  <c r="CC574" i="10"/>
  <c r="CD574" i="10" s="1"/>
  <c r="CC576" i="10"/>
  <c r="CD576" i="10" s="1"/>
  <c r="CD586" i="10"/>
  <c r="CD588" i="10"/>
  <c r="CD603" i="10"/>
  <c r="CD610" i="10"/>
  <c r="CD620" i="10"/>
  <c r="CD622" i="10"/>
  <c r="CD625" i="10"/>
  <c r="CD630" i="10"/>
  <c r="CD640" i="10"/>
  <c r="CD642" i="10"/>
  <c r="CD645" i="10"/>
  <c r="CD662" i="10"/>
  <c r="CD664" i="10"/>
  <c r="CD667" i="10"/>
  <c r="CD678" i="10"/>
  <c r="CD688" i="10"/>
  <c r="CD859" i="10"/>
  <c r="CD891" i="10"/>
  <c r="CD61" i="10"/>
  <c r="CD83" i="10"/>
  <c r="CD86" i="10"/>
  <c r="CD98" i="10"/>
  <c r="CD103" i="10"/>
  <c r="CD105" i="10"/>
  <c r="CF323" i="10"/>
  <c r="CF322" i="10" s="1"/>
  <c r="CD113" i="10"/>
  <c r="CD126" i="10"/>
  <c r="CD140" i="10"/>
  <c r="CD152" i="10"/>
  <c r="CD160" i="10"/>
  <c r="CD173" i="10"/>
  <c r="CD182" i="10"/>
  <c r="CD187" i="10"/>
  <c r="CD208" i="10"/>
  <c r="CD217" i="10"/>
  <c r="CD222" i="10"/>
  <c r="CD224" i="10"/>
  <c r="CD232" i="10"/>
  <c r="CD244" i="10"/>
  <c r="CD249" i="10"/>
  <c r="CD251" i="10"/>
  <c r="CD259" i="10"/>
  <c r="CD269" i="10"/>
  <c r="CD283" i="10"/>
  <c r="CD292" i="10"/>
  <c r="CD298" i="10"/>
  <c r="CD308" i="10"/>
  <c r="CD318" i="10"/>
  <c r="K1282" i="10"/>
  <c r="P1282" i="10"/>
  <c r="AA1282" i="10"/>
  <c r="AF1282" i="10"/>
  <c r="AQ1282" i="10"/>
  <c r="AZ1282" i="10"/>
  <c r="BL1282" i="10"/>
  <c r="BW1282" i="10"/>
  <c r="CD340" i="10"/>
  <c r="CD347" i="10"/>
  <c r="CD361" i="10"/>
  <c r="CD363" i="10"/>
  <c r="CD377" i="10"/>
  <c r="CD379" i="10"/>
  <c r="CD393" i="10"/>
  <c r="CD395" i="10"/>
  <c r="CD460" i="10"/>
  <c r="CD490" i="10"/>
  <c r="CD500" i="10"/>
  <c r="CD502" i="10"/>
  <c r="CC545" i="10"/>
  <c r="CD545" i="10" s="1"/>
  <c r="CC547" i="10"/>
  <c r="CD547" i="10" s="1"/>
  <c r="CC557" i="10"/>
  <c r="CD557" i="10" s="1"/>
  <c r="CC566" i="10"/>
  <c r="CD566" i="10" s="1"/>
  <c r="CD593" i="10"/>
  <c r="CD597" i="10"/>
  <c r="CD633" i="10"/>
  <c r="CD649" i="10"/>
  <c r="CD655" i="10"/>
  <c r="CD672" i="10"/>
  <c r="CD677" i="10"/>
  <c r="CD681" i="10"/>
  <c r="CD694" i="10"/>
  <c r="CD303" i="10"/>
  <c r="L1282" i="10"/>
  <c r="W1282" i="10"/>
  <c r="AB1282" i="10"/>
  <c r="AM1282" i="10"/>
  <c r="BG1282" i="10"/>
  <c r="BX1282" i="10"/>
  <c r="CG1282" i="10"/>
  <c r="BA1282" i="10"/>
  <c r="BE1282" i="10"/>
  <c r="BI1282" i="10"/>
  <c r="BM1282" i="10"/>
  <c r="BQ1282" i="10"/>
  <c r="BU1282" i="10"/>
  <c r="BY1282" i="10"/>
  <c r="CD327" i="10"/>
  <c r="CD409" i="10"/>
  <c r="CD423" i="10"/>
  <c r="CD439" i="10"/>
  <c r="CD441" i="10"/>
  <c r="CD456" i="10"/>
  <c r="AU540" i="10"/>
  <c r="CC507" i="10"/>
  <c r="CD507" i="10" s="1"/>
  <c r="CD519" i="10"/>
  <c r="CD535" i="10"/>
  <c r="CC543" i="10"/>
  <c r="CD543" i="10" s="1"/>
  <c r="CC552" i="10"/>
  <c r="CD552" i="10" s="1"/>
  <c r="CC556" i="10"/>
  <c r="CD556" i="10" s="1"/>
  <c r="CD563" i="10"/>
  <c r="CC569" i="10"/>
  <c r="CD569" i="10" s="1"/>
  <c r="CD570" i="10"/>
  <c r="CC571" i="10"/>
  <c r="CD571" i="10" s="1"/>
  <c r="CC573" i="10"/>
  <c r="CD573" i="10" s="1"/>
  <c r="CC575" i="10"/>
  <c r="CD575" i="10" s="1"/>
  <c r="CC577" i="10"/>
  <c r="CD577" i="10" s="1"/>
  <c r="CD583" i="10"/>
  <c r="CC615" i="10"/>
  <c r="CD615" i="10" s="1"/>
  <c r="CD617" i="10"/>
  <c r="CC628" i="10"/>
  <c r="CD628" i="10" s="1"/>
  <c r="CD632" i="10"/>
  <c r="CD637" i="10"/>
  <c r="CD659" i="10"/>
  <c r="CD676" i="10"/>
  <c r="CD685" i="10"/>
  <c r="CD690" i="10"/>
  <c r="CC691" i="10"/>
  <c r="CD691" i="10" s="1"/>
  <c r="CD692" i="10"/>
  <c r="CD702" i="10"/>
  <c r="CD708" i="10"/>
  <c r="CD716" i="10"/>
  <c r="CD718" i="10"/>
  <c r="CD719" i="10"/>
  <c r="CD721" i="10"/>
  <c r="CD734" i="10"/>
  <c r="CD736" i="10"/>
  <c r="CD749" i="10"/>
  <c r="CD751" i="10"/>
  <c r="CD754" i="10"/>
  <c r="CD765" i="10"/>
  <c r="CD769" i="10"/>
  <c r="CD778" i="10"/>
  <c r="CD787" i="10"/>
  <c r="CC788" i="10"/>
  <c r="CD788" i="10" s="1"/>
  <c r="CD809" i="10"/>
  <c r="CD811" i="10"/>
  <c r="CD824" i="10"/>
  <c r="CD826" i="10"/>
  <c r="CD840" i="10"/>
  <c r="CD842" i="10"/>
  <c r="CD856" i="10"/>
  <c r="CD857" i="10"/>
  <c r="CD858" i="10"/>
  <c r="CD879" i="10"/>
  <c r="CD909" i="10"/>
  <c r="CD910" i="10"/>
  <c r="CD943" i="10"/>
  <c r="CD1009" i="10"/>
  <c r="CD1010" i="10"/>
  <c r="CD1011" i="10"/>
  <c r="CD1073" i="10"/>
  <c r="CD1075" i="10"/>
  <c r="CD1076" i="10"/>
  <c r="CD1078" i="10"/>
  <c r="CD1079" i="10"/>
  <c r="CD1099" i="10"/>
  <c r="CD1100" i="10"/>
  <c r="CD1101" i="10"/>
  <c r="CD1102" i="10"/>
  <c r="CD1141" i="10"/>
  <c r="CD1142" i="10"/>
  <c r="CD1143" i="10"/>
  <c r="CD1171" i="10"/>
  <c r="CD1174" i="10"/>
  <c r="CD1175" i="10"/>
  <c r="CD1203" i="10"/>
  <c r="CD1206" i="10"/>
  <c r="CD1207" i="10"/>
  <c r="CD1235" i="10"/>
  <c r="CD1238" i="10"/>
  <c r="CD1239" i="10"/>
  <c r="CD1267" i="10"/>
  <c r="CD1270" i="10"/>
  <c r="CD1271" i="10"/>
  <c r="CD1273" i="10"/>
  <c r="AR1337" i="10"/>
  <c r="CD1344" i="10"/>
  <c r="CD726" i="10"/>
  <c r="CD792" i="10"/>
  <c r="CD798" i="10"/>
  <c r="CD813" i="10"/>
  <c r="CD814" i="10"/>
  <c r="CD815" i="10"/>
  <c r="CD828" i="10"/>
  <c r="CD829" i="10"/>
  <c r="CD830" i="10"/>
  <c r="CD844" i="10"/>
  <c r="CD860" i="10"/>
  <c r="CD861" i="10"/>
  <c r="CD862" i="10"/>
  <c r="CC876" i="10"/>
  <c r="CD876" i="10" s="1"/>
  <c r="CC881" i="10"/>
  <c r="CD881" i="10" s="1"/>
  <c r="CC883" i="10"/>
  <c r="CD883" i="10" s="1"/>
  <c r="CD886" i="10"/>
  <c r="CD892" i="10"/>
  <c r="CD899" i="10"/>
  <c r="CD901" i="10"/>
  <c r="CD912" i="10"/>
  <c r="CD915" i="10"/>
  <c r="CD919" i="10"/>
  <c r="CD921" i="10"/>
  <c r="CD922" i="10"/>
  <c r="CD937" i="10"/>
  <c r="CD959" i="10"/>
  <c r="CD976" i="10"/>
  <c r="CD977" i="10"/>
  <c r="CD981" i="10"/>
  <c r="CD1034" i="10"/>
  <c r="CD1035" i="10"/>
  <c r="AT1275" i="10"/>
  <c r="CD1037" i="10"/>
  <c r="CD1039" i="10"/>
  <c r="CD1040" i="10"/>
  <c r="CD1157" i="10"/>
  <c r="CD1189" i="10"/>
  <c r="CD1221" i="10"/>
  <c r="CD1253" i="10"/>
  <c r="CD1284" i="10"/>
  <c r="CD1290" i="10"/>
  <c r="CD1318" i="10"/>
  <c r="CD1319" i="10"/>
  <c r="CD1322" i="10"/>
  <c r="CD696" i="10"/>
  <c r="CD699" i="10"/>
  <c r="CD705" i="10"/>
  <c r="CD711" i="10"/>
  <c r="CD728" i="10"/>
  <c r="CD730" i="10"/>
  <c r="CD741" i="10"/>
  <c r="CD743" i="10"/>
  <c r="CD746" i="10"/>
  <c r="CD757" i="10"/>
  <c r="CD759" i="10"/>
  <c r="CD762" i="10"/>
  <c r="CD772" i="10"/>
  <c r="CD774" i="10"/>
  <c r="CC780" i="10"/>
  <c r="CD780" i="10" s="1"/>
  <c r="CD781" i="10"/>
  <c r="CD784" i="10"/>
  <c r="CC789" i="10"/>
  <c r="CD789" i="10" s="1"/>
  <c r="CD794" i="10"/>
  <c r="CD795" i="10"/>
  <c r="CD801" i="10"/>
  <c r="CD802" i="10"/>
  <c r="CD803" i="10"/>
  <c r="CC870" i="10"/>
  <c r="CD870" i="10" s="1"/>
  <c r="CC871" i="10"/>
  <c r="CD871" i="10" s="1"/>
  <c r="AR887" i="10"/>
  <c r="CC877" i="10"/>
  <c r="CD877" i="10" s="1"/>
  <c r="CD885" i="10"/>
  <c r="AT984" i="10"/>
  <c r="CD897" i="10"/>
  <c r="CD900" i="10"/>
  <c r="CC991" i="10"/>
  <c r="CD1305" i="10"/>
  <c r="CD1336" i="10"/>
  <c r="CD914" i="10"/>
  <c r="CD925" i="10"/>
  <c r="CD938" i="10"/>
  <c r="CD944" i="10"/>
  <c r="CD947" i="10"/>
  <c r="CD968" i="10"/>
  <c r="CD978" i="10"/>
  <c r="CD979" i="10"/>
  <c r="CD980" i="10"/>
  <c r="CD988" i="10"/>
  <c r="CD1001" i="10"/>
  <c r="CD1002" i="10"/>
  <c r="CD1012" i="10"/>
  <c r="CD1014" i="10"/>
  <c r="CD1027" i="10"/>
  <c r="CD1041" i="10"/>
  <c r="CD1043" i="10"/>
  <c r="CD1055" i="10"/>
  <c r="CD1057" i="10"/>
  <c r="CD1080" i="10"/>
  <c r="CD1081" i="10"/>
  <c r="CD1082" i="10"/>
  <c r="CD1083" i="10"/>
  <c r="CD1085" i="10"/>
  <c r="CD1093" i="10"/>
  <c r="CD1095" i="10"/>
  <c r="CD1103" i="10"/>
  <c r="CD1105" i="10"/>
  <c r="CD1113" i="10"/>
  <c r="CD1115" i="10"/>
  <c r="CD1124" i="10"/>
  <c r="CD1133" i="10"/>
  <c r="CD1135" i="10"/>
  <c r="CD1144" i="10"/>
  <c r="CD1160" i="10"/>
  <c r="CD1176" i="10"/>
  <c r="CD1192" i="10"/>
  <c r="CD1208" i="10"/>
  <c r="CD1224" i="10"/>
  <c r="CD1240" i="10"/>
  <c r="CD1256" i="10"/>
  <c r="CD1272" i="10"/>
  <c r="AR1275" i="10"/>
  <c r="CD1286" i="10"/>
  <c r="CD1291" i="10"/>
  <c r="CD1294" i="10"/>
  <c r="CD1307" i="10"/>
  <c r="CD1310" i="10"/>
  <c r="CD1323" i="10"/>
  <c r="CD1326" i="10"/>
  <c r="CF1343" i="10"/>
  <c r="CD934" i="10"/>
  <c r="CD942" i="10"/>
  <c r="CD954" i="10"/>
  <c r="CD960" i="10"/>
  <c r="CD970" i="10"/>
  <c r="CD971" i="10"/>
  <c r="CD972" i="10"/>
  <c r="CF991" i="10"/>
  <c r="CD1018" i="10"/>
  <c r="CC1098" i="10"/>
  <c r="CD1098" i="10" s="1"/>
  <c r="CD1106" i="10"/>
  <c r="CD1153" i="10"/>
  <c r="CD1169" i="10"/>
  <c r="CD1185" i="10"/>
  <c r="CD1201" i="10"/>
  <c r="CD1217" i="10"/>
  <c r="CD1233" i="10"/>
  <c r="CD1249" i="10"/>
  <c r="CD1265" i="10"/>
  <c r="CD1274" i="10"/>
  <c r="CD28" i="10"/>
  <c r="CC42" i="10"/>
  <c r="CC46" i="10"/>
  <c r="CD46" i="10" s="1"/>
  <c r="I1282" i="10"/>
  <c r="Y1282" i="10"/>
  <c r="AK1282" i="10"/>
  <c r="AO1282" i="10"/>
  <c r="CD326" i="10"/>
  <c r="CD346" i="10"/>
  <c r="CD459" i="10"/>
  <c r="CC542" i="10"/>
  <c r="CD542" i="10" s="1"/>
  <c r="CF578" i="10"/>
  <c r="CC551" i="10"/>
  <c r="CD551" i="10" s="1"/>
  <c r="CF872" i="10"/>
  <c r="CD596" i="10"/>
  <c r="CD600" i="10"/>
  <c r="CD652" i="10"/>
  <c r="CD806" i="10"/>
  <c r="CD821" i="10"/>
  <c r="CD837" i="10"/>
  <c r="CD865" i="10"/>
  <c r="CD34" i="10"/>
  <c r="CC43" i="10"/>
  <c r="CD60" i="10"/>
  <c r="CD75" i="10"/>
  <c r="CD91" i="10"/>
  <c r="CD109" i="10"/>
  <c r="CD125" i="10"/>
  <c r="CD141" i="10"/>
  <c r="CC156" i="10"/>
  <c r="CD156" i="10" s="1"/>
  <c r="CD169" i="10"/>
  <c r="CD181" i="10"/>
  <c r="CD197" i="10"/>
  <c r="CD212" i="10"/>
  <c r="CD228" i="10"/>
  <c r="CD241" i="10"/>
  <c r="CD255" i="10"/>
  <c r="CD268" i="10"/>
  <c r="CD284" i="10"/>
  <c r="CD299" i="10"/>
  <c r="CD313" i="10"/>
  <c r="BC1282" i="10"/>
  <c r="BH322" i="10"/>
  <c r="BS1282" i="10"/>
  <c r="BH466" i="10"/>
  <c r="CC328" i="10"/>
  <c r="CD328" i="10" s="1"/>
  <c r="CD342" i="10"/>
  <c r="CD425" i="10"/>
  <c r="CD467" i="10" s="1"/>
  <c r="AT540" i="10"/>
  <c r="CC540" i="10" s="1"/>
  <c r="CC474" i="10"/>
  <c r="CD474" i="10" s="1"/>
  <c r="BH540" i="10"/>
  <c r="CC536" i="10"/>
  <c r="CD536" i="10" s="1"/>
  <c r="AV578" i="10"/>
  <c r="CC553" i="10"/>
  <c r="CD553" i="10" s="1"/>
  <c r="CC565" i="10"/>
  <c r="CD565" i="10" s="1"/>
  <c r="AT578" i="10"/>
  <c r="AR872" i="10"/>
  <c r="CD579" i="10"/>
  <c r="CC590" i="10"/>
  <c r="CD590" i="10" s="1"/>
  <c r="BH872" i="10"/>
  <c r="AT872" i="10"/>
  <c r="CD791" i="10"/>
  <c r="CD810" i="10"/>
  <c r="CD825" i="10"/>
  <c r="CD841" i="10"/>
  <c r="CD853" i="10"/>
  <c r="F975" i="10"/>
  <c r="F977" i="10"/>
  <c r="F979" i="10" s="1"/>
  <c r="F981" i="10" s="1"/>
  <c r="CC984" i="10"/>
  <c r="CD29" i="10"/>
  <c r="AR323" i="10"/>
  <c r="AR322" i="10" s="1"/>
  <c r="F187" i="10"/>
  <c r="CD239" i="10"/>
  <c r="BO1282" i="10"/>
  <c r="AT466" i="10"/>
  <c r="AU578" i="10"/>
  <c r="CD549" i="10"/>
  <c r="CD559" i="10"/>
  <c r="CC28" i="10"/>
  <c r="AS322" i="10"/>
  <c r="AS1282" i="10" s="1"/>
  <c r="AR466" i="10"/>
  <c r="CC454" i="10"/>
  <c r="CD454" i="10" s="1"/>
  <c r="CC499" i="10"/>
  <c r="CD499" i="10" s="1"/>
  <c r="AR540" i="10"/>
  <c r="CD558" i="10"/>
  <c r="CC611" i="10"/>
  <c r="CD611" i="10" s="1"/>
  <c r="AU872" i="10"/>
  <c r="CC887" i="10"/>
  <c r="CD873" i="10"/>
  <c r="AW887" i="10"/>
  <c r="AW1282" i="10" s="1"/>
  <c r="AT887" i="10"/>
  <c r="CD889" i="10"/>
  <c r="CD1031" i="10"/>
  <c r="CD1046" i="10"/>
  <c r="CD1064" i="10"/>
  <c r="CD1077" i="10"/>
  <c r="CD1131" i="10"/>
  <c r="CD1151" i="10"/>
  <c r="CD1167" i="10"/>
  <c r="CD1183" i="10"/>
  <c r="CD1199" i="10"/>
  <c r="CD1215" i="10"/>
  <c r="CD1231" i="10"/>
  <c r="CD1247" i="10"/>
  <c r="CD1263" i="10"/>
  <c r="CF1286" i="10"/>
  <c r="AR1343" i="10"/>
  <c r="CD1338" i="10"/>
  <c r="CD580" i="10"/>
  <c r="CC604" i="10"/>
  <c r="CD604" i="10" s="1"/>
  <c r="CB872" i="10"/>
  <c r="CB1282" i="10" s="1"/>
  <c r="AU887" i="10"/>
  <c r="CD875" i="10"/>
  <c r="AV887" i="10"/>
  <c r="CD992" i="10"/>
  <c r="CD993" i="10" s="1"/>
  <c r="CD997" i="10"/>
  <c r="CD998" i="10"/>
  <c r="CD1005" i="10"/>
  <c r="CD1006" i="10"/>
  <c r="CD1013" i="10"/>
  <c r="CD1028" i="10"/>
  <c r="CD1038" i="10"/>
  <c r="AU1275" i="10"/>
  <c r="CC1052" i="10"/>
  <c r="CD1052" i="10" s="1"/>
  <c r="CD1062" i="10"/>
  <c r="CD1070" i="10"/>
  <c r="CD1084" i="10"/>
  <c r="CD1094" i="10"/>
  <c r="CD1104" i="10"/>
  <c r="CD1114" i="10"/>
  <c r="CD1123" i="10"/>
  <c r="CD1134" i="10"/>
  <c r="CC1289" i="10"/>
  <c r="CD1288" i="10"/>
  <c r="CD1289" i="10" s="1"/>
  <c r="CB1337" i="10"/>
  <c r="CC1334" i="10"/>
  <c r="CD1334" i="10" s="1"/>
  <c r="CD905" i="10"/>
  <c r="CD939" i="10"/>
  <c r="CD950" i="10"/>
  <c r="CD958" i="10"/>
  <c r="CD966" i="10"/>
  <c r="CD974" i="10"/>
  <c r="CD982" i="10"/>
  <c r="AR984" i="10"/>
  <c r="AR989" i="10"/>
  <c r="AR991" i="10" s="1"/>
  <c r="U991" i="10"/>
  <c r="U1282" i="10" s="1"/>
  <c r="CD1017" i="10"/>
  <c r="CD1042" i="10"/>
  <c r="CD1056" i="10"/>
  <c r="CD1074" i="10"/>
  <c r="CD1088" i="10"/>
  <c r="BH1275" i="10"/>
  <c r="CC1275" i="10" s="1"/>
  <c r="CD1275" i="10" s="1"/>
  <c r="CC1287" i="10"/>
  <c r="CD1340" i="10"/>
  <c r="CC1343" i="10"/>
  <c r="CD1152" i="10"/>
  <c r="CD1168" i="10"/>
  <c r="CD1184" i="10"/>
  <c r="CD1200" i="10"/>
  <c r="CD1216" i="10"/>
  <c r="CD1232" i="10"/>
  <c r="CD1248" i="10"/>
  <c r="CD1264" i="10"/>
  <c r="AR1287" i="10"/>
  <c r="CD1304" i="10"/>
  <c r="CD1320" i="10"/>
  <c r="CD1335" i="10"/>
  <c r="CC1036" i="10"/>
  <c r="CD1036" i="10" s="1"/>
  <c r="CD1148" i="10"/>
  <c r="CD1164" i="10"/>
  <c r="CD1180" i="10"/>
  <c r="CD1196" i="10"/>
  <c r="CD1212" i="10"/>
  <c r="CD1228" i="10"/>
  <c r="CD1244" i="10"/>
  <c r="CD1260" i="10"/>
  <c r="CD1300" i="10"/>
  <c r="CD1316" i="10"/>
  <c r="CD1332" i="10"/>
  <c r="CD1156" i="10"/>
  <c r="CD1172" i="10"/>
  <c r="CD1188" i="10"/>
  <c r="CD1204" i="10"/>
  <c r="CD1220" i="10"/>
  <c r="CD1236" i="10"/>
  <c r="CD1252" i="10"/>
  <c r="CD1268" i="10"/>
  <c r="CD1285" i="10"/>
  <c r="CD1287" i="10" s="1"/>
  <c r="CD1292" i="10"/>
  <c r="CD1308" i="10"/>
  <c r="CD1324" i="10"/>
  <c r="CF140" i="11"/>
  <c r="CF143" i="11"/>
  <c r="CF147" i="11"/>
  <c r="CF233" i="11"/>
  <c r="CF248" i="11"/>
  <c r="CF249" i="11"/>
  <c r="CF254" i="11"/>
  <c r="CF275" i="11"/>
  <c r="CF279" i="11"/>
  <c r="CF282" i="11"/>
  <c r="CF298" i="11"/>
  <c r="CF301" i="11"/>
  <c r="CF305" i="11"/>
  <c r="CF310" i="11"/>
  <c r="CF708" i="11"/>
  <c r="CF761" i="11"/>
  <c r="CF110" i="11"/>
  <c r="CF141" i="11"/>
  <c r="CF42" i="11"/>
  <c r="CF52" i="11"/>
  <c r="CF53" i="11"/>
  <c r="CF54" i="11"/>
  <c r="CF55" i="11"/>
  <c r="CF56" i="11"/>
  <c r="CF57" i="11"/>
  <c r="CF72" i="11"/>
  <c r="CF83" i="11"/>
  <c r="CF84" i="11"/>
  <c r="CF112" i="11"/>
  <c r="CF113" i="11"/>
  <c r="CF115" i="11"/>
  <c r="CF119" i="11"/>
  <c r="CF129" i="11"/>
  <c r="CF134" i="11"/>
  <c r="CF150" i="11"/>
  <c r="CF158" i="11"/>
  <c r="CF159" i="11"/>
  <c r="CF184" i="11"/>
  <c r="CF188" i="11"/>
  <c r="CF192" i="11"/>
  <c r="CF206" i="11"/>
  <c r="CF240" i="11"/>
  <c r="CF242" i="11"/>
  <c r="CF258" i="11"/>
  <c r="CF261" i="11"/>
  <c r="CF284" i="11"/>
  <c r="CF286" i="11"/>
  <c r="AS394" i="11"/>
  <c r="CF805" i="11"/>
  <c r="CF109" i="11"/>
  <c r="AS202" i="11"/>
  <c r="CE47" i="11"/>
  <c r="CF47" i="11" s="1"/>
  <c r="CE48" i="11"/>
  <c r="CF48" i="11" s="1"/>
  <c r="CF78" i="11"/>
  <c r="CF87" i="11"/>
  <c r="CF88" i="11"/>
  <c r="CF90" i="11"/>
  <c r="CF93" i="11"/>
  <c r="CF99" i="11"/>
  <c r="CF103" i="11"/>
  <c r="CF107" i="11"/>
  <c r="CF200" i="11"/>
  <c r="CF220" i="11"/>
  <c r="CF262" i="11"/>
  <c r="CF268" i="11"/>
  <c r="CF296" i="11"/>
  <c r="CF315" i="11"/>
  <c r="CF316" i="11"/>
  <c r="CF317" i="11"/>
  <c r="CF318" i="11"/>
  <c r="CE319" i="11"/>
  <c r="CF319" i="11" s="1"/>
  <c r="CF322" i="11"/>
  <c r="CF325" i="11"/>
  <c r="CF328" i="11"/>
  <c r="CF339" i="11"/>
  <c r="CF340" i="11"/>
  <c r="CF369" i="11"/>
  <c r="CF370" i="11"/>
  <c r="CF391" i="11"/>
  <c r="CF393" i="11"/>
  <c r="CE408" i="11"/>
  <c r="CF408" i="11" s="1"/>
  <c r="CE421" i="11"/>
  <c r="CF421" i="11" s="1"/>
  <c r="CE422" i="11"/>
  <c r="CF422" i="11" s="1"/>
  <c r="CF490" i="11"/>
  <c r="CF504" i="11"/>
  <c r="CF512" i="11"/>
  <c r="CF516" i="11"/>
  <c r="CF517" i="11"/>
  <c r="CF525" i="11"/>
  <c r="CF526" i="11"/>
  <c r="CF550" i="11"/>
  <c r="CF558" i="11"/>
  <c r="CF567" i="11"/>
  <c r="CF568" i="11"/>
  <c r="CF580" i="11"/>
  <c r="CF592" i="11"/>
  <c r="CF593" i="11"/>
  <c r="CF595" i="11"/>
  <c r="CF615" i="11"/>
  <c r="CF623" i="11"/>
  <c r="CF638" i="11"/>
  <c r="CF644" i="11"/>
  <c r="CF660" i="11"/>
  <c r="CF662" i="11"/>
  <c r="CF675" i="11"/>
  <c r="CF701" i="11"/>
  <c r="CF702" i="11"/>
  <c r="CF727" i="11"/>
  <c r="CF758" i="11"/>
  <c r="CF790" i="11"/>
  <c r="CF793" i="11"/>
  <c r="CF802" i="11"/>
  <c r="CF803" i="11"/>
  <c r="CF825" i="11"/>
  <c r="CF826" i="11"/>
  <c r="CF868" i="11"/>
  <c r="CF869" i="11"/>
  <c r="CF884" i="11"/>
  <c r="CF888" i="11"/>
  <c r="CF898" i="11"/>
  <c r="CF899" i="11"/>
  <c r="CF918" i="11"/>
  <c r="CF935" i="11"/>
  <c r="CF967" i="11"/>
  <c r="CF968" i="11"/>
  <c r="CF492" i="11"/>
  <c r="CF612" i="11"/>
  <c r="CF691" i="11"/>
  <c r="CF705" i="11"/>
  <c r="CF709" i="11"/>
  <c r="CF710" i="11"/>
  <c r="CF712" i="11"/>
  <c r="CE728" i="11"/>
  <c r="CF728" i="11" s="1"/>
  <c r="CF739" i="11"/>
  <c r="CF740" i="11"/>
  <c r="CF762" i="11"/>
  <c r="CF763" i="11"/>
  <c r="CF765" i="11"/>
  <c r="CF776" i="11"/>
  <c r="CF777" i="11"/>
  <c r="CF784" i="11"/>
  <c r="CF806" i="11"/>
  <c r="CF818" i="11"/>
  <c r="CF819" i="11"/>
  <c r="CF831" i="11"/>
  <c r="CF832" i="11"/>
  <c r="CF835" i="11"/>
  <c r="CF840" i="11"/>
  <c r="CF850" i="11"/>
  <c r="CF854" i="11"/>
  <c r="CF856" i="11"/>
  <c r="CE892" i="11"/>
  <c r="CF892" i="11" s="1"/>
  <c r="CF895" i="11"/>
  <c r="CF311" i="11"/>
  <c r="CF313" i="11"/>
  <c r="CF330" i="11"/>
  <c r="CF347" i="11"/>
  <c r="CF348" i="11"/>
  <c r="CF350" i="11"/>
  <c r="CF355" i="11"/>
  <c r="CF356" i="11"/>
  <c r="CF358" i="11"/>
  <c r="CF380" i="11"/>
  <c r="CF381" i="11"/>
  <c r="CF389" i="11"/>
  <c r="CF390" i="11"/>
  <c r="CE412" i="11"/>
  <c r="CF412" i="11" s="1"/>
  <c r="CE416" i="11"/>
  <c r="CF416" i="11" s="1"/>
  <c r="CE417" i="11"/>
  <c r="CF417" i="11" s="1"/>
  <c r="CE444" i="11"/>
  <c r="CF444" i="11" s="1"/>
  <c r="CE446" i="11"/>
  <c r="CF446" i="11" s="1"/>
  <c r="CE447" i="11"/>
  <c r="CF447" i="11" s="1"/>
  <c r="CF494" i="11"/>
  <c r="CF495" i="11"/>
  <c r="CF496" i="11"/>
  <c r="CF497" i="11"/>
  <c r="CF502" i="11"/>
  <c r="CF522" i="11"/>
  <c r="CF523" i="11"/>
  <c r="CF533" i="11"/>
  <c r="CF538" i="11"/>
  <c r="CF539" i="11"/>
  <c r="CF548" i="11"/>
  <c r="CF556" i="11"/>
  <c r="CF557" i="11"/>
  <c r="CF573" i="11"/>
  <c r="CF574" i="11"/>
  <c r="CF584" i="11"/>
  <c r="CF585" i="11"/>
  <c r="CF598" i="11"/>
  <c r="CF607" i="11"/>
  <c r="CF630" i="11"/>
  <c r="CF646" i="11"/>
  <c r="CF649" i="11"/>
  <c r="CF654" i="11"/>
  <c r="CF656" i="11"/>
  <c r="CF670" i="11"/>
  <c r="CF671" i="11"/>
  <c r="CF681" i="11"/>
  <c r="CF683" i="11"/>
  <c r="CF684" i="11"/>
  <c r="CF694" i="11"/>
  <c r="CF696" i="11"/>
  <c r="CF750" i="11"/>
  <c r="CF753" i="11"/>
  <c r="CF754" i="11"/>
  <c r="CF915" i="11"/>
  <c r="CF916" i="11"/>
  <c r="CF943" i="11"/>
  <c r="CF945" i="11"/>
  <c r="CF947" i="11"/>
  <c r="CF948" i="11"/>
  <c r="CF958" i="11"/>
  <c r="CF962" i="11"/>
  <c r="CF964" i="11"/>
  <c r="CF27" i="11"/>
  <c r="CF185" i="11"/>
  <c r="CH365" i="11"/>
  <c r="CF228" i="11"/>
  <c r="CF230" i="11"/>
  <c r="CF243" i="11"/>
  <c r="AV394" i="11"/>
  <c r="CF613" i="11"/>
  <c r="CF28" i="11"/>
  <c r="CF189" i="11"/>
  <c r="CF31" i="11"/>
  <c r="CF39" i="11"/>
  <c r="CF58" i="11"/>
  <c r="CF60" i="11"/>
  <c r="CF61" i="11"/>
  <c r="CF97" i="11"/>
  <c r="CF98" i="11"/>
  <c r="CF100" i="11"/>
  <c r="CF104" i="11"/>
  <c r="CF128" i="11"/>
  <c r="CF130" i="11"/>
  <c r="CF132" i="11"/>
  <c r="CF151" i="11"/>
  <c r="CF153" i="11"/>
  <c r="CH221" i="11"/>
  <c r="CF207" i="11"/>
  <c r="CF209" i="11"/>
  <c r="CF210" i="11"/>
  <c r="AS365" i="11"/>
  <c r="CF263" i="11"/>
  <c r="CF288" i="11"/>
  <c r="CF386" i="11"/>
  <c r="AX450" i="11"/>
  <c r="CF510" i="11"/>
  <c r="CF511" i="11"/>
  <c r="CF513" i="11"/>
  <c r="CF527" i="11"/>
  <c r="CF528" i="11"/>
  <c r="CF546" i="11"/>
  <c r="CF547" i="11"/>
  <c r="CF549" i="11"/>
  <c r="CF576" i="11"/>
  <c r="CF622" i="11" s="1"/>
  <c r="CF578" i="11"/>
  <c r="CF579" i="11"/>
  <c r="BG202" i="11"/>
  <c r="CE76" i="11"/>
  <c r="CF76" i="11" s="1"/>
  <c r="CF168" i="11"/>
  <c r="CF183" i="11"/>
  <c r="CH202" i="11"/>
  <c r="CF33" i="11"/>
  <c r="CF34" i="11"/>
  <c r="CF35" i="11"/>
  <c r="BI202" i="11"/>
  <c r="CF68" i="11"/>
  <c r="CF73" i="11"/>
  <c r="CF75" i="11"/>
  <c r="CF89" i="11"/>
  <c r="CF114" i="11"/>
  <c r="CF142" i="11"/>
  <c r="CF171" i="11"/>
  <c r="CF172" i="11"/>
  <c r="CF174" i="11"/>
  <c r="CF178" i="11"/>
  <c r="CF198" i="11"/>
  <c r="CF199" i="11"/>
  <c r="CF201" i="11"/>
  <c r="CF216" i="11"/>
  <c r="CF223" i="11"/>
  <c r="CF234" i="11"/>
  <c r="CF238" i="11"/>
  <c r="CF300" i="11"/>
  <c r="CF323" i="11"/>
  <c r="CF349" i="11"/>
  <c r="CH438" i="11"/>
  <c r="CF402" i="11"/>
  <c r="CE403" i="11"/>
  <c r="CF403" i="11" s="1"/>
  <c r="CF419" i="11"/>
  <c r="CF454" i="11"/>
  <c r="CF458" i="11"/>
  <c r="CF62" i="11"/>
  <c r="CF64" i="11"/>
  <c r="CF70" i="11"/>
  <c r="CF77" i="11"/>
  <c r="CF91" i="11"/>
  <c r="CF92" i="11"/>
  <c r="CF101" i="11"/>
  <c r="CF102" i="11"/>
  <c r="CF116" i="11"/>
  <c r="CF117" i="11"/>
  <c r="CF131" i="11"/>
  <c r="CF144" i="11"/>
  <c r="CF145" i="11"/>
  <c r="CF154" i="11"/>
  <c r="CF155" i="11"/>
  <c r="CF160" i="11"/>
  <c r="CF175" i="11"/>
  <c r="CF176" i="11"/>
  <c r="CF186" i="11"/>
  <c r="CF187" i="11"/>
  <c r="AS221" i="11"/>
  <c r="CF229" i="11"/>
  <c r="CF235" i="11"/>
  <c r="CF244" i="11"/>
  <c r="CF245" i="11"/>
  <c r="CF266" i="11"/>
  <c r="CF289" i="11"/>
  <c r="CF291" i="11"/>
  <c r="CF308" i="11"/>
  <c r="CF320" i="11"/>
  <c r="CF321" i="11"/>
  <c r="CF331" i="11"/>
  <c r="CF332" i="11"/>
  <c r="CF334" i="11"/>
  <c r="BI400" i="11"/>
  <c r="CF397" i="11"/>
  <c r="CF410" i="11"/>
  <c r="CF413" i="11"/>
  <c r="CF415" i="11"/>
  <c r="CE433" i="11"/>
  <c r="CF433" i="11" s="1"/>
  <c r="CF434" i="11"/>
  <c r="AS450" i="11"/>
  <c r="CH450" i="11"/>
  <c r="CE443" i="11"/>
  <c r="CF443" i="11" s="1"/>
  <c r="AU450" i="11"/>
  <c r="CF501" i="11"/>
  <c r="CF503" i="11"/>
  <c r="CF563" i="11"/>
  <c r="CF603" i="11"/>
  <c r="CF677" i="11"/>
  <c r="CF748" i="11"/>
  <c r="CF749" i="11"/>
  <c r="CF751" i="11"/>
  <c r="CF792" i="11"/>
  <c r="CF847" i="11"/>
  <c r="CF851" i="11"/>
  <c r="CF891" i="11"/>
  <c r="CF900" i="11"/>
  <c r="CF904" i="11"/>
  <c r="CF955" i="11"/>
  <c r="CF29" i="11"/>
  <c r="CF30" i="11"/>
  <c r="CF37" i="11"/>
  <c r="CF38" i="11"/>
  <c r="CE43" i="11"/>
  <c r="CF43" i="11" s="1"/>
  <c r="CF49" i="11"/>
  <c r="CF69" i="11"/>
  <c r="CF79" i="11"/>
  <c r="CF80" i="11"/>
  <c r="CF85" i="11"/>
  <c r="CF95" i="11"/>
  <c r="CF105" i="11"/>
  <c r="CF106" i="11"/>
  <c r="CF120" i="11"/>
  <c r="CF121" i="11"/>
  <c r="CF126" i="11"/>
  <c r="CF133" i="11"/>
  <c r="CF138" i="11"/>
  <c r="CF148" i="11"/>
  <c r="CF149" i="11"/>
  <c r="CF164" i="11"/>
  <c r="CF169" i="11"/>
  <c r="CF179" i="11"/>
  <c r="CF181" i="11"/>
  <c r="CF190" i="11"/>
  <c r="CF191" i="11"/>
  <c r="CF196" i="11"/>
  <c r="CF203" i="11"/>
  <c r="CF211" i="11"/>
  <c r="CF219" i="11"/>
  <c r="CF226" i="11"/>
  <c r="CF231" i="11"/>
  <c r="CF241" i="11"/>
  <c r="CF255" i="11"/>
  <c r="CF260" i="11"/>
  <c r="CF273" i="11"/>
  <c r="CF285" i="11"/>
  <c r="CF312" i="11"/>
  <c r="CF324" i="11"/>
  <c r="CF326" i="11"/>
  <c r="CF345" i="11"/>
  <c r="CF359" i="11"/>
  <c r="CF360" i="11"/>
  <c r="CF375" i="11"/>
  <c r="CE388" i="11"/>
  <c r="CF388" i="11" s="1"/>
  <c r="CE406" i="11"/>
  <c r="CF406" i="11" s="1"/>
  <c r="CF407" i="11"/>
  <c r="CE428" i="11"/>
  <c r="CF428" i="11" s="1"/>
  <c r="CE493" i="11"/>
  <c r="CF493" i="11" s="1"/>
  <c r="CF594" i="11"/>
  <c r="CF733" i="11"/>
  <c r="AS972" i="11"/>
  <c r="CF944" i="11"/>
  <c r="AS867" i="11"/>
  <c r="CE635" i="11"/>
  <c r="CF635" i="11" s="1"/>
  <c r="CF661" i="11"/>
  <c r="CF812" i="11"/>
  <c r="CF246" i="11"/>
  <c r="CF250" i="11"/>
  <c r="CF269" i="11"/>
  <c r="CF276" i="11"/>
  <c r="CF281" i="11"/>
  <c r="CF292" i="11"/>
  <c r="CF302" i="11"/>
  <c r="CF309" i="11"/>
  <c r="CF327" i="11"/>
  <c r="CF335" i="11"/>
  <c r="CF336" i="11"/>
  <c r="CF341" i="11"/>
  <c r="CF351" i="11"/>
  <c r="CF352" i="11"/>
  <c r="CF357" i="11"/>
  <c r="CE394" i="11"/>
  <c r="CF371" i="11"/>
  <c r="CF376" i="11"/>
  <c r="CF377" i="11"/>
  <c r="CF382" i="11"/>
  <c r="AS400" i="11"/>
  <c r="CF398" i="11"/>
  <c r="CE404" i="11"/>
  <c r="CF404" i="11" s="1"/>
  <c r="AU438" i="11"/>
  <c r="CE411" i="11"/>
  <c r="CF411" i="11" s="1"/>
  <c r="CE420" i="11"/>
  <c r="CF420" i="11" s="1"/>
  <c r="CE425" i="11"/>
  <c r="CF425" i="11" s="1"/>
  <c r="CE429" i="11"/>
  <c r="CF429" i="11" s="1"/>
  <c r="CE432" i="11"/>
  <c r="CF432" i="11" s="1"/>
  <c r="CE436" i="11"/>
  <c r="CF436" i="11" s="1"/>
  <c r="CE441" i="11"/>
  <c r="CF441" i="11" s="1"/>
  <c r="CE448" i="11"/>
  <c r="CF448" i="11" s="1"/>
  <c r="CF460" i="11"/>
  <c r="CF462" i="11"/>
  <c r="CF464" i="11"/>
  <c r="CF466" i="11"/>
  <c r="CF468" i="11"/>
  <c r="CF470" i="11"/>
  <c r="CF472" i="11"/>
  <c r="CF474" i="11"/>
  <c r="CF476" i="11"/>
  <c r="CF478" i="11"/>
  <c r="CF480" i="11"/>
  <c r="CF482" i="11"/>
  <c r="CF484" i="11"/>
  <c r="CF486" i="11"/>
  <c r="CF487" i="11"/>
  <c r="CF514" i="11"/>
  <c r="CF515" i="11"/>
  <c r="CF520" i="11"/>
  <c r="CF529" i="11"/>
  <c r="CF534" i="11"/>
  <c r="CF535" i="11"/>
  <c r="CF540" i="11"/>
  <c r="CF551" i="11"/>
  <c r="CF565" i="11"/>
  <c r="CF566" i="11"/>
  <c r="CF571" i="11"/>
  <c r="CF581" i="11"/>
  <c r="CF586" i="11"/>
  <c r="CF596" i="11"/>
  <c r="CF605" i="11"/>
  <c r="CF606" i="11"/>
  <c r="CF610" i="11"/>
  <c r="CF617" i="11"/>
  <c r="CF624" i="11"/>
  <c r="CF631" i="11"/>
  <c r="CF640" i="11"/>
  <c r="CF650" i="11"/>
  <c r="CF655" i="11"/>
  <c r="CF658" i="11"/>
  <c r="CF663" i="11"/>
  <c r="CF685" i="11"/>
  <c r="CF692" i="11"/>
  <c r="CF703" i="11"/>
  <c r="CF707" i="11"/>
  <c r="CF725" i="11"/>
  <c r="CF726" i="11"/>
  <c r="CF735" i="11"/>
  <c r="CF736" i="11"/>
  <c r="CF760" i="11"/>
  <c r="CF774" i="11"/>
  <c r="CF780" i="11"/>
  <c r="CF794" i="11"/>
  <c r="CF795" i="11"/>
  <c r="CF797" i="11"/>
  <c r="CF836" i="11"/>
  <c r="CF852" i="11"/>
  <c r="CF855" i="11"/>
  <c r="CE881" i="11"/>
  <c r="CF881" i="11" s="1"/>
  <c r="CF882" i="11"/>
  <c r="CF887" i="11"/>
  <c r="CH938" i="11"/>
  <c r="CF946" i="11"/>
  <c r="CF956" i="11"/>
  <c r="CF959" i="11"/>
  <c r="AS977" i="11"/>
  <c r="CF392" i="11"/>
  <c r="CE395" i="11"/>
  <c r="CF395" i="11" s="1"/>
  <c r="CH400" i="11"/>
  <c r="CE405" i="11"/>
  <c r="CF405" i="11" s="1"/>
  <c r="CE409" i="11"/>
  <c r="CF409" i="11" s="1"/>
  <c r="CE414" i="11"/>
  <c r="CF414" i="11" s="1"/>
  <c r="CE418" i="11"/>
  <c r="CF418" i="11" s="1"/>
  <c r="CE423" i="11"/>
  <c r="CF423" i="11" s="1"/>
  <c r="CE430" i="11"/>
  <c r="CF430" i="11" s="1"/>
  <c r="CF445" i="11"/>
  <c r="CE449" i="11"/>
  <c r="CF449" i="11" s="1"/>
  <c r="CF452" i="11"/>
  <c r="CF457" i="11"/>
  <c r="BI621" i="11"/>
  <c r="CF508" i="11"/>
  <c r="CF544" i="11"/>
  <c r="CF555" i="11"/>
  <c r="CF559" i="11"/>
  <c r="CF575" i="11"/>
  <c r="AS621" i="11"/>
  <c r="CF590" i="11"/>
  <c r="CF599" i="11"/>
  <c r="CF628" i="11"/>
  <c r="CF674" i="11"/>
  <c r="CE704" i="11"/>
  <c r="CF704" i="11" s="1"/>
  <c r="CF706" i="11"/>
  <c r="CF711" i="11"/>
  <c r="CF746" i="11"/>
  <c r="CF764" i="11"/>
  <c r="CF808" i="11"/>
  <c r="CF860" i="11"/>
  <c r="CF878" i="11"/>
  <c r="CF897" i="11"/>
  <c r="CF921" i="11"/>
  <c r="AS926" i="11"/>
  <c r="CF642" i="11"/>
  <c r="CF648" i="11"/>
  <c r="CF664" i="11"/>
  <c r="CF672" i="11"/>
  <c r="CF678" i="11"/>
  <c r="CF679" i="11"/>
  <c r="CF699" i="11"/>
  <c r="CF713" i="11"/>
  <c r="CF718" i="11"/>
  <c r="CF720" i="11"/>
  <c r="CF724" i="11"/>
  <c r="CF729" i="11"/>
  <c r="CF737" i="11"/>
  <c r="CF743" i="11"/>
  <c r="CF756" i="11"/>
  <c r="CF766" i="11"/>
  <c r="CF772" i="11"/>
  <c r="CF782" i="11"/>
  <c r="CF788" i="11"/>
  <c r="CF798" i="11"/>
  <c r="CF804" i="11"/>
  <c r="CF815" i="11"/>
  <c r="CF822" i="11"/>
  <c r="CF827" i="11"/>
  <c r="CF829" i="11"/>
  <c r="CF834" i="11"/>
  <c r="CF841" i="11"/>
  <c r="CF844" i="11"/>
  <c r="CF870" i="11"/>
  <c r="CF889" i="11"/>
  <c r="CE890" i="11"/>
  <c r="CF890" i="11" s="1"/>
  <c r="CF893" i="11"/>
  <c r="CF894" i="11"/>
  <c r="CF905" i="11"/>
  <c r="CE913" i="11"/>
  <c r="CF913" i="11" s="1"/>
  <c r="CF925" i="11"/>
  <c r="CF934" i="11"/>
  <c r="CF936" i="11"/>
  <c r="CF942" i="11"/>
  <c r="CF949" i="11"/>
  <c r="CF960" i="11"/>
  <c r="CF963" i="11"/>
  <c r="CF970" i="11"/>
  <c r="CH977" i="11"/>
  <c r="F328" i="11"/>
  <c r="F313" i="11"/>
  <c r="CE221" i="11"/>
  <c r="CF222" i="11"/>
  <c r="CF232" i="11"/>
  <c r="CE51" i="11"/>
  <c r="CF51" i="11" s="1"/>
  <c r="AU202" i="11"/>
  <c r="CF299" i="11"/>
  <c r="CF307" i="11"/>
  <c r="CE26" i="11"/>
  <c r="CE46" i="11"/>
  <c r="CF46" i="11" s="1"/>
  <c r="CE45" i="11"/>
  <c r="CF45" i="11" s="1"/>
  <c r="AU365" i="11"/>
  <c r="CF236" i="11"/>
  <c r="CF251" i="11"/>
  <c r="CF259" i="11"/>
  <c r="CF264" i="11"/>
  <c r="CF272" i="11"/>
  <c r="CF280" i="11"/>
  <c r="CF287" i="11"/>
  <c r="CF293" i="11"/>
  <c r="CF366" i="11"/>
  <c r="CE396" i="11"/>
  <c r="CF396" i="11" s="1"/>
  <c r="AU400" i="11"/>
  <c r="CE401" i="11"/>
  <c r="AW450" i="11"/>
  <c r="CC450" i="11"/>
  <c r="CE491" i="11"/>
  <c r="CF491" i="11" s="1"/>
  <c r="CF639" i="11"/>
  <c r="CF647" i="11"/>
  <c r="CF695" i="11"/>
  <c r="CF732" i="11"/>
  <c r="CF759" i="11"/>
  <c r="CF775" i="11"/>
  <c r="CF791" i="11"/>
  <c r="CF807" i="11"/>
  <c r="CF848" i="11"/>
  <c r="CH924" i="11"/>
  <c r="AU924" i="11"/>
  <c r="CE875" i="11"/>
  <c r="CF901" i="11"/>
  <c r="AV438" i="11"/>
  <c r="CE439" i="11"/>
  <c r="AV668" i="11"/>
  <c r="AV721" i="11"/>
  <c r="CE721" i="11" s="1"/>
  <c r="CF721" i="11" s="1"/>
  <c r="AV924" i="11"/>
  <c r="CG983" i="11"/>
  <c r="AS438" i="11"/>
  <c r="AW438" i="11"/>
  <c r="CF636" i="11"/>
  <c r="CF643" i="11"/>
  <c r="CF651" i="11"/>
  <c r="CF657" i="11"/>
  <c r="CF688" i="11"/>
  <c r="CF698" i="11"/>
  <c r="CF714" i="11"/>
  <c r="F718" i="11"/>
  <c r="CF738" i="11"/>
  <c r="CF752" i="11"/>
  <c r="CF767" i="11"/>
  <c r="CF783" i="11"/>
  <c r="CF799" i="11"/>
  <c r="CF816" i="11"/>
  <c r="CF863" i="11"/>
  <c r="AV450" i="11"/>
  <c r="AU621" i="11"/>
  <c r="AU867" i="11"/>
  <c r="CH867" i="11"/>
  <c r="CF871" i="11"/>
  <c r="CF885" i="11"/>
  <c r="CE682" i="11"/>
  <c r="CF682" i="11" s="1"/>
  <c r="CE926" i="11"/>
  <c r="CF821" i="11"/>
  <c r="CF837" i="11"/>
  <c r="CF853" i="11"/>
  <c r="CF866" i="11"/>
  <c r="BI924" i="11"/>
  <c r="CF877" i="11"/>
  <c r="CF906" i="11"/>
  <c r="CE972" i="11"/>
  <c r="CE977" i="11"/>
  <c r="CF975" i="11"/>
  <c r="CF976" i="11"/>
  <c r="CF817" i="11"/>
  <c r="CF833" i="11"/>
  <c r="CF849" i="11"/>
  <c r="AS924" i="11"/>
  <c r="CF872" i="11"/>
  <c r="CF886" i="11"/>
  <c r="CF902" i="11"/>
  <c r="CE912" i="11"/>
  <c r="CF912" i="11" s="1"/>
  <c r="CF914" i="11"/>
  <c r="CE938" i="11"/>
  <c r="CF939" i="11"/>
  <c r="CF940" i="11"/>
  <c r="CF952" i="11"/>
  <c r="CF961" i="11"/>
  <c r="CF971" i="11"/>
  <c r="CF978" i="11"/>
  <c r="CF979" i="11"/>
  <c r="CF941" i="11"/>
  <c r="CF957" i="11"/>
  <c r="CF973" i="11"/>
  <c r="CF974" i="11" s="1"/>
  <c r="CF980" i="11"/>
  <c r="CH972" i="11"/>
  <c r="CF953" i="11"/>
  <c r="CE974" i="11"/>
  <c r="CH983" i="11"/>
  <c r="AW1217" i="8" l="1"/>
  <c r="AR1217" i="8"/>
  <c r="AF1217" i="8"/>
  <c r="X1217" i="8"/>
  <c r="AU322" i="10"/>
  <c r="AV1282" i="10"/>
  <c r="AV1212" i="9"/>
  <c r="AV643" i="9"/>
  <c r="CE44" i="9"/>
  <c r="CE409" i="9"/>
  <c r="H1217" i="8"/>
  <c r="P1217" i="8"/>
  <c r="CF324" i="8"/>
  <c r="AN1217" i="8"/>
  <c r="AB1217" i="8"/>
  <c r="T1217" i="8"/>
  <c r="CE905" i="7"/>
  <c r="CF1253" i="6"/>
  <c r="CF1157" i="6"/>
  <c r="CC283" i="5"/>
  <c r="CD1201" i="5"/>
  <c r="CD1232" i="5"/>
  <c r="CC753" i="5"/>
  <c r="CD753" i="5" s="1"/>
  <c r="CD564" i="5"/>
  <c r="CF548" i="5"/>
  <c r="AU1012" i="5"/>
  <c r="A1012" i="5" s="1"/>
  <c r="CD1294" i="5"/>
  <c r="CE365" i="11"/>
  <c r="CE621" i="11"/>
  <c r="CF221" i="11"/>
  <c r="CF926" i="11"/>
  <c r="CF938" i="11"/>
  <c r="AU1167" i="5"/>
  <c r="CD548" i="5"/>
  <c r="CD1241" i="5"/>
  <c r="A673" i="5"/>
  <c r="CD1311" i="5"/>
  <c r="CD1012" i="5"/>
  <c r="CC780" i="5"/>
  <c r="CD780" i="5" s="1"/>
  <c r="CC657" i="5"/>
  <c r="CD657" i="5"/>
  <c r="CD283" i="5"/>
  <c r="CD1167" i="5"/>
  <c r="AT1242" i="5"/>
  <c r="CC1167" i="5"/>
  <c r="AU347" i="5"/>
  <c r="CC347" i="5" s="1"/>
  <c r="CC1012" i="5"/>
  <c r="CD1263" i="5"/>
  <c r="CD1238" i="5"/>
  <c r="CC564" i="5"/>
  <c r="CC704" i="5"/>
  <c r="CD658" i="5"/>
  <c r="CD704" i="5" s="1"/>
  <c r="CD1242" i="5"/>
  <c r="CD44" i="5"/>
  <c r="CD785" i="5"/>
  <c r="CD879" i="5" s="1"/>
  <c r="CC879" i="5"/>
  <c r="AT1211" i="6"/>
  <c r="CF988" i="6"/>
  <c r="CF395" i="6"/>
  <c r="CE182" i="6"/>
  <c r="CE1157" i="6"/>
  <c r="CF1210" i="6"/>
  <c r="CE395" i="6"/>
  <c r="CF1226" i="6"/>
  <c r="CE831" i="6"/>
  <c r="CF784" i="6"/>
  <c r="CF831" i="6" s="1"/>
  <c r="CF531" i="6"/>
  <c r="CF533" i="6" s="1"/>
  <c r="CE456" i="6"/>
  <c r="CF456" i="6" s="1"/>
  <c r="CF45" i="6"/>
  <c r="AU530" i="6"/>
  <c r="CE530" i="6" s="1"/>
  <c r="AR1101" i="7"/>
  <c r="CE47" i="7"/>
  <c r="CE848" i="7"/>
  <c r="AU1101" i="7"/>
  <c r="CD626" i="7"/>
  <c r="CE626" i="7" s="1"/>
  <c r="CD247" i="7"/>
  <c r="CE1167" i="7"/>
  <c r="CE1106" i="7"/>
  <c r="CD848" i="7"/>
  <c r="CE684" i="7"/>
  <c r="CE1148" i="7"/>
  <c r="CE448" i="7"/>
  <c r="CE487" i="7" s="1"/>
  <c r="CD487" i="7"/>
  <c r="CD733" i="7"/>
  <c r="CE685" i="7"/>
  <c r="CE733" i="7" s="1"/>
  <c r="CE1083" i="7"/>
  <c r="CE395" i="7"/>
  <c r="CE247" i="7"/>
  <c r="AV782" i="8"/>
  <c r="CF282" i="8"/>
  <c r="CF317" i="8" s="1"/>
  <c r="CE317" i="8"/>
  <c r="F713" i="8"/>
  <c r="F711" i="8"/>
  <c r="F714" i="8" s="1"/>
  <c r="F718" i="8" s="1"/>
  <c r="F720" i="8" s="1"/>
  <c r="CF159" i="8"/>
  <c r="CE159" i="8"/>
  <c r="AU1211" i="8"/>
  <c r="AU1209" i="8"/>
  <c r="CE784" i="8"/>
  <c r="CE782" i="8" s="1"/>
  <c r="CF721" i="8"/>
  <c r="CF784" i="8" s="1"/>
  <c r="CF782" i="8" s="1"/>
  <c r="CE1210" i="8"/>
  <c r="CF1079" i="8"/>
  <c r="CF1210" i="8" s="1"/>
  <c r="CF44" i="8"/>
  <c r="CE1026" i="8"/>
  <c r="CF1026" i="8" s="1"/>
  <c r="CE417" i="8"/>
  <c r="CG1252" i="8"/>
  <c r="CG1260" i="8" s="1"/>
  <c r="CF1252" i="8"/>
  <c r="CF1260" i="8" s="1"/>
  <c r="CF1244" i="8"/>
  <c r="F712" i="8"/>
  <c r="F677" i="8"/>
  <c r="F678" i="8" s="1"/>
  <c r="F679" i="8" s="1"/>
  <c r="F680" i="8" s="1"/>
  <c r="F681" i="8" s="1"/>
  <c r="F682" i="8" s="1"/>
  <c r="F683" i="8" s="1"/>
  <c r="F684" i="8" s="1"/>
  <c r="F686" i="8"/>
  <c r="F671" i="8"/>
  <c r="AV317" i="8"/>
  <c r="CF417" i="8"/>
  <c r="CE1279" i="9"/>
  <c r="CE951" i="9"/>
  <c r="CD643" i="9"/>
  <c r="CE643" i="9" s="1"/>
  <c r="BI1212" i="9"/>
  <c r="CD1212" i="9" s="1"/>
  <c r="CE1212" i="9" s="1"/>
  <c r="CD957" i="9"/>
  <c r="CE944" i="9"/>
  <c r="CE957" i="9" s="1"/>
  <c r="CD673" i="9"/>
  <c r="CE673" i="9" s="1"/>
  <c r="CE1262" i="9"/>
  <c r="CE941" i="9"/>
  <c r="CE956" i="9" s="1"/>
  <c r="CD956" i="9"/>
  <c r="CE644" i="9"/>
  <c r="CD795" i="9"/>
  <c r="CE746" i="9"/>
  <c r="CE795" i="9" s="1"/>
  <c r="AS1209" i="9"/>
  <c r="CD542" i="9"/>
  <c r="CE165" i="9"/>
  <c r="CD1210" i="9"/>
  <c r="CD1209" i="9" s="1"/>
  <c r="CE1073" i="9"/>
  <c r="CE1210" i="9" s="1"/>
  <c r="CE1209" i="9" s="1"/>
  <c r="AS1262" i="9"/>
  <c r="CD409" i="9"/>
  <c r="CD1337" i="10"/>
  <c r="AR1282" i="10"/>
  <c r="AU1282" i="10"/>
  <c r="CD540" i="10"/>
  <c r="AT1282" i="10"/>
  <c r="BH1282" i="10"/>
  <c r="CD323" i="10"/>
  <c r="CD42" i="10"/>
  <c r="CD887" i="10"/>
  <c r="CC872" i="10"/>
  <c r="CD984" i="10"/>
  <c r="CD43" i="10"/>
  <c r="CD466" i="10"/>
  <c r="CC1337" i="10"/>
  <c r="CD1343" i="10"/>
  <c r="CC578" i="10"/>
  <c r="CC322" i="10"/>
  <c r="CD989" i="10"/>
  <c r="CD991" i="10" s="1"/>
  <c r="CD872" i="10"/>
  <c r="CD578" i="10"/>
  <c r="CC466" i="10"/>
  <c r="AV867" i="11"/>
  <c r="CF621" i="11"/>
  <c r="CE400" i="11"/>
  <c r="CF394" i="11"/>
  <c r="CF983" i="11"/>
  <c r="CF972" i="11"/>
  <c r="CF977" i="11"/>
  <c r="CE668" i="11"/>
  <c r="CF439" i="11"/>
  <c r="CF450" i="11" s="1"/>
  <c r="CE450" i="11"/>
  <c r="CE438" i="11"/>
  <c r="CF401" i="11"/>
  <c r="CF438" i="11" s="1"/>
  <c r="CF400" i="11"/>
  <c r="CF26" i="11"/>
  <c r="CF202" i="11" s="1"/>
  <c r="CE202" i="11"/>
  <c r="CF875" i="11"/>
  <c r="CF924" i="11" s="1"/>
  <c r="CE924" i="11"/>
  <c r="CF365" i="11"/>
  <c r="AV1217" i="8" l="1"/>
  <c r="AS1217" i="8"/>
  <c r="CD955" i="9"/>
  <c r="CC1242" i="5"/>
  <c r="AU1242" i="5"/>
  <c r="AU1211" i="6"/>
  <c r="CF530" i="6"/>
  <c r="CE1211" i="6"/>
  <c r="CF1211" i="6"/>
  <c r="CE1101" i="7"/>
  <c r="CD1101" i="7"/>
  <c r="AU1217" i="8"/>
  <c r="F672" i="8"/>
  <c r="F687" i="8"/>
  <c r="CF1211" i="8"/>
  <c r="CF1209" i="8"/>
  <c r="CF1217" i="8" s="1"/>
  <c r="CE1069" i="8"/>
  <c r="CE1217" i="8" s="1"/>
  <c r="CE1211" i="8"/>
  <c r="CE1209" i="8"/>
  <c r="CE955" i="9"/>
  <c r="CD745" i="9"/>
  <c r="CE745" i="9"/>
  <c r="CC1282" i="10"/>
  <c r="CD322" i="10"/>
  <c r="CD1282" i="10" s="1"/>
  <c r="CF668" i="11"/>
  <c r="CF867" i="11" s="1"/>
  <c r="CE867" i="11"/>
  <c r="F688" i="8" l="1"/>
  <c r="F673" i="8"/>
  <c r="F689" i="8" s="1"/>
  <c r="F690" i="8" s="1"/>
  <c r="F691" i="8" s="1"/>
  <c r="F692" i="8" s="1"/>
  <c r="F693" i="8" s="1"/>
  <c r="F694" i="8" s="1"/>
  <c r="AU1541" i="12" l="1"/>
  <c r="CI1541" i="12" s="1"/>
  <c r="AU1540" i="12"/>
  <c r="CI1540" i="12" s="1"/>
  <c r="AU1568" i="12"/>
  <c r="CI1568" i="12" s="1"/>
  <c r="AU1567" i="12"/>
  <c r="CI1567" i="12" s="1"/>
  <c r="AU1566" i="12"/>
  <c r="CI1566" i="12" s="1"/>
  <c r="AU1565" i="12"/>
  <c r="CI1565" i="12" s="1"/>
  <c r="AU1564" i="12"/>
  <c r="CI1564" i="12" s="1"/>
  <c r="AU1563" i="12"/>
  <c r="CI1563" i="12" s="1"/>
  <c r="AU1562" i="12"/>
  <c r="CI1562" i="12" s="1"/>
  <c r="AU1561" i="12"/>
  <c r="CI1561" i="12" s="1"/>
  <c r="AU1560" i="12"/>
  <c r="CI1560" i="12" s="1"/>
  <c r="AU1559" i="12"/>
  <c r="CI1559" i="12" s="1"/>
  <c r="AU1558" i="12"/>
  <c r="CI1558" i="12" s="1"/>
  <c r="AU1557" i="12"/>
  <c r="CI1557" i="12" s="1"/>
  <c r="AU1556" i="12"/>
  <c r="CI1556" i="12" s="1"/>
  <c r="AU1555" i="12"/>
  <c r="CI1555" i="12" s="1"/>
  <c r="AU1554" i="12"/>
  <c r="CI1554" i="12" s="1"/>
  <c r="AU1553" i="12"/>
  <c r="CI1553" i="12" s="1"/>
  <c r="AU1552" i="12"/>
  <c r="CI1552" i="12" s="1"/>
  <c r="AU1551" i="12"/>
  <c r="CI1551" i="12" s="1"/>
  <c r="AU1550" i="12"/>
  <c r="CI1550" i="12" s="1"/>
  <c r="AU1549" i="12"/>
  <c r="CI1549" i="12" s="1"/>
  <c r="AU1548" i="12"/>
  <c r="CI1548" i="12" s="1"/>
  <c r="AU1547" i="12"/>
  <c r="CI1547" i="12" s="1"/>
  <c r="AU1546" i="12"/>
  <c r="CI1546" i="12" s="1"/>
  <c r="AU1545" i="12"/>
  <c r="CI1545" i="12" s="1"/>
  <c r="AU1544" i="12"/>
  <c r="CI1544" i="12" s="1"/>
  <c r="AU1543" i="12"/>
  <c r="CI1543" i="12" s="1"/>
  <c r="AU1542" i="12"/>
  <c r="CI1542" i="12" s="1"/>
  <c r="AU1539" i="12"/>
  <c r="CI1539" i="12" s="1"/>
  <c r="AU1538" i="12"/>
  <c r="CI1538" i="12" s="1"/>
  <c r="AU1537" i="12"/>
  <c r="CI1537" i="12" s="1"/>
  <c r="AU1536" i="12"/>
  <c r="CI1536" i="12" s="1"/>
  <c r="AU1535" i="12"/>
  <c r="CI1535" i="12" s="1"/>
  <c r="AU1534" i="12"/>
  <c r="CI1534" i="12" s="1"/>
  <c r="AU1533" i="12"/>
  <c r="CI1533" i="12" s="1"/>
  <c r="AU1532" i="12"/>
  <c r="CI1532" i="12" s="1"/>
  <c r="AU1531" i="12"/>
  <c r="CI1531" i="12" s="1"/>
  <c r="AU1530" i="12"/>
  <c r="CI1530" i="12" s="1"/>
  <c r="AU1529" i="12"/>
  <c r="CI1529" i="12" s="1"/>
  <c r="AU1528" i="12"/>
  <c r="CI1528" i="12" s="1"/>
  <c r="AU1527" i="12"/>
  <c r="CI1527" i="12" s="1"/>
  <c r="AU1526" i="12"/>
  <c r="CI1526" i="12" s="1"/>
  <c r="AU1525" i="12"/>
  <c r="CI1525" i="12" s="1"/>
  <c r="AU1524" i="12"/>
  <c r="CI1524" i="12" s="1"/>
  <c r="AU1523" i="12"/>
  <c r="CI1523" i="12" s="1"/>
  <c r="AU1522" i="12"/>
  <c r="CI1522" i="12" s="1"/>
  <c r="AU1521" i="12"/>
  <c r="CI1521" i="12" s="1"/>
  <c r="AU1520" i="12"/>
  <c r="CI1520" i="12" s="1"/>
  <c r="AU1519" i="12"/>
  <c r="CI1519" i="12" s="1"/>
  <c r="AU1518" i="12"/>
  <c r="CI1518" i="12" s="1"/>
  <c r="AU1517" i="12"/>
  <c r="CI1517" i="12" s="1"/>
  <c r="AU1516" i="12"/>
  <c r="CI1516" i="12" s="1"/>
  <c r="AU1515" i="12"/>
  <c r="CI1515" i="12" s="1"/>
  <c r="AU1514" i="12"/>
  <c r="CI1514" i="12" s="1"/>
  <c r="AU1513" i="12"/>
  <c r="CI1513" i="12" s="1"/>
  <c r="AU1512" i="12"/>
  <c r="CI1512" i="12" s="1"/>
  <c r="AU1511" i="12"/>
  <c r="CI1511" i="12" s="1"/>
  <c r="AU1510" i="12"/>
  <c r="CI1510" i="12" s="1"/>
  <c r="AU1509" i="12"/>
  <c r="CI1509" i="12" s="1"/>
  <c r="AU1508" i="12"/>
  <c r="CI1508" i="12" s="1"/>
  <c r="AU1507" i="12"/>
  <c r="CI1507" i="12" s="1"/>
  <c r="AU1506" i="12"/>
  <c r="CI1506" i="12" s="1"/>
  <c r="AU1505" i="12"/>
  <c r="CI1505" i="12" s="1"/>
  <c r="AU1504" i="12"/>
  <c r="CI1504" i="12" s="1"/>
  <c r="AU1503" i="12"/>
  <c r="CI1503" i="12" s="1"/>
  <c r="AU1502" i="12"/>
  <c r="CI1502" i="12" s="1"/>
  <c r="AU1501" i="12"/>
  <c r="CI1501" i="12" s="1"/>
  <c r="AU1500" i="12"/>
  <c r="CI1500" i="12" s="1"/>
  <c r="AU1499" i="12"/>
  <c r="CI1499" i="12" s="1"/>
  <c r="AU1498" i="12"/>
  <c r="CI1498" i="12" s="1"/>
  <c r="AU1497" i="12"/>
  <c r="CI1497" i="12" s="1"/>
  <c r="AU1496" i="12"/>
  <c r="CI1496" i="12" s="1"/>
  <c r="AU1495" i="12"/>
  <c r="CI1495" i="12" s="1"/>
  <c r="AU1494" i="12"/>
  <c r="CI1494" i="12" s="1"/>
  <c r="AU1493" i="12"/>
  <c r="CI1493" i="12" s="1"/>
  <c r="AU1492" i="12"/>
  <c r="CI1492" i="12" s="1"/>
  <c r="AU1491" i="12"/>
  <c r="CI1491" i="12" s="1"/>
  <c r="AU1490" i="12"/>
  <c r="CI1490" i="12" s="1"/>
  <c r="AU1489" i="12"/>
  <c r="CI1489" i="12" s="1"/>
  <c r="AU1488" i="12"/>
  <c r="CI1488" i="12" s="1"/>
  <c r="AU1487" i="12"/>
  <c r="CI1487" i="12" s="1"/>
  <c r="AU1486" i="12"/>
  <c r="CI1486" i="12" s="1"/>
  <c r="AU1485" i="12"/>
  <c r="CI1485" i="12" s="1"/>
  <c r="AU1484" i="12"/>
  <c r="CI1484" i="12" s="1"/>
  <c r="AU1483" i="12"/>
  <c r="CI1483" i="12" s="1"/>
  <c r="AU1482" i="12"/>
  <c r="CI1482" i="12" s="1"/>
  <c r="AU1481" i="12"/>
  <c r="CI1481" i="12" s="1"/>
  <c r="AU1480" i="12"/>
  <c r="CI1480" i="12" s="1"/>
  <c r="AU1479" i="12"/>
  <c r="CI1479" i="12" s="1"/>
  <c r="AU1478" i="12"/>
  <c r="CI1478" i="12" s="1"/>
  <c r="AU1477" i="12"/>
  <c r="CI1477" i="12" s="1"/>
  <c r="AU1476" i="12"/>
  <c r="CI1476" i="12" s="1"/>
  <c r="AU1475" i="12"/>
  <c r="CI1475" i="12" s="1"/>
  <c r="AU1474" i="12"/>
  <c r="CI1474" i="12" s="1"/>
  <c r="AU1473" i="12"/>
  <c r="CI1473" i="12" s="1"/>
  <c r="AU1472" i="12"/>
  <c r="CI1472" i="12" s="1"/>
  <c r="AU1471" i="12"/>
  <c r="CI1471" i="12" s="1"/>
  <c r="AU1470" i="12"/>
  <c r="CI1470" i="12" s="1"/>
  <c r="AU1469" i="12"/>
  <c r="CI1469" i="12" s="1"/>
  <c r="AU1468" i="12"/>
  <c r="CI1468" i="12" s="1"/>
  <c r="AU1467" i="12"/>
  <c r="CI1467" i="12" s="1"/>
  <c r="AU1466" i="12"/>
  <c r="CI1466" i="12" s="1"/>
  <c r="AU1465" i="12"/>
  <c r="CI1465" i="12" s="1"/>
  <c r="AU1464" i="12"/>
  <c r="CI1464" i="12" s="1"/>
  <c r="AU1463" i="12"/>
  <c r="CI1463" i="12" s="1"/>
  <c r="AU1462" i="12"/>
  <c r="CI1462" i="12" s="1"/>
  <c r="AU1461" i="12"/>
  <c r="CI1461" i="12" s="1"/>
  <c r="AU1460" i="12"/>
  <c r="CI1460" i="12" s="1"/>
  <c r="AU1459" i="12"/>
  <c r="CI1459" i="12" s="1"/>
  <c r="AU1458" i="12"/>
  <c r="CI1458" i="12" s="1"/>
  <c r="AU1457" i="12"/>
  <c r="CI1457" i="12" s="1"/>
  <c r="AU1456" i="12"/>
  <c r="CI1456" i="12" s="1"/>
  <c r="AU1455" i="12"/>
  <c r="CI1455" i="12" s="1"/>
  <c r="AU1454" i="12"/>
  <c r="CI1454" i="12" s="1"/>
  <c r="AU1453" i="12"/>
  <c r="CI1453" i="12" s="1"/>
  <c r="AU1452" i="12"/>
  <c r="CI1452" i="12" s="1"/>
  <c r="AU1451" i="12"/>
  <c r="CI1451" i="12" s="1"/>
  <c r="AU1450" i="12"/>
  <c r="CI1450" i="12" s="1"/>
  <c r="AU1449" i="12"/>
  <c r="CI1449" i="12" s="1"/>
  <c r="AU1448" i="12"/>
  <c r="CI1448" i="12" s="1"/>
  <c r="AU1447" i="12"/>
  <c r="CI1447" i="12" s="1"/>
  <c r="AX1446" i="12"/>
  <c r="CH1446" i="12" s="1"/>
  <c r="AU1446" i="12"/>
  <c r="AU1445" i="12"/>
  <c r="CI1445" i="12" s="1"/>
  <c r="AU1444" i="12"/>
  <c r="CI1444" i="12" s="1"/>
  <c r="AU1443" i="12"/>
  <c r="CI1443" i="12" s="1"/>
  <c r="AU1442" i="12"/>
  <c r="CI1442" i="12" s="1"/>
  <c r="AU1441" i="12"/>
  <c r="CI1441" i="12" s="1"/>
  <c r="AU1440" i="12"/>
  <c r="CI1440" i="12" s="1"/>
  <c r="AU1439" i="12"/>
  <c r="CI1439" i="12" s="1"/>
  <c r="AU1438" i="12"/>
  <c r="CI1438" i="12" s="1"/>
  <c r="AU1437" i="12"/>
  <c r="CI1437" i="12" s="1"/>
  <c r="AU1436" i="12"/>
  <c r="CI1436" i="12" s="1"/>
  <c r="G1436" i="12"/>
  <c r="AU1435" i="12"/>
  <c r="CI1435" i="12" s="1"/>
  <c r="G1435" i="12"/>
  <c r="AX1434" i="12"/>
  <c r="AW1434" i="12"/>
  <c r="AU1434" i="12"/>
  <c r="AU1433" i="12"/>
  <c r="CI1433" i="12" s="1"/>
  <c r="AU1432" i="12"/>
  <c r="CI1432" i="12" s="1"/>
  <c r="AU1431" i="12"/>
  <c r="CI1431" i="12" s="1"/>
  <c r="AU1430" i="12"/>
  <c r="CI1430" i="12" s="1"/>
  <c r="AU1429" i="12"/>
  <c r="CI1429" i="12" s="1"/>
  <c r="AU1428" i="12"/>
  <c r="CI1428" i="12" s="1"/>
  <c r="AU1427" i="12"/>
  <c r="CI1427" i="12" s="1"/>
  <c r="AU1426" i="12"/>
  <c r="CI1426" i="12" s="1"/>
  <c r="AU1425" i="12"/>
  <c r="CI1425" i="12" s="1"/>
  <c r="AU1424" i="12"/>
  <c r="CI1424" i="12" s="1"/>
  <c r="AU1423" i="12"/>
  <c r="CI1423" i="12" s="1"/>
  <c r="AU1422" i="12"/>
  <c r="CI1422" i="12" s="1"/>
  <c r="AW1421" i="12"/>
  <c r="CH1421" i="12" s="1"/>
  <c r="AU1421" i="12"/>
  <c r="AW1420" i="12"/>
  <c r="CH1420" i="12" s="1"/>
  <c r="AU1420" i="12"/>
  <c r="G1420" i="12"/>
  <c r="G1421" i="12" s="1"/>
  <c r="AU1419" i="12"/>
  <c r="CI1419" i="12" s="1"/>
  <c r="AU1418" i="12"/>
  <c r="CI1418" i="12" s="1"/>
  <c r="AU1417" i="12"/>
  <c r="CI1417" i="12" s="1"/>
  <c r="AU1416" i="12"/>
  <c r="CI1416" i="12" s="1"/>
  <c r="AU1415" i="12"/>
  <c r="CI1415" i="12" s="1"/>
  <c r="AW1414" i="12"/>
  <c r="CH1414" i="12" s="1"/>
  <c r="AU1414" i="12"/>
  <c r="AU1413" i="12"/>
  <c r="CI1413" i="12" s="1"/>
  <c r="AU1412" i="12"/>
  <c r="CI1412" i="12" s="1"/>
  <c r="AU1411" i="12"/>
  <c r="CI1411" i="12" s="1"/>
  <c r="AU1410" i="12"/>
  <c r="CI1410" i="12" s="1"/>
  <c r="AU1409" i="12"/>
  <c r="CI1409" i="12" s="1"/>
  <c r="AU1408" i="12"/>
  <c r="CI1408" i="12" s="1"/>
  <c r="AU1407" i="12"/>
  <c r="CI1407" i="12" s="1"/>
  <c r="AU1406" i="12"/>
  <c r="CI1406" i="12" s="1"/>
  <c r="AU1405" i="12"/>
  <c r="CI1405" i="12" s="1"/>
  <c r="AU1404" i="12"/>
  <c r="CI1404" i="12" s="1"/>
  <c r="AU1403" i="12"/>
  <c r="CI1403" i="12" s="1"/>
  <c r="AU1402" i="12"/>
  <c r="CI1402" i="12" s="1"/>
  <c r="AU1401" i="12"/>
  <c r="CI1401" i="12" s="1"/>
  <c r="AU1400" i="12"/>
  <c r="CI1400" i="12" s="1"/>
  <c r="AU1399" i="12"/>
  <c r="CI1399" i="12" s="1"/>
  <c r="AU1398" i="12"/>
  <c r="CI1398" i="12" s="1"/>
  <c r="AU1397" i="12"/>
  <c r="CI1397" i="12" s="1"/>
  <c r="AW1396" i="12"/>
  <c r="CH1396" i="12" s="1"/>
  <c r="AU1396" i="12"/>
  <c r="AU1395" i="12"/>
  <c r="CI1395" i="12" s="1"/>
  <c r="AU1394" i="12"/>
  <c r="CI1394" i="12" s="1"/>
  <c r="AU1393" i="12"/>
  <c r="CI1393" i="12" s="1"/>
  <c r="AU1392" i="12"/>
  <c r="CI1392" i="12" s="1"/>
  <c r="AU1391" i="12"/>
  <c r="CI1391" i="12" s="1"/>
  <c r="AU1390" i="12"/>
  <c r="CI1390" i="12" s="1"/>
  <c r="AU1389" i="12"/>
  <c r="CI1389" i="12" s="1"/>
  <c r="AU1388" i="12"/>
  <c r="CI1388" i="12" s="1"/>
  <c r="AU1387" i="12"/>
  <c r="CI1387" i="12" s="1"/>
  <c r="AU1386" i="12"/>
  <c r="CI1386" i="12" s="1"/>
  <c r="AU1385" i="12"/>
  <c r="CI1385" i="12" s="1"/>
  <c r="AU1384" i="12"/>
  <c r="CI1384" i="12" s="1"/>
  <c r="AW1383" i="12"/>
  <c r="CH1383" i="12" s="1"/>
  <c r="AU1383" i="12"/>
  <c r="AX1382" i="12"/>
  <c r="AW1382" i="12"/>
  <c r="AU1382" i="12"/>
  <c r="CK1381" i="12"/>
  <c r="CJ1381" i="12"/>
  <c r="AU1381" i="12"/>
  <c r="CK1379" i="12"/>
  <c r="CJ1379" i="12"/>
  <c r="CH1379" i="12"/>
  <c r="AU1379" i="12"/>
  <c r="CK1378" i="12"/>
  <c r="CJ1378" i="12"/>
  <c r="AW1378" i="12"/>
  <c r="CH1378" i="12" s="1"/>
  <c r="AU1378" i="12"/>
  <c r="G1378" i="12"/>
  <c r="CK1377" i="12"/>
  <c r="CJ1377" i="12"/>
  <c r="CH1377" i="12"/>
  <c r="AU1377" i="12"/>
  <c r="CK1376" i="12"/>
  <c r="CJ1376" i="12"/>
  <c r="CH1376" i="12"/>
  <c r="AU1376" i="12"/>
  <c r="CK1375" i="12"/>
  <c r="CJ1375" i="12"/>
  <c r="CH1375" i="12"/>
  <c r="AU1375" i="12"/>
  <c r="CK1374" i="12"/>
  <c r="CJ1374" i="12"/>
  <c r="CH1374" i="12"/>
  <c r="AU1374" i="12"/>
  <c r="CK1373" i="12"/>
  <c r="CJ1373" i="12"/>
  <c r="CH1373" i="12"/>
  <c r="AU1373" i="12"/>
  <c r="CK1372" i="12"/>
  <c r="CJ1372" i="12"/>
  <c r="CH1372" i="12"/>
  <c r="AU1372" i="12"/>
  <c r="CK1371" i="12"/>
  <c r="CJ1371" i="12"/>
  <c r="CH1371" i="12"/>
  <c r="AU1371" i="12"/>
  <c r="CK1370" i="12"/>
  <c r="CJ1370" i="12"/>
  <c r="CH1370" i="12"/>
  <c r="AU1370" i="12"/>
  <c r="G1370" i="12"/>
  <c r="G1371" i="12" s="1"/>
  <c r="CK1369" i="12"/>
  <c r="CJ1369" i="12"/>
  <c r="CH1369" i="12"/>
  <c r="AU1369" i="12"/>
  <c r="CK1368" i="12"/>
  <c r="CJ1368" i="12"/>
  <c r="CH1368" i="12"/>
  <c r="AU1368" i="12"/>
  <c r="CK1367" i="12"/>
  <c r="CJ1367" i="12"/>
  <c r="CH1367" i="12"/>
  <c r="AU1367" i="12"/>
  <c r="CK1366" i="12"/>
  <c r="CJ1366" i="12"/>
  <c r="CH1366" i="12"/>
  <c r="AU1366" i="12"/>
  <c r="CK1365" i="12"/>
  <c r="CJ1365" i="12"/>
  <c r="CH1365" i="12"/>
  <c r="AU1365" i="12"/>
  <c r="CK1364" i="12"/>
  <c r="CJ1364" i="12"/>
  <c r="CH1364" i="12"/>
  <c r="AU1364" i="12"/>
  <c r="CK1363" i="12"/>
  <c r="CJ1363" i="12"/>
  <c r="CH1363" i="12"/>
  <c r="AU1363" i="12"/>
  <c r="CK1362" i="12"/>
  <c r="CJ1362" i="12"/>
  <c r="CH1362" i="12"/>
  <c r="AU1362" i="12"/>
  <c r="CK1361" i="12"/>
  <c r="CJ1361" i="12"/>
  <c r="CH1361" i="12"/>
  <c r="AU1361" i="12"/>
  <c r="CK1360" i="12"/>
  <c r="CJ1360" i="12"/>
  <c r="CH1360" i="12"/>
  <c r="AU1360" i="12"/>
  <c r="CK1359" i="12"/>
  <c r="CJ1359" i="12"/>
  <c r="CH1359" i="12"/>
  <c r="AU1359" i="12"/>
  <c r="CK1358" i="12"/>
  <c r="CJ1358" i="12"/>
  <c r="CH1358" i="12"/>
  <c r="AU1358" i="12"/>
  <c r="G1358" i="12"/>
  <c r="G1359" i="12" s="1"/>
  <c r="G1360" i="12" s="1"/>
  <c r="CK1357" i="12"/>
  <c r="CJ1357" i="12"/>
  <c r="CH1357" i="12"/>
  <c r="AU1357" i="12"/>
  <c r="CK1356" i="12"/>
  <c r="CJ1356" i="12"/>
  <c r="CH1356" i="12"/>
  <c r="AU1356" i="12"/>
  <c r="CK1355" i="12"/>
  <c r="CJ1355" i="12"/>
  <c r="CH1355" i="12"/>
  <c r="AU1355" i="12"/>
  <c r="CK1354" i="12"/>
  <c r="CJ1354" i="12"/>
  <c r="CH1354" i="12"/>
  <c r="AU1354" i="12"/>
  <c r="CK1353" i="12"/>
  <c r="CJ1353" i="12"/>
  <c r="CH1353" i="12"/>
  <c r="AU1353" i="12"/>
  <c r="CK1352" i="12"/>
  <c r="CJ1352" i="12"/>
  <c r="CH1352" i="12"/>
  <c r="AU1352" i="12"/>
  <c r="CK1351" i="12"/>
  <c r="CJ1351" i="12"/>
  <c r="CH1351" i="12"/>
  <c r="AU1351" i="12"/>
  <c r="CK1350" i="12"/>
  <c r="CJ1350" i="12"/>
  <c r="CH1350" i="12"/>
  <c r="AU1350" i="12"/>
  <c r="CK1349" i="12"/>
  <c r="CJ1349" i="12"/>
  <c r="CH1349" i="12"/>
  <c r="AU1349" i="12"/>
  <c r="CK1348" i="12"/>
  <c r="CJ1348" i="12"/>
  <c r="CH1348" i="12"/>
  <c r="AU1348" i="12"/>
  <c r="CK1347" i="12"/>
  <c r="CJ1347" i="12"/>
  <c r="CH1347" i="12"/>
  <c r="AU1347" i="12"/>
  <c r="CK1346" i="12"/>
  <c r="CJ1346" i="12"/>
  <c r="CH1346" i="12"/>
  <c r="AU1346" i="12"/>
  <c r="CK1345" i="12"/>
  <c r="CJ1345" i="12"/>
  <c r="CH1345" i="12"/>
  <c r="AU1345" i="12"/>
  <c r="CK1344" i="12"/>
  <c r="CJ1344" i="12"/>
  <c r="CH1344" i="12"/>
  <c r="AU1344" i="12"/>
  <c r="CK1343" i="12"/>
  <c r="CJ1343" i="12"/>
  <c r="CH1343" i="12"/>
  <c r="AU1343" i="12"/>
  <c r="CK1342" i="12"/>
  <c r="CJ1342" i="12"/>
  <c r="CH1342" i="12"/>
  <c r="AU1342" i="12"/>
  <c r="CK1341" i="12"/>
  <c r="CJ1341" i="12"/>
  <c r="CH1341" i="12"/>
  <c r="AU1341" i="12"/>
  <c r="CK1340" i="12"/>
  <c r="CJ1340" i="12"/>
  <c r="CH1340" i="12"/>
  <c r="AU1340" i="12"/>
  <c r="CK1339" i="12"/>
  <c r="CJ1339" i="12"/>
  <c r="CH1339" i="12"/>
  <c r="AU1339" i="12"/>
  <c r="CK1338" i="12"/>
  <c r="CJ1338" i="12"/>
  <c r="CH1338" i="12"/>
  <c r="AU1338" i="12"/>
  <c r="CK1337" i="12"/>
  <c r="CJ1337" i="12"/>
  <c r="CH1337" i="12"/>
  <c r="AU1337" i="12"/>
  <c r="CK1336" i="12"/>
  <c r="CJ1336" i="12"/>
  <c r="AW1336" i="12"/>
  <c r="CH1336" i="12" s="1"/>
  <c r="AU1336" i="12"/>
  <c r="CK1335" i="12"/>
  <c r="CJ1335" i="12"/>
  <c r="CH1335" i="12"/>
  <c r="AU1335" i="12"/>
  <c r="CK1334" i="12"/>
  <c r="CJ1334" i="12"/>
  <c r="CH1334" i="12"/>
  <c r="AU1334" i="12"/>
  <c r="G1334" i="12"/>
  <c r="CK1333" i="12"/>
  <c r="CJ1333" i="12"/>
  <c r="CH1333" i="12"/>
  <c r="AU1333" i="12"/>
  <c r="CK1332" i="12"/>
  <c r="CJ1332" i="12"/>
  <c r="CH1332" i="12"/>
  <c r="AU1332" i="12"/>
  <c r="CK1331" i="12"/>
  <c r="CJ1331" i="12"/>
  <c r="CH1331" i="12"/>
  <c r="AU1331" i="12"/>
  <c r="CK1330" i="12"/>
  <c r="CJ1330" i="12"/>
  <c r="CH1330" i="12"/>
  <c r="AU1330" i="12"/>
  <c r="CK1329" i="12"/>
  <c r="CJ1329" i="12"/>
  <c r="CH1329" i="12"/>
  <c r="AU1329" i="12"/>
  <c r="CK1328" i="12"/>
  <c r="CJ1328" i="12"/>
  <c r="CH1328" i="12"/>
  <c r="AU1328" i="12"/>
  <c r="CK1327" i="12"/>
  <c r="CJ1327" i="12"/>
  <c r="CH1327" i="12"/>
  <c r="AU1327" i="12"/>
  <c r="CK1326" i="12"/>
  <c r="CJ1326" i="12"/>
  <c r="CH1326" i="12"/>
  <c r="AU1326" i="12"/>
  <c r="CK1325" i="12"/>
  <c r="CJ1325" i="12"/>
  <c r="AW1325" i="12"/>
  <c r="AU1325" i="12"/>
  <c r="CK1324" i="12"/>
  <c r="CJ1324" i="12"/>
  <c r="CH1324" i="12"/>
  <c r="AU1324" i="12"/>
  <c r="CK1323" i="12"/>
  <c r="CJ1323" i="12"/>
  <c r="CH1323" i="12"/>
  <c r="AU1323" i="12"/>
  <c r="CK1322" i="12"/>
  <c r="CJ1322" i="12"/>
  <c r="CH1322" i="12"/>
  <c r="AU1322" i="12"/>
  <c r="CK1321" i="12"/>
  <c r="CJ1321" i="12"/>
  <c r="CH1321" i="12"/>
  <c r="AU1321" i="12"/>
  <c r="CK1320" i="12"/>
  <c r="CJ1320" i="12"/>
  <c r="CH1320" i="12"/>
  <c r="AU1320" i="12"/>
  <c r="CK1319" i="12"/>
  <c r="CJ1319" i="12"/>
  <c r="AW1319" i="12"/>
  <c r="CH1319" i="12" s="1"/>
  <c r="AU1319" i="12"/>
  <c r="CK1318" i="12"/>
  <c r="CJ1318" i="12"/>
  <c r="AW1318" i="12"/>
  <c r="CH1318" i="12" s="1"/>
  <c r="AU1318" i="12"/>
  <c r="CK1317" i="12"/>
  <c r="CJ1317" i="12"/>
  <c r="CH1317" i="12"/>
  <c r="AU1317" i="12"/>
  <c r="CK1316" i="12"/>
  <c r="CJ1316" i="12"/>
  <c r="CH1316" i="12"/>
  <c r="AU1316" i="12"/>
  <c r="CK1315" i="12"/>
  <c r="CJ1315" i="12"/>
  <c r="CH1315" i="12"/>
  <c r="AU1315" i="12"/>
  <c r="CK1314" i="12"/>
  <c r="CJ1314" i="12"/>
  <c r="AW1314" i="12"/>
  <c r="CH1314" i="12" s="1"/>
  <c r="AU1314" i="12"/>
  <c r="CK1313" i="12"/>
  <c r="CJ1313" i="12"/>
  <c r="CH1313" i="12"/>
  <c r="AU1313" i="12"/>
  <c r="CK1312" i="12"/>
  <c r="CJ1312" i="12"/>
  <c r="CH1312" i="12"/>
  <c r="AU1312" i="12"/>
  <c r="CK1311" i="12"/>
  <c r="CJ1311" i="12"/>
  <c r="CH1311" i="12"/>
  <c r="AU1311" i="12"/>
  <c r="CK1310" i="12"/>
  <c r="CJ1310" i="12"/>
  <c r="CH1310" i="12"/>
  <c r="AU1310" i="12"/>
  <c r="CK1309" i="12"/>
  <c r="CJ1309" i="12"/>
  <c r="CH1309" i="12"/>
  <c r="AU1309" i="12"/>
  <c r="CK1308" i="12"/>
  <c r="CJ1308" i="12"/>
  <c r="AW1308" i="12"/>
  <c r="CH1308" i="12" s="1"/>
  <c r="AU1308" i="12"/>
  <c r="CK1307" i="12"/>
  <c r="CJ1307" i="12"/>
  <c r="CH1307" i="12"/>
  <c r="AU1307" i="12"/>
  <c r="CK1306" i="12"/>
  <c r="CJ1306" i="12"/>
  <c r="CH1306" i="12"/>
  <c r="AU1306" i="12"/>
  <c r="CK1305" i="12"/>
  <c r="CJ1305" i="12"/>
  <c r="CH1305" i="12"/>
  <c r="AU1305" i="12"/>
  <c r="CK1304" i="12"/>
  <c r="CJ1304" i="12"/>
  <c r="CH1304" i="12"/>
  <c r="AU1304" i="12"/>
  <c r="CK1303" i="12"/>
  <c r="CJ1303" i="12"/>
  <c r="CH1303" i="12"/>
  <c r="AU1303" i="12"/>
  <c r="CK1302" i="12"/>
  <c r="CJ1302" i="12"/>
  <c r="CH1302" i="12"/>
  <c r="AU1302" i="12"/>
  <c r="CK1301" i="12"/>
  <c r="CJ1301" i="12"/>
  <c r="CH1301" i="12"/>
  <c r="AU1301" i="12"/>
  <c r="CK1300" i="12"/>
  <c r="CJ1300" i="12"/>
  <c r="CH1300" i="12"/>
  <c r="AU1300" i="12"/>
  <c r="CK1299" i="12"/>
  <c r="CJ1299" i="12"/>
  <c r="CH1299" i="12"/>
  <c r="AU1299" i="12"/>
  <c r="CK1298" i="12"/>
  <c r="CJ1298" i="12"/>
  <c r="CH1298" i="12"/>
  <c r="AU1298" i="12"/>
  <c r="G1298" i="12"/>
  <c r="CK1297" i="12"/>
  <c r="CJ1297" i="12"/>
  <c r="CH1297" i="12"/>
  <c r="AU1297" i="12"/>
  <c r="G1297" i="12"/>
  <c r="CK1296" i="12"/>
  <c r="CJ1296" i="12"/>
  <c r="CH1296" i="12"/>
  <c r="AU1296" i="12"/>
  <c r="CK1295" i="12"/>
  <c r="CJ1295" i="12"/>
  <c r="CH1295" i="12"/>
  <c r="AU1295" i="12"/>
  <c r="CK1294" i="12"/>
  <c r="CJ1294" i="12"/>
  <c r="CH1294" i="12"/>
  <c r="AU1294" i="12"/>
  <c r="CK1293" i="12"/>
  <c r="CJ1293" i="12"/>
  <c r="CH1293" i="12"/>
  <c r="AU1293" i="12"/>
  <c r="G1293" i="12"/>
  <c r="G1295" i="12" s="1"/>
  <c r="CK1292" i="12"/>
  <c r="CJ1292" i="12"/>
  <c r="CH1292" i="12"/>
  <c r="AU1292" i="12"/>
  <c r="CK1291" i="12"/>
  <c r="CJ1291" i="12"/>
  <c r="CH1291" i="12"/>
  <c r="AU1291" i="12"/>
  <c r="CK1290" i="12"/>
  <c r="CJ1290" i="12"/>
  <c r="CH1290" i="12"/>
  <c r="AU1290" i="12"/>
  <c r="CK1289" i="12"/>
  <c r="CJ1289" i="12"/>
  <c r="CH1289" i="12"/>
  <c r="AU1289" i="12"/>
  <c r="CK1288" i="12"/>
  <c r="CJ1288" i="12"/>
  <c r="AW1288" i="12"/>
  <c r="CH1288" i="12" s="1"/>
  <c r="AU1288" i="12"/>
  <c r="CK1287" i="12"/>
  <c r="CJ1287" i="12"/>
  <c r="AW1287" i="12"/>
  <c r="AU1287" i="12"/>
  <c r="CK1286" i="12"/>
  <c r="CJ1286" i="12"/>
  <c r="CH1286" i="12"/>
  <c r="AU1286" i="12"/>
  <c r="CM1285" i="12"/>
  <c r="CL1285" i="12"/>
  <c r="CG1285" i="12"/>
  <c r="CF1285" i="12"/>
  <c r="CE1285" i="12"/>
  <c r="CD1285" i="12"/>
  <c r="CC1285" i="12"/>
  <c r="CB1285" i="12"/>
  <c r="CA1285" i="12"/>
  <c r="BZ1285" i="12"/>
  <c r="BY1285" i="12"/>
  <c r="BX1285" i="12"/>
  <c r="BW1285" i="12"/>
  <c r="BV1285" i="12"/>
  <c r="BU1285" i="12"/>
  <c r="BT1285" i="12"/>
  <c r="BS1285" i="12"/>
  <c r="BR1285" i="12"/>
  <c r="BQ1285" i="12"/>
  <c r="BP1285" i="12"/>
  <c r="BO1285" i="12"/>
  <c r="BN1285" i="12"/>
  <c r="BL1285" i="12"/>
  <c r="BK1285" i="12"/>
  <c r="BJ1285" i="12"/>
  <c r="BH1285" i="12"/>
  <c r="BG1285" i="12"/>
  <c r="BF1285" i="12"/>
  <c r="BD1285" i="12"/>
  <c r="BC1285" i="12"/>
  <c r="BB1285" i="12"/>
  <c r="BA1285" i="12"/>
  <c r="AZ1285" i="12"/>
  <c r="AY1285" i="12"/>
  <c r="AV1285" i="12"/>
  <c r="AT1285" i="12"/>
  <c r="AS1285" i="12"/>
  <c r="AR1285" i="12"/>
  <c r="AQ1285" i="12"/>
  <c r="AP1285" i="12"/>
  <c r="AO1285" i="12"/>
  <c r="AN1285" i="12"/>
  <c r="AM1285" i="12"/>
  <c r="AL1285" i="12"/>
  <c r="AK1285" i="12"/>
  <c r="AJ1285" i="12"/>
  <c r="AI1285" i="12"/>
  <c r="AH1285" i="12"/>
  <c r="AG1285" i="12"/>
  <c r="AE1285" i="12"/>
  <c r="AD1285" i="12"/>
  <c r="AC1285" i="12"/>
  <c r="AB1285" i="12"/>
  <c r="AA1285" i="12"/>
  <c r="Z1285" i="12"/>
  <c r="Y1285" i="12"/>
  <c r="X1285" i="12"/>
  <c r="W1285" i="12"/>
  <c r="V1285" i="12"/>
  <c r="U1285" i="12"/>
  <c r="T1285" i="12"/>
  <c r="S1285" i="12"/>
  <c r="R1285" i="12"/>
  <c r="Q1285" i="12"/>
  <c r="P1285" i="12"/>
  <c r="O1285" i="12"/>
  <c r="N1285" i="12"/>
  <c r="M1285" i="12"/>
  <c r="L1285" i="12"/>
  <c r="K1285" i="12"/>
  <c r="J1285" i="12"/>
  <c r="I1285" i="12"/>
  <c r="CK1284" i="12"/>
  <c r="CJ1284" i="12"/>
  <c r="CH1284" i="12"/>
  <c r="AU1284" i="12"/>
  <c r="CK1283" i="12"/>
  <c r="CJ1283" i="12"/>
  <c r="CH1283" i="12"/>
  <c r="AU1283" i="12"/>
  <c r="CK1282" i="12"/>
  <c r="CJ1282" i="12"/>
  <c r="CH1282" i="12"/>
  <c r="AU1282" i="12"/>
  <c r="CK1281" i="12"/>
  <c r="CJ1281" i="12"/>
  <c r="CH1281" i="12"/>
  <c r="AU1281" i="12"/>
  <c r="CK1280" i="12"/>
  <c r="CJ1280" i="12"/>
  <c r="CH1280" i="12"/>
  <c r="AU1280" i="12"/>
  <c r="CK1279" i="12"/>
  <c r="CJ1279" i="12"/>
  <c r="BM1279" i="12"/>
  <c r="AW1279" i="12"/>
  <c r="AU1279" i="12"/>
  <c r="CK1278" i="12"/>
  <c r="CJ1278" i="12"/>
  <c r="CH1278" i="12"/>
  <c r="AU1278" i="12"/>
  <c r="CK1277" i="12"/>
  <c r="CJ1277" i="12"/>
  <c r="CH1277" i="12"/>
  <c r="AU1277" i="12"/>
  <c r="CK1276" i="12"/>
  <c r="CJ1276" i="12"/>
  <c r="CH1276" i="12"/>
  <c r="AU1276" i="12"/>
  <c r="CK1275" i="12"/>
  <c r="CJ1275" i="12"/>
  <c r="BM1275" i="12"/>
  <c r="CH1275" i="12" s="1"/>
  <c r="AU1275" i="12"/>
  <c r="CK1274" i="12"/>
  <c r="CJ1274" i="12"/>
  <c r="AW1274" i="12"/>
  <c r="CH1274" i="12" s="1"/>
  <c r="AU1274" i="12"/>
  <c r="CK1273" i="12"/>
  <c r="CJ1273" i="12"/>
  <c r="CH1273" i="12"/>
  <c r="AU1273" i="12"/>
  <c r="CK1272" i="12"/>
  <c r="CJ1272" i="12"/>
  <c r="BM1272" i="12"/>
  <c r="CH1272" i="12" s="1"/>
  <c r="AU1272" i="12"/>
  <c r="G1272" i="12"/>
  <c r="CK1271" i="12"/>
  <c r="CJ1271" i="12"/>
  <c r="BM1271" i="12"/>
  <c r="CH1271" i="12" s="1"/>
  <c r="AU1271" i="12"/>
  <c r="CK1270" i="12"/>
  <c r="CJ1270" i="12"/>
  <c r="CH1270" i="12"/>
  <c r="AU1270" i="12"/>
  <c r="CK1269" i="12"/>
  <c r="CJ1269" i="12"/>
  <c r="BM1269" i="12"/>
  <c r="AW1269" i="12"/>
  <c r="AU1269" i="12"/>
  <c r="CK1268" i="12"/>
  <c r="CJ1268" i="12"/>
  <c r="BM1268" i="12"/>
  <c r="CH1268" i="12" s="1"/>
  <c r="AU1268" i="12"/>
  <c r="CK1267" i="12"/>
  <c r="CJ1267" i="12"/>
  <c r="BM1267" i="12"/>
  <c r="CH1267" i="12" s="1"/>
  <c r="AU1267" i="12"/>
  <c r="CK1266" i="12"/>
  <c r="CJ1266" i="12"/>
  <c r="CH1266" i="12"/>
  <c r="AU1266" i="12"/>
  <c r="CK1265" i="12"/>
  <c r="CJ1265" i="12"/>
  <c r="BM1265" i="12"/>
  <c r="AW1265" i="12"/>
  <c r="AU1265" i="12"/>
  <c r="CK1264" i="12"/>
  <c r="CJ1264" i="12"/>
  <c r="CH1264" i="12"/>
  <c r="AU1264" i="12"/>
  <c r="CK1263" i="12"/>
  <c r="CJ1263" i="12"/>
  <c r="AW1263" i="12"/>
  <c r="CH1263" i="12" s="1"/>
  <c r="AU1263" i="12"/>
  <c r="CK1262" i="12"/>
  <c r="CJ1262" i="12"/>
  <c r="AW1262" i="12"/>
  <c r="CH1262" i="12" s="1"/>
  <c r="AU1262" i="12"/>
  <c r="CK1261" i="12"/>
  <c r="CJ1261" i="12"/>
  <c r="AW1261" i="12"/>
  <c r="CH1261" i="12" s="1"/>
  <c r="AU1261" i="12"/>
  <c r="CK1260" i="12"/>
  <c r="CJ1260" i="12"/>
  <c r="CH1260" i="12"/>
  <c r="AU1260" i="12"/>
  <c r="CK1259" i="12"/>
  <c r="CJ1259" i="12"/>
  <c r="CH1259" i="12"/>
  <c r="AU1259" i="12"/>
  <c r="CK1258" i="12"/>
  <c r="CJ1258" i="12"/>
  <c r="CH1258" i="12"/>
  <c r="AU1258" i="12"/>
  <c r="CK1257" i="12"/>
  <c r="CJ1257" i="12"/>
  <c r="CH1257" i="12"/>
  <c r="AU1257" i="12"/>
  <c r="CK1256" i="12"/>
  <c r="CJ1256" i="12"/>
  <c r="CH1256" i="12"/>
  <c r="AU1256" i="12"/>
  <c r="CK1255" i="12"/>
  <c r="CJ1255" i="12"/>
  <c r="CH1255" i="12"/>
  <c r="AU1255" i="12"/>
  <c r="CK1254" i="12"/>
  <c r="CJ1254" i="12"/>
  <c r="CH1254" i="12"/>
  <c r="AU1254" i="12"/>
  <c r="CK1253" i="12"/>
  <c r="CJ1253" i="12"/>
  <c r="CH1253" i="12"/>
  <c r="AU1253" i="12"/>
  <c r="CK1252" i="12"/>
  <c r="CJ1252" i="12"/>
  <c r="CH1252" i="12"/>
  <c r="AU1252" i="12"/>
  <c r="CK1251" i="12"/>
  <c r="CJ1251" i="12"/>
  <c r="CH1251" i="12"/>
  <c r="AU1251" i="12"/>
  <c r="CK1250" i="12"/>
  <c r="CJ1250" i="12"/>
  <c r="CH1250" i="12"/>
  <c r="AU1250" i="12"/>
  <c r="CK1249" i="12"/>
  <c r="CJ1249" i="12"/>
  <c r="CH1249" i="12"/>
  <c r="AU1249" i="12"/>
  <c r="CK1248" i="12"/>
  <c r="CJ1248" i="12"/>
  <c r="CH1248" i="12"/>
  <c r="AU1248" i="12"/>
  <c r="CK1247" i="12"/>
  <c r="CJ1247" i="12"/>
  <c r="CH1247" i="12"/>
  <c r="AU1247" i="12"/>
  <c r="CK1246" i="12"/>
  <c r="CJ1246" i="12"/>
  <c r="CH1246" i="12"/>
  <c r="AU1246" i="12"/>
  <c r="CK1245" i="12"/>
  <c r="CJ1245" i="12"/>
  <c r="CH1245" i="12"/>
  <c r="AU1245" i="12"/>
  <c r="CK1244" i="12"/>
  <c r="CJ1244" i="12"/>
  <c r="CH1244" i="12"/>
  <c r="AU1244" i="12"/>
  <c r="CK1243" i="12"/>
  <c r="CJ1243" i="12"/>
  <c r="CH1243" i="12"/>
  <c r="AU1243" i="12"/>
  <c r="CK1242" i="12"/>
  <c r="CJ1242" i="12"/>
  <c r="CH1242" i="12"/>
  <c r="AU1242" i="12"/>
  <c r="CK1241" i="12"/>
  <c r="CJ1241" i="12"/>
  <c r="CH1241" i="12"/>
  <c r="AU1241" i="12"/>
  <c r="CK1240" i="12"/>
  <c r="CJ1240" i="12"/>
  <c r="CH1240" i="12"/>
  <c r="AU1240" i="12"/>
  <c r="CK1239" i="12"/>
  <c r="CJ1239" i="12"/>
  <c r="CH1239" i="12"/>
  <c r="AU1239" i="12"/>
  <c r="CK1238" i="12"/>
  <c r="CJ1238" i="12"/>
  <c r="CH1238" i="12"/>
  <c r="AU1238" i="12"/>
  <c r="CK1237" i="12"/>
  <c r="CJ1237" i="12"/>
  <c r="CH1237" i="12"/>
  <c r="AU1237" i="12"/>
  <c r="CK1236" i="12"/>
  <c r="CJ1236" i="12"/>
  <c r="CH1236" i="12"/>
  <c r="AU1236" i="12"/>
  <c r="CK1235" i="12"/>
  <c r="CJ1235" i="12"/>
  <c r="CH1235" i="12"/>
  <c r="AU1235" i="12"/>
  <c r="CK1234" i="12"/>
  <c r="CJ1234" i="12"/>
  <c r="CH1234" i="12"/>
  <c r="AU1234" i="12"/>
  <c r="CK1233" i="12"/>
  <c r="CJ1233" i="12"/>
  <c r="CH1233" i="12"/>
  <c r="AU1233" i="12"/>
  <c r="CK1232" i="12"/>
  <c r="CJ1232" i="12"/>
  <c r="CH1232" i="12"/>
  <c r="AU1232" i="12"/>
  <c r="CK1231" i="12"/>
  <c r="CJ1231" i="12"/>
  <c r="CH1231" i="12"/>
  <c r="AU1231" i="12"/>
  <c r="CK1230" i="12"/>
  <c r="CJ1230" i="12"/>
  <c r="CH1230" i="12"/>
  <c r="AU1230" i="12"/>
  <c r="CK1229" i="12"/>
  <c r="CJ1229" i="12"/>
  <c r="CH1229" i="12"/>
  <c r="AU1229" i="12"/>
  <c r="CK1228" i="12"/>
  <c r="CJ1228" i="12"/>
  <c r="CH1228" i="12"/>
  <c r="AU1228" i="12"/>
  <c r="CK1227" i="12"/>
  <c r="CJ1227" i="12"/>
  <c r="CH1227" i="12"/>
  <c r="AU1227" i="12"/>
  <c r="CK1226" i="12"/>
  <c r="CJ1226" i="12"/>
  <c r="CH1226" i="12"/>
  <c r="AU1226" i="12"/>
  <c r="CK1225" i="12"/>
  <c r="CJ1225" i="12"/>
  <c r="CH1225" i="12"/>
  <c r="AU1225" i="12"/>
  <c r="CK1224" i="12"/>
  <c r="CJ1224" i="12"/>
  <c r="CH1224" i="12"/>
  <c r="AU1224" i="12"/>
  <c r="CK1223" i="12"/>
  <c r="CJ1223" i="12"/>
  <c r="CH1223" i="12"/>
  <c r="AU1223" i="12"/>
  <c r="G1223" i="12"/>
  <c r="G1224" i="12" s="1"/>
  <c r="G1225" i="12" s="1"/>
  <c r="G1226" i="12" s="1"/>
  <c r="G1227" i="12" s="1"/>
  <c r="G1228" i="12" s="1"/>
  <c r="G1229" i="12" s="1"/>
  <c r="G1230" i="12" s="1"/>
  <c r="G1231" i="12" s="1"/>
  <c r="G1232" i="12" s="1"/>
  <c r="G1233" i="12" s="1"/>
  <c r="G1234" i="12" s="1"/>
  <c r="G1235" i="12" s="1"/>
  <c r="G1236" i="12" s="1"/>
  <c r="G1237" i="12" s="1"/>
  <c r="G1238" i="12" s="1"/>
  <c r="G1239" i="12" s="1"/>
  <c r="G1240" i="12" s="1"/>
  <c r="G1241" i="12" s="1"/>
  <c r="G1242" i="12" s="1"/>
  <c r="G1243" i="12" s="1"/>
  <c r="G1244" i="12" s="1"/>
  <c r="G1245" i="12" s="1"/>
  <c r="G1246" i="12" s="1"/>
  <c r="G1247" i="12" s="1"/>
  <c r="G1248" i="12" s="1"/>
  <c r="G1249" i="12" s="1"/>
  <c r="G1250" i="12" s="1"/>
  <c r="G1251" i="12" s="1"/>
  <c r="G1252" i="12" s="1"/>
  <c r="G1253" i="12" s="1"/>
  <c r="G1254" i="12" s="1"/>
  <c r="G1255" i="12" s="1"/>
  <c r="G1256" i="12" s="1"/>
  <c r="CK1222" i="12"/>
  <c r="CJ1222" i="12"/>
  <c r="CH1222" i="12"/>
  <c r="AU1222" i="12"/>
  <c r="CK1221" i="12"/>
  <c r="CJ1221" i="12"/>
  <c r="AW1221" i="12"/>
  <c r="AX1221" i="12" s="1"/>
  <c r="CH1221" i="12" s="1"/>
  <c r="AU1221" i="12"/>
  <c r="G1221" i="12"/>
  <c r="G1222" i="12" s="1"/>
  <c r="CK1220" i="12"/>
  <c r="CJ1220" i="12"/>
  <c r="CH1220" i="12"/>
  <c r="AU1220" i="12"/>
  <c r="CK1219" i="12"/>
  <c r="CJ1219" i="12"/>
  <c r="CH1219" i="12"/>
  <c r="AU1219" i="12"/>
  <c r="CK1218" i="12"/>
  <c r="CJ1218" i="12"/>
  <c r="CH1218" i="12"/>
  <c r="AU1218" i="12"/>
  <c r="CK1217" i="12"/>
  <c r="CJ1217" i="12"/>
  <c r="CH1217" i="12"/>
  <c r="AU1217" i="12"/>
  <c r="CK1216" i="12"/>
  <c r="CJ1216" i="12"/>
  <c r="CH1216" i="12"/>
  <c r="AU1216" i="12"/>
  <c r="CK1215" i="12"/>
  <c r="CJ1215" i="12"/>
  <c r="CH1215" i="12"/>
  <c r="AU1215" i="12"/>
  <c r="CK1214" i="12"/>
  <c r="CJ1214" i="12"/>
  <c r="CH1214" i="12"/>
  <c r="AU1214" i="12"/>
  <c r="CK1213" i="12"/>
  <c r="CJ1213" i="12"/>
  <c r="CH1213" i="12"/>
  <c r="AU1213" i="12"/>
  <c r="CK1212" i="12"/>
  <c r="CJ1212" i="12"/>
  <c r="CH1212" i="12"/>
  <c r="AU1212" i="12"/>
  <c r="CK1211" i="12"/>
  <c r="CJ1211" i="12"/>
  <c r="CH1211" i="12"/>
  <c r="AU1211" i="12"/>
  <c r="CK1210" i="12"/>
  <c r="CJ1210" i="12"/>
  <c r="CH1210" i="12"/>
  <c r="AU1210" i="12"/>
  <c r="CK1209" i="12"/>
  <c r="CJ1209" i="12"/>
  <c r="CH1209" i="12"/>
  <c r="AU1209" i="12"/>
  <c r="CK1208" i="12"/>
  <c r="CJ1208" i="12"/>
  <c r="CH1208" i="12"/>
  <c r="AU1208" i="12"/>
  <c r="CK1207" i="12"/>
  <c r="CJ1207" i="12"/>
  <c r="CH1207" i="12"/>
  <c r="AU1207" i="12"/>
  <c r="CK1206" i="12"/>
  <c r="CJ1206" i="12"/>
  <c r="CH1206" i="12"/>
  <c r="AU1206" i="12"/>
  <c r="CK1205" i="12"/>
  <c r="CJ1205" i="12"/>
  <c r="AW1205" i="12"/>
  <c r="AX1205" i="12" s="1"/>
  <c r="AU1205" i="12"/>
  <c r="CK1204" i="12"/>
  <c r="CJ1204" i="12"/>
  <c r="CH1204" i="12"/>
  <c r="AU1204" i="12"/>
  <c r="CK1203" i="12"/>
  <c r="CJ1203" i="12"/>
  <c r="CH1203" i="12"/>
  <c r="AU1203" i="12"/>
  <c r="CK1202" i="12"/>
  <c r="CJ1202" i="12"/>
  <c r="CH1202" i="12"/>
  <c r="AU1202" i="12"/>
  <c r="CK1201" i="12"/>
  <c r="CJ1201" i="12"/>
  <c r="CH1201" i="12"/>
  <c r="AU1201" i="12"/>
  <c r="CK1200" i="12"/>
  <c r="CJ1200" i="12"/>
  <c r="CH1200" i="12"/>
  <c r="AU1200" i="12"/>
  <c r="CK1199" i="12"/>
  <c r="CJ1199" i="12"/>
  <c r="CH1199" i="12"/>
  <c r="AU1199" i="12"/>
  <c r="CK1198" i="12"/>
  <c r="CJ1198" i="12"/>
  <c r="CH1198" i="12"/>
  <c r="AU1198" i="12"/>
  <c r="CK1197" i="12"/>
  <c r="CJ1197" i="12"/>
  <c r="AW1197" i="12"/>
  <c r="CH1197" i="12" s="1"/>
  <c r="AU1197" i="12"/>
  <c r="CK1196" i="12"/>
  <c r="CJ1196" i="12"/>
  <c r="CH1196" i="12"/>
  <c r="AU1196" i="12"/>
  <c r="G1196" i="12"/>
  <c r="CK1195" i="12"/>
  <c r="CJ1195" i="12"/>
  <c r="CH1195" i="12"/>
  <c r="AU1195" i="12"/>
  <c r="CK1194" i="12"/>
  <c r="CJ1194" i="12"/>
  <c r="CH1194" i="12"/>
  <c r="AU1194" i="12"/>
  <c r="CK1193" i="12"/>
  <c r="CJ1193" i="12"/>
  <c r="CH1193" i="12"/>
  <c r="AU1193" i="12"/>
  <c r="CK1192" i="12"/>
  <c r="CJ1192" i="12"/>
  <c r="AW1192" i="12"/>
  <c r="CH1192" i="12" s="1"/>
  <c r="AU1192" i="12"/>
  <c r="CK1191" i="12"/>
  <c r="CJ1191" i="12"/>
  <c r="CH1191" i="12"/>
  <c r="AU1191" i="12"/>
  <c r="CK1190" i="12"/>
  <c r="CJ1190" i="12"/>
  <c r="CH1190" i="12"/>
  <c r="AU1190" i="12"/>
  <c r="CK1189" i="12"/>
  <c r="CJ1189" i="12"/>
  <c r="CH1189" i="12"/>
  <c r="AU1189" i="12"/>
  <c r="CK1188" i="12"/>
  <c r="CJ1188" i="12"/>
  <c r="CH1188" i="12"/>
  <c r="AU1188" i="12"/>
  <c r="CK1187" i="12"/>
  <c r="CJ1187" i="12"/>
  <c r="AW1187" i="12"/>
  <c r="CH1187" i="12" s="1"/>
  <c r="AU1187" i="12"/>
  <c r="G1187" i="12"/>
  <c r="CK1186" i="12"/>
  <c r="CJ1186" i="12"/>
  <c r="CH1186" i="12"/>
  <c r="AU1186" i="12"/>
  <c r="CK1185" i="12"/>
  <c r="CJ1185" i="12"/>
  <c r="CH1185" i="12"/>
  <c r="AU1185" i="12"/>
  <c r="CK1184" i="12"/>
  <c r="CJ1184" i="12"/>
  <c r="CH1184" i="12"/>
  <c r="AU1184" i="12"/>
  <c r="CK1183" i="12"/>
  <c r="CJ1183" i="12"/>
  <c r="AW1183" i="12"/>
  <c r="CH1183" i="12" s="1"/>
  <c r="AU1183" i="12"/>
  <c r="CK1182" i="12"/>
  <c r="CJ1182" i="12"/>
  <c r="CH1182" i="12"/>
  <c r="AU1182" i="12"/>
  <c r="CK1181" i="12"/>
  <c r="CJ1181" i="12"/>
  <c r="CH1181" i="12"/>
  <c r="AU1181" i="12"/>
  <c r="CK1180" i="12"/>
  <c r="CJ1180" i="12"/>
  <c r="CH1180" i="12"/>
  <c r="AU1180" i="12"/>
  <c r="CK1179" i="12"/>
  <c r="CJ1179" i="12"/>
  <c r="CH1179" i="12"/>
  <c r="AU1179" i="12"/>
  <c r="CK1178" i="12"/>
  <c r="CJ1178" i="12"/>
  <c r="AW1178" i="12"/>
  <c r="CH1178" i="12" s="1"/>
  <c r="AU1178" i="12"/>
  <c r="CK1177" i="12"/>
  <c r="CJ1177" i="12"/>
  <c r="CH1177" i="12"/>
  <c r="AU1177" i="12"/>
  <c r="CK1176" i="12"/>
  <c r="CJ1176" i="12"/>
  <c r="CH1176" i="12"/>
  <c r="AU1176" i="12"/>
  <c r="CK1175" i="12"/>
  <c r="CJ1175" i="12"/>
  <c r="CH1175" i="12"/>
  <c r="AU1175" i="12"/>
  <c r="CK1174" i="12"/>
  <c r="CJ1174" i="12"/>
  <c r="CH1174" i="12"/>
  <c r="AU1174" i="12"/>
  <c r="CK1173" i="12"/>
  <c r="CJ1173" i="12"/>
  <c r="CH1173" i="12"/>
  <c r="AU1173" i="12"/>
  <c r="CK1172" i="12"/>
  <c r="CJ1172" i="12"/>
  <c r="CH1172" i="12"/>
  <c r="AU1172" i="12"/>
  <c r="CK1171" i="12"/>
  <c r="CJ1171" i="12"/>
  <c r="CH1171" i="12"/>
  <c r="AU1171" i="12"/>
  <c r="CK1170" i="12"/>
  <c r="CJ1170" i="12"/>
  <c r="CH1170" i="12"/>
  <c r="AU1170" i="12"/>
  <c r="CK1169" i="12"/>
  <c r="CJ1169" i="12"/>
  <c r="CH1169" i="12"/>
  <c r="AU1169" i="12"/>
  <c r="CK1168" i="12"/>
  <c r="CJ1168" i="12"/>
  <c r="CH1168" i="12"/>
  <c r="AU1168" i="12"/>
  <c r="CK1167" i="12"/>
  <c r="CJ1167" i="12"/>
  <c r="CH1167" i="12"/>
  <c r="AU1167" i="12"/>
  <c r="CK1166" i="12"/>
  <c r="CJ1166" i="12"/>
  <c r="CH1166" i="12"/>
  <c r="AU1166" i="12"/>
  <c r="G1166" i="12"/>
  <c r="G1167" i="12" s="1"/>
  <c r="G1168" i="12" s="1"/>
  <c r="G1169" i="12" s="1"/>
  <c r="G1170" i="12" s="1"/>
  <c r="CK1165" i="12"/>
  <c r="CJ1165" i="12"/>
  <c r="CH1165" i="12"/>
  <c r="AU1165" i="12"/>
  <c r="CK1164" i="12"/>
  <c r="CJ1164" i="12"/>
  <c r="CH1164" i="12"/>
  <c r="AU1164" i="12"/>
  <c r="CK1163" i="12"/>
  <c r="CJ1163" i="12"/>
  <c r="CH1163" i="12"/>
  <c r="AU1163" i="12"/>
  <c r="CK1162" i="12"/>
  <c r="CJ1162" i="12"/>
  <c r="CH1162" i="12"/>
  <c r="AU1162" i="12"/>
  <c r="CK1161" i="12"/>
  <c r="CJ1161" i="12"/>
  <c r="CH1161" i="12"/>
  <c r="AU1161" i="12"/>
  <c r="CK1160" i="12"/>
  <c r="CJ1160" i="12"/>
  <c r="CH1160" i="12"/>
  <c r="AU1160" i="12"/>
  <c r="CK1159" i="12"/>
  <c r="CJ1159" i="12"/>
  <c r="CH1159" i="12"/>
  <c r="AU1159" i="12"/>
  <c r="CK1158" i="12"/>
  <c r="CJ1158" i="12"/>
  <c r="CH1158" i="12"/>
  <c r="AU1158" i="12"/>
  <c r="CK1157" i="12"/>
  <c r="CJ1157" i="12"/>
  <c r="CH1157" i="12"/>
  <c r="AU1157" i="12"/>
  <c r="CK1156" i="12"/>
  <c r="CJ1156" i="12"/>
  <c r="CH1156" i="12"/>
  <c r="AU1156" i="12"/>
  <c r="CK1155" i="12"/>
  <c r="CJ1155" i="12"/>
  <c r="CH1155" i="12"/>
  <c r="AU1155" i="12"/>
  <c r="CK1154" i="12"/>
  <c r="CJ1154" i="12"/>
  <c r="CH1154" i="12"/>
  <c r="AU1154" i="12"/>
  <c r="CK1153" i="12"/>
  <c r="CJ1153" i="12"/>
  <c r="CH1153" i="12"/>
  <c r="AU1153" i="12"/>
  <c r="CK1152" i="12"/>
  <c r="CJ1152" i="12"/>
  <c r="CH1152" i="12"/>
  <c r="AU1152" i="12"/>
  <c r="CK1151" i="12"/>
  <c r="CJ1151" i="12"/>
  <c r="CH1151" i="12"/>
  <c r="AU1151" i="12"/>
  <c r="CK1150" i="12"/>
  <c r="CJ1150" i="12"/>
  <c r="CH1150" i="12"/>
  <c r="AU1150" i="12"/>
  <c r="CK1149" i="12"/>
  <c r="CJ1149" i="12"/>
  <c r="AW1149" i="12"/>
  <c r="AU1149" i="12"/>
  <c r="CK1148" i="12"/>
  <c r="CJ1148" i="12"/>
  <c r="CH1148" i="12"/>
  <c r="AU1148" i="12"/>
  <c r="CK1147" i="12"/>
  <c r="CJ1147" i="12"/>
  <c r="CH1147" i="12"/>
  <c r="AU1147" i="12"/>
  <c r="CK1146" i="12"/>
  <c r="CJ1146" i="12"/>
  <c r="CH1146" i="12"/>
  <c r="AU1146" i="12"/>
  <c r="CK1145" i="12"/>
  <c r="CJ1145" i="12"/>
  <c r="CH1145" i="12"/>
  <c r="AU1145" i="12"/>
  <c r="CK1144" i="12"/>
  <c r="CJ1144" i="12"/>
  <c r="CH1144" i="12"/>
  <c r="AU1144" i="12"/>
  <c r="CK1143" i="12"/>
  <c r="CJ1143" i="12"/>
  <c r="CH1143" i="12"/>
  <c r="AU1143" i="12"/>
  <c r="CK1142" i="12"/>
  <c r="CJ1142" i="12"/>
  <c r="AW1142" i="12"/>
  <c r="AU1142" i="12"/>
  <c r="CK1141" i="12"/>
  <c r="CJ1141" i="12"/>
  <c r="CH1141" i="12"/>
  <c r="AU1141" i="12"/>
  <c r="CK1140" i="12"/>
  <c r="CJ1140" i="12"/>
  <c r="CH1140" i="12"/>
  <c r="AU1140" i="12"/>
  <c r="CK1139" i="12"/>
  <c r="CJ1139" i="12"/>
  <c r="CH1139" i="12"/>
  <c r="AU1139" i="12"/>
  <c r="CK1138" i="12"/>
  <c r="CJ1138" i="12"/>
  <c r="CH1138" i="12"/>
  <c r="AU1138" i="12"/>
  <c r="CK1137" i="12"/>
  <c r="CJ1137" i="12"/>
  <c r="AW1137" i="12"/>
  <c r="AX1137" i="12" s="1"/>
  <c r="CH1137" i="12" s="1"/>
  <c r="AU1137" i="12"/>
  <c r="CK1136" i="12"/>
  <c r="CJ1136" i="12"/>
  <c r="CH1136" i="12"/>
  <c r="AU1136" i="12"/>
  <c r="CK1135" i="12"/>
  <c r="CJ1135" i="12"/>
  <c r="CH1135" i="12"/>
  <c r="AU1135" i="12"/>
  <c r="CK1134" i="12"/>
  <c r="CJ1134" i="12"/>
  <c r="CH1134" i="12"/>
  <c r="AU1134" i="12"/>
  <c r="CK1133" i="12"/>
  <c r="CJ1133" i="12"/>
  <c r="CH1133" i="12"/>
  <c r="AU1133" i="12"/>
  <c r="CK1132" i="12"/>
  <c r="CJ1132" i="12"/>
  <c r="CH1132" i="12"/>
  <c r="AU1132" i="12"/>
  <c r="CK1131" i="12"/>
  <c r="CJ1131" i="12"/>
  <c r="CH1131" i="12"/>
  <c r="AU1131" i="12"/>
  <c r="CK1130" i="12"/>
  <c r="CJ1130" i="12"/>
  <c r="CH1130" i="12"/>
  <c r="AU1130" i="12"/>
  <c r="CK1129" i="12"/>
  <c r="CJ1129" i="12"/>
  <c r="AW1129" i="12"/>
  <c r="AX1129" i="12" s="1"/>
  <c r="AU1129" i="12"/>
  <c r="CK1128" i="12"/>
  <c r="CJ1128" i="12"/>
  <c r="CH1128" i="12"/>
  <c r="AU1128" i="12"/>
  <c r="CK1127" i="12"/>
  <c r="CJ1127" i="12"/>
  <c r="CH1127" i="12"/>
  <c r="AU1127" i="12"/>
  <c r="CK1126" i="12"/>
  <c r="CJ1126" i="12"/>
  <c r="CH1126" i="12"/>
  <c r="AU1126" i="12"/>
  <c r="G1126" i="12"/>
  <c r="G1127" i="12" s="1"/>
  <c r="CK1125" i="12"/>
  <c r="CJ1125" i="12"/>
  <c r="CH1125" i="12"/>
  <c r="AU1125" i="12"/>
  <c r="G1125" i="12"/>
  <c r="CK1124" i="12"/>
  <c r="CJ1124" i="12"/>
  <c r="CH1124" i="12"/>
  <c r="AU1124" i="12"/>
  <c r="CK1123" i="12"/>
  <c r="CJ1123" i="12"/>
  <c r="CH1123" i="12"/>
  <c r="AU1123" i="12"/>
  <c r="CK1122" i="12"/>
  <c r="CJ1122" i="12"/>
  <c r="CH1122" i="12"/>
  <c r="AU1122" i="12"/>
  <c r="CK1121" i="12"/>
  <c r="CJ1121" i="12"/>
  <c r="CH1121" i="12"/>
  <c r="AU1121" i="12"/>
  <c r="CK1120" i="12"/>
  <c r="CJ1120" i="12"/>
  <c r="CH1120" i="12"/>
  <c r="AU1120" i="12"/>
  <c r="CK1119" i="12"/>
  <c r="CJ1119" i="12"/>
  <c r="CH1119" i="12"/>
  <c r="AU1119" i="12"/>
  <c r="CK1118" i="12"/>
  <c r="CJ1118" i="12"/>
  <c r="CH1118" i="12"/>
  <c r="AU1118" i="12"/>
  <c r="CK1117" i="12"/>
  <c r="CJ1117" i="12"/>
  <c r="CH1117" i="12"/>
  <c r="AU1117" i="12"/>
  <c r="CK1116" i="12"/>
  <c r="CJ1116" i="12"/>
  <c r="CH1116" i="12"/>
  <c r="AU1116" i="12"/>
  <c r="CK1115" i="12"/>
  <c r="CJ1115" i="12"/>
  <c r="CH1115" i="12"/>
  <c r="AU1115" i="12"/>
  <c r="CK1114" i="12"/>
  <c r="CJ1114" i="12"/>
  <c r="CH1114" i="12"/>
  <c r="AU1114" i="12"/>
  <c r="CK1113" i="12"/>
  <c r="CJ1113" i="12"/>
  <c r="CH1113" i="12"/>
  <c r="AU1113" i="12"/>
  <c r="CK1112" i="12"/>
  <c r="CJ1112" i="12"/>
  <c r="CH1112" i="12"/>
  <c r="AU1112" i="12"/>
  <c r="CK1111" i="12"/>
  <c r="CJ1111" i="12"/>
  <c r="CH1111" i="12"/>
  <c r="AU1111" i="12"/>
  <c r="CK1110" i="12"/>
  <c r="CJ1110" i="12"/>
  <c r="CH1110" i="12"/>
  <c r="AU1110" i="12"/>
  <c r="G1110" i="12"/>
  <c r="CK1109" i="12"/>
  <c r="CJ1109" i="12"/>
  <c r="CH1109" i="12"/>
  <c r="AU1109" i="12"/>
  <c r="CK1108" i="12"/>
  <c r="CJ1108" i="12"/>
  <c r="CH1108" i="12"/>
  <c r="AU1108" i="12"/>
  <c r="CK1107" i="12"/>
  <c r="CJ1107" i="12"/>
  <c r="CH1107" i="12"/>
  <c r="AU1107" i="12"/>
  <c r="CK1106" i="12"/>
  <c r="CJ1106" i="12"/>
  <c r="CH1106" i="12"/>
  <c r="AU1106" i="12"/>
  <c r="CK1105" i="12"/>
  <c r="CJ1105" i="12"/>
  <c r="CH1105" i="12"/>
  <c r="AU1105" i="12"/>
  <c r="CK1104" i="12"/>
  <c r="CJ1104" i="12"/>
  <c r="CH1104" i="12"/>
  <c r="AU1104" i="12"/>
  <c r="CK1103" i="12"/>
  <c r="CJ1103" i="12"/>
  <c r="CH1103" i="12"/>
  <c r="AU1103" i="12"/>
  <c r="CK1102" i="12"/>
  <c r="CJ1102" i="12"/>
  <c r="CH1102" i="12"/>
  <c r="AU1102" i="12"/>
  <c r="CK1101" i="12"/>
  <c r="CJ1101" i="12"/>
  <c r="CH1101" i="12"/>
  <c r="AU1101" i="12"/>
  <c r="CK1100" i="12"/>
  <c r="CJ1100" i="12"/>
  <c r="CH1100" i="12"/>
  <c r="AU1100" i="12"/>
  <c r="CK1099" i="12"/>
  <c r="CJ1099" i="12"/>
  <c r="CH1099" i="12"/>
  <c r="AU1099" i="12"/>
  <c r="G1099" i="12"/>
  <c r="G1100" i="12" s="1"/>
  <c r="G1101" i="12" s="1"/>
  <c r="G1102" i="12" s="1"/>
  <c r="G1103" i="12" s="1"/>
  <c r="G1104" i="12" s="1"/>
  <c r="G1105" i="12" s="1"/>
  <c r="G1106" i="12" s="1"/>
  <c r="CK1098" i="12"/>
  <c r="CJ1098" i="12"/>
  <c r="CH1098" i="12"/>
  <c r="AU1098" i="12"/>
  <c r="CK1097" i="12"/>
  <c r="CJ1097" i="12"/>
  <c r="CH1097" i="12"/>
  <c r="AU1097" i="12"/>
  <c r="CK1096" i="12"/>
  <c r="CJ1096" i="12"/>
  <c r="CH1096" i="12"/>
  <c r="AU1096" i="12"/>
  <c r="G1096" i="12"/>
  <c r="CK1095" i="12"/>
  <c r="CJ1095" i="12"/>
  <c r="CH1095" i="12"/>
  <c r="AU1095" i="12"/>
  <c r="CK1094" i="12"/>
  <c r="CJ1094" i="12"/>
  <c r="CH1094" i="12"/>
  <c r="AU1094" i="12"/>
  <c r="CK1093" i="12"/>
  <c r="CJ1093" i="12"/>
  <c r="CH1093" i="12"/>
  <c r="AU1093" i="12"/>
  <c r="CK1092" i="12"/>
  <c r="CJ1092" i="12"/>
  <c r="CH1092" i="12"/>
  <c r="AU1092" i="12"/>
  <c r="CK1091" i="12"/>
  <c r="CJ1091" i="12"/>
  <c r="CH1091" i="12"/>
  <c r="AU1091" i="12"/>
  <c r="CK1090" i="12"/>
  <c r="CJ1090" i="12"/>
  <c r="AW1090" i="12"/>
  <c r="AU1090" i="12"/>
  <c r="CK1089" i="12"/>
  <c r="CJ1089" i="12"/>
  <c r="CH1089" i="12"/>
  <c r="AU1089" i="12"/>
  <c r="CK1088" i="12"/>
  <c r="CJ1088" i="12"/>
  <c r="CH1088" i="12"/>
  <c r="AU1088" i="12"/>
  <c r="CK1087" i="12"/>
  <c r="CJ1087" i="12"/>
  <c r="CH1087" i="12"/>
  <c r="AU1087" i="12"/>
  <c r="CK1086" i="12"/>
  <c r="CJ1086" i="12"/>
  <c r="CH1086" i="12"/>
  <c r="AU1086" i="12"/>
  <c r="CK1085" i="12"/>
  <c r="CJ1085" i="12"/>
  <c r="CH1085" i="12"/>
  <c r="AU1085" i="12"/>
  <c r="CK1084" i="12"/>
  <c r="CJ1084" i="12"/>
  <c r="CH1084" i="12"/>
  <c r="AU1084" i="12"/>
  <c r="CK1083" i="12"/>
  <c r="CJ1083" i="12"/>
  <c r="CH1083" i="12"/>
  <c r="AU1083" i="12"/>
  <c r="CK1082" i="12"/>
  <c r="CJ1082" i="12"/>
  <c r="CH1082" i="12"/>
  <c r="AU1082" i="12"/>
  <c r="CK1081" i="12"/>
  <c r="CJ1081" i="12"/>
  <c r="CH1081" i="12"/>
  <c r="AU1081" i="12"/>
  <c r="CK1080" i="12"/>
  <c r="CJ1080" i="12"/>
  <c r="CH1080" i="12"/>
  <c r="AU1080" i="12"/>
  <c r="CK1079" i="12"/>
  <c r="CJ1079" i="12"/>
  <c r="CH1079" i="12"/>
  <c r="AU1079" i="12"/>
  <c r="CK1078" i="12"/>
  <c r="CJ1078" i="12"/>
  <c r="CH1078" i="12"/>
  <c r="AU1078" i="12"/>
  <c r="CK1077" i="12"/>
  <c r="CJ1077" i="12"/>
  <c r="CH1077" i="12"/>
  <c r="AU1077" i="12"/>
  <c r="CK1076" i="12"/>
  <c r="CJ1076" i="12"/>
  <c r="CH1076" i="12"/>
  <c r="AU1076" i="12"/>
  <c r="CK1075" i="12"/>
  <c r="CJ1075" i="12"/>
  <c r="CH1075" i="12"/>
  <c r="AU1075" i="12"/>
  <c r="CK1074" i="12"/>
  <c r="CJ1074" i="12"/>
  <c r="CH1074" i="12"/>
  <c r="AU1074" i="12"/>
  <c r="CK1073" i="12"/>
  <c r="CJ1073" i="12"/>
  <c r="CH1073" i="12"/>
  <c r="AU1073" i="12"/>
  <c r="CK1072" i="12"/>
  <c r="CJ1072" i="12"/>
  <c r="CH1072" i="12"/>
  <c r="AU1072" i="12"/>
  <c r="CK1071" i="12"/>
  <c r="CJ1071" i="12"/>
  <c r="CH1071" i="12"/>
  <c r="AU1071" i="12"/>
  <c r="CK1069" i="12"/>
  <c r="CJ1069" i="12"/>
  <c r="CH1069" i="12"/>
  <c r="CH1070" i="12" s="1"/>
  <c r="AU1069" i="12"/>
  <c r="AU1070" i="12" s="1"/>
  <c r="CO1068" i="12"/>
  <c r="CN1068" i="12"/>
  <c r="CM1068" i="12"/>
  <c r="CL1068" i="12"/>
  <c r="CG1068" i="12"/>
  <c r="CF1068" i="12"/>
  <c r="CE1068" i="12"/>
  <c r="CD1068" i="12"/>
  <c r="CC1068" i="12"/>
  <c r="CB1068" i="12"/>
  <c r="CA1068" i="12"/>
  <c r="BZ1068" i="12"/>
  <c r="BY1068" i="12"/>
  <c r="BX1068" i="12"/>
  <c r="BW1068" i="12"/>
  <c r="BV1068" i="12"/>
  <c r="BU1068" i="12"/>
  <c r="BT1068" i="12"/>
  <c r="BS1068" i="12"/>
  <c r="BR1068" i="12"/>
  <c r="BQ1068" i="12"/>
  <c r="BP1068" i="12"/>
  <c r="BO1068" i="12"/>
  <c r="BN1068" i="12"/>
  <c r="BM1068" i="12"/>
  <c r="BL1068" i="12"/>
  <c r="BK1068" i="12"/>
  <c r="BJ1068" i="12"/>
  <c r="BH1068" i="12"/>
  <c r="BG1068" i="12"/>
  <c r="BF1068" i="12"/>
  <c r="BD1068" i="12"/>
  <c r="BC1068" i="12"/>
  <c r="BB1068" i="12"/>
  <c r="BA1068" i="12"/>
  <c r="AZ1068" i="12"/>
  <c r="AY1068" i="12"/>
  <c r="AV1068" i="12"/>
  <c r="AT1068" i="12"/>
  <c r="AS1068" i="12"/>
  <c r="AR1068" i="12"/>
  <c r="AQ1068" i="12"/>
  <c r="AP1068" i="12"/>
  <c r="AO1068" i="12"/>
  <c r="AN1068" i="12"/>
  <c r="AM1068" i="12"/>
  <c r="AL1068" i="12"/>
  <c r="AK1068" i="12"/>
  <c r="AJ1068" i="12"/>
  <c r="AI1068" i="12"/>
  <c r="AH1068" i="12"/>
  <c r="AG1068" i="12"/>
  <c r="AE1068" i="12"/>
  <c r="AD1068" i="12"/>
  <c r="AC1068" i="12"/>
  <c r="AB1068" i="12"/>
  <c r="AA1068" i="12"/>
  <c r="Z1068" i="12"/>
  <c r="Y1068" i="12"/>
  <c r="X1068" i="12"/>
  <c r="W1068" i="12"/>
  <c r="V1068" i="12"/>
  <c r="U1068" i="12"/>
  <c r="T1068" i="12"/>
  <c r="S1068" i="12"/>
  <c r="R1068" i="12"/>
  <c r="Q1068" i="12"/>
  <c r="P1068" i="12"/>
  <c r="O1068" i="12"/>
  <c r="N1068" i="12"/>
  <c r="M1068" i="12"/>
  <c r="L1068" i="12"/>
  <c r="K1068" i="12"/>
  <c r="J1068" i="12"/>
  <c r="I1068" i="12"/>
  <c r="CK1067" i="12"/>
  <c r="CJ1067" i="12"/>
  <c r="CH1067" i="12"/>
  <c r="AU1067" i="12"/>
  <c r="CK1066" i="12"/>
  <c r="CJ1066" i="12"/>
  <c r="CH1066" i="12"/>
  <c r="AU1066" i="12"/>
  <c r="CK1065" i="12"/>
  <c r="CJ1065" i="12"/>
  <c r="CH1065" i="12"/>
  <c r="AU1065" i="12"/>
  <c r="CK1064" i="12"/>
  <c r="CJ1064" i="12"/>
  <c r="AW1064" i="12"/>
  <c r="CH1064" i="12" s="1"/>
  <c r="AU1064" i="12"/>
  <c r="CK1063" i="12"/>
  <c r="CJ1063" i="12"/>
  <c r="CH1063" i="12"/>
  <c r="AU1063" i="12"/>
  <c r="CK1062" i="12"/>
  <c r="CJ1062" i="12"/>
  <c r="CH1062" i="12"/>
  <c r="AU1062" i="12"/>
  <c r="CK1061" i="12"/>
  <c r="CJ1061" i="12"/>
  <c r="CH1061" i="12"/>
  <c r="AU1061" i="12"/>
  <c r="CK1060" i="12"/>
  <c r="CJ1060" i="12"/>
  <c r="CH1060" i="12"/>
  <c r="AU1060" i="12"/>
  <c r="CK1059" i="12"/>
  <c r="CJ1059" i="12"/>
  <c r="CH1059" i="12"/>
  <c r="AU1059" i="12"/>
  <c r="CK1058" i="12"/>
  <c r="CJ1058" i="12"/>
  <c r="CH1058" i="12"/>
  <c r="AU1058" i="12"/>
  <c r="CK1057" i="12"/>
  <c r="CJ1057" i="12"/>
  <c r="CH1057" i="12"/>
  <c r="AU1057" i="12"/>
  <c r="CK1056" i="12"/>
  <c r="CJ1056" i="12"/>
  <c r="CH1056" i="12"/>
  <c r="AU1056" i="12"/>
  <c r="CK1055" i="12"/>
  <c r="CJ1055" i="12"/>
  <c r="CH1055" i="12"/>
  <c r="AU1055" i="12"/>
  <c r="CK1054" i="12"/>
  <c r="CJ1054" i="12"/>
  <c r="CH1054" i="12"/>
  <c r="AU1054" i="12"/>
  <c r="CK1053" i="12"/>
  <c r="CJ1053" i="12"/>
  <c r="AW1053" i="12"/>
  <c r="CH1053" i="12" s="1"/>
  <c r="AU1053" i="12"/>
  <c r="CK1052" i="12"/>
  <c r="CJ1052" i="12"/>
  <c r="CH1052" i="12"/>
  <c r="AU1052" i="12"/>
  <c r="CK1051" i="12"/>
  <c r="CJ1051" i="12"/>
  <c r="CH1051" i="12"/>
  <c r="AU1051" i="12"/>
  <c r="CK1050" i="12"/>
  <c r="CJ1050" i="12"/>
  <c r="CH1050" i="12"/>
  <c r="AU1050" i="12"/>
  <c r="CK1049" i="12"/>
  <c r="CJ1049" i="12"/>
  <c r="CH1049" i="12"/>
  <c r="AU1049" i="12"/>
  <c r="CK1048" i="12"/>
  <c r="CJ1048" i="12"/>
  <c r="CH1048" i="12"/>
  <c r="AU1048" i="12"/>
  <c r="CK1047" i="12"/>
  <c r="CJ1047" i="12"/>
  <c r="CH1047" i="12"/>
  <c r="AU1047" i="12"/>
  <c r="CK1046" i="12"/>
  <c r="CJ1046" i="12"/>
  <c r="CH1046" i="12"/>
  <c r="AU1046" i="12"/>
  <c r="CK1045" i="12"/>
  <c r="CJ1045" i="12"/>
  <c r="CH1045" i="12"/>
  <c r="AU1045" i="12"/>
  <c r="CK1044" i="12"/>
  <c r="CJ1044" i="12"/>
  <c r="AW1044" i="12"/>
  <c r="CH1044" i="12" s="1"/>
  <c r="AU1044" i="12"/>
  <c r="CK1043" i="12"/>
  <c r="CJ1043" i="12"/>
  <c r="CH1043" i="12"/>
  <c r="AU1043" i="12"/>
  <c r="CK1042" i="12"/>
  <c r="CJ1042" i="12"/>
  <c r="CH1042" i="12"/>
  <c r="AU1042" i="12"/>
  <c r="CK1041" i="12"/>
  <c r="CJ1041" i="12"/>
  <c r="CH1041" i="12"/>
  <c r="AU1041" i="12"/>
  <c r="CK1040" i="12"/>
  <c r="CJ1040" i="12"/>
  <c r="CH1040" i="12"/>
  <c r="AU1040" i="12"/>
  <c r="CK1039" i="12"/>
  <c r="CJ1039" i="12"/>
  <c r="CH1039" i="12"/>
  <c r="AU1039" i="12"/>
  <c r="CK1038" i="12"/>
  <c r="CJ1038" i="12"/>
  <c r="AW1038" i="12"/>
  <c r="CH1038" i="12" s="1"/>
  <c r="AU1038" i="12"/>
  <c r="CK1037" i="12"/>
  <c r="CJ1037" i="12"/>
  <c r="CH1037" i="12"/>
  <c r="AU1037" i="12"/>
  <c r="CK1036" i="12"/>
  <c r="CJ1036" i="12"/>
  <c r="CH1036" i="12"/>
  <c r="AU1036" i="12"/>
  <c r="CK1035" i="12"/>
  <c r="CJ1035" i="12"/>
  <c r="CH1035" i="12"/>
  <c r="AU1035" i="12"/>
  <c r="CK1034" i="12"/>
  <c r="CJ1034" i="12"/>
  <c r="CH1034" i="12"/>
  <c r="AU1034" i="12"/>
  <c r="CK1033" i="12"/>
  <c r="CJ1033" i="12"/>
  <c r="AX1033" i="12"/>
  <c r="AX1068" i="12" s="1"/>
  <c r="AW1033" i="12"/>
  <c r="AU1033" i="12"/>
  <c r="CK1032" i="12"/>
  <c r="CJ1032" i="12"/>
  <c r="CH1032" i="12"/>
  <c r="AU1032" i="12"/>
  <c r="CK1031" i="12"/>
  <c r="CJ1031" i="12"/>
  <c r="CH1031" i="12"/>
  <c r="AU1031" i="12"/>
  <c r="CK1030" i="12"/>
  <c r="CJ1030" i="12"/>
  <c r="CH1030" i="12"/>
  <c r="AU1030" i="12"/>
  <c r="CK1029" i="12"/>
  <c r="CJ1029" i="12"/>
  <c r="AW1029" i="12"/>
  <c r="AU1029" i="12"/>
  <c r="CK1028" i="12"/>
  <c r="CJ1028" i="12"/>
  <c r="CH1028" i="12"/>
  <c r="AU1028" i="12"/>
  <c r="G1028" i="12"/>
  <c r="G1029" i="12" s="1"/>
  <c r="G1036" i="12" s="1"/>
  <c r="G1038" i="12" s="1"/>
  <c r="G1041" i="12" s="1"/>
  <c r="G1042" i="12" s="1"/>
  <c r="G1044" i="12" s="1"/>
  <c r="G1051" i="12" s="1"/>
  <c r="G1053" i="12" s="1"/>
  <c r="G1055" i="12" s="1"/>
  <c r="G1056" i="12" s="1"/>
  <c r="G1064" i="12" s="1"/>
  <c r="G1066" i="12" s="1"/>
  <c r="CK1027" i="12"/>
  <c r="CJ1027" i="12"/>
  <c r="CH1027" i="12"/>
  <c r="AU1027" i="12"/>
  <c r="G1027" i="12"/>
  <c r="G1030" i="12" s="1"/>
  <c r="G1031" i="12" s="1"/>
  <c r="G1032" i="12" s="1"/>
  <c r="G1033" i="12" s="1"/>
  <c r="G1034" i="12" s="1"/>
  <c r="G1035" i="12" s="1"/>
  <c r="G1037" i="12" s="1"/>
  <c r="G1039" i="12" s="1"/>
  <c r="CK1026" i="12"/>
  <c r="CJ1026" i="12"/>
  <c r="CH1026" i="12"/>
  <c r="AU1026" i="12"/>
  <c r="CK1025" i="12"/>
  <c r="CJ1025" i="12"/>
  <c r="CH1025" i="12"/>
  <c r="AU1025" i="12"/>
  <c r="CK1024" i="12"/>
  <c r="CJ1024" i="12"/>
  <c r="CH1024" i="12"/>
  <c r="AU1024" i="12"/>
  <c r="CK1023" i="12"/>
  <c r="CJ1023" i="12"/>
  <c r="CH1023" i="12"/>
  <c r="AU1023" i="12"/>
  <c r="CK1022" i="12"/>
  <c r="CJ1022" i="12"/>
  <c r="CH1022" i="12"/>
  <c r="AU1022" i="12"/>
  <c r="CK1021" i="12"/>
  <c r="CJ1021" i="12"/>
  <c r="CH1021" i="12"/>
  <c r="AU1021" i="12"/>
  <c r="CK1020" i="12"/>
  <c r="CJ1020" i="12"/>
  <c r="CH1020" i="12"/>
  <c r="AU1020" i="12"/>
  <c r="CK1019" i="12"/>
  <c r="CJ1019" i="12"/>
  <c r="CH1019" i="12"/>
  <c r="AU1019" i="12"/>
  <c r="CK1018" i="12"/>
  <c r="CJ1018" i="12"/>
  <c r="CH1018" i="12"/>
  <c r="AU1018" i="12"/>
  <c r="CK1017" i="12"/>
  <c r="CJ1017" i="12"/>
  <c r="CH1017" i="12"/>
  <c r="AU1017" i="12"/>
  <c r="CK1016" i="12"/>
  <c r="CJ1016" i="12"/>
  <c r="CH1016" i="12"/>
  <c r="AU1016" i="12"/>
  <c r="CK1015" i="12"/>
  <c r="CJ1015" i="12"/>
  <c r="CH1015" i="12"/>
  <c r="AU1015" i="12"/>
  <c r="CK1014" i="12"/>
  <c r="CJ1014" i="12"/>
  <c r="CH1014" i="12"/>
  <c r="AU1014" i="12"/>
  <c r="CK1013" i="12"/>
  <c r="CJ1013" i="12"/>
  <c r="CH1013" i="12"/>
  <c r="AU1013" i="12"/>
  <c r="CK1012" i="12"/>
  <c r="CJ1012" i="12"/>
  <c r="CH1012" i="12"/>
  <c r="AU1012" i="12"/>
  <c r="CK1011" i="12"/>
  <c r="CJ1011" i="12"/>
  <c r="CH1011" i="12"/>
  <c r="AU1011" i="12"/>
  <c r="CK1010" i="12"/>
  <c r="CJ1010" i="12"/>
  <c r="CH1010" i="12"/>
  <c r="AU1010" i="12"/>
  <c r="CK1009" i="12"/>
  <c r="CJ1009" i="12"/>
  <c r="CH1009" i="12"/>
  <c r="AU1009" i="12"/>
  <c r="CK1008" i="12"/>
  <c r="CJ1008" i="12"/>
  <c r="CH1008" i="12"/>
  <c r="AU1008" i="12"/>
  <c r="CK1007" i="12"/>
  <c r="CJ1007" i="12"/>
  <c r="CH1007" i="12"/>
  <c r="AU1007" i="12"/>
  <c r="CK1006" i="12"/>
  <c r="CJ1006" i="12"/>
  <c r="CH1006" i="12"/>
  <c r="AU1006" i="12"/>
  <c r="CK1005" i="12"/>
  <c r="CJ1005" i="12"/>
  <c r="CH1005" i="12"/>
  <c r="AU1005" i="12"/>
  <c r="CK1004" i="12"/>
  <c r="CJ1004" i="12"/>
  <c r="CH1004" i="12"/>
  <c r="AU1004" i="12"/>
  <c r="CK1003" i="12"/>
  <c r="CJ1003" i="12"/>
  <c r="CH1003" i="12"/>
  <c r="AU1003" i="12"/>
  <c r="CK1002" i="12"/>
  <c r="CJ1002" i="12"/>
  <c r="CH1002" i="12"/>
  <c r="AU1002" i="12"/>
  <c r="CK1001" i="12"/>
  <c r="CJ1001" i="12"/>
  <c r="CH1001" i="12"/>
  <c r="AU1001" i="12"/>
  <c r="CK1000" i="12"/>
  <c r="CJ1000" i="12"/>
  <c r="CH1000" i="12"/>
  <c r="AU1000" i="12"/>
  <c r="CK999" i="12"/>
  <c r="CJ999" i="12"/>
  <c r="CH999" i="12"/>
  <c r="AU999" i="12"/>
  <c r="CK998" i="12"/>
  <c r="CJ998" i="12"/>
  <c r="CH998" i="12"/>
  <c r="AU998" i="12"/>
  <c r="CK997" i="12"/>
  <c r="CJ997" i="12"/>
  <c r="CH997" i="12"/>
  <c r="AU997" i="12"/>
  <c r="CK996" i="12"/>
  <c r="CJ996" i="12"/>
  <c r="CH996" i="12"/>
  <c r="AU996" i="12"/>
  <c r="CK995" i="12"/>
  <c r="CJ995" i="12"/>
  <c r="CH995" i="12"/>
  <c r="AU995" i="12"/>
  <c r="CK994" i="12"/>
  <c r="CJ994" i="12"/>
  <c r="CH994" i="12"/>
  <c r="AU994" i="12"/>
  <c r="CK993" i="12"/>
  <c r="CJ993" i="12"/>
  <c r="CH993" i="12"/>
  <c r="AU993" i="12"/>
  <c r="CK992" i="12"/>
  <c r="CJ992" i="12"/>
  <c r="CH992" i="12"/>
  <c r="AU992" i="12"/>
  <c r="CK991" i="12"/>
  <c r="CJ991" i="12"/>
  <c r="CH991" i="12"/>
  <c r="AU991" i="12"/>
  <c r="CK990" i="12"/>
  <c r="CJ990" i="12"/>
  <c r="CH990" i="12"/>
  <c r="AU990" i="12"/>
  <c r="CK989" i="12"/>
  <c r="CJ989" i="12"/>
  <c r="CH989" i="12"/>
  <c r="AU989" i="12"/>
  <c r="CK988" i="12"/>
  <c r="CJ988" i="12"/>
  <c r="CH988" i="12"/>
  <c r="AU988" i="12"/>
  <c r="CK987" i="12"/>
  <c r="CJ987" i="12"/>
  <c r="CH987" i="12"/>
  <c r="AU987" i="12"/>
  <c r="G987" i="12"/>
  <c r="CK986" i="12"/>
  <c r="CJ986" i="12"/>
  <c r="CH986" i="12"/>
  <c r="AU986" i="12"/>
  <c r="CK985" i="12"/>
  <c r="CJ985" i="12"/>
  <c r="CH985" i="12"/>
  <c r="AU985" i="12"/>
  <c r="CK984" i="12"/>
  <c r="CJ984" i="12"/>
  <c r="CH984" i="12"/>
  <c r="AU984" i="12"/>
  <c r="CK983" i="12"/>
  <c r="CJ983" i="12"/>
  <c r="CH983" i="12"/>
  <c r="AU983" i="12"/>
  <c r="CK982" i="12"/>
  <c r="CJ982" i="12"/>
  <c r="CH982" i="12"/>
  <c r="AU982" i="12"/>
  <c r="CK981" i="12"/>
  <c r="CJ981" i="12"/>
  <c r="CH981" i="12"/>
  <c r="AU981" i="12"/>
  <c r="CK980" i="12"/>
  <c r="CJ980" i="12"/>
  <c r="CH980" i="12"/>
  <c r="AU980" i="12"/>
  <c r="CK979" i="12"/>
  <c r="CJ979" i="12"/>
  <c r="CH979" i="12"/>
  <c r="AU979" i="12"/>
  <c r="CK978" i="12"/>
  <c r="CJ978" i="12"/>
  <c r="CH978" i="12"/>
  <c r="AU978" i="12"/>
  <c r="CK977" i="12"/>
  <c r="CJ977" i="12"/>
  <c r="CH977" i="12"/>
  <c r="AU977" i="12"/>
  <c r="CK976" i="12"/>
  <c r="CJ976" i="12"/>
  <c r="CH976" i="12"/>
  <c r="AU976" i="12"/>
  <c r="CK975" i="12"/>
  <c r="CJ975" i="12"/>
  <c r="CH975" i="12"/>
  <c r="AU975" i="12"/>
  <c r="CK974" i="12"/>
  <c r="CJ974" i="12"/>
  <c r="CH974" i="12"/>
  <c r="AU974" i="12"/>
  <c r="CK973" i="12"/>
  <c r="CJ973" i="12"/>
  <c r="CH973" i="12"/>
  <c r="AU973" i="12"/>
  <c r="CK972" i="12"/>
  <c r="CJ972" i="12"/>
  <c r="CH972" i="12"/>
  <c r="AU972" i="12"/>
  <c r="CK971" i="12"/>
  <c r="CJ971" i="12"/>
  <c r="CH971" i="12"/>
  <c r="AU971" i="12"/>
  <c r="CK970" i="12"/>
  <c r="CJ970" i="12"/>
  <c r="CH970" i="12"/>
  <c r="AU970" i="12"/>
  <c r="AU969" i="12"/>
  <c r="CI969" i="12" s="1"/>
  <c r="AU968" i="12"/>
  <c r="CI968" i="12" s="1"/>
  <c r="AU967" i="12"/>
  <c r="CI967" i="12" s="1"/>
  <c r="AU966" i="12"/>
  <c r="CI966" i="12" s="1"/>
  <c r="AU965" i="12"/>
  <c r="CI965" i="12" s="1"/>
  <c r="G965" i="12"/>
  <c r="AU963" i="12"/>
  <c r="CI963" i="12" s="1"/>
  <c r="AU961" i="12"/>
  <c r="CI961" i="12" s="1"/>
  <c r="AU960" i="12"/>
  <c r="CI960" i="12" s="1"/>
  <c r="AU959" i="12"/>
  <c r="CI959" i="12" s="1"/>
  <c r="AU955" i="12"/>
  <c r="CI955" i="12" s="1"/>
  <c r="CK951" i="12"/>
  <c r="CJ951" i="12"/>
  <c r="CH951" i="12"/>
  <c r="AU951" i="12"/>
  <c r="CK950" i="12"/>
  <c r="CJ950" i="12"/>
  <c r="CH950" i="12"/>
  <c r="AU950" i="12"/>
  <c r="CK947" i="12"/>
  <c r="CJ947" i="12"/>
  <c r="CH947" i="12"/>
  <c r="AU947" i="12"/>
  <c r="CK946" i="12"/>
  <c r="CJ946" i="12"/>
  <c r="CH946" i="12"/>
  <c r="AU946" i="12"/>
  <c r="CK945" i="12"/>
  <c r="CJ945" i="12"/>
  <c r="CH945" i="12"/>
  <c r="AU945" i="12"/>
  <c r="CK944" i="12"/>
  <c r="CJ944" i="12"/>
  <c r="CH944" i="12"/>
  <c r="AU944" i="12"/>
  <c r="CK941" i="12"/>
  <c r="CJ941" i="12"/>
  <c r="CH941" i="12"/>
  <c r="AU941" i="12"/>
  <c r="CK938" i="12"/>
  <c r="CJ938" i="12"/>
  <c r="CH938" i="12"/>
  <c r="AU938" i="12"/>
  <c r="CK934" i="12"/>
  <c r="CJ934" i="12"/>
  <c r="CH934" i="12"/>
  <c r="AU934" i="12"/>
  <c r="CK933" i="12"/>
  <c r="CJ933" i="12"/>
  <c r="CH933" i="12"/>
  <c r="AU933" i="12"/>
  <c r="CK932" i="12"/>
  <c r="CJ932" i="12"/>
  <c r="CH932" i="12"/>
  <c r="AU932" i="12"/>
  <c r="CK931" i="12"/>
  <c r="CJ931" i="12"/>
  <c r="CH931" i="12"/>
  <c r="AU931" i="12"/>
  <c r="CK930" i="12"/>
  <c r="CJ930" i="12"/>
  <c r="CH930" i="12"/>
  <c r="AU930" i="12"/>
  <c r="CK929" i="12"/>
  <c r="CJ929" i="12"/>
  <c r="CH929" i="12"/>
  <c r="AU929" i="12"/>
  <c r="CK928" i="12"/>
  <c r="CJ928" i="12"/>
  <c r="CH928" i="12"/>
  <c r="AU928" i="12"/>
  <c r="CK927" i="12"/>
  <c r="CJ927" i="12"/>
  <c r="CH927" i="12"/>
  <c r="AU927" i="12"/>
  <c r="CK926" i="12"/>
  <c r="CJ926" i="12"/>
  <c r="CH926" i="12"/>
  <c r="AU926" i="12"/>
  <c r="CK925" i="12"/>
  <c r="CJ925" i="12"/>
  <c r="CH925" i="12"/>
  <c r="AU925" i="12"/>
  <c r="CK924" i="12"/>
  <c r="CJ924" i="12"/>
  <c r="CH924" i="12"/>
  <c r="AU924" i="12"/>
  <c r="CK923" i="12"/>
  <c r="CJ923" i="12"/>
  <c r="CH923" i="12"/>
  <c r="AU923" i="12"/>
  <c r="CK922" i="12"/>
  <c r="CJ922" i="12"/>
  <c r="CH922" i="12"/>
  <c r="AU922" i="12"/>
  <c r="CK919" i="12"/>
  <c r="CJ919" i="12"/>
  <c r="CH919" i="12"/>
  <c r="AU919" i="12"/>
  <c r="CK918" i="12"/>
  <c r="CJ918" i="12"/>
  <c r="CH918" i="12"/>
  <c r="AU918" i="12"/>
  <c r="AU917" i="12"/>
  <c r="CI917" i="12" s="1"/>
  <c r="CK915" i="12"/>
  <c r="CJ915" i="12"/>
  <c r="CH915" i="12"/>
  <c r="AU915" i="12"/>
  <c r="CL914" i="12"/>
  <c r="CG914" i="12"/>
  <c r="CF914" i="12"/>
  <c r="CE914" i="12"/>
  <c r="CD914" i="12"/>
  <c r="CC914" i="12"/>
  <c r="CB914" i="12"/>
  <c r="CA914" i="12"/>
  <c r="BZ914" i="12"/>
  <c r="BY914" i="12"/>
  <c r="BX914" i="12"/>
  <c r="BW914" i="12"/>
  <c r="BV914" i="12"/>
  <c r="BU914" i="12"/>
  <c r="BT914" i="12"/>
  <c r="BS914" i="12"/>
  <c r="BR914" i="12"/>
  <c r="BQ914" i="12"/>
  <c r="BP914" i="12"/>
  <c r="BO914" i="12"/>
  <c r="BN914" i="12"/>
  <c r="BM914" i="12"/>
  <c r="BL914" i="12"/>
  <c r="BK914" i="12"/>
  <c r="BJ914" i="12"/>
  <c r="BH914" i="12"/>
  <c r="BG914" i="12"/>
  <c r="BF914" i="12"/>
  <c r="BD914" i="12"/>
  <c r="BC914" i="12"/>
  <c r="BB914" i="12"/>
  <c r="BA914" i="12"/>
  <c r="AZ914" i="12"/>
  <c r="AY914" i="12"/>
  <c r="AV914" i="12"/>
  <c r="AT914" i="12"/>
  <c r="AS914" i="12"/>
  <c r="AR914" i="12"/>
  <c r="AQ914" i="12"/>
  <c r="AP914" i="12"/>
  <c r="AO914" i="12"/>
  <c r="AN914" i="12"/>
  <c r="AM914" i="12"/>
  <c r="AL914" i="12"/>
  <c r="AK914" i="12"/>
  <c r="AJ914" i="12"/>
  <c r="AI914" i="12"/>
  <c r="AH914" i="12"/>
  <c r="AG914" i="12"/>
  <c r="AE914" i="12"/>
  <c r="AD914" i="12"/>
  <c r="AC914" i="12"/>
  <c r="AB914" i="12"/>
  <c r="AA914" i="12"/>
  <c r="Z914" i="12"/>
  <c r="Y914" i="12"/>
  <c r="X914" i="12"/>
  <c r="W914" i="12"/>
  <c r="V914" i="12"/>
  <c r="U914" i="12"/>
  <c r="T914" i="12"/>
  <c r="S914" i="12"/>
  <c r="R914" i="12"/>
  <c r="Q914" i="12"/>
  <c r="P914" i="12"/>
  <c r="O914" i="12"/>
  <c r="N914" i="12"/>
  <c r="M914" i="12"/>
  <c r="L914" i="12"/>
  <c r="K914" i="12"/>
  <c r="J914" i="12"/>
  <c r="I914" i="12"/>
  <c r="CK913" i="12"/>
  <c r="CJ913" i="12"/>
  <c r="CH913" i="12"/>
  <c r="AU913" i="12"/>
  <c r="CK912" i="12"/>
  <c r="CJ912" i="12"/>
  <c r="CH912" i="12"/>
  <c r="AU912" i="12"/>
  <c r="CK911" i="12"/>
  <c r="CJ911" i="12"/>
  <c r="CH911" i="12"/>
  <c r="AU911" i="12"/>
  <c r="CK910" i="12"/>
  <c r="CJ910" i="12"/>
  <c r="CH910" i="12"/>
  <c r="AU910" i="12"/>
  <c r="CK909" i="12"/>
  <c r="CJ909" i="12"/>
  <c r="CH909" i="12"/>
  <c r="AU909" i="12"/>
  <c r="CK908" i="12"/>
  <c r="CJ908" i="12"/>
  <c r="CH908" i="12"/>
  <c r="AU908" i="12"/>
  <c r="CK907" i="12"/>
  <c r="CJ907" i="12"/>
  <c r="CH907" i="12"/>
  <c r="AU907" i="12"/>
  <c r="CK906" i="12"/>
  <c r="CJ906" i="12"/>
  <c r="CH906" i="12"/>
  <c r="AU906" i="12"/>
  <c r="CK905" i="12"/>
  <c r="CJ905" i="12"/>
  <c r="CH905" i="12"/>
  <c r="AU905" i="12"/>
  <c r="G905" i="12"/>
  <c r="G906" i="12" s="1"/>
  <c r="G907" i="12" s="1"/>
  <c r="G908" i="12" s="1"/>
  <c r="G909" i="12" s="1"/>
  <c r="G910" i="12" s="1"/>
  <c r="CK904" i="12"/>
  <c r="CJ904" i="12"/>
  <c r="CH904" i="12"/>
  <c r="AU904" i="12"/>
  <c r="CK903" i="12"/>
  <c r="CJ903" i="12"/>
  <c r="CH903" i="12"/>
  <c r="AU903" i="12"/>
  <c r="CK902" i="12"/>
  <c r="CJ902" i="12"/>
  <c r="CH902" i="12"/>
  <c r="AU902" i="12"/>
  <c r="CK901" i="12"/>
  <c r="CJ901" i="12"/>
  <c r="CH901" i="12"/>
  <c r="AU901" i="12"/>
  <c r="CK900" i="12"/>
  <c r="CJ900" i="12"/>
  <c r="CH900" i="12"/>
  <c r="AU900" i="12"/>
  <c r="CK899" i="12"/>
  <c r="CJ899" i="12"/>
  <c r="CH899" i="12"/>
  <c r="AU899" i="12"/>
  <c r="CK898" i="12"/>
  <c r="CJ898" i="12"/>
  <c r="CH898" i="12"/>
  <c r="AU898" i="12"/>
  <c r="CK897" i="12"/>
  <c r="CJ897" i="12"/>
  <c r="CH897" i="12"/>
  <c r="AU897" i="12"/>
  <c r="CK896" i="12"/>
  <c r="CJ896" i="12"/>
  <c r="CH896" i="12"/>
  <c r="AU896" i="12"/>
  <c r="CK895" i="12"/>
  <c r="CJ895" i="12"/>
  <c r="AW895" i="12"/>
  <c r="AX895" i="12" s="1"/>
  <c r="AU895" i="12"/>
  <c r="G895" i="12"/>
  <c r="CK894" i="12"/>
  <c r="CJ894" i="12"/>
  <c r="CH894" i="12"/>
  <c r="AU894" i="12"/>
  <c r="CK893" i="12"/>
  <c r="CJ893" i="12"/>
  <c r="CH893" i="12"/>
  <c r="AU893" i="12"/>
  <c r="CK892" i="12"/>
  <c r="CJ892" i="12"/>
  <c r="CH892" i="12"/>
  <c r="AU892" i="12"/>
  <c r="CK891" i="12"/>
  <c r="CJ891" i="12"/>
  <c r="CH891" i="12"/>
  <c r="AU891" i="12"/>
  <c r="CK890" i="12"/>
  <c r="CJ890" i="12"/>
  <c r="CH890" i="12"/>
  <c r="AU890" i="12"/>
  <c r="CK889" i="12"/>
  <c r="CJ889" i="12"/>
  <c r="CH889" i="12"/>
  <c r="AU889" i="12"/>
  <c r="CK888" i="12"/>
  <c r="CJ888" i="12"/>
  <c r="CH888" i="12"/>
  <c r="AU888" i="12"/>
  <c r="CK887" i="12"/>
  <c r="CJ887" i="12"/>
  <c r="CH887" i="12"/>
  <c r="AU887" i="12"/>
  <c r="G887" i="12"/>
  <c r="CK886" i="12"/>
  <c r="CJ886" i="12"/>
  <c r="CH886" i="12"/>
  <c r="AU886" i="12"/>
  <c r="CK885" i="12"/>
  <c r="CJ885" i="12"/>
  <c r="CH885" i="12"/>
  <c r="AU885" i="12"/>
  <c r="CK884" i="12"/>
  <c r="CJ884" i="12"/>
  <c r="CH884" i="12"/>
  <c r="AU884" i="12"/>
  <c r="CK883" i="12"/>
  <c r="CJ883" i="12"/>
  <c r="CH883" i="12"/>
  <c r="AU883" i="12"/>
  <c r="CK882" i="12"/>
  <c r="CJ882" i="12"/>
  <c r="CH882" i="12"/>
  <c r="AU882" i="12"/>
  <c r="CK881" i="12"/>
  <c r="CJ881" i="12"/>
  <c r="CH881" i="12"/>
  <c r="AU881" i="12"/>
  <c r="CK880" i="12"/>
  <c r="CJ880" i="12"/>
  <c r="CH880" i="12"/>
  <c r="AU880" i="12"/>
  <c r="CK879" i="12"/>
  <c r="CJ879" i="12"/>
  <c r="AW879" i="12"/>
  <c r="AX879" i="12" s="1"/>
  <c r="AU879" i="12"/>
  <c r="CK878" i="12"/>
  <c r="CJ878" i="12"/>
  <c r="CH878" i="12"/>
  <c r="AU878" i="12"/>
  <c r="CK877" i="12"/>
  <c r="CJ877" i="12"/>
  <c r="CH877" i="12"/>
  <c r="AU877" i="12"/>
  <c r="CK876" i="12"/>
  <c r="CJ876" i="12"/>
  <c r="CH876" i="12"/>
  <c r="AU876" i="12"/>
  <c r="CK875" i="12"/>
  <c r="CJ875" i="12"/>
  <c r="CK874" i="12"/>
  <c r="CJ874" i="12"/>
  <c r="CH874" i="12"/>
  <c r="AU874" i="12"/>
  <c r="CK873" i="12"/>
  <c r="CJ873" i="12"/>
  <c r="CH873" i="12"/>
  <c r="AU873" i="12"/>
  <c r="CK872" i="12"/>
  <c r="CJ872" i="12"/>
  <c r="CH872" i="12"/>
  <c r="AU872" i="12"/>
  <c r="CK871" i="12"/>
  <c r="CJ871" i="12"/>
  <c r="CH871" i="12"/>
  <c r="AU871" i="12"/>
  <c r="CK870" i="12"/>
  <c r="CJ870" i="12"/>
  <c r="CH870" i="12"/>
  <c r="AU870" i="12"/>
  <c r="CK869" i="12"/>
  <c r="CJ869" i="12"/>
  <c r="CH869" i="12"/>
  <c r="AU869" i="12"/>
  <c r="CK868" i="12"/>
  <c r="CJ868" i="12"/>
  <c r="CH868" i="12"/>
  <c r="AU868" i="12"/>
  <c r="CK867" i="12"/>
  <c r="CJ867" i="12"/>
  <c r="CH867" i="12"/>
  <c r="AU867" i="12"/>
  <c r="CK866" i="12"/>
  <c r="CJ866" i="12"/>
  <c r="CH866" i="12"/>
  <c r="AU866" i="12"/>
  <c r="CK865" i="12"/>
  <c r="CJ865" i="12"/>
  <c r="CH865" i="12"/>
  <c r="AU865" i="12"/>
  <c r="CK864" i="12"/>
  <c r="CJ864" i="12"/>
  <c r="CH864" i="12"/>
  <c r="AU864" i="12"/>
  <c r="CK863" i="12"/>
  <c r="CJ863" i="12"/>
  <c r="CH863" i="12"/>
  <c r="AU863" i="12"/>
  <c r="CK862" i="12"/>
  <c r="CJ862" i="12"/>
  <c r="CH862" i="12"/>
  <c r="AU862" i="12"/>
  <c r="CK861" i="12"/>
  <c r="CJ861" i="12"/>
  <c r="CH861" i="12"/>
  <c r="AU861" i="12"/>
  <c r="CK860" i="12"/>
  <c r="CJ860" i="12"/>
  <c r="CH860" i="12"/>
  <c r="AU860" i="12"/>
  <c r="CK859" i="12"/>
  <c r="CJ859" i="12"/>
  <c r="CH859" i="12"/>
  <c r="AU859" i="12"/>
  <c r="CK858" i="12"/>
  <c r="CJ858" i="12"/>
  <c r="CH858" i="12"/>
  <c r="AU858" i="12"/>
  <c r="CK857" i="12"/>
  <c r="CJ857" i="12"/>
  <c r="CH857" i="12"/>
  <c r="AU857" i="12"/>
  <c r="CK856" i="12"/>
  <c r="CJ856" i="12"/>
  <c r="CH856" i="12"/>
  <c r="AU856" i="12"/>
  <c r="CK855" i="12"/>
  <c r="CJ855" i="12"/>
  <c r="CH855" i="12"/>
  <c r="AU855" i="12"/>
  <c r="CK854" i="12"/>
  <c r="CJ854" i="12"/>
  <c r="CH854" i="12"/>
  <c r="AU854" i="12"/>
  <c r="CK853" i="12"/>
  <c r="CJ853" i="12"/>
  <c r="CH853" i="12"/>
  <c r="AU853" i="12"/>
  <c r="CK852" i="12"/>
  <c r="CJ852" i="12"/>
  <c r="CH852" i="12"/>
  <c r="AU852" i="12"/>
  <c r="CK851" i="12"/>
  <c r="CJ851" i="12"/>
  <c r="CH851" i="12"/>
  <c r="AU851" i="12"/>
  <c r="CK850" i="12"/>
  <c r="CJ850" i="12"/>
  <c r="CH850" i="12"/>
  <c r="AU850" i="12"/>
  <c r="CK849" i="12"/>
  <c r="CJ849" i="12"/>
  <c r="CH849" i="12"/>
  <c r="AU849" i="12"/>
  <c r="CK848" i="12"/>
  <c r="CJ848" i="12"/>
  <c r="CH848" i="12"/>
  <c r="AU848" i="12"/>
  <c r="CK847" i="12"/>
  <c r="CJ847" i="12"/>
  <c r="CH847" i="12"/>
  <c r="AU847" i="12"/>
  <c r="CK846" i="12"/>
  <c r="CJ846" i="12"/>
  <c r="CH846" i="12"/>
  <c r="AU846" i="12"/>
  <c r="CK845" i="12"/>
  <c r="CJ845" i="12"/>
  <c r="CH845" i="12"/>
  <c r="AU845" i="12"/>
  <c r="CK844" i="12"/>
  <c r="CJ844" i="12"/>
  <c r="CH844" i="12"/>
  <c r="AU844" i="12"/>
  <c r="CK843" i="12"/>
  <c r="CJ843" i="12"/>
  <c r="CH843" i="12"/>
  <c r="AU843" i="12"/>
  <c r="CK842" i="12"/>
  <c r="CJ842" i="12"/>
  <c r="CH842" i="12"/>
  <c r="AU842" i="12"/>
  <c r="CK841" i="12"/>
  <c r="CJ841" i="12"/>
  <c r="CH841" i="12"/>
  <c r="AU841" i="12"/>
  <c r="CK840" i="12"/>
  <c r="CJ840" i="12"/>
  <c r="CH840" i="12"/>
  <c r="AU840" i="12"/>
  <c r="CK839" i="12"/>
  <c r="CJ839" i="12"/>
  <c r="CH839" i="12"/>
  <c r="AU839" i="12"/>
  <c r="CK838" i="12"/>
  <c r="CJ838" i="12"/>
  <c r="CH838" i="12"/>
  <c r="AU838" i="12"/>
  <c r="CK837" i="12"/>
  <c r="CJ837" i="12"/>
  <c r="CH837" i="12"/>
  <c r="AU837" i="12"/>
  <c r="CK836" i="12"/>
  <c r="CJ836" i="12"/>
  <c r="CH836" i="12"/>
  <c r="AU836" i="12"/>
  <c r="CK835" i="12"/>
  <c r="CJ835" i="12"/>
  <c r="CH835" i="12"/>
  <c r="AU835" i="12"/>
  <c r="CK834" i="12"/>
  <c r="CJ834" i="12"/>
  <c r="AW834" i="12"/>
  <c r="CH834" i="12" s="1"/>
  <c r="AU834" i="12"/>
  <c r="CK833" i="12"/>
  <c r="CJ833" i="12"/>
  <c r="CH833" i="12"/>
  <c r="AU833" i="12"/>
  <c r="CK832" i="12"/>
  <c r="CJ832" i="12"/>
  <c r="CH832" i="12"/>
  <c r="AU832" i="12"/>
  <c r="CK831" i="12"/>
  <c r="CJ831" i="12"/>
  <c r="AW831" i="12"/>
  <c r="CH831" i="12" s="1"/>
  <c r="AU831" i="12"/>
  <c r="CK830" i="12"/>
  <c r="CJ830" i="12"/>
  <c r="CH830" i="12"/>
  <c r="AU830" i="12"/>
  <c r="CK829" i="12"/>
  <c r="CJ829" i="12"/>
  <c r="CH829" i="12"/>
  <c r="AU829" i="12"/>
  <c r="CK828" i="12"/>
  <c r="CJ828" i="12"/>
  <c r="CH828" i="12"/>
  <c r="AU828" i="12"/>
  <c r="CK827" i="12"/>
  <c r="CJ827" i="12"/>
  <c r="AW827" i="12"/>
  <c r="CH827" i="12" s="1"/>
  <c r="AU827" i="12"/>
  <c r="CK826" i="12"/>
  <c r="CJ826" i="12"/>
  <c r="CH826" i="12"/>
  <c r="AU826" i="12"/>
  <c r="CK825" i="12"/>
  <c r="CJ825" i="12"/>
  <c r="CH825" i="12"/>
  <c r="AU825" i="12"/>
  <c r="CK824" i="12"/>
  <c r="CJ824" i="12"/>
  <c r="CH824" i="12"/>
  <c r="AU824" i="12"/>
  <c r="CK823" i="12"/>
  <c r="CJ823" i="12"/>
  <c r="CH823" i="12"/>
  <c r="AU823" i="12"/>
  <c r="CK822" i="12"/>
  <c r="CJ822" i="12"/>
  <c r="AW822" i="12"/>
  <c r="CH822" i="12" s="1"/>
  <c r="AU822" i="12"/>
  <c r="CK821" i="12"/>
  <c r="CJ821" i="12"/>
  <c r="CH821" i="12"/>
  <c r="AU821" i="12"/>
  <c r="CK820" i="12"/>
  <c r="CJ820" i="12"/>
  <c r="CH820" i="12"/>
  <c r="AU820" i="12"/>
  <c r="CK819" i="12"/>
  <c r="CJ819" i="12"/>
  <c r="CH819" i="12"/>
  <c r="AU819" i="12"/>
  <c r="CK818" i="12"/>
  <c r="CJ818" i="12"/>
  <c r="CH818" i="12"/>
  <c r="AU818" i="12"/>
  <c r="CK817" i="12"/>
  <c r="CJ817" i="12"/>
  <c r="CH817" i="12"/>
  <c r="AU817" i="12"/>
  <c r="CK816" i="12"/>
  <c r="CJ816" i="12"/>
  <c r="AW816" i="12"/>
  <c r="CH816" i="12" s="1"/>
  <c r="AU816" i="12"/>
  <c r="CK815" i="12"/>
  <c r="CJ815" i="12"/>
  <c r="AW815" i="12"/>
  <c r="CH815" i="12" s="1"/>
  <c r="AU815" i="12"/>
  <c r="CK814" i="12"/>
  <c r="CJ814" i="12"/>
  <c r="AW814" i="12"/>
  <c r="CH814" i="12" s="1"/>
  <c r="AU814" i="12"/>
  <c r="CK813" i="12"/>
  <c r="CJ813" i="12"/>
  <c r="CH813" i="12"/>
  <c r="AU813" i="12"/>
  <c r="CK812" i="12"/>
  <c r="CJ812" i="12"/>
  <c r="CH812" i="12"/>
  <c r="AU812" i="12"/>
  <c r="CK811" i="12"/>
  <c r="CJ811" i="12"/>
  <c r="CH811" i="12"/>
  <c r="AU811" i="12"/>
  <c r="CK810" i="12"/>
  <c r="CJ810" i="12"/>
  <c r="CH810" i="12"/>
  <c r="AU810" i="12"/>
  <c r="CK809" i="12"/>
  <c r="CJ809" i="12"/>
  <c r="CH809" i="12"/>
  <c r="AU809" i="12"/>
  <c r="CK808" i="12"/>
  <c r="CJ808" i="12"/>
  <c r="CH808" i="12"/>
  <c r="AU808" i="12"/>
  <c r="CK807" i="12"/>
  <c r="CJ807" i="12"/>
  <c r="CH807" i="12"/>
  <c r="AU807" i="12"/>
  <c r="CK806" i="12"/>
  <c r="CJ806" i="12"/>
  <c r="CH806" i="12"/>
  <c r="AU806" i="12"/>
  <c r="CG805" i="12"/>
  <c r="CF805" i="12"/>
  <c r="CE805" i="12"/>
  <c r="CD805" i="12"/>
  <c r="CC805" i="12"/>
  <c r="CB805" i="12"/>
  <c r="CA805" i="12"/>
  <c r="BZ805" i="12"/>
  <c r="BY805" i="12"/>
  <c r="BX805" i="12"/>
  <c r="BW805" i="12"/>
  <c r="BV805" i="12"/>
  <c r="BU805" i="12"/>
  <c r="BT805" i="12"/>
  <c r="BS805" i="12"/>
  <c r="BR805" i="12"/>
  <c r="BQ805" i="12"/>
  <c r="BP805" i="12"/>
  <c r="BO805" i="12"/>
  <c r="BN805" i="12"/>
  <c r="BL805" i="12"/>
  <c r="BK805" i="12"/>
  <c r="BJ805" i="12"/>
  <c r="BH805" i="12"/>
  <c r="BG805" i="12"/>
  <c r="BF805" i="12"/>
  <c r="BD805" i="12"/>
  <c r="BC805" i="12"/>
  <c r="BB805" i="12"/>
  <c r="BA805" i="12"/>
  <c r="AZ805" i="12"/>
  <c r="AY805" i="12"/>
  <c r="AX805" i="12"/>
  <c r="AV805" i="12"/>
  <c r="AT805" i="12"/>
  <c r="AS805" i="12"/>
  <c r="AR805" i="12"/>
  <c r="AQ805" i="12"/>
  <c r="AP805" i="12"/>
  <c r="AO805" i="12"/>
  <c r="AN805" i="12"/>
  <c r="AM805" i="12"/>
  <c r="AL805" i="12"/>
  <c r="AK805" i="12"/>
  <c r="AJ805" i="12"/>
  <c r="AI805" i="12"/>
  <c r="AH805" i="12"/>
  <c r="AG805" i="12"/>
  <c r="AE805" i="12"/>
  <c r="AD805" i="12"/>
  <c r="AC805" i="12"/>
  <c r="AB805" i="12"/>
  <c r="AA805" i="12"/>
  <c r="Z805" i="12"/>
  <c r="Y805" i="12"/>
  <c r="X805" i="12"/>
  <c r="W805" i="12"/>
  <c r="V805" i="12"/>
  <c r="U805" i="12"/>
  <c r="T805" i="12"/>
  <c r="S805" i="12"/>
  <c r="R805" i="12"/>
  <c r="Q805" i="12"/>
  <c r="P805" i="12"/>
  <c r="O805" i="12"/>
  <c r="N805" i="12"/>
  <c r="M805" i="12"/>
  <c r="L805" i="12"/>
  <c r="K805" i="12"/>
  <c r="J805" i="12"/>
  <c r="I805" i="12"/>
  <c r="CK804" i="12"/>
  <c r="CJ804" i="12"/>
  <c r="CH804" i="12"/>
  <c r="AU804" i="12"/>
  <c r="CK803" i="12"/>
  <c r="CJ803" i="12"/>
  <c r="BM803" i="12"/>
  <c r="AW803" i="12"/>
  <c r="AU803" i="12"/>
  <c r="CK802" i="12"/>
  <c r="CJ802" i="12"/>
  <c r="AW802" i="12"/>
  <c r="CH802" i="12" s="1"/>
  <c r="AU802" i="12"/>
  <c r="CK801" i="12"/>
  <c r="CJ801" i="12"/>
  <c r="CH801" i="12"/>
  <c r="AU801" i="12"/>
  <c r="CK800" i="12"/>
  <c r="CJ800" i="12"/>
  <c r="CH800" i="12"/>
  <c r="AU800" i="12"/>
  <c r="CK799" i="12"/>
  <c r="CJ799" i="12"/>
  <c r="CH799" i="12"/>
  <c r="AU799" i="12"/>
  <c r="CK798" i="12"/>
  <c r="CJ798" i="12"/>
  <c r="CH798" i="12"/>
  <c r="AU798" i="12"/>
  <c r="CK797" i="12"/>
  <c r="CJ797" i="12"/>
  <c r="CH797" i="12"/>
  <c r="AU797" i="12"/>
  <c r="CK796" i="12"/>
  <c r="CJ796" i="12"/>
  <c r="CH796" i="12"/>
  <c r="AU796" i="12"/>
  <c r="CK795" i="12"/>
  <c r="CJ795" i="12"/>
  <c r="CH795" i="12"/>
  <c r="AU795" i="12"/>
  <c r="CK794" i="12"/>
  <c r="CJ794" i="12"/>
  <c r="AW794" i="12"/>
  <c r="CH794" i="12" s="1"/>
  <c r="AU794" i="12"/>
  <c r="CK793" i="12"/>
  <c r="CJ793" i="12"/>
  <c r="CH793" i="12"/>
  <c r="AU793" i="12"/>
  <c r="CK792" i="12"/>
  <c r="CJ792" i="12"/>
  <c r="BM792" i="12"/>
  <c r="AW792" i="12"/>
  <c r="AU792" i="12"/>
  <c r="CK791" i="12"/>
  <c r="CJ791" i="12"/>
  <c r="CH791" i="12"/>
  <c r="AU791" i="12"/>
  <c r="CK790" i="12"/>
  <c r="CJ790" i="12"/>
  <c r="CH790" i="12"/>
  <c r="AU790" i="12"/>
  <c r="CK789" i="12"/>
  <c r="CJ789" i="12"/>
  <c r="CH789" i="12"/>
  <c r="AU789" i="12"/>
  <c r="CK788" i="12"/>
  <c r="CJ788" i="12"/>
  <c r="CH788" i="12"/>
  <c r="AU788" i="12"/>
  <c r="CK787" i="12"/>
  <c r="CJ787" i="12"/>
  <c r="CH787" i="12"/>
  <c r="AU787" i="12"/>
  <c r="CK786" i="12"/>
  <c r="CJ786" i="12"/>
  <c r="CH786" i="12"/>
  <c r="AU786" i="12"/>
  <c r="CK785" i="12"/>
  <c r="CJ785" i="12"/>
  <c r="CH785" i="12"/>
  <c r="AU785" i="12"/>
  <c r="CK784" i="12"/>
  <c r="CJ784" i="12"/>
  <c r="CH784" i="12"/>
  <c r="AU784" i="12"/>
  <c r="CK783" i="12"/>
  <c r="CJ783" i="12"/>
  <c r="CH783" i="12"/>
  <c r="AU783" i="12"/>
  <c r="CK782" i="12"/>
  <c r="CJ782" i="12"/>
  <c r="CH782" i="12"/>
  <c r="AU782" i="12"/>
  <c r="CK781" i="12"/>
  <c r="CJ781" i="12"/>
  <c r="BM781" i="12"/>
  <c r="AW781" i="12"/>
  <c r="AU781" i="12"/>
  <c r="CK780" i="12"/>
  <c r="CJ780" i="12"/>
  <c r="BM780" i="12"/>
  <c r="AW780" i="12"/>
  <c r="AU780" i="12"/>
  <c r="CK779" i="12"/>
  <c r="CJ779" i="12"/>
  <c r="CH779" i="12"/>
  <c r="AU779" i="12"/>
  <c r="CK778" i="12"/>
  <c r="CJ778" i="12"/>
  <c r="CH778" i="12"/>
  <c r="AU778" i="12"/>
  <c r="CK777" i="12"/>
  <c r="CJ777" i="12"/>
  <c r="BM777" i="12"/>
  <c r="AW777" i="12"/>
  <c r="AU777" i="12"/>
  <c r="CK776" i="12"/>
  <c r="CJ776" i="12"/>
  <c r="BM776" i="12"/>
  <c r="AW776" i="12"/>
  <c r="AU776" i="12"/>
  <c r="CK775" i="12"/>
  <c r="CJ775" i="12"/>
  <c r="CH775" i="12"/>
  <c r="AU775" i="12"/>
  <c r="CK774" i="12"/>
  <c r="CJ774" i="12"/>
  <c r="BM774" i="12"/>
  <c r="AW774" i="12"/>
  <c r="AU774" i="12"/>
  <c r="CK773" i="12"/>
  <c r="CJ773" i="12"/>
  <c r="CH773" i="12"/>
  <c r="AU773" i="12"/>
  <c r="CK772" i="12"/>
  <c r="CJ772" i="12"/>
  <c r="CH772" i="12"/>
  <c r="AU772" i="12"/>
  <c r="CK771" i="12"/>
  <c r="CJ771" i="12"/>
  <c r="CH771" i="12"/>
  <c r="AU771" i="12"/>
  <c r="CK770" i="12"/>
  <c r="CJ770" i="12"/>
  <c r="CH770" i="12"/>
  <c r="AU770" i="12"/>
  <c r="CK769" i="12"/>
  <c r="CJ769" i="12"/>
  <c r="CH769" i="12"/>
  <c r="AU769" i="12"/>
  <c r="CK768" i="12"/>
  <c r="CJ768" i="12"/>
  <c r="CH768" i="12"/>
  <c r="AU768" i="12"/>
  <c r="CK767" i="12"/>
  <c r="CJ767" i="12"/>
  <c r="CH767" i="12"/>
  <c r="AU767" i="12"/>
  <c r="CK766" i="12"/>
  <c r="CJ766" i="12"/>
  <c r="CH766" i="12"/>
  <c r="AU766" i="12"/>
  <c r="CK765" i="12"/>
  <c r="CJ765" i="12"/>
  <c r="CH765" i="12"/>
  <c r="AU765" i="12"/>
  <c r="CK764" i="12"/>
  <c r="CJ764" i="12"/>
  <c r="CH764" i="12"/>
  <c r="AU764" i="12"/>
  <c r="G764" i="12"/>
  <c r="G765" i="12" s="1"/>
  <c r="G766" i="12" s="1"/>
  <c r="CK763" i="12"/>
  <c r="CJ763" i="12"/>
  <c r="CH763" i="12"/>
  <c r="AU763" i="12"/>
  <c r="CK762" i="12"/>
  <c r="CJ762" i="12"/>
  <c r="CH762" i="12"/>
  <c r="AU762" i="12"/>
  <c r="CK761" i="12"/>
  <c r="CJ761" i="12"/>
  <c r="CH761" i="12"/>
  <c r="AU761" i="12"/>
  <c r="CK760" i="12"/>
  <c r="CJ760" i="12"/>
  <c r="CH760" i="12"/>
  <c r="AU760" i="12"/>
  <c r="CK759" i="12"/>
  <c r="CJ759" i="12"/>
  <c r="CH759" i="12"/>
  <c r="AU759" i="12"/>
  <c r="CK758" i="12"/>
  <c r="CJ758" i="12"/>
  <c r="AW758" i="12"/>
  <c r="CH758" i="12" s="1"/>
  <c r="AU758" i="12"/>
  <c r="CK757" i="12"/>
  <c r="CJ757" i="12"/>
  <c r="CH757" i="12"/>
  <c r="AU757" i="12"/>
  <c r="CK756" i="12"/>
  <c r="CJ756" i="12"/>
  <c r="CH756" i="12"/>
  <c r="AU756" i="12"/>
  <c r="CK755" i="12"/>
  <c r="CJ755" i="12"/>
  <c r="AW755" i="12"/>
  <c r="CH755" i="12" s="1"/>
  <c r="AU755" i="12"/>
  <c r="CK754" i="12"/>
  <c r="CJ754" i="12"/>
  <c r="CH754" i="12"/>
  <c r="AU754" i="12"/>
  <c r="CK753" i="12"/>
  <c r="CJ753" i="12"/>
  <c r="CH753" i="12"/>
  <c r="AU753" i="12"/>
  <c r="CK752" i="12"/>
  <c r="CJ752" i="12"/>
  <c r="CH752" i="12"/>
  <c r="AU752" i="12"/>
  <c r="CK751" i="12"/>
  <c r="CJ751" i="12"/>
  <c r="CH751" i="12"/>
  <c r="AU751" i="12"/>
  <c r="CK750" i="12"/>
  <c r="CJ750" i="12"/>
  <c r="CH750" i="12"/>
  <c r="AU750" i="12"/>
  <c r="CK749" i="12"/>
  <c r="CJ749" i="12"/>
  <c r="CH749" i="12"/>
  <c r="AU749" i="12"/>
  <c r="CK748" i="12"/>
  <c r="CJ748" i="12"/>
  <c r="CH748" i="12"/>
  <c r="AU748" i="12"/>
  <c r="CK747" i="12"/>
  <c r="CJ747" i="12"/>
  <c r="CH747" i="12"/>
  <c r="AU747" i="12"/>
  <c r="CK746" i="12"/>
  <c r="CJ746" i="12"/>
  <c r="CH746" i="12"/>
  <c r="AU746" i="12"/>
  <c r="CK745" i="12"/>
  <c r="CJ745" i="12"/>
  <c r="CH745" i="12"/>
  <c r="AU745" i="12"/>
  <c r="CK744" i="12"/>
  <c r="CJ744" i="12"/>
  <c r="CH744" i="12"/>
  <c r="AU744" i="12"/>
  <c r="G744" i="12"/>
  <c r="G753" i="12" s="1"/>
  <c r="G755" i="12" s="1"/>
  <c r="CK743" i="12"/>
  <c r="CJ743" i="12"/>
  <c r="CH743" i="12"/>
  <c r="AU743" i="12"/>
  <c r="CK742" i="12"/>
  <c r="CJ742" i="12"/>
  <c r="CH742" i="12"/>
  <c r="AU742" i="12"/>
  <c r="G742" i="12"/>
  <c r="G747" i="12" s="1"/>
  <c r="G748" i="12" s="1"/>
  <c r="G749" i="12" s="1"/>
  <c r="G750" i="12" s="1"/>
  <c r="G751" i="12" s="1"/>
  <c r="G752" i="12" s="1"/>
  <c r="G754" i="12" s="1"/>
  <c r="G756" i="12" s="1"/>
  <c r="G757" i="12" s="1"/>
  <c r="G758" i="12" s="1"/>
  <c r="CK741" i="12"/>
  <c r="CJ741" i="12"/>
  <c r="AW741" i="12"/>
  <c r="CH741" i="12" s="1"/>
  <c r="AU741" i="12"/>
  <c r="CK740" i="12"/>
  <c r="CJ740" i="12"/>
  <c r="CH740" i="12"/>
  <c r="AU740" i="12"/>
  <c r="CK739" i="12"/>
  <c r="CJ739" i="12"/>
  <c r="CH739" i="12"/>
  <c r="AU739" i="12"/>
  <c r="CK738" i="12"/>
  <c r="CJ738" i="12"/>
  <c r="CH738" i="12"/>
  <c r="AU738" i="12"/>
  <c r="CK737" i="12"/>
  <c r="CJ737" i="12"/>
  <c r="CH737" i="12"/>
  <c r="AU737" i="12"/>
  <c r="CK736" i="12"/>
  <c r="CJ736" i="12"/>
  <c r="CH736" i="12"/>
  <c r="AU736" i="12"/>
  <c r="CK735" i="12"/>
  <c r="CJ735" i="12"/>
  <c r="CH735" i="12"/>
  <c r="AU735" i="12"/>
  <c r="CK734" i="12"/>
  <c r="CJ734" i="12"/>
  <c r="CH734" i="12"/>
  <c r="AU734" i="12"/>
  <c r="CK733" i="12"/>
  <c r="CJ733" i="12"/>
  <c r="CH733" i="12"/>
  <c r="AU733" i="12"/>
  <c r="CK732" i="12"/>
  <c r="CJ732" i="12"/>
  <c r="CH732" i="12"/>
  <c r="AU732" i="12"/>
  <c r="CK731" i="12"/>
  <c r="CJ731" i="12"/>
  <c r="CH731" i="12"/>
  <c r="AU731" i="12"/>
  <c r="CK730" i="12"/>
  <c r="CJ730" i="12"/>
  <c r="CH730" i="12"/>
  <c r="AU730" i="12"/>
  <c r="CK729" i="12"/>
  <c r="CJ729" i="12"/>
  <c r="CH729" i="12"/>
  <c r="AU729" i="12"/>
  <c r="CK728" i="12"/>
  <c r="CJ728" i="12"/>
  <c r="CH728" i="12"/>
  <c r="AU728" i="12"/>
  <c r="CK727" i="12"/>
  <c r="CJ727" i="12"/>
  <c r="CH727" i="12"/>
  <c r="AU727" i="12"/>
  <c r="CK726" i="12"/>
  <c r="CJ726" i="12"/>
  <c r="CH726" i="12"/>
  <c r="AU726" i="12"/>
  <c r="CK725" i="12"/>
  <c r="CJ725" i="12"/>
  <c r="CH725" i="12"/>
  <c r="AU725" i="12"/>
  <c r="CK724" i="12"/>
  <c r="CJ724" i="12"/>
  <c r="CH724" i="12"/>
  <c r="AU724" i="12"/>
  <c r="CK723" i="12"/>
  <c r="CJ723" i="12"/>
  <c r="CH723" i="12"/>
  <c r="AU723" i="12"/>
  <c r="CK722" i="12"/>
  <c r="CJ722" i="12"/>
  <c r="CH722" i="12"/>
  <c r="AU722" i="12"/>
  <c r="CK721" i="12"/>
  <c r="CJ721" i="12"/>
  <c r="CH721" i="12"/>
  <c r="AU721" i="12"/>
  <c r="CK720" i="12"/>
  <c r="CJ720" i="12"/>
  <c r="AW720" i="12"/>
  <c r="CH720" i="12" s="1"/>
  <c r="AU720" i="12"/>
  <c r="CK719" i="12"/>
  <c r="CJ719" i="12"/>
  <c r="CH719" i="12"/>
  <c r="AU719" i="12"/>
  <c r="CK718" i="12"/>
  <c r="CJ718" i="12"/>
  <c r="CH718" i="12"/>
  <c r="AU718" i="12"/>
  <c r="CK717" i="12"/>
  <c r="CJ717" i="12"/>
  <c r="AW717" i="12"/>
  <c r="CH717" i="12" s="1"/>
  <c r="AU717" i="12"/>
  <c r="CK716" i="12"/>
  <c r="CJ716" i="12"/>
  <c r="CH716" i="12"/>
  <c r="AU716" i="12"/>
  <c r="CK715" i="12"/>
  <c r="CJ715" i="12"/>
  <c r="CH715" i="12"/>
  <c r="AU715" i="12"/>
  <c r="CK714" i="12"/>
  <c r="CJ714" i="12"/>
  <c r="CH714" i="12"/>
  <c r="AU714" i="12"/>
  <c r="CK713" i="12"/>
  <c r="CJ713" i="12"/>
  <c r="CH713" i="12"/>
  <c r="AU713" i="12"/>
  <c r="CK712" i="12"/>
  <c r="CJ712" i="12"/>
  <c r="CH712" i="12"/>
  <c r="AU712" i="12"/>
  <c r="CK711" i="12"/>
  <c r="CJ711" i="12"/>
  <c r="CH711" i="12"/>
  <c r="AU711" i="12"/>
  <c r="CK710" i="12"/>
  <c r="CJ710" i="12"/>
  <c r="CH710" i="12"/>
  <c r="AU710" i="12"/>
  <c r="CK709" i="12"/>
  <c r="CJ709" i="12"/>
  <c r="AW709" i="12"/>
  <c r="CH709" i="12" s="1"/>
  <c r="AU709" i="12"/>
  <c r="CK708" i="12"/>
  <c r="CJ708" i="12"/>
  <c r="CH708" i="12"/>
  <c r="AU708" i="12"/>
  <c r="CK707" i="12"/>
  <c r="CJ707" i="12"/>
  <c r="CH707" i="12"/>
  <c r="AU707" i="12"/>
  <c r="CK706" i="12"/>
  <c r="CJ706" i="12"/>
  <c r="CH706" i="12"/>
  <c r="AU706" i="12"/>
  <c r="CK705" i="12"/>
  <c r="CJ705" i="12"/>
  <c r="CH705" i="12"/>
  <c r="AU705" i="12"/>
  <c r="CK704" i="12"/>
  <c r="CJ704" i="12"/>
  <c r="CH704" i="12"/>
  <c r="AU704" i="12"/>
  <c r="CK703" i="12"/>
  <c r="CJ703" i="12"/>
  <c r="CH703" i="12"/>
  <c r="AU703" i="12"/>
  <c r="CK702" i="12"/>
  <c r="CJ702" i="12"/>
  <c r="CH702" i="12"/>
  <c r="AU702" i="12"/>
  <c r="CK701" i="12"/>
  <c r="CJ701" i="12"/>
  <c r="CH701" i="12"/>
  <c r="AU701" i="12"/>
  <c r="CK700" i="12"/>
  <c r="CJ700" i="12"/>
  <c r="CH700" i="12"/>
  <c r="AU700" i="12"/>
  <c r="CK699" i="12"/>
  <c r="CJ699" i="12"/>
  <c r="CH699" i="12"/>
  <c r="AU699" i="12"/>
  <c r="CK698" i="12"/>
  <c r="CJ698" i="12"/>
  <c r="CH698" i="12"/>
  <c r="AU698" i="12"/>
  <c r="CK697" i="12"/>
  <c r="CJ697" i="12"/>
  <c r="CH697" i="12"/>
  <c r="AU697" i="12"/>
  <c r="CK696" i="12"/>
  <c r="CJ696" i="12"/>
  <c r="CH696" i="12"/>
  <c r="AU696" i="12"/>
  <c r="CK695" i="12"/>
  <c r="CJ695" i="12"/>
  <c r="AW695" i="12"/>
  <c r="CH695" i="12" s="1"/>
  <c r="AU695" i="12"/>
  <c r="CK694" i="12"/>
  <c r="CJ694" i="12"/>
  <c r="CH694" i="12"/>
  <c r="AU694" i="12"/>
  <c r="CK693" i="12"/>
  <c r="CJ693" i="12"/>
  <c r="CH693" i="12"/>
  <c r="AU693" i="12"/>
  <c r="CK692" i="12"/>
  <c r="CJ692" i="12"/>
  <c r="CH692" i="12"/>
  <c r="AU692" i="12"/>
  <c r="CK691" i="12"/>
  <c r="CJ691" i="12"/>
  <c r="CH691" i="12"/>
  <c r="AU691" i="12"/>
  <c r="CK690" i="12"/>
  <c r="CJ690" i="12"/>
  <c r="CH690" i="12"/>
  <c r="AU690" i="12"/>
  <c r="CK689" i="12"/>
  <c r="CJ689" i="12"/>
  <c r="CH689" i="12"/>
  <c r="AU689" i="12"/>
  <c r="CK688" i="12"/>
  <c r="CJ688" i="12"/>
  <c r="CH688" i="12"/>
  <c r="AU688" i="12"/>
  <c r="CK687" i="12"/>
  <c r="CJ687" i="12"/>
  <c r="CH687" i="12"/>
  <c r="AU687" i="12"/>
  <c r="CK686" i="12"/>
  <c r="CJ686" i="12"/>
  <c r="BM686" i="12"/>
  <c r="AW686" i="12"/>
  <c r="AU686" i="12"/>
  <c r="CK685" i="12"/>
  <c r="CJ685" i="12"/>
  <c r="CH685" i="12"/>
  <c r="AU685" i="12"/>
  <c r="CK684" i="12"/>
  <c r="CJ684" i="12"/>
  <c r="CH684" i="12"/>
  <c r="AU684" i="12"/>
  <c r="CK683" i="12"/>
  <c r="CJ683" i="12"/>
  <c r="CH683" i="12"/>
  <c r="AU683" i="12"/>
  <c r="CP682" i="12"/>
  <c r="CO682" i="12"/>
  <c r="CN682" i="12"/>
  <c r="CM682" i="12"/>
  <c r="CL682" i="12"/>
  <c r="CF682" i="12"/>
  <c r="CE682" i="12"/>
  <c r="CD682" i="12"/>
  <c r="CC682" i="12"/>
  <c r="CB682" i="12"/>
  <c r="CA682" i="12"/>
  <c r="BZ682" i="12"/>
  <c r="BY682" i="12"/>
  <c r="BX682" i="12"/>
  <c r="BW682" i="12"/>
  <c r="BV682" i="12"/>
  <c r="BU682" i="12"/>
  <c r="BT682" i="12"/>
  <c r="BS682" i="12"/>
  <c r="BR682" i="12"/>
  <c r="BQ682" i="12"/>
  <c r="BP682" i="12"/>
  <c r="BO682" i="12"/>
  <c r="BN682" i="12"/>
  <c r="BL682" i="12"/>
  <c r="BK682" i="12"/>
  <c r="BJ682" i="12"/>
  <c r="BH682" i="12"/>
  <c r="BG682" i="12"/>
  <c r="BF682" i="12"/>
  <c r="BD682" i="12"/>
  <c r="BC682" i="12"/>
  <c r="BB682" i="12"/>
  <c r="BA682" i="12"/>
  <c r="AZ682" i="12"/>
  <c r="AY682" i="12"/>
  <c r="AV682" i="12"/>
  <c r="AT682" i="12"/>
  <c r="AS682" i="12"/>
  <c r="AR682" i="12"/>
  <c r="AQ682" i="12"/>
  <c r="AP682" i="12"/>
  <c r="AO682" i="12"/>
  <c r="AN682" i="12"/>
  <c r="AM682" i="12"/>
  <c r="AL682" i="12"/>
  <c r="AK682" i="12"/>
  <c r="AJ682" i="12"/>
  <c r="AI682" i="12"/>
  <c r="AH682" i="12"/>
  <c r="AG682" i="12"/>
  <c r="AE682" i="12"/>
  <c r="AD682" i="12"/>
  <c r="AC682" i="12"/>
  <c r="AB682" i="12"/>
  <c r="AA682" i="12"/>
  <c r="Z682" i="12"/>
  <c r="Y682" i="12"/>
  <c r="X682" i="12"/>
  <c r="W682" i="12"/>
  <c r="V682" i="12"/>
  <c r="U682" i="12"/>
  <c r="T682" i="12"/>
  <c r="S682" i="12"/>
  <c r="R682" i="12"/>
  <c r="Q682" i="12"/>
  <c r="P682" i="12"/>
  <c r="O682" i="12"/>
  <c r="N682" i="12"/>
  <c r="M682" i="12"/>
  <c r="L682" i="12"/>
  <c r="K682" i="12"/>
  <c r="J682" i="12"/>
  <c r="I682" i="12"/>
  <c r="CK681" i="12"/>
  <c r="CJ681" i="12"/>
  <c r="CH681" i="12"/>
  <c r="AU681" i="12"/>
  <c r="CK680" i="12"/>
  <c r="CJ680" i="12"/>
  <c r="CH680" i="12"/>
  <c r="AU680" i="12"/>
  <c r="CK679" i="12"/>
  <c r="CJ679" i="12"/>
  <c r="BM679" i="12"/>
  <c r="CH679" i="12" s="1"/>
  <c r="AU679" i="12"/>
  <c r="CK678" i="12"/>
  <c r="CJ678" i="12"/>
  <c r="BM678" i="12"/>
  <c r="CH678" i="12" s="1"/>
  <c r="AU678" i="12"/>
  <c r="CK677" i="12"/>
  <c r="CJ677" i="12"/>
  <c r="CH677" i="12"/>
  <c r="AU677" i="12"/>
  <c r="CK676" i="12"/>
  <c r="CJ676" i="12"/>
  <c r="BM676" i="12"/>
  <c r="CH676" i="12" s="1"/>
  <c r="AU676" i="12"/>
  <c r="CK675" i="12"/>
  <c r="CJ675" i="12"/>
  <c r="CH675" i="12"/>
  <c r="AU675" i="12"/>
  <c r="CK674" i="12"/>
  <c r="CJ674" i="12"/>
  <c r="BM674" i="12"/>
  <c r="CH674" i="12" s="1"/>
  <c r="AU674" i="12"/>
  <c r="CK673" i="12"/>
  <c r="CJ673" i="12"/>
  <c r="CH673" i="12"/>
  <c r="AU673" i="12"/>
  <c r="CK672" i="12"/>
  <c r="CJ672" i="12"/>
  <c r="BM672" i="12"/>
  <c r="CH672" i="12" s="1"/>
  <c r="AU672" i="12"/>
  <c r="CK671" i="12"/>
  <c r="CJ671" i="12"/>
  <c r="BM671" i="12"/>
  <c r="CH671" i="12" s="1"/>
  <c r="AU671" i="12"/>
  <c r="CK670" i="12"/>
  <c r="CJ670" i="12"/>
  <c r="BM670" i="12"/>
  <c r="CH670" i="12" s="1"/>
  <c r="AU670" i="12"/>
  <c r="CK669" i="12"/>
  <c r="CJ669" i="12"/>
  <c r="BM669" i="12"/>
  <c r="CH669" i="12" s="1"/>
  <c r="AU669" i="12"/>
  <c r="CK668" i="12"/>
  <c r="CJ668" i="12"/>
  <c r="BM668" i="12"/>
  <c r="CH668" i="12" s="1"/>
  <c r="AU668" i="12"/>
  <c r="CK667" i="12"/>
  <c r="CJ667" i="12"/>
  <c r="BM667" i="12"/>
  <c r="AW667" i="12"/>
  <c r="AU667" i="12"/>
  <c r="CK666" i="12"/>
  <c r="CJ666" i="12"/>
  <c r="CH666" i="12"/>
  <c r="AU666" i="12"/>
  <c r="CK665" i="12"/>
  <c r="CJ665" i="12"/>
  <c r="CH665" i="12"/>
  <c r="AU665" i="12"/>
  <c r="CK664" i="12"/>
  <c r="CJ664" i="12"/>
  <c r="CH664" i="12"/>
  <c r="CI664" i="12" s="1"/>
  <c r="CK663" i="12"/>
  <c r="CJ663" i="12"/>
  <c r="CH663" i="12"/>
  <c r="CI663" i="12" s="1"/>
  <c r="CK662" i="12"/>
  <c r="CJ662" i="12"/>
  <c r="CH662" i="12"/>
  <c r="AU662" i="12"/>
  <c r="CK661" i="12"/>
  <c r="CJ661" i="12"/>
  <c r="CH661" i="12"/>
  <c r="AU661" i="12"/>
  <c r="CK660" i="12"/>
  <c r="CJ660" i="12"/>
  <c r="CH660" i="12"/>
  <c r="AU660" i="12"/>
  <c r="CK659" i="12"/>
  <c r="CJ659" i="12"/>
  <c r="AW659" i="12"/>
  <c r="CH659" i="12" s="1"/>
  <c r="AU659" i="12"/>
  <c r="CK658" i="12"/>
  <c r="CJ658" i="12"/>
  <c r="CG658" i="12"/>
  <c r="CG682" i="12" s="1"/>
  <c r="BM658" i="12"/>
  <c r="AW658" i="12"/>
  <c r="AU658" i="12"/>
  <c r="CK657" i="12"/>
  <c r="CJ657" i="12"/>
  <c r="BM657" i="12"/>
  <c r="AW657" i="12"/>
  <c r="AU657" i="12"/>
  <c r="CK656" i="12"/>
  <c r="CJ656" i="12"/>
  <c r="BM656" i="12"/>
  <c r="AW656" i="12"/>
  <c r="AU656" i="12"/>
  <c r="CK655" i="12"/>
  <c r="CJ655" i="12"/>
  <c r="CH655" i="12"/>
  <c r="AU655" i="12"/>
  <c r="CK654" i="12"/>
  <c r="CJ654" i="12"/>
  <c r="CH654" i="12"/>
  <c r="AU654" i="12"/>
  <c r="CK653" i="12"/>
  <c r="CJ653" i="12"/>
  <c r="CH653" i="12"/>
  <c r="AU653" i="12"/>
  <c r="CK652" i="12"/>
  <c r="CJ652" i="12"/>
  <c r="CH652" i="12"/>
  <c r="AU652" i="12"/>
  <c r="CK651" i="12"/>
  <c r="CJ651" i="12"/>
  <c r="CH651" i="12"/>
  <c r="AU651" i="12"/>
  <c r="CK650" i="12"/>
  <c r="CJ650" i="12"/>
  <c r="CH650" i="12"/>
  <c r="AU650" i="12"/>
  <c r="CK649" i="12"/>
  <c r="CJ649" i="12"/>
  <c r="CH649" i="12"/>
  <c r="AU649" i="12"/>
  <c r="CK648" i="12"/>
  <c r="CJ648" i="12"/>
  <c r="CH648" i="12"/>
  <c r="AU648" i="12"/>
  <c r="CK647" i="12"/>
  <c r="CJ647" i="12"/>
  <c r="AW647" i="12"/>
  <c r="CH647" i="12" s="1"/>
  <c r="AU647" i="12"/>
  <c r="CK646" i="12"/>
  <c r="CJ646" i="12"/>
  <c r="AW646" i="12"/>
  <c r="CH646" i="12" s="1"/>
  <c r="AU646" i="12"/>
  <c r="CK645" i="12"/>
  <c r="CJ645" i="12"/>
  <c r="AW645" i="12"/>
  <c r="CH645" i="12" s="1"/>
  <c r="AU645" i="12"/>
  <c r="CK644" i="12"/>
  <c r="CJ644" i="12"/>
  <c r="CH644" i="12"/>
  <c r="AU644" i="12"/>
  <c r="CK643" i="12"/>
  <c r="CJ643" i="12"/>
  <c r="CH643" i="12"/>
  <c r="AU643" i="12"/>
  <c r="CK642" i="12"/>
  <c r="CJ642" i="12"/>
  <c r="CH642" i="12"/>
  <c r="AU642" i="12"/>
  <c r="CK641" i="12"/>
  <c r="CJ641" i="12"/>
  <c r="CH641" i="12"/>
  <c r="AU641" i="12"/>
  <c r="CK640" i="12"/>
  <c r="CJ640" i="12"/>
  <c r="CH640" i="12"/>
  <c r="AU640" i="12"/>
  <c r="CK639" i="12"/>
  <c r="CJ639" i="12"/>
  <c r="CH639" i="12"/>
  <c r="AU639" i="12"/>
  <c r="CK638" i="12"/>
  <c r="CJ638" i="12"/>
  <c r="CH638" i="12"/>
  <c r="AU638" i="12"/>
  <c r="CK637" i="12"/>
  <c r="CJ637" i="12"/>
  <c r="CH637" i="12"/>
  <c r="AU637" i="12"/>
  <c r="G637" i="12"/>
  <c r="G638" i="12" s="1"/>
  <c r="G639" i="12" s="1"/>
  <c r="CK636" i="12"/>
  <c r="CJ636" i="12"/>
  <c r="CH636" i="12"/>
  <c r="AU636" i="12"/>
  <c r="CK635" i="12"/>
  <c r="CJ635" i="12"/>
  <c r="CH635" i="12"/>
  <c r="AU635" i="12"/>
  <c r="CK634" i="12"/>
  <c r="CJ634" i="12"/>
  <c r="CH634" i="12"/>
  <c r="AU634" i="12"/>
  <c r="CK633" i="12"/>
  <c r="CJ633" i="12"/>
  <c r="CH633" i="12"/>
  <c r="AU633" i="12"/>
  <c r="CK632" i="12"/>
  <c r="CJ632" i="12"/>
  <c r="CH632" i="12"/>
  <c r="AU632" i="12"/>
  <c r="CK631" i="12"/>
  <c r="CJ631" i="12"/>
  <c r="CH631" i="12"/>
  <c r="AU631" i="12"/>
  <c r="CK630" i="12"/>
  <c r="CJ630" i="12"/>
  <c r="CH630" i="12"/>
  <c r="AU630" i="12"/>
  <c r="CK629" i="12"/>
  <c r="CJ629" i="12"/>
  <c r="CH629" i="12"/>
  <c r="AU629" i="12"/>
  <c r="CK628" i="12"/>
  <c r="CJ628" i="12"/>
  <c r="CH628" i="12"/>
  <c r="AU628" i="12"/>
  <c r="CK627" i="12"/>
  <c r="CJ627" i="12"/>
  <c r="CH627" i="12"/>
  <c r="AU627" i="12"/>
  <c r="CK626" i="12"/>
  <c r="CJ626" i="12"/>
  <c r="CH626" i="12"/>
  <c r="AU626" i="12"/>
  <c r="CK625" i="12"/>
  <c r="CJ625" i="12"/>
  <c r="AW625" i="12"/>
  <c r="AX625" i="12" s="1"/>
  <c r="AU625" i="12"/>
  <c r="CK624" i="12"/>
  <c r="CJ624" i="12"/>
  <c r="CH624" i="12"/>
  <c r="AU624" i="12"/>
  <c r="CK623" i="12"/>
  <c r="CJ623" i="12"/>
  <c r="CH623" i="12"/>
  <c r="AU623" i="12"/>
  <c r="CK622" i="12"/>
  <c r="CJ622" i="12"/>
  <c r="CH622" i="12"/>
  <c r="AU622" i="12"/>
  <c r="CK621" i="12"/>
  <c r="CJ621" i="12"/>
  <c r="CH621" i="12"/>
  <c r="AU621" i="12"/>
  <c r="CK620" i="12"/>
  <c r="CJ620" i="12"/>
  <c r="CH620" i="12"/>
  <c r="AU620" i="12"/>
  <c r="CK619" i="12"/>
  <c r="CJ619" i="12"/>
  <c r="CH619" i="12"/>
  <c r="AU619" i="12"/>
  <c r="CK618" i="12"/>
  <c r="CJ618" i="12"/>
  <c r="CH618" i="12"/>
  <c r="AU618" i="12"/>
  <c r="CK617" i="12"/>
  <c r="CJ617" i="12"/>
  <c r="CH617" i="12"/>
  <c r="AU617" i="12"/>
  <c r="CK616" i="12"/>
  <c r="CJ616" i="12"/>
  <c r="CH616" i="12"/>
  <c r="AU616" i="12"/>
  <c r="CK615" i="12"/>
  <c r="CJ615" i="12"/>
  <c r="CH615" i="12"/>
  <c r="AU615" i="12"/>
  <c r="CK614" i="12"/>
  <c r="CJ614" i="12"/>
  <c r="CH614" i="12"/>
  <c r="AU614" i="12"/>
  <c r="CK613" i="12"/>
  <c r="CJ613" i="12"/>
  <c r="CH613" i="12"/>
  <c r="AU613" i="12"/>
  <c r="CK612" i="12"/>
  <c r="CJ612" i="12"/>
  <c r="CH612" i="12"/>
  <c r="AU612" i="12"/>
  <c r="CK611" i="12"/>
  <c r="CJ611" i="12"/>
  <c r="CH611" i="12"/>
  <c r="AU611" i="12"/>
  <c r="CK610" i="12"/>
  <c r="CJ610" i="12"/>
  <c r="CH610" i="12"/>
  <c r="AU610" i="12"/>
  <c r="CK609" i="12"/>
  <c r="CJ609" i="12"/>
  <c r="CH609" i="12"/>
  <c r="AU609" i="12"/>
  <c r="CK608" i="12"/>
  <c r="CJ608" i="12"/>
  <c r="CH608" i="12"/>
  <c r="AU608" i="12"/>
  <c r="CK607" i="12"/>
  <c r="CJ607" i="12"/>
  <c r="CH607" i="12"/>
  <c r="AU607" i="12"/>
  <c r="CK606" i="12"/>
  <c r="CJ606" i="12"/>
  <c r="CH606" i="12"/>
  <c r="AU606" i="12"/>
  <c r="CK605" i="12"/>
  <c r="CJ605" i="12"/>
  <c r="CH605" i="12"/>
  <c r="AU605" i="12"/>
  <c r="CK604" i="12"/>
  <c r="CJ604" i="12"/>
  <c r="CH604" i="12"/>
  <c r="AU604" i="12"/>
  <c r="CK603" i="12"/>
  <c r="CJ603" i="12"/>
  <c r="CH603" i="12"/>
  <c r="AU603" i="12"/>
  <c r="CK602" i="12"/>
  <c r="CJ602" i="12"/>
  <c r="CH602" i="12"/>
  <c r="AU602" i="12"/>
  <c r="CK601" i="12"/>
  <c r="CJ601" i="12"/>
  <c r="CH601" i="12"/>
  <c r="AU601" i="12"/>
  <c r="CK600" i="12"/>
  <c r="CJ600" i="12"/>
  <c r="CH600" i="12"/>
  <c r="AU600" i="12"/>
  <c r="CK599" i="12"/>
  <c r="CJ599" i="12"/>
  <c r="CH599" i="12"/>
  <c r="AU599" i="12"/>
  <c r="CK598" i="12"/>
  <c r="CJ598" i="12"/>
  <c r="CH598" i="12"/>
  <c r="AU598" i="12"/>
  <c r="CK597" i="12"/>
  <c r="CJ597" i="12"/>
  <c r="CH597" i="12"/>
  <c r="AU597" i="12"/>
  <c r="CK596" i="12"/>
  <c r="CJ596" i="12"/>
  <c r="CH596" i="12"/>
  <c r="AU596" i="12"/>
  <c r="CK595" i="12"/>
  <c r="CJ595" i="12"/>
  <c r="CH595" i="12"/>
  <c r="AU595" i="12"/>
  <c r="CK594" i="12"/>
  <c r="CJ594" i="12"/>
  <c r="CH594" i="12"/>
  <c r="AU594" i="12"/>
  <c r="CK593" i="12"/>
  <c r="CJ593" i="12"/>
  <c r="CH593" i="12"/>
  <c r="AU593" i="12"/>
  <c r="CK592" i="12"/>
  <c r="CJ592" i="12"/>
  <c r="CH592" i="12"/>
  <c r="AU592" i="12"/>
  <c r="CK591" i="12"/>
  <c r="CJ591" i="12"/>
  <c r="CH591" i="12"/>
  <c r="AU591" i="12"/>
  <c r="CK590" i="12"/>
  <c r="CJ590" i="12"/>
  <c r="CH590" i="12"/>
  <c r="AU590" i="12"/>
  <c r="CK589" i="12"/>
  <c r="CJ589" i="12"/>
  <c r="CH589" i="12"/>
  <c r="AU589" i="12"/>
  <c r="CK588" i="12"/>
  <c r="CJ588" i="12"/>
  <c r="CH588" i="12"/>
  <c r="AU588" i="12"/>
  <c r="CK587" i="12"/>
  <c r="CJ587" i="12"/>
  <c r="CH587" i="12"/>
  <c r="AU587" i="12"/>
  <c r="CK586" i="12"/>
  <c r="CJ586" i="12"/>
  <c r="CH586" i="12"/>
  <c r="AU586" i="12"/>
  <c r="CK585" i="12"/>
  <c r="CJ585" i="12"/>
  <c r="CH585" i="12"/>
  <c r="AU585" i="12"/>
  <c r="CK584" i="12"/>
  <c r="CJ584" i="12"/>
  <c r="CH584" i="12"/>
  <c r="AU584" i="12"/>
  <c r="CK583" i="12"/>
  <c r="CJ583" i="12"/>
  <c r="CH583" i="12"/>
  <c r="AU583" i="12"/>
  <c r="CK582" i="12"/>
  <c r="CJ582" i="12"/>
  <c r="CH582" i="12"/>
  <c r="AU582" i="12"/>
  <c r="CK581" i="12"/>
  <c r="CJ581" i="12"/>
  <c r="CH581" i="12"/>
  <c r="AU581" i="12"/>
  <c r="CK580" i="12"/>
  <c r="CJ580" i="12"/>
  <c r="CH580" i="12"/>
  <c r="AU580" i="12"/>
  <c r="CK579" i="12"/>
  <c r="CJ579" i="12"/>
  <c r="CH579" i="12"/>
  <c r="AU579" i="12"/>
  <c r="CK578" i="12"/>
  <c r="CJ578" i="12"/>
  <c r="CH578" i="12"/>
  <c r="AU578" i="12"/>
  <c r="CK577" i="12"/>
  <c r="CJ577" i="12"/>
  <c r="CH577" i="12"/>
  <c r="AU577" i="12"/>
  <c r="CK576" i="12"/>
  <c r="CJ576" i="12"/>
  <c r="CH576" i="12"/>
  <c r="AU576" i="12"/>
  <c r="CK575" i="12"/>
  <c r="CJ575" i="12"/>
  <c r="CH575" i="12"/>
  <c r="AU575" i="12"/>
  <c r="CK574" i="12"/>
  <c r="CJ574" i="12"/>
  <c r="CH574" i="12"/>
  <c r="AU574" i="12"/>
  <c r="CK573" i="12"/>
  <c r="CJ573" i="12"/>
  <c r="CH573" i="12"/>
  <c r="AU573" i="12"/>
  <c r="CK572" i="12"/>
  <c r="CJ572" i="12"/>
  <c r="CH572" i="12"/>
  <c r="AU572" i="12"/>
  <c r="CK571" i="12"/>
  <c r="CJ571" i="12"/>
  <c r="CH571" i="12"/>
  <c r="AU571" i="12"/>
  <c r="CK570" i="12"/>
  <c r="CJ570" i="12"/>
  <c r="CH570" i="12"/>
  <c r="AU570" i="12"/>
  <c r="CK569" i="12"/>
  <c r="CJ569" i="12"/>
  <c r="CH569" i="12"/>
  <c r="AU569" i="12"/>
  <c r="CK568" i="12"/>
  <c r="CJ568" i="12"/>
  <c r="AW568" i="12"/>
  <c r="CH568" i="12" s="1"/>
  <c r="AU568" i="12"/>
  <c r="CK567" i="12"/>
  <c r="CJ567" i="12"/>
  <c r="CH567" i="12"/>
  <c r="AU567" i="12"/>
  <c r="CK566" i="12"/>
  <c r="CJ566" i="12"/>
  <c r="CH566" i="12"/>
  <c r="AU566" i="12"/>
  <c r="CK565" i="12"/>
  <c r="CJ565" i="12"/>
  <c r="AW565" i="12"/>
  <c r="AU565" i="12"/>
  <c r="CK564" i="12"/>
  <c r="CJ564" i="12"/>
  <c r="CH564" i="12"/>
  <c r="AU564" i="12"/>
  <c r="CK563" i="12"/>
  <c r="CJ563" i="12"/>
  <c r="CH563" i="12"/>
  <c r="AU563" i="12"/>
  <c r="CK562" i="12"/>
  <c r="CJ562" i="12"/>
  <c r="CH562" i="12"/>
  <c r="AU562" i="12"/>
  <c r="CK561" i="12"/>
  <c r="CJ561" i="12"/>
  <c r="CH561" i="12"/>
  <c r="AU561" i="12"/>
  <c r="CK560" i="12"/>
  <c r="CJ560" i="12"/>
  <c r="CH560" i="12"/>
  <c r="AU560" i="12"/>
  <c r="CK559" i="12"/>
  <c r="CJ559" i="12"/>
  <c r="CH559" i="12"/>
  <c r="AU559" i="12"/>
  <c r="CK558" i="12"/>
  <c r="CJ558" i="12"/>
  <c r="CH558" i="12"/>
  <c r="AU558" i="12"/>
  <c r="CK557" i="12"/>
  <c r="CJ557" i="12"/>
  <c r="CH557" i="12"/>
  <c r="AU557" i="12"/>
  <c r="CK556" i="12"/>
  <c r="CJ556" i="12"/>
  <c r="CH556" i="12"/>
  <c r="AU556" i="12"/>
  <c r="CK555" i="12"/>
  <c r="CJ555" i="12"/>
  <c r="CH555" i="12"/>
  <c r="AU555" i="12"/>
  <c r="CK554" i="12"/>
  <c r="CJ554" i="12"/>
  <c r="CH554" i="12"/>
  <c r="AU554" i="12"/>
  <c r="CF551" i="12"/>
  <c r="CE551" i="12"/>
  <c r="CD551" i="12"/>
  <c r="CC551" i="12"/>
  <c r="CB551" i="12"/>
  <c r="CA551" i="12"/>
  <c r="BZ551" i="12"/>
  <c r="BY551" i="12"/>
  <c r="BX551" i="12"/>
  <c r="BW551" i="12"/>
  <c r="BV551" i="12"/>
  <c r="BU551" i="12"/>
  <c r="BT551" i="12"/>
  <c r="BS551" i="12"/>
  <c r="BR551" i="12"/>
  <c r="BQ551" i="12"/>
  <c r="BP551" i="12"/>
  <c r="BO551" i="12"/>
  <c r="BN551" i="12"/>
  <c r="BL551" i="12"/>
  <c r="BK551" i="12"/>
  <c r="BJ551" i="12"/>
  <c r="BG551" i="12"/>
  <c r="BF551" i="12"/>
  <c r="BD551" i="12"/>
  <c r="BC551" i="12"/>
  <c r="BB551" i="12"/>
  <c r="BA551" i="12"/>
  <c r="AZ551" i="12"/>
  <c r="AY551" i="12"/>
  <c r="AV551" i="12"/>
  <c r="AT551" i="12"/>
  <c r="AS551" i="12"/>
  <c r="AR551" i="12"/>
  <c r="AQ551" i="12"/>
  <c r="AP551" i="12"/>
  <c r="AO551" i="12"/>
  <c r="AN551" i="12"/>
  <c r="AM551" i="12"/>
  <c r="AL551" i="12"/>
  <c r="AK551" i="12"/>
  <c r="AJ551" i="12"/>
  <c r="AI551" i="12"/>
  <c r="AH551" i="12"/>
  <c r="AG551" i="12"/>
  <c r="AE551" i="12"/>
  <c r="AD551" i="12"/>
  <c r="AC551" i="12"/>
  <c r="AB551" i="12"/>
  <c r="AA551" i="12"/>
  <c r="Z551" i="12"/>
  <c r="Y551" i="12"/>
  <c r="X551" i="12"/>
  <c r="W551" i="12"/>
  <c r="V551" i="12"/>
  <c r="U551" i="12"/>
  <c r="T551" i="12"/>
  <c r="S551" i="12"/>
  <c r="R551" i="12"/>
  <c r="Q551" i="12"/>
  <c r="P551" i="12"/>
  <c r="O551" i="12"/>
  <c r="N551" i="12"/>
  <c r="M551" i="12"/>
  <c r="L551" i="12"/>
  <c r="K551" i="12"/>
  <c r="J551" i="12"/>
  <c r="I551" i="12"/>
  <c r="C555" i="12" s="1"/>
  <c r="CK550" i="12"/>
  <c r="CJ550" i="12"/>
  <c r="CH550" i="12"/>
  <c r="AU550" i="12"/>
  <c r="CK549" i="12"/>
  <c r="CJ549" i="12"/>
  <c r="CH549" i="12"/>
  <c r="AU549" i="12"/>
  <c r="CK548" i="12"/>
  <c r="CJ548" i="12"/>
  <c r="CH548" i="12"/>
  <c r="AU548" i="12"/>
  <c r="CK547" i="12"/>
  <c r="CJ547" i="12"/>
  <c r="CH547" i="12"/>
  <c r="AU547" i="12"/>
  <c r="CK546" i="12"/>
  <c r="CJ546" i="12"/>
  <c r="CH546" i="12"/>
  <c r="AU546" i="12"/>
  <c r="CK545" i="12"/>
  <c r="CJ545" i="12"/>
  <c r="CH545" i="12"/>
  <c r="AU545" i="12"/>
  <c r="CK544" i="12"/>
  <c r="CJ544" i="12"/>
  <c r="CH544" i="12"/>
  <c r="AU544" i="12"/>
  <c r="CK543" i="12"/>
  <c r="CJ543" i="12"/>
  <c r="CH543" i="12"/>
  <c r="AU543" i="12"/>
  <c r="CK542" i="12"/>
  <c r="CJ542" i="12"/>
  <c r="CH542" i="12"/>
  <c r="AU542" i="12"/>
  <c r="CK541" i="12"/>
  <c r="CJ541" i="12"/>
  <c r="CH541" i="12"/>
  <c r="AU541" i="12"/>
  <c r="CK540" i="12"/>
  <c r="CJ540" i="12"/>
  <c r="CH540" i="12"/>
  <c r="AU540" i="12"/>
  <c r="CK539" i="12"/>
  <c r="CJ539" i="12"/>
  <c r="CH539" i="12"/>
  <c r="AU539" i="12"/>
  <c r="CK538" i="12"/>
  <c r="CJ538" i="12"/>
  <c r="CH538" i="12"/>
  <c r="AU538" i="12"/>
  <c r="CK537" i="12"/>
  <c r="CJ537" i="12"/>
  <c r="CH537" i="12"/>
  <c r="AU537" i="12"/>
  <c r="CK536" i="12"/>
  <c r="CJ536" i="12"/>
  <c r="CH536" i="12"/>
  <c r="AU536" i="12"/>
  <c r="CK535" i="12"/>
  <c r="CJ535" i="12"/>
  <c r="BM535" i="12"/>
  <c r="AW535" i="12"/>
  <c r="AU535" i="12"/>
  <c r="CK534" i="12"/>
  <c r="CJ534" i="12"/>
  <c r="BM534" i="12"/>
  <c r="AW534" i="12"/>
  <c r="AU534" i="12"/>
  <c r="CK533" i="12"/>
  <c r="CJ533" i="12"/>
  <c r="CH533" i="12"/>
  <c r="AU533" i="12"/>
  <c r="CK532" i="12"/>
  <c r="CJ532" i="12"/>
  <c r="CH532" i="12"/>
  <c r="AU532" i="12"/>
  <c r="CK531" i="12"/>
  <c r="CJ531" i="12"/>
  <c r="CH531" i="12"/>
  <c r="AU531" i="12"/>
  <c r="CK530" i="12"/>
  <c r="CJ530" i="12"/>
  <c r="CH530" i="12"/>
  <c r="AU530" i="12"/>
  <c r="CK529" i="12"/>
  <c r="CJ529" i="12"/>
  <c r="CH529" i="12"/>
  <c r="AU529" i="12"/>
  <c r="CK528" i="12"/>
  <c r="CJ528" i="12"/>
  <c r="CH528" i="12"/>
  <c r="AU528" i="12"/>
  <c r="CK527" i="12"/>
  <c r="CJ527" i="12"/>
  <c r="CH527" i="12"/>
  <c r="AU527" i="12"/>
  <c r="CK526" i="12"/>
  <c r="CJ526" i="12"/>
  <c r="CH526" i="12"/>
  <c r="AU526" i="12"/>
  <c r="CK525" i="12"/>
  <c r="CJ525" i="12"/>
  <c r="CH525" i="12"/>
  <c r="AU525" i="12"/>
  <c r="CK524" i="12"/>
  <c r="CJ524" i="12"/>
  <c r="AW524" i="12"/>
  <c r="CH524" i="12" s="1"/>
  <c r="AU524" i="12"/>
  <c r="CK523" i="12"/>
  <c r="CJ523" i="12"/>
  <c r="AW523" i="12"/>
  <c r="CH523" i="12" s="1"/>
  <c r="AU523" i="12"/>
  <c r="CK522" i="12"/>
  <c r="CJ522" i="12"/>
  <c r="AW522" i="12"/>
  <c r="CH522" i="12" s="1"/>
  <c r="AU522" i="12"/>
  <c r="CK521" i="12"/>
  <c r="CJ521" i="12"/>
  <c r="AW521" i="12"/>
  <c r="CH521" i="12" s="1"/>
  <c r="AU521" i="12"/>
  <c r="CK520" i="12"/>
  <c r="CJ520" i="12"/>
  <c r="AW520" i="12"/>
  <c r="CH520" i="12" s="1"/>
  <c r="AU520" i="12"/>
  <c r="CK519" i="12"/>
  <c r="CJ519" i="12"/>
  <c r="CH519" i="12"/>
  <c r="AU519" i="12"/>
  <c r="CK518" i="12"/>
  <c r="CJ518" i="12"/>
  <c r="AW518" i="12"/>
  <c r="CH518" i="12" s="1"/>
  <c r="AU518" i="12"/>
  <c r="CK517" i="12"/>
  <c r="CJ517" i="12"/>
  <c r="AW517" i="12"/>
  <c r="CH517" i="12" s="1"/>
  <c r="AU517" i="12"/>
  <c r="CK516" i="12"/>
  <c r="CJ516" i="12"/>
  <c r="CH516" i="12"/>
  <c r="AU516" i="12"/>
  <c r="CK515" i="12"/>
  <c r="CJ515" i="12"/>
  <c r="AW515" i="12"/>
  <c r="CH515" i="12" s="1"/>
  <c r="AU515" i="12"/>
  <c r="CK514" i="12"/>
  <c r="CJ514" i="12"/>
  <c r="CH514" i="12"/>
  <c r="AU514" i="12"/>
  <c r="CK513" i="12"/>
  <c r="CJ513" i="12"/>
  <c r="CH513" i="12"/>
  <c r="AU513" i="12"/>
  <c r="CK512" i="12"/>
  <c r="CJ512" i="12"/>
  <c r="CH512" i="12"/>
  <c r="AU512" i="12"/>
  <c r="CK511" i="12"/>
  <c r="CJ511" i="12"/>
  <c r="AW511" i="12"/>
  <c r="CH511" i="12" s="1"/>
  <c r="AU511" i="12"/>
  <c r="CJ510" i="12"/>
  <c r="CK509" i="12"/>
  <c r="CJ509" i="12"/>
  <c r="CH509" i="12"/>
  <c r="AU509" i="12"/>
  <c r="CK508" i="12"/>
  <c r="CJ508" i="12"/>
  <c r="CH508" i="12"/>
  <c r="AU508" i="12"/>
  <c r="CK507" i="12"/>
  <c r="CJ507" i="12"/>
  <c r="BH507" i="12"/>
  <c r="AU507" i="12"/>
  <c r="CK506" i="12"/>
  <c r="CJ506" i="12"/>
  <c r="BM506" i="12"/>
  <c r="CH506" i="12" s="1"/>
  <c r="AU506" i="12"/>
  <c r="CK505" i="12"/>
  <c r="CJ505" i="12"/>
  <c r="CH505" i="12"/>
  <c r="AU505" i="12"/>
  <c r="CK504" i="12"/>
  <c r="CJ504" i="12"/>
  <c r="BM504" i="12"/>
  <c r="CH504" i="12" s="1"/>
  <c r="AU504" i="12"/>
  <c r="CK503" i="12"/>
  <c r="CJ503" i="12"/>
  <c r="CG503" i="12"/>
  <c r="CG551" i="12" s="1"/>
  <c r="AU503" i="12"/>
  <c r="CK502" i="12"/>
  <c r="CJ502" i="12"/>
  <c r="CH502" i="12"/>
  <c r="AU502" i="12"/>
  <c r="CK501" i="12"/>
  <c r="CJ501" i="12"/>
  <c r="CH501" i="12"/>
  <c r="AU501" i="12"/>
  <c r="CK500" i="12"/>
  <c r="CJ500" i="12"/>
  <c r="CH500" i="12"/>
  <c r="AU500" i="12"/>
  <c r="CK499" i="12"/>
  <c r="CJ499" i="12"/>
  <c r="CH499" i="12"/>
  <c r="AU499" i="12"/>
  <c r="CK498" i="12"/>
  <c r="CJ498" i="12"/>
  <c r="CH498" i="12"/>
  <c r="AU498" i="12"/>
  <c r="CK497" i="12"/>
  <c r="CJ497" i="12"/>
  <c r="CH497" i="12"/>
  <c r="AU497" i="12"/>
  <c r="CK496" i="12"/>
  <c r="CJ496" i="12"/>
  <c r="AW496" i="12"/>
  <c r="CH496" i="12" s="1"/>
  <c r="AU496" i="12"/>
  <c r="CK495" i="12"/>
  <c r="CJ495" i="12"/>
  <c r="CH495" i="12"/>
  <c r="AU495" i="12"/>
  <c r="CK494" i="12"/>
  <c r="CJ494" i="12"/>
  <c r="CH494" i="12"/>
  <c r="AU494" i="12"/>
  <c r="CK493" i="12"/>
  <c r="CJ493" i="12"/>
  <c r="CH493" i="12"/>
  <c r="AU493" i="12"/>
  <c r="CK492" i="12"/>
  <c r="CJ492" i="12"/>
  <c r="CH492" i="12"/>
  <c r="AU492" i="12"/>
  <c r="CK491" i="12"/>
  <c r="CJ491" i="12"/>
  <c r="CH491" i="12"/>
  <c r="AU491" i="12"/>
  <c r="CK490" i="12"/>
  <c r="CJ490" i="12"/>
  <c r="CH490" i="12"/>
  <c r="AU490" i="12"/>
  <c r="CK489" i="12"/>
  <c r="CJ489" i="12"/>
  <c r="CH489" i="12"/>
  <c r="AU489" i="12"/>
  <c r="CK488" i="12"/>
  <c r="CJ488" i="12"/>
  <c r="AW488" i="12"/>
  <c r="CH488" i="12" s="1"/>
  <c r="AU488" i="12"/>
  <c r="CK487" i="12"/>
  <c r="CJ487" i="12"/>
  <c r="CH487" i="12"/>
  <c r="AU487" i="12"/>
  <c r="CK486" i="12"/>
  <c r="CJ486" i="12"/>
  <c r="CH486" i="12"/>
  <c r="AU486" i="12"/>
  <c r="CK485" i="12"/>
  <c r="CJ485" i="12"/>
  <c r="CH485" i="12"/>
  <c r="AU485" i="12"/>
  <c r="CK484" i="12"/>
  <c r="CJ484" i="12"/>
  <c r="CH484" i="12"/>
  <c r="AU484" i="12"/>
  <c r="CK483" i="12"/>
  <c r="CJ483" i="12"/>
  <c r="AW483" i="12"/>
  <c r="CH483" i="12" s="1"/>
  <c r="AU483" i="12"/>
  <c r="CK482" i="12"/>
  <c r="CJ482" i="12"/>
  <c r="CH482" i="12"/>
  <c r="AU482" i="12"/>
  <c r="CK481" i="12"/>
  <c r="CJ481" i="12"/>
  <c r="CH481" i="12"/>
  <c r="AU481" i="12"/>
  <c r="CK480" i="12"/>
  <c r="CJ480" i="12"/>
  <c r="CH480" i="12"/>
  <c r="AU480" i="12"/>
  <c r="CK479" i="12"/>
  <c r="CJ479" i="12"/>
  <c r="CH479" i="12"/>
  <c r="AU479" i="12"/>
  <c r="CK478" i="12"/>
  <c r="CJ478" i="12"/>
  <c r="CH478" i="12"/>
  <c r="AU478" i="12"/>
  <c r="CK477" i="12"/>
  <c r="CJ477" i="12"/>
  <c r="CH477" i="12"/>
  <c r="AU477" i="12"/>
  <c r="CK476" i="12"/>
  <c r="CJ476" i="12"/>
  <c r="CH476" i="12"/>
  <c r="AU476" i="12"/>
  <c r="CK475" i="12"/>
  <c r="CJ475" i="12"/>
  <c r="CH475" i="12"/>
  <c r="AU475" i="12"/>
  <c r="CK474" i="12"/>
  <c r="CJ474" i="12"/>
  <c r="CH474" i="12"/>
  <c r="AU474" i="12"/>
  <c r="CK473" i="12"/>
  <c r="CJ473" i="12"/>
  <c r="CH473" i="12"/>
  <c r="AU473" i="12"/>
  <c r="CK472" i="12"/>
  <c r="CJ472" i="12"/>
  <c r="AW472" i="12"/>
  <c r="CH472" i="12" s="1"/>
  <c r="AU472" i="12"/>
  <c r="CK471" i="12"/>
  <c r="CJ471" i="12"/>
  <c r="CH471" i="12"/>
  <c r="AU471" i="12"/>
  <c r="CK470" i="12"/>
  <c r="CJ470" i="12"/>
  <c r="CH470" i="12"/>
  <c r="AU470" i="12"/>
  <c r="CK469" i="12"/>
  <c r="CJ469" i="12"/>
  <c r="CH469" i="12"/>
  <c r="AU469" i="12"/>
  <c r="CK468" i="12"/>
  <c r="CJ468" i="12"/>
  <c r="CH468" i="12"/>
  <c r="AU468" i="12"/>
  <c r="CK467" i="12"/>
  <c r="CJ467" i="12"/>
  <c r="CH467" i="12"/>
  <c r="AU467" i="12"/>
  <c r="CK466" i="12"/>
  <c r="CJ466" i="12"/>
  <c r="CH466" i="12"/>
  <c r="AU466" i="12"/>
  <c r="CK465" i="12"/>
  <c r="CJ465" i="12"/>
  <c r="CH465" i="12"/>
  <c r="AU465" i="12"/>
  <c r="CK464" i="12"/>
  <c r="CJ464" i="12"/>
  <c r="CH464" i="12"/>
  <c r="AU464" i="12"/>
  <c r="CK463" i="12"/>
  <c r="CJ463" i="12"/>
  <c r="CH463" i="12"/>
  <c r="AU463" i="12"/>
  <c r="CK462" i="12"/>
  <c r="CJ462" i="12"/>
  <c r="CH462" i="12"/>
  <c r="AU462" i="12"/>
  <c r="CK461" i="12"/>
  <c r="CJ461" i="12"/>
  <c r="CH461" i="12"/>
  <c r="AU461" i="12"/>
  <c r="CK460" i="12"/>
  <c r="CJ460" i="12"/>
  <c r="CH460" i="12"/>
  <c r="AU460" i="12"/>
  <c r="CK459" i="12"/>
  <c r="CJ459" i="12"/>
  <c r="CH459" i="12"/>
  <c r="AU459" i="12"/>
  <c r="CK458" i="12"/>
  <c r="CJ458" i="12"/>
  <c r="CH458" i="12"/>
  <c r="AU458" i="12"/>
  <c r="CK457" i="12"/>
  <c r="CJ457" i="12"/>
  <c r="CH457" i="12"/>
  <c r="AU457" i="12"/>
  <c r="CK456" i="12"/>
  <c r="CJ456" i="12"/>
  <c r="CH456" i="12"/>
  <c r="AU456" i="12"/>
  <c r="CK455" i="12"/>
  <c r="CJ455" i="12"/>
  <c r="CH455" i="12"/>
  <c r="AU455" i="12"/>
  <c r="CK454" i="12"/>
  <c r="CJ454" i="12"/>
  <c r="CH454" i="12"/>
  <c r="AU454" i="12"/>
  <c r="CK453" i="12"/>
  <c r="CJ453" i="12"/>
  <c r="CH453" i="12"/>
  <c r="AU453" i="12"/>
  <c r="CK452" i="12"/>
  <c r="CJ452" i="12"/>
  <c r="AW452" i="12"/>
  <c r="CH452" i="12" s="1"/>
  <c r="AU452" i="12"/>
  <c r="CK451" i="12"/>
  <c r="CJ451" i="12"/>
  <c r="CH451" i="12"/>
  <c r="AU451" i="12"/>
  <c r="CK450" i="12"/>
  <c r="CJ450" i="12"/>
  <c r="CH450" i="12"/>
  <c r="AU450" i="12"/>
  <c r="CK449" i="12"/>
  <c r="CJ449" i="12"/>
  <c r="CH449" i="12"/>
  <c r="AU449" i="12"/>
  <c r="CK448" i="12"/>
  <c r="CJ448" i="12"/>
  <c r="CH448" i="12"/>
  <c r="AU448" i="12"/>
  <c r="CK447" i="12"/>
  <c r="CJ447" i="12"/>
  <c r="CH447" i="12"/>
  <c r="AU447" i="12"/>
  <c r="CK446" i="12"/>
  <c r="CJ446" i="12"/>
  <c r="AW446" i="12"/>
  <c r="CH446" i="12" s="1"/>
  <c r="AU446" i="12"/>
  <c r="CK445" i="12"/>
  <c r="CJ445" i="12"/>
  <c r="CH445" i="12"/>
  <c r="AU445" i="12"/>
  <c r="CK444" i="12"/>
  <c r="CJ444" i="12"/>
  <c r="CH444" i="12"/>
  <c r="AU444" i="12"/>
  <c r="CK443" i="12"/>
  <c r="CJ443" i="12"/>
  <c r="CH443" i="12"/>
  <c r="AU443" i="12"/>
  <c r="CK442" i="12"/>
  <c r="CJ442" i="12"/>
  <c r="CH442" i="12"/>
  <c r="AU442" i="12"/>
  <c r="CK441" i="12"/>
  <c r="CJ441" i="12"/>
  <c r="CH441" i="12"/>
  <c r="AU441" i="12"/>
  <c r="CK440" i="12"/>
  <c r="CJ440" i="12"/>
  <c r="CH440" i="12"/>
  <c r="AU440" i="12"/>
  <c r="CK439" i="12"/>
  <c r="CJ439" i="12"/>
  <c r="AW439" i="12"/>
  <c r="CH439" i="12" s="1"/>
  <c r="AU439" i="12"/>
  <c r="CK438" i="12"/>
  <c r="CJ438" i="12"/>
  <c r="CH438" i="12"/>
  <c r="AU438" i="12"/>
  <c r="CK437" i="12"/>
  <c r="CJ437" i="12"/>
  <c r="CH437" i="12"/>
  <c r="AU437" i="12"/>
  <c r="CK436" i="12"/>
  <c r="CJ436" i="12"/>
  <c r="CH436" i="12"/>
  <c r="AU436" i="12"/>
  <c r="CK435" i="12"/>
  <c r="CJ435" i="12"/>
  <c r="CH435" i="12"/>
  <c r="AU435" i="12"/>
  <c r="CK434" i="12"/>
  <c r="CJ434" i="12"/>
  <c r="CH434" i="12"/>
  <c r="AU434" i="12"/>
  <c r="CK433" i="12"/>
  <c r="CJ433" i="12"/>
  <c r="CH433" i="12"/>
  <c r="AU433" i="12"/>
  <c r="CK432" i="12"/>
  <c r="CJ432" i="12"/>
  <c r="CH432" i="12"/>
  <c r="AU432" i="12"/>
  <c r="CK431" i="12"/>
  <c r="CJ431" i="12"/>
  <c r="AW431" i="12"/>
  <c r="CH431" i="12" s="1"/>
  <c r="AU431" i="12"/>
  <c r="CK430" i="12"/>
  <c r="CJ430" i="12"/>
  <c r="CH430" i="12"/>
  <c r="AU430" i="12"/>
  <c r="CK429" i="12"/>
  <c r="CJ429" i="12"/>
  <c r="CH429" i="12"/>
  <c r="AU429" i="12"/>
  <c r="CK428" i="12"/>
  <c r="CJ428" i="12"/>
  <c r="CH428" i="12"/>
  <c r="AU428" i="12"/>
  <c r="CK427" i="12"/>
  <c r="CJ427" i="12"/>
  <c r="CH427" i="12"/>
  <c r="AU427" i="12"/>
  <c r="CK426" i="12"/>
  <c r="CJ426" i="12"/>
  <c r="AW426" i="12"/>
  <c r="CH426" i="12" s="1"/>
  <c r="AU426" i="12"/>
  <c r="CK425" i="12"/>
  <c r="CJ425" i="12"/>
  <c r="CH425" i="12"/>
  <c r="AU425" i="12"/>
  <c r="CK424" i="12"/>
  <c r="CJ424" i="12"/>
  <c r="CH424" i="12"/>
  <c r="AU424" i="12"/>
  <c r="CK423" i="12"/>
  <c r="CJ423" i="12"/>
  <c r="CH423" i="12"/>
  <c r="AU423" i="12"/>
  <c r="CK422" i="12"/>
  <c r="CJ422" i="12"/>
  <c r="CH422" i="12"/>
  <c r="AU422" i="12"/>
  <c r="CK421" i="12"/>
  <c r="CJ421" i="12"/>
  <c r="CH421" i="12"/>
  <c r="AU421" i="12"/>
  <c r="CK420" i="12"/>
  <c r="CJ420" i="12"/>
  <c r="CH420" i="12"/>
  <c r="AU420" i="12"/>
  <c r="CK419" i="12"/>
  <c r="CJ419" i="12"/>
  <c r="CH419" i="12"/>
  <c r="AU419" i="12"/>
  <c r="CK418" i="12"/>
  <c r="CJ418" i="12"/>
  <c r="CH418" i="12"/>
  <c r="AU418" i="12"/>
  <c r="CK417" i="12"/>
  <c r="CJ417" i="12"/>
  <c r="AW417" i="12"/>
  <c r="CH417" i="12" s="1"/>
  <c r="AU417" i="12"/>
  <c r="CK416" i="12"/>
  <c r="CJ416" i="12"/>
  <c r="CH416" i="12"/>
  <c r="AU416" i="12"/>
  <c r="CK415" i="12"/>
  <c r="CJ415" i="12"/>
  <c r="CH415" i="12"/>
  <c r="AU415" i="12"/>
  <c r="CK414" i="12"/>
  <c r="CJ414" i="12"/>
  <c r="CH414" i="12"/>
  <c r="AU414" i="12"/>
  <c r="CK413" i="12"/>
  <c r="CJ413" i="12"/>
  <c r="CH413" i="12"/>
  <c r="AU413" i="12"/>
  <c r="CK412" i="12"/>
  <c r="CJ412" i="12"/>
  <c r="CH412" i="12"/>
  <c r="AU412" i="12"/>
  <c r="CK411" i="12"/>
  <c r="CJ411" i="12"/>
  <c r="CH411" i="12"/>
  <c r="AU411" i="12"/>
  <c r="CK410" i="12"/>
  <c r="CJ410" i="12"/>
  <c r="CH410" i="12"/>
  <c r="AU410" i="12"/>
  <c r="CK409" i="12"/>
  <c r="CJ409" i="12"/>
  <c r="CH409" i="12"/>
  <c r="AU409" i="12"/>
  <c r="CK408" i="12"/>
  <c r="CJ408" i="12"/>
  <c r="CH408" i="12"/>
  <c r="AU408" i="12"/>
  <c r="CK407" i="12"/>
  <c r="CJ407" i="12"/>
  <c r="CH407" i="12"/>
  <c r="AU407" i="12"/>
  <c r="CK406" i="12"/>
  <c r="CJ406" i="12"/>
  <c r="CH406" i="12"/>
  <c r="AU406" i="12"/>
  <c r="CK405" i="12"/>
  <c r="CJ405" i="12"/>
  <c r="CH405" i="12"/>
  <c r="AU405" i="12"/>
  <c r="CK404" i="12"/>
  <c r="CJ404" i="12"/>
  <c r="CH404" i="12"/>
  <c r="AU404" i="12"/>
  <c r="CK403" i="12"/>
  <c r="CJ403" i="12"/>
  <c r="CH403" i="12"/>
  <c r="AU403" i="12"/>
  <c r="CK402" i="12"/>
  <c r="CJ402" i="12"/>
  <c r="CH402" i="12"/>
  <c r="AU402" i="12"/>
  <c r="CK401" i="12"/>
  <c r="CJ401" i="12"/>
  <c r="CH401" i="12"/>
  <c r="AU401" i="12"/>
  <c r="CK400" i="12"/>
  <c r="CJ400" i="12"/>
  <c r="CH400" i="12"/>
  <c r="AU400" i="12"/>
  <c r="CK399" i="12"/>
  <c r="CJ399" i="12"/>
  <c r="CH399" i="12"/>
  <c r="AU399" i="12"/>
  <c r="CK398" i="12"/>
  <c r="CJ398" i="12"/>
  <c r="CH398" i="12"/>
  <c r="AU398" i="12"/>
  <c r="CK397" i="12"/>
  <c r="CJ397" i="12"/>
  <c r="CH397" i="12"/>
  <c r="AU397" i="12"/>
  <c r="CK396" i="12"/>
  <c r="CJ396" i="12"/>
  <c r="CH396" i="12"/>
  <c r="AU396" i="12"/>
  <c r="CK395" i="12"/>
  <c r="CJ395" i="12"/>
  <c r="CH395" i="12"/>
  <c r="AU395" i="12"/>
  <c r="CK394" i="12"/>
  <c r="CJ394" i="12"/>
  <c r="CH394" i="12"/>
  <c r="AU394" i="12"/>
  <c r="CK393" i="12"/>
  <c r="CJ393" i="12"/>
  <c r="CH393" i="12"/>
  <c r="AU393" i="12"/>
  <c r="CK392" i="12"/>
  <c r="CJ392" i="12"/>
  <c r="CH392" i="12"/>
  <c r="AU392" i="12"/>
  <c r="CK391" i="12"/>
  <c r="CJ391" i="12"/>
  <c r="CH391" i="12"/>
  <c r="AU391" i="12"/>
  <c r="CK390" i="12"/>
  <c r="CJ390" i="12"/>
  <c r="CH390" i="12"/>
  <c r="AU390" i="12"/>
  <c r="CK389" i="12"/>
  <c r="CJ389" i="12"/>
  <c r="CH389" i="12"/>
  <c r="AU389" i="12"/>
  <c r="CK388" i="12"/>
  <c r="CJ388" i="12"/>
  <c r="CH388" i="12"/>
  <c r="AU388" i="12"/>
  <c r="CK387" i="12"/>
  <c r="CJ387" i="12"/>
  <c r="CH387" i="12"/>
  <c r="AU387" i="12"/>
  <c r="CK386" i="12"/>
  <c r="CJ386" i="12"/>
  <c r="CH386" i="12"/>
  <c r="AU386" i="12"/>
  <c r="CK385" i="12"/>
  <c r="CJ385" i="12"/>
  <c r="CH385" i="12"/>
  <c r="AU385" i="12"/>
  <c r="CK384" i="12"/>
  <c r="CJ384" i="12"/>
  <c r="CH384" i="12"/>
  <c r="AU384" i="12"/>
  <c r="CK383" i="12"/>
  <c r="CJ383" i="12"/>
  <c r="CH383" i="12"/>
  <c r="AU383" i="12"/>
  <c r="CK382" i="12"/>
  <c r="CJ382" i="12"/>
  <c r="CH382" i="12"/>
  <c r="AU382" i="12"/>
  <c r="CK381" i="12"/>
  <c r="CJ381" i="12"/>
  <c r="CH381" i="12"/>
  <c r="AU381" i="12"/>
  <c r="CK380" i="12"/>
  <c r="CJ380" i="12"/>
  <c r="CH380" i="12"/>
  <c r="AU380" i="12"/>
  <c r="CK379" i="12"/>
  <c r="CJ379" i="12"/>
  <c r="CH379" i="12"/>
  <c r="AU379" i="12"/>
  <c r="CK378" i="12"/>
  <c r="CJ378" i="12"/>
  <c r="CH378" i="12"/>
  <c r="AU378" i="12"/>
  <c r="CK377" i="12"/>
  <c r="CJ377" i="12"/>
  <c r="CH377" i="12"/>
  <c r="AU377" i="12"/>
  <c r="CK376" i="12"/>
  <c r="CJ376" i="12"/>
  <c r="CH376" i="12"/>
  <c r="AU376" i="12"/>
  <c r="CK375" i="12"/>
  <c r="CJ375" i="12"/>
  <c r="CH375" i="12"/>
  <c r="AU375" i="12"/>
  <c r="CK374" i="12"/>
  <c r="CJ374" i="12"/>
  <c r="CH374" i="12"/>
  <c r="AU374" i="12"/>
  <c r="CK373" i="12"/>
  <c r="CJ373" i="12"/>
  <c r="CH373" i="12"/>
  <c r="AU373" i="12"/>
  <c r="CK372" i="12"/>
  <c r="CJ372" i="12"/>
  <c r="CH372" i="12"/>
  <c r="AU372" i="12"/>
  <c r="CK371" i="12"/>
  <c r="CJ371" i="12"/>
  <c r="CH371" i="12"/>
  <c r="AU371" i="12"/>
  <c r="CK370" i="12"/>
  <c r="CJ370" i="12"/>
  <c r="CH370" i="12"/>
  <c r="AU370" i="12"/>
  <c r="CK369" i="12"/>
  <c r="CJ369" i="12"/>
  <c r="CH369" i="12"/>
  <c r="AU369" i="12"/>
  <c r="CK368" i="12"/>
  <c r="CJ368" i="12"/>
  <c r="AX368" i="12"/>
  <c r="CH368" i="12" s="1"/>
  <c r="AU368" i="12"/>
  <c r="CK367" i="12"/>
  <c r="CJ367" i="12"/>
  <c r="CH367" i="12"/>
  <c r="AU367" i="12"/>
  <c r="CK366" i="12"/>
  <c r="CJ366" i="12"/>
  <c r="AX366" i="12"/>
  <c r="AW366" i="12"/>
  <c r="AU366" i="12"/>
  <c r="CK365" i="12"/>
  <c r="CJ365" i="12"/>
  <c r="AX365" i="12"/>
  <c r="CH365" i="12" s="1"/>
  <c r="AU365" i="12"/>
  <c r="CK364" i="12"/>
  <c r="CJ364" i="12"/>
  <c r="CH364" i="12"/>
  <c r="AU364" i="12"/>
  <c r="CK363" i="12"/>
  <c r="CJ363" i="12"/>
  <c r="CH363" i="12"/>
  <c r="AU363" i="12"/>
  <c r="CK362" i="12"/>
  <c r="CJ362" i="12"/>
  <c r="CH362" i="12"/>
  <c r="AU362" i="12"/>
  <c r="CK361" i="12"/>
  <c r="CJ361" i="12"/>
  <c r="CH361" i="12"/>
  <c r="AU361" i="12"/>
  <c r="CK360" i="12"/>
  <c r="CJ360" i="12"/>
  <c r="AW360" i="12"/>
  <c r="CH360" i="12" s="1"/>
  <c r="AU360" i="12"/>
  <c r="CK359" i="12"/>
  <c r="CJ359" i="12"/>
  <c r="AW359" i="12"/>
  <c r="AU359" i="12"/>
  <c r="CK358" i="12"/>
  <c r="CJ358" i="12"/>
  <c r="CH358" i="12"/>
  <c r="AU358" i="12"/>
  <c r="CK357" i="12"/>
  <c r="CJ357" i="12"/>
  <c r="CH357" i="12"/>
  <c r="AU357" i="12"/>
  <c r="CK356" i="12"/>
  <c r="CJ356" i="12"/>
  <c r="CH356" i="12"/>
  <c r="AU356" i="12"/>
  <c r="CK355" i="12"/>
  <c r="CJ355" i="12"/>
  <c r="CH355" i="12"/>
  <c r="AU355" i="12"/>
  <c r="CK354" i="12"/>
  <c r="CJ354" i="12"/>
  <c r="CH354" i="12"/>
  <c r="AU354" i="12"/>
  <c r="CK353" i="12"/>
  <c r="CJ353" i="12"/>
  <c r="CH353" i="12"/>
  <c r="AU353" i="12"/>
  <c r="CK352" i="12"/>
  <c r="CJ352" i="12"/>
  <c r="CH352" i="12"/>
  <c r="AU352" i="12"/>
  <c r="CK351" i="12"/>
  <c r="CJ351" i="12"/>
  <c r="CH351" i="12"/>
  <c r="AU351" i="12"/>
  <c r="CK350" i="12"/>
  <c r="CJ350" i="12"/>
  <c r="CH350" i="12"/>
  <c r="AU350" i="12"/>
  <c r="CK349" i="12"/>
  <c r="CJ349" i="12"/>
  <c r="CH349" i="12"/>
  <c r="AU349" i="12"/>
  <c r="CK348" i="12"/>
  <c r="CJ348" i="12"/>
  <c r="CH348" i="12"/>
  <c r="AU348" i="12"/>
  <c r="CK347" i="12"/>
  <c r="CJ347" i="12"/>
  <c r="CH347" i="12"/>
  <c r="AU347" i="12"/>
  <c r="CK346" i="12"/>
  <c r="CJ346" i="12"/>
  <c r="CH346" i="12"/>
  <c r="AU346" i="12"/>
  <c r="CK345" i="12"/>
  <c r="CJ345" i="12"/>
  <c r="CH345" i="12"/>
  <c r="AU345" i="12"/>
  <c r="CK344" i="12"/>
  <c r="CJ344" i="12"/>
  <c r="CH344" i="12"/>
  <c r="AU344" i="12"/>
  <c r="CK343" i="12"/>
  <c r="CJ343" i="12"/>
  <c r="CH343" i="12"/>
  <c r="AU343" i="12"/>
  <c r="CK342" i="12"/>
  <c r="CJ342" i="12"/>
  <c r="CH342" i="12"/>
  <c r="AU342" i="12"/>
  <c r="CK341" i="12"/>
  <c r="CJ341" i="12"/>
  <c r="CH341" i="12"/>
  <c r="AU341" i="12"/>
  <c r="CK340" i="12"/>
  <c r="CJ340" i="12"/>
  <c r="CH340" i="12"/>
  <c r="AU340" i="12"/>
  <c r="CK339" i="12"/>
  <c r="CJ339" i="12"/>
  <c r="CH339" i="12"/>
  <c r="AU339" i="12"/>
  <c r="CK338" i="12"/>
  <c r="CJ338" i="12"/>
  <c r="CH338" i="12"/>
  <c r="AU338" i="12"/>
  <c r="CK336" i="12"/>
  <c r="CJ336" i="12"/>
  <c r="CH336" i="12"/>
  <c r="AU336" i="12"/>
  <c r="CK335" i="12"/>
  <c r="CJ335" i="12"/>
  <c r="CH335" i="12"/>
  <c r="AU335" i="12"/>
  <c r="CK334" i="12"/>
  <c r="CJ334" i="12"/>
  <c r="CH334" i="12"/>
  <c r="AU334" i="12"/>
  <c r="CK333" i="12"/>
  <c r="CJ333" i="12"/>
  <c r="CH333" i="12"/>
  <c r="AU333" i="12"/>
  <c r="CK332" i="12"/>
  <c r="CJ332" i="12"/>
  <c r="CH332" i="12"/>
  <c r="AU332" i="12"/>
  <c r="CK331" i="12"/>
  <c r="CJ331" i="12"/>
  <c r="CH331" i="12"/>
  <c r="AU331" i="12"/>
  <c r="CK330" i="12"/>
  <c r="CJ330" i="12"/>
  <c r="CH330" i="12"/>
  <c r="AU330" i="12"/>
  <c r="CK329" i="12"/>
  <c r="CJ329" i="12"/>
  <c r="CH329" i="12"/>
  <c r="AU329" i="12"/>
  <c r="CK328" i="12"/>
  <c r="CJ328" i="12"/>
  <c r="CH328" i="12"/>
  <c r="AU328" i="12"/>
  <c r="CK327" i="12"/>
  <c r="CJ327" i="12"/>
  <c r="CH327" i="12"/>
  <c r="AU327" i="12"/>
  <c r="CK326" i="12"/>
  <c r="CJ326" i="12"/>
  <c r="CH326" i="12"/>
  <c r="AU326" i="12"/>
  <c r="CK325" i="12"/>
  <c r="CJ325" i="12"/>
  <c r="CH325" i="12"/>
  <c r="AU325" i="12"/>
  <c r="CK324" i="12"/>
  <c r="CJ324" i="12"/>
  <c r="CH324" i="12"/>
  <c r="AU324" i="12"/>
  <c r="CK323" i="12"/>
  <c r="CJ323" i="12"/>
  <c r="CH323" i="12"/>
  <c r="AU323" i="12"/>
  <c r="CK322" i="12"/>
  <c r="CJ322" i="12"/>
  <c r="CH322" i="12"/>
  <c r="AU322" i="12"/>
  <c r="CK321" i="12"/>
  <c r="CJ321" i="12"/>
  <c r="CH321" i="12"/>
  <c r="AU321" i="12"/>
  <c r="CK320" i="12"/>
  <c r="CJ320" i="12"/>
  <c r="CH320" i="12"/>
  <c r="AU320" i="12"/>
  <c r="CK319" i="12"/>
  <c r="CJ319" i="12"/>
  <c r="CH319" i="12"/>
  <c r="AU319" i="12"/>
  <c r="CK318" i="12"/>
  <c r="CJ318" i="12"/>
  <c r="CH318" i="12"/>
  <c r="AU318" i="12"/>
  <c r="CK317" i="12"/>
  <c r="CJ317" i="12"/>
  <c r="CH317" i="12"/>
  <c r="AU317" i="12"/>
  <c r="CK316" i="12"/>
  <c r="CJ316" i="12"/>
  <c r="CG316" i="12"/>
  <c r="CF316" i="12"/>
  <c r="CE316" i="12"/>
  <c r="CD316" i="12"/>
  <c r="CC316" i="12"/>
  <c r="CB316" i="12"/>
  <c r="CA316" i="12"/>
  <c r="BZ316" i="12"/>
  <c r="BY316" i="12"/>
  <c r="BX316" i="12"/>
  <c r="BW316" i="12"/>
  <c r="BV316" i="12"/>
  <c r="BU316" i="12"/>
  <c r="BT316" i="12"/>
  <c r="BS316" i="12"/>
  <c r="BR316" i="12"/>
  <c r="BQ316" i="12"/>
  <c r="BP316" i="12"/>
  <c r="BO316" i="12"/>
  <c r="BN316" i="12"/>
  <c r="BM316" i="12"/>
  <c r="BL316" i="12"/>
  <c r="BK316" i="12"/>
  <c r="BJ316" i="12"/>
  <c r="BH316" i="12"/>
  <c r="BG316" i="12"/>
  <c r="BF316" i="12"/>
  <c r="BD316" i="12"/>
  <c r="BC316" i="12"/>
  <c r="BB316" i="12"/>
  <c r="BA316" i="12"/>
  <c r="AZ316" i="12"/>
  <c r="AY316" i="12"/>
  <c r="AX316" i="12"/>
  <c r="AV316" i="12"/>
  <c r="AT316" i="12"/>
  <c r="AS316" i="12"/>
  <c r="AR316" i="12"/>
  <c r="AQ316" i="12"/>
  <c r="AP316" i="12"/>
  <c r="AO316" i="12"/>
  <c r="AN316" i="12"/>
  <c r="AM316" i="12"/>
  <c r="AL316" i="12"/>
  <c r="AK316" i="12"/>
  <c r="AJ316" i="12"/>
  <c r="AI316" i="12"/>
  <c r="AH316" i="12"/>
  <c r="AG316" i="12"/>
  <c r="AE316" i="12"/>
  <c r="AD316" i="12"/>
  <c r="AC316" i="12"/>
  <c r="AB316" i="12"/>
  <c r="AA316" i="12"/>
  <c r="Z316" i="12"/>
  <c r="Y316" i="12"/>
  <c r="X316" i="12"/>
  <c r="W316" i="12"/>
  <c r="V316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CK315" i="12"/>
  <c r="CJ315" i="12"/>
  <c r="CH315" i="12"/>
  <c r="AU315" i="12"/>
  <c r="CK314" i="12"/>
  <c r="CJ314" i="12"/>
  <c r="CH314" i="12"/>
  <c r="AU314" i="12"/>
  <c r="CK313" i="12"/>
  <c r="CJ313" i="12"/>
  <c r="CH313" i="12"/>
  <c r="AU313" i="12"/>
  <c r="CK312" i="12"/>
  <c r="CJ312" i="12"/>
  <c r="AW312" i="12"/>
  <c r="CH312" i="12" s="1"/>
  <c r="AU312" i="12"/>
  <c r="CK311" i="12"/>
  <c r="CJ311" i="12"/>
  <c r="CH311" i="12"/>
  <c r="AU311" i="12"/>
  <c r="CK310" i="12"/>
  <c r="CJ310" i="12"/>
  <c r="CH310" i="12"/>
  <c r="AU310" i="12"/>
  <c r="CK309" i="12"/>
  <c r="CJ309" i="12"/>
  <c r="CH309" i="12"/>
  <c r="AU309" i="12"/>
  <c r="CK308" i="12"/>
  <c r="CJ308" i="12"/>
  <c r="CH308" i="12"/>
  <c r="AU308" i="12"/>
  <c r="CK307" i="12"/>
  <c r="CJ307" i="12"/>
  <c r="CH307" i="12"/>
  <c r="AU307" i="12"/>
  <c r="CK306" i="12"/>
  <c r="CJ306" i="12"/>
  <c r="CH306" i="12"/>
  <c r="AU306" i="12"/>
  <c r="CK305" i="12"/>
  <c r="CJ305" i="12"/>
  <c r="CH305" i="12"/>
  <c r="AU305" i="12"/>
  <c r="CK304" i="12"/>
  <c r="CJ304" i="12"/>
  <c r="CH304" i="12"/>
  <c r="AU304" i="12"/>
  <c r="CK303" i="12"/>
  <c r="CJ303" i="12"/>
  <c r="CH303" i="12"/>
  <c r="AU303" i="12"/>
  <c r="CK302" i="12"/>
  <c r="CJ302" i="12"/>
  <c r="CH302" i="12"/>
  <c r="AU302" i="12"/>
  <c r="CK301" i="12"/>
  <c r="CJ301" i="12"/>
  <c r="CH301" i="12"/>
  <c r="AU301" i="12"/>
  <c r="CK300" i="12"/>
  <c r="CJ300" i="12"/>
  <c r="CH300" i="12"/>
  <c r="AU300" i="12"/>
  <c r="CK299" i="12"/>
  <c r="CJ299" i="12"/>
  <c r="CH299" i="12"/>
  <c r="AU299" i="12"/>
  <c r="CK298" i="12"/>
  <c r="CJ298" i="12"/>
  <c r="CH298" i="12"/>
  <c r="AU298" i="12"/>
  <c r="CK297" i="12"/>
  <c r="CJ297" i="12"/>
  <c r="CH297" i="12"/>
  <c r="AU297" i="12"/>
  <c r="CK296" i="12"/>
  <c r="CJ296" i="12"/>
  <c r="CH296" i="12"/>
  <c r="AU296" i="12"/>
  <c r="CK295" i="12"/>
  <c r="CJ295" i="12"/>
  <c r="CH295" i="12"/>
  <c r="AU295" i="12"/>
  <c r="CK294" i="12"/>
  <c r="CJ294" i="12"/>
  <c r="CH294" i="12"/>
  <c r="AU294" i="12"/>
  <c r="CK293" i="12"/>
  <c r="CJ293" i="12"/>
  <c r="CH293" i="12"/>
  <c r="AU293" i="12"/>
  <c r="CK292" i="12"/>
  <c r="CJ292" i="12"/>
  <c r="CH292" i="12"/>
  <c r="AU292" i="12"/>
  <c r="CK291" i="12"/>
  <c r="CJ291" i="12"/>
  <c r="CH291" i="12"/>
  <c r="AU291" i="12"/>
  <c r="CK290" i="12"/>
  <c r="CJ290" i="12"/>
  <c r="CH290" i="12"/>
  <c r="AU290" i="12"/>
  <c r="CK289" i="12"/>
  <c r="CJ289" i="12"/>
  <c r="CH289" i="12"/>
  <c r="AU289" i="12"/>
  <c r="CK288" i="12"/>
  <c r="CJ288" i="12"/>
  <c r="CH288" i="12"/>
  <c r="AU288" i="12"/>
  <c r="CK287" i="12"/>
  <c r="CJ287" i="12"/>
  <c r="CH287" i="12"/>
  <c r="AU287" i="12"/>
  <c r="CK286" i="12"/>
  <c r="CJ286" i="12"/>
  <c r="CH286" i="12"/>
  <c r="AU286" i="12"/>
  <c r="CK285" i="12"/>
  <c r="CJ285" i="12"/>
  <c r="CH285" i="12"/>
  <c r="AU285" i="12"/>
  <c r="CK284" i="12"/>
  <c r="CJ284" i="12"/>
  <c r="CH284" i="12"/>
  <c r="AU284" i="12"/>
  <c r="CK283" i="12"/>
  <c r="CJ283" i="12"/>
  <c r="CH283" i="12"/>
  <c r="AU283" i="12"/>
  <c r="CK282" i="12"/>
  <c r="CJ282" i="12"/>
  <c r="CH282" i="12"/>
  <c r="AU282" i="12"/>
  <c r="CK281" i="12"/>
  <c r="CJ281" i="12"/>
  <c r="CH281" i="12"/>
  <c r="AU281" i="12"/>
  <c r="CK280" i="12"/>
  <c r="CJ280" i="12"/>
  <c r="CH280" i="12"/>
  <c r="AU280" i="12"/>
  <c r="CK279" i="12"/>
  <c r="CJ279" i="12"/>
  <c r="CH279" i="12"/>
  <c r="AU279" i="12"/>
  <c r="CK278" i="12"/>
  <c r="CJ278" i="12"/>
  <c r="CH278" i="12"/>
  <c r="AU278" i="12"/>
  <c r="CK277" i="12"/>
  <c r="CJ277" i="12"/>
  <c r="CH277" i="12"/>
  <c r="AU277" i="12"/>
  <c r="CK276" i="12"/>
  <c r="CJ276" i="12"/>
  <c r="CH276" i="12"/>
  <c r="AU276" i="12"/>
  <c r="CK275" i="12"/>
  <c r="CJ275" i="12"/>
  <c r="CH275" i="12"/>
  <c r="AU275" i="12"/>
  <c r="CK274" i="12"/>
  <c r="CJ274" i="12"/>
  <c r="CH274" i="12"/>
  <c r="AU274" i="12"/>
  <c r="CK273" i="12"/>
  <c r="CJ273" i="12"/>
  <c r="CH273" i="12"/>
  <c r="AU273" i="12"/>
  <c r="CK272" i="12"/>
  <c r="CJ272" i="12"/>
  <c r="CH272" i="12"/>
  <c r="AU272" i="12"/>
  <c r="CK271" i="12"/>
  <c r="CJ271" i="12"/>
  <c r="CH271" i="12"/>
  <c r="AU271" i="12"/>
  <c r="CK270" i="12"/>
  <c r="CJ270" i="12"/>
  <c r="CH270" i="12"/>
  <c r="AU270" i="12"/>
  <c r="CK269" i="12"/>
  <c r="CJ269" i="12"/>
  <c r="CH269" i="12"/>
  <c r="AU269" i="12"/>
  <c r="CK268" i="12"/>
  <c r="CJ268" i="12"/>
  <c r="CH268" i="12"/>
  <c r="AU268" i="12"/>
  <c r="CK267" i="12"/>
  <c r="CJ267" i="12"/>
  <c r="CH267" i="12"/>
  <c r="AU267" i="12"/>
  <c r="CK266" i="12"/>
  <c r="CJ266" i="12"/>
  <c r="CH266" i="12"/>
  <c r="AU266" i="12"/>
  <c r="CK265" i="12"/>
  <c r="CJ265" i="12"/>
  <c r="CH265" i="12"/>
  <c r="AU265" i="12"/>
  <c r="CK264" i="12"/>
  <c r="CJ264" i="12"/>
  <c r="CH264" i="12"/>
  <c r="AU264" i="12"/>
  <c r="CK263" i="12"/>
  <c r="CJ263" i="12"/>
  <c r="CH263" i="12"/>
  <c r="AU263" i="12"/>
  <c r="CK262" i="12"/>
  <c r="CJ262" i="12"/>
  <c r="CH262" i="12"/>
  <c r="AU262" i="12"/>
  <c r="CK261" i="12"/>
  <c r="CJ261" i="12"/>
  <c r="CH261" i="12"/>
  <c r="AU261" i="12"/>
  <c r="CK260" i="12"/>
  <c r="CJ260" i="12"/>
  <c r="CH260" i="12"/>
  <c r="AU260" i="12"/>
  <c r="CK259" i="12"/>
  <c r="CJ259" i="12"/>
  <c r="CH259" i="12"/>
  <c r="AU259" i="12"/>
  <c r="CK258" i="12"/>
  <c r="CJ258" i="12"/>
  <c r="CH258" i="12"/>
  <c r="AU258" i="12"/>
  <c r="CK257" i="12"/>
  <c r="CJ257" i="12"/>
  <c r="CH257" i="12"/>
  <c r="AU257" i="12"/>
  <c r="CK256" i="12"/>
  <c r="CJ256" i="12"/>
  <c r="CH256" i="12"/>
  <c r="AU256" i="12"/>
  <c r="CK255" i="12"/>
  <c r="CJ255" i="12"/>
  <c r="CH255" i="12"/>
  <c r="AU255" i="12"/>
  <c r="CK254" i="12"/>
  <c r="CJ254" i="12"/>
  <c r="CH254" i="12"/>
  <c r="AU254" i="12"/>
  <c r="CK253" i="12"/>
  <c r="CJ253" i="12"/>
  <c r="CH253" i="12"/>
  <c r="AU253" i="12"/>
  <c r="CK252" i="12"/>
  <c r="CJ252" i="12"/>
  <c r="CH252" i="12"/>
  <c r="AU252" i="12"/>
  <c r="CK251" i="12"/>
  <c r="CJ251" i="12"/>
  <c r="CH251" i="12"/>
  <c r="AU251" i="12"/>
  <c r="CK250" i="12"/>
  <c r="CJ250" i="12"/>
  <c r="CH250" i="12"/>
  <c r="AU250" i="12"/>
  <c r="CK249" i="12"/>
  <c r="CJ249" i="12"/>
  <c r="CH249" i="12"/>
  <c r="AU249" i="12"/>
  <c r="CK248" i="12"/>
  <c r="CJ248" i="12"/>
  <c r="CH248" i="12"/>
  <c r="AU248" i="12"/>
  <c r="CK247" i="12"/>
  <c r="CJ247" i="12"/>
  <c r="CH247" i="12"/>
  <c r="AU247" i="12"/>
  <c r="CK246" i="12"/>
  <c r="CJ246" i="12"/>
  <c r="CH246" i="12"/>
  <c r="AU246" i="12"/>
  <c r="CK245" i="12"/>
  <c r="CJ245" i="12"/>
  <c r="CH245" i="12"/>
  <c r="AU245" i="12"/>
  <c r="CK244" i="12"/>
  <c r="CJ244" i="12"/>
  <c r="CH244" i="12"/>
  <c r="AU244" i="12"/>
  <c r="CK243" i="12"/>
  <c r="CJ243" i="12"/>
  <c r="CH243" i="12"/>
  <c r="AU243" i="12"/>
  <c r="CK242" i="12"/>
  <c r="CJ242" i="12"/>
  <c r="CH242" i="12"/>
  <c r="AU242" i="12"/>
  <c r="CK241" i="12"/>
  <c r="CJ241" i="12"/>
  <c r="CH241" i="12"/>
  <c r="AU241" i="12"/>
  <c r="CK240" i="12"/>
  <c r="CJ240" i="12"/>
  <c r="CH240" i="12"/>
  <c r="AU240" i="12"/>
  <c r="CK239" i="12"/>
  <c r="CJ239" i="12"/>
  <c r="CH239" i="12"/>
  <c r="AU239" i="12"/>
  <c r="CK238" i="12"/>
  <c r="CJ238" i="12"/>
  <c r="CH238" i="12"/>
  <c r="AU238" i="12"/>
  <c r="CK237" i="12"/>
  <c r="CJ237" i="12"/>
  <c r="CH237" i="12"/>
  <c r="AU237" i="12"/>
  <c r="CK236" i="12"/>
  <c r="CJ236" i="12"/>
  <c r="CH236" i="12"/>
  <c r="AU236" i="12"/>
  <c r="CK235" i="12"/>
  <c r="CJ235" i="12"/>
  <c r="CH235" i="12"/>
  <c r="AU235" i="12"/>
  <c r="CK234" i="12"/>
  <c r="CJ234" i="12"/>
  <c r="CH234" i="12"/>
  <c r="AU234" i="12"/>
  <c r="CK233" i="12"/>
  <c r="CJ233" i="12"/>
  <c r="CH233" i="12"/>
  <c r="AU233" i="12"/>
  <c r="CK232" i="12"/>
  <c r="CJ232" i="12"/>
  <c r="CH232" i="12"/>
  <c r="AU232" i="12"/>
  <c r="CK231" i="12"/>
  <c r="CJ231" i="12"/>
  <c r="CH231" i="12"/>
  <c r="AU231" i="12"/>
  <c r="CK230" i="12"/>
  <c r="CJ230" i="12"/>
  <c r="CH230" i="12"/>
  <c r="AU230" i="12"/>
  <c r="CK229" i="12"/>
  <c r="CJ229" i="12"/>
  <c r="CH229" i="12"/>
  <c r="AU229" i="12"/>
  <c r="CK228" i="12"/>
  <c r="CJ228" i="12"/>
  <c r="CH228" i="12"/>
  <c r="AU228" i="12"/>
  <c r="CK227" i="12"/>
  <c r="CJ227" i="12"/>
  <c r="CH227" i="12"/>
  <c r="AU227" i="12"/>
  <c r="CK226" i="12"/>
  <c r="CJ226" i="12"/>
  <c r="CH226" i="12"/>
  <c r="AU226" i="12"/>
  <c r="CK225" i="12"/>
  <c r="CJ225" i="12"/>
  <c r="CH225" i="12"/>
  <c r="AU225" i="12"/>
  <c r="CK224" i="12"/>
  <c r="CJ224" i="12"/>
  <c r="CH224" i="12"/>
  <c r="AU224" i="12"/>
  <c r="CK223" i="12"/>
  <c r="CJ223" i="12"/>
  <c r="CH223" i="12"/>
  <c r="AU223" i="12"/>
  <c r="CK222" i="12"/>
  <c r="CJ222" i="12"/>
  <c r="CH222" i="12"/>
  <c r="AU222" i="12"/>
  <c r="CK221" i="12"/>
  <c r="CJ221" i="12"/>
  <c r="CH221" i="12"/>
  <c r="AU221" i="12"/>
  <c r="CK220" i="12"/>
  <c r="CJ220" i="12"/>
  <c r="CH220" i="12"/>
  <c r="AU220" i="12"/>
  <c r="CK219" i="12"/>
  <c r="CJ219" i="12"/>
  <c r="CH219" i="12"/>
  <c r="AU219" i="12"/>
  <c r="CK218" i="12"/>
  <c r="CJ218" i="12"/>
  <c r="CH218" i="12"/>
  <c r="AU218" i="12"/>
  <c r="CK217" i="12"/>
  <c r="CJ217" i="12"/>
  <c r="CH217" i="12"/>
  <c r="AU217" i="12"/>
  <c r="CK216" i="12"/>
  <c r="CJ216" i="12"/>
  <c r="CH216" i="12"/>
  <c r="AU216" i="12"/>
  <c r="CK215" i="12"/>
  <c r="CJ215" i="12"/>
  <c r="CH215" i="12"/>
  <c r="AU215" i="12"/>
  <c r="CK214" i="12"/>
  <c r="CJ214" i="12"/>
  <c r="CH214" i="12"/>
  <c r="AU214" i="12"/>
  <c r="CK213" i="12"/>
  <c r="CJ213" i="12"/>
  <c r="CH213" i="12"/>
  <c r="AU213" i="12"/>
  <c r="CK212" i="12"/>
  <c r="CJ212" i="12"/>
  <c r="AW212" i="12"/>
  <c r="CH212" i="12" s="1"/>
  <c r="AU212" i="12"/>
  <c r="CK211" i="12"/>
  <c r="CJ211" i="12"/>
  <c r="CH211" i="12"/>
  <c r="AU211" i="12"/>
  <c r="CK210" i="12"/>
  <c r="CJ210" i="12"/>
  <c r="AW210" i="12"/>
  <c r="CH210" i="12" s="1"/>
  <c r="AU210" i="12"/>
  <c r="CK209" i="12"/>
  <c r="CJ209" i="12"/>
  <c r="CH209" i="12"/>
  <c r="AU209" i="12"/>
  <c r="CK208" i="12"/>
  <c r="CJ208" i="12"/>
  <c r="CH208" i="12"/>
  <c r="AU208" i="12"/>
  <c r="CK207" i="12"/>
  <c r="CJ207" i="12"/>
  <c r="CH207" i="12"/>
  <c r="AU207" i="12"/>
  <c r="CK206" i="12"/>
  <c r="CJ206" i="12"/>
  <c r="CH206" i="12"/>
  <c r="AU206" i="12"/>
  <c r="CK205" i="12"/>
  <c r="CJ205" i="12"/>
  <c r="CH205" i="12"/>
  <c r="AU205" i="12"/>
  <c r="CK204" i="12"/>
  <c r="CJ204" i="12"/>
  <c r="CH204" i="12"/>
  <c r="AU204" i="12"/>
  <c r="CK203" i="12"/>
  <c r="CJ203" i="12"/>
  <c r="CH203" i="12"/>
  <c r="AU203" i="12"/>
  <c r="CK202" i="12"/>
  <c r="CJ202" i="12"/>
  <c r="CH202" i="12"/>
  <c r="AU202" i="12"/>
  <c r="CK201" i="12"/>
  <c r="CJ201" i="12"/>
  <c r="CH201" i="12"/>
  <c r="AU201" i="12"/>
  <c r="CK200" i="12"/>
  <c r="CJ200" i="12"/>
  <c r="CH200" i="12"/>
  <c r="AU200" i="12"/>
  <c r="CK199" i="12"/>
  <c r="CJ199" i="12"/>
  <c r="CH199" i="12"/>
  <c r="AU199" i="12"/>
  <c r="CK198" i="12"/>
  <c r="CJ198" i="12"/>
  <c r="CH198" i="12"/>
  <c r="AU198" i="12"/>
  <c r="CK197" i="12"/>
  <c r="CJ197" i="12"/>
  <c r="CH197" i="12"/>
  <c r="AU197" i="12"/>
  <c r="CK196" i="12"/>
  <c r="CJ196" i="12"/>
  <c r="CH196" i="12"/>
  <c r="AU196" i="12"/>
  <c r="CK195" i="12"/>
  <c r="CJ195" i="12"/>
  <c r="CH195" i="12"/>
  <c r="AU195" i="12"/>
  <c r="CK194" i="12"/>
  <c r="CJ194" i="12"/>
  <c r="CH194" i="12"/>
  <c r="AU194" i="12"/>
  <c r="CK193" i="12"/>
  <c r="CJ193" i="12"/>
  <c r="CH193" i="12"/>
  <c r="AU193" i="12"/>
  <c r="CK192" i="12"/>
  <c r="CJ192" i="12"/>
  <c r="CH192" i="12"/>
  <c r="AU192" i="12"/>
  <c r="CK191" i="12"/>
  <c r="CJ191" i="12"/>
  <c r="CH191" i="12"/>
  <c r="AU191" i="12"/>
  <c r="CK190" i="12"/>
  <c r="CJ190" i="12"/>
  <c r="CH190" i="12"/>
  <c r="AU190" i="12"/>
  <c r="CK189" i="12"/>
  <c r="CJ189" i="12"/>
  <c r="CH189" i="12"/>
  <c r="AU189" i="12"/>
  <c r="CK188" i="12"/>
  <c r="CJ188" i="12"/>
  <c r="CH188" i="12"/>
  <c r="AU188" i="12"/>
  <c r="CK187" i="12"/>
  <c r="CJ187" i="12"/>
  <c r="CH187" i="12"/>
  <c r="AU187" i="12"/>
  <c r="CK186" i="12"/>
  <c r="CJ186" i="12"/>
  <c r="CH186" i="12"/>
  <c r="AU186" i="12"/>
  <c r="CK185" i="12"/>
  <c r="CJ185" i="12"/>
  <c r="CH185" i="12"/>
  <c r="AU185" i="12"/>
  <c r="CK184" i="12"/>
  <c r="CJ184" i="12"/>
  <c r="CH184" i="12"/>
  <c r="AU184" i="12"/>
  <c r="CK183" i="12"/>
  <c r="CJ183" i="12"/>
  <c r="AW183" i="12"/>
  <c r="CH183" i="12" s="1"/>
  <c r="AU183" i="12"/>
  <c r="CK182" i="12"/>
  <c r="CJ182" i="12"/>
  <c r="CH182" i="12"/>
  <c r="AU182" i="12"/>
  <c r="CK181" i="12"/>
  <c r="CJ181" i="12"/>
  <c r="CH181" i="12"/>
  <c r="AU181" i="12"/>
  <c r="CK180" i="12"/>
  <c r="CJ180" i="12"/>
  <c r="CH180" i="12"/>
  <c r="AU180" i="12"/>
  <c r="CK179" i="12"/>
  <c r="CJ179" i="12"/>
  <c r="AW179" i="12"/>
  <c r="CH179" i="12" s="1"/>
  <c r="AU179" i="12"/>
  <c r="CK178" i="12"/>
  <c r="CJ178" i="12"/>
  <c r="CH178" i="12"/>
  <c r="AU178" i="12"/>
  <c r="CK177" i="12"/>
  <c r="CJ177" i="12"/>
  <c r="CH177" i="12"/>
  <c r="AU177" i="12"/>
  <c r="CK176" i="12"/>
  <c r="CJ176" i="12"/>
  <c r="CH176" i="12"/>
  <c r="AU176" i="12"/>
  <c r="CK175" i="12"/>
  <c r="CJ175" i="12"/>
  <c r="CH175" i="12"/>
  <c r="AU175" i="12"/>
  <c r="CK174" i="12"/>
  <c r="CJ174" i="12"/>
  <c r="CH174" i="12"/>
  <c r="AU174" i="12"/>
  <c r="CK173" i="12"/>
  <c r="CJ173" i="12"/>
  <c r="CH173" i="12"/>
  <c r="AU173" i="12"/>
  <c r="CK172" i="12"/>
  <c r="CJ172" i="12"/>
  <c r="CH172" i="12"/>
  <c r="AU172" i="12"/>
  <c r="CK171" i="12"/>
  <c r="CJ171" i="12"/>
  <c r="CH171" i="12"/>
  <c r="AU171" i="12"/>
  <c r="CK170" i="12"/>
  <c r="CJ170" i="12"/>
  <c r="CH170" i="12"/>
  <c r="AU170" i="12"/>
  <c r="CK169" i="12"/>
  <c r="CJ169" i="12"/>
  <c r="CH169" i="12"/>
  <c r="AU169" i="12"/>
  <c r="CK168" i="12"/>
  <c r="CJ168" i="12"/>
  <c r="CH168" i="12"/>
  <c r="AU168" i="12"/>
  <c r="CK167" i="12"/>
  <c r="CJ167" i="12"/>
  <c r="CH167" i="12"/>
  <c r="AU167" i="12"/>
  <c r="CK166" i="12"/>
  <c r="CJ166" i="12"/>
  <c r="AW166" i="12"/>
  <c r="CH166" i="12" s="1"/>
  <c r="AU166" i="12"/>
  <c r="CK165" i="12"/>
  <c r="CJ165" i="12"/>
  <c r="CH165" i="12"/>
  <c r="AU165" i="12"/>
  <c r="CK164" i="12"/>
  <c r="CJ164" i="12"/>
  <c r="CH164" i="12"/>
  <c r="AU164" i="12"/>
  <c r="CK163" i="12"/>
  <c r="CJ163" i="12"/>
  <c r="CH163" i="12"/>
  <c r="AU163" i="12"/>
  <c r="CK162" i="12"/>
  <c r="CJ162" i="12"/>
  <c r="CH162" i="12"/>
  <c r="AU162" i="12"/>
  <c r="CK161" i="12"/>
  <c r="CJ161" i="12"/>
  <c r="CH161" i="12"/>
  <c r="AU161" i="12"/>
  <c r="CK160" i="12"/>
  <c r="CJ160" i="12"/>
  <c r="CH160" i="12"/>
  <c r="AU160" i="12"/>
  <c r="CK159" i="12"/>
  <c r="CJ159" i="12"/>
  <c r="CH159" i="12"/>
  <c r="AU159" i="12"/>
  <c r="CK158" i="12"/>
  <c r="CJ158" i="12"/>
  <c r="CH158" i="12"/>
  <c r="AU158" i="12"/>
  <c r="CK157" i="12"/>
  <c r="CJ157" i="12"/>
  <c r="CH157" i="12"/>
  <c r="AU157" i="12"/>
  <c r="CK156" i="12"/>
  <c r="CJ156" i="12"/>
  <c r="CH156" i="12"/>
  <c r="AU156" i="12"/>
  <c r="CK155" i="12"/>
  <c r="CJ155" i="12"/>
  <c r="CH155" i="12"/>
  <c r="AU155" i="12"/>
  <c r="CK154" i="12"/>
  <c r="CJ154" i="12"/>
  <c r="CH154" i="12"/>
  <c r="AU154" i="12"/>
  <c r="CK153" i="12"/>
  <c r="CJ153" i="12"/>
  <c r="CH153" i="12"/>
  <c r="AU153" i="12"/>
  <c r="CK152" i="12"/>
  <c r="CJ152" i="12"/>
  <c r="CH152" i="12"/>
  <c r="AU152" i="12"/>
  <c r="CK151" i="12"/>
  <c r="CJ151" i="12"/>
  <c r="CH151" i="12"/>
  <c r="AU151" i="12"/>
  <c r="CK150" i="12"/>
  <c r="CJ150" i="12"/>
  <c r="CH150" i="12"/>
  <c r="AU150" i="12"/>
  <c r="CK149" i="12"/>
  <c r="CJ149" i="12"/>
  <c r="CH149" i="12"/>
  <c r="AU149" i="12"/>
  <c r="CK148" i="12"/>
  <c r="CJ148" i="12"/>
  <c r="CH148" i="12"/>
  <c r="AU148" i="12"/>
  <c r="CK147" i="12"/>
  <c r="CJ147" i="12"/>
  <c r="CH147" i="12"/>
  <c r="AU147" i="12"/>
  <c r="CK146" i="12"/>
  <c r="CJ146" i="12"/>
  <c r="CH146" i="12"/>
  <c r="AU146" i="12"/>
  <c r="CK145" i="12"/>
  <c r="CJ145" i="12"/>
  <c r="CH145" i="12"/>
  <c r="AU145" i="12"/>
  <c r="CK144" i="12"/>
  <c r="CJ144" i="12"/>
  <c r="CH144" i="12"/>
  <c r="AU144" i="12"/>
  <c r="CK143" i="12"/>
  <c r="CJ143" i="12"/>
  <c r="CH143" i="12"/>
  <c r="AU143" i="12"/>
  <c r="CK142" i="12"/>
  <c r="CJ142" i="12"/>
  <c r="CH142" i="12"/>
  <c r="AU142" i="12"/>
  <c r="CK141" i="12"/>
  <c r="CJ141" i="12"/>
  <c r="CH141" i="12"/>
  <c r="AU141" i="12"/>
  <c r="CK140" i="12"/>
  <c r="CJ140" i="12"/>
  <c r="CH140" i="12"/>
  <c r="AU140" i="12"/>
  <c r="CK139" i="12"/>
  <c r="CJ139" i="12"/>
  <c r="CH139" i="12"/>
  <c r="AU139" i="12"/>
  <c r="CK138" i="12"/>
  <c r="CJ138" i="12"/>
  <c r="CH138" i="12"/>
  <c r="AU138" i="12"/>
  <c r="CK137" i="12"/>
  <c r="CJ137" i="12"/>
  <c r="CH137" i="12"/>
  <c r="AU137" i="12"/>
  <c r="CK136" i="12"/>
  <c r="CJ136" i="12"/>
  <c r="CH136" i="12"/>
  <c r="AU136" i="12"/>
  <c r="CK135" i="12"/>
  <c r="CJ135" i="12"/>
  <c r="CH135" i="12"/>
  <c r="AU135" i="12"/>
  <c r="CK134" i="12"/>
  <c r="CJ134" i="12"/>
  <c r="CH134" i="12"/>
  <c r="AU134" i="12"/>
  <c r="CK133" i="12"/>
  <c r="CJ133" i="12"/>
  <c r="CH133" i="12"/>
  <c r="AU133" i="12"/>
  <c r="CK132" i="12"/>
  <c r="CJ132" i="12"/>
  <c r="CH132" i="12"/>
  <c r="AU132" i="12"/>
  <c r="CK131" i="12"/>
  <c r="CJ131" i="12"/>
  <c r="CH131" i="12"/>
  <c r="AU131" i="12"/>
  <c r="CK130" i="12"/>
  <c r="CJ130" i="12"/>
  <c r="CH130" i="12"/>
  <c r="AU130" i="12"/>
  <c r="CK129" i="12"/>
  <c r="CJ129" i="12"/>
  <c r="CH129" i="12"/>
  <c r="AU129" i="12"/>
  <c r="CK128" i="12"/>
  <c r="CJ128" i="12"/>
  <c r="CH128" i="12"/>
  <c r="AU128" i="12"/>
  <c r="CK127" i="12"/>
  <c r="CJ127" i="12"/>
  <c r="CH127" i="12"/>
  <c r="AU127" i="12"/>
  <c r="CK126" i="12"/>
  <c r="CJ126" i="12"/>
  <c r="CH126" i="12"/>
  <c r="AU126" i="12"/>
  <c r="CK125" i="12"/>
  <c r="CJ125" i="12"/>
  <c r="CH125" i="12"/>
  <c r="AU125" i="12"/>
  <c r="CK124" i="12"/>
  <c r="CJ124" i="12"/>
  <c r="CH124" i="12"/>
  <c r="AU124" i="12"/>
  <c r="CK123" i="12"/>
  <c r="CJ123" i="12"/>
  <c r="CH123" i="12"/>
  <c r="AU123" i="12"/>
  <c r="CK122" i="12"/>
  <c r="CJ122" i="12"/>
  <c r="CH122" i="12"/>
  <c r="AU122" i="12"/>
  <c r="CK121" i="12"/>
  <c r="CJ121" i="12"/>
  <c r="CH121" i="12"/>
  <c r="AU121" i="12"/>
  <c r="CK120" i="12"/>
  <c r="CJ120" i="12"/>
  <c r="CH120" i="12"/>
  <c r="AU120" i="12"/>
  <c r="CK119" i="12"/>
  <c r="CJ119" i="12"/>
  <c r="CH119" i="12"/>
  <c r="AU119" i="12"/>
  <c r="CK118" i="12"/>
  <c r="CJ118" i="12"/>
  <c r="CH118" i="12"/>
  <c r="AU118" i="12"/>
  <c r="CK117" i="12"/>
  <c r="CJ117" i="12"/>
  <c r="CH117" i="12"/>
  <c r="AU117" i="12"/>
  <c r="CK116" i="12"/>
  <c r="CJ116" i="12"/>
  <c r="CH116" i="12"/>
  <c r="AU116" i="12"/>
  <c r="CK115" i="12"/>
  <c r="CJ115" i="12"/>
  <c r="CH115" i="12"/>
  <c r="AU115" i="12"/>
  <c r="CK114" i="12"/>
  <c r="CJ114" i="12"/>
  <c r="CH114" i="12"/>
  <c r="AU114" i="12"/>
  <c r="CK113" i="12"/>
  <c r="CJ113" i="12"/>
  <c r="CH113" i="12"/>
  <c r="AU113" i="12"/>
  <c r="CK112" i="12"/>
  <c r="CJ112" i="12"/>
  <c r="CH112" i="12"/>
  <c r="AU112" i="12"/>
  <c r="CK111" i="12"/>
  <c r="CJ111" i="12"/>
  <c r="CH111" i="12"/>
  <c r="AU111" i="12"/>
  <c r="CK110" i="12"/>
  <c r="CJ110" i="12"/>
  <c r="CH110" i="12"/>
  <c r="AU110" i="12"/>
  <c r="CK109" i="12"/>
  <c r="CJ109" i="12"/>
  <c r="CH109" i="12"/>
  <c r="AU109" i="12"/>
  <c r="CK108" i="12"/>
  <c r="CJ108" i="12"/>
  <c r="CH108" i="12"/>
  <c r="AU108" i="12"/>
  <c r="CK107" i="12"/>
  <c r="CJ107" i="12"/>
  <c r="CH107" i="12"/>
  <c r="AU107" i="12"/>
  <c r="CK106" i="12"/>
  <c r="CJ106" i="12"/>
  <c r="CH106" i="12"/>
  <c r="AU106" i="12"/>
  <c r="CK105" i="12"/>
  <c r="CJ105" i="12"/>
  <c r="CH105" i="12"/>
  <c r="AU105" i="12"/>
  <c r="CK104" i="12"/>
  <c r="CJ104" i="12"/>
  <c r="CH104" i="12"/>
  <c r="AU104" i="12"/>
  <c r="CK103" i="12"/>
  <c r="CJ103" i="12"/>
  <c r="CH103" i="12"/>
  <c r="AU103" i="12"/>
  <c r="CK102" i="12"/>
  <c r="CJ102" i="12"/>
  <c r="CH102" i="12"/>
  <c r="AU102" i="12"/>
  <c r="CK101" i="12"/>
  <c r="CJ101" i="12"/>
  <c r="CH101" i="12"/>
  <c r="AU101" i="12"/>
  <c r="CK100" i="12"/>
  <c r="CJ100" i="12"/>
  <c r="CH100" i="12"/>
  <c r="AU100" i="12"/>
  <c r="CK99" i="12"/>
  <c r="CJ99" i="12"/>
  <c r="CH99" i="12"/>
  <c r="AU99" i="12"/>
  <c r="CK98" i="12"/>
  <c r="CJ98" i="12"/>
  <c r="CH98" i="12"/>
  <c r="AU98" i="12"/>
  <c r="CK97" i="12"/>
  <c r="CJ97" i="12"/>
  <c r="CH97" i="12"/>
  <c r="AU97" i="12"/>
  <c r="CK96" i="12"/>
  <c r="CJ96" i="12"/>
  <c r="CH96" i="12"/>
  <c r="AU96" i="12"/>
  <c r="CK95" i="12"/>
  <c r="CJ95" i="12"/>
  <c r="CH95" i="12"/>
  <c r="AU95" i="12"/>
  <c r="CK94" i="12"/>
  <c r="CJ94" i="12"/>
  <c r="CH94" i="12"/>
  <c r="AU94" i="12"/>
  <c r="CK93" i="12"/>
  <c r="CJ93" i="12"/>
  <c r="CH93" i="12"/>
  <c r="AU93" i="12"/>
  <c r="CK92" i="12"/>
  <c r="CJ92" i="12"/>
  <c r="CH92" i="12"/>
  <c r="AU92" i="12"/>
  <c r="CK91" i="12"/>
  <c r="CJ91" i="12"/>
  <c r="CH91" i="12"/>
  <c r="AU91" i="12"/>
  <c r="CK90" i="12"/>
  <c r="CJ90" i="12"/>
  <c r="CH90" i="12"/>
  <c r="AU90" i="12"/>
  <c r="CK89" i="12"/>
  <c r="CJ89" i="12"/>
  <c r="CH89" i="12"/>
  <c r="AU89" i="12"/>
  <c r="CK88" i="12"/>
  <c r="CJ88" i="12"/>
  <c r="CH88" i="12"/>
  <c r="AU88" i="12"/>
  <c r="CK87" i="12"/>
  <c r="CJ87" i="12"/>
  <c r="CH87" i="12"/>
  <c r="AU87" i="12"/>
  <c r="CK86" i="12"/>
  <c r="CJ86" i="12"/>
  <c r="CH86" i="12"/>
  <c r="AU86" i="12"/>
  <c r="CK85" i="12"/>
  <c r="CJ85" i="12"/>
  <c r="CH85" i="12"/>
  <c r="AU85" i="12"/>
  <c r="CK84" i="12"/>
  <c r="CJ84" i="12"/>
  <c r="CH84" i="12"/>
  <c r="AU84" i="12"/>
  <c r="CK83" i="12"/>
  <c r="CJ83" i="12"/>
  <c r="CH83" i="12"/>
  <c r="AU83" i="12"/>
  <c r="CK82" i="12"/>
  <c r="CJ82" i="12"/>
  <c r="AW82" i="12"/>
  <c r="CH82" i="12" s="1"/>
  <c r="AU82" i="12"/>
  <c r="CK81" i="12"/>
  <c r="CJ81" i="12"/>
  <c r="CH81" i="12"/>
  <c r="AU81" i="12"/>
  <c r="CK80" i="12"/>
  <c r="CJ80" i="12"/>
  <c r="CH80" i="12"/>
  <c r="AU80" i="12"/>
  <c r="CK79" i="12"/>
  <c r="CJ79" i="12"/>
  <c r="CH79" i="12"/>
  <c r="AU79" i="12"/>
  <c r="CK78" i="12"/>
  <c r="CJ78" i="12"/>
  <c r="CH78" i="12"/>
  <c r="AU78" i="12"/>
  <c r="CK77" i="12"/>
  <c r="CJ77" i="12"/>
  <c r="CH77" i="12"/>
  <c r="AU77" i="12"/>
  <c r="CK76" i="12"/>
  <c r="CJ76" i="12"/>
  <c r="CH76" i="12"/>
  <c r="AU76" i="12"/>
  <c r="CK75" i="12"/>
  <c r="CJ75" i="12"/>
  <c r="CH75" i="12"/>
  <c r="AU75" i="12"/>
  <c r="CK74" i="12"/>
  <c r="CJ74" i="12"/>
  <c r="CH74" i="12"/>
  <c r="AU74" i="12"/>
  <c r="CK73" i="12"/>
  <c r="CJ73" i="12"/>
  <c r="CH73" i="12"/>
  <c r="AU73" i="12"/>
  <c r="CK72" i="12"/>
  <c r="CJ72" i="12"/>
  <c r="CH72" i="12"/>
  <c r="AU72" i="12"/>
  <c r="CK71" i="12"/>
  <c r="CJ71" i="12"/>
  <c r="CH71" i="12"/>
  <c r="AU71" i="12"/>
  <c r="CK70" i="12"/>
  <c r="CJ70" i="12"/>
  <c r="CH70" i="12"/>
  <c r="AU70" i="12"/>
  <c r="CK69" i="12"/>
  <c r="CJ69" i="12"/>
  <c r="CH69" i="12"/>
  <c r="AU69" i="12"/>
  <c r="CK68" i="12"/>
  <c r="CJ68" i="12"/>
  <c r="CH68" i="12"/>
  <c r="AU68" i="12"/>
  <c r="CK67" i="12"/>
  <c r="CJ67" i="12"/>
  <c r="CH67" i="12"/>
  <c r="AU67" i="12"/>
  <c r="CK66" i="12"/>
  <c r="CJ66" i="12"/>
  <c r="CH66" i="12"/>
  <c r="AU66" i="12"/>
  <c r="CK65" i="12"/>
  <c r="CJ65" i="12"/>
  <c r="CH65" i="12"/>
  <c r="AU65" i="12"/>
  <c r="CK64" i="12"/>
  <c r="CJ64" i="12"/>
  <c r="CH64" i="12"/>
  <c r="AU64" i="12"/>
  <c r="CK63" i="12"/>
  <c r="CJ63" i="12"/>
  <c r="AW63" i="12"/>
  <c r="CH63" i="12" s="1"/>
  <c r="AU63" i="12"/>
  <c r="CK62" i="12"/>
  <c r="CJ62" i="12"/>
  <c r="CH62" i="12"/>
  <c r="AU62" i="12"/>
  <c r="CK61" i="12"/>
  <c r="CJ61" i="12"/>
  <c r="CH61" i="12"/>
  <c r="AU61" i="12"/>
  <c r="CK60" i="12"/>
  <c r="CJ60" i="12"/>
  <c r="CH60" i="12"/>
  <c r="AU60" i="12"/>
  <c r="CK59" i="12"/>
  <c r="CJ59" i="12"/>
  <c r="CH59" i="12"/>
  <c r="AU59" i="12"/>
  <c r="CK58" i="12"/>
  <c r="CJ58" i="12"/>
  <c r="CH58" i="12"/>
  <c r="AU58" i="12"/>
  <c r="CK57" i="12"/>
  <c r="CJ57" i="12"/>
  <c r="CH57" i="12"/>
  <c r="AU57" i="12"/>
  <c r="CN56" i="12"/>
  <c r="CK56" i="12"/>
  <c r="CJ56" i="12"/>
  <c r="CH56" i="12"/>
  <c r="AU56" i="12"/>
  <c r="CK55" i="12"/>
  <c r="CJ55" i="12"/>
  <c r="CH55" i="12"/>
  <c r="AU55" i="12"/>
  <c r="CK54" i="12"/>
  <c r="CJ54" i="12"/>
  <c r="CH54" i="12"/>
  <c r="AU54" i="12"/>
  <c r="CK53" i="12"/>
  <c r="CJ53" i="12"/>
  <c r="CH53" i="12"/>
  <c r="AU53" i="12"/>
  <c r="CK52" i="12"/>
  <c r="CJ52" i="12"/>
  <c r="CH52" i="12"/>
  <c r="AU52" i="12"/>
  <c r="CK51" i="12"/>
  <c r="CJ51" i="12"/>
  <c r="CH51" i="12"/>
  <c r="AU51" i="12"/>
  <c r="CK50" i="12"/>
  <c r="CJ50" i="12"/>
  <c r="CH50" i="12"/>
  <c r="AU50" i="12"/>
  <c r="CK49" i="12"/>
  <c r="CJ49" i="12"/>
  <c r="CH49" i="12"/>
  <c r="AU49" i="12"/>
  <c r="CK48" i="12"/>
  <c r="CJ48" i="12"/>
  <c r="CH48" i="12"/>
  <c r="AU48" i="12"/>
  <c r="CK47" i="12"/>
  <c r="CJ47" i="12"/>
  <c r="CH47" i="12"/>
  <c r="AU47" i="12"/>
  <c r="CK46" i="12"/>
  <c r="CJ46" i="12"/>
  <c r="CH46" i="12"/>
  <c r="AU46" i="12"/>
  <c r="CK45" i="12"/>
  <c r="CJ45" i="12"/>
  <c r="CH45" i="12"/>
  <c r="AU45" i="12"/>
  <c r="CK44" i="12"/>
  <c r="CJ44" i="12"/>
  <c r="CH44" i="12"/>
  <c r="AU44" i="12"/>
  <c r="CK43" i="12"/>
  <c r="CJ43" i="12"/>
  <c r="CH43" i="12"/>
  <c r="AU43" i="12"/>
  <c r="CK42" i="12"/>
  <c r="CJ42" i="12"/>
  <c r="AW42" i="12"/>
  <c r="CH42" i="12" s="1"/>
  <c r="AU42" i="12"/>
  <c r="CK41" i="12"/>
  <c r="CJ41" i="12"/>
  <c r="AW41" i="12"/>
  <c r="CH41" i="12" s="1"/>
  <c r="AU41" i="12"/>
  <c r="CK40" i="12"/>
  <c r="CJ40" i="12"/>
  <c r="CH40" i="12"/>
  <c r="AU40" i="12"/>
  <c r="CK39" i="12"/>
  <c r="CJ39" i="12"/>
  <c r="CH39" i="12"/>
  <c r="AU39" i="12"/>
  <c r="CK38" i="12"/>
  <c r="CJ38" i="12"/>
  <c r="CH38" i="12"/>
  <c r="AU38" i="12"/>
  <c r="CK37" i="12"/>
  <c r="CJ37" i="12"/>
  <c r="CH37" i="12"/>
  <c r="AU37" i="12"/>
  <c r="CK36" i="12"/>
  <c r="CJ36" i="12"/>
  <c r="CH36" i="12"/>
  <c r="AU36" i="12"/>
  <c r="CK35" i="12"/>
  <c r="CJ35" i="12"/>
  <c r="CH35" i="12"/>
  <c r="AU35" i="12"/>
  <c r="CK34" i="12"/>
  <c r="CJ34" i="12"/>
  <c r="CH34" i="12"/>
  <c r="AU34" i="12"/>
  <c r="CK33" i="12"/>
  <c r="CJ33" i="12"/>
  <c r="AW33" i="12"/>
  <c r="CH33" i="12" s="1"/>
  <c r="AU33" i="12"/>
  <c r="CK32" i="12"/>
  <c r="CJ32" i="12"/>
  <c r="CH32" i="12"/>
  <c r="AU32" i="12"/>
  <c r="CK31" i="12"/>
  <c r="CJ31" i="12"/>
  <c r="CH31" i="12"/>
  <c r="AU31" i="12"/>
  <c r="CK30" i="12"/>
  <c r="CJ30" i="12"/>
  <c r="CH30" i="12"/>
  <c r="AU30" i="12"/>
  <c r="CK29" i="12"/>
  <c r="CJ29" i="12"/>
  <c r="CH29" i="12"/>
  <c r="AU29" i="12"/>
  <c r="CK28" i="12"/>
  <c r="CJ28" i="12"/>
  <c r="CH28" i="12"/>
  <c r="AU28" i="12"/>
  <c r="CK27" i="12"/>
  <c r="CJ27" i="12"/>
  <c r="CH27" i="12"/>
  <c r="AU27" i="12"/>
  <c r="CK26" i="12"/>
  <c r="CJ26" i="12"/>
  <c r="CH26" i="12"/>
  <c r="AU26" i="12"/>
  <c r="CK25" i="12"/>
  <c r="CJ25" i="12"/>
  <c r="CH25" i="12"/>
  <c r="AU25" i="12"/>
  <c r="CK24" i="12"/>
  <c r="CJ24" i="12"/>
  <c r="CH24" i="12"/>
  <c r="AU24" i="12"/>
  <c r="CK23" i="12"/>
  <c r="CJ23" i="12"/>
  <c r="CH23" i="12"/>
  <c r="AU23" i="12"/>
  <c r="CK22" i="12"/>
  <c r="CJ22" i="12"/>
  <c r="AW22" i="12"/>
  <c r="CH22" i="12" s="1"/>
  <c r="AU22" i="12"/>
  <c r="CK21" i="12"/>
  <c r="CJ21" i="12"/>
  <c r="CH21" i="12"/>
  <c r="AU21" i="12"/>
  <c r="CK20" i="12"/>
  <c r="CJ20" i="12"/>
  <c r="CH20" i="12"/>
  <c r="AU20" i="12"/>
  <c r="CK19" i="12"/>
  <c r="CJ19" i="12"/>
  <c r="CH19" i="12"/>
  <c r="AU19" i="12"/>
  <c r="CK18" i="12"/>
  <c r="CJ18" i="12"/>
  <c r="CH18" i="12"/>
  <c r="AU18" i="12"/>
  <c r="CK17" i="12"/>
  <c r="CJ17" i="12"/>
  <c r="CH17" i="12"/>
  <c r="AU17" i="12"/>
  <c r="CK16" i="12"/>
  <c r="CJ16" i="12"/>
  <c r="CH16" i="12"/>
  <c r="AU16" i="12"/>
  <c r="CK15" i="12"/>
  <c r="CJ15" i="12"/>
  <c r="CH15" i="12"/>
  <c r="AU15" i="12"/>
  <c r="CK14" i="12"/>
  <c r="CJ14" i="12"/>
  <c r="CH14" i="12"/>
  <c r="AU14" i="12"/>
  <c r="CK13" i="12"/>
  <c r="CJ13" i="12"/>
  <c r="AW13" i="12"/>
  <c r="CH13" i="12" s="1"/>
  <c r="AU13" i="12"/>
  <c r="CK12" i="12"/>
  <c r="CJ12" i="12"/>
  <c r="CH12" i="12"/>
  <c r="AU12" i="12"/>
  <c r="CK11" i="12"/>
  <c r="CJ11" i="12"/>
  <c r="AW11" i="12"/>
  <c r="AU11" i="12"/>
  <c r="CK10" i="12"/>
  <c r="CJ10" i="12"/>
  <c r="CH10" i="12"/>
  <c r="AU10" i="12"/>
  <c r="CK9" i="12"/>
  <c r="CJ9" i="12"/>
  <c r="CH9" i="12"/>
  <c r="AU9" i="12"/>
  <c r="CK8" i="12"/>
  <c r="CJ8" i="12"/>
  <c r="CH8" i="12"/>
  <c r="AU8" i="12"/>
  <c r="CK7" i="12"/>
  <c r="CJ7" i="12"/>
  <c r="CH7" i="12"/>
  <c r="AU7" i="12"/>
  <c r="CK6" i="12"/>
  <c r="CJ6" i="12"/>
  <c r="CH6" i="12"/>
  <c r="AU6" i="12"/>
  <c r="CK5" i="12"/>
  <c r="CJ5" i="12"/>
  <c r="CH5" i="12"/>
  <c r="AU5" i="12"/>
  <c r="CK4" i="12"/>
  <c r="CJ4" i="12"/>
  <c r="CH4" i="12"/>
  <c r="AU4" i="12"/>
  <c r="C561" i="12" l="1"/>
  <c r="C559" i="12"/>
  <c r="AU551" i="12"/>
  <c r="AU337" i="12"/>
  <c r="CH337" i="12"/>
  <c r="CH964" i="12"/>
  <c r="CK964" i="12"/>
  <c r="AU964" i="12"/>
  <c r="CI1130" i="12"/>
  <c r="CI1133" i="12"/>
  <c r="CI1134" i="12"/>
  <c r="CI1076" i="12"/>
  <c r="CI1081" i="12"/>
  <c r="CI1088" i="12"/>
  <c r="CI1218" i="12"/>
  <c r="CI1180" i="12"/>
  <c r="CI264" i="12"/>
  <c r="CI1181" i="12"/>
  <c r="CI1239" i="12"/>
  <c r="CI288" i="12"/>
  <c r="AU1380" i="12"/>
  <c r="AX1569" i="12"/>
  <c r="CI292" i="12"/>
  <c r="CI1381" i="12"/>
  <c r="AW1569" i="12"/>
  <c r="CI265" i="12"/>
  <c r="CI266" i="12"/>
  <c r="CI267" i="12"/>
  <c r="CI268" i="12"/>
  <c r="CI273" i="12"/>
  <c r="CI276" i="12"/>
  <c r="CI279" i="12"/>
  <c r="CI280" i="12"/>
  <c r="CI1240" i="12"/>
  <c r="CI300" i="12"/>
  <c r="CI1099" i="12"/>
  <c r="CI1100" i="12"/>
  <c r="CK1380" i="12"/>
  <c r="CH1287" i="12"/>
  <c r="CI1287" i="12" s="1"/>
  <c r="AW1380" i="12"/>
  <c r="CI430" i="12"/>
  <c r="CI1111" i="12"/>
  <c r="CI1326" i="12"/>
  <c r="CI1083" i="12"/>
  <c r="CI1084" i="12"/>
  <c r="CI1098" i="12"/>
  <c r="CI113" i="12"/>
  <c r="CI121" i="12"/>
  <c r="CI1182" i="12"/>
  <c r="CI334" i="12"/>
  <c r="CI650" i="12"/>
  <c r="CI876" i="12"/>
  <c r="CI1311" i="12"/>
  <c r="CI1330" i="12"/>
  <c r="CI412" i="12"/>
  <c r="CI413" i="12"/>
  <c r="CI431" i="12"/>
  <c r="CI433" i="12"/>
  <c r="CI435" i="12"/>
  <c r="CI437" i="12"/>
  <c r="CI438" i="12"/>
  <c r="CI442" i="12"/>
  <c r="CI444" i="12"/>
  <c r="CI445" i="12"/>
  <c r="CI449" i="12"/>
  <c r="CI451" i="12"/>
  <c r="CI452" i="12"/>
  <c r="CI455" i="12"/>
  <c r="CI471" i="12"/>
  <c r="CI484" i="12"/>
  <c r="CI836" i="12"/>
  <c r="CI839" i="12"/>
  <c r="CI843" i="12"/>
  <c r="CI847" i="12"/>
  <c r="CI852" i="12"/>
  <c r="CI855" i="12"/>
  <c r="CI862" i="12"/>
  <c r="CI1119" i="12"/>
  <c r="CI10" i="12"/>
  <c r="CI44" i="12"/>
  <c r="CI216" i="12"/>
  <c r="CI335" i="12"/>
  <c r="CI336" i="12"/>
  <c r="CI339" i="12"/>
  <c r="CI361" i="12"/>
  <c r="CI418" i="12"/>
  <c r="CI1352" i="12"/>
  <c r="CI6" i="12"/>
  <c r="CI13" i="12"/>
  <c r="CI739" i="12"/>
  <c r="CI809" i="12"/>
  <c r="CI813" i="12"/>
  <c r="CI835" i="12"/>
  <c r="CI1241" i="12"/>
  <c r="CI499" i="12"/>
  <c r="CI540" i="12"/>
  <c r="CI544" i="12"/>
  <c r="CI804" i="12"/>
  <c r="CI74" i="12"/>
  <c r="CI641" i="12"/>
  <c r="CI644" i="12"/>
  <c r="CI674" i="12"/>
  <c r="CI676" i="12"/>
  <c r="CI677" i="12"/>
  <c r="CI678" i="12"/>
  <c r="CI679" i="12"/>
  <c r="CI877" i="12"/>
  <c r="CI882" i="12"/>
  <c r="CI970" i="12"/>
  <c r="CI971" i="12"/>
  <c r="CI1038" i="12"/>
  <c r="CI1051" i="12"/>
  <c r="CI1141" i="12"/>
  <c r="CI1350" i="12"/>
  <c r="CI184" i="12"/>
  <c r="CI185" i="12"/>
  <c r="CI186" i="12"/>
  <c r="CI190" i="12"/>
  <c r="CI206" i="12"/>
  <c r="CI509" i="12"/>
  <c r="CI651" i="12"/>
  <c r="CI654" i="12"/>
  <c r="CI752" i="12"/>
  <c r="CI756" i="12"/>
  <c r="CI760" i="12"/>
  <c r="CI819" i="12"/>
  <c r="CI822" i="12"/>
  <c r="CI823" i="12"/>
  <c r="CI990" i="12"/>
  <c r="CI992" i="12"/>
  <c r="CI993" i="12"/>
  <c r="CI1010" i="12"/>
  <c r="CI1012" i="12"/>
  <c r="CI1013" i="12"/>
  <c r="CI1017" i="12"/>
  <c r="CI1020" i="12"/>
  <c r="CI1021" i="12"/>
  <c r="CI1261" i="12"/>
  <c r="CI497" i="12"/>
  <c r="CI498" i="12"/>
  <c r="CI569" i="12"/>
  <c r="CI580" i="12"/>
  <c r="CI584" i="12"/>
  <c r="CI596" i="12"/>
  <c r="CI600" i="12"/>
  <c r="CI601" i="12"/>
  <c r="CI612" i="12"/>
  <c r="CI616" i="12"/>
  <c r="CI626" i="12"/>
  <c r="CI630" i="12"/>
  <c r="CI631" i="12"/>
  <c r="CI690" i="12"/>
  <c r="CI691" i="12"/>
  <c r="CI697" i="12"/>
  <c r="CI698" i="12"/>
  <c r="CI863" i="12"/>
  <c r="CI947" i="12"/>
  <c r="CI1031" i="12"/>
  <c r="CI1204" i="12"/>
  <c r="CI58" i="12"/>
  <c r="CI70" i="12"/>
  <c r="CI301" i="12"/>
  <c r="CI303" i="12"/>
  <c r="CI305" i="12"/>
  <c r="CI307" i="12"/>
  <c r="CI685" i="12"/>
  <c r="CI1022" i="12"/>
  <c r="CI1024" i="12"/>
  <c r="CI1089" i="12"/>
  <c r="CI1183" i="12"/>
  <c r="CI1185" i="12"/>
  <c r="CI1186" i="12"/>
  <c r="CI1200" i="12"/>
  <c r="CI1201" i="12"/>
  <c r="CI1206" i="12"/>
  <c r="CI1207" i="12"/>
  <c r="CI1211" i="12"/>
  <c r="CI1214" i="12"/>
  <c r="CI1215" i="12"/>
  <c r="CI1262" i="12"/>
  <c r="CI1273" i="12"/>
  <c r="CI1396" i="12"/>
  <c r="CI57" i="12"/>
  <c r="CI306" i="12"/>
  <c r="CI472" i="12"/>
  <c r="CI474" i="12"/>
  <c r="CI477" i="12"/>
  <c r="CI522" i="12"/>
  <c r="CI524" i="12"/>
  <c r="CI528" i="12"/>
  <c r="CI683" i="12"/>
  <c r="CI785" i="12"/>
  <c r="CI898" i="12"/>
  <c r="CI1025" i="12"/>
  <c r="CI1067" i="12"/>
  <c r="CI75" i="12"/>
  <c r="CI76" i="12"/>
  <c r="CI77" i="12"/>
  <c r="CI78" i="12"/>
  <c r="CI137" i="12"/>
  <c r="CI161" i="12"/>
  <c r="CI198" i="12"/>
  <c r="CI205" i="12"/>
  <c r="CI374" i="12"/>
  <c r="CI375" i="12"/>
  <c r="CI377" i="12"/>
  <c r="CI389" i="12"/>
  <c r="CI485" i="12"/>
  <c r="CI506" i="12"/>
  <c r="CI555" i="12"/>
  <c r="CI665" i="12"/>
  <c r="CI673" i="12"/>
  <c r="CI699" i="12"/>
  <c r="CI702" i="12"/>
  <c r="CI707" i="12"/>
  <c r="CI708" i="12"/>
  <c r="CI709" i="12"/>
  <c r="CI710" i="12"/>
  <c r="CI713" i="12"/>
  <c r="CI717" i="12"/>
  <c r="CI724" i="12"/>
  <c r="CI732" i="12"/>
  <c r="CI733" i="12"/>
  <c r="CI735" i="12"/>
  <c r="CI746" i="12"/>
  <c r="CI747" i="12"/>
  <c r="CI750" i="12"/>
  <c r="CI793" i="12"/>
  <c r="CI905" i="12"/>
  <c r="CI908" i="12"/>
  <c r="CI928" i="12"/>
  <c r="CI950" i="12"/>
  <c r="CI1137" i="12"/>
  <c r="CI1188" i="12"/>
  <c r="CI1191" i="12"/>
  <c r="CI1219" i="12"/>
  <c r="CH1265" i="12"/>
  <c r="CI1265" i="12" s="1"/>
  <c r="CI1267" i="12"/>
  <c r="CI1286" i="12"/>
  <c r="CI1340" i="12"/>
  <c r="CI59" i="12"/>
  <c r="CI302" i="12"/>
  <c r="CI308" i="12"/>
  <c r="CI473" i="12"/>
  <c r="CI478" i="12"/>
  <c r="CI523" i="12"/>
  <c r="CI784" i="12"/>
  <c r="CI897" i="12"/>
  <c r="CI1053" i="12"/>
  <c r="CI1091" i="12"/>
  <c r="CI1094" i="12"/>
  <c r="CI27" i="12"/>
  <c r="CI248" i="12"/>
  <c r="CI318" i="12"/>
  <c r="CI323" i="12"/>
  <c r="CI324" i="12"/>
  <c r="CI326" i="12"/>
  <c r="CI331" i="12"/>
  <c r="CI332" i="12"/>
  <c r="CI355" i="12"/>
  <c r="CI463" i="12"/>
  <c r="CI500" i="12"/>
  <c r="CI502" i="12"/>
  <c r="CI512" i="12"/>
  <c r="CI681" i="12"/>
  <c r="CI740" i="12"/>
  <c r="G743" i="12"/>
  <c r="G745" i="12" s="1"/>
  <c r="CI772" i="12"/>
  <c r="CI989" i="12"/>
  <c r="CI1102" i="12"/>
  <c r="CI1143" i="12"/>
  <c r="CI1147" i="12"/>
  <c r="CI1162" i="12"/>
  <c r="CI1164" i="12"/>
  <c r="CI1165" i="12"/>
  <c r="CI1175" i="12"/>
  <c r="CI1179" i="12"/>
  <c r="CI1194" i="12"/>
  <c r="CI1195" i="12"/>
  <c r="CI1230" i="12"/>
  <c r="CI1238" i="12"/>
  <c r="CI1257" i="12"/>
  <c r="CI15" i="12"/>
  <c r="CI20" i="12"/>
  <c r="CI28" i="12"/>
  <c r="CI30" i="12"/>
  <c r="CI84" i="12"/>
  <c r="CI91" i="12"/>
  <c r="CI93" i="12"/>
  <c r="CI99" i="12"/>
  <c r="CI101" i="12"/>
  <c r="CI123" i="12"/>
  <c r="CI125" i="12"/>
  <c r="CI131" i="12"/>
  <c r="CI133" i="12"/>
  <c r="CI191" i="12"/>
  <c r="CI281" i="12"/>
  <c r="CI340" i="12"/>
  <c r="CI341" i="12"/>
  <c r="CI343" i="12"/>
  <c r="CI348" i="12"/>
  <c r="CI349" i="12"/>
  <c r="CI351" i="12"/>
  <c r="CI356" i="12"/>
  <c r="CI357" i="12"/>
  <c r="CI378" i="12"/>
  <c r="CI379" i="12"/>
  <c r="CI381" i="12"/>
  <c r="CI385" i="12"/>
  <c r="CI454" i="12"/>
  <c r="CI548" i="12"/>
  <c r="CI556" i="12"/>
  <c r="CI617" i="12"/>
  <c r="CI864" i="12"/>
  <c r="CI868" i="12"/>
  <c r="CI974" i="12"/>
  <c r="CI978" i="12"/>
  <c r="CI1221" i="12"/>
  <c r="CI1343" i="12"/>
  <c r="CI45" i="12"/>
  <c r="CI46" i="12"/>
  <c r="CI47" i="12"/>
  <c r="CI48" i="12"/>
  <c r="CI52" i="12"/>
  <c r="CI56" i="12"/>
  <c r="CI138" i="12"/>
  <c r="CI139" i="12"/>
  <c r="CI140" i="12"/>
  <c r="CI141" i="12"/>
  <c r="CI146" i="12"/>
  <c r="CI147" i="12"/>
  <c r="CI148" i="12"/>
  <c r="CI149" i="12"/>
  <c r="CI153" i="12"/>
  <c r="CI158" i="12"/>
  <c r="CI159" i="12"/>
  <c r="CI160" i="12"/>
  <c r="CI207" i="12"/>
  <c r="CI208" i="12"/>
  <c r="CI210" i="12"/>
  <c r="CI212" i="12"/>
  <c r="CI217" i="12"/>
  <c r="CI218" i="12"/>
  <c r="CI219" i="12"/>
  <c r="CI220" i="12"/>
  <c r="CI225" i="12"/>
  <c r="CI226" i="12"/>
  <c r="CI227" i="12"/>
  <c r="CI228" i="12"/>
  <c r="CI232" i="12"/>
  <c r="CI234" i="12"/>
  <c r="CI235" i="12"/>
  <c r="CI236" i="12"/>
  <c r="CI241" i="12"/>
  <c r="CI242" i="12"/>
  <c r="CI244" i="12"/>
  <c r="CI289" i="12"/>
  <c r="CI290" i="12"/>
  <c r="CI291" i="12"/>
  <c r="CI322" i="12"/>
  <c r="CI362" i="12"/>
  <c r="CI363" i="12"/>
  <c r="CI390" i="12"/>
  <c r="CI391" i="12"/>
  <c r="CI393" i="12"/>
  <c r="CI398" i="12"/>
  <c r="CI399" i="12"/>
  <c r="CI401" i="12"/>
  <c r="CI405" i="12"/>
  <c r="CI419" i="12"/>
  <c r="CI421" i="12"/>
  <c r="CI422" i="12"/>
  <c r="CI456" i="12"/>
  <c r="CI458" i="12"/>
  <c r="CI459" i="12"/>
  <c r="CI462" i="12"/>
  <c r="CI464" i="12"/>
  <c r="CI470" i="12"/>
  <c r="CI515" i="12"/>
  <c r="CI518" i="12"/>
  <c r="CI671" i="12"/>
  <c r="CI794" i="12"/>
  <c r="CI796" i="12"/>
  <c r="CI800" i="12"/>
  <c r="CI912" i="12"/>
  <c r="CI915" i="12"/>
  <c r="CI918" i="12"/>
  <c r="CI1167" i="12"/>
  <c r="CI14" i="12"/>
  <c r="CI16" i="12"/>
  <c r="CI23" i="12"/>
  <c r="CI29" i="12"/>
  <c r="CI31" i="12"/>
  <c r="CI34" i="12"/>
  <c r="CI38" i="12"/>
  <c r="CI83" i="12"/>
  <c r="CI85" i="12"/>
  <c r="CI90" i="12"/>
  <c r="CI92" i="12"/>
  <c r="CI98" i="12"/>
  <c r="CI100" i="12"/>
  <c r="CI105" i="12"/>
  <c r="CI122" i="12"/>
  <c r="CI124" i="12"/>
  <c r="CI130" i="12"/>
  <c r="CI132" i="12"/>
  <c r="CI192" i="12"/>
  <c r="CI194" i="12"/>
  <c r="CI282" i="12"/>
  <c r="CI283" i="12"/>
  <c r="CI285" i="12"/>
  <c r="CI286" i="12"/>
  <c r="CI313" i="12"/>
  <c r="CI314" i="12"/>
  <c r="CI536" i="12"/>
  <c r="CI559" i="12"/>
  <c r="CI570" i="12"/>
  <c r="CI573" i="12"/>
  <c r="CI585" i="12"/>
  <c r="CI866" i="12"/>
  <c r="CI869" i="12"/>
  <c r="CI972" i="12"/>
  <c r="CI975" i="12"/>
  <c r="CI977" i="12"/>
  <c r="CI1341" i="12"/>
  <c r="CI1344" i="12"/>
  <c r="CI162" i="12"/>
  <c r="CI163" i="12"/>
  <c r="CI164" i="12"/>
  <c r="CI165" i="12"/>
  <c r="CI168" i="12"/>
  <c r="CI173" i="12"/>
  <c r="CI174" i="12"/>
  <c r="CI176" i="12"/>
  <c r="CI179" i="12"/>
  <c r="CI249" i="12"/>
  <c r="CI250" i="12"/>
  <c r="CI252" i="12"/>
  <c r="CI257" i="12"/>
  <c r="CI258" i="12"/>
  <c r="CI259" i="12"/>
  <c r="CI260" i="12"/>
  <c r="CI293" i="12"/>
  <c r="CI294" i="12"/>
  <c r="CI365" i="12"/>
  <c r="CH366" i="12"/>
  <c r="CI366" i="12" s="1"/>
  <c r="CI372" i="12"/>
  <c r="CI373" i="12"/>
  <c r="CI426" i="12"/>
  <c r="CI441" i="12"/>
  <c r="CI773" i="12"/>
  <c r="CI1283" i="12"/>
  <c r="CI1298" i="12"/>
  <c r="CI1299" i="12"/>
  <c r="CI1300" i="12"/>
  <c r="CI466" i="12"/>
  <c r="CI467" i="12"/>
  <c r="CI486" i="12"/>
  <c r="CI488" i="12"/>
  <c r="CI491" i="12"/>
  <c r="CI492" i="12"/>
  <c r="CI526" i="12"/>
  <c r="CI586" i="12"/>
  <c r="CI589" i="12"/>
  <c r="CI602" i="12"/>
  <c r="CI605" i="12"/>
  <c r="CH657" i="12"/>
  <c r="CI657" i="12" s="1"/>
  <c r="CI662" i="12"/>
  <c r="CI722" i="12"/>
  <c r="CI723" i="12"/>
  <c r="CI730" i="12"/>
  <c r="CI731" i="12"/>
  <c r="CH774" i="12"/>
  <c r="CI774" i="12" s="1"/>
  <c r="CI775" i="12"/>
  <c r="CI782" i="12"/>
  <c r="CI783" i="12"/>
  <c r="CI790" i="12"/>
  <c r="CI832" i="12"/>
  <c r="CI870" i="12"/>
  <c r="CI871" i="12"/>
  <c r="CI883" i="12"/>
  <c r="CI885" i="12"/>
  <c r="CI889" i="12"/>
  <c r="CI891" i="12"/>
  <c r="CI929" i="12"/>
  <c r="CI931" i="12"/>
  <c r="CI932" i="12"/>
  <c r="CI944" i="12"/>
  <c r="CI946" i="12"/>
  <c r="CI988" i="12"/>
  <c r="CI999" i="12"/>
  <c r="CI1001" i="12"/>
  <c r="CI1009" i="12"/>
  <c r="CI1028" i="12"/>
  <c r="CI1128" i="12"/>
  <c r="CI1135" i="12"/>
  <c r="CI1169" i="12"/>
  <c r="CI1171" i="12"/>
  <c r="CI1172" i="12"/>
  <c r="CI1176" i="12"/>
  <c r="CI1202" i="12"/>
  <c r="CI1203" i="12"/>
  <c r="CI1210" i="12"/>
  <c r="CI1231" i="12"/>
  <c r="CI1232" i="12"/>
  <c r="CI1236" i="12"/>
  <c r="CI1271" i="12"/>
  <c r="CI1288" i="12"/>
  <c r="CI1289" i="12"/>
  <c r="CI1290" i="12"/>
  <c r="CI1292" i="12"/>
  <c r="CI1301" i="12"/>
  <c r="CI1302" i="12"/>
  <c r="CI1303" i="12"/>
  <c r="CI1304" i="12"/>
  <c r="CI1312" i="12"/>
  <c r="CI1314" i="12"/>
  <c r="CI1358" i="12"/>
  <c r="CI1359" i="12"/>
  <c r="CI1360" i="12"/>
  <c r="CI1361" i="12"/>
  <c r="CI1365" i="12"/>
  <c r="CI1368" i="12"/>
  <c r="CI1383" i="12"/>
  <c r="CI520" i="12"/>
  <c r="CI618" i="12"/>
  <c r="CI621" i="12"/>
  <c r="CI632" i="12"/>
  <c r="CI635" i="12"/>
  <c r="CI639" i="12"/>
  <c r="CI640" i="12"/>
  <c r="CI649" i="12"/>
  <c r="CH776" i="12"/>
  <c r="CI776" i="12" s="1"/>
  <c r="CH792" i="12"/>
  <c r="CI792" i="12" s="1"/>
  <c r="CI816" i="12"/>
  <c r="CI851" i="12"/>
  <c r="CI902" i="12"/>
  <c r="CI904" i="12"/>
  <c r="CI1034" i="12"/>
  <c r="CI1037" i="12"/>
  <c r="CI1046" i="12"/>
  <c r="CI1047" i="12"/>
  <c r="CI1050" i="12"/>
  <c r="CI1073" i="12"/>
  <c r="CI1074" i="12"/>
  <c r="CI1104" i="12"/>
  <c r="CI1106" i="12"/>
  <c r="CI1108" i="12"/>
  <c r="CI1114" i="12"/>
  <c r="CI1115" i="12"/>
  <c r="CI1118" i="12"/>
  <c r="CI1122" i="12"/>
  <c r="CI1123" i="12"/>
  <c r="CI1151" i="12"/>
  <c r="CI1152" i="12"/>
  <c r="CI1159" i="12"/>
  <c r="CI1160" i="12"/>
  <c r="CI1161" i="12"/>
  <c r="CI1192" i="12"/>
  <c r="CI1264" i="12"/>
  <c r="CI1319" i="12"/>
  <c r="CI1320" i="12"/>
  <c r="CI1323" i="12"/>
  <c r="CI1331" i="12"/>
  <c r="CI1333" i="12"/>
  <c r="CI1370" i="12"/>
  <c r="CI1371" i="12"/>
  <c r="CI1375" i="12"/>
  <c r="AW316" i="12"/>
  <c r="CH316" i="12" s="1"/>
  <c r="CI12" i="12"/>
  <c r="CI39" i="12"/>
  <c r="CI40" i="12"/>
  <c r="CI41" i="12"/>
  <c r="CI42" i="12"/>
  <c r="CI43" i="12"/>
  <c r="CI89" i="12"/>
  <c r="CI97" i="12"/>
  <c r="CI24" i="12"/>
  <c r="CI25" i="12"/>
  <c r="CI26" i="12"/>
  <c r="CI66" i="12"/>
  <c r="CI71" i="12"/>
  <c r="CI145" i="12"/>
  <c r="CI157" i="12"/>
  <c r="CI197" i="12"/>
  <c r="CI239" i="12"/>
  <c r="CI240" i="12"/>
  <c r="CI247" i="12"/>
  <c r="CI295" i="12"/>
  <c r="CI297" i="12"/>
  <c r="CI298" i="12"/>
  <c r="CI299" i="12"/>
  <c r="CI304" i="12"/>
  <c r="CI315" i="12"/>
  <c r="CI384" i="12"/>
  <c r="CI388" i="12"/>
  <c r="CI429" i="12"/>
  <c r="CI479" i="12"/>
  <c r="CI481" i="12"/>
  <c r="CI482" i="12"/>
  <c r="CI493" i="12"/>
  <c r="CI495" i="12"/>
  <c r="CI496" i="12"/>
  <c r="CI508" i="12"/>
  <c r="CI529" i="12"/>
  <c r="CI530" i="12"/>
  <c r="CI531" i="12"/>
  <c r="CI532" i="12"/>
  <c r="CI533" i="12"/>
  <c r="CH534" i="12"/>
  <c r="CI534" i="12" s="1"/>
  <c r="CI549" i="12"/>
  <c r="AX1149" i="12"/>
  <c r="CH1149" i="12" s="1"/>
  <c r="CI1149" i="12" s="1"/>
  <c r="CI171" i="12"/>
  <c r="CI172" i="12"/>
  <c r="CI199" i="12"/>
  <c r="CI200" i="12"/>
  <c r="CI202" i="12"/>
  <c r="CI233" i="12"/>
  <c r="CI255" i="12"/>
  <c r="CI256" i="12"/>
  <c r="CI263" i="12"/>
  <c r="CI284" i="12"/>
  <c r="CI346" i="12"/>
  <c r="CI347" i="12"/>
  <c r="CI396" i="12"/>
  <c r="CI397" i="12"/>
  <c r="CI404" i="12"/>
  <c r="CI432" i="12"/>
  <c r="CI461" i="12"/>
  <c r="CI476" i="12"/>
  <c r="CI490" i="12"/>
  <c r="CI504" i="12"/>
  <c r="CH535" i="12"/>
  <c r="CI535" i="12" s="1"/>
  <c r="CI560" i="12"/>
  <c r="CI561" i="12"/>
  <c r="CI563" i="12"/>
  <c r="CI566" i="12"/>
  <c r="CI590" i="12"/>
  <c r="CI591" i="12"/>
  <c r="CI593" i="12"/>
  <c r="CI597" i="12"/>
  <c r="CI622" i="12"/>
  <c r="CI623" i="12"/>
  <c r="CI627" i="12"/>
  <c r="CI655" i="12"/>
  <c r="CH667" i="12"/>
  <c r="CI667" i="12" s="1"/>
  <c r="CI669" i="12"/>
  <c r="CI718" i="12"/>
  <c r="CI720" i="12"/>
  <c r="CI924" i="12"/>
  <c r="CI982" i="12"/>
  <c r="AW1285" i="12"/>
  <c r="CI272" i="12"/>
  <c r="CI287" i="12"/>
  <c r="CI311" i="12"/>
  <c r="CI659" i="12"/>
  <c r="CI67" i="12"/>
  <c r="CI68" i="12"/>
  <c r="CI69" i="12"/>
  <c r="CI106" i="12"/>
  <c r="CI107" i="12"/>
  <c r="CI108" i="12"/>
  <c r="CI109" i="12"/>
  <c r="CI114" i="12"/>
  <c r="CI115" i="12"/>
  <c r="CI116" i="12"/>
  <c r="CI117" i="12"/>
  <c r="CI128" i="12"/>
  <c r="CI129" i="12"/>
  <c r="CI224" i="12"/>
  <c r="CI274" i="12"/>
  <c r="CI275" i="12"/>
  <c r="CI296" i="12"/>
  <c r="CI319" i="12"/>
  <c r="CI320" i="12"/>
  <c r="CI329" i="12"/>
  <c r="CI330" i="12"/>
  <c r="CI352" i="12"/>
  <c r="CI353" i="12"/>
  <c r="CI358" i="12"/>
  <c r="CI369" i="12"/>
  <c r="CI406" i="12"/>
  <c r="CI407" i="12"/>
  <c r="CI409" i="12"/>
  <c r="CI414" i="12"/>
  <c r="CI415" i="12"/>
  <c r="CI417" i="12"/>
  <c r="CI439" i="12"/>
  <c r="CI440" i="12"/>
  <c r="CI448" i="12"/>
  <c r="CI469" i="12"/>
  <c r="CI513" i="12"/>
  <c r="CI527" i="12"/>
  <c r="CI537" i="12"/>
  <c r="CI538" i="12"/>
  <c r="CI539" i="12"/>
  <c r="CI541" i="12"/>
  <c r="CI543" i="12"/>
  <c r="CI545" i="12"/>
  <c r="CI546" i="12"/>
  <c r="CI547" i="12"/>
  <c r="CI574" i="12"/>
  <c r="CI575" i="12"/>
  <c r="CI577" i="12"/>
  <c r="CI581" i="12"/>
  <c r="CI606" i="12"/>
  <c r="CI607" i="12"/>
  <c r="CI609" i="12"/>
  <c r="CI613" i="12"/>
  <c r="CI636" i="12"/>
  <c r="CI637" i="12"/>
  <c r="CI645" i="12"/>
  <c r="CI646" i="12"/>
  <c r="CI672" i="12"/>
  <c r="CI687" i="12"/>
  <c r="CI692" i="12"/>
  <c r="CI693" i="12"/>
  <c r="CI695" i="12"/>
  <c r="CI705" i="12"/>
  <c r="CI706" i="12"/>
  <c r="CI716" i="12"/>
  <c r="CI1005" i="12"/>
  <c r="CI727" i="12"/>
  <c r="CI738" i="12"/>
  <c r="CI761" i="12"/>
  <c r="CI762" i="12"/>
  <c r="CI791" i="12"/>
  <c r="CI801" i="12"/>
  <c r="CI806" i="12"/>
  <c r="CI810" i="12"/>
  <c r="CI848" i="12"/>
  <c r="CI859" i="12"/>
  <c r="CI861" i="12"/>
  <c r="CI887" i="12"/>
  <c r="CI893" i="12"/>
  <c r="CI910" i="12"/>
  <c r="CI919" i="12"/>
  <c r="CI923" i="12"/>
  <c r="CI979" i="12"/>
  <c r="CI981" i="12"/>
  <c r="CI994" i="12"/>
  <c r="CI996" i="12"/>
  <c r="CI997" i="12"/>
  <c r="CI1002" i="12"/>
  <c r="CI1004" i="12"/>
  <c r="CI1026" i="12"/>
  <c r="CI1036" i="12"/>
  <c r="CI1097" i="12"/>
  <c r="CI1112" i="12"/>
  <c r="CI1116" i="12"/>
  <c r="CI1131" i="12"/>
  <c r="CI1153" i="12"/>
  <c r="CI1154" i="12"/>
  <c r="CI1156" i="12"/>
  <c r="CI1173" i="12"/>
  <c r="CI1196" i="12"/>
  <c r="CI1208" i="12"/>
  <c r="CI1209" i="12"/>
  <c r="CI1224" i="12"/>
  <c r="CI1226" i="12"/>
  <c r="CI1228" i="12"/>
  <c r="CI1263" i="12"/>
  <c r="CI1266" i="12"/>
  <c r="CI1277" i="12"/>
  <c r="CI1293" i="12"/>
  <c r="CI1295" i="12"/>
  <c r="CI1296" i="12"/>
  <c r="CI1309" i="12"/>
  <c r="CI1324" i="12"/>
  <c r="CI1327" i="12"/>
  <c r="CI1328" i="12"/>
  <c r="CI1329" i="12"/>
  <c r="CI1345" i="12"/>
  <c r="CI1347" i="12"/>
  <c r="CI1348" i="12"/>
  <c r="CI1353" i="12"/>
  <c r="CI1355" i="12"/>
  <c r="CI1356" i="12"/>
  <c r="CI1364" i="12"/>
  <c r="CI1376" i="12"/>
  <c r="CI1377" i="12"/>
  <c r="CI1421" i="12"/>
  <c r="CI748" i="12"/>
  <c r="CI787" i="12"/>
  <c r="CI814" i="12"/>
  <c r="CI818" i="12"/>
  <c r="CI828" i="12"/>
  <c r="CI925" i="12"/>
  <c r="CI927" i="12"/>
  <c r="CI934" i="12"/>
  <c r="CI941" i="12"/>
  <c r="CI983" i="12"/>
  <c r="CI985" i="12"/>
  <c r="CI986" i="12"/>
  <c r="CI1006" i="12"/>
  <c r="CI1008" i="12"/>
  <c r="CI1015" i="12"/>
  <c r="CI1030" i="12"/>
  <c r="CI1039" i="12"/>
  <c r="CI1040" i="12"/>
  <c r="CI1041" i="12"/>
  <c r="CI1042" i="12"/>
  <c r="CI1043" i="12"/>
  <c r="CI1044" i="12"/>
  <c r="CI1045" i="12"/>
  <c r="CI1049" i="12"/>
  <c r="CI1065" i="12"/>
  <c r="CI1066" i="12"/>
  <c r="CI1072" i="12"/>
  <c r="CI1078" i="12"/>
  <c r="CI1080" i="12"/>
  <c r="CI1086" i="12"/>
  <c r="CI1109" i="12"/>
  <c r="CI1120" i="12"/>
  <c r="CI1124" i="12"/>
  <c r="CI1139" i="12"/>
  <c r="CI1197" i="12"/>
  <c r="CI1317" i="12"/>
  <c r="CI754" i="12"/>
  <c r="CI757" i="12"/>
  <c r="CI759" i="12"/>
  <c r="CI766" i="12"/>
  <c r="CI769" i="12"/>
  <c r="CH777" i="12"/>
  <c r="CI777" i="12" s="1"/>
  <c r="CI779" i="12"/>
  <c r="CI799" i="12"/>
  <c r="CI826" i="12"/>
  <c r="CI829" i="12"/>
  <c r="CI833" i="12"/>
  <c r="CI842" i="12"/>
  <c r="CI846" i="12"/>
  <c r="CI873" i="12"/>
  <c r="CI880" i="12"/>
  <c r="CI899" i="12"/>
  <c r="CI900" i="12"/>
  <c r="CI906" i="12"/>
  <c r="CI1110" i="12"/>
  <c r="CI1126" i="12"/>
  <c r="CI1127" i="12"/>
  <c r="CI1145" i="12"/>
  <c r="CI1146" i="12"/>
  <c r="CI1170" i="12"/>
  <c r="CI1258" i="12"/>
  <c r="CI1260" i="12"/>
  <c r="CI1268" i="12"/>
  <c r="CH1269" i="12"/>
  <c r="CI1269" i="12" s="1"/>
  <c r="CI1280" i="12"/>
  <c r="CI1281" i="12"/>
  <c r="CI1322" i="12"/>
  <c r="CI1334" i="12"/>
  <c r="CI1336" i="12"/>
  <c r="CI1337" i="12"/>
  <c r="CI1339" i="12"/>
  <c r="CI1369" i="12"/>
  <c r="CI1379" i="12"/>
  <c r="CH1382" i="12"/>
  <c r="CI1414" i="12"/>
  <c r="CI1420" i="12"/>
  <c r="CH1434" i="12"/>
  <c r="CI1434" i="12" s="1"/>
  <c r="CI1446" i="12"/>
  <c r="CI4" i="12"/>
  <c r="CI18" i="12"/>
  <c r="CI33" i="12"/>
  <c r="CI49" i="12"/>
  <c r="CI51" i="12"/>
  <c r="CI61" i="12"/>
  <c r="CI63" i="12"/>
  <c r="CI7" i="12"/>
  <c r="CI8" i="12"/>
  <c r="CI9" i="12"/>
  <c r="CI21" i="12"/>
  <c r="CI22" i="12"/>
  <c r="CI35" i="12"/>
  <c r="CI36" i="12"/>
  <c r="CI37" i="12"/>
  <c r="CI53" i="12"/>
  <c r="CI54" i="12"/>
  <c r="CI55" i="12"/>
  <c r="CI5" i="12"/>
  <c r="CI17" i="12"/>
  <c r="CI19" i="12"/>
  <c r="CI32" i="12"/>
  <c r="CI50" i="12"/>
  <c r="CI60" i="12"/>
  <c r="CI62" i="12"/>
  <c r="CI82" i="12"/>
  <c r="CI72" i="12"/>
  <c r="CI73" i="12"/>
  <c r="CI86" i="12"/>
  <c r="CI87" i="12"/>
  <c r="CI88" i="12"/>
  <c r="CI102" i="12"/>
  <c r="CI103" i="12"/>
  <c r="CI104" i="12"/>
  <c r="CI118" i="12"/>
  <c r="CI119" i="12"/>
  <c r="CI120" i="12"/>
  <c r="CI134" i="12"/>
  <c r="CI135" i="12"/>
  <c r="CI136" i="12"/>
  <c r="CI150" i="12"/>
  <c r="CI151" i="12"/>
  <c r="CI152" i="12"/>
  <c r="CI166" i="12"/>
  <c r="CI277" i="12"/>
  <c r="CI278" i="12"/>
  <c r="CI309" i="12"/>
  <c r="CI310" i="12"/>
  <c r="AU316" i="12"/>
  <c r="AW551" i="12"/>
  <c r="CI367" i="12"/>
  <c r="CI368" i="12"/>
  <c r="CI382" i="12"/>
  <c r="CI383" i="12"/>
  <c r="CI453" i="12"/>
  <c r="CI460" i="12"/>
  <c r="CI468" i="12"/>
  <c r="CI475" i="12"/>
  <c r="CI483" i="12"/>
  <c r="CI489" i="12"/>
  <c r="BM551" i="12"/>
  <c r="CI514" i="12"/>
  <c r="CI519" i="12"/>
  <c r="CI558" i="12"/>
  <c r="CI567" i="12"/>
  <c r="CI572" i="12"/>
  <c r="CI582" i="12"/>
  <c r="CI588" i="12"/>
  <c r="CI598" i="12"/>
  <c r="CI604" i="12"/>
  <c r="CI614" i="12"/>
  <c r="CI620" i="12"/>
  <c r="CI628" i="12"/>
  <c r="CI634" i="12"/>
  <c r="CI643" i="12"/>
  <c r="CI647" i="12"/>
  <c r="CI653" i="12"/>
  <c r="CI154" i="12"/>
  <c r="CI155" i="12"/>
  <c r="CI156" i="12"/>
  <c r="CI169" i="12"/>
  <c r="CI170" i="12"/>
  <c r="CI175" i="12"/>
  <c r="CI180" i="12"/>
  <c r="CI181" i="12"/>
  <c r="CI182" i="12"/>
  <c r="CI195" i="12"/>
  <c r="CI196" i="12"/>
  <c r="CI201" i="12"/>
  <c r="CI211" i="12"/>
  <c r="CI221" i="12"/>
  <c r="CI222" i="12"/>
  <c r="CI223" i="12"/>
  <c r="CI237" i="12"/>
  <c r="CI238" i="12"/>
  <c r="CI243" i="12"/>
  <c r="CI253" i="12"/>
  <c r="CI254" i="12"/>
  <c r="CI269" i="12"/>
  <c r="CI270" i="12"/>
  <c r="CI271" i="12"/>
  <c r="CI317" i="12"/>
  <c r="CI327" i="12"/>
  <c r="CI328" i="12"/>
  <c r="CI333" i="12"/>
  <c r="CI344" i="12"/>
  <c r="CI345" i="12"/>
  <c r="CI350" i="12"/>
  <c r="CH359" i="12"/>
  <c r="CI359" i="12" s="1"/>
  <c r="CI360" i="12"/>
  <c r="CI364" i="12"/>
  <c r="CI370" i="12"/>
  <c r="CI371" i="12"/>
  <c r="CI376" i="12"/>
  <c r="CI386" i="12"/>
  <c r="CI387" i="12"/>
  <c r="CI392" i="12"/>
  <c r="CI402" i="12"/>
  <c r="CI403" i="12"/>
  <c r="CI408" i="12"/>
  <c r="CI420" i="12"/>
  <c r="CI427" i="12"/>
  <c r="CI443" i="12"/>
  <c r="CI457" i="12"/>
  <c r="CI465" i="12"/>
  <c r="CI480" i="12"/>
  <c r="CI487" i="12"/>
  <c r="CI494" i="12"/>
  <c r="CI501" i="12"/>
  <c r="CI505" i="12"/>
  <c r="CI562" i="12"/>
  <c r="CI576" i="12"/>
  <c r="CI592" i="12"/>
  <c r="CI608" i="12"/>
  <c r="CI624" i="12"/>
  <c r="CI64" i="12"/>
  <c r="CI65" i="12"/>
  <c r="CI79" i="12"/>
  <c r="CI80" i="12"/>
  <c r="CI81" i="12"/>
  <c r="CI94" i="12"/>
  <c r="CI95" i="12"/>
  <c r="CI96" i="12"/>
  <c r="CI110" i="12"/>
  <c r="CI111" i="12"/>
  <c r="CI112" i="12"/>
  <c r="CI126" i="12"/>
  <c r="CI127" i="12"/>
  <c r="CI142" i="12"/>
  <c r="CI143" i="12"/>
  <c r="CI144" i="12"/>
  <c r="CI183" i="12"/>
  <c r="CI312" i="12"/>
  <c r="CI321" i="12"/>
  <c r="CI354" i="12"/>
  <c r="CI380" i="12"/>
  <c r="CI511" i="12"/>
  <c r="CI517" i="12"/>
  <c r="CI167" i="12"/>
  <c r="CI177" i="12"/>
  <c r="CI178" i="12"/>
  <c r="CI187" i="12"/>
  <c r="CI188" i="12"/>
  <c r="CI189" i="12"/>
  <c r="CI193" i="12"/>
  <c r="CI203" i="12"/>
  <c r="CI204" i="12"/>
  <c r="CI209" i="12"/>
  <c r="CI213" i="12"/>
  <c r="CI214" i="12"/>
  <c r="CI215" i="12"/>
  <c r="CI229" i="12"/>
  <c r="CI230" i="12"/>
  <c r="CI231" i="12"/>
  <c r="CI245" i="12"/>
  <c r="CI246" i="12"/>
  <c r="CI251" i="12"/>
  <c r="CI261" i="12"/>
  <c r="CI262" i="12"/>
  <c r="CI325" i="12"/>
  <c r="CI342" i="12"/>
  <c r="CI394" i="12"/>
  <c r="CI395" i="12"/>
  <c r="CI400" i="12"/>
  <c r="CI410" i="12"/>
  <c r="CI411" i="12"/>
  <c r="CI416" i="12"/>
  <c r="CI423" i="12"/>
  <c r="CI424" i="12"/>
  <c r="CI434" i="12"/>
  <c r="CI436" i="12"/>
  <c r="CI446" i="12"/>
  <c r="CI447" i="12"/>
  <c r="CI450" i="12"/>
  <c r="CI516" i="12"/>
  <c r="CI521" i="12"/>
  <c r="CI525" i="12"/>
  <c r="CI564" i="12"/>
  <c r="CI578" i="12"/>
  <c r="CI594" i="12"/>
  <c r="CI610" i="12"/>
  <c r="CI638" i="12"/>
  <c r="CI668" i="12"/>
  <c r="CI701" i="12"/>
  <c r="CI712" i="12"/>
  <c r="CI726" i="12"/>
  <c r="CI736" i="12"/>
  <c r="CI744" i="12"/>
  <c r="CI745" i="12"/>
  <c r="CI764" i="12"/>
  <c r="CI765" i="12"/>
  <c r="CI768" i="12"/>
  <c r="CH780" i="12"/>
  <c r="CI780" i="12" s="1"/>
  <c r="CI788" i="12"/>
  <c r="CI797" i="12"/>
  <c r="G977" i="12"/>
  <c r="BM682" i="12"/>
  <c r="CI817" i="12"/>
  <c r="CI827" i="12"/>
  <c r="CI840" i="12"/>
  <c r="CI841" i="12"/>
  <c r="CI856" i="12"/>
  <c r="CI857" i="12"/>
  <c r="CI858" i="12"/>
  <c r="CI860" i="12"/>
  <c r="CI872" i="12"/>
  <c r="CI874" i="12"/>
  <c r="CH879" i="12"/>
  <c r="CI879" i="12" s="1"/>
  <c r="CI888" i="12"/>
  <c r="CI890" i="12"/>
  <c r="CI892" i="12"/>
  <c r="CI901" i="12"/>
  <c r="CI903" i="12"/>
  <c r="CI911" i="12"/>
  <c r="CI913" i="12"/>
  <c r="CI922" i="12"/>
  <c r="CI933" i="12"/>
  <c r="CI938" i="12"/>
  <c r="CI945" i="12"/>
  <c r="CI976" i="12"/>
  <c r="CI987" i="12"/>
  <c r="CI998" i="12"/>
  <c r="CI1000" i="12"/>
  <c r="CI1003" i="12"/>
  <c r="CI1014" i="12"/>
  <c r="CI1016" i="12"/>
  <c r="CI1019" i="12"/>
  <c r="CI1027" i="12"/>
  <c r="CI1035" i="12"/>
  <c r="CI1048" i="12"/>
  <c r="CI1054" i="12"/>
  <c r="CI1055" i="12"/>
  <c r="CI1056" i="12"/>
  <c r="CI1057" i="12"/>
  <c r="CI1058" i="12"/>
  <c r="CI1059" i="12"/>
  <c r="CI1060" i="12"/>
  <c r="CI1061" i="12"/>
  <c r="CI1062" i="12"/>
  <c r="CI1063" i="12"/>
  <c r="CI1064" i="12"/>
  <c r="CI1069" i="12"/>
  <c r="CI1070" i="12" s="1"/>
  <c r="CI1077" i="12"/>
  <c r="CI1079" i="12"/>
  <c r="CI1082" i="12"/>
  <c r="CH1090" i="12"/>
  <c r="CI1090" i="12" s="1"/>
  <c r="CI1093" i="12"/>
  <c r="CI1113" i="12"/>
  <c r="CI1121" i="12"/>
  <c r="CI1136" i="12"/>
  <c r="CI1144" i="12"/>
  <c r="CI1150" i="12"/>
  <c r="CI1234" i="12"/>
  <c r="CI1297" i="12"/>
  <c r="CH656" i="12"/>
  <c r="CI656" i="12" s="1"/>
  <c r="CI666" i="12"/>
  <c r="CI684" i="12"/>
  <c r="CI688" i="12"/>
  <c r="CI694" i="12"/>
  <c r="CI703" i="12"/>
  <c r="CI714" i="12"/>
  <c r="CI715" i="12"/>
  <c r="CI719" i="12"/>
  <c r="CI728" i="12"/>
  <c r="CI729" i="12"/>
  <c r="CI734" i="12"/>
  <c r="CI742" i="12"/>
  <c r="CI743" i="12"/>
  <c r="CI758" i="12"/>
  <c r="CI763" i="12"/>
  <c r="CI770" i="12"/>
  <c r="CI778" i="12"/>
  <c r="CH781" i="12"/>
  <c r="CI781" i="12" s="1"/>
  <c r="CI786" i="12"/>
  <c r="CI795" i="12"/>
  <c r="CH803" i="12"/>
  <c r="CI803" i="12" s="1"/>
  <c r="CI807" i="12"/>
  <c r="CI808" i="12"/>
  <c r="CI820" i="12"/>
  <c r="CI821" i="12"/>
  <c r="CI830" i="12"/>
  <c r="CI831" i="12"/>
  <c r="CI844" i="12"/>
  <c r="CI845" i="12"/>
  <c r="CI850" i="12"/>
  <c r="CI865" i="12"/>
  <c r="CI867" i="12"/>
  <c r="CI881" i="12"/>
  <c r="CI884" i="12"/>
  <c r="CI886" i="12"/>
  <c r="CI894" i="12"/>
  <c r="CI896" i="12"/>
  <c r="CI907" i="12"/>
  <c r="CI926" i="12"/>
  <c r="CI951" i="12"/>
  <c r="CI980" i="12"/>
  <c r="CI991" i="12"/>
  <c r="CI1007" i="12"/>
  <c r="CI1018" i="12"/>
  <c r="CI1023" i="12"/>
  <c r="CI661" i="12"/>
  <c r="CI675" i="12"/>
  <c r="CI680" i="12"/>
  <c r="CI811" i="12"/>
  <c r="CI825" i="12"/>
  <c r="CI838" i="12"/>
  <c r="CI854" i="12"/>
  <c r="CI878" i="12"/>
  <c r="CI909" i="12"/>
  <c r="CI930" i="12"/>
  <c r="CI973" i="12"/>
  <c r="CI984" i="12"/>
  <c r="CI995" i="12"/>
  <c r="CI1011" i="12"/>
  <c r="AW1068" i="12"/>
  <c r="CI1032" i="12"/>
  <c r="CI1052" i="12"/>
  <c r="CI1075" i="12"/>
  <c r="CI1085" i="12"/>
  <c r="CI1087" i="12"/>
  <c r="CI1095" i="12"/>
  <c r="CI1096" i="12"/>
  <c r="CI1101" i="12"/>
  <c r="CI1103" i="12"/>
  <c r="CI1105" i="12"/>
  <c r="CI1107" i="12"/>
  <c r="CI1117" i="12"/>
  <c r="CI1125" i="12"/>
  <c r="CI1132" i="12"/>
  <c r="CI1138" i="12"/>
  <c r="CI1140" i="12"/>
  <c r="CI1148" i="12"/>
  <c r="CI1157" i="12"/>
  <c r="CI1178" i="12"/>
  <c r="CI1222" i="12"/>
  <c r="CI1177" i="12"/>
  <c r="CI1184" i="12"/>
  <c r="CI1198" i="12"/>
  <c r="CI1199" i="12"/>
  <c r="CI1212" i="12"/>
  <c r="CI1213" i="12"/>
  <c r="CI1220" i="12"/>
  <c r="CI1225" i="12"/>
  <c r="CI1233" i="12"/>
  <c r="CI1242" i="12"/>
  <c r="CI1243" i="12"/>
  <c r="CI1244" i="12"/>
  <c r="CI1245" i="12"/>
  <c r="CI1246" i="12"/>
  <c r="CI1247" i="12"/>
  <c r="CI1248" i="12"/>
  <c r="CI1249" i="12"/>
  <c r="CI1250" i="12"/>
  <c r="CI1251" i="12"/>
  <c r="CI1252" i="12"/>
  <c r="CI1253" i="12"/>
  <c r="CI1254" i="12"/>
  <c r="CI1255" i="12"/>
  <c r="CI1256" i="12"/>
  <c r="CI1259" i="12"/>
  <c r="CI1270" i="12"/>
  <c r="CI1274" i="12"/>
  <c r="CI1275" i="12"/>
  <c r="CI1276" i="12"/>
  <c r="CI1278" i="12"/>
  <c r="CI1291" i="12"/>
  <c r="CI1305" i="12"/>
  <c r="CI1306" i="12"/>
  <c r="CI1307" i="12"/>
  <c r="CI1310" i="12"/>
  <c r="CI1315" i="12"/>
  <c r="CI1316" i="12"/>
  <c r="CI1335" i="12"/>
  <c r="CI1338" i="12"/>
  <c r="CI1349" i="12"/>
  <c r="CI1351" i="12"/>
  <c r="CI1354" i="12"/>
  <c r="CI1362" i="12"/>
  <c r="CI1363" i="12"/>
  <c r="CI1158" i="12"/>
  <c r="CI1166" i="12"/>
  <c r="CI1174" i="12"/>
  <c r="CI1189" i="12"/>
  <c r="CI1227" i="12"/>
  <c r="CI1235" i="12"/>
  <c r="CI1308" i="12"/>
  <c r="CI1318" i="12"/>
  <c r="CI1342" i="12"/>
  <c r="CI1378" i="12"/>
  <c r="CI1155" i="12"/>
  <c r="CI1163" i="12"/>
  <c r="CI1168" i="12"/>
  <c r="CI1187" i="12"/>
  <c r="CI1216" i="12"/>
  <c r="CI1217" i="12"/>
  <c r="CI1223" i="12"/>
  <c r="CI1229" i="12"/>
  <c r="CI1237" i="12"/>
  <c r="CI1282" i="12"/>
  <c r="CI1284" i="12"/>
  <c r="CI1294" i="12"/>
  <c r="CI1313" i="12"/>
  <c r="CI1321" i="12"/>
  <c r="CI1332" i="12"/>
  <c r="CI1346" i="12"/>
  <c r="CI1357" i="12"/>
  <c r="CI1366" i="12"/>
  <c r="CI1367" i="12"/>
  <c r="CI1372" i="12"/>
  <c r="CI1373" i="12"/>
  <c r="CI1374" i="12"/>
  <c r="CH11" i="12"/>
  <c r="CI11" i="12" s="1"/>
  <c r="CI428" i="12"/>
  <c r="CI542" i="12"/>
  <c r="CI550" i="12"/>
  <c r="AU682" i="12"/>
  <c r="CI579" i="12"/>
  <c r="CI595" i="12"/>
  <c r="CI611" i="12"/>
  <c r="AX682" i="12"/>
  <c r="CH625" i="12"/>
  <c r="CI625" i="12" s="1"/>
  <c r="CI425" i="12"/>
  <c r="CH503" i="12"/>
  <c r="CI503" i="12" s="1"/>
  <c r="CI568" i="12"/>
  <c r="CI583" i="12"/>
  <c r="CI599" i="12"/>
  <c r="CI615" i="12"/>
  <c r="CI629" i="12"/>
  <c r="CI338" i="12"/>
  <c r="AX551" i="12"/>
  <c r="BH551" i="12"/>
  <c r="CH507" i="12"/>
  <c r="CI507" i="12" s="1"/>
  <c r="CI557" i="12"/>
  <c r="CI571" i="12"/>
  <c r="CI587" i="12"/>
  <c r="CI603" i="12"/>
  <c r="CI619" i="12"/>
  <c r="CI633" i="12"/>
  <c r="CI642" i="12"/>
  <c r="AW682" i="12"/>
  <c r="CI652" i="12"/>
  <c r="CI670" i="12"/>
  <c r="CH686" i="12"/>
  <c r="AW805" i="12"/>
  <c r="CI696" i="12"/>
  <c r="CI721" i="12"/>
  <c r="CI737" i="12"/>
  <c r="CI753" i="12"/>
  <c r="CI789" i="12"/>
  <c r="CI798" i="12"/>
  <c r="CI812" i="12"/>
  <c r="CI834" i="12"/>
  <c r="CI849" i="12"/>
  <c r="G1040" i="12"/>
  <c r="G1043" i="12"/>
  <c r="G1045" i="12" s="1"/>
  <c r="G1046" i="12" s="1"/>
  <c r="G1047" i="12" s="1"/>
  <c r="G1048" i="12" s="1"/>
  <c r="G1049" i="12" s="1"/>
  <c r="G1050" i="12" s="1"/>
  <c r="G1052" i="12" s="1"/>
  <c r="G1054" i="12" s="1"/>
  <c r="G1057" i="12" s="1"/>
  <c r="G1058" i="12" s="1"/>
  <c r="G1059" i="12" s="1"/>
  <c r="G1060" i="12" s="1"/>
  <c r="G1061" i="12" s="1"/>
  <c r="G1062" i="12" s="1"/>
  <c r="G1063" i="12" s="1"/>
  <c r="G1065" i="12" s="1"/>
  <c r="G1071" i="12" s="1"/>
  <c r="G1072" i="12" s="1"/>
  <c r="G1073" i="12" s="1"/>
  <c r="G1074" i="12" s="1"/>
  <c r="G1075" i="12" s="1"/>
  <c r="G1076" i="12" s="1"/>
  <c r="CH565" i="12"/>
  <c r="CI565" i="12" s="1"/>
  <c r="CI648" i="12"/>
  <c r="CH658" i="12"/>
  <c r="CI658" i="12" s="1"/>
  <c r="CI660" i="12"/>
  <c r="BM805" i="12"/>
  <c r="CI700" i="12"/>
  <c r="CI711" i="12"/>
  <c r="CI725" i="12"/>
  <c r="CI741" i="12"/>
  <c r="CI749" i="12"/>
  <c r="CI755" i="12"/>
  <c r="CI767" i="12"/>
  <c r="CI802" i="12"/>
  <c r="CI815" i="12"/>
  <c r="CI824" i="12"/>
  <c r="CI837" i="12"/>
  <c r="CI853" i="12"/>
  <c r="CK1068" i="12"/>
  <c r="CI554" i="12"/>
  <c r="AU805" i="12"/>
  <c r="CI689" i="12"/>
  <c r="CI704" i="12"/>
  <c r="CI751" i="12"/>
  <c r="CI771" i="12"/>
  <c r="AU914" i="12"/>
  <c r="CK914" i="12"/>
  <c r="AX914" i="12"/>
  <c r="CH895" i="12"/>
  <c r="CI895" i="12" s="1"/>
  <c r="AU1068" i="12"/>
  <c r="CH1033" i="12"/>
  <c r="CI1033" i="12" s="1"/>
  <c r="AW914" i="12"/>
  <c r="AU1285" i="12"/>
  <c r="CI1071" i="12"/>
  <c r="CH1129" i="12"/>
  <c r="CI1129" i="12" s="1"/>
  <c r="AX1142" i="12"/>
  <c r="CH1142" i="12" s="1"/>
  <c r="CI1193" i="12"/>
  <c r="CH1205" i="12"/>
  <c r="CI1205" i="12" s="1"/>
  <c r="CI1272" i="12"/>
  <c r="BM1285" i="12"/>
  <c r="CH1029" i="12"/>
  <c r="CI1029" i="12" s="1"/>
  <c r="CI1092" i="12"/>
  <c r="CI1190" i="12"/>
  <c r="CH1279" i="12"/>
  <c r="CI1279" i="12" s="1"/>
  <c r="AX1325" i="12"/>
  <c r="CH551" i="12" l="1"/>
  <c r="CI551" i="12" s="1"/>
  <c r="CI337" i="12"/>
  <c r="CI964" i="12"/>
  <c r="CH1569" i="12"/>
  <c r="CI1569" i="12" s="1"/>
  <c r="CI1382" i="12"/>
  <c r="CH1325" i="12"/>
  <c r="CI1325" i="12" s="1"/>
  <c r="CI1380" i="12" s="1"/>
  <c r="AX1380" i="12"/>
  <c r="AX1285" i="12"/>
  <c r="CH682" i="12"/>
  <c r="CI316" i="12"/>
  <c r="CI914" i="12"/>
  <c r="CI1142" i="12"/>
  <c r="CI1285" i="12" s="1"/>
  <c r="CH1285" i="12"/>
  <c r="CH1068" i="12"/>
  <c r="CI1068" i="12"/>
  <c r="CH914" i="12"/>
  <c r="CI682" i="12"/>
  <c r="CI686" i="12"/>
  <c r="CI805" i="12" s="1"/>
  <c r="CH805" i="12"/>
  <c r="CH1380" i="12" l="1"/>
  <c r="CP988" i="6"/>
  <c r="CP1211" i="6"/>
  <c r="CL1262" i="9"/>
  <c r="CN1262" i="9"/>
  <c r="CK1262" i="9"/>
  <c r="CM988" i="6"/>
  <c r="CM1211" i="6"/>
  <c r="CR1211" i="6"/>
  <c r="CR988" i="6"/>
  <c r="CO988" i="6"/>
  <c r="CO1211" i="6"/>
  <c r="CM1262" i="9"/>
  <c r="CL988" i="6"/>
  <c r="CL1211" i="6"/>
  <c r="CN988" i="6"/>
  <c r="CN1211" i="6"/>
  <c r="CQ988" i="6"/>
  <c r="CQ1211" i="6"/>
</calcChain>
</file>

<file path=xl/sharedStrings.xml><?xml version="1.0" encoding="utf-8"?>
<sst xmlns="http://schemas.openxmlformats.org/spreadsheetml/2006/main" count="30277" uniqueCount="5771">
  <si>
    <t>س</t>
  </si>
  <si>
    <t>الباب الاول</t>
  </si>
  <si>
    <t>الباب الثانى</t>
  </si>
  <si>
    <t>الباب الرابع</t>
  </si>
  <si>
    <t>الباب الخامس</t>
  </si>
  <si>
    <t>الباب السادس</t>
  </si>
  <si>
    <t>نظامية دائنة</t>
  </si>
  <si>
    <t xml:space="preserve">التاريخ </t>
  </si>
  <si>
    <t>رقم 55</t>
  </si>
  <si>
    <t>رقم 224</t>
  </si>
  <si>
    <t>الصندوق</t>
  </si>
  <si>
    <t xml:space="preserve">البيان </t>
  </si>
  <si>
    <t>الوصف</t>
  </si>
  <si>
    <t>الأجور و تعويضات العاملين</t>
  </si>
  <si>
    <t>شراء السلع و الخدمات</t>
  </si>
  <si>
    <t>الدعم و المنح و المزايا الإجتماعية</t>
  </si>
  <si>
    <t>المصروفات الأخرى</t>
  </si>
  <si>
    <t>شراء الأصول غير المالية (الاستثمارات)</t>
  </si>
  <si>
    <t xml:space="preserve">اصول </t>
  </si>
  <si>
    <t>موارد جاريه</t>
  </si>
  <si>
    <t xml:space="preserve">راس مال </t>
  </si>
  <si>
    <t>مبالغ كسلف</t>
  </si>
  <si>
    <t>اعمال كسلف</t>
  </si>
  <si>
    <t xml:space="preserve">ضمان اعمال </t>
  </si>
  <si>
    <t>تامين نهائى</t>
  </si>
  <si>
    <t xml:space="preserve">معاشات </t>
  </si>
  <si>
    <t xml:space="preserve">دمغات </t>
  </si>
  <si>
    <t>تنميه موارد</t>
  </si>
  <si>
    <t>ا ت ص</t>
  </si>
  <si>
    <t xml:space="preserve">ايراد </t>
  </si>
  <si>
    <t>ديون مستحقه</t>
  </si>
  <si>
    <t>دائنون</t>
  </si>
  <si>
    <t xml:space="preserve">نقابات هندسيه وتطبقيه </t>
  </si>
  <si>
    <t>مبالغ مقدمه</t>
  </si>
  <si>
    <t>اعمال مقدمه</t>
  </si>
  <si>
    <t>استقطاع</t>
  </si>
  <si>
    <t>اوامر دفع مرسله</t>
  </si>
  <si>
    <t xml:space="preserve">وحده حسابيه صناديق </t>
  </si>
  <si>
    <t>وحده حسابيه مديونيات</t>
  </si>
  <si>
    <t xml:space="preserve">وحده حسابيه مدفوعات </t>
  </si>
  <si>
    <t xml:space="preserve">تامينات ابتدائيه مقابل خطاب ضمان </t>
  </si>
  <si>
    <t>كفالات نهائيه مقابل خطاب ضمان</t>
  </si>
  <si>
    <t xml:space="preserve">تامينات نهائيه مقابل خطاب ضمان </t>
  </si>
  <si>
    <t xml:space="preserve">كفالات ابتدائيه مقابل خطاب ضمان </t>
  </si>
  <si>
    <t>كفالات دفعات مقدمه</t>
  </si>
  <si>
    <t xml:space="preserve">تامينات مقابل دفعات مقدمه </t>
  </si>
  <si>
    <t xml:space="preserve">جارى بنك </t>
  </si>
  <si>
    <t xml:space="preserve">مدينون </t>
  </si>
  <si>
    <t>نقديه تحت التسويه</t>
  </si>
  <si>
    <t xml:space="preserve">ايرادات سنوات سابقه </t>
  </si>
  <si>
    <t>جملة منه</t>
  </si>
  <si>
    <t>امر دفع</t>
  </si>
  <si>
    <t>اجمالى دمغات</t>
  </si>
  <si>
    <t xml:space="preserve">استقطاع </t>
  </si>
  <si>
    <t>مرتدات اول</t>
  </si>
  <si>
    <t>جزاءات</t>
  </si>
  <si>
    <t xml:space="preserve">وحده حسابيه مديونيات </t>
  </si>
  <si>
    <t xml:space="preserve">مطلوبات </t>
  </si>
  <si>
    <t xml:space="preserve">مرتدات باب رابع </t>
  </si>
  <si>
    <t xml:space="preserve">مرتدات باب ثانى </t>
  </si>
  <si>
    <t xml:space="preserve">ا. ت . ص </t>
  </si>
  <si>
    <t>نقابه هندسيه وتطبقيه</t>
  </si>
  <si>
    <t>ضمان اعمال</t>
  </si>
  <si>
    <t>راس مال</t>
  </si>
  <si>
    <t>ايرادات راسماليه</t>
  </si>
  <si>
    <t xml:space="preserve">اعمال كسلف </t>
  </si>
  <si>
    <t xml:space="preserve">مبالغ مقدمه </t>
  </si>
  <si>
    <t xml:space="preserve">اعمال مقدمه </t>
  </si>
  <si>
    <t>كفالات ابتدائيه مقابل خطاب ضمان</t>
  </si>
  <si>
    <t>تامينات نهائيه مقابل خطاب ضمان</t>
  </si>
  <si>
    <t xml:space="preserve">كفالات مقابل دفعات مقدمه </t>
  </si>
  <si>
    <t>تامينات دفعات مقدمه</t>
  </si>
  <si>
    <t xml:space="preserve">ايرادات سنوات سابقه( فائض مرحل ) </t>
  </si>
  <si>
    <t>مدينون</t>
  </si>
  <si>
    <t xml:space="preserve">نقديه تحت التسويه </t>
  </si>
  <si>
    <t xml:space="preserve">ايرادات متنوعه </t>
  </si>
  <si>
    <t xml:space="preserve">جملة له </t>
  </si>
  <si>
    <t>الفرق</t>
  </si>
  <si>
    <t>برنامج دولى</t>
  </si>
  <si>
    <t>عبء تدريسى الفرقة الاولى كيمياء</t>
  </si>
  <si>
    <t xml:space="preserve">عبء تدريسى الفرقة الاولى مانشستر </t>
  </si>
  <si>
    <t xml:space="preserve">مكافاة كنترول الفرقة الاولى دور ثانى </t>
  </si>
  <si>
    <t>مكافاة كنترول الفرقة الثانية دور اول -ترم اول</t>
  </si>
  <si>
    <t>مكافاة رؤساء اقسام و منسقين الفرقة الاولى</t>
  </si>
  <si>
    <t>مكافاة كنترول الفرقة الاولى دور اول -ترم اول</t>
  </si>
  <si>
    <t xml:space="preserve">مكافاة كنترول الفرقة الاولى فصل اول </t>
  </si>
  <si>
    <t>مراجعات نظرى الفرقة الاولى ترم اول دور اول</t>
  </si>
  <si>
    <t>محاضرات عملى الفرقة الاولى SKILL LAP</t>
  </si>
  <si>
    <t xml:space="preserve">عبء تدريسى عملى و نظرى الفرقة الاولى هستولوجى </t>
  </si>
  <si>
    <t>عبء تدريسى عملى و نظرى الفرقة الاولى فسيولوجى</t>
  </si>
  <si>
    <t xml:space="preserve">عبء تدريسى الفرقة الاولى هستولوجى </t>
  </si>
  <si>
    <t xml:space="preserve">مكافاة منسقين مانشستر </t>
  </si>
  <si>
    <t xml:space="preserve">مكافاة سكرتارية برنامج مانشستر جيهان حافظ </t>
  </si>
  <si>
    <t xml:space="preserve">خدمة اعمال الدعم الفنى </t>
  </si>
  <si>
    <t xml:space="preserve">مكافاة بعد مواعيد العمل دعم فنى </t>
  </si>
  <si>
    <t xml:space="preserve">مكافاة جهود السلامة و الصحة المهنية تقليم الحدائق </t>
  </si>
  <si>
    <t xml:space="preserve">مكافاة نوباتجيات شامبليون </t>
  </si>
  <si>
    <t xml:space="preserve">مكافاة نوباتجيات ابحاث طبية </t>
  </si>
  <si>
    <t>مكافاة مكتب خدمة هيئة تدريس</t>
  </si>
  <si>
    <t>مكافاة صيانة اجهزة مروة احمد</t>
  </si>
  <si>
    <t>مكافاة اشراف محاضرات محمود على عوض</t>
  </si>
  <si>
    <t xml:space="preserve">مكافاة سكرتارية جروب فرنسى </t>
  </si>
  <si>
    <t xml:space="preserve">مكافاة منسق دراسات عليا </t>
  </si>
  <si>
    <t xml:space="preserve">مكافاة مساعدين وكلاء </t>
  </si>
  <si>
    <t>مكافاة ماموريات القاهرة منصور بشير</t>
  </si>
  <si>
    <t xml:space="preserve">مكافاة اشراف ديزل محطة شامبليون </t>
  </si>
  <si>
    <t xml:space="preserve">مكافاة جهود ازالة مخلفات تقليم النخيل </t>
  </si>
  <si>
    <t>مكافاة متابعة  مكتب الوكيل خدمة المجتمع</t>
  </si>
  <si>
    <t>مكافاة دراسات عليا ربيع 2024</t>
  </si>
  <si>
    <t>مكافاة بعد المواعيد الرسمية مكتب الوكيل خدمة المجتمع</t>
  </si>
  <si>
    <t xml:space="preserve">مكافاة بعد المواعيد الرسمية مكتب الوكيل الدراسات </t>
  </si>
  <si>
    <t xml:space="preserve">مكافاة بعد مواعيد العمل تعليم الكترونى </t>
  </si>
  <si>
    <t xml:space="preserve">مكافاة تميز علمى </t>
  </si>
  <si>
    <t xml:space="preserve">مكافاة اشراف على حضور و انصراف طلاب الفاصل التعليمى </t>
  </si>
  <si>
    <t xml:space="preserve">مكافاة بروتوكول ابحاث اكلينيكية </t>
  </si>
  <si>
    <t>مكافاة جهود مانشستر مواساه</t>
  </si>
  <si>
    <t>اتحاد صيدلة</t>
  </si>
  <si>
    <t xml:space="preserve">ح معاشات ابريل 2024 </t>
  </si>
  <si>
    <t>ص اكلينيكى</t>
  </si>
  <si>
    <t>خ ت صيدلة</t>
  </si>
  <si>
    <t>ح معاشات ابريل 2024</t>
  </si>
  <si>
    <t>ماليزى اسنان</t>
  </si>
  <si>
    <t>علاج تخصصى</t>
  </si>
  <si>
    <t>خ ت اسنان</t>
  </si>
  <si>
    <t>تكافل اسنان</t>
  </si>
  <si>
    <t>اختبار مواد</t>
  </si>
  <si>
    <t xml:space="preserve">مكافاة موقع  مانشستر </t>
  </si>
  <si>
    <t>مكافاة تدريب على الانعاش القلبى الرئوى</t>
  </si>
  <si>
    <t>مركز مؤتمرات</t>
  </si>
  <si>
    <t>ح معاشات ابريل 2025</t>
  </si>
  <si>
    <t>خ ت طب</t>
  </si>
  <si>
    <t>ح معاشات ابريل 2026</t>
  </si>
  <si>
    <t>صيدلة اكلينيكى</t>
  </si>
  <si>
    <t>كسب عمل مارس</t>
  </si>
  <si>
    <t>دمغه عاديه مارس</t>
  </si>
  <si>
    <t>ضرائب متنوعه مارس</t>
  </si>
  <si>
    <t>تنميه موارد مارس</t>
  </si>
  <si>
    <t xml:space="preserve">خدمة عامة </t>
  </si>
  <si>
    <t>مكافاة كير سيرفيس</t>
  </si>
  <si>
    <t xml:space="preserve">مكافاة مديريين ابحاث طبية </t>
  </si>
  <si>
    <t xml:space="preserve">مكافاة وحده دعاية و اعلان " ادارة الاتصالات </t>
  </si>
  <si>
    <t xml:space="preserve">مكافاة استبيان الجوده انجى محمود </t>
  </si>
  <si>
    <t xml:space="preserve">مكافاة بعد مواعيد العمل اسراء محمد على اخلاقيات طبية </t>
  </si>
  <si>
    <t>مكافاة لجنة طبية سماح عبد الرازق</t>
  </si>
  <si>
    <t>مكافاة جهود سيناء عبد الرحيم</t>
  </si>
  <si>
    <t xml:space="preserve">مكافاة جهود ملفات الجوائز علاقات ثقافية </t>
  </si>
  <si>
    <t xml:space="preserve">مكافاة غرفة الامتحانات </t>
  </si>
  <si>
    <t xml:space="preserve">مكافاة بعد المواعيد العمل فريد مصطفى </t>
  </si>
  <si>
    <t xml:space="preserve">مكافاة جهود خدمة المواطنين </t>
  </si>
  <si>
    <t xml:space="preserve">مكافاة ارتباط مالى </t>
  </si>
  <si>
    <t xml:space="preserve">مكافاة منفذ التحصيل </t>
  </si>
  <si>
    <t xml:space="preserve">مكافاة جهود شؤن علاقات عامة </t>
  </si>
  <si>
    <t xml:space="preserve">مكافاة جهود شؤن عامة </t>
  </si>
  <si>
    <t xml:space="preserve">مكافاة وحده الامن عن تنظيم افطار رمضان لطلبة الكلية </t>
  </si>
  <si>
    <t xml:space="preserve">مكافاة قياس و تقويم </t>
  </si>
  <si>
    <t xml:space="preserve">مكافاة حضور لجان </t>
  </si>
  <si>
    <t xml:space="preserve">مكافاة لجنة الدراسات عليا </t>
  </si>
  <si>
    <t>مكافاة دراسات عليا خريف 2023 ساعات معتمدة دبلومات</t>
  </si>
  <si>
    <t>مكافاة دراسات عليا خريف 2023 دكتوراه</t>
  </si>
  <si>
    <t xml:space="preserve">مكافاة دراسات عليا خريف 2023 ماجستير </t>
  </si>
  <si>
    <t xml:space="preserve">مكافاة قاعدة بيانات قسم هيئة تدريس </t>
  </si>
  <si>
    <t xml:space="preserve">مكافاة ترجمة لائحة محمود رضا </t>
  </si>
  <si>
    <t xml:space="preserve">مكافاة ورش عمل مركز التدريب الطبى </t>
  </si>
  <si>
    <t xml:space="preserve">مكافاة منسقين الفرقة الرابعة </t>
  </si>
  <si>
    <t>عبء تدريسى الفرقة الرابعة روماتيزم</t>
  </si>
  <si>
    <t>عبء تدريسى الفرقة الرابعة اورام</t>
  </si>
  <si>
    <t>عبء تدريسى الفرقة الرابعة سكر</t>
  </si>
  <si>
    <t xml:space="preserve">مراجعات عملى و نظرى الفرقة الرابعة ترم اول </t>
  </si>
  <si>
    <t xml:space="preserve">مكافاة كنترول الفرقة الرابعة ترم اول دور اول </t>
  </si>
  <si>
    <t>عبء تدريسى  الفرقة الرابعة  طب المجتمع</t>
  </si>
  <si>
    <t>م ص خ ت المجمع التعليمى مارس</t>
  </si>
  <si>
    <t>تحاليل طبية</t>
  </si>
  <si>
    <t>سداد ح وزارة المالية عن العام المنتهى فى 30-6-2024</t>
  </si>
  <si>
    <t>قيمة ح احلال وتجديد للجامعة 22/23</t>
  </si>
  <si>
    <t>ح صندوق وحدات ذات طابع خاص 22/23</t>
  </si>
  <si>
    <t>ق استخدام جهاز الامتصاص بوحدة الابحاث الطبية</t>
  </si>
  <si>
    <t>م امتحانات خريف 23/24</t>
  </si>
  <si>
    <t>م ج غ عادية امتحانات طلاب خريف 23</t>
  </si>
  <si>
    <t>م لجان مراقبة وملاحظة</t>
  </si>
  <si>
    <t>م بدل حضور اجتماع مارس</t>
  </si>
  <si>
    <t>م تدريس صيادلة ابريل</t>
  </si>
  <si>
    <t>م ج غ عادية ابريل</t>
  </si>
  <si>
    <t>م ج غ عادية مارس</t>
  </si>
  <si>
    <t>م طلاب وافدين ابريل</t>
  </si>
  <si>
    <t>م لجنة المراجعة ابريل</t>
  </si>
  <si>
    <t>م اداريين وعمال مارس</t>
  </si>
  <si>
    <t>م اعمال مجلس ابريل</t>
  </si>
  <si>
    <t>م تكنولوجيا المعلومات ابريل</t>
  </si>
  <si>
    <t>م شهر رمضان صيدلة ذاتى</t>
  </si>
  <si>
    <t>م شهر رمضان صيدلة دائمين</t>
  </si>
  <si>
    <t>م ج غ عادية رمضان</t>
  </si>
  <si>
    <t>مكافأة نشر علمى صيدلة دائمين</t>
  </si>
  <si>
    <t>مكافأة نشر علمى هيئة تدريس</t>
  </si>
  <si>
    <t>م تشجيع نشر بحث علمى هيئة تدريس</t>
  </si>
  <si>
    <t>مكافأة نشر علمى /لمياء احمد حسن هيكل</t>
  </si>
  <si>
    <t>م تصحيح الكترونى ميد ترم ربيع 23/24</t>
  </si>
  <si>
    <t>م تصحيح الكترونى ميد ترم ربيع 23/25</t>
  </si>
  <si>
    <t>م شئون طلاب صيدلة اكلينكال</t>
  </si>
  <si>
    <t>م مرشدين اكاديميين</t>
  </si>
  <si>
    <t>م اعمال الامتحانات ميد ترم ربيع</t>
  </si>
  <si>
    <t>م منسقين مقررات خريف</t>
  </si>
  <si>
    <t>م مدير اكاديمى ونائبه فارما دى ابريل</t>
  </si>
  <si>
    <t>م انتداب مهندس الكهربا مارس</t>
  </si>
  <si>
    <t>م ج غ عادية اعمال النظافة مارس</t>
  </si>
  <si>
    <t>م ص خ ت صيدلة دائمين مارس</t>
  </si>
  <si>
    <t>م ص خ ت فاصل موازنة مارس</t>
  </si>
  <si>
    <t>م ص خ ت عهدة الختم يناير</t>
  </si>
  <si>
    <t>م ج غ عادية يناير</t>
  </si>
  <si>
    <t>م ص خ شهرية استحقاقات يناير</t>
  </si>
  <si>
    <t>م ص خ ت لائحة مارس</t>
  </si>
  <si>
    <t>م ج غ عادية اعمال النظافة يناير</t>
  </si>
  <si>
    <t>م ص خ ت صيدلة دائمين فبراير</t>
  </si>
  <si>
    <t>17860م</t>
  </si>
  <si>
    <t>م ص خ شهرية استحقاقات فبراير ومارس</t>
  </si>
  <si>
    <t>م ج غ عادية فبراير ومارس</t>
  </si>
  <si>
    <t>م انتداب محامى الكلية مارس</t>
  </si>
  <si>
    <t>م ص خ عهدة الختم فبراير ومارس</t>
  </si>
  <si>
    <t>م ج غ عادية اعمال النظافة فبراير</t>
  </si>
  <si>
    <t>م ص خ ت لائحة فبراير</t>
  </si>
  <si>
    <t>يومية 1/5/2024</t>
  </si>
  <si>
    <t>بيرول</t>
  </si>
  <si>
    <t xml:space="preserve">استقطاعات اتصالات جروب ابريل </t>
  </si>
  <si>
    <t>استقطاع اتوبيس الجامعه ابريل</t>
  </si>
  <si>
    <t>استقطاع اشتراك اللجنه النقابيه ابريل</t>
  </si>
  <si>
    <t>الهيئه القوميه للتامين الاجتماعى (معاشات ابريل )</t>
  </si>
  <si>
    <t>استقطاع الجمعيه التعاونيه ابريل</t>
  </si>
  <si>
    <t>استقطاع اللجنه النقابيه ابريل</t>
  </si>
  <si>
    <t>استقطاع النفقه / سهيله محمد ابريل</t>
  </si>
  <si>
    <t>استقطاع النقابه العامه ابريل</t>
  </si>
  <si>
    <t>استقطاع جمعيه الخدمات ابريل</t>
  </si>
  <si>
    <t>استقطاع سيجينال ابريل</t>
  </si>
  <si>
    <t>استقطاع اورانج ابريل</t>
  </si>
  <si>
    <t>استقطاع صندوق دعم ذوى الاعاقه ابريل</t>
  </si>
  <si>
    <t>ضريبه الدخل ابريل</t>
  </si>
  <si>
    <t>ضريبه الدمغه ابريل</t>
  </si>
  <si>
    <t>استقطاع قرض تكافل ابريل</t>
  </si>
  <si>
    <t>استقطاع مصر لتامينات الحياه ابريل</t>
  </si>
  <si>
    <t>استقطاع صندوق التكافل الاجتماعى ابريل</t>
  </si>
  <si>
    <t>استقطاع نقابه العاملين ابريل</t>
  </si>
  <si>
    <t>استقطاع صندوق تكريم الشهداء ابريل</t>
  </si>
  <si>
    <t>اجمالى 2/5/2024 بيرول</t>
  </si>
  <si>
    <t>م سفر /صفوت خميس لزوم قطاع الدراسات</t>
  </si>
  <si>
    <t>م انتداب محامى الكلية فبراير</t>
  </si>
  <si>
    <t>م انتداب مهندس الكهربا فبراير</t>
  </si>
  <si>
    <t>م ص خ ت فاصل موازنة فبراير</t>
  </si>
  <si>
    <t>م ص خ ت موظفين فبراير</t>
  </si>
  <si>
    <t>م مناقشة دكتوراه /امانى محمد</t>
  </si>
  <si>
    <t>م ج غ عادية مارس دائمين</t>
  </si>
  <si>
    <t>م امين مخزن عهدة الشهادات مارس</t>
  </si>
  <si>
    <t>خدمة عامة</t>
  </si>
  <si>
    <t>م ج تحصيل مجلة فبراير</t>
  </si>
  <si>
    <t>م ج اشعة من نوفمبر الى فبراير</t>
  </si>
  <si>
    <t>م تحصيل ايرادات مجلة مارس</t>
  </si>
  <si>
    <t>م ج غ عادى نشاط الميكروسكوب</t>
  </si>
  <si>
    <t>م ج غ عادى نشاط الميكروسكوب فبراير</t>
  </si>
  <si>
    <t>م ج غ عادية بيت الحيوان مارس</t>
  </si>
  <si>
    <t>م علاوة ميكروسكوب الكترونى متنوعة مارس</t>
  </si>
  <si>
    <t>م تحصيل ايرادات مجلة فبراير</t>
  </si>
  <si>
    <t>م 75% موظفين مارس</t>
  </si>
  <si>
    <t>م ج مركز المؤتمرات مارس</t>
  </si>
  <si>
    <t>م ج الملاعب مارس</t>
  </si>
  <si>
    <t>مكافاة بعد مواعيد العمل الرسمية مكتب العميد</t>
  </si>
  <si>
    <t xml:space="preserve">مكافاة علاقات ثقافية مجلس كلية </t>
  </si>
  <si>
    <t xml:space="preserve">مكافاة اشراف شؤن عامة </t>
  </si>
  <si>
    <t xml:space="preserve">مكافاة مطبوعات الكلية </t>
  </si>
  <si>
    <t>مكافاة الجودة مارس 2024</t>
  </si>
  <si>
    <t xml:space="preserve">مكافاة جهود ادارة هندسية </t>
  </si>
  <si>
    <t>مكافاة جهود هيئة التدريس</t>
  </si>
  <si>
    <t xml:space="preserve">مكافاة ساعات زائده قسم المعاشات </t>
  </si>
  <si>
    <t>مكافاة تحقيقات  كلية الحقوق</t>
  </si>
  <si>
    <t xml:space="preserve">مكافاة لجنة الدعم الفنى مكتب الوكيل </t>
  </si>
  <si>
    <t xml:space="preserve">مكافاة شؤن صحية مكتب العميد </t>
  </si>
  <si>
    <t xml:space="preserve">مكافاة جهود قسم الجودة </t>
  </si>
  <si>
    <t xml:space="preserve">مكافاة جهودد شؤن قانونية </t>
  </si>
  <si>
    <t xml:space="preserve">مكافاة بعد المواعيد الرسمية سائقين </t>
  </si>
  <si>
    <t xml:space="preserve">فرق استثنائية مانشستر مواساه </t>
  </si>
  <si>
    <t xml:space="preserve">مستحقات العاملين بنظام الشفت ابحاث اكلينيكية </t>
  </si>
  <si>
    <t xml:space="preserve">منحة عيد الفطر </t>
  </si>
  <si>
    <t xml:space="preserve">مكافاة لجنة الزمالة " صدرية </t>
  </si>
  <si>
    <t xml:space="preserve">مكافاة لجنة الزمالة " انف و اذن </t>
  </si>
  <si>
    <t>مكافاة لجنة الزمالة "مسالك</t>
  </si>
  <si>
    <t xml:space="preserve">مكافاة لجنة الزمالة " مخ و اعصاب </t>
  </si>
  <si>
    <t xml:space="preserve">مكافاة لجنة الزمالة "جهاز هضمى </t>
  </si>
  <si>
    <t>مكافاة الفرقة الثانية مادة professioalism</t>
  </si>
  <si>
    <t xml:space="preserve">عبء تدريسى نظرى و عملى  الفرقة الثالثة مانشستر </t>
  </si>
  <si>
    <t>مكافاة منسقين الفرقة الثانية</t>
  </si>
  <si>
    <t>مكافاة منسقين الفرقة الثالثة</t>
  </si>
  <si>
    <t xml:space="preserve">عبء تدريسى الفرقة الثالثة مصريين طب المجتمع  </t>
  </si>
  <si>
    <t xml:space="preserve">عبء تدريسى الفرقة الثالثة غدد </t>
  </si>
  <si>
    <t>عبء تدريسى الفرقة الثالثة طب المجتمع</t>
  </si>
  <si>
    <t xml:space="preserve">مراقبة اعمال امتحانات الفرقة الثالثة دور اول </t>
  </si>
  <si>
    <t xml:space="preserve">مكافاة  امتحانات الكترونية </t>
  </si>
  <si>
    <t xml:space="preserve">عبء تدريسى الفرقة الثانية مانشستر </t>
  </si>
  <si>
    <t>م ج متميز صيدلة دائمين /يناير فبراير مارس</t>
  </si>
  <si>
    <t>م ج غ عادية المشاركين بالبرنامج العام هيئة التدريس</t>
  </si>
  <si>
    <t>م اداريين وعمال ادارة عامة /ابريل</t>
  </si>
  <si>
    <t>م اداريين وعمال صيدلة ذاتى /ابريل</t>
  </si>
  <si>
    <t>م اداريين وعمال صيدلة دائمين /ابريل</t>
  </si>
  <si>
    <t>م ج غ عادية اعداد النتيجة برنامج فارما دى</t>
  </si>
  <si>
    <t>م ج غ عادية المدير الاكاديمى ونائبه برنامج الفارما دى /مارس</t>
  </si>
  <si>
    <t>شركة ايجى ميديكا</t>
  </si>
  <si>
    <t>شركة بيوتك سيرف</t>
  </si>
  <si>
    <t>شركة بى ام ايجيبت</t>
  </si>
  <si>
    <t>شركة الهدى للتوريدات والمقاولات</t>
  </si>
  <si>
    <t>شركة اوبتو ساينت</t>
  </si>
  <si>
    <t>شركة ديسكفرى لاعمال الكهروميكانيكا</t>
  </si>
  <si>
    <t>شركة كيرميد</t>
  </si>
  <si>
    <t>شركة ديجتيك</t>
  </si>
  <si>
    <t>شركة مصر للهندسة والتجارة (ميتكا)</t>
  </si>
  <si>
    <t>عادل على محمد على كوته -بيوركيم</t>
  </si>
  <si>
    <t>م انتقال /عوض مسعود توفيق</t>
  </si>
  <si>
    <t>م انتقال/ايمان حسن مصطفى البدر</t>
  </si>
  <si>
    <t>م انتقال/ على محمد على احمد</t>
  </si>
  <si>
    <t>سلفة/محمد سعد ابراهيم خليل</t>
  </si>
  <si>
    <t>سلفة مؤقتة/انجى احمد عبد الرحمن</t>
  </si>
  <si>
    <t>دعم رسائل /امانى على رمضان -زاد ايجيبت</t>
  </si>
  <si>
    <t>دعم رسائل /ندا محمد محمد سيف</t>
  </si>
  <si>
    <t>دعم رسائل /ربيع محمد حسن -نيولاب</t>
  </si>
  <si>
    <t>شركة تريديج ديناميك</t>
  </si>
  <si>
    <t>شركة ربيع محمد حسن -نيولاب</t>
  </si>
  <si>
    <t>شركة كيماتيك /عادل ضيف وشركاه</t>
  </si>
  <si>
    <t>رد ضمان اعمال /شركة سيجمنال لانظمة الاتصالات</t>
  </si>
  <si>
    <t>نقابة التطبيقيين من يوليو الى يناير2024</t>
  </si>
  <si>
    <t>نقابة المهندسين من يوليو الى يناير2024</t>
  </si>
  <si>
    <t>وثيقة التأمين المختلط</t>
  </si>
  <si>
    <t xml:space="preserve">برنامج دولى </t>
  </si>
  <si>
    <t xml:space="preserve">شركه جلوبال تكنولوجى اصلاح جهاز </t>
  </si>
  <si>
    <t>شركه مصر للهندسه والتجاره ميتكا</t>
  </si>
  <si>
    <t>م تعليم دولى لجنة ضرائب الدخل</t>
  </si>
  <si>
    <t>م ادارة تعاقدات ديسمبر ويناير</t>
  </si>
  <si>
    <t>م ادارة تعاقدات اغسطس وسبتمبر</t>
  </si>
  <si>
    <t>م ت دولى امتحان الكترونى مارس</t>
  </si>
  <si>
    <t xml:space="preserve">لاب فقط </t>
  </si>
  <si>
    <t xml:space="preserve">تم ادخالها بالخطا فى اللاب </t>
  </si>
  <si>
    <t>م مراقبيين التعليمى</t>
  </si>
  <si>
    <t>اجمالى يومية 7/5/2024</t>
  </si>
  <si>
    <t>اجمالى 7/5/2024 بيرول</t>
  </si>
  <si>
    <t>م مساعدى الوكلاء ابريل</t>
  </si>
  <si>
    <t>م حفل التخرج الفرقة السادسة</t>
  </si>
  <si>
    <t>م ج غ عادية سكرتارية وكلاء</t>
  </si>
  <si>
    <t>م ج غ عادية زيارة القاهرة</t>
  </si>
  <si>
    <t>م اعمال لجنة الامتحانات</t>
  </si>
  <si>
    <t>م ت دولى امتحانات كيرسرفيس</t>
  </si>
  <si>
    <t>م ت دولى جهد سائق</t>
  </si>
  <si>
    <t>م ت دولى جهد دعم فنى مارس</t>
  </si>
  <si>
    <t>م عب فرقة 5 نساءمن ديسمبر الى فبراير</t>
  </si>
  <si>
    <t>م منسقى الوحدات الفرقة الخامسة</t>
  </si>
  <si>
    <t>م منسقى الوحدات الفرقة الاولى</t>
  </si>
  <si>
    <t>م منسقى ج العين فرقة خامسة</t>
  </si>
  <si>
    <t>م رؤساء ومنسقين ف 5 انف وعيون</t>
  </si>
  <si>
    <t>م معمل المهارات الطبية ف 2</t>
  </si>
  <si>
    <t>م تدريس كيمياء حيوية ف 2</t>
  </si>
  <si>
    <t xml:space="preserve">م عبء تدريسى </t>
  </si>
  <si>
    <t>م منسقى وحدة الباطنة</t>
  </si>
  <si>
    <t>م ت دولى لجان ف 2</t>
  </si>
  <si>
    <t>م عبء تدريسى جرحة تجميل</t>
  </si>
  <si>
    <t>مكافاه قسم الاضابير ابريل</t>
  </si>
  <si>
    <t xml:space="preserve">مكافاه كنترول تراكمى </t>
  </si>
  <si>
    <t>عب تدريس ميكروبيولوجى</t>
  </si>
  <si>
    <t>عب تدريس وحده كبد</t>
  </si>
  <si>
    <t>عب تدريس هستولوجى</t>
  </si>
  <si>
    <t>مكافاه منسقين رؤوساء اقسام</t>
  </si>
  <si>
    <t>مكافاه تخلفات تراكمى</t>
  </si>
  <si>
    <t>حكم محكمه / سها راشد</t>
  </si>
  <si>
    <t>حكم محكمه / راندا محمود يوسف</t>
  </si>
  <si>
    <t>حكم محكمه / عادل رمضان</t>
  </si>
  <si>
    <t>حكم محكمه / امل فؤاد</t>
  </si>
  <si>
    <t>هاجر</t>
  </si>
  <si>
    <t>مكافاه 75 % كادر اداريين مارس</t>
  </si>
  <si>
    <t>مكافاه 75 % كادر اداريين فبراير</t>
  </si>
  <si>
    <t>مكافاه 75 % كادر اداريين يناير (حكيمات ادارى )</t>
  </si>
  <si>
    <t>رد تامين نهائى شركة كنوز للتجاره والتوريدات (اسنان )</t>
  </si>
  <si>
    <t xml:space="preserve">السيد طه عيسى (الوطنيه للتجهيزات المكتبيه ) شراء 2 بكر سحب كاسيت لماكينه تصوير كانون </t>
  </si>
  <si>
    <t>شركه ديجيتك شراء مستلزمات تشغيل ماكينه تصوير زيروكس</t>
  </si>
  <si>
    <t>بدون نموذج</t>
  </si>
  <si>
    <t>شركه كيمبرو صيانه السقف المعدنى لمدرجات الدور السادس بالمبنى الجديد</t>
  </si>
  <si>
    <t>ربيع محمد حسن (نيولاب ) شراء كيماويات</t>
  </si>
  <si>
    <t>بدل انتقال/ رحاب محمد عبد القادر</t>
  </si>
  <si>
    <t xml:space="preserve">بدل انتقال / رشا عرفه </t>
  </si>
  <si>
    <t>بدل انتقال / حازم رمضان</t>
  </si>
  <si>
    <t>تعديل استماره 10987 شركه زاد ايجيبت</t>
  </si>
  <si>
    <t>عكس استماره 10987 شركه زاد ايجيبت</t>
  </si>
  <si>
    <t>بدل انتقال/ حنان صابر</t>
  </si>
  <si>
    <t xml:space="preserve">بدل انتقال /احمد حسين السيد </t>
  </si>
  <si>
    <t>شركه ايجى ميديكا اصلاح سنتر بمعمل ميكوبيولوجى</t>
  </si>
  <si>
    <t>شركه ميرج ميد صيانه جهاز</t>
  </si>
  <si>
    <t>شركه ديجيتك صيانه ل2 ماكينه تصوير</t>
  </si>
  <si>
    <t>شركه ديجيتك صيانه ل7 ماكينه تصوير</t>
  </si>
  <si>
    <t xml:space="preserve">شركه المنى للاجهزه العلميه صيانه جهاز اوتوكلاف </t>
  </si>
  <si>
    <t xml:space="preserve">شركه المنى للاجهزه العلميه صيانه جهاز تقطير </t>
  </si>
  <si>
    <t>بدل انتقال / سحر احمد</t>
  </si>
  <si>
    <t>شركه ابى قير للصناعات الهندسيه صيانه دوريه 7 غرف كهرباء</t>
  </si>
  <si>
    <t xml:space="preserve">بدل انتقال / سوزان حامد </t>
  </si>
  <si>
    <t>شركه نوركولينج اصلاح اجهزه تكييف</t>
  </si>
  <si>
    <t>شركه نوركولينج صيانه اجهزه تكييف</t>
  </si>
  <si>
    <t>استقطاع وثيقه تامين اجتماعى مختلط ابريل (صيدله )</t>
  </si>
  <si>
    <t>استقطاع قرض حسن ابريل (صيدله )</t>
  </si>
  <si>
    <t>اجمالى 9/5/2024</t>
  </si>
  <si>
    <t xml:space="preserve">رد ضمان الوطن للمقاولات </t>
  </si>
  <si>
    <t>رد ضمان فيوتشر مصر</t>
  </si>
  <si>
    <t>رد ضمان بى س ايجيبت</t>
  </si>
  <si>
    <t>المؤسسه العربيه للاجهزه والتطوير (كروماتك )اصلاح جهاز</t>
  </si>
  <si>
    <t>مكافاه اداريين وعمال ابريل</t>
  </si>
  <si>
    <t>مكافاه لجنه مراجعه برامج</t>
  </si>
  <si>
    <t>مكافاه جلسات شفهيه خريف</t>
  </si>
  <si>
    <t>مكافاه اعمال كنترول فارم دى</t>
  </si>
  <si>
    <t xml:space="preserve">مكافاه فرق اعمال مجلس تنفيذى </t>
  </si>
  <si>
    <t>مكافاه سكرتاريه تدريب صيادله</t>
  </si>
  <si>
    <t>جهد اعداد مجلس مارس</t>
  </si>
  <si>
    <t>مكافاه من برنامج فارم دى</t>
  </si>
  <si>
    <t>مكافاه اداره طلاب وافدين مارس</t>
  </si>
  <si>
    <t>مكافاه المشاركه باعمال المجلس التنفيذى</t>
  </si>
  <si>
    <t>حافز اداء ابريل</t>
  </si>
  <si>
    <t>مكافاه وحده تكنولوجيا المعلومات مارس</t>
  </si>
  <si>
    <t>ج تدريس ومعاونه</t>
  </si>
  <si>
    <t>مكافاه منتدبون لاعمال الصندوق مارس</t>
  </si>
  <si>
    <t>مكافاه تحصيل مصروفات مارس</t>
  </si>
  <si>
    <t>جهد تحصيل فبراير</t>
  </si>
  <si>
    <t>مكافاه صندوق خ ت  مارس</t>
  </si>
  <si>
    <t>مكافاه بيان قيادات البرنامج مايو</t>
  </si>
  <si>
    <t>مكافاه بيان منسقين مايو</t>
  </si>
  <si>
    <t>مكافاه بيان فريق عمل اداريين مايو</t>
  </si>
  <si>
    <t>مكافاه بيان فريق عمل مؤقتين مايو</t>
  </si>
  <si>
    <t>مكافاه اشراف ومناقشه</t>
  </si>
  <si>
    <t xml:space="preserve">مكافاه مناقشه ماجستير </t>
  </si>
  <si>
    <t>مكافاه مناقشه دكتوراه</t>
  </si>
  <si>
    <t>اعاده ادخال استماره 11013</t>
  </si>
  <si>
    <t>اعاده ادخال استماره 11133</t>
  </si>
  <si>
    <t>ج شؤن خريجين</t>
  </si>
  <si>
    <t>مكافاه اعمال مستشفيات مكتب العميد</t>
  </si>
  <si>
    <t>مكافاه منسقى وحده باطنه</t>
  </si>
  <si>
    <t>عب تدريس انف واذن</t>
  </si>
  <si>
    <t>مكافاه التميز للعاملين بمركز مؤتمرات فبراير</t>
  </si>
  <si>
    <t>مكافاه خ ت مارس</t>
  </si>
  <si>
    <t>شركه ماتريكس العلميه للتجاره شراء جهاز</t>
  </si>
  <si>
    <t xml:space="preserve">سلفه مؤقته / محمد خليل ابراهيم نظير المشاركه فى المهرجان </t>
  </si>
  <si>
    <t>شركه المنى للاجهزه العلميه صيانه جهاز فرن</t>
  </si>
  <si>
    <t>شركه مصر للهندسه والتجاره ميتكا صيانه مصاعد</t>
  </si>
  <si>
    <t>سلفه مؤقته / هويدا مصطفى لمشروع الداء النشوائى</t>
  </si>
  <si>
    <t>سلفه مؤقته / رحاب عبدالله للبوفيه</t>
  </si>
  <si>
    <t xml:space="preserve">شركه ديسكفرى لاعمال الكهروميكانيكا </t>
  </si>
  <si>
    <t>شركه ماستربيس لخدمات المطابع صيانه دوريه لماكينه طابعه</t>
  </si>
  <si>
    <t>بدل انتقال ساره رمضان</t>
  </si>
  <si>
    <t xml:space="preserve">بدل انتقال علا ابراهيم </t>
  </si>
  <si>
    <t>بدل انتقال عمرو محمد المليجى</t>
  </si>
  <si>
    <t>14/5/2024</t>
  </si>
  <si>
    <t>الغاء استماره 11016</t>
  </si>
  <si>
    <t>عكس استماره 11133</t>
  </si>
  <si>
    <t>عكس استماره 11013</t>
  </si>
  <si>
    <t xml:space="preserve">بدل انتقال جيهان محمد ابراهيم </t>
  </si>
  <si>
    <t>بدل انتقال دعاء سعيد توفيق</t>
  </si>
  <si>
    <t>بدل انتقال ايمان حسن مصطفى</t>
  </si>
  <si>
    <t>بدل انتقال رباب عبدالله</t>
  </si>
  <si>
    <t xml:space="preserve">شركه كومباس شراء قطع غيار لجهاز الليزر  بعياده الدراسات العليا بالبرنامج  </t>
  </si>
  <si>
    <t>وزاره الدفاع جهاز مشروعات الخدمه الوطنيه قيمه اعمال النظافه من 18/3/2024 الى 17/4/2024</t>
  </si>
  <si>
    <t>الشركه الوطنيه للتجهيزات المكتبيه (السيد طه عيسى ) شراء رول زيت لماكينه تصوير</t>
  </si>
  <si>
    <t xml:space="preserve">المعهد القومى للمعايره قيمه المطالبه لشهاده معايره الاجهزه الخاصه بمعمل القياسات الدقيقه </t>
  </si>
  <si>
    <t xml:space="preserve">سلفه مؤقته / رشيداحمد الصاوى تجديد رخصه السياره الخاصه بعميد الكليه </t>
  </si>
  <si>
    <t xml:space="preserve">رد ضمان اكمل للحلول والنظم المتكامله عن توريد معدات وتجهيزات لمعمل القياسات </t>
  </si>
  <si>
    <t xml:space="preserve">رد ضمان اكمل للحلول والنظم المتكامله عن توريد 6 جهاز كمبيوتر و 6 طابعه  </t>
  </si>
  <si>
    <t>رد ضمان شركه ارب بيزنس عن توريد 9</t>
  </si>
  <si>
    <t xml:space="preserve">الشركه الدوليه للاتصالات ونظم المعلومات عن عمليه شراء مستلزمات الكترونيه </t>
  </si>
  <si>
    <t>استقطاع صندوق خدمه عن ساعات معتمده</t>
  </si>
  <si>
    <t>الشركه المتقدمه للحلول العلميه توريد اعتمادات الجوده بمعمل باثولوجى</t>
  </si>
  <si>
    <t>شركه ديجيتك قيمه اصلاح ماكينات تصوير</t>
  </si>
  <si>
    <t>شركه المجد للمقاولات والتوريدات توريد 6000 باكت عن جوز غطاء طبى</t>
  </si>
  <si>
    <t>اجمالى 13/5/2024</t>
  </si>
  <si>
    <t>جهدعن طباعه وتفعيل مستندات الدفع الالكترونى (مؤقتين )</t>
  </si>
  <si>
    <t xml:space="preserve">مكافاه اعمال متميزه مايو مؤقتين </t>
  </si>
  <si>
    <t xml:space="preserve">مكافاه اعمال متميزه مايو منسقين </t>
  </si>
  <si>
    <t>مكافاه اعمال متميزه مايو اداريين البرنامج</t>
  </si>
  <si>
    <t>ج قسم الاضابير ابريل</t>
  </si>
  <si>
    <t xml:space="preserve">حافز اعتماد حنان محمد رفعت </t>
  </si>
  <si>
    <t>مكافاه عمال يوميه مايو</t>
  </si>
  <si>
    <t>مكافه تكنولوجيا المعلومات</t>
  </si>
  <si>
    <t>مكافاه صيانه الاجهزه الالكترونيه مايو</t>
  </si>
  <si>
    <t>حافز اداء مارس</t>
  </si>
  <si>
    <t>مكافاه مراقبه والملاحظه</t>
  </si>
  <si>
    <t>ج تدريس ومعاون مدترم</t>
  </si>
  <si>
    <t>حافز اعتماد مى شحاته</t>
  </si>
  <si>
    <t>مكافاه ختامى العام المالى 2021/2022</t>
  </si>
  <si>
    <t>مكافاه ختامى العام المالى 2022/2023</t>
  </si>
  <si>
    <t>مكافاه سكرتاريه الوكيل ابريل</t>
  </si>
  <si>
    <t>مكافاه سكرتاريه العميد ابريل</t>
  </si>
  <si>
    <t>مكافاه الشؤن القانونيه ابريل</t>
  </si>
  <si>
    <t>مكافاه قسم القيد والحفظ</t>
  </si>
  <si>
    <t>مكافاه قسم شؤن الخريجين</t>
  </si>
  <si>
    <t>مكافاه قسم الحسابات ابريل</t>
  </si>
  <si>
    <t>مكافاه قسم الكنترول ابريل</t>
  </si>
  <si>
    <t>مكافاه قسم الحسابات الخاصه</t>
  </si>
  <si>
    <t>مكافاه قسم الارشيف</t>
  </si>
  <si>
    <t>مكافاه قسم شؤن الطلبه</t>
  </si>
  <si>
    <t>مكافاه قسم الصرافه</t>
  </si>
  <si>
    <t>مكافاه قسم العلاقات العامه</t>
  </si>
  <si>
    <t>مكافاه قسم الاستحقاقات</t>
  </si>
  <si>
    <t>مكافاه قسم دراسات عليا</t>
  </si>
  <si>
    <t>مكافاه قسم التحصيل</t>
  </si>
  <si>
    <t>مكافاه القائمين على ختم شعار الجمهوريه</t>
  </si>
  <si>
    <t>مكافاه رؤوساء اقسام</t>
  </si>
  <si>
    <t>مكافاه قسم المنشات التعليميه</t>
  </si>
  <si>
    <t>مكافاه القائم باعمال التجنيد</t>
  </si>
  <si>
    <t>تعديل استماره 11059</t>
  </si>
  <si>
    <t>تعديل استماره 11060</t>
  </si>
  <si>
    <t>منه</t>
  </si>
  <si>
    <t>مكافاه تدريس ثانيه</t>
  </si>
  <si>
    <t>تعديل استماره 11123</t>
  </si>
  <si>
    <t>مكافاه تدريس فرقه ثالثه</t>
  </si>
  <si>
    <t>مكافاه تدريس فرقه خامسه ccc</t>
  </si>
  <si>
    <t>مكافاه تدريس مانشيستر فرقه اولى</t>
  </si>
  <si>
    <t>مكافاه تدريس فرقه رابعه</t>
  </si>
  <si>
    <t>مكافاه انتظام عماى عياده الحضرى مؤقتين</t>
  </si>
  <si>
    <t>مكافاه انتظام عماى عياده الحضرى حكيمات</t>
  </si>
  <si>
    <t>ج الامن مارس وابريل</t>
  </si>
  <si>
    <t>ج نقل خاصه بقسم العلاقات الثقافيه (عمال )</t>
  </si>
  <si>
    <t>ج نقل خاصه بقسم العلاقات الثقافيه (خدمات معاونه )</t>
  </si>
  <si>
    <t>حافز امن ابريل مؤقتين</t>
  </si>
  <si>
    <t>ج عن تكليف المعيدين قسم شؤن اداريه</t>
  </si>
  <si>
    <t>ج احمد شعبان عن ماموريه الضرائب</t>
  </si>
  <si>
    <t>مكافاه منسقين برنامج عن اعمال شؤن طلاب ابريل</t>
  </si>
  <si>
    <t>مكافاه سكاشن ليليه ابريل حكيمات وفنيين</t>
  </si>
  <si>
    <t>مكافاه سكاشن اجازات ابريل حكيمات وفنيين واداريين</t>
  </si>
  <si>
    <t>مكافاه سكاشن ليليه ابريل مؤقتين</t>
  </si>
  <si>
    <t>اجمالى 14/5/2024</t>
  </si>
  <si>
    <t>15/5/2024</t>
  </si>
  <si>
    <t>اجمالى 15/5/2024 بيرول</t>
  </si>
  <si>
    <t xml:space="preserve">مكافاه استيفاء ملفات جوده ا ه ت </t>
  </si>
  <si>
    <t>مكافاه انهاء اجراءات تسجيل الساعات للطلاب ا ه ت</t>
  </si>
  <si>
    <t>ج الشفه الارنبيه حكيمات ابريل</t>
  </si>
  <si>
    <t>مكافاه سكاشن اجازات ابريل مؤقتين</t>
  </si>
  <si>
    <t>ج سكرتاريه شؤن قانونيه مارس وابريل</t>
  </si>
  <si>
    <t>ج مزارع الكليه مارس وابريل</t>
  </si>
  <si>
    <t>ج فريق الوحده العلاجيه (حكيمات )</t>
  </si>
  <si>
    <t>ج الاداره الهندسيه عن مشروع السقف المعدنى (اداريين )</t>
  </si>
  <si>
    <t>ج شؤن قانونيه مؤقتين</t>
  </si>
  <si>
    <t xml:space="preserve">ج سكرتاريه شؤن قانونيه </t>
  </si>
  <si>
    <t xml:space="preserve">ج محامى الكليه </t>
  </si>
  <si>
    <t>مكافاه قسم الخزينه ابريل</t>
  </si>
  <si>
    <t>ج السفر للقاهره محمد احمد مايو</t>
  </si>
  <si>
    <t>ج الشؤن الاداريه ابريل اداريين</t>
  </si>
  <si>
    <t>ج الشؤن الاداريه ابريل مؤقتين</t>
  </si>
  <si>
    <t>ج التعليم الالكترونى ربيع ا ه ت</t>
  </si>
  <si>
    <t>ج التعليم الالكترونى ربيع اداريين</t>
  </si>
  <si>
    <t>ج التعليم الالكترونى ربيع مؤقتين</t>
  </si>
  <si>
    <t>ج اعمال الدور السابع مؤقتين</t>
  </si>
  <si>
    <t>ج اعمال الدور السابع خدمات معاونه (ادارى )</t>
  </si>
  <si>
    <t>ج قسم المشتريات ابريل</t>
  </si>
  <si>
    <t>ج المشاركه فى البرنامج مؤقتين ابريل</t>
  </si>
  <si>
    <t>ج المشاركه فى البرنامج اداريين ابريل</t>
  </si>
  <si>
    <t>مكافاه اشراف عيادات ومعامل ا ه ت</t>
  </si>
  <si>
    <t>مكافاه اشراف عيادات ومعامل مؤقتين</t>
  </si>
  <si>
    <t>ج المراجعه اللاحقه قسم الاستحقاقات ابريل</t>
  </si>
  <si>
    <t>مكافاه اعمال اضافيه مؤقتين</t>
  </si>
  <si>
    <t>مكافاه اعمال اضافيه اداريين</t>
  </si>
  <si>
    <t xml:space="preserve">منحه رمضان عمر محمد اسماعيل </t>
  </si>
  <si>
    <t>مكافاه 75% نهله محمد من نوفمبر حتى ابريل (حكيمه ادارى )</t>
  </si>
  <si>
    <t>حنان</t>
  </si>
  <si>
    <t>مكافاه شؤن امتياز وافدين ديسمبر</t>
  </si>
  <si>
    <t>هبه</t>
  </si>
  <si>
    <t>بدل انتقال ابراهيم حسن عبد الرازق</t>
  </si>
  <si>
    <t>اجمالى 18/5/2024</t>
  </si>
  <si>
    <t>اجمالى 19/5/2024 بيرول</t>
  </si>
  <si>
    <t>منال</t>
  </si>
  <si>
    <t>مكافاه الشهر الشفوى موظفين منتدبين</t>
  </si>
  <si>
    <t>ايمان بسيونى</t>
  </si>
  <si>
    <t>عب تدريس  طب مسنين</t>
  </si>
  <si>
    <t>عب تدريس طب شرعى</t>
  </si>
  <si>
    <t>فتح الله</t>
  </si>
  <si>
    <t>عب تدريس فسيولوجى</t>
  </si>
  <si>
    <t>مراجعه نظرى قسم التشريح</t>
  </si>
  <si>
    <t>عب تدريس تشريح</t>
  </si>
  <si>
    <t>عب تدريس فرقه خامسه</t>
  </si>
  <si>
    <t>حسام</t>
  </si>
  <si>
    <t>مجلس الكليه مارس</t>
  </si>
  <si>
    <t>مكافاه تحقيقات شفويه</t>
  </si>
  <si>
    <t>نسمه</t>
  </si>
  <si>
    <t>عب تدريس جراحه اورام</t>
  </si>
  <si>
    <t>مراجعه نظرى تشريح</t>
  </si>
  <si>
    <t>عب عملى وافدين طب مجتمع</t>
  </si>
  <si>
    <t>عب تدريس جراحه اوعيه دمويه</t>
  </si>
  <si>
    <t>عب نظرى مانشيستر</t>
  </si>
  <si>
    <t>مراجعات فسيولوجى</t>
  </si>
  <si>
    <t>عب تدريس باثولوجى</t>
  </si>
  <si>
    <t>عب تدريس مناطق حاره</t>
  </si>
  <si>
    <t>عب تدريس طب المجتمع</t>
  </si>
  <si>
    <t>مكافاه جهد كنترول دولى</t>
  </si>
  <si>
    <t>مكافاه منسق د / سمر سامى</t>
  </si>
  <si>
    <t>عب تدريس جراحه كبد ومراره</t>
  </si>
  <si>
    <t>عب تدريس جراحه راس وعنق</t>
  </si>
  <si>
    <t>طارق</t>
  </si>
  <si>
    <t>ج / هند رضا مايو</t>
  </si>
  <si>
    <t xml:space="preserve">جهد اشراف امتحانات </t>
  </si>
  <si>
    <t>ج المدير الاكاديمى مايو</t>
  </si>
  <si>
    <t>مى</t>
  </si>
  <si>
    <t>ج سكرتاريه ومشتريات</t>
  </si>
  <si>
    <t>مكافاه عن اعمال تدريس</t>
  </si>
  <si>
    <t>مكافاه فنيين برامج</t>
  </si>
  <si>
    <t>مكافاه تدريس هيئه معاونه</t>
  </si>
  <si>
    <t>مكافاه مشاركين تدريب اجبارى</t>
  </si>
  <si>
    <t xml:space="preserve">ج/ محمد سعيد </t>
  </si>
  <si>
    <t>دراسات</t>
  </si>
  <si>
    <t>مكافاه انتظام عملى دراسات (حكيمات )</t>
  </si>
  <si>
    <t>مكافاه انتظام عملى دراسات (فصل موازنه)</t>
  </si>
  <si>
    <t>مكافاه تدريس فرقه اولى</t>
  </si>
  <si>
    <t xml:space="preserve">مكافاه تدريس فرقه رابعه </t>
  </si>
  <si>
    <t>جهود تسجيل الضرائب / احمد شعبان</t>
  </si>
  <si>
    <t>رد ضمان اعمال جهاز المخابرات العامه استحداث 3 قاعات</t>
  </si>
  <si>
    <t>رد تامين نهائى جهاز المخابرات العامه استحداث 3 قاعات</t>
  </si>
  <si>
    <t>شركه الزهراء للتوريدات شراء زيت + تغيير فلتر زيت +تعيير مياه الرادياتير</t>
  </si>
  <si>
    <t>مؤسسه الفتح للتوريدات الكهربائيه شراء ادوات سباكه</t>
  </si>
  <si>
    <t>شركه مكه المكرمه شراء ادوات حداده</t>
  </si>
  <si>
    <t>سلفه مؤقته / هبه الله محمد بدل تغذيه</t>
  </si>
  <si>
    <t>شركه تكنوساينت للاجهزه العلميه والبصريه</t>
  </si>
  <si>
    <t>شركه المنى للاجهزه العلميه صيانه اوتوكلاف</t>
  </si>
  <si>
    <t>الشركه المتحده لمهمات المكاتب صيانه ماكينات تصوير</t>
  </si>
  <si>
    <t>شركه المنى للاجهزه العلميه صيانه فرن تجفيف</t>
  </si>
  <si>
    <t>شركه المنى للاجهزه العلميه صيانه جهاز ديب فريزر</t>
  </si>
  <si>
    <t>شركه المنى للاجهزه العلميه صيانه جهازين تقطير</t>
  </si>
  <si>
    <t>الهيئه العامه لشؤن المطابع الاميريه شراء 101 سايره</t>
  </si>
  <si>
    <t>شركه المنى للاجهزه العلميه صيانه فرن تعقيم</t>
  </si>
  <si>
    <t>شركه ديسكفرى لاعمال الكهروميكانيكا صيانه ديزل</t>
  </si>
  <si>
    <t xml:space="preserve">بدل انتقال امل نبيه </t>
  </si>
  <si>
    <t>بدل انتقال امل همت مصطفى</t>
  </si>
  <si>
    <t xml:space="preserve">شركه نهضه مصر قيمه رفع النفايات </t>
  </si>
  <si>
    <t xml:space="preserve">شركه الدانا للتكييف والبريد </t>
  </si>
  <si>
    <t xml:space="preserve">استرداد ماتم صرفه د/ رشا محمد </t>
  </si>
  <si>
    <t>رد ضمان اعمال وتامين نهائى الهيئه القوميه للانتاج الحربى</t>
  </si>
  <si>
    <t>تعديل استماره 11323</t>
  </si>
  <si>
    <t>تعديل استماره 11491</t>
  </si>
  <si>
    <t>تعديل استماره 11124</t>
  </si>
  <si>
    <t>اجمالى 20/5/2024</t>
  </si>
  <si>
    <t>سلفه مؤقته / فريد مصطفى على حفل اوائل</t>
  </si>
  <si>
    <t>دعم رسائل / ندا محمد محمد</t>
  </si>
  <si>
    <t>شركه الزهراء مستلزمات كوفى بريك</t>
  </si>
  <si>
    <t>ج قسم الاضابير مايو</t>
  </si>
  <si>
    <t>مكافاه شفوى ياسر محمد جابر(مؤقتين )</t>
  </si>
  <si>
    <t>بسمه</t>
  </si>
  <si>
    <t>مكافاه علاج بالاجر اطفال ابريل</t>
  </si>
  <si>
    <t>مكافاه علاج بالاجر للعاملين ابريل</t>
  </si>
  <si>
    <t>مكافاه علاج بالاجر تقويم ابريل</t>
  </si>
  <si>
    <t>مكافاه علاج بالاجر اطفال مايو</t>
  </si>
  <si>
    <t>ج عن اعمال طباعه الامتحان</t>
  </si>
  <si>
    <t>ج عن اعداد مجلس مايو</t>
  </si>
  <si>
    <t>ج لجنه العلاقات الثقافيه ابريل</t>
  </si>
  <si>
    <t>ج سكرتاريه وحده التدريب</t>
  </si>
  <si>
    <t>مكافاه مجلس تنفيذى مايو</t>
  </si>
  <si>
    <t>ج للطلاب الوافدين مايو</t>
  </si>
  <si>
    <t>ج قسم القيد والحفظ</t>
  </si>
  <si>
    <t>مكافاه فنيين مشاركين فى البرامج</t>
  </si>
  <si>
    <t>بدل حضور اجتماع ابريل</t>
  </si>
  <si>
    <t>مكافاه حضور مجلس ابريل</t>
  </si>
  <si>
    <t>ج صيانه بيانات طلبه</t>
  </si>
  <si>
    <t>مكافاه اعداد شراء كتب</t>
  </si>
  <si>
    <t>ج تكنولوجيا المعلومات</t>
  </si>
  <si>
    <t>حافز الاداء مايو</t>
  </si>
  <si>
    <t xml:space="preserve">مكافاه منسقين باطنه </t>
  </si>
  <si>
    <t>مكافاه منسق باطنه</t>
  </si>
  <si>
    <t>عب مراجعه طفيليات</t>
  </si>
  <si>
    <t>محمد</t>
  </si>
  <si>
    <t>مكافاه دفع الكترونى مروه احمد</t>
  </si>
  <si>
    <t>رواتب ابحاث طبيه</t>
  </si>
  <si>
    <t>ج توريدات</t>
  </si>
  <si>
    <t>مكافاه اقرار ضرائب</t>
  </si>
  <si>
    <t>مكافاه لجان توريدات</t>
  </si>
  <si>
    <t>مكافاه فاتوره الكترونيه</t>
  </si>
  <si>
    <t>مكافاه اعمال جمارك للتوريدات</t>
  </si>
  <si>
    <t>مكافاه ماموريه محمد سعيد</t>
  </si>
  <si>
    <t>مكافاه نوباتجيه شامبليون</t>
  </si>
  <si>
    <t>مكافاه الجوده</t>
  </si>
  <si>
    <t>مكافاه الكليه ابريل</t>
  </si>
  <si>
    <t>مكافاه المركز ابريل</t>
  </si>
  <si>
    <t>مكافاه المستعان بهم فى المركز</t>
  </si>
  <si>
    <t>ج غير عاديه للمركز ابريل</t>
  </si>
  <si>
    <t>مكافاه مركز مارس</t>
  </si>
  <si>
    <t>مكافاه العميد ابريل</t>
  </si>
  <si>
    <t>مكافاه المدير التنفيذى ابريل</t>
  </si>
  <si>
    <t>مكافاه شهرفبراير رحاب محمد</t>
  </si>
  <si>
    <t>اجمالى 22/5/2024</t>
  </si>
  <si>
    <t>23/5/2024</t>
  </si>
  <si>
    <t>استقطاع وثيقه تامين اجتماعى مختلط ابريل اسنان(خ عامه+ خ ت +تخصصى )</t>
  </si>
  <si>
    <t>مكافاه سكرتاريه قسم جراحه</t>
  </si>
  <si>
    <t>م سكرتاريه مانشيستر</t>
  </si>
  <si>
    <t>م حضور مجلس</t>
  </si>
  <si>
    <t>م خدمه مواطنيين</t>
  </si>
  <si>
    <t>م دفع الكترونى</t>
  </si>
  <si>
    <t>م منسقين مانشيستر</t>
  </si>
  <si>
    <t>م سكرتاريه جروب</t>
  </si>
  <si>
    <t>م سكرتاريه الاخلاقيات</t>
  </si>
  <si>
    <t>م اشراف ديزل</t>
  </si>
  <si>
    <t>ج ابحاث طبيه</t>
  </si>
  <si>
    <t>م ماموريه منصور بشير</t>
  </si>
  <si>
    <t>م ماموريه محمد سعيد</t>
  </si>
  <si>
    <t>م ارتباط مالى عمرو المليجى</t>
  </si>
  <si>
    <t>م اشراف شؤن عامه</t>
  </si>
  <si>
    <t>م مشال ورق</t>
  </si>
  <si>
    <t xml:space="preserve">م بدل مخاطر </t>
  </si>
  <si>
    <t>ج اضابير وحده حسابيه مايو</t>
  </si>
  <si>
    <t>م تميز علمى</t>
  </si>
  <si>
    <t>م تشجعيه مركز ابحاث</t>
  </si>
  <si>
    <t>م ابحاث اكلينكيه</t>
  </si>
  <si>
    <t>م عاملين مركز ابحاث</t>
  </si>
  <si>
    <t>م 20%ابحاث اكلينكيه</t>
  </si>
  <si>
    <t>م اداره هندسيه مواساه</t>
  </si>
  <si>
    <t>م مراقبين اداريين مواساه</t>
  </si>
  <si>
    <t xml:space="preserve">م تصوير طلاب </t>
  </si>
  <si>
    <t>م مركز ابحاث</t>
  </si>
  <si>
    <t>م بروتوكول ابحاث اكلينكيه</t>
  </si>
  <si>
    <t>م تشجعيه طارق رشاد</t>
  </si>
  <si>
    <t>م تواجد بعد مواعيد قسم ميكروبيولوجى</t>
  </si>
  <si>
    <t>م تسجيل الكترونى</t>
  </si>
  <si>
    <t>م لجنه دعم نفسى مكتب وكيل طلاب</t>
  </si>
  <si>
    <t>ج نسمه يسرى</t>
  </si>
  <si>
    <t>م بعد المواعيد مكتب وكيل دراسات</t>
  </si>
  <si>
    <t>م لجنه دراسات</t>
  </si>
  <si>
    <t>م صحه بيانات مكتب وكلاء</t>
  </si>
  <si>
    <t>ج امتحان محمد بركات</t>
  </si>
  <si>
    <t>م بعد المواعيد امتحانات الكترونيه</t>
  </si>
  <si>
    <t xml:space="preserve">م بعد المواعيد شؤن قانونيه </t>
  </si>
  <si>
    <t>ج للعاملين المستعان بهم</t>
  </si>
  <si>
    <t>م اداره هندسيه</t>
  </si>
  <si>
    <t>اجمالى 23/5/2024</t>
  </si>
  <si>
    <t>مكافاه علاج تخصصى مايو</t>
  </si>
  <si>
    <t>دعم رسائل نيره وليد</t>
  </si>
  <si>
    <t xml:space="preserve">شركه ريال بيوجين </t>
  </si>
  <si>
    <t>مطلوبات</t>
  </si>
  <si>
    <t>اتحاد طب</t>
  </si>
  <si>
    <t>تكافل طب</t>
  </si>
  <si>
    <t>تحسين خدمات</t>
  </si>
  <si>
    <t>تعليم طبى</t>
  </si>
  <si>
    <t>اتحاد اسنان</t>
  </si>
  <si>
    <t>خدمات صيدلة</t>
  </si>
  <si>
    <t>علمى صيدلة</t>
  </si>
  <si>
    <t>تكافل صيدلة</t>
  </si>
  <si>
    <t>نادى تكنولوجيا</t>
  </si>
  <si>
    <t>خ ت تمريض</t>
  </si>
  <si>
    <t xml:space="preserve">مكافاه دينا احمد </t>
  </si>
  <si>
    <t>مكافاه صندوق اتحاد طلبه يناير</t>
  </si>
  <si>
    <t xml:space="preserve">مكافاه اشراف معرض الكتاب </t>
  </si>
  <si>
    <t>مكافاه تنظيم زياره معالم القاهره</t>
  </si>
  <si>
    <t>مكافاه اشراف بروفات المسرح</t>
  </si>
  <si>
    <t>مكافاه اتحاد طلاب اكتوبر</t>
  </si>
  <si>
    <t>مكافاه اتحاد طلاب نوفمبر</t>
  </si>
  <si>
    <t>مكافاه اتحاد طلاب يناير</t>
  </si>
  <si>
    <t>مكافاه اتحاد طلاب ديسمبر</t>
  </si>
  <si>
    <t xml:space="preserve">جهود تنظيم واشراف بروفات </t>
  </si>
  <si>
    <t>محمد خليل ابراهيم بدل تغذية لعشيرة الجواله</t>
  </si>
  <si>
    <t xml:space="preserve"> خ ت صيدلة </t>
  </si>
  <si>
    <t>محمد على ابراهيم شلبى (شراء 300 رزمه ورق )</t>
  </si>
  <si>
    <t>انجى احمد عبد الرحمن قيمة بدل تغذية لطلاب المسرح فى مهرجان الاسكتشات</t>
  </si>
  <si>
    <t>صلاح الدين للتوريدات شراء جهاز كمبيوتر</t>
  </si>
  <si>
    <t xml:space="preserve">صلاح الدين للتوريدات شراء باكيت حافظه شفاف </t>
  </si>
  <si>
    <t>الفرنسيه للمصاعد (محمد احمد السيد )صيانه مصاعد</t>
  </si>
  <si>
    <t>محمود محمد عيد قطب شراء علف</t>
  </si>
  <si>
    <t>مؤسسه الصفوه للتجاره اصلاح جهاز</t>
  </si>
  <si>
    <t xml:space="preserve">شركة نظم القياس والتقويم - كوركت شراء عدد 2 رخصه تصحيح الكترونى </t>
  </si>
  <si>
    <t xml:space="preserve">  </t>
  </si>
  <si>
    <t>الدولية للاتصالات ونظم المعلومات شراء 30 عبوة حبر زيروكس وعدد 2 حبر ريكو</t>
  </si>
  <si>
    <t>الشركة الفرنسيه للمصاعد مصعد رقم 1و 2عن نوفمبر وديسمبر ويناير</t>
  </si>
  <si>
    <t>شركة نوركولينج للتبريد والتكييف اصلاح وحده جهاز تكييف مركزى</t>
  </si>
  <si>
    <t>مصلحة الخزانه العامة وسك العملة</t>
  </si>
  <si>
    <t>الشركة المتحده لمهمات المكاتب صيانة 3 ماكينات بغرفة الامتحانات</t>
  </si>
  <si>
    <t xml:space="preserve"> شركة ديجيتك صيانة 2 ماكينات تصوير بغرفة الامتحانات</t>
  </si>
  <si>
    <t>شركة بايوتك صيانه دوريه لعقد صيانه اجهزه معمل باثولوجى</t>
  </si>
  <si>
    <t xml:space="preserve">شركه نوركولينج صيانه دوريه لعدد 16 جهاز تكييف </t>
  </si>
  <si>
    <t>شركة المنى للاجهزه العلميه والطبيه اصلاح الاجهزه الخاصه بمعمل ميكروبيولوجى</t>
  </si>
  <si>
    <t>بدل انتقال محمد حسن الطباخ</t>
  </si>
  <si>
    <t>مستشفيات جامعه الاسكندريه مستلزمات طبيه الى قسم فسيولوجى</t>
  </si>
  <si>
    <t xml:space="preserve">مستشفيات جامعه الاسكندريه مستلزمات طبيه الى قسم تشريح </t>
  </si>
  <si>
    <t>صندوق التكافل الاجتماعى بطلاب الجامعه استاجر اتوبيس</t>
  </si>
  <si>
    <t>جوده وسائل النقل ايجار اتوبيس</t>
  </si>
  <si>
    <t>مستشفيات جامعه الاسكندريه اصلاح 3 سيارات</t>
  </si>
  <si>
    <t>المنى للاجهزه العلميه صيانه غساله</t>
  </si>
  <si>
    <t>شركة الاعلانات المصرية طرح الممارسه العامه لتطوير كليه طب</t>
  </si>
  <si>
    <t>شركة نوركولينج اصلاح اجهزه تكييف</t>
  </si>
  <si>
    <t>المنى للاجهزه العلميه صيانه جهاز ديب فريزر</t>
  </si>
  <si>
    <t>شركة العالميه للمطبوعات طبع 220 كتاب للخريجين</t>
  </si>
  <si>
    <t>شركة العز للتوريدات طبع 3000 نسخة كتب</t>
  </si>
  <si>
    <t>شركه اميرال للادوات الرياضيه توريد 220 تيشيرت</t>
  </si>
  <si>
    <t>وحده الميكرسكوب الالكترونى تجهيز وفحص عينات</t>
  </si>
  <si>
    <t>العالمية للتوريدات العمومية شراء 8 لوح فيليب شارب</t>
  </si>
  <si>
    <t>عادل مصطفى للتوريدات العموميه شراء اسعافات اوليه</t>
  </si>
  <si>
    <t>العالمية للمطبوعات والتوريدات قيم علامات ارشاديه لقسم الصحه والسلامه</t>
  </si>
  <si>
    <t xml:space="preserve">الفتح للمقاولات والتوريدات شراء 8 فلتر </t>
  </si>
  <si>
    <t>شركة مجد للمقاولات شراء معدات زراعية</t>
  </si>
  <si>
    <t>شركة مجد للمقاولات توريد اصناف خاصه بفرش معامل ميكروبيولوجى</t>
  </si>
  <si>
    <t>مكافاه التميز للعاملين بالمركز يناير</t>
  </si>
  <si>
    <t xml:space="preserve">مكافاه التواجد بعد المواعيد </t>
  </si>
  <si>
    <t>مكافاه تسويات ضربيه</t>
  </si>
  <si>
    <t>مكافاه برنامج تدريبى ابحاث طبيه</t>
  </si>
  <si>
    <t>ج فريق عمل مركز ابحاث</t>
  </si>
  <si>
    <t>ج ورشه عمل ابحاث طبيه</t>
  </si>
  <si>
    <t>مكافاه مديرين ابحاث طبيه</t>
  </si>
  <si>
    <t>مكافاه دعم نفسى مكتب العميد</t>
  </si>
  <si>
    <t>مكافاه لجنه اختام ماجستير</t>
  </si>
  <si>
    <t>مكافاه لجنه اختام دكتوراه</t>
  </si>
  <si>
    <t>مكافاه لجنه اختام دراسات عليا</t>
  </si>
  <si>
    <t>مكافاه مجلس كليه قسم علاقات ثقافيه</t>
  </si>
  <si>
    <t>مكافاه صحه بيانات مكتب وكيل</t>
  </si>
  <si>
    <t>مكافاه بعد المواعيد طباعه امتحانات</t>
  </si>
  <si>
    <t>مكافاه تميز علمى</t>
  </si>
  <si>
    <t xml:space="preserve">مكافاه امتحانات الكترونية </t>
  </si>
  <si>
    <t>مكافاه كورس الليزر</t>
  </si>
  <si>
    <t>ج منسقين عام فبراير معيدين</t>
  </si>
  <si>
    <t>بيان منسقين مارس</t>
  </si>
  <si>
    <t>مكافاه اعمال متميزه منسقين مارس</t>
  </si>
  <si>
    <t xml:space="preserve">ج لفريق عمل الوحده العلاجيه نظير اعمال كشف طبى ا ه ت و حكيمات </t>
  </si>
  <si>
    <t>مكافاه امتحان احمد محمود محمد</t>
  </si>
  <si>
    <t>استمارات وعاء مارس قبل التعديل (تم الغاءها )</t>
  </si>
  <si>
    <t xml:space="preserve">ملحوظه هذه الاستماره تم الغائها ولكن معلقه على الgf </t>
  </si>
  <si>
    <t>حافز اعتماد جوده مارس</t>
  </si>
  <si>
    <t>ج غير عاديه مجله الكليه</t>
  </si>
  <si>
    <t xml:space="preserve">مكافاه قياس وتقويم </t>
  </si>
  <si>
    <t>مكافاه علاقات ثقافيه يناير</t>
  </si>
  <si>
    <t>مكافاه محمد هشام</t>
  </si>
  <si>
    <t>مكافاه هشام حسن</t>
  </si>
  <si>
    <t>مكافاه تدريس خريف</t>
  </si>
  <si>
    <t>مكافاه فنيين خريف</t>
  </si>
  <si>
    <t>مكافاه عمال خريف</t>
  </si>
  <si>
    <t>مكافاه خ ت يناير</t>
  </si>
  <si>
    <t>مكافاه مهندس كهرباء يناير</t>
  </si>
  <si>
    <t>مكافاه سفر صفوت خميس</t>
  </si>
  <si>
    <t>مكافاه انتداب محامى يناير</t>
  </si>
  <si>
    <t>مكافاه مقرر تشريعات</t>
  </si>
  <si>
    <t>مكافاه شؤن صحيه مكتب العميد</t>
  </si>
  <si>
    <t>مكافاه ماموريه منصور بشير</t>
  </si>
  <si>
    <t>مكافاه شؤن خريجين</t>
  </si>
  <si>
    <t>اجمالى 1/4/2024</t>
  </si>
  <si>
    <t>استقطاع نفقة / سهيلة محمد مارس</t>
  </si>
  <si>
    <t>استقطاع اتصالات جروب مارس</t>
  </si>
  <si>
    <t>استقطاع اتوبيس الجامعه مارس</t>
  </si>
  <si>
    <t>استقطاع اشتراك اللجنة النقابيه مارس</t>
  </si>
  <si>
    <t>استقطاع الجمعيه التعاونيه مارس</t>
  </si>
  <si>
    <t>استقطاع اللجنه النقابيه مارس</t>
  </si>
  <si>
    <t>استقطاع النقابه العامه مارس</t>
  </si>
  <si>
    <t>استقطاع جمعية الخدمات مارس</t>
  </si>
  <si>
    <t>استقطاع سيجنال مارس</t>
  </si>
  <si>
    <t>استقطاع مصر لتامينات الحياه مارس</t>
  </si>
  <si>
    <t>استقطاع صندوق التكافل الاجتماعى مارس</t>
  </si>
  <si>
    <t>استقطاع صندوق تكريم الشهداء مارس</t>
  </si>
  <si>
    <t>استقطاع صندوق دعم ذوى الاعاقه مارس</t>
  </si>
  <si>
    <t>استقطاع قرض التكافل مارس</t>
  </si>
  <si>
    <t>الهيئه القوميه للتامين الاجتماعى (معاشات مارس )</t>
  </si>
  <si>
    <t>ضريبة الدخل مارس</t>
  </si>
  <si>
    <t>ضريبة الدمغه مارس</t>
  </si>
  <si>
    <t>استقطاع نقابه العاملين مارس</t>
  </si>
  <si>
    <t>اجمالى 3/4/2024 بيرول</t>
  </si>
  <si>
    <t>مكافاه تجهيز مؤتمر طلابى</t>
  </si>
  <si>
    <t>مكافاه تجهيز حفل تخرج</t>
  </si>
  <si>
    <t>مكافاه تصوير مؤتمر الكليه</t>
  </si>
  <si>
    <t>مكافاه تشجيعيه ابحاث اكلينيكيه</t>
  </si>
  <si>
    <t>مكافاه حفل تخرج علاقات عامه</t>
  </si>
  <si>
    <t>ج ازاله مخلفات</t>
  </si>
  <si>
    <t>مكافاه حفل تخرج</t>
  </si>
  <si>
    <t>مكافاه مراقبين اداريين</t>
  </si>
  <si>
    <t>مكافاه ساعات معتمده خريف</t>
  </si>
  <si>
    <t>مكافاه روؤساء اقسام</t>
  </si>
  <si>
    <t>مكافاه قسم الحسابات</t>
  </si>
  <si>
    <t>مكافاه قسم الاضابير</t>
  </si>
  <si>
    <t>مكافاه قسم كنترول</t>
  </si>
  <si>
    <t>مكافاه قسم علاقات عامه</t>
  </si>
  <si>
    <t>مكافاه قسم شؤن طلاب</t>
  </si>
  <si>
    <t>مكافاه قسم القائم باعمال التجنيد</t>
  </si>
  <si>
    <t>مكافاه قسم سكرتاريه الوكيل</t>
  </si>
  <si>
    <t>مكافاه قسم سكرتاريه العميد</t>
  </si>
  <si>
    <t>مكافاه قسم شؤن خريجين</t>
  </si>
  <si>
    <t>مكافاه قائم باعمال ختم شعار جمهوريه</t>
  </si>
  <si>
    <t>مكافاه قسم الارشيف اعانه اجتماعيه</t>
  </si>
  <si>
    <t xml:space="preserve">مكافاه نسبه تحصيل </t>
  </si>
  <si>
    <t>مكافاه قسم شؤن قانونيه</t>
  </si>
  <si>
    <t>مكافاه قسم المجمع التعليمى</t>
  </si>
  <si>
    <t>مكافاه امتياز وافدين نوفمبر</t>
  </si>
  <si>
    <t xml:space="preserve">شركة نيولاب </t>
  </si>
  <si>
    <t>شركة ريمون روبرت شراء 30 درع خشب</t>
  </si>
  <si>
    <t>سلفة مؤقته / رحاب عبدالله</t>
  </si>
  <si>
    <t>ج شؤن عامه</t>
  </si>
  <si>
    <t>مستحقات للباحث اسامه عباده</t>
  </si>
  <si>
    <t>ج بروتوكول ابحاث اكلينكيه</t>
  </si>
  <si>
    <t>مستحقات منسق وفنى للباحث اسامه</t>
  </si>
  <si>
    <t>مستحقات للباحث د/ عزت على</t>
  </si>
  <si>
    <t>مكافاه رئيس الجامعه رمضان فصل موازنه</t>
  </si>
  <si>
    <t>ج استثنائيه العاملين بنظام الشيفت</t>
  </si>
  <si>
    <t>مكافاه بعدالمواعيد مكتب العميد</t>
  </si>
  <si>
    <t>مكافاه العاملين نظير الاستمرار فى العمل لوقت متاخر</t>
  </si>
  <si>
    <t>مكافاه بعد المواعيد سيارات</t>
  </si>
  <si>
    <t>مكافاه بعد المواعيد سائقين</t>
  </si>
  <si>
    <t>مكافاه منسق طبى وفنى معامل بالدراسه المقامه بالمركز</t>
  </si>
  <si>
    <t>مكافاه كيرسيرفيس</t>
  </si>
  <si>
    <t>مكافاه تسجيل طلاب طب المجتمع</t>
  </si>
  <si>
    <t>مكافاة اجازات وجوبيه هيئه تدريس</t>
  </si>
  <si>
    <t>مكافاه جهود توريدات</t>
  </si>
  <si>
    <t>مكافاه اعمال جمارك</t>
  </si>
  <si>
    <t>وعاء مارس</t>
  </si>
  <si>
    <t>اجمالى 4/4/2024</t>
  </si>
  <si>
    <t>الغاء استمارات وعاء مارس قبل  التعديل من 9727 الى 9736</t>
  </si>
  <si>
    <t>اعاده ادخال استماره 9604</t>
  </si>
  <si>
    <t>الغاء استماره 9604</t>
  </si>
  <si>
    <t>استرداد رسوم دراسية / احمد محمد حنفى اصل المبلغ 39325ج*15%=33426.25</t>
  </si>
  <si>
    <t>مكافاه اداريين يناير</t>
  </si>
  <si>
    <t>كافاه قسم تقويم يناير</t>
  </si>
  <si>
    <t>مكافاه طب اطفال  يناير</t>
  </si>
  <si>
    <t>استماره فارغه</t>
  </si>
  <si>
    <t>اجمالى 6/4/2024</t>
  </si>
  <si>
    <t>شركه نقطه انعكاس للمقااولات العامه عمليه اعمال الكهرباء لتغذية التكييفات</t>
  </si>
  <si>
    <t xml:space="preserve">وزاره الدفاع جهاز مشروعات الخدمه الوطنيه شراء طباعه ثلاثيه الابعاد </t>
  </si>
  <si>
    <t>شركه كيموستور شراء 22 جهاز كمبيوتر وعدد 23 طابعه</t>
  </si>
  <si>
    <t>شركه نيولاب شراء مواد كيماويه</t>
  </si>
  <si>
    <t>اجمالى 7/4/2024</t>
  </si>
  <si>
    <t>مرتبات مؤقتين مارس</t>
  </si>
  <si>
    <t>اجمالى 8/4/2024 بيرول</t>
  </si>
  <si>
    <t>16/4/2024</t>
  </si>
  <si>
    <t>اجمالى 16/4/2024بيرول</t>
  </si>
  <si>
    <t>استقطاع وثيقه التامين الاجتماعى المختلط مارس (اسنان خ عامه + خ ت اسنان +اختبار مواد )</t>
  </si>
  <si>
    <t>استرداد رسوم دراسيه / زياد اسامه</t>
  </si>
  <si>
    <t>استرداد رسوم دراسيه / لؤى حمدى</t>
  </si>
  <si>
    <t>استرداد رسوم دراسيه / هبه محمد صادق</t>
  </si>
  <si>
    <t>شركه بيوميريو ايجيبت صيانه دوريه</t>
  </si>
  <si>
    <t>شركه ابتوساينت صيانه دوريه ميكروسكوبات</t>
  </si>
  <si>
    <t xml:space="preserve">شركه كيميت صيانه جهاز التدفق الخلوى </t>
  </si>
  <si>
    <t>شركه مكه المكرمه للتوريدات توريد اجهزه</t>
  </si>
  <si>
    <t xml:space="preserve">سلفه مؤقته / محمد على عبد المنعم </t>
  </si>
  <si>
    <t xml:space="preserve">قرض حسن </t>
  </si>
  <si>
    <t>مكافاه عمال يوميه غير متعاقدين ابريل</t>
  </si>
  <si>
    <t>مكافاه صيانه الاجهزه ابريل</t>
  </si>
  <si>
    <t>مكافاه تكنولوجيا المعلومات ابريل</t>
  </si>
  <si>
    <t xml:space="preserve">مكافاه لجان المراقبه والملاحظه </t>
  </si>
  <si>
    <t>مكافاه شفوى فصل موازنه فصل دراسى اول</t>
  </si>
  <si>
    <t xml:space="preserve">خ ت اسنان </t>
  </si>
  <si>
    <t>مكافاه رعايه شباب فبراير</t>
  </si>
  <si>
    <t>مكافاه لجنه اخلاقيات يناير</t>
  </si>
  <si>
    <t>مكافاه لجنه اخلاقيات فبراير</t>
  </si>
  <si>
    <t>مكافاه انتداب محمد سعيد (محامى )</t>
  </si>
  <si>
    <t>جهد مخازن فبراير</t>
  </si>
  <si>
    <t>جهد عميد ووكلاء مارس</t>
  </si>
  <si>
    <t>مكافاه منتدبين صندوق تكافل فبراير</t>
  </si>
  <si>
    <t>مكافاه وحده اختبار مواد مارس</t>
  </si>
  <si>
    <t>مكافاه بيت الحيوان فبراير</t>
  </si>
  <si>
    <t>عب تدريس فرقه ثالثه</t>
  </si>
  <si>
    <t>مكافاه رؤوساء اقسام ومنسقين</t>
  </si>
  <si>
    <t>مكافاه نوباتجيه ابحاث طبيه</t>
  </si>
  <si>
    <t>مكافاه منسقين بالاقسام الاكاديميه</t>
  </si>
  <si>
    <t>مكافاه 75%كادر فبراير اداريين</t>
  </si>
  <si>
    <t>مكافاه 75%كادر فبراير حكيمات( خارج الكادر)</t>
  </si>
  <si>
    <t>مكافاه 75%كادر فبراير اداريين+خدمات معاونه وفنيين</t>
  </si>
  <si>
    <t>دراسات سابق</t>
  </si>
  <si>
    <t>مكافاه اعمال اضافيه امتحانات دراسات (مدرس مساعد )</t>
  </si>
  <si>
    <t>مكافاه اعمال اضافيه امتحانات دراسات (خدمات معاونه )</t>
  </si>
  <si>
    <t>مكافاه اعمال اضافيه امتحانات دراسات (اداريين )</t>
  </si>
  <si>
    <t>ج القبول للدراسات خدمات معاونه</t>
  </si>
  <si>
    <t>ج القبول للدراسات اداريين</t>
  </si>
  <si>
    <t>مكافاه مشاركين دراسات خريف اداريين</t>
  </si>
  <si>
    <t>مكافاه مشاركين دراسات خريف فنيين وحكيمات</t>
  </si>
  <si>
    <t>مكافاه مستحقين قسم الدراسات دولى اداريين</t>
  </si>
  <si>
    <t>مكافاه مستحقين قسم الدراسات دولى اداريين ومؤقتين</t>
  </si>
  <si>
    <t>مكافاه مستحقين قسم الدراسات دولى (من خارج كليه علوم )</t>
  </si>
  <si>
    <t>مكافاه تعليميه دراسات نوفمبر وديسمبر</t>
  </si>
  <si>
    <t>مكافاه مشاركين امن تعليميه دراسات</t>
  </si>
  <si>
    <t xml:space="preserve">مكافاه مستحقين دراسات عليا </t>
  </si>
  <si>
    <t xml:space="preserve">ج قبول دراسات ربيع </t>
  </si>
  <si>
    <t>16526م</t>
  </si>
  <si>
    <t>مكافاه مستحقين ساعات معتمده خريف</t>
  </si>
  <si>
    <t>مكافاه كورس الليزر28+29 يناير 2024 الى 5+6+7 فبراير 2024</t>
  </si>
  <si>
    <t>مكافاه كورس الليزر28+29 يناير 2024 الى 5+6+7 فبراير 2025</t>
  </si>
  <si>
    <t>مكافاه كورس الجراحه مابين 5-8 فبراير 2024</t>
  </si>
  <si>
    <t>عكس استماره 9904</t>
  </si>
  <si>
    <t>اعاده ادخال استماره 9904</t>
  </si>
  <si>
    <t>18/4/2024</t>
  </si>
  <si>
    <t>عكس استماره 9732 خاص بوعاء مارس</t>
  </si>
  <si>
    <t>رعايه طفل</t>
  </si>
  <si>
    <t>مكافاه علاج بالاجر اطفال فبراير</t>
  </si>
  <si>
    <t>جهد اداريين فبراير</t>
  </si>
  <si>
    <t>مكافاه مجلس كليه شيماء اسماعيل واحمد على نوفمبر</t>
  </si>
  <si>
    <t>مكافاه مجلس كليه شيماء اسماعيل واحمد على ديسمبر</t>
  </si>
  <si>
    <t xml:space="preserve">مكافاه مجلس كليه شيماء اسماعيل واحمد على يناير </t>
  </si>
  <si>
    <t xml:space="preserve">مكافاه مجلس كليه شيماء اسماعيل واحمد على فبراير </t>
  </si>
  <si>
    <t>امضاء عميد</t>
  </si>
  <si>
    <t>مكافاه بيان قيادات البرنامج ابريل</t>
  </si>
  <si>
    <t>مكافاه بيان منسقى ومشفى البرنامج ابريل ا ه ت</t>
  </si>
  <si>
    <t>مكافاه بيان اداريين البرنامج ابريل</t>
  </si>
  <si>
    <t>مكافاه بيان مؤقتين  البرنامج ابريل</t>
  </si>
  <si>
    <t>مكافاه امتحانات خريف</t>
  </si>
  <si>
    <t>مكافاه بدل حضور اجتماع</t>
  </si>
  <si>
    <t>مكافاه مشاركين امتحانات خريف</t>
  </si>
  <si>
    <t>مكافاه شفوى يناير</t>
  </si>
  <si>
    <t>امضاءعميد</t>
  </si>
  <si>
    <t>مكافاه اعمال متميزه منسقين ابريل ا ه ت</t>
  </si>
  <si>
    <t xml:space="preserve">مكافاه اعمال متميزه اداريين برنامج ابريل </t>
  </si>
  <si>
    <t xml:space="preserve">مكافاه اعمال متميزه مؤقتين برنامج ابريل </t>
  </si>
  <si>
    <t>مكافاه امتحانات الكترونيه فصل موازنه طب</t>
  </si>
  <si>
    <t>مكافاه امتحان ولاء جمال</t>
  </si>
  <si>
    <t>مكافاه مشاركه تعليميه ديسمبر</t>
  </si>
  <si>
    <t>مكافاه مشاركه تعليميه يناير</t>
  </si>
  <si>
    <t>اجمالى 17/4/2024</t>
  </si>
  <si>
    <t>اجمالى 18/4/2024بيرول</t>
  </si>
  <si>
    <t>ج غير عاديه هند رضا ابريل</t>
  </si>
  <si>
    <t>مكافاه العاملين بنظام الشيفت ابريل</t>
  </si>
  <si>
    <t>مكافاه الماليزى ابريل</t>
  </si>
  <si>
    <t>مكافاه برامج تكاملى ابريل</t>
  </si>
  <si>
    <t>ج اعمال متميزه مارس</t>
  </si>
  <si>
    <t>ج اضافى اعمال متميزه خارجى</t>
  </si>
  <si>
    <t>مكافاه جهاز ادارى ابريل</t>
  </si>
  <si>
    <t>مكافاه الهيكل الادارى مانشيستر</t>
  </si>
  <si>
    <t>مكافاه الهيكل الادارى ابريل</t>
  </si>
  <si>
    <t>مكافاه منسق برنامج ابريل</t>
  </si>
  <si>
    <t>مكافاه منسق قسم فرنسى ابريل</t>
  </si>
  <si>
    <t>مكافاه المقرر الاختيارى دوره تدريبيه</t>
  </si>
  <si>
    <t>عب تدريس باطنه</t>
  </si>
  <si>
    <t>عب تدريس فارماكولوجى</t>
  </si>
  <si>
    <t>مراجعات نظريه ترم اول</t>
  </si>
  <si>
    <t>مكافاه كنترول مصرى</t>
  </si>
  <si>
    <t>مكافاه كنترول ترم اول</t>
  </si>
  <si>
    <t>مكافاه كنترول فرقه ثالثه</t>
  </si>
  <si>
    <t>عب تدريس طب مجتمع</t>
  </si>
  <si>
    <t>عب تدريس اورام</t>
  </si>
  <si>
    <t>مكافاه رؤؤساء اقسام ومنسقين</t>
  </si>
  <si>
    <t>مكافاه ايرادات ابحاث اكلينكيه</t>
  </si>
  <si>
    <t>مركزمؤتمرات</t>
  </si>
  <si>
    <t>مكافاه الملاعب فبراير</t>
  </si>
  <si>
    <t>مكافاه لجنه تسويه الضرائب</t>
  </si>
  <si>
    <t>مكافاه المدير التنفيذى مارس</t>
  </si>
  <si>
    <t>مكافاه عميد الكليه مارس</t>
  </si>
  <si>
    <t>مكافاه مشاركه تعليميه نوفمبر</t>
  </si>
  <si>
    <t>مكافاه مشاركه تعليميه اكتوبر</t>
  </si>
  <si>
    <t>مكافاه رعايه شباب مارس</t>
  </si>
  <si>
    <t>ج مساعدى عميد ووكلاء</t>
  </si>
  <si>
    <t xml:space="preserve">مكافاه اداريين وعمال </t>
  </si>
  <si>
    <t xml:space="preserve">مكافاه قسم الاستحقاقات </t>
  </si>
  <si>
    <t xml:space="preserve">مكافاه قسم الاضابير </t>
  </si>
  <si>
    <t>مكافاه قسم حسابات خاصه</t>
  </si>
  <si>
    <t>مكافاه رؤؤساء اقسام</t>
  </si>
  <si>
    <t>مكافاه سكرتاريه الوكيل</t>
  </si>
  <si>
    <t>مكافاه سكرتاريه العميد</t>
  </si>
  <si>
    <t>مكافاه قسم شؤن طلبه</t>
  </si>
  <si>
    <t>مكافاه نسبه التحصيل</t>
  </si>
  <si>
    <t>مكافاه العميد والوكلاء</t>
  </si>
  <si>
    <t>مكافاه المنشات التعليميه</t>
  </si>
  <si>
    <t>مكافاه حضور مجلس اداره ابريل</t>
  </si>
  <si>
    <t>مكافاه لجان ماليزى ا ه ت</t>
  </si>
  <si>
    <t>مكافاه وحده ضمان جوده ابريل</t>
  </si>
  <si>
    <t>ج منسقين عام مارس ا ه ت</t>
  </si>
  <si>
    <t>ج تسجيل ساعات ربيع ا ه ت</t>
  </si>
  <si>
    <t>مكافاه مراقبات ماليزى خريف ا ه ت</t>
  </si>
  <si>
    <t>مكافاه وحده الابتكارات التربويه ابريل ا ه ت</t>
  </si>
  <si>
    <t>مكافاه ملفات دولى ربيع ا ه ت</t>
  </si>
  <si>
    <t>مكافاه لجنه القياس والتقويم ا ه ت</t>
  </si>
  <si>
    <t>ج المراجعه اللاحقه مارس اداريين</t>
  </si>
  <si>
    <t>ج عمال المدرجات اداريين</t>
  </si>
  <si>
    <t>مكافاه مشاركه ماليزى مارس فنيين</t>
  </si>
  <si>
    <t>مكافاه مشاركه ماليزى مارس اداريين</t>
  </si>
  <si>
    <t>ج هندسه الانسجه اداريين</t>
  </si>
  <si>
    <t>ج اعمال الدور السابع خدمات معاونه</t>
  </si>
  <si>
    <t>ج الشفه الارنبيه مارس حكيمات</t>
  </si>
  <si>
    <t>ج الاحكام القضائيه قسم الاستحقاقات اداريين</t>
  </si>
  <si>
    <t>ج الشؤن الاداريه مارس اداريين</t>
  </si>
  <si>
    <t>مكافاه ملفات دولى ربيع اداريين</t>
  </si>
  <si>
    <t>مكافاه لجان ماليزى خريف اداريين</t>
  </si>
  <si>
    <t>ج معمل هندسه الانسجه فنيين</t>
  </si>
  <si>
    <t>ج قسم المشتريات مارس</t>
  </si>
  <si>
    <t>ج قسم الخزينه مارس اداريين</t>
  </si>
  <si>
    <t>حافز امن خدمات معاونه مارس</t>
  </si>
  <si>
    <t>ج تسجيل ساعات ربيع حكيمات</t>
  </si>
  <si>
    <t>ج سكاشن ليليه مارس حكيمات</t>
  </si>
  <si>
    <t xml:space="preserve">ج الاضابير مارس </t>
  </si>
  <si>
    <t>مكافاه انتظام عملى حضرى مارس حكيمات</t>
  </si>
  <si>
    <t>مكافاه مراقبات ماليزى خريف اداريين</t>
  </si>
  <si>
    <t>مكافاه حضور سكشن الجمعه فبراير حكيمات واداريين</t>
  </si>
  <si>
    <t>حافز امن مارس</t>
  </si>
  <si>
    <t>ج هندسه الانسجه مؤقتين</t>
  </si>
  <si>
    <t>مكافاه مشاركه ماليزى مارس مؤقتين</t>
  </si>
  <si>
    <t>مكافاه لجنه القياس والتقويم مؤقتين</t>
  </si>
  <si>
    <t>مكافاه وحده الابتكارات التربويه ابريل مؤقتين</t>
  </si>
  <si>
    <t>ج اعمال التربيه العسكريه مؤقتين</t>
  </si>
  <si>
    <t>ج اعمال الدور السابع محمد فؤاد</t>
  </si>
  <si>
    <t>ج الشؤن الاداريه مارس مؤقتين</t>
  </si>
  <si>
    <t>ج الاحكام القضائيه قسم الاستحقاقات مؤقتين</t>
  </si>
  <si>
    <t>ج المراجعه اللاحقه مارس مؤقتين</t>
  </si>
  <si>
    <t>مكافاه لجان ماليزى خريف مؤقتين</t>
  </si>
  <si>
    <t>ج قسم الخزينه مارس مؤقتين</t>
  </si>
  <si>
    <t>ج تسجيل ساعات ربيع مؤقتين</t>
  </si>
  <si>
    <t>ج تسجيل الاستمارات فى الدفع الالكترونى مؤقتين</t>
  </si>
  <si>
    <t>مكافاه انتظام عملى حضرى مارس مؤقتين</t>
  </si>
  <si>
    <t>مكافاه ملفات دولى ربيع مؤقتين</t>
  </si>
  <si>
    <t>مكافاه مراقبات ماليزى خريف مؤقتين</t>
  </si>
  <si>
    <t>مكافاه حضور سكاشن ليليه مارس مؤقتين</t>
  </si>
  <si>
    <t>مكافاه حضور سكشن الجمعه فبراير مؤقتين</t>
  </si>
  <si>
    <t>مكافاه انتظام عملى دراسات حكيمات</t>
  </si>
  <si>
    <t>مكافاه انتظام عملى دراسات فصل موازنه</t>
  </si>
  <si>
    <t>عكس استماره 10219</t>
  </si>
  <si>
    <t>مكافاه بيان مارس</t>
  </si>
  <si>
    <t>اعاده ادخال استماره 10219</t>
  </si>
  <si>
    <t>مكافاه تدريس ا متفرغ</t>
  </si>
  <si>
    <t>مكافاه تدريس معيدين</t>
  </si>
  <si>
    <t>مكافاه منسقين خريف ا ه ت</t>
  </si>
  <si>
    <t>مكافاه تدريس ا ه ت</t>
  </si>
  <si>
    <t>مكافاه كورس غرس الفتره 11/1/2024</t>
  </si>
  <si>
    <t>اجمالى 21/4/2024</t>
  </si>
  <si>
    <t>بدل انتقال طه محمد البداوى</t>
  </si>
  <si>
    <t>بدل انتقال جيهان محمد ابراهيم</t>
  </si>
  <si>
    <t xml:space="preserve">بدل انتقال دعاء سعيد </t>
  </si>
  <si>
    <t>بدل انتقال شيماء عبد المجيد</t>
  </si>
  <si>
    <t xml:space="preserve">الهدى للتوريدات والمقاولات اصلاح وصيانه </t>
  </si>
  <si>
    <t>سلفه مؤقته /احمد راغب معوض</t>
  </si>
  <si>
    <t xml:space="preserve">سلفه مؤقته / صالح سلامه سالم </t>
  </si>
  <si>
    <t>شركه نهضه مصر للخدمات البيئيه الحديثه رفع مخلفات يناير</t>
  </si>
  <si>
    <t>شركه نهضه مصر للخدمات البيئيه الحديثه رفع مخلفات فبراير</t>
  </si>
  <si>
    <t>وزاره الدفاع جهاز مشروعات الخدمه الوطنيه اعمال النظافه عن الفتره من 18/2/2024 الى 17/3/2024</t>
  </si>
  <si>
    <t>مركز البدوى لصيانه اجهزه الاتصالات من شهر ديسمبر الى فبراير 2024</t>
  </si>
  <si>
    <t>رد ضمان عادل على كوته عن  عمليه صيانه 15 وحده معالجه مياه</t>
  </si>
  <si>
    <t>رد ضمان شركه الاجهزه العلميه والطبيه (نوح ) عن توريد ميكرسكوب</t>
  </si>
  <si>
    <t xml:space="preserve">استرداد مصاريف نوران سامى سعيد </t>
  </si>
  <si>
    <t>دعم رسائل هدير محمد عزت</t>
  </si>
  <si>
    <t>دعم رسائل دينا سعيد عبد الله</t>
  </si>
  <si>
    <t>دعم رسائل الاء رضا عبد العزيز</t>
  </si>
  <si>
    <t>دعم رسائل مروه محمد محمد</t>
  </si>
  <si>
    <t>دعم رسائل اسماء محمد</t>
  </si>
  <si>
    <t>الفرنسيه للمصاعد قيمه قسط عقد الصيانه ديسمبر</t>
  </si>
  <si>
    <t>دعم رسائل هديل عادل خليل</t>
  </si>
  <si>
    <t>شركه ايجى ميديكا اصلاح ميكرسكوب</t>
  </si>
  <si>
    <t>شركه ايجى ميديكا</t>
  </si>
  <si>
    <t>مصلحه الخزانه العامه وسك العمله شراء 10 حبارات</t>
  </si>
  <si>
    <t xml:space="preserve">الهيئه العامه لشئون المطابع الاميريه شراء 100 نموذج مرتبات خصم </t>
  </si>
  <si>
    <t xml:space="preserve">احمد جمعه محمد عباس شراء كيماويات </t>
  </si>
  <si>
    <t xml:space="preserve">رد ضمان شركه فوكاس </t>
  </si>
  <si>
    <t>استقطاع وثيقه التامين الاجتماعى المختلط مارس (صيدلة )</t>
  </si>
  <si>
    <t>استقطاع قرض حسن  مارس (صيدله اكلينكى + خ ت صيدله )</t>
  </si>
  <si>
    <t>استقطاع صندوق الخدمه التعليميه طب</t>
  </si>
  <si>
    <t>سداد ارباح تجاريه من يناير الى مارس2024</t>
  </si>
  <si>
    <t xml:space="preserve">مجلس كليه فبراير </t>
  </si>
  <si>
    <t>مكافاه تشجعيه مركز ابحاث ابريل</t>
  </si>
  <si>
    <t>مكافاه معاونه الوحده الحسابيه</t>
  </si>
  <si>
    <t>مستحقات العاملين بنظام الشيفت ابريل</t>
  </si>
  <si>
    <t>وعاء ابريل</t>
  </si>
  <si>
    <t>اجمالى 22/4/2024</t>
  </si>
  <si>
    <t>مصلحه الضرائب المصريه</t>
  </si>
  <si>
    <t>اجمالى 24/4/2024</t>
  </si>
  <si>
    <t>اعاده استماره 10435</t>
  </si>
  <si>
    <t>اعاده ادخال استماره 10441</t>
  </si>
  <si>
    <t>عكس استماره 10435</t>
  </si>
  <si>
    <t>عكس استماره 10441</t>
  </si>
  <si>
    <t>اجمالى 30/4/2024</t>
  </si>
  <si>
    <t>ظبط بنود لعدم توافر البند بالجامعه (الادخال gf بتاريخ 8/4/2024</t>
  </si>
  <si>
    <t>قيد تضمنى مرتبات ا ه ت يناير وفبراير</t>
  </si>
  <si>
    <t>قيد تضمنى مرتبات اداريين يناير وفبراير</t>
  </si>
  <si>
    <t>16/4</t>
  </si>
  <si>
    <t>تعديل استماره 7803 شركه نهضه مصر وتم ادخال هذه التسويه لاقفال تسويه 448 فى مارس</t>
  </si>
  <si>
    <t>اجمالى 16/4/2024 تسويات</t>
  </si>
  <si>
    <t xml:space="preserve">سداد سلفه مؤقته / هانى السيد </t>
  </si>
  <si>
    <t xml:space="preserve">مطابع الاميريه </t>
  </si>
  <si>
    <t>ق توريد 855522</t>
  </si>
  <si>
    <t>ق توريد 855524</t>
  </si>
  <si>
    <t>ق توريد 855907</t>
  </si>
  <si>
    <t>ق توريد 855519</t>
  </si>
  <si>
    <t>ق توريد 855525</t>
  </si>
  <si>
    <t>ق توريد 855906</t>
  </si>
  <si>
    <t>ق توريد 855523</t>
  </si>
  <si>
    <t>ق توريد 855518</t>
  </si>
  <si>
    <t>ق توريد 855520</t>
  </si>
  <si>
    <t>ق توريد 855905</t>
  </si>
  <si>
    <t>ق توريد 855521</t>
  </si>
  <si>
    <t>خطاب ضمان مكتب الاندلس للمقاولات (طب )</t>
  </si>
  <si>
    <t>خطاب ضمان كبو للهندسه والتجاره (صيدله )</t>
  </si>
  <si>
    <t>كشف بنك من 1/7/2023 الى 31/3/2024</t>
  </si>
  <si>
    <t>خ ت صيدله</t>
  </si>
  <si>
    <t>كشف بنك ديسمبر 2023</t>
  </si>
  <si>
    <t>كشف بنك مارس 2024</t>
  </si>
  <si>
    <t>كشف بنك فبراير 2024</t>
  </si>
  <si>
    <t>سلفه مستديمه / عمرو عباس</t>
  </si>
  <si>
    <t>مبالغ ضمان اعمال محوله للايراد تخص المخابرات العامه خصمت من ايراد دولى وتم الاضافه الى ايراد ماليزى اسنان (سجلات فقط )</t>
  </si>
  <si>
    <t>اجمالى 24/4/2024 تسويات</t>
  </si>
  <si>
    <t xml:space="preserve">اقفال قيد الديون المستحقه المعلى بتسويه رقم 394 والخاص باستماره 7803 شركه نهضه مصر </t>
  </si>
  <si>
    <t xml:space="preserve">اجمالى 27/4/2024 تسويات </t>
  </si>
  <si>
    <t>28/4/2024</t>
  </si>
  <si>
    <t>قيد تضمنى شراء لوازم شركه ايجيل</t>
  </si>
  <si>
    <t>اجمالى 28/4/2024 تسويات</t>
  </si>
  <si>
    <t>30/4/2024</t>
  </si>
  <si>
    <t>تعديل قيد سلفه مؤقته باسم محمد خليل وانجى محمد</t>
  </si>
  <si>
    <t>وحدة</t>
  </si>
  <si>
    <t>وحده حسابيه صناديق ابريل</t>
  </si>
  <si>
    <t>وحده حسابيه مدفوعات ذاتى ابريل</t>
  </si>
  <si>
    <t>تعديل بنود استماره 75 ابريل</t>
  </si>
  <si>
    <t xml:space="preserve">اجمالى 30/4/2024 تسويات </t>
  </si>
  <si>
    <t xml:space="preserve"> </t>
  </si>
  <si>
    <t>سداد استقطاع نفقة / منى محمود ابراهيم (فبراير )</t>
  </si>
  <si>
    <t>سداد استقطاع نفقة / سهيلة محمد مسعد (فبراير)</t>
  </si>
  <si>
    <t>اجمالى 3/3/2024بيرول</t>
  </si>
  <si>
    <t>استقطاع اتوبيس الجامعة فبراير</t>
  </si>
  <si>
    <t>استقطاع اشتراك اللجنة النقابية فبراير</t>
  </si>
  <si>
    <t>استقطاع النقابة العامة فبراير</t>
  </si>
  <si>
    <t>استقطاع تامين علاجى فبراير</t>
  </si>
  <si>
    <t>استقطاع جمعية الخدمات فبراير</t>
  </si>
  <si>
    <t>استقطاع سيجينال تكنيكال فبراير</t>
  </si>
  <si>
    <t>استقطاع مصر لتامينات الحياة فبراير</t>
  </si>
  <si>
    <t>استقطاع صندوق التكافل الاجتماعى فبراير</t>
  </si>
  <si>
    <t>استقطاع صندوق تكريم الشهدء فبراير</t>
  </si>
  <si>
    <t>استقطاع صندوق دعم ذوى الاعاقه فبراير</t>
  </si>
  <si>
    <t>استقطاع قرض التكافل فبراير</t>
  </si>
  <si>
    <t>استقطاع نقابة العاملين فبراير</t>
  </si>
  <si>
    <t>استقطاع اللجنة النقابية فبراير</t>
  </si>
  <si>
    <t>اجمالى 4/3/2024 بيرول</t>
  </si>
  <si>
    <t xml:space="preserve">المجموعة العربيه للتكنولوجيا </t>
  </si>
  <si>
    <t>رد تامين نهائى مكتب طارق عبد الحميد (طب )</t>
  </si>
  <si>
    <t xml:space="preserve">شركة فيوتشر مصر للتوريدات شراء ادوات نظافة </t>
  </si>
  <si>
    <t>مكافاه زماله وليد عمر</t>
  </si>
  <si>
    <t>مكافاه زماله امل عبد العزيز</t>
  </si>
  <si>
    <t>عب تدريس مانشيستر</t>
  </si>
  <si>
    <t>مكافاه العاملين بالكلية</t>
  </si>
  <si>
    <t>وافدين مستشفيات</t>
  </si>
  <si>
    <t>مكافاه زمالة امل عبد العزيز</t>
  </si>
  <si>
    <t>مكافاة زمالة هالة محمد</t>
  </si>
  <si>
    <t xml:space="preserve">مكافاه ماموريه محمد سعيد </t>
  </si>
  <si>
    <t>مكافاه ماموريه نصر انور</t>
  </si>
  <si>
    <t>ماموريه منصور بشير</t>
  </si>
  <si>
    <t>مكافاه خدمه مواطنين</t>
  </si>
  <si>
    <t>مكافاه منشات تعليميه</t>
  </si>
  <si>
    <t>مكافاه دفاتر تامينات</t>
  </si>
  <si>
    <t>مكافاه شؤن عامه</t>
  </si>
  <si>
    <t>مكافاه علاقات عامة</t>
  </si>
  <si>
    <t>مكافاه صحه بيانات مكتب الوكيل</t>
  </si>
  <si>
    <t>ضريبة الدخل فبراير</t>
  </si>
  <si>
    <t>ضريبة الدمغه فبراير</t>
  </si>
  <si>
    <t>الهيئه القوميه للتامين الاجتماعى (معاشات فبراير)</t>
  </si>
  <si>
    <t xml:space="preserve">مكافاه بيان منسقين فبراير </t>
  </si>
  <si>
    <t>مكافاه بيان فريق العمل فبراير اداريين</t>
  </si>
  <si>
    <t>مكافاه بيان فريق العمل فبراير مؤقتين</t>
  </si>
  <si>
    <t>مكافاه اعمال متميزه فبراير مؤقتين</t>
  </si>
  <si>
    <t>مكافاه اعمال متميزه فبراير منسقين</t>
  </si>
  <si>
    <t>مكافاه اعمال متميزه فبراير اداريين</t>
  </si>
  <si>
    <t>مكافاه حضور مجلس اداره فبراير</t>
  </si>
  <si>
    <t>مكافاه بيان قيادات البرنامج فبراير ا ه ت</t>
  </si>
  <si>
    <t>مكافاه صندوق تكافل رعايه شباب</t>
  </si>
  <si>
    <t>مكافاه بعد المواعيد مكتب العميد</t>
  </si>
  <si>
    <t>مكافاه اجازات وجوبيه هيئه تدريس</t>
  </si>
  <si>
    <t xml:space="preserve">مكافاه لجان طبيه </t>
  </si>
  <si>
    <t>مكافاه حافز جوده فبراير</t>
  </si>
  <si>
    <t>مكافاه اداريين وعمال</t>
  </si>
  <si>
    <t>مكافاه وحده ضمان جوده</t>
  </si>
  <si>
    <t>حافز اداء فبراير</t>
  </si>
  <si>
    <t>مكافاه طلاب وافدين</t>
  </si>
  <si>
    <t>مكافاه لجنه مراجعه</t>
  </si>
  <si>
    <t>مكافاه مجلس تنفيذى فبراير</t>
  </si>
  <si>
    <t>مكافاه تكنولوجيا المعلومات</t>
  </si>
  <si>
    <t>مكافاه تدريس صيفى</t>
  </si>
  <si>
    <t>مكافاه خ ت ديسمبر</t>
  </si>
  <si>
    <t>مكافاه عهدة ختم</t>
  </si>
  <si>
    <t>ج حنان رفعت</t>
  </si>
  <si>
    <t>مكافاه انتداب مهندس كهرباء</t>
  </si>
  <si>
    <t>مكافاه انتداب محامى الكليه</t>
  </si>
  <si>
    <t>مكافاه نائب فارم دى</t>
  </si>
  <si>
    <t>مكافاه قسم رعايه الشباب</t>
  </si>
  <si>
    <t>ج المدير الاكاديمى</t>
  </si>
  <si>
    <t>مكافاه ملاحظه امتحانات</t>
  </si>
  <si>
    <t>عب تدريس تفكير ناقد</t>
  </si>
  <si>
    <t>عب تدريس نسا وتوليد</t>
  </si>
  <si>
    <t>مكافاه وافدين</t>
  </si>
  <si>
    <t>عب تدريس غدد صماء</t>
  </si>
  <si>
    <t>عب تدريس باطنه كلى</t>
  </si>
  <si>
    <t>عب تدريس جراحه كبد</t>
  </si>
  <si>
    <t>بانسية</t>
  </si>
  <si>
    <t>جزء من م امتحان امنية امين</t>
  </si>
  <si>
    <t>مكافاه مجلس كلية نوفمبر</t>
  </si>
  <si>
    <t>جهود بعد المواعيد</t>
  </si>
  <si>
    <t>مكافاه اشراف رحله سيوه</t>
  </si>
  <si>
    <t>م متابعه الابنيه المواساه</t>
  </si>
  <si>
    <t>م تنفيذ اعمال المستشفيات</t>
  </si>
  <si>
    <t>م زياده اعباء توريدات</t>
  </si>
  <si>
    <t>م انهاء اعمال مكتب العميد</t>
  </si>
  <si>
    <t>م اعمال جمارك</t>
  </si>
  <si>
    <t>م اجراءات فاتوره الكترونيه</t>
  </si>
  <si>
    <t>مكافاه خدمه اعضاء لجان توريدات</t>
  </si>
  <si>
    <t>م وحده قياس تقويم مانشيستر</t>
  </si>
  <si>
    <t>م بعد مواعيد شؤن قانونيه</t>
  </si>
  <si>
    <t>م تصوير طلاب</t>
  </si>
  <si>
    <t>م سائقين بعد المواعيد</t>
  </si>
  <si>
    <t>م اعداد مجلس كليه</t>
  </si>
  <si>
    <t>م نوباتجيه ديزل</t>
  </si>
  <si>
    <t>م برتوكول منسق طبى</t>
  </si>
  <si>
    <t>ج ملاعب يناير</t>
  </si>
  <si>
    <t>اجمالى 5/3/2024</t>
  </si>
  <si>
    <t>اجمالى 5/3/2024 بيرول</t>
  </si>
  <si>
    <t>شركة عبد الحميد عبدة شراء 80 ارنب</t>
  </si>
  <si>
    <t>وزاره الدفاع جهاز مشروعات الخدمة الوطنية قيمة اعمال النظافه عن الفترة من 18/12/2023 حتى 17/1/2024</t>
  </si>
  <si>
    <t>شركة ديجيتك صيانه لعدد 2 ماكينة تصوير</t>
  </si>
  <si>
    <t>شركة منى للاجهزه العلمية صيانة اجهزه معمل ميكروبيولوجى</t>
  </si>
  <si>
    <t>شركة ايجى ميديكا صيانة اجهزه معمل ميكروبيولوجى</t>
  </si>
  <si>
    <t>شركة زاد ايجيبت توريد صبغات مناعيه هستوكيمائيه</t>
  </si>
  <si>
    <t>بدل انتقال السيد على محمد</t>
  </si>
  <si>
    <t>بدل انتقال عوض مسعود</t>
  </si>
  <si>
    <t>بدل انتقال رشا عرفة</t>
  </si>
  <si>
    <t>منصور بشير استرداد قيمة تذكرة بوابات مصر الاسكندرية</t>
  </si>
  <si>
    <t>محمد سعيد استرداد قيمة تذكرة بوابات مصر الاسكندرية</t>
  </si>
  <si>
    <t>بدل انتقال سوزان حامد</t>
  </si>
  <si>
    <t>بدل انتقال حازم رمضان</t>
  </si>
  <si>
    <t>بدل انتقال سحر احمد</t>
  </si>
  <si>
    <t>بدل انتقال كوثر سعد</t>
  </si>
  <si>
    <t>بدل انتقال ايمان حسن</t>
  </si>
  <si>
    <t>بدل انتقال احمد حسين</t>
  </si>
  <si>
    <t>شركة اليكس التجارية اصلاح 2 ماكينة تصوير</t>
  </si>
  <si>
    <t>شركة المتحدة للانظمة والاتصالات صيانة انذار ضد الحريق</t>
  </si>
  <si>
    <t>سلفة مؤقته / فريد مصطفى</t>
  </si>
  <si>
    <t xml:space="preserve">وحدة كلية الزراعه للزينة وتجميل البيئة </t>
  </si>
  <si>
    <t>شركة مصر للهندسة والتجارة ميتكا (صيانة مصاعد )</t>
  </si>
  <si>
    <t>شركة العز للتوريدات توريد كلارك</t>
  </si>
  <si>
    <t>مصلحة الضرائب (قيمة مضافة من ايراد مركز ابحاث اكلينكى شركة نوفارتس)</t>
  </si>
  <si>
    <t>تحويل مبلغ من ص خ ت الى ص اتحاد رياضى للجامعات</t>
  </si>
  <si>
    <t>رد مبلغ فرق حجز لاكاديميه الامل</t>
  </si>
  <si>
    <t>استقطاع نفقة / هشام احمد قدرى (طب )</t>
  </si>
  <si>
    <t>استقطاع نفقة / محمد مصطفى عبد الفتاح (طب )</t>
  </si>
  <si>
    <t>مكافاه مجلس كليه يناير</t>
  </si>
  <si>
    <t>مكافاه 75% كادر ديسمبر</t>
  </si>
  <si>
    <t>مكافاه قوافل خدمة مجتمع</t>
  </si>
  <si>
    <t>مكافاه تحصيل مجله يناير</t>
  </si>
  <si>
    <t>جهد مشتريات يناير</t>
  </si>
  <si>
    <t>مكافاة امين مخزن يناير</t>
  </si>
  <si>
    <t>مكافاة انتداب يناير</t>
  </si>
  <si>
    <t xml:space="preserve">جهد تحصيل مصروفات يناير </t>
  </si>
  <si>
    <t>مكافاة صندوق خدمة تعليمية يناير</t>
  </si>
  <si>
    <t xml:space="preserve">مكافاة ختم النسر </t>
  </si>
  <si>
    <t>مناقشة ماجستير رانيا علاء</t>
  </si>
  <si>
    <t>مناقشة ماجستير محمد بدر</t>
  </si>
  <si>
    <t>مناقشة ماجستير دينا محمد</t>
  </si>
  <si>
    <t>مناقشة ماجستير مصطفى محمد</t>
  </si>
  <si>
    <t>مناقشة ماجستير حسين باسم</t>
  </si>
  <si>
    <t>مناقشة ماجستير كريم محمد</t>
  </si>
  <si>
    <t>مناقشة ماجستير بانسيه اشرف</t>
  </si>
  <si>
    <t>مناقشة ماجستير هشام مسعد</t>
  </si>
  <si>
    <t xml:space="preserve">مكافاة  خدمة تعليمية الحسابات طب </t>
  </si>
  <si>
    <t xml:space="preserve">مكافاة  خدمة تعليمية ارشيف طب </t>
  </si>
  <si>
    <t xml:space="preserve">مكافاة  خدمة تعليمية استحقاقات طب </t>
  </si>
  <si>
    <t xml:space="preserve">مكافاة  خدمة تعليمية اضابير وتليفونات طب </t>
  </si>
  <si>
    <t xml:space="preserve">مكافاة  خدمة تعليمية اعانات طب </t>
  </si>
  <si>
    <t xml:space="preserve">مكافاة  خدمة تعليمية حسابات طب </t>
  </si>
  <si>
    <t xml:space="preserve">مكافاة  خدمة تعليمية صراف طب </t>
  </si>
  <si>
    <t>مكافاة  خدمة تعليمية ختم شعار الجمهورية</t>
  </si>
  <si>
    <t xml:space="preserve">م القائم باعمال التجنيد </t>
  </si>
  <si>
    <t>م قسم الكنترول</t>
  </si>
  <si>
    <t>م قسم حسابات خاصة</t>
  </si>
  <si>
    <t>م قسم دراسات عليا</t>
  </si>
  <si>
    <t>م رؤوساء اقسام</t>
  </si>
  <si>
    <t>م قسم المطبعه</t>
  </si>
  <si>
    <t>م سكرتاريه العميد</t>
  </si>
  <si>
    <t>م سكرتاريه الوكيل</t>
  </si>
  <si>
    <t>م قسم شؤن خريجين</t>
  </si>
  <si>
    <t>ج شؤن قانونيه محمد عيد فبراير</t>
  </si>
  <si>
    <t>م قسم شؤن طلبه</t>
  </si>
  <si>
    <t>م قسم علاقات عامة</t>
  </si>
  <si>
    <t>م قسم القيد والحفظ</t>
  </si>
  <si>
    <t>م صرفية نسبه التحصيل</t>
  </si>
  <si>
    <t>م قسم المنشات التعليميه</t>
  </si>
  <si>
    <t>م المراقب المالى لوحدة تحاليل طبية</t>
  </si>
  <si>
    <t>م مراجعة عقود كيماوياات (محامى الكلية )</t>
  </si>
  <si>
    <t>سداد استقطاع اتصالات جروب فبراير</t>
  </si>
  <si>
    <t>م مراجعة عقود كورس الغرس (محامى الكلية )</t>
  </si>
  <si>
    <t>م مراجعه عقود تعقيم طب الفم (محامى الكلية )</t>
  </si>
  <si>
    <t>م اعمال اضافية امتحانات خريف مؤقتين</t>
  </si>
  <si>
    <t>م اعمال اضافية امتحانات خريف مكافاه شاملة</t>
  </si>
  <si>
    <t>م مراجعة عقود المصاعد (محامى الكلية)</t>
  </si>
  <si>
    <t>م اعمال اضافية امتحانات خريف خدمات معاونة</t>
  </si>
  <si>
    <t>م اعمال اضافية امتحانات خريف (محامى الكلية )</t>
  </si>
  <si>
    <t>م اعمال اضافية امتحانات خريف طارق رشاد</t>
  </si>
  <si>
    <t>ج الشؤن القانونية فبراير مؤقتين</t>
  </si>
  <si>
    <t xml:space="preserve">م اعمال اضافية امتحانات خريف  معيدين </t>
  </si>
  <si>
    <t xml:space="preserve">م اعمال اضافية امتحانات خريف عمرو رفعت </t>
  </si>
  <si>
    <t xml:space="preserve">م اعمال اضافية امتحانات خريف مؤقتين </t>
  </si>
  <si>
    <t>ج السفر للشراء الموحد اداريين</t>
  </si>
  <si>
    <t>ج السفر للقاهره محمد احمد حسن (ادارى )</t>
  </si>
  <si>
    <t xml:space="preserve">م مراجعة عقود كورس الغرس قسم توريدات </t>
  </si>
  <si>
    <t xml:space="preserve">م مراجعة عقود مصاعد قسم توريدات </t>
  </si>
  <si>
    <t>م اعمال اضافية امتحانات خريف اداريين</t>
  </si>
  <si>
    <t>م اعمال اضافية امتحانات خريف ا ه ت</t>
  </si>
  <si>
    <t>م اعمال اضافيه امتحانات عام معيدين</t>
  </si>
  <si>
    <t>م اعمال اضافيه امتحانات عام اداريين</t>
  </si>
  <si>
    <t xml:space="preserve">م مراجعة عقود كيماويات قسم توريدات </t>
  </si>
  <si>
    <t>ج شؤن قانونيه  نجوى مرسى فبراير</t>
  </si>
  <si>
    <t>م مراجعه عقود تعقيم طب الفم  قسم توريدات</t>
  </si>
  <si>
    <t>مكافاه وحدة اختبار مواد يناير2024</t>
  </si>
  <si>
    <t>ج رعاية زرع يناير</t>
  </si>
  <si>
    <t>ج العاملين بنشاط الميكرسكوب يناير</t>
  </si>
  <si>
    <t>ج وحدة الليزر نوفمبر وديسمبر</t>
  </si>
  <si>
    <t>ج بيت الحيوان يناير</t>
  </si>
  <si>
    <t>مكافاه منتدبين صندوق يناير</t>
  </si>
  <si>
    <t>ج تحصيل مصروفات دراسية يناير</t>
  </si>
  <si>
    <t>ج رعاية شباب يناير</t>
  </si>
  <si>
    <t>م خ ت يناير</t>
  </si>
  <si>
    <t>م امتحان ذاتى كمال عباس (مكافاه شاملة )</t>
  </si>
  <si>
    <t xml:space="preserve">م شؤن قانونيه </t>
  </si>
  <si>
    <t>اجمالى 6/3/2024</t>
  </si>
  <si>
    <t>اجمالى 7/3/2024 بيرول</t>
  </si>
  <si>
    <t>مكافاه دراسات عليا خريف</t>
  </si>
  <si>
    <t>عب تدريس اطفال</t>
  </si>
  <si>
    <t>مراجعات نظريه تراكمى</t>
  </si>
  <si>
    <t>مراجعات نظريه دور اول</t>
  </si>
  <si>
    <t>مكافاه كنترول دور اول</t>
  </si>
  <si>
    <t>مكافاه كنترول تراكمى جروب</t>
  </si>
  <si>
    <t>مكافاه تصحيح الكترونى</t>
  </si>
  <si>
    <t xml:space="preserve">مكافاه شؤن طلاب </t>
  </si>
  <si>
    <t>مكافاه سكرتاريه تدريب فبراير</t>
  </si>
  <si>
    <t>ج مجلس كليه فبراير</t>
  </si>
  <si>
    <t xml:space="preserve">م طباعة امتحانات </t>
  </si>
  <si>
    <t>م المشاركين فى اعمال الفارم دى</t>
  </si>
  <si>
    <t>م الفارم دى خريف</t>
  </si>
  <si>
    <t>م شؤن طلاب</t>
  </si>
  <si>
    <t>م تصحيح الكترونى</t>
  </si>
  <si>
    <t>م تدريب صيادلة</t>
  </si>
  <si>
    <t>م نشر علمى</t>
  </si>
  <si>
    <t>شركة كيماتك - عادل ضيف وشركاه شراء كيماويات</t>
  </si>
  <si>
    <t>بدل انتقال امل نبيه</t>
  </si>
  <si>
    <t>بدل انتقال همت مصطفى</t>
  </si>
  <si>
    <t>شركة مصر للهندسه والتجارة صيانة مصاعد</t>
  </si>
  <si>
    <t>سداد النقابة الهندسية والتطبيقية من يوليو 2023 الى يناير 2024(خ ت طب + دولى +مؤتمرات )</t>
  </si>
  <si>
    <t>سداد النقابة الهندسية من يوليو 2023 الى يناير 2024 (خ ت ص+وحدة خدمات ص+اكلينكى )</t>
  </si>
  <si>
    <t>سداد النقابة التطبيقيةمن يوليو 2023 الى يناير 2024 (خ ت ص+وحدة خدمات ص+اكلينكى )</t>
  </si>
  <si>
    <t>اجمالى 9/3/2024</t>
  </si>
  <si>
    <t>اجمالى 14/3/2024 بيرول</t>
  </si>
  <si>
    <t>استرداد ماتم صرفة على فحص وتحاليل / رشا محمد</t>
  </si>
  <si>
    <t xml:space="preserve">سلفة مؤقته/ انجى عبد الغنى عبد العزيز </t>
  </si>
  <si>
    <t>مكتبة الاسكندرية الوقت الاضافى بعد انتهاء حفل تخرج</t>
  </si>
  <si>
    <t xml:space="preserve">بدل انتقال على محمد على </t>
  </si>
  <si>
    <t>شركة ابتوساينت صيانه 5 اجهزه ميكرسكوب</t>
  </si>
  <si>
    <t>شركة المنى للاجهزه العلمية صيانة جهازين فرن تعقيم</t>
  </si>
  <si>
    <t>شركة المنى للاجهزه العلمية صيانة جهازين ديب فريزر</t>
  </si>
  <si>
    <t>الادارة المركزية للبحوث والتنمية الصحية مقابل تسجيل مركز الابحاث الاكلينكية</t>
  </si>
  <si>
    <t>الشركة المتحدة للانظمه والاتصالات صيانة انذار ضد الحريق بمركز ابحاث طبية</t>
  </si>
  <si>
    <t>شركة ديجيتك صيانة ماكينة تصوير زيروكس</t>
  </si>
  <si>
    <t>شركة نوركولينج اصلاح التكييفات</t>
  </si>
  <si>
    <t>شركة ايجى ميديكا صيانة 396 ميكرسكوب</t>
  </si>
  <si>
    <t>شركة ميرج ميد صيانة اجهزة بقسم ميكروبيولوجى</t>
  </si>
  <si>
    <t xml:space="preserve">دعم رسائل مى عبد السلام </t>
  </si>
  <si>
    <t>دعم رسائل ندا محمد محمد</t>
  </si>
  <si>
    <t>دعم رسائل هايدى حافظ</t>
  </si>
  <si>
    <t>فاطمة الزهراء فتحى شراء كيماويات</t>
  </si>
  <si>
    <t>سارة صلاح السيد (شركة فاروس )</t>
  </si>
  <si>
    <t xml:space="preserve">شركة كلينلاب </t>
  </si>
  <si>
    <t>سالم محمد سالم شراء ساليزون لكورس طب الفم</t>
  </si>
  <si>
    <t>لاب فقط</t>
  </si>
  <si>
    <t>المعهد القومى للقياس والمعايرة قيمة اختبار الكفاءه الفنية pt لمشروع معمل القياسات الدقيقة</t>
  </si>
  <si>
    <t>استكمال تدريس مانشيستر خريف ا ه ت</t>
  </si>
  <si>
    <t>استكمال تدريس  خريف معيدين</t>
  </si>
  <si>
    <t>استكمال ساعات سكاشن ا ه ت</t>
  </si>
  <si>
    <t>استكمال تدريس  خريف ا ه ت</t>
  </si>
  <si>
    <t>ج اضافية خريف اطباء</t>
  </si>
  <si>
    <t>ج اضافية خريف معيدين واداريين</t>
  </si>
  <si>
    <t>ج ماليزى خريف حكيمات</t>
  </si>
  <si>
    <t>ج ماليزى خريف خدمات معاونة</t>
  </si>
  <si>
    <t>ج بيانات وافدين اداريين</t>
  </si>
  <si>
    <t>ج اضافية امتحانات خريف فنين</t>
  </si>
  <si>
    <t>ج اضافية خريف مؤقتين</t>
  </si>
  <si>
    <t>ج بيانات وافدين مؤقتين</t>
  </si>
  <si>
    <t>ج لجنة اخلاقيات ديسمبر</t>
  </si>
  <si>
    <t>م مشاركين فى تدريس مانشيستر</t>
  </si>
  <si>
    <t>مكافاه اطباءمقيمين بمعهد البحوث</t>
  </si>
  <si>
    <t>ج العمال فى تجهيز الحفل</t>
  </si>
  <si>
    <t>م بعد المواعيد تعليم الكترونى</t>
  </si>
  <si>
    <t>مكافاه مطبعة الجامعه</t>
  </si>
  <si>
    <t>مكافاه مامورية محمد سعيد</t>
  </si>
  <si>
    <t>مكافاه منسق دراسات عليا</t>
  </si>
  <si>
    <t>م حفل تخرج</t>
  </si>
  <si>
    <t>م اشراف ديزل شامبليون</t>
  </si>
  <si>
    <t>م متابعة مبانى ادارة هندسية</t>
  </si>
  <si>
    <t>م مامورية منصور بشير</t>
  </si>
  <si>
    <t>م مامورية محمد سعيد</t>
  </si>
  <si>
    <t>م اعمال مكتب وكيل</t>
  </si>
  <si>
    <t>م تسجيل طلاب وافدين</t>
  </si>
  <si>
    <t>م تسجيل طلاب مصريين</t>
  </si>
  <si>
    <t>م تحضير لجان مكتب وكيل</t>
  </si>
  <si>
    <t>م بعد المواعيد مكتب الوكيل</t>
  </si>
  <si>
    <t>مكافاه الشفوى</t>
  </si>
  <si>
    <t>ج ايرادات مركز الابحاث</t>
  </si>
  <si>
    <t>مكافاه اعمال امتحانات</t>
  </si>
  <si>
    <t>مكافاه بعد المواعيد مكتب اوكيل</t>
  </si>
  <si>
    <t>م العمل بعد المواعيد</t>
  </si>
  <si>
    <t>مكافاه الماليزى مارس</t>
  </si>
  <si>
    <t>ج الاطباء المقيمين ف 5</t>
  </si>
  <si>
    <t>مكافاه مراجعات</t>
  </si>
  <si>
    <t>م ملاحظه امتحانات</t>
  </si>
  <si>
    <t>اضافى مؤقتين يونيه</t>
  </si>
  <si>
    <t>ج مدير اكاديمى فارم دى</t>
  </si>
  <si>
    <t>ج دعم فنى وصيانه بيانات</t>
  </si>
  <si>
    <t>قرض حسن</t>
  </si>
  <si>
    <t>مكافاه عمال يوميه غير متعاقدين مارس</t>
  </si>
  <si>
    <t>حافز اعتماد / حنان محمد رفعت</t>
  </si>
  <si>
    <t>ج نقل المكتبة</t>
  </si>
  <si>
    <t>مكافاه ساعات معتمدة جراحه اطفال</t>
  </si>
  <si>
    <t>شركة لايك لتوريدات العمومية شراء 1000 برشور 4 لون لماجستير طب الاسنان</t>
  </si>
  <si>
    <t>وزارة الدفاع - جهاز مشروعات الخدمة الوطنية اعمال نظافه من 18/1/2024 حتى 17/2/2024</t>
  </si>
  <si>
    <t>مكة للتوريدات العمومية قيمه شراء 250 بطارية</t>
  </si>
  <si>
    <t>دعم رسائل نهال سمير ابراهيم</t>
  </si>
  <si>
    <t>صندوق مطبعة الجامعة الاسكندرية طبع دفاتر نماذج فارم دى</t>
  </si>
  <si>
    <t xml:space="preserve">سلفة مؤقته / محمد صديق </t>
  </si>
  <si>
    <t>ورثة لبيب دميان يوسف اصلاح جهاز ميزان</t>
  </si>
  <si>
    <t>شركة مصر لصناعة التبريد والتكييف شراء 2 جهاز تكييف</t>
  </si>
  <si>
    <t xml:space="preserve">القمة للمشروعات الهندسية </t>
  </si>
  <si>
    <t>شركة مجد للمقاولات والتوريدات قيمة فرش معامل قسم ميكروبيولوجى</t>
  </si>
  <si>
    <t>رد ضمان شركة الاجهزه العلمية والطبية - نوح</t>
  </si>
  <si>
    <t>استقطاع وثيقة التامين الاجتماعى المختلط (خ ت اسنان + خ عامة )</t>
  </si>
  <si>
    <t>استقطاع وثيقة التامين الاجتماعى المختلط (خ ت صيدلة + اكلينكى )</t>
  </si>
  <si>
    <t>استقطاع القرض الحسن يناير (اكلينكى + خ ت صيدلة )</t>
  </si>
  <si>
    <t>ج شيكات نهاية خريف اداريين</t>
  </si>
  <si>
    <t>م تحضير امتحانات خريف نهله محمد (ادارى )</t>
  </si>
  <si>
    <t>م امتحان ذاتى عائشه سعيد</t>
  </si>
  <si>
    <t>م امتحان ذاتى معيدين</t>
  </si>
  <si>
    <t>م امتحان ذاتى ا ه ت</t>
  </si>
  <si>
    <t>مكافاه تحصيل الكترونى</t>
  </si>
  <si>
    <t>مستحقات العاملين بمركز ابحاث اكلينكيه</t>
  </si>
  <si>
    <t>مكافاه شؤن قانونيه بعد المواعيد</t>
  </si>
  <si>
    <t>مكافاه تبادل طلابى</t>
  </si>
  <si>
    <t>مكافاه ادارة هندسية</t>
  </si>
  <si>
    <t>مكافاه ارتباط مالى عمرو المليجى</t>
  </si>
  <si>
    <t>مكافاه وحده الاضابير</t>
  </si>
  <si>
    <t>مكافاه اشراف شؤن عامه</t>
  </si>
  <si>
    <t>مكافاه قاعدة بيانات قسم الاتصالات</t>
  </si>
  <si>
    <t>مكافاه دعم طلاب</t>
  </si>
  <si>
    <t>ج هيئه تدريس</t>
  </si>
  <si>
    <t>مكافاه حفل مؤتمر الكلية</t>
  </si>
  <si>
    <t>مكافاه تصوير محاضرات</t>
  </si>
  <si>
    <t>مكافاه خدمة المواطنين</t>
  </si>
  <si>
    <t>مكافاه بعد مواعيد لطباعه امتحانات</t>
  </si>
  <si>
    <t>مكافاه امتحانات لمسجون برج العرب</t>
  </si>
  <si>
    <t>مكافاه مساعدين وكلاء</t>
  </si>
  <si>
    <t>مكافاه موقع الكترونى مانشيستر</t>
  </si>
  <si>
    <t>مكافاه وحده قياس تقويم</t>
  </si>
  <si>
    <t>مستحقات الكيمايئين ابحاث طبية</t>
  </si>
  <si>
    <t>مكافاه بعد المواعيد مكتب وكيل</t>
  </si>
  <si>
    <t>مكافاه لجان دراسات عليا</t>
  </si>
  <si>
    <t>مكافاه استكمال عب تدريس حكيمات واداريين برنامج</t>
  </si>
  <si>
    <t>ج شيكات نهايه الخريف مؤقتين</t>
  </si>
  <si>
    <t xml:space="preserve">مراجعات نظريه دولى </t>
  </si>
  <si>
    <t>مكافاه امتحان وافدين</t>
  </si>
  <si>
    <t>مكافاه كنترول فصل اول</t>
  </si>
  <si>
    <t>محاضرات نظرية قسم الاشعه</t>
  </si>
  <si>
    <t>عب تدريس قسم فسيولوجى</t>
  </si>
  <si>
    <t>ج خدمات صيفى مؤقتين</t>
  </si>
  <si>
    <t>ج خدمات صيفى اداريين</t>
  </si>
  <si>
    <t xml:space="preserve">دراسات </t>
  </si>
  <si>
    <t>استرداد سامح عبد العاطى حسن ماجستير زراعة اسنان</t>
  </si>
  <si>
    <t>شركة سيرفوميد صيانة 70 وحده اسنان من 13/10/2023 الى 12/12/2023</t>
  </si>
  <si>
    <t>الشركة الدولية للاتصالات ونظم المعلومات شراء مستلزمات الكترونية لكاميرات المراقبه</t>
  </si>
  <si>
    <t>شركة فاروس شراء كيماويات لمعمل هندسة الانسجه</t>
  </si>
  <si>
    <t>سالم محمد سالم شراء ادوات كتابية</t>
  </si>
  <si>
    <t xml:space="preserve">مؤسسه الفتح للتوريدات عدد 100 كرتونه لمبات </t>
  </si>
  <si>
    <t>ايكوال للتجارة والتوريدات شراء ساليزون كورس غرس</t>
  </si>
  <si>
    <t>دعم رسائل / هايدى حافظ</t>
  </si>
  <si>
    <t>شركة داياكيم شراء كيماويات</t>
  </si>
  <si>
    <t>سلفة مؤقته/ هويدا مصطفى عبد الرحيم</t>
  </si>
  <si>
    <t>مرتبات العاملين بنظام الشيفت مارس</t>
  </si>
  <si>
    <t>ج المستعان بهم مارس</t>
  </si>
  <si>
    <t>ج المستعان بهم فبراير</t>
  </si>
  <si>
    <t>مكافاه جوده فبراير</t>
  </si>
  <si>
    <t>مكافاه فصل دراسى اول</t>
  </si>
  <si>
    <t>مكافاه العاملين بالكلية مارس</t>
  </si>
  <si>
    <t>مكافاه المدير التنفيذى بالمواساه</t>
  </si>
  <si>
    <t>مكافاه منسقين البرنامج العام</t>
  </si>
  <si>
    <t>مكافاه الجهاز الادارى مارس</t>
  </si>
  <si>
    <t>مكافاه الهيكل الادارى مارس</t>
  </si>
  <si>
    <t>مكافاه صيانه اجهزه مروه احمد</t>
  </si>
  <si>
    <t>مكافاه كشف طبى</t>
  </si>
  <si>
    <t>ج تمريض ابحاث اكلينكية</t>
  </si>
  <si>
    <t>ج تمريض والهيئه المعاونه</t>
  </si>
  <si>
    <t>مستحقات مركز ابحاث اكلينكية</t>
  </si>
  <si>
    <t>مكافاه بروتوكول ابحاث اكلينكيه</t>
  </si>
  <si>
    <t>ج برنامج مانشيستر</t>
  </si>
  <si>
    <t>مكافاه العميد فبراير</t>
  </si>
  <si>
    <t>مكافاه المدير التنفيذى فبراير</t>
  </si>
  <si>
    <t>مكافاه العاملين بالمركز فبراير</t>
  </si>
  <si>
    <t>مكافاه د/ بسام فؤاد مراقب مالى</t>
  </si>
  <si>
    <t>مكافاه مناقشه ماجستير</t>
  </si>
  <si>
    <t>مكافاه خدمة عامه ديسمبر</t>
  </si>
  <si>
    <t>مكافاه كورس الغرس من 12/12/2023</t>
  </si>
  <si>
    <t>ج هند رضا مارس</t>
  </si>
  <si>
    <t>دعم رسائل استر مراد</t>
  </si>
  <si>
    <t>شركة الاندلس للمقاولات صيانه المدرجات بالمواساه</t>
  </si>
  <si>
    <t>شركة الاندلس للمقاولات اصلاح الهبوط بالمبنى الاكاديمى</t>
  </si>
  <si>
    <t>اجمالى 16/3/2024</t>
  </si>
  <si>
    <t>18/3/2024</t>
  </si>
  <si>
    <t>رعايه طفل مؤقتين</t>
  </si>
  <si>
    <t>اجمالى 17/3/2024 بيرول</t>
  </si>
  <si>
    <t xml:space="preserve">فندق تواليب حفل الافطار الجماعى </t>
  </si>
  <si>
    <t>مكافاه اعمال امتحان خريف</t>
  </si>
  <si>
    <t>مكافاه تدريس برامج</t>
  </si>
  <si>
    <t>مكافاه اعمال امتحانات اكتوبر ونوفمبر</t>
  </si>
  <si>
    <t>مكافاه اعداد نتيجه فصل خريف</t>
  </si>
  <si>
    <t>مكافاه امتياز نوفمبر</t>
  </si>
  <si>
    <t>مكافاه امتياز ديسمبر</t>
  </si>
  <si>
    <t>مكافاه وحده التعليم والخدمه العامه يناير</t>
  </si>
  <si>
    <t>مكافاه 75% كادر يناير فصل موازنه</t>
  </si>
  <si>
    <t>مكافاه 75% كادر يناير خدمات معاونه</t>
  </si>
  <si>
    <t>مكافاه 75% كادر يناير عقود يوميه</t>
  </si>
  <si>
    <t>مكافاه نتيجه فصل صيفى</t>
  </si>
  <si>
    <t>رد ضمان اعمال تارجت تكنولوجى برنامج دولى بمبلغ 165.3ج +ص اكلينكى بمبلغ 641.25 ج</t>
  </si>
  <si>
    <t>كسب عمل فبراير</t>
  </si>
  <si>
    <t>دمغه عاديه فبراير</t>
  </si>
  <si>
    <t>ضرائب متنوعه فبراير</t>
  </si>
  <si>
    <t>تنمية موارد فبراير</t>
  </si>
  <si>
    <t>ج الاضابير عمرو جابرمارس</t>
  </si>
  <si>
    <t>اجمالى 21/3/2024</t>
  </si>
  <si>
    <t>الغاء استماره 639 بتاريخ 3/8/2023</t>
  </si>
  <si>
    <t>الغاء استماره 2124 فى 20/9/2023</t>
  </si>
  <si>
    <t>الغاء استماره 3570 فى 23/11/2024</t>
  </si>
  <si>
    <t>الغاء استماره 5795 فى 21/12/2023</t>
  </si>
  <si>
    <t>الغاء استماره 6447 فى 9/1/2024</t>
  </si>
  <si>
    <t>الغاء استماره 3843 فى تاريخ 24/10/2024</t>
  </si>
  <si>
    <t xml:space="preserve">اجمالى 23/3/2024 </t>
  </si>
  <si>
    <t>23/3/2024</t>
  </si>
  <si>
    <t>عكس استماره 6101 فى 1/1/2024 عموله تحصيل</t>
  </si>
  <si>
    <t>اجمالى 23/3/2024 بيرول</t>
  </si>
  <si>
    <t>ج سفر الشراء الموحد (اداريين)</t>
  </si>
  <si>
    <t>ج قسم المشتريات فبراير</t>
  </si>
  <si>
    <t>ج عن اصلاح كابل الكهرباء قسم اسنان اطفال (فنيين )</t>
  </si>
  <si>
    <t>مكافاه اعمال متميزه فريق عمل مارس (اداريين )</t>
  </si>
  <si>
    <t>مكافاه اعمال متميزه فريق عمل مارس (مؤقتين )</t>
  </si>
  <si>
    <t>بيان فريق العمل مارس (مؤقتين )</t>
  </si>
  <si>
    <t>بيان فريق العمل مارس (اداريين )</t>
  </si>
  <si>
    <t>ج وحده الامن فبراير</t>
  </si>
  <si>
    <t>مكافاه انتظام حصص عمليه عياده الحضرى فبراير (حكيمات وفنيين )</t>
  </si>
  <si>
    <t>مكافاه انتظام حصص عمليه عياده الحضرى فبراير (خدمات معاونه )</t>
  </si>
  <si>
    <t>مكافاه انتظام حصص عمليه عياده الحضرى فبراير (مؤقتين)</t>
  </si>
  <si>
    <t>ج تسجيل ض قيمه مضافه يناير وفبراير (ادارى )</t>
  </si>
  <si>
    <t>ج سكاشن ليلية فبراير(فصل موازنه )</t>
  </si>
  <si>
    <t>ج سكاشن ليلية فبراير(حكيمات )</t>
  </si>
  <si>
    <t>مكافاه ساعات اضافية فبراير اداريين</t>
  </si>
  <si>
    <t>مكافاه المشاركه فى الماليزى فبراير فنيين</t>
  </si>
  <si>
    <t>مكافاه المشاركه فى الماليزى فبراير ادارى</t>
  </si>
  <si>
    <t>ج قسم الخزينه فبراير</t>
  </si>
  <si>
    <t>ج سكرتارية شؤن قانونيه من ديسمبر حتى فبراير</t>
  </si>
  <si>
    <t>ج قسم الاضابير فبراير</t>
  </si>
  <si>
    <t>مكافاه اعمال اضافيه عام خريف ادارى</t>
  </si>
  <si>
    <t>ج شفه ارنبيه فبراير حكيمات</t>
  </si>
  <si>
    <t>ج المؤتمر العلمى اداريين وحكيمات</t>
  </si>
  <si>
    <t xml:space="preserve">ج مزارع الكليه يناير وفبراير </t>
  </si>
  <si>
    <t>ج المراجعه اللاحقه استحقاقات فبراير</t>
  </si>
  <si>
    <t>ج الشؤن الاداريه فبراير (اداريين )</t>
  </si>
  <si>
    <t>حافز امن فبراير</t>
  </si>
  <si>
    <t>ج الشؤن الاداريه فبراير (مؤقتين)</t>
  </si>
  <si>
    <t>ج دولى فبراير عن تفعيل منظومه الدفع (مؤقتين )</t>
  </si>
  <si>
    <t>مكافاه المشاركة فى الماليزى فبراير (مؤقتين )</t>
  </si>
  <si>
    <t>ج ساعات اضافيه فبراير (مؤقتين )</t>
  </si>
  <si>
    <t>مكافاه حضور مجلس اداره مارس ا ه ت</t>
  </si>
  <si>
    <t>مكافاه بيان قيادات البرنامج مارس</t>
  </si>
  <si>
    <t>مكافاه انتظام عملى دراسات فبراير (حكيمات )</t>
  </si>
  <si>
    <t>مكافاه انتظام عملى دراسات فبراير (فصل موازنه +خدمات معاونه )</t>
  </si>
  <si>
    <t>مكافاه منسقى مقرارات عام</t>
  </si>
  <si>
    <t>م امتحان ذاتى فرحه ناجى</t>
  </si>
  <si>
    <t>مكافاه منسقى مانشيستر</t>
  </si>
  <si>
    <t xml:space="preserve">ج مركز ابحاث </t>
  </si>
  <si>
    <t>مكافاه ورشه عمل ابحاث طبيه</t>
  </si>
  <si>
    <t>مكافاه سكرتاريه جروب</t>
  </si>
  <si>
    <t>مكافاه اشراف محاضرات</t>
  </si>
  <si>
    <t>مكافاه طباعه امتحانات</t>
  </si>
  <si>
    <t xml:space="preserve">مكافاه الساده العاملين مارس </t>
  </si>
  <si>
    <t>مكافاه علاقات عامه حفل تخرج</t>
  </si>
  <si>
    <t>مكافاه مؤتمر خارجى</t>
  </si>
  <si>
    <t>ج مؤتمر الكليه</t>
  </si>
  <si>
    <t>مكافاه اعداد بيانات ا ه ت</t>
  </si>
  <si>
    <t>مكافاه ماموريات محمد سعيد</t>
  </si>
  <si>
    <t>ج اعمال معاونه مارس</t>
  </si>
  <si>
    <t>مكافاه مساعدين وكلاء دراسات عليا</t>
  </si>
  <si>
    <t>مكافاه متابعه /سيناء عبد الرحيم</t>
  </si>
  <si>
    <t>مكافاه منسقين مانشيستر</t>
  </si>
  <si>
    <t>مكافاه العاملين بالكليه مارس</t>
  </si>
  <si>
    <t>مكافاه كشف طبى ثانى</t>
  </si>
  <si>
    <t>مكافاه علاقات عامه مؤتمر الكليه</t>
  </si>
  <si>
    <t>ج مكتب خدمه ا ه ت</t>
  </si>
  <si>
    <t>مكافاه تشجعيه للارشيف</t>
  </si>
  <si>
    <t>ج قسم الارشيف</t>
  </si>
  <si>
    <t>مكافاه نوباتجيه ديزل شامبليون</t>
  </si>
  <si>
    <t>مكافاه متابعه ابنيه بالمواساه</t>
  </si>
  <si>
    <t>ج مشال راك خارجى</t>
  </si>
  <si>
    <t>مكافاه حفل تخرج شؤن خريجين</t>
  </si>
  <si>
    <t>مكافاه تدريب اطباء امتياز</t>
  </si>
  <si>
    <t>مكافاه 75% كادر فبراير فصل موازنه</t>
  </si>
  <si>
    <t>مكافاه 75% كادر فبراير خدمات معاونه</t>
  </si>
  <si>
    <t>مكافاه 75% كادر فبراير عقود يوميه</t>
  </si>
  <si>
    <t>سلفة مؤقته / منصور بشير</t>
  </si>
  <si>
    <t>بدل انتقال علا ابراهيم</t>
  </si>
  <si>
    <t>بدل انتقال جيهان محمد</t>
  </si>
  <si>
    <t>بدل انتقال حنان صابر</t>
  </si>
  <si>
    <t>بدل انتقال رشا عرفه</t>
  </si>
  <si>
    <t>ايمان محمد مكاوى استرداد ماتم دفعه مقابل اشتراك النت</t>
  </si>
  <si>
    <t>شركه المنى للاجهزه العلميه والطبيه صيانه فرن</t>
  </si>
  <si>
    <t>الشركه الفرنسيه للمصاعد صيانه مصاعد من ديسمبر 2023 الى فبراير 2024</t>
  </si>
  <si>
    <t>15378م</t>
  </si>
  <si>
    <t>رد تامين نهائى الهيئه العربيه للتصنيع عن جهاز ليزر</t>
  </si>
  <si>
    <t>استقطاع القرض الحسن صيدلة فبراير</t>
  </si>
  <si>
    <t>استقطاع وثيقة التامين الاجتماعى المختلط صيدلة فبراير</t>
  </si>
  <si>
    <t>استقطاع وثيقة التامين الاجتماعى المختلط طب فبراير</t>
  </si>
  <si>
    <t>استقطاع وثيقة التامين الاجتماعى المختلط اسنان فبراير (خ عامه + خ ت + اختبار +علاج تخصصى )</t>
  </si>
  <si>
    <t>مكافاه 75% كادر يناير حكيمات</t>
  </si>
  <si>
    <t>مكافاه 75% كادر يناير فنيين واداريين</t>
  </si>
  <si>
    <t>مكافاه 75% كادر يناير ايمن فاروق</t>
  </si>
  <si>
    <t>مكافاه 75% كادر يناير فنيين وخدمات معاونه</t>
  </si>
  <si>
    <t>مكافاه 75% كادر يناير اداريين</t>
  </si>
  <si>
    <t>مكافاه 75% كادر فبراير حكيمات</t>
  </si>
  <si>
    <t>ج سكاشن ليليه فبراير مؤقتين</t>
  </si>
  <si>
    <t>ج وحده الامن فبراير عبد الحليم محمد</t>
  </si>
  <si>
    <t>فرق اعمال متميزه مارس ساره مصطفى</t>
  </si>
  <si>
    <t>ج الاضابير فبراير</t>
  </si>
  <si>
    <t xml:space="preserve">اعاده ادخال استماره 9440 </t>
  </si>
  <si>
    <t>استمارات فارغه</t>
  </si>
  <si>
    <t>تعديل استماره 9003</t>
  </si>
  <si>
    <t>الغاء استماره 9003</t>
  </si>
  <si>
    <t>اجمالى 24/3/2024</t>
  </si>
  <si>
    <t>استقطاع اورانج</t>
  </si>
  <si>
    <t xml:space="preserve">بيرول </t>
  </si>
  <si>
    <t>اجمالى 25/3/2024</t>
  </si>
  <si>
    <t>بتاريخ 23/3/2024</t>
  </si>
  <si>
    <t>بتاريخ 31/3/2024</t>
  </si>
  <si>
    <t>عكس استماره 8938</t>
  </si>
  <si>
    <t>عكس استماره 9440</t>
  </si>
  <si>
    <t>تعديل بنود 75 فبراير</t>
  </si>
  <si>
    <t>تعديل بند الباب الثانى فى تسويات مايعادل بالدولار رقم 373+374+375</t>
  </si>
  <si>
    <t>مبلغ صرف بالزيادة نهضه مصر لرفع المخلفات باستماره 7803 فى 8/2/2024</t>
  </si>
  <si>
    <t>بتاريخ 6/3/2024</t>
  </si>
  <si>
    <t>تعديل استماره 8693 فى 6/3/2024 باضافه قيد السلفه المؤقته</t>
  </si>
  <si>
    <t>اجمالى 13/3/2024 تسويات</t>
  </si>
  <si>
    <t>قيد تضمنى  لمرتبات ا ه ت واداريين من ديسمبر الى يناير</t>
  </si>
  <si>
    <t xml:space="preserve">اجمالى 26/3/2024 تسويات </t>
  </si>
  <si>
    <t xml:space="preserve"> سداد سلفه مؤقته / كريمه عبد الستار</t>
  </si>
  <si>
    <t>سداد سلفه مؤقته / رحاب عبد الله</t>
  </si>
  <si>
    <t>سداد سلفه مؤقته / انجى عبد الغنى</t>
  </si>
  <si>
    <t xml:space="preserve">سداد سلفه مؤقته / ياسمين عصام الدين </t>
  </si>
  <si>
    <t xml:space="preserve">سداد سلفه مؤقته / هويدا مصطفى </t>
  </si>
  <si>
    <t xml:space="preserve">سداد سلفه مؤقته / مصطفى احمد عبده </t>
  </si>
  <si>
    <t>سداد سلفه مؤقته / احمد حسين علوانى</t>
  </si>
  <si>
    <t xml:space="preserve">سداد سلفه مؤقته / رشا رشدى </t>
  </si>
  <si>
    <t>الهيئه المصريه للشراء الموحد قيمه شراء كيماويات</t>
  </si>
  <si>
    <t xml:space="preserve">فندق تيوليب </t>
  </si>
  <si>
    <t>تعديل استماره 6828 بتاريخ 16/1/2024</t>
  </si>
  <si>
    <t>ق توريد 855507</t>
  </si>
  <si>
    <t>ق توريد 855511</t>
  </si>
  <si>
    <t>ق توريد 855513</t>
  </si>
  <si>
    <t>ق توريد 855509</t>
  </si>
  <si>
    <t>ق توريد 855515</t>
  </si>
  <si>
    <t>ق توريد 855903</t>
  </si>
  <si>
    <t>ق توريد 855998</t>
  </si>
  <si>
    <t>ق توريد 855901</t>
  </si>
  <si>
    <t>ق توريد 855505</t>
  </si>
  <si>
    <t>ق توريد 855996</t>
  </si>
  <si>
    <t>ق توريد 855503</t>
  </si>
  <si>
    <t>ق توريد 858348</t>
  </si>
  <si>
    <t>ق توريد 858349</t>
  </si>
  <si>
    <t>ق توريد 855504</t>
  </si>
  <si>
    <t>ق توريد 855997</t>
  </si>
  <si>
    <t>ق توريد 855999</t>
  </si>
  <si>
    <t>ق توريد 855902</t>
  </si>
  <si>
    <t>ق توريد 855506</t>
  </si>
  <si>
    <t>ق توريد 855508</t>
  </si>
  <si>
    <t>ق توريد 855512</t>
  </si>
  <si>
    <t>ق توريد 855514</t>
  </si>
  <si>
    <t>ق توريد 855510</t>
  </si>
  <si>
    <t>ق توريد 855516</t>
  </si>
  <si>
    <t>ق توريد 855904</t>
  </si>
  <si>
    <t>ق توريد 855517</t>
  </si>
  <si>
    <t>خطاب ضمان ساميت للحلول والتقنيه (صيدلة )</t>
  </si>
  <si>
    <t>من وحده صناديق الى وحده مديونيات باقى سلفه منصور بشير  (برنامج دولى )ورشيد الصاوى (ماليزى اسنان )</t>
  </si>
  <si>
    <t xml:space="preserve">سداد سلفه مؤقته / فريد مصطفى محمد </t>
  </si>
  <si>
    <t>هيئه البريد المصرى شراء طابع فئه 1</t>
  </si>
  <si>
    <t xml:space="preserve">سان جوفانى </t>
  </si>
  <si>
    <t>المطابع الاميريه شراء نماذج دفاتر</t>
  </si>
  <si>
    <t>تسويه بما تم صرفه من ص خ ت صيدله لحساب رعاية الشباب باستماره 8698 فى 6/3/2024 (سجلات فقط )</t>
  </si>
  <si>
    <t>مبلغ تم تحويله من ح / ضمان اعمال الى ح / ايرادات ص اكلينكى بالخطا ويخص ماليزى اسنان  ( سجلات فقط )</t>
  </si>
  <si>
    <t>مبلغ م .دراسيه تصرف من ص تكافل صيدله تم صرفها من دائن صيدله اكلينكى باستماره 10987 (سجلات فقط )</t>
  </si>
  <si>
    <t>الغاء تسويه رقم 269 بتاريخ 30/1/2024 سلفه احمد طلعت</t>
  </si>
  <si>
    <t>مصلحه سك عمله شراء حباره لباد ختم شعار الجمهورية</t>
  </si>
  <si>
    <t>اجمالى 27/3/2024 تسويات</t>
  </si>
  <si>
    <t>31/3/2024</t>
  </si>
  <si>
    <t>وحدة حسابية مدفوعات ذاتى مارس</t>
  </si>
  <si>
    <t>وحدة حسابية صناديق مارس</t>
  </si>
  <si>
    <t>تعديل بنود</t>
  </si>
  <si>
    <t>تعديل بنود استماره 75 مارس</t>
  </si>
  <si>
    <t xml:space="preserve">ماليزى اسنان </t>
  </si>
  <si>
    <t>من الايراد الى اوامر دفع شركه نهضه مصر تعديل لاستماره 7803 فى 8/2/2024</t>
  </si>
  <si>
    <t>اجمالى 31/3/2024 تسويات</t>
  </si>
  <si>
    <t>استقطاع اتصالات جروب شهر يناير</t>
  </si>
  <si>
    <t>الهيئه القوميه للتامين الاجتماعى (معاشات يناير )</t>
  </si>
  <si>
    <t>ضريبه الدمغه يناير</t>
  </si>
  <si>
    <t>استقطاع صندوق دعم ذوى الاعاقه يناير</t>
  </si>
  <si>
    <t>استقطاع شركه مصر لتامينات الحياه يناير</t>
  </si>
  <si>
    <t>استقطاع اورانج يناير</t>
  </si>
  <si>
    <t>استقطاع صندوق التكافل الاجتماعى يناير</t>
  </si>
  <si>
    <t>استقطاع اشتراك اللجنه النقابيه يناير</t>
  </si>
  <si>
    <t>استقطاع اتوبيس الجامعه يناير</t>
  </si>
  <si>
    <t>استقطاع جمعيه الخدمات يناير</t>
  </si>
  <si>
    <t>استقطاع تامين علاجى يناير</t>
  </si>
  <si>
    <t>استقطاع قرض تكافل يناير</t>
  </si>
  <si>
    <t>استقطاع نقابه العاملين  يناير</t>
  </si>
  <si>
    <t>استقطاع النقابه العامه يناير</t>
  </si>
  <si>
    <t>استقطاع اللجنه النقابيه يناير</t>
  </si>
  <si>
    <t>استقطاع سيجينال يناير</t>
  </si>
  <si>
    <t>استقطاع صندوق تكريم الشهداء يناير</t>
  </si>
  <si>
    <t>ضريبه الدخل يناير</t>
  </si>
  <si>
    <t>اجمالى 1/2/2024 بيرول</t>
  </si>
  <si>
    <t>وعاء يناير</t>
  </si>
  <si>
    <t>مستحقات ورثه /ايمان حسن</t>
  </si>
  <si>
    <t>تدريس صيفى كورس ccc فرقة خامسه (ورثه المرحومه مبيله الخضرى )</t>
  </si>
  <si>
    <t>تدريس كورس ccc فرقه خامسه ا ه ت</t>
  </si>
  <si>
    <t>مكافاه استكمال تدريس اطباء</t>
  </si>
  <si>
    <t>مكافاه استكمال تدريس عملى فرقه ثالثه معيدين</t>
  </si>
  <si>
    <t>مكافاه استكمال تدريس ا ه ت</t>
  </si>
  <si>
    <t>على الgf 7297</t>
  </si>
  <si>
    <t>مكافاه مجلس اداره يناير ا ه ت</t>
  </si>
  <si>
    <t>على الgf 7296</t>
  </si>
  <si>
    <t>جهود كشف مرضى حضرى اطباء</t>
  </si>
  <si>
    <t>جهود ماليزى خريف طب الفم اداريين</t>
  </si>
  <si>
    <t>جهود ماليزى خريف طب اطفال اداريين</t>
  </si>
  <si>
    <t xml:space="preserve">جهود ماليزى خريف امن </t>
  </si>
  <si>
    <t>جهود ماليزى خريف مواد حيويه حكيمات</t>
  </si>
  <si>
    <t>جهود ماليزى خريف بيولوجى اداريين</t>
  </si>
  <si>
    <t>جهود ماليزى خريف مصاعد اداريين</t>
  </si>
  <si>
    <t>جهود ماليزى خريف قسم معاشات</t>
  </si>
  <si>
    <t>جهود ماليزى خريف طب الفم حكيمات وفنيين</t>
  </si>
  <si>
    <t>جهود ماليزى خريف طب اطفال حكيمات</t>
  </si>
  <si>
    <t>جهود ماليزى خريف باثولوجى اداريين</t>
  </si>
  <si>
    <t>جهود سجلات قسم الاستحقاقات</t>
  </si>
  <si>
    <t>جهود ماليزى خريف جراحه حكيمات</t>
  </si>
  <si>
    <t>جهود اصلاح كمبروسور فنيين</t>
  </si>
  <si>
    <t>جهود ماليزى خريف تقويم حكيمات</t>
  </si>
  <si>
    <t>جهود ماليزى خريف تقويم خدمات معاونه</t>
  </si>
  <si>
    <t>جهود ماليزى خريف استعاضه حكيمات</t>
  </si>
  <si>
    <t>جهود ماليزى خريف حكيمات دولى</t>
  </si>
  <si>
    <t>جهود ماليزى خريف جراحه سكرتاريه</t>
  </si>
  <si>
    <t>جهود ماليزى خريف جراحه اداريين</t>
  </si>
  <si>
    <t>جهود ماليزى خريف مواد حيويه فصل موازنه</t>
  </si>
  <si>
    <t>جهود ماليزى خريف مصاعد مؤقتين</t>
  </si>
  <si>
    <t>جهود ماليزى خريف بيولوجى مؤقتين</t>
  </si>
  <si>
    <t>جهود ماليزى خريف مدرجات فصل موازنه</t>
  </si>
  <si>
    <t>جهود ماليزى خريف باثولوجى مؤقتين</t>
  </si>
  <si>
    <t>جهود سجلات قسم الاستحقاقات مؤقتين</t>
  </si>
  <si>
    <t>جهود اصلاح كمبروسور مؤقتين</t>
  </si>
  <si>
    <t>جهود ماليزى خريف استعاضه مؤقتين</t>
  </si>
  <si>
    <t>جهود ماليزى خريف دولى فصل موازنه</t>
  </si>
  <si>
    <t xml:space="preserve">مكافاه اعانه اجتماعيه </t>
  </si>
  <si>
    <t>مكافاه المجمع التعليمى بالعيادات</t>
  </si>
  <si>
    <t xml:space="preserve">مكافاه القائم باعمال التجنيد </t>
  </si>
  <si>
    <t>مكافاه قسم الكنترول</t>
  </si>
  <si>
    <t>مكافاه العميد والوكيل</t>
  </si>
  <si>
    <t>مكافاه قسم الاضابير والتليفون</t>
  </si>
  <si>
    <t>مكافاه قسم التليفونات</t>
  </si>
  <si>
    <t>مكافاه القائم على منفذ التحصيل</t>
  </si>
  <si>
    <t>مكافاه قسم الشؤن القانونيه</t>
  </si>
  <si>
    <t>اجمالى 1/2/2024</t>
  </si>
  <si>
    <t xml:space="preserve">سلفه مؤقته / رحاب عبدالله </t>
  </si>
  <si>
    <t>بدل انتقال احمد حسن عبد الرحيم</t>
  </si>
  <si>
    <t>بدل انتقال وليد حسنى</t>
  </si>
  <si>
    <t>المبلغ المستحق وحده كليه زراعه</t>
  </si>
  <si>
    <t>مجد للمقاولات والتوريدات تركيب وتصليح تند</t>
  </si>
  <si>
    <t>مجدى حافظ متولى توريد وتركيب 18 متر قنال تكس لغرفه برنامج مانشيستر</t>
  </si>
  <si>
    <t>دعم رسائل ربيع محمد حسن</t>
  </si>
  <si>
    <t>رد ضمان اعمال تكنوساينتفك</t>
  </si>
  <si>
    <t>ملحوظه تم ادخال استماره 7384 على الgf برقم 7385</t>
  </si>
  <si>
    <t>ماموريه ضرائب التفتيش على المصالح الحكوميه (كسب عمل من عام 2016الى عام 2018)</t>
  </si>
  <si>
    <t>ملحوظه تم ادخال استماره 7385 على الgfبرقم  7384</t>
  </si>
  <si>
    <t>رد ضمان تارجت تكنولوجى</t>
  </si>
  <si>
    <t>حافز جوده</t>
  </si>
  <si>
    <t>جهد امين مخزن ديسمبر</t>
  </si>
  <si>
    <t>مكافاه انتداب محمد عيد</t>
  </si>
  <si>
    <t>جهود مشتريات ديسمبر</t>
  </si>
  <si>
    <t>مكافاه رعايه شباب ديسمبر</t>
  </si>
  <si>
    <t>مكافاه رعايه زرع الكليه</t>
  </si>
  <si>
    <t>مكافاه وحده ليزر من يوليو الى اكتوبر</t>
  </si>
  <si>
    <t>مكافاه كورس غرس نوفمبر</t>
  </si>
  <si>
    <t>مكافاه كورس طب الفم من اكتوبر الى ديسمبر</t>
  </si>
  <si>
    <t>مكافاه تدريس ربيع</t>
  </si>
  <si>
    <t>مكافاه منسقين ورؤساء اقسام</t>
  </si>
  <si>
    <t>مكافاه العاملين لطلاب مصريين</t>
  </si>
  <si>
    <t>عب تدريس برنامج مانشيستر</t>
  </si>
  <si>
    <t>مراجعات دور ثانى</t>
  </si>
  <si>
    <t>مكافاه كنترول دولى</t>
  </si>
  <si>
    <t xml:space="preserve">مكافاه كنترول </t>
  </si>
  <si>
    <t>مكافاه برتوكول ابحاث اكلينكيه</t>
  </si>
  <si>
    <t>مكافاه حضور لجان</t>
  </si>
  <si>
    <t>جهود ابحاث طبيه</t>
  </si>
  <si>
    <t>مكافاه امتحان معمل مهارات</t>
  </si>
  <si>
    <t>مكافاه مراقبين اداريين المواساه</t>
  </si>
  <si>
    <t xml:space="preserve">مكافاه مكتب الوكيل </t>
  </si>
  <si>
    <t>مكافاه برنامج فاصل المواساه</t>
  </si>
  <si>
    <t>مكافاه دعم نفسى مكتب الوكيل</t>
  </si>
  <si>
    <t>مكافاه تدريس مانشيستر</t>
  </si>
  <si>
    <t>مكافاه ا ه ت قسم الجوده</t>
  </si>
  <si>
    <t>مكافاه توريدات فاتوره الكترونيه</t>
  </si>
  <si>
    <t>مكافاه توريدات برنامج</t>
  </si>
  <si>
    <t>مكافاه خدمه لجان توريدات</t>
  </si>
  <si>
    <t>مكافاه شؤن طلاب</t>
  </si>
  <si>
    <t>مكافاه سكرتاريه لجان دراسات</t>
  </si>
  <si>
    <t>مكافاه مديرين الجوده</t>
  </si>
  <si>
    <t>مكافاه قاعده بيانات هيئه تدريس</t>
  </si>
  <si>
    <t>جهود برنامج مانشيستر</t>
  </si>
  <si>
    <t>مكافاه 75%كادر نوفمبر</t>
  </si>
  <si>
    <t>مكافاه انتداب محامى كليه</t>
  </si>
  <si>
    <t>مكافاه قسم الاستحقاقات نوفمبر</t>
  </si>
  <si>
    <t>ج هند رضا نوفمبر</t>
  </si>
  <si>
    <t>ج حنان محمد رفعت اكتوبر</t>
  </si>
  <si>
    <t>مكافاه خ ت نوفمبر</t>
  </si>
  <si>
    <t xml:space="preserve">مكافاه اعمال نظافه </t>
  </si>
  <si>
    <t>مكافاه بدل سفر صفوت خميس</t>
  </si>
  <si>
    <t>مكافاه خ ت اكتوبر</t>
  </si>
  <si>
    <t xml:space="preserve">ج هند رضا </t>
  </si>
  <si>
    <t>مكافاه قسم الاستحقاقات اكتوبر</t>
  </si>
  <si>
    <t>مكافاه عهده الختم</t>
  </si>
  <si>
    <t>مكافاه ص خ ت اكتوبر</t>
  </si>
  <si>
    <t>مكافاه استحقاقات اكتوبر</t>
  </si>
  <si>
    <t>مكافاه تدريب ميدانس</t>
  </si>
  <si>
    <t>مكافاه متابعه فصل اول</t>
  </si>
  <si>
    <t>مكافاه بعد مواعيد العمل عاملين مكتب العميد</t>
  </si>
  <si>
    <t>مكافاه حفل خريجين</t>
  </si>
  <si>
    <t>مكافاه تدريب ميدانى</t>
  </si>
  <si>
    <t>مكافاه تعليم الكترونى</t>
  </si>
  <si>
    <t>مكافاه علاقات ثقافيه مجلس كليه</t>
  </si>
  <si>
    <t>مكافاه بعد المواعيد العمل</t>
  </si>
  <si>
    <t>مكافاه استقبال البرنامج والفرنسى</t>
  </si>
  <si>
    <t>مكافاه استقبال طلاب جديد</t>
  </si>
  <si>
    <t>مكافاه تنظيم ملفات</t>
  </si>
  <si>
    <t>مكافاه استقبال ضيوف</t>
  </si>
  <si>
    <t>مكافاه ابحاث طبيه</t>
  </si>
  <si>
    <t>مكافاه مبلغ امتحانات الكترونيه</t>
  </si>
  <si>
    <t>مكافاه جهد دعم فنى</t>
  </si>
  <si>
    <t>مكافاه وافدين شؤن عاملين</t>
  </si>
  <si>
    <t>مكافاه برنامج علاقات عامه</t>
  </si>
  <si>
    <t>مكافاه رئاسه شؤن عامه</t>
  </si>
  <si>
    <t>مكافاه تراخيص مصاعد</t>
  </si>
  <si>
    <t>مكافاه شؤن صحيه</t>
  </si>
  <si>
    <t>مكافاه مركزابحاث اكلينكيه</t>
  </si>
  <si>
    <t>مكافاه بعد المواعيد شؤن قانونيه</t>
  </si>
  <si>
    <t>مكافاه اعمال شؤن قانونيه</t>
  </si>
  <si>
    <t>مكافاه قسم اتصالات</t>
  </si>
  <si>
    <t>مكافاه مكتب خدمه اعضاء تدريس</t>
  </si>
  <si>
    <t xml:space="preserve">مكافاه منسق للتواصل الاجتماعى </t>
  </si>
  <si>
    <t>اجمالى 4/2/2024</t>
  </si>
  <si>
    <t>مكافاه المدير التنفيذى للمركز يناير</t>
  </si>
  <si>
    <t>مكافاه عميد الكليه بمركز مؤتمرات يناير</t>
  </si>
  <si>
    <t>مكافاه المستعان بهم فى المركز يناير</t>
  </si>
  <si>
    <t>مكافاه العاملين بالمركز يناير</t>
  </si>
  <si>
    <t>مكافاه امتحان الكترونى</t>
  </si>
  <si>
    <t>عب تدريس جراحه</t>
  </si>
  <si>
    <t>مراجعه عمليه ونظريه</t>
  </si>
  <si>
    <t>عب تدريس فرقه رابعه</t>
  </si>
  <si>
    <t>عب تدريس جهاز هضمى</t>
  </si>
  <si>
    <t>عب تدريس فاماكولوجى</t>
  </si>
  <si>
    <t>عب تدريس ميكربيولوجيا</t>
  </si>
  <si>
    <t xml:space="preserve">مقابل الدعوى احمد السيد </t>
  </si>
  <si>
    <t>مكافاه كنترول</t>
  </si>
  <si>
    <t xml:space="preserve">مكافاه منسقى مقررات ثالثه </t>
  </si>
  <si>
    <t>مكافاه منسقى مقررات ثانيه</t>
  </si>
  <si>
    <t>مكافاه منسقى مقررات اولى</t>
  </si>
  <si>
    <t>مكافاه منسقى مقررات رابعه</t>
  </si>
  <si>
    <t>مكافاه منسقى فرقه خامسه</t>
  </si>
  <si>
    <t>مكافاه منسقى مقررات ccc</t>
  </si>
  <si>
    <t>جهود مبذول خلال فتره عرض البريزنتشن ا ه ت</t>
  </si>
  <si>
    <t>مكافاه منسقين برنامج عام معيدين</t>
  </si>
  <si>
    <t>مكافاه المشاركه فى البرنامج اداريين</t>
  </si>
  <si>
    <t>ج شؤن الاداريه يناير</t>
  </si>
  <si>
    <t>جهود شؤن قانونيه يناير اداريين</t>
  </si>
  <si>
    <t>جهود شؤن قانونيه يناير محامى</t>
  </si>
  <si>
    <t>جهود اعداد ومراجعه العقود محامى الكليه</t>
  </si>
  <si>
    <t>جهود اعداد ومراجعه العقود توريدات</t>
  </si>
  <si>
    <t>جهود الشفه الارنبيه حكيمات يناير</t>
  </si>
  <si>
    <t>جهود المراجعه اللاحقه قسم الاستحقاقات يناير</t>
  </si>
  <si>
    <t>جهود قسم المشتريات يناير</t>
  </si>
  <si>
    <t>جهود وحده الامن يناير</t>
  </si>
  <si>
    <t>مكافاه طارق محمد رشاد</t>
  </si>
  <si>
    <t>مكافاه مشاركه البرنامج يناير مؤقتين</t>
  </si>
  <si>
    <t>جهود شؤن اداريه مؤقتين يناير</t>
  </si>
  <si>
    <t>جهود المراجعه اللاحقه قسم الاستحقاقات يناير مؤقتين</t>
  </si>
  <si>
    <t>مكافاه انتظام عملى فصل موازنه يناير</t>
  </si>
  <si>
    <t xml:space="preserve">مكافاه انتظام حكيمات يناير </t>
  </si>
  <si>
    <t>مكافاه الشهر الشفوى للساده المنتدبين</t>
  </si>
  <si>
    <t>استرداد/ بسنت معز (الفواتير الخاصه بتخليص جمركى )</t>
  </si>
  <si>
    <t>اجمالى 6/2/2024</t>
  </si>
  <si>
    <t>فرق مكافاه بيان اسماء جابر</t>
  </si>
  <si>
    <t>مكافاه مستحقه لاعضاء التدريس عن جوده</t>
  </si>
  <si>
    <t>بتاريخ 4/2/2024</t>
  </si>
  <si>
    <t>تعديل استماره 7570</t>
  </si>
  <si>
    <t>عكس استماره 7570</t>
  </si>
  <si>
    <t>عب تدريس طب اطفال</t>
  </si>
  <si>
    <t>عكس استماره 7336</t>
  </si>
  <si>
    <t>تعديل استماره 7336</t>
  </si>
  <si>
    <t>عب نظرى ا ه ت</t>
  </si>
  <si>
    <t>مكافاه كنترول مرحله تخلفات</t>
  </si>
  <si>
    <t>مكافاه ابحاث اكلينكيه 20%</t>
  </si>
  <si>
    <t>فرق مرتب سوزان حامد</t>
  </si>
  <si>
    <t>مكافاه جوده ورثه المرحوم ايمان حسن</t>
  </si>
  <si>
    <t>عب تدريس كيمياء حيويه</t>
  </si>
  <si>
    <t>المحاضرات النظريه لقسم الاشعه</t>
  </si>
  <si>
    <t>عب تدريس مقرر اختيارى</t>
  </si>
  <si>
    <t xml:space="preserve">عب تدريس كيمياء </t>
  </si>
  <si>
    <t>استرداد / شركه واى جى سنتر</t>
  </si>
  <si>
    <t>رد ضمان شركه ايجى ميديكا</t>
  </si>
  <si>
    <t>فندق هيلتون جرين بلازا اقامه الضيوف</t>
  </si>
  <si>
    <t>شركه ديسكفرى لاعمال الكهروميكانيكا صيانه دوريه مولد كهرباء</t>
  </si>
  <si>
    <t>شركه ماستربيس لخدمات المطابع صيانه لماكينه تصوير</t>
  </si>
  <si>
    <t>مجدى حافظ متولى شراء 10 عبوه حبر</t>
  </si>
  <si>
    <t>شركه نهضه مصر للخدمات البيئيه الحديثه رفع مخلفات شهر ديسمبر</t>
  </si>
  <si>
    <t>شركه تارجت تكنولوجى شراء جهاز ميزان دقيق</t>
  </si>
  <si>
    <t>منحه جائزه الطبيب / احمد عبد الفتاح</t>
  </si>
  <si>
    <t>رد تامين نهائى جهاز صناعات خدمات بحريه</t>
  </si>
  <si>
    <t>كسب عمل يناير</t>
  </si>
  <si>
    <t>دمغه عاديه يناير</t>
  </si>
  <si>
    <t>ضرائب متنوعه يناير</t>
  </si>
  <si>
    <t>تنميه موارد يناير</t>
  </si>
  <si>
    <t>تحاليل طبيه</t>
  </si>
  <si>
    <t>مكافاه كنترول تخلفات</t>
  </si>
  <si>
    <t>الوحده الحسابيه بالمستشفيات شراء احتياجات لقسم التشريح</t>
  </si>
  <si>
    <t>اجمالى 8/2/2024</t>
  </si>
  <si>
    <t>شركه مصر لصناعه التبريد والتكييف شراء جهاز تكييف</t>
  </si>
  <si>
    <t>شركة نوركولينج صيانه 12 جهاز تكييف</t>
  </si>
  <si>
    <t xml:space="preserve">شركه مصر للهندسه والتجاره (ميتكا ) اصلاح مصعد </t>
  </si>
  <si>
    <t>مكافاه تشجعيه ابحاث اكلينكيه</t>
  </si>
  <si>
    <t>مستحقات العاملين بنظام الشيفت ابحاث طبيه</t>
  </si>
  <si>
    <t xml:space="preserve">مكافاه مركز ابحاث اكلينكيه </t>
  </si>
  <si>
    <t xml:space="preserve">رواتب مركز ابحاث اكلينكيه </t>
  </si>
  <si>
    <t>عب تدريس قسم كيمياء</t>
  </si>
  <si>
    <t>عب تدريس امراض صدريه</t>
  </si>
  <si>
    <t>مكافاه مدير تنفيذى للوحده</t>
  </si>
  <si>
    <t>مكافاه تشغيليه</t>
  </si>
  <si>
    <t>مكافاه الاداريين نوفمبر</t>
  </si>
  <si>
    <t>مكافاه علاج بالاجر ديسمبر</t>
  </si>
  <si>
    <t>مكافاه الاداريين ديسمبر</t>
  </si>
  <si>
    <t>مكافاه العلاج بالاجر قسم التقويم ديسمبر</t>
  </si>
  <si>
    <t>مكافاه علاج بالاجر قسم الاطفال ديسمبر</t>
  </si>
  <si>
    <t>مكافاه علاج بالاجر قسم الاطفال نوفمبر</t>
  </si>
  <si>
    <t>مكافاه علاج بالاجر قسم التقويم نوفمبر</t>
  </si>
  <si>
    <t>مكافاه اختبار مواد ديسمبر</t>
  </si>
  <si>
    <t xml:space="preserve">مكافاه نشاط ميكرسكوب الكترونى </t>
  </si>
  <si>
    <t>مكافاه قيادات خدمه عامه سبتمبر واكتوبر</t>
  </si>
  <si>
    <t>مكافاه كورس مواد حيويه17-18/11/2023</t>
  </si>
  <si>
    <t>جهد من بند العلاج التحفظى</t>
  </si>
  <si>
    <t>مكافاه رعايه الشباب ديسمبر</t>
  </si>
  <si>
    <t>عب تدريس قلب واوعيه</t>
  </si>
  <si>
    <t>عب تدريس مخ واعصاب</t>
  </si>
  <si>
    <t>مكافاه امتحان وافدين ماليزى</t>
  </si>
  <si>
    <t>اجمالى 11/2/2024</t>
  </si>
  <si>
    <t>مرتبات مؤقتين فبراير</t>
  </si>
  <si>
    <t>رعايه طفل مؤقتين فبراير</t>
  </si>
  <si>
    <t>اجمالى 14/2/2024 بيرول</t>
  </si>
  <si>
    <t>اجمالى 15/2/2024 بيرول</t>
  </si>
  <si>
    <t>مكافاه امتحان مؤقتين يناير 2024</t>
  </si>
  <si>
    <t>مكافاه امتحان</t>
  </si>
  <si>
    <t>اجمالى 18/2/2024 بيرول</t>
  </si>
  <si>
    <t>حسابات الاداره الهندسيه (شركه مريوط للمقاولات العموميه تجديد الاعمال الاعتياديه والكهرباء بحجره اتحاد الطلبه)</t>
  </si>
  <si>
    <t>مكافاه كنترول فرقه رابعه</t>
  </si>
  <si>
    <t>عب تدريس باطنه سكر</t>
  </si>
  <si>
    <t>مكافاه امتحان وافدين سبتمبر</t>
  </si>
  <si>
    <t>مكافاه حضور اجتماع يناير</t>
  </si>
  <si>
    <t>جهود شؤن خريجين</t>
  </si>
  <si>
    <t>مكافاه تشجيعيه عيادات ومعامل ا ه ت</t>
  </si>
  <si>
    <t>مكافاه امتحانات عملى دولى خريف اداريين</t>
  </si>
  <si>
    <t>مكافاه تشجيعيه عيادات ومعامل اداريين</t>
  </si>
  <si>
    <t>مكافاه اعمال اضافيه يناير اداريين</t>
  </si>
  <si>
    <t>مكافاه امتحانات عملى دولى خريف مؤقتين</t>
  </si>
  <si>
    <t>مكافاه اعمال اضافيه يناير مؤقتين</t>
  </si>
  <si>
    <t>مكافاه تشجيعيه عيادات ومعامل مؤقتين</t>
  </si>
  <si>
    <t>عب تدريس وافدين صدرية</t>
  </si>
  <si>
    <t>عب تدريس باطنه دم</t>
  </si>
  <si>
    <t>مكافاه منسقين روؤساء وحدات جراحه</t>
  </si>
  <si>
    <t>مراجعات نظريه تخلفات دور اول</t>
  </si>
  <si>
    <t>عب تدريس روماتيزم</t>
  </si>
  <si>
    <t>مجلس كليه ديسمبر</t>
  </si>
  <si>
    <t>مكافاه الكتاب الالكترونى</t>
  </si>
  <si>
    <t xml:space="preserve">مكافاه جوده </t>
  </si>
  <si>
    <t>حافز اداء يناير</t>
  </si>
  <si>
    <t>مكافاه تكنولوجيا معلومات فبراير</t>
  </si>
  <si>
    <t>مكافاه الدعم الفنى وصيانه اجهزه الكترونيه</t>
  </si>
  <si>
    <t>مكافاه عمال يوميه فبراير</t>
  </si>
  <si>
    <t>جهود صيانه الاجهزه الالكترونيه</t>
  </si>
  <si>
    <t xml:space="preserve">مكافاه امتحانات دور يناير </t>
  </si>
  <si>
    <t>13362م</t>
  </si>
  <si>
    <t>فرق مرتب محمد امين نوفمبر</t>
  </si>
  <si>
    <t>مكافاه امتحان محمد امين اكتوبر</t>
  </si>
  <si>
    <t>الشركه العالميه لصناعات التكييف توريد اجهزه تكييف</t>
  </si>
  <si>
    <t xml:space="preserve">شركه مصر للهندسه والتجاره (ميتكا ) صيانه مصاعد </t>
  </si>
  <si>
    <t>20/2/2024</t>
  </si>
  <si>
    <t>مكافاه شفوى طب مؤقتين</t>
  </si>
  <si>
    <t>بدل سهرمرفق 335 جارى 80 (المقاولون العرب )</t>
  </si>
  <si>
    <t>22/2/2024</t>
  </si>
  <si>
    <t>مكافاه امتحان متعاقدين يناير</t>
  </si>
  <si>
    <t>مكافاه امتحان دائمين يناير</t>
  </si>
  <si>
    <t>مكافاه امتحان مؤقتين يناير</t>
  </si>
  <si>
    <t xml:space="preserve">مكافاه امتحان مؤقتين يناير </t>
  </si>
  <si>
    <t>سداد استقطاع نفقه</t>
  </si>
  <si>
    <t>19/2/2024</t>
  </si>
  <si>
    <t>مستحقات العاملين بنظام الشيفت فبراير</t>
  </si>
  <si>
    <t>اجمالى 19/2/2024</t>
  </si>
  <si>
    <t>اجمالى 20/2/2024 بيرول</t>
  </si>
  <si>
    <t>اجمالى 22/2/2024 بيرول</t>
  </si>
  <si>
    <t>سلفه مؤقته / بسنت وجيه انور</t>
  </si>
  <si>
    <t>سلفه مؤقته / احمد حسين علوانى</t>
  </si>
  <si>
    <t>اجمالى 22/2/2024</t>
  </si>
  <si>
    <t xml:space="preserve">مكافاه امتحان </t>
  </si>
  <si>
    <t>جهود بحوث دوائيه ديسمبر</t>
  </si>
  <si>
    <t>مكافاه العيادات الخارجيه</t>
  </si>
  <si>
    <t>استقطاع وثيقه تامين مختلط (طب )</t>
  </si>
  <si>
    <t>مكافاه امتحان ايمان احمد منتصر</t>
  </si>
  <si>
    <t>مكافاه امتحان شيماء هاشم (حكيمه )</t>
  </si>
  <si>
    <t xml:space="preserve">مكافاه الاشراف على زياره معرض </t>
  </si>
  <si>
    <t>مكافاه ماموريات منصور بشير</t>
  </si>
  <si>
    <t>مكافاه فتحى بدرى</t>
  </si>
  <si>
    <t>مكافاه اشراف ديزل</t>
  </si>
  <si>
    <t>مكافاه مروه احمد</t>
  </si>
  <si>
    <t>مكافاه اجازات هيئه تدريس</t>
  </si>
  <si>
    <t>مكافاه قاعده بيانات</t>
  </si>
  <si>
    <t>مكافاه منسق مانشيستر</t>
  </si>
  <si>
    <t>مكافاه مساعدى وكلاء</t>
  </si>
  <si>
    <t>مكافاه قياس وتقويم</t>
  </si>
  <si>
    <t>مكافاه ارتباط مالى</t>
  </si>
  <si>
    <t>مكافاه خدمه برنامج</t>
  </si>
  <si>
    <t>مكافاه بعد المواعيد</t>
  </si>
  <si>
    <t>مكافاه متابعه برنامج</t>
  </si>
  <si>
    <t>مكافاه برنامج مانشيستر</t>
  </si>
  <si>
    <t xml:space="preserve">مكافاه منسقين برنامج عام </t>
  </si>
  <si>
    <t>مكافاه جهاز ادارى</t>
  </si>
  <si>
    <t>مكافاه منسق فرنساوى</t>
  </si>
  <si>
    <t>مستحقات العاملين بنظام النوبتجيات</t>
  </si>
  <si>
    <t>مكافاه مقابل القيام بالاعمال الاداريه</t>
  </si>
  <si>
    <t>مكافاه البرنامج الدولى فبراير</t>
  </si>
  <si>
    <t>مكافاه الهيكل الادارى</t>
  </si>
  <si>
    <t>مكافاه المدير التنفيذى للمجمع التعليمى</t>
  </si>
  <si>
    <t>مكافاه العاملين بالكليه</t>
  </si>
  <si>
    <t xml:space="preserve">جهود غرف الحفظ </t>
  </si>
  <si>
    <t>25/2/2024</t>
  </si>
  <si>
    <t>مكافاه استحقاقات شهريه</t>
  </si>
  <si>
    <t>مكافاه العاملين بالكليه فبراير</t>
  </si>
  <si>
    <t>دولى</t>
  </si>
  <si>
    <t>بدل  انتقال سحر احمد احمد</t>
  </si>
  <si>
    <t>بدل انتقال كوثر سعد محمود</t>
  </si>
  <si>
    <t>سلفه مؤقته / ابراهيم عبد الحليم على</t>
  </si>
  <si>
    <t xml:space="preserve">مكتبه الاسكندريه حجز القاعه الكبرى </t>
  </si>
  <si>
    <t>شركة هورايزون قيمه حجز القاعه الكبرى بمركز الاسكندريه للتدريب الطبى</t>
  </si>
  <si>
    <t>قيمه ال75% كادر ديسمبر</t>
  </si>
  <si>
    <t>مكافاه امتحان ا ه ت</t>
  </si>
  <si>
    <t>مكافاه امتحان متفرغين</t>
  </si>
  <si>
    <t>مكافاه امتحان ا ه ت مستبقون</t>
  </si>
  <si>
    <t xml:space="preserve">صندوق التكافل اه ت </t>
  </si>
  <si>
    <t xml:space="preserve"> سلفه مؤقته / رشا رشدى</t>
  </si>
  <si>
    <t>الاكاديميه المصريه للدراسات المتطوره</t>
  </si>
  <si>
    <t xml:space="preserve">رد ضمان شركه العربى للتجاره والصناعه </t>
  </si>
  <si>
    <t>مكافاه التواجد بعد المواعيد يناير</t>
  </si>
  <si>
    <t>بدل انتقال العاملين بالوحده الماليه نوفمبر وديسمبر</t>
  </si>
  <si>
    <t>مكافاه بعد المواعيد اخلاقيات</t>
  </si>
  <si>
    <t>مكافاه صندوق دعم طلاب</t>
  </si>
  <si>
    <t>جهود معاون الوحده الحسابيه</t>
  </si>
  <si>
    <t xml:space="preserve">مكافاه المنسقين بالاقسام الاكاديميه </t>
  </si>
  <si>
    <t>مكافاه ضمان الجوده</t>
  </si>
  <si>
    <t>مراجعات نظريه ترم ثانى</t>
  </si>
  <si>
    <t>مراجعه نظرى فسيولوجى</t>
  </si>
  <si>
    <t>مراجعه نظرى قسم كيمياء</t>
  </si>
  <si>
    <t>مكافاه متحان شيماء جمال</t>
  </si>
  <si>
    <t>مطعم سان جوفانى وجبات حفل التخرج</t>
  </si>
  <si>
    <t>وعاء فبراير</t>
  </si>
  <si>
    <t>27/2/2024</t>
  </si>
  <si>
    <t>استقطاع اورانج (اسنان )</t>
  </si>
  <si>
    <t>اجمالى 24/2/2024</t>
  </si>
  <si>
    <t>اجمالى 25/2/2024بيرول</t>
  </si>
  <si>
    <t>اجمالى 27/2/2024بيرول</t>
  </si>
  <si>
    <t>بتاريخ 3/2/2024</t>
  </si>
  <si>
    <t>بتاريخ 14/2/2024</t>
  </si>
  <si>
    <t>بتاريخ 15/2/2023</t>
  </si>
  <si>
    <t>تسويه الدفع المقدم مكتبه الاسكندريه (اسنان )</t>
  </si>
  <si>
    <t>تسويه شراء بيان درجات من الجامعه</t>
  </si>
  <si>
    <t>سداد سلفه مؤقته/ رشيد احمد الصاوى</t>
  </si>
  <si>
    <t>سداد سلفه مؤقته/ احمد شعبان</t>
  </si>
  <si>
    <t>ق توريد 858693</t>
  </si>
  <si>
    <t>ق توريد 855993</t>
  </si>
  <si>
    <t>ق توريد 858698</t>
  </si>
  <si>
    <t>ق توريد 855995</t>
  </si>
  <si>
    <t>ق توريد 855502</t>
  </si>
  <si>
    <t>ق توريد 858700</t>
  </si>
  <si>
    <t>ق توريد 855989</t>
  </si>
  <si>
    <t>ق توريد 858695</t>
  </si>
  <si>
    <t>ق توريد 855991</t>
  </si>
  <si>
    <t>ق توريد 855990</t>
  </si>
  <si>
    <t>ق توريد 858697</t>
  </si>
  <si>
    <t>ق توريد 855988</t>
  </si>
  <si>
    <t>ق توريد 858694</t>
  </si>
  <si>
    <t>ق توريد 858692</t>
  </si>
  <si>
    <t>ق توريد 855992</t>
  </si>
  <si>
    <t>ق توريد 858691</t>
  </si>
  <si>
    <t>ق توريد 855994</t>
  </si>
  <si>
    <t>ق توريد 858699</t>
  </si>
  <si>
    <t>ق توريد 858696</t>
  </si>
  <si>
    <t>ق توريد 855501</t>
  </si>
  <si>
    <t>كشف بنك يناير</t>
  </si>
  <si>
    <t>كشف بنك ديسمبر</t>
  </si>
  <si>
    <t>خطاب ضمان مصنع عابدين (طب )</t>
  </si>
  <si>
    <t>خطاب ضمان هيثم منصور مكتب الاندلس (طب )</t>
  </si>
  <si>
    <t>خطاب ضمان مؤسسه ديلوكس للاثاث (طب )</t>
  </si>
  <si>
    <t>خطاب ضمان زكريا عبد الملك (طب )</t>
  </si>
  <si>
    <t>خطاب ضمان منشاه حسن محمد (طب )</t>
  </si>
  <si>
    <t>خطاب ضمان سالى شفيق عبده (طب )</t>
  </si>
  <si>
    <t>خطاب ضمان منصور للمقاولات (طب )</t>
  </si>
  <si>
    <t>خطاب ضمان شركه الرحاب للمقاولات (طب )</t>
  </si>
  <si>
    <t>خطاب ضمان منشاه طارق عبد الحميد (طب )</t>
  </si>
  <si>
    <t>تم تحميل الباب الثانى والخامس من الايراد</t>
  </si>
  <si>
    <t>كشف بنك من 1/7/2023 الى 31/12/2023 مايعادل دولار 30.85 ج</t>
  </si>
  <si>
    <t>تم تحميل الباب الثانى من الايراد بالكامل وتم تحميل 9808179.27 ماليه من الايراد وتم تحميل الباب الخامس 4 مليون فقط</t>
  </si>
  <si>
    <t>تم تحميل الباب الثانى من الايراد</t>
  </si>
  <si>
    <t>اجمالى 27/2/2024 تسويات</t>
  </si>
  <si>
    <t>29/2/2024</t>
  </si>
  <si>
    <t>وحدة حسابيه مدفوعات فبراير</t>
  </si>
  <si>
    <t>وحدة حسابية صناديق فبراير</t>
  </si>
  <si>
    <t>قيد تضمنى شركه الهيئه القومية للانتاج الحربى (انظمة اطفاء تلقائى )</t>
  </si>
  <si>
    <t>خطاب ضمان ممدوح محمد عثمان (طب )</t>
  </si>
  <si>
    <t xml:space="preserve">من ضمان اعمال الى ايراد </t>
  </si>
  <si>
    <t>تسويات فارغة</t>
  </si>
  <si>
    <t>من دائن متنوع الى ايراد (مبالغ مضى عليها المده القانونية )</t>
  </si>
  <si>
    <t>اجمالى 29/2/2024 تسويات</t>
  </si>
  <si>
    <t>مطلوبات حكوميه</t>
  </si>
  <si>
    <t>استقطاع اتصالات جروب ديسمبر</t>
  </si>
  <si>
    <t>استقطاع اتوبيس الجامعه ديسمبر</t>
  </si>
  <si>
    <t>استقطاع اللجنه النقابيه ديسمبر</t>
  </si>
  <si>
    <t>الهيئه القوميه للتامين الاجتماعى (معاشات ديسمبر )</t>
  </si>
  <si>
    <t>استقطاع النقابه العامه ديسمبر</t>
  </si>
  <si>
    <t>استقطاع جمعيه الخدمات ديسمبر</t>
  </si>
  <si>
    <t>استقطاع سيجينال ديسمبر</t>
  </si>
  <si>
    <t>استقطاع اورانج ديسمبر</t>
  </si>
  <si>
    <t>استقطاع شركه مصر لتامينات الحياه ديسمبر</t>
  </si>
  <si>
    <t>استقطاع صندوق التكافل الاجتماعى ديسمبر</t>
  </si>
  <si>
    <t>استقطاع تكريم الشهداء ديسمبر</t>
  </si>
  <si>
    <t>استقطاع صندوق دعم ذوى الاعاقه ديسمبر</t>
  </si>
  <si>
    <t>عموله تحصيل ديسمبر</t>
  </si>
  <si>
    <t>ضريبه الدمغه ديسمبر</t>
  </si>
  <si>
    <t>ضريبه الدخل ديسمبر</t>
  </si>
  <si>
    <t>استقطاع قرض تكافل ديسمبر</t>
  </si>
  <si>
    <t>استقطاع نقابه العاملين ديسمبر</t>
  </si>
  <si>
    <t>اجمالى 1/1/2024 بيرول</t>
  </si>
  <si>
    <t>مكافاه اعمال نظافه سبتمبر</t>
  </si>
  <si>
    <t>مكافاه خ ت سبتمبر</t>
  </si>
  <si>
    <t>مكافاه سفر لجنه قطاع دراسات</t>
  </si>
  <si>
    <t>جهود بعد مواعيد العمل</t>
  </si>
  <si>
    <t xml:space="preserve">مكافاه بعد مواعيد العمل للسائقين </t>
  </si>
  <si>
    <t>جهود العاملين بقسم التشريح</t>
  </si>
  <si>
    <t>مكافاه استلام شهادات</t>
  </si>
  <si>
    <t>مكافاه مكتب وكيل شؤن طلاب</t>
  </si>
  <si>
    <t>مكافاه شؤن طلبه</t>
  </si>
  <si>
    <t>مكافاه لجان طبيه مكتب العميد</t>
  </si>
  <si>
    <t>مكافاه لجنه الاخلاقيات</t>
  </si>
  <si>
    <t>مكافاه متابعه برنامج / سيناء عبد الرحيم</t>
  </si>
  <si>
    <t>مكافاه تصوير طلاب</t>
  </si>
  <si>
    <t>مكافاه عاملين قسم التشريح</t>
  </si>
  <si>
    <t>مكافاه خدمه عامه اكتوبر</t>
  </si>
  <si>
    <t>مكافاه تحصيل ايرادات مجله اكتوبر</t>
  </si>
  <si>
    <t>مكافاه تحصيل ايرادات مجله نوفمبر</t>
  </si>
  <si>
    <t>مكافاه رعايه الزرع نوفمبر</t>
  </si>
  <si>
    <t>مكافاه العاملين بنشاط الميكرسكوب اكتوبر</t>
  </si>
  <si>
    <t>استرداد قيمه تذاكر بونات منصور بشير</t>
  </si>
  <si>
    <t>بدل انتقال على محمد على</t>
  </si>
  <si>
    <t>بدل انتقال سحر احمد احمد</t>
  </si>
  <si>
    <t xml:space="preserve">بدل انتقال رشا عرفه </t>
  </si>
  <si>
    <t>بدل انتقال احمد حسينى</t>
  </si>
  <si>
    <t>بدل انتقال دعاء سعيد</t>
  </si>
  <si>
    <t xml:space="preserve">استرداد /جنى هشام نظير نقل الترشيح الطالب </t>
  </si>
  <si>
    <t>شركه المجد للمقاولات والتوريدات تركيب كاميرات</t>
  </si>
  <si>
    <t>شركه كروماتك جهاز استخلاص نباتات</t>
  </si>
  <si>
    <t>مصلحه الضرائب المصريه قيمه 100% ضريبه قيمه مضافه</t>
  </si>
  <si>
    <t>استقطاع صندوق خاص نوفمبر (طب )</t>
  </si>
  <si>
    <t>اجمالى 3/1/2024</t>
  </si>
  <si>
    <t>مكافاه مشاركين تعليميه ترم اول</t>
  </si>
  <si>
    <t>ج خ ت ترم اول</t>
  </si>
  <si>
    <t>ج شؤن طلبه</t>
  </si>
  <si>
    <t>مكافاه خ ت  امن دراسات</t>
  </si>
  <si>
    <t>مكافاه مشاركين دراسات</t>
  </si>
  <si>
    <t>مكافاه خ ت قسم دراسات</t>
  </si>
  <si>
    <t>عب تدريس فرقه اولى</t>
  </si>
  <si>
    <t>مكافاه كورس غرس اكتوبر</t>
  </si>
  <si>
    <t>مكافاه للعاملين بنشاط الميكرسكوب نوفمبر</t>
  </si>
  <si>
    <t>مكافاه كورس المواد الحيويه نوفمبر</t>
  </si>
  <si>
    <t>جهود كورس ا ه ت اكتوبر ccc</t>
  </si>
  <si>
    <t>مكافاه اعمال امتحان ميدتيرم ا ه ت</t>
  </si>
  <si>
    <t>مكافاه اشراف عيادات ومعامل ا ه ت نوفمبر</t>
  </si>
  <si>
    <t>مكافاه اداريه واشرافيه خريف ا ه ت</t>
  </si>
  <si>
    <t>مكافاه ملفات جوده ا ه ت نوفمبر</t>
  </si>
  <si>
    <t>جهود التعليم الالكترونى ا ه ت</t>
  </si>
  <si>
    <t>جهود منسقى فرق وجداول ا ه ت</t>
  </si>
  <si>
    <t>مكافاه منسقين فرق عام ديسمبر ا ه ت</t>
  </si>
  <si>
    <t>جهود نظير اعمال استخراج وانهاء مستندات خدمه تعليميه نوفمبر ا ه ت</t>
  </si>
  <si>
    <t>جهود نظير اعمال استخراج وانهاء مستندات خدمه تعليميه اكتوبر ا ه ت</t>
  </si>
  <si>
    <t>مكافاه ملفات جوده ا ه ت اكتوبر</t>
  </si>
  <si>
    <t>مكافاه اختبارات الكترونيه ا ه ت</t>
  </si>
  <si>
    <t>مكافاه سكاشن ليليه ديسمبراداريين</t>
  </si>
  <si>
    <t>جهود شؤن اداريه ديسمبر اداريين</t>
  </si>
  <si>
    <t>مكافاه حضور اجازات اداريين نوفمبر وديسمبر</t>
  </si>
  <si>
    <t>جهود كورس اداريين اكتوبر ccc</t>
  </si>
  <si>
    <t>مكافاه تجهيز وصيانه تكنولوجيا المعلومات اداريين</t>
  </si>
  <si>
    <t>مكافاه اعمال امتحان ميدتيرم اداريين</t>
  </si>
  <si>
    <t>جهود منسقى فرق وجداول اداريين</t>
  </si>
  <si>
    <t>مكافاه اعمال اضافيه خدمات معاونه ديسمبر</t>
  </si>
  <si>
    <t>مكافاه اعمال اضافيه اداريين ديسمبر</t>
  </si>
  <si>
    <t>جهود شيكات اداريين نوفمبر وديسمبر</t>
  </si>
  <si>
    <t>جهود قسم المشتريات ديسمبر</t>
  </si>
  <si>
    <t>مكافاه اشراف عيادات ومعامل اداريين اكتوبر</t>
  </si>
  <si>
    <t>جهود نظير اعمال استخراج وانهاء مستندات خدمه تعليميه نوفمبر اداريين</t>
  </si>
  <si>
    <t>مكافاه ساعات اضافيه اداريين ديسمبر</t>
  </si>
  <si>
    <t>مكافاه انتظام عملى حضرى ديسمبر حكيمات</t>
  </si>
  <si>
    <t>جهود وحده الامن ديسمبر</t>
  </si>
  <si>
    <t>جهود الشفه الارنبيه ديسمبر حكيمات</t>
  </si>
  <si>
    <t>جهود تسجيل الفاتوره الالكترونيه اداريين</t>
  </si>
  <si>
    <t>جهود مزارع الكليه نوفمبر وديسمبر</t>
  </si>
  <si>
    <t>جهود فنيين العلاج التحفظى</t>
  </si>
  <si>
    <t>جهود التقرير السنوى اداريين</t>
  </si>
  <si>
    <t>جهود اعمال هندسيه اداريين</t>
  </si>
  <si>
    <t>جهود اعمال هندسه الانسجه اداريين</t>
  </si>
  <si>
    <t>مكافاه مشاركه برنامج ديسمبر اداريين</t>
  </si>
  <si>
    <t>جهود المراجعه اللاحقه اداريين ديسمبر</t>
  </si>
  <si>
    <t>مكافاه اختبارات الكترونيه اداريين</t>
  </si>
  <si>
    <t>مكافاه اشراف عيادات ومعامل اكتوبر مؤقتين</t>
  </si>
  <si>
    <t>مكافاه حضور اجازات مؤقتين نوفمبر وديسمبر</t>
  </si>
  <si>
    <t>مكافاه اعمال امتحان ميدتيرم مؤقتين</t>
  </si>
  <si>
    <t>مكافاه سكاشن ليليه مؤقتين ديسمبر</t>
  </si>
  <si>
    <t>مكافاه اعمال اضافيه مؤقتين ديسمبر</t>
  </si>
  <si>
    <t>جهود نظير اعمال استخراج وانهاء مستندات خدمه تعليميه اكتوبر اداريين</t>
  </si>
  <si>
    <t>جهود تعليم الكترونى نوفمبر مؤقتين</t>
  </si>
  <si>
    <t>جهود الشؤن الاداريه مؤقتين ديسمبر</t>
  </si>
  <si>
    <t>مكافاه ملفات جوده مؤقتين</t>
  </si>
  <si>
    <t>مكافاه ساعات اضافيه مؤقتين ديسمبر</t>
  </si>
  <si>
    <t>جهود شيكات مؤقتين نوفمبر وديسمبر</t>
  </si>
  <si>
    <t>مكافاه اجاده مؤقتين علاج تحفظى</t>
  </si>
  <si>
    <t>جهود اعمال هندسه الانسجه مؤقتين</t>
  </si>
  <si>
    <t>مكافاه انتظام عملى حضرى ديسمبر مؤقتين</t>
  </si>
  <si>
    <t>مكافاه مشاركه برنامج ديسمبر مؤقتين</t>
  </si>
  <si>
    <t>جهود المراجعه اللاحقه مؤقتين ديسمبر</t>
  </si>
  <si>
    <t>مكافاه اختبارات الكترونيه مؤقتين</t>
  </si>
  <si>
    <t>مكافاه انتظام عملى دراسات ديسمبرمؤقتين</t>
  </si>
  <si>
    <t>مكافاه انتظام عملى دراسات ديسمبر حكيمات</t>
  </si>
  <si>
    <t>اعاده ادخال استماره 6188 اكلينكى</t>
  </si>
  <si>
    <t>ج شريهان محمد من 2020/2021</t>
  </si>
  <si>
    <t>مكافاه مراجعه بيانات الوافدين</t>
  </si>
  <si>
    <t xml:space="preserve">مكافاه عميد الكليه والوكلاء </t>
  </si>
  <si>
    <t>ج وكيل كليه شؤن خدمه مجتمع</t>
  </si>
  <si>
    <t>مكافاه الاداريين والعمال</t>
  </si>
  <si>
    <t xml:space="preserve">ج المدير الاكاديمى </t>
  </si>
  <si>
    <t>مكافاه كنترول سنه رابعه</t>
  </si>
  <si>
    <t>مكافاه اختبار مواد نوفمبر</t>
  </si>
  <si>
    <t>مكافاه تدريب الامتياز سبتمبر</t>
  </si>
  <si>
    <t>الغاء استماره 6188 اكلينكى</t>
  </si>
  <si>
    <t>مكافاه تدريب الامتياز اكتوبر</t>
  </si>
  <si>
    <t>اجمالى 4/1/2024</t>
  </si>
  <si>
    <t>مكافاه المدير التنفيذى للمركز ديسمبر</t>
  </si>
  <si>
    <t>مكافاه عميد الكليه ديسمبر</t>
  </si>
  <si>
    <t>مكافاه شهريه للعاملين بالمركز ديسمبر</t>
  </si>
  <si>
    <t>اجمالى 8/1/2024</t>
  </si>
  <si>
    <t>بدل انتقال السيد محمد الباز</t>
  </si>
  <si>
    <t>شركه العلا للنظم الحديثه شراء رزمه انسرشيت</t>
  </si>
  <si>
    <t xml:space="preserve">شركه المنى للاجهزه العلميه صيانه غساله </t>
  </si>
  <si>
    <t>شركه المنى للاجهزه العلميه صيانه ديب فريزر</t>
  </si>
  <si>
    <t xml:space="preserve">سلفه مؤقته / هويدا مصطفى عبد الرحيم </t>
  </si>
  <si>
    <t>سلفه مؤقته / انجى عبد الغنى عبد العزيز</t>
  </si>
  <si>
    <t>شركه ديسكفرى لاعمال الكهروميكانيكا صيانه المولد الكهربائى</t>
  </si>
  <si>
    <t>شركه مصر للهندسه والتجاره (ميتكا )اصلاح مصعد رقم 4</t>
  </si>
  <si>
    <t>شركه اير كواليتى للمقاولات شراء 2 جهاز تكييف</t>
  </si>
  <si>
    <t xml:space="preserve">شركه بيك للاجهزه العلميه شراء ups </t>
  </si>
  <si>
    <t>مكافاه وحده الليزر من ديسمبر 2022 الى يونيه 2023</t>
  </si>
  <si>
    <t>دمغه عاديه ديسمبر</t>
  </si>
  <si>
    <t>ضرائب متنوعه ديسمبر</t>
  </si>
  <si>
    <t>تنميه موارد ديسمبر</t>
  </si>
  <si>
    <t>كسب عمل ديسمبر</t>
  </si>
  <si>
    <t>مكافاه منسق برنامج مانشيستر</t>
  </si>
  <si>
    <t>مكافاه مجالس تاديب</t>
  </si>
  <si>
    <t>مكافاه مجلس الكليه علاقات ثقافيه</t>
  </si>
  <si>
    <t>مكافاه شهادات شؤن خريجين</t>
  </si>
  <si>
    <t>مكافاه برنامج شؤن خريجين</t>
  </si>
  <si>
    <t>مكافاه عاملين بالبرنامج</t>
  </si>
  <si>
    <t>مكافاه امتحانات فرق ودراسات عليا</t>
  </si>
  <si>
    <t>مكافاه جهد مراسلات</t>
  </si>
  <si>
    <t>جهد مستشفيات مكتب العميد</t>
  </si>
  <si>
    <t>جهد ابحاث طبيه</t>
  </si>
  <si>
    <t>ماموريه سائق محمد سعيد</t>
  </si>
  <si>
    <t>مكافاه اداء متميز بسمه مصطفى</t>
  </si>
  <si>
    <t>جهود تنظيم فهرسه يسرا بلال</t>
  </si>
  <si>
    <t>اعاده ادخال استماره 6439</t>
  </si>
  <si>
    <t>سلفه مستديمه / عمرو عباس ابراهيم</t>
  </si>
  <si>
    <t>دعم رسائل احمد سعد بركات</t>
  </si>
  <si>
    <t>شركه هاى تكنولوجى صيانه 61 وحده اسنان من مايو الى يوليو 2023</t>
  </si>
  <si>
    <t xml:space="preserve">مؤسسه الفتح للتوريدات الكهربائيه شراء ادوات كهربائيه </t>
  </si>
  <si>
    <t>عكس استماره 6439</t>
  </si>
  <si>
    <t>اجمالى 9/1/2024</t>
  </si>
  <si>
    <t xml:space="preserve">المقاولون العرب دفعه 336 تطويروتحديث المبانى </t>
  </si>
  <si>
    <t>شركه نوركولينج اصلاح اجهزه التكييف</t>
  </si>
  <si>
    <t xml:space="preserve">شركه كايرو لخدمات الانتاج </t>
  </si>
  <si>
    <t>الشركه الفرنسيه للمصاعد اصلاح مصعد رقم 1</t>
  </si>
  <si>
    <t>الشركه الفرنسيه للمصاعد اصلاح مصعد رقم 1+2</t>
  </si>
  <si>
    <t>اجمالى 11/1/2024</t>
  </si>
  <si>
    <t>مكافاه الداء النشوانى</t>
  </si>
  <si>
    <t>مكافاه اداره هندسيه</t>
  </si>
  <si>
    <t>مستحقات العاملين بالشيفت</t>
  </si>
  <si>
    <t>جهود الكوادر</t>
  </si>
  <si>
    <t xml:space="preserve">مكافاه تصوير طلاب </t>
  </si>
  <si>
    <t>مكافاه اعداد صفحه الكليه</t>
  </si>
  <si>
    <t>مكافاه بعد مواعيد العمل مكتب وكيل خدمه المجتمع</t>
  </si>
  <si>
    <t>مكافاه تحضير لجان مكتب وكيل خدمه مجتمع</t>
  </si>
  <si>
    <t>مكافاه احصائيات دراسات عليا</t>
  </si>
  <si>
    <t>جهود اعداد مهرجان رياضى</t>
  </si>
  <si>
    <t>مكافاه بعد مواعيد فريد مصطفى</t>
  </si>
  <si>
    <t xml:space="preserve">جهود السائقين لنقل الطلاب </t>
  </si>
  <si>
    <t>مكافاه زياره تدريب</t>
  </si>
  <si>
    <t>مكافاه اعمال سباكه</t>
  </si>
  <si>
    <t>مكافاه تعليم الكترونى بعد مواعيد</t>
  </si>
  <si>
    <t xml:space="preserve">مكافاه فرق الاشراف كادر المهن </t>
  </si>
  <si>
    <t>مكافاه اشراف ديسمبر</t>
  </si>
  <si>
    <t>فرق ترقيه لاشراف درجه اولى</t>
  </si>
  <si>
    <t>مكافاه تصحيح ماده طب طوارئ</t>
  </si>
  <si>
    <t>مكافاه ساعات معتمده كيمياء حيويه</t>
  </si>
  <si>
    <t>مكافاه ساعات معتمده طب مجتمع</t>
  </si>
  <si>
    <t>مكافاه ساعات معتمده طب طبيعى</t>
  </si>
  <si>
    <t>مكافاه ساعات معتمده طفيليات</t>
  </si>
  <si>
    <t>مكافاه ساعات معتمده فسيولوجى</t>
  </si>
  <si>
    <t>مكافاه ساعات معتمده اطفال</t>
  </si>
  <si>
    <t>مكافاه ساعات معتمده مناطق حاره</t>
  </si>
  <si>
    <t>مكافاه ساعات معتمده تعليم طبى</t>
  </si>
  <si>
    <t>مكافاه ساعات معتمده طب شرعى</t>
  </si>
  <si>
    <t>مكافاه الخدمه العامه نوفمبر</t>
  </si>
  <si>
    <t>مكافاه وحده بيت حيوان نوفمبر</t>
  </si>
  <si>
    <t xml:space="preserve">مكافاه تجديد طفايات حريق </t>
  </si>
  <si>
    <t>جهود ماجستير غرس خريف حكيمات</t>
  </si>
  <si>
    <t>مكافاه تدريس ماجستير غرس ا ه ت</t>
  </si>
  <si>
    <t>مكافاه اداريه واشرافيه ماجستير غرس ا ه ت</t>
  </si>
  <si>
    <t>مكافاه منسقى مقرارات ماجستير غرس ا ه ت</t>
  </si>
  <si>
    <t>جهود ماجستير غرس خريف مؤقتين</t>
  </si>
  <si>
    <t>مكافاه وحده ضمان الجوده اداريين</t>
  </si>
  <si>
    <t>مكافاه وحده ضمان الجوده اه ت</t>
  </si>
  <si>
    <t>مكافاه الابتكارات التربويه مؤقتين</t>
  </si>
  <si>
    <t>مكافاه الابتكارات التربويه معيدين</t>
  </si>
  <si>
    <t>جهود نهايه الترم الاول مؤقتين</t>
  </si>
  <si>
    <t>جهود نهايه الترم الاول اداريين</t>
  </si>
  <si>
    <t>جهود اداره قانونيه يناير (محامى كليه )</t>
  </si>
  <si>
    <t>جهود اداره قانونيه يناير (سكرتاريه )</t>
  </si>
  <si>
    <t>مكافاه القياس والتقويم مؤقتين</t>
  </si>
  <si>
    <t>حافز امن خدمات معاونه يناير</t>
  </si>
  <si>
    <t>جهود الخزينه يناير</t>
  </si>
  <si>
    <t>مكافاه القياس والتقويم ا ه ت</t>
  </si>
  <si>
    <t>مكافاه اعمال متميزه اداريين يناير</t>
  </si>
  <si>
    <t>مكافاه اعمال متميزه مؤقتين يناير</t>
  </si>
  <si>
    <t>مكافاه جهود عملى اداريين ccc</t>
  </si>
  <si>
    <t>جهود عيادات ماليزى ا ه ت</t>
  </si>
  <si>
    <t>جهود خدمات تعليميه ا ه ت (افادات )</t>
  </si>
  <si>
    <t>مكافاه اداريه اضافيه ا ه ت</t>
  </si>
  <si>
    <t>مكافاه اشراف عيادات ومعامل ا ه ت ديسمبر</t>
  </si>
  <si>
    <t xml:space="preserve">جهود توفير شهادات اداريين </t>
  </si>
  <si>
    <t>مكافه ملفات جوده حكيمات ديسمبر</t>
  </si>
  <si>
    <t>مكافه ملفات جوده مؤقتين ديسمبر</t>
  </si>
  <si>
    <t>جهود عيادات ماليزى اداريين</t>
  </si>
  <si>
    <t>مكافاه اعمال متميزه ا ه ت يناير</t>
  </si>
  <si>
    <t>مكافاه تحصيل عمله محليه اداريين</t>
  </si>
  <si>
    <t>جهود خدمات تعليميه مؤقتين (افادات )</t>
  </si>
  <si>
    <t>مكافاه تحصيل عمله محليه مؤقتين</t>
  </si>
  <si>
    <t>جهود مستلزمات خريف اداريين</t>
  </si>
  <si>
    <t>جهود تعليم الكترونى معيدين ديسمبر</t>
  </si>
  <si>
    <t>مكافاه بيان قيادات يناير</t>
  </si>
  <si>
    <t>مكافاه بيان منسقين يناير</t>
  </si>
  <si>
    <t>مكافاه بيان اداريين يناير</t>
  </si>
  <si>
    <t>مكافاه بيان مؤقتين  يناير</t>
  </si>
  <si>
    <t>جهود عن تفعيل مستندات دفع الكترونى يناير</t>
  </si>
  <si>
    <t>جهود قسم الاضابير يناير</t>
  </si>
  <si>
    <t>جهود اداره قانونيه يناير</t>
  </si>
  <si>
    <t>جهود العيادات الشامله مؤقتين</t>
  </si>
  <si>
    <t>جهود العيادات الشامله حكيمات</t>
  </si>
  <si>
    <t>جهود العيادات الشامله ا ه ت</t>
  </si>
  <si>
    <t>مكافاه تدريس مانشيستر اولى</t>
  </si>
  <si>
    <t>مكافاه تدريس فرقه ثانيه</t>
  </si>
  <si>
    <t>15/1/2024</t>
  </si>
  <si>
    <t>مرتبات مؤقتين يناير</t>
  </si>
  <si>
    <t xml:space="preserve">رعايه طفل </t>
  </si>
  <si>
    <t>مكافاه تدريس فرقه خامسه</t>
  </si>
  <si>
    <t>مكافاه منسقى مقرارات مانشيستر ا ه ت</t>
  </si>
  <si>
    <t>جهود مشاركه مانشيستر فصل موازنه</t>
  </si>
  <si>
    <t>جهود مشاركه مانشيستر اداريين</t>
  </si>
  <si>
    <t>اجمالى 14/1/2023</t>
  </si>
  <si>
    <t>اجمالى 15/1/2024بيرول</t>
  </si>
  <si>
    <t>اجمالى من 6770 الى 6778 بتاريخ 18/1/2024بيرول</t>
  </si>
  <si>
    <t>استقطاع وثيقه تامين اجتماعى ديسمبر(صيدلة )</t>
  </si>
  <si>
    <t>استقطاع قرض حسن ديسمبر (صيدلة )</t>
  </si>
  <si>
    <t>استقطاع تكريم الشهداء (طب )</t>
  </si>
  <si>
    <t>استقطاع وثيقه تامين اجتماعى ديسمبر(اسنان )</t>
  </si>
  <si>
    <t>رد ضمان اعمال ساميت للحلول التقنيه</t>
  </si>
  <si>
    <t xml:space="preserve">رد تامين نهائى شركه تارجت تكنولوجى (صيدلة ) </t>
  </si>
  <si>
    <t xml:space="preserve"> ارباح تجاريه وصناعيه من اكتوبر الى ديسمبر 2023</t>
  </si>
  <si>
    <t>مجمع علمى صيدلة</t>
  </si>
  <si>
    <t xml:space="preserve">شركه المجموعه الطبيه </t>
  </si>
  <si>
    <t>ناقص تسميح قيد الدفع المقدم</t>
  </si>
  <si>
    <t xml:space="preserve">جهاز مشروعات الخدمه الوطنيه توريد وتركيب مصاعد </t>
  </si>
  <si>
    <t>دعم رسائل ساره على محمد</t>
  </si>
  <si>
    <t>نجلاء وهبه حامد شراء بوتجاز مسطح</t>
  </si>
  <si>
    <t>مكافاه نشر ايرينى تادروس</t>
  </si>
  <si>
    <t xml:space="preserve">مكافاه نشر ساره على </t>
  </si>
  <si>
    <t>مكافاه نشر دينا محمد</t>
  </si>
  <si>
    <t xml:space="preserve">مكافاه نشر مى اسامه </t>
  </si>
  <si>
    <t>حكم حافز اعتماد مى شحاته</t>
  </si>
  <si>
    <t>ج غير عاديه امتحان يوميه</t>
  </si>
  <si>
    <t>جهد الاستعداد للامتحانات</t>
  </si>
  <si>
    <t>مكافاه اداريين وعمال ديسمبر</t>
  </si>
  <si>
    <t>حافز اداء ديسمبر</t>
  </si>
  <si>
    <t>مكافاه عمال يوميه يناير</t>
  </si>
  <si>
    <t>مكافاه تكنولوجيا معلومات يناير</t>
  </si>
  <si>
    <t>مكافاه تنظيم ورشه عمل خارجى</t>
  </si>
  <si>
    <t>ج احمد عبد اللطيف</t>
  </si>
  <si>
    <t>مكافاه تدريس فصل صيفى</t>
  </si>
  <si>
    <t>مكافاه لجنه اجازات وجوبيه</t>
  </si>
  <si>
    <t>مكافاه تدريب صيادله</t>
  </si>
  <si>
    <t>مكافاه علاقات ثقافيه ديسمبر</t>
  </si>
  <si>
    <t>مكافاه اعداد مجلس يناير</t>
  </si>
  <si>
    <t>مكافاه لجنه البرامج الجديده</t>
  </si>
  <si>
    <t>ج هند رضا يناير</t>
  </si>
  <si>
    <t>مكافاه نقل سجلات دراسيه</t>
  </si>
  <si>
    <t>مكافاه شؤن ماليه ديسمبر</t>
  </si>
  <si>
    <t>مكافاه رعايه طلاب وافدين يناير</t>
  </si>
  <si>
    <t>مكافاه اعمال مجلس تنفييذى يناير</t>
  </si>
  <si>
    <t>تعديل استماره 6624</t>
  </si>
  <si>
    <t>مكافاه مراقبه امتحانات</t>
  </si>
  <si>
    <t>مكافاه لجان فرقه خامسه</t>
  </si>
  <si>
    <t>عب تدريس فرقه سادسه</t>
  </si>
  <si>
    <t>مكافاه ساعات معتمده برنامج</t>
  </si>
  <si>
    <t>مكافاه الشهرى الشفوى للساده الكلفين</t>
  </si>
  <si>
    <t>تعديل استماره 6556</t>
  </si>
  <si>
    <t>تعديل استماره 6560</t>
  </si>
  <si>
    <t>مكافاه صحه سيارات مكتب وكيل</t>
  </si>
  <si>
    <t>جهود معاونه للوحده الحسابيه</t>
  </si>
  <si>
    <t>جهد سكرتاريه مانشيستر</t>
  </si>
  <si>
    <t>مكافاه مراجعات ماليزى</t>
  </si>
  <si>
    <t xml:space="preserve">جهود شؤن عامه </t>
  </si>
  <si>
    <t>مكافاه ماموريات مشرف حسابات الدولى</t>
  </si>
  <si>
    <t>مكافاه ماموريات حسابات الدولى</t>
  </si>
  <si>
    <t>مكافاه خدمه مواطنيين</t>
  </si>
  <si>
    <t>مكافاه 30% علاقات ثقافيه</t>
  </si>
  <si>
    <t>مكافاه مشرف ديزل</t>
  </si>
  <si>
    <t xml:space="preserve">مكافاه امتحانات الكترونيه </t>
  </si>
  <si>
    <t>مكافاه بعد المواعيد العمل دعم فنى</t>
  </si>
  <si>
    <t>مكافاه بعد المواعيد مكتب وكيل دراسات</t>
  </si>
  <si>
    <t>مكافاه ماموريه سائق منصور بشير</t>
  </si>
  <si>
    <t xml:space="preserve">مكافاه تحصيل الكترونى </t>
  </si>
  <si>
    <t>مكافاه خدمه ا ه ت</t>
  </si>
  <si>
    <t>مكافاه مراقبين اداريين بالمواساه</t>
  </si>
  <si>
    <t>مكافاه سكرتاريه شعبه فرنسيه</t>
  </si>
  <si>
    <t>مكافاه مساعدى وكلاء دراسات عليا</t>
  </si>
  <si>
    <t>مكافاه منسق طبى وفنى معمل بالمركز</t>
  </si>
  <si>
    <t>مكافاه منسق ابحاث اكلينكى</t>
  </si>
  <si>
    <t>مكافاه متابعه اقسام البرنامج بالمواساه</t>
  </si>
  <si>
    <t>مكافاه اشراف على محاضرات</t>
  </si>
  <si>
    <t>مكافاه مسؤل موقع مانشيستر</t>
  </si>
  <si>
    <t>جهود بعد المواعيد طارق رشاد</t>
  </si>
  <si>
    <t>مكافاه منسق قسم باطنه</t>
  </si>
  <si>
    <t>تعدي استماره 6603</t>
  </si>
  <si>
    <t>مكافاه مركز ابحاث / ندوى محمد</t>
  </si>
  <si>
    <t>مكافاه مركز ابحاث / ساره حسن</t>
  </si>
  <si>
    <t>مكافاه حفل تخرج برنامج عام</t>
  </si>
  <si>
    <t>مكافاه اجازات وترقيات ا ه ت</t>
  </si>
  <si>
    <t>مكافاه جهد بدل مخاطر</t>
  </si>
  <si>
    <t>جهود غرف الحفظ</t>
  </si>
  <si>
    <t>جهود محمد بركات</t>
  </si>
  <si>
    <t>مكافاه اعمال امتحان وافدين</t>
  </si>
  <si>
    <t>مكافاه كنترول برنامج عام</t>
  </si>
  <si>
    <t xml:space="preserve">مكافاه مراجعات طب مجتمع </t>
  </si>
  <si>
    <t>مكافاه ملاحظه امتحان</t>
  </si>
  <si>
    <t>مكافاه كنترول برنامج</t>
  </si>
  <si>
    <t>مكافاه ختم النسر ديسمبر</t>
  </si>
  <si>
    <t>مكافاه تحصيل مصروفات ديسمبر</t>
  </si>
  <si>
    <t>مكافاه ايرادات مجله ديسمبر</t>
  </si>
  <si>
    <t>دعم رسائل ايه كامل بربرى</t>
  </si>
  <si>
    <t>سلفه مؤقته / هانى السيد حسن</t>
  </si>
  <si>
    <t>مبلغ مستحق وحده كلية زراعه للزينه والتجميل</t>
  </si>
  <si>
    <t>الشركه المتحده للانظمه والاتصالات صيانه انذار حريق</t>
  </si>
  <si>
    <t>هبه شعبان قاسم (استرداد قيمه فواتير مستلزمات المشروع القومى للجينوم</t>
  </si>
  <si>
    <t>الشركه العالميه للاتصالات الهندسيه صيانه سنترال</t>
  </si>
  <si>
    <t>شركه ديجيتك صيانه ماكينه تصوير</t>
  </si>
  <si>
    <t>وزاره الدفاع جهاز مشروعات الخدمه الوطنيه قيمه اعمال النظافه من 18/11/2023 الى 17/12/2023</t>
  </si>
  <si>
    <t>الدوليه للاتصالات ونظم المعلومات قيمه شراء 8 بصمه حضور</t>
  </si>
  <si>
    <t>شركه نيولاب (ربيع محمد حسن شراء اجهزه )</t>
  </si>
  <si>
    <t>تعديل استماره 6740</t>
  </si>
  <si>
    <t>اجمالى 16/1/2024</t>
  </si>
  <si>
    <t>مكافاه بيان يناير</t>
  </si>
  <si>
    <t>18/1/2024</t>
  </si>
  <si>
    <t xml:space="preserve">استقطاع نفقه الكترونيه سهيله محمد </t>
  </si>
  <si>
    <t>عكس استماره 6556</t>
  </si>
  <si>
    <t>عكس استماره 6560</t>
  </si>
  <si>
    <t>عكس استماره 6603</t>
  </si>
  <si>
    <t>فرق اجر مكمل اسماء مصطفى</t>
  </si>
  <si>
    <t>مكافاه جوده ديسمبر</t>
  </si>
  <si>
    <t>مكافاه ابحاث اكلينكيه</t>
  </si>
  <si>
    <t>جهود المستعان بهم يناير</t>
  </si>
  <si>
    <t>مكافاه منسقين جروب f</t>
  </si>
  <si>
    <t>مكافاه جهد تبليغ المراقبين الامتحانات</t>
  </si>
  <si>
    <t>مكافاه اجازات وجوبيه</t>
  </si>
  <si>
    <t>مكافاه برنامج دولى يناير</t>
  </si>
  <si>
    <t>مكافاه منسقين برنامج عام يناير</t>
  </si>
  <si>
    <t>مكافاه الهيكل الادارى يناير</t>
  </si>
  <si>
    <t>مرتبات الشيفت يناير</t>
  </si>
  <si>
    <t>جهود امتحانات الكترونيه</t>
  </si>
  <si>
    <t>مكافاه اعمال اللجنه الطبيه</t>
  </si>
  <si>
    <t>مكافها التواجد بعد المواعيد ديسمبر</t>
  </si>
  <si>
    <t>مكافاه التميز للعاملين بالمركز نوفمبر</t>
  </si>
  <si>
    <t>مكافاه التميز للعاملين بالمركز ديسمبر</t>
  </si>
  <si>
    <t>مكافاه ملاعب ديسمبر</t>
  </si>
  <si>
    <t>عب تدريس جراحه تجميل</t>
  </si>
  <si>
    <t>عب تدريس قسم ميكروبيولوجى</t>
  </si>
  <si>
    <t>عب تدريس الاوعيه الدمويه</t>
  </si>
  <si>
    <t>عب تدريس كيمياء</t>
  </si>
  <si>
    <t>عادل على كوته صيانه 15 وحده معالجه مياه من 12/9/2023 الى 11/12/2023</t>
  </si>
  <si>
    <t>شركه تكنوتريد شراء كارنيه مطبوع وجهين ملون</t>
  </si>
  <si>
    <t>مركز البدوى لصيانه اجهزه الاتصالات صيانه سنترال كليه من شهر 9 الى شهر 11</t>
  </si>
  <si>
    <t>سلفه مؤقته / رشيد احمد الصاوى</t>
  </si>
  <si>
    <t>سلفه مؤقته / ياسمين عصام الدين</t>
  </si>
  <si>
    <t>سلفه مؤقته / مصطفى احمد عبده</t>
  </si>
  <si>
    <t>قيمه 80% قيمه مضافه لصالح مصلحه الضرائب</t>
  </si>
  <si>
    <t>استقطاع وثيقه تامين اجتماعى مختلط (طب )</t>
  </si>
  <si>
    <t>اجمالى 22/1/2024</t>
  </si>
  <si>
    <t>اجمالى من 7104 الى 7105 بتاريخ 18/1/2024 بيرول</t>
  </si>
  <si>
    <t>اجمالى 18/1/2024بيرول</t>
  </si>
  <si>
    <t>تعديل استماره 6825 فى 16/1من ضمان اعمال الى اوامر دفع بمبلغ 12640.4ج</t>
  </si>
  <si>
    <t>بتاريخ 24/1</t>
  </si>
  <si>
    <t xml:space="preserve">اضافى حافز امن طب تجميعى </t>
  </si>
  <si>
    <t>اجمالى 24/1/2024 بيرول</t>
  </si>
  <si>
    <t>17/1/2024</t>
  </si>
  <si>
    <t>ظبط بنود المرتبات لحين تعزيز الوزاره لضيق الوقت بتاريخ 17/12/2024</t>
  </si>
  <si>
    <t>من ديون مستحقه الى مطلوبات</t>
  </si>
  <si>
    <t>سداد سلفه مؤقته/ محمد على عبد المنعم</t>
  </si>
  <si>
    <t xml:space="preserve">سداد سلفه مؤقته/ هويدا مصطفى </t>
  </si>
  <si>
    <t>قيمه المستحقات الخاصه بمركز مؤتمرات</t>
  </si>
  <si>
    <t>ق توريد 855986</t>
  </si>
  <si>
    <t>ق توريد 855983</t>
  </si>
  <si>
    <t>ق توريد 855981</t>
  </si>
  <si>
    <t>ق توريد 855980</t>
  </si>
  <si>
    <t>ق توريد 858684</t>
  </si>
  <si>
    <t>ق توريد 855982</t>
  </si>
  <si>
    <t>ق توريد 855985</t>
  </si>
  <si>
    <t>ق توريد 855984</t>
  </si>
  <si>
    <t>ق توريد 855974</t>
  </si>
  <si>
    <t>ق توريد 855976</t>
  </si>
  <si>
    <t>ق توريد 855973</t>
  </si>
  <si>
    <t>ق توريد 858685</t>
  </si>
  <si>
    <t>ق توريد 855978</t>
  </si>
  <si>
    <t>ق توريد 855977</t>
  </si>
  <si>
    <t>ق توريد 855975</t>
  </si>
  <si>
    <t>ق توريد 855979</t>
  </si>
  <si>
    <t>ق توريد 858686</t>
  </si>
  <si>
    <t>سداد سلفه مؤقته/ محمد خليل</t>
  </si>
  <si>
    <t>خطاب ضمان هيثم منصور محمود</t>
  </si>
  <si>
    <t>كشف بنك نوفمبر</t>
  </si>
  <si>
    <t>اجمالى 23/1/2023 تسويات</t>
  </si>
  <si>
    <t>30/1/2024</t>
  </si>
  <si>
    <t>قيمه وفرات هندسيه مقاولون عرب</t>
  </si>
  <si>
    <t xml:space="preserve">قيد تضمنى عيد اضحى </t>
  </si>
  <si>
    <t>اجمالى 30/1/2024 تسويات</t>
  </si>
  <si>
    <t xml:space="preserve">مبالغ ضمان اعمال مضى عليها المده القانونيه </t>
  </si>
  <si>
    <t>تسويه فارغه</t>
  </si>
  <si>
    <t>تسويه دفع مقدم مكتبه الاسكندريه</t>
  </si>
  <si>
    <t>وحده حسابيه صناديق يناير</t>
  </si>
  <si>
    <t>وحده حسابيه مدفوعات يناير</t>
  </si>
  <si>
    <t>سداد سلفه /رحاب عبدالله</t>
  </si>
  <si>
    <t>خدمه عامة</t>
  </si>
  <si>
    <t>قسيمه توريد 858690</t>
  </si>
  <si>
    <t>قسيمه توريد 858688</t>
  </si>
  <si>
    <t>خطاب ضمان الرحاب للمقاولات (طب )</t>
  </si>
  <si>
    <t>خطاب ضمان مكتب الاندلس للمقاولات</t>
  </si>
  <si>
    <t>قيمه المستحقات الخاصه بمركز مؤتمرات على حجز الملعب</t>
  </si>
  <si>
    <t>من اصول الى بابا سادس (تعديل )</t>
  </si>
  <si>
    <t>اجمالى 31/1/2024 تسويات</t>
  </si>
  <si>
    <t>الهيئه القوميه للتامين الاجتماعى (معاشات نوفمبر)</t>
  </si>
  <si>
    <t>استقطاع النفقه الالكترونيه سامح نجاح نوفمبر</t>
  </si>
  <si>
    <t>استقطاع نفقه سهيله محمد مسعد نوفمبر</t>
  </si>
  <si>
    <t>ضريبه الدخل نوفمبر</t>
  </si>
  <si>
    <t>ضريبه الدمغه نوفمبر</t>
  </si>
  <si>
    <t>عموله تحصيل نوفمبر</t>
  </si>
  <si>
    <t>استقطاع اتصالات جروب نوفمبر</t>
  </si>
  <si>
    <t>استقطاع اتوبيس الجامعه نوفمبر</t>
  </si>
  <si>
    <t>استقطاع اشتراك اللجنه النقابيه نوفمبر</t>
  </si>
  <si>
    <t>استقطاع النقابه العامه نوفمبر</t>
  </si>
  <si>
    <t>استقطاع جمعيه الخدمات نوفمبر</t>
  </si>
  <si>
    <t>استقطاع سيجينال تكنيكال نوفمبر</t>
  </si>
  <si>
    <t>استقطاع شركه مصر لتامينات الحياه نوفمبر</t>
  </si>
  <si>
    <t>استقطاع صندوق التكافل الاجتماعى نوفمبر</t>
  </si>
  <si>
    <t>استقطاع صندوق تكريم الشهداء نوفمبر</t>
  </si>
  <si>
    <t>استقطاع صندوق دعم ذوى الاعاقه نوفمبر</t>
  </si>
  <si>
    <t>استقطاع قرض التكافل نوفمبر</t>
  </si>
  <si>
    <t>استقطاع نقابه العاملين نوفمبر</t>
  </si>
  <si>
    <t>30/11</t>
  </si>
  <si>
    <t>خاص بمبالغ الايرادات فى استمارات البيرول (استماره 446 )</t>
  </si>
  <si>
    <t>خاص بمبالغ الايرادات فى استمارات البيرول (استماره 1381)</t>
  </si>
  <si>
    <t>اجمالى 2/12/2023</t>
  </si>
  <si>
    <t>مكافاه بعد المواعيد غرفه امتحانات</t>
  </si>
  <si>
    <t>ج ص تكافل لرعايه الشباب</t>
  </si>
  <si>
    <t xml:space="preserve">مكافاه صحه وسلامه مهنيه </t>
  </si>
  <si>
    <t xml:space="preserve">مكافاه برتوكول ابحاث اكلينكى </t>
  </si>
  <si>
    <t>مكافاه بعد المواعيد عاملين بالقنصليه</t>
  </si>
  <si>
    <t>ج بعد المواعيد للعمل نوفمبر</t>
  </si>
  <si>
    <t>مكافاه بعد المواعيد حسن ناجى</t>
  </si>
  <si>
    <t>مكافاه سكرتاريه لجنه الاخلاقيات</t>
  </si>
  <si>
    <t>مكافاه مركز ابحاث اكلينكى</t>
  </si>
  <si>
    <t>مكافاه الماليزى عن اكتوبر</t>
  </si>
  <si>
    <t xml:space="preserve">مكافاه حضور اللجان </t>
  </si>
  <si>
    <t xml:space="preserve">مكافاه مواقع الكترونى </t>
  </si>
  <si>
    <t>مكافاه اعمال متابعه البرنامج</t>
  </si>
  <si>
    <t xml:space="preserve">مكافاه خاصه بوحده الجوده </t>
  </si>
  <si>
    <t xml:space="preserve">مكافاه لجان توريدات </t>
  </si>
  <si>
    <t>مكافاه لجان البرنامج</t>
  </si>
  <si>
    <t>مكافاه اداره هندسيه مواساه</t>
  </si>
  <si>
    <t>ج معاونه الوحده الحسابيه نوفمبر</t>
  </si>
  <si>
    <t>جهد خدمه مجتمع وخدمه عامه من 1/9/2023</t>
  </si>
  <si>
    <t>7891م</t>
  </si>
  <si>
    <t>مكافاه علاوه غلاء هديل عادل من مارس حتى اغسطس 2023</t>
  </si>
  <si>
    <t>مكافاه نشاط ميكرسكوب سبتمبر</t>
  </si>
  <si>
    <t>مكافاه اطباء وعاملين بالاشعه يوليو</t>
  </si>
  <si>
    <t>مكافاه اطباء وعاملين بالاشعه اغسطس</t>
  </si>
  <si>
    <t>مكافاه اطباء وعاملين بالاشعه سبتمبر</t>
  </si>
  <si>
    <t>جهود بيت الحيوان اكتوبر</t>
  </si>
  <si>
    <t>مكافاه وحده الاختبار اكتوبر</t>
  </si>
  <si>
    <t>مكافاه اداريين وحده علاج تخصصى سبتمبر</t>
  </si>
  <si>
    <t>مكافاه ناشرين ومشاركين تحصيل كتب</t>
  </si>
  <si>
    <t xml:space="preserve">مكافاه نشر علمى </t>
  </si>
  <si>
    <t>تعديل  استماره 3991 بمبلغ 10 ج تم الادخال فى تاريخ 30/11/2023</t>
  </si>
  <si>
    <t>مكافاه تكنولوجيا معلومات نوفمبر</t>
  </si>
  <si>
    <t>ج شيرين احمد نوفمبر</t>
  </si>
  <si>
    <t>ج داليا احمد نوفمبر</t>
  </si>
  <si>
    <t>مكافاه رعايه طلاب وافدين</t>
  </si>
  <si>
    <t xml:space="preserve">مكافاه حضور اجتماع </t>
  </si>
  <si>
    <t>مكافاه اعمال لجنه نوفمبر</t>
  </si>
  <si>
    <t>حافز اداء نوفمبر</t>
  </si>
  <si>
    <t>مكافاه اداريين وعمال نوفمبر</t>
  </si>
  <si>
    <t>مكافاه اعمال مجلس نوفمبر</t>
  </si>
  <si>
    <t>مكافاه مجلس تنفيذى نوفمبر</t>
  </si>
  <si>
    <t>مكافاه منسقين برنامج عام نوفمبر ا ه ت</t>
  </si>
  <si>
    <t>مكافاه سكاشن ليليه نوفمبر اداريين</t>
  </si>
  <si>
    <t>جهود وحده الامن نوفمبر</t>
  </si>
  <si>
    <t>مكافاه مشاركه فى البرنامج نوفمبر اداريين</t>
  </si>
  <si>
    <t>جهود الشفه الارنبيه حكيمات</t>
  </si>
  <si>
    <t>جهود السفر للشراء الموحد اداريين</t>
  </si>
  <si>
    <t>مكافاه ساعات اضافيه اداريين نوفمبر</t>
  </si>
  <si>
    <t>جهود قسم المشتريات نوفمبر</t>
  </si>
  <si>
    <t>جهود الشؤن الاداريه نوفمبر اداريين</t>
  </si>
  <si>
    <t>جهود المراجعه اللاحقه نوفمبر اداريين</t>
  </si>
  <si>
    <t>جهود ميدتيرم اداريين</t>
  </si>
  <si>
    <t>مكافاه اعمال اضافيه فنيين نوفمبر</t>
  </si>
  <si>
    <t>جهود المدرجات خدمات معاونه</t>
  </si>
  <si>
    <t>جهود ضرايب احمد شعبان اكتوبر ونوفمبر</t>
  </si>
  <si>
    <t xml:space="preserve">مكافاه انتظام حصص عمليه الحضرى نوفمبر ايمان حلمى </t>
  </si>
  <si>
    <t>مكافاه انتظام حصص عمليه الحضرى نوفمبر حكيمات وفنيين</t>
  </si>
  <si>
    <t>مكافاه سكاشن ليليه نوفمبر مؤقتين</t>
  </si>
  <si>
    <t>مكافاه انتظام حصص عمليه الحضرى نوفمبر مؤقتين</t>
  </si>
  <si>
    <t>مكافاه مشاركه فى البرنامج نوفمبر مؤقتين</t>
  </si>
  <si>
    <t>جهود ميدتيرم مؤقتين</t>
  </si>
  <si>
    <t>جهود المراجعه اللاحقه نوفمبر مؤقتين</t>
  </si>
  <si>
    <t>جهود الشؤن الاداريه نوفمبر مؤقتين</t>
  </si>
  <si>
    <t>مكافاه ساعات اضافيه مؤقتين نوفمبر</t>
  </si>
  <si>
    <t>مكافاه اعمال اضافيه مؤقتين نوفمبر</t>
  </si>
  <si>
    <t>مكافاه انتظام حصص عمليه دراسات نوفمبر مؤقتين</t>
  </si>
  <si>
    <t>مكافاه انتظام حصص عمليه دراسات نوفمبر ا ه ت</t>
  </si>
  <si>
    <t>شركه هاى تكنولوجى صيانه عدد 61 وحده اسنان من فبراير الى ابريل 2023</t>
  </si>
  <si>
    <t xml:space="preserve">شركه الفتح للمقاولات احمد رجب عبد العزيز اصلاح باب زجاجى </t>
  </si>
  <si>
    <t>الجمعيه التعاونيه للبترول شراء عدد 2 كارت ذكى لمنظومه الوقود</t>
  </si>
  <si>
    <t>مؤسسه الفتح للتوريدات الكهربائيه قيمه شراء ادوات سباكه</t>
  </si>
  <si>
    <t>سالم محمد سالم (ايكوال للتجاره شراء مستلزمات )</t>
  </si>
  <si>
    <t xml:space="preserve">الشركه الدوليه للاتصالات ونظم معلومات </t>
  </si>
  <si>
    <t>سالم محمد سالم (ايكوال للتجاره شراء واجبات ومشروبات)</t>
  </si>
  <si>
    <t>شركه بيوميريو ايجيبت اصلاح جهاز</t>
  </si>
  <si>
    <t>شركه مصر للهندسه والتجاره ميتكا صيانه مصعد</t>
  </si>
  <si>
    <t>الشركه المتحده لمهمات المكاتب اصلاح ماكينه تصوير</t>
  </si>
  <si>
    <t>شركه ديجيتك شراء احبار</t>
  </si>
  <si>
    <t xml:space="preserve">شركه جين تك </t>
  </si>
  <si>
    <t xml:space="preserve">مكافاه نشر/ مريم محمد على </t>
  </si>
  <si>
    <t xml:space="preserve">دعم رسائل / محمد حسين </t>
  </si>
  <si>
    <t xml:space="preserve">دعم رسائل / ساره السيد </t>
  </si>
  <si>
    <t>تم الغائها برقم 5441</t>
  </si>
  <si>
    <t>شركه سنترو فارم</t>
  </si>
  <si>
    <t>شركه صلاح الدين للتوريدات شراء هارد</t>
  </si>
  <si>
    <t xml:space="preserve">شركه فيوتشر مصر للتوريدات شراء 20 جهاز بصمه </t>
  </si>
  <si>
    <t>اجمالى 3/12/2023</t>
  </si>
  <si>
    <t>الهيئه القوميه للتامين الاجتماعى (معاشات نوفمبر )</t>
  </si>
  <si>
    <t>مكافاه رعايه زرع اكتوبر</t>
  </si>
  <si>
    <t>عب تدريس وحده سكر</t>
  </si>
  <si>
    <t>عب تدريس طب مسنين</t>
  </si>
  <si>
    <t>عب تدريس برنامج مانشييستر</t>
  </si>
  <si>
    <t>مراجعات نظريه دور ثانى</t>
  </si>
  <si>
    <t>عب تدريس امراض باطنه</t>
  </si>
  <si>
    <t>عب تدريس ميكروبيولوجيا</t>
  </si>
  <si>
    <t>مراجعات تراكمى دور ثانى</t>
  </si>
  <si>
    <t>مكافاه منسقين رؤساء اقسام</t>
  </si>
  <si>
    <t xml:space="preserve">محاضرات عمليه لقسم الجراحه </t>
  </si>
  <si>
    <t>محاضرات عمليه كبد ومراره</t>
  </si>
  <si>
    <t>عب تدريس تخدير</t>
  </si>
  <si>
    <t>مكافاه منسقين تعليم طبى</t>
  </si>
  <si>
    <t>عب تدريس طفيليات</t>
  </si>
  <si>
    <t>مدربين طلبه فرقه خامسه</t>
  </si>
  <si>
    <t xml:space="preserve">مكافاه غرفه امتحان </t>
  </si>
  <si>
    <t>مراجعه تخلفات فصل ثانى</t>
  </si>
  <si>
    <t>مكافاه كنترول دور ثانى</t>
  </si>
  <si>
    <t>كنترول تخلفات فصل ثانى</t>
  </si>
  <si>
    <t>الحجار مصر شراء مستلزمات تشغيل عدد 2 وحده كمبرسور</t>
  </si>
  <si>
    <t>مكافاه اعمال نقل اجهزه</t>
  </si>
  <si>
    <t>مكافاه متابعه اداره هندسيه</t>
  </si>
  <si>
    <t>مكافاه مركز تدريب طبى بعد المواعيد</t>
  </si>
  <si>
    <t>مكافاه اعمال اضافيه تعليم الكترونى</t>
  </si>
  <si>
    <t>مكافاه اعمال اضافيه علاقات ثقافيه</t>
  </si>
  <si>
    <t>مكافاه اعمال اضافيه هيئه التدريس</t>
  </si>
  <si>
    <t>مكافاه سفر راجيه حسن</t>
  </si>
  <si>
    <t xml:space="preserve">مكافاه اعمال اضافيه مستشفيات </t>
  </si>
  <si>
    <t>مكافاه بعد المواعيد شؤن خريجين</t>
  </si>
  <si>
    <t>مكافاه حفله البرنامج</t>
  </si>
  <si>
    <t>مكافاه تنظيم حفل طلاب</t>
  </si>
  <si>
    <t>مكافاه تصوير حفل تخرج</t>
  </si>
  <si>
    <t>مكافاه تدريس صيفى عام اسنان</t>
  </si>
  <si>
    <t>تعديل استماره 5156</t>
  </si>
  <si>
    <t>اجمالى 5/12/2023</t>
  </si>
  <si>
    <t>الهيئه القوميه للتامين الاجتماعى (معاشات نوفمبر )فرق استماره 5253</t>
  </si>
  <si>
    <t>ج التخرج بمكتبه الاسكندريه</t>
  </si>
  <si>
    <t>ج منسقين باطنه</t>
  </si>
  <si>
    <t>بتاريخ 6/12/2023</t>
  </si>
  <si>
    <t>مكافاه عمرو المليجى</t>
  </si>
  <si>
    <t>مكافاه استقبال طلبه</t>
  </si>
  <si>
    <t>مكافاه اعداد دورات تدربيه شؤن طلبه</t>
  </si>
  <si>
    <t>مكافاه العاملين بعد المواعيد اكتوبر</t>
  </si>
  <si>
    <t>بدل مواصلات رحاب محمد سبتمبر واكتوبر</t>
  </si>
  <si>
    <t>مكافاه العاملين الشهريه نوفمبر</t>
  </si>
  <si>
    <t>مكافاه المدير التنفيذى نوفمبر</t>
  </si>
  <si>
    <t>مكافاه العميد نوفمبر</t>
  </si>
  <si>
    <t>اجمالى 7/12/2023</t>
  </si>
  <si>
    <t>عكس استماره 5245 شركه كايرو لخدمات الانتاج</t>
  </si>
  <si>
    <t>اجمالى 10/12/2023</t>
  </si>
  <si>
    <t xml:space="preserve">دعم رسائل لبنى محسن </t>
  </si>
  <si>
    <t>دعم رسائل دينا محمد محمد</t>
  </si>
  <si>
    <t>محمد خليل ابراهيم</t>
  </si>
  <si>
    <t>شركة ابى قير للصناعات الهندسيه (مصنع حربى )</t>
  </si>
  <si>
    <t>استرداد اشتراك النت الخاص بمركز الاسكندريه الطبى ا/ ايمان محمد مكاوى</t>
  </si>
  <si>
    <t>استرداد/ امل سليمان ابراهيم (الاقامه فى الفندق الحربى )</t>
  </si>
  <si>
    <t>وزاره الدفاع جهاز مشروعات الخدمه الوطنيه قيمه اعمال النظافه عن الفتره 18/10/2023حتى 17/11/2023</t>
  </si>
  <si>
    <t>كسب عمل نوفمبر</t>
  </si>
  <si>
    <t>دمغه عاديه نوفمبر</t>
  </si>
  <si>
    <t>ضرائب متنوعه نوفمبر</t>
  </si>
  <si>
    <t>تنميه موارد نوفمبر</t>
  </si>
  <si>
    <t xml:space="preserve">خ ت طب </t>
  </si>
  <si>
    <t>اجمالى 11/12/2023</t>
  </si>
  <si>
    <t xml:space="preserve">صندوق التكافل تمويل ذاتى </t>
  </si>
  <si>
    <t xml:space="preserve">مكافاه 75% كادر اكتوبر          </t>
  </si>
  <si>
    <t>مكافاه مصروفات دراسيه نوفمبر</t>
  </si>
  <si>
    <t>مكافاه ختم النسر نوفمبر</t>
  </si>
  <si>
    <t>مكافاه خدمه علاقات عامه</t>
  </si>
  <si>
    <t>جهد مركز الابحاث ديسمبر</t>
  </si>
  <si>
    <t>مكافاه علاقات عامه</t>
  </si>
  <si>
    <t>مكافاه ماموريات حسابات</t>
  </si>
  <si>
    <t>مكافاه نوباتجيه ديزل شاملبيون</t>
  </si>
  <si>
    <t>مكافاه مراقبين مواساه</t>
  </si>
  <si>
    <t>جهد استثنانى مانشيستر</t>
  </si>
  <si>
    <t>مكافاه زيارات تدريب ميدانى</t>
  </si>
  <si>
    <t>مكافاه مستحقات كيمايئين ديسمبر</t>
  </si>
  <si>
    <t>مكافاه مكتب وكيل خدمه مجتمع</t>
  </si>
  <si>
    <t>مكافاه امين مخزن لحفل التخرج</t>
  </si>
  <si>
    <t>مكافاه ماموريات مشرف عام برنامج</t>
  </si>
  <si>
    <t>مجلس كليه اكتوبر</t>
  </si>
  <si>
    <t>مكافاه محمد حمزه نوفمبر</t>
  </si>
  <si>
    <t>مكافاه قيادات البرنامج ا ه ت ديسمبر</t>
  </si>
  <si>
    <t>مكافاه بيان منسقين ديسمبر</t>
  </si>
  <si>
    <t>مكافاه اعمال متميزه منسقين ديسمبر</t>
  </si>
  <si>
    <t>مكافاه اعمال متميزه اداريين ديسمبر</t>
  </si>
  <si>
    <t>مكافاه بيان اداريين  ديسمبر</t>
  </si>
  <si>
    <t>حافز امن ديسمبر</t>
  </si>
  <si>
    <t>جهود خزينه ديسمبر</t>
  </si>
  <si>
    <t>ج قسم الاضابير ديسمبر</t>
  </si>
  <si>
    <t>جهود مراجعه عقود المشروع اداريين</t>
  </si>
  <si>
    <t>جهود مراجعه عقود المشروع محامى الكليه</t>
  </si>
  <si>
    <t>جهود مراجعه عقود الغرس اداريين</t>
  </si>
  <si>
    <t>جهود مراجعه عقود الغرس محامى الكليه</t>
  </si>
  <si>
    <t>جهود عمليه الكبروسور فنيين</t>
  </si>
  <si>
    <t>جهود زياره برشلونه خدمات معاونه</t>
  </si>
  <si>
    <t>جهود زياره برشلونه اداريين وخدمات معاونه</t>
  </si>
  <si>
    <t>جهود زياره مانشيسترخدمات معاونه</t>
  </si>
  <si>
    <t>جهود زياره مانشيسترفصل موازنه</t>
  </si>
  <si>
    <t>جهود الاداره القانونيه محمد عيد</t>
  </si>
  <si>
    <t>جهود الاداره القانونيه نجوى مرسى</t>
  </si>
  <si>
    <t>جهود الاداره القانونيه فصل موازنه</t>
  </si>
  <si>
    <t>مكافاه اعمال متميزه مؤقتين ديسمبر</t>
  </si>
  <si>
    <t>مكافاه بيان مؤقتين ديسمبر</t>
  </si>
  <si>
    <t>حافز الامن مؤقتين ديسمبر</t>
  </si>
  <si>
    <t>جهود لمهندسين الدفع الالكترونى ديسمبر مؤقتين</t>
  </si>
  <si>
    <t>جهود زياره برشلونه مؤقتين</t>
  </si>
  <si>
    <t>جهود زياره مانشيستر مؤقتين</t>
  </si>
  <si>
    <t>جهود عمليه الكبروسور مؤقتين</t>
  </si>
  <si>
    <t>جهود اوراق امتحانات عام مؤقتين</t>
  </si>
  <si>
    <t>جهود ملفات الخدمه (اداريين قسم المعاشات )</t>
  </si>
  <si>
    <t>جهود اوراق امتحانات عام اداريين</t>
  </si>
  <si>
    <t>مكافاه اعمال متميزه ديسمبر مى مصطفى (فرق )</t>
  </si>
  <si>
    <t>حضور مجلس اداره ديسمبر</t>
  </si>
  <si>
    <t xml:space="preserve">مكافاه وحده قياس التقويم </t>
  </si>
  <si>
    <t>مكافاه موقع مانشيستر</t>
  </si>
  <si>
    <t>جهود عمال الوحده الحسابيه</t>
  </si>
  <si>
    <t>مكافاه منسق شعبه فرنسيه</t>
  </si>
  <si>
    <t>مكافاه مشرف ديزل شامبليون</t>
  </si>
  <si>
    <t>مكافاه بعد مواعيد العمل</t>
  </si>
  <si>
    <t>جهود خدمه المواطنيين</t>
  </si>
  <si>
    <t>مكافاه سكرتاريه وعمال قسم الجراحه</t>
  </si>
  <si>
    <t>مكافاه معمل مهارات مانشيستر</t>
  </si>
  <si>
    <t>مكافاه جهود شئون خريجين</t>
  </si>
  <si>
    <t>مكافاه قاعده بيانات شؤن هيئه تدريس</t>
  </si>
  <si>
    <t>مكافاه مساعدين ووكلاء</t>
  </si>
  <si>
    <t>جهود تركيب الكشافات مؤقتين</t>
  </si>
  <si>
    <t>جهود تركيب الكشافات فنيين</t>
  </si>
  <si>
    <t>مكافاه شراء طابعات اداريين</t>
  </si>
  <si>
    <t>جهود وزن الكهنه قسم توريدات</t>
  </si>
  <si>
    <t>جهود سكرتاريه شؤن قانونيه</t>
  </si>
  <si>
    <t>جهود تركيب الكشافات اداريين</t>
  </si>
  <si>
    <t xml:space="preserve">عب تدريس تشريح </t>
  </si>
  <si>
    <t>عب تدريس قسم هستولوجيا</t>
  </si>
  <si>
    <t>مراجعه نظرى فرقه رابعه</t>
  </si>
  <si>
    <t>مراجعه نظريه ترم ثانى</t>
  </si>
  <si>
    <t>اجمالى 13/12/2023</t>
  </si>
  <si>
    <t>مرتب هبه مجمد محمود ديسمبر</t>
  </si>
  <si>
    <t>مرتبات مؤقتين ديسمبر</t>
  </si>
  <si>
    <t>رعايه طفل سمر سامى</t>
  </si>
  <si>
    <t>اجمالى 14/12/2023 بيرول</t>
  </si>
  <si>
    <t>عب تدريس وافدين</t>
  </si>
  <si>
    <t>عب تدريس جلديه</t>
  </si>
  <si>
    <t>عب تدريس جراحه مسالك</t>
  </si>
  <si>
    <t>عب تدريس جراحه اوعيه</t>
  </si>
  <si>
    <t>مكافاه الهيكل الادارى ديسمبر</t>
  </si>
  <si>
    <t>مكافاه الجهاز الادارى ديسمبر</t>
  </si>
  <si>
    <t>مكافاه العاملين بالشيفت ديسمبر</t>
  </si>
  <si>
    <t>مكافاه منسقين البرنامج ديسمبر</t>
  </si>
  <si>
    <t>مكافاه امتحانات الكترونيه اكتوبر</t>
  </si>
  <si>
    <t>مكافاه البرنامج الدولى ديسمبر</t>
  </si>
  <si>
    <t>فرق مكافاه محمد جمال سبتمبر الى نوفمبر</t>
  </si>
  <si>
    <t>مكافاه اعداد ومراجعه الخطط اداريين</t>
  </si>
  <si>
    <t>جهود ورشه عمل مانشيستر مؤقتين</t>
  </si>
  <si>
    <t>مكافاه تدريس مانشيستر ا ه ت</t>
  </si>
  <si>
    <t>مكافاه انتداب رعايه شباب نوفمبر</t>
  </si>
  <si>
    <t>مكافاه العاملين بالوحده اكتوبر</t>
  </si>
  <si>
    <t>مكافاه قسم التقويم اكتوبر</t>
  </si>
  <si>
    <t>مكافاه قسم الاطفال اكتوبر</t>
  </si>
  <si>
    <t>مكافاه قانونيه نوفمبر</t>
  </si>
  <si>
    <t>مكافاه رعايه شباب نوفمبر</t>
  </si>
  <si>
    <t>مكافاه عميد ووكلاء نوفمبر</t>
  </si>
  <si>
    <t>مكافاه مشتريات ومخازن نوفمبر</t>
  </si>
  <si>
    <t>مكافاه ص خ ت نوفمبر</t>
  </si>
  <si>
    <t>جهد دعم فنى بيانات نوفمبر</t>
  </si>
  <si>
    <t>مكافاه عمال يوميه ديسمبر</t>
  </si>
  <si>
    <t>مكافاه تكنولوجيا معلومات ديسمبر</t>
  </si>
  <si>
    <t>جهود غير عاديه</t>
  </si>
  <si>
    <t>مكافاه الملاعب اكتوبر</t>
  </si>
  <si>
    <t>مكافاه الملاعب نوفمبر</t>
  </si>
  <si>
    <t>فندق جويل الفاتوره الخاصه باقامه الضيوف</t>
  </si>
  <si>
    <t xml:space="preserve">حساب المستشفيات الجامعيه </t>
  </si>
  <si>
    <t>شركة دنتاليس شراء 70 قالب سيلكون كورس غرس</t>
  </si>
  <si>
    <t>الشركه الدوليه للاتصالات ونظم معلومات شراء مستلزمات الكترونيه</t>
  </si>
  <si>
    <t>شركه دنتاليس شراء قطع غيار اقسام الكليه</t>
  </si>
  <si>
    <t>استرداد / ابانوب ذكى عبد المللك</t>
  </si>
  <si>
    <t>استقطاع القرض الحسن صيدله نوفمبر</t>
  </si>
  <si>
    <t>استقطاع وثيقه التامين الاجتماعى صيدله نوفمبر</t>
  </si>
  <si>
    <t>استقطاع وثيقه التامين الاجتماعى اسنان نوفمبر</t>
  </si>
  <si>
    <t>اجمالى 20/12/2023</t>
  </si>
  <si>
    <t>منح جوائز/ طه ايهاب عصمت</t>
  </si>
  <si>
    <t xml:space="preserve">منح جوائز/ لؤى اسامه </t>
  </si>
  <si>
    <t>منح جوائز/ محمد احمد</t>
  </si>
  <si>
    <t>منح جوائز/ فارس محمد</t>
  </si>
  <si>
    <t>مكافاه الشهر الشفوى للمنتدبين</t>
  </si>
  <si>
    <t>مكافاه ا ه ت مشاركين فى لجنه</t>
  </si>
  <si>
    <t>جهد اداريين اكتوبر</t>
  </si>
  <si>
    <t>مكافاه الساده الاداريين والعمال</t>
  </si>
  <si>
    <t>جهود الكشف الطبى</t>
  </si>
  <si>
    <t>جهود قسم الاضابير ديسمبر</t>
  </si>
  <si>
    <t>مكافاه التميز للعاملين بالمركز اكتوبر</t>
  </si>
  <si>
    <t>مكافاه العاملين بالمركز بعد المواعيد نوفمبر</t>
  </si>
  <si>
    <t xml:space="preserve">مراجعات نظريه دور ثانى </t>
  </si>
  <si>
    <t>تم الغاءها برقم 6086 فى 28/12</t>
  </si>
  <si>
    <t xml:space="preserve">مكافاه تصحيح الكترونى </t>
  </si>
  <si>
    <t>مكافاه وحده تكنولوجيا المعلومات</t>
  </si>
  <si>
    <t xml:space="preserve">جهود طباعه امتحان </t>
  </si>
  <si>
    <t xml:space="preserve">مكافاه مجلس تنفيذى </t>
  </si>
  <si>
    <t xml:space="preserve">جهود اعداد مجلس </t>
  </si>
  <si>
    <t>جهود سكرتاريه تدريب</t>
  </si>
  <si>
    <t>مكافاه كنترول فارم  دى</t>
  </si>
  <si>
    <t>مكافاه شهاده علم الروم</t>
  </si>
  <si>
    <t>جهود حضور جلسات</t>
  </si>
  <si>
    <t>بدل حضور مجلس ديسمبر</t>
  </si>
  <si>
    <t>مكافاه منسق شهاده مهنيه</t>
  </si>
  <si>
    <t>اجمالى 21/12/2023</t>
  </si>
  <si>
    <t>الشركه المصريه للاتصالات  التعاقد السنوى للانترنت</t>
  </si>
  <si>
    <t>استرداد قيمه تذاكر بونات الصحراوى</t>
  </si>
  <si>
    <t xml:space="preserve">الشركه العالميه للمطبوعات </t>
  </si>
  <si>
    <t>الشركه المتحده لمهمات المكاتب</t>
  </si>
  <si>
    <t>شركه المنى للاجهزه العلميه</t>
  </si>
  <si>
    <t>شركه اميرال للادوات الرياضيه</t>
  </si>
  <si>
    <t>دعم رسائل / ايفلين مجدى</t>
  </si>
  <si>
    <t>شركه نهضه مصر للخدمات البيئيه الحديثه رفع مخلفات يونيو</t>
  </si>
  <si>
    <t>شركه نهضه مصر للخدمات البيئيه الحديثه رفع مخلفات سبتمبر</t>
  </si>
  <si>
    <t>شركه نهضه مصر للخدمات البيئيه الحديثه رفع مخلفات اكتوبر</t>
  </si>
  <si>
    <t>شركه نهضه مصر للخدمات البيئيه الحديثه رفع مخلفات نوفمبر</t>
  </si>
  <si>
    <t>شركه ايجى ميديكا توريد 10 جهاز ضغط</t>
  </si>
  <si>
    <t>مصلحه الضرائب المصريه قيمه مضافه شركه بايوتك</t>
  </si>
  <si>
    <t xml:space="preserve">مكافاه لجنه اخلاقيات </t>
  </si>
  <si>
    <t>مكافاه مجلس كليه مؤقتين اغسطس</t>
  </si>
  <si>
    <t>مكافاه مجلس كليه مؤقتين سبتمبر</t>
  </si>
  <si>
    <t>مكافاه مجلس كليه مؤقتين اكتوبر</t>
  </si>
  <si>
    <t>مكافاه الفرقه الخامسه لقسم القلب</t>
  </si>
  <si>
    <t>مكافاه بيان ديسمبر</t>
  </si>
  <si>
    <t>25/12/2023</t>
  </si>
  <si>
    <t>جهود المستعان بهم فى الخدمه</t>
  </si>
  <si>
    <t>مكافاه المنسقين للاقسام الاكاديميه</t>
  </si>
  <si>
    <t>مكافاه شؤن قانونيه</t>
  </si>
  <si>
    <t xml:space="preserve">ج غير عاديه امتحانات طلاب </t>
  </si>
  <si>
    <t>مكافاه اعمال امتحانات خريف</t>
  </si>
  <si>
    <t>مكافاه لجان مراقبه</t>
  </si>
  <si>
    <t>مكافاه رؤؤساء اقسام مختلفه</t>
  </si>
  <si>
    <t>مكافاه رؤساء اقسام المطبعه</t>
  </si>
  <si>
    <t>مكافاه الاضابير والتليفون</t>
  </si>
  <si>
    <t>مكافاه اعانه اجتماعيه</t>
  </si>
  <si>
    <t>مكافاه ختم شعار الجمهوريه</t>
  </si>
  <si>
    <t>عب تدريس جراحه اطفال</t>
  </si>
  <si>
    <t>مكافاه طب طوارئ</t>
  </si>
  <si>
    <t>مكافاه سكرتاريه وكيل</t>
  </si>
  <si>
    <t>مكافاه مكتب تنسيق دراسات عليا</t>
  </si>
  <si>
    <t>مكافاه تشجعيه طارق رشاد</t>
  </si>
  <si>
    <t>مكافاه نوباتجيات مركز ابحاث</t>
  </si>
  <si>
    <t>مكافاه سكرتاريه مانشيستر</t>
  </si>
  <si>
    <t>جهود هند رضا سبتمبر</t>
  </si>
  <si>
    <t>سلفه مؤقته / رحاب عبدالله</t>
  </si>
  <si>
    <t>الشركه الفرنسيه للمصاعد صيانه مصاعد سبتمبر واكتوبر ونوفمبر</t>
  </si>
  <si>
    <t>اجمالى 23/12/2023</t>
  </si>
  <si>
    <t xml:space="preserve">استقطاع نفقه / سامح نجاح </t>
  </si>
  <si>
    <t>اجمالى 25/12/2023 بيرول</t>
  </si>
  <si>
    <t>فروقات مكافاه الماليزى اسماء مصطفى</t>
  </si>
  <si>
    <t>مكافاه ابحاث اكلينكى</t>
  </si>
  <si>
    <t>مكافاه اعضاء اللجان</t>
  </si>
  <si>
    <t>مكافاه توريدات</t>
  </si>
  <si>
    <t>مكافاه اجراءات فاتوره الكترونيه</t>
  </si>
  <si>
    <t>مكافاه انهاء اجراءات ضربيه</t>
  </si>
  <si>
    <t>مكافاه شعبه فرنسيه</t>
  </si>
  <si>
    <t>اجمالى 26/12/2023</t>
  </si>
  <si>
    <t>27/12/2023</t>
  </si>
  <si>
    <t>الجمعيه التعاونيه للبترول شراء بنزين وسولار</t>
  </si>
  <si>
    <t>تم ترحيلها على شهر يناير</t>
  </si>
  <si>
    <t>وعاء ديسمبر</t>
  </si>
  <si>
    <t>اجمالى 27/12/2023</t>
  </si>
  <si>
    <t>الغاء استماره 5875 بتاريخ 21/12 مناقشه دكتوراه</t>
  </si>
  <si>
    <t>الغاء استماره 5034 فى تاريخ 2/12/2023</t>
  </si>
  <si>
    <t>اجمالى 28/12/2023</t>
  </si>
  <si>
    <t>الادخال بتاريخ 5/12</t>
  </si>
  <si>
    <t>تعديل بنود من يوليو الى نوفمبر 41.31</t>
  </si>
  <si>
    <t xml:space="preserve"> الادخال بتاريخ 5/12</t>
  </si>
  <si>
    <t>تعديل مبلغ 41.31 من وحده دائنون الى وحده باب اول</t>
  </si>
  <si>
    <t>من وحده صناديق الى وحده مديونيات (تسويه لمطابقة الموقف المالى )</t>
  </si>
  <si>
    <t>تسويه تعديليه باقى سلفه منصور بشير</t>
  </si>
  <si>
    <t>اجمالى 10/12/2023 تسويات</t>
  </si>
  <si>
    <t>تسويه سلفه مستديمه / احمد عبد الهادى</t>
  </si>
  <si>
    <t>سداد سلفه مؤقته / بسنت وجيه</t>
  </si>
  <si>
    <t>سداد سلفه مؤقته / محمد على عشماوى</t>
  </si>
  <si>
    <t>سداد سلفه مؤقته / شوق محمد عبد المجيد</t>
  </si>
  <si>
    <t>سداد دفع مقدم / الهيئه المصريه للشراء الموحد</t>
  </si>
  <si>
    <t>تسويه سلفه مؤقته / مصطفى محمد عباس</t>
  </si>
  <si>
    <t>تسويه سلفه مؤقته / رحاب عبدالله</t>
  </si>
  <si>
    <t xml:space="preserve">تسويه سلفه مؤقته / احمد طلعت </t>
  </si>
  <si>
    <t>ق توريد 858681</t>
  </si>
  <si>
    <t>ق توريد 858680</t>
  </si>
  <si>
    <t>ق توريد 855963</t>
  </si>
  <si>
    <t>ق توريد 855965</t>
  </si>
  <si>
    <t>ق توريد 858345</t>
  </si>
  <si>
    <t>ق توريد 858683</t>
  </si>
  <si>
    <t>ق توريد 855967</t>
  </si>
  <si>
    <t>ق توريد 858347</t>
  </si>
  <si>
    <t>ق توريد 858342</t>
  </si>
  <si>
    <t>ق توريد 855971</t>
  </si>
  <si>
    <t>ق توريد 855969</t>
  </si>
  <si>
    <t>ق توريد 855966</t>
  </si>
  <si>
    <t>ق توريد 855968</t>
  </si>
  <si>
    <t>ق توريد 858300</t>
  </si>
  <si>
    <t>ق توريد 858346</t>
  </si>
  <si>
    <t>ق توريد 858341</t>
  </si>
  <si>
    <t>ق توريد 858343</t>
  </si>
  <si>
    <t>ق توريد 855962</t>
  </si>
  <si>
    <t>ق توريد 855970</t>
  </si>
  <si>
    <t>ق توريد 858344</t>
  </si>
  <si>
    <t>ق توريد 858662</t>
  </si>
  <si>
    <t>ق توريد 855964</t>
  </si>
  <si>
    <t>ق توريد 858679</t>
  </si>
  <si>
    <t>كشف بنك اكتوبر</t>
  </si>
  <si>
    <t>كشف بنك سبتمبر</t>
  </si>
  <si>
    <t xml:space="preserve">خطاب ضمان ايه بى اس </t>
  </si>
  <si>
    <t>خطاب ضمان تكنوساينت</t>
  </si>
  <si>
    <t>تعديل تسويه 222 تخص بشراء شهادات</t>
  </si>
  <si>
    <t>حافز جوده وتطوير ا ه ت اكتوبر ونوفمبر</t>
  </si>
  <si>
    <t>اجمالى 23/12/2023 تسويات</t>
  </si>
  <si>
    <t>30/12/2023</t>
  </si>
  <si>
    <t>تعديل تسويه 238</t>
  </si>
  <si>
    <t>تعديل استماره 5445</t>
  </si>
  <si>
    <t>وحده حسابيه صناديق ديسمبر</t>
  </si>
  <si>
    <t>وحده حسابيه مديونيات ديسمبر</t>
  </si>
  <si>
    <t>وحده حسابيه مدفوعات ديسمبر</t>
  </si>
  <si>
    <t>تعديل بنود استماره 75</t>
  </si>
  <si>
    <t>تعديل بنود استماره 76</t>
  </si>
  <si>
    <t>تعليه مخالفات السيارات ديون ومطلوبات والغاء المدين تسويه 119</t>
  </si>
  <si>
    <t>تسويات فارغه</t>
  </si>
  <si>
    <t>اجمالى 31/12/2024 تسويات</t>
  </si>
  <si>
    <t>مرتدات باب سادس</t>
  </si>
  <si>
    <t xml:space="preserve">استقطاع نفقه سامح نجاح </t>
  </si>
  <si>
    <t>استقطاع نفقه سهيله محمد مسعد عن اكتوبر</t>
  </si>
  <si>
    <t>استقطاع نقابه العاملين اكتوبر</t>
  </si>
  <si>
    <t>استقطاع قرض حسن اكتوبر</t>
  </si>
  <si>
    <t>استقطاع اشتراك اللجنه النقابيه اكتوبر</t>
  </si>
  <si>
    <t>استقطاع جمعيه الخدمات اكتوبر</t>
  </si>
  <si>
    <t>استقطاع صندوق دعم ذوى الاعاقه اكتوبر</t>
  </si>
  <si>
    <t>استقطاع وثيقه تامين  مختلط اكتوبر</t>
  </si>
  <si>
    <t>استقطاع اللجنه النقابيه اكتوبر</t>
  </si>
  <si>
    <t>استقطاع الهيئه القوميه للتامين الاجتماعى اكتوبر</t>
  </si>
  <si>
    <t>استقطاع اتصالات جروب اكتوبر</t>
  </si>
  <si>
    <t>استقطاع صندوق تكريم الشهداء اكتوبر</t>
  </si>
  <si>
    <t>استقطاع سيجينال اكتوبر</t>
  </si>
  <si>
    <t>استقطاع مصر لتامينات الحياه اكتوبر</t>
  </si>
  <si>
    <t>استقطاع النقابه العامه اكتوبر</t>
  </si>
  <si>
    <t>استقطاع اتوبيس الجامعه اكتوبر</t>
  </si>
  <si>
    <t>الهيئه القوميه للتامين الاجتماعى (معاشات اكتوبر)</t>
  </si>
  <si>
    <t>ضريبه الدخل اكتوبر</t>
  </si>
  <si>
    <t>ضريبه الدمغه اكتوبر</t>
  </si>
  <si>
    <t>اجمالى 2/11/2023بيرول</t>
  </si>
  <si>
    <t>استقطاع القرض الحسن اكتوبر</t>
  </si>
  <si>
    <t>استقطاع 5% وثيقه تامين اجتماعى مختلط اكتوبر</t>
  </si>
  <si>
    <t>مكافاه استكمال تدريس صيفى ا ه ت</t>
  </si>
  <si>
    <t>مكافاه اشراف كورسات دولى خريف ا ه ت</t>
  </si>
  <si>
    <t>مكافاه اشراف كورسات دولى خريف ط ثالث</t>
  </si>
  <si>
    <t xml:space="preserve">مكافاه منسقين برنامج معيدين </t>
  </si>
  <si>
    <t>مكافاه تسجيل ساعات دولى خريف ط ثالث</t>
  </si>
  <si>
    <t>جهود تحضير عييادات ومعامل اداريين</t>
  </si>
  <si>
    <t>جهود الشفه الارنبيه حكيمات اكتوبر</t>
  </si>
  <si>
    <t>جهود مزارع الكليه سبتمبر واكتوبر</t>
  </si>
  <si>
    <t>جهود وحده الامن اكتوبر طارق محمد رشاد</t>
  </si>
  <si>
    <t>جهود تقفيل الخزينه صارفين</t>
  </si>
  <si>
    <t>ج عمرو جابر نوفمبر</t>
  </si>
  <si>
    <t>جهود سجلات الحضور قسم شؤن عامه</t>
  </si>
  <si>
    <t>جهود تقفيل المعاشات قسم معاشات</t>
  </si>
  <si>
    <t>جهود تغيير كابلات اداريين</t>
  </si>
  <si>
    <t>مكافاه سكاشن ليليه حكيمات واداريين اكتوبر</t>
  </si>
  <si>
    <t>جهود اجازات اداريين</t>
  </si>
  <si>
    <t>جهود الشؤن الاداريه اكتوبر</t>
  </si>
  <si>
    <t>جهود المراجعه اللاحقه اكتوبر</t>
  </si>
  <si>
    <t>جهود اصلاح معامل الاطفال فنيين</t>
  </si>
  <si>
    <t>جهود المشتريات اكتوبر</t>
  </si>
  <si>
    <t>مكافاه ساعات اضافيه اداريين اكتوبر</t>
  </si>
  <si>
    <t>مكافاه اعمال اضافيه اداريين اكتوبر</t>
  </si>
  <si>
    <t>جهود تحضير للزيارات اداريين</t>
  </si>
  <si>
    <t>مكافاه المشاركه فى البرنامج اداريين اكتوبر</t>
  </si>
  <si>
    <t xml:space="preserve">مكافاه تسجيل ساعات دولى اداريين </t>
  </si>
  <si>
    <t xml:space="preserve">جهود وحده الامن اكتوبر </t>
  </si>
  <si>
    <t>مكافاه تفريغ البصمه هيثم اسماعيل</t>
  </si>
  <si>
    <t>مكافاه انتظام عملى عياده الحضرى حكيمات اكتوبر</t>
  </si>
  <si>
    <t>مكافاه انتظام عملى عياده الحضرى عمال اكتوبر</t>
  </si>
  <si>
    <t>مكافاه سكاشن ليليه مؤقتين اكتوبر</t>
  </si>
  <si>
    <t>جهود صيانه اجهزه الكمبيوتر مروه احمد ونسمه مجدى نوفمبر</t>
  </si>
  <si>
    <t>جهود اجازات دولى مؤقتين اكتوبر</t>
  </si>
  <si>
    <t>مكافاه ساعات اضافيه مؤقتين اكتوبر</t>
  </si>
  <si>
    <t>جهود تحضير للزيارات مؤقتين</t>
  </si>
  <si>
    <t>مكافاه المشاركه فى البرنامج مؤقتين اكتوبر</t>
  </si>
  <si>
    <t>مكافاه تسجيل ساعات دولى مؤقتين</t>
  </si>
  <si>
    <t>مكافاه انتظام حصص عمليه دراسات اكتوبرعمال</t>
  </si>
  <si>
    <t>مكافاه انتظام حصص عمليه دراسات اكتوبر معيدين</t>
  </si>
  <si>
    <t>مكافاه مشاركه تعليميه ابريل ومايو</t>
  </si>
  <si>
    <t>مكافاه شؤن الطلاب</t>
  </si>
  <si>
    <t>جهود تدريب صيفى</t>
  </si>
  <si>
    <t>حكم محكمه / مى شحاته</t>
  </si>
  <si>
    <t>مكافاه قسم الاستحقاقات اغسطس وسبتمبر</t>
  </si>
  <si>
    <t>مكافاه انتداب مهندس كهربائى</t>
  </si>
  <si>
    <t>مكافاه انتداب محامى سبتمبر</t>
  </si>
  <si>
    <t>جهود حنان محمد رفعت</t>
  </si>
  <si>
    <t>مكافاه نظافه اغسطس</t>
  </si>
  <si>
    <t xml:space="preserve">الشركه المتحده لمهمات المكاتب </t>
  </si>
  <si>
    <t>شركه كلينكلاب</t>
  </si>
  <si>
    <t>شركه ديجيتك</t>
  </si>
  <si>
    <t>شركه ماستربيس لخدمات المطابع</t>
  </si>
  <si>
    <t xml:space="preserve">شركه الاعلانات المصريه </t>
  </si>
  <si>
    <t>شركه ميرج ميد</t>
  </si>
  <si>
    <t>مستشفيات الجامعه (برنامج مانشيستر )</t>
  </si>
  <si>
    <t>الشركه العالميه للتوريدات والمطبوعات</t>
  </si>
  <si>
    <t>شركه كيميت ميديكال</t>
  </si>
  <si>
    <t>صندوق مطبعه الجامعه طبع شهادات الخريجين والدراسات</t>
  </si>
  <si>
    <t xml:space="preserve">استرداد/ على حسن </t>
  </si>
  <si>
    <t>كسب عمل اكتوبر</t>
  </si>
  <si>
    <t>دمغه عاديه اكتوبر</t>
  </si>
  <si>
    <t>ضرائب متنوعه اكتوبر</t>
  </si>
  <si>
    <t>تنميه موارد اكتوبر</t>
  </si>
  <si>
    <t>اجمالى 4/11/2023</t>
  </si>
  <si>
    <t>البنك المركزى بالقاهره خاص بالاعتماد</t>
  </si>
  <si>
    <t>مكافاه قسم شؤن طلبه سبتمبر</t>
  </si>
  <si>
    <t>مكافاه جلسات تطبقيه</t>
  </si>
  <si>
    <t>مكافاه منسقين</t>
  </si>
  <si>
    <t>منحه مدارس ا ه ت</t>
  </si>
  <si>
    <t>مكافاه مولد نبوى ا ه ت</t>
  </si>
  <si>
    <t>ماموريات منصور بشير</t>
  </si>
  <si>
    <t>ماموريه محمد سعيد</t>
  </si>
  <si>
    <t>مكافاه تبادل طلاب</t>
  </si>
  <si>
    <t>مكافاه امتحانات الكترونيه</t>
  </si>
  <si>
    <t>مكافاه مدير تنفيذى ابحاث طبيه</t>
  </si>
  <si>
    <t>مكافاه لجنه اخلاقيات</t>
  </si>
  <si>
    <t>مكافاه اعمال زائده</t>
  </si>
  <si>
    <t>مكافاه اجراءات الفاتوره الالكترونيه</t>
  </si>
  <si>
    <t>مكافاه استقبال طلاب</t>
  </si>
  <si>
    <t>مكافاه السفر للمطابع الاميريه</t>
  </si>
  <si>
    <t>مكافاه الذهاب للمطبعه</t>
  </si>
  <si>
    <t>مكافاه تصوير المهرجان</t>
  </si>
  <si>
    <t>مكافاه اعمال الجمارك</t>
  </si>
  <si>
    <t>مكافاه سكرتاريه برنامج مانشيستر</t>
  </si>
  <si>
    <t>بدل حضور اجتماع اداره</t>
  </si>
  <si>
    <t>مكافاه العاملين بالمركز اكتوبر</t>
  </si>
  <si>
    <t>مكافاه العاملين بالمركز اغسطس</t>
  </si>
  <si>
    <t>مكافاه المدير التنفيذى للمركز اكتوبر</t>
  </si>
  <si>
    <t xml:space="preserve">مكافاه عميد الكليه </t>
  </si>
  <si>
    <t>مكافاه الاداره الهندسيه</t>
  </si>
  <si>
    <t>مكافاه طباعه الامتحانات</t>
  </si>
  <si>
    <t>مكافاه صيانه اجهزه كمبيوتر</t>
  </si>
  <si>
    <t>مكافاه مشروع النشوائى</t>
  </si>
  <si>
    <t>مكافاه شؤن عاملين</t>
  </si>
  <si>
    <t>مكافاه اختام</t>
  </si>
  <si>
    <t>مكافاه لجنه دراسات عليا</t>
  </si>
  <si>
    <t>مكافاه مكتب الوكيل بعد المواعيد</t>
  </si>
  <si>
    <t>مكافاه سائقين بعد المواعيد</t>
  </si>
  <si>
    <t>متابعه دراسات عليا</t>
  </si>
  <si>
    <t>مكافاه امتحانات فصل ربيع</t>
  </si>
  <si>
    <t>مكافاه امتحانات فصل خريف</t>
  </si>
  <si>
    <t>مكافاه مركز ابحاث طبيه</t>
  </si>
  <si>
    <t>مكافاه بيان اكتوبر</t>
  </si>
  <si>
    <t>مكافاه العاملين بالكليه اكتوبر</t>
  </si>
  <si>
    <t>مكافاه منسقين البرنامج سبتمبر</t>
  </si>
  <si>
    <t>مكافاه حضور مجلس</t>
  </si>
  <si>
    <t>مكافاه لجان</t>
  </si>
  <si>
    <t>مكافاه امتحان رياده اعمال</t>
  </si>
  <si>
    <t>ج نقل جهاز تكييف</t>
  </si>
  <si>
    <t>مكافاه بعد مواعيد العمل منشات تعليميه</t>
  </si>
  <si>
    <t>مكافاه بعد مواعيد العمل مكتب العميد</t>
  </si>
  <si>
    <t>جهود لجنه اجازات</t>
  </si>
  <si>
    <t>مكافاه بروتوكول</t>
  </si>
  <si>
    <t>مكافاه علاقات ثقافيه</t>
  </si>
  <si>
    <t>جهود الشؤن</t>
  </si>
  <si>
    <t>جهود هيئه تدريس</t>
  </si>
  <si>
    <t>جهود موقع الكليه</t>
  </si>
  <si>
    <t>ج سيناء عبد الرحيم</t>
  </si>
  <si>
    <t>مكافاه الجوده سبتمبر</t>
  </si>
  <si>
    <t>اجمالى 5/11/2023</t>
  </si>
  <si>
    <t>استقطاع وثيقه تامين مختلط</t>
  </si>
  <si>
    <t>عب تدريس جراحه قلب</t>
  </si>
  <si>
    <t>عب تدريس قسم باثولوجيا</t>
  </si>
  <si>
    <t>محاضرات نظريه فارماكولوجى</t>
  </si>
  <si>
    <t>عب تدريس  جراحه عظام</t>
  </si>
  <si>
    <t>عب تدريس اشعه</t>
  </si>
  <si>
    <t>مكافاه منسقى برنامج</t>
  </si>
  <si>
    <t>مكافاه الاقسام الاكاديميه والاكلنيكيه اكتوبر</t>
  </si>
  <si>
    <t>مكافاه مستشفيات مكتب العميد</t>
  </si>
  <si>
    <t>مكافاه مراقبه امتحان</t>
  </si>
  <si>
    <t>عب تدريس اوعيه</t>
  </si>
  <si>
    <t>مكافاه امتحان فرقه اولى</t>
  </si>
  <si>
    <t>مكافاه كادر  75% سبتمبر</t>
  </si>
  <si>
    <t>مكافاه مولد نبوى حسين فاروق</t>
  </si>
  <si>
    <t>مكافاه منحه مدارس حسين فاروق</t>
  </si>
  <si>
    <t>مكافاه وحده اختبار مواد سبتمبر</t>
  </si>
  <si>
    <t>مكافاه تشغيليه خدمات صيدله</t>
  </si>
  <si>
    <t>مكافاه مدير تنفيذى خدمات صيدله</t>
  </si>
  <si>
    <t>تعديل استماره 4016</t>
  </si>
  <si>
    <t>حكم محكمه حنان محمد رفعت</t>
  </si>
  <si>
    <t>مكافاه جوده</t>
  </si>
  <si>
    <t>مكافاه تدريس جلسات شفهيه</t>
  </si>
  <si>
    <t>مكافاه دورات تاهيليه</t>
  </si>
  <si>
    <t>صندوق تكافل ذاتى</t>
  </si>
  <si>
    <t xml:space="preserve">جهود حفل تخرج </t>
  </si>
  <si>
    <t>تعديل استماره 4259</t>
  </si>
  <si>
    <t>تعديل استماره 4261</t>
  </si>
  <si>
    <t>تعديل استماره 4263</t>
  </si>
  <si>
    <t>فرق كادر مهن طبيه احمد ابراهيم</t>
  </si>
  <si>
    <t>دعم رسائل مى اسامه</t>
  </si>
  <si>
    <t>دعم رسائل ايرينى تادرس</t>
  </si>
  <si>
    <t>دعم رسائل احمد محمد</t>
  </si>
  <si>
    <t>دعم رسائل دينا محمد</t>
  </si>
  <si>
    <t>فندق سيسل</t>
  </si>
  <si>
    <t xml:space="preserve">شركه كيرميد </t>
  </si>
  <si>
    <t>شركه الميهى للهندسه</t>
  </si>
  <si>
    <t>شركه الفتح للمقاولات شراء 6 اسطوانات فريون</t>
  </si>
  <si>
    <t>شركه بيور كيم (عادل على ) صيانه 15 وحده معالجه مياه من 13/6/2023 اللا 12/9/2023</t>
  </si>
  <si>
    <t>شركه لايك للتوريدات طباعه1000كتيب تعليمى خاص مانشيستر</t>
  </si>
  <si>
    <t>شركه تكنوويف صيانه 25 وحده من 26/10/2022 الى 25/1/2023</t>
  </si>
  <si>
    <t>شركه تكنوويف صيانه 25 وحده من 26/1/2023 الى 25/4/2023</t>
  </si>
  <si>
    <t>شركه تكنوويف صيانه 25 وحده من 26/4/2023 الى 25/72023</t>
  </si>
  <si>
    <t>رد ضمان اعمال الفتح للمقاولات</t>
  </si>
  <si>
    <t>رد ضمان اعمال فيوتشر مصر</t>
  </si>
  <si>
    <t>اجمالى 6/11/2023</t>
  </si>
  <si>
    <t>عكس جزء من استماره 2316</t>
  </si>
  <si>
    <t>عكس جزء من استماره 2317</t>
  </si>
  <si>
    <t>اجمالى 7/11/2023</t>
  </si>
  <si>
    <t>اداره الجامعه شراء 30000 شهاده مؤمنه +15000 شهاده بيان درجات</t>
  </si>
  <si>
    <t>مكافاه شفوى من يناير حتى يونيه</t>
  </si>
  <si>
    <t>عكس جزء من استماره 2316 (تم الادخال بتاريخ 7/11/2023</t>
  </si>
  <si>
    <t>عكس جزء من استماره 2317 (تم الادخال بتاريخ 7/11/2023</t>
  </si>
  <si>
    <t>جهود شؤن الامتياز اه ت</t>
  </si>
  <si>
    <t>مكافاه رئيس مجلس اداره البرنامج ونوابه نوفمبر</t>
  </si>
  <si>
    <t>مكافاه بيان منسقين نوفمبر</t>
  </si>
  <si>
    <t>مكافاه اعمال متميزه منسقين نوفمبر</t>
  </si>
  <si>
    <t>مكافاه كشف طبى ا ه ت والعاملين بالوحده العلاجيه</t>
  </si>
  <si>
    <t>بيان فريق العمل نوفمبر</t>
  </si>
  <si>
    <t>اعمال متميزه فريق العمل نوفمبر</t>
  </si>
  <si>
    <t>ج مراجعه عقود مانشيستر اداريين</t>
  </si>
  <si>
    <t>ج عن انهاء جميع ترتيبات الكشف الطبى اداريين</t>
  </si>
  <si>
    <t>بيان فريق العمل  مؤقتين نوفمبر</t>
  </si>
  <si>
    <t>اعمال متميزه فريق العمل مؤقتين نوفمبر</t>
  </si>
  <si>
    <t>ج عن انهاء جميع ترتيبات الكشف الطبى مؤقتين</t>
  </si>
  <si>
    <t>ج عن انهاء جميع اعمال الامتياز مؤقتين</t>
  </si>
  <si>
    <t>رد تامين نهائى تكنوساينتفك</t>
  </si>
  <si>
    <t>رد ضمان اعمال ميديكال اندلاب فير</t>
  </si>
  <si>
    <t>رد ضمان اعمال تارجت تكنولوجى</t>
  </si>
  <si>
    <t xml:space="preserve">الوحدات ذات الطابع الخاص - الجامعه شراء 100 شهاده مؤمنه </t>
  </si>
  <si>
    <t>ص خدمه تعليميه - الجامعه شراء 100 شهاده مؤمنه</t>
  </si>
  <si>
    <t xml:space="preserve">شهرزاد عرفه (اصواف امال ) شراء بدله شتوى وبدله صيفى </t>
  </si>
  <si>
    <t>صندوق تنميه موارد ذاتيه - الجامعه صرف 10000 شهاده بيان درجات من الجامعه</t>
  </si>
  <si>
    <t xml:space="preserve">رد ضمان المجد للتوريدات العموميه </t>
  </si>
  <si>
    <t xml:space="preserve">مكافاه معمل طب اسنان اطفال مايو </t>
  </si>
  <si>
    <t>مكافاه معمل طب اسنان اطفال يونيو</t>
  </si>
  <si>
    <t>مكافاه معمل طب اسنان اطفال يوليو</t>
  </si>
  <si>
    <t>مكافاه معمل طب اسنان اطفال  اغسطس</t>
  </si>
  <si>
    <t>مكافاه معمل طب اسنان اطفال سبتمبر</t>
  </si>
  <si>
    <t xml:space="preserve">مكافاه الامتياز يوليو </t>
  </si>
  <si>
    <t>مكافاه علاج بالاجر اطفال سبتمبر</t>
  </si>
  <si>
    <t>مكافاه لجنه اخلاقيات سبتمبر</t>
  </si>
  <si>
    <t>مكافاه تامين مخزن عهده اكتوبر</t>
  </si>
  <si>
    <t>مكافاه تحصيل مصروفات اكتوبر</t>
  </si>
  <si>
    <t>مكافاه احمد شعبان وعبد الونيس محمد اكتوبر</t>
  </si>
  <si>
    <t>مكافاه ص خ ت  اكتوبر</t>
  </si>
  <si>
    <t>مكافاه ختم النسر اكتوبر</t>
  </si>
  <si>
    <t>مكافاه انتداب محامى الكليه اكتوبر</t>
  </si>
  <si>
    <t>عب تدريس طوارى</t>
  </si>
  <si>
    <t>عب تدريس كبد</t>
  </si>
  <si>
    <t>عب تدريس طوارئ</t>
  </si>
  <si>
    <t>مكافاه الجوده اكتوبر</t>
  </si>
  <si>
    <t>ج المركز بعد المواعيد ابحاث اكلينكى</t>
  </si>
  <si>
    <t>مكافاه استقبال لجنه اخلاقيات</t>
  </si>
  <si>
    <t>ايرادات مركز ابحاث نوفمبر</t>
  </si>
  <si>
    <t>مكافاه مكتب وكيل طلاب</t>
  </si>
  <si>
    <t>مكافاه مكتب العميد</t>
  </si>
  <si>
    <t>مكافاه اعداد قاعده بيانات</t>
  </si>
  <si>
    <t>مكافاه اعمال اضافيه ابحاث طبيه</t>
  </si>
  <si>
    <t>مكافاه محاضرات بنك المعرفه</t>
  </si>
  <si>
    <t>مكافاه رعايه الشباب</t>
  </si>
  <si>
    <t>مكافاه فريد مصطفى</t>
  </si>
  <si>
    <t>مكافاه تعامل مع كيماويات</t>
  </si>
  <si>
    <t>عب تدريس مراجعات</t>
  </si>
  <si>
    <t>ج تراخيص سيارات</t>
  </si>
  <si>
    <t>مكافاه مجلس تاديب</t>
  </si>
  <si>
    <t>مكافاه داليا مصطفى</t>
  </si>
  <si>
    <t>مكافاه مراسلات</t>
  </si>
  <si>
    <t>مكافاه محمد عباس</t>
  </si>
  <si>
    <t>مكافاه ماليزى نوفمبر</t>
  </si>
  <si>
    <t>ج لقسم السباكه</t>
  </si>
  <si>
    <t>مرتبات العاملين بالشيفت</t>
  </si>
  <si>
    <t>مكافاه نوباتجيه ديزل</t>
  </si>
  <si>
    <t>مكافاه بعد المواعيد ابحاث طبيه</t>
  </si>
  <si>
    <t>مكافاه مركز ابحاث نوفمبر</t>
  </si>
  <si>
    <t>جهود علاقات عامه</t>
  </si>
  <si>
    <t>مكافاه افتتاح مشروعات</t>
  </si>
  <si>
    <t>ج علاقات عامه</t>
  </si>
  <si>
    <t>ج مؤتمر طب شرعى</t>
  </si>
  <si>
    <t>مكافاه متابعه محاضرات</t>
  </si>
  <si>
    <t>مكافاه منسقين برنامج نوفمبر</t>
  </si>
  <si>
    <t>مكافاه الهيكل الادارى نوفمبر</t>
  </si>
  <si>
    <t>مكافاه المنتدبين بالصندوق اكتوبر</t>
  </si>
  <si>
    <t>مكافاه العلاج بالاجر اطفال سبتمبر</t>
  </si>
  <si>
    <t>استقطاع 5% وثيقه تامين اجتماعى مختلط اكتوبر(جميع صناديق اسنان ماعدا ماليزى )</t>
  </si>
  <si>
    <t>اجمالى 12/11/2023</t>
  </si>
  <si>
    <t>مرتبات مؤقتين نوفمبر</t>
  </si>
  <si>
    <t>16/11/2023بيرول</t>
  </si>
  <si>
    <t>مكافاه التميز للعاملين بالمركز سبتمبر</t>
  </si>
  <si>
    <t>مكافاه المشاركين فى تجهيز اعداد جلسه الاطباء</t>
  </si>
  <si>
    <t>جهود اعداد مانشيستر ا ه ت</t>
  </si>
  <si>
    <t>ج قسم الخزينه نوفمبر</t>
  </si>
  <si>
    <t>حافز امن نوفمبر</t>
  </si>
  <si>
    <t>جهود سفر اداريين</t>
  </si>
  <si>
    <t>ج استقبال زياره قسم رعايه الشباب</t>
  </si>
  <si>
    <t>مكافاه شهادات دولى صيفى اداريين</t>
  </si>
  <si>
    <t>جهود اعداد مانشيستر مؤقتين</t>
  </si>
  <si>
    <t>جهود لاعداد مانشيستر اداريين</t>
  </si>
  <si>
    <t>جهود لاعداد مانشيستر امن</t>
  </si>
  <si>
    <t xml:space="preserve">مكافاه لجنه شؤن ماليه </t>
  </si>
  <si>
    <t>مكافاه جلسات شفهيه</t>
  </si>
  <si>
    <t>ج سكرتارياريه وحده تدريب</t>
  </si>
  <si>
    <t>حافز اداء اكتوبر</t>
  </si>
  <si>
    <t>مكافااه اداريين وعمال اكتوبر</t>
  </si>
  <si>
    <t>مكافاه عماله يوميه نوفمبر</t>
  </si>
  <si>
    <t>ج عن صيانه الاجهزه</t>
  </si>
  <si>
    <t>ج عن ختم استمارات مدينه جامعيه</t>
  </si>
  <si>
    <t>ج مسئول الدعم الفنى</t>
  </si>
  <si>
    <t>ج استيفاء استمارات المدينه الجامعيه</t>
  </si>
  <si>
    <t>بدل حضور اجتماع مجلس اكتوبر</t>
  </si>
  <si>
    <t>مكافاه مجلس تنفيذى</t>
  </si>
  <si>
    <t>مكافاه اعداد مجلس كليه اكتوبر</t>
  </si>
  <si>
    <t>ج اداره رعايه الوافدين</t>
  </si>
  <si>
    <t>ج لجنه مراجعه البرامج اكتوبر</t>
  </si>
  <si>
    <t>مكافاه تكنولوجيا المعلومات اكتوبر</t>
  </si>
  <si>
    <t>مكافاه اعمال اضافيه ا ه ت</t>
  </si>
  <si>
    <t>مكافاه اعمال اضافيه معيدين</t>
  </si>
  <si>
    <t>مكافاه اعمال اضافيه منسقين</t>
  </si>
  <si>
    <t>ج برنامج دور ثانى</t>
  </si>
  <si>
    <t>ج تعليم الكترونى</t>
  </si>
  <si>
    <t>مكافاه اشراف صندوق الدعم</t>
  </si>
  <si>
    <t>مجلس كليه</t>
  </si>
  <si>
    <t>ج صيانه كمبيوتر</t>
  </si>
  <si>
    <t>مكافاه مراقيه على طلاب بالسجن</t>
  </si>
  <si>
    <t>مكافاه مولد نبوى ايات عبد الرحمن</t>
  </si>
  <si>
    <t>مكافاه منحه مدارس ايات عبد الرحمن</t>
  </si>
  <si>
    <t>ج تطبيق نظام المرضى الالكترونى</t>
  </si>
  <si>
    <t>مكافاه وحده اختبار مواد يونيو</t>
  </si>
  <si>
    <t>مكافاه لجنه صندوق دعم</t>
  </si>
  <si>
    <t>مكافاه مشاركين فى البرنامج</t>
  </si>
  <si>
    <t>مكافاه لجنه صندوق دعم الرسائل</t>
  </si>
  <si>
    <t>مكافاه اعمال برامج دراسات</t>
  </si>
  <si>
    <t>مكافاه هيئه تدريس المشاركين فى التدريس</t>
  </si>
  <si>
    <t>ج غ عاديه خ ت</t>
  </si>
  <si>
    <t>سلفه / محمد على عشماوى عمر</t>
  </si>
  <si>
    <t>سلفه  شوق محمد عبد المجيد</t>
  </si>
  <si>
    <t>الشركه الدوليه للمستلزمات الطبيه  شراء مستلزمات لجهاز ديليوانداتش</t>
  </si>
  <si>
    <t>شركه ثرى ام شراء مستلزمات it</t>
  </si>
  <si>
    <t>تعديل استماره 4628</t>
  </si>
  <si>
    <t>اجمالى 18/11/2023</t>
  </si>
  <si>
    <t>رعايه طفل سمر سامى عبد الغنى</t>
  </si>
  <si>
    <t>اجمالى 19/11/2023 بيرول</t>
  </si>
  <si>
    <t>استقطاع اورانج نوفمبر</t>
  </si>
  <si>
    <t>اجمالى 21/11/2023 بيرول</t>
  </si>
  <si>
    <t xml:space="preserve">مستحق للورثه هند محمد السيد </t>
  </si>
  <si>
    <t>مكافاه قسم شؤن الخريجين اكتوبر</t>
  </si>
  <si>
    <t>مكافاه قسم شؤن طلبه اكتوبر</t>
  </si>
  <si>
    <t>مكافاه قسم علاقات عامه اكتوبر</t>
  </si>
  <si>
    <t>مكافاه سكرتاريه العميد اكتوبر</t>
  </si>
  <si>
    <t>مكافاه قسم الكنترول اكتوبر</t>
  </si>
  <si>
    <t>مكافاه اقسام مختلفه اكتوبر</t>
  </si>
  <si>
    <t>مكافاه رؤوساء الاقسام اكتوبر</t>
  </si>
  <si>
    <t>مكافاه القيد والحفظ اكتوبر</t>
  </si>
  <si>
    <t>مكافاه قسم الاضابير اكتوبر</t>
  </si>
  <si>
    <t>مكافاه قسم الحسابات الخاصه اكتوبر</t>
  </si>
  <si>
    <t>مكافاه قسم الارشيف اكتوبر</t>
  </si>
  <si>
    <t>مكافاه المنشات التعليميه اكتوبر</t>
  </si>
  <si>
    <t>مكافاه اعمال التجنيد اكتوبر</t>
  </si>
  <si>
    <t>مكافاه قسم الصرافه اكتوبر</t>
  </si>
  <si>
    <t>مكافاه ختم شعار الجمهوريه اكتوبر</t>
  </si>
  <si>
    <t>مكافاه قسم الشؤن القانونيه اكتوبر</t>
  </si>
  <si>
    <t>مكافاه قسم الحسابات اكتوبر</t>
  </si>
  <si>
    <t>مكافاه قسم الدراسات العليا اكتوبر</t>
  </si>
  <si>
    <t>مكافاه القائمين على التحصيل اكتوبر</t>
  </si>
  <si>
    <t xml:space="preserve">مكتبه الاسكندريه قيمه ايجار القاعه </t>
  </si>
  <si>
    <t xml:space="preserve">مطعم سان جوفانى قيمه الوجبات </t>
  </si>
  <si>
    <t>وزاره الدفاع قيمه اعمال النظافه من 19/9/2023 حتى 18/10/2023</t>
  </si>
  <si>
    <t>شركه نوركولينج صيانه</t>
  </si>
  <si>
    <t xml:space="preserve">مصلحه الضرائب المصريه قيمه 80% قيمه مضافه </t>
  </si>
  <si>
    <t>استرداد/ ان عاطف حنا فخرى</t>
  </si>
  <si>
    <t>حافز اعتماد جوده نوفمبر</t>
  </si>
  <si>
    <t xml:space="preserve">عب تدريس وحده اورام </t>
  </si>
  <si>
    <t>مكافاه كنترول ف 2</t>
  </si>
  <si>
    <t>مكافاه مراجعات نظريه</t>
  </si>
  <si>
    <t>عب تدريس مسنين</t>
  </si>
  <si>
    <t>مكافاه مدربين طلبه فرقه ثالثه</t>
  </si>
  <si>
    <t>ماموريات عمرو المليجى</t>
  </si>
  <si>
    <t>مكافاه لجان تعاقدات</t>
  </si>
  <si>
    <t>ماموريات برنامج دولى</t>
  </si>
  <si>
    <t>مكافاه نوباتجيه مركز ابحاث</t>
  </si>
  <si>
    <t>مكافاه اعباء توريدات</t>
  </si>
  <si>
    <t>مكافاه برتوكول ابحاث اكلينكى</t>
  </si>
  <si>
    <t>مركز ابحاث اكلينكى</t>
  </si>
  <si>
    <t>ماموريات محمود محمد</t>
  </si>
  <si>
    <t>عب تدريس باثولوجيا</t>
  </si>
  <si>
    <t>عب تدريس علاج اورام</t>
  </si>
  <si>
    <t>مكافاه وحوافز الساده المستعان بهم</t>
  </si>
  <si>
    <t>مكافاه شهريه نوفمبر</t>
  </si>
  <si>
    <t>مكافاه بدل مخاطر</t>
  </si>
  <si>
    <t>مكافاه 20% ابحاث اكلينكيه</t>
  </si>
  <si>
    <t>مكافاه ورثه سرحان محمد يوليو</t>
  </si>
  <si>
    <t>مكافاه بيت حيوان يوليو واغسطس</t>
  </si>
  <si>
    <t xml:space="preserve">شركه لينكس وايز محمد صالح توفير النقاط الخاصه ببرنامج اداره التعليم الالكترونى </t>
  </si>
  <si>
    <t>الهيئه القوميه للبريد شراء طوابع</t>
  </si>
  <si>
    <t>شركه ماستربيس لخدمات المطابع صيانه</t>
  </si>
  <si>
    <t>المستشفيات الجامعيه شراء مستلزمات</t>
  </si>
  <si>
    <t>سلفه مؤقته / احمد طلعت عبد الرازق</t>
  </si>
  <si>
    <t>شركه فيوتشر مصر شراء مشترك</t>
  </si>
  <si>
    <t>رد تامين نهائى جهاز مخابرات عامه</t>
  </si>
  <si>
    <t>رد ضمان الوطن للمقاولات</t>
  </si>
  <si>
    <t>مصلحه ضرائب المصريه قيمه 100% ضريبه قيمه مضافه</t>
  </si>
  <si>
    <t>تعديل استماره 4965</t>
  </si>
  <si>
    <t>اجمالى 20/11/2023</t>
  </si>
  <si>
    <t>الغاء استماره 4834 شركه ثرى ام شراء مستلزمات it</t>
  </si>
  <si>
    <t>تعديل استماره 4963</t>
  </si>
  <si>
    <t>مكافاه عمرو جابر نوفمبر</t>
  </si>
  <si>
    <t>مكافاه قسم المجمع التعليمى اكتوبر</t>
  </si>
  <si>
    <t>مجلس اداره نوفمبر ا ه ت</t>
  </si>
  <si>
    <t>اجمالى 23/11/2023</t>
  </si>
  <si>
    <t>سلفه مؤقته / محمد على عبد المنعم</t>
  </si>
  <si>
    <t>ج هند رضا محمد نوفمبر</t>
  </si>
  <si>
    <t>استقطاع وثيقه التامين الاجتماعى المختلط اكتوبر</t>
  </si>
  <si>
    <t>اجمالى 26/11/2023</t>
  </si>
  <si>
    <t>وعاء نوفمبر</t>
  </si>
  <si>
    <t>مكافاه امتياز اغسطس</t>
  </si>
  <si>
    <t>عكس استماره 5022</t>
  </si>
  <si>
    <t>اعاده ادخال استماره 5022</t>
  </si>
  <si>
    <t>اجمالى 27/11/2023</t>
  </si>
  <si>
    <t>سداد استقطاعات بيرول بتاريخ 2/12/2023</t>
  </si>
  <si>
    <t>سجلات فقط</t>
  </si>
  <si>
    <t>من استماره 5049 الى 5167 بتاريخ 3/12/2023</t>
  </si>
  <si>
    <t>فرق استماره 3991</t>
  </si>
  <si>
    <t>اجمالى 30/11/2023</t>
  </si>
  <si>
    <t>مبلغ مستحق احمد غنيمه وطارق البيلى ضمن استماره 2316</t>
  </si>
  <si>
    <t>مبلغ مستحق سام موست ضمن استماره 2317</t>
  </si>
  <si>
    <t>سداد سلفه / رحاب عبدالله</t>
  </si>
  <si>
    <t>سداد سلفه / منصور بشير</t>
  </si>
  <si>
    <t>تنميه موارد الجامعه</t>
  </si>
  <si>
    <t>الهيئه المصريه للشراء الموحد</t>
  </si>
  <si>
    <t>مستحقات د/ ايمان دياب (قيد تضمنى )</t>
  </si>
  <si>
    <t>سداد سلفه / رشا رشدى</t>
  </si>
  <si>
    <t>اجمالى 7/11/2023 تسويات</t>
  </si>
  <si>
    <t xml:space="preserve">سداد سلفه مؤقته / محمد عبد المنعم </t>
  </si>
  <si>
    <t>ق توريد 858299</t>
  </si>
  <si>
    <t>ق توريد 858338</t>
  </si>
  <si>
    <t>ق توريد 858336</t>
  </si>
  <si>
    <t>ق توريد 855954</t>
  </si>
  <si>
    <t>ق توريد 855952</t>
  </si>
  <si>
    <t>ق توريد 858340</t>
  </si>
  <si>
    <t>ق توريد 858956</t>
  </si>
  <si>
    <t>ق توريد 858339</t>
  </si>
  <si>
    <t>ق توريد 858955</t>
  </si>
  <si>
    <t>ق توريد 858676</t>
  </si>
  <si>
    <t>ق توريد 855953</t>
  </si>
  <si>
    <t>ق توريد 858298</t>
  </si>
  <si>
    <t>ق توريد 858335</t>
  </si>
  <si>
    <t>ق توريد 858675</t>
  </si>
  <si>
    <t>ق توريد 858337</t>
  </si>
  <si>
    <t>ق توريد 855951</t>
  </si>
  <si>
    <t>كشف بنك من 25/9/2023 الى 30/9/2023</t>
  </si>
  <si>
    <t>خطاب ضمان باور للتبريد والتكييف</t>
  </si>
  <si>
    <t>ق توريد 858677</t>
  </si>
  <si>
    <t>ق توريد 858957</t>
  </si>
  <si>
    <t>ق توريد 855958</t>
  </si>
  <si>
    <t>ق توريد 858678</t>
  </si>
  <si>
    <t>اجمالى 26/11/2023 تسويات</t>
  </si>
  <si>
    <t>تعديل استماره 2098 بمبلغ 275000خ ت صيدله واستماره 4385 بمبلغ  1125000خ ت طب الخاصين بشراء الشهادات</t>
  </si>
  <si>
    <t>تعديل استماره 4425 بمبلغ 250000 خاص بالشهادات</t>
  </si>
  <si>
    <t>اجمالى 27/11/2023 تسويات</t>
  </si>
  <si>
    <t>بتاريخ 26/11</t>
  </si>
  <si>
    <t>الغاء تسويه 199</t>
  </si>
  <si>
    <t>اعاده ادخال تسويه 199</t>
  </si>
  <si>
    <t>تعديل تسويه 162</t>
  </si>
  <si>
    <t>تعديل تسويه 166</t>
  </si>
  <si>
    <t>ق توريد 855960</t>
  </si>
  <si>
    <t>ق توريد 855961</t>
  </si>
  <si>
    <t>ق توريد 855959</t>
  </si>
  <si>
    <t>قيد تضمنى مولد نبوى ومدارس محمد حمدى</t>
  </si>
  <si>
    <t>مبالغ ضمان اعمال واتمين نهائى مضى عليها المده القانونيه</t>
  </si>
  <si>
    <t>وحده</t>
  </si>
  <si>
    <t>وحده حسابيه صناديق نوفمبر</t>
  </si>
  <si>
    <t>وحده حسابيه مدفوعات ذاتى نوفمبر</t>
  </si>
  <si>
    <t>تعديل تسويه رقم 162</t>
  </si>
  <si>
    <t xml:space="preserve">تعديل بنود </t>
  </si>
  <si>
    <t>اجمالى 30/11/2023 تسويات</t>
  </si>
  <si>
    <t>استقطاع سيجنال سبتمبر</t>
  </si>
  <si>
    <t>استقطاع النفقه الالكترونيه سبتمبر</t>
  </si>
  <si>
    <t>استقطاع اتصالات جروب سبتمبر</t>
  </si>
  <si>
    <t>استقطاع اتوبيس الجامعه سبتمبر</t>
  </si>
  <si>
    <t>استقطاع اللجنه النقابيه سبتمبر</t>
  </si>
  <si>
    <t>الهيئه القوميه للتامينات (معاشات سبتمبر )</t>
  </si>
  <si>
    <t>استقطاع الهيئه القوميه للتامين الاجتماعى سبتمبر</t>
  </si>
  <si>
    <t>استقطاع جمعيه الخدمات سبتمبر</t>
  </si>
  <si>
    <t>استقطاع التامين العلاجى سبتمبر</t>
  </si>
  <si>
    <t>عموله تحصيل سبتمبر</t>
  </si>
  <si>
    <t>استقطاع مصر لتامينات الحياه سبتمبر</t>
  </si>
  <si>
    <t>ضريبه الدمغه سبتمبر</t>
  </si>
  <si>
    <t>استقطاع صندوق تكريم الشهداء سبتمبر</t>
  </si>
  <si>
    <t>استقطاع صندوق دعم ذوى الاعاقه سبتمبر</t>
  </si>
  <si>
    <t>استقطاع نقابه العاملين سبتمبر</t>
  </si>
  <si>
    <t>ملحوظه رقم 2708 قبل فى تاريخ 30/9/2023 وليس شهر اكتوبر</t>
  </si>
  <si>
    <t xml:space="preserve">عكس استماره 1806 </t>
  </si>
  <si>
    <t>اجمالى 2/10/2023 بيرول</t>
  </si>
  <si>
    <t>استرداد / نادين هشام</t>
  </si>
  <si>
    <t>استرداد /نورعصام الدين حجز كورس زراعه الاسنان</t>
  </si>
  <si>
    <t>رد ضمان اعمال شركه ايجى ميديكا</t>
  </si>
  <si>
    <t>رد ضمان اعمال شركه تكنوتريد</t>
  </si>
  <si>
    <t>حساب مستشفيات جامعه الاسكندريه 400 لتر فورمالين</t>
  </si>
  <si>
    <t>استرداد تذاكر بونات / محمد سعيد</t>
  </si>
  <si>
    <t>تذكره سفر/ اجلال ابراهيم</t>
  </si>
  <si>
    <t>تذكره سفر/ سونيا رفعت</t>
  </si>
  <si>
    <t>العالميه للمطبوعات توريج 3000 رزمه ورق</t>
  </si>
  <si>
    <t>الشركه المتحده للانظمه والاتصالات صيانه انذار</t>
  </si>
  <si>
    <t>ا.د/ طارق السيد (سياحه )</t>
  </si>
  <si>
    <t>شركه ديجيتك صيانه</t>
  </si>
  <si>
    <t>جريده الاهرام نشر اعلان</t>
  </si>
  <si>
    <t>ا.د /اميره فوزى</t>
  </si>
  <si>
    <t>دعم رسائل / ندامحمد</t>
  </si>
  <si>
    <t>دعم رسائل / ايمان محمد جابر</t>
  </si>
  <si>
    <t xml:space="preserve">دعم رسائل / الاء رضا </t>
  </si>
  <si>
    <t>منحه العام الدراسى / حافظه سيد</t>
  </si>
  <si>
    <t>مكافاه شفوى يوليو</t>
  </si>
  <si>
    <t>5083م</t>
  </si>
  <si>
    <t>مكافاه ختم النسر اغسطس</t>
  </si>
  <si>
    <t>مكافاه المشتريات والمخازن اغسطس</t>
  </si>
  <si>
    <t>جهد متميز سبتمبر</t>
  </si>
  <si>
    <t>جهود رعايه الشباب اغسطس</t>
  </si>
  <si>
    <t>جهود مصروفات دراسيه اغسطس</t>
  </si>
  <si>
    <t>فرق مصروفات دراسيه اغسطس</t>
  </si>
  <si>
    <t>مكافاه صيانه اجهزه كنترول</t>
  </si>
  <si>
    <t>مكافاه خ ت اغسطس</t>
  </si>
  <si>
    <t>مكافاه خ ت قبول خريف</t>
  </si>
  <si>
    <t>مكافاه انتداب محامى الكليه اغسطس</t>
  </si>
  <si>
    <t>مكافاه منتدبين الصندوق اغسطس</t>
  </si>
  <si>
    <t>مكافاه قيادات خدمة عامة يوليو واغسطس</t>
  </si>
  <si>
    <t>جهود سمير زكريا</t>
  </si>
  <si>
    <t>مكافاه ماموريات نصر انور</t>
  </si>
  <si>
    <t>مكافاه انتقالات مكتب العميد</t>
  </si>
  <si>
    <t>مكافاه صحه بيانات مكتب وكلاء</t>
  </si>
  <si>
    <t>مكافاه انتقالات برنامج دولى</t>
  </si>
  <si>
    <t>مكافاه ماموريه احمد حسين</t>
  </si>
  <si>
    <t>مكافاه مراجعه ابنيه الكليه</t>
  </si>
  <si>
    <t>مكافاه نظام نوبتجيات ابحاث اكلينكيه</t>
  </si>
  <si>
    <t>مكافاه الشيفت</t>
  </si>
  <si>
    <t>مكافاه 30%علاقات ثقافيه</t>
  </si>
  <si>
    <t>مكافاه تصوير ورش عمل مانشيستر</t>
  </si>
  <si>
    <t>مكافاه بعد المواعيد محمد عباس</t>
  </si>
  <si>
    <t>فرق مكافاه البيان سبتمبر</t>
  </si>
  <si>
    <t>مكافاه استثنائيه للعاملين بالشيفت</t>
  </si>
  <si>
    <t>مكافاه علاقات عامه مانشيستر</t>
  </si>
  <si>
    <t>جهود غير عاديه اغسطس خارجى</t>
  </si>
  <si>
    <t>مكافاه امن الكليه</t>
  </si>
  <si>
    <t xml:space="preserve">مكافاه مركز ابحاث اكلينكى </t>
  </si>
  <si>
    <t>مكافاه اعداد لجنه دراسات عليا</t>
  </si>
  <si>
    <t>مكافاه صيانه اجهزه</t>
  </si>
  <si>
    <t>مكافاه ترجمه</t>
  </si>
  <si>
    <t xml:space="preserve">مكافاه شؤن قانونيه </t>
  </si>
  <si>
    <t>جهود مانشيستر</t>
  </si>
  <si>
    <t>فروق مكافاه امتحان هدى سعيد</t>
  </si>
  <si>
    <t>مكافاه العاملين فصل دراسى ثانى</t>
  </si>
  <si>
    <t>تميز علمى</t>
  </si>
  <si>
    <t>مكافاه مركز التدريب</t>
  </si>
  <si>
    <t>مكافاه ايرادات ابحاث اكلينكى</t>
  </si>
  <si>
    <t>مكافاه منسقين اكاديمى</t>
  </si>
  <si>
    <t>جهود مركز ابحاث اكلينكى</t>
  </si>
  <si>
    <t>مكافاه موقع الكترونى</t>
  </si>
  <si>
    <t>مكافاه جرد سنوى مخازن</t>
  </si>
  <si>
    <t>مكافاه تعاقدات لجان توريدات</t>
  </si>
  <si>
    <t>مكافاه استخراج شهادات</t>
  </si>
  <si>
    <t>مكافاه ارتباطات ماليه</t>
  </si>
  <si>
    <t>مكافاه سكرتاريه طب شرعى</t>
  </si>
  <si>
    <t>مكاه ابحاث طبيه</t>
  </si>
  <si>
    <t>مكافاه خدمه مانشيستر</t>
  </si>
  <si>
    <t>مكافاه اعمال تعاقدات</t>
  </si>
  <si>
    <t>مكافاه تدريس ربيع ا ه ت</t>
  </si>
  <si>
    <t>مكافاه تدريس ليزر فصل صيفى ا ه ت</t>
  </si>
  <si>
    <t>مكافاه استكمال عملى صيفى ا ه ت</t>
  </si>
  <si>
    <t>مكافاه استكمال تدريس صيفى اه ت</t>
  </si>
  <si>
    <t>مكافاه وحده ضمان جوده ا ه ت</t>
  </si>
  <si>
    <t>ج شؤن اداريه اداريين سبتمبر</t>
  </si>
  <si>
    <t>مكافاه انتظام حصص عمليه اداريين</t>
  </si>
  <si>
    <t>مكافاه اعمال اضافيه فنيين</t>
  </si>
  <si>
    <t>مكافاه القياس والتقويم اه ت واداريين</t>
  </si>
  <si>
    <t>مكافاه استكمال جهود ماليزى حكيمات</t>
  </si>
  <si>
    <t>ج سكرتاريه شؤن قانونيه من يوليو الى سبتمبر</t>
  </si>
  <si>
    <t>ج وحده الامن سبتمبر</t>
  </si>
  <si>
    <t>ج المراجعه اللاحقه سبتمبر</t>
  </si>
  <si>
    <t>ج العمل فى الاجازات اداريين</t>
  </si>
  <si>
    <t>ج المشاركه فى البرنامج اداريين سبتمبر</t>
  </si>
  <si>
    <t>مكافاه اعمال اضافيه اداريين سبتمبر</t>
  </si>
  <si>
    <t>مكافاه طارق رشاد (رئيس الامن )</t>
  </si>
  <si>
    <t>مكافاه استكمال جهود ماليزى مؤقتين</t>
  </si>
  <si>
    <t>مكافاه ساعات اضافيه اداريين سبتمبر</t>
  </si>
  <si>
    <t>ج المشتريات اداريين سبتمبر</t>
  </si>
  <si>
    <t>ج الشفه الارنبيه حكيمات سبتمبر</t>
  </si>
  <si>
    <t>مكافاه انتظام حصص عمليه مؤقتين</t>
  </si>
  <si>
    <t xml:space="preserve">ج اعمال اضافيه مؤقتين </t>
  </si>
  <si>
    <t>ج شؤن اداريه مؤقتين سبتمبر</t>
  </si>
  <si>
    <t>ج المراجعه اللاحقه سبتمبر مؤقتين</t>
  </si>
  <si>
    <t>ج المشاركه فى البرنامج مؤقتين سبتمبر</t>
  </si>
  <si>
    <t>مكافاه ساعات اضافيه مؤقتين سبتمبر</t>
  </si>
  <si>
    <t>مكافاه انتظام حصص عمليه معيدين سبتمبر</t>
  </si>
  <si>
    <t>مكافاه انتظام حصص عمليه حكيمات سبتمبر</t>
  </si>
  <si>
    <t>مكافاه انتظام حصص عمليه فصل موازنه سبتمبر</t>
  </si>
  <si>
    <t>اجمالى 4/10/2023</t>
  </si>
  <si>
    <t>مكافاه امين مخزن اغسطس</t>
  </si>
  <si>
    <t xml:space="preserve">مكافاه الساده الاطباء </t>
  </si>
  <si>
    <t xml:space="preserve">مكافاه مشاركه تعليميه </t>
  </si>
  <si>
    <t>مناقشه دكتوراه جيلان محمد</t>
  </si>
  <si>
    <t>مناقشه دكتوراه ايه سيد</t>
  </si>
  <si>
    <t>مناقشه ماجستير ساره عبد الرجمن</t>
  </si>
  <si>
    <t>مناقشه ماجستير احمد سامى</t>
  </si>
  <si>
    <t>مناقشه ماجستير مصطفى عصمت</t>
  </si>
  <si>
    <t>مناقشه ماجستير نورهان هشام</t>
  </si>
  <si>
    <t>مناقشه ماجستير احمد ابراهيم</t>
  </si>
  <si>
    <t>مناقشه ماجستير فاتن محمد</t>
  </si>
  <si>
    <t>مناقشه ماجستير خلود ممدوح</t>
  </si>
  <si>
    <t>مكافاه دكتوراه مها طارق</t>
  </si>
  <si>
    <t>مناقشه ماجستير يمنى مجدى</t>
  </si>
  <si>
    <t>مناقشه ماجستير شريفه ابراهيم</t>
  </si>
  <si>
    <t>مناقشه دكتوراه كريم محمد</t>
  </si>
  <si>
    <t>مكافاه لجنه اخلاقيات اغسطس</t>
  </si>
  <si>
    <t>جهود تدريب طالبات الاميره نورا</t>
  </si>
  <si>
    <t>مستحقات العاملين بالشيفت اغسطس</t>
  </si>
  <si>
    <t>اجمالى 7/10/2023</t>
  </si>
  <si>
    <t>ج الاضابير سبتمبر</t>
  </si>
  <si>
    <t>مكافاه قسم المكتبه اغسطس</t>
  </si>
  <si>
    <t>ج قسم المكتبه</t>
  </si>
  <si>
    <t>مكافاه قسم الاضابير اغسطس</t>
  </si>
  <si>
    <t>مكافاه قسم الارشيف اغسطس</t>
  </si>
  <si>
    <t>مكافاه اعانات اغسطس</t>
  </si>
  <si>
    <t>مكافاه قسم الحسابات الخاصه اغسطس</t>
  </si>
  <si>
    <t>مكافاه قسم الصرافه اغسطس</t>
  </si>
  <si>
    <t>مكافاه قسم الشؤن القانونيه اغسطس</t>
  </si>
  <si>
    <t>مكافاه المنشات التعليميه اغسطس</t>
  </si>
  <si>
    <t>مكافاه قسم الكنترول اغسطس</t>
  </si>
  <si>
    <t>مكافاه ختم الجمهوريه اغسطس</t>
  </si>
  <si>
    <t>مكافاه قسم الاستحقاقات اغسطس</t>
  </si>
  <si>
    <t>مكافاه نسبه التحصيل اغسطس</t>
  </si>
  <si>
    <t>مكافاه قسم شؤن الطلاب اغسطس</t>
  </si>
  <si>
    <t>مكافاه شؤن خريجين اغسطس</t>
  </si>
  <si>
    <t>مكافاه المجمع التعليمى اغسطس</t>
  </si>
  <si>
    <t>مكافاه رؤساء الاقسام اغسطس</t>
  </si>
  <si>
    <t>مكافاه قسم المطبعه اغسطس</t>
  </si>
  <si>
    <t>مكافاه قسم العلاقات العامه اغسطس</t>
  </si>
  <si>
    <t>مكافاه قسم سكرتاريه العميد اغسطس</t>
  </si>
  <si>
    <t>مكافاه قسم سكرتاريه الوكيل اغسطس</t>
  </si>
  <si>
    <t>مكافاه قسم الدراسات العليا اغسطس</t>
  </si>
  <si>
    <t>مكافاه قسم القيد والحفظ اغسطس</t>
  </si>
  <si>
    <t>مكافاه قسم الحسابات اغسطس</t>
  </si>
  <si>
    <t>مكافاه استحقاقات يوليو</t>
  </si>
  <si>
    <t>ج اعمال النظافه يوليو</t>
  </si>
  <si>
    <t>مكافاه خ ت يوليو</t>
  </si>
  <si>
    <t>مكافاه عهده الختم يوليو</t>
  </si>
  <si>
    <t>ج حنان رفعت يوليو</t>
  </si>
  <si>
    <t xml:space="preserve">مكافاه بدل سفر صفوت خميس </t>
  </si>
  <si>
    <t>اجمالى 8/10/2023</t>
  </si>
  <si>
    <t>هيئه الشراء الموحد شراء بنج ازرق (200 علبه )</t>
  </si>
  <si>
    <t>جمعيه امان التعاونيه توريد وجبات</t>
  </si>
  <si>
    <t>الهيئه العربيه للتصنيع مصنع طائرات شراء شاشات</t>
  </si>
  <si>
    <t>مكافاه اختبار مواد يوليو</t>
  </si>
  <si>
    <t>مكافاه رعايه الزرع اغسطس</t>
  </si>
  <si>
    <t>مكافاه تحصيل ايرادات المجله يوليو</t>
  </si>
  <si>
    <t>مكافاه تحصيل ايرادات المجله اغسطس</t>
  </si>
  <si>
    <t>ج العاملين بنشاط الميكرسكوب يوليو</t>
  </si>
  <si>
    <t>ج العاملين بنشاط الميكرسكوب اغسطس</t>
  </si>
  <si>
    <t>مكافاه الخدمه العامه يوليو</t>
  </si>
  <si>
    <t>مكافاه قسم الاشعه ابريل</t>
  </si>
  <si>
    <t>مكافاه قسم الاشعه مايو</t>
  </si>
  <si>
    <t>مكافاه قسم الاشعه يونيو</t>
  </si>
  <si>
    <t>مكافاه رعايه الزرع يوليو</t>
  </si>
  <si>
    <t>مكافاه علاج تخصصى ديسمبر</t>
  </si>
  <si>
    <t>مكافاه علاج تخصصى يناير</t>
  </si>
  <si>
    <t>مكافاه علاج تخصصى مارس</t>
  </si>
  <si>
    <t>مكافاه علاج تخصصى ابريل</t>
  </si>
  <si>
    <t>مكافاه علاج تخصصى يونيو</t>
  </si>
  <si>
    <t>مكافاه علاج تخصصى يوليو</t>
  </si>
  <si>
    <t>مكافاه علاج تخصصى اغسطس</t>
  </si>
  <si>
    <t>مكافاه اشراف يونيو</t>
  </si>
  <si>
    <t>مكافاه اشراف مايو</t>
  </si>
  <si>
    <t>مكافاه تدريس برامج جديده</t>
  </si>
  <si>
    <t>مكافاه تدريس فنيين</t>
  </si>
  <si>
    <t xml:space="preserve">مكافاه تدريس عمال </t>
  </si>
  <si>
    <t>ج غ عاديه امتحانات صيفى</t>
  </si>
  <si>
    <t>مكافاه امتحان مقرارات خارجيه</t>
  </si>
  <si>
    <t>ج غ عاديه علاقات ثقافيه</t>
  </si>
  <si>
    <t>مكافاه اعمال امتحانات صيف</t>
  </si>
  <si>
    <t>مكافاه لجان مراقبه وملاحظه</t>
  </si>
  <si>
    <t>مكافاه تدريس من الخارج</t>
  </si>
  <si>
    <t>مكافاه منسقين وحدات جراحه</t>
  </si>
  <si>
    <t>مكافاه فرقه سادسه</t>
  </si>
  <si>
    <t>عب تدريس شرج وقولون</t>
  </si>
  <si>
    <t>مكافاه محاضرات عمليه فرقه سادسه</t>
  </si>
  <si>
    <t>عب تدريس قسم التخدير</t>
  </si>
  <si>
    <t>عب تدريس قسم الجراحه فرقه 6</t>
  </si>
  <si>
    <t>محاضرات عمليه راس وعنق</t>
  </si>
  <si>
    <t>رد تامين نهائى ميديكال اند لاب فيو</t>
  </si>
  <si>
    <t>كسب عمل سبتمبر</t>
  </si>
  <si>
    <t>دمغه عاديه سبتمبر</t>
  </si>
  <si>
    <t>ضرائب متنوعه سبتمبر</t>
  </si>
  <si>
    <t>تنميه موارد سبتمبر</t>
  </si>
  <si>
    <t>اجمالى 9/10/2023</t>
  </si>
  <si>
    <t>استقطاع خ ت وخ عامه وعلاج تخصصى اسنان</t>
  </si>
  <si>
    <t>استقطاع حساب القرض الحسن سبتمبر صيدله</t>
  </si>
  <si>
    <t>استقطاع وثيقه التامين الاجتماعى يوليو صيدله</t>
  </si>
  <si>
    <t>استقطاع لصالح ص خ ت طب</t>
  </si>
  <si>
    <t>صندوق تنميه موارد الجامعه</t>
  </si>
  <si>
    <t>شركه نهضه مصر للخدمات البيئيه رفع مخلفات اغسطس</t>
  </si>
  <si>
    <t>الشركه الفرنسيه للمصاعد صيانه المصاعد 3-4-5-6 عن يوليو واغسطس</t>
  </si>
  <si>
    <t>شركه كنوز للتجاره والتوريدات شراء 12000رزمه ورق</t>
  </si>
  <si>
    <t>جهاز مشروعات الخدمه الوطنيه اعمال نظافه 19/8/2023 حتى 18/9/2023</t>
  </si>
  <si>
    <t>شركه ديسكفرى لاعمال الكهروميكانيكا</t>
  </si>
  <si>
    <t xml:space="preserve">شركه المنى للاجهزه العلميه </t>
  </si>
  <si>
    <t>شركه العز للتوريدات</t>
  </si>
  <si>
    <t>اجمالى 11/10/2023</t>
  </si>
  <si>
    <t xml:space="preserve">مكافاه حافز اداء </t>
  </si>
  <si>
    <t>مكافاه فنيين وعمال من الخارج</t>
  </si>
  <si>
    <t xml:space="preserve">ج غير عاديه سكرتاريه </t>
  </si>
  <si>
    <t>مكافاه حضور بدل اجتماع</t>
  </si>
  <si>
    <t xml:space="preserve">خ ت صيدلة </t>
  </si>
  <si>
    <t>مكافاه قيادات البرنامج ا ه ت اكتوبر</t>
  </si>
  <si>
    <t xml:space="preserve">مكافاه بيان منسقين اه ت اكتوبر </t>
  </si>
  <si>
    <t>مكافاه بيان اداريين اكتوبر</t>
  </si>
  <si>
    <t>مكافاه بيان مؤقتين اكتوبر</t>
  </si>
  <si>
    <t>ج احمد شعبان عن قيمه مضافه اغسطس وسبتمبر</t>
  </si>
  <si>
    <t>مكافاه اعمال متميزه ا ه ت اكتوبر</t>
  </si>
  <si>
    <t>مكافاه اعمال متميزه منسقين ا ه ت اكتوبر</t>
  </si>
  <si>
    <t>مكافاه اعمال متميزه مؤقتين اكتوبر</t>
  </si>
  <si>
    <t>مكافاه اعمال متميزه اداريين اكتوبر</t>
  </si>
  <si>
    <t>ج عمرو جابر اكتوبر</t>
  </si>
  <si>
    <t>ج تفعيل منظومه الدفع مؤقتين</t>
  </si>
  <si>
    <t>ج بدء العام الدراسى مؤقتين</t>
  </si>
  <si>
    <t>ج بدء العام الدراسى ا ه ت</t>
  </si>
  <si>
    <t>ج تحصيل شيكات اداريين اكتوبر</t>
  </si>
  <si>
    <t>ج تحصيل شيكات مؤقتين اكتوبر</t>
  </si>
  <si>
    <t>ج اعداد بيانات اداريين</t>
  </si>
  <si>
    <t>مكافاه بحوث دوائيه يوليو</t>
  </si>
  <si>
    <t>مكافاه تشغيليه معمل مركزى</t>
  </si>
  <si>
    <t>مكافاه امتحان ماده التشريعات</t>
  </si>
  <si>
    <t xml:space="preserve">شركه بيك للاجهزه العلميه </t>
  </si>
  <si>
    <t xml:space="preserve">شركه محمد فرج على قاسم </t>
  </si>
  <si>
    <t>سالم محمد سالم شراء 10 ظرف</t>
  </si>
  <si>
    <t>مركز مكافحه افه النمل شراء ماده لرش الحشرات</t>
  </si>
  <si>
    <t xml:space="preserve">عادل مصطفى بيبرس شراء مستلزمات كوفى بريك </t>
  </si>
  <si>
    <t xml:space="preserve">شركه ديجيتك </t>
  </si>
  <si>
    <t>الجمعيه التعاونيه الانشائيه (ليدس )</t>
  </si>
  <si>
    <t xml:space="preserve">شركه ساميت للحلول والتقنيه </t>
  </si>
  <si>
    <t>بتاريخ 4/10</t>
  </si>
  <si>
    <t>تعديل استماره 2809</t>
  </si>
  <si>
    <t>تعديل استماره 2944</t>
  </si>
  <si>
    <t>اجمالى 14/10/2023</t>
  </si>
  <si>
    <t>مرتبات مؤقتين اكتوبر</t>
  </si>
  <si>
    <t>اجمالى 12/10/2023 بيرول</t>
  </si>
  <si>
    <t>اعاده قيد استماره 3130</t>
  </si>
  <si>
    <t>الغاء استماره 3130</t>
  </si>
  <si>
    <t>عكس استماره 3106</t>
  </si>
  <si>
    <t>تعديل استماره 3106</t>
  </si>
  <si>
    <t>مكافاه لجان وافدين</t>
  </si>
  <si>
    <t>مكافاه جهد مراجعه</t>
  </si>
  <si>
    <t>عب تدريس اتصالات</t>
  </si>
  <si>
    <t>عب تدريس</t>
  </si>
  <si>
    <t>محاضرات عمليه قسم جراحه جهاز هضمى</t>
  </si>
  <si>
    <t>عب تدريس قسم جراحه كبد</t>
  </si>
  <si>
    <t>محاضرات عمليه فارماكولوجى</t>
  </si>
  <si>
    <t>محاضرات عمليه قسم فارماكولوجى</t>
  </si>
  <si>
    <t>مكافاه مجلس اداره اكتوبر ا ه ت</t>
  </si>
  <si>
    <t>مكافاه تدريس نظرى صيفى ا ه ت</t>
  </si>
  <si>
    <t>ج عن اعداد بيانات قسم المعاشات</t>
  </si>
  <si>
    <t>مكافاه تجهيز عيادات ومعامل خريف اداريين</t>
  </si>
  <si>
    <t>مكافاه تجهيز عيادات ومعامل خريف مؤقتين</t>
  </si>
  <si>
    <t>مكافاه كشف طبى برنامج عام</t>
  </si>
  <si>
    <t>مكافاه بدء العام الدراسى</t>
  </si>
  <si>
    <t>مكافاه مولد نبوى</t>
  </si>
  <si>
    <t>مكافاه عمال يوميه اكتوبر</t>
  </si>
  <si>
    <t>عكس استماره 3044</t>
  </si>
  <si>
    <t>اعاده ادخال استماره 3044</t>
  </si>
  <si>
    <t xml:space="preserve">بدل انتقال منى عبد الفتاح </t>
  </si>
  <si>
    <t>اجمالى 16/10/2023</t>
  </si>
  <si>
    <t>ضريبه الدخل سبتمبر</t>
  </si>
  <si>
    <t>استقطاع صندوق تكريم الشهداء (محمد امين )سبتمبر</t>
  </si>
  <si>
    <t>استقطاع صندوق دعم ذوى الاعاقه محمد امين سبتمبر</t>
  </si>
  <si>
    <t>اجمالى 18/10/2023 بيرول</t>
  </si>
  <si>
    <t xml:space="preserve">سالم محمد سالم (ايكوال للتجاره ) شراء 2 بطاريه </t>
  </si>
  <si>
    <t>شركه تكنوويف صيانه وحدات اسنان من 26/7/2022 الى 25/10/2022</t>
  </si>
  <si>
    <t xml:space="preserve">سلفه مؤقته /احمد شعبان سيد احمد قيمه اصدار شهادات الختم الالكترونى </t>
  </si>
  <si>
    <t>شركه سيرفوميد  صيانه 70 وحده اسنان من 13/3/2023 الى 12/6/2023</t>
  </si>
  <si>
    <t>شركه فاروس للكيماويات والاجهزه المعمليه</t>
  </si>
  <si>
    <t>دعم رسائل / هدير محمد عزت</t>
  </si>
  <si>
    <t>دعم رسائل / مى اسامه</t>
  </si>
  <si>
    <t xml:space="preserve">رد ضمان تارجت تكنولوجى </t>
  </si>
  <si>
    <t xml:space="preserve">رد ضمان تكنوساينتفك </t>
  </si>
  <si>
    <t>تغريد ابو العباس فرق خ ت يوليو</t>
  </si>
  <si>
    <t>مكافاه الكشف الطبى</t>
  </si>
  <si>
    <t>مكافاه هندسه الانسجه اداريين</t>
  </si>
  <si>
    <t>مكافاه بيت الحيوان يوليو واغسطس(تم الغاء هذه الاستماره فى رقم 3851)</t>
  </si>
  <si>
    <t>مكافاه بيت الحيوان يوليو واغسطس</t>
  </si>
  <si>
    <t>مكافاه بيت الحيوان يوليو واغسطس مصطفى احمد</t>
  </si>
  <si>
    <t>مكافاه قسم اضابير اكتوبر</t>
  </si>
  <si>
    <t>فرق مكافاه بيان سبتمبر</t>
  </si>
  <si>
    <t xml:space="preserve">مكافاه اداره هندسيه </t>
  </si>
  <si>
    <t>مكافاه تصوير طلاب برنامج</t>
  </si>
  <si>
    <t>مكافاه نوباتجيه الابحاث الطبيه</t>
  </si>
  <si>
    <t>مكافاه بعد المواعيدعمل قسم سيارات</t>
  </si>
  <si>
    <t>مكافاه لجان ممارسه عامه</t>
  </si>
  <si>
    <t>مكافاه ماموريات</t>
  </si>
  <si>
    <t>مكافاه سكرتاريه فرنساوى</t>
  </si>
  <si>
    <t>مكافاه ماموريات احمد حسين</t>
  </si>
  <si>
    <t>مكافاه الاشراف على ديزل</t>
  </si>
  <si>
    <t>مكافاه ابحاث اكلنيكيه</t>
  </si>
  <si>
    <t xml:space="preserve">مكافاه مركز ابحاث </t>
  </si>
  <si>
    <t>مكافاه ابراهيم قنديل</t>
  </si>
  <si>
    <t>اجمالى 19/10/2023</t>
  </si>
  <si>
    <t>مكافاه الملاعب سبتمبر</t>
  </si>
  <si>
    <t>مكافاه الملاعب اغسطس</t>
  </si>
  <si>
    <t>مكافاه العاملين بعد المواعيد اغسطس</t>
  </si>
  <si>
    <t>مكافاه المدير التنفيذى للمركز سبتمبر</t>
  </si>
  <si>
    <t>مكافاه العاملين بالمركز سبتمبر</t>
  </si>
  <si>
    <t>بدل انتقال العاملين بالوحده الماليه يوليو واغسطس</t>
  </si>
  <si>
    <t>مكافاه المستعان بهم فى المركز سبتمبر</t>
  </si>
  <si>
    <t>مكافاه العميد مركز المؤتمرات سبتمبر</t>
  </si>
  <si>
    <t>مكافاه التواجد بعد مواعيد العمل سبتمبر</t>
  </si>
  <si>
    <t>مكافاه التميز للعاملين بالمركز يوليو</t>
  </si>
  <si>
    <t>مكافاه الهيكل الادارى للبرنامج اكتوبر</t>
  </si>
  <si>
    <t>مستحقات الكيميائيين بنظام الشيفت اكتوبر</t>
  </si>
  <si>
    <t>مستحقات العاملين بنظام الشيفت اكتوبر</t>
  </si>
  <si>
    <t>مكافاه تشجعيه عن ايرادابحاث اكلينكيه اكتوبر</t>
  </si>
  <si>
    <t>مكافاه اداريين وعمال سبتمبر</t>
  </si>
  <si>
    <t>مكافاه اعمال النظافه</t>
  </si>
  <si>
    <t>ج احمد عبد اللطيف اكتوبر</t>
  </si>
  <si>
    <t>ج صيانه اجهزه</t>
  </si>
  <si>
    <t xml:space="preserve">مكافاه اعمال النظافه </t>
  </si>
  <si>
    <t>مكافاه لجان المراقبه</t>
  </si>
  <si>
    <t>مكافاه تحصيل مصروفات سبتمبر</t>
  </si>
  <si>
    <t>مكافاه ختم النسرسبتمبر</t>
  </si>
  <si>
    <t>مكافاه انتداب سبتمبر</t>
  </si>
  <si>
    <t>مكافاه رعايه الشباب سبتمبر</t>
  </si>
  <si>
    <t>جهود مشتريات ومخازن سبتمبر</t>
  </si>
  <si>
    <t>ج امين مخزن شهادات سبتمبر</t>
  </si>
  <si>
    <t>مكافاه ص تكافل سبتمبر</t>
  </si>
  <si>
    <t>مكافاه قسم الاطفال اغسطس</t>
  </si>
  <si>
    <t>مكافاه قسم تقويم اغسطس</t>
  </si>
  <si>
    <t>مكافاه الابتكارات التربويه ا ه ت</t>
  </si>
  <si>
    <t>ج متابعه الاحكام نجوى احمد</t>
  </si>
  <si>
    <t>ج متابعه الاحكام محامى الكليه</t>
  </si>
  <si>
    <t>ج نقل السولار اداريين</t>
  </si>
  <si>
    <t>ج تحضير بدء العام الدراسى اداريين</t>
  </si>
  <si>
    <t>ج تحضير بدء العام الدراسى خدمات معاونه</t>
  </si>
  <si>
    <t>مكافاه حافز الامن اكتوبر</t>
  </si>
  <si>
    <t>مكافاه قسم الخزينه اكتوبر</t>
  </si>
  <si>
    <t>ج متابعه الاحكام هويدا فتحى (فصل موازنه )</t>
  </si>
  <si>
    <t>ج نقل السولار مؤقتين</t>
  </si>
  <si>
    <t>ج تحضير بدء العام الدراسى مؤقتين</t>
  </si>
  <si>
    <t>مكافاه العميد والوكلاء من يوليو الى سبتمبر</t>
  </si>
  <si>
    <t>مكافاه قسم اعانه اجتماعيه</t>
  </si>
  <si>
    <t>مكافاه حسابات خاصه</t>
  </si>
  <si>
    <t>مكافاه قسم الدراسات العليا</t>
  </si>
  <si>
    <t xml:space="preserve">مكافاه ختم الجمهوريه </t>
  </si>
  <si>
    <t>مكافاه رؤساء اقسام</t>
  </si>
  <si>
    <t xml:space="preserve">مكافاه قسم القيد والحفظ </t>
  </si>
  <si>
    <t>شركه تكنوايرجات</t>
  </si>
  <si>
    <t>سلفه مؤقته / رشا رشدى</t>
  </si>
  <si>
    <t>شركه بيراميد للتوريدات العموميه</t>
  </si>
  <si>
    <t>سلفه مؤقته / منصور بشير</t>
  </si>
  <si>
    <t xml:space="preserve">المجلس الوطنى للاعتماد </t>
  </si>
  <si>
    <t xml:space="preserve">استرداد/ محمد احمد نجيب </t>
  </si>
  <si>
    <t xml:space="preserve">استرداد / تسنيم احمد </t>
  </si>
  <si>
    <t>استرداد / حسام جمال حلمى</t>
  </si>
  <si>
    <t>رد ضمان شركه ابوقير لتكنولوجيا</t>
  </si>
  <si>
    <t>اجمالى 21/10/2023</t>
  </si>
  <si>
    <t>تعديل استماره 3460</t>
  </si>
  <si>
    <t>اعاده ادخال استماره 3460</t>
  </si>
  <si>
    <t>مكافاه تشجعيه لعمال الوحده الحسابيه اكتوبر</t>
  </si>
  <si>
    <t>ج مبذول تدريس</t>
  </si>
  <si>
    <t>مكافاه منسقين ورؤساء طب اطفال</t>
  </si>
  <si>
    <t>مكافاه سكرتاريه قسم القلب</t>
  </si>
  <si>
    <t>مكافاه منسقين جراحه</t>
  </si>
  <si>
    <t>مكافاه العاملين بالكنترول</t>
  </si>
  <si>
    <t>عب تدريس طلاب</t>
  </si>
  <si>
    <t>عب تدريس قسم الاشعه</t>
  </si>
  <si>
    <t>مكافاه الماليزى اكتوبر</t>
  </si>
  <si>
    <t>ماموريه منصور انور</t>
  </si>
  <si>
    <t>مكافاه مركز ابحاث اكتوبر</t>
  </si>
  <si>
    <t>عب تدريس ماده الحرفيه</t>
  </si>
  <si>
    <t xml:space="preserve"> الغاء استماره 3106</t>
  </si>
  <si>
    <t>مكافاه اقسام مختلفه</t>
  </si>
  <si>
    <t>مكافاه دراسات عليا</t>
  </si>
  <si>
    <t>مكافاه قسم النسا</t>
  </si>
  <si>
    <t>مكافاه قسم جراحه عامه</t>
  </si>
  <si>
    <t>مكافاه قسم الفسيولوجى</t>
  </si>
  <si>
    <t>مكافاه قسم الكمبيوتر</t>
  </si>
  <si>
    <t>مكافاه قسم الهستولوجى</t>
  </si>
  <si>
    <t>مكافاه قسم الجراحه</t>
  </si>
  <si>
    <t>مكافاه قسم طب المجتمع</t>
  </si>
  <si>
    <t>مكافاه فصل ربيع دراسات</t>
  </si>
  <si>
    <t>مكافاه قسم المكتبه</t>
  </si>
  <si>
    <t>مكافاه قسم العلاقات الثقافيه</t>
  </si>
  <si>
    <t>مكافاه قسم البحوث</t>
  </si>
  <si>
    <t>مكافاه فنيين سبتمبر</t>
  </si>
  <si>
    <t>مكافاه اتحاد طلاب سبتمبر</t>
  </si>
  <si>
    <t>مكافاه خدمه يوليو(تم الغاء هذه الاستماره فى رقم 3850)</t>
  </si>
  <si>
    <t>مكافاه وحده تعليم وخدمه عامه اغسطس</t>
  </si>
  <si>
    <t>مكافاه القوافل من 10/7حتى 27/9</t>
  </si>
  <si>
    <t>مكافاه بيت الحيوان سبتمبر</t>
  </si>
  <si>
    <t>مكافاه تحصيل ايرادات المجله سبتمبر</t>
  </si>
  <si>
    <t>مكافاه اختبار مواد اغسطس</t>
  </si>
  <si>
    <t>مكافاه رعايه زرع سبتمبر</t>
  </si>
  <si>
    <t>سلفه مؤقته/ هويدا مصطفى</t>
  </si>
  <si>
    <t>استرداد/ رشا محمد</t>
  </si>
  <si>
    <t>استرداد / هايدى عصام</t>
  </si>
  <si>
    <t>استرداد / نهله عاطف</t>
  </si>
  <si>
    <t>سلفه مؤقته / كريمه عبد الستار</t>
  </si>
  <si>
    <t>اجمالى 22/10/2023</t>
  </si>
  <si>
    <t xml:space="preserve">اضافى </t>
  </si>
  <si>
    <t>اجمالى 22/10/2023 بيرول</t>
  </si>
  <si>
    <t xml:space="preserve">مكافاه </t>
  </si>
  <si>
    <t>اجمالى 23/10/2023 بيرول</t>
  </si>
  <si>
    <t>مكافاه ارشفه الكترونيه مكتب العميد</t>
  </si>
  <si>
    <t>مكافاه مشرف مواساه</t>
  </si>
  <si>
    <t>مكافاه اجتماع معيدين شؤن تدريس</t>
  </si>
  <si>
    <t xml:space="preserve">مكافاه منشات تعليميه </t>
  </si>
  <si>
    <t>مكافاه مركز الابحاث / رشا عيسوى</t>
  </si>
  <si>
    <t>مكافاه العاملين بعد المواعيد سبتمبر</t>
  </si>
  <si>
    <t>مكافاه شهريه مركز ابحاث طبيه اكتوبر</t>
  </si>
  <si>
    <t xml:space="preserve">الغاء استماره 3768 </t>
  </si>
  <si>
    <t>اعاده ادخال استماره 3768</t>
  </si>
  <si>
    <t>اجمالى 23/10/2023</t>
  </si>
  <si>
    <t>الغاء استماره 3786 ورثه سرحان محمد يوليو</t>
  </si>
  <si>
    <t>الغاء استماره 3455 بيت حيوان يوليو واغسطس بشرى رمضان</t>
  </si>
  <si>
    <t>استقطاع عن ساعات معتمده ربيع</t>
  </si>
  <si>
    <t>اجمالى 24/10/2023</t>
  </si>
  <si>
    <t>علاوه غلاء معيشه</t>
  </si>
  <si>
    <t>3392+3395</t>
  </si>
  <si>
    <t>اجمالى 25/10/2023 بيرول</t>
  </si>
  <si>
    <t>ا ت ص من يوليو الى سبتمبر</t>
  </si>
  <si>
    <t>وعاء اكتوبر</t>
  </si>
  <si>
    <t xml:space="preserve">سلفه مؤقته / بسنت وجيه </t>
  </si>
  <si>
    <t>اجمالى 26/10/2023</t>
  </si>
  <si>
    <t>استقطاع شركه اورانج اكتوبر</t>
  </si>
  <si>
    <t>اجمالى 28/10/2023 بيرول</t>
  </si>
  <si>
    <t>فوائد تاخير عن معاشات يوليو</t>
  </si>
  <si>
    <t>قيمه حجز قاعه مركز المؤتمرات (من ايراد ماليزى اسنان الى ايراد مؤتمرات)</t>
  </si>
  <si>
    <t xml:space="preserve">اجمالى 28/10/2023 </t>
  </si>
  <si>
    <t>اعاده قيد تسويه 35 (من وحده الى وحده )</t>
  </si>
  <si>
    <t>اعاده قيد تسويه 12 (من وحده الى وحده )</t>
  </si>
  <si>
    <t>ضبط بنود شهر يوليو واغسطس (مبالغ صرفت من ايراد سنوات سابقه بالخطا )</t>
  </si>
  <si>
    <t>ضبط بنود شهر سبتمبر (مبالغ صرفت من ايراد سنوات سابقه بالخطا )</t>
  </si>
  <si>
    <t>مصطفى محمد عباس بونات سولار</t>
  </si>
  <si>
    <t>تسويه سلفه بونات السولار مصطفى محمد</t>
  </si>
  <si>
    <t>الشركه المصريه للاتصالات يوليو</t>
  </si>
  <si>
    <t>سداد سلفه / هويدا مصطفى</t>
  </si>
  <si>
    <t xml:space="preserve">سداد سلفه / فريد مصطفى </t>
  </si>
  <si>
    <t>سداد سلفه / وليد تمام</t>
  </si>
  <si>
    <t>سداد سلفه / انجى احمد عبد الرحمن</t>
  </si>
  <si>
    <t>من ضمان اعمال الى ايرادات (مضى عليها المده القانونيه )</t>
  </si>
  <si>
    <t>من تامين نهائى الى ايرادات (مضى عليها المده القانونيه )</t>
  </si>
  <si>
    <t>اجمالى 7/10/2023 تسويات</t>
  </si>
  <si>
    <t>ق توريد 858297</t>
  </si>
  <si>
    <t>ق توريد 858293</t>
  </si>
  <si>
    <t>ق توريد 858291</t>
  </si>
  <si>
    <t>ق توريد 858281</t>
  </si>
  <si>
    <t>ق توريد 858283</t>
  </si>
  <si>
    <t>ق توريد 858289</t>
  </si>
  <si>
    <t>ق توريد 858295</t>
  </si>
  <si>
    <t>ق توريد 858285</t>
  </si>
  <si>
    <t>ق توريد 858287</t>
  </si>
  <si>
    <t>ق توريد 858294</t>
  </si>
  <si>
    <t>ق توريد 858296</t>
  </si>
  <si>
    <t>ق توريد 858292</t>
  </si>
  <si>
    <t>ق توريد 858290</t>
  </si>
  <si>
    <t>ق توريد 858280</t>
  </si>
  <si>
    <t>ق توريد 858282</t>
  </si>
  <si>
    <t>ق توريد 858288</t>
  </si>
  <si>
    <t>ق توريد 858284</t>
  </si>
  <si>
    <t>ق توريد 858286</t>
  </si>
  <si>
    <t>كشف بنك من 3/9 الى 21/9/2023</t>
  </si>
  <si>
    <t>كشف بنك من 3/9 الى 27/9/2023</t>
  </si>
  <si>
    <t>كشف بنك من 13/8الى 17/8/2023</t>
  </si>
  <si>
    <t xml:space="preserve">كشف بنك يوليو </t>
  </si>
  <si>
    <t>كشف بنك من 17/9الى 21/9/2023</t>
  </si>
  <si>
    <t>طب</t>
  </si>
  <si>
    <t>خطاب ضمان رحاب عبد ربه (الرحاب للمقاولات )</t>
  </si>
  <si>
    <t xml:space="preserve">خطاب ضمان شركه منصور للمقاولات </t>
  </si>
  <si>
    <t>صيدلة</t>
  </si>
  <si>
    <t>اجمالى 25/10/2023 تسويات</t>
  </si>
  <si>
    <t>من وحده مؤتمرات الى وحده ماليزى خاص بحجز قاعه</t>
  </si>
  <si>
    <t>ق توريد 858332</t>
  </si>
  <si>
    <t>ق توريد 858331</t>
  </si>
  <si>
    <t>اجمالى 29/10/2023 تسويات</t>
  </si>
  <si>
    <t>بتاريخ 30/9/2023</t>
  </si>
  <si>
    <t>من الايراد الى ضمان اعمال</t>
  </si>
  <si>
    <t>تعديل تسويه 145 من الايراد الى نقديه وومن باب ثانى الى البنك</t>
  </si>
  <si>
    <t>تعديل تسويه 146من الايراد الى نقديه ومن بنك الى الايراد</t>
  </si>
  <si>
    <t>شركه المجموعه الخليجيه</t>
  </si>
  <si>
    <t>سلفه مؤقته/ انجى عبد الغنى</t>
  </si>
  <si>
    <t>اجمالى 30/10/2023 تسويات</t>
  </si>
  <si>
    <t>وحده حسابيه صناديق اكتوبر</t>
  </si>
  <si>
    <t>وحده حسابيه مديونيات اكتوبر</t>
  </si>
  <si>
    <t>تعديل استماره 3816من ايراد الى باب ثانى</t>
  </si>
  <si>
    <t>وحده حسابيه مدفوعات ذاتى اكتوبر</t>
  </si>
  <si>
    <t>اجمالى 31/10/2023 تسويات</t>
  </si>
  <si>
    <t>اشتراكات العاملين بقطاع المجمع الطبى (معاشات اغسطس منتدبين)</t>
  </si>
  <si>
    <t>شركه مصر لتامينات الحياه اغسطس</t>
  </si>
  <si>
    <t>استقطاع نقابه العاملين اغسطس</t>
  </si>
  <si>
    <t xml:space="preserve">استقطاع ص تكريم الشهداء اغسطس </t>
  </si>
  <si>
    <t>استقطاع ص دعم ذوى الاعاقه اغسطس</t>
  </si>
  <si>
    <t>استقطاع قرض التكافل اغسطس</t>
  </si>
  <si>
    <t>استقطاع صندوق التكافل الاجتماعى اغسطس</t>
  </si>
  <si>
    <t>استقطاع اشتراك اللجنه النقابيه اغسطس</t>
  </si>
  <si>
    <t>اشتراكات العاملين بقطاع المجمع الطبى (معاشات اغسطس )</t>
  </si>
  <si>
    <t>استقطاع شركه اورانج اغسطس</t>
  </si>
  <si>
    <t>ضريبه الدخل اغسطس</t>
  </si>
  <si>
    <t>ضريبه الدمغه اغسطس</t>
  </si>
  <si>
    <t>النفقه الالكترونيه / سامح نجاح</t>
  </si>
  <si>
    <t>استقطاع سيجنال تكنيال اغسطس</t>
  </si>
  <si>
    <t>استقطاع جمعيه الخدمات اغسطس</t>
  </si>
  <si>
    <t>عموله تحصيل اغسطس</t>
  </si>
  <si>
    <t xml:space="preserve">الهيئه القوميه للتامين الاجتماعى اغسطس </t>
  </si>
  <si>
    <t>استقطاع النقابه العامه اغسطس</t>
  </si>
  <si>
    <t>استقطاع اتصالات جروب اغسطس</t>
  </si>
  <si>
    <t>استقطاع اتوبيس الجامعه اغسطس</t>
  </si>
  <si>
    <t>استقطاع اللجنه النقابيه اغسطس</t>
  </si>
  <si>
    <t>استقطاع تامين علاجى اغسطس</t>
  </si>
  <si>
    <t>اجمالى 2/9/2023</t>
  </si>
  <si>
    <t>رد ضمان شركه بى سى ايجيبت</t>
  </si>
  <si>
    <t>رد ضمان شركه العلا للنظم الحديثه</t>
  </si>
  <si>
    <t>دعم رسائل / الاء محمد</t>
  </si>
  <si>
    <t xml:space="preserve">دعم رسائل / مى اسامه </t>
  </si>
  <si>
    <t>دعم رسائل / الاء رضا</t>
  </si>
  <si>
    <t xml:space="preserve">شركه سوريا للتوريدات العموميه شراء 5 مفتاح </t>
  </si>
  <si>
    <t>مكافاه امتحان احمد سعيد</t>
  </si>
  <si>
    <t xml:space="preserve">مكافاه امتحان مروه احمد </t>
  </si>
  <si>
    <t>مكافاه امتحان اه ت ذاتى</t>
  </si>
  <si>
    <t>مكافاه منسقين طلاب دراسات عليا</t>
  </si>
  <si>
    <t>مكافاه سكرتاريه مانشستر اغسطس</t>
  </si>
  <si>
    <t>مكافاه مترجمه هايدى مؤمن</t>
  </si>
  <si>
    <t>مكافاه اداره منشات تعليميه</t>
  </si>
  <si>
    <t>مكافاه طباعه</t>
  </si>
  <si>
    <t>جهود توريدات</t>
  </si>
  <si>
    <t>جهود تعاقدات</t>
  </si>
  <si>
    <t>جهود مخازن وتعاقدات</t>
  </si>
  <si>
    <t>مكافاه جهد الامن لنقل 43 تكييف</t>
  </si>
  <si>
    <t>جهود محمد عباس</t>
  </si>
  <si>
    <t>مكافاه ماموريه / منصور بشير</t>
  </si>
  <si>
    <t>مكافاه مكتب وكيل الطلاب</t>
  </si>
  <si>
    <t>مكافاه اداره بحوث /هويدا مصطفى</t>
  </si>
  <si>
    <t>مكافاه منسق مانشستر</t>
  </si>
  <si>
    <t>مكافاه ارتباط مالى / عمرو المليجى</t>
  </si>
  <si>
    <t>جهود مكتب عميد شؤن صحيه</t>
  </si>
  <si>
    <t>جهود شؤن صحيه</t>
  </si>
  <si>
    <t>ماموريات مشرف حساب البرنامج الدولى</t>
  </si>
  <si>
    <t>ماموريات حساب البرنامج الدولى</t>
  </si>
  <si>
    <t>جهود رمضان مهران</t>
  </si>
  <si>
    <t xml:space="preserve"> المجلس القومى للاعتماد قيمه الفواتير الخاصه بزياره تجديد اعتماد </t>
  </si>
  <si>
    <t>3378م</t>
  </si>
  <si>
    <t>سلفه مؤقته / فريد مصطفى</t>
  </si>
  <si>
    <t>محافظه الاسكندريه قيمه تجديد العقد السنوى الخاص بمركز ابحاث اكلينكى</t>
  </si>
  <si>
    <t xml:space="preserve">علاج تخصصى </t>
  </si>
  <si>
    <t>الشركه المصريه للاتصالات مطالبه يوليو</t>
  </si>
  <si>
    <t>جهاز مشروعات الخدمه الوطنيه وزاره الدفاع قيمه اعمال النظافه من 19/7/2023 الى18/8/2023</t>
  </si>
  <si>
    <t>الشركه المصريه للاتصالات مطالبه يوليو معمل الحاسب الالى</t>
  </si>
  <si>
    <t>الشركه المصريه للاتصالات مطالبه يوليو مكتب العميد</t>
  </si>
  <si>
    <t>شركه نهضه مصر قيمه رفع المخلفات يوليو</t>
  </si>
  <si>
    <t xml:space="preserve">محمد صالح على - شركه لينكس وايز شراء نظام الكترونى لاداره بيانات المرضى </t>
  </si>
  <si>
    <t>محمد سعيد عبده استرداد قيمه تذاكر بونات بوابات مصر</t>
  </si>
  <si>
    <t>سلفه مؤقته / رشا رشدى حمزه</t>
  </si>
  <si>
    <t xml:space="preserve">شركه ناشيونال تكنولوجى </t>
  </si>
  <si>
    <t>الهيئه العامه لشؤن المطابع الاميريه</t>
  </si>
  <si>
    <t>مصلحه الخزانه العامه وسك العمله</t>
  </si>
  <si>
    <t>اجمالى 3/9/2023</t>
  </si>
  <si>
    <t>مكافاه لجنه اختام الدراسات العليا</t>
  </si>
  <si>
    <t>عب تدريس امراض الباطنه</t>
  </si>
  <si>
    <t>عب تدريس جراحه قولون</t>
  </si>
  <si>
    <t>عب تدريس اوعيه دمويه</t>
  </si>
  <si>
    <t>مراجعه نظرى فصل ثانى</t>
  </si>
  <si>
    <t>منسقين وحدات جراحه</t>
  </si>
  <si>
    <t>مكافاه رؤساء اقسام جراحه</t>
  </si>
  <si>
    <t>عب تدريس معمل مهارات</t>
  </si>
  <si>
    <t>سلفه مؤقته/ انجى احمد عبد الرحمن</t>
  </si>
  <si>
    <t>اجمالى 4/9/2023</t>
  </si>
  <si>
    <t>كسب عمل اغسطس</t>
  </si>
  <si>
    <t>ضرائب متنوعه اغسطس</t>
  </si>
  <si>
    <t>تنميه موارد اغسطس</t>
  </si>
  <si>
    <t>دمغه عاديه اغسطس</t>
  </si>
  <si>
    <t xml:space="preserve"> خدمات صيدلة</t>
  </si>
  <si>
    <t>مكافاه خدمه تعليميه ا ه ت (افاده ) اغسطس</t>
  </si>
  <si>
    <t>مكافاه اداريه اضافيه اه ت اغسطس</t>
  </si>
  <si>
    <t>مكافاه تعليم الكترونى ا ه ت اغسطس</t>
  </si>
  <si>
    <t>مكافاه اشراف عيادات ومعامل ا ه ت اغسطس</t>
  </si>
  <si>
    <t>مكافاه ملفات جوده ا ه ت اغسطس</t>
  </si>
  <si>
    <t>مكافاه كورسات دولى ا ه ت يوليو</t>
  </si>
  <si>
    <t>مكافاه اعمال متميزه اغسطس ا ه ت</t>
  </si>
  <si>
    <t xml:space="preserve">مكافاه بيان اغسطس ا ه ت </t>
  </si>
  <si>
    <t>مكافاه عن اعداد البيانات اداريين</t>
  </si>
  <si>
    <t>مكافاه عن حضور اجازات اداريين اغسطس</t>
  </si>
  <si>
    <t>مكافاه اعمال اضافيه اداريين اغسطس</t>
  </si>
  <si>
    <t>مكافاه مستحقين دولى اداريين اغسطس</t>
  </si>
  <si>
    <t>مكافاه كورس cccاداريين يوليو</t>
  </si>
  <si>
    <t>مكافاه ساعات اضافيه اداريين اغسطس</t>
  </si>
  <si>
    <t xml:space="preserve">مكافاه انتظام عمل اداريين اغسطس </t>
  </si>
  <si>
    <t>جهود عن تحصيل واستلام شيكات اغسطس اداريين</t>
  </si>
  <si>
    <t>مكافاه اعمال متميزه اغسطس اداريين</t>
  </si>
  <si>
    <t>مكافاه ملفات جوده مؤقتين اغسطس</t>
  </si>
  <si>
    <t>مكافاه عن اعداد البيانات مؤقتين</t>
  </si>
  <si>
    <t>مكافاه خدمه تعليميه مؤقتين (افاده ) اغسطس</t>
  </si>
  <si>
    <t>مكافاه اداريه اضافيه مؤقتين اغسطس</t>
  </si>
  <si>
    <t>مكافاه كورس ccc مؤقتين يوليو</t>
  </si>
  <si>
    <t>مكافاه ساعات اضافيه مؤقتين  اغسطس</t>
  </si>
  <si>
    <t xml:space="preserve">مكافاه انتظام عمل مؤقتين اغسطس </t>
  </si>
  <si>
    <t>جهود غير عاديه مؤقتين</t>
  </si>
  <si>
    <t>مكافاه مستحقين دولى مؤقتين اغسطس</t>
  </si>
  <si>
    <t>مكافاه امتحان ذاتى اطباء</t>
  </si>
  <si>
    <t>مكافاه انتداب يوليو</t>
  </si>
  <si>
    <t>جهود لجنه اخلاقيات مايو</t>
  </si>
  <si>
    <t>مكافاه خ ت يونيو</t>
  </si>
  <si>
    <t>مكافاه ختم النسر يوليو</t>
  </si>
  <si>
    <t>مكافاه تحصيل مصروفات دراسيه يوليو</t>
  </si>
  <si>
    <t>مكافاه علاج بالاجر اطفال يوليو</t>
  </si>
  <si>
    <t>مكافاه علاج تخصصى قسم تقويم يونيو</t>
  </si>
  <si>
    <t>مكافاه علاج بالاجر اطفال يونيو</t>
  </si>
  <si>
    <t>مكافاه علاج تخصصى قسم تقويم يوليو</t>
  </si>
  <si>
    <t>جهود بيت الحيوان يونيو</t>
  </si>
  <si>
    <t>مكافاه نشاط الميكرسكوب الكترونى ابريل</t>
  </si>
  <si>
    <t>مكافاه نشاط الميكرسكوب الكترونى مايو</t>
  </si>
  <si>
    <t>مكافاه نشاط الميكرسكوب الكترونى يونيو</t>
  </si>
  <si>
    <t>مكافاه جلسات تطبيقيه منتدبين</t>
  </si>
  <si>
    <t>عب مراجعه عمليه فرقه اولى</t>
  </si>
  <si>
    <t>محاضرات نظرى قسم الاشعه</t>
  </si>
  <si>
    <t>مراجعه نظرى دولى</t>
  </si>
  <si>
    <t>مراجعات فرقه اولى</t>
  </si>
  <si>
    <t>عب تدريس طب تاهيلى</t>
  </si>
  <si>
    <t>محاضرات نظرى فرقه خامسه</t>
  </si>
  <si>
    <t>مكافاه منسق فرقه خامسه</t>
  </si>
  <si>
    <t>مكافاه امتحان ذاتى معيدين</t>
  </si>
  <si>
    <t>مكافاه امتحان ذاتى احمد محمد</t>
  </si>
  <si>
    <t>عب تدريس وحده الدم</t>
  </si>
  <si>
    <t>امتحانات فرقه سادسه</t>
  </si>
  <si>
    <t>عب تدريس مسالك</t>
  </si>
  <si>
    <t>عب تدريس وحده كلى</t>
  </si>
  <si>
    <t>مكافاه عمرو جابر</t>
  </si>
  <si>
    <t>فرق مكافاه سكرتاريه لجنه الاخلاقيات</t>
  </si>
  <si>
    <t>مكافاه ماجستير ربيع</t>
  </si>
  <si>
    <t>مكافاه مطبعه بعد مواعيد عمل</t>
  </si>
  <si>
    <t>بدل ماموريه منصور بشير</t>
  </si>
  <si>
    <t>جهود سيناء عبد الرحيم</t>
  </si>
  <si>
    <t>جهود قسم الجوده</t>
  </si>
  <si>
    <t>مكافاه عاملين بقسم التشريح</t>
  </si>
  <si>
    <t>جهود ابحاث اكلينكيه</t>
  </si>
  <si>
    <t>جهود سكرتاريه لجنه الدراسات العليا</t>
  </si>
  <si>
    <t>جهود ورش العمل بمركز التدريب</t>
  </si>
  <si>
    <t>مكافاه جهد دراسات عليا</t>
  </si>
  <si>
    <t>مكافاه دبلومات مهنيه</t>
  </si>
  <si>
    <t>جهد مبذول للاعمال المعاونه</t>
  </si>
  <si>
    <t>مكافاه عميد الكليه بالمركز اغسطس</t>
  </si>
  <si>
    <t>مكافاه المدير التنفيذى للمركز اغسطس</t>
  </si>
  <si>
    <t>مكافاه التواجد بعد المواعيد يوليو</t>
  </si>
  <si>
    <t>مكافاه لجنه شؤن ماليه</t>
  </si>
  <si>
    <t>مكافاه لجنه المراجعه</t>
  </si>
  <si>
    <t>مكافاه مسؤل مجلس الكليه</t>
  </si>
  <si>
    <t>مكافاه وحده تدريب صيادله</t>
  </si>
  <si>
    <t>مكافاه اداره الوافدين</t>
  </si>
  <si>
    <t xml:space="preserve">مكافاه بدل حضور اجتماع </t>
  </si>
  <si>
    <t>حافز اداء يوليو</t>
  </si>
  <si>
    <t>جهود لجنه اخلاقيات يونيو</t>
  </si>
  <si>
    <t>جهود لجنه اخلاقيات يوليو</t>
  </si>
  <si>
    <t>مكافاه حفل تخرج البرنامج العام (اطباء )</t>
  </si>
  <si>
    <t>مكافاه حفل تخرج البرنامج العام (اداريين )</t>
  </si>
  <si>
    <t>مكافاه تقفيل سنه ماليه قسم شؤن ماليه اداريين</t>
  </si>
  <si>
    <t>جهود الجرد السنوى اداريين</t>
  </si>
  <si>
    <t>جهود قسم الاستحقاقات اداريين</t>
  </si>
  <si>
    <t>جهود قسم الاستحقاقات مؤقتين</t>
  </si>
  <si>
    <t>مكافاه حفل تخرج البرنامج العام (مؤقتين )</t>
  </si>
  <si>
    <t>مكافاه تقفيل سنه ماليه قسم شؤن ماليه مؤقتين</t>
  </si>
  <si>
    <t>شركه مصطفى محمد عباس صرف 400لتر سولار</t>
  </si>
  <si>
    <t xml:space="preserve">رد ضمان شركه الوطن للمقاولات </t>
  </si>
  <si>
    <t>الهيئه القوميه للتامين الاجتماعى (معاشات اغسطس )</t>
  </si>
  <si>
    <t>اجمالى 5/9/2023</t>
  </si>
  <si>
    <t>وثيقه التامين الجماعى المختلط</t>
  </si>
  <si>
    <t>مكافاه البرنامج الدولى اغسطس</t>
  </si>
  <si>
    <t>امتحان فرقه اولى وافدين</t>
  </si>
  <si>
    <t>مكافاه العاملين بقسم الاستحقاقات مؤقتين</t>
  </si>
  <si>
    <t>مكافاه انتظام حصص دراسات عليا معيدين</t>
  </si>
  <si>
    <t>اعاده ادخال استماره 1615</t>
  </si>
  <si>
    <t xml:space="preserve">عملية تنفيذ بنشات خشب الدرج المحلق بعناية الدور الاول </t>
  </si>
  <si>
    <t xml:space="preserve">سلفة للصرف على بوفيه مكتب العميد والوكلاء رحاب عبدالله </t>
  </si>
  <si>
    <t xml:space="preserve">فواتير اقامة السادة ضيوف الكلية قسم الباثولجى تجديد الاعتماد </t>
  </si>
  <si>
    <t xml:space="preserve">استرداد بونات طريق الصحراوى منصور بشير </t>
  </si>
  <si>
    <t>صيانة عدد 7 غرف كهرباء عمومية بكلية الطب 22-4 : 20-6 ابى قير للصناعات</t>
  </si>
  <si>
    <t>صيانة جهاز  بمركز الابحاث الطبية  شركة ميرج ميد</t>
  </si>
  <si>
    <t>شركة اركسس لاصلاح الاجهزة قيمة اصلاح 2 جهاز UPS كيمايء حيوية</t>
  </si>
  <si>
    <t>شراء جهاز spectermeter تكنوساينت</t>
  </si>
  <si>
    <t>شراء 60 برميل الوان اشرف صلاح الدين</t>
  </si>
  <si>
    <t>سلفه مؤقته/ انجى عبد الغنى عبد العزيز</t>
  </si>
  <si>
    <t>اسنان</t>
  </si>
  <si>
    <t xml:space="preserve"> (خ عامه وخ ت وتكافل)5% وثيقه التامين الاجتماعى المختلط</t>
  </si>
  <si>
    <t>الغاء استماره 1615</t>
  </si>
  <si>
    <t>شركه ستروميديكا / منشاه فادى لبيب شراء جهاز</t>
  </si>
  <si>
    <t>شركه airsapply شراء ثانى اكسيد الكربون</t>
  </si>
  <si>
    <t>شركه المنى للاجهزه العلميه صيانه معمل ميكروبيولوجى</t>
  </si>
  <si>
    <t>اجمالى 7/9/2023</t>
  </si>
  <si>
    <t>مرتبات مؤقتين سبتمبر</t>
  </si>
  <si>
    <t>اجمالى 12/9/2023</t>
  </si>
  <si>
    <t>اجمالى 13/9/2023</t>
  </si>
  <si>
    <t>مكافاه صيانه الاجهزه الالكترونيه سبتمبر</t>
  </si>
  <si>
    <t>مكافاه اداريين وعمال اغسطس</t>
  </si>
  <si>
    <t>مكافاه تكنولوجيا معلومات وصيانه</t>
  </si>
  <si>
    <t>مكافاه عمال يوميه سبتمبر</t>
  </si>
  <si>
    <t>مكافاه منسقين فرقه ثانيه</t>
  </si>
  <si>
    <t>مكافاه بعد مواعيد العمل سائقين</t>
  </si>
  <si>
    <t>مكافاه جهد دكتوراه ربيع</t>
  </si>
  <si>
    <t>مكافاه مكتب وكيل</t>
  </si>
  <si>
    <t>جهد عمال مكتب العميد</t>
  </si>
  <si>
    <t>بدل انتقالات مكتب العميد</t>
  </si>
  <si>
    <t>ماموريات محمد سعيد سائق</t>
  </si>
  <si>
    <t>مكافاه استثنائيه نظير مجهود</t>
  </si>
  <si>
    <t>مكافاه دورات انجليزى</t>
  </si>
  <si>
    <t>مكافاه متابعه محطه شامبليون</t>
  </si>
  <si>
    <t>جهد سلامه وصحه</t>
  </si>
  <si>
    <t>جهد الاداره الهندسيه</t>
  </si>
  <si>
    <t>مكافاه مكتب الوكيل</t>
  </si>
  <si>
    <t>جهد التعليم الالكترونى</t>
  </si>
  <si>
    <t>مكافاه مكتب وكيل دراسات</t>
  </si>
  <si>
    <t>مكافاه عن جهد تصوير</t>
  </si>
  <si>
    <t>مكافاه هيئه التدريس</t>
  </si>
  <si>
    <t>مجلس كليه يوليو</t>
  </si>
  <si>
    <t>مجلس كليه ابريل</t>
  </si>
  <si>
    <t>مجلس كليه اغسطس</t>
  </si>
  <si>
    <t>مجلس كليه مارس</t>
  </si>
  <si>
    <t>مجلس كليه فبراير</t>
  </si>
  <si>
    <t>مجلس كليه مايو</t>
  </si>
  <si>
    <t>مجلس كليه يناير</t>
  </si>
  <si>
    <t xml:space="preserve">عب تدريس طب المجتمع </t>
  </si>
  <si>
    <t>عب تدريس علاج الاورام</t>
  </si>
  <si>
    <t>عب تدريس طب طبيعى</t>
  </si>
  <si>
    <t>مكافاه منسقين روؤساء اقسام</t>
  </si>
  <si>
    <t>مكافاه منسقين طفيليات</t>
  </si>
  <si>
    <t>عب باطنه دم</t>
  </si>
  <si>
    <t>مكافاه تسجيل ساعات الكورس الصيفى ط ثالث</t>
  </si>
  <si>
    <t>جهود الكورس الصيفى ا ه ت</t>
  </si>
  <si>
    <t>مكافاه كورسات الفصل الصيفى ا ه ت</t>
  </si>
  <si>
    <t>مكافاه بيان اضافى منسقين صيفى ا ه ت</t>
  </si>
  <si>
    <t>مكافاه متمتيزه اضافيه كورس صيفى معيدين</t>
  </si>
  <si>
    <t>مكافاه متمتيزه اضافيه كورس صيفى ط ثالث</t>
  </si>
  <si>
    <t>مكافاه اعمال شؤن طلاب صيفى ا ه ت</t>
  </si>
  <si>
    <t>مكافاه اضافى قيادات دولى صيفى ا ه ت</t>
  </si>
  <si>
    <t>مكافاه اعداد جداول دراسيه صيفى ا ه ت</t>
  </si>
  <si>
    <t>مكافاه تسجيل ساعات الكورس الصيفى ا ه ت +حكيمات</t>
  </si>
  <si>
    <t>جهود بدء الفصل الصيفى ا ه ت</t>
  </si>
  <si>
    <t>مكافاه متميزه اضافيه صيفى معيدين</t>
  </si>
  <si>
    <t>جهود شفه ارنبيه اغسطس حكيمات</t>
  </si>
  <si>
    <t>جهود قسم المشتريات اغسطس</t>
  </si>
  <si>
    <t>جهود سفر الشراء الموحد اداريين</t>
  </si>
  <si>
    <t>مكافاه تجهيز عيادات ومعامل صيفى اداريين</t>
  </si>
  <si>
    <t>جهود المراجعه اللاحقه قسم الاستحقاقات اغسطس</t>
  </si>
  <si>
    <t>مكافاه متميزه اضافيه فريق الصيفى اداريين</t>
  </si>
  <si>
    <t>جهود وحده الامن اغسطس</t>
  </si>
  <si>
    <t>جهود تنسيق صيفى حكيمات</t>
  </si>
  <si>
    <t>مكافاه تحصيل صيفى اداريين</t>
  </si>
  <si>
    <t>مكافاه رعايه النباتات السيد حسن اغسطس</t>
  </si>
  <si>
    <t>مكافاه بيان اضافى كورس صيفى اداريين</t>
  </si>
  <si>
    <t>مكافاه اعداد جداول دراسيه صيفى اداريين</t>
  </si>
  <si>
    <t>مكافاه المشاركه فى البرنامج اداريين اغسطس</t>
  </si>
  <si>
    <t>جهود شؤن اداريه اغسطس اداريين</t>
  </si>
  <si>
    <t>جهود وحده الامن طارق رشاد اغسطس</t>
  </si>
  <si>
    <t>جهود بدء الفصل الصيفى مؤقتين</t>
  </si>
  <si>
    <t>مكافاه تسجيل ساعات الكورس الصيفى مؤقتين</t>
  </si>
  <si>
    <t>مكافاه اعمال شؤن طلاب صيفى مؤقتين</t>
  </si>
  <si>
    <t>مكافاه متميزه اضافيه فريق الصيفى مؤقتين</t>
  </si>
  <si>
    <t>مكافاه تحصيل صيفى مؤقتين</t>
  </si>
  <si>
    <t>مكافاه جوده كورس صيفى مؤقتين</t>
  </si>
  <si>
    <t>مكافاه بيان اضافى كورس صيفى مؤقتين</t>
  </si>
  <si>
    <t>جهود المراجعه اللاحقه قسم الاستحقاقات مؤقتين اغسطس</t>
  </si>
  <si>
    <t>مكافاه المشاركه فى البرنامج مؤقتين اغسطس</t>
  </si>
  <si>
    <t>جهود شؤن اداريه اغسطس مؤقتين</t>
  </si>
  <si>
    <t>مكافاه شفوى فصل ثانى اجر مقابل عمل</t>
  </si>
  <si>
    <t>مكافاه شفوى فصل ثانى مؤقتين</t>
  </si>
  <si>
    <t>مكافاه شفوى فصل ثانى خدمات معاونه</t>
  </si>
  <si>
    <t>مكافاه انتظام حصص عمليه دراسات اغسطس عمال</t>
  </si>
  <si>
    <t>مكافاه انتظام حصص عمليه دراسات اغسطس حكيمات</t>
  </si>
  <si>
    <t>مكافاه انتظام حصص عمليه دراسات اغسطس معيدين</t>
  </si>
  <si>
    <t>امتحانات الكترونيه شهر 7</t>
  </si>
  <si>
    <t xml:space="preserve">مراجعات نظريه تخلفات </t>
  </si>
  <si>
    <t>اجمالى 14/9/2023</t>
  </si>
  <si>
    <t>اسقطاع صندوق دعم ذوى الاعاقه اغسطس</t>
  </si>
  <si>
    <t>استقطاع مؤسسه التكافل الاجتماعى اغسطس</t>
  </si>
  <si>
    <t>اجمالى 15/9/2023</t>
  </si>
  <si>
    <t>تعديل استماره 1872</t>
  </si>
  <si>
    <t>رد ضمان تكنوساينتفك</t>
  </si>
  <si>
    <t>رد ضمان شركه ابى قير للصناعات الهندسيه</t>
  </si>
  <si>
    <t>احمد سعد بركات (شركه المجموعه الطبيه )</t>
  </si>
  <si>
    <t xml:space="preserve">صندوق تنميه موارد الجامعه </t>
  </si>
  <si>
    <t>مؤسسه الصفوه للتجاره والمقاولات</t>
  </si>
  <si>
    <t>شركه كيم تك شراء خزينه</t>
  </si>
  <si>
    <t xml:space="preserve">شركه تارجت تكنولوجى </t>
  </si>
  <si>
    <t>وزاره الدفاع جهاز الصناعات والخدمات</t>
  </si>
  <si>
    <t>مرتبات الشيفت سبتمبر</t>
  </si>
  <si>
    <t>مكافاه الجهاز الادارى سبتمبر</t>
  </si>
  <si>
    <t>مكافاه الهيكل الادارى سبتمبر</t>
  </si>
  <si>
    <t>مكافاه منسقى شؤن طلاب سبتمبر</t>
  </si>
  <si>
    <t xml:space="preserve">عب تدريس ماده الاخلاقيات </t>
  </si>
  <si>
    <t>مكافاه 75% كادر اغسطس اداريين</t>
  </si>
  <si>
    <t>مكافاه 75% كادر اغسطس خدمات معاونه</t>
  </si>
  <si>
    <t>مكافاه 75% كادر اغسطس مؤقتين</t>
  </si>
  <si>
    <t>مكافاه 75% كادر اغسطس اجر مقابل عمل</t>
  </si>
  <si>
    <t>مكافاه مقرر تشريعات صيدله</t>
  </si>
  <si>
    <t>مكافاه المدير الاكاديمى فبراير</t>
  </si>
  <si>
    <t>ج غ امتحان طلاب</t>
  </si>
  <si>
    <t xml:space="preserve">مكافاه الجهد المتميز للعميد والوكلاء </t>
  </si>
  <si>
    <t>جهود المدير الاكاديمى سبتمبر</t>
  </si>
  <si>
    <t>مكافاه الساده ا ه ت المشاركين فى لجنه اعداد النتيجه</t>
  </si>
  <si>
    <t>مكافاه اداريين وعمال يوليو</t>
  </si>
  <si>
    <t>مكافاه اعداد نتيجه تخلفات</t>
  </si>
  <si>
    <t>مكافاه مدير اكاديمى اغسطس</t>
  </si>
  <si>
    <t>مكافاه لجنه اعداد نتيجه الكنترول</t>
  </si>
  <si>
    <t>مكافاه مهندس الكهرباء يوليو</t>
  </si>
  <si>
    <t>مكافاه انتداب محامى الكليه يوليو</t>
  </si>
  <si>
    <t>جهود نظير اعمال الامتحانات</t>
  </si>
  <si>
    <t>جهود هند رضا اغسطس</t>
  </si>
  <si>
    <t>مكافاه انتقال لجنه قطاع لدراسات</t>
  </si>
  <si>
    <t>مكافاه تعديل حافز اعتماد</t>
  </si>
  <si>
    <t xml:space="preserve">مكافاه مدير تنفيذى </t>
  </si>
  <si>
    <t>مكافاه ماجستير ذاتى</t>
  </si>
  <si>
    <t>مكافاه دكتوراه ذاتى</t>
  </si>
  <si>
    <t>تم الغاء الاستماره</t>
  </si>
  <si>
    <t>اجمالى 19/9/2023</t>
  </si>
  <si>
    <t>مرتب محمد امين عن سبتمبر</t>
  </si>
  <si>
    <t>اجمالى 21/9/2023 بيرول</t>
  </si>
  <si>
    <t>استقطاع صندوق تكافل 5%</t>
  </si>
  <si>
    <t>رد ضمان الشركه العربيه للحاسبات</t>
  </si>
  <si>
    <t xml:space="preserve">دعم رسائل / ساره على </t>
  </si>
  <si>
    <t>دعم رسائل / فاطمه سامى</t>
  </si>
  <si>
    <t>دعم رسائل / نورهان عماد</t>
  </si>
  <si>
    <t xml:space="preserve">ربيع محمد حسن </t>
  </si>
  <si>
    <t>مكافاه الملاعب يوليو</t>
  </si>
  <si>
    <t>مكافاه بيان سبتمبر</t>
  </si>
  <si>
    <t>مكافاه الماليزى سبتمبر</t>
  </si>
  <si>
    <t>مكافاه الجوده  اغسطس</t>
  </si>
  <si>
    <t>مكافاه الساده المكلفين</t>
  </si>
  <si>
    <t xml:space="preserve">مكافاه منسقين البرنامج </t>
  </si>
  <si>
    <t>مكافاه نقل تكييفات</t>
  </si>
  <si>
    <t>مكافاه اضافى</t>
  </si>
  <si>
    <t>مكافاه مركز التدريب بعد مواعيد العمل</t>
  </si>
  <si>
    <t>مكافاه قسم ميكروبيولوجى</t>
  </si>
  <si>
    <t>مكافاه تشجعيه مركز ابحاث</t>
  </si>
  <si>
    <t>مكافاه مرتبات الكيميائين بنظام الشيفت اغسطس</t>
  </si>
  <si>
    <t>مرتبات العاملين بنظام الشيفت اغسطس</t>
  </si>
  <si>
    <t>مكافاه مركز ابحاث اكلينكى سبتمبر</t>
  </si>
  <si>
    <t>تجميعى صندوق تكافل ذاتى</t>
  </si>
  <si>
    <t>مكافاه عيد اضحى اطباء امتياز</t>
  </si>
  <si>
    <t>مكافاه منسقى مقرارات صيفى ا ه ت</t>
  </si>
  <si>
    <t>مكافاه تدريس اولى صيفى ا ه ت</t>
  </si>
  <si>
    <t>مكافاه تدريس ثانيه صيفى ا ه ت</t>
  </si>
  <si>
    <t>مكافاه منسقى مقررات ثانيه صيفى ا ه ت</t>
  </si>
  <si>
    <t>مكافاه تدريس ثالثه صيفى ا ه ت</t>
  </si>
  <si>
    <t>مكافاه منسقى مقررات ثالثه صيفى ا ه ت</t>
  </si>
  <si>
    <t>مكافاه تدريس رابعه صيفى ا ه ت</t>
  </si>
  <si>
    <t>مكافاه تدريس خامسه صيفى ا ه ت</t>
  </si>
  <si>
    <t>مكافاه تدريس رابعه وخامسه صيفى ا ه ت</t>
  </si>
  <si>
    <t>مكافاه منسقى مقررات خامسه صيفى ا ه ت</t>
  </si>
  <si>
    <t>مكافاه منسقى مقررات رابعه صيفى ا ه ت</t>
  </si>
  <si>
    <t>مكافاه مجلس اداره ا ه ت سبتمبر صيفى</t>
  </si>
  <si>
    <t>مكافاه اعمال متميزه اطباء سبتمبر</t>
  </si>
  <si>
    <t>تعديل استماره 2150</t>
  </si>
  <si>
    <t>مكافاه اعمال متميزه ا ه ت سبتمبر</t>
  </si>
  <si>
    <t>مكافاه اداريه واشرافيه ا ه ت صيفى</t>
  </si>
  <si>
    <t>مكافاه تشجعيه ا ه ت صيفى</t>
  </si>
  <si>
    <t>ج مراقبات اطباء ربيع</t>
  </si>
  <si>
    <t>مكافاه  تميز كورس صيفى ا ه ت</t>
  </si>
  <si>
    <t>ج غير عاديه صيفى ا ه ت</t>
  </si>
  <si>
    <t>مكافاه كنترول صيفى ا ه ت</t>
  </si>
  <si>
    <t>مكافاه خدمات تعليميه ا ه ت (افادات )</t>
  </si>
  <si>
    <t>مكافاه بيان اه ت سبتمبر</t>
  </si>
  <si>
    <t>مكافاه اعمال متميزه اداريين سبتمبر</t>
  </si>
  <si>
    <t>مكافاه عيادات شامله اداريين صيفى</t>
  </si>
  <si>
    <t>ج عمرو جابر</t>
  </si>
  <si>
    <t>ج هندسيه الاشعه اداريين</t>
  </si>
  <si>
    <t>ج اعمال اضافيه اداريين صيفى</t>
  </si>
  <si>
    <t>حافز امن سبتمبر</t>
  </si>
  <si>
    <t>مكافاه المشاركه فى اعمال التدريس اداريين</t>
  </si>
  <si>
    <t>مكافاه مراقبات ماليزى اداريين</t>
  </si>
  <si>
    <t>مكافاه كنترول صيفى اداريين</t>
  </si>
  <si>
    <t>مكافاه تميز كورس صيفى اداريين</t>
  </si>
  <si>
    <t>مكافاه اعمال امتحانات صيفى اداريين</t>
  </si>
  <si>
    <t>ج خزينه سبتمبر</t>
  </si>
  <si>
    <t>ج عن اصلاح الكمبروسور فنيين</t>
  </si>
  <si>
    <t xml:space="preserve">ج امن صيفى </t>
  </si>
  <si>
    <t>ج خدمات معاونه</t>
  </si>
  <si>
    <t>ج كشف مرضى اداريين</t>
  </si>
  <si>
    <t>ج مراقبات اداريين ربيع</t>
  </si>
  <si>
    <t>مكافاه مشاركه صيفى اداريين</t>
  </si>
  <si>
    <t>مكافاه بيان اداريين سبتمبر</t>
  </si>
  <si>
    <t>ج عن اصلاح الكمبروسور مؤقتين</t>
  </si>
  <si>
    <t>مكافاه عيادات شامله مؤقتين صيفى</t>
  </si>
  <si>
    <t>ج غير عاديه نسمه مجدى +مروه احمد</t>
  </si>
  <si>
    <t>مكافاه تشجعيه صيفى مؤقتين</t>
  </si>
  <si>
    <t>مكافاه مشاركه صيفى مؤقتين</t>
  </si>
  <si>
    <t>ج مراقبات مؤقتين ربيع</t>
  </si>
  <si>
    <t>ج ماليزى صيفى مؤقتين</t>
  </si>
  <si>
    <t>ج اعمال امتحانات صيفى مؤقتين</t>
  </si>
  <si>
    <t>مكافاه كنترول صيفى مؤقتين</t>
  </si>
  <si>
    <t>مكافاه خدمات تعليميه مؤقتين (افادات )</t>
  </si>
  <si>
    <t>مكافاه اعمال اضافيه مؤقتين صيفى</t>
  </si>
  <si>
    <t>مكافاه بيان مؤقتين سبتمبر</t>
  </si>
  <si>
    <t>مكافاه  اعمال متميزه مؤقتين سبتمبر</t>
  </si>
  <si>
    <t>مكافاه صيفى قيادات</t>
  </si>
  <si>
    <t>مكافاه تحصيل معسكر باجوش</t>
  </si>
  <si>
    <t>حافز اداء اغسطس</t>
  </si>
  <si>
    <t>فرق مكافاه مكتب وكيل كليه خدمه مجتمع</t>
  </si>
  <si>
    <t>ج مكتب وكيل</t>
  </si>
  <si>
    <t>ج عمال الوحده الحسابيه</t>
  </si>
  <si>
    <t>تعديل استماره 2301</t>
  </si>
  <si>
    <t>عكس استماره 2301</t>
  </si>
  <si>
    <t xml:space="preserve">الهيئه العامه لشئون المطابع الاميريه </t>
  </si>
  <si>
    <t>رد تامين نهائى على توريد احبار</t>
  </si>
  <si>
    <t>رد ضمان الفتح للمقاولات</t>
  </si>
  <si>
    <t>رد ضمان المصريه للحلول المتكامله</t>
  </si>
  <si>
    <t>رد ضمان مجسم ليزر</t>
  </si>
  <si>
    <t>جوده وسائل النقل ايجار 2 اتوبيس</t>
  </si>
  <si>
    <t>سلفه مستديمه / احمد عبد الهادى</t>
  </si>
  <si>
    <t>اجمالى 23/9/2023</t>
  </si>
  <si>
    <t>سداد استقطاع اورانج</t>
  </si>
  <si>
    <t>اجمالى 24/9/2023</t>
  </si>
  <si>
    <t>عكس استماره 2187</t>
  </si>
  <si>
    <t>عكس استماره 2199</t>
  </si>
  <si>
    <t>وعاء سبتمبر</t>
  </si>
  <si>
    <t>اجمالى 25/9/2023</t>
  </si>
  <si>
    <t>تعديل استماره 1887+استماره 1888 فى 7/9/2023من موارد جاريه الى باب سادس تجهيزات</t>
  </si>
  <si>
    <t>اجمالى 13/9/2023تسويات</t>
  </si>
  <si>
    <t xml:space="preserve">قيد تضمنى شركه المعصره </t>
  </si>
  <si>
    <t xml:space="preserve">سداد سلفه مؤقته  / بسنت وجيه </t>
  </si>
  <si>
    <t>سداد سلفه مؤقته  / ياسمين عصام الدين</t>
  </si>
  <si>
    <t>سداد سلفه مؤقته /امانى محمد</t>
  </si>
  <si>
    <t>سداد سلفه مؤقته/ رشا رشدى</t>
  </si>
  <si>
    <t>ديوان عام محافظه الاسكندريه</t>
  </si>
  <si>
    <t>الهيئه المصريه للشراء الموحد (شراء كيماويات )</t>
  </si>
  <si>
    <t>الهيئه المصريه للشراء الموحد (شراء اجهزه )</t>
  </si>
  <si>
    <t>اجمالى 25/9/2023 تسويات</t>
  </si>
  <si>
    <t xml:space="preserve">خطاب ضمان تكنوساينت </t>
  </si>
  <si>
    <t>ق توريد 858268</t>
  </si>
  <si>
    <t>ق توريد 858266</t>
  </si>
  <si>
    <t>ق توريد 858264</t>
  </si>
  <si>
    <t>ق توريد 858320</t>
  </si>
  <si>
    <t>ق توريد 858324</t>
  </si>
  <si>
    <t>ق توريد 858322</t>
  </si>
  <si>
    <t>ق توريد 858325</t>
  </si>
  <si>
    <t>ق توريد 858270</t>
  </si>
  <si>
    <t>ق توريد 858673</t>
  </si>
  <si>
    <t>ق توريد 858327</t>
  </si>
  <si>
    <t>ق توريد 858271</t>
  </si>
  <si>
    <t>ق توريد 858329</t>
  </si>
  <si>
    <t>ق توريد 858276</t>
  </si>
  <si>
    <t>ق توريد 858275</t>
  </si>
  <si>
    <t>ق توريد 858273</t>
  </si>
  <si>
    <t>ق توريد 858269</t>
  </si>
  <si>
    <t>ق توريد 858267</t>
  </si>
  <si>
    <t>ق توريد 858323</t>
  </si>
  <si>
    <t>ق توريد 858265</t>
  </si>
  <si>
    <t>ق توريد 858321</t>
  </si>
  <si>
    <t>ق توريد 858326</t>
  </si>
  <si>
    <t>ق توريد 858674</t>
  </si>
  <si>
    <t>ق توريد 858328</t>
  </si>
  <si>
    <t>ق توريد 858274</t>
  </si>
  <si>
    <t>ق توريد 858272</t>
  </si>
  <si>
    <t>ق توريد 858330</t>
  </si>
  <si>
    <t>ق توريد 858277</t>
  </si>
  <si>
    <t>كشف بنك يوليو</t>
  </si>
  <si>
    <t>اجمالى 26/9/2023 تسويات</t>
  </si>
  <si>
    <t>قيد تضمنى المولد النبوى</t>
  </si>
  <si>
    <t>قيد تضمنى منحه المدارس</t>
  </si>
  <si>
    <t>قيد تضمنى جوده وتطوير اه ت يوليو</t>
  </si>
  <si>
    <t>قيد تضمنى جوده وتطوير اه ت اغسطس</t>
  </si>
  <si>
    <t>قيد تضمنى 50%و200 وم خاصه من يوليو الى سبتمبر</t>
  </si>
  <si>
    <t>قيد تضمنى جوده وتطوير اه ت سبتمبر</t>
  </si>
  <si>
    <t>اجمالى 27/9/2023 تسويات</t>
  </si>
  <si>
    <t>صيدلة كلينكى</t>
  </si>
  <si>
    <t>مرتبات سبتمبر صرفت بالخطا موازنه</t>
  </si>
  <si>
    <t>سداد سلفه/ رحاب عبدالله</t>
  </si>
  <si>
    <t>ق توريد 858279</t>
  </si>
  <si>
    <t>ق توريد 858278</t>
  </si>
  <si>
    <t>كشف بنك اغسطس</t>
  </si>
  <si>
    <t>وحده حسابيه مركزيه مدفوعات ذاتى سبتمبر</t>
  </si>
  <si>
    <t>تعديل تسويه وحده حسابيه رقم 94</t>
  </si>
  <si>
    <t>وحده حسابيه مركزيه صناديق سبتمبر</t>
  </si>
  <si>
    <t>تعديل استماره2649</t>
  </si>
  <si>
    <t>اجمالى 30/9/2023</t>
  </si>
  <si>
    <t xml:space="preserve">رد تامين نهائى جهاز المخابرات العامه </t>
  </si>
  <si>
    <t>استقطاع قرض التكافل</t>
  </si>
  <si>
    <t>الشركه الفرنسيه للمصاعد صيانه عن مارس وابريل ومايو 2023</t>
  </si>
  <si>
    <t>شركه اى جى توريدات عموميه شراء 40 باده سيلكون</t>
  </si>
  <si>
    <t>شركه نهضه مصر للخدمات البيئيه قيمه رفع مخلفات عن شهر مايو</t>
  </si>
  <si>
    <t>محمد صالح على - شركه لينكس وايز قيمه انشاء خادم نسخه احتياطيه</t>
  </si>
  <si>
    <t>جهاز مشروعات الخدمه الوطنيه قيمه اعمال النظافه من 19/5/2023 حتى 18/6/2023</t>
  </si>
  <si>
    <t xml:space="preserve">المركز الهندسى قيمه حساب تكاليف الاعمال الاستشاريه </t>
  </si>
  <si>
    <t>استقطاع ص دعم ذوى الاعاقه يوليو</t>
  </si>
  <si>
    <t>المبلغ المستحق وحده كليه الزراعه فبراير</t>
  </si>
  <si>
    <t>شركه ميرج ميد صيانه 2 كابينه امان</t>
  </si>
  <si>
    <t xml:space="preserve">شركه النصر للخدمات والصيانه شراء اثاث </t>
  </si>
  <si>
    <t>مكافاه رعايه الشباب ابريل</t>
  </si>
  <si>
    <t>مكافاه رعايه الشباب يونيو</t>
  </si>
  <si>
    <t xml:space="preserve">مكافاه قسم المجمع التعليمى </t>
  </si>
  <si>
    <t>مكافاه قسم الاضابير يوليو</t>
  </si>
  <si>
    <t>مكافاه امتحان دور يوليو</t>
  </si>
  <si>
    <t>مكافاه جلسات تطبقيه (شفوى من يوليو حتى ديسمبر )</t>
  </si>
  <si>
    <t xml:space="preserve">مكافاه الجوده </t>
  </si>
  <si>
    <t>مكافاه الجهاز الادارى</t>
  </si>
  <si>
    <t xml:space="preserve">مكافاه منسقى شؤن طلاب </t>
  </si>
  <si>
    <t>مكافاه منسقين الاقسام الاكاديميه</t>
  </si>
  <si>
    <t>مكافاه محاضرات عمليه تنميه مهارات</t>
  </si>
  <si>
    <t>عب تدريس ضمان الجوده</t>
  </si>
  <si>
    <t>عب تدريس اخلاقيات</t>
  </si>
  <si>
    <t>جمله مبالغ ايرادات سنوات سابقه</t>
  </si>
  <si>
    <t>استقطاع نقابه العاملين يوليو</t>
  </si>
  <si>
    <t>سلفه / رحاب عبدالله محمد</t>
  </si>
  <si>
    <t>اجمالى 2023/8/1</t>
  </si>
  <si>
    <t>استقطاع اتصالات جروب يوليو</t>
  </si>
  <si>
    <t>استقطاع اتوبيس الجامعه يوليو</t>
  </si>
  <si>
    <t>استقطاع اشتراك اللجنه النقابيه يوليو</t>
  </si>
  <si>
    <t>اشتراكات التامين والمعاشات يوليو</t>
  </si>
  <si>
    <t>استقطاع اللجنه النقابيه يوليو</t>
  </si>
  <si>
    <t>استقطاع النفقه الالكترونيه يوليو</t>
  </si>
  <si>
    <t>استقطاع النقابه العامه يوليو</t>
  </si>
  <si>
    <t>الهيئه القوميه للتامين الاجتماعى يوليو</t>
  </si>
  <si>
    <t>استقطاع تامين علاجى يوليو</t>
  </si>
  <si>
    <t>استقطاع جمعيه الخدمات يوليو</t>
  </si>
  <si>
    <t>استقطاع سيجنيال يوليو</t>
  </si>
  <si>
    <t>استقطاع شركه مصر لتامينات الحياه يوليو</t>
  </si>
  <si>
    <t>استقطاع ص تكريم الشهداء يوليو</t>
  </si>
  <si>
    <t>ضريبه الدخل يوليو</t>
  </si>
  <si>
    <t>ضريبه الدمغه يوليو</t>
  </si>
  <si>
    <t>اجمالى 2023/8/2 بيرول</t>
  </si>
  <si>
    <t>مكافاه معسكر باجوش</t>
  </si>
  <si>
    <t xml:space="preserve">ج تحسين تعليم الكترونى </t>
  </si>
  <si>
    <t>حفل برنامج دولى</t>
  </si>
  <si>
    <t>مكافاه قسم ميكروبيولجى</t>
  </si>
  <si>
    <t>مكافاه مديرين جوده</t>
  </si>
  <si>
    <t xml:space="preserve">مكافاه صندوق دعم الطلاب </t>
  </si>
  <si>
    <t>مكافاه بيان يوليو</t>
  </si>
  <si>
    <t>مكافاه صحه بيانات</t>
  </si>
  <si>
    <t>مكافاه المركز عن الحفله</t>
  </si>
  <si>
    <t>ج قسم المعاشات</t>
  </si>
  <si>
    <t>مكافاه مكتب وكيل كليه شؤن الطلاب</t>
  </si>
  <si>
    <t>عب عملى وافدين</t>
  </si>
  <si>
    <t>عب عملى جراحه</t>
  </si>
  <si>
    <t>محاضرات قسم تنميه المهارات</t>
  </si>
  <si>
    <t>محاضرات عمليه جراحه راس</t>
  </si>
  <si>
    <t>عب طب الاطفال</t>
  </si>
  <si>
    <t>مكافاه امتحان دور يوليو 2023 مؤقتين</t>
  </si>
  <si>
    <t>مكافاه ال75% كادر يونيو2023</t>
  </si>
  <si>
    <t>مكافاه ال75% كادر يوليو 2023</t>
  </si>
  <si>
    <t>ج اضافيه منسقين من خارج (ا ه ت )</t>
  </si>
  <si>
    <t>ج اضافيه عن فتره الامتحانات ا ه ت</t>
  </si>
  <si>
    <t>ج اضافيه عن فتره الامتحانات اداريين</t>
  </si>
  <si>
    <t>ج اضافيه عن فتره الامتحانات معيدين</t>
  </si>
  <si>
    <t>مكافاه اضافيه ا ه ت</t>
  </si>
  <si>
    <t>ج امتحانات اسنان وحده علاجيه</t>
  </si>
  <si>
    <t>مكافاه مستلزمات عملى اداريين</t>
  </si>
  <si>
    <t>ج اضافيه منسقين ا ه ت</t>
  </si>
  <si>
    <t>مكافاه اعداد بيانات خريجين اداريين</t>
  </si>
  <si>
    <t>ج اضافيه عن فتره الامتحانات اطباء</t>
  </si>
  <si>
    <t>ج اضافى امتحانات اداريين</t>
  </si>
  <si>
    <t>ج اضافى امتحانات مؤقتين</t>
  </si>
  <si>
    <t>ج عن اعمال الامتحانات اطباء</t>
  </si>
  <si>
    <t>مكافاه تقفيل سنه ماليه قيادات (ا ه ت)</t>
  </si>
  <si>
    <t>مكافاه تقفيل سنه ماليه اداريين</t>
  </si>
  <si>
    <t>مكافاه عن اعمال تجهيز العيادات اداريين</t>
  </si>
  <si>
    <t>ج اضافى امتحانات خدمات معاونه</t>
  </si>
  <si>
    <t>مكافاه تقفيل سنه ماليه اطباء</t>
  </si>
  <si>
    <t>مكافاه تعليم الكترونى ا ه ت يونيو</t>
  </si>
  <si>
    <t>مكافاه تعليم الكترونى اداريين يونيو</t>
  </si>
  <si>
    <t>مكافاه تعليم الكترونى اطباء يونيو</t>
  </si>
  <si>
    <t>مكافاه تعليم الكترونىى مؤقتين يونيو</t>
  </si>
  <si>
    <t>مكافاه للعاملين بعلاقات عامه طب للمساعده فى استخراج وتجديد اقامات الطلبه</t>
  </si>
  <si>
    <t>مكافاه الاداريين للمساعده فى استخراج وتجديد اقامات الطلبه</t>
  </si>
  <si>
    <t xml:space="preserve">مكافاه تدريس دراسات عليا ربيع ا متفرغ </t>
  </si>
  <si>
    <t>ص اكلينكى</t>
  </si>
  <si>
    <t>ج تدريس اعمال جوده</t>
  </si>
  <si>
    <t>ص تكافل اسنان</t>
  </si>
  <si>
    <t>مكافاه انتداب صندوق ابريل ومايو</t>
  </si>
  <si>
    <t>مكافاه انتداب صندوق يناير</t>
  </si>
  <si>
    <t>صندوق التامين الاجتماعى (معاشات يوليو )</t>
  </si>
  <si>
    <t xml:space="preserve">اسنان </t>
  </si>
  <si>
    <t>استقطاع وثيقه تامين اجتماعى  ( خ ت + خ عامه )</t>
  </si>
  <si>
    <t>سلفه /منصور بشير</t>
  </si>
  <si>
    <t>شركه الجمهوريه</t>
  </si>
  <si>
    <t>سلفه / وليد تمام</t>
  </si>
  <si>
    <t xml:space="preserve">ص اكلينكى </t>
  </si>
  <si>
    <t>الهيئه القوميه للتامين الاجتماعى (معاشات يوليو )</t>
  </si>
  <si>
    <t>اجمالى 3/8/2023</t>
  </si>
  <si>
    <t xml:space="preserve">عبء تدريسى الفرقة الرابعة باثولوجى </t>
  </si>
  <si>
    <t xml:space="preserve">عبء تدريسى الفرقة الرابعة و خامسة و الفرقة الثالثة طب شرعى </t>
  </si>
  <si>
    <t xml:space="preserve">مكافاة امتحانات الكترونية </t>
  </si>
  <si>
    <t>مكافاة البيان الشهرى يوليو 2023</t>
  </si>
  <si>
    <t>مكافاة الماليزى</t>
  </si>
  <si>
    <t xml:space="preserve">ماموريات مكتب العميد و الوكلاء </t>
  </si>
  <si>
    <t>ماموريات محمد سعيد</t>
  </si>
  <si>
    <t xml:space="preserve">ماموريات منصور بشير </t>
  </si>
  <si>
    <t>مكافاة جهد مبذول باطنة</t>
  </si>
  <si>
    <t>مكافاة جهد مبذول مانشستر</t>
  </si>
  <si>
    <t xml:space="preserve">مكافاة مركز ابحاث طبية </t>
  </si>
  <si>
    <t xml:space="preserve">مكافاة مجالس تاديب </t>
  </si>
  <si>
    <t xml:space="preserve">مكافاة مجلس تاديب </t>
  </si>
  <si>
    <t xml:space="preserve">مكافاة نوباتجيات ابحاث اكلينيكية </t>
  </si>
  <si>
    <t>ماموريات وحده مالية للبرنامج</t>
  </si>
  <si>
    <t xml:space="preserve">مكافاة بدل حضور مجلس ادارة برنامج دولى </t>
  </si>
  <si>
    <t xml:space="preserve">مكافاة اعمال امتحانات شؤن عامة </t>
  </si>
  <si>
    <t xml:space="preserve">مكافاة 30% علاقات ثقافية </t>
  </si>
  <si>
    <t xml:space="preserve">مكافاة جهد مبذول محمد عباس </t>
  </si>
  <si>
    <t xml:space="preserve">مكافاة جهد مبذول قسم اعضاء هيئة التدريس </t>
  </si>
  <si>
    <t xml:space="preserve">مكافاة جهد مبذول قسم فسيولوجى شفت </t>
  </si>
  <si>
    <t xml:space="preserve">مكافاة نوباتجية ديزل شامبليون </t>
  </si>
  <si>
    <t xml:space="preserve">مكافاة جهد مبذول  سمير السيد زكريا </t>
  </si>
  <si>
    <t xml:space="preserve">مكافاة عاملين مكتب العميد </t>
  </si>
  <si>
    <t xml:space="preserve">مكافاة جهد استثنائى منصور بشير </t>
  </si>
  <si>
    <t>مكافاة جهد استثنائى محمد سعيد</t>
  </si>
  <si>
    <t>مكافاة جهد مبذول  علاقات عامة</t>
  </si>
  <si>
    <t xml:space="preserve">مكافاة حفل مانشستر علاقات عامة </t>
  </si>
  <si>
    <t xml:space="preserve">مكافاة هايدى مؤمن ترجمة شهادات </t>
  </si>
  <si>
    <t>مكافاة سكرتارية قسم الرمد</t>
  </si>
  <si>
    <t xml:space="preserve">مكافاة مراجعة ابنية الكلية </t>
  </si>
  <si>
    <t xml:space="preserve">مكافاة ترجمه لائحه بكالوريوس " داليا مصطفى </t>
  </si>
  <si>
    <t xml:space="preserve">مكافاة جهد استثنائى شؤن قانونية </t>
  </si>
  <si>
    <t xml:space="preserve">مكافاة تقفيل سنة مالية صرافين </t>
  </si>
  <si>
    <t xml:space="preserve">مكافاة قسم المطبعة بعد المواعيد الرسمية </t>
  </si>
  <si>
    <t xml:space="preserve">مكافاة جهد مبذول انشطة طلابية </t>
  </si>
  <si>
    <t xml:space="preserve">مكافاة نوران نصر ابحاث اكلينيكية </t>
  </si>
  <si>
    <t xml:space="preserve">مكافاة منسق الفرقة الثالثة مانشستر </t>
  </si>
  <si>
    <t>مكافاة ختامى عام 2022-2023</t>
  </si>
  <si>
    <t xml:space="preserve">مكافاة جهود شيكات نهاية ربيع </t>
  </si>
  <si>
    <t xml:space="preserve">مكافاة شهادات تخرج دولى </t>
  </si>
  <si>
    <t>مكافاة تسويات ضريبية 7 و8</t>
  </si>
  <si>
    <t xml:space="preserve">مكافاة جهود دراسة جدوى مسؤل ادارى </t>
  </si>
  <si>
    <t>مكافاة اعمال متميزة يوليو 2023</t>
  </si>
  <si>
    <t xml:space="preserve">مكافاة مجلس ادارة برنامج الدولى </t>
  </si>
  <si>
    <t>خ عامة اسنان</t>
  </si>
  <si>
    <t>مكافاة خدمة المجتمع ووحدة التعليم</t>
  </si>
  <si>
    <t xml:space="preserve">مكافاة جهد غير عادى رعاية زرع </t>
  </si>
  <si>
    <t>مكافاة اعضاء هيئة تدريس وحده اختبار المواد</t>
  </si>
  <si>
    <t>مكافاة تحصيل ايرادات المجلة و التسجيل و عمل بيانات ارصده</t>
  </si>
  <si>
    <t>مكافاة امتحانات</t>
  </si>
  <si>
    <t>خدمة تعليمية اسنان</t>
  </si>
  <si>
    <t xml:space="preserve">وحده خدمات صيدلة </t>
  </si>
  <si>
    <t xml:space="preserve">مكافاة بدل حضور مجلس ادارة وحده خدمات صيدلة </t>
  </si>
  <si>
    <t xml:space="preserve">مكافاة وحده خدمات صيدلة </t>
  </si>
  <si>
    <t>استقطاع نفقة طب سالى وصفى</t>
  </si>
  <si>
    <t xml:space="preserve">قيمة شراء عدد 4 اجهزة " الهيئة المصرية للشراء الموحد </t>
  </si>
  <si>
    <t>سلفة / محمد عبد المنعم</t>
  </si>
  <si>
    <t xml:space="preserve">قيمة 5% تامين نهائى " جهاز المخابرات العامة </t>
  </si>
  <si>
    <t>خ.ت طب</t>
  </si>
  <si>
    <t xml:space="preserve">قيمة معايرة عدد اجهاز فريزر 3 درج " المعهد القومى للمعايرة </t>
  </si>
  <si>
    <t>شراء مستلزمات تصوير كاميرا و ميكروفون " سالم محمد سالم "</t>
  </si>
  <si>
    <t xml:space="preserve">شراء قطع غيار ماكينة تصوير " ديجيتك </t>
  </si>
  <si>
    <t>اجمالى 7/8/2023</t>
  </si>
  <si>
    <t>م اعمال امتحانات ربيع 22</t>
  </si>
  <si>
    <t>م اعمال امتحانات ربيع 23</t>
  </si>
  <si>
    <t>م اعمال امتحانات ربيع 24</t>
  </si>
  <si>
    <t>م اعمال امتحانات ربيع 25</t>
  </si>
  <si>
    <t>م اداريين وعمال يوليو</t>
  </si>
  <si>
    <t>م تصحيح الكترونى فصل دراسى ثان</t>
  </si>
  <si>
    <t>م سكرتارية وحدة تدريب صيادلة</t>
  </si>
  <si>
    <t>م فارما دى عن شهر يوليو</t>
  </si>
  <si>
    <t>م مراقبة وملاحظة ربيع 22</t>
  </si>
  <si>
    <t>م مراقبة وملاحظة ربيع 23</t>
  </si>
  <si>
    <t>م مراقبة وملاحظة ربيع 24</t>
  </si>
  <si>
    <t>م مراقبة وملاحظة ربيع 25</t>
  </si>
  <si>
    <t>رصيد اجازات /احمد محمد محى الدين</t>
  </si>
  <si>
    <t>رصيد اجازات /خالد محمد عبد الكريم</t>
  </si>
  <si>
    <t>رصيد اجازات / هدى ابو شامة محمود</t>
  </si>
  <si>
    <t xml:space="preserve">م استكمال تدريس عملى ربيع ه ت </t>
  </si>
  <si>
    <t>م اعمال متميزة ص يوليو اداريين</t>
  </si>
  <si>
    <t>م حفل تخرج برنامج دولى مؤقتين</t>
  </si>
  <si>
    <t>م حفل تخرج برنامج دولى اطباء</t>
  </si>
  <si>
    <t>م ج صيانة تكنولوجيا المعلومات اداريين</t>
  </si>
  <si>
    <t>م اعمال دولى منتصف يوليو اداريين</t>
  </si>
  <si>
    <t>م اعمال دولى منتصف يوليو مؤقتين</t>
  </si>
  <si>
    <t>م حفل تخرج برنامج دولى ا ه ت</t>
  </si>
  <si>
    <t>م عبء تدريسى جراحة مسالك</t>
  </si>
  <si>
    <t>م تعليم دولى مراجعات نظرى</t>
  </si>
  <si>
    <t>م عبء تدريسى ثالثة</t>
  </si>
  <si>
    <t>اجمالى 8/8/2023</t>
  </si>
  <si>
    <t>تعديل استماره 795</t>
  </si>
  <si>
    <t>كسب عمل يوليو</t>
  </si>
  <si>
    <t>دمغه عاديه يوليو</t>
  </si>
  <si>
    <t>ضرائب متنوعه يوليو</t>
  </si>
  <si>
    <t>تنميه موارد يوليو</t>
  </si>
  <si>
    <t>اجمالى 2023/8/10</t>
  </si>
  <si>
    <t>تعديل استماره 987 بين امر دفع والاستقطاع 14ج</t>
  </si>
  <si>
    <t>مرتبات اغسطس (بيرول )</t>
  </si>
  <si>
    <t>اجمالى 11/8/2023</t>
  </si>
  <si>
    <t>اجمالى 14/8/2023</t>
  </si>
  <si>
    <t>اجمالى 15/8/2023</t>
  </si>
  <si>
    <t>ق توريد 858259</t>
  </si>
  <si>
    <t>ق توريد 858261</t>
  </si>
  <si>
    <t>ق توريد 858317</t>
  </si>
  <si>
    <t>ق توريد 858260</t>
  </si>
  <si>
    <t>ق توريد 858319</t>
  </si>
  <si>
    <t>ق توريد 858671</t>
  </si>
  <si>
    <t>ق توريد 858258</t>
  </si>
  <si>
    <t>ق توريد 858318</t>
  </si>
  <si>
    <t>صيدله</t>
  </si>
  <si>
    <t>خطاب ضمان شركه مصر لصناعه التبريد والتكييف</t>
  </si>
  <si>
    <t>اجمالى 2023/8/15 تسويات</t>
  </si>
  <si>
    <t>ج عن مراجعه البيانات</t>
  </si>
  <si>
    <t>مكافاه سكرتاريه علاقات ثقافيه</t>
  </si>
  <si>
    <t>مكافاه عن اعداد مجلس الكليه</t>
  </si>
  <si>
    <t>مكافاه اعمال مجلس تنفيذى</t>
  </si>
  <si>
    <t>مكافاه تكنولوجيا المعلومات يوليو</t>
  </si>
  <si>
    <t>مكافاه امتحان فصل دراسى ثانى</t>
  </si>
  <si>
    <t>مكافاه حضور اجتماع مجلس تنفيذى</t>
  </si>
  <si>
    <t>مكافاه لجنه المراجعه للبرامج</t>
  </si>
  <si>
    <t>مكافاه شؤن تعليم طلاب</t>
  </si>
  <si>
    <t>مكافاه قسم الحسابات يوليو</t>
  </si>
  <si>
    <t xml:space="preserve">مكافاه قسم العلاقات العامه </t>
  </si>
  <si>
    <t xml:space="preserve">مكافاه قسم الشؤن القانونيه </t>
  </si>
  <si>
    <t>مكافاه عن ختم شعار الجمهوريه</t>
  </si>
  <si>
    <t xml:space="preserve">مكافاه رؤوساء اقسام مختلفه </t>
  </si>
  <si>
    <t>مكافاه قسم المطبعه</t>
  </si>
  <si>
    <t xml:space="preserve">مكافاه رؤؤساء اقسام </t>
  </si>
  <si>
    <t xml:space="preserve">مكافاه منسق تطوير مشروع الجامعه </t>
  </si>
  <si>
    <t xml:space="preserve">اتحاد طب </t>
  </si>
  <si>
    <t>مكافاه قسم رعايه الشباب مايو</t>
  </si>
  <si>
    <t>مكافاه قسم توريدات مايو</t>
  </si>
  <si>
    <t>مكافاه قسم رعايه الشباب يونيو</t>
  </si>
  <si>
    <t>مكافاه قسم توريدات يونيو</t>
  </si>
  <si>
    <t>جهود الملاعب يونيو</t>
  </si>
  <si>
    <t>بدل انتقال رحاب محمد مايو</t>
  </si>
  <si>
    <t>مكافاه وحده الامن</t>
  </si>
  <si>
    <t>مكافاه حضور لجان توريدات</t>
  </si>
  <si>
    <t>مكافاه الفسيولوجى يوليو</t>
  </si>
  <si>
    <t>مكافاه منصور بشير</t>
  </si>
  <si>
    <t>مكافاه تصميم برنامج للطلاب</t>
  </si>
  <si>
    <t>جهود مكتب العميد</t>
  </si>
  <si>
    <t>ج القوافل يونيو</t>
  </si>
  <si>
    <t>شركه مصر للهندسه والتجاره</t>
  </si>
  <si>
    <t>صندوق مطبعه جامعه الاسكندريه</t>
  </si>
  <si>
    <t>المكتب الهندسى الصناعى المصرى</t>
  </si>
  <si>
    <t>ص الخدمات والتنميه المحليه بمحافظه الاسكندريه</t>
  </si>
  <si>
    <t>سلفه مؤقته/ امانى محمد محمد</t>
  </si>
  <si>
    <t>سلفه مؤقته/ ياسمين عصام الدين</t>
  </si>
  <si>
    <t xml:space="preserve">مستشفيات جامعه الاسكندريه </t>
  </si>
  <si>
    <t>فندق سيسل (اقامه الضيوف )</t>
  </si>
  <si>
    <t>اجمالى 2023/8/16</t>
  </si>
  <si>
    <t>مكافاه كورس تقويم الاسنان الفتره 24/2/2023</t>
  </si>
  <si>
    <t>استرداد رسوم دراسيه / مروه محمد كمال</t>
  </si>
  <si>
    <t>مكافاه انتداب محمد سعيد</t>
  </si>
  <si>
    <t>مكافاه ختم النسر يونيو</t>
  </si>
  <si>
    <t>مكافاه مصروفات دراسيه يونيو</t>
  </si>
  <si>
    <t>ج عن تسليم شهادات تخرج يونيو</t>
  </si>
  <si>
    <t>ج قسم توريدات يونيو</t>
  </si>
  <si>
    <t>ج العاملين بالصندوق يونيو</t>
  </si>
  <si>
    <t>مجلس كليه شيماء اسماعيل ومحمد خميس فبراير</t>
  </si>
  <si>
    <t>مجلس كليه شيماء اسماعيل ومحمد خميس مارس</t>
  </si>
  <si>
    <t>مجلس كليه شيماء اسماعيل ومحمد خميس ابريل</t>
  </si>
  <si>
    <t xml:space="preserve">م امتحان دعاء مرسى </t>
  </si>
  <si>
    <t>مكافاه منسقين فرقه اولى</t>
  </si>
  <si>
    <t>ج للقائمين على الامتحان بقسم تنميه معمل مهارات</t>
  </si>
  <si>
    <t>مكافاه رصد امتحانات مهارات طبيه</t>
  </si>
  <si>
    <t>مكافاه برنامج ارسال نتائج</t>
  </si>
  <si>
    <t>مكافاه العاملين بنظام الشيفت اغسطس</t>
  </si>
  <si>
    <t>مكافاه ملاحظه طلاب بالسجن</t>
  </si>
  <si>
    <t>مكافاه عمال يوميه اغسطس</t>
  </si>
  <si>
    <t>مكافاه صيانه اجهزه الكترونيه</t>
  </si>
  <si>
    <t>مكافاه تكنولوجيا المعلومات اغسطس</t>
  </si>
  <si>
    <t>مكافاه الدعم الفنى اغسطس</t>
  </si>
  <si>
    <t>مكافاه لجنه الشؤن الماليه</t>
  </si>
  <si>
    <t>ج حسن محمد ابراهيم</t>
  </si>
  <si>
    <t>مكافاه جرد الخزينه</t>
  </si>
  <si>
    <t>ج امتحانات فصل ثانى</t>
  </si>
  <si>
    <t>مكافاه اعداد مجلس كليه اغسطس</t>
  </si>
  <si>
    <t>مكافاه لجنه المراجعه البرامج</t>
  </si>
  <si>
    <t>مكافاه عن اعمال المجلس التنفيذى</t>
  </si>
  <si>
    <t>حافز الاداء عن شهر يوليو</t>
  </si>
  <si>
    <t>ج مشتريات ومخازن كلينك</t>
  </si>
  <si>
    <t>ج استقطاع خ ت طب يوليو</t>
  </si>
  <si>
    <t>اجمالى 2023/8/19</t>
  </si>
  <si>
    <t>مكتب حمدى العقاد اصلاح ميكرسكوب</t>
  </si>
  <si>
    <t>عادل على محمد كوته (بيوركيم ) صيانه وحده معالجه مياه من 13/3/2023 الى 12/6/2023</t>
  </si>
  <si>
    <t>شركه بيوميريوايجيبت</t>
  </si>
  <si>
    <t>حافز امن حسن محمد يوليو</t>
  </si>
  <si>
    <t xml:space="preserve">ج مركز ابحاث اكلينكى </t>
  </si>
  <si>
    <t>ج زائد للعاملين بالبرنامج</t>
  </si>
  <si>
    <t>ج هيئه التدريس</t>
  </si>
  <si>
    <t>مكافاه منسقين ابحاث اكلينكيه</t>
  </si>
  <si>
    <t xml:space="preserve">مكافاه رشا محى </t>
  </si>
  <si>
    <t xml:space="preserve">ج عن تنظيم ملفات </t>
  </si>
  <si>
    <t>مكافاه التواجد بعد مواعيد العمل</t>
  </si>
  <si>
    <t>مكافاه العاملين بالمركز يوليو</t>
  </si>
  <si>
    <t>مكافاه المدير التنفيذى للمركز</t>
  </si>
  <si>
    <t>مكافاه عميد الكليه</t>
  </si>
  <si>
    <t xml:space="preserve">ص /فاطمة سامى حمدى /دعم رسائل </t>
  </si>
  <si>
    <t>ص /مى اسامة السيد  /دعم رسائل</t>
  </si>
  <si>
    <t>شركة مصر للمهمات المكتبية</t>
  </si>
  <si>
    <t>سوريا للتوريدات العمومية</t>
  </si>
  <si>
    <t xml:space="preserve">شركة الكترودريم </t>
  </si>
  <si>
    <t>شركة سيرفوميد صيانه70 وحده اسنان</t>
  </si>
  <si>
    <t>الهيئه العربيه للتصنيع مصنع صقر</t>
  </si>
  <si>
    <t>وزاره الدفاع جهاز مشروعات الخدمه الوطنيه قيمه اعمال النظافه عن الفتره من 19/6/2023الى 18/7/2023</t>
  </si>
  <si>
    <t>الغاء استماره 1146</t>
  </si>
  <si>
    <t>اعاده ادخال استماره 1146</t>
  </si>
  <si>
    <t>اجمالى 20/8/2023</t>
  </si>
  <si>
    <t>مكافاه عيد اضحى د/ عصام محمد</t>
  </si>
  <si>
    <t>مكافاه عيد اضحى د/ عبد السلام خليل</t>
  </si>
  <si>
    <t>مكافاه عيد الاضحى د/سهام بسيونى +د/ مدحت احمد</t>
  </si>
  <si>
    <t>مكافاه الساده العاملين بالكليه اغسطس</t>
  </si>
  <si>
    <t>مكافاه البيان اغسطس</t>
  </si>
  <si>
    <t>سالم محمد سالم (ايكوال للتجاره والتوريدات )شراء ادوات كهربائيه</t>
  </si>
  <si>
    <t>قيمه الاشتراك السنوى لتسجيل القيمه المضافه / احمد شعبان</t>
  </si>
  <si>
    <t>اجمالى 2023/8/22</t>
  </si>
  <si>
    <t>مكافاه امتحان احمد صبحى</t>
  </si>
  <si>
    <t>مكافاه الامن</t>
  </si>
  <si>
    <t>مكافاه الجوده يوليو</t>
  </si>
  <si>
    <t>مكافاه المنسقين اغسطس</t>
  </si>
  <si>
    <t xml:space="preserve">مكافاه مروه احمد ابراهيم </t>
  </si>
  <si>
    <t xml:space="preserve">مكافاه جرد خزينه الكليه </t>
  </si>
  <si>
    <t>مكافاه امتياز مايو2023</t>
  </si>
  <si>
    <t>مكافاه يونيو 2023</t>
  </si>
  <si>
    <t>مكافاه بيان اداره البرنامج ا ه ت اغسطس</t>
  </si>
  <si>
    <t>مكافاه خدمات تعليميه ا ه ت يوليو (عن الافادات )</t>
  </si>
  <si>
    <t>ج اضافيه نادر مجدى عن فتره الامتحانات</t>
  </si>
  <si>
    <t>مكافاه اداريه اضافيه ا ه ت يوليو</t>
  </si>
  <si>
    <t xml:space="preserve">مكافاه ملفات جوده ا ه ت </t>
  </si>
  <si>
    <t>ج تعليم الكترونى ا ه ت</t>
  </si>
  <si>
    <t>مكافاه اعمال متميزه اضافيه ا ه ت يوليو</t>
  </si>
  <si>
    <t>مكافاه تدريب امتحانات الكترونيه ا ه ت</t>
  </si>
  <si>
    <t xml:space="preserve">مكافاه  حضور مجلس اداره اغسطس </t>
  </si>
  <si>
    <t>مكافاه بيان اداريين اغسطس</t>
  </si>
  <si>
    <t>مكافاه اعمال متميزه اداريين اغسطس</t>
  </si>
  <si>
    <t>ج قسم الخزينه اغسطس</t>
  </si>
  <si>
    <t>حافز امن اغسطس</t>
  </si>
  <si>
    <t>مكافاه اعمال اضافيه عن تجهيز حفله التخرج اداريين يوليو</t>
  </si>
  <si>
    <t>مكافاه نظير الحضور اجازات يوليو (اداريين )</t>
  </si>
  <si>
    <t>مكافاه مستحقين البرنامج يوليو (اداريين )</t>
  </si>
  <si>
    <t>مكافاه عن انتظام الحصص العمليه يوليو اداريين وحكيمات يوليو</t>
  </si>
  <si>
    <t>ج وحده الامن يوليو</t>
  </si>
  <si>
    <t>ج شؤن اداريه يوليو</t>
  </si>
  <si>
    <t>ج قسم المشتريات يوليو</t>
  </si>
  <si>
    <t>ج اشعه ومعامل اغسطس اداريين</t>
  </si>
  <si>
    <t>مكافاه تحصيل دولى يوليو اداريين</t>
  </si>
  <si>
    <t>ج المشاركه فى البرنامج يوليو اداريين</t>
  </si>
  <si>
    <t>ج المراجعه اللاحقه يوليو اداريين</t>
  </si>
  <si>
    <t>ج الشفه الارنبيه يوليو</t>
  </si>
  <si>
    <t>ج الامن يوليو</t>
  </si>
  <si>
    <t>ج السفر شعبان على اغسطس</t>
  </si>
  <si>
    <t>ج فري عمل التصوير الخارجى</t>
  </si>
  <si>
    <t>مكافاه ساعات اضافيه اداريين يوليو</t>
  </si>
  <si>
    <t>ج قسم الاضابير اغسطس</t>
  </si>
  <si>
    <t>مكافاه اعمال متمتيزه مؤقتين اغسطس</t>
  </si>
  <si>
    <t>مكافاه بيان مؤقتين اغسطس</t>
  </si>
  <si>
    <t>مكافاه ساعات اضافيه مؤقتين يوليو</t>
  </si>
  <si>
    <t>مكافاه مستحقين البرنامج يوليو (مؤقتين )</t>
  </si>
  <si>
    <t>مكافاه خدمات تعليميه مؤقتين يوليو (عن الافادات )</t>
  </si>
  <si>
    <t>مكافاه عن انتظام الحصص العمليه يوليو مؤقتين  يوليو</t>
  </si>
  <si>
    <t>مكافاه اداريه اضافيه مؤقتين يوليو</t>
  </si>
  <si>
    <t>مكافاه تحصيل دولى يوليو مؤقتين</t>
  </si>
  <si>
    <t>ج المشاركه فى البرنامج يوليو مؤقتين</t>
  </si>
  <si>
    <t>ج المراجعه اللاحقه يوليو مؤقتين</t>
  </si>
  <si>
    <t>ج تعليم الكترونى مؤقتين</t>
  </si>
  <si>
    <t>ج نسمه مجدى + مروه احمد اغسطس</t>
  </si>
  <si>
    <t>مكافاه انتظام حصص عمليه فريق عمل العياده يوليو</t>
  </si>
  <si>
    <t>مكافاه كنترول ماليزى</t>
  </si>
  <si>
    <t>ج القائمين على الامتحان بقسم معمل المهارات</t>
  </si>
  <si>
    <t>عب نظرى مقرر التفكير النافذ</t>
  </si>
  <si>
    <t>مراجعه فصل ثانى</t>
  </si>
  <si>
    <t>مكافاه كنترول فرقه ثانيه</t>
  </si>
  <si>
    <t>مكافاه منسقين سنه ثانيه</t>
  </si>
  <si>
    <t xml:space="preserve">ج / هشام عبد المعطى </t>
  </si>
  <si>
    <t>مكافاه منسقين سنه ثالثه</t>
  </si>
  <si>
    <t xml:space="preserve">م امتحان جوزيف سامى </t>
  </si>
  <si>
    <t xml:space="preserve">شركه العلا للنظم الحديثه </t>
  </si>
  <si>
    <t xml:space="preserve">رد ضمان شركه القصر الملكى </t>
  </si>
  <si>
    <t>مطبعه جامعه الاسكندريه</t>
  </si>
  <si>
    <t xml:space="preserve">شركه سيرفوميد صيانه 13 جهاز تعقيم </t>
  </si>
  <si>
    <t>يوميه 23/8</t>
  </si>
  <si>
    <t>اجمالى 23/8/2023</t>
  </si>
  <si>
    <t>مكافاه الهيكل الادارى اغسطس</t>
  </si>
  <si>
    <t>ج مركز ابحاث خارجى</t>
  </si>
  <si>
    <t xml:space="preserve">مكافاه نوباتجيه الابحاث الطبيه </t>
  </si>
  <si>
    <t>ج السيد ابراهيم قنديل</t>
  </si>
  <si>
    <t>ج بسمه مصطفى</t>
  </si>
  <si>
    <t>مكافاه مكتب وكيل دراسات عليا</t>
  </si>
  <si>
    <t>مكافاه لجنه مراجعه داخليه</t>
  </si>
  <si>
    <t>مكافاه منتدبين توريدات</t>
  </si>
  <si>
    <t>وعاء اغسطس</t>
  </si>
  <si>
    <t>مكافاه الجهاز الادارى اغسطس</t>
  </si>
  <si>
    <t>مكافاه نسمه خلف اغسطس</t>
  </si>
  <si>
    <t>مكافاه قسم المجتمع التعليمى</t>
  </si>
  <si>
    <t>اجمالى 26/8/2023</t>
  </si>
  <si>
    <t xml:space="preserve">طب </t>
  </si>
  <si>
    <t>سداد سلفه /انجى عبد الغنى</t>
  </si>
  <si>
    <t>ق توريد 858263</t>
  </si>
  <si>
    <t>ق توريد 858262</t>
  </si>
  <si>
    <t xml:space="preserve">سجلات فقط </t>
  </si>
  <si>
    <t>تسويه مناقله مبالغ ضمان اعمال من حساب لحساب</t>
  </si>
  <si>
    <t>اجمالى 28/8/2023 تسويات</t>
  </si>
  <si>
    <t>تكمله استماره 1313 سلفه مؤقته / بسنت انور</t>
  </si>
  <si>
    <t>وحده حسابيه مركزيه اغسطس (مدفوعات )</t>
  </si>
  <si>
    <t>وحده حسابيه مركزيه اغسطس (صناديق )</t>
  </si>
  <si>
    <t>اجمالى 30/8/2023 تسويات</t>
  </si>
  <si>
    <t xml:space="preserve">رقم 224 </t>
  </si>
  <si>
    <t xml:space="preserve">بيان </t>
  </si>
  <si>
    <t>اجمالى باب اول</t>
  </si>
  <si>
    <t xml:space="preserve">مصروف ثانى </t>
  </si>
  <si>
    <t xml:space="preserve">مصروفات رابع </t>
  </si>
  <si>
    <t>مصروف خامس</t>
  </si>
  <si>
    <t>مصروف سادس</t>
  </si>
  <si>
    <t xml:space="preserve">اجمالى منه </t>
  </si>
  <si>
    <t xml:space="preserve">اجمالى له </t>
  </si>
  <si>
    <t>ف</t>
  </si>
  <si>
    <t>رقم 224 تسويات</t>
  </si>
  <si>
    <t>تاريخ</t>
  </si>
  <si>
    <t>مكافاه الماليزى مايو</t>
  </si>
  <si>
    <t>م منسقين بالاقسام الاكاديميه</t>
  </si>
  <si>
    <t>م المدير التنفيذى للمجمع التعليمى بالمواساه</t>
  </si>
  <si>
    <t>استقطاع وثيقه تامين اجتماعى مختلط ابريل طب</t>
  </si>
  <si>
    <t>م الهيكل الادارى مانشيستر</t>
  </si>
  <si>
    <t>م الجهاز الادارى</t>
  </si>
  <si>
    <t xml:space="preserve">م الهيكل الادارى </t>
  </si>
  <si>
    <t>م العاملين بنظام الشيفت</t>
  </si>
  <si>
    <t>فرق حافز اضافى مصطفى ابراهيم</t>
  </si>
  <si>
    <t>م منسقين برنامج</t>
  </si>
  <si>
    <t>م كيرسيرفيس</t>
  </si>
  <si>
    <t>م العاملين بالكليه مايو</t>
  </si>
  <si>
    <t>ج اداره هندسيه</t>
  </si>
  <si>
    <t>ج تجهيز مستندات علاقات عامه</t>
  </si>
  <si>
    <t>م تدريس لغه انجليزيه</t>
  </si>
  <si>
    <t>م مديرين ابحاث طبيه</t>
  </si>
  <si>
    <t>م وحده قياس وتقويم</t>
  </si>
  <si>
    <t>م مساعدين وكلاء</t>
  </si>
  <si>
    <t>م منسق دراسات عليا</t>
  </si>
  <si>
    <t>م بعد مواعيد عمل تعليم الكترونى</t>
  </si>
  <si>
    <t>م طباعه امتحانات</t>
  </si>
  <si>
    <t>م اشراف محاضرات</t>
  </si>
  <si>
    <t>م اجازات وجوبيه</t>
  </si>
  <si>
    <t>م هيئه تدريس قاعده بيانات</t>
  </si>
  <si>
    <t>عب تدريس جراحه  كبد ومراره</t>
  </si>
  <si>
    <t xml:space="preserve">اختبار مواد </t>
  </si>
  <si>
    <t>مكافاه اختبار مواد ابريل</t>
  </si>
  <si>
    <t>مشاركه فى القوافل الطبيه</t>
  </si>
  <si>
    <t>مكافاه فرق استخدام اجهزه الاستعاضه</t>
  </si>
  <si>
    <t>مكافاه تنفيذ برنامج المرضى الالكترونى</t>
  </si>
  <si>
    <t>مكافاه قسم خدمه المجتمع</t>
  </si>
  <si>
    <t>مكافاه قسم خدمه عامه</t>
  </si>
  <si>
    <t>مكافاه امتياز يناير</t>
  </si>
  <si>
    <t>مكافاه امتياز فبراير</t>
  </si>
  <si>
    <t>استرداد / محمد سند طلعت تدريب شهرين بقسم اطفال</t>
  </si>
  <si>
    <t>استرداد / سلمى محمد (كورس ليزر )</t>
  </si>
  <si>
    <t>استرداد /مريم فوزى (كورس غرس)</t>
  </si>
  <si>
    <t>مبروكه يوسف شراء 2 رزمه ورق</t>
  </si>
  <si>
    <t>شركه ديجيتك اصلاح ماكينات تصوير</t>
  </si>
  <si>
    <t>شركه نيوليزربرنت توريد اصناف لطابعات الكمبيوتر</t>
  </si>
  <si>
    <t>اجمالى 23/5/2024 بيرول</t>
  </si>
  <si>
    <t>مكافاه  تربيه عسكريه</t>
  </si>
  <si>
    <t>وعاء مايو</t>
  </si>
  <si>
    <t>عكس استماره 11752</t>
  </si>
  <si>
    <t>تعديل استماره 11752</t>
  </si>
  <si>
    <t>اجمالى 26/5/2024</t>
  </si>
  <si>
    <t>م القائم باعمال التجنيد مايو</t>
  </si>
  <si>
    <t>م الارشيف مايو</t>
  </si>
  <si>
    <t>م الحسابات الخاصه مايو</t>
  </si>
  <si>
    <t>م الحسابات  مايو</t>
  </si>
  <si>
    <t>م سكرتاريه العميد مايو</t>
  </si>
  <si>
    <t>م سكرتاريه الوكيل مايو</t>
  </si>
  <si>
    <t>م قسم الصرافه مايو</t>
  </si>
  <si>
    <t>م قسم الدراسات العليا مايو</t>
  </si>
  <si>
    <t>م اعانه اجتماعيه مايو</t>
  </si>
  <si>
    <t xml:space="preserve">م قسم الاضابير والتليفون مايو </t>
  </si>
  <si>
    <t>م قسم الاستحقاقات مايو</t>
  </si>
  <si>
    <t>م قسم الكنترول مايو</t>
  </si>
  <si>
    <t>م قسم المنشات التعليميه مايو</t>
  </si>
  <si>
    <t>م قسم القائم بختم شعار جمهوريه مايو</t>
  </si>
  <si>
    <t>م قسم التحصيل مايو</t>
  </si>
  <si>
    <t>مكافاه قسم المجمع التعليمى ابريل</t>
  </si>
  <si>
    <t>م قسم علاقات عامه مايو</t>
  </si>
  <si>
    <t>مكافاه قيد وحفظ مايو</t>
  </si>
  <si>
    <t>م شؤن قانونيه مايو</t>
  </si>
  <si>
    <t>م شؤن خريجين مايو</t>
  </si>
  <si>
    <t>م شؤن طلبه مايو</t>
  </si>
  <si>
    <t>م روؤساء اقسام مايو</t>
  </si>
  <si>
    <t>تسويه بند تحويلات جاريه (باب خامس ) بمبلغ 50مليون</t>
  </si>
  <si>
    <t>16/5/2024</t>
  </si>
  <si>
    <t>سداد سلفه مؤقته / منصور بشير</t>
  </si>
  <si>
    <t>13/5/2024</t>
  </si>
  <si>
    <t>مصلحه الخزانه العامه (سك العمله ) طب</t>
  </si>
  <si>
    <t>سداد سلفه مؤقته / انجى عبد الغنى عبد العزيز</t>
  </si>
  <si>
    <t>سداد سلفه مؤقته / صالح سلامه</t>
  </si>
  <si>
    <t>سداد سلفه مؤقته / احمد راغب</t>
  </si>
  <si>
    <t>سداد سلفه مؤقته / رحاب عبدالله محمد</t>
  </si>
  <si>
    <t xml:space="preserve">سداد سلفه مؤقته / ابراهيم عبد الحليم </t>
  </si>
  <si>
    <t>سداد سلفه مؤقته / هويدا مصطفى عبد الرحيم</t>
  </si>
  <si>
    <t>سداد سلفه مؤقته / محمد خليل ابراهيم</t>
  </si>
  <si>
    <t>سداد سلفه مؤقته / انجى احمد عبد الرحمن</t>
  </si>
  <si>
    <t>ظبط بنود مرتبات</t>
  </si>
  <si>
    <t>تعديل حساب تحويلات جاريه (حصه ماليه )بمبلغ 10 مليون ج</t>
  </si>
  <si>
    <t>تعديل الرقم لان تم ترحيلها صفر</t>
  </si>
  <si>
    <t xml:space="preserve">خاص بنقل بنود باب اول للمرتبات </t>
  </si>
  <si>
    <t>مرتبات مؤقتين مايو</t>
  </si>
  <si>
    <t>اجمالى 13/5/2024 تسويات</t>
  </si>
  <si>
    <t>تعديل فى الgf لانها تم ادخالها على السلف وليس دفع مقدم</t>
  </si>
  <si>
    <t>سداد سلفه مؤقته / محمد على عبد المنعم</t>
  </si>
  <si>
    <t>سداد سلفه مؤقته / محمد صديق</t>
  </si>
  <si>
    <r>
      <t>قيمه حجز ملعب الميرى وملعب النجيل الصناعى (من ايراد دولى طب الى ايراد مؤتمرات )</t>
    </r>
    <r>
      <rPr>
        <b/>
        <sz val="12"/>
        <color rgb="FFFF0000"/>
        <rFont val="Arial"/>
        <family val="2"/>
      </rPr>
      <t xml:space="preserve"> سجلات فقط</t>
    </r>
  </si>
  <si>
    <r>
      <t>قيمه استخدام جهاز الامتصاص بمركز الابحاث (من ايراد تحاليل طبيه الى ايراد دولى )</t>
    </r>
    <r>
      <rPr>
        <b/>
        <sz val="12"/>
        <color rgb="FFFF0000"/>
        <rFont val="Arial"/>
        <family val="2"/>
      </rPr>
      <t xml:space="preserve"> سجلات فقط</t>
    </r>
  </si>
  <si>
    <t>عكس استماره 10694 قيمه استخدام جهاز الامتصاص بمركز الابحاث واعاده ادخالها بتسويه 519</t>
  </si>
  <si>
    <t>اجمالى 25/5/2024 تسويات</t>
  </si>
  <si>
    <t>استقطاع اللجنه النقابيه مايو</t>
  </si>
  <si>
    <t>استقطاع جمعيه الخدمات مايو</t>
  </si>
  <si>
    <t>استقطاع الهيئه القوميه للتامين الاجتماعى مايو</t>
  </si>
  <si>
    <t>استقطاع اشتراك اللجنه النقابيه مايو</t>
  </si>
  <si>
    <t>استقطاع اورانج مايو</t>
  </si>
  <si>
    <t>استقطاع الجمعيه التعاونيه مايو</t>
  </si>
  <si>
    <t>استقطاع ارباب عهد مايو</t>
  </si>
  <si>
    <t>ارباب عهد</t>
  </si>
  <si>
    <t xml:space="preserve">استقطاع نقابه العاملين مايو </t>
  </si>
  <si>
    <t xml:space="preserve">استقطاع اتوبيس الجامعه مايو </t>
  </si>
  <si>
    <t>استقطاع اتصالات جروب مايو</t>
  </si>
  <si>
    <t xml:space="preserve">استقطاع النقابه العامه مايو </t>
  </si>
  <si>
    <t xml:space="preserve">استقطاع نفقه سهيله محمد مايو </t>
  </si>
  <si>
    <t>استقطاع تكريم الشهداء مايو</t>
  </si>
  <si>
    <t>استقطاع قرض تكافل مايو</t>
  </si>
  <si>
    <t>استقطاع مصر لتامينات الحياه مايو</t>
  </si>
  <si>
    <t>استقطاع دعم ذوى الاعاقه مايو</t>
  </si>
  <si>
    <t>استقطاع صندوق التكافل الاجتماعى مايو</t>
  </si>
  <si>
    <t>استقطاع سيجينال مايو</t>
  </si>
  <si>
    <t>ضريبه الدخل مايو</t>
  </si>
  <si>
    <t>ضريبه الدمغه مايو</t>
  </si>
  <si>
    <t>الهيئه القوميه للتامين الاجتماعى (معاشات مايو )</t>
  </si>
  <si>
    <t>م سكرتاريه العميد يونيو</t>
  </si>
  <si>
    <t>م سكرتاريه الوكيل يونيو</t>
  </si>
  <si>
    <t>م شؤن طلبه يونيو</t>
  </si>
  <si>
    <t>م شؤن خريجين يونيو</t>
  </si>
  <si>
    <t>م عميد ووكلاء يونيو</t>
  </si>
  <si>
    <t>م قسم شؤن قانونيه يونيو</t>
  </si>
  <si>
    <t>م قسم الاستحقاقات يونيو</t>
  </si>
  <si>
    <t>م قسم اعانه اجتماعيه يونيو</t>
  </si>
  <si>
    <t>م قسم الاضابير يونيو</t>
  </si>
  <si>
    <t>م القائم باعمال التجنيد يونيو</t>
  </si>
  <si>
    <t>م الارشيف يونيو</t>
  </si>
  <si>
    <t>م روؤساء اقسام يونيو</t>
  </si>
  <si>
    <t>م قيد وحفظ يونيو</t>
  </si>
  <si>
    <t>م علاقات عامه يونيو</t>
  </si>
  <si>
    <t>م تحصيل يونيو</t>
  </si>
  <si>
    <t>م ختم الجمهوريه يونيو</t>
  </si>
  <si>
    <t>م المنشات التعليميه يونيو</t>
  </si>
  <si>
    <t>م قسم الكنترول يونيو</t>
  </si>
  <si>
    <t>م قسم الصرافه يونيو</t>
  </si>
  <si>
    <t>م قسم الدراسات العليا يونيو</t>
  </si>
  <si>
    <t>م قسم الحسابات الخاصه يونيو</t>
  </si>
  <si>
    <t>م قسم الحسابات يونيو</t>
  </si>
  <si>
    <t>اجمالى 27/5/2024</t>
  </si>
  <si>
    <t>عب تدريس رمد</t>
  </si>
  <si>
    <t>م روؤساء اقسام</t>
  </si>
  <si>
    <t xml:space="preserve">استرداد قيمه كارت طريق مصر باسم / محمد سعيد </t>
  </si>
  <si>
    <t>استرداد قيمه كارت طريق مصر باسم / منصور بشير</t>
  </si>
  <si>
    <t>شركه الفتح للمقاولات شراء 2 اطار كاوتش</t>
  </si>
  <si>
    <t>الشركه الفرنسيه للمصاعد صيانه مصاعد 1 +2 من فبراير الى ابريل 2024</t>
  </si>
  <si>
    <t>ق توريد 855922</t>
  </si>
  <si>
    <t>ق توريد 855918</t>
  </si>
  <si>
    <t>ق توريد 855528</t>
  </si>
  <si>
    <t>ق توريد 855917</t>
  </si>
  <si>
    <t>ق توريد 855526</t>
  </si>
  <si>
    <t>ق توريد 855908</t>
  </si>
  <si>
    <t>ق توريد 855914</t>
  </si>
  <si>
    <t>ق توريد 855915</t>
  </si>
  <si>
    <t>ق توريد 855912</t>
  </si>
  <si>
    <t>ق توريد 855910</t>
  </si>
  <si>
    <t>ق توريد 855920</t>
  </si>
  <si>
    <t>مكافاه اضافى عسكريه</t>
  </si>
  <si>
    <t xml:space="preserve">مكافاه اضافى عسكريه </t>
  </si>
  <si>
    <t>ق توريد 855923</t>
  </si>
  <si>
    <t>ق توريد 855921</t>
  </si>
  <si>
    <t>ق توريد 855919</t>
  </si>
  <si>
    <t>ق توريد 855529</t>
  </si>
  <si>
    <t>ق توريد 855527</t>
  </si>
  <si>
    <t>ق توريد 855909</t>
  </si>
  <si>
    <t>ق توريد 855916</t>
  </si>
  <si>
    <t>ق توريد 855913</t>
  </si>
  <si>
    <t>ق توريد 855911</t>
  </si>
  <si>
    <t>كشف بنك من 11/2 الى 29/2/2024</t>
  </si>
  <si>
    <t>كشف بنك ابريل</t>
  </si>
  <si>
    <t>خطاب ضمان كلينلاب للتوكيلات (طب )</t>
  </si>
  <si>
    <t>خطاب ضمان ايى - بى - سى (طب )</t>
  </si>
  <si>
    <t>خطاب ضمان جلوبال تكنولوجى (اسنان )</t>
  </si>
  <si>
    <t>خطاب ضمان بيور هاوس (طب )</t>
  </si>
  <si>
    <t>خطاب ضمان ديولوكس (طب )</t>
  </si>
  <si>
    <t>خطاب ضمان افرو ايجيبت (طب )</t>
  </si>
  <si>
    <t>اجمالى 28/5/2024 تسويات</t>
  </si>
  <si>
    <t>يخصم من خ عامه مبلغ 96 ويضاف للماليزى اسنان خاص بالنقابه تطبيقيه</t>
  </si>
  <si>
    <t>يخصم من خ عامه مبلغ 96 ويضاف للماليزى اسنان خاص بالنقابه هندسيه</t>
  </si>
  <si>
    <t>عكس استماره 10979 بدل انتقال محمد عشماوى بمبلغ 260ج</t>
  </si>
  <si>
    <t>استماره بدل انتقال محمد عشماوى تخص الموازنه وتم ادخالها صناديق بالخطا</t>
  </si>
  <si>
    <t>قيد تضمنى لمرتبات مارس ا ه ت واداريين</t>
  </si>
  <si>
    <t>ق توريد 855531</t>
  </si>
  <si>
    <t>ق توريد 855530</t>
  </si>
  <si>
    <t>الجمعيه التعاونيه للبترول</t>
  </si>
  <si>
    <t>الهيئه القوميه للتامين الاجتماعى (معاشات مايو)</t>
  </si>
  <si>
    <t>صيدلة اكلينكى</t>
  </si>
  <si>
    <t>استقطاع القرض الحسن مايو (صيدلة )</t>
  </si>
  <si>
    <t>استقطاع وثيقه تامين اجتماعى مختلط مايو (صيدلة )</t>
  </si>
  <si>
    <t>اجمالى 1/6/2024</t>
  </si>
  <si>
    <t>استقطاع الصندوق يونيو 2024 (طب )</t>
  </si>
  <si>
    <t>استقطاع الصندوق مايو 2024 (طب )</t>
  </si>
  <si>
    <t xml:space="preserve">عبد الحميد قابيل (العلا للنظم الحديثه شراء 11 اسكانر)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</si>
  <si>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</si>
  <si>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شركه الفتح للمقاولات تركيب 6 كاميرات</t>
  </si>
  <si>
    <t xml:space="preserve">شركه مكه المكرمه توريد 15 بارفان خشب </t>
  </si>
  <si>
    <t>شركه الوطن للمقاولات شراء 100 مترسلك</t>
  </si>
  <si>
    <t>مؤسسه الباشا للاستيراد شراء شاشات</t>
  </si>
  <si>
    <t xml:space="preserve">اشرف صلاح الدين كامل </t>
  </si>
  <si>
    <t xml:space="preserve">تم ادخالها فى الgf من الايراد لعدم توافر البند </t>
  </si>
  <si>
    <t>شركه نهضه مصر للخدمات قيمه رفع مخلفات ابريل</t>
  </si>
  <si>
    <t xml:space="preserve">شركه الزهراء للتوريدات شراء لمبات تعقيم </t>
  </si>
  <si>
    <t>شركه نهضه مصر للخدمات قيمه رفع مخلفات مارس</t>
  </si>
  <si>
    <t>شركه فيوتشر مصر شراء 20 طن علف</t>
  </si>
  <si>
    <t>دعم رسائل / صفاء يس</t>
  </si>
  <si>
    <t>دعم رسائل / ساره الخضر</t>
  </si>
  <si>
    <t>دعم رسائل / محمد عبد النبى</t>
  </si>
  <si>
    <t>احمد سعد بركات وشركاه المجموعه الطبيه</t>
  </si>
  <si>
    <t>محمد احمد السيد (الفرنسيه للمصاعد )</t>
  </si>
  <si>
    <t>حنان ابراهيم شراء 600 كارنيه خاص بالطلبه</t>
  </si>
  <si>
    <t xml:space="preserve">شركه فاروس للكيماويات </t>
  </si>
  <si>
    <t xml:space="preserve">الفا كميكال </t>
  </si>
  <si>
    <t xml:space="preserve">شركه انالسيز </t>
  </si>
  <si>
    <t>شركه فاروس للكيماويات شراء 10فلاسك بفلتر</t>
  </si>
  <si>
    <t>مصر للمهمات المكتبية شراء كارته رئيسيه</t>
  </si>
  <si>
    <t>مكتب السلامه شراء 4 اوتوسكوب</t>
  </si>
  <si>
    <t>مكتب العمران شراء ريبون طباعه</t>
  </si>
  <si>
    <t>مكافاه قسم التقويم مارس</t>
  </si>
  <si>
    <t>ج غير عاديه عن التحصيل</t>
  </si>
  <si>
    <t>مكافاه كورس غرس فبراير</t>
  </si>
  <si>
    <t xml:space="preserve">بسمه </t>
  </si>
  <si>
    <t>ج صندوق تكافل ابريل</t>
  </si>
  <si>
    <t>ج صندوق تكافل مايو</t>
  </si>
  <si>
    <t>ج هند رضا يونيو</t>
  </si>
  <si>
    <t>مكافاه عن السفر للجنه قطاع الدراسات</t>
  </si>
  <si>
    <t>مكافاه عن السفر لاجضار السويتشات</t>
  </si>
  <si>
    <t>مكافاه صفوت خميس ابريل</t>
  </si>
  <si>
    <t>مكافاه سنيه كامل مايو ويونيو</t>
  </si>
  <si>
    <t>مكافاه امانى عبد الحميد  مايو ويونيو</t>
  </si>
  <si>
    <t>مكافاه محمد صديق ابريل ومايو ويونيو</t>
  </si>
  <si>
    <t>مكافاه ص خ ت من ابريل الى مايو</t>
  </si>
  <si>
    <t xml:space="preserve">نسمه </t>
  </si>
  <si>
    <t>مكافاه مدير تنفيذى من 1 حتى 4/2024</t>
  </si>
  <si>
    <t>حافز اعتماد</t>
  </si>
  <si>
    <t>مكافاه تدريس</t>
  </si>
  <si>
    <t>19853م</t>
  </si>
  <si>
    <t>مكافاه اضافى مؤقتين</t>
  </si>
  <si>
    <t>مكافاه امتحانات الكترونيه ابريل</t>
  </si>
  <si>
    <t>بانسيه</t>
  </si>
  <si>
    <t>مكافاه ساعات هيئه معاونه سنه رابعه</t>
  </si>
  <si>
    <t>مكافاه ملاحظه وافدين</t>
  </si>
  <si>
    <t>عب جهاز هضمى</t>
  </si>
  <si>
    <t>مكافاه امتحان فرقه رابعه</t>
  </si>
  <si>
    <t>عب تدريس رابعه</t>
  </si>
  <si>
    <t>مكافاه منسقين البرنامج يونيو</t>
  </si>
  <si>
    <t xml:space="preserve">مكافاه وحده ضمان الجوده </t>
  </si>
  <si>
    <t>مكافاه عاملين يونيو</t>
  </si>
  <si>
    <t>مكافاه الماليزى يونيو</t>
  </si>
  <si>
    <t>مكافاه منسقين اقسام اكاديميه واكلينكيه</t>
  </si>
  <si>
    <t>مكافاه الهيكل الادارى يونيو</t>
  </si>
  <si>
    <t>مكافاه المدير التنفيذى للمجمع التعليمى بالمواساه</t>
  </si>
  <si>
    <t>مكافاه الجهاز الادارى يونيو</t>
  </si>
  <si>
    <t>مكافاه كيرسيرفيس يونيو</t>
  </si>
  <si>
    <t>مكافاه مشال ورق</t>
  </si>
  <si>
    <t>مكافاه خريف دراسات عليا</t>
  </si>
  <si>
    <t>ج ابحاث اكلينكيه</t>
  </si>
  <si>
    <t>رواتب عاملين بابحاث طبيه</t>
  </si>
  <si>
    <t>مكافاه بروتوكول ابحاث اكلينكى</t>
  </si>
  <si>
    <t>مستحقات فنى معمل ابحاث اكلينكى</t>
  </si>
  <si>
    <t>مكافاه قسم الشكاوى</t>
  </si>
  <si>
    <t>مكاقاه امتحانات الكترونيه ابريل</t>
  </si>
  <si>
    <t>مكافاه سكرتاريه د /جلال ابو النجاه</t>
  </si>
  <si>
    <t>مكافاه لجنه خدمه مجتمع</t>
  </si>
  <si>
    <t xml:space="preserve">مكافاه مكتب وكيل شؤن خدمه المجتمع </t>
  </si>
  <si>
    <t>مكافاه صندوق دعم طلابى</t>
  </si>
  <si>
    <t>مكافاه تبليغ مراقبه امتحانات</t>
  </si>
  <si>
    <t>مكافاه تصوير هشام عبد المعطى</t>
  </si>
  <si>
    <t>مكافاه بعد المواعيد دعم فنى</t>
  </si>
  <si>
    <t xml:space="preserve">مكافاه بعد المواعيد السائقين </t>
  </si>
  <si>
    <t>جهد العميد</t>
  </si>
  <si>
    <t>ج تسجيل دراسات عليا</t>
  </si>
  <si>
    <t>جهد الاضابير يونيو</t>
  </si>
  <si>
    <t>مكافاه صندوق خدمه تعليميه يونيو</t>
  </si>
  <si>
    <t>مكافاه مخازن ابريل</t>
  </si>
  <si>
    <t>ج غير عاديه حصيله دراسات</t>
  </si>
  <si>
    <t xml:space="preserve">مكافاه قسم التحصيل </t>
  </si>
  <si>
    <t>مكافاه امين مخزن عهده شهادات</t>
  </si>
  <si>
    <t>مكافاه امين مخزن العهده</t>
  </si>
  <si>
    <t>ج عميد ووكلاء يونيو</t>
  </si>
  <si>
    <t>ج غير عاديه مشتريات</t>
  </si>
  <si>
    <t>مكافاه بيان قيادات يونيو</t>
  </si>
  <si>
    <t>مكافاه بيان منسقين يونيو</t>
  </si>
  <si>
    <t>مكافاه بيان اداريين برنامج يونيو</t>
  </si>
  <si>
    <t>مكافاه بيان مؤقتين برنامج يونيو</t>
  </si>
  <si>
    <t>كسب عمل مايو</t>
  </si>
  <si>
    <t>دمغه عاديه مايو</t>
  </si>
  <si>
    <t>ضرائب متنوعه مايو</t>
  </si>
  <si>
    <t>تنميه موارد مايو</t>
  </si>
  <si>
    <t>مكافاه تدريس ثالثه</t>
  </si>
  <si>
    <t>مكافاه تدريس خامسه</t>
  </si>
  <si>
    <t>مكافاه منسقى مقررات ماجستير الغرس</t>
  </si>
  <si>
    <t>مكافاه المشاركه فى ماجستير الغرس (حكيمات )</t>
  </si>
  <si>
    <t>مكافاه المشاركه فى ماجستير الغرس (مؤقتين )</t>
  </si>
  <si>
    <t>مكافاه اداريه واشرفيه ماجستير غرس ا ه ت</t>
  </si>
  <si>
    <t>مكافاه عملى تدريس ماجستير غرس</t>
  </si>
  <si>
    <t>مكافاه  تدريس ماجستير غرس</t>
  </si>
  <si>
    <t>مكافاه تدريس رابعه</t>
  </si>
  <si>
    <t>مكافاه عمال يوميه يونيو</t>
  </si>
  <si>
    <t>مكافاه صيانه يونيو</t>
  </si>
  <si>
    <t>مكافاه تكنولوجيا معلومات يونيو</t>
  </si>
  <si>
    <t>ج عن تجهيز بيانات الوافدين</t>
  </si>
  <si>
    <t>حافز الاداء يونيو</t>
  </si>
  <si>
    <t>مكافاه مرشد اكاديمى</t>
  </si>
  <si>
    <t>ج حضور جلسات</t>
  </si>
  <si>
    <t>مكافاه وحده القياس والتقويم</t>
  </si>
  <si>
    <t>ج وحده التدريب</t>
  </si>
  <si>
    <t xml:space="preserve">مكافاه بدل حضور مجلس </t>
  </si>
  <si>
    <t>ج لجنه مراجعه البرامج</t>
  </si>
  <si>
    <t>ج رعايه استيفاء وافدين</t>
  </si>
  <si>
    <t>جهد تقفيل السنه الماليه</t>
  </si>
  <si>
    <t>ج سكرتاريه التدريب</t>
  </si>
  <si>
    <t>ج اعداد مجلس كليه</t>
  </si>
  <si>
    <t xml:space="preserve">عب تدريس باثولوجى </t>
  </si>
  <si>
    <t>مكافاه العاملين بالكليه يونيو</t>
  </si>
  <si>
    <t>ج مشتريات مايو</t>
  </si>
  <si>
    <t>ج اخلاء الدور السابع خدمات معاونه</t>
  </si>
  <si>
    <t>مكافاه عملى اجازات مايو حكيمات</t>
  </si>
  <si>
    <t>ج وحده الامن مايو</t>
  </si>
  <si>
    <t xml:space="preserve">ج شؤن خريجين اداريين </t>
  </si>
  <si>
    <t>مكافاه عملى اجازات مايو مؤقتين</t>
  </si>
  <si>
    <t>ج المهندسين لتفعيل الدفع الالكترونى مؤقتين</t>
  </si>
  <si>
    <t>مكافاه المشاركه فى البرنامج مؤقتين</t>
  </si>
  <si>
    <t>وعاء يونيو</t>
  </si>
  <si>
    <t>اجمالى 2/6/2024</t>
  </si>
  <si>
    <t>مكافاه كورس غرس مارس</t>
  </si>
  <si>
    <t>ج قسم الخزينه مايو</t>
  </si>
  <si>
    <t>ج المراجعه اللاحقه قسم الاستحقاقات مايو</t>
  </si>
  <si>
    <t>ج السفر للشراء الموحد قسم التوريدات</t>
  </si>
  <si>
    <t>مكافاه اداريه واشرفيه ربيع ا ه ت</t>
  </si>
  <si>
    <t>مكافاه اداريه واشرفيه ربيع اداريين</t>
  </si>
  <si>
    <t>ج غير عادى عن اعمال الامتياز فتره اولى اداريين</t>
  </si>
  <si>
    <t>ج اخلاء الدور السابع مؤقتين</t>
  </si>
  <si>
    <t>ج العرض المسرحى مؤقتين</t>
  </si>
  <si>
    <t>مكافاه اعمال متميزه منسقين يونيو</t>
  </si>
  <si>
    <t>مكافاه حضور مجلس اداره ا ه  ت مايو</t>
  </si>
  <si>
    <t>مكافاه اعمال متميزه اداريين يونيو</t>
  </si>
  <si>
    <t>مكافاه انتظام عملى عياده الحضرى مؤقتين</t>
  </si>
  <si>
    <t>مكافاه انتظام عملى عياده الحضرى حكيمات</t>
  </si>
  <si>
    <t>مكافاه منسقين برنامج مايو</t>
  </si>
  <si>
    <t>ج زياره الوفد الاجنبى اداريين وحكيمات</t>
  </si>
  <si>
    <t>ج العرض المسرحى اداريين</t>
  </si>
  <si>
    <t>ج مراجعه العقود اداريين</t>
  </si>
  <si>
    <t xml:space="preserve">ج مراجعه العقود محامى الكليه  </t>
  </si>
  <si>
    <t>ج تحصيل ربيع مؤقتين</t>
  </si>
  <si>
    <t>ج استخراج تاشيرات مؤقتين</t>
  </si>
  <si>
    <t>ج السفر لمطار القاهره محمد احمد حسن</t>
  </si>
  <si>
    <t>مكافاه سكاشن ليليه مايو مؤقتين</t>
  </si>
  <si>
    <t>حافز امن مؤقتين مايو</t>
  </si>
  <si>
    <t>ج زياره الوفد الاجنبى خدمات معاونه</t>
  </si>
  <si>
    <t>مكافاه اعمال اضافيه خدمات معاونه مايو</t>
  </si>
  <si>
    <t>مكافاه المشاركه فى البرنامج اداريين مايو</t>
  </si>
  <si>
    <t>مكافاه اعمال اضافيه مؤقتين مايو</t>
  </si>
  <si>
    <t>مكافاه اعمال اضافيه اداريين مايو</t>
  </si>
  <si>
    <t>ج اضابير مايو</t>
  </si>
  <si>
    <t>ج استخراج تاشيرات اداريين</t>
  </si>
  <si>
    <t>ج عمليات الشراء قسم توريدات</t>
  </si>
  <si>
    <t>مكافاه سكاشن ليليه مايو حكيمات</t>
  </si>
  <si>
    <t>مكافاه انتظام عملى مايو مؤقتين</t>
  </si>
  <si>
    <t>مكافاه انتظام عملى مايو حكيمات</t>
  </si>
  <si>
    <t>عب تدريس عظام</t>
  </si>
  <si>
    <t>عب تدريس كورس اختيارى</t>
  </si>
  <si>
    <t xml:space="preserve">مكافاه مجلس كليه </t>
  </si>
  <si>
    <t>مكافاه امتحانات</t>
  </si>
  <si>
    <t>ملاحظات لجان</t>
  </si>
  <si>
    <t>ج مركز ابحاث طبيه</t>
  </si>
  <si>
    <t xml:space="preserve">مكافاه نوباتجيه ابحاث طبيه </t>
  </si>
  <si>
    <t>ج كيرسيرفيس</t>
  </si>
  <si>
    <t>مكافاه تدريس دكتوراه</t>
  </si>
  <si>
    <t>مكافاه تدريس دراسات عليا</t>
  </si>
  <si>
    <t>مكافاه تدريس ماجستير</t>
  </si>
  <si>
    <t xml:space="preserve">مكافاه تدريس ربيع </t>
  </si>
  <si>
    <t>جهاز مشروعات الخدمه الوطنيه قيمه اعمال النظافه من 18/4/2024 الى 17/5/2024</t>
  </si>
  <si>
    <t>مكتب حمدى العقاد نصف عقد الصيانه للميكرسكوب الالكترونى</t>
  </si>
  <si>
    <t>شركه العلا للنظم الحديثه صيانه دوريه ماكينه استبيان</t>
  </si>
  <si>
    <t>هيلتون جرين بلازا</t>
  </si>
  <si>
    <t>محمد صديق محمد</t>
  </si>
  <si>
    <t>شركه النيل لصناعه واصلاح السيارات</t>
  </si>
  <si>
    <t xml:space="preserve">رد ضمان اعمال تارجت تكنولوجى </t>
  </si>
  <si>
    <t>رد ضمان اعمال شركه بافاريا</t>
  </si>
  <si>
    <t>استقطاع وثيقه تامين اجتماعى مختلط مايو اسنان (خ ت+خ عامه+تخصصى+اختبار مواد)</t>
  </si>
  <si>
    <t>اجمالى 3/6/2024</t>
  </si>
  <si>
    <t>مكافاه التميز مارس</t>
  </si>
  <si>
    <t>ج الملاعب ابريل</t>
  </si>
  <si>
    <t>اجمالى 4/6/2024 بيرول</t>
  </si>
  <si>
    <t>ج مساعد عميد ووكلاء ربيع</t>
  </si>
  <si>
    <t>ج متميز عميد ووكلاء</t>
  </si>
  <si>
    <t>ج مدير اكاديمى فارم</t>
  </si>
  <si>
    <t>تعديل تسويه 464 وتسويه 484 خاصه بسلفه عمرو عباس</t>
  </si>
  <si>
    <t>وحده حسابيه دائنون</t>
  </si>
  <si>
    <t>31/5/2024</t>
  </si>
  <si>
    <t>وحده حسابيه صناديق مايو</t>
  </si>
  <si>
    <t>وحده حسابيه مدفوعات ذاتى مايو</t>
  </si>
  <si>
    <t>30/5/2024</t>
  </si>
  <si>
    <t>وحده حسابيه مديونيات مايو</t>
  </si>
  <si>
    <t>مكافاه شؤن خريجين مؤقتين</t>
  </si>
  <si>
    <t>مكافاه اعمال الامتياز مؤقتين</t>
  </si>
  <si>
    <t>ج زياره الوفد الاجنبى مؤقتين</t>
  </si>
  <si>
    <t>مكافاه اعمال متمتيزه مؤقتين يونيو</t>
  </si>
  <si>
    <t>ج شؤن اداريه مايو مؤقتين</t>
  </si>
  <si>
    <t>مكافاه خدمات تعليميه ربيع مؤقتين</t>
  </si>
  <si>
    <t>مكافاه مزارع الكليه مايو</t>
  </si>
  <si>
    <t>ج شؤن اداريه مايو اداريين</t>
  </si>
  <si>
    <t>مكافاه خدمات تعليميه ربيع اداريين</t>
  </si>
  <si>
    <t>ج السفر للمطابع الاميريه اداريين</t>
  </si>
  <si>
    <t>ج الشفه الارنبيه حكيمات مايو</t>
  </si>
  <si>
    <t>ج تحصيل ربيع اداريين</t>
  </si>
  <si>
    <t>استرداد مبلغ حجز قاعه المؤتمرات</t>
  </si>
  <si>
    <t>استرداد مصاريف /هدير احمد مصطفى (دراسات)</t>
  </si>
  <si>
    <t>مركز البدوى لصيانه اجهزه الاتصالات قيمه اعمال  صيانه لسنترال الكليه شهر 3/4/5 /2024</t>
  </si>
  <si>
    <t>شركه نهضه مصر قيمه رفع مخلفات مايو</t>
  </si>
  <si>
    <t xml:space="preserve">شركه تريدنج ديناميك شراء مواد كيمائيه لمعمل هندسه الانسجه </t>
  </si>
  <si>
    <t>شركه لاب ميديكال شراء عود لحام</t>
  </si>
  <si>
    <t>شركه نيولاب شراء مواد خام</t>
  </si>
  <si>
    <t>شركه ايجى ميديكا اصلاح جهاز ميكرسكوب</t>
  </si>
  <si>
    <t xml:space="preserve">بدل انتقال /امل نبيه </t>
  </si>
  <si>
    <t>بدل انتقال / رشا عرفه</t>
  </si>
  <si>
    <t>بدل انتقال / سوزان حامد</t>
  </si>
  <si>
    <t>بدل انتقال / كوثر سعد</t>
  </si>
  <si>
    <t>بدل انتقال / السيد عوض</t>
  </si>
  <si>
    <t>بدل انتقال / صفاء سعيد</t>
  </si>
  <si>
    <t xml:space="preserve">بدل انتقال / ايمان حسن </t>
  </si>
  <si>
    <t>شركه كابو للهندسه والتجاره شراء 2 ماتور مياه</t>
  </si>
  <si>
    <t>رد ضمان اعمال شركه بى سى ايجيبت</t>
  </si>
  <si>
    <t>هويدا مصطفى عبد الرحيم استرداد قيمه الانذارات بعلم الوصول</t>
  </si>
  <si>
    <t xml:space="preserve">مكافاه خدمات تعليميه اطباء </t>
  </si>
  <si>
    <t>مكافاه خدمات تعليميه مدرس مساعد</t>
  </si>
  <si>
    <t>ج تفريغ البصمه اداريين</t>
  </si>
  <si>
    <t>مكافاه قسم المعاشات ربيع</t>
  </si>
  <si>
    <t>مكافاه تشجعيه قسم رعايه الشباب</t>
  </si>
  <si>
    <t>مكافاه زياره الوفد الاجنبى اداريين</t>
  </si>
  <si>
    <t>مكافاه ماليزى استعاضه مؤقتين</t>
  </si>
  <si>
    <t>مكافاه شؤن ماليه اداريين</t>
  </si>
  <si>
    <t>مكافاه شؤن ماليه مؤقتين</t>
  </si>
  <si>
    <t>مكافاه ماليزى استعاضه حكيمات</t>
  </si>
  <si>
    <t>مكافاه ماليزى تقويم حكيمات</t>
  </si>
  <si>
    <t>مكافاه ماليزى مواد حيويه حكيمات</t>
  </si>
  <si>
    <t>مكافاه ماليزى تقويم مؤقتين</t>
  </si>
  <si>
    <t>مكافاه ماليزى مواد حيويه مؤقتين</t>
  </si>
  <si>
    <t>مكافاه ماليزى طب الفم مؤقتين</t>
  </si>
  <si>
    <t>مكافاه ماليزى طب الفم حكيمات وفنيين</t>
  </si>
  <si>
    <t>مكافاه ماليزى مصاعد مؤقتين</t>
  </si>
  <si>
    <t>مكافاه ماليزى مصاعد خدمات معاونه</t>
  </si>
  <si>
    <t>مكافاه ماليزى طب اطفال حكيمات</t>
  </si>
  <si>
    <t>مكافاه ماليزى طب اطفال مؤقتين</t>
  </si>
  <si>
    <t>ج وحده امن ربيع</t>
  </si>
  <si>
    <t>مكافاه ماليزى امن ربيع</t>
  </si>
  <si>
    <t>مكافاه عيادات شامله مؤقتين</t>
  </si>
  <si>
    <t>مكافاه عيادات شامله اطباء</t>
  </si>
  <si>
    <t>ج اجازات دولى مؤقتين</t>
  </si>
  <si>
    <t>ج اجازات دولى اداريين</t>
  </si>
  <si>
    <t>مكافاه عيادات شامله اداريين وحكيمات</t>
  </si>
  <si>
    <t>مكافاه ماليزى باثولوجى مؤقتين</t>
  </si>
  <si>
    <t>ج مانشيستر ربيع اداريين</t>
  </si>
  <si>
    <t>ج مانشيستر ربيع مؤقتين</t>
  </si>
  <si>
    <t>مكافاه ماليزى بيولوجيا اداريين ربيع</t>
  </si>
  <si>
    <t>مكافاه ماليزى بيولوجيا مؤقتين ربيع</t>
  </si>
  <si>
    <t>مكافاه ماليزى علاج تحفظى ربيع حكيمات</t>
  </si>
  <si>
    <t>مكافاه ماليزى علاج تحفظى ربيع مؤقتين</t>
  </si>
  <si>
    <t>مكافاه ماليزى جراحه حكيمات</t>
  </si>
  <si>
    <t>مكافاه ماليزى جراحه مؤقتين</t>
  </si>
  <si>
    <t>مكافاه ماليزى مدرجات ربيع مؤقتين</t>
  </si>
  <si>
    <t>مكافاه ماليزى باثولوجى حكيمات وفنيين</t>
  </si>
  <si>
    <t>مكافاه 75 %كادر خدمات معاونه ابريل</t>
  </si>
  <si>
    <t>مكافاه 75 %كادر اداريين ابريل</t>
  </si>
  <si>
    <t>مكافاه 75 %كادر مؤقتين مايو</t>
  </si>
  <si>
    <t>مكافاه 75 %كادر خدمات معاونه مايو</t>
  </si>
  <si>
    <t>مكافاه 75 %كادر اداريين مايو</t>
  </si>
  <si>
    <t>مكافاه 75 %كادر اداريين يونيو</t>
  </si>
  <si>
    <t>مكافاه 75 %كادر مؤقتين يونيو</t>
  </si>
  <si>
    <t>مكافاه 75 %كادر مؤقتين واداريين يونيو</t>
  </si>
  <si>
    <t>مكافاه 75 %كادر خدمات معاونه يونيو</t>
  </si>
  <si>
    <t>ج سفر محمد احمد حسن</t>
  </si>
  <si>
    <t>مكافاه ماليزى عياده دراسات حكيمات ربيع</t>
  </si>
  <si>
    <t>مكافاه ماليزى عياده دراسات مؤقتين  ربيع</t>
  </si>
  <si>
    <t xml:space="preserve">مكافاه فرق عيد اضحى معيد </t>
  </si>
  <si>
    <t>مكافاه عيد اضحى ا ه ت</t>
  </si>
  <si>
    <t>مكافاه عيد اضحى مؤقتين</t>
  </si>
  <si>
    <t>مكافاه عيد اضحى خدمات معاونه</t>
  </si>
  <si>
    <t>مكافاه عيد اضحى باليوميه</t>
  </si>
  <si>
    <t>مكافاه عيد اضحى ا متفرغ</t>
  </si>
  <si>
    <t>مكافاه عيد اضحى معيدين</t>
  </si>
  <si>
    <t>مكافاه عيد اضحى طبيب امتياز</t>
  </si>
  <si>
    <t>مكافاه عيد اضحى حكيمات</t>
  </si>
  <si>
    <t>مكافاه عيد اضحى اداريين</t>
  </si>
  <si>
    <t>مكافاه عيد اضحى اداريين وفنيين</t>
  </si>
  <si>
    <t>مكافاه عيد اضحى حرس</t>
  </si>
  <si>
    <t>مكافاه عيد اضحى صيدله ذاتى</t>
  </si>
  <si>
    <t>مكافاه عيد اضحى عمال يوميه</t>
  </si>
  <si>
    <t>مكافاه عيد اضحى متعاقدين</t>
  </si>
  <si>
    <t>مكافاه عيد اضحى دائمين</t>
  </si>
  <si>
    <t>مكافاه عيد اضحى فنيين</t>
  </si>
  <si>
    <t>وافدين مستشفيات يناير</t>
  </si>
  <si>
    <t>وافدين مستشفيات فبراير</t>
  </si>
  <si>
    <t>وافدين مستشفيات مارس</t>
  </si>
  <si>
    <t>وافدين مستشفيات ابريل</t>
  </si>
  <si>
    <t>اجمالى 5/6/2024</t>
  </si>
  <si>
    <t>مكافاه التقفيل المالى</t>
  </si>
  <si>
    <t>مكافاه لجنه دعم رسائل</t>
  </si>
  <si>
    <t>م خ ت ابريل</t>
  </si>
  <si>
    <t>مكافاه خدمات تعليميه ربيع</t>
  </si>
  <si>
    <t>مكافاه ختم النسر</t>
  </si>
  <si>
    <t>مكافاه ميزانيه تخصصى 20-21</t>
  </si>
  <si>
    <t>مكافاه مراقب مالى 20-21</t>
  </si>
  <si>
    <t>مكافاه فائض تخصصى 20-21</t>
  </si>
  <si>
    <t>مكافاه مراقب مالى 21-22</t>
  </si>
  <si>
    <t>مكافاه ميزانيه تخصصى 21-22</t>
  </si>
  <si>
    <t>مكافاه فائض تخصصى 21-22</t>
  </si>
  <si>
    <t>مكافاه مجلس اداره تخصصى 20-21</t>
  </si>
  <si>
    <t>مكافاه مجلس اداره تخصصى 21-22</t>
  </si>
  <si>
    <t>مكافاه 75 %يونيو اداريين</t>
  </si>
  <si>
    <t>دائن باسم وائل بسيونى</t>
  </si>
  <si>
    <t>مكافاه 75 %يونيو يوميه</t>
  </si>
  <si>
    <t>مكافاه برنامج دولى فصل ربيع اداريين</t>
  </si>
  <si>
    <t>مكافاه برنامج دولى فصل ربيع خدمات معاونه</t>
  </si>
  <si>
    <t>مكافاه برنامج دولى فصل ربيع نوران نزيه</t>
  </si>
  <si>
    <t>مكافاه برنامج دولى فصل ربيع مؤقتين</t>
  </si>
  <si>
    <t>مكافاه تدريس دراسات عليا ا متفرغ</t>
  </si>
  <si>
    <t>مكافاه تدريس دراسات عليا ا ه ت ربيع</t>
  </si>
  <si>
    <t>مكافاه برنامج دولى قسم دراسات عليا مؤقتين</t>
  </si>
  <si>
    <t>مكافاه برنامج دولى قسم دراسات عليا اداريين</t>
  </si>
  <si>
    <t>مكافاه العاملين مايو</t>
  </si>
  <si>
    <t>مكافاه المدير التنفيذى مايو</t>
  </si>
  <si>
    <t>مكافاه عميد الكليه مايو</t>
  </si>
  <si>
    <t>مكافاه التميز ابريل</t>
  </si>
  <si>
    <t>حكم محكمه / محمد احمد زكى</t>
  </si>
  <si>
    <t>حكم محكمه / محمد حسنين</t>
  </si>
  <si>
    <t>امتحانات الكترونيه</t>
  </si>
  <si>
    <t>م امتحان امانى محمد</t>
  </si>
  <si>
    <t>مكافاه امتحانات دراسات</t>
  </si>
  <si>
    <t>مكافاه البيان هانذاده على</t>
  </si>
  <si>
    <t>مكافاه مشال تكييفات</t>
  </si>
  <si>
    <t>مكافاه امتحانات ربيع</t>
  </si>
  <si>
    <t>ج محمد بركات</t>
  </si>
  <si>
    <t>ج سعد الكومى</t>
  </si>
  <si>
    <t>مكافاه اخلاقيات</t>
  </si>
  <si>
    <t>حافز امن حسن محمد</t>
  </si>
  <si>
    <t>تدريس وحده كلى</t>
  </si>
  <si>
    <t>فرق اشراف احمد ابراهيم</t>
  </si>
  <si>
    <t>اجمالى 6/6/2024</t>
  </si>
  <si>
    <t>ربيع محمد حسن شراء جهاز</t>
  </si>
  <si>
    <t>ربيع محمد حسن شراء ميزان</t>
  </si>
  <si>
    <t>شركه هشام خليفه شراء الات حاسبه ودباسه</t>
  </si>
  <si>
    <t>دعم رسائل ندا محمد</t>
  </si>
  <si>
    <t xml:space="preserve">تكنوساينت للاجهزه العلميه </t>
  </si>
  <si>
    <t xml:space="preserve">رد ضمان اعمال النصر للخدمات </t>
  </si>
  <si>
    <t>شركه ايكوم للتنظيم والتسويق</t>
  </si>
  <si>
    <t>شركه ديجيتك اصلاح ماكينه تصوير</t>
  </si>
  <si>
    <t xml:space="preserve">شركه مصر للهندسه والتجاره </t>
  </si>
  <si>
    <t>بدل انتقال احمد محمد احمد</t>
  </si>
  <si>
    <t>شركه كلينلاب صيانه جهاز</t>
  </si>
  <si>
    <t>شركه نوركولينج صيانه جهاز تكييف</t>
  </si>
  <si>
    <t>شركه ديسكفرى  صيانه ديزل</t>
  </si>
  <si>
    <t>شركه بيوميديو ايجيبت صيانه جهاز</t>
  </si>
  <si>
    <t>شركه الزهراء للتوريدات شراء اظرف</t>
  </si>
  <si>
    <t>مؤسسه الفتح للتوريدات شراء 100 قلب خلاط ايطالى</t>
  </si>
  <si>
    <t>شركه الزهراء للتوريدات شراءزيت موتور للسياره و2 جركن زيت</t>
  </si>
  <si>
    <t>سالم محمد سالم (ايكوال للتجاره ) شراء كوفى بريك</t>
  </si>
  <si>
    <t>شركه تكنوويف صيانه 161 وحده اسنان dci و25 وحده kavo من 25/10/2023الى 24/1/2024</t>
  </si>
  <si>
    <t>شركه تكنوويف صيانه 161 وحده اسنان dci و25 وحده kavo من 25/7/2023الى 24/10/2024</t>
  </si>
  <si>
    <t xml:space="preserve">شركه بايوتك اصلاح جهاز صب الشمع </t>
  </si>
  <si>
    <t xml:space="preserve">استرداد مصروفات / عمار احمد </t>
  </si>
  <si>
    <t xml:space="preserve">اجمالى 30/5/2024 تسويات </t>
  </si>
  <si>
    <t>اجمالى 31/5/2024 تسويات</t>
  </si>
  <si>
    <t>سداد سلفه مؤقته / رشيد احمد الصاوى</t>
  </si>
  <si>
    <t xml:space="preserve">سداد سلفه مؤقته/ هبه الله محمد السعيد </t>
  </si>
  <si>
    <t xml:space="preserve">سداد سلفه مؤقته /فريد مصطفى </t>
  </si>
  <si>
    <t>الهيئه المصريه للشراء الموحد شراء خامات (اسنان )</t>
  </si>
  <si>
    <t>تسويه شراء مطبوعات باسم / احمد شعبا ن (اسنان )</t>
  </si>
  <si>
    <t>نقل بنود لظبط مرتبات يونيو</t>
  </si>
  <si>
    <t>اجمالى 4/6/2024 تسويات</t>
  </si>
  <si>
    <t>محمد صديق محمد استرداد مبلغ انهاء تراخيص</t>
  </si>
  <si>
    <t>جهاز صناعات والخدمات البحريه 25% دفعه مقدمه لعمليه مقاومه ترميم واصلاح مكاتب ا ه ت وغرفه العمليات بقسم التقويم بالمبنى القديم</t>
  </si>
  <si>
    <t xml:space="preserve">الشركه القابضه لمياه الشرب </t>
  </si>
  <si>
    <t>اجمالى 8/6/2024</t>
  </si>
  <si>
    <t>التامين الصحى - شمال غرب الدلتا مطاليه ماليه للكشف السنوى</t>
  </si>
  <si>
    <t>اجمالى 7/6/2024 بيرول</t>
  </si>
  <si>
    <t>عكس استماره 12970</t>
  </si>
  <si>
    <t>عكس استماره 12997</t>
  </si>
  <si>
    <t>عكس استماره 12630</t>
  </si>
  <si>
    <t>تعديل استماره 12438</t>
  </si>
  <si>
    <t>تعديل استماره 12428</t>
  </si>
  <si>
    <t>تعديل استماره 12503</t>
  </si>
  <si>
    <t>تعديل استماره 12690</t>
  </si>
  <si>
    <t>تعديل استماره 12647</t>
  </si>
  <si>
    <t>اعاده ادخال استماره 12970</t>
  </si>
  <si>
    <t>اعاده ادخال استماره 12997</t>
  </si>
  <si>
    <t>اعاده ادخال استماره 12630</t>
  </si>
  <si>
    <t>مكافاه نظام الشيفت</t>
  </si>
  <si>
    <t>ج مكتب وكيل شؤن مجتمع</t>
  </si>
  <si>
    <t>مكافاه متابعه امتحانات</t>
  </si>
  <si>
    <t>ج مريم ناجى</t>
  </si>
  <si>
    <t>ج شؤن عاملين</t>
  </si>
  <si>
    <t>مكافاه امنيه مصطفى</t>
  </si>
  <si>
    <t>مكافاه ايمان شعبان</t>
  </si>
  <si>
    <t>ج ا ه ت</t>
  </si>
  <si>
    <t>مكافاه لجنه دعم نفسى</t>
  </si>
  <si>
    <t>مكافاه لجنه دراسات</t>
  </si>
  <si>
    <t>مكافاه مشروع داء نشوائى</t>
  </si>
  <si>
    <t>مكافاه ترجمه مكتب الوكيل</t>
  </si>
  <si>
    <t>مكافاه سكرتاريه طب العيون</t>
  </si>
  <si>
    <t>ج مانشيستر</t>
  </si>
  <si>
    <t xml:space="preserve">مكافاه قسم المعاشات </t>
  </si>
  <si>
    <t>مكافاه اللجنه الطبيه</t>
  </si>
  <si>
    <t>مكافاه عمرو عبد الواحد</t>
  </si>
  <si>
    <t>مكافاه التواجد بالعطلالت الرسميه</t>
  </si>
  <si>
    <t>مكافاه قاعده بيانات ا ه ت</t>
  </si>
  <si>
    <t>مكافاه تخفيض مطالبات ضرائب</t>
  </si>
  <si>
    <t>مكافاه اعمال اضافيه مكتب العميد</t>
  </si>
  <si>
    <t>مكافاه العاملين بالشيفت</t>
  </si>
  <si>
    <t>مكافاه تدريس وافدين</t>
  </si>
  <si>
    <t>ايمان</t>
  </si>
  <si>
    <t>مكافاه مديرين وحدات جراحه</t>
  </si>
  <si>
    <t>م21714</t>
  </si>
  <si>
    <t>حكم قضائى / ساميه عبد الفتاح</t>
  </si>
  <si>
    <t>حكم قضائى / محمد مصطفى</t>
  </si>
  <si>
    <t>حكم قضائى / عزه فتحى</t>
  </si>
  <si>
    <t>حكم قضائى / سلوى السيد</t>
  </si>
  <si>
    <t>حكم قضائى / اسماء محمود</t>
  </si>
  <si>
    <t>حكم قضائى / هويدا عطيه</t>
  </si>
  <si>
    <t>حكم قضائى / ايمان احمد</t>
  </si>
  <si>
    <t>حكم قضائى / حنان كمال</t>
  </si>
  <si>
    <t>حكم قضائى / شعبان محمد</t>
  </si>
  <si>
    <t>حكم قضائى / احمد فوزى</t>
  </si>
  <si>
    <t>م تدريس دراسات فسيولوجيا طبية</t>
  </si>
  <si>
    <t>م تدريس دراسات باثولوجى اكلينيكى</t>
  </si>
  <si>
    <t>م تدريس دراسات كيمياء حيوية</t>
  </si>
  <si>
    <t>م تدريس دراسات طب المجتمع</t>
  </si>
  <si>
    <t>م تدريس دراسا ت فارما كولوجى اكلينيكى</t>
  </si>
  <si>
    <t>م ص خ ت استحقاقات /ابريل-مايو-يونيو</t>
  </si>
  <si>
    <t>م ص خ ت اداريين وعمال /مايو-يونيو</t>
  </si>
  <si>
    <t xml:space="preserve">م سفر /احمد اسماعيل </t>
  </si>
  <si>
    <t>م سفر / صفوت خميس</t>
  </si>
  <si>
    <t>م سفر / محمد صديق</t>
  </si>
  <si>
    <t>م انتداب محامى صيدلة /ابريل -مايو -يونيو</t>
  </si>
  <si>
    <t>م انتداب مهندس الكهربا /ابريل -مايو -يونيو</t>
  </si>
  <si>
    <t>م ج غ عادية /حنان رفعت -ابريل -مايو -يونيو</t>
  </si>
  <si>
    <t>م ج غ عادية بعد مواعيد العمل /ابريل -مايو -يونيو</t>
  </si>
  <si>
    <t>م ص خ ت اعمال النظافة /ابريل -مايو -يونيو</t>
  </si>
  <si>
    <t>م ص خ ت عهدة الختم /ابريل -مايو-يونيو</t>
  </si>
  <si>
    <t>م ص خ ت لائحة /ابريل مايو يونيو</t>
  </si>
  <si>
    <t>م ص خ ت فاصل موازنة /ابريل مايو يونيو</t>
  </si>
  <si>
    <t>م مرشدين تدريس ربيع</t>
  </si>
  <si>
    <t>م اشراف على تدريب خاص</t>
  </si>
  <si>
    <t>م تدريس ربيع من الداخل</t>
  </si>
  <si>
    <t xml:space="preserve">م تدريس دراسات عليا ربيع </t>
  </si>
  <si>
    <t>م تدريس ربيع من الداخل اساتذة</t>
  </si>
  <si>
    <t>م تدريس ربيع من الداخل فرق اساتذة</t>
  </si>
  <si>
    <t>م موظفين ربيع 2024</t>
  </si>
  <si>
    <t>م اعمال تدريس ا مساعد</t>
  </si>
  <si>
    <t>م ص خ ت احتياطى مايو</t>
  </si>
  <si>
    <t>م ص خ ت ذاتى مايو</t>
  </si>
  <si>
    <t>مكافاه اطباء امتيازمارس</t>
  </si>
  <si>
    <t>مكافاه وحده الخدمه مايو</t>
  </si>
  <si>
    <t>مكافاه ميزانيه 21-22</t>
  </si>
  <si>
    <t>مكافاه فائض ميزانيه 21-22</t>
  </si>
  <si>
    <t>مكافاه مجلس اداره</t>
  </si>
  <si>
    <t>مكافاه عاملين بوحده بيت الحيوان ابريل</t>
  </si>
  <si>
    <t>ج نشاط الميكرسكوب الالكترونى ابريل</t>
  </si>
  <si>
    <t>علاوه شهريه الميكرسكوب الالكترونى ابريل</t>
  </si>
  <si>
    <t>تعديل استماره 13312</t>
  </si>
  <si>
    <t>مكافاه وحده اختبار مواد مايو</t>
  </si>
  <si>
    <t>مكافاه ايرادات مجله ابريل</t>
  </si>
  <si>
    <t>مكافاه ايرادات مجله مايو</t>
  </si>
  <si>
    <t>مكافاه عيد الفطر الاء ياسر</t>
  </si>
  <si>
    <t>مكافاه 75 % كادر يونيو اسام مصطفى</t>
  </si>
  <si>
    <t>حكم قضائى ا د / تيسير على ابراهيم عن فرق م امتحان</t>
  </si>
  <si>
    <t>حكم قضائى ا د / امل رضوان عن فرق م امتحان</t>
  </si>
  <si>
    <t>حكم قضائى ا د / حامد محمد انور عن فرق م امتحان</t>
  </si>
  <si>
    <t xml:space="preserve">مستشفيات الجامعه قيمه المديونيه لشركه يونيون اير </t>
  </si>
  <si>
    <t>مكافاه لجنه دراسات عليا منير عوض مايو</t>
  </si>
  <si>
    <t xml:space="preserve">كسب </t>
  </si>
  <si>
    <t>عاديه</t>
  </si>
  <si>
    <t>مكافاه اطباء امتياز ابريل</t>
  </si>
  <si>
    <t>مكافاه كورس الغرس ابريل</t>
  </si>
  <si>
    <t>مكافاه كورس الغرس مايو</t>
  </si>
  <si>
    <t>مكافاه تدريس من الداخل ربيع</t>
  </si>
  <si>
    <t>استرداد حصه/ منال محمد سبيع</t>
  </si>
  <si>
    <t>تعديل بنود (تم ترحيل الرقم فى شهر مايو )</t>
  </si>
  <si>
    <t xml:space="preserve">سلفه مستديمه احمد عبد الهادى </t>
  </si>
  <si>
    <t>بدون نموذج معاشات</t>
  </si>
  <si>
    <t>اجمالى 9/6/2024</t>
  </si>
  <si>
    <t>مرتبات مؤقتين يونيو</t>
  </si>
  <si>
    <t>ج فاصل تعليمى ابريل ومايو</t>
  </si>
  <si>
    <t>اجمالى 12/6/2024</t>
  </si>
  <si>
    <t xml:space="preserve">رعايه طفل سمر سامى </t>
  </si>
  <si>
    <t>استقطاع اتصالات جروب يونيو</t>
  </si>
  <si>
    <t>استقطاع اتوبيس الجامعه يونيو</t>
  </si>
  <si>
    <t>استقطاع اشتراك اللجنه النقابيه يونيو</t>
  </si>
  <si>
    <t>استقطاع الجمعيه التعاونيه يونيو</t>
  </si>
  <si>
    <t>استقطاع اللجنه النقابيه يونيو</t>
  </si>
  <si>
    <t>استقطاع النقابه العامه يونيو</t>
  </si>
  <si>
    <t>استقطاع الهيئه القوميه للتامين الاجتماعى يونيو</t>
  </si>
  <si>
    <t>استقطاع جمعيه الخدمات يونيو</t>
  </si>
  <si>
    <t>استقطاع سيجينال يونيو</t>
  </si>
  <si>
    <t>استقطاع اورانج يونيو</t>
  </si>
  <si>
    <t>استقطاع مصر لتامينات الحياه يونيو</t>
  </si>
  <si>
    <t>استقطاع صندوق التكافل الاجتماعى يونيو</t>
  </si>
  <si>
    <t>استقطاع صندوق تكريم الشهداء يونيو</t>
  </si>
  <si>
    <t>استقطاع صندوق دعم ذوى الاعاقه يونيو</t>
  </si>
  <si>
    <t>ضريبه الدخل يونيو</t>
  </si>
  <si>
    <t>ضريبه الدمغه يونيو</t>
  </si>
  <si>
    <t xml:space="preserve">استقطاع قرض التكافل يونيو </t>
  </si>
  <si>
    <t>استقطاع نقابه العاملين يونيو</t>
  </si>
  <si>
    <t>الهيئه القوميه للتامين الاجتماعى (معاشات يونيو)</t>
  </si>
  <si>
    <t>سداد ارباب العهد يونيو</t>
  </si>
  <si>
    <t>استقطاع نفقه سهيله محمد يونيو</t>
  </si>
  <si>
    <t>قيد تضمنى مرتبات ا ه ت واداريين مايو</t>
  </si>
  <si>
    <t xml:space="preserve">قيد تضمنى مكافاه رمضان </t>
  </si>
  <si>
    <t>قيد تضمنى مرتبات ا ه ت واداريين يونيو</t>
  </si>
  <si>
    <t>اجمالى 12/6/2024 تسويات</t>
  </si>
  <si>
    <t>دمغه عاديه يونيو</t>
  </si>
  <si>
    <t>كسب عمل يونيو</t>
  </si>
  <si>
    <t>ضرائب متنوعه يونيو</t>
  </si>
  <si>
    <t>تنميه موارد يونيو</t>
  </si>
  <si>
    <t>استقطاع وثيقه تامين اجتماعى مختلط يونيو (صيدله )</t>
  </si>
  <si>
    <t>استقطاع قرض حسن يونيو (صيدله )</t>
  </si>
  <si>
    <t>استقطاع وثيقه تامين اجتماعى مختلط يونيو (طب )</t>
  </si>
  <si>
    <t>استقطاع وثيقه تامين اجتماعى مختلط يونيو (اسنان )</t>
  </si>
  <si>
    <t>سداد ارباح تجاريه من ابريل الى يونيو2024</t>
  </si>
  <si>
    <t>سداد النقابه الهندسيه والتطبقيه من فبراير الى يونيو(مجمعه )</t>
  </si>
  <si>
    <t>اجمالى 23/6/2024</t>
  </si>
  <si>
    <t>ق توريد 855533</t>
  </si>
  <si>
    <t>ق توريد 855926</t>
  </si>
  <si>
    <t>ق توريد 855928</t>
  </si>
  <si>
    <t>ق توريد 855541</t>
  </si>
  <si>
    <t>ق توريد 855534</t>
  </si>
  <si>
    <t>ق توريد 855924</t>
  </si>
  <si>
    <t>ق توريد 855532</t>
  </si>
  <si>
    <t>ق توريد 855927</t>
  </si>
  <si>
    <t>ق توريد 855538</t>
  </si>
  <si>
    <t>ق توريد 855925</t>
  </si>
  <si>
    <t>ق توريد 855540</t>
  </si>
  <si>
    <t>مرتدات باب خامس</t>
  </si>
  <si>
    <t>ق توريد 855537 باقى سلفه رشيد احمد الصاوى</t>
  </si>
  <si>
    <t>خطاب ضمان حسن محمد عباس (طب )</t>
  </si>
  <si>
    <t>خطاب ضمان كابو للهندسه والتجاره (صيدله )</t>
  </si>
  <si>
    <t>من مطلوبات الى ديون حكوميه د/ مصطفى الحمامى</t>
  </si>
  <si>
    <t>من تامين نهائى الى ايراد (مبالغ مضى عليها المده القانونيه )</t>
  </si>
  <si>
    <t>من ضمان اعمال الى ايراد (مبالغ مضى عليها المده القانونيه )</t>
  </si>
  <si>
    <t>وحده حسابيه صناديق من 1/6 الى 7/6/2024</t>
  </si>
  <si>
    <t>وحده حسابيه صناديق من 8/6 الى 14/6/2024</t>
  </si>
  <si>
    <t>وحده حسابيه مدفوعات من 1/6 الى 7/6/2024</t>
  </si>
  <si>
    <t>وحده حسابيه مدفوعات من 8/6 الى 14/6/2024</t>
  </si>
  <si>
    <t xml:space="preserve">اجمالى 24/6/2024 تسويات </t>
  </si>
  <si>
    <t>من ايرادات دولى طب وماليزى اسنان الى وحده حسابيه</t>
  </si>
  <si>
    <t>25/6/2024</t>
  </si>
  <si>
    <t>اقفال بوقى قيود اوامر الدفع ختامى 23/24</t>
  </si>
  <si>
    <t>ق توريد 855543</t>
  </si>
  <si>
    <t>ق توريد 855542</t>
  </si>
  <si>
    <t>كشف بنك مايعادل بادولار من 1/1 الى 30/4/2024</t>
  </si>
  <si>
    <t>اجمالى 25/6/2024 تسويات</t>
  </si>
  <si>
    <t>باب خامس تم خصمه من الايراد فى gf</t>
  </si>
  <si>
    <t>باب خامس تم خصمه من الايراد فى gf ومبلغ (6445.5خصم من الايراد خاص بالعموله البنكيه)</t>
  </si>
  <si>
    <t>24/6/2024</t>
  </si>
  <si>
    <t xml:space="preserve">ضمان اعمال مضى عليها المده القانونيه </t>
  </si>
  <si>
    <t xml:space="preserve">رد ضمان اعمال مبالغ تم صرفها مرتين </t>
  </si>
  <si>
    <t>اقفال باقى قيود يوميه ختامى 23/24</t>
  </si>
  <si>
    <t xml:space="preserve">مبالغ قيود تضمنيه تم صرفها بالزياده </t>
  </si>
  <si>
    <t>بواقى قيود</t>
  </si>
  <si>
    <t>ظبط استماره 75 خاص بظبط فروع النقابات</t>
  </si>
  <si>
    <t>ظبط استماره 75 خاص بظبط الدمغات والارباح</t>
  </si>
  <si>
    <t>اجمالى 24/6/2024 تسويات جزء 2 من ت 610 الى 613</t>
  </si>
  <si>
    <t xml:space="preserve">ظبط استماره 75 بمبلغ 10 ج من نقابه الى تنميه </t>
  </si>
  <si>
    <t>ظبط استماره 75 من عموله تحصيل الى ايراد</t>
  </si>
  <si>
    <t>ظبط استماره 75 للاستقطاعات والمعاشات</t>
  </si>
  <si>
    <t>اجمالى 24/6 + 25 /6 تسويات</t>
  </si>
  <si>
    <t>قيد تضمنى حافز مالى اضافى من يوليو الى يونيو</t>
  </si>
  <si>
    <t>26/6/2024</t>
  </si>
  <si>
    <t>قيد تضمنى جوده و50 %+200</t>
  </si>
  <si>
    <t>وحده حسابيه صناديق من 14/6 الى 25/6/2024</t>
  </si>
  <si>
    <t>وحده حسابيه مدفوعات من 13/6 الى 26/6/2024</t>
  </si>
  <si>
    <t>وحده حسابيه صناديق يونيو</t>
  </si>
  <si>
    <t>وحده حسابيه مدفوعات تسويه لظبط استماره 75</t>
  </si>
  <si>
    <t>ق توريد 855546</t>
  </si>
  <si>
    <t>ق توريد 855545</t>
  </si>
  <si>
    <t>ق توريد 855544</t>
  </si>
  <si>
    <t>ظبط فروع اوامر الدفع</t>
  </si>
  <si>
    <t>خطاب ضمان شركه ايى بى اس (طب )</t>
  </si>
  <si>
    <t xml:space="preserve">مركز مؤتمرات </t>
  </si>
  <si>
    <t>كشف بنك من 1/4 الى 13/6/2024</t>
  </si>
  <si>
    <t>كشف بنك من 1/5 الى 13/6/2024</t>
  </si>
  <si>
    <t>27/6/2024</t>
  </si>
  <si>
    <t>تحسين خدمات صحية</t>
  </si>
  <si>
    <t>اجمالى 26/6/2024 تسويات</t>
  </si>
  <si>
    <t xml:space="preserve">تعديل تسويه 602 مايعادل دولار من وحده الى بنك بمبلغ 208803338.17 ج </t>
  </si>
  <si>
    <t>ق توريد 855931</t>
  </si>
  <si>
    <t>كشف بنك من 23/6 الى 26/6/2024</t>
  </si>
  <si>
    <t>ق توريد 855930</t>
  </si>
  <si>
    <t>ق توريد 855932</t>
  </si>
  <si>
    <t>ق توريد 855929</t>
  </si>
  <si>
    <t>تعديل تسويه 628</t>
  </si>
  <si>
    <t>اجمالى 27/6/2024 تسويات</t>
  </si>
  <si>
    <t>وحده حسابيه مناقله خصم من ايرادات باب ثالث واضافه الى وحده باب ثانى (ظبط موقف مالى )</t>
  </si>
  <si>
    <t>وحده حسابيه مناقله من وحده ايرادات باب ثالث اضافه الى وحده صناديق (لظبط موقف مالى )</t>
  </si>
  <si>
    <t xml:space="preserve"> وحده حسابيه مناقله خصما من وحده باب اول اضافه الى ايرادات باب ثالث (ظبط موقف مالى )</t>
  </si>
  <si>
    <t xml:space="preserve"> وحده حسابيه مناقله خصم من باب رابع اضافه الى ايرادات باب ثالث ( ظبط موقف مالى )</t>
  </si>
  <si>
    <t>وحده حسابيه مناقله خصما من وحده صناديق اضافه وحده دائنون (ظبط موقف مالى )</t>
  </si>
  <si>
    <t>وحده حسابيه مناقله من وحده مدينون اضافه الى وحده صناديق (ظبط موقف مالى )</t>
  </si>
  <si>
    <t>من وحده حسابيه ايرادت الى وحده باب اول</t>
  </si>
  <si>
    <t>وحده حسابيه صناديق من 14/6 الى 27/6/2024</t>
  </si>
  <si>
    <t xml:space="preserve">وحده حسابيه خصما من وحده حسابيه ايرادات اضافه الى وحده حسابيه صناديق </t>
  </si>
  <si>
    <t xml:space="preserve">قيد تضمنى من باب اول الى ايرادات </t>
  </si>
  <si>
    <t>30/6/2024</t>
  </si>
  <si>
    <t>29/6/2024</t>
  </si>
  <si>
    <t>اجمالى 29/6/2024 تسويات</t>
  </si>
  <si>
    <t>تسويه ضمان اعمال وايراد</t>
  </si>
  <si>
    <t>ظبط بنود</t>
  </si>
  <si>
    <t>وحده حسابيه مناقله خصم من وحده دائنون اضافه الى وحده صناديق (ظبط موقف مالى )</t>
  </si>
  <si>
    <t>وحده حسابيه (مناقله من وحده الى وحده )</t>
  </si>
  <si>
    <t>ضبط المبالغ المدفوعه مقدما بمبلغ 110000</t>
  </si>
  <si>
    <t>من وحده حسابيه باب اول وثانى ورابع الى وحده حسابيه ايرادات</t>
  </si>
  <si>
    <t>فائض مرحل عام 2023-2024</t>
  </si>
  <si>
    <t>فائض مرحل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</si>
</sst>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2010000]d/mm/yyyy;@"/>
    <numFmt numFmtId="165" formatCode="0.0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theme="1"/>
      <name val="Arial Black"/>
      <family val="2"/>
    </font>
    <font>
      <b/>
      <sz val="12"/>
      <color rgb="FFFF0000"/>
      <name val="Calibri"/>
      <family val="2"/>
      <scheme val="minor"/>
    </font>
    <font>
      <b/>
      <sz val="12"/>
      <name val="Arial"/>
      <family val="2"/>
    </font>
    <font>
      <b/>
      <sz val="14"/>
      <color theme="1"/>
      <name val="Arial"/>
      <family val="2"/>
    </font>
    <font>
      <b/>
      <sz val="14"/>
      <color rgb="FF000000"/>
      <name val="Arial"/>
      <family val="2"/>
    </font>
    <font>
      <b/>
      <sz val="14"/>
      <color theme="1"/>
      <name val="Calibri"/>
      <family val="2"/>
      <scheme val="minor"/>
    </font>
    <font>
      <b/>
      <sz val="14"/>
      <color theme="1"/>
      <name val="Arial Black"/>
      <family val="2"/>
    </font>
    <font>
      <b/>
      <sz val="14"/>
      <name val="Arial"/>
      <family val="2"/>
    </font>
    <font>
      <b/>
      <sz val="14"/>
      <color rgb="FFFF0000"/>
      <name val="Arial"/>
      <family val="2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BEBA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64">
    <xf numFmtId="0" fontId="0" fillId="0" borderId="0" xfId="0"/>
    <xf numFmtId="14" fontId="2" fillId="2" borderId="1" xfId="0" applyNumberFormat="1" applyFont="1" applyFill="1" applyBorder="1" applyAlignment="1">
      <alignment horizontal="center" vertical="center" shrinkToFit="1"/>
    </xf>
    <xf numFmtId="0" fontId="2" fillId="2" borderId="1" xfId="0" applyFont="1" applyFill="1" applyBorder="1" applyAlignment="1">
      <alignment horizontal="center" vertical="center" shrinkToFit="1"/>
    </xf>
    <xf numFmtId="2" fontId="2" fillId="0" borderId="1" xfId="0" applyNumberFormat="1" applyFont="1" applyBorder="1" applyAlignment="1">
      <alignment horizontal="center" vertical="center" shrinkToFit="1"/>
    </xf>
    <xf numFmtId="2" fontId="2" fillId="2" borderId="1" xfId="0" applyNumberFormat="1" applyFont="1" applyFill="1" applyBorder="1" applyAlignment="1">
      <alignment horizontal="center" vertical="center" shrinkToFit="1"/>
    </xf>
    <xf numFmtId="2" fontId="3" fillId="3" borderId="1" xfId="0" applyNumberFormat="1" applyFont="1" applyFill="1" applyBorder="1" applyAlignment="1">
      <alignment horizontal="center" vertical="center" wrapText="1" shrinkToFit="1"/>
    </xf>
    <xf numFmtId="2" fontId="3" fillId="2" borderId="1" xfId="0" applyNumberFormat="1" applyFont="1" applyFill="1" applyBorder="1" applyAlignment="1">
      <alignment horizontal="center" vertical="center" wrapText="1" shrinkToFit="1"/>
    </xf>
    <xf numFmtId="2" fontId="3" fillId="4" borderId="1" xfId="0" applyNumberFormat="1" applyFont="1" applyFill="1" applyBorder="1" applyAlignment="1">
      <alignment horizontal="center" vertical="center" wrapText="1" shrinkToFit="1"/>
    </xf>
    <xf numFmtId="2" fontId="3" fillId="5" borderId="1" xfId="0" applyNumberFormat="1" applyFont="1" applyFill="1" applyBorder="1" applyAlignment="1">
      <alignment horizontal="center" vertical="center" wrapText="1" shrinkToFit="1"/>
    </xf>
    <xf numFmtId="2" fontId="2" fillId="0" borderId="1" xfId="0" applyNumberFormat="1" applyFont="1" applyBorder="1" applyAlignment="1">
      <alignment horizontal="center" vertical="center" wrapText="1" shrinkToFit="1"/>
    </xf>
    <xf numFmtId="2" fontId="2" fillId="4" borderId="1" xfId="0" applyNumberFormat="1" applyFont="1" applyFill="1" applyBorder="1" applyAlignment="1">
      <alignment horizontal="center" vertical="center" shrinkToFit="1"/>
    </xf>
    <xf numFmtId="0" fontId="3" fillId="0" borderId="1" xfId="0" applyFont="1" applyBorder="1" applyAlignment="1">
      <alignment horizontal="center" vertical="center" wrapText="1" shrinkToFit="1"/>
    </xf>
    <xf numFmtId="0" fontId="3" fillId="2" borderId="1" xfId="0" applyFont="1" applyFill="1" applyBorder="1" applyAlignment="1">
      <alignment horizontal="center" vertical="center" wrapText="1" shrinkToFit="1"/>
    </xf>
    <xf numFmtId="2" fontId="2" fillId="2" borderId="1" xfId="0" applyNumberFormat="1" applyFont="1" applyFill="1" applyBorder="1" applyAlignment="1">
      <alignment horizontal="center" vertical="center" wrapText="1" shrinkToFit="1"/>
    </xf>
    <xf numFmtId="2" fontId="2" fillId="4" borderId="1" xfId="0" applyNumberFormat="1" applyFont="1" applyFill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 shrinkToFit="1"/>
    </xf>
    <xf numFmtId="14" fontId="2" fillId="0" borderId="1" xfId="0" applyNumberFormat="1" applyFont="1" applyBorder="1" applyAlignment="1">
      <alignment horizontal="center" vertical="center" shrinkToFit="1"/>
    </xf>
    <xf numFmtId="0" fontId="2" fillId="0" borderId="1" xfId="0" applyFont="1" applyBorder="1" applyAlignment="1">
      <alignment horizontal="center" vertical="center" shrinkToFit="1"/>
    </xf>
    <xf numFmtId="2" fontId="2" fillId="3" borderId="1" xfId="0" applyNumberFormat="1" applyFont="1" applyFill="1" applyBorder="1" applyAlignment="1">
      <alignment horizontal="center" vertical="center" shrinkToFit="1"/>
    </xf>
    <xf numFmtId="0" fontId="4" fillId="0" borderId="1" xfId="0" applyFont="1" applyBorder="1" applyAlignment="1">
      <alignment horizontal="center"/>
    </xf>
    <xf numFmtId="0" fontId="3" fillId="6" borderId="1" xfId="0" applyFont="1" applyFill="1" applyBorder="1" applyAlignment="1">
      <alignment horizontal="center" vertical="center" wrapText="1" shrinkToFit="1"/>
    </xf>
    <xf numFmtId="4" fontId="2" fillId="0" borderId="1" xfId="0" applyNumberFormat="1" applyFont="1" applyBorder="1" applyAlignment="1">
      <alignment horizontal="center" vertical="center" shrinkToFit="1"/>
    </xf>
    <xf numFmtId="4" fontId="2" fillId="4" borderId="1" xfId="0" applyNumberFormat="1" applyFont="1" applyFill="1" applyBorder="1" applyAlignment="1">
      <alignment horizontal="center" vertical="center" shrinkToFit="1"/>
    </xf>
    <xf numFmtId="14" fontId="2" fillId="0" borderId="1" xfId="0" applyNumberFormat="1" applyFont="1" applyBorder="1" applyAlignment="1">
      <alignment horizontal="center" vertical="center" wrapText="1" shrinkToFit="1"/>
    </xf>
    <xf numFmtId="0" fontId="2" fillId="0" borderId="1" xfId="0" applyFont="1" applyBorder="1" applyAlignment="1">
      <alignment horizontal="center" vertical="center" wrapText="1" shrinkToFit="1"/>
    </xf>
    <xf numFmtId="0" fontId="3" fillId="0" borderId="1" xfId="1" applyFont="1" applyBorder="1" applyAlignment="1">
      <alignment horizontal="center" vertical="center" wrapText="1" shrinkToFit="1"/>
    </xf>
    <xf numFmtId="4" fontId="4" fillId="0" borderId="1" xfId="0" applyNumberFormat="1" applyFont="1" applyBorder="1" applyAlignment="1">
      <alignment horizontal="center"/>
    </xf>
    <xf numFmtId="14" fontId="2" fillId="8" borderId="1" xfId="0" applyNumberFormat="1" applyFont="1" applyFill="1" applyBorder="1" applyAlignment="1">
      <alignment horizontal="center" vertical="center" shrinkToFit="1"/>
    </xf>
    <xf numFmtId="0" fontId="2" fillId="8" borderId="1" xfId="0" applyFont="1" applyFill="1" applyBorder="1" applyAlignment="1">
      <alignment horizontal="center" vertical="center" shrinkToFit="1"/>
    </xf>
    <xf numFmtId="2" fontId="2" fillId="8" borderId="1" xfId="0" applyNumberFormat="1" applyFont="1" applyFill="1" applyBorder="1" applyAlignment="1">
      <alignment horizontal="center" vertical="center" shrinkToFit="1"/>
    </xf>
    <xf numFmtId="14" fontId="5" fillId="0" borderId="1" xfId="0" applyNumberFormat="1" applyFont="1" applyBorder="1" applyAlignment="1">
      <alignment horizontal="center" vertical="center" shrinkToFit="1"/>
    </xf>
    <xf numFmtId="0" fontId="5" fillId="0" borderId="1" xfId="0" applyFont="1" applyBorder="1" applyAlignment="1">
      <alignment horizontal="center" vertical="center" shrinkToFit="1"/>
    </xf>
    <xf numFmtId="2" fontId="5" fillId="0" borderId="1" xfId="0" applyNumberFormat="1" applyFont="1" applyBorder="1" applyAlignment="1">
      <alignment horizontal="center" vertical="center" shrinkToFit="1"/>
    </xf>
    <xf numFmtId="2" fontId="5" fillId="3" borderId="1" xfId="0" applyNumberFormat="1" applyFont="1" applyFill="1" applyBorder="1" applyAlignment="1">
      <alignment horizontal="center" vertical="center" shrinkToFit="1"/>
    </xf>
    <xf numFmtId="2" fontId="5" fillId="2" borderId="1" xfId="0" applyNumberFormat="1" applyFont="1" applyFill="1" applyBorder="1" applyAlignment="1">
      <alignment horizontal="center" vertical="center" shrinkToFit="1"/>
    </xf>
    <xf numFmtId="4" fontId="5" fillId="4" borderId="1" xfId="0" applyNumberFormat="1" applyFont="1" applyFill="1" applyBorder="1" applyAlignment="1">
      <alignment horizontal="center" vertical="center" shrinkToFit="1"/>
    </xf>
    <xf numFmtId="0" fontId="7" fillId="0" borderId="1" xfId="0" applyFont="1" applyBorder="1" applyAlignment="1">
      <alignment horizontal="center"/>
    </xf>
    <xf numFmtId="2" fontId="3" fillId="2" borderId="1" xfId="0" applyNumberFormat="1" applyFont="1" applyFill="1" applyBorder="1" applyAlignment="1">
      <alignment horizontal="center" vertical="center" shrinkToFit="1"/>
    </xf>
    <xf numFmtId="14" fontId="2" fillId="3" borderId="1" xfId="0" applyNumberFormat="1" applyFont="1" applyFill="1" applyBorder="1" applyAlignment="1">
      <alignment horizontal="center" vertical="center" shrinkToFit="1"/>
    </xf>
    <xf numFmtId="0" fontId="2" fillId="3" borderId="1" xfId="0" applyFont="1" applyFill="1" applyBorder="1" applyAlignment="1">
      <alignment horizontal="center" vertical="center" shrinkToFit="1"/>
    </xf>
    <xf numFmtId="2" fontId="2" fillId="7" borderId="1" xfId="0" applyNumberFormat="1" applyFont="1" applyFill="1" applyBorder="1" applyAlignment="1">
      <alignment horizontal="center" vertical="center" shrinkToFit="1"/>
    </xf>
    <xf numFmtId="2" fontId="3" fillId="6" borderId="1" xfId="0" applyNumberFormat="1" applyFont="1" applyFill="1" applyBorder="1" applyAlignment="1">
      <alignment horizontal="center" vertical="center" shrinkToFit="1"/>
    </xf>
    <xf numFmtId="0" fontId="4" fillId="0" borderId="1" xfId="0" applyFont="1" applyBorder="1" applyAlignment="1">
      <alignment horizontal="center" vertical="center"/>
    </xf>
    <xf numFmtId="2" fontId="3" fillId="6" borderId="1" xfId="0" applyNumberFormat="1" applyFont="1" applyFill="1" applyBorder="1" applyAlignment="1">
      <alignment horizontal="center" vertical="center" wrapText="1" shrinkToFit="1"/>
    </xf>
    <xf numFmtId="2" fontId="3" fillId="0" borderId="1" xfId="0" applyNumberFormat="1" applyFont="1" applyBorder="1" applyAlignment="1">
      <alignment horizontal="center" vertical="center" shrinkToFit="1"/>
    </xf>
    <xf numFmtId="2" fontId="3" fillId="0" borderId="1" xfId="0" applyNumberFormat="1" applyFont="1" applyBorder="1" applyAlignment="1">
      <alignment horizontal="center" vertical="center" wrapText="1" shrinkToFit="1"/>
    </xf>
    <xf numFmtId="0" fontId="3" fillId="8" borderId="1" xfId="1" applyFont="1" applyFill="1" applyBorder="1" applyAlignment="1">
      <alignment horizontal="center" vertical="center" wrapText="1" shrinkToFit="1"/>
    </xf>
    <xf numFmtId="0" fontId="3" fillId="8" borderId="1" xfId="0" applyFont="1" applyFill="1" applyBorder="1" applyAlignment="1">
      <alignment horizontal="center" vertical="center" wrapText="1" shrinkToFit="1"/>
    </xf>
    <xf numFmtId="0" fontId="4" fillId="8" borderId="1" xfId="0" applyFont="1" applyFill="1" applyBorder="1" applyAlignment="1">
      <alignment horizontal="center" vertical="center"/>
    </xf>
    <xf numFmtId="0" fontId="8" fillId="0" borderId="1" xfId="1" applyFont="1" applyBorder="1" applyAlignment="1">
      <alignment horizontal="center" vertical="center" wrapText="1" shrinkToFit="1"/>
    </xf>
    <xf numFmtId="0" fontId="8" fillId="0" borderId="1" xfId="0" applyFont="1" applyBorder="1" applyAlignment="1">
      <alignment horizontal="center" vertical="center" wrapText="1" shrinkToFit="1"/>
    </xf>
    <xf numFmtId="2" fontId="2" fillId="0" borderId="1" xfId="0" applyNumberFormat="1" applyFont="1" applyBorder="1" applyAlignment="1">
      <alignment horizontal="center" vertical="center" wrapText="1" shrinkToFit="1" readingOrder="1"/>
    </xf>
    <xf numFmtId="2" fontId="9" fillId="2" borderId="1" xfId="0" applyNumberFormat="1" applyFont="1" applyFill="1" applyBorder="1" applyAlignment="1">
      <alignment horizontal="center" vertical="center" shrinkToFit="1"/>
    </xf>
    <xf numFmtId="2" fontId="10" fillId="3" borderId="1" xfId="0" applyNumberFormat="1" applyFont="1" applyFill="1" applyBorder="1" applyAlignment="1">
      <alignment horizontal="center" vertical="center" wrapText="1" shrinkToFit="1"/>
    </xf>
    <xf numFmtId="2" fontId="10" fillId="2" borderId="1" xfId="0" applyNumberFormat="1" applyFont="1" applyFill="1" applyBorder="1" applyAlignment="1">
      <alignment horizontal="center" vertical="center" wrapText="1" shrinkToFit="1"/>
    </xf>
    <xf numFmtId="2" fontId="10" fillId="7" borderId="1" xfId="0" applyNumberFormat="1" applyFont="1" applyFill="1" applyBorder="1" applyAlignment="1">
      <alignment horizontal="center" vertical="center" wrapText="1" shrinkToFit="1"/>
    </xf>
    <xf numFmtId="2" fontId="9" fillId="2" borderId="1" xfId="0" applyNumberFormat="1" applyFont="1" applyFill="1" applyBorder="1" applyAlignment="1">
      <alignment horizontal="center" vertical="center" wrapText="1" shrinkToFit="1"/>
    </xf>
    <xf numFmtId="2" fontId="9" fillId="7" borderId="1" xfId="0" applyNumberFormat="1" applyFont="1" applyFill="1" applyBorder="1" applyAlignment="1">
      <alignment horizontal="center" vertical="center" shrinkToFit="1"/>
    </xf>
    <xf numFmtId="0" fontId="9" fillId="2" borderId="1" xfId="0" applyFont="1" applyFill="1" applyBorder="1" applyAlignment="1">
      <alignment horizontal="center" vertical="center" shrinkToFit="1"/>
    </xf>
    <xf numFmtId="0" fontId="10" fillId="2" borderId="1" xfId="0" applyFont="1" applyFill="1" applyBorder="1" applyAlignment="1">
      <alignment horizontal="center" vertical="center" wrapText="1" shrinkToFit="1"/>
    </xf>
    <xf numFmtId="2" fontId="10" fillId="2" borderId="1" xfId="0" applyNumberFormat="1" applyFont="1" applyFill="1" applyBorder="1" applyAlignment="1">
      <alignment horizontal="center" vertical="center" shrinkToFit="1"/>
    </xf>
    <xf numFmtId="2" fontId="9" fillId="7" borderId="1" xfId="0" applyNumberFormat="1" applyFont="1" applyFill="1" applyBorder="1" applyAlignment="1">
      <alignment horizontal="center" vertical="center" wrapText="1" shrinkToFit="1"/>
    </xf>
    <xf numFmtId="0" fontId="9" fillId="2" borderId="1" xfId="0" applyFont="1" applyFill="1" applyBorder="1" applyAlignment="1">
      <alignment horizontal="center" vertical="center" wrapText="1" shrinkToFit="1"/>
    </xf>
    <xf numFmtId="2" fontId="9" fillId="3" borderId="1" xfId="0" applyNumberFormat="1" applyFont="1" applyFill="1" applyBorder="1" applyAlignment="1">
      <alignment horizontal="center" vertical="center" shrinkToFit="1"/>
    </xf>
    <xf numFmtId="0" fontId="9" fillId="3" borderId="1" xfId="0" applyFont="1" applyFill="1" applyBorder="1" applyAlignment="1">
      <alignment horizontal="center" vertical="center" shrinkToFit="1"/>
    </xf>
    <xf numFmtId="14" fontId="9" fillId="3" borderId="1" xfId="0" applyNumberFormat="1" applyFont="1" applyFill="1" applyBorder="1" applyAlignment="1">
      <alignment horizontal="center" vertical="center" shrinkToFit="1"/>
    </xf>
    <xf numFmtId="14" fontId="9" fillId="8" borderId="1" xfId="0" applyNumberFormat="1" applyFont="1" applyFill="1" applyBorder="1" applyAlignment="1">
      <alignment horizontal="center" vertical="center" shrinkToFit="1"/>
    </xf>
    <xf numFmtId="0" fontId="9" fillId="8" borderId="1" xfId="0" applyFont="1" applyFill="1" applyBorder="1" applyAlignment="1">
      <alignment horizontal="center" vertical="center" shrinkToFit="1"/>
    </xf>
    <xf numFmtId="2" fontId="9" fillId="8" borderId="1" xfId="0" applyNumberFormat="1" applyFont="1" applyFill="1" applyBorder="1" applyAlignment="1">
      <alignment horizontal="center" vertical="center" shrinkToFit="1"/>
    </xf>
    <xf numFmtId="2" fontId="9" fillId="0" borderId="1" xfId="0" applyNumberFormat="1" applyFont="1" applyBorder="1" applyAlignment="1">
      <alignment horizontal="center" vertical="center" shrinkToFit="1"/>
    </xf>
    <xf numFmtId="0" fontId="10" fillId="6" borderId="1" xfId="0" applyFont="1" applyFill="1" applyBorder="1" applyAlignment="1">
      <alignment horizontal="center" vertical="center" wrapText="1" shrinkToFit="1"/>
    </xf>
    <xf numFmtId="0" fontId="11" fillId="0" borderId="1" xfId="0" applyFont="1" applyBorder="1" applyAlignment="1">
      <alignment horizontal="center" vertical="center"/>
    </xf>
    <xf numFmtId="2" fontId="10" fillId="6" borderId="1" xfId="0" applyNumberFormat="1" applyFont="1" applyFill="1" applyBorder="1" applyAlignment="1">
      <alignment horizontal="center" vertical="center" shrinkToFit="1"/>
    </xf>
    <xf numFmtId="4" fontId="9" fillId="0" borderId="1" xfId="0" applyNumberFormat="1" applyFont="1" applyBorder="1" applyAlignment="1">
      <alignment horizontal="center" vertical="center" shrinkToFit="1"/>
    </xf>
    <xf numFmtId="4" fontId="9" fillId="7" borderId="1" xfId="0" applyNumberFormat="1" applyFont="1" applyFill="1" applyBorder="1" applyAlignment="1">
      <alignment horizontal="center" vertical="center" shrinkToFit="1"/>
    </xf>
    <xf numFmtId="0" fontId="9" fillId="0" borderId="1" xfId="0" applyFont="1" applyBorder="1" applyAlignment="1">
      <alignment horizontal="center" vertical="center" shrinkToFit="1"/>
    </xf>
    <xf numFmtId="2" fontId="10" fillId="6" borderId="1" xfId="0" applyNumberFormat="1" applyFont="1" applyFill="1" applyBorder="1" applyAlignment="1">
      <alignment horizontal="center" vertical="center" wrapText="1" shrinkToFit="1"/>
    </xf>
    <xf numFmtId="2" fontId="9" fillId="0" borderId="1" xfId="0" applyNumberFormat="1" applyFont="1" applyBorder="1" applyAlignment="1">
      <alignment horizontal="center" vertical="center" wrapText="1" shrinkToFit="1"/>
    </xf>
    <xf numFmtId="0" fontId="10" fillId="0" borderId="1" xfId="0" applyFont="1" applyBorder="1" applyAlignment="1">
      <alignment horizontal="center" vertical="center" wrapText="1" shrinkToFit="1"/>
    </xf>
    <xf numFmtId="2" fontId="10" fillId="0" borderId="1" xfId="0" applyNumberFormat="1" applyFont="1" applyBorder="1" applyAlignment="1">
      <alignment horizontal="center" vertical="center" shrinkToFit="1"/>
    </xf>
    <xf numFmtId="14" fontId="9" fillId="0" borderId="1" xfId="0" applyNumberFormat="1" applyFont="1" applyBorder="1" applyAlignment="1">
      <alignment horizontal="center" vertical="center" shrinkToFit="1"/>
    </xf>
    <xf numFmtId="0" fontId="10" fillId="11" borderId="1" xfId="0" applyFont="1" applyFill="1" applyBorder="1" applyAlignment="1">
      <alignment horizontal="center" vertical="center" wrapText="1" shrinkToFit="1"/>
    </xf>
    <xf numFmtId="0" fontId="10" fillId="0" borderId="1" xfId="1" applyFont="1" applyBorder="1" applyAlignment="1">
      <alignment horizontal="center" vertical="center" wrapText="1" shrinkToFit="1"/>
    </xf>
    <xf numFmtId="0" fontId="10" fillId="8" borderId="1" xfId="1" applyFont="1" applyFill="1" applyBorder="1" applyAlignment="1">
      <alignment horizontal="center" vertical="center" wrapText="1" shrinkToFit="1"/>
    </xf>
    <xf numFmtId="0" fontId="10" fillId="8" borderId="1" xfId="0" applyFont="1" applyFill="1" applyBorder="1" applyAlignment="1">
      <alignment horizontal="center" vertical="center" wrapText="1" shrinkToFit="1"/>
    </xf>
    <xf numFmtId="0" fontId="11" fillId="8" borderId="1" xfId="0" applyFont="1" applyFill="1" applyBorder="1" applyAlignment="1">
      <alignment horizontal="center" vertical="center"/>
    </xf>
    <xf numFmtId="0" fontId="10" fillId="7" borderId="1" xfId="1" applyFont="1" applyFill="1" applyBorder="1" applyAlignment="1">
      <alignment horizontal="center" vertical="center" wrapText="1" shrinkToFit="1"/>
    </xf>
    <xf numFmtId="2" fontId="10" fillId="8" borderId="1" xfId="0" applyNumberFormat="1" applyFont="1" applyFill="1" applyBorder="1" applyAlignment="1">
      <alignment horizontal="center" vertical="center" wrapText="1" shrinkToFit="1"/>
    </xf>
    <xf numFmtId="2" fontId="9" fillId="8" borderId="1" xfId="0" applyNumberFormat="1" applyFont="1" applyFill="1" applyBorder="1" applyAlignment="1">
      <alignment horizontal="center" vertical="center" wrapText="1" shrinkToFit="1"/>
    </xf>
    <xf numFmtId="0" fontId="9" fillId="7" borderId="1" xfId="0" applyFont="1" applyFill="1" applyBorder="1" applyAlignment="1">
      <alignment horizontal="center" vertical="center" shrinkToFit="1"/>
    </xf>
    <xf numFmtId="2" fontId="10" fillId="4" borderId="1" xfId="0" applyNumberFormat="1" applyFont="1" applyFill="1" applyBorder="1" applyAlignment="1">
      <alignment horizontal="center" vertical="center" wrapText="1" shrinkToFit="1"/>
    </xf>
    <xf numFmtId="2" fontId="9" fillId="4" borderId="1" xfId="0" applyNumberFormat="1" applyFont="1" applyFill="1" applyBorder="1" applyAlignment="1">
      <alignment horizontal="center" vertical="center" shrinkToFit="1"/>
    </xf>
    <xf numFmtId="2" fontId="9" fillId="4" borderId="1" xfId="0" applyNumberFormat="1" applyFont="1" applyFill="1" applyBorder="1" applyAlignment="1">
      <alignment horizontal="center" vertical="center" wrapText="1" shrinkToFit="1"/>
    </xf>
    <xf numFmtId="2" fontId="9" fillId="3" borderId="1" xfId="0" applyNumberFormat="1" applyFont="1" applyFill="1" applyBorder="1" applyAlignment="1">
      <alignment horizontal="center" vertical="center" wrapText="1" shrinkToFit="1"/>
    </xf>
    <xf numFmtId="4" fontId="9" fillId="4" borderId="1" xfId="0" applyNumberFormat="1" applyFont="1" applyFill="1" applyBorder="1" applyAlignment="1">
      <alignment horizontal="center" vertical="center" shrinkToFit="1"/>
    </xf>
    <xf numFmtId="0" fontId="13" fillId="12" borderId="1" xfId="0" applyFont="1" applyFill="1" applyBorder="1" applyAlignment="1">
      <alignment horizontal="center" vertical="center" wrapText="1" shrinkToFit="1"/>
    </xf>
    <xf numFmtId="0" fontId="13" fillId="0" borderId="1" xfId="0" applyFont="1" applyBorder="1" applyAlignment="1">
      <alignment horizontal="center" vertical="center" wrapText="1" shrinkToFit="1"/>
    </xf>
    <xf numFmtId="2" fontId="10" fillId="0" borderId="1" xfId="1" applyNumberFormat="1" applyFont="1" applyBorder="1" applyAlignment="1">
      <alignment horizontal="center" vertical="center" wrapText="1" shrinkToFit="1"/>
    </xf>
    <xf numFmtId="0" fontId="10" fillId="0" borderId="1" xfId="2" applyFont="1" applyBorder="1" applyAlignment="1">
      <alignment horizontal="center" vertical="center" wrapText="1" shrinkToFit="1"/>
    </xf>
    <xf numFmtId="2" fontId="10" fillId="0" borderId="1" xfId="0" applyNumberFormat="1" applyFont="1" applyBorder="1" applyAlignment="1">
      <alignment horizontal="center" vertical="center" wrapText="1" shrinkToFit="1"/>
    </xf>
    <xf numFmtId="2" fontId="9" fillId="2" borderId="1" xfId="0" applyNumberFormat="1" applyFont="1" applyFill="1" applyBorder="1" applyAlignment="1">
      <alignment horizontal="right" vertical="center" shrinkToFit="1"/>
    </xf>
    <xf numFmtId="2" fontId="10" fillId="2" borderId="1" xfId="0" applyNumberFormat="1" applyFont="1" applyFill="1" applyBorder="1" applyAlignment="1">
      <alignment horizontal="right" vertical="center" wrapText="1" shrinkToFit="1"/>
    </xf>
    <xf numFmtId="2" fontId="9" fillId="3" borderId="1" xfId="0" applyNumberFormat="1" applyFont="1" applyFill="1" applyBorder="1" applyAlignment="1">
      <alignment horizontal="right" vertical="center" shrinkToFit="1"/>
    </xf>
    <xf numFmtId="0" fontId="11" fillId="0" borderId="1" xfId="0" applyFont="1" applyBorder="1" applyAlignment="1">
      <alignment horizontal="right" vertical="center"/>
    </xf>
    <xf numFmtId="0" fontId="11" fillId="8" borderId="1" xfId="0" applyFont="1" applyFill="1" applyBorder="1" applyAlignment="1">
      <alignment horizontal="right" vertical="center"/>
    </xf>
    <xf numFmtId="2" fontId="10" fillId="8" borderId="1" xfId="0" applyNumberFormat="1" applyFont="1" applyFill="1" applyBorder="1" applyAlignment="1">
      <alignment horizontal="center" vertical="center" shrinkToFit="1"/>
    </xf>
    <xf numFmtId="4" fontId="9" fillId="8" borderId="1" xfId="0" applyNumberFormat="1" applyFont="1" applyFill="1" applyBorder="1" applyAlignment="1">
      <alignment horizontal="center" vertical="center" shrinkToFit="1"/>
    </xf>
    <xf numFmtId="2" fontId="9" fillId="0" borderId="1" xfId="0" applyNumberFormat="1" applyFont="1" applyBorder="1" applyAlignment="1">
      <alignment horizontal="right" vertical="center" shrinkToFit="1"/>
    </xf>
    <xf numFmtId="2" fontId="9" fillId="8" borderId="1" xfId="0" applyNumberFormat="1" applyFont="1" applyFill="1" applyBorder="1" applyAlignment="1">
      <alignment horizontal="right" vertical="center" shrinkToFit="1"/>
    </xf>
    <xf numFmtId="2" fontId="13" fillId="0" borderId="1" xfId="0" applyNumberFormat="1" applyFont="1" applyBorder="1" applyAlignment="1">
      <alignment horizontal="center" vertical="center" shrinkToFit="1"/>
    </xf>
    <xf numFmtId="0" fontId="9" fillId="0" borderId="1" xfId="0" applyFont="1" applyBorder="1" applyAlignment="1">
      <alignment horizontal="center" vertical="center" wrapText="1" shrinkToFit="1"/>
    </xf>
    <xf numFmtId="2" fontId="9" fillId="7" borderId="1" xfId="0" applyNumberFormat="1" applyFont="1" applyFill="1" applyBorder="1" applyAlignment="1">
      <alignment horizontal="right" vertical="center" shrinkToFit="1"/>
    </xf>
    <xf numFmtId="2" fontId="10" fillId="6" borderId="1" xfId="0" applyNumberFormat="1" applyFont="1" applyFill="1" applyBorder="1" applyAlignment="1">
      <alignment horizontal="right" vertical="center" wrapText="1" shrinkToFit="1"/>
    </xf>
    <xf numFmtId="2" fontId="9" fillId="9" borderId="1" xfId="0" applyNumberFormat="1" applyFont="1" applyFill="1" applyBorder="1" applyAlignment="1">
      <alignment horizontal="right" vertical="center" shrinkToFit="1"/>
    </xf>
    <xf numFmtId="2" fontId="9" fillId="10" borderId="1" xfId="0" applyNumberFormat="1" applyFont="1" applyFill="1" applyBorder="1" applyAlignment="1">
      <alignment horizontal="right" vertical="center" shrinkToFit="1"/>
    </xf>
    <xf numFmtId="0" fontId="10" fillId="8" borderId="1" xfId="2" applyFont="1" applyFill="1" applyBorder="1" applyAlignment="1">
      <alignment horizontal="center" vertical="center" wrapText="1" shrinkToFit="1"/>
    </xf>
    <xf numFmtId="2" fontId="10" fillId="8" borderId="1" xfId="0" applyNumberFormat="1" applyFont="1" applyFill="1" applyBorder="1" applyAlignment="1">
      <alignment horizontal="right" vertical="center" wrapText="1" shrinkToFit="1"/>
    </xf>
    <xf numFmtId="2" fontId="14" fillId="0" borderId="1" xfId="0" applyNumberFormat="1" applyFont="1" applyBorder="1" applyAlignment="1">
      <alignment horizontal="center" vertical="center" wrapText="1" shrinkToFit="1"/>
    </xf>
    <xf numFmtId="0" fontId="14" fillId="0" borderId="1" xfId="1" applyFont="1" applyBorder="1" applyAlignment="1">
      <alignment horizontal="center" vertical="center" wrapText="1" shrinkToFit="1"/>
    </xf>
    <xf numFmtId="0" fontId="14" fillId="6" borderId="1" xfId="0" applyFont="1" applyFill="1" applyBorder="1" applyAlignment="1">
      <alignment horizontal="center" vertical="center" wrapText="1" shrinkToFit="1"/>
    </xf>
    <xf numFmtId="0" fontId="15" fillId="0" borderId="1" xfId="0" applyFont="1" applyBorder="1" applyAlignment="1">
      <alignment horizontal="center" vertical="center"/>
    </xf>
    <xf numFmtId="2" fontId="14" fillId="0" borderId="1" xfId="0" applyNumberFormat="1" applyFont="1" applyBorder="1" applyAlignment="1">
      <alignment horizontal="center" vertical="center" shrinkToFit="1"/>
    </xf>
    <xf numFmtId="2" fontId="14" fillId="3" borderId="1" xfId="0" applyNumberFormat="1" applyFont="1" applyFill="1" applyBorder="1" applyAlignment="1">
      <alignment horizontal="center" vertical="center" shrinkToFit="1"/>
    </xf>
    <xf numFmtId="4" fontId="14" fillId="4" borderId="1" xfId="0" applyNumberFormat="1" applyFont="1" applyFill="1" applyBorder="1" applyAlignment="1">
      <alignment horizontal="center" vertical="center" shrinkToFit="1"/>
    </xf>
    <xf numFmtId="4" fontId="14" fillId="0" borderId="1" xfId="0" applyNumberFormat="1" applyFont="1" applyBorder="1" applyAlignment="1">
      <alignment horizontal="center" vertical="center" shrinkToFit="1"/>
    </xf>
    <xf numFmtId="0" fontId="14" fillId="0" borderId="1" xfId="0" applyFont="1" applyBorder="1" applyAlignment="1">
      <alignment horizontal="center" vertical="center" shrinkToFit="1"/>
    </xf>
    <xf numFmtId="165" fontId="9" fillId="0" borderId="1" xfId="0" applyNumberFormat="1" applyFont="1" applyBorder="1" applyAlignment="1">
      <alignment horizontal="center" vertical="center" shrinkToFit="1"/>
    </xf>
    <xf numFmtId="0" fontId="14" fillId="0" borderId="1" xfId="0" applyFont="1" applyBorder="1" applyAlignment="1">
      <alignment horizontal="center" vertical="center" wrapText="1" shrinkToFit="1"/>
    </xf>
    <xf numFmtId="2" fontId="9" fillId="13" borderId="1" xfId="0" applyNumberFormat="1" applyFont="1" applyFill="1" applyBorder="1" applyAlignment="1">
      <alignment horizontal="center" vertical="center" shrinkToFit="1"/>
    </xf>
    <xf numFmtId="0" fontId="10" fillId="14" borderId="1" xfId="0" applyFont="1" applyFill="1" applyBorder="1" applyAlignment="1">
      <alignment horizontal="center" vertical="center" wrapText="1" shrinkToFit="1"/>
    </xf>
    <xf numFmtId="2" fontId="10" fillId="14" borderId="1" xfId="0" applyNumberFormat="1" applyFont="1" applyFill="1" applyBorder="1" applyAlignment="1">
      <alignment horizontal="center" vertical="center" wrapText="1" shrinkToFit="1"/>
    </xf>
    <xf numFmtId="2" fontId="9" fillId="14" borderId="1" xfId="0" applyNumberFormat="1" applyFont="1" applyFill="1" applyBorder="1" applyAlignment="1">
      <alignment horizontal="center" vertical="center" shrinkToFit="1"/>
    </xf>
    <xf numFmtId="2" fontId="9" fillId="2" borderId="2" xfId="0" applyNumberFormat="1" applyFont="1" applyFill="1" applyBorder="1" applyAlignment="1">
      <alignment horizontal="center" vertical="center" shrinkToFit="1"/>
    </xf>
    <xf numFmtId="2" fontId="9" fillId="2" borderId="3" xfId="0" applyNumberFormat="1" applyFont="1" applyFill="1" applyBorder="1" applyAlignment="1">
      <alignment horizontal="center" vertical="center" shrinkToFit="1"/>
    </xf>
    <xf numFmtId="0" fontId="10" fillId="2" borderId="3" xfId="0" applyFont="1" applyFill="1" applyBorder="1" applyAlignment="1">
      <alignment horizontal="center" vertical="center" wrapText="1" shrinkToFit="1"/>
    </xf>
    <xf numFmtId="2" fontId="9" fillId="2" borderId="2" xfId="0" applyNumberFormat="1" applyFont="1" applyFill="1" applyBorder="1" applyAlignment="1">
      <alignment horizontal="center" vertical="center" wrapText="1" shrinkToFit="1"/>
    </xf>
    <xf numFmtId="2" fontId="9" fillId="2" borderId="3" xfId="0" applyNumberFormat="1" applyFont="1" applyFill="1" applyBorder="1" applyAlignment="1">
      <alignment horizontal="center" vertical="center" wrapText="1" shrinkToFit="1"/>
    </xf>
    <xf numFmtId="2" fontId="9" fillId="3" borderId="4" xfId="0" applyNumberFormat="1" applyFont="1" applyFill="1" applyBorder="1" applyAlignment="1">
      <alignment horizontal="center" vertical="center" shrinkToFit="1"/>
    </xf>
    <xf numFmtId="0" fontId="9" fillId="3" borderId="5" xfId="0" applyFont="1" applyFill="1" applyBorder="1" applyAlignment="1">
      <alignment horizontal="center" vertical="center" shrinkToFit="1"/>
    </xf>
    <xf numFmtId="2" fontId="9" fillId="0" borderId="6" xfId="0" applyNumberFormat="1" applyFont="1" applyBorder="1" applyAlignment="1">
      <alignment horizontal="center" vertical="center" shrinkToFit="1"/>
    </xf>
    <xf numFmtId="2" fontId="9" fillId="3" borderId="6" xfId="0" applyNumberFormat="1" applyFont="1" applyFill="1" applyBorder="1" applyAlignment="1">
      <alignment horizontal="center" vertical="center" shrinkToFit="1"/>
    </xf>
    <xf numFmtId="2" fontId="9" fillId="4" borderId="6" xfId="0" applyNumberFormat="1" applyFont="1" applyFill="1" applyBorder="1" applyAlignment="1">
      <alignment horizontal="center" vertical="center" shrinkToFit="1"/>
    </xf>
    <xf numFmtId="2" fontId="9" fillId="2" borderId="6" xfId="0" applyNumberFormat="1" applyFont="1" applyFill="1" applyBorder="1" applyAlignment="1">
      <alignment horizontal="center" vertical="center" shrinkToFit="1"/>
    </xf>
    <xf numFmtId="2" fontId="9" fillId="3" borderId="0" xfId="0" applyNumberFormat="1" applyFont="1" applyFill="1" applyAlignment="1">
      <alignment horizontal="center" vertical="center" shrinkToFit="1"/>
    </xf>
    <xf numFmtId="2" fontId="9" fillId="7" borderId="0" xfId="0" applyNumberFormat="1" applyFont="1" applyFill="1" applyAlignment="1">
      <alignment horizontal="center" vertical="center" shrinkToFit="1"/>
    </xf>
    <xf numFmtId="2" fontId="9" fillId="4" borderId="0" xfId="0" applyNumberFormat="1" applyFont="1" applyFill="1" applyAlignment="1">
      <alignment horizontal="center" vertical="center" shrinkToFit="1"/>
    </xf>
    <xf numFmtId="2" fontId="9" fillId="3" borderId="2" xfId="0" applyNumberFormat="1" applyFont="1" applyFill="1" applyBorder="1" applyAlignment="1">
      <alignment horizontal="center" vertical="center" shrinkToFit="1"/>
    </xf>
    <xf numFmtId="0" fontId="9" fillId="3" borderId="3" xfId="0" applyFont="1" applyFill="1" applyBorder="1" applyAlignment="1">
      <alignment horizontal="center" vertical="center" shrinkToFit="1"/>
    </xf>
    <xf numFmtId="2" fontId="9" fillId="0" borderId="2" xfId="0" applyNumberFormat="1" applyFont="1" applyBorder="1" applyAlignment="1">
      <alignment horizontal="center" vertical="center" shrinkToFit="1"/>
    </xf>
    <xf numFmtId="0" fontId="10" fillId="6" borderId="7" xfId="0" applyFont="1" applyFill="1" applyBorder="1" applyAlignment="1">
      <alignment horizontal="center" vertical="center" wrapText="1" shrinkToFit="1"/>
    </xf>
    <xf numFmtId="2" fontId="10" fillId="6" borderId="8" xfId="0" applyNumberFormat="1" applyFont="1" applyFill="1" applyBorder="1" applyAlignment="1">
      <alignment horizontal="center" vertical="center" shrinkToFit="1"/>
    </xf>
    <xf numFmtId="4" fontId="9" fillId="0" borderId="2" xfId="0" applyNumberFormat="1" applyFont="1" applyBorder="1" applyAlignment="1">
      <alignment horizontal="center" vertical="center" shrinkToFit="1"/>
    </xf>
    <xf numFmtId="2" fontId="9" fillId="0" borderId="0" xfId="0" applyNumberFormat="1" applyFont="1" applyAlignment="1">
      <alignment horizontal="center" vertical="center" shrinkToFit="1"/>
    </xf>
    <xf numFmtId="2" fontId="9" fillId="8" borderId="2" xfId="0" applyNumberFormat="1" applyFont="1" applyFill="1" applyBorder="1" applyAlignment="1">
      <alignment horizontal="center" vertical="center" shrinkToFit="1"/>
    </xf>
    <xf numFmtId="0" fontId="10" fillId="8" borderId="7" xfId="0" applyFont="1" applyFill="1" applyBorder="1" applyAlignment="1">
      <alignment horizontal="center" vertical="center" wrapText="1" shrinkToFit="1"/>
    </xf>
    <xf numFmtId="2" fontId="10" fillId="8" borderId="8" xfId="0" applyNumberFormat="1" applyFont="1" applyFill="1" applyBorder="1" applyAlignment="1">
      <alignment horizontal="center" vertical="center" shrinkToFit="1"/>
    </xf>
    <xf numFmtId="2" fontId="9" fillId="8" borderId="0" xfId="0" applyNumberFormat="1" applyFont="1" applyFill="1" applyAlignment="1">
      <alignment horizontal="center" vertical="center" shrinkToFit="1"/>
    </xf>
    <xf numFmtId="2" fontId="10" fillId="0" borderId="8" xfId="0" applyNumberFormat="1" applyFont="1" applyBorder="1" applyAlignment="1">
      <alignment horizontal="center" vertical="center" shrinkToFit="1"/>
    </xf>
    <xf numFmtId="2" fontId="9" fillId="8" borderId="3" xfId="0" applyNumberFormat="1" applyFont="1" applyFill="1" applyBorder="1" applyAlignment="1">
      <alignment horizontal="center" vertical="center" shrinkToFit="1"/>
    </xf>
    <xf numFmtId="2" fontId="9" fillId="0" borderId="2" xfId="0" applyNumberFormat="1" applyFont="1" applyBorder="1" applyAlignment="1">
      <alignment horizontal="center" vertical="center" wrapText="1" shrinkToFit="1"/>
    </xf>
    <xf numFmtId="0" fontId="10" fillId="0" borderId="7" xfId="0" applyFont="1" applyBorder="1" applyAlignment="1">
      <alignment horizontal="center" vertical="center" wrapText="1" shrinkToFit="1"/>
    </xf>
    <xf numFmtId="2" fontId="9" fillId="2" borderId="0" xfId="0" applyNumberFormat="1" applyFont="1" applyFill="1" applyAlignment="1">
      <alignment horizontal="center" vertical="center" shrinkToFit="1"/>
    </xf>
    <xf numFmtId="2" fontId="9" fillId="7" borderId="2" xfId="0" applyNumberFormat="1" applyFont="1" applyFill="1" applyBorder="1" applyAlignment="1">
      <alignment horizontal="center" vertical="center" shrinkToFit="1"/>
    </xf>
    <xf numFmtId="0" fontId="10" fillId="7" borderId="0" xfId="1" applyFont="1" applyFill="1" applyAlignment="1">
      <alignment horizontal="center" vertical="center" wrapText="1" shrinkToFit="1"/>
    </xf>
    <xf numFmtId="2" fontId="9" fillId="7" borderId="3" xfId="0" applyNumberFormat="1" applyFont="1" applyFill="1" applyBorder="1" applyAlignment="1">
      <alignment horizontal="center" vertical="center" shrinkToFit="1"/>
    </xf>
    <xf numFmtId="2" fontId="10" fillId="0" borderId="9" xfId="0" applyNumberFormat="1" applyFont="1" applyBorder="1" applyAlignment="1">
      <alignment horizontal="center" vertical="center" wrapText="1" shrinkToFit="1"/>
    </xf>
    <xf numFmtId="2" fontId="10" fillId="0" borderId="10" xfId="0" applyNumberFormat="1" applyFont="1" applyBorder="1" applyAlignment="1">
      <alignment horizontal="center" vertical="center" wrapText="1" shrinkToFit="1"/>
    </xf>
    <xf numFmtId="2" fontId="10" fillId="8" borderId="10" xfId="0" applyNumberFormat="1" applyFont="1" applyFill="1" applyBorder="1" applyAlignment="1">
      <alignment horizontal="center" vertical="center" wrapText="1" shrinkToFit="1"/>
    </xf>
    <xf numFmtId="0" fontId="10" fillId="0" borderId="3" xfId="2" applyFont="1" applyBorder="1" applyAlignment="1">
      <alignment horizontal="center" vertical="center" wrapText="1" shrinkToFit="1"/>
    </xf>
    <xf numFmtId="0" fontId="9" fillId="0" borderId="0" xfId="0" applyFont="1" applyAlignment="1">
      <alignment horizontal="center" vertical="center" shrinkToFit="1"/>
    </xf>
    <xf numFmtId="2" fontId="10" fillId="2" borderId="1" xfId="0" applyNumberFormat="1" applyFont="1" applyFill="1" applyBorder="1" applyAlignment="1">
      <alignment horizontal="right" vertical="center" shrinkToFit="1"/>
    </xf>
    <xf numFmtId="2" fontId="10" fillId="6" borderId="1" xfId="0" applyNumberFormat="1" applyFont="1" applyFill="1" applyBorder="1" applyAlignment="1">
      <alignment horizontal="right" vertical="center" shrinkToFit="1"/>
    </xf>
    <xf numFmtId="2" fontId="10" fillId="8" borderId="1" xfId="0" applyNumberFormat="1" applyFont="1" applyFill="1" applyBorder="1" applyAlignment="1">
      <alignment horizontal="right" vertical="center" shrinkToFit="1"/>
    </xf>
    <xf numFmtId="2" fontId="10" fillId="0" borderId="1" xfId="0" applyNumberFormat="1" applyFont="1" applyBorder="1" applyAlignment="1">
      <alignment horizontal="right" vertical="center" shrinkToFit="1"/>
    </xf>
    <xf numFmtId="2" fontId="9" fillId="0" borderId="1" xfId="0" applyNumberFormat="1" applyFont="1" applyBorder="1" applyAlignment="1">
      <alignment horizontal="right" vertical="center" wrapText="1" shrinkToFit="1"/>
    </xf>
    <xf numFmtId="2" fontId="14" fillId="0" borderId="1" xfId="0" applyNumberFormat="1" applyFont="1" applyBorder="1" applyAlignment="1">
      <alignment horizontal="right" vertical="center" wrapText="1" shrinkToFit="1"/>
    </xf>
    <xf numFmtId="4" fontId="12" fillId="0" borderId="1" xfId="0" applyNumberFormat="1" applyFont="1" applyBorder="1" applyAlignment="1">
      <alignment horizontal="center" vertical="center"/>
    </xf>
    <xf numFmtId="4" fontId="12" fillId="8" borderId="1" xfId="0" applyNumberFormat="1" applyFont="1" applyFill="1" applyBorder="1" applyAlignment="1">
      <alignment horizontal="center" vertical="center"/>
    </xf>
    <xf numFmtId="4" fontId="12" fillId="4" borderId="1" xfId="0" applyNumberFormat="1" applyFont="1" applyFill="1" applyBorder="1" applyAlignment="1">
      <alignment horizontal="center" vertical="center"/>
    </xf>
    <xf numFmtId="2" fontId="9" fillId="0" borderId="1" xfId="0" applyNumberFormat="1" applyFont="1" applyBorder="1" applyAlignment="1">
      <alignment vertical="center" shrinkToFit="1"/>
    </xf>
    <xf numFmtId="2" fontId="9" fillId="3" borderId="1" xfId="0" applyNumberFormat="1" applyFont="1" applyFill="1" applyBorder="1" applyAlignment="1">
      <alignment vertical="center" shrinkToFit="1"/>
    </xf>
    <xf numFmtId="0" fontId="11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horizontal="right" wrapText="1"/>
    </xf>
    <xf numFmtId="0" fontId="11" fillId="15" borderId="1" xfId="0" applyFont="1" applyFill="1" applyBorder="1" applyAlignment="1">
      <alignment horizontal="center" wrapText="1"/>
    </xf>
    <xf numFmtId="0" fontId="11" fillId="15" borderId="1" xfId="0" applyFont="1" applyFill="1" applyBorder="1" applyAlignment="1">
      <alignment wrapText="1"/>
    </xf>
    <xf numFmtId="0" fontId="11" fillId="16" borderId="1" xfId="0" applyFont="1" applyFill="1" applyBorder="1" applyAlignment="1">
      <alignment wrapText="1"/>
    </xf>
    <xf numFmtId="0" fontId="11" fillId="0" borderId="0" xfId="0" applyFont="1" applyAlignment="1">
      <alignment wrapText="1"/>
    </xf>
    <xf numFmtId="0" fontId="11" fillId="17" borderId="1" xfId="0" applyFont="1" applyFill="1" applyBorder="1" applyAlignment="1">
      <alignment wrapText="1"/>
    </xf>
    <xf numFmtId="0" fontId="11" fillId="17" borderId="1" xfId="0" applyFont="1" applyFill="1" applyBorder="1" applyAlignment="1">
      <alignment horizontal="center" wrapText="1"/>
    </xf>
    <xf numFmtId="0" fontId="11" fillId="8" borderId="1" xfId="0" applyFont="1" applyFill="1" applyBorder="1" applyAlignment="1">
      <alignment wrapText="1"/>
    </xf>
    <xf numFmtId="2" fontId="11" fillId="0" borderId="1" xfId="0" applyNumberFormat="1" applyFont="1" applyBorder="1" applyAlignment="1">
      <alignment wrapText="1"/>
    </xf>
    <xf numFmtId="0" fontId="16" fillId="15" borderId="1" xfId="0" applyFont="1" applyFill="1" applyBorder="1" applyAlignment="1">
      <alignment wrapText="1"/>
    </xf>
    <xf numFmtId="0" fontId="11" fillId="0" borderId="6" xfId="0" applyFont="1" applyBorder="1" applyAlignment="1">
      <alignment wrapText="1"/>
    </xf>
    <xf numFmtId="0" fontId="11" fillId="0" borderId="6" xfId="0" applyFont="1" applyBorder="1" applyAlignment="1">
      <alignment horizontal="center" wrapText="1"/>
    </xf>
    <xf numFmtId="0" fontId="11" fillId="15" borderId="6" xfId="0" applyFont="1" applyFill="1" applyBorder="1" applyAlignment="1">
      <alignment wrapText="1"/>
    </xf>
    <xf numFmtId="0" fontId="17" fillId="0" borderId="1" xfId="0" applyFont="1" applyBorder="1" applyAlignment="1">
      <alignment wrapText="1"/>
    </xf>
    <xf numFmtId="0" fontId="17" fillId="0" borderId="0" xfId="0" applyFont="1" applyAlignment="1">
      <alignment wrapText="1"/>
    </xf>
    <xf numFmtId="0" fontId="17" fillId="8" borderId="0" xfId="0" applyFont="1" applyFill="1" applyAlignment="1">
      <alignment wrapText="1"/>
    </xf>
    <xf numFmtId="0" fontId="11" fillId="8" borderId="1" xfId="0" applyFont="1" applyFill="1" applyBorder="1" applyAlignment="1">
      <alignment horizontal="center" wrapText="1"/>
    </xf>
    <xf numFmtId="0" fontId="17" fillId="0" borderId="1" xfId="0" applyFont="1" applyBorder="1"/>
    <xf numFmtId="2" fontId="2" fillId="0" borderId="1" xfId="0" applyNumberFormat="1" applyFont="1" applyFill="1" applyBorder="1" applyAlignment="1">
      <alignment horizontal="center" vertical="center" shrinkToFit="1"/>
    </xf>
    <xf numFmtId="14" fontId="2" fillId="0" borderId="1" xfId="0" applyNumberFormat="1" applyFont="1" applyFill="1" applyBorder="1" applyAlignment="1">
      <alignment horizontal="center" vertical="center" shrinkToFit="1"/>
    </xf>
    <xf numFmtId="0" fontId="2" fillId="0" borderId="1" xfId="0" applyFont="1" applyFill="1" applyBorder="1" applyAlignment="1">
      <alignment horizontal="center" vertical="center" shrinkToFit="1"/>
    </xf>
    <xf numFmtId="14" fontId="2" fillId="18" borderId="1" xfId="0" applyNumberFormat="1" applyFont="1" applyFill="1" applyBorder="1" applyAlignment="1">
      <alignment horizontal="center" vertical="center" shrinkToFit="1"/>
    </xf>
    <xf numFmtId="2" fontId="2" fillId="18" borderId="1" xfId="0" applyNumberFormat="1" applyFont="1" applyFill="1" applyBorder="1" applyAlignment="1">
      <alignment horizontal="center" vertical="center" shrinkToFit="1"/>
    </xf>
    <xf numFmtId="0" fontId="2" fillId="18" borderId="1" xfId="0" applyFont="1" applyFill="1" applyBorder="1" applyAlignment="1">
      <alignment horizontal="center" vertical="center" shrinkToFit="1"/>
    </xf>
    <xf numFmtId="0" fontId="5" fillId="0" borderId="1" xfId="0" applyFont="1" applyFill="1" applyBorder="1" applyAlignment="1">
      <alignment horizontal="center" vertical="center" shrinkToFit="1"/>
    </xf>
    <xf numFmtId="2" fontId="2" fillId="0" borderId="1" xfId="0" applyNumberFormat="1" applyFont="1" applyFill="1" applyBorder="1" applyAlignment="1">
      <alignment horizontal="center" vertical="center" wrapText="1" shrinkToFit="1"/>
    </xf>
    <xf numFmtId="2" fontId="5" fillId="0" borderId="1" xfId="0" applyNumberFormat="1" applyFont="1" applyFill="1" applyBorder="1" applyAlignment="1">
      <alignment horizontal="center" vertical="center" shrinkToFit="1"/>
    </xf>
    <xf numFmtId="4" fontId="2" fillId="0" borderId="1" xfId="0" applyNumberFormat="1" applyFont="1" applyFill="1" applyBorder="1" applyAlignment="1">
      <alignment horizontal="center" vertical="center" shrinkToFit="1"/>
    </xf>
    <xf numFmtId="2" fontId="3" fillId="8" borderId="1" xfId="0" applyNumberFormat="1" applyFont="1" applyFill="1" applyBorder="1" applyAlignment="1">
      <alignment horizontal="center" vertical="center" wrapText="1" shrinkToFit="1"/>
    </xf>
    <xf numFmtId="2" fontId="2" fillId="8" borderId="1" xfId="0" applyNumberFormat="1" applyFont="1" applyFill="1" applyBorder="1" applyAlignment="1">
      <alignment horizontal="center" vertical="center" wrapText="1" shrinkToFit="1"/>
    </xf>
    <xf numFmtId="0" fontId="4" fillId="0" borderId="1" xfId="0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center" readingOrder="2"/>
    </xf>
    <xf numFmtId="14" fontId="4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0" fontId="19" fillId="0" borderId="1" xfId="0" applyFont="1" applyBorder="1" applyAlignment="1">
      <alignment horizontal="center" vertical="center" shrinkToFit="1"/>
    </xf>
    <xf numFmtId="4" fontId="4" fillId="0" borderId="1" xfId="0" applyNumberFormat="1" applyFont="1" applyFill="1" applyBorder="1" applyAlignment="1">
      <alignment horizontal="center"/>
    </xf>
    <xf numFmtId="0" fontId="2" fillId="0" borderId="1" xfId="0" applyNumberFormat="1" applyFont="1" applyFill="1" applyBorder="1" applyAlignment="1">
      <alignment horizontal="center" vertical="center" shrinkToFit="1"/>
    </xf>
    <xf numFmtId="0" fontId="2" fillId="0" borderId="1" xfId="0" applyNumberFormat="1" applyFont="1" applyBorder="1" applyAlignment="1">
      <alignment horizontal="center" vertical="center" shrinkToFit="1"/>
    </xf>
    <xf numFmtId="0" fontId="4" fillId="0" borderId="1" xfId="0" applyFont="1" applyBorder="1"/>
    <xf numFmtId="0" fontId="4" fillId="0" borderId="1" xfId="0" applyNumberFormat="1" applyFont="1" applyBorder="1"/>
    <xf numFmtId="0" fontId="4" fillId="0" borderId="1" xfId="0" applyFont="1" applyBorder="1" applyAlignment="1">
      <alignment wrapText="1"/>
    </xf>
    <xf numFmtId="0" fontId="4" fillId="0" borderId="1" xfId="0" applyFont="1" applyFill="1" applyBorder="1"/>
    <xf numFmtId="0" fontId="4" fillId="8" borderId="1" xfId="0" applyNumberFormat="1" applyFont="1" applyFill="1" applyBorder="1"/>
    <xf numFmtId="0" fontId="4" fillId="8" borderId="1" xfId="0" applyFont="1" applyFill="1" applyBorder="1"/>
    <xf numFmtId="2" fontId="4" fillId="8" borderId="1" xfId="0" applyNumberFormat="1" applyFont="1" applyFill="1" applyBorder="1"/>
    <xf numFmtId="0" fontId="4" fillId="0" borderId="1" xfId="0" applyNumberFormat="1" applyFont="1" applyFill="1" applyBorder="1"/>
    <xf numFmtId="0" fontId="4" fillId="19" borderId="1" xfId="0" applyFont="1" applyFill="1" applyBorder="1"/>
    <xf numFmtId="0" fontId="4" fillId="18" borderId="1" xfId="0" applyNumberFormat="1" applyFont="1" applyFill="1" applyBorder="1"/>
    <xf numFmtId="0" fontId="4" fillId="18" borderId="1" xfId="0" applyFont="1" applyFill="1" applyBorder="1"/>
    <xf numFmtId="14" fontId="4" fillId="0" borderId="1" xfId="0" applyNumberFormat="1" applyFont="1" applyBorder="1"/>
    <xf numFmtId="14" fontId="4" fillId="8" borderId="1" xfId="0" applyNumberFormat="1" applyFont="1" applyFill="1" applyBorder="1"/>
    <xf numFmtId="14" fontId="4" fillId="0" borderId="1" xfId="0" applyNumberFormat="1" applyFont="1" applyFill="1" applyBorder="1"/>
    <xf numFmtId="14" fontId="4" fillId="18" borderId="1" xfId="0" applyNumberFormat="1" applyFont="1" applyFill="1" applyBorder="1"/>
    <xf numFmtId="0" fontId="4" fillId="0" borderId="1" xfId="0" applyFont="1" applyBorder="1" applyAlignment="1"/>
    <xf numFmtId="0" fontId="4" fillId="0" borderId="1" xfId="0" applyFont="1" applyFill="1" applyBorder="1" applyAlignment="1">
      <alignment wrapText="1"/>
    </xf>
    <xf numFmtId="0" fontId="4" fillId="8" borderId="1" xfId="0" applyFont="1" applyFill="1" applyBorder="1" applyAlignment="1">
      <alignment wrapText="1"/>
    </xf>
    <xf numFmtId="2" fontId="4" fillId="0" borderId="1" xfId="0" applyNumberFormat="1" applyFont="1" applyBorder="1"/>
    <xf numFmtId="1" fontId="4" fillId="0" borderId="1" xfId="0" applyNumberFormat="1" applyFont="1" applyBorder="1"/>
    <xf numFmtId="166" fontId="4" fillId="8" borderId="1" xfId="0" applyNumberFormat="1" applyFont="1" applyFill="1" applyBorder="1"/>
    <xf numFmtId="14" fontId="4" fillId="20" borderId="1" xfId="0" applyNumberFormat="1" applyFont="1" applyFill="1" applyBorder="1"/>
    <xf numFmtId="0" fontId="4" fillId="20" borderId="1" xfId="0" applyFont="1" applyFill="1" applyBorder="1"/>
    <xf numFmtId="0" fontId="4" fillId="20" borderId="1" xfId="0" applyNumberFormat="1" applyFont="1" applyFill="1" applyBorder="1"/>
    <xf numFmtId="2" fontId="4" fillId="20" borderId="1" xfId="0" applyNumberFormat="1" applyFont="1" applyFill="1" applyBorder="1"/>
    <xf numFmtId="14" fontId="4" fillId="0" borderId="1" xfId="0" applyNumberFormat="1" applyFont="1" applyBorder="1" applyAlignment="1"/>
    <xf numFmtId="0" fontId="4" fillId="0" borderId="1" xfId="0" applyNumberFormat="1" applyFont="1" applyBorder="1" applyAlignment="1"/>
    <xf numFmtId="0" fontId="20" fillId="0" borderId="1" xfId="0" applyFont="1" applyBorder="1"/>
    <xf numFmtId="0" fontId="20" fillId="0" borderId="1" xfId="0" applyFont="1" applyBorder="1" applyAlignment="1"/>
    <xf numFmtId="2" fontId="19" fillId="0" borderId="1" xfId="0" applyNumberFormat="1" applyFont="1" applyFill="1" applyBorder="1" applyAlignment="1">
      <alignment horizontal="center" vertical="center" shrinkToFit="1"/>
    </xf>
    <xf numFmtId="0" fontId="20" fillId="8" borderId="1" xfId="0" applyFont="1" applyFill="1" applyBorder="1"/>
    <xf numFmtId="0" fontId="20" fillId="0" borderId="1" xfId="0" applyFont="1" applyFill="1" applyBorder="1"/>
    <xf numFmtId="0" fontId="20" fillId="18" borderId="1" xfId="0" applyFont="1" applyFill="1" applyBorder="1"/>
    <xf numFmtId="0" fontId="20" fillId="20" borderId="1" xfId="0" applyFont="1" applyFill="1" applyBorder="1"/>
    <xf numFmtId="0" fontId="20" fillId="0" borderId="1" xfId="0" applyFont="1" applyBorder="1" applyAlignment="1">
      <alignment wrapText="1"/>
    </xf>
    <xf numFmtId="0" fontId="4" fillId="0" borderId="1" xfId="0" applyNumberFormat="1" applyFont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166" fontId="4" fillId="0" borderId="1" xfId="0" applyNumberFormat="1" applyFont="1" applyBorder="1"/>
    <xf numFmtId="2" fontId="0" fillId="0" borderId="0" xfId="0" applyNumberFormat="1"/>
  </cellXfs>
  <cellStyles count="3">
    <cellStyle name="Normal" xfId="0" builtinId="0"/>
    <cellStyle name="Normal_gfmis  APR-22" xfId="1" xr:uid="{E02CF0C5-1FD7-4AA3-B4DE-A7B80A404B9D}"/>
    <cellStyle name="Normal_gps ARR-22" xfId="2" xr:uid="{D99734BC-24FF-47DC-B98F-929EE9CB88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8BC45-B238-462B-BFC5-3327D1180E9A}">
  <dimension ref="A1"/>
  <sheetViews>
    <sheetView rightToLeft="1" workbookViewId="0">
      <selection activeCell="A17" sqref="A17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D6D0-40EC-4916-9A53-7C901ABA180C}">
  <dimension ref="A2:CQ1017"/>
  <sheetViews>
    <sheetView rightToLeft="1" topLeftCell="A28" workbookViewId="0">
      <selection activeCell="O2" sqref="O2"/>
    </sheetView>
  </sheetViews>
  <sheetFormatPr defaultRowHeight="15" x14ac:dyDescent="0.25"/>
  <cols>
    <col min="5" max="5" width="20.42578125" customWidth="1"/>
    <col min="7" max="7" width="13.7109375" customWidth="1"/>
  </cols>
  <sheetData>
    <row r="2" spans="1:95" s="200" customFormat="1" ht="18.75" x14ac:dyDescent="0.3">
      <c r="A2" s="200" t="s">
        <v>4958</v>
      </c>
      <c r="B2" s="200" t="s">
        <v>8</v>
      </c>
      <c r="C2" s="200" t="s">
        <v>4947</v>
      </c>
      <c r="D2" s="200" t="s">
        <v>10</v>
      </c>
      <c r="E2" s="200" t="s">
        <v>4948</v>
      </c>
      <c r="F2" s="200" t="s">
        <v>12</v>
      </c>
      <c r="G2" s="200" t="s">
        <v>4949</v>
      </c>
      <c r="H2" s="200" t="s">
        <v>4950</v>
      </c>
      <c r="I2" s="200" t="s">
        <v>4951</v>
      </c>
      <c r="J2" s="200" t="s">
        <v>4952</v>
      </c>
      <c r="K2" s="200" t="s">
        <v>4953</v>
      </c>
      <c r="L2" s="200" t="s">
        <v>18</v>
      </c>
      <c r="M2" s="200" t="s">
        <v>19</v>
      </c>
      <c r="N2" s="200" t="s">
        <v>20</v>
      </c>
      <c r="O2" s="200" t="s">
        <v>21</v>
      </c>
      <c r="P2" s="200" t="s">
        <v>22</v>
      </c>
      <c r="Q2" s="200" t="s">
        <v>23</v>
      </c>
      <c r="R2" s="200" t="s">
        <v>24</v>
      </c>
      <c r="S2" s="200" t="s">
        <v>25</v>
      </c>
      <c r="T2" s="200" t="s">
        <v>26</v>
      </c>
      <c r="U2" s="200" t="s">
        <v>27</v>
      </c>
      <c r="V2" s="200" t="s">
        <v>28</v>
      </c>
      <c r="W2" s="200" t="s">
        <v>29</v>
      </c>
      <c r="X2" s="200" t="s">
        <v>30</v>
      </c>
      <c r="Y2" s="200" t="s">
        <v>31</v>
      </c>
      <c r="Z2" s="200" t="s">
        <v>32</v>
      </c>
      <c r="AA2" s="200" t="s">
        <v>33</v>
      </c>
      <c r="AB2" s="200" t="s">
        <v>34</v>
      </c>
      <c r="AC2" s="200" t="s">
        <v>35</v>
      </c>
      <c r="AD2" s="200" t="s">
        <v>36</v>
      </c>
      <c r="AE2" s="200" t="s">
        <v>37</v>
      </c>
      <c r="AF2" s="200" t="s">
        <v>38</v>
      </c>
      <c r="AG2" s="200" t="s">
        <v>39</v>
      </c>
      <c r="AH2" s="200" t="s">
        <v>40</v>
      </c>
      <c r="AI2" s="200" t="s">
        <v>41</v>
      </c>
      <c r="AJ2" s="200" t="s">
        <v>42</v>
      </c>
      <c r="AK2" s="200" t="s">
        <v>43</v>
      </c>
      <c r="AL2" s="200" t="s">
        <v>44</v>
      </c>
      <c r="AM2" s="200" t="s">
        <v>45</v>
      </c>
      <c r="AN2" s="200" t="s">
        <v>46</v>
      </c>
      <c r="AO2" s="200" t="s">
        <v>47</v>
      </c>
      <c r="AP2" s="200" t="s">
        <v>48</v>
      </c>
      <c r="AQ2" s="200" t="s">
        <v>4954</v>
      </c>
      <c r="AR2" s="200" t="s">
        <v>51</v>
      </c>
      <c r="AS2" s="200" t="s">
        <v>52</v>
      </c>
      <c r="AT2" s="200" t="s">
        <v>25</v>
      </c>
      <c r="AU2" s="200" t="s">
        <v>53</v>
      </c>
      <c r="AV2" s="200" t="s">
        <v>54</v>
      </c>
      <c r="AW2" s="200" t="s">
        <v>55</v>
      </c>
      <c r="AX2" s="200" t="s">
        <v>37</v>
      </c>
      <c r="AY2" s="200" t="s">
        <v>39</v>
      </c>
      <c r="AZ2" s="200" t="s">
        <v>56</v>
      </c>
      <c r="BA2" s="200" t="s">
        <v>57</v>
      </c>
      <c r="BB2" s="200" t="s">
        <v>58</v>
      </c>
      <c r="BC2" s="200" t="s">
        <v>59</v>
      </c>
      <c r="BD2" s="200" t="s">
        <v>31</v>
      </c>
      <c r="BE2" s="200" t="s">
        <v>60</v>
      </c>
      <c r="BF2" s="200" t="s">
        <v>27</v>
      </c>
      <c r="BG2" s="200" t="s">
        <v>61</v>
      </c>
      <c r="BH2" s="200" t="s">
        <v>62</v>
      </c>
      <c r="BI2" s="200" t="s">
        <v>24</v>
      </c>
      <c r="BJ2" s="200" t="s">
        <v>63</v>
      </c>
      <c r="BK2" s="200" t="s">
        <v>64</v>
      </c>
      <c r="BL2" s="200" t="s">
        <v>18</v>
      </c>
      <c r="BM2" s="200" t="s">
        <v>65</v>
      </c>
      <c r="BN2" s="200" t="s">
        <v>21</v>
      </c>
      <c r="BO2" s="200" t="s">
        <v>66</v>
      </c>
      <c r="BP2" s="200" t="s">
        <v>67</v>
      </c>
      <c r="BQ2" s="200" t="s">
        <v>40</v>
      </c>
      <c r="BR2" s="200" t="s">
        <v>68</v>
      </c>
      <c r="BS2" s="200" t="s">
        <v>69</v>
      </c>
      <c r="BT2" s="200" t="s">
        <v>41</v>
      </c>
      <c r="BU2" s="200" t="s">
        <v>70</v>
      </c>
      <c r="BV2" s="200" t="s">
        <v>71</v>
      </c>
      <c r="BW2" s="200" t="s">
        <v>72</v>
      </c>
      <c r="BX2" s="200" t="s">
        <v>46</v>
      </c>
      <c r="BY2" s="200" t="s">
        <v>73</v>
      </c>
      <c r="BZ2" s="200" t="s">
        <v>74</v>
      </c>
      <c r="CA2" s="200" t="s">
        <v>75</v>
      </c>
      <c r="CB2" s="200" t="s">
        <v>4955</v>
      </c>
      <c r="CC2" s="200" t="s">
        <v>4956</v>
      </c>
      <c r="CD2" s="200" t="s">
        <v>9</v>
      </c>
      <c r="CE2" s="200" t="s">
        <v>4957</v>
      </c>
      <c r="CF2" s="200" t="s">
        <v>70</v>
      </c>
      <c r="CG2" s="200" t="s">
        <v>71</v>
      </c>
      <c r="CH2" s="200" t="s">
        <v>72</v>
      </c>
      <c r="CI2" s="200" t="s">
        <v>46</v>
      </c>
      <c r="CJ2" s="200" t="s">
        <v>73</v>
      </c>
      <c r="CK2" s="200" t="s">
        <v>74</v>
      </c>
      <c r="CL2" s="200" t="s">
        <v>75</v>
      </c>
      <c r="CM2" s="200" t="s">
        <v>4955</v>
      </c>
      <c r="CN2" s="200" t="s">
        <v>4956</v>
      </c>
      <c r="CO2" s="200" t="s">
        <v>9</v>
      </c>
      <c r="CP2" s="200" t="s">
        <v>4957</v>
      </c>
      <c r="CQ2" s="200" t="s">
        <v>8</v>
      </c>
    </row>
    <row r="3" spans="1:95" s="197" customFormat="1" ht="37.5" x14ac:dyDescent="0.3">
      <c r="B3" s="193">
        <v>219</v>
      </c>
      <c r="C3" s="193">
        <v>385</v>
      </c>
      <c r="D3" s="193" t="s">
        <v>121</v>
      </c>
      <c r="E3" s="194" t="s">
        <v>4535</v>
      </c>
      <c r="F3" s="193"/>
      <c r="G3" s="193"/>
      <c r="H3" s="193"/>
      <c r="I3" s="193"/>
      <c r="J3" s="193"/>
      <c r="K3" s="193"/>
      <c r="L3" s="193"/>
      <c r="M3" s="193"/>
      <c r="N3" s="193"/>
      <c r="O3" s="193"/>
      <c r="P3" s="193"/>
      <c r="Q3" s="193"/>
      <c r="R3" s="193"/>
      <c r="S3" s="193"/>
      <c r="T3" s="193"/>
      <c r="U3" s="193"/>
      <c r="V3" s="193"/>
      <c r="W3" s="193">
        <v>1279992.47</v>
      </c>
      <c r="X3" s="193"/>
      <c r="Y3" s="193"/>
      <c r="Z3" s="193"/>
      <c r="AA3" s="193"/>
      <c r="AB3" s="193"/>
      <c r="AC3" s="193"/>
      <c r="AD3" s="193"/>
      <c r="AE3" s="193"/>
      <c r="AF3" s="193"/>
      <c r="AG3" s="193"/>
      <c r="AH3" s="193"/>
      <c r="AI3" s="193"/>
      <c r="AJ3" s="193"/>
      <c r="AK3" s="193"/>
      <c r="AL3" s="193"/>
      <c r="AM3" s="193"/>
      <c r="AN3" s="193"/>
      <c r="AO3" s="193"/>
      <c r="AP3" s="193"/>
      <c r="AQ3" s="195">
        <f t="shared" ref="AQ3:AQ34" si="0">SUM(G3:AP3)</f>
        <v>1279992.47</v>
      </c>
      <c r="AR3" s="193">
        <v>1279992.47</v>
      </c>
      <c r="AS3" s="193"/>
      <c r="AT3" s="193"/>
      <c r="AU3" s="193"/>
      <c r="AV3" s="193"/>
      <c r="AW3" s="193"/>
      <c r="AX3" s="193"/>
      <c r="AY3" s="193"/>
      <c r="AZ3" s="193"/>
      <c r="BA3" s="193"/>
      <c r="BB3" s="193"/>
      <c r="BC3" s="193"/>
      <c r="BD3" s="193"/>
      <c r="BE3" s="193"/>
      <c r="BF3" s="193"/>
      <c r="BG3" s="193"/>
      <c r="BH3" s="193"/>
      <c r="BI3" s="193"/>
      <c r="BJ3" s="193"/>
      <c r="BK3" s="193"/>
      <c r="BL3" s="193"/>
      <c r="BM3" s="193"/>
      <c r="BN3" s="193"/>
      <c r="BO3" s="193"/>
      <c r="BP3" s="193"/>
      <c r="BQ3" s="193"/>
      <c r="BR3" s="193"/>
      <c r="BS3" s="193"/>
      <c r="BT3" s="193"/>
      <c r="BU3" s="193"/>
      <c r="BV3" s="193"/>
      <c r="BW3" s="193"/>
      <c r="BX3" s="193"/>
      <c r="BY3" s="193"/>
      <c r="BZ3" s="193"/>
      <c r="CA3" s="193"/>
      <c r="CB3" s="195">
        <f t="shared" ref="CB3:CB34" si="1">SUM(AR3:CA3)</f>
        <v>1279992.47</v>
      </c>
      <c r="CC3" s="195">
        <f t="shared" ref="CC3:CC34" si="2">+CB3-AQ3</f>
        <v>0</v>
      </c>
      <c r="CD3" s="195">
        <f t="shared" ref="CD3:CD34" si="3">+C3</f>
        <v>385</v>
      </c>
      <c r="CE3" s="195" t="e">
        <f>+#REF!</f>
        <v>#REF!</v>
      </c>
    </row>
    <row r="4" spans="1:95" s="197" customFormat="1" ht="37.5" x14ac:dyDescent="0.3">
      <c r="B4" s="182"/>
      <c r="C4" s="182">
        <v>386</v>
      </c>
      <c r="D4" s="186" t="s">
        <v>220</v>
      </c>
      <c r="E4" s="181" t="s">
        <v>4536</v>
      </c>
      <c r="F4" s="182" t="s">
        <v>220</v>
      </c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  <c r="U4" s="182"/>
      <c r="V4" s="182"/>
      <c r="W4" s="182"/>
      <c r="X4" s="182"/>
      <c r="Y4" s="182"/>
      <c r="Z4" s="182"/>
      <c r="AA4" s="182"/>
      <c r="AB4" s="182"/>
      <c r="AC4" s="182"/>
      <c r="AD4" s="182"/>
      <c r="AE4" s="182"/>
      <c r="AF4" s="182"/>
      <c r="AG4" s="182"/>
      <c r="AH4" s="182"/>
      <c r="AI4" s="182"/>
      <c r="AJ4" s="182"/>
      <c r="AK4" s="182"/>
      <c r="AL4" s="182"/>
      <c r="AM4" s="182"/>
      <c r="AN4" s="182"/>
      <c r="AO4" s="182"/>
      <c r="AP4" s="182"/>
      <c r="AQ4" s="185">
        <f t="shared" si="0"/>
        <v>0</v>
      </c>
      <c r="AR4" s="182"/>
      <c r="AS4" s="182"/>
      <c r="AT4" s="182"/>
      <c r="AU4" s="182"/>
      <c r="AV4" s="182"/>
      <c r="AW4" s="182"/>
      <c r="AX4" s="182"/>
      <c r="AY4" s="182"/>
      <c r="AZ4" s="182"/>
      <c r="BA4" s="182"/>
      <c r="BB4" s="182"/>
      <c r="BC4" s="182"/>
      <c r="BD4" s="182"/>
      <c r="BE4" s="182"/>
      <c r="BF4" s="182"/>
      <c r="BG4" s="182"/>
      <c r="BH4" s="182"/>
      <c r="BI4" s="182"/>
      <c r="BJ4" s="182"/>
      <c r="BK4" s="182"/>
      <c r="BL4" s="182"/>
      <c r="BM4" s="182"/>
      <c r="BN4" s="182"/>
      <c r="BO4" s="182"/>
      <c r="BP4" s="182"/>
      <c r="BQ4" s="182"/>
      <c r="BR4" s="182"/>
      <c r="BS4" s="182"/>
      <c r="BT4" s="182"/>
      <c r="BU4" s="182"/>
      <c r="BV4" s="182"/>
      <c r="BW4" s="182"/>
      <c r="BX4" s="182"/>
      <c r="BY4" s="182"/>
      <c r="BZ4" s="182"/>
      <c r="CA4" s="182"/>
      <c r="CB4" s="185">
        <f t="shared" si="1"/>
        <v>0</v>
      </c>
      <c r="CC4" s="185">
        <f t="shared" si="2"/>
        <v>0</v>
      </c>
      <c r="CD4" s="185">
        <f t="shared" si="3"/>
        <v>386</v>
      </c>
      <c r="CE4" s="185" t="e">
        <f>+#REF!</f>
        <v>#REF!</v>
      </c>
    </row>
    <row r="5" spans="1:95" s="197" customFormat="1" ht="37.5" x14ac:dyDescent="0.3">
      <c r="B5" s="182">
        <v>976</v>
      </c>
      <c r="C5" s="182">
        <v>387</v>
      </c>
      <c r="D5" s="182" t="s">
        <v>121</v>
      </c>
      <c r="E5" s="181" t="str">
        <f>+E3</f>
        <v xml:space="preserve">رد تامين نهائى جهاز المخابرات العامه </v>
      </c>
      <c r="F5" s="182"/>
      <c r="G5" s="182"/>
      <c r="H5" s="182"/>
      <c r="I5" s="182"/>
      <c r="J5" s="182"/>
      <c r="K5" s="182"/>
      <c r="L5" s="182"/>
      <c r="M5" s="182"/>
      <c r="N5" s="182"/>
      <c r="O5" s="182"/>
      <c r="P5" s="182"/>
      <c r="Q5" s="182"/>
      <c r="R5" s="182"/>
      <c r="S5" s="182"/>
      <c r="T5" s="182"/>
      <c r="U5" s="182"/>
      <c r="V5" s="182"/>
      <c r="W5" s="182">
        <v>652041.30000000005</v>
      </c>
      <c r="X5" s="182"/>
      <c r="Y5" s="182"/>
      <c r="Z5" s="182"/>
      <c r="AA5" s="182"/>
      <c r="AB5" s="182"/>
      <c r="AC5" s="182"/>
      <c r="AD5" s="182"/>
      <c r="AE5" s="182"/>
      <c r="AF5" s="182"/>
      <c r="AG5" s="182"/>
      <c r="AH5" s="182"/>
      <c r="AI5" s="182"/>
      <c r="AJ5" s="182"/>
      <c r="AK5" s="182"/>
      <c r="AL5" s="182"/>
      <c r="AM5" s="182"/>
      <c r="AN5" s="182"/>
      <c r="AO5" s="182"/>
      <c r="AP5" s="182"/>
      <c r="AQ5" s="185">
        <f t="shared" si="0"/>
        <v>652041.30000000005</v>
      </c>
      <c r="AR5" s="182">
        <v>652041.30000000005</v>
      </c>
      <c r="AS5" s="182"/>
      <c r="AT5" s="182"/>
      <c r="AU5" s="182"/>
      <c r="AV5" s="182"/>
      <c r="AW5" s="182"/>
      <c r="AX5" s="182"/>
      <c r="AY5" s="182"/>
      <c r="AZ5" s="182"/>
      <c r="BA5" s="182"/>
      <c r="BB5" s="182"/>
      <c r="BC5" s="182"/>
      <c r="BD5" s="182"/>
      <c r="BE5" s="182"/>
      <c r="BF5" s="182"/>
      <c r="BG5" s="182"/>
      <c r="BH5" s="182"/>
      <c r="BI5" s="182"/>
      <c r="BJ5" s="182"/>
      <c r="BK5" s="182"/>
      <c r="BL5" s="182"/>
      <c r="BM5" s="182"/>
      <c r="BN5" s="182"/>
      <c r="BO5" s="182"/>
      <c r="BP5" s="182"/>
      <c r="BQ5" s="182"/>
      <c r="BR5" s="182"/>
      <c r="BS5" s="182"/>
      <c r="BT5" s="182"/>
      <c r="BU5" s="182"/>
      <c r="BV5" s="182"/>
      <c r="BW5" s="182"/>
      <c r="BX5" s="182"/>
      <c r="BY5" s="182"/>
      <c r="BZ5" s="182"/>
      <c r="CA5" s="182"/>
      <c r="CB5" s="185">
        <f t="shared" si="1"/>
        <v>652041.30000000005</v>
      </c>
      <c r="CC5" s="185">
        <f t="shared" si="2"/>
        <v>0</v>
      </c>
      <c r="CD5" s="185">
        <f t="shared" si="3"/>
        <v>387</v>
      </c>
      <c r="CE5" s="185" t="e">
        <f>+#REF!</f>
        <v>#REF!</v>
      </c>
    </row>
    <row r="6" spans="1:95" s="197" customFormat="1" ht="75" x14ac:dyDescent="0.3">
      <c r="B6" s="182">
        <v>216</v>
      </c>
      <c r="C6" s="182">
        <v>388</v>
      </c>
      <c r="D6" s="182" t="s">
        <v>121</v>
      </c>
      <c r="E6" s="181" t="s">
        <v>4537</v>
      </c>
      <c r="F6" s="182"/>
      <c r="G6" s="182"/>
      <c r="H6" s="182">
        <v>23400</v>
      </c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  <c r="AB6" s="182"/>
      <c r="AC6" s="182"/>
      <c r="AD6" s="182"/>
      <c r="AE6" s="182"/>
      <c r="AF6" s="182"/>
      <c r="AG6" s="182"/>
      <c r="AH6" s="182"/>
      <c r="AI6" s="182"/>
      <c r="AJ6" s="182"/>
      <c r="AK6" s="182"/>
      <c r="AL6" s="182"/>
      <c r="AM6" s="182"/>
      <c r="AN6" s="182"/>
      <c r="AO6" s="182"/>
      <c r="AP6" s="182"/>
      <c r="AQ6" s="185">
        <f t="shared" si="0"/>
        <v>23400</v>
      </c>
      <c r="AR6" s="182">
        <v>21689.7</v>
      </c>
      <c r="AS6" s="182">
        <f>223+669+5.5</f>
        <v>897.5</v>
      </c>
      <c r="AT6" s="182"/>
      <c r="AU6" s="182"/>
      <c r="AV6" s="182"/>
      <c r="AW6" s="182"/>
      <c r="AX6" s="182"/>
      <c r="AY6" s="182"/>
      <c r="AZ6" s="182"/>
      <c r="BA6" s="182"/>
      <c r="BB6" s="182"/>
      <c r="BC6" s="182"/>
      <c r="BD6" s="182"/>
      <c r="BE6" s="182">
        <v>615.79999999999995</v>
      </c>
      <c r="BF6" s="182">
        <v>12</v>
      </c>
      <c r="BG6" s="182">
        <f>92.5*2</f>
        <v>185</v>
      </c>
      <c r="BH6" s="182"/>
      <c r="BI6" s="182"/>
      <c r="BJ6" s="182"/>
      <c r="BK6" s="182"/>
      <c r="BL6" s="182"/>
      <c r="BM6" s="182"/>
      <c r="BN6" s="182"/>
      <c r="BO6" s="182"/>
      <c r="BP6" s="182"/>
      <c r="BQ6" s="182"/>
      <c r="BR6" s="182"/>
      <c r="BS6" s="182"/>
      <c r="BT6" s="182"/>
      <c r="BU6" s="182"/>
      <c r="BV6" s="182"/>
      <c r="BW6" s="182"/>
      <c r="BX6" s="182"/>
      <c r="BY6" s="182"/>
      <c r="BZ6" s="182"/>
      <c r="CA6" s="182"/>
      <c r="CB6" s="185">
        <f t="shared" si="1"/>
        <v>23400</v>
      </c>
      <c r="CC6" s="185">
        <f t="shared" si="2"/>
        <v>0</v>
      </c>
      <c r="CD6" s="185">
        <f t="shared" si="3"/>
        <v>388</v>
      </c>
      <c r="CE6" s="185" t="e">
        <f>+#REF!</f>
        <v>#REF!</v>
      </c>
    </row>
    <row r="7" spans="1:95" s="197" customFormat="1" ht="75" x14ac:dyDescent="0.3">
      <c r="B7" s="182">
        <v>214</v>
      </c>
      <c r="C7" s="182">
        <v>389</v>
      </c>
      <c r="D7" s="182" t="s">
        <v>121</v>
      </c>
      <c r="E7" s="181" t="s">
        <v>4538</v>
      </c>
      <c r="F7" s="182"/>
      <c r="G7" s="182"/>
      <c r="H7" s="182">
        <v>7843.2</v>
      </c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5">
        <f t="shared" si="0"/>
        <v>7843.2</v>
      </c>
      <c r="AR7" s="182">
        <v>7287.7</v>
      </c>
      <c r="AS7" s="182">
        <f>109.5+328.5+13.5</f>
        <v>451.5</v>
      </c>
      <c r="AT7" s="182"/>
      <c r="AU7" s="182">
        <v>5</v>
      </c>
      <c r="AV7" s="182"/>
      <c r="AW7" s="182"/>
      <c r="AX7" s="182"/>
      <c r="AY7" s="182"/>
      <c r="AZ7" s="182"/>
      <c r="BA7" s="182"/>
      <c r="BB7" s="182"/>
      <c r="BC7" s="182"/>
      <c r="BD7" s="182"/>
      <c r="BE7" s="182">
        <v>69</v>
      </c>
      <c r="BF7" s="182">
        <v>30</v>
      </c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5">
        <f t="shared" si="1"/>
        <v>7843.2</v>
      </c>
      <c r="CC7" s="185">
        <f t="shared" si="2"/>
        <v>0</v>
      </c>
      <c r="CD7" s="185">
        <f t="shared" si="3"/>
        <v>389</v>
      </c>
      <c r="CE7" s="185" t="e">
        <f>+#REF!</f>
        <v>#REF!</v>
      </c>
    </row>
    <row r="8" spans="1:95" s="197" customFormat="1" ht="75" x14ac:dyDescent="0.3">
      <c r="B8" s="182">
        <v>973</v>
      </c>
      <c r="C8" s="182">
        <v>390</v>
      </c>
      <c r="D8" s="182" t="s">
        <v>121</v>
      </c>
      <c r="E8" s="181" t="s">
        <v>4539</v>
      </c>
      <c r="F8" s="182"/>
      <c r="G8" s="182"/>
      <c r="H8" s="182">
        <v>2000</v>
      </c>
      <c r="I8" s="182"/>
      <c r="J8" s="182"/>
      <c r="K8" s="182"/>
      <c r="L8" s="182"/>
      <c r="M8" s="182"/>
      <c r="N8" s="182"/>
      <c r="O8" s="182"/>
      <c r="P8" s="182"/>
      <c r="Q8" s="182"/>
      <c r="R8" s="182"/>
      <c r="S8" s="182"/>
      <c r="T8" s="182"/>
      <c r="U8" s="182"/>
      <c r="V8" s="182"/>
      <c r="W8" s="182"/>
      <c r="X8" s="182"/>
      <c r="Y8" s="182"/>
      <c r="Z8" s="182"/>
      <c r="AA8" s="182"/>
      <c r="AB8" s="182"/>
      <c r="AC8" s="182"/>
      <c r="AD8" s="182"/>
      <c r="AE8" s="182"/>
      <c r="AF8" s="182"/>
      <c r="AG8" s="182"/>
      <c r="AH8" s="182"/>
      <c r="AI8" s="182"/>
      <c r="AJ8" s="182"/>
      <c r="AK8" s="182"/>
      <c r="AL8" s="182"/>
      <c r="AM8" s="182"/>
      <c r="AN8" s="182"/>
      <c r="AO8" s="182"/>
      <c r="AP8" s="182"/>
      <c r="AQ8" s="185">
        <f t="shared" si="0"/>
        <v>2000</v>
      </c>
      <c r="AR8" s="182">
        <v>1832.55</v>
      </c>
      <c r="AS8" s="182">
        <f>26.5+79.5+2.7</f>
        <v>108.7</v>
      </c>
      <c r="AT8" s="182"/>
      <c r="AU8" s="182"/>
      <c r="AV8" s="182"/>
      <c r="AW8" s="182"/>
      <c r="AX8" s="182"/>
      <c r="AY8" s="182"/>
      <c r="AZ8" s="182"/>
      <c r="BA8" s="182"/>
      <c r="BB8" s="182"/>
      <c r="BC8" s="182"/>
      <c r="BD8" s="182"/>
      <c r="BE8" s="182">
        <v>52.75</v>
      </c>
      <c r="BF8" s="182">
        <v>6</v>
      </c>
      <c r="BG8" s="182"/>
      <c r="BH8" s="182"/>
      <c r="BI8" s="182"/>
      <c r="BJ8" s="182"/>
      <c r="BK8" s="182"/>
      <c r="BL8" s="182"/>
      <c r="BM8" s="182"/>
      <c r="BN8" s="182"/>
      <c r="BO8" s="182"/>
      <c r="BP8" s="182"/>
      <c r="BQ8" s="182"/>
      <c r="BR8" s="182"/>
      <c r="BS8" s="182"/>
      <c r="BT8" s="182"/>
      <c r="BU8" s="182"/>
      <c r="BV8" s="182"/>
      <c r="BW8" s="182"/>
      <c r="BX8" s="182"/>
      <c r="BY8" s="182"/>
      <c r="BZ8" s="182"/>
      <c r="CA8" s="182"/>
      <c r="CB8" s="185">
        <f t="shared" si="1"/>
        <v>2000</v>
      </c>
      <c r="CC8" s="185">
        <f t="shared" si="2"/>
        <v>0</v>
      </c>
      <c r="CD8" s="185">
        <f t="shared" si="3"/>
        <v>390</v>
      </c>
      <c r="CE8" s="185" t="e">
        <f>+#REF!</f>
        <v>#REF!</v>
      </c>
    </row>
    <row r="9" spans="1:95" s="197" customFormat="1" ht="75" x14ac:dyDescent="0.3">
      <c r="B9" s="182">
        <v>215</v>
      </c>
      <c r="C9" s="182">
        <v>391</v>
      </c>
      <c r="D9" s="182" t="s">
        <v>121</v>
      </c>
      <c r="E9" s="181" t="s">
        <v>4540</v>
      </c>
      <c r="F9" s="182"/>
      <c r="G9" s="182"/>
      <c r="H9" s="182">
        <v>27500</v>
      </c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5">
        <f t="shared" si="0"/>
        <v>27500</v>
      </c>
      <c r="AR9" s="182">
        <v>23900.5</v>
      </c>
      <c r="AS9" s="182">
        <f>265+795+27</f>
        <v>1087</v>
      </c>
      <c r="AT9" s="182"/>
      <c r="AU9" s="182">
        <v>5</v>
      </c>
      <c r="AV9" s="182"/>
      <c r="AW9" s="182"/>
      <c r="AX9" s="182"/>
      <c r="AY9" s="182"/>
      <c r="AZ9" s="182"/>
      <c r="BA9" s="182"/>
      <c r="BB9" s="182"/>
      <c r="BC9" s="182"/>
      <c r="BD9" s="182"/>
      <c r="BE9" s="182">
        <v>825</v>
      </c>
      <c r="BF9" s="182">
        <v>60</v>
      </c>
      <c r="BG9" s="182">
        <f>123.75*2</f>
        <v>247.5</v>
      </c>
      <c r="BH9" s="182">
        <v>1375</v>
      </c>
      <c r="BI9" s="182"/>
      <c r="BJ9" s="182"/>
      <c r="BK9" s="182"/>
      <c r="BL9" s="182"/>
      <c r="BM9" s="182"/>
      <c r="BN9" s="182"/>
      <c r="BO9" s="182"/>
      <c r="BP9" s="182"/>
      <c r="BQ9" s="182"/>
      <c r="BR9" s="182"/>
      <c r="BS9" s="182"/>
      <c r="BT9" s="182"/>
      <c r="BU9" s="182"/>
      <c r="BV9" s="182"/>
      <c r="BW9" s="182"/>
      <c r="BX9" s="182"/>
      <c r="BY9" s="182"/>
      <c r="BZ9" s="182"/>
      <c r="CA9" s="182"/>
      <c r="CB9" s="185">
        <f t="shared" si="1"/>
        <v>27500</v>
      </c>
      <c r="CC9" s="185">
        <f t="shared" si="2"/>
        <v>0</v>
      </c>
      <c r="CD9" s="185">
        <f t="shared" si="3"/>
        <v>391</v>
      </c>
      <c r="CE9" s="185" t="e">
        <f>+#REF!</f>
        <v>#REF!</v>
      </c>
    </row>
    <row r="10" spans="1:95" s="197" customFormat="1" ht="93.75" x14ac:dyDescent="0.3">
      <c r="B10" s="182">
        <v>974</v>
      </c>
      <c r="C10" s="182">
        <v>392</v>
      </c>
      <c r="D10" s="182" t="s">
        <v>121</v>
      </c>
      <c r="E10" s="181" t="s">
        <v>4541</v>
      </c>
      <c r="F10" s="182"/>
      <c r="G10" s="182"/>
      <c r="H10" s="182">
        <v>332167.5</v>
      </c>
      <c r="I10" s="182"/>
      <c r="J10" s="182"/>
      <c r="K10" s="182"/>
      <c r="L10" s="182"/>
      <c r="M10" s="182"/>
      <c r="N10" s="182"/>
      <c r="O10" s="182"/>
      <c r="P10" s="182"/>
      <c r="Q10" s="182"/>
      <c r="R10" s="182"/>
      <c r="S10" s="182"/>
      <c r="T10" s="182"/>
      <c r="U10" s="182"/>
      <c r="V10" s="182"/>
      <c r="W10" s="182"/>
      <c r="X10" s="182"/>
      <c r="Y10" s="182"/>
      <c r="Z10" s="182"/>
      <c r="AA10" s="182"/>
      <c r="AB10" s="182"/>
      <c r="AC10" s="182"/>
      <c r="AD10" s="182"/>
      <c r="AE10" s="182"/>
      <c r="AF10" s="182"/>
      <c r="AG10" s="182"/>
      <c r="AH10" s="182"/>
      <c r="AI10" s="182"/>
      <c r="AJ10" s="182"/>
      <c r="AK10" s="182"/>
      <c r="AL10" s="182"/>
      <c r="AM10" s="182"/>
      <c r="AN10" s="182"/>
      <c r="AO10" s="182"/>
      <c r="AP10" s="182"/>
      <c r="AQ10" s="185">
        <f t="shared" si="0"/>
        <v>332167.5</v>
      </c>
      <c r="AR10" s="182">
        <v>332167.5</v>
      </c>
      <c r="AS10" s="182"/>
      <c r="AT10" s="182"/>
      <c r="AU10" s="182"/>
      <c r="AV10" s="182"/>
      <c r="AW10" s="18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2"/>
      <c r="BH10" s="182"/>
      <c r="BI10" s="182"/>
      <c r="BJ10" s="182"/>
      <c r="BK10" s="182"/>
      <c r="BL10" s="182"/>
      <c r="BM10" s="182"/>
      <c r="BN10" s="182"/>
      <c r="BO10" s="182"/>
      <c r="BP10" s="182"/>
      <c r="BQ10" s="182"/>
      <c r="BR10" s="182"/>
      <c r="BS10" s="182"/>
      <c r="BT10" s="182"/>
      <c r="BU10" s="182"/>
      <c r="BV10" s="182"/>
      <c r="BW10" s="182"/>
      <c r="BX10" s="182"/>
      <c r="BY10" s="182"/>
      <c r="BZ10" s="182"/>
      <c r="CA10" s="182"/>
      <c r="CB10" s="185">
        <f t="shared" si="1"/>
        <v>332167.5</v>
      </c>
      <c r="CC10" s="185">
        <f t="shared" si="2"/>
        <v>0</v>
      </c>
      <c r="CD10" s="185">
        <f t="shared" si="3"/>
        <v>392</v>
      </c>
      <c r="CE10" s="185" t="e">
        <f>+#REF!</f>
        <v>#REF!</v>
      </c>
    </row>
    <row r="11" spans="1:95" s="197" customFormat="1" ht="56.25" x14ac:dyDescent="0.3">
      <c r="B11" s="182">
        <v>975</v>
      </c>
      <c r="C11" s="182">
        <v>393</v>
      </c>
      <c r="D11" s="182" t="s">
        <v>121</v>
      </c>
      <c r="E11" s="181" t="s">
        <v>4542</v>
      </c>
      <c r="F11" s="182"/>
      <c r="G11" s="182"/>
      <c r="H11" s="182">
        <v>19800</v>
      </c>
      <c r="I11" s="182"/>
      <c r="J11" s="182"/>
      <c r="K11" s="182"/>
      <c r="L11" s="182"/>
      <c r="M11" s="182"/>
      <c r="N11" s="182"/>
      <c r="O11" s="182"/>
      <c r="P11" s="182"/>
      <c r="Q11" s="182"/>
      <c r="R11" s="182"/>
      <c r="S11" s="182"/>
      <c r="T11" s="182"/>
      <c r="U11" s="182"/>
      <c r="V11" s="182"/>
      <c r="W11" s="182"/>
      <c r="X11" s="182"/>
      <c r="Y11" s="182"/>
      <c r="Z11" s="182"/>
      <c r="AA11" s="182"/>
      <c r="AB11" s="182"/>
      <c r="AC11" s="182"/>
      <c r="AD11" s="182"/>
      <c r="AE11" s="182"/>
      <c r="AF11" s="182"/>
      <c r="AG11" s="182"/>
      <c r="AH11" s="182"/>
      <c r="AI11" s="182"/>
      <c r="AJ11" s="182"/>
      <c r="AK11" s="182"/>
      <c r="AL11" s="182"/>
      <c r="AM11" s="182"/>
      <c r="AN11" s="182"/>
      <c r="AO11" s="182"/>
      <c r="AP11" s="182"/>
      <c r="AQ11" s="185">
        <f t="shared" si="0"/>
        <v>19800</v>
      </c>
      <c r="AR11" s="182">
        <v>19800</v>
      </c>
      <c r="AS11" s="182"/>
      <c r="AT11" s="182"/>
      <c r="AU11" s="182"/>
      <c r="AV11" s="182"/>
      <c r="AW11" s="18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2"/>
      <c r="BH11" s="182"/>
      <c r="BI11" s="182"/>
      <c r="BJ11" s="182"/>
      <c r="BK11" s="182"/>
      <c r="BL11" s="182"/>
      <c r="BM11" s="182"/>
      <c r="BN11" s="182"/>
      <c r="BO11" s="182"/>
      <c r="BP11" s="182"/>
      <c r="BQ11" s="182"/>
      <c r="BR11" s="182"/>
      <c r="BS11" s="182"/>
      <c r="BT11" s="182"/>
      <c r="BU11" s="182"/>
      <c r="BV11" s="182"/>
      <c r="BW11" s="182"/>
      <c r="BX11" s="182"/>
      <c r="BY11" s="182"/>
      <c r="BZ11" s="182"/>
      <c r="CA11" s="182"/>
      <c r="CB11" s="185">
        <f t="shared" si="1"/>
        <v>19800</v>
      </c>
      <c r="CC11" s="185">
        <f t="shared" si="2"/>
        <v>0</v>
      </c>
      <c r="CD11" s="185">
        <f t="shared" si="3"/>
        <v>393</v>
      </c>
      <c r="CE11" s="185" t="e">
        <f>+#REF!</f>
        <v>#REF!</v>
      </c>
    </row>
    <row r="12" spans="1:95" s="197" customFormat="1" ht="37.5" x14ac:dyDescent="0.3">
      <c r="B12" s="182"/>
      <c r="C12" s="182">
        <v>394</v>
      </c>
      <c r="D12" s="186" t="s">
        <v>220</v>
      </c>
      <c r="E12" s="181" t="s">
        <v>4543</v>
      </c>
      <c r="F12" s="182"/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  <c r="AB12" s="182"/>
      <c r="AC12" s="182"/>
      <c r="AD12" s="182"/>
      <c r="AE12" s="182"/>
      <c r="AF12" s="182"/>
      <c r="AG12" s="182"/>
      <c r="AH12" s="182"/>
      <c r="AI12" s="182"/>
      <c r="AJ12" s="182"/>
      <c r="AK12" s="182"/>
      <c r="AL12" s="182"/>
      <c r="AM12" s="182"/>
      <c r="AN12" s="182"/>
      <c r="AO12" s="182"/>
      <c r="AP12" s="182"/>
      <c r="AQ12" s="185">
        <f t="shared" si="0"/>
        <v>0</v>
      </c>
      <c r="AR12" s="182"/>
      <c r="AS12" s="182"/>
      <c r="AT12" s="182"/>
      <c r="AU12" s="182"/>
      <c r="AV12" s="182"/>
      <c r="AW12" s="18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2"/>
      <c r="BH12" s="182"/>
      <c r="BI12" s="182"/>
      <c r="BJ12" s="182"/>
      <c r="BK12" s="182"/>
      <c r="BL12" s="182"/>
      <c r="BM12" s="182"/>
      <c r="BN12" s="182"/>
      <c r="BO12" s="182"/>
      <c r="BP12" s="182"/>
      <c r="BQ12" s="182"/>
      <c r="BR12" s="182"/>
      <c r="BS12" s="182"/>
      <c r="BT12" s="182"/>
      <c r="BU12" s="182"/>
      <c r="BV12" s="182"/>
      <c r="BW12" s="182"/>
      <c r="BX12" s="182"/>
      <c r="BY12" s="182"/>
      <c r="BZ12" s="182"/>
      <c r="CA12" s="182"/>
      <c r="CB12" s="185">
        <f t="shared" si="1"/>
        <v>0</v>
      </c>
      <c r="CC12" s="185">
        <f t="shared" si="2"/>
        <v>0</v>
      </c>
      <c r="CD12" s="185">
        <f t="shared" si="3"/>
        <v>394</v>
      </c>
      <c r="CE12" s="185" t="e">
        <f>+#REF!</f>
        <v>#REF!</v>
      </c>
    </row>
    <row r="13" spans="1:95" s="197" customFormat="1" ht="56.25" x14ac:dyDescent="0.3">
      <c r="B13" s="182">
        <v>413</v>
      </c>
      <c r="C13" s="182">
        <v>395</v>
      </c>
      <c r="D13" s="182" t="s">
        <v>325</v>
      </c>
      <c r="E13" s="181" t="s">
        <v>4544</v>
      </c>
      <c r="F13" s="182"/>
      <c r="G13" s="182"/>
      <c r="H13" s="182">
        <v>6499.14</v>
      </c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82"/>
      <c r="X13" s="182"/>
      <c r="Y13" s="182"/>
      <c r="Z13" s="182"/>
      <c r="AA13" s="182"/>
      <c r="AB13" s="182"/>
      <c r="AC13" s="182"/>
      <c r="AD13" s="182"/>
      <c r="AE13" s="182"/>
      <c r="AF13" s="182"/>
      <c r="AG13" s="182"/>
      <c r="AH13" s="182"/>
      <c r="AI13" s="182"/>
      <c r="AJ13" s="182"/>
      <c r="AK13" s="182"/>
      <c r="AL13" s="182"/>
      <c r="AM13" s="182"/>
      <c r="AN13" s="182"/>
      <c r="AO13" s="182"/>
      <c r="AP13" s="182"/>
      <c r="AQ13" s="185">
        <f t="shared" si="0"/>
        <v>6499.14</v>
      </c>
      <c r="AR13" s="182">
        <v>6499.14</v>
      </c>
      <c r="AS13" s="182"/>
      <c r="AT13" s="182"/>
      <c r="AU13" s="182"/>
      <c r="AV13" s="182"/>
      <c r="AW13" s="18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2"/>
      <c r="BH13" s="182"/>
      <c r="BI13" s="182"/>
      <c r="BJ13" s="182"/>
      <c r="BK13" s="182"/>
      <c r="BL13" s="182"/>
      <c r="BM13" s="182"/>
      <c r="BN13" s="182"/>
      <c r="BO13" s="182"/>
      <c r="BP13" s="182"/>
      <c r="BQ13" s="182"/>
      <c r="BR13" s="182"/>
      <c r="BS13" s="182"/>
      <c r="BT13" s="182"/>
      <c r="BU13" s="182"/>
      <c r="BV13" s="182"/>
      <c r="BW13" s="182"/>
      <c r="BX13" s="182"/>
      <c r="BY13" s="182"/>
      <c r="BZ13" s="182"/>
      <c r="CA13" s="182"/>
      <c r="CB13" s="185">
        <f t="shared" si="1"/>
        <v>6499.14</v>
      </c>
      <c r="CC13" s="185">
        <f t="shared" si="2"/>
        <v>0</v>
      </c>
      <c r="CD13" s="185">
        <f t="shared" si="3"/>
        <v>395</v>
      </c>
      <c r="CE13" s="185" t="e">
        <f>+#REF!</f>
        <v>#REF!</v>
      </c>
    </row>
    <row r="14" spans="1:95" s="197" customFormat="1" ht="37.5" x14ac:dyDescent="0.3">
      <c r="B14" s="182">
        <v>979</v>
      </c>
      <c r="C14" s="182">
        <v>396</v>
      </c>
      <c r="D14" s="182" t="str">
        <f>+D13</f>
        <v xml:space="preserve">برنامج دولى </v>
      </c>
      <c r="E14" s="181" t="s">
        <v>4545</v>
      </c>
      <c r="F14" s="182"/>
      <c r="G14" s="182"/>
      <c r="H14" s="182">
        <v>3420</v>
      </c>
      <c r="I14" s="182"/>
      <c r="J14" s="182"/>
      <c r="K14" s="182"/>
      <c r="L14" s="182"/>
      <c r="M14" s="182"/>
      <c r="N14" s="182"/>
      <c r="O14" s="182"/>
      <c r="P14" s="182"/>
      <c r="Q14" s="182"/>
      <c r="R14" s="182"/>
      <c r="S14" s="182"/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2"/>
      <c r="AM14" s="182"/>
      <c r="AN14" s="182"/>
      <c r="AO14" s="182"/>
      <c r="AP14" s="182"/>
      <c r="AQ14" s="185">
        <f t="shared" si="0"/>
        <v>3420</v>
      </c>
      <c r="AR14" s="182">
        <v>3117.3</v>
      </c>
      <c r="AS14" s="182">
        <v>179.7</v>
      </c>
      <c r="AT14" s="182"/>
      <c r="AU14" s="182"/>
      <c r="AV14" s="182"/>
      <c r="AW14" s="182"/>
      <c r="AX14" s="182"/>
      <c r="AY14" s="182"/>
      <c r="AZ14" s="182"/>
      <c r="BA14" s="182"/>
      <c r="BB14" s="182"/>
      <c r="BC14" s="182"/>
      <c r="BD14" s="182"/>
      <c r="BE14" s="182">
        <v>90</v>
      </c>
      <c r="BF14" s="182">
        <v>6</v>
      </c>
      <c r="BG14" s="182">
        <f>13.5*2</f>
        <v>27</v>
      </c>
      <c r="BH14" s="182"/>
      <c r="BI14" s="182"/>
      <c r="BJ14" s="182"/>
      <c r="BK14" s="182"/>
      <c r="BL14" s="182"/>
      <c r="BM14" s="182"/>
      <c r="BN14" s="182"/>
      <c r="BO14" s="182"/>
      <c r="BP14" s="182"/>
      <c r="BQ14" s="182"/>
      <c r="BR14" s="182"/>
      <c r="BS14" s="182"/>
      <c r="BT14" s="182"/>
      <c r="BU14" s="182"/>
      <c r="BV14" s="182"/>
      <c r="BW14" s="182"/>
      <c r="BX14" s="182"/>
      <c r="BY14" s="182"/>
      <c r="BZ14" s="182"/>
      <c r="CA14" s="182"/>
      <c r="CB14" s="185">
        <f t="shared" si="1"/>
        <v>3420</v>
      </c>
      <c r="CC14" s="185">
        <f t="shared" si="2"/>
        <v>0</v>
      </c>
      <c r="CD14" s="185">
        <f t="shared" si="3"/>
        <v>396</v>
      </c>
      <c r="CE14" s="185" t="e">
        <f>+#REF!</f>
        <v>#REF!</v>
      </c>
    </row>
    <row r="15" spans="1:95" s="197" customFormat="1" ht="37.5" x14ac:dyDescent="0.3">
      <c r="B15" s="182">
        <v>978</v>
      </c>
      <c r="C15" s="182">
        <v>397</v>
      </c>
      <c r="D15" s="182" t="str">
        <f>+D14</f>
        <v xml:space="preserve">برنامج دولى </v>
      </c>
      <c r="E15" s="181" t="str">
        <f>+E14</f>
        <v>شركه ميرج ميد صيانه 2 كابينه امان</v>
      </c>
      <c r="F15" s="182"/>
      <c r="G15" s="182"/>
      <c r="H15" s="182">
        <v>3420</v>
      </c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2"/>
      <c r="AM15" s="182"/>
      <c r="AN15" s="182"/>
      <c r="AO15" s="182"/>
      <c r="AP15" s="182"/>
      <c r="AQ15" s="185">
        <f t="shared" si="0"/>
        <v>3420</v>
      </c>
      <c r="AR15" s="182">
        <v>3117.3</v>
      </c>
      <c r="AS15" s="182">
        <v>179.7</v>
      </c>
      <c r="AT15" s="182"/>
      <c r="AU15" s="182"/>
      <c r="AV15" s="182"/>
      <c r="AW15" s="182"/>
      <c r="AX15" s="182"/>
      <c r="AY15" s="182"/>
      <c r="AZ15" s="182"/>
      <c r="BA15" s="182"/>
      <c r="BB15" s="182"/>
      <c r="BC15" s="182"/>
      <c r="BD15" s="182"/>
      <c r="BE15" s="182">
        <v>90</v>
      </c>
      <c r="BF15" s="182">
        <v>6</v>
      </c>
      <c r="BG15" s="182">
        <v>27</v>
      </c>
      <c r="BH15" s="182"/>
      <c r="BI15" s="182"/>
      <c r="BJ15" s="182"/>
      <c r="BK15" s="182"/>
      <c r="BL15" s="182"/>
      <c r="BM15" s="182"/>
      <c r="BN15" s="182"/>
      <c r="BO15" s="182"/>
      <c r="BP15" s="182"/>
      <c r="BQ15" s="182"/>
      <c r="BR15" s="182"/>
      <c r="BS15" s="182"/>
      <c r="BT15" s="182"/>
      <c r="BU15" s="182"/>
      <c r="BV15" s="182"/>
      <c r="BW15" s="182"/>
      <c r="BX15" s="182"/>
      <c r="BY15" s="182"/>
      <c r="BZ15" s="182"/>
      <c r="CA15" s="182"/>
      <c r="CB15" s="185">
        <f t="shared" si="1"/>
        <v>3420</v>
      </c>
      <c r="CC15" s="185">
        <f t="shared" si="2"/>
        <v>0</v>
      </c>
      <c r="CD15" s="185">
        <f t="shared" si="3"/>
        <v>397</v>
      </c>
      <c r="CE15" s="185" t="e">
        <f>+#REF!</f>
        <v>#REF!</v>
      </c>
    </row>
    <row r="16" spans="1:95" s="197" customFormat="1" ht="56.25" x14ac:dyDescent="0.3">
      <c r="B16" s="182">
        <v>237</v>
      </c>
      <c r="C16" s="182">
        <v>398</v>
      </c>
      <c r="D16" s="182" t="str">
        <f>+D15</f>
        <v xml:space="preserve">برنامج دولى </v>
      </c>
      <c r="E16" s="181" t="s">
        <v>4546</v>
      </c>
      <c r="F16" s="182"/>
      <c r="G16" s="182"/>
      <c r="H16" s="182"/>
      <c r="I16" s="182"/>
      <c r="J16" s="182"/>
      <c r="K16" s="182">
        <v>1875303.83</v>
      </c>
      <c r="L16" s="182">
        <v>1875303.83</v>
      </c>
      <c r="M16" s="182">
        <v>1875303.83</v>
      </c>
      <c r="N16" s="182"/>
      <c r="O16" s="182"/>
      <c r="P16" s="182"/>
      <c r="Q16" s="182"/>
      <c r="R16" s="182"/>
      <c r="S16" s="182"/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2"/>
      <c r="AM16" s="182"/>
      <c r="AN16" s="182"/>
      <c r="AO16" s="182"/>
      <c r="AP16" s="182"/>
      <c r="AQ16" s="185">
        <f t="shared" si="0"/>
        <v>5625911.4900000002</v>
      </c>
      <c r="AR16" s="182">
        <v>1725072.88</v>
      </c>
      <c r="AS16" s="182">
        <v>39920.699999999997</v>
      </c>
      <c r="AT16" s="182"/>
      <c r="AU16" s="182">
        <v>5</v>
      </c>
      <c r="AV16" s="182"/>
      <c r="AW16" s="182"/>
      <c r="AX16" s="182"/>
      <c r="AY16" s="182"/>
      <c r="AZ16" s="182"/>
      <c r="BA16" s="182"/>
      <c r="BB16" s="182"/>
      <c r="BC16" s="182"/>
      <c r="BD16" s="182"/>
      <c r="BE16" s="182">
        <v>16450.05</v>
      </c>
      <c r="BF16" s="182">
        <v>90</v>
      </c>
      <c r="BG16" s="182"/>
      <c r="BH16" s="182">
        <v>93765.2</v>
      </c>
      <c r="BI16" s="182"/>
      <c r="BJ16" s="182">
        <v>1875303.83</v>
      </c>
      <c r="BK16" s="182">
        <v>1875303.83</v>
      </c>
      <c r="BL16" s="182"/>
      <c r="BM16" s="182"/>
      <c r="BN16" s="182"/>
      <c r="BO16" s="182"/>
      <c r="BP16" s="182"/>
      <c r="BQ16" s="182"/>
      <c r="BR16" s="182"/>
      <c r="BS16" s="182"/>
      <c r="BT16" s="182"/>
      <c r="BU16" s="182"/>
      <c r="BV16" s="182"/>
      <c r="BW16" s="182"/>
      <c r="BX16" s="182"/>
      <c r="BY16" s="182"/>
      <c r="BZ16" s="182"/>
      <c r="CA16" s="182"/>
      <c r="CB16" s="185">
        <f t="shared" si="1"/>
        <v>5625911.4900000002</v>
      </c>
      <c r="CC16" s="185">
        <f t="shared" si="2"/>
        <v>0</v>
      </c>
      <c r="CD16" s="185">
        <f t="shared" si="3"/>
        <v>398</v>
      </c>
      <c r="CE16" s="185" t="e">
        <f>+#REF!</f>
        <v>#REF!</v>
      </c>
    </row>
    <row r="17" spans="2:83" s="197" customFormat="1" ht="56.25" x14ac:dyDescent="0.3">
      <c r="B17" s="182">
        <v>234</v>
      </c>
      <c r="C17" s="182">
        <v>399</v>
      </c>
      <c r="D17" s="182" t="str">
        <f>+D16</f>
        <v xml:space="preserve">برنامج دولى </v>
      </c>
      <c r="E17" s="181" t="str">
        <f>+E16</f>
        <v xml:space="preserve">شركه النصر للخدمات والصيانه شراء اثاث </v>
      </c>
      <c r="F17" s="182"/>
      <c r="G17" s="182"/>
      <c r="H17" s="182"/>
      <c r="I17" s="182"/>
      <c r="J17" s="182"/>
      <c r="K17" s="182">
        <v>651173.6</v>
      </c>
      <c r="L17" s="182">
        <v>651173.6</v>
      </c>
      <c r="M17" s="182">
        <v>651173.6</v>
      </c>
      <c r="N17" s="182"/>
      <c r="O17" s="182"/>
      <c r="P17" s="182"/>
      <c r="Q17" s="182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2"/>
      <c r="AM17" s="182"/>
      <c r="AN17" s="182"/>
      <c r="AO17" s="182"/>
      <c r="AP17" s="182"/>
      <c r="AQ17" s="185">
        <f t="shared" si="0"/>
        <v>1953520.7999999998</v>
      </c>
      <c r="AR17" s="182">
        <v>598663.4</v>
      </c>
      <c r="AS17" s="182">
        <v>14149.5</v>
      </c>
      <c r="AT17" s="182"/>
      <c r="AU17" s="182"/>
      <c r="AV17" s="182"/>
      <c r="AW17" s="182"/>
      <c r="AX17" s="182"/>
      <c r="AY17" s="182"/>
      <c r="AZ17" s="182"/>
      <c r="BA17" s="182"/>
      <c r="BB17" s="182"/>
      <c r="BC17" s="182"/>
      <c r="BD17" s="182"/>
      <c r="BE17" s="182">
        <v>5712.05</v>
      </c>
      <c r="BF17" s="182">
        <v>90</v>
      </c>
      <c r="BG17" s="182"/>
      <c r="BH17" s="182">
        <v>32558.65</v>
      </c>
      <c r="BI17" s="182"/>
      <c r="BJ17" s="182">
        <v>651173.6</v>
      </c>
      <c r="BK17" s="182">
        <v>651173.6</v>
      </c>
      <c r="BL17" s="182"/>
      <c r="BM17" s="182"/>
      <c r="BN17" s="182"/>
      <c r="BO17" s="182"/>
      <c r="BP17" s="182"/>
      <c r="BQ17" s="182"/>
      <c r="BR17" s="182"/>
      <c r="BS17" s="182"/>
      <c r="BT17" s="182"/>
      <c r="BU17" s="182"/>
      <c r="BV17" s="182"/>
      <c r="BW17" s="182"/>
      <c r="BX17" s="182"/>
      <c r="BY17" s="182"/>
      <c r="BZ17" s="182"/>
      <c r="CA17" s="182"/>
      <c r="CB17" s="185">
        <f t="shared" si="1"/>
        <v>1953520.8000000003</v>
      </c>
      <c r="CC17" s="185">
        <f t="shared" si="2"/>
        <v>0</v>
      </c>
      <c r="CD17" s="185">
        <f t="shared" si="3"/>
        <v>399</v>
      </c>
      <c r="CE17" s="185" t="e">
        <f>+#REF!</f>
        <v>#REF!</v>
      </c>
    </row>
    <row r="18" spans="2:83" s="197" customFormat="1" ht="37.5" x14ac:dyDescent="0.3">
      <c r="B18" s="182">
        <v>220</v>
      </c>
      <c r="C18" s="182">
        <v>400</v>
      </c>
      <c r="D18" s="182" t="s">
        <v>121</v>
      </c>
      <c r="E18" s="181" t="s">
        <v>4535</v>
      </c>
      <c r="F18" s="182"/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182"/>
      <c r="T18" s="182"/>
      <c r="U18" s="182"/>
      <c r="V18" s="182"/>
      <c r="W18" s="182">
        <v>251491</v>
      </c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2"/>
      <c r="AM18" s="182"/>
      <c r="AN18" s="182"/>
      <c r="AO18" s="182"/>
      <c r="AP18" s="182"/>
      <c r="AQ18" s="185">
        <f t="shared" si="0"/>
        <v>251491</v>
      </c>
      <c r="AR18" s="182">
        <v>251491</v>
      </c>
      <c r="AS18" s="182"/>
      <c r="AT18" s="182"/>
      <c r="AU18" s="182"/>
      <c r="AV18" s="182"/>
      <c r="AW18" s="18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  <c r="BM18" s="182"/>
      <c r="BN18" s="182"/>
      <c r="BO18" s="182"/>
      <c r="BP18" s="182"/>
      <c r="BQ18" s="182"/>
      <c r="BR18" s="182"/>
      <c r="BS18" s="182"/>
      <c r="BT18" s="182"/>
      <c r="BU18" s="182"/>
      <c r="BV18" s="182"/>
      <c r="BW18" s="182"/>
      <c r="BX18" s="182"/>
      <c r="BY18" s="182"/>
      <c r="BZ18" s="182"/>
      <c r="CA18" s="182"/>
      <c r="CB18" s="185">
        <f t="shared" si="1"/>
        <v>251491</v>
      </c>
      <c r="CC18" s="185">
        <f t="shared" si="2"/>
        <v>0</v>
      </c>
      <c r="CD18" s="185">
        <f t="shared" si="3"/>
        <v>400</v>
      </c>
      <c r="CE18" s="185" t="e">
        <f>+#REF!</f>
        <v>#REF!</v>
      </c>
    </row>
    <row r="19" spans="2:83" s="197" customFormat="1" ht="37.5" x14ac:dyDescent="0.3">
      <c r="B19" s="182">
        <v>970</v>
      </c>
      <c r="C19" s="182">
        <v>401</v>
      </c>
      <c r="D19" s="182" t="s">
        <v>724</v>
      </c>
      <c r="E19" s="181" t="s">
        <v>4547</v>
      </c>
      <c r="F19" s="182"/>
      <c r="G19" s="182">
        <v>835.22</v>
      </c>
      <c r="H19" s="182"/>
      <c r="I19" s="182"/>
      <c r="J19" s="182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2"/>
      <c r="AM19" s="182"/>
      <c r="AN19" s="182"/>
      <c r="AO19" s="182"/>
      <c r="AP19" s="182"/>
      <c r="AQ19" s="185">
        <f t="shared" si="0"/>
        <v>835.22</v>
      </c>
      <c r="AR19" s="182">
        <v>553.15</v>
      </c>
      <c r="AS19" s="182">
        <v>72.89</v>
      </c>
      <c r="AT19" s="182">
        <v>209.18</v>
      </c>
      <c r="AU19" s="182"/>
      <c r="AV19" s="182"/>
      <c r="AW19" s="18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2"/>
      <c r="BH19" s="182"/>
      <c r="BI19" s="182"/>
      <c r="BJ19" s="182"/>
      <c r="BK19" s="182"/>
      <c r="BL19" s="182"/>
      <c r="BM19" s="182"/>
      <c r="BN19" s="182"/>
      <c r="BO19" s="182"/>
      <c r="BP19" s="182"/>
      <c r="BQ19" s="182"/>
      <c r="BR19" s="182"/>
      <c r="BS19" s="182"/>
      <c r="BT19" s="182"/>
      <c r="BU19" s="182"/>
      <c r="BV19" s="182"/>
      <c r="BW19" s="182"/>
      <c r="BX19" s="182"/>
      <c r="BY19" s="182"/>
      <c r="BZ19" s="182"/>
      <c r="CA19" s="182"/>
      <c r="CB19" s="185">
        <f t="shared" si="1"/>
        <v>835.22</v>
      </c>
      <c r="CC19" s="185">
        <f t="shared" si="2"/>
        <v>0</v>
      </c>
      <c r="CD19" s="185">
        <f t="shared" si="3"/>
        <v>401</v>
      </c>
      <c r="CE19" s="185" t="e">
        <f>+#REF!</f>
        <v>#REF!</v>
      </c>
    </row>
    <row r="20" spans="2:83" s="197" customFormat="1" ht="37.5" x14ac:dyDescent="0.3">
      <c r="B20" s="182">
        <v>969</v>
      </c>
      <c r="C20" s="182">
        <v>402</v>
      </c>
      <c r="D20" s="182" t="s">
        <v>724</v>
      </c>
      <c r="E20" s="181" t="s">
        <v>4547</v>
      </c>
      <c r="F20" s="182"/>
      <c r="G20" s="182">
        <v>365.24</v>
      </c>
      <c r="H20" s="182"/>
      <c r="I20" s="182"/>
      <c r="J20" s="182"/>
      <c r="K20" s="182"/>
      <c r="L20" s="182"/>
      <c r="M20" s="182"/>
      <c r="N20" s="182"/>
      <c r="O20" s="182"/>
      <c r="P20" s="182"/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2"/>
      <c r="AM20" s="182"/>
      <c r="AN20" s="182"/>
      <c r="AO20" s="182"/>
      <c r="AP20" s="182"/>
      <c r="AQ20" s="185">
        <f t="shared" si="0"/>
        <v>365.24</v>
      </c>
      <c r="AR20" s="182">
        <v>262.7</v>
      </c>
      <c r="AS20" s="182">
        <v>7.28</v>
      </c>
      <c r="AT20" s="182">
        <v>95.26</v>
      </c>
      <c r="AU20" s="182"/>
      <c r="AV20" s="182"/>
      <c r="AW20" s="18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2"/>
      <c r="BH20" s="182"/>
      <c r="BI20" s="182"/>
      <c r="BJ20" s="182"/>
      <c r="BK20" s="182"/>
      <c r="BL20" s="182"/>
      <c r="BM20" s="182"/>
      <c r="BN20" s="182"/>
      <c r="BO20" s="182"/>
      <c r="BP20" s="182"/>
      <c r="BQ20" s="182"/>
      <c r="BR20" s="182"/>
      <c r="BS20" s="182"/>
      <c r="BT20" s="182"/>
      <c r="BU20" s="182"/>
      <c r="BV20" s="182"/>
      <c r="BW20" s="182"/>
      <c r="BX20" s="182"/>
      <c r="BY20" s="182"/>
      <c r="BZ20" s="182"/>
      <c r="CA20" s="182"/>
      <c r="CB20" s="185">
        <f t="shared" si="1"/>
        <v>365.23999999999995</v>
      </c>
      <c r="CC20" s="185">
        <f t="shared" si="2"/>
        <v>0</v>
      </c>
      <c r="CD20" s="185">
        <f t="shared" si="3"/>
        <v>402</v>
      </c>
      <c r="CE20" s="185" t="e">
        <f>+#REF!</f>
        <v>#REF!</v>
      </c>
    </row>
    <row r="21" spans="2:83" s="197" customFormat="1" ht="37.5" x14ac:dyDescent="0.3">
      <c r="B21" s="182">
        <v>994</v>
      </c>
      <c r="C21" s="182">
        <v>403</v>
      </c>
      <c r="D21" s="182" t="s">
        <v>123</v>
      </c>
      <c r="E21" s="181" t="s">
        <v>4548</v>
      </c>
      <c r="F21" s="182"/>
      <c r="G21" s="182">
        <v>470.44</v>
      </c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2"/>
      <c r="AM21" s="182"/>
      <c r="AN21" s="182"/>
      <c r="AO21" s="182"/>
      <c r="AP21" s="182"/>
      <c r="AQ21" s="185">
        <f t="shared" si="0"/>
        <v>470.44</v>
      </c>
      <c r="AR21" s="182">
        <v>295.91000000000003</v>
      </c>
      <c r="AS21" s="182">
        <v>41.12</v>
      </c>
      <c r="AT21" s="182">
        <v>113.35</v>
      </c>
      <c r="AU21" s="182">
        <v>20.059999999999999</v>
      </c>
      <c r="AV21" s="182"/>
      <c r="AW21" s="18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2"/>
      <c r="BH21" s="182"/>
      <c r="BI21" s="182"/>
      <c r="BJ21" s="182"/>
      <c r="BK21" s="182"/>
      <c r="BL21" s="182"/>
      <c r="BM21" s="182"/>
      <c r="BN21" s="182"/>
      <c r="BO21" s="182"/>
      <c r="BP21" s="182"/>
      <c r="BQ21" s="182"/>
      <c r="BR21" s="182"/>
      <c r="BS21" s="182"/>
      <c r="BT21" s="182"/>
      <c r="BU21" s="182"/>
      <c r="BV21" s="182"/>
      <c r="BW21" s="182"/>
      <c r="BX21" s="182"/>
      <c r="BY21" s="182"/>
      <c r="BZ21" s="182"/>
      <c r="CA21" s="182"/>
      <c r="CB21" s="185">
        <f t="shared" si="1"/>
        <v>470.44</v>
      </c>
      <c r="CC21" s="185">
        <f t="shared" si="2"/>
        <v>0</v>
      </c>
      <c r="CD21" s="185">
        <f t="shared" si="3"/>
        <v>403</v>
      </c>
      <c r="CE21" s="185" t="e">
        <f>+#REF!</f>
        <v>#REF!</v>
      </c>
    </row>
    <row r="22" spans="2:83" s="197" customFormat="1" ht="37.5" x14ac:dyDescent="0.3">
      <c r="B22" s="182">
        <v>1076</v>
      </c>
      <c r="C22" s="182">
        <v>404</v>
      </c>
      <c r="D22" s="182" t="s">
        <v>130</v>
      </c>
      <c r="E22" s="181" t="s">
        <v>4549</v>
      </c>
      <c r="F22" s="182"/>
      <c r="G22" s="182">
        <v>250</v>
      </c>
      <c r="H22" s="182"/>
      <c r="I22" s="182"/>
      <c r="J22" s="182"/>
      <c r="K22" s="182"/>
      <c r="L22" s="182"/>
      <c r="M22" s="182"/>
      <c r="N22" s="182"/>
      <c r="O22" s="182"/>
      <c r="P22" s="182"/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5">
        <f t="shared" si="0"/>
        <v>250</v>
      </c>
      <c r="AR22" s="182">
        <v>211.3</v>
      </c>
      <c r="AS22" s="182">
        <v>26.2</v>
      </c>
      <c r="AT22" s="182"/>
      <c r="AU22" s="182">
        <v>12.5</v>
      </c>
      <c r="AV22" s="182"/>
      <c r="AW22" s="18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2"/>
      <c r="BH22" s="182"/>
      <c r="BI22" s="182"/>
      <c r="BJ22" s="182"/>
      <c r="BK22" s="182"/>
      <c r="BL22" s="182"/>
      <c r="BM22" s="182"/>
      <c r="BN22" s="182"/>
      <c r="BO22" s="182"/>
      <c r="BP22" s="182"/>
      <c r="BQ22" s="182"/>
      <c r="BR22" s="182"/>
      <c r="BS22" s="182"/>
      <c r="BT22" s="182"/>
      <c r="BU22" s="182"/>
      <c r="BV22" s="182"/>
      <c r="BW22" s="182"/>
      <c r="BX22" s="182"/>
      <c r="BY22" s="182"/>
      <c r="BZ22" s="182"/>
      <c r="CA22" s="182"/>
      <c r="CB22" s="185">
        <f t="shared" si="1"/>
        <v>250</v>
      </c>
      <c r="CC22" s="185">
        <f t="shared" si="2"/>
        <v>0</v>
      </c>
      <c r="CD22" s="185">
        <f t="shared" si="3"/>
        <v>404</v>
      </c>
      <c r="CE22" s="185" t="e">
        <f>+#REF!</f>
        <v>#REF!</v>
      </c>
    </row>
    <row r="23" spans="2:83" s="197" customFormat="1" ht="37.5" x14ac:dyDescent="0.3">
      <c r="B23" s="182">
        <v>1077</v>
      </c>
      <c r="C23" s="182">
        <v>405</v>
      </c>
      <c r="D23" s="182" t="s">
        <v>130</v>
      </c>
      <c r="E23" s="181" t="s">
        <v>4549</v>
      </c>
      <c r="F23" s="182"/>
      <c r="G23" s="182">
        <v>727.62</v>
      </c>
      <c r="H23" s="182"/>
      <c r="I23" s="182"/>
      <c r="J23" s="182"/>
      <c r="K23" s="182"/>
      <c r="L23" s="182"/>
      <c r="M23" s="182"/>
      <c r="N23" s="182"/>
      <c r="O23" s="182"/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2"/>
      <c r="AM23" s="182"/>
      <c r="AN23" s="182"/>
      <c r="AO23" s="182"/>
      <c r="AP23" s="182"/>
      <c r="AQ23" s="185">
        <f t="shared" si="0"/>
        <v>727.62</v>
      </c>
      <c r="AR23" s="182">
        <v>551.12</v>
      </c>
      <c r="AS23" s="182">
        <v>16.88</v>
      </c>
      <c r="AT23" s="182">
        <v>127.12</v>
      </c>
      <c r="AU23" s="182">
        <v>32.5</v>
      </c>
      <c r="AV23" s="182"/>
      <c r="AW23" s="18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2"/>
      <c r="BH23" s="182"/>
      <c r="BI23" s="182"/>
      <c r="BJ23" s="182"/>
      <c r="BK23" s="182"/>
      <c r="BL23" s="182"/>
      <c r="BM23" s="182"/>
      <c r="BN23" s="182"/>
      <c r="BO23" s="182"/>
      <c r="BP23" s="182"/>
      <c r="BQ23" s="182"/>
      <c r="BR23" s="182"/>
      <c r="BS23" s="182"/>
      <c r="BT23" s="182"/>
      <c r="BU23" s="182"/>
      <c r="BV23" s="182"/>
      <c r="BW23" s="182"/>
      <c r="BX23" s="182"/>
      <c r="BY23" s="182"/>
      <c r="BZ23" s="182"/>
      <c r="CA23" s="182"/>
      <c r="CB23" s="185">
        <f t="shared" si="1"/>
        <v>727.62</v>
      </c>
      <c r="CC23" s="185">
        <f t="shared" si="2"/>
        <v>0</v>
      </c>
      <c r="CD23" s="185">
        <f t="shared" si="3"/>
        <v>405</v>
      </c>
      <c r="CE23" s="185" t="e">
        <f>+#REF!</f>
        <v>#REF!</v>
      </c>
    </row>
    <row r="24" spans="2:83" s="197" customFormat="1" ht="37.5" x14ac:dyDescent="0.3">
      <c r="B24" s="182">
        <v>1022</v>
      </c>
      <c r="C24" s="182">
        <v>406</v>
      </c>
      <c r="D24" s="182" t="s">
        <v>130</v>
      </c>
      <c r="E24" s="181" t="s">
        <v>4550</v>
      </c>
      <c r="F24" s="182"/>
      <c r="G24" s="182">
        <v>850</v>
      </c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2"/>
      <c r="AM24" s="182"/>
      <c r="AN24" s="182"/>
      <c r="AO24" s="182"/>
      <c r="AP24" s="182"/>
      <c r="AQ24" s="185">
        <f t="shared" si="0"/>
        <v>850</v>
      </c>
      <c r="AR24" s="182">
        <v>721.71</v>
      </c>
      <c r="AS24" s="182">
        <v>85.79</v>
      </c>
      <c r="AT24" s="182"/>
      <c r="AU24" s="182">
        <v>42.5</v>
      </c>
      <c r="AV24" s="182"/>
      <c r="AW24" s="18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2"/>
      <c r="BH24" s="182"/>
      <c r="BI24" s="182"/>
      <c r="BJ24" s="182"/>
      <c r="BK24" s="182"/>
      <c r="BL24" s="182"/>
      <c r="BM24" s="182"/>
      <c r="BN24" s="182"/>
      <c r="BO24" s="182"/>
      <c r="BP24" s="182"/>
      <c r="BQ24" s="182"/>
      <c r="BR24" s="182"/>
      <c r="BS24" s="182"/>
      <c r="BT24" s="182"/>
      <c r="BU24" s="182"/>
      <c r="BV24" s="182"/>
      <c r="BW24" s="182"/>
      <c r="BX24" s="182"/>
      <c r="BY24" s="182"/>
      <c r="BZ24" s="182"/>
      <c r="CA24" s="182"/>
      <c r="CB24" s="185">
        <f t="shared" si="1"/>
        <v>850</v>
      </c>
      <c r="CC24" s="185">
        <f t="shared" si="2"/>
        <v>0</v>
      </c>
      <c r="CD24" s="185">
        <f t="shared" si="3"/>
        <v>406</v>
      </c>
      <c r="CE24" s="185" t="e">
        <f>+#REF!</f>
        <v>#REF!</v>
      </c>
    </row>
    <row r="25" spans="2:83" s="197" customFormat="1" ht="37.5" x14ac:dyDescent="0.3">
      <c r="B25" s="182">
        <v>751</v>
      </c>
      <c r="C25" s="182">
        <v>407</v>
      </c>
      <c r="D25" s="182" t="s">
        <v>325</v>
      </c>
      <c r="E25" s="181" t="s">
        <v>4551</v>
      </c>
      <c r="F25" s="182"/>
      <c r="G25" s="182">
        <v>130.05000000000001</v>
      </c>
      <c r="H25" s="182"/>
      <c r="I25" s="182"/>
      <c r="J25" s="182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2"/>
      <c r="AM25" s="182"/>
      <c r="AN25" s="182"/>
      <c r="AO25" s="182"/>
      <c r="AP25" s="182"/>
      <c r="AQ25" s="185">
        <f t="shared" si="0"/>
        <v>130.05000000000001</v>
      </c>
      <c r="AR25" s="182">
        <v>111.5</v>
      </c>
      <c r="AS25" s="182">
        <v>13.65</v>
      </c>
      <c r="AT25" s="182">
        <v>4.9000000000000004</v>
      </c>
      <c r="AU25" s="182"/>
      <c r="AV25" s="182"/>
      <c r="AW25" s="18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2"/>
      <c r="BH25" s="182"/>
      <c r="BI25" s="182"/>
      <c r="BJ25" s="182"/>
      <c r="BK25" s="182"/>
      <c r="BL25" s="182"/>
      <c r="BM25" s="182"/>
      <c r="BN25" s="182"/>
      <c r="BO25" s="182"/>
      <c r="BP25" s="182"/>
      <c r="BQ25" s="182"/>
      <c r="BR25" s="182"/>
      <c r="BS25" s="182"/>
      <c r="BT25" s="182"/>
      <c r="BU25" s="182"/>
      <c r="BV25" s="182"/>
      <c r="BW25" s="182"/>
      <c r="BX25" s="182"/>
      <c r="BY25" s="182"/>
      <c r="BZ25" s="182"/>
      <c r="CA25" s="182"/>
      <c r="CB25" s="185">
        <f t="shared" si="1"/>
        <v>130.05000000000001</v>
      </c>
      <c r="CC25" s="185">
        <f t="shared" si="2"/>
        <v>0</v>
      </c>
      <c r="CD25" s="185">
        <f t="shared" si="3"/>
        <v>407</v>
      </c>
      <c r="CE25" s="185" t="e">
        <f>+#REF!</f>
        <v>#REF!</v>
      </c>
    </row>
    <row r="26" spans="2:83" s="197" customFormat="1" ht="56.25" x14ac:dyDescent="0.3">
      <c r="B26" s="182">
        <v>699</v>
      </c>
      <c r="C26" s="182">
        <v>408</v>
      </c>
      <c r="D26" s="182" t="s">
        <v>325</v>
      </c>
      <c r="E26" s="181" t="s">
        <v>4552</v>
      </c>
      <c r="F26" s="182"/>
      <c r="G26" s="182">
        <v>288.44</v>
      </c>
      <c r="H26" s="182"/>
      <c r="I26" s="182"/>
      <c r="J26" s="182"/>
      <c r="K26" s="182"/>
      <c r="L26" s="182"/>
      <c r="M26" s="182"/>
      <c r="N26" s="182"/>
      <c r="O26" s="182"/>
      <c r="P26" s="182"/>
      <c r="Q26" s="182"/>
      <c r="R26" s="182"/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2"/>
      <c r="AM26" s="182"/>
      <c r="AN26" s="182"/>
      <c r="AO26" s="182"/>
      <c r="AP26" s="182"/>
      <c r="AQ26" s="185">
        <f t="shared" si="0"/>
        <v>288.44</v>
      </c>
      <c r="AR26" s="182">
        <v>193.29</v>
      </c>
      <c r="AS26" s="182">
        <v>25.65</v>
      </c>
      <c r="AT26" s="182">
        <v>69.5</v>
      </c>
      <c r="AU26" s="182"/>
      <c r="AV26" s="182"/>
      <c r="AW26" s="18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2"/>
      <c r="BH26" s="182"/>
      <c r="BI26" s="182"/>
      <c r="BJ26" s="182"/>
      <c r="BK26" s="182"/>
      <c r="BL26" s="182"/>
      <c r="BM26" s="182"/>
      <c r="BN26" s="182"/>
      <c r="BO26" s="182"/>
      <c r="BP26" s="182"/>
      <c r="BQ26" s="182"/>
      <c r="BR26" s="182"/>
      <c r="BS26" s="182"/>
      <c r="BT26" s="182"/>
      <c r="BU26" s="182"/>
      <c r="BV26" s="182"/>
      <c r="BW26" s="182"/>
      <c r="BX26" s="182"/>
      <c r="BY26" s="182"/>
      <c r="BZ26" s="182"/>
      <c r="CA26" s="182"/>
      <c r="CB26" s="185">
        <f t="shared" si="1"/>
        <v>288.44</v>
      </c>
      <c r="CC26" s="185">
        <f t="shared" si="2"/>
        <v>0</v>
      </c>
      <c r="CD26" s="185">
        <f t="shared" si="3"/>
        <v>408</v>
      </c>
      <c r="CE26" s="185" t="e">
        <f>+#REF!</f>
        <v>#REF!</v>
      </c>
    </row>
    <row r="27" spans="2:83" s="197" customFormat="1" ht="56.25" x14ac:dyDescent="0.3">
      <c r="B27" s="182">
        <v>698</v>
      </c>
      <c r="C27" s="182">
        <v>409</v>
      </c>
      <c r="D27" s="182" t="s">
        <v>325</v>
      </c>
      <c r="E27" s="181" t="s">
        <v>4552</v>
      </c>
      <c r="F27" s="182"/>
      <c r="G27" s="182">
        <v>349.53</v>
      </c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5">
        <f t="shared" si="0"/>
        <v>349.53</v>
      </c>
      <c r="AR27" s="182">
        <v>237.53</v>
      </c>
      <c r="AS27" s="182">
        <v>27.79</v>
      </c>
      <c r="AT27" s="182">
        <v>84.21</v>
      </c>
      <c r="AU27" s="182"/>
      <c r="AV27" s="182"/>
      <c r="AW27" s="18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2"/>
      <c r="BH27" s="182"/>
      <c r="BI27" s="182"/>
      <c r="BJ27" s="182"/>
      <c r="BK27" s="182"/>
      <c r="BL27" s="182"/>
      <c r="BM27" s="182"/>
      <c r="BN27" s="182"/>
      <c r="BO27" s="182"/>
      <c r="BP27" s="182"/>
      <c r="BQ27" s="182"/>
      <c r="BR27" s="182"/>
      <c r="BS27" s="182"/>
      <c r="BT27" s="182"/>
      <c r="BU27" s="182"/>
      <c r="BV27" s="182"/>
      <c r="BW27" s="182"/>
      <c r="BX27" s="182"/>
      <c r="BY27" s="182"/>
      <c r="BZ27" s="182"/>
      <c r="CA27" s="182"/>
      <c r="CB27" s="185">
        <f t="shared" si="1"/>
        <v>349.53</v>
      </c>
      <c r="CC27" s="185">
        <f t="shared" si="2"/>
        <v>0</v>
      </c>
      <c r="CD27" s="185">
        <f t="shared" si="3"/>
        <v>409</v>
      </c>
      <c r="CE27" s="185" t="e">
        <f>+#REF!</f>
        <v>#REF!</v>
      </c>
    </row>
    <row r="28" spans="2:83" s="197" customFormat="1" ht="56.25" x14ac:dyDescent="0.3">
      <c r="B28" s="182">
        <v>697</v>
      </c>
      <c r="C28" s="182">
        <v>410</v>
      </c>
      <c r="D28" s="182" t="s">
        <v>325</v>
      </c>
      <c r="E28" s="181" t="s">
        <v>4552</v>
      </c>
      <c r="F28" s="182"/>
      <c r="G28" s="182">
        <v>288.44</v>
      </c>
      <c r="H28" s="182"/>
      <c r="I28" s="182"/>
      <c r="J28" s="182"/>
      <c r="K28" s="182"/>
      <c r="L28" s="182"/>
      <c r="M28" s="182"/>
      <c r="N28" s="182"/>
      <c r="O28" s="182"/>
      <c r="P28" s="182"/>
      <c r="Q28" s="182"/>
      <c r="R28" s="182"/>
      <c r="S28" s="182"/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182"/>
      <c r="AM28" s="182"/>
      <c r="AN28" s="182"/>
      <c r="AO28" s="182"/>
      <c r="AP28" s="182"/>
      <c r="AQ28" s="185">
        <f t="shared" si="0"/>
        <v>288.44</v>
      </c>
      <c r="AR28" s="182">
        <v>196.1</v>
      </c>
      <c r="AS28" s="182">
        <v>22.84</v>
      </c>
      <c r="AT28" s="182">
        <v>69.5</v>
      </c>
      <c r="AU28" s="182"/>
      <c r="AV28" s="182"/>
      <c r="AW28" s="18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2"/>
      <c r="BH28" s="182"/>
      <c r="BI28" s="182"/>
      <c r="BJ28" s="182"/>
      <c r="BK28" s="182"/>
      <c r="BL28" s="182"/>
      <c r="BM28" s="182"/>
      <c r="BN28" s="182"/>
      <c r="BO28" s="182"/>
      <c r="BP28" s="182"/>
      <c r="BQ28" s="182"/>
      <c r="BR28" s="182"/>
      <c r="BS28" s="182"/>
      <c r="BT28" s="182"/>
      <c r="BU28" s="182"/>
      <c r="BV28" s="182"/>
      <c r="BW28" s="182"/>
      <c r="BX28" s="182"/>
      <c r="BY28" s="182"/>
      <c r="BZ28" s="182"/>
      <c r="CA28" s="182"/>
      <c r="CB28" s="185">
        <f t="shared" si="1"/>
        <v>288.44</v>
      </c>
      <c r="CC28" s="185">
        <f t="shared" si="2"/>
        <v>0</v>
      </c>
      <c r="CD28" s="185">
        <f t="shared" si="3"/>
        <v>410</v>
      </c>
      <c r="CE28" s="185" t="e">
        <f>+#REF!</f>
        <v>#REF!</v>
      </c>
    </row>
    <row r="29" spans="2:83" s="197" customFormat="1" ht="56.25" x14ac:dyDescent="0.3">
      <c r="B29" s="182">
        <v>696</v>
      </c>
      <c r="C29" s="182">
        <v>411</v>
      </c>
      <c r="D29" s="182" t="s">
        <v>325</v>
      </c>
      <c r="E29" s="181" t="s">
        <v>4552</v>
      </c>
      <c r="F29" s="182"/>
      <c r="G29" s="182">
        <v>4231.4399999999996</v>
      </c>
      <c r="H29" s="182"/>
      <c r="I29" s="182"/>
      <c r="J29" s="182"/>
      <c r="K29" s="182"/>
      <c r="L29" s="182"/>
      <c r="M29" s="182"/>
      <c r="N29" s="182"/>
      <c r="O29" s="182"/>
      <c r="P29" s="182"/>
      <c r="Q29" s="182"/>
      <c r="R29" s="182"/>
      <c r="S29" s="182"/>
      <c r="T29" s="182"/>
      <c r="U29" s="182"/>
      <c r="V29" s="182"/>
      <c r="W29" s="182"/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2"/>
      <c r="AM29" s="182"/>
      <c r="AN29" s="182"/>
      <c r="AO29" s="182"/>
      <c r="AP29" s="182"/>
      <c r="AQ29" s="185">
        <f t="shared" si="0"/>
        <v>4231.4399999999996</v>
      </c>
      <c r="AR29" s="182">
        <v>2808.69</v>
      </c>
      <c r="AS29" s="182">
        <v>413.72</v>
      </c>
      <c r="AT29" s="182">
        <v>1009.03</v>
      </c>
      <c r="AU29" s="182"/>
      <c r="AV29" s="182"/>
      <c r="AW29" s="18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2"/>
      <c r="BH29" s="182"/>
      <c r="BI29" s="182"/>
      <c r="BJ29" s="182"/>
      <c r="BK29" s="182"/>
      <c r="BL29" s="182"/>
      <c r="BM29" s="182"/>
      <c r="BN29" s="182"/>
      <c r="BO29" s="182"/>
      <c r="BP29" s="182"/>
      <c r="BQ29" s="182"/>
      <c r="BR29" s="182"/>
      <c r="BS29" s="182"/>
      <c r="BT29" s="182"/>
      <c r="BU29" s="182"/>
      <c r="BV29" s="182"/>
      <c r="BW29" s="182"/>
      <c r="BX29" s="182"/>
      <c r="BY29" s="182"/>
      <c r="BZ29" s="182"/>
      <c r="CA29" s="182"/>
      <c r="CB29" s="185">
        <f t="shared" si="1"/>
        <v>4231.4399999999996</v>
      </c>
      <c r="CC29" s="185">
        <f t="shared" si="2"/>
        <v>0</v>
      </c>
      <c r="CD29" s="185">
        <f t="shared" si="3"/>
        <v>411</v>
      </c>
      <c r="CE29" s="185" t="e">
        <f>+#REF!</f>
        <v>#REF!</v>
      </c>
    </row>
    <row r="30" spans="2:83" s="197" customFormat="1" ht="56.25" x14ac:dyDescent="0.3">
      <c r="B30" s="182">
        <v>695</v>
      </c>
      <c r="C30" s="182">
        <v>412</v>
      </c>
      <c r="D30" s="182" t="s">
        <v>325</v>
      </c>
      <c r="E30" s="181" t="s">
        <v>4552</v>
      </c>
      <c r="F30" s="182"/>
      <c r="G30" s="182">
        <v>280.33999999999997</v>
      </c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182"/>
      <c r="T30" s="182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2"/>
      <c r="AM30" s="182"/>
      <c r="AN30" s="182"/>
      <c r="AO30" s="182"/>
      <c r="AP30" s="182"/>
      <c r="AQ30" s="185">
        <f t="shared" si="0"/>
        <v>280.33999999999997</v>
      </c>
      <c r="AR30" s="182">
        <v>190.62</v>
      </c>
      <c r="AS30" s="182">
        <v>22.18</v>
      </c>
      <c r="AT30" s="182">
        <v>67.540000000000006</v>
      </c>
      <c r="AU30" s="182"/>
      <c r="AV30" s="182"/>
      <c r="AW30" s="18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2"/>
      <c r="BH30" s="182"/>
      <c r="BI30" s="182"/>
      <c r="BJ30" s="182"/>
      <c r="BK30" s="182"/>
      <c r="BL30" s="182"/>
      <c r="BM30" s="182"/>
      <c r="BN30" s="182"/>
      <c r="BO30" s="182"/>
      <c r="BP30" s="182"/>
      <c r="BQ30" s="182"/>
      <c r="BR30" s="182"/>
      <c r="BS30" s="182"/>
      <c r="BT30" s="182"/>
      <c r="BU30" s="182"/>
      <c r="BV30" s="182"/>
      <c r="BW30" s="182"/>
      <c r="BX30" s="182"/>
      <c r="BY30" s="182"/>
      <c r="BZ30" s="182"/>
      <c r="CA30" s="182"/>
      <c r="CB30" s="185">
        <f t="shared" si="1"/>
        <v>280.34000000000003</v>
      </c>
      <c r="CC30" s="185">
        <f t="shared" si="2"/>
        <v>0</v>
      </c>
      <c r="CD30" s="185">
        <f t="shared" si="3"/>
        <v>412</v>
      </c>
      <c r="CE30" s="185" t="e">
        <f>+#REF!</f>
        <v>#REF!</v>
      </c>
    </row>
    <row r="31" spans="2:83" s="197" customFormat="1" ht="56.25" x14ac:dyDescent="0.3">
      <c r="B31" s="182">
        <v>694</v>
      </c>
      <c r="C31" s="182">
        <v>413</v>
      </c>
      <c r="D31" s="182" t="s">
        <v>325</v>
      </c>
      <c r="E31" s="181" t="s">
        <v>4552</v>
      </c>
      <c r="F31" s="182"/>
      <c r="G31" s="182">
        <v>533.51</v>
      </c>
      <c r="H31" s="182"/>
      <c r="I31" s="182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5">
        <f t="shared" si="0"/>
        <v>533.51</v>
      </c>
      <c r="AR31" s="182">
        <v>424.09</v>
      </c>
      <c r="AS31" s="182">
        <v>109.42</v>
      </c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/>
      <c r="BH31" s="182"/>
      <c r="BI31" s="182"/>
      <c r="BJ31" s="182"/>
      <c r="BK31" s="182"/>
      <c r="BL31" s="182"/>
      <c r="BM31" s="182"/>
      <c r="BN31" s="182"/>
      <c r="BO31" s="182"/>
      <c r="BP31" s="182"/>
      <c r="BQ31" s="182"/>
      <c r="BR31" s="182"/>
      <c r="BS31" s="182"/>
      <c r="BT31" s="182"/>
      <c r="BU31" s="182"/>
      <c r="BV31" s="182"/>
      <c r="BW31" s="182"/>
      <c r="BX31" s="182"/>
      <c r="BY31" s="182"/>
      <c r="BZ31" s="182"/>
      <c r="CA31" s="182"/>
      <c r="CB31" s="185">
        <f t="shared" si="1"/>
        <v>533.51</v>
      </c>
      <c r="CC31" s="185">
        <f t="shared" si="2"/>
        <v>0</v>
      </c>
      <c r="CD31" s="185">
        <f t="shared" si="3"/>
        <v>413</v>
      </c>
      <c r="CE31" s="185" t="e">
        <f>+#REF!</f>
        <v>#REF!</v>
      </c>
    </row>
    <row r="32" spans="2:83" s="197" customFormat="1" ht="56.25" x14ac:dyDescent="0.3">
      <c r="B32" s="182">
        <v>693</v>
      </c>
      <c r="C32" s="182">
        <v>414</v>
      </c>
      <c r="D32" s="182" t="s">
        <v>325</v>
      </c>
      <c r="E32" s="181" t="s">
        <v>4552</v>
      </c>
      <c r="F32" s="182"/>
      <c r="G32" s="182">
        <v>1508.2</v>
      </c>
      <c r="H32" s="182"/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2"/>
      <c r="AM32" s="182"/>
      <c r="AN32" s="182"/>
      <c r="AO32" s="182"/>
      <c r="AP32" s="182"/>
      <c r="AQ32" s="185">
        <f t="shared" si="0"/>
        <v>1508.2</v>
      </c>
      <c r="AR32" s="182">
        <v>990.39</v>
      </c>
      <c r="AS32" s="182">
        <v>154.44</v>
      </c>
      <c r="AT32" s="182">
        <v>363.37</v>
      </c>
      <c r="AU32" s="182"/>
      <c r="AV32" s="182"/>
      <c r="AW32" s="18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2"/>
      <c r="BH32" s="182"/>
      <c r="BI32" s="182"/>
      <c r="BJ32" s="182"/>
      <c r="BK32" s="182"/>
      <c r="BL32" s="182"/>
      <c r="BM32" s="182"/>
      <c r="BN32" s="182"/>
      <c r="BO32" s="182"/>
      <c r="BP32" s="182"/>
      <c r="BQ32" s="182"/>
      <c r="BR32" s="182"/>
      <c r="BS32" s="182"/>
      <c r="BT32" s="182"/>
      <c r="BU32" s="182"/>
      <c r="BV32" s="182"/>
      <c r="BW32" s="182"/>
      <c r="BX32" s="182"/>
      <c r="BY32" s="182"/>
      <c r="BZ32" s="182"/>
      <c r="CA32" s="182"/>
      <c r="CB32" s="185">
        <f t="shared" si="1"/>
        <v>1508.1999999999998</v>
      </c>
      <c r="CC32" s="185">
        <f t="shared" si="2"/>
        <v>0</v>
      </c>
      <c r="CD32" s="185">
        <f t="shared" si="3"/>
        <v>414</v>
      </c>
      <c r="CE32" s="185" t="e">
        <f>+#REF!</f>
        <v>#REF!</v>
      </c>
    </row>
    <row r="33" spans="2:83" s="197" customFormat="1" ht="37.5" x14ac:dyDescent="0.3">
      <c r="B33" s="182">
        <v>963</v>
      </c>
      <c r="C33" s="182">
        <v>415</v>
      </c>
      <c r="D33" s="182" t="s">
        <v>325</v>
      </c>
      <c r="E33" s="181" t="s">
        <v>4553</v>
      </c>
      <c r="F33" s="182"/>
      <c r="G33" s="182">
        <v>9000</v>
      </c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5">
        <f t="shared" si="0"/>
        <v>9000</v>
      </c>
      <c r="AR33" s="182">
        <v>8029.5</v>
      </c>
      <c r="AS33" s="182">
        <v>970.5</v>
      </c>
      <c r="AT33" s="182"/>
      <c r="AU33" s="182"/>
      <c r="AV33" s="182"/>
      <c r="AW33" s="18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2"/>
      <c r="BH33" s="182"/>
      <c r="BI33" s="182"/>
      <c r="BJ33" s="182"/>
      <c r="BK33" s="182"/>
      <c r="BL33" s="182"/>
      <c r="BM33" s="182"/>
      <c r="BN33" s="182"/>
      <c r="BO33" s="182"/>
      <c r="BP33" s="182"/>
      <c r="BQ33" s="182"/>
      <c r="BR33" s="182"/>
      <c r="BS33" s="182"/>
      <c r="BT33" s="182"/>
      <c r="BU33" s="182"/>
      <c r="BV33" s="182"/>
      <c r="BW33" s="182"/>
      <c r="BX33" s="182"/>
      <c r="BY33" s="182"/>
      <c r="BZ33" s="182"/>
      <c r="CA33" s="182"/>
      <c r="CB33" s="185">
        <f t="shared" si="1"/>
        <v>9000</v>
      </c>
      <c r="CC33" s="185">
        <f t="shared" si="2"/>
        <v>0</v>
      </c>
      <c r="CD33" s="185">
        <f t="shared" si="3"/>
        <v>415</v>
      </c>
      <c r="CE33" s="185" t="e">
        <f>+#REF!</f>
        <v>#REF!</v>
      </c>
    </row>
    <row r="34" spans="2:83" s="197" customFormat="1" ht="37.5" x14ac:dyDescent="0.3">
      <c r="B34" s="182">
        <v>962</v>
      </c>
      <c r="C34" s="182">
        <v>416</v>
      </c>
      <c r="D34" s="182" t="s">
        <v>325</v>
      </c>
      <c r="E34" s="181" t="s">
        <v>4553</v>
      </c>
      <c r="F34" s="182"/>
      <c r="G34" s="182">
        <v>10800</v>
      </c>
      <c r="H34" s="182"/>
      <c r="I34" s="182"/>
      <c r="J34" s="182"/>
      <c r="K34" s="182"/>
      <c r="L34" s="182"/>
      <c r="M34" s="182"/>
      <c r="N34" s="182"/>
      <c r="O34" s="182"/>
      <c r="P34" s="182"/>
      <c r="Q34" s="182"/>
      <c r="R34" s="182"/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2"/>
      <c r="AM34" s="182"/>
      <c r="AN34" s="182"/>
      <c r="AO34" s="182"/>
      <c r="AP34" s="182"/>
      <c r="AQ34" s="185">
        <f t="shared" si="0"/>
        <v>10800</v>
      </c>
      <c r="AR34" s="182">
        <v>9636</v>
      </c>
      <c r="AS34" s="182">
        <v>1164</v>
      </c>
      <c r="AT34" s="182"/>
      <c r="AU34" s="182"/>
      <c r="AV34" s="182"/>
      <c r="AW34" s="18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2"/>
      <c r="BH34" s="182"/>
      <c r="BI34" s="182"/>
      <c r="BJ34" s="182"/>
      <c r="BK34" s="182"/>
      <c r="BL34" s="182"/>
      <c r="BM34" s="182"/>
      <c r="BN34" s="182"/>
      <c r="BO34" s="182"/>
      <c r="BP34" s="182"/>
      <c r="BQ34" s="182"/>
      <c r="BR34" s="182"/>
      <c r="BS34" s="182"/>
      <c r="BT34" s="182"/>
      <c r="BU34" s="182"/>
      <c r="BV34" s="182"/>
      <c r="BW34" s="182"/>
      <c r="BX34" s="182"/>
      <c r="BY34" s="182"/>
      <c r="BZ34" s="182"/>
      <c r="CA34" s="182"/>
      <c r="CB34" s="185">
        <f t="shared" si="1"/>
        <v>10800</v>
      </c>
      <c r="CC34" s="185">
        <f t="shared" si="2"/>
        <v>0</v>
      </c>
      <c r="CD34" s="185">
        <f t="shared" si="3"/>
        <v>416</v>
      </c>
      <c r="CE34" s="185" t="e">
        <f>+#REF!</f>
        <v>#REF!</v>
      </c>
    </row>
    <row r="35" spans="2:83" s="197" customFormat="1" ht="37.5" x14ac:dyDescent="0.3">
      <c r="B35" s="182">
        <v>965</v>
      </c>
      <c r="C35" s="182">
        <v>417</v>
      </c>
      <c r="D35" s="182" t="s">
        <v>325</v>
      </c>
      <c r="E35" s="181" t="s">
        <v>4554</v>
      </c>
      <c r="F35" s="182"/>
      <c r="G35" s="182">
        <v>18750</v>
      </c>
      <c r="H35" s="182"/>
      <c r="I35" s="182"/>
      <c r="J35" s="182"/>
      <c r="K35" s="182"/>
      <c r="L35" s="182"/>
      <c r="M35" s="182"/>
      <c r="N35" s="182"/>
      <c r="O35" s="182"/>
      <c r="P35" s="182"/>
      <c r="Q35" s="182"/>
      <c r="R35" s="182"/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2"/>
      <c r="AM35" s="182"/>
      <c r="AN35" s="182"/>
      <c r="AO35" s="182"/>
      <c r="AP35" s="182"/>
      <c r="AQ35" s="185">
        <f t="shared" ref="AQ35:AQ66" si="4">SUM(G35:AP35)</f>
        <v>18750</v>
      </c>
      <c r="AR35" s="182">
        <v>16732.05</v>
      </c>
      <c r="AS35" s="182">
        <v>2017.95</v>
      </c>
      <c r="AT35" s="182"/>
      <c r="AU35" s="182"/>
      <c r="AV35" s="182"/>
      <c r="AW35" s="18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2"/>
      <c r="BH35" s="182"/>
      <c r="BI35" s="182"/>
      <c r="BJ35" s="182"/>
      <c r="BK35" s="182"/>
      <c r="BL35" s="182"/>
      <c r="BM35" s="182"/>
      <c r="BN35" s="182"/>
      <c r="BO35" s="182"/>
      <c r="BP35" s="182"/>
      <c r="BQ35" s="182"/>
      <c r="BR35" s="182"/>
      <c r="BS35" s="182"/>
      <c r="BT35" s="182"/>
      <c r="BU35" s="182"/>
      <c r="BV35" s="182"/>
      <c r="BW35" s="182"/>
      <c r="BX35" s="182"/>
      <c r="BY35" s="182"/>
      <c r="BZ35" s="182"/>
      <c r="CA35" s="182"/>
      <c r="CB35" s="185">
        <f t="shared" ref="CB35:CB66" si="5">SUM(AR35:CA35)</f>
        <v>18750</v>
      </c>
      <c r="CC35" s="185">
        <f t="shared" ref="CC35:CC66" si="6">+CB35-AQ35</f>
        <v>0</v>
      </c>
      <c r="CD35" s="185">
        <f t="shared" ref="CD35:CD66" si="7">+C35</f>
        <v>417</v>
      </c>
      <c r="CE35" s="185" t="e">
        <f>+#REF!</f>
        <v>#REF!</v>
      </c>
    </row>
    <row r="36" spans="2:83" s="197" customFormat="1" ht="37.5" x14ac:dyDescent="0.3">
      <c r="B36" s="182">
        <v>966</v>
      </c>
      <c r="C36" s="182">
        <v>418</v>
      </c>
      <c r="D36" s="182" t="s">
        <v>325</v>
      </c>
      <c r="E36" s="181" t="s">
        <v>2110</v>
      </c>
      <c r="F36" s="182"/>
      <c r="G36" s="182">
        <v>94158.97</v>
      </c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2"/>
      <c r="AM36" s="182"/>
      <c r="AN36" s="182"/>
      <c r="AO36" s="182"/>
      <c r="AP36" s="182"/>
      <c r="AQ36" s="185">
        <f t="shared" si="4"/>
        <v>94158.97</v>
      </c>
      <c r="AR36" s="182">
        <v>83745.8</v>
      </c>
      <c r="AS36" s="182">
        <v>10118.719999999999</v>
      </c>
      <c r="AT36" s="182">
        <v>294.45</v>
      </c>
      <c r="AU36" s="182"/>
      <c r="AV36" s="182"/>
      <c r="AW36" s="18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2"/>
      <c r="BH36" s="182"/>
      <c r="BI36" s="182"/>
      <c r="BJ36" s="182"/>
      <c r="BK36" s="182"/>
      <c r="BL36" s="182"/>
      <c r="BM36" s="182"/>
      <c r="BN36" s="182"/>
      <c r="BO36" s="182"/>
      <c r="BP36" s="182"/>
      <c r="BQ36" s="182"/>
      <c r="BR36" s="182"/>
      <c r="BS36" s="182"/>
      <c r="BT36" s="182"/>
      <c r="BU36" s="182"/>
      <c r="BV36" s="182"/>
      <c r="BW36" s="182"/>
      <c r="BX36" s="182"/>
      <c r="BY36" s="182"/>
      <c r="BZ36" s="182"/>
      <c r="CA36" s="182"/>
      <c r="CB36" s="185">
        <f t="shared" si="5"/>
        <v>94158.97</v>
      </c>
      <c r="CC36" s="185">
        <f t="shared" si="6"/>
        <v>0</v>
      </c>
      <c r="CD36" s="185">
        <f t="shared" si="7"/>
        <v>418</v>
      </c>
      <c r="CE36" s="185" t="e">
        <f>+#REF!</f>
        <v>#REF!</v>
      </c>
    </row>
    <row r="37" spans="2:83" s="197" customFormat="1" ht="37.5" x14ac:dyDescent="0.3">
      <c r="B37" s="182">
        <v>968</v>
      </c>
      <c r="C37" s="182">
        <v>419</v>
      </c>
      <c r="D37" s="182" t="s">
        <v>325</v>
      </c>
      <c r="E37" s="181" t="s">
        <v>4555</v>
      </c>
      <c r="F37" s="182"/>
      <c r="G37" s="182">
        <v>1832.03</v>
      </c>
      <c r="H37" s="182"/>
      <c r="I37" s="182"/>
      <c r="J37" s="182"/>
      <c r="K37" s="182"/>
      <c r="L37" s="182"/>
      <c r="M37" s="182"/>
      <c r="N37" s="182"/>
      <c r="O37" s="182"/>
      <c r="P37" s="182"/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2"/>
      <c r="AM37" s="182"/>
      <c r="AN37" s="182"/>
      <c r="AO37" s="182"/>
      <c r="AP37" s="182"/>
      <c r="AQ37" s="185">
        <f t="shared" si="4"/>
        <v>1832.03</v>
      </c>
      <c r="AR37" s="182">
        <v>1224.3399999999999</v>
      </c>
      <c r="AS37" s="182">
        <v>166.3</v>
      </c>
      <c r="AT37" s="182">
        <v>441.39</v>
      </c>
      <c r="AU37" s="182"/>
      <c r="AV37" s="182"/>
      <c r="AW37" s="18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2"/>
      <c r="BH37" s="182"/>
      <c r="BI37" s="182"/>
      <c r="BJ37" s="182"/>
      <c r="BK37" s="182"/>
      <c r="BL37" s="182"/>
      <c r="BM37" s="182"/>
      <c r="BN37" s="182"/>
      <c r="BO37" s="182"/>
      <c r="BP37" s="182"/>
      <c r="BQ37" s="182"/>
      <c r="BR37" s="182"/>
      <c r="BS37" s="182"/>
      <c r="BT37" s="182"/>
      <c r="BU37" s="182"/>
      <c r="BV37" s="182"/>
      <c r="BW37" s="182"/>
      <c r="BX37" s="182"/>
      <c r="BY37" s="182"/>
      <c r="BZ37" s="182"/>
      <c r="CA37" s="182"/>
      <c r="CB37" s="185">
        <f t="shared" si="5"/>
        <v>1832.0299999999997</v>
      </c>
      <c r="CC37" s="185">
        <f t="shared" si="6"/>
        <v>0</v>
      </c>
      <c r="CD37" s="185">
        <f t="shared" si="7"/>
        <v>419</v>
      </c>
      <c r="CE37" s="185" t="e">
        <f>+#REF!</f>
        <v>#REF!</v>
      </c>
    </row>
    <row r="38" spans="2:83" s="197" customFormat="1" ht="37.5" x14ac:dyDescent="0.3">
      <c r="B38" s="182">
        <v>960</v>
      </c>
      <c r="C38" s="182">
        <v>420</v>
      </c>
      <c r="D38" s="182" t="s">
        <v>325</v>
      </c>
      <c r="E38" s="181" t="s">
        <v>4556</v>
      </c>
      <c r="F38" s="182"/>
      <c r="G38" s="182">
        <v>46406.25</v>
      </c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2"/>
      <c r="AM38" s="182"/>
      <c r="AN38" s="182"/>
      <c r="AO38" s="182"/>
      <c r="AP38" s="182"/>
      <c r="AQ38" s="185">
        <f t="shared" si="4"/>
        <v>46406.25</v>
      </c>
      <c r="AR38" s="182">
        <v>41428.620000000003</v>
      </c>
      <c r="AS38" s="182">
        <v>4977.63</v>
      </c>
      <c r="AT38" s="182"/>
      <c r="AU38" s="182"/>
      <c r="AV38" s="182"/>
      <c r="AW38" s="18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2"/>
      <c r="BH38" s="182"/>
      <c r="BI38" s="182"/>
      <c r="BJ38" s="182"/>
      <c r="BK38" s="182"/>
      <c r="BL38" s="182"/>
      <c r="BM38" s="182"/>
      <c r="BN38" s="182"/>
      <c r="BO38" s="182"/>
      <c r="BP38" s="182"/>
      <c r="BQ38" s="182"/>
      <c r="BR38" s="182"/>
      <c r="BS38" s="182"/>
      <c r="BT38" s="182"/>
      <c r="BU38" s="182"/>
      <c r="BV38" s="182"/>
      <c r="BW38" s="182"/>
      <c r="BX38" s="182"/>
      <c r="BY38" s="182"/>
      <c r="BZ38" s="182"/>
      <c r="CA38" s="182"/>
      <c r="CB38" s="185">
        <f t="shared" si="5"/>
        <v>46406.25</v>
      </c>
      <c r="CC38" s="185">
        <f t="shared" si="6"/>
        <v>0</v>
      </c>
      <c r="CD38" s="185">
        <f t="shared" si="7"/>
        <v>420</v>
      </c>
      <c r="CE38" s="185" t="e">
        <f>+#REF!</f>
        <v>#REF!</v>
      </c>
    </row>
    <row r="39" spans="2:83" s="197" customFormat="1" ht="37.5" x14ac:dyDescent="0.3">
      <c r="B39" s="182">
        <v>961</v>
      </c>
      <c r="C39" s="182">
        <v>421</v>
      </c>
      <c r="D39" s="182" t="s">
        <v>325</v>
      </c>
      <c r="E39" s="181" t="s">
        <v>4556</v>
      </c>
      <c r="F39" s="182"/>
      <c r="G39" s="182">
        <v>1562.5</v>
      </c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2"/>
      <c r="AM39" s="182"/>
      <c r="AN39" s="182"/>
      <c r="AO39" s="182"/>
      <c r="AP39" s="182"/>
      <c r="AQ39" s="185">
        <f t="shared" si="4"/>
        <v>1562.5</v>
      </c>
      <c r="AR39" s="182">
        <v>1394.9</v>
      </c>
      <c r="AS39" s="182">
        <v>167.6</v>
      </c>
      <c r="AT39" s="182"/>
      <c r="AU39" s="182"/>
      <c r="AV39" s="182"/>
      <c r="AW39" s="18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2"/>
      <c r="BH39" s="182"/>
      <c r="BI39" s="182"/>
      <c r="BJ39" s="182"/>
      <c r="BK39" s="182"/>
      <c r="BL39" s="182"/>
      <c r="BM39" s="182"/>
      <c r="BN39" s="182"/>
      <c r="BO39" s="182"/>
      <c r="BP39" s="182"/>
      <c r="BQ39" s="182"/>
      <c r="BR39" s="182"/>
      <c r="BS39" s="182"/>
      <c r="BT39" s="182"/>
      <c r="BU39" s="182"/>
      <c r="BV39" s="182"/>
      <c r="BW39" s="182"/>
      <c r="BX39" s="182"/>
      <c r="BY39" s="182"/>
      <c r="BZ39" s="182"/>
      <c r="CA39" s="182"/>
      <c r="CB39" s="185">
        <f t="shared" si="5"/>
        <v>1562.5</v>
      </c>
      <c r="CC39" s="185">
        <f t="shared" si="6"/>
        <v>0</v>
      </c>
      <c r="CD39" s="185">
        <f t="shared" si="7"/>
        <v>421</v>
      </c>
      <c r="CE39" s="185" t="e">
        <f>+#REF!</f>
        <v>#REF!</v>
      </c>
    </row>
    <row r="40" spans="2:83" s="197" customFormat="1" ht="37.5" x14ac:dyDescent="0.3">
      <c r="B40" s="182">
        <v>964</v>
      </c>
      <c r="C40" s="182">
        <v>422</v>
      </c>
      <c r="D40" s="182" t="s">
        <v>325</v>
      </c>
      <c r="E40" s="181" t="str">
        <f>+E34</f>
        <v xml:space="preserve">مكافاه الجوده </v>
      </c>
      <c r="F40" s="182"/>
      <c r="G40" s="182">
        <v>1600</v>
      </c>
      <c r="H40" s="182"/>
      <c r="I40" s="182"/>
      <c r="J40" s="182"/>
      <c r="K40" s="182"/>
      <c r="L40" s="182"/>
      <c r="M40" s="182"/>
      <c r="N40" s="182"/>
      <c r="O40" s="182"/>
      <c r="P40" s="182"/>
      <c r="Q40" s="182"/>
      <c r="R40" s="182"/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182"/>
      <c r="AM40" s="182"/>
      <c r="AN40" s="182"/>
      <c r="AO40" s="182"/>
      <c r="AP40" s="182"/>
      <c r="AQ40" s="185">
        <f t="shared" si="4"/>
        <v>1600</v>
      </c>
      <c r="AR40" s="182">
        <v>1428.35</v>
      </c>
      <c r="AS40" s="182">
        <v>171.65</v>
      </c>
      <c r="AT40" s="182"/>
      <c r="AU40" s="182"/>
      <c r="AV40" s="182"/>
      <c r="AW40" s="18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2"/>
      <c r="BH40" s="182"/>
      <c r="BI40" s="182"/>
      <c r="BJ40" s="182"/>
      <c r="BK40" s="182"/>
      <c r="BL40" s="182"/>
      <c r="BM40" s="182"/>
      <c r="BN40" s="182"/>
      <c r="BO40" s="182"/>
      <c r="BP40" s="182"/>
      <c r="BQ40" s="182"/>
      <c r="BR40" s="182"/>
      <c r="BS40" s="182"/>
      <c r="BT40" s="182"/>
      <c r="BU40" s="182"/>
      <c r="BV40" s="182"/>
      <c r="BW40" s="182"/>
      <c r="BX40" s="182"/>
      <c r="BY40" s="182"/>
      <c r="BZ40" s="182"/>
      <c r="CA40" s="182"/>
      <c r="CB40" s="185">
        <f t="shared" si="5"/>
        <v>1600</v>
      </c>
      <c r="CC40" s="185">
        <f t="shared" si="6"/>
        <v>0</v>
      </c>
      <c r="CD40" s="185">
        <f t="shared" si="7"/>
        <v>422</v>
      </c>
      <c r="CE40" s="185" t="e">
        <f>+#REF!</f>
        <v>#REF!</v>
      </c>
    </row>
    <row r="41" spans="2:83" s="197" customFormat="1" ht="37.5" x14ac:dyDescent="0.3">
      <c r="B41" s="182">
        <v>967</v>
      </c>
      <c r="C41" s="182">
        <v>423</v>
      </c>
      <c r="D41" s="182" t="s">
        <v>325</v>
      </c>
      <c r="E41" s="181" t="str">
        <f>+E37</f>
        <v xml:space="preserve">مكافاه منسقى شؤن طلاب </v>
      </c>
      <c r="F41" s="182"/>
      <c r="G41" s="182">
        <v>1832.03</v>
      </c>
      <c r="H41" s="182"/>
      <c r="I41" s="182"/>
      <c r="J41" s="182"/>
      <c r="K41" s="182"/>
      <c r="L41" s="182"/>
      <c r="M41" s="182"/>
      <c r="N41" s="182"/>
      <c r="O41" s="182"/>
      <c r="P41" s="182"/>
      <c r="Q41" s="182"/>
      <c r="R41" s="182"/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2"/>
      <c r="AM41" s="182"/>
      <c r="AN41" s="182"/>
      <c r="AO41" s="182"/>
      <c r="AP41" s="182"/>
      <c r="AQ41" s="185">
        <f t="shared" si="4"/>
        <v>1832.03</v>
      </c>
      <c r="AR41" s="182">
        <v>1224.3399999999999</v>
      </c>
      <c r="AS41" s="182">
        <v>166.3</v>
      </c>
      <c r="AT41" s="182">
        <v>441.39</v>
      </c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5">
        <f t="shared" si="5"/>
        <v>1832.0299999999997</v>
      </c>
      <c r="CC41" s="185">
        <f t="shared" si="6"/>
        <v>0</v>
      </c>
      <c r="CD41" s="185">
        <f t="shared" si="7"/>
        <v>423</v>
      </c>
      <c r="CE41" s="185" t="e">
        <f>+#REF!</f>
        <v>#REF!</v>
      </c>
    </row>
    <row r="42" spans="2:83" s="197" customFormat="1" ht="37.5" x14ac:dyDescent="0.3">
      <c r="B42" s="182">
        <v>1030</v>
      </c>
      <c r="C42" s="182">
        <v>424</v>
      </c>
      <c r="D42" s="182" t="s">
        <v>325</v>
      </c>
      <c r="E42" s="181" t="s">
        <v>567</v>
      </c>
      <c r="F42" s="182"/>
      <c r="G42" s="182">
        <v>21600</v>
      </c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2"/>
      <c r="AM42" s="182"/>
      <c r="AN42" s="182"/>
      <c r="AO42" s="182"/>
      <c r="AP42" s="182"/>
      <c r="AQ42" s="185">
        <f t="shared" si="4"/>
        <v>21600</v>
      </c>
      <c r="AR42" s="182">
        <v>19280.05</v>
      </c>
      <c r="AS42" s="182">
        <v>2319.9499999999998</v>
      </c>
      <c r="AT42" s="182"/>
      <c r="AU42" s="182"/>
      <c r="AV42" s="182"/>
      <c r="AW42" s="18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2"/>
      <c r="BH42" s="182"/>
      <c r="BI42" s="182"/>
      <c r="BJ42" s="182"/>
      <c r="BK42" s="182"/>
      <c r="BL42" s="182"/>
      <c r="BM42" s="182"/>
      <c r="BN42" s="18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2"/>
      <c r="BZ42" s="182"/>
      <c r="CA42" s="182"/>
      <c r="CB42" s="185">
        <f t="shared" si="5"/>
        <v>21600</v>
      </c>
      <c r="CC42" s="185">
        <f t="shared" si="6"/>
        <v>0</v>
      </c>
      <c r="CD42" s="185">
        <f t="shared" si="7"/>
        <v>424</v>
      </c>
      <c r="CE42" s="185" t="e">
        <f>+#REF!</f>
        <v>#REF!</v>
      </c>
    </row>
    <row r="43" spans="2:83" s="197" customFormat="1" ht="37.5" x14ac:dyDescent="0.3">
      <c r="B43" s="182">
        <v>1029</v>
      </c>
      <c r="C43" s="182">
        <v>425</v>
      </c>
      <c r="D43" s="182" t="s">
        <v>325</v>
      </c>
      <c r="E43" s="181" t="s">
        <v>567</v>
      </c>
      <c r="F43" s="182"/>
      <c r="G43" s="182">
        <v>2400</v>
      </c>
      <c r="H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2"/>
      <c r="AM43" s="182"/>
      <c r="AN43" s="182"/>
      <c r="AO43" s="182"/>
      <c r="AP43" s="182"/>
      <c r="AQ43" s="185">
        <f t="shared" si="4"/>
        <v>2400</v>
      </c>
      <c r="AR43" s="182">
        <v>2142.6999999999998</v>
      </c>
      <c r="AS43" s="182">
        <v>257.3</v>
      </c>
      <c r="AT43" s="182"/>
      <c r="AU43" s="182"/>
      <c r="AV43" s="182"/>
      <c r="AW43" s="18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2"/>
      <c r="BH43" s="182"/>
      <c r="BI43" s="182"/>
      <c r="BJ43" s="182"/>
      <c r="BK43" s="182"/>
      <c r="BL43" s="182"/>
      <c r="BM43" s="182"/>
      <c r="BN43" s="182"/>
      <c r="BO43" s="182"/>
      <c r="BP43" s="182"/>
      <c r="BQ43" s="182"/>
      <c r="BR43" s="182"/>
      <c r="BS43" s="182"/>
      <c r="BT43" s="182"/>
      <c r="BU43" s="182"/>
      <c r="BV43" s="182"/>
      <c r="BW43" s="182"/>
      <c r="BX43" s="182"/>
      <c r="BY43" s="182"/>
      <c r="BZ43" s="182"/>
      <c r="CA43" s="182"/>
      <c r="CB43" s="185">
        <f t="shared" si="5"/>
        <v>2400</v>
      </c>
      <c r="CC43" s="185">
        <f t="shared" si="6"/>
        <v>0</v>
      </c>
      <c r="CD43" s="185">
        <f t="shared" si="7"/>
        <v>425</v>
      </c>
      <c r="CE43" s="185" t="e">
        <f>+#REF!</f>
        <v>#REF!</v>
      </c>
    </row>
    <row r="44" spans="2:83" s="197" customFormat="1" ht="37.5" x14ac:dyDescent="0.3">
      <c r="B44" s="182">
        <v>1031</v>
      </c>
      <c r="C44" s="182">
        <v>426</v>
      </c>
      <c r="D44" s="182" t="s">
        <v>325</v>
      </c>
      <c r="E44" s="181" t="s">
        <v>4557</v>
      </c>
      <c r="F44" s="182"/>
      <c r="G44" s="182">
        <v>765.85</v>
      </c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2"/>
      <c r="AM44" s="182"/>
      <c r="AN44" s="182"/>
      <c r="AO44" s="182"/>
      <c r="AP44" s="182"/>
      <c r="AQ44" s="185">
        <f t="shared" si="4"/>
        <v>765.85</v>
      </c>
      <c r="AR44" s="182">
        <v>614.86</v>
      </c>
      <c r="AS44" s="182">
        <v>75.900000000000006</v>
      </c>
      <c r="AT44" s="182">
        <v>75.09</v>
      </c>
      <c r="AU44" s="182"/>
      <c r="AV44" s="182"/>
      <c r="AW44" s="18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2"/>
      <c r="BH44" s="182"/>
      <c r="BI44" s="182"/>
      <c r="BJ44" s="182"/>
      <c r="BK44" s="182"/>
      <c r="BL44" s="182"/>
      <c r="BM44" s="182"/>
      <c r="BN44" s="182"/>
      <c r="BO44" s="182"/>
      <c r="BP44" s="182"/>
      <c r="BQ44" s="182"/>
      <c r="BR44" s="182"/>
      <c r="BS44" s="182"/>
      <c r="BT44" s="182"/>
      <c r="BU44" s="182"/>
      <c r="BV44" s="182"/>
      <c r="BW44" s="182"/>
      <c r="BX44" s="182"/>
      <c r="BY44" s="182"/>
      <c r="BZ44" s="182"/>
      <c r="CA44" s="182"/>
      <c r="CB44" s="185">
        <f t="shared" si="5"/>
        <v>765.85</v>
      </c>
      <c r="CC44" s="185">
        <f t="shared" si="6"/>
        <v>0</v>
      </c>
      <c r="CD44" s="185">
        <f t="shared" si="7"/>
        <v>426</v>
      </c>
      <c r="CE44" s="185" t="e">
        <f>+#REF!</f>
        <v>#REF!</v>
      </c>
    </row>
    <row r="45" spans="2:83" s="197" customFormat="1" ht="37.5" x14ac:dyDescent="0.3">
      <c r="B45" s="182">
        <v>1032</v>
      </c>
      <c r="C45" s="182">
        <v>427</v>
      </c>
      <c r="D45" s="182" t="s">
        <v>325</v>
      </c>
      <c r="E45" s="181" t="s">
        <v>4557</v>
      </c>
      <c r="F45" s="182"/>
      <c r="G45" s="182">
        <v>2691.68</v>
      </c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2"/>
      <c r="AM45" s="182"/>
      <c r="AN45" s="182"/>
      <c r="AO45" s="182"/>
      <c r="AP45" s="182"/>
      <c r="AQ45" s="185">
        <f t="shared" si="4"/>
        <v>2691.68</v>
      </c>
      <c r="AR45" s="182">
        <v>2140.83</v>
      </c>
      <c r="AS45" s="182">
        <v>269.7</v>
      </c>
      <c r="AT45" s="182">
        <v>281.14999999999998</v>
      </c>
      <c r="AU45" s="182"/>
      <c r="AV45" s="182"/>
      <c r="AW45" s="18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2"/>
      <c r="BY45" s="182"/>
      <c r="BZ45" s="182"/>
      <c r="CA45" s="182"/>
      <c r="CB45" s="185">
        <f t="shared" si="5"/>
        <v>2691.68</v>
      </c>
      <c r="CC45" s="185">
        <f t="shared" si="6"/>
        <v>0</v>
      </c>
      <c r="CD45" s="185">
        <f t="shared" si="7"/>
        <v>427</v>
      </c>
      <c r="CE45" s="185" t="e">
        <f>+#REF!</f>
        <v>#REF!</v>
      </c>
    </row>
    <row r="46" spans="2:83" s="197" customFormat="1" ht="37.5" x14ac:dyDescent="0.3">
      <c r="B46" s="182">
        <v>1033</v>
      </c>
      <c r="C46" s="182">
        <v>428</v>
      </c>
      <c r="D46" s="182" t="s">
        <v>325</v>
      </c>
      <c r="E46" s="181" t="s">
        <v>360</v>
      </c>
      <c r="F46" s="182"/>
      <c r="G46" s="182">
        <v>2872.46</v>
      </c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2"/>
      <c r="AM46" s="182"/>
      <c r="AN46" s="182"/>
      <c r="AO46" s="182"/>
      <c r="AP46" s="182"/>
      <c r="AQ46" s="185">
        <f t="shared" si="4"/>
        <v>2872.46</v>
      </c>
      <c r="AR46" s="182">
        <v>2027</v>
      </c>
      <c r="AS46" s="182">
        <v>268.25</v>
      </c>
      <c r="AT46" s="182">
        <v>577.21</v>
      </c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  <c r="BZ46" s="182"/>
      <c r="CA46" s="182"/>
      <c r="CB46" s="185">
        <f t="shared" si="5"/>
        <v>2872.46</v>
      </c>
      <c r="CC46" s="185">
        <f t="shared" si="6"/>
        <v>0</v>
      </c>
      <c r="CD46" s="185">
        <f t="shared" si="7"/>
        <v>428</v>
      </c>
      <c r="CE46" s="185" t="e">
        <f>+#REF!</f>
        <v>#REF!</v>
      </c>
    </row>
    <row r="47" spans="2:83" s="197" customFormat="1" ht="37.5" x14ac:dyDescent="0.3">
      <c r="B47" s="182">
        <v>1034</v>
      </c>
      <c r="C47" s="182">
        <v>429</v>
      </c>
      <c r="D47" s="182" t="s">
        <v>325</v>
      </c>
      <c r="E47" s="181" t="s">
        <v>360</v>
      </c>
      <c r="F47" s="182"/>
      <c r="G47" s="182">
        <v>67662.759999999995</v>
      </c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2"/>
      <c r="AM47" s="182"/>
      <c r="AN47" s="182"/>
      <c r="AO47" s="182"/>
      <c r="AP47" s="182"/>
      <c r="AQ47" s="185">
        <f t="shared" si="4"/>
        <v>67662.759999999995</v>
      </c>
      <c r="AR47" s="182">
        <v>60148.55</v>
      </c>
      <c r="AS47" s="182">
        <v>7247.65</v>
      </c>
      <c r="AT47" s="182">
        <v>266.56</v>
      </c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2"/>
      <c r="BZ47" s="182"/>
      <c r="CA47" s="182"/>
      <c r="CB47" s="185">
        <f t="shared" si="5"/>
        <v>67662.759999999995</v>
      </c>
      <c r="CC47" s="185">
        <f t="shared" si="6"/>
        <v>0</v>
      </c>
      <c r="CD47" s="185">
        <f t="shared" si="7"/>
        <v>429</v>
      </c>
      <c r="CE47" s="185" t="e">
        <f>+#REF!</f>
        <v>#REF!</v>
      </c>
    </row>
    <row r="48" spans="2:83" s="197" customFormat="1" ht="37.5" x14ac:dyDescent="0.3">
      <c r="B48" s="182">
        <v>1072</v>
      </c>
      <c r="C48" s="182">
        <v>430</v>
      </c>
      <c r="D48" s="182" t="s">
        <v>325</v>
      </c>
      <c r="E48" s="181" t="s">
        <v>1977</v>
      </c>
      <c r="F48" s="182"/>
      <c r="G48" s="182">
        <v>17040</v>
      </c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2"/>
      <c r="AM48" s="182"/>
      <c r="AN48" s="182"/>
      <c r="AO48" s="182"/>
      <c r="AP48" s="182"/>
      <c r="AQ48" s="185">
        <f t="shared" si="4"/>
        <v>17040</v>
      </c>
      <c r="AR48" s="182">
        <v>15211</v>
      </c>
      <c r="AS48" s="182">
        <v>1829</v>
      </c>
      <c r="AT48" s="182"/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2"/>
      <c r="BZ48" s="182"/>
      <c r="CA48" s="182"/>
      <c r="CB48" s="185">
        <f t="shared" si="5"/>
        <v>17040</v>
      </c>
      <c r="CC48" s="185">
        <f t="shared" si="6"/>
        <v>0</v>
      </c>
      <c r="CD48" s="185">
        <f t="shared" si="7"/>
        <v>430</v>
      </c>
      <c r="CE48" s="185" t="e">
        <f>+#REF!</f>
        <v>#REF!</v>
      </c>
    </row>
    <row r="49" spans="2:83" s="197" customFormat="1" ht="37.5" x14ac:dyDescent="0.3">
      <c r="B49" s="182">
        <v>1073</v>
      </c>
      <c r="C49" s="182">
        <v>431</v>
      </c>
      <c r="D49" s="182" t="s">
        <v>325</v>
      </c>
      <c r="E49" s="181" t="s">
        <v>4558</v>
      </c>
      <c r="F49" s="182"/>
      <c r="G49" s="182">
        <v>36002.78</v>
      </c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5">
        <f t="shared" si="4"/>
        <v>36002.78</v>
      </c>
      <c r="AR49" s="182">
        <v>31767.99</v>
      </c>
      <c r="AS49" s="182">
        <v>3805.25</v>
      </c>
      <c r="AT49" s="182">
        <v>429.54</v>
      </c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5">
        <f t="shared" si="5"/>
        <v>36002.780000000006</v>
      </c>
      <c r="CC49" s="185">
        <f t="shared" si="6"/>
        <v>0</v>
      </c>
      <c r="CD49" s="185">
        <f t="shared" si="7"/>
        <v>431</v>
      </c>
      <c r="CE49" s="185" t="e">
        <f>+#REF!</f>
        <v>#REF!</v>
      </c>
    </row>
    <row r="50" spans="2:83" s="197" customFormat="1" ht="37.5" x14ac:dyDescent="0.3">
      <c r="B50" s="182">
        <v>1074</v>
      </c>
      <c r="C50" s="182">
        <v>432</v>
      </c>
      <c r="D50" s="182" t="s">
        <v>325</v>
      </c>
      <c r="E50" s="181" t="s">
        <v>4180</v>
      </c>
      <c r="F50" s="182"/>
      <c r="G50" s="182">
        <v>6600</v>
      </c>
      <c r="H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2"/>
      <c r="AM50" s="182"/>
      <c r="AN50" s="182"/>
      <c r="AO50" s="182"/>
      <c r="AP50" s="182"/>
      <c r="AQ50" s="185">
        <f t="shared" si="4"/>
        <v>6600</v>
      </c>
      <c r="AR50" s="182">
        <v>5893.25</v>
      </c>
      <c r="AS50" s="182">
        <v>706.75</v>
      </c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2"/>
      <c r="BY50" s="182"/>
      <c r="BZ50" s="182"/>
      <c r="CA50" s="182"/>
      <c r="CB50" s="185">
        <f t="shared" si="5"/>
        <v>6600</v>
      </c>
      <c r="CC50" s="185">
        <f t="shared" si="6"/>
        <v>0</v>
      </c>
      <c r="CD50" s="185">
        <f t="shared" si="7"/>
        <v>432</v>
      </c>
      <c r="CE50" s="185" t="e">
        <f>+#REF!</f>
        <v>#REF!</v>
      </c>
    </row>
    <row r="51" spans="2:83" s="197" customFormat="1" ht="37.5" x14ac:dyDescent="0.3">
      <c r="B51" s="182">
        <v>1037</v>
      </c>
      <c r="C51" s="182">
        <v>433</v>
      </c>
      <c r="D51" s="182" t="s">
        <v>325</v>
      </c>
      <c r="E51" s="181" t="str">
        <f>+E43</f>
        <v>عب تدريس فسيولوجى</v>
      </c>
      <c r="F51" s="182"/>
      <c r="G51" s="182">
        <v>18186.98</v>
      </c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182"/>
      <c r="AQ51" s="185">
        <f t="shared" si="4"/>
        <v>18186.98</v>
      </c>
      <c r="AR51" s="182">
        <v>13748.7</v>
      </c>
      <c r="AS51" s="182">
        <v>1773.8</v>
      </c>
      <c r="AT51" s="182">
        <v>2664.48</v>
      </c>
      <c r="AU51" s="182"/>
      <c r="AV51" s="182"/>
      <c r="AW51" s="18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2"/>
      <c r="BY51" s="182"/>
      <c r="BZ51" s="182"/>
      <c r="CA51" s="182"/>
      <c r="CB51" s="185">
        <f t="shared" si="5"/>
        <v>18186.98</v>
      </c>
      <c r="CC51" s="185">
        <f t="shared" si="6"/>
        <v>0</v>
      </c>
      <c r="CD51" s="185">
        <f t="shared" si="7"/>
        <v>433</v>
      </c>
      <c r="CE51" s="185" t="e">
        <f>+#REF!</f>
        <v>#REF!</v>
      </c>
    </row>
    <row r="52" spans="2:83" s="197" customFormat="1" ht="37.5" x14ac:dyDescent="0.3">
      <c r="B52" s="182">
        <v>1038</v>
      </c>
      <c r="C52" s="182">
        <v>434</v>
      </c>
      <c r="D52" s="182" t="s">
        <v>325</v>
      </c>
      <c r="E52" s="181" t="str">
        <f>+E51</f>
        <v>عب تدريس فسيولوجى</v>
      </c>
      <c r="F52" s="182"/>
      <c r="G52" s="182">
        <v>174025.34</v>
      </c>
      <c r="H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5">
        <f t="shared" si="4"/>
        <v>174025.34</v>
      </c>
      <c r="AR52" s="182">
        <v>154009.49</v>
      </c>
      <c r="AS52" s="182">
        <v>18598.7</v>
      </c>
      <c r="AT52" s="182">
        <v>1417.15</v>
      </c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2"/>
      <c r="BY52" s="182"/>
      <c r="BZ52" s="182"/>
      <c r="CA52" s="182"/>
      <c r="CB52" s="185">
        <f t="shared" si="5"/>
        <v>174025.34</v>
      </c>
      <c r="CC52" s="185">
        <f t="shared" si="6"/>
        <v>0</v>
      </c>
      <c r="CD52" s="185">
        <f t="shared" si="7"/>
        <v>434</v>
      </c>
      <c r="CE52" s="185" t="e">
        <f>+#REF!</f>
        <v>#REF!</v>
      </c>
    </row>
    <row r="53" spans="2:83" s="197" customFormat="1" ht="37.5" x14ac:dyDescent="0.3">
      <c r="B53" s="182">
        <v>5036</v>
      </c>
      <c r="C53" s="182">
        <v>435</v>
      </c>
      <c r="D53" s="182" t="s">
        <v>325</v>
      </c>
      <c r="E53" s="181" t="s">
        <v>4559</v>
      </c>
      <c r="F53" s="182"/>
      <c r="G53" s="182">
        <v>10620</v>
      </c>
      <c r="H53" s="182"/>
      <c r="I53" s="182"/>
      <c r="J53" s="182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2"/>
      <c r="AM53" s="182"/>
      <c r="AN53" s="182"/>
      <c r="AO53" s="182"/>
      <c r="AP53" s="182"/>
      <c r="AQ53" s="185">
        <f t="shared" si="4"/>
        <v>10620</v>
      </c>
      <c r="AR53" s="182">
        <v>9482.0499999999993</v>
      </c>
      <c r="AS53" s="182">
        <v>1137.95</v>
      </c>
      <c r="AT53" s="182"/>
      <c r="AU53" s="182"/>
      <c r="AV53" s="182"/>
      <c r="AW53" s="18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2"/>
      <c r="BH53" s="182"/>
      <c r="BI53" s="182"/>
      <c r="BJ53" s="182"/>
      <c r="BK53" s="182"/>
      <c r="BL53" s="182"/>
      <c r="BM53" s="182"/>
      <c r="BN53" s="182"/>
      <c r="BO53" s="182"/>
      <c r="BP53" s="182"/>
      <c r="BQ53" s="182"/>
      <c r="BR53" s="182"/>
      <c r="BS53" s="182"/>
      <c r="BT53" s="182"/>
      <c r="BU53" s="182"/>
      <c r="BV53" s="182"/>
      <c r="BW53" s="182"/>
      <c r="BX53" s="182"/>
      <c r="BY53" s="182"/>
      <c r="BZ53" s="182"/>
      <c r="CA53" s="182"/>
      <c r="CB53" s="185">
        <f t="shared" si="5"/>
        <v>10620</v>
      </c>
      <c r="CC53" s="185">
        <f t="shared" si="6"/>
        <v>0</v>
      </c>
      <c r="CD53" s="185">
        <f t="shared" si="7"/>
        <v>435</v>
      </c>
      <c r="CE53" s="185" t="e">
        <f>+#REF!</f>
        <v>#REF!</v>
      </c>
    </row>
    <row r="54" spans="2:83" s="197" customFormat="1" ht="37.5" x14ac:dyDescent="0.3">
      <c r="B54" s="182">
        <v>1035</v>
      </c>
      <c r="C54" s="182">
        <v>436</v>
      </c>
      <c r="D54" s="182" t="s">
        <v>325</v>
      </c>
      <c r="E54" s="181" t="s">
        <v>4559</v>
      </c>
      <c r="F54" s="182"/>
      <c r="G54" s="182">
        <v>3240</v>
      </c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182"/>
      <c r="AQ54" s="185">
        <f t="shared" si="4"/>
        <v>3240</v>
      </c>
      <c r="AR54" s="182">
        <v>2892.05</v>
      </c>
      <c r="AS54" s="182">
        <v>347.95</v>
      </c>
      <c r="AT54" s="182"/>
      <c r="AU54" s="182"/>
      <c r="AV54" s="182"/>
      <c r="AW54" s="18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2"/>
      <c r="BH54" s="182"/>
      <c r="BI54" s="182"/>
      <c r="BJ54" s="182"/>
      <c r="BK54" s="182"/>
      <c r="BL54" s="182"/>
      <c r="BM54" s="182"/>
      <c r="BN54" s="182"/>
      <c r="BO54" s="182"/>
      <c r="BP54" s="182"/>
      <c r="BQ54" s="182"/>
      <c r="BR54" s="182"/>
      <c r="BS54" s="182"/>
      <c r="BT54" s="182"/>
      <c r="BU54" s="182"/>
      <c r="BV54" s="182"/>
      <c r="BW54" s="182"/>
      <c r="BX54" s="182"/>
      <c r="BY54" s="182"/>
      <c r="BZ54" s="182"/>
      <c r="CA54" s="182"/>
      <c r="CB54" s="185">
        <f t="shared" si="5"/>
        <v>3240</v>
      </c>
      <c r="CC54" s="185">
        <f t="shared" si="6"/>
        <v>0</v>
      </c>
      <c r="CD54" s="185">
        <f t="shared" si="7"/>
        <v>436</v>
      </c>
      <c r="CE54" s="185" t="e">
        <f>+#REF!</f>
        <v>#REF!</v>
      </c>
    </row>
    <row r="55" spans="2:83" s="197" customFormat="1" ht="37.5" x14ac:dyDescent="0.3">
      <c r="B55" s="182">
        <v>1065</v>
      </c>
      <c r="C55" s="182">
        <v>437</v>
      </c>
      <c r="D55" s="182" t="s">
        <v>325</v>
      </c>
      <c r="E55" s="181" t="s">
        <v>1929</v>
      </c>
      <c r="F55" s="182"/>
      <c r="G55" s="182">
        <v>20700</v>
      </c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182"/>
      <c r="AQ55" s="185">
        <f t="shared" si="4"/>
        <v>20700</v>
      </c>
      <c r="AR55" s="182">
        <v>18518.3</v>
      </c>
      <c r="AS55" s="182">
        <v>2181.6999999999998</v>
      </c>
      <c r="AT55" s="182"/>
      <c r="AU55" s="182"/>
      <c r="AV55" s="182"/>
      <c r="AW55" s="18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2"/>
      <c r="BM55" s="182"/>
      <c r="BN55" s="182"/>
      <c r="BO55" s="182"/>
      <c r="BP55" s="182"/>
      <c r="BQ55" s="182"/>
      <c r="BR55" s="182"/>
      <c r="BS55" s="182"/>
      <c r="BT55" s="182"/>
      <c r="BU55" s="182"/>
      <c r="BV55" s="182"/>
      <c r="BW55" s="182"/>
      <c r="BX55" s="182"/>
      <c r="BY55" s="182"/>
      <c r="BZ55" s="182"/>
      <c r="CA55" s="182"/>
      <c r="CB55" s="185">
        <f t="shared" si="5"/>
        <v>20700</v>
      </c>
      <c r="CC55" s="185">
        <f t="shared" si="6"/>
        <v>0</v>
      </c>
      <c r="CD55" s="185">
        <f t="shared" si="7"/>
        <v>437</v>
      </c>
      <c r="CE55" s="185" t="e">
        <f>+#REF!</f>
        <v>#REF!</v>
      </c>
    </row>
    <row r="56" spans="2:83" s="197" customFormat="1" ht="37.5" x14ac:dyDescent="0.3">
      <c r="B56" s="182">
        <v>1064</v>
      </c>
      <c r="C56" s="182">
        <v>438</v>
      </c>
      <c r="D56" s="182" t="s">
        <v>325</v>
      </c>
      <c r="E56" s="181" t="s">
        <v>1929</v>
      </c>
      <c r="F56" s="182"/>
      <c r="G56" s="182">
        <v>10130.4</v>
      </c>
      <c r="H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2"/>
      <c r="AM56" s="182"/>
      <c r="AN56" s="182"/>
      <c r="AO56" s="182"/>
      <c r="AP56" s="182"/>
      <c r="AQ56" s="185">
        <f t="shared" si="4"/>
        <v>10130.4</v>
      </c>
      <c r="AR56" s="182">
        <v>6756.85</v>
      </c>
      <c r="AS56" s="182">
        <f>68.75+864</f>
        <v>932.75</v>
      </c>
      <c r="AT56" s="182">
        <f>3373.55-AS56</f>
        <v>2440.8000000000002</v>
      </c>
      <c r="AU56" s="182"/>
      <c r="AV56" s="182"/>
      <c r="AW56" s="18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2"/>
      <c r="BH56" s="182"/>
      <c r="BI56" s="182"/>
      <c r="BJ56" s="182"/>
      <c r="BK56" s="182"/>
      <c r="BL56" s="182"/>
      <c r="BM56" s="182"/>
      <c r="BN56" s="182"/>
      <c r="BO56" s="182"/>
      <c r="BP56" s="182"/>
      <c r="BQ56" s="182"/>
      <c r="BR56" s="182"/>
      <c r="BS56" s="182"/>
      <c r="BT56" s="182"/>
      <c r="BU56" s="182"/>
      <c r="BV56" s="182"/>
      <c r="BW56" s="182"/>
      <c r="BX56" s="182"/>
      <c r="BY56" s="182"/>
      <c r="BZ56" s="182"/>
      <c r="CA56" s="182"/>
      <c r="CB56" s="185">
        <f t="shared" si="5"/>
        <v>10130.400000000001</v>
      </c>
      <c r="CC56" s="185">
        <f t="shared" si="6"/>
        <v>0</v>
      </c>
      <c r="CD56" s="185">
        <f t="shared" si="7"/>
        <v>438</v>
      </c>
      <c r="CE56" s="185" t="e">
        <f>+#REF!</f>
        <v>#REF!</v>
      </c>
    </row>
    <row r="57" spans="2:83" s="197" customFormat="1" ht="37.5" x14ac:dyDescent="0.3">
      <c r="B57" s="182">
        <v>1066</v>
      </c>
      <c r="C57" s="182">
        <v>439</v>
      </c>
      <c r="D57" s="182" t="s">
        <v>325</v>
      </c>
      <c r="E57" s="181" t="s">
        <v>1929</v>
      </c>
      <c r="F57" s="182"/>
      <c r="G57" s="182">
        <v>773.84</v>
      </c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2"/>
      <c r="AM57" s="182"/>
      <c r="AN57" s="182"/>
      <c r="AO57" s="182"/>
      <c r="AP57" s="182"/>
      <c r="AQ57" s="185">
        <f t="shared" si="4"/>
        <v>773.84</v>
      </c>
      <c r="AR57" s="182">
        <v>518.6</v>
      </c>
      <c r="AS57" s="182">
        <v>68.8</v>
      </c>
      <c r="AT57" s="182">
        <v>186.44</v>
      </c>
      <c r="AU57" s="182"/>
      <c r="AV57" s="182"/>
      <c r="AW57" s="18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2"/>
      <c r="BH57" s="182"/>
      <c r="BI57" s="182"/>
      <c r="BJ57" s="182"/>
      <c r="BK57" s="182"/>
      <c r="BL57" s="182"/>
      <c r="BM57" s="182"/>
      <c r="BN57" s="182"/>
      <c r="BO57" s="182"/>
      <c r="BP57" s="182"/>
      <c r="BQ57" s="182"/>
      <c r="BR57" s="182"/>
      <c r="BS57" s="182"/>
      <c r="BT57" s="182"/>
      <c r="BU57" s="182"/>
      <c r="BV57" s="182"/>
      <c r="BW57" s="182"/>
      <c r="BX57" s="182"/>
      <c r="BY57" s="182"/>
      <c r="BZ57" s="182"/>
      <c r="CA57" s="182"/>
      <c r="CB57" s="185">
        <f t="shared" si="5"/>
        <v>773.83999999999992</v>
      </c>
      <c r="CC57" s="185">
        <f t="shared" si="6"/>
        <v>0</v>
      </c>
      <c r="CD57" s="185">
        <f t="shared" si="7"/>
        <v>439</v>
      </c>
      <c r="CE57" s="185" t="e">
        <f>+#REF!</f>
        <v>#REF!</v>
      </c>
    </row>
    <row r="58" spans="2:83" s="197" customFormat="1" ht="37.5" x14ac:dyDescent="0.3">
      <c r="B58" s="182"/>
      <c r="C58" s="182">
        <v>440</v>
      </c>
      <c r="D58" s="182" t="s">
        <v>325</v>
      </c>
      <c r="E58" s="181" t="s">
        <v>1929</v>
      </c>
      <c r="F58" s="182"/>
      <c r="G58" s="182">
        <v>765.46</v>
      </c>
      <c r="H58" s="182"/>
      <c r="I58" s="182"/>
      <c r="J58" s="182"/>
      <c r="K58" s="182"/>
      <c r="L58" s="182"/>
      <c r="M58" s="182"/>
      <c r="N58" s="182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2"/>
      <c r="AM58" s="182"/>
      <c r="AN58" s="182"/>
      <c r="AO58" s="182"/>
      <c r="AP58" s="182"/>
      <c r="AQ58" s="185">
        <f t="shared" si="4"/>
        <v>765.46</v>
      </c>
      <c r="AR58" s="182">
        <v>523.5</v>
      </c>
      <c r="AS58" s="182">
        <v>69.25</v>
      </c>
      <c r="AT58" s="182">
        <v>172.71</v>
      </c>
      <c r="AU58" s="182"/>
      <c r="AV58" s="182"/>
      <c r="AW58" s="182"/>
      <c r="AX58" s="182"/>
      <c r="AY58" s="182"/>
      <c r="AZ58" s="182"/>
      <c r="BA58" s="182"/>
      <c r="BB58" s="182"/>
      <c r="BC58" s="182"/>
      <c r="BD58" s="182"/>
      <c r="BE58" s="182"/>
      <c r="BF58" s="182"/>
      <c r="BG58" s="182"/>
      <c r="BH58" s="182"/>
      <c r="BI58" s="182"/>
      <c r="BJ58" s="182"/>
      <c r="BK58" s="182"/>
      <c r="BL58" s="182"/>
      <c r="BM58" s="182"/>
      <c r="BN58" s="182"/>
      <c r="BO58" s="182"/>
      <c r="BP58" s="182"/>
      <c r="BQ58" s="182"/>
      <c r="BR58" s="182"/>
      <c r="BS58" s="182"/>
      <c r="BT58" s="182"/>
      <c r="BU58" s="182"/>
      <c r="BV58" s="182"/>
      <c r="BW58" s="182"/>
      <c r="BX58" s="182"/>
      <c r="BY58" s="182"/>
      <c r="BZ58" s="182"/>
      <c r="CA58" s="182"/>
      <c r="CB58" s="185">
        <f t="shared" si="5"/>
        <v>765.46</v>
      </c>
      <c r="CC58" s="185">
        <f t="shared" si="6"/>
        <v>0</v>
      </c>
      <c r="CD58" s="185">
        <f t="shared" si="7"/>
        <v>440</v>
      </c>
      <c r="CE58" s="185" t="e">
        <f>+#REF!</f>
        <v>#REF!</v>
      </c>
    </row>
    <row r="59" spans="2:83" s="197" customFormat="1" ht="37.5" x14ac:dyDescent="0.3">
      <c r="B59" s="182"/>
      <c r="C59" s="182">
        <v>441</v>
      </c>
      <c r="D59" s="182" t="s">
        <v>325</v>
      </c>
      <c r="E59" s="181" t="s">
        <v>1929</v>
      </c>
      <c r="F59" s="182"/>
      <c r="G59" s="182">
        <v>20969.400000000001</v>
      </c>
      <c r="H59" s="182"/>
      <c r="I59" s="182"/>
      <c r="J59" s="182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2"/>
      <c r="AM59" s="182"/>
      <c r="AN59" s="182"/>
      <c r="AO59" s="182"/>
      <c r="AP59" s="182"/>
      <c r="AQ59" s="185">
        <f t="shared" si="4"/>
        <v>20969.400000000001</v>
      </c>
      <c r="AR59" s="182">
        <v>17402.849999999999</v>
      </c>
      <c r="AS59" s="182">
        <v>2142.75</v>
      </c>
      <c r="AT59" s="182">
        <v>1423.8</v>
      </c>
      <c r="AU59" s="182"/>
      <c r="AV59" s="182"/>
      <c r="AW59" s="18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2"/>
      <c r="BH59" s="182"/>
      <c r="BI59" s="182"/>
      <c r="BJ59" s="182"/>
      <c r="BK59" s="182"/>
      <c r="BL59" s="182"/>
      <c r="BM59" s="182"/>
      <c r="BN59" s="182"/>
      <c r="BO59" s="182"/>
      <c r="BP59" s="182"/>
      <c r="BQ59" s="182"/>
      <c r="BR59" s="182"/>
      <c r="BS59" s="182"/>
      <c r="BT59" s="182"/>
      <c r="BU59" s="182"/>
      <c r="BV59" s="182"/>
      <c r="BW59" s="182"/>
      <c r="BX59" s="182"/>
      <c r="BY59" s="182"/>
      <c r="BZ59" s="182"/>
      <c r="CA59" s="182"/>
      <c r="CB59" s="185">
        <f t="shared" si="5"/>
        <v>20969.399999999998</v>
      </c>
      <c r="CC59" s="185">
        <f t="shared" si="6"/>
        <v>0</v>
      </c>
      <c r="CD59" s="185">
        <f t="shared" si="7"/>
        <v>441</v>
      </c>
      <c r="CE59" s="185" t="e">
        <f>+#REF!</f>
        <v>#REF!</v>
      </c>
    </row>
    <row r="60" spans="2:83" s="197" customFormat="1" ht="37.5" x14ac:dyDescent="0.3">
      <c r="B60" s="182"/>
      <c r="C60" s="182">
        <v>442</v>
      </c>
      <c r="D60" s="182" t="s">
        <v>325</v>
      </c>
      <c r="E60" s="181" t="str">
        <f>+E61</f>
        <v>عب تدريس اطفال</v>
      </c>
      <c r="F60" s="182"/>
      <c r="G60" s="182">
        <v>1407</v>
      </c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2"/>
      <c r="AM60" s="182"/>
      <c r="AN60" s="182"/>
      <c r="AO60" s="182"/>
      <c r="AP60" s="182"/>
      <c r="AQ60" s="185">
        <f t="shared" si="4"/>
        <v>1407</v>
      </c>
      <c r="AR60" s="182">
        <v>940.35</v>
      </c>
      <c r="AS60" s="182">
        <v>127.65</v>
      </c>
      <c r="AT60" s="182">
        <v>339</v>
      </c>
      <c r="AU60" s="182"/>
      <c r="AV60" s="182"/>
      <c r="AW60" s="18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2"/>
      <c r="BH60" s="182"/>
      <c r="BI60" s="182"/>
      <c r="BJ60" s="182"/>
      <c r="BK60" s="182"/>
      <c r="BL60" s="182"/>
      <c r="BM60" s="182"/>
      <c r="BN60" s="182"/>
      <c r="BO60" s="182"/>
      <c r="BP60" s="182"/>
      <c r="BQ60" s="182"/>
      <c r="BR60" s="182"/>
      <c r="BS60" s="182"/>
      <c r="BT60" s="182"/>
      <c r="BU60" s="182"/>
      <c r="BV60" s="182"/>
      <c r="BW60" s="182"/>
      <c r="BX60" s="182"/>
      <c r="BY60" s="182"/>
      <c r="BZ60" s="182"/>
      <c r="CA60" s="182"/>
      <c r="CB60" s="185">
        <f t="shared" si="5"/>
        <v>1407</v>
      </c>
      <c r="CC60" s="185">
        <f t="shared" si="6"/>
        <v>0</v>
      </c>
      <c r="CD60" s="185">
        <f t="shared" si="7"/>
        <v>442</v>
      </c>
      <c r="CE60" s="185" t="e">
        <f>+#REF!</f>
        <v>#REF!</v>
      </c>
    </row>
    <row r="61" spans="2:83" s="197" customFormat="1" ht="37.5" x14ac:dyDescent="0.3">
      <c r="B61" s="182"/>
      <c r="C61" s="182">
        <v>443</v>
      </c>
      <c r="D61" s="182" t="s">
        <v>325</v>
      </c>
      <c r="E61" s="181" t="s">
        <v>1386</v>
      </c>
      <c r="F61" s="182"/>
      <c r="G61" s="182">
        <v>27087.06</v>
      </c>
      <c r="H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  <c r="Z61" s="182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2"/>
      <c r="AM61" s="182"/>
      <c r="AN61" s="182"/>
      <c r="AO61" s="182"/>
      <c r="AP61" s="182"/>
      <c r="AQ61" s="185">
        <f t="shared" si="4"/>
        <v>27087.06</v>
      </c>
      <c r="AR61" s="182">
        <v>23667.59</v>
      </c>
      <c r="AS61" s="182">
        <v>2883.85</v>
      </c>
      <c r="AT61" s="182">
        <v>535.62</v>
      </c>
      <c r="AU61" s="182"/>
      <c r="AV61" s="182"/>
      <c r="AW61" s="18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2"/>
      <c r="BH61" s="182"/>
      <c r="BI61" s="182"/>
      <c r="BJ61" s="182"/>
      <c r="BK61" s="182"/>
      <c r="BL61" s="182"/>
      <c r="BM61" s="182"/>
      <c r="BN61" s="182"/>
      <c r="BO61" s="182"/>
      <c r="BP61" s="182"/>
      <c r="BQ61" s="182"/>
      <c r="BR61" s="182"/>
      <c r="BS61" s="182"/>
      <c r="BT61" s="182"/>
      <c r="BU61" s="182"/>
      <c r="BV61" s="182"/>
      <c r="BW61" s="182"/>
      <c r="BX61" s="182"/>
      <c r="BY61" s="182"/>
      <c r="BZ61" s="182"/>
      <c r="CA61" s="182"/>
      <c r="CB61" s="185">
        <f t="shared" si="5"/>
        <v>27087.059999999998</v>
      </c>
      <c r="CC61" s="185">
        <f t="shared" si="6"/>
        <v>0</v>
      </c>
      <c r="CD61" s="185">
        <f t="shared" si="7"/>
        <v>443</v>
      </c>
      <c r="CE61" s="185" t="e">
        <f>+#REF!</f>
        <v>#REF!</v>
      </c>
    </row>
    <row r="62" spans="2:83" s="197" customFormat="1" ht="37.5" x14ac:dyDescent="0.3">
      <c r="B62" s="182"/>
      <c r="C62" s="182">
        <v>444</v>
      </c>
      <c r="D62" s="182" t="s">
        <v>325</v>
      </c>
      <c r="E62" s="181" t="s">
        <v>1386</v>
      </c>
      <c r="F62" s="182"/>
      <c r="G62" s="182">
        <v>2638.13</v>
      </c>
      <c r="H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2"/>
      <c r="AM62" s="182"/>
      <c r="AN62" s="182"/>
      <c r="AO62" s="182"/>
      <c r="AP62" s="182"/>
      <c r="AQ62" s="185">
        <f t="shared" si="4"/>
        <v>2638.13</v>
      </c>
      <c r="AR62" s="182">
        <v>1763.55</v>
      </c>
      <c r="AS62" s="182">
        <v>238.95</v>
      </c>
      <c r="AT62" s="182">
        <v>635.63</v>
      </c>
      <c r="AU62" s="182"/>
      <c r="AV62" s="182"/>
      <c r="AW62" s="18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2"/>
      <c r="BH62" s="182"/>
      <c r="BI62" s="182"/>
      <c r="BJ62" s="182"/>
      <c r="BK62" s="182"/>
      <c r="BL62" s="182"/>
      <c r="BM62" s="182"/>
      <c r="BN62" s="182"/>
      <c r="BO62" s="182"/>
      <c r="BP62" s="182"/>
      <c r="BQ62" s="182"/>
      <c r="BR62" s="182"/>
      <c r="BS62" s="182"/>
      <c r="BT62" s="182"/>
      <c r="BU62" s="182"/>
      <c r="BV62" s="182"/>
      <c r="BW62" s="182"/>
      <c r="BX62" s="182"/>
      <c r="BY62" s="182"/>
      <c r="BZ62" s="182"/>
      <c r="CA62" s="182"/>
      <c r="CB62" s="185">
        <f t="shared" si="5"/>
        <v>2638.13</v>
      </c>
      <c r="CC62" s="185">
        <f t="shared" si="6"/>
        <v>0</v>
      </c>
      <c r="CD62" s="185">
        <f t="shared" si="7"/>
        <v>444</v>
      </c>
      <c r="CE62" s="185" t="e">
        <f>+#REF!</f>
        <v>#REF!</v>
      </c>
    </row>
    <row r="63" spans="2:83" s="197" customFormat="1" ht="37.5" x14ac:dyDescent="0.3">
      <c r="B63" s="182"/>
      <c r="C63" s="182">
        <v>445</v>
      </c>
      <c r="D63" s="182" t="s">
        <v>325</v>
      </c>
      <c r="E63" s="181" t="s">
        <v>1386</v>
      </c>
      <c r="F63" s="182"/>
      <c r="G63" s="182">
        <v>840</v>
      </c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2"/>
      <c r="AM63" s="182"/>
      <c r="AN63" s="182"/>
      <c r="AO63" s="182"/>
      <c r="AP63" s="182"/>
      <c r="AQ63" s="185">
        <f t="shared" si="4"/>
        <v>840</v>
      </c>
      <c r="AR63" s="182">
        <v>750.45</v>
      </c>
      <c r="AS63" s="182">
        <v>89.55</v>
      </c>
      <c r="AT63" s="182"/>
      <c r="AU63" s="182"/>
      <c r="AV63" s="182"/>
      <c r="AW63" s="18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2"/>
      <c r="BH63" s="182"/>
      <c r="BI63" s="182"/>
      <c r="BJ63" s="182"/>
      <c r="BK63" s="182"/>
      <c r="BL63" s="182"/>
      <c r="BM63" s="182"/>
      <c r="BN63" s="182"/>
      <c r="BO63" s="182"/>
      <c r="BP63" s="182"/>
      <c r="BQ63" s="182"/>
      <c r="BR63" s="182"/>
      <c r="BS63" s="182"/>
      <c r="BT63" s="182"/>
      <c r="BU63" s="182"/>
      <c r="BV63" s="182"/>
      <c r="BW63" s="182"/>
      <c r="BX63" s="182"/>
      <c r="BY63" s="182"/>
      <c r="BZ63" s="182"/>
      <c r="CA63" s="182"/>
      <c r="CB63" s="185">
        <f t="shared" si="5"/>
        <v>840</v>
      </c>
      <c r="CC63" s="185">
        <f t="shared" si="6"/>
        <v>0</v>
      </c>
      <c r="CD63" s="185">
        <f t="shared" si="7"/>
        <v>445</v>
      </c>
      <c r="CE63" s="185" t="e">
        <f>+#REF!</f>
        <v>#REF!</v>
      </c>
    </row>
    <row r="64" spans="2:83" s="197" customFormat="1" ht="37.5" x14ac:dyDescent="0.3">
      <c r="B64" s="182"/>
      <c r="C64" s="182">
        <v>446</v>
      </c>
      <c r="D64" s="182"/>
      <c r="E64" s="181" t="s">
        <v>4560</v>
      </c>
      <c r="F64" s="186" t="s">
        <v>220</v>
      </c>
      <c r="G64" s="182"/>
      <c r="H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  <c r="Z64" s="182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2"/>
      <c r="AM64" s="182"/>
      <c r="AN64" s="182"/>
      <c r="AO64" s="182"/>
      <c r="AP64" s="182"/>
      <c r="AQ64" s="185">
        <f t="shared" si="4"/>
        <v>0</v>
      </c>
      <c r="AR64" s="182"/>
      <c r="AS64" s="182"/>
      <c r="AT64" s="182"/>
      <c r="AU64" s="182"/>
      <c r="AV64" s="182"/>
      <c r="AW64" s="18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2"/>
      <c r="BH64" s="182"/>
      <c r="BI64" s="182"/>
      <c r="BJ64" s="182"/>
      <c r="BK64" s="182"/>
      <c r="BL64" s="182"/>
      <c r="BM64" s="182"/>
      <c r="BN64" s="182"/>
      <c r="BO64" s="182"/>
      <c r="BP64" s="182"/>
      <c r="BQ64" s="182"/>
      <c r="BR64" s="182"/>
      <c r="BS64" s="182"/>
      <c r="BT64" s="182"/>
      <c r="BU64" s="182"/>
      <c r="BV64" s="182"/>
      <c r="BW64" s="182"/>
      <c r="BX64" s="182"/>
      <c r="BY64" s="182"/>
      <c r="BZ64" s="182"/>
      <c r="CA64" s="182"/>
      <c r="CB64" s="185">
        <f t="shared" si="5"/>
        <v>0</v>
      </c>
      <c r="CC64" s="185">
        <f t="shared" si="6"/>
        <v>0</v>
      </c>
      <c r="CD64" s="185">
        <f t="shared" si="7"/>
        <v>446</v>
      </c>
      <c r="CE64" s="185" t="e">
        <f>+#REF!</f>
        <v>#REF!</v>
      </c>
    </row>
    <row r="65" spans="2:83" s="197" customFormat="1" ht="37.5" x14ac:dyDescent="0.3">
      <c r="B65" s="182"/>
      <c r="C65" s="182">
        <v>447</v>
      </c>
      <c r="D65" s="182"/>
      <c r="E65" s="181" t="s">
        <v>4561</v>
      </c>
      <c r="F65" s="186" t="s">
        <v>220</v>
      </c>
      <c r="G65" s="182"/>
      <c r="H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  <c r="Z65" s="182"/>
      <c r="AA65" s="182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  <c r="AL65" s="182"/>
      <c r="AM65" s="182"/>
      <c r="AN65" s="182"/>
      <c r="AO65" s="182"/>
      <c r="AP65" s="182"/>
      <c r="AQ65" s="185">
        <f t="shared" si="4"/>
        <v>0</v>
      </c>
      <c r="AR65" s="182"/>
      <c r="AS65" s="182"/>
      <c r="AT65" s="182"/>
      <c r="AU65" s="182"/>
      <c r="AV65" s="182"/>
      <c r="AW65" s="18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2"/>
      <c r="BH65" s="182"/>
      <c r="BI65" s="182"/>
      <c r="BJ65" s="182"/>
      <c r="BK65" s="182"/>
      <c r="BL65" s="182"/>
      <c r="BM65" s="182"/>
      <c r="BN65" s="182"/>
      <c r="BO65" s="182"/>
      <c r="BP65" s="182"/>
      <c r="BQ65" s="182"/>
      <c r="BR65" s="182"/>
      <c r="BS65" s="182"/>
      <c r="BT65" s="182"/>
      <c r="BU65" s="182"/>
      <c r="BV65" s="182"/>
      <c r="BW65" s="182"/>
      <c r="BX65" s="182"/>
      <c r="BY65" s="182"/>
      <c r="BZ65" s="182"/>
      <c r="CA65" s="182"/>
      <c r="CB65" s="185">
        <f t="shared" si="5"/>
        <v>0</v>
      </c>
      <c r="CC65" s="185">
        <f t="shared" si="6"/>
        <v>0</v>
      </c>
      <c r="CD65" s="185">
        <f t="shared" si="7"/>
        <v>447</v>
      </c>
      <c r="CE65" s="185" t="e">
        <f>+#REF!</f>
        <v>#REF!</v>
      </c>
    </row>
    <row r="66" spans="2:83" s="197" customFormat="1" ht="37.5" x14ac:dyDescent="0.3">
      <c r="B66" s="182">
        <v>1330</v>
      </c>
      <c r="C66" s="182">
        <v>448</v>
      </c>
      <c r="D66" s="182" t="s">
        <v>325</v>
      </c>
      <c r="E66" s="181" t="str">
        <f>+E63</f>
        <v>عب تدريس اطفال</v>
      </c>
      <c r="F66" s="182"/>
      <c r="G66" s="182">
        <v>60</v>
      </c>
      <c r="H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  <c r="Z66" s="182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2"/>
      <c r="AM66" s="182"/>
      <c r="AN66" s="182"/>
      <c r="AO66" s="182"/>
      <c r="AP66" s="182"/>
      <c r="AQ66" s="185">
        <f t="shared" si="4"/>
        <v>60</v>
      </c>
      <c r="AR66" s="182">
        <v>53.9</v>
      </c>
      <c r="AS66" s="182">
        <v>6.1</v>
      </c>
      <c r="AT66" s="182"/>
      <c r="AU66" s="182"/>
      <c r="AV66" s="182"/>
      <c r="AW66" s="18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2"/>
      <c r="BH66" s="182"/>
      <c r="BI66" s="182"/>
      <c r="BJ66" s="182"/>
      <c r="BK66" s="182"/>
      <c r="BL66" s="182"/>
      <c r="BM66" s="182"/>
      <c r="BN66" s="182"/>
      <c r="BO66" s="182"/>
      <c r="BP66" s="182"/>
      <c r="BQ66" s="182"/>
      <c r="BR66" s="182"/>
      <c r="BS66" s="182"/>
      <c r="BT66" s="182"/>
      <c r="BU66" s="182"/>
      <c r="BV66" s="182"/>
      <c r="BW66" s="182"/>
      <c r="BX66" s="182"/>
      <c r="BY66" s="182"/>
      <c r="BZ66" s="182"/>
      <c r="CA66" s="182"/>
      <c r="CB66" s="185">
        <f t="shared" si="5"/>
        <v>60</v>
      </c>
      <c r="CC66" s="185">
        <f t="shared" si="6"/>
        <v>0</v>
      </c>
      <c r="CD66" s="185">
        <f t="shared" si="7"/>
        <v>448</v>
      </c>
      <c r="CE66" s="185" t="e">
        <f>+#REF!</f>
        <v>#REF!</v>
      </c>
    </row>
    <row r="67" spans="2:83" s="197" customFormat="1" ht="37.5" x14ac:dyDescent="0.3">
      <c r="B67" s="182">
        <v>1339</v>
      </c>
      <c r="C67" s="182">
        <v>449</v>
      </c>
      <c r="D67" s="182" t="s">
        <v>325</v>
      </c>
      <c r="E67" s="181" t="str">
        <f t="shared" ref="E67:E72" si="8">+E66</f>
        <v>عب تدريس اطفال</v>
      </c>
      <c r="F67" s="182"/>
      <c r="G67" s="182">
        <v>193.46</v>
      </c>
      <c r="H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2"/>
      <c r="AM67" s="182"/>
      <c r="AN67" s="182"/>
      <c r="AO67" s="182"/>
      <c r="AP67" s="182"/>
      <c r="AQ67" s="185">
        <f t="shared" ref="AQ67:AQ73" si="9">SUM(G67:AP67)</f>
        <v>193.46</v>
      </c>
      <c r="AR67" s="182">
        <v>129.75</v>
      </c>
      <c r="AS67" s="182">
        <v>17.100000000000001</v>
      </c>
      <c r="AT67" s="182">
        <v>46.61</v>
      </c>
      <c r="AU67" s="182"/>
      <c r="AV67" s="182"/>
      <c r="AW67" s="18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2"/>
      <c r="BH67" s="182"/>
      <c r="BI67" s="182"/>
      <c r="BJ67" s="182"/>
      <c r="BK67" s="182"/>
      <c r="BL67" s="182"/>
      <c r="BM67" s="182"/>
      <c r="BN67" s="182"/>
      <c r="BO67" s="182"/>
      <c r="BP67" s="182"/>
      <c r="BQ67" s="182"/>
      <c r="BR67" s="182"/>
      <c r="BS67" s="182"/>
      <c r="BT67" s="182"/>
      <c r="BU67" s="182"/>
      <c r="BV67" s="182"/>
      <c r="BW67" s="182"/>
      <c r="BX67" s="182"/>
      <c r="BY67" s="182"/>
      <c r="BZ67" s="182"/>
      <c r="CA67" s="182"/>
      <c r="CB67" s="185">
        <f t="shared" ref="CB67:CB73" si="10">SUM(AR67:CA67)</f>
        <v>193.45999999999998</v>
      </c>
      <c r="CC67" s="185">
        <f t="shared" ref="CC67:CC73" si="11">+CB67-AQ67</f>
        <v>0</v>
      </c>
      <c r="CD67" s="185">
        <f t="shared" ref="CD67:CD73" si="12">+C67</f>
        <v>449</v>
      </c>
      <c r="CE67" s="185" t="e">
        <f>+#REF!</f>
        <v>#REF!</v>
      </c>
    </row>
    <row r="68" spans="2:83" s="197" customFormat="1" ht="37.5" x14ac:dyDescent="0.3">
      <c r="B68" s="182">
        <v>102</v>
      </c>
      <c r="C68" s="182">
        <v>450</v>
      </c>
      <c r="D68" s="182" t="s">
        <v>325</v>
      </c>
      <c r="E68" s="181" t="str">
        <f t="shared" si="8"/>
        <v>عب تدريس اطفال</v>
      </c>
      <c r="F68" s="182"/>
      <c r="G68" s="182">
        <v>2520</v>
      </c>
      <c r="H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2"/>
      <c r="AM68" s="182"/>
      <c r="AN68" s="182"/>
      <c r="AO68" s="182"/>
      <c r="AP68" s="182"/>
      <c r="AQ68" s="185">
        <f t="shared" si="9"/>
        <v>2520</v>
      </c>
      <c r="AR68" s="182">
        <v>2250.1999999999998</v>
      </c>
      <c r="AS68" s="182">
        <v>269.8</v>
      </c>
      <c r="AT68" s="182"/>
      <c r="AU68" s="182"/>
      <c r="AV68" s="182"/>
      <c r="AW68" s="18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2"/>
      <c r="BM68" s="182"/>
      <c r="BN68" s="182"/>
      <c r="BO68" s="182"/>
      <c r="BP68" s="182"/>
      <c r="BQ68" s="182"/>
      <c r="BR68" s="182"/>
      <c r="BS68" s="182"/>
      <c r="BT68" s="182"/>
      <c r="BU68" s="182"/>
      <c r="BV68" s="182"/>
      <c r="BW68" s="182"/>
      <c r="BX68" s="182"/>
      <c r="BY68" s="182"/>
      <c r="BZ68" s="182"/>
      <c r="CA68" s="182"/>
      <c r="CB68" s="185">
        <f t="shared" si="10"/>
        <v>2520</v>
      </c>
      <c r="CC68" s="185">
        <f t="shared" si="11"/>
        <v>0</v>
      </c>
      <c r="CD68" s="185">
        <f t="shared" si="12"/>
        <v>450</v>
      </c>
      <c r="CE68" s="185" t="e">
        <f>+#REF!</f>
        <v>#REF!</v>
      </c>
    </row>
    <row r="69" spans="2:83" s="197" customFormat="1" ht="37.5" x14ac:dyDescent="0.3">
      <c r="B69" s="182">
        <v>104</v>
      </c>
      <c r="C69" s="182">
        <v>451</v>
      </c>
      <c r="D69" s="182" t="s">
        <v>325</v>
      </c>
      <c r="E69" s="181" t="str">
        <f t="shared" si="8"/>
        <v>عب تدريس اطفال</v>
      </c>
      <c r="F69" s="182"/>
      <c r="G69" s="182">
        <v>1741.17</v>
      </c>
      <c r="H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2"/>
      <c r="AM69" s="182"/>
      <c r="AN69" s="182"/>
      <c r="AO69" s="182"/>
      <c r="AP69" s="182"/>
      <c r="AQ69" s="185">
        <f t="shared" si="9"/>
        <v>1741.17</v>
      </c>
      <c r="AR69" s="182">
        <v>1164.75</v>
      </c>
      <c r="AS69" s="182">
        <v>156.9</v>
      </c>
      <c r="AT69" s="182">
        <v>419.52</v>
      </c>
      <c r="AU69" s="182"/>
      <c r="AV69" s="182"/>
      <c r="AW69" s="18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2"/>
      <c r="BH69" s="182"/>
      <c r="BI69" s="182"/>
      <c r="BJ69" s="182"/>
      <c r="BK69" s="182"/>
      <c r="BL69" s="182"/>
      <c r="BM69" s="182"/>
      <c r="BN69" s="182"/>
      <c r="BO69" s="182"/>
      <c r="BP69" s="182"/>
      <c r="BQ69" s="182"/>
      <c r="BR69" s="182"/>
      <c r="BS69" s="182"/>
      <c r="BT69" s="182"/>
      <c r="BU69" s="182"/>
      <c r="BV69" s="182"/>
      <c r="BW69" s="182"/>
      <c r="BX69" s="182"/>
      <c r="BY69" s="182"/>
      <c r="BZ69" s="182"/>
      <c r="CA69" s="182"/>
      <c r="CB69" s="185">
        <f t="shared" si="10"/>
        <v>1741.17</v>
      </c>
      <c r="CC69" s="185">
        <f t="shared" si="11"/>
        <v>0</v>
      </c>
      <c r="CD69" s="185">
        <f t="shared" si="12"/>
        <v>451</v>
      </c>
      <c r="CE69" s="185" t="e">
        <f>+#REF!</f>
        <v>#REF!</v>
      </c>
    </row>
    <row r="70" spans="2:83" s="197" customFormat="1" ht="37.5" x14ac:dyDescent="0.3">
      <c r="B70" s="182">
        <v>119</v>
      </c>
      <c r="C70" s="182">
        <v>452</v>
      </c>
      <c r="D70" s="182" t="s">
        <v>325</v>
      </c>
      <c r="E70" s="181" t="str">
        <f t="shared" si="8"/>
        <v>عب تدريس اطفال</v>
      </c>
      <c r="F70" s="182"/>
      <c r="G70" s="182">
        <v>5170.7299999999996</v>
      </c>
      <c r="H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  <c r="Z70" s="182"/>
      <c r="AA70" s="182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  <c r="AL70" s="182"/>
      <c r="AM70" s="182"/>
      <c r="AN70" s="182"/>
      <c r="AO70" s="182"/>
      <c r="AP70" s="182"/>
      <c r="AQ70" s="185">
        <f t="shared" si="9"/>
        <v>5170.7299999999996</v>
      </c>
      <c r="AR70" s="182">
        <v>3451.95</v>
      </c>
      <c r="AS70" s="182">
        <f>441+31.95</f>
        <v>472.95</v>
      </c>
      <c r="AT70" s="182">
        <f>1718.78-AS70</f>
        <v>1245.83</v>
      </c>
      <c r="AU70" s="182"/>
      <c r="AV70" s="182"/>
      <c r="AW70" s="182"/>
      <c r="AX70" s="182"/>
      <c r="AY70" s="182"/>
      <c r="AZ70" s="182"/>
      <c r="BA70" s="182"/>
      <c r="BB70" s="182"/>
      <c r="BC70" s="182"/>
      <c r="BD70" s="182"/>
      <c r="BE70" s="182"/>
      <c r="BF70" s="182"/>
      <c r="BG70" s="182"/>
      <c r="BH70" s="182"/>
      <c r="BI70" s="182"/>
      <c r="BJ70" s="182"/>
      <c r="BK70" s="182"/>
      <c r="BL70" s="182"/>
      <c r="BM70" s="182"/>
      <c r="BN70" s="182"/>
      <c r="BO70" s="182"/>
      <c r="BP70" s="182"/>
      <c r="BQ70" s="182"/>
      <c r="BR70" s="182"/>
      <c r="BS70" s="182"/>
      <c r="BT70" s="182"/>
      <c r="BU70" s="182"/>
      <c r="BV70" s="182"/>
      <c r="BW70" s="182"/>
      <c r="BX70" s="182"/>
      <c r="BY70" s="182"/>
      <c r="BZ70" s="182"/>
      <c r="CA70" s="182"/>
      <c r="CB70" s="185">
        <f t="shared" si="10"/>
        <v>5170.7299999999996</v>
      </c>
      <c r="CC70" s="185">
        <f t="shared" si="11"/>
        <v>0</v>
      </c>
      <c r="CD70" s="185">
        <f t="shared" si="12"/>
        <v>452</v>
      </c>
      <c r="CE70" s="185" t="e">
        <f>+#REF!</f>
        <v>#REF!</v>
      </c>
    </row>
    <row r="71" spans="2:83" s="197" customFormat="1" ht="37.5" x14ac:dyDescent="0.3">
      <c r="B71" s="182">
        <v>101</v>
      </c>
      <c r="C71" s="182">
        <v>453</v>
      </c>
      <c r="D71" s="182" t="s">
        <v>325</v>
      </c>
      <c r="E71" s="181" t="str">
        <f t="shared" si="8"/>
        <v>عب تدريس اطفال</v>
      </c>
      <c r="F71" s="182"/>
      <c r="G71" s="182">
        <v>11700</v>
      </c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5">
        <f t="shared" si="9"/>
        <v>11700</v>
      </c>
      <c r="AR71" s="182">
        <v>10451.15</v>
      </c>
      <c r="AS71" s="182">
        <v>1248.8499999999999</v>
      </c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5">
        <f t="shared" si="10"/>
        <v>11700</v>
      </c>
      <c r="CC71" s="185">
        <f t="shared" si="11"/>
        <v>0</v>
      </c>
      <c r="CD71" s="185">
        <f t="shared" si="12"/>
        <v>453</v>
      </c>
      <c r="CE71" s="185" t="e">
        <f>+#REF!</f>
        <v>#REF!</v>
      </c>
    </row>
    <row r="72" spans="2:83" s="197" customFormat="1" ht="37.5" x14ac:dyDescent="0.3">
      <c r="B72" s="182">
        <v>118</v>
      </c>
      <c r="C72" s="182">
        <v>454</v>
      </c>
      <c r="D72" s="182" t="s">
        <v>325</v>
      </c>
      <c r="E72" s="181" t="str">
        <f t="shared" si="8"/>
        <v>عب تدريس اطفال</v>
      </c>
      <c r="F72" s="182"/>
      <c r="G72" s="182">
        <v>8280</v>
      </c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2"/>
      <c r="AM72" s="182"/>
      <c r="AN72" s="182"/>
      <c r="AO72" s="182"/>
      <c r="AP72" s="182"/>
      <c r="AQ72" s="185">
        <f t="shared" si="9"/>
        <v>8280</v>
      </c>
      <c r="AR72" s="182">
        <v>7392.8</v>
      </c>
      <c r="AS72" s="182">
        <v>887.2</v>
      </c>
      <c r="AT72" s="182"/>
      <c r="AU72" s="182"/>
      <c r="AV72" s="182"/>
      <c r="AW72" s="18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2"/>
      <c r="BH72" s="182"/>
      <c r="BI72" s="182"/>
      <c r="BJ72" s="182"/>
      <c r="BK72" s="182"/>
      <c r="BL72" s="182"/>
      <c r="BM72" s="182"/>
      <c r="BN72" s="182"/>
      <c r="BO72" s="182"/>
      <c r="BP72" s="182"/>
      <c r="BQ72" s="182"/>
      <c r="BR72" s="182"/>
      <c r="BS72" s="182"/>
      <c r="BT72" s="182"/>
      <c r="BU72" s="182"/>
      <c r="BV72" s="182"/>
      <c r="BW72" s="182"/>
      <c r="BX72" s="182"/>
      <c r="BY72" s="182"/>
      <c r="BZ72" s="182"/>
      <c r="CA72" s="182"/>
      <c r="CB72" s="185">
        <f t="shared" si="10"/>
        <v>8280</v>
      </c>
      <c r="CC72" s="185">
        <f t="shared" si="11"/>
        <v>0</v>
      </c>
      <c r="CD72" s="185">
        <f t="shared" si="12"/>
        <v>454</v>
      </c>
      <c r="CE72" s="185" t="e">
        <f>+#REF!</f>
        <v>#REF!</v>
      </c>
    </row>
    <row r="73" spans="2:83" s="197" customFormat="1" ht="37.5" x14ac:dyDescent="0.3">
      <c r="B73" s="182">
        <v>115</v>
      </c>
      <c r="C73" s="182">
        <v>455</v>
      </c>
      <c r="D73" s="182" t="s">
        <v>325</v>
      </c>
      <c r="E73" s="181" t="str">
        <f>+E55</f>
        <v>عب تدريس جراحه</v>
      </c>
      <c r="F73" s="182"/>
      <c r="G73" s="182">
        <v>15246.22</v>
      </c>
      <c r="H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2"/>
      <c r="AM73" s="182"/>
      <c r="AN73" s="182"/>
      <c r="AO73" s="182"/>
      <c r="AP73" s="182"/>
      <c r="AQ73" s="185">
        <f t="shared" si="9"/>
        <v>15246.22</v>
      </c>
      <c r="AR73" s="182">
        <v>13570.4</v>
      </c>
      <c r="AS73" s="182">
        <v>1616.5</v>
      </c>
      <c r="AT73" s="182">
        <v>59.32</v>
      </c>
      <c r="AU73" s="182"/>
      <c r="AV73" s="182"/>
      <c r="AW73" s="18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2"/>
      <c r="BH73" s="182"/>
      <c r="BI73" s="182"/>
      <c r="BJ73" s="182"/>
      <c r="BK73" s="182"/>
      <c r="BL73" s="182"/>
      <c r="BM73" s="182"/>
      <c r="BN73" s="182"/>
      <c r="BO73" s="182"/>
      <c r="BP73" s="182"/>
      <c r="BQ73" s="182"/>
      <c r="BR73" s="182"/>
      <c r="BS73" s="182"/>
      <c r="BT73" s="182"/>
      <c r="BU73" s="182"/>
      <c r="BV73" s="182"/>
      <c r="BW73" s="182"/>
      <c r="BX73" s="182"/>
      <c r="BY73" s="182"/>
      <c r="BZ73" s="182"/>
      <c r="CA73" s="182"/>
      <c r="CB73" s="185">
        <f t="shared" si="10"/>
        <v>15246.22</v>
      </c>
      <c r="CC73" s="185">
        <f t="shared" si="11"/>
        <v>0</v>
      </c>
      <c r="CD73" s="185">
        <f t="shared" si="12"/>
        <v>455</v>
      </c>
      <c r="CE73" s="185" t="e">
        <f>+#REF!</f>
        <v>#REF!</v>
      </c>
    </row>
    <row r="74" spans="2:83" s="197" customFormat="1" ht="37.5" x14ac:dyDescent="0.3">
      <c r="B74" s="182">
        <v>977</v>
      </c>
      <c r="C74" s="182">
        <v>456</v>
      </c>
      <c r="D74" s="182" t="s">
        <v>325</v>
      </c>
      <c r="E74" s="181" t="s">
        <v>4562</v>
      </c>
      <c r="F74" s="182"/>
      <c r="G74" s="182">
        <v>0</v>
      </c>
      <c r="H74" s="182">
        <v>7000</v>
      </c>
      <c r="I74" s="182"/>
      <c r="J74" s="182"/>
      <c r="K74" s="182"/>
      <c r="L74" s="182"/>
      <c r="M74" s="182"/>
      <c r="N74" s="182"/>
      <c r="O74" s="182">
        <v>7000</v>
      </c>
      <c r="P74" s="182"/>
      <c r="Q74" s="182"/>
      <c r="R74" s="182"/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5">
        <v>14000</v>
      </c>
      <c r="AR74" s="182">
        <v>7000</v>
      </c>
      <c r="AS74" s="182"/>
      <c r="AT74" s="182"/>
      <c r="AU74" s="182"/>
      <c r="AV74" s="182"/>
      <c r="AW74" s="18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2"/>
      <c r="BH74" s="182"/>
      <c r="BI74" s="182"/>
      <c r="BJ74" s="182"/>
      <c r="BK74" s="182"/>
      <c r="BL74" s="182"/>
      <c r="BM74" s="182">
        <v>7000</v>
      </c>
      <c r="BN74" s="182"/>
      <c r="BO74" s="182"/>
      <c r="BP74" s="182"/>
      <c r="BQ74" s="182"/>
      <c r="BR74" s="182"/>
      <c r="BS74" s="182"/>
      <c r="BT74" s="182"/>
      <c r="BU74" s="182"/>
      <c r="BV74" s="182"/>
      <c r="BW74" s="182"/>
      <c r="BX74" s="182"/>
      <c r="BY74" s="182"/>
      <c r="BZ74" s="182"/>
      <c r="CA74" s="182"/>
      <c r="CB74" s="185">
        <v>14000</v>
      </c>
      <c r="CC74" s="185">
        <v>0</v>
      </c>
      <c r="CD74" s="185">
        <v>456</v>
      </c>
      <c r="CE74" s="185">
        <v>0</v>
      </c>
    </row>
    <row r="75" spans="2:83" s="197" customFormat="1" ht="18.75" x14ac:dyDescent="0.3">
      <c r="B75" s="185"/>
      <c r="C75" s="185"/>
      <c r="D75" s="185"/>
      <c r="E75" s="184" t="s">
        <v>4563</v>
      </c>
      <c r="F75" s="185"/>
      <c r="G75" s="185">
        <f t="shared" ref="G75:AL75" si="13">SUM(G3:G74)</f>
        <v>690980.97</v>
      </c>
      <c r="H75" s="185">
        <f t="shared" si="13"/>
        <v>433049.84</v>
      </c>
      <c r="I75" s="185">
        <f t="shared" si="13"/>
        <v>0</v>
      </c>
      <c r="J75" s="185">
        <f t="shared" si="13"/>
        <v>0</v>
      </c>
      <c r="K75" s="185">
        <f t="shared" si="13"/>
        <v>2526477.4300000002</v>
      </c>
      <c r="L75" s="185">
        <f t="shared" si="13"/>
        <v>2526477.4300000002</v>
      </c>
      <c r="M75" s="185">
        <f t="shared" si="13"/>
        <v>2526477.4300000002</v>
      </c>
      <c r="N75" s="185">
        <f t="shared" si="13"/>
        <v>0</v>
      </c>
      <c r="O75" s="185">
        <f t="shared" si="13"/>
        <v>7000</v>
      </c>
      <c r="P75" s="185">
        <f t="shared" si="13"/>
        <v>0</v>
      </c>
      <c r="Q75" s="185">
        <f t="shared" si="13"/>
        <v>0</v>
      </c>
      <c r="R75" s="185">
        <f t="shared" si="13"/>
        <v>0</v>
      </c>
      <c r="S75" s="185">
        <f t="shared" si="13"/>
        <v>0</v>
      </c>
      <c r="T75" s="185">
        <f t="shared" si="13"/>
        <v>0</v>
      </c>
      <c r="U75" s="185">
        <f t="shared" si="13"/>
        <v>0</v>
      </c>
      <c r="V75" s="185">
        <f t="shared" si="13"/>
        <v>0</v>
      </c>
      <c r="W75" s="185">
        <f t="shared" si="13"/>
        <v>2183524.77</v>
      </c>
      <c r="X75" s="185">
        <f t="shared" si="13"/>
        <v>0</v>
      </c>
      <c r="Y75" s="185">
        <f t="shared" si="13"/>
        <v>0</v>
      </c>
      <c r="Z75" s="185">
        <f t="shared" si="13"/>
        <v>0</v>
      </c>
      <c r="AA75" s="185">
        <f t="shared" si="13"/>
        <v>0</v>
      </c>
      <c r="AB75" s="185">
        <f t="shared" si="13"/>
        <v>0</v>
      </c>
      <c r="AC75" s="185">
        <f t="shared" si="13"/>
        <v>0</v>
      </c>
      <c r="AD75" s="185">
        <f t="shared" si="13"/>
        <v>0</v>
      </c>
      <c r="AE75" s="185">
        <f t="shared" si="13"/>
        <v>0</v>
      </c>
      <c r="AF75" s="185">
        <f t="shared" si="13"/>
        <v>0</v>
      </c>
      <c r="AG75" s="185">
        <f t="shared" si="13"/>
        <v>0</v>
      </c>
      <c r="AH75" s="185">
        <f t="shared" si="13"/>
        <v>0</v>
      </c>
      <c r="AI75" s="185">
        <f t="shared" si="13"/>
        <v>0</v>
      </c>
      <c r="AJ75" s="185">
        <f t="shared" si="13"/>
        <v>0</v>
      </c>
      <c r="AK75" s="185">
        <f t="shared" si="13"/>
        <v>0</v>
      </c>
      <c r="AL75" s="185">
        <f t="shared" si="13"/>
        <v>0</v>
      </c>
      <c r="AM75" s="185">
        <f t="shared" ref="AM75:BR75" si="14">SUM(AM3:AM74)</f>
        <v>0</v>
      </c>
      <c r="AN75" s="185">
        <f t="shared" si="14"/>
        <v>0</v>
      </c>
      <c r="AO75" s="185">
        <f t="shared" si="14"/>
        <v>0</v>
      </c>
      <c r="AP75" s="185">
        <f t="shared" si="14"/>
        <v>0</v>
      </c>
      <c r="AQ75" s="185">
        <f t="shared" si="14"/>
        <v>10893987.869999999</v>
      </c>
      <c r="AR75" s="185">
        <f t="shared" si="14"/>
        <v>5534930.1999999993</v>
      </c>
      <c r="AS75" s="185">
        <f t="shared" si="14"/>
        <v>129983.59999999999</v>
      </c>
      <c r="AT75" s="185">
        <f t="shared" si="14"/>
        <v>16606.649999999998</v>
      </c>
      <c r="AU75" s="185">
        <f t="shared" si="14"/>
        <v>122.56</v>
      </c>
      <c r="AV75" s="185">
        <f t="shared" si="14"/>
        <v>0</v>
      </c>
      <c r="AW75" s="185">
        <f t="shared" si="14"/>
        <v>0</v>
      </c>
      <c r="AX75" s="185">
        <f t="shared" si="14"/>
        <v>0</v>
      </c>
      <c r="AY75" s="185">
        <f t="shared" si="14"/>
        <v>0</v>
      </c>
      <c r="AZ75" s="185">
        <f t="shared" si="14"/>
        <v>0</v>
      </c>
      <c r="BA75" s="185">
        <f t="shared" si="14"/>
        <v>0</v>
      </c>
      <c r="BB75" s="185">
        <f t="shared" si="14"/>
        <v>0</v>
      </c>
      <c r="BC75" s="185">
        <f t="shared" si="14"/>
        <v>0</v>
      </c>
      <c r="BD75" s="185">
        <f t="shared" si="14"/>
        <v>0</v>
      </c>
      <c r="BE75" s="185">
        <f t="shared" si="14"/>
        <v>23904.649999999998</v>
      </c>
      <c r="BF75" s="185">
        <f t="shared" si="14"/>
        <v>300</v>
      </c>
      <c r="BG75" s="185">
        <f t="shared" si="14"/>
        <v>486.5</v>
      </c>
      <c r="BH75" s="185">
        <f t="shared" si="14"/>
        <v>127698.85</v>
      </c>
      <c r="BI75" s="185">
        <f t="shared" si="14"/>
        <v>0</v>
      </c>
      <c r="BJ75" s="185">
        <f t="shared" si="14"/>
        <v>2526477.4300000002</v>
      </c>
      <c r="BK75" s="185">
        <f t="shared" si="14"/>
        <v>2526477.4300000002</v>
      </c>
      <c r="BL75" s="185">
        <f t="shared" si="14"/>
        <v>0</v>
      </c>
      <c r="BM75" s="185">
        <f t="shared" si="14"/>
        <v>7000</v>
      </c>
      <c r="BN75" s="185">
        <f t="shared" si="14"/>
        <v>0</v>
      </c>
      <c r="BO75" s="185">
        <f t="shared" si="14"/>
        <v>0</v>
      </c>
      <c r="BP75" s="185">
        <f t="shared" si="14"/>
        <v>0</v>
      </c>
      <c r="BQ75" s="185">
        <f t="shared" si="14"/>
        <v>0</v>
      </c>
      <c r="BR75" s="185">
        <f t="shared" si="14"/>
        <v>0</v>
      </c>
      <c r="BS75" s="185">
        <f t="shared" ref="BS75:CC75" si="15">SUM(BS3:BS74)</f>
        <v>0</v>
      </c>
      <c r="BT75" s="185">
        <f t="shared" si="15"/>
        <v>0</v>
      </c>
      <c r="BU75" s="185">
        <f t="shared" si="15"/>
        <v>0</v>
      </c>
      <c r="BV75" s="185">
        <f t="shared" si="15"/>
        <v>0</v>
      </c>
      <c r="BW75" s="185">
        <f t="shared" si="15"/>
        <v>0</v>
      </c>
      <c r="BX75" s="185">
        <f t="shared" si="15"/>
        <v>0</v>
      </c>
      <c r="BY75" s="185">
        <f t="shared" si="15"/>
        <v>0</v>
      </c>
      <c r="BZ75" s="185">
        <f t="shared" si="15"/>
        <v>0</v>
      </c>
      <c r="CA75" s="185">
        <f t="shared" si="15"/>
        <v>0</v>
      </c>
      <c r="CB75" s="185">
        <f t="shared" si="15"/>
        <v>10893987.870000001</v>
      </c>
      <c r="CC75" s="185">
        <f t="shared" si="15"/>
        <v>0</v>
      </c>
      <c r="CD75" s="185"/>
      <c r="CE75" s="185" t="e">
        <f>SUM(CE3:CE74)</f>
        <v>#REF!</v>
      </c>
    </row>
    <row r="76" spans="2:83" s="197" customFormat="1" ht="37.5" x14ac:dyDescent="0.3">
      <c r="B76" s="182"/>
      <c r="C76" s="182">
        <v>457</v>
      </c>
      <c r="D76" s="182" t="s">
        <v>220</v>
      </c>
      <c r="E76" s="181" t="s">
        <v>4564</v>
      </c>
      <c r="F76" s="182"/>
      <c r="G76" s="182"/>
      <c r="H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  <c r="Z76" s="182"/>
      <c r="AA76" s="182"/>
      <c r="AB76" s="182"/>
      <c r="AC76" s="182"/>
      <c r="AD76" s="182"/>
      <c r="AE76" s="182"/>
      <c r="AF76" s="182"/>
      <c r="AG76" s="182"/>
      <c r="AH76" s="182"/>
      <c r="AI76" s="182"/>
      <c r="AJ76" s="182"/>
      <c r="AK76" s="182"/>
      <c r="AL76" s="182"/>
      <c r="AM76" s="182"/>
      <c r="AN76" s="182"/>
      <c r="AO76" s="182"/>
      <c r="AP76" s="182"/>
      <c r="AQ76" s="185">
        <f t="shared" ref="AQ76:AQ90" si="16">SUM(G76:AP76)</f>
        <v>0</v>
      </c>
      <c r="AR76" s="182"/>
      <c r="AS76" s="182"/>
      <c r="AT76" s="182"/>
      <c r="AU76" s="182"/>
      <c r="AV76" s="182"/>
      <c r="AW76" s="18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2"/>
      <c r="BH76" s="182"/>
      <c r="BI76" s="182"/>
      <c r="BJ76" s="182"/>
      <c r="BK76" s="182"/>
      <c r="BL76" s="182"/>
      <c r="BM76" s="182"/>
      <c r="BN76" s="182"/>
      <c r="BO76" s="182"/>
      <c r="BP76" s="182"/>
      <c r="BQ76" s="182"/>
      <c r="BR76" s="182"/>
      <c r="BS76" s="182"/>
      <c r="BT76" s="182"/>
      <c r="BU76" s="182"/>
      <c r="BV76" s="182"/>
      <c r="BW76" s="182"/>
      <c r="BX76" s="182"/>
      <c r="BY76" s="182"/>
      <c r="BZ76" s="182"/>
      <c r="CA76" s="182"/>
      <c r="CB76" s="185">
        <f t="shared" ref="CB76:CB90" si="17">SUM(AR76:CA76)</f>
        <v>0</v>
      </c>
      <c r="CC76" s="185">
        <f t="shared" ref="CC76:CC90" si="18">+CB76-AQ76</f>
        <v>0</v>
      </c>
      <c r="CD76" s="185">
        <f t="shared" ref="CD76:CD90" si="19">+C76</f>
        <v>457</v>
      </c>
      <c r="CE76" s="185" t="e">
        <f>+#REF!</f>
        <v>#REF!</v>
      </c>
    </row>
    <row r="77" spans="2:83" s="197" customFormat="1" ht="37.5" x14ac:dyDescent="0.3">
      <c r="B77" s="182"/>
      <c r="C77" s="182">
        <v>458</v>
      </c>
      <c r="D77" s="182" t="s">
        <v>220</v>
      </c>
      <c r="E77" s="181" t="s">
        <v>4565</v>
      </c>
      <c r="F77" s="182"/>
      <c r="G77" s="182"/>
      <c r="H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2"/>
      <c r="AO77" s="182"/>
      <c r="AP77" s="182"/>
      <c r="AQ77" s="185">
        <f t="shared" si="16"/>
        <v>0</v>
      </c>
      <c r="AR77" s="182"/>
      <c r="AS77" s="182"/>
      <c r="AT77" s="182"/>
      <c r="AU77" s="182"/>
      <c r="AV77" s="182"/>
      <c r="AW77" s="18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2"/>
      <c r="BH77" s="182"/>
      <c r="BI77" s="182"/>
      <c r="BJ77" s="182"/>
      <c r="BK77" s="182"/>
      <c r="BL77" s="182"/>
      <c r="BM77" s="182"/>
      <c r="BN77" s="182"/>
      <c r="BO77" s="182"/>
      <c r="BP77" s="182"/>
      <c r="BQ77" s="182"/>
      <c r="BR77" s="182"/>
      <c r="BS77" s="182"/>
      <c r="BT77" s="182"/>
      <c r="BU77" s="182"/>
      <c r="BV77" s="182"/>
      <c r="BW77" s="182"/>
      <c r="BX77" s="182"/>
      <c r="BY77" s="182"/>
      <c r="BZ77" s="182"/>
      <c r="CA77" s="182"/>
      <c r="CB77" s="185">
        <f t="shared" si="17"/>
        <v>0</v>
      </c>
      <c r="CC77" s="185">
        <f t="shared" si="18"/>
        <v>0</v>
      </c>
      <c r="CD77" s="185">
        <f t="shared" si="19"/>
        <v>458</v>
      </c>
      <c r="CE77" s="185" t="e">
        <f>+#REF!</f>
        <v>#REF!</v>
      </c>
    </row>
    <row r="78" spans="2:83" s="197" customFormat="1" ht="37.5" x14ac:dyDescent="0.3">
      <c r="B78" s="182"/>
      <c r="C78" s="182">
        <v>459</v>
      </c>
      <c r="D78" s="182" t="s">
        <v>220</v>
      </c>
      <c r="E78" s="181" t="s">
        <v>4566</v>
      </c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5">
        <f t="shared" si="16"/>
        <v>0</v>
      </c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5">
        <f t="shared" si="17"/>
        <v>0</v>
      </c>
      <c r="CC78" s="185">
        <f t="shared" si="18"/>
        <v>0</v>
      </c>
      <c r="CD78" s="185">
        <f t="shared" si="19"/>
        <v>459</v>
      </c>
      <c r="CE78" s="185" t="e">
        <f>+#REF!</f>
        <v>#REF!</v>
      </c>
    </row>
    <row r="79" spans="2:83" s="197" customFormat="1" ht="37.5" x14ac:dyDescent="0.3">
      <c r="B79" s="182"/>
      <c r="C79" s="182">
        <v>460</v>
      </c>
      <c r="D79" s="182" t="s">
        <v>220</v>
      </c>
      <c r="E79" s="181" t="s">
        <v>4567</v>
      </c>
      <c r="F79" s="182"/>
      <c r="G79" s="182"/>
      <c r="H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2"/>
      <c r="AM79" s="182"/>
      <c r="AN79" s="182"/>
      <c r="AO79" s="182"/>
      <c r="AP79" s="182"/>
      <c r="AQ79" s="185">
        <f t="shared" si="16"/>
        <v>0</v>
      </c>
      <c r="AR79" s="182"/>
      <c r="AS79" s="182"/>
      <c r="AT79" s="182"/>
      <c r="AU79" s="182"/>
      <c r="AV79" s="182"/>
      <c r="AW79" s="18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2"/>
      <c r="BH79" s="182"/>
      <c r="BI79" s="182"/>
      <c r="BJ79" s="182"/>
      <c r="BK79" s="182"/>
      <c r="BL79" s="182"/>
      <c r="BM79" s="182"/>
      <c r="BN79" s="182"/>
      <c r="BO79" s="182"/>
      <c r="BP79" s="182"/>
      <c r="BQ79" s="182"/>
      <c r="BR79" s="182"/>
      <c r="BS79" s="182"/>
      <c r="BT79" s="182"/>
      <c r="BU79" s="182"/>
      <c r="BV79" s="182"/>
      <c r="BW79" s="182"/>
      <c r="BX79" s="182"/>
      <c r="BY79" s="182"/>
      <c r="BZ79" s="182"/>
      <c r="CA79" s="182"/>
      <c r="CB79" s="185">
        <f t="shared" si="17"/>
        <v>0</v>
      </c>
      <c r="CC79" s="185">
        <f t="shared" si="18"/>
        <v>0</v>
      </c>
      <c r="CD79" s="185">
        <f t="shared" si="19"/>
        <v>460</v>
      </c>
      <c r="CE79" s="185" t="e">
        <f>+#REF!</f>
        <v>#REF!</v>
      </c>
    </row>
    <row r="80" spans="2:83" s="197" customFormat="1" ht="37.5" x14ac:dyDescent="0.3">
      <c r="B80" s="182"/>
      <c r="C80" s="182">
        <v>461</v>
      </c>
      <c r="D80" s="182" t="s">
        <v>220</v>
      </c>
      <c r="E80" s="181" t="s">
        <v>4567</v>
      </c>
      <c r="F80" s="182"/>
      <c r="G80" s="182"/>
      <c r="H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182"/>
      <c r="AL80" s="182"/>
      <c r="AM80" s="182"/>
      <c r="AN80" s="182"/>
      <c r="AO80" s="182"/>
      <c r="AP80" s="182"/>
      <c r="AQ80" s="185">
        <f t="shared" si="16"/>
        <v>0</v>
      </c>
      <c r="AR80" s="182"/>
      <c r="AS80" s="182"/>
      <c r="AT80" s="182"/>
      <c r="AU80" s="182"/>
      <c r="AV80" s="182"/>
      <c r="AW80" s="18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2"/>
      <c r="BH80" s="182"/>
      <c r="BI80" s="182"/>
      <c r="BJ80" s="182"/>
      <c r="BK80" s="182"/>
      <c r="BL80" s="182"/>
      <c r="BM80" s="182"/>
      <c r="BN80" s="182"/>
      <c r="BO80" s="182"/>
      <c r="BP80" s="182"/>
      <c r="BQ80" s="182"/>
      <c r="BR80" s="182"/>
      <c r="BS80" s="182"/>
      <c r="BT80" s="182"/>
      <c r="BU80" s="182"/>
      <c r="BV80" s="182"/>
      <c r="BW80" s="182"/>
      <c r="BX80" s="182"/>
      <c r="BY80" s="182"/>
      <c r="BZ80" s="182"/>
      <c r="CA80" s="182"/>
      <c r="CB80" s="185">
        <f t="shared" si="17"/>
        <v>0</v>
      </c>
      <c r="CC80" s="185">
        <f t="shared" si="18"/>
        <v>0</v>
      </c>
      <c r="CD80" s="185">
        <f t="shared" si="19"/>
        <v>461</v>
      </c>
      <c r="CE80" s="185" t="e">
        <f>+#REF!</f>
        <v>#REF!</v>
      </c>
    </row>
    <row r="81" spans="2:83" s="197" customFormat="1" ht="37.5" x14ac:dyDescent="0.3">
      <c r="B81" s="182"/>
      <c r="C81" s="182">
        <v>462</v>
      </c>
      <c r="D81" s="182" t="s">
        <v>220</v>
      </c>
      <c r="E81" s="181" t="s">
        <v>4568</v>
      </c>
      <c r="F81" s="182"/>
      <c r="G81" s="182"/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182"/>
      <c r="AL81" s="182"/>
      <c r="AM81" s="182"/>
      <c r="AN81" s="182"/>
      <c r="AO81" s="182"/>
      <c r="AP81" s="182"/>
      <c r="AQ81" s="185">
        <f t="shared" si="16"/>
        <v>0</v>
      </c>
      <c r="AR81" s="182"/>
      <c r="AS81" s="182"/>
      <c r="AT81" s="182"/>
      <c r="AU81" s="182"/>
      <c r="AV81" s="182"/>
      <c r="AW81" s="18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2"/>
      <c r="BH81" s="182"/>
      <c r="BI81" s="182"/>
      <c r="BJ81" s="182"/>
      <c r="BK81" s="182"/>
      <c r="BL81" s="182"/>
      <c r="BM81" s="182"/>
      <c r="BN81" s="182"/>
      <c r="BO81" s="182"/>
      <c r="BP81" s="182"/>
      <c r="BQ81" s="182"/>
      <c r="BR81" s="182"/>
      <c r="BS81" s="182"/>
      <c r="BT81" s="182"/>
      <c r="BU81" s="182"/>
      <c r="BV81" s="182"/>
      <c r="BW81" s="182"/>
      <c r="BX81" s="182"/>
      <c r="BY81" s="182"/>
      <c r="BZ81" s="182"/>
      <c r="CA81" s="182"/>
      <c r="CB81" s="185">
        <f t="shared" si="17"/>
        <v>0</v>
      </c>
      <c r="CC81" s="185">
        <f t="shared" si="18"/>
        <v>0</v>
      </c>
      <c r="CD81" s="185">
        <f t="shared" si="19"/>
        <v>462</v>
      </c>
      <c r="CE81" s="185" t="e">
        <f>+#REF!</f>
        <v>#REF!</v>
      </c>
    </row>
    <row r="82" spans="2:83" s="197" customFormat="1" ht="37.5" x14ac:dyDescent="0.3">
      <c r="B82" s="182"/>
      <c r="C82" s="182">
        <v>463</v>
      </c>
      <c r="D82" s="182" t="s">
        <v>220</v>
      </c>
      <c r="E82" s="181" t="s">
        <v>4569</v>
      </c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5">
        <f t="shared" si="16"/>
        <v>0</v>
      </c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5">
        <f t="shared" si="17"/>
        <v>0</v>
      </c>
      <c r="CC82" s="185">
        <f t="shared" si="18"/>
        <v>0</v>
      </c>
      <c r="CD82" s="185">
        <f t="shared" si="19"/>
        <v>463</v>
      </c>
      <c r="CE82" s="185" t="e">
        <f>+#REF!</f>
        <v>#REF!</v>
      </c>
    </row>
    <row r="83" spans="2:83" s="197" customFormat="1" ht="37.5" x14ac:dyDescent="0.3">
      <c r="B83" s="182"/>
      <c r="C83" s="182">
        <v>464</v>
      </c>
      <c r="D83" s="182" t="s">
        <v>220</v>
      </c>
      <c r="E83" s="181" t="s">
        <v>4570</v>
      </c>
      <c r="F83" s="182"/>
      <c r="G83" s="182"/>
      <c r="H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  <c r="AN83" s="182"/>
      <c r="AO83" s="182"/>
      <c r="AP83" s="182"/>
      <c r="AQ83" s="185">
        <f t="shared" si="16"/>
        <v>0</v>
      </c>
      <c r="AR83" s="182"/>
      <c r="AS83" s="182"/>
      <c r="AT83" s="182"/>
      <c r="AU83" s="182"/>
      <c r="AV83" s="182"/>
      <c r="AW83" s="18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2"/>
      <c r="BH83" s="182"/>
      <c r="BI83" s="182"/>
      <c r="BJ83" s="182"/>
      <c r="BK83" s="182"/>
      <c r="BL83" s="182"/>
      <c r="BM83" s="182"/>
      <c r="BN83" s="182"/>
      <c r="BO83" s="182"/>
      <c r="BP83" s="182"/>
      <c r="BQ83" s="182"/>
      <c r="BR83" s="182"/>
      <c r="BS83" s="182"/>
      <c r="BT83" s="182"/>
      <c r="BU83" s="182"/>
      <c r="BV83" s="182"/>
      <c r="BW83" s="182"/>
      <c r="BX83" s="182"/>
      <c r="BY83" s="182"/>
      <c r="BZ83" s="182"/>
      <c r="CA83" s="182"/>
      <c r="CB83" s="185">
        <f t="shared" si="17"/>
        <v>0</v>
      </c>
      <c r="CC83" s="185">
        <f t="shared" si="18"/>
        <v>0</v>
      </c>
      <c r="CD83" s="185">
        <f t="shared" si="19"/>
        <v>464</v>
      </c>
      <c r="CE83" s="185" t="e">
        <f>+#REF!</f>
        <v>#REF!</v>
      </c>
    </row>
    <row r="84" spans="2:83" s="197" customFormat="1" ht="56.25" x14ac:dyDescent="0.3">
      <c r="B84" s="182"/>
      <c r="C84" s="182">
        <v>465</v>
      </c>
      <c r="D84" s="182" t="s">
        <v>220</v>
      </c>
      <c r="E84" s="181" t="s">
        <v>4571</v>
      </c>
      <c r="F84" s="182"/>
      <c r="G84" s="182"/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5">
        <f t="shared" si="16"/>
        <v>0</v>
      </c>
      <c r="AR84" s="182"/>
      <c r="AS84" s="182"/>
      <c r="AT84" s="182"/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/>
      <c r="BI84" s="182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2"/>
      <c r="BW84" s="182"/>
      <c r="BX84" s="182"/>
      <c r="BY84" s="182"/>
      <c r="BZ84" s="182"/>
      <c r="CA84" s="182"/>
      <c r="CB84" s="185">
        <f t="shared" si="17"/>
        <v>0</v>
      </c>
      <c r="CC84" s="185">
        <f t="shared" si="18"/>
        <v>0</v>
      </c>
      <c r="CD84" s="185">
        <f t="shared" si="19"/>
        <v>465</v>
      </c>
      <c r="CE84" s="185" t="e">
        <f>+#REF!</f>
        <v>#REF!</v>
      </c>
    </row>
    <row r="85" spans="2:83" s="197" customFormat="1" ht="37.5" x14ac:dyDescent="0.3">
      <c r="B85" s="182"/>
      <c r="C85" s="182">
        <v>466</v>
      </c>
      <c r="D85" s="182" t="s">
        <v>220</v>
      </c>
      <c r="E85" s="181" t="s">
        <v>4572</v>
      </c>
      <c r="F85" s="182"/>
      <c r="G85" s="182"/>
      <c r="H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  <c r="Z85" s="182"/>
      <c r="AA85" s="182"/>
      <c r="AB85" s="182"/>
      <c r="AC85" s="182"/>
      <c r="AD85" s="182"/>
      <c r="AE85" s="182"/>
      <c r="AF85" s="182"/>
      <c r="AG85" s="182"/>
      <c r="AH85" s="182"/>
      <c r="AI85" s="182"/>
      <c r="AJ85" s="182"/>
      <c r="AK85" s="182"/>
      <c r="AL85" s="182"/>
      <c r="AM85" s="182"/>
      <c r="AN85" s="182"/>
      <c r="AO85" s="182"/>
      <c r="AP85" s="182"/>
      <c r="AQ85" s="185">
        <f t="shared" si="16"/>
        <v>0</v>
      </c>
      <c r="AR85" s="182"/>
      <c r="AS85" s="182"/>
      <c r="AT85" s="182"/>
      <c r="AU85" s="182"/>
      <c r="AV85" s="182"/>
      <c r="AW85" s="18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2"/>
      <c r="BH85" s="182"/>
      <c r="BI85" s="182"/>
      <c r="BJ85" s="182"/>
      <c r="BK85" s="182"/>
      <c r="BL85" s="182"/>
      <c r="BM85" s="182"/>
      <c r="BN85" s="182"/>
      <c r="BO85" s="182"/>
      <c r="BP85" s="182"/>
      <c r="BQ85" s="182"/>
      <c r="BR85" s="182"/>
      <c r="BS85" s="182"/>
      <c r="BT85" s="182"/>
      <c r="BU85" s="182"/>
      <c r="BV85" s="182"/>
      <c r="BW85" s="182"/>
      <c r="BX85" s="182"/>
      <c r="BY85" s="182"/>
      <c r="BZ85" s="182"/>
      <c r="CA85" s="182"/>
      <c r="CB85" s="185">
        <f t="shared" si="17"/>
        <v>0</v>
      </c>
      <c r="CC85" s="185">
        <f t="shared" si="18"/>
        <v>0</v>
      </c>
      <c r="CD85" s="185">
        <f t="shared" si="19"/>
        <v>466</v>
      </c>
      <c r="CE85" s="185" t="e">
        <f>+#REF!</f>
        <v>#REF!</v>
      </c>
    </row>
    <row r="86" spans="2:83" s="197" customFormat="1" ht="37.5" x14ac:dyDescent="0.3">
      <c r="B86" s="182"/>
      <c r="C86" s="182">
        <v>467</v>
      </c>
      <c r="D86" s="182" t="s">
        <v>220</v>
      </c>
      <c r="E86" s="181" t="s">
        <v>4573</v>
      </c>
      <c r="F86" s="182"/>
      <c r="G86" s="182"/>
      <c r="H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/>
      <c r="AM86" s="182"/>
      <c r="AN86" s="182"/>
      <c r="AO86" s="182"/>
      <c r="AP86" s="182"/>
      <c r="AQ86" s="185">
        <f t="shared" si="16"/>
        <v>0</v>
      </c>
      <c r="AR86" s="182"/>
      <c r="AS86" s="182"/>
      <c r="AT86" s="182"/>
      <c r="AU86" s="182"/>
      <c r="AV86" s="182"/>
      <c r="AW86" s="18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2"/>
      <c r="BH86" s="182"/>
      <c r="BI86" s="182"/>
      <c r="BJ86" s="182"/>
      <c r="BK86" s="182"/>
      <c r="BL86" s="182"/>
      <c r="BM86" s="182"/>
      <c r="BN86" s="182"/>
      <c r="BO86" s="182"/>
      <c r="BP86" s="182"/>
      <c r="BQ86" s="182"/>
      <c r="BR86" s="182"/>
      <c r="BS86" s="182"/>
      <c r="BT86" s="182"/>
      <c r="BU86" s="182"/>
      <c r="BV86" s="182"/>
      <c r="BW86" s="182"/>
      <c r="BX86" s="182"/>
      <c r="BY86" s="182"/>
      <c r="BZ86" s="182"/>
      <c r="CA86" s="182"/>
      <c r="CB86" s="185">
        <f t="shared" si="17"/>
        <v>0</v>
      </c>
      <c r="CC86" s="185">
        <f t="shared" si="18"/>
        <v>0</v>
      </c>
      <c r="CD86" s="185">
        <f t="shared" si="19"/>
        <v>467</v>
      </c>
      <c r="CE86" s="185" t="e">
        <f>+#REF!</f>
        <v>#REF!</v>
      </c>
    </row>
    <row r="87" spans="2:83" s="197" customFormat="1" ht="37.5" x14ac:dyDescent="0.3">
      <c r="B87" s="182"/>
      <c r="C87" s="182">
        <v>468</v>
      </c>
      <c r="D87" s="182" t="s">
        <v>220</v>
      </c>
      <c r="E87" s="181" t="s">
        <v>4574</v>
      </c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5">
        <f t="shared" si="16"/>
        <v>0</v>
      </c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5">
        <f t="shared" si="17"/>
        <v>0</v>
      </c>
      <c r="CC87" s="185">
        <f t="shared" si="18"/>
        <v>0</v>
      </c>
      <c r="CD87" s="185">
        <f t="shared" si="19"/>
        <v>468</v>
      </c>
      <c r="CE87" s="185" t="e">
        <f>+#REF!</f>
        <v>#REF!</v>
      </c>
    </row>
    <row r="88" spans="2:83" s="197" customFormat="1" ht="56.25" x14ac:dyDescent="0.3">
      <c r="B88" s="182"/>
      <c r="C88" s="182">
        <v>469</v>
      </c>
      <c r="D88" s="182" t="s">
        <v>220</v>
      </c>
      <c r="E88" s="181" t="s">
        <v>4575</v>
      </c>
      <c r="F88" s="182"/>
      <c r="G88" s="182"/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182"/>
      <c r="AQ88" s="185">
        <f t="shared" si="16"/>
        <v>0</v>
      </c>
      <c r="AR88" s="182"/>
      <c r="AS88" s="182"/>
      <c r="AT88" s="182"/>
      <c r="AU88" s="182"/>
      <c r="AV88" s="182"/>
      <c r="AW88" s="18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2"/>
      <c r="BH88" s="182"/>
      <c r="BI88" s="182"/>
      <c r="BJ88" s="182"/>
      <c r="BK88" s="182"/>
      <c r="BL88" s="182"/>
      <c r="BM88" s="182"/>
      <c r="BN88" s="182"/>
      <c r="BO88" s="182"/>
      <c r="BP88" s="182"/>
      <c r="BQ88" s="182"/>
      <c r="BR88" s="182"/>
      <c r="BS88" s="182"/>
      <c r="BT88" s="182"/>
      <c r="BU88" s="182"/>
      <c r="BV88" s="182"/>
      <c r="BW88" s="182"/>
      <c r="BX88" s="182"/>
      <c r="BY88" s="182"/>
      <c r="BZ88" s="182"/>
      <c r="CA88" s="182"/>
      <c r="CB88" s="185">
        <f t="shared" si="17"/>
        <v>0</v>
      </c>
      <c r="CC88" s="185">
        <f t="shared" si="18"/>
        <v>0</v>
      </c>
      <c r="CD88" s="185">
        <f t="shared" si="19"/>
        <v>469</v>
      </c>
      <c r="CE88" s="185" t="e">
        <f>+#REF!</f>
        <v>#REF!</v>
      </c>
    </row>
    <row r="89" spans="2:83" s="197" customFormat="1" ht="37.5" x14ac:dyDescent="0.3">
      <c r="B89" s="182"/>
      <c r="C89" s="182">
        <v>470</v>
      </c>
      <c r="D89" s="182" t="s">
        <v>220</v>
      </c>
      <c r="E89" s="181" t="s">
        <v>4576</v>
      </c>
      <c r="F89" s="182"/>
      <c r="G89" s="182"/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182"/>
      <c r="AQ89" s="185">
        <f t="shared" si="16"/>
        <v>0</v>
      </c>
      <c r="AR89" s="182"/>
      <c r="AS89" s="182"/>
      <c r="AT89" s="182"/>
      <c r="AU89" s="182"/>
      <c r="AV89" s="182"/>
      <c r="AW89" s="18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2"/>
      <c r="BH89" s="182"/>
      <c r="BI89" s="182"/>
      <c r="BJ89" s="182"/>
      <c r="BK89" s="182"/>
      <c r="BL89" s="182"/>
      <c r="BM89" s="182"/>
      <c r="BN89" s="182"/>
      <c r="BO89" s="182"/>
      <c r="BP89" s="182"/>
      <c r="BQ89" s="182"/>
      <c r="BR89" s="182"/>
      <c r="BS89" s="182"/>
      <c r="BT89" s="182"/>
      <c r="BU89" s="182"/>
      <c r="BV89" s="182"/>
      <c r="BW89" s="182"/>
      <c r="BX89" s="182"/>
      <c r="BY89" s="182"/>
      <c r="BZ89" s="182"/>
      <c r="CA89" s="182"/>
      <c r="CB89" s="185">
        <f t="shared" si="17"/>
        <v>0</v>
      </c>
      <c r="CC89" s="185">
        <f t="shared" si="18"/>
        <v>0</v>
      </c>
      <c r="CD89" s="185">
        <f t="shared" si="19"/>
        <v>470</v>
      </c>
      <c r="CE89" s="185" t="e">
        <f>+#REF!</f>
        <v>#REF!</v>
      </c>
    </row>
    <row r="90" spans="2:83" s="197" customFormat="1" ht="18.75" x14ac:dyDescent="0.3">
      <c r="B90" s="182"/>
      <c r="C90" s="182">
        <v>471</v>
      </c>
      <c r="D90" s="182" t="s">
        <v>220</v>
      </c>
      <c r="E90" s="181" t="s">
        <v>4577</v>
      </c>
      <c r="F90" s="182"/>
      <c r="G90" s="182"/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/>
      <c r="AO90" s="182"/>
      <c r="AP90" s="182"/>
      <c r="AQ90" s="185">
        <f t="shared" si="16"/>
        <v>0</v>
      </c>
      <c r="AR90" s="182"/>
      <c r="AS90" s="182"/>
      <c r="AT90" s="182"/>
      <c r="AU90" s="182"/>
      <c r="AV90" s="182"/>
      <c r="AW90" s="18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2"/>
      <c r="BH90" s="182"/>
      <c r="BI90" s="182"/>
      <c r="BJ90" s="182"/>
      <c r="BK90" s="182"/>
      <c r="BL90" s="182"/>
      <c r="BM90" s="182"/>
      <c r="BN90" s="182"/>
      <c r="BO90" s="182"/>
      <c r="BP90" s="182"/>
      <c r="BQ90" s="182"/>
      <c r="BR90" s="182"/>
      <c r="BS90" s="182"/>
      <c r="BT90" s="182"/>
      <c r="BU90" s="182"/>
      <c r="BV90" s="182"/>
      <c r="BW90" s="182"/>
      <c r="BX90" s="182"/>
      <c r="BY90" s="182"/>
      <c r="BZ90" s="182"/>
      <c r="CA90" s="182"/>
      <c r="CB90" s="185">
        <f t="shared" si="17"/>
        <v>0</v>
      </c>
      <c r="CC90" s="185">
        <f t="shared" si="18"/>
        <v>0</v>
      </c>
      <c r="CD90" s="185">
        <f t="shared" si="19"/>
        <v>471</v>
      </c>
      <c r="CE90" s="185" t="e">
        <f>+#REF!</f>
        <v>#REF!</v>
      </c>
    </row>
    <row r="91" spans="2:83" s="197" customFormat="1" ht="18.75" x14ac:dyDescent="0.3">
      <c r="B91" s="182"/>
      <c r="C91" s="182">
        <v>472</v>
      </c>
      <c r="D91" s="182" t="s">
        <v>220</v>
      </c>
      <c r="E91" s="181" t="s">
        <v>4578</v>
      </c>
      <c r="F91" s="182"/>
      <c r="G91" s="182"/>
      <c r="H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  <c r="Z91" s="182"/>
      <c r="AA91" s="182"/>
      <c r="AB91" s="182"/>
      <c r="AC91" s="182"/>
      <c r="AD91" s="182"/>
      <c r="AE91" s="182"/>
      <c r="AF91" s="182"/>
      <c r="AG91" s="182"/>
      <c r="AH91" s="182"/>
      <c r="AI91" s="182"/>
      <c r="AJ91" s="182"/>
      <c r="AK91" s="182"/>
      <c r="AL91" s="182"/>
      <c r="AM91" s="182"/>
      <c r="AN91" s="182"/>
      <c r="AO91" s="182"/>
      <c r="AP91" s="182"/>
      <c r="AQ91" s="185"/>
      <c r="AR91" s="182"/>
      <c r="AS91" s="182"/>
      <c r="AT91" s="182"/>
      <c r="AU91" s="182"/>
      <c r="AV91" s="182"/>
      <c r="AW91" s="18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2"/>
      <c r="BH91" s="182"/>
      <c r="BI91" s="182"/>
      <c r="BJ91" s="182"/>
      <c r="BK91" s="182"/>
      <c r="BL91" s="182"/>
      <c r="BM91" s="182"/>
      <c r="BN91" s="182"/>
      <c r="BO91" s="182"/>
      <c r="BP91" s="182"/>
      <c r="BQ91" s="182"/>
      <c r="BR91" s="182"/>
      <c r="BS91" s="182"/>
      <c r="BT91" s="182"/>
      <c r="BU91" s="182"/>
      <c r="BV91" s="182"/>
      <c r="BW91" s="182"/>
      <c r="BX91" s="182"/>
      <c r="BY91" s="182"/>
      <c r="BZ91" s="182"/>
      <c r="CA91" s="182"/>
      <c r="CB91" s="185"/>
      <c r="CC91" s="185"/>
      <c r="CD91" s="185"/>
      <c r="CE91" s="185"/>
    </row>
    <row r="92" spans="2:83" s="197" customFormat="1" ht="37.5" x14ac:dyDescent="0.3">
      <c r="B92" s="185"/>
      <c r="C92" s="185"/>
      <c r="D92" s="185"/>
      <c r="E92" s="184" t="s">
        <v>4579</v>
      </c>
      <c r="F92" s="185"/>
      <c r="G92" s="185"/>
      <c r="H92" s="185"/>
      <c r="I92" s="185"/>
      <c r="J92" s="185"/>
      <c r="K92" s="185"/>
      <c r="L92" s="185"/>
      <c r="M92" s="185"/>
      <c r="N92" s="185"/>
      <c r="O92" s="185"/>
      <c r="P92" s="185"/>
      <c r="Q92" s="185"/>
      <c r="R92" s="185"/>
      <c r="S92" s="185"/>
      <c r="T92" s="185"/>
      <c r="U92" s="185"/>
      <c r="V92" s="185"/>
      <c r="W92" s="185"/>
      <c r="X92" s="185"/>
      <c r="Y92" s="185"/>
      <c r="Z92" s="185"/>
      <c r="AA92" s="185"/>
      <c r="AB92" s="185"/>
      <c r="AC92" s="185"/>
      <c r="AD92" s="185"/>
      <c r="AE92" s="185"/>
      <c r="AF92" s="185"/>
      <c r="AG92" s="185"/>
      <c r="AH92" s="185"/>
      <c r="AI92" s="185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5"/>
      <c r="AU92" s="185"/>
      <c r="AV92" s="185"/>
      <c r="AW92" s="185"/>
      <c r="AX92" s="185"/>
      <c r="AY92" s="185"/>
      <c r="AZ92" s="185"/>
      <c r="BA92" s="185"/>
      <c r="BB92" s="185"/>
      <c r="BC92" s="185"/>
      <c r="BD92" s="185"/>
      <c r="BE92" s="185"/>
      <c r="BF92" s="185"/>
      <c r="BG92" s="185"/>
      <c r="BH92" s="185"/>
      <c r="BI92" s="185"/>
      <c r="BJ92" s="185"/>
      <c r="BK92" s="185"/>
      <c r="BL92" s="185"/>
      <c r="BM92" s="185"/>
      <c r="BN92" s="185"/>
      <c r="BO92" s="185"/>
      <c r="BP92" s="185"/>
      <c r="BQ92" s="185"/>
      <c r="BR92" s="185"/>
      <c r="BS92" s="185"/>
      <c r="BT92" s="185"/>
      <c r="BU92" s="185"/>
      <c r="BV92" s="185"/>
      <c r="BW92" s="185"/>
      <c r="BX92" s="185"/>
      <c r="BY92" s="185"/>
      <c r="BZ92" s="185"/>
      <c r="CA92" s="185"/>
      <c r="CB92" s="185"/>
      <c r="CC92" s="185"/>
      <c r="CD92" s="185"/>
      <c r="CE92" s="185"/>
    </row>
    <row r="93" spans="2:83" s="197" customFormat="1" ht="37.5" x14ac:dyDescent="0.3">
      <c r="B93" s="182">
        <v>939</v>
      </c>
      <c r="C93" s="182">
        <v>473</v>
      </c>
      <c r="D93" s="182" t="str">
        <f>+D94</f>
        <v xml:space="preserve">برنامج دولى </v>
      </c>
      <c r="E93" s="181" t="s">
        <v>4580</v>
      </c>
      <c r="F93" s="182"/>
      <c r="G93" s="182">
        <v>996.62</v>
      </c>
      <c r="H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  <c r="Z93" s="182"/>
      <c r="AA93" s="182"/>
      <c r="AB93" s="182"/>
      <c r="AC93" s="182"/>
      <c r="AD93" s="182"/>
      <c r="AE93" s="182"/>
      <c r="AF93" s="182"/>
      <c r="AG93" s="182"/>
      <c r="AH93" s="182"/>
      <c r="AI93" s="182"/>
      <c r="AJ93" s="182"/>
      <c r="AK93" s="182"/>
      <c r="AL93" s="182"/>
      <c r="AM93" s="182"/>
      <c r="AN93" s="182"/>
      <c r="AO93" s="182"/>
      <c r="AP93" s="182"/>
      <c r="AQ93" s="185">
        <f t="shared" ref="AQ93:AQ124" si="20">SUM(G93:AP93)</f>
        <v>996.62</v>
      </c>
      <c r="AR93" s="182">
        <v>667.55</v>
      </c>
      <c r="AS93" s="182">
        <v>88.95</v>
      </c>
      <c r="AT93" s="182">
        <v>240.12</v>
      </c>
      <c r="AU93" s="182"/>
      <c r="AV93" s="182"/>
      <c r="AW93" s="182"/>
      <c r="AX93" s="182"/>
      <c r="AY93" s="182"/>
      <c r="AZ93" s="182"/>
      <c r="BA93" s="182"/>
      <c r="BB93" s="182"/>
      <c r="BC93" s="182"/>
      <c r="BD93" s="182"/>
      <c r="BE93" s="182"/>
      <c r="BF93" s="182"/>
      <c r="BG93" s="182"/>
      <c r="BH93" s="182"/>
      <c r="BI93" s="182"/>
      <c r="BJ93" s="182"/>
      <c r="BK93" s="182"/>
      <c r="BL93" s="182"/>
      <c r="BM93" s="182"/>
      <c r="BN93" s="182"/>
      <c r="BO93" s="182"/>
      <c r="BP93" s="182"/>
      <c r="BQ93" s="182"/>
      <c r="BR93" s="182"/>
      <c r="BS93" s="182"/>
      <c r="BT93" s="182"/>
      <c r="BU93" s="182"/>
      <c r="BV93" s="182"/>
      <c r="BW93" s="182"/>
      <c r="BX93" s="182"/>
      <c r="BY93" s="182"/>
      <c r="BZ93" s="182"/>
      <c r="CA93" s="182"/>
      <c r="CB93" s="185">
        <f t="shared" ref="CB93:CB124" si="21">SUM(AR93:CA93)</f>
        <v>996.62</v>
      </c>
      <c r="CC93" s="185">
        <f t="shared" ref="CC93:CC124" si="22">+CB93-AQ93</f>
        <v>0</v>
      </c>
      <c r="CD93" s="185">
        <f t="shared" ref="CD93:CD124" si="23">+C93</f>
        <v>473</v>
      </c>
      <c r="CE93" s="185" t="e">
        <f>+#REF!</f>
        <v>#REF!</v>
      </c>
    </row>
    <row r="94" spans="2:83" s="197" customFormat="1" ht="37.5" x14ac:dyDescent="0.3">
      <c r="B94" s="182">
        <v>935</v>
      </c>
      <c r="C94" s="182">
        <v>474</v>
      </c>
      <c r="D94" s="182" t="s">
        <v>325</v>
      </c>
      <c r="E94" s="181" t="s">
        <v>4581</v>
      </c>
      <c r="F94" s="182"/>
      <c r="G94" s="182">
        <v>1172.5</v>
      </c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182"/>
      <c r="AG94" s="182"/>
      <c r="AH94" s="182"/>
      <c r="AI94" s="182"/>
      <c r="AJ94" s="182"/>
      <c r="AK94" s="182"/>
      <c r="AL94" s="182"/>
      <c r="AM94" s="182"/>
      <c r="AN94" s="182"/>
      <c r="AO94" s="182"/>
      <c r="AP94" s="182"/>
      <c r="AQ94" s="185">
        <f t="shared" si="20"/>
        <v>1172.5</v>
      </c>
      <c r="AR94" s="182">
        <v>783.7</v>
      </c>
      <c r="AS94" s="182">
        <v>106.3</v>
      </c>
      <c r="AT94" s="182">
        <v>282.5</v>
      </c>
      <c r="AU94" s="182"/>
      <c r="AV94" s="182"/>
      <c r="AW94" s="182"/>
      <c r="AX94" s="182"/>
      <c r="AY94" s="182"/>
      <c r="AZ94" s="182"/>
      <c r="BA94" s="182"/>
      <c r="BB94" s="182"/>
      <c r="BC94" s="182"/>
      <c r="BD94" s="182"/>
      <c r="BE94" s="182"/>
      <c r="BF94" s="182"/>
      <c r="BG94" s="182"/>
      <c r="BH94" s="182"/>
      <c r="BI94" s="182"/>
      <c r="BJ94" s="182"/>
      <c r="BK94" s="182"/>
      <c r="BL94" s="182"/>
      <c r="BM94" s="182"/>
      <c r="BN94" s="182"/>
      <c r="BO94" s="182"/>
      <c r="BP94" s="182"/>
      <c r="BQ94" s="182"/>
      <c r="BR94" s="182"/>
      <c r="BS94" s="182"/>
      <c r="BT94" s="182"/>
      <c r="BU94" s="182"/>
      <c r="BV94" s="182"/>
      <c r="BW94" s="182"/>
      <c r="BX94" s="182"/>
      <c r="BY94" s="182"/>
      <c r="BZ94" s="182"/>
      <c r="CA94" s="182"/>
      <c r="CB94" s="185">
        <f t="shared" si="21"/>
        <v>1172.5</v>
      </c>
      <c r="CC94" s="185">
        <f t="shared" si="22"/>
        <v>0</v>
      </c>
      <c r="CD94" s="185">
        <f t="shared" si="23"/>
        <v>474</v>
      </c>
      <c r="CE94" s="185" t="e">
        <f>+#REF!</f>
        <v>#REF!</v>
      </c>
    </row>
    <row r="95" spans="2:83" s="197" customFormat="1" ht="37.5" x14ac:dyDescent="0.3">
      <c r="B95" s="182">
        <v>934</v>
      </c>
      <c r="C95" s="182">
        <v>475</v>
      </c>
      <c r="D95" s="182" t="s">
        <v>325</v>
      </c>
      <c r="E95" s="181" t="s">
        <v>4581</v>
      </c>
      <c r="F95" s="182"/>
      <c r="G95" s="182">
        <v>3165.76</v>
      </c>
      <c r="H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  <c r="Z95" s="182"/>
      <c r="AA95" s="182"/>
      <c r="AB95" s="182"/>
      <c r="AC95" s="182"/>
      <c r="AD95" s="182"/>
      <c r="AE95" s="182"/>
      <c r="AF95" s="182"/>
      <c r="AG95" s="182"/>
      <c r="AH95" s="182"/>
      <c r="AI95" s="182"/>
      <c r="AJ95" s="182"/>
      <c r="AK95" s="182"/>
      <c r="AL95" s="182"/>
      <c r="AM95" s="182"/>
      <c r="AN95" s="182"/>
      <c r="AO95" s="182"/>
      <c r="AP95" s="182"/>
      <c r="AQ95" s="185">
        <f t="shared" si="20"/>
        <v>3165.76</v>
      </c>
      <c r="AR95" s="182">
        <v>2117.5</v>
      </c>
      <c r="AS95" s="182">
        <v>285.5</v>
      </c>
      <c r="AT95" s="182">
        <v>762.76</v>
      </c>
      <c r="AU95" s="182"/>
      <c r="AV95" s="182"/>
      <c r="AW95" s="18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2"/>
      <c r="BH95" s="182"/>
      <c r="BI95" s="182"/>
      <c r="BJ95" s="182"/>
      <c r="BK95" s="182"/>
      <c r="BL95" s="182"/>
      <c r="BM95" s="182"/>
      <c r="BN95" s="182"/>
      <c r="BO95" s="182"/>
      <c r="BP95" s="182"/>
      <c r="BQ95" s="182"/>
      <c r="BR95" s="182"/>
      <c r="BS95" s="182"/>
      <c r="BT95" s="182"/>
      <c r="BU95" s="182"/>
      <c r="BV95" s="182"/>
      <c r="BW95" s="182"/>
      <c r="BX95" s="182"/>
      <c r="BY95" s="182"/>
      <c r="BZ95" s="182"/>
      <c r="CA95" s="182"/>
      <c r="CB95" s="185">
        <f t="shared" si="21"/>
        <v>3165.76</v>
      </c>
      <c r="CC95" s="185">
        <f t="shared" si="22"/>
        <v>0</v>
      </c>
      <c r="CD95" s="185">
        <f t="shared" si="23"/>
        <v>475</v>
      </c>
      <c r="CE95" s="185" t="e">
        <f>+#REF!</f>
        <v>#REF!</v>
      </c>
    </row>
    <row r="96" spans="2:83" s="197" customFormat="1" ht="37.5" x14ac:dyDescent="0.3">
      <c r="B96" s="182">
        <v>933</v>
      </c>
      <c r="C96" s="182">
        <v>476</v>
      </c>
      <c r="D96" s="182" t="s">
        <v>325</v>
      </c>
      <c r="E96" s="181" t="s">
        <v>4582</v>
      </c>
      <c r="F96" s="182"/>
      <c r="G96" s="182">
        <v>5686.68</v>
      </c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/>
      <c r="AL96" s="182"/>
      <c r="AM96" s="182"/>
      <c r="AN96" s="182"/>
      <c r="AO96" s="182"/>
      <c r="AP96" s="182"/>
      <c r="AQ96" s="185">
        <f t="shared" si="20"/>
        <v>5686.68</v>
      </c>
      <c r="AR96" s="182">
        <v>3803.75</v>
      </c>
      <c r="AS96" s="182">
        <f>485+27.75</f>
        <v>512.75</v>
      </c>
      <c r="AT96" s="182">
        <v>1370.18</v>
      </c>
      <c r="AU96" s="182"/>
      <c r="AV96" s="182"/>
      <c r="AW96" s="182"/>
      <c r="AX96" s="182"/>
      <c r="AY96" s="182"/>
      <c r="AZ96" s="182"/>
      <c r="BA96" s="182"/>
      <c r="BB96" s="182"/>
      <c r="BC96" s="182"/>
      <c r="BD96" s="182"/>
      <c r="BE96" s="182"/>
      <c r="BF96" s="182"/>
      <c r="BG96" s="182"/>
      <c r="BH96" s="182"/>
      <c r="BI96" s="182"/>
      <c r="BJ96" s="182"/>
      <c r="BK96" s="182"/>
      <c r="BL96" s="182"/>
      <c r="BM96" s="182"/>
      <c r="BN96" s="182"/>
      <c r="BO96" s="182"/>
      <c r="BP96" s="182"/>
      <c r="BQ96" s="182"/>
      <c r="BR96" s="182"/>
      <c r="BS96" s="182"/>
      <c r="BT96" s="182"/>
      <c r="BU96" s="182"/>
      <c r="BV96" s="182"/>
      <c r="BW96" s="182"/>
      <c r="BX96" s="182"/>
      <c r="BY96" s="182"/>
      <c r="BZ96" s="182"/>
      <c r="CA96" s="182"/>
      <c r="CB96" s="185">
        <f t="shared" si="21"/>
        <v>5686.68</v>
      </c>
      <c r="CC96" s="185">
        <f t="shared" si="22"/>
        <v>0</v>
      </c>
      <c r="CD96" s="185">
        <f t="shared" si="23"/>
        <v>476</v>
      </c>
      <c r="CE96" s="185" t="e">
        <f>+#REF!</f>
        <v>#REF!</v>
      </c>
    </row>
    <row r="97" spans="2:83" s="197" customFormat="1" ht="37.5" x14ac:dyDescent="0.3">
      <c r="B97" s="182">
        <v>928</v>
      </c>
      <c r="C97" s="182">
        <v>477</v>
      </c>
      <c r="D97" s="182" t="s">
        <v>325</v>
      </c>
      <c r="E97" s="181" t="s">
        <v>2230</v>
      </c>
      <c r="F97" s="182"/>
      <c r="G97" s="182">
        <v>873.52</v>
      </c>
      <c r="H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  <c r="Z97" s="182"/>
      <c r="AA97" s="182"/>
      <c r="AB97" s="182"/>
      <c r="AC97" s="182"/>
      <c r="AD97" s="182"/>
      <c r="AE97" s="182"/>
      <c r="AF97" s="182"/>
      <c r="AG97" s="182"/>
      <c r="AH97" s="182"/>
      <c r="AI97" s="182"/>
      <c r="AJ97" s="182"/>
      <c r="AK97" s="182"/>
      <c r="AL97" s="182"/>
      <c r="AM97" s="182"/>
      <c r="AN97" s="182"/>
      <c r="AO97" s="182"/>
      <c r="AP97" s="182"/>
      <c r="AQ97" s="185">
        <f t="shared" si="20"/>
        <v>873.52</v>
      </c>
      <c r="AR97" s="182">
        <v>585.29999999999995</v>
      </c>
      <c r="AS97" s="182">
        <v>77.75</v>
      </c>
      <c r="AT97" s="182">
        <v>210.47</v>
      </c>
      <c r="AU97" s="182"/>
      <c r="AV97" s="182"/>
      <c r="AW97" s="182"/>
      <c r="AX97" s="182"/>
      <c r="AY97" s="182"/>
      <c r="AZ97" s="182"/>
      <c r="BA97" s="182"/>
      <c r="BB97" s="182"/>
      <c r="BC97" s="182"/>
      <c r="BD97" s="182"/>
      <c r="BE97" s="182"/>
      <c r="BF97" s="182"/>
      <c r="BG97" s="182"/>
      <c r="BH97" s="182"/>
      <c r="BI97" s="182"/>
      <c r="BJ97" s="182"/>
      <c r="BK97" s="182"/>
      <c r="BL97" s="182"/>
      <c r="BM97" s="182"/>
      <c r="BN97" s="182"/>
      <c r="BO97" s="182"/>
      <c r="BP97" s="182"/>
      <c r="BQ97" s="182"/>
      <c r="BR97" s="182"/>
      <c r="BS97" s="182"/>
      <c r="BT97" s="182"/>
      <c r="BU97" s="182"/>
      <c r="BV97" s="182"/>
      <c r="BW97" s="182"/>
      <c r="BX97" s="182"/>
      <c r="BY97" s="182"/>
      <c r="BZ97" s="182"/>
      <c r="CA97" s="182"/>
      <c r="CB97" s="185">
        <f t="shared" si="21"/>
        <v>873.52</v>
      </c>
      <c r="CC97" s="185">
        <f t="shared" si="22"/>
        <v>0</v>
      </c>
      <c r="CD97" s="185">
        <f t="shared" si="23"/>
        <v>477</v>
      </c>
      <c r="CE97" s="185" t="e">
        <f>+#REF!</f>
        <v>#REF!</v>
      </c>
    </row>
    <row r="98" spans="2:83" s="197" customFormat="1" ht="37.5" x14ac:dyDescent="0.3">
      <c r="B98" s="182">
        <v>929</v>
      </c>
      <c r="C98" s="182">
        <v>478</v>
      </c>
      <c r="D98" s="182" t="s">
        <v>325</v>
      </c>
      <c r="E98" s="181" t="s">
        <v>2230</v>
      </c>
      <c r="F98" s="182"/>
      <c r="G98" s="182">
        <v>6952.93</v>
      </c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5">
        <f t="shared" si="20"/>
        <v>6952.93</v>
      </c>
      <c r="AR98" s="182">
        <v>4644.1000000000004</v>
      </c>
      <c r="AS98" s="182">
        <f>40.6+593</f>
        <v>633.6</v>
      </c>
      <c r="AT98" s="182">
        <v>1675.23</v>
      </c>
      <c r="AU98" s="182"/>
      <c r="AV98" s="182"/>
      <c r="AW98" s="182"/>
      <c r="AX98" s="182"/>
      <c r="AY98" s="182"/>
      <c r="AZ98" s="182"/>
      <c r="BA98" s="182"/>
      <c r="BB98" s="182"/>
      <c r="BC98" s="182"/>
      <c r="BD98" s="182"/>
      <c r="BE98" s="182"/>
      <c r="BF98" s="182"/>
      <c r="BG98" s="182"/>
      <c r="BH98" s="182"/>
      <c r="BI98" s="182"/>
      <c r="BJ98" s="182"/>
      <c r="BK98" s="182"/>
      <c r="BL98" s="182"/>
      <c r="BM98" s="182"/>
      <c r="BN98" s="182"/>
      <c r="BO98" s="182"/>
      <c r="BP98" s="182"/>
      <c r="BQ98" s="182"/>
      <c r="BR98" s="182"/>
      <c r="BS98" s="182"/>
      <c r="BT98" s="182"/>
      <c r="BU98" s="182"/>
      <c r="BV98" s="182"/>
      <c r="BW98" s="182"/>
      <c r="BX98" s="182"/>
      <c r="BY98" s="182"/>
      <c r="BZ98" s="182"/>
      <c r="CA98" s="182"/>
      <c r="CB98" s="185">
        <f t="shared" si="21"/>
        <v>6952.93</v>
      </c>
      <c r="CC98" s="185">
        <f t="shared" si="22"/>
        <v>0</v>
      </c>
      <c r="CD98" s="185">
        <f t="shared" si="23"/>
        <v>478</v>
      </c>
      <c r="CE98" s="185" t="e">
        <f>+#REF!</f>
        <v>#REF!</v>
      </c>
    </row>
    <row r="99" spans="2:83" s="197" customFormat="1" ht="37.5" x14ac:dyDescent="0.3">
      <c r="B99" s="182">
        <v>932</v>
      </c>
      <c r="C99" s="182">
        <v>479</v>
      </c>
      <c r="D99" s="182" t="s">
        <v>325</v>
      </c>
      <c r="E99" s="181" t="str">
        <f>+E96</f>
        <v>حفل برنامج دولى</v>
      </c>
      <c r="F99" s="182"/>
      <c r="G99" s="182">
        <v>586.25</v>
      </c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2"/>
      <c r="AM99" s="182"/>
      <c r="AN99" s="182"/>
      <c r="AO99" s="182"/>
      <c r="AP99" s="182"/>
      <c r="AQ99" s="185">
        <f t="shared" si="20"/>
        <v>586.25</v>
      </c>
      <c r="AR99" s="182">
        <v>392.4</v>
      </c>
      <c r="AS99" s="182">
        <v>52.6</v>
      </c>
      <c r="AT99" s="182">
        <v>141.25</v>
      </c>
      <c r="AU99" s="182"/>
      <c r="AV99" s="182"/>
      <c r="AW99" s="182"/>
      <c r="AX99" s="182"/>
      <c r="AY99" s="182"/>
      <c r="AZ99" s="182"/>
      <c r="BA99" s="182"/>
      <c r="BB99" s="182"/>
      <c r="BC99" s="182"/>
      <c r="BD99" s="182"/>
      <c r="BE99" s="182"/>
      <c r="BF99" s="182"/>
      <c r="BG99" s="182"/>
      <c r="BH99" s="182"/>
      <c r="BI99" s="182"/>
      <c r="BJ99" s="182"/>
      <c r="BK99" s="182"/>
      <c r="BL99" s="182"/>
      <c r="BM99" s="182"/>
      <c r="BN99" s="182"/>
      <c r="BO99" s="182"/>
      <c r="BP99" s="182"/>
      <c r="BQ99" s="182"/>
      <c r="BR99" s="182"/>
      <c r="BS99" s="182"/>
      <c r="BT99" s="182"/>
      <c r="BU99" s="182"/>
      <c r="BV99" s="182"/>
      <c r="BW99" s="182"/>
      <c r="BX99" s="182"/>
      <c r="BY99" s="182"/>
      <c r="BZ99" s="182"/>
      <c r="CA99" s="182"/>
      <c r="CB99" s="185">
        <f t="shared" si="21"/>
        <v>586.25</v>
      </c>
      <c r="CC99" s="185">
        <f t="shared" si="22"/>
        <v>0</v>
      </c>
      <c r="CD99" s="185">
        <f t="shared" si="23"/>
        <v>479</v>
      </c>
      <c r="CE99" s="185" t="e">
        <f>+#REF!</f>
        <v>#REF!</v>
      </c>
    </row>
    <row r="100" spans="2:83" s="197" customFormat="1" ht="37.5" x14ac:dyDescent="0.3">
      <c r="B100" s="182">
        <v>931</v>
      </c>
      <c r="C100" s="182">
        <v>480</v>
      </c>
      <c r="D100" s="182" t="s">
        <v>325</v>
      </c>
      <c r="E100" s="181" t="s">
        <v>3605</v>
      </c>
      <c r="F100" s="182"/>
      <c r="G100" s="182">
        <v>700</v>
      </c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5">
        <f t="shared" si="20"/>
        <v>700</v>
      </c>
      <c r="AR100" s="182">
        <v>625.45000000000005</v>
      </c>
      <c r="AS100" s="182">
        <v>74.55</v>
      </c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5">
        <f t="shared" si="21"/>
        <v>700</v>
      </c>
      <c r="CC100" s="185">
        <f t="shared" si="22"/>
        <v>0</v>
      </c>
      <c r="CD100" s="185">
        <f t="shared" si="23"/>
        <v>480</v>
      </c>
      <c r="CE100" s="185" t="e">
        <f>+#REF!</f>
        <v>#REF!</v>
      </c>
    </row>
    <row r="101" spans="2:83" s="197" customFormat="1" ht="37.5" x14ac:dyDescent="0.3">
      <c r="B101" s="182">
        <v>930</v>
      </c>
      <c r="C101" s="182">
        <v>481</v>
      </c>
      <c r="D101" s="182" t="s">
        <v>325</v>
      </c>
      <c r="E101" s="181" t="s">
        <v>4583</v>
      </c>
      <c r="F101" s="182"/>
      <c r="G101" s="182">
        <v>2174.2399999999998</v>
      </c>
      <c r="H101" s="182"/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  <c r="AN101" s="182"/>
      <c r="AO101" s="182"/>
      <c r="AP101" s="182"/>
      <c r="AQ101" s="185">
        <f t="shared" si="20"/>
        <v>2174.2399999999998</v>
      </c>
      <c r="AR101" s="182">
        <v>1600.4</v>
      </c>
      <c r="AS101" s="182">
        <v>206.6</v>
      </c>
      <c r="AT101" s="182">
        <v>367.24</v>
      </c>
      <c r="AU101" s="182"/>
      <c r="AV101" s="182"/>
      <c r="AW101" s="182"/>
      <c r="AX101" s="182"/>
      <c r="AY101" s="182"/>
      <c r="AZ101" s="182"/>
      <c r="BA101" s="182"/>
      <c r="BB101" s="182"/>
      <c r="BC101" s="182"/>
      <c r="BD101" s="182"/>
      <c r="BE101" s="182"/>
      <c r="BF101" s="182"/>
      <c r="BG101" s="182"/>
      <c r="BH101" s="182"/>
      <c r="BI101" s="182"/>
      <c r="BJ101" s="182"/>
      <c r="BK101" s="182"/>
      <c r="BL101" s="182"/>
      <c r="BM101" s="182"/>
      <c r="BN101" s="182"/>
      <c r="BO101" s="182"/>
      <c r="BP101" s="182"/>
      <c r="BQ101" s="182"/>
      <c r="BR101" s="182"/>
      <c r="BS101" s="182"/>
      <c r="BT101" s="182"/>
      <c r="BU101" s="182"/>
      <c r="BV101" s="182"/>
      <c r="BW101" s="182"/>
      <c r="BX101" s="182"/>
      <c r="BY101" s="182"/>
      <c r="BZ101" s="182"/>
      <c r="CA101" s="182"/>
      <c r="CB101" s="185">
        <f t="shared" si="21"/>
        <v>2174.2399999999998</v>
      </c>
      <c r="CC101" s="185">
        <f t="shared" si="22"/>
        <v>0</v>
      </c>
      <c r="CD101" s="185">
        <f t="shared" si="23"/>
        <v>481</v>
      </c>
      <c r="CE101" s="185" t="e">
        <f>+#REF!</f>
        <v>#REF!</v>
      </c>
    </row>
    <row r="102" spans="2:83" s="197" customFormat="1" ht="37.5" x14ac:dyDescent="0.3">
      <c r="B102" s="182">
        <v>927</v>
      </c>
      <c r="C102" s="182">
        <v>482</v>
      </c>
      <c r="D102" s="182" t="s">
        <v>325</v>
      </c>
      <c r="E102" s="181" t="str">
        <f>+E98</f>
        <v>مكافاه لجنه الاخلاقيات</v>
      </c>
      <c r="F102" s="182"/>
      <c r="G102" s="182">
        <v>9349.65</v>
      </c>
      <c r="H102" s="182"/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/>
      <c r="AP102" s="182"/>
      <c r="AQ102" s="185">
        <f t="shared" si="20"/>
        <v>9349.65</v>
      </c>
      <c r="AR102" s="182">
        <v>6915.34</v>
      </c>
      <c r="AS102" s="182">
        <v>895.45</v>
      </c>
      <c r="AT102" s="182">
        <v>1538.86</v>
      </c>
      <c r="AU102" s="182"/>
      <c r="AV102" s="182"/>
      <c r="AW102" s="182"/>
      <c r="AX102" s="182"/>
      <c r="AY102" s="182"/>
      <c r="AZ102" s="182"/>
      <c r="BA102" s="182"/>
      <c r="BB102" s="182"/>
      <c r="BC102" s="182"/>
      <c r="BD102" s="182"/>
      <c r="BE102" s="182"/>
      <c r="BF102" s="182"/>
      <c r="BG102" s="182"/>
      <c r="BH102" s="182"/>
      <c r="BI102" s="182"/>
      <c r="BJ102" s="182"/>
      <c r="BK102" s="182"/>
      <c r="BL102" s="182"/>
      <c r="BM102" s="182"/>
      <c r="BN102" s="182"/>
      <c r="BO102" s="182"/>
      <c r="BP102" s="182"/>
      <c r="BQ102" s="182"/>
      <c r="BR102" s="182"/>
      <c r="BS102" s="182"/>
      <c r="BT102" s="182"/>
      <c r="BU102" s="182"/>
      <c r="BV102" s="182"/>
      <c r="BW102" s="182"/>
      <c r="BX102" s="182"/>
      <c r="BY102" s="182"/>
      <c r="BZ102" s="182"/>
      <c r="CA102" s="182"/>
      <c r="CB102" s="185">
        <f t="shared" si="21"/>
        <v>9349.65</v>
      </c>
      <c r="CC102" s="185">
        <f t="shared" si="22"/>
        <v>0</v>
      </c>
      <c r="CD102" s="185">
        <f t="shared" si="23"/>
        <v>482</v>
      </c>
      <c r="CE102" s="185" t="e">
        <f>+#REF!</f>
        <v>#REF!</v>
      </c>
    </row>
    <row r="103" spans="2:83" s="197" customFormat="1" ht="37.5" x14ac:dyDescent="0.3">
      <c r="B103" s="182">
        <v>926</v>
      </c>
      <c r="C103" s="182">
        <v>483</v>
      </c>
      <c r="D103" s="182" t="s">
        <v>325</v>
      </c>
      <c r="E103" s="181" t="str">
        <f>+E102</f>
        <v>مكافاه لجنه الاخلاقيات</v>
      </c>
      <c r="F103" s="182"/>
      <c r="G103" s="182">
        <v>1025.94</v>
      </c>
      <c r="H103" s="182"/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  <c r="Z103" s="182"/>
      <c r="AA103" s="182"/>
      <c r="AB103" s="182"/>
      <c r="AC103" s="182"/>
      <c r="AD103" s="182"/>
      <c r="AE103" s="182"/>
      <c r="AF103" s="182"/>
      <c r="AG103" s="182"/>
      <c r="AH103" s="182"/>
      <c r="AI103" s="182"/>
      <c r="AJ103" s="182"/>
      <c r="AK103" s="182"/>
      <c r="AL103" s="182"/>
      <c r="AM103" s="182"/>
      <c r="AN103" s="182"/>
      <c r="AO103" s="182"/>
      <c r="AP103" s="182"/>
      <c r="AQ103" s="185">
        <f t="shared" si="20"/>
        <v>1025.94</v>
      </c>
      <c r="AR103" s="182">
        <v>686.15</v>
      </c>
      <c r="AS103" s="182">
        <v>92.6</v>
      </c>
      <c r="AT103" s="182">
        <v>247.19</v>
      </c>
      <c r="AU103" s="182"/>
      <c r="AV103" s="182"/>
      <c r="AW103" s="182"/>
      <c r="AX103" s="182"/>
      <c r="AY103" s="182"/>
      <c r="AZ103" s="182"/>
      <c r="BA103" s="182"/>
      <c r="BB103" s="182"/>
      <c r="BC103" s="182"/>
      <c r="BD103" s="182"/>
      <c r="BE103" s="182"/>
      <c r="BF103" s="182"/>
      <c r="BG103" s="182"/>
      <c r="BH103" s="182"/>
      <c r="BI103" s="182"/>
      <c r="BJ103" s="182"/>
      <c r="BK103" s="182"/>
      <c r="BL103" s="182"/>
      <c r="BM103" s="182"/>
      <c r="BN103" s="182"/>
      <c r="BO103" s="182"/>
      <c r="BP103" s="182"/>
      <c r="BQ103" s="182"/>
      <c r="BR103" s="182"/>
      <c r="BS103" s="182"/>
      <c r="BT103" s="182"/>
      <c r="BU103" s="182"/>
      <c r="BV103" s="182"/>
      <c r="BW103" s="182"/>
      <c r="BX103" s="182"/>
      <c r="BY103" s="182"/>
      <c r="BZ103" s="182"/>
      <c r="CA103" s="182"/>
      <c r="CB103" s="185">
        <f t="shared" si="21"/>
        <v>1025.94</v>
      </c>
      <c r="CC103" s="185">
        <f t="shared" si="22"/>
        <v>0</v>
      </c>
      <c r="CD103" s="185">
        <f t="shared" si="23"/>
        <v>483</v>
      </c>
      <c r="CE103" s="185" t="e">
        <f>+#REF!</f>
        <v>#REF!</v>
      </c>
    </row>
    <row r="104" spans="2:83" s="197" customFormat="1" ht="37.5" x14ac:dyDescent="0.3">
      <c r="B104" s="182">
        <v>925</v>
      </c>
      <c r="C104" s="182">
        <v>484</v>
      </c>
      <c r="D104" s="182" t="s">
        <v>325</v>
      </c>
      <c r="E104" s="181" t="str">
        <f>+E103</f>
        <v>مكافاه لجنه الاخلاقيات</v>
      </c>
      <c r="F104" s="182"/>
      <c r="G104" s="182">
        <v>48248.02</v>
      </c>
      <c r="H104" s="182"/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5">
        <f t="shared" si="20"/>
        <v>48248.02</v>
      </c>
      <c r="AR104" s="182">
        <v>42815.5</v>
      </c>
      <c r="AS104" s="182">
        <v>5165.55</v>
      </c>
      <c r="AT104" s="182">
        <v>266.97000000000003</v>
      </c>
      <c r="AU104" s="182"/>
      <c r="AV104" s="182"/>
      <c r="AW104" s="182"/>
      <c r="AX104" s="182"/>
      <c r="AY104" s="182"/>
      <c r="AZ104" s="182"/>
      <c r="BA104" s="182"/>
      <c r="BB104" s="182"/>
      <c r="BC104" s="182"/>
      <c r="BD104" s="182"/>
      <c r="BE104" s="182"/>
      <c r="BF104" s="182"/>
      <c r="BG104" s="182"/>
      <c r="BH104" s="182"/>
      <c r="BI104" s="182"/>
      <c r="BJ104" s="182"/>
      <c r="BK104" s="182"/>
      <c r="BL104" s="182"/>
      <c r="BM104" s="182"/>
      <c r="BN104" s="182"/>
      <c r="BO104" s="182"/>
      <c r="BP104" s="182"/>
      <c r="BQ104" s="182"/>
      <c r="BR104" s="182"/>
      <c r="BS104" s="182"/>
      <c r="BT104" s="182"/>
      <c r="BU104" s="182"/>
      <c r="BV104" s="182"/>
      <c r="BW104" s="182"/>
      <c r="BX104" s="182"/>
      <c r="BY104" s="182"/>
      <c r="BZ104" s="182"/>
      <c r="CA104" s="182"/>
      <c r="CB104" s="185">
        <f t="shared" si="21"/>
        <v>48248.020000000004</v>
      </c>
      <c r="CC104" s="185">
        <f t="shared" si="22"/>
        <v>0</v>
      </c>
      <c r="CD104" s="185">
        <f t="shared" si="23"/>
        <v>484</v>
      </c>
      <c r="CE104" s="185" t="e">
        <f>+#REF!</f>
        <v>#REF!</v>
      </c>
    </row>
    <row r="105" spans="2:83" s="197" customFormat="1" ht="37.5" x14ac:dyDescent="0.3">
      <c r="B105" s="182">
        <v>924</v>
      </c>
      <c r="C105" s="182">
        <v>485</v>
      </c>
      <c r="D105" s="182" t="s">
        <v>325</v>
      </c>
      <c r="E105" s="181" t="s">
        <v>4584</v>
      </c>
      <c r="F105" s="182"/>
      <c r="G105" s="182">
        <v>1206.52</v>
      </c>
      <c r="H105" s="182"/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5">
        <f t="shared" si="20"/>
        <v>1206.52</v>
      </c>
      <c r="AR105" s="182">
        <v>1067.24</v>
      </c>
      <c r="AS105" s="182">
        <v>128.6</v>
      </c>
      <c r="AT105" s="182">
        <v>10.68</v>
      </c>
      <c r="AU105" s="182"/>
      <c r="AV105" s="182"/>
      <c r="AW105" s="182"/>
      <c r="AX105" s="182"/>
      <c r="AY105" s="182"/>
      <c r="AZ105" s="182"/>
      <c r="BA105" s="182"/>
      <c r="BB105" s="182"/>
      <c r="BC105" s="182"/>
      <c r="BD105" s="182"/>
      <c r="BE105" s="182"/>
      <c r="BF105" s="182"/>
      <c r="BG105" s="182"/>
      <c r="BH105" s="182"/>
      <c r="BI105" s="182"/>
      <c r="BJ105" s="182"/>
      <c r="BK105" s="182"/>
      <c r="BL105" s="182"/>
      <c r="BM105" s="182"/>
      <c r="BN105" s="182"/>
      <c r="BO105" s="182"/>
      <c r="BP105" s="182"/>
      <c r="BQ105" s="182"/>
      <c r="BR105" s="182"/>
      <c r="BS105" s="182"/>
      <c r="BT105" s="182"/>
      <c r="BU105" s="182"/>
      <c r="BV105" s="182"/>
      <c r="BW105" s="182"/>
      <c r="BX105" s="182"/>
      <c r="BY105" s="182"/>
      <c r="BZ105" s="182"/>
      <c r="CA105" s="182"/>
      <c r="CB105" s="185">
        <f t="shared" si="21"/>
        <v>1206.52</v>
      </c>
      <c r="CC105" s="185">
        <f t="shared" si="22"/>
        <v>0</v>
      </c>
      <c r="CD105" s="185">
        <f t="shared" si="23"/>
        <v>485</v>
      </c>
      <c r="CE105" s="185" t="e">
        <f>+#REF!</f>
        <v>#REF!</v>
      </c>
    </row>
    <row r="106" spans="2:83" s="197" customFormat="1" ht="37.5" x14ac:dyDescent="0.3">
      <c r="B106" s="182">
        <v>558</v>
      </c>
      <c r="C106" s="182">
        <v>486</v>
      </c>
      <c r="D106" s="182" t="s">
        <v>325</v>
      </c>
      <c r="E106" s="181" t="s">
        <v>4584</v>
      </c>
      <c r="F106" s="182"/>
      <c r="G106" s="182">
        <v>5400</v>
      </c>
      <c r="H106" s="182"/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  <c r="Z106" s="182"/>
      <c r="AA106" s="182"/>
      <c r="AB106" s="182"/>
      <c r="AC106" s="182"/>
      <c r="AD106" s="182"/>
      <c r="AE106" s="182"/>
      <c r="AF106" s="182"/>
      <c r="AG106" s="182"/>
      <c r="AH106" s="182"/>
      <c r="AI106" s="182"/>
      <c r="AJ106" s="182"/>
      <c r="AK106" s="182"/>
      <c r="AL106" s="182"/>
      <c r="AM106" s="182"/>
      <c r="AN106" s="182"/>
      <c r="AO106" s="182"/>
      <c r="AP106" s="182"/>
      <c r="AQ106" s="185">
        <f t="shared" si="20"/>
        <v>5400</v>
      </c>
      <c r="AR106" s="182">
        <v>4820.8999999999996</v>
      </c>
      <c r="AS106" s="182">
        <v>579.1</v>
      </c>
      <c r="AT106" s="182"/>
      <c r="AU106" s="182"/>
      <c r="AV106" s="182"/>
      <c r="AW106" s="182"/>
      <c r="AX106" s="182"/>
      <c r="AY106" s="182"/>
      <c r="AZ106" s="182"/>
      <c r="BA106" s="182"/>
      <c r="BB106" s="182"/>
      <c r="BC106" s="182"/>
      <c r="BD106" s="182"/>
      <c r="BE106" s="182"/>
      <c r="BF106" s="182"/>
      <c r="BG106" s="182"/>
      <c r="BH106" s="182"/>
      <c r="BI106" s="182"/>
      <c r="BJ106" s="182"/>
      <c r="BK106" s="182"/>
      <c r="BL106" s="182"/>
      <c r="BM106" s="182"/>
      <c r="BN106" s="182"/>
      <c r="BO106" s="182"/>
      <c r="BP106" s="182"/>
      <c r="BQ106" s="182"/>
      <c r="BR106" s="182"/>
      <c r="BS106" s="182"/>
      <c r="BT106" s="182"/>
      <c r="BU106" s="182"/>
      <c r="BV106" s="182"/>
      <c r="BW106" s="182"/>
      <c r="BX106" s="182"/>
      <c r="BY106" s="182"/>
      <c r="BZ106" s="182"/>
      <c r="CA106" s="182"/>
      <c r="CB106" s="185">
        <f t="shared" si="21"/>
        <v>5400</v>
      </c>
      <c r="CC106" s="185">
        <f t="shared" si="22"/>
        <v>0</v>
      </c>
      <c r="CD106" s="185">
        <f t="shared" si="23"/>
        <v>486</v>
      </c>
      <c r="CE106" s="185" t="e">
        <f>+#REF!</f>
        <v>#REF!</v>
      </c>
    </row>
    <row r="107" spans="2:83" s="197" customFormat="1" ht="37.5" x14ac:dyDescent="0.3">
      <c r="B107" s="182">
        <v>947</v>
      </c>
      <c r="C107" s="182">
        <v>487</v>
      </c>
      <c r="D107" s="182" t="s">
        <v>325</v>
      </c>
      <c r="E107" s="181" t="s">
        <v>4585</v>
      </c>
      <c r="F107" s="182"/>
      <c r="G107" s="182">
        <v>703.5</v>
      </c>
      <c r="H107" s="182"/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  <c r="Z107" s="182"/>
      <c r="AA107" s="182"/>
      <c r="AB107" s="182"/>
      <c r="AC107" s="182"/>
      <c r="AD107" s="182"/>
      <c r="AE107" s="182"/>
      <c r="AF107" s="182"/>
      <c r="AG107" s="182"/>
      <c r="AH107" s="182"/>
      <c r="AI107" s="182"/>
      <c r="AJ107" s="182"/>
      <c r="AK107" s="182"/>
      <c r="AL107" s="182"/>
      <c r="AM107" s="182"/>
      <c r="AN107" s="182"/>
      <c r="AO107" s="182"/>
      <c r="AP107" s="182"/>
      <c r="AQ107" s="185">
        <f t="shared" si="20"/>
        <v>703.5</v>
      </c>
      <c r="AR107" s="182">
        <v>470.6</v>
      </c>
      <c r="AS107" s="182">
        <v>63.4</v>
      </c>
      <c r="AT107" s="182">
        <v>169.5</v>
      </c>
      <c r="AU107" s="182"/>
      <c r="AV107" s="182"/>
      <c r="AW107" s="182"/>
      <c r="AX107" s="182"/>
      <c r="AY107" s="182"/>
      <c r="AZ107" s="182"/>
      <c r="BA107" s="182"/>
      <c r="BB107" s="182"/>
      <c r="BC107" s="182"/>
      <c r="BD107" s="182"/>
      <c r="BE107" s="182"/>
      <c r="BF107" s="182"/>
      <c r="BG107" s="182"/>
      <c r="BH107" s="182"/>
      <c r="BI107" s="182"/>
      <c r="BJ107" s="182"/>
      <c r="BK107" s="182"/>
      <c r="BL107" s="182"/>
      <c r="BM107" s="182"/>
      <c r="BN107" s="182"/>
      <c r="BO107" s="182"/>
      <c r="BP107" s="182"/>
      <c r="BQ107" s="182"/>
      <c r="BR107" s="182"/>
      <c r="BS107" s="182"/>
      <c r="BT107" s="182"/>
      <c r="BU107" s="182"/>
      <c r="BV107" s="182"/>
      <c r="BW107" s="182"/>
      <c r="BX107" s="182"/>
      <c r="BY107" s="182"/>
      <c r="BZ107" s="182"/>
      <c r="CA107" s="182"/>
      <c r="CB107" s="185">
        <f t="shared" si="21"/>
        <v>703.5</v>
      </c>
      <c r="CC107" s="185">
        <f t="shared" si="22"/>
        <v>0</v>
      </c>
      <c r="CD107" s="185">
        <f t="shared" si="23"/>
        <v>487</v>
      </c>
      <c r="CE107" s="185" t="e">
        <f>+#REF!</f>
        <v>#REF!</v>
      </c>
    </row>
    <row r="108" spans="2:83" s="197" customFormat="1" ht="37.5" x14ac:dyDescent="0.3">
      <c r="B108" s="182">
        <v>1266</v>
      </c>
      <c r="C108" s="182">
        <v>488</v>
      </c>
      <c r="D108" s="182" t="s">
        <v>325</v>
      </c>
      <c r="E108" s="181" t="s">
        <v>4586</v>
      </c>
      <c r="F108" s="182"/>
      <c r="G108" s="182">
        <v>74039.509999999995</v>
      </c>
      <c r="H108" s="182"/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  <c r="Z108" s="182"/>
      <c r="AA108" s="182"/>
      <c r="AB108" s="182"/>
      <c r="AC108" s="182"/>
      <c r="AD108" s="182"/>
      <c r="AE108" s="182"/>
      <c r="AF108" s="182"/>
      <c r="AG108" s="182"/>
      <c r="AH108" s="182"/>
      <c r="AI108" s="182"/>
      <c r="AJ108" s="182"/>
      <c r="AK108" s="182"/>
      <c r="AL108" s="182"/>
      <c r="AM108" s="182"/>
      <c r="AN108" s="182"/>
      <c r="AO108" s="182"/>
      <c r="AP108" s="182"/>
      <c r="AQ108" s="185">
        <f t="shared" si="20"/>
        <v>74039.509999999995</v>
      </c>
      <c r="AR108" s="182">
        <v>61898.42</v>
      </c>
      <c r="AS108" s="182">
        <v>7504.52</v>
      </c>
      <c r="AT108" s="182">
        <v>4636.57</v>
      </c>
      <c r="AU108" s="182"/>
      <c r="AV108" s="182"/>
      <c r="AW108" s="182"/>
      <c r="AX108" s="182"/>
      <c r="AY108" s="182"/>
      <c r="AZ108" s="182"/>
      <c r="BA108" s="182"/>
      <c r="BB108" s="182"/>
      <c r="BC108" s="182"/>
      <c r="BD108" s="182"/>
      <c r="BE108" s="182"/>
      <c r="BF108" s="182"/>
      <c r="BG108" s="182"/>
      <c r="BH108" s="182"/>
      <c r="BI108" s="182"/>
      <c r="BJ108" s="182"/>
      <c r="BK108" s="182"/>
      <c r="BL108" s="182"/>
      <c r="BM108" s="182"/>
      <c r="BN108" s="182"/>
      <c r="BO108" s="182"/>
      <c r="BP108" s="182"/>
      <c r="BQ108" s="182"/>
      <c r="BR108" s="182"/>
      <c r="BS108" s="182"/>
      <c r="BT108" s="182"/>
      <c r="BU108" s="182"/>
      <c r="BV108" s="182"/>
      <c r="BW108" s="182"/>
      <c r="BX108" s="182"/>
      <c r="BY108" s="182"/>
      <c r="BZ108" s="182"/>
      <c r="CA108" s="182"/>
      <c r="CB108" s="185">
        <f t="shared" si="21"/>
        <v>74039.510000000009</v>
      </c>
      <c r="CC108" s="185">
        <f t="shared" si="22"/>
        <v>0</v>
      </c>
      <c r="CD108" s="185">
        <f t="shared" si="23"/>
        <v>488</v>
      </c>
      <c r="CE108" s="185" t="e">
        <f>+#REF!</f>
        <v>#REF!</v>
      </c>
    </row>
    <row r="109" spans="2:83" s="197" customFormat="1" ht="37.5" x14ac:dyDescent="0.3">
      <c r="B109" s="182">
        <v>1265</v>
      </c>
      <c r="C109" s="182">
        <v>489</v>
      </c>
      <c r="D109" s="182" t="s">
        <v>325</v>
      </c>
      <c r="E109" s="181" t="s">
        <v>4586</v>
      </c>
      <c r="F109" s="182"/>
      <c r="G109" s="182">
        <v>138486.15</v>
      </c>
      <c r="H109" s="182"/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82"/>
      <c r="AH109" s="182"/>
      <c r="AI109" s="182"/>
      <c r="AJ109" s="182"/>
      <c r="AK109" s="182"/>
      <c r="AL109" s="182"/>
      <c r="AM109" s="182"/>
      <c r="AN109" s="182"/>
      <c r="AO109" s="182"/>
      <c r="AP109" s="182"/>
      <c r="AQ109" s="185">
        <f t="shared" si="20"/>
        <v>138486.15</v>
      </c>
      <c r="AR109" s="182">
        <v>109376.56</v>
      </c>
      <c r="AS109" s="182">
        <v>13729.88</v>
      </c>
      <c r="AT109" s="182">
        <v>15379.71</v>
      </c>
      <c r="AU109" s="182"/>
      <c r="AV109" s="182"/>
      <c r="AW109" s="182"/>
      <c r="AX109" s="182"/>
      <c r="AY109" s="182"/>
      <c r="AZ109" s="182"/>
      <c r="BA109" s="182"/>
      <c r="BB109" s="182"/>
      <c r="BC109" s="182"/>
      <c r="BD109" s="182"/>
      <c r="BE109" s="182"/>
      <c r="BF109" s="182"/>
      <c r="BG109" s="182"/>
      <c r="BH109" s="182"/>
      <c r="BI109" s="182"/>
      <c r="BJ109" s="182"/>
      <c r="BK109" s="182"/>
      <c r="BL109" s="182"/>
      <c r="BM109" s="182"/>
      <c r="BN109" s="182"/>
      <c r="BO109" s="182"/>
      <c r="BP109" s="182"/>
      <c r="BQ109" s="182"/>
      <c r="BR109" s="182"/>
      <c r="BS109" s="182"/>
      <c r="BT109" s="182"/>
      <c r="BU109" s="182"/>
      <c r="BV109" s="182"/>
      <c r="BW109" s="182"/>
      <c r="BX109" s="182"/>
      <c r="BY109" s="182"/>
      <c r="BZ109" s="182"/>
      <c r="CA109" s="182"/>
      <c r="CB109" s="185">
        <f t="shared" si="21"/>
        <v>138486.15</v>
      </c>
      <c r="CC109" s="185">
        <f t="shared" si="22"/>
        <v>0</v>
      </c>
      <c r="CD109" s="185">
        <f t="shared" si="23"/>
        <v>489</v>
      </c>
      <c r="CE109" s="185" t="e">
        <f>+#REF!</f>
        <v>#REF!</v>
      </c>
    </row>
    <row r="110" spans="2:83" s="197" customFormat="1" ht="37.5" x14ac:dyDescent="0.3">
      <c r="B110" s="182">
        <v>1264</v>
      </c>
      <c r="C110" s="182">
        <v>490</v>
      </c>
      <c r="D110" s="182" t="s">
        <v>325</v>
      </c>
      <c r="E110" s="181" t="s">
        <v>4586</v>
      </c>
      <c r="F110" s="182"/>
      <c r="G110" s="182">
        <v>2251.5300000000002</v>
      </c>
      <c r="H110" s="182"/>
      <c r="I110" s="182"/>
      <c r="J110" s="182"/>
      <c r="K110" s="182"/>
      <c r="L110" s="182"/>
      <c r="M110" s="182"/>
      <c r="N110" s="182"/>
      <c r="O110" s="182"/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  <c r="Z110" s="182"/>
      <c r="AA110" s="182"/>
      <c r="AB110" s="182"/>
      <c r="AC110" s="182"/>
      <c r="AD110" s="182"/>
      <c r="AE110" s="182"/>
      <c r="AF110" s="182"/>
      <c r="AG110" s="182"/>
      <c r="AH110" s="182"/>
      <c r="AI110" s="182"/>
      <c r="AJ110" s="182"/>
      <c r="AK110" s="182"/>
      <c r="AL110" s="182"/>
      <c r="AM110" s="182"/>
      <c r="AN110" s="182"/>
      <c r="AO110" s="182"/>
      <c r="AP110" s="182"/>
      <c r="AQ110" s="185">
        <f t="shared" si="20"/>
        <v>2251.5300000000002</v>
      </c>
      <c r="AR110" s="182">
        <v>1739.61</v>
      </c>
      <c r="AS110" s="182">
        <v>217.75</v>
      </c>
      <c r="AT110" s="182">
        <v>294.17</v>
      </c>
      <c r="AU110" s="182"/>
      <c r="AV110" s="182"/>
      <c r="AW110" s="182"/>
      <c r="AX110" s="182"/>
      <c r="AY110" s="182"/>
      <c r="AZ110" s="182"/>
      <c r="BA110" s="182"/>
      <c r="BB110" s="182"/>
      <c r="BC110" s="182"/>
      <c r="BD110" s="182"/>
      <c r="BE110" s="182"/>
      <c r="BF110" s="182"/>
      <c r="BG110" s="182"/>
      <c r="BH110" s="182"/>
      <c r="BI110" s="182"/>
      <c r="BJ110" s="182"/>
      <c r="BK110" s="182"/>
      <c r="BL110" s="182"/>
      <c r="BM110" s="182"/>
      <c r="BN110" s="182"/>
      <c r="BO110" s="182"/>
      <c r="BP110" s="182"/>
      <c r="BQ110" s="182"/>
      <c r="BR110" s="182"/>
      <c r="BS110" s="182"/>
      <c r="BT110" s="182"/>
      <c r="BU110" s="182"/>
      <c r="BV110" s="182"/>
      <c r="BW110" s="182"/>
      <c r="BX110" s="182"/>
      <c r="BY110" s="182"/>
      <c r="BZ110" s="182"/>
      <c r="CA110" s="182"/>
      <c r="CB110" s="185">
        <f t="shared" si="21"/>
        <v>2251.5299999999997</v>
      </c>
      <c r="CC110" s="185">
        <f t="shared" si="22"/>
        <v>0</v>
      </c>
      <c r="CD110" s="185">
        <f t="shared" si="23"/>
        <v>490</v>
      </c>
      <c r="CE110" s="185" t="e">
        <f>+#REF!</f>
        <v>#REF!</v>
      </c>
    </row>
    <row r="111" spans="2:83" s="197" customFormat="1" ht="37.5" x14ac:dyDescent="0.3">
      <c r="B111" s="182">
        <v>1263</v>
      </c>
      <c r="C111" s="182">
        <v>491</v>
      </c>
      <c r="D111" s="182" t="s">
        <v>325</v>
      </c>
      <c r="E111" s="181" t="s">
        <v>4586</v>
      </c>
      <c r="F111" s="182"/>
      <c r="G111" s="182">
        <v>379.17</v>
      </c>
      <c r="H111" s="182"/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  <c r="Z111" s="182"/>
      <c r="AA111" s="182"/>
      <c r="AB111" s="182"/>
      <c r="AC111" s="182"/>
      <c r="AD111" s="182"/>
      <c r="AE111" s="182"/>
      <c r="AF111" s="182"/>
      <c r="AG111" s="182"/>
      <c r="AH111" s="182"/>
      <c r="AI111" s="182"/>
      <c r="AJ111" s="182"/>
      <c r="AK111" s="182"/>
      <c r="AL111" s="182"/>
      <c r="AM111" s="182"/>
      <c r="AN111" s="182"/>
      <c r="AO111" s="182"/>
      <c r="AP111" s="182"/>
      <c r="AQ111" s="185">
        <f t="shared" si="20"/>
        <v>379.17</v>
      </c>
      <c r="AR111" s="182">
        <v>339.1</v>
      </c>
      <c r="AS111" s="182">
        <v>40.07</v>
      </c>
      <c r="AT111" s="182"/>
      <c r="AU111" s="182"/>
      <c r="AV111" s="182"/>
      <c r="AW111" s="182"/>
      <c r="AX111" s="182"/>
      <c r="AY111" s="182"/>
      <c r="AZ111" s="182"/>
      <c r="BA111" s="182"/>
      <c r="BB111" s="182"/>
      <c r="BC111" s="182"/>
      <c r="BD111" s="182"/>
      <c r="BE111" s="182"/>
      <c r="BF111" s="182"/>
      <c r="BG111" s="182"/>
      <c r="BH111" s="182"/>
      <c r="BI111" s="182"/>
      <c r="BJ111" s="182"/>
      <c r="BK111" s="182"/>
      <c r="BL111" s="182"/>
      <c r="BM111" s="182"/>
      <c r="BN111" s="182"/>
      <c r="BO111" s="182"/>
      <c r="BP111" s="182"/>
      <c r="BQ111" s="182"/>
      <c r="BR111" s="182"/>
      <c r="BS111" s="182"/>
      <c r="BT111" s="182"/>
      <c r="BU111" s="182"/>
      <c r="BV111" s="182"/>
      <c r="BW111" s="182"/>
      <c r="BX111" s="182"/>
      <c r="BY111" s="182"/>
      <c r="BZ111" s="182"/>
      <c r="CA111" s="182"/>
      <c r="CB111" s="185">
        <f t="shared" si="21"/>
        <v>379.17</v>
      </c>
      <c r="CC111" s="185">
        <f t="shared" si="22"/>
        <v>0</v>
      </c>
      <c r="CD111" s="185">
        <f t="shared" si="23"/>
        <v>491</v>
      </c>
      <c r="CE111" s="185" t="e">
        <f>+#REF!</f>
        <v>#REF!</v>
      </c>
    </row>
    <row r="112" spans="2:83" s="197" customFormat="1" ht="37.5" x14ac:dyDescent="0.3">
      <c r="B112" s="182">
        <v>955</v>
      </c>
      <c r="C112" s="182">
        <v>492</v>
      </c>
      <c r="D112" s="182" t="s">
        <v>325</v>
      </c>
      <c r="E112" s="181" t="s">
        <v>2570</v>
      </c>
      <c r="F112" s="182"/>
      <c r="G112" s="182">
        <v>19261.41</v>
      </c>
      <c r="H112" s="182"/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  <c r="Z112" s="182"/>
      <c r="AA112" s="182"/>
      <c r="AB112" s="182"/>
      <c r="AC112" s="182"/>
      <c r="AD112" s="182"/>
      <c r="AE112" s="182"/>
      <c r="AF112" s="182"/>
      <c r="AG112" s="182"/>
      <c r="AH112" s="182"/>
      <c r="AI112" s="182"/>
      <c r="AJ112" s="182"/>
      <c r="AK112" s="182"/>
      <c r="AL112" s="182"/>
      <c r="AM112" s="182"/>
      <c r="AN112" s="182"/>
      <c r="AO112" s="182"/>
      <c r="AP112" s="182"/>
      <c r="AQ112" s="185">
        <f t="shared" si="20"/>
        <v>19261.41</v>
      </c>
      <c r="AR112" s="182">
        <v>17227.87</v>
      </c>
      <c r="AS112" s="182">
        <v>2033.54</v>
      </c>
      <c r="AT112" s="182"/>
      <c r="AU112" s="182"/>
      <c r="AV112" s="182"/>
      <c r="AW112" s="182"/>
      <c r="AX112" s="182"/>
      <c r="AY112" s="182"/>
      <c r="AZ112" s="182"/>
      <c r="BA112" s="182"/>
      <c r="BB112" s="182"/>
      <c r="BC112" s="182"/>
      <c r="BD112" s="182"/>
      <c r="BE112" s="182"/>
      <c r="BF112" s="182"/>
      <c r="BG112" s="182"/>
      <c r="BH112" s="182"/>
      <c r="BI112" s="182"/>
      <c r="BJ112" s="182"/>
      <c r="BK112" s="182"/>
      <c r="BL112" s="182"/>
      <c r="BM112" s="182"/>
      <c r="BN112" s="182"/>
      <c r="BO112" s="182"/>
      <c r="BP112" s="182"/>
      <c r="BQ112" s="182"/>
      <c r="BR112" s="182"/>
      <c r="BS112" s="182"/>
      <c r="BT112" s="182"/>
      <c r="BU112" s="182"/>
      <c r="BV112" s="182"/>
      <c r="BW112" s="182"/>
      <c r="BX112" s="182"/>
      <c r="BY112" s="182"/>
      <c r="BZ112" s="182"/>
      <c r="CA112" s="182"/>
      <c r="CB112" s="185">
        <f t="shared" si="21"/>
        <v>19261.41</v>
      </c>
      <c r="CC112" s="185">
        <f t="shared" si="22"/>
        <v>0</v>
      </c>
      <c r="CD112" s="185">
        <f t="shared" si="23"/>
        <v>492</v>
      </c>
      <c r="CE112" s="185" t="e">
        <f>+#REF!</f>
        <v>#REF!</v>
      </c>
    </row>
    <row r="113" spans="2:83" s="197" customFormat="1" ht="37.5" x14ac:dyDescent="0.3">
      <c r="B113" s="182">
        <v>953</v>
      </c>
      <c r="C113" s="182">
        <v>493</v>
      </c>
      <c r="D113" s="182" t="s">
        <v>325</v>
      </c>
      <c r="E113" s="181" t="s">
        <v>2570</v>
      </c>
      <c r="F113" s="182"/>
      <c r="G113" s="182">
        <v>8137.6</v>
      </c>
      <c r="H113" s="182"/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5">
        <f t="shared" si="20"/>
        <v>8137.6</v>
      </c>
      <c r="AR113" s="182">
        <v>7259.14</v>
      </c>
      <c r="AS113" s="182">
        <v>878.46</v>
      </c>
      <c r="AT113" s="182"/>
      <c r="AU113" s="182"/>
      <c r="AV113" s="182"/>
      <c r="AW113" s="182"/>
      <c r="AX113" s="182"/>
      <c r="AY113" s="182"/>
      <c r="AZ113" s="182"/>
      <c r="BA113" s="182"/>
      <c r="BB113" s="182"/>
      <c r="BC113" s="182"/>
      <c r="BD113" s="182"/>
      <c r="BE113" s="182"/>
      <c r="BF113" s="182"/>
      <c r="BG113" s="182"/>
      <c r="BH113" s="182"/>
      <c r="BI113" s="182"/>
      <c r="BJ113" s="182"/>
      <c r="BK113" s="182"/>
      <c r="BL113" s="182"/>
      <c r="BM113" s="182"/>
      <c r="BN113" s="182"/>
      <c r="BO113" s="182"/>
      <c r="BP113" s="182"/>
      <c r="BQ113" s="182"/>
      <c r="BR113" s="182"/>
      <c r="BS113" s="182"/>
      <c r="BT113" s="182"/>
      <c r="BU113" s="182"/>
      <c r="BV113" s="182"/>
      <c r="BW113" s="182"/>
      <c r="BX113" s="182"/>
      <c r="BY113" s="182"/>
      <c r="BZ113" s="182"/>
      <c r="CA113" s="182"/>
      <c r="CB113" s="185">
        <f t="shared" si="21"/>
        <v>8137.6</v>
      </c>
      <c r="CC113" s="185">
        <f t="shared" si="22"/>
        <v>0</v>
      </c>
      <c r="CD113" s="185">
        <f t="shared" si="23"/>
        <v>493</v>
      </c>
      <c r="CE113" s="185" t="e">
        <f>+#REF!</f>
        <v>#REF!</v>
      </c>
    </row>
    <row r="114" spans="2:83" s="197" customFormat="1" ht="37.5" x14ac:dyDescent="0.3">
      <c r="B114" s="182">
        <v>951</v>
      </c>
      <c r="C114" s="182">
        <v>494</v>
      </c>
      <c r="D114" s="182" t="s">
        <v>325</v>
      </c>
      <c r="E114" s="181" t="s">
        <v>2570</v>
      </c>
      <c r="F114" s="182"/>
      <c r="G114" s="182">
        <v>2015.88</v>
      </c>
      <c r="H114" s="182"/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2"/>
      <c r="AM114" s="182"/>
      <c r="AN114" s="182"/>
      <c r="AO114" s="182"/>
      <c r="AP114" s="182"/>
      <c r="AQ114" s="185">
        <f t="shared" si="20"/>
        <v>2015.88</v>
      </c>
      <c r="AR114" s="182">
        <v>1775.32</v>
      </c>
      <c r="AS114" s="182">
        <v>214.55</v>
      </c>
      <c r="AT114" s="182">
        <v>26.01</v>
      </c>
      <c r="AU114" s="182"/>
      <c r="AV114" s="182"/>
      <c r="AW114" s="182"/>
      <c r="AX114" s="182"/>
      <c r="AY114" s="182"/>
      <c r="AZ114" s="182"/>
      <c r="BA114" s="182"/>
      <c r="BB114" s="182"/>
      <c r="BC114" s="182"/>
      <c r="BD114" s="182"/>
      <c r="BE114" s="182"/>
      <c r="BF114" s="182"/>
      <c r="BG114" s="182"/>
      <c r="BH114" s="182"/>
      <c r="BI114" s="182"/>
      <c r="BJ114" s="182"/>
      <c r="BK114" s="182"/>
      <c r="BL114" s="182"/>
      <c r="BM114" s="182"/>
      <c r="BN114" s="182"/>
      <c r="BO114" s="182"/>
      <c r="BP114" s="182"/>
      <c r="BQ114" s="182"/>
      <c r="BR114" s="182"/>
      <c r="BS114" s="182"/>
      <c r="BT114" s="182"/>
      <c r="BU114" s="182"/>
      <c r="BV114" s="182"/>
      <c r="BW114" s="182"/>
      <c r="BX114" s="182"/>
      <c r="BY114" s="182"/>
      <c r="BZ114" s="182"/>
      <c r="CA114" s="182"/>
      <c r="CB114" s="185">
        <f t="shared" si="21"/>
        <v>2015.8799999999999</v>
      </c>
      <c r="CC114" s="185">
        <f t="shared" si="22"/>
        <v>0</v>
      </c>
      <c r="CD114" s="185">
        <f t="shared" si="23"/>
        <v>494</v>
      </c>
      <c r="CE114" s="185" t="e">
        <f>+#REF!</f>
        <v>#REF!</v>
      </c>
    </row>
    <row r="115" spans="2:83" s="197" customFormat="1" ht="37.5" x14ac:dyDescent="0.3">
      <c r="B115" s="182">
        <v>950</v>
      </c>
      <c r="C115" s="182">
        <v>495</v>
      </c>
      <c r="D115" s="182" t="s">
        <v>325</v>
      </c>
      <c r="E115" s="181" t="s">
        <v>2570</v>
      </c>
      <c r="F115" s="182"/>
      <c r="G115" s="182">
        <v>1000</v>
      </c>
      <c r="H115" s="182"/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  <c r="Z115" s="182"/>
      <c r="AA115" s="182"/>
      <c r="AB115" s="182"/>
      <c r="AC115" s="182"/>
      <c r="AD115" s="182"/>
      <c r="AE115" s="182"/>
      <c r="AF115" s="182"/>
      <c r="AG115" s="182"/>
      <c r="AH115" s="182"/>
      <c r="AI115" s="182"/>
      <c r="AJ115" s="182"/>
      <c r="AK115" s="182"/>
      <c r="AL115" s="182"/>
      <c r="AM115" s="182"/>
      <c r="AN115" s="182"/>
      <c r="AO115" s="182"/>
      <c r="AP115" s="182"/>
      <c r="AQ115" s="185">
        <f t="shared" si="20"/>
        <v>1000</v>
      </c>
      <c r="AR115" s="182">
        <v>893.35</v>
      </c>
      <c r="AS115" s="182">
        <v>106.65</v>
      </c>
      <c r="AT115" s="182"/>
      <c r="AU115" s="182"/>
      <c r="AV115" s="182"/>
      <c r="AW115" s="182"/>
      <c r="AX115" s="182"/>
      <c r="AY115" s="182"/>
      <c r="AZ115" s="182"/>
      <c r="BA115" s="182"/>
      <c r="BB115" s="182"/>
      <c r="BC115" s="182"/>
      <c r="BD115" s="182"/>
      <c r="BE115" s="182"/>
      <c r="BF115" s="182"/>
      <c r="BG115" s="182"/>
      <c r="BH115" s="182"/>
      <c r="BI115" s="182"/>
      <c r="BJ115" s="182"/>
      <c r="BK115" s="182"/>
      <c r="BL115" s="182"/>
      <c r="BM115" s="182"/>
      <c r="BN115" s="182"/>
      <c r="BO115" s="182"/>
      <c r="BP115" s="182"/>
      <c r="BQ115" s="182"/>
      <c r="BR115" s="182"/>
      <c r="BS115" s="182"/>
      <c r="BT115" s="182"/>
      <c r="BU115" s="182"/>
      <c r="BV115" s="182"/>
      <c r="BW115" s="182"/>
      <c r="BX115" s="182"/>
      <c r="BY115" s="182"/>
      <c r="BZ115" s="182"/>
      <c r="CA115" s="182"/>
      <c r="CB115" s="185">
        <f t="shared" si="21"/>
        <v>1000</v>
      </c>
      <c r="CC115" s="185">
        <f t="shared" si="22"/>
        <v>0</v>
      </c>
      <c r="CD115" s="185">
        <f t="shared" si="23"/>
        <v>495</v>
      </c>
      <c r="CE115" s="185" t="e">
        <f>+#REF!</f>
        <v>#REF!</v>
      </c>
    </row>
    <row r="116" spans="2:83" s="197" customFormat="1" ht="37.5" x14ac:dyDescent="0.3">
      <c r="B116" s="182">
        <v>959</v>
      </c>
      <c r="C116" s="182">
        <v>496</v>
      </c>
      <c r="D116" s="182" t="s">
        <v>325</v>
      </c>
      <c r="E116" s="181" t="s">
        <v>4587</v>
      </c>
      <c r="F116" s="182"/>
      <c r="G116" s="182">
        <v>1172.5</v>
      </c>
      <c r="H116" s="182"/>
      <c r="I116" s="182"/>
      <c r="J116" s="182"/>
      <c r="K116" s="182"/>
      <c r="L116" s="182"/>
      <c r="M116" s="182"/>
      <c r="N116" s="182"/>
      <c r="O116" s="182"/>
      <c r="P116" s="182"/>
      <c r="Q116" s="182"/>
      <c r="R116" s="182"/>
      <c r="S116" s="182"/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/>
      <c r="AN116" s="182"/>
      <c r="AO116" s="182"/>
      <c r="AP116" s="182"/>
      <c r="AQ116" s="185">
        <f t="shared" si="20"/>
        <v>1172.5</v>
      </c>
      <c r="AR116" s="182">
        <v>784.1</v>
      </c>
      <c r="AS116" s="182">
        <v>105.9</v>
      </c>
      <c r="AT116" s="182">
        <v>282.5</v>
      </c>
      <c r="AU116" s="182"/>
      <c r="AV116" s="182"/>
      <c r="AW116" s="182"/>
      <c r="AX116" s="182"/>
      <c r="AY116" s="182"/>
      <c r="AZ116" s="182"/>
      <c r="BA116" s="182"/>
      <c r="BB116" s="182"/>
      <c r="BC116" s="182"/>
      <c r="BD116" s="182"/>
      <c r="BE116" s="182"/>
      <c r="BF116" s="182"/>
      <c r="BG116" s="182"/>
      <c r="BH116" s="182"/>
      <c r="BI116" s="182"/>
      <c r="BJ116" s="182"/>
      <c r="BK116" s="182"/>
      <c r="BL116" s="182"/>
      <c r="BM116" s="182"/>
      <c r="BN116" s="182"/>
      <c r="BO116" s="182"/>
      <c r="BP116" s="182"/>
      <c r="BQ116" s="182"/>
      <c r="BR116" s="182"/>
      <c r="BS116" s="182"/>
      <c r="BT116" s="182"/>
      <c r="BU116" s="182"/>
      <c r="BV116" s="182"/>
      <c r="BW116" s="182"/>
      <c r="BX116" s="182"/>
      <c r="BY116" s="182"/>
      <c r="BZ116" s="182"/>
      <c r="CA116" s="182"/>
      <c r="CB116" s="185">
        <f t="shared" si="21"/>
        <v>1172.5</v>
      </c>
      <c r="CC116" s="185">
        <f t="shared" si="22"/>
        <v>0</v>
      </c>
      <c r="CD116" s="185">
        <f t="shared" si="23"/>
        <v>496</v>
      </c>
      <c r="CE116" s="185" t="e">
        <f>+#REF!</f>
        <v>#REF!</v>
      </c>
    </row>
    <row r="117" spans="2:83" s="197" customFormat="1" ht="37.5" x14ac:dyDescent="0.3">
      <c r="B117" s="182">
        <v>958</v>
      </c>
      <c r="C117" s="182">
        <v>497</v>
      </c>
      <c r="D117" s="182" t="s">
        <v>325</v>
      </c>
      <c r="E117" s="181" t="s">
        <v>4587</v>
      </c>
      <c r="F117" s="182"/>
      <c r="G117" s="182">
        <v>3091.84</v>
      </c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5">
        <f t="shared" si="20"/>
        <v>3091.84</v>
      </c>
      <c r="AR117" s="182">
        <v>2621.89</v>
      </c>
      <c r="AS117" s="182">
        <v>319.55</v>
      </c>
      <c r="AT117" s="182">
        <v>150.4</v>
      </c>
      <c r="AU117" s="182"/>
      <c r="AV117" s="182"/>
      <c r="AW117" s="182"/>
      <c r="AX117" s="182"/>
      <c r="AY117" s="182"/>
      <c r="AZ117" s="182"/>
      <c r="BA117" s="182"/>
      <c r="BB117" s="182"/>
      <c r="BC117" s="182"/>
      <c r="BD117" s="182"/>
      <c r="BE117" s="182"/>
      <c r="BF117" s="182"/>
      <c r="BG117" s="182"/>
      <c r="BH117" s="182"/>
      <c r="BI117" s="182"/>
      <c r="BJ117" s="182"/>
      <c r="BK117" s="182"/>
      <c r="BL117" s="182"/>
      <c r="BM117" s="182"/>
      <c r="BN117" s="182"/>
      <c r="BO117" s="182"/>
      <c r="BP117" s="182"/>
      <c r="BQ117" s="182"/>
      <c r="BR117" s="182"/>
      <c r="BS117" s="182"/>
      <c r="BT117" s="182"/>
      <c r="BU117" s="182"/>
      <c r="BV117" s="182"/>
      <c r="BW117" s="182"/>
      <c r="BX117" s="182"/>
      <c r="BY117" s="182"/>
      <c r="BZ117" s="182"/>
      <c r="CA117" s="182"/>
      <c r="CB117" s="185">
        <f t="shared" si="21"/>
        <v>3091.84</v>
      </c>
      <c r="CC117" s="185">
        <f t="shared" si="22"/>
        <v>0</v>
      </c>
      <c r="CD117" s="185">
        <f t="shared" si="23"/>
        <v>497</v>
      </c>
      <c r="CE117" s="185" t="e">
        <f>+#REF!</f>
        <v>#REF!</v>
      </c>
    </row>
    <row r="118" spans="2:83" s="197" customFormat="1" ht="37.5" x14ac:dyDescent="0.3">
      <c r="B118" s="182">
        <v>938</v>
      </c>
      <c r="C118" s="182">
        <v>498</v>
      </c>
      <c r="D118" s="182" t="s">
        <v>325</v>
      </c>
      <c r="E118" s="181" t="str">
        <f>+E93</f>
        <v>مكافاه معسكر باجوش</v>
      </c>
      <c r="F118" s="182"/>
      <c r="G118" s="182">
        <v>1406.99</v>
      </c>
      <c r="H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  <c r="Z118" s="182"/>
      <c r="AA118" s="182"/>
      <c r="AB118" s="182"/>
      <c r="AC118" s="182"/>
      <c r="AD118" s="182"/>
      <c r="AE118" s="182"/>
      <c r="AF118" s="182"/>
      <c r="AG118" s="182"/>
      <c r="AH118" s="182"/>
      <c r="AI118" s="182"/>
      <c r="AJ118" s="182"/>
      <c r="AK118" s="182"/>
      <c r="AL118" s="182"/>
      <c r="AM118" s="182"/>
      <c r="AN118" s="182"/>
      <c r="AO118" s="182"/>
      <c r="AP118" s="182"/>
      <c r="AQ118" s="185">
        <f t="shared" si="20"/>
        <v>1406.99</v>
      </c>
      <c r="AR118" s="182">
        <v>941.95</v>
      </c>
      <c r="AS118" s="182">
        <v>126.05</v>
      </c>
      <c r="AT118" s="182">
        <v>338.99</v>
      </c>
      <c r="AU118" s="182"/>
      <c r="AV118" s="182"/>
      <c r="AW118" s="182"/>
      <c r="AX118" s="182"/>
      <c r="AY118" s="182"/>
      <c r="AZ118" s="182"/>
      <c r="BA118" s="182"/>
      <c r="BB118" s="182"/>
      <c r="BC118" s="182"/>
      <c r="BD118" s="182"/>
      <c r="BE118" s="182"/>
      <c r="BF118" s="182"/>
      <c r="BG118" s="182"/>
      <c r="BH118" s="182"/>
      <c r="BI118" s="182"/>
      <c r="BJ118" s="182"/>
      <c r="BK118" s="182"/>
      <c r="BL118" s="182"/>
      <c r="BM118" s="182"/>
      <c r="BN118" s="182"/>
      <c r="BO118" s="182"/>
      <c r="BP118" s="182"/>
      <c r="BQ118" s="182"/>
      <c r="BR118" s="182"/>
      <c r="BS118" s="182"/>
      <c r="BT118" s="182"/>
      <c r="BU118" s="182"/>
      <c r="BV118" s="182"/>
      <c r="BW118" s="182"/>
      <c r="BX118" s="182"/>
      <c r="BY118" s="182"/>
      <c r="BZ118" s="182"/>
      <c r="CA118" s="182"/>
      <c r="CB118" s="185">
        <f t="shared" si="21"/>
        <v>1406.99</v>
      </c>
      <c r="CC118" s="185">
        <f t="shared" si="22"/>
        <v>0</v>
      </c>
      <c r="CD118" s="185">
        <f t="shared" si="23"/>
        <v>498</v>
      </c>
      <c r="CE118" s="185" t="e">
        <f>+#REF!</f>
        <v>#REF!</v>
      </c>
    </row>
    <row r="119" spans="2:83" s="197" customFormat="1" ht="37.5" x14ac:dyDescent="0.3">
      <c r="B119" s="182">
        <v>949</v>
      </c>
      <c r="C119" s="182">
        <v>499</v>
      </c>
      <c r="D119" s="182" t="s">
        <v>325</v>
      </c>
      <c r="E119" s="181" t="str">
        <f>+E96</f>
        <v>حفل برنامج دولى</v>
      </c>
      <c r="F119" s="182"/>
      <c r="G119" s="182">
        <v>4501.95</v>
      </c>
      <c r="H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  <c r="AN119" s="182"/>
      <c r="AO119" s="182"/>
      <c r="AP119" s="182"/>
      <c r="AQ119" s="185">
        <f t="shared" si="20"/>
        <v>4501.95</v>
      </c>
      <c r="AR119" s="182">
        <v>2950.44</v>
      </c>
      <c r="AS119" s="182">
        <v>401.95</v>
      </c>
      <c r="AT119" s="182">
        <v>1149.56</v>
      </c>
      <c r="AU119" s="182"/>
      <c r="AV119" s="182"/>
      <c r="AW119" s="182"/>
      <c r="AX119" s="182"/>
      <c r="AY119" s="182"/>
      <c r="AZ119" s="182"/>
      <c r="BA119" s="182"/>
      <c r="BB119" s="182"/>
      <c r="BC119" s="182"/>
      <c r="BD119" s="182"/>
      <c r="BE119" s="182"/>
      <c r="BF119" s="182"/>
      <c r="BG119" s="182"/>
      <c r="BH119" s="182"/>
      <c r="BI119" s="182"/>
      <c r="BJ119" s="182"/>
      <c r="BK119" s="182"/>
      <c r="BL119" s="182"/>
      <c r="BM119" s="182"/>
      <c r="BN119" s="182"/>
      <c r="BO119" s="182"/>
      <c r="BP119" s="182"/>
      <c r="BQ119" s="182"/>
      <c r="BR119" s="182"/>
      <c r="BS119" s="182"/>
      <c r="BT119" s="182"/>
      <c r="BU119" s="182"/>
      <c r="BV119" s="182"/>
      <c r="BW119" s="182"/>
      <c r="BX119" s="182"/>
      <c r="BY119" s="182"/>
      <c r="BZ119" s="182"/>
      <c r="CA119" s="182"/>
      <c r="CB119" s="185">
        <f t="shared" si="21"/>
        <v>4501.95</v>
      </c>
      <c r="CC119" s="185">
        <f t="shared" si="22"/>
        <v>0</v>
      </c>
      <c r="CD119" s="185">
        <f t="shared" si="23"/>
        <v>499</v>
      </c>
      <c r="CE119" s="185" t="e">
        <f>+#REF!</f>
        <v>#REF!</v>
      </c>
    </row>
    <row r="120" spans="2:83" s="197" customFormat="1" ht="37.5" x14ac:dyDescent="0.3">
      <c r="B120" s="182">
        <v>948</v>
      </c>
      <c r="C120" s="182">
        <v>500</v>
      </c>
      <c r="D120" s="182" t="s">
        <v>325</v>
      </c>
      <c r="E120" s="181" t="str">
        <f>+E119</f>
        <v>حفل برنامج دولى</v>
      </c>
      <c r="F120" s="182"/>
      <c r="G120" s="182">
        <v>3224.38</v>
      </c>
      <c r="H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5">
        <f t="shared" si="20"/>
        <v>3224.38</v>
      </c>
      <c r="AR120" s="182">
        <v>2155.85</v>
      </c>
      <c r="AS120" s="182">
        <v>291.64999999999998</v>
      </c>
      <c r="AT120" s="182">
        <v>776.88</v>
      </c>
      <c r="AU120" s="182"/>
      <c r="AV120" s="182"/>
      <c r="AW120" s="182"/>
      <c r="AX120" s="182"/>
      <c r="AY120" s="182"/>
      <c r="AZ120" s="182"/>
      <c r="BA120" s="182"/>
      <c r="BB120" s="182"/>
      <c r="BC120" s="182"/>
      <c r="BD120" s="182"/>
      <c r="BE120" s="182"/>
      <c r="BF120" s="182"/>
      <c r="BG120" s="182"/>
      <c r="BH120" s="182"/>
      <c r="BI120" s="182"/>
      <c r="BJ120" s="182"/>
      <c r="BK120" s="182"/>
      <c r="BL120" s="182"/>
      <c r="BM120" s="182"/>
      <c r="BN120" s="182"/>
      <c r="BO120" s="182"/>
      <c r="BP120" s="182"/>
      <c r="BQ120" s="182"/>
      <c r="BR120" s="182"/>
      <c r="BS120" s="182"/>
      <c r="BT120" s="182"/>
      <c r="BU120" s="182"/>
      <c r="BV120" s="182"/>
      <c r="BW120" s="182"/>
      <c r="BX120" s="182"/>
      <c r="BY120" s="182"/>
      <c r="BZ120" s="182"/>
      <c r="CA120" s="182"/>
      <c r="CB120" s="185">
        <f t="shared" si="21"/>
        <v>3224.38</v>
      </c>
      <c r="CC120" s="185">
        <f t="shared" si="22"/>
        <v>0</v>
      </c>
      <c r="CD120" s="185">
        <f t="shared" si="23"/>
        <v>500</v>
      </c>
      <c r="CE120" s="185" t="e">
        <f>+#REF!</f>
        <v>#REF!</v>
      </c>
    </row>
    <row r="121" spans="2:83" s="197" customFormat="1" ht="37.5" x14ac:dyDescent="0.3">
      <c r="B121" s="182">
        <v>946</v>
      </c>
      <c r="C121" s="182">
        <v>501</v>
      </c>
      <c r="D121" s="182" t="s">
        <v>325</v>
      </c>
      <c r="E121" s="181" t="str">
        <f>+E120</f>
        <v>حفل برنامج دولى</v>
      </c>
      <c r="F121" s="182"/>
      <c r="G121" s="182">
        <v>3517.51</v>
      </c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5">
        <f t="shared" si="20"/>
        <v>3517.51</v>
      </c>
      <c r="AR121" s="182">
        <v>2351.65</v>
      </c>
      <c r="AS121" s="182">
        <v>318.35000000000002</v>
      </c>
      <c r="AT121" s="182">
        <v>847.51</v>
      </c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5">
        <f t="shared" si="21"/>
        <v>3517.51</v>
      </c>
      <c r="CC121" s="185">
        <f t="shared" si="22"/>
        <v>0</v>
      </c>
      <c r="CD121" s="185">
        <f t="shared" si="23"/>
        <v>501</v>
      </c>
      <c r="CE121" s="185" t="e">
        <f>+#REF!</f>
        <v>#REF!</v>
      </c>
    </row>
    <row r="122" spans="2:83" s="197" customFormat="1" ht="37.5" x14ac:dyDescent="0.3">
      <c r="B122" s="182">
        <v>945</v>
      </c>
      <c r="C122" s="182">
        <v>502</v>
      </c>
      <c r="D122" s="182" t="s">
        <v>325</v>
      </c>
      <c r="E122" s="181" t="str">
        <f>+E121</f>
        <v>حفل برنامج دولى</v>
      </c>
      <c r="F122" s="182"/>
      <c r="G122" s="182">
        <v>4581.25</v>
      </c>
      <c r="H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5">
        <f t="shared" si="20"/>
        <v>4581.25</v>
      </c>
      <c r="AR122" s="182">
        <v>3431.65</v>
      </c>
      <c r="AS122" s="182">
        <v>443.35</v>
      </c>
      <c r="AT122" s="182">
        <v>706.25</v>
      </c>
      <c r="AU122" s="182"/>
      <c r="AV122" s="182"/>
      <c r="AW122" s="182"/>
      <c r="AX122" s="182"/>
      <c r="AY122" s="182"/>
      <c r="AZ122" s="182"/>
      <c r="BA122" s="182"/>
      <c r="BB122" s="182"/>
      <c r="BC122" s="182"/>
      <c r="BD122" s="182"/>
      <c r="BE122" s="182"/>
      <c r="BF122" s="182"/>
      <c r="BG122" s="182"/>
      <c r="BH122" s="182"/>
      <c r="BI122" s="182"/>
      <c r="BJ122" s="182"/>
      <c r="BK122" s="182"/>
      <c r="BL122" s="182"/>
      <c r="BM122" s="182"/>
      <c r="BN122" s="182"/>
      <c r="BO122" s="182"/>
      <c r="BP122" s="182"/>
      <c r="BQ122" s="182"/>
      <c r="BR122" s="182"/>
      <c r="BS122" s="182"/>
      <c r="BT122" s="182"/>
      <c r="BU122" s="182"/>
      <c r="BV122" s="182"/>
      <c r="BW122" s="182"/>
      <c r="BX122" s="182"/>
      <c r="BY122" s="182"/>
      <c r="BZ122" s="182"/>
      <c r="CA122" s="182"/>
      <c r="CB122" s="185">
        <f t="shared" si="21"/>
        <v>4581.25</v>
      </c>
      <c r="CC122" s="185">
        <f t="shared" si="22"/>
        <v>0</v>
      </c>
      <c r="CD122" s="185">
        <f t="shared" si="23"/>
        <v>502</v>
      </c>
      <c r="CE122" s="185" t="e">
        <f>+#REF!</f>
        <v>#REF!</v>
      </c>
    </row>
    <row r="123" spans="2:83" s="197" customFormat="1" ht="37.5" x14ac:dyDescent="0.3">
      <c r="B123" s="182">
        <v>937</v>
      </c>
      <c r="C123" s="182">
        <v>503</v>
      </c>
      <c r="D123" s="182" t="s">
        <v>325</v>
      </c>
      <c r="E123" s="181" t="str">
        <f>+E122</f>
        <v>حفل برنامج دولى</v>
      </c>
      <c r="F123" s="182"/>
      <c r="G123" s="182">
        <v>586.25</v>
      </c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5">
        <f t="shared" si="20"/>
        <v>586.25</v>
      </c>
      <c r="AR123" s="182">
        <v>392.4</v>
      </c>
      <c r="AS123" s="182">
        <v>52.6</v>
      </c>
      <c r="AT123" s="182">
        <v>141.25</v>
      </c>
      <c r="AU123" s="182"/>
      <c r="AV123" s="182"/>
      <c r="AW123" s="182"/>
      <c r="AX123" s="182"/>
      <c r="AY123" s="182"/>
      <c r="AZ123" s="182"/>
      <c r="BA123" s="182"/>
      <c r="BB123" s="182"/>
      <c r="BC123" s="182"/>
      <c r="BD123" s="182"/>
      <c r="BE123" s="182"/>
      <c r="BF123" s="182"/>
      <c r="BG123" s="182"/>
      <c r="BH123" s="182"/>
      <c r="BI123" s="182"/>
      <c r="BJ123" s="182"/>
      <c r="BK123" s="182"/>
      <c r="BL123" s="182"/>
      <c r="BM123" s="182"/>
      <c r="BN123" s="182"/>
      <c r="BO123" s="182"/>
      <c r="BP123" s="182"/>
      <c r="BQ123" s="182"/>
      <c r="BR123" s="182"/>
      <c r="BS123" s="182"/>
      <c r="BT123" s="182"/>
      <c r="BU123" s="182"/>
      <c r="BV123" s="182"/>
      <c r="BW123" s="182"/>
      <c r="BX123" s="182"/>
      <c r="BY123" s="182"/>
      <c r="BZ123" s="182"/>
      <c r="CA123" s="182"/>
      <c r="CB123" s="185">
        <f t="shared" si="21"/>
        <v>586.25</v>
      </c>
      <c r="CC123" s="185">
        <f t="shared" si="22"/>
        <v>0</v>
      </c>
      <c r="CD123" s="185">
        <f t="shared" si="23"/>
        <v>503</v>
      </c>
      <c r="CE123" s="185" t="e">
        <f>+#REF!</f>
        <v>#REF!</v>
      </c>
    </row>
    <row r="124" spans="2:83" s="197" customFormat="1" ht="37.5" x14ac:dyDescent="0.3">
      <c r="B124" s="182">
        <v>936</v>
      </c>
      <c r="C124" s="182">
        <v>504</v>
      </c>
      <c r="D124" s="182" t="s">
        <v>325</v>
      </c>
      <c r="E124" s="181" t="str">
        <f>+E123</f>
        <v>حفل برنامج دولى</v>
      </c>
      <c r="F124" s="182"/>
      <c r="G124" s="182">
        <v>938</v>
      </c>
      <c r="H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2"/>
      <c r="AH124" s="182"/>
      <c r="AI124" s="182"/>
      <c r="AJ124" s="182"/>
      <c r="AK124" s="182"/>
      <c r="AL124" s="182"/>
      <c r="AM124" s="182"/>
      <c r="AN124" s="182"/>
      <c r="AO124" s="182"/>
      <c r="AP124" s="182"/>
      <c r="AQ124" s="185">
        <f t="shared" si="20"/>
        <v>938</v>
      </c>
      <c r="AR124" s="182">
        <v>627.95000000000005</v>
      </c>
      <c r="AS124" s="182">
        <v>84.05</v>
      </c>
      <c r="AT124" s="182">
        <v>226</v>
      </c>
      <c r="AU124" s="182"/>
      <c r="AV124" s="182"/>
      <c r="AW124" s="182"/>
      <c r="AX124" s="182"/>
      <c r="AY124" s="182"/>
      <c r="AZ124" s="182"/>
      <c r="BA124" s="182"/>
      <c r="BB124" s="182"/>
      <c r="BC124" s="182"/>
      <c r="BD124" s="182"/>
      <c r="BE124" s="182"/>
      <c r="BF124" s="182"/>
      <c r="BG124" s="182"/>
      <c r="BH124" s="182"/>
      <c r="BI124" s="182"/>
      <c r="BJ124" s="182"/>
      <c r="BK124" s="182"/>
      <c r="BL124" s="182"/>
      <c r="BM124" s="182"/>
      <c r="BN124" s="182"/>
      <c r="BO124" s="182"/>
      <c r="BP124" s="182"/>
      <c r="BQ124" s="182"/>
      <c r="BR124" s="182"/>
      <c r="BS124" s="182"/>
      <c r="BT124" s="182"/>
      <c r="BU124" s="182"/>
      <c r="BV124" s="182"/>
      <c r="BW124" s="182"/>
      <c r="BX124" s="182"/>
      <c r="BY124" s="182"/>
      <c r="BZ124" s="182"/>
      <c r="CA124" s="182"/>
      <c r="CB124" s="185">
        <f t="shared" si="21"/>
        <v>938</v>
      </c>
      <c r="CC124" s="185">
        <f t="shared" si="22"/>
        <v>0</v>
      </c>
      <c r="CD124" s="185">
        <f t="shared" si="23"/>
        <v>504</v>
      </c>
      <c r="CE124" s="185" t="e">
        <f>+#REF!</f>
        <v>#REF!</v>
      </c>
    </row>
    <row r="125" spans="2:83" s="197" customFormat="1" ht="37.5" x14ac:dyDescent="0.3">
      <c r="B125" s="182">
        <v>954</v>
      </c>
      <c r="C125" s="182">
        <v>505</v>
      </c>
      <c r="D125" s="182" t="s">
        <v>325</v>
      </c>
      <c r="E125" s="181" t="str">
        <f>+E115</f>
        <v>مكافاه ابحاث اكلينكيه</v>
      </c>
      <c r="F125" s="182"/>
      <c r="G125" s="182">
        <v>2345</v>
      </c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5">
        <f t="shared" ref="AQ125:AQ156" si="24">SUM(G125:AP125)</f>
        <v>2345</v>
      </c>
      <c r="AR125" s="182">
        <v>1567</v>
      </c>
      <c r="AS125" s="182">
        <f>13+200</f>
        <v>213</v>
      </c>
      <c r="AT125" s="182">
        <v>565</v>
      </c>
      <c r="AU125" s="182"/>
      <c r="AV125" s="182"/>
      <c r="AW125" s="182"/>
      <c r="AX125" s="182"/>
      <c r="AY125" s="182"/>
      <c r="AZ125" s="182"/>
      <c r="BA125" s="182"/>
      <c r="BB125" s="182"/>
      <c r="BC125" s="182"/>
      <c r="BD125" s="182"/>
      <c r="BE125" s="182"/>
      <c r="BF125" s="182"/>
      <c r="BG125" s="182"/>
      <c r="BH125" s="182"/>
      <c r="BI125" s="182"/>
      <c r="BJ125" s="182"/>
      <c r="BK125" s="182"/>
      <c r="BL125" s="182"/>
      <c r="BM125" s="182"/>
      <c r="BN125" s="182"/>
      <c r="BO125" s="182"/>
      <c r="BP125" s="182"/>
      <c r="BQ125" s="182"/>
      <c r="BR125" s="182"/>
      <c r="BS125" s="182"/>
      <c r="BT125" s="182"/>
      <c r="BU125" s="182"/>
      <c r="BV125" s="182"/>
      <c r="BW125" s="182"/>
      <c r="BX125" s="182"/>
      <c r="BY125" s="182"/>
      <c r="BZ125" s="182"/>
      <c r="CA125" s="182"/>
      <c r="CB125" s="185">
        <f t="shared" ref="CB125:CB156" si="25">SUM(AR125:CA125)</f>
        <v>2345</v>
      </c>
      <c r="CC125" s="185">
        <f t="shared" ref="CC125:CC156" si="26">+CB125-AQ125</f>
        <v>0</v>
      </c>
      <c r="CD125" s="185">
        <f t="shared" ref="CD125:CD156" si="27">+C125</f>
        <v>505</v>
      </c>
      <c r="CE125" s="185" t="e">
        <f>+#REF!</f>
        <v>#REF!</v>
      </c>
    </row>
    <row r="126" spans="2:83" s="197" customFormat="1" ht="37.5" x14ac:dyDescent="0.3">
      <c r="B126" s="182">
        <v>956</v>
      </c>
      <c r="C126" s="182">
        <v>506</v>
      </c>
      <c r="D126" s="182" t="s">
        <v>325</v>
      </c>
      <c r="E126" s="181" t="str">
        <f>+E125</f>
        <v>مكافاه ابحاث اكلينكيه</v>
      </c>
      <c r="F126" s="182"/>
      <c r="G126" s="182">
        <v>3327.83</v>
      </c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5">
        <f t="shared" si="24"/>
        <v>3327.83</v>
      </c>
      <c r="AR126" s="182">
        <v>2970.8</v>
      </c>
      <c r="AS126" s="182">
        <v>357.03</v>
      </c>
      <c r="AT126" s="182"/>
      <c r="AU126" s="182"/>
      <c r="AV126" s="182"/>
      <c r="AW126" s="182"/>
      <c r="AX126" s="182"/>
      <c r="AY126" s="182"/>
      <c r="AZ126" s="182"/>
      <c r="BA126" s="182"/>
      <c r="BB126" s="182"/>
      <c r="BC126" s="182"/>
      <c r="BD126" s="182"/>
      <c r="BE126" s="182"/>
      <c r="BF126" s="182"/>
      <c r="BG126" s="182"/>
      <c r="BH126" s="182"/>
      <c r="BI126" s="182"/>
      <c r="BJ126" s="182"/>
      <c r="BK126" s="182"/>
      <c r="BL126" s="182"/>
      <c r="BM126" s="182"/>
      <c r="BN126" s="182"/>
      <c r="BO126" s="182"/>
      <c r="BP126" s="182"/>
      <c r="BQ126" s="182"/>
      <c r="BR126" s="182"/>
      <c r="BS126" s="182"/>
      <c r="BT126" s="182"/>
      <c r="BU126" s="182"/>
      <c r="BV126" s="182"/>
      <c r="BW126" s="182"/>
      <c r="BX126" s="182"/>
      <c r="BY126" s="182"/>
      <c r="BZ126" s="182"/>
      <c r="CA126" s="182"/>
      <c r="CB126" s="185">
        <f t="shared" si="25"/>
        <v>3327.83</v>
      </c>
      <c r="CC126" s="185">
        <f t="shared" si="26"/>
        <v>0</v>
      </c>
      <c r="CD126" s="185">
        <f t="shared" si="27"/>
        <v>506</v>
      </c>
      <c r="CE126" s="185" t="e">
        <f>+#REF!</f>
        <v>#REF!</v>
      </c>
    </row>
    <row r="127" spans="2:83" s="197" customFormat="1" ht="37.5" x14ac:dyDescent="0.3">
      <c r="B127" s="182">
        <v>957</v>
      </c>
      <c r="C127" s="182">
        <v>507</v>
      </c>
      <c r="D127" s="182" t="s">
        <v>325</v>
      </c>
      <c r="E127" s="181" t="str">
        <f>+E126</f>
        <v>مكافاه ابحاث اكلينكيه</v>
      </c>
      <c r="F127" s="182"/>
      <c r="G127" s="182">
        <v>4008.33</v>
      </c>
      <c r="H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  <c r="Z127" s="182"/>
      <c r="AA127" s="182"/>
      <c r="AB127" s="182"/>
      <c r="AC127" s="182"/>
      <c r="AD127" s="182"/>
      <c r="AE127" s="182"/>
      <c r="AF127" s="182"/>
      <c r="AG127" s="182"/>
      <c r="AH127" s="182"/>
      <c r="AI127" s="182"/>
      <c r="AJ127" s="182"/>
      <c r="AK127" s="182"/>
      <c r="AL127" s="182"/>
      <c r="AM127" s="182"/>
      <c r="AN127" s="182"/>
      <c r="AO127" s="182"/>
      <c r="AP127" s="182"/>
      <c r="AQ127" s="185">
        <f t="shared" si="24"/>
        <v>4008.33</v>
      </c>
      <c r="AR127" s="182">
        <v>3459.04</v>
      </c>
      <c r="AS127" s="182">
        <f>28.05+393</f>
        <v>421.05</v>
      </c>
      <c r="AT127" s="182">
        <v>128.24</v>
      </c>
      <c r="AU127" s="182"/>
      <c r="AV127" s="182"/>
      <c r="AW127" s="182"/>
      <c r="AX127" s="182"/>
      <c r="AY127" s="182"/>
      <c r="AZ127" s="182"/>
      <c r="BA127" s="182"/>
      <c r="BB127" s="182"/>
      <c r="BC127" s="182"/>
      <c r="BD127" s="182"/>
      <c r="BE127" s="182"/>
      <c r="BF127" s="182"/>
      <c r="BG127" s="182"/>
      <c r="BH127" s="182"/>
      <c r="BI127" s="182"/>
      <c r="BJ127" s="182"/>
      <c r="BK127" s="182"/>
      <c r="BL127" s="182"/>
      <c r="BM127" s="182"/>
      <c r="BN127" s="182"/>
      <c r="BO127" s="182"/>
      <c r="BP127" s="182"/>
      <c r="BQ127" s="182"/>
      <c r="BR127" s="182"/>
      <c r="BS127" s="182"/>
      <c r="BT127" s="182"/>
      <c r="BU127" s="182"/>
      <c r="BV127" s="182"/>
      <c r="BW127" s="182"/>
      <c r="BX127" s="182"/>
      <c r="BY127" s="182"/>
      <c r="BZ127" s="182"/>
      <c r="CA127" s="182"/>
      <c r="CB127" s="185">
        <f t="shared" si="25"/>
        <v>4008.33</v>
      </c>
      <c r="CC127" s="185">
        <f t="shared" si="26"/>
        <v>0</v>
      </c>
      <c r="CD127" s="185">
        <f t="shared" si="27"/>
        <v>507</v>
      </c>
      <c r="CE127" s="185" t="e">
        <f>+#REF!</f>
        <v>#REF!</v>
      </c>
    </row>
    <row r="128" spans="2:83" s="197" customFormat="1" ht="37.5" x14ac:dyDescent="0.3">
      <c r="B128" s="182">
        <v>944</v>
      </c>
      <c r="C128" s="182">
        <v>508</v>
      </c>
      <c r="D128" s="182" t="s">
        <v>325</v>
      </c>
      <c r="E128" s="181" t="s">
        <v>4588</v>
      </c>
      <c r="F128" s="182"/>
      <c r="G128" s="182">
        <v>1641.5</v>
      </c>
      <c r="H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5">
        <f t="shared" si="24"/>
        <v>1641.5</v>
      </c>
      <c r="AR128" s="182">
        <v>1098.0999999999999</v>
      </c>
      <c r="AS128" s="182">
        <v>147.9</v>
      </c>
      <c r="AT128" s="182">
        <v>395.5</v>
      </c>
      <c r="AU128" s="182"/>
      <c r="AV128" s="182"/>
      <c r="AW128" s="182"/>
      <c r="AX128" s="182"/>
      <c r="AY128" s="182"/>
      <c r="AZ128" s="182"/>
      <c r="BA128" s="182"/>
      <c r="BB128" s="182"/>
      <c r="BC128" s="182"/>
      <c r="BD128" s="182"/>
      <c r="BE128" s="182"/>
      <c r="BF128" s="182"/>
      <c r="BG128" s="182"/>
      <c r="BH128" s="182"/>
      <c r="BI128" s="182"/>
      <c r="BJ128" s="182"/>
      <c r="BK128" s="182"/>
      <c r="BL128" s="182"/>
      <c r="BM128" s="182"/>
      <c r="BN128" s="182"/>
      <c r="BO128" s="182"/>
      <c r="BP128" s="182"/>
      <c r="BQ128" s="182"/>
      <c r="BR128" s="182"/>
      <c r="BS128" s="182"/>
      <c r="BT128" s="182"/>
      <c r="BU128" s="182"/>
      <c r="BV128" s="182"/>
      <c r="BW128" s="182"/>
      <c r="BX128" s="182"/>
      <c r="BY128" s="182"/>
      <c r="BZ128" s="182"/>
      <c r="CA128" s="182"/>
      <c r="CB128" s="185">
        <f t="shared" si="25"/>
        <v>1641.5</v>
      </c>
      <c r="CC128" s="185">
        <f t="shared" si="26"/>
        <v>0</v>
      </c>
      <c r="CD128" s="185">
        <f t="shared" si="27"/>
        <v>508</v>
      </c>
      <c r="CE128" s="185" t="e">
        <f>+#REF!</f>
        <v>#REF!</v>
      </c>
    </row>
    <row r="129" spans="2:83" s="197" customFormat="1" ht="37.5" x14ac:dyDescent="0.3">
      <c r="B129" s="182">
        <v>943</v>
      </c>
      <c r="C129" s="182">
        <v>509</v>
      </c>
      <c r="D129" s="182" t="s">
        <v>325</v>
      </c>
      <c r="E129" s="181" t="s">
        <v>4588</v>
      </c>
      <c r="F129" s="182"/>
      <c r="G129" s="182">
        <v>469</v>
      </c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5">
        <f t="shared" si="24"/>
        <v>469</v>
      </c>
      <c r="AR129" s="182">
        <v>314</v>
      </c>
      <c r="AS129" s="182">
        <v>42</v>
      </c>
      <c r="AT129" s="182">
        <v>113</v>
      </c>
      <c r="AU129" s="182"/>
      <c r="AV129" s="182"/>
      <c r="AW129" s="182"/>
      <c r="AX129" s="182"/>
      <c r="AY129" s="182"/>
      <c r="AZ129" s="182"/>
      <c r="BA129" s="182"/>
      <c r="BB129" s="182"/>
      <c r="BC129" s="182"/>
      <c r="BD129" s="182"/>
      <c r="BE129" s="182"/>
      <c r="BF129" s="182"/>
      <c r="BG129" s="182"/>
      <c r="BH129" s="182"/>
      <c r="BI129" s="182"/>
      <c r="BJ129" s="182"/>
      <c r="BK129" s="182"/>
      <c r="BL129" s="182"/>
      <c r="BM129" s="182"/>
      <c r="BN129" s="182"/>
      <c r="BO129" s="182"/>
      <c r="BP129" s="182"/>
      <c r="BQ129" s="182"/>
      <c r="BR129" s="182"/>
      <c r="BS129" s="182"/>
      <c r="BT129" s="182"/>
      <c r="BU129" s="182"/>
      <c r="BV129" s="182"/>
      <c r="BW129" s="182"/>
      <c r="BX129" s="182"/>
      <c r="BY129" s="182"/>
      <c r="BZ129" s="182"/>
      <c r="CA129" s="182"/>
      <c r="CB129" s="185">
        <f t="shared" si="25"/>
        <v>469</v>
      </c>
      <c r="CC129" s="185">
        <f t="shared" si="26"/>
        <v>0</v>
      </c>
      <c r="CD129" s="185">
        <f t="shared" si="27"/>
        <v>509</v>
      </c>
      <c r="CE129" s="185" t="e">
        <f>+#REF!</f>
        <v>#REF!</v>
      </c>
    </row>
    <row r="130" spans="2:83" s="197" customFormat="1" ht="37.5" x14ac:dyDescent="0.3">
      <c r="B130" s="182">
        <v>942</v>
      </c>
      <c r="C130" s="182">
        <v>510</v>
      </c>
      <c r="D130" s="182" t="s">
        <v>325</v>
      </c>
      <c r="E130" s="181" t="s">
        <v>4588</v>
      </c>
      <c r="F130" s="182"/>
      <c r="G130" s="182">
        <v>8889.52</v>
      </c>
      <c r="H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  <c r="Z130" s="182"/>
      <c r="AA130" s="182"/>
      <c r="AB130" s="182"/>
      <c r="AC130" s="182"/>
      <c r="AD130" s="182"/>
      <c r="AE130" s="182"/>
      <c r="AF130" s="182"/>
      <c r="AG130" s="182"/>
      <c r="AH130" s="182"/>
      <c r="AI130" s="182"/>
      <c r="AJ130" s="182"/>
      <c r="AK130" s="182"/>
      <c r="AL130" s="182"/>
      <c r="AM130" s="182"/>
      <c r="AN130" s="182"/>
      <c r="AO130" s="182"/>
      <c r="AP130" s="182"/>
      <c r="AQ130" s="185">
        <f t="shared" si="24"/>
        <v>8889.52</v>
      </c>
      <c r="AR130" s="182">
        <v>5900.92</v>
      </c>
      <c r="AS130" s="182">
        <v>794.9</v>
      </c>
      <c r="AT130" s="182">
        <v>2193.6999999999998</v>
      </c>
      <c r="AU130" s="182"/>
      <c r="AV130" s="182"/>
      <c r="AW130" s="182"/>
      <c r="AX130" s="182"/>
      <c r="AY130" s="182"/>
      <c r="AZ130" s="182"/>
      <c r="BA130" s="182"/>
      <c r="BB130" s="182"/>
      <c r="BC130" s="182"/>
      <c r="BD130" s="182"/>
      <c r="BE130" s="182"/>
      <c r="BF130" s="182"/>
      <c r="BG130" s="182"/>
      <c r="BH130" s="182"/>
      <c r="BI130" s="182"/>
      <c r="BJ130" s="182"/>
      <c r="BK130" s="182"/>
      <c r="BL130" s="182"/>
      <c r="BM130" s="182"/>
      <c r="BN130" s="182"/>
      <c r="BO130" s="182"/>
      <c r="BP130" s="182"/>
      <c r="BQ130" s="182"/>
      <c r="BR130" s="182"/>
      <c r="BS130" s="182"/>
      <c r="BT130" s="182"/>
      <c r="BU130" s="182"/>
      <c r="BV130" s="182"/>
      <c r="BW130" s="182"/>
      <c r="BX130" s="182"/>
      <c r="BY130" s="182"/>
      <c r="BZ130" s="182"/>
      <c r="CA130" s="182"/>
      <c r="CB130" s="185">
        <f t="shared" si="25"/>
        <v>8889.52</v>
      </c>
      <c r="CC130" s="185">
        <f t="shared" si="26"/>
        <v>0</v>
      </c>
      <c r="CD130" s="185">
        <f t="shared" si="27"/>
        <v>510</v>
      </c>
      <c r="CE130" s="185" t="e">
        <f>+#REF!</f>
        <v>#REF!</v>
      </c>
    </row>
    <row r="131" spans="2:83" s="197" customFormat="1" ht="37.5" x14ac:dyDescent="0.3">
      <c r="B131" s="182">
        <v>941</v>
      </c>
      <c r="C131" s="182">
        <v>511</v>
      </c>
      <c r="D131" s="182" t="s">
        <v>325</v>
      </c>
      <c r="E131" s="181" t="s">
        <v>4589</v>
      </c>
      <c r="F131" s="182"/>
      <c r="G131" s="182">
        <v>7386.75</v>
      </c>
      <c r="H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  <c r="Z131" s="182"/>
      <c r="AA131" s="182"/>
      <c r="AB131" s="182"/>
      <c r="AC131" s="182"/>
      <c r="AD131" s="182"/>
      <c r="AE131" s="182"/>
      <c r="AF131" s="182"/>
      <c r="AG131" s="182"/>
      <c r="AH131" s="182"/>
      <c r="AI131" s="182"/>
      <c r="AJ131" s="182"/>
      <c r="AK131" s="182"/>
      <c r="AL131" s="182"/>
      <c r="AM131" s="182"/>
      <c r="AN131" s="182"/>
      <c r="AO131" s="182"/>
      <c r="AP131" s="182"/>
      <c r="AQ131" s="185">
        <f t="shared" si="24"/>
        <v>7386.75</v>
      </c>
      <c r="AR131" s="182">
        <v>4938.6000000000004</v>
      </c>
      <c r="AS131" s="182">
        <v>668.4</v>
      </c>
      <c r="AT131" s="182">
        <v>1779.75</v>
      </c>
      <c r="AU131" s="182"/>
      <c r="AV131" s="182"/>
      <c r="AW131" s="182"/>
      <c r="AX131" s="182"/>
      <c r="AY131" s="182"/>
      <c r="AZ131" s="182"/>
      <c r="BA131" s="182"/>
      <c r="BB131" s="182"/>
      <c r="BC131" s="182"/>
      <c r="BD131" s="182"/>
      <c r="BE131" s="182"/>
      <c r="BF131" s="182"/>
      <c r="BG131" s="182"/>
      <c r="BH131" s="182"/>
      <c r="BI131" s="182"/>
      <c r="BJ131" s="182"/>
      <c r="BK131" s="182"/>
      <c r="BL131" s="182"/>
      <c r="BM131" s="182"/>
      <c r="BN131" s="182"/>
      <c r="BO131" s="182"/>
      <c r="BP131" s="182"/>
      <c r="BQ131" s="182"/>
      <c r="BR131" s="182"/>
      <c r="BS131" s="182"/>
      <c r="BT131" s="182"/>
      <c r="BU131" s="182"/>
      <c r="BV131" s="182"/>
      <c r="BW131" s="182"/>
      <c r="BX131" s="182"/>
      <c r="BY131" s="182"/>
      <c r="BZ131" s="182"/>
      <c r="CA131" s="182"/>
      <c r="CB131" s="185">
        <f t="shared" si="25"/>
        <v>7386.75</v>
      </c>
      <c r="CC131" s="185">
        <f t="shared" si="26"/>
        <v>0</v>
      </c>
      <c r="CD131" s="185">
        <f t="shared" si="27"/>
        <v>511</v>
      </c>
      <c r="CE131" s="185" t="e">
        <f>+#REF!</f>
        <v>#REF!</v>
      </c>
    </row>
    <row r="132" spans="2:83" s="197" customFormat="1" ht="37.5" x14ac:dyDescent="0.3">
      <c r="B132" s="182">
        <v>940</v>
      </c>
      <c r="C132" s="182">
        <v>512</v>
      </c>
      <c r="D132" s="182" t="s">
        <v>325</v>
      </c>
      <c r="E132" s="181" t="s">
        <v>4589</v>
      </c>
      <c r="F132" s="182"/>
      <c r="G132" s="182">
        <v>3517.5</v>
      </c>
      <c r="H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  <c r="Z132" s="182"/>
      <c r="AA132" s="182"/>
      <c r="AB132" s="182"/>
      <c r="AC132" s="182"/>
      <c r="AD132" s="182"/>
      <c r="AE132" s="182"/>
      <c r="AF132" s="182"/>
      <c r="AG132" s="182"/>
      <c r="AH132" s="182"/>
      <c r="AI132" s="182"/>
      <c r="AJ132" s="182"/>
      <c r="AK132" s="182"/>
      <c r="AL132" s="182"/>
      <c r="AM132" s="182"/>
      <c r="AN132" s="182"/>
      <c r="AO132" s="182"/>
      <c r="AP132" s="182"/>
      <c r="AQ132" s="185">
        <f t="shared" si="24"/>
        <v>3517.5</v>
      </c>
      <c r="AR132" s="182">
        <v>2351.1</v>
      </c>
      <c r="AS132" s="182">
        <v>318.89999999999998</v>
      </c>
      <c r="AT132" s="182">
        <v>847.5</v>
      </c>
      <c r="AU132" s="182"/>
      <c r="AV132" s="182"/>
      <c r="AW132" s="182"/>
      <c r="AX132" s="182"/>
      <c r="AY132" s="182"/>
      <c r="AZ132" s="182"/>
      <c r="BA132" s="182"/>
      <c r="BB132" s="182"/>
      <c r="BC132" s="182"/>
      <c r="BD132" s="182"/>
      <c r="BE132" s="182"/>
      <c r="BF132" s="182"/>
      <c r="BG132" s="182"/>
      <c r="BH132" s="182"/>
      <c r="BI132" s="182"/>
      <c r="BJ132" s="182"/>
      <c r="BK132" s="182"/>
      <c r="BL132" s="182"/>
      <c r="BM132" s="182"/>
      <c r="BN132" s="182"/>
      <c r="BO132" s="182"/>
      <c r="BP132" s="182"/>
      <c r="BQ132" s="182"/>
      <c r="BR132" s="182"/>
      <c r="BS132" s="182"/>
      <c r="BT132" s="182"/>
      <c r="BU132" s="182"/>
      <c r="BV132" s="182"/>
      <c r="BW132" s="182"/>
      <c r="BX132" s="182"/>
      <c r="BY132" s="182"/>
      <c r="BZ132" s="182"/>
      <c r="CA132" s="182"/>
      <c r="CB132" s="185">
        <f t="shared" si="25"/>
        <v>3517.5</v>
      </c>
      <c r="CC132" s="185">
        <f t="shared" si="26"/>
        <v>0</v>
      </c>
      <c r="CD132" s="185">
        <f t="shared" si="27"/>
        <v>512</v>
      </c>
      <c r="CE132" s="185" t="e">
        <f>+#REF!</f>
        <v>#REF!</v>
      </c>
    </row>
    <row r="133" spans="2:83" s="197" customFormat="1" ht="37.5" x14ac:dyDescent="0.3">
      <c r="B133" s="182">
        <v>952</v>
      </c>
      <c r="C133" s="182">
        <v>513</v>
      </c>
      <c r="D133" s="182" t="s">
        <v>325</v>
      </c>
      <c r="E133" s="181" t="s">
        <v>4590</v>
      </c>
      <c r="F133" s="182"/>
      <c r="G133" s="182">
        <v>2607</v>
      </c>
      <c r="H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  <c r="Z133" s="182"/>
      <c r="AA133" s="182"/>
      <c r="AB133" s="182"/>
      <c r="AC133" s="182"/>
      <c r="AD133" s="182"/>
      <c r="AE133" s="182"/>
      <c r="AF133" s="182"/>
      <c r="AG133" s="182"/>
      <c r="AH133" s="182"/>
      <c r="AI133" s="182"/>
      <c r="AJ133" s="182"/>
      <c r="AK133" s="182"/>
      <c r="AL133" s="182"/>
      <c r="AM133" s="182"/>
      <c r="AN133" s="182"/>
      <c r="AO133" s="182"/>
      <c r="AP133" s="182"/>
      <c r="AQ133" s="185">
        <f t="shared" si="24"/>
        <v>2607</v>
      </c>
      <c r="AR133" s="182">
        <v>2011.7</v>
      </c>
      <c r="AS133" s="182">
        <v>256.3</v>
      </c>
      <c r="AT133" s="182">
        <v>339</v>
      </c>
      <c r="AU133" s="182"/>
      <c r="AV133" s="182"/>
      <c r="AW133" s="182"/>
      <c r="AX133" s="182"/>
      <c r="AY133" s="182"/>
      <c r="AZ133" s="182"/>
      <c r="BA133" s="182"/>
      <c r="BB133" s="182"/>
      <c r="BC133" s="182"/>
      <c r="BD133" s="182"/>
      <c r="BE133" s="182"/>
      <c r="BF133" s="182"/>
      <c r="BG133" s="182"/>
      <c r="BH133" s="182"/>
      <c r="BI133" s="182"/>
      <c r="BJ133" s="182"/>
      <c r="BK133" s="182"/>
      <c r="BL133" s="182"/>
      <c r="BM133" s="182"/>
      <c r="BN133" s="182"/>
      <c r="BO133" s="182"/>
      <c r="BP133" s="182"/>
      <c r="BQ133" s="182"/>
      <c r="BR133" s="182"/>
      <c r="BS133" s="182"/>
      <c r="BT133" s="182"/>
      <c r="BU133" s="182"/>
      <c r="BV133" s="182"/>
      <c r="BW133" s="182"/>
      <c r="BX133" s="182"/>
      <c r="BY133" s="182"/>
      <c r="BZ133" s="182"/>
      <c r="CA133" s="182"/>
      <c r="CB133" s="185">
        <f t="shared" si="25"/>
        <v>2607</v>
      </c>
      <c r="CC133" s="185">
        <f t="shared" si="26"/>
        <v>0</v>
      </c>
      <c r="CD133" s="185">
        <f t="shared" si="27"/>
        <v>513</v>
      </c>
      <c r="CE133" s="185" t="e">
        <f>+#REF!</f>
        <v>#REF!</v>
      </c>
    </row>
    <row r="134" spans="2:83" s="197" customFormat="1" ht="37.5" x14ac:dyDescent="0.3">
      <c r="B134" s="182">
        <v>1057</v>
      </c>
      <c r="C134" s="182">
        <v>514</v>
      </c>
      <c r="D134" s="182" t="s">
        <v>325</v>
      </c>
      <c r="E134" s="181" t="s">
        <v>4591</v>
      </c>
      <c r="F134" s="182"/>
      <c r="G134" s="182">
        <v>633.15</v>
      </c>
      <c r="H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5">
        <f t="shared" si="24"/>
        <v>633.15</v>
      </c>
      <c r="AR134" s="182">
        <v>423.55</v>
      </c>
      <c r="AS134" s="182">
        <v>57.05</v>
      </c>
      <c r="AT134" s="182">
        <v>152.55000000000001</v>
      </c>
      <c r="AU134" s="182"/>
      <c r="AV134" s="182"/>
      <c r="AW134" s="182"/>
      <c r="AX134" s="182"/>
      <c r="AY134" s="182"/>
      <c r="AZ134" s="182"/>
      <c r="BA134" s="182"/>
      <c r="BB134" s="182"/>
      <c r="BC134" s="182"/>
      <c r="BD134" s="182"/>
      <c r="BE134" s="182"/>
      <c r="BF134" s="182"/>
      <c r="BG134" s="182"/>
      <c r="BH134" s="182"/>
      <c r="BI134" s="182"/>
      <c r="BJ134" s="182"/>
      <c r="BK134" s="182"/>
      <c r="BL134" s="182"/>
      <c r="BM134" s="182"/>
      <c r="BN134" s="182"/>
      <c r="BO134" s="182"/>
      <c r="BP134" s="182"/>
      <c r="BQ134" s="182"/>
      <c r="BR134" s="182"/>
      <c r="BS134" s="182"/>
      <c r="BT134" s="182"/>
      <c r="BU134" s="182"/>
      <c r="BV134" s="182"/>
      <c r="BW134" s="182"/>
      <c r="BX134" s="182"/>
      <c r="BY134" s="182"/>
      <c r="BZ134" s="182"/>
      <c r="CA134" s="182"/>
      <c r="CB134" s="185">
        <f t="shared" si="25"/>
        <v>633.15000000000009</v>
      </c>
      <c r="CC134" s="185">
        <f t="shared" si="26"/>
        <v>0</v>
      </c>
      <c r="CD134" s="185">
        <f t="shared" si="27"/>
        <v>514</v>
      </c>
      <c r="CE134" s="185" t="e">
        <f>+#REF!</f>
        <v>#REF!</v>
      </c>
    </row>
    <row r="135" spans="2:83" s="197" customFormat="1" ht="37.5" x14ac:dyDescent="0.3">
      <c r="B135" s="182">
        <v>1058</v>
      </c>
      <c r="C135" s="182">
        <v>515</v>
      </c>
      <c r="D135" s="182" t="s">
        <v>325</v>
      </c>
      <c r="E135" s="181" t="s">
        <v>4591</v>
      </c>
      <c r="F135" s="182"/>
      <c r="G135" s="182">
        <v>633.16</v>
      </c>
      <c r="H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5">
        <f t="shared" si="24"/>
        <v>633.16</v>
      </c>
      <c r="AR135" s="182">
        <v>424.8</v>
      </c>
      <c r="AS135" s="182">
        <v>55.8</v>
      </c>
      <c r="AT135" s="182">
        <v>152.56</v>
      </c>
      <c r="AU135" s="182"/>
      <c r="AV135" s="182"/>
      <c r="AW135" s="182"/>
      <c r="AX135" s="182"/>
      <c r="AY135" s="182"/>
      <c r="AZ135" s="182"/>
      <c r="BA135" s="182"/>
      <c r="BB135" s="182"/>
      <c r="BC135" s="182"/>
      <c r="BD135" s="182"/>
      <c r="BE135" s="182"/>
      <c r="BF135" s="182"/>
      <c r="BG135" s="182"/>
      <c r="BH135" s="182"/>
      <c r="BI135" s="182"/>
      <c r="BJ135" s="182"/>
      <c r="BK135" s="182"/>
      <c r="BL135" s="182"/>
      <c r="BM135" s="182"/>
      <c r="BN135" s="182"/>
      <c r="BO135" s="182"/>
      <c r="BP135" s="182"/>
      <c r="BQ135" s="182"/>
      <c r="BR135" s="182"/>
      <c r="BS135" s="182"/>
      <c r="BT135" s="182"/>
      <c r="BU135" s="182"/>
      <c r="BV135" s="182"/>
      <c r="BW135" s="182"/>
      <c r="BX135" s="182"/>
      <c r="BY135" s="182"/>
      <c r="BZ135" s="182"/>
      <c r="CA135" s="182"/>
      <c r="CB135" s="185">
        <f t="shared" si="25"/>
        <v>633.16000000000008</v>
      </c>
      <c r="CC135" s="185">
        <f t="shared" si="26"/>
        <v>0</v>
      </c>
      <c r="CD135" s="185">
        <f t="shared" si="27"/>
        <v>515</v>
      </c>
      <c r="CE135" s="185" t="e">
        <f>+#REF!</f>
        <v>#REF!</v>
      </c>
    </row>
    <row r="136" spans="2:83" s="197" customFormat="1" ht="37.5" x14ac:dyDescent="0.3">
      <c r="B136" s="182">
        <v>1052</v>
      </c>
      <c r="C136" s="182">
        <v>516</v>
      </c>
      <c r="D136" s="182" t="s">
        <v>325</v>
      </c>
      <c r="E136" s="181" t="s">
        <v>4592</v>
      </c>
      <c r="F136" s="182"/>
      <c r="G136" s="182">
        <v>2321.56</v>
      </c>
      <c r="H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  <c r="Z136" s="182"/>
      <c r="AA136" s="182"/>
      <c r="AB136" s="182"/>
      <c r="AC136" s="182"/>
      <c r="AD136" s="182"/>
      <c r="AE136" s="182"/>
      <c r="AF136" s="182"/>
      <c r="AG136" s="182"/>
      <c r="AH136" s="182"/>
      <c r="AI136" s="182"/>
      <c r="AJ136" s="182"/>
      <c r="AK136" s="182"/>
      <c r="AL136" s="182"/>
      <c r="AM136" s="182"/>
      <c r="AN136" s="182"/>
      <c r="AO136" s="182"/>
      <c r="AP136" s="182"/>
      <c r="AQ136" s="185">
        <f t="shared" si="24"/>
        <v>2321.56</v>
      </c>
      <c r="AR136" s="182">
        <v>1552.5</v>
      </c>
      <c r="AS136" s="182">
        <v>209.7</v>
      </c>
      <c r="AT136" s="182">
        <v>559.36</v>
      </c>
      <c r="AU136" s="182"/>
      <c r="AV136" s="182"/>
      <c r="AW136" s="182"/>
      <c r="AX136" s="182"/>
      <c r="AY136" s="182"/>
      <c r="AZ136" s="182"/>
      <c r="BA136" s="182"/>
      <c r="BB136" s="182"/>
      <c r="BC136" s="182"/>
      <c r="BD136" s="182"/>
      <c r="BE136" s="182"/>
      <c r="BF136" s="182"/>
      <c r="BG136" s="182"/>
      <c r="BH136" s="182"/>
      <c r="BI136" s="182"/>
      <c r="BJ136" s="182"/>
      <c r="BK136" s="182"/>
      <c r="BL136" s="182"/>
      <c r="BM136" s="182"/>
      <c r="BN136" s="182"/>
      <c r="BO136" s="182"/>
      <c r="BP136" s="182"/>
      <c r="BQ136" s="182"/>
      <c r="BR136" s="182"/>
      <c r="BS136" s="182"/>
      <c r="BT136" s="182"/>
      <c r="BU136" s="182"/>
      <c r="BV136" s="182"/>
      <c r="BW136" s="182"/>
      <c r="BX136" s="182"/>
      <c r="BY136" s="182"/>
      <c r="BZ136" s="182"/>
      <c r="CA136" s="182"/>
      <c r="CB136" s="185">
        <f t="shared" si="25"/>
        <v>2321.56</v>
      </c>
      <c r="CC136" s="185">
        <f t="shared" si="26"/>
        <v>0</v>
      </c>
      <c r="CD136" s="185">
        <f t="shared" si="27"/>
        <v>516</v>
      </c>
      <c r="CE136" s="185" t="e">
        <f>+#REF!</f>
        <v>#REF!</v>
      </c>
    </row>
    <row r="137" spans="2:83" s="197" customFormat="1" ht="37.5" x14ac:dyDescent="0.3">
      <c r="B137" s="182">
        <v>1048</v>
      </c>
      <c r="C137" s="182">
        <v>517</v>
      </c>
      <c r="D137" s="182" t="s">
        <v>325</v>
      </c>
      <c r="E137" s="181" t="s">
        <v>4592</v>
      </c>
      <c r="F137" s="182"/>
      <c r="G137" s="182">
        <v>2532.6</v>
      </c>
      <c r="H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5">
        <f t="shared" si="24"/>
        <v>2532.6</v>
      </c>
      <c r="AR137" s="182">
        <v>1690.55</v>
      </c>
      <c r="AS137" s="182">
        <f>15.85+216</f>
        <v>231.85</v>
      </c>
      <c r="AT137" s="182">
        <f>842.05-AS137</f>
        <v>610.19999999999993</v>
      </c>
      <c r="AU137" s="182"/>
      <c r="AV137" s="182"/>
      <c r="AW137" s="182"/>
      <c r="AX137" s="182"/>
      <c r="AY137" s="182"/>
      <c r="AZ137" s="182"/>
      <c r="BA137" s="182"/>
      <c r="BB137" s="182"/>
      <c r="BC137" s="182"/>
      <c r="BD137" s="182"/>
      <c r="BE137" s="182"/>
      <c r="BF137" s="182"/>
      <c r="BG137" s="182"/>
      <c r="BH137" s="182"/>
      <c r="BI137" s="182"/>
      <c r="BJ137" s="182"/>
      <c r="BK137" s="182"/>
      <c r="BL137" s="182"/>
      <c r="BM137" s="182"/>
      <c r="BN137" s="182"/>
      <c r="BO137" s="182"/>
      <c r="BP137" s="182"/>
      <c r="BQ137" s="182"/>
      <c r="BR137" s="182"/>
      <c r="BS137" s="182"/>
      <c r="BT137" s="182"/>
      <c r="BU137" s="182"/>
      <c r="BV137" s="182"/>
      <c r="BW137" s="182"/>
      <c r="BX137" s="182"/>
      <c r="BY137" s="182"/>
      <c r="BZ137" s="182"/>
      <c r="CA137" s="182"/>
      <c r="CB137" s="185">
        <f t="shared" si="25"/>
        <v>2532.6</v>
      </c>
      <c r="CC137" s="185">
        <f t="shared" si="26"/>
        <v>0</v>
      </c>
      <c r="CD137" s="185">
        <f t="shared" si="27"/>
        <v>517</v>
      </c>
      <c r="CE137" s="185" t="e">
        <f>+#REF!</f>
        <v>#REF!</v>
      </c>
    </row>
    <row r="138" spans="2:83" s="197" customFormat="1" ht="37.5" x14ac:dyDescent="0.3">
      <c r="B138" s="182">
        <v>1054</v>
      </c>
      <c r="C138" s="182">
        <v>518</v>
      </c>
      <c r="D138" s="182" t="s">
        <v>325</v>
      </c>
      <c r="E138" s="181" t="s">
        <v>4592</v>
      </c>
      <c r="F138" s="182"/>
      <c r="G138" s="182">
        <v>1746.78</v>
      </c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  <c r="AN138" s="182"/>
      <c r="AO138" s="182"/>
      <c r="AP138" s="182"/>
      <c r="AQ138" s="185">
        <f t="shared" si="24"/>
        <v>1746.78</v>
      </c>
      <c r="AR138" s="182">
        <v>1297.9100000000001</v>
      </c>
      <c r="AS138" s="182">
        <v>167.55</v>
      </c>
      <c r="AT138" s="182">
        <v>281.32</v>
      </c>
      <c r="AU138" s="182"/>
      <c r="AV138" s="182"/>
      <c r="AW138" s="182"/>
      <c r="AX138" s="182"/>
      <c r="AY138" s="182"/>
      <c r="AZ138" s="182"/>
      <c r="BA138" s="182"/>
      <c r="BB138" s="182"/>
      <c r="BC138" s="182"/>
      <c r="BD138" s="182"/>
      <c r="BE138" s="182"/>
      <c r="BF138" s="182"/>
      <c r="BG138" s="182"/>
      <c r="BH138" s="182"/>
      <c r="BI138" s="182"/>
      <c r="BJ138" s="182"/>
      <c r="BK138" s="182"/>
      <c r="BL138" s="182"/>
      <c r="BM138" s="182"/>
      <c r="BN138" s="182"/>
      <c r="BO138" s="182"/>
      <c r="BP138" s="182"/>
      <c r="BQ138" s="182"/>
      <c r="BR138" s="182"/>
      <c r="BS138" s="182"/>
      <c r="BT138" s="182"/>
      <c r="BU138" s="182"/>
      <c r="BV138" s="182"/>
      <c r="BW138" s="182"/>
      <c r="BX138" s="182"/>
      <c r="BY138" s="182"/>
      <c r="BZ138" s="182"/>
      <c r="CA138" s="182"/>
      <c r="CB138" s="185">
        <f t="shared" si="25"/>
        <v>1746.78</v>
      </c>
      <c r="CC138" s="185">
        <f t="shared" si="26"/>
        <v>0</v>
      </c>
      <c r="CD138" s="185">
        <f t="shared" si="27"/>
        <v>518</v>
      </c>
      <c r="CE138" s="185" t="e">
        <f>+#REF!</f>
        <v>#REF!</v>
      </c>
    </row>
    <row r="139" spans="2:83" s="197" customFormat="1" ht="37.5" x14ac:dyDescent="0.3">
      <c r="B139" s="182">
        <v>1055</v>
      </c>
      <c r="C139" s="182">
        <v>519</v>
      </c>
      <c r="D139" s="182" t="s">
        <v>325</v>
      </c>
      <c r="E139" s="181" t="s">
        <v>4592</v>
      </c>
      <c r="F139" s="182"/>
      <c r="G139" s="182">
        <v>1477.35</v>
      </c>
      <c r="H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  <c r="Z139" s="182"/>
      <c r="AA139" s="182"/>
      <c r="AB139" s="182"/>
      <c r="AC139" s="182"/>
      <c r="AD139" s="182"/>
      <c r="AE139" s="182"/>
      <c r="AF139" s="182"/>
      <c r="AG139" s="182"/>
      <c r="AH139" s="182"/>
      <c r="AI139" s="182"/>
      <c r="AJ139" s="182"/>
      <c r="AK139" s="182"/>
      <c r="AL139" s="182"/>
      <c r="AM139" s="182"/>
      <c r="AN139" s="182"/>
      <c r="AO139" s="182"/>
      <c r="AP139" s="182"/>
      <c r="AQ139" s="185">
        <f t="shared" si="24"/>
        <v>1477.35</v>
      </c>
      <c r="AR139" s="182">
        <v>987.35</v>
      </c>
      <c r="AS139" s="182">
        <v>134.05000000000001</v>
      </c>
      <c r="AT139" s="182">
        <v>355.95</v>
      </c>
      <c r="AU139" s="182"/>
      <c r="AV139" s="182"/>
      <c r="AW139" s="182"/>
      <c r="AX139" s="182"/>
      <c r="AY139" s="182"/>
      <c r="AZ139" s="182"/>
      <c r="BA139" s="182"/>
      <c r="BB139" s="182"/>
      <c r="BC139" s="182"/>
      <c r="BD139" s="182"/>
      <c r="BE139" s="182"/>
      <c r="BF139" s="182"/>
      <c r="BG139" s="182"/>
      <c r="BH139" s="182"/>
      <c r="BI139" s="182"/>
      <c r="BJ139" s="182"/>
      <c r="BK139" s="182"/>
      <c r="BL139" s="182"/>
      <c r="BM139" s="182"/>
      <c r="BN139" s="182"/>
      <c r="BO139" s="182"/>
      <c r="BP139" s="182"/>
      <c r="BQ139" s="182"/>
      <c r="BR139" s="182"/>
      <c r="BS139" s="182"/>
      <c r="BT139" s="182"/>
      <c r="BU139" s="182"/>
      <c r="BV139" s="182"/>
      <c r="BW139" s="182"/>
      <c r="BX139" s="182"/>
      <c r="BY139" s="182"/>
      <c r="BZ139" s="182"/>
      <c r="CA139" s="182"/>
      <c r="CB139" s="185">
        <f t="shared" si="25"/>
        <v>1477.3500000000001</v>
      </c>
      <c r="CC139" s="185">
        <f t="shared" si="26"/>
        <v>0</v>
      </c>
      <c r="CD139" s="185">
        <f t="shared" si="27"/>
        <v>519</v>
      </c>
      <c r="CE139" s="185" t="e">
        <f>+#REF!</f>
        <v>#REF!</v>
      </c>
    </row>
    <row r="140" spans="2:83" s="197" customFormat="1" ht="37.5" x14ac:dyDescent="0.3">
      <c r="B140" s="182">
        <v>1056</v>
      </c>
      <c r="C140" s="182">
        <v>520</v>
      </c>
      <c r="D140" s="182" t="s">
        <v>325</v>
      </c>
      <c r="E140" s="181" t="s">
        <v>4592</v>
      </c>
      <c r="F140" s="182"/>
      <c r="G140" s="182">
        <v>633.15</v>
      </c>
      <c r="H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5">
        <f t="shared" si="24"/>
        <v>633.15</v>
      </c>
      <c r="AR140" s="182">
        <v>423.55</v>
      </c>
      <c r="AS140" s="182">
        <v>57.05</v>
      </c>
      <c r="AT140" s="182">
        <v>152.55000000000001</v>
      </c>
      <c r="AU140" s="182"/>
      <c r="AV140" s="182"/>
      <c r="AW140" s="182"/>
      <c r="AX140" s="182"/>
      <c r="AY140" s="182"/>
      <c r="AZ140" s="182"/>
      <c r="BA140" s="182"/>
      <c r="BB140" s="182"/>
      <c r="BC140" s="182"/>
      <c r="BD140" s="182"/>
      <c r="BE140" s="182"/>
      <c r="BF140" s="182"/>
      <c r="BG140" s="182"/>
      <c r="BH140" s="182"/>
      <c r="BI140" s="182"/>
      <c r="BJ140" s="182"/>
      <c r="BK140" s="182"/>
      <c r="BL140" s="182"/>
      <c r="BM140" s="182"/>
      <c r="BN140" s="182"/>
      <c r="BO140" s="182"/>
      <c r="BP140" s="182"/>
      <c r="BQ140" s="182"/>
      <c r="BR140" s="182"/>
      <c r="BS140" s="182"/>
      <c r="BT140" s="182"/>
      <c r="BU140" s="182"/>
      <c r="BV140" s="182"/>
      <c r="BW140" s="182"/>
      <c r="BX140" s="182"/>
      <c r="BY140" s="182"/>
      <c r="BZ140" s="182"/>
      <c r="CA140" s="182"/>
      <c r="CB140" s="185">
        <f t="shared" si="25"/>
        <v>633.15000000000009</v>
      </c>
      <c r="CC140" s="185">
        <f t="shared" si="26"/>
        <v>0</v>
      </c>
      <c r="CD140" s="185">
        <f t="shared" si="27"/>
        <v>520</v>
      </c>
      <c r="CE140" s="185" t="e">
        <f>+#REF!</f>
        <v>#REF!</v>
      </c>
    </row>
    <row r="141" spans="2:83" s="197" customFormat="1" ht="37.5" x14ac:dyDescent="0.3">
      <c r="B141" s="182">
        <v>1050</v>
      </c>
      <c r="C141" s="182">
        <v>521</v>
      </c>
      <c r="D141" s="182" t="s">
        <v>325</v>
      </c>
      <c r="E141" s="181" t="s">
        <v>4592</v>
      </c>
      <c r="F141" s="182"/>
      <c r="G141" s="182">
        <v>2216.02</v>
      </c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5">
        <f t="shared" si="24"/>
        <v>2216.02</v>
      </c>
      <c r="AR141" s="182">
        <v>1480.85</v>
      </c>
      <c r="AS141" s="182">
        <v>201.25</v>
      </c>
      <c r="AT141" s="182">
        <v>533.91999999999996</v>
      </c>
      <c r="AU141" s="182"/>
      <c r="AV141" s="182"/>
      <c r="AW141" s="182"/>
      <c r="AX141" s="182"/>
      <c r="AY141" s="182"/>
      <c r="AZ141" s="182"/>
      <c r="BA141" s="182"/>
      <c r="BB141" s="182"/>
      <c r="BC141" s="182"/>
      <c r="BD141" s="182"/>
      <c r="BE141" s="182"/>
      <c r="BF141" s="182"/>
      <c r="BG141" s="182"/>
      <c r="BH141" s="182"/>
      <c r="BI141" s="182"/>
      <c r="BJ141" s="182"/>
      <c r="BK141" s="182"/>
      <c r="BL141" s="182"/>
      <c r="BM141" s="182"/>
      <c r="BN141" s="182"/>
      <c r="BO141" s="182"/>
      <c r="BP141" s="182"/>
      <c r="BQ141" s="182"/>
      <c r="BR141" s="182"/>
      <c r="BS141" s="182"/>
      <c r="BT141" s="182"/>
      <c r="BU141" s="182"/>
      <c r="BV141" s="182"/>
      <c r="BW141" s="182"/>
      <c r="BX141" s="182"/>
      <c r="BY141" s="182"/>
      <c r="BZ141" s="182"/>
      <c r="CA141" s="182"/>
      <c r="CB141" s="185">
        <f t="shared" si="25"/>
        <v>2216.02</v>
      </c>
      <c r="CC141" s="185">
        <f t="shared" si="26"/>
        <v>0</v>
      </c>
      <c r="CD141" s="185">
        <f t="shared" si="27"/>
        <v>521</v>
      </c>
      <c r="CE141" s="185" t="e">
        <f>+#REF!</f>
        <v>#REF!</v>
      </c>
    </row>
    <row r="142" spans="2:83" s="197" customFormat="1" ht="37.5" x14ac:dyDescent="0.3">
      <c r="B142" s="182">
        <v>1049</v>
      </c>
      <c r="C142" s="182">
        <v>522</v>
      </c>
      <c r="D142" s="182" t="s">
        <v>325</v>
      </c>
      <c r="E142" s="181" t="s">
        <v>4592</v>
      </c>
      <c r="F142" s="182"/>
      <c r="G142" s="182">
        <v>16454.7</v>
      </c>
      <c r="H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  <c r="Z142" s="182"/>
      <c r="AA142" s="182"/>
      <c r="AB142" s="182"/>
      <c r="AC142" s="182"/>
      <c r="AD142" s="182"/>
      <c r="AE142" s="182"/>
      <c r="AF142" s="182"/>
      <c r="AG142" s="182"/>
      <c r="AH142" s="182"/>
      <c r="AI142" s="182"/>
      <c r="AJ142" s="182"/>
      <c r="AK142" s="182"/>
      <c r="AL142" s="182"/>
      <c r="AM142" s="182"/>
      <c r="AN142" s="182"/>
      <c r="AO142" s="182"/>
      <c r="AP142" s="182"/>
      <c r="AQ142" s="185">
        <f t="shared" si="24"/>
        <v>16454.7</v>
      </c>
      <c r="AR142" s="182">
        <v>14020.95</v>
      </c>
      <c r="AS142" s="182">
        <v>1721.85</v>
      </c>
      <c r="AT142" s="182">
        <v>711.9</v>
      </c>
      <c r="AU142" s="182"/>
      <c r="AV142" s="182"/>
      <c r="AW142" s="182"/>
      <c r="AX142" s="182"/>
      <c r="AY142" s="182"/>
      <c r="AZ142" s="182"/>
      <c r="BA142" s="182"/>
      <c r="BB142" s="182"/>
      <c r="BC142" s="182"/>
      <c r="BD142" s="182"/>
      <c r="BE142" s="182"/>
      <c r="BF142" s="182"/>
      <c r="BG142" s="182"/>
      <c r="BH142" s="182"/>
      <c r="BI142" s="182"/>
      <c r="BJ142" s="182"/>
      <c r="BK142" s="182"/>
      <c r="BL142" s="182"/>
      <c r="BM142" s="182"/>
      <c r="BN142" s="182"/>
      <c r="BO142" s="182"/>
      <c r="BP142" s="182"/>
      <c r="BQ142" s="182"/>
      <c r="BR142" s="182"/>
      <c r="BS142" s="182"/>
      <c r="BT142" s="182"/>
      <c r="BU142" s="182"/>
      <c r="BV142" s="182"/>
      <c r="BW142" s="182"/>
      <c r="BX142" s="182"/>
      <c r="BY142" s="182"/>
      <c r="BZ142" s="182"/>
      <c r="CA142" s="182"/>
      <c r="CB142" s="185">
        <f t="shared" si="25"/>
        <v>16454.7</v>
      </c>
      <c r="CC142" s="185">
        <f t="shared" si="26"/>
        <v>0</v>
      </c>
      <c r="CD142" s="185">
        <f t="shared" si="27"/>
        <v>522</v>
      </c>
      <c r="CE142" s="185" t="e">
        <f>+#REF!</f>
        <v>#REF!</v>
      </c>
    </row>
    <row r="143" spans="2:83" s="197" customFormat="1" ht="37.5" x14ac:dyDescent="0.3">
      <c r="B143" s="182">
        <v>1051</v>
      </c>
      <c r="C143" s="182">
        <v>523</v>
      </c>
      <c r="D143" s="182" t="s">
        <v>325</v>
      </c>
      <c r="E143" s="181" t="s">
        <v>4592</v>
      </c>
      <c r="F143" s="182"/>
      <c r="G143" s="182">
        <v>2321.56</v>
      </c>
      <c r="H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5">
        <f t="shared" si="24"/>
        <v>2321.56</v>
      </c>
      <c r="AR143" s="182">
        <v>1553.25</v>
      </c>
      <c r="AS143" s="182">
        <v>208.95</v>
      </c>
      <c r="AT143" s="182">
        <v>559.36</v>
      </c>
      <c r="AU143" s="182"/>
      <c r="AV143" s="182"/>
      <c r="AW143" s="182"/>
      <c r="AX143" s="182"/>
      <c r="AY143" s="182"/>
      <c r="AZ143" s="182"/>
      <c r="BA143" s="182"/>
      <c r="BB143" s="182"/>
      <c r="BC143" s="182"/>
      <c r="BD143" s="182"/>
      <c r="BE143" s="182"/>
      <c r="BF143" s="182"/>
      <c r="BG143" s="182"/>
      <c r="BH143" s="182"/>
      <c r="BI143" s="182"/>
      <c r="BJ143" s="182"/>
      <c r="BK143" s="182"/>
      <c r="BL143" s="182"/>
      <c r="BM143" s="182"/>
      <c r="BN143" s="182"/>
      <c r="BO143" s="182"/>
      <c r="BP143" s="182"/>
      <c r="BQ143" s="182"/>
      <c r="BR143" s="182"/>
      <c r="BS143" s="182"/>
      <c r="BT143" s="182"/>
      <c r="BU143" s="182"/>
      <c r="BV143" s="182"/>
      <c r="BW143" s="182"/>
      <c r="BX143" s="182"/>
      <c r="BY143" s="182"/>
      <c r="BZ143" s="182"/>
      <c r="CA143" s="182"/>
      <c r="CB143" s="185">
        <f t="shared" si="25"/>
        <v>2321.56</v>
      </c>
      <c r="CC143" s="185">
        <f t="shared" si="26"/>
        <v>0</v>
      </c>
      <c r="CD143" s="185">
        <f t="shared" si="27"/>
        <v>523</v>
      </c>
      <c r="CE143" s="185" t="e">
        <f>+#REF!</f>
        <v>#REF!</v>
      </c>
    </row>
    <row r="144" spans="2:83" s="197" customFormat="1" ht="37.5" x14ac:dyDescent="0.3">
      <c r="B144" s="182">
        <v>1044</v>
      </c>
      <c r="C144" s="182">
        <v>524</v>
      </c>
      <c r="D144" s="182" t="s">
        <v>325</v>
      </c>
      <c r="E144" s="181" t="s">
        <v>4592</v>
      </c>
      <c r="F144" s="182"/>
      <c r="G144" s="182">
        <v>633.15</v>
      </c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  <c r="AN144" s="182"/>
      <c r="AO144" s="182"/>
      <c r="AP144" s="182"/>
      <c r="AQ144" s="185">
        <f t="shared" si="24"/>
        <v>633.15</v>
      </c>
      <c r="AR144" s="182">
        <v>423.55</v>
      </c>
      <c r="AS144" s="182">
        <v>57.05</v>
      </c>
      <c r="AT144" s="182">
        <v>152.55000000000001</v>
      </c>
      <c r="AU144" s="182"/>
      <c r="AV144" s="182"/>
      <c r="AW144" s="182"/>
      <c r="AX144" s="182"/>
      <c r="AY144" s="182"/>
      <c r="AZ144" s="182"/>
      <c r="BA144" s="182"/>
      <c r="BB144" s="182"/>
      <c r="BC144" s="182"/>
      <c r="BD144" s="182"/>
      <c r="BE144" s="182"/>
      <c r="BF144" s="182"/>
      <c r="BG144" s="182"/>
      <c r="BH144" s="182"/>
      <c r="BI144" s="182"/>
      <c r="BJ144" s="182"/>
      <c r="BK144" s="182"/>
      <c r="BL144" s="182"/>
      <c r="BM144" s="182"/>
      <c r="BN144" s="182"/>
      <c r="BO144" s="182"/>
      <c r="BP144" s="182"/>
      <c r="BQ144" s="182"/>
      <c r="BR144" s="182"/>
      <c r="BS144" s="182"/>
      <c r="BT144" s="182"/>
      <c r="BU144" s="182"/>
      <c r="BV144" s="182"/>
      <c r="BW144" s="182"/>
      <c r="BX144" s="182"/>
      <c r="BY144" s="182"/>
      <c r="BZ144" s="182"/>
      <c r="CA144" s="182"/>
      <c r="CB144" s="185">
        <f t="shared" si="25"/>
        <v>633.15000000000009</v>
      </c>
      <c r="CC144" s="185">
        <f t="shared" si="26"/>
        <v>0</v>
      </c>
      <c r="CD144" s="185">
        <f t="shared" si="27"/>
        <v>524</v>
      </c>
      <c r="CE144" s="185" t="e">
        <f>+#REF!</f>
        <v>#REF!</v>
      </c>
    </row>
    <row r="145" spans="2:83" s="197" customFormat="1" ht="37.5" x14ac:dyDescent="0.3">
      <c r="B145" s="182">
        <v>1043</v>
      </c>
      <c r="C145" s="182">
        <v>525</v>
      </c>
      <c r="D145" s="182" t="s">
        <v>325</v>
      </c>
      <c r="E145" s="181" t="s">
        <v>4592</v>
      </c>
      <c r="F145" s="182"/>
      <c r="G145" s="182">
        <v>633.15</v>
      </c>
      <c r="H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  <c r="Z145" s="182"/>
      <c r="AA145" s="182"/>
      <c r="AB145" s="182"/>
      <c r="AC145" s="182"/>
      <c r="AD145" s="182"/>
      <c r="AE145" s="182"/>
      <c r="AF145" s="182"/>
      <c r="AG145" s="182"/>
      <c r="AH145" s="182"/>
      <c r="AI145" s="182"/>
      <c r="AJ145" s="182"/>
      <c r="AK145" s="182"/>
      <c r="AL145" s="182"/>
      <c r="AM145" s="182"/>
      <c r="AN145" s="182"/>
      <c r="AO145" s="182"/>
      <c r="AP145" s="182"/>
      <c r="AQ145" s="185">
        <f t="shared" si="24"/>
        <v>633.15</v>
      </c>
      <c r="AR145" s="182">
        <v>423.55</v>
      </c>
      <c r="AS145" s="182">
        <v>57.05</v>
      </c>
      <c r="AT145" s="182">
        <v>152.55000000000001</v>
      </c>
      <c r="AU145" s="182"/>
      <c r="AV145" s="182"/>
      <c r="AW145" s="182"/>
      <c r="AX145" s="182"/>
      <c r="AY145" s="182"/>
      <c r="AZ145" s="182"/>
      <c r="BA145" s="182"/>
      <c r="BB145" s="182"/>
      <c r="BC145" s="182"/>
      <c r="BD145" s="182"/>
      <c r="BE145" s="182"/>
      <c r="BF145" s="182"/>
      <c r="BG145" s="182"/>
      <c r="BH145" s="182"/>
      <c r="BI145" s="182"/>
      <c r="BJ145" s="182"/>
      <c r="BK145" s="182"/>
      <c r="BL145" s="182"/>
      <c r="BM145" s="182"/>
      <c r="BN145" s="182"/>
      <c r="BO145" s="182"/>
      <c r="BP145" s="182"/>
      <c r="BQ145" s="182"/>
      <c r="BR145" s="182"/>
      <c r="BS145" s="182"/>
      <c r="BT145" s="182"/>
      <c r="BU145" s="182"/>
      <c r="BV145" s="182"/>
      <c r="BW145" s="182"/>
      <c r="BX145" s="182"/>
      <c r="BY145" s="182"/>
      <c r="BZ145" s="182"/>
      <c r="CA145" s="182"/>
      <c r="CB145" s="185">
        <f t="shared" si="25"/>
        <v>633.15000000000009</v>
      </c>
      <c r="CC145" s="185">
        <f t="shared" si="26"/>
        <v>0</v>
      </c>
      <c r="CD145" s="185">
        <f t="shared" si="27"/>
        <v>525</v>
      </c>
      <c r="CE145" s="185" t="e">
        <f>+#REF!</f>
        <v>#REF!</v>
      </c>
    </row>
    <row r="146" spans="2:83" s="197" customFormat="1" ht="37.5" x14ac:dyDescent="0.3">
      <c r="B146" s="182">
        <v>1045</v>
      </c>
      <c r="C146" s="182">
        <v>526</v>
      </c>
      <c r="D146" s="182" t="s">
        <v>325</v>
      </c>
      <c r="E146" s="181" t="s">
        <v>4592</v>
      </c>
      <c r="F146" s="182"/>
      <c r="G146" s="182">
        <v>633.16</v>
      </c>
      <c r="H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5">
        <f t="shared" si="24"/>
        <v>633.16</v>
      </c>
      <c r="AR146" s="182">
        <v>424.8</v>
      </c>
      <c r="AS146" s="182">
        <v>55.8</v>
      </c>
      <c r="AT146" s="182">
        <v>152.56</v>
      </c>
      <c r="AU146" s="182"/>
      <c r="AV146" s="182"/>
      <c r="AW146" s="182"/>
      <c r="AX146" s="182"/>
      <c r="AY146" s="182"/>
      <c r="AZ146" s="182"/>
      <c r="BA146" s="182"/>
      <c r="BB146" s="182"/>
      <c r="BC146" s="182"/>
      <c r="BD146" s="182"/>
      <c r="BE146" s="182"/>
      <c r="BF146" s="182"/>
      <c r="BG146" s="182"/>
      <c r="BH146" s="182"/>
      <c r="BI146" s="182"/>
      <c r="BJ146" s="182"/>
      <c r="BK146" s="182"/>
      <c r="BL146" s="182"/>
      <c r="BM146" s="182"/>
      <c r="BN146" s="182"/>
      <c r="BO146" s="182"/>
      <c r="BP146" s="182"/>
      <c r="BQ146" s="182"/>
      <c r="BR146" s="182"/>
      <c r="BS146" s="182"/>
      <c r="BT146" s="182"/>
      <c r="BU146" s="182"/>
      <c r="BV146" s="182"/>
      <c r="BW146" s="182"/>
      <c r="BX146" s="182"/>
      <c r="BY146" s="182"/>
      <c r="BZ146" s="182"/>
      <c r="CA146" s="182"/>
      <c r="CB146" s="185">
        <f t="shared" si="25"/>
        <v>633.16000000000008</v>
      </c>
      <c r="CC146" s="185">
        <f t="shared" si="26"/>
        <v>0</v>
      </c>
      <c r="CD146" s="185">
        <f t="shared" si="27"/>
        <v>526</v>
      </c>
      <c r="CE146" s="185" t="e">
        <f>+#REF!</f>
        <v>#REF!</v>
      </c>
    </row>
    <row r="147" spans="2:83" s="197" customFormat="1" ht="37.5" x14ac:dyDescent="0.3">
      <c r="B147" s="182">
        <v>1047</v>
      </c>
      <c r="C147" s="182">
        <v>527</v>
      </c>
      <c r="D147" s="182" t="s">
        <v>325</v>
      </c>
      <c r="E147" s="181" t="s">
        <v>4592</v>
      </c>
      <c r="F147" s="182"/>
      <c r="G147" s="182">
        <v>1477.35</v>
      </c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182"/>
      <c r="AO147" s="182"/>
      <c r="AP147" s="182"/>
      <c r="AQ147" s="185">
        <f t="shared" si="24"/>
        <v>1477.35</v>
      </c>
      <c r="AR147" s="182">
        <v>987.35</v>
      </c>
      <c r="AS147" s="182">
        <v>134.05000000000001</v>
      </c>
      <c r="AT147" s="182">
        <v>355.95</v>
      </c>
      <c r="AU147" s="182"/>
      <c r="AV147" s="182"/>
      <c r="AW147" s="182"/>
      <c r="AX147" s="182"/>
      <c r="AY147" s="182"/>
      <c r="AZ147" s="182"/>
      <c r="BA147" s="182"/>
      <c r="BB147" s="182"/>
      <c r="BC147" s="182"/>
      <c r="BD147" s="182"/>
      <c r="BE147" s="182"/>
      <c r="BF147" s="182"/>
      <c r="BG147" s="182"/>
      <c r="BH147" s="182"/>
      <c r="BI147" s="182"/>
      <c r="BJ147" s="182"/>
      <c r="BK147" s="182"/>
      <c r="BL147" s="182"/>
      <c r="BM147" s="182"/>
      <c r="BN147" s="182"/>
      <c r="BO147" s="182"/>
      <c r="BP147" s="182"/>
      <c r="BQ147" s="182"/>
      <c r="BR147" s="182"/>
      <c r="BS147" s="182"/>
      <c r="BT147" s="182"/>
      <c r="BU147" s="182"/>
      <c r="BV147" s="182"/>
      <c r="BW147" s="182"/>
      <c r="BX147" s="182"/>
      <c r="BY147" s="182"/>
      <c r="BZ147" s="182"/>
      <c r="CA147" s="182"/>
      <c r="CB147" s="185">
        <f t="shared" si="25"/>
        <v>1477.3500000000001</v>
      </c>
      <c r="CC147" s="185">
        <f t="shared" si="26"/>
        <v>0</v>
      </c>
      <c r="CD147" s="185">
        <f t="shared" si="27"/>
        <v>527</v>
      </c>
      <c r="CE147" s="185" t="e">
        <f>+#REF!</f>
        <v>#REF!</v>
      </c>
    </row>
    <row r="148" spans="2:83" s="197" customFormat="1" ht="37.5" x14ac:dyDescent="0.3">
      <c r="B148" s="182">
        <v>1040</v>
      </c>
      <c r="C148" s="182">
        <v>528</v>
      </c>
      <c r="D148" s="182" t="s">
        <v>325</v>
      </c>
      <c r="E148" s="181" t="s">
        <v>4593</v>
      </c>
      <c r="F148" s="182"/>
      <c r="G148" s="182">
        <v>1890</v>
      </c>
      <c r="H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82"/>
      <c r="AH148" s="182"/>
      <c r="AI148" s="182"/>
      <c r="AJ148" s="182"/>
      <c r="AK148" s="182"/>
      <c r="AL148" s="182"/>
      <c r="AM148" s="182"/>
      <c r="AN148" s="182"/>
      <c r="AO148" s="182"/>
      <c r="AP148" s="182"/>
      <c r="AQ148" s="185">
        <f t="shared" si="24"/>
        <v>1890</v>
      </c>
      <c r="AR148" s="182">
        <v>1687.2</v>
      </c>
      <c r="AS148" s="182">
        <v>202.8</v>
      </c>
      <c r="AT148" s="182"/>
      <c r="AU148" s="182"/>
      <c r="AV148" s="182"/>
      <c r="AW148" s="182"/>
      <c r="AX148" s="182"/>
      <c r="AY148" s="182"/>
      <c r="AZ148" s="182"/>
      <c r="BA148" s="182"/>
      <c r="BB148" s="182"/>
      <c r="BC148" s="182"/>
      <c r="BD148" s="182"/>
      <c r="BE148" s="182"/>
      <c r="BF148" s="182"/>
      <c r="BG148" s="182"/>
      <c r="BH148" s="182"/>
      <c r="BI148" s="182"/>
      <c r="BJ148" s="182"/>
      <c r="BK148" s="182"/>
      <c r="BL148" s="182"/>
      <c r="BM148" s="182"/>
      <c r="BN148" s="182"/>
      <c r="BO148" s="182"/>
      <c r="BP148" s="182"/>
      <c r="BQ148" s="182"/>
      <c r="BR148" s="182"/>
      <c r="BS148" s="182"/>
      <c r="BT148" s="182"/>
      <c r="BU148" s="182"/>
      <c r="BV148" s="182"/>
      <c r="BW148" s="182"/>
      <c r="BX148" s="182"/>
      <c r="BY148" s="182"/>
      <c r="BZ148" s="182"/>
      <c r="CA148" s="182"/>
      <c r="CB148" s="185">
        <f t="shared" si="25"/>
        <v>1890</v>
      </c>
      <c r="CC148" s="185">
        <f t="shared" si="26"/>
        <v>0</v>
      </c>
      <c r="CD148" s="185">
        <f t="shared" si="27"/>
        <v>528</v>
      </c>
      <c r="CE148" s="185" t="e">
        <f>+#REF!</f>
        <v>#REF!</v>
      </c>
    </row>
    <row r="149" spans="2:83" s="197" customFormat="1" ht="37.5" x14ac:dyDescent="0.3">
      <c r="B149" s="182">
        <v>1039</v>
      </c>
      <c r="C149" s="182">
        <v>529</v>
      </c>
      <c r="D149" s="182" t="s">
        <v>325</v>
      </c>
      <c r="E149" s="181" t="s">
        <v>4593</v>
      </c>
      <c r="F149" s="182"/>
      <c r="G149" s="182">
        <v>540</v>
      </c>
      <c r="H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5">
        <f t="shared" si="24"/>
        <v>540</v>
      </c>
      <c r="AR149" s="182">
        <v>483.1</v>
      </c>
      <c r="AS149" s="182">
        <v>56.9</v>
      </c>
      <c r="AT149" s="182"/>
      <c r="AU149" s="182"/>
      <c r="AV149" s="182"/>
      <c r="AW149" s="182"/>
      <c r="AX149" s="182"/>
      <c r="AY149" s="182"/>
      <c r="AZ149" s="182"/>
      <c r="BA149" s="182"/>
      <c r="BB149" s="182"/>
      <c r="BC149" s="182"/>
      <c r="BD149" s="182"/>
      <c r="BE149" s="182"/>
      <c r="BF149" s="182"/>
      <c r="BG149" s="182"/>
      <c r="BH149" s="182"/>
      <c r="BI149" s="182"/>
      <c r="BJ149" s="182"/>
      <c r="BK149" s="182"/>
      <c r="BL149" s="182"/>
      <c r="BM149" s="182"/>
      <c r="BN149" s="182"/>
      <c r="BO149" s="182"/>
      <c r="BP149" s="182"/>
      <c r="BQ149" s="182"/>
      <c r="BR149" s="182"/>
      <c r="BS149" s="182"/>
      <c r="BT149" s="182"/>
      <c r="BU149" s="182"/>
      <c r="BV149" s="182"/>
      <c r="BW149" s="182"/>
      <c r="BX149" s="182"/>
      <c r="BY149" s="182"/>
      <c r="BZ149" s="182"/>
      <c r="CA149" s="182"/>
      <c r="CB149" s="185">
        <f t="shared" si="25"/>
        <v>540</v>
      </c>
      <c r="CC149" s="185">
        <f t="shared" si="26"/>
        <v>0</v>
      </c>
      <c r="CD149" s="185">
        <f t="shared" si="27"/>
        <v>529</v>
      </c>
      <c r="CE149" s="185" t="e">
        <f>+#REF!</f>
        <v>#REF!</v>
      </c>
    </row>
    <row r="150" spans="2:83" s="197" customFormat="1" ht="37.5" x14ac:dyDescent="0.3">
      <c r="B150" s="182">
        <v>1041</v>
      </c>
      <c r="C150" s="182">
        <v>530</v>
      </c>
      <c r="D150" s="182" t="s">
        <v>325</v>
      </c>
      <c r="E150" s="181" t="s">
        <v>2006</v>
      </c>
      <c r="F150" s="182"/>
      <c r="G150" s="182">
        <v>7560</v>
      </c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5">
        <f t="shared" si="24"/>
        <v>7560</v>
      </c>
      <c r="AR150" s="182">
        <v>6743.9</v>
      </c>
      <c r="AS150" s="182">
        <v>816.1</v>
      </c>
      <c r="AT150" s="182"/>
      <c r="AU150" s="182"/>
      <c r="AV150" s="182"/>
      <c r="AW150" s="182"/>
      <c r="AX150" s="182"/>
      <c r="AY150" s="182"/>
      <c r="AZ150" s="182"/>
      <c r="BA150" s="182"/>
      <c r="BB150" s="182"/>
      <c r="BC150" s="182"/>
      <c r="BD150" s="182"/>
      <c r="BE150" s="182"/>
      <c r="BF150" s="182"/>
      <c r="BG150" s="182"/>
      <c r="BH150" s="182"/>
      <c r="BI150" s="182"/>
      <c r="BJ150" s="182"/>
      <c r="BK150" s="182"/>
      <c r="BL150" s="182"/>
      <c r="BM150" s="182"/>
      <c r="BN150" s="182"/>
      <c r="BO150" s="182"/>
      <c r="BP150" s="182"/>
      <c r="BQ150" s="182"/>
      <c r="BR150" s="182"/>
      <c r="BS150" s="182"/>
      <c r="BT150" s="182"/>
      <c r="BU150" s="182"/>
      <c r="BV150" s="182"/>
      <c r="BW150" s="182"/>
      <c r="BX150" s="182"/>
      <c r="BY150" s="182"/>
      <c r="BZ150" s="182"/>
      <c r="CA150" s="182"/>
      <c r="CB150" s="185">
        <f t="shared" si="25"/>
        <v>7560</v>
      </c>
      <c r="CC150" s="185">
        <f t="shared" si="26"/>
        <v>0</v>
      </c>
      <c r="CD150" s="185">
        <f t="shared" si="27"/>
        <v>530</v>
      </c>
      <c r="CE150" s="185" t="e">
        <f>+#REF!</f>
        <v>#REF!</v>
      </c>
    </row>
    <row r="151" spans="2:83" s="197" customFormat="1" ht="37.5" x14ac:dyDescent="0.3">
      <c r="B151" s="182">
        <v>1042</v>
      </c>
      <c r="C151" s="182">
        <v>531</v>
      </c>
      <c r="D151" s="182" t="s">
        <v>325</v>
      </c>
      <c r="E151" s="181" t="s">
        <v>2006</v>
      </c>
      <c r="F151" s="182"/>
      <c r="G151" s="182">
        <v>46634.239999999998</v>
      </c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2"/>
      <c r="AH151" s="182"/>
      <c r="AI151" s="182"/>
      <c r="AJ151" s="182"/>
      <c r="AK151" s="182"/>
      <c r="AL151" s="182"/>
      <c r="AM151" s="182"/>
      <c r="AN151" s="182"/>
      <c r="AO151" s="182"/>
      <c r="AP151" s="182"/>
      <c r="AQ151" s="185">
        <f t="shared" si="24"/>
        <v>46634.239999999998</v>
      </c>
      <c r="AR151" s="182">
        <v>41584.76</v>
      </c>
      <c r="AS151" s="182">
        <v>5026.1499999999996</v>
      </c>
      <c r="AT151" s="182">
        <v>23.33</v>
      </c>
      <c r="AU151" s="182"/>
      <c r="AV151" s="182"/>
      <c r="AW151" s="182"/>
      <c r="AX151" s="182"/>
      <c r="AY151" s="182"/>
      <c r="AZ151" s="182"/>
      <c r="BA151" s="182"/>
      <c r="BB151" s="182"/>
      <c r="BC151" s="182"/>
      <c r="BD151" s="182"/>
      <c r="BE151" s="182"/>
      <c r="BF151" s="182"/>
      <c r="BG151" s="182"/>
      <c r="BH151" s="182"/>
      <c r="BI151" s="182"/>
      <c r="BJ151" s="182"/>
      <c r="BK151" s="182"/>
      <c r="BL151" s="182"/>
      <c r="BM151" s="182"/>
      <c r="BN151" s="182"/>
      <c r="BO151" s="182"/>
      <c r="BP151" s="182"/>
      <c r="BQ151" s="182"/>
      <c r="BR151" s="182"/>
      <c r="BS151" s="182"/>
      <c r="BT151" s="182"/>
      <c r="BU151" s="182"/>
      <c r="BV151" s="182"/>
      <c r="BW151" s="182"/>
      <c r="BX151" s="182"/>
      <c r="BY151" s="182"/>
      <c r="BZ151" s="182"/>
      <c r="CA151" s="182"/>
      <c r="CB151" s="185">
        <f t="shared" si="25"/>
        <v>46634.240000000005</v>
      </c>
      <c r="CC151" s="185">
        <f t="shared" si="26"/>
        <v>0</v>
      </c>
      <c r="CD151" s="185">
        <f t="shared" si="27"/>
        <v>531</v>
      </c>
      <c r="CE151" s="185" t="e">
        <f>+#REF!</f>
        <v>#REF!</v>
      </c>
    </row>
    <row r="152" spans="2:83" s="197" customFormat="1" ht="37.5" x14ac:dyDescent="0.3">
      <c r="B152" s="182">
        <v>1046</v>
      </c>
      <c r="C152" s="182">
        <v>532</v>
      </c>
      <c r="D152" s="182" t="s">
        <v>325</v>
      </c>
      <c r="E152" s="181" t="str">
        <f>+E147</f>
        <v>عب عملى جراحه</v>
      </c>
      <c r="F152" s="182"/>
      <c r="G152" s="182">
        <v>2954.7</v>
      </c>
      <c r="H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  <c r="AJ152" s="182"/>
      <c r="AK152" s="182"/>
      <c r="AL152" s="182"/>
      <c r="AM152" s="182"/>
      <c r="AN152" s="182"/>
      <c r="AO152" s="182"/>
      <c r="AP152" s="182"/>
      <c r="AQ152" s="185">
        <f t="shared" si="24"/>
        <v>2954.7</v>
      </c>
      <c r="AR152" s="182">
        <v>1974.95</v>
      </c>
      <c r="AS152" s="182">
        <v>267.85000000000002</v>
      </c>
      <c r="AT152" s="182">
        <v>711.9</v>
      </c>
      <c r="AU152" s="182"/>
      <c r="AV152" s="182"/>
      <c r="AW152" s="182"/>
      <c r="AX152" s="182"/>
      <c r="AY152" s="182"/>
      <c r="AZ152" s="182"/>
      <c r="BA152" s="182"/>
      <c r="BB152" s="182"/>
      <c r="BC152" s="182"/>
      <c r="BD152" s="182"/>
      <c r="BE152" s="182"/>
      <c r="BF152" s="182"/>
      <c r="BG152" s="182"/>
      <c r="BH152" s="182"/>
      <c r="BI152" s="182"/>
      <c r="BJ152" s="182"/>
      <c r="BK152" s="182"/>
      <c r="BL152" s="182"/>
      <c r="BM152" s="182"/>
      <c r="BN152" s="182"/>
      <c r="BO152" s="182"/>
      <c r="BP152" s="182"/>
      <c r="BQ152" s="182"/>
      <c r="BR152" s="182"/>
      <c r="BS152" s="182"/>
      <c r="BT152" s="182"/>
      <c r="BU152" s="182"/>
      <c r="BV152" s="182"/>
      <c r="BW152" s="182"/>
      <c r="BX152" s="182"/>
      <c r="BY152" s="182"/>
      <c r="BZ152" s="182"/>
      <c r="CA152" s="182"/>
      <c r="CB152" s="185">
        <f t="shared" si="25"/>
        <v>2954.7000000000003</v>
      </c>
      <c r="CC152" s="185">
        <f t="shared" si="26"/>
        <v>0</v>
      </c>
      <c r="CD152" s="185">
        <f t="shared" si="27"/>
        <v>532</v>
      </c>
      <c r="CE152" s="185" t="e">
        <f>+#REF!</f>
        <v>#REF!</v>
      </c>
    </row>
    <row r="153" spans="2:83" s="197" customFormat="1" ht="37.5" x14ac:dyDescent="0.3">
      <c r="B153" s="182">
        <v>1059</v>
      </c>
      <c r="C153" s="182">
        <v>533</v>
      </c>
      <c r="D153" s="182" t="s">
        <v>325</v>
      </c>
      <c r="E153" s="181" t="s">
        <v>4594</v>
      </c>
      <c r="F153" s="182"/>
      <c r="G153" s="182">
        <v>9497.25</v>
      </c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182"/>
      <c r="AI153" s="182"/>
      <c r="AJ153" s="182"/>
      <c r="AK153" s="182"/>
      <c r="AL153" s="182"/>
      <c r="AM153" s="182"/>
      <c r="AN153" s="182"/>
      <c r="AO153" s="182"/>
      <c r="AP153" s="182"/>
      <c r="AQ153" s="185">
        <f t="shared" si="24"/>
        <v>9497.25</v>
      </c>
      <c r="AR153" s="182">
        <v>6334.6</v>
      </c>
      <c r="AS153" s="182">
        <f>64.4+810</f>
        <v>874.4</v>
      </c>
      <c r="AT153" s="182">
        <f>3162.65-AS153</f>
        <v>2288.25</v>
      </c>
      <c r="AU153" s="182"/>
      <c r="AV153" s="182"/>
      <c r="AW153" s="182"/>
      <c r="AX153" s="182"/>
      <c r="AY153" s="182"/>
      <c r="AZ153" s="182"/>
      <c r="BA153" s="182"/>
      <c r="BB153" s="182"/>
      <c r="BC153" s="182"/>
      <c r="BD153" s="182"/>
      <c r="BE153" s="182"/>
      <c r="BF153" s="182"/>
      <c r="BG153" s="182"/>
      <c r="BH153" s="182"/>
      <c r="BI153" s="182"/>
      <c r="BJ153" s="182"/>
      <c r="BK153" s="182"/>
      <c r="BL153" s="182"/>
      <c r="BM153" s="182"/>
      <c r="BN153" s="182"/>
      <c r="BO153" s="182"/>
      <c r="BP153" s="182"/>
      <c r="BQ153" s="182"/>
      <c r="BR153" s="182"/>
      <c r="BS153" s="182"/>
      <c r="BT153" s="182"/>
      <c r="BU153" s="182"/>
      <c r="BV153" s="182"/>
      <c r="BW153" s="182"/>
      <c r="BX153" s="182"/>
      <c r="BY153" s="182"/>
      <c r="BZ153" s="182"/>
      <c r="CA153" s="182"/>
      <c r="CB153" s="185">
        <f t="shared" si="25"/>
        <v>9497.25</v>
      </c>
      <c r="CC153" s="185">
        <f t="shared" si="26"/>
        <v>0</v>
      </c>
      <c r="CD153" s="185">
        <f t="shared" si="27"/>
        <v>533</v>
      </c>
      <c r="CE153" s="185" t="e">
        <f>+#REF!</f>
        <v>#REF!</v>
      </c>
    </row>
    <row r="154" spans="2:83" s="197" customFormat="1" ht="37.5" x14ac:dyDescent="0.3">
      <c r="B154" s="182">
        <v>1053</v>
      </c>
      <c r="C154" s="182">
        <v>534</v>
      </c>
      <c r="D154" s="182" t="s">
        <v>325</v>
      </c>
      <c r="E154" s="181" t="str">
        <f>+E134</f>
        <v>عب عملى وافدين</v>
      </c>
      <c r="F154" s="182"/>
      <c r="G154" s="182">
        <v>949.73</v>
      </c>
      <c r="H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  <c r="AK154" s="182"/>
      <c r="AL154" s="182"/>
      <c r="AM154" s="182"/>
      <c r="AN154" s="182"/>
      <c r="AO154" s="182"/>
      <c r="AP154" s="182"/>
      <c r="AQ154" s="185">
        <f t="shared" si="24"/>
        <v>949.73</v>
      </c>
      <c r="AR154" s="182">
        <v>635</v>
      </c>
      <c r="AS154" s="182">
        <f>4.9+81</f>
        <v>85.9</v>
      </c>
      <c r="AT154" s="182">
        <f>314.73-AS154</f>
        <v>228.83</v>
      </c>
      <c r="AU154" s="182"/>
      <c r="AV154" s="182"/>
      <c r="AW154" s="182"/>
      <c r="AX154" s="182"/>
      <c r="AY154" s="182"/>
      <c r="AZ154" s="182"/>
      <c r="BA154" s="182"/>
      <c r="BB154" s="182"/>
      <c r="BC154" s="182"/>
      <c r="BD154" s="182"/>
      <c r="BE154" s="182"/>
      <c r="BF154" s="182"/>
      <c r="BG154" s="182"/>
      <c r="BH154" s="182"/>
      <c r="BI154" s="182"/>
      <c r="BJ154" s="182"/>
      <c r="BK154" s="182"/>
      <c r="BL154" s="182"/>
      <c r="BM154" s="182"/>
      <c r="BN154" s="182"/>
      <c r="BO154" s="182"/>
      <c r="BP154" s="182"/>
      <c r="BQ154" s="182"/>
      <c r="BR154" s="182"/>
      <c r="BS154" s="182"/>
      <c r="BT154" s="182"/>
      <c r="BU154" s="182"/>
      <c r="BV154" s="182"/>
      <c r="BW154" s="182"/>
      <c r="BX154" s="182"/>
      <c r="BY154" s="182"/>
      <c r="BZ154" s="182"/>
      <c r="CA154" s="182"/>
      <c r="CB154" s="185">
        <f t="shared" si="25"/>
        <v>949.73</v>
      </c>
      <c r="CC154" s="185">
        <f t="shared" si="26"/>
        <v>0</v>
      </c>
      <c r="CD154" s="185">
        <f t="shared" si="27"/>
        <v>534</v>
      </c>
      <c r="CE154" s="185" t="e">
        <f>+#REF!</f>
        <v>#REF!</v>
      </c>
    </row>
    <row r="155" spans="2:83" s="197" customFormat="1" ht="37.5" x14ac:dyDescent="0.3">
      <c r="B155" s="182">
        <v>1060</v>
      </c>
      <c r="C155" s="182">
        <v>535</v>
      </c>
      <c r="D155" s="182" t="s">
        <v>325</v>
      </c>
      <c r="E155" s="181" t="str">
        <f>+E153</f>
        <v>محاضرات عمليه جراحه راس</v>
      </c>
      <c r="F155" s="182"/>
      <c r="G155" s="182">
        <v>22950</v>
      </c>
      <c r="H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AQ155" s="185">
        <f t="shared" si="24"/>
        <v>22950</v>
      </c>
      <c r="AR155" s="182">
        <v>20489.7</v>
      </c>
      <c r="AS155" s="182">
        <v>2460.3000000000002</v>
      </c>
      <c r="AT155" s="182"/>
      <c r="AU155" s="182"/>
      <c r="AV155" s="182"/>
      <c r="AW155" s="182"/>
      <c r="AX155" s="182"/>
      <c r="AY155" s="182"/>
      <c r="AZ155" s="182"/>
      <c r="BA155" s="182"/>
      <c r="BB155" s="182"/>
      <c r="BC155" s="182"/>
      <c r="BD155" s="182"/>
      <c r="BE155" s="182"/>
      <c r="BF155" s="182"/>
      <c r="BG155" s="182"/>
      <c r="BH155" s="182"/>
      <c r="BI155" s="182"/>
      <c r="BJ155" s="182"/>
      <c r="BK155" s="182"/>
      <c r="BL155" s="182"/>
      <c r="BM155" s="182"/>
      <c r="BN155" s="182"/>
      <c r="BO155" s="182"/>
      <c r="BP155" s="182"/>
      <c r="BQ155" s="182"/>
      <c r="BR155" s="182"/>
      <c r="BS155" s="182"/>
      <c r="BT155" s="182"/>
      <c r="BU155" s="182"/>
      <c r="BV155" s="182"/>
      <c r="BW155" s="182"/>
      <c r="BX155" s="182"/>
      <c r="BY155" s="182"/>
      <c r="BZ155" s="182"/>
      <c r="CA155" s="182"/>
      <c r="CB155" s="185">
        <f t="shared" si="25"/>
        <v>22950</v>
      </c>
      <c r="CC155" s="185">
        <f t="shared" si="26"/>
        <v>0</v>
      </c>
      <c r="CD155" s="185">
        <f t="shared" si="27"/>
        <v>535</v>
      </c>
      <c r="CE155" s="185" t="e">
        <f>+#REF!</f>
        <v>#REF!</v>
      </c>
    </row>
    <row r="156" spans="2:83" s="197" customFormat="1" ht="37.5" x14ac:dyDescent="0.3">
      <c r="B156" s="182">
        <v>1063</v>
      </c>
      <c r="C156" s="182">
        <v>536</v>
      </c>
      <c r="D156" s="182" t="s">
        <v>325</v>
      </c>
      <c r="E156" s="181" t="str">
        <f>+E155</f>
        <v>محاضرات عمليه جراحه راس</v>
      </c>
      <c r="F156" s="182"/>
      <c r="G156" s="182">
        <v>3165.76</v>
      </c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  <c r="AJ156" s="182"/>
      <c r="AK156" s="182"/>
      <c r="AL156" s="182"/>
      <c r="AM156" s="182"/>
      <c r="AN156" s="182"/>
      <c r="AO156" s="182"/>
      <c r="AP156" s="182"/>
      <c r="AQ156" s="185">
        <f t="shared" si="24"/>
        <v>3165.76</v>
      </c>
      <c r="AR156" s="182">
        <v>2115.6999999999998</v>
      </c>
      <c r="AS156" s="182">
        <v>287.3</v>
      </c>
      <c r="AT156" s="182">
        <v>762.76</v>
      </c>
      <c r="AU156" s="182"/>
      <c r="AV156" s="182"/>
      <c r="AW156" s="182"/>
      <c r="AX156" s="182"/>
      <c r="AY156" s="182"/>
      <c r="AZ156" s="182"/>
      <c r="BA156" s="182"/>
      <c r="BB156" s="182"/>
      <c r="BC156" s="182"/>
      <c r="BD156" s="182"/>
      <c r="BE156" s="182"/>
      <c r="BF156" s="182"/>
      <c r="BG156" s="182"/>
      <c r="BH156" s="182"/>
      <c r="BI156" s="182"/>
      <c r="BJ156" s="182"/>
      <c r="BK156" s="182"/>
      <c r="BL156" s="182"/>
      <c r="BM156" s="182"/>
      <c r="BN156" s="182"/>
      <c r="BO156" s="182"/>
      <c r="BP156" s="182"/>
      <c r="BQ156" s="182"/>
      <c r="BR156" s="182"/>
      <c r="BS156" s="182"/>
      <c r="BT156" s="182"/>
      <c r="BU156" s="182"/>
      <c r="BV156" s="182"/>
      <c r="BW156" s="182"/>
      <c r="BX156" s="182"/>
      <c r="BY156" s="182"/>
      <c r="BZ156" s="182"/>
      <c r="CA156" s="182"/>
      <c r="CB156" s="185">
        <f t="shared" si="25"/>
        <v>3165.76</v>
      </c>
      <c r="CC156" s="185">
        <f t="shared" si="26"/>
        <v>0</v>
      </c>
      <c r="CD156" s="185">
        <f t="shared" si="27"/>
        <v>536</v>
      </c>
      <c r="CE156" s="185" t="e">
        <f>+#REF!</f>
        <v>#REF!</v>
      </c>
    </row>
    <row r="157" spans="2:83" s="197" customFormat="1" ht="37.5" x14ac:dyDescent="0.3">
      <c r="B157" s="182">
        <v>1062</v>
      </c>
      <c r="C157" s="182">
        <v>537</v>
      </c>
      <c r="D157" s="182" t="s">
        <v>325</v>
      </c>
      <c r="E157" s="181" t="str">
        <f>+E156</f>
        <v>محاضرات عمليه جراحه راس</v>
      </c>
      <c r="F157" s="182"/>
      <c r="G157" s="182">
        <v>791.44</v>
      </c>
      <c r="H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AQ157" s="185">
        <f t="shared" ref="AQ157:AQ188" si="28">SUM(G157:AP157)</f>
        <v>791.44</v>
      </c>
      <c r="AR157" s="182">
        <v>529.35</v>
      </c>
      <c r="AS157" s="182">
        <v>71.400000000000006</v>
      </c>
      <c r="AT157" s="182">
        <v>190.69</v>
      </c>
      <c r="AU157" s="182"/>
      <c r="AV157" s="182"/>
      <c r="AW157" s="182"/>
      <c r="AX157" s="182"/>
      <c r="AY157" s="182"/>
      <c r="AZ157" s="182"/>
      <c r="BA157" s="182"/>
      <c r="BB157" s="182"/>
      <c r="BC157" s="182"/>
      <c r="BD157" s="182"/>
      <c r="BE157" s="182"/>
      <c r="BF157" s="182"/>
      <c r="BG157" s="182"/>
      <c r="BH157" s="182"/>
      <c r="BI157" s="182"/>
      <c r="BJ157" s="182"/>
      <c r="BK157" s="182"/>
      <c r="BL157" s="182"/>
      <c r="BM157" s="182"/>
      <c r="BN157" s="182"/>
      <c r="BO157" s="182"/>
      <c r="BP157" s="182"/>
      <c r="BQ157" s="182"/>
      <c r="BR157" s="182"/>
      <c r="BS157" s="182"/>
      <c r="BT157" s="182"/>
      <c r="BU157" s="182"/>
      <c r="BV157" s="182"/>
      <c r="BW157" s="182"/>
      <c r="BX157" s="182"/>
      <c r="BY157" s="182"/>
      <c r="BZ157" s="182"/>
      <c r="CA157" s="182"/>
      <c r="CB157" s="185">
        <f t="shared" ref="CB157:CB188" si="29">SUM(AR157:CA157)</f>
        <v>791.44</v>
      </c>
      <c r="CC157" s="185">
        <f t="shared" ref="CC157:CC188" si="30">+CB157-AQ157</f>
        <v>0</v>
      </c>
      <c r="CD157" s="185">
        <f t="shared" ref="CD157:CD188" si="31">+C157</f>
        <v>537</v>
      </c>
      <c r="CE157" s="185" t="e">
        <f>+#REF!</f>
        <v>#REF!</v>
      </c>
    </row>
    <row r="158" spans="2:83" s="197" customFormat="1" ht="37.5" x14ac:dyDescent="0.3">
      <c r="B158" s="182">
        <v>1061</v>
      </c>
      <c r="C158" s="182">
        <v>538</v>
      </c>
      <c r="D158" s="182" t="s">
        <v>325</v>
      </c>
      <c r="E158" s="181" t="str">
        <f>+E157</f>
        <v>محاضرات عمليه جراحه راس</v>
      </c>
      <c r="F158" s="182"/>
      <c r="G158" s="182">
        <v>2374.3200000000002</v>
      </c>
      <c r="H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182"/>
      <c r="AI158" s="182"/>
      <c r="AJ158" s="182"/>
      <c r="AK158" s="182"/>
      <c r="AL158" s="182"/>
      <c r="AM158" s="182"/>
      <c r="AN158" s="182"/>
      <c r="AO158" s="182"/>
      <c r="AP158" s="182"/>
      <c r="AQ158" s="185">
        <f t="shared" si="28"/>
        <v>2374.3200000000002</v>
      </c>
      <c r="AR158" s="182">
        <v>1587.2</v>
      </c>
      <c r="AS158" s="182">
        <v>215.05</v>
      </c>
      <c r="AT158" s="182">
        <v>572.07000000000005</v>
      </c>
      <c r="AU158" s="182"/>
      <c r="AV158" s="182"/>
      <c r="AW158" s="182"/>
      <c r="AX158" s="182"/>
      <c r="AY158" s="182"/>
      <c r="AZ158" s="182"/>
      <c r="BA158" s="182"/>
      <c r="BB158" s="182"/>
      <c r="BC158" s="182"/>
      <c r="BD158" s="182"/>
      <c r="BE158" s="182"/>
      <c r="BF158" s="182"/>
      <c r="BG158" s="182"/>
      <c r="BH158" s="182"/>
      <c r="BI158" s="182"/>
      <c r="BJ158" s="182"/>
      <c r="BK158" s="182"/>
      <c r="BL158" s="182"/>
      <c r="BM158" s="182"/>
      <c r="BN158" s="182"/>
      <c r="BO158" s="182"/>
      <c r="BP158" s="182"/>
      <c r="BQ158" s="182"/>
      <c r="BR158" s="182"/>
      <c r="BS158" s="182"/>
      <c r="BT158" s="182"/>
      <c r="BU158" s="182"/>
      <c r="BV158" s="182"/>
      <c r="BW158" s="182"/>
      <c r="BX158" s="182"/>
      <c r="BY158" s="182"/>
      <c r="BZ158" s="182"/>
      <c r="CA158" s="182"/>
      <c r="CB158" s="185">
        <f t="shared" si="29"/>
        <v>2374.3200000000002</v>
      </c>
      <c r="CC158" s="185">
        <f t="shared" si="30"/>
        <v>0</v>
      </c>
      <c r="CD158" s="185">
        <f t="shared" si="31"/>
        <v>538</v>
      </c>
      <c r="CE158" s="185" t="e">
        <f>+#REF!</f>
        <v>#REF!</v>
      </c>
    </row>
    <row r="159" spans="2:83" s="197" customFormat="1" ht="37.5" x14ac:dyDescent="0.3">
      <c r="B159" s="182">
        <v>117</v>
      </c>
      <c r="C159" s="182">
        <v>539</v>
      </c>
      <c r="D159" s="182" t="s">
        <v>325</v>
      </c>
      <c r="E159" s="181" t="s">
        <v>4595</v>
      </c>
      <c r="F159" s="182"/>
      <c r="G159" s="182">
        <v>633.15</v>
      </c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/>
      <c r="AL159" s="182"/>
      <c r="AM159" s="182"/>
      <c r="AN159" s="182"/>
      <c r="AO159" s="182"/>
      <c r="AP159" s="182"/>
      <c r="AQ159" s="185">
        <f t="shared" si="28"/>
        <v>633.15</v>
      </c>
      <c r="AR159" s="182">
        <v>423.55</v>
      </c>
      <c r="AS159" s="182">
        <v>57.05</v>
      </c>
      <c r="AT159" s="182">
        <v>152.55000000000001</v>
      </c>
      <c r="AU159" s="182"/>
      <c r="AV159" s="182"/>
      <c r="AW159" s="182"/>
      <c r="AX159" s="182"/>
      <c r="AY159" s="182"/>
      <c r="AZ159" s="182"/>
      <c r="BA159" s="182"/>
      <c r="BB159" s="182"/>
      <c r="BC159" s="182"/>
      <c r="BD159" s="182"/>
      <c r="BE159" s="182"/>
      <c r="BF159" s="182"/>
      <c r="BG159" s="182"/>
      <c r="BH159" s="182"/>
      <c r="BI159" s="182"/>
      <c r="BJ159" s="182"/>
      <c r="BK159" s="182"/>
      <c r="BL159" s="182"/>
      <c r="BM159" s="182"/>
      <c r="BN159" s="182"/>
      <c r="BO159" s="182"/>
      <c r="BP159" s="182"/>
      <c r="BQ159" s="182"/>
      <c r="BR159" s="182"/>
      <c r="BS159" s="182"/>
      <c r="BT159" s="182"/>
      <c r="BU159" s="182"/>
      <c r="BV159" s="182"/>
      <c r="BW159" s="182"/>
      <c r="BX159" s="182"/>
      <c r="BY159" s="182"/>
      <c r="BZ159" s="182"/>
      <c r="CA159" s="182"/>
      <c r="CB159" s="185">
        <f t="shared" si="29"/>
        <v>633.15000000000009</v>
      </c>
      <c r="CC159" s="185">
        <f t="shared" si="30"/>
        <v>0</v>
      </c>
      <c r="CD159" s="185">
        <f t="shared" si="31"/>
        <v>539</v>
      </c>
      <c r="CE159" s="185" t="e">
        <f>+#REF!</f>
        <v>#REF!</v>
      </c>
    </row>
    <row r="160" spans="2:83" s="197" customFormat="1" ht="37.5" x14ac:dyDescent="0.3">
      <c r="B160" s="182">
        <v>1090</v>
      </c>
      <c r="C160" s="182">
        <v>540</v>
      </c>
      <c r="D160" s="182" t="s">
        <v>325</v>
      </c>
      <c r="E160" s="181" t="s">
        <v>4595</v>
      </c>
      <c r="F160" s="182"/>
      <c r="G160" s="182">
        <v>2110.5</v>
      </c>
      <c r="H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182"/>
      <c r="AI160" s="182"/>
      <c r="AJ160" s="182"/>
      <c r="AK160" s="182"/>
      <c r="AL160" s="182"/>
      <c r="AM160" s="182"/>
      <c r="AN160" s="182"/>
      <c r="AO160" s="182"/>
      <c r="AP160" s="182"/>
      <c r="AQ160" s="185">
        <f t="shared" si="28"/>
        <v>2110.5</v>
      </c>
      <c r="AR160" s="182">
        <v>1408.85</v>
      </c>
      <c r="AS160" s="182">
        <f>13.15+180</f>
        <v>193.15</v>
      </c>
      <c r="AT160" s="182">
        <f>701.65-AS160</f>
        <v>508.5</v>
      </c>
      <c r="AU160" s="182"/>
      <c r="AV160" s="182"/>
      <c r="AW160" s="182"/>
      <c r="AX160" s="182"/>
      <c r="AY160" s="182"/>
      <c r="AZ160" s="182"/>
      <c r="BA160" s="182"/>
      <c r="BB160" s="182"/>
      <c r="BC160" s="182"/>
      <c r="BD160" s="182"/>
      <c r="BE160" s="182"/>
      <c r="BF160" s="182"/>
      <c r="BG160" s="182"/>
      <c r="BH160" s="182"/>
      <c r="BI160" s="182"/>
      <c r="BJ160" s="182"/>
      <c r="BK160" s="182"/>
      <c r="BL160" s="182"/>
      <c r="BM160" s="182"/>
      <c r="BN160" s="182"/>
      <c r="BO160" s="182"/>
      <c r="BP160" s="182"/>
      <c r="BQ160" s="182"/>
      <c r="BR160" s="182"/>
      <c r="BS160" s="182"/>
      <c r="BT160" s="182"/>
      <c r="BU160" s="182"/>
      <c r="BV160" s="182"/>
      <c r="BW160" s="182"/>
      <c r="BX160" s="182"/>
      <c r="BY160" s="182"/>
      <c r="BZ160" s="182"/>
      <c r="CA160" s="182"/>
      <c r="CB160" s="185">
        <f t="shared" si="29"/>
        <v>2110.5</v>
      </c>
      <c r="CC160" s="185">
        <f t="shared" si="30"/>
        <v>0</v>
      </c>
      <c r="CD160" s="185">
        <f t="shared" si="31"/>
        <v>540</v>
      </c>
      <c r="CE160" s="185" t="e">
        <f>+#REF!</f>
        <v>#REF!</v>
      </c>
    </row>
    <row r="161" spans="2:83" s="197" customFormat="1" ht="37.5" x14ac:dyDescent="0.3">
      <c r="B161" s="182">
        <v>1347</v>
      </c>
      <c r="C161" s="182">
        <v>541</v>
      </c>
      <c r="D161" s="182" t="s">
        <v>121</v>
      </c>
      <c r="E161" s="181" t="s">
        <v>4596</v>
      </c>
      <c r="F161" s="182"/>
      <c r="G161" s="182">
        <v>37882</v>
      </c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5">
        <f t="shared" si="28"/>
        <v>37882</v>
      </c>
      <c r="AR161" s="182">
        <v>25609.4</v>
      </c>
      <c r="AS161" s="182">
        <v>3458.6</v>
      </c>
      <c r="AT161" s="182">
        <v>8814</v>
      </c>
      <c r="AU161" s="182"/>
      <c r="AV161" s="182"/>
      <c r="AW161" s="182"/>
      <c r="AX161" s="182"/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/>
      <c r="BI161" s="182"/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2"/>
      <c r="BW161" s="182"/>
      <c r="BX161" s="182"/>
      <c r="BY161" s="182"/>
      <c r="BZ161" s="182"/>
      <c r="CA161" s="182"/>
      <c r="CB161" s="185">
        <f t="shared" si="29"/>
        <v>37882</v>
      </c>
      <c r="CC161" s="185">
        <f t="shared" si="30"/>
        <v>0</v>
      </c>
      <c r="CD161" s="185">
        <f t="shared" si="31"/>
        <v>541</v>
      </c>
      <c r="CE161" s="185" t="e">
        <f>+#REF!</f>
        <v>#REF!</v>
      </c>
    </row>
    <row r="162" spans="2:83" s="197" customFormat="1" ht="37.5" x14ac:dyDescent="0.3">
      <c r="B162" s="182">
        <v>1342</v>
      </c>
      <c r="C162" s="182">
        <v>542</v>
      </c>
      <c r="D162" s="182" t="s">
        <v>121</v>
      </c>
      <c r="E162" s="181" t="s">
        <v>4596</v>
      </c>
      <c r="F162" s="182"/>
      <c r="G162" s="182">
        <v>1652.52</v>
      </c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  <c r="AK162" s="182"/>
      <c r="AL162" s="182"/>
      <c r="AM162" s="182"/>
      <c r="AN162" s="182"/>
      <c r="AO162" s="182"/>
      <c r="AP162" s="182"/>
      <c r="AQ162" s="185">
        <f t="shared" si="28"/>
        <v>1652.52</v>
      </c>
      <c r="AR162" s="182">
        <v>1214.19</v>
      </c>
      <c r="AS162" s="182">
        <v>40.18</v>
      </c>
      <c r="AT162" s="182">
        <v>398.15</v>
      </c>
      <c r="AU162" s="182"/>
      <c r="AV162" s="182"/>
      <c r="AW162" s="182"/>
      <c r="AX162" s="182"/>
      <c r="AY162" s="182"/>
      <c r="AZ162" s="182"/>
      <c r="BA162" s="182"/>
      <c r="BB162" s="182"/>
      <c r="BC162" s="182"/>
      <c r="BD162" s="182"/>
      <c r="BE162" s="182"/>
      <c r="BF162" s="182"/>
      <c r="BG162" s="182"/>
      <c r="BH162" s="182"/>
      <c r="BI162" s="182"/>
      <c r="BJ162" s="182"/>
      <c r="BK162" s="182"/>
      <c r="BL162" s="182"/>
      <c r="BM162" s="182"/>
      <c r="BN162" s="182"/>
      <c r="BO162" s="182"/>
      <c r="BP162" s="182"/>
      <c r="BQ162" s="182"/>
      <c r="BR162" s="182"/>
      <c r="BS162" s="182"/>
      <c r="BT162" s="182"/>
      <c r="BU162" s="182"/>
      <c r="BV162" s="182"/>
      <c r="BW162" s="182"/>
      <c r="BX162" s="182"/>
      <c r="BY162" s="182"/>
      <c r="BZ162" s="182"/>
      <c r="CA162" s="182"/>
      <c r="CB162" s="185">
        <f t="shared" si="29"/>
        <v>1652.52</v>
      </c>
      <c r="CC162" s="185">
        <f t="shared" si="30"/>
        <v>0</v>
      </c>
      <c r="CD162" s="185">
        <f t="shared" si="31"/>
        <v>542</v>
      </c>
      <c r="CE162" s="185" t="e">
        <f>+#REF!</f>
        <v>#REF!</v>
      </c>
    </row>
    <row r="163" spans="2:83" s="197" customFormat="1" ht="37.5" x14ac:dyDescent="0.3">
      <c r="B163" s="182">
        <v>1339</v>
      </c>
      <c r="C163" s="182">
        <v>543</v>
      </c>
      <c r="D163" s="182" t="s">
        <v>121</v>
      </c>
      <c r="E163" s="181" t="s">
        <v>4596</v>
      </c>
      <c r="F163" s="182"/>
      <c r="G163" s="182">
        <v>4363.96</v>
      </c>
      <c r="H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182"/>
      <c r="AI163" s="182"/>
      <c r="AJ163" s="182"/>
      <c r="AK163" s="182"/>
      <c r="AL163" s="182"/>
      <c r="AM163" s="182"/>
      <c r="AN163" s="182"/>
      <c r="AO163" s="182"/>
      <c r="AP163" s="182"/>
      <c r="AQ163" s="185">
        <f t="shared" si="28"/>
        <v>4363.96</v>
      </c>
      <c r="AR163" s="182">
        <v>3197.56</v>
      </c>
      <c r="AS163" s="182">
        <v>114.99</v>
      </c>
      <c r="AT163" s="182">
        <v>1051.4100000000001</v>
      </c>
      <c r="AU163" s="182"/>
      <c r="AV163" s="182"/>
      <c r="AW163" s="182"/>
      <c r="AX163" s="182"/>
      <c r="AY163" s="182"/>
      <c r="AZ163" s="182"/>
      <c r="BA163" s="182"/>
      <c r="BB163" s="182"/>
      <c r="BC163" s="182"/>
      <c r="BD163" s="182"/>
      <c r="BE163" s="182"/>
      <c r="BF163" s="182"/>
      <c r="BG163" s="182"/>
      <c r="BH163" s="182"/>
      <c r="BI163" s="182"/>
      <c r="BJ163" s="182"/>
      <c r="BK163" s="182"/>
      <c r="BL163" s="182"/>
      <c r="BM163" s="182"/>
      <c r="BN163" s="182"/>
      <c r="BO163" s="182"/>
      <c r="BP163" s="182"/>
      <c r="BQ163" s="182"/>
      <c r="BR163" s="182"/>
      <c r="BS163" s="182"/>
      <c r="BT163" s="182"/>
      <c r="BU163" s="182"/>
      <c r="BV163" s="182"/>
      <c r="BW163" s="182"/>
      <c r="BX163" s="182"/>
      <c r="BY163" s="182"/>
      <c r="BZ163" s="182"/>
      <c r="CA163" s="182"/>
      <c r="CB163" s="185">
        <f t="shared" si="29"/>
        <v>4363.96</v>
      </c>
      <c r="CC163" s="185">
        <f t="shared" si="30"/>
        <v>0</v>
      </c>
      <c r="CD163" s="185">
        <f t="shared" si="31"/>
        <v>543</v>
      </c>
      <c r="CE163" s="185" t="e">
        <f>+#REF!</f>
        <v>#REF!</v>
      </c>
    </row>
    <row r="164" spans="2:83" s="197" customFormat="1" ht="37.5" x14ac:dyDescent="0.3">
      <c r="B164" s="182">
        <v>1346</v>
      </c>
      <c r="C164" s="182">
        <v>544</v>
      </c>
      <c r="D164" s="182" t="s">
        <v>121</v>
      </c>
      <c r="E164" s="181" t="s">
        <v>4596</v>
      </c>
      <c r="F164" s="182"/>
      <c r="G164" s="182">
        <v>1248.8800000000001</v>
      </c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182"/>
      <c r="AQ164" s="185">
        <f t="shared" si="28"/>
        <v>1248.8800000000001</v>
      </c>
      <c r="AR164" s="182">
        <v>917.71</v>
      </c>
      <c r="AS164" s="182">
        <v>30.28</v>
      </c>
      <c r="AT164" s="182">
        <v>300.89</v>
      </c>
      <c r="AU164" s="182"/>
      <c r="AV164" s="182"/>
      <c r="AW164" s="182"/>
      <c r="AX164" s="182"/>
      <c r="AY164" s="182"/>
      <c r="AZ164" s="182"/>
      <c r="BA164" s="182"/>
      <c r="BB164" s="182"/>
      <c r="BC164" s="182"/>
      <c r="BD164" s="182"/>
      <c r="BE164" s="182"/>
      <c r="BF164" s="182"/>
      <c r="BG164" s="182"/>
      <c r="BH164" s="182"/>
      <c r="BI164" s="182"/>
      <c r="BJ164" s="182"/>
      <c r="BK164" s="182"/>
      <c r="BL164" s="182"/>
      <c r="BM164" s="182"/>
      <c r="BN164" s="182"/>
      <c r="BO164" s="182"/>
      <c r="BP164" s="182"/>
      <c r="BQ164" s="182"/>
      <c r="BR164" s="182"/>
      <c r="BS164" s="182"/>
      <c r="BT164" s="182"/>
      <c r="BU164" s="182"/>
      <c r="BV164" s="182"/>
      <c r="BW164" s="182"/>
      <c r="BX164" s="182"/>
      <c r="BY164" s="182"/>
      <c r="BZ164" s="182"/>
      <c r="CA164" s="182"/>
      <c r="CB164" s="185">
        <f t="shared" si="29"/>
        <v>1248.8800000000001</v>
      </c>
      <c r="CC164" s="185">
        <f t="shared" si="30"/>
        <v>0</v>
      </c>
      <c r="CD164" s="185">
        <f t="shared" si="31"/>
        <v>544</v>
      </c>
      <c r="CE164" s="185" t="e">
        <f>+#REF!</f>
        <v>#REF!</v>
      </c>
    </row>
    <row r="165" spans="2:83" s="197" customFormat="1" ht="37.5" x14ac:dyDescent="0.3">
      <c r="B165" s="182">
        <v>1343</v>
      </c>
      <c r="C165" s="182">
        <v>545</v>
      </c>
      <c r="D165" s="182" t="s">
        <v>121</v>
      </c>
      <c r="E165" s="181" t="s">
        <v>4596</v>
      </c>
      <c r="F165" s="182"/>
      <c r="G165" s="182">
        <v>15825.88</v>
      </c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2"/>
      <c r="AM165" s="182"/>
      <c r="AN165" s="182"/>
      <c r="AO165" s="182"/>
      <c r="AP165" s="182"/>
      <c r="AQ165" s="185">
        <f t="shared" si="28"/>
        <v>15825.88</v>
      </c>
      <c r="AR165" s="182">
        <v>11783.13</v>
      </c>
      <c r="AS165" s="182">
        <v>549.86</v>
      </c>
      <c r="AT165" s="182">
        <v>3492.89</v>
      </c>
      <c r="AU165" s="182"/>
      <c r="AV165" s="182"/>
      <c r="AW165" s="182"/>
      <c r="AX165" s="182"/>
      <c r="AY165" s="182"/>
      <c r="AZ165" s="182"/>
      <c r="BA165" s="182"/>
      <c r="BB165" s="182"/>
      <c r="BC165" s="182"/>
      <c r="BD165" s="182"/>
      <c r="BE165" s="182"/>
      <c r="BF165" s="182"/>
      <c r="BG165" s="182"/>
      <c r="BH165" s="182"/>
      <c r="BI165" s="182"/>
      <c r="BJ165" s="182"/>
      <c r="BK165" s="182"/>
      <c r="BL165" s="182"/>
      <c r="BM165" s="182"/>
      <c r="BN165" s="182"/>
      <c r="BO165" s="182"/>
      <c r="BP165" s="182"/>
      <c r="BQ165" s="182"/>
      <c r="BR165" s="182"/>
      <c r="BS165" s="182"/>
      <c r="BT165" s="182"/>
      <c r="BU165" s="182"/>
      <c r="BV165" s="182"/>
      <c r="BW165" s="182"/>
      <c r="BX165" s="182"/>
      <c r="BY165" s="182"/>
      <c r="BZ165" s="182"/>
      <c r="CA165" s="182"/>
      <c r="CB165" s="185">
        <f t="shared" si="29"/>
        <v>15825.88</v>
      </c>
      <c r="CC165" s="185">
        <f t="shared" si="30"/>
        <v>0</v>
      </c>
      <c r="CD165" s="185">
        <f t="shared" si="31"/>
        <v>545</v>
      </c>
      <c r="CE165" s="185" t="e">
        <f>+#REF!</f>
        <v>#REF!</v>
      </c>
    </row>
    <row r="166" spans="2:83" s="197" customFormat="1" ht="37.5" x14ac:dyDescent="0.3">
      <c r="B166" s="182">
        <v>1345</v>
      </c>
      <c r="C166" s="182">
        <v>546</v>
      </c>
      <c r="D166" s="182" t="s">
        <v>121</v>
      </c>
      <c r="E166" s="181" t="s">
        <v>4596</v>
      </c>
      <c r="F166" s="182"/>
      <c r="G166" s="182">
        <v>6244.4</v>
      </c>
      <c r="H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  <c r="AJ166" s="182"/>
      <c r="AK166" s="182"/>
      <c r="AL166" s="182"/>
      <c r="AM166" s="182"/>
      <c r="AN166" s="182"/>
      <c r="AO166" s="182"/>
      <c r="AP166" s="182"/>
      <c r="AQ166" s="185">
        <f t="shared" si="28"/>
        <v>6244.4</v>
      </c>
      <c r="AR166" s="182">
        <v>4588.55</v>
      </c>
      <c r="AS166" s="182">
        <v>151.4</v>
      </c>
      <c r="AT166" s="182">
        <v>1504.45</v>
      </c>
      <c r="AU166" s="182"/>
      <c r="AV166" s="182"/>
      <c r="AW166" s="182"/>
      <c r="AX166" s="182"/>
      <c r="AY166" s="182"/>
      <c r="AZ166" s="182"/>
      <c r="BA166" s="182"/>
      <c r="BB166" s="182"/>
      <c r="BC166" s="182"/>
      <c r="BD166" s="182"/>
      <c r="BE166" s="182"/>
      <c r="BF166" s="182"/>
      <c r="BG166" s="182"/>
      <c r="BH166" s="182"/>
      <c r="BI166" s="182"/>
      <c r="BJ166" s="182"/>
      <c r="BK166" s="182"/>
      <c r="BL166" s="182"/>
      <c r="BM166" s="182"/>
      <c r="BN166" s="182"/>
      <c r="BO166" s="182"/>
      <c r="BP166" s="182"/>
      <c r="BQ166" s="182"/>
      <c r="BR166" s="182"/>
      <c r="BS166" s="182"/>
      <c r="BT166" s="182"/>
      <c r="BU166" s="182"/>
      <c r="BV166" s="182"/>
      <c r="BW166" s="182"/>
      <c r="BX166" s="182"/>
      <c r="BY166" s="182"/>
      <c r="BZ166" s="182"/>
      <c r="CA166" s="182"/>
      <c r="CB166" s="185">
        <f t="shared" si="29"/>
        <v>6244.4</v>
      </c>
      <c r="CC166" s="185">
        <f t="shared" si="30"/>
        <v>0</v>
      </c>
      <c r="CD166" s="185">
        <f t="shared" si="31"/>
        <v>546</v>
      </c>
      <c r="CE166" s="185" t="e">
        <f>+#REF!</f>
        <v>#REF!</v>
      </c>
    </row>
    <row r="167" spans="2:83" s="197" customFormat="1" ht="37.5" x14ac:dyDescent="0.3">
      <c r="B167" s="182">
        <v>1344</v>
      </c>
      <c r="C167" s="182">
        <v>547</v>
      </c>
      <c r="D167" s="182" t="s">
        <v>121</v>
      </c>
      <c r="E167" s="181" t="s">
        <v>4596</v>
      </c>
      <c r="F167" s="182"/>
      <c r="G167" s="182">
        <v>37733.440000000002</v>
      </c>
      <c r="H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182"/>
      <c r="AL167" s="182"/>
      <c r="AM167" s="182"/>
      <c r="AN167" s="182"/>
      <c r="AO167" s="182"/>
      <c r="AP167" s="182"/>
      <c r="AQ167" s="185">
        <f t="shared" si="28"/>
        <v>37733.440000000002</v>
      </c>
      <c r="AR167" s="182">
        <v>29659.77</v>
      </c>
      <c r="AS167" s="182">
        <v>1222.8599999999999</v>
      </c>
      <c r="AT167" s="182">
        <v>6850.81</v>
      </c>
      <c r="AU167" s="182"/>
      <c r="AV167" s="182"/>
      <c r="AW167" s="182"/>
      <c r="AX167" s="182"/>
      <c r="AY167" s="182"/>
      <c r="AZ167" s="182"/>
      <c r="BA167" s="182"/>
      <c r="BB167" s="182"/>
      <c r="BC167" s="182"/>
      <c r="BD167" s="182"/>
      <c r="BE167" s="182"/>
      <c r="BF167" s="182"/>
      <c r="BG167" s="182"/>
      <c r="BH167" s="182"/>
      <c r="BI167" s="182"/>
      <c r="BJ167" s="182"/>
      <c r="BK167" s="182"/>
      <c r="BL167" s="182"/>
      <c r="BM167" s="182"/>
      <c r="BN167" s="182"/>
      <c r="BO167" s="182"/>
      <c r="BP167" s="182"/>
      <c r="BQ167" s="182"/>
      <c r="BR167" s="182"/>
      <c r="BS167" s="182"/>
      <c r="BT167" s="182"/>
      <c r="BU167" s="182"/>
      <c r="BV167" s="182"/>
      <c r="BW167" s="182"/>
      <c r="BX167" s="182"/>
      <c r="BY167" s="182"/>
      <c r="BZ167" s="182"/>
      <c r="CA167" s="182"/>
      <c r="CB167" s="185">
        <f t="shared" si="29"/>
        <v>37733.440000000002</v>
      </c>
      <c r="CC167" s="185">
        <f t="shared" si="30"/>
        <v>0</v>
      </c>
      <c r="CD167" s="185">
        <f t="shared" si="31"/>
        <v>547</v>
      </c>
      <c r="CE167" s="185" t="e">
        <f>+#REF!</f>
        <v>#REF!</v>
      </c>
    </row>
    <row r="168" spans="2:83" s="197" customFormat="1" ht="37.5" x14ac:dyDescent="0.3">
      <c r="B168" s="182">
        <v>1016</v>
      </c>
      <c r="C168" s="182">
        <v>548</v>
      </c>
      <c r="D168" s="182" t="s">
        <v>121</v>
      </c>
      <c r="E168" s="181" t="s">
        <v>4597</v>
      </c>
      <c r="F168" s="182"/>
      <c r="G168" s="182">
        <v>2452.12</v>
      </c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182"/>
      <c r="AL168" s="182"/>
      <c r="AM168" s="182"/>
      <c r="AN168" s="182"/>
      <c r="AO168" s="182"/>
      <c r="AP168" s="182"/>
      <c r="AQ168" s="185">
        <f t="shared" si="28"/>
        <v>2452.12</v>
      </c>
      <c r="AR168" s="182">
        <v>1736.77</v>
      </c>
      <c r="AS168" s="182">
        <v>224.33</v>
      </c>
      <c r="AT168" s="182">
        <v>491.02</v>
      </c>
      <c r="AU168" s="182"/>
      <c r="AV168" s="182"/>
      <c r="AW168" s="182"/>
      <c r="AX168" s="182"/>
      <c r="AY168" s="182"/>
      <c r="AZ168" s="182"/>
      <c r="BA168" s="182"/>
      <c r="BB168" s="182"/>
      <c r="BC168" s="182"/>
      <c r="BD168" s="182"/>
      <c r="BE168" s="182"/>
      <c r="BF168" s="182"/>
      <c r="BG168" s="182"/>
      <c r="BH168" s="182"/>
      <c r="BI168" s="182"/>
      <c r="BJ168" s="182"/>
      <c r="BK168" s="182"/>
      <c r="BL168" s="182"/>
      <c r="BM168" s="182"/>
      <c r="BN168" s="182"/>
      <c r="BO168" s="182"/>
      <c r="BP168" s="182"/>
      <c r="BQ168" s="182"/>
      <c r="BR168" s="182"/>
      <c r="BS168" s="182"/>
      <c r="BT168" s="182"/>
      <c r="BU168" s="182"/>
      <c r="BV168" s="182"/>
      <c r="BW168" s="182"/>
      <c r="BX168" s="182"/>
      <c r="BY168" s="182"/>
      <c r="BZ168" s="182"/>
      <c r="CA168" s="182"/>
      <c r="CB168" s="185">
        <f t="shared" si="29"/>
        <v>2452.12</v>
      </c>
      <c r="CC168" s="185">
        <f t="shared" si="30"/>
        <v>0</v>
      </c>
      <c r="CD168" s="185">
        <f t="shared" si="31"/>
        <v>548</v>
      </c>
      <c r="CE168" s="185" t="e">
        <f>+#REF!</f>
        <v>#REF!</v>
      </c>
    </row>
    <row r="169" spans="2:83" s="197" customFormat="1" ht="37.5" x14ac:dyDescent="0.3">
      <c r="B169" s="182">
        <v>1019</v>
      </c>
      <c r="C169" s="182">
        <v>549</v>
      </c>
      <c r="D169" s="182" t="s">
        <v>121</v>
      </c>
      <c r="E169" s="181" t="s">
        <v>4597</v>
      </c>
      <c r="F169" s="182"/>
      <c r="G169" s="182">
        <v>173.46</v>
      </c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  <c r="AJ169" s="182"/>
      <c r="AK169" s="182"/>
      <c r="AL169" s="182"/>
      <c r="AM169" s="182"/>
      <c r="AN169" s="182"/>
      <c r="AO169" s="182"/>
      <c r="AP169" s="182"/>
      <c r="AQ169" s="185">
        <f t="shared" si="28"/>
        <v>173.46</v>
      </c>
      <c r="AR169" s="182">
        <v>116.38</v>
      </c>
      <c r="AS169" s="182">
        <v>15.29</v>
      </c>
      <c r="AT169" s="182">
        <v>41.79</v>
      </c>
      <c r="AU169" s="182"/>
      <c r="AV169" s="182"/>
      <c r="AW169" s="182"/>
      <c r="AX169" s="182"/>
      <c r="AY169" s="182"/>
      <c r="AZ169" s="182"/>
      <c r="BA169" s="182"/>
      <c r="BB169" s="182"/>
      <c r="BC169" s="182"/>
      <c r="BD169" s="182"/>
      <c r="BE169" s="182"/>
      <c r="BF169" s="182"/>
      <c r="BG169" s="182"/>
      <c r="BH169" s="182"/>
      <c r="BI169" s="182"/>
      <c r="BJ169" s="182"/>
      <c r="BK169" s="182"/>
      <c r="BL169" s="182"/>
      <c r="BM169" s="182"/>
      <c r="BN169" s="182"/>
      <c r="BO169" s="182"/>
      <c r="BP169" s="182"/>
      <c r="BQ169" s="182"/>
      <c r="BR169" s="182"/>
      <c r="BS169" s="182"/>
      <c r="BT169" s="182"/>
      <c r="BU169" s="182"/>
      <c r="BV169" s="182"/>
      <c r="BW169" s="182"/>
      <c r="BX169" s="182"/>
      <c r="BY169" s="182"/>
      <c r="BZ169" s="182"/>
      <c r="CA169" s="182"/>
      <c r="CB169" s="185">
        <f t="shared" si="29"/>
        <v>173.45999999999998</v>
      </c>
      <c r="CC169" s="185">
        <f t="shared" si="30"/>
        <v>0</v>
      </c>
      <c r="CD169" s="185">
        <f t="shared" si="31"/>
        <v>549</v>
      </c>
      <c r="CE169" s="185" t="e">
        <f>+#REF!</f>
        <v>#REF!</v>
      </c>
    </row>
    <row r="170" spans="2:83" s="197" customFormat="1" ht="37.5" x14ac:dyDescent="0.3">
      <c r="B170" s="182">
        <v>1020</v>
      </c>
      <c r="C170" s="182">
        <v>550</v>
      </c>
      <c r="D170" s="182" t="s">
        <v>121</v>
      </c>
      <c r="E170" s="181" t="s">
        <v>4597</v>
      </c>
      <c r="F170" s="182"/>
      <c r="G170" s="182">
        <v>867.3</v>
      </c>
      <c r="H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182"/>
      <c r="AL170" s="182"/>
      <c r="AM170" s="182"/>
      <c r="AN170" s="182"/>
      <c r="AO170" s="182"/>
      <c r="AP170" s="182"/>
      <c r="AQ170" s="185">
        <f t="shared" si="28"/>
        <v>867.3</v>
      </c>
      <c r="AR170" s="182">
        <v>581.9</v>
      </c>
      <c r="AS170" s="182">
        <v>76.45</v>
      </c>
      <c r="AT170" s="182">
        <v>208.95</v>
      </c>
      <c r="AU170" s="182"/>
      <c r="AV170" s="182"/>
      <c r="AW170" s="182"/>
      <c r="AX170" s="182"/>
      <c r="AY170" s="182"/>
      <c r="AZ170" s="182"/>
      <c r="BA170" s="182"/>
      <c r="BB170" s="182"/>
      <c r="BC170" s="182"/>
      <c r="BD170" s="182"/>
      <c r="BE170" s="182"/>
      <c r="BF170" s="182"/>
      <c r="BG170" s="182"/>
      <c r="BH170" s="182"/>
      <c r="BI170" s="182"/>
      <c r="BJ170" s="182"/>
      <c r="BK170" s="182"/>
      <c r="BL170" s="182"/>
      <c r="BM170" s="182"/>
      <c r="BN170" s="182"/>
      <c r="BO170" s="182"/>
      <c r="BP170" s="182"/>
      <c r="BQ170" s="182"/>
      <c r="BR170" s="182"/>
      <c r="BS170" s="182"/>
      <c r="BT170" s="182"/>
      <c r="BU170" s="182"/>
      <c r="BV170" s="182"/>
      <c r="BW170" s="182"/>
      <c r="BX170" s="182"/>
      <c r="BY170" s="182"/>
      <c r="BZ170" s="182"/>
      <c r="CA170" s="182"/>
      <c r="CB170" s="185">
        <f t="shared" si="29"/>
        <v>867.3</v>
      </c>
      <c r="CC170" s="185">
        <f t="shared" si="30"/>
        <v>0</v>
      </c>
      <c r="CD170" s="185">
        <f t="shared" si="31"/>
        <v>550</v>
      </c>
      <c r="CE170" s="185" t="e">
        <f>+#REF!</f>
        <v>#REF!</v>
      </c>
    </row>
    <row r="171" spans="2:83" s="197" customFormat="1" ht="37.5" x14ac:dyDescent="0.3">
      <c r="B171" s="182">
        <v>1021</v>
      </c>
      <c r="C171" s="182">
        <v>551</v>
      </c>
      <c r="D171" s="182" t="s">
        <v>121</v>
      </c>
      <c r="E171" s="181" t="s">
        <v>4597</v>
      </c>
      <c r="F171" s="182"/>
      <c r="G171" s="182">
        <v>4955.79</v>
      </c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/>
      <c r="AL171" s="182"/>
      <c r="AM171" s="182"/>
      <c r="AN171" s="182"/>
      <c r="AO171" s="182"/>
      <c r="AP171" s="182"/>
      <c r="AQ171" s="185">
        <f t="shared" si="28"/>
        <v>4955.79</v>
      </c>
      <c r="AR171" s="182">
        <v>3323.96</v>
      </c>
      <c r="AS171" s="182">
        <v>438.06</v>
      </c>
      <c r="AT171" s="182">
        <v>1193.77</v>
      </c>
      <c r="AU171" s="182"/>
      <c r="AV171" s="182"/>
      <c r="AW171" s="182"/>
      <c r="AX171" s="182"/>
      <c r="AY171" s="182"/>
      <c r="AZ171" s="182"/>
      <c r="BA171" s="182"/>
      <c r="BB171" s="182"/>
      <c r="BC171" s="182"/>
      <c r="BD171" s="182"/>
      <c r="BE171" s="182"/>
      <c r="BF171" s="182"/>
      <c r="BG171" s="182"/>
      <c r="BH171" s="182"/>
      <c r="BI171" s="182"/>
      <c r="BJ171" s="182"/>
      <c r="BK171" s="182"/>
      <c r="BL171" s="182"/>
      <c r="BM171" s="182"/>
      <c r="BN171" s="182"/>
      <c r="BO171" s="182"/>
      <c r="BP171" s="182"/>
      <c r="BQ171" s="182"/>
      <c r="BR171" s="182"/>
      <c r="BS171" s="182"/>
      <c r="BT171" s="182"/>
      <c r="BU171" s="182"/>
      <c r="BV171" s="182"/>
      <c r="BW171" s="182"/>
      <c r="BX171" s="182"/>
      <c r="BY171" s="182"/>
      <c r="BZ171" s="182"/>
      <c r="CA171" s="182"/>
      <c r="CB171" s="185">
        <f t="shared" si="29"/>
        <v>4955.79</v>
      </c>
      <c r="CC171" s="185">
        <f t="shared" si="30"/>
        <v>0</v>
      </c>
      <c r="CD171" s="185">
        <f t="shared" si="31"/>
        <v>551</v>
      </c>
      <c r="CE171" s="185" t="e">
        <f>+#REF!</f>
        <v>#REF!</v>
      </c>
    </row>
    <row r="172" spans="2:83" s="197" customFormat="1" ht="37.5" x14ac:dyDescent="0.3">
      <c r="B172" s="182">
        <v>1012</v>
      </c>
      <c r="C172" s="182">
        <v>552</v>
      </c>
      <c r="D172" s="182" t="s">
        <v>121</v>
      </c>
      <c r="E172" s="181" t="s">
        <v>4597</v>
      </c>
      <c r="F172" s="182"/>
      <c r="G172" s="182">
        <v>9390.43</v>
      </c>
      <c r="H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  <c r="AJ172" s="182"/>
      <c r="AK172" s="182"/>
      <c r="AL172" s="182"/>
      <c r="AM172" s="182"/>
      <c r="AN172" s="182"/>
      <c r="AO172" s="182"/>
      <c r="AP172" s="182"/>
      <c r="AQ172" s="185">
        <f t="shared" si="28"/>
        <v>9390.43</v>
      </c>
      <c r="AR172" s="182">
        <v>6291.9</v>
      </c>
      <c r="AS172" s="182">
        <v>836.06</v>
      </c>
      <c r="AT172" s="182">
        <v>2262.4699999999998</v>
      </c>
      <c r="AU172" s="182"/>
      <c r="AV172" s="182"/>
      <c r="AW172" s="182"/>
      <c r="AX172" s="182"/>
      <c r="AY172" s="182"/>
      <c r="AZ172" s="182"/>
      <c r="BA172" s="182"/>
      <c r="BB172" s="182"/>
      <c r="BC172" s="182"/>
      <c r="BD172" s="182"/>
      <c r="BE172" s="182"/>
      <c r="BF172" s="182"/>
      <c r="BG172" s="182"/>
      <c r="BH172" s="182"/>
      <c r="BI172" s="182"/>
      <c r="BJ172" s="182"/>
      <c r="BK172" s="182"/>
      <c r="BL172" s="182"/>
      <c r="BM172" s="182"/>
      <c r="BN172" s="182"/>
      <c r="BO172" s="182"/>
      <c r="BP172" s="182"/>
      <c r="BQ172" s="182"/>
      <c r="BR172" s="182"/>
      <c r="BS172" s="182"/>
      <c r="BT172" s="182"/>
      <c r="BU172" s="182"/>
      <c r="BV172" s="182"/>
      <c r="BW172" s="182"/>
      <c r="BX172" s="182"/>
      <c r="BY172" s="182"/>
      <c r="BZ172" s="182"/>
      <c r="CA172" s="182"/>
      <c r="CB172" s="185">
        <f t="shared" si="29"/>
        <v>9390.4299999999985</v>
      </c>
      <c r="CC172" s="185">
        <f t="shared" si="30"/>
        <v>0</v>
      </c>
      <c r="CD172" s="185">
        <f t="shared" si="31"/>
        <v>552</v>
      </c>
      <c r="CE172" s="185" t="e">
        <f>+#REF!</f>
        <v>#REF!</v>
      </c>
    </row>
    <row r="173" spans="2:83" s="197" customFormat="1" ht="37.5" x14ac:dyDescent="0.3">
      <c r="B173" s="182">
        <v>1018</v>
      </c>
      <c r="C173" s="182">
        <v>553</v>
      </c>
      <c r="D173" s="182" t="s">
        <v>121</v>
      </c>
      <c r="E173" s="181" t="s">
        <v>4597</v>
      </c>
      <c r="F173" s="182"/>
      <c r="G173" s="182">
        <v>11322.32</v>
      </c>
      <c r="H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  <c r="AJ173" s="182"/>
      <c r="AK173" s="182"/>
      <c r="AL173" s="182"/>
      <c r="AM173" s="182"/>
      <c r="AN173" s="182"/>
      <c r="AO173" s="182"/>
      <c r="AP173" s="182"/>
      <c r="AQ173" s="185">
        <f t="shared" si="28"/>
        <v>11322.32</v>
      </c>
      <c r="AR173" s="182">
        <v>7760.7</v>
      </c>
      <c r="AS173" s="182">
        <v>1011.92</v>
      </c>
      <c r="AT173" s="182">
        <v>2549.6999999999998</v>
      </c>
      <c r="AU173" s="182"/>
      <c r="AV173" s="182"/>
      <c r="AW173" s="182"/>
      <c r="AX173" s="182"/>
      <c r="AY173" s="182"/>
      <c r="AZ173" s="182"/>
      <c r="BA173" s="182"/>
      <c r="BB173" s="182"/>
      <c r="BC173" s="182"/>
      <c r="BD173" s="182"/>
      <c r="BE173" s="182"/>
      <c r="BF173" s="182"/>
      <c r="BG173" s="182"/>
      <c r="BH173" s="182"/>
      <c r="BI173" s="182"/>
      <c r="BJ173" s="182"/>
      <c r="BK173" s="182"/>
      <c r="BL173" s="182"/>
      <c r="BM173" s="182"/>
      <c r="BN173" s="182"/>
      <c r="BO173" s="182"/>
      <c r="BP173" s="182"/>
      <c r="BQ173" s="182"/>
      <c r="BR173" s="182"/>
      <c r="BS173" s="182"/>
      <c r="BT173" s="182"/>
      <c r="BU173" s="182"/>
      <c r="BV173" s="182"/>
      <c r="BW173" s="182"/>
      <c r="BX173" s="182"/>
      <c r="BY173" s="182"/>
      <c r="BZ173" s="182"/>
      <c r="CA173" s="182"/>
      <c r="CB173" s="185">
        <f t="shared" si="29"/>
        <v>11322.32</v>
      </c>
      <c r="CC173" s="185">
        <f t="shared" si="30"/>
        <v>0</v>
      </c>
      <c r="CD173" s="185">
        <f t="shared" si="31"/>
        <v>553</v>
      </c>
      <c r="CE173" s="185" t="e">
        <f>+#REF!</f>
        <v>#REF!</v>
      </c>
    </row>
    <row r="174" spans="2:83" s="197" customFormat="1" ht="37.5" x14ac:dyDescent="0.3">
      <c r="B174" s="182">
        <v>1008</v>
      </c>
      <c r="C174" s="182">
        <v>554</v>
      </c>
      <c r="D174" s="182" t="s">
        <v>121</v>
      </c>
      <c r="E174" s="181" t="s">
        <v>4597</v>
      </c>
      <c r="F174" s="182"/>
      <c r="G174" s="182">
        <v>9303.6</v>
      </c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182"/>
      <c r="AI174" s="182"/>
      <c r="AJ174" s="182"/>
      <c r="AK174" s="182"/>
      <c r="AL174" s="182"/>
      <c r="AM174" s="182"/>
      <c r="AN174" s="182"/>
      <c r="AO174" s="182"/>
      <c r="AP174" s="182"/>
      <c r="AQ174" s="185">
        <f t="shared" si="28"/>
        <v>9303.6</v>
      </c>
      <c r="AR174" s="182">
        <v>6350.09</v>
      </c>
      <c r="AS174" s="182">
        <v>839.9</v>
      </c>
      <c r="AT174" s="182">
        <v>2113.61</v>
      </c>
      <c r="AU174" s="182"/>
      <c r="AV174" s="182"/>
      <c r="AW174" s="182"/>
      <c r="AX174" s="182"/>
      <c r="AY174" s="182"/>
      <c r="AZ174" s="182"/>
      <c r="BA174" s="182"/>
      <c r="BB174" s="182"/>
      <c r="BC174" s="182"/>
      <c r="BD174" s="182"/>
      <c r="BE174" s="182"/>
      <c r="BF174" s="182"/>
      <c r="BG174" s="182"/>
      <c r="BH174" s="182"/>
      <c r="BI174" s="182"/>
      <c r="BJ174" s="182"/>
      <c r="BK174" s="182"/>
      <c r="BL174" s="182"/>
      <c r="BM174" s="182"/>
      <c r="BN174" s="182"/>
      <c r="BO174" s="182"/>
      <c r="BP174" s="182"/>
      <c r="BQ174" s="182"/>
      <c r="BR174" s="182"/>
      <c r="BS174" s="182"/>
      <c r="BT174" s="182"/>
      <c r="BU174" s="182"/>
      <c r="BV174" s="182"/>
      <c r="BW174" s="182"/>
      <c r="BX174" s="182"/>
      <c r="BY174" s="182"/>
      <c r="BZ174" s="182"/>
      <c r="CA174" s="182"/>
      <c r="CB174" s="185">
        <f t="shared" si="29"/>
        <v>9303.6</v>
      </c>
      <c r="CC174" s="185">
        <f t="shared" si="30"/>
        <v>0</v>
      </c>
      <c r="CD174" s="185">
        <f t="shared" si="31"/>
        <v>554</v>
      </c>
      <c r="CE174" s="185" t="e">
        <f>+#REF!</f>
        <v>#REF!</v>
      </c>
    </row>
    <row r="175" spans="2:83" s="197" customFormat="1" ht="37.5" x14ac:dyDescent="0.3">
      <c r="B175" s="182">
        <v>1013</v>
      </c>
      <c r="C175" s="182">
        <v>555</v>
      </c>
      <c r="D175" s="182" t="s">
        <v>121</v>
      </c>
      <c r="E175" s="181" t="s">
        <v>4597</v>
      </c>
      <c r="F175" s="182"/>
      <c r="G175" s="182">
        <v>341.55</v>
      </c>
      <c r="H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  <c r="AI175" s="182"/>
      <c r="AJ175" s="182"/>
      <c r="AK175" s="182"/>
      <c r="AL175" s="182"/>
      <c r="AM175" s="182"/>
      <c r="AN175" s="182"/>
      <c r="AO175" s="182"/>
      <c r="AP175" s="182"/>
      <c r="AQ175" s="185">
        <f t="shared" si="28"/>
        <v>341.55</v>
      </c>
      <c r="AR175" s="182">
        <v>259.29000000000002</v>
      </c>
      <c r="AS175" s="182">
        <v>32.729999999999997</v>
      </c>
      <c r="AT175" s="182">
        <v>49.53</v>
      </c>
      <c r="AU175" s="182"/>
      <c r="AV175" s="182"/>
      <c r="AW175" s="182"/>
      <c r="AX175" s="182"/>
      <c r="AY175" s="182"/>
      <c r="AZ175" s="182"/>
      <c r="BA175" s="182"/>
      <c r="BB175" s="182"/>
      <c r="BC175" s="182"/>
      <c r="BD175" s="182"/>
      <c r="BE175" s="182"/>
      <c r="BF175" s="182"/>
      <c r="BG175" s="182"/>
      <c r="BH175" s="182"/>
      <c r="BI175" s="182"/>
      <c r="BJ175" s="182"/>
      <c r="BK175" s="182"/>
      <c r="BL175" s="182"/>
      <c r="BM175" s="182"/>
      <c r="BN175" s="182"/>
      <c r="BO175" s="182"/>
      <c r="BP175" s="182"/>
      <c r="BQ175" s="182"/>
      <c r="BR175" s="182"/>
      <c r="BS175" s="182"/>
      <c r="BT175" s="182"/>
      <c r="BU175" s="182"/>
      <c r="BV175" s="182"/>
      <c r="BW175" s="182"/>
      <c r="BX175" s="182"/>
      <c r="BY175" s="182"/>
      <c r="BZ175" s="182"/>
      <c r="CA175" s="182"/>
      <c r="CB175" s="185">
        <f t="shared" si="29"/>
        <v>341.55000000000007</v>
      </c>
      <c r="CC175" s="185">
        <f t="shared" si="30"/>
        <v>0</v>
      </c>
      <c r="CD175" s="185">
        <f t="shared" si="31"/>
        <v>555</v>
      </c>
      <c r="CE175" s="185" t="e">
        <f>+#REF!</f>
        <v>#REF!</v>
      </c>
    </row>
    <row r="176" spans="2:83" s="197" customFormat="1" ht="37.5" x14ac:dyDescent="0.3">
      <c r="B176" s="182">
        <v>1009</v>
      </c>
      <c r="C176" s="182">
        <v>556</v>
      </c>
      <c r="D176" s="182" t="s">
        <v>121</v>
      </c>
      <c r="E176" s="181" t="s">
        <v>4597</v>
      </c>
      <c r="F176" s="182"/>
      <c r="G176" s="182">
        <v>257.10000000000002</v>
      </c>
      <c r="H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  <c r="AI176" s="182"/>
      <c r="AJ176" s="182"/>
      <c r="AK176" s="182"/>
      <c r="AL176" s="182"/>
      <c r="AM176" s="182"/>
      <c r="AN176" s="182"/>
      <c r="AO176" s="182"/>
      <c r="AP176" s="182"/>
      <c r="AQ176" s="185">
        <f t="shared" si="28"/>
        <v>257.10000000000002</v>
      </c>
      <c r="AR176" s="182">
        <v>172.33</v>
      </c>
      <c r="AS176" s="182">
        <v>22.83</v>
      </c>
      <c r="AT176" s="182">
        <v>61.94</v>
      </c>
      <c r="AU176" s="182"/>
      <c r="AV176" s="182"/>
      <c r="AW176" s="182"/>
      <c r="AX176" s="182"/>
      <c r="AY176" s="182"/>
      <c r="AZ176" s="182"/>
      <c r="BA176" s="182"/>
      <c r="BB176" s="182"/>
      <c r="BC176" s="182"/>
      <c r="BD176" s="182"/>
      <c r="BE176" s="182"/>
      <c r="BF176" s="182"/>
      <c r="BG176" s="182"/>
      <c r="BH176" s="182"/>
      <c r="BI176" s="182"/>
      <c r="BJ176" s="182"/>
      <c r="BK176" s="182"/>
      <c r="BL176" s="182"/>
      <c r="BM176" s="182"/>
      <c r="BN176" s="182"/>
      <c r="BO176" s="182"/>
      <c r="BP176" s="182"/>
      <c r="BQ176" s="182"/>
      <c r="BR176" s="182"/>
      <c r="BS176" s="182"/>
      <c r="BT176" s="182"/>
      <c r="BU176" s="182"/>
      <c r="BV176" s="182"/>
      <c r="BW176" s="182"/>
      <c r="BX176" s="182"/>
      <c r="BY176" s="182"/>
      <c r="BZ176" s="182"/>
      <c r="CA176" s="182"/>
      <c r="CB176" s="185">
        <f t="shared" si="29"/>
        <v>257.10000000000002</v>
      </c>
      <c r="CC176" s="185">
        <f t="shared" si="30"/>
        <v>0</v>
      </c>
      <c r="CD176" s="185">
        <f t="shared" si="31"/>
        <v>556</v>
      </c>
      <c r="CE176" s="185" t="e">
        <f>+#REF!</f>
        <v>#REF!</v>
      </c>
    </row>
    <row r="177" spans="2:83" s="197" customFormat="1" ht="37.5" x14ac:dyDescent="0.3">
      <c r="B177" s="182">
        <v>1010</v>
      </c>
      <c r="C177" s="182">
        <v>557</v>
      </c>
      <c r="D177" s="182" t="s">
        <v>121</v>
      </c>
      <c r="E177" s="181" t="s">
        <v>4597</v>
      </c>
      <c r="F177" s="182"/>
      <c r="G177" s="182">
        <v>431.58</v>
      </c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/>
      <c r="AN177" s="182"/>
      <c r="AO177" s="182"/>
      <c r="AP177" s="182"/>
      <c r="AQ177" s="185">
        <f t="shared" si="28"/>
        <v>431.58</v>
      </c>
      <c r="AR177" s="182">
        <v>288.99</v>
      </c>
      <c r="AS177" s="182">
        <v>38.61</v>
      </c>
      <c r="AT177" s="182">
        <v>103.98</v>
      </c>
      <c r="AU177" s="182"/>
      <c r="AV177" s="182"/>
      <c r="AW177" s="182"/>
      <c r="AX177" s="182"/>
      <c r="AY177" s="182"/>
      <c r="AZ177" s="182"/>
      <c r="BA177" s="182"/>
      <c r="BB177" s="182"/>
      <c r="BC177" s="182"/>
      <c r="BD177" s="182"/>
      <c r="BE177" s="182"/>
      <c r="BF177" s="182"/>
      <c r="BG177" s="182"/>
      <c r="BH177" s="182"/>
      <c r="BI177" s="182"/>
      <c r="BJ177" s="182"/>
      <c r="BK177" s="182"/>
      <c r="BL177" s="182"/>
      <c r="BM177" s="182"/>
      <c r="BN177" s="182"/>
      <c r="BO177" s="182"/>
      <c r="BP177" s="182"/>
      <c r="BQ177" s="182"/>
      <c r="BR177" s="182"/>
      <c r="BS177" s="182"/>
      <c r="BT177" s="182"/>
      <c r="BU177" s="182"/>
      <c r="BV177" s="182"/>
      <c r="BW177" s="182"/>
      <c r="BX177" s="182"/>
      <c r="BY177" s="182"/>
      <c r="BZ177" s="182"/>
      <c r="CA177" s="182"/>
      <c r="CB177" s="185">
        <f t="shared" si="29"/>
        <v>431.58000000000004</v>
      </c>
      <c r="CC177" s="185">
        <f t="shared" si="30"/>
        <v>0</v>
      </c>
      <c r="CD177" s="185">
        <f t="shared" si="31"/>
        <v>557</v>
      </c>
      <c r="CE177" s="185" t="e">
        <f>+#REF!</f>
        <v>#REF!</v>
      </c>
    </row>
    <row r="178" spans="2:83" s="197" customFormat="1" ht="37.5" x14ac:dyDescent="0.3">
      <c r="B178" s="182">
        <v>1014</v>
      </c>
      <c r="C178" s="182">
        <v>558</v>
      </c>
      <c r="D178" s="182" t="s">
        <v>121</v>
      </c>
      <c r="E178" s="181" t="s">
        <v>4597</v>
      </c>
      <c r="F178" s="182"/>
      <c r="G178" s="182">
        <v>230.6</v>
      </c>
      <c r="H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  <c r="AI178" s="182"/>
      <c r="AJ178" s="182"/>
      <c r="AK178" s="182"/>
      <c r="AL178" s="182"/>
      <c r="AM178" s="182"/>
      <c r="AN178" s="182"/>
      <c r="AO178" s="182"/>
      <c r="AP178" s="182"/>
      <c r="AQ178" s="185">
        <f t="shared" si="28"/>
        <v>230.6</v>
      </c>
      <c r="AR178" s="182">
        <v>154.61000000000001</v>
      </c>
      <c r="AS178" s="182">
        <v>20.420000000000002</v>
      </c>
      <c r="AT178" s="182">
        <v>55.57</v>
      </c>
      <c r="AU178" s="182"/>
      <c r="AV178" s="182"/>
      <c r="AW178" s="182"/>
      <c r="AX178" s="182"/>
      <c r="AY178" s="182"/>
      <c r="AZ178" s="182"/>
      <c r="BA178" s="182"/>
      <c r="BB178" s="182"/>
      <c r="BC178" s="182"/>
      <c r="BD178" s="182"/>
      <c r="BE178" s="182"/>
      <c r="BF178" s="182"/>
      <c r="BG178" s="182"/>
      <c r="BH178" s="182"/>
      <c r="BI178" s="182"/>
      <c r="BJ178" s="182"/>
      <c r="BK178" s="182"/>
      <c r="BL178" s="182"/>
      <c r="BM178" s="182"/>
      <c r="BN178" s="182"/>
      <c r="BO178" s="182"/>
      <c r="BP178" s="182"/>
      <c r="BQ178" s="182"/>
      <c r="BR178" s="182"/>
      <c r="BS178" s="182"/>
      <c r="BT178" s="182"/>
      <c r="BU178" s="182"/>
      <c r="BV178" s="182"/>
      <c r="BW178" s="182"/>
      <c r="BX178" s="182"/>
      <c r="BY178" s="182"/>
      <c r="BZ178" s="182"/>
      <c r="CA178" s="182"/>
      <c r="CB178" s="185">
        <f t="shared" si="29"/>
        <v>230.60000000000002</v>
      </c>
      <c r="CC178" s="185">
        <f t="shared" si="30"/>
        <v>0</v>
      </c>
      <c r="CD178" s="185">
        <f t="shared" si="31"/>
        <v>558</v>
      </c>
      <c r="CE178" s="185" t="e">
        <f>+#REF!</f>
        <v>#REF!</v>
      </c>
    </row>
    <row r="179" spans="2:83" s="197" customFormat="1" ht="37.5" x14ac:dyDescent="0.3">
      <c r="B179" s="182">
        <v>1007</v>
      </c>
      <c r="C179" s="182">
        <v>559</v>
      </c>
      <c r="D179" s="182" t="s">
        <v>121</v>
      </c>
      <c r="E179" s="181" t="s">
        <v>4597</v>
      </c>
      <c r="F179" s="182"/>
      <c r="G179" s="182">
        <v>14795.02</v>
      </c>
      <c r="H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  <c r="AJ179" s="182"/>
      <c r="AK179" s="182"/>
      <c r="AL179" s="182"/>
      <c r="AM179" s="182"/>
      <c r="AN179" s="182"/>
      <c r="AO179" s="182"/>
      <c r="AP179" s="182"/>
      <c r="AQ179" s="185">
        <f t="shared" si="28"/>
        <v>14795.02</v>
      </c>
      <c r="AR179" s="182">
        <v>10084.74</v>
      </c>
      <c r="AS179" s="182">
        <v>1331.15</v>
      </c>
      <c r="AT179" s="182">
        <v>3379.13</v>
      </c>
      <c r="AU179" s="182"/>
      <c r="AV179" s="182"/>
      <c r="AW179" s="182"/>
      <c r="AX179" s="182"/>
      <c r="AY179" s="182"/>
      <c r="AZ179" s="182"/>
      <c r="BA179" s="182"/>
      <c r="BB179" s="182"/>
      <c r="BC179" s="182"/>
      <c r="BD179" s="182"/>
      <c r="BE179" s="182"/>
      <c r="BF179" s="182"/>
      <c r="BG179" s="182"/>
      <c r="BH179" s="182"/>
      <c r="BI179" s="182"/>
      <c r="BJ179" s="182"/>
      <c r="BK179" s="182"/>
      <c r="BL179" s="182"/>
      <c r="BM179" s="182"/>
      <c r="BN179" s="182"/>
      <c r="BO179" s="182"/>
      <c r="BP179" s="182"/>
      <c r="BQ179" s="182"/>
      <c r="BR179" s="182"/>
      <c r="BS179" s="182"/>
      <c r="BT179" s="182"/>
      <c r="BU179" s="182"/>
      <c r="BV179" s="182"/>
      <c r="BW179" s="182"/>
      <c r="BX179" s="182"/>
      <c r="BY179" s="182"/>
      <c r="BZ179" s="182"/>
      <c r="CA179" s="182"/>
      <c r="CB179" s="185">
        <f t="shared" si="29"/>
        <v>14795.02</v>
      </c>
      <c r="CC179" s="185">
        <f t="shared" si="30"/>
        <v>0</v>
      </c>
      <c r="CD179" s="185">
        <f t="shared" si="31"/>
        <v>559</v>
      </c>
      <c r="CE179" s="185" t="e">
        <f>+#REF!</f>
        <v>#REF!</v>
      </c>
    </row>
    <row r="180" spans="2:83" s="197" customFormat="1" ht="37.5" x14ac:dyDescent="0.3">
      <c r="B180" s="182">
        <v>1011</v>
      </c>
      <c r="C180" s="182">
        <v>560</v>
      </c>
      <c r="D180" s="182" t="s">
        <v>121</v>
      </c>
      <c r="E180" s="181" t="s">
        <v>4597</v>
      </c>
      <c r="F180" s="182"/>
      <c r="G180" s="182">
        <v>10201.31</v>
      </c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182"/>
      <c r="AI180" s="182"/>
      <c r="AJ180" s="182"/>
      <c r="AK180" s="182"/>
      <c r="AL180" s="182"/>
      <c r="AM180" s="182"/>
      <c r="AN180" s="182"/>
      <c r="AO180" s="182"/>
      <c r="AP180" s="182"/>
      <c r="AQ180" s="185">
        <f t="shared" si="28"/>
        <v>10201.31</v>
      </c>
      <c r="AR180" s="182">
        <v>6822.41</v>
      </c>
      <c r="AS180" s="182">
        <v>907.03</v>
      </c>
      <c r="AT180" s="182">
        <v>2471.87</v>
      </c>
      <c r="AU180" s="182"/>
      <c r="AV180" s="182"/>
      <c r="AW180" s="182"/>
      <c r="AX180" s="182"/>
      <c r="AY180" s="182"/>
      <c r="AZ180" s="182"/>
      <c r="BA180" s="182"/>
      <c r="BB180" s="182"/>
      <c r="BC180" s="182"/>
      <c r="BD180" s="182"/>
      <c r="BE180" s="182"/>
      <c r="BF180" s="182"/>
      <c r="BG180" s="182"/>
      <c r="BH180" s="182"/>
      <c r="BI180" s="182"/>
      <c r="BJ180" s="182"/>
      <c r="BK180" s="182"/>
      <c r="BL180" s="182"/>
      <c r="BM180" s="182"/>
      <c r="BN180" s="182"/>
      <c r="BO180" s="182"/>
      <c r="BP180" s="182"/>
      <c r="BQ180" s="182"/>
      <c r="BR180" s="182"/>
      <c r="BS180" s="182"/>
      <c r="BT180" s="182"/>
      <c r="BU180" s="182"/>
      <c r="BV180" s="182"/>
      <c r="BW180" s="182"/>
      <c r="BX180" s="182"/>
      <c r="BY180" s="182"/>
      <c r="BZ180" s="182"/>
      <c r="CA180" s="182"/>
      <c r="CB180" s="185">
        <f t="shared" si="29"/>
        <v>10201.31</v>
      </c>
      <c r="CC180" s="185">
        <f t="shared" si="30"/>
        <v>0</v>
      </c>
      <c r="CD180" s="185">
        <f t="shared" si="31"/>
        <v>560</v>
      </c>
      <c r="CE180" s="185" t="e">
        <f>+#REF!</f>
        <v>#REF!</v>
      </c>
    </row>
    <row r="181" spans="2:83" s="197" customFormat="1" ht="37.5" x14ac:dyDescent="0.3">
      <c r="B181" s="182">
        <v>1348</v>
      </c>
      <c r="C181" s="182">
        <v>561</v>
      </c>
      <c r="D181" s="182" t="s">
        <v>121</v>
      </c>
      <c r="E181" s="181" t="s">
        <v>4598</v>
      </c>
      <c r="F181" s="182"/>
      <c r="G181" s="182">
        <v>14795.02</v>
      </c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  <c r="AI181" s="182"/>
      <c r="AJ181" s="182"/>
      <c r="AK181" s="182"/>
      <c r="AL181" s="182"/>
      <c r="AM181" s="182"/>
      <c r="AN181" s="182"/>
      <c r="AO181" s="182"/>
      <c r="AP181" s="182"/>
      <c r="AQ181" s="185">
        <f t="shared" si="28"/>
        <v>14795.02</v>
      </c>
      <c r="AR181" s="182">
        <v>10084.74</v>
      </c>
      <c r="AS181" s="182">
        <v>1331.15</v>
      </c>
      <c r="AT181" s="182">
        <v>3379.13</v>
      </c>
      <c r="AU181" s="182"/>
      <c r="AV181" s="182"/>
      <c r="AW181" s="182"/>
      <c r="AX181" s="182"/>
      <c r="AY181" s="182"/>
      <c r="AZ181" s="182"/>
      <c r="BA181" s="182"/>
      <c r="BB181" s="182"/>
      <c r="BC181" s="182"/>
      <c r="BD181" s="182"/>
      <c r="BE181" s="182"/>
      <c r="BF181" s="182"/>
      <c r="BG181" s="182"/>
      <c r="BH181" s="182"/>
      <c r="BI181" s="182"/>
      <c r="BJ181" s="182"/>
      <c r="BK181" s="182"/>
      <c r="BL181" s="182"/>
      <c r="BM181" s="182"/>
      <c r="BN181" s="182"/>
      <c r="BO181" s="182"/>
      <c r="BP181" s="182"/>
      <c r="BQ181" s="182"/>
      <c r="BR181" s="182"/>
      <c r="BS181" s="182"/>
      <c r="BT181" s="182"/>
      <c r="BU181" s="182"/>
      <c r="BV181" s="182"/>
      <c r="BW181" s="182"/>
      <c r="BX181" s="182"/>
      <c r="BY181" s="182"/>
      <c r="BZ181" s="182"/>
      <c r="CA181" s="182"/>
      <c r="CB181" s="185">
        <f t="shared" si="29"/>
        <v>14795.02</v>
      </c>
      <c r="CC181" s="185">
        <f t="shared" si="30"/>
        <v>0</v>
      </c>
      <c r="CD181" s="185">
        <f t="shared" si="31"/>
        <v>561</v>
      </c>
      <c r="CE181" s="185" t="e">
        <f>+#REF!</f>
        <v>#REF!</v>
      </c>
    </row>
    <row r="182" spans="2:83" s="197" customFormat="1" ht="37.5" x14ac:dyDescent="0.3">
      <c r="B182" s="182">
        <v>1350</v>
      </c>
      <c r="C182" s="182">
        <v>562</v>
      </c>
      <c r="D182" s="182" t="s">
        <v>121</v>
      </c>
      <c r="E182" s="181" t="s">
        <v>4598</v>
      </c>
      <c r="F182" s="182"/>
      <c r="G182" s="182">
        <v>688.68</v>
      </c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  <c r="AI182" s="182"/>
      <c r="AJ182" s="182"/>
      <c r="AK182" s="182"/>
      <c r="AL182" s="182"/>
      <c r="AM182" s="182"/>
      <c r="AN182" s="182"/>
      <c r="AO182" s="182"/>
      <c r="AP182" s="182"/>
      <c r="AQ182" s="185">
        <f t="shared" si="28"/>
        <v>688.68</v>
      </c>
      <c r="AR182" s="182">
        <v>461.32</v>
      </c>
      <c r="AS182" s="182">
        <v>61.44</v>
      </c>
      <c r="AT182" s="182">
        <v>165.92</v>
      </c>
      <c r="AU182" s="182"/>
      <c r="AV182" s="182"/>
      <c r="AW182" s="182"/>
      <c r="AX182" s="182"/>
      <c r="AY182" s="182"/>
      <c r="AZ182" s="182"/>
      <c r="BA182" s="182"/>
      <c r="BB182" s="182"/>
      <c r="BC182" s="182"/>
      <c r="BD182" s="182"/>
      <c r="BE182" s="182"/>
      <c r="BF182" s="182"/>
      <c r="BG182" s="182"/>
      <c r="BH182" s="182"/>
      <c r="BI182" s="182"/>
      <c r="BJ182" s="182"/>
      <c r="BK182" s="182"/>
      <c r="BL182" s="182"/>
      <c r="BM182" s="182"/>
      <c r="BN182" s="182"/>
      <c r="BO182" s="182"/>
      <c r="BP182" s="182"/>
      <c r="BQ182" s="182"/>
      <c r="BR182" s="182"/>
      <c r="BS182" s="182"/>
      <c r="BT182" s="182"/>
      <c r="BU182" s="182"/>
      <c r="BV182" s="182"/>
      <c r="BW182" s="182"/>
      <c r="BX182" s="182"/>
      <c r="BY182" s="182"/>
      <c r="BZ182" s="182"/>
      <c r="CA182" s="182"/>
      <c r="CB182" s="185">
        <f t="shared" si="29"/>
        <v>688.68</v>
      </c>
      <c r="CC182" s="185">
        <f t="shared" si="30"/>
        <v>0</v>
      </c>
      <c r="CD182" s="185">
        <f t="shared" si="31"/>
        <v>562</v>
      </c>
      <c r="CE182" s="185" t="e">
        <f>+#REF!</f>
        <v>#REF!</v>
      </c>
    </row>
    <row r="183" spans="2:83" s="197" customFormat="1" ht="37.5" x14ac:dyDescent="0.3">
      <c r="B183" s="182">
        <v>1349</v>
      </c>
      <c r="C183" s="182">
        <v>563</v>
      </c>
      <c r="D183" s="182" t="s">
        <v>121</v>
      </c>
      <c r="E183" s="181" t="s">
        <v>4598</v>
      </c>
      <c r="F183" s="182"/>
      <c r="G183" s="182">
        <v>9235.0400000000009</v>
      </c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182"/>
      <c r="AK183" s="182"/>
      <c r="AL183" s="182"/>
      <c r="AM183" s="182"/>
      <c r="AN183" s="182"/>
      <c r="AO183" s="182"/>
      <c r="AP183" s="182"/>
      <c r="AQ183" s="185">
        <f t="shared" si="28"/>
        <v>9235.0400000000009</v>
      </c>
      <c r="AR183" s="182">
        <v>6289.08</v>
      </c>
      <c r="AS183" s="182">
        <v>832.35</v>
      </c>
      <c r="AT183" s="182">
        <v>2113.61</v>
      </c>
      <c r="AU183" s="182"/>
      <c r="AV183" s="182"/>
      <c r="AW183" s="182"/>
      <c r="AX183" s="182"/>
      <c r="AY183" s="182"/>
      <c r="AZ183" s="182"/>
      <c r="BA183" s="182"/>
      <c r="BB183" s="182"/>
      <c r="BC183" s="182"/>
      <c r="BD183" s="182"/>
      <c r="BE183" s="182"/>
      <c r="BF183" s="182"/>
      <c r="BG183" s="182"/>
      <c r="BH183" s="182"/>
      <c r="BI183" s="182"/>
      <c r="BJ183" s="182"/>
      <c r="BK183" s="182"/>
      <c r="BL183" s="182"/>
      <c r="BM183" s="182"/>
      <c r="BN183" s="182"/>
      <c r="BO183" s="182"/>
      <c r="BP183" s="182"/>
      <c r="BQ183" s="182"/>
      <c r="BR183" s="182"/>
      <c r="BS183" s="182"/>
      <c r="BT183" s="182"/>
      <c r="BU183" s="182"/>
      <c r="BV183" s="182"/>
      <c r="BW183" s="182"/>
      <c r="BX183" s="182"/>
      <c r="BY183" s="182"/>
      <c r="BZ183" s="182"/>
      <c r="CA183" s="182"/>
      <c r="CB183" s="185">
        <f t="shared" si="29"/>
        <v>9235.0400000000009</v>
      </c>
      <c r="CC183" s="185">
        <f t="shared" si="30"/>
        <v>0</v>
      </c>
      <c r="CD183" s="185">
        <f t="shared" si="31"/>
        <v>563</v>
      </c>
      <c r="CE183" s="185" t="e">
        <f>+#REF!</f>
        <v>#REF!</v>
      </c>
    </row>
    <row r="184" spans="2:83" s="197" customFormat="1" ht="37.5" x14ac:dyDescent="0.3">
      <c r="B184" s="182">
        <v>1351</v>
      </c>
      <c r="C184" s="182">
        <v>564</v>
      </c>
      <c r="D184" s="182" t="s">
        <v>121</v>
      </c>
      <c r="E184" s="181" t="s">
        <v>4598</v>
      </c>
      <c r="F184" s="182"/>
      <c r="G184" s="182">
        <v>10201.31</v>
      </c>
      <c r="H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  <c r="AI184" s="182"/>
      <c r="AJ184" s="182"/>
      <c r="AK184" s="182"/>
      <c r="AL184" s="182"/>
      <c r="AM184" s="182"/>
      <c r="AN184" s="182"/>
      <c r="AO184" s="182"/>
      <c r="AP184" s="182"/>
      <c r="AQ184" s="185">
        <f t="shared" si="28"/>
        <v>10201.31</v>
      </c>
      <c r="AR184" s="182">
        <v>6822.41</v>
      </c>
      <c r="AS184" s="182">
        <v>907.03</v>
      </c>
      <c r="AT184" s="182">
        <v>2471.87</v>
      </c>
      <c r="AU184" s="182"/>
      <c r="AV184" s="182"/>
      <c r="AW184" s="182"/>
      <c r="AX184" s="182"/>
      <c r="AY184" s="182"/>
      <c r="AZ184" s="182"/>
      <c r="BA184" s="182"/>
      <c r="BB184" s="182"/>
      <c r="BC184" s="182"/>
      <c r="BD184" s="182"/>
      <c r="BE184" s="182"/>
      <c r="BF184" s="182"/>
      <c r="BG184" s="182"/>
      <c r="BH184" s="182"/>
      <c r="BI184" s="182"/>
      <c r="BJ184" s="182"/>
      <c r="BK184" s="182"/>
      <c r="BL184" s="182"/>
      <c r="BM184" s="182"/>
      <c r="BN184" s="182"/>
      <c r="BO184" s="182"/>
      <c r="BP184" s="182"/>
      <c r="BQ184" s="182"/>
      <c r="BR184" s="182"/>
      <c r="BS184" s="182"/>
      <c r="BT184" s="182"/>
      <c r="BU184" s="182"/>
      <c r="BV184" s="182"/>
      <c r="BW184" s="182"/>
      <c r="BX184" s="182"/>
      <c r="BY184" s="182"/>
      <c r="BZ184" s="182"/>
      <c r="CA184" s="182"/>
      <c r="CB184" s="185">
        <f t="shared" si="29"/>
        <v>10201.31</v>
      </c>
      <c r="CC184" s="185">
        <f t="shared" si="30"/>
        <v>0</v>
      </c>
      <c r="CD184" s="185">
        <f t="shared" si="31"/>
        <v>564</v>
      </c>
      <c r="CE184" s="185" t="e">
        <f>+#REF!</f>
        <v>#REF!</v>
      </c>
    </row>
    <row r="185" spans="2:83" s="197" customFormat="1" ht="37.5" x14ac:dyDescent="0.3">
      <c r="B185" s="182">
        <v>1352</v>
      </c>
      <c r="C185" s="182">
        <v>565</v>
      </c>
      <c r="D185" s="182" t="s">
        <v>121</v>
      </c>
      <c r="E185" s="181" t="s">
        <v>4598</v>
      </c>
      <c r="F185" s="182"/>
      <c r="G185" s="182">
        <v>9390.43</v>
      </c>
      <c r="H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  <c r="AO185" s="182"/>
      <c r="AP185" s="182"/>
      <c r="AQ185" s="185">
        <f t="shared" si="28"/>
        <v>9390.43</v>
      </c>
      <c r="AR185" s="182">
        <v>6291.9</v>
      </c>
      <c r="AS185" s="182">
        <v>836.06</v>
      </c>
      <c r="AT185" s="182">
        <v>2262.4699999999998</v>
      </c>
      <c r="AU185" s="182"/>
      <c r="AV185" s="182"/>
      <c r="AW185" s="182"/>
      <c r="AX185" s="182"/>
      <c r="AY185" s="182"/>
      <c r="AZ185" s="182"/>
      <c r="BA185" s="182"/>
      <c r="BB185" s="182"/>
      <c r="BC185" s="182"/>
      <c r="BD185" s="182"/>
      <c r="BE185" s="182"/>
      <c r="BF185" s="182"/>
      <c r="BG185" s="182"/>
      <c r="BH185" s="182"/>
      <c r="BI185" s="182"/>
      <c r="BJ185" s="182"/>
      <c r="BK185" s="182"/>
      <c r="BL185" s="182"/>
      <c r="BM185" s="182"/>
      <c r="BN185" s="182"/>
      <c r="BO185" s="182"/>
      <c r="BP185" s="182"/>
      <c r="BQ185" s="182"/>
      <c r="BR185" s="182"/>
      <c r="BS185" s="182"/>
      <c r="BT185" s="182"/>
      <c r="BU185" s="182"/>
      <c r="BV185" s="182"/>
      <c r="BW185" s="182"/>
      <c r="BX185" s="182"/>
      <c r="BY185" s="182"/>
      <c r="BZ185" s="182"/>
      <c r="CA185" s="182"/>
      <c r="CB185" s="185">
        <f t="shared" si="29"/>
        <v>9390.4299999999985</v>
      </c>
      <c r="CC185" s="185">
        <f t="shared" si="30"/>
        <v>0</v>
      </c>
      <c r="CD185" s="185">
        <f t="shared" si="31"/>
        <v>565</v>
      </c>
      <c r="CE185" s="185" t="e">
        <f>+#REF!</f>
        <v>#REF!</v>
      </c>
    </row>
    <row r="186" spans="2:83" s="197" customFormat="1" ht="37.5" x14ac:dyDescent="0.3">
      <c r="B186" s="182">
        <v>1361</v>
      </c>
      <c r="C186" s="182">
        <v>566</v>
      </c>
      <c r="D186" s="182" t="s">
        <v>121</v>
      </c>
      <c r="E186" s="181" t="s">
        <v>4598</v>
      </c>
      <c r="F186" s="182"/>
      <c r="G186" s="182">
        <v>11301.2</v>
      </c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/>
      <c r="AN186" s="182"/>
      <c r="AO186" s="182"/>
      <c r="AP186" s="182"/>
      <c r="AQ186" s="185">
        <f t="shared" si="28"/>
        <v>11301.2</v>
      </c>
      <c r="AR186" s="182">
        <v>7774.05</v>
      </c>
      <c r="AS186" s="182">
        <v>1012.02</v>
      </c>
      <c r="AT186" s="182">
        <v>2515.13</v>
      </c>
      <c r="AU186" s="182"/>
      <c r="AV186" s="182"/>
      <c r="AW186" s="182"/>
      <c r="AX186" s="182"/>
      <c r="AY186" s="182"/>
      <c r="AZ186" s="182"/>
      <c r="BA186" s="182"/>
      <c r="BB186" s="182"/>
      <c r="BC186" s="182"/>
      <c r="BD186" s="182"/>
      <c r="BE186" s="182"/>
      <c r="BF186" s="182"/>
      <c r="BG186" s="182"/>
      <c r="BH186" s="182"/>
      <c r="BI186" s="182"/>
      <c r="BJ186" s="182"/>
      <c r="BK186" s="182"/>
      <c r="BL186" s="182"/>
      <c r="BM186" s="182"/>
      <c r="BN186" s="182"/>
      <c r="BO186" s="182"/>
      <c r="BP186" s="182"/>
      <c r="BQ186" s="182"/>
      <c r="BR186" s="182"/>
      <c r="BS186" s="182"/>
      <c r="BT186" s="182"/>
      <c r="BU186" s="182"/>
      <c r="BV186" s="182"/>
      <c r="BW186" s="182"/>
      <c r="BX186" s="182"/>
      <c r="BY186" s="182"/>
      <c r="BZ186" s="182"/>
      <c r="CA186" s="182"/>
      <c r="CB186" s="185">
        <f t="shared" si="29"/>
        <v>11301.2</v>
      </c>
      <c r="CC186" s="185">
        <f t="shared" si="30"/>
        <v>0</v>
      </c>
      <c r="CD186" s="185">
        <f t="shared" si="31"/>
        <v>566</v>
      </c>
      <c r="CE186" s="185" t="e">
        <f>+#REF!</f>
        <v>#REF!</v>
      </c>
    </row>
    <row r="187" spans="2:83" s="197" customFormat="1" ht="37.5" x14ac:dyDescent="0.3">
      <c r="B187" s="182">
        <v>1360</v>
      </c>
      <c r="C187" s="182">
        <v>567</v>
      </c>
      <c r="D187" s="182" t="s">
        <v>121</v>
      </c>
      <c r="E187" s="181" t="s">
        <v>4598</v>
      </c>
      <c r="F187" s="182"/>
      <c r="G187" s="182">
        <v>867.3</v>
      </c>
      <c r="H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182"/>
      <c r="AI187" s="182"/>
      <c r="AJ187" s="182"/>
      <c r="AK187" s="182"/>
      <c r="AL187" s="182"/>
      <c r="AM187" s="182"/>
      <c r="AN187" s="182"/>
      <c r="AO187" s="182"/>
      <c r="AP187" s="182"/>
      <c r="AQ187" s="185">
        <f t="shared" si="28"/>
        <v>867.3</v>
      </c>
      <c r="AR187" s="182">
        <v>581.9</v>
      </c>
      <c r="AS187" s="182">
        <v>76.45</v>
      </c>
      <c r="AT187" s="182">
        <v>208.95</v>
      </c>
      <c r="AU187" s="182"/>
      <c r="AV187" s="182"/>
      <c r="AW187" s="182"/>
      <c r="AX187" s="182"/>
      <c r="AY187" s="182"/>
      <c r="AZ187" s="182"/>
      <c r="BA187" s="182"/>
      <c r="BB187" s="182"/>
      <c r="BC187" s="182"/>
      <c r="BD187" s="182"/>
      <c r="BE187" s="182"/>
      <c r="BF187" s="182"/>
      <c r="BG187" s="182"/>
      <c r="BH187" s="182"/>
      <c r="BI187" s="182"/>
      <c r="BJ187" s="182"/>
      <c r="BK187" s="182"/>
      <c r="BL187" s="182"/>
      <c r="BM187" s="182"/>
      <c r="BN187" s="182"/>
      <c r="BO187" s="182"/>
      <c r="BP187" s="182"/>
      <c r="BQ187" s="182"/>
      <c r="BR187" s="182"/>
      <c r="BS187" s="182"/>
      <c r="BT187" s="182"/>
      <c r="BU187" s="182"/>
      <c r="BV187" s="182"/>
      <c r="BW187" s="182"/>
      <c r="BX187" s="182"/>
      <c r="BY187" s="182"/>
      <c r="BZ187" s="182"/>
      <c r="CA187" s="182"/>
      <c r="CB187" s="185">
        <f t="shared" si="29"/>
        <v>867.3</v>
      </c>
      <c r="CC187" s="185">
        <f t="shared" si="30"/>
        <v>0</v>
      </c>
      <c r="CD187" s="185">
        <f t="shared" si="31"/>
        <v>567</v>
      </c>
      <c r="CE187" s="185" t="e">
        <f>+#REF!</f>
        <v>#REF!</v>
      </c>
    </row>
    <row r="188" spans="2:83" s="197" customFormat="1" ht="37.5" x14ac:dyDescent="0.3">
      <c r="B188" s="182">
        <v>1359</v>
      </c>
      <c r="C188" s="182">
        <v>568</v>
      </c>
      <c r="D188" s="182" t="s">
        <v>121</v>
      </c>
      <c r="E188" s="181" t="s">
        <v>4598</v>
      </c>
      <c r="F188" s="182"/>
      <c r="G188" s="182">
        <v>173.46</v>
      </c>
      <c r="H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  <c r="AO188" s="182"/>
      <c r="AP188" s="182"/>
      <c r="AQ188" s="185">
        <f t="shared" si="28"/>
        <v>173.46</v>
      </c>
      <c r="AR188" s="182">
        <v>116.38</v>
      </c>
      <c r="AS188" s="182">
        <v>15.29</v>
      </c>
      <c r="AT188" s="182">
        <v>41.79</v>
      </c>
      <c r="AU188" s="182"/>
      <c r="AV188" s="182"/>
      <c r="AW188" s="182"/>
      <c r="AX188" s="182"/>
      <c r="AY188" s="182"/>
      <c r="AZ188" s="182"/>
      <c r="BA188" s="182"/>
      <c r="BB188" s="182"/>
      <c r="BC188" s="182"/>
      <c r="BD188" s="182"/>
      <c r="BE188" s="182"/>
      <c r="BF188" s="182"/>
      <c r="BG188" s="182"/>
      <c r="BH188" s="182"/>
      <c r="BI188" s="182"/>
      <c r="BJ188" s="182"/>
      <c r="BK188" s="182"/>
      <c r="BL188" s="182"/>
      <c r="BM188" s="182"/>
      <c r="BN188" s="182"/>
      <c r="BO188" s="182"/>
      <c r="BP188" s="182"/>
      <c r="BQ188" s="182"/>
      <c r="BR188" s="182"/>
      <c r="BS188" s="182"/>
      <c r="BT188" s="182"/>
      <c r="BU188" s="182"/>
      <c r="BV188" s="182"/>
      <c r="BW188" s="182"/>
      <c r="BX188" s="182"/>
      <c r="BY188" s="182"/>
      <c r="BZ188" s="182"/>
      <c r="CA188" s="182"/>
      <c r="CB188" s="185">
        <f t="shared" si="29"/>
        <v>173.45999999999998</v>
      </c>
      <c r="CC188" s="185">
        <f t="shared" si="30"/>
        <v>0</v>
      </c>
      <c r="CD188" s="185">
        <f t="shared" si="31"/>
        <v>568</v>
      </c>
      <c r="CE188" s="185" t="e">
        <f>+#REF!</f>
        <v>#REF!</v>
      </c>
    </row>
    <row r="189" spans="2:83" s="197" customFormat="1" ht="37.5" x14ac:dyDescent="0.3">
      <c r="B189" s="182">
        <v>1358</v>
      </c>
      <c r="C189" s="182">
        <v>569</v>
      </c>
      <c r="D189" s="182" t="s">
        <v>121</v>
      </c>
      <c r="E189" s="181" t="s">
        <v>4598</v>
      </c>
      <c r="F189" s="182"/>
      <c r="G189" s="182">
        <v>229.52</v>
      </c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/>
      <c r="AM189" s="182"/>
      <c r="AN189" s="182"/>
      <c r="AO189" s="182"/>
      <c r="AP189" s="182"/>
      <c r="AQ189" s="185">
        <f t="shared" ref="AQ189:AQ220" si="32">SUM(G189:AP189)</f>
        <v>229.52</v>
      </c>
      <c r="AR189" s="182">
        <v>153.88</v>
      </c>
      <c r="AS189" s="182">
        <v>20.329999999999998</v>
      </c>
      <c r="AT189" s="182">
        <v>55.31</v>
      </c>
      <c r="AU189" s="182"/>
      <c r="AV189" s="182"/>
      <c r="AW189" s="182"/>
      <c r="AX189" s="182"/>
      <c r="AY189" s="182"/>
      <c r="AZ189" s="182"/>
      <c r="BA189" s="182"/>
      <c r="BB189" s="182"/>
      <c r="BC189" s="182"/>
      <c r="BD189" s="182"/>
      <c r="BE189" s="182"/>
      <c r="BF189" s="182"/>
      <c r="BG189" s="182"/>
      <c r="BH189" s="182"/>
      <c r="BI189" s="182"/>
      <c r="BJ189" s="182"/>
      <c r="BK189" s="182"/>
      <c r="BL189" s="182"/>
      <c r="BM189" s="182"/>
      <c r="BN189" s="182"/>
      <c r="BO189" s="182"/>
      <c r="BP189" s="182"/>
      <c r="BQ189" s="182"/>
      <c r="BR189" s="182"/>
      <c r="BS189" s="182"/>
      <c r="BT189" s="182"/>
      <c r="BU189" s="182"/>
      <c r="BV189" s="182"/>
      <c r="BW189" s="182"/>
      <c r="BX189" s="182"/>
      <c r="BY189" s="182"/>
      <c r="BZ189" s="182"/>
      <c r="CA189" s="182"/>
      <c r="CB189" s="185">
        <f t="shared" ref="CB189:CB220" si="33">SUM(AR189:CA189)</f>
        <v>229.51999999999998</v>
      </c>
      <c r="CC189" s="185">
        <f t="shared" ref="CC189:CC220" si="34">+CB189-AQ189</f>
        <v>0</v>
      </c>
      <c r="CD189" s="185">
        <f t="shared" ref="CD189:CD220" si="35">+C189</f>
        <v>569</v>
      </c>
      <c r="CE189" s="185" t="e">
        <f>+#REF!</f>
        <v>#REF!</v>
      </c>
    </row>
    <row r="190" spans="2:83" s="197" customFormat="1" ht="37.5" x14ac:dyDescent="0.3">
      <c r="B190" s="182">
        <v>1357</v>
      </c>
      <c r="C190" s="182">
        <v>570</v>
      </c>
      <c r="D190" s="182" t="s">
        <v>121</v>
      </c>
      <c r="E190" s="181" t="s">
        <v>4598</v>
      </c>
      <c r="F190" s="182"/>
      <c r="G190" s="182">
        <v>4955.79</v>
      </c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  <c r="AJ190" s="182"/>
      <c r="AK190" s="182"/>
      <c r="AL190" s="182"/>
      <c r="AM190" s="182"/>
      <c r="AN190" s="182"/>
      <c r="AO190" s="182"/>
      <c r="AP190" s="182"/>
      <c r="AQ190" s="185">
        <f t="shared" si="32"/>
        <v>4955.79</v>
      </c>
      <c r="AR190" s="182">
        <v>3323.96</v>
      </c>
      <c r="AS190" s="182">
        <v>438.06</v>
      </c>
      <c r="AT190" s="182">
        <v>1193.77</v>
      </c>
      <c r="AU190" s="182"/>
      <c r="AV190" s="182"/>
      <c r="AW190" s="182"/>
      <c r="AX190" s="182"/>
      <c r="AY190" s="182"/>
      <c r="AZ190" s="182"/>
      <c r="BA190" s="182"/>
      <c r="BB190" s="182"/>
      <c r="BC190" s="182"/>
      <c r="BD190" s="182"/>
      <c r="BE190" s="182"/>
      <c r="BF190" s="182"/>
      <c r="BG190" s="182"/>
      <c r="BH190" s="182"/>
      <c r="BI190" s="182"/>
      <c r="BJ190" s="182"/>
      <c r="BK190" s="182"/>
      <c r="BL190" s="182"/>
      <c r="BM190" s="182"/>
      <c r="BN190" s="182"/>
      <c r="BO190" s="182"/>
      <c r="BP190" s="182"/>
      <c r="BQ190" s="182"/>
      <c r="BR190" s="182"/>
      <c r="BS190" s="182"/>
      <c r="BT190" s="182"/>
      <c r="BU190" s="182"/>
      <c r="BV190" s="182"/>
      <c r="BW190" s="182"/>
      <c r="BX190" s="182"/>
      <c r="BY190" s="182"/>
      <c r="BZ190" s="182"/>
      <c r="CA190" s="182"/>
      <c r="CB190" s="185">
        <f t="shared" si="33"/>
        <v>4955.79</v>
      </c>
      <c r="CC190" s="185">
        <f t="shared" si="34"/>
        <v>0</v>
      </c>
      <c r="CD190" s="185">
        <f t="shared" si="35"/>
        <v>570</v>
      </c>
      <c r="CE190" s="185" t="e">
        <f>+#REF!</f>
        <v>#REF!</v>
      </c>
    </row>
    <row r="191" spans="2:83" s="197" customFormat="1" ht="37.5" x14ac:dyDescent="0.3">
      <c r="B191" s="182">
        <v>1356</v>
      </c>
      <c r="C191" s="182">
        <v>571</v>
      </c>
      <c r="D191" s="182" t="s">
        <v>121</v>
      </c>
      <c r="E191" s="181" t="s">
        <v>4598</v>
      </c>
      <c r="F191" s="182"/>
      <c r="G191" s="182">
        <v>2452.12</v>
      </c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  <c r="AO191" s="182"/>
      <c r="AP191" s="182"/>
      <c r="AQ191" s="185">
        <f t="shared" si="32"/>
        <v>2452.12</v>
      </c>
      <c r="AR191" s="182">
        <v>1736.77</v>
      </c>
      <c r="AS191" s="182">
        <v>224.33</v>
      </c>
      <c r="AT191" s="182">
        <v>491.02</v>
      </c>
      <c r="AU191" s="182"/>
      <c r="AV191" s="182"/>
      <c r="AW191" s="182"/>
      <c r="AX191" s="182"/>
      <c r="AY191" s="182"/>
      <c r="AZ191" s="182"/>
      <c r="BA191" s="182"/>
      <c r="BB191" s="182"/>
      <c r="BC191" s="182"/>
      <c r="BD191" s="182"/>
      <c r="BE191" s="182"/>
      <c r="BF191" s="182"/>
      <c r="BG191" s="182"/>
      <c r="BH191" s="182"/>
      <c r="BI191" s="182"/>
      <c r="BJ191" s="182"/>
      <c r="BK191" s="182"/>
      <c r="BL191" s="182"/>
      <c r="BM191" s="182"/>
      <c r="BN191" s="182"/>
      <c r="BO191" s="182"/>
      <c r="BP191" s="182"/>
      <c r="BQ191" s="182"/>
      <c r="BR191" s="182"/>
      <c r="BS191" s="182"/>
      <c r="BT191" s="182"/>
      <c r="BU191" s="182"/>
      <c r="BV191" s="182"/>
      <c r="BW191" s="182"/>
      <c r="BX191" s="182"/>
      <c r="BY191" s="182"/>
      <c r="BZ191" s="182"/>
      <c r="CA191" s="182"/>
      <c r="CB191" s="185">
        <f t="shared" si="33"/>
        <v>2452.12</v>
      </c>
      <c r="CC191" s="185">
        <f t="shared" si="34"/>
        <v>0</v>
      </c>
      <c r="CD191" s="185">
        <f t="shared" si="35"/>
        <v>571</v>
      </c>
      <c r="CE191" s="185" t="e">
        <f>+#REF!</f>
        <v>#REF!</v>
      </c>
    </row>
    <row r="192" spans="2:83" s="197" customFormat="1" ht="37.5" x14ac:dyDescent="0.3">
      <c r="B192" s="182">
        <v>1355</v>
      </c>
      <c r="C192" s="182">
        <v>572</v>
      </c>
      <c r="D192" s="182" t="s">
        <v>121</v>
      </c>
      <c r="E192" s="181" t="s">
        <v>4598</v>
      </c>
      <c r="F192" s="182"/>
      <c r="G192" s="182">
        <v>955.08</v>
      </c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5">
        <f t="shared" si="32"/>
        <v>955.08</v>
      </c>
      <c r="AR192" s="182">
        <v>686.84</v>
      </c>
      <c r="AS192" s="182">
        <v>88.05</v>
      </c>
      <c r="AT192" s="182">
        <v>180.19</v>
      </c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5">
        <f t="shared" si="33"/>
        <v>955.07999999999993</v>
      </c>
      <c r="CC192" s="185">
        <f t="shared" si="34"/>
        <v>0</v>
      </c>
      <c r="CD192" s="185">
        <f t="shared" si="35"/>
        <v>572</v>
      </c>
      <c r="CE192" s="185" t="e">
        <f>+#REF!</f>
        <v>#REF!</v>
      </c>
    </row>
    <row r="193" spans="2:83" s="197" customFormat="1" ht="37.5" x14ac:dyDescent="0.3">
      <c r="B193" s="182">
        <v>1354</v>
      </c>
      <c r="C193" s="182">
        <v>573</v>
      </c>
      <c r="D193" s="182" t="s">
        <v>121</v>
      </c>
      <c r="E193" s="181" t="s">
        <v>4598</v>
      </c>
      <c r="F193" s="182"/>
      <c r="G193" s="182">
        <v>311.3</v>
      </c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  <c r="AN193" s="182"/>
      <c r="AO193" s="182"/>
      <c r="AP193" s="182"/>
      <c r="AQ193" s="185">
        <f t="shared" si="32"/>
        <v>311.3</v>
      </c>
      <c r="AR193" s="182">
        <v>278.47000000000003</v>
      </c>
      <c r="AS193" s="182">
        <v>32.83</v>
      </c>
      <c r="AT193" s="182"/>
      <c r="AU193" s="182"/>
      <c r="AV193" s="182"/>
      <c r="AW193" s="182"/>
      <c r="AX193" s="182"/>
      <c r="AY193" s="182"/>
      <c r="AZ193" s="182"/>
      <c r="BA193" s="182"/>
      <c r="BB193" s="182"/>
      <c r="BC193" s="182"/>
      <c r="BD193" s="182"/>
      <c r="BE193" s="182"/>
      <c r="BF193" s="182"/>
      <c r="BG193" s="182"/>
      <c r="BH193" s="182"/>
      <c r="BI193" s="182"/>
      <c r="BJ193" s="182"/>
      <c r="BK193" s="182"/>
      <c r="BL193" s="182"/>
      <c r="BM193" s="182"/>
      <c r="BN193" s="182"/>
      <c r="BO193" s="182"/>
      <c r="BP193" s="182"/>
      <c r="BQ193" s="182"/>
      <c r="BR193" s="182"/>
      <c r="BS193" s="182"/>
      <c r="BT193" s="182"/>
      <c r="BU193" s="182"/>
      <c r="BV193" s="182"/>
      <c r="BW193" s="182"/>
      <c r="BX193" s="182"/>
      <c r="BY193" s="182"/>
      <c r="BZ193" s="182"/>
      <c r="CA193" s="182"/>
      <c r="CB193" s="185">
        <f t="shared" si="33"/>
        <v>311.3</v>
      </c>
      <c r="CC193" s="185">
        <f t="shared" si="34"/>
        <v>0</v>
      </c>
      <c r="CD193" s="185">
        <f t="shared" si="35"/>
        <v>573</v>
      </c>
      <c r="CE193" s="185" t="e">
        <f>+#REF!</f>
        <v>#REF!</v>
      </c>
    </row>
    <row r="194" spans="2:83" s="197" customFormat="1" ht="37.5" x14ac:dyDescent="0.3">
      <c r="B194" s="182">
        <v>1353</v>
      </c>
      <c r="C194" s="182">
        <v>574</v>
      </c>
      <c r="D194" s="182" t="s">
        <v>121</v>
      </c>
      <c r="E194" s="181" t="s">
        <v>4598</v>
      </c>
      <c r="F194" s="182"/>
      <c r="G194" s="182">
        <v>230.6</v>
      </c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5">
        <f t="shared" si="32"/>
        <v>230.6</v>
      </c>
      <c r="AR194" s="182">
        <v>154.61000000000001</v>
      </c>
      <c r="AS194" s="182">
        <v>20.420000000000002</v>
      </c>
      <c r="AT194" s="182">
        <v>55.57</v>
      </c>
      <c r="AU194" s="182"/>
      <c r="AV194" s="182"/>
      <c r="AW194" s="182"/>
      <c r="AX194" s="182"/>
      <c r="AY194" s="182"/>
      <c r="AZ194" s="182"/>
      <c r="BA194" s="182"/>
      <c r="BB194" s="182"/>
      <c r="BC194" s="182"/>
      <c r="BD194" s="182"/>
      <c r="BE194" s="182"/>
      <c r="BF194" s="182"/>
      <c r="BG194" s="182"/>
      <c r="BH194" s="182"/>
      <c r="BI194" s="182"/>
      <c r="BJ194" s="182"/>
      <c r="BK194" s="182"/>
      <c r="BL194" s="182"/>
      <c r="BM194" s="182"/>
      <c r="BN194" s="182"/>
      <c r="BO194" s="182"/>
      <c r="BP194" s="182"/>
      <c r="BQ194" s="182"/>
      <c r="BR194" s="182"/>
      <c r="BS194" s="182"/>
      <c r="BT194" s="182"/>
      <c r="BU194" s="182"/>
      <c r="BV194" s="182"/>
      <c r="BW194" s="182"/>
      <c r="BX194" s="182"/>
      <c r="BY194" s="182"/>
      <c r="BZ194" s="182"/>
      <c r="CA194" s="182"/>
      <c r="CB194" s="185">
        <f t="shared" si="33"/>
        <v>230.60000000000002</v>
      </c>
      <c r="CC194" s="185">
        <f t="shared" si="34"/>
        <v>0</v>
      </c>
      <c r="CD194" s="185">
        <f t="shared" si="35"/>
        <v>574</v>
      </c>
      <c r="CE194" s="185" t="e">
        <f>+#REF!</f>
        <v>#REF!</v>
      </c>
    </row>
    <row r="195" spans="2:83" s="197" customFormat="1" ht="37.5" x14ac:dyDescent="0.3">
      <c r="B195" s="182">
        <v>1017</v>
      </c>
      <c r="C195" s="182">
        <v>575</v>
      </c>
      <c r="D195" s="182" t="s">
        <v>121</v>
      </c>
      <c r="E195" s="181" t="s">
        <v>4597</v>
      </c>
      <c r="F195" s="182"/>
      <c r="G195" s="182">
        <v>229.52</v>
      </c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  <c r="AN195" s="182"/>
      <c r="AO195" s="182"/>
      <c r="AP195" s="182"/>
      <c r="AQ195" s="185">
        <f t="shared" si="32"/>
        <v>229.52</v>
      </c>
      <c r="AR195" s="182">
        <v>153.88</v>
      </c>
      <c r="AS195" s="182">
        <v>20.329999999999998</v>
      </c>
      <c r="AT195" s="182">
        <v>55.31</v>
      </c>
      <c r="AU195" s="182"/>
      <c r="AV195" s="182"/>
      <c r="AW195" s="182"/>
      <c r="AX195" s="182"/>
      <c r="AY195" s="182"/>
      <c r="AZ195" s="182"/>
      <c r="BA195" s="182"/>
      <c r="BB195" s="182"/>
      <c r="BC195" s="182"/>
      <c r="BD195" s="182"/>
      <c r="BE195" s="182"/>
      <c r="BF195" s="182"/>
      <c r="BG195" s="182"/>
      <c r="BH195" s="182"/>
      <c r="BI195" s="182"/>
      <c r="BJ195" s="182"/>
      <c r="BK195" s="182"/>
      <c r="BL195" s="182"/>
      <c r="BM195" s="182"/>
      <c r="BN195" s="182"/>
      <c r="BO195" s="182"/>
      <c r="BP195" s="182"/>
      <c r="BQ195" s="182"/>
      <c r="BR195" s="182"/>
      <c r="BS195" s="182"/>
      <c r="BT195" s="182"/>
      <c r="BU195" s="182"/>
      <c r="BV195" s="182"/>
      <c r="BW195" s="182"/>
      <c r="BX195" s="182"/>
      <c r="BY195" s="182"/>
      <c r="BZ195" s="182"/>
      <c r="CA195" s="182"/>
      <c r="CB195" s="185">
        <f t="shared" si="33"/>
        <v>229.51999999999998</v>
      </c>
      <c r="CC195" s="185">
        <f t="shared" si="34"/>
        <v>0</v>
      </c>
      <c r="CD195" s="185">
        <f t="shared" si="35"/>
        <v>575</v>
      </c>
      <c r="CE195" s="185" t="e">
        <f>+#REF!</f>
        <v>#REF!</v>
      </c>
    </row>
    <row r="196" spans="2:83" s="197" customFormat="1" ht="37.5" x14ac:dyDescent="0.3">
      <c r="B196" s="182">
        <v>1015</v>
      </c>
      <c r="C196" s="182">
        <v>576</v>
      </c>
      <c r="D196" s="182" t="s">
        <v>121</v>
      </c>
      <c r="E196" s="181" t="s">
        <v>4597</v>
      </c>
      <c r="F196" s="182"/>
      <c r="G196" s="182">
        <v>955.08</v>
      </c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182"/>
      <c r="AI196" s="182"/>
      <c r="AJ196" s="182"/>
      <c r="AK196" s="182"/>
      <c r="AL196" s="182"/>
      <c r="AM196" s="182"/>
      <c r="AN196" s="182"/>
      <c r="AO196" s="182"/>
      <c r="AP196" s="182"/>
      <c r="AQ196" s="185">
        <f t="shared" si="32"/>
        <v>955.08</v>
      </c>
      <c r="AR196" s="182">
        <v>686.84</v>
      </c>
      <c r="AS196" s="182">
        <v>88.05</v>
      </c>
      <c r="AT196" s="182">
        <v>180.19</v>
      </c>
      <c r="AU196" s="182"/>
      <c r="AV196" s="182"/>
      <c r="AW196" s="182"/>
      <c r="AX196" s="182"/>
      <c r="AY196" s="182"/>
      <c r="AZ196" s="182"/>
      <c r="BA196" s="182"/>
      <c r="BB196" s="182"/>
      <c r="BC196" s="182"/>
      <c r="BD196" s="182"/>
      <c r="BE196" s="182"/>
      <c r="BF196" s="182"/>
      <c r="BG196" s="182"/>
      <c r="BH196" s="182"/>
      <c r="BI196" s="182"/>
      <c r="BJ196" s="182"/>
      <c r="BK196" s="182"/>
      <c r="BL196" s="182"/>
      <c r="BM196" s="182"/>
      <c r="BN196" s="182"/>
      <c r="BO196" s="182"/>
      <c r="BP196" s="182"/>
      <c r="BQ196" s="182"/>
      <c r="BR196" s="182"/>
      <c r="BS196" s="182"/>
      <c r="BT196" s="182"/>
      <c r="BU196" s="182"/>
      <c r="BV196" s="182"/>
      <c r="BW196" s="182"/>
      <c r="BX196" s="182"/>
      <c r="BY196" s="182"/>
      <c r="BZ196" s="182"/>
      <c r="CA196" s="182"/>
      <c r="CB196" s="185">
        <f t="shared" si="33"/>
        <v>955.07999999999993</v>
      </c>
      <c r="CC196" s="185">
        <f t="shared" si="34"/>
        <v>0</v>
      </c>
      <c r="CD196" s="185">
        <f t="shared" si="35"/>
        <v>576</v>
      </c>
      <c r="CE196" s="185" t="e">
        <f>+#REF!</f>
        <v>#REF!</v>
      </c>
    </row>
    <row r="197" spans="2:83" s="197" customFormat="1" ht="37.5" x14ac:dyDescent="0.3">
      <c r="B197" s="182">
        <v>1407</v>
      </c>
      <c r="C197" s="182">
        <v>577</v>
      </c>
      <c r="D197" s="182" t="s">
        <v>121</v>
      </c>
      <c r="E197" s="181" t="s">
        <v>4599</v>
      </c>
      <c r="F197" s="182"/>
      <c r="G197" s="182">
        <v>2345</v>
      </c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5">
        <f t="shared" si="32"/>
        <v>2345</v>
      </c>
      <c r="AR197" s="182">
        <v>1567</v>
      </c>
      <c r="AS197" s="182">
        <v>213</v>
      </c>
      <c r="AT197" s="182">
        <f>778-AS197</f>
        <v>565</v>
      </c>
      <c r="AU197" s="182"/>
      <c r="AV197" s="182"/>
      <c r="AW197" s="182"/>
      <c r="AX197" s="182"/>
      <c r="AY197" s="182"/>
      <c r="AZ197" s="182"/>
      <c r="BA197" s="182"/>
      <c r="BB197" s="182"/>
      <c r="BC197" s="182"/>
      <c r="BD197" s="182"/>
      <c r="BE197" s="182"/>
      <c r="BF197" s="182"/>
      <c r="BG197" s="182"/>
      <c r="BH197" s="182"/>
      <c r="BI197" s="182"/>
      <c r="BJ197" s="182"/>
      <c r="BK197" s="182"/>
      <c r="BL197" s="182"/>
      <c r="BM197" s="182"/>
      <c r="BN197" s="182"/>
      <c r="BO197" s="182"/>
      <c r="BP197" s="182"/>
      <c r="BQ197" s="182"/>
      <c r="BR197" s="182"/>
      <c r="BS197" s="182"/>
      <c r="BT197" s="182"/>
      <c r="BU197" s="182"/>
      <c r="BV197" s="182"/>
      <c r="BW197" s="182"/>
      <c r="BX197" s="182"/>
      <c r="BY197" s="182"/>
      <c r="BZ197" s="182"/>
      <c r="CA197" s="182"/>
      <c r="CB197" s="185">
        <f t="shared" si="33"/>
        <v>2345</v>
      </c>
      <c r="CC197" s="185">
        <f t="shared" si="34"/>
        <v>0</v>
      </c>
      <c r="CD197" s="185">
        <f t="shared" si="35"/>
        <v>577</v>
      </c>
      <c r="CE197" s="185" t="e">
        <f>+#REF!</f>
        <v>#REF!</v>
      </c>
    </row>
    <row r="198" spans="2:83" s="197" customFormat="1" ht="37.5" x14ac:dyDescent="0.3">
      <c r="B198" s="182">
        <v>1395</v>
      </c>
      <c r="C198" s="182">
        <v>578</v>
      </c>
      <c r="D198" s="182" t="s">
        <v>121</v>
      </c>
      <c r="E198" s="181" t="s">
        <v>4600</v>
      </c>
      <c r="F198" s="182"/>
      <c r="G198" s="182">
        <v>5000</v>
      </c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  <c r="AO198" s="182"/>
      <c r="AP198" s="182"/>
      <c r="AQ198" s="185">
        <f t="shared" si="32"/>
        <v>5000</v>
      </c>
      <c r="AR198" s="182">
        <v>4462.8500000000004</v>
      </c>
      <c r="AS198" s="182">
        <v>537.15</v>
      </c>
      <c r="AT198" s="182"/>
      <c r="AU198" s="182"/>
      <c r="AV198" s="182"/>
      <c r="AW198" s="182"/>
      <c r="AX198" s="182"/>
      <c r="AY198" s="182"/>
      <c r="AZ198" s="182"/>
      <c r="BA198" s="182"/>
      <c r="BB198" s="182"/>
      <c r="BC198" s="182"/>
      <c r="BD198" s="182"/>
      <c r="BE198" s="182"/>
      <c r="BF198" s="182"/>
      <c r="BG198" s="182"/>
      <c r="BH198" s="182"/>
      <c r="BI198" s="182"/>
      <c r="BJ198" s="182"/>
      <c r="BK198" s="182"/>
      <c r="BL198" s="182"/>
      <c r="BM198" s="182"/>
      <c r="BN198" s="182"/>
      <c r="BO198" s="182"/>
      <c r="BP198" s="182"/>
      <c r="BQ198" s="182"/>
      <c r="BR198" s="182"/>
      <c r="BS198" s="182"/>
      <c r="BT198" s="182"/>
      <c r="BU198" s="182"/>
      <c r="BV198" s="182"/>
      <c r="BW198" s="182"/>
      <c r="BX198" s="182"/>
      <c r="BY198" s="182"/>
      <c r="BZ198" s="182"/>
      <c r="CA198" s="182"/>
      <c r="CB198" s="185">
        <f t="shared" si="33"/>
        <v>5000</v>
      </c>
      <c r="CC198" s="185">
        <f t="shared" si="34"/>
        <v>0</v>
      </c>
      <c r="CD198" s="185">
        <f t="shared" si="35"/>
        <v>578</v>
      </c>
      <c r="CE198" s="185" t="e">
        <f>+#REF!</f>
        <v>#REF!</v>
      </c>
    </row>
    <row r="199" spans="2:83" s="197" customFormat="1" ht="37.5" x14ac:dyDescent="0.3">
      <c r="B199" s="182">
        <v>1394</v>
      </c>
      <c r="C199" s="182">
        <v>579</v>
      </c>
      <c r="D199" s="182" t="s">
        <v>121</v>
      </c>
      <c r="E199" s="181" t="s">
        <v>4600</v>
      </c>
      <c r="F199" s="182"/>
      <c r="G199" s="182">
        <v>230651.54</v>
      </c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  <c r="AO199" s="182"/>
      <c r="AP199" s="182"/>
      <c r="AQ199" s="185">
        <f t="shared" si="32"/>
        <v>230651.54</v>
      </c>
      <c r="AR199" s="182">
        <v>201805.83</v>
      </c>
      <c r="AS199" s="182">
        <v>24487.3</v>
      </c>
      <c r="AT199" s="182">
        <v>4358.41</v>
      </c>
      <c r="AU199" s="182"/>
      <c r="AV199" s="182"/>
      <c r="AW199" s="182"/>
      <c r="AX199" s="182"/>
      <c r="AY199" s="182"/>
      <c r="AZ199" s="182"/>
      <c r="BA199" s="182"/>
      <c r="BB199" s="182"/>
      <c r="BC199" s="182"/>
      <c r="BD199" s="182"/>
      <c r="BE199" s="182"/>
      <c r="BF199" s="182"/>
      <c r="BG199" s="182"/>
      <c r="BH199" s="182"/>
      <c r="BI199" s="182"/>
      <c r="BJ199" s="182"/>
      <c r="BK199" s="182"/>
      <c r="BL199" s="182"/>
      <c r="BM199" s="182"/>
      <c r="BN199" s="182"/>
      <c r="BO199" s="182"/>
      <c r="BP199" s="182"/>
      <c r="BQ199" s="182"/>
      <c r="BR199" s="182"/>
      <c r="BS199" s="182"/>
      <c r="BT199" s="182"/>
      <c r="BU199" s="182"/>
      <c r="BV199" s="182"/>
      <c r="BW199" s="182"/>
      <c r="BX199" s="182"/>
      <c r="BY199" s="182"/>
      <c r="BZ199" s="182"/>
      <c r="CA199" s="182"/>
      <c r="CB199" s="185">
        <f t="shared" si="33"/>
        <v>230651.53999999998</v>
      </c>
      <c r="CC199" s="185">
        <f t="shared" si="34"/>
        <v>0</v>
      </c>
      <c r="CD199" s="185">
        <f t="shared" si="35"/>
        <v>579</v>
      </c>
      <c r="CE199" s="185" t="e">
        <f>+#REF!</f>
        <v>#REF!</v>
      </c>
    </row>
    <row r="200" spans="2:83" s="197" customFormat="1" ht="37.5" x14ac:dyDescent="0.3">
      <c r="B200" s="182">
        <v>1397</v>
      </c>
      <c r="C200" s="182">
        <v>580</v>
      </c>
      <c r="D200" s="182" t="s">
        <v>121</v>
      </c>
      <c r="E200" s="181" t="s">
        <v>4601</v>
      </c>
      <c r="F200" s="182"/>
      <c r="G200" s="182">
        <v>3500</v>
      </c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182"/>
      <c r="AI200" s="182"/>
      <c r="AJ200" s="182"/>
      <c r="AK200" s="182"/>
      <c r="AL200" s="182"/>
      <c r="AM200" s="182"/>
      <c r="AN200" s="182"/>
      <c r="AO200" s="182"/>
      <c r="AP200" s="182"/>
      <c r="AQ200" s="185">
        <f t="shared" si="32"/>
        <v>3500</v>
      </c>
      <c r="AR200" s="182">
        <v>3124.1</v>
      </c>
      <c r="AS200" s="182">
        <v>375.9</v>
      </c>
      <c r="AT200" s="182"/>
      <c r="AU200" s="182"/>
      <c r="AV200" s="182"/>
      <c r="AW200" s="182"/>
      <c r="AX200" s="182"/>
      <c r="AY200" s="182"/>
      <c r="AZ200" s="182"/>
      <c r="BA200" s="182"/>
      <c r="BB200" s="182"/>
      <c r="BC200" s="182"/>
      <c r="BD200" s="182"/>
      <c r="BE200" s="182"/>
      <c r="BF200" s="182"/>
      <c r="BG200" s="182"/>
      <c r="BH200" s="182"/>
      <c r="BI200" s="182"/>
      <c r="BJ200" s="182"/>
      <c r="BK200" s="182"/>
      <c r="BL200" s="182"/>
      <c r="BM200" s="182"/>
      <c r="BN200" s="182"/>
      <c r="BO200" s="182"/>
      <c r="BP200" s="182"/>
      <c r="BQ200" s="182"/>
      <c r="BR200" s="182"/>
      <c r="BS200" s="182"/>
      <c r="BT200" s="182"/>
      <c r="BU200" s="182"/>
      <c r="BV200" s="182"/>
      <c r="BW200" s="182"/>
      <c r="BX200" s="182"/>
      <c r="BY200" s="182"/>
      <c r="BZ200" s="182"/>
      <c r="CA200" s="182"/>
      <c r="CB200" s="185">
        <f t="shared" si="33"/>
        <v>3500</v>
      </c>
      <c r="CC200" s="185">
        <f t="shared" si="34"/>
        <v>0</v>
      </c>
      <c r="CD200" s="185">
        <f t="shared" si="35"/>
        <v>580</v>
      </c>
      <c r="CE200" s="185" t="e">
        <f>+#REF!</f>
        <v>#REF!</v>
      </c>
    </row>
    <row r="201" spans="2:83" s="197" customFormat="1" ht="37.5" x14ac:dyDescent="0.3">
      <c r="B201" s="182">
        <v>1398</v>
      </c>
      <c r="C201" s="182">
        <v>581</v>
      </c>
      <c r="D201" s="182" t="s">
        <v>121</v>
      </c>
      <c r="E201" s="181" t="s">
        <v>4602</v>
      </c>
      <c r="F201" s="182"/>
      <c r="G201" s="182">
        <v>8000</v>
      </c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182"/>
      <c r="AI201" s="182"/>
      <c r="AJ201" s="182"/>
      <c r="AK201" s="182"/>
      <c r="AL201" s="182"/>
      <c r="AM201" s="182"/>
      <c r="AN201" s="182"/>
      <c r="AO201" s="182"/>
      <c r="AP201" s="182"/>
      <c r="AQ201" s="185">
        <f t="shared" si="32"/>
        <v>8000</v>
      </c>
      <c r="AR201" s="182">
        <v>7140.7</v>
      </c>
      <c r="AS201" s="182">
        <v>859.3</v>
      </c>
      <c r="AT201" s="182"/>
      <c r="AU201" s="182"/>
      <c r="AV201" s="182"/>
      <c r="AW201" s="182"/>
      <c r="AX201" s="182"/>
      <c r="AY201" s="182"/>
      <c r="AZ201" s="182"/>
      <c r="BA201" s="182"/>
      <c r="BB201" s="182"/>
      <c r="BC201" s="182"/>
      <c r="BD201" s="182"/>
      <c r="BE201" s="182"/>
      <c r="BF201" s="182"/>
      <c r="BG201" s="182"/>
      <c r="BH201" s="182"/>
      <c r="BI201" s="182"/>
      <c r="BJ201" s="182"/>
      <c r="BK201" s="182"/>
      <c r="BL201" s="182"/>
      <c r="BM201" s="182"/>
      <c r="BN201" s="182"/>
      <c r="BO201" s="182"/>
      <c r="BP201" s="182"/>
      <c r="BQ201" s="182"/>
      <c r="BR201" s="182"/>
      <c r="BS201" s="182"/>
      <c r="BT201" s="182"/>
      <c r="BU201" s="182"/>
      <c r="BV201" s="182"/>
      <c r="BW201" s="182"/>
      <c r="BX201" s="182"/>
      <c r="BY201" s="182"/>
      <c r="BZ201" s="182"/>
      <c r="CA201" s="182"/>
      <c r="CB201" s="185">
        <f t="shared" si="33"/>
        <v>8000</v>
      </c>
      <c r="CC201" s="185">
        <f t="shared" si="34"/>
        <v>0</v>
      </c>
      <c r="CD201" s="185">
        <f t="shared" si="35"/>
        <v>581</v>
      </c>
      <c r="CE201" s="185" t="e">
        <f>+#REF!</f>
        <v>#REF!</v>
      </c>
    </row>
    <row r="202" spans="2:83" s="197" customFormat="1" ht="37.5" x14ac:dyDescent="0.3">
      <c r="B202" s="182">
        <v>1396</v>
      </c>
      <c r="C202" s="182">
        <v>582</v>
      </c>
      <c r="D202" s="182" t="s">
        <v>121</v>
      </c>
      <c r="E202" s="181" t="str">
        <f>+E200</f>
        <v>ج اضافيه عن فتره الامتحانات اداريين</v>
      </c>
      <c r="F202" s="182"/>
      <c r="G202" s="182">
        <v>36353.800000000003</v>
      </c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182"/>
      <c r="AI202" s="182"/>
      <c r="AJ202" s="182"/>
      <c r="AK202" s="182"/>
      <c r="AL202" s="182"/>
      <c r="AM202" s="182"/>
      <c r="AN202" s="182"/>
      <c r="AO202" s="182"/>
      <c r="AP202" s="182"/>
      <c r="AQ202" s="185">
        <f t="shared" si="32"/>
        <v>36353.800000000003</v>
      </c>
      <c r="AR202" s="182">
        <v>26570.400000000001</v>
      </c>
      <c r="AS202" s="182">
        <v>3472.1</v>
      </c>
      <c r="AT202" s="182">
        <v>6311.3</v>
      </c>
      <c r="AU202" s="182"/>
      <c r="AV202" s="182"/>
      <c r="AW202" s="182"/>
      <c r="AX202" s="182"/>
      <c r="AY202" s="182"/>
      <c r="AZ202" s="182"/>
      <c r="BA202" s="182"/>
      <c r="BB202" s="182"/>
      <c r="BC202" s="182"/>
      <c r="BD202" s="182"/>
      <c r="BE202" s="182"/>
      <c r="BF202" s="182"/>
      <c r="BG202" s="182"/>
      <c r="BH202" s="182"/>
      <c r="BI202" s="182"/>
      <c r="BJ202" s="182"/>
      <c r="BK202" s="182"/>
      <c r="BL202" s="182"/>
      <c r="BM202" s="182"/>
      <c r="BN202" s="182"/>
      <c r="BO202" s="182"/>
      <c r="BP202" s="182"/>
      <c r="BQ202" s="182"/>
      <c r="BR202" s="182"/>
      <c r="BS202" s="182"/>
      <c r="BT202" s="182"/>
      <c r="BU202" s="182"/>
      <c r="BV202" s="182"/>
      <c r="BW202" s="182"/>
      <c r="BX202" s="182"/>
      <c r="BY202" s="182"/>
      <c r="BZ202" s="182"/>
      <c r="CA202" s="182"/>
      <c r="CB202" s="185">
        <f t="shared" si="33"/>
        <v>36353.800000000003</v>
      </c>
      <c r="CC202" s="185">
        <f t="shared" si="34"/>
        <v>0</v>
      </c>
      <c r="CD202" s="185">
        <f t="shared" si="35"/>
        <v>582</v>
      </c>
      <c r="CE202" s="185" t="e">
        <f>+#REF!</f>
        <v>#REF!</v>
      </c>
    </row>
    <row r="203" spans="2:83" s="197" customFormat="1" ht="37.5" x14ac:dyDescent="0.3">
      <c r="B203" s="182">
        <v>1400</v>
      </c>
      <c r="C203" s="182">
        <v>583</v>
      </c>
      <c r="D203" s="182" t="s">
        <v>121</v>
      </c>
      <c r="E203" s="181" t="str">
        <f>+E202</f>
        <v>ج اضافيه عن فتره الامتحانات اداريين</v>
      </c>
      <c r="F203" s="182"/>
      <c r="G203" s="182">
        <v>57697.91</v>
      </c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2"/>
      <c r="AH203" s="182"/>
      <c r="AI203" s="182"/>
      <c r="AJ203" s="182"/>
      <c r="AK203" s="182"/>
      <c r="AL203" s="182"/>
      <c r="AM203" s="182"/>
      <c r="AN203" s="182"/>
      <c r="AO203" s="182"/>
      <c r="AP203" s="182"/>
      <c r="AQ203" s="185">
        <f t="shared" si="32"/>
        <v>57697.91</v>
      </c>
      <c r="AR203" s="182">
        <v>42052.88</v>
      </c>
      <c r="AS203" s="182">
        <v>5494.85</v>
      </c>
      <c r="AT203" s="182">
        <v>10150.18</v>
      </c>
      <c r="AU203" s="182"/>
      <c r="AV203" s="182"/>
      <c r="AW203" s="182"/>
      <c r="AX203" s="182"/>
      <c r="AY203" s="182"/>
      <c r="AZ203" s="182"/>
      <c r="BA203" s="182"/>
      <c r="BB203" s="182"/>
      <c r="BC203" s="182"/>
      <c r="BD203" s="182"/>
      <c r="BE203" s="182"/>
      <c r="BF203" s="182"/>
      <c r="BG203" s="182"/>
      <c r="BH203" s="182"/>
      <c r="BI203" s="182"/>
      <c r="BJ203" s="182"/>
      <c r="BK203" s="182"/>
      <c r="BL203" s="182"/>
      <c r="BM203" s="182"/>
      <c r="BN203" s="182"/>
      <c r="BO203" s="182"/>
      <c r="BP203" s="182"/>
      <c r="BQ203" s="182"/>
      <c r="BR203" s="182"/>
      <c r="BS203" s="182"/>
      <c r="BT203" s="182"/>
      <c r="BU203" s="182"/>
      <c r="BV203" s="182"/>
      <c r="BW203" s="182"/>
      <c r="BX203" s="182"/>
      <c r="BY203" s="182"/>
      <c r="BZ203" s="182"/>
      <c r="CA203" s="182"/>
      <c r="CB203" s="185">
        <f t="shared" si="33"/>
        <v>57697.909999999996</v>
      </c>
      <c r="CC203" s="185">
        <f t="shared" si="34"/>
        <v>0</v>
      </c>
      <c r="CD203" s="185">
        <f t="shared" si="35"/>
        <v>583</v>
      </c>
      <c r="CE203" s="185" t="e">
        <f>+#REF!</f>
        <v>#REF!</v>
      </c>
    </row>
    <row r="204" spans="2:83" s="197" customFormat="1" ht="37.5" x14ac:dyDescent="0.3">
      <c r="B204" s="182">
        <v>1404</v>
      </c>
      <c r="C204" s="182">
        <v>584</v>
      </c>
      <c r="D204" s="182" t="s">
        <v>121</v>
      </c>
      <c r="E204" s="181" t="s">
        <v>4589</v>
      </c>
      <c r="F204" s="182"/>
      <c r="G204" s="182">
        <v>3517.5</v>
      </c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  <c r="AK204" s="182"/>
      <c r="AL204" s="182"/>
      <c r="AM204" s="182"/>
      <c r="AN204" s="182"/>
      <c r="AO204" s="182"/>
      <c r="AP204" s="182"/>
      <c r="AQ204" s="185">
        <f t="shared" si="32"/>
        <v>3517.5</v>
      </c>
      <c r="AR204" s="182">
        <v>2351.1</v>
      </c>
      <c r="AS204" s="182">
        <v>318.89999999999998</v>
      </c>
      <c r="AT204" s="182">
        <v>847.5</v>
      </c>
      <c r="AU204" s="182"/>
      <c r="AV204" s="182"/>
      <c r="AW204" s="182"/>
      <c r="AX204" s="182"/>
      <c r="AY204" s="182"/>
      <c r="AZ204" s="182"/>
      <c r="BA204" s="182"/>
      <c r="BB204" s="182"/>
      <c r="BC204" s="182"/>
      <c r="BD204" s="182"/>
      <c r="BE204" s="182"/>
      <c r="BF204" s="182"/>
      <c r="BG204" s="182"/>
      <c r="BH204" s="182"/>
      <c r="BI204" s="182"/>
      <c r="BJ204" s="182"/>
      <c r="BK204" s="182"/>
      <c r="BL204" s="182"/>
      <c r="BM204" s="182"/>
      <c r="BN204" s="182"/>
      <c r="BO204" s="182"/>
      <c r="BP204" s="182"/>
      <c r="BQ204" s="182"/>
      <c r="BR204" s="182"/>
      <c r="BS204" s="182"/>
      <c r="BT204" s="182"/>
      <c r="BU204" s="182"/>
      <c r="BV204" s="182"/>
      <c r="BW204" s="182"/>
      <c r="BX204" s="182"/>
      <c r="BY204" s="182"/>
      <c r="BZ204" s="182"/>
      <c r="CA204" s="182"/>
      <c r="CB204" s="185">
        <f t="shared" si="33"/>
        <v>3517.5</v>
      </c>
      <c r="CC204" s="185">
        <f t="shared" si="34"/>
        <v>0</v>
      </c>
      <c r="CD204" s="185">
        <f t="shared" si="35"/>
        <v>584</v>
      </c>
      <c r="CE204" s="185" t="e">
        <f>+#REF!</f>
        <v>#REF!</v>
      </c>
    </row>
    <row r="205" spans="2:83" s="197" customFormat="1" ht="37.5" x14ac:dyDescent="0.3">
      <c r="B205" s="182">
        <v>1405</v>
      </c>
      <c r="C205" s="182">
        <v>585</v>
      </c>
      <c r="D205" s="182" t="s">
        <v>121</v>
      </c>
      <c r="E205" s="181" t="s">
        <v>552</v>
      </c>
      <c r="F205" s="182"/>
      <c r="G205" s="182">
        <v>8845</v>
      </c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2"/>
      <c r="AH205" s="182"/>
      <c r="AI205" s="182"/>
      <c r="AJ205" s="182"/>
      <c r="AK205" s="182"/>
      <c r="AL205" s="182"/>
      <c r="AM205" s="182"/>
      <c r="AN205" s="182"/>
      <c r="AO205" s="182"/>
      <c r="AP205" s="182"/>
      <c r="AQ205" s="185">
        <f t="shared" si="32"/>
        <v>8845</v>
      </c>
      <c r="AR205" s="182">
        <v>7368.95</v>
      </c>
      <c r="AS205" s="182">
        <v>911.05</v>
      </c>
      <c r="AT205" s="182">
        <v>565</v>
      </c>
      <c r="AU205" s="182"/>
      <c r="AV205" s="182"/>
      <c r="AW205" s="182"/>
      <c r="AX205" s="182"/>
      <c r="AY205" s="182"/>
      <c r="AZ205" s="182"/>
      <c r="BA205" s="182"/>
      <c r="BB205" s="182"/>
      <c r="BC205" s="182"/>
      <c r="BD205" s="182"/>
      <c r="BE205" s="182"/>
      <c r="BF205" s="182"/>
      <c r="BG205" s="182"/>
      <c r="BH205" s="182"/>
      <c r="BI205" s="182"/>
      <c r="BJ205" s="182"/>
      <c r="BK205" s="182"/>
      <c r="BL205" s="182"/>
      <c r="BM205" s="182"/>
      <c r="BN205" s="182"/>
      <c r="BO205" s="182"/>
      <c r="BP205" s="182"/>
      <c r="BQ205" s="182"/>
      <c r="BR205" s="182"/>
      <c r="BS205" s="182"/>
      <c r="BT205" s="182"/>
      <c r="BU205" s="182"/>
      <c r="BV205" s="182"/>
      <c r="BW205" s="182"/>
      <c r="BX205" s="182"/>
      <c r="BY205" s="182"/>
      <c r="BZ205" s="182"/>
      <c r="CA205" s="182"/>
      <c r="CB205" s="185">
        <f t="shared" si="33"/>
        <v>8845</v>
      </c>
      <c r="CC205" s="185">
        <f t="shared" si="34"/>
        <v>0</v>
      </c>
      <c r="CD205" s="185">
        <f t="shared" si="35"/>
        <v>585</v>
      </c>
      <c r="CE205" s="185" t="e">
        <f>+#REF!</f>
        <v>#REF!</v>
      </c>
    </row>
    <row r="206" spans="2:83" s="197" customFormat="1" ht="37.5" x14ac:dyDescent="0.3">
      <c r="B206" s="182">
        <v>1402</v>
      </c>
      <c r="C206" s="182">
        <v>586</v>
      </c>
      <c r="D206" s="182" t="s">
        <v>121</v>
      </c>
      <c r="E206" s="181" t="s">
        <v>4603</v>
      </c>
      <c r="F206" s="182"/>
      <c r="G206" s="182">
        <v>17000</v>
      </c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  <c r="AN206" s="182"/>
      <c r="AO206" s="182"/>
      <c r="AP206" s="182"/>
      <c r="AQ206" s="185">
        <f t="shared" si="32"/>
        <v>17000</v>
      </c>
      <c r="AR206" s="182">
        <v>15173.9</v>
      </c>
      <c r="AS206" s="182">
        <v>1826.1</v>
      </c>
      <c r="AT206" s="182"/>
      <c r="AU206" s="182"/>
      <c r="AV206" s="182"/>
      <c r="AW206" s="182"/>
      <c r="AX206" s="182"/>
      <c r="AY206" s="182"/>
      <c r="AZ206" s="182"/>
      <c r="BA206" s="182"/>
      <c r="BB206" s="182"/>
      <c r="BC206" s="182"/>
      <c r="BD206" s="182"/>
      <c r="BE206" s="182"/>
      <c r="BF206" s="182"/>
      <c r="BG206" s="182"/>
      <c r="BH206" s="182"/>
      <c r="BI206" s="182"/>
      <c r="BJ206" s="182"/>
      <c r="BK206" s="182"/>
      <c r="BL206" s="182"/>
      <c r="BM206" s="182"/>
      <c r="BN206" s="182"/>
      <c r="BO206" s="182"/>
      <c r="BP206" s="182"/>
      <c r="BQ206" s="182"/>
      <c r="BR206" s="182"/>
      <c r="BS206" s="182"/>
      <c r="BT206" s="182"/>
      <c r="BU206" s="182"/>
      <c r="BV206" s="182"/>
      <c r="BW206" s="182"/>
      <c r="BX206" s="182"/>
      <c r="BY206" s="182"/>
      <c r="BZ206" s="182"/>
      <c r="CA206" s="182"/>
      <c r="CB206" s="185">
        <f t="shared" si="33"/>
        <v>17000</v>
      </c>
      <c r="CC206" s="185">
        <f t="shared" si="34"/>
        <v>0</v>
      </c>
      <c r="CD206" s="185">
        <f t="shared" si="35"/>
        <v>586</v>
      </c>
      <c r="CE206" s="185" t="e">
        <f>+#REF!</f>
        <v>#REF!</v>
      </c>
    </row>
    <row r="207" spans="2:83" s="197" customFormat="1" ht="37.5" x14ac:dyDescent="0.3">
      <c r="B207" s="182">
        <v>1403</v>
      </c>
      <c r="C207" s="182">
        <v>587</v>
      </c>
      <c r="D207" s="182" t="s">
        <v>121</v>
      </c>
      <c r="E207" s="181" t="s">
        <v>4604</v>
      </c>
      <c r="F207" s="182"/>
      <c r="G207" s="182">
        <v>18069</v>
      </c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/>
      <c r="AM207" s="182"/>
      <c r="AN207" s="182"/>
      <c r="AO207" s="182"/>
      <c r="AP207" s="182"/>
      <c r="AQ207" s="185">
        <f t="shared" si="32"/>
        <v>18069</v>
      </c>
      <c r="AR207" s="182">
        <v>13129.85</v>
      </c>
      <c r="AS207" s="182">
        <v>1714.55</v>
      </c>
      <c r="AT207" s="182">
        <v>3224.6</v>
      </c>
      <c r="AU207" s="182"/>
      <c r="AV207" s="182"/>
      <c r="AW207" s="182"/>
      <c r="AX207" s="182"/>
      <c r="AY207" s="182"/>
      <c r="AZ207" s="182"/>
      <c r="BA207" s="182"/>
      <c r="BB207" s="182"/>
      <c r="BC207" s="182"/>
      <c r="BD207" s="182"/>
      <c r="BE207" s="182"/>
      <c r="BF207" s="182"/>
      <c r="BG207" s="182"/>
      <c r="BH207" s="182"/>
      <c r="BI207" s="182"/>
      <c r="BJ207" s="182"/>
      <c r="BK207" s="182"/>
      <c r="BL207" s="182"/>
      <c r="BM207" s="182"/>
      <c r="BN207" s="182"/>
      <c r="BO207" s="182"/>
      <c r="BP207" s="182"/>
      <c r="BQ207" s="182"/>
      <c r="BR207" s="182"/>
      <c r="BS207" s="182"/>
      <c r="BT207" s="182"/>
      <c r="BU207" s="182"/>
      <c r="BV207" s="182"/>
      <c r="BW207" s="182"/>
      <c r="BX207" s="182"/>
      <c r="BY207" s="182"/>
      <c r="BZ207" s="182"/>
      <c r="CA207" s="182"/>
      <c r="CB207" s="185">
        <f t="shared" si="33"/>
        <v>18069</v>
      </c>
      <c r="CC207" s="185">
        <f t="shared" si="34"/>
        <v>0</v>
      </c>
      <c r="CD207" s="185">
        <f t="shared" si="35"/>
        <v>587</v>
      </c>
      <c r="CE207" s="185" t="e">
        <f>+#REF!</f>
        <v>#REF!</v>
      </c>
    </row>
    <row r="208" spans="2:83" s="197" customFormat="1" ht="37.5" x14ac:dyDescent="0.3">
      <c r="B208" s="182">
        <v>1406</v>
      </c>
      <c r="C208" s="182">
        <v>588</v>
      </c>
      <c r="D208" s="182" t="s">
        <v>121</v>
      </c>
      <c r="E208" s="181" t="s">
        <v>551</v>
      </c>
      <c r="F208" s="182"/>
      <c r="G208" s="182">
        <v>1172.5</v>
      </c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2"/>
      <c r="AH208" s="182"/>
      <c r="AI208" s="182"/>
      <c r="AJ208" s="182"/>
      <c r="AK208" s="182"/>
      <c r="AL208" s="182"/>
      <c r="AM208" s="182"/>
      <c r="AN208" s="182"/>
      <c r="AO208" s="182"/>
      <c r="AP208" s="182"/>
      <c r="AQ208" s="185">
        <f t="shared" si="32"/>
        <v>1172.5</v>
      </c>
      <c r="AR208" s="182">
        <v>784.1</v>
      </c>
      <c r="AS208" s="182">
        <v>105.9</v>
      </c>
      <c r="AT208" s="182">
        <v>282.5</v>
      </c>
      <c r="AU208" s="182"/>
      <c r="AV208" s="182"/>
      <c r="AW208" s="182"/>
      <c r="AX208" s="182"/>
      <c r="AY208" s="182"/>
      <c r="AZ208" s="182"/>
      <c r="BA208" s="182"/>
      <c r="BB208" s="182"/>
      <c r="BC208" s="182"/>
      <c r="BD208" s="182"/>
      <c r="BE208" s="182"/>
      <c r="BF208" s="182"/>
      <c r="BG208" s="182"/>
      <c r="BH208" s="182"/>
      <c r="BI208" s="182"/>
      <c r="BJ208" s="182"/>
      <c r="BK208" s="182"/>
      <c r="BL208" s="182"/>
      <c r="BM208" s="182"/>
      <c r="BN208" s="182"/>
      <c r="BO208" s="182"/>
      <c r="BP208" s="182"/>
      <c r="BQ208" s="182"/>
      <c r="BR208" s="182"/>
      <c r="BS208" s="182"/>
      <c r="BT208" s="182"/>
      <c r="BU208" s="182"/>
      <c r="BV208" s="182"/>
      <c r="BW208" s="182"/>
      <c r="BX208" s="182"/>
      <c r="BY208" s="182"/>
      <c r="BZ208" s="182"/>
      <c r="CA208" s="182"/>
      <c r="CB208" s="185">
        <f t="shared" si="33"/>
        <v>1172.5</v>
      </c>
      <c r="CC208" s="185">
        <f t="shared" si="34"/>
        <v>0</v>
      </c>
      <c r="CD208" s="185">
        <f t="shared" si="35"/>
        <v>588</v>
      </c>
      <c r="CE208" s="185" t="e">
        <f>+#REF!</f>
        <v>#REF!</v>
      </c>
    </row>
    <row r="209" spans="2:83" s="197" customFormat="1" ht="37.5" x14ac:dyDescent="0.3">
      <c r="B209" s="182">
        <v>1409</v>
      </c>
      <c r="C209" s="182">
        <v>589</v>
      </c>
      <c r="D209" s="182" t="s">
        <v>121</v>
      </c>
      <c r="E209" s="181" t="str">
        <f>+E197</f>
        <v>ج اضافيه منسقين من خارج (ا ه ت )</v>
      </c>
      <c r="F209" s="182"/>
      <c r="G209" s="182">
        <v>3000</v>
      </c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  <c r="AO209" s="182"/>
      <c r="AP209" s="182"/>
      <c r="AQ209" s="185">
        <f t="shared" si="32"/>
        <v>3000</v>
      </c>
      <c r="AR209" s="182">
        <v>2677.85</v>
      </c>
      <c r="AS209" s="182">
        <v>322.14999999999998</v>
      </c>
      <c r="AT209" s="182"/>
      <c r="AU209" s="182"/>
      <c r="AV209" s="182"/>
      <c r="AW209" s="182"/>
      <c r="AX209" s="182"/>
      <c r="AY209" s="182"/>
      <c r="AZ209" s="182"/>
      <c r="BA209" s="182"/>
      <c r="BB209" s="182"/>
      <c r="BC209" s="182"/>
      <c r="BD209" s="182"/>
      <c r="BE209" s="182"/>
      <c r="BF209" s="182"/>
      <c r="BG209" s="182"/>
      <c r="BH209" s="182"/>
      <c r="BI209" s="182"/>
      <c r="BJ209" s="182"/>
      <c r="BK209" s="182"/>
      <c r="BL209" s="182"/>
      <c r="BM209" s="182"/>
      <c r="BN209" s="182"/>
      <c r="BO209" s="182"/>
      <c r="BP209" s="182"/>
      <c r="BQ209" s="182"/>
      <c r="BR209" s="182"/>
      <c r="BS209" s="182"/>
      <c r="BT209" s="182"/>
      <c r="BU209" s="182"/>
      <c r="BV209" s="182"/>
      <c r="BW209" s="182"/>
      <c r="BX209" s="182"/>
      <c r="BY209" s="182"/>
      <c r="BZ209" s="182"/>
      <c r="CA209" s="182"/>
      <c r="CB209" s="185">
        <f t="shared" si="33"/>
        <v>3000</v>
      </c>
      <c r="CC209" s="185">
        <f t="shared" si="34"/>
        <v>0</v>
      </c>
      <c r="CD209" s="185">
        <f t="shared" si="35"/>
        <v>589</v>
      </c>
      <c r="CE209" s="185" t="e">
        <f>+#REF!</f>
        <v>#REF!</v>
      </c>
    </row>
    <row r="210" spans="2:83" s="197" customFormat="1" ht="37.5" x14ac:dyDescent="0.3">
      <c r="B210" s="182">
        <v>1413</v>
      </c>
      <c r="C210" s="182">
        <v>590</v>
      </c>
      <c r="D210" s="182" t="s">
        <v>121</v>
      </c>
      <c r="E210" s="181" t="s">
        <v>4605</v>
      </c>
      <c r="F210" s="182"/>
      <c r="G210" s="182">
        <v>6095</v>
      </c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  <c r="AN210" s="182"/>
      <c r="AO210" s="182"/>
      <c r="AP210" s="182"/>
      <c r="AQ210" s="185">
        <f t="shared" si="32"/>
        <v>6095</v>
      </c>
      <c r="AR210" s="182">
        <v>4915.45</v>
      </c>
      <c r="AS210" s="182">
        <v>614.54999999999995</v>
      </c>
      <c r="AT210" s="182">
        <v>565</v>
      </c>
      <c r="AU210" s="182"/>
      <c r="AV210" s="182"/>
      <c r="AW210" s="182"/>
      <c r="AX210" s="182"/>
      <c r="AY210" s="182"/>
      <c r="AZ210" s="182"/>
      <c r="BA210" s="182"/>
      <c r="BB210" s="182"/>
      <c r="BC210" s="182"/>
      <c r="BD210" s="182"/>
      <c r="BE210" s="182"/>
      <c r="BF210" s="182"/>
      <c r="BG210" s="182"/>
      <c r="BH210" s="182"/>
      <c r="BI210" s="182"/>
      <c r="BJ210" s="182"/>
      <c r="BK210" s="182"/>
      <c r="BL210" s="182"/>
      <c r="BM210" s="182"/>
      <c r="BN210" s="182"/>
      <c r="BO210" s="182"/>
      <c r="BP210" s="182"/>
      <c r="BQ210" s="182"/>
      <c r="BR210" s="182"/>
      <c r="BS210" s="182"/>
      <c r="BT210" s="182"/>
      <c r="BU210" s="182"/>
      <c r="BV210" s="182"/>
      <c r="BW210" s="182"/>
      <c r="BX210" s="182"/>
      <c r="BY210" s="182"/>
      <c r="BZ210" s="182"/>
      <c r="CA210" s="182"/>
      <c r="CB210" s="185">
        <f t="shared" si="33"/>
        <v>6095</v>
      </c>
      <c r="CC210" s="185">
        <f t="shared" si="34"/>
        <v>0</v>
      </c>
      <c r="CD210" s="185">
        <f t="shared" si="35"/>
        <v>590</v>
      </c>
      <c r="CE210" s="185" t="e">
        <f>+#REF!</f>
        <v>#REF!</v>
      </c>
    </row>
    <row r="211" spans="2:83" s="197" customFormat="1" ht="37.5" x14ac:dyDescent="0.3">
      <c r="B211" s="182">
        <v>1408</v>
      </c>
      <c r="C211" s="182">
        <v>591</v>
      </c>
      <c r="D211" s="182" t="s">
        <v>121</v>
      </c>
      <c r="E211" s="181" t="s">
        <v>4606</v>
      </c>
      <c r="F211" s="182"/>
      <c r="G211" s="182">
        <v>3000</v>
      </c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2"/>
      <c r="AH211" s="182"/>
      <c r="AI211" s="182"/>
      <c r="AJ211" s="182"/>
      <c r="AK211" s="182"/>
      <c r="AL211" s="182"/>
      <c r="AM211" s="182"/>
      <c r="AN211" s="182"/>
      <c r="AO211" s="182"/>
      <c r="AP211" s="182"/>
      <c r="AQ211" s="185">
        <f t="shared" si="32"/>
        <v>3000</v>
      </c>
      <c r="AR211" s="182">
        <v>2677.85</v>
      </c>
      <c r="AS211" s="182">
        <v>322.14999999999998</v>
      </c>
      <c r="AT211" s="182"/>
      <c r="AU211" s="182"/>
      <c r="AV211" s="182"/>
      <c r="AW211" s="182"/>
      <c r="AX211" s="182"/>
      <c r="AY211" s="182"/>
      <c r="AZ211" s="182"/>
      <c r="BA211" s="182"/>
      <c r="BB211" s="182"/>
      <c r="BC211" s="182"/>
      <c r="BD211" s="182"/>
      <c r="BE211" s="182"/>
      <c r="BF211" s="182"/>
      <c r="BG211" s="182"/>
      <c r="BH211" s="182"/>
      <c r="BI211" s="182"/>
      <c r="BJ211" s="182"/>
      <c r="BK211" s="182"/>
      <c r="BL211" s="182"/>
      <c r="BM211" s="182"/>
      <c r="BN211" s="182"/>
      <c r="BO211" s="182"/>
      <c r="BP211" s="182"/>
      <c r="BQ211" s="182"/>
      <c r="BR211" s="182"/>
      <c r="BS211" s="182"/>
      <c r="BT211" s="182"/>
      <c r="BU211" s="182"/>
      <c r="BV211" s="182"/>
      <c r="BW211" s="182"/>
      <c r="BX211" s="182"/>
      <c r="BY211" s="182"/>
      <c r="BZ211" s="182"/>
      <c r="CA211" s="182"/>
      <c r="CB211" s="185">
        <f t="shared" si="33"/>
        <v>3000</v>
      </c>
      <c r="CC211" s="185">
        <f t="shared" si="34"/>
        <v>0</v>
      </c>
      <c r="CD211" s="185">
        <f t="shared" si="35"/>
        <v>591</v>
      </c>
      <c r="CE211" s="185" t="e">
        <f>+#REF!</f>
        <v>#REF!</v>
      </c>
    </row>
    <row r="212" spans="2:83" s="197" customFormat="1" ht="37.5" x14ac:dyDescent="0.3">
      <c r="B212" s="182">
        <v>1411</v>
      </c>
      <c r="C212" s="182">
        <v>592</v>
      </c>
      <c r="D212" s="182" t="s">
        <v>121</v>
      </c>
      <c r="E212" s="181" t="s">
        <v>4606</v>
      </c>
      <c r="F212" s="182"/>
      <c r="G212" s="182">
        <v>2500</v>
      </c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  <c r="AN212" s="182"/>
      <c r="AO212" s="182"/>
      <c r="AP212" s="182"/>
      <c r="AQ212" s="185">
        <f t="shared" si="32"/>
        <v>2500</v>
      </c>
      <c r="AR212" s="182">
        <v>2231.6</v>
      </c>
      <c r="AS212" s="182">
        <v>268.39999999999998</v>
      </c>
      <c r="AT212" s="182"/>
      <c r="AU212" s="182"/>
      <c r="AV212" s="182"/>
      <c r="AW212" s="182"/>
      <c r="AX212" s="182"/>
      <c r="AY212" s="182"/>
      <c r="AZ212" s="182"/>
      <c r="BA212" s="182"/>
      <c r="BB212" s="182"/>
      <c r="BC212" s="182"/>
      <c r="BD212" s="182"/>
      <c r="BE212" s="182"/>
      <c r="BF212" s="182"/>
      <c r="BG212" s="182"/>
      <c r="BH212" s="182"/>
      <c r="BI212" s="182"/>
      <c r="BJ212" s="182"/>
      <c r="BK212" s="182"/>
      <c r="BL212" s="182"/>
      <c r="BM212" s="182"/>
      <c r="BN212" s="182"/>
      <c r="BO212" s="182"/>
      <c r="BP212" s="182"/>
      <c r="BQ212" s="182"/>
      <c r="BR212" s="182"/>
      <c r="BS212" s="182"/>
      <c r="BT212" s="182"/>
      <c r="BU212" s="182"/>
      <c r="BV212" s="182"/>
      <c r="BW212" s="182"/>
      <c r="BX212" s="182"/>
      <c r="BY212" s="182"/>
      <c r="BZ212" s="182"/>
      <c r="CA212" s="182"/>
      <c r="CB212" s="185">
        <f t="shared" si="33"/>
        <v>2500</v>
      </c>
      <c r="CC212" s="185">
        <f t="shared" si="34"/>
        <v>0</v>
      </c>
      <c r="CD212" s="185">
        <f t="shared" si="35"/>
        <v>592</v>
      </c>
      <c r="CE212" s="185" t="e">
        <f>+#REF!</f>
        <v>#REF!</v>
      </c>
    </row>
    <row r="213" spans="2:83" s="197" customFormat="1" ht="37.5" x14ac:dyDescent="0.3">
      <c r="B213" s="182">
        <v>1411</v>
      </c>
      <c r="C213" s="182">
        <v>593</v>
      </c>
      <c r="D213" s="182" t="s">
        <v>121</v>
      </c>
      <c r="E213" s="181" t="str">
        <f>+E212</f>
        <v>ج اضافيه منسقين ا ه ت</v>
      </c>
      <c r="F213" s="182"/>
      <c r="G213" s="182">
        <v>8000</v>
      </c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  <c r="AN213" s="182"/>
      <c r="AO213" s="182"/>
      <c r="AP213" s="182"/>
      <c r="AQ213" s="185">
        <f t="shared" si="32"/>
        <v>8000</v>
      </c>
      <c r="AR213" s="182">
        <v>7141.05</v>
      </c>
      <c r="AS213" s="182">
        <v>858.95</v>
      </c>
      <c r="AT213" s="182"/>
      <c r="AU213" s="182"/>
      <c r="AV213" s="182"/>
      <c r="AW213" s="182"/>
      <c r="AX213" s="182"/>
      <c r="AY213" s="182"/>
      <c r="AZ213" s="182"/>
      <c r="BA213" s="182"/>
      <c r="BB213" s="182"/>
      <c r="BC213" s="182"/>
      <c r="BD213" s="182"/>
      <c r="BE213" s="182"/>
      <c r="BF213" s="182"/>
      <c r="BG213" s="182"/>
      <c r="BH213" s="182"/>
      <c r="BI213" s="182"/>
      <c r="BJ213" s="182"/>
      <c r="BK213" s="182"/>
      <c r="BL213" s="182"/>
      <c r="BM213" s="182"/>
      <c r="BN213" s="182"/>
      <c r="BO213" s="182"/>
      <c r="BP213" s="182"/>
      <c r="BQ213" s="182"/>
      <c r="BR213" s="182"/>
      <c r="BS213" s="182"/>
      <c r="BT213" s="182"/>
      <c r="BU213" s="182"/>
      <c r="BV213" s="182"/>
      <c r="BW213" s="182"/>
      <c r="BX213" s="182"/>
      <c r="BY213" s="182"/>
      <c r="BZ213" s="182"/>
      <c r="CA213" s="182"/>
      <c r="CB213" s="185">
        <f t="shared" si="33"/>
        <v>8000</v>
      </c>
      <c r="CC213" s="185">
        <f t="shared" si="34"/>
        <v>0</v>
      </c>
      <c r="CD213" s="185">
        <f t="shared" si="35"/>
        <v>593</v>
      </c>
      <c r="CE213" s="185" t="e">
        <f>+#REF!</f>
        <v>#REF!</v>
      </c>
    </row>
    <row r="214" spans="2:83" s="197" customFormat="1" ht="37.5" x14ac:dyDescent="0.3">
      <c r="B214" s="182">
        <v>1412</v>
      </c>
      <c r="C214" s="182">
        <v>594</v>
      </c>
      <c r="D214" s="182" t="s">
        <v>121</v>
      </c>
      <c r="E214" s="181" t="s">
        <v>4607</v>
      </c>
      <c r="F214" s="182"/>
      <c r="G214" s="182">
        <v>4922.5</v>
      </c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2"/>
      <c r="AH214" s="182"/>
      <c r="AI214" s="182"/>
      <c r="AJ214" s="182"/>
      <c r="AK214" s="182"/>
      <c r="AL214" s="182"/>
      <c r="AM214" s="182"/>
      <c r="AN214" s="182"/>
      <c r="AO214" s="182"/>
      <c r="AP214" s="182"/>
      <c r="AQ214" s="185">
        <f t="shared" si="32"/>
        <v>4922.5</v>
      </c>
      <c r="AR214" s="182">
        <v>4131.3500000000004</v>
      </c>
      <c r="AS214" s="182">
        <v>508.65</v>
      </c>
      <c r="AT214" s="182">
        <v>282.5</v>
      </c>
      <c r="AU214" s="182"/>
      <c r="AV214" s="182"/>
      <c r="AW214" s="182"/>
      <c r="AX214" s="182"/>
      <c r="AY214" s="182"/>
      <c r="AZ214" s="182"/>
      <c r="BA214" s="182"/>
      <c r="BB214" s="182"/>
      <c r="BC214" s="182"/>
      <c r="BD214" s="182"/>
      <c r="BE214" s="182"/>
      <c r="BF214" s="182"/>
      <c r="BG214" s="182"/>
      <c r="BH214" s="182"/>
      <c r="BI214" s="182"/>
      <c r="BJ214" s="182"/>
      <c r="BK214" s="182"/>
      <c r="BL214" s="182"/>
      <c r="BM214" s="182"/>
      <c r="BN214" s="182"/>
      <c r="BO214" s="182"/>
      <c r="BP214" s="182"/>
      <c r="BQ214" s="182"/>
      <c r="BR214" s="182"/>
      <c r="BS214" s="182"/>
      <c r="BT214" s="182"/>
      <c r="BU214" s="182"/>
      <c r="BV214" s="182"/>
      <c r="BW214" s="182"/>
      <c r="BX214" s="182"/>
      <c r="BY214" s="182"/>
      <c r="BZ214" s="182"/>
      <c r="CA214" s="182"/>
      <c r="CB214" s="185">
        <f t="shared" si="33"/>
        <v>4922.5</v>
      </c>
      <c r="CC214" s="185">
        <f t="shared" si="34"/>
        <v>0</v>
      </c>
      <c r="CD214" s="185">
        <f t="shared" si="35"/>
        <v>594</v>
      </c>
      <c r="CE214" s="185" t="e">
        <f>+#REF!</f>
        <v>#REF!</v>
      </c>
    </row>
    <row r="215" spans="2:83" s="197" customFormat="1" ht="37.5" x14ac:dyDescent="0.3">
      <c r="B215" s="182">
        <v>1411</v>
      </c>
      <c r="C215" s="182">
        <v>595</v>
      </c>
      <c r="D215" s="182" t="s">
        <v>121</v>
      </c>
      <c r="E215" s="181" t="str">
        <f>+E211</f>
        <v>ج اضافيه منسقين ا ه ت</v>
      </c>
      <c r="F215" s="182"/>
      <c r="G215" s="182">
        <v>6517.5</v>
      </c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2"/>
      <c r="AH215" s="182"/>
      <c r="AI215" s="182"/>
      <c r="AJ215" s="182"/>
      <c r="AK215" s="182"/>
      <c r="AL215" s="182"/>
      <c r="AM215" s="182"/>
      <c r="AN215" s="182"/>
      <c r="AO215" s="182"/>
      <c r="AP215" s="182"/>
      <c r="AQ215" s="185">
        <f t="shared" si="32"/>
        <v>6517.5</v>
      </c>
      <c r="AR215" s="182">
        <v>5028.2</v>
      </c>
      <c r="AS215" s="182">
        <v>641.79999999999995</v>
      </c>
      <c r="AT215" s="182">
        <v>847.5</v>
      </c>
      <c r="AU215" s="182"/>
      <c r="AV215" s="182"/>
      <c r="AW215" s="182"/>
      <c r="AX215" s="182"/>
      <c r="AY215" s="182"/>
      <c r="AZ215" s="182"/>
      <c r="BA215" s="182"/>
      <c r="BB215" s="182"/>
      <c r="BC215" s="182"/>
      <c r="BD215" s="182"/>
      <c r="BE215" s="182"/>
      <c r="BF215" s="182"/>
      <c r="BG215" s="182"/>
      <c r="BH215" s="182"/>
      <c r="BI215" s="182"/>
      <c r="BJ215" s="182"/>
      <c r="BK215" s="182"/>
      <c r="BL215" s="182"/>
      <c r="BM215" s="182"/>
      <c r="BN215" s="182"/>
      <c r="BO215" s="182"/>
      <c r="BP215" s="182"/>
      <c r="BQ215" s="182"/>
      <c r="BR215" s="182"/>
      <c r="BS215" s="182"/>
      <c r="BT215" s="182"/>
      <c r="BU215" s="182"/>
      <c r="BV215" s="182"/>
      <c r="BW215" s="182"/>
      <c r="BX215" s="182"/>
      <c r="BY215" s="182"/>
      <c r="BZ215" s="182"/>
      <c r="CA215" s="182"/>
      <c r="CB215" s="185">
        <f t="shared" si="33"/>
        <v>6517.5</v>
      </c>
      <c r="CC215" s="185">
        <f t="shared" si="34"/>
        <v>0</v>
      </c>
      <c r="CD215" s="185">
        <f t="shared" si="35"/>
        <v>595</v>
      </c>
      <c r="CE215" s="185" t="e">
        <f>+#REF!</f>
        <v>#REF!</v>
      </c>
    </row>
    <row r="216" spans="2:83" s="197" customFormat="1" ht="37.5" x14ac:dyDescent="0.3">
      <c r="B216" s="182">
        <v>1410</v>
      </c>
      <c r="C216" s="182">
        <v>596</v>
      </c>
      <c r="D216" s="182" t="s">
        <v>121</v>
      </c>
      <c r="E216" s="181" t="str">
        <f>+E212</f>
        <v>ج اضافيه منسقين ا ه ت</v>
      </c>
      <c r="F216" s="182"/>
      <c r="G216" s="182">
        <v>36000</v>
      </c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2"/>
      <c r="AH216" s="182"/>
      <c r="AI216" s="182"/>
      <c r="AJ216" s="182"/>
      <c r="AK216" s="182"/>
      <c r="AL216" s="182"/>
      <c r="AM216" s="182"/>
      <c r="AN216" s="182"/>
      <c r="AO216" s="182"/>
      <c r="AP216" s="182"/>
      <c r="AQ216" s="185">
        <f t="shared" si="32"/>
        <v>36000</v>
      </c>
      <c r="AR216" s="182">
        <v>32134.2</v>
      </c>
      <c r="AS216" s="182">
        <v>3865.8</v>
      </c>
      <c r="AT216" s="182"/>
      <c r="AU216" s="182"/>
      <c r="AV216" s="182"/>
      <c r="AW216" s="182"/>
      <c r="AX216" s="182"/>
      <c r="AY216" s="182"/>
      <c r="AZ216" s="182"/>
      <c r="BA216" s="182"/>
      <c r="BB216" s="182"/>
      <c r="BC216" s="182"/>
      <c r="BD216" s="182"/>
      <c r="BE216" s="182"/>
      <c r="BF216" s="182"/>
      <c r="BG216" s="182"/>
      <c r="BH216" s="182"/>
      <c r="BI216" s="182"/>
      <c r="BJ216" s="182"/>
      <c r="BK216" s="182"/>
      <c r="BL216" s="182"/>
      <c r="BM216" s="182"/>
      <c r="BN216" s="182"/>
      <c r="BO216" s="182"/>
      <c r="BP216" s="182"/>
      <c r="BQ216" s="182"/>
      <c r="BR216" s="182"/>
      <c r="BS216" s="182"/>
      <c r="BT216" s="182"/>
      <c r="BU216" s="182"/>
      <c r="BV216" s="182"/>
      <c r="BW216" s="182"/>
      <c r="BX216" s="182"/>
      <c r="BY216" s="182"/>
      <c r="BZ216" s="182"/>
      <c r="CA216" s="182"/>
      <c r="CB216" s="185">
        <f t="shared" si="33"/>
        <v>36000</v>
      </c>
      <c r="CC216" s="185">
        <f t="shared" si="34"/>
        <v>0</v>
      </c>
      <c r="CD216" s="185">
        <f t="shared" si="35"/>
        <v>596</v>
      </c>
      <c r="CE216" s="185" t="e">
        <f>+#REF!</f>
        <v>#REF!</v>
      </c>
    </row>
    <row r="217" spans="2:83" s="197" customFormat="1" ht="37.5" x14ac:dyDescent="0.3">
      <c r="B217" s="182">
        <v>1416</v>
      </c>
      <c r="C217" s="182">
        <v>597</v>
      </c>
      <c r="D217" s="182" t="s">
        <v>121</v>
      </c>
      <c r="E217" s="181" t="s">
        <v>4608</v>
      </c>
      <c r="F217" s="182"/>
      <c r="G217" s="182">
        <v>8000</v>
      </c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182"/>
      <c r="AI217" s="182"/>
      <c r="AJ217" s="182"/>
      <c r="AK217" s="182"/>
      <c r="AL217" s="182"/>
      <c r="AM217" s="182"/>
      <c r="AN217" s="182"/>
      <c r="AO217" s="182"/>
      <c r="AP217" s="182"/>
      <c r="AQ217" s="185">
        <f t="shared" si="32"/>
        <v>8000</v>
      </c>
      <c r="AR217" s="182">
        <v>7140.7</v>
      </c>
      <c r="AS217" s="182">
        <v>859.3</v>
      </c>
      <c r="AT217" s="182"/>
      <c r="AU217" s="182"/>
      <c r="AV217" s="182"/>
      <c r="AW217" s="182"/>
      <c r="AX217" s="182"/>
      <c r="AY217" s="182"/>
      <c r="AZ217" s="182"/>
      <c r="BA217" s="182"/>
      <c r="BB217" s="182"/>
      <c r="BC217" s="182"/>
      <c r="BD217" s="182"/>
      <c r="BE217" s="182"/>
      <c r="BF217" s="182"/>
      <c r="BG217" s="182"/>
      <c r="BH217" s="182"/>
      <c r="BI217" s="182"/>
      <c r="BJ217" s="182"/>
      <c r="BK217" s="182"/>
      <c r="BL217" s="182"/>
      <c r="BM217" s="182"/>
      <c r="BN217" s="182"/>
      <c r="BO217" s="182"/>
      <c r="BP217" s="182"/>
      <c r="BQ217" s="182"/>
      <c r="BR217" s="182"/>
      <c r="BS217" s="182"/>
      <c r="BT217" s="182"/>
      <c r="BU217" s="182"/>
      <c r="BV217" s="182"/>
      <c r="BW217" s="182"/>
      <c r="BX217" s="182"/>
      <c r="BY217" s="182"/>
      <c r="BZ217" s="182"/>
      <c r="CA217" s="182"/>
      <c r="CB217" s="185">
        <f t="shared" si="33"/>
        <v>8000</v>
      </c>
      <c r="CC217" s="185">
        <f t="shared" si="34"/>
        <v>0</v>
      </c>
      <c r="CD217" s="185">
        <f t="shared" si="35"/>
        <v>597</v>
      </c>
      <c r="CE217" s="185" t="e">
        <f>+#REF!</f>
        <v>#REF!</v>
      </c>
    </row>
    <row r="218" spans="2:83" s="197" customFormat="1" ht="37.5" x14ac:dyDescent="0.3">
      <c r="B218" s="182">
        <v>1415</v>
      </c>
      <c r="C218" s="182">
        <v>598</v>
      </c>
      <c r="D218" s="182" t="s">
        <v>121</v>
      </c>
      <c r="E218" s="181" t="s">
        <v>4609</v>
      </c>
      <c r="F218" s="182"/>
      <c r="G218" s="182">
        <v>3500</v>
      </c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2"/>
      <c r="AH218" s="182"/>
      <c r="AI218" s="182"/>
      <c r="AJ218" s="182"/>
      <c r="AK218" s="182"/>
      <c r="AL218" s="182"/>
      <c r="AM218" s="182"/>
      <c r="AN218" s="182"/>
      <c r="AO218" s="182"/>
      <c r="AP218" s="182"/>
      <c r="AQ218" s="185">
        <f t="shared" si="32"/>
        <v>3500</v>
      </c>
      <c r="AR218" s="182">
        <v>3124.1</v>
      </c>
      <c r="AS218" s="182">
        <v>375.9</v>
      </c>
      <c r="AT218" s="182"/>
      <c r="AU218" s="182"/>
      <c r="AV218" s="182"/>
      <c r="AW218" s="182"/>
      <c r="AX218" s="182"/>
      <c r="AY218" s="182"/>
      <c r="AZ218" s="182"/>
      <c r="BA218" s="182"/>
      <c r="BB218" s="182"/>
      <c r="BC218" s="182"/>
      <c r="BD218" s="182"/>
      <c r="BE218" s="182"/>
      <c r="BF218" s="182"/>
      <c r="BG218" s="182"/>
      <c r="BH218" s="182"/>
      <c r="BI218" s="182"/>
      <c r="BJ218" s="182"/>
      <c r="BK218" s="182"/>
      <c r="BL218" s="182"/>
      <c r="BM218" s="182"/>
      <c r="BN218" s="182"/>
      <c r="BO218" s="182"/>
      <c r="BP218" s="182"/>
      <c r="BQ218" s="182"/>
      <c r="BR218" s="182"/>
      <c r="BS218" s="182"/>
      <c r="BT218" s="182"/>
      <c r="BU218" s="182"/>
      <c r="BV218" s="182"/>
      <c r="BW218" s="182"/>
      <c r="BX218" s="182"/>
      <c r="BY218" s="182"/>
      <c r="BZ218" s="182"/>
      <c r="CA218" s="182"/>
      <c r="CB218" s="185">
        <f t="shared" si="33"/>
        <v>3500</v>
      </c>
      <c r="CC218" s="185">
        <f t="shared" si="34"/>
        <v>0</v>
      </c>
      <c r="CD218" s="185">
        <f t="shared" si="35"/>
        <v>598</v>
      </c>
      <c r="CE218" s="185" t="e">
        <f>+#REF!</f>
        <v>#REF!</v>
      </c>
    </row>
    <row r="219" spans="2:83" s="197" customFormat="1" ht="37.5" x14ac:dyDescent="0.3">
      <c r="B219" s="182">
        <v>1417</v>
      </c>
      <c r="C219" s="182">
        <v>599</v>
      </c>
      <c r="D219" s="182" t="s">
        <v>121</v>
      </c>
      <c r="E219" s="181" t="s">
        <v>4610</v>
      </c>
      <c r="F219" s="182"/>
      <c r="G219" s="182">
        <v>10500</v>
      </c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2"/>
      <c r="AH219" s="182"/>
      <c r="AI219" s="182"/>
      <c r="AJ219" s="182"/>
      <c r="AK219" s="182"/>
      <c r="AL219" s="182"/>
      <c r="AM219" s="182"/>
      <c r="AN219" s="182"/>
      <c r="AO219" s="182"/>
      <c r="AP219" s="182"/>
      <c r="AQ219" s="185">
        <f t="shared" si="32"/>
        <v>10500</v>
      </c>
      <c r="AR219" s="182">
        <v>9372.2999999999993</v>
      </c>
      <c r="AS219" s="182">
        <v>1127.7</v>
      </c>
      <c r="AT219" s="182"/>
      <c r="AU219" s="182"/>
      <c r="AV219" s="182"/>
      <c r="AW219" s="182"/>
      <c r="AX219" s="182"/>
      <c r="AY219" s="182"/>
      <c r="AZ219" s="182"/>
      <c r="BA219" s="182"/>
      <c r="BB219" s="182"/>
      <c r="BC219" s="182"/>
      <c r="BD219" s="182"/>
      <c r="BE219" s="182"/>
      <c r="BF219" s="182"/>
      <c r="BG219" s="182"/>
      <c r="BH219" s="182"/>
      <c r="BI219" s="182"/>
      <c r="BJ219" s="182"/>
      <c r="BK219" s="182"/>
      <c r="BL219" s="182"/>
      <c r="BM219" s="182"/>
      <c r="BN219" s="182"/>
      <c r="BO219" s="182"/>
      <c r="BP219" s="182"/>
      <c r="BQ219" s="182"/>
      <c r="BR219" s="182"/>
      <c r="BS219" s="182"/>
      <c r="BT219" s="182"/>
      <c r="BU219" s="182"/>
      <c r="BV219" s="182"/>
      <c r="BW219" s="182"/>
      <c r="BX219" s="182"/>
      <c r="BY219" s="182"/>
      <c r="BZ219" s="182"/>
      <c r="CA219" s="182"/>
      <c r="CB219" s="185">
        <f t="shared" si="33"/>
        <v>10500</v>
      </c>
      <c r="CC219" s="185">
        <f t="shared" si="34"/>
        <v>0</v>
      </c>
      <c r="CD219" s="185">
        <f t="shared" si="35"/>
        <v>599</v>
      </c>
      <c r="CE219" s="185" t="e">
        <f>+#REF!</f>
        <v>#REF!</v>
      </c>
    </row>
    <row r="220" spans="2:83" s="197" customFormat="1" ht="37.5" x14ac:dyDescent="0.3">
      <c r="B220" s="182">
        <v>1414</v>
      </c>
      <c r="C220" s="182">
        <v>600</v>
      </c>
      <c r="D220" s="182" t="s">
        <v>121</v>
      </c>
      <c r="E220" s="181" t="s">
        <v>4611</v>
      </c>
      <c r="F220" s="182"/>
      <c r="G220" s="182">
        <v>15500</v>
      </c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82"/>
      <c r="AH220" s="182"/>
      <c r="AI220" s="182"/>
      <c r="AJ220" s="182"/>
      <c r="AK220" s="182"/>
      <c r="AL220" s="182"/>
      <c r="AM220" s="182"/>
      <c r="AN220" s="182"/>
      <c r="AO220" s="182"/>
      <c r="AP220" s="182"/>
      <c r="AQ220" s="185">
        <f t="shared" si="32"/>
        <v>15500</v>
      </c>
      <c r="AR220" s="182">
        <v>13835.15</v>
      </c>
      <c r="AS220" s="182">
        <v>1664.85</v>
      </c>
      <c r="AT220" s="182"/>
      <c r="AU220" s="182"/>
      <c r="AV220" s="182"/>
      <c r="AW220" s="182"/>
      <c r="AX220" s="182"/>
      <c r="AY220" s="182"/>
      <c r="AZ220" s="182"/>
      <c r="BA220" s="182"/>
      <c r="BB220" s="182"/>
      <c r="BC220" s="182"/>
      <c r="BD220" s="182"/>
      <c r="BE220" s="182"/>
      <c r="BF220" s="182"/>
      <c r="BG220" s="182"/>
      <c r="BH220" s="182"/>
      <c r="BI220" s="182"/>
      <c r="BJ220" s="182"/>
      <c r="BK220" s="182"/>
      <c r="BL220" s="182"/>
      <c r="BM220" s="182"/>
      <c r="BN220" s="182"/>
      <c r="BO220" s="182"/>
      <c r="BP220" s="182"/>
      <c r="BQ220" s="182"/>
      <c r="BR220" s="182"/>
      <c r="BS220" s="182"/>
      <c r="BT220" s="182"/>
      <c r="BU220" s="182"/>
      <c r="BV220" s="182"/>
      <c r="BW220" s="182"/>
      <c r="BX220" s="182"/>
      <c r="BY220" s="182"/>
      <c r="BZ220" s="182"/>
      <c r="CA220" s="182"/>
      <c r="CB220" s="185">
        <f t="shared" si="33"/>
        <v>15500</v>
      </c>
      <c r="CC220" s="185">
        <f t="shared" si="34"/>
        <v>0</v>
      </c>
      <c r="CD220" s="185">
        <f t="shared" si="35"/>
        <v>600</v>
      </c>
      <c r="CE220" s="185" t="e">
        <f>+#REF!</f>
        <v>#REF!</v>
      </c>
    </row>
    <row r="221" spans="2:83" s="197" customFormat="1" ht="37.5" x14ac:dyDescent="0.3">
      <c r="B221" s="182">
        <v>1399</v>
      </c>
      <c r="C221" s="182">
        <v>601</v>
      </c>
      <c r="D221" s="182" t="s">
        <v>121</v>
      </c>
      <c r="E221" s="181" t="str">
        <f>+E219</f>
        <v>ج اضافى امتحانات مؤقتين</v>
      </c>
      <c r="F221" s="182"/>
      <c r="G221" s="182">
        <v>23346.25</v>
      </c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  <c r="AN221" s="182"/>
      <c r="AO221" s="182"/>
      <c r="AP221" s="182"/>
      <c r="AQ221" s="185">
        <f t="shared" ref="AQ221:AQ252" si="36">SUM(G221:AP221)</f>
        <v>23346.25</v>
      </c>
      <c r="AR221" s="182">
        <v>16497.400000000001</v>
      </c>
      <c r="AS221" s="182">
        <v>2187.6</v>
      </c>
      <c r="AT221" s="182">
        <v>4661.25</v>
      </c>
      <c r="AU221" s="182"/>
      <c r="AV221" s="182"/>
      <c r="AW221" s="182"/>
      <c r="AX221" s="182"/>
      <c r="AY221" s="182"/>
      <c r="AZ221" s="182"/>
      <c r="BA221" s="182"/>
      <c r="BB221" s="182"/>
      <c r="BC221" s="182"/>
      <c r="BD221" s="182"/>
      <c r="BE221" s="182"/>
      <c r="BF221" s="182"/>
      <c r="BG221" s="182"/>
      <c r="BH221" s="182"/>
      <c r="BI221" s="182"/>
      <c r="BJ221" s="182"/>
      <c r="BK221" s="182"/>
      <c r="BL221" s="182"/>
      <c r="BM221" s="182"/>
      <c r="BN221" s="182"/>
      <c r="BO221" s="182"/>
      <c r="BP221" s="182"/>
      <c r="BQ221" s="182"/>
      <c r="BR221" s="182"/>
      <c r="BS221" s="182"/>
      <c r="BT221" s="182"/>
      <c r="BU221" s="182"/>
      <c r="BV221" s="182"/>
      <c r="BW221" s="182"/>
      <c r="BX221" s="182"/>
      <c r="BY221" s="182"/>
      <c r="BZ221" s="182"/>
      <c r="CA221" s="182"/>
      <c r="CB221" s="185">
        <f t="shared" ref="CB221:CB252" si="37">SUM(AR221:CA221)</f>
        <v>23346.25</v>
      </c>
      <c r="CC221" s="185">
        <f t="shared" ref="CC221:CC252" si="38">+CB221-AQ221</f>
        <v>0</v>
      </c>
      <c r="CD221" s="185">
        <f t="shared" ref="CD221:CD252" si="39">+C221</f>
        <v>601</v>
      </c>
      <c r="CE221" s="185" t="e">
        <f>+#REF!</f>
        <v>#REF!</v>
      </c>
    </row>
    <row r="222" spans="2:83" s="197" customFormat="1" ht="37.5" x14ac:dyDescent="0.3">
      <c r="B222" s="182">
        <v>1401</v>
      </c>
      <c r="C222" s="182">
        <v>602</v>
      </c>
      <c r="D222" s="182" t="s">
        <v>121</v>
      </c>
      <c r="E222" s="181" t="str">
        <f>+E221</f>
        <v>ج اضافى امتحانات مؤقتين</v>
      </c>
      <c r="F222" s="182"/>
      <c r="G222" s="182">
        <v>13050.13</v>
      </c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182"/>
      <c r="AO222" s="182"/>
      <c r="AP222" s="182"/>
      <c r="AQ222" s="185">
        <f t="shared" si="36"/>
        <v>13050.13</v>
      </c>
      <c r="AR222" s="182">
        <v>8826.8700000000008</v>
      </c>
      <c r="AS222" s="182">
        <v>1193.3499999999999</v>
      </c>
      <c r="AT222" s="182">
        <v>3029.91</v>
      </c>
      <c r="AU222" s="182"/>
      <c r="AV222" s="182"/>
      <c r="AW222" s="182"/>
      <c r="AX222" s="182"/>
      <c r="AY222" s="182"/>
      <c r="AZ222" s="182"/>
      <c r="BA222" s="182"/>
      <c r="BB222" s="182"/>
      <c r="BC222" s="182"/>
      <c r="BD222" s="182"/>
      <c r="BE222" s="182"/>
      <c r="BF222" s="182"/>
      <c r="BG222" s="182"/>
      <c r="BH222" s="182"/>
      <c r="BI222" s="182"/>
      <c r="BJ222" s="182"/>
      <c r="BK222" s="182"/>
      <c r="BL222" s="182"/>
      <c r="BM222" s="182"/>
      <c r="BN222" s="182"/>
      <c r="BO222" s="182"/>
      <c r="BP222" s="182"/>
      <c r="BQ222" s="182"/>
      <c r="BR222" s="182"/>
      <c r="BS222" s="182"/>
      <c r="BT222" s="182"/>
      <c r="BU222" s="182"/>
      <c r="BV222" s="182"/>
      <c r="BW222" s="182"/>
      <c r="BX222" s="182"/>
      <c r="BY222" s="182"/>
      <c r="BZ222" s="182"/>
      <c r="CA222" s="182"/>
      <c r="CB222" s="185">
        <f t="shared" si="37"/>
        <v>13050.130000000001</v>
      </c>
      <c r="CC222" s="185">
        <f t="shared" si="38"/>
        <v>0</v>
      </c>
      <c r="CD222" s="185">
        <f t="shared" si="39"/>
        <v>602</v>
      </c>
      <c r="CE222" s="185" t="e">
        <f>+#REF!</f>
        <v>#REF!</v>
      </c>
    </row>
    <row r="223" spans="2:83" s="197" customFormat="1" ht="56.25" x14ac:dyDescent="0.3">
      <c r="B223" s="182">
        <v>1424</v>
      </c>
      <c r="C223" s="182">
        <v>603</v>
      </c>
      <c r="D223" s="182" t="s">
        <v>121</v>
      </c>
      <c r="E223" s="181" t="s">
        <v>4612</v>
      </c>
      <c r="F223" s="182"/>
      <c r="G223" s="182">
        <v>31500</v>
      </c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  <c r="AN223" s="182"/>
      <c r="AO223" s="182"/>
      <c r="AP223" s="182"/>
      <c r="AQ223" s="185">
        <f t="shared" si="36"/>
        <v>31500</v>
      </c>
      <c r="AR223" s="182">
        <v>28110.2</v>
      </c>
      <c r="AS223" s="182">
        <v>3389.8</v>
      </c>
      <c r="AT223" s="182"/>
      <c r="AU223" s="182"/>
      <c r="AV223" s="182"/>
      <c r="AW223" s="182"/>
      <c r="AX223" s="182"/>
      <c r="AY223" s="182"/>
      <c r="AZ223" s="182"/>
      <c r="BA223" s="182"/>
      <c r="BB223" s="182"/>
      <c r="BC223" s="182"/>
      <c r="BD223" s="182"/>
      <c r="BE223" s="182"/>
      <c r="BF223" s="182"/>
      <c r="BG223" s="182"/>
      <c r="BH223" s="182"/>
      <c r="BI223" s="182"/>
      <c r="BJ223" s="182"/>
      <c r="BK223" s="182"/>
      <c r="BL223" s="182"/>
      <c r="BM223" s="182"/>
      <c r="BN223" s="182"/>
      <c r="BO223" s="182"/>
      <c r="BP223" s="182"/>
      <c r="BQ223" s="182"/>
      <c r="BR223" s="182"/>
      <c r="BS223" s="182"/>
      <c r="BT223" s="182"/>
      <c r="BU223" s="182"/>
      <c r="BV223" s="182"/>
      <c r="BW223" s="182"/>
      <c r="BX223" s="182"/>
      <c r="BY223" s="182"/>
      <c r="BZ223" s="182"/>
      <c r="CA223" s="182"/>
      <c r="CB223" s="185">
        <f t="shared" si="37"/>
        <v>31500</v>
      </c>
      <c r="CC223" s="185">
        <f t="shared" si="38"/>
        <v>0</v>
      </c>
      <c r="CD223" s="185">
        <f t="shared" si="39"/>
        <v>603</v>
      </c>
      <c r="CE223" s="185" t="e">
        <f>+#REF!</f>
        <v>#REF!</v>
      </c>
    </row>
    <row r="224" spans="2:83" s="197" customFormat="1" ht="56.25" x14ac:dyDescent="0.3">
      <c r="B224" s="182">
        <v>1425</v>
      </c>
      <c r="C224" s="182">
        <v>604</v>
      </c>
      <c r="D224" s="182" t="s">
        <v>121</v>
      </c>
      <c r="E224" s="181" t="s">
        <v>4612</v>
      </c>
      <c r="F224" s="182"/>
      <c r="G224" s="182">
        <v>15000</v>
      </c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5">
        <f t="shared" si="36"/>
        <v>15000</v>
      </c>
      <c r="AR224" s="182">
        <v>13388.55</v>
      </c>
      <c r="AS224" s="182">
        <v>1611.45</v>
      </c>
      <c r="AT224" s="182"/>
      <c r="AU224" s="182"/>
      <c r="AV224" s="182"/>
      <c r="AW224" s="182"/>
      <c r="AX224" s="182"/>
      <c r="AY224" s="182"/>
      <c r="AZ224" s="182"/>
      <c r="BA224" s="182"/>
      <c r="BB224" s="182"/>
      <c r="BC224" s="182"/>
      <c r="BD224" s="182"/>
      <c r="BE224" s="182"/>
      <c r="BF224" s="182"/>
      <c r="BG224" s="182"/>
      <c r="BH224" s="182"/>
      <c r="BI224" s="182"/>
      <c r="BJ224" s="182"/>
      <c r="BK224" s="182"/>
      <c r="BL224" s="182"/>
      <c r="BM224" s="182"/>
      <c r="BN224" s="182"/>
      <c r="BO224" s="182"/>
      <c r="BP224" s="182"/>
      <c r="BQ224" s="182"/>
      <c r="BR224" s="182"/>
      <c r="BS224" s="182"/>
      <c r="BT224" s="182"/>
      <c r="BU224" s="182"/>
      <c r="BV224" s="182"/>
      <c r="BW224" s="182"/>
      <c r="BX224" s="182"/>
      <c r="BY224" s="182"/>
      <c r="BZ224" s="182"/>
      <c r="CA224" s="182"/>
      <c r="CB224" s="185">
        <f t="shared" si="37"/>
        <v>15000</v>
      </c>
      <c r="CC224" s="185">
        <f t="shared" si="38"/>
        <v>0</v>
      </c>
      <c r="CD224" s="185">
        <f t="shared" si="39"/>
        <v>604</v>
      </c>
      <c r="CE224" s="185" t="e">
        <f>+#REF!</f>
        <v>#REF!</v>
      </c>
    </row>
    <row r="225" spans="2:83" s="197" customFormat="1" ht="37.5" x14ac:dyDescent="0.3">
      <c r="B225" s="182">
        <v>1427</v>
      </c>
      <c r="C225" s="182">
        <v>605</v>
      </c>
      <c r="D225" s="182" t="s">
        <v>121</v>
      </c>
      <c r="E225" s="181" t="s">
        <v>4613</v>
      </c>
      <c r="F225" s="182"/>
      <c r="G225" s="182">
        <v>12000</v>
      </c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5">
        <f t="shared" si="36"/>
        <v>12000</v>
      </c>
      <c r="AR225" s="182">
        <v>10711.4</v>
      </c>
      <c r="AS225" s="182">
        <v>1288.5999999999999</v>
      </c>
      <c r="AT225" s="182"/>
      <c r="AU225" s="182"/>
      <c r="AV225" s="182"/>
      <c r="AW225" s="182"/>
      <c r="AX225" s="182"/>
      <c r="AY225" s="182"/>
      <c r="AZ225" s="182"/>
      <c r="BA225" s="182"/>
      <c r="BB225" s="182"/>
      <c r="BC225" s="182"/>
      <c r="BD225" s="182"/>
      <c r="BE225" s="182"/>
      <c r="BF225" s="182"/>
      <c r="BG225" s="182"/>
      <c r="BH225" s="182"/>
      <c r="BI225" s="182"/>
      <c r="BJ225" s="182"/>
      <c r="BK225" s="182"/>
      <c r="BL225" s="182"/>
      <c r="BM225" s="182"/>
      <c r="BN225" s="182"/>
      <c r="BO225" s="182"/>
      <c r="BP225" s="182"/>
      <c r="BQ225" s="182"/>
      <c r="BR225" s="182"/>
      <c r="BS225" s="182"/>
      <c r="BT225" s="182"/>
      <c r="BU225" s="182"/>
      <c r="BV225" s="182"/>
      <c r="BW225" s="182"/>
      <c r="BX225" s="182"/>
      <c r="BY225" s="182"/>
      <c r="BZ225" s="182"/>
      <c r="CA225" s="182"/>
      <c r="CB225" s="185">
        <f t="shared" si="37"/>
        <v>12000</v>
      </c>
      <c r="CC225" s="185">
        <f t="shared" si="38"/>
        <v>0</v>
      </c>
      <c r="CD225" s="185">
        <f t="shared" si="39"/>
        <v>605</v>
      </c>
      <c r="CE225" s="185" t="e">
        <f>+#REF!</f>
        <v>#REF!</v>
      </c>
    </row>
    <row r="226" spans="2:83" s="197" customFormat="1" ht="56.25" x14ac:dyDescent="0.3">
      <c r="B226" s="182">
        <v>1418</v>
      </c>
      <c r="C226" s="182">
        <v>606</v>
      </c>
      <c r="D226" s="182" t="s">
        <v>121</v>
      </c>
      <c r="E226" s="181" t="s">
        <v>4614</v>
      </c>
      <c r="F226" s="182"/>
      <c r="G226" s="182">
        <v>6845</v>
      </c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2"/>
      <c r="AH226" s="182"/>
      <c r="AI226" s="182"/>
      <c r="AJ226" s="182"/>
      <c r="AK226" s="182"/>
      <c r="AL226" s="182"/>
      <c r="AM226" s="182"/>
      <c r="AN226" s="182"/>
      <c r="AO226" s="182"/>
      <c r="AP226" s="182"/>
      <c r="AQ226" s="185">
        <f t="shared" si="36"/>
        <v>6845</v>
      </c>
      <c r="AR226" s="182">
        <v>5584.8</v>
      </c>
      <c r="AS226" s="182">
        <v>695.2</v>
      </c>
      <c r="AT226" s="182">
        <v>565</v>
      </c>
      <c r="AU226" s="182"/>
      <c r="AV226" s="182"/>
      <c r="AW226" s="182"/>
      <c r="AX226" s="182"/>
      <c r="AY226" s="182"/>
      <c r="AZ226" s="182"/>
      <c r="BA226" s="182"/>
      <c r="BB226" s="182"/>
      <c r="BC226" s="182"/>
      <c r="BD226" s="182"/>
      <c r="BE226" s="182"/>
      <c r="BF226" s="182"/>
      <c r="BG226" s="182"/>
      <c r="BH226" s="182"/>
      <c r="BI226" s="182"/>
      <c r="BJ226" s="182"/>
      <c r="BK226" s="182"/>
      <c r="BL226" s="182"/>
      <c r="BM226" s="182"/>
      <c r="BN226" s="182"/>
      <c r="BO226" s="182"/>
      <c r="BP226" s="182"/>
      <c r="BQ226" s="182"/>
      <c r="BR226" s="182"/>
      <c r="BS226" s="182"/>
      <c r="BT226" s="182"/>
      <c r="BU226" s="182"/>
      <c r="BV226" s="182"/>
      <c r="BW226" s="182"/>
      <c r="BX226" s="182"/>
      <c r="BY226" s="182"/>
      <c r="BZ226" s="182"/>
      <c r="CA226" s="182"/>
      <c r="CB226" s="185">
        <f t="shared" si="37"/>
        <v>6845</v>
      </c>
      <c r="CC226" s="185">
        <f t="shared" si="38"/>
        <v>0</v>
      </c>
      <c r="CD226" s="185">
        <f t="shared" si="39"/>
        <v>606</v>
      </c>
      <c r="CE226" s="185" t="e">
        <f>+#REF!</f>
        <v>#REF!</v>
      </c>
    </row>
    <row r="227" spans="2:83" s="197" customFormat="1" ht="37.5" x14ac:dyDescent="0.3">
      <c r="B227" s="182">
        <v>1422</v>
      </c>
      <c r="C227" s="182">
        <v>607</v>
      </c>
      <c r="D227" s="182" t="s">
        <v>121</v>
      </c>
      <c r="E227" s="181" t="str">
        <f>+E221</f>
        <v>ج اضافى امتحانات مؤقتين</v>
      </c>
      <c r="F227" s="182"/>
      <c r="G227" s="182">
        <v>2110.5</v>
      </c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  <c r="AO227" s="182"/>
      <c r="AP227" s="182"/>
      <c r="AQ227" s="185">
        <f t="shared" si="36"/>
        <v>2110.5</v>
      </c>
      <c r="AR227" s="182">
        <v>1410.35</v>
      </c>
      <c r="AS227" s="182">
        <v>191.65</v>
      </c>
      <c r="AT227" s="182">
        <v>508.5</v>
      </c>
      <c r="AU227" s="182"/>
      <c r="AV227" s="182"/>
      <c r="AW227" s="182"/>
      <c r="AX227" s="182"/>
      <c r="AY227" s="182"/>
      <c r="AZ227" s="182"/>
      <c r="BA227" s="182"/>
      <c r="BB227" s="182"/>
      <c r="BC227" s="182"/>
      <c r="BD227" s="182"/>
      <c r="BE227" s="182"/>
      <c r="BF227" s="182"/>
      <c r="BG227" s="182"/>
      <c r="BH227" s="182"/>
      <c r="BI227" s="182"/>
      <c r="BJ227" s="182"/>
      <c r="BK227" s="182"/>
      <c r="BL227" s="182"/>
      <c r="BM227" s="182"/>
      <c r="BN227" s="182"/>
      <c r="BO227" s="182"/>
      <c r="BP227" s="182"/>
      <c r="BQ227" s="182"/>
      <c r="BR227" s="182"/>
      <c r="BS227" s="182"/>
      <c r="BT227" s="182"/>
      <c r="BU227" s="182"/>
      <c r="BV227" s="182"/>
      <c r="BW227" s="182"/>
      <c r="BX227" s="182"/>
      <c r="BY227" s="182"/>
      <c r="BZ227" s="182"/>
      <c r="CA227" s="182"/>
      <c r="CB227" s="185">
        <f t="shared" si="37"/>
        <v>2110.5</v>
      </c>
      <c r="CC227" s="185">
        <f t="shared" si="38"/>
        <v>0</v>
      </c>
      <c r="CD227" s="185">
        <f t="shared" si="39"/>
        <v>607</v>
      </c>
      <c r="CE227" s="185" t="e">
        <f>+#REF!</f>
        <v>#REF!</v>
      </c>
    </row>
    <row r="228" spans="2:83" s="197" customFormat="1" ht="37.5" x14ac:dyDescent="0.3">
      <c r="B228" s="182">
        <v>1423</v>
      </c>
      <c r="C228" s="182">
        <v>608</v>
      </c>
      <c r="D228" s="182" t="s">
        <v>121</v>
      </c>
      <c r="E228" s="181" t="s">
        <v>4609</v>
      </c>
      <c r="F228" s="182"/>
      <c r="G228" s="182">
        <v>3048.5</v>
      </c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  <c r="AN228" s="182"/>
      <c r="AO228" s="182"/>
      <c r="AP228" s="182"/>
      <c r="AQ228" s="185">
        <f t="shared" si="36"/>
        <v>3048.5</v>
      </c>
      <c r="AR228" s="182">
        <v>2037</v>
      </c>
      <c r="AS228" s="182">
        <v>277</v>
      </c>
      <c r="AT228" s="182">
        <v>734.5</v>
      </c>
      <c r="AU228" s="182"/>
      <c r="AV228" s="182"/>
      <c r="AW228" s="182"/>
      <c r="AX228" s="182"/>
      <c r="AY228" s="182"/>
      <c r="AZ228" s="182"/>
      <c r="BA228" s="182"/>
      <c r="BB228" s="182"/>
      <c r="BC228" s="182"/>
      <c r="BD228" s="182"/>
      <c r="BE228" s="182"/>
      <c r="BF228" s="182"/>
      <c r="BG228" s="182"/>
      <c r="BH228" s="182"/>
      <c r="BI228" s="182"/>
      <c r="BJ228" s="182"/>
      <c r="BK228" s="182"/>
      <c r="BL228" s="182"/>
      <c r="BM228" s="182"/>
      <c r="BN228" s="182"/>
      <c r="BO228" s="182"/>
      <c r="BP228" s="182"/>
      <c r="BQ228" s="182"/>
      <c r="BR228" s="182"/>
      <c r="BS228" s="182"/>
      <c r="BT228" s="182"/>
      <c r="BU228" s="182"/>
      <c r="BV228" s="182"/>
      <c r="BW228" s="182"/>
      <c r="BX228" s="182"/>
      <c r="BY228" s="182"/>
      <c r="BZ228" s="182"/>
      <c r="CA228" s="182"/>
      <c r="CB228" s="185">
        <f t="shared" si="37"/>
        <v>3048.5</v>
      </c>
      <c r="CC228" s="185">
        <f t="shared" si="38"/>
        <v>0</v>
      </c>
      <c r="CD228" s="185">
        <f t="shared" si="39"/>
        <v>608</v>
      </c>
      <c r="CE228" s="185" t="e">
        <f>+#REF!</f>
        <v>#REF!</v>
      </c>
    </row>
    <row r="229" spans="2:83" s="197" customFormat="1" ht="37.5" x14ac:dyDescent="0.3">
      <c r="B229" s="182">
        <v>1419</v>
      </c>
      <c r="C229" s="182">
        <v>609</v>
      </c>
      <c r="D229" s="182" t="s">
        <v>121</v>
      </c>
      <c r="E229" s="181" t="s">
        <v>4615</v>
      </c>
      <c r="F229" s="182"/>
      <c r="G229" s="182">
        <v>2345</v>
      </c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2"/>
      <c r="AH229" s="182"/>
      <c r="AI229" s="182"/>
      <c r="AJ229" s="182"/>
      <c r="AK229" s="182"/>
      <c r="AL229" s="182"/>
      <c r="AM229" s="182"/>
      <c r="AN229" s="182"/>
      <c r="AO229" s="182"/>
      <c r="AP229" s="182"/>
      <c r="AQ229" s="185">
        <f t="shared" si="36"/>
        <v>2345</v>
      </c>
      <c r="AR229" s="182">
        <v>1568.2</v>
      </c>
      <c r="AS229" s="182">
        <v>211.8</v>
      </c>
      <c r="AT229" s="182">
        <v>565</v>
      </c>
      <c r="AU229" s="182"/>
      <c r="AV229" s="182"/>
      <c r="AW229" s="182"/>
      <c r="AX229" s="182"/>
      <c r="AY229" s="182"/>
      <c r="AZ229" s="182"/>
      <c r="BA229" s="182"/>
      <c r="BB229" s="182"/>
      <c r="BC229" s="182"/>
      <c r="BD229" s="182"/>
      <c r="BE229" s="182"/>
      <c r="BF229" s="182"/>
      <c r="BG229" s="182"/>
      <c r="BH229" s="182"/>
      <c r="BI229" s="182"/>
      <c r="BJ229" s="182"/>
      <c r="BK229" s="182"/>
      <c r="BL229" s="182"/>
      <c r="BM229" s="182"/>
      <c r="BN229" s="182"/>
      <c r="BO229" s="182"/>
      <c r="BP229" s="182"/>
      <c r="BQ229" s="182"/>
      <c r="BR229" s="182"/>
      <c r="BS229" s="182"/>
      <c r="BT229" s="182"/>
      <c r="BU229" s="182"/>
      <c r="BV229" s="182"/>
      <c r="BW229" s="182"/>
      <c r="BX229" s="182"/>
      <c r="BY229" s="182"/>
      <c r="BZ229" s="182"/>
      <c r="CA229" s="182"/>
      <c r="CB229" s="185">
        <f t="shared" si="37"/>
        <v>2345</v>
      </c>
      <c r="CC229" s="185">
        <f t="shared" si="38"/>
        <v>0</v>
      </c>
      <c r="CD229" s="185">
        <f t="shared" si="39"/>
        <v>609</v>
      </c>
      <c r="CE229" s="185" t="e">
        <f>+#REF!</f>
        <v>#REF!</v>
      </c>
    </row>
    <row r="230" spans="2:83" s="197" customFormat="1" ht="37.5" x14ac:dyDescent="0.3">
      <c r="B230" s="182">
        <v>1421</v>
      </c>
      <c r="C230" s="182">
        <v>610</v>
      </c>
      <c r="D230" s="182" t="s">
        <v>121</v>
      </c>
      <c r="E230" s="181" t="s">
        <v>4615</v>
      </c>
      <c r="F230" s="182"/>
      <c r="G230" s="182">
        <v>2000</v>
      </c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  <c r="AN230" s="182"/>
      <c r="AO230" s="182"/>
      <c r="AP230" s="182"/>
      <c r="AQ230" s="185">
        <f t="shared" si="36"/>
        <v>2000</v>
      </c>
      <c r="AR230" s="182">
        <v>1785.35</v>
      </c>
      <c r="AS230" s="182">
        <v>214.65</v>
      </c>
      <c r="AT230" s="182"/>
      <c r="AU230" s="182"/>
      <c r="AV230" s="182"/>
      <c r="AW230" s="182"/>
      <c r="AX230" s="182"/>
      <c r="AY230" s="182"/>
      <c r="AZ230" s="182"/>
      <c r="BA230" s="182"/>
      <c r="BB230" s="182"/>
      <c r="BC230" s="182"/>
      <c r="BD230" s="182"/>
      <c r="BE230" s="182"/>
      <c r="BF230" s="182"/>
      <c r="BG230" s="182"/>
      <c r="BH230" s="182"/>
      <c r="BI230" s="182"/>
      <c r="BJ230" s="182"/>
      <c r="BK230" s="182"/>
      <c r="BL230" s="182"/>
      <c r="BM230" s="182"/>
      <c r="BN230" s="182"/>
      <c r="BO230" s="182"/>
      <c r="BP230" s="182"/>
      <c r="BQ230" s="182"/>
      <c r="BR230" s="182"/>
      <c r="BS230" s="182"/>
      <c r="BT230" s="182"/>
      <c r="BU230" s="182"/>
      <c r="BV230" s="182"/>
      <c r="BW230" s="182"/>
      <c r="BX230" s="182"/>
      <c r="BY230" s="182"/>
      <c r="BZ230" s="182"/>
      <c r="CA230" s="182"/>
      <c r="CB230" s="185">
        <f t="shared" si="37"/>
        <v>2000</v>
      </c>
      <c r="CC230" s="185">
        <f t="shared" si="38"/>
        <v>0</v>
      </c>
      <c r="CD230" s="185">
        <f t="shared" si="39"/>
        <v>610</v>
      </c>
      <c r="CE230" s="185" t="e">
        <f>+#REF!</f>
        <v>#REF!</v>
      </c>
    </row>
    <row r="231" spans="2:83" s="197" customFormat="1" ht="37.5" x14ac:dyDescent="0.3">
      <c r="B231" s="182">
        <v>1420</v>
      </c>
      <c r="C231" s="182">
        <v>611</v>
      </c>
      <c r="D231" s="182" t="s">
        <v>121</v>
      </c>
      <c r="E231" s="181" t="str">
        <f>+E221</f>
        <v>ج اضافى امتحانات مؤقتين</v>
      </c>
      <c r="F231" s="182"/>
      <c r="G231" s="182">
        <v>39054.5</v>
      </c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  <c r="AO231" s="182"/>
      <c r="AP231" s="182"/>
      <c r="AQ231" s="185">
        <f t="shared" si="36"/>
        <v>39054.5</v>
      </c>
      <c r="AR231" s="182">
        <v>26396.25</v>
      </c>
      <c r="AS231" s="182">
        <v>3561.75</v>
      </c>
      <c r="AT231" s="182">
        <v>9096.5</v>
      </c>
      <c r="AU231" s="182"/>
      <c r="AV231" s="182"/>
      <c r="AW231" s="182"/>
      <c r="AX231" s="182"/>
      <c r="AY231" s="182"/>
      <c r="AZ231" s="182"/>
      <c r="BA231" s="182"/>
      <c r="BB231" s="182"/>
      <c r="BC231" s="182"/>
      <c r="BD231" s="182"/>
      <c r="BE231" s="182"/>
      <c r="BF231" s="182"/>
      <c r="BG231" s="182"/>
      <c r="BH231" s="182"/>
      <c r="BI231" s="182"/>
      <c r="BJ231" s="182"/>
      <c r="BK231" s="182"/>
      <c r="BL231" s="182"/>
      <c r="BM231" s="182"/>
      <c r="BN231" s="182"/>
      <c r="BO231" s="182"/>
      <c r="BP231" s="182"/>
      <c r="BQ231" s="182"/>
      <c r="BR231" s="182"/>
      <c r="BS231" s="182"/>
      <c r="BT231" s="182"/>
      <c r="BU231" s="182"/>
      <c r="BV231" s="182"/>
      <c r="BW231" s="182"/>
      <c r="BX231" s="182"/>
      <c r="BY231" s="182"/>
      <c r="BZ231" s="182"/>
      <c r="CA231" s="182"/>
      <c r="CB231" s="185">
        <f t="shared" si="37"/>
        <v>39054.5</v>
      </c>
      <c r="CC231" s="185">
        <f t="shared" si="38"/>
        <v>0</v>
      </c>
      <c r="CD231" s="185">
        <f t="shared" si="39"/>
        <v>611</v>
      </c>
      <c r="CE231" s="185" t="e">
        <f>+#REF!</f>
        <v>#REF!</v>
      </c>
    </row>
    <row r="232" spans="2:83" s="197" customFormat="1" ht="37.5" x14ac:dyDescent="0.3">
      <c r="B232" s="182">
        <v>1419</v>
      </c>
      <c r="C232" s="182">
        <v>612</v>
      </c>
      <c r="D232" s="182" t="s">
        <v>121</v>
      </c>
      <c r="E232" s="181" t="str">
        <f>+E228</f>
        <v>ج اضافى امتحانات اداريين</v>
      </c>
      <c r="F232" s="182"/>
      <c r="G232" s="182">
        <v>140662.44</v>
      </c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2"/>
      <c r="AH232" s="182"/>
      <c r="AI232" s="182"/>
      <c r="AJ232" s="182"/>
      <c r="AK232" s="182"/>
      <c r="AL232" s="182"/>
      <c r="AM232" s="182"/>
      <c r="AN232" s="182"/>
      <c r="AO232" s="182"/>
      <c r="AP232" s="182"/>
      <c r="AQ232" s="185">
        <f t="shared" si="36"/>
        <v>140662.44</v>
      </c>
      <c r="AR232" s="182">
        <v>98625.85</v>
      </c>
      <c r="AS232" s="182">
        <v>13111.15</v>
      </c>
      <c r="AT232" s="182">
        <v>28925.439999999999</v>
      </c>
      <c r="AU232" s="182"/>
      <c r="AV232" s="182"/>
      <c r="AW232" s="182"/>
      <c r="AX232" s="182"/>
      <c r="AY232" s="182"/>
      <c r="AZ232" s="182"/>
      <c r="BA232" s="182"/>
      <c r="BB232" s="182"/>
      <c r="BC232" s="182"/>
      <c r="BD232" s="182"/>
      <c r="BE232" s="182"/>
      <c r="BF232" s="182"/>
      <c r="BG232" s="182"/>
      <c r="BH232" s="182"/>
      <c r="BI232" s="182"/>
      <c r="BJ232" s="182"/>
      <c r="BK232" s="182"/>
      <c r="BL232" s="182"/>
      <c r="BM232" s="182"/>
      <c r="BN232" s="182"/>
      <c r="BO232" s="182"/>
      <c r="BP232" s="182"/>
      <c r="BQ232" s="182"/>
      <c r="BR232" s="182"/>
      <c r="BS232" s="182"/>
      <c r="BT232" s="182"/>
      <c r="BU232" s="182"/>
      <c r="BV232" s="182"/>
      <c r="BW232" s="182"/>
      <c r="BX232" s="182"/>
      <c r="BY232" s="182"/>
      <c r="BZ232" s="182"/>
      <c r="CA232" s="182"/>
      <c r="CB232" s="185">
        <f t="shared" si="37"/>
        <v>140662.44</v>
      </c>
      <c r="CC232" s="185">
        <f t="shared" si="38"/>
        <v>0</v>
      </c>
      <c r="CD232" s="185">
        <f t="shared" si="39"/>
        <v>612</v>
      </c>
      <c r="CE232" s="185" t="e">
        <f>+#REF!</f>
        <v>#REF!</v>
      </c>
    </row>
    <row r="233" spans="2:83" s="197" customFormat="1" ht="37.5" x14ac:dyDescent="0.3">
      <c r="B233" s="182">
        <v>1428</v>
      </c>
      <c r="C233" s="182">
        <v>613</v>
      </c>
      <c r="D233" s="182" t="s">
        <v>121</v>
      </c>
      <c r="E233" s="181" t="s">
        <v>4616</v>
      </c>
      <c r="F233" s="182"/>
      <c r="G233" s="182">
        <v>9000</v>
      </c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  <c r="AN233" s="182"/>
      <c r="AO233" s="182"/>
      <c r="AP233" s="182"/>
      <c r="AQ233" s="185">
        <f t="shared" si="36"/>
        <v>9000</v>
      </c>
      <c r="AR233" s="182">
        <v>8033.55</v>
      </c>
      <c r="AS233" s="182">
        <v>966.45</v>
      </c>
      <c r="AT233" s="182"/>
      <c r="AU233" s="182"/>
      <c r="AV233" s="182"/>
      <c r="AW233" s="182"/>
      <c r="AX233" s="182"/>
      <c r="AY233" s="182"/>
      <c r="AZ233" s="182"/>
      <c r="BA233" s="182"/>
      <c r="BB233" s="182"/>
      <c r="BC233" s="182"/>
      <c r="BD233" s="182"/>
      <c r="BE233" s="182"/>
      <c r="BF233" s="182"/>
      <c r="BG233" s="182"/>
      <c r="BH233" s="182"/>
      <c r="BI233" s="182"/>
      <c r="BJ233" s="182"/>
      <c r="BK233" s="182"/>
      <c r="BL233" s="182"/>
      <c r="BM233" s="182"/>
      <c r="BN233" s="182"/>
      <c r="BO233" s="182"/>
      <c r="BP233" s="182"/>
      <c r="BQ233" s="182"/>
      <c r="BR233" s="182"/>
      <c r="BS233" s="182"/>
      <c r="BT233" s="182"/>
      <c r="BU233" s="182"/>
      <c r="BV233" s="182"/>
      <c r="BW233" s="182"/>
      <c r="BX233" s="182"/>
      <c r="BY233" s="182"/>
      <c r="BZ233" s="182"/>
      <c r="CA233" s="182"/>
      <c r="CB233" s="185">
        <f t="shared" si="37"/>
        <v>9000</v>
      </c>
      <c r="CC233" s="185">
        <f t="shared" si="38"/>
        <v>0</v>
      </c>
      <c r="CD233" s="185">
        <f t="shared" si="39"/>
        <v>613</v>
      </c>
      <c r="CE233" s="185" t="e">
        <f>+#REF!</f>
        <v>#REF!</v>
      </c>
    </row>
    <row r="234" spans="2:83" s="197" customFormat="1" ht="37.5" x14ac:dyDescent="0.3">
      <c r="B234" s="182">
        <v>1429</v>
      </c>
      <c r="C234" s="182">
        <v>614</v>
      </c>
      <c r="D234" s="182" t="s">
        <v>121</v>
      </c>
      <c r="E234" s="181" t="s">
        <v>4616</v>
      </c>
      <c r="F234" s="182"/>
      <c r="G234" s="182">
        <v>6000</v>
      </c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  <c r="AN234" s="182"/>
      <c r="AO234" s="182"/>
      <c r="AP234" s="182"/>
      <c r="AQ234" s="185">
        <f t="shared" si="36"/>
        <v>6000</v>
      </c>
      <c r="AR234" s="182">
        <v>5355.7</v>
      </c>
      <c r="AS234" s="182">
        <v>644.29999999999995</v>
      </c>
      <c r="AT234" s="182"/>
      <c r="AU234" s="182"/>
      <c r="AV234" s="182"/>
      <c r="AW234" s="182"/>
      <c r="AX234" s="182"/>
      <c r="AY234" s="182"/>
      <c r="AZ234" s="182"/>
      <c r="BA234" s="182"/>
      <c r="BB234" s="182"/>
      <c r="BC234" s="182"/>
      <c r="BD234" s="182"/>
      <c r="BE234" s="182"/>
      <c r="BF234" s="182"/>
      <c r="BG234" s="182"/>
      <c r="BH234" s="182"/>
      <c r="BI234" s="182"/>
      <c r="BJ234" s="182"/>
      <c r="BK234" s="182"/>
      <c r="BL234" s="182"/>
      <c r="BM234" s="182"/>
      <c r="BN234" s="182"/>
      <c r="BO234" s="182"/>
      <c r="BP234" s="182"/>
      <c r="BQ234" s="182"/>
      <c r="BR234" s="182"/>
      <c r="BS234" s="182"/>
      <c r="BT234" s="182"/>
      <c r="BU234" s="182"/>
      <c r="BV234" s="182"/>
      <c r="BW234" s="182"/>
      <c r="BX234" s="182"/>
      <c r="BY234" s="182"/>
      <c r="BZ234" s="182"/>
      <c r="CA234" s="182"/>
      <c r="CB234" s="185">
        <f t="shared" si="37"/>
        <v>6000</v>
      </c>
      <c r="CC234" s="185">
        <f t="shared" si="38"/>
        <v>0</v>
      </c>
      <c r="CD234" s="185">
        <f t="shared" si="39"/>
        <v>614</v>
      </c>
      <c r="CE234" s="185" t="e">
        <f>+#REF!</f>
        <v>#REF!</v>
      </c>
    </row>
    <row r="235" spans="2:83" s="197" customFormat="1" ht="37.5" x14ac:dyDescent="0.3">
      <c r="B235" s="182">
        <v>1426</v>
      </c>
      <c r="C235" s="182">
        <v>615</v>
      </c>
      <c r="D235" s="182" t="s">
        <v>121</v>
      </c>
      <c r="E235" s="181" t="str">
        <f>+E225</f>
        <v>مكافاه تقفيل سنه ماليه اداريين</v>
      </c>
      <c r="F235" s="182"/>
      <c r="G235" s="182">
        <v>9000</v>
      </c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5">
        <f t="shared" si="36"/>
        <v>9000</v>
      </c>
      <c r="AR235" s="182">
        <v>8033.55</v>
      </c>
      <c r="AS235" s="182">
        <v>966.45</v>
      </c>
      <c r="AT235" s="182"/>
      <c r="AU235" s="182"/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2"/>
      <c r="BJ235" s="182"/>
      <c r="BK235" s="182"/>
      <c r="BL235" s="182"/>
      <c r="BM235" s="182"/>
      <c r="BN235" s="182"/>
      <c r="BO235" s="182"/>
      <c r="BP235" s="182"/>
      <c r="BQ235" s="182"/>
      <c r="BR235" s="182"/>
      <c r="BS235" s="182"/>
      <c r="BT235" s="182"/>
      <c r="BU235" s="182"/>
      <c r="BV235" s="182"/>
      <c r="BW235" s="182"/>
      <c r="BX235" s="182"/>
      <c r="BY235" s="182"/>
      <c r="BZ235" s="182"/>
      <c r="CA235" s="182"/>
      <c r="CB235" s="185">
        <f t="shared" si="37"/>
        <v>9000</v>
      </c>
      <c r="CC235" s="185">
        <f t="shared" si="38"/>
        <v>0</v>
      </c>
      <c r="CD235" s="185">
        <f t="shared" si="39"/>
        <v>615</v>
      </c>
      <c r="CE235" s="185" t="e">
        <f>+#REF!</f>
        <v>#REF!</v>
      </c>
    </row>
    <row r="236" spans="2:83" s="197" customFormat="1" ht="37.5" x14ac:dyDescent="0.3">
      <c r="B236" s="182">
        <v>14130</v>
      </c>
      <c r="C236" s="182">
        <v>616</v>
      </c>
      <c r="D236" s="182" t="s">
        <v>121</v>
      </c>
      <c r="E236" s="181" t="s">
        <v>4617</v>
      </c>
      <c r="F236" s="182"/>
      <c r="G236" s="182">
        <v>3750</v>
      </c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  <c r="AO236" s="182"/>
      <c r="AP236" s="182"/>
      <c r="AQ236" s="185">
        <f t="shared" si="36"/>
        <v>3750</v>
      </c>
      <c r="AR236" s="182">
        <v>3347.25</v>
      </c>
      <c r="AS236" s="182">
        <v>402.75</v>
      </c>
      <c r="AT236" s="182"/>
      <c r="AU236" s="182"/>
      <c r="AV236" s="182"/>
      <c r="AW236" s="182"/>
      <c r="AX236" s="182"/>
      <c r="AY236" s="182"/>
      <c r="AZ236" s="182"/>
      <c r="BA236" s="182"/>
      <c r="BB236" s="182"/>
      <c r="BC236" s="182"/>
      <c r="BD236" s="182"/>
      <c r="BE236" s="182"/>
      <c r="BF236" s="182"/>
      <c r="BG236" s="182"/>
      <c r="BH236" s="182"/>
      <c r="BI236" s="182"/>
      <c r="BJ236" s="182"/>
      <c r="BK236" s="182"/>
      <c r="BL236" s="182"/>
      <c r="BM236" s="182"/>
      <c r="BN236" s="182"/>
      <c r="BO236" s="182"/>
      <c r="BP236" s="182"/>
      <c r="BQ236" s="182"/>
      <c r="BR236" s="182"/>
      <c r="BS236" s="182"/>
      <c r="BT236" s="182"/>
      <c r="BU236" s="182"/>
      <c r="BV236" s="182"/>
      <c r="BW236" s="182"/>
      <c r="BX236" s="182"/>
      <c r="BY236" s="182"/>
      <c r="BZ236" s="182"/>
      <c r="CA236" s="182"/>
      <c r="CB236" s="185">
        <f t="shared" si="37"/>
        <v>3750</v>
      </c>
      <c r="CC236" s="185">
        <f t="shared" si="38"/>
        <v>0</v>
      </c>
      <c r="CD236" s="185">
        <f t="shared" si="39"/>
        <v>616</v>
      </c>
      <c r="CE236" s="185" t="e">
        <f>+#REF!</f>
        <v>#REF!</v>
      </c>
    </row>
    <row r="237" spans="2:83" s="197" customFormat="1" ht="56.25" x14ac:dyDescent="0.3">
      <c r="B237" s="182">
        <v>1431</v>
      </c>
      <c r="C237" s="182">
        <v>617</v>
      </c>
      <c r="D237" s="182" t="s">
        <v>121</v>
      </c>
      <c r="E237" s="181" t="s">
        <v>4618</v>
      </c>
      <c r="F237" s="182"/>
      <c r="G237" s="182">
        <v>3500</v>
      </c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  <c r="AO237" s="182"/>
      <c r="AP237" s="182"/>
      <c r="AQ237" s="185">
        <f t="shared" si="36"/>
        <v>3500</v>
      </c>
      <c r="AR237" s="182">
        <v>3124.1</v>
      </c>
      <c r="AS237" s="182">
        <v>375.9</v>
      </c>
      <c r="AT237" s="182"/>
      <c r="AU237" s="182"/>
      <c r="AV237" s="182"/>
      <c r="AW237" s="182"/>
      <c r="AX237" s="182"/>
      <c r="AY237" s="182"/>
      <c r="AZ237" s="182"/>
      <c r="BA237" s="182"/>
      <c r="BB237" s="182"/>
      <c r="BC237" s="182"/>
      <c r="BD237" s="182"/>
      <c r="BE237" s="182"/>
      <c r="BF237" s="182"/>
      <c r="BG237" s="182"/>
      <c r="BH237" s="182"/>
      <c r="BI237" s="182"/>
      <c r="BJ237" s="182"/>
      <c r="BK237" s="182"/>
      <c r="BL237" s="182"/>
      <c r="BM237" s="182"/>
      <c r="BN237" s="182"/>
      <c r="BO237" s="182"/>
      <c r="BP237" s="182"/>
      <c r="BQ237" s="182"/>
      <c r="BR237" s="182"/>
      <c r="BS237" s="182"/>
      <c r="BT237" s="182"/>
      <c r="BU237" s="182"/>
      <c r="BV237" s="182"/>
      <c r="BW237" s="182"/>
      <c r="BX237" s="182"/>
      <c r="BY237" s="182"/>
      <c r="BZ237" s="182"/>
      <c r="CA237" s="182"/>
      <c r="CB237" s="185">
        <f t="shared" si="37"/>
        <v>3500</v>
      </c>
      <c r="CC237" s="185">
        <f t="shared" si="38"/>
        <v>0</v>
      </c>
      <c r="CD237" s="185">
        <f t="shared" si="39"/>
        <v>617</v>
      </c>
      <c r="CE237" s="185" t="e">
        <f>+#REF!</f>
        <v>#REF!</v>
      </c>
    </row>
    <row r="238" spans="2:83" s="197" customFormat="1" ht="37.5" x14ac:dyDescent="0.3">
      <c r="B238" s="182">
        <v>1432</v>
      </c>
      <c r="C238" s="182">
        <v>618</v>
      </c>
      <c r="D238" s="182" t="s">
        <v>121</v>
      </c>
      <c r="E238" s="181" t="s">
        <v>4619</v>
      </c>
      <c r="F238" s="182"/>
      <c r="G238" s="182">
        <v>9500</v>
      </c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5">
        <f t="shared" si="36"/>
        <v>9500</v>
      </c>
      <c r="AR238" s="182">
        <v>8479.7999999999993</v>
      </c>
      <c r="AS238" s="182">
        <v>1020.2</v>
      </c>
      <c r="AT238" s="182"/>
      <c r="AU238" s="182"/>
      <c r="AV238" s="182"/>
      <c r="AW238" s="182"/>
      <c r="AX238" s="182"/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182"/>
      <c r="BT238" s="182"/>
      <c r="BU238" s="182"/>
      <c r="BV238" s="182"/>
      <c r="BW238" s="182"/>
      <c r="BX238" s="182"/>
      <c r="BY238" s="182"/>
      <c r="BZ238" s="182"/>
      <c r="CA238" s="182"/>
      <c r="CB238" s="185">
        <f t="shared" si="37"/>
        <v>9500</v>
      </c>
      <c r="CC238" s="185">
        <f t="shared" si="38"/>
        <v>0</v>
      </c>
      <c r="CD238" s="185">
        <f t="shared" si="39"/>
        <v>618</v>
      </c>
      <c r="CE238" s="185" t="e">
        <f>+#REF!</f>
        <v>#REF!</v>
      </c>
    </row>
    <row r="239" spans="2:83" s="197" customFormat="1" ht="37.5" x14ac:dyDescent="0.3">
      <c r="B239" s="182">
        <v>1433</v>
      </c>
      <c r="C239" s="182">
        <v>619</v>
      </c>
      <c r="D239" s="182" t="s">
        <v>121</v>
      </c>
      <c r="E239" s="181" t="s">
        <v>4619</v>
      </c>
      <c r="F239" s="182"/>
      <c r="G239" s="182">
        <v>6000</v>
      </c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2"/>
      <c r="AH239" s="182"/>
      <c r="AI239" s="182"/>
      <c r="AJ239" s="182"/>
      <c r="AK239" s="182"/>
      <c r="AL239" s="182"/>
      <c r="AM239" s="182"/>
      <c r="AN239" s="182"/>
      <c r="AO239" s="182"/>
      <c r="AP239" s="182"/>
      <c r="AQ239" s="185">
        <f t="shared" si="36"/>
        <v>6000</v>
      </c>
      <c r="AR239" s="182">
        <v>5355.7</v>
      </c>
      <c r="AS239" s="182">
        <v>644.29999999999995</v>
      </c>
      <c r="AT239" s="182"/>
      <c r="AU239" s="182"/>
      <c r="AV239" s="182"/>
      <c r="AW239" s="182"/>
      <c r="AX239" s="182"/>
      <c r="AY239" s="182"/>
      <c r="AZ239" s="182"/>
      <c r="BA239" s="182"/>
      <c r="BB239" s="182"/>
      <c r="BC239" s="182"/>
      <c r="BD239" s="182"/>
      <c r="BE239" s="182"/>
      <c r="BF239" s="182"/>
      <c r="BG239" s="182"/>
      <c r="BH239" s="182"/>
      <c r="BI239" s="182"/>
      <c r="BJ239" s="182"/>
      <c r="BK239" s="182"/>
      <c r="BL239" s="182"/>
      <c r="BM239" s="182"/>
      <c r="BN239" s="182"/>
      <c r="BO239" s="182"/>
      <c r="BP239" s="182"/>
      <c r="BQ239" s="182"/>
      <c r="BR239" s="182"/>
      <c r="BS239" s="182"/>
      <c r="BT239" s="182"/>
      <c r="BU239" s="182"/>
      <c r="BV239" s="182"/>
      <c r="BW239" s="182"/>
      <c r="BX239" s="182"/>
      <c r="BY239" s="182"/>
      <c r="BZ239" s="182"/>
      <c r="CA239" s="182"/>
      <c r="CB239" s="185">
        <f t="shared" si="37"/>
        <v>6000</v>
      </c>
      <c r="CC239" s="185">
        <f t="shared" si="38"/>
        <v>0</v>
      </c>
      <c r="CD239" s="185">
        <f t="shared" si="39"/>
        <v>619</v>
      </c>
      <c r="CE239" s="185" t="e">
        <f>+#REF!</f>
        <v>#REF!</v>
      </c>
    </row>
    <row r="240" spans="2:83" s="197" customFormat="1" ht="56.25" x14ac:dyDescent="0.3">
      <c r="B240" s="182">
        <v>1434</v>
      </c>
      <c r="C240" s="182">
        <v>620</v>
      </c>
      <c r="D240" s="182" t="s">
        <v>121</v>
      </c>
      <c r="E240" s="181" t="s">
        <v>4620</v>
      </c>
      <c r="F240" s="182"/>
      <c r="G240" s="182">
        <v>4000</v>
      </c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2"/>
      <c r="AH240" s="182"/>
      <c r="AI240" s="182"/>
      <c r="AJ240" s="182"/>
      <c r="AK240" s="182"/>
      <c r="AL240" s="182"/>
      <c r="AM240" s="182"/>
      <c r="AN240" s="182"/>
      <c r="AO240" s="182"/>
      <c r="AP240" s="182"/>
      <c r="AQ240" s="185">
        <f t="shared" si="36"/>
        <v>4000</v>
      </c>
      <c r="AR240" s="182">
        <v>3570.7</v>
      </c>
      <c r="AS240" s="182">
        <v>429.3</v>
      </c>
      <c r="AT240" s="182"/>
      <c r="AU240" s="182"/>
      <c r="AV240" s="182"/>
      <c r="AW240" s="182"/>
      <c r="AX240" s="182"/>
      <c r="AY240" s="182"/>
      <c r="AZ240" s="182"/>
      <c r="BA240" s="182"/>
      <c r="BB240" s="182"/>
      <c r="BC240" s="182"/>
      <c r="BD240" s="182"/>
      <c r="BE240" s="182"/>
      <c r="BF240" s="182"/>
      <c r="BG240" s="182"/>
      <c r="BH240" s="182"/>
      <c r="BI240" s="182"/>
      <c r="BJ240" s="182"/>
      <c r="BK240" s="182"/>
      <c r="BL240" s="182"/>
      <c r="BM240" s="182"/>
      <c r="BN240" s="182"/>
      <c r="BO240" s="182"/>
      <c r="BP240" s="182"/>
      <c r="BQ240" s="182"/>
      <c r="BR240" s="182"/>
      <c r="BS240" s="182"/>
      <c r="BT240" s="182"/>
      <c r="BU240" s="182"/>
      <c r="BV240" s="182"/>
      <c r="BW240" s="182"/>
      <c r="BX240" s="182"/>
      <c r="BY240" s="182"/>
      <c r="BZ240" s="182"/>
      <c r="CA240" s="182"/>
      <c r="CB240" s="185">
        <f t="shared" si="37"/>
        <v>4000</v>
      </c>
      <c r="CC240" s="185">
        <f t="shared" si="38"/>
        <v>0</v>
      </c>
      <c r="CD240" s="185">
        <f t="shared" si="39"/>
        <v>620</v>
      </c>
      <c r="CE240" s="185" t="e">
        <f>+#REF!</f>
        <v>#REF!</v>
      </c>
    </row>
    <row r="241" spans="2:83" s="197" customFormat="1" ht="37.5" x14ac:dyDescent="0.3">
      <c r="B241" s="182">
        <v>1428</v>
      </c>
      <c r="C241" s="182">
        <v>621</v>
      </c>
      <c r="D241" s="182" t="s">
        <v>121</v>
      </c>
      <c r="E241" s="181" t="str">
        <f>+E236</f>
        <v>مكافاه تعليم الكترونى ا ه ت يونيو</v>
      </c>
      <c r="F241" s="182"/>
      <c r="G241" s="182">
        <v>14250</v>
      </c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2"/>
      <c r="AH241" s="182"/>
      <c r="AI241" s="182"/>
      <c r="AJ241" s="182"/>
      <c r="AK241" s="182"/>
      <c r="AL241" s="182"/>
      <c r="AM241" s="182"/>
      <c r="AN241" s="182"/>
      <c r="AO241" s="182"/>
      <c r="AP241" s="182"/>
      <c r="AQ241" s="185">
        <f t="shared" si="36"/>
        <v>14250</v>
      </c>
      <c r="AR241" s="182">
        <v>12719.2</v>
      </c>
      <c r="AS241" s="182">
        <v>1530.8</v>
      </c>
      <c r="AT241" s="182"/>
      <c r="AU241" s="182"/>
      <c r="AV241" s="182"/>
      <c r="AW241" s="182"/>
      <c r="AX241" s="182"/>
      <c r="AY241" s="182"/>
      <c r="AZ241" s="182"/>
      <c r="BA241" s="182"/>
      <c r="BB241" s="182"/>
      <c r="BC241" s="182"/>
      <c r="BD241" s="182"/>
      <c r="BE241" s="182"/>
      <c r="BF241" s="182"/>
      <c r="BG241" s="182"/>
      <c r="BH241" s="182"/>
      <c r="BI241" s="182"/>
      <c r="BJ241" s="182"/>
      <c r="BK241" s="182"/>
      <c r="BL241" s="182"/>
      <c r="BM241" s="182"/>
      <c r="BN241" s="182"/>
      <c r="BO241" s="182"/>
      <c r="BP241" s="182"/>
      <c r="BQ241" s="182"/>
      <c r="BR241" s="182"/>
      <c r="BS241" s="182"/>
      <c r="BT241" s="182"/>
      <c r="BU241" s="182"/>
      <c r="BV241" s="182"/>
      <c r="BW241" s="182"/>
      <c r="BX241" s="182"/>
      <c r="BY241" s="182"/>
      <c r="BZ241" s="182"/>
      <c r="CA241" s="182"/>
      <c r="CB241" s="185">
        <f t="shared" si="37"/>
        <v>14250</v>
      </c>
      <c r="CC241" s="185">
        <f t="shared" si="38"/>
        <v>0</v>
      </c>
      <c r="CD241" s="185">
        <f t="shared" si="39"/>
        <v>621</v>
      </c>
      <c r="CE241" s="185" t="e">
        <f>+#REF!</f>
        <v>#REF!</v>
      </c>
    </row>
    <row r="242" spans="2:83" s="197" customFormat="1" ht="93.75" x14ac:dyDescent="0.3">
      <c r="B242" s="182">
        <v>1435</v>
      </c>
      <c r="C242" s="182">
        <v>622</v>
      </c>
      <c r="D242" s="182" t="s">
        <v>121</v>
      </c>
      <c r="E242" s="181" t="s">
        <v>4621</v>
      </c>
      <c r="F242" s="182"/>
      <c r="G242" s="182">
        <v>4250</v>
      </c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  <c r="AK242" s="182"/>
      <c r="AL242" s="182"/>
      <c r="AM242" s="182"/>
      <c r="AN242" s="182"/>
      <c r="AO242" s="182"/>
      <c r="AP242" s="182"/>
      <c r="AQ242" s="185">
        <f t="shared" si="36"/>
        <v>4250</v>
      </c>
      <c r="AR242" s="182">
        <v>3795.2</v>
      </c>
      <c r="AS242" s="182">
        <v>454.8</v>
      </c>
      <c r="AT242" s="182"/>
      <c r="AU242" s="182"/>
      <c r="AV242" s="182"/>
      <c r="AW242" s="182"/>
      <c r="AX242" s="182"/>
      <c r="AY242" s="182"/>
      <c r="AZ242" s="182"/>
      <c r="BA242" s="182"/>
      <c r="BB242" s="182"/>
      <c r="BC242" s="182"/>
      <c r="BD242" s="182"/>
      <c r="BE242" s="182"/>
      <c r="BF242" s="182"/>
      <c r="BG242" s="182"/>
      <c r="BH242" s="182"/>
      <c r="BI242" s="182"/>
      <c r="BJ242" s="182"/>
      <c r="BK242" s="182"/>
      <c r="BL242" s="182"/>
      <c r="BM242" s="182"/>
      <c r="BN242" s="182"/>
      <c r="BO242" s="182"/>
      <c r="BP242" s="182"/>
      <c r="BQ242" s="182"/>
      <c r="BR242" s="182"/>
      <c r="BS242" s="182"/>
      <c r="BT242" s="182"/>
      <c r="BU242" s="182"/>
      <c r="BV242" s="182"/>
      <c r="BW242" s="182"/>
      <c r="BX242" s="182"/>
      <c r="BY242" s="182"/>
      <c r="BZ242" s="182"/>
      <c r="CA242" s="182"/>
      <c r="CB242" s="185">
        <f t="shared" si="37"/>
        <v>4250</v>
      </c>
      <c r="CC242" s="185">
        <f t="shared" si="38"/>
        <v>0</v>
      </c>
      <c r="CD242" s="185">
        <f t="shared" si="39"/>
        <v>622</v>
      </c>
      <c r="CE242" s="185" t="e">
        <f>+#REF!</f>
        <v>#REF!</v>
      </c>
    </row>
    <row r="243" spans="2:83" s="197" customFormat="1" ht="75" x14ac:dyDescent="0.3">
      <c r="B243" s="182">
        <v>1437</v>
      </c>
      <c r="C243" s="182">
        <v>623</v>
      </c>
      <c r="D243" s="182" t="s">
        <v>121</v>
      </c>
      <c r="E243" s="181" t="s">
        <v>4622</v>
      </c>
      <c r="F243" s="182"/>
      <c r="G243" s="182">
        <v>4000</v>
      </c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  <c r="AN243" s="182"/>
      <c r="AO243" s="182"/>
      <c r="AP243" s="182"/>
      <c r="AQ243" s="185">
        <f t="shared" si="36"/>
        <v>4000</v>
      </c>
      <c r="AR243" s="182">
        <v>3570.35</v>
      </c>
      <c r="AS243" s="182">
        <v>429.65</v>
      </c>
      <c r="AT243" s="182"/>
      <c r="AU243" s="182"/>
      <c r="AV243" s="182"/>
      <c r="AW243" s="182"/>
      <c r="AX243" s="182"/>
      <c r="AY243" s="182"/>
      <c r="AZ243" s="182"/>
      <c r="BA243" s="182"/>
      <c r="BB243" s="182"/>
      <c r="BC243" s="182"/>
      <c r="BD243" s="182"/>
      <c r="BE243" s="182"/>
      <c r="BF243" s="182"/>
      <c r="BG243" s="182"/>
      <c r="BH243" s="182"/>
      <c r="BI243" s="182"/>
      <c r="BJ243" s="182"/>
      <c r="BK243" s="182"/>
      <c r="BL243" s="182"/>
      <c r="BM243" s="182"/>
      <c r="BN243" s="182"/>
      <c r="BO243" s="182"/>
      <c r="BP243" s="182"/>
      <c r="BQ243" s="182"/>
      <c r="BR243" s="182"/>
      <c r="BS243" s="182"/>
      <c r="BT243" s="182"/>
      <c r="BU243" s="182"/>
      <c r="BV243" s="182"/>
      <c r="BW243" s="182"/>
      <c r="BX243" s="182"/>
      <c r="BY243" s="182"/>
      <c r="BZ243" s="182"/>
      <c r="CA243" s="182"/>
      <c r="CB243" s="185">
        <f t="shared" si="37"/>
        <v>4000</v>
      </c>
      <c r="CC243" s="185">
        <f t="shared" si="38"/>
        <v>0</v>
      </c>
      <c r="CD243" s="185">
        <f t="shared" si="39"/>
        <v>623</v>
      </c>
      <c r="CE243" s="185" t="e">
        <f>+#REF!</f>
        <v>#REF!</v>
      </c>
    </row>
    <row r="244" spans="2:83" s="197" customFormat="1" ht="93.75" x14ac:dyDescent="0.3">
      <c r="B244" s="182">
        <v>1436</v>
      </c>
      <c r="C244" s="182">
        <v>624</v>
      </c>
      <c r="D244" s="182" t="s">
        <v>121</v>
      </c>
      <c r="E244" s="181" t="str">
        <f>+E242</f>
        <v>مكافاه للعاملين بعلاقات عامه طب للمساعده فى استخراج وتجديد اقامات الطلبه</v>
      </c>
      <c r="F244" s="183"/>
      <c r="G244" s="182">
        <v>5000</v>
      </c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  <c r="Z244" s="182"/>
      <c r="AA244" s="182"/>
      <c r="AB244" s="182"/>
      <c r="AC244" s="182"/>
      <c r="AD244" s="182"/>
      <c r="AE244" s="182"/>
      <c r="AF244" s="182"/>
      <c r="AG244" s="182"/>
      <c r="AH244" s="182"/>
      <c r="AI244" s="182"/>
      <c r="AJ244" s="182"/>
      <c r="AK244" s="182"/>
      <c r="AL244" s="182"/>
      <c r="AM244" s="182"/>
      <c r="AN244" s="182"/>
      <c r="AO244" s="182"/>
      <c r="AP244" s="182"/>
      <c r="AQ244" s="185">
        <f t="shared" si="36"/>
        <v>5000</v>
      </c>
      <c r="AR244" s="182">
        <v>4463.2</v>
      </c>
      <c r="AS244" s="182">
        <v>536.79999999999995</v>
      </c>
      <c r="AT244" s="182"/>
      <c r="AU244" s="182"/>
      <c r="AV244" s="182"/>
      <c r="AW244" s="182"/>
      <c r="AX244" s="182"/>
      <c r="AY244" s="182"/>
      <c r="AZ244" s="182"/>
      <c r="BA244" s="182"/>
      <c r="BB244" s="182"/>
      <c r="BC244" s="182"/>
      <c r="BD244" s="182"/>
      <c r="BE244" s="182"/>
      <c r="BF244" s="182"/>
      <c r="BG244" s="182"/>
      <c r="BH244" s="182"/>
      <c r="BI244" s="182"/>
      <c r="BJ244" s="182"/>
      <c r="BK244" s="182"/>
      <c r="BL244" s="182"/>
      <c r="BM244" s="182"/>
      <c r="BN244" s="182"/>
      <c r="BO244" s="182"/>
      <c r="BP244" s="182"/>
      <c r="BQ244" s="182"/>
      <c r="BR244" s="182"/>
      <c r="BS244" s="182"/>
      <c r="BT244" s="182"/>
      <c r="BU244" s="182"/>
      <c r="BV244" s="182"/>
      <c r="BW244" s="182"/>
      <c r="BX244" s="182"/>
      <c r="BY244" s="182"/>
      <c r="BZ244" s="182"/>
      <c r="CA244" s="182"/>
      <c r="CB244" s="185">
        <f t="shared" si="37"/>
        <v>5000</v>
      </c>
      <c r="CC244" s="185">
        <f t="shared" si="38"/>
        <v>0</v>
      </c>
      <c r="CD244" s="185">
        <f t="shared" si="39"/>
        <v>624</v>
      </c>
      <c r="CE244" s="185" t="e">
        <f>+#REF!</f>
        <v>#REF!</v>
      </c>
    </row>
    <row r="245" spans="2:83" s="197" customFormat="1" ht="56.25" x14ac:dyDescent="0.3">
      <c r="B245" s="182">
        <v>995</v>
      </c>
      <c r="C245" s="182">
        <v>625</v>
      </c>
      <c r="D245" s="182" t="s">
        <v>121</v>
      </c>
      <c r="E245" s="181" t="s">
        <v>4623</v>
      </c>
      <c r="F245" s="182"/>
      <c r="G245" s="182">
        <v>12250</v>
      </c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  <c r="AK245" s="182"/>
      <c r="AL245" s="182"/>
      <c r="AM245" s="182"/>
      <c r="AN245" s="182"/>
      <c r="AO245" s="182"/>
      <c r="AP245" s="182"/>
      <c r="AQ245" s="185">
        <f t="shared" si="36"/>
        <v>12250</v>
      </c>
      <c r="AR245" s="182">
        <v>10927.8</v>
      </c>
      <c r="AS245" s="182">
        <v>1322.2</v>
      </c>
      <c r="AT245" s="182"/>
      <c r="AU245" s="182"/>
      <c r="AV245" s="182"/>
      <c r="AW245" s="182"/>
      <c r="AX245" s="182"/>
      <c r="AY245" s="182"/>
      <c r="AZ245" s="182"/>
      <c r="BA245" s="182"/>
      <c r="BB245" s="182"/>
      <c r="BC245" s="182"/>
      <c r="BD245" s="182"/>
      <c r="BE245" s="182"/>
      <c r="BF245" s="182"/>
      <c r="BG245" s="182"/>
      <c r="BH245" s="182"/>
      <c r="BI245" s="182"/>
      <c r="BJ245" s="182"/>
      <c r="BK245" s="182"/>
      <c r="BL245" s="182"/>
      <c r="BM245" s="182"/>
      <c r="BN245" s="182"/>
      <c r="BO245" s="182"/>
      <c r="BP245" s="182"/>
      <c r="BQ245" s="182"/>
      <c r="BR245" s="182"/>
      <c r="BS245" s="182"/>
      <c r="BT245" s="182"/>
      <c r="BU245" s="182"/>
      <c r="BV245" s="182"/>
      <c r="BW245" s="182"/>
      <c r="BX245" s="182"/>
      <c r="BY245" s="182"/>
      <c r="BZ245" s="182"/>
      <c r="CA245" s="182"/>
      <c r="CB245" s="185">
        <f t="shared" si="37"/>
        <v>12250</v>
      </c>
      <c r="CC245" s="185">
        <f t="shared" si="38"/>
        <v>0</v>
      </c>
      <c r="CD245" s="185">
        <f t="shared" si="39"/>
        <v>625</v>
      </c>
      <c r="CE245" s="185" t="e">
        <f>+#REF!</f>
        <v>#REF!</v>
      </c>
    </row>
    <row r="246" spans="2:83" s="197" customFormat="1" ht="56.25" x14ac:dyDescent="0.3">
      <c r="B246" s="182">
        <v>996</v>
      </c>
      <c r="C246" s="182">
        <v>626</v>
      </c>
      <c r="D246" s="182" t="s">
        <v>121</v>
      </c>
      <c r="E246" s="181" t="s">
        <v>4623</v>
      </c>
      <c r="F246" s="182"/>
      <c r="G246" s="182">
        <v>184916.51</v>
      </c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  <c r="AK246" s="182"/>
      <c r="AL246" s="182"/>
      <c r="AM246" s="182"/>
      <c r="AN246" s="182"/>
      <c r="AO246" s="182"/>
      <c r="AP246" s="182"/>
      <c r="AQ246" s="185">
        <f t="shared" si="36"/>
        <v>184916.51</v>
      </c>
      <c r="AR246" s="182">
        <v>164304.38</v>
      </c>
      <c r="AS246" s="182">
        <v>19686.43</v>
      </c>
      <c r="AT246" s="182">
        <v>925.7</v>
      </c>
      <c r="AU246" s="182"/>
      <c r="AV246" s="182"/>
      <c r="AW246" s="182"/>
      <c r="AX246" s="182"/>
      <c r="AY246" s="182"/>
      <c r="AZ246" s="182"/>
      <c r="BA246" s="182"/>
      <c r="BB246" s="182"/>
      <c r="BC246" s="182"/>
      <c r="BD246" s="182"/>
      <c r="BE246" s="182"/>
      <c r="BF246" s="182"/>
      <c r="BG246" s="182"/>
      <c r="BH246" s="182"/>
      <c r="BI246" s="182"/>
      <c r="BJ246" s="182"/>
      <c r="BK246" s="182"/>
      <c r="BL246" s="182"/>
      <c r="BM246" s="182"/>
      <c r="BN246" s="182"/>
      <c r="BO246" s="182"/>
      <c r="BP246" s="182"/>
      <c r="BQ246" s="182"/>
      <c r="BR246" s="182"/>
      <c r="BS246" s="182"/>
      <c r="BT246" s="182"/>
      <c r="BU246" s="182"/>
      <c r="BV246" s="182"/>
      <c r="BW246" s="182"/>
      <c r="BX246" s="182"/>
      <c r="BY246" s="182"/>
      <c r="BZ246" s="182"/>
      <c r="CA246" s="182"/>
      <c r="CB246" s="185">
        <f t="shared" si="37"/>
        <v>184916.51</v>
      </c>
      <c r="CC246" s="185">
        <f t="shared" si="38"/>
        <v>0</v>
      </c>
      <c r="CD246" s="185">
        <f t="shared" si="39"/>
        <v>626</v>
      </c>
      <c r="CE246" s="185" t="e">
        <f>+#REF!</f>
        <v>#REF!</v>
      </c>
    </row>
    <row r="247" spans="2:83" s="197" customFormat="1" ht="37.5" x14ac:dyDescent="0.3">
      <c r="B247" s="182">
        <v>535</v>
      </c>
      <c r="C247" s="182">
        <v>627</v>
      </c>
      <c r="D247" s="182" t="s">
        <v>4624</v>
      </c>
      <c r="E247" s="181" t="s">
        <v>4625</v>
      </c>
      <c r="F247" s="182"/>
      <c r="G247" s="182">
        <v>47730.080000000002</v>
      </c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182"/>
      <c r="AI247" s="182"/>
      <c r="AJ247" s="182"/>
      <c r="AK247" s="182"/>
      <c r="AL247" s="182"/>
      <c r="AM247" s="182"/>
      <c r="AN247" s="182"/>
      <c r="AO247" s="182"/>
      <c r="AP247" s="182"/>
      <c r="AQ247" s="185">
        <f t="shared" si="36"/>
        <v>47730.080000000002</v>
      </c>
      <c r="AR247" s="182">
        <v>39429.51</v>
      </c>
      <c r="AS247" s="182">
        <v>4894.05</v>
      </c>
      <c r="AT247" s="182">
        <v>3406.52</v>
      </c>
      <c r="AU247" s="182"/>
      <c r="AV247" s="182"/>
      <c r="AW247" s="182"/>
      <c r="AX247" s="182"/>
      <c r="AY247" s="182"/>
      <c r="AZ247" s="182"/>
      <c r="BA247" s="182"/>
      <c r="BB247" s="182"/>
      <c r="BC247" s="182"/>
      <c r="BD247" s="182"/>
      <c r="BE247" s="182"/>
      <c r="BF247" s="182"/>
      <c r="BG247" s="182"/>
      <c r="BH247" s="182"/>
      <c r="BI247" s="182"/>
      <c r="BJ247" s="182"/>
      <c r="BK247" s="182"/>
      <c r="BL247" s="182"/>
      <c r="BM247" s="182"/>
      <c r="BN247" s="182"/>
      <c r="BO247" s="182"/>
      <c r="BP247" s="182"/>
      <c r="BQ247" s="182"/>
      <c r="BR247" s="182"/>
      <c r="BS247" s="182"/>
      <c r="BT247" s="182"/>
      <c r="BU247" s="182"/>
      <c r="BV247" s="182"/>
      <c r="BW247" s="182"/>
      <c r="BX247" s="182"/>
      <c r="BY247" s="182"/>
      <c r="BZ247" s="182"/>
      <c r="CA247" s="182"/>
      <c r="CB247" s="185">
        <f t="shared" si="37"/>
        <v>47730.080000000002</v>
      </c>
      <c r="CC247" s="185">
        <f t="shared" si="38"/>
        <v>0</v>
      </c>
      <c r="CD247" s="185">
        <f t="shared" si="39"/>
        <v>627</v>
      </c>
      <c r="CE247" s="185" t="e">
        <f>+#REF!</f>
        <v>#REF!</v>
      </c>
    </row>
    <row r="248" spans="2:83" s="197" customFormat="1" ht="56.25" x14ac:dyDescent="0.3">
      <c r="B248" s="182">
        <v>123</v>
      </c>
      <c r="C248" s="182">
        <v>628</v>
      </c>
      <c r="D248" s="182" t="s">
        <v>4626</v>
      </c>
      <c r="E248" s="181" t="s">
        <v>4627</v>
      </c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>
        <v>1368.64</v>
      </c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  <c r="AN248" s="182"/>
      <c r="AO248" s="182"/>
      <c r="AP248" s="182"/>
      <c r="AQ248" s="185">
        <f t="shared" si="36"/>
        <v>1368.64</v>
      </c>
      <c r="AR248" s="182">
        <v>1156.1400000000001</v>
      </c>
      <c r="AS248" s="182">
        <v>144.07</v>
      </c>
      <c r="AT248" s="182"/>
      <c r="AU248" s="182">
        <v>68.430000000000007</v>
      </c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  <c r="BM248" s="182"/>
      <c r="BN248" s="182"/>
      <c r="BO248" s="182"/>
      <c r="BP248" s="182"/>
      <c r="BQ248" s="182"/>
      <c r="BR248" s="182"/>
      <c r="BS248" s="182"/>
      <c r="BT248" s="182"/>
      <c r="BU248" s="182"/>
      <c r="BV248" s="182"/>
      <c r="BW248" s="182"/>
      <c r="BX248" s="182"/>
      <c r="BY248" s="182"/>
      <c r="BZ248" s="182"/>
      <c r="CA248" s="182"/>
      <c r="CB248" s="185">
        <f t="shared" si="37"/>
        <v>1368.64</v>
      </c>
      <c r="CC248" s="185">
        <f t="shared" si="38"/>
        <v>0</v>
      </c>
      <c r="CD248" s="185">
        <f t="shared" si="39"/>
        <v>628</v>
      </c>
      <c r="CE248" s="185" t="e">
        <f>+#REF!</f>
        <v>#REF!</v>
      </c>
    </row>
    <row r="249" spans="2:83" s="197" customFormat="1" ht="56.25" x14ac:dyDescent="0.3">
      <c r="B249" s="182">
        <v>124</v>
      </c>
      <c r="C249" s="182">
        <v>629</v>
      </c>
      <c r="D249" s="182" t="s">
        <v>4626</v>
      </c>
      <c r="E249" s="181" t="s">
        <v>4628</v>
      </c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>
        <v>738.1</v>
      </c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  <c r="AN249" s="182"/>
      <c r="AO249" s="182"/>
      <c r="AP249" s="182"/>
      <c r="AQ249" s="185">
        <f t="shared" si="36"/>
        <v>738.1</v>
      </c>
      <c r="AR249" s="182">
        <v>544.86</v>
      </c>
      <c r="AS249" s="182">
        <v>70.930000000000007</v>
      </c>
      <c r="AT249" s="182">
        <v>88.1</v>
      </c>
      <c r="AU249" s="182">
        <v>34.21</v>
      </c>
      <c r="AV249" s="182"/>
      <c r="AW249" s="182"/>
      <c r="AX249" s="182"/>
      <c r="AY249" s="182"/>
      <c r="AZ249" s="182"/>
      <c r="BA249" s="182"/>
      <c r="BB249" s="182"/>
      <c r="BC249" s="182"/>
      <c r="BD249" s="182"/>
      <c r="BE249" s="182"/>
      <c r="BF249" s="182"/>
      <c r="BG249" s="182"/>
      <c r="BH249" s="182"/>
      <c r="BI249" s="182"/>
      <c r="BJ249" s="182"/>
      <c r="BK249" s="182"/>
      <c r="BL249" s="182"/>
      <c r="BM249" s="182"/>
      <c r="BN249" s="182"/>
      <c r="BO249" s="182"/>
      <c r="BP249" s="182"/>
      <c r="BQ249" s="182"/>
      <c r="BR249" s="182"/>
      <c r="BS249" s="182"/>
      <c r="BT249" s="182"/>
      <c r="BU249" s="182"/>
      <c r="BV249" s="182"/>
      <c r="BW249" s="182"/>
      <c r="BX249" s="182"/>
      <c r="BY249" s="182"/>
      <c r="BZ249" s="182"/>
      <c r="CA249" s="182"/>
      <c r="CB249" s="185">
        <f t="shared" si="37"/>
        <v>738.1</v>
      </c>
      <c r="CC249" s="185">
        <f t="shared" si="38"/>
        <v>0</v>
      </c>
      <c r="CD249" s="185">
        <f t="shared" si="39"/>
        <v>629</v>
      </c>
      <c r="CE249" s="185" t="e">
        <f>+#REF!</f>
        <v>#REF!</v>
      </c>
    </row>
    <row r="250" spans="2:83" s="197" customFormat="1" ht="56.25" x14ac:dyDescent="0.3">
      <c r="B250" s="182">
        <v>1717</v>
      </c>
      <c r="C250" s="182">
        <v>630</v>
      </c>
      <c r="D250" s="182" t="s">
        <v>325</v>
      </c>
      <c r="E250" s="181" t="s">
        <v>4629</v>
      </c>
      <c r="F250" s="182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>
        <v>156385.26999999999</v>
      </c>
      <c r="T250" s="182"/>
      <c r="U250" s="182"/>
      <c r="V250" s="182"/>
      <c r="W250" s="182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2"/>
      <c r="AH250" s="182"/>
      <c r="AI250" s="182"/>
      <c r="AJ250" s="182"/>
      <c r="AK250" s="182"/>
      <c r="AL250" s="182"/>
      <c r="AM250" s="182"/>
      <c r="AN250" s="182"/>
      <c r="AO250" s="182"/>
      <c r="AP250" s="182"/>
      <c r="AQ250" s="185">
        <f t="shared" si="36"/>
        <v>156385.26999999999</v>
      </c>
      <c r="AR250" s="182">
        <v>156385.26999999999</v>
      </c>
      <c r="AS250" s="182"/>
      <c r="AT250" s="182"/>
      <c r="AU250" s="182"/>
      <c r="AV250" s="182"/>
      <c r="AW250" s="182"/>
      <c r="AX250" s="182"/>
      <c r="AY250" s="182"/>
      <c r="AZ250" s="182"/>
      <c r="BA250" s="182"/>
      <c r="BB250" s="182"/>
      <c r="BC250" s="182"/>
      <c r="BD250" s="182"/>
      <c r="BE250" s="182"/>
      <c r="BF250" s="182"/>
      <c r="BG250" s="182"/>
      <c r="BH250" s="182"/>
      <c r="BI250" s="182"/>
      <c r="BJ250" s="182"/>
      <c r="BK250" s="182"/>
      <c r="BL250" s="182"/>
      <c r="BM250" s="182"/>
      <c r="BN250" s="182"/>
      <c r="BO250" s="182"/>
      <c r="BP250" s="182"/>
      <c r="BQ250" s="182"/>
      <c r="BR250" s="182"/>
      <c r="BS250" s="182"/>
      <c r="BT250" s="182"/>
      <c r="BU250" s="182"/>
      <c r="BV250" s="182"/>
      <c r="BW250" s="182"/>
      <c r="BX250" s="182"/>
      <c r="BY250" s="182"/>
      <c r="BZ250" s="182"/>
      <c r="CA250" s="182"/>
      <c r="CB250" s="185">
        <f t="shared" si="37"/>
        <v>156385.26999999999</v>
      </c>
      <c r="CC250" s="185">
        <f t="shared" si="38"/>
        <v>0</v>
      </c>
      <c r="CD250" s="185">
        <f t="shared" si="39"/>
        <v>630</v>
      </c>
      <c r="CE250" s="185" t="e">
        <f>+#REF!</f>
        <v>#REF!</v>
      </c>
    </row>
    <row r="251" spans="2:83" s="197" customFormat="1" ht="56.25" x14ac:dyDescent="0.3">
      <c r="B251" s="182">
        <v>1715</v>
      </c>
      <c r="C251" s="182">
        <v>631</v>
      </c>
      <c r="D251" s="182" t="s">
        <v>130</v>
      </c>
      <c r="E251" s="181" t="s">
        <v>4629</v>
      </c>
      <c r="F251" s="182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>
        <v>7535.87</v>
      </c>
      <c r="T251" s="182"/>
      <c r="U251" s="182"/>
      <c r="V251" s="182"/>
      <c r="W251" s="182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  <c r="AN251" s="182"/>
      <c r="AO251" s="182"/>
      <c r="AP251" s="182"/>
      <c r="AQ251" s="185">
        <f t="shared" si="36"/>
        <v>7535.87</v>
      </c>
      <c r="AR251" s="182">
        <v>7535.87</v>
      </c>
      <c r="AS251" s="182"/>
      <c r="AT251" s="182"/>
      <c r="AU251" s="182"/>
      <c r="AV251" s="182"/>
      <c r="AW251" s="182"/>
      <c r="AX251" s="182"/>
      <c r="AY251" s="182"/>
      <c r="AZ251" s="182"/>
      <c r="BA251" s="182"/>
      <c r="BB251" s="182"/>
      <c r="BC251" s="182"/>
      <c r="BD251" s="182"/>
      <c r="BE251" s="182"/>
      <c r="BF251" s="182"/>
      <c r="BG251" s="182"/>
      <c r="BH251" s="182"/>
      <c r="BI251" s="182"/>
      <c r="BJ251" s="182"/>
      <c r="BK251" s="182"/>
      <c r="BL251" s="182"/>
      <c r="BM251" s="182"/>
      <c r="BN251" s="182"/>
      <c r="BO251" s="182"/>
      <c r="BP251" s="182"/>
      <c r="BQ251" s="182"/>
      <c r="BR251" s="182"/>
      <c r="BS251" s="182"/>
      <c r="BT251" s="182"/>
      <c r="BU251" s="182"/>
      <c r="BV251" s="182"/>
      <c r="BW251" s="182"/>
      <c r="BX251" s="182"/>
      <c r="BY251" s="182"/>
      <c r="BZ251" s="182"/>
      <c r="CA251" s="182"/>
      <c r="CB251" s="185">
        <f t="shared" si="37"/>
        <v>7535.87</v>
      </c>
      <c r="CC251" s="185">
        <f t="shared" si="38"/>
        <v>0</v>
      </c>
      <c r="CD251" s="185">
        <f t="shared" si="39"/>
        <v>631</v>
      </c>
      <c r="CE251" s="185" t="e">
        <f>+#REF!</f>
        <v>#REF!</v>
      </c>
    </row>
    <row r="252" spans="2:83" s="197" customFormat="1" ht="56.25" x14ac:dyDescent="0.3">
      <c r="B252" s="182">
        <v>1727</v>
      </c>
      <c r="C252" s="182">
        <v>632</v>
      </c>
      <c r="D252" s="182" t="s">
        <v>4630</v>
      </c>
      <c r="E252" s="181" t="s">
        <v>4631</v>
      </c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/>
      <c r="X252" s="182"/>
      <c r="Y252" s="182"/>
      <c r="Z252" s="182"/>
      <c r="AA252" s="182"/>
      <c r="AB252" s="182"/>
      <c r="AC252" s="182">
        <v>419.27</v>
      </c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  <c r="AO252" s="182"/>
      <c r="AP252" s="182"/>
      <c r="AQ252" s="185">
        <f t="shared" si="36"/>
        <v>419.27</v>
      </c>
      <c r="AR252" s="182">
        <v>419.27</v>
      </c>
      <c r="AS252" s="182"/>
      <c r="AT252" s="182"/>
      <c r="AU252" s="182"/>
      <c r="AV252" s="182"/>
      <c r="AW252" s="182"/>
      <c r="AX252" s="182"/>
      <c r="AY252" s="182"/>
      <c r="AZ252" s="182"/>
      <c r="BA252" s="182"/>
      <c r="BB252" s="182"/>
      <c r="BC252" s="182"/>
      <c r="BD252" s="182"/>
      <c r="BE252" s="182"/>
      <c r="BF252" s="182"/>
      <c r="BG252" s="182"/>
      <c r="BH252" s="182"/>
      <c r="BI252" s="182"/>
      <c r="BJ252" s="182"/>
      <c r="BK252" s="182"/>
      <c r="BL252" s="182"/>
      <c r="BM252" s="182"/>
      <c r="BN252" s="182"/>
      <c r="BO252" s="182"/>
      <c r="BP252" s="182"/>
      <c r="BQ252" s="182"/>
      <c r="BR252" s="182"/>
      <c r="BS252" s="182"/>
      <c r="BT252" s="182"/>
      <c r="BU252" s="182"/>
      <c r="BV252" s="182"/>
      <c r="BW252" s="182"/>
      <c r="BX252" s="182"/>
      <c r="BY252" s="182"/>
      <c r="BZ252" s="182"/>
      <c r="CA252" s="182"/>
      <c r="CB252" s="185">
        <f t="shared" si="37"/>
        <v>419.27</v>
      </c>
      <c r="CC252" s="185">
        <f t="shared" si="38"/>
        <v>0</v>
      </c>
      <c r="CD252" s="185">
        <f t="shared" si="39"/>
        <v>632</v>
      </c>
      <c r="CE252" s="185" t="e">
        <f>+#REF!</f>
        <v>#REF!</v>
      </c>
    </row>
    <row r="253" spans="2:83" s="197" customFormat="1" ht="37.5" x14ac:dyDescent="0.3">
      <c r="B253" s="182">
        <v>1762</v>
      </c>
      <c r="C253" s="182">
        <v>633</v>
      </c>
      <c r="D253" s="182" t="s">
        <v>325</v>
      </c>
      <c r="E253" s="181" t="s">
        <v>4632</v>
      </c>
      <c r="F253" s="182"/>
      <c r="G253" s="182"/>
      <c r="H253" s="182">
        <v>15000</v>
      </c>
      <c r="I253" s="182"/>
      <c r="J253" s="182"/>
      <c r="K253" s="182"/>
      <c r="L253" s="182"/>
      <c r="M253" s="182"/>
      <c r="N253" s="182"/>
      <c r="O253" s="182">
        <v>15000</v>
      </c>
      <c r="P253" s="182"/>
      <c r="Q253" s="182"/>
      <c r="R253" s="182"/>
      <c r="S253" s="182"/>
      <c r="T253" s="182"/>
      <c r="U253" s="182"/>
      <c r="V253" s="182"/>
      <c r="W253" s="182"/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2"/>
      <c r="AH253" s="182"/>
      <c r="AI253" s="182"/>
      <c r="AJ253" s="182"/>
      <c r="AK253" s="182"/>
      <c r="AL253" s="182"/>
      <c r="AM253" s="182"/>
      <c r="AN253" s="182"/>
      <c r="AO253" s="182"/>
      <c r="AP253" s="182"/>
      <c r="AQ253" s="185">
        <f t="shared" ref="AQ253:AQ268" si="40">SUM(G253:AP253)</f>
        <v>30000</v>
      </c>
      <c r="AR253" s="182">
        <v>15000</v>
      </c>
      <c r="AS253" s="182"/>
      <c r="AT253" s="182"/>
      <c r="AU253" s="182"/>
      <c r="AV253" s="182"/>
      <c r="AW253" s="182"/>
      <c r="AX253" s="182"/>
      <c r="AY253" s="182"/>
      <c r="AZ253" s="182"/>
      <c r="BA253" s="182"/>
      <c r="BB253" s="182"/>
      <c r="BC253" s="182"/>
      <c r="BD253" s="182"/>
      <c r="BE253" s="182"/>
      <c r="BF253" s="182"/>
      <c r="BG253" s="182"/>
      <c r="BH253" s="182"/>
      <c r="BI253" s="182"/>
      <c r="BJ253" s="182"/>
      <c r="BK253" s="182"/>
      <c r="BL253" s="182"/>
      <c r="BM253" s="182">
        <v>15000</v>
      </c>
      <c r="BN253" s="182"/>
      <c r="BO253" s="182"/>
      <c r="BP253" s="182"/>
      <c r="BQ253" s="182"/>
      <c r="BR253" s="182"/>
      <c r="BS253" s="182"/>
      <c r="BT253" s="182"/>
      <c r="BU253" s="182"/>
      <c r="BV253" s="182"/>
      <c r="BW253" s="182"/>
      <c r="BX253" s="182"/>
      <c r="BY253" s="182"/>
      <c r="BZ253" s="182"/>
      <c r="CA253" s="182"/>
      <c r="CB253" s="185">
        <f t="shared" ref="CB253:CB268" si="41">SUM(AR253:CA253)</f>
        <v>30000</v>
      </c>
      <c r="CC253" s="185">
        <f t="shared" ref="CC253:CC264" si="42">+CB253-AQ253</f>
        <v>0</v>
      </c>
      <c r="CD253" s="185">
        <f t="shared" ref="CD253:CD268" si="43">+C253</f>
        <v>633</v>
      </c>
      <c r="CE253" s="185" t="e">
        <f>+#REF!</f>
        <v>#REF!</v>
      </c>
    </row>
    <row r="254" spans="2:83" s="197" customFormat="1" ht="37.5" x14ac:dyDescent="0.3">
      <c r="B254" s="182">
        <v>1387</v>
      </c>
      <c r="C254" s="182">
        <v>634</v>
      </c>
      <c r="D254" s="182" t="s">
        <v>325</v>
      </c>
      <c r="E254" s="181" t="s">
        <v>2968</v>
      </c>
      <c r="F254" s="182"/>
      <c r="G254" s="182"/>
      <c r="H254" s="182">
        <v>1125</v>
      </c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  <c r="AN254" s="182"/>
      <c r="AO254" s="182"/>
      <c r="AP254" s="182"/>
      <c r="AQ254" s="185">
        <f t="shared" si="40"/>
        <v>1125</v>
      </c>
      <c r="AR254" s="182">
        <v>1025.2</v>
      </c>
      <c r="AS254" s="182">
        <v>55.3</v>
      </c>
      <c r="AT254" s="182"/>
      <c r="AU254" s="182"/>
      <c r="AV254" s="182"/>
      <c r="AW254" s="182"/>
      <c r="AX254" s="182"/>
      <c r="AY254" s="182"/>
      <c r="AZ254" s="182"/>
      <c r="BA254" s="182"/>
      <c r="BB254" s="182"/>
      <c r="BC254" s="182"/>
      <c r="BD254" s="182"/>
      <c r="BE254" s="182">
        <v>29.6</v>
      </c>
      <c r="BF254" s="182">
        <v>6</v>
      </c>
      <c r="BG254" s="182">
        <f>4.45*2</f>
        <v>8.9</v>
      </c>
      <c r="BH254" s="182"/>
      <c r="BI254" s="182"/>
      <c r="BJ254" s="182"/>
      <c r="BK254" s="182"/>
      <c r="BL254" s="182"/>
      <c r="BM254" s="182"/>
      <c r="BN254" s="182"/>
      <c r="BO254" s="182"/>
      <c r="BP254" s="182"/>
      <c r="BQ254" s="182"/>
      <c r="BR254" s="182"/>
      <c r="BS254" s="182"/>
      <c r="BT254" s="182"/>
      <c r="BU254" s="182"/>
      <c r="BV254" s="182"/>
      <c r="BW254" s="182"/>
      <c r="BX254" s="182"/>
      <c r="BY254" s="182"/>
      <c r="BZ254" s="182"/>
      <c r="CA254" s="182"/>
      <c r="CB254" s="185">
        <f t="shared" si="41"/>
        <v>1125</v>
      </c>
      <c r="CC254" s="185">
        <f t="shared" si="42"/>
        <v>0</v>
      </c>
      <c r="CD254" s="185">
        <f t="shared" si="43"/>
        <v>634</v>
      </c>
      <c r="CE254" s="185" t="e">
        <f>+#REF!</f>
        <v>#REF!</v>
      </c>
    </row>
    <row r="255" spans="2:83" s="197" customFormat="1" ht="37.5" x14ac:dyDescent="0.3">
      <c r="B255" s="182">
        <v>1388</v>
      </c>
      <c r="C255" s="182">
        <v>635</v>
      </c>
      <c r="D255" s="182" t="s">
        <v>325</v>
      </c>
      <c r="E255" s="181" t="s">
        <v>2968</v>
      </c>
      <c r="F255" s="182"/>
      <c r="G255" s="182"/>
      <c r="H255" s="182">
        <v>1000</v>
      </c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  <c r="AN255" s="182"/>
      <c r="AO255" s="182"/>
      <c r="AP255" s="182"/>
      <c r="AQ255" s="185">
        <f t="shared" si="40"/>
        <v>1000</v>
      </c>
      <c r="AR255" s="182">
        <v>910.55</v>
      </c>
      <c r="AS255" s="182">
        <v>49.1</v>
      </c>
      <c r="AT255" s="182"/>
      <c r="AU255" s="182"/>
      <c r="AV255" s="182"/>
      <c r="AW255" s="182"/>
      <c r="AX255" s="182"/>
      <c r="AY255" s="182"/>
      <c r="AZ255" s="182"/>
      <c r="BA255" s="182"/>
      <c r="BB255" s="182"/>
      <c r="BC255" s="182"/>
      <c r="BD255" s="182"/>
      <c r="BE255" s="182">
        <v>26.35</v>
      </c>
      <c r="BF255" s="182">
        <v>6</v>
      </c>
      <c r="BG255" s="182">
        <v>8</v>
      </c>
      <c r="BH255" s="182"/>
      <c r="BI255" s="182"/>
      <c r="BJ255" s="182"/>
      <c r="BK255" s="182"/>
      <c r="BL255" s="182"/>
      <c r="BM255" s="182"/>
      <c r="BN255" s="182"/>
      <c r="BO255" s="182"/>
      <c r="BP255" s="182"/>
      <c r="BQ255" s="182"/>
      <c r="BR255" s="182"/>
      <c r="BS255" s="182"/>
      <c r="BT255" s="182"/>
      <c r="BU255" s="182"/>
      <c r="BV255" s="182"/>
      <c r="BW255" s="182"/>
      <c r="BX255" s="182"/>
      <c r="BY255" s="182"/>
      <c r="BZ255" s="182"/>
      <c r="CA255" s="182"/>
      <c r="CB255" s="185">
        <f t="shared" si="41"/>
        <v>1000</v>
      </c>
      <c r="CC255" s="185">
        <f t="shared" si="42"/>
        <v>0</v>
      </c>
      <c r="CD255" s="185">
        <f t="shared" si="43"/>
        <v>635</v>
      </c>
      <c r="CE255" s="185" t="e">
        <f>+#REF!</f>
        <v>#REF!</v>
      </c>
    </row>
    <row r="256" spans="2:83" s="197" customFormat="1" ht="37.5" x14ac:dyDescent="0.3">
      <c r="B256" s="182">
        <v>1389</v>
      </c>
      <c r="C256" s="182">
        <v>636</v>
      </c>
      <c r="D256" s="182" t="s">
        <v>130</v>
      </c>
      <c r="E256" s="181" t="s">
        <v>4633</v>
      </c>
      <c r="F256" s="182"/>
      <c r="G256" s="182"/>
      <c r="H256" s="182">
        <v>1026</v>
      </c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2"/>
      <c r="AH256" s="182"/>
      <c r="AI256" s="182"/>
      <c r="AJ256" s="182"/>
      <c r="AK256" s="182"/>
      <c r="AL256" s="182"/>
      <c r="AM256" s="182"/>
      <c r="AN256" s="182"/>
      <c r="AO256" s="182"/>
      <c r="AP256" s="182"/>
      <c r="AQ256" s="185">
        <f t="shared" si="40"/>
        <v>1026</v>
      </c>
      <c r="AR256" s="182">
        <v>934.6</v>
      </c>
      <c r="AS256" s="182">
        <v>50.3</v>
      </c>
      <c r="AT256" s="182"/>
      <c r="AU256" s="182"/>
      <c r="AV256" s="182"/>
      <c r="AW256" s="182"/>
      <c r="AX256" s="182"/>
      <c r="AY256" s="182"/>
      <c r="AZ256" s="182"/>
      <c r="BA256" s="182"/>
      <c r="BB256" s="182"/>
      <c r="BC256" s="182"/>
      <c r="BD256" s="182"/>
      <c r="BE256" s="182">
        <v>27</v>
      </c>
      <c r="BF256" s="182">
        <v>6</v>
      </c>
      <c r="BG256" s="182">
        <f>4.05*2</f>
        <v>8.1</v>
      </c>
      <c r="BH256" s="182"/>
      <c r="BI256" s="182"/>
      <c r="BJ256" s="182"/>
      <c r="BK256" s="182"/>
      <c r="BL256" s="182"/>
      <c r="BM256" s="182"/>
      <c r="BN256" s="182"/>
      <c r="BO256" s="182"/>
      <c r="BP256" s="182"/>
      <c r="BQ256" s="182"/>
      <c r="BR256" s="182"/>
      <c r="BS256" s="182"/>
      <c r="BT256" s="182"/>
      <c r="BU256" s="182"/>
      <c r="BV256" s="182"/>
      <c r="BW256" s="182"/>
      <c r="BX256" s="182"/>
      <c r="BY256" s="182"/>
      <c r="BZ256" s="182"/>
      <c r="CA256" s="182"/>
      <c r="CB256" s="185">
        <f t="shared" si="41"/>
        <v>1026</v>
      </c>
      <c r="CC256" s="185">
        <f t="shared" si="42"/>
        <v>0</v>
      </c>
      <c r="CD256" s="185">
        <f t="shared" si="43"/>
        <v>636</v>
      </c>
      <c r="CE256" s="185" t="e">
        <f>+#REF!</f>
        <v>#REF!</v>
      </c>
    </row>
    <row r="257" spans="2:83" s="197" customFormat="1" ht="37.5" x14ac:dyDescent="0.3">
      <c r="B257" s="182">
        <v>1392</v>
      </c>
      <c r="C257" s="182">
        <v>637</v>
      </c>
      <c r="D257" s="182" t="s">
        <v>130</v>
      </c>
      <c r="E257" s="181" t="str">
        <f>+E255</f>
        <v>شركه المنى للاجهزه العلميه</v>
      </c>
      <c r="F257" s="182"/>
      <c r="G257" s="182"/>
      <c r="H257" s="182">
        <v>2000</v>
      </c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2"/>
      <c r="AO257" s="182"/>
      <c r="AP257" s="182"/>
      <c r="AQ257" s="185">
        <f t="shared" si="40"/>
        <v>2000</v>
      </c>
      <c r="AR257" s="182">
        <v>1820.45</v>
      </c>
      <c r="AS257" s="182">
        <v>105.1</v>
      </c>
      <c r="AT257" s="182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>
        <v>52.65</v>
      </c>
      <c r="BF257" s="182">
        <v>6</v>
      </c>
      <c r="BG257" s="182">
        <f>7.9*2</f>
        <v>15.8</v>
      </c>
      <c r="BH257" s="182"/>
      <c r="BI257" s="182"/>
      <c r="BJ257" s="182"/>
      <c r="BK257" s="182"/>
      <c r="BL257" s="182"/>
      <c r="BM257" s="182"/>
      <c r="BN257" s="182"/>
      <c r="BO257" s="182"/>
      <c r="BP257" s="182"/>
      <c r="BQ257" s="182"/>
      <c r="BR257" s="182"/>
      <c r="BS257" s="182"/>
      <c r="BT257" s="182"/>
      <c r="BU257" s="182"/>
      <c r="BV257" s="182"/>
      <c r="BW257" s="182"/>
      <c r="BX257" s="182"/>
      <c r="BY257" s="182"/>
      <c r="BZ257" s="182"/>
      <c r="CA257" s="182"/>
      <c r="CB257" s="185">
        <f t="shared" si="41"/>
        <v>2000</v>
      </c>
      <c r="CC257" s="185">
        <f t="shared" si="42"/>
        <v>0</v>
      </c>
      <c r="CD257" s="185">
        <f t="shared" si="43"/>
        <v>637</v>
      </c>
      <c r="CE257" s="185" t="e">
        <f>+#REF!</f>
        <v>#REF!</v>
      </c>
    </row>
    <row r="258" spans="2:83" s="197" customFormat="1" ht="37.5" x14ac:dyDescent="0.3">
      <c r="B258" s="182">
        <v>1391</v>
      </c>
      <c r="C258" s="182">
        <v>638</v>
      </c>
      <c r="D258" s="182" t="s">
        <v>130</v>
      </c>
      <c r="E258" s="181" t="str">
        <f>+E257</f>
        <v>شركه المنى للاجهزه العلميه</v>
      </c>
      <c r="F258" s="182"/>
      <c r="G258" s="182"/>
      <c r="H258" s="182">
        <v>1250</v>
      </c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  <c r="AN258" s="182"/>
      <c r="AO258" s="182"/>
      <c r="AP258" s="182"/>
      <c r="AQ258" s="185">
        <f t="shared" si="40"/>
        <v>1250</v>
      </c>
      <c r="AR258" s="182">
        <v>1135.5999999999999</v>
      </c>
      <c r="AS258" s="182">
        <v>65.5</v>
      </c>
      <c r="AT258" s="182"/>
      <c r="AU258" s="182"/>
      <c r="AV258" s="182"/>
      <c r="AW258" s="182"/>
      <c r="AX258" s="182"/>
      <c r="AY258" s="182"/>
      <c r="AZ258" s="182"/>
      <c r="BA258" s="182"/>
      <c r="BB258" s="182"/>
      <c r="BC258" s="182"/>
      <c r="BD258" s="182"/>
      <c r="BE258" s="182">
        <v>32.9</v>
      </c>
      <c r="BF258" s="182">
        <v>6</v>
      </c>
      <c r="BG258" s="182">
        <v>10</v>
      </c>
      <c r="BH258" s="182"/>
      <c r="BI258" s="182"/>
      <c r="BJ258" s="182"/>
      <c r="BK258" s="182"/>
      <c r="BL258" s="182"/>
      <c r="BM258" s="182"/>
      <c r="BN258" s="182"/>
      <c r="BO258" s="182"/>
      <c r="BP258" s="182"/>
      <c r="BQ258" s="182"/>
      <c r="BR258" s="182"/>
      <c r="BS258" s="182"/>
      <c r="BT258" s="182"/>
      <c r="BU258" s="182"/>
      <c r="BV258" s="182"/>
      <c r="BW258" s="182"/>
      <c r="BX258" s="182"/>
      <c r="BY258" s="182"/>
      <c r="BZ258" s="182"/>
      <c r="CA258" s="182"/>
      <c r="CB258" s="185">
        <f t="shared" si="41"/>
        <v>1250</v>
      </c>
      <c r="CC258" s="185">
        <f t="shared" si="42"/>
        <v>0</v>
      </c>
      <c r="CD258" s="185">
        <f t="shared" si="43"/>
        <v>638</v>
      </c>
      <c r="CE258" s="185" t="e">
        <f>+#REF!</f>
        <v>#REF!</v>
      </c>
    </row>
    <row r="259" spans="2:83" s="197" customFormat="1" ht="37.5" x14ac:dyDescent="0.3">
      <c r="B259" s="182">
        <v>1390</v>
      </c>
      <c r="C259" s="182">
        <v>639</v>
      </c>
      <c r="D259" s="182" t="s">
        <v>130</v>
      </c>
      <c r="E259" s="181" t="str">
        <f>+E258</f>
        <v>شركه المنى للاجهزه العلميه</v>
      </c>
      <c r="F259" s="182"/>
      <c r="G259" s="182"/>
      <c r="H259" s="182">
        <v>1140</v>
      </c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2"/>
      <c r="AH259" s="182"/>
      <c r="AI259" s="182"/>
      <c r="AJ259" s="182"/>
      <c r="AK259" s="182"/>
      <c r="AL259" s="182"/>
      <c r="AM259" s="182"/>
      <c r="AN259" s="182"/>
      <c r="AO259" s="182"/>
      <c r="AP259" s="182"/>
      <c r="AQ259" s="185">
        <f t="shared" si="40"/>
        <v>1140</v>
      </c>
      <c r="AR259" s="182">
        <v>1039.0999999999999</v>
      </c>
      <c r="AS259" s="182">
        <v>55.9</v>
      </c>
      <c r="AT259" s="182"/>
      <c r="AU259" s="182"/>
      <c r="AV259" s="182"/>
      <c r="AW259" s="182"/>
      <c r="AX259" s="182"/>
      <c r="AY259" s="182"/>
      <c r="AZ259" s="182"/>
      <c r="BA259" s="182"/>
      <c r="BB259" s="182"/>
      <c r="BC259" s="182"/>
      <c r="BD259" s="182"/>
      <c r="BE259" s="182">
        <v>30</v>
      </c>
      <c r="BF259" s="182">
        <v>6</v>
      </c>
      <c r="BG259" s="182">
        <f>4.5*2</f>
        <v>9</v>
      </c>
      <c r="BH259" s="182"/>
      <c r="BI259" s="182"/>
      <c r="BJ259" s="182"/>
      <c r="BK259" s="182"/>
      <c r="BL259" s="182"/>
      <c r="BM259" s="182"/>
      <c r="BN259" s="182"/>
      <c r="BO259" s="182"/>
      <c r="BP259" s="182"/>
      <c r="BQ259" s="182"/>
      <c r="BR259" s="182"/>
      <c r="BS259" s="182"/>
      <c r="BT259" s="182"/>
      <c r="BU259" s="182"/>
      <c r="BV259" s="182"/>
      <c r="BW259" s="182"/>
      <c r="BX259" s="182"/>
      <c r="BY259" s="182"/>
      <c r="BZ259" s="182"/>
      <c r="CA259" s="182"/>
      <c r="CB259" s="185">
        <f t="shared" si="41"/>
        <v>1140</v>
      </c>
      <c r="CC259" s="185">
        <f t="shared" si="42"/>
        <v>0</v>
      </c>
      <c r="CD259" s="185">
        <f t="shared" si="43"/>
        <v>639</v>
      </c>
      <c r="CE259" s="185" t="e">
        <f>+#REF!</f>
        <v>#REF!</v>
      </c>
    </row>
    <row r="260" spans="2:83" s="197" customFormat="1" ht="37.5" x14ac:dyDescent="0.3">
      <c r="B260" s="182">
        <v>1386</v>
      </c>
      <c r="C260" s="182">
        <v>640</v>
      </c>
      <c r="D260" s="182" t="s">
        <v>130</v>
      </c>
      <c r="E260" s="181" t="str">
        <f>+E259</f>
        <v>شركه المنى للاجهزه العلميه</v>
      </c>
      <c r="F260" s="182"/>
      <c r="G260" s="182"/>
      <c r="H260" s="182">
        <v>213.75</v>
      </c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2"/>
      <c r="AH260" s="182"/>
      <c r="AI260" s="182"/>
      <c r="AJ260" s="182"/>
      <c r="AK260" s="182"/>
      <c r="AL260" s="182"/>
      <c r="AM260" s="182"/>
      <c r="AN260" s="182"/>
      <c r="AO260" s="182"/>
      <c r="AP260" s="182"/>
      <c r="AQ260" s="185">
        <f t="shared" si="40"/>
        <v>213.75</v>
      </c>
      <c r="AR260" s="182">
        <v>196.75</v>
      </c>
      <c r="AS260" s="182">
        <v>9.3000000000000007</v>
      </c>
      <c r="AT260" s="182"/>
      <c r="AU260" s="182"/>
      <c r="AV260" s="182"/>
      <c r="AW260" s="182"/>
      <c r="AX260" s="182"/>
      <c r="AY260" s="182"/>
      <c r="AZ260" s="182"/>
      <c r="BA260" s="182"/>
      <c r="BB260" s="182"/>
      <c r="BC260" s="182"/>
      <c r="BD260" s="182"/>
      <c r="BE260" s="182"/>
      <c r="BF260" s="182">
        <v>6</v>
      </c>
      <c r="BG260" s="182">
        <f>0.85*2</f>
        <v>1.7</v>
      </c>
      <c r="BH260" s="182"/>
      <c r="BI260" s="182"/>
      <c r="BJ260" s="182"/>
      <c r="BK260" s="182"/>
      <c r="BL260" s="182"/>
      <c r="BM260" s="182"/>
      <c r="BN260" s="182"/>
      <c r="BO260" s="182"/>
      <c r="BP260" s="182"/>
      <c r="BQ260" s="182"/>
      <c r="BR260" s="182"/>
      <c r="BS260" s="182"/>
      <c r="BT260" s="182"/>
      <c r="BU260" s="182"/>
      <c r="BV260" s="182"/>
      <c r="BW260" s="182"/>
      <c r="BX260" s="182"/>
      <c r="BY260" s="182"/>
      <c r="BZ260" s="182"/>
      <c r="CA260" s="182"/>
      <c r="CB260" s="185">
        <f t="shared" si="41"/>
        <v>213.75</v>
      </c>
      <c r="CC260" s="185">
        <f t="shared" si="42"/>
        <v>0</v>
      </c>
      <c r="CD260" s="185">
        <f t="shared" si="43"/>
        <v>640</v>
      </c>
      <c r="CE260" s="185" t="e">
        <f>+#REF!</f>
        <v>#REF!</v>
      </c>
    </row>
    <row r="261" spans="2:83" s="197" customFormat="1" ht="37.5" x14ac:dyDescent="0.3">
      <c r="B261" s="182">
        <v>1385</v>
      </c>
      <c r="C261" s="182">
        <v>641</v>
      </c>
      <c r="D261" s="182" t="s">
        <v>130</v>
      </c>
      <c r="E261" s="181" t="str">
        <f>+E260</f>
        <v>شركه المنى للاجهزه العلميه</v>
      </c>
      <c r="F261" s="182"/>
      <c r="G261" s="182"/>
      <c r="H261" s="182">
        <v>2052</v>
      </c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2"/>
      <c r="AH261" s="182"/>
      <c r="AI261" s="182"/>
      <c r="AJ261" s="182"/>
      <c r="AK261" s="182"/>
      <c r="AL261" s="182"/>
      <c r="AM261" s="182"/>
      <c r="AN261" s="182"/>
      <c r="AO261" s="182"/>
      <c r="AP261" s="182"/>
      <c r="AQ261" s="185">
        <f t="shared" si="40"/>
        <v>2052</v>
      </c>
      <c r="AR261" s="182">
        <v>1868.1</v>
      </c>
      <c r="AS261" s="182">
        <v>107.7</v>
      </c>
      <c r="AT261" s="182"/>
      <c r="AU261" s="182"/>
      <c r="AV261" s="182"/>
      <c r="AW261" s="182"/>
      <c r="AX261" s="182"/>
      <c r="AY261" s="182"/>
      <c r="AZ261" s="182"/>
      <c r="BA261" s="182"/>
      <c r="BB261" s="182"/>
      <c r="BC261" s="182"/>
      <c r="BD261" s="182"/>
      <c r="BE261" s="182">
        <v>54</v>
      </c>
      <c r="BF261" s="182">
        <v>6</v>
      </c>
      <c r="BG261" s="182">
        <f>8.1*2</f>
        <v>16.2</v>
      </c>
      <c r="BH261" s="182"/>
      <c r="BI261" s="182"/>
      <c r="BJ261" s="182"/>
      <c r="BK261" s="182"/>
      <c r="BL261" s="182"/>
      <c r="BM261" s="182"/>
      <c r="BN261" s="182"/>
      <c r="BO261" s="182"/>
      <c r="BP261" s="182"/>
      <c r="BQ261" s="182"/>
      <c r="BR261" s="182"/>
      <c r="BS261" s="182"/>
      <c r="BT261" s="182"/>
      <c r="BU261" s="182"/>
      <c r="BV261" s="182"/>
      <c r="BW261" s="182"/>
      <c r="BX261" s="182"/>
      <c r="BY261" s="182"/>
      <c r="BZ261" s="182"/>
      <c r="CA261" s="182"/>
      <c r="CB261" s="185">
        <f t="shared" si="41"/>
        <v>2052</v>
      </c>
      <c r="CC261" s="185">
        <f t="shared" si="42"/>
        <v>0</v>
      </c>
      <c r="CD261" s="185">
        <f t="shared" si="43"/>
        <v>641</v>
      </c>
      <c r="CE261" s="185" t="e">
        <f>+#REF!</f>
        <v>#REF!</v>
      </c>
    </row>
    <row r="262" spans="2:83" s="197" customFormat="1" ht="56.25" x14ac:dyDescent="0.3">
      <c r="B262" s="182">
        <v>229</v>
      </c>
      <c r="C262" s="182">
        <v>642</v>
      </c>
      <c r="D262" s="182" t="s">
        <v>128</v>
      </c>
      <c r="E262" s="181" t="s">
        <v>3762</v>
      </c>
      <c r="F262" s="182"/>
      <c r="G262" s="182"/>
      <c r="H262" s="182">
        <v>2250</v>
      </c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2"/>
      <c r="AH262" s="182"/>
      <c r="AI262" s="182"/>
      <c r="AJ262" s="182"/>
      <c r="AK262" s="182"/>
      <c r="AL262" s="182"/>
      <c r="AM262" s="182"/>
      <c r="AN262" s="182"/>
      <c r="AO262" s="182"/>
      <c r="AP262" s="182"/>
      <c r="AQ262" s="185">
        <f t="shared" si="40"/>
        <v>2250</v>
      </c>
      <c r="AR262" s="182">
        <v>2048.85</v>
      </c>
      <c r="AS262" s="182">
        <v>118.1</v>
      </c>
      <c r="AT262" s="182"/>
      <c r="AU262" s="182"/>
      <c r="AV262" s="182"/>
      <c r="AW262" s="182"/>
      <c r="AX262" s="182"/>
      <c r="AY262" s="182"/>
      <c r="AZ262" s="182"/>
      <c r="BA262" s="182"/>
      <c r="BB262" s="182"/>
      <c r="BC262" s="182"/>
      <c r="BD262" s="182"/>
      <c r="BE262" s="182">
        <v>59.25</v>
      </c>
      <c r="BF262" s="182">
        <v>6</v>
      </c>
      <c r="BG262" s="182">
        <f>8.9*2</f>
        <v>17.8</v>
      </c>
      <c r="BH262" s="182"/>
      <c r="BI262" s="182"/>
      <c r="BJ262" s="182"/>
      <c r="BK262" s="182"/>
      <c r="BL262" s="182"/>
      <c r="BM262" s="182"/>
      <c r="BN262" s="182"/>
      <c r="BO262" s="182"/>
      <c r="BP262" s="182"/>
      <c r="BQ262" s="182"/>
      <c r="BR262" s="182"/>
      <c r="BS262" s="182"/>
      <c r="BT262" s="182"/>
      <c r="BU262" s="182"/>
      <c r="BV262" s="182"/>
      <c r="BW262" s="182"/>
      <c r="BX262" s="182"/>
      <c r="BY262" s="182"/>
      <c r="BZ262" s="182"/>
      <c r="CA262" s="182"/>
      <c r="CB262" s="185">
        <f t="shared" si="41"/>
        <v>2250</v>
      </c>
      <c r="CC262" s="185">
        <f t="shared" si="42"/>
        <v>0</v>
      </c>
      <c r="CD262" s="185">
        <f t="shared" si="43"/>
        <v>642</v>
      </c>
      <c r="CE262" s="185" t="e">
        <f>+#REF!</f>
        <v>#REF!</v>
      </c>
    </row>
    <row r="263" spans="2:83" s="197" customFormat="1" ht="56.25" x14ac:dyDescent="0.3">
      <c r="B263" s="182">
        <v>228</v>
      </c>
      <c r="C263" s="182">
        <v>643</v>
      </c>
      <c r="D263" s="182" t="s">
        <v>128</v>
      </c>
      <c r="E263" s="181" t="s">
        <v>3762</v>
      </c>
      <c r="F263" s="182"/>
      <c r="G263" s="182"/>
      <c r="H263" s="182">
        <v>2700</v>
      </c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2"/>
      <c r="AH263" s="182"/>
      <c r="AI263" s="182"/>
      <c r="AJ263" s="182"/>
      <c r="AK263" s="182"/>
      <c r="AL263" s="182"/>
      <c r="AM263" s="182"/>
      <c r="AN263" s="182"/>
      <c r="AO263" s="182"/>
      <c r="AP263" s="182"/>
      <c r="AQ263" s="185">
        <f t="shared" si="40"/>
        <v>2700</v>
      </c>
      <c r="AR263" s="182">
        <v>2459.75</v>
      </c>
      <c r="AS263" s="182">
        <v>141.9</v>
      </c>
      <c r="AT263" s="182"/>
      <c r="AU263" s="182"/>
      <c r="AV263" s="182"/>
      <c r="AW263" s="182"/>
      <c r="AX263" s="182"/>
      <c r="AY263" s="182"/>
      <c r="AZ263" s="182"/>
      <c r="BA263" s="182"/>
      <c r="BB263" s="182"/>
      <c r="BC263" s="182"/>
      <c r="BD263" s="182"/>
      <c r="BE263" s="182">
        <v>71.05</v>
      </c>
      <c r="BF263" s="182">
        <v>6</v>
      </c>
      <c r="BG263" s="182">
        <f>10.65*2</f>
        <v>21.3</v>
      </c>
      <c r="BH263" s="182"/>
      <c r="BI263" s="182"/>
      <c r="BJ263" s="182"/>
      <c r="BK263" s="182"/>
      <c r="BL263" s="182"/>
      <c r="BM263" s="182"/>
      <c r="BN263" s="182"/>
      <c r="BO263" s="182"/>
      <c r="BP263" s="182"/>
      <c r="BQ263" s="182"/>
      <c r="BR263" s="182"/>
      <c r="BS263" s="182"/>
      <c r="BT263" s="182"/>
      <c r="BU263" s="182"/>
      <c r="BV263" s="182"/>
      <c r="BW263" s="182"/>
      <c r="BX263" s="182"/>
      <c r="BY263" s="182"/>
      <c r="BZ263" s="182"/>
      <c r="CA263" s="182"/>
      <c r="CB263" s="185">
        <f t="shared" si="41"/>
        <v>2700.0000000000005</v>
      </c>
      <c r="CC263" s="185">
        <f t="shared" si="42"/>
        <v>0</v>
      </c>
      <c r="CD263" s="185">
        <f t="shared" si="43"/>
        <v>643</v>
      </c>
      <c r="CE263" s="185" t="e">
        <f>+#REF!</f>
        <v>#REF!</v>
      </c>
    </row>
    <row r="264" spans="2:83" s="197" customFormat="1" ht="37.5" x14ac:dyDescent="0.3">
      <c r="B264" s="182">
        <v>1168</v>
      </c>
      <c r="C264" s="182">
        <v>644</v>
      </c>
      <c r="D264" s="182" t="s">
        <v>724</v>
      </c>
      <c r="E264" s="181" t="s">
        <v>4634</v>
      </c>
      <c r="F264" s="182"/>
      <c r="G264" s="182"/>
      <c r="H264" s="182">
        <v>15000</v>
      </c>
      <c r="I264" s="182"/>
      <c r="J264" s="182"/>
      <c r="K264" s="182"/>
      <c r="L264" s="182"/>
      <c r="M264" s="182"/>
      <c r="N264" s="182"/>
      <c r="O264" s="182">
        <v>15000</v>
      </c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  <c r="Z264" s="182"/>
      <c r="AA264" s="182"/>
      <c r="AB264" s="182"/>
      <c r="AC264" s="182"/>
      <c r="AD264" s="182"/>
      <c r="AE264" s="182"/>
      <c r="AF264" s="182"/>
      <c r="AG264" s="182"/>
      <c r="AH264" s="182"/>
      <c r="AI264" s="182"/>
      <c r="AJ264" s="182"/>
      <c r="AK264" s="182"/>
      <c r="AL264" s="182"/>
      <c r="AM264" s="182"/>
      <c r="AN264" s="182"/>
      <c r="AO264" s="182"/>
      <c r="AP264" s="182"/>
      <c r="AQ264" s="185">
        <f t="shared" si="40"/>
        <v>30000</v>
      </c>
      <c r="AR264" s="182">
        <v>15000</v>
      </c>
      <c r="AS264" s="182"/>
      <c r="AT264" s="182"/>
      <c r="AU264" s="182"/>
      <c r="AV264" s="182"/>
      <c r="AW264" s="182"/>
      <c r="AX264" s="182"/>
      <c r="AY264" s="182"/>
      <c r="AZ264" s="182"/>
      <c r="BA264" s="182"/>
      <c r="BB264" s="182"/>
      <c r="BC264" s="182"/>
      <c r="BD264" s="182"/>
      <c r="BE264" s="182"/>
      <c r="BF264" s="182"/>
      <c r="BG264" s="182"/>
      <c r="BH264" s="182"/>
      <c r="BI264" s="182"/>
      <c r="BJ264" s="182"/>
      <c r="BK264" s="182"/>
      <c r="BL264" s="182"/>
      <c r="BM264" s="182">
        <v>15000</v>
      </c>
      <c r="BN264" s="182"/>
      <c r="BO264" s="182"/>
      <c r="BP264" s="182"/>
      <c r="BQ264" s="182"/>
      <c r="BR264" s="182"/>
      <c r="BS264" s="182"/>
      <c r="BT264" s="182"/>
      <c r="BU264" s="182"/>
      <c r="BV264" s="182"/>
      <c r="BW264" s="182"/>
      <c r="BX264" s="182"/>
      <c r="BY264" s="182"/>
      <c r="BZ264" s="182"/>
      <c r="CA264" s="182"/>
      <c r="CB264" s="185">
        <f t="shared" si="41"/>
        <v>30000</v>
      </c>
      <c r="CC264" s="185">
        <f t="shared" si="42"/>
        <v>0</v>
      </c>
      <c r="CD264" s="185">
        <f t="shared" si="43"/>
        <v>644</v>
      </c>
      <c r="CE264" s="185" t="e">
        <f>+#REF!</f>
        <v>#REF!</v>
      </c>
    </row>
    <row r="265" spans="2:83" s="197" customFormat="1" ht="56.25" x14ac:dyDescent="0.3">
      <c r="B265" s="182">
        <v>1768</v>
      </c>
      <c r="C265" s="182">
        <v>645</v>
      </c>
      <c r="D265" s="182" t="s">
        <v>4635</v>
      </c>
      <c r="E265" s="181" t="s">
        <v>4636</v>
      </c>
      <c r="F265" s="182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>
        <v>18923.95</v>
      </c>
      <c r="T265" s="182"/>
      <c r="U265" s="182"/>
      <c r="V265" s="182"/>
      <c r="W265" s="182"/>
      <c r="X265" s="182"/>
      <c r="Y265" s="182"/>
      <c r="Z265" s="182"/>
      <c r="AA265" s="182"/>
      <c r="AB265" s="182"/>
      <c r="AC265" s="182"/>
      <c r="AD265" s="182"/>
      <c r="AE265" s="182"/>
      <c r="AF265" s="182"/>
      <c r="AG265" s="182"/>
      <c r="AH265" s="182"/>
      <c r="AI265" s="182"/>
      <c r="AJ265" s="182"/>
      <c r="AK265" s="182"/>
      <c r="AL265" s="182"/>
      <c r="AM265" s="182"/>
      <c r="AN265" s="182"/>
      <c r="AO265" s="182"/>
      <c r="AP265" s="182"/>
      <c r="AQ265" s="185">
        <f t="shared" si="40"/>
        <v>18923.95</v>
      </c>
      <c r="AR265" s="182">
        <v>18923.95</v>
      </c>
      <c r="AS265" s="182"/>
      <c r="AT265" s="182"/>
      <c r="AU265" s="182"/>
      <c r="AV265" s="182"/>
      <c r="AW265" s="182"/>
      <c r="AX265" s="182"/>
      <c r="AY265" s="182"/>
      <c r="AZ265" s="182"/>
      <c r="BA265" s="182"/>
      <c r="BB265" s="182"/>
      <c r="BC265" s="182"/>
      <c r="BD265" s="182"/>
      <c r="BE265" s="182"/>
      <c r="BF265" s="182"/>
      <c r="BG265" s="182"/>
      <c r="BH265" s="182"/>
      <c r="BI265" s="182"/>
      <c r="BJ265" s="182"/>
      <c r="BK265" s="182"/>
      <c r="BL265" s="182"/>
      <c r="BM265" s="182"/>
      <c r="BN265" s="182"/>
      <c r="BO265" s="182"/>
      <c r="BP265" s="182"/>
      <c r="BQ265" s="182"/>
      <c r="BR265" s="182"/>
      <c r="BS265" s="182"/>
      <c r="BT265" s="182"/>
      <c r="BU265" s="182"/>
      <c r="BV265" s="182"/>
      <c r="BW265" s="182"/>
      <c r="BX265" s="182"/>
      <c r="BY265" s="182"/>
      <c r="BZ265" s="182"/>
      <c r="CA265" s="182"/>
      <c r="CB265" s="185">
        <f t="shared" si="41"/>
        <v>18923.95</v>
      </c>
      <c r="CC265" s="185">
        <f>SUM(CC94:CC264)</f>
        <v>0</v>
      </c>
      <c r="CD265" s="185">
        <f t="shared" si="43"/>
        <v>645</v>
      </c>
      <c r="CE265" s="185"/>
    </row>
    <row r="266" spans="2:83" s="197" customFormat="1" ht="56.25" x14ac:dyDescent="0.3">
      <c r="B266" s="182">
        <v>1767</v>
      </c>
      <c r="C266" s="182">
        <v>646</v>
      </c>
      <c r="D266" s="182" t="s">
        <v>121</v>
      </c>
      <c r="E266" s="181" t="s">
        <v>4636</v>
      </c>
      <c r="F266" s="182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>
        <v>103404.09</v>
      </c>
      <c r="T266" s="182"/>
      <c r="U266" s="182"/>
      <c r="V266" s="182"/>
      <c r="W266" s="182"/>
      <c r="X266" s="182"/>
      <c r="Y266" s="182"/>
      <c r="Z266" s="182"/>
      <c r="AA266" s="182"/>
      <c r="AB266" s="182"/>
      <c r="AC266" s="182"/>
      <c r="AD266" s="182"/>
      <c r="AE266" s="182"/>
      <c r="AF266" s="182"/>
      <c r="AG266" s="182"/>
      <c r="AH266" s="182"/>
      <c r="AI266" s="182"/>
      <c r="AJ266" s="182"/>
      <c r="AK266" s="182"/>
      <c r="AL266" s="182"/>
      <c r="AM266" s="182"/>
      <c r="AN266" s="182"/>
      <c r="AO266" s="182"/>
      <c r="AP266" s="182"/>
      <c r="AQ266" s="185">
        <f t="shared" si="40"/>
        <v>103404.09</v>
      </c>
      <c r="AR266" s="182">
        <v>103404.09</v>
      </c>
      <c r="AS266" s="182"/>
      <c r="AT266" s="182"/>
      <c r="AU266" s="182"/>
      <c r="AV266" s="182"/>
      <c r="AW266" s="182"/>
      <c r="AX266" s="182"/>
      <c r="AY266" s="182"/>
      <c r="AZ266" s="182"/>
      <c r="BA266" s="182"/>
      <c r="BB266" s="182"/>
      <c r="BC266" s="182"/>
      <c r="BD266" s="182"/>
      <c r="BE266" s="182"/>
      <c r="BF266" s="182"/>
      <c r="BG266" s="182"/>
      <c r="BH266" s="182"/>
      <c r="BI266" s="182"/>
      <c r="BJ266" s="182"/>
      <c r="BK266" s="182"/>
      <c r="BL266" s="182"/>
      <c r="BM266" s="182"/>
      <c r="BN266" s="182"/>
      <c r="BO266" s="182"/>
      <c r="BP266" s="182"/>
      <c r="BQ266" s="182"/>
      <c r="BR266" s="182"/>
      <c r="BS266" s="182"/>
      <c r="BT266" s="182"/>
      <c r="BU266" s="182"/>
      <c r="BV266" s="182"/>
      <c r="BW266" s="182"/>
      <c r="BX266" s="182"/>
      <c r="BY266" s="182"/>
      <c r="BZ266" s="182"/>
      <c r="CA266" s="182"/>
      <c r="CB266" s="185">
        <f t="shared" si="41"/>
        <v>103404.09</v>
      </c>
      <c r="CC266" s="185">
        <f>SUM(CC95:CC265)</f>
        <v>0</v>
      </c>
      <c r="CD266" s="185">
        <f t="shared" si="43"/>
        <v>646</v>
      </c>
      <c r="CE266" s="185"/>
    </row>
    <row r="267" spans="2:83" s="197" customFormat="1" ht="56.25" x14ac:dyDescent="0.3">
      <c r="B267" s="182">
        <v>1770</v>
      </c>
      <c r="C267" s="182">
        <v>647</v>
      </c>
      <c r="D267" s="182" t="s">
        <v>123</v>
      </c>
      <c r="E267" s="181" t="s">
        <v>4636</v>
      </c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>
        <v>593.25</v>
      </c>
      <c r="T267" s="182"/>
      <c r="U267" s="182"/>
      <c r="V267" s="182"/>
      <c r="W267" s="182"/>
      <c r="X267" s="182"/>
      <c r="Y267" s="182"/>
      <c r="Z267" s="182"/>
      <c r="AA267" s="182"/>
      <c r="AB267" s="182"/>
      <c r="AC267" s="182"/>
      <c r="AD267" s="182"/>
      <c r="AE267" s="182"/>
      <c r="AF267" s="182"/>
      <c r="AG267" s="182"/>
      <c r="AH267" s="182"/>
      <c r="AI267" s="182"/>
      <c r="AJ267" s="182"/>
      <c r="AK267" s="182"/>
      <c r="AL267" s="182"/>
      <c r="AM267" s="182"/>
      <c r="AN267" s="182"/>
      <c r="AO267" s="182"/>
      <c r="AP267" s="182"/>
      <c r="AQ267" s="185">
        <f t="shared" si="40"/>
        <v>593.25</v>
      </c>
      <c r="AR267" s="182">
        <v>593.25</v>
      </c>
      <c r="AS267" s="182"/>
      <c r="AT267" s="182"/>
      <c r="AU267" s="182"/>
      <c r="AV267" s="182"/>
      <c r="AW267" s="182"/>
      <c r="AX267" s="182"/>
      <c r="AY267" s="182"/>
      <c r="AZ267" s="182"/>
      <c r="BA267" s="182"/>
      <c r="BB267" s="182"/>
      <c r="BC267" s="182"/>
      <c r="BD267" s="182"/>
      <c r="BE267" s="182"/>
      <c r="BF267" s="182"/>
      <c r="BG267" s="182"/>
      <c r="BH267" s="182"/>
      <c r="BI267" s="182"/>
      <c r="BJ267" s="182"/>
      <c r="BK267" s="182"/>
      <c r="BL267" s="182"/>
      <c r="BM267" s="182"/>
      <c r="BN267" s="182"/>
      <c r="BO267" s="182"/>
      <c r="BP267" s="182"/>
      <c r="BQ267" s="182"/>
      <c r="BR267" s="182"/>
      <c r="BS267" s="182"/>
      <c r="BT267" s="182"/>
      <c r="BU267" s="182"/>
      <c r="BV267" s="182"/>
      <c r="BW267" s="182"/>
      <c r="BX267" s="182"/>
      <c r="BY267" s="182"/>
      <c r="BZ267" s="182"/>
      <c r="CA267" s="182"/>
      <c r="CB267" s="185">
        <f t="shared" si="41"/>
        <v>593.25</v>
      </c>
      <c r="CC267" s="185">
        <f>SUM(CC96:CC266)</f>
        <v>0</v>
      </c>
      <c r="CD267" s="185">
        <f t="shared" si="43"/>
        <v>647</v>
      </c>
      <c r="CE267" s="185"/>
    </row>
    <row r="268" spans="2:83" s="197" customFormat="1" ht="37.5" x14ac:dyDescent="0.3">
      <c r="B268" s="182">
        <v>810</v>
      </c>
      <c r="C268" s="182">
        <v>648</v>
      </c>
      <c r="D268" s="182" t="s">
        <v>130</v>
      </c>
      <c r="E268" s="181" t="s">
        <v>3827</v>
      </c>
      <c r="F268" s="182"/>
      <c r="G268" s="182"/>
      <c r="H268" s="182">
        <v>200</v>
      </c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2"/>
      <c r="AH268" s="182"/>
      <c r="AI268" s="182"/>
      <c r="AJ268" s="182"/>
      <c r="AK268" s="182"/>
      <c r="AL268" s="182"/>
      <c r="AM268" s="182"/>
      <c r="AN268" s="182"/>
      <c r="AO268" s="182"/>
      <c r="AP268" s="182"/>
      <c r="AQ268" s="185">
        <f t="shared" si="40"/>
        <v>200</v>
      </c>
      <c r="AR268" s="182">
        <v>200</v>
      </c>
      <c r="AS268" s="182"/>
      <c r="AT268" s="182"/>
      <c r="AU268" s="182"/>
      <c r="AV268" s="182"/>
      <c r="AW268" s="182"/>
      <c r="AX268" s="182"/>
      <c r="AY268" s="182"/>
      <c r="AZ268" s="182"/>
      <c r="BA268" s="182"/>
      <c r="BB268" s="182"/>
      <c r="BC268" s="182"/>
      <c r="BD268" s="182"/>
      <c r="BE268" s="182"/>
      <c r="BF268" s="182"/>
      <c r="BG268" s="182"/>
      <c r="BH268" s="182"/>
      <c r="BI268" s="182"/>
      <c r="BJ268" s="182"/>
      <c r="BK268" s="182"/>
      <c r="BL268" s="182"/>
      <c r="BM268" s="182"/>
      <c r="BN268" s="182"/>
      <c r="BO268" s="182"/>
      <c r="BP268" s="182"/>
      <c r="BQ268" s="182"/>
      <c r="BR268" s="182"/>
      <c r="BS268" s="182"/>
      <c r="BT268" s="182"/>
      <c r="BU268" s="182"/>
      <c r="BV268" s="182"/>
      <c r="BW268" s="182"/>
      <c r="BX268" s="182"/>
      <c r="BY268" s="182"/>
      <c r="BZ268" s="182"/>
      <c r="CA268" s="182"/>
      <c r="CB268" s="185">
        <f t="shared" si="41"/>
        <v>200</v>
      </c>
      <c r="CC268" s="185">
        <f>SUM(CC97:CC267)</f>
        <v>0</v>
      </c>
      <c r="CD268" s="185">
        <f t="shared" si="43"/>
        <v>648</v>
      </c>
      <c r="CE268" s="185"/>
    </row>
    <row r="269" spans="2:83" s="197" customFormat="1" ht="18.75" x14ac:dyDescent="0.3">
      <c r="B269" s="185"/>
      <c r="C269" s="185"/>
      <c r="D269" s="185"/>
      <c r="E269" s="184" t="s">
        <v>4637</v>
      </c>
      <c r="F269" s="185"/>
      <c r="G269" s="185">
        <f t="shared" ref="G269:AL269" si="44">SUM(G93:G268)</f>
        <v>1877865.2800000003</v>
      </c>
      <c r="H269" s="185">
        <f t="shared" si="44"/>
        <v>44956.75</v>
      </c>
      <c r="I269" s="185">
        <f t="shared" si="44"/>
        <v>0</v>
      </c>
      <c r="J269" s="185">
        <f t="shared" si="44"/>
        <v>0</v>
      </c>
      <c r="K269" s="185">
        <f t="shared" si="44"/>
        <v>0</v>
      </c>
      <c r="L269" s="185">
        <f t="shared" si="44"/>
        <v>0</v>
      </c>
      <c r="M269" s="185">
        <f t="shared" si="44"/>
        <v>0</v>
      </c>
      <c r="N269" s="185">
        <f t="shared" si="44"/>
        <v>0</v>
      </c>
      <c r="O269" s="185">
        <f t="shared" si="44"/>
        <v>30000</v>
      </c>
      <c r="P269" s="185">
        <f t="shared" si="44"/>
        <v>0</v>
      </c>
      <c r="Q269" s="185">
        <f t="shared" si="44"/>
        <v>0</v>
      </c>
      <c r="R269" s="185">
        <f t="shared" si="44"/>
        <v>0</v>
      </c>
      <c r="S269" s="185">
        <f t="shared" si="44"/>
        <v>286842.43</v>
      </c>
      <c r="T269" s="185">
        <f t="shared" si="44"/>
        <v>0</v>
      </c>
      <c r="U269" s="185">
        <f t="shared" si="44"/>
        <v>0</v>
      </c>
      <c r="V269" s="185">
        <f t="shared" si="44"/>
        <v>0</v>
      </c>
      <c r="W269" s="185">
        <f t="shared" si="44"/>
        <v>2106.7400000000002</v>
      </c>
      <c r="X269" s="185">
        <f t="shared" si="44"/>
        <v>0</v>
      </c>
      <c r="Y269" s="185">
        <f t="shared" si="44"/>
        <v>0</v>
      </c>
      <c r="Z269" s="185">
        <f t="shared" si="44"/>
        <v>0</v>
      </c>
      <c r="AA269" s="185">
        <f t="shared" si="44"/>
        <v>0</v>
      </c>
      <c r="AB269" s="185">
        <f t="shared" si="44"/>
        <v>0</v>
      </c>
      <c r="AC269" s="185">
        <f t="shared" si="44"/>
        <v>419.27</v>
      </c>
      <c r="AD269" s="185">
        <f t="shared" si="44"/>
        <v>0</v>
      </c>
      <c r="AE269" s="185">
        <f t="shared" si="44"/>
        <v>0</v>
      </c>
      <c r="AF269" s="185">
        <f t="shared" si="44"/>
        <v>0</v>
      </c>
      <c r="AG269" s="185">
        <f t="shared" si="44"/>
        <v>0</v>
      </c>
      <c r="AH269" s="185">
        <f t="shared" si="44"/>
        <v>0</v>
      </c>
      <c r="AI269" s="185">
        <f t="shared" si="44"/>
        <v>0</v>
      </c>
      <c r="AJ269" s="185">
        <f t="shared" si="44"/>
        <v>0</v>
      </c>
      <c r="AK269" s="185">
        <f t="shared" si="44"/>
        <v>0</v>
      </c>
      <c r="AL269" s="185">
        <f t="shared" si="44"/>
        <v>0</v>
      </c>
      <c r="AM269" s="185">
        <f t="shared" ref="AM269:BR269" si="45">SUM(AM93:AM268)</f>
        <v>0</v>
      </c>
      <c r="AN269" s="185">
        <f t="shared" si="45"/>
        <v>0</v>
      </c>
      <c r="AO269" s="185">
        <f t="shared" si="45"/>
        <v>0</v>
      </c>
      <c r="AP269" s="185">
        <f t="shared" si="45"/>
        <v>0</v>
      </c>
      <c r="AQ269" s="185">
        <f t="shared" si="45"/>
        <v>2242190.4700000007</v>
      </c>
      <c r="AR269" s="185">
        <f t="shared" si="45"/>
        <v>1843993.4900000002</v>
      </c>
      <c r="AS269" s="185">
        <f t="shared" si="45"/>
        <v>185340.06999999998</v>
      </c>
      <c r="AT269" s="185">
        <f t="shared" si="45"/>
        <v>182194.67000000004</v>
      </c>
      <c r="AU269" s="185">
        <f t="shared" si="45"/>
        <v>102.64000000000001</v>
      </c>
      <c r="AV269" s="185">
        <f t="shared" si="45"/>
        <v>0</v>
      </c>
      <c r="AW269" s="185">
        <f t="shared" si="45"/>
        <v>0</v>
      </c>
      <c r="AX269" s="185">
        <f t="shared" si="45"/>
        <v>0</v>
      </c>
      <c r="AY269" s="185">
        <f t="shared" si="45"/>
        <v>0</v>
      </c>
      <c r="AZ269" s="185">
        <f t="shared" si="45"/>
        <v>0</v>
      </c>
      <c r="BA269" s="185">
        <f t="shared" si="45"/>
        <v>0</v>
      </c>
      <c r="BB269" s="185">
        <f t="shared" si="45"/>
        <v>0</v>
      </c>
      <c r="BC269" s="185">
        <f t="shared" si="45"/>
        <v>0</v>
      </c>
      <c r="BD269" s="185">
        <f t="shared" si="45"/>
        <v>0</v>
      </c>
      <c r="BE269" s="185">
        <f t="shared" si="45"/>
        <v>382.8</v>
      </c>
      <c r="BF269" s="185">
        <f t="shared" si="45"/>
        <v>60</v>
      </c>
      <c r="BG269" s="185">
        <f t="shared" si="45"/>
        <v>116.8</v>
      </c>
      <c r="BH269" s="185">
        <f t="shared" si="45"/>
        <v>0</v>
      </c>
      <c r="BI269" s="185">
        <f t="shared" si="45"/>
        <v>0</v>
      </c>
      <c r="BJ269" s="185">
        <f t="shared" si="45"/>
        <v>0</v>
      </c>
      <c r="BK269" s="185">
        <f t="shared" si="45"/>
        <v>0</v>
      </c>
      <c r="BL269" s="185">
        <f t="shared" si="45"/>
        <v>0</v>
      </c>
      <c r="BM269" s="185">
        <f t="shared" si="45"/>
        <v>30000</v>
      </c>
      <c r="BN269" s="185">
        <f t="shared" si="45"/>
        <v>0</v>
      </c>
      <c r="BO269" s="185">
        <f t="shared" si="45"/>
        <v>0</v>
      </c>
      <c r="BP269" s="185">
        <f t="shared" si="45"/>
        <v>0</v>
      </c>
      <c r="BQ269" s="185">
        <f t="shared" si="45"/>
        <v>0</v>
      </c>
      <c r="BR269" s="185">
        <f t="shared" si="45"/>
        <v>0</v>
      </c>
      <c r="BS269" s="185">
        <f t="shared" ref="BS269:CC269" si="46">SUM(BS93:BS268)</f>
        <v>0</v>
      </c>
      <c r="BT269" s="185">
        <f t="shared" si="46"/>
        <v>0</v>
      </c>
      <c r="BU269" s="185">
        <f t="shared" si="46"/>
        <v>0</v>
      </c>
      <c r="BV269" s="185">
        <f t="shared" si="46"/>
        <v>0</v>
      </c>
      <c r="BW269" s="185">
        <f t="shared" si="46"/>
        <v>0</v>
      </c>
      <c r="BX269" s="185">
        <f t="shared" si="46"/>
        <v>0</v>
      </c>
      <c r="BY269" s="185">
        <f t="shared" si="46"/>
        <v>0</v>
      </c>
      <c r="BZ269" s="185">
        <f t="shared" si="46"/>
        <v>0</v>
      </c>
      <c r="CA269" s="185">
        <f t="shared" si="46"/>
        <v>0</v>
      </c>
      <c r="CB269" s="185">
        <f t="shared" si="46"/>
        <v>2242190.4700000007</v>
      </c>
      <c r="CC269" s="185">
        <f t="shared" si="46"/>
        <v>0</v>
      </c>
      <c r="CD269" s="185"/>
      <c r="CE269" s="185" t="e">
        <f>SUM(CE93:CE268)</f>
        <v>#REF!</v>
      </c>
    </row>
    <row r="270" spans="2:83" s="197" customFormat="1" ht="56.25" x14ac:dyDescent="0.3">
      <c r="B270" s="182">
        <v>1068</v>
      </c>
      <c r="C270" s="182">
        <v>649</v>
      </c>
      <c r="D270" s="182" t="s">
        <v>325</v>
      </c>
      <c r="E270" s="181" t="s">
        <v>4638</v>
      </c>
      <c r="F270" s="182"/>
      <c r="G270" s="182">
        <v>6840</v>
      </c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/>
      <c r="AK270" s="182"/>
      <c r="AL270" s="182"/>
      <c r="AM270" s="182"/>
      <c r="AN270" s="182"/>
      <c r="AO270" s="182"/>
      <c r="AP270" s="182"/>
      <c r="AQ270" s="185">
        <f t="shared" ref="AQ270:AQ301" si="47">SUM(G270:AP270)</f>
        <v>6840</v>
      </c>
      <c r="AR270" s="182">
        <v>6107.8</v>
      </c>
      <c r="AS270" s="182">
        <v>732.2</v>
      </c>
      <c r="AT270" s="182"/>
      <c r="AU270" s="182"/>
      <c r="AV270" s="182"/>
      <c r="AW270" s="182"/>
      <c r="AX270" s="182"/>
      <c r="AY270" s="182"/>
      <c r="AZ270" s="182"/>
      <c r="BA270" s="182"/>
      <c r="BB270" s="182"/>
      <c r="BC270" s="182"/>
      <c r="BD270" s="182"/>
      <c r="BE270" s="182"/>
      <c r="BF270" s="182"/>
      <c r="BG270" s="182"/>
      <c r="BH270" s="182"/>
      <c r="BI270" s="182"/>
      <c r="BJ270" s="182"/>
      <c r="BK270" s="182"/>
      <c r="BL270" s="182"/>
      <c r="BM270" s="182"/>
      <c r="BN270" s="182"/>
      <c r="BO270" s="182"/>
      <c r="BP270" s="182"/>
      <c r="BQ270" s="182"/>
      <c r="BR270" s="182"/>
      <c r="BS270" s="182"/>
      <c r="BT270" s="182"/>
      <c r="BU270" s="182"/>
      <c r="BV270" s="182"/>
      <c r="BW270" s="182"/>
      <c r="BX270" s="182"/>
      <c r="BY270" s="182"/>
      <c r="BZ270" s="182"/>
      <c r="CA270" s="182"/>
      <c r="CB270" s="185">
        <f t="shared" ref="CB270:CB301" si="48">SUM(AR270:CA270)</f>
        <v>6840</v>
      </c>
      <c r="CC270" s="185">
        <f t="shared" ref="CC270:CC301" si="49">+CB270-AQ270</f>
        <v>0</v>
      </c>
      <c r="CD270" s="185">
        <f t="shared" ref="CD270:CD301" si="50">+C270</f>
        <v>649</v>
      </c>
      <c r="CE270" s="185" t="e">
        <f>+#REF!</f>
        <v>#REF!</v>
      </c>
    </row>
    <row r="271" spans="2:83" s="197" customFormat="1" ht="75" x14ac:dyDescent="0.3">
      <c r="B271" s="182">
        <v>580</v>
      </c>
      <c r="C271" s="182">
        <v>650</v>
      </c>
      <c r="D271" s="182" t="s">
        <v>325</v>
      </c>
      <c r="E271" s="181" t="s">
        <v>4639</v>
      </c>
      <c r="F271" s="182"/>
      <c r="G271" s="182">
        <v>5760</v>
      </c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2"/>
      <c r="AH271" s="182"/>
      <c r="AI271" s="182"/>
      <c r="AJ271" s="182"/>
      <c r="AK271" s="182"/>
      <c r="AL271" s="182"/>
      <c r="AM271" s="182"/>
      <c r="AN271" s="182"/>
      <c r="AO271" s="182"/>
      <c r="AP271" s="182"/>
      <c r="AQ271" s="185">
        <f t="shared" si="47"/>
        <v>5760</v>
      </c>
      <c r="AR271" s="182">
        <v>5142.2</v>
      </c>
      <c r="AS271" s="182">
        <v>617.79999999999995</v>
      </c>
      <c r="AT271" s="182"/>
      <c r="AU271" s="182"/>
      <c r="AV271" s="182"/>
      <c r="AW271" s="182"/>
      <c r="AX271" s="182"/>
      <c r="AY271" s="182"/>
      <c r="AZ271" s="182"/>
      <c r="BA271" s="182"/>
      <c r="BB271" s="182"/>
      <c r="BC271" s="182"/>
      <c r="BD271" s="182"/>
      <c r="BE271" s="182"/>
      <c r="BF271" s="182"/>
      <c r="BG271" s="182"/>
      <c r="BH271" s="182"/>
      <c r="BI271" s="182"/>
      <c r="BJ271" s="182"/>
      <c r="BK271" s="182"/>
      <c r="BL271" s="182"/>
      <c r="BM271" s="182"/>
      <c r="BN271" s="182"/>
      <c r="BO271" s="182"/>
      <c r="BP271" s="182"/>
      <c r="BQ271" s="182"/>
      <c r="BR271" s="182"/>
      <c r="BS271" s="182"/>
      <c r="BT271" s="182"/>
      <c r="BU271" s="182"/>
      <c r="BV271" s="182"/>
      <c r="BW271" s="182"/>
      <c r="BX271" s="182"/>
      <c r="BY271" s="182"/>
      <c r="BZ271" s="182"/>
      <c r="CA271" s="182"/>
      <c r="CB271" s="185">
        <f t="shared" si="48"/>
        <v>5760</v>
      </c>
      <c r="CC271" s="185">
        <f t="shared" si="49"/>
        <v>0</v>
      </c>
      <c r="CD271" s="185">
        <f t="shared" si="50"/>
        <v>650</v>
      </c>
      <c r="CE271" s="185" t="e">
        <f>+#REF!</f>
        <v>#REF!</v>
      </c>
    </row>
    <row r="272" spans="2:83" s="197" customFormat="1" ht="37.5" x14ac:dyDescent="0.3">
      <c r="B272" s="187">
        <v>1169</v>
      </c>
      <c r="C272" s="187">
        <v>651</v>
      </c>
      <c r="D272" s="182" t="s">
        <v>325</v>
      </c>
      <c r="E272" s="181" t="s">
        <v>4640</v>
      </c>
      <c r="F272" s="182"/>
      <c r="G272" s="182">
        <v>24769.06</v>
      </c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182"/>
      <c r="AI272" s="182"/>
      <c r="AJ272" s="182"/>
      <c r="AK272" s="182"/>
      <c r="AL272" s="182"/>
      <c r="AM272" s="182"/>
      <c r="AN272" s="182"/>
      <c r="AO272" s="182"/>
      <c r="AP272" s="182"/>
      <c r="AQ272" s="185">
        <f t="shared" si="47"/>
        <v>24769.06</v>
      </c>
      <c r="AR272" s="182">
        <v>16557.400000000001</v>
      </c>
      <c r="AS272" s="182">
        <v>2243.8499999999995</v>
      </c>
      <c r="AT272" s="182">
        <v>5967.81</v>
      </c>
      <c r="AU272" s="182"/>
      <c r="AV272" s="182"/>
      <c r="AW272" s="182"/>
      <c r="AX272" s="182"/>
      <c r="AY272" s="182"/>
      <c r="AZ272" s="182"/>
      <c r="BA272" s="182"/>
      <c r="BB272" s="182"/>
      <c r="BC272" s="182"/>
      <c r="BD272" s="182"/>
      <c r="BE272" s="182"/>
      <c r="BF272" s="182"/>
      <c r="BG272" s="182"/>
      <c r="BH272" s="182"/>
      <c r="BI272" s="182"/>
      <c r="BJ272" s="182"/>
      <c r="BK272" s="182"/>
      <c r="BL272" s="182"/>
      <c r="BM272" s="182"/>
      <c r="BN272" s="182"/>
      <c r="BO272" s="182"/>
      <c r="BP272" s="182"/>
      <c r="BQ272" s="182"/>
      <c r="BR272" s="182"/>
      <c r="BS272" s="182"/>
      <c r="BT272" s="182"/>
      <c r="BU272" s="182"/>
      <c r="BV272" s="182"/>
      <c r="BW272" s="182"/>
      <c r="BX272" s="182"/>
      <c r="BY272" s="182"/>
      <c r="BZ272" s="182"/>
      <c r="CA272" s="182"/>
      <c r="CB272" s="185">
        <f t="shared" si="48"/>
        <v>24769.06</v>
      </c>
      <c r="CC272" s="185">
        <f t="shared" si="49"/>
        <v>0</v>
      </c>
      <c r="CD272" s="185">
        <f t="shared" si="50"/>
        <v>651</v>
      </c>
      <c r="CE272" s="185" t="e">
        <f>+#REF!</f>
        <v>#REF!</v>
      </c>
    </row>
    <row r="273" spans="2:83" s="197" customFormat="1" ht="37.5" x14ac:dyDescent="0.3">
      <c r="B273" s="187">
        <v>1170</v>
      </c>
      <c r="C273" s="187">
        <v>652</v>
      </c>
      <c r="D273" s="182" t="s">
        <v>325</v>
      </c>
      <c r="E273" s="181" t="s">
        <v>4640</v>
      </c>
      <c r="F273" s="182"/>
      <c r="G273" s="182">
        <v>68241.2</v>
      </c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182"/>
      <c r="AI273" s="182"/>
      <c r="AJ273" s="182"/>
      <c r="AK273" s="182"/>
      <c r="AL273" s="182"/>
      <c r="AM273" s="182"/>
      <c r="AN273" s="182"/>
      <c r="AO273" s="182"/>
      <c r="AP273" s="182"/>
      <c r="AQ273" s="185">
        <f t="shared" si="47"/>
        <v>68241.2</v>
      </c>
      <c r="AR273" s="182">
        <v>59434.06</v>
      </c>
      <c r="AS273" s="182">
        <v>7183.85</v>
      </c>
      <c r="AT273" s="182">
        <v>1623.29</v>
      </c>
      <c r="AU273" s="182"/>
      <c r="AV273" s="182"/>
      <c r="AW273" s="182"/>
      <c r="AX273" s="182"/>
      <c r="AY273" s="182"/>
      <c r="AZ273" s="182"/>
      <c r="BA273" s="182"/>
      <c r="BB273" s="182"/>
      <c r="BC273" s="182"/>
      <c r="BD273" s="182"/>
      <c r="BE273" s="182"/>
      <c r="BF273" s="182"/>
      <c r="BG273" s="182"/>
      <c r="BH273" s="182"/>
      <c r="BI273" s="182"/>
      <c r="BJ273" s="182"/>
      <c r="BK273" s="182"/>
      <c r="BL273" s="182"/>
      <c r="BM273" s="182"/>
      <c r="BN273" s="182"/>
      <c r="BO273" s="182"/>
      <c r="BP273" s="182"/>
      <c r="BQ273" s="182"/>
      <c r="BR273" s="182"/>
      <c r="BS273" s="182"/>
      <c r="BT273" s="182"/>
      <c r="BU273" s="182"/>
      <c r="BV273" s="182"/>
      <c r="BW273" s="182"/>
      <c r="BX273" s="182"/>
      <c r="BY273" s="182"/>
      <c r="BZ273" s="182"/>
      <c r="CA273" s="182"/>
      <c r="CB273" s="185">
        <f t="shared" si="48"/>
        <v>68241.2</v>
      </c>
      <c r="CC273" s="185">
        <f t="shared" si="49"/>
        <v>0</v>
      </c>
      <c r="CD273" s="185">
        <f t="shared" si="50"/>
        <v>652</v>
      </c>
      <c r="CE273" s="185" t="e">
        <f>+#REF!</f>
        <v>#REF!</v>
      </c>
    </row>
    <row r="274" spans="2:83" s="197" customFormat="1" ht="37.5" x14ac:dyDescent="0.3">
      <c r="B274" s="187">
        <v>1171</v>
      </c>
      <c r="C274" s="187">
        <v>653</v>
      </c>
      <c r="D274" s="182" t="s">
        <v>325</v>
      </c>
      <c r="E274" s="181" t="s">
        <v>4640</v>
      </c>
      <c r="F274" s="182"/>
      <c r="G274" s="182">
        <v>14191.16</v>
      </c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2"/>
      <c r="AH274" s="182"/>
      <c r="AI274" s="182"/>
      <c r="AJ274" s="182"/>
      <c r="AK274" s="182"/>
      <c r="AL274" s="182"/>
      <c r="AM274" s="182"/>
      <c r="AN274" s="182"/>
      <c r="AO274" s="182"/>
      <c r="AP274" s="182"/>
      <c r="AQ274" s="185">
        <f t="shared" si="47"/>
        <v>14191.16</v>
      </c>
      <c r="AR274" s="182">
        <v>12333.92</v>
      </c>
      <c r="AS274" s="182">
        <v>1462.3</v>
      </c>
      <c r="AT274" s="182">
        <v>394.94</v>
      </c>
      <c r="AU274" s="182"/>
      <c r="AV274" s="182"/>
      <c r="AW274" s="182"/>
      <c r="AX274" s="182"/>
      <c r="AY274" s="182"/>
      <c r="AZ274" s="182"/>
      <c r="BA274" s="182"/>
      <c r="BB274" s="182"/>
      <c r="BC274" s="182"/>
      <c r="BD274" s="182"/>
      <c r="BE274" s="182"/>
      <c r="BF274" s="182"/>
      <c r="BG274" s="182"/>
      <c r="BH274" s="182"/>
      <c r="BI274" s="182"/>
      <c r="BJ274" s="182"/>
      <c r="BK274" s="182"/>
      <c r="BL274" s="182"/>
      <c r="BM274" s="182"/>
      <c r="BN274" s="182"/>
      <c r="BO274" s="182"/>
      <c r="BP274" s="182"/>
      <c r="BQ274" s="182"/>
      <c r="BR274" s="182"/>
      <c r="BS274" s="182"/>
      <c r="BT274" s="182"/>
      <c r="BU274" s="182"/>
      <c r="BV274" s="182"/>
      <c r="BW274" s="182"/>
      <c r="BX274" s="182"/>
      <c r="BY274" s="182"/>
      <c r="BZ274" s="182"/>
      <c r="CA274" s="182"/>
      <c r="CB274" s="185">
        <f t="shared" si="48"/>
        <v>14191.16</v>
      </c>
      <c r="CC274" s="185">
        <f t="shared" si="49"/>
        <v>0</v>
      </c>
      <c r="CD274" s="185">
        <f t="shared" si="50"/>
        <v>653</v>
      </c>
      <c r="CE274" s="185" t="e">
        <f>+#REF!</f>
        <v>#REF!</v>
      </c>
    </row>
    <row r="275" spans="2:83" s="197" customFormat="1" ht="37.5" x14ac:dyDescent="0.3">
      <c r="B275" s="187">
        <v>1172</v>
      </c>
      <c r="C275" s="187">
        <v>654</v>
      </c>
      <c r="D275" s="182" t="s">
        <v>325</v>
      </c>
      <c r="E275" s="181" t="s">
        <v>4640</v>
      </c>
      <c r="F275" s="182"/>
      <c r="G275" s="182">
        <v>117.25</v>
      </c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182"/>
      <c r="AM275" s="182"/>
      <c r="AN275" s="182"/>
      <c r="AO275" s="182"/>
      <c r="AP275" s="182"/>
      <c r="AQ275" s="185">
        <f t="shared" si="47"/>
        <v>117.25</v>
      </c>
      <c r="AR275" s="182">
        <v>78.75</v>
      </c>
      <c r="AS275" s="182">
        <v>10.25</v>
      </c>
      <c r="AT275" s="182">
        <v>28.25</v>
      </c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182"/>
      <c r="BK275" s="182"/>
      <c r="BL275" s="182"/>
      <c r="BM275" s="182"/>
      <c r="BN275" s="182"/>
      <c r="BO275" s="182"/>
      <c r="BP275" s="182"/>
      <c r="BQ275" s="182"/>
      <c r="BR275" s="182"/>
      <c r="BS275" s="182"/>
      <c r="BT275" s="182"/>
      <c r="BU275" s="182"/>
      <c r="BV275" s="182"/>
      <c r="BW275" s="182"/>
      <c r="BX275" s="182"/>
      <c r="BY275" s="182"/>
      <c r="BZ275" s="182"/>
      <c r="CA275" s="182"/>
      <c r="CB275" s="185">
        <f t="shared" si="48"/>
        <v>117.25</v>
      </c>
      <c r="CC275" s="185">
        <f t="shared" si="49"/>
        <v>0</v>
      </c>
      <c r="CD275" s="185">
        <f t="shared" si="50"/>
        <v>654</v>
      </c>
      <c r="CE275" s="185" t="e">
        <f>+#REF!</f>
        <v>#REF!</v>
      </c>
    </row>
    <row r="276" spans="2:83" s="197" customFormat="1" ht="37.5" x14ac:dyDescent="0.3">
      <c r="B276" s="187">
        <v>1173</v>
      </c>
      <c r="C276" s="187">
        <v>655</v>
      </c>
      <c r="D276" s="182" t="s">
        <v>325</v>
      </c>
      <c r="E276" s="181" t="s">
        <v>4640</v>
      </c>
      <c r="F276" s="182"/>
      <c r="G276" s="182">
        <v>2989.88</v>
      </c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  <c r="AK276" s="182"/>
      <c r="AL276" s="182"/>
      <c r="AM276" s="182"/>
      <c r="AN276" s="182"/>
      <c r="AO276" s="182"/>
      <c r="AP276" s="182"/>
      <c r="AQ276" s="185">
        <f t="shared" si="47"/>
        <v>2989.88</v>
      </c>
      <c r="AR276" s="182">
        <v>1997.85</v>
      </c>
      <c r="AS276" s="182">
        <v>271.64999999999998</v>
      </c>
      <c r="AT276" s="182">
        <v>720.38</v>
      </c>
      <c r="AU276" s="182"/>
      <c r="AV276" s="182"/>
      <c r="AW276" s="182"/>
      <c r="AX276" s="182"/>
      <c r="AY276" s="182"/>
      <c r="AZ276" s="182"/>
      <c r="BA276" s="182"/>
      <c r="BB276" s="182"/>
      <c r="BC276" s="182"/>
      <c r="BD276" s="182"/>
      <c r="BE276" s="182"/>
      <c r="BF276" s="182"/>
      <c r="BG276" s="182"/>
      <c r="BH276" s="182"/>
      <c r="BI276" s="182"/>
      <c r="BJ276" s="182"/>
      <c r="BK276" s="182"/>
      <c r="BL276" s="182"/>
      <c r="BM276" s="182"/>
      <c r="BN276" s="182"/>
      <c r="BO276" s="182"/>
      <c r="BP276" s="182"/>
      <c r="BQ276" s="182"/>
      <c r="BR276" s="182"/>
      <c r="BS276" s="182"/>
      <c r="BT276" s="182"/>
      <c r="BU276" s="182"/>
      <c r="BV276" s="182"/>
      <c r="BW276" s="182"/>
      <c r="BX276" s="182"/>
      <c r="BY276" s="182"/>
      <c r="BZ276" s="182"/>
      <c r="CA276" s="182"/>
      <c r="CB276" s="185">
        <f t="shared" si="48"/>
        <v>2989.88</v>
      </c>
      <c r="CC276" s="185">
        <f t="shared" si="49"/>
        <v>0</v>
      </c>
      <c r="CD276" s="185">
        <f t="shared" si="50"/>
        <v>655</v>
      </c>
      <c r="CE276" s="185" t="e">
        <f>+#REF!</f>
        <v>#REF!</v>
      </c>
    </row>
    <row r="277" spans="2:83" s="197" customFormat="1" ht="37.5" x14ac:dyDescent="0.3">
      <c r="B277" s="187">
        <v>1174</v>
      </c>
      <c r="C277" s="187">
        <v>656</v>
      </c>
      <c r="D277" s="182" t="s">
        <v>325</v>
      </c>
      <c r="E277" s="181" t="s">
        <v>4640</v>
      </c>
      <c r="F277" s="182"/>
      <c r="G277" s="182">
        <v>117.25</v>
      </c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2"/>
      <c r="AH277" s="182"/>
      <c r="AI277" s="182"/>
      <c r="AJ277" s="182"/>
      <c r="AK277" s="182"/>
      <c r="AL277" s="182"/>
      <c r="AM277" s="182"/>
      <c r="AN277" s="182"/>
      <c r="AO277" s="182"/>
      <c r="AP277" s="182"/>
      <c r="AQ277" s="185">
        <f t="shared" si="47"/>
        <v>117.25</v>
      </c>
      <c r="AR277" s="182">
        <v>78.75</v>
      </c>
      <c r="AS277" s="182">
        <v>10.25</v>
      </c>
      <c r="AT277" s="182">
        <v>28.25</v>
      </c>
      <c r="AU277" s="182"/>
      <c r="AV277" s="182"/>
      <c r="AW277" s="182"/>
      <c r="AX277" s="182"/>
      <c r="AY277" s="182"/>
      <c r="AZ277" s="182"/>
      <c r="BA277" s="182"/>
      <c r="BB277" s="182"/>
      <c r="BC277" s="182"/>
      <c r="BD277" s="182"/>
      <c r="BE277" s="182"/>
      <c r="BF277" s="182"/>
      <c r="BG277" s="182"/>
      <c r="BH277" s="182"/>
      <c r="BI277" s="182"/>
      <c r="BJ277" s="182"/>
      <c r="BK277" s="182"/>
      <c r="BL277" s="182"/>
      <c r="BM277" s="182"/>
      <c r="BN277" s="182"/>
      <c r="BO277" s="182"/>
      <c r="BP277" s="182"/>
      <c r="BQ277" s="182"/>
      <c r="BR277" s="182"/>
      <c r="BS277" s="182"/>
      <c r="BT277" s="182"/>
      <c r="BU277" s="182"/>
      <c r="BV277" s="182"/>
      <c r="BW277" s="182"/>
      <c r="BX277" s="182"/>
      <c r="BY277" s="182"/>
      <c r="BZ277" s="182"/>
      <c r="CA277" s="182"/>
      <c r="CB277" s="185">
        <f t="shared" si="48"/>
        <v>117.25</v>
      </c>
      <c r="CC277" s="185">
        <f t="shared" si="49"/>
        <v>0</v>
      </c>
      <c r="CD277" s="185">
        <f t="shared" si="50"/>
        <v>656</v>
      </c>
      <c r="CE277" s="185" t="e">
        <f>+#REF!</f>
        <v>#REF!</v>
      </c>
    </row>
    <row r="278" spans="2:83" s="197" customFormat="1" ht="37.5" x14ac:dyDescent="0.3">
      <c r="B278" s="187">
        <v>1175</v>
      </c>
      <c r="C278" s="187">
        <v>657</v>
      </c>
      <c r="D278" s="182" t="s">
        <v>325</v>
      </c>
      <c r="E278" s="181" t="s">
        <v>4640</v>
      </c>
      <c r="F278" s="182"/>
      <c r="G278" s="182">
        <v>3515.16</v>
      </c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  <c r="AK278" s="182"/>
      <c r="AL278" s="182"/>
      <c r="AM278" s="182"/>
      <c r="AN278" s="182"/>
      <c r="AO278" s="182"/>
      <c r="AP278" s="182"/>
      <c r="AQ278" s="185">
        <f t="shared" si="47"/>
        <v>3515.16</v>
      </c>
      <c r="AR278" s="182">
        <v>2813.05</v>
      </c>
      <c r="AS278" s="182">
        <v>349.75</v>
      </c>
      <c r="AT278" s="182">
        <v>352.36</v>
      </c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182"/>
      <c r="BK278" s="182"/>
      <c r="BL278" s="182"/>
      <c r="BM278" s="182"/>
      <c r="BN278" s="182"/>
      <c r="BO278" s="182"/>
      <c r="BP278" s="182"/>
      <c r="BQ278" s="182"/>
      <c r="BR278" s="182"/>
      <c r="BS278" s="182"/>
      <c r="BT278" s="182"/>
      <c r="BU278" s="182"/>
      <c r="BV278" s="182"/>
      <c r="BW278" s="182"/>
      <c r="BX278" s="182"/>
      <c r="BY278" s="182"/>
      <c r="BZ278" s="182"/>
      <c r="CA278" s="182"/>
      <c r="CB278" s="185">
        <f t="shared" si="48"/>
        <v>3515.1600000000003</v>
      </c>
      <c r="CC278" s="185">
        <f t="shared" si="49"/>
        <v>0</v>
      </c>
      <c r="CD278" s="185">
        <f t="shared" si="50"/>
        <v>657</v>
      </c>
      <c r="CE278" s="185" t="e">
        <f>+#REF!</f>
        <v>#REF!</v>
      </c>
    </row>
    <row r="279" spans="2:83" s="197" customFormat="1" ht="37.5" x14ac:dyDescent="0.3">
      <c r="B279" s="182">
        <v>5694</v>
      </c>
      <c r="C279" s="182">
        <v>658</v>
      </c>
      <c r="D279" s="182" t="s">
        <v>325</v>
      </c>
      <c r="E279" s="181" t="s">
        <v>4641</v>
      </c>
      <c r="F279" s="182"/>
      <c r="G279" s="182">
        <v>1282.4100000000001</v>
      </c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  <c r="AK279" s="182"/>
      <c r="AL279" s="182"/>
      <c r="AM279" s="182"/>
      <c r="AN279" s="182"/>
      <c r="AO279" s="182"/>
      <c r="AP279" s="182"/>
      <c r="AQ279" s="185">
        <f t="shared" si="47"/>
        <v>1282.4100000000001</v>
      </c>
      <c r="AR279" s="182">
        <v>859.2</v>
      </c>
      <c r="AS279" s="182">
        <v>114.23</v>
      </c>
      <c r="AT279" s="182">
        <v>308.98</v>
      </c>
      <c r="AU279" s="182"/>
      <c r="AV279" s="182"/>
      <c r="AW279" s="182"/>
      <c r="AX279" s="182"/>
      <c r="AY279" s="182"/>
      <c r="AZ279" s="182"/>
      <c r="BA279" s="182"/>
      <c r="BB279" s="182"/>
      <c r="BC279" s="182"/>
      <c r="BD279" s="182"/>
      <c r="BE279" s="182"/>
      <c r="BF279" s="182"/>
      <c r="BG279" s="182"/>
      <c r="BH279" s="182"/>
      <c r="BI279" s="182"/>
      <c r="BJ279" s="182"/>
      <c r="BK279" s="182"/>
      <c r="BL279" s="182"/>
      <c r="BM279" s="182"/>
      <c r="BN279" s="182"/>
      <c r="BO279" s="182"/>
      <c r="BP279" s="182"/>
      <c r="BQ279" s="182"/>
      <c r="BR279" s="182"/>
      <c r="BS279" s="182"/>
      <c r="BT279" s="182"/>
      <c r="BU279" s="182"/>
      <c r="BV279" s="182"/>
      <c r="BW279" s="182"/>
      <c r="BX279" s="182"/>
      <c r="BY279" s="182"/>
      <c r="BZ279" s="182"/>
      <c r="CA279" s="182"/>
      <c r="CB279" s="185">
        <f t="shared" si="48"/>
        <v>1282.4100000000001</v>
      </c>
      <c r="CC279" s="185">
        <f t="shared" si="49"/>
        <v>0</v>
      </c>
      <c r="CD279" s="185">
        <f t="shared" si="50"/>
        <v>658</v>
      </c>
      <c r="CE279" s="185" t="e">
        <f>+#REF!</f>
        <v>#REF!</v>
      </c>
    </row>
    <row r="280" spans="2:83" s="197" customFormat="1" ht="37.5" x14ac:dyDescent="0.3">
      <c r="B280" s="187">
        <v>1262</v>
      </c>
      <c r="C280" s="187">
        <v>659</v>
      </c>
      <c r="D280" s="182" t="s">
        <v>325</v>
      </c>
      <c r="E280" s="181" t="s">
        <v>4641</v>
      </c>
      <c r="F280" s="182"/>
      <c r="G280" s="182">
        <v>403.05</v>
      </c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  <c r="Z280" s="182"/>
      <c r="AA280" s="182"/>
      <c r="AB280" s="182"/>
      <c r="AC280" s="182"/>
      <c r="AD280" s="182"/>
      <c r="AE280" s="182"/>
      <c r="AF280" s="182"/>
      <c r="AG280" s="182"/>
      <c r="AH280" s="182"/>
      <c r="AI280" s="182"/>
      <c r="AJ280" s="182"/>
      <c r="AK280" s="182"/>
      <c r="AL280" s="182"/>
      <c r="AM280" s="182"/>
      <c r="AN280" s="182"/>
      <c r="AO280" s="182"/>
      <c r="AP280" s="182"/>
      <c r="AQ280" s="185">
        <f t="shared" si="47"/>
        <v>403.05</v>
      </c>
      <c r="AR280" s="182">
        <v>269.85000000000002</v>
      </c>
      <c r="AS280" s="182">
        <v>36.08</v>
      </c>
      <c r="AT280" s="182">
        <v>97.12</v>
      </c>
      <c r="AU280" s="182"/>
      <c r="AV280" s="182"/>
      <c r="AW280" s="182"/>
      <c r="AX280" s="182"/>
      <c r="AY280" s="182"/>
      <c r="AZ280" s="182"/>
      <c r="BA280" s="182"/>
      <c r="BB280" s="182"/>
      <c r="BC280" s="182"/>
      <c r="BD280" s="182"/>
      <c r="BE280" s="182"/>
      <c r="BF280" s="182"/>
      <c r="BG280" s="182"/>
      <c r="BH280" s="182"/>
      <c r="BI280" s="182"/>
      <c r="BJ280" s="182"/>
      <c r="BK280" s="182"/>
      <c r="BL280" s="182"/>
      <c r="BM280" s="182"/>
      <c r="BN280" s="182"/>
      <c r="BO280" s="182"/>
      <c r="BP280" s="182"/>
      <c r="BQ280" s="182"/>
      <c r="BR280" s="182"/>
      <c r="BS280" s="182"/>
      <c r="BT280" s="182"/>
      <c r="BU280" s="182"/>
      <c r="BV280" s="182"/>
      <c r="BW280" s="182"/>
      <c r="BX280" s="182"/>
      <c r="BY280" s="182"/>
      <c r="BZ280" s="182"/>
      <c r="CA280" s="182"/>
      <c r="CB280" s="185">
        <f t="shared" si="48"/>
        <v>403.05</v>
      </c>
      <c r="CC280" s="185">
        <f t="shared" si="49"/>
        <v>0</v>
      </c>
      <c r="CD280" s="185">
        <f t="shared" si="50"/>
        <v>659</v>
      </c>
      <c r="CE280" s="185" t="e">
        <f>+#REF!</f>
        <v>#REF!</v>
      </c>
    </row>
    <row r="281" spans="2:83" s="197" customFormat="1" ht="37.5" x14ac:dyDescent="0.3">
      <c r="B281" s="182">
        <v>1263</v>
      </c>
      <c r="C281" s="182">
        <v>660</v>
      </c>
      <c r="D281" s="182" t="s">
        <v>325</v>
      </c>
      <c r="E281" s="181" t="s">
        <v>4641</v>
      </c>
      <c r="F281" s="182"/>
      <c r="G281" s="182">
        <v>683.95</v>
      </c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182"/>
      <c r="AM281" s="182"/>
      <c r="AN281" s="182"/>
      <c r="AO281" s="182"/>
      <c r="AP281" s="182"/>
      <c r="AQ281" s="185">
        <f t="shared" si="47"/>
        <v>683.95</v>
      </c>
      <c r="AR281" s="182">
        <v>457.54</v>
      </c>
      <c r="AS281" s="182">
        <v>61.63</v>
      </c>
      <c r="AT281" s="182">
        <v>164.78</v>
      </c>
      <c r="AU281" s="182"/>
      <c r="AV281" s="182"/>
      <c r="AW281" s="182"/>
      <c r="AX281" s="182"/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/>
      <c r="BI281" s="182"/>
      <c r="BJ281" s="182"/>
      <c r="BK281" s="182"/>
      <c r="BL281" s="182"/>
      <c r="BM281" s="182"/>
      <c r="BN281" s="182"/>
      <c r="BO281" s="182"/>
      <c r="BP281" s="182"/>
      <c r="BQ281" s="182"/>
      <c r="BR281" s="182"/>
      <c r="BS281" s="182"/>
      <c r="BT281" s="182"/>
      <c r="BU281" s="182"/>
      <c r="BV281" s="182"/>
      <c r="BW281" s="182"/>
      <c r="BX281" s="182"/>
      <c r="BY281" s="182"/>
      <c r="BZ281" s="182"/>
      <c r="CA281" s="182"/>
      <c r="CB281" s="185">
        <f t="shared" si="48"/>
        <v>683.95</v>
      </c>
      <c r="CC281" s="185">
        <f t="shared" si="49"/>
        <v>0</v>
      </c>
      <c r="CD281" s="185">
        <f t="shared" si="50"/>
        <v>660</v>
      </c>
      <c r="CE281" s="185" t="e">
        <f>+#REF!</f>
        <v>#REF!</v>
      </c>
    </row>
    <row r="282" spans="2:83" s="197" customFormat="1" ht="37.5" x14ac:dyDescent="0.3">
      <c r="B282" s="187">
        <v>1260</v>
      </c>
      <c r="C282" s="187">
        <v>661</v>
      </c>
      <c r="D282" s="182" t="s">
        <v>325</v>
      </c>
      <c r="E282" s="181" t="s">
        <v>4641</v>
      </c>
      <c r="F282" s="182"/>
      <c r="G282" s="182">
        <v>2475.34</v>
      </c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  <c r="AK282" s="182"/>
      <c r="AL282" s="182"/>
      <c r="AM282" s="182"/>
      <c r="AN282" s="182"/>
      <c r="AO282" s="182"/>
      <c r="AP282" s="182"/>
      <c r="AQ282" s="185">
        <f t="shared" si="47"/>
        <v>2475.34</v>
      </c>
      <c r="AR282" s="182">
        <v>1827.38</v>
      </c>
      <c r="AS282" s="182">
        <v>234.28</v>
      </c>
      <c r="AT282" s="182">
        <v>413.68</v>
      </c>
      <c r="AU282" s="182"/>
      <c r="AV282" s="182"/>
      <c r="AW282" s="182"/>
      <c r="AX282" s="182"/>
      <c r="AY282" s="182"/>
      <c r="AZ282" s="182"/>
      <c r="BA282" s="182"/>
      <c r="BB282" s="182"/>
      <c r="BC282" s="182"/>
      <c r="BD282" s="182"/>
      <c r="BE282" s="182"/>
      <c r="BF282" s="182"/>
      <c r="BG282" s="182"/>
      <c r="BH282" s="182"/>
      <c r="BI282" s="182"/>
      <c r="BJ282" s="182"/>
      <c r="BK282" s="182"/>
      <c r="BL282" s="182"/>
      <c r="BM282" s="182"/>
      <c r="BN282" s="182"/>
      <c r="BO282" s="182"/>
      <c r="BP282" s="182"/>
      <c r="BQ282" s="182"/>
      <c r="BR282" s="182"/>
      <c r="BS282" s="182"/>
      <c r="BT282" s="182"/>
      <c r="BU282" s="182"/>
      <c r="BV282" s="182"/>
      <c r="BW282" s="182"/>
      <c r="BX282" s="182"/>
      <c r="BY282" s="182"/>
      <c r="BZ282" s="182"/>
      <c r="CA282" s="182"/>
      <c r="CB282" s="185">
        <f t="shared" si="48"/>
        <v>2475.34</v>
      </c>
      <c r="CC282" s="185">
        <f t="shared" si="49"/>
        <v>0</v>
      </c>
      <c r="CD282" s="185">
        <f t="shared" si="50"/>
        <v>661</v>
      </c>
      <c r="CE282" s="185" t="e">
        <f>+#REF!</f>
        <v>#REF!</v>
      </c>
    </row>
    <row r="283" spans="2:83" s="197" customFormat="1" ht="37.5" x14ac:dyDescent="0.3">
      <c r="B283" s="182">
        <v>1267</v>
      </c>
      <c r="C283" s="182">
        <v>662</v>
      </c>
      <c r="D283" s="182" t="s">
        <v>325</v>
      </c>
      <c r="E283" s="181" t="s">
        <v>4641</v>
      </c>
      <c r="F283" s="182"/>
      <c r="G283" s="182">
        <v>219.84</v>
      </c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  <c r="Z283" s="182"/>
      <c r="AA283" s="182"/>
      <c r="AB283" s="182"/>
      <c r="AC283" s="182"/>
      <c r="AD283" s="182"/>
      <c r="AE283" s="182"/>
      <c r="AF283" s="182"/>
      <c r="AG283" s="182"/>
      <c r="AH283" s="182"/>
      <c r="AI283" s="182"/>
      <c r="AJ283" s="182"/>
      <c r="AK283" s="182"/>
      <c r="AL283" s="182"/>
      <c r="AM283" s="182"/>
      <c r="AN283" s="182"/>
      <c r="AO283" s="182"/>
      <c r="AP283" s="182"/>
      <c r="AQ283" s="185">
        <f t="shared" si="47"/>
        <v>219.84</v>
      </c>
      <c r="AR283" s="182">
        <v>147.41</v>
      </c>
      <c r="AS283" s="182">
        <v>19.45</v>
      </c>
      <c r="AT283" s="182">
        <v>52.98</v>
      </c>
      <c r="AU283" s="182"/>
      <c r="AV283" s="182"/>
      <c r="AW283" s="182"/>
      <c r="AX283" s="182"/>
      <c r="AY283" s="182"/>
      <c r="AZ283" s="182"/>
      <c r="BA283" s="182"/>
      <c r="BB283" s="182"/>
      <c r="BC283" s="182"/>
      <c r="BD283" s="182"/>
      <c r="BE283" s="182"/>
      <c r="BF283" s="182"/>
      <c r="BG283" s="182"/>
      <c r="BH283" s="182"/>
      <c r="BI283" s="182"/>
      <c r="BJ283" s="182"/>
      <c r="BK283" s="182"/>
      <c r="BL283" s="182"/>
      <c r="BM283" s="182"/>
      <c r="BN283" s="182"/>
      <c r="BO283" s="182"/>
      <c r="BP283" s="182"/>
      <c r="BQ283" s="182"/>
      <c r="BR283" s="182"/>
      <c r="BS283" s="182"/>
      <c r="BT283" s="182"/>
      <c r="BU283" s="182"/>
      <c r="BV283" s="182"/>
      <c r="BW283" s="182"/>
      <c r="BX283" s="182"/>
      <c r="BY283" s="182"/>
      <c r="BZ283" s="182"/>
      <c r="CA283" s="182"/>
      <c r="CB283" s="185">
        <f t="shared" si="48"/>
        <v>219.83999999999997</v>
      </c>
      <c r="CC283" s="185">
        <f t="shared" si="49"/>
        <v>0</v>
      </c>
      <c r="CD283" s="185">
        <f t="shared" si="50"/>
        <v>662</v>
      </c>
      <c r="CE283" s="185" t="e">
        <f>+#REF!</f>
        <v>#REF!</v>
      </c>
    </row>
    <row r="284" spans="2:83" s="197" customFormat="1" ht="37.5" x14ac:dyDescent="0.3">
      <c r="B284" s="187">
        <v>1259</v>
      </c>
      <c r="C284" s="187">
        <v>663</v>
      </c>
      <c r="D284" s="182" t="s">
        <v>325</v>
      </c>
      <c r="E284" s="181" t="s">
        <v>4641</v>
      </c>
      <c r="F284" s="182"/>
      <c r="G284" s="182">
        <v>21755</v>
      </c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  <c r="AK284" s="182"/>
      <c r="AL284" s="182"/>
      <c r="AM284" s="182"/>
      <c r="AN284" s="182"/>
      <c r="AO284" s="182"/>
      <c r="AP284" s="182"/>
      <c r="AQ284" s="185">
        <f t="shared" si="47"/>
        <v>21755</v>
      </c>
      <c r="AR284" s="182">
        <v>16184.75</v>
      </c>
      <c r="AS284" s="182">
        <v>2090.5300000000002</v>
      </c>
      <c r="AT284" s="182">
        <v>3479.72</v>
      </c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182"/>
      <c r="BK284" s="182"/>
      <c r="BL284" s="182"/>
      <c r="BM284" s="182"/>
      <c r="BN284" s="182"/>
      <c r="BO284" s="182"/>
      <c r="BP284" s="182"/>
      <c r="BQ284" s="182"/>
      <c r="BR284" s="182"/>
      <c r="BS284" s="182"/>
      <c r="BT284" s="182"/>
      <c r="BU284" s="182"/>
      <c r="BV284" s="182"/>
      <c r="BW284" s="182"/>
      <c r="BX284" s="182"/>
      <c r="BY284" s="182"/>
      <c r="BZ284" s="182"/>
      <c r="CA284" s="182"/>
      <c r="CB284" s="185">
        <f t="shared" si="48"/>
        <v>21755</v>
      </c>
      <c r="CC284" s="185">
        <f t="shared" si="49"/>
        <v>0</v>
      </c>
      <c r="CD284" s="185">
        <f t="shared" si="50"/>
        <v>663</v>
      </c>
      <c r="CE284" s="185" t="e">
        <f>+#REF!</f>
        <v>#REF!</v>
      </c>
    </row>
    <row r="285" spans="2:83" s="197" customFormat="1" ht="37.5" x14ac:dyDescent="0.3">
      <c r="B285" s="182">
        <v>1257</v>
      </c>
      <c r="C285" s="182">
        <v>664</v>
      </c>
      <c r="D285" s="182" t="s">
        <v>325</v>
      </c>
      <c r="E285" s="181" t="s">
        <v>4641</v>
      </c>
      <c r="F285" s="182"/>
      <c r="G285" s="182">
        <v>3883.9</v>
      </c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  <c r="AK285" s="182"/>
      <c r="AL285" s="182"/>
      <c r="AM285" s="182"/>
      <c r="AN285" s="182"/>
      <c r="AO285" s="182"/>
      <c r="AP285" s="182"/>
      <c r="AQ285" s="185">
        <f t="shared" si="47"/>
        <v>3883.9</v>
      </c>
      <c r="AR285" s="182">
        <v>2597.11</v>
      </c>
      <c r="AS285" s="182">
        <v>351</v>
      </c>
      <c r="AT285" s="182">
        <v>935.79</v>
      </c>
      <c r="AU285" s="182"/>
      <c r="AV285" s="182"/>
      <c r="AW285" s="182"/>
      <c r="AX285" s="182"/>
      <c r="AY285" s="182"/>
      <c r="AZ285" s="182"/>
      <c r="BA285" s="182"/>
      <c r="BB285" s="182"/>
      <c r="BC285" s="182"/>
      <c r="BD285" s="182"/>
      <c r="BE285" s="182"/>
      <c r="BF285" s="182"/>
      <c r="BG285" s="182"/>
      <c r="BH285" s="182"/>
      <c r="BI285" s="182"/>
      <c r="BJ285" s="182"/>
      <c r="BK285" s="182"/>
      <c r="BL285" s="182"/>
      <c r="BM285" s="182"/>
      <c r="BN285" s="182"/>
      <c r="BO285" s="182"/>
      <c r="BP285" s="182"/>
      <c r="BQ285" s="182"/>
      <c r="BR285" s="182"/>
      <c r="BS285" s="182"/>
      <c r="BT285" s="182"/>
      <c r="BU285" s="182"/>
      <c r="BV285" s="182"/>
      <c r="BW285" s="182"/>
      <c r="BX285" s="182"/>
      <c r="BY285" s="182"/>
      <c r="BZ285" s="182"/>
      <c r="CA285" s="182"/>
      <c r="CB285" s="185">
        <f t="shared" si="48"/>
        <v>3883.9</v>
      </c>
      <c r="CC285" s="185">
        <f t="shared" si="49"/>
        <v>0</v>
      </c>
      <c r="CD285" s="185">
        <f t="shared" si="50"/>
        <v>664</v>
      </c>
      <c r="CE285" s="185" t="e">
        <f>+#REF!</f>
        <v>#REF!</v>
      </c>
    </row>
    <row r="286" spans="2:83" s="197" customFormat="1" ht="37.5" x14ac:dyDescent="0.3">
      <c r="B286" s="187">
        <v>1258</v>
      </c>
      <c r="C286" s="187">
        <v>665</v>
      </c>
      <c r="D286" s="182" t="s">
        <v>325</v>
      </c>
      <c r="E286" s="181" t="s">
        <v>4641</v>
      </c>
      <c r="F286" s="182"/>
      <c r="G286" s="182">
        <v>439.68</v>
      </c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  <c r="Z286" s="182"/>
      <c r="AA286" s="182"/>
      <c r="AB286" s="182"/>
      <c r="AC286" s="182"/>
      <c r="AD286" s="182"/>
      <c r="AE286" s="182"/>
      <c r="AF286" s="182"/>
      <c r="AG286" s="182"/>
      <c r="AH286" s="182"/>
      <c r="AI286" s="182"/>
      <c r="AJ286" s="182"/>
      <c r="AK286" s="182"/>
      <c r="AL286" s="182"/>
      <c r="AM286" s="182"/>
      <c r="AN286" s="182"/>
      <c r="AO286" s="182"/>
      <c r="AP286" s="182"/>
      <c r="AQ286" s="185">
        <f t="shared" si="47"/>
        <v>439.68</v>
      </c>
      <c r="AR286" s="182">
        <v>294.82</v>
      </c>
      <c r="AS286" s="182">
        <v>38.9</v>
      </c>
      <c r="AT286" s="182">
        <v>105.96</v>
      </c>
      <c r="AU286" s="182"/>
      <c r="AV286" s="182"/>
      <c r="AW286" s="182"/>
      <c r="AX286" s="182"/>
      <c r="AY286" s="182"/>
      <c r="AZ286" s="182"/>
      <c r="BA286" s="182"/>
      <c r="BB286" s="182"/>
      <c r="BC286" s="182"/>
      <c r="BD286" s="182"/>
      <c r="BE286" s="182"/>
      <c r="BF286" s="182"/>
      <c r="BG286" s="182"/>
      <c r="BH286" s="182"/>
      <c r="BI286" s="182"/>
      <c r="BJ286" s="182"/>
      <c r="BK286" s="182"/>
      <c r="BL286" s="182"/>
      <c r="BM286" s="182"/>
      <c r="BN286" s="182"/>
      <c r="BO286" s="182"/>
      <c r="BP286" s="182"/>
      <c r="BQ286" s="182"/>
      <c r="BR286" s="182"/>
      <c r="BS286" s="182"/>
      <c r="BT286" s="182"/>
      <c r="BU286" s="182"/>
      <c r="BV286" s="182"/>
      <c r="BW286" s="182"/>
      <c r="BX286" s="182"/>
      <c r="BY286" s="182"/>
      <c r="BZ286" s="182"/>
      <c r="CA286" s="182"/>
      <c r="CB286" s="185">
        <f t="shared" si="48"/>
        <v>439.67999999999995</v>
      </c>
      <c r="CC286" s="185">
        <f t="shared" si="49"/>
        <v>0</v>
      </c>
      <c r="CD286" s="185">
        <f t="shared" si="50"/>
        <v>665</v>
      </c>
      <c r="CE286" s="185" t="e">
        <f>+#REF!</f>
        <v>#REF!</v>
      </c>
    </row>
    <row r="287" spans="2:83" s="197" customFormat="1" ht="37.5" x14ac:dyDescent="0.3">
      <c r="B287" s="182">
        <v>1256</v>
      </c>
      <c r="C287" s="182">
        <v>666</v>
      </c>
      <c r="D287" s="182" t="s">
        <v>325</v>
      </c>
      <c r="E287" s="181" t="s">
        <v>4641</v>
      </c>
      <c r="F287" s="182"/>
      <c r="G287" s="182">
        <v>4500</v>
      </c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  <c r="AK287" s="182"/>
      <c r="AL287" s="182"/>
      <c r="AM287" s="182"/>
      <c r="AN287" s="182"/>
      <c r="AO287" s="182"/>
      <c r="AP287" s="182"/>
      <c r="AQ287" s="185">
        <f t="shared" si="47"/>
        <v>4500</v>
      </c>
      <c r="AR287" s="182">
        <v>4017</v>
      </c>
      <c r="AS287" s="182">
        <v>483</v>
      </c>
      <c r="AT287" s="182"/>
      <c r="AU287" s="182"/>
      <c r="AV287" s="182"/>
      <c r="AW287" s="182"/>
      <c r="AX287" s="182"/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/>
      <c r="BJ287" s="182"/>
      <c r="BK287" s="182"/>
      <c r="BL287" s="182"/>
      <c r="BM287" s="182"/>
      <c r="BN287" s="182"/>
      <c r="BO287" s="182"/>
      <c r="BP287" s="182"/>
      <c r="BQ287" s="182"/>
      <c r="BR287" s="182"/>
      <c r="BS287" s="182"/>
      <c r="BT287" s="182"/>
      <c r="BU287" s="182"/>
      <c r="BV287" s="182"/>
      <c r="BW287" s="182"/>
      <c r="BX287" s="182"/>
      <c r="BY287" s="182"/>
      <c r="BZ287" s="182"/>
      <c r="CA287" s="182"/>
      <c r="CB287" s="185">
        <f t="shared" si="48"/>
        <v>4500</v>
      </c>
      <c r="CC287" s="185">
        <f t="shared" si="49"/>
        <v>0</v>
      </c>
      <c r="CD287" s="185">
        <f t="shared" si="50"/>
        <v>666</v>
      </c>
      <c r="CE287" s="185" t="e">
        <f>+#REF!</f>
        <v>#REF!</v>
      </c>
    </row>
    <row r="288" spans="2:83" s="197" customFormat="1" ht="37.5" x14ac:dyDescent="0.3">
      <c r="B288" s="187">
        <v>1255</v>
      </c>
      <c r="C288" s="187">
        <v>667</v>
      </c>
      <c r="D288" s="182" t="s">
        <v>325</v>
      </c>
      <c r="E288" s="181" t="s">
        <v>4641</v>
      </c>
      <c r="F288" s="182"/>
      <c r="G288" s="182">
        <v>7664.22</v>
      </c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  <c r="AK288" s="182"/>
      <c r="AL288" s="182"/>
      <c r="AM288" s="182"/>
      <c r="AN288" s="182"/>
      <c r="AO288" s="182"/>
      <c r="AP288" s="182"/>
      <c r="AQ288" s="185">
        <f t="shared" si="47"/>
        <v>7664.22</v>
      </c>
      <c r="AR288" s="182">
        <v>5543.66</v>
      </c>
      <c r="AS288" s="182">
        <v>725.7</v>
      </c>
      <c r="AT288" s="182">
        <v>1394.86</v>
      </c>
      <c r="AU288" s="182"/>
      <c r="AV288" s="182"/>
      <c r="AW288" s="182"/>
      <c r="AX288" s="182"/>
      <c r="AY288" s="182"/>
      <c r="AZ288" s="182"/>
      <c r="BA288" s="182"/>
      <c r="BB288" s="182"/>
      <c r="BC288" s="182"/>
      <c r="BD288" s="182"/>
      <c r="BE288" s="182"/>
      <c r="BF288" s="182"/>
      <c r="BG288" s="182"/>
      <c r="BH288" s="182"/>
      <c r="BI288" s="182"/>
      <c r="BJ288" s="182"/>
      <c r="BK288" s="182"/>
      <c r="BL288" s="182"/>
      <c r="BM288" s="182"/>
      <c r="BN288" s="182"/>
      <c r="BO288" s="182"/>
      <c r="BP288" s="182"/>
      <c r="BQ288" s="182"/>
      <c r="BR288" s="182"/>
      <c r="BS288" s="182"/>
      <c r="BT288" s="182"/>
      <c r="BU288" s="182"/>
      <c r="BV288" s="182"/>
      <c r="BW288" s="182"/>
      <c r="BX288" s="182"/>
      <c r="BY288" s="182"/>
      <c r="BZ288" s="182"/>
      <c r="CA288" s="182"/>
      <c r="CB288" s="185">
        <f t="shared" si="48"/>
        <v>7664.2199999999993</v>
      </c>
      <c r="CC288" s="185">
        <f t="shared" si="49"/>
        <v>0</v>
      </c>
      <c r="CD288" s="185">
        <f t="shared" si="50"/>
        <v>667</v>
      </c>
      <c r="CE288" s="185" t="e">
        <f>+#REF!</f>
        <v>#REF!</v>
      </c>
    </row>
    <row r="289" spans="2:83" s="197" customFormat="1" ht="37.5" x14ac:dyDescent="0.3">
      <c r="B289" s="182">
        <v>1254</v>
      </c>
      <c r="C289" s="182">
        <v>668</v>
      </c>
      <c r="D289" s="182" t="s">
        <v>325</v>
      </c>
      <c r="E289" s="181" t="s">
        <v>4641</v>
      </c>
      <c r="F289" s="182"/>
      <c r="G289" s="182">
        <v>3468.64</v>
      </c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  <c r="Z289" s="182"/>
      <c r="AA289" s="182"/>
      <c r="AB289" s="182"/>
      <c r="AC289" s="182"/>
      <c r="AD289" s="182"/>
      <c r="AE289" s="182"/>
      <c r="AF289" s="182"/>
      <c r="AG289" s="182"/>
      <c r="AH289" s="182"/>
      <c r="AI289" s="182"/>
      <c r="AJ289" s="182"/>
      <c r="AK289" s="182"/>
      <c r="AL289" s="182"/>
      <c r="AM289" s="182"/>
      <c r="AN289" s="182"/>
      <c r="AO289" s="182"/>
      <c r="AP289" s="182"/>
      <c r="AQ289" s="185">
        <f t="shared" si="47"/>
        <v>3468.64</v>
      </c>
      <c r="AR289" s="182">
        <v>2319.14</v>
      </c>
      <c r="AS289" s="182">
        <v>313.77999999999997</v>
      </c>
      <c r="AT289" s="182">
        <v>835.72</v>
      </c>
      <c r="AU289" s="182"/>
      <c r="AV289" s="182"/>
      <c r="AW289" s="182"/>
      <c r="AX289" s="182"/>
      <c r="AY289" s="182"/>
      <c r="AZ289" s="182"/>
      <c r="BA289" s="182"/>
      <c r="BB289" s="182"/>
      <c r="BC289" s="182"/>
      <c r="BD289" s="182"/>
      <c r="BE289" s="182"/>
      <c r="BF289" s="182"/>
      <c r="BG289" s="182"/>
      <c r="BH289" s="182"/>
      <c r="BI289" s="182"/>
      <c r="BJ289" s="182"/>
      <c r="BK289" s="182"/>
      <c r="BL289" s="182"/>
      <c r="BM289" s="182"/>
      <c r="BN289" s="182"/>
      <c r="BO289" s="182"/>
      <c r="BP289" s="182"/>
      <c r="BQ289" s="182"/>
      <c r="BR289" s="182"/>
      <c r="BS289" s="182"/>
      <c r="BT289" s="182"/>
      <c r="BU289" s="182"/>
      <c r="BV289" s="182"/>
      <c r="BW289" s="182"/>
      <c r="BX289" s="182"/>
      <c r="BY289" s="182"/>
      <c r="BZ289" s="182"/>
      <c r="CA289" s="182"/>
      <c r="CB289" s="185">
        <f t="shared" si="48"/>
        <v>3468.6400000000003</v>
      </c>
      <c r="CC289" s="185">
        <f t="shared" si="49"/>
        <v>0</v>
      </c>
      <c r="CD289" s="185">
        <f t="shared" si="50"/>
        <v>668</v>
      </c>
      <c r="CE289" s="185" t="e">
        <f>+#REF!</f>
        <v>#REF!</v>
      </c>
    </row>
    <row r="290" spans="2:83" s="197" customFormat="1" ht="37.5" x14ac:dyDescent="0.3">
      <c r="B290" s="187">
        <v>1253</v>
      </c>
      <c r="C290" s="187">
        <v>669</v>
      </c>
      <c r="D290" s="182" t="s">
        <v>325</v>
      </c>
      <c r="E290" s="181" t="s">
        <v>4641</v>
      </c>
      <c r="F290" s="182"/>
      <c r="G290" s="182">
        <v>708.39</v>
      </c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  <c r="AK290" s="182"/>
      <c r="AL290" s="182"/>
      <c r="AM290" s="182"/>
      <c r="AN290" s="182"/>
      <c r="AO290" s="182"/>
      <c r="AP290" s="182"/>
      <c r="AQ290" s="185">
        <f t="shared" si="47"/>
        <v>708.39</v>
      </c>
      <c r="AR290" s="182">
        <v>473.84</v>
      </c>
      <c r="AS290" s="182">
        <v>63.87</v>
      </c>
      <c r="AT290" s="182">
        <v>170.68</v>
      </c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182"/>
      <c r="BK290" s="182"/>
      <c r="BL290" s="182"/>
      <c r="BM290" s="182"/>
      <c r="BN290" s="182"/>
      <c r="BO290" s="182"/>
      <c r="BP290" s="182"/>
      <c r="BQ290" s="182"/>
      <c r="BR290" s="182"/>
      <c r="BS290" s="182"/>
      <c r="BT290" s="182"/>
      <c r="BU290" s="182"/>
      <c r="BV290" s="182"/>
      <c r="BW290" s="182"/>
      <c r="BX290" s="182"/>
      <c r="BY290" s="182"/>
      <c r="BZ290" s="182"/>
      <c r="CA290" s="182"/>
      <c r="CB290" s="185">
        <f t="shared" si="48"/>
        <v>708.38999999999987</v>
      </c>
      <c r="CC290" s="185">
        <f t="shared" si="49"/>
        <v>0</v>
      </c>
      <c r="CD290" s="185">
        <f t="shared" si="50"/>
        <v>669</v>
      </c>
      <c r="CE290" s="185" t="e">
        <f>+#REF!</f>
        <v>#REF!</v>
      </c>
    </row>
    <row r="291" spans="2:83" s="197" customFormat="1" ht="37.5" x14ac:dyDescent="0.3">
      <c r="B291" s="182">
        <v>1252</v>
      </c>
      <c r="C291" s="182">
        <v>670</v>
      </c>
      <c r="D291" s="182" t="s">
        <v>325</v>
      </c>
      <c r="E291" s="181" t="s">
        <v>4641</v>
      </c>
      <c r="F291" s="182"/>
      <c r="G291" s="182">
        <v>8898.5499999999993</v>
      </c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  <c r="AK291" s="182"/>
      <c r="AL291" s="182"/>
      <c r="AM291" s="182"/>
      <c r="AN291" s="182"/>
      <c r="AO291" s="182"/>
      <c r="AP291" s="182"/>
      <c r="AQ291" s="185">
        <f t="shared" si="47"/>
        <v>8898.5499999999993</v>
      </c>
      <c r="AR291" s="182">
        <v>5946.26</v>
      </c>
      <c r="AS291" s="182">
        <v>808.29000000000008</v>
      </c>
      <c r="AT291" s="182">
        <v>2144</v>
      </c>
      <c r="AU291" s="182"/>
      <c r="AV291" s="182"/>
      <c r="AW291" s="182"/>
      <c r="AX291" s="182"/>
      <c r="AY291" s="182"/>
      <c r="AZ291" s="182"/>
      <c r="BA291" s="182"/>
      <c r="BB291" s="182"/>
      <c r="BC291" s="182"/>
      <c r="BD291" s="182"/>
      <c r="BE291" s="182"/>
      <c r="BF291" s="182"/>
      <c r="BG291" s="182"/>
      <c r="BH291" s="182"/>
      <c r="BI291" s="182"/>
      <c r="BJ291" s="182"/>
      <c r="BK291" s="182"/>
      <c r="BL291" s="182"/>
      <c r="BM291" s="182"/>
      <c r="BN291" s="182"/>
      <c r="BO291" s="182"/>
      <c r="BP291" s="182"/>
      <c r="BQ291" s="182"/>
      <c r="BR291" s="182"/>
      <c r="BS291" s="182"/>
      <c r="BT291" s="182"/>
      <c r="BU291" s="182"/>
      <c r="BV291" s="182"/>
      <c r="BW291" s="182"/>
      <c r="BX291" s="182"/>
      <c r="BY291" s="182"/>
      <c r="BZ291" s="182"/>
      <c r="CA291" s="182"/>
      <c r="CB291" s="185">
        <f t="shared" si="48"/>
        <v>8898.5499999999993</v>
      </c>
      <c r="CC291" s="185">
        <f t="shared" si="49"/>
        <v>0</v>
      </c>
      <c r="CD291" s="185">
        <f t="shared" si="50"/>
        <v>670</v>
      </c>
      <c r="CE291" s="185" t="e">
        <f>+#REF!</f>
        <v>#REF!</v>
      </c>
    </row>
    <row r="292" spans="2:83" s="197" customFormat="1" ht="37.5" x14ac:dyDescent="0.3">
      <c r="B292" s="182">
        <v>1251</v>
      </c>
      <c r="C292" s="182">
        <v>671</v>
      </c>
      <c r="D292" s="182" t="s">
        <v>325</v>
      </c>
      <c r="E292" s="181" t="s">
        <v>4642</v>
      </c>
      <c r="F292" s="182"/>
      <c r="G292" s="182">
        <v>2812.5</v>
      </c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  <c r="Z292" s="182"/>
      <c r="AA292" s="182"/>
      <c r="AB292" s="182"/>
      <c r="AC292" s="182"/>
      <c r="AD292" s="182"/>
      <c r="AE292" s="182"/>
      <c r="AF292" s="182"/>
      <c r="AG292" s="182"/>
      <c r="AH292" s="182"/>
      <c r="AI292" s="182"/>
      <c r="AJ292" s="182"/>
      <c r="AK292" s="182"/>
      <c r="AL292" s="182"/>
      <c r="AM292" s="182"/>
      <c r="AN292" s="182"/>
      <c r="AO292" s="182"/>
      <c r="AP292" s="182"/>
      <c r="AQ292" s="185">
        <f t="shared" si="47"/>
        <v>2812.5</v>
      </c>
      <c r="AR292" s="182">
        <v>2510.5</v>
      </c>
      <c r="AS292" s="182">
        <v>302</v>
      </c>
      <c r="AT292" s="182"/>
      <c r="AU292" s="182"/>
      <c r="AV292" s="182"/>
      <c r="AW292" s="182"/>
      <c r="AX292" s="182"/>
      <c r="AY292" s="182"/>
      <c r="AZ292" s="182"/>
      <c r="BA292" s="182"/>
      <c r="BB292" s="182"/>
      <c r="BC292" s="182"/>
      <c r="BD292" s="182"/>
      <c r="BE292" s="182"/>
      <c r="BF292" s="182"/>
      <c r="BG292" s="182"/>
      <c r="BH292" s="182"/>
      <c r="BI292" s="182"/>
      <c r="BJ292" s="182"/>
      <c r="BK292" s="182"/>
      <c r="BL292" s="182"/>
      <c r="BM292" s="182"/>
      <c r="BN292" s="182"/>
      <c r="BO292" s="182"/>
      <c r="BP292" s="182"/>
      <c r="BQ292" s="182"/>
      <c r="BR292" s="182"/>
      <c r="BS292" s="182"/>
      <c r="BT292" s="182"/>
      <c r="BU292" s="182"/>
      <c r="BV292" s="182"/>
      <c r="BW292" s="182"/>
      <c r="BX292" s="182"/>
      <c r="BY292" s="182"/>
      <c r="BZ292" s="182"/>
      <c r="CA292" s="182"/>
      <c r="CB292" s="185">
        <f t="shared" si="48"/>
        <v>2812.5</v>
      </c>
      <c r="CC292" s="185">
        <f t="shared" si="49"/>
        <v>0</v>
      </c>
      <c r="CD292" s="185">
        <f t="shared" si="50"/>
        <v>671</v>
      </c>
      <c r="CE292" s="185" t="e">
        <f>+#REF!</f>
        <v>#REF!</v>
      </c>
    </row>
    <row r="293" spans="2:83" s="197" customFormat="1" ht="37.5" x14ac:dyDescent="0.3">
      <c r="B293" s="182">
        <v>1160</v>
      </c>
      <c r="C293" s="182">
        <v>672</v>
      </c>
      <c r="D293" s="182" t="s">
        <v>325</v>
      </c>
      <c r="E293" s="181" t="s">
        <v>154</v>
      </c>
      <c r="F293" s="182"/>
      <c r="G293" s="182">
        <v>25345</v>
      </c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  <c r="Z293" s="182"/>
      <c r="AA293" s="182"/>
      <c r="AB293" s="182"/>
      <c r="AC293" s="182"/>
      <c r="AD293" s="182"/>
      <c r="AE293" s="182"/>
      <c r="AF293" s="182"/>
      <c r="AG293" s="182"/>
      <c r="AH293" s="182"/>
      <c r="AI293" s="182"/>
      <c r="AJ293" s="182"/>
      <c r="AK293" s="182"/>
      <c r="AL293" s="182"/>
      <c r="AM293" s="182"/>
      <c r="AN293" s="182"/>
      <c r="AO293" s="182"/>
      <c r="AP293" s="182"/>
      <c r="AQ293" s="185">
        <f t="shared" si="47"/>
        <v>25345</v>
      </c>
      <c r="AR293" s="182">
        <v>22098</v>
      </c>
      <c r="AS293" s="182">
        <v>2682</v>
      </c>
      <c r="AT293" s="182">
        <v>565</v>
      </c>
      <c r="AU293" s="182"/>
      <c r="AV293" s="182"/>
      <c r="AW293" s="182"/>
      <c r="AX293" s="182"/>
      <c r="AY293" s="182"/>
      <c r="AZ293" s="182"/>
      <c r="BA293" s="182"/>
      <c r="BB293" s="182"/>
      <c r="BC293" s="182"/>
      <c r="BD293" s="182"/>
      <c r="BE293" s="182"/>
      <c r="BF293" s="182"/>
      <c r="BG293" s="182"/>
      <c r="BH293" s="182"/>
      <c r="BI293" s="182"/>
      <c r="BJ293" s="182"/>
      <c r="BK293" s="182"/>
      <c r="BL293" s="182"/>
      <c r="BM293" s="182"/>
      <c r="BN293" s="182"/>
      <c r="BO293" s="182"/>
      <c r="BP293" s="182"/>
      <c r="BQ293" s="182"/>
      <c r="BR293" s="182"/>
      <c r="BS293" s="182"/>
      <c r="BT293" s="182"/>
      <c r="BU293" s="182"/>
      <c r="BV293" s="182"/>
      <c r="BW293" s="182"/>
      <c r="BX293" s="182"/>
      <c r="BY293" s="182"/>
      <c r="BZ293" s="182"/>
      <c r="CA293" s="182"/>
      <c r="CB293" s="185">
        <f t="shared" si="48"/>
        <v>25345</v>
      </c>
      <c r="CC293" s="185">
        <f t="shared" si="49"/>
        <v>0</v>
      </c>
      <c r="CD293" s="185">
        <f t="shared" si="50"/>
        <v>672</v>
      </c>
      <c r="CE293" s="185" t="e">
        <f>+#REF!</f>
        <v>#REF!</v>
      </c>
    </row>
    <row r="294" spans="2:83" s="197" customFormat="1" ht="37.5" x14ac:dyDescent="0.3">
      <c r="B294" s="182">
        <v>1161</v>
      </c>
      <c r="C294" s="182">
        <v>673</v>
      </c>
      <c r="D294" s="182" t="s">
        <v>325</v>
      </c>
      <c r="E294" s="181" t="s">
        <v>154</v>
      </c>
      <c r="F294" s="182"/>
      <c r="G294" s="182">
        <v>4500</v>
      </c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2"/>
      <c r="AH294" s="182"/>
      <c r="AI294" s="182"/>
      <c r="AJ294" s="182"/>
      <c r="AK294" s="182"/>
      <c r="AL294" s="182"/>
      <c r="AM294" s="182"/>
      <c r="AN294" s="182"/>
      <c r="AO294" s="182"/>
      <c r="AP294" s="182"/>
      <c r="AQ294" s="185">
        <f t="shared" si="47"/>
        <v>4500</v>
      </c>
      <c r="AR294" s="182">
        <v>4017.3</v>
      </c>
      <c r="AS294" s="182">
        <v>482.7</v>
      </c>
      <c r="AT294" s="182"/>
      <c r="AU294" s="182"/>
      <c r="AV294" s="182"/>
      <c r="AW294" s="182"/>
      <c r="AX294" s="182"/>
      <c r="AY294" s="182"/>
      <c r="AZ294" s="182"/>
      <c r="BA294" s="182"/>
      <c r="BB294" s="182"/>
      <c r="BC294" s="182"/>
      <c r="BD294" s="182"/>
      <c r="BE294" s="182"/>
      <c r="BF294" s="182"/>
      <c r="BG294" s="182"/>
      <c r="BH294" s="182"/>
      <c r="BI294" s="182"/>
      <c r="BJ294" s="182"/>
      <c r="BK294" s="182"/>
      <c r="BL294" s="182"/>
      <c r="BM294" s="182"/>
      <c r="BN294" s="182"/>
      <c r="BO294" s="182"/>
      <c r="BP294" s="182"/>
      <c r="BQ294" s="182"/>
      <c r="BR294" s="182"/>
      <c r="BS294" s="182"/>
      <c r="BT294" s="182"/>
      <c r="BU294" s="182"/>
      <c r="BV294" s="182"/>
      <c r="BW294" s="182"/>
      <c r="BX294" s="182"/>
      <c r="BY294" s="182"/>
      <c r="BZ294" s="182"/>
      <c r="CA294" s="182"/>
      <c r="CB294" s="185">
        <f t="shared" si="48"/>
        <v>4500</v>
      </c>
      <c r="CC294" s="185">
        <f t="shared" si="49"/>
        <v>0</v>
      </c>
      <c r="CD294" s="185">
        <f t="shared" si="50"/>
        <v>673</v>
      </c>
      <c r="CE294" s="185" t="e">
        <f>+#REF!</f>
        <v>#REF!</v>
      </c>
    </row>
    <row r="295" spans="2:83" s="197" customFormat="1" ht="37.5" x14ac:dyDescent="0.3">
      <c r="B295" s="182">
        <v>1162</v>
      </c>
      <c r="C295" s="182">
        <v>674</v>
      </c>
      <c r="D295" s="182" t="s">
        <v>325</v>
      </c>
      <c r="E295" s="181" t="s">
        <v>154</v>
      </c>
      <c r="F295" s="182"/>
      <c r="G295" s="182">
        <v>2000</v>
      </c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  <c r="Z295" s="182"/>
      <c r="AA295" s="182"/>
      <c r="AB295" s="182"/>
      <c r="AC295" s="182"/>
      <c r="AD295" s="182"/>
      <c r="AE295" s="182"/>
      <c r="AF295" s="182"/>
      <c r="AG295" s="182"/>
      <c r="AH295" s="182"/>
      <c r="AI295" s="182"/>
      <c r="AJ295" s="182"/>
      <c r="AK295" s="182"/>
      <c r="AL295" s="182"/>
      <c r="AM295" s="182"/>
      <c r="AN295" s="182"/>
      <c r="AO295" s="182"/>
      <c r="AP295" s="182"/>
      <c r="AQ295" s="185">
        <f t="shared" si="47"/>
        <v>2000</v>
      </c>
      <c r="AR295" s="182">
        <v>1785.35</v>
      </c>
      <c r="AS295" s="182">
        <v>214.65</v>
      </c>
      <c r="AT295" s="182"/>
      <c r="AU295" s="182"/>
      <c r="AV295" s="182"/>
      <c r="AW295" s="182"/>
      <c r="AX295" s="182"/>
      <c r="AY295" s="182"/>
      <c r="AZ295" s="182"/>
      <c r="BA295" s="182"/>
      <c r="BB295" s="182"/>
      <c r="BC295" s="182"/>
      <c r="BD295" s="182"/>
      <c r="BE295" s="182"/>
      <c r="BF295" s="182"/>
      <c r="BG295" s="182"/>
      <c r="BH295" s="182"/>
      <c r="BI295" s="182"/>
      <c r="BJ295" s="182"/>
      <c r="BK295" s="182"/>
      <c r="BL295" s="182"/>
      <c r="BM295" s="182"/>
      <c r="BN295" s="182"/>
      <c r="BO295" s="182"/>
      <c r="BP295" s="182"/>
      <c r="BQ295" s="182"/>
      <c r="BR295" s="182"/>
      <c r="BS295" s="182"/>
      <c r="BT295" s="182"/>
      <c r="BU295" s="182"/>
      <c r="BV295" s="182"/>
      <c r="BW295" s="182"/>
      <c r="BX295" s="182"/>
      <c r="BY295" s="182"/>
      <c r="BZ295" s="182"/>
      <c r="CA295" s="182"/>
      <c r="CB295" s="185">
        <f t="shared" si="48"/>
        <v>2000</v>
      </c>
      <c r="CC295" s="185">
        <f t="shared" si="49"/>
        <v>0</v>
      </c>
      <c r="CD295" s="185">
        <f t="shared" si="50"/>
        <v>674</v>
      </c>
      <c r="CE295" s="185" t="e">
        <f>+#REF!</f>
        <v>#REF!</v>
      </c>
    </row>
    <row r="296" spans="2:83" s="197" customFormat="1" ht="37.5" x14ac:dyDescent="0.3">
      <c r="B296" s="182">
        <v>1163</v>
      </c>
      <c r="C296" s="182">
        <v>675</v>
      </c>
      <c r="D296" s="182" t="s">
        <v>325</v>
      </c>
      <c r="E296" s="181" t="s">
        <v>154</v>
      </c>
      <c r="F296" s="182"/>
      <c r="G296" s="182">
        <v>39500</v>
      </c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  <c r="AK296" s="182"/>
      <c r="AL296" s="182"/>
      <c r="AM296" s="182"/>
      <c r="AN296" s="182"/>
      <c r="AO296" s="182"/>
      <c r="AP296" s="182"/>
      <c r="AQ296" s="185">
        <f t="shared" si="47"/>
        <v>39500</v>
      </c>
      <c r="AR296" s="182">
        <v>35255.949999999997</v>
      </c>
      <c r="AS296" s="182">
        <v>4244.05</v>
      </c>
      <c r="AT296" s="182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182"/>
      <c r="BK296" s="182"/>
      <c r="BL296" s="182"/>
      <c r="BM296" s="182"/>
      <c r="BN296" s="182"/>
      <c r="BO296" s="182"/>
      <c r="BP296" s="182"/>
      <c r="BQ296" s="182"/>
      <c r="BR296" s="182"/>
      <c r="BS296" s="182"/>
      <c r="BT296" s="182"/>
      <c r="BU296" s="182"/>
      <c r="BV296" s="182"/>
      <c r="BW296" s="182"/>
      <c r="BX296" s="182"/>
      <c r="BY296" s="182"/>
      <c r="BZ296" s="182"/>
      <c r="CA296" s="182"/>
      <c r="CB296" s="185">
        <f t="shared" si="48"/>
        <v>39500</v>
      </c>
      <c r="CC296" s="185">
        <f t="shared" si="49"/>
        <v>0</v>
      </c>
      <c r="CD296" s="185">
        <f t="shared" si="50"/>
        <v>675</v>
      </c>
      <c r="CE296" s="185" t="e">
        <f>+#REF!</f>
        <v>#REF!</v>
      </c>
    </row>
    <row r="297" spans="2:83" s="197" customFormat="1" ht="37.5" x14ac:dyDescent="0.3">
      <c r="B297" s="182">
        <v>1244</v>
      </c>
      <c r="C297" s="182">
        <v>676</v>
      </c>
      <c r="D297" s="182" t="s">
        <v>325</v>
      </c>
      <c r="E297" s="181" t="s">
        <v>4643</v>
      </c>
      <c r="F297" s="182"/>
      <c r="G297" s="182">
        <v>2227.7600000000002</v>
      </c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182"/>
      <c r="AO297" s="182"/>
      <c r="AP297" s="182"/>
      <c r="AQ297" s="185">
        <f t="shared" si="47"/>
        <v>2227.7600000000002</v>
      </c>
      <c r="AR297" s="182">
        <v>1489.8</v>
      </c>
      <c r="AS297" s="182">
        <v>201.2</v>
      </c>
      <c r="AT297" s="182">
        <v>536.76</v>
      </c>
      <c r="AU297" s="182"/>
      <c r="AV297" s="182"/>
      <c r="AW297" s="182"/>
      <c r="AX297" s="182"/>
      <c r="AY297" s="182"/>
      <c r="AZ297" s="182"/>
      <c r="BA297" s="182"/>
      <c r="BB297" s="182"/>
      <c r="BC297" s="182"/>
      <c r="BD297" s="182"/>
      <c r="BE297" s="182"/>
      <c r="BF297" s="182"/>
      <c r="BG297" s="182"/>
      <c r="BH297" s="182"/>
      <c r="BI297" s="182"/>
      <c r="BJ297" s="182"/>
      <c r="BK297" s="182"/>
      <c r="BL297" s="182"/>
      <c r="BM297" s="182"/>
      <c r="BN297" s="182"/>
      <c r="BO297" s="182"/>
      <c r="BP297" s="182"/>
      <c r="BQ297" s="182"/>
      <c r="BR297" s="182"/>
      <c r="BS297" s="182"/>
      <c r="BT297" s="182"/>
      <c r="BU297" s="182"/>
      <c r="BV297" s="182"/>
      <c r="BW297" s="182"/>
      <c r="BX297" s="182"/>
      <c r="BY297" s="182"/>
      <c r="BZ297" s="182"/>
      <c r="CA297" s="182"/>
      <c r="CB297" s="185">
        <f t="shared" si="48"/>
        <v>2227.7600000000002</v>
      </c>
      <c r="CC297" s="185">
        <f t="shared" si="49"/>
        <v>0</v>
      </c>
      <c r="CD297" s="185">
        <f t="shared" si="50"/>
        <v>676</v>
      </c>
      <c r="CE297" s="185" t="e">
        <f>+#REF!</f>
        <v>#REF!</v>
      </c>
    </row>
    <row r="298" spans="2:83" s="197" customFormat="1" ht="37.5" x14ac:dyDescent="0.3">
      <c r="B298" s="182">
        <v>1245</v>
      </c>
      <c r="C298" s="182">
        <v>677</v>
      </c>
      <c r="D298" s="182" t="s">
        <v>325</v>
      </c>
      <c r="E298" s="181" t="s">
        <v>4643</v>
      </c>
      <c r="F298" s="182"/>
      <c r="G298" s="182">
        <v>1113.8800000000001</v>
      </c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2"/>
      <c r="AH298" s="182"/>
      <c r="AI298" s="182"/>
      <c r="AJ298" s="182"/>
      <c r="AK298" s="182"/>
      <c r="AL298" s="182"/>
      <c r="AM298" s="182"/>
      <c r="AN298" s="182"/>
      <c r="AO298" s="182"/>
      <c r="AP298" s="182"/>
      <c r="AQ298" s="185">
        <f t="shared" si="47"/>
        <v>1113.8800000000001</v>
      </c>
      <c r="AR298" s="182">
        <v>744.9</v>
      </c>
      <c r="AS298" s="182">
        <v>100.6</v>
      </c>
      <c r="AT298" s="182">
        <v>268.38</v>
      </c>
      <c r="AU298" s="182"/>
      <c r="AV298" s="182"/>
      <c r="AW298" s="182"/>
      <c r="AX298" s="182"/>
      <c r="AY298" s="182"/>
      <c r="AZ298" s="182"/>
      <c r="BA298" s="182"/>
      <c r="BB298" s="182"/>
      <c r="BC298" s="182"/>
      <c r="BD298" s="182"/>
      <c r="BE298" s="182"/>
      <c r="BF298" s="182"/>
      <c r="BG298" s="182"/>
      <c r="BH298" s="182"/>
      <c r="BI298" s="182"/>
      <c r="BJ298" s="182"/>
      <c r="BK298" s="182"/>
      <c r="BL298" s="182"/>
      <c r="BM298" s="182"/>
      <c r="BN298" s="182"/>
      <c r="BO298" s="182"/>
      <c r="BP298" s="182"/>
      <c r="BQ298" s="182"/>
      <c r="BR298" s="182"/>
      <c r="BS298" s="182"/>
      <c r="BT298" s="182"/>
      <c r="BU298" s="182"/>
      <c r="BV298" s="182"/>
      <c r="BW298" s="182"/>
      <c r="BX298" s="182"/>
      <c r="BY298" s="182"/>
      <c r="BZ298" s="182"/>
      <c r="CA298" s="182"/>
      <c r="CB298" s="185">
        <f t="shared" si="48"/>
        <v>1113.8800000000001</v>
      </c>
      <c r="CC298" s="185">
        <f t="shared" si="49"/>
        <v>0</v>
      </c>
      <c r="CD298" s="185">
        <f t="shared" si="50"/>
        <v>677</v>
      </c>
      <c r="CE298" s="185" t="e">
        <f>+#REF!</f>
        <v>#REF!</v>
      </c>
    </row>
    <row r="299" spans="2:83" s="197" customFormat="1" ht="37.5" x14ac:dyDescent="0.3">
      <c r="B299" s="182">
        <v>1246</v>
      </c>
      <c r="C299" s="182">
        <v>678</v>
      </c>
      <c r="D299" s="182" t="s">
        <v>325</v>
      </c>
      <c r="E299" s="181" t="s">
        <v>4644</v>
      </c>
      <c r="F299" s="182"/>
      <c r="G299" s="182">
        <v>703.5</v>
      </c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  <c r="AK299" s="182"/>
      <c r="AL299" s="182"/>
      <c r="AM299" s="182"/>
      <c r="AN299" s="182"/>
      <c r="AO299" s="182"/>
      <c r="AP299" s="182"/>
      <c r="AQ299" s="185">
        <f t="shared" si="47"/>
        <v>703.5</v>
      </c>
      <c r="AR299" s="182">
        <v>470.6</v>
      </c>
      <c r="AS299" s="182">
        <v>63.4</v>
      </c>
      <c r="AT299" s="182">
        <v>169.5</v>
      </c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182"/>
      <c r="BK299" s="182"/>
      <c r="BL299" s="182"/>
      <c r="BM299" s="182"/>
      <c r="BN299" s="182"/>
      <c r="BO299" s="182"/>
      <c r="BP299" s="182"/>
      <c r="BQ299" s="182"/>
      <c r="BR299" s="182"/>
      <c r="BS299" s="182"/>
      <c r="BT299" s="182"/>
      <c r="BU299" s="182"/>
      <c r="BV299" s="182"/>
      <c r="BW299" s="182"/>
      <c r="BX299" s="182"/>
      <c r="BY299" s="182"/>
      <c r="BZ299" s="182"/>
      <c r="CA299" s="182"/>
      <c r="CB299" s="185">
        <f t="shared" si="48"/>
        <v>703.5</v>
      </c>
      <c r="CC299" s="185">
        <f t="shared" si="49"/>
        <v>0</v>
      </c>
      <c r="CD299" s="185">
        <f t="shared" si="50"/>
        <v>678</v>
      </c>
      <c r="CE299" s="185" t="e">
        <f>+#REF!</f>
        <v>#REF!</v>
      </c>
    </row>
    <row r="300" spans="2:83" s="197" customFormat="1" ht="37.5" x14ac:dyDescent="0.3">
      <c r="B300" s="182">
        <v>1247</v>
      </c>
      <c r="C300" s="182">
        <v>679</v>
      </c>
      <c r="D300" s="182" t="s">
        <v>325</v>
      </c>
      <c r="E300" s="181" t="s">
        <v>4645</v>
      </c>
      <c r="F300" s="182"/>
      <c r="G300" s="182">
        <v>750</v>
      </c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  <c r="AK300" s="182"/>
      <c r="AL300" s="182"/>
      <c r="AM300" s="182"/>
      <c r="AN300" s="182"/>
      <c r="AO300" s="182"/>
      <c r="AP300" s="182"/>
      <c r="AQ300" s="185">
        <f t="shared" si="47"/>
        <v>750</v>
      </c>
      <c r="AR300" s="182">
        <v>670.1</v>
      </c>
      <c r="AS300" s="182">
        <v>79.900000000000006</v>
      </c>
      <c r="AT300" s="182"/>
      <c r="AU300" s="182"/>
      <c r="AV300" s="182"/>
      <c r="AW300" s="182"/>
      <c r="AX300" s="182"/>
      <c r="AY300" s="182"/>
      <c r="AZ300" s="182"/>
      <c r="BA300" s="182"/>
      <c r="BB300" s="182"/>
      <c r="BC300" s="182"/>
      <c r="BD300" s="182"/>
      <c r="BE300" s="182"/>
      <c r="BF300" s="182"/>
      <c r="BG300" s="182"/>
      <c r="BH300" s="182"/>
      <c r="BI300" s="182"/>
      <c r="BJ300" s="182"/>
      <c r="BK300" s="182"/>
      <c r="BL300" s="182"/>
      <c r="BM300" s="182"/>
      <c r="BN300" s="182"/>
      <c r="BO300" s="182"/>
      <c r="BP300" s="182"/>
      <c r="BQ300" s="182"/>
      <c r="BR300" s="182"/>
      <c r="BS300" s="182"/>
      <c r="BT300" s="182"/>
      <c r="BU300" s="182"/>
      <c r="BV300" s="182"/>
      <c r="BW300" s="182"/>
      <c r="BX300" s="182"/>
      <c r="BY300" s="182"/>
      <c r="BZ300" s="182"/>
      <c r="CA300" s="182"/>
      <c r="CB300" s="185">
        <f t="shared" si="48"/>
        <v>750</v>
      </c>
      <c r="CC300" s="185">
        <f t="shared" si="49"/>
        <v>0</v>
      </c>
      <c r="CD300" s="185">
        <f t="shared" si="50"/>
        <v>679</v>
      </c>
      <c r="CE300" s="185" t="e">
        <f>+#REF!</f>
        <v>#REF!</v>
      </c>
    </row>
    <row r="301" spans="2:83" s="197" customFormat="1" ht="37.5" x14ac:dyDescent="0.3">
      <c r="B301" s="182">
        <v>1248</v>
      </c>
      <c r="C301" s="182">
        <v>680</v>
      </c>
      <c r="D301" s="182" t="s">
        <v>325</v>
      </c>
      <c r="E301" s="181" t="s">
        <v>4646</v>
      </c>
      <c r="F301" s="182"/>
      <c r="G301" s="182">
        <v>8200</v>
      </c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  <c r="Z301" s="182"/>
      <c r="AA301" s="182"/>
      <c r="AB301" s="182"/>
      <c r="AC301" s="182"/>
      <c r="AD301" s="182"/>
      <c r="AE301" s="182"/>
      <c r="AF301" s="182"/>
      <c r="AG301" s="182"/>
      <c r="AH301" s="182"/>
      <c r="AI301" s="182"/>
      <c r="AJ301" s="182"/>
      <c r="AK301" s="182"/>
      <c r="AL301" s="182"/>
      <c r="AM301" s="182"/>
      <c r="AN301" s="182"/>
      <c r="AO301" s="182"/>
      <c r="AP301" s="182"/>
      <c r="AQ301" s="185">
        <f t="shared" si="47"/>
        <v>8200</v>
      </c>
      <c r="AR301" s="182">
        <v>7314.8</v>
      </c>
      <c r="AS301" s="182">
        <v>885.2</v>
      </c>
      <c r="AT301" s="182"/>
      <c r="AU301" s="182"/>
      <c r="AV301" s="182"/>
      <c r="AW301" s="182"/>
      <c r="AX301" s="182"/>
      <c r="AY301" s="182"/>
      <c r="AZ301" s="182"/>
      <c r="BA301" s="182"/>
      <c r="BB301" s="182"/>
      <c r="BC301" s="182"/>
      <c r="BD301" s="182"/>
      <c r="BE301" s="182"/>
      <c r="BF301" s="182"/>
      <c r="BG301" s="182"/>
      <c r="BH301" s="182"/>
      <c r="BI301" s="182"/>
      <c r="BJ301" s="182"/>
      <c r="BK301" s="182"/>
      <c r="BL301" s="182"/>
      <c r="BM301" s="182"/>
      <c r="BN301" s="182"/>
      <c r="BO301" s="182"/>
      <c r="BP301" s="182"/>
      <c r="BQ301" s="182"/>
      <c r="BR301" s="182"/>
      <c r="BS301" s="182"/>
      <c r="BT301" s="182"/>
      <c r="BU301" s="182"/>
      <c r="BV301" s="182"/>
      <c r="BW301" s="182"/>
      <c r="BX301" s="182"/>
      <c r="BY301" s="182"/>
      <c r="BZ301" s="182"/>
      <c r="CA301" s="182"/>
      <c r="CB301" s="185">
        <f t="shared" si="48"/>
        <v>8200</v>
      </c>
      <c r="CC301" s="185">
        <f t="shared" si="49"/>
        <v>0</v>
      </c>
      <c r="CD301" s="185">
        <f t="shared" si="50"/>
        <v>680</v>
      </c>
      <c r="CE301" s="185" t="e">
        <f>+#REF!</f>
        <v>#REF!</v>
      </c>
    </row>
    <row r="302" spans="2:83" s="197" customFormat="1" ht="37.5" x14ac:dyDescent="0.3">
      <c r="B302" s="182">
        <v>1249</v>
      </c>
      <c r="C302" s="182">
        <v>681</v>
      </c>
      <c r="D302" s="182" t="s">
        <v>325</v>
      </c>
      <c r="E302" s="181" t="s">
        <v>4647</v>
      </c>
      <c r="F302" s="182"/>
      <c r="G302" s="182">
        <v>2200</v>
      </c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  <c r="AK302" s="182"/>
      <c r="AL302" s="182"/>
      <c r="AM302" s="182"/>
      <c r="AN302" s="182"/>
      <c r="AO302" s="182"/>
      <c r="AP302" s="182"/>
      <c r="AQ302" s="185">
        <f t="shared" ref="AQ302:AQ333" si="51">SUM(G302:AP302)</f>
        <v>2200</v>
      </c>
      <c r="AR302" s="182">
        <v>1963.85</v>
      </c>
      <c r="AS302" s="182">
        <v>236.15</v>
      </c>
      <c r="AT302" s="182"/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182"/>
      <c r="BK302" s="182"/>
      <c r="BL302" s="182"/>
      <c r="BM302" s="182"/>
      <c r="BN302" s="182"/>
      <c r="BO302" s="182"/>
      <c r="BP302" s="182"/>
      <c r="BQ302" s="182"/>
      <c r="BR302" s="182"/>
      <c r="BS302" s="182"/>
      <c r="BT302" s="182"/>
      <c r="BU302" s="182"/>
      <c r="BV302" s="182"/>
      <c r="BW302" s="182"/>
      <c r="BX302" s="182"/>
      <c r="BY302" s="182"/>
      <c r="BZ302" s="182"/>
      <c r="CA302" s="182"/>
      <c r="CB302" s="185">
        <f t="shared" ref="CB302:CB333" si="52">SUM(AR302:CA302)</f>
        <v>2200</v>
      </c>
      <c r="CC302" s="185">
        <f t="shared" ref="CC302:CC333" si="53">+CB302-AQ302</f>
        <v>0</v>
      </c>
      <c r="CD302" s="185">
        <f t="shared" ref="CD302:CD333" si="54">+C302</f>
        <v>681</v>
      </c>
      <c r="CE302" s="185" t="e">
        <f>+#REF!</f>
        <v>#REF!</v>
      </c>
    </row>
    <row r="303" spans="2:83" s="197" customFormat="1" ht="37.5" x14ac:dyDescent="0.3">
      <c r="B303" s="182">
        <v>1250</v>
      </c>
      <c r="C303" s="182">
        <v>682</v>
      </c>
      <c r="D303" s="182" t="s">
        <v>325</v>
      </c>
      <c r="E303" s="181" t="s">
        <v>4642</v>
      </c>
      <c r="F303" s="182"/>
      <c r="G303" s="182">
        <v>2812.5</v>
      </c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  <c r="AK303" s="182"/>
      <c r="AL303" s="182"/>
      <c r="AM303" s="182"/>
      <c r="AN303" s="182"/>
      <c r="AO303" s="182"/>
      <c r="AP303" s="182"/>
      <c r="AQ303" s="185">
        <f t="shared" si="51"/>
        <v>2812.5</v>
      </c>
      <c r="AR303" s="182">
        <v>2510.5</v>
      </c>
      <c r="AS303" s="182">
        <v>302</v>
      </c>
      <c r="AT303" s="182"/>
      <c r="AU303" s="182"/>
      <c r="AV303" s="182"/>
      <c r="AW303" s="182"/>
      <c r="AX303" s="182"/>
      <c r="AY303" s="182"/>
      <c r="AZ303" s="182"/>
      <c r="BA303" s="182"/>
      <c r="BB303" s="182"/>
      <c r="BC303" s="182"/>
      <c r="BD303" s="182"/>
      <c r="BE303" s="182"/>
      <c r="BF303" s="182"/>
      <c r="BG303" s="182"/>
      <c r="BH303" s="182"/>
      <c r="BI303" s="182"/>
      <c r="BJ303" s="182"/>
      <c r="BK303" s="182"/>
      <c r="BL303" s="182"/>
      <c r="BM303" s="182"/>
      <c r="BN303" s="182"/>
      <c r="BO303" s="182"/>
      <c r="BP303" s="182"/>
      <c r="BQ303" s="182"/>
      <c r="BR303" s="182"/>
      <c r="BS303" s="182"/>
      <c r="BT303" s="182"/>
      <c r="BU303" s="182"/>
      <c r="BV303" s="182"/>
      <c r="BW303" s="182"/>
      <c r="BX303" s="182"/>
      <c r="BY303" s="182"/>
      <c r="BZ303" s="182"/>
      <c r="CA303" s="182"/>
      <c r="CB303" s="185">
        <f t="shared" si="52"/>
        <v>2812.5</v>
      </c>
      <c r="CC303" s="185">
        <f t="shared" si="53"/>
        <v>0</v>
      </c>
      <c r="CD303" s="185">
        <f t="shared" si="54"/>
        <v>682</v>
      </c>
      <c r="CE303" s="185" t="e">
        <f>+#REF!</f>
        <v>#REF!</v>
      </c>
    </row>
    <row r="304" spans="2:83" s="197" customFormat="1" ht="37.5" x14ac:dyDescent="0.3">
      <c r="B304" s="182">
        <v>526</v>
      </c>
      <c r="C304" s="182">
        <v>683</v>
      </c>
      <c r="D304" s="182" t="s">
        <v>325</v>
      </c>
      <c r="E304" s="181" t="s">
        <v>4648</v>
      </c>
      <c r="F304" s="182"/>
      <c r="G304" s="182">
        <v>13339.24</v>
      </c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  <c r="Z304" s="182"/>
      <c r="AA304" s="182"/>
      <c r="AB304" s="182"/>
      <c r="AC304" s="182"/>
      <c r="AD304" s="182"/>
      <c r="AE304" s="182"/>
      <c r="AF304" s="182"/>
      <c r="AG304" s="182"/>
      <c r="AH304" s="182"/>
      <c r="AI304" s="182"/>
      <c r="AJ304" s="182"/>
      <c r="AK304" s="182"/>
      <c r="AL304" s="182"/>
      <c r="AM304" s="182"/>
      <c r="AN304" s="182"/>
      <c r="AO304" s="182"/>
      <c r="AP304" s="182"/>
      <c r="AQ304" s="185">
        <f t="shared" si="51"/>
        <v>13339.24</v>
      </c>
      <c r="AR304" s="182">
        <v>8727.39</v>
      </c>
      <c r="AS304" s="182">
        <v>1190.3499999999999</v>
      </c>
      <c r="AT304" s="182">
        <v>3421.5</v>
      </c>
      <c r="AU304" s="182"/>
      <c r="AV304" s="182"/>
      <c r="AW304" s="182"/>
      <c r="AX304" s="182"/>
      <c r="AY304" s="182"/>
      <c r="AZ304" s="182"/>
      <c r="BA304" s="182"/>
      <c r="BB304" s="182"/>
      <c r="BC304" s="182"/>
      <c r="BD304" s="182"/>
      <c r="BE304" s="182"/>
      <c r="BF304" s="182"/>
      <c r="BG304" s="182"/>
      <c r="BH304" s="182"/>
      <c r="BI304" s="182"/>
      <c r="BJ304" s="182"/>
      <c r="BK304" s="182"/>
      <c r="BL304" s="182"/>
      <c r="BM304" s="182"/>
      <c r="BN304" s="182"/>
      <c r="BO304" s="182"/>
      <c r="BP304" s="182"/>
      <c r="BQ304" s="182"/>
      <c r="BR304" s="182"/>
      <c r="BS304" s="182"/>
      <c r="BT304" s="182"/>
      <c r="BU304" s="182"/>
      <c r="BV304" s="182"/>
      <c r="BW304" s="182"/>
      <c r="BX304" s="182"/>
      <c r="BY304" s="182"/>
      <c r="BZ304" s="182"/>
      <c r="CA304" s="182"/>
      <c r="CB304" s="185">
        <f t="shared" si="52"/>
        <v>13339.24</v>
      </c>
      <c r="CC304" s="185">
        <f t="shared" si="53"/>
        <v>0</v>
      </c>
      <c r="CD304" s="185">
        <f t="shared" si="54"/>
        <v>683</v>
      </c>
      <c r="CE304" s="185" t="e">
        <f>+#REF!</f>
        <v>#REF!</v>
      </c>
    </row>
    <row r="305" spans="2:83" s="197" customFormat="1" ht="37.5" x14ac:dyDescent="0.3">
      <c r="B305" s="182">
        <v>1268</v>
      </c>
      <c r="C305" s="182">
        <v>684</v>
      </c>
      <c r="D305" s="182" t="s">
        <v>325</v>
      </c>
      <c r="E305" s="181" t="s">
        <v>4648</v>
      </c>
      <c r="F305" s="182"/>
      <c r="G305" s="182">
        <v>600</v>
      </c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  <c r="AK305" s="182"/>
      <c r="AL305" s="182"/>
      <c r="AM305" s="182"/>
      <c r="AN305" s="182"/>
      <c r="AO305" s="182"/>
      <c r="AP305" s="182"/>
      <c r="AQ305" s="185">
        <f t="shared" si="51"/>
        <v>600</v>
      </c>
      <c r="AR305" s="182">
        <v>536.15</v>
      </c>
      <c r="AS305" s="182">
        <v>63.85</v>
      </c>
      <c r="AT305" s="182"/>
      <c r="AU305" s="182"/>
      <c r="AV305" s="182"/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/>
      <c r="BI305" s="182"/>
      <c r="BJ305" s="182"/>
      <c r="BK305" s="182"/>
      <c r="BL305" s="182"/>
      <c r="BM305" s="182"/>
      <c r="BN305" s="182"/>
      <c r="BO305" s="182"/>
      <c r="BP305" s="182"/>
      <c r="BQ305" s="182"/>
      <c r="BR305" s="182"/>
      <c r="BS305" s="182"/>
      <c r="BT305" s="182"/>
      <c r="BU305" s="182"/>
      <c r="BV305" s="182"/>
      <c r="BW305" s="182"/>
      <c r="BX305" s="182"/>
      <c r="BY305" s="182"/>
      <c r="BZ305" s="182"/>
      <c r="CA305" s="182"/>
      <c r="CB305" s="185">
        <f t="shared" si="52"/>
        <v>600</v>
      </c>
      <c r="CC305" s="185">
        <f t="shared" si="53"/>
        <v>0</v>
      </c>
      <c r="CD305" s="185">
        <f t="shared" si="54"/>
        <v>684</v>
      </c>
      <c r="CE305" s="185" t="e">
        <f>+#REF!</f>
        <v>#REF!</v>
      </c>
    </row>
    <row r="306" spans="2:83" s="197" customFormat="1" ht="37.5" x14ac:dyDescent="0.3">
      <c r="B306" s="182">
        <v>1269</v>
      </c>
      <c r="C306" s="182">
        <v>685</v>
      </c>
      <c r="D306" s="182" t="s">
        <v>325</v>
      </c>
      <c r="E306" s="181" t="s">
        <v>4648</v>
      </c>
      <c r="F306" s="182"/>
      <c r="G306" s="182">
        <v>3458.88</v>
      </c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  <c r="AK306" s="182"/>
      <c r="AL306" s="182"/>
      <c r="AM306" s="182"/>
      <c r="AN306" s="182"/>
      <c r="AO306" s="182"/>
      <c r="AP306" s="182"/>
      <c r="AQ306" s="185">
        <f t="shared" si="51"/>
        <v>3458.88</v>
      </c>
      <c r="AR306" s="182">
        <v>2315.1999999999998</v>
      </c>
      <c r="AS306" s="182">
        <v>310.3</v>
      </c>
      <c r="AT306" s="182">
        <v>833.38</v>
      </c>
      <c r="AU306" s="182"/>
      <c r="AV306" s="182"/>
      <c r="AW306" s="182"/>
      <c r="AX306" s="182"/>
      <c r="AY306" s="182"/>
      <c r="AZ306" s="182"/>
      <c r="BA306" s="182"/>
      <c r="BB306" s="182"/>
      <c r="BC306" s="182"/>
      <c r="BD306" s="182"/>
      <c r="BE306" s="182"/>
      <c r="BF306" s="182"/>
      <c r="BG306" s="182"/>
      <c r="BH306" s="182"/>
      <c r="BI306" s="182"/>
      <c r="BJ306" s="182"/>
      <c r="BK306" s="182"/>
      <c r="BL306" s="182"/>
      <c r="BM306" s="182"/>
      <c r="BN306" s="182"/>
      <c r="BO306" s="182"/>
      <c r="BP306" s="182"/>
      <c r="BQ306" s="182"/>
      <c r="BR306" s="182"/>
      <c r="BS306" s="182"/>
      <c r="BT306" s="182"/>
      <c r="BU306" s="182"/>
      <c r="BV306" s="182"/>
      <c r="BW306" s="182"/>
      <c r="BX306" s="182"/>
      <c r="BY306" s="182"/>
      <c r="BZ306" s="182"/>
      <c r="CA306" s="182"/>
      <c r="CB306" s="185">
        <f t="shared" si="52"/>
        <v>3458.88</v>
      </c>
      <c r="CC306" s="185">
        <f t="shared" si="53"/>
        <v>0</v>
      </c>
      <c r="CD306" s="185">
        <f t="shared" si="54"/>
        <v>685</v>
      </c>
      <c r="CE306" s="185" t="e">
        <f>+#REF!</f>
        <v>#REF!</v>
      </c>
    </row>
    <row r="307" spans="2:83" s="197" customFormat="1" ht="37.5" x14ac:dyDescent="0.3">
      <c r="B307" s="182">
        <v>1270</v>
      </c>
      <c r="C307" s="182">
        <v>686</v>
      </c>
      <c r="D307" s="182" t="s">
        <v>325</v>
      </c>
      <c r="E307" s="181" t="s">
        <v>4648</v>
      </c>
      <c r="F307" s="182"/>
      <c r="G307" s="182">
        <v>1641.5</v>
      </c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82"/>
      <c r="AA307" s="182"/>
      <c r="AB307" s="182"/>
      <c r="AC307" s="182"/>
      <c r="AD307" s="182"/>
      <c r="AE307" s="182"/>
      <c r="AF307" s="182"/>
      <c r="AG307" s="182"/>
      <c r="AH307" s="182"/>
      <c r="AI307" s="182"/>
      <c r="AJ307" s="182"/>
      <c r="AK307" s="182"/>
      <c r="AL307" s="182"/>
      <c r="AM307" s="182"/>
      <c r="AN307" s="182"/>
      <c r="AO307" s="182"/>
      <c r="AP307" s="182"/>
      <c r="AQ307" s="185">
        <f t="shared" si="51"/>
        <v>1641.5</v>
      </c>
      <c r="AR307" s="182">
        <v>1098.45</v>
      </c>
      <c r="AS307" s="182">
        <v>147.55000000000001</v>
      </c>
      <c r="AT307" s="182">
        <v>395.5</v>
      </c>
      <c r="AU307" s="182"/>
      <c r="AV307" s="182"/>
      <c r="AW307" s="182"/>
      <c r="AX307" s="182"/>
      <c r="AY307" s="182"/>
      <c r="AZ307" s="182"/>
      <c r="BA307" s="182"/>
      <c r="BB307" s="182"/>
      <c r="BC307" s="182"/>
      <c r="BD307" s="182"/>
      <c r="BE307" s="182"/>
      <c r="BF307" s="182"/>
      <c r="BG307" s="182"/>
      <c r="BH307" s="182"/>
      <c r="BI307" s="182"/>
      <c r="BJ307" s="182"/>
      <c r="BK307" s="182"/>
      <c r="BL307" s="182"/>
      <c r="BM307" s="182"/>
      <c r="BN307" s="182"/>
      <c r="BO307" s="182"/>
      <c r="BP307" s="182"/>
      <c r="BQ307" s="182"/>
      <c r="BR307" s="182"/>
      <c r="BS307" s="182"/>
      <c r="BT307" s="182"/>
      <c r="BU307" s="182"/>
      <c r="BV307" s="182"/>
      <c r="BW307" s="182"/>
      <c r="BX307" s="182"/>
      <c r="BY307" s="182"/>
      <c r="BZ307" s="182"/>
      <c r="CA307" s="182"/>
      <c r="CB307" s="185">
        <f t="shared" si="52"/>
        <v>1641.5</v>
      </c>
      <c r="CC307" s="185">
        <f t="shared" si="53"/>
        <v>0</v>
      </c>
      <c r="CD307" s="185">
        <f t="shared" si="54"/>
        <v>686</v>
      </c>
      <c r="CE307" s="185" t="e">
        <f>+#REF!</f>
        <v>#REF!</v>
      </c>
    </row>
    <row r="308" spans="2:83" s="197" customFormat="1" ht="37.5" x14ac:dyDescent="0.3">
      <c r="B308" s="182">
        <v>1271</v>
      </c>
      <c r="C308" s="182">
        <v>687</v>
      </c>
      <c r="D308" s="182" t="s">
        <v>325</v>
      </c>
      <c r="E308" s="181" t="s">
        <v>4648</v>
      </c>
      <c r="F308" s="182"/>
      <c r="G308" s="182">
        <v>703.5</v>
      </c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  <c r="AK308" s="182"/>
      <c r="AL308" s="182"/>
      <c r="AM308" s="182"/>
      <c r="AN308" s="182"/>
      <c r="AO308" s="182"/>
      <c r="AP308" s="182"/>
      <c r="AQ308" s="185">
        <f t="shared" si="51"/>
        <v>703.5</v>
      </c>
      <c r="AR308" s="182">
        <v>470.6</v>
      </c>
      <c r="AS308" s="182">
        <v>63.4</v>
      </c>
      <c r="AT308" s="182">
        <v>169.5</v>
      </c>
      <c r="AU308" s="182"/>
      <c r="AV308" s="182"/>
      <c r="AW308" s="182"/>
      <c r="AX308" s="182"/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182"/>
      <c r="BK308" s="182"/>
      <c r="BL308" s="182"/>
      <c r="BM308" s="182"/>
      <c r="BN308" s="182"/>
      <c r="BO308" s="182"/>
      <c r="BP308" s="182"/>
      <c r="BQ308" s="182"/>
      <c r="BR308" s="182"/>
      <c r="BS308" s="182"/>
      <c r="BT308" s="182"/>
      <c r="BU308" s="182"/>
      <c r="BV308" s="182"/>
      <c r="BW308" s="182"/>
      <c r="BX308" s="182"/>
      <c r="BY308" s="182"/>
      <c r="BZ308" s="182"/>
      <c r="CA308" s="182"/>
      <c r="CB308" s="185">
        <f t="shared" si="52"/>
        <v>703.5</v>
      </c>
      <c r="CC308" s="185">
        <f t="shared" si="53"/>
        <v>0</v>
      </c>
      <c r="CD308" s="185">
        <f t="shared" si="54"/>
        <v>687</v>
      </c>
      <c r="CE308" s="185" t="e">
        <f>+#REF!</f>
        <v>#REF!</v>
      </c>
    </row>
    <row r="309" spans="2:83" s="197" customFormat="1" ht="37.5" x14ac:dyDescent="0.3">
      <c r="B309" s="182">
        <v>1272</v>
      </c>
      <c r="C309" s="182">
        <v>688</v>
      </c>
      <c r="D309" s="182" t="s">
        <v>325</v>
      </c>
      <c r="E309" s="181" t="s">
        <v>4648</v>
      </c>
      <c r="F309" s="182"/>
      <c r="G309" s="182">
        <v>820.75</v>
      </c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  <c r="AK309" s="182"/>
      <c r="AL309" s="182"/>
      <c r="AM309" s="182"/>
      <c r="AN309" s="182"/>
      <c r="AO309" s="182"/>
      <c r="AP309" s="182"/>
      <c r="AQ309" s="185">
        <f t="shared" si="51"/>
        <v>820.75</v>
      </c>
      <c r="AR309" s="182">
        <v>548.95000000000005</v>
      </c>
      <c r="AS309" s="182">
        <v>74.05</v>
      </c>
      <c r="AT309" s="182">
        <v>197.75</v>
      </c>
      <c r="AU309" s="182"/>
      <c r="AV309" s="182"/>
      <c r="AW309" s="182"/>
      <c r="AX309" s="182"/>
      <c r="AY309" s="182"/>
      <c r="AZ309" s="182"/>
      <c r="BA309" s="182"/>
      <c r="BB309" s="182"/>
      <c r="BC309" s="182"/>
      <c r="BD309" s="182"/>
      <c r="BE309" s="182"/>
      <c r="BF309" s="182"/>
      <c r="BG309" s="182"/>
      <c r="BH309" s="182"/>
      <c r="BI309" s="182"/>
      <c r="BJ309" s="182"/>
      <c r="BK309" s="182"/>
      <c r="BL309" s="182"/>
      <c r="BM309" s="182"/>
      <c r="BN309" s="182"/>
      <c r="BO309" s="182"/>
      <c r="BP309" s="182"/>
      <c r="BQ309" s="182"/>
      <c r="BR309" s="182"/>
      <c r="BS309" s="182"/>
      <c r="BT309" s="182"/>
      <c r="BU309" s="182"/>
      <c r="BV309" s="182"/>
      <c r="BW309" s="182"/>
      <c r="BX309" s="182"/>
      <c r="BY309" s="182"/>
      <c r="BZ309" s="182"/>
      <c r="CA309" s="182"/>
      <c r="CB309" s="185">
        <f t="shared" si="52"/>
        <v>820.75</v>
      </c>
      <c r="CC309" s="185">
        <f t="shared" si="53"/>
        <v>0</v>
      </c>
      <c r="CD309" s="185">
        <f t="shared" si="54"/>
        <v>688</v>
      </c>
      <c r="CE309" s="185" t="e">
        <f>+#REF!</f>
        <v>#REF!</v>
      </c>
    </row>
    <row r="310" spans="2:83" s="197" customFormat="1" ht="37.5" x14ac:dyDescent="0.3">
      <c r="B310" s="182">
        <v>1273</v>
      </c>
      <c r="C310" s="182">
        <v>689</v>
      </c>
      <c r="D310" s="182" t="s">
        <v>325</v>
      </c>
      <c r="E310" s="181" t="s">
        <v>4648</v>
      </c>
      <c r="F310" s="182"/>
      <c r="G310" s="182">
        <v>469</v>
      </c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82"/>
      <c r="AA310" s="182"/>
      <c r="AB310" s="182"/>
      <c r="AC310" s="182"/>
      <c r="AD310" s="182"/>
      <c r="AE310" s="182"/>
      <c r="AF310" s="182"/>
      <c r="AG310" s="182"/>
      <c r="AH310" s="182"/>
      <c r="AI310" s="182"/>
      <c r="AJ310" s="182"/>
      <c r="AK310" s="182"/>
      <c r="AL310" s="182"/>
      <c r="AM310" s="182"/>
      <c r="AN310" s="182"/>
      <c r="AO310" s="182"/>
      <c r="AP310" s="182"/>
      <c r="AQ310" s="185">
        <f t="shared" si="51"/>
        <v>469</v>
      </c>
      <c r="AR310" s="182">
        <v>314.39999999999998</v>
      </c>
      <c r="AS310" s="182">
        <v>41.6</v>
      </c>
      <c r="AT310" s="182">
        <v>113</v>
      </c>
      <c r="AU310" s="182"/>
      <c r="AV310" s="182"/>
      <c r="AW310" s="182"/>
      <c r="AX310" s="182"/>
      <c r="AY310" s="182"/>
      <c r="AZ310" s="182"/>
      <c r="BA310" s="182"/>
      <c r="BB310" s="182"/>
      <c r="BC310" s="182"/>
      <c r="BD310" s="182"/>
      <c r="BE310" s="182"/>
      <c r="BF310" s="182"/>
      <c r="BG310" s="182"/>
      <c r="BH310" s="182"/>
      <c r="BI310" s="182"/>
      <c r="BJ310" s="182"/>
      <c r="BK310" s="182"/>
      <c r="BL310" s="182"/>
      <c r="BM310" s="182"/>
      <c r="BN310" s="182"/>
      <c r="BO310" s="182"/>
      <c r="BP310" s="182"/>
      <c r="BQ310" s="182"/>
      <c r="BR310" s="182"/>
      <c r="BS310" s="182"/>
      <c r="BT310" s="182"/>
      <c r="BU310" s="182"/>
      <c r="BV310" s="182"/>
      <c r="BW310" s="182"/>
      <c r="BX310" s="182"/>
      <c r="BY310" s="182"/>
      <c r="BZ310" s="182"/>
      <c r="CA310" s="182"/>
      <c r="CB310" s="185">
        <f t="shared" si="52"/>
        <v>469</v>
      </c>
      <c r="CC310" s="185">
        <f t="shared" si="53"/>
        <v>0</v>
      </c>
      <c r="CD310" s="185">
        <f t="shared" si="54"/>
        <v>689</v>
      </c>
      <c r="CE310" s="185" t="e">
        <f>+#REF!</f>
        <v>#REF!</v>
      </c>
    </row>
    <row r="311" spans="2:83" s="197" customFormat="1" ht="37.5" x14ac:dyDescent="0.3">
      <c r="B311" s="182">
        <v>1274</v>
      </c>
      <c r="C311" s="182">
        <v>690</v>
      </c>
      <c r="D311" s="182" t="s">
        <v>325</v>
      </c>
      <c r="E311" s="181" t="s">
        <v>4648</v>
      </c>
      <c r="F311" s="182"/>
      <c r="G311" s="182">
        <v>255.4</v>
      </c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  <c r="AK311" s="182"/>
      <c r="AL311" s="182"/>
      <c r="AM311" s="182"/>
      <c r="AN311" s="182"/>
      <c r="AO311" s="182"/>
      <c r="AP311" s="182"/>
      <c r="AQ311" s="185">
        <f t="shared" si="51"/>
        <v>255.4</v>
      </c>
      <c r="AR311" s="182">
        <v>220.36</v>
      </c>
      <c r="AS311" s="182">
        <v>26.2</v>
      </c>
      <c r="AT311" s="182">
        <v>8.84</v>
      </c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/>
      <c r="BJ311" s="182"/>
      <c r="BK311" s="182"/>
      <c r="BL311" s="182"/>
      <c r="BM311" s="182"/>
      <c r="BN311" s="182"/>
      <c r="BO311" s="182"/>
      <c r="BP311" s="182"/>
      <c r="BQ311" s="182"/>
      <c r="BR311" s="182"/>
      <c r="BS311" s="182"/>
      <c r="BT311" s="182"/>
      <c r="BU311" s="182"/>
      <c r="BV311" s="182"/>
      <c r="BW311" s="182"/>
      <c r="BX311" s="182"/>
      <c r="BY311" s="182"/>
      <c r="BZ311" s="182"/>
      <c r="CA311" s="182"/>
      <c r="CB311" s="185">
        <f t="shared" si="52"/>
        <v>255.4</v>
      </c>
      <c r="CC311" s="185">
        <f t="shared" si="53"/>
        <v>0</v>
      </c>
      <c r="CD311" s="185">
        <f t="shared" si="54"/>
        <v>690</v>
      </c>
      <c r="CE311" s="185" t="e">
        <f>+#REF!</f>
        <v>#REF!</v>
      </c>
    </row>
    <row r="312" spans="2:83" s="197" customFormat="1" ht="37.5" x14ac:dyDescent="0.3">
      <c r="B312" s="182">
        <v>1275</v>
      </c>
      <c r="C312" s="182">
        <v>691</v>
      </c>
      <c r="D312" s="182" t="s">
        <v>325</v>
      </c>
      <c r="E312" s="181" t="s">
        <v>4648</v>
      </c>
      <c r="F312" s="182"/>
      <c r="G312" s="182">
        <v>3752</v>
      </c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  <c r="AK312" s="182"/>
      <c r="AL312" s="182"/>
      <c r="AM312" s="182"/>
      <c r="AN312" s="182"/>
      <c r="AO312" s="182"/>
      <c r="AP312" s="182"/>
      <c r="AQ312" s="185">
        <f t="shared" si="51"/>
        <v>3752</v>
      </c>
      <c r="AR312" s="182">
        <v>2508.34</v>
      </c>
      <c r="AS312" s="182">
        <v>339.66</v>
      </c>
      <c r="AT312" s="182">
        <v>904</v>
      </c>
      <c r="AU312" s="182"/>
      <c r="AV312" s="182"/>
      <c r="AW312" s="182"/>
      <c r="AX312" s="182"/>
      <c r="AY312" s="182"/>
      <c r="AZ312" s="182"/>
      <c r="BA312" s="182"/>
      <c r="BB312" s="182"/>
      <c r="BC312" s="182"/>
      <c r="BD312" s="182"/>
      <c r="BE312" s="182"/>
      <c r="BF312" s="182"/>
      <c r="BG312" s="182"/>
      <c r="BH312" s="182"/>
      <c r="BI312" s="182"/>
      <c r="BJ312" s="182"/>
      <c r="BK312" s="182"/>
      <c r="BL312" s="182"/>
      <c r="BM312" s="182"/>
      <c r="BN312" s="182"/>
      <c r="BO312" s="182"/>
      <c r="BP312" s="182"/>
      <c r="BQ312" s="182"/>
      <c r="BR312" s="182"/>
      <c r="BS312" s="182"/>
      <c r="BT312" s="182"/>
      <c r="BU312" s="182"/>
      <c r="BV312" s="182"/>
      <c r="BW312" s="182"/>
      <c r="BX312" s="182"/>
      <c r="BY312" s="182"/>
      <c r="BZ312" s="182"/>
      <c r="CA312" s="182"/>
      <c r="CB312" s="185">
        <f t="shared" si="52"/>
        <v>3752</v>
      </c>
      <c r="CC312" s="185">
        <f t="shared" si="53"/>
        <v>0</v>
      </c>
      <c r="CD312" s="185">
        <f t="shared" si="54"/>
        <v>691</v>
      </c>
      <c r="CE312" s="185" t="e">
        <f>+#REF!</f>
        <v>#REF!</v>
      </c>
    </row>
    <row r="313" spans="2:83" s="197" customFormat="1" ht="37.5" x14ac:dyDescent="0.3">
      <c r="B313" s="182">
        <v>1294</v>
      </c>
      <c r="C313" s="182">
        <v>692</v>
      </c>
      <c r="D313" s="182" t="s">
        <v>325</v>
      </c>
      <c r="E313" s="181" t="s">
        <v>97</v>
      </c>
      <c r="F313" s="182"/>
      <c r="G313" s="182">
        <v>10552.5</v>
      </c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  <c r="Z313" s="182"/>
      <c r="AA313" s="182"/>
      <c r="AB313" s="182"/>
      <c r="AC313" s="182"/>
      <c r="AD313" s="182"/>
      <c r="AE313" s="182"/>
      <c r="AF313" s="182"/>
      <c r="AG313" s="182"/>
      <c r="AH313" s="182"/>
      <c r="AI313" s="182"/>
      <c r="AJ313" s="182"/>
      <c r="AK313" s="182"/>
      <c r="AL313" s="182"/>
      <c r="AM313" s="182"/>
      <c r="AN313" s="182"/>
      <c r="AO313" s="182"/>
      <c r="AP313" s="182"/>
      <c r="AQ313" s="185">
        <f t="shared" si="51"/>
        <v>10552.5</v>
      </c>
      <c r="AR313" s="182">
        <v>7050.65</v>
      </c>
      <c r="AS313" s="182">
        <v>959.35</v>
      </c>
      <c r="AT313" s="182">
        <v>2542.5</v>
      </c>
      <c r="AU313" s="182"/>
      <c r="AV313" s="182"/>
      <c r="AW313" s="182"/>
      <c r="AX313" s="182"/>
      <c r="AY313" s="182"/>
      <c r="AZ313" s="182"/>
      <c r="BA313" s="182"/>
      <c r="BB313" s="182"/>
      <c r="BC313" s="182"/>
      <c r="BD313" s="182"/>
      <c r="BE313" s="182"/>
      <c r="BF313" s="182"/>
      <c r="BG313" s="182"/>
      <c r="BH313" s="182"/>
      <c r="BI313" s="182"/>
      <c r="BJ313" s="182"/>
      <c r="BK313" s="182"/>
      <c r="BL313" s="182"/>
      <c r="BM313" s="182"/>
      <c r="BN313" s="182"/>
      <c r="BO313" s="182"/>
      <c r="BP313" s="182"/>
      <c r="BQ313" s="182"/>
      <c r="BR313" s="182"/>
      <c r="BS313" s="182"/>
      <c r="BT313" s="182"/>
      <c r="BU313" s="182"/>
      <c r="BV313" s="182"/>
      <c r="BW313" s="182"/>
      <c r="BX313" s="182"/>
      <c r="BY313" s="182"/>
      <c r="BZ313" s="182"/>
      <c r="CA313" s="182"/>
      <c r="CB313" s="185">
        <f t="shared" si="52"/>
        <v>10552.5</v>
      </c>
      <c r="CC313" s="185">
        <f t="shared" si="53"/>
        <v>0</v>
      </c>
      <c r="CD313" s="185">
        <f t="shared" si="54"/>
        <v>692</v>
      </c>
      <c r="CE313" s="185" t="e">
        <f>+#REF!</f>
        <v>#REF!</v>
      </c>
    </row>
    <row r="314" spans="2:83" s="197" customFormat="1" ht="37.5" x14ac:dyDescent="0.3">
      <c r="B314" s="182">
        <v>1295</v>
      </c>
      <c r="C314" s="182">
        <v>693</v>
      </c>
      <c r="D314" s="182" t="s">
        <v>325</v>
      </c>
      <c r="E314" s="181" t="s">
        <v>97</v>
      </c>
      <c r="F314" s="182"/>
      <c r="G314" s="182">
        <v>5393.5</v>
      </c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2"/>
      <c r="AH314" s="182"/>
      <c r="AI314" s="182"/>
      <c r="AJ314" s="182"/>
      <c r="AK314" s="182"/>
      <c r="AL314" s="182"/>
      <c r="AM314" s="182"/>
      <c r="AN314" s="182"/>
      <c r="AO314" s="182"/>
      <c r="AP314" s="182"/>
      <c r="AQ314" s="185">
        <f t="shared" si="51"/>
        <v>5393.5</v>
      </c>
      <c r="AR314" s="182">
        <v>3603.65</v>
      </c>
      <c r="AS314" s="182">
        <v>490.35</v>
      </c>
      <c r="AT314" s="182">
        <v>1299.5</v>
      </c>
      <c r="AU314" s="182"/>
      <c r="AV314" s="182"/>
      <c r="AW314" s="182"/>
      <c r="AX314" s="182"/>
      <c r="AY314" s="182"/>
      <c r="AZ314" s="182"/>
      <c r="BA314" s="182"/>
      <c r="BB314" s="182"/>
      <c r="BC314" s="182"/>
      <c r="BD314" s="182"/>
      <c r="BE314" s="182"/>
      <c r="BF314" s="182"/>
      <c r="BG314" s="182"/>
      <c r="BH314" s="182"/>
      <c r="BI314" s="182"/>
      <c r="BJ314" s="182"/>
      <c r="BK314" s="182"/>
      <c r="BL314" s="182"/>
      <c r="BM314" s="182"/>
      <c r="BN314" s="182"/>
      <c r="BO314" s="182"/>
      <c r="BP314" s="182"/>
      <c r="BQ314" s="182"/>
      <c r="BR314" s="182"/>
      <c r="BS314" s="182"/>
      <c r="BT314" s="182"/>
      <c r="BU314" s="182"/>
      <c r="BV314" s="182"/>
      <c r="BW314" s="182"/>
      <c r="BX314" s="182"/>
      <c r="BY314" s="182"/>
      <c r="BZ314" s="182"/>
      <c r="CA314" s="182"/>
      <c r="CB314" s="185">
        <f t="shared" si="52"/>
        <v>5393.5</v>
      </c>
      <c r="CC314" s="185">
        <f t="shared" si="53"/>
        <v>0</v>
      </c>
      <c r="CD314" s="185">
        <f t="shared" si="54"/>
        <v>693</v>
      </c>
      <c r="CE314" s="185" t="e">
        <f>+#REF!</f>
        <v>#REF!</v>
      </c>
    </row>
    <row r="315" spans="2:83" s="197" customFormat="1" ht="37.5" x14ac:dyDescent="0.3">
      <c r="B315" s="182">
        <v>1314</v>
      </c>
      <c r="C315" s="182">
        <v>694</v>
      </c>
      <c r="D315" s="182" t="s">
        <v>325</v>
      </c>
      <c r="E315" s="181" t="s">
        <v>4648</v>
      </c>
      <c r="F315" s="182"/>
      <c r="G315" s="182">
        <v>1993.24</v>
      </c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  <c r="Z315" s="182"/>
      <c r="AA315" s="182"/>
      <c r="AB315" s="182"/>
      <c r="AC315" s="182"/>
      <c r="AD315" s="182"/>
      <c r="AE315" s="182"/>
      <c r="AF315" s="182"/>
      <c r="AG315" s="182"/>
      <c r="AH315" s="182"/>
      <c r="AI315" s="182"/>
      <c r="AJ315" s="182"/>
      <c r="AK315" s="182"/>
      <c r="AL315" s="182"/>
      <c r="AM315" s="182"/>
      <c r="AN315" s="182"/>
      <c r="AO315" s="182"/>
      <c r="AP315" s="182"/>
      <c r="AQ315" s="185">
        <f t="shared" si="51"/>
        <v>1993.24</v>
      </c>
      <c r="AR315" s="182">
        <v>1333.1</v>
      </c>
      <c r="AS315" s="182">
        <v>179.9</v>
      </c>
      <c r="AT315" s="182">
        <v>480.24</v>
      </c>
      <c r="AU315" s="182"/>
      <c r="AV315" s="182"/>
      <c r="AW315" s="182"/>
      <c r="AX315" s="182"/>
      <c r="AY315" s="182"/>
      <c r="AZ315" s="182"/>
      <c r="BA315" s="182"/>
      <c r="BB315" s="182"/>
      <c r="BC315" s="182"/>
      <c r="BD315" s="182"/>
      <c r="BE315" s="182"/>
      <c r="BF315" s="182"/>
      <c r="BG315" s="182"/>
      <c r="BH315" s="182"/>
      <c r="BI315" s="182"/>
      <c r="BJ315" s="182"/>
      <c r="BK315" s="182"/>
      <c r="BL315" s="182"/>
      <c r="BM315" s="182"/>
      <c r="BN315" s="182"/>
      <c r="BO315" s="182"/>
      <c r="BP315" s="182"/>
      <c r="BQ315" s="182"/>
      <c r="BR315" s="182"/>
      <c r="BS315" s="182"/>
      <c r="BT315" s="182"/>
      <c r="BU315" s="182"/>
      <c r="BV315" s="182"/>
      <c r="BW315" s="182"/>
      <c r="BX315" s="182"/>
      <c r="BY315" s="182"/>
      <c r="BZ315" s="182"/>
      <c r="CA315" s="182"/>
      <c r="CB315" s="185">
        <f t="shared" si="52"/>
        <v>1993.24</v>
      </c>
      <c r="CC315" s="185">
        <f t="shared" si="53"/>
        <v>0</v>
      </c>
      <c r="CD315" s="185">
        <f t="shared" si="54"/>
        <v>694</v>
      </c>
      <c r="CE315" s="185" t="e">
        <f>+#REF!</f>
        <v>#REF!</v>
      </c>
    </row>
    <row r="316" spans="2:83" s="197" customFormat="1" ht="37.5" x14ac:dyDescent="0.3">
      <c r="B316" s="182">
        <v>1315</v>
      </c>
      <c r="C316" s="182">
        <v>695</v>
      </c>
      <c r="D316" s="182" t="s">
        <v>325</v>
      </c>
      <c r="E316" s="181" t="s">
        <v>4648</v>
      </c>
      <c r="F316" s="182"/>
      <c r="G316" s="182">
        <v>1000</v>
      </c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  <c r="Z316" s="182"/>
      <c r="AA316" s="182"/>
      <c r="AB316" s="182"/>
      <c r="AC316" s="182"/>
      <c r="AD316" s="182"/>
      <c r="AE316" s="182"/>
      <c r="AF316" s="182"/>
      <c r="AG316" s="182"/>
      <c r="AH316" s="182"/>
      <c r="AI316" s="182"/>
      <c r="AJ316" s="182"/>
      <c r="AK316" s="182"/>
      <c r="AL316" s="182"/>
      <c r="AM316" s="182"/>
      <c r="AN316" s="182"/>
      <c r="AO316" s="182"/>
      <c r="AP316" s="182"/>
      <c r="AQ316" s="185">
        <f t="shared" si="51"/>
        <v>1000</v>
      </c>
      <c r="AR316" s="182">
        <v>893.35</v>
      </c>
      <c r="AS316" s="182">
        <v>106.65</v>
      </c>
      <c r="AT316" s="182"/>
      <c r="AU316" s="182"/>
      <c r="AV316" s="182"/>
      <c r="AW316" s="182"/>
      <c r="AX316" s="182"/>
      <c r="AY316" s="182"/>
      <c r="AZ316" s="182"/>
      <c r="BA316" s="182"/>
      <c r="BB316" s="182"/>
      <c r="BC316" s="182"/>
      <c r="BD316" s="182"/>
      <c r="BE316" s="182"/>
      <c r="BF316" s="182"/>
      <c r="BG316" s="182"/>
      <c r="BH316" s="182"/>
      <c r="BI316" s="182"/>
      <c r="BJ316" s="182"/>
      <c r="BK316" s="182"/>
      <c r="BL316" s="182"/>
      <c r="BM316" s="182"/>
      <c r="BN316" s="182"/>
      <c r="BO316" s="182"/>
      <c r="BP316" s="182"/>
      <c r="BQ316" s="182"/>
      <c r="BR316" s="182"/>
      <c r="BS316" s="182"/>
      <c r="BT316" s="182"/>
      <c r="BU316" s="182"/>
      <c r="BV316" s="182"/>
      <c r="BW316" s="182"/>
      <c r="BX316" s="182"/>
      <c r="BY316" s="182"/>
      <c r="BZ316" s="182"/>
      <c r="CA316" s="182"/>
      <c r="CB316" s="185">
        <f t="shared" si="52"/>
        <v>1000</v>
      </c>
      <c r="CC316" s="185">
        <f t="shared" si="53"/>
        <v>0</v>
      </c>
      <c r="CD316" s="185">
        <f t="shared" si="54"/>
        <v>695</v>
      </c>
      <c r="CE316" s="185" t="e">
        <f>+#REF!</f>
        <v>#REF!</v>
      </c>
    </row>
    <row r="317" spans="2:83" s="197" customFormat="1" ht="37.5" x14ac:dyDescent="0.3">
      <c r="B317" s="182">
        <v>1154</v>
      </c>
      <c r="C317" s="182">
        <v>696</v>
      </c>
      <c r="D317" s="182" t="s">
        <v>325</v>
      </c>
      <c r="E317" s="181" t="s">
        <v>4649</v>
      </c>
      <c r="F317" s="182"/>
      <c r="G317" s="182">
        <v>6000</v>
      </c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2"/>
      <c r="AH317" s="182"/>
      <c r="AI317" s="182"/>
      <c r="AJ317" s="182"/>
      <c r="AK317" s="182"/>
      <c r="AL317" s="182"/>
      <c r="AM317" s="182"/>
      <c r="AN317" s="182"/>
      <c r="AO317" s="182"/>
      <c r="AP317" s="182"/>
      <c r="AQ317" s="185">
        <f t="shared" si="51"/>
        <v>6000</v>
      </c>
      <c r="AR317" s="182">
        <v>5355.7</v>
      </c>
      <c r="AS317" s="182">
        <v>644.29999999999995</v>
      </c>
      <c r="AT317" s="182"/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182"/>
      <c r="BK317" s="182"/>
      <c r="BL317" s="182"/>
      <c r="BM317" s="182"/>
      <c r="BN317" s="182"/>
      <c r="BO317" s="182"/>
      <c r="BP317" s="182"/>
      <c r="BQ317" s="182"/>
      <c r="BR317" s="182"/>
      <c r="BS317" s="182"/>
      <c r="BT317" s="182"/>
      <c r="BU317" s="182"/>
      <c r="BV317" s="182"/>
      <c r="BW317" s="182"/>
      <c r="BX317" s="182"/>
      <c r="BY317" s="182"/>
      <c r="BZ317" s="182"/>
      <c r="CA317" s="182"/>
      <c r="CB317" s="185">
        <f t="shared" si="52"/>
        <v>6000</v>
      </c>
      <c r="CC317" s="185">
        <f t="shared" si="53"/>
        <v>0</v>
      </c>
      <c r="CD317" s="185">
        <f t="shared" si="54"/>
        <v>696</v>
      </c>
      <c r="CE317" s="185" t="e">
        <f>+#REF!</f>
        <v>#REF!</v>
      </c>
    </row>
    <row r="318" spans="2:83" s="197" customFormat="1" ht="37.5" x14ac:dyDescent="0.3">
      <c r="B318" s="182">
        <v>1158</v>
      </c>
      <c r="C318" s="182">
        <v>697</v>
      </c>
      <c r="D318" s="182" t="s">
        <v>325</v>
      </c>
      <c r="E318" s="181" t="s">
        <v>4649</v>
      </c>
      <c r="F318" s="182"/>
      <c r="G318" s="182">
        <v>2000</v>
      </c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  <c r="AJ318" s="182"/>
      <c r="AK318" s="182"/>
      <c r="AL318" s="182"/>
      <c r="AM318" s="182"/>
      <c r="AN318" s="182"/>
      <c r="AO318" s="182"/>
      <c r="AP318" s="182"/>
      <c r="AQ318" s="185">
        <f t="shared" si="51"/>
        <v>2000</v>
      </c>
      <c r="AR318" s="182">
        <v>1786.7</v>
      </c>
      <c r="AS318" s="182">
        <v>213.3</v>
      </c>
      <c r="AT318" s="182"/>
      <c r="AU318" s="182"/>
      <c r="AV318" s="182"/>
      <c r="AW318" s="182"/>
      <c r="AX318" s="182"/>
      <c r="AY318" s="182"/>
      <c r="AZ318" s="182"/>
      <c r="BA318" s="182"/>
      <c r="BB318" s="182"/>
      <c r="BC318" s="182"/>
      <c r="BD318" s="182"/>
      <c r="BE318" s="182"/>
      <c r="BF318" s="182"/>
      <c r="BG318" s="182"/>
      <c r="BH318" s="182"/>
      <c r="BI318" s="182"/>
      <c r="BJ318" s="182"/>
      <c r="BK318" s="182"/>
      <c r="BL318" s="182"/>
      <c r="BM318" s="182"/>
      <c r="BN318" s="182"/>
      <c r="BO318" s="182"/>
      <c r="BP318" s="182"/>
      <c r="BQ318" s="182"/>
      <c r="BR318" s="182"/>
      <c r="BS318" s="182"/>
      <c r="BT318" s="182"/>
      <c r="BU318" s="182"/>
      <c r="BV318" s="182"/>
      <c r="BW318" s="182"/>
      <c r="BX318" s="182"/>
      <c r="BY318" s="182"/>
      <c r="BZ318" s="182"/>
      <c r="CA318" s="182"/>
      <c r="CB318" s="185">
        <f t="shared" si="52"/>
        <v>2000</v>
      </c>
      <c r="CC318" s="185">
        <f t="shared" si="53"/>
        <v>0</v>
      </c>
      <c r="CD318" s="185">
        <f t="shared" si="54"/>
        <v>697</v>
      </c>
      <c r="CE318" s="185" t="e">
        <f>+#REF!</f>
        <v>#REF!</v>
      </c>
    </row>
    <row r="319" spans="2:83" s="197" customFormat="1" ht="37.5" x14ac:dyDescent="0.3">
      <c r="B319" s="182">
        <v>1159</v>
      </c>
      <c r="C319" s="182">
        <v>698</v>
      </c>
      <c r="D319" s="182" t="s">
        <v>325</v>
      </c>
      <c r="E319" s="181" t="s">
        <v>4649</v>
      </c>
      <c r="F319" s="182"/>
      <c r="G319" s="182">
        <v>2500</v>
      </c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  <c r="AD319" s="182"/>
      <c r="AE319" s="182"/>
      <c r="AF319" s="182"/>
      <c r="AG319" s="182"/>
      <c r="AH319" s="182"/>
      <c r="AI319" s="182"/>
      <c r="AJ319" s="182"/>
      <c r="AK319" s="182"/>
      <c r="AL319" s="182"/>
      <c r="AM319" s="182"/>
      <c r="AN319" s="182"/>
      <c r="AO319" s="182"/>
      <c r="AP319" s="182"/>
      <c r="AQ319" s="185">
        <f t="shared" si="51"/>
        <v>2500</v>
      </c>
      <c r="AR319" s="182">
        <v>2232.35</v>
      </c>
      <c r="AS319" s="182">
        <v>267.64999999999998</v>
      </c>
      <c r="AT319" s="182"/>
      <c r="AU319" s="182"/>
      <c r="AV319" s="182"/>
      <c r="AW319" s="182"/>
      <c r="AX319" s="182"/>
      <c r="AY319" s="182"/>
      <c r="AZ319" s="182"/>
      <c r="BA319" s="182"/>
      <c r="BB319" s="182"/>
      <c r="BC319" s="182"/>
      <c r="BD319" s="182"/>
      <c r="BE319" s="182"/>
      <c r="BF319" s="182"/>
      <c r="BG319" s="182"/>
      <c r="BH319" s="182"/>
      <c r="BI319" s="182"/>
      <c r="BJ319" s="182"/>
      <c r="BK319" s="182"/>
      <c r="BL319" s="182"/>
      <c r="BM319" s="182"/>
      <c r="BN319" s="182"/>
      <c r="BO319" s="182"/>
      <c r="BP319" s="182"/>
      <c r="BQ319" s="182"/>
      <c r="BR319" s="182"/>
      <c r="BS319" s="182"/>
      <c r="BT319" s="182"/>
      <c r="BU319" s="182"/>
      <c r="BV319" s="182"/>
      <c r="BW319" s="182"/>
      <c r="BX319" s="182"/>
      <c r="BY319" s="182"/>
      <c r="BZ319" s="182"/>
      <c r="CA319" s="182"/>
      <c r="CB319" s="185">
        <f t="shared" si="52"/>
        <v>2500</v>
      </c>
      <c r="CC319" s="185">
        <f t="shared" si="53"/>
        <v>0</v>
      </c>
      <c r="CD319" s="185">
        <f t="shared" si="54"/>
        <v>698</v>
      </c>
      <c r="CE319" s="185" t="e">
        <f>+#REF!</f>
        <v>#REF!</v>
      </c>
    </row>
    <row r="320" spans="2:83" s="197" customFormat="1" ht="37.5" x14ac:dyDescent="0.3">
      <c r="B320" s="182">
        <v>1149</v>
      </c>
      <c r="C320" s="182">
        <v>699</v>
      </c>
      <c r="D320" s="182" t="s">
        <v>325</v>
      </c>
      <c r="E320" s="181" t="s">
        <v>4650</v>
      </c>
      <c r="F320" s="182"/>
      <c r="G320" s="182">
        <v>3000</v>
      </c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82"/>
      <c r="AE320" s="182"/>
      <c r="AF320" s="182"/>
      <c r="AG320" s="182"/>
      <c r="AH320" s="182"/>
      <c r="AI320" s="182"/>
      <c r="AJ320" s="182"/>
      <c r="AK320" s="182"/>
      <c r="AL320" s="182"/>
      <c r="AM320" s="182"/>
      <c r="AN320" s="182"/>
      <c r="AO320" s="182"/>
      <c r="AP320" s="182"/>
      <c r="AQ320" s="185">
        <f t="shared" si="51"/>
        <v>3000</v>
      </c>
      <c r="AR320" s="182">
        <v>2677.85</v>
      </c>
      <c r="AS320" s="182">
        <v>322.14999999999998</v>
      </c>
      <c r="AT320" s="182"/>
      <c r="AU320" s="182"/>
      <c r="AV320" s="182"/>
      <c r="AW320" s="182"/>
      <c r="AX320" s="182"/>
      <c r="AY320" s="182"/>
      <c r="AZ320" s="182"/>
      <c r="BA320" s="182"/>
      <c r="BB320" s="182"/>
      <c r="BC320" s="182"/>
      <c r="BD320" s="182"/>
      <c r="BE320" s="182"/>
      <c r="BF320" s="182"/>
      <c r="BG320" s="182"/>
      <c r="BH320" s="182"/>
      <c r="BI320" s="182"/>
      <c r="BJ320" s="182"/>
      <c r="BK320" s="182"/>
      <c r="BL320" s="182"/>
      <c r="BM320" s="182"/>
      <c r="BN320" s="182"/>
      <c r="BO320" s="182"/>
      <c r="BP320" s="182"/>
      <c r="BQ320" s="182"/>
      <c r="BR320" s="182"/>
      <c r="BS320" s="182"/>
      <c r="BT320" s="182"/>
      <c r="BU320" s="182"/>
      <c r="BV320" s="182"/>
      <c r="BW320" s="182"/>
      <c r="BX320" s="182"/>
      <c r="BY320" s="182"/>
      <c r="BZ320" s="182"/>
      <c r="CA320" s="182"/>
      <c r="CB320" s="185">
        <f t="shared" si="52"/>
        <v>3000</v>
      </c>
      <c r="CC320" s="185">
        <f t="shared" si="53"/>
        <v>0</v>
      </c>
      <c r="CD320" s="185">
        <f t="shared" si="54"/>
        <v>699</v>
      </c>
      <c r="CE320" s="185" t="e">
        <f>+#REF!</f>
        <v>#REF!</v>
      </c>
    </row>
    <row r="321" spans="2:83" s="197" customFormat="1" ht="37.5" x14ac:dyDescent="0.3">
      <c r="B321" s="182">
        <v>1276</v>
      </c>
      <c r="C321" s="182">
        <v>700</v>
      </c>
      <c r="D321" s="182" t="s">
        <v>325</v>
      </c>
      <c r="E321" s="181" t="s">
        <v>4651</v>
      </c>
      <c r="F321" s="182"/>
      <c r="G321" s="182">
        <v>492.45</v>
      </c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  <c r="Z321" s="182"/>
      <c r="AA321" s="182"/>
      <c r="AB321" s="182"/>
      <c r="AC321" s="182"/>
      <c r="AD321" s="182"/>
      <c r="AE321" s="182"/>
      <c r="AF321" s="182"/>
      <c r="AG321" s="182"/>
      <c r="AH321" s="182"/>
      <c r="AI321" s="182"/>
      <c r="AJ321" s="182"/>
      <c r="AK321" s="182"/>
      <c r="AL321" s="182"/>
      <c r="AM321" s="182"/>
      <c r="AN321" s="182"/>
      <c r="AO321" s="182"/>
      <c r="AP321" s="182"/>
      <c r="AQ321" s="185">
        <f t="shared" si="51"/>
        <v>492.45</v>
      </c>
      <c r="AR321" s="182">
        <v>329.65</v>
      </c>
      <c r="AS321" s="182">
        <v>44.15</v>
      </c>
      <c r="AT321" s="182">
        <v>118.65</v>
      </c>
      <c r="AU321" s="182"/>
      <c r="AV321" s="182"/>
      <c r="AW321" s="182"/>
      <c r="AX321" s="182"/>
      <c r="AY321" s="182"/>
      <c r="AZ321" s="182"/>
      <c r="BA321" s="182"/>
      <c r="BB321" s="182"/>
      <c r="BC321" s="182"/>
      <c r="BD321" s="182"/>
      <c r="BE321" s="182"/>
      <c r="BF321" s="182"/>
      <c r="BG321" s="182"/>
      <c r="BH321" s="182"/>
      <c r="BI321" s="182"/>
      <c r="BJ321" s="182"/>
      <c r="BK321" s="182"/>
      <c r="BL321" s="182"/>
      <c r="BM321" s="182"/>
      <c r="BN321" s="182"/>
      <c r="BO321" s="182"/>
      <c r="BP321" s="182"/>
      <c r="BQ321" s="182"/>
      <c r="BR321" s="182"/>
      <c r="BS321" s="182"/>
      <c r="BT321" s="182"/>
      <c r="BU321" s="182"/>
      <c r="BV321" s="182"/>
      <c r="BW321" s="182"/>
      <c r="BX321" s="182"/>
      <c r="BY321" s="182"/>
      <c r="BZ321" s="182"/>
      <c r="CA321" s="182"/>
      <c r="CB321" s="185">
        <f t="shared" si="52"/>
        <v>492.44999999999993</v>
      </c>
      <c r="CC321" s="185">
        <f t="shared" si="53"/>
        <v>0</v>
      </c>
      <c r="CD321" s="185">
        <f t="shared" si="54"/>
        <v>700</v>
      </c>
      <c r="CE321" s="185" t="e">
        <f>+#REF!</f>
        <v>#REF!</v>
      </c>
    </row>
    <row r="322" spans="2:83" s="197" customFormat="1" ht="37.5" x14ac:dyDescent="0.3">
      <c r="B322" s="182">
        <v>1278</v>
      </c>
      <c r="C322" s="182">
        <v>701</v>
      </c>
      <c r="D322" s="182" t="s">
        <v>325</v>
      </c>
      <c r="E322" s="181" t="s">
        <v>4652</v>
      </c>
      <c r="F322" s="182"/>
      <c r="G322" s="182">
        <v>1618.05</v>
      </c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2"/>
      <c r="AH322" s="182"/>
      <c r="AI322" s="182"/>
      <c r="AJ322" s="182"/>
      <c r="AK322" s="182"/>
      <c r="AL322" s="182"/>
      <c r="AM322" s="182"/>
      <c r="AN322" s="182"/>
      <c r="AO322" s="182"/>
      <c r="AP322" s="182"/>
      <c r="AQ322" s="185">
        <f t="shared" si="51"/>
        <v>1618.05</v>
      </c>
      <c r="AR322" s="182">
        <v>1083.4000000000001</v>
      </c>
      <c r="AS322" s="182">
        <v>144.80000000000001</v>
      </c>
      <c r="AT322" s="182">
        <v>389.85</v>
      </c>
      <c r="AU322" s="182"/>
      <c r="AV322" s="182"/>
      <c r="AW322" s="182"/>
      <c r="AX322" s="182"/>
      <c r="AY322" s="182"/>
      <c r="AZ322" s="182"/>
      <c r="BA322" s="182"/>
      <c r="BB322" s="182"/>
      <c r="BC322" s="182"/>
      <c r="BD322" s="182"/>
      <c r="BE322" s="182"/>
      <c r="BF322" s="182"/>
      <c r="BG322" s="182"/>
      <c r="BH322" s="182"/>
      <c r="BI322" s="182"/>
      <c r="BJ322" s="182"/>
      <c r="BK322" s="182"/>
      <c r="BL322" s="182"/>
      <c r="BM322" s="182"/>
      <c r="BN322" s="182"/>
      <c r="BO322" s="182"/>
      <c r="BP322" s="182"/>
      <c r="BQ322" s="182"/>
      <c r="BR322" s="182"/>
      <c r="BS322" s="182"/>
      <c r="BT322" s="182"/>
      <c r="BU322" s="182"/>
      <c r="BV322" s="182"/>
      <c r="BW322" s="182"/>
      <c r="BX322" s="182"/>
      <c r="BY322" s="182"/>
      <c r="BZ322" s="182"/>
      <c r="CA322" s="182"/>
      <c r="CB322" s="185">
        <f t="shared" si="52"/>
        <v>1618.0500000000002</v>
      </c>
      <c r="CC322" s="185">
        <f t="shared" si="53"/>
        <v>0</v>
      </c>
      <c r="CD322" s="185">
        <f t="shared" si="54"/>
        <v>701</v>
      </c>
      <c r="CE322" s="185" t="e">
        <f>+#REF!</f>
        <v>#REF!</v>
      </c>
    </row>
    <row r="323" spans="2:83" s="197" customFormat="1" ht="37.5" x14ac:dyDescent="0.3">
      <c r="B323" s="182">
        <v>1279</v>
      </c>
      <c r="C323" s="182">
        <v>702</v>
      </c>
      <c r="D323" s="182" t="s">
        <v>325</v>
      </c>
      <c r="E323" s="181" t="s">
        <v>4652</v>
      </c>
      <c r="F323" s="182"/>
      <c r="G323" s="182">
        <v>386.92</v>
      </c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  <c r="AK323" s="182"/>
      <c r="AL323" s="182"/>
      <c r="AM323" s="182"/>
      <c r="AN323" s="182"/>
      <c r="AO323" s="182"/>
      <c r="AP323" s="182"/>
      <c r="AQ323" s="185">
        <f t="shared" si="51"/>
        <v>386.92</v>
      </c>
      <c r="AR323" s="182">
        <v>259.10000000000002</v>
      </c>
      <c r="AS323" s="182">
        <v>34.6</v>
      </c>
      <c r="AT323" s="182">
        <v>93.22</v>
      </c>
      <c r="AU323" s="182"/>
      <c r="AV323" s="182"/>
      <c r="AW323" s="182"/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/>
      <c r="BJ323" s="182"/>
      <c r="BK323" s="182"/>
      <c r="BL323" s="182"/>
      <c r="BM323" s="182"/>
      <c r="BN323" s="182"/>
      <c r="BO323" s="182"/>
      <c r="BP323" s="182"/>
      <c r="BQ323" s="182"/>
      <c r="BR323" s="182"/>
      <c r="BS323" s="182"/>
      <c r="BT323" s="182"/>
      <c r="BU323" s="182"/>
      <c r="BV323" s="182"/>
      <c r="BW323" s="182"/>
      <c r="BX323" s="182"/>
      <c r="BY323" s="182"/>
      <c r="BZ323" s="182"/>
      <c r="CA323" s="182"/>
      <c r="CB323" s="185">
        <f t="shared" si="52"/>
        <v>386.92000000000007</v>
      </c>
      <c r="CC323" s="185">
        <f t="shared" si="53"/>
        <v>0</v>
      </c>
      <c r="CD323" s="185">
        <f t="shared" si="54"/>
        <v>702</v>
      </c>
      <c r="CE323" s="185" t="e">
        <f>+#REF!</f>
        <v>#REF!</v>
      </c>
    </row>
    <row r="324" spans="2:83" s="197" customFormat="1" ht="37.5" x14ac:dyDescent="0.3">
      <c r="B324" s="182">
        <v>1280</v>
      </c>
      <c r="C324" s="182">
        <v>703</v>
      </c>
      <c r="D324" s="182" t="s">
        <v>325</v>
      </c>
      <c r="E324" s="181" t="s">
        <v>4652</v>
      </c>
      <c r="F324" s="182"/>
      <c r="G324" s="182">
        <v>597.98</v>
      </c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  <c r="AK324" s="182"/>
      <c r="AL324" s="182"/>
      <c r="AM324" s="182"/>
      <c r="AN324" s="182"/>
      <c r="AO324" s="182"/>
      <c r="AP324" s="182"/>
      <c r="AQ324" s="185">
        <f t="shared" si="51"/>
        <v>597.98</v>
      </c>
      <c r="AR324" s="182">
        <v>401.05</v>
      </c>
      <c r="AS324" s="182">
        <v>52.85</v>
      </c>
      <c r="AT324" s="182">
        <v>144.08000000000001</v>
      </c>
      <c r="AU324" s="182"/>
      <c r="AV324" s="182"/>
      <c r="AW324" s="182"/>
      <c r="AX324" s="182"/>
      <c r="AY324" s="182"/>
      <c r="AZ324" s="182"/>
      <c r="BA324" s="182"/>
      <c r="BB324" s="182"/>
      <c r="BC324" s="182"/>
      <c r="BD324" s="182"/>
      <c r="BE324" s="182"/>
      <c r="BF324" s="182"/>
      <c r="BG324" s="182"/>
      <c r="BH324" s="182"/>
      <c r="BI324" s="182"/>
      <c r="BJ324" s="182"/>
      <c r="BK324" s="182"/>
      <c r="BL324" s="182"/>
      <c r="BM324" s="182"/>
      <c r="BN324" s="182"/>
      <c r="BO324" s="182"/>
      <c r="BP324" s="182"/>
      <c r="BQ324" s="182"/>
      <c r="BR324" s="182"/>
      <c r="BS324" s="182"/>
      <c r="BT324" s="182"/>
      <c r="BU324" s="182"/>
      <c r="BV324" s="182"/>
      <c r="BW324" s="182"/>
      <c r="BX324" s="182"/>
      <c r="BY324" s="182"/>
      <c r="BZ324" s="182"/>
      <c r="CA324" s="182"/>
      <c r="CB324" s="185">
        <f t="shared" si="52"/>
        <v>597.98</v>
      </c>
      <c r="CC324" s="185">
        <f t="shared" si="53"/>
        <v>0</v>
      </c>
      <c r="CD324" s="185">
        <f t="shared" si="54"/>
        <v>703</v>
      </c>
      <c r="CE324" s="185" t="e">
        <f>+#REF!</f>
        <v>#REF!</v>
      </c>
    </row>
    <row r="325" spans="2:83" s="197" customFormat="1" ht="37.5" x14ac:dyDescent="0.3">
      <c r="B325" s="182">
        <v>1281</v>
      </c>
      <c r="C325" s="182">
        <v>704</v>
      </c>
      <c r="D325" s="182" t="s">
        <v>325</v>
      </c>
      <c r="E325" s="181" t="s">
        <v>4652</v>
      </c>
      <c r="F325" s="182"/>
      <c r="G325" s="182">
        <v>140.69999999999999</v>
      </c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  <c r="Z325" s="182"/>
      <c r="AA325" s="182"/>
      <c r="AB325" s="182"/>
      <c r="AC325" s="182"/>
      <c r="AD325" s="182"/>
      <c r="AE325" s="182"/>
      <c r="AF325" s="182"/>
      <c r="AG325" s="182"/>
      <c r="AH325" s="182"/>
      <c r="AI325" s="182"/>
      <c r="AJ325" s="182"/>
      <c r="AK325" s="182"/>
      <c r="AL325" s="182"/>
      <c r="AM325" s="182"/>
      <c r="AN325" s="182"/>
      <c r="AO325" s="182"/>
      <c r="AP325" s="182"/>
      <c r="AQ325" s="185">
        <f t="shared" si="51"/>
        <v>140.69999999999999</v>
      </c>
      <c r="AR325" s="182">
        <v>94.45</v>
      </c>
      <c r="AS325" s="182">
        <v>12.35</v>
      </c>
      <c r="AT325" s="182">
        <v>33.9</v>
      </c>
      <c r="AU325" s="182"/>
      <c r="AV325" s="182"/>
      <c r="AW325" s="182"/>
      <c r="AX325" s="182"/>
      <c r="AY325" s="182"/>
      <c r="AZ325" s="182"/>
      <c r="BA325" s="182"/>
      <c r="BB325" s="182"/>
      <c r="BC325" s="182"/>
      <c r="BD325" s="182"/>
      <c r="BE325" s="182"/>
      <c r="BF325" s="182"/>
      <c r="BG325" s="182"/>
      <c r="BH325" s="182"/>
      <c r="BI325" s="182"/>
      <c r="BJ325" s="182"/>
      <c r="BK325" s="182"/>
      <c r="BL325" s="182"/>
      <c r="BM325" s="182"/>
      <c r="BN325" s="182"/>
      <c r="BO325" s="182"/>
      <c r="BP325" s="182"/>
      <c r="BQ325" s="182"/>
      <c r="BR325" s="182"/>
      <c r="BS325" s="182"/>
      <c r="BT325" s="182"/>
      <c r="BU325" s="182"/>
      <c r="BV325" s="182"/>
      <c r="BW325" s="182"/>
      <c r="BX325" s="182"/>
      <c r="BY325" s="182"/>
      <c r="BZ325" s="182"/>
      <c r="CA325" s="182"/>
      <c r="CB325" s="185">
        <f t="shared" si="52"/>
        <v>140.69999999999999</v>
      </c>
      <c r="CC325" s="185">
        <f t="shared" si="53"/>
        <v>0</v>
      </c>
      <c r="CD325" s="185">
        <f t="shared" si="54"/>
        <v>704</v>
      </c>
      <c r="CE325" s="185" t="e">
        <f>+#REF!</f>
        <v>#REF!</v>
      </c>
    </row>
    <row r="326" spans="2:83" s="197" customFormat="1" ht="56.25" x14ac:dyDescent="0.3">
      <c r="B326" s="182">
        <v>1900</v>
      </c>
      <c r="C326" s="182">
        <v>705</v>
      </c>
      <c r="D326" s="182" t="s">
        <v>325</v>
      </c>
      <c r="E326" s="181" t="s">
        <v>4653</v>
      </c>
      <c r="F326" s="182"/>
      <c r="G326" s="182">
        <v>2500</v>
      </c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  <c r="AK326" s="182"/>
      <c r="AL326" s="182"/>
      <c r="AM326" s="182"/>
      <c r="AN326" s="182"/>
      <c r="AO326" s="182"/>
      <c r="AP326" s="182"/>
      <c r="AQ326" s="185">
        <f t="shared" si="51"/>
        <v>2500</v>
      </c>
      <c r="AR326" s="182">
        <v>2235.25</v>
      </c>
      <c r="AS326" s="182">
        <v>264.75</v>
      </c>
      <c r="AT326" s="182"/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182"/>
      <c r="BK326" s="182"/>
      <c r="BL326" s="182"/>
      <c r="BM326" s="182"/>
      <c r="BN326" s="182"/>
      <c r="BO326" s="182"/>
      <c r="BP326" s="182"/>
      <c r="BQ326" s="182"/>
      <c r="BR326" s="182"/>
      <c r="BS326" s="182"/>
      <c r="BT326" s="182"/>
      <c r="BU326" s="182"/>
      <c r="BV326" s="182"/>
      <c r="BW326" s="182"/>
      <c r="BX326" s="182"/>
      <c r="BY326" s="182"/>
      <c r="BZ326" s="182"/>
      <c r="CA326" s="182"/>
      <c r="CB326" s="185">
        <f t="shared" si="52"/>
        <v>2500</v>
      </c>
      <c r="CC326" s="185">
        <f t="shared" si="53"/>
        <v>0</v>
      </c>
      <c r="CD326" s="185">
        <f t="shared" si="54"/>
        <v>705</v>
      </c>
      <c r="CE326" s="185" t="e">
        <f>+#REF!</f>
        <v>#REF!</v>
      </c>
    </row>
    <row r="327" spans="2:83" s="197" customFormat="1" ht="37.5" x14ac:dyDescent="0.3">
      <c r="B327" s="182">
        <v>1282</v>
      </c>
      <c r="C327" s="182">
        <v>706</v>
      </c>
      <c r="D327" s="182" t="s">
        <v>325</v>
      </c>
      <c r="E327" s="181" t="s">
        <v>4654</v>
      </c>
      <c r="F327" s="182"/>
      <c r="G327" s="182">
        <v>1407</v>
      </c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  <c r="AK327" s="182"/>
      <c r="AL327" s="182"/>
      <c r="AM327" s="182"/>
      <c r="AN327" s="182"/>
      <c r="AO327" s="182"/>
      <c r="AP327" s="182"/>
      <c r="AQ327" s="185">
        <f t="shared" si="51"/>
        <v>1407</v>
      </c>
      <c r="AR327" s="182">
        <v>941.35</v>
      </c>
      <c r="AS327" s="182">
        <v>126.65</v>
      </c>
      <c r="AT327" s="182">
        <v>339</v>
      </c>
      <c r="AU327" s="182"/>
      <c r="AV327" s="182"/>
      <c r="AW327" s="182"/>
      <c r="AX327" s="182"/>
      <c r="AY327" s="182"/>
      <c r="AZ327" s="182"/>
      <c r="BA327" s="182"/>
      <c r="BB327" s="182"/>
      <c r="BC327" s="182"/>
      <c r="BD327" s="182"/>
      <c r="BE327" s="182"/>
      <c r="BF327" s="182"/>
      <c r="BG327" s="182"/>
      <c r="BH327" s="182"/>
      <c r="BI327" s="182"/>
      <c r="BJ327" s="182"/>
      <c r="BK327" s="182"/>
      <c r="BL327" s="182"/>
      <c r="BM327" s="182"/>
      <c r="BN327" s="182"/>
      <c r="BO327" s="182"/>
      <c r="BP327" s="182"/>
      <c r="BQ327" s="182"/>
      <c r="BR327" s="182"/>
      <c r="BS327" s="182"/>
      <c r="BT327" s="182"/>
      <c r="BU327" s="182"/>
      <c r="BV327" s="182"/>
      <c r="BW327" s="182"/>
      <c r="BX327" s="182"/>
      <c r="BY327" s="182"/>
      <c r="BZ327" s="182"/>
      <c r="CA327" s="182"/>
      <c r="CB327" s="185">
        <f t="shared" si="52"/>
        <v>1407</v>
      </c>
      <c r="CC327" s="185">
        <f t="shared" si="53"/>
        <v>0</v>
      </c>
      <c r="CD327" s="185">
        <f t="shared" si="54"/>
        <v>706</v>
      </c>
      <c r="CE327" s="185" t="e">
        <f>+#REF!</f>
        <v>#REF!</v>
      </c>
    </row>
    <row r="328" spans="2:83" s="197" customFormat="1" ht="37.5" x14ac:dyDescent="0.3">
      <c r="B328" s="182">
        <v>1283</v>
      </c>
      <c r="C328" s="182">
        <v>707</v>
      </c>
      <c r="D328" s="182" t="s">
        <v>325</v>
      </c>
      <c r="E328" s="181" t="s">
        <v>4654</v>
      </c>
      <c r="F328" s="182"/>
      <c r="G328" s="182">
        <v>1172.5</v>
      </c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  <c r="Z328" s="182"/>
      <c r="AA328" s="182"/>
      <c r="AB328" s="182"/>
      <c r="AC328" s="182"/>
      <c r="AD328" s="182"/>
      <c r="AE328" s="182"/>
      <c r="AF328" s="182"/>
      <c r="AG328" s="182"/>
      <c r="AH328" s="182"/>
      <c r="AI328" s="182"/>
      <c r="AJ328" s="182"/>
      <c r="AK328" s="182"/>
      <c r="AL328" s="182"/>
      <c r="AM328" s="182"/>
      <c r="AN328" s="182"/>
      <c r="AO328" s="182"/>
      <c r="AP328" s="182"/>
      <c r="AQ328" s="185">
        <f t="shared" si="51"/>
        <v>1172.5</v>
      </c>
      <c r="AR328" s="182">
        <v>784.8</v>
      </c>
      <c r="AS328" s="182">
        <v>105.2</v>
      </c>
      <c r="AT328" s="182">
        <v>282.5</v>
      </c>
      <c r="AU328" s="182"/>
      <c r="AV328" s="182"/>
      <c r="AW328" s="182"/>
      <c r="AX328" s="182"/>
      <c r="AY328" s="182"/>
      <c r="AZ328" s="182"/>
      <c r="BA328" s="182"/>
      <c r="BB328" s="182"/>
      <c r="BC328" s="182"/>
      <c r="BD328" s="182"/>
      <c r="BE328" s="182"/>
      <c r="BF328" s="182"/>
      <c r="BG328" s="182"/>
      <c r="BH328" s="182"/>
      <c r="BI328" s="182"/>
      <c r="BJ328" s="182"/>
      <c r="BK328" s="182"/>
      <c r="BL328" s="182"/>
      <c r="BM328" s="182"/>
      <c r="BN328" s="182"/>
      <c r="BO328" s="182"/>
      <c r="BP328" s="182"/>
      <c r="BQ328" s="182"/>
      <c r="BR328" s="182"/>
      <c r="BS328" s="182"/>
      <c r="BT328" s="182"/>
      <c r="BU328" s="182"/>
      <c r="BV328" s="182"/>
      <c r="BW328" s="182"/>
      <c r="BX328" s="182"/>
      <c r="BY328" s="182"/>
      <c r="BZ328" s="182"/>
      <c r="CA328" s="182"/>
      <c r="CB328" s="185">
        <f t="shared" si="52"/>
        <v>1172.5</v>
      </c>
      <c r="CC328" s="185">
        <f t="shared" si="53"/>
        <v>0</v>
      </c>
      <c r="CD328" s="185">
        <f t="shared" si="54"/>
        <v>707</v>
      </c>
      <c r="CE328" s="185" t="e">
        <f>+#REF!</f>
        <v>#REF!</v>
      </c>
    </row>
    <row r="329" spans="2:83" s="197" customFormat="1" ht="37.5" x14ac:dyDescent="0.3">
      <c r="B329" s="182">
        <v>1285</v>
      </c>
      <c r="C329" s="182">
        <v>708</v>
      </c>
      <c r="D329" s="182" t="s">
        <v>325</v>
      </c>
      <c r="E329" s="181" t="s">
        <v>4652</v>
      </c>
      <c r="F329" s="182"/>
      <c r="G329" s="182">
        <v>457.28</v>
      </c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  <c r="AK329" s="182"/>
      <c r="AL329" s="182"/>
      <c r="AM329" s="182"/>
      <c r="AN329" s="182"/>
      <c r="AO329" s="182"/>
      <c r="AP329" s="182"/>
      <c r="AQ329" s="185">
        <f t="shared" si="51"/>
        <v>457.28</v>
      </c>
      <c r="AR329" s="182">
        <v>306.14999999999998</v>
      </c>
      <c r="AS329" s="182">
        <v>40.950000000000003</v>
      </c>
      <c r="AT329" s="182">
        <v>110.18</v>
      </c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182"/>
      <c r="BK329" s="182"/>
      <c r="BL329" s="182"/>
      <c r="BM329" s="182"/>
      <c r="BN329" s="182"/>
      <c r="BO329" s="182"/>
      <c r="BP329" s="182"/>
      <c r="BQ329" s="182"/>
      <c r="BR329" s="182"/>
      <c r="BS329" s="182"/>
      <c r="BT329" s="182"/>
      <c r="BU329" s="182"/>
      <c r="BV329" s="182"/>
      <c r="BW329" s="182"/>
      <c r="BX329" s="182"/>
      <c r="BY329" s="182"/>
      <c r="BZ329" s="182"/>
      <c r="CA329" s="182"/>
      <c r="CB329" s="185">
        <f t="shared" si="52"/>
        <v>457.28</v>
      </c>
      <c r="CC329" s="185">
        <f t="shared" si="53"/>
        <v>0</v>
      </c>
      <c r="CD329" s="185">
        <f t="shared" si="54"/>
        <v>708</v>
      </c>
      <c r="CE329" s="185" t="e">
        <f>+#REF!</f>
        <v>#REF!</v>
      </c>
    </row>
    <row r="330" spans="2:83" s="197" customFormat="1" ht="37.5" x14ac:dyDescent="0.3">
      <c r="B330" s="182">
        <v>1286</v>
      </c>
      <c r="C330" s="182">
        <v>709</v>
      </c>
      <c r="D330" s="182" t="s">
        <v>325</v>
      </c>
      <c r="E330" s="181" t="s">
        <v>4652</v>
      </c>
      <c r="F330" s="182"/>
      <c r="G330" s="182">
        <v>633.15</v>
      </c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  <c r="AK330" s="182"/>
      <c r="AL330" s="182"/>
      <c r="AM330" s="182"/>
      <c r="AN330" s="182"/>
      <c r="AO330" s="182"/>
      <c r="AP330" s="182"/>
      <c r="AQ330" s="185">
        <f t="shared" si="51"/>
        <v>633.15</v>
      </c>
      <c r="AR330" s="182">
        <v>423.55</v>
      </c>
      <c r="AS330" s="182">
        <v>57.05</v>
      </c>
      <c r="AT330" s="182">
        <v>152.55000000000001</v>
      </c>
      <c r="AU330" s="182"/>
      <c r="AV330" s="182"/>
      <c r="AW330" s="182"/>
      <c r="AX330" s="182"/>
      <c r="AY330" s="182"/>
      <c r="AZ330" s="182"/>
      <c r="BA330" s="182"/>
      <c r="BB330" s="182"/>
      <c r="BC330" s="182"/>
      <c r="BD330" s="182"/>
      <c r="BE330" s="182"/>
      <c r="BF330" s="182"/>
      <c r="BG330" s="182"/>
      <c r="BH330" s="182"/>
      <c r="BI330" s="182"/>
      <c r="BJ330" s="182"/>
      <c r="BK330" s="182"/>
      <c r="BL330" s="182"/>
      <c r="BM330" s="182"/>
      <c r="BN330" s="182"/>
      <c r="BO330" s="182"/>
      <c r="BP330" s="182"/>
      <c r="BQ330" s="182"/>
      <c r="BR330" s="182"/>
      <c r="BS330" s="182"/>
      <c r="BT330" s="182"/>
      <c r="BU330" s="182"/>
      <c r="BV330" s="182"/>
      <c r="BW330" s="182"/>
      <c r="BX330" s="182"/>
      <c r="BY330" s="182"/>
      <c r="BZ330" s="182"/>
      <c r="CA330" s="182"/>
      <c r="CB330" s="185">
        <f t="shared" si="52"/>
        <v>633.15000000000009</v>
      </c>
      <c r="CC330" s="185">
        <f t="shared" si="53"/>
        <v>0</v>
      </c>
      <c r="CD330" s="185">
        <f t="shared" si="54"/>
        <v>709</v>
      </c>
      <c r="CE330" s="185" t="e">
        <f>+#REF!</f>
        <v>#REF!</v>
      </c>
    </row>
    <row r="331" spans="2:83" s="197" customFormat="1" ht="37.5" x14ac:dyDescent="0.3">
      <c r="B331" s="182">
        <v>1287</v>
      </c>
      <c r="C331" s="182">
        <v>710</v>
      </c>
      <c r="D331" s="182" t="s">
        <v>325</v>
      </c>
      <c r="E331" s="181" t="s">
        <v>4655</v>
      </c>
      <c r="F331" s="182"/>
      <c r="G331" s="182">
        <v>93.8</v>
      </c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  <c r="AD331" s="182"/>
      <c r="AE331" s="182"/>
      <c r="AF331" s="182"/>
      <c r="AG331" s="182"/>
      <c r="AH331" s="182"/>
      <c r="AI331" s="182"/>
      <c r="AJ331" s="182"/>
      <c r="AK331" s="182"/>
      <c r="AL331" s="182"/>
      <c r="AM331" s="182"/>
      <c r="AN331" s="182"/>
      <c r="AO331" s="182"/>
      <c r="AP331" s="182"/>
      <c r="AQ331" s="185">
        <f t="shared" si="51"/>
        <v>93.8</v>
      </c>
      <c r="AR331" s="182">
        <v>63.2</v>
      </c>
      <c r="AS331" s="182">
        <v>8</v>
      </c>
      <c r="AT331" s="182">
        <v>22.6</v>
      </c>
      <c r="AU331" s="182"/>
      <c r="AV331" s="182"/>
      <c r="AW331" s="182"/>
      <c r="AX331" s="182"/>
      <c r="AY331" s="182"/>
      <c r="AZ331" s="182"/>
      <c r="BA331" s="182"/>
      <c r="BB331" s="182"/>
      <c r="BC331" s="182"/>
      <c r="BD331" s="182"/>
      <c r="BE331" s="182"/>
      <c r="BF331" s="182"/>
      <c r="BG331" s="182"/>
      <c r="BH331" s="182"/>
      <c r="BI331" s="182"/>
      <c r="BJ331" s="182"/>
      <c r="BK331" s="182"/>
      <c r="BL331" s="182"/>
      <c r="BM331" s="182"/>
      <c r="BN331" s="182"/>
      <c r="BO331" s="182"/>
      <c r="BP331" s="182"/>
      <c r="BQ331" s="182"/>
      <c r="BR331" s="182"/>
      <c r="BS331" s="182"/>
      <c r="BT331" s="182"/>
      <c r="BU331" s="182"/>
      <c r="BV331" s="182"/>
      <c r="BW331" s="182"/>
      <c r="BX331" s="182"/>
      <c r="BY331" s="182"/>
      <c r="BZ331" s="182"/>
      <c r="CA331" s="182"/>
      <c r="CB331" s="185">
        <f t="shared" si="52"/>
        <v>93.800000000000011</v>
      </c>
      <c r="CC331" s="185">
        <f t="shared" si="53"/>
        <v>0</v>
      </c>
      <c r="CD331" s="185">
        <f t="shared" si="54"/>
        <v>710</v>
      </c>
      <c r="CE331" s="185" t="e">
        <f>+#REF!</f>
        <v>#REF!</v>
      </c>
    </row>
    <row r="332" spans="2:83" s="197" customFormat="1" ht="37.5" x14ac:dyDescent="0.3">
      <c r="B332" s="182">
        <v>1289</v>
      </c>
      <c r="C332" s="182">
        <v>711</v>
      </c>
      <c r="D332" s="182" t="s">
        <v>325</v>
      </c>
      <c r="E332" s="181" t="s">
        <v>4656</v>
      </c>
      <c r="F332" s="182"/>
      <c r="G332" s="182">
        <v>586.25</v>
      </c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  <c r="AK332" s="182"/>
      <c r="AL332" s="182"/>
      <c r="AM332" s="182"/>
      <c r="AN332" s="182"/>
      <c r="AO332" s="182"/>
      <c r="AP332" s="182"/>
      <c r="AQ332" s="185">
        <f t="shared" si="51"/>
        <v>586.25</v>
      </c>
      <c r="AR332" s="182">
        <v>392.4</v>
      </c>
      <c r="AS332" s="182">
        <v>52.6</v>
      </c>
      <c r="AT332" s="182">
        <v>141.25</v>
      </c>
      <c r="AU332" s="182"/>
      <c r="AV332" s="182"/>
      <c r="AW332" s="182"/>
      <c r="AX332" s="182"/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182"/>
      <c r="BK332" s="182"/>
      <c r="BL332" s="182"/>
      <c r="BM332" s="182"/>
      <c r="BN332" s="182"/>
      <c r="BO332" s="182"/>
      <c r="BP332" s="182"/>
      <c r="BQ332" s="182"/>
      <c r="BR332" s="182"/>
      <c r="BS332" s="182"/>
      <c r="BT332" s="182"/>
      <c r="BU332" s="182"/>
      <c r="BV332" s="182"/>
      <c r="BW332" s="182"/>
      <c r="BX332" s="182"/>
      <c r="BY332" s="182"/>
      <c r="BZ332" s="182"/>
      <c r="CA332" s="182"/>
      <c r="CB332" s="185">
        <f t="shared" si="52"/>
        <v>586.25</v>
      </c>
      <c r="CC332" s="185">
        <f t="shared" si="53"/>
        <v>0</v>
      </c>
      <c r="CD332" s="185">
        <f t="shared" si="54"/>
        <v>711</v>
      </c>
      <c r="CE332" s="185" t="e">
        <f>+#REF!</f>
        <v>#REF!</v>
      </c>
    </row>
    <row r="333" spans="2:83" s="197" customFormat="1" ht="56.25" x14ac:dyDescent="0.3">
      <c r="B333" s="182">
        <v>1290</v>
      </c>
      <c r="C333" s="182">
        <v>712</v>
      </c>
      <c r="D333" s="182" t="s">
        <v>325</v>
      </c>
      <c r="E333" s="181" t="s">
        <v>4657</v>
      </c>
      <c r="F333" s="182"/>
      <c r="G333" s="182">
        <v>7269.5</v>
      </c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  <c r="AK333" s="182"/>
      <c r="AL333" s="182"/>
      <c r="AM333" s="182"/>
      <c r="AN333" s="182"/>
      <c r="AO333" s="182"/>
      <c r="AP333" s="182"/>
      <c r="AQ333" s="185">
        <f t="shared" si="51"/>
        <v>7269.5</v>
      </c>
      <c r="AR333" s="182">
        <v>4862.05</v>
      </c>
      <c r="AS333" s="182">
        <v>655.95</v>
      </c>
      <c r="AT333" s="182">
        <v>1751.5</v>
      </c>
      <c r="AU333" s="182"/>
      <c r="AV333" s="182"/>
      <c r="AW333" s="182"/>
      <c r="AX333" s="182"/>
      <c r="AY333" s="182"/>
      <c r="AZ333" s="182"/>
      <c r="BA333" s="182"/>
      <c r="BB333" s="182"/>
      <c r="BC333" s="182"/>
      <c r="BD333" s="182"/>
      <c r="BE333" s="182"/>
      <c r="BF333" s="182"/>
      <c r="BG333" s="182"/>
      <c r="BH333" s="182"/>
      <c r="BI333" s="182"/>
      <c r="BJ333" s="182"/>
      <c r="BK333" s="182"/>
      <c r="BL333" s="182"/>
      <c r="BM333" s="182"/>
      <c r="BN333" s="182"/>
      <c r="BO333" s="182"/>
      <c r="BP333" s="182"/>
      <c r="BQ333" s="182"/>
      <c r="BR333" s="182"/>
      <c r="BS333" s="182"/>
      <c r="BT333" s="182"/>
      <c r="BU333" s="182"/>
      <c r="BV333" s="182"/>
      <c r="BW333" s="182"/>
      <c r="BX333" s="182"/>
      <c r="BY333" s="182"/>
      <c r="BZ333" s="182"/>
      <c r="CA333" s="182"/>
      <c r="CB333" s="185">
        <f t="shared" si="52"/>
        <v>7269.5</v>
      </c>
      <c r="CC333" s="185">
        <f t="shared" si="53"/>
        <v>0</v>
      </c>
      <c r="CD333" s="185">
        <f t="shared" si="54"/>
        <v>712</v>
      </c>
      <c r="CE333" s="185" t="e">
        <f>+#REF!</f>
        <v>#REF!</v>
      </c>
    </row>
    <row r="334" spans="2:83" s="197" customFormat="1" ht="56.25" x14ac:dyDescent="0.3">
      <c r="B334" s="182">
        <v>1291</v>
      </c>
      <c r="C334" s="182">
        <v>713</v>
      </c>
      <c r="D334" s="182" t="s">
        <v>325</v>
      </c>
      <c r="E334" s="181" t="s">
        <v>4657</v>
      </c>
      <c r="F334" s="182"/>
      <c r="G334" s="182">
        <v>8090.25</v>
      </c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2"/>
      <c r="AH334" s="182"/>
      <c r="AI334" s="182"/>
      <c r="AJ334" s="182"/>
      <c r="AK334" s="182"/>
      <c r="AL334" s="182"/>
      <c r="AM334" s="182"/>
      <c r="AN334" s="182"/>
      <c r="AO334" s="182"/>
      <c r="AP334" s="182"/>
      <c r="AQ334" s="185">
        <f t="shared" ref="AQ334:AQ365" si="55">SUM(G334:AP334)</f>
        <v>8090.25</v>
      </c>
      <c r="AR334" s="182">
        <v>5408.35</v>
      </c>
      <c r="AS334" s="182">
        <v>732.65</v>
      </c>
      <c r="AT334" s="182">
        <v>1949.25</v>
      </c>
      <c r="AU334" s="182"/>
      <c r="AV334" s="182"/>
      <c r="AW334" s="182"/>
      <c r="AX334" s="182"/>
      <c r="AY334" s="182"/>
      <c r="AZ334" s="182"/>
      <c r="BA334" s="182"/>
      <c r="BB334" s="182"/>
      <c r="BC334" s="182"/>
      <c r="BD334" s="182"/>
      <c r="BE334" s="182"/>
      <c r="BF334" s="182"/>
      <c r="BG334" s="182"/>
      <c r="BH334" s="182"/>
      <c r="BI334" s="182"/>
      <c r="BJ334" s="182"/>
      <c r="BK334" s="182"/>
      <c r="BL334" s="182"/>
      <c r="BM334" s="182"/>
      <c r="BN334" s="182"/>
      <c r="BO334" s="182"/>
      <c r="BP334" s="182"/>
      <c r="BQ334" s="182"/>
      <c r="BR334" s="182"/>
      <c r="BS334" s="182"/>
      <c r="BT334" s="182"/>
      <c r="BU334" s="182"/>
      <c r="BV334" s="182"/>
      <c r="BW334" s="182"/>
      <c r="BX334" s="182"/>
      <c r="BY334" s="182"/>
      <c r="BZ334" s="182"/>
      <c r="CA334" s="182"/>
      <c r="CB334" s="185">
        <f t="shared" ref="CB334:CB365" si="56">SUM(AR334:CA334)</f>
        <v>8090.25</v>
      </c>
      <c r="CC334" s="185">
        <f t="shared" ref="CC334:CC365" si="57">+CB334-AQ334</f>
        <v>0</v>
      </c>
      <c r="CD334" s="185">
        <f t="shared" ref="CD334:CD365" si="58">+C334</f>
        <v>713</v>
      </c>
      <c r="CE334" s="185" t="e">
        <f>+#REF!</f>
        <v>#REF!</v>
      </c>
    </row>
    <row r="335" spans="2:83" s="197" customFormat="1" ht="56.25" x14ac:dyDescent="0.3">
      <c r="B335" s="182">
        <v>1292</v>
      </c>
      <c r="C335" s="182">
        <v>714</v>
      </c>
      <c r="D335" s="182" t="s">
        <v>325</v>
      </c>
      <c r="E335" s="181" t="s">
        <v>4657</v>
      </c>
      <c r="F335" s="182"/>
      <c r="G335" s="182">
        <v>1172.5</v>
      </c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  <c r="AN335" s="182"/>
      <c r="AO335" s="182"/>
      <c r="AP335" s="182"/>
      <c r="AQ335" s="185">
        <f t="shared" si="55"/>
        <v>1172.5</v>
      </c>
      <c r="AR335" s="182">
        <v>784.8</v>
      </c>
      <c r="AS335" s="182">
        <v>105.2</v>
      </c>
      <c r="AT335" s="182">
        <v>282.5</v>
      </c>
      <c r="AU335" s="182"/>
      <c r="AV335" s="182"/>
      <c r="AW335" s="182"/>
      <c r="AX335" s="182"/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/>
      <c r="BJ335" s="182"/>
      <c r="BK335" s="182"/>
      <c r="BL335" s="182"/>
      <c r="BM335" s="182"/>
      <c r="BN335" s="182"/>
      <c r="BO335" s="182"/>
      <c r="BP335" s="182"/>
      <c r="BQ335" s="182"/>
      <c r="BR335" s="182"/>
      <c r="BS335" s="182"/>
      <c r="BT335" s="182"/>
      <c r="BU335" s="182"/>
      <c r="BV335" s="182"/>
      <c r="BW335" s="182"/>
      <c r="BX335" s="182"/>
      <c r="BY335" s="182"/>
      <c r="BZ335" s="182"/>
      <c r="CA335" s="182"/>
      <c r="CB335" s="185">
        <f t="shared" si="56"/>
        <v>1172.5</v>
      </c>
      <c r="CC335" s="185">
        <f t="shared" si="57"/>
        <v>0</v>
      </c>
      <c r="CD335" s="185">
        <f t="shared" si="58"/>
        <v>714</v>
      </c>
      <c r="CE335" s="185" t="e">
        <f>+#REF!</f>
        <v>#REF!</v>
      </c>
    </row>
    <row r="336" spans="2:83" s="197" customFormat="1" ht="56.25" x14ac:dyDescent="0.3">
      <c r="B336" s="182">
        <v>1293</v>
      </c>
      <c r="C336" s="182">
        <v>715</v>
      </c>
      <c r="D336" s="182" t="s">
        <v>325</v>
      </c>
      <c r="E336" s="181" t="s">
        <v>4658</v>
      </c>
      <c r="F336" s="182"/>
      <c r="G336" s="182">
        <v>3283</v>
      </c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/>
      <c r="AN336" s="182"/>
      <c r="AO336" s="182"/>
      <c r="AP336" s="182"/>
      <c r="AQ336" s="185">
        <f t="shared" si="55"/>
        <v>3283</v>
      </c>
      <c r="AR336" s="182">
        <v>2192.4499999999998</v>
      </c>
      <c r="AS336" s="182">
        <v>299.55</v>
      </c>
      <c r="AT336" s="182">
        <v>791</v>
      </c>
      <c r="AU336" s="182"/>
      <c r="AV336" s="182"/>
      <c r="AW336" s="182"/>
      <c r="AX336" s="182"/>
      <c r="AY336" s="182"/>
      <c r="AZ336" s="182"/>
      <c r="BA336" s="182"/>
      <c r="BB336" s="182"/>
      <c r="BC336" s="182"/>
      <c r="BD336" s="182"/>
      <c r="BE336" s="182"/>
      <c r="BF336" s="182"/>
      <c r="BG336" s="182"/>
      <c r="BH336" s="182"/>
      <c r="BI336" s="182"/>
      <c r="BJ336" s="182"/>
      <c r="BK336" s="182"/>
      <c r="BL336" s="182"/>
      <c r="BM336" s="182"/>
      <c r="BN336" s="182"/>
      <c r="BO336" s="182"/>
      <c r="BP336" s="182"/>
      <c r="BQ336" s="182"/>
      <c r="BR336" s="182"/>
      <c r="BS336" s="182"/>
      <c r="BT336" s="182"/>
      <c r="BU336" s="182"/>
      <c r="BV336" s="182"/>
      <c r="BW336" s="182"/>
      <c r="BX336" s="182"/>
      <c r="BY336" s="182"/>
      <c r="BZ336" s="182"/>
      <c r="CA336" s="182"/>
      <c r="CB336" s="185">
        <f t="shared" si="56"/>
        <v>3283</v>
      </c>
      <c r="CC336" s="185">
        <f t="shared" si="57"/>
        <v>0</v>
      </c>
      <c r="CD336" s="185">
        <f t="shared" si="58"/>
        <v>715</v>
      </c>
      <c r="CE336" s="185" t="e">
        <f>+#REF!</f>
        <v>#REF!</v>
      </c>
    </row>
    <row r="337" spans="2:83" s="197" customFormat="1" ht="37.5" x14ac:dyDescent="0.3">
      <c r="B337" s="182">
        <v>1295</v>
      </c>
      <c r="C337" s="182">
        <v>716</v>
      </c>
      <c r="D337" s="182" t="s">
        <v>325</v>
      </c>
      <c r="E337" s="181" t="s">
        <v>4659</v>
      </c>
      <c r="F337" s="182"/>
      <c r="G337" s="182">
        <v>13894.12</v>
      </c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182"/>
      <c r="AI337" s="182"/>
      <c r="AJ337" s="182"/>
      <c r="AK337" s="182"/>
      <c r="AL337" s="182"/>
      <c r="AM337" s="182"/>
      <c r="AN337" s="182"/>
      <c r="AO337" s="182"/>
      <c r="AP337" s="182"/>
      <c r="AQ337" s="185">
        <f t="shared" si="55"/>
        <v>13894.12</v>
      </c>
      <c r="AR337" s="182">
        <v>9603.5499999999993</v>
      </c>
      <c r="AS337" s="182">
        <v>942.95</v>
      </c>
      <c r="AT337" s="182">
        <v>3347.62</v>
      </c>
      <c r="AU337" s="182"/>
      <c r="AV337" s="182"/>
      <c r="AW337" s="182"/>
      <c r="AX337" s="182"/>
      <c r="AY337" s="182"/>
      <c r="AZ337" s="182"/>
      <c r="BA337" s="182"/>
      <c r="BB337" s="182"/>
      <c r="BC337" s="182"/>
      <c r="BD337" s="182"/>
      <c r="BE337" s="182"/>
      <c r="BF337" s="182"/>
      <c r="BG337" s="182"/>
      <c r="BH337" s="182"/>
      <c r="BI337" s="182"/>
      <c r="BJ337" s="182"/>
      <c r="BK337" s="182"/>
      <c r="BL337" s="182"/>
      <c r="BM337" s="182"/>
      <c r="BN337" s="182"/>
      <c r="BO337" s="182"/>
      <c r="BP337" s="182"/>
      <c r="BQ337" s="182"/>
      <c r="BR337" s="182"/>
      <c r="BS337" s="182"/>
      <c r="BT337" s="182"/>
      <c r="BU337" s="182"/>
      <c r="BV337" s="182"/>
      <c r="BW337" s="182"/>
      <c r="BX337" s="182"/>
      <c r="BY337" s="182"/>
      <c r="BZ337" s="182"/>
      <c r="CA337" s="182"/>
      <c r="CB337" s="185">
        <f t="shared" si="56"/>
        <v>13894.119999999999</v>
      </c>
      <c r="CC337" s="185">
        <f t="shared" si="57"/>
        <v>0</v>
      </c>
      <c r="CD337" s="185">
        <f t="shared" si="58"/>
        <v>716</v>
      </c>
      <c r="CE337" s="185" t="e">
        <f>+#REF!</f>
        <v>#REF!</v>
      </c>
    </row>
    <row r="338" spans="2:83" s="197" customFormat="1" ht="37.5" x14ac:dyDescent="0.3">
      <c r="B338" s="182">
        <v>1299</v>
      </c>
      <c r="C338" s="182">
        <v>717</v>
      </c>
      <c r="D338" s="182" t="s">
        <v>325</v>
      </c>
      <c r="E338" s="181" t="s">
        <v>4659</v>
      </c>
      <c r="F338" s="182"/>
      <c r="G338" s="182">
        <v>3341.62</v>
      </c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  <c r="AN338" s="182"/>
      <c r="AO338" s="182"/>
      <c r="AP338" s="182"/>
      <c r="AQ338" s="185">
        <f t="shared" si="55"/>
        <v>3341.62</v>
      </c>
      <c r="AR338" s="182">
        <v>2232.85</v>
      </c>
      <c r="AS338" s="182">
        <v>303.64999999999998</v>
      </c>
      <c r="AT338" s="182">
        <v>805.12</v>
      </c>
      <c r="AU338" s="182"/>
      <c r="AV338" s="182"/>
      <c r="AW338" s="182"/>
      <c r="AX338" s="182"/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182"/>
      <c r="BK338" s="182"/>
      <c r="BL338" s="182"/>
      <c r="BM338" s="182"/>
      <c r="BN338" s="182"/>
      <c r="BO338" s="182"/>
      <c r="BP338" s="182"/>
      <c r="BQ338" s="182"/>
      <c r="BR338" s="182"/>
      <c r="BS338" s="182"/>
      <c r="BT338" s="182"/>
      <c r="BU338" s="182"/>
      <c r="BV338" s="182"/>
      <c r="BW338" s="182"/>
      <c r="BX338" s="182"/>
      <c r="BY338" s="182"/>
      <c r="BZ338" s="182"/>
      <c r="CA338" s="182"/>
      <c r="CB338" s="185">
        <f t="shared" si="56"/>
        <v>3341.62</v>
      </c>
      <c r="CC338" s="185">
        <f t="shared" si="57"/>
        <v>0</v>
      </c>
      <c r="CD338" s="185">
        <f t="shared" si="58"/>
        <v>717</v>
      </c>
      <c r="CE338" s="185" t="e">
        <f>+#REF!</f>
        <v>#REF!</v>
      </c>
    </row>
    <row r="339" spans="2:83" s="197" customFormat="1" ht="37.5" x14ac:dyDescent="0.3">
      <c r="B339" s="182">
        <v>1129</v>
      </c>
      <c r="C339" s="182">
        <v>718</v>
      </c>
      <c r="D339" s="182" t="s">
        <v>325</v>
      </c>
      <c r="E339" s="181" t="s">
        <v>4660</v>
      </c>
      <c r="F339" s="182"/>
      <c r="G339" s="182">
        <v>750</v>
      </c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/>
      <c r="AN339" s="182"/>
      <c r="AO339" s="182"/>
      <c r="AP339" s="182"/>
      <c r="AQ339" s="185">
        <f t="shared" si="55"/>
        <v>750</v>
      </c>
      <c r="AR339" s="182">
        <v>670.1</v>
      </c>
      <c r="AS339" s="182">
        <v>79.900000000000006</v>
      </c>
      <c r="AT339" s="182"/>
      <c r="AU339" s="182"/>
      <c r="AV339" s="182"/>
      <c r="AW339" s="182"/>
      <c r="AX339" s="182"/>
      <c r="AY339" s="182"/>
      <c r="AZ339" s="182"/>
      <c r="BA339" s="182"/>
      <c r="BB339" s="182"/>
      <c r="BC339" s="182"/>
      <c r="BD339" s="182"/>
      <c r="BE339" s="182"/>
      <c r="BF339" s="182"/>
      <c r="BG339" s="182"/>
      <c r="BH339" s="182"/>
      <c r="BI339" s="182"/>
      <c r="BJ339" s="182"/>
      <c r="BK339" s="182"/>
      <c r="BL339" s="182"/>
      <c r="BM339" s="182"/>
      <c r="BN339" s="182"/>
      <c r="BO339" s="182"/>
      <c r="BP339" s="182"/>
      <c r="BQ339" s="182"/>
      <c r="BR339" s="182"/>
      <c r="BS339" s="182"/>
      <c r="BT339" s="182"/>
      <c r="BU339" s="182"/>
      <c r="BV339" s="182"/>
      <c r="BW339" s="182"/>
      <c r="BX339" s="182"/>
      <c r="BY339" s="182"/>
      <c r="BZ339" s="182"/>
      <c r="CA339" s="182"/>
      <c r="CB339" s="185">
        <f t="shared" si="56"/>
        <v>750</v>
      </c>
      <c r="CC339" s="185">
        <f t="shared" si="57"/>
        <v>0</v>
      </c>
      <c r="CD339" s="185">
        <f t="shared" si="58"/>
        <v>718</v>
      </c>
      <c r="CE339" s="185" t="e">
        <f>+#REF!</f>
        <v>#REF!</v>
      </c>
    </row>
    <row r="340" spans="2:83" s="197" customFormat="1" ht="37.5" x14ac:dyDescent="0.3">
      <c r="B340" s="182">
        <v>1109</v>
      </c>
      <c r="C340" s="182">
        <v>719</v>
      </c>
      <c r="D340" s="182" t="s">
        <v>325</v>
      </c>
      <c r="E340" s="181" t="s">
        <v>4661</v>
      </c>
      <c r="F340" s="182"/>
      <c r="G340" s="182">
        <v>1055.25</v>
      </c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2"/>
      <c r="AH340" s="182"/>
      <c r="AI340" s="182"/>
      <c r="AJ340" s="182"/>
      <c r="AK340" s="182"/>
      <c r="AL340" s="182"/>
      <c r="AM340" s="182"/>
      <c r="AN340" s="182"/>
      <c r="AO340" s="182"/>
      <c r="AP340" s="182"/>
      <c r="AQ340" s="185">
        <f t="shared" si="55"/>
        <v>1055.25</v>
      </c>
      <c r="AR340" s="182">
        <v>705.7</v>
      </c>
      <c r="AS340" s="182">
        <v>95.3</v>
      </c>
      <c r="AT340" s="182">
        <v>254.25</v>
      </c>
      <c r="AU340" s="182"/>
      <c r="AV340" s="182"/>
      <c r="AW340" s="182"/>
      <c r="AX340" s="182"/>
      <c r="AY340" s="182"/>
      <c r="AZ340" s="182"/>
      <c r="BA340" s="182"/>
      <c r="BB340" s="182"/>
      <c r="BC340" s="182"/>
      <c r="BD340" s="182"/>
      <c r="BE340" s="182"/>
      <c r="BF340" s="182"/>
      <c r="BG340" s="182"/>
      <c r="BH340" s="182"/>
      <c r="BI340" s="182"/>
      <c r="BJ340" s="182"/>
      <c r="BK340" s="182"/>
      <c r="BL340" s="182"/>
      <c r="BM340" s="182"/>
      <c r="BN340" s="182"/>
      <c r="BO340" s="182"/>
      <c r="BP340" s="182"/>
      <c r="BQ340" s="182"/>
      <c r="BR340" s="182"/>
      <c r="BS340" s="182"/>
      <c r="BT340" s="182"/>
      <c r="BU340" s="182"/>
      <c r="BV340" s="182"/>
      <c r="BW340" s="182"/>
      <c r="BX340" s="182"/>
      <c r="BY340" s="182"/>
      <c r="BZ340" s="182"/>
      <c r="CA340" s="182"/>
      <c r="CB340" s="185">
        <f t="shared" si="56"/>
        <v>1055.25</v>
      </c>
      <c r="CC340" s="185">
        <f t="shared" si="57"/>
        <v>0</v>
      </c>
      <c r="CD340" s="185">
        <f t="shared" si="58"/>
        <v>719</v>
      </c>
      <c r="CE340" s="185" t="e">
        <f>+#REF!</f>
        <v>#REF!</v>
      </c>
    </row>
    <row r="341" spans="2:83" s="197" customFormat="1" ht="37.5" x14ac:dyDescent="0.3">
      <c r="B341" s="182">
        <v>1108</v>
      </c>
      <c r="C341" s="182">
        <v>720</v>
      </c>
      <c r="D341" s="182" t="s">
        <v>325</v>
      </c>
      <c r="E341" s="181" t="s">
        <v>4661</v>
      </c>
      <c r="F341" s="182"/>
      <c r="G341" s="182">
        <v>2227.75</v>
      </c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2"/>
      <c r="AH341" s="182"/>
      <c r="AI341" s="182"/>
      <c r="AJ341" s="182"/>
      <c r="AK341" s="182"/>
      <c r="AL341" s="182"/>
      <c r="AM341" s="182"/>
      <c r="AN341" s="182"/>
      <c r="AO341" s="182"/>
      <c r="AP341" s="182"/>
      <c r="AQ341" s="185">
        <f t="shared" si="55"/>
        <v>2227.75</v>
      </c>
      <c r="AR341" s="182">
        <v>1489.8</v>
      </c>
      <c r="AS341" s="182">
        <v>201.2</v>
      </c>
      <c r="AT341" s="182">
        <v>536.75</v>
      </c>
      <c r="AU341" s="182"/>
      <c r="AV341" s="182"/>
      <c r="AW341" s="182"/>
      <c r="AX341" s="182"/>
      <c r="AY341" s="182"/>
      <c r="AZ341" s="182"/>
      <c r="BA341" s="182"/>
      <c r="BB341" s="182"/>
      <c r="BC341" s="182"/>
      <c r="BD341" s="182"/>
      <c r="BE341" s="182"/>
      <c r="BF341" s="182"/>
      <c r="BG341" s="182"/>
      <c r="BH341" s="182"/>
      <c r="BI341" s="182"/>
      <c r="BJ341" s="182"/>
      <c r="BK341" s="182"/>
      <c r="BL341" s="182"/>
      <c r="BM341" s="182"/>
      <c r="BN341" s="182"/>
      <c r="BO341" s="182"/>
      <c r="BP341" s="182"/>
      <c r="BQ341" s="182"/>
      <c r="BR341" s="182"/>
      <c r="BS341" s="182"/>
      <c r="BT341" s="182"/>
      <c r="BU341" s="182"/>
      <c r="BV341" s="182"/>
      <c r="BW341" s="182"/>
      <c r="BX341" s="182"/>
      <c r="BY341" s="182"/>
      <c r="BZ341" s="182"/>
      <c r="CA341" s="182"/>
      <c r="CB341" s="185">
        <f t="shared" si="56"/>
        <v>2227.75</v>
      </c>
      <c r="CC341" s="185">
        <f t="shared" si="57"/>
        <v>0</v>
      </c>
      <c r="CD341" s="185">
        <f t="shared" si="58"/>
        <v>720</v>
      </c>
      <c r="CE341" s="185" t="e">
        <f>+#REF!</f>
        <v>#REF!</v>
      </c>
    </row>
    <row r="342" spans="2:83" s="197" customFormat="1" ht="37.5" x14ac:dyDescent="0.3">
      <c r="B342" s="182">
        <v>1107</v>
      </c>
      <c r="C342" s="182">
        <v>721</v>
      </c>
      <c r="D342" s="182" t="s">
        <v>325</v>
      </c>
      <c r="E342" s="181" t="s">
        <v>4661</v>
      </c>
      <c r="F342" s="182"/>
      <c r="G342" s="182">
        <v>2200</v>
      </c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2"/>
      <c r="AH342" s="182"/>
      <c r="AI342" s="182"/>
      <c r="AJ342" s="182"/>
      <c r="AK342" s="182"/>
      <c r="AL342" s="182"/>
      <c r="AM342" s="182"/>
      <c r="AN342" s="182"/>
      <c r="AO342" s="182"/>
      <c r="AP342" s="182"/>
      <c r="AQ342" s="185">
        <f t="shared" si="55"/>
        <v>2200</v>
      </c>
      <c r="AR342" s="182">
        <v>1965.8</v>
      </c>
      <c r="AS342" s="182">
        <v>234.2</v>
      </c>
      <c r="AT342" s="182"/>
      <c r="AU342" s="182"/>
      <c r="AV342" s="182"/>
      <c r="AW342" s="182"/>
      <c r="AX342" s="182"/>
      <c r="AY342" s="182"/>
      <c r="AZ342" s="182"/>
      <c r="BA342" s="182"/>
      <c r="BB342" s="182"/>
      <c r="BC342" s="182"/>
      <c r="BD342" s="182"/>
      <c r="BE342" s="182"/>
      <c r="BF342" s="182"/>
      <c r="BG342" s="182"/>
      <c r="BH342" s="182"/>
      <c r="BI342" s="182"/>
      <c r="BJ342" s="182"/>
      <c r="BK342" s="182"/>
      <c r="BL342" s="182"/>
      <c r="BM342" s="182"/>
      <c r="BN342" s="182"/>
      <c r="BO342" s="182"/>
      <c r="BP342" s="182"/>
      <c r="BQ342" s="182"/>
      <c r="BR342" s="182"/>
      <c r="BS342" s="182"/>
      <c r="BT342" s="182"/>
      <c r="BU342" s="182"/>
      <c r="BV342" s="182"/>
      <c r="BW342" s="182"/>
      <c r="BX342" s="182"/>
      <c r="BY342" s="182"/>
      <c r="BZ342" s="182"/>
      <c r="CA342" s="182"/>
      <c r="CB342" s="185">
        <f t="shared" si="56"/>
        <v>2200</v>
      </c>
      <c r="CC342" s="185">
        <f t="shared" si="57"/>
        <v>0</v>
      </c>
      <c r="CD342" s="185">
        <f t="shared" si="58"/>
        <v>721</v>
      </c>
      <c r="CE342" s="185" t="e">
        <f>+#REF!</f>
        <v>#REF!</v>
      </c>
    </row>
    <row r="343" spans="2:83" s="197" customFormat="1" ht="37.5" x14ac:dyDescent="0.3">
      <c r="B343" s="182">
        <v>1105</v>
      </c>
      <c r="C343" s="182">
        <v>722</v>
      </c>
      <c r="D343" s="182" t="s">
        <v>325</v>
      </c>
      <c r="E343" s="181" t="s">
        <v>4645</v>
      </c>
      <c r="F343" s="182"/>
      <c r="G343" s="182">
        <v>1250</v>
      </c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2"/>
      <c r="AH343" s="182"/>
      <c r="AI343" s="182"/>
      <c r="AJ343" s="182"/>
      <c r="AK343" s="182"/>
      <c r="AL343" s="182"/>
      <c r="AM343" s="182"/>
      <c r="AN343" s="182"/>
      <c r="AO343" s="182"/>
      <c r="AP343" s="182"/>
      <c r="AQ343" s="185">
        <f t="shared" si="55"/>
        <v>1250</v>
      </c>
      <c r="AR343" s="182">
        <v>1116</v>
      </c>
      <c r="AS343" s="182">
        <v>134</v>
      </c>
      <c r="AT343" s="182"/>
      <c r="AU343" s="182"/>
      <c r="AV343" s="182"/>
      <c r="AW343" s="182"/>
      <c r="AX343" s="182"/>
      <c r="AY343" s="182"/>
      <c r="AZ343" s="182"/>
      <c r="BA343" s="182"/>
      <c r="BB343" s="182"/>
      <c r="BC343" s="182"/>
      <c r="BD343" s="182"/>
      <c r="BE343" s="182"/>
      <c r="BF343" s="182"/>
      <c r="BG343" s="182"/>
      <c r="BH343" s="182"/>
      <c r="BI343" s="182"/>
      <c r="BJ343" s="182"/>
      <c r="BK343" s="182"/>
      <c r="BL343" s="182"/>
      <c r="BM343" s="182"/>
      <c r="BN343" s="182"/>
      <c r="BO343" s="182"/>
      <c r="BP343" s="182"/>
      <c r="BQ343" s="182"/>
      <c r="BR343" s="182"/>
      <c r="BS343" s="182"/>
      <c r="BT343" s="182"/>
      <c r="BU343" s="182"/>
      <c r="BV343" s="182"/>
      <c r="BW343" s="182"/>
      <c r="BX343" s="182"/>
      <c r="BY343" s="182"/>
      <c r="BZ343" s="182"/>
      <c r="CA343" s="182"/>
      <c r="CB343" s="185">
        <f t="shared" si="56"/>
        <v>1250</v>
      </c>
      <c r="CC343" s="185">
        <f t="shared" si="57"/>
        <v>0</v>
      </c>
      <c r="CD343" s="185">
        <f t="shared" si="58"/>
        <v>722</v>
      </c>
      <c r="CE343" s="185" t="e">
        <f>+#REF!</f>
        <v>#REF!</v>
      </c>
    </row>
    <row r="344" spans="2:83" s="197" customFormat="1" ht="37.5" x14ac:dyDescent="0.3">
      <c r="B344" s="182">
        <v>1106</v>
      </c>
      <c r="C344" s="182">
        <v>723</v>
      </c>
      <c r="D344" s="182" t="s">
        <v>325</v>
      </c>
      <c r="E344" s="181" t="s">
        <v>4645</v>
      </c>
      <c r="F344" s="182"/>
      <c r="G344" s="182">
        <v>700</v>
      </c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  <c r="AN344" s="182"/>
      <c r="AO344" s="182"/>
      <c r="AP344" s="182"/>
      <c r="AQ344" s="185">
        <f t="shared" si="55"/>
        <v>700</v>
      </c>
      <c r="AR344" s="182">
        <v>625.45000000000005</v>
      </c>
      <c r="AS344" s="182">
        <v>74.55</v>
      </c>
      <c r="AT344" s="182"/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182"/>
      <c r="BK344" s="182"/>
      <c r="BL344" s="182"/>
      <c r="BM344" s="182"/>
      <c r="BN344" s="182"/>
      <c r="BO344" s="182"/>
      <c r="BP344" s="182"/>
      <c r="BQ344" s="182"/>
      <c r="BR344" s="182"/>
      <c r="BS344" s="182"/>
      <c r="BT344" s="182"/>
      <c r="BU344" s="182"/>
      <c r="BV344" s="182"/>
      <c r="BW344" s="182"/>
      <c r="BX344" s="182"/>
      <c r="BY344" s="182"/>
      <c r="BZ344" s="182"/>
      <c r="CA344" s="182"/>
      <c r="CB344" s="185">
        <f t="shared" si="56"/>
        <v>700</v>
      </c>
      <c r="CC344" s="185">
        <f t="shared" si="57"/>
        <v>0</v>
      </c>
      <c r="CD344" s="185">
        <f t="shared" si="58"/>
        <v>723</v>
      </c>
      <c r="CE344" s="185" t="e">
        <f>+#REF!</f>
        <v>#REF!</v>
      </c>
    </row>
    <row r="345" spans="2:83" s="197" customFormat="1" ht="37.5" x14ac:dyDescent="0.3">
      <c r="B345" s="182">
        <v>1104</v>
      </c>
      <c r="C345" s="182">
        <v>724</v>
      </c>
      <c r="D345" s="182" t="s">
        <v>325</v>
      </c>
      <c r="E345" s="181" t="s">
        <v>4644</v>
      </c>
      <c r="F345" s="182"/>
      <c r="G345" s="182">
        <v>1347.4</v>
      </c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  <c r="AN345" s="182"/>
      <c r="AO345" s="182"/>
      <c r="AP345" s="182"/>
      <c r="AQ345" s="185">
        <f t="shared" si="55"/>
        <v>1347.4</v>
      </c>
      <c r="AR345" s="182">
        <v>1054.33</v>
      </c>
      <c r="AS345" s="182">
        <v>133.55000000000001</v>
      </c>
      <c r="AT345" s="182">
        <v>159.52000000000001</v>
      </c>
      <c r="AU345" s="182"/>
      <c r="AV345" s="182"/>
      <c r="AW345" s="182"/>
      <c r="AX345" s="182"/>
      <c r="AY345" s="182"/>
      <c r="AZ345" s="182"/>
      <c r="BA345" s="182"/>
      <c r="BB345" s="182"/>
      <c r="BC345" s="182"/>
      <c r="BD345" s="182"/>
      <c r="BE345" s="182"/>
      <c r="BF345" s="182"/>
      <c r="BG345" s="182"/>
      <c r="BH345" s="182"/>
      <c r="BI345" s="182"/>
      <c r="BJ345" s="182"/>
      <c r="BK345" s="182"/>
      <c r="BL345" s="182"/>
      <c r="BM345" s="182"/>
      <c r="BN345" s="182"/>
      <c r="BO345" s="182"/>
      <c r="BP345" s="182"/>
      <c r="BQ345" s="182"/>
      <c r="BR345" s="182"/>
      <c r="BS345" s="182"/>
      <c r="BT345" s="182"/>
      <c r="BU345" s="182"/>
      <c r="BV345" s="182"/>
      <c r="BW345" s="182"/>
      <c r="BX345" s="182"/>
      <c r="BY345" s="182"/>
      <c r="BZ345" s="182"/>
      <c r="CA345" s="182"/>
      <c r="CB345" s="185">
        <f t="shared" si="56"/>
        <v>1347.3999999999999</v>
      </c>
      <c r="CC345" s="185">
        <f t="shared" si="57"/>
        <v>0</v>
      </c>
      <c r="CD345" s="185">
        <f t="shared" si="58"/>
        <v>724</v>
      </c>
      <c r="CE345" s="185" t="e">
        <f>+#REF!</f>
        <v>#REF!</v>
      </c>
    </row>
    <row r="346" spans="2:83" s="197" customFormat="1" ht="37.5" x14ac:dyDescent="0.3">
      <c r="B346" s="182">
        <v>1297</v>
      </c>
      <c r="C346" s="182">
        <v>725</v>
      </c>
      <c r="D346" s="182" t="s">
        <v>325</v>
      </c>
      <c r="E346" s="181" t="s">
        <v>4662</v>
      </c>
      <c r="F346" s="182"/>
      <c r="G346" s="182">
        <v>1465.62</v>
      </c>
      <c r="H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  <c r="Z346" s="182"/>
      <c r="AA346" s="182"/>
      <c r="AB346" s="182"/>
      <c r="AC346" s="182"/>
      <c r="AD346" s="182"/>
      <c r="AE346" s="182"/>
      <c r="AF346" s="182"/>
      <c r="AG346" s="182"/>
      <c r="AH346" s="182"/>
      <c r="AI346" s="182"/>
      <c r="AJ346" s="182"/>
      <c r="AK346" s="182"/>
      <c r="AL346" s="182"/>
      <c r="AM346" s="182"/>
      <c r="AN346" s="182"/>
      <c r="AO346" s="182"/>
      <c r="AP346" s="182"/>
      <c r="AQ346" s="185">
        <f t="shared" si="55"/>
        <v>1465.62</v>
      </c>
      <c r="AR346" s="182">
        <v>979.5</v>
      </c>
      <c r="AS346" s="182">
        <v>133</v>
      </c>
      <c r="AT346" s="182">
        <v>353.12</v>
      </c>
      <c r="AU346" s="182"/>
      <c r="AV346" s="182"/>
      <c r="AW346" s="182"/>
      <c r="AX346" s="182"/>
      <c r="AY346" s="182"/>
      <c r="AZ346" s="182"/>
      <c r="BA346" s="182"/>
      <c r="BB346" s="182"/>
      <c r="BC346" s="182"/>
      <c r="BD346" s="182"/>
      <c r="BE346" s="182"/>
      <c r="BF346" s="182"/>
      <c r="BG346" s="182"/>
      <c r="BH346" s="182"/>
      <c r="BI346" s="182"/>
      <c r="BJ346" s="182"/>
      <c r="BK346" s="182"/>
      <c r="BL346" s="182"/>
      <c r="BM346" s="182"/>
      <c r="BN346" s="182"/>
      <c r="BO346" s="182"/>
      <c r="BP346" s="182"/>
      <c r="BQ346" s="182"/>
      <c r="BR346" s="182"/>
      <c r="BS346" s="182"/>
      <c r="BT346" s="182"/>
      <c r="BU346" s="182"/>
      <c r="BV346" s="182"/>
      <c r="BW346" s="182"/>
      <c r="BX346" s="182"/>
      <c r="BY346" s="182"/>
      <c r="BZ346" s="182"/>
      <c r="CA346" s="182"/>
      <c r="CB346" s="185">
        <f t="shared" si="56"/>
        <v>1465.62</v>
      </c>
      <c r="CC346" s="185">
        <f t="shared" si="57"/>
        <v>0</v>
      </c>
      <c r="CD346" s="185">
        <f t="shared" si="58"/>
        <v>725</v>
      </c>
      <c r="CE346" s="185" t="e">
        <f>+#REF!</f>
        <v>#REF!</v>
      </c>
    </row>
    <row r="347" spans="2:83" s="197" customFormat="1" ht="37.5" x14ac:dyDescent="0.3">
      <c r="B347" s="182">
        <v>1298</v>
      </c>
      <c r="C347" s="182">
        <v>726</v>
      </c>
      <c r="D347" s="182" t="s">
        <v>325</v>
      </c>
      <c r="E347" s="181" t="s">
        <v>4663</v>
      </c>
      <c r="F347" s="182"/>
      <c r="G347" s="182">
        <v>1465.62</v>
      </c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  <c r="AN347" s="182"/>
      <c r="AO347" s="182"/>
      <c r="AP347" s="182"/>
      <c r="AQ347" s="185">
        <f t="shared" si="55"/>
        <v>1465.62</v>
      </c>
      <c r="AR347" s="182">
        <v>979.5</v>
      </c>
      <c r="AS347" s="182">
        <v>133</v>
      </c>
      <c r="AT347" s="182">
        <v>353.12</v>
      </c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182"/>
      <c r="BK347" s="182"/>
      <c r="BL347" s="182"/>
      <c r="BM347" s="182"/>
      <c r="BN347" s="182"/>
      <c r="BO347" s="182"/>
      <c r="BP347" s="182"/>
      <c r="BQ347" s="182"/>
      <c r="BR347" s="182"/>
      <c r="BS347" s="182"/>
      <c r="BT347" s="182"/>
      <c r="BU347" s="182"/>
      <c r="BV347" s="182"/>
      <c r="BW347" s="182"/>
      <c r="BX347" s="182"/>
      <c r="BY347" s="182"/>
      <c r="BZ347" s="182"/>
      <c r="CA347" s="182"/>
      <c r="CB347" s="185">
        <f t="shared" si="56"/>
        <v>1465.62</v>
      </c>
      <c r="CC347" s="185">
        <f t="shared" si="57"/>
        <v>0</v>
      </c>
      <c r="CD347" s="185">
        <f t="shared" si="58"/>
        <v>726</v>
      </c>
      <c r="CE347" s="185" t="e">
        <f>+#REF!</f>
        <v>#REF!</v>
      </c>
    </row>
    <row r="348" spans="2:83" s="197" customFormat="1" ht="37.5" x14ac:dyDescent="0.3">
      <c r="B348" s="182">
        <v>1284</v>
      </c>
      <c r="C348" s="182">
        <v>727</v>
      </c>
      <c r="D348" s="182" t="s">
        <v>325</v>
      </c>
      <c r="E348" s="181" t="s">
        <v>4645</v>
      </c>
      <c r="F348" s="182"/>
      <c r="G348" s="182">
        <v>1172.5</v>
      </c>
      <c r="H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182"/>
      <c r="AI348" s="182"/>
      <c r="AJ348" s="182"/>
      <c r="AK348" s="182"/>
      <c r="AL348" s="182"/>
      <c r="AM348" s="182"/>
      <c r="AN348" s="182"/>
      <c r="AO348" s="182"/>
      <c r="AP348" s="182"/>
      <c r="AQ348" s="185">
        <f t="shared" si="55"/>
        <v>1172.5</v>
      </c>
      <c r="AR348" s="182">
        <v>784.1</v>
      </c>
      <c r="AS348" s="182">
        <v>105.9</v>
      </c>
      <c r="AT348" s="182">
        <v>282.5</v>
      </c>
      <c r="AU348" s="182"/>
      <c r="AV348" s="182"/>
      <c r="AW348" s="182"/>
      <c r="AX348" s="182"/>
      <c r="AY348" s="182"/>
      <c r="AZ348" s="182"/>
      <c r="BA348" s="182"/>
      <c r="BB348" s="182"/>
      <c r="BC348" s="182"/>
      <c r="BD348" s="182"/>
      <c r="BE348" s="182"/>
      <c r="BF348" s="182"/>
      <c r="BG348" s="182"/>
      <c r="BH348" s="182"/>
      <c r="BI348" s="182"/>
      <c r="BJ348" s="182"/>
      <c r="BK348" s="182"/>
      <c r="BL348" s="182"/>
      <c r="BM348" s="182"/>
      <c r="BN348" s="182"/>
      <c r="BO348" s="182"/>
      <c r="BP348" s="182"/>
      <c r="BQ348" s="182"/>
      <c r="BR348" s="182"/>
      <c r="BS348" s="182"/>
      <c r="BT348" s="182"/>
      <c r="BU348" s="182"/>
      <c r="BV348" s="182"/>
      <c r="BW348" s="182"/>
      <c r="BX348" s="182"/>
      <c r="BY348" s="182"/>
      <c r="BZ348" s="182"/>
      <c r="CA348" s="182"/>
      <c r="CB348" s="185">
        <f t="shared" si="56"/>
        <v>1172.5</v>
      </c>
      <c r="CC348" s="185">
        <f t="shared" si="57"/>
        <v>0</v>
      </c>
      <c r="CD348" s="185">
        <f t="shared" si="58"/>
        <v>727</v>
      </c>
      <c r="CE348" s="185" t="e">
        <f>+#REF!</f>
        <v>#REF!</v>
      </c>
    </row>
    <row r="349" spans="2:83" s="197" customFormat="1" ht="37.5" x14ac:dyDescent="0.3">
      <c r="B349" s="182">
        <v>1277</v>
      </c>
      <c r="C349" s="182">
        <v>728</v>
      </c>
      <c r="D349" s="182" t="s">
        <v>325</v>
      </c>
      <c r="E349" s="181" t="s">
        <v>4644</v>
      </c>
      <c r="F349" s="182"/>
      <c r="G349" s="182">
        <v>1172.5</v>
      </c>
      <c r="H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  <c r="Z349" s="182"/>
      <c r="AA349" s="182"/>
      <c r="AB349" s="182"/>
      <c r="AC349" s="182"/>
      <c r="AD349" s="182"/>
      <c r="AE349" s="182"/>
      <c r="AF349" s="182"/>
      <c r="AG349" s="182"/>
      <c r="AH349" s="182"/>
      <c r="AI349" s="182"/>
      <c r="AJ349" s="182"/>
      <c r="AK349" s="182"/>
      <c r="AL349" s="182"/>
      <c r="AM349" s="182"/>
      <c r="AN349" s="182"/>
      <c r="AO349" s="182"/>
      <c r="AP349" s="182"/>
      <c r="AQ349" s="185">
        <f t="shared" si="55"/>
        <v>1172.5</v>
      </c>
      <c r="AR349" s="182">
        <v>784.1</v>
      </c>
      <c r="AS349" s="182">
        <v>105.9</v>
      </c>
      <c r="AT349" s="182">
        <v>282.5</v>
      </c>
      <c r="AU349" s="182"/>
      <c r="AV349" s="182"/>
      <c r="AW349" s="182"/>
      <c r="AX349" s="182"/>
      <c r="AY349" s="182"/>
      <c r="AZ349" s="182"/>
      <c r="BA349" s="182"/>
      <c r="BB349" s="182"/>
      <c r="BC349" s="182"/>
      <c r="BD349" s="182"/>
      <c r="BE349" s="182"/>
      <c r="BF349" s="182"/>
      <c r="BG349" s="182"/>
      <c r="BH349" s="182"/>
      <c r="BI349" s="182"/>
      <c r="BJ349" s="182"/>
      <c r="BK349" s="182"/>
      <c r="BL349" s="182"/>
      <c r="BM349" s="182"/>
      <c r="BN349" s="182"/>
      <c r="BO349" s="182"/>
      <c r="BP349" s="182"/>
      <c r="BQ349" s="182"/>
      <c r="BR349" s="182"/>
      <c r="BS349" s="182"/>
      <c r="BT349" s="182"/>
      <c r="BU349" s="182"/>
      <c r="BV349" s="182"/>
      <c r="BW349" s="182"/>
      <c r="BX349" s="182"/>
      <c r="BY349" s="182"/>
      <c r="BZ349" s="182"/>
      <c r="CA349" s="182"/>
      <c r="CB349" s="185">
        <f t="shared" si="56"/>
        <v>1172.5</v>
      </c>
      <c r="CC349" s="185">
        <f t="shared" si="57"/>
        <v>0</v>
      </c>
      <c r="CD349" s="185">
        <f t="shared" si="58"/>
        <v>728</v>
      </c>
      <c r="CE349" s="185" t="e">
        <f>+#REF!</f>
        <v>#REF!</v>
      </c>
    </row>
    <row r="350" spans="2:83" s="197" customFormat="1" ht="37.5" x14ac:dyDescent="0.3">
      <c r="B350" s="182">
        <v>1103</v>
      </c>
      <c r="C350" s="182">
        <v>729</v>
      </c>
      <c r="D350" s="182" t="s">
        <v>325</v>
      </c>
      <c r="E350" s="181" t="s">
        <v>4642</v>
      </c>
      <c r="F350" s="182"/>
      <c r="G350" s="182">
        <v>3399.62</v>
      </c>
      <c r="H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182"/>
      <c r="AI350" s="182"/>
      <c r="AJ350" s="182"/>
      <c r="AK350" s="182"/>
      <c r="AL350" s="182"/>
      <c r="AM350" s="182"/>
      <c r="AN350" s="182"/>
      <c r="AO350" s="182"/>
      <c r="AP350" s="182"/>
      <c r="AQ350" s="185">
        <f t="shared" si="55"/>
        <v>3399.62</v>
      </c>
      <c r="AR350" s="182">
        <v>2996.94</v>
      </c>
      <c r="AS350" s="182">
        <v>362.35</v>
      </c>
      <c r="AT350" s="182">
        <v>40.33</v>
      </c>
      <c r="AU350" s="182"/>
      <c r="AV350" s="182"/>
      <c r="AW350" s="182"/>
      <c r="AX350" s="182"/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182"/>
      <c r="BK350" s="182"/>
      <c r="BL350" s="182"/>
      <c r="BM350" s="182"/>
      <c r="BN350" s="182"/>
      <c r="BO350" s="182"/>
      <c r="BP350" s="182"/>
      <c r="BQ350" s="182"/>
      <c r="BR350" s="182"/>
      <c r="BS350" s="182"/>
      <c r="BT350" s="182"/>
      <c r="BU350" s="182"/>
      <c r="BV350" s="182"/>
      <c r="BW350" s="182"/>
      <c r="BX350" s="182"/>
      <c r="BY350" s="182"/>
      <c r="BZ350" s="182"/>
      <c r="CA350" s="182"/>
      <c r="CB350" s="185">
        <f t="shared" si="56"/>
        <v>3399.62</v>
      </c>
      <c r="CC350" s="185">
        <f t="shared" si="57"/>
        <v>0</v>
      </c>
      <c r="CD350" s="185">
        <f t="shared" si="58"/>
        <v>729</v>
      </c>
      <c r="CE350" s="185" t="e">
        <f>+#REF!</f>
        <v>#REF!</v>
      </c>
    </row>
    <row r="351" spans="2:83" s="197" customFormat="1" ht="37.5" x14ac:dyDescent="0.3">
      <c r="B351" s="182">
        <v>1134</v>
      </c>
      <c r="C351" s="182">
        <v>730</v>
      </c>
      <c r="D351" s="182" t="s">
        <v>325</v>
      </c>
      <c r="E351" s="181" t="s">
        <v>4664</v>
      </c>
      <c r="F351" s="182"/>
      <c r="G351" s="182">
        <v>13549.8</v>
      </c>
      <c r="H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182"/>
      <c r="AI351" s="182"/>
      <c r="AJ351" s="182"/>
      <c r="AK351" s="182"/>
      <c r="AL351" s="182"/>
      <c r="AM351" s="182"/>
      <c r="AN351" s="182"/>
      <c r="AO351" s="182"/>
      <c r="AP351" s="182"/>
      <c r="AQ351" s="185">
        <f t="shared" si="55"/>
        <v>13549.8</v>
      </c>
      <c r="AR351" s="182">
        <v>12018.99</v>
      </c>
      <c r="AS351" s="182">
        <v>1449.25</v>
      </c>
      <c r="AT351" s="182">
        <v>81.56</v>
      </c>
      <c r="AU351" s="182"/>
      <c r="AV351" s="182"/>
      <c r="AW351" s="182"/>
      <c r="AX351" s="182"/>
      <c r="AY351" s="182"/>
      <c r="AZ351" s="182"/>
      <c r="BA351" s="182"/>
      <c r="BB351" s="182"/>
      <c r="BC351" s="182"/>
      <c r="BD351" s="182"/>
      <c r="BE351" s="182"/>
      <c r="BF351" s="182"/>
      <c r="BG351" s="182"/>
      <c r="BH351" s="182"/>
      <c r="BI351" s="182"/>
      <c r="BJ351" s="182"/>
      <c r="BK351" s="182"/>
      <c r="BL351" s="182"/>
      <c r="BM351" s="182"/>
      <c r="BN351" s="182"/>
      <c r="BO351" s="182"/>
      <c r="BP351" s="182"/>
      <c r="BQ351" s="182"/>
      <c r="BR351" s="182"/>
      <c r="BS351" s="182"/>
      <c r="BT351" s="182"/>
      <c r="BU351" s="182"/>
      <c r="BV351" s="182"/>
      <c r="BW351" s="182"/>
      <c r="BX351" s="182"/>
      <c r="BY351" s="182"/>
      <c r="BZ351" s="182"/>
      <c r="CA351" s="182"/>
      <c r="CB351" s="185">
        <f t="shared" si="56"/>
        <v>13549.8</v>
      </c>
      <c r="CC351" s="185">
        <f t="shared" si="57"/>
        <v>0</v>
      </c>
      <c r="CD351" s="185">
        <f t="shared" si="58"/>
        <v>730</v>
      </c>
      <c r="CE351" s="185" t="e">
        <f>+#REF!</f>
        <v>#REF!</v>
      </c>
    </row>
    <row r="352" spans="2:83" s="197" customFormat="1" ht="37.5" x14ac:dyDescent="0.3">
      <c r="B352" s="182">
        <v>1133</v>
      </c>
      <c r="C352" s="182">
        <v>731</v>
      </c>
      <c r="D352" s="182" t="s">
        <v>325</v>
      </c>
      <c r="E352" s="181" t="s">
        <v>4664</v>
      </c>
      <c r="F352" s="182"/>
      <c r="G352" s="182">
        <v>9400</v>
      </c>
      <c r="H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  <c r="Z352" s="182"/>
      <c r="AA352" s="182"/>
      <c r="AB352" s="182"/>
      <c r="AC352" s="182"/>
      <c r="AD352" s="182"/>
      <c r="AE352" s="182"/>
      <c r="AF352" s="182"/>
      <c r="AG352" s="182"/>
      <c r="AH352" s="182"/>
      <c r="AI352" s="182"/>
      <c r="AJ352" s="182"/>
      <c r="AK352" s="182"/>
      <c r="AL352" s="182"/>
      <c r="AM352" s="182"/>
      <c r="AN352" s="182"/>
      <c r="AO352" s="182"/>
      <c r="AP352" s="182"/>
      <c r="AQ352" s="185">
        <f t="shared" si="55"/>
        <v>9400</v>
      </c>
      <c r="AR352" s="182">
        <v>8390.5499999999993</v>
      </c>
      <c r="AS352" s="182">
        <v>1009.45</v>
      </c>
      <c r="AT352" s="182"/>
      <c r="AU352" s="182"/>
      <c r="AV352" s="182"/>
      <c r="AW352" s="182"/>
      <c r="AX352" s="182"/>
      <c r="AY352" s="182"/>
      <c r="AZ352" s="182"/>
      <c r="BA352" s="182"/>
      <c r="BB352" s="182"/>
      <c r="BC352" s="182"/>
      <c r="BD352" s="182"/>
      <c r="BE352" s="182"/>
      <c r="BF352" s="182"/>
      <c r="BG352" s="182"/>
      <c r="BH352" s="182"/>
      <c r="BI352" s="182"/>
      <c r="BJ352" s="182"/>
      <c r="BK352" s="182"/>
      <c r="BL352" s="182"/>
      <c r="BM352" s="182"/>
      <c r="BN352" s="182"/>
      <c r="BO352" s="182"/>
      <c r="BP352" s="182"/>
      <c r="BQ352" s="182"/>
      <c r="BR352" s="182"/>
      <c r="BS352" s="182"/>
      <c r="BT352" s="182"/>
      <c r="BU352" s="182"/>
      <c r="BV352" s="182"/>
      <c r="BW352" s="182"/>
      <c r="BX352" s="182"/>
      <c r="BY352" s="182"/>
      <c r="BZ352" s="182"/>
      <c r="CA352" s="182"/>
      <c r="CB352" s="185">
        <f t="shared" si="56"/>
        <v>9400</v>
      </c>
      <c r="CC352" s="185">
        <f t="shared" si="57"/>
        <v>0</v>
      </c>
      <c r="CD352" s="185">
        <f t="shared" si="58"/>
        <v>731</v>
      </c>
      <c r="CE352" s="185" t="e">
        <f>+#REF!</f>
        <v>#REF!</v>
      </c>
    </row>
    <row r="353" spans="2:83" s="197" customFormat="1" ht="56.25" x14ac:dyDescent="0.3">
      <c r="B353" s="182">
        <v>1132</v>
      </c>
      <c r="C353" s="182">
        <v>732</v>
      </c>
      <c r="D353" s="182" t="s">
        <v>325</v>
      </c>
      <c r="E353" s="181" t="s">
        <v>4665</v>
      </c>
      <c r="F353" s="182"/>
      <c r="G353" s="182">
        <v>410.38</v>
      </c>
      <c r="H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182"/>
      <c r="AI353" s="182"/>
      <c r="AJ353" s="182"/>
      <c r="AK353" s="182"/>
      <c r="AL353" s="182"/>
      <c r="AM353" s="182"/>
      <c r="AN353" s="182"/>
      <c r="AO353" s="182"/>
      <c r="AP353" s="182"/>
      <c r="AQ353" s="185">
        <f t="shared" si="55"/>
        <v>410.38</v>
      </c>
      <c r="AR353" s="182">
        <v>274.8</v>
      </c>
      <c r="AS353" s="182">
        <v>36.700000000000003</v>
      </c>
      <c r="AT353" s="182">
        <v>98.88</v>
      </c>
      <c r="AU353" s="182"/>
      <c r="AV353" s="182"/>
      <c r="AW353" s="182"/>
      <c r="AX353" s="182"/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182"/>
      <c r="BK353" s="182"/>
      <c r="BL353" s="182"/>
      <c r="BM353" s="182"/>
      <c r="BN353" s="182"/>
      <c r="BO353" s="182"/>
      <c r="BP353" s="182"/>
      <c r="BQ353" s="182"/>
      <c r="BR353" s="182"/>
      <c r="BS353" s="182"/>
      <c r="BT353" s="182"/>
      <c r="BU353" s="182"/>
      <c r="BV353" s="182"/>
      <c r="BW353" s="182"/>
      <c r="BX353" s="182"/>
      <c r="BY353" s="182"/>
      <c r="BZ353" s="182"/>
      <c r="CA353" s="182"/>
      <c r="CB353" s="185">
        <f t="shared" si="56"/>
        <v>410.38</v>
      </c>
      <c r="CC353" s="185">
        <f t="shared" si="57"/>
        <v>0</v>
      </c>
      <c r="CD353" s="185">
        <f t="shared" si="58"/>
        <v>732</v>
      </c>
      <c r="CE353" s="185" t="e">
        <f>+#REF!</f>
        <v>#REF!</v>
      </c>
    </row>
    <row r="354" spans="2:83" s="197" customFormat="1" ht="56.25" x14ac:dyDescent="0.3">
      <c r="B354" s="182">
        <v>1131</v>
      </c>
      <c r="C354" s="182">
        <v>733</v>
      </c>
      <c r="D354" s="182" t="s">
        <v>325</v>
      </c>
      <c r="E354" s="181" t="s">
        <v>4665</v>
      </c>
      <c r="F354" s="182"/>
      <c r="G354" s="182">
        <v>3400</v>
      </c>
      <c r="H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182"/>
      <c r="AI354" s="182"/>
      <c r="AJ354" s="182"/>
      <c r="AK354" s="182"/>
      <c r="AL354" s="182"/>
      <c r="AM354" s="182"/>
      <c r="AN354" s="182"/>
      <c r="AO354" s="182"/>
      <c r="AP354" s="182"/>
      <c r="AQ354" s="185">
        <f t="shared" si="55"/>
        <v>3400</v>
      </c>
      <c r="AR354" s="182">
        <v>3037.8</v>
      </c>
      <c r="AS354" s="182">
        <v>362.2</v>
      </c>
      <c r="AT354" s="182"/>
      <c r="AU354" s="182"/>
      <c r="AV354" s="182"/>
      <c r="AW354" s="182"/>
      <c r="AX354" s="182"/>
      <c r="AY354" s="182"/>
      <c r="AZ354" s="182"/>
      <c r="BA354" s="182"/>
      <c r="BB354" s="182"/>
      <c r="BC354" s="182"/>
      <c r="BD354" s="182"/>
      <c r="BE354" s="182"/>
      <c r="BF354" s="182"/>
      <c r="BG354" s="182"/>
      <c r="BH354" s="182"/>
      <c r="BI354" s="182"/>
      <c r="BJ354" s="182"/>
      <c r="BK354" s="182"/>
      <c r="BL354" s="182"/>
      <c r="BM354" s="182"/>
      <c r="BN354" s="182"/>
      <c r="BO354" s="182"/>
      <c r="BP354" s="182"/>
      <c r="BQ354" s="182"/>
      <c r="BR354" s="182"/>
      <c r="BS354" s="182"/>
      <c r="BT354" s="182"/>
      <c r="BU354" s="182"/>
      <c r="BV354" s="182"/>
      <c r="BW354" s="182"/>
      <c r="BX354" s="182"/>
      <c r="BY354" s="182"/>
      <c r="BZ354" s="182"/>
      <c r="CA354" s="182"/>
      <c r="CB354" s="185">
        <f t="shared" si="56"/>
        <v>3400</v>
      </c>
      <c r="CC354" s="185">
        <f t="shared" si="57"/>
        <v>0</v>
      </c>
      <c r="CD354" s="185">
        <f t="shared" si="58"/>
        <v>733</v>
      </c>
      <c r="CE354" s="185" t="e">
        <f>+#REF!</f>
        <v>#REF!</v>
      </c>
    </row>
    <row r="355" spans="2:83" s="197" customFormat="1" ht="56.25" x14ac:dyDescent="0.3">
      <c r="B355" s="182">
        <v>1130</v>
      </c>
      <c r="C355" s="182">
        <v>734</v>
      </c>
      <c r="D355" s="182" t="s">
        <v>325</v>
      </c>
      <c r="E355" s="181" t="s">
        <v>4665</v>
      </c>
      <c r="F355" s="182"/>
      <c r="G355" s="182">
        <v>3900</v>
      </c>
      <c r="H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  <c r="Z355" s="182"/>
      <c r="AA355" s="182"/>
      <c r="AB355" s="182"/>
      <c r="AC355" s="182"/>
      <c r="AD355" s="182"/>
      <c r="AE355" s="182"/>
      <c r="AF355" s="182"/>
      <c r="AG355" s="182"/>
      <c r="AH355" s="182"/>
      <c r="AI355" s="182"/>
      <c r="AJ355" s="182"/>
      <c r="AK355" s="182"/>
      <c r="AL355" s="182"/>
      <c r="AM355" s="182"/>
      <c r="AN355" s="182"/>
      <c r="AO355" s="182"/>
      <c r="AP355" s="182"/>
      <c r="AQ355" s="185">
        <f t="shared" si="55"/>
        <v>3900</v>
      </c>
      <c r="AR355" s="182">
        <v>3482.8</v>
      </c>
      <c r="AS355" s="182">
        <v>417.2</v>
      </c>
      <c r="AT355" s="182"/>
      <c r="AU355" s="182"/>
      <c r="AV355" s="182"/>
      <c r="AW355" s="182"/>
      <c r="AX355" s="182"/>
      <c r="AY355" s="182"/>
      <c r="AZ355" s="182"/>
      <c r="BA355" s="182"/>
      <c r="BB355" s="182"/>
      <c r="BC355" s="182"/>
      <c r="BD355" s="182"/>
      <c r="BE355" s="182"/>
      <c r="BF355" s="182"/>
      <c r="BG355" s="182"/>
      <c r="BH355" s="182"/>
      <c r="BI355" s="182"/>
      <c r="BJ355" s="182"/>
      <c r="BK355" s="182"/>
      <c r="BL355" s="182"/>
      <c r="BM355" s="182"/>
      <c r="BN355" s="182"/>
      <c r="BO355" s="182"/>
      <c r="BP355" s="182"/>
      <c r="BQ355" s="182"/>
      <c r="BR355" s="182"/>
      <c r="BS355" s="182"/>
      <c r="BT355" s="182"/>
      <c r="BU355" s="182"/>
      <c r="BV355" s="182"/>
      <c r="BW355" s="182"/>
      <c r="BX355" s="182"/>
      <c r="BY355" s="182"/>
      <c r="BZ355" s="182"/>
      <c r="CA355" s="182"/>
      <c r="CB355" s="185">
        <f t="shared" si="56"/>
        <v>3900</v>
      </c>
      <c r="CC355" s="185">
        <f t="shared" si="57"/>
        <v>0</v>
      </c>
      <c r="CD355" s="185">
        <f t="shared" si="58"/>
        <v>734</v>
      </c>
      <c r="CE355" s="185" t="e">
        <f>+#REF!</f>
        <v>#REF!</v>
      </c>
    </row>
    <row r="356" spans="2:83" s="197" customFormat="1" ht="37.5" x14ac:dyDescent="0.3">
      <c r="B356" s="182">
        <v>1111</v>
      </c>
      <c r="C356" s="182">
        <v>735</v>
      </c>
      <c r="D356" s="182" t="s">
        <v>325</v>
      </c>
      <c r="E356" s="181" t="s">
        <v>4666</v>
      </c>
      <c r="F356" s="182"/>
      <c r="G356" s="182">
        <v>500</v>
      </c>
      <c r="H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182"/>
      <c r="AI356" s="182"/>
      <c r="AJ356" s="182"/>
      <c r="AK356" s="182"/>
      <c r="AL356" s="182"/>
      <c r="AM356" s="182"/>
      <c r="AN356" s="182"/>
      <c r="AO356" s="182"/>
      <c r="AP356" s="182"/>
      <c r="AQ356" s="185">
        <f t="shared" si="55"/>
        <v>500</v>
      </c>
      <c r="AR356" s="182">
        <v>447.05</v>
      </c>
      <c r="AS356" s="182">
        <v>52.95</v>
      </c>
      <c r="AT356" s="182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182"/>
      <c r="BK356" s="182"/>
      <c r="BL356" s="182"/>
      <c r="BM356" s="182"/>
      <c r="BN356" s="182"/>
      <c r="BO356" s="182"/>
      <c r="BP356" s="182"/>
      <c r="BQ356" s="182"/>
      <c r="BR356" s="182"/>
      <c r="BS356" s="182"/>
      <c r="BT356" s="182"/>
      <c r="BU356" s="182"/>
      <c r="BV356" s="182"/>
      <c r="BW356" s="182"/>
      <c r="BX356" s="182"/>
      <c r="BY356" s="182"/>
      <c r="BZ356" s="182"/>
      <c r="CA356" s="182"/>
      <c r="CB356" s="185">
        <f t="shared" si="56"/>
        <v>500</v>
      </c>
      <c r="CC356" s="185">
        <f t="shared" si="57"/>
        <v>0</v>
      </c>
      <c r="CD356" s="185">
        <f t="shared" si="58"/>
        <v>735</v>
      </c>
      <c r="CE356" s="185" t="e">
        <f>+#REF!</f>
        <v>#REF!</v>
      </c>
    </row>
    <row r="357" spans="2:83" s="197" customFormat="1" ht="37.5" x14ac:dyDescent="0.3">
      <c r="B357" s="182">
        <v>1110</v>
      </c>
      <c r="C357" s="182">
        <v>736</v>
      </c>
      <c r="D357" s="182" t="s">
        <v>325</v>
      </c>
      <c r="E357" s="181" t="s">
        <v>4667</v>
      </c>
      <c r="F357" s="182"/>
      <c r="G357" s="182">
        <v>1407</v>
      </c>
      <c r="H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  <c r="AN357" s="182"/>
      <c r="AO357" s="182"/>
      <c r="AP357" s="182"/>
      <c r="AQ357" s="185">
        <f t="shared" si="55"/>
        <v>1407</v>
      </c>
      <c r="AR357" s="182">
        <v>940.35</v>
      </c>
      <c r="AS357" s="182">
        <v>127.65</v>
      </c>
      <c r="AT357" s="182">
        <v>339</v>
      </c>
      <c r="AU357" s="182"/>
      <c r="AV357" s="182"/>
      <c r="AW357" s="182"/>
      <c r="AX357" s="182"/>
      <c r="AY357" s="182"/>
      <c r="AZ357" s="182"/>
      <c r="BA357" s="182"/>
      <c r="BB357" s="182"/>
      <c r="BC357" s="182"/>
      <c r="BD357" s="182"/>
      <c r="BE357" s="182"/>
      <c r="BF357" s="182"/>
      <c r="BG357" s="182"/>
      <c r="BH357" s="182"/>
      <c r="BI357" s="182"/>
      <c r="BJ357" s="182"/>
      <c r="BK357" s="182"/>
      <c r="BL357" s="182"/>
      <c r="BM357" s="182"/>
      <c r="BN357" s="182"/>
      <c r="BO357" s="182"/>
      <c r="BP357" s="182"/>
      <c r="BQ357" s="182"/>
      <c r="BR357" s="182"/>
      <c r="BS357" s="182"/>
      <c r="BT357" s="182"/>
      <c r="BU357" s="182"/>
      <c r="BV357" s="182"/>
      <c r="BW357" s="182"/>
      <c r="BX357" s="182"/>
      <c r="BY357" s="182"/>
      <c r="BZ357" s="182"/>
      <c r="CA357" s="182"/>
      <c r="CB357" s="185">
        <f t="shared" si="56"/>
        <v>1407</v>
      </c>
      <c r="CC357" s="185">
        <f t="shared" si="57"/>
        <v>0</v>
      </c>
      <c r="CD357" s="185">
        <f t="shared" si="58"/>
        <v>736</v>
      </c>
      <c r="CE357" s="185" t="e">
        <f>+#REF!</f>
        <v>#REF!</v>
      </c>
    </row>
    <row r="358" spans="2:83" s="197" customFormat="1" ht="37.5" x14ac:dyDescent="0.3">
      <c r="B358" s="182">
        <v>1113</v>
      </c>
      <c r="C358" s="182">
        <v>737</v>
      </c>
      <c r="D358" s="182" t="s">
        <v>325</v>
      </c>
      <c r="E358" s="181" t="s">
        <v>155</v>
      </c>
      <c r="F358" s="182"/>
      <c r="G358" s="182">
        <v>200</v>
      </c>
      <c r="H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  <c r="Z358" s="182"/>
      <c r="AA358" s="182"/>
      <c r="AB358" s="182"/>
      <c r="AC358" s="182"/>
      <c r="AD358" s="182"/>
      <c r="AE358" s="182"/>
      <c r="AF358" s="182"/>
      <c r="AG358" s="182"/>
      <c r="AH358" s="182"/>
      <c r="AI358" s="182"/>
      <c r="AJ358" s="182"/>
      <c r="AK358" s="182"/>
      <c r="AL358" s="182"/>
      <c r="AM358" s="182"/>
      <c r="AN358" s="182"/>
      <c r="AO358" s="182"/>
      <c r="AP358" s="182"/>
      <c r="AQ358" s="185">
        <f t="shared" si="55"/>
        <v>200</v>
      </c>
      <c r="AR358" s="182">
        <v>179.1</v>
      </c>
      <c r="AS358" s="182">
        <v>20.9</v>
      </c>
      <c r="AT358" s="182"/>
      <c r="AU358" s="182"/>
      <c r="AV358" s="182"/>
      <c r="AW358" s="182"/>
      <c r="AX358" s="182"/>
      <c r="AY358" s="182"/>
      <c r="AZ358" s="182"/>
      <c r="BA358" s="182"/>
      <c r="BB358" s="182"/>
      <c r="BC358" s="182"/>
      <c r="BD358" s="182"/>
      <c r="BE358" s="182"/>
      <c r="BF358" s="182"/>
      <c r="BG358" s="182"/>
      <c r="BH358" s="182"/>
      <c r="BI358" s="182"/>
      <c r="BJ358" s="182"/>
      <c r="BK358" s="182"/>
      <c r="BL358" s="182"/>
      <c r="BM358" s="182"/>
      <c r="BN358" s="182"/>
      <c r="BO358" s="182"/>
      <c r="BP358" s="182"/>
      <c r="BQ358" s="182"/>
      <c r="BR358" s="182"/>
      <c r="BS358" s="182"/>
      <c r="BT358" s="182"/>
      <c r="BU358" s="182"/>
      <c r="BV358" s="182"/>
      <c r="BW358" s="182"/>
      <c r="BX358" s="182"/>
      <c r="BY358" s="182"/>
      <c r="BZ358" s="182"/>
      <c r="CA358" s="182"/>
      <c r="CB358" s="185">
        <f t="shared" si="56"/>
        <v>200</v>
      </c>
      <c r="CC358" s="185">
        <f t="shared" si="57"/>
        <v>0</v>
      </c>
      <c r="CD358" s="185">
        <f t="shared" si="58"/>
        <v>737</v>
      </c>
      <c r="CE358" s="185" t="e">
        <f>+#REF!</f>
        <v>#REF!</v>
      </c>
    </row>
    <row r="359" spans="2:83" s="197" customFormat="1" ht="37.5" x14ac:dyDescent="0.3">
      <c r="B359" s="182">
        <v>1142</v>
      </c>
      <c r="C359" s="182">
        <v>738</v>
      </c>
      <c r="D359" s="182" t="s">
        <v>325</v>
      </c>
      <c r="E359" s="181" t="s">
        <v>155</v>
      </c>
      <c r="F359" s="182"/>
      <c r="G359" s="182">
        <v>400</v>
      </c>
      <c r="H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182"/>
      <c r="AI359" s="182"/>
      <c r="AJ359" s="182"/>
      <c r="AK359" s="182"/>
      <c r="AL359" s="182"/>
      <c r="AM359" s="182"/>
      <c r="AN359" s="182"/>
      <c r="AO359" s="182"/>
      <c r="AP359" s="182"/>
      <c r="AQ359" s="185">
        <f t="shared" si="55"/>
        <v>400</v>
      </c>
      <c r="AR359" s="182">
        <v>358.2</v>
      </c>
      <c r="AS359" s="182">
        <v>41.8</v>
      </c>
      <c r="AT359" s="182"/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182"/>
      <c r="BK359" s="182"/>
      <c r="BL359" s="182"/>
      <c r="BM359" s="182"/>
      <c r="BN359" s="182"/>
      <c r="BO359" s="182"/>
      <c r="BP359" s="182"/>
      <c r="BQ359" s="182"/>
      <c r="BR359" s="182"/>
      <c r="BS359" s="182"/>
      <c r="BT359" s="182"/>
      <c r="BU359" s="182"/>
      <c r="BV359" s="182"/>
      <c r="BW359" s="182"/>
      <c r="BX359" s="182"/>
      <c r="BY359" s="182"/>
      <c r="BZ359" s="182"/>
      <c r="CA359" s="182"/>
      <c r="CB359" s="185">
        <f t="shared" si="56"/>
        <v>400</v>
      </c>
      <c r="CC359" s="185">
        <f t="shared" si="57"/>
        <v>0</v>
      </c>
      <c r="CD359" s="185">
        <f t="shared" si="58"/>
        <v>738</v>
      </c>
      <c r="CE359" s="185" t="e">
        <f>+#REF!</f>
        <v>#REF!</v>
      </c>
    </row>
    <row r="360" spans="2:83" s="197" customFormat="1" ht="37.5" x14ac:dyDescent="0.3">
      <c r="B360" s="182">
        <v>1119</v>
      </c>
      <c r="C360" s="182">
        <v>739</v>
      </c>
      <c r="D360" s="182" t="s">
        <v>325</v>
      </c>
      <c r="E360" s="181" t="s">
        <v>155</v>
      </c>
      <c r="F360" s="182"/>
      <c r="G360" s="182">
        <v>200</v>
      </c>
      <c r="H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182"/>
      <c r="AI360" s="182"/>
      <c r="AJ360" s="182"/>
      <c r="AK360" s="182"/>
      <c r="AL360" s="182"/>
      <c r="AM360" s="182"/>
      <c r="AN360" s="182"/>
      <c r="AO360" s="182"/>
      <c r="AP360" s="182"/>
      <c r="AQ360" s="185">
        <f t="shared" si="55"/>
        <v>200</v>
      </c>
      <c r="AR360" s="182">
        <v>179.1</v>
      </c>
      <c r="AS360" s="182">
        <v>20.9</v>
      </c>
      <c r="AT360" s="182"/>
      <c r="AU360" s="182"/>
      <c r="AV360" s="182"/>
      <c r="AW360" s="182"/>
      <c r="AX360" s="182"/>
      <c r="AY360" s="182"/>
      <c r="AZ360" s="182"/>
      <c r="BA360" s="182"/>
      <c r="BB360" s="182"/>
      <c r="BC360" s="182"/>
      <c r="BD360" s="182"/>
      <c r="BE360" s="182"/>
      <c r="BF360" s="182"/>
      <c r="BG360" s="182"/>
      <c r="BH360" s="182"/>
      <c r="BI360" s="182"/>
      <c r="BJ360" s="182"/>
      <c r="BK360" s="182"/>
      <c r="BL360" s="182"/>
      <c r="BM360" s="182"/>
      <c r="BN360" s="182"/>
      <c r="BO360" s="182"/>
      <c r="BP360" s="182"/>
      <c r="BQ360" s="182"/>
      <c r="BR360" s="182"/>
      <c r="BS360" s="182"/>
      <c r="BT360" s="182"/>
      <c r="BU360" s="182"/>
      <c r="BV360" s="182"/>
      <c r="BW360" s="182"/>
      <c r="BX360" s="182"/>
      <c r="BY360" s="182"/>
      <c r="BZ360" s="182"/>
      <c r="CA360" s="182"/>
      <c r="CB360" s="185">
        <f t="shared" si="56"/>
        <v>200</v>
      </c>
      <c r="CC360" s="185">
        <f t="shared" si="57"/>
        <v>0</v>
      </c>
      <c r="CD360" s="185">
        <f t="shared" si="58"/>
        <v>739</v>
      </c>
      <c r="CE360" s="185" t="e">
        <f>+#REF!</f>
        <v>#REF!</v>
      </c>
    </row>
    <row r="361" spans="2:83" s="197" customFormat="1" ht="37.5" x14ac:dyDescent="0.3">
      <c r="B361" s="182">
        <v>1140</v>
      </c>
      <c r="C361" s="182">
        <v>740</v>
      </c>
      <c r="D361" s="182" t="s">
        <v>325</v>
      </c>
      <c r="E361" s="181" t="s">
        <v>155</v>
      </c>
      <c r="F361" s="182"/>
      <c r="G361" s="182">
        <v>224.47</v>
      </c>
      <c r="H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  <c r="Z361" s="182"/>
      <c r="AA361" s="182"/>
      <c r="AB361" s="182"/>
      <c r="AC361" s="182"/>
      <c r="AD361" s="182"/>
      <c r="AE361" s="182"/>
      <c r="AF361" s="182"/>
      <c r="AG361" s="182"/>
      <c r="AH361" s="182"/>
      <c r="AI361" s="182"/>
      <c r="AJ361" s="182"/>
      <c r="AK361" s="182"/>
      <c r="AL361" s="182"/>
      <c r="AM361" s="182"/>
      <c r="AN361" s="182"/>
      <c r="AO361" s="182"/>
      <c r="AP361" s="182"/>
      <c r="AQ361" s="185">
        <f t="shared" si="55"/>
        <v>224.47</v>
      </c>
      <c r="AR361" s="182">
        <v>163.54</v>
      </c>
      <c r="AS361" s="182">
        <v>20.85</v>
      </c>
      <c r="AT361" s="182">
        <v>40.08</v>
      </c>
      <c r="AU361" s="182"/>
      <c r="AV361" s="182"/>
      <c r="AW361" s="182"/>
      <c r="AX361" s="182"/>
      <c r="AY361" s="182"/>
      <c r="AZ361" s="182"/>
      <c r="BA361" s="182"/>
      <c r="BB361" s="182"/>
      <c r="BC361" s="182"/>
      <c r="BD361" s="182"/>
      <c r="BE361" s="182"/>
      <c r="BF361" s="182"/>
      <c r="BG361" s="182"/>
      <c r="BH361" s="182"/>
      <c r="BI361" s="182"/>
      <c r="BJ361" s="182"/>
      <c r="BK361" s="182"/>
      <c r="BL361" s="182"/>
      <c r="BM361" s="182"/>
      <c r="BN361" s="182"/>
      <c r="BO361" s="182"/>
      <c r="BP361" s="182"/>
      <c r="BQ361" s="182"/>
      <c r="BR361" s="182"/>
      <c r="BS361" s="182"/>
      <c r="BT361" s="182"/>
      <c r="BU361" s="182"/>
      <c r="BV361" s="182"/>
      <c r="BW361" s="182"/>
      <c r="BX361" s="182"/>
      <c r="BY361" s="182"/>
      <c r="BZ361" s="182"/>
      <c r="CA361" s="182"/>
      <c r="CB361" s="185">
        <f t="shared" si="56"/>
        <v>224.46999999999997</v>
      </c>
      <c r="CC361" s="185">
        <f t="shared" si="57"/>
        <v>0</v>
      </c>
      <c r="CD361" s="185">
        <f t="shared" si="58"/>
        <v>740</v>
      </c>
      <c r="CE361" s="185" t="e">
        <f>+#REF!</f>
        <v>#REF!</v>
      </c>
    </row>
    <row r="362" spans="2:83" s="197" customFormat="1" ht="37.5" x14ac:dyDescent="0.3">
      <c r="B362" s="182">
        <v>1112</v>
      </c>
      <c r="C362" s="182">
        <v>741</v>
      </c>
      <c r="D362" s="182" t="s">
        <v>325</v>
      </c>
      <c r="E362" s="181" t="s">
        <v>155</v>
      </c>
      <c r="F362" s="182"/>
      <c r="G362" s="182">
        <v>234.5</v>
      </c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  <c r="Z362" s="182"/>
      <c r="AA362" s="182"/>
      <c r="AB362" s="182"/>
      <c r="AC362" s="182"/>
      <c r="AD362" s="182"/>
      <c r="AE362" s="182"/>
      <c r="AF362" s="182"/>
      <c r="AG362" s="182"/>
      <c r="AH362" s="182"/>
      <c r="AI362" s="182"/>
      <c r="AJ362" s="182"/>
      <c r="AK362" s="182"/>
      <c r="AL362" s="182"/>
      <c r="AM362" s="182"/>
      <c r="AN362" s="182"/>
      <c r="AO362" s="182"/>
      <c r="AP362" s="182"/>
      <c r="AQ362" s="185">
        <f t="shared" si="55"/>
        <v>234.5</v>
      </c>
      <c r="AR362" s="182">
        <v>157.19999999999999</v>
      </c>
      <c r="AS362" s="182">
        <v>20.8</v>
      </c>
      <c r="AT362" s="182">
        <v>56.5</v>
      </c>
      <c r="AU362" s="182"/>
      <c r="AV362" s="182"/>
      <c r="AW362" s="182"/>
      <c r="AX362" s="182"/>
      <c r="AY362" s="182"/>
      <c r="AZ362" s="182"/>
      <c r="BA362" s="182"/>
      <c r="BB362" s="182"/>
      <c r="BC362" s="182"/>
      <c r="BD362" s="182"/>
      <c r="BE362" s="182"/>
      <c r="BF362" s="182"/>
      <c r="BG362" s="182"/>
      <c r="BH362" s="182"/>
      <c r="BI362" s="182"/>
      <c r="BJ362" s="182"/>
      <c r="BK362" s="182"/>
      <c r="BL362" s="182"/>
      <c r="BM362" s="182"/>
      <c r="BN362" s="182"/>
      <c r="BO362" s="182"/>
      <c r="BP362" s="182"/>
      <c r="BQ362" s="182"/>
      <c r="BR362" s="182"/>
      <c r="BS362" s="182"/>
      <c r="BT362" s="182"/>
      <c r="BU362" s="182"/>
      <c r="BV362" s="182"/>
      <c r="BW362" s="182"/>
      <c r="BX362" s="182"/>
      <c r="BY362" s="182"/>
      <c r="BZ362" s="182"/>
      <c r="CA362" s="182"/>
      <c r="CB362" s="185">
        <f t="shared" si="56"/>
        <v>234.5</v>
      </c>
      <c r="CC362" s="185">
        <f t="shared" si="57"/>
        <v>0</v>
      </c>
      <c r="CD362" s="185">
        <f t="shared" si="58"/>
        <v>741</v>
      </c>
      <c r="CE362" s="185" t="e">
        <f>+#REF!</f>
        <v>#REF!</v>
      </c>
    </row>
    <row r="363" spans="2:83" s="197" customFormat="1" ht="37.5" x14ac:dyDescent="0.3">
      <c r="B363" s="182">
        <v>1138</v>
      </c>
      <c r="C363" s="182">
        <v>742</v>
      </c>
      <c r="D363" s="182" t="s">
        <v>325</v>
      </c>
      <c r="E363" s="181" t="s">
        <v>155</v>
      </c>
      <c r="F363" s="182"/>
      <c r="G363" s="182">
        <v>600</v>
      </c>
      <c r="H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  <c r="Z363" s="182"/>
      <c r="AA363" s="182"/>
      <c r="AB363" s="182"/>
      <c r="AC363" s="182"/>
      <c r="AD363" s="182"/>
      <c r="AE363" s="182"/>
      <c r="AF363" s="182"/>
      <c r="AG363" s="182"/>
      <c r="AH363" s="182"/>
      <c r="AI363" s="182"/>
      <c r="AJ363" s="182"/>
      <c r="AK363" s="182"/>
      <c r="AL363" s="182"/>
      <c r="AM363" s="182"/>
      <c r="AN363" s="182"/>
      <c r="AO363" s="182"/>
      <c r="AP363" s="182"/>
      <c r="AQ363" s="185">
        <f t="shared" si="55"/>
        <v>600</v>
      </c>
      <c r="AR363" s="182">
        <v>536.15</v>
      </c>
      <c r="AS363" s="182">
        <v>63.85</v>
      </c>
      <c r="AT363" s="182"/>
      <c r="AU363" s="182"/>
      <c r="AV363" s="182"/>
      <c r="AW363" s="182"/>
      <c r="AX363" s="182"/>
      <c r="AY363" s="182"/>
      <c r="AZ363" s="182"/>
      <c r="BA363" s="182"/>
      <c r="BB363" s="182"/>
      <c r="BC363" s="182"/>
      <c r="BD363" s="182"/>
      <c r="BE363" s="182"/>
      <c r="BF363" s="182"/>
      <c r="BG363" s="182"/>
      <c r="BH363" s="182"/>
      <c r="BI363" s="182"/>
      <c r="BJ363" s="182"/>
      <c r="BK363" s="182"/>
      <c r="BL363" s="182"/>
      <c r="BM363" s="182"/>
      <c r="BN363" s="182"/>
      <c r="BO363" s="182"/>
      <c r="BP363" s="182"/>
      <c r="BQ363" s="182"/>
      <c r="BR363" s="182"/>
      <c r="BS363" s="182"/>
      <c r="BT363" s="182"/>
      <c r="BU363" s="182"/>
      <c r="BV363" s="182"/>
      <c r="BW363" s="182"/>
      <c r="BX363" s="182"/>
      <c r="BY363" s="182"/>
      <c r="BZ363" s="182"/>
      <c r="CA363" s="182"/>
      <c r="CB363" s="185">
        <f t="shared" si="56"/>
        <v>600</v>
      </c>
      <c r="CC363" s="185">
        <f t="shared" si="57"/>
        <v>0</v>
      </c>
      <c r="CD363" s="185">
        <f t="shared" si="58"/>
        <v>742</v>
      </c>
      <c r="CE363" s="185" t="e">
        <f>+#REF!</f>
        <v>#REF!</v>
      </c>
    </row>
    <row r="364" spans="2:83" s="197" customFormat="1" ht="37.5" x14ac:dyDescent="0.3">
      <c r="B364" s="182">
        <v>1137</v>
      </c>
      <c r="C364" s="182">
        <v>743</v>
      </c>
      <c r="D364" s="182" t="s">
        <v>325</v>
      </c>
      <c r="E364" s="181" t="s">
        <v>155</v>
      </c>
      <c r="F364" s="182"/>
      <c r="G364" s="182">
        <v>6593.5</v>
      </c>
      <c r="H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  <c r="Z364" s="182"/>
      <c r="AA364" s="182"/>
      <c r="AB364" s="182"/>
      <c r="AC364" s="182"/>
      <c r="AD364" s="182"/>
      <c r="AE364" s="182"/>
      <c r="AF364" s="182"/>
      <c r="AG364" s="182"/>
      <c r="AH364" s="182"/>
      <c r="AI364" s="182"/>
      <c r="AJ364" s="182"/>
      <c r="AK364" s="182"/>
      <c r="AL364" s="182"/>
      <c r="AM364" s="182"/>
      <c r="AN364" s="182"/>
      <c r="AO364" s="182"/>
      <c r="AP364" s="182"/>
      <c r="AQ364" s="185">
        <f t="shared" si="55"/>
        <v>6593.5</v>
      </c>
      <c r="AR364" s="182">
        <v>4681.2</v>
      </c>
      <c r="AS364" s="182">
        <v>612.79999999999995</v>
      </c>
      <c r="AT364" s="182">
        <v>1299.5</v>
      </c>
      <c r="AU364" s="182"/>
      <c r="AV364" s="182"/>
      <c r="AW364" s="182"/>
      <c r="AX364" s="182"/>
      <c r="AY364" s="182"/>
      <c r="AZ364" s="182"/>
      <c r="BA364" s="182"/>
      <c r="BB364" s="182"/>
      <c r="BC364" s="182"/>
      <c r="BD364" s="182"/>
      <c r="BE364" s="182"/>
      <c r="BF364" s="182"/>
      <c r="BG364" s="182"/>
      <c r="BH364" s="182"/>
      <c r="BI364" s="182"/>
      <c r="BJ364" s="182"/>
      <c r="BK364" s="182"/>
      <c r="BL364" s="182"/>
      <c r="BM364" s="182"/>
      <c r="BN364" s="182"/>
      <c r="BO364" s="182"/>
      <c r="BP364" s="182"/>
      <c r="BQ364" s="182"/>
      <c r="BR364" s="182"/>
      <c r="BS364" s="182"/>
      <c r="BT364" s="182"/>
      <c r="BU364" s="182"/>
      <c r="BV364" s="182"/>
      <c r="BW364" s="182"/>
      <c r="BX364" s="182"/>
      <c r="BY364" s="182"/>
      <c r="BZ364" s="182"/>
      <c r="CA364" s="182"/>
      <c r="CB364" s="185">
        <f t="shared" si="56"/>
        <v>6593.5</v>
      </c>
      <c r="CC364" s="185">
        <f t="shared" si="57"/>
        <v>0</v>
      </c>
      <c r="CD364" s="185">
        <f t="shared" si="58"/>
        <v>743</v>
      </c>
      <c r="CE364" s="185" t="e">
        <f>+#REF!</f>
        <v>#REF!</v>
      </c>
    </row>
    <row r="365" spans="2:83" s="197" customFormat="1" ht="37.5" x14ac:dyDescent="0.3">
      <c r="B365" s="182">
        <v>1136</v>
      </c>
      <c r="C365" s="182">
        <v>744</v>
      </c>
      <c r="D365" s="182" t="s">
        <v>325</v>
      </c>
      <c r="E365" s="181" t="s">
        <v>155</v>
      </c>
      <c r="F365" s="182"/>
      <c r="G365" s="182">
        <v>2000</v>
      </c>
      <c r="H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  <c r="Z365" s="182"/>
      <c r="AA365" s="182"/>
      <c r="AB365" s="182"/>
      <c r="AC365" s="182"/>
      <c r="AD365" s="182"/>
      <c r="AE365" s="182"/>
      <c r="AF365" s="182"/>
      <c r="AG365" s="182"/>
      <c r="AH365" s="182"/>
      <c r="AI365" s="182"/>
      <c r="AJ365" s="182"/>
      <c r="AK365" s="182"/>
      <c r="AL365" s="182"/>
      <c r="AM365" s="182"/>
      <c r="AN365" s="182"/>
      <c r="AO365" s="182"/>
      <c r="AP365" s="182"/>
      <c r="AQ365" s="185">
        <f t="shared" si="55"/>
        <v>2000</v>
      </c>
      <c r="AR365" s="182">
        <v>1786</v>
      </c>
      <c r="AS365" s="182">
        <v>214</v>
      </c>
      <c r="AT365" s="182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182"/>
      <c r="BK365" s="182"/>
      <c r="BL365" s="182"/>
      <c r="BM365" s="182"/>
      <c r="BN365" s="182"/>
      <c r="BO365" s="182"/>
      <c r="BP365" s="182"/>
      <c r="BQ365" s="182"/>
      <c r="BR365" s="182"/>
      <c r="BS365" s="182"/>
      <c r="BT365" s="182"/>
      <c r="BU365" s="182"/>
      <c r="BV365" s="182"/>
      <c r="BW365" s="182"/>
      <c r="BX365" s="182"/>
      <c r="BY365" s="182"/>
      <c r="BZ365" s="182"/>
      <c r="CA365" s="182"/>
      <c r="CB365" s="185">
        <f t="shared" si="56"/>
        <v>2000</v>
      </c>
      <c r="CC365" s="185">
        <f t="shared" si="57"/>
        <v>0</v>
      </c>
      <c r="CD365" s="185">
        <f t="shared" si="58"/>
        <v>744</v>
      </c>
      <c r="CE365" s="185" t="e">
        <f>+#REF!</f>
        <v>#REF!</v>
      </c>
    </row>
    <row r="366" spans="2:83" s="197" customFormat="1" ht="37.5" x14ac:dyDescent="0.3">
      <c r="B366" s="182">
        <v>1135</v>
      </c>
      <c r="C366" s="182">
        <v>745</v>
      </c>
      <c r="D366" s="182" t="s">
        <v>325</v>
      </c>
      <c r="E366" s="181" t="s">
        <v>155</v>
      </c>
      <c r="F366" s="182"/>
      <c r="G366" s="182">
        <v>3269</v>
      </c>
      <c r="H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/>
      <c r="AH366" s="182"/>
      <c r="AI366" s="182"/>
      <c r="AJ366" s="182"/>
      <c r="AK366" s="182"/>
      <c r="AL366" s="182"/>
      <c r="AM366" s="182"/>
      <c r="AN366" s="182"/>
      <c r="AO366" s="182"/>
      <c r="AP366" s="182"/>
      <c r="AQ366" s="185">
        <f t="shared" ref="AQ366:AQ397" si="59">SUM(G366:AP366)</f>
        <v>3269</v>
      </c>
      <c r="AR366" s="182">
        <v>2815.65</v>
      </c>
      <c r="AS366" s="182">
        <v>340.35</v>
      </c>
      <c r="AT366" s="182">
        <v>113</v>
      </c>
      <c r="AU366" s="182"/>
      <c r="AV366" s="182"/>
      <c r="AW366" s="182"/>
      <c r="AX366" s="182"/>
      <c r="AY366" s="182"/>
      <c r="AZ366" s="182"/>
      <c r="BA366" s="182"/>
      <c r="BB366" s="182"/>
      <c r="BC366" s="182"/>
      <c r="BD366" s="182"/>
      <c r="BE366" s="182"/>
      <c r="BF366" s="182"/>
      <c r="BG366" s="182"/>
      <c r="BH366" s="182"/>
      <c r="BI366" s="182"/>
      <c r="BJ366" s="182"/>
      <c r="BK366" s="182"/>
      <c r="BL366" s="182"/>
      <c r="BM366" s="182"/>
      <c r="BN366" s="182"/>
      <c r="BO366" s="182"/>
      <c r="BP366" s="182"/>
      <c r="BQ366" s="182"/>
      <c r="BR366" s="182"/>
      <c r="BS366" s="182"/>
      <c r="BT366" s="182"/>
      <c r="BU366" s="182"/>
      <c r="BV366" s="182"/>
      <c r="BW366" s="182"/>
      <c r="BX366" s="182"/>
      <c r="BY366" s="182"/>
      <c r="BZ366" s="182"/>
      <c r="CA366" s="182"/>
      <c r="CB366" s="185">
        <f t="shared" ref="CB366:CB397" si="60">SUM(AR366:CA366)</f>
        <v>3269</v>
      </c>
      <c r="CC366" s="185">
        <f t="shared" ref="CC366:CC397" si="61">+CB366-AQ366</f>
        <v>0</v>
      </c>
      <c r="CD366" s="185">
        <f t="shared" ref="CD366:CD397" si="62">+C366</f>
        <v>745</v>
      </c>
      <c r="CE366" s="185" t="e">
        <f>+#REF!</f>
        <v>#REF!</v>
      </c>
    </row>
    <row r="367" spans="2:83" s="197" customFormat="1" ht="37.5" x14ac:dyDescent="0.3">
      <c r="B367" s="182">
        <v>1124</v>
      </c>
      <c r="C367" s="182">
        <v>746</v>
      </c>
      <c r="D367" s="182" t="s">
        <v>325</v>
      </c>
      <c r="E367" s="181" t="s">
        <v>155</v>
      </c>
      <c r="F367" s="182"/>
      <c r="G367" s="182">
        <v>400</v>
      </c>
      <c r="H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  <c r="Z367" s="182"/>
      <c r="AA367" s="182"/>
      <c r="AB367" s="182"/>
      <c r="AC367" s="182"/>
      <c r="AD367" s="182"/>
      <c r="AE367" s="182"/>
      <c r="AF367" s="182"/>
      <c r="AG367" s="182"/>
      <c r="AH367" s="182"/>
      <c r="AI367" s="182"/>
      <c r="AJ367" s="182"/>
      <c r="AK367" s="182"/>
      <c r="AL367" s="182"/>
      <c r="AM367" s="182"/>
      <c r="AN367" s="182"/>
      <c r="AO367" s="182"/>
      <c r="AP367" s="182"/>
      <c r="AQ367" s="185">
        <f t="shared" si="59"/>
        <v>400</v>
      </c>
      <c r="AR367" s="182">
        <v>357.7</v>
      </c>
      <c r="AS367" s="182">
        <v>42.3</v>
      </c>
      <c r="AT367" s="182"/>
      <c r="AU367" s="182"/>
      <c r="AV367" s="182"/>
      <c r="AW367" s="182"/>
      <c r="AX367" s="182"/>
      <c r="AY367" s="182"/>
      <c r="AZ367" s="182"/>
      <c r="BA367" s="182"/>
      <c r="BB367" s="182"/>
      <c r="BC367" s="182"/>
      <c r="BD367" s="182"/>
      <c r="BE367" s="182"/>
      <c r="BF367" s="182"/>
      <c r="BG367" s="182"/>
      <c r="BH367" s="182"/>
      <c r="BI367" s="182"/>
      <c r="BJ367" s="182"/>
      <c r="BK367" s="182"/>
      <c r="BL367" s="182"/>
      <c r="BM367" s="182"/>
      <c r="BN367" s="182"/>
      <c r="BO367" s="182"/>
      <c r="BP367" s="182"/>
      <c r="BQ367" s="182"/>
      <c r="BR367" s="182"/>
      <c r="BS367" s="182"/>
      <c r="BT367" s="182"/>
      <c r="BU367" s="182"/>
      <c r="BV367" s="182"/>
      <c r="BW367" s="182"/>
      <c r="BX367" s="182"/>
      <c r="BY367" s="182"/>
      <c r="BZ367" s="182"/>
      <c r="CA367" s="182"/>
      <c r="CB367" s="185">
        <f t="shared" si="60"/>
        <v>400</v>
      </c>
      <c r="CC367" s="185">
        <f t="shared" si="61"/>
        <v>0</v>
      </c>
      <c r="CD367" s="185">
        <f t="shared" si="62"/>
        <v>746</v>
      </c>
      <c r="CE367" s="185" t="e">
        <f>+#REF!</f>
        <v>#REF!</v>
      </c>
    </row>
    <row r="368" spans="2:83" s="197" customFormat="1" ht="37.5" x14ac:dyDescent="0.3">
      <c r="B368" s="182">
        <v>1123</v>
      </c>
      <c r="C368" s="182">
        <v>747</v>
      </c>
      <c r="D368" s="182" t="s">
        <v>325</v>
      </c>
      <c r="E368" s="181" t="s">
        <v>155</v>
      </c>
      <c r="F368" s="182"/>
      <c r="G368" s="182">
        <v>234.5</v>
      </c>
      <c r="H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  <c r="Z368" s="182"/>
      <c r="AA368" s="182"/>
      <c r="AB368" s="182"/>
      <c r="AC368" s="182"/>
      <c r="AD368" s="182"/>
      <c r="AE368" s="182"/>
      <c r="AF368" s="182"/>
      <c r="AG368" s="182"/>
      <c r="AH368" s="182"/>
      <c r="AI368" s="182"/>
      <c r="AJ368" s="182"/>
      <c r="AK368" s="182"/>
      <c r="AL368" s="182"/>
      <c r="AM368" s="182"/>
      <c r="AN368" s="182"/>
      <c r="AO368" s="182"/>
      <c r="AP368" s="182"/>
      <c r="AQ368" s="185">
        <f t="shared" si="59"/>
        <v>234.5</v>
      </c>
      <c r="AR368" s="182">
        <v>157.19999999999999</v>
      </c>
      <c r="AS368" s="182">
        <v>20.8</v>
      </c>
      <c r="AT368" s="182">
        <v>56.5</v>
      </c>
      <c r="AU368" s="182"/>
      <c r="AV368" s="182"/>
      <c r="AW368" s="182"/>
      <c r="AX368" s="182"/>
      <c r="AY368" s="182"/>
      <c r="AZ368" s="182"/>
      <c r="BA368" s="182"/>
      <c r="BB368" s="182"/>
      <c r="BC368" s="182"/>
      <c r="BD368" s="182"/>
      <c r="BE368" s="182"/>
      <c r="BF368" s="182"/>
      <c r="BG368" s="182"/>
      <c r="BH368" s="182"/>
      <c r="BI368" s="182"/>
      <c r="BJ368" s="182"/>
      <c r="BK368" s="182"/>
      <c r="BL368" s="182"/>
      <c r="BM368" s="182"/>
      <c r="BN368" s="182"/>
      <c r="BO368" s="182"/>
      <c r="BP368" s="182"/>
      <c r="BQ368" s="182"/>
      <c r="BR368" s="182"/>
      <c r="BS368" s="182"/>
      <c r="BT368" s="182"/>
      <c r="BU368" s="182"/>
      <c r="BV368" s="182"/>
      <c r="BW368" s="182"/>
      <c r="BX368" s="182"/>
      <c r="BY368" s="182"/>
      <c r="BZ368" s="182"/>
      <c r="CA368" s="182"/>
      <c r="CB368" s="185">
        <f t="shared" si="60"/>
        <v>234.5</v>
      </c>
      <c r="CC368" s="185">
        <f t="shared" si="61"/>
        <v>0</v>
      </c>
      <c r="CD368" s="185">
        <f t="shared" si="62"/>
        <v>747</v>
      </c>
      <c r="CE368" s="185" t="e">
        <f>+#REF!</f>
        <v>#REF!</v>
      </c>
    </row>
    <row r="369" spans="2:83" s="197" customFormat="1" ht="37.5" x14ac:dyDescent="0.3">
      <c r="B369" s="182">
        <v>1122</v>
      </c>
      <c r="C369" s="182">
        <v>748</v>
      </c>
      <c r="D369" s="182" t="s">
        <v>325</v>
      </c>
      <c r="E369" s="181" t="s">
        <v>155</v>
      </c>
      <c r="F369" s="182"/>
      <c r="G369" s="182">
        <v>234.5</v>
      </c>
      <c r="H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  <c r="Z369" s="182"/>
      <c r="AA369" s="182"/>
      <c r="AB369" s="182"/>
      <c r="AC369" s="182"/>
      <c r="AD369" s="182"/>
      <c r="AE369" s="182"/>
      <c r="AF369" s="182"/>
      <c r="AG369" s="182"/>
      <c r="AH369" s="182"/>
      <c r="AI369" s="182"/>
      <c r="AJ369" s="182"/>
      <c r="AK369" s="182"/>
      <c r="AL369" s="182"/>
      <c r="AM369" s="182"/>
      <c r="AN369" s="182"/>
      <c r="AO369" s="182"/>
      <c r="AP369" s="182"/>
      <c r="AQ369" s="185">
        <f t="shared" si="59"/>
        <v>234.5</v>
      </c>
      <c r="AR369" s="182">
        <v>157.19999999999999</v>
      </c>
      <c r="AS369" s="182">
        <v>20.8</v>
      </c>
      <c r="AT369" s="182">
        <v>56.5</v>
      </c>
      <c r="AU369" s="182"/>
      <c r="AV369" s="182"/>
      <c r="AW369" s="182"/>
      <c r="AX369" s="182"/>
      <c r="AY369" s="182"/>
      <c r="AZ369" s="182"/>
      <c r="BA369" s="182"/>
      <c r="BB369" s="182"/>
      <c r="BC369" s="182"/>
      <c r="BD369" s="182"/>
      <c r="BE369" s="182"/>
      <c r="BF369" s="182"/>
      <c r="BG369" s="182"/>
      <c r="BH369" s="182"/>
      <c r="BI369" s="182"/>
      <c r="BJ369" s="182"/>
      <c r="BK369" s="182"/>
      <c r="BL369" s="182"/>
      <c r="BM369" s="182"/>
      <c r="BN369" s="182"/>
      <c r="BO369" s="182"/>
      <c r="BP369" s="182"/>
      <c r="BQ369" s="182"/>
      <c r="BR369" s="182"/>
      <c r="BS369" s="182"/>
      <c r="BT369" s="182"/>
      <c r="BU369" s="182"/>
      <c r="BV369" s="182"/>
      <c r="BW369" s="182"/>
      <c r="BX369" s="182"/>
      <c r="BY369" s="182"/>
      <c r="BZ369" s="182"/>
      <c r="CA369" s="182"/>
      <c r="CB369" s="185">
        <f t="shared" si="60"/>
        <v>234.5</v>
      </c>
      <c r="CC369" s="185">
        <f t="shared" si="61"/>
        <v>0</v>
      </c>
      <c r="CD369" s="185">
        <f t="shared" si="62"/>
        <v>748</v>
      </c>
      <c r="CE369" s="185" t="e">
        <f>+#REF!</f>
        <v>#REF!</v>
      </c>
    </row>
    <row r="370" spans="2:83" s="197" customFormat="1" ht="37.5" x14ac:dyDescent="0.3">
      <c r="B370" s="182">
        <v>1120</v>
      </c>
      <c r="C370" s="182">
        <v>749</v>
      </c>
      <c r="D370" s="182" t="s">
        <v>325</v>
      </c>
      <c r="E370" s="181" t="s">
        <v>155</v>
      </c>
      <c r="F370" s="182"/>
      <c r="G370" s="182">
        <v>400</v>
      </c>
      <c r="H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  <c r="Z370" s="182"/>
      <c r="AA370" s="182"/>
      <c r="AB370" s="182"/>
      <c r="AC370" s="182"/>
      <c r="AD370" s="182"/>
      <c r="AE370" s="182"/>
      <c r="AF370" s="182"/>
      <c r="AG370" s="182"/>
      <c r="AH370" s="182"/>
      <c r="AI370" s="182"/>
      <c r="AJ370" s="182"/>
      <c r="AK370" s="182"/>
      <c r="AL370" s="182"/>
      <c r="AM370" s="182"/>
      <c r="AN370" s="182"/>
      <c r="AO370" s="182"/>
      <c r="AP370" s="182"/>
      <c r="AQ370" s="185">
        <f t="shared" si="59"/>
        <v>400</v>
      </c>
      <c r="AR370" s="182">
        <v>357.7</v>
      </c>
      <c r="AS370" s="182">
        <v>42.3</v>
      </c>
      <c r="AT370" s="182"/>
      <c r="AU370" s="182"/>
      <c r="AV370" s="182"/>
      <c r="AW370" s="182"/>
      <c r="AX370" s="182"/>
      <c r="AY370" s="182"/>
      <c r="AZ370" s="182"/>
      <c r="BA370" s="182"/>
      <c r="BB370" s="182"/>
      <c r="BC370" s="182"/>
      <c r="BD370" s="182"/>
      <c r="BE370" s="182"/>
      <c r="BF370" s="182"/>
      <c r="BG370" s="182"/>
      <c r="BH370" s="182"/>
      <c r="BI370" s="182"/>
      <c r="BJ370" s="182"/>
      <c r="BK370" s="182"/>
      <c r="BL370" s="182"/>
      <c r="BM370" s="182"/>
      <c r="BN370" s="182"/>
      <c r="BO370" s="182"/>
      <c r="BP370" s="182"/>
      <c r="BQ370" s="182"/>
      <c r="BR370" s="182"/>
      <c r="BS370" s="182"/>
      <c r="BT370" s="182"/>
      <c r="BU370" s="182"/>
      <c r="BV370" s="182"/>
      <c r="BW370" s="182"/>
      <c r="BX370" s="182"/>
      <c r="BY370" s="182"/>
      <c r="BZ370" s="182"/>
      <c r="CA370" s="182"/>
      <c r="CB370" s="185">
        <f t="shared" si="60"/>
        <v>400</v>
      </c>
      <c r="CC370" s="185">
        <f t="shared" si="61"/>
        <v>0</v>
      </c>
      <c r="CD370" s="185">
        <f t="shared" si="62"/>
        <v>749</v>
      </c>
      <c r="CE370" s="185" t="e">
        <f>+#REF!</f>
        <v>#REF!</v>
      </c>
    </row>
    <row r="371" spans="2:83" s="197" customFormat="1" ht="37.5" x14ac:dyDescent="0.3">
      <c r="B371" s="182">
        <v>1143</v>
      </c>
      <c r="C371" s="182">
        <v>750</v>
      </c>
      <c r="D371" s="182" t="s">
        <v>325</v>
      </c>
      <c r="E371" s="181" t="s">
        <v>155</v>
      </c>
      <c r="F371" s="182"/>
      <c r="G371" s="182">
        <v>200</v>
      </c>
      <c r="H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2"/>
      <c r="AH371" s="182"/>
      <c r="AI371" s="182"/>
      <c r="AJ371" s="182"/>
      <c r="AK371" s="182"/>
      <c r="AL371" s="182"/>
      <c r="AM371" s="182"/>
      <c r="AN371" s="182"/>
      <c r="AO371" s="182"/>
      <c r="AP371" s="182"/>
      <c r="AQ371" s="185">
        <f t="shared" si="59"/>
        <v>200</v>
      </c>
      <c r="AR371" s="182">
        <v>179.1</v>
      </c>
      <c r="AS371" s="182">
        <v>20.9</v>
      </c>
      <c r="AT371" s="182"/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182"/>
      <c r="BK371" s="182"/>
      <c r="BL371" s="182"/>
      <c r="BM371" s="182"/>
      <c r="BN371" s="182"/>
      <c r="BO371" s="182"/>
      <c r="BP371" s="182"/>
      <c r="BQ371" s="182"/>
      <c r="BR371" s="182"/>
      <c r="BS371" s="182"/>
      <c r="BT371" s="182"/>
      <c r="BU371" s="182"/>
      <c r="BV371" s="182"/>
      <c r="BW371" s="182"/>
      <c r="BX371" s="182"/>
      <c r="BY371" s="182"/>
      <c r="BZ371" s="182"/>
      <c r="CA371" s="182"/>
      <c r="CB371" s="185">
        <f t="shared" si="60"/>
        <v>200</v>
      </c>
      <c r="CC371" s="185">
        <f t="shared" si="61"/>
        <v>0</v>
      </c>
      <c r="CD371" s="185">
        <f t="shared" si="62"/>
        <v>750</v>
      </c>
      <c r="CE371" s="185" t="e">
        <f>+#REF!</f>
        <v>#REF!</v>
      </c>
    </row>
    <row r="372" spans="2:83" s="197" customFormat="1" ht="37.5" x14ac:dyDescent="0.3">
      <c r="B372" s="182">
        <v>1118</v>
      </c>
      <c r="C372" s="182">
        <v>751</v>
      </c>
      <c r="D372" s="182" t="s">
        <v>325</v>
      </c>
      <c r="E372" s="181" t="s">
        <v>155</v>
      </c>
      <c r="F372" s="182"/>
      <c r="G372" s="182">
        <v>234.5</v>
      </c>
      <c r="H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182"/>
      <c r="AI372" s="182"/>
      <c r="AJ372" s="182"/>
      <c r="AK372" s="182"/>
      <c r="AL372" s="182"/>
      <c r="AM372" s="182"/>
      <c r="AN372" s="182"/>
      <c r="AO372" s="182"/>
      <c r="AP372" s="182"/>
      <c r="AQ372" s="185">
        <f t="shared" si="59"/>
        <v>234.5</v>
      </c>
      <c r="AR372" s="182">
        <v>157.19999999999999</v>
      </c>
      <c r="AS372" s="182">
        <v>20.8</v>
      </c>
      <c r="AT372" s="182">
        <v>56.5</v>
      </c>
      <c r="AU372" s="182"/>
      <c r="AV372" s="182"/>
      <c r="AW372" s="182"/>
      <c r="AX372" s="182"/>
      <c r="AY372" s="182"/>
      <c r="AZ372" s="182"/>
      <c r="BA372" s="182"/>
      <c r="BB372" s="182"/>
      <c r="BC372" s="182"/>
      <c r="BD372" s="182"/>
      <c r="BE372" s="182"/>
      <c r="BF372" s="182"/>
      <c r="BG372" s="182"/>
      <c r="BH372" s="182"/>
      <c r="BI372" s="182"/>
      <c r="BJ372" s="182"/>
      <c r="BK372" s="182"/>
      <c r="BL372" s="182"/>
      <c r="BM372" s="182"/>
      <c r="BN372" s="182"/>
      <c r="BO372" s="182"/>
      <c r="BP372" s="182"/>
      <c r="BQ372" s="182"/>
      <c r="BR372" s="182"/>
      <c r="BS372" s="182"/>
      <c r="BT372" s="182"/>
      <c r="BU372" s="182"/>
      <c r="BV372" s="182"/>
      <c r="BW372" s="182"/>
      <c r="BX372" s="182"/>
      <c r="BY372" s="182"/>
      <c r="BZ372" s="182"/>
      <c r="CA372" s="182"/>
      <c r="CB372" s="185">
        <f t="shared" si="60"/>
        <v>234.5</v>
      </c>
      <c r="CC372" s="185">
        <f t="shared" si="61"/>
        <v>0</v>
      </c>
      <c r="CD372" s="185">
        <f t="shared" si="62"/>
        <v>751</v>
      </c>
      <c r="CE372" s="185" t="e">
        <f>+#REF!</f>
        <v>#REF!</v>
      </c>
    </row>
    <row r="373" spans="2:83" s="197" customFormat="1" ht="37.5" x14ac:dyDescent="0.3">
      <c r="B373" s="182">
        <v>1117</v>
      </c>
      <c r="C373" s="182">
        <v>752</v>
      </c>
      <c r="D373" s="182" t="s">
        <v>325</v>
      </c>
      <c r="E373" s="181" t="s">
        <v>155</v>
      </c>
      <c r="F373" s="182"/>
      <c r="G373" s="182">
        <v>800</v>
      </c>
      <c r="H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  <c r="Z373" s="182"/>
      <c r="AA373" s="182"/>
      <c r="AB373" s="182"/>
      <c r="AC373" s="182"/>
      <c r="AD373" s="182"/>
      <c r="AE373" s="182"/>
      <c r="AF373" s="182"/>
      <c r="AG373" s="182"/>
      <c r="AH373" s="182"/>
      <c r="AI373" s="182"/>
      <c r="AJ373" s="182"/>
      <c r="AK373" s="182"/>
      <c r="AL373" s="182"/>
      <c r="AM373" s="182"/>
      <c r="AN373" s="182"/>
      <c r="AO373" s="182"/>
      <c r="AP373" s="182"/>
      <c r="AQ373" s="185">
        <f t="shared" si="59"/>
        <v>800</v>
      </c>
      <c r="AR373" s="182">
        <v>715.25</v>
      </c>
      <c r="AS373" s="182">
        <v>84.75</v>
      </c>
      <c r="AT373" s="182"/>
      <c r="AU373" s="182"/>
      <c r="AV373" s="182"/>
      <c r="AW373" s="182"/>
      <c r="AX373" s="182"/>
      <c r="AY373" s="182"/>
      <c r="AZ373" s="182"/>
      <c r="BA373" s="182"/>
      <c r="BB373" s="182"/>
      <c r="BC373" s="182"/>
      <c r="BD373" s="182"/>
      <c r="BE373" s="182"/>
      <c r="BF373" s="182"/>
      <c r="BG373" s="182"/>
      <c r="BH373" s="182"/>
      <c r="BI373" s="182"/>
      <c r="BJ373" s="182"/>
      <c r="BK373" s="182"/>
      <c r="BL373" s="182"/>
      <c r="BM373" s="182"/>
      <c r="BN373" s="182"/>
      <c r="BO373" s="182"/>
      <c r="BP373" s="182"/>
      <c r="BQ373" s="182"/>
      <c r="BR373" s="182"/>
      <c r="BS373" s="182"/>
      <c r="BT373" s="182"/>
      <c r="BU373" s="182"/>
      <c r="BV373" s="182"/>
      <c r="BW373" s="182"/>
      <c r="BX373" s="182"/>
      <c r="BY373" s="182"/>
      <c r="BZ373" s="182"/>
      <c r="CA373" s="182"/>
      <c r="CB373" s="185">
        <f t="shared" si="60"/>
        <v>800</v>
      </c>
      <c r="CC373" s="185">
        <f t="shared" si="61"/>
        <v>0</v>
      </c>
      <c r="CD373" s="185">
        <f t="shared" si="62"/>
        <v>752</v>
      </c>
      <c r="CE373" s="185" t="e">
        <f>+#REF!</f>
        <v>#REF!</v>
      </c>
    </row>
    <row r="374" spans="2:83" s="197" customFormat="1" ht="37.5" x14ac:dyDescent="0.3">
      <c r="B374" s="182">
        <v>1116</v>
      </c>
      <c r="C374" s="182">
        <v>753</v>
      </c>
      <c r="D374" s="182" t="s">
        <v>325</v>
      </c>
      <c r="E374" s="181" t="s">
        <v>155</v>
      </c>
      <c r="F374" s="182"/>
      <c r="G374" s="182">
        <v>1400</v>
      </c>
      <c r="H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2"/>
      <c r="AH374" s="182"/>
      <c r="AI374" s="182"/>
      <c r="AJ374" s="182"/>
      <c r="AK374" s="182"/>
      <c r="AL374" s="182"/>
      <c r="AM374" s="182"/>
      <c r="AN374" s="182"/>
      <c r="AO374" s="182"/>
      <c r="AP374" s="182"/>
      <c r="AQ374" s="185">
        <f t="shared" si="59"/>
        <v>1400</v>
      </c>
      <c r="AR374" s="182">
        <v>1250.45</v>
      </c>
      <c r="AS374" s="182">
        <v>149.55000000000001</v>
      </c>
      <c r="AT374" s="182"/>
      <c r="AU374" s="182"/>
      <c r="AV374" s="182"/>
      <c r="AW374" s="182"/>
      <c r="AX374" s="182"/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/>
      <c r="BI374" s="182"/>
      <c r="BJ374" s="182"/>
      <c r="BK374" s="182"/>
      <c r="BL374" s="182"/>
      <c r="BM374" s="182"/>
      <c r="BN374" s="182"/>
      <c r="BO374" s="182"/>
      <c r="BP374" s="182"/>
      <c r="BQ374" s="182"/>
      <c r="BR374" s="182"/>
      <c r="BS374" s="182"/>
      <c r="BT374" s="182"/>
      <c r="BU374" s="182"/>
      <c r="BV374" s="182"/>
      <c r="BW374" s="182"/>
      <c r="BX374" s="182"/>
      <c r="BY374" s="182"/>
      <c r="BZ374" s="182"/>
      <c r="CA374" s="182"/>
      <c r="CB374" s="185">
        <f t="shared" si="60"/>
        <v>1400</v>
      </c>
      <c r="CC374" s="185">
        <f t="shared" si="61"/>
        <v>0</v>
      </c>
      <c r="CD374" s="185">
        <f t="shared" si="62"/>
        <v>753</v>
      </c>
      <c r="CE374" s="185" t="e">
        <f>+#REF!</f>
        <v>#REF!</v>
      </c>
    </row>
    <row r="375" spans="2:83" s="197" customFormat="1" ht="37.5" x14ac:dyDescent="0.3">
      <c r="B375" s="182">
        <v>1115</v>
      </c>
      <c r="C375" s="182">
        <v>754</v>
      </c>
      <c r="D375" s="182" t="s">
        <v>325</v>
      </c>
      <c r="E375" s="181" t="s">
        <v>155</v>
      </c>
      <c r="F375" s="182"/>
      <c r="G375" s="182">
        <v>600</v>
      </c>
      <c r="H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2"/>
      <c r="AH375" s="182"/>
      <c r="AI375" s="182"/>
      <c r="AJ375" s="182"/>
      <c r="AK375" s="182"/>
      <c r="AL375" s="182"/>
      <c r="AM375" s="182"/>
      <c r="AN375" s="182"/>
      <c r="AO375" s="182"/>
      <c r="AP375" s="182"/>
      <c r="AQ375" s="185">
        <f t="shared" si="59"/>
        <v>600</v>
      </c>
      <c r="AR375" s="182">
        <v>536.15</v>
      </c>
      <c r="AS375" s="182">
        <v>63.85</v>
      </c>
      <c r="AT375" s="182"/>
      <c r="AU375" s="182"/>
      <c r="AV375" s="182"/>
      <c r="AW375" s="182"/>
      <c r="AX375" s="182"/>
      <c r="AY375" s="182"/>
      <c r="AZ375" s="182"/>
      <c r="BA375" s="182"/>
      <c r="BB375" s="182"/>
      <c r="BC375" s="182"/>
      <c r="BD375" s="182"/>
      <c r="BE375" s="182"/>
      <c r="BF375" s="182"/>
      <c r="BG375" s="182"/>
      <c r="BH375" s="182"/>
      <c r="BI375" s="182"/>
      <c r="BJ375" s="182"/>
      <c r="BK375" s="182"/>
      <c r="BL375" s="182"/>
      <c r="BM375" s="182"/>
      <c r="BN375" s="182"/>
      <c r="BO375" s="182"/>
      <c r="BP375" s="182"/>
      <c r="BQ375" s="182"/>
      <c r="BR375" s="182"/>
      <c r="BS375" s="182"/>
      <c r="BT375" s="182"/>
      <c r="BU375" s="182"/>
      <c r="BV375" s="182"/>
      <c r="BW375" s="182"/>
      <c r="BX375" s="182"/>
      <c r="BY375" s="182"/>
      <c r="BZ375" s="182"/>
      <c r="CA375" s="182"/>
      <c r="CB375" s="185">
        <f t="shared" si="60"/>
        <v>600</v>
      </c>
      <c r="CC375" s="185">
        <f t="shared" si="61"/>
        <v>0</v>
      </c>
      <c r="CD375" s="185">
        <f t="shared" si="62"/>
        <v>754</v>
      </c>
      <c r="CE375" s="185" t="e">
        <f>+#REF!</f>
        <v>#REF!</v>
      </c>
    </row>
    <row r="376" spans="2:83" s="197" customFormat="1" ht="37.5" x14ac:dyDescent="0.3">
      <c r="B376" s="182">
        <v>1114</v>
      </c>
      <c r="C376" s="182">
        <v>755</v>
      </c>
      <c r="D376" s="182" t="s">
        <v>325</v>
      </c>
      <c r="E376" s="181" t="s">
        <v>155</v>
      </c>
      <c r="F376" s="182"/>
      <c r="G376" s="182">
        <v>2600</v>
      </c>
      <c r="H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  <c r="Z376" s="182"/>
      <c r="AA376" s="182"/>
      <c r="AB376" s="182"/>
      <c r="AC376" s="182"/>
      <c r="AD376" s="182"/>
      <c r="AE376" s="182"/>
      <c r="AF376" s="182"/>
      <c r="AG376" s="182"/>
      <c r="AH376" s="182"/>
      <c r="AI376" s="182"/>
      <c r="AJ376" s="182"/>
      <c r="AK376" s="182"/>
      <c r="AL376" s="182"/>
      <c r="AM376" s="182"/>
      <c r="AN376" s="182"/>
      <c r="AO376" s="182"/>
      <c r="AP376" s="182"/>
      <c r="AQ376" s="185">
        <f t="shared" si="59"/>
        <v>2600</v>
      </c>
      <c r="AR376" s="182">
        <v>2325.15</v>
      </c>
      <c r="AS376" s="182">
        <v>274.85000000000002</v>
      </c>
      <c r="AT376" s="182"/>
      <c r="AU376" s="182"/>
      <c r="AV376" s="182"/>
      <c r="AW376" s="182"/>
      <c r="AX376" s="182"/>
      <c r="AY376" s="182"/>
      <c r="AZ376" s="182"/>
      <c r="BA376" s="182"/>
      <c r="BB376" s="182"/>
      <c r="BC376" s="182"/>
      <c r="BD376" s="182"/>
      <c r="BE376" s="182"/>
      <c r="BF376" s="182"/>
      <c r="BG376" s="182"/>
      <c r="BH376" s="182"/>
      <c r="BI376" s="182"/>
      <c r="BJ376" s="182"/>
      <c r="BK376" s="182"/>
      <c r="BL376" s="182"/>
      <c r="BM376" s="182"/>
      <c r="BN376" s="182"/>
      <c r="BO376" s="182"/>
      <c r="BP376" s="182"/>
      <c r="BQ376" s="182"/>
      <c r="BR376" s="182"/>
      <c r="BS376" s="182"/>
      <c r="BT376" s="182"/>
      <c r="BU376" s="182"/>
      <c r="BV376" s="182"/>
      <c r="BW376" s="182"/>
      <c r="BX376" s="182"/>
      <c r="BY376" s="182"/>
      <c r="BZ376" s="182"/>
      <c r="CA376" s="182"/>
      <c r="CB376" s="185">
        <f t="shared" si="60"/>
        <v>2600</v>
      </c>
      <c r="CC376" s="185">
        <f t="shared" si="61"/>
        <v>0</v>
      </c>
      <c r="CD376" s="185">
        <f t="shared" si="62"/>
        <v>755</v>
      </c>
      <c r="CE376" s="185" t="e">
        <f>+#REF!</f>
        <v>#REF!</v>
      </c>
    </row>
    <row r="377" spans="2:83" s="197" customFormat="1" ht="37.5" x14ac:dyDescent="0.3">
      <c r="B377" s="182">
        <v>1141</v>
      </c>
      <c r="C377" s="182">
        <v>756</v>
      </c>
      <c r="D377" s="182" t="s">
        <v>325</v>
      </c>
      <c r="E377" s="181" t="s">
        <v>155</v>
      </c>
      <c r="F377" s="182"/>
      <c r="G377" s="182">
        <v>200</v>
      </c>
      <c r="H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182"/>
      <c r="AI377" s="182"/>
      <c r="AJ377" s="182"/>
      <c r="AK377" s="182"/>
      <c r="AL377" s="182"/>
      <c r="AM377" s="182"/>
      <c r="AN377" s="182"/>
      <c r="AO377" s="182"/>
      <c r="AP377" s="182"/>
      <c r="AQ377" s="185">
        <f t="shared" si="59"/>
        <v>200</v>
      </c>
      <c r="AR377" s="182">
        <v>179.1</v>
      </c>
      <c r="AS377" s="182">
        <v>20.9</v>
      </c>
      <c r="AT377" s="182"/>
      <c r="AU377" s="182"/>
      <c r="AV377" s="182"/>
      <c r="AW377" s="182"/>
      <c r="AX377" s="182"/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182"/>
      <c r="BK377" s="182"/>
      <c r="BL377" s="182"/>
      <c r="BM377" s="182"/>
      <c r="BN377" s="182"/>
      <c r="BO377" s="182"/>
      <c r="BP377" s="182"/>
      <c r="BQ377" s="182"/>
      <c r="BR377" s="182"/>
      <c r="BS377" s="182"/>
      <c r="BT377" s="182"/>
      <c r="BU377" s="182"/>
      <c r="BV377" s="182"/>
      <c r="BW377" s="182"/>
      <c r="BX377" s="182"/>
      <c r="BY377" s="182"/>
      <c r="BZ377" s="182"/>
      <c r="CA377" s="182"/>
      <c r="CB377" s="185">
        <f t="shared" si="60"/>
        <v>200</v>
      </c>
      <c r="CC377" s="185">
        <f t="shared" si="61"/>
        <v>0</v>
      </c>
      <c r="CD377" s="185">
        <f t="shared" si="62"/>
        <v>756</v>
      </c>
      <c r="CE377" s="185" t="e">
        <f>+#REF!</f>
        <v>#REF!</v>
      </c>
    </row>
    <row r="378" spans="2:83" s="197" customFormat="1" ht="37.5" x14ac:dyDescent="0.3">
      <c r="B378" s="182">
        <v>1139</v>
      </c>
      <c r="C378" s="182">
        <v>757</v>
      </c>
      <c r="D378" s="182" t="s">
        <v>325</v>
      </c>
      <c r="E378" s="181" t="s">
        <v>155</v>
      </c>
      <c r="F378" s="182"/>
      <c r="G378" s="182">
        <v>234.5</v>
      </c>
      <c r="H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182"/>
      <c r="AI378" s="182"/>
      <c r="AJ378" s="182"/>
      <c r="AK378" s="182"/>
      <c r="AL378" s="182"/>
      <c r="AM378" s="182"/>
      <c r="AN378" s="182"/>
      <c r="AO378" s="182"/>
      <c r="AP378" s="182"/>
      <c r="AQ378" s="185">
        <f t="shared" si="59"/>
        <v>234.5</v>
      </c>
      <c r="AR378" s="182">
        <v>157.19999999999999</v>
      </c>
      <c r="AS378" s="182">
        <v>20.8</v>
      </c>
      <c r="AT378" s="182">
        <v>56.5</v>
      </c>
      <c r="AU378" s="182"/>
      <c r="AV378" s="182"/>
      <c r="AW378" s="182"/>
      <c r="AX378" s="182"/>
      <c r="AY378" s="182"/>
      <c r="AZ378" s="182"/>
      <c r="BA378" s="182"/>
      <c r="BB378" s="182"/>
      <c r="BC378" s="182"/>
      <c r="BD378" s="182"/>
      <c r="BE378" s="182"/>
      <c r="BF378" s="182"/>
      <c r="BG378" s="182"/>
      <c r="BH378" s="182"/>
      <c r="BI378" s="182"/>
      <c r="BJ378" s="182"/>
      <c r="BK378" s="182"/>
      <c r="BL378" s="182"/>
      <c r="BM378" s="182"/>
      <c r="BN378" s="182"/>
      <c r="BO378" s="182"/>
      <c r="BP378" s="182"/>
      <c r="BQ378" s="182"/>
      <c r="BR378" s="182"/>
      <c r="BS378" s="182"/>
      <c r="BT378" s="182"/>
      <c r="BU378" s="182"/>
      <c r="BV378" s="182"/>
      <c r="BW378" s="182"/>
      <c r="BX378" s="182"/>
      <c r="BY378" s="182"/>
      <c r="BZ378" s="182"/>
      <c r="CA378" s="182"/>
      <c r="CB378" s="185">
        <f t="shared" si="60"/>
        <v>234.5</v>
      </c>
      <c r="CC378" s="185">
        <f t="shared" si="61"/>
        <v>0</v>
      </c>
      <c r="CD378" s="185">
        <f t="shared" si="62"/>
        <v>757</v>
      </c>
      <c r="CE378" s="185" t="e">
        <f>+#REF!</f>
        <v>#REF!</v>
      </c>
    </row>
    <row r="379" spans="2:83" s="197" customFormat="1" ht="37.5" x14ac:dyDescent="0.3">
      <c r="B379" s="182">
        <v>1121</v>
      </c>
      <c r="C379" s="182">
        <v>758</v>
      </c>
      <c r="D379" s="182" t="s">
        <v>325</v>
      </c>
      <c r="E379" s="181" t="s">
        <v>155</v>
      </c>
      <c r="F379" s="182"/>
      <c r="G379" s="182">
        <v>800</v>
      </c>
      <c r="H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  <c r="Z379" s="182"/>
      <c r="AA379" s="182"/>
      <c r="AB379" s="182"/>
      <c r="AC379" s="182"/>
      <c r="AD379" s="182"/>
      <c r="AE379" s="182"/>
      <c r="AF379" s="182"/>
      <c r="AG379" s="182"/>
      <c r="AH379" s="182"/>
      <c r="AI379" s="182"/>
      <c r="AJ379" s="182"/>
      <c r="AK379" s="182"/>
      <c r="AL379" s="182"/>
      <c r="AM379" s="182"/>
      <c r="AN379" s="182"/>
      <c r="AO379" s="182"/>
      <c r="AP379" s="182"/>
      <c r="AQ379" s="185">
        <f t="shared" si="59"/>
        <v>800</v>
      </c>
      <c r="AR379" s="182">
        <v>715.4</v>
      </c>
      <c r="AS379" s="182">
        <v>84.6</v>
      </c>
      <c r="AT379" s="182"/>
      <c r="AU379" s="182"/>
      <c r="AV379" s="182"/>
      <c r="AW379" s="182"/>
      <c r="AX379" s="182"/>
      <c r="AY379" s="182"/>
      <c r="AZ379" s="182"/>
      <c r="BA379" s="182"/>
      <c r="BB379" s="182"/>
      <c r="BC379" s="182"/>
      <c r="BD379" s="182"/>
      <c r="BE379" s="182"/>
      <c r="BF379" s="182"/>
      <c r="BG379" s="182"/>
      <c r="BH379" s="182"/>
      <c r="BI379" s="182"/>
      <c r="BJ379" s="182"/>
      <c r="BK379" s="182"/>
      <c r="BL379" s="182"/>
      <c r="BM379" s="182"/>
      <c r="BN379" s="182"/>
      <c r="BO379" s="182"/>
      <c r="BP379" s="182"/>
      <c r="BQ379" s="182"/>
      <c r="BR379" s="182"/>
      <c r="BS379" s="182"/>
      <c r="BT379" s="182"/>
      <c r="BU379" s="182"/>
      <c r="BV379" s="182"/>
      <c r="BW379" s="182"/>
      <c r="BX379" s="182"/>
      <c r="BY379" s="182"/>
      <c r="BZ379" s="182"/>
      <c r="CA379" s="182"/>
      <c r="CB379" s="185">
        <f t="shared" si="60"/>
        <v>800</v>
      </c>
      <c r="CC379" s="185">
        <f t="shared" si="61"/>
        <v>0</v>
      </c>
      <c r="CD379" s="185">
        <f t="shared" si="62"/>
        <v>758</v>
      </c>
      <c r="CE379" s="185" t="e">
        <f>+#REF!</f>
        <v>#REF!</v>
      </c>
    </row>
    <row r="380" spans="2:83" s="197" customFormat="1" ht="37.5" x14ac:dyDescent="0.3">
      <c r="B380" s="182">
        <v>1301</v>
      </c>
      <c r="C380" s="182">
        <v>759</v>
      </c>
      <c r="D380" s="182" t="s">
        <v>325</v>
      </c>
      <c r="E380" s="181" t="s">
        <v>4668</v>
      </c>
      <c r="F380" s="182"/>
      <c r="G380" s="182">
        <v>366.41</v>
      </c>
      <c r="H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2"/>
      <c r="AH380" s="182"/>
      <c r="AI380" s="182"/>
      <c r="AJ380" s="182"/>
      <c r="AK380" s="182"/>
      <c r="AL380" s="182"/>
      <c r="AM380" s="182"/>
      <c r="AN380" s="182"/>
      <c r="AO380" s="182"/>
      <c r="AP380" s="182"/>
      <c r="AQ380" s="185">
        <f t="shared" si="59"/>
        <v>366.41</v>
      </c>
      <c r="AR380" s="182">
        <v>245.39</v>
      </c>
      <c r="AS380" s="182">
        <v>32.75</v>
      </c>
      <c r="AT380" s="182">
        <v>88.27</v>
      </c>
      <c r="AU380" s="182"/>
      <c r="AV380" s="182"/>
      <c r="AW380" s="182"/>
      <c r="AX380" s="182"/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182"/>
      <c r="BK380" s="182"/>
      <c r="BL380" s="182"/>
      <c r="BM380" s="182"/>
      <c r="BN380" s="182"/>
      <c r="BO380" s="182"/>
      <c r="BP380" s="182"/>
      <c r="BQ380" s="182"/>
      <c r="BR380" s="182"/>
      <c r="BS380" s="182"/>
      <c r="BT380" s="182"/>
      <c r="BU380" s="182"/>
      <c r="BV380" s="182"/>
      <c r="BW380" s="182"/>
      <c r="BX380" s="182"/>
      <c r="BY380" s="182"/>
      <c r="BZ380" s="182"/>
      <c r="CA380" s="182"/>
      <c r="CB380" s="185">
        <f t="shared" si="60"/>
        <v>366.40999999999997</v>
      </c>
      <c r="CC380" s="185">
        <f t="shared" si="61"/>
        <v>0</v>
      </c>
      <c r="CD380" s="185">
        <f t="shared" si="62"/>
        <v>759</v>
      </c>
      <c r="CE380" s="185" t="e">
        <f>+#REF!</f>
        <v>#REF!</v>
      </c>
    </row>
    <row r="381" spans="2:83" s="197" customFormat="1" ht="37.5" x14ac:dyDescent="0.3">
      <c r="B381" s="182">
        <v>1302</v>
      </c>
      <c r="C381" s="182">
        <v>760</v>
      </c>
      <c r="D381" s="182" t="s">
        <v>325</v>
      </c>
      <c r="E381" s="181" t="s">
        <v>4668</v>
      </c>
      <c r="F381" s="182"/>
      <c r="G381" s="182">
        <v>366.41</v>
      </c>
      <c r="H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2"/>
      <c r="AH381" s="182"/>
      <c r="AI381" s="182"/>
      <c r="AJ381" s="182"/>
      <c r="AK381" s="182"/>
      <c r="AL381" s="182"/>
      <c r="AM381" s="182"/>
      <c r="AN381" s="182"/>
      <c r="AO381" s="182"/>
      <c r="AP381" s="182"/>
      <c r="AQ381" s="185">
        <f t="shared" si="59"/>
        <v>366.41</v>
      </c>
      <c r="AR381" s="182">
        <v>245.39</v>
      </c>
      <c r="AS381" s="182">
        <v>32.75</v>
      </c>
      <c r="AT381" s="182">
        <v>88.27</v>
      </c>
      <c r="AU381" s="182"/>
      <c r="AV381" s="182"/>
      <c r="AW381" s="182"/>
      <c r="AX381" s="182"/>
      <c r="AY381" s="182"/>
      <c r="AZ381" s="182"/>
      <c r="BA381" s="182"/>
      <c r="BB381" s="182"/>
      <c r="BC381" s="182"/>
      <c r="BD381" s="182"/>
      <c r="BE381" s="182"/>
      <c r="BF381" s="182"/>
      <c r="BG381" s="182"/>
      <c r="BH381" s="182"/>
      <c r="BI381" s="182"/>
      <c r="BJ381" s="182"/>
      <c r="BK381" s="182"/>
      <c r="BL381" s="182"/>
      <c r="BM381" s="182"/>
      <c r="BN381" s="182"/>
      <c r="BO381" s="182"/>
      <c r="BP381" s="182"/>
      <c r="BQ381" s="182"/>
      <c r="BR381" s="182"/>
      <c r="BS381" s="182"/>
      <c r="BT381" s="182"/>
      <c r="BU381" s="182"/>
      <c r="BV381" s="182"/>
      <c r="BW381" s="182"/>
      <c r="BX381" s="182"/>
      <c r="BY381" s="182"/>
      <c r="BZ381" s="182"/>
      <c r="CA381" s="182"/>
      <c r="CB381" s="185">
        <f t="shared" si="60"/>
        <v>366.40999999999997</v>
      </c>
      <c r="CC381" s="185">
        <f t="shared" si="61"/>
        <v>0</v>
      </c>
      <c r="CD381" s="185">
        <f t="shared" si="62"/>
        <v>760</v>
      </c>
      <c r="CE381" s="185" t="e">
        <f>+#REF!</f>
        <v>#REF!</v>
      </c>
    </row>
    <row r="382" spans="2:83" s="197" customFormat="1" ht="37.5" x14ac:dyDescent="0.3">
      <c r="B382" s="182">
        <v>1303</v>
      </c>
      <c r="C382" s="182">
        <v>761</v>
      </c>
      <c r="D382" s="182" t="s">
        <v>325</v>
      </c>
      <c r="E382" s="181" t="s">
        <v>4668</v>
      </c>
      <c r="F382" s="182"/>
      <c r="G382" s="182">
        <v>732.82</v>
      </c>
      <c r="H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  <c r="Z382" s="182"/>
      <c r="AA382" s="182"/>
      <c r="AB382" s="182"/>
      <c r="AC382" s="182"/>
      <c r="AD382" s="182"/>
      <c r="AE382" s="182"/>
      <c r="AF382" s="182"/>
      <c r="AG382" s="182"/>
      <c r="AH382" s="182"/>
      <c r="AI382" s="182"/>
      <c r="AJ382" s="182"/>
      <c r="AK382" s="182"/>
      <c r="AL382" s="182"/>
      <c r="AM382" s="182"/>
      <c r="AN382" s="182"/>
      <c r="AO382" s="182"/>
      <c r="AP382" s="182"/>
      <c r="AQ382" s="185">
        <f t="shared" si="59"/>
        <v>732.82</v>
      </c>
      <c r="AR382" s="182">
        <v>490.78</v>
      </c>
      <c r="AS382" s="182">
        <v>65.5</v>
      </c>
      <c r="AT382" s="182">
        <v>176.54</v>
      </c>
      <c r="AU382" s="182"/>
      <c r="AV382" s="182"/>
      <c r="AW382" s="182"/>
      <c r="AX382" s="182"/>
      <c r="AY382" s="182"/>
      <c r="AZ382" s="182"/>
      <c r="BA382" s="182"/>
      <c r="BB382" s="182"/>
      <c r="BC382" s="182"/>
      <c r="BD382" s="182"/>
      <c r="BE382" s="182"/>
      <c r="BF382" s="182"/>
      <c r="BG382" s="182"/>
      <c r="BH382" s="182"/>
      <c r="BI382" s="182"/>
      <c r="BJ382" s="182"/>
      <c r="BK382" s="182"/>
      <c r="BL382" s="182"/>
      <c r="BM382" s="182"/>
      <c r="BN382" s="182"/>
      <c r="BO382" s="182"/>
      <c r="BP382" s="182"/>
      <c r="BQ382" s="182"/>
      <c r="BR382" s="182"/>
      <c r="BS382" s="182"/>
      <c r="BT382" s="182"/>
      <c r="BU382" s="182"/>
      <c r="BV382" s="182"/>
      <c r="BW382" s="182"/>
      <c r="BX382" s="182"/>
      <c r="BY382" s="182"/>
      <c r="BZ382" s="182"/>
      <c r="CA382" s="182"/>
      <c r="CB382" s="185">
        <f t="shared" si="60"/>
        <v>732.81999999999994</v>
      </c>
      <c r="CC382" s="185">
        <f t="shared" si="61"/>
        <v>0</v>
      </c>
      <c r="CD382" s="185">
        <f t="shared" si="62"/>
        <v>761</v>
      </c>
      <c r="CE382" s="185" t="e">
        <f>+#REF!</f>
        <v>#REF!</v>
      </c>
    </row>
    <row r="383" spans="2:83" s="197" customFormat="1" ht="37.5" x14ac:dyDescent="0.3">
      <c r="B383" s="182">
        <v>1304</v>
      </c>
      <c r="C383" s="182">
        <v>762</v>
      </c>
      <c r="D383" s="182" t="s">
        <v>325</v>
      </c>
      <c r="E383" s="181" t="s">
        <v>4668</v>
      </c>
      <c r="F383" s="182"/>
      <c r="G383" s="182">
        <v>732.82</v>
      </c>
      <c r="H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2"/>
      <c r="AH383" s="182"/>
      <c r="AI383" s="182"/>
      <c r="AJ383" s="182"/>
      <c r="AK383" s="182"/>
      <c r="AL383" s="182"/>
      <c r="AM383" s="182"/>
      <c r="AN383" s="182"/>
      <c r="AO383" s="182"/>
      <c r="AP383" s="182"/>
      <c r="AQ383" s="185">
        <f t="shared" si="59"/>
        <v>732.82</v>
      </c>
      <c r="AR383" s="182">
        <v>490.78</v>
      </c>
      <c r="AS383" s="182">
        <v>65.5</v>
      </c>
      <c r="AT383" s="182">
        <v>176.54</v>
      </c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182"/>
      <c r="BK383" s="182"/>
      <c r="BL383" s="182"/>
      <c r="BM383" s="182"/>
      <c r="BN383" s="182"/>
      <c r="BO383" s="182"/>
      <c r="BP383" s="182"/>
      <c r="BQ383" s="182"/>
      <c r="BR383" s="182"/>
      <c r="BS383" s="182"/>
      <c r="BT383" s="182"/>
      <c r="BU383" s="182"/>
      <c r="BV383" s="182"/>
      <c r="BW383" s="182"/>
      <c r="BX383" s="182"/>
      <c r="BY383" s="182"/>
      <c r="BZ383" s="182"/>
      <c r="CA383" s="182"/>
      <c r="CB383" s="185">
        <f t="shared" si="60"/>
        <v>732.81999999999994</v>
      </c>
      <c r="CC383" s="185">
        <f t="shared" si="61"/>
        <v>0</v>
      </c>
      <c r="CD383" s="185">
        <f t="shared" si="62"/>
        <v>762</v>
      </c>
      <c r="CE383" s="185" t="e">
        <f>+#REF!</f>
        <v>#REF!</v>
      </c>
    </row>
    <row r="384" spans="2:83" s="197" customFormat="1" ht="56.25" x14ac:dyDescent="0.3">
      <c r="B384" s="182">
        <v>1317</v>
      </c>
      <c r="C384" s="182">
        <v>763</v>
      </c>
      <c r="D384" s="182" t="s">
        <v>325</v>
      </c>
      <c r="E384" s="181" t="s">
        <v>4669</v>
      </c>
      <c r="F384" s="182"/>
      <c r="G384" s="182">
        <v>879.38</v>
      </c>
      <c r="H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2"/>
      <c r="AH384" s="182"/>
      <c r="AI384" s="182"/>
      <c r="AJ384" s="182"/>
      <c r="AK384" s="182"/>
      <c r="AL384" s="182"/>
      <c r="AM384" s="182"/>
      <c r="AN384" s="182"/>
      <c r="AO384" s="182"/>
      <c r="AP384" s="182"/>
      <c r="AQ384" s="185">
        <f t="shared" si="59"/>
        <v>879.38</v>
      </c>
      <c r="AR384" s="182">
        <v>588.15</v>
      </c>
      <c r="AS384" s="182">
        <v>79.349999999999994</v>
      </c>
      <c r="AT384" s="182">
        <v>211.88</v>
      </c>
      <c r="AU384" s="182"/>
      <c r="AV384" s="182"/>
      <c r="AW384" s="182"/>
      <c r="AX384" s="182"/>
      <c r="AY384" s="182"/>
      <c r="AZ384" s="182"/>
      <c r="BA384" s="182"/>
      <c r="BB384" s="182"/>
      <c r="BC384" s="182"/>
      <c r="BD384" s="182"/>
      <c r="BE384" s="182"/>
      <c r="BF384" s="182"/>
      <c r="BG384" s="182"/>
      <c r="BH384" s="182"/>
      <c r="BI384" s="182"/>
      <c r="BJ384" s="182"/>
      <c r="BK384" s="182"/>
      <c r="BL384" s="182"/>
      <c r="BM384" s="182"/>
      <c r="BN384" s="182"/>
      <c r="BO384" s="182"/>
      <c r="BP384" s="182"/>
      <c r="BQ384" s="182"/>
      <c r="BR384" s="182"/>
      <c r="BS384" s="182"/>
      <c r="BT384" s="182"/>
      <c r="BU384" s="182"/>
      <c r="BV384" s="182"/>
      <c r="BW384" s="182"/>
      <c r="BX384" s="182"/>
      <c r="BY384" s="182"/>
      <c r="BZ384" s="182"/>
      <c r="CA384" s="182"/>
      <c r="CB384" s="185">
        <f t="shared" si="60"/>
        <v>879.38</v>
      </c>
      <c r="CC384" s="185">
        <f t="shared" si="61"/>
        <v>0</v>
      </c>
      <c r="CD384" s="185">
        <f t="shared" si="62"/>
        <v>763</v>
      </c>
      <c r="CE384" s="185" t="e">
        <f>+#REF!</f>
        <v>#REF!</v>
      </c>
    </row>
    <row r="385" spans="2:83" s="197" customFormat="1" ht="37.5" x14ac:dyDescent="0.3">
      <c r="B385" s="182">
        <v>1153</v>
      </c>
      <c r="C385" s="182">
        <v>764</v>
      </c>
      <c r="D385" s="182" t="s">
        <v>325</v>
      </c>
      <c r="E385" s="181" t="s">
        <v>4670</v>
      </c>
      <c r="F385" s="182"/>
      <c r="G385" s="182">
        <v>5172.5</v>
      </c>
      <c r="H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  <c r="Z385" s="182"/>
      <c r="AA385" s="182"/>
      <c r="AB385" s="182"/>
      <c r="AC385" s="182"/>
      <c r="AD385" s="182"/>
      <c r="AE385" s="182"/>
      <c r="AF385" s="182"/>
      <c r="AG385" s="182"/>
      <c r="AH385" s="182"/>
      <c r="AI385" s="182"/>
      <c r="AJ385" s="182"/>
      <c r="AK385" s="182"/>
      <c r="AL385" s="182"/>
      <c r="AM385" s="182"/>
      <c r="AN385" s="182"/>
      <c r="AO385" s="182"/>
      <c r="AP385" s="182"/>
      <c r="AQ385" s="185">
        <f t="shared" si="59"/>
        <v>5172.5</v>
      </c>
      <c r="AR385" s="182">
        <v>4354.8</v>
      </c>
      <c r="AS385" s="182">
        <v>535.20000000000005</v>
      </c>
      <c r="AT385" s="182">
        <v>282.5</v>
      </c>
      <c r="AU385" s="182"/>
      <c r="AV385" s="182"/>
      <c r="AW385" s="182"/>
      <c r="AX385" s="182"/>
      <c r="AY385" s="182"/>
      <c r="AZ385" s="182"/>
      <c r="BA385" s="182"/>
      <c r="BB385" s="182"/>
      <c r="BC385" s="182"/>
      <c r="BD385" s="182"/>
      <c r="BE385" s="182"/>
      <c r="BF385" s="182"/>
      <c r="BG385" s="182"/>
      <c r="BH385" s="182"/>
      <c r="BI385" s="182"/>
      <c r="BJ385" s="182"/>
      <c r="BK385" s="182"/>
      <c r="BL385" s="182"/>
      <c r="BM385" s="182"/>
      <c r="BN385" s="182"/>
      <c r="BO385" s="182"/>
      <c r="BP385" s="182"/>
      <c r="BQ385" s="182"/>
      <c r="BR385" s="182"/>
      <c r="BS385" s="182"/>
      <c r="BT385" s="182"/>
      <c r="BU385" s="182"/>
      <c r="BV385" s="182"/>
      <c r="BW385" s="182"/>
      <c r="BX385" s="182"/>
      <c r="BY385" s="182"/>
      <c r="BZ385" s="182"/>
      <c r="CA385" s="182"/>
      <c r="CB385" s="185">
        <f t="shared" si="60"/>
        <v>5172.5</v>
      </c>
      <c r="CC385" s="185">
        <f t="shared" si="61"/>
        <v>0</v>
      </c>
      <c r="CD385" s="185">
        <f t="shared" si="62"/>
        <v>764</v>
      </c>
      <c r="CE385" s="185" t="e">
        <f>+#REF!</f>
        <v>#REF!</v>
      </c>
    </row>
    <row r="386" spans="2:83" s="197" customFormat="1" ht="37.5" x14ac:dyDescent="0.3">
      <c r="B386" s="182">
        <v>1152</v>
      </c>
      <c r="C386" s="182">
        <v>765</v>
      </c>
      <c r="D386" s="182" t="s">
        <v>325</v>
      </c>
      <c r="E386" s="181" t="s">
        <v>4670</v>
      </c>
      <c r="F386" s="182"/>
      <c r="G386" s="182">
        <v>6000</v>
      </c>
      <c r="H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2"/>
      <c r="AH386" s="182"/>
      <c r="AI386" s="182"/>
      <c r="AJ386" s="182"/>
      <c r="AK386" s="182"/>
      <c r="AL386" s="182"/>
      <c r="AM386" s="182"/>
      <c r="AN386" s="182"/>
      <c r="AO386" s="182"/>
      <c r="AP386" s="182"/>
      <c r="AQ386" s="185">
        <f t="shared" si="59"/>
        <v>6000</v>
      </c>
      <c r="AR386" s="182">
        <v>5355.7</v>
      </c>
      <c r="AS386" s="182">
        <v>644.29999999999995</v>
      </c>
      <c r="AT386" s="182"/>
      <c r="AU386" s="182"/>
      <c r="AV386" s="182"/>
      <c r="AW386" s="182"/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/>
      <c r="BJ386" s="182"/>
      <c r="BK386" s="182"/>
      <c r="BL386" s="182"/>
      <c r="BM386" s="182"/>
      <c r="BN386" s="182"/>
      <c r="BO386" s="182"/>
      <c r="BP386" s="182"/>
      <c r="BQ386" s="182"/>
      <c r="BR386" s="182"/>
      <c r="BS386" s="182"/>
      <c r="BT386" s="182"/>
      <c r="BU386" s="182"/>
      <c r="BV386" s="182"/>
      <c r="BW386" s="182"/>
      <c r="BX386" s="182"/>
      <c r="BY386" s="182"/>
      <c r="BZ386" s="182"/>
      <c r="CA386" s="182"/>
      <c r="CB386" s="185">
        <f t="shared" si="60"/>
        <v>6000</v>
      </c>
      <c r="CC386" s="185">
        <f t="shared" si="61"/>
        <v>0</v>
      </c>
      <c r="CD386" s="185">
        <f t="shared" si="62"/>
        <v>765</v>
      </c>
      <c r="CE386" s="185" t="e">
        <f>+#REF!</f>
        <v>#REF!</v>
      </c>
    </row>
    <row r="387" spans="2:83" s="197" customFormat="1" ht="37.5" x14ac:dyDescent="0.3">
      <c r="B387" s="182">
        <v>1151</v>
      </c>
      <c r="C387" s="182">
        <v>766</v>
      </c>
      <c r="D387" s="182" t="s">
        <v>325</v>
      </c>
      <c r="E387" s="181" t="s">
        <v>4671</v>
      </c>
      <c r="F387" s="182"/>
      <c r="G387" s="182">
        <v>1900</v>
      </c>
      <c r="H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2"/>
      <c r="AH387" s="182"/>
      <c r="AI387" s="182"/>
      <c r="AJ387" s="182"/>
      <c r="AK387" s="182"/>
      <c r="AL387" s="182"/>
      <c r="AM387" s="182"/>
      <c r="AN387" s="182"/>
      <c r="AO387" s="182"/>
      <c r="AP387" s="182"/>
      <c r="AQ387" s="185">
        <f t="shared" si="59"/>
        <v>1900</v>
      </c>
      <c r="AR387" s="182">
        <v>1696.8</v>
      </c>
      <c r="AS387" s="182">
        <v>203.2</v>
      </c>
      <c r="AT387" s="182"/>
      <c r="AU387" s="182"/>
      <c r="AV387" s="182"/>
      <c r="AW387" s="182"/>
      <c r="AX387" s="182"/>
      <c r="AY387" s="182"/>
      <c r="AZ387" s="182"/>
      <c r="BA387" s="182"/>
      <c r="BB387" s="182"/>
      <c r="BC387" s="182"/>
      <c r="BD387" s="182"/>
      <c r="BE387" s="182"/>
      <c r="BF387" s="182"/>
      <c r="BG387" s="182"/>
      <c r="BH387" s="182"/>
      <c r="BI387" s="182"/>
      <c r="BJ387" s="182"/>
      <c r="BK387" s="182"/>
      <c r="BL387" s="182"/>
      <c r="BM387" s="182"/>
      <c r="BN387" s="182"/>
      <c r="BO387" s="182"/>
      <c r="BP387" s="182"/>
      <c r="BQ387" s="182"/>
      <c r="BR387" s="182"/>
      <c r="BS387" s="182"/>
      <c r="BT387" s="182"/>
      <c r="BU387" s="182"/>
      <c r="BV387" s="182"/>
      <c r="BW387" s="182"/>
      <c r="BX387" s="182"/>
      <c r="BY387" s="182"/>
      <c r="BZ387" s="182"/>
      <c r="CA387" s="182"/>
      <c r="CB387" s="185">
        <f t="shared" si="60"/>
        <v>1900</v>
      </c>
      <c r="CC387" s="185">
        <f t="shared" si="61"/>
        <v>0</v>
      </c>
      <c r="CD387" s="185">
        <f t="shared" si="62"/>
        <v>766</v>
      </c>
      <c r="CE387" s="185" t="e">
        <f>+#REF!</f>
        <v>#REF!</v>
      </c>
    </row>
    <row r="388" spans="2:83" s="197" customFormat="1" ht="37.5" x14ac:dyDescent="0.3">
      <c r="B388" s="182">
        <v>1150</v>
      </c>
      <c r="C388" s="182">
        <v>767</v>
      </c>
      <c r="D388" s="182" t="s">
        <v>325</v>
      </c>
      <c r="E388" s="181" t="s">
        <v>4671</v>
      </c>
      <c r="F388" s="182"/>
      <c r="G388" s="182">
        <v>2500</v>
      </c>
      <c r="H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  <c r="Z388" s="182"/>
      <c r="AA388" s="182"/>
      <c r="AB388" s="182"/>
      <c r="AC388" s="182"/>
      <c r="AD388" s="182"/>
      <c r="AE388" s="182"/>
      <c r="AF388" s="182"/>
      <c r="AG388" s="182"/>
      <c r="AH388" s="182"/>
      <c r="AI388" s="182"/>
      <c r="AJ388" s="182"/>
      <c r="AK388" s="182"/>
      <c r="AL388" s="182"/>
      <c r="AM388" s="182"/>
      <c r="AN388" s="182"/>
      <c r="AO388" s="182"/>
      <c r="AP388" s="182"/>
      <c r="AQ388" s="185">
        <f t="shared" si="59"/>
        <v>2500</v>
      </c>
      <c r="AR388" s="182">
        <v>2233.5500000000002</v>
      </c>
      <c r="AS388" s="182">
        <v>266.45</v>
      </c>
      <c r="AT388" s="182"/>
      <c r="AU388" s="182"/>
      <c r="AV388" s="182"/>
      <c r="AW388" s="182"/>
      <c r="AX388" s="182"/>
      <c r="AY388" s="182"/>
      <c r="AZ388" s="182"/>
      <c r="BA388" s="182"/>
      <c r="BB388" s="182"/>
      <c r="BC388" s="182"/>
      <c r="BD388" s="182"/>
      <c r="BE388" s="182"/>
      <c r="BF388" s="182"/>
      <c r="BG388" s="182"/>
      <c r="BH388" s="182"/>
      <c r="BI388" s="182"/>
      <c r="BJ388" s="182"/>
      <c r="BK388" s="182"/>
      <c r="BL388" s="182"/>
      <c r="BM388" s="182"/>
      <c r="BN388" s="182"/>
      <c r="BO388" s="182"/>
      <c r="BP388" s="182"/>
      <c r="BQ388" s="182"/>
      <c r="BR388" s="182"/>
      <c r="BS388" s="182"/>
      <c r="BT388" s="182"/>
      <c r="BU388" s="182"/>
      <c r="BV388" s="182"/>
      <c r="BW388" s="182"/>
      <c r="BX388" s="182"/>
      <c r="BY388" s="182"/>
      <c r="BZ388" s="182"/>
      <c r="CA388" s="182"/>
      <c r="CB388" s="185">
        <f t="shared" si="60"/>
        <v>2500</v>
      </c>
      <c r="CC388" s="185">
        <f t="shared" si="61"/>
        <v>0</v>
      </c>
      <c r="CD388" s="185">
        <f t="shared" si="62"/>
        <v>767</v>
      </c>
      <c r="CE388" s="185" t="e">
        <f>+#REF!</f>
        <v>#REF!</v>
      </c>
    </row>
    <row r="389" spans="2:83" s="197" customFormat="1" ht="56.25" x14ac:dyDescent="0.3">
      <c r="B389" s="182">
        <v>1148</v>
      </c>
      <c r="C389" s="182">
        <v>768</v>
      </c>
      <c r="D389" s="182" t="s">
        <v>325</v>
      </c>
      <c r="E389" s="181" t="s">
        <v>4672</v>
      </c>
      <c r="F389" s="182"/>
      <c r="G389" s="182">
        <v>1903.5</v>
      </c>
      <c r="H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  <c r="Z389" s="182"/>
      <c r="AA389" s="182"/>
      <c r="AB389" s="182"/>
      <c r="AC389" s="182"/>
      <c r="AD389" s="182"/>
      <c r="AE389" s="182"/>
      <c r="AF389" s="182"/>
      <c r="AG389" s="182"/>
      <c r="AH389" s="182"/>
      <c r="AI389" s="182"/>
      <c r="AJ389" s="182"/>
      <c r="AK389" s="182"/>
      <c r="AL389" s="182"/>
      <c r="AM389" s="182"/>
      <c r="AN389" s="182"/>
      <c r="AO389" s="182"/>
      <c r="AP389" s="182"/>
      <c r="AQ389" s="185">
        <f t="shared" si="59"/>
        <v>1903.5</v>
      </c>
      <c r="AR389" s="182">
        <v>1542.9</v>
      </c>
      <c r="AS389" s="182">
        <v>191.1</v>
      </c>
      <c r="AT389" s="182">
        <v>169.5</v>
      </c>
      <c r="AU389" s="182"/>
      <c r="AV389" s="182"/>
      <c r="AW389" s="182"/>
      <c r="AX389" s="182"/>
      <c r="AY389" s="182"/>
      <c r="AZ389" s="182"/>
      <c r="BA389" s="182"/>
      <c r="BB389" s="182"/>
      <c r="BC389" s="182"/>
      <c r="BD389" s="182"/>
      <c r="BE389" s="182"/>
      <c r="BF389" s="182"/>
      <c r="BG389" s="182"/>
      <c r="BH389" s="182"/>
      <c r="BI389" s="182"/>
      <c r="BJ389" s="182"/>
      <c r="BK389" s="182"/>
      <c r="BL389" s="182"/>
      <c r="BM389" s="182"/>
      <c r="BN389" s="182"/>
      <c r="BO389" s="182"/>
      <c r="BP389" s="182"/>
      <c r="BQ389" s="182"/>
      <c r="BR389" s="182"/>
      <c r="BS389" s="182"/>
      <c r="BT389" s="182"/>
      <c r="BU389" s="182"/>
      <c r="BV389" s="182"/>
      <c r="BW389" s="182"/>
      <c r="BX389" s="182"/>
      <c r="BY389" s="182"/>
      <c r="BZ389" s="182"/>
      <c r="CA389" s="182"/>
      <c r="CB389" s="185">
        <f t="shared" si="60"/>
        <v>1903.5</v>
      </c>
      <c r="CC389" s="185">
        <f t="shared" si="61"/>
        <v>0</v>
      </c>
      <c r="CD389" s="185">
        <f t="shared" si="62"/>
        <v>768</v>
      </c>
      <c r="CE389" s="185" t="e">
        <f>+#REF!</f>
        <v>#REF!</v>
      </c>
    </row>
    <row r="390" spans="2:83" s="197" customFormat="1" ht="37.5" x14ac:dyDescent="0.3">
      <c r="B390" s="182">
        <v>1295</v>
      </c>
      <c r="C390" s="182">
        <v>769</v>
      </c>
      <c r="D390" s="182" t="s">
        <v>325</v>
      </c>
      <c r="E390" s="181" t="s">
        <v>4673</v>
      </c>
      <c r="F390" s="182"/>
      <c r="G390" s="182">
        <v>996.62</v>
      </c>
      <c r="H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  <c r="Z390" s="182"/>
      <c r="AA390" s="182"/>
      <c r="AB390" s="182"/>
      <c r="AC390" s="182"/>
      <c r="AD390" s="182"/>
      <c r="AE390" s="182"/>
      <c r="AF390" s="182"/>
      <c r="AG390" s="182"/>
      <c r="AH390" s="182"/>
      <c r="AI390" s="182"/>
      <c r="AJ390" s="182"/>
      <c r="AK390" s="182"/>
      <c r="AL390" s="182"/>
      <c r="AM390" s="182"/>
      <c r="AN390" s="182"/>
      <c r="AO390" s="182"/>
      <c r="AP390" s="182"/>
      <c r="AQ390" s="185">
        <f t="shared" si="59"/>
        <v>996.62</v>
      </c>
      <c r="AR390" s="182">
        <v>666.55</v>
      </c>
      <c r="AS390" s="182">
        <v>89.95</v>
      </c>
      <c r="AT390" s="182">
        <v>240.12</v>
      </c>
      <c r="AU390" s="182"/>
      <c r="AV390" s="182"/>
      <c r="AW390" s="182"/>
      <c r="AX390" s="182"/>
      <c r="AY390" s="182"/>
      <c r="AZ390" s="182"/>
      <c r="BA390" s="182"/>
      <c r="BB390" s="182"/>
      <c r="BC390" s="182"/>
      <c r="BD390" s="182"/>
      <c r="BE390" s="182"/>
      <c r="BF390" s="182"/>
      <c r="BG390" s="182"/>
      <c r="BH390" s="182"/>
      <c r="BI390" s="182"/>
      <c r="BJ390" s="182"/>
      <c r="BK390" s="182"/>
      <c r="BL390" s="182"/>
      <c r="BM390" s="182"/>
      <c r="BN390" s="182"/>
      <c r="BO390" s="182"/>
      <c r="BP390" s="182"/>
      <c r="BQ390" s="182"/>
      <c r="BR390" s="182"/>
      <c r="BS390" s="182"/>
      <c r="BT390" s="182"/>
      <c r="BU390" s="182"/>
      <c r="BV390" s="182"/>
      <c r="BW390" s="182"/>
      <c r="BX390" s="182"/>
      <c r="BY390" s="182"/>
      <c r="BZ390" s="182"/>
      <c r="CA390" s="182"/>
      <c r="CB390" s="185">
        <f t="shared" si="60"/>
        <v>996.62</v>
      </c>
      <c r="CC390" s="185">
        <f t="shared" si="61"/>
        <v>0</v>
      </c>
      <c r="CD390" s="185">
        <f t="shared" si="62"/>
        <v>769</v>
      </c>
      <c r="CE390" s="185" t="e">
        <f>+#REF!</f>
        <v>#REF!</v>
      </c>
    </row>
    <row r="391" spans="2:83" s="197" customFormat="1" ht="37.5" x14ac:dyDescent="0.3">
      <c r="B391" s="182">
        <v>1296</v>
      </c>
      <c r="C391" s="182">
        <v>770</v>
      </c>
      <c r="D391" s="182" t="s">
        <v>325</v>
      </c>
      <c r="E391" s="181" t="s">
        <v>4674</v>
      </c>
      <c r="F391" s="182"/>
      <c r="G391" s="182">
        <v>19261.41</v>
      </c>
      <c r="H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  <c r="Z391" s="182"/>
      <c r="AA391" s="182"/>
      <c r="AB391" s="182"/>
      <c r="AC391" s="182"/>
      <c r="AD391" s="182"/>
      <c r="AE391" s="182"/>
      <c r="AF391" s="182"/>
      <c r="AG391" s="182"/>
      <c r="AH391" s="182"/>
      <c r="AI391" s="182"/>
      <c r="AJ391" s="182"/>
      <c r="AK391" s="182"/>
      <c r="AL391" s="182"/>
      <c r="AM391" s="182"/>
      <c r="AN391" s="182"/>
      <c r="AO391" s="182"/>
      <c r="AP391" s="182"/>
      <c r="AQ391" s="185">
        <f t="shared" si="59"/>
        <v>19261.41</v>
      </c>
      <c r="AR391" s="182">
        <v>17227.87</v>
      </c>
      <c r="AS391" s="182">
        <v>2033.54</v>
      </c>
      <c r="AT391" s="182"/>
      <c r="AU391" s="182"/>
      <c r="AV391" s="182"/>
      <c r="AW391" s="182"/>
      <c r="AX391" s="182"/>
      <c r="AY391" s="182"/>
      <c r="AZ391" s="182"/>
      <c r="BA391" s="182"/>
      <c r="BB391" s="182"/>
      <c r="BC391" s="182"/>
      <c r="BD391" s="182"/>
      <c r="BE391" s="182"/>
      <c r="BF391" s="182"/>
      <c r="BG391" s="182"/>
      <c r="BH391" s="182"/>
      <c r="BI391" s="182"/>
      <c r="BJ391" s="182"/>
      <c r="BK391" s="182"/>
      <c r="BL391" s="182"/>
      <c r="BM391" s="182"/>
      <c r="BN391" s="182"/>
      <c r="BO391" s="182"/>
      <c r="BP391" s="182"/>
      <c r="BQ391" s="182"/>
      <c r="BR391" s="182"/>
      <c r="BS391" s="182"/>
      <c r="BT391" s="182"/>
      <c r="BU391" s="182"/>
      <c r="BV391" s="182"/>
      <c r="BW391" s="182"/>
      <c r="BX391" s="182"/>
      <c r="BY391" s="182"/>
      <c r="BZ391" s="182"/>
      <c r="CA391" s="182"/>
      <c r="CB391" s="185">
        <f t="shared" si="60"/>
        <v>19261.41</v>
      </c>
      <c r="CC391" s="185">
        <f t="shared" si="61"/>
        <v>0</v>
      </c>
      <c r="CD391" s="185">
        <f t="shared" si="62"/>
        <v>770</v>
      </c>
      <c r="CE391" s="185" t="e">
        <f>+#REF!</f>
        <v>#REF!</v>
      </c>
    </row>
    <row r="392" spans="2:83" s="197" customFormat="1" ht="37.5" x14ac:dyDescent="0.3">
      <c r="B392" s="182">
        <v>1300</v>
      </c>
      <c r="C392" s="182">
        <v>771</v>
      </c>
      <c r="D392" s="182" t="s">
        <v>325</v>
      </c>
      <c r="E392" s="181" t="s">
        <v>4675</v>
      </c>
      <c r="F392" s="182"/>
      <c r="G392" s="182">
        <v>2000</v>
      </c>
      <c r="H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2"/>
      <c r="AH392" s="182"/>
      <c r="AI392" s="182"/>
      <c r="AJ392" s="182"/>
      <c r="AK392" s="182"/>
      <c r="AL392" s="182"/>
      <c r="AM392" s="182"/>
      <c r="AN392" s="182"/>
      <c r="AO392" s="182"/>
      <c r="AP392" s="182"/>
      <c r="AQ392" s="185">
        <f t="shared" si="59"/>
        <v>2000</v>
      </c>
      <c r="AR392" s="182">
        <v>1785.35</v>
      </c>
      <c r="AS392" s="182">
        <v>214.65</v>
      </c>
      <c r="AT392" s="182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182"/>
      <c r="BK392" s="182"/>
      <c r="BL392" s="182"/>
      <c r="BM392" s="182"/>
      <c r="BN392" s="182"/>
      <c r="BO392" s="182"/>
      <c r="BP392" s="182"/>
      <c r="BQ392" s="182"/>
      <c r="BR392" s="182"/>
      <c r="BS392" s="182"/>
      <c r="BT392" s="182"/>
      <c r="BU392" s="182"/>
      <c r="BV392" s="182"/>
      <c r="BW392" s="182"/>
      <c r="BX392" s="182"/>
      <c r="BY392" s="182"/>
      <c r="BZ392" s="182"/>
      <c r="CA392" s="182"/>
      <c r="CB392" s="185">
        <f t="shared" si="60"/>
        <v>2000</v>
      </c>
      <c r="CC392" s="185">
        <f t="shared" si="61"/>
        <v>0</v>
      </c>
      <c r="CD392" s="185">
        <f t="shared" si="62"/>
        <v>771</v>
      </c>
      <c r="CE392" s="185" t="e">
        <f>+#REF!</f>
        <v>#REF!</v>
      </c>
    </row>
    <row r="393" spans="2:83" s="197" customFormat="1" ht="37.5" x14ac:dyDescent="0.3">
      <c r="B393" s="182">
        <v>3365</v>
      </c>
      <c r="C393" s="182">
        <v>772</v>
      </c>
      <c r="D393" s="182" t="s">
        <v>325</v>
      </c>
      <c r="E393" s="181" t="s">
        <v>4676</v>
      </c>
      <c r="F393" s="182"/>
      <c r="G393" s="182">
        <v>61342.84</v>
      </c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2"/>
      <c r="AH393" s="182"/>
      <c r="AI393" s="182"/>
      <c r="AJ393" s="182"/>
      <c r="AK393" s="182"/>
      <c r="AL393" s="182"/>
      <c r="AM393" s="182"/>
      <c r="AN393" s="182"/>
      <c r="AO393" s="182"/>
      <c r="AP393" s="182"/>
      <c r="AQ393" s="185">
        <f t="shared" si="59"/>
        <v>61342.84</v>
      </c>
      <c r="AR393" s="182">
        <v>40978.620000000003</v>
      </c>
      <c r="AS393" s="182">
        <v>5584.4</v>
      </c>
      <c r="AT393" s="182">
        <v>14779.82</v>
      </c>
      <c r="AU393" s="182"/>
      <c r="AV393" s="182"/>
      <c r="AW393" s="182"/>
      <c r="AX393" s="182"/>
      <c r="AY393" s="182"/>
      <c r="AZ393" s="182"/>
      <c r="BA393" s="182"/>
      <c r="BB393" s="182"/>
      <c r="BC393" s="182"/>
      <c r="BD393" s="182"/>
      <c r="BE393" s="182"/>
      <c r="BF393" s="182"/>
      <c r="BG393" s="182"/>
      <c r="BH393" s="182"/>
      <c r="BI393" s="182"/>
      <c r="BJ393" s="182"/>
      <c r="BK393" s="182"/>
      <c r="BL393" s="182"/>
      <c r="BM393" s="182"/>
      <c r="BN393" s="182"/>
      <c r="BO393" s="182"/>
      <c r="BP393" s="182"/>
      <c r="BQ393" s="182"/>
      <c r="BR393" s="182"/>
      <c r="BS393" s="182"/>
      <c r="BT393" s="182"/>
      <c r="BU393" s="182"/>
      <c r="BV393" s="182"/>
      <c r="BW393" s="182"/>
      <c r="BX393" s="182"/>
      <c r="BY393" s="182"/>
      <c r="BZ393" s="182"/>
      <c r="CA393" s="182"/>
      <c r="CB393" s="185">
        <f t="shared" si="60"/>
        <v>61342.840000000004</v>
      </c>
      <c r="CC393" s="185">
        <f t="shared" si="61"/>
        <v>0</v>
      </c>
      <c r="CD393" s="185">
        <f t="shared" si="62"/>
        <v>772</v>
      </c>
      <c r="CE393" s="185" t="e">
        <f>+#REF!</f>
        <v>#REF!</v>
      </c>
    </row>
    <row r="394" spans="2:83" s="197" customFormat="1" ht="37.5" x14ac:dyDescent="0.3">
      <c r="B394" s="182">
        <v>3373</v>
      </c>
      <c r="C394" s="182">
        <v>773</v>
      </c>
      <c r="D394" s="182" t="s">
        <v>325</v>
      </c>
      <c r="E394" s="181" t="s">
        <v>4676</v>
      </c>
      <c r="F394" s="182"/>
      <c r="G394" s="182">
        <v>7043.38</v>
      </c>
      <c r="H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  <c r="Z394" s="182"/>
      <c r="AA394" s="182"/>
      <c r="AB394" s="182"/>
      <c r="AC394" s="182"/>
      <c r="AD394" s="182"/>
      <c r="AE394" s="182"/>
      <c r="AF394" s="182"/>
      <c r="AG394" s="182"/>
      <c r="AH394" s="182"/>
      <c r="AI394" s="182"/>
      <c r="AJ394" s="182"/>
      <c r="AK394" s="182"/>
      <c r="AL394" s="182"/>
      <c r="AM394" s="182"/>
      <c r="AN394" s="182"/>
      <c r="AO394" s="182"/>
      <c r="AP394" s="182"/>
      <c r="AQ394" s="185">
        <f t="shared" si="59"/>
        <v>7043.38</v>
      </c>
      <c r="AR394" s="182">
        <v>5177.1899999999996</v>
      </c>
      <c r="AS394" s="182">
        <v>678.25</v>
      </c>
      <c r="AT394" s="182">
        <v>1187.94</v>
      </c>
      <c r="AU394" s="182"/>
      <c r="AV394" s="182"/>
      <c r="AW394" s="182"/>
      <c r="AX394" s="182"/>
      <c r="AY394" s="182"/>
      <c r="AZ394" s="182"/>
      <c r="BA394" s="182"/>
      <c r="BB394" s="182"/>
      <c r="BC394" s="182"/>
      <c r="BD394" s="182"/>
      <c r="BE394" s="182"/>
      <c r="BF394" s="182"/>
      <c r="BG394" s="182"/>
      <c r="BH394" s="182"/>
      <c r="BI394" s="182"/>
      <c r="BJ394" s="182"/>
      <c r="BK394" s="182"/>
      <c r="BL394" s="182"/>
      <c r="BM394" s="182"/>
      <c r="BN394" s="182"/>
      <c r="BO394" s="182"/>
      <c r="BP394" s="182"/>
      <c r="BQ394" s="182"/>
      <c r="BR394" s="182"/>
      <c r="BS394" s="182"/>
      <c r="BT394" s="182"/>
      <c r="BU394" s="182"/>
      <c r="BV394" s="182"/>
      <c r="BW394" s="182"/>
      <c r="BX394" s="182"/>
      <c r="BY394" s="182"/>
      <c r="BZ394" s="182"/>
      <c r="CA394" s="182"/>
      <c r="CB394" s="185">
        <f t="shared" si="60"/>
        <v>7043.3799999999992</v>
      </c>
      <c r="CC394" s="185">
        <f t="shared" si="61"/>
        <v>0</v>
      </c>
      <c r="CD394" s="185">
        <f t="shared" si="62"/>
        <v>773</v>
      </c>
      <c r="CE394" s="185" t="e">
        <f>+#REF!</f>
        <v>#REF!</v>
      </c>
    </row>
    <row r="395" spans="2:83" s="197" customFormat="1" ht="37.5" x14ac:dyDescent="0.3">
      <c r="B395" s="182">
        <v>3372</v>
      </c>
      <c r="C395" s="182">
        <v>774</v>
      </c>
      <c r="D395" s="182" t="s">
        <v>325</v>
      </c>
      <c r="E395" s="181" t="s">
        <v>4676</v>
      </c>
      <c r="F395" s="182"/>
      <c r="G395" s="182">
        <v>5439.23</v>
      </c>
      <c r="H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2"/>
      <c r="AH395" s="182"/>
      <c r="AI395" s="182"/>
      <c r="AJ395" s="182"/>
      <c r="AK395" s="182"/>
      <c r="AL395" s="182"/>
      <c r="AM395" s="182"/>
      <c r="AN395" s="182"/>
      <c r="AO395" s="182"/>
      <c r="AP395" s="182"/>
      <c r="AQ395" s="185">
        <f t="shared" si="59"/>
        <v>5439.23</v>
      </c>
      <c r="AR395" s="182">
        <v>3634.21</v>
      </c>
      <c r="AS395" s="182">
        <v>494.5</v>
      </c>
      <c r="AT395" s="182">
        <v>1310.52</v>
      </c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/>
      <c r="BJ395" s="182"/>
      <c r="BK395" s="182"/>
      <c r="BL395" s="182"/>
      <c r="BM395" s="182"/>
      <c r="BN395" s="182"/>
      <c r="BO395" s="182"/>
      <c r="BP395" s="182"/>
      <c r="BQ395" s="182"/>
      <c r="BR395" s="182"/>
      <c r="BS395" s="182"/>
      <c r="BT395" s="182"/>
      <c r="BU395" s="182"/>
      <c r="BV395" s="182"/>
      <c r="BW395" s="182"/>
      <c r="BX395" s="182"/>
      <c r="BY395" s="182"/>
      <c r="BZ395" s="182"/>
      <c r="CA395" s="182"/>
      <c r="CB395" s="185">
        <f t="shared" si="60"/>
        <v>5439.23</v>
      </c>
      <c r="CC395" s="185">
        <f t="shared" si="61"/>
        <v>0</v>
      </c>
      <c r="CD395" s="185">
        <f t="shared" si="62"/>
        <v>774</v>
      </c>
      <c r="CE395" s="185" t="e">
        <f>+#REF!</f>
        <v>#REF!</v>
      </c>
    </row>
    <row r="396" spans="2:83" s="197" customFormat="1" ht="37.5" x14ac:dyDescent="0.3">
      <c r="B396" s="182">
        <v>3368</v>
      </c>
      <c r="C396" s="182">
        <v>775</v>
      </c>
      <c r="D396" s="182" t="s">
        <v>325</v>
      </c>
      <c r="E396" s="181" t="s">
        <v>4676</v>
      </c>
      <c r="F396" s="182"/>
      <c r="G396" s="182">
        <v>17941.64</v>
      </c>
      <c r="H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2"/>
      <c r="AH396" s="182"/>
      <c r="AI396" s="182"/>
      <c r="AJ396" s="182"/>
      <c r="AK396" s="182"/>
      <c r="AL396" s="182"/>
      <c r="AM396" s="182"/>
      <c r="AN396" s="182"/>
      <c r="AO396" s="182"/>
      <c r="AP396" s="182"/>
      <c r="AQ396" s="185">
        <f t="shared" si="59"/>
        <v>17941.64</v>
      </c>
      <c r="AR396" s="182">
        <v>12008.68</v>
      </c>
      <c r="AS396" s="182">
        <v>1637.9</v>
      </c>
      <c r="AT396" s="182">
        <v>4295.0600000000004</v>
      </c>
      <c r="AU396" s="182"/>
      <c r="AV396" s="182"/>
      <c r="AW396" s="182"/>
      <c r="AX396" s="182"/>
      <c r="AY396" s="182"/>
      <c r="AZ396" s="182"/>
      <c r="BA396" s="182"/>
      <c r="BB396" s="182"/>
      <c r="BC396" s="182"/>
      <c r="BD396" s="182"/>
      <c r="BE396" s="182"/>
      <c r="BF396" s="182"/>
      <c r="BG396" s="182"/>
      <c r="BH396" s="182"/>
      <c r="BI396" s="182"/>
      <c r="BJ396" s="182"/>
      <c r="BK396" s="182"/>
      <c r="BL396" s="182"/>
      <c r="BM396" s="182"/>
      <c r="BN396" s="182"/>
      <c r="BO396" s="182"/>
      <c r="BP396" s="182"/>
      <c r="BQ396" s="182"/>
      <c r="BR396" s="182"/>
      <c r="BS396" s="182"/>
      <c r="BT396" s="182"/>
      <c r="BU396" s="182"/>
      <c r="BV396" s="182"/>
      <c r="BW396" s="182"/>
      <c r="BX396" s="182"/>
      <c r="BY396" s="182"/>
      <c r="BZ396" s="182"/>
      <c r="CA396" s="182"/>
      <c r="CB396" s="185">
        <f t="shared" si="60"/>
        <v>17941.64</v>
      </c>
      <c r="CC396" s="185">
        <f t="shared" si="61"/>
        <v>0</v>
      </c>
      <c r="CD396" s="185">
        <f t="shared" si="62"/>
        <v>775</v>
      </c>
      <c r="CE396" s="185" t="e">
        <f>+#REF!</f>
        <v>#REF!</v>
      </c>
    </row>
    <row r="397" spans="2:83" s="197" customFormat="1" ht="37.5" x14ac:dyDescent="0.3">
      <c r="B397" s="182">
        <v>3371</v>
      </c>
      <c r="C397" s="182">
        <v>776</v>
      </c>
      <c r="D397" s="182" t="s">
        <v>121</v>
      </c>
      <c r="E397" s="181" t="s">
        <v>4676</v>
      </c>
      <c r="F397" s="182"/>
      <c r="G397" s="182">
        <v>6261.15</v>
      </c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  <c r="Z397" s="182"/>
      <c r="AA397" s="182"/>
      <c r="AB397" s="182"/>
      <c r="AC397" s="182"/>
      <c r="AD397" s="182"/>
      <c r="AE397" s="182"/>
      <c r="AF397" s="182"/>
      <c r="AG397" s="182"/>
      <c r="AH397" s="182"/>
      <c r="AI397" s="182"/>
      <c r="AJ397" s="182"/>
      <c r="AK397" s="182"/>
      <c r="AL397" s="182"/>
      <c r="AM397" s="182"/>
      <c r="AN397" s="182"/>
      <c r="AO397" s="182"/>
      <c r="AP397" s="182"/>
      <c r="AQ397" s="185">
        <f t="shared" si="59"/>
        <v>6261.15</v>
      </c>
      <c r="AR397" s="182">
        <v>4180.95</v>
      </c>
      <c r="AS397" s="182">
        <v>571.65</v>
      </c>
      <c r="AT397" s="182">
        <v>1508.55</v>
      </c>
      <c r="AU397" s="182"/>
      <c r="AV397" s="182"/>
      <c r="AW397" s="182"/>
      <c r="AX397" s="182"/>
      <c r="AY397" s="182"/>
      <c r="AZ397" s="182"/>
      <c r="BA397" s="182"/>
      <c r="BB397" s="182"/>
      <c r="BC397" s="182"/>
      <c r="BD397" s="182"/>
      <c r="BE397" s="182"/>
      <c r="BF397" s="182"/>
      <c r="BG397" s="182"/>
      <c r="BH397" s="182"/>
      <c r="BI397" s="182"/>
      <c r="BJ397" s="182"/>
      <c r="BK397" s="182"/>
      <c r="BL397" s="182"/>
      <c r="BM397" s="182"/>
      <c r="BN397" s="182"/>
      <c r="BO397" s="182"/>
      <c r="BP397" s="182"/>
      <c r="BQ397" s="182"/>
      <c r="BR397" s="182"/>
      <c r="BS397" s="182"/>
      <c r="BT397" s="182"/>
      <c r="BU397" s="182"/>
      <c r="BV397" s="182"/>
      <c r="BW397" s="182"/>
      <c r="BX397" s="182"/>
      <c r="BY397" s="182"/>
      <c r="BZ397" s="182"/>
      <c r="CA397" s="182"/>
      <c r="CB397" s="185">
        <f t="shared" si="60"/>
        <v>6261.15</v>
      </c>
      <c r="CC397" s="185">
        <f t="shared" si="61"/>
        <v>0</v>
      </c>
      <c r="CD397" s="185">
        <f t="shared" si="62"/>
        <v>776</v>
      </c>
      <c r="CE397" s="185" t="e">
        <f>+#REF!</f>
        <v>#REF!</v>
      </c>
    </row>
    <row r="398" spans="2:83" s="197" customFormat="1" ht="37.5" x14ac:dyDescent="0.3">
      <c r="B398" s="182">
        <v>3370</v>
      </c>
      <c r="C398" s="182">
        <v>777</v>
      </c>
      <c r="D398" s="182" t="s">
        <v>325</v>
      </c>
      <c r="E398" s="181" t="s">
        <v>4676</v>
      </c>
      <c r="F398" s="182"/>
      <c r="G398" s="182">
        <v>48074.96</v>
      </c>
      <c r="H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182"/>
      <c r="AI398" s="182"/>
      <c r="AJ398" s="182"/>
      <c r="AK398" s="182"/>
      <c r="AL398" s="182"/>
      <c r="AM398" s="182"/>
      <c r="AN398" s="182"/>
      <c r="AO398" s="182"/>
      <c r="AP398" s="182"/>
      <c r="AQ398" s="185">
        <f t="shared" ref="AQ398:AQ429" si="63">SUM(G398:AP398)</f>
        <v>48074.96</v>
      </c>
      <c r="AR398" s="182">
        <v>33063.129999999997</v>
      </c>
      <c r="AS398" s="182">
        <v>4453.75</v>
      </c>
      <c r="AT398" s="182">
        <v>10558.08</v>
      </c>
      <c r="AU398" s="182"/>
      <c r="AV398" s="182"/>
      <c r="AW398" s="182"/>
      <c r="AX398" s="182"/>
      <c r="AY398" s="182"/>
      <c r="AZ398" s="182"/>
      <c r="BA398" s="182"/>
      <c r="BB398" s="182"/>
      <c r="BC398" s="182"/>
      <c r="BD398" s="182"/>
      <c r="BE398" s="182"/>
      <c r="BF398" s="182"/>
      <c r="BG398" s="182"/>
      <c r="BH398" s="182"/>
      <c r="BI398" s="182"/>
      <c r="BJ398" s="182"/>
      <c r="BK398" s="182"/>
      <c r="BL398" s="182"/>
      <c r="BM398" s="182"/>
      <c r="BN398" s="182"/>
      <c r="BO398" s="182"/>
      <c r="BP398" s="182"/>
      <c r="BQ398" s="182"/>
      <c r="BR398" s="182"/>
      <c r="BS398" s="182"/>
      <c r="BT398" s="182"/>
      <c r="BU398" s="182"/>
      <c r="BV398" s="182"/>
      <c r="BW398" s="182"/>
      <c r="BX398" s="182"/>
      <c r="BY398" s="182"/>
      <c r="BZ398" s="182"/>
      <c r="CA398" s="182"/>
      <c r="CB398" s="185">
        <f t="shared" ref="CB398:CB429" si="64">SUM(AR398:CA398)</f>
        <v>48074.96</v>
      </c>
      <c r="CC398" s="185">
        <f t="shared" ref="CC398:CC429" si="65">+CB398-AQ398</f>
        <v>0</v>
      </c>
      <c r="CD398" s="185">
        <f t="shared" ref="CD398:CD429" si="66">+C398</f>
        <v>777</v>
      </c>
      <c r="CE398" s="185" t="e">
        <f>+#REF!</f>
        <v>#REF!</v>
      </c>
    </row>
    <row r="399" spans="2:83" s="197" customFormat="1" ht="37.5" x14ac:dyDescent="0.3">
      <c r="B399" s="182">
        <v>3369</v>
      </c>
      <c r="C399" s="182">
        <v>778</v>
      </c>
      <c r="D399" s="182" t="s">
        <v>325</v>
      </c>
      <c r="E399" s="181" t="s">
        <v>4676</v>
      </c>
      <c r="F399" s="182"/>
      <c r="G399" s="182">
        <v>6104.34</v>
      </c>
      <c r="H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2"/>
      <c r="AH399" s="182"/>
      <c r="AI399" s="182"/>
      <c r="AJ399" s="182"/>
      <c r="AK399" s="182"/>
      <c r="AL399" s="182"/>
      <c r="AM399" s="182"/>
      <c r="AN399" s="182"/>
      <c r="AO399" s="182"/>
      <c r="AP399" s="182"/>
      <c r="AQ399" s="185">
        <f t="shared" si="63"/>
        <v>6104.34</v>
      </c>
      <c r="AR399" s="182">
        <v>4280.1499999999996</v>
      </c>
      <c r="AS399" s="182">
        <v>572.45000000000005</v>
      </c>
      <c r="AT399" s="182">
        <v>1251.74</v>
      </c>
      <c r="AU399" s="182"/>
      <c r="AV399" s="182"/>
      <c r="AW399" s="182"/>
      <c r="AX399" s="182"/>
      <c r="AY399" s="182"/>
      <c r="AZ399" s="182"/>
      <c r="BA399" s="182"/>
      <c r="BB399" s="182"/>
      <c r="BC399" s="182"/>
      <c r="BD399" s="182"/>
      <c r="BE399" s="182"/>
      <c r="BF399" s="182"/>
      <c r="BG399" s="182"/>
      <c r="BH399" s="182"/>
      <c r="BI399" s="182"/>
      <c r="BJ399" s="182"/>
      <c r="BK399" s="182"/>
      <c r="BL399" s="182"/>
      <c r="BM399" s="182"/>
      <c r="BN399" s="182"/>
      <c r="BO399" s="182"/>
      <c r="BP399" s="182"/>
      <c r="BQ399" s="182"/>
      <c r="BR399" s="182"/>
      <c r="BS399" s="182"/>
      <c r="BT399" s="182"/>
      <c r="BU399" s="182"/>
      <c r="BV399" s="182"/>
      <c r="BW399" s="182"/>
      <c r="BX399" s="182"/>
      <c r="BY399" s="182"/>
      <c r="BZ399" s="182"/>
      <c r="CA399" s="182"/>
      <c r="CB399" s="185">
        <f t="shared" si="64"/>
        <v>6104.3399999999992</v>
      </c>
      <c r="CC399" s="185">
        <f t="shared" si="65"/>
        <v>0</v>
      </c>
      <c r="CD399" s="185">
        <f t="shared" si="66"/>
        <v>778</v>
      </c>
      <c r="CE399" s="185" t="e">
        <f>+#REF!</f>
        <v>#REF!</v>
      </c>
    </row>
    <row r="400" spans="2:83" s="197" customFormat="1" ht="37.5" x14ac:dyDescent="0.3">
      <c r="B400" s="182">
        <v>3398</v>
      </c>
      <c r="C400" s="182">
        <v>779</v>
      </c>
      <c r="D400" s="182" t="s">
        <v>121</v>
      </c>
      <c r="E400" s="181" t="s">
        <v>4676</v>
      </c>
      <c r="F400" s="182"/>
      <c r="G400" s="182">
        <v>22545.8</v>
      </c>
      <c r="H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  <c r="Z400" s="182"/>
      <c r="AA400" s="182"/>
      <c r="AB400" s="182"/>
      <c r="AC400" s="182"/>
      <c r="AD400" s="182"/>
      <c r="AE400" s="182"/>
      <c r="AF400" s="182"/>
      <c r="AG400" s="182"/>
      <c r="AH400" s="182"/>
      <c r="AI400" s="182"/>
      <c r="AJ400" s="182"/>
      <c r="AK400" s="182"/>
      <c r="AL400" s="182"/>
      <c r="AM400" s="182"/>
      <c r="AN400" s="182"/>
      <c r="AO400" s="182"/>
      <c r="AP400" s="182"/>
      <c r="AQ400" s="185">
        <f t="shared" si="63"/>
        <v>22545.8</v>
      </c>
      <c r="AR400" s="182">
        <v>15070.81</v>
      </c>
      <c r="AS400" s="182">
        <v>2052.9499999999998</v>
      </c>
      <c r="AT400" s="182">
        <v>5422.04</v>
      </c>
      <c r="AU400" s="182"/>
      <c r="AV400" s="182"/>
      <c r="AW400" s="182"/>
      <c r="AX400" s="182"/>
      <c r="AY400" s="182"/>
      <c r="AZ400" s="182"/>
      <c r="BA400" s="182"/>
      <c r="BB400" s="182"/>
      <c r="BC400" s="182"/>
      <c r="BD400" s="182"/>
      <c r="BE400" s="182"/>
      <c r="BF400" s="182"/>
      <c r="BG400" s="182"/>
      <c r="BH400" s="182"/>
      <c r="BI400" s="182"/>
      <c r="BJ400" s="182"/>
      <c r="BK400" s="182"/>
      <c r="BL400" s="182"/>
      <c r="BM400" s="182"/>
      <c r="BN400" s="182"/>
      <c r="BO400" s="182"/>
      <c r="BP400" s="182"/>
      <c r="BQ400" s="182"/>
      <c r="BR400" s="182"/>
      <c r="BS400" s="182"/>
      <c r="BT400" s="182"/>
      <c r="BU400" s="182"/>
      <c r="BV400" s="182"/>
      <c r="BW400" s="182"/>
      <c r="BX400" s="182"/>
      <c r="BY400" s="182"/>
      <c r="BZ400" s="182"/>
      <c r="CA400" s="182"/>
      <c r="CB400" s="185">
        <f t="shared" si="64"/>
        <v>22545.8</v>
      </c>
      <c r="CC400" s="185">
        <f t="shared" si="65"/>
        <v>0</v>
      </c>
      <c r="CD400" s="185">
        <f t="shared" si="66"/>
        <v>779</v>
      </c>
      <c r="CE400" s="185" t="e">
        <f>+#REF!</f>
        <v>#REF!</v>
      </c>
    </row>
    <row r="401" spans="2:83" s="197" customFormat="1" ht="37.5" x14ac:dyDescent="0.3">
      <c r="B401" s="182">
        <v>3374</v>
      </c>
      <c r="C401" s="182">
        <v>780</v>
      </c>
      <c r="D401" s="182" t="s">
        <v>4635</v>
      </c>
      <c r="E401" s="181" t="s">
        <v>4676</v>
      </c>
      <c r="F401" s="182"/>
      <c r="G401" s="182">
        <v>28083.97</v>
      </c>
      <c r="H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2"/>
      <c r="AH401" s="182"/>
      <c r="AI401" s="182"/>
      <c r="AJ401" s="182"/>
      <c r="AK401" s="182"/>
      <c r="AL401" s="182"/>
      <c r="AM401" s="182"/>
      <c r="AN401" s="182"/>
      <c r="AO401" s="182"/>
      <c r="AP401" s="182"/>
      <c r="AQ401" s="185">
        <f t="shared" si="63"/>
        <v>28083.97</v>
      </c>
      <c r="AR401" s="182">
        <v>20134.330000000002</v>
      </c>
      <c r="AS401" s="182">
        <v>2658.35</v>
      </c>
      <c r="AT401" s="182">
        <v>5291.29</v>
      </c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182"/>
      <c r="BK401" s="182"/>
      <c r="BL401" s="182"/>
      <c r="BM401" s="182"/>
      <c r="BN401" s="182"/>
      <c r="BO401" s="182"/>
      <c r="BP401" s="182"/>
      <c r="BQ401" s="182"/>
      <c r="BR401" s="182"/>
      <c r="BS401" s="182"/>
      <c r="BT401" s="182"/>
      <c r="BU401" s="182"/>
      <c r="BV401" s="182"/>
      <c r="BW401" s="182"/>
      <c r="BX401" s="182"/>
      <c r="BY401" s="182"/>
      <c r="BZ401" s="182"/>
      <c r="CA401" s="182"/>
      <c r="CB401" s="185">
        <f t="shared" si="64"/>
        <v>28083.97</v>
      </c>
      <c r="CC401" s="185">
        <f t="shared" si="65"/>
        <v>0</v>
      </c>
      <c r="CD401" s="185">
        <f t="shared" si="66"/>
        <v>780</v>
      </c>
      <c r="CE401" s="185" t="e">
        <f>+#REF!</f>
        <v>#REF!</v>
      </c>
    </row>
    <row r="402" spans="2:83" s="197" customFormat="1" ht="37.5" x14ac:dyDescent="0.3">
      <c r="B402" s="182">
        <v>3366</v>
      </c>
      <c r="C402" s="182">
        <v>781</v>
      </c>
      <c r="D402" s="182" t="s">
        <v>4635</v>
      </c>
      <c r="E402" s="181" t="s">
        <v>4676</v>
      </c>
      <c r="F402" s="182"/>
      <c r="G402" s="182">
        <v>5829.21</v>
      </c>
      <c r="H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2"/>
      <c r="AH402" s="182"/>
      <c r="AI402" s="182"/>
      <c r="AJ402" s="182"/>
      <c r="AK402" s="182"/>
      <c r="AL402" s="182"/>
      <c r="AM402" s="182"/>
      <c r="AN402" s="182"/>
      <c r="AO402" s="182"/>
      <c r="AP402" s="182"/>
      <c r="AQ402" s="185">
        <f t="shared" si="63"/>
        <v>5829.21</v>
      </c>
      <c r="AR402" s="182">
        <v>3951.1</v>
      </c>
      <c r="AS402" s="182">
        <v>536.5</v>
      </c>
      <c r="AT402" s="182">
        <v>1341.61</v>
      </c>
      <c r="AU402" s="182"/>
      <c r="AV402" s="182"/>
      <c r="AW402" s="182"/>
      <c r="AX402" s="182"/>
      <c r="AY402" s="182"/>
      <c r="AZ402" s="182"/>
      <c r="BA402" s="182"/>
      <c r="BB402" s="182"/>
      <c r="BC402" s="182"/>
      <c r="BD402" s="182"/>
      <c r="BE402" s="182"/>
      <c r="BF402" s="182"/>
      <c r="BG402" s="182"/>
      <c r="BH402" s="182"/>
      <c r="BI402" s="182"/>
      <c r="BJ402" s="182"/>
      <c r="BK402" s="182"/>
      <c r="BL402" s="182"/>
      <c r="BM402" s="182"/>
      <c r="BN402" s="182"/>
      <c r="BO402" s="182"/>
      <c r="BP402" s="182"/>
      <c r="BQ402" s="182"/>
      <c r="BR402" s="182"/>
      <c r="BS402" s="182"/>
      <c r="BT402" s="182"/>
      <c r="BU402" s="182"/>
      <c r="BV402" s="182"/>
      <c r="BW402" s="182"/>
      <c r="BX402" s="182"/>
      <c r="BY402" s="182"/>
      <c r="BZ402" s="182"/>
      <c r="CA402" s="182"/>
      <c r="CB402" s="185">
        <f t="shared" si="64"/>
        <v>5829.21</v>
      </c>
      <c r="CC402" s="185">
        <f t="shared" si="65"/>
        <v>0</v>
      </c>
      <c r="CD402" s="185">
        <f t="shared" si="66"/>
        <v>781</v>
      </c>
      <c r="CE402" s="185" t="e">
        <f>+#REF!</f>
        <v>#REF!</v>
      </c>
    </row>
    <row r="403" spans="2:83" s="197" customFormat="1" ht="37.5" x14ac:dyDescent="0.3">
      <c r="B403" s="182">
        <v>1960</v>
      </c>
      <c r="C403" s="182">
        <v>782</v>
      </c>
      <c r="D403" s="182" t="s">
        <v>121</v>
      </c>
      <c r="E403" s="181" t="s">
        <v>4677</v>
      </c>
      <c r="F403" s="182"/>
      <c r="G403" s="182">
        <v>1758.75</v>
      </c>
      <c r="H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  <c r="Z403" s="182"/>
      <c r="AA403" s="182"/>
      <c r="AB403" s="182"/>
      <c r="AC403" s="182"/>
      <c r="AD403" s="182"/>
      <c r="AE403" s="182"/>
      <c r="AF403" s="182"/>
      <c r="AG403" s="182"/>
      <c r="AH403" s="182"/>
      <c r="AI403" s="182"/>
      <c r="AJ403" s="182"/>
      <c r="AK403" s="182"/>
      <c r="AL403" s="182"/>
      <c r="AM403" s="182"/>
      <c r="AN403" s="182"/>
      <c r="AO403" s="182"/>
      <c r="AP403" s="182"/>
      <c r="AQ403" s="185">
        <f t="shared" si="63"/>
        <v>1758.75</v>
      </c>
      <c r="AR403" s="182">
        <v>1175.3499999999999</v>
      </c>
      <c r="AS403" s="182">
        <v>159.65</v>
      </c>
      <c r="AT403" s="182">
        <v>423.75</v>
      </c>
      <c r="AU403" s="182"/>
      <c r="AV403" s="182"/>
      <c r="AW403" s="182"/>
      <c r="AX403" s="182"/>
      <c r="AY403" s="182"/>
      <c r="AZ403" s="182"/>
      <c r="BA403" s="182"/>
      <c r="BB403" s="182"/>
      <c r="BC403" s="182"/>
      <c r="BD403" s="182"/>
      <c r="BE403" s="182"/>
      <c r="BF403" s="182"/>
      <c r="BG403" s="182"/>
      <c r="BH403" s="182"/>
      <c r="BI403" s="182"/>
      <c r="BJ403" s="182"/>
      <c r="BK403" s="182"/>
      <c r="BL403" s="182"/>
      <c r="BM403" s="182"/>
      <c r="BN403" s="182"/>
      <c r="BO403" s="182"/>
      <c r="BP403" s="182"/>
      <c r="BQ403" s="182"/>
      <c r="BR403" s="182"/>
      <c r="BS403" s="182"/>
      <c r="BT403" s="182"/>
      <c r="BU403" s="182"/>
      <c r="BV403" s="182"/>
      <c r="BW403" s="182"/>
      <c r="BX403" s="182"/>
      <c r="BY403" s="182"/>
      <c r="BZ403" s="182"/>
      <c r="CA403" s="182"/>
      <c r="CB403" s="185">
        <f t="shared" si="64"/>
        <v>1758.75</v>
      </c>
      <c r="CC403" s="185">
        <f t="shared" si="65"/>
        <v>0</v>
      </c>
      <c r="CD403" s="185">
        <f t="shared" si="66"/>
        <v>782</v>
      </c>
      <c r="CE403" s="185" t="e">
        <f>+#REF!</f>
        <v>#REF!</v>
      </c>
    </row>
    <row r="404" spans="2:83" s="197" customFormat="1" ht="37.5" x14ac:dyDescent="0.3">
      <c r="B404" s="182">
        <v>1959</v>
      </c>
      <c r="C404" s="182">
        <v>783</v>
      </c>
      <c r="D404" s="182" t="s">
        <v>121</v>
      </c>
      <c r="E404" s="181" t="s">
        <v>4677</v>
      </c>
      <c r="F404" s="182"/>
      <c r="G404" s="182">
        <v>6448.75</v>
      </c>
      <c r="H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2"/>
      <c r="AH404" s="182"/>
      <c r="AI404" s="182"/>
      <c r="AJ404" s="182"/>
      <c r="AK404" s="182"/>
      <c r="AL404" s="182"/>
      <c r="AM404" s="182"/>
      <c r="AN404" s="182"/>
      <c r="AO404" s="182"/>
      <c r="AP404" s="182"/>
      <c r="AQ404" s="185">
        <f t="shared" si="63"/>
        <v>6448.75</v>
      </c>
      <c r="AR404" s="182">
        <v>4309.3999999999996</v>
      </c>
      <c r="AS404" s="182">
        <v>585.6</v>
      </c>
      <c r="AT404" s="182">
        <v>1553.75</v>
      </c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182"/>
      <c r="BK404" s="182"/>
      <c r="BL404" s="182"/>
      <c r="BM404" s="182"/>
      <c r="BN404" s="182"/>
      <c r="BO404" s="182"/>
      <c r="BP404" s="182"/>
      <c r="BQ404" s="182"/>
      <c r="BR404" s="182"/>
      <c r="BS404" s="182"/>
      <c r="BT404" s="182"/>
      <c r="BU404" s="182"/>
      <c r="BV404" s="182"/>
      <c r="BW404" s="182"/>
      <c r="BX404" s="182"/>
      <c r="BY404" s="182"/>
      <c r="BZ404" s="182"/>
      <c r="CA404" s="182"/>
      <c r="CB404" s="185">
        <f t="shared" si="64"/>
        <v>6448.75</v>
      </c>
      <c r="CC404" s="185">
        <f t="shared" si="65"/>
        <v>0</v>
      </c>
      <c r="CD404" s="185">
        <f t="shared" si="66"/>
        <v>783</v>
      </c>
      <c r="CE404" s="185" t="e">
        <f>+#REF!</f>
        <v>#REF!</v>
      </c>
    </row>
    <row r="405" spans="2:83" s="197" customFormat="1" ht="37.5" x14ac:dyDescent="0.3">
      <c r="B405" s="182">
        <v>1958</v>
      </c>
      <c r="C405" s="182">
        <v>784</v>
      </c>
      <c r="D405" s="182" t="s">
        <v>121</v>
      </c>
      <c r="E405" s="181" t="s">
        <v>4678</v>
      </c>
      <c r="F405" s="182"/>
      <c r="G405" s="182">
        <v>8207.5</v>
      </c>
      <c r="H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2"/>
      <c r="AH405" s="182"/>
      <c r="AI405" s="182"/>
      <c r="AJ405" s="182"/>
      <c r="AK405" s="182"/>
      <c r="AL405" s="182"/>
      <c r="AM405" s="182"/>
      <c r="AN405" s="182"/>
      <c r="AO405" s="182"/>
      <c r="AP405" s="182"/>
      <c r="AQ405" s="185">
        <f t="shared" si="63"/>
        <v>8207.5</v>
      </c>
      <c r="AR405" s="182">
        <v>5484</v>
      </c>
      <c r="AS405" s="182">
        <v>746</v>
      </c>
      <c r="AT405" s="182">
        <v>1977.5</v>
      </c>
      <c r="AU405" s="182"/>
      <c r="AV405" s="182"/>
      <c r="AW405" s="182"/>
      <c r="AX405" s="182"/>
      <c r="AY405" s="182"/>
      <c r="AZ405" s="182"/>
      <c r="BA405" s="182"/>
      <c r="BB405" s="182"/>
      <c r="BC405" s="182"/>
      <c r="BD405" s="182"/>
      <c r="BE405" s="182"/>
      <c r="BF405" s="182"/>
      <c r="BG405" s="182"/>
      <c r="BH405" s="182"/>
      <c r="BI405" s="182"/>
      <c r="BJ405" s="182"/>
      <c r="BK405" s="182"/>
      <c r="BL405" s="182"/>
      <c r="BM405" s="182"/>
      <c r="BN405" s="182"/>
      <c r="BO405" s="182"/>
      <c r="BP405" s="182"/>
      <c r="BQ405" s="182"/>
      <c r="BR405" s="182"/>
      <c r="BS405" s="182"/>
      <c r="BT405" s="182"/>
      <c r="BU405" s="182"/>
      <c r="BV405" s="182"/>
      <c r="BW405" s="182"/>
      <c r="BX405" s="182"/>
      <c r="BY405" s="182"/>
      <c r="BZ405" s="182"/>
      <c r="CA405" s="182"/>
      <c r="CB405" s="185">
        <f t="shared" si="64"/>
        <v>8207.5</v>
      </c>
      <c r="CC405" s="185">
        <f t="shared" si="65"/>
        <v>0</v>
      </c>
      <c r="CD405" s="185">
        <f t="shared" si="66"/>
        <v>784</v>
      </c>
      <c r="CE405" s="185" t="e">
        <f>+#REF!</f>
        <v>#REF!</v>
      </c>
    </row>
    <row r="406" spans="2:83" s="197" customFormat="1" ht="37.5" x14ac:dyDescent="0.3">
      <c r="B406" s="182">
        <v>1957</v>
      </c>
      <c r="C406" s="182">
        <v>785</v>
      </c>
      <c r="D406" s="182" t="s">
        <v>121</v>
      </c>
      <c r="E406" s="181" t="s">
        <v>4678</v>
      </c>
      <c r="F406" s="182"/>
      <c r="G406" s="182">
        <v>24200.3</v>
      </c>
      <c r="H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  <c r="Z406" s="182"/>
      <c r="AA406" s="182"/>
      <c r="AB406" s="182"/>
      <c r="AC406" s="182"/>
      <c r="AD406" s="182"/>
      <c r="AE406" s="182"/>
      <c r="AF406" s="182"/>
      <c r="AG406" s="182"/>
      <c r="AH406" s="182"/>
      <c r="AI406" s="182"/>
      <c r="AJ406" s="182"/>
      <c r="AK406" s="182"/>
      <c r="AL406" s="182"/>
      <c r="AM406" s="182"/>
      <c r="AN406" s="182"/>
      <c r="AO406" s="182"/>
      <c r="AP406" s="182"/>
      <c r="AQ406" s="185">
        <f t="shared" si="63"/>
        <v>24200.3</v>
      </c>
      <c r="AR406" s="182">
        <v>19770</v>
      </c>
      <c r="AS406" s="182">
        <v>2464.6</v>
      </c>
      <c r="AT406" s="182">
        <v>1965.7</v>
      </c>
      <c r="AU406" s="182"/>
      <c r="AV406" s="182"/>
      <c r="AW406" s="182"/>
      <c r="AX406" s="182"/>
      <c r="AY406" s="182"/>
      <c r="AZ406" s="182"/>
      <c r="BA406" s="182"/>
      <c r="BB406" s="182"/>
      <c r="BC406" s="182"/>
      <c r="BD406" s="182"/>
      <c r="BE406" s="182"/>
      <c r="BF406" s="182"/>
      <c r="BG406" s="182"/>
      <c r="BH406" s="182"/>
      <c r="BI406" s="182"/>
      <c r="BJ406" s="182"/>
      <c r="BK406" s="182"/>
      <c r="BL406" s="182"/>
      <c r="BM406" s="182"/>
      <c r="BN406" s="182"/>
      <c r="BO406" s="182"/>
      <c r="BP406" s="182"/>
      <c r="BQ406" s="182"/>
      <c r="BR406" s="182"/>
      <c r="BS406" s="182"/>
      <c r="BT406" s="182"/>
      <c r="BU406" s="182"/>
      <c r="BV406" s="182"/>
      <c r="BW406" s="182"/>
      <c r="BX406" s="182"/>
      <c r="BY406" s="182"/>
      <c r="BZ406" s="182"/>
      <c r="CA406" s="182"/>
      <c r="CB406" s="185">
        <f t="shared" si="64"/>
        <v>24200.3</v>
      </c>
      <c r="CC406" s="185">
        <f t="shared" si="65"/>
        <v>0</v>
      </c>
      <c r="CD406" s="185">
        <f t="shared" si="66"/>
        <v>785</v>
      </c>
      <c r="CE406" s="185" t="e">
        <f>+#REF!</f>
        <v>#REF!</v>
      </c>
    </row>
    <row r="407" spans="2:83" s="197" customFormat="1" ht="37.5" x14ac:dyDescent="0.3">
      <c r="B407" s="182">
        <v>1956</v>
      </c>
      <c r="C407" s="182">
        <v>786</v>
      </c>
      <c r="D407" s="182" t="s">
        <v>121</v>
      </c>
      <c r="E407" s="181" t="s">
        <v>4679</v>
      </c>
      <c r="F407" s="182"/>
      <c r="G407" s="182">
        <v>938</v>
      </c>
      <c r="H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2"/>
      <c r="AH407" s="182"/>
      <c r="AI407" s="182"/>
      <c r="AJ407" s="182"/>
      <c r="AK407" s="182"/>
      <c r="AL407" s="182"/>
      <c r="AM407" s="182"/>
      <c r="AN407" s="182"/>
      <c r="AO407" s="182"/>
      <c r="AP407" s="182"/>
      <c r="AQ407" s="185">
        <f t="shared" si="63"/>
        <v>938</v>
      </c>
      <c r="AR407" s="182">
        <v>627.35</v>
      </c>
      <c r="AS407" s="182">
        <v>84.65</v>
      </c>
      <c r="AT407" s="182">
        <v>226</v>
      </c>
      <c r="AU407" s="182"/>
      <c r="AV407" s="182"/>
      <c r="AW407" s="182"/>
      <c r="AX407" s="182"/>
      <c r="AY407" s="182"/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182"/>
      <c r="BK407" s="182"/>
      <c r="BL407" s="182"/>
      <c r="BM407" s="182"/>
      <c r="BN407" s="182"/>
      <c r="BO407" s="182"/>
      <c r="BP407" s="182"/>
      <c r="BQ407" s="182"/>
      <c r="BR407" s="182"/>
      <c r="BS407" s="182"/>
      <c r="BT407" s="182"/>
      <c r="BU407" s="182"/>
      <c r="BV407" s="182"/>
      <c r="BW407" s="182"/>
      <c r="BX407" s="182"/>
      <c r="BY407" s="182"/>
      <c r="BZ407" s="182"/>
      <c r="CA407" s="182"/>
      <c r="CB407" s="185">
        <f t="shared" si="64"/>
        <v>938</v>
      </c>
      <c r="CC407" s="185">
        <f t="shared" si="65"/>
        <v>0</v>
      </c>
      <c r="CD407" s="185">
        <f t="shared" si="66"/>
        <v>786</v>
      </c>
      <c r="CE407" s="185" t="e">
        <f>+#REF!</f>
        <v>#REF!</v>
      </c>
    </row>
    <row r="408" spans="2:83" s="197" customFormat="1" ht="37.5" x14ac:dyDescent="0.3">
      <c r="B408" s="182">
        <v>1955</v>
      </c>
      <c r="C408" s="182">
        <v>787</v>
      </c>
      <c r="D408" s="182" t="s">
        <v>121</v>
      </c>
      <c r="E408" s="181" t="s">
        <v>4680</v>
      </c>
      <c r="F408" s="182"/>
      <c r="G408" s="182">
        <v>5000</v>
      </c>
      <c r="H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182"/>
      <c r="AI408" s="182"/>
      <c r="AJ408" s="182"/>
      <c r="AK408" s="182"/>
      <c r="AL408" s="182"/>
      <c r="AM408" s="182"/>
      <c r="AN408" s="182"/>
      <c r="AO408" s="182"/>
      <c r="AP408" s="182"/>
      <c r="AQ408" s="185">
        <f t="shared" si="63"/>
        <v>5000</v>
      </c>
      <c r="AR408" s="182">
        <v>4462.8500000000004</v>
      </c>
      <c r="AS408" s="182">
        <v>537.15</v>
      </c>
      <c r="AT408" s="182"/>
      <c r="AU408" s="182"/>
      <c r="AV408" s="182"/>
      <c r="AW408" s="182"/>
      <c r="AX408" s="182"/>
      <c r="AY408" s="182"/>
      <c r="AZ408" s="182"/>
      <c r="BA408" s="182"/>
      <c r="BB408" s="182"/>
      <c r="BC408" s="182"/>
      <c r="BD408" s="182"/>
      <c r="BE408" s="182"/>
      <c r="BF408" s="182"/>
      <c r="BG408" s="182"/>
      <c r="BH408" s="182"/>
      <c r="BI408" s="182"/>
      <c r="BJ408" s="182"/>
      <c r="BK408" s="182"/>
      <c r="BL408" s="182"/>
      <c r="BM408" s="182"/>
      <c r="BN408" s="182"/>
      <c r="BO408" s="182"/>
      <c r="BP408" s="182"/>
      <c r="BQ408" s="182"/>
      <c r="BR408" s="182"/>
      <c r="BS408" s="182"/>
      <c r="BT408" s="182"/>
      <c r="BU408" s="182"/>
      <c r="BV408" s="182"/>
      <c r="BW408" s="182"/>
      <c r="BX408" s="182"/>
      <c r="BY408" s="182"/>
      <c r="BZ408" s="182"/>
      <c r="CA408" s="182"/>
      <c r="CB408" s="185">
        <f t="shared" si="64"/>
        <v>5000</v>
      </c>
      <c r="CC408" s="185">
        <f t="shared" si="65"/>
        <v>0</v>
      </c>
      <c r="CD408" s="185">
        <f t="shared" si="66"/>
        <v>787</v>
      </c>
      <c r="CE408" s="185" t="e">
        <f>+#REF!</f>
        <v>#REF!</v>
      </c>
    </row>
    <row r="409" spans="2:83" s="197" customFormat="1" ht="37.5" x14ac:dyDescent="0.3">
      <c r="B409" s="182">
        <v>1954</v>
      </c>
      <c r="C409" s="182">
        <v>788</v>
      </c>
      <c r="D409" s="182" t="s">
        <v>121</v>
      </c>
      <c r="E409" s="181" t="s">
        <v>4681</v>
      </c>
      <c r="F409" s="182"/>
      <c r="G409" s="182">
        <v>29687.7</v>
      </c>
      <c r="H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  <c r="Z409" s="182"/>
      <c r="AA409" s="182"/>
      <c r="AB409" s="182"/>
      <c r="AC409" s="182"/>
      <c r="AD409" s="182"/>
      <c r="AE409" s="182"/>
      <c r="AF409" s="182"/>
      <c r="AG409" s="182"/>
      <c r="AH409" s="182"/>
      <c r="AI409" s="182"/>
      <c r="AJ409" s="182"/>
      <c r="AK409" s="182"/>
      <c r="AL409" s="182"/>
      <c r="AM409" s="182"/>
      <c r="AN409" s="182"/>
      <c r="AO409" s="182"/>
      <c r="AP409" s="182"/>
      <c r="AQ409" s="185">
        <f t="shared" si="63"/>
        <v>29687.7</v>
      </c>
      <c r="AR409" s="182">
        <v>19838.650000000001</v>
      </c>
      <c r="AS409" s="182">
        <v>2696.15</v>
      </c>
      <c r="AT409" s="182">
        <v>7152.9</v>
      </c>
      <c r="AU409" s="182"/>
      <c r="AV409" s="182"/>
      <c r="AW409" s="182"/>
      <c r="AX409" s="182"/>
      <c r="AY409" s="182"/>
      <c r="AZ409" s="182"/>
      <c r="BA409" s="182"/>
      <c r="BB409" s="182"/>
      <c r="BC409" s="182"/>
      <c r="BD409" s="182"/>
      <c r="BE409" s="182"/>
      <c r="BF409" s="182"/>
      <c r="BG409" s="182"/>
      <c r="BH409" s="182"/>
      <c r="BI409" s="182"/>
      <c r="BJ409" s="182"/>
      <c r="BK409" s="182"/>
      <c r="BL409" s="182"/>
      <c r="BM409" s="182"/>
      <c r="BN409" s="182"/>
      <c r="BO409" s="182"/>
      <c r="BP409" s="182"/>
      <c r="BQ409" s="182"/>
      <c r="BR409" s="182"/>
      <c r="BS409" s="182"/>
      <c r="BT409" s="182"/>
      <c r="BU409" s="182"/>
      <c r="BV409" s="182"/>
      <c r="BW409" s="182"/>
      <c r="BX409" s="182"/>
      <c r="BY409" s="182"/>
      <c r="BZ409" s="182"/>
      <c r="CA409" s="182"/>
      <c r="CB409" s="185">
        <f t="shared" si="64"/>
        <v>29687.700000000004</v>
      </c>
      <c r="CC409" s="185">
        <f t="shared" si="65"/>
        <v>0</v>
      </c>
      <c r="CD409" s="185">
        <f t="shared" si="66"/>
        <v>788</v>
      </c>
      <c r="CE409" s="185" t="e">
        <f>+#REF!</f>
        <v>#REF!</v>
      </c>
    </row>
    <row r="410" spans="2:83" s="197" customFormat="1" ht="37.5" x14ac:dyDescent="0.3">
      <c r="B410" s="182">
        <v>1953</v>
      </c>
      <c r="C410" s="182">
        <v>789</v>
      </c>
      <c r="D410" s="182" t="s">
        <v>121</v>
      </c>
      <c r="E410" s="181" t="s">
        <v>4681</v>
      </c>
      <c r="F410" s="182"/>
      <c r="G410" s="182">
        <v>28788</v>
      </c>
      <c r="H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  <c r="Z410" s="182"/>
      <c r="AA410" s="182"/>
      <c r="AB410" s="182"/>
      <c r="AC410" s="182"/>
      <c r="AD410" s="182"/>
      <c r="AE410" s="182"/>
      <c r="AF410" s="182"/>
      <c r="AG410" s="182"/>
      <c r="AH410" s="182"/>
      <c r="AI410" s="182"/>
      <c r="AJ410" s="182"/>
      <c r="AK410" s="182"/>
      <c r="AL410" s="182"/>
      <c r="AM410" s="182"/>
      <c r="AN410" s="182"/>
      <c r="AO410" s="182"/>
      <c r="AP410" s="182"/>
      <c r="AQ410" s="185">
        <f t="shared" si="63"/>
        <v>28788</v>
      </c>
      <c r="AR410" s="182">
        <v>20224.55</v>
      </c>
      <c r="AS410" s="182">
        <v>2687.45</v>
      </c>
      <c r="AT410" s="182">
        <v>5876</v>
      </c>
      <c r="AU410" s="182"/>
      <c r="AV410" s="182"/>
      <c r="AW410" s="182"/>
      <c r="AX410" s="182"/>
      <c r="AY410" s="182"/>
      <c r="AZ410" s="182"/>
      <c r="BA410" s="182"/>
      <c r="BB410" s="182"/>
      <c r="BC410" s="182"/>
      <c r="BD410" s="182"/>
      <c r="BE410" s="182"/>
      <c r="BF410" s="182"/>
      <c r="BG410" s="182"/>
      <c r="BH410" s="182"/>
      <c r="BI410" s="182"/>
      <c r="BJ410" s="182"/>
      <c r="BK410" s="182"/>
      <c r="BL410" s="182"/>
      <c r="BM410" s="182"/>
      <c r="BN410" s="182"/>
      <c r="BO410" s="182"/>
      <c r="BP410" s="182"/>
      <c r="BQ410" s="182"/>
      <c r="BR410" s="182"/>
      <c r="BS410" s="182"/>
      <c r="BT410" s="182"/>
      <c r="BU410" s="182"/>
      <c r="BV410" s="182"/>
      <c r="BW410" s="182"/>
      <c r="BX410" s="182"/>
      <c r="BY410" s="182"/>
      <c r="BZ410" s="182"/>
      <c r="CA410" s="182"/>
      <c r="CB410" s="185">
        <f t="shared" si="64"/>
        <v>28788</v>
      </c>
      <c r="CC410" s="185">
        <f t="shared" si="65"/>
        <v>0</v>
      </c>
      <c r="CD410" s="185">
        <f t="shared" si="66"/>
        <v>789</v>
      </c>
      <c r="CE410" s="185" t="e">
        <f>+#REF!</f>
        <v>#REF!</v>
      </c>
    </row>
    <row r="411" spans="2:83" s="197" customFormat="1" ht="37.5" x14ac:dyDescent="0.3">
      <c r="B411" s="182">
        <v>1952</v>
      </c>
      <c r="C411" s="182">
        <v>790</v>
      </c>
      <c r="D411" s="182" t="s">
        <v>121</v>
      </c>
      <c r="E411" s="181" t="s">
        <v>4682</v>
      </c>
      <c r="F411" s="182"/>
      <c r="G411" s="182">
        <v>1500</v>
      </c>
      <c r="H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  <c r="Z411" s="182"/>
      <c r="AA411" s="182"/>
      <c r="AB411" s="182"/>
      <c r="AC411" s="182"/>
      <c r="AD411" s="182"/>
      <c r="AE411" s="182"/>
      <c r="AF411" s="182"/>
      <c r="AG411" s="182"/>
      <c r="AH411" s="182"/>
      <c r="AI411" s="182"/>
      <c r="AJ411" s="182"/>
      <c r="AK411" s="182"/>
      <c r="AL411" s="182"/>
      <c r="AM411" s="182"/>
      <c r="AN411" s="182"/>
      <c r="AO411" s="182"/>
      <c r="AP411" s="182"/>
      <c r="AQ411" s="185">
        <f t="shared" si="63"/>
        <v>1500</v>
      </c>
      <c r="AR411" s="182">
        <v>1341.15</v>
      </c>
      <c r="AS411" s="182">
        <v>158.85</v>
      </c>
      <c r="AT411" s="182"/>
      <c r="AU411" s="182"/>
      <c r="AV411" s="182"/>
      <c r="AW411" s="182"/>
      <c r="AX411" s="182"/>
      <c r="AY411" s="182"/>
      <c r="AZ411" s="182"/>
      <c r="BA411" s="182"/>
      <c r="BB411" s="182"/>
      <c r="BC411" s="182"/>
      <c r="BD411" s="182"/>
      <c r="BE411" s="182"/>
      <c r="BF411" s="182"/>
      <c r="BG411" s="182"/>
      <c r="BH411" s="182"/>
      <c r="BI411" s="182"/>
      <c r="BJ411" s="182"/>
      <c r="BK411" s="182"/>
      <c r="BL411" s="182"/>
      <c r="BM411" s="182"/>
      <c r="BN411" s="182"/>
      <c r="BO411" s="182"/>
      <c r="BP411" s="182"/>
      <c r="BQ411" s="182"/>
      <c r="BR411" s="182"/>
      <c r="BS411" s="182"/>
      <c r="BT411" s="182"/>
      <c r="BU411" s="182"/>
      <c r="BV411" s="182"/>
      <c r="BW411" s="182"/>
      <c r="BX411" s="182"/>
      <c r="BY411" s="182"/>
      <c r="BZ411" s="182"/>
      <c r="CA411" s="182"/>
      <c r="CB411" s="185">
        <f t="shared" si="64"/>
        <v>1500</v>
      </c>
      <c r="CC411" s="185">
        <f t="shared" si="65"/>
        <v>0</v>
      </c>
      <c r="CD411" s="185">
        <f t="shared" si="66"/>
        <v>790</v>
      </c>
      <c r="CE411" s="185" t="e">
        <f>+#REF!</f>
        <v>#REF!</v>
      </c>
    </row>
    <row r="412" spans="2:83" s="197" customFormat="1" ht="37.5" x14ac:dyDescent="0.3">
      <c r="B412" s="182">
        <v>1951</v>
      </c>
      <c r="C412" s="182">
        <v>791</v>
      </c>
      <c r="D412" s="182" t="s">
        <v>121</v>
      </c>
      <c r="E412" s="181" t="s">
        <v>4682</v>
      </c>
      <c r="F412" s="182"/>
      <c r="G412" s="182">
        <v>3000</v>
      </c>
      <c r="H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  <c r="Z412" s="182"/>
      <c r="AA412" s="182"/>
      <c r="AB412" s="182"/>
      <c r="AC412" s="182"/>
      <c r="AD412" s="182"/>
      <c r="AE412" s="182"/>
      <c r="AF412" s="182"/>
      <c r="AG412" s="182"/>
      <c r="AH412" s="182"/>
      <c r="AI412" s="182"/>
      <c r="AJ412" s="182"/>
      <c r="AK412" s="182"/>
      <c r="AL412" s="182"/>
      <c r="AM412" s="182"/>
      <c r="AN412" s="182"/>
      <c r="AO412" s="182"/>
      <c r="AP412" s="182"/>
      <c r="AQ412" s="185">
        <f t="shared" si="63"/>
        <v>3000</v>
      </c>
      <c r="AR412" s="182">
        <v>2682.3</v>
      </c>
      <c r="AS412" s="182">
        <v>317.7</v>
      </c>
      <c r="AT412" s="182"/>
      <c r="AU412" s="182"/>
      <c r="AV412" s="182"/>
      <c r="AW412" s="182"/>
      <c r="AX412" s="182"/>
      <c r="AY412" s="182"/>
      <c r="AZ412" s="182"/>
      <c r="BA412" s="182"/>
      <c r="BB412" s="182"/>
      <c r="BC412" s="182"/>
      <c r="BD412" s="182"/>
      <c r="BE412" s="182"/>
      <c r="BF412" s="182"/>
      <c r="BG412" s="182"/>
      <c r="BH412" s="182"/>
      <c r="BI412" s="182"/>
      <c r="BJ412" s="182"/>
      <c r="BK412" s="182"/>
      <c r="BL412" s="182"/>
      <c r="BM412" s="182"/>
      <c r="BN412" s="182"/>
      <c r="BO412" s="182"/>
      <c r="BP412" s="182"/>
      <c r="BQ412" s="182"/>
      <c r="BR412" s="182"/>
      <c r="BS412" s="182"/>
      <c r="BT412" s="182"/>
      <c r="BU412" s="182"/>
      <c r="BV412" s="182"/>
      <c r="BW412" s="182"/>
      <c r="BX412" s="182"/>
      <c r="BY412" s="182"/>
      <c r="BZ412" s="182"/>
      <c r="CA412" s="182"/>
      <c r="CB412" s="185">
        <f t="shared" si="64"/>
        <v>3000</v>
      </c>
      <c r="CC412" s="185">
        <f t="shared" si="65"/>
        <v>0</v>
      </c>
      <c r="CD412" s="185">
        <f t="shared" si="66"/>
        <v>791</v>
      </c>
      <c r="CE412" s="185" t="e">
        <f>+#REF!</f>
        <v>#REF!</v>
      </c>
    </row>
    <row r="413" spans="2:83" s="197" customFormat="1" ht="56.25" x14ac:dyDescent="0.3">
      <c r="B413" s="182">
        <v>981</v>
      </c>
      <c r="C413" s="182">
        <v>792</v>
      </c>
      <c r="D413" s="182" t="s">
        <v>4683</v>
      </c>
      <c r="E413" s="181" t="s">
        <v>4684</v>
      </c>
      <c r="F413" s="182"/>
      <c r="G413" s="182">
        <v>703.5</v>
      </c>
      <c r="H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  <c r="Z413" s="182"/>
      <c r="AA413" s="182"/>
      <c r="AB413" s="182"/>
      <c r="AC413" s="182"/>
      <c r="AD413" s="182"/>
      <c r="AE413" s="182"/>
      <c r="AF413" s="182"/>
      <c r="AG413" s="182"/>
      <c r="AH413" s="182"/>
      <c r="AI413" s="182"/>
      <c r="AJ413" s="182"/>
      <c r="AK413" s="182"/>
      <c r="AL413" s="182"/>
      <c r="AM413" s="182"/>
      <c r="AN413" s="182"/>
      <c r="AO413" s="182"/>
      <c r="AP413" s="182"/>
      <c r="AQ413" s="185">
        <f t="shared" si="63"/>
        <v>703.5</v>
      </c>
      <c r="AR413" s="182">
        <v>440.6</v>
      </c>
      <c r="AS413" s="182">
        <v>63.4</v>
      </c>
      <c r="AT413" s="182">
        <v>169.5</v>
      </c>
      <c r="AU413" s="182">
        <v>30</v>
      </c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182"/>
      <c r="BK413" s="182"/>
      <c r="BL413" s="182"/>
      <c r="BM413" s="182"/>
      <c r="BN413" s="182"/>
      <c r="BO413" s="182"/>
      <c r="BP413" s="182"/>
      <c r="BQ413" s="182"/>
      <c r="BR413" s="182"/>
      <c r="BS413" s="182"/>
      <c r="BT413" s="182"/>
      <c r="BU413" s="182"/>
      <c r="BV413" s="182"/>
      <c r="BW413" s="182"/>
      <c r="BX413" s="182"/>
      <c r="BY413" s="182"/>
      <c r="BZ413" s="182"/>
      <c r="CA413" s="182"/>
      <c r="CB413" s="185">
        <f t="shared" si="64"/>
        <v>703.5</v>
      </c>
      <c r="CC413" s="185">
        <f t="shared" si="65"/>
        <v>0</v>
      </c>
      <c r="CD413" s="185">
        <f t="shared" si="66"/>
        <v>792</v>
      </c>
      <c r="CE413" s="185" t="e">
        <f>+#REF!</f>
        <v>#REF!</v>
      </c>
    </row>
    <row r="414" spans="2:83" s="197" customFormat="1" ht="56.25" x14ac:dyDescent="0.3">
      <c r="B414" s="182">
        <v>982</v>
      </c>
      <c r="C414" s="182">
        <v>793</v>
      </c>
      <c r="D414" s="182" t="s">
        <v>4683</v>
      </c>
      <c r="E414" s="181" t="s">
        <v>4684</v>
      </c>
      <c r="F414" s="182"/>
      <c r="G414" s="182">
        <v>586.25</v>
      </c>
      <c r="H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/>
      <c r="AH414" s="182"/>
      <c r="AI414" s="182"/>
      <c r="AJ414" s="182"/>
      <c r="AK414" s="182"/>
      <c r="AL414" s="182"/>
      <c r="AM414" s="182"/>
      <c r="AN414" s="182"/>
      <c r="AO414" s="182"/>
      <c r="AP414" s="182"/>
      <c r="AQ414" s="185">
        <f t="shared" si="63"/>
        <v>586.25</v>
      </c>
      <c r="AR414" s="182">
        <v>367.4</v>
      </c>
      <c r="AS414" s="182">
        <v>52.6</v>
      </c>
      <c r="AT414" s="182">
        <v>141.25</v>
      </c>
      <c r="AU414" s="182">
        <v>25</v>
      </c>
      <c r="AV414" s="182"/>
      <c r="AW414" s="182"/>
      <c r="AX414" s="182"/>
      <c r="AY414" s="182"/>
      <c r="AZ414" s="182"/>
      <c r="BA414" s="182"/>
      <c r="BB414" s="182"/>
      <c r="BC414" s="182"/>
      <c r="BD414" s="182"/>
      <c r="BE414" s="182"/>
      <c r="BF414" s="182"/>
      <c r="BG414" s="182"/>
      <c r="BH414" s="182"/>
      <c r="BI414" s="182"/>
      <c r="BJ414" s="182"/>
      <c r="BK414" s="182"/>
      <c r="BL414" s="182"/>
      <c r="BM414" s="182"/>
      <c r="BN414" s="182"/>
      <c r="BO414" s="182"/>
      <c r="BP414" s="182"/>
      <c r="BQ414" s="182"/>
      <c r="BR414" s="182"/>
      <c r="BS414" s="182"/>
      <c r="BT414" s="182"/>
      <c r="BU414" s="182"/>
      <c r="BV414" s="182"/>
      <c r="BW414" s="182"/>
      <c r="BX414" s="182"/>
      <c r="BY414" s="182"/>
      <c r="BZ414" s="182"/>
      <c r="CA414" s="182"/>
      <c r="CB414" s="185">
        <f t="shared" si="64"/>
        <v>586.25</v>
      </c>
      <c r="CC414" s="185">
        <f t="shared" si="65"/>
        <v>0</v>
      </c>
      <c r="CD414" s="185">
        <f t="shared" si="66"/>
        <v>793</v>
      </c>
      <c r="CE414" s="185" t="e">
        <f>+#REF!</f>
        <v>#REF!</v>
      </c>
    </row>
    <row r="415" spans="2:83" s="197" customFormat="1" ht="56.25" x14ac:dyDescent="0.3">
      <c r="B415" s="182">
        <v>983</v>
      </c>
      <c r="C415" s="182">
        <v>794</v>
      </c>
      <c r="D415" s="182" t="s">
        <v>4683</v>
      </c>
      <c r="E415" s="181" t="s">
        <v>4684</v>
      </c>
      <c r="F415" s="182"/>
      <c r="G415" s="182">
        <v>10200.75</v>
      </c>
      <c r="H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  <c r="Z415" s="182"/>
      <c r="AA415" s="182"/>
      <c r="AB415" s="182"/>
      <c r="AC415" s="182"/>
      <c r="AD415" s="182"/>
      <c r="AE415" s="182"/>
      <c r="AF415" s="182"/>
      <c r="AG415" s="182"/>
      <c r="AH415" s="182"/>
      <c r="AI415" s="182"/>
      <c r="AJ415" s="182"/>
      <c r="AK415" s="182"/>
      <c r="AL415" s="182"/>
      <c r="AM415" s="182"/>
      <c r="AN415" s="182"/>
      <c r="AO415" s="182"/>
      <c r="AP415" s="182"/>
      <c r="AQ415" s="185">
        <f t="shared" si="63"/>
        <v>10200.75</v>
      </c>
      <c r="AR415" s="182">
        <v>6389.75</v>
      </c>
      <c r="AS415" s="182">
        <v>918.25</v>
      </c>
      <c r="AT415" s="182">
        <v>2457.75</v>
      </c>
      <c r="AU415" s="182">
        <v>435</v>
      </c>
      <c r="AV415" s="182"/>
      <c r="AW415" s="182"/>
      <c r="AX415" s="182"/>
      <c r="AY415" s="182"/>
      <c r="AZ415" s="182"/>
      <c r="BA415" s="182"/>
      <c r="BB415" s="182"/>
      <c r="BC415" s="182"/>
      <c r="BD415" s="182"/>
      <c r="BE415" s="182"/>
      <c r="BF415" s="182"/>
      <c r="BG415" s="182"/>
      <c r="BH415" s="182"/>
      <c r="BI415" s="182"/>
      <c r="BJ415" s="182"/>
      <c r="BK415" s="182"/>
      <c r="BL415" s="182"/>
      <c r="BM415" s="182"/>
      <c r="BN415" s="182"/>
      <c r="BO415" s="182"/>
      <c r="BP415" s="182"/>
      <c r="BQ415" s="182"/>
      <c r="BR415" s="182"/>
      <c r="BS415" s="182"/>
      <c r="BT415" s="182"/>
      <c r="BU415" s="182"/>
      <c r="BV415" s="182"/>
      <c r="BW415" s="182"/>
      <c r="BX415" s="182"/>
      <c r="BY415" s="182"/>
      <c r="BZ415" s="182"/>
      <c r="CA415" s="182"/>
      <c r="CB415" s="185">
        <f t="shared" si="64"/>
        <v>10200.75</v>
      </c>
      <c r="CC415" s="185">
        <f t="shared" si="65"/>
        <v>0</v>
      </c>
      <c r="CD415" s="185">
        <f t="shared" si="66"/>
        <v>794</v>
      </c>
      <c r="CE415" s="185" t="e">
        <f>+#REF!</f>
        <v>#REF!</v>
      </c>
    </row>
    <row r="416" spans="2:83" s="197" customFormat="1" ht="56.25" x14ac:dyDescent="0.3">
      <c r="B416" s="182">
        <v>984</v>
      </c>
      <c r="C416" s="182">
        <v>795</v>
      </c>
      <c r="D416" s="182" t="s">
        <v>4683</v>
      </c>
      <c r="E416" s="181" t="s">
        <v>4684</v>
      </c>
      <c r="F416" s="182"/>
      <c r="G416" s="182">
        <v>750</v>
      </c>
      <c r="H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  <c r="Z416" s="182"/>
      <c r="AA416" s="182"/>
      <c r="AB416" s="182"/>
      <c r="AC416" s="182"/>
      <c r="AD416" s="182"/>
      <c r="AE416" s="182"/>
      <c r="AF416" s="182"/>
      <c r="AG416" s="182"/>
      <c r="AH416" s="182"/>
      <c r="AI416" s="182"/>
      <c r="AJ416" s="182"/>
      <c r="AK416" s="182"/>
      <c r="AL416" s="182"/>
      <c r="AM416" s="182"/>
      <c r="AN416" s="182"/>
      <c r="AO416" s="182"/>
      <c r="AP416" s="182"/>
      <c r="AQ416" s="185">
        <f t="shared" si="63"/>
        <v>750</v>
      </c>
      <c r="AR416" s="182">
        <v>632.6</v>
      </c>
      <c r="AS416" s="182">
        <v>79.900000000000006</v>
      </c>
      <c r="AT416" s="182"/>
      <c r="AU416" s="182">
        <v>37.5</v>
      </c>
      <c r="AV416" s="182"/>
      <c r="AW416" s="182"/>
      <c r="AX416" s="182"/>
      <c r="AY416" s="182"/>
      <c r="AZ416" s="182"/>
      <c r="BA416" s="182"/>
      <c r="BB416" s="182"/>
      <c r="BC416" s="182"/>
      <c r="BD416" s="182"/>
      <c r="BE416" s="182"/>
      <c r="BF416" s="182"/>
      <c r="BG416" s="182"/>
      <c r="BH416" s="182"/>
      <c r="BI416" s="182"/>
      <c r="BJ416" s="182"/>
      <c r="BK416" s="182"/>
      <c r="BL416" s="182"/>
      <c r="BM416" s="182"/>
      <c r="BN416" s="182"/>
      <c r="BO416" s="182"/>
      <c r="BP416" s="182"/>
      <c r="BQ416" s="182"/>
      <c r="BR416" s="182"/>
      <c r="BS416" s="182"/>
      <c r="BT416" s="182"/>
      <c r="BU416" s="182"/>
      <c r="BV416" s="182"/>
      <c r="BW416" s="182"/>
      <c r="BX416" s="182"/>
      <c r="BY416" s="182"/>
      <c r="BZ416" s="182"/>
      <c r="CA416" s="182"/>
      <c r="CB416" s="185">
        <f t="shared" si="64"/>
        <v>750</v>
      </c>
      <c r="CC416" s="185">
        <f t="shared" si="65"/>
        <v>0</v>
      </c>
      <c r="CD416" s="185">
        <f t="shared" si="66"/>
        <v>795</v>
      </c>
      <c r="CE416" s="185" t="e">
        <f>+#REF!</f>
        <v>#REF!</v>
      </c>
    </row>
    <row r="417" spans="2:83" s="197" customFormat="1" ht="56.25" x14ac:dyDescent="0.3">
      <c r="B417" s="182">
        <v>988</v>
      </c>
      <c r="C417" s="182">
        <v>796</v>
      </c>
      <c r="D417" s="182" t="s">
        <v>4683</v>
      </c>
      <c r="E417" s="181" t="s">
        <v>4684</v>
      </c>
      <c r="F417" s="182"/>
      <c r="G417" s="182">
        <v>44840.69</v>
      </c>
      <c r="H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  <c r="Z417" s="182"/>
      <c r="AA417" s="182"/>
      <c r="AB417" s="182"/>
      <c r="AC417" s="182"/>
      <c r="AD417" s="182"/>
      <c r="AE417" s="182"/>
      <c r="AF417" s="182"/>
      <c r="AG417" s="182"/>
      <c r="AH417" s="182"/>
      <c r="AI417" s="182"/>
      <c r="AJ417" s="182"/>
      <c r="AK417" s="182"/>
      <c r="AL417" s="182"/>
      <c r="AM417" s="182"/>
      <c r="AN417" s="182"/>
      <c r="AO417" s="182"/>
      <c r="AP417" s="182"/>
      <c r="AQ417" s="185">
        <f t="shared" si="63"/>
        <v>44840.69</v>
      </c>
      <c r="AR417" s="182">
        <v>28467.71</v>
      </c>
      <c r="AS417" s="182">
        <v>4063.95</v>
      </c>
      <c r="AT417" s="182">
        <v>10384.030000000001</v>
      </c>
      <c r="AU417" s="182">
        <v>1925</v>
      </c>
      <c r="AV417" s="182"/>
      <c r="AW417" s="182"/>
      <c r="AX417" s="182"/>
      <c r="AY417" s="182"/>
      <c r="AZ417" s="182"/>
      <c r="BA417" s="182"/>
      <c r="BB417" s="182"/>
      <c r="BC417" s="182"/>
      <c r="BD417" s="182"/>
      <c r="BE417" s="182"/>
      <c r="BF417" s="182"/>
      <c r="BG417" s="182"/>
      <c r="BH417" s="182"/>
      <c r="BI417" s="182"/>
      <c r="BJ417" s="182"/>
      <c r="BK417" s="182"/>
      <c r="BL417" s="182"/>
      <c r="BM417" s="182"/>
      <c r="BN417" s="182"/>
      <c r="BO417" s="182"/>
      <c r="BP417" s="182"/>
      <c r="BQ417" s="182"/>
      <c r="BR417" s="182"/>
      <c r="BS417" s="182"/>
      <c r="BT417" s="182"/>
      <c r="BU417" s="182"/>
      <c r="BV417" s="182"/>
      <c r="BW417" s="182"/>
      <c r="BX417" s="182"/>
      <c r="BY417" s="182"/>
      <c r="BZ417" s="182"/>
      <c r="CA417" s="182"/>
      <c r="CB417" s="185">
        <f t="shared" si="64"/>
        <v>44840.69</v>
      </c>
      <c r="CC417" s="185">
        <f t="shared" si="65"/>
        <v>0</v>
      </c>
      <c r="CD417" s="185">
        <f t="shared" si="66"/>
        <v>796</v>
      </c>
      <c r="CE417" s="185" t="e">
        <f>+#REF!</f>
        <v>#REF!</v>
      </c>
    </row>
    <row r="418" spans="2:83" s="197" customFormat="1" ht="56.25" x14ac:dyDescent="0.3">
      <c r="B418" s="182">
        <v>987</v>
      </c>
      <c r="C418" s="182">
        <v>797</v>
      </c>
      <c r="D418" s="182" t="s">
        <v>4683</v>
      </c>
      <c r="E418" s="181" t="s">
        <v>4684</v>
      </c>
      <c r="F418" s="182"/>
      <c r="G418" s="182">
        <v>1172.5</v>
      </c>
      <c r="H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  <c r="Z418" s="182"/>
      <c r="AA418" s="182"/>
      <c r="AB418" s="182"/>
      <c r="AC418" s="182"/>
      <c r="AD418" s="182"/>
      <c r="AE418" s="182"/>
      <c r="AF418" s="182"/>
      <c r="AG418" s="182"/>
      <c r="AH418" s="182"/>
      <c r="AI418" s="182"/>
      <c r="AJ418" s="182"/>
      <c r="AK418" s="182"/>
      <c r="AL418" s="182"/>
      <c r="AM418" s="182"/>
      <c r="AN418" s="182"/>
      <c r="AO418" s="182"/>
      <c r="AP418" s="182"/>
      <c r="AQ418" s="185">
        <f t="shared" si="63"/>
        <v>1172.5</v>
      </c>
      <c r="AR418" s="182">
        <v>734.8</v>
      </c>
      <c r="AS418" s="182">
        <v>105.2</v>
      </c>
      <c r="AT418" s="182">
        <v>282.5</v>
      </c>
      <c r="AU418" s="182">
        <v>50</v>
      </c>
      <c r="AV418" s="182"/>
      <c r="AW418" s="182"/>
      <c r="AX418" s="182"/>
      <c r="AY418" s="182"/>
      <c r="AZ418" s="182"/>
      <c r="BA418" s="182"/>
      <c r="BB418" s="182"/>
      <c r="BC418" s="182"/>
      <c r="BD418" s="182"/>
      <c r="BE418" s="182"/>
      <c r="BF418" s="182"/>
      <c r="BG418" s="182"/>
      <c r="BH418" s="182"/>
      <c r="BI418" s="182"/>
      <c r="BJ418" s="182"/>
      <c r="BK418" s="182"/>
      <c r="BL418" s="182"/>
      <c r="BM418" s="182"/>
      <c r="BN418" s="182"/>
      <c r="BO418" s="182"/>
      <c r="BP418" s="182"/>
      <c r="BQ418" s="182"/>
      <c r="BR418" s="182"/>
      <c r="BS418" s="182"/>
      <c r="BT418" s="182"/>
      <c r="BU418" s="182"/>
      <c r="BV418" s="182"/>
      <c r="BW418" s="182"/>
      <c r="BX418" s="182"/>
      <c r="BY418" s="182"/>
      <c r="BZ418" s="182"/>
      <c r="CA418" s="182"/>
      <c r="CB418" s="185">
        <f t="shared" si="64"/>
        <v>1172.5</v>
      </c>
      <c r="CC418" s="185">
        <f t="shared" si="65"/>
        <v>0</v>
      </c>
      <c r="CD418" s="185">
        <f t="shared" si="66"/>
        <v>797</v>
      </c>
      <c r="CE418" s="185" t="e">
        <f>+#REF!</f>
        <v>#REF!</v>
      </c>
    </row>
    <row r="419" spans="2:83" s="197" customFormat="1" ht="56.25" x14ac:dyDescent="0.3">
      <c r="B419" s="182">
        <v>985</v>
      </c>
      <c r="C419" s="182">
        <v>798</v>
      </c>
      <c r="D419" s="182" t="s">
        <v>4683</v>
      </c>
      <c r="E419" s="181" t="s">
        <v>4684</v>
      </c>
      <c r="F419" s="182"/>
      <c r="G419" s="182">
        <v>1524.25</v>
      </c>
      <c r="H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182"/>
      <c r="AI419" s="182"/>
      <c r="AJ419" s="182"/>
      <c r="AK419" s="182"/>
      <c r="AL419" s="182"/>
      <c r="AM419" s="182"/>
      <c r="AN419" s="182"/>
      <c r="AO419" s="182"/>
      <c r="AP419" s="182"/>
      <c r="AQ419" s="185">
        <f t="shared" si="63"/>
        <v>1524.25</v>
      </c>
      <c r="AR419" s="182">
        <v>954.55</v>
      </c>
      <c r="AS419" s="182">
        <v>137.44999999999999</v>
      </c>
      <c r="AT419" s="182">
        <v>367.25</v>
      </c>
      <c r="AU419" s="182">
        <v>65</v>
      </c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182"/>
      <c r="BK419" s="182"/>
      <c r="BL419" s="182"/>
      <c r="BM419" s="182"/>
      <c r="BN419" s="182"/>
      <c r="BO419" s="182"/>
      <c r="BP419" s="182"/>
      <c r="BQ419" s="182"/>
      <c r="BR419" s="182"/>
      <c r="BS419" s="182"/>
      <c r="BT419" s="182"/>
      <c r="BU419" s="182"/>
      <c r="BV419" s="182"/>
      <c r="BW419" s="182"/>
      <c r="BX419" s="182"/>
      <c r="BY419" s="182"/>
      <c r="BZ419" s="182"/>
      <c r="CA419" s="182"/>
      <c r="CB419" s="185">
        <f t="shared" si="64"/>
        <v>1524.25</v>
      </c>
      <c r="CC419" s="185">
        <f t="shared" si="65"/>
        <v>0</v>
      </c>
      <c r="CD419" s="185">
        <f t="shared" si="66"/>
        <v>798</v>
      </c>
      <c r="CE419" s="185" t="e">
        <f>+#REF!</f>
        <v>#REF!</v>
      </c>
    </row>
    <row r="420" spans="2:83" s="197" customFormat="1" ht="56.25" x14ac:dyDescent="0.3">
      <c r="B420" s="182">
        <v>986</v>
      </c>
      <c r="C420" s="182">
        <v>799</v>
      </c>
      <c r="D420" s="182" t="s">
        <v>4683</v>
      </c>
      <c r="E420" s="181" t="s">
        <v>4684</v>
      </c>
      <c r="F420" s="182"/>
      <c r="G420" s="182">
        <v>703.5</v>
      </c>
      <c r="H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182"/>
      <c r="AI420" s="182"/>
      <c r="AJ420" s="182"/>
      <c r="AK420" s="182"/>
      <c r="AL420" s="182"/>
      <c r="AM420" s="182"/>
      <c r="AN420" s="182"/>
      <c r="AO420" s="182"/>
      <c r="AP420" s="182"/>
      <c r="AQ420" s="185">
        <f t="shared" si="63"/>
        <v>703.5</v>
      </c>
      <c r="AR420" s="182">
        <v>440.6</v>
      </c>
      <c r="AS420" s="182">
        <v>63.4</v>
      </c>
      <c r="AT420" s="182">
        <v>169.5</v>
      </c>
      <c r="AU420" s="182">
        <v>30</v>
      </c>
      <c r="AV420" s="182"/>
      <c r="AW420" s="182"/>
      <c r="AX420" s="182"/>
      <c r="AY420" s="182"/>
      <c r="AZ420" s="182"/>
      <c r="BA420" s="182"/>
      <c r="BB420" s="182"/>
      <c r="BC420" s="182"/>
      <c r="BD420" s="182"/>
      <c r="BE420" s="182"/>
      <c r="BF420" s="182"/>
      <c r="BG420" s="182"/>
      <c r="BH420" s="182"/>
      <c r="BI420" s="182"/>
      <c r="BJ420" s="182"/>
      <c r="BK420" s="182"/>
      <c r="BL420" s="182"/>
      <c r="BM420" s="182"/>
      <c r="BN420" s="182"/>
      <c r="BO420" s="182"/>
      <c r="BP420" s="182"/>
      <c r="BQ420" s="182"/>
      <c r="BR420" s="182"/>
      <c r="BS420" s="182"/>
      <c r="BT420" s="182"/>
      <c r="BU420" s="182"/>
      <c r="BV420" s="182"/>
      <c r="BW420" s="182"/>
      <c r="BX420" s="182"/>
      <c r="BY420" s="182"/>
      <c r="BZ420" s="182"/>
      <c r="CA420" s="182"/>
      <c r="CB420" s="185">
        <f t="shared" si="64"/>
        <v>703.5</v>
      </c>
      <c r="CC420" s="185">
        <f t="shared" si="65"/>
        <v>0</v>
      </c>
      <c r="CD420" s="185">
        <f t="shared" si="66"/>
        <v>799</v>
      </c>
      <c r="CE420" s="185" t="e">
        <f>+#REF!</f>
        <v>#REF!</v>
      </c>
    </row>
    <row r="421" spans="2:83" s="197" customFormat="1" ht="37.5" x14ac:dyDescent="0.3">
      <c r="B421" s="182">
        <v>1722</v>
      </c>
      <c r="C421" s="182">
        <v>800</v>
      </c>
      <c r="D421" s="182" t="s">
        <v>4683</v>
      </c>
      <c r="E421" s="181" t="s">
        <v>4685</v>
      </c>
      <c r="F421" s="182"/>
      <c r="G421" s="182">
        <v>2462.25</v>
      </c>
      <c r="H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  <c r="Z421" s="182"/>
      <c r="AA421" s="182"/>
      <c r="AB421" s="182"/>
      <c r="AC421" s="182"/>
      <c r="AD421" s="182"/>
      <c r="AE421" s="182"/>
      <c r="AF421" s="182"/>
      <c r="AG421" s="182"/>
      <c r="AH421" s="182"/>
      <c r="AI421" s="182"/>
      <c r="AJ421" s="182"/>
      <c r="AK421" s="182"/>
      <c r="AL421" s="182"/>
      <c r="AM421" s="182"/>
      <c r="AN421" s="182"/>
      <c r="AO421" s="182"/>
      <c r="AP421" s="182"/>
      <c r="AQ421" s="185">
        <f t="shared" si="63"/>
        <v>2462.25</v>
      </c>
      <c r="AR421" s="182">
        <v>1541.85</v>
      </c>
      <c r="AS421" s="182">
        <v>222.15</v>
      </c>
      <c r="AT421" s="182">
        <v>593.25</v>
      </c>
      <c r="AU421" s="182">
        <v>105</v>
      </c>
      <c r="AV421" s="182"/>
      <c r="AW421" s="182"/>
      <c r="AX421" s="182"/>
      <c r="AY421" s="182"/>
      <c r="AZ421" s="182"/>
      <c r="BA421" s="182"/>
      <c r="BB421" s="182"/>
      <c r="BC421" s="182"/>
      <c r="BD421" s="182"/>
      <c r="BE421" s="182"/>
      <c r="BF421" s="182"/>
      <c r="BG421" s="182"/>
      <c r="BH421" s="182"/>
      <c r="BI421" s="182"/>
      <c r="BJ421" s="182"/>
      <c r="BK421" s="182"/>
      <c r="BL421" s="182"/>
      <c r="BM421" s="182"/>
      <c r="BN421" s="182"/>
      <c r="BO421" s="182"/>
      <c r="BP421" s="182"/>
      <c r="BQ421" s="182"/>
      <c r="BR421" s="182"/>
      <c r="BS421" s="182"/>
      <c r="BT421" s="182"/>
      <c r="BU421" s="182"/>
      <c r="BV421" s="182"/>
      <c r="BW421" s="182"/>
      <c r="BX421" s="182"/>
      <c r="BY421" s="182"/>
      <c r="BZ421" s="182"/>
      <c r="CA421" s="182"/>
      <c r="CB421" s="185">
        <f t="shared" si="64"/>
        <v>2462.25</v>
      </c>
      <c r="CC421" s="185">
        <f t="shared" si="65"/>
        <v>0</v>
      </c>
      <c r="CD421" s="185">
        <f t="shared" si="66"/>
        <v>800</v>
      </c>
      <c r="CE421" s="185" t="e">
        <f>+#REF!</f>
        <v>#REF!</v>
      </c>
    </row>
    <row r="422" spans="2:83" s="197" customFormat="1" ht="56.25" x14ac:dyDescent="0.3">
      <c r="B422" s="182">
        <v>1723</v>
      </c>
      <c r="C422" s="182">
        <v>801</v>
      </c>
      <c r="D422" s="182" t="s">
        <v>125</v>
      </c>
      <c r="E422" s="181" t="s">
        <v>4686</v>
      </c>
      <c r="F422" s="182"/>
      <c r="G422" s="182">
        <v>6839.23</v>
      </c>
      <c r="H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5">
        <f t="shared" si="63"/>
        <v>6839.23</v>
      </c>
      <c r="AR422" s="182">
        <v>4704.47</v>
      </c>
      <c r="AS422" s="182">
        <v>628.54999999999995</v>
      </c>
      <c r="AT422" s="182">
        <v>1506.21</v>
      </c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182"/>
      <c r="BK422" s="182"/>
      <c r="BL422" s="182"/>
      <c r="BM422" s="182"/>
      <c r="BN422" s="182"/>
      <c r="BO422" s="182"/>
      <c r="BP422" s="182"/>
      <c r="BQ422" s="182"/>
      <c r="BR422" s="182"/>
      <c r="BS422" s="182"/>
      <c r="BT422" s="182"/>
      <c r="BU422" s="182"/>
      <c r="BV422" s="182"/>
      <c r="BW422" s="182"/>
      <c r="BX422" s="182"/>
      <c r="BY422" s="182"/>
      <c r="BZ422" s="182"/>
      <c r="CA422" s="182"/>
      <c r="CB422" s="185">
        <f t="shared" si="64"/>
        <v>6839.2300000000005</v>
      </c>
      <c r="CC422" s="185">
        <f t="shared" si="65"/>
        <v>0</v>
      </c>
      <c r="CD422" s="185">
        <f t="shared" si="66"/>
        <v>801</v>
      </c>
      <c r="CE422" s="185" t="e">
        <f>+#REF!</f>
        <v>#REF!</v>
      </c>
    </row>
    <row r="423" spans="2:83" s="197" customFormat="1" ht="56.25" x14ac:dyDescent="0.3">
      <c r="B423" s="182">
        <v>1724</v>
      </c>
      <c r="C423" s="182">
        <v>802</v>
      </c>
      <c r="D423" s="182" t="s">
        <v>125</v>
      </c>
      <c r="E423" s="181" t="s">
        <v>4686</v>
      </c>
      <c r="F423" s="182"/>
      <c r="G423" s="182">
        <v>152.41999999999999</v>
      </c>
      <c r="H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182"/>
      <c r="AI423" s="182"/>
      <c r="AJ423" s="182"/>
      <c r="AK423" s="182"/>
      <c r="AL423" s="182"/>
      <c r="AM423" s="182"/>
      <c r="AN423" s="182"/>
      <c r="AO423" s="182"/>
      <c r="AP423" s="182"/>
      <c r="AQ423" s="185">
        <f t="shared" si="63"/>
        <v>152.41999999999999</v>
      </c>
      <c r="AR423" s="182">
        <v>102.3</v>
      </c>
      <c r="AS423" s="182">
        <v>13.4</v>
      </c>
      <c r="AT423" s="182">
        <v>36.72</v>
      </c>
      <c r="AU423" s="182"/>
      <c r="AV423" s="182"/>
      <c r="AW423" s="182"/>
      <c r="AX423" s="182"/>
      <c r="AY423" s="182"/>
      <c r="AZ423" s="182"/>
      <c r="BA423" s="182"/>
      <c r="BB423" s="182"/>
      <c r="BC423" s="182"/>
      <c r="BD423" s="182"/>
      <c r="BE423" s="182"/>
      <c r="BF423" s="182"/>
      <c r="BG423" s="182"/>
      <c r="BH423" s="182"/>
      <c r="BI423" s="182"/>
      <c r="BJ423" s="182"/>
      <c r="BK423" s="182"/>
      <c r="BL423" s="182"/>
      <c r="BM423" s="182"/>
      <c r="BN423" s="182"/>
      <c r="BO423" s="182"/>
      <c r="BP423" s="182"/>
      <c r="BQ423" s="182"/>
      <c r="BR423" s="182"/>
      <c r="BS423" s="182"/>
      <c r="BT423" s="182"/>
      <c r="BU423" s="182"/>
      <c r="BV423" s="182"/>
      <c r="BW423" s="182"/>
      <c r="BX423" s="182"/>
      <c r="BY423" s="182"/>
      <c r="BZ423" s="182"/>
      <c r="CA423" s="182"/>
      <c r="CB423" s="185">
        <f t="shared" si="64"/>
        <v>152.42000000000002</v>
      </c>
      <c r="CC423" s="185">
        <f t="shared" si="65"/>
        <v>0</v>
      </c>
      <c r="CD423" s="185">
        <f t="shared" si="66"/>
        <v>802</v>
      </c>
      <c r="CE423" s="185" t="e">
        <f>+#REF!</f>
        <v>#REF!</v>
      </c>
    </row>
    <row r="424" spans="2:83" s="197" customFormat="1" ht="75" x14ac:dyDescent="0.3">
      <c r="B424" s="182">
        <v>1725</v>
      </c>
      <c r="C424" s="182">
        <v>803</v>
      </c>
      <c r="D424" s="182" t="s">
        <v>4683</v>
      </c>
      <c r="E424" s="181" t="s">
        <v>4687</v>
      </c>
      <c r="F424" s="182"/>
      <c r="G424" s="182">
        <v>3400.26</v>
      </c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  <c r="Z424" s="182"/>
      <c r="AA424" s="182"/>
      <c r="AB424" s="182"/>
      <c r="AC424" s="182"/>
      <c r="AD424" s="182"/>
      <c r="AE424" s="182"/>
      <c r="AF424" s="182"/>
      <c r="AG424" s="182"/>
      <c r="AH424" s="182"/>
      <c r="AI424" s="182"/>
      <c r="AJ424" s="182"/>
      <c r="AK424" s="182"/>
      <c r="AL424" s="182"/>
      <c r="AM424" s="182"/>
      <c r="AN424" s="182"/>
      <c r="AO424" s="182"/>
      <c r="AP424" s="182"/>
      <c r="AQ424" s="185">
        <f t="shared" si="63"/>
        <v>3400.26</v>
      </c>
      <c r="AR424" s="182">
        <v>2130.4</v>
      </c>
      <c r="AS424" s="182">
        <v>305.60000000000002</v>
      </c>
      <c r="AT424" s="182">
        <v>819.26</v>
      </c>
      <c r="AU424" s="182">
        <v>145</v>
      </c>
      <c r="AV424" s="182"/>
      <c r="AW424" s="182"/>
      <c r="AX424" s="182"/>
      <c r="AY424" s="182"/>
      <c r="AZ424" s="182"/>
      <c r="BA424" s="182"/>
      <c r="BB424" s="182"/>
      <c r="BC424" s="182"/>
      <c r="BD424" s="182"/>
      <c r="BE424" s="182"/>
      <c r="BF424" s="182"/>
      <c r="BG424" s="182"/>
      <c r="BH424" s="182"/>
      <c r="BI424" s="182"/>
      <c r="BJ424" s="182"/>
      <c r="BK424" s="182"/>
      <c r="BL424" s="182"/>
      <c r="BM424" s="182"/>
      <c r="BN424" s="182"/>
      <c r="BO424" s="182"/>
      <c r="BP424" s="182"/>
      <c r="BQ424" s="182"/>
      <c r="BR424" s="182"/>
      <c r="BS424" s="182"/>
      <c r="BT424" s="182"/>
      <c r="BU424" s="182"/>
      <c r="BV424" s="182"/>
      <c r="BW424" s="182"/>
      <c r="BX424" s="182"/>
      <c r="BY424" s="182"/>
      <c r="BZ424" s="182"/>
      <c r="CA424" s="182"/>
      <c r="CB424" s="185">
        <f t="shared" si="64"/>
        <v>3400.26</v>
      </c>
      <c r="CC424" s="185">
        <f t="shared" si="65"/>
        <v>0</v>
      </c>
      <c r="CD424" s="185">
        <f t="shared" si="66"/>
        <v>803</v>
      </c>
      <c r="CE424" s="185" t="e">
        <f>+#REF!</f>
        <v>#REF!</v>
      </c>
    </row>
    <row r="425" spans="2:83" s="197" customFormat="1" ht="75" x14ac:dyDescent="0.3">
      <c r="B425" s="182">
        <v>1726</v>
      </c>
      <c r="C425" s="182">
        <v>804</v>
      </c>
      <c r="D425" s="182" t="s">
        <v>4683</v>
      </c>
      <c r="E425" s="181" t="s">
        <v>4687</v>
      </c>
      <c r="F425" s="182"/>
      <c r="G425" s="182">
        <v>3986.49</v>
      </c>
      <c r="H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182"/>
      <c r="AI425" s="182"/>
      <c r="AJ425" s="182"/>
      <c r="AK425" s="182"/>
      <c r="AL425" s="182"/>
      <c r="AM425" s="182"/>
      <c r="AN425" s="182"/>
      <c r="AO425" s="182"/>
      <c r="AP425" s="182"/>
      <c r="AQ425" s="185">
        <f t="shared" si="63"/>
        <v>3986.49</v>
      </c>
      <c r="AR425" s="182">
        <v>2495.4</v>
      </c>
      <c r="AS425" s="182">
        <v>360.6</v>
      </c>
      <c r="AT425" s="182">
        <v>960.49</v>
      </c>
      <c r="AU425" s="182">
        <v>170</v>
      </c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182"/>
      <c r="BK425" s="182"/>
      <c r="BL425" s="182"/>
      <c r="BM425" s="182"/>
      <c r="BN425" s="182"/>
      <c r="BO425" s="182"/>
      <c r="BP425" s="182"/>
      <c r="BQ425" s="182"/>
      <c r="BR425" s="182"/>
      <c r="BS425" s="182"/>
      <c r="BT425" s="182"/>
      <c r="BU425" s="182"/>
      <c r="BV425" s="182"/>
      <c r="BW425" s="182"/>
      <c r="BX425" s="182"/>
      <c r="BY425" s="182"/>
      <c r="BZ425" s="182"/>
      <c r="CA425" s="182"/>
      <c r="CB425" s="185">
        <f t="shared" si="64"/>
        <v>3986.49</v>
      </c>
      <c r="CC425" s="185">
        <f t="shared" si="65"/>
        <v>0</v>
      </c>
      <c r="CD425" s="185">
        <f t="shared" si="66"/>
        <v>804</v>
      </c>
      <c r="CE425" s="185" t="e">
        <f>+#REF!</f>
        <v>#REF!</v>
      </c>
    </row>
    <row r="426" spans="2:83" s="197" customFormat="1" ht="37.5" x14ac:dyDescent="0.3">
      <c r="B426" s="182">
        <v>1340</v>
      </c>
      <c r="C426" s="182">
        <v>805</v>
      </c>
      <c r="D426" s="182" t="s">
        <v>4683</v>
      </c>
      <c r="E426" s="181" t="s">
        <v>4688</v>
      </c>
      <c r="F426" s="182"/>
      <c r="G426" s="182">
        <v>15200.28</v>
      </c>
      <c r="H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182"/>
      <c r="AI426" s="182"/>
      <c r="AJ426" s="182"/>
      <c r="AK426" s="182"/>
      <c r="AL426" s="182"/>
      <c r="AM426" s="182"/>
      <c r="AN426" s="182"/>
      <c r="AO426" s="182"/>
      <c r="AP426" s="182"/>
      <c r="AQ426" s="185">
        <f t="shared" si="63"/>
        <v>15200.28</v>
      </c>
      <c r="AR426" s="182">
        <v>11169.48</v>
      </c>
      <c r="AS426" s="182">
        <v>368.58</v>
      </c>
      <c r="AT426" s="182">
        <v>3662.22</v>
      </c>
      <c r="AU426" s="182"/>
      <c r="AV426" s="182"/>
      <c r="AW426" s="182"/>
      <c r="AX426" s="182"/>
      <c r="AY426" s="182"/>
      <c r="AZ426" s="182"/>
      <c r="BA426" s="182"/>
      <c r="BB426" s="182"/>
      <c r="BC426" s="182"/>
      <c r="BD426" s="182"/>
      <c r="BE426" s="182"/>
      <c r="BF426" s="182"/>
      <c r="BG426" s="182"/>
      <c r="BH426" s="182"/>
      <c r="BI426" s="182"/>
      <c r="BJ426" s="182"/>
      <c r="BK426" s="182"/>
      <c r="BL426" s="182"/>
      <c r="BM426" s="182"/>
      <c r="BN426" s="182"/>
      <c r="BO426" s="182"/>
      <c r="BP426" s="182"/>
      <c r="BQ426" s="182"/>
      <c r="BR426" s="182"/>
      <c r="BS426" s="182"/>
      <c r="BT426" s="182"/>
      <c r="BU426" s="182"/>
      <c r="BV426" s="182"/>
      <c r="BW426" s="182"/>
      <c r="BX426" s="182"/>
      <c r="BY426" s="182"/>
      <c r="BZ426" s="182"/>
      <c r="CA426" s="182"/>
      <c r="CB426" s="185">
        <f t="shared" si="64"/>
        <v>15200.279999999999</v>
      </c>
      <c r="CC426" s="185">
        <f t="shared" si="65"/>
        <v>0</v>
      </c>
      <c r="CD426" s="185">
        <f t="shared" si="66"/>
        <v>805</v>
      </c>
      <c r="CE426" s="185" t="e">
        <f>+#REF!</f>
        <v>#REF!</v>
      </c>
    </row>
    <row r="427" spans="2:83" s="197" customFormat="1" ht="56.25" x14ac:dyDescent="0.3">
      <c r="B427" s="182">
        <v>1341</v>
      </c>
      <c r="C427" s="182">
        <v>806</v>
      </c>
      <c r="D427" s="182" t="s">
        <v>4689</v>
      </c>
      <c r="E427" s="181" t="s">
        <v>4688</v>
      </c>
      <c r="F427" s="182"/>
      <c r="G427" s="182">
        <v>7479.04</v>
      </c>
      <c r="H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  <c r="Z427" s="182"/>
      <c r="AA427" s="182"/>
      <c r="AB427" s="182"/>
      <c r="AC427" s="182"/>
      <c r="AD427" s="182"/>
      <c r="AE427" s="182"/>
      <c r="AF427" s="182"/>
      <c r="AG427" s="182"/>
      <c r="AH427" s="182"/>
      <c r="AI427" s="182"/>
      <c r="AJ427" s="182"/>
      <c r="AK427" s="182"/>
      <c r="AL427" s="182"/>
      <c r="AM427" s="182"/>
      <c r="AN427" s="182"/>
      <c r="AO427" s="182"/>
      <c r="AP427" s="182"/>
      <c r="AQ427" s="185">
        <f t="shared" si="63"/>
        <v>7479.04</v>
      </c>
      <c r="AR427" s="182">
        <v>5487.39</v>
      </c>
      <c r="AS427" s="182">
        <v>189.72</v>
      </c>
      <c r="AT427" s="182">
        <v>1801.93</v>
      </c>
      <c r="AU427" s="182"/>
      <c r="AV427" s="182"/>
      <c r="AW427" s="182"/>
      <c r="AX427" s="182"/>
      <c r="AY427" s="182"/>
      <c r="AZ427" s="182"/>
      <c r="BA427" s="182"/>
      <c r="BB427" s="182"/>
      <c r="BC427" s="182"/>
      <c r="BD427" s="182"/>
      <c r="BE427" s="182"/>
      <c r="BF427" s="182"/>
      <c r="BG427" s="182"/>
      <c r="BH427" s="182"/>
      <c r="BI427" s="182"/>
      <c r="BJ427" s="182"/>
      <c r="BK427" s="182"/>
      <c r="BL427" s="182"/>
      <c r="BM427" s="182"/>
      <c r="BN427" s="182"/>
      <c r="BO427" s="182"/>
      <c r="BP427" s="182"/>
      <c r="BQ427" s="182"/>
      <c r="BR427" s="182"/>
      <c r="BS427" s="182"/>
      <c r="BT427" s="182"/>
      <c r="BU427" s="182"/>
      <c r="BV427" s="182"/>
      <c r="BW427" s="182"/>
      <c r="BX427" s="182"/>
      <c r="BY427" s="182"/>
      <c r="BZ427" s="182"/>
      <c r="CA427" s="182"/>
      <c r="CB427" s="185">
        <f t="shared" si="64"/>
        <v>7479.0400000000009</v>
      </c>
      <c r="CC427" s="185">
        <f t="shared" si="65"/>
        <v>0</v>
      </c>
      <c r="CD427" s="185">
        <f t="shared" si="66"/>
        <v>806</v>
      </c>
      <c r="CE427" s="185" t="e">
        <f>+#REF!</f>
        <v>#REF!</v>
      </c>
    </row>
    <row r="428" spans="2:83" s="197" customFormat="1" ht="56.25" x14ac:dyDescent="0.3">
      <c r="B428" s="182">
        <v>1070</v>
      </c>
      <c r="C428" s="182">
        <v>807</v>
      </c>
      <c r="D428" s="182" t="s">
        <v>4690</v>
      </c>
      <c r="E428" s="181" t="s">
        <v>4691</v>
      </c>
      <c r="F428" s="182"/>
      <c r="G428" s="182">
        <v>200</v>
      </c>
      <c r="H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182"/>
      <c r="AI428" s="182"/>
      <c r="AJ428" s="182"/>
      <c r="AK428" s="182"/>
      <c r="AL428" s="182"/>
      <c r="AM428" s="182"/>
      <c r="AN428" s="182"/>
      <c r="AO428" s="182"/>
      <c r="AP428" s="182"/>
      <c r="AQ428" s="185">
        <f t="shared" si="63"/>
        <v>200</v>
      </c>
      <c r="AR428" s="182">
        <v>179.1</v>
      </c>
      <c r="AS428" s="182">
        <v>20.9</v>
      </c>
      <c r="AT428" s="182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182"/>
      <c r="BK428" s="182"/>
      <c r="BL428" s="182"/>
      <c r="BM428" s="182"/>
      <c r="BN428" s="182"/>
      <c r="BO428" s="182"/>
      <c r="BP428" s="182"/>
      <c r="BQ428" s="182"/>
      <c r="BR428" s="182"/>
      <c r="BS428" s="182"/>
      <c r="BT428" s="182"/>
      <c r="BU428" s="182"/>
      <c r="BV428" s="182"/>
      <c r="BW428" s="182"/>
      <c r="BX428" s="182"/>
      <c r="BY428" s="182"/>
      <c r="BZ428" s="182"/>
      <c r="CA428" s="182"/>
      <c r="CB428" s="185">
        <f t="shared" si="64"/>
        <v>200</v>
      </c>
      <c r="CC428" s="185">
        <f t="shared" si="65"/>
        <v>0</v>
      </c>
      <c r="CD428" s="185">
        <f t="shared" si="66"/>
        <v>807</v>
      </c>
      <c r="CE428" s="185" t="e">
        <f>+#REF!</f>
        <v>#REF!</v>
      </c>
    </row>
    <row r="429" spans="2:83" s="197" customFormat="1" ht="56.25" x14ac:dyDescent="0.3">
      <c r="B429" s="182">
        <v>1071</v>
      </c>
      <c r="C429" s="182">
        <v>808</v>
      </c>
      <c r="D429" s="182" t="s">
        <v>4690</v>
      </c>
      <c r="E429" s="181" t="s">
        <v>4691</v>
      </c>
      <c r="F429" s="182"/>
      <c r="G429" s="182">
        <v>869</v>
      </c>
      <c r="H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5">
        <f t="shared" si="63"/>
        <v>869</v>
      </c>
      <c r="AR429" s="182">
        <v>672.6</v>
      </c>
      <c r="AS429" s="182">
        <v>83.4</v>
      </c>
      <c r="AT429" s="182">
        <v>113</v>
      </c>
      <c r="AU429" s="182"/>
      <c r="AV429" s="182"/>
      <c r="AW429" s="182"/>
      <c r="AX429" s="182"/>
      <c r="AY429" s="182"/>
      <c r="AZ429" s="182"/>
      <c r="BA429" s="182"/>
      <c r="BB429" s="182"/>
      <c r="BC429" s="182"/>
      <c r="BD429" s="182"/>
      <c r="BE429" s="182"/>
      <c r="BF429" s="182"/>
      <c r="BG429" s="182"/>
      <c r="BH429" s="182"/>
      <c r="BI429" s="182"/>
      <c r="BJ429" s="182"/>
      <c r="BK429" s="182"/>
      <c r="BL429" s="182"/>
      <c r="BM429" s="182"/>
      <c r="BN429" s="182"/>
      <c r="BO429" s="182"/>
      <c r="BP429" s="182"/>
      <c r="BQ429" s="182"/>
      <c r="BR429" s="182"/>
      <c r="BS429" s="182"/>
      <c r="BT429" s="182"/>
      <c r="BU429" s="182"/>
      <c r="BV429" s="182"/>
      <c r="BW429" s="182"/>
      <c r="BX429" s="182"/>
      <c r="BY429" s="182"/>
      <c r="BZ429" s="182"/>
      <c r="CA429" s="182"/>
      <c r="CB429" s="185">
        <f t="shared" si="64"/>
        <v>869</v>
      </c>
      <c r="CC429" s="185">
        <f t="shared" si="65"/>
        <v>0</v>
      </c>
      <c r="CD429" s="185">
        <f t="shared" si="66"/>
        <v>808</v>
      </c>
      <c r="CE429" s="185" t="e">
        <f>+#REF!</f>
        <v>#REF!</v>
      </c>
    </row>
    <row r="430" spans="2:83" s="197" customFormat="1" ht="56.25" x14ac:dyDescent="0.3">
      <c r="B430" s="182">
        <v>1069</v>
      </c>
      <c r="C430" s="182">
        <v>809</v>
      </c>
      <c r="D430" s="182" t="s">
        <v>4690</v>
      </c>
      <c r="E430" s="181" t="s">
        <v>4692</v>
      </c>
      <c r="F430" s="182"/>
      <c r="G430" s="182">
        <v>16273.5</v>
      </c>
      <c r="H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  <c r="Z430" s="182"/>
      <c r="AA430" s="182"/>
      <c r="AB430" s="182"/>
      <c r="AC430" s="182"/>
      <c r="AD430" s="182"/>
      <c r="AE430" s="182"/>
      <c r="AF430" s="182"/>
      <c r="AG430" s="182"/>
      <c r="AH430" s="182"/>
      <c r="AI430" s="182"/>
      <c r="AJ430" s="182"/>
      <c r="AK430" s="182"/>
      <c r="AL430" s="182"/>
      <c r="AM430" s="182"/>
      <c r="AN430" s="182"/>
      <c r="AO430" s="182"/>
      <c r="AP430" s="182"/>
      <c r="AQ430" s="185">
        <f t="shared" ref="AQ430:AQ439" si="67">SUM(G430:AP430)</f>
        <v>16273.5</v>
      </c>
      <c r="AR430" s="182">
        <v>14547.7</v>
      </c>
      <c r="AS430" s="182">
        <v>1725.8</v>
      </c>
      <c r="AT430" s="182"/>
      <c r="AU430" s="182"/>
      <c r="AV430" s="182"/>
      <c r="AW430" s="182"/>
      <c r="AX430" s="182"/>
      <c r="AY430" s="182"/>
      <c r="AZ430" s="182"/>
      <c r="BA430" s="182"/>
      <c r="BB430" s="182"/>
      <c r="BC430" s="182"/>
      <c r="BD430" s="182"/>
      <c r="BE430" s="182"/>
      <c r="BF430" s="182"/>
      <c r="BG430" s="182"/>
      <c r="BH430" s="182"/>
      <c r="BI430" s="182"/>
      <c r="BJ430" s="182"/>
      <c r="BK430" s="182"/>
      <c r="BL430" s="182"/>
      <c r="BM430" s="182"/>
      <c r="BN430" s="182"/>
      <c r="BO430" s="182"/>
      <c r="BP430" s="182"/>
      <c r="BQ430" s="182"/>
      <c r="BR430" s="182"/>
      <c r="BS430" s="182"/>
      <c r="BT430" s="182"/>
      <c r="BU430" s="182"/>
      <c r="BV430" s="182"/>
      <c r="BW430" s="182"/>
      <c r="BX430" s="182"/>
      <c r="BY430" s="182"/>
      <c r="BZ430" s="182"/>
      <c r="CA430" s="182"/>
      <c r="CB430" s="185">
        <f t="shared" ref="CB430:CB439" si="68">SUM(AR430:CA430)</f>
        <v>16273.5</v>
      </c>
      <c r="CC430" s="185">
        <f t="shared" ref="CC430:CC439" si="69">+CB430-AQ430</f>
        <v>0</v>
      </c>
      <c r="CD430" s="185">
        <f t="shared" ref="CD430:CD439" si="70">+C430</f>
        <v>809</v>
      </c>
      <c r="CE430" s="185" t="e">
        <f>+#REF!</f>
        <v>#REF!</v>
      </c>
    </row>
    <row r="431" spans="2:83" s="197" customFormat="1" ht="37.5" x14ac:dyDescent="0.3">
      <c r="B431" s="182">
        <v>1796</v>
      </c>
      <c r="C431" s="182">
        <v>810</v>
      </c>
      <c r="D431" s="182" t="s">
        <v>325</v>
      </c>
      <c r="E431" s="181" t="s">
        <v>4693</v>
      </c>
      <c r="F431" s="182"/>
      <c r="G431" s="182"/>
      <c r="H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  <c r="Z431" s="182"/>
      <c r="AA431" s="182"/>
      <c r="AB431" s="182"/>
      <c r="AC431" s="182">
        <v>74.83</v>
      </c>
      <c r="AD431" s="182"/>
      <c r="AE431" s="182"/>
      <c r="AF431" s="182"/>
      <c r="AG431" s="182"/>
      <c r="AH431" s="182"/>
      <c r="AI431" s="182"/>
      <c r="AJ431" s="182"/>
      <c r="AK431" s="182"/>
      <c r="AL431" s="182"/>
      <c r="AM431" s="182"/>
      <c r="AN431" s="182"/>
      <c r="AO431" s="182"/>
      <c r="AP431" s="182"/>
      <c r="AQ431" s="185">
        <f t="shared" si="67"/>
        <v>74.83</v>
      </c>
      <c r="AR431" s="182">
        <v>74.83</v>
      </c>
      <c r="AS431" s="182"/>
      <c r="AT431" s="182"/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182"/>
      <c r="BK431" s="182"/>
      <c r="BL431" s="182"/>
      <c r="BM431" s="182"/>
      <c r="BN431" s="182"/>
      <c r="BO431" s="182"/>
      <c r="BP431" s="182"/>
      <c r="BQ431" s="182"/>
      <c r="BR431" s="182"/>
      <c r="BS431" s="182"/>
      <c r="BT431" s="182"/>
      <c r="BU431" s="182"/>
      <c r="BV431" s="182"/>
      <c r="BW431" s="182"/>
      <c r="BX431" s="182"/>
      <c r="BY431" s="182"/>
      <c r="BZ431" s="182"/>
      <c r="CA431" s="182"/>
      <c r="CB431" s="185">
        <f t="shared" si="68"/>
        <v>74.83</v>
      </c>
      <c r="CC431" s="185">
        <f t="shared" si="69"/>
        <v>0</v>
      </c>
      <c r="CD431" s="185">
        <f t="shared" si="70"/>
        <v>810</v>
      </c>
      <c r="CE431" s="185" t="e">
        <f>+#REF!</f>
        <v>#REF!</v>
      </c>
    </row>
    <row r="432" spans="2:83" s="197" customFormat="1" ht="75" x14ac:dyDescent="0.3">
      <c r="B432" s="182">
        <v>1943</v>
      </c>
      <c r="C432" s="182">
        <v>811</v>
      </c>
      <c r="D432" s="182" t="s">
        <v>121</v>
      </c>
      <c r="E432" s="181" t="s">
        <v>4694</v>
      </c>
      <c r="F432" s="182"/>
      <c r="G432" s="182"/>
      <c r="H432" s="182"/>
      <c r="I432" s="182"/>
      <c r="J432" s="182"/>
      <c r="K432" s="182">
        <v>740000</v>
      </c>
      <c r="L432" s="182">
        <v>740000</v>
      </c>
      <c r="M432" s="182">
        <v>740000</v>
      </c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2"/>
      <c r="AH432" s="182"/>
      <c r="AI432" s="182"/>
      <c r="AJ432" s="182"/>
      <c r="AK432" s="182"/>
      <c r="AL432" s="182"/>
      <c r="AM432" s="182"/>
      <c r="AN432" s="182"/>
      <c r="AO432" s="182"/>
      <c r="AP432" s="182"/>
      <c r="AQ432" s="185">
        <f t="shared" si="67"/>
        <v>2220000</v>
      </c>
      <c r="AR432" s="182">
        <v>740000</v>
      </c>
      <c r="AS432" s="182"/>
      <c r="AT432" s="182"/>
      <c r="AU432" s="182"/>
      <c r="AV432" s="182"/>
      <c r="AW432" s="182"/>
      <c r="AX432" s="182"/>
      <c r="AY432" s="182"/>
      <c r="AZ432" s="182"/>
      <c r="BA432" s="182"/>
      <c r="BB432" s="182"/>
      <c r="BC432" s="182"/>
      <c r="BD432" s="182"/>
      <c r="BE432" s="182"/>
      <c r="BF432" s="182"/>
      <c r="BG432" s="182"/>
      <c r="BH432" s="182"/>
      <c r="BI432" s="182"/>
      <c r="BJ432" s="182">
        <v>740000</v>
      </c>
      <c r="BK432" s="182">
        <v>740000</v>
      </c>
      <c r="BL432" s="182"/>
      <c r="BM432" s="182"/>
      <c r="BN432" s="182"/>
      <c r="BO432" s="182"/>
      <c r="BP432" s="182"/>
      <c r="BQ432" s="182"/>
      <c r="BR432" s="182"/>
      <c r="BS432" s="182"/>
      <c r="BT432" s="182"/>
      <c r="BU432" s="182"/>
      <c r="BV432" s="182"/>
      <c r="BW432" s="182"/>
      <c r="BX432" s="182"/>
      <c r="BY432" s="182"/>
      <c r="BZ432" s="182"/>
      <c r="CA432" s="182"/>
      <c r="CB432" s="185">
        <f t="shared" si="68"/>
        <v>2220000</v>
      </c>
      <c r="CC432" s="185">
        <f t="shared" si="69"/>
        <v>0</v>
      </c>
      <c r="CD432" s="185">
        <f t="shared" si="70"/>
        <v>811</v>
      </c>
      <c r="CE432" s="185" t="e">
        <f>+#REF!</f>
        <v>#REF!</v>
      </c>
    </row>
    <row r="433" spans="2:83" s="197" customFormat="1" ht="37.5" x14ac:dyDescent="0.3">
      <c r="B433" s="182">
        <v>527</v>
      </c>
      <c r="C433" s="182">
        <v>812</v>
      </c>
      <c r="D433" s="182" t="s">
        <v>4635</v>
      </c>
      <c r="E433" s="181" t="s">
        <v>4695</v>
      </c>
      <c r="F433" s="182"/>
      <c r="G433" s="182"/>
      <c r="H433" s="182">
        <v>6000</v>
      </c>
      <c r="I433" s="182"/>
      <c r="J433" s="182"/>
      <c r="K433" s="182"/>
      <c r="L433" s="182"/>
      <c r="M433" s="182"/>
      <c r="N433" s="182"/>
      <c r="O433" s="182">
        <v>6000</v>
      </c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  <c r="Z433" s="182"/>
      <c r="AA433" s="182"/>
      <c r="AB433" s="182"/>
      <c r="AC433" s="182"/>
      <c r="AD433" s="182"/>
      <c r="AE433" s="182"/>
      <c r="AF433" s="182"/>
      <c r="AG433" s="182"/>
      <c r="AH433" s="182"/>
      <c r="AI433" s="182"/>
      <c r="AJ433" s="182"/>
      <c r="AK433" s="182"/>
      <c r="AL433" s="182"/>
      <c r="AM433" s="182"/>
      <c r="AN433" s="182"/>
      <c r="AO433" s="182"/>
      <c r="AP433" s="182"/>
      <c r="AQ433" s="185">
        <f t="shared" si="67"/>
        <v>12000</v>
      </c>
      <c r="AR433" s="182">
        <v>6000</v>
      </c>
      <c r="AS433" s="182"/>
      <c r="AT433" s="182"/>
      <c r="AU433" s="182"/>
      <c r="AV433" s="182"/>
      <c r="AW433" s="182"/>
      <c r="AX433" s="182"/>
      <c r="AY433" s="182"/>
      <c r="AZ433" s="182"/>
      <c r="BA433" s="182"/>
      <c r="BB433" s="182"/>
      <c r="BC433" s="182"/>
      <c r="BD433" s="182"/>
      <c r="BE433" s="182"/>
      <c r="BF433" s="182"/>
      <c r="BG433" s="182"/>
      <c r="BH433" s="182"/>
      <c r="BI433" s="182"/>
      <c r="BJ433" s="182"/>
      <c r="BK433" s="182"/>
      <c r="BL433" s="182"/>
      <c r="BM433" s="182">
        <v>6000</v>
      </c>
      <c r="BN433" s="182"/>
      <c r="BO433" s="182"/>
      <c r="BP433" s="182"/>
      <c r="BQ433" s="182"/>
      <c r="BR433" s="182"/>
      <c r="BS433" s="182"/>
      <c r="BT433" s="182"/>
      <c r="BU433" s="182"/>
      <c r="BV433" s="182"/>
      <c r="BW433" s="182"/>
      <c r="BX433" s="182"/>
      <c r="BY433" s="182"/>
      <c r="BZ433" s="182"/>
      <c r="CA433" s="182"/>
      <c r="CB433" s="185">
        <f t="shared" si="68"/>
        <v>12000</v>
      </c>
      <c r="CC433" s="185">
        <f t="shared" si="69"/>
        <v>0</v>
      </c>
      <c r="CD433" s="185">
        <f t="shared" si="70"/>
        <v>812</v>
      </c>
      <c r="CE433" s="185" t="e">
        <f>+#REF!</f>
        <v>#REF!</v>
      </c>
    </row>
    <row r="434" spans="2:83" s="197" customFormat="1" ht="56.25" x14ac:dyDescent="0.3">
      <c r="B434" s="182">
        <v>1941</v>
      </c>
      <c r="C434" s="182">
        <v>813</v>
      </c>
      <c r="D434" s="182" t="s">
        <v>121</v>
      </c>
      <c r="E434" s="181" t="s">
        <v>4696</v>
      </c>
      <c r="F434" s="182"/>
      <c r="G434" s="182"/>
      <c r="H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>
        <v>247833.2</v>
      </c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2"/>
      <c r="AH434" s="182"/>
      <c r="AI434" s="182"/>
      <c r="AJ434" s="182"/>
      <c r="AK434" s="182"/>
      <c r="AL434" s="182"/>
      <c r="AM434" s="182"/>
      <c r="AN434" s="182"/>
      <c r="AO434" s="182"/>
      <c r="AP434" s="182"/>
      <c r="AQ434" s="185">
        <f t="shared" si="67"/>
        <v>247833.2</v>
      </c>
      <c r="AR434" s="182">
        <v>247833.2</v>
      </c>
      <c r="AS434" s="182"/>
      <c r="AT434" s="182"/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182"/>
      <c r="BK434" s="182"/>
      <c r="BL434" s="182"/>
      <c r="BM434" s="182"/>
      <c r="BN434" s="182"/>
      <c r="BO434" s="182"/>
      <c r="BP434" s="182"/>
      <c r="BQ434" s="182"/>
      <c r="BR434" s="182"/>
      <c r="BS434" s="182"/>
      <c r="BT434" s="182"/>
      <c r="BU434" s="182"/>
      <c r="BV434" s="182"/>
      <c r="BW434" s="182"/>
      <c r="BX434" s="182"/>
      <c r="BY434" s="182"/>
      <c r="BZ434" s="182"/>
      <c r="CA434" s="182"/>
      <c r="CB434" s="185">
        <f t="shared" si="68"/>
        <v>247833.2</v>
      </c>
      <c r="CC434" s="185">
        <f t="shared" si="69"/>
        <v>0</v>
      </c>
      <c r="CD434" s="185">
        <f t="shared" si="70"/>
        <v>813</v>
      </c>
      <c r="CE434" s="185" t="e">
        <f>+#REF!</f>
        <v>#REF!</v>
      </c>
    </row>
    <row r="435" spans="2:83" s="197" customFormat="1" ht="56.25" x14ac:dyDescent="0.3">
      <c r="B435" s="182">
        <v>1942</v>
      </c>
      <c r="C435" s="182">
        <v>814</v>
      </c>
      <c r="D435" s="182" t="s">
        <v>121</v>
      </c>
      <c r="E435" s="181" t="s">
        <v>4696</v>
      </c>
      <c r="F435" s="182"/>
      <c r="G435" s="182"/>
      <c r="H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>
        <v>36700</v>
      </c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2"/>
      <c r="AH435" s="182"/>
      <c r="AI435" s="182"/>
      <c r="AJ435" s="182"/>
      <c r="AK435" s="182"/>
      <c r="AL435" s="182"/>
      <c r="AM435" s="182"/>
      <c r="AN435" s="182"/>
      <c r="AO435" s="182"/>
      <c r="AP435" s="182"/>
      <c r="AQ435" s="185">
        <f t="shared" si="67"/>
        <v>36700</v>
      </c>
      <c r="AR435" s="182">
        <v>36700</v>
      </c>
      <c r="AS435" s="182"/>
      <c r="AT435" s="182"/>
      <c r="AU435" s="182"/>
      <c r="AV435" s="182"/>
      <c r="AW435" s="182"/>
      <c r="AX435" s="182"/>
      <c r="AY435" s="182"/>
      <c r="AZ435" s="182"/>
      <c r="BA435" s="182"/>
      <c r="BB435" s="182"/>
      <c r="BC435" s="182"/>
      <c r="BD435" s="182"/>
      <c r="BE435" s="182"/>
      <c r="BF435" s="182"/>
      <c r="BG435" s="182"/>
      <c r="BH435" s="182"/>
      <c r="BI435" s="182"/>
      <c r="BJ435" s="182"/>
      <c r="BK435" s="182"/>
      <c r="BL435" s="182"/>
      <c r="BM435" s="182"/>
      <c r="BN435" s="182"/>
      <c r="BO435" s="182"/>
      <c r="BP435" s="182"/>
      <c r="BQ435" s="182"/>
      <c r="BR435" s="182"/>
      <c r="BS435" s="182"/>
      <c r="BT435" s="182"/>
      <c r="BU435" s="182"/>
      <c r="BV435" s="182"/>
      <c r="BW435" s="182"/>
      <c r="BX435" s="182"/>
      <c r="BY435" s="182"/>
      <c r="BZ435" s="182"/>
      <c r="CA435" s="182"/>
      <c r="CB435" s="185">
        <f t="shared" si="68"/>
        <v>36700</v>
      </c>
      <c r="CC435" s="185">
        <f t="shared" si="69"/>
        <v>0</v>
      </c>
      <c r="CD435" s="185">
        <f t="shared" si="70"/>
        <v>814</v>
      </c>
      <c r="CE435" s="185" t="e">
        <f>+#REF!</f>
        <v>#REF!</v>
      </c>
    </row>
    <row r="436" spans="2:83" s="197" customFormat="1" ht="56.25" x14ac:dyDescent="0.3">
      <c r="B436" s="182">
        <v>1940</v>
      </c>
      <c r="C436" s="182">
        <v>815</v>
      </c>
      <c r="D436" s="182" t="s">
        <v>121</v>
      </c>
      <c r="E436" s="181" t="s">
        <v>4696</v>
      </c>
      <c r="F436" s="182"/>
      <c r="G436" s="182"/>
      <c r="H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>
        <v>261296.25</v>
      </c>
      <c r="X436" s="182"/>
      <c r="Y436" s="182"/>
      <c r="Z436" s="182"/>
      <c r="AA436" s="182"/>
      <c r="AB436" s="182"/>
      <c r="AC436" s="182"/>
      <c r="AD436" s="182"/>
      <c r="AE436" s="182"/>
      <c r="AF436" s="182"/>
      <c r="AG436" s="182"/>
      <c r="AH436" s="182"/>
      <c r="AI436" s="182"/>
      <c r="AJ436" s="182"/>
      <c r="AK436" s="182"/>
      <c r="AL436" s="182"/>
      <c r="AM436" s="182"/>
      <c r="AN436" s="182"/>
      <c r="AO436" s="182"/>
      <c r="AP436" s="182"/>
      <c r="AQ436" s="185">
        <f t="shared" si="67"/>
        <v>261296.25</v>
      </c>
      <c r="AR436" s="182">
        <v>261296.25</v>
      </c>
      <c r="AS436" s="182"/>
      <c r="AT436" s="182"/>
      <c r="AU436" s="182"/>
      <c r="AV436" s="182"/>
      <c r="AW436" s="182"/>
      <c r="AX436" s="182"/>
      <c r="AY436" s="182"/>
      <c r="AZ436" s="182"/>
      <c r="BA436" s="182"/>
      <c r="BB436" s="182"/>
      <c r="BC436" s="182"/>
      <c r="BD436" s="182"/>
      <c r="BE436" s="182"/>
      <c r="BF436" s="182"/>
      <c r="BG436" s="182"/>
      <c r="BH436" s="182"/>
      <c r="BI436" s="182"/>
      <c r="BJ436" s="182"/>
      <c r="BK436" s="182"/>
      <c r="BL436" s="182"/>
      <c r="BM436" s="182"/>
      <c r="BN436" s="182"/>
      <c r="BO436" s="182"/>
      <c r="BP436" s="182"/>
      <c r="BQ436" s="182"/>
      <c r="BR436" s="182"/>
      <c r="BS436" s="182"/>
      <c r="BT436" s="182"/>
      <c r="BU436" s="182"/>
      <c r="BV436" s="182"/>
      <c r="BW436" s="182"/>
      <c r="BX436" s="182"/>
      <c r="BY436" s="182"/>
      <c r="BZ436" s="182"/>
      <c r="CA436" s="182"/>
      <c r="CB436" s="185">
        <f t="shared" si="68"/>
        <v>261296.25</v>
      </c>
      <c r="CC436" s="185">
        <f t="shared" si="69"/>
        <v>0</v>
      </c>
      <c r="CD436" s="185">
        <f t="shared" si="70"/>
        <v>815</v>
      </c>
      <c r="CE436" s="185" t="e">
        <f>+#REF!</f>
        <v>#REF!</v>
      </c>
    </row>
    <row r="437" spans="2:83" s="197" customFormat="1" ht="75" x14ac:dyDescent="0.3">
      <c r="B437" s="182">
        <v>1338</v>
      </c>
      <c r="C437" s="182">
        <v>816</v>
      </c>
      <c r="D437" s="182" t="s">
        <v>4697</v>
      </c>
      <c r="E437" s="181" t="s">
        <v>4698</v>
      </c>
      <c r="F437" s="182"/>
      <c r="G437" s="182"/>
      <c r="H437" s="182">
        <v>13178</v>
      </c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  <c r="Z437" s="182"/>
      <c r="AA437" s="182"/>
      <c r="AB437" s="182"/>
      <c r="AC437" s="182"/>
      <c r="AD437" s="182"/>
      <c r="AE437" s="182"/>
      <c r="AF437" s="182"/>
      <c r="AG437" s="182"/>
      <c r="AH437" s="182"/>
      <c r="AI437" s="182"/>
      <c r="AJ437" s="182"/>
      <c r="AK437" s="182"/>
      <c r="AL437" s="182"/>
      <c r="AM437" s="182"/>
      <c r="AN437" s="182"/>
      <c r="AO437" s="182"/>
      <c r="AP437" s="182"/>
      <c r="AQ437" s="185">
        <f t="shared" si="67"/>
        <v>13178</v>
      </c>
      <c r="AR437" s="182">
        <v>13178</v>
      </c>
      <c r="AS437" s="182"/>
      <c r="AT437" s="182"/>
      <c r="AU437" s="182"/>
      <c r="AV437" s="182"/>
      <c r="AW437" s="182"/>
      <c r="AX437" s="182"/>
      <c r="AY437" s="182"/>
      <c r="AZ437" s="182"/>
      <c r="BA437" s="182"/>
      <c r="BB437" s="182"/>
      <c r="BC437" s="182"/>
      <c r="BD437" s="182"/>
      <c r="BE437" s="182"/>
      <c r="BF437" s="182"/>
      <c r="BG437" s="182"/>
      <c r="BH437" s="182"/>
      <c r="BI437" s="182"/>
      <c r="BJ437" s="182"/>
      <c r="BK437" s="182"/>
      <c r="BL437" s="182"/>
      <c r="BM437" s="182"/>
      <c r="BN437" s="182"/>
      <c r="BO437" s="182"/>
      <c r="BP437" s="182"/>
      <c r="BQ437" s="182"/>
      <c r="BR437" s="182"/>
      <c r="BS437" s="182"/>
      <c r="BT437" s="182"/>
      <c r="BU437" s="182"/>
      <c r="BV437" s="182"/>
      <c r="BW437" s="182"/>
      <c r="BX437" s="182"/>
      <c r="BY437" s="182"/>
      <c r="BZ437" s="182"/>
      <c r="CA437" s="182"/>
      <c r="CB437" s="185">
        <f t="shared" si="68"/>
        <v>13178</v>
      </c>
      <c r="CC437" s="185">
        <f t="shared" si="69"/>
        <v>0</v>
      </c>
      <c r="CD437" s="185">
        <f t="shared" si="70"/>
        <v>816</v>
      </c>
      <c r="CE437" s="185" t="e">
        <f>+#REF!</f>
        <v>#REF!</v>
      </c>
    </row>
    <row r="438" spans="2:83" s="197" customFormat="1" ht="75" x14ac:dyDescent="0.3">
      <c r="B438" s="182">
        <v>1966</v>
      </c>
      <c r="C438" s="182">
        <v>817</v>
      </c>
      <c r="D438" s="182" t="s">
        <v>121</v>
      </c>
      <c r="E438" s="181" t="s">
        <v>4699</v>
      </c>
      <c r="F438" s="182"/>
      <c r="G438" s="182"/>
      <c r="H438" s="182"/>
      <c r="I438" s="182"/>
      <c r="J438" s="182"/>
      <c r="K438" s="182">
        <v>119437.8</v>
      </c>
      <c r="L438" s="182">
        <v>119437.8</v>
      </c>
      <c r="M438" s="182">
        <v>119437.8</v>
      </c>
      <c r="N438" s="182"/>
      <c r="O438" s="182"/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  <c r="Z438" s="182"/>
      <c r="AA438" s="182"/>
      <c r="AB438" s="182"/>
      <c r="AC438" s="182"/>
      <c r="AD438" s="182"/>
      <c r="AE438" s="182"/>
      <c r="AF438" s="182"/>
      <c r="AG438" s="182"/>
      <c r="AH438" s="182"/>
      <c r="AI438" s="182"/>
      <c r="AJ438" s="182"/>
      <c r="AK438" s="182"/>
      <c r="AL438" s="182"/>
      <c r="AM438" s="182"/>
      <c r="AN438" s="182"/>
      <c r="AO438" s="182"/>
      <c r="AP438" s="182"/>
      <c r="AQ438" s="185">
        <f t="shared" si="67"/>
        <v>358313.4</v>
      </c>
      <c r="AR438" s="182">
        <v>108509.65</v>
      </c>
      <c r="AS438" s="182">
        <f>728.5+2185.5+14.4</f>
        <v>2928.4</v>
      </c>
      <c r="AT438" s="182"/>
      <c r="AU438" s="182">
        <v>5</v>
      </c>
      <c r="AV438" s="182"/>
      <c r="AW438" s="182"/>
      <c r="AX438" s="182"/>
      <c r="AY438" s="182"/>
      <c r="AZ438" s="182"/>
      <c r="BA438" s="182"/>
      <c r="BB438" s="182"/>
      <c r="BC438" s="182"/>
      <c r="BD438" s="182"/>
      <c r="BE438" s="182">
        <v>1047.25</v>
      </c>
      <c r="BF438" s="182">
        <v>32</v>
      </c>
      <c r="BG438" s="182">
        <f>471.75*2</f>
        <v>943.5</v>
      </c>
      <c r="BH438" s="182">
        <v>5972</v>
      </c>
      <c r="BI438" s="182"/>
      <c r="BJ438" s="182">
        <v>119437.8</v>
      </c>
      <c r="BK438" s="182">
        <v>119437.8</v>
      </c>
      <c r="BL438" s="182"/>
      <c r="BM438" s="182"/>
      <c r="BN438" s="182"/>
      <c r="BO438" s="182"/>
      <c r="BP438" s="182"/>
      <c r="BQ438" s="182"/>
      <c r="BR438" s="182"/>
      <c r="BS438" s="182"/>
      <c r="BT438" s="182"/>
      <c r="BU438" s="182"/>
      <c r="BV438" s="182"/>
      <c r="BW438" s="182"/>
      <c r="BX438" s="182"/>
      <c r="BY438" s="182"/>
      <c r="BZ438" s="182"/>
      <c r="CA438" s="182"/>
      <c r="CB438" s="185">
        <f t="shared" si="68"/>
        <v>358313.39999999997</v>
      </c>
      <c r="CC438" s="185">
        <f t="shared" si="69"/>
        <v>0</v>
      </c>
      <c r="CD438" s="185">
        <f t="shared" si="70"/>
        <v>817</v>
      </c>
      <c r="CE438" s="185" t="e">
        <f>+#REF!</f>
        <v>#REF!</v>
      </c>
    </row>
    <row r="439" spans="2:83" s="197" customFormat="1" ht="56.25" x14ac:dyDescent="0.3">
      <c r="B439" s="182">
        <v>217</v>
      </c>
      <c r="C439" s="182">
        <v>818</v>
      </c>
      <c r="D439" s="182" t="s">
        <v>121</v>
      </c>
      <c r="E439" s="181" t="s">
        <v>4700</v>
      </c>
      <c r="F439" s="182"/>
      <c r="G439" s="182"/>
      <c r="H439" s="182">
        <v>35550</v>
      </c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/>
      <c r="X439" s="182"/>
      <c r="Y439" s="182"/>
      <c r="Z439" s="182"/>
      <c r="AA439" s="182"/>
      <c r="AB439" s="182"/>
      <c r="AC439" s="182"/>
      <c r="AD439" s="182"/>
      <c r="AE439" s="182"/>
      <c r="AF439" s="182"/>
      <c r="AG439" s="182"/>
      <c r="AH439" s="182"/>
      <c r="AI439" s="182"/>
      <c r="AJ439" s="182"/>
      <c r="AK439" s="182"/>
      <c r="AL439" s="182"/>
      <c r="AM439" s="182"/>
      <c r="AN439" s="182"/>
      <c r="AO439" s="182"/>
      <c r="AP439" s="182"/>
      <c r="AQ439" s="185">
        <f t="shared" si="67"/>
        <v>35550</v>
      </c>
      <c r="AR439" s="182">
        <v>32086.7</v>
      </c>
      <c r="AS439" s="182">
        <v>1168.8</v>
      </c>
      <c r="AT439" s="182"/>
      <c r="AU439" s="182">
        <v>5</v>
      </c>
      <c r="AV439" s="182"/>
      <c r="AW439" s="182"/>
      <c r="AX439" s="182"/>
      <c r="AY439" s="182"/>
      <c r="AZ439" s="182"/>
      <c r="BA439" s="182"/>
      <c r="BB439" s="182"/>
      <c r="BC439" s="182"/>
      <c r="BD439" s="182"/>
      <c r="BE439" s="182"/>
      <c r="BF439" s="182">
        <v>44</v>
      </c>
      <c r="BG439" s="182">
        <v>468</v>
      </c>
      <c r="BH439" s="182">
        <v>1777.5</v>
      </c>
      <c r="BI439" s="182"/>
      <c r="BJ439" s="182"/>
      <c r="BK439" s="182"/>
      <c r="BL439" s="182"/>
      <c r="BM439" s="182"/>
      <c r="BN439" s="182"/>
      <c r="BO439" s="182"/>
      <c r="BP439" s="182"/>
      <c r="BQ439" s="182"/>
      <c r="BR439" s="182"/>
      <c r="BS439" s="182"/>
      <c r="BT439" s="182"/>
      <c r="BU439" s="182"/>
      <c r="BV439" s="182"/>
      <c r="BW439" s="182"/>
      <c r="BX439" s="182"/>
      <c r="BY439" s="182"/>
      <c r="BZ439" s="182"/>
      <c r="CA439" s="182"/>
      <c r="CB439" s="185">
        <f t="shared" si="68"/>
        <v>35550</v>
      </c>
      <c r="CC439" s="185">
        <f t="shared" si="69"/>
        <v>0</v>
      </c>
      <c r="CD439" s="185">
        <f t="shared" si="70"/>
        <v>818</v>
      </c>
      <c r="CE439" s="185" t="e">
        <f>+#REF!</f>
        <v>#REF!</v>
      </c>
    </row>
    <row r="440" spans="2:83" s="197" customFormat="1" ht="18.75" x14ac:dyDescent="0.3">
      <c r="B440" s="185"/>
      <c r="C440" s="185"/>
      <c r="D440" s="185"/>
      <c r="E440" s="184" t="s">
        <v>4701</v>
      </c>
      <c r="F440" s="185"/>
      <c r="G440" s="185">
        <f t="shared" ref="G440:AL440" si="71">SUM(G270:G439)</f>
        <v>930889.86</v>
      </c>
      <c r="H440" s="185">
        <f t="shared" si="71"/>
        <v>54728</v>
      </c>
      <c r="I440" s="185">
        <f t="shared" si="71"/>
        <v>0</v>
      </c>
      <c r="J440" s="185">
        <f t="shared" si="71"/>
        <v>0</v>
      </c>
      <c r="K440" s="185">
        <f t="shared" si="71"/>
        <v>859437.8</v>
      </c>
      <c r="L440" s="185">
        <f t="shared" si="71"/>
        <v>859437.8</v>
      </c>
      <c r="M440" s="185">
        <f t="shared" si="71"/>
        <v>859437.8</v>
      </c>
      <c r="N440" s="185">
        <f t="shared" si="71"/>
        <v>0</v>
      </c>
      <c r="O440" s="185">
        <f t="shared" si="71"/>
        <v>6000</v>
      </c>
      <c r="P440" s="185">
        <f t="shared" si="71"/>
        <v>0</v>
      </c>
      <c r="Q440" s="185">
        <f t="shared" si="71"/>
        <v>0</v>
      </c>
      <c r="R440" s="185">
        <f t="shared" si="71"/>
        <v>0</v>
      </c>
      <c r="S440" s="185">
        <f t="shared" si="71"/>
        <v>0</v>
      </c>
      <c r="T440" s="185">
        <f t="shared" si="71"/>
        <v>0</v>
      </c>
      <c r="U440" s="185">
        <f t="shared" si="71"/>
        <v>0</v>
      </c>
      <c r="V440" s="185">
        <f t="shared" si="71"/>
        <v>0</v>
      </c>
      <c r="W440" s="185">
        <f t="shared" si="71"/>
        <v>545829.44999999995</v>
      </c>
      <c r="X440" s="185">
        <f t="shared" si="71"/>
        <v>0</v>
      </c>
      <c r="Y440" s="185">
        <f t="shared" si="71"/>
        <v>0</v>
      </c>
      <c r="Z440" s="185">
        <f t="shared" si="71"/>
        <v>0</v>
      </c>
      <c r="AA440" s="185">
        <f t="shared" si="71"/>
        <v>0</v>
      </c>
      <c r="AB440" s="185">
        <f t="shared" si="71"/>
        <v>0</v>
      </c>
      <c r="AC440" s="185">
        <f t="shared" si="71"/>
        <v>74.83</v>
      </c>
      <c r="AD440" s="185">
        <f t="shared" si="71"/>
        <v>0</v>
      </c>
      <c r="AE440" s="185">
        <f t="shared" si="71"/>
        <v>0</v>
      </c>
      <c r="AF440" s="185">
        <f t="shared" si="71"/>
        <v>0</v>
      </c>
      <c r="AG440" s="185">
        <f t="shared" si="71"/>
        <v>0</v>
      </c>
      <c r="AH440" s="185">
        <f t="shared" si="71"/>
        <v>0</v>
      </c>
      <c r="AI440" s="185">
        <f t="shared" si="71"/>
        <v>0</v>
      </c>
      <c r="AJ440" s="185">
        <f t="shared" si="71"/>
        <v>0</v>
      </c>
      <c r="AK440" s="185">
        <f t="shared" si="71"/>
        <v>0</v>
      </c>
      <c r="AL440" s="185">
        <f t="shared" si="71"/>
        <v>0</v>
      </c>
      <c r="AM440" s="185">
        <f t="shared" ref="AM440:BR440" si="72">SUM(AM270:AM439)</f>
        <v>0</v>
      </c>
      <c r="AN440" s="185">
        <f t="shared" si="72"/>
        <v>0</v>
      </c>
      <c r="AO440" s="185">
        <f t="shared" si="72"/>
        <v>0</v>
      </c>
      <c r="AP440" s="185">
        <f t="shared" si="72"/>
        <v>0</v>
      </c>
      <c r="AQ440" s="185">
        <f t="shared" si="72"/>
        <v>4115835.54</v>
      </c>
      <c r="AR440" s="185">
        <f t="shared" si="72"/>
        <v>2147685.6900000004</v>
      </c>
      <c r="AS440" s="185">
        <f t="shared" si="72"/>
        <v>92545.489999999976</v>
      </c>
      <c r="AT440" s="185">
        <f t="shared" si="72"/>
        <v>137417.00999999998</v>
      </c>
      <c r="AU440" s="185">
        <f t="shared" si="72"/>
        <v>3027.5</v>
      </c>
      <c r="AV440" s="185">
        <f t="shared" si="72"/>
        <v>0</v>
      </c>
      <c r="AW440" s="185">
        <f t="shared" si="72"/>
        <v>0</v>
      </c>
      <c r="AX440" s="185">
        <f t="shared" si="72"/>
        <v>0</v>
      </c>
      <c r="AY440" s="185">
        <f t="shared" si="72"/>
        <v>0</v>
      </c>
      <c r="AZ440" s="185">
        <f t="shared" si="72"/>
        <v>0</v>
      </c>
      <c r="BA440" s="185">
        <f t="shared" si="72"/>
        <v>0</v>
      </c>
      <c r="BB440" s="185">
        <f t="shared" si="72"/>
        <v>0</v>
      </c>
      <c r="BC440" s="185">
        <f t="shared" si="72"/>
        <v>0</v>
      </c>
      <c r="BD440" s="185">
        <f t="shared" si="72"/>
        <v>0</v>
      </c>
      <c r="BE440" s="185">
        <f t="shared" si="72"/>
        <v>1047.25</v>
      </c>
      <c r="BF440" s="185">
        <f t="shared" si="72"/>
        <v>76</v>
      </c>
      <c r="BG440" s="185">
        <f t="shared" si="72"/>
        <v>1411.5</v>
      </c>
      <c r="BH440" s="185">
        <f t="shared" si="72"/>
        <v>7749.5</v>
      </c>
      <c r="BI440" s="185">
        <f t="shared" si="72"/>
        <v>0</v>
      </c>
      <c r="BJ440" s="185">
        <f t="shared" si="72"/>
        <v>859437.8</v>
      </c>
      <c r="BK440" s="185">
        <f t="shared" si="72"/>
        <v>859437.8</v>
      </c>
      <c r="BL440" s="185">
        <f t="shared" si="72"/>
        <v>0</v>
      </c>
      <c r="BM440" s="185">
        <f t="shared" si="72"/>
        <v>6000</v>
      </c>
      <c r="BN440" s="185">
        <f t="shared" si="72"/>
        <v>0</v>
      </c>
      <c r="BO440" s="185">
        <f t="shared" si="72"/>
        <v>0</v>
      </c>
      <c r="BP440" s="185">
        <f t="shared" si="72"/>
        <v>0</v>
      </c>
      <c r="BQ440" s="185">
        <f t="shared" si="72"/>
        <v>0</v>
      </c>
      <c r="BR440" s="185">
        <f t="shared" si="72"/>
        <v>0</v>
      </c>
      <c r="BS440" s="185">
        <f t="shared" ref="BS440:CC440" si="73">SUM(BS270:BS439)</f>
        <v>0</v>
      </c>
      <c r="BT440" s="185">
        <f t="shared" si="73"/>
        <v>0</v>
      </c>
      <c r="BU440" s="185">
        <f t="shared" si="73"/>
        <v>0</v>
      </c>
      <c r="BV440" s="185">
        <f t="shared" si="73"/>
        <v>0</v>
      </c>
      <c r="BW440" s="185">
        <f t="shared" si="73"/>
        <v>0</v>
      </c>
      <c r="BX440" s="185">
        <f t="shared" si="73"/>
        <v>0</v>
      </c>
      <c r="BY440" s="185">
        <f t="shared" si="73"/>
        <v>0</v>
      </c>
      <c r="BZ440" s="185">
        <f t="shared" si="73"/>
        <v>0</v>
      </c>
      <c r="CA440" s="185">
        <f t="shared" si="73"/>
        <v>0</v>
      </c>
      <c r="CB440" s="185">
        <f t="shared" si="73"/>
        <v>4115835.54</v>
      </c>
      <c r="CC440" s="185">
        <f t="shared" si="73"/>
        <v>0</v>
      </c>
      <c r="CD440" s="185"/>
      <c r="CE440" s="185" t="e">
        <f>SUM(CE270:CE439)</f>
        <v>#REF!</v>
      </c>
    </row>
    <row r="441" spans="2:83" s="197" customFormat="1" ht="37.5" x14ac:dyDescent="0.3">
      <c r="B441" s="182">
        <v>1376</v>
      </c>
      <c r="C441" s="182">
        <v>819</v>
      </c>
      <c r="D441" s="182" t="s">
        <v>4635</v>
      </c>
      <c r="E441" s="181" t="s">
        <v>4702</v>
      </c>
      <c r="F441" s="182"/>
      <c r="G441" s="182">
        <v>2462.25</v>
      </c>
      <c r="H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2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2"/>
      <c r="AH441" s="182"/>
      <c r="AI441" s="182"/>
      <c r="AJ441" s="182"/>
      <c r="AK441" s="182"/>
      <c r="AL441" s="182"/>
      <c r="AM441" s="182"/>
      <c r="AN441" s="182"/>
      <c r="AO441" s="182"/>
      <c r="AP441" s="182"/>
      <c r="AQ441" s="185">
        <f t="shared" ref="AQ441:AQ481" si="74">SUM(G441:AP441)</f>
        <v>2462.25</v>
      </c>
      <c r="AR441" s="182">
        <v>1647.5</v>
      </c>
      <c r="AS441" s="182">
        <v>221.5</v>
      </c>
      <c r="AT441" s="182">
        <v>593.25</v>
      </c>
      <c r="AU441" s="182"/>
      <c r="AV441" s="182"/>
      <c r="AW441" s="182"/>
      <c r="AX441" s="182"/>
      <c r="AY441" s="182"/>
      <c r="AZ441" s="182"/>
      <c r="BA441" s="182"/>
      <c r="BB441" s="182"/>
      <c r="BC441" s="182"/>
      <c r="BD441" s="182"/>
      <c r="BE441" s="182"/>
      <c r="BF441" s="182"/>
      <c r="BG441" s="182"/>
      <c r="BH441" s="182"/>
      <c r="BI441" s="182"/>
      <c r="BJ441" s="182"/>
      <c r="BK441" s="182"/>
      <c r="BL441" s="182"/>
      <c r="BM441" s="182"/>
      <c r="BN441" s="182"/>
      <c r="BO441" s="182"/>
      <c r="BP441" s="182"/>
      <c r="BQ441" s="182"/>
      <c r="BR441" s="182"/>
      <c r="BS441" s="182"/>
      <c r="BT441" s="182"/>
      <c r="BU441" s="182"/>
      <c r="BV441" s="182"/>
      <c r="BW441" s="182"/>
      <c r="BX441" s="182"/>
      <c r="BY441" s="182"/>
      <c r="BZ441" s="182"/>
      <c r="CA441" s="182"/>
      <c r="CB441" s="185">
        <f t="shared" ref="CB441:CB481" si="75">SUM(AR441:CA441)</f>
        <v>2462.25</v>
      </c>
      <c r="CC441" s="185">
        <f t="shared" ref="CC441:CC481" si="76">+CB441-AQ441</f>
        <v>0</v>
      </c>
      <c r="CD441" s="185">
        <f t="shared" ref="CD441:CD481" si="77">+C441</f>
        <v>819</v>
      </c>
      <c r="CE441" s="185" t="e">
        <f>+#REF!</f>
        <v>#REF!</v>
      </c>
    </row>
    <row r="442" spans="2:83" s="197" customFormat="1" ht="37.5" x14ac:dyDescent="0.3">
      <c r="B442" s="182">
        <v>1378</v>
      </c>
      <c r="C442" s="182">
        <v>820</v>
      </c>
      <c r="D442" s="182" t="s">
        <v>4635</v>
      </c>
      <c r="E442" s="181" t="s">
        <v>4703</v>
      </c>
      <c r="F442" s="182"/>
      <c r="G442" s="182">
        <v>9671.24</v>
      </c>
      <c r="H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2"/>
      <c r="X442" s="182"/>
      <c r="Y442" s="182"/>
      <c r="Z442" s="182"/>
      <c r="AA442" s="182"/>
      <c r="AB442" s="182"/>
      <c r="AC442" s="182"/>
      <c r="AD442" s="182"/>
      <c r="AE442" s="182"/>
      <c r="AF442" s="182"/>
      <c r="AG442" s="182"/>
      <c r="AH442" s="182"/>
      <c r="AI442" s="182"/>
      <c r="AJ442" s="182"/>
      <c r="AK442" s="182"/>
      <c r="AL442" s="182"/>
      <c r="AM442" s="182"/>
      <c r="AN442" s="182"/>
      <c r="AO442" s="182"/>
      <c r="AP442" s="182"/>
      <c r="AQ442" s="185">
        <f t="shared" si="74"/>
        <v>9671.24</v>
      </c>
      <c r="AR442" s="182">
        <v>7309.62</v>
      </c>
      <c r="AS442" s="182">
        <v>934.8</v>
      </c>
      <c r="AT442" s="182">
        <v>1426.82</v>
      </c>
      <c r="AU442" s="182"/>
      <c r="AV442" s="182"/>
      <c r="AW442" s="182"/>
      <c r="AX442" s="182"/>
      <c r="AY442" s="182"/>
      <c r="AZ442" s="182"/>
      <c r="BA442" s="182"/>
      <c r="BB442" s="182"/>
      <c r="BC442" s="182"/>
      <c r="BD442" s="182"/>
      <c r="BE442" s="182"/>
      <c r="BF442" s="182"/>
      <c r="BG442" s="182"/>
      <c r="BH442" s="182"/>
      <c r="BI442" s="182"/>
      <c r="BJ442" s="182"/>
      <c r="BK442" s="182"/>
      <c r="BL442" s="182"/>
      <c r="BM442" s="182"/>
      <c r="BN442" s="182"/>
      <c r="BO442" s="182"/>
      <c r="BP442" s="182"/>
      <c r="BQ442" s="182"/>
      <c r="BR442" s="182"/>
      <c r="BS442" s="182"/>
      <c r="BT442" s="182"/>
      <c r="BU442" s="182"/>
      <c r="BV442" s="182"/>
      <c r="BW442" s="182"/>
      <c r="BX442" s="182"/>
      <c r="BY442" s="182"/>
      <c r="BZ442" s="182"/>
      <c r="CA442" s="182"/>
      <c r="CB442" s="185">
        <f t="shared" si="75"/>
        <v>9671.24</v>
      </c>
      <c r="CC442" s="185">
        <f t="shared" si="76"/>
        <v>0</v>
      </c>
      <c r="CD442" s="185">
        <f t="shared" si="77"/>
        <v>820</v>
      </c>
      <c r="CE442" s="185" t="e">
        <f>+#REF!</f>
        <v>#REF!</v>
      </c>
    </row>
    <row r="443" spans="2:83" s="197" customFormat="1" ht="37.5" x14ac:dyDescent="0.3">
      <c r="B443" s="182">
        <v>1377</v>
      </c>
      <c r="C443" s="182">
        <v>821</v>
      </c>
      <c r="D443" s="182" t="s">
        <v>4635</v>
      </c>
      <c r="E443" s="181" t="s">
        <v>4704</v>
      </c>
      <c r="F443" s="182"/>
      <c r="G443" s="182">
        <v>1231.1199999999999</v>
      </c>
      <c r="H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2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2"/>
      <c r="AH443" s="182"/>
      <c r="AI443" s="182"/>
      <c r="AJ443" s="182"/>
      <c r="AK443" s="182"/>
      <c r="AL443" s="182"/>
      <c r="AM443" s="182"/>
      <c r="AN443" s="182"/>
      <c r="AO443" s="182"/>
      <c r="AP443" s="182"/>
      <c r="AQ443" s="185">
        <f t="shared" si="74"/>
        <v>1231.1199999999999</v>
      </c>
      <c r="AR443" s="182">
        <v>822.85</v>
      </c>
      <c r="AS443" s="182">
        <v>111.65</v>
      </c>
      <c r="AT443" s="182">
        <v>296.62</v>
      </c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182"/>
      <c r="BK443" s="182"/>
      <c r="BL443" s="182"/>
      <c r="BM443" s="182"/>
      <c r="BN443" s="182"/>
      <c r="BO443" s="182"/>
      <c r="BP443" s="182"/>
      <c r="BQ443" s="182"/>
      <c r="BR443" s="182"/>
      <c r="BS443" s="182"/>
      <c r="BT443" s="182"/>
      <c r="BU443" s="182"/>
      <c r="BV443" s="182"/>
      <c r="BW443" s="182"/>
      <c r="BX443" s="182"/>
      <c r="BY443" s="182"/>
      <c r="BZ443" s="182"/>
      <c r="CA443" s="182"/>
      <c r="CB443" s="185">
        <f t="shared" si="75"/>
        <v>1231.1199999999999</v>
      </c>
      <c r="CC443" s="185">
        <f t="shared" si="76"/>
        <v>0</v>
      </c>
      <c r="CD443" s="185">
        <f t="shared" si="77"/>
        <v>821</v>
      </c>
      <c r="CE443" s="185" t="e">
        <f>+#REF!</f>
        <v>#REF!</v>
      </c>
    </row>
    <row r="444" spans="2:83" s="197" customFormat="1" ht="37.5" x14ac:dyDescent="0.3">
      <c r="B444" s="182">
        <v>1379</v>
      </c>
      <c r="C444" s="182">
        <v>822</v>
      </c>
      <c r="D444" s="182" t="s">
        <v>4635</v>
      </c>
      <c r="E444" s="181" t="s">
        <v>4705</v>
      </c>
      <c r="F444" s="182"/>
      <c r="G444" s="182">
        <v>1000</v>
      </c>
      <c r="H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2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2"/>
      <c r="AH444" s="182"/>
      <c r="AI444" s="182"/>
      <c r="AJ444" s="182"/>
      <c r="AK444" s="182"/>
      <c r="AL444" s="182"/>
      <c r="AM444" s="182"/>
      <c r="AN444" s="182"/>
      <c r="AO444" s="182"/>
      <c r="AP444" s="182"/>
      <c r="AQ444" s="185">
        <f t="shared" si="74"/>
        <v>1000</v>
      </c>
      <c r="AR444" s="182">
        <v>982.87</v>
      </c>
      <c r="AS444" s="182">
        <v>17.13</v>
      </c>
      <c r="AT444" s="182"/>
      <c r="AU444" s="182"/>
      <c r="AV444" s="182"/>
      <c r="AW444" s="182"/>
      <c r="AX444" s="182"/>
      <c r="AY444" s="182"/>
      <c r="AZ444" s="182"/>
      <c r="BA444" s="182"/>
      <c r="BB444" s="182"/>
      <c r="BC444" s="182"/>
      <c r="BD444" s="182"/>
      <c r="BE444" s="182"/>
      <c r="BF444" s="182"/>
      <c r="BG444" s="182"/>
      <c r="BH444" s="182"/>
      <c r="BI444" s="182"/>
      <c r="BJ444" s="182"/>
      <c r="BK444" s="182"/>
      <c r="BL444" s="182"/>
      <c r="BM444" s="182"/>
      <c r="BN444" s="182"/>
      <c r="BO444" s="182"/>
      <c r="BP444" s="182"/>
      <c r="BQ444" s="182"/>
      <c r="BR444" s="182"/>
      <c r="BS444" s="182"/>
      <c r="BT444" s="182"/>
      <c r="BU444" s="182"/>
      <c r="BV444" s="182"/>
      <c r="BW444" s="182"/>
      <c r="BX444" s="182"/>
      <c r="BY444" s="182"/>
      <c r="BZ444" s="182"/>
      <c r="CA444" s="182"/>
      <c r="CB444" s="185">
        <f t="shared" si="75"/>
        <v>1000</v>
      </c>
      <c r="CC444" s="185">
        <f t="shared" si="76"/>
        <v>0</v>
      </c>
      <c r="CD444" s="185">
        <f t="shared" si="77"/>
        <v>822</v>
      </c>
      <c r="CE444" s="185" t="e">
        <f>+#REF!</f>
        <v>#REF!</v>
      </c>
    </row>
    <row r="445" spans="2:83" s="197" customFormat="1" ht="37.5" x14ac:dyDescent="0.3">
      <c r="B445" s="182">
        <v>1365</v>
      </c>
      <c r="C445" s="182">
        <v>823</v>
      </c>
      <c r="D445" s="182" t="s">
        <v>4635</v>
      </c>
      <c r="E445" s="181" t="s">
        <v>4706</v>
      </c>
      <c r="F445" s="182"/>
      <c r="G445" s="182">
        <v>25862.83</v>
      </c>
      <c r="H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2"/>
      <c r="X445" s="182"/>
      <c r="Y445" s="182"/>
      <c r="Z445" s="182"/>
      <c r="AA445" s="182"/>
      <c r="AB445" s="182"/>
      <c r="AC445" s="182"/>
      <c r="AD445" s="182"/>
      <c r="AE445" s="182"/>
      <c r="AF445" s="182"/>
      <c r="AG445" s="182"/>
      <c r="AH445" s="182"/>
      <c r="AI445" s="182"/>
      <c r="AJ445" s="182"/>
      <c r="AK445" s="182"/>
      <c r="AL445" s="182"/>
      <c r="AM445" s="182"/>
      <c r="AN445" s="182"/>
      <c r="AO445" s="182"/>
      <c r="AP445" s="182"/>
      <c r="AQ445" s="185">
        <f t="shared" si="74"/>
        <v>25862.83</v>
      </c>
      <c r="AR445" s="182">
        <v>17543.25</v>
      </c>
      <c r="AS445" s="182">
        <v>2329.1999999999998</v>
      </c>
      <c r="AT445" s="182">
        <v>5990.38</v>
      </c>
      <c r="AU445" s="182"/>
      <c r="AV445" s="182"/>
      <c r="AW445" s="182"/>
      <c r="AX445" s="182"/>
      <c r="AY445" s="182"/>
      <c r="AZ445" s="182"/>
      <c r="BA445" s="182"/>
      <c r="BB445" s="182"/>
      <c r="BC445" s="182"/>
      <c r="BD445" s="182"/>
      <c r="BE445" s="182"/>
      <c r="BF445" s="182"/>
      <c r="BG445" s="182"/>
      <c r="BH445" s="182"/>
      <c r="BI445" s="182"/>
      <c r="BJ445" s="182"/>
      <c r="BK445" s="182"/>
      <c r="BL445" s="182"/>
      <c r="BM445" s="182"/>
      <c r="BN445" s="182"/>
      <c r="BO445" s="182"/>
      <c r="BP445" s="182"/>
      <c r="BQ445" s="182"/>
      <c r="BR445" s="182"/>
      <c r="BS445" s="182"/>
      <c r="BT445" s="182"/>
      <c r="BU445" s="182"/>
      <c r="BV445" s="182"/>
      <c r="BW445" s="182"/>
      <c r="BX445" s="182"/>
      <c r="BY445" s="182"/>
      <c r="BZ445" s="182"/>
      <c r="CA445" s="182"/>
      <c r="CB445" s="185">
        <f t="shared" si="75"/>
        <v>25862.83</v>
      </c>
      <c r="CC445" s="185">
        <f t="shared" si="76"/>
        <v>0</v>
      </c>
      <c r="CD445" s="185">
        <f t="shared" si="77"/>
        <v>823</v>
      </c>
      <c r="CE445" s="185" t="e">
        <f>+#REF!</f>
        <v>#REF!</v>
      </c>
    </row>
    <row r="446" spans="2:83" s="197" customFormat="1" ht="37.5" x14ac:dyDescent="0.3">
      <c r="B446" s="182">
        <v>1363</v>
      </c>
      <c r="C446" s="182">
        <v>824</v>
      </c>
      <c r="D446" s="182" t="s">
        <v>4635</v>
      </c>
      <c r="E446" s="181" t="s">
        <v>4706</v>
      </c>
      <c r="F446" s="182"/>
      <c r="G446" s="182">
        <v>3300.58</v>
      </c>
      <c r="H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2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2"/>
      <c r="AH446" s="182"/>
      <c r="AI446" s="182"/>
      <c r="AJ446" s="182"/>
      <c r="AK446" s="182"/>
      <c r="AL446" s="182"/>
      <c r="AM446" s="182"/>
      <c r="AN446" s="182"/>
      <c r="AO446" s="182"/>
      <c r="AP446" s="182"/>
      <c r="AQ446" s="185">
        <f t="shared" si="74"/>
        <v>3300.58</v>
      </c>
      <c r="AR446" s="182">
        <v>2210.4499999999998</v>
      </c>
      <c r="AS446" s="182">
        <v>294.89999999999998</v>
      </c>
      <c r="AT446" s="182">
        <v>795.23</v>
      </c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182"/>
      <c r="BK446" s="182"/>
      <c r="BL446" s="182"/>
      <c r="BM446" s="182"/>
      <c r="BN446" s="182"/>
      <c r="BO446" s="182"/>
      <c r="BP446" s="182"/>
      <c r="BQ446" s="182"/>
      <c r="BR446" s="182"/>
      <c r="BS446" s="182"/>
      <c r="BT446" s="182"/>
      <c r="BU446" s="182"/>
      <c r="BV446" s="182"/>
      <c r="BW446" s="182"/>
      <c r="BX446" s="182"/>
      <c r="BY446" s="182"/>
      <c r="BZ446" s="182"/>
      <c r="CA446" s="182"/>
      <c r="CB446" s="185">
        <f t="shared" si="75"/>
        <v>3300.58</v>
      </c>
      <c r="CC446" s="185">
        <f t="shared" si="76"/>
        <v>0</v>
      </c>
      <c r="CD446" s="185">
        <f t="shared" si="77"/>
        <v>824</v>
      </c>
      <c r="CE446" s="185" t="e">
        <f>+#REF!</f>
        <v>#REF!</v>
      </c>
    </row>
    <row r="447" spans="2:83" s="197" customFormat="1" ht="37.5" x14ac:dyDescent="0.3">
      <c r="B447" s="182">
        <v>1364</v>
      </c>
      <c r="C447" s="182">
        <v>825</v>
      </c>
      <c r="D447" s="182" t="s">
        <v>4635</v>
      </c>
      <c r="E447" s="181" t="s">
        <v>4706</v>
      </c>
      <c r="F447" s="182"/>
      <c r="G447" s="182">
        <v>328.3</v>
      </c>
      <c r="H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2"/>
      <c r="X447" s="182"/>
      <c r="Y447" s="182"/>
      <c r="Z447" s="182"/>
      <c r="AA447" s="182"/>
      <c r="AB447" s="182"/>
      <c r="AC447" s="182"/>
      <c r="AD447" s="182"/>
      <c r="AE447" s="182"/>
      <c r="AF447" s="182"/>
      <c r="AG447" s="182"/>
      <c r="AH447" s="182"/>
      <c r="AI447" s="182"/>
      <c r="AJ447" s="182"/>
      <c r="AK447" s="182"/>
      <c r="AL447" s="182"/>
      <c r="AM447" s="182"/>
      <c r="AN447" s="182"/>
      <c r="AO447" s="182"/>
      <c r="AP447" s="182"/>
      <c r="AQ447" s="185">
        <f t="shared" si="74"/>
        <v>328.3</v>
      </c>
      <c r="AR447" s="182">
        <v>219.9</v>
      </c>
      <c r="AS447" s="182">
        <v>29.3</v>
      </c>
      <c r="AT447" s="182">
        <v>79.099999999999994</v>
      </c>
      <c r="AU447" s="182"/>
      <c r="AV447" s="182"/>
      <c r="AW447" s="182"/>
      <c r="AX447" s="182"/>
      <c r="AY447" s="182"/>
      <c r="AZ447" s="182"/>
      <c r="BA447" s="182"/>
      <c r="BB447" s="182"/>
      <c r="BC447" s="182"/>
      <c r="BD447" s="182"/>
      <c r="BE447" s="182"/>
      <c r="BF447" s="182"/>
      <c r="BG447" s="182"/>
      <c r="BH447" s="182"/>
      <c r="BI447" s="182"/>
      <c r="BJ447" s="182"/>
      <c r="BK447" s="182"/>
      <c r="BL447" s="182"/>
      <c r="BM447" s="182"/>
      <c r="BN447" s="182"/>
      <c r="BO447" s="182"/>
      <c r="BP447" s="182"/>
      <c r="BQ447" s="182"/>
      <c r="BR447" s="182"/>
      <c r="BS447" s="182"/>
      <c r="BT447" s="182"/>
      <c r="BU447" s="182"/>
      <c r="BV447" s="182"/>
      <c r="BW447" s="182"/>
      <c r="BX447" s="182"/>
      <c r="BY447" s="182"/>
      <c r="BZ447" s="182"/>
      <c r="CA447" s="182"/>
      <c r="CB447" s="185">
        <f t="shared" si="75"/>
        <v>328.3</v>
      </c>
      <c r="CC447" s="185">
        <f t="shared" si="76"/>
        <v>0</v>
      </c>
      <c r="CD447" s="185">
        <f t="shared" si="77"/>
        <v>825</v>
      </c>
      <c r="CE447" s="185" t="e">
        <f>+#REF!</f>
        <v>#REF!</v>
      </c>
    </row>
    <row r="448" spans="2:83" s="197" customFormat="1" ht="37.5" x14ac:dyDescent="0.3">
      <c r="B448" s="182">
        <v>1362</v>
      </c>
      <c r="C448" s="182">
        <v>826</v>
      </c>
      <c r="D448" s="182" t="s">
        <v>4635</v>
      </c>
      <c r="E448" s="181" t="s">
        <v>4706</v>
      </c>
      <c r="F448" s="182"/>
      <c r="G448" s="182">
        <v>1371.82</v>
      </c>
      <c r="H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  <c r="Z448" s="182"/>
      <c r="AA448" s="182"/>
      <c r="AB448" s="182"/>
      <c r="AC448" s="182"/>
      <c r="AD448" s="182"/>
      <c r="AE448" s="182"/>
      <c r="AF448" s="182"/>
      <c r="AG448" s="182"/>
      <c r="AH448" s="182"/>
      <c r="AI448" s="182"/>
      <c r="AJ448" s="182"/>
      <c r="AK448" s="182"/>
      <c r="AL448" s="182"/>
      <c r="AM448" s="182"/>
      <c r="AN448" s="182"/>
      <c r="AO448" s="182"/>
      <c r="AP448" s="182"/>
      <c r="AQ448" s="185">
        <f t="shared" si="74"/>
        <v>1371.82</v>
      </c>
      <c r="AR448" s="182">
        <v>918.25</v>
      </c>
      <c r="AS448" s="182">
        <v>123.05</v>
      </c>
      <c r="AT448" s="182">
        <v>330.52</v>
      </c>
      <c r="AU448" s="182"/>
      <c r="AV448" s="182"/>
      <c r="AW448" s="182"/>
      <c r="AX448" s="182"/>
      <c r="AY448" s="182"/>
      <c r="AZ448" s="182"/>
      <c r="BA448" s="182"/>
      <c r="BB448" s="182"/>
      <c r="BC448" s="182"/>
      <c r="BD448" s="182"/>
      <c r="BE448" s="182"/>
      <c r="BF448" s="182"/>
      <c r="BG448" s="182"/>
      <c r="BH448" s="182"/>
      <c r="BI448" s="182"/>
      <c r="BJ448" s="182"/>
      <c r="BK448" s="182"/>
      <c r="BL448" s="182"/>
      <c r="BM448" s="182"/>
      <c r="BN448" s="182"/>
      <c r="BO448" s="182"/>
      <c r="BP448" s="182"/>
      <c r="BQ448" s="182"/>
      <c r="BR448" s="182"/>
      <c r="BS448" s="182"/>
      <c r="BT448" s="182"/>
      <c r="BU448" s="182"/>
      <c r="BV448" s="182"/>
      <c r="BW448" s="182"/>
      <c r="BX448" s="182"/>
      <c r="BY448" s="182"/>
      <c r="BZ448" s="182"/>
      <c r="CA448" s="182"/>
      <c r="CB448" s="185">
        <f t="shared" si="75"/>
        <v>1371.82</v>
      </c>
      <c r="CC448" s="185">
        <f t="shared" si="76"/>
        <v>0</v>
      </c>
      <c r="CD448" s="185">
        <f t="shared" si="77"/>
        <v>826</v>
      </c>
      <c r="CE448" s="185" t="e">
        <f>+#REF!</f>
        <v>#REF!</v>
      </c>
    </row>
    <row r="449" spans="2:83" s="197" customFormat="1" ht="37.5" x14ac:dyDescent="0.3">
      <c r="B449" s="182">
        <v>1367</v>
      </c>
      <c r="C449" s="182">
        <v>827</v>
      </c>
      <c r="D449" s="182" t="s">
        <v>4635</v>
      </c>
      <c r="E449" s="181" t="s">
        <v>4706</v>
      </c>
      <c r="F449" s="182"/>
      <c r="G449" s="182">
        <v>6946.79</v>
      </c>
      <c r="H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2"/>
      <c r="AH449" s="182"/>
      <c r="AI449" s="182"/>
      <c r="AJ449" s="182"/>
      <c r="AK449" s="182"/>
      <c r="AL449" s="182"/>
      <c r="AM449" s="182"/>
      <c r="AN449" s="182"/>
      <c r="AO449" s="182"/>
      <c r="AP449" s="182"/>
      <c r="AQ449" s="185">
        <f t="shared" si="74"/>
        <v>6946.79</v>
      </c>
      <c r="AR449" s="182">
        <v>6026.1</v>
      </c>
      <c r="AS449" s="182">
        <v>270.89999999999998</v>
      </c>
      <c r="AT449" s="182">
        <v>649.79</v>
      </c>
      <c r="AU449" s="182"/>
      <c r="AV449" s="182"/>
      <c r="AW449" s="182"/>
      <c r="AX449" s="182"/>
      <c r="AY449" s="182"/>
      <c r="AZ449" s="182"/>
      <c r="BA449" s="182"/>
      <c r="BB449" s="182"/>
      <c r="BC449" s="182"/>
      <c r="BD449" s="182"/>
      <c r="BE449" s="182"/>
      <c r="BF449" s="182"/>
      <c r="BG449" s="182"/>
      <c r="BH449" s="182"/>
      <c r="BI449" s="182"/>
      <c r="BJ449" s="182"/>
      <c r="BK449" s="182"/>
      <c r="BL449" s="182"/>
      <c r="BM449" s="182"/>
      <c r="BN449" s="182"/>
      <c r="BO449" s="182"/>
      <c r="BP449" s="182"/>
      <c r="BQ449" s="182"/>
      <c r="BR449" s="182"/>
      <c r="BS449" s="182"/>
      <c r="BT449" s="182"/>
      <c r="BU449" s="182"/>
      <c r="BV449" s="182"/>
      <c r="BW449" s="182"/>
      <c r="BX449" s="182"/>
      <c r="BY449" s="182"/>
      <c r="BZ449" s="182"/>
      <c r="CA449" s="182"/>
      <c r="CB449" s="185">
        <f t="shared" si="75"/>
        <v>6946.79</v>
      </c>
      <c r="CC449" s="185">
        <f t="shared" si="76"/>
        <v>0</v>
      </c>
      <c r="CD449" s="185">
        <f t="shared" si="77"/>
        <v>827</v>
      </c>
      <c r="CE449" s="185" t="e">
        <f>+#REF!</f>
        <v>#REF!</v>
      </c>
    </row>
    <row r="450" spans="2:83" s="197" customFormat="1" ht="37.5" x14ac:dyDescent="0.3">
      <c r="B450" s="182">
        <v>1366</v>
      </c>
      <c r="C450" s="182">
        <v>828</v>
      </c>
      <c r="D450" s="182" t="s">
        <v>4635</v>
      </c>
      <c r="E450" s="181" t="s">
        <v>4706</v>
      </c>
      <c r="F450" s="182"/>
      <c r="G450" s="182">
        <v>600</v>
      </c>
      <c r="H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2"/>
      <c r="AH450" s="182"/>
      <c r="AI450" s="182"/>
      <c r="AJ450" s="182"/>
      <c r="AK450" s="182"/>
      <c r="AL450" s="182"/>
      <c r="AM450" s="182"/>
      <c r="AN450" s="182"/>
      <c r="AO450" s="182"/>
      <c r="AP450" s="182"/>
      <c r="AQ450" s="185">
        <f t="shared" si="74"/>
        <v>600</v>
      </c>
      <c r="AR450" s="182">
        <v>536.15</v>
      </c>
      <c r="AS450" s="182">
        <v>63.85</v>
      </c>
      <c r="AT450" s="182"/>
      <c r="AU450" s="182"/>
      <c r="AV450" s="182"/>
      <c r="AW450" s="182"/>
      <c r="AX450" s="182"/>
      <c r="AY450" s="182"/>
      <c r="AZ450" s="182"/>
      <c r="BA450" s="182"/>
      <c r="BB450" s="182"/>
      <c r="BC450" s="182"/>
      <c r="BD450" s="182"/>
      <c r="BE450" s="182"/>
      <c r="BF450" s="182"/>
      <c r="BG450" s="182"/>
      <c r="BH450" s="182"/>
      <c r="BI450" s="182"/>
      <c r="BJ450" s="182"/>
      <c r="BK450" s="182"/>
      <c r="BL450" s="182"/>
      <c r="BM450" s="182"/>
      <c r="BN450" s="182"/>
      <c r="BO450" s="182"/>
      <c r="BP450" s="182"/>
      <c r="BQ450" s="182"/>
      <c r="BR450" s="182"/>
      <c r="BS450" s="182"/>
      <c r="BT450" s="182"/>
      <c r="BU450" s="182"/>
      <c r="BV450" s="182"/>
      <c r="BW450" s="182"/>
      <c r="BX450" s="182"/>
      <c r="BY450" s="182"/>
      <c r="BZ450" s="182"/>
      <c r="CA450" s="182"/>
      <c r="CB450" s="185">
        <f t="shared" si="75"/>
        <v>600</v>
      </c>
      <c r="CC450" s="185">
        <f t="shared" si="76"/>
        <v>0</v>
      </c>
      <c r="CD450" s="185">
        <f t="shared" si="77"/>
        <v>828</v>
      </c>
      <c r="CE450" s="185" t="e">
        <f>+#REF!</f>
        <v>#REF!</v>
      </c>
    </row>
    <row r="451" spans="2:83" s="197" customFormat="1" ht="37.5" x14ac:dyDescent="0.3">
      <c r="B451" s="182">
        <v>1369</v>
      </c>
      <c r="C451" s="182">
        <v>829</v>
      </c>
      <c r="D451" s="182" t="s">
        <v>4635</v>
      </c>
      <c r="E451" s="181" t="s">
        <v>4707</v>
      </c>
      <c r="F451" s="182"/>
      <c r="G451" s="182">
        <v>2931.25</v>
      </c>
      <c r="H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  <c r="Z451" s="182"/>
      <c r="AA451" s="182"/>
      <c r="AB451" s="182"/>
      <c r="AC451" s="182"/>
      <c r="AD451" s="182"/>
      <c r="AE451" s="182"/>
      <c r="AF451" s="182"/>
      <c r="AG451" s="182"/>
      <c r="AH451" s="182"/>
      <c r="AI451" s="182"/>
      <c r="AJ451" s="182"/>
      <c r="AK451" s="182"/>
      <c r="AL451" s="182"/>
      <c r="AM451" s="182"/>
      <c r="AN451" s="182"/>
      <c r="AO451" s="182"/>
      <c r="AP451" s="182"/>
      <c r="AQ451" s="185">
        <f t="shared" si="74"/>
        <v>2931.25</v>
      </c>
      <c r="AR451" s="182">
        <v>1958.65</v>
      </c>
      <c r="AS451" s="182">
        <v>266.35000000000002</v>
      </c>
      <c r="AT451" s="182">
        <v>706.25</v>
      </c>
      <c r="AU451" s="182"/>
      <c r="AV451" s="182"/>
      <c r="AW451" s="182"/>
      <c r="AX451" s="182"/>
      <c r="AY451" s="182"/>
      <c r="AZ451" s="182"/>
      <c r="BA451" s="182"/>
      <c r="BB451" s="182"/>
      <c r="BC451" s="182"/>
      <c r="BD451" s="182"/>
      <c r="BE451" s="182"/>
      <c r="BF451" s="182"/>
      <c r="BG451" s="182"/>
      <c r="BH451" s="182"/>
      <c r="BI451" s="182"/>
      <c r="BJ451" s="182"/>
      <c r="BK451" s="182"/>
      <c r="BL451" s="182"/>
      <c r="BM451" s="182"/>
      <c r="BN451" s="182"/>
      <c r="BO451" s="182"/>
      <c r="BP451" s="182"/>
      <c r="BQ451" s="182"/>
      <c r="BR451" s="182"/>
      <c r="BS451" s="182"/>
      <c r="BT451" s="182"/>
      <c r="BU451" s="182"/>
      <c r="BV451" s="182"/>
      <c r="BW451" s="182"/>
      <c r="BX451" s="182"/>
      <c r="BY451" s="182"/>
      <c r="BZ451" s="182"/>
      <c r="CA451" s="182"/>
      <c r="CB451" s="185">
        <f t="shared" si="75"/>
        <v>2931.25</v>
      </c>
      <c r="CC451" s="185">
        <f t="shared" si="76"/>
        <v>0</v>
      </c>
      <c r="CD451" s="185">
        <f t="shared" si="77"/>
        <v>829</v>
      </c>
      <c r="CE451" s="185" t="e">
        <f>+#REF!</f>
        <v>#REF!</v>
      </c>
    </row>
    <row r="452" spans="2:83" s="197" customFormat="1" ht="37.5" x14ac:dyDescent="0.3">
      <c r="B452" s="182">
        <v>1368</v>
      </c>
      <c r="C452" s="182">
        <v>830</v>
      </c>
      <c r="D452" s="182" t="s">
        <v>4635</v>
      </c>
      <c r="E452" s="181" t="s">
        <v>4707</v>
      </c>
      <c r="F452" s="182"/>
      <c r="G452" s="182">
        <v>2931.25</v>
      </c>
      <c r="H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2"/>
      <c r="AH452" s="182"/>
      <c r="AI452" s="182"/>
      <c r="AJ452" s="182"/>
      <c r="AK452" s="182"/>
      <c r="AL452" s="182"/>
      <c r="AM452" s="182"/>
      <c r="AN452" s="182"/>
      <c r="AO452" s="182"/>
      <c r="AP452" s="182"/>
      <c r="AQ452" s="185">
        <f t="shared" si="74"/>
        <v>2931.25</v>
      </c>
      <c r="AR452" s="182">
        <v>1956.62</v>
      </c>
      <c r="AS452" s="182">
        <v>268.38</v>
      </c>
      <c r="AT452" s="182">
        <v>706.25</v>
      </c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182"/>
      <c r="BK452" s="182"/>
      <c r="BL452" s="182"/>
      <c r="BM452" s="182"/>
      <c r="BN452" s="182"/>
      <c r="BO452" s="182"/>
      <c r="BP452" s="182"/>
      <c r="BQ452" s="182"/>
      <c r="BR452" s="182"/>
      <c r="BS452" s="182"/>
      <c r="BT452" s="182"/>
      <c r="BU452" s="182"/>
      <c r="BV452" s="182"/>
      <c r="BW452" s="182"/>
      <c r="BX452" s="182"/>
      <c r="BY452" s="182"/>
      <c r="BZ452" s="182"/>
      <c r="CA452" s="182"/>
      <c r="CB452" s="185">
        <f t="shared" si="75"/>
        <v>2931.25</v>
      </c>
      <c r="CC452" s="185">
        <f t="shared" si="76"/>
        <v>0</v>
      </c>
      <c r="CD452" s="185">
        <f t="shared" si="77"/>
        <v>830</v>
      </c>
      <c r="CE452" s="185" t="e">
        <f>+#REF!</f>
        <v>#REF!</v>
      </c>
    </row>
    <row r="453" spans="2:83" s="197" customFormat="1" ht="37.5" x14ac:dyDescent="0.3">
      <c r="B453" s="182">
        <v>1375</v>
      </c>
      <c r="C453" s="182">
        <v>831</v>
      </c>
      <c r="D453" s="182" t="s">
        <v>4635</v>
      </c>
      <c r="E453" s="181" t="s">
        <v>4708</v>
      </c>
      <c r="F453" s="182"/>
      <c r="G453" s="182">
        <v>293.12</v>
      </c>
      <c r="H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2"/>
      <c r="AH453" s="182"/>
      <c r="AI453" s="182"/>
      <c r="AJ453" s="182"/>
      <c r="AK453" s="182"/>
      <c r="AL453" s="182"/>
      <c r="AM453" s="182"/>
      <c r="AN453" s="182"/>
      <c r="AO453" s="182"/>
      <c r="AP453" s="182"/>
      <c r="AQ453" s="185">
        <f t="shared" si="74"/>
        <v>293.12</v>
      </c>
      <c r="AR453" s="182">
        <v>196.45</v>
      </c>
      <c r="AS453" s="182">
        <v>26.05</v>
      </c>
      <c r="AT453" s="182">
        <v>70.62</v>
      </c>
      <c r="AU453" s="182"/>
      <c r="AV453" s="182"/>
      <c r="AW453" s="182"/>
      <c r="AX453" s="182"/>
      <c r="AY453" s="182"/>
      <c r="AZ453" s="182"/>
      <c r="BA453" s="182"/>
      <c r="BB453" s="182"/>
      <c r="BC453" s="182"/>
      <c r="BD453" s="182"/>
      <c r="BE453" s="182"/>
      <c r="BF453" s="182"/>
      <c r="BG453" s="182"/>
      <c r="BH453" s="182"/>
      <c r="BI453" s="182"/>
      <c r="BJ453" s="182"/>
      <c r="BK453" s="182"/>
      <c r="BL453" s="182"/>
      <c r="BM453" s="182"/>
      <c r="BN453" s="182"/>
      <c r="BO453" s="182"/>
      <c r="BP453" s="182"/>
      <c r="BQ453" s="182"/>
      <c r="BR453" s="182"/>
      <c r="BS453" s="182"/>
      <c r="BT453" s="182"/>
      <c r="BU453" s="182"/>
      <c r="BV453" s="182"/>
      <c r="BW453" s="182"/>
      <c r="BX453" s="182"/>
      <c r="BY453" s="182"/>
      <c r="BZ453" s="182"/>
      <c r="CA453" s="182"/>
      <c r="CB453" s="185">
        <f t="shared" si="75"/>
        <v>293.12</v>
      </c>
      <c r="CC453" s="185">
        <f t="shared" si="76"/>
        <v>0</v>
      </c>
      <c r="CD453" s="185">
        <f t="shared" si="77"/>
        <v>831</v>
      </c>
      <c r="CE453" s="185" t="e">
        <f>+#REF!</f>
        <v>#REF!</v>
      </c>
    </row>
    <row r="454" spans="2:83" s="197" customFormat="1" ht="37.5" x14ac:dyDescent="0.3">
      <c r="B454" s="182">
        <v>1373</v>
      </c>
      <c r="C454" s="182">
        <v>832</v>
      </c>
      <c r="D454" s="182" t="s">
        <v>4635</v>
      </c>
      <c r="E454" s="181" t="s">
        <v>4709</v>
      </c>
      <c r="F454" s="182"/>
      <c r="G454" s="182">
        <v>1934.62</v>
      </c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  <c r="Z454" s="182"/>
      <c r="AA454" s="182"/>
      <c r="AB454" s="182"/>
      <c r="AC454" s="182"/>
      <c r="AD454" s="182"/>
      <c r="AE454" s="182"/>
      <c r="AF454" s="182"/>
      <c r="AG454" s="182"/>
      <c r="AH454" s="182"/>
      <c r="AI454" s="182"/>
      <c r="AJ454" s="182"/>
      <c r="AK454" s="182"/>
      <c r="AL454" s="182"/>
      <c r="AM454" s="182"/>
      <c r="AN454" s="182"/>
      <c r="AO454" s="182"/>
      <c r="AP454" s="182"/>
      <c r="AQ454" s="185">
        <f t="shared" si="74"/>
        <v>1934.62</v>
      </c>
      <c r="AR454" s="182">
        <v>1294.4000000000001</v>
      </c>
      <c r="AS454" s="182">
        <v>174.1</v>
      </c>
      <c r="AT454" s="182">
        <v>466.12</v>
      </c>
      <c r="AU454" s="182"/>
      <c r="AV454" s="182"/>
      <c r="AW454" s="182"/>
      <c r="AX454" s="182"/>
      <c r="AY454" s="182"/>
      <c r="AZ454" s="182"/>
      <c r="BA454" s="182"/>
      <c r="BB454" s="182"/>
      <c r="BC454" s="182"/>
      <c r="BD454" s="182"/>
      <c r="BE454" s="182"/>
      <c r="BF454" s="182"/>
      <c r="BG454" s="182"/>
      <c r="BH454" s="182"/>
      <c r="BI454" s="182"/>
      <c r="BJ454" s="182"/>
      <c r="BK454" s="182"/>
      <c r="BL454" s="182"/>
      <c r="BM454" s="182"/>
      <c r="BN454" s="182"/>
      <c r="BO454" s="182"/>
      <c r="BP454" s="182"/>
      <c r="BQ454" s="182"/>
      <c r="BR454" s="182"/>
      <c r="BS454" s="182"/>
      <c r="BT454" s="182"/>
      <c r="BU454" s="182"/>
      <c r="BV454" s="182"/>
      <c r="BW454" s="182"/>
      <c r="BX454" s="182"/>
      <c r="BY454" s="182"/>
      <c r="BZ454" s="182"/>
      <c r="CA454" s="182"/>
      <c r="CB454" s="185">
        <f t="shared" si="75"/>
        <v>1934.62</v>
      </c>
      <c r="CC454" s="185">
        <f t="shared" si="76"/>
        <v>0</v>
      </c>
      <c r="CD454" s="185">
        <f t="shared" si="77"/>
        <v>832</v>
      </c>
      <c r="CE454" s="185" t="e">
        <f>+#REF!</f>
        <v>#REF!</v>
      </c>
    </row>
    <row r="455" spans="2:83" s="197" customFormat="1" ht="37.5" x14ac:dyDescent="0.3">
      <c r="B455" s="182">
        <v>1374</v>
      </c>
      <c r="C455" s="182">
        <v>833</v>
      </c>
      <c r="D455" s="182" t="s">
        <v>4635</v>
      </c>
      <c r="E455" s="181" t="s">
        <v>4709</v>
      </c>
      <c r="F455" s="182"/>
      <c r="G455" s="182">
        <v>5803.88</v>
      </c>
      <c r="H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2"/>
      <c r="AH455" s="182"/>
      <c r="AI455" s="182"/>
      <c r="AJ455" s="182"/>
      <c r="AK455" s="182"/>
      <c r="AL455" s="182"/>
      <c r="AM455" s="182"/>
      <c r="AN455" s="182"/>
      <c r="AO455" s="182"/>
      <c r="AP455" s="182"/>
      <c r="AQ455" s="185">
        <f t="shared" si="74"/>
        <v>5803.88</v>
      </c>
      <c r="AR455" s="182">
        <v>3881.7</v>
      </c>
      <c r="AS455" s="182">
        <v>523.79999999999995</v>
      </c>
      <c r="AT455" s="182">
        <v>1398.38</v>
      </c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182"/>
      <c r="BK455" s="182"/>
      <c r="BL455" s="182"/>
      <c r="BM455" s="182"/>
      <c r="BN455" s="182"/>
      <c r="BO455" s="182"/>
      <c r="BP455" s="182"/>
      <c r="BQ455" s="182"/>
      <c r="BR455" s="182"/>
      <c r="BS455" s="182"/>
      <c r="BT455" s="182"/>
      <c r="BU455" s="182"/>
      <c r="BV455" s="182"/>
      <c r="BW455" s="182"/>
      <c r="BX455" s="182"/>
      <c r="BY455" s="182"/>
      <c r="BZ455" s="182"/>
      <c r="CA455" s="182"/>
      <c r="CB455" s="185">
        <f t="shared" si="75"/>
        <v>5803.88</v>
      </c>
      <c r="CC455" s="185">
        <f t="shared" si="76"/>
        <v>0</v>
      </c>
      <c r="CD455" s="185">
        <f t="shared" si="77"/>
        <v>833</v>
      </c>
      <c r="CE455" s="185" t="e">
        <f>+#REF!</f>
        <v>#REF!</v>
      </c>
    </row>
    <row r="456" spans="2:83" s="197" customFormat="1" ht="37.5" x14ac:dyDescent="0.3">
      <c r="B456" s="182">
        <v>1372</v>
      </c>
      <c r="C456" s="182">
        <v>834</v>
      </c>
      <c r="D456" s="182" t="s">
        <v>4635</v>
      </c>
      <c r="E456" s="181" t="s">
        <v>4710</v>
      </c>
      <c r="F456" s="182"/>
      <c r="G456" s="182">
        <v>4102.76</v>
      </c>
      <c r="H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2"/>
      <c r="AH456" s="182"/>
      <c r="AI456" s="182"/>
      <c r="AJ456" s="182"/>
      <c r="AK456" s="182"/>
      <c r="AL456" s="182"/>
      <c r="AM456" s="182"/>
      <c r="AN456" s="182"/>
      <c r="AO456" s="182"/>
      <c r="AP456" s="182"/>
      <c r="AQ456" s="185">
        <f t="shared" si="74"/>
        <v>4102.76</v>
      </c>
      <c r="AR456" s="182">
        <v>3354.7</v>
      </c>
      <c r="AS456" s="182">
        <v>211.3</v>
      </c>
      <c r="AT456" s="182">
        <v>536.76</v>
      </c>
      <c r="AU456" s="182"/>
      <c r="AV456" s="182"/>
      <c r="AW456" s="182"/>
      <c r="AX456" s="182"/>
      <c r="AY456" s="182"/>
      <c r="AZ456" s="182"/>
      <c r="BA456" s="182"/>
      <c r="BB456" s="182"/>
      <c r="BC456" s="182"/>
      <c r="BD456" s="182"/>
      <c r="BE456" s="182"/>
      <c r="BF456" s="182"/>
      <c r="BG456" s="182"/>
      <c r="BH456" s="182"/>
      <c r="BI456" s="182"/>
      <c r="BJ456" s="182"/>
      <c r="BK456" s="182"/>
      <c r="BL456" s="182"/>
      <c r="BM456" s="182"/>
      <c r="BN456" s="182"/>
      <c r="BO456" s="182"/>
      <c r="BP456" s="182"/>
      <c r="BQ456" s="182"/>
      <c r="BR456" s="182"/>
      <c r="BS456" s="182"/>
      <c r="BT456" s="182"/>
      <c r="BU456" s="182"/>
      <c r="BV456" s="182"/>
      <c r="BW456" s="182"/>
      <c r="BX456" s="182"/>
      <c r="BY456" s="182"/>
      <c r="BZ456" s="182"/>
      <c r="CA456" s="182"/>
      <c r="CB456" s="185">
        <f t="shared" si="75"/>
        <v>4102.76</v>
      </c>
      <c r="CC456" s="185">
        <f t="shared" si="76"/>
        <v>0</v>
      </c>
      <c r="CD456" s="185">
        <f t="shared" si="77"/>
        <v>834</v>
      </c>
      <c r="CE456" s="185" t="e">
        <f>+#REF!</f>
        <v>#REF!</v>
      </c>
    </row>
    <row r="457" spans="2:83" s="197" customFormat="1" ht="37.5" x14ac:dyDescent="0.3">
      <c r="B457" s="182">
        <v>1371</v>
      </c>
      <c r="C457" s="182">
        <v>835</v>
      </c>
      <c r="D457" s="182" t="s">
        <v>4635</v>
      </c>
      <c r="E457" s="181" t="s">
        <v>4711</v>
      </c>
      <c r="F457" s="182"/>
      <c r="G457" s="182">
        <v>3458.88</v>
      </c>
      <c r="H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  <c r="Z457" s="182"/>
      <c r="AA457" s="182"/>
      <c r="AB457" s="182"/>
      <c r="AC457" s="182"/>
      <c r="AD457" s="182"/>
      <c r="AE457" s="182"/>
      <c r="AF457" s="182"/>
      <c r="AG457" s="182"/>
      <c r="AH457" s="182"/>
      <c r="AI457" s="182"/>
      <c r="AJ457" s="182"/>
      <c r="AK457" s="182"/>
      <c r="AL457" s="182"/>
      <c r="AM457" s="182"/>
      <c r="AN457" s="182"/>
      <c r="AO457" s="182"/>
      <c r="AP457" s="182"/>
      <c r="AQ457" s="185">
        <f t="shared" si="74"/>
        <v>3458.88</v>
      </c>
      <c r="AR457" s="182">
        <v>2315.6999999999998</v>
      </c>
      <c r="AS457" s="182">
        <v>309.8</v>
      </c>
      <c r="AT457" s="182">
        <v>833.38</v>
      </c>
      <c r="AU457" s="182"/>
      <c r="AV457" s="182"/>
      <c r="AW457" s="182"/>
      <c r="AX457" s="182"/>
      <c r="AY457" s="182"/>
      <c r="AZ457" s="182"/>
      <c r="BA457" s="182"/>
      <c r="BB457" s="182"/>
      <c r="BC457" s="182"/>
      <c r="BD457" s="182"/>
      <c r="BE457" s="182"/>
      <c r="BF457" s="182"/>
      <c r="BG457" s="182"/>
      <c r="BH457" s="182"/>
      <c r="BI457" s="182"/>
      <c r="BJ457" s="182"/>
      <c r="BK457" s="182"/>
      <c r="BL457" s="182"/>
      <c r="BM457" s="182"/>
      <c r="BN457" s="182"/>
      <c r="BO457" s="182"/>
      <c r="BP457" s="182"/>
      <c r="BQ457" s="182"/>
      <c r="BR457" s="182"/>
      <c r="BS457" s="182"/>
      <c r="BT457" s="182"/>
      <c r="BU457" s="182"/>
      <c r="BV457" s="182"/>
      <c r="BW457" s="182"/>
      <c r="BX457" s="182"/>
      <c r="BY457" s="182"/>
      <c r="BZ457" s="182"/>
      <c r="CA457" s="182"/>
      <c r="CB457" s="185">
        <f t="shared" si="75"/>
        <v>3458.88</v>
      </c>
      <c r="CC457" s="185">
        <f t="shared" si="76"/>
        <v>0</v>
      </c>
      <c r="CD457" s="185">
        <f t="shared" si="77"/>
        <v>835</v>
      </c>
      <c r="CE457" s="185" t="e">
        <f>+#REF!</f>
        <v>#REF!</v>
      </c>
    </row>
    <row r="458" spans="2:83" s="197" customFormat="1" ht="37.5" x14ac:dyDescent="0.3">
      <c r="B458" s="182">
        <v>1370</v>
      </c>
      <c r="C458" s="182">
        <v>836</v>
      </c>
      <c r="D458" s="182" t="s">
        <v>4635</v>
      </c>
      <c r="E458" s="181" t="s">
        <v>4712</v>
      </c>
      <c r="F458" s="182"/>
      <c r="G458" s="182">
        <v>1524.24</v>
      </c>
      <c r="H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  <c r="Z458" s="182"/>
      <c r="AA458" s="182"/>
      <c r="AB458" s="182"/>
      <c r="AC458" s="182"/>
      <c r="AD458" s="182"/>
      <c r="AE458" s="182"/>
      <c r="AF458" s="182"/>
      <c r="AG458" s="182"/>
      <c r="AH458" s="182"/>
      <c r="AI458" s="182"/>
      <c r="AJ458" s="182"/>
      <c r="AK458" s="182"/>
      <c r="AL458" s="182"/>
      <c r="AM458" s="182"/>
      <c r="AN458" s="182"/>
      <c r="AO458" s="182"/>
      <c r="AP458" s="182"/>
      <c r="AQ458" s="185">
        <f t="shared" si="74"/>
        <v>1524.24</v>
      </c>
      <c r="AR458" s="182">
        <v>1019.75</v>
      </c>
      <c r="AS458" s="182">
        <v>137.25</v>
      </c>
      <c r="AT458" s="182">
        <v>367.24</v>
      </c>
      <c r="AU458" s="182"/>
      <c r="AV458" s="182"/>
      <c r="AW458" s="182"/>
      <c r="AX458" s="182"/>
      <c r="AY458" s="182"/>
      <c r="AZ458" s="182"/>
      <c r="BA458" s="182"/>
      <c r="BB458" s="182"/>
      <c r="BC458" s="182"/>
      <c r="BD458" s="182"/>
      <c r="BE458" s="182"/>
      <c r="BF458" s="182"/>
      <c r="BG458" s="182"/>
      <c r="BH458" s="182"/>
      <c r="BI458" s="182"/>
      <c r="BJ458" s="182"/>
      <c r="BK458" s="182"/>
      <c r="BL458" s="182"/>
      <c r="BM458" s="182"/>
      <c r="BN458" s="182"/>
      <c r="BO458" s="182"/>
      <c r="BP458" s="182"/>
      <c r="BQ458" s="182"/>
      <c r="BR458" s="182"/>
      <c r="BS458" s="182"/>
      <c r="BT458" s="182"/>
      <c r="BU458" s="182"/>
      <c r="BV458" s="182"/>
      <c r="BW458" s="182"/>
      <c r="BX458" s="182"/>
      <c r="BY458" s="182"/>
      <c r="BZ458" s="182"/>
      <c r="CA458" s="182"/>
      <c r="CB458" s="185">
        <f t="shared" si="75"/>
        <v>1524.24</v>
      </c>
      <c r="CC458" s="185">
        <f t="shared" si="76"/>
        <v>0</v>
      </c>
      <c r="CD458" s="185">
        <f t="shared" si="77"/>
        <v>836</v>
      </c>
      <c r="CE458" s="185" t="e">
        <f>+#REF!</f>
        <v>#REF!</v>
      </c>
    </row>
    <row r="459" spans="2:83" s="197" customFormat="1" ht="37.5" x14ac:dyDescent="0.3">
      <c r="B459" s="182">
        <v>1759</v>
      </c>
      <c r="C459" s="182">
        <v>837</v>
      </c>
      <c r="D459" s="182" t="s">
        <v>4635</v>
      </c>
      <c r="E459" s="181" t="s">
        <v>4713</v>
      </c>
      <c r="F459" s="182"/>
      <c r="G459" s="182">
        <v>12018.13</v>
      </c>
      <c r="H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  <c r="Z459" s="182"/>
      <c r="AA459" s="182"/>
      <c r="AB459" s="182"/>
      <c r="AC459" s="182"/>
      <c r="AD459" s="182"/>
      <c r="AE459" s="182"/>
      <c r="AF459" s="182"/>
      <c r="AG459" s="182"/>
      <c r="AH459" s="182"/>
      <c r="AI459" s="182"/>
      <c r="AJ459" s="182"/>
      <c r="AK459" s="182"/>
      <c r="AL459" s="182"/>
      <c r="AM459" s="182"/>
      <c r="AN459" s="182"/>
      <c r="AO459" s="182"/>
      <c r="AP459" s="182"/>
      <c r="AQ459" s="185">
        <f t="shared" si="74"/>
        <v>12018.13</v>
      </c>
      <c r="AR459" s="182">
        <v>8046.55</v>
      </c>
      <c r="AS459" s="182">
        <v>1075.95</v>
      </c>
      <c r="AT459" s="182">
        <v>2895.63</v>
      </c>
      <c r="AU459" s="182"/>
      <c r="AV459" s="182"/>
      <c r="AW459" s="182"/>
      <c r="AX459" s="182"/>
      <c r="AY459" s="182"/>
      <c r="AZ459" s="182"/>
      <c r="BA459" s="182"/>
      <c r="BB459" s="182"/>
      <c r="BC459" s="182"/>
      <c r="BD459" s="182"/>
      <c r="BE459" s="182"/>
      <c r="BF459" s="182"/>
      <c r="BG459" s="182"/>
      <c r="BH459" s="182"/>
      <c r="BI459" s="182"/>
      <c r="BJ459" s="182"/>
      <c r="BK459" s="182"/>
      <c r="BL459" s="182"/>
      <c r="BM459" s="182"/>
      <c r="BN459" s="182"/>
      <c r="BO459" s="182"/>
      <c r="BP459" s="182"/>
      <c r="BQ459" s="182"/>
      <c r="BR459" s="182"/>
      <c r="BS459" s="182"/>
      <c r="BT459" s="182"/>
      <c r="BU459" s="182"/>
      <c r="BV459" s="182"/>
      <c r="BW459" s="182"/>
      <c r="BX459" s="182"/>
      <c r="BY459" s="182"/>
      <c r="BZ459" s="182"/>
      <c r="CA459" s="182"/>
      <c r="CB459" s="185">
        <f t="shared" si="75"/>
        <v>12018.130000000001</v>
      </c>
      <c r="CC459" s="185">
        <f t="shared" si="76"/>
        <v>0</v>
      </c>
      <c r="CD459" s="185">
        <f t="shared" si="77"/>
        <v>837</v>
      </c>
      <c r="CE459" s="185" t="e">
        <f>+#REF!</f>
        <v>#REF!</v>
      </c>
    </row>
    <row r="460" spans="2:83" s="197" customFormat="1" ht="56.25" x14ac:dyDescent="0.3">
      <c r="B460" s="182">
        <v>1963</v>
      </c>
      <c r="C460" s="182">
        <v>838</v>
      </c>
      <c r="D460" s="182" t="s">
        <v>4635</v>
      </c>
      <c r="E460" s="181" t="s">
        <v>4714</v>
      </c>
      <c r="F460" s="182"/>
      <c r="G460" s="182"/>
      <c r="H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>
        <v>6321</v>
      </c>
      <c r="X460" s="182"/>
      <c r="Y460" s="182"/>
      <c r="Z460" s="182"/>
      <c r="AA460" s="182"/>
      <c r="AB460" s="182"/>
      <c r="AC460" s="182"/>
      <c r="AD460" s="182"/>
      <c r="AE460" s="182"/>
      <c r="AF460" s="182"/>
      <c r="AG460" s="182"/>
      <c r="AH460" s="182"/>
      <c r="AI460" s="182"/>
      <c r="AJ460" s="182"/>
      <c r="AK460" s="182"/>
      <c r="AL460" s="182"/>
      <c r="AM460" s="182"/>
      <c r="AN460" s="182"/>
      <c r="AO460" s="182"/>
      <c r="AP460" s="182"/>
      <c r="AQ460" s="185">
        <f t="shared" si="74"/>
        <v>6321</v>
      </c>
      <c r="AR460" s="182">
        <v>6321</v>
      </c>
      <c r="AS460" s="182"/>
      <c r="AT460" s="182"/>
      <c r="AU460" s="182"/>
      <c r="AV460" s="182"/>
      <c r="AW460" s="182"/>
      <c r="AX460" s="182"/>
      <c r="AY460" s="182"/>
      <c r="AZ460" s="182"/>
      <c r="BA460" s="182"/>
      <c r="BB460" s="182"/>
      <c r="BC460" s="182"/>
      <c r="BD460" s="182"/>
      <c r="BE460" s="182"/>
      <c r="BF460" s="182"/>
      <c r="BG460" s="182"/>
      <c r="BH460" s="182"/>
      <c r="BI460" s="182"/>
      <c r="BJ460" s="182"/>
      <c r="BK460" s="182"/>
      <c r="BL460" s="182"/>
      <c r="BM460" s="182"/>
      <c r="BN460" s="182"/>
      <c r="BO460" s="182"/>
      <c r="BP460" s="182"/>
      <c r="BQ460" s="182"/>
      <c r="BR460" s="182"/>
      <c r="BS460" s="182"/>
      <c r="BT460" s="182"/>
      <c r="BU460" s="182"/>
      <c r="BV460" s="182"/>
      <c r="BW460" s="182"/>
      <c r="BX460" s="182"/>
      <c r="BY460" s="182"/>
      <c r="BZ460" s="182"/>
      <c r="CA460" s="182"/>
      <c r="CB460" s="185">
        <f t="shared" si="75"/>
        <v>6321</v>
      </c>
      <c r="CC460" s="185">
        <f t="shared" si="76"/>
        <v>0</v>
      </c>
      <c r="CD460" s="185">
        <f t="shared" si="77"/>
        <v>838</v>
      </c>
      <c r="CE460" s="185" t="e">
        <f>+#REF!</f>
        <v>#REF!</v>
      </c>
    </row>
    <row r="461" spans="2:83" s="197" customFormat="1" ht="37.5" x14ac:dyDescent="0.3">
      <c r="B461" s="182">
        <v>1964</v>
      </c>
      <c r="C461" s="182">
        <v>839</v>
      </c>
      <c r="D461" s="182" t="s">
        <v>4635</v>
      </c>
      <c r="E461" s="181" t="s">
        <v>4715</v>
      </c>
      <c r="F461" s="182"/>
      <c r="G461" s="182"/>
      <c r="H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>
        <v>2560.39</v>
      </c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182"/>
      <c r="AI461" s="182"/>
      <c r="AJ461" s="182"/>
      <c r="AK461" s="182"/>
      <c r="AL461" s="182"/>
      <c r="AM461" s="182"/>
      <c r="AN461" s="182"/>
      <c r="AO461" s="182"/>
      <c r="AP461" s="182"/>
      <c r="AQ461" s="185">
        <f t="shared" si="74"/>
        <v>2560.39</v>
      </c>
      <c r="AR461" s="182">
        <v>2560.39</v>
      </c>
      <c r="AS461" s="182"/>
      <c r="AT461" s="182"/>
      <c r="AU461" s="182"/>
      <c r="AV461" s="182"/>
      <c r="AW461" s="182"/>
      <c r="AX461" s="182"/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/>
      <c r="BI461" s="182"/>
      <c r="BJ461" s="182"/>
      <c r="BK461" s="182"/>
      <c r="BL461" s="182"/>
      <c r="BM461" s="182"/>
      <c r="BN461" s="182"/>
      <c r="BO461" s="182"/>
      <c r="BP461" s="182"/>
      <c r="BQ461" s="182"/>
      <c r="BR461" s="182"/>
      <c r="BS461" s="182"/>
      <c r="BT461" s="182"/>
      <c r="BU461" s="182"/>
      <c r="BV461" s="182"/>
      <c r="BW461" s="182"/>
      <c r="BX461" s="182"/>
      <c r="BY461" s="182"/>
      <c r="BZ461" s="182"/>
      <c r="CA461" s="182"/>
      <c r="CB461" s="185">
        <f t="shared" si="75"/>
        <v>2560.39</v>
      </c>
      <c r="CC461" s="185">
        <f t="shared" si="76"/>
        <v>0</v>
      </c>
      <c r="CD461" s="185">
        <f t="shared" si="77"/>
        <v>839</v>
      </c>
      <c r="CE461" s="185" t="e">
        <f>+#REF!</f>
        <v>#REF!</v>
      </c>
    </row>
    <row r="462" spans="2:83" s="197" customFormat="1" ht="56.25" x14ac:dyDescent="0.3">
      <c r="B462" s="182">
        <v>1965</v>
      </c>
      <c r="C462" s="182">
        <v>840</v>
      </c>
      <c r="D462" s="182" t="s">
        <v>4635</v>
      </c>
      <c r="E462" s="181" t="s">
        <v>4716</v>
      </c>
      <c r="F462" s="182"/>
      <c r="G462" s="182"/>
      <c r="H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>
        <v>6862.94</v>
      </c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2"/>
      <c r="AH462" s="182"/>
      <c r="AI462" s="182"/>
      <c r="AJ462" s="182"/>
      <c r="AK462" s="182"/>
      <c r="AL462" s="182"/>
      <c r="AM462" s="182"/>
      <c r="AN462" s="182"/>
      <c r="AO462" s="182"/>
      <c r="AP462" s="182"/>
      <c r="AQ462" s="185">
        <f t="shared" si="74"/>
        <v>6862.94</v>
      </c>
      <c r="AR462" s="182">
        <v>6862.94</v>
      </c>
      <c r="AS462" s="182"/>
      <c r="AT462" s="182"/>
      <c r="AU462" s="182"/>
      <c r="AV462" s="182"/>
      <c r="AW462" s="182"/>
      <c r="AX462" s="182"/>
      <c r="AY462" s="182"/>
      <c r="AZ462" s="182"/>
      <c r="BA462" s="182"/>
      <c r="BB462" s="182"/>
      <c r="BC462" s="182"/>
      <c r="BD462" s="182"/>
      <c r="BE462" s="182"/>
      <c r="BF462" s="182"/>
      <c r="BG462" s="182"/>
      <c r="BH462" s="182"/>
      <c r="BI462" s="182"/>
      <c r="BJ462" s="182"/>
      <c r="BK462" s="182"/>
      <c r="BL462" s="182"/>
      <c r="BM462" s="182"/>
      <c r="BN462" s="182"/>
      <c r="BO462" s="182"/>
      <c r="BP462" s="182"/>
      <c r="BQ462" s="182"/>
      <c r="BR462" s="182"/>
      <c r="BS462" s="182"/>
      <c r="BT462" s="182"/>
      <c r="BU462" s="182"/>
      <c r="BV462" s="182"/>
      <c r="BW462" s="182"/>
      <c r="BX462" s="182"/>
      <c r="BY462" s="182"/>
      <c r="BZ462" s="182"/>
      <c r="CA462" s="182"/>
      <c r="CB462" s="185">
        <f t="shared" si="75"/>
        <v>6862.94</v>
      </c>
      <c r="CC462" s="185">
        <f t="shared" si="76"/>
        <v>0</v>
      </c>
      <c r="CD462" s="185">
        <f t="shared" si="77"/>
        <v>840</v>
      </c>
      <c r="CE462" s="185" t="e">
        <f>+#REF!</f>
        <v>#REF!</v>
      </c>
    </row>
    <row r="463" spans="2:83" s="197" customFormat="1" ht="37.5" x14ac:dyDescent="0.3">
      <c r="B463" s="182">
        <v>2076</v>
      </c>
      <c r="C463" s="182">
        <v>841</v>
      </c>
      <c r="D463" s="182" t="s">
        <v>121</v>
      </c>
      <c r="E463" s="181" t="s">
        <v>4717</v>
      </c>
      <c r="F463" s="182"/>
      <c r="G463" s="182">
        <v>16000</v>
      </c>
      <c r="H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  <c r="Z463" s="182"/>
      <c r="AA463" s="182"/>
      <c r="AB463" s="182"/>
      <c r="AC463" s="182"/>
      <c r="AD463" s="182"/>
      <c r="AE463" s="182"/>
      <c r="AF463" s="182"/>
      <c r="AG463" s="182"/>
      <c r="AH463" s="182"/>
      <c r="AI463" s="182"/>
      <c r="AJ463" s="182"/>
      <c r="AK463" s="182"/>
      <c r="AL463" s="182"/>
      <c r="AM463" s="182"/>
      <c r="AN463" s="182"/>
      <c r="AO463" s="182"/>
      <c r="AP463" s="182"/>
      <c r="AQ463" s="185">
        <f t="shared" si="74"/>
        <v>16000</v>
      </c>
      <c r="AR463" s="182">
        <v>14272.8</v>
      </c>
      <c r="AS463" s="182">
        <v>1727.2</v>
      </c>
      <c r="AT463" s="182"/>
      <c r="AU463" s="182"/>
      <c r="AV463" s="182"/>
      <c r="AW463" s="182"/>
      <c r="AX463" s="182"/>
      <c r="AY463" s="182"/>
      <c r="AZ463" s="182"/>
      <c r="BA463" s="182"/>
      <c r="BB463" s="182"/>
      <c r="BC463" s="182"/>
      <c r="BD463" s="182"/>
      <c r="BE463" s="182"/>
      <c r="BF463" s="182"/>
      <c r="BG463" s="182"/>
      <c r="BH463" s="182"/>
      <c r="BI463" s="182"/>
      <c r="BJ463" s="182"/>
      <c r="BK463" s="182"/>
      <c r="BL463" s="182"/>
      <c r="BM463" s="182"/>
      <c r="BN463" s="182"/>
      <c r="BO463" s="182"/>
      <c r="BP463" s="182"/>
      <c r="BQ463" s="182"/>
      <c r="BR463" s="182"/>
      <c r="BS463" s="182"/>
      <c r="BT463" s="182"/>
      <c r="BU463" s="182"/>
      <c r="BV463" s="182"/>
      <c r="BW463" s="182"/>
      <c r="BX463" s="182"/>
      <c r="BY463" s="182"/>
      <c r="BZ463" s="182"/>
      <c r="CA463" s="182"/>
      <c r="CB463" s="185">
        <f t="shared" si="75"/>
        <v>16000</v>
      </c>
      <c r="CC463" s="185">
        <f t="shared" si="76"/>
        <v>0</v>
      </c>
      <c r="CD463" s="185">
        <f t="shared" si="77"/>
        <v>841</v>
      </c>
      <c r="CE463" s="185" t="e">
        <f>+#REF!</f>
        <v>#REF!</v>
      </c>
    </row>
    <row r="464" spans="2:83" s="197" customFormat="1" ht="37.5" x14ac:dyDescent="0.3">
      <c r="B464" s="182">
        <v>2075</v>
      </c>
      <c r="C464" s="182">
        <v>842</v>
      </c>
      <c r="D464" s="182" t="s">
        <v>121</v>
      </c>
      <c r="E464" s="181" t="s">
        <v>4717</v>
      </c>
      <c r="F464" s="182"/>
      <c r="G464" s="182">
        <v>8000</v>
      </c>
      <c r="H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2"/>
      <c r="AH464" s="182"/>
      <c r="AI464" s="182"/>
      <c r="AJ464" s="182"/>
      <c r="AK464" s="182"/>
      <c r="AL464" s="182"/>
      <c r="AM464" s="182"/>
      <c r="AN464" s="182"/>
      <c r="AO464" s="182"/>
      <c r="AP464" s="182"/>
      <c r="AQ464" s="185">
        <f t="shared" si="74"/>
        <v>8000</v>
      </c>
      <c r="AR464" s="182">
        <v>7136.4</v>
      </c>
      <c r="AS464" s="182">
        <v>863.6</v>
      </c>
      <c r="AT464" s="182"/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/>
      <c r="BI464" s="182"/>
      <c r="BJ464" s="182"/>
      <c r="BK464" s="182"/>
      <c r="BL464" s="182"/>
      <c r="BM464" s="182"/>
      <c r="BN464" s="182"/>
      <c r="BO464" s="182"/>
      <c r="BP464" s="182"/>
      <c r="BQ464" s="182"/>
      <c r="BR464" s="182"/>
      <c r="BS464" s="182"/>
      <c r="BT464" s="182"/>
      <c r="BU464" s="182"/>
      <c r="BV464" s="182"/>
      <c r="BW464" s="182"/>
      <c r="BX464" s="182"/>
      <c r="BY464" s="182"/>
      <c r="BZ464" s="182"/>
      <c r="CA464" s="182"/>
      <c r="CB464" s="185">
        <f t="shared" si="75"/>
        <v>8000</v>
      </c>
      <c r="CC464" s="185">
        <f t="shared" si="76"/>
        <v>0</v>
      </c>
      <c r="CD464" s="185">
        <f t="shared" si="77"/>
        <v>842</v>
      </c>
      <c r="CE464" s="185" t="e">
        <f>+#REF!</f>
        <v>#REF!</v>
      </c>
    </row>
    <row r="465" spans="2:83" s="197" customFormat="1" ht="37.5" x14ac:dyDescent="0.3">
      <c r="B465" s="182">
        <v>2065</v>
      </c>
      <c r="C465" s="182">
        <v>843</v>
      </c>
      <c r="D465" s="182" t="s">
        <v>121</v>
      </c>
      <c r="E465" s="181" t="s">
        <v>4718</v>
      </c>
      <c r="F465" s="182"/>
      <c r="G465" s="182">
        <v>2814</v>
      </c>
      <c r="H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2"/>
      <c r="AH465" s="182"/>
      <c r="AI465" s="182"/>
      <c r="AJ465" s="182"/>
      <c r="AK465" s="182"/>
      <c r="AL465" s="182"/>
      <c r="AM465" s="182"/>
      <c r="AN465" s="182"/>
      <c r="AO465" s="182"/>
      <c r="AP465" s="182"/>
      <c r="AQ465" s="185">
        <f t="shared" si="74"/>
        <v>2814</v>
      </c>
      <c r="AR465" s="182">
        <v>1880.35</v>
      </c>
      <c r="AS465" s="182">
        <v>255.65</v>
      </c>
      <c r="AT465" s="182">
        <v>678</v>
      </c>
      <c r="AU465" s="182"/>
      <c r="AV465" s="182"/>
      <c r="AW465" s="182"/>
      <c r="AX465" s="182"/>
      <c r="AY465" s="182"/>
      <c r="AZ465" s="182"/>
      <c r="BA465" s="182"/>
      <c r="BB465" s="182"/>
      <c r="BC465" s="182"/>
      <c r="BD465" s="182"/>
      <c r="BE465" s="182"/>
      <c r="BF465" s="182"/>
      <c r="BG465" s="182"/>
      <c r="BH465" s="182"/>
      <c r="BI465" s="182"/>
      <c r="BJ465" s="182"/>
      <c r="BK465" s="182"/>
      <c r="BL465" s="182"/>
      <c r="BM465" s="182"/>
      <c r="BN465" s="182"/>
      <c r="BO465" s="182"/>
      <c r="BP465" s="182"/>
      <c r="BQ465" s="182"/>
      <c r="BR465" s="182"/>
      <c r="BS465" s="182"/>
      <c r="BT465" s="182"/>
      <c r="BU465" s="182"/>
      <c r="BV465" s="182"/>
      <c r="BW465" s="182"/>
      <c r="BX465" s="182"/>
      <c r="BY465" s="182"/>
      <c r="BZ465" s="182"/>
      <c r="CA465" s="182"/>
      <c r="CB465" s="185">
        <f t="shared" si="75"/>
        <v>2814</v>
      </c>
      <c r="CC465" s="185">
        <f t="shared" si="76"/>
        <v>0</v>
      </c>
      <c r="CD465" s="185">
        <f t="shared" si="77"/>
        <v>843</v>
      </c>
      <c r="CE465" s="185" t="e">
        <f>+#REF!</f>
        <v>#REF!</v>
      </c>
    </row>
    <row r="466" spans="2:83" s="197" customFormat="1" ht="37.5" x14ac:dyDescent="0.3">
      <c r="B466" s="182">
        <v>2073</v>
      </c>
      <c r="C466" s="182">
        <v>844</v>
      </c>
      <c r="D466" s="182" t="s">
        <v>121</v>
      </c>
      <c r="E466" s="181" t="s">
        <v>4719</v>
      </c>
      <c r="F466" s="182"/>
      <c r="G466" s="182"/>
      <c r="H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>
        <v>16292.37</v>
      </c>
      <c r="X466" s="182"/>
      <c r="Y466" s="182"/>
      <c r="Z466" s="182"/>
      <c r="AA466" s="182"/>
      <c r="AB466" s="182"/>
      <c r="AC466" s="182"/>
      <c r="AD466" s="182"/>
      <c r="AE466" s="182"/>
      <c r="AF466" s="182"/>
      <c r="AG466" s="182"/>
      <c r="AH466" s="182"/>
      <c r="AI466" s="182"/>
      <c r="AJ466" s="182"/>
      <c r="AK466" s="182"/>
      <c r="AL466" s="182"/>
      <c r="AM466" s="182"/>
      <c r="AN466" s="182"/>
      <c r="AO466" s="182"/>
      <c r="AP466" s="182"/>
      <c r="AQ466" s="185">
        <f t="shared" si="74"/>
        <v>16292.37</v>
      </c>
      <c r="AR466" s="182">
        <v>12191.86</v>
      </c>
      <c r="AS466" s="182">
        <v>1574.6</v>
      </c>
      <c r="AT466" s="182">
        <v>2525.91</v>
      </c>
      <c r="AU466" s="182"/>
      <c r="AV466" s="182"/>
      <c r="AW466" s="182"/>
      <c r="AX466" s="182"/>
      <c r="AY466" s="182"/>
      <c r="AZ466" s="182"/>
      <c r="BA466" s="182"/>
      <c r="BB466" s="182"/>
      <c r="BC466" s="182"/>
      <c r="BD466" s="182"/>
      <c r="BE466" s="182"/>
      <c r="BF466" s="182"/>
      <c r="BG466" s="182"/>
      <c r="BH466" s="182"/>
      <c r="BI466" s="182"/>
      <c r="BJ466" s="182"/>
      <c r="BK466" s="182"/>
      <c r="BL466" s="182"/>
      <c r="BM466" s="182"/>
      <c r="BN466" s="182"/>
      <c r="BO466" s="182"/>
      <c r="BP466" s="182"/>
      <c r="BQ466" s="182"/>
      <c r="BR466" s="182"/>
      <c r="BS466" s="182"/>
      <c r="BT466" s="182"/>
      <c r="BU466" s="182"/>
      <c r="BV466" s="182"/>
      <c r="BW466" s="182"/>
      <c r="BX466" s="182"/>
      <c r="BY466" s="182"/>
      <c r="BZ466" s="182"/>
      <c r="CA466" s="182"/>
      <c r="CB466" s="185">
        <f t="shared" si="75"/>
        <v>16292.37</v>
      </c>
      <c r="CC466" s="185">
        <f t="shared" si="76"/>
        <v>0</v>
      </c>
      <c r="CD466" s="185">
        <f t="shared" si="77"/>
        <v>844</v>
      </c>
      <c r="CE466" s="185" t="e">
        <f>+#REF!</f>
        <v>#REF!</v>
      </c>
    </row>
    <row r="467" spans="2:83" s="197" customFormat="1" ht="37.5" x14ac:dyDescent="0.3">
      <c r="B467" s="182">
        <v>2071</v>
      </c>
      <c r="C467" s="182">
        <v>845</v>
      </c>
      <c r="D467" s="182" t="s">
        <v>121</v>
      </c>
      <c r="E467" s="181" t="s">
        <v>4720</v>
      </c>
      <c r="F467" s="182"/>
      <c r="G467" s="182"/>
      <c r="H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>
        <v>11725</v>
      </c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2"/>
      <c r="AH467" s="182"/>
      <c r="AI467" s="182"/>
      <c r="AJ467" s="182"/>
      <c r="AK467" s="182"/>
      <c r="AL467" s="182"/>
      <c r="AM467" s="182"/>
      <c r="AN467" s="182"/>
      <c r="AO467" s="182"/>
      <c r="AP467" s="182"/>
      <c r="AQ467" s="185">
        <f t="shared" si="74"/>
        <v>11725</v>
      </c>
      <c r="AR467" s="182">
        <v>7834.6</v>
      </c>
      <c r="AS467" s="182">
        <v>1065.4000000000001</v>
      </c>
      <c r="AT467" s="182">
        <v>2825</v>
      </c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182"/>
      <c r="BK467" s="182"/>
      <c r="BL467" s="182"/>
      <c r="BM467" s="182"/>
      <c r="BN467" s="182"/>
      <c r="BO467" s="182"/>
      <c r="BP467" s="182"/>
      <c r="BQ467" s="182"/>
      <c r="BR467" s="182"/>
      <c r="BS467" s="182"/>
      <c r="BT467" s="182"/>
      <c r="BU467" s="182"/>
      <c r="BV467" s="182"/>
      <c r="BW467" s="182"/>
      <c r="BX467" s="182"/>
      <c r="BY467" s="182"/>
      <c r="BZ467" s="182"/>
      <c r="CA467" s="182"/>
      <c r="CB467" s="185">
        <f t="shared" si="75"/>
        <v>11725</v>
      </c>
      <c r="CC467" s="185">
        <f t="shared" si="76"/>
        <v>0</v>
      </c>
      <c r="CD467" s="185">
        <f t="shared" si="77"/>
        <v>845</v>
      </c>
      <c r="CE467" s="185" t="e">
        <f>+#REF!</f>
        <v>#REF!</v>
      </c>
    </row>
    <row r="468" spans="2:83" s="197" customFormat="1" ht="37.5" x14ac:dyDescent="0.3">
      <c r="B468" s="182">
        <v>2070</v>
      </c>
      <c r="C468" s="182">
        <v>846</v>
      </c>
      <c r="D468" s="182" t="s">
        <v>121</v>
      </c>
      <c r="E468" s="181" t="s">
        <v>4720</v>
      </c>
      <c r="F468" s="182"/>
      <c r="G468" s="182"/>
      <c r="H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>
        <v>5000</v>
      </c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2"/>
      <c r="AH468" s="182"/>
      <c r="AI468" s="182"/>
      <c r="AJ468" s="182"/>
      <c r="AK468" s="182"/>
      <c r="AL468" s="182"/>
      <c r="AM468" s="182"/>
      <c r="AN468" s="182"/>
      <c r="AO468" s="182"/>
      <c r="AP468" s="182"/>
      <c r="AQ468" s="185">
        <f t="shared" si="74"/>
        <v>5000</v>
      </c>
      <c r="AR468" s="182">
        <v>4463.2</v>
      </c>
      <c r="AS468" s="182">
        <v>536.79999999999995</v>
      </c>
      <c r="AT468" s="182"/>
      <c r="AU468" s="182"/>
      <c r="AV468" s="182"/>
      <c r="AW468" s="182"/>
      <c r="AX468" s="182"/>
      <c r="AY468" s="182"/>
      <c r="AZ468" s="182"/>
      <c r="BA468" s="182"/>
      <c r="BB468" s="182"/>
      <c r="BC468" s="182"/>
      <c r="BD468" s="182"/>
      <c r="BE468" s="182"/>
      <c r="BF468" s="182"/>
      <c r="BG468" s="182"/>
      <c r="BH468" s="182"/>
      <c r="BI468" s="182"/>
      <c r="BJ468" s="182"/>
      <c r="BK468" s="182"/>
      <c r="BL468" s="182"/>
      <c r="BM468" s="182"/>
      <c r="BN468" s="182"/>
      <c r="BO468" s="182"/>
      <c r="BP468" s="182"/>
      <c r="BQ468" s="182"/>
      <c r="BR468" s="182"/>
      <c r="BS468" s="182"/>
      <c r="BT468" s="182"/>
      <c r="BU468" s="182"/>
      <c r="BV468" s="182"/>
      <c r="BW468" s="182"/>
      <c r="BX468" s="182"/>
      <c r="BY468" s="182"/>
      <c r="BZ468" s="182"/>
      <c r="CA468" s="182"/>
      <c r="CB468" s="185">
        <f t="shared" si="75"/>
        <v>5000</v>
      </c>
      <c r="CC468" s="185">
        <f t="shared" si="76"/>
        <v>0</v>
      </c>
      <c r="CD468" s="185">
        <f t="shared" si="77"/>
        <v>846</v>
      </c>
      <c r="CE468" s="185" t="e">
        <f>+#REF!</f>
        <v>#REF!</v>
      </c>
    </row>
    <row r="469" spans="2:83" s="197" customFormat="1" ht="56.25" x14ac:dyDescent="0.3">
      <c r="B469" s="182">
        <v>2069</v>
      </c>
      <c r="C469" s="182">
        <v>847</v>
      </c>
      <c r="D469" s="182" t="s">
        <v>121</v>
      </c>
      <c r="E469" s="181" t="s">
        <v>4721</v>
      </c>
      <c r="F469" s="182"/>
      <c r="G469" s="182">
        <v>5407</v>
      </c>
      <c r="H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  <c r="Z469" s="182"/>
      <c r="AA469" s="182"/>
      <c r="AB469" s="182"/>
      <c r="AC469" s="182"/>
      <c r="AD469" s="182"/>
      <c r="AE469" s="182"/>
      <c r="AF469" s="182"/>
      <c r="AG469" s="182"/>
      <c r="AH469" s="182"/>
      <c r="AI469" s="182"/>
      <c r="AJ469" s="182"/>
      <c r="AK469" s="182"/>
      <c r="AL469" s="182"/>
      <c r="AM469" s="182"/>
      <c r="AN469" s="182"/>
      <c r="AO469" s="182"/>
      <c r="AP469" s="182"/>
      <c r="AQ469" s="185">
        <f t="shared" si="74"/>
        <v>5407</v>
      </c>
      <c r="AR469" s="182">
        <v>4510.7</v>
      </c>
      <c r="AS469" s="182">
        <v>557.29999999999995</v>
      </c>
      <c r="AT469" s="182">
        <v>339</v>
      </c>
      <c r="AU469" s="182"/>
      <c r="AV469" s="182"/>
      <c r="AW469" s="182"/>
      <c r="AX469" s="182"/>
      <c r="AY469" s="182"/>
      <c r="AZ469" s="182"/>
      <c r="BA469" s="182"/>
      <c r="BB469" s="182"/>
      <c r="BC469" s="182"/>
      <c r="BD469" s="182"/>
      <c r="BE469" s="182"/>
      <c r="BF469" s="182"/>
      <c r="BG469" s="182"/>
      <c r="BH469" s="182"/>
      <c r="BI469" s="182"/>
      <c r="BJ469" s="182"/>
      <c r="BK469" s="182"/>
      <c r="BL469" s="182"/>
      <c r="BM469" s="182"/>
      <c r="BN469" s="182"/>
      <c r="BO469" s="182"/>
      <c r="BP469" s="182"/>
      <c r="BQ469" s="182"/>
      <c r="BR469" s="182"/>
      <c r="BS469" s="182"/>
      <c r="BT469" s="182"/>
      <c r="BU469" s="182"/>
      <c r="BV469" s="182"/>
      <c r="BW469" s="182"/>
      <c r="BX469" s="182"/>
      <c r="BY469" s="182"/>
      <c r="BZ469" s="182"/>
      <c r="CA469" s="182"/>
      <c r="CB469" s="185">
        <f t="shared" si="75"/>
        <v>5407</v>
      </c>
      <c r="CC469" s="185">
        <f t="shared" si="76"/>
        <v>0</v>
      </c>
      <c r="CD469" s="185">
        <f t="shared" si="77"/>
        <v>847</v>
      </c>
      <c r="CE469" s="185" t="e">
        <f>+#REF!</f>
        <v>#REF!</v>
      </c>
    </row>
    <row r="470" spans="2:83" s="197" customFormat="1" ht="56.25" x14ac:dyDescent="0.3">
      <c r="B470" s="182">
        <v>2068</v>
      </c>
      <c r="C470" s="182">
        <v>848</v>
      </c>
      <c r="D470" s="182" t="s">
        <v>121</v>
      </c>
      <c r="E470" s="181" t="s">
        <v>4721</v>
      </c>
      <c r="F470" s="182"/>
      <c r="G470" s="182">
        <v>1172.5</v>
      </c>
      <c r="H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2"/>
      <c r="AH470" s="182"/>
      <c r="AI470" s="182"/>
      <c r="AJ470" s="182"/>
      <c r="AK470" s="182"/>
      <c r="AL470" s="182"/>
      <c r="AM470" s="182"/>
      <c r="AN470" s="182"/>
      <c r="AO470" s="182"/>
      <c r="AP470" s="182"/>
      <c r="AQ470" s="185">
        <f t="shared" si="74"/>
        <v>1172.5</v>
      </c>
      <c r="AR470" s="182">
        <v>784.1</v>
      </c>
      <c r="AS470" s="182">
        <v>105.9</v>
      </c>
      <c r="AT470" s="182">
        <v>282.5</v>
      </c>
      <c r="AU470" s="182"/>
      <c r="AV470" s="182"/>
      <c r="AW470" s="182"/>
      <c r="AX470" s="182"/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182"/>
      <c r="BK470" s="182"/>
      <c r="BL470" s="182"/>
      <c r="BM470" s="182"/>
      <c r="BN470" s="182"/>
      <c r="BO470" s="182"/>
      <c r="BP470" s="182"/>
      <c r="BQ470" s="182"/>
      <c r="BR470" s="182"/>
      <c r="BS470" s="182"/>
      <c r="BT470" s="182"/>
      <c r="BU470" s="182"/>
      <c r="BV470" s="182"/>
      <c r="BW470" s="182"/>
      <c r="BX470" s="182"/>
      <c r="BY470" s="182"/>
      <c r="BZ470" s="182"/>
      <c r="CA470" s="182"/>
      <c r="CB470" s="185">
        <f t="shared" si="75"/>
        <v>1172.5</v>
      </c>
      <c r="CC470" s="185">
        <f t="shared" si="76"/>
        <v>0</v>
      </c>
      <c r="CD470" s="185">
        <f t="shared" si="77"/>
        <v>848</v>
      </c>
      <c r="CE470" s="185" t="e">
        <f>+#REF!</f>
        <v>#REF!</v>
      </c>
    </row>
    <row r="471" spans="2:83" s="197" customFormat="1" ht="56.25" x14ac:dyDescent="0.3">
      <c r="B471" s="182">
        <v>2066</v>
      </c>
      <c r="C471" s="182">
        <v>849</v>
      </c>
      <c r="D471" s="182" t="s">
        <v>121</v>
      </c>
      <c r="E471" s="181" t="s">
        <v>4722</v>
      </c>
      <c r="F471" s="182"/>
      <c r="G471" s="182">
        <v>8896.8799999999992</v>
      </c>
      <c r="H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2"/>
      <c r="AH471" s="182"/>
      <c r="AI471" s="182"/>
      <c r="AJ471" s="182"/>
      <c r="AK471" s="182"/>
      <c r="AL471" s="182"/>
      <c r="AM471" s="182"/>
      <c r="AN471" s="182"/>
      <c r="AO471" s="182"/>
      <c r="AP471" s="182"/>
      <c r="AQ471" s="185">
        <f t="shared" si="74"/>
        <v>8896.8799999999992</v>
      </c>
      <c r="AR471" s="182">
        <v>6956.6</v>
      </c>
      <c r="AS471" s="182">
        <v>880.9</v>
      </c>
      <c r="AT471" s="182">
        <v>1059.3800000000001</v>
      </c>
      <c r="AU471" s="182"/>
      <c r="AV471" s="182"/>
      <c r="AW471" s="182"/>
      <c r="AX471" s="182"/>
      <c r="AY471" s="182"/>
      <c r="AZ471" s="182"/>
      <c r="BA471" s="182"/>
      <c r="BB471" s="182"/>
      <c r="BC471" s="182"/>
      <c r="BD471" s="182"/>
      <c r="BE471" s="182"/>
      <c r="BF471" s="182"/>
      <c r="BG471" s="182"/>
      <c r="BH471" s="182"/>
      <c r="BI471" s="182"/>
      <c r="BJ471" s="182"/>
      <c r="BK471" s="182"/>
      <c r="BL471" s="182"/>
      <c r="BM471" s="182"/>
      <c r="BN471" s="182"/>
      <c r="BO471" s="182"/>
      <c r="BP471" s="182"/>
      <c r="BQ471" s="182"/>
      <c r="BR471" s="182"/>
      <c r="BS471" s="182"/>
      <c r="BT471" s="182"/>
      <c r="BU471" s="182"/>
      <c r="BV471" s="182"/>
      <c r="BW471" s="182"/>
      <c r="BX471" s="182"/>
      <c r="BY471" s="182"/>
      <c r="BZ471" s="182"/>
      <c r="CA471" s="182"/>
      <c r="CB471" s="185">
        <f t="shared" si="75"/>
        <v>8896.880000000001</v>
      </c>
      <c r="CC471" s="185">
        <f t="shared" si="76"/>
        <v>0</v>
      </c>
      <c r="CD471" s="185">
        <f t="shared" si="77"/>
        <v>849</v>
      </c>
      <c r="CE471" s="185" t="e">
        <f>+#REF!</f>
        <v>#REF!</v>
      </c>
    </row>
    <row r="472" spans="2:83" s="197" customFormat="1" ht="56.25" x14ac:dyDescent="0.3">
      <c r="B472" s="182">
        <v>2067</v>
      </c>
      <c r="C472" s="182">
        <v>850</v>
      </c>
      <c r="D472" s="182" t="s">
        <v>121</v>
      </c>
      <c r="E472" s="181" t="s">
        <v>4723</v>
      </c>
      <c r="F472" s="182"/>
      <c r="G472" s="182">
        <v>3869.25</v>
      </c>
      <c r="H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  <c r="Z472" s="182"/>
      <c r="AA472" s="182"/>
      <c r="AB472" s="182"/>
      <c r="AC472" s="182"/>
      <c r="AD472" s="182"/>
      <c r="AE472" s="182"/>
      <c r="AF472" s="182"/>
      <c r="AG472" s="182"/>
      <c r="AH472" s="182"/>
      <c r="AI472" s="182"/>
      <c r="AJ472" s="182"/>
      <c r="AK472" s="182"/>
      <c r="AL472" s="182"/>
      <c r="AM472" s="182"/>
      <c r="AN472" s="182"/>
      <c r="AO472" s="182"/>
      <c r="AP472" s="182"/>
      <c r="AQ472" s="185">
        <f t="shared" si="74"/>
        <v>3869.25</v>
      </c>
      <c r="AR472" s="182">
        <v>2586.75</v>
      </c>
      <c r="AS472" s="182">
        <v>350.25</v>
      </c>
      <c r="AT472" s="182">
        <v>932.25</v>
      </c>
      <c r="AU472" s="182"/>
      <c r="AV472" s="182"/>
      <c r="AW472" s="182"/>
      <c r="AX472" s="182"/>
      <c r="AY472" s="182"/>
      <c r="AZ472" s="182"/>
      <c r="BA472" s="182"/>
      <c r="BB472" s="182"/>
      <c r="BC472" s="182"/>
      <c r="BD472" s="182"/>
      <c r="BE472" s="182"/>
      <c r="BF472" s="182"/>
      <c r="BG472" s="182"/>
      <c r="BH472" s="182"/>
      <c r="BI472" s="182"/>
      <c r="BJ472" s="182"/>
      <c r="BK472" s="182"/>
      <c r="BL472" s="182"/>
      <c r="BM472" s="182"/>
      <c r="BN472" s="182"/>
      <c r="BO472" s="182"/>
      <c r="BP472" s="182"/>
      <c r="BQ472" s="182"/>
      <c r="BR472" s="182"/>
      <c r="BS472" s="182"/>
      <c r="BT472" s="182"/>
      <c r="BU472" s="182"/>
      <c r="BV472" s="182"/>
      <c r="BW472" s="182"/>
      <c r="BX472" s="182"/>
      <c r="BY472" s="182"/>
      <c r="BZ472" s="182"/>
      <c r="CA472" s="182"/>
      <c r="CB472" s="185">
        <f t="shared" si="75"/>
        <v>3869.25</v>
      </c>
      <c r="CC472" s="185">
        <f t="shared" si="76"/>
        <v>0</v>
      </c>
      <c r="CD472" s="185">
        <f t="shared" si="77"/>
        <v>850</v>
      </c>
      <c r="CE472" s="185" t="e">
        <f>+#REF!</f>
        <v>#REF!</v>
      </c>
    </row>
    <row r="473" spans="2:83" s="197" customFormat="1" ht="37.5" x14ac:dyDescent="0.3">
      <c r="B473" s="182">
        <v>2072</v>
      </c>
      <c r="C473" s="182">
        <v>851</v>
      </c>
      <c r="D473" s="182" t="s">
        <v>121</v>
      </c>
      <c r="E473" s="181" t="s">
        <v>4724</v>
      </c>
      <c r="F473" s="182"/>
      <c r="G473" s="182"/>
      <c r="H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>
        <v>4000</v>
      </c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182"/>
      <c r="AI473" s="182"/>
      <c r="AJ473" s="182"/>
      <c r="AK473" s="182"/>
      <c r="AL473" s="182"/>
      <c r="AM473" s="182"/>
      <c r="AN473" s="182"/>
      <c r="AO473" s="182"/>
      <c r="AP473" s="182"/>
      <c r="AQ473" s="185">
        <f t="shared" si="74"/>
        <v>4000</v>
      </c>
      <c r="AR473" s="182">
        <v>3570.35</v>
      </c>
      <c r="AS473" s="182">
        <v>429.65</v>
      </c>
      <c r="AT473" s="182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182"/>
      <c r="BK473" s="182"/>
      <c r="BL473" s="182"/>
      <c r="BM473" s="182"/>
      <c r="BN473" s="182"/>
      <c r="BO473" s="182"/>
      <c r="BP473" s="182"/>
      <c r="BQ473" s="182"/>
      <c r="BR473" s="182"/>
      <c r="BS473" s="182"/>
      <c r="BT473" s="182"/>
      <c r="BU473" s="182"/>
      <c r="BV473" s="182"/>
      <c r="BW473" s="182"/>
      <c r="BX473" s="182"/>
      <c r="BY473" s="182"/>
      <c r="BZ473" s="182"/>
      <c r="CA473" s="182"/>
      <c r="CB473" s="185">
        <f t="shared" si="75"/>
        <v>4000</v>
      </c>
      <c r="CC473" s="185">
        <f t="shared" si="76"/>
        <v>0</v>
      </c>
      <c r="CD473" s="185">
        <f t="shared" si="77"/>
        <v>851</v>
      </c>
      <c r="CE473" s="185" t="e">
        <f>+#REF!</f>
        <v>#REF!</v>
      </c>
    </row>
    <row r="474" spans="2:83" s="197" customFormat="1" ht="37.5" x14ac:dyDescent="0.3">
      <c r="B474" s="182">
        <v>2074</v>
      </c>
      <c r="C474" s="182">
        <v>852</v>
      </c>
      <c r="D474" s="182" t="s">
        <v>121</v>
      </c>
      <c r="E474" s="181" t="s">
        <v>4724</v>
      </c>
      <c r="F474" s="182"/>
      <c r="G474" s="182"/>
      <c r="H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>
        <v>36190.89</v>
      </c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2"/>
      <c r="AH474" s="182"/>
      <c r="AI474" s="182"/>
      <c r="AJ474" s="182"/>
      <c r="AK474" s="182"/>
      <c r="AL474" s="182"/>
      <c r="AM474" s="182"/>
      <c r="AN474" s="182"/>
      <c r="AO474" s="182"/>
      <c r="AP474" s="182"/>
      <c r="AQ474" s="185">
        <f t="shared" si="74"/>
        <v>36190.89</v>
      </c>
      <c r="AR474" s="182">
        <v>27438.2</v>
      </c>
      <c r="AS474" s="182">
        <v>3527.05</v>
      </c>
      <c r="AT474" s="182">
        <v>5225.6400000000003</v>
      </c>
      <c r="AU474" s="182"/>
      <c r="AV474" s="182"/>
      <c r="AW474" s="182"/>
      <c r="AX474" s="182"/>
      <c r="AY474" s="182"/>
      <c r="AZ474" s="182"/>
      <c r="BA474" s="182"/>
      <c r="BB474" s="182"/>
      <c r="BC474" s="182"/>
      <c r="BD474" s="182"/>
      <c r="BE474" s="182"/>
      <c r="BF474" s="182"/>
      <c r="BG474" s="182"/>
      <c r="BH474" s="182"/>
      <c r="BI474" s="182"/>
      <c r="BJ474" s="182"/>
      <c r="BK474" s="182"/>
      <c r="BL474" s="182"/>
      <c r="BM474" s="182"/>
      <c r="BN474" s="182"/>
      <c r="BO474" s="182"/>
      <c r="BP474" s="182"/>
      <c r="BQ474" s="182"/>
      <c r="BR474" s="182"/>
      <c r="BS474" s="182"/>
      <c r="BT474" s="182"/>
      <c r="BU474" s="182"/>
      <c r="BV474" s="182"/>
      <c r="BW474" s="182"/>
      <c r="BX474" s="182"/>
      <c r="BY474" s="182"/>
      <c r="BZ474" s="182"/>
      <c r="CA474" s="182"/>
      <c r="CB474" s="185">
        <f t="shared" si="75"/>
        <v>36190.89</v>
      </c>
      <c r="CC474" s="185">
        <f t="shared" si="76"/>
        <v>0</v>
      </c>
      <c r="CD474" s="185">
        <f t="shared" si="77"/>
        <v>852</v>
      </c>
      <c r="CE474" s="185" t="e">
        <f>+#REF!</f>
        <v>#REF!</v>
      </c>
    </row>
    <row r="475" spans="2:83" s="197" customFormat="1" ht="37.5" x14ac:dyDescent="0.3">
      <c r="B475" s="182">
        <v>1482</v>
      </c>
      <c r="C475" s="182">
        <v>853</v>
      </c>
      <c r="D475" s="182" t="s">
        <v>325</v>
      </c>
      <c r="E475" s="181" t="s">
        <v>4725</v>
      </c>
      <c r="F475" s="182"/>
      <c r="G475" s="182">
        <v>10680</v>
      </c>
      <c r="H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  <c r="Z475" s="182"/>
      <c r="AA475" s="182"/>
      <c r="AB475" s="182"/>
      <c r="AC475" s="182"/>
      <c r="AD475" s="182"/>
      <c r="AE475" s="182"/>
      <c r="AF475" s="182"/>
      <c r="AG475" s="182"/>
      <c r="AH475" s="182"/>
      <c r="AI475" s="182"/>
      <c r="AJ475" s="182"/>
      <c r="AK475" s="182"/>
      <c r="AL475" s="182"/>
      <c r="AM475" s="182"/>
      <c r="AN475" s="182"/>
      <c r="AO475" s="182"/>
      <c r="AP475" s="182"/>
      <c r="AQ475" s="185">
        <f t="shared" si="74"/>
        <v>10680</v>
      </c>
      <c r="AR475" s="182">
        <v>9544.65</v>
      </c>
      <c r="AS475" s="182">
        <v>1135.3499999999999</v>
      </c>
      <c r="AT475" s="182"/>
      <c r="AU475" s="182"/>
      <c r="AV475" s="182"/>
      <c r="AW475" s="182"/>
      <c r="AX475" s="182"/>
      <c r="AY475" s="182"/>
      <c r="AZ475" s="182"/>
      <c r="BA475" s="182"/>
      <c r="BB475" s="182"/>
      <c r="BC475" s="182"/>
      <c r="BD475" s="182"/>
      <c r="BE475" s="182"/>
      <c r="BF475" s="182"/>
      <c r="BG475" s="182"/>
      <c r="BH475" s="182"/>
      <c r="BI475" s="182"/>
      <c r="BJ475" s="182"/>
      <c r="BK475" s="182"/>
      <c r="BL475" s="182"/>
      <c r="BM475" s="182"/>
      <c r="BN475" s="182"/>
      <c r="BO475" s="182"/>
      <c r="BP475" s="182"/>
      <c r="BQ475" s="182"/>
      <c r="BR475" s="182"/>
      <c r="BS475" s="182"/>
      <c r="BT475" s="182"/>
      <c r="BU475" s="182"/>
      <c r="BV475" s="182"/>
      <c r="BW475" s="182"/>
      <c r="BX475" s="182"/>
      <c r="BY475" s="182"/>
      <c r="BZ475" s="182"/>
      <c r="CA475" s="182"/>
      <c r="CB475" s="185">
        <f t="shared" si="75"/>
        <v>10680</v>
      </c>
      <c r="CC475" s="185">
        <f t="shared" si="76"/>
        <v>0</v>
      </c>
      <c r="CD475" s="185">
        <f t="shared" si="77"/>
        <v>853</v>
      </c>
      <c r="CE475" s="185" t="e">
        <f>+#REF!</f>
        <v>#REF!</v>
      </c>
    </row>
    <row r="476" spans="2:83" s="197" customFormat="1" ht="37.5" x14ac:dyDescent="0.3">
      <c r="B476" s="182">
        <v>1165</v>
      </c>
      <c r="C476" s="182">
        <v>854</v>
      </c>
      <c r="D476" s="182" t="s">
        <v>325</v>
      </c>
      <c r="E476" s="181" t="s">
        <v>4726</v>
      </c>
      <c r="F476" s="182"/>
      <c r="G476" s="182">
        <v>9492</v>
      </c>
      <c r="H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2"/>
      <c r="AH476" s="182"/>
      <c r="AI476" s="182"/>
      <c r="AJ476" s="182"/>
      <c r="AK476" s="182"/>
      <c r="AL476" s="182"/>
      <c r="AM476" s="182"/>
      <c r="AN476" s="182"/>
      <c r="AO476" s="182"/>
      <c r="AP476" s="182"/>
      <c r="AQ476" s="185">
        <f t="shared" si="74"/>
        <v>9492</v>
      </c>
      <c r="AR476" s="182">
        <v>8472.7000000000007</v>
      </c>
      <c r="AS476" s="182">
        <v>1019.3</v>
      </c>
      <c r="AT476" s="182"/>
      <c r="AU476" s="182"/>
      <c r="AV476" s="182"/>
      <c r="AW476" s="182"/>
      <c r="AX476" s="182"/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/>
      <c r="BI476" s="182"/>
      <c r="BJ476" s="182"/>
      <c r="BK476" s="182"/>
      <c r="BL476" s="182"/>
      <c r="BM476" s="182"/>
      <c r="BN476" s="182"/>
      <c r="BO476" s="182"/>
      <c r="BP476" s="182"/>
      <c r="BQ476" s="182"/>
      <c r="BR476" s="182"/>
      <c r="BS476" s="182"/>
      <c r="BT476" s="182"/>
      <c r="BU476" s="182"/>
      <c r="BV476" s="182"/>
      <c r="BW476" s="182"/>
      <c r="BX476" s="182"/>
      <c r="BY476" s="182"/>
      <c r="BZ476" s="182"/>
      <c r="CA476" s="182"/>
      <c r="CB476" s="185">
        <f t="shared" si="75"/>
        <v>9492</v>
      </c>
      <c r="CC476" s="185">
        <f t="shared" si="76"/>
        <v>0</v>
      </c>
      <c r="CD476" s="185">
        <f t="shared" si="77"/>
        <v>854</v>
      </c>
      <c r="CE476" s="185" t="e">
        <f>+#REF!</f>
        <v>#REF!</v>
      </c>
    </row>
    <row r="477" spans="2:83" s="197" customFormat="1" ht="37.5" x14ac:dyDescent="0.3">
      <c r="B477" s="182">
        <v>1481</v>
      </c>
      <c r="C477" s="182">
        <v>855</v>
      </c>
      <c r="D477" s="182" t="s">
        <v>325</v>
      </c>
      <c r="E477" s="181" t="s">
        <v>4725</v>
      </c>
      <c r="F477" s="182"/>
      <c r="G477" s="182">
        <v>10680</v>
      </c>
      <c r="H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182"/>
      <c r="AI477" s="182"/>
      <c r="AJ477" s="182"/>
      <c r="AK477" s="182"/>
      <c r="AL477" s="182"/>
      <c r="AM477" s="182"/>
      <c r="AN477" s="182"/>
      <c r="AO477" s="182"/>
      <c r="AP477" s="182"/>
      <c r="AQ477" s="185">
        <f t="shared" si="74"/>
        <v>10680</v>
      </c>
      <c r="AR477" s="182">
        <v>9544.65</v>
      </c>
      <c r="AS477" s="182">
        <v>1135.3499999999999</v>
      </c>
      <c r="AT477" s="182"/>
      <c r="AU477" s="182"/>
      <c r="AV477" s="182"/>
      <c r="AW477" s="182"/>
      <c r="AX477" s="182"/>
      <c r="AY477" s="182"/>
      <c r="AZ477" s="182"/>
      <c r="BA477" s="182"/>
      <c r="BB477" s="182"/>
      <c r="BC477" s="182"/>
      <c r="BD477" s="182"/>
      <c r="BE477" s="182"/>
      <c r="BF477" s="182"/>
      <c r="BG477" s="182"/>
      <c r="BH477" s="182"/>
      <c r="BI477" s="182"/>
      <c r="BJ477" s="182"/>
      <c r="BK477" s="182"/>
      <c r="BL477" s="182"/>
      <c r="BM477" s="182"/>
      <c r="BN477" s="182"/>
      <c r="BO477" s="182"/>
      <c r="BP477" s="182"/>
      <c r="BQ477" s="182"/>
      <c r="BR477" s="182"/>
      <c r="BS477" s="182"/>
      <c r="BT477" s="182"/>
      <c r="BU477" s="182"/>
      <c r="BV477" s="182"/>
      <c r="BW477" s="182"/>
      <c r="BX477" s="182"/>
      <c r="BY477" s="182"/>
      <c r="BZ477" s="182"/>
      <c r="CA477" s="182"/>
      <c r="CB477" s="185">
        <f t="shared" si="75"/>
        <v>10680</v>
      </c>
      <c r="CC477" s="185">
        <f t="shared" si="76"/>
        <v>0</v>
      </c>
      <c r="CD477" s="185">
        <f t="shared" si="77"/>
        <v>855</v>
      </c>
      <c r="CE477" s="185" t="e">
        <f>+#REF!</f>
        <v>#REF!</v>
      </c>
    </row>
    <row r="478" spans="2:83" s="197" customFormat="1" ht="37.5" x14ac:dyDescent="0.3">
      <c r="B478" s="182">
        <v>1480</v>
      </c>
      <c r="C478" s="182">
        <v>856</v>
      </c>
      <c r="D478" s="182" t="s">
        <v>325</v>
      </c>
      <c r="E478" s="181" t="s">
        <v>4725</v>
      </c>
      <c r="F478" s="182"/>
      <c r="G478" s="182">
        <v>10380</v>
      </c>
      <c r="H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  <c r="Z478" s="182"/>
      <c r="AA478" s="182"/>
      <c r="AB478" s="182"/>
      <c r="AC478" s="182"/>
      <c r="AD478" s="182"/>
      <c r="AE478" s="182"/>
      <c r="AF478" s="182"/>
      <c r="AG478" s="182"/>
      <c r="AH478" s="182"/>
      <c r="AI478" s="182"/>
      <c r="AJ478" s="182"/>
      <c r="AK478" s="182"/>
      <c r="AL478" s="182"/>
      <c r="AM478" s="182"/>
      <c r="AN478" s="182"/>
      <c r="AO478" s="182"/>
      <c r="AP478" s="182"/>
      <c r="AQ478" s="185">
        <f t="shared" si="74"/>
        <v>10380</v>
      </c>
      <c r="AR478" s="182">
        <v>9275.75</v>
      </c>
      <c r="AS478" s="182">
        <v>1104.25</v>
      </c>
      <c r="AT478" s="182"/>
      <c r="AU478" s="182"/>
      <c r="AV478" s="182"/>
      <c r="AW478" s="182"/>
      <c r="AX478" s="182"/>
      <c r="AY478" s="182"/>
      <c r="AZ478" s="182"/>
      <c r="BA478" s="182"/>
      <c r="BB478" s="182"/>
      <c r="BC478" s="182"/>
      <c r="BD478" s="182"/>
      <c r="BE478" s="182"/>
      <c r="BF478" s="182"/>
      <c r="BG478" s="182"/>
      <c r="BH478" s="182"/>
      <c r="BI478" s="182"/>
      <c r="BJ478" s="182"/>
      <c r="BK478" s="182"/>
      <c r="BL478" s="182"/>
      <c r="BM478" s="182"/>
      <c r="BN478" s="182"/>
      <c r="BO478" s="182"/>
      <c r="BP478" s="182"/>
      <c r="BQ478" s="182"/>
      <c r="BR478" s="182"/>
      <c r="BS478" s="182"/>
      <c r="BT478" s="182"/>
      <c r="BU478" s="182"/>
      <c r="BV478" s="182"/>
      <c r="BW478" s="182"/>
      <c r="BX478" s="182"/>
      <c r="BY478" s="182"/>
      <c r="BZ478" s="182"/>
      <c r="CA478" s="182"/>
      <c r="CB478" s="185">
        <f t="shared" si="75"/>
        <v>10380</v>
      </c>
      <c r="CC478" s="185">
        <f t="shared" si="76"/>
        <v>0</v>
      </c>
      <c r="CD478" s="185">
        <f t="shared" si="77"/>
        <v>856</v>
      </c>
      <c r="CE478" s="185" t="e">
        <f>+#REF!</f>
        <v>#REF!</v>
      </c>
    </row>
    <row r="479" spans="2:83" s="197" customFormat="1" ht="37.5" x14ac:dyDescent="0.3">
      <c r="B479" s="182">
        <v>1479</v>
      </c>
      <c r="C479" s="182">
        <v>857</v>
      </c>
      <c r="D479" s="182" t="s">
        <v>325</v>
      </c>
      <c r="E479" s="181" t="s">
        <v>4725</v>
      </c>
      <c r="F479" s="182"/>
      <c r="G479" s="182">
        <v>562.79999999999995</v>
      </c>
      <c r="H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  <c r="Z479" s="182"/>
      <c r="AA479" s="182"/>
      <c r="AB479" s="182"/>
      <c r="AC479" s="182"/>
      <c r="AD479" s="182"/>
      <c r="AE479" s="182"/>
      <c r="AF479" s="182"/>
      <c r="AG479" s="182"/>
      <c r="AH479" s="182"/>
      <c r="AI479" s="182"/>
      <c r="AJ479" s="182"/>
      <c r="AK479" s="182"/>
      <c r="AL479" s="182"/>
      <c r="AM479" s="182"/>
      <c r="AN479" s="182"/>
      <c r="AO479" s="182"/>
      <c r="AP479" s="182"/>
      <c r="AQ479" s="185">
        <f t="shared" si="74"/>
        <v>562.79999999999995</v>
      </c>
      <c r="AR479" s="182">
        <v>376.4</v>
      </c>
      <c r="AS479" s="182">
        <v>50.8</v>
      </c>
      <c r="AT479" s="182">
        <v>135.60000000000002</v>
      </c>
      <c r="AU479" s="182"/>
      <c r="AV479" s="182"/>
      <c r="AW479" s="182"/>
      <c r="AX479" s="182"/>
      <c r="AY479" s="182"/>
      <c r="AZ479" s="182"/>
      <c r="BA479" s="182"/>
      <c r="BB479" s="182"/>
      <c r="BC479" s="182"/>
      <c r="BD479" s="182"/>
      <c r="BE479" s="182"/>
      <c r="BF479" s="182"/>
      <c r="BG479" s="182"/>
      <c r="BH479" s="182"/>
      <c r="BI479" s="182"/>
      <c r="BJ479" s="182"/>
      <c r="BK479" s="182"/>
      <c r="BL479" s="182"/>
      <c r="BM479" s="182"/>
      <c r="BN479" s="182"/>
      <c r="BO479" s="182"/>
      <c r="BP479" s="182"/>
      <c r="BQ479" s="182"/>
      <c r="BR479" s="182"/>
      <c r="BS479" s="182"/>
      <c r="BT479" s="182"/>
      <c r="BU479" s="182"/>
      <c r="BV479" s="182"/>
      <c r="BW479" s="182"/>
      <c r="BX479" s="182"/>
      <c r="BY479" s="182"/>
      <c r="BZ479" s="182"/>
      <c r="CA479" s="182"/>
      <c r="CB479" s="185">
        <f t="shared" si="75"/>
        <v>562.79999999999995</v>
      </c>
      <c r="CC479" s="185">
        <f t="shared" si="76"/>
        <v>0</v>
      </c>
      <c r="CD479" s="185">
        <f t="shared" si="77"/>
        <v>857</v>
      </c>
      <c r="CE479" s="185" t="e">
        <f>+#REF!</f>
        <v>#REF!</v>
      </c>
    </row>
    <row r="480" spans="2:83" s="197" customFormat="1" ht="37.5" x14ac:dyDescent="0.3">
      <c r="B480" s="182">
        <v>1483</v>
      </c>
      <c r="C480" s="182">
        <v>858</v>
      </c>
      <c r="D480" s="182" t="s">
        <v>325</v>
      </c>
      <c r="E480" s="181" t="s">
        <v>4727</v>
      </c>
      <c r="F480" s="182"/>
      <c r="G480" s="182">
        <v>11100</v>
      </c>
      <c r="H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  <c r="Z480" s="182"/>
      <c r="AA480" s="182"/>
      <c r="AB480" s="182"/>
      <c r="AC480" s="182"/>
      <c r="AD480" s="182"/>
      <c r="AE480" s="182"/>
      <c r="AF480" s="182"/>
      <c r="AG480" s="182"/>
      <c r="AH480" s="182"/>
      <c r="AI480" s="182"/>
      <c r="AJ480" s="182"/>
      <c r="AK480" s="182"/>
      <c r="AL480" s="182"/>
      <c r="AM480" s="182"/>
      <c r="AN480" s="182"/>
      <c r="AO480" s="182"/>
      <c r="AP480" s="182"/>
      <c r="AQ480" s="185">
        <f t="shared" si="74"/>
        <v>11100</v>
      </c>
      <c r="AR480" s="182">
        <v>9918.65</v>
      </c>
      <c r="AS480" s="182">
        <v>1181.3499999999999</v>
      </c>
      <c r="AT480" s="182"/>
      <c r="AU480" s="182"/>
      <c r="AV480" s="182"/>
      <c r="AW480" s="182"/>
      <c r="AX480" s="182"/>
      <c r="AY480" s="182"/>
      <c r="AZ480" s="182"/>
      <c r="BA480" s="182"/>
      <c r="BB480" s="182"/>
      <c r="BC480" s="182"/>
      <c r="BD480" s="182"/>
      <c r="BE480" s="182"/>
      <c r="BF480" s="182"/>
      <c r="BG480" s="182"/>
      <c r="BH480" s="182"/>
      <c r="BI480" s="182"/>
      <c r="BJ480" s="182"/>
      <c r="BK480" s="182"/>
      <c r="BL480" s="182"/>
      <c r="BM480" s="182"/>
      <c r="BN480" s="182"/>
      <c r="BO480" s="182"/>
      <c r="BP480" s="182"/>
      <c r="BQ480" s="182"/>
      <c r="BR480" s="182"/>
      <c r="BS480" s="182"/>
      <c r="BT480" s="182"/>
      <c r="BU480" s="182"/>
      <c r="BV480" s="182"/>
      <c r="BW480" s="182"/>
      <c r="BX480" s="182"/>
      <c r="BY480" s="182"/>
      <c r="BZ480" s="182"/>
      <c r="CA480" s="182"/>
      <c r="CB480" s="185">
        <f t="shared" si="75"/>
        <v>11100</v>
      </c>
      <c r="CC480" s="185">
        <f t="shared" si="76"/>
        <v>0</v>
      </c>
      <c r="CD480" s="185">
        <f t="shared" si="77"/>
        <v>858</v>
      </c>
      <c r="CE480" s="185" t="e">
        <f>+#REF!</f>
        <v>#REF!</v>
      </c>
    </row>
    <row r="481" spans="2:83" s="197" customFormat="1" ht="37.5" x14ac:dyDescent="0.3">
      <c r="B481" s="182">
        <v>1478</v>
      </c>
      <c r="C481" s="182">
        <v>859</v>
      </c>
      <c r="D481" s="182" t="s">
        <v>325</v>
      </c>
      <c r="E481" s="181" t="str">
        <f>+E479</f>
        <v>م عبء تدريسى جراحة مسالك</v>
      </c>
      <c r="F481" s="182"/>
      <c r="G481" s="182">
        <v>562.79999999999995</v>
      </c>
      <c r="H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  <c r="Z481" s="182"/>
      <c r="AA481" s="182"/>
      <c r="AB481" s="182"/>
      <c r="AC481" s="182"/>
      <c r="AD481" s="182"/>
      <c r="AE481" s="182"/>
      <c r="AF481" s="182"/>
      <c r="AG481" s="182"/>
      <c r="AH481" s="182"/>
      <c r="AI481" s="182"/>
      <c r="AJ481" s="182"/>
      <c r="AK481" s="182"/>
      <c r="AL481" s="182"/>
      <c r="AM481" s="182"/>
      <c r="AN481" s="182"/>
      <c r="AO481" s="182"/>
      <c r="AP481" s="182"/>
      <c r="AQ481" s="185">
        <f t="shared" si="74"/>
        <v>562.79999999999995</v>
      </c>
      <c r="AR481" s="182">
        <v>376.7</v>
      </c>
      <c r="AS481" s="182">
        <v>50.5</v>
      </c>
      <c r="AT481" s="182">
        <v>135.6</v>
      </c>
      <c r="AU481" s="182"/>
      <c r="AV481" s="182"/>
      <c r="AW481" s="182"/>
      <c r="AX481" s="182"/>
      <c r="AY481" s="182"/>
      <c r="AZ481" s="182"/>
      <c r="BA481" s="182"/>
      <c r="BB481" s="182"/>
      <c r="BC481" s="182"/>
      <c r="BD481" s="182"/>
      <c r="BE481" s="182"/>
      <c r="BF481" s="182"/>
      <c r="BG481" s="182"/>
      <c r="BH481" s="182"/>
      <c r="BI481" s="182"/>
      <c r="BJ481" s="182"/>
      <c r="BK481" s="182"/>
      <c r="BL481" s="182"/>
      <c r="BM481" s="182"/>
      <c r="BN481" s="182"/>
      <c r="BO481" s="182"/>
      <c r="BP481" s="182"/>
      <c r="BQ481" s="182"/>
      <c r="BR481" s="182"/>
      <c r="BS481" s="182"/>
      <c r="BT481" s="182"/>
      <c r="BU481" s="182"/>
      <c r="BV481" s="182"/>
      <c r="BW481" s="182"/>
      <c r="BX481" s="182"/>
      <c r="BY481" s="182"/>
      <c r="BZ481" s="182"/>
      <c r="CA481" s="182"/>
      <c r="CB481" s="185">
        <f t="shared" si="75"/>
        <v>562.79999999999995</v>
      </c>
      <c r="CC481" s="185">
        <f t="shared" si="76"/>
        <v>0</v>
      </c>
      <c r="CD481" s="185">
        <f t="shared" si="77"/>
        <v>859</v>
      </c>
      <c r="CE481" s="185" t="e">
        <f>+#REF!</f>
        <v>#REF!</v>
      </c>
    </row>
    <row r="482" spans="2:83" s="197" customFormat="1" ht="18.75" x14ac:dyDescent="0.3">
      <c r="B482" s="185"/>
      <c r="C482" s="185"/>
      <c r="D482" s="185"/>
      <c r="E482" s="184" t="s">
        <v>4728</v>
      </c>
      <c r="F482" s="185"/>
      <c r="G482" s="185">
        <f t="shared" ref="G482:AL482" si="78">SUM(G441:G481)</f>
        <v>187390.29</v>
      </c>
      <c r="H482" s="185">
        <f t="shared" si="78"/>
        <v>0</v>
      </c>
      <c r="I482" s="185">
        <f t="shared" si="78"/>
        <v>0</v>
      </c>
      <c r="J482" s="185">
        <f t="shared" si="78"/>
        <v>0</v>
      </c>
      <c r="K482" s="185">
        <f t="shared" si="78"/>
        <v>0</v>
      </c>
      <c r="L482" s="185">
        <f t="shared" si="78"/>
        <v>0</v>
      </c>
      <c r="M482" s="185">
        <f t="shared" si="78"/>
        <v>0</v>
      </c>
      <c r="N482" s="185">
        <f t="shared" si="78"/>
        <v>0</v>
      </c>
      <c r="O482" s="185">
        <f t="shared" si="78"/>
        <v>0</v>
      </c>
      <c r="P482" s="185">
        <f t="shared" si="78"/>
        <v>0</v>
      </c>
      <c r="Q482" s="185">
        <f t="shared" si="78"/>
        <v>0</v>
      </c>
      <c r="R482" s="185">
        <f t="shared" si="78"/>
        <v>0</v>
      </c>
      <c r="S482" s="185">
        <f t="shared" si="78"/>
        <v>0</v>
      </c>
      <c r="T482" s="185">
        <f t="shared" si="78"/>
        <v>0</v>
      </c>
      <c r="U482" s="185">
        <f t="shared" si="78"/>
        <v>0</v>
      </c>
      <c r="V482" s="185">
        <f t="shared" si="78"/>
        <v>0</v>
      </c>
      <c r="W482" s="185">
        <f t="shared" si="78"/>
        <v>88952.59</v>
      </c>
      <c r="X482" s="185">
        <f t="shared" si="78"/>
        <v>0</v>
      </c>
      <c r="Y482" s="185">
        <f t="shared" si="78"/>
        <v>0</v>
      </c>
      <c r="Z482" s="185">
        <f t="shared" si="78"/>
        <v>0</v>
      </c>
      <c r="AA482" s="185">
        <f t="shared" si="78"/>
        <v>0</v>
      </c>
      <c r="AB482" s="185">
        <f t="shared" si="78"/>
        <v>0</v>
      </c>
      <c r="AC482" s="185">
        <f t="shared" si="78"/>
        <v>0</v>
      </c>
      <c r="AD482" s="185">
        <f t="shared" si="78"/>
        <v>0</v>
      </c>
      <c r="AE482" s="185">
        <f t="shared" si="78"/>
        <v>0</v>
      </c>
      <c r="AF482" s="185">
        <f t="shared" si="78"/>
        <v>0</v>
      </c>
      <c r="AG482" s="185">
        <f t="shared" si="78"/>
        <v>0</v>
      </c>
      <c r="AH482" s="185">
        <f t="shared" si="78"/>
        <v>0</v>
      </c>
      <c r="AI482" s="185">
        <f t="shared" si="78"/>
        <v>0</v>
      </c>
      <c r="AJ482" s="185">
        <f t="shared" si="78"/>
        <v>0</v>
      </c>
      <c r="AK482" s="185">
        <f t="shared" si="78"/>
        <v>0</v>
      </c>
      <c r="AL482" s="185">
        <f t="shared" si="78"/>
        <v>0</v>
      </c>
      <c r="AM482" s="185">
        <f t="shared" ref="AM482:BR482" si="79">SUM(AM441:AM481)</f>
        <v>0</v>
      </c>
      <c r="AN482" s="185">
        <f t="shared" si="79"/>
        <v>0</v>
      </c>
      <c r="AO482" s="185">
        <f t="shared" si="79"/>
        <v>0</v>
      </c>
      <c r="AP482" s="185">
        <f t="shared" si="79"/>
        <v>0</v>
      </c>
      <c r="AQ482" s="185">
        <f t="shared" si="79"/>
        <v>276342.88</v>
      </c>
      <c r="AR482" s="185">
        <f t="shared" si="79"/>
        <v>219121.2</v>
      </c>
      <c r="AS482" s="185">
        <f t="shared" si="79"/>
        <v>24940.459999999995</v>
      </c>
      <c r="AT482" s="185">
        <f t="shared" si="79"/>
        <v>32281.219999999998</v>
      </c>
      <c r="AU482" s="185">
        <f t="shared" si="79"/>
        <v>0</v>
      </c>
      <c r="AV482" s="185">
        <f t="shared" si="79"/>
        <v>0</v>
      </c>
      <c r="AW482" s="185">
        <f t="shared" si="79"/>
        <v>0</v>
      </c>
      <c r="AX482" s="185">
        <f t="shared" si="79"/>
        <v>0</v>
      </c>
      <c r="AY482" s="185">
        <f t="shared" si="79"/>
        <v>0</v>
      </c>
      <c r="AZ482" s="185">
        <f t="shared" si="79"/>
        <v>0</v>
      </c>
      <c r="BA482" s="185">
        <f t="shared" si="79"/>
        <v>0</v>
      </c>
      <c r="BB482" s="185">
        <f t="shared" si="79"/>
        <v>0</v>
      </c>
      <c r="BC482" s="185">
        <f t="shared" si="79"/>
        <v>0</v>
      </c>
      <c r="BD482" s="185">
        <f t="shared" si="79"/>
        <v>0</v>
      </c>
      <c r="BE482" s="185">
        <f t="shared" si="79"/>
        <v>0</v>
      </c>
      <c r="BF482" s="185">
        <f t="shared" si="79"/>
        <v>0</v>
      </c>
      <c r="BG482" s="185">
        <f t="shared" si="79"/>
        <v>0</v>
      </c>
      <c r="BH482" s="185">
        <f t="shared" si="79"/>
        <v>0</v>
      </c>
      <c r="BI482" s="185">
        <f t="shared" si="79"/>
        <v>0</v>
      </c>
      <c r="BJ482" s="185">
        <f t="shared" si="79"/>
        <v>0</v>
      </c>
      <c r="BK482" s="185">
        <f t="shared" si="79"/>
        <v>0</v>
      </c>
      <c r="BL482" s="185">
        <f t="shared" si="79"/>
        <v>0</v>
      </c>
      <c r="BM482" s="185">
        <f t="shared" si="79"/>
        <v>0</v>
      </c>
      <c r="BN482" s="185">
        <f t="shared" si="79"/>
        <v>0</v>
      </c>
      <c r="BO482" s="185">
        <f t="shared" si="79"/>
        <v>0</v>
      </c>
      <c r="BP482" s="185">
        <f t="shared" si="79"/>
        <v>0</v>
      </c>
      <c r="BQ482" s="185">
        <f t="shared" si="79"/>
        <v>0</v>
      </c>
      <c r="BR482" s="185">
        <f t="shared" si="79"/>
        <v>0</v>
      </c>
      <c r="BS482" s="185">
        <f t="shared" ref="BS482:CC482" si="80">SUM(BS441:BS481)</f>
        <v>0</v>
      </c>
      <c r="BT482" s="185">
        <f t="shared" si="80"/>
        <v>0</v>
      </c>
      <c r="BU482" s="185">
        <f t="shared" si="80"/>
        <v>0</v>
      </c>
      <c r="BV482" s="185">
        <f t="shared" si="80"/>
        <v>0</v>
      </c>
      <c r="BW482" s="185">
        <f t="shared" si="80"/>
        <v>0</v>
      </c>
      <c r="BX482" s="185">
        <f t="shared" si="80"/>
        <v>0</v>
      </c>
      <c r="BY482" s="185">
        <f t="shared" si="80"/>
        <v>0</v>
      </c>
      <c r="BZ482" s="185">
        <f t="shared" si="80"/>
        <v>0</v>
      </c>
      <c r="CA482" s="185">
        <f t="shared" si="80"/>
        <v>0</v>
      </c>
      <c r="CB482" s="185">
        <f t="shared" si="80"/>
        <v>276342.88</v>
      </c>
      <c r="CC482" s="185">
        <f t="shared" si="80"/>
        <v>0</v>
      </c>
      <c r="CD482" s="185"/>
      <c r="CE482" s="185" t="e">
        <f>SUM(CE441:CE481)</f>
        <v>#REF!</v>
      </c>
    </row>
    <row r="483" spans="2:83" s="197" customFormat="1" ht="37.5" x14ac:dyDescent="0.3">
      <c r="B483" s="182"/>
      <c r="C483" s="182">
        <v>860</v>
      </c>
      <c r="D483" s="182" t="s">
        <v>1431</v>
      </c>
      <c r="E483" s="181" t="s">
        <v>4729</v>
      </c>
      <c r="F483" s="182"/>
      <c r="G483" s="182"/>
      <c r="H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  <c r="Z483" s="182"/>
      <c r="AA483" s="182"/>
      <c r="AB483" s="182"/>
      <c r="AC483" s="182"/>
      <c r="AD483" s="182"/>
      <c r="AE483" s="182"/>
      <c r="AF483" s="182"/>
      <c r="AG483" s="182"/>
      <c r="AH483" s="182"/>
      <c r="AI483" s="182"/>
      <c r="AJ483" s="182"/>
      <c r="AK483" s="182"/>
      <c r="AL483" s="182"/>
      <c r="AM483" s="182"/>
      <c r="AN483" s="182"/>
      <c r="AO483" s="182"/>
      <c r="AP483" s="182"/>
      <c r="AQ483" s="185">
        <f t="shared" ref="AQ483:AQ509" si="81">SUM(G483:AP483)</f>
        <v>0</v>
      </c>
      <c r="AR483" s="182"/>
      <c r="AS483" s="182"/>
      <c r="AT483" s="182"/>
      <c r="AU483" s="182"/>
      <c r="AV483" s="182"/>
      <c r="AW483" s="182"/>
      <c r="AX483" s="182"/>
      <c r="AY483" s="182"/>
      <c r="AZ483" s="182"/>
      <c r="BA483" s="182"/>
      <c r="BB483" s="182"/>
      <c r="BC483" s="182"/>
      <c r="BD483" s="182"/>
      <c r="BE483" s="182"/>
      <c r="BF483" s="182"/>
      <c r="BG483" s="182"/>
      <c r="BH483" s="182"/>
      <c r="BI483" s="182"/>
      <c r="BJ483" s="182"/>
      <c r="BK483" s="182"/>
      <c r="BL483" s="182"/>
      <c r="BM483" s="182"/>
      <c r="BN483" s="182"/>
      <c r="BO483" s="182"/>
      <c r="BP483" s="182"/>
      <c r="BQ483" s="182"/>
      <c r="BR483" s="182"/>
      <c r="BS483" s="182"/>
      <c r="BT483" s="182"/>
      <c r="BU483" s="182"/>
      <c r="BV483" s="182"/>
      <c r="BW483" s="182"/>
      <c r="BX483" s="182"/>
      <c r="BY483" s="182"/>
      <c r="BZ483" s="182"/>
      <c r="CA483" s="182"/>
      <c r="CB483" s="185">
        <f t="shared" ref="CB483:CB509" si="82">SUM(AR483:CA483)</f>
        <v>0</v>
      </c>
      <c r="CC483" s="185">
        <f t="shared" ref="CC483:CC509" si="83">+CB483-AQ483</f>
        <v>0</v>
      </c>
      <c r="CD483" s="185">
        <f t="shared" ref="CD483:CD509" si="84">+C483</f>
        <v>860</v>
      </c>
      <c r="CE483" s="185" t="e">
        <f>+#REF!</f>
        <v>#REF!</v>
      </c>
    </row>
    <row r="484" spans="2:83" s="197" customFormat="1" ht="37.5" x14ac:dyDescent="0.3">
      <c r="B484" s="182">
        <v>2183</v>
      </c>
      <c r="C484" s="182">
        <v>861</v>
      </c>
      <c r="D484" s="182" t="s">
        <v>325</v>
      </c>
      <c r="E484" s="181" t="s">
        <v>4730</v>
      </c>
      <c r="F484" s="182"/>
      <c r="G484" s="182"/>
      <c r="H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>
        <v>388776.15</v>
      </c>
      <c r="U484" s="182"/>
      <c r="V484" s="182"/>
      <c r="W484" s="182"/>
      <c r="X484" s="182"/>
      <c r="Y484" s="182"/>
      <c r="Z484" s="182"/>
      <c r="AA484" s="182"/>
      <c r="AB484" s="182"/>
      <c r="AC484" s="182"/>
      <c r="AD484" s="182"/>
      <c r="AE484" s="182"/>
      <c r="AF484" s="182"/>
      <c r="AG484" s="182"/>
      <c r="AH484" s="182"/>
      <c r="AI484" s="182"/>
      <c r="AJ484" s="182"/>
      <c r="AK484" s="182"/>
      <c r="AL484" s="182"/>
      <c r="AM484" s="182"/>
      <c r="AN484" s="182"/>
      <c r="AO484" s="182"/>
      <c r="AP484" s="182"/>
      <c r="AQ484" s="185">
        <f t="shared" si="81"/>
        <v>388776.15</v>
      </c>
      <c r="AR484" s="182">
        <v>388776.15</v>
      </c>
      <c r="AS484" s="182"/>
      <c r="AT484" s="182"/>
      <c r="AU484" s="182"/>
      <c r="AV484" s="182"/>
      <c r="AW484" s="182"/>
      <c r="AX484" s="182"/>
      <c r="AY484" s="182"/>
      <c r="AZ484" s="182"/>
      <c r="BA484" s="182"/>
      <c r="BB484" s="182"/>
      <c r="BC484" s="182"/>
      <c r="BD484" s="182"/>
      <c r="BE484" s="182"/>
      <c r="BF484" s="182"/>
      <c r="BG484" s="182"/>
      <c r="BH484" s="182"/>
      <c r="BI484" s="182"/>
      <c r="BJ484" s="182"/>
      <c r="BK484" s="182"/>
      <c r="BL484" s="182"/>
      <c r="BM484" s="182"/>
      <c r="BN484" s="182"/>
      <c r="BO484" s="182"/>
      <c r="BP484" s="182"/>
      <c r="BQ484" s="182"/>
      <c r="BR484" s="182"/>
      <c r="BS484" s="182"/>
      <c r="BT484" s="182"/>
      <c r="BU484" s="182"/>
      <c r="BV484" s="182"/>
      <c r="BW484" s="182"/>
      <c r="BX484" s="182"/>
      <c r="BY484" s="182"/>
      <c r="BZ484" s="182"/>
      <c r="CA484" s="182"/>
      <c r="CB484" s="185">
        <f t="shared" si="82"/>
        <v>388776.15</v>
      </c>
      <c r="CC484" s="185">
        <f t="shared" si="83"/>
        <v>0</v>
      </c>
      <c r="CD484" s="185">
        <f t="shared" si="84"/>
        <v>861</v>
      </c>
      <c r="CE484" s="185" t="e">
        <f>+#REF!</f>
        <v>#REF!</v>
      </c>
    </row>
    <row r="485" spans="2:83" s="197" customFormat="1" ht="37.5" x14ac:dyDescent="0.3">
      <c r="B485" s="182">
        <v>2110</v>
      </c>
      <c r="C485" s="182">
        <v>862</v>
      </c>
      <c r="D485" s="182" t="s">
        <v>325</v>
      </c>
      <c r="E485" s="181" t="s">
        <v>4731</v>
      </c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>
        <v>20522.75</v>
      </c>
      <c r="U485" s="182"/>
      <c r="V485" s="182"/>
      <c r="W485" s="182"/>
      <c r="X485" s="182"/>
      <c r="Y485" s="182"/>
      <c r="Z485" s="182"/>
      <c r="AA485" s="182"/>
      <c r="AB485" s="182"/>
      <c r="AC485" s="182"/>
      <c r="AD485" s="182"/>
      <c r="AE485" s="182"/>
      <c r="AF485" s="182"/>
      <c r="AG485" s="182"/>
      <c r="AH485" s="182"/>
      <c r="AI485" s="182"/>
      <c r="AJ485" s="182"/>
      <c r="AK485" s="182"/>
      <c r="AL485" s="182"/>
      <c r="AM485" s="182"/>
      <c r="AN485" s="182"/>
      <c r="AO485" s="182"/>
      <c r="AP485" s="182"/>
      <c r="AQ485" s="185">
        <f t="shared" si="81"/>
        <v>20522.75</v>
      </c>
      <c r="AR485" s="182">
        <v>20522.75</v>
      </c>
      <c r="AS485" s="182"/>
      <c r="AT485" s="182"/>
      <c r="AU485" s="182"/>
      <c r="AV485" s="182"/>
      <c r="AW485" s="182"/>
      <c r="AX485" s="182"/>
      <c r="AY485" s="182"/>
      <c r="AZ485" s="182"/>
      <c r="BA485" s="182"/>
      <c r="BB485" s="182"/>
      <c r="BC485" s="182"/>
      <c r="BD485" s="182"/>
      <c r="BE485" s="182"/>
      <c r="BF485" s="182"/>
      <c r="BG485" s="182"/>
      <c r="BH485" s="182"/>
      <c r="BI485" s="182"/>
      <c r="BJ485" s="182"/>
      <c r="BK485" s="182"/>
      <c r="BL485" s="182"/>
      <c r="BM485" s="182"/>
      <c r="BN485" s="182"/>
      <c r="BO485" s="182"/>
      <c r="BP485" s="182"/>
      <c r="BQ485" s="182"/>
      <c r="BR485" s="182"/>
      <c r="BS485" s="182"/>
      <c r="BT485" s="182"/>
      <c r="BU485" s="182"/>
      <c r="BV485" s="182"/>
      <c r="BW485" s="182"/>
      <c r="BX485" s="182"/>
      <c r="BY485" s="182"/>
      <c r="BZ485" s="182"/>
      <c r="CA485" s="182"/>
      <c r="CB485" s="185">
        <f t="shared" si="82"/>
        <v>20522.75</v>
      </c>
      <c r="CC485" s="185">
        <f t="shared" si="83"/>
        <v>0</v>
      </c>
      <c r="CD485" s="185">
        <f t="shared" si="84"/>
        <v>862</v>
      </c>
      <c r="CE485" s="185" t="e">
        <f>+#REF!</f>
        <v>#REF!</v>
      </c>
    </row>
    <row r="486" spans="2:83" s="197" customFormat="1" ht="37.5" x14ac:dyDescent="0.3">
      <c r="B486" s="182">
        <v>2101</v>
      </c>
      <c r="C486" s="182">
        <v>863</v>
      </c>
      <c r="D486" s="182" t="s">
        <v>325</v>
      </c>
      <c r="E486" s="181" t="s">
        <v>4732</v>
      </c>
      <c r="F486" s="182"/>
      <c r="G486" s="182"/>
      <c r="H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>
        <v>120099.2</v>
      </c>
      <c r="U486" s="182"/>
      <c r="V486" s="182"/>
      <c r="W486" s="182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/>
      <c r="AH486" s="182"/>
      <c r="AI486" s="182"/>
      <c r="AJ486" s="182"/>
      <c r="AK486" s="182"/>
      <c r="AL486" s="182"/>
      <c r="AM486" s="182"/>
      <c r="AN486" s="182"/>
      <c r="AO486" s="182"/>
      <c r="AP486" s="182"/>
      <c r="AQ486" s="185">
        <f t="shared" si="81"/>
        <v>120099.2</v>
      </c>
      <c r="AR486" s="182">
        <v>120099.2</v>
      </c>
      <c r="AS486" s="182"/>
      <c r="AT486" s="182"/>
      <c r="AU486" s="182"/>
      <c r="AV486" s="182"/>
      <c r="AW486" s="182"/>
      <c r="AX486" s="182"/>
      <c r="AY486" s="182"/>
      <c r="AZ486" s="182"/>
      <c r="BA486" s="182"/>
      <c r="BB486" s="182"/>
      <c r="BC486" s="182"/>
      <c r="BD486" s="182"/>
      <c r="BE486" s="182"/>
      <c r="BF486" s="182"/>
      <c r="BG486" s="182"/>
      <c r="BH486" s="182"/>
      <c r="BI486" s="182"/>
      <c r="BJ486" s="182"/>
      <c r="BK486" s="182"/>
      <c r="BL486" s="182"/>
      <c r="BM486" s="182"/>
      <c r="BN486" s="182"/>
      <c r="BO486" s="182"/>
      <c r="BP486" s="182"/>
      <c r="BQ486" s="182"/>
      <c r="BR486" s="182"/>
      <c r="BS486" s="182"/>
      <c r="BT486" s="182"/>
      <c r="BU486" s="182"/>
      <c r="BV486" s="182"/>
      <c r="BW486" s="182"/>
      <c r="BX486" s="182"/>
      <c r="BY486" s="182"/>
      <c r="BZ486" s="182"/>
      <c r="CA486" s="182"/>
      <c r="CB486" s="185">
        <f t="shared" si="82"/>
        <v>120099.2</v>
      </c>
      <c r="CC486" s="185">
        <f t="shared" si="83"/>
        <v>0</v>
      </c>
      <c r="CD486" s="185">
        <f t="shared" si="84"/>
        <v>863</v>
      </c>
      <c r="CE486" s="185" t="e">
        <f>+#REF!</f>
        <v>#REF!</v>
      </c>
    </row>
    <row r="487" spans="2:83" s="197" customFormat="1" ht="37.5" x14ac:dyDescent="0.3">
      <c r="B487" s="182">
        <v>2102</v>
      </c>
      <c r="C487" s="182">
        <v>864</v>
      </c>
      <c r="D487" s="182" t="s">
        <v>325</v>
      </c>
      <c r="E487" s="181" t="s">
        <v>4733</v>
      </c>
      <c r="F487" s="182"/>
      <c r="G487" s="182"/>
      <c r="H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>
        <v>516</v>
      </c>
      <c r="V487" s="182"/>
      <c r="W487" s="182"/>
      <c r="X487" s="182"/>
      <c r="Y487" s="182"/>
      <c r="Z487" s="182"/>
      <c r="AA487" s="182"/>
      <c r="AB487" s="182"/>
      <c r="AC487" s="182"/>
      <c r="AD487" s="182"/>
      <c r="AE487" s="182"/>
      <c r="AF487" s="182"/>
      <c r="AG487" s="182"/>
      <c r="AH487" s="182"/>
      <c r="AI487" s="182"/>
      <c r="AJ487" s="182"/>
      <c r="AK487" s="182"/>
      <c r="AL487" s="182"/>
      <c r="AM487" s="182"/>
      <c r="AN487" s="182"/>
      <c r="AO487" s="182"/>
      <c r="AP487" s="182"/>
      <c r="AQ487" s="185">
        <f t="shared" si="81"/>
        <v>516</v>
      </c>
      <c r="AR487" s="182">
        <v>516</v>
      </c>
      <c r="AS487" s="182"/>
      <c r="AT487" s="182"/>
      <c r="AU487" s="182"/>
      <c r="AV487" s="182"/>
      <c r="AW487" s="182"/>
      <c r="AX487" s="182"/>
      <c r="AY487" s="182"/>
      <c r="AZ487" s="182"/>
      <c r="BA487" s="182"/>
      <c r="BB487" s="182"/>
      <c r="BC487" s="182"/>
      <c r="BD487" s="182"/>
      <c r="BE487" s="182"/>
      <c r="BF487" s="182"/>
      <c r="BG487" s="182"/>
      <c r="BH487" s="182"/>
      <c r="BI487" s="182"/>
      <c r="BJ487" s="182"/>
      <c r="BK487" s="182"/>
      <c r="BL487" s="182"/>
      <c r="BM487" s="182"/>
      <c r="BN487" s="182"/>
      <c r="BO487" s="182"/>
      <c r="BP487" s="182"/>
      <c r="BQ487" s="182"/>
      <c r="BR487" s="182"/>
      <c r="BS487" s="182"/>
      <c r="BT487" s="182"/>
      <c r="BU487" s="182"/>
      <c r="BV487" s="182"/>
      <c r="BW487" s="182"/>
      <c r="BX487" s="182"/>
      <c r="BY487" s="182"/>
      <c r="BZ487" s="182"/>
      <c r="CA487" s="182"/>
      <c r="CB487" s="185">
        <f t="shared" si="82"/>
        <v>516</v>
      </c>
      <c r="CC487" s="185">
        <f t="shared" si="83"/>
        <v>0</v>
      </c>
      <c r="CD487" s="185">
        <f t="shared" si="84"/>
        <v>864</v>
      </c>
      <c r="CE487" s="185" t="e">
        <f>+#REF!</f>
        <v>#REF!</v>
      </c>
    </row>
    <row r="488" spans="2:83" s="197" customFormat="1" ht="37.5" x14ac:dyDescent="0.3">
      <c r="B488" s="182">
        <v>2103</v>
      </c>
      <c r="C488" s="182">
        <v>865</v>
      </c>
      <c r="D488" s="182" t="s">
        <v>130</v>
      </c>
      <c r="E488" s="181" t="str">
        <f>+E484</f>
        <v>كسب عمل يوليو</v>
      </c>
      <c r="F488" s="182"/>
      <c r="G488" s="182"/>
      <c r="H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>
        <v>2649.86</v>
      </c>
      <c r="U488" s="182"/>
      <c r="V488" s="182"/>
      <c r="W488" s="182"/>
      <c r="X488" s="182"/>
      <c r="Y488" s="182"/>
      <c r="Z488" s="182"/>
      <c r="AA488" s="182"/>
      <c r="AB488" s="182"/>
      <c r="AC488" s="182"/>
      <c r="AD488" s="182"/>
      <c r="AE488" s="182"/>
      <c r="AF488" s="182"/>
      <c r="AG488" s="182"/>
      <c r="AH488" s="182"/>
      <c r="AI488" s="182"/>
      <c r="AJ488" s="182"/>
      <c r="AK488" s="182"/>
      <c r="AL488" s="182"/>
      <c r="AM488" s="182"/>
      <c r="AN488" s="182"/>
      <c r="AO488" s="182"/>
      <c r="AP488" s="182"/>
      <c r="AQ488" s="185">
        <f t="shared" si="81"/>
        <v>2649.86</v>
      </c>
      <c r="AR488" s="182">
        <v>2649.86</v>
      </c>
      <c r="AS488" s="182"/>
      <c r="AT488" s="182"/>
      <c r="AU488" s="182"/>
      <c r="AV488" s="182"/>
      <c r="AW488" s="182"/>
      <c r="AX488" s="182"/>
      <c r="AY488" s="182"/>
      <c r="AZ488" s="182"/>
      <c r="BA488" s="182"/>
      <c r="BB488" s="182"/>
      <c r="BC488" s="182"/>
      <c r="BD488" s="182"/>
      <c r="BE488" s="182"/>
      <c r="BF488" s="182"/>
      <c r="BG488" s="182"/>
      <c r="BH488" s="182"/>
      <c r="BI488" s="182"/>
      <c r="BJ488" s="182"/>
      <c r="BK488" s="182"/>
      <c r="BL488" s="182"/>
      <c r="BM488" s="182"/>
      <c r="BN488" s="182"/>
      <c r="BO488" s="182"/>
      <c r="BP488" s="182"/>
      <c r="BQ488" s="182"/>
      <c r="BR488" s="182"/>
      <c r="BS488" s="182"/>
      <c r="BT488" s="182"/>
      <c r="BU488" s="182"/>
      <c r="BV488" s="182"/>
      <c r="BW488" s="182"/>
      <c r="BX488" s="182"/>
      <c r="BY488" s="182"/>
      <c r="BZ488" s="182"/>
      <c r="CA488" s="182"/>
      <c r="CB488" s="185">
        <f t="shared" si="82"/>
        <v>2649.86</v>
      </c>
      <c r="CC488" s="185">
        <f t="shared" si="83"/>
        <v>0</v>
      </c>
      <c r="CD488" s="185">
        <f t="shared" si="84"/>
        <v>865</v>
      </c>
      <c r="CE488" s="185" t="e">
        <f>+#REF!</f>
        <v>#REF!</v>
      </c>
    </row>
    <row r="489" spans="2:83" s="197" customFormat="1" ht="37.5" x14ac:dyDescent="0.3">
      <c r="B489" s="182">
        <v>2104</v>
      </c>
      <c r="C489" s="182">
        <v>866</v>
      </c>
      <c r="D489" s="182" t="s">
        <v>130</v>
      </c>
      <c r="E489" s="181" t="str">
        <f>+E485</f>
        <v>دمغه عاديه يوليو</v>
      </c>
      <c r="F489" s="182"/>
      <c r="G489" s="182"/>
      <c r="H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>
        <v>129.69999999999999</v>
      </c>
      <c r="U489" s="182"/>
      <c r="V489" s="182"/>
      <c r="W489" s="182"/>
      <c r="X489" s="182"/>
      <c r="Y489" s="182"/>
      <c r="Z489" s="182"/>
      <c r="AA489" s="182"/>
      <c r="AB489" s="182"/>
      <c r="AC489" s="182"/>
      <c r="AD489" s="182"/>
      <c r="AE489" s="182"/>
      <c r="AF489" s="182"/>
      <c r="AG489" s="182"/>
      <c r="AH489" s="182"/>
      <c r="AI489" s="182"/>
      <c r="AJ489" s="182"/>
      <c r="AK489" s="182"/>
      <c r="AL489" s="182"/>
      <c r="AM489" s="182"/>
      <c r="AN489" s="182"/>
      <c r="AO489" s="182"/>
      <c r="AP489" s="182"/>
      <c r="AQ489" s="185">
        <f t="shared" si="81"/>
        <v>129.69999999999999</v>
      </c>
      <c r="AR489" s="182">
        <v>129.69999999999999</v>
      </c>
      <c r="AS489" s="182"/>
      <c r="AT489" s="182"/>
      <c r="AU489" s="182"/>
      <c r="AV489" s="182"/>
      <c r="AW489" s="182"/>
      <c r="AX489" s="182"/>
      <c r="AY489" s="182"/>
      <c r="AZ489" s="182"/>
      <c r="BA489" s="182"/>
      <c r="BB489" s="182"/>
      <c r="BC489" s="182"/>
      <c r="BD489" s="182"/>
      <c r="BE489" s="182"/>
      <c r="BF489" s="182"/>
      <c r="BG489" s="182"/>
      <c r="BH489" s="182"/>
      <c r="BI489" s="182"/>
      <c r="BJ489" s="182"/>
      <c r="BK489" s="182"/>
      <c r="BL489" s="182"/>
      <c r="BM489" s="182"/>
      <c r="BN489" s="182"/>
      <c r="BO489" s="182"/>
      <c r="BP489" s="182"/>
      <c r="BQ489" s="182"/>
      <c r="BR489" s="182"/>
      <c r="BS489" s="182"/>
      <c r="BT489" s="182"/>
      <c r="BU489" s="182"/>
      <c r="BV489" s="182"/>
      <c r="BW489" s="182"/>
      <c r="BX489" s="182"/>
      <c r="BY489" s="182"/>
      <c r="BZ489" s="182"/>
      <c r="CA489" s="182"/>
      <c r="CB489" s="185">
        <f t="shared" si="82"/>
        <v>129.69999999999999</v>
      </c>
      <c r="CC489" s="185">
        <f t="shared" si="83"/>
        <v>0</v>
      </c>
      <c r="CD489" s="185">
        <f t="shared" si="84"/>
        <v>866</v>
      </c>
      <c r="CE489" s="185" t="e">
        <f>+#REF!</f>
        <v>#REF!</v>
      </c>
    </row>
    <row r="490" spans="2:83" s="197" customFormat="1" ht="37.5" x14ac:dyDescent="0.3">
      <c r="B490" s="182">
        <v>2105</v>
      </c>
      <c r="C490" s="182">
        <v>867</v>
      </c>
      <c r="D490" s="182" t="s">
        <v>130</v>
      </c>
      <c r="E490" s="181" t="str">
        <f>+E486</f>
        <v>ضرائب متنوعه يوليو</v>
      </c>
      <c r="F490" s="182"/>
      <c r="G490" s="182"/>
      <c r="H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>
        <v>35557.9</v>
      </c>
      <c r="U490" s="182"/>
      <c r="V490" s="182"/>
      <c r="W490" s="182"/>
      <c r="X490" s="182"/>
      <c r="Y490" s="182"/>
      <c r="Z490" s="182"/>
      <c r="AA490" s="182"/>
      <c r="AB490" s="182"/>
      <c r="AC490" s="182"/>
      <c r="AD490" s="182"/>
      <c r="AE490" s="182"/>
      <c r="AF490" s="182"/>
      <c r="AG490" s="182"/>
      <c r="AH490" s="182"/>
      <c r="AI490" s="182"/>
      <c r="AJ490" s="182"/>
      <c r="AK490" s="182"/>
      <c r="AL490" s="182"/>
      <c r="AM490" s="182"/>
      <c r="AN490" s="182"/>
      <c r="AO490" s="182"/>
      <c r="AP490" s="182"/>
      <c r="AQ490" s="185">
        <f t="shared" si="81"/>
        <v>35557.9</v>
      </c>
      <c r="AR490" s="182">
        <v>35557.9</v>
      </c>
      <c r="AS490" s="182"/>
      <c r="AT490" s="182"/>
      <c r="AU490" s="182"/>
      <c r="AV490" s="182"/>
      <c r="AW490" s="182"/>
      <c r="AX490" s="182"/>
      <c r="AY490" s="182"/>
      <c r="AZ490" s="182"/>
      <c r="BA490" s="182"/>
      <c r="BB490" s="182"/>
      <c r="BC490" s="182"/>
      <c r="BD490" s="182"/>
      <c r="BE490" s="182"/>
      <c r="BF490" s="182"/>
      <c r="BG490" s="182"/>
      <c r="BH490" s="182"/>
      <c r="BI490" s="182"/>
      <c r="BJ490" s="182"/>
      <c r="BK490" s="182"/>
      <c r="BL490" s="182"/>
      <c r="BM490" s="182"/>
      <c r="BN490" s="182"/>
      <c r="BO490" s="182"/>
      <c r="BP490" s="182"/>
      <c r="BQ490" s="182"/>
      <c r="BR490" s="182"/>
      <c r="BS490" s="182"/>
      <c r="BT490" s="182"/>
      <c r="BU490" s="182"/>
      <c r="BV490" s="182"/>
      <c r="BW490" s="182"/>
      <c r="BX490" s="182"/>
      <c r="BY490" s="182"/>
      <c r="BZ490" s="182"/>
      <c r="CA490" s="182"/>
      <c r="CB490" s="185">
        <f t="shared" si="82"/>
        <v>35557.9</v>
      </c>
      <c r="CC490" s="185">
        <f t="shared" si="83"/>
        <v>0</v>
      </c>
      <c r="CD490" s="185">
        <f t="shared" si="84"/>
        <v>867</v>
      </c>
      <c r="CE490" s="185" t="e">
        <f>+#REF!</f>
        <v>#REF!</v>
      </c>
    </row>
    <row r="491" spans="2:83" s="197" customFormat="1" ht="37.5" x14ac:dyDescent="0.3">
      <c r="B491" s="182">
        <v>2106</v>
      </c>
      <c r="C491" s="182">
        <v>868</v>
      </c>
      <c r="D491" s="182" t="s">
        <v>130</v>
      </c>
      <c r="E491" s="181" t="str">
        <f>+E487</f>
        <v>تنميه موارد يوليو</v>
      </c>
      <c r="F491" s="182"/>
      <c r="G491" s="182"/>
      <c r="H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>
        <v>178</v>
      </c>
      <c r="V491" s="182"/>
      <c r="W491" s="182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2"/>
      <c r="AH491" s="182"/>
      <c r="AI491" s="182"/>
      <c r="AJ491" s="182"/>
      <c r="AK491" s="182"/>
      <c r="AL491" s="182"/>
      <c r="AM491" s="182"/>
      <c r="AN491" s="182"/>
      <c r="AO491" s="182"/>
      <c r="AP491" s="182"/>
      <c r="AQ491" s="185">
        <f t="shared" si="81"/>
        <v>178</v>
      </c>
      <c r="AR491" s="182">
        <v>178</v>
      </c>
      <c r="AS491" s="182"/>
      <c r="AT491" s="182"/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182"/>
      <c r="BK491" s="182"/>
      <c r="BL491" s="182"/>
      <c r="BM491" s="182"/>
      <c r="BN491" s="182"/>
      <c r="BO491" s="182"/>
      <c r="BP491" s="182"/>
      <c r="BQ491" s="182"/>
      <c r="BR491" s="182"/>
      <c r="BS491" s="182"/>
      <c r="BT491" s="182"/>
      <c r="BU491" s="182"/>
      <c r="BV491" s="182"/>
      <c r="BW491" s="182"/>
      <c r="BX491" s="182"/>
      <c r="BY491" s="182"/>
      <c r="BZ491" s="182"/>
      <c r="CA491" s="182"/>
      <c r="CB491" s="185">
        <f t="shared" si="82"/>
        <v>178</v>
      </c>
      <c r="CC491" s="185">
        <f t="shared" si="83"/>
        <v>0</v>
      </c>
      <c r="CD491" s="185">
        <f t="shared" si="84"/>
        <v>868</v>
      </c>
      <c r="CE491" s="185" t="e">
        <f>+#REF!</f>
        <v>#REF!</v>
      </c>
    </row>
    <row r="492" spans="2:83" s="197" customFormat="1" ht="37.5" x14ac:dyDescent="0.3">
      <c r="B492" s="182">
        <v>2107</v>
      </c>
      <c r="C492" s="182">
        <v>869</v>
      </c>
      <c r="D492" s="182" t="s">
        <v>128</v>
      </c>
      <c r="E492" s="181" t="str">
        <f>+E490</f>
        <v>ضرائب متنوعه يوليو</v>
      </c>
      <c r="F492" s="182"/>
      <c r="G492" s="182"/>
      <c r="H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>
        <v>445.6</v>
      </c>
      <c r="U492" s="182"/>
      <c r="V492" s="182"/>
      <c r="W492" s="182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2"/>
      <c r="AH492" s="182"/>
      <c r="AI492" s="182"/>
      <c r="AJ492" s="182"/>
      <c r="AK492" s="182"/>
      <c r="AL492" s="182"/>
      <c r="AM492" s="182"/>
      <c r="AN492" s="182"/>
      <c r="AO492" s="182"/>
      <c r="AP492" s="182"/>
      <c r="AQ492" s="185">
        <f t="shared" si="81"/>
        <v>445.6</v>
      </c>
      <c r="AR492" s="182">
        <v>445.6</v>
      </c>
      <c r="AS492" s="182"/>
      <c r="AT492" s="182"/>
      <c r="AU492" s="182"/>
      <c r="AV492" s="182"/>
      <c r="AW492" s="182"/>
      <c r="AX492" s="182"/>
      <c r="AY492" s="182"/>
      <c r="AZ492" s="182"/>
      <c r="BA492" s="182"/>
      <c r="BB492" s="182"/>
      <c r="BC492" s="182"/>
      <c r="BD492" s="182"/>
      <c r="BE492" s="182"/>
      <c r="BF492" s="182"/>
      <c r="BG492" s="182"/>
      <c r="BH492" s="182"/>
      <c r="BI492" s="182"/>
      <c r="BJ492" s="182"/>
      <c r="BK492" s="182"/>
      <c r="BL492" s="182"/>
      <c r="BM492" s="182"/>
      <c r="BN492" s="182"/>
      <c r="BO492" s="182"/>
      <c r="BP492" s="182"/>
      <c r="BQ492" s="182"/>
      <c r="BR492" s="182"/>
      <c r="BS492" s="182"/>
      <c r="BT492" s="182"/>
      <c r="BU492" s="182"/>
      <c r="BV492" s="182"/>
      <c r="BW492" s="182"/>
      <c r="BX492" s="182"/>
      <c r="BY492" s="182"/>
      <c r="BZ492" s="182"/>
      <c r="CA492" s="182"/>
      <c r="CB492" s="185">
        <f t="shared" si="82"/>
        <v>445.6</v>
      </c>
      <c r="CC492" s="185">
        <f t="shared" si="83"/>
        <v>0</v>
      </c>
      <c r="CD492" s="185">
        <f t="shared" si="84"/>
        <v>869</v>
      </c>
      <c r="CE492" s="185" t="e">
        <f>+#REF!</f>
        <v>#REF!</v>
      </c>
    </row>
    <row r="493" spans="2:83" s="197" customFormat="1" ht="37.5" x14ac:dyDescent="0.3">
      <c r="B493" s="182">
        <v>2108</v>
      </c>
      <c r="C493" s="182">
        <v>870</v>
      </c>
      <c r="D493" s="182" t="s">
        <v>128</v>
      </c>
      <c r="E493" s="181" t="str">
        <f>+E491</f>
        <v>تنميه موارد يوليو</v>
      </c>
      <c r="F493" s="182"/>
      <c r="G493" s="182"/>
      <c r="H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>
        <v>80</v>
      </c>
      <c r="V493" s="182"/>
      <c r="W493" s="182"/>
      <c r="X493" s="182"/>
      <c r="Y493" s="182"/>
      <c r="Z493" s="182"/>
      <c r="AA493" s="182"/>
      <c r="AB493" s="182"/>
      <c r="AC493" s="182"/>
      <c r="AD493" s="182"/>
      <c r="AE493" s="182"/>
      <c r="AF493" s="182"/>
      <c r="AG493" s="182"/>
      <c r="AH493" s="182"/>
      <c r="AI493" s="182"/>
      <c r="AJ493" s="182"/>
      <c r="AK493" s="182"/>
      <c r="AL493" s="182"/>
      <c r="AM493" s="182"/>
      <c r="AN493" s="182"/>
      <c r="AO493" s="182"/>
      <c r="AP493" s="182"/>
      <c r="AQ493" s="185">
        <f t="shared" si="81"/>
        <v>80</v>
      </c>
      <c r="AR493" s="182">
        <v>80</v>
      </c>
      <c r="AS493" s="182"/>
      <c r="AT493" s="182"/>
      <c r="AU493" s="182"/>
      <c r="AV493" s="182"/>
      <c r="AW493" s="182"/>
      <c r="AX493" s="182"/>
      <c r="AY493" s="182"/>
      <c r="AZ493" s="182"/>
      <c r="BA493" s="182"/>
      <c r="BB493" s="182"/>
      <c r="BC493" s="182"/>
      <c r="BD493" s="182"/>
      <c r="BE493" s="182"/>
      <c r="BF493" s="182"/>
      <c r="BG493" s="182"/>
      <c r="BH493" s="182"/>
      <c r="BI493" s="182"/>
      <c r="BJ493" s="182"/>
      <c r="BK493" s="182"/>
      <c r="BL493" s="182"/>
      <c r="BM493" s="182"/>
      <c r="BN493" s="182"/>
      <c r="BO493" s="182"/>
      <c r="BP493" s="182"/>
      <c r="BQ493" s="182"/>
      <c r="BR493" s="182"/>
      <c r="BS493" s="182"/>
      <c r="BT493" s="182"/>
      <c r="BU493" s="182"/>
      <c r="BV493" s="182"/>
      <c r="BW493" s="182"/>
      <c r="BX493" s="182"/>
      <c r="BY493" s="182"/>
      <c r="BZ493" s="182"/>
      <c r="CA493" s="182"/>
      <c r="CB493" s="185">
        <f t="shared" si="82"/>
        <v>80</v>
      </c>
      <c r="CC493" s="185">
        <f t="shared" si="83"/>
        <v>0</v>
      </c>
      <c r="CD493" s="185">
        <f t="shared" si="84"/>
        <v>870</v>
      </c>
      <c r="CE493" s="185" t="e">
        <f>+#REF!</f>
        <v>#REF!</v>
      </c>
    </row>
    <row r="494" spans="2:83" s="197" customFormat="1" ht="37.5" x14ac:dyDescent="0.3">
      <c r="B494" s="182">
        <v>2080</v>
      </c>
      <c r="C494" s="182">
        <v>871</v>
      </c>
      <c r="D494" s="182" t="s">
        <v>1160</v>
      </c>
      <c r="E494" s="181" t="str">
        <f>+E489</f>
        <v>دمغه عاديه يوليو</v>
      </c>
      <c r="F494" s="182"/>
      <c r="G494" s="182"/>
      <c r="H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>
        <v>13.65</v>
      </c>
      <c r="U494" s="182"/>
      <c r="V494" s="182"/>
      <c r="W494" s="182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182"/>
      <c r="AI494" s="182"/>
      <c r="AJ494" s="182"/>
      <c r="AK494" s="182"/>
      <c r="AL494" s="182"/>
      <c r="AM494" s="182"/>
      <c r="AN494" s="182"/>
      <c r="AO494" s="182"/>
      <c r="AP494" s="182"/>
      <c r="AQ494" s="185">
        <f t="shared" si="81"/>
        <v>13.65</v>
      </c>
      <c r="AR494" s="182">
        <v>13.65</v>
      </c>
      <c r="AS494" s="182"/>
      <c r="AT494" s="182"/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182"/>
      <c r="BK494" s="182"/>
      <c r="BL494" s="182"/>
      <c r="BM494" s="182"/>
      <c r="BN494" s="182"/>
      <c r="BO494" s="182"/>
      <c r="BP494" s="182"/>
      <c r="BQ494" s="182"/>
      <c r="BR494" s="182"/>
      <c r="BS494" s="182"/>
      <c r="BT494" s="182"/>
      <c r="BU494" s="182"/>
      <c r="BV494" s="182"/>
      <c r="BW494" s="182"/>
      <c r="BX494" s="182"/>
      <c r="BY494" s="182"/>
      <c r="BZ494" s="182"/>
      <c r="CA494" s="182"/>
      <c r="CB494" s="185">
        <f t="shared" si="82"/>
        <v>13.65</v>
      </c>
      <c r="CC494" s="185">
        <f t="shared" si="83"/>
        <v>0</v>
      </c>
      <c r="CD494" s="185">
        <f t="shared" si="84"/>
        <v>871</v>
      </c>
      <c r="CE494" s="185" t="e">
        <f>+#REF!</f>
        <v>#REF!</v>
      </c>
    </row>
    <row r="495" spans="2:83" s="197" customFormat="1" ht="37.5" x14ac:dyDescent="0.3">
      <c r="B495" s="182">
        <v>2081</v>
      </c>
      <c r="C495" s="182">
        <v>872</v>
      </c>
      <c r="D495" s="182" t="s">
        <v>1160</v>
      </c>
      <c r="E495" s="181" t="str">
        <f>+E488</f>
        <v>كسب عمل يوليو</v>
      </c>
      <c r="F495" s="182"/>
      <c r="G495" s="182"/>
      <c r="H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>
        <v>46.38</v>
      </c>
      <c r="U495" s="182"/>
      <c r="V495" s="182"/>
      <c r="W495" s="182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2"/>
      <c r="AH495" s="182"/>
      <c r="AI495" s="182"/>
      <c r="AJ495" s="182"/>
      <c r="AK495" s="182"/>
      <c r="AL495" s="182"/>
      <c r="AM495" s="182"/>
      <c r="AN495" s="182"/>
      <c r="AO495" s="182"/>
      <c r="AP495" s="182"/>
      <c r="AQ495" s="185">
        <f t="shared" si="81"/>
        <v>46.38</v>
      </c>
      <c r="AR495" s="182">
        <v>46.38</v>
      </c>
      <c r="AS495" s="182"/>
      <c r="AT495" s="182"/>
      <c r="AU495" s="182"/>
      <c r="AV495" s="182"/>
      <c r="AW495" s="182"/>
      <c r="AX495" s="182"/>
      <c r="AY495" s="182"/>
      <c r="AZ495" s="182"/>
      <c r="BA495" s="182"/>
      <c r="BB495" s="182"/>
      <c r="BC495" s="182"/>
      <c r="BD495" s="182"/>
      <c r="BE495" s="182"/>
      <c r="BF495" s="182"/>
      <c r="BG495" s="182"/>
      <c r="BH495" s="182"/>
      <c r="BI495" s="182"/>
      <c r="BJ495" s="182"/>
      <c r="BK495" s="182"/>
      <c r="BL495" s="182"/>
      <c r="BM495" s="182"/>
      <c r="BN495" s="182"/>
      <c r="BO495" s="182"/>
      <c r="BP495" s="182"/>
      <c r="BQ495" s="182"/>
      <c r="BR495" s="182"/>
      <c r="BS495" s="182"/>
      <c r="BT495" s="182"/>
      <c r="BU495" s="182"/>
      <c r="BV495" s="182"/>
      <c r="BW495" s="182"/>
      <c r="BX495" s="182"/>
      <c r="BY495" s="182"/>
      <c r="BZ495" s="182"/>
      <c r="CA495" s="182"/>
      <c r="CB495" s="185">
        <f t="shared" si="82"/>
        <v>46.38</v>
      </c>
      <c r="CC495" s="185">
        <f t="shared" si="83"/>
        <v>0</v>
      </c>
      <c r="CD495" s="185">
        <f t="shared" si="84"/>
        <v>872</v>
      </c>
      <c r="CE495" s="185" t="e">
        <f>+#REF!</f>
        <v>#REF!</v>
      </c>
    </row>
    <row r="496" spans="2:83" s="197" customFormat="1" ht="37.5" x14ac:dyDescent="0.3">
      <c r="B496" s="182">
        <v>2082</v>
      </c>
      <c r="C496" s="182">
        <v>873</v>
      </c>
      <c r="D496" s="182" t="s">
        <v>4635</v>
      </c>
      <c r="E496" s="181" t="str">
        <f>+E493</f>
        <v>تنميه موارد يوليو</v>
      </c>
      <c r="F496" s="182"/>
      <c r="G496" s="182"/>
      <c r="H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>
        <v>48</v>
      </c>
      <c r="V496" s="182"/>
      <c r="W496" s="182"/>
      <c r="X496" s="182"/>
      <c r="Y496" s="182"/>
      <c r="Z496" s="182"/>
      <c r="AA496" s="182"/>
      <c r="AB496" s="182"/>
      <c r="AC496" s="182"/>
      <c r="AD496" s="182"/>
      <c r="AE496" s="182"/>
      <c r="AF496" s="182"/>
      <c r="AG496" s="182"/>
      <c r="AH496" s="182"/>
      <c r="AI496" s="182"/>
      <c r="AJ496" s="182"/>
      <c r="AK496" s="182"/>
      <c r="AL496" s="182"/>
      <c r="AM496" s="182"/>
      <c r="AN496" s="182"/>
      <c r="AO496" s="182"/>
      <c r="AP496" s="182"/>
      <c r="AQ496" s="185">
        <f t="shared" si="81"/>
        <v>48</v>
      </c>
      <c r="AR496" s="182">
        <v>48</v>
      </c>
      <c r="AS496" s="182"/>
      <c r="AT496" s="182"/>
      <c r="AU496" s="182"/>
      <c r="AV496" s="182"/>
      <c r="AW496" s="182"/>
      <c r="AX496" s="182"/>
      <c r="AY496" s="182"/>
      <c r="AZ496" s="182"/>
      <c r="BA496" s="182"/>
      <c r="BB496" s="182"/>
      <c r="BC496" s="182"/>
      <c r="BD496" s="182"/>
      <c r="BE496" s="182"/>
      <c r="BF496" s="182"/>
      <c r="BG496" s="182"/>
      <c r="BH496" s="182"/>
      <c r="BI496" s="182"/>
      <c r="BJ496" s="182"/>
      <c r="BK496" s="182"/>
      <c r="BL496" s="182"/>
      <c r="BM496" s="182"/>
      <c r="BN496" s="182"/>
      <c r="BO496" s="182"/>
      <c r="BP496" s="182"/>
      <c r="BQ496" s="182"/>
      <c r="BR496" s="182"/>
      <c r="BS496" s="182"/>
      <c r="BT496" s="182"/>
      <c r="BU496" s="182"/>
      <c r="BV496" s="182"/>
      <c r="BW496" s="182"/>
      <c r="BX496" s="182"/>
      <c r="BY496" s="182"/>
      <c r="BZ496" s="182"/>
      <c r="CA496" s="182"/>
      <c r="CB496" s="185">
        <f t="shared" si="82"/>
        <v>48</v>
      </c>
      <c r="CC496" s="185">
        <f t="shared" si="83"/>
        <v>0</v>
      </c>
      <c r="CD496" s="185">
        <f t="shared" si="84"/>
        <v>873</v>
      </c>
      <c r="CE496" s="185" t="e">
        <f>+#REF!</f>
        <v>#REF!</v>
      </c>
    </row>
    <row r="497" spans="2:83" s="197" customFormat="1" ht="37.5" x14ac:dyDescent="0.3">
      <c r="B497" s="182">
        <v>2083</v>
      </c>
      <c r="C497" s="182">
        <v>874</v>
      </c>
      <c r="D497" s="182" t="s">
        <v>4635</v>
      </c>
      <c r="E497" s="181" t="str">
        <f>+E492</f>
        <v>ضرائب متنوعه يوليو</v>
      </c>
      <c r="F497" s="182"/>
      <c r="G497" s="182"/>
      <c r="H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>
        <v>20044.400000000001</v>
      </c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182"/>
      <c r="AM497" s="182"/>
      <c r="AN497" s="182"/>
      <c r="AO497" s="182"/>
      <c r="AP497" s="182"/>
      <c r="AQ497" s="185">
        <f t="shared" si="81"/>
        <v>20044.400000000001</v>
      </c>
      <c r="AR497" s="182">
        <v>20044.400000000001</v>
      </c>
      <c r="AS497" s="182"/>
      <c r="AT497" s="182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182"/>
      <c r="BK497" s="182"/>
      <c r="BL497" s="182"/>
      <c r="BM497" s="182"/>
      <c r="BN497" s="182"/>
      <c r="BO497" s="182"/>
      <c r="BP497" s="182"/>
      <c r="BQ497" s="182"/>
      <c r="BR497" s="182"/>
      <c r="BS497" s="182"/>
      <c r="BT497" s="182"/>
      <c r="BU497" s="182"/>
      <c r="BV497" s="182"/>
      <c r="BW497" s="182"/>
      <c r="BX497" s="182"/>
      <c r="BY497" s="182"/>
      <c r="BZ497" s="182"/>
      <c r="CA497" s="182"/>
      <c r="CB497" s="185">
        <f t="shared" si="82"/>
        <v>20044.400000000001</v>
      </c>
      <c r="CC497" s="185">
        <f t="shared" si="83"/>
        <v>0</v>
      </c>
      <c r="CD497" s="185">
        <f t="shared" si="84"/>
        <v>874</v>
      </c>
      <c r="CE497" s="185" t="e">
        <f>+#REF!</f>
        <v>#REF!</v>
      </c>
    </row>
    <row r="498" spans="2:83" s="197" customFormat="1" ht="37.5" x14ac:dyDescent="0.3">
      <c r="B498" s="182">
        <v>2084</v>
      </c>
      <c r="C498" s="182">
        <v>875</v>
      </c>
      <c r="D498" s="182" t="s">
        <v>4635</v>
      </c>
      <c r="E498" s="181" t="str">
        <f>+E489</f>
        <v>دمغه عاديه يوليو</v>
      </c>
      <c r="F498" s="182"/>
      <c r="G498" s="182"/>
      <c r="H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>
        <v>1904.15</v>
      </c>
      <c r="U498" s="182"/>
      <c r="V498" s="182"/>
      <c r="W498" s="182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182"/>
      <c r="AI498" s="182"/>
      <c r="AJ498" s="182"/>
      <c r="AK498" s="182"/>
      <c r="AL498" s="182"/>
      <c r="AM498" s="182"/>
      <c r="AN498" s="182"/>
      <c r="AO498" s="182"/>
      <c r="AP498" s="182"/>
      <c r="AQ498" s="185">
        <f t="shared" si="81"/>
        <v>1904.15</v>
      </c>
      <c r="AR498" s="182">
        <v>1904.15</v>
      </c>
      <c r="AS498" s="182"/>
      <c r="AT498" s="182"/>
      <c r="AU498" s="182"/>
      <c r="AV498" s="182"/>
      <c r="AW498" s="182"/>
      <c r="AX498" s="182"/>
      <c r="AY498" s="182"/>
      <c r="AZ498" s="182"/>
      <c r="BA498" s="182"/>
      <c r="BB498" s="182"/>
      <c r="BC498" s="182"/>
      <c r="BD498" s="182"/>
      <c r="BE498" s="182"/>
      <c r="BF498" s="182"/>
      <c r="BG498" s="182"/>
      <c r="BH498" s="182"/>
      <c r="BI498" s="182"/>
      <c r="BJ498" s="182"/>
      <c r="BK498" s="182"/>
      <c r="BL498" s="182"/>
      <c r="BM498" s="182"/>
      <c r="BN498" s="182"/>
      <c r="BO498" s="182"/>
      <c r="BP498" s="182"/>
      <c r="BQ498" s="182"/>
      <c r="BR498" s="182"/>
      <c r="BS498" s="182"/>
      <c r="BT498" s="182"/>
      <c r="BU498" s="182"/>
      <c r="BV498" s="182"/>
      <c r="BW498" s="182"/>
      <c r="BX498" s="182"/>
      <c r="BY498" s="182"/>
      <c r="BZ498" s="182"/>
      <c r="CA498" s="182"/>
      <c r="CB498" s="185">
        <f t="shared" si="82"/>
        <v>1904.15</v>
      </c>
      <c r="CC498" s="185">
        <f t="shared" si="83"/>
        <v>0</v>
      </c>
      <c r="CD498" s="185">
        <f t="shared" si="84"/>
        <v>875</v>
      </c>
      <c r="CE498" s="185" t="e">
        <f>+#REF!</f>
        <v>#REF!</v>
      </c>
    </row>
    <row r="499" spans="2:83" s="197" customFormat="1" ht="37.5" x14ac:dyDescent="0.3">
      <c r="B499" s="182">
        <v>2085</v>
      </c>
      <c r="C499" s="182">
        <v>876</v>
      </c>
      <c r="D499" s="182" t="s">
        <v>4635</v>
      </c>
      <c r="E499" s="181" t="str">
        <f>+E495</f>
        <v>كسب عمل يوليو</v>
      </c>
      <c r="F499" s="182"/>
      <c r="G499" s="182"/>
      <c r="H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>
        <v>40662.97</v>
      </c>
      <c r="U499" s="182"/>
      <c r="V499" s="182"/>
      <c r="W499" s="182"/>
      <c r="X499" s="182"/>
      <c r="Y499" s="182"/>
      <c r="Z499" s="182"/>
      <c r="AA499" s="182"/>
      <c r="AB499" s="182"/>
      <c r="AC499" s="182"/>
      <c r="AD499" s="182"/>
      <c r="AE499" s="182"/>
      <c r="AF499" s="182"/>
      <c r="AG499" s="182"/>
      <c r="AH499" s="182"/>
      <c r="AI499" s="182"/>
      <c r="AJ499" s="182"/>
      <c r="AK499" s="182"/>
      <c r="AL499" s="182"/>
      <c r="AM499" s="182"/>
      <c r="AN499" s="182"/>
      <c r="AO499" s="182"/>
      <c r="AP499" s="182"/>
      <c r="AQ499" s="185">
        <f t="shared" si="81"/>
        <v>40662.97</v>
      </c>
      <c r="AR499" s="182">
        <v>40662.97</v>
      </c>
      <c r="AS499" s="182"/>
      <c r="AT499" s="182"/>
      <c r="AU499" s="182"/>
      <c r="AV499" s="182"/>
      <c r="AW499" s="182"/>
      <c r="AX499" s="182"/>
      <c r="AY499" s="182"/>
      <c r="AZ499" s="182"/>
      <c r="BA499" s="182"/>
      <c r="BB499" s="182"/>
      <c r="BC499" s="182"/>
      <c r="BD499" s="182"/>
      <c r="BE499" s="182"/>
      <c r="BF499" s="182"/>
      <c r="BG499" s="182"/>
      <c r="BH499" s="182"/>
      <c r="BI499" s="182"/>
      <c r="BJ499" s="182"/>
      <c r="BK499" s="182"/>
      <c r="BL499" s="182"/>
      <c r="BM499" s="182"/>
      <c r="BN499" s="182"/>
      <c r="BO499" s="182"/>
      <c r="BP499" s="182"/>
      <c r="BQ499" s="182"/>
      <c r="BR499" s="182"/>
      <c r="BS499" s="182"/>
      <c r="BT499" s="182"/>
      <c r="BU499" s="182"/>
      <c r="BV499" s="182"/>
      <c r="BW499" s="182"/>
      <c r="BX499" s="182"/>
      <c r="BY499" s="182"/>
      <c r="BZ499" s="182"/>
      <c r="CA499" s="182"/>
      <c r="CB499" s="185">
        <f t="shared" si="82"/>
        <v>40662.97</v>
      </c>
      <c r="CC499" s="185">
        <f t="shared" si="83"/>
        <v>0</v>
      </c>
      <c r="CD499" s="185">
        <f t="shared" si="84"/>
        <v>876</v>
      </c>
      <c r="CE499" s="185" t="e">
        <f>+#REF!</f>
        <v>#REF!</v>
      </c>
    </row>
    <row r="500" spans="2:83" s="197" customFormat="1" ht="37.5" x14ac:dyDescent="0.3">
      <c r="B500" s="182">
        <v>2086</v>
      </c>
      <c r="C500" s="182">
        <v>877</v>
      </c>
      <c r="D500" s="182" t="s">
        <v>121</v>
      </c>
      <c r="E500" s="181" t="str">
        <f>+E499</f>
        <v>كسب عمل يوليو</v>
      </c>
      <c r="F500" s="182"/>
      <c r="G500" s="182"/>
      <c r="H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>
        <v>148547.73000000001</v>
      </c>
      <c r="U500" s="182"/>
      <c r="V500" s="182"/>
      <c r="W500" s="182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2"/>
      <c r="AH500" s="182"/>
      <c r="AI500" s="182"/>
      <c r="AJ500" s="182"/>
      <c r="AK500" s="182"/>
      <c r="AL500" s="182"/>
      <c r="AM500" s="182"/>
      <c r="AN500" s="182"/>
      <c r="AO500" s="182"/>
      <c r="AP500" s="182"/>
      <c r="AQ500" s="185">
        <f t="shared" si="81"/>
        <v>148547.73000000001</v>
      </c>
      <c r="AR500" s="182">
        <v>148547.73000000001</v>
      </c>
      <c r="AS500" s="182"/>
      <c r="AT500" s="182"/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182"/>
      <c r="BK500" s="182"/>
      <c r="BL500" s="182"/>
      <c r="BM500" s="182"/>
      <c r="BN500" s="182"/>
      <c r="BO500" s="182"/>
      <c r="BP500" s="182"/>
      <c r="BQ500" s="182"/>
      <c r="BR500" s="182"/>
      <c r="BS500" s="182"/>
      <c r="BT500" s="182"/>
      <c r="BU500" s="182"/>
      <c r="BV500" s="182"/>
      <c r="BW500" s="182"/>
      <c r="BX500" s="182"/>
      <c r="BY500" s="182"/>
      <c r="BZ500" s="182"/>
      <c r="CA500" s="182"/>
      <c r="CB500" s="185">
        <f t="shared" si="82"/>
        <v>148547.73000000001</v>
      </c>
      <c r="CC500" s="185">
        <f t="shared" si="83"/>
        <v>0</v>
      </c>
      <c r="CD500" s="185">
        <f t="shared" si="84"/>
        <v>877</v>
      </c>
      <c r="CE500" s="185" t="e">
        <f>+#REF!</f>
        <v>#REF!</v>
      </c>
    </row>
    <row r="501" spans="2:83" s="197" customFormat="1" ht="37.5" x14ac:dyDescent="0.3">
      <c r="B501" s="182">
        <v>2087</v>
      </c>
      <c r="C501" s="182">
        <v>878</v>
      </c>
      <c r="D501" s="182" t="s">
        <v>121</v>
      </c>
      <c r="E501" s="181" t="str">
        <f>+E498</f>
        <v>دمغه عاديه يوليو</v>
      </c>
      <c r="F501" s="182"/>
      <c r="G501" s="182"/>
      <c r="H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>
        <v>8593.9500000000007</v>
      </c>
      <c r="U501" s="182"/>
      <c r="V501" s="182"/>
      <c r="W501" s="182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2"/>
      <c r="AH501" s="182"/>
      <c r="AI501" s="182"/>
      <c r="AJ501" s="182"/>
      <c r="AK501" s="182"/>
      <c r="AL501" s="182"/>
      <c r="AM501" s="182"/>
      <c r="AN501" s="182"/>
      <c r="AO501" s="182"/>
      <c r="AP501" s="182"/>
      <c r="AQ501" s="185">
        <f t="shared" si="81"/>
        <v>8593.9500000000007</v>
      </c>
      <c r="AR501" s="182">
        <v>8593.9500000000007</v>
      </c>
      <c r="AS501" s="182"/>
      <c r="AT501" s="182"/>
      <c r="AU501" s="182"/>
      <c r="AV501" s="182"/>
      <c r="AW501" s="182"/>
      <c r="AX501" s="182"/>
      <c r="AY501" s="182"/>
      <c r="AZ501" s="182"/>
      <c r="BA501" s="182"/>
      <c r="BB501" s="182"/>
      <c r="BC501" s="182"/>
      <c r="BD501" s="182"/>
      <c r="BE501" s="182"/>
      <c r="BF501" s="182"/>
      <c r="BG501" s="182"/>
      <c r="BH501" s="182"/>
      <c r="BI501" s="182"/>
      <c r="BJ501" s="182"/>
      <c r="BK501" s="182"/>
      <c r="BL501" s="182"/>
      <c r="BM501" s="182"/>
      <c r="BN501" s="182"/>
      <c r="BO501" s="182"/>
      <c r="BP501" s="182"/>
      <c r="BQ501" s="182"/>
      <c r="BR501" s="182"/>
      <c r="BS501" s="182"/>
      <c r="BT501" s="182"/>
      <c r="BU501" s="182"/>
      <c r="BV501" s="182"/>
      <c r="BW501" s="182"/>
      <c r="BX501" s="182"/>
      <c r="BY501" s="182"/>
      <c r="BZ501" s="182"/>
      <c r="CA501" s="182"/>
      <c r="CB501" s="185">
        <f t="shared" si="82"/>
        <v>8593.9500000000007</v>
      </c>
      <c r="CC501" s="185">
        <f t="shared" si="83"/>
        <v>0</v>
      </c>
      <c r="CD501" s="185">
        <f t="shared" si="84"/>
        <v>878</v>
      </c>
      <c r="CE501" s="185" t="e">
        <f>+#REF!</f>
        <v>#REF!</v>
      </c>
    </row>
    <row r="502" spans="2:83" s="197" customFormat="1" ht="37.5" x14ac:dyDescent="0.3">
      <c r="B502" s="182">
        <v>2088</v>
      </c>
      <c r="C502" s="182">
        <v>879</v>
      </c>
      <c r="D502" s="182" t="s">
        <v>121</v>
      </c>
      <c r="E502" s="181" t="str">
        <f>+E497</f>
        <v>ضرائب متنوعه يوليو</v>
      </c>
      <c r="F502" s="182"/>
      <c r="G502" s="182"/>
      <c r="H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>
        <v>6497.65</v>
      </c>
      <c r="U502" s="182"/>
      <c r="V502" s="182"/>
      <c r="W502" s="182"/>
      <c r="X502" s="182"/>
      <c r="Y502" s="182"/>
      <c r="Z502" s="182"/>
      <c r="AA502" s="182"/>
      <c r="AB502" s="182"/>
      <c r="AC502" s="182"/>
      <c r="AD502" s="182"/>
      <c r="AE502" s="182"/>
      <c r="AF502" s="182"/>
      <c r="AG502" s="182"/>
      <c r="AH502" s="182"/>
      <c r="AI502" s="182"/>
      <c r="AJ502" s="182"/>
      <c r="AK502" s="182"/>
      <c r="AL502" s="182"/>
      <c r="AM502" s="182"/>
      <c r="AN502" s="182"/>
      <c r="AO502" s="182"/>
      <c r="AP502" s="182"/>
      <c r="AQ502" s="185">
        <f t="shared" si="81"/>
        <v>6497.65</v>
      </c>
      <c r="AR502" s="182">
        <v>6497.65</v>
      </c>
      <c r="AS502" s="182"/>
      <c r="AT502" s="182"/>
      <c r="AU502" s="182"/>
      <c r="AV502" s="182"/>
      <c r="AW502" s="182"/>
      <c r="AX502" s="182"/>
      <c r="AY502" s="182"/>
      <c r="AZ502" s="182"/>
      <c r="BA502" s="182"/>
      <c r="BB502" s="182"/>
      <c r="BC502" s="182"/>
      <c r="BD502" s="182"/>
      <c r="BE502" s="182"/>
      <c r="BF502" s="182"/>
      <c r="BG502" s="182"/>
      <c r="BH502" s="182"/>
      <c r="BI502" s="182"/>
      <c r="BJ502" s="182"/>
      <c r="BK502" s="182"/>
      <c r="BL502" s="182"/>
      <c r="BM502" s="182"/>
      <c r="BN502" s="182"/>
      <c r="BO502" s="182"/>
      <c r="BP502" s="182"/>
      <c r="BQ502" s="182"/>
      <c r="BR502" s="182"/>
      <c r="BS502" s="182"/>
      <c r="BT502" s="182"/>
      <c r="BU502" s="182"/>
      <c r="BV502" s="182"/>
      <c r="BW502" s="182"/>
      <c r="BX502" s="182"/>
      <c r="BY502" s="182"/>
      <c r="BZ502" s="182"/>
      <c r="CA502" s="182"/>
      <c r="CB502" s="185">
        <f t="shared" si="82"/>
        <v>6497.65</v>
      </c>
      <c r="CC502" s="185">
        <f t="shared" si="83"/>
        <v>0</v>
      </c>
      <c r="CD502" s="185">
        <f t="shared" si="84"/>
        <v>879</v>
      </c>
      <c r="CE502" s="185" t="e">
        <f>+#REF!</f>
        <v>#REF!</v>
      </c>
    </row>
    <row r="503" spans="2:83" s="197" customFormat="1" ht="37.5" x14ac:dyDescent="0.3">
      <c r="B503" s="182">
        <v>2089</v>
      </c>
      <c r="C503" s="182">
        <v>880</v>
      </c>
      <c r="D503" s="182" t="s">
        <v>121</v>
      </c>
      <c r="E503" s="181" t="str">
        <f>+E496</f>
        <v>تنميه موارد يوليو</v>
      </c>
      <c r="F503" s="182"/>
      <c r="G503" s="182"/>
      <c r="H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>
        <v>148</v>
      </c>
      <c r="V503" s="182"/>
      <c r="W503" s="182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2"/>
      <c r="AH503" s="182"/>
      <c r="AI503" s="182"/>
      <c r="AJ503" s="182"/>
      <c r="AK503" s="182"/>
      <c r="AL503" s="182"/>
      <c r="AM503" s="182"/>
      <c r="AN503" s="182"/>
      <c r="AO503" s="182"/>
      <c r="AP503" s="182"/>
      <c r="AQ503" s="185">
        <f t="shared" si="81"/>
        <v>148</v>
      </c>
      <c r="AR503" s="182">
        <v>148</v>
      </c>
      <c r="AS503" s="182"/>
      <c r="AT503" s="182"/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/>
      <c r="BH503" s="182"/>
      <c r="BI503" s="182"/>
      <c r="BJ503" s="182"/>
      <c r="BK503" s="182"/>
      <c r="BL503" s="182"/>
      <c r="BM503" s="182"/>
      <c r="BN503" s="182"/>
      <c r="BO503" s="182"/>
      <c r="BP503" s="182"/>
      <c r="BQ503" s="182"/>
      <c r="BR503" s="182"/>
      <c r="BS503" s="182"/>
      <c r="BT503" s="182"/>
      <c r="BU503" s="182"/>
      <c r="BV503" s="182"/>
      <c r="BW503" s="182"/>
      <c r="BX503" s="182"/>
      <c r="BY503" s="182"/>
      <c r="BZ503" s="182"/>
      <c r="CA503" s="182"/>
      <c r="CB503" s="185">
        <f t="shared" si="82"/>
        <v>148</v>
      </c>
      <c r="CC503" s="185">
        <f t="shared" si="83"/>
        <v>0</v>
      </c>
      <c r="CD503" s="185">
        <f t="shared" si="84"/>
        <v>880</v>
      </c>
      <c r="CE503" s="185" t="e">
        <f>+#REF!</f>
        <v>#REF!</v>
      </c>
    </row>
    <row r="504" spans="2:83" s="197" customFormat="1" ht="37.5" x14ac:dyDescent="0.3">
      <c r="B504" s="182">
        <v>2090</v>
      </c>
      <c r="C504" s="182">
        <v>881</v>
      </c>
      <c r="D504" s="182" t="s">
        <v>123</v>
      </c>
      <c r="E504" s="181" t="str">
        <f>+E500</f>
        <v>كسب عمل يوليو</v>
      </c>
      <c r="F504" s="182"/>
      <c r="G504" s="182"/>
      <c r="H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>
        <v>6</v>
      </c>
      <c r="U504" s="182"/>
      <c r="V504" s="182"/>
      <c r="W504" s="182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2"/>
      <c r="AH504" s="182"/>
      <c r="AI504" s="182"/>
      <c r="AJ504" s="182"/>
      <c r="AK504" s="182"/>
      <c r="AL504" s="182"/>
      <c r="AM504" s="182"/>
      <c r="AN504" s="182"/>
      <c r="AO504" s="182"/>
      <c r="AP504" s="182"/>
      <c r="AQ504" s="185">
        <f t="shared" si="81"/>
        <v>6</v>
      </c>
      <c r="AR504" s="182">
        <v>6</v>
      </c>
      <c r="AS504" s="182"/>
      <c r="AT504" s="182"/>
      <c r="AU504" s="182"/>
      <c r="AV504" s="182"/>
      <c r="AW504" s="182"/>
      <c r="AX504" s="182"/>
      <c r="AY504" s="182"/>
      <c r="AZ504" s="182"/>
      <c r="BA504" s="182"/>
      <c r="BB504" s="182"/>
      <c r="BC504" s="182"/>
      <c r="BD504" s="182"/>
      <c r="BE504" s="182"/>
      <c r="BF504" s="182"/>
      <c r="BG504" s="182"/>
      <c r="BH504" s="182"/>
      <c r="BI504" s="182"/>
      <c r="BJ504" s="182"/>
      <c r="BK504" s="182"/>
      <c r="BL504" s="182"/>
      <c r="BM504" s="182"/>
      <c r="BN504" s="182"/>
      <c r="BO504" s="182"/>
      <c r="BP504" s="182"/>
      <c r="BQ504" s="182"/>
      <c r="BR504" s="182"/>
      <c r="BS504" s="182"/>
      <c r="BT504" s="182"/>
      <c r="BU504" s="182"/>
      <c r="BV504" s="182"/>
      <c r="BW504" s="182"/>
      <c r="BX504" s="182"/>
      <c r="BY504" s="182"/>
      <c r="BZ504" s="182"/>
      <c r="CA504" s="182"/>
      <c r="CB504" s="185">
        <f t="shared" si="82"/>
        <v>6</v>
      </c>
      <c r="CC504" s="185">
        <f t="shared" si="83"/>
        <v>0</v>
      </c>
      <c r="CD504" s="185">
        <f t="shared" si="84"/>
        <v>881</v>
      </c>
      <c r="CE504" s="185" t="e">
        <f>+#REF!</f>
        <v>#REF!</v>
      </c>
    </row>
    <row r="505" spans="2:83" s="197" customFormat="1" ht="37.5" x14ac:dyDescent="0.3">
      <c r="B505" s="182">
        <v>2091</v>
      </c>
      <c r="C505" s="182">
        <v>882</v>
      </c>
      <c r="D505" s="182" t="s">
        <v>123</v>
      </c>
      <c r="E505" s="181" t="str">
        <f>+E502</f>
        <v>ضرائب متنوعه يوليو</v>
      </c>
      <c r="F505" s="182"/>
      <c r="G505" s="182"/>
      <c r="H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>
        <v>0.1</v>
      </c>
      <c r="U505" s="182"/>
      <c r="V505" s="182"/>
      <c r="W505" s="182"/>
      <c r="X505" s="182"/>
      <c r="Y505" s="182"/>
      <c r="Z505" s="182"/>
      <c r="AA505" s="182"/>
      <c r="AB505" s="182"/>
      <c r="AC505" s="182"/>
      <c r="AD505" s="182"/>
      <c r="AE505" s="182"/>
      <c r="AF505" s="182"/>
      <c r="AG505" s="182"/>
      <c r="AH505" s="182"/>
      <c r="AI505" s="182"/>
      <c r="AJ505" s="182"/>
      <c r="AK505" s="182"/>
      <c r="AL505" s="182"/>
      <c r="AM505" s="182"/>
      <c r="AN505" s="182"/>
      <c r="AO505" s="182"/>
      <c r="AP505" s="182"/>
      <c r="AQ505" s="185">
        <f t="shared" si="81"/>
        <v>0.1</v>
      </c>
      <c r="AR505" s="182">
        <v>0.1</v>
      </c>
      <c r="AS505" s="182"/>
      <c r="AT505" s="182"/>
      <c r="AU505" s="182"/>
      <c r="AV505" s="182"/>
      <c r="AW505" s="182"/>
      <c r="AX505" s="182"/>
      <c r="AY505" s="182"/>
      <c r="AZ505" s="182"/>
      <c r="BA505" s="182"/>
      <c r="BB505" s="182"/>
      <c r="BC505" s="182"/>
      <c r="BD505" s="182"/>
      <c r="BE505" s="182"/>
      <c r="BF505" s="182"/>
      <c r="BG505" s="182"/>
      <c r="BH505" s="182"/>
      <c r="BI505" s="182"/>
      <c r="BJ505" s="182"/>
      <c r="BK505" s="182"/>
      <c r="BL505" s="182"/>
      <c r="BM505" s="182"/>
      <c r="BN505" s="182"/>
      <c r="BO505" s="182"/>
      <c r="BP505" s="182"/>
      <c r="BQ505" s="182"/>
      <c r="BR505" s="182"/>
      <c r="BS505" s="182"/>
      <c r="BT505" s="182"/>
      <c r="BU505" s="182"/>
      <c r="BV505" s="182"/>
      <c r="BW505" s="182"/>
      <c r="BX505" s="182"/>
      <c r="BY505" s="182"/>
      <c r="BZ505" s="182"/>
      <c r="CA505" s="182"/>
      <c r="CB505" s="185">
        <f t="shared" si="82"/>
        <v>0.1</v>
      </c>
      <c r="CC505" s="185">
        <f t="shared" si="83"/>
        <v>0</v>
      </c>
      <c r="CD505" s="185">
        <f t="shared" si="84"/>
        <v>882</v>
      </c>
      <c r="CE505" s="185" t="e">
        <f>+#REF!</f>
        <v>#REF!</v>
      </c>
    </row>
    <row r="506" spans="2:83" s="197" customFormat="1" ht="37.5" x14ac:dyDescent="0.3">
      <c r="B506" s="182">
        <v>2092</v>
      </c>
      <c r="C506" s="182">
        <v>883</v>
      </c>
      <c r="D506" s="182" t="s">
        <v>4683</v>
      </c>
      <c r="E506" s="181" t="str">
        <f>+E504</f>
        <v>كسب عمل يوليو</v>
      </c>
      <c r="F506" s="182"/>
      <c r="G506" s="182"/>
      <c r="H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>
        <v>832.55</v>
      </c>
      <c r="U506" s="182"/>
      <c r="V506" s="182"/>
      <c r="W506" s="182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2"/>
      <c r="AH506" s="182"/>
      <c r="AI506" s="182"/>
      <c r="AJ506" s="182"/>
      <c r="AK506" s="182"/>
      <c r="AL506" s="182"/>
      <c r="AM506" s="182"/>
      <c r="AN506" s="182"/>
      <c r="AO506" s="182"/>
      <c r="AP506" s="182"/>
      <c r="AQ506" s="185">
        <f t="shared" si="81"/>
        <v>832.55</v>
      </c>
      <c r="AR506" s="182">
        <v>832.55</v>
      </c>
      <c r="AS506" s="182"/>
      <c r="AT506" s="182"/>
      <c r="AU506" s="182"/>
      <c r="AV506" s="182"/>
      <c r="AW506" s="182"/>
      <c r="AX506" s="182"/>
      <c r="AY506" s="182"/>
      <c r="AZ506" s="182"/>
      <c r="BA506" s="182"/>
      <c r="BB506" s="182"/>
      <c r="BC506" s="182"/>
      <c r="BD506" s="182"/>
      <c r="BE506" s="182"/>
      <c r="BF506" s="182"/>
      <c r="BG506" s="182"/>
      <c r="BH506" s="182"/>
      <c r="BI506" s="182"/>
      <c r="BJ506" s="182"/>
      <c r="BK506" s="182"/>
      <c r="BL506" s="182"/>
      <c r="BM506" s="182"/>
      <c r="BN506" s="182"/>
      <c r="BO506" s="182"/>
      <c r="BP506" s="182"/>
      <c r="BQ506" s="182"/>
      <c r="BR506" s="182"/>
      <c r="BS506" s="182"/>
      <c r="BT506" s="182"/>
      <c r="BU506" s="182"/>
      <c r="BV506" s="182"/>
      <c r="BW506" s="182"/>
      <c r="BX506" s="182"/>
      <c r="BY506" s="182"/>
      <c r="BZ506" s="182"/>
      <c r="CA506" s="182"/>
      <c r="CB506" s="185">
        <f t="shared" si="82"/>
        <v>832.55</v>
      </c>
      <c r="CC506" s="185">
        <f t="shared" si="83"/>
        <v>0</v>
      </c>
      <c r="CD506" s="185">
        <f t="shared" si="84"/>
        <v>883</v>
      </c>
      <c r="CE506" s="185" t="e">
        <f>+#REF!</f>
        <v>#REF!</v>
      </c>
    </row>
    <row r="507" spans="2:83" s="197" customFormat="1" ht="37.5" x14ac:dyDescent="0.3">
      <c r="B507" s="182">
        <v>2093</v>
      </c>
      <c r="C507" s="182">
        <v>884</v>
      </c>
      <c r="D507" s="182" t="s">
        <v>4683</v>
      </c>
      <c r="E507" s="181" t="str">
        <f>+E501</f>
        <v>دمغه عاديه يوليو</v>
      </c>
      <c r="F507" s="182"/>
      <c r="G507" s="182"/>
      <c r="H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>
        <v>61.7</v>
      </c>
      <c r="U507" s="182"/>
      <c r="V507" s="182"/>
      <c r="W507" s="182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2"/>
      <c r="AH507" s="182"/>
      <c r="AI507" s="182"/>
      <c r="AJ507" s="182"/>
      <c r="AK507" s="182"/>
      <c r="AL507" s="182"/>
      <c r="AM507" s="182"/>
      <c r="AN507" s="182"/>
      <c r="AO507" s="182"/>
      <c r="AP507" s="182"/>
      <c r="AQ507" s="185">
        <f t="shared" si="81"/>
        <v>61.7</v>
      </c>
      <c r="AR507" s="182">
        <v>61.7</v>
      </c>
      <c r="AS507" s="182"/>
      <c r="AT507" s="182"/>
      <c r="AU507" s="182"/>
      <c r="AV507" s="182"/>
      <c r="AW507" s="182"/>
      <c r="AX507" s="182"/>
      <c r="AY507" s="182"/>
      <c r="AZ507" s="182"/>
      <c r="BA507" s="182"/>
      <c r="BB507" s="182"/>
      <c r="BC507" s="182"/>
      <c r="BD507" s="182"/>
      <c r="BE507" s="182"/>
      <c r="BF507" s="182"/>
      <c r="BG507" s="182"/>
      <c r="BH507" s="182"/>
      <c r="BI507" s="182"/>
      <c r="BJ507" s="182"/>
      <c r="BK507" s="182"/>
      <c r="BL507" s="182"/>
      <c r="BM507" s="182"/>
      <c r="BN507" s="182"/>
      <c r="BO507" s="182"/>
      <c r="BP507" s="182"/>
      <c r="BQ507" s="182"/>
      <c r="BR507" s="182"/>
      <c r="BS507" s="182"/>
      <c r="BT507" s="182"/>
      <c r="BU507" s="182"/>
      <c r="BV507" s="182"/>
      <c r="BW507" s="182"/>
      <c r="BX507" s="182"/>
      <c r="BY507" s="182"/>
      <c r="BZ507" s="182"/>
      <c r="CA507" s="182"/>
      <c r="CB507" s="185">
        <f t="shared" si="82"/>
        <v>61.7</v>
      </c>
      <c r="CC507" s="185">
        <f t="shared" si="83"/>
        <v>0</v>
      </c>
      <c r="CD507" s="185">
        <f t="shared" si="84"/>
        <v>884</v>
      </c>
      <c r="CE507" s="185" t="e">
        <f>+#REF!</f>
        <v>#REF!</v>
      </c>
    </row>
    <row r="508" spans="2:83" s="197" customFormat="1" ht="37.5" x14ac:dyDescent="0.3">
      <c r="B508" s="182">
        <v>2094</v>
      </c>
      <c r="C508" s="182">
        <v>885</v>
      </c>
      <c r="D508" s="182" t="s">
        <v>4683</v>
      </c>
      <c r="E508" s="181" t="str">
        <f>+E505</f>
        <v>ضرائب متنوعه يوليو</v>
      </c>
      <c r="F508" s="182"/>
      <c r="G508" s="182"/>
      <c r="H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>
        <v>620.4</v>
      </c>
      <c r="U508" s="182"/>
      <c r="V508" s="182"/>
      <c r="W508" s="182"/>
      <c r="X508" s="182"/>
      <c r="Y508" s="182"/>
      <c r="Z508" s="182"/>
      <c r="AA508" s="182"/>
      <c r="AB508" s="182"/>
      <c r="AC508" s="182"/>
      <c r="AD508" s="182"/>
      <c r="AE508" s="182"/>
      <c r="AF508" s="182"/>
      <c r="AG508" s="182"/>
      <c r="AH508" s="182"/>
      <c r="AI508" s="182"/>
      <c r="AJ508" s="182"/>
      <c r="AK508" s="182"/>
      <c r="AL508" s="182"/>
      <c r="AM508" s="182"/>
      <c r="AN508" s="182"/>
      <c r="AO508" s="182"/>
      <c r="AP508" s="182"/>
      <c r="AQ508" s="185">
        <f t="shared" si="81"/>
        <v>620.4</v>
      </c>
      <c r="AR508" s="182">
        <v>620.4</v>
      </c>
      <c r="AS508" s="182"/>
      <c r="AT508" s="182"/>
      <c r="AU508" s="182"/>
      <c r="AV508" s="182"/>
      <c r="AW508" s="182"/>
      <c r="AX508" s="182"/>
      <c r="AY508" s="182"/>
      <c r="AZ508" s="182"/>
      <c r="BA508" s="182"/>
      <c r="BB508" s="182"/>
      <c r="BC508" s="182"/>
      <c r="BD508" s="182"/>
      <c r="BE508" s="182"/>
      <c r="BF508" s="182"/>
      <c r="BG508" s="182"/>
      <c r="BH508" s="182"/>
      <c r="BI508" s="182"/>
      <c r="BJ508" s="182"/>
      <c r="BK508" s="182"/>
      <c r="BL508" s="182"/>
      <c r="BM508" s="182"/>
      <c r="BN508" s="182"/>
      <c r="BO508" s="182"/>
      <c r="BP508" s="182"/>
      <c r="BQ508" s="182"/>
      <c r="BR508" s="182"/>
      <c r="BS508" s="182"/>
      <c r="BT508" s="182"/>
      <c r="BU508" s="182"/>
      <c r="BV508" s="182"/>
      <c r="BW508" s="182"/>
      <c r="BX508" s="182"/>
      <c r="BY508" s="182"/>
      <c r="BZ508" s="182"/>
      <c r="CA508" s="182"/>
      <c r="CB508" s="185">
        <f t="shared" si="82"/>
        <v>620.4</v>
      </c>
      <c r="CC508" s="185">
        <f t="shared" si="83"/>
        <v>0</v>
      </c>
      <c r="CD508" s="185">
        <f t="shared" si="84"/>
        <v>885</v>
      </c>
      <c r="CE508" s="185" t="e">
        <f>+#REF!</f>
        <v>#REF!</v>
      </c>
    </row>
    <row r="509" spans="2:83" s="197" customFormat="1" ht="37.5" x14ac:dyDescent="0.3">
      <c r="B509" s="182">
        <v>2095</v>
      </c>
      <c r="C509" s="182">
        <v>886</v>
      </c>
      <c r="D509" s="182" t="s">
        <v>4683</v>
      </c>
      <c r="E509" s="181" t="str">
        <f>+E503</f>
        <v>تنميه موارد يوليو</v>
      </c>
      <c r="F509" s="182"/>
      <c r="G509" s="182"/>
      <c r="H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>
        <v>32</v>
      </c>
      <c r="V509" s="182"/>
      <c r="W509" s="182"/>
      <c r="X509" s="182"/>
      <c r="Y509" s="182"/>
      <c r="Z509" s="182"/>
      <c r="AA509" s="182"/>
      <c r="AB509" s="182"/>
      <c r="AC509" s="182"/>
      <c r="AD509" s="182"/>
      <c r="AE509" s="182"/>
      <c r="AF509" s="182"/>
      <c r="AG509" s="182"/>
      <c r="AH509" s="182"/>
      <c r="AI509" s="182"/>
      <c r="AJ509" s="182"/>
      <c r="AK509" s="182"/>
      <c r="AL509" s="182"/>
      <c r="AM509" s="182"/>
      <c r="AN509" s="182"/>
      <c r="AO509" s="182"/>
      <c r="AP509" s="182"/>
      <c r="AQ509" s="185">
        <f t="shared" si="81"/>
        <v>32</v>
      </c>
      <c r="AR509" s="182">
        <v>32</v>
      </c>
      <c r="AS509" s="182"/>
      <c r="AT509" s="182"/>
      <c r="AU509" s="182"/>
      <c r="AV509" s="182"/>
      <c r="AW509" s="182"/>
      <c r="AX509" s="182"/>
      <c r="AY509" s="182"/>
      <c r="AZ509" s="182"/>
      <c r="BA509" s="182"/>
      <c r="BB509" s="182"/>
      <c r="BC509" s="182"/>
      <c r="BD509" s="182"/>
      <c r="BE509" s="182"/>
      <c r="BF509" s="182"/>
      <c r="BG509" s="182"/>
      <c r="BH509" s="182"/>
      <c r="BI509" s="182"/>
      <c r="BJ509" s="182"/>
      <c r="BK509" s="182"/>
      <c r="BL509" s="182"/>
      <c r="BM509" s="182"/>
      <c r="BN509" s="182"/>
      <c r="BO509" s="182"/>
      <c r="BP509" s="182"/>
      <c r="BQ509" s="182"/>
      <c r="BR509" s="182"/>
      <c r="BS509" s="182"/>
      <c r="BT509" s="182"/>
      <c r="BU509" s="182"/>
      <c r="BV509" s="182"/>
      <c r="BW509" s="182"/>
      <c r="BX509" s="182"/>
      <c r="BY509" s="182"/>
      <c r="BZ509" s="182"/>
      <c r="CA509" s="182"/>
      <c r="CB509" s="185">
        <f t="shared" si="82"/>
        <v>32</v>
      </c>
      <c r="CC509" s="185">
        <f t="shared" si="83"/>
        <v>0</v>
      </c>
      <c r="CD509" s="185">
        <f t="shared" si="84"/>
        <v>886</v>
      </c>
      <c r="CE509" s="185" t="e">
        <f>+#REF!</f>
        <v>#REF!</v>
      </c>
    </row>
    <row r="510" spans="2:83" s="197" customFormat="1" ht="18.75" x14ac:dyDescent="0.3">
      <c r="B510" s="185"/>
      <c r="C510" s="185"/>
      <c r="D510" s="185"/>
      <c r="E510" s="184" t="s">
        <v>4734</v>
      </c>
      <c r="F510" s="185"/>
      <c r="G510" s="185"/>
      <c r="H510" s="185"/>
      <c r="I510" s="185"/>
      <c r="J510" s="185"/>
      <c r="K510" s="185"/>
      <c r="L510" s="185"/>
      <c r="M510" s="185"/>
      <c r="N510" s="185"/>
      <c r="O510" s="185"/>
      <c r="P510" s="185"/>
      <c r="Q510" s="185"/>
      <c r="R510" s="185"/>
      <c r="S510" s="185"/>
      <c r="T510" s="185">
        <f t="shared" ref="T510:AY510" si="85">SUM(T483:T509)</f>
        <v>796012.78999999992</v>
      </c>
      <c r="U510" s="185">
        <f t="shared" si="85"/>
        <v>1002</v>
      </c>
      <c r="V510" s="185">
        <f t="shared" si="85"/>
        <v>0</v>
      </c>
      <c r="W510" s="185">
        <f t="shared" si="85"/>
        <v>0</v>
      </c>
      <c r="X510" s="185">
        <f t="shared" si="85"/>
        <v>0</v>
      </c>
      <c r="Y510" s="185">
        <f t="shared" si="85"/>
        <v>0</v>
      </c>
      <c r="Z510" s="185">
        <f t="shared" si="85"/>
        <v>0</v>
      </c>
      <c r="AA510" s="185">
        <f t="shared" si="85"/>
        <v>0</v>
      </c>
      <c r="AB510" s="185">
        <f t="shared" si="85"/>
        <v>0</v>
      </c>
      <c r="AC510" s="185">
        <f t="shared" si="85"/>
        <v>0</v>
      </c>
      <c r="AD510" s="185">
        <f t="shared" si="85"/>
        <v>0</v>
      </c>
      <c r="AE510" s="185">
        <f t="shared" si="85"/>
        <v>0</v>
      </c>
      <c r="AF510" s="185">
        <f t="shared" si="85"/>
        <v>0</v>
      </c>
      <c r="AG510" s="185">
        <f t="shared" si="85"/>
        <v>0</v>
      </c>
      <c r="AH510" s="185">
        <f t="shared" si="85"/>
        <v>0</v>
      </c>
      <c r="AI510" s="185">
        <f t="shared" si="85"/>
        <v>0</v>
      </c>
      <c r="AJ510" s="185">
        <f t="shared" si="85"/>
        <v>0</v>
      </c>
      <c r="AK510" s="185">
        <f t="shared" si="85"/>
        <v>0</v>
      </c>
      <c r="AL510" s="185">
        <f t="shared" si="85"/>
        <v>0</v>
      </c>
      <c r="AM510" s="185">
        <f t="shared" si="85"/>
        <v>0</v>
      </c>
      <c r="AN510" s="185">
        <f t="shared" si="85"/>
        <v>0</v>
      </c>
      <c r="AO510" s="185">
        <f t="shared" si="85"/>
        <v>0</v>
      </c>
      <c r="AP510" s="185">
        <f t="shared" si="85"/>
        <v>0</v>
      </c>
      <c r="AQ510" s="185">
        <f t="shared" si="85"/>
        <v>797014.78999999992</v>
      </c>
      <c r="AR510" s="185">
        <f t="shared" si="85"/>
        <v>797014.78999999992</v>
      </c>
      <c r="AS510" s="185">
        <f t="shared" si="85"/>
        <v>0</v>
      </c>
      <c r="AT510" s="185">
        <f t="shared" si="85"/>
        <v>0</v>
      </c>
      <c r="AU510" s="185">
        <f t="shared" si="85"/>
        <v>0</v>
      </c>
      <c r="AV510" s="185">
        <f t="shared" si="85"/>
        <v>0</v>
      </c>
      <c r="AW510" s="185">
        <f t="shared" si="85"/>
        <v>0</v>
      </c>
      <c r="AX510" s="185">
        <f t="shared" si="85"/>
        <v>0</v>
      </c>
      <c r="AY510" s="185">
        <f t="shared" si="85"/>
        <v>0</v>
      </c>
      <c r="AZ510" s="185">
        <f t="shared" ref="AZ510:CC510" si="86">SUM(AZ483:AZ509)</f>
        <v>0</v>
      </c>
      <c r="BA510" s="185">
        <f t="shared" si="86"/>
        <v>0</v>
      </c>
      <c r="BB510" s="185">
        <f t="shared" si="86"/>
        <v>0</v>
      </c>
      <c r="BC510" s="185">
        <f t="shared" si="86"/>
        <v>0</v>
      </c>
      <c r="BD510" s="185">
        <f t="shared" si="86"/>
        <v>0</v>
      </c>
      <c r="BE510" s="185">
        <f t="shared" si="86"/>
        <v>0</v>
      </c>
      <c r="BF510" s="185">
        <f t="shared" si="86"/>
        <v>0</v>
      </c>
      <c r="BG510" s="185">
        <f t="shared" si="86"/>
        <v>0</v>
      </c>
      <c r="BH510" s="185">
        <f t="shared" si="86"/>
        <v>0</v>
      </c>
      <c r="BI510" s="185">
        <f t="shared" si="86"/>
        <v>0</v>
      </c>
      <c r="BJ510" s="185">
        <f t="shared" si="86"/>
        <v>0</v>
      </c>
      <c r="BK510" s="185">
        <f t="shared" si="86"/>
        <v>0</v>
      </c>
      <c r="BL510" s="185">
        <f t="shared" si="86"/>
        <v>0</v>
      </c>
      <c r="BM510" s="185">
        <f t="shared" si="86"/>
        <v>0</v>
      </c>
      <c r="BN510" s="185">
        <f t="shared" si="86"/>
        <v>0</v>
      </c>
      <c r="BO510" s="185">
        <f t="shared" si="86"/>
        <v>0</v>
      </c>
      <c r="BP510" s="185">
        <f t="shared" si="86"/>
        <v>0</v>
      </c>
      <c r="BQ510" s="185">
        <f t="shared" si="86"/>
        <v>0</v>
      </c>
      <c r="BR510" s="185">
        <f t="shared" si="86"/>
        <v>0</v>
      </c>
      <c r="BS510" s="185">
        <f t="shared" si="86"/>
        <v>0</v>
      </c>
      <c r="BT510" s="185">
        <f t="shared" si="86"/>
        <v>0</v>
      </c>
      <c r="BU510" s="185">
        <f t="shared" si="86"/>
        <v>0</v>
      </c>
      <c r="BV510" s="185">
        <f t="shared" si="86"/>
        <v>0</v>
      </c>
      <c r="BW510" s="185">
        <f t="shared" si="86"/>
        <v>0</v>
      </c>
      <c r="BX510" s="185">
        <f t="shared" si="86"/>
        <v>0</v>
      </c>
      <c r="BY510" s="185">
        <f t="shared" si="86"/>
        <v>0</v>
      </c>
      <c r="BZ510" s="185">
        <f t="shared" si="86"/>
        <v>0</v>
      </c>
      <c r="CA510" s="185">
        <f t="shared" si="86"/>
        <v>0</v>
      </c>
      <c r="CB510" s="185">
        <f t="shared" si="86"/>
        <v>797014.78999999992</v>
      </c>
      <c r="CC510" s="185">
        <f t="shared" si="86"/>
        <v>0</v>
      </c>
      <c r="CD510" s="185"/>
      <c r="CE510" s="185" t="e">
        <f>SUM(CE483:CE509)</f>
        <v>#REF!</v>
      </c>
    </row>
    <row r="511" spans="2:83" s="197" customFormat="1" ht="56.25" x14ac:dyDescent="0.3">
      <c r="B511" s="182"/>
      <c r="C511" s="182">
        <v>887</v>
      </c>
      <c r="D511" s="182" t="s">
        <v>332</v>
      </c>
      <c r="E511" s="181" t="s">
        <v>4735</v>
      </c>
      <c r="F511" s="182"/>
      <c r="G511" s="182"/>
      <c r="H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  <c r="Z511" s="182"/>
      <c r="AA511" s="182"/>
      <c r="AB511" s="182"/>
      <c r="AC511" s="182"/>
      <c r="AD511" s="182"/>
      <c r="AE511" s="182"/>
      <c r="AF511" s="182"/>
      <c r="AG511" s="182"/>
      <c r="AH511" s="182"/>
      <c r="AI511" s="182"/>
      <c r="AJ511" s="182"/>
      <c r="AK511" s="182"/>
      <c r="AL511" s="182"/>
      <c r="AM511" s="182"/>
      <c r="AN511" s="182"/>
      <c r="AO511" s="182"/>
      <c r="AP511" s="182"/>
      <c r="AQ511" s="185">
        <f t="shared" ref="AQ511:AQ542" si="87">SUM(G511:AP511)</f>
        <v>0</v>
      </c>
      <c r="AR511" s="182"/>
      <c r="AS511" s="182"/>
      <c r="AT511" s="182"/>
      <c r="AU511" s="182"/>
      <c r="AV511" s="182"/>
      <c r="AW511" s="182"/>
      <c r="AX511" s="182"/>
      <c r="AY511" s="182"/>
      <c r="AZ511" s="182"/>
      <c r="BA511" s="182"/>
      <c r="BB511" s="182"/>
      <c r="BC511" s="182"/>
      <c r="BD511" s="182"/>
      <c r="BE511" s="182"/>
      <c r="BF511" s="182"/>
      <c r="BG511" s="182"/>
      <c r="BH511" s="182"/>
      <c r="BI511" s="182"/>
      <c r="BJ511" s="182"/>
      <c r="BK511" s="182"/>
      <c r="BL511" s="182"/>
      <c r="BM511" s="182"/>
      <c r="BN511" s="182"/>
      <c r="BO511" s="182"/>
      <c r="BP511" s="182"/>
      <c r="BQ511" s="182"/>
      <c r="BR511" s="182"/>
      <c r="BS511" s="182"/>
      <c r="BT511" s="182"/>
      <c r="BU511" s="182"/>
      <c r="BV511" s="182"/>
      <c r="BW511" s="182"/>
      <c r="BX511" s="182"/>
      <c r="BY511" s="182"/>
      <c r="BZ511" s="182"/>
      <c r="CA511" s="182"/>
      <c r="CB511" s="185">
        <f t="shared" ref="CB511:CB540" si="88">SUM(AR511:CA511)</f>
        <v>0</v>
      </c>
      <c r="CC511" s="185">
        <f t="shared" ref="CC511:CC540" si="89">+CB511-AQ511</f>
        <v>0</v>
      </c>
      <c r="CD511" s="185">
        <f t="shared" ref="CD511:CD540" si="90">+C511</f>
        <v>887</v>
      </c>
      <c r="CE511" s="185" t="e">
        <f>+#REF!</f>
        <v>#REF!</v>
      </c>
    </row>
    <row r="512" spans="2:83" s="197" customFormat="1" ht="37.5" x14ac:dyDescent="0.3">
      <c r="B512" s="182"/>
      <c r="C512" s="182">
        <v>888</v>
      </c>
      <c r="D512" s="182" t="s">
        <v>78</v>
      </c>
      <c r="E512" s="181" t="s">
        <v>4736</v>
      </c>
      <c r="F512" s="182"/>
      <c r="G512" s="182"/>
      <c r="H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182"/>
      <c r="AI512" s="182"/>
      <c r="AJ512" s="182"/>
      <c r="AK512" s="182"/>
      <c r="AL512" s="182"/>
      <c r="AM512" s="182"/>
      <c r="AN512" s="182"/>
      <c r="AO512" s="182"/>
      <c r="AP512" s="182"/>
      <c r="AQ512" s="185">
        <f t="shared" si="87"/>
        <v>0</v>
      </c>
      <c r="AR512" s="182"/>
      <c r="AS512" s="182"/>
      <c r="AT512" s="182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182"/>
      <c r="BK512" s="182"/>
      <c r="BL512" s="182"/>
      <c r="BM512" s="182"/>
      <c r="BN512" s="182"/>
      <c r="BO512" s="182"/>
      <c r="BP512" s="182"/>
      <c r="BQ512" s="182"/>
      <c r="BR512" s="182"/>
      <c r="BS512" s="182"/>
      <c r="BT512" s="182"/>
      <c r="BU512" s="182"/>
      <c r="BV512" s="182"/>
      <c r="BW512" s="182"/>
      <c r="BX512" s="182"/>
      <c r="BY512" s="182"/>
      <c r="BZ512" s="182"/>
      <c r="CA512" s="182"/>
      <c r="CB512" s="185">
        <f t="shared" si="88"/>
        <v>0</v>
      </c>
      <c r="CC512" s="185">
        <f t="shared" si="89"/>
        <v>0</v>
      </c>
      <c r="CD512" s="185">
        <f t="shared" si="90"/>
        <v>888</v>
      </c>
      <c r="CE512" s="185" t="e">
        <f>+#REF!</f>
        <v>#REF!</v>
      </c>
    </row>
    <row r="513" spans="2:83" s="197" customFormat="1" ht="37.5" x14ac:dyDescent="0.3">
      <c r="B513" s="182"/>
      <c r="C513" s="182">
        <v>889</v>
      </c>
      <c r="D513" s="182" t="s">
        <v>78</v>
      </c>
      <c r="E513" s="181" t="s">
        <v>4736</v>
      </c>
      <c r="F513" s="182"/>
      <c r="G513" s="182"/>
      <c r="H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182"/>
      <c r="AI513" s="182"/>
      <c r="AJ513" s="182"/>
      <c r="AK513" s="182"/>
      <c r="AL513" s="182"/>
      <c r="AM513" s="182"/>
      <c r="AN513" s="182"/>
      <c r="AO513" s="182"/>
      <c r="AP513" s="182"/>
      <c r="AQ513" s="185">
        <f t="shared" si="87"/>
        <v>0</v>
      </c>
      <c r="AR513" s="182"/>
      <c r="AS513" s="182"/>
      <c r="AT513" s="182"/>
      <c r="AU513" s="182"/>
      <c r="AV513" s="182"/>
      <c r="AW513" s="182"/>
      <c r="AX513" s="182"/>
      <c r="AY513" s="182"/>
      <c r="AZ513" s="182"/>
      <c r="BA513" s="182"/>
      <c r="BB513" s="182"/>
      <c r="BC513" s="182"/>
      <c r="BD513" s="182"/>
      <c r="BE513" s="182"/>
      <c r="BF513" s="182"/>
      <c r="BG513" s="182"/>
      <c r="BH513" s="182"/>
      <c r="BI513" s="182"/>
      <c r="BJ513" s="182"/>
      <c r="BK513" s="182"/>
      <c r="BL513" s="182"/>
      <c r="BM513" s="182"/>
      <c r="BN513" s="182"/>
      <c r="BO513" s="182"/>
      <c r="BP513" s="182"/>
      <c r="BQ513" s="182"/>
      <c r="BR513" s="182"/>
      <c r="BS513" s="182"/>
      <c r="BT513" s="182"/>
      <c r="BU513" s="182"/>
      <c r="BV513" s="182"/>
      <c r="BW513" s="182"/>
      <c r="BX513" s="182"/>
      <c r="BY513" s="182"/>
      <c r="BZ513" s="182"/>
      <c r="CA513" s="182"/>
      <c r="CB513" s="185">
        <f t="shared" si="88"/>
        <v>0</v>
      </c>
      <c r="CC513" s="185">
        <f t="shared" si="89"/>
        <v>0</v>
      </c>
      <c r="CD513" s="185">
        <f t="shared" si="90"/>
        <v>889</v>
      </c>
      <c r="CE513" s="185" t="e">
        <f>+#REF!</f>
        <v>#REF!</v>
      </c>
    </row>
    <row r="514" spans="2:83" s="197" customFormat="1" ht="37.5" x14ac:dyDescent="0.3">
      <c r="B514" s="182"/>
      <c r="C514" s="182">
        <v>890</v>
      </c>
      <c r="D514" s="182" t="s">
        <v>78</v>
      </c>
      <c r="E514" s="181" t="s">
        <v>4736</v>
      </c>
      <c r="F514" s="182"/>
      <c r="G514" s="182"/>
      <c r="H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  <c r="Z514" s="182"/>
      <c r="AA514" s="182"/>
      <c r="AB514" s="182"/>
      <c r="AC514" s="182"/>
      <c r="AD514" s="182"/>
      <c r="AE514" s="182"/>
      <c r="AF514" s="182"/>
      <c r="AG514" s="182"/>
      <c r="AH514" s="182"/>
      <c r="AI514" s="182"/>
      <c r="AJ514" s="182"/>
      <c r="AK514" s="182"/>
      <c r="AL514" s="182"/>
      <c r="AM514" s="182"/>
      <c r="AN514" s="182"/>
      <c r="AO514" s="182"/>
      <c r="AP514" s="182"/>
      <c r="AQ514" s="185">
        <f t="shared" si="87"/>
        <v>0</v>
      </c>
      <c r="AR514" s="182"/>
      <c r="AS514" s="182"/>
      <c r="AT514" s="182"/>
      <c r="AU514" s="182"/>
      <c r="AV514" s="182"/>
      <c r="AW514" s="182"/>
      <c r="AX514" s="182"/>
      <c r="AY514" s="182"/>
      <c r="AZ514" s="182"/>
      <c r="BA514" s="182"/>
      <c r="BB514" s="182"/>
      <c r="BC514" s="182"/>
      <c r="BD514" s="182"/>
      <c r="BE514" s="182"/>
      <c r="BF514" s="182"/>
      <c r="BG514" s="182"/>
      <c r="BH514" s="182"/>
      <c r="BI514" s="182"/>
      <c r="BJ514" s="182"/>
      <c r="BK514" s="182"/>
      <c r="BL514" s="182"/>
      <c r="BM514" s="182"/>
      <c r="BN514" s="182"/>
      <c r="BO514" s="182"/>
      <c r="BP514" s="182"/>
      <c r="BQ514" s="182"/>
      <c r="BR514" s="182"/>
      <c r="BS514" s="182"/>
      <c r="BT514" s="182"/>
      <c r="BU514" s="182"/>
      <c r="BV514" s="182"/>
      <c r="BW514" s="182"/>
      <c r="BX514" s="182"/>
      <c r="BY514" s="182"/>
      <c r="BZ514" s="182"/>
      <c r="CA514" s="182"/>
      <c r="CB514" s="185">
        <f t="shared" si="88"/>
        <v>0</v>
      </c>
      <c r="CC514" s="185">
        <f t="shared" si="89"/>
        <v>0</v>
      </c>
      <c r="CD514" s="185">
        <f t="shared" si="90"/>
        <v>890</v>
      </c>
      <c r="CE514" s="185" t="e">
        <f>+#REF!</f>
        <v>#REF!</v>
      </c>
    </row>
    <row r="515" spans="2:83" s="197" customFormat="1" ht="37.5" x14ac:dyDescent="0.3">
      <c r="B515" s="182"/>
      <c r="C515" s="182">
        <v>891</v>
      </c>
      <c r="D515" s="182" t="s">
        <v>78</v>
      </c>
      <c r="E515" s="181" t="s">
        <v>4736</v>
      </c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2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2"/>
      <c r="AH515" s="182"/>
      <c r="AI515" s="182"/>
      <c r="AJ515" s="182"/>
      <c r="AK515" s="182"/>
      <c r="AL515" s="182"/>
      <c r="AM515" s="182"/>
      <c r="AN515" s="182"/>
      <c r="AO515" s="182"/>
      <c r="AP515" s="182"/>
      <c r="AQ515" s="185">
        <f t="shared" si="87"/>
        <v>0</v>
      </c>
      <c r="AR515" s="182"/>
      <c r="AS515" s="182"/>
      <c r="AT515" s="182"/>
      <c r="AU515" s="182"/>
      <c r="AV515" s="182"/>
      <c r="AW515" s="182"/>
      <c r="AX515" s="182"/>
      <c r="AY515" s="182"/>
      <c r="AZ515" s="182"/>
      <c r="BA515" s="182"/>
      <c r="BB515" s="182"/>
      <c r="BC515" s="182"/>
      <c r="BD515" s="182"/>
      <c r="BE515" s="182"/>
      <c r="BF515" s="182"/>
      <c r="BG515" s="182"/>
      <c r="BH515" s="182"/>
      <c r="BI515" s="182"/>
      <c r="BJ515" s="182"/>
      <c r="BK515" s="182"/>
      <c r="BL515" s="182"/>
      <c r="BM515" s="182"/>
      <c r="BN515" s="182"/>
      <c r="BO515" s="182"/>
      <c r="BP515" s="182"/>
      <c r="BQ515" s="182"/>
      <c r="BR515" s="182"/>
      <c r="BS515" s="182"/>
      <c r="BT515" s="182"/>
      <c r="BU515" s="182"/>
      <c r="BV515" s="182"/>
      <c r="BW515" s="182"/>
      <c r="BX515" s="182"/>
      <c r="BY515" s="182"/>
      <c r="BZ515" s="182"/>
      <c r="CA515" s="182"/>
      <c r="CB515" s="185">
        <f t="shared" si="88"/>
        <v>0</v>
      </c>
      <c r="CC515" s="185">
        <f t="shared" si="89"/>
        <v>0</v>
      </c>
      <c r="CD515" s="185">
        <f t="shared" si="90"/>
        <v>891</v>
      </c>
      <c r="CE515" s="185" t="e">
        <f>+#REF!</f>
        <v>#REF!</v>
      </c>
    </row>
    <row r="516" spans="2:83" s="197" customFormat="1" ht="37.5" x14ac:dyDescent="0.3">
      <c r="B516" s="182"/>
      <c r="C516" s="182">
        <v>892</v>
      </c>
      <c r="D516" s="182" t="s">
        <v>78</v>
      </c>
      <c r="E516" s="181" t="s">
        <v>4736</v>
      </c>
      <c r="F516" s="182"/>
      <c r="G516" s="182"/>
      <c r="H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2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2"/>
      <c r="AH516" s="182"/>
      <c r="AI516" s="182"/>
      <c r="AJ516" s="182"/>
      <c r="AK516" s="182"/>
      <c r="AL516" s="182"/>
      <c r="AM516" s="182"/>
      <c r="AN516" s="182"/>
      <c r="AO516" s="182"/>
      <c r="AP516" s="182"/>
      <c r="AQ516" s="185">
        <f t="shared" si="87"/>
        <v>0</v>
      </c>
      <c r="AR516" s="182"/>
      <c r="AS516" s="182"/>
      <c r="AT516" s="182"/>
      <c r="AU516" s="182"/>
      <c r="AV516" s="182"/>
      <c r="AW516" s="182"/>
      <c r="AX516" s="182"/>
      <c r="AY516" s="182"/>
      <c r="AZ516" s="182"/>
      <c r="BA516" s="182"/>
      <c r="BB516" s="182"/>
      <c r="BC516" s="182"/>
      <c r="BD516" s="182"/>
      <c r="BE516" s="182"/>
      <c r="BF516" s="182"/>
      <c r="BG516" s="182"/>
      <c r="BH516" s="182"/>
      <c r="BI516" s="182"/>
      <c r="BJ516" s="182"/>
      <c r="BK516" s="182"/>
      <c r="BL516" s="182"/>
      <c r="BM516" s="182"/>
      <c r="BN516" s="182"/>
      <c r="BO516" s="182"/>
      <c r="BP516" s="182"/>
      <c r="BQ516" s="182"/>
      <c r="BR516" s="182"/>
      <c r="BS516" s="182"/>
      <c r="BT516" s="182"/>
      <c r="BU516" s="182"/>
      <c r="BV516" s="182"/>
      <c r="BW516" s="182"/>
      <c r="BX516" s="182"/>
      <c r="BY516" s="182"/>
      <c r="BZ516" s="182"/>
      <c r="CA516" s="182"/>
      <c r="CB516" s="185">
        <f t="shared" si="88"/>
        <v>0</v>
      </c>
      <c r="CC516" s="185">
        <f t="shared" si="89"/>
        <v>0</v>
      </c>
      <c r="CD516" s="185">
        <f t="shared" si="90"/>
        <v>892</v>
      </c>
      <c r="CE516" s="185" t="e">
        <f>+#REF!</f>
        <v>#REF!</v>
      </c>
    </row>
    <row r="517" spans="2:83" s="197" customFormat="1" ht="37.5" x14ac:dyDescent="0.3">
      <c r="B517" s="182"/>
      <c r="C517" s="182">
        <v>893</v>
      </c>
      <c r="D517" s="182" t="s">
        <v>78</v>
      </c>
      <c r="E517" s="181" t="s">
        <v>4736</v>
      </c>
      <c r="F517" s="182"/>
      <c r="G517" s="182"/>
      <c r="H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2"/>
      <c r="X517" s="182"/>
      <c r="Y517" s="182"/>
      <c r="Z517" s="182"/>
      <c r="AA517" s="182"/>
      <c r="AB517" s="182"/>
      <c r="AC517" s="182"/>
      <c r="AD517" s="182"/>
      <c r="AE517" s="182"/>
      <c r="AF517" s="182"/>
      <c r="AG517" s="182"/>
      <c r="AH517" s="182"/>
      <c r="AI517" s="182"/>
      <c r="AJ517" s="182"/>
      <c r="AK517" s="182"/>
      <c r="AL517" s="182"/>
      <c r="AM517" s="182"/>
      <c r="AN517" s="182"/>
      <c r="AO517" s="182"/>
      <c r="AP517" s="182"/>
      <c r="AQ517" s="185">
        <f t="shared" si="87"/>
        <v>0</v>
      </c>
      <c r="AR517" s="182"/>
      <c r="AS517" s="182"/>
      <c r="AT517" s="182"/>
      <c r="AU517" s="182"/>
      <c r="AV517" s="182"/>
      <c r="AW517" s="182"/>
      <c r="AX517" s="182"/>
      <c r="AY517" s="182"/>
      <c r="AZ517" s="182"/>
      <c r="BA517" s="182"/>
      <c r="BB517" s="182"/>
      <c r="BC517" s="182"/>
      <c r="BD517" s="182"/>
      <c r="BE517" s="182"/>
      <c r="BF517" s="182"/>
      <c r="BG517" s="182"/>
      <c r="BH517" s="182"/>
      <c r="BI517" s="182"/>
      <c r="BJ517" s="182"/>
      <c r="BK517" s="182"/>
      <c r="BL517" s="182"/>
      <c r="BM517" s="182"/>
      <c r="BN517" s="182"/>
      <c r="BO517" s="182"/>
      <c r="BP517" s="182"/>
      <c r="BQ517" s="182"/>
      <c r="BR517" s="182"/>
      <c r="BS517" s="182"/>
      <c r="BT517" s="182"/>
      <c r="BU517" s="182"/>
      <c r="BV517" s="182"/>
      <c r="BW517" s="182"/>
      <c r="BX517" s="182"/>
      <c r="BY517" s="182"/>
      <c r="BZ517" s="182"/>
      <c r="CA517" s="182"/>
      <c r="CB517" s="185">
        <f t="shared" si="88"/>
        <v>0</v>
      </c>
      <c r="CC517" s="185">
        <f t="shared" si="89"/>
        <v>0</v>
      </c>
      <c r="CD517" s="185">
        <f t="shared" si="90"/>
        <v>893</v>
      </c>
      <c r="CE517" s="185" t="e">
        <f>+#REF!</f>
        <v>#REF!</v>
      </c>
    </row>
    <row r="518" spans="2:83" s="197" customFormat="1" ht="37.5" x14ac:dyDescent="0.3">
      <c r="B518" s="182"/>
      <c r="C518" s="182">
        <v>894</v>
      </c>
      <c r="D518" s="182" t="s">
        <v>78</v>
      </c>
      <c r="E518" s="181" t="s">
        <v>4736</v>
      </c>
      <c r="F518" s="182"/>
      <c r="G518" s="182"/>
      <c r="H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2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2"/>
      <c r="AH518" s="182"/>
      <c r="AI518" s="182"/>
      <c r="AJ518" s="182"/>
      <c r="AK518" s="182"/>
      <c r="AL518" s="182"/>
      <c r="AM518" s="182"/>
      <c r="AN518" s="182"/>
      <c r="AO518" s="182"/>
      <c r="AP518" s="182"/>
      <c r="AQ518" s="185">
        <f t="shared" si="87"/>
        <v>0</v>
      </c>
      <c r="AR518" s="182"/>
      <c r="AS518" s="182"/>
      <c r="AT518" s="182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182"/>
      <c r="BK518" s="182"/>
      <c r="BL518" s="182"/>
      <c r="BM518" s="182"/>
      <c r="BN518" s="182"/>
      <c r="BO518" s="182"/>
      <c r="BP518" s="182"/>
      <c r="BQ518" s="182"/>
      <c r="BR518" s="182"/>
      <c r="BS518" s="182"/>
      <c r="BT518" s="182"/>
      <c r="BU518" s="182"/>
      <c r="BV518" s="182"/>
      <c r="BW518" s="182"/>
      <c r="BX518" s="182"/>
      <c r="BY518" s="182"/>
      <c r="BZ518" s="182"/>
      <c r="CA518" s="182"/>
      <c r="CB518" s="185">
        <f t="shared" si="88"/>
        <v>0</v>
      </c>
      <c r="CC518" s="185">
        <f t="shared" si="89"/>
        <v>0</v>
      </c>
      <c r="CD518" s="185">
        <f t="shared" si="90"/>
        <v>894</v>
      </c>
      <c r="CE518" s="185" t="e">
        <f>+#REF!</f>
        <v>#REF!</v>
      </c>
    </row>
    <row r="519" spans="2:83" s="197" customFormat="1" ht="37.5" x14ac:dyDescent="0.3">
      <c r="B519" s="182"/>
      <c r="C519" s="182">
        <v>895</v>
      </c>
      <c r="D519" s="182" t="s">
        <v>78</v>
      </c>
      <c r="E519" s="181" t="s">
        <v>4736</v>
      </c>
      <c r="F519" s="182"/>
      <c r="G519" s="182"/>
      <c r="H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2"/>
      <c r="AH519" s="182"/>
      <c r="AI519" s="182"/>
      <c r="AJ519" s="182"/>
      <c r="AK519" s="182"/>
      <c r="AL519" s="182"/>
      <c r="AM519" s="182"/>
      <c r="AN519" s="182"/>
      <c r="AO519" s="182"/>
      <c r="AP519" s="182"/>
      <c r="AQ519" s="185">
        <f t="shared" si="87"/>
        <v>0</v>
      </c>
      <c r="AR519" s="182"/>
      <c r="AS519" s="182"/>
      <c r="AT519" s="182"/>
      <c r="AU519" s="182"/>
      <c r="AV519" s="182"/>
      <c r="AW519" s="182"/>
      <c r="AX519" s="182"/>
      <c r="AY519" s="182"/>
      <c r="AZ519" s="182"/>
      <c r="BA519" s="182"/>
      <c r="BB519" s="182"/>
      <c r="BC519" s="182"/>
      <c r="BD519" s="182"/>
      <c r="BE519" s="182"/>
      <c r="BF519" s="182"/>
      <c r="BG519" s="182"/>
      <c r="BH519" s="182"/>
      <c r="BI519" s="182"/>
      <c r="BJ519" s="182"/>
      <c r="BK519" s="182"/>
      <c r="BL519" s="182"/>
      <c r="BM519" s="182"/>
      <c r="BN519" s="182"/>
      <c r="BO519" s="182"/>
      <c r="BP519" s="182"/>
      <c r="BQ519" s="182"/>
      <c r="BR519" s="182"/>
      <c r="BS519" s="182"/>
      <c r="BT519" s="182"/>
      <c r="BU519" s="182"/>
      <c r="BV519" s="182"/>
      <c r="BW519" s="182"/>
      <c r="BX519" s="182"/>
      <c r="BY519" s="182"/>
      <c r="BZ519" s="182"/>
      <c r="CA519" s="182"/>
      <c r="CB519" s="185">
        <f t="shared" si="88"/>
        <v>0</v>
      </c>
      <c r="CC519" s="185">
        <f t="shared" si="89"/>
        <v>0</v>
      </c>
      <c r="CD519" s="185">
        <f t="shared" si="90"/>
        <v>895</v>
      </c>
      <c r="CE519" s="185" t="e">
        <f>+#REF!</f>
        <v>#REF!</v>
      </c>
    </row>
    <row r="520" spans="2:83" s="197" customFormat="1" ht="37.5" x14ac:dyDescent="0.3">
      <c r="B520" s="182"/>
      <c r="C520" s="182">
        <v>896</v>
      </c>
      <c r="D520" s="182" t="s">
        <v>78</v>
      </c>
      <c r="E520" s="181" t="s">
        <v>4736</v>
      </c>
      <c r="F520" s="182"/>
      <c r="G520" s="182"/>
      <c r="H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  <c r="Z520" s="182"/>
      <c r="AA520" s="182"/>
      <c r="AB520" s="182"/>
      <c r="AC520" s="182"/>
      <c r="AD520" s="182"/>
      <c r="AE520" s="182"/>
      <c r="AF520" s="182"/>
      <c r="AG520" s="182"/>
      <c r="AH520" s="182"/>
      <c r="AI520" s="182"/>
      <c r="AJ520" s="182"/>
      <c r="AK520" s="182"/>
      <c r="AL520" s="182"/>
      <c r="AM520" s="182"/>
      <c r="AN520" s="182"/>
      <c r="AO520" s="182"/>
      <c r="AP520" s="182"/>
      <c r="AQ520" s="185">
        <f t="shared" si="87"/>
        <v>0</v>
      </c>
      <c r="AR520" s="182"/>
      <c r="AS520" s="182"/>
      <c r="AT520" s="182"/>
      <c r="AU520" s="182"/>
      <c r="AV520" s="182"/>
      <c r="AW520" s="182"/>
      <c r="AX520" s="182"/>
      <c r="AY520" s="182"/>
      <c r="AZ520" s="182"/>
      <c r="BA520" s="182"/>
      <c r="BB520" s="182"/>
      <c r="BC520" s="182"/>
      <c r="BD520" s="182"/>
      <c r="BE520" s="182"/>
      <c r="BF520" s="182"/>
      <c r="BG520" s="182"/>
      <c r="BH520" s="182"/>
      <c r="BI520" s="182"/>
      <c r="BJ520" s="182"/>
      <c r="BK520" s="182"/>
      <c r="BL520" s="182"/>
      <c r="BM520" s="182"/>
      <c r="BN520" s="182"/>
      <c r="BO520" s="182"/>
      <c r="BP520" s="182"/>
      <c r="BQ520" s="182"/>
      <c r="BR520" s="182"/>
      <c r="BS520" s="182"/>
      <c r="BT520" s="182"/>
      <c r="BU520" s="182"/>
      <c r="BV520" s="182"/>
      <c r="BW520" s="182"/>
      <c r="BX520" s="182"/>
      <c r="BY520" s="182"/>
      <c r="BZ520" s="182"/>
      <c r="CA520" s="182"/>
      <c r="CB520" s="185">
        <f t="shared" si="88"/>
        <v>0</v>
      </c>
      <c r="CC520" s="185">
        <f t="shared" si="89"/>
        <v>0</v>
      </c>
      <c r="CD520" s="185">
        <f t="shared" si="90"/>
        <v>896</v>
      </c>
      <c r="CE520" s="185" t="e">
        <f>+#REF!</f>
        <v>#REF!</v>
      </c>
    </row>
    <row r="521" spans="2:83" s="197" customFormat="1" ht="37.5" x14ac:dyDescent="0.3">
      <c r="B521" s="182"/>
      <c r="C521" s="182">
        <v>897</v>
      </c>
      <c r="D521" s="182" t="s">
        <v>78</v>
      </c>
      <c r="E521" s="181" t="s">
        <v>4736</v>
      </c>
      <c r="F521" s="182"/>
      <c r="G521" s="182"/>
      <c r="H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2"/>
      <c r="AH521" s="182"/>
      <c r="AI521" s="182"/>
      <c r="AJ521" s="182"/>
      <c r="AK521" s="182"/>
      <c r="AL521" s="182"/>
      <c r="AM521" s="182"/>
      <c r="AN521" s="182"/>
      <c r="AO521" s="182"/>
      <c r="AP521" s="182"/>
      <c r="AQ521" s="185">
        <f t="shared" si="87"/>
        <v>0</v>
      </c>
      <c r="AR521" s="182"/>
      <c r="AS521" s="182"/>
      <c r="AT521" s="182"/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182"/>
      <c r="BK521" s="182"/>
      <c r="BL521" s="182"/>
      <c r="BM521" s="182"/>
      <c r="BN521" s="182"/>
      <c r="BO521" s="182"/>
      <c r="BP521" s="182"/>
      <c r="BQ521" s="182"/>
      <c r="BR521" s="182"/>
      <c r="BS521" s="182"/>
      <c r="BT521" s="182"/>
      <c r="BU521" s="182"/>
      <c r="BV521" s="182"/>
      <c r="BW521" s="182"/>
      <c r="BX521" s="182"/>
      <c r="BY521" s="182"/>
      <c r="BZ521" s="182"/>
      <c r="CA521" s="182"/>
      <c r="CB521" s="185">
        <f t="shared" si="88"/>
        <v>0</v>
      </c>
      <c r="CC521" s="185">
        <f t="shared" si="89"/>
        <v>0</v>
      </c>
      <c r="CD521" s="185">
        <f t="shared" si="90"/>
        <v>897</v>
      </c>
      <c r="CE521" s="185" t="e">
        <f>+#REF!</f>
        <v>#REF!</v>
      </c>
    </row>
    <row r="522" spans="2:83" s="197" customFormat="1" ht="37.5" x14ac:dyDescent="0.3">
      <c r="B522" s="182"/>
      <c r="C522" s="182">
        <v>898</v>
      </c>
      <c r="D522" s="182" t="s">
        <v>78</v>
      </c>
      <c r="E522" s="181" t="s">
        <v>4736</v>
      </c>
      <c r="F522" s="182"/>
      <c r="G522" s="182"/>
      <c r="H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182"/>
      <c r="AI522" s="182"/>
      <c r="AJ522" s="182"/>
      <c r="AK522" s="182"/>
      <c r="AL522" s="182"/>
      <c r="AM522" s="182"/>
      <c r="AN522" s="182"/>
      <c r="AO522" s="182"/>
      <c r="AP522" s="182"/>
      <c r="AQ522" s="185">
        <f t="shared" si="87"/>
        <v>0</v>
      </c>
      <c r="AR522" s="182"/>
      <c r="AS522" s="182"/>
      <c r="AT522" s="182"/>
      <c r="AU522" s="182"/>
      <c r="AV522" s="182"/>
      <c r="AW522" s="182"/>
      <c r="AX522" s="182"/>
      <c r="AY522" s="182"/>
      <c r="AZ522" s="182"/>
      <c r="BA522" s="182"/>
      <c r="BB522" s="182"/>
      <c r="BC522" s="182"/>
      <c r="BD522" s="182"/>
      <c r="BE522" s="182"/>
      <c r="BF522" s="182"/>
      <c r="BG522" s="182"/>
      <c r="BH522" s="182"/>
      <c r="BI522" s="182"/>
      <c r="BJ522" s="182"/>
      <c r="BK522" s="182"/>
      <c r="BL522" s="182"/>
      <c r="BM522" s="182"/>
      <c r="BN522" s="182"/>
      <c r="BO522" s="182"/>
      <c r="BP522" s="182"/>
      <c r="BQ522" s="182"/>
      <c r="BR522" s="182"/>
      <c r="BS522" s="182"/>
      <c r="BT522" s="182"/>
      <c r="BU522" s="182"/>
      <c r="BV522" s="182"/>
      <c r="BW522" s="182"/>
      <c r="BX522" s="182"/>
      <c r="BY522" s="182"/>
      <c r="BZ522" s="182"/>
      <c r="CA522" s="182"/>
      <c r="CB522" s="185">
        <f t="shared" si="88"/>
        <v>0</v>
      </c>
      <c r="CC522" s="185">
        <f t="shared" si="89"/>
        <v>0</v>
      </c>
      <c r="CD522" s="185">
        <f t="shared" si="90"/>
        <v>898</v>
      </c>
      <c r="CE522" s="185" t="e">
        <f>+#REF!</f>
        <v>#REF!</v>
      </c>
    </row>
    <row r="523" spans="2:83" s="197" customFormat="1" ht="37.5" x14ac:dyDescent="0.3">
      <c r="B523" s="182"/>
      <c r="C523" s="182">
        <v>899</v>
      </c>
      <c r="D523" s="182" t="s">
        <v>78</v>
      </c>
      <c r="E523" s="181" t="s">
        <v>4736</v>
      </c>
      <c r="F523" s="182"/>
      <c r="G523" s="182"/>
      <c r="H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  <c r="Z523" s="182"/>
      <c r="AA523" s="182"/>
      <c r="AB523" s="182"/>
      <c r="AC523" s="182"/>
      <c r="AD523" s="182"/>
      <c r="AE523" s="182"/>
      <c r="AF523" s="182"/>
      <c r="AG523" s="182"/>
      <c r="AH523" s="182"/>
      <c r="AI523" s="182"/>
      <c r="AJ523" s="182"/>
      <c r="AK523" s="182"/>
      <c r="AL523" s="182"/>
      <c r="AM523" s="182"/>
      <c r="AN523" s="182"/>
      <c r="AO523" s="182"/>
      <c r="AP523" s="182"/>
      <c r="AQ523" s="185">
        <f t="shared" si="87"/>
        <v>0</v>
      </c>
      <c r="AR523" s="182"/>
      <c r="AS523" s="182"/>
      <c r="AT523" s="182"/>
      <c r="AU523" s="182"/>
      <c r="AV523" s="182"/>
      <c r="AW523" s="182"/>
      <c r="AX523" s="182"/>
      <c r="AY523" s="182"/>
      <c r="AZ523" s="182"/>
      <c r="BA523" s="182"/>
      <c r="BB523" s="182"/>
      <c r="BC523" s="182"/>
      <c r="BD523" s="182"/>
      <c r="BE523" s="182"/>
      <c r="BF523" s="182"/>
      <c r="BG523" s="182"/>
      <c r="BH523" s="182"/>
      <c r="BI523" s="182"/>
      <c r="BJ523" s="182"/>
      <c r="BK523" s="182"/>
      <c r="BL523" s="182"/>
      <c r="BM523" s="182"/>
      <c r="BN523" s="182"/>
      <c r="BO523" s="182"/>
      <c r="BP523" s="182"/>
      <c r="BQ523" s="182"/>
      <c r="BR523" s="182"/>
      <c r="BS523" s="182"/>
      <c r="BT523" s="182"/>
      <c r="BU523" s="182"/>
      <c r="BV523" s="182"/>
      <c r="BW523" s="182"/>
      <c r="BX523" s="182"/>
      <c r="BY523" s="182"/>
      <c r="BZ523" s="182"/>
      <c r="CA523" s="182"/>
      <c r="CB523" s="185">
        <f t="shared" si="88"/>
        <v>0</v>
      </c>
      <c r="CC523" s="185">
        <f t="shared" si="89"/>
        <v>0</v>
      </c>
      <c r="CD523" s="185">
        <f t="shared" si="90"/>
        <v>899</v>
      </c>
      <c r="CE523" s="185" t="e">
        <f>+#REF!</f>
        <v>#REF!</v>
      </c>
    </row>
    <row r="524" spans="2:83" s="197" customFormat="1" ht="37.5" x14ac:dyDescent="0.3">
      <c r="B524" s="182"/>
      <c r="C524" s="182">
        <v>900</v>
      </c>
      <c r="D524" s="182" t="s">
        <v>78</v>
      </c>
      <c r="E524" s="181" t="s">
        <v>4736</v>
      </c>
      <c r="F524" s="182"/>
      <c r="G524" s="182"/>
      <c r="H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2"/>
      <c r="AH524" s="182"/>
      <c r="AI524" s="182"/>
      <c r="AJ524" s="182"/>
      <c r="AK524" s="182"/>
      <c r="AL524" s="182"/>
      <c r="AM524" s="182"/>
      <c r="AN524" s="182"/>
      <c r="AO524" s="182"/>
      <c r="AP524" s="182"/>
      <c r="AQ524" s="185">
        <f t="shared" si="87"/>
        <v>0</v>
      </c>
      <c r="AR524" s="182"/>
      <c r="AS524" s="182"/>
      <c r="AT524" s="182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182"/>
      <c r="BK524" s="182"/>
      <c r="BL524" s="182"/>
      <c r="BM524" s="182"/>
      <c r="BN524" s="182"/>
      <c r="BO524" s="182"/>
      <c r="BP524" s="182"/>
      <c r="BQ524" s="182"/>
      <c r="BR524" s="182"/>
      <c r="BS524" s="182"/>
      <c r="BT524" s="182"/>
      <c r="BU524" s="182"/>
      <c r="BV524" s="182"/>
      <c r="BW524" s="182"/>
      <c r="BX524" s="182"/>
      <c r="BY524" s="182"/>
      <c r="BZ524" s="182"/>
      <c r="CA524" s="182"/>
      <c r="CB524" s="185">
        <f t="shared" si="88"/>
        <v>0</v>
      </c>
      <c r="CC524" s="185">
        <f t="shared" si="89"/>
        <v>0</v>
      </c>
      <c r="CD524" s="185">
        <f t="shared" si="90"/>
        <v>900</v>
      </c>
      <c r="CE524" s="185" t="e">
        <f>+#REF!</f>
        <v>#REF!</v>
      </c>
    </row>
    <row r="525" spans="2:83" s="197" customFormat="1" ht="37.5" x14ac:dyDescent="0.3">
      <c r="B525" s="182"/>
      <c r="C525" s="182">
        <v>901</v>
      </c>
      <c r="D525" s="182" t="s">
        <v>78</v>
      </c>
      <c r="E525" s="181" t="s">
        <v>4736</v>
      </c>
      <c r="F525" s="182"/>
      <c r="G525" s="182"/>
      <c r="H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2"/>
      <c r="AH525" s="182"/>
      <c r="AI525" s="182"/>
      <c r="AJ525" s="182"/>
      <c r="AK525" s="182"/>
      <c r="AL525" s="182"/>
      <c r="AM525" s="182"/>
      <c r="AN525" s="182"/>
      <c r="AO525" s="182"/>
      <c r="AP525" s="182"/>
      <c r="AQ525" s="185">
        <f t="shared" si="87"/>
        <v>0</v>
      </c>
      <c r="AR525" s="182"/>
      <c r="AS525" s="182"/>
      <c r="AT525" s="182"/>
      <c r="AU525" s="182"/>
      <c r="AV525" s="182"/>
      <c r="AW525" s="182"/>
      <c r="AX525" s="182"/>
      <c r="AY525" s="182"/>
      <c r="AZ525" s="182"/>
      <c r="BA525" s="182"/>
      <c r="BB525" s="182"/>
      <c r="BC525" s="182"/>
      <c r="BD525" s="182"/>
      <c r="BE525" s="182"/>
      <c r="BF525" s="182"/>
      <c r="BG525" s="182"/>
      <c r="BH525" s="182"/>
      <c r="BI525" s="182"/>
      <c r="BJ525" s="182"/>
      <c r="BK525" s="182"/>
      <c r="BL525" s="182"/>
      <c r="BM525" s="182"/>
      <c r="BN525" s="182"/>
      <c r="BO525" s="182"/>
      <c r="BP525" s="182"/>
      <c r="BQ525" s="182"/>
      <c r="BR525" s="182"/>
      <c r="BS525" s="182"/>
      <c r="BT525" s="182"/>
      <c r="BU525" s="182"/>
      <c r="BV525" s="182"/>
      <c r="BW525" s="182"/>
      <c r="BX525" s="182"/>
      <c r="BY525" s="182"/>
      <c r="BZ525" s="182"/>
      <c r="CA525" s="182"/>
      <c r="CB525" s="185">
        <f t="shared" si="88"/>
        <v>0</v>
      </c>
      <c r="CC525" s="185">
        <f t="shared" si="89"/>
        <v>0</v>
      </c>
      <c r="CD525" s="185">
        <f t="shared" si="90"/>
        <v>901</v>
      </c>
      <c r="CE525" s="185" t="e">
        <f>+#REF!</f>
        <v>#REF!</v>
      </c>
    </row>
    <row r="526" spans="2:83" s="197" customFormat="1" ht="37.5" x14ac:dyDescent="0.3">
      <c r="B526" s="182"/>
      <c r="C526" s="182">
        <v>902</v>
      </c>
      <c r="D526" s="182" t="s">
        <v>78</v>
      </c>
      <c r="E526" s="181" t="s">
        <v>4736</v>
      </c>
      <c r="F526" s="182"/>
      <c r="G526" s="182"/>
      <c r="H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  <c r="Z526" s="182"/>
      <c r="AA526" s="182"/>
      <c r="AB526" s="182"/>
      <c r="AC526" s="182"/>
      <c r="AD526" s="182"/>
      <c r="AE526" s="182"/>
      <c r="AF526" s="182"/>
      <c r="AG526" s="182"/>
      <c r="AH526" s="182"/>
      <c r="AI526" s="182"/>
      <c r="AJ526" s="182"/>
      <c r="AK526" s="182"/>
      <c r="AL526" s="182"/>
      <c r="AM526" s="182"/>
      <c r="AN526" s="182"/>
      <c r="AO526" s="182"/>
      <c r="AP526" s="182"/>
      <c r="AQ526" s="185">
        <f t="shared" si="87"/>
        <v>0</v>
      </c>
      <c r="AR526" s="182"/>
      <c r="AS526" s="182"/>
      <c r="AT526" s="182"/>
      <c r="AU526" s="182"/>
      <c r="AV526" s="182"/>
      <c r="AW526" s="182"/>
      <c r="AX526" s="182"/>
      <c r="AY526" s="182"/>
      <c r="AZ526" s="182"/>
      <c r="BA526" s="182"/>
      <c r="BB526" s="182"/>
      <c r="BC526" s="182"/>
      <c r="BD526" s="182"/>
      <c r="BE526" s="182"/>
      <c r="BF526" s="182"/>
      <c r="BG526" s="182"/>
      <c r="BH526" s="182"/>
      <c r="BI526" s="182"/>
      <c r="BJ526" s="182"/>
      <c r="BK526" s="182"/>
      <c r="BL526" s="182"/>
      <c r="BM526" s="182"/>
      <c r="BN526" s="182"/>
      <c r="BO526" s="182"/>
      <c r="BP526" s="182"/>
      <c r="BQ526" s="182"/>
      <c r="BR526" s="182"/>
      <c r="BS526" s="182"/>
      <c r="BT526" s="182"/>
      <c r="BU526" s="182"/>
      <c r="BV526" s="182"/>
      <c r="BW526" s="182"/>
      <c r="BX526" s="182"/>
      <c r="BY526" s="182"/>
      <c r="BZ526" s="182"/>
      <c r="CA526" s="182"/>
      <c r="CB526" s="185">
        <f t="shared" si="88"/>
        <v>0</v>
      </c>
      <c r="CC526" s="185">
        <f t="shared" si="89"/>
        <v>0</v>
      </c>
      <c r="CD526" s="185">
        <f t="shared" si="90"/>
        <v>902</v>
      </c>
      <c r="CE526" s="185" t="e">
        <f>+#REF!</f>
        <v>#REF!</v>
      </c>
    </row>
    <row r="527" spans="2:83" s="197" customFormat="1" ht="37.5" x14ac:dyDescent="0.3">
      <c r="B527" s="182"/>
      <c r="C527" s="182">
        <v>903</v>
      </c>
      <c r="D527" s="182" t="s">
        <v>78</v>
      </c>
      <c r="E527" s="181" t="s">
        <v>4736</v>
      </c>
      <c r="F527" s="182"/>
      <c r="G527" s="182"/>
      <c r="H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2"/>
      <c r="AH527" s="182"/>
      <c r="AI527" s="182"/>
      <c r="AJ527" s="182"/>
      <c r="AK527" s="182"/>
      <c r="AL527" s="182"/>
      <c r="AM527" s="182"/>
      <c r="AN527" s="182"/>
      <c r="AO527" s="182"/>
      <c r="AP527" s="182"/>
      <c r="AQ527" s="185">
        <f t="shared" si="87"/>
        <v>0</v>
      </c>
      <c r="AR527" s="182"/>
      <c r="AS527" s="182"/>
      <c r="AT527" s="182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182"/>
      <c r="BK527" s="182"/>
      <c r="BL527" s="182"/>
      <c r="BM527" s="182"/>
      <c r="BN527" s="182"/>
      <c r="BO527" s="182"/>
      <c r="BP527" s="182"/>
      <c r="BQ527" s="182"/>
      <c r="BR527" s="182"/>
      <c r="BS527" s="182"/>
      <c r="BT527" s="182"/>
      <c r="BU527" s="182"/>
      <c r="BV527" s="182"/>
      <c r="BW527" s="182"/>
      <c r="BX527" s="182"/>
      <c r="BY527" s="182"/>
      <c r="BZ527" s="182"/>
      <c r="CA527" s="182"/>
      <c r="CB527" s="185">
        <f t="shared" si="88"/>
        <v>0</v>
      </c>
      <c r="CC527" s="185">
        <f t="shared" si="89"/>
        <v>0</v>
      </c>
      <c r="CD527" s="185">
        <f t="shared" si="90"/>
        <v>903</v>
      </c>
      <c r="CE527" s="185" t="e">
        <f>+#REF!</f>
        <v>#REF!</v>
      </c>
    </row>
    <row r="528" spans="2:83" s="197" customFormat="1" ht="37.5" x14ac:dyDescent="0.3">
      <c r="B528" s="182"/>
      <c r="C528" s="182">
        <v>904</v>
      </c>
      <c r="D528" s="182" t="s">
        <v>78</v>
      </c>
      <c r="E528" s="181" t="s">
        <v>4736</v>
      </c>
      <c r="F528" s="182"/>
      <c r="G528" s="182"/>
      <c r="H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2"/>
      <c r="AH528" s="182"/>
      <c r="AI528" s="182"/>
      <c r="AJ528" s="182"/>
      <c r="AK528" s="182"/>
      <c r="AL528" s="182"/>
      <c r="AM528" s="182"/>
      <c r="AN528" s="182"/>
      <c r="AO528" s="182"/>
      <c r="AP528" s="182"/>
      <c r="AQ528" s="185">
        <f t="shared" si="87"/>
        <v>0</v>
      </c>
      <c r="AR528" s="182"/>
      <c r="AS528" s="182"/>
      <c r="AT528" s="182"/>
      <c r="AU528" s="182"/>
      <c r="AV528" s="182"/>
      <c r="AW528" s="182"/>
      <c r="AX528" s="182"/>
      <c r="AY528" s="182"/>
      <c r="AZ528" s="182"/>
      <c r="BA528" s="182"/>
      <c r="BB528" s="182"/>
      <c r="BC528" s="182"/>
      <c r="BD528" s="182"/>
      <c r="BE528" s="182"/>
      <c r="BF528" s="182"/>
      <c r="BG528" s="182"/>
      <c r="BH528" s="182"/>
      <c r="BI528" s="182"/>
      <c r="BJ528" s="182"/>
      <c r="BK528" s="182"/>
      <c r="BL528" s="182"/>
      <c r="BM528" s="182"/>
      <c r="BN528" s="182"/>
      <c r="BO528" s="182"/>
      <c r="BP528" s="182"/>
      <c r="BQ528" s="182"/>
      <c r="BR528" s="182"/>
      <c r="BS528" s="182"/>
      <c r="BT528" s="182"/>
      <c r="BU528" s="182"/>
      <c r="BV528" s="182"/>
      <c r="BW528" s="182"/>
      <c r="BX528" s="182"/>
      <c r="BY528" s="182"/>
      <c r="BZ528" s="182"/>
      <c r="CA528" s="182"/>
      <c r="CB528" s="185">
        <f t="shared" si="88"/>
        <v>0</v>
      </c>
      <c r="CC528" s="185">
        <f t="shared" si="89"/>
        <v>0</v>
      </c>
      <c r="CD528" s="185">
        <f t="shared" si="90"/>
        <v>904</v>
      </c>
      <c r="CE528" s="185" t="e">
        <f>+#REF!</f>
        <v>#REF!</v>
      </c>
    </row>
    <row r="529" spans="2:83" s="197" customFormat="1" ht="37.5" x14ac:dyDescent="0.3">
      <c r="B529" s="182"/>
      <c r="C529" s="182">
        <v>905</v>
      </c>
      <c r="D529" s="182" t="s">
        <v>78</v>
      </c>
      <c r="E529" s="181" t="s">
        <v>4736</v>
      </c>
      <c r="F529" s="182"/>
      <c r="G529" s="182"/>
      <c r="H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  <c r="Z529" s="182"/>
      <c r="AA529" s="182"/>
      <c r="AB529" s="182"/>
      <c r="AC529" s="182"/>
      <c r="AD529" s="182"/>
      <c r="AE529" s="182"/>
      <c r="AF529" s="182"/>
      <c r="AG529" s="182"/>
      <c r="AH529" s="182"/>
      <c r="AI529" s="182"/>
      <c r="AJ529" s="182"/>
      <c r="AK529" s="182"/>
      <c r="AL529" s="182"/>
      <c r="AM529" s="182"/>
      <c r="AN529" s="182"/>
      <c r="AO529" s="182"/>
      <c r="AP529" s="182"/>
      <c r="AQ529" s="185">
        <f t="shared" si="87"/>
        <v>0</v>
      </c>
      <c r="AR529" s="182"/>
      <c r="AS529" s="182"/>
      <c r="AT529" s="182"/>
      <c r="AU529" s="182"/>
      <c r="AV529" s="182"/>
      <c r="AW529" s="182"/>
      <c r="AX529" s="182"/>
      <c r="AY529" s="182"/>
      <c r="AZ529" s="182"/>
      <c r="BA529" s="182"/>
      <c r="BB529" s="182"/>
      <c r="BC529" s="182"/>
      <c r="BD529" s="182"/>
      <c r="BE529" s="182"/>
      <c r="BF529" s="182"/>
      <c r="BG529" s="182"/>
      <c r="BH529" s="182"/>
      <c r="BI529" s="182"/>
      <c r="BJ529" s="182"/>
      <c r="BK529" s="182"/>
      <c r="BL529" s="182"/>
      <c r="BM529" s="182"/>
      <c r="BN529" s="182"/>
      <c r="BO529" s="182"/>
      <c r="BP529" s="182"/>
      <c r="BQ529" s="182"/>
      <c r="BR529" s="182"/>
      <c r="BS529" s="182"/>
      <c r="BT529" s="182"/>
      <c r="BU529" s="182"/>
      <c r="BV529" s="182"/>
      <c r="BW529" s="182"/>
      <c r="BX529" s="182"/>
      <c r="BY529" s="182"/>
      <c r="BZ529" s="182"/>
      <c r="CA529" s="182"/>
      <c r="CB529" s="185">
        <f t="shared" si="88"/>
        <v>0</v>
      </c>
      <c r="CC529" s="185">
        <f t="shared" si="89"/>
        <v>0</v>
      </c>
      <c r="CD529" s="185">
        <f t="shared" si="90"/>
        <v>905</v>
      </c>
      <c r="CE529" s="185" t="e">
        <f>+#REF!</f>
        <v>#REF!</v>
      </c>
    </row>
    <row r="530" spans="2:83" s="197" customFormat="1" ht="37.5" x14ac:dyDescent="0.3">
      <c r="B530" s="182"/>
      <c r="C530" s="182">
        <v>906</v>
      </c>
      <c r="D530" s="182" t="s">
        <v>78</v>
      </c>
      <c r="E530" s="181" t="s">
        <v>4736</v>
      </c>
      <c r="F530" s="182"/>
      <c r="G530" s="182"/>
      <c r="H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  <c r="Z530" s="182"/>
      <c r="AA530" s="182"/>
      <c r="AB530" s="182"/>
      <c r="AC530" s="182"/>
      <c r="AD530" s="182"/>
      <c r="AE530" s="182"/>
      <c r="AF530" s="182"/>
      <c r="AG530" s="182"/>
      <c r="AH530" s="182"/>
      <c r="AI530" s="182"/>
      <c r="AJ530" s="182"/>
      <c r="AK530" s="182"/>
      <c r="AL530" s="182"/>
      <c r="AM530" s="182"/>
      <c r="AN530" s="182"/>
      <c r="AO530" s="182"/>
      <c r="AP530" s="182"/>
      <c r="AQ530" s="185">
        <f t="shared" si="87"/>
        <v>0</v>
      </c>
      <c r="AR530" s="182"/>
      <c r="AS530" s="182"/>
      <c r="AT530" s="182"/>
      <c r="AU530" s="182"/>
      <c r="AV530" s="182"/>
      <c r="AW530" s="182"/>
      <c r="AX530" s="182"/>
      <c r="AY530" s="182"/>
      <c r="AZ530" s="182"/>
      <c r="BA530" s="182"/>
      <c r="BB530" s="182"/>
      <c r="BC530" s="182"/>
      <c r="BD530" s="182"/>
      <c r="BE530" s="182"/>
      <c r="BF530" s="182"/>
      <c r="BG530" s="182"/>
      <c r="BH530" s="182"/>
      <c r="BI530" s="182"/>
      <c r="BJ530" s="182"/>
      <c r="BK530" s="182"/>
      <c r="BL530" s="182"/>
      <c r="BM530" s="182"/>
      <c r="BN530" s="182"/>
      <c r="BO530" s="182"/>
      <c r="BP530" s="182"/>
      <c r="BQ530" s="182"/>
      <c r="BR530" s="182"/>
      <c r="BS530" s="182"/>
      <c r="BT530" s="182"/>
      <c r="BU530" s="182"/>
      <c r="BV530" s="182"/>
      <c r="BW530" s="182"/>
      <c r="BX530" s="182"/>
      <c r="BY530" s="182"/>
      <c r="BZ530" s="182"/>
      <c r="CA530" s="182"/>
      <c r="CB530" s="185">
        <f t="shared" si="88"/>
        <v>0</v>
      </c>
      <c r="CC530" s="185">
        <f t="shared" si="89"/>
        <v>0</v>
      </c>
      <c r="CD530" s="185">
        <f t="shared" si="90"/>
        <v>906</v>
      </c>
      <c r="CE530" s="185" t="e">
        <f>+#REF!</f>
        <v>#REF!</v>
      </c>
    </row>
    <row r="531" spans="2:83" s="197" customFormat="1" ht="37.5" x14ac:dyDescent="0.3">
      <c r="B531" s="182"/>
      <c r="C531" s="182">
        <v>907</v>
      </c>
      <c r="D531" s="182" t="s">
        <v>78</v>
      </c>
      <c r="E531" s="181" t="s">
        <v>4736</v>
      </c>
      <c r="F531" s="182"/>
      <c r="G531" s="182"/>
      <c r="H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  <c r="Z531" s="182"/>
      <c r="AA531" s="182"/>
      <c r="AB531" s="182"/>
      <c r="AC531" s="182"/>
      <c r="AD531" s="182"/>
      <c r="AE531" s="182"/>
      <c r="AF531" s="182"/>
      <c r="AG531" s="182"/>
      <c r="AH531" s="182"/>
      <c r="AI531" s="182"/>
      <c r="AJ531" s="182"/>
      <c r="AK531" s="182"/>
      <c r="AL531" s="182"/>
      <c r="AM531" s="182"/>
      <c r="AN531" s="182"/>
      <c r="AO531" s="182"/>
      <c r="AP531" s="182"/>
      <c r="AQ531" s="185">
        <f t="shared" si="87"/>
        <v>0</v>
      </c>
      <c r="AR531" s="182"/>
      <c r="AS531" s="182"/>
      <c r="AT531" s="182"/>
      <c r="AU531" s="182"/>
      <c r="AV531" s="182"/>
      <c r="AW531" s="182"/>
      <c r="AX531" s="182"/>
      <c r="AY531" s="182"/>
      <c r="AZ531" s="182"/>
      <c r="BA531" s="182"/>
      <c r="BB531" s="182"/>
      <c r="BC531" s="182"/>
      <c r="BD531" s="182"/>
      <c r="BE531" s="182"/>
      <c r="BF531" s="182"/>
      <c r="BG531" s="182"/>
      <c r="BH531" s="182"/>
      <c r="BI531" s="182"/>
      <c r="BJ531" s="182"/>
      <c r="BK531" s="182"/>
      <c r="BL531" s="182"/>
      <c r="BM531" s="182"/>
      <c r="BN531" s="182"/>
      <c r="BO531" s="182"/>
      <c r="BP531" s="182"/>
      <c r="BQ531" s="182"/>
      <c r="BR531" s="182"/>
      <c r="BS531" s="182"/>
      <c r="BT531" s="182"/>
      <c r="BU531" s="182"/>
      <c r="BV531" s="182"/>
      <c r="BW531" s="182"/>
      <c r="BX531" s="182"/>
      <c r="BY531" s="182"/>
      <c r="BZ531" s="182"/>
      <c r="CA531" s="182"/>
      <c r="CB531" s="185">
        <f t="shared" si="88"/>
        <v>0</v>
      </c>
      <c r="CC531" s="185">
        <f t="shared" si="89"/>
        <v>0</v>
      </c>
      <c r="CD531" s="185">
        <f t="shared" si="90"/>
        <v>907</v>
      </c>
      <c r="CE531" s="185" t="e">
        <f>+#REF!</f>
        <v>#REF!</v>
      </c>
    </row>
    <row r="532" spans="2:83" s="197" customFormat="1" ht="37.5" x14ac:dyDescent="0.3">
      <c r="B532" s="182"/>
      <c r="C532" s="182">
        <v>908</v>
      </c>
      <c r="D532" s="182" t="s">
        <v>78</v>
      </c>
      <c r="E532" s="181" t="s">
        <v>4736</v>
      </c>
      <c r="F532" s="182"/>
      <c r="G532" s="182"/>
      <c r="H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  <c r="Z532" s="182"/>
      <c r="AA532" s="182"/>
      <c r="AB532" s="182"/>
      <c r="AC532" s="182"/>
      <c r="AD532" s="182"/>
      <c r="AE532" s="182"/>
      <c r="AF532" s="182"/>
      <c r="AG532" s="182"/>
      <c r="AH532" s="182"/>
      <c r="AI532" s="182"/>
      <c r="AJ532" s="182"/>
      <c r="AK532" s="182"/>
      <c r="AL532" s="182"/>
      <c r="AM532" s="182"/>
      <c r="AN532" s="182"/>
      <c r="AO532" s="182"/>
      <c r="AP532" s="182"/>
      <c r="AQ532" s="185">
        <f t="shared" si="87"/>
        <v>0</v>
      </c>
      <c r="AR532" s="182"/>
      <c r="AS532" s="182"/>
      <c r="AT532" s="182"/>
      <c r="AU532" s="182"/>
      <c r="AV532" s="182"/>
      <c r="AW532" s="182"/>
      <c r="AX532" s="182"/>
      <c r="AY532" s="182"/>
      <c r="AZ532" s="182"/>
      <c r="BA532" s="182"/>
      <c r="BB532" s="182"/>
      <c r="BC532" s="182"/>
      <c r="BD532" s="182"/>
      <c r="BE532" s="182"/>
      <c r="BF532" s="182"/>
      <c r="BG532" s="182"/>
      <c r="BH532" s="182"/>
      <c r="BI532" s="182"/>
      <c r="BJ532" s="182"/>
      <c r="BK532" s="182"/>
      <c r="BL532" s="182"/>
      <c r="BM532" s="182"/>
      <c r="BN532" s="182"/>
      <c r="BO532" s="182"/>
      <c r="BP532" s="182"/>
      <c r="BQ532" s="182"/>
      <c r="BR532" s="182"/>
      <c r="BS532" s="182"/>
      <c r="BT532" s="182"/>
      <c r="BU532" s="182"/>
      <c r="BV532" s="182"/>
      <c r="BW532" s="182"/>
      <c r="BX532" s="182"/>
      <c r="BY532" s="182"/>
      <c r="BZ532" s="182"/>
      <c r="CA532" s="182"/>
      <c r="CB532" s="185">
        <f t="shared" si="88"/>
        <v>0</v>
      </c>
      <c r="CC532" s="185">
        <f t="shared" si="89"/>
        <v>0</v>
      </c>
      <c r="CD532" s="185">
        <f t="shared" si="90"/>
        <v>908</v>
      </c>
      <c r="CE532" s="185" t="e">
        <f>+#REF!</f>
        <v>#REF!</v>
      </c>
    </row>
    <row r="533" spans="2:83" s="197" customFormat="1" ht="37.5" x14ac:dyDescent="0.3">
      <c r="B533" s="182"/>
      <c r="C533" s="182">
        <v>909</v>
      </c>
      <c r="D533" s="182" t="s">
        <v>78</v>
      </c>
      <c r="E533" s="181" t="s">
        <v>4736</v>
      </c>
      <c r="F533" s="182"/>
      <c r="G533" s="182"/>
      <c r="H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  <c r="Z533" s="182"/>
      <c r="AA533" s="182"/>
      <c r="AB533" s="182"/>
      <c r="AC533" s="182"/>
      <c r="AD533" s="182"/>
      <c r="AE533" s="182"/>
      <c r="AF533" s="182"/>
      <c r="AG533" s="182"/>
      <c r="AH533" s="182"/>
      <c r="AI533" s="182"/>
      <c r="AJ533" s="182"/>
      <c r="AK533" s="182"/>
      <c r="AL533" s="182"/>
      <c r="AM533" s="182"/>
      <c r="AN533" s="182"/>
      <c r="AO533" s="182"/>
      <c r="AP533" s="182"/>
      <c r="AQ533" s="185">
        <f t="shared" si="87"/>
        <v>0</v>
      </c>
      <c r="AR533" s="182"/>
      <c r="AS533" s="182"/>
      <c r="AT533" s="182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182"/>
      <c r="BK533" s="182"/>
      <c r="BL533" s="182"/>
      <c r="BM533" s="182"/>
      <c r="BN533" s="182"/>
      <c r="BO533" s="182"/>
      <c r="BP533" s="182"/>
      <c r="BQ533" s="182"/>
      <c r="BR533" s="182"/>
      <c r="BS533" s="182"/>
      <c r="BT533" s="182"/>
      <c r="BU533" s="182"/>
      <c r="BV533" s="182"/>
      <c r="BW533" s="182"/>
      <c r="BX533" s="182"/>
      <c r="BY533" s="182"/>
      <c r="BZ533" s="182"/>
      <c r="CA533" s="182"/>
      <c r="CB533" s="185">
        <f t="shared" si="88"/>
        <v>0</v>
      </c>
      <c r="CC533" s="185">
        <f t="shared" si="89"/>
        <v>0</v>
      </c>
      <c r="CD533" s="185">
        <f t="shared" si="90"/>
        <v>909</v>
      </c>
      <c r="CE533" s="185" t="e">
        <f>+#REF!</f>
        <v>#REF!</v>
      </c>
    </row>
    <row r="534" spans="2:83" s="197" customFormat="1" ht="37.5" x14ac:dyDescent="0.3">
      <c r="B534" s="182"/>
      <c r="C534" s="182">
        <v>910</v>
      </c>
      <c r="D534" s="182" t="s">
        <v>78</v>
      </c>
      <c r="E534" s="181" t="s">
        <v>4736</v>
      </c>
      <c r="F534" s="182"/>
      <c r="G534" s="182"/>
      <c r="H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  <c r="Z534" s="182"/>
      <c r="AA534" s="182"/>
      <c r="AB534" s="182"/>
      <c r="AC534" s="182"/>
      <c r="AD534" s="182"/>
      <c r="AE534" s="182"/>
      <c r="AF534" s="182"/>
      <c r="AG534" s="182"/>
      <c r="AH534" s="182"/>
      <c r="AI534" s="182"/>
      <c r="AJ534" s="182"/>
      <c r="AK534" s="182"/>
      <c r="AL534" s="182"/>
      <c r="AM534" s="182"/>
      <c r="AN534" s="182"/>
      <c r="AO534" s="182"/>
      <c r="AP534" s="182"/>
      <c r="AQ534" s="185">
        <f t="shared" si="87"/>
        <v>0</v>
      </c>
      <c r="AR534" s="182"/>
      <c r="AS534" s="182"/>
      <c r="AT534" s="182"/>
      <c r="AU534" s="182"/>
      <c r="AV534" s="182"/>
      <c r="AW534" s="182"/>
      <c r="AX534" s="182"/>
      <c r="AY534" s="182"/>
      <c r="AZ534" s="182"/>
      <c r="BA534" s="182"/>
      <c r="BB534" s="182"/>
      <c r="BC534" s="182"/>
      <c r="BD534" s="182"/>
      <c r="BE534" s="182"/>
      <c r="BF534" s="182"/>
      <c r="BG534" s="182"/>
      <c r="BH534" s="182"/>
      <c r="BI534" s="182"/>
      <c r="BJ534" s="182"/>
      <c r="BK534" s="182"/>
      <c r="BL534" s="182"/>
      <c r="BM534" s="182"/>
      <c r="BN534" s="182"/>
      <c r="BO534" s="182"/>
      <c r="BP534" s="182"/>
      <c r="BQ534" s="182"/>
      <c r="BR534" s="182"/>
      <c r="BS534" s="182"/>
      <c r="BT534" s="182"/>
      <c r="BU534" s="182"/>
      <c r="BV534" s="182"/>
      <c r="BW534" s="182"/>
      <c r="BX534" s="182"/>
      <c r="BY534" s="182"/>
      <c r="BZ534" s="182"/>
      <c r="CA534" s="182"/>
      <c r="CB534" s="185">
        <f t="shared" si="88"/>
        <v>0</v>
      </c>
      <c r="CC534" s="185">
        <f t="shared" si="89"/>
        <v>0</v>
      </c>
      <c r="CD534" s="185">
        <f t="shared" si="90"/>
        <v>910</v>
      </c>
      <c r="CE534" s="185" t="e">
        <f>+#REF!</f>
        <v>#REF!</v>
      </c>
    </row>
    <row r="535" spans="2:83" s="197" customFormat="1" ht="37.5" x14ac:dyDescent="0.3">
      <c r="B535" s="182"/>
      <c r="C535" s="182">
        <v>911</v>
      </c>
      <c r="D535" s="182" t="s">
        <v>78</v>
      </c>
      <c r="E535" s="181" t="s">
        <v>4736</v>
      </c>
      <c r="F535" s="182"/>
      <c r="G535" s="182"/>
      <c r="H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  <c r="Z535" s="182"/>
      <c r="AA535" s="182"/>
      <c r="AB535" s="182"/>
      <c r="AC535" s="182"/>
      <c r="AD535" s="182"/>
      <c r="AE535" s="182"/>
      <c r="AF535" s="182"/>
      <c r="AG535" s="182"/>
      <c r="AH535" s="182"/>
      <c r="AI535" s="182"/>
      <c r="AJ535" s="182"/>
      <c r="AK535" s="182"/>
      <c r="AL535" s="182"/>
      <c r="AM535" s="182"/>
      <c r="AN535" s="182"/>
      <c r="AO535" s="182"/>
      <c r="AP535" s="182"/>
      <c r="AQ535" s="185">
        <f t="shared" si="87"/>
        <v>0</v>
      </c>
      <c r="AR535" s="182"/>
      <c r="AS535" s="182"/>
      <c r="AT535" s="182"/>
      <c r="AU535" s="182"/>
      <c r="AV535" s="182"/>
      <c r="AW535" s="182"/>
      <c r="AX535" s="182"/>
      <c r="AY535" s="182"/>
      <c r="AZ535" s="182"/>
      <c r="BA535" s="182"/>
      <c r="BB535" s="182"/>
      <c r="BC535" s="182"/>
      <c r="BD535" s="182"/>
      <c r="BE535" s="182"/>
      <c r="BF535" s="182"/>
      <c r="BG535" s="182"/>
      <c r="BH535" s="182"/>
      <c r="BI535" s="182"/>
      <c r="BJ535" s="182"/>
      <c r="BK535" s="182"/>
      <c r="BL535" s="182"/>
      <c r="BM535" s="182"/>
      <c r="BN535" s="182"/>
      <c r="BO535" s="182"/>
      <c r="BP535" s="182"/>
      <c r="BQ535" s="182"/>
      <c r="BR535" s="182"/>
      <c r="BS535" s="182"/>
      <c r="BT535" s="182"/>
      <c r="BU535" s="182"/>
      <c r="BV535" s="182"/>
      <c r="BW535" s="182"/>
      <c r="BX535" s="182"/>
      <c r="BY535" s="182"/>
      <c r="BZ535" s="182"/>
      <c r="CA535" s="182"/>
      <c r="CB535" s="185">
        <f t="shared" si="88"/>
        <v>0</v>
      </c>
      <c r="CC535" s="185">
        <f t="shared" si="89"/>
        <v>0</v>
      </c>
      <c r="CD535" s="185">
        <f t="shared" si="90"/>
        <v>911</v>
      </c>
      <c r="CE535" s="185" t="e">
        <f>+#REF!</f>
        <v>#REF!</v>
      </c>
    </row>
    <row r="536" spans="2:83" s="197" customFormat="1" ht="37.5" x14ac:dyDescent="0.3">
      <c r="B536" s="182"/>
      <c r="C536" s="182">
        <v>912</v>
      </c>
      <c r="D536" s="182" t="s">
        <v>78</v>
      </c>
      <c r="E536" s="181" t="s">
        <v>4736</v>
      </c>
      <c r="F536" s="182"/>
      <c r="G536" s="182"/>
      <c r="H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  <c r="Z536" s="182"/>
      <c r="AA536" s="182"/>
      <c r="AB536" s="182"/>
      <c r="AC536" s="182"/>
      <c r="AD536" s="182"/>
      <c r="AE536" s="182"/>
      <c r="AF536" s="182"/>
      <c r="AG536" s="182"/>
      <c r="AH536" s="182"/>
      <c r="AI536" s="182"/>
      <c r="AJ536" s="182"/>
      <c r="AK536" s="182"/>
      <c r="AL536" s="182"/>
      <c r="AM536" s="182"/>
      <c r="AN536" s="182"/>
      <c r="AO536" s="182"/>
      <c r="AP536" s="182"/>
      <c r="AQ536" s="185">
        <f t="shared" si="87"/>
        <v>0</v>
      </c>
      <c r="AR536" s="182"/>
      <c r="AS536" s="182"/>
      <c r="AT536" s="182"/>
      <c r="AU536" s="182"/>
      <c r="AV536" s="182"/>
      <c r="AW536" s="182"/>
      <c r="AX536" s="182"/>
      <c r="AY536" s="182"/>
      <c r="AZ536" s="182"/>
      <c r="BA536" s="182"/>
      <c r="BB536" s="182"/>
      <c r="BC536" s="182"/>
      <c r="BD536" s="182"/>
      <c r="BE536" s="182"/>
      <c r="BF536" s="182"/>
      <c r="BG536" s="182"/>
      <c r="BH536" s="182"/>
      <c r="BI536" s="182"/>
      <c r="BJ536" s="182"/>
      <c r="BK536" s="182"/>
      <c r="BL536" s="182"/>
      <c r="BM536" s="182"/>
      <c r="BN536" s="182"/>
      <c r="BO536" s="182"/>
      <c r="BP536" s="182"/>
      <c r="BQ536" s="182"/>
      <c r="BR536" s="182"/>
      <c r="BS536" s="182"/>
      <c r="BT536" s="182"/>
      <c r="BU536" s="182"/>
      <c r="BV536" s="182"/>
      <c r="BW536" s="182"/>
      <c r="BX536" s="182"/>
      <c r="BY536" s="182"/>
      <c r="BZ536" s="182"/>
      <c r="CA536" s="182"/>
      <c r="CB536" s="185">
        <f t="shared" si="88"/>
        <v>0</v>
      </c>
      <c r="CC536" s="185">
        <f t="shared" si="89"/>
        <v>0</v>
      </c>
      <c r="CD536" s="185">
        <f t="shared" si="90"/>
        <v>912</v>
      </c>
      <c r="CE536" s="185" t="e">
        <f>+#REF!</f>
        <v>#REF!</v>
      </c>
    </row>
    <row r="537" spans="2:83" s="197" customFormat="1" ht="37.5" x14ac:dyDescent="0.3">
      <c r="B537" s="182"/>
      <c r="C537" s="182">
        <v>913</v>
      </c>
      <c r="D537" s="182" t="s">
        <v>78</v>
      </c>
      <c r="E537" s="181" t="s">
        <v>4736</v>
      </c>
      <c r="F537" s="182"/>
      <c r="G537" s="182"/>
      <c r="H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  <c r="Z537" s="182"/>
      <c r="AA537" s="182"/>
      <c r="AB537" s="182"/>
      <c r="AC537" s="182"/>
      <c r="AD537" s="182"/>
      <c r="AE537" s="182"/>
      <c r="AF537" s="182"/>
      <c r="AG537" s="182"/>
      <c r="AH537" s="182"/>
      <c r="AI537" s="182"/>
      <c r="AJ537" s="182"/>
      <c r="AK537" s="182"/>
      <c r="AL537" s="182"/>
      <c r="AM537" s="182"/>
      <c r="AN537" s="182"/>
      <c r="AO537" s="182"/>
      <c r="AP537" s="182"/>
      <c r="AQ537" s="185">
        <f t="shared" si="87"/>
        <v>0</v>
      </c>
      <c r="AR537" s="182"/>
      <c r="AS537" s="182"/>
      <c r="AT537" s="182"/>
      <c r="AU537" s="182"/>
      <c r="AV537" s="182"/>
      <c r="AW537" s="182"/>
      <c r="AX537" s="182"/>
      <c r="AY537" s="182"/>
      <c r="AZ537" s="182"/>
      <c r="BA537" s="182"/>
      <c r="BB537" s="182"/>
      <c r="BC537" s="182"/>
      <c r="BD537" s="182"/>
      <c r="BE537" s="182"/>
      <c r="BF537" s="182"/>
      <c r="BG537" s="182"/>
      <c r="BH537" s="182"/>
      <c r="BI537" s="182"/>
      <c r="BJ537" s="182"/>
      <c r="BK537" s="182"/>
      <c r="BL537" s="182"/>
      <c r="BM537" s="182"/>
      <c r="BN537" s="182"/>
      <c r="BO537" s="182"/>
      <c r="BP537" s="182"/>
      <c r="BQ537" s="182"/>
      <c r="BR537" s="182"/>
      <c r="BS537" s="182"/>
      <c r="BT537" s="182"/>
      <c r="BU537" s="182"/>
      <c r="BV537" s="182"/>
      <c r="BW537" s="182"/>
      <c r="BX537" s="182"/>
      <c r="BY537" s="182"/>
      <c r="BZ537" s="182"/>
      <c r="CA537" s="182"/>
      <c r="CB537" s="185">
        <f t="shared" si="88"/>
        <v>0</v>
      </c>
      <c r="CC537" s="185">
        <f t="shared" si="89"/>
        <v>0</v>
      </c>
      <c r="CD537" s="185">
        <f t="shared" si="90"/>
        <v>913</v>
      </c>
      <c r="CE537" s="185" t="e">
        <f>+#REF!</f>
        <v>#REF!</v>
      </c>
    </row>
    <row r="538" spans="2:83" s="197" customFormat="1" ht="37.5" x14ac:dyDescent="0.3">
      <c r="B538" s="182"/>
      <c r="C538" s="182">
        <v>914</v>
      </c>
      <c r="D538" s="182" t="s">
        <v>78</v>
      </c>
      <c r="E538" s="181" t="s">
        <v>4736</v>
      </c>
      <c r="F538" s="182"/>
      <c r="G538" s="182"/>
      <c r="H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  <c r="Z538" s="182"/>
      <c r="AA538" s="182"/>
      <c r="AB538" s="182"/>
      <c r="AC538" s="182"/>
      <c r="AD538" s="182"/>
      <c r="AE538" s="182"/>
      <c r="AF538" s="182"/>
      <c r="AG538" s="182"/>
      <c r="AH538" s="182"/>
      <c r="AI538" s="182"/>
      <c r="AJ538" s="182"/>
      <c r="AK538" s="182"/>
      <c r="AL538" s="182"/>
      <c r="AM538" s="182"/>
      <c r="AN538" s="182"/>
      <c r="AO538" s="182"/>
      <c r="AP538" s="182"/>
      <c r="AQ538" s="185">
        <f t="shared" si="87"/>
        <v>0</v>
      </c>
      <c r="AR538" s="182"/>
      <c r="AS538" s="182"/>
      <c r="AT538" s="182"/>
      <c r="AU538" s="182"/>
      <c r="AV538" s="182"/>
      <c r="AW538" s="182"/>
      <c r="AX538" s="182"/>
      <c r="AY538" s="182"/>
      <c r="AZ538" s="182"/>
      <c r="BA538" s="182"/>
      <c r="BB538" s="182"/>
      <c r="BC538" s="182"/>
      <c r="BD538" s="182"/>
      <c r="BE538" s="182"/>
      <c r="BF538" s="182"/>
      <c r="BG538" s="182"/>
      <c r="BH538" s="182"/>
      <c r="BI538" s="182"/>
      <c r="BJ538" s="182"/>
      <c r="BK538" s="182"/>
      <c r="BL538" s="182"/>
      <c r="BM538" s="182"/>
      <c r="BN538" s="182"/>
      <c r="BO538" s="182"/>
      <c r="BP538" s="182"/>
      <c r="BQ538" s="182"/>
      <c r="BR538" s="182"/>
      <c r="BS538" s="182"/>
      <c r="BT538" s="182"/>
      <c r="BU538" s="182"/>
      <c r="BV538" s="182"/>
      <c r="BW538" s="182"/>
      <c r="BX538" s="182"/>
      <c r="BY538" s="182"/>
      <c r="BZ538" s="182"/>
      <c r="CA538" s="182"/>
      <c r="CB538" s="185">
        <f t="shared" si="88"/>
        <v>0</v>
      </c>
      <c r="CC538" s="185">
        <f t="shared" si="89"/>
        <v>0</v>
      </c>
      <c r="CD538" s="185">
        <f t="shared" si="90"/>
        <v>914</v>
      </c>
      <c r="CE538" s="185" t="e">
        <f>+#REF!</f>
        <v>#REF!</v>
      </c>
    </row>
    <row r="539" spans="2:83" s="197" customFormat="1" ht="37.5" x14ac:dyDescent="0.3">
      <c r="B539" s="182"/>
      <c r="C539" s="182">
        <v>915</v>
      </c>
      <c r="D539" s="182" t="s">
        <v>78</v>
      </c>
      <c r="E539" s="181" t="s">
        <v>4736</v>
      </c>
      <c r="F539" s="182"/>
      <c r="G539" s="182"/>
      <c r="H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2"/>
      <c r="AH539" s="182"/>
      <c r="AI539" s="182"/>
      <c r="AJ539" s="182"/>
      <c r="AK539" s="182"/>
      <c r="AL539" s="182"/>
      <c r="AM539" s="182"/>
      <c r="AN539" s="182"/>
      <c r="AO539" s="182"/>
      <c r="AP539" s="182"/>
      <c r="AQ539" s="185">
        <f t="shared" si="87"/>
        <v>0</v>
      </c>
      <c r="AR539" s="182"/>
      <c r="AS539" s="182"/>
      <c r="AT539" s="182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/>
      <c r="BF539" s="182"/>
      <c r="BG539" s="182"/>
      <c r="BH539" s="182"/>
      <c r="BI539" s="182"/>
      <c r="BJ539" s="182"/>
      <c r="BK539" s="182"/>
      <c r="BL539" s="182"/>
      <c r="BM539" s="182"/>
      <c r="BN539" s="182"/>
      <c r="BO539" s="182"/>
      <c r="BP539" s="182"/>
      <c r="BQ539" s="182"/>
      <c r="BR539" s="182"/>
      <c r="BS539" s="182"/>
      <c r="BT539" s="182"/>
      <c r="BU539" s="182"/>
      <c r="BV539" s="182"/>
      <c r="BW539" s="182"/>
      <c r="BX539" s="182"/>
      <c r="BY539" s="182"/>
      <c r="BZ539" s="182"/>
      <c r="CA539" s="182"/>
      <c r="CB539" s="185">
        <f t="shared" si="88"/>
        <v>0</v>
      </c>
      <c r="CC539" s="185">
        <f t="shared" si="89"/>
        <v>0</v>
      </c>
      <c r="CD539" s="185">
        <f t="shared" si="90"/>
        <v>915</v>
      </c>
      <c r="CE539" s="185" t="e">
        <f>+#REF!</f>
        <v>#REF!</v>
      </c>
    </row>
    <row r="540" spans="2:83" s="197" customFormat="1" ht="37.5" x14ac:dyDescent="0.3">
      <c r="B540" s="182"/>
      <c r="C540" s="182">
        <v>916</v>
      </c>
      <c r="D540" s="182" t="s">
        <v>78</v>
      </c>
      <c r="E540" s="181" t="s">
        <v>4736</v>
      </c>
      <c r="F540" s="182"/>
      <c r="G540" s="182"/>
      <c r="H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2"/>
      <c r="X540" s="182"/>
      <c r="Y540" s="182"/>
      <c r="Z540" s="182"/>
      <c r="AA540" s="182"/>
      <c r="AB540" s="182"/>
      <c r="AC540" s="182"/>
      <c r="AD540" s="182"/>
      <c r="AE540" s="182"/>
      <c r="AF540" s="182"/>
      <c r="AG540" s="182"/>
      <c r="AH540" s="182"/>
      <c r="AI540" s="182"/>
      <c r="AJ540" s="182"/>
      <c r="AK540" s="182"/>
      <c r="AL540" s="182"/>
      <c r="AM540" s="182"/>
      <c r="AN540" s="182"/>
      <c r="AO540" s="182"/>
      <c r="AP540" s="182"/>
      <c r="AQ540" s="185">
        <f t="shared" si="87"/>
        <v>0</v>
      </c>
      <c r="AR540" s="182"/>
      <c r="AS540" s="182"/>
      <c r="AT540" s="182"/>
      <c r="AU540" s="182"/>
      <c r="AV540" s="182"/>
      <c r="AW540" s="182"/>
      <c r="AX540" s="182"/>
      <c r="AY540" s="182"/>
      <c r="AZ540" s="182"/>
      <c r="BA540" s="182"/>
      <c r="BB540" s="182"/>
      <c r="BC540" s="182"/>
      <c r="BD540" s="182"/>
      <c r="BE540" s="182"/>
      <c r="BF540" s="182"/>
      <c r="BG540" s="182"/>
      <c r="BH540" s="182"/>
      <c r="BI540" s="182"/>
      <c r="BJ540" s="182"/>
      <c r="BK540" s="182"/>
      <c r="BL540" s="182"/>
      <c r="BM540" s="182"/>
      <c r="BN540" s="182"/>
      <c r="BO540" s="182"/>
      <c r="BP540" s="182"/>
      <c r="BQ540" s="182"/>
      <c r="BR540" s="182"/>
      <c r="BS540" s="182"/>
      <c r="BT540" s="182"/>
      <c r="BU540" s="182"/>
      <c r="BV540" s="182"/>
      <c r="BW540" s="182"/>
      <c r="BX540" s="182"/>
      <c r="BY540" s="182"/>
      <c r="BZ540" s="182"/>
      <c r="CA540" s="182"/>
      <c r="CB540" s="185">
        <f t="shared" si="88"/>
        <v>0</v>
      </c>
      <c r="CC540" s="185">
        <f t="shared" si="89"/>
        <v>0</v>
      </c>
      <c r="CD540" s="185">
        <f t="shared" si="90"/>
        <v>916</v>
      </c>
      <c r="CE540" s="185" t="e">
        <f>+#REF!</f>
        <v>#REF!</v>
      </c>
    </row>
    <row r="541" spans="2:83" s="197" customFormat="1" ht="37.5" x14ac:dyDescent="0.3">
      <c r="B541" s="182"/>
      <c r="C541" s="182">
        <v>917</v>
      </c>
      <c r="D541" s="182"/>
      <c r="E541" s="181" t="s">
        <v>4561</v>
      </c>
      <c r="F541" s="182"/>
      <c r="G541" s="182"/>
      <c r="H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  <c r="Z541" s="182"/>
      <c r="AA541" s="182"/>
      <c r="AB541" s="182"/>
      <c r="AC541" s="182"/>
      <c r="AD541" s="182"/>
      <c r="AE541" s="182"/>
      <c r="AF541" s="182"/>
      <c r="AG541" s="182"/>
      <c r="AH541" s="182"/>
      <c r="AI541" s="182"/>
      <c r="AJ541" s="182"/>
      <c r="AK541" s="182"/>
      <c r="AL541" s="182"/>
      <c r="AM541" s="182"/>
      <c r="AN541" s="182"/>
      <c r="AO541" s="182"/>
      <c r="AP541" s="182"/>
      <c r="AQ541" s="185">
        <f t="shared" si="87"/>
        <v>0</v>
      </c>
      <c r="AR541" s="182"/>
      <c r="AS541" s="182"/>
      <c r="AT541" s="182"/>
      <c r="AU541" s="182"/>
      <c r="AV541" s="182"/>
      <c r="AW541" s="182"/>
      <c r="AX541" s="182"/>
      <c r="AY541" s="182"/>
      <c r="AZ541" s="182"/>
      <c r="BA541" s="182"/>
      <c r="BB541" s="182"/>
      <c r="BC541" s="182"/>
      <c r="BD541" s="182"/>
      <c r="BE541" s="182"/>
      <c r="BF541" s="182"/>
      <c r="BG541" s="182"/>
      <c r="BH541" s="182"/>
      <c r="BI541" s="182"/>
      <c r="BJ541" s="182"/>
      <c r="BK541" s="182"/>
      <c r="BL541" s="182"/>
      <c r="BM541" s="182"/>
      <c r="BN541" s="182"/>
      <c r="BO541" s="182"/>
      <c r="BP541" s="182"/>
      <c r="BQ541" s="182"/>
      <c r="BR541" s="182"/>
      <c r="BS541" s="182"/>
      <c r="BT541" s="182"/>
      <c r="BU541" s="182"/>
      <c r="BV541" s="182"/>
      <c r="BW541" s="182"/>
      <c r="BX541" s="182"/>
      <c r="BY541" s="182"/>
      <c r="BZ541" s="182"/>
      <c r="CA541" s="182"/>
      <c r="CB541" s="185"/>
      <c r="CC541" s="185"/>
      <c r="CD541" s="185"/>
      <c r="CE541" s="185"/>
    </row>
    <row r="542" spans="2:83" s="197" customFormat="1" ht="37.5" x14ac:dyDescent="0.3">
      <c r="B542" s="182"/>
      <c r="C542" s="182">
        <v>918</v>
      </c>
      <c r="D542" s="182"/>
      <c r="E542" s="181" t="s">
        <v>4543</v>
      </c>
      <c r="F542" s="182"/>
      <c r="G542" s="182"/>
      <c r="H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2"/>
      <c r="AH542" s="182"/>
      <c r="AI542" s="182"/>
      <c r="AJ542" s="182"/>
      <c r="AK542" s="182"/>
      <c r="AL542" s="182"/>
      <c r="AM542" s="182"/>
      <c r="AN542" s="182"/>
      <c r="AO542" s="182"/>
      <c r="AP542" s="182"/>
      <c r="AQ542" s="185">
        <f t="shared" si="87"/>
        <v>0</v>
      </c>
      <c r="AR542" s="182"/>
      <c r="AS542" s="182"/>
      <c r="AT542" s="182"/>
      <c r="AU542" s="182"/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/>
      <c r="BH542" s="182"/>
      <c r="BI542" s="182"/>
      <c r="BJ542" s="182"/>
      <c r="BK542" s="182"/>
      <c r="BL542" s="182"/>
      <c r="BM542" s="182"/>
      <c r="BN542" s="182"/>
      <c r="BO542" s="182"/>
      <c r="BP542" s="182"/>
      <c r="BQ542" s="182"/>
      <c r="BR542" s="182"/>
      <c r="BS542" s="182"/>
      <c r="BT542" s="182"/>
      <c r="BU542" s="182"/>
      <c r="BV542" s="182"/>
      <c r="BW542" s="182"/>
      <c r="BX542" s="182"/>
      <c r="BY542" s="182"/>
      <c r="BZ542" s="182"/>
      <c r="CA542" s="182"/>
      <c r="CB542" s="185"/>
      <c r="CC542" s="185"/>
      <c r="CD542" s="185"/>
      <c r="CE542" s="185"/>
    </row>
    <row r="543" spans="2:83" s="197" customFormat="1" ht="18.75" x14ac:dyDescent="0.3">
      <c r="B543" s="188"/>
      <c r="C543" s="188"/>
      <c r="D543" s="188"/>
      <c r="E543" s="189" t="s">
        <v>4737</v>
      </c>
      <c r="F543" s="188"/>
      <c r="G543" s="188"/>
      <c r="H543" s="188"/>
      <c r="I543" s="188"/>
      <c r="J543" s="188"/>
      <c r="K543" s="188"/>
      <c r="L543" s="188"/>
      <c r="M543" s="188"/>
      <c r="N543" s="188"/>
      <c r="O543" s="188"/>
      <c r="P543" s="188"/>
      <c r="Q543" s="188"/>
      <c r="R543" s="188"/>
      <c r="S543" s="188"/>
      <c r="T543" s="188"/>
      <c r="U543" s="188"/>
      <c r="V543" s="188"/>
      <c r="W543" s="188"/>
      <c r="X543" s="188"/>
      <c r="Y543" s="188"/>
      <c r="Z543" s="188"/>
      <c r="AA543" s="188"/>
      <c r="AB543" s="188"/>
      <c r="AC543" s="188"/>
      <c r="AD543" s="188"/>
      <c r="AE543" s="188"/>
      <c r="AF543" s="188"/>
      <c r="AG543" s="188"/>
      <c r="AH543" s="188"/>
      <c r="AI543" s="188"/>
      <c r="AJ543" s="188"/>
      <c r="AK543" s="188"/>
      <c r="AL543" s="188"/>
      <c r="AM543" s="188"/>
      <c r="AN543" s="188"/>
      <c r="AO543" s="188"/>
      <c r="AP543" s="188"/>
      <c r="AQ543" s="188"/>
      <c r="AR543" s="188"/>
      <c r="AS543" s="188"/>
      <c r="AT543" s="188"/>
      <c r="AU543" s="188"/>
      <c r="AV543" s="188"/>
      <c r="AW543" s="188"/>
      <c r="AX543" s="188"/>
      <c r="AY543" s="188"/>
      <c r="AZ543" s="188"/>
      <c r="BA543" s="188"/>
      <c r="BB543" s="188"/>
      <c r="BC543" s="188"/>
      <c r="BD543" s="188"/>
      <c r="BE543" s="188"/>
      <c r="BF543" s="188"/>
      <c r="BG543" s="188"/>
      <c r="BH543" s="188"/>
      <c r="BI543" s="188"/>
      <c r="BJ543" s="188"/>
      <c r="BK543" s="188"/>
      <c r="BL543" s="188"/>
      <c r="BM543" s="188"/>
      <c r="BN543" s="188"/>
      <c r="BO543" s="188"/>
      <c r="BP543" s="188"/>
      <c r="BQ543" s="188"/>
      <c r="BR543" s="188"/>
      <c r="BS543" s="188"/>
      <c r="BT543" s="188"/>
      <c r="BU543" s="188"/>
      <c r="BV543" s="188"/>
      <c r="BW543" s="188"/>
      <c r="BX543" s="188"/>
      <c r="BY543" s="188"/>
      <c r="BZ543" s="188"/>
      <c r="CA543" s="188"/>
      <c r="CB543" s="188"/>
      <c r="CC543" s="188"/>
      <c r="CD543" s="188"/>
      <c r="CE543" s="188"/>
    </row>
    <row r="544" spans="2:83" s="197" customFormat="1" ht="37.5" x14ac:dyDescent="0.3">
      <c r="B544" s="182"/>
      <c r="C544" s="182">
        <v>919</v>
      </c>
      <c r="D544" s="182" t="s">
        <v>1766</v>
      </c>
      <c r="E544" s="181" t="s">
        <v>4736</v>
      </c>
      <c r="F544" s="182"/>
      <c r="G544" s="182"/>
      <c r="H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  <c r="Z544" s="182"/>
      <c r="AA544" s="182"/>
      <c r="AB544" s="182"/>
      <c r="AC544" s="182"/>
      <c r="AD544" s="182"/>
      <c r="AE544" s="182"/>
      <c r="AF544" s="182"/>
      <c r="AG544" s="182"/>
      <c r="AH544" s="182"/>
      <c r="AI544" s="182"/>
      <c r="AJ544" s="182"/>
      <c r="AK544" s="182"/>
      <c r="AL544" s="182"/>
      <c r="AM544" s="182"/>
      <c r="AN544" s="182"/>
      <c r="AO544" s="182"/>
      <c r="AP544" s="182"/>
      <c r="AQ544" s="185">
        <f t="shared" ref="AQ544:AQ553" si="91">SUM(G544:AP544)</f>
        <v>0</v>
      </c>
      <c r="AR544" s="182"/>
      <c r="AS544" s="182"/>
      <c r="AT544" s="182"/>
      <c r="AU544" s="182"/>
      <c r="AV544" s="182"/>
      <c r="AW544" s="182"/>
      <c r="AX544" s="182"/>
      <c r="AY544" s="182"/>
      <c r="AZ544" s="182"/>
      <c r="BA544" s="182"/>
      <c r="BB544" s="182"/>
      <c r="BC544" s="182"/>
      <c r="BD544" s="182"/>
      <c r="BE544" s="182"/>
      <c r="BF544" s="182"/>
      <c r="BG544" s="182"/>
      <c r="BH544" s="182"/>
      <c r="BI544" s="182"/>
      <c r="BJ544" s="182"/>
      <c r="BK544" s="182"/>
      <c r="BL544" s="182"/>
      <c r="BM544" s="182"/>
      <c r="BN544" s="182"/>
      <c r="BO544" s="182"/>
      <c r="BP544" s="182"/>
      <c r="BQ544" s="182"/>
      <c r="BR544" s="182"/>
      <c r="BS544" s="182"/>
      <c r="BT544" s="182"/>
      <c r="BU544" s="182"/>
      <c r="BV544" s="182"/>
      <c r="BW544" s="182"/>
      <c r="BX544" s="182"/>
      <c r="BY544" s="182"/>
      <c r="BZ544" s="182"/>
      <c r="CA544" s="182"/>
      <c r="CB544" s="185"/>
      <c r="CC544" s="185"/>
      <c r="CD544" s="185"/>
      <c r="CE544" s="185"/>
    </row>
    <row r="545" spans="2:83" s="197" customFormat="1" ht="37.5" x14ac:dyDescent="0.3">
      <c r="B545" s="182"/>
      <c r="C545" s="182">
        <v>920</v>
      </c>
      <c r="D545" s="182" t="s">
        <v>1766</v>
      </c>
      <c r="E545" s="181" t="s">
        <v>4736</v>
      </c>
      <c r="F545" s="182"/>
      <c r="G545" s="182"/>
      <c r="H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2"/>
      <c r="AH545" s="182"/>
      <c r="AI545" s="182"/>
      <c r="AJ545" s="182"/>
      <c r="AK545" s="182"/>
      <c r="AL545" s="182"/>
      <c r="AM545" s="182"/>
      <c r="AN545" s="182"/>
      <c r="AO545" s="182"/>
      <c r="AP545" s="182"/>
      <c r="AQ545" s="185">
        <f t="shared" si="91"/>
        <v>0</v>
      </c>
      <c r="AR545" s="182"/>
      <c r="AS545" s="182"/>
      <c r="AT545" s="182"/>
      <c r="AU545" s="182"/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182"/>
      <c r="BK545" s="182"/>
      <c r="BL545" s="182"/>
      <c r="BM545" s="182"/>
      <c r="BN545" s="182"/>
      <c r="BO545" s="182"/>
      <c r="BP545" s="182"/>
      <c r="BQ545" s="182"/>
      <c r="BR545" s="182"/>
      <c r="BS545" s="182"/>
      <c r="BT545" s="182"/>
      <c r="BU545" s="182"/>
      <c r="BV545" s="182"/>
      <c r="BW545" s="182"/>
      <c r="BX545" s="182"/>
      <c r="BY545" s="182"/>
      <c r="BZ545" s="182"/>
      <c r="CA545" s="182"/>
      <c r="CB545" s="185"/>
      <c r="CC545" s="185"/>
      <c r="CD545" s="185"/>
      <c r="CE545" s="185"/>
    </row>
    <row r="546" spans="2:83" s="197" customFormat="1" ht="37.5" x14ac:dyDescent="0.3">
      <c r="B546" s="182"/>
      <c r="C546" s="182">
        <v>921</v>
      </c>
      <c r="D546" s="182" t="s">
        <v>1766</v>
      </c>
      <c r="E546" s="181" t="s">
        <v>4736</v>
      </c>
      <c r="F546" s="182"/>
      <c r="G546" s="182"/>
      <c r="H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2"/>
      <c r="AH546" s="182"/>
      <c r="AI546" s="182"/>
      <c r="AJ546" s="182"/>
      <c r="AK546" s="182"/>
      <c r="AL546" s="182"/>
      <c r="AM546" s="182"/>
      <c r="AN546" s="182"/>
      <c r="AO546" s="182"/>
      <c r="AP546" s="182"/>
      <c r="AQ546" s="185">
        <f t="shared" si="91"/>
        <v>0</v>
      </c>
      <c r="AR546" s="182"/>
      <c r="AS546" s="182"/>
      <c r="AT546" s="182"/>
      <c r="AU546" s="182"/>
      <c r="AV546" s="182"/>
      <c r="AW546" s="182"/>
      <c r="AX546" s="182"/>
      <c r="AY546" s="182"/>
      <c r="AZ546" s="182"/>
      <c r="BA546" s="182"/>
      <c r="BB546" s="182"/>
      <c r="BC546" s="182"/>
      <c r="BD546" s="182"/>
      <c r="BE546" s="182"/>
      <c r="BF546" s="182"/>
      <c r="BG546" s="182"/>
      <c r="BH546" s="182"/>
      <c r="BI546" s="182"/>
      <c r="BJ546" s="182"/>
      <c r="BK546" s="182"/>
      <c r="BL546" s="182"/>
      <c r="BM546" s="182"/>
      <c r="BN546" s="182"/>
      <c r="BO546" s="182"/>
      <c r="BP546" s="182"/>
      <c r="BQ546" s="182"/>
      <c r="BR546" s="182"/>
      <c r="BS546" s="182"/>
      <c r="BT546" s="182"/>
      <c r="BU546" s="182"/>
      <c r="BV546" s="182"/>
      <c r="BW546" s="182"/>
      <c r="BX546" s="182"/>
      <c r="BY546" s="182"/>
      <c r="BZ546" s="182"/>
      <c r="CA546" s="182"/>
      <c r="CB546" s="185"/>
      <c r="CC546" s="185"/>
      <c r="CD546" s="185"/>
      <c r="CE546" s="185"/>
    </row>
    <row r="547" spans="2:83" s="197" customFormat="1" ht="37.5" x14ac:dyDescent="0.3">
      <c r="B547" s="182"/>
      <c r="C547" s="182">
        <v>922</v>
      </c>
      <c r="D547" s="182" t="s">
        <v>1766</v>
      </c>
      <c r="E547" s="181" t="s">
        <v>4736</v>
      </c>
      <c r="F547" s="182"/>
      <c r="G547" s="182"/>
      <c r="H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  <c r="Z547" s="182"/>
      <c r="AA547" s="182"/>
      <c r="AB547" s="182"/>
      <c r="AC547" s="182"/>
      <c r="AD547" s="182"/>
      <c r="AE547" s="182"/>
      <c r="AF547" s="182"/>
      <c r="AG547" s="182"/>
      <c r="AH547" s="182"/>
      <c r="AI547" s="182"/>
      <c r="AJ547" s="182"/>
      <c r="AK547" s="182"/>
      <c r="AL547" s="182"/>
      <c r="AM547" s="182"/>
      <c r="AN547" s="182"/>
      <c r="AO547" s="182"/>
      <c r="AP547" s="182"/>
      <c r="AQ547" s="185">
        <f t="shared" si="91"/>
        <v>0</v>
      </c>
      <c r="AR547" s="182"/>
      <c r="AS547" s="182"/>
      <c r="AT547" s="182"/>
      <c r="AU547" s="182"/>
      <c r="AV547" s="182"/>
      <c r="AW547" s="182"/>
      <c r="AX547" s="182"/>
      <c r="AY547" s="182"/>
      <c r="AZ547" s="182"/>
      <c r="BA547" s="182"/>
      <c r="BB547" s="182"/>
      <c r="BC547" s="182"/>
      <c r="BD547" s="182"/>
      <c r="BE547" s="182"/>
      <c r="BF547" s="182"/>
      <c r="BG547" s="182"/>
      <c r="BH547" s="182"/>
      <c r="BI547" s="182"/>
      <c r="BJ547" s="182"/>
      <c r="BK547" s="182"/>
      <c r="BL547" s="182"/>
      <c r="BM547" s="182"/>
      <c r="BN547" s="182"/>
      <c r="BO547" s="182"/>
      <c r="BP547" s="182"/>
      <c r="BQ547" s="182"/>
      <c r="BR547" s="182"/>
      <c r="BS547" s="182"/>
      <c r="BT547" s="182"/>
      <c r="BU547" s="182"/>
      <c r="BV547" s="182"/>
      <c r="BW547" s="182"/>
      <c r="BX547" s="182"/>
      <c r="BY547" s="182"/>
      <c r="BZ547" s="182"/>
      <c r="CA547" s="182"/>
      <c r="CB547" s="185"/>
      <c r="CC547" s="185"/>
      <c r="CD547" s="185"/>
      <c r="CE547" s="185"/>
    </row>
    <row r="548" spans="2:83" s="197" customFormat="1" ht="37.5" x14ac:dyDescent="0.3">
      <c r="B548" s="182"/>
      <c r="C548" s="182">
        <v>923</v>
      </c>
      <c r="D548" s="182" t="s">
        <v>1766</v>
      </c>
      <c r="E548" s="181" t="s">
        <v>4736</v>
      </c>
      <c r="F548" s="182"/>
      <c r="G548" s="182"/>
      <c r="H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182"/>
      <c r="AI548" s="182"/>
      <c r="AJ548" s="182"/>
      <c r="AK548" s="182"/>
      <c r="AL548" s="182"/>
      <c r="AM548" s="182"/>
      <c r="AN548" s="182"/>
      <c r="AO548" s="182"/>
      <c r="AP548" s="182"/>
      <c r="AQ548" s="185">
        <f t="shared" si="91"/>
        <v>0</v>
      </c>
      <c r="AR548" s="182"/>
      <c r="AS548" s="182"/>
      <c r="AT548" s="182"/>
      <c r="AU548" s="182"/>
      <c r="AV548" s="182"/>
      <c r="AW548" s="182"/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/>
      <c r="BH548" s="182"/>
      <c r="BI548" s="182"/>
      <c r="BJ548" s="182"/>
      <c r="BK548" s="182"/>
      <c r="BL548" s="182"/>
      <c r="BM548" s="182"/>
      <c r="BN548" s="182"/>
      <c r="BO548" s="182"/>
      <c r="BP548" s="182"/>
      <c r="BQ548" s="182"/>
      <c r="BR548" s="182"/>
      <c r="BS548" s="182"/>
      <c r="BT548" s="182"/>
      <c r="BU548" s="182"/>
      <c r="BV548" s="182"/>
      <c r="BW548" s="182"/>
      <c r="BX548" s="182"/>
      <c r="BY548" s="182"/>
      <c r="BZ548" s="182"/>
      <c r="CA548" s="182"/>
      <c r="CB548" s="185"/>
      <c r="CC548" s="185"/>
      <c r="CD548" s="185"/>
      <c r="CE548" s="185"/>
    </row>
    <row r="549" spans="2:83" s="197" customFormat="1" ht="37.5" x14ac:dyDescent="0.3">
      <c r="B549" s="182"/>
      <c r="C549" s="182">
        <v>924</v>
      </c>
      <c r="D549" s="182" t="s">
        <v>1766</v>
      </c>
      <c r="E549" s="181" t="s">
        <v>4736</v>
      </c>
      <c r="F549" s="182"/>
      <c r="G549" s="182"/>
      <c r="H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2"/>
      <c r="AH549" s="182"/>
      <c r="AI549" s="182"/>
      <c r="AJ549" s="182"/>
      <c r="AK549" s="182"/>
      <c r="AL549" s="182"/>
      <c r="AM549" s="182"/>
      <c r="AN549" s="182"/>
      <c r="AO549" s="182"/>
      <c r="AP549" s="182"/>
      <c r="AQ549" s="185">
        <f t="shared" si="91"/>
        <v>0</v>
      </c>
      <c r="AR549" s="182"/>
      <c r="AS549" s="182"/>
      <c r="AT549" s="182"/>
      <c r="AU549" s="182"/>
      <c r="AV549" s="182"/>
      <c r="AW549" s="182"/>
      <c r="AX549" s="182"/>
      <c r="AY549" s="182"/>
      <c r="AZ549" s="182"/>
      <c r="BA549" s="182"/>
      <c r="BB549" s="182"/>
      <c r="BC549" s="182"/>
      <c r="BD549" s="182"/>
      <c r="BE549" s="182"/>
      <c r="BF549" s="182"/>
      <c r="BG549" s="182"/>
      <c r="BH549" s="182"/>
      <c r="BI549" s="182"/>
      <c r="BJ549" s="182"/>
      <c r="BK549" s="182"/>
      <c r="BL549" s="182"/>
      <c r="BM549" s="182"/>
      <c r="BN549" s="182"/>
      <c r="BO549" s="182"/>
      <c r="BP549" s="182"/>
      <c r="BQ549" s="182"/>
      <c r="BR549" s="182"/>
      <c r="BS549" s="182"/>
      <c r="BT549" s="182"/>
      <c r="BU549" s="182"/>
      <c r="BV549" s="182"/>
      <c r="BW549" s="182"/>
      <c r="BX549" s="182"/>
      <c r="BY549" s="182"/>
      <c r="BZ549" s="182"/>
      <c r="CA549" s="182"/>
      <c r="CB549" s="185"/>
      <c r="CC549" s="185"/>
      <c r="CD549" s="185"/>
      <c r="CE549" s="185"/>
    </row>
    <row r="550" spans="2:83" s="197" customFormat="1" ht="37.5" x14ac:dyDescent="0.3">
      <c r="B550" s="182"/>
      <c r="C550" s="182">
        <v>925</v>
      </c>
      <c r="D550" s="182" t="s">
        <v>1766</v>
      </c>
      <c r="E550" s="181" t="s">
        <v>4736</v>
      </c>
      <c r="F550" s="182"/>
      <c r="G550" s="182"/>
      <c r="H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2"/>
      <c r="X550" s="182"/>
      <c r="Y550" s="182"/>
      <c r="Z550" s="182"/>
      <c r="AA550" s="182"/>
      <c r="AB550" s="182"/>
      <c r="AC550" s="182"/>
      <c r="AD550" s="182"/>
      <c r="AE550" s="182"/>
      <c r="AF550" s="182"/>
      <c r="AG550" s="182"/>
      <c r="AH550" s="182"/>
      <c r="AI550" s="182"/>
      <c r="AJ550" s="182"/>
      <c r="AK550" s="182"/>
      <c r="AL550" s="182"/>
      <c r="AM550" s="182"/>
      <c r="AN550" s="182"/>
      <c r="AO550" s="182"/>
      <c r="AP550" s="182"/>
      <c r="AQ550" s="185">
        <f t="shared" si="91"/>
        <v>0</v>
      </c>
      <c r="AR550" s="182"/>
      <c r="AS550" s="182"/>
      <c r="AT550" s="182"/>
      <c r="AU550" s="182"/>
      <c r="AV550" s="182"/>
      <c r="AW550" s="182"/>
      <c r="AX550" s="182"/>
      <c r="AY550" s="182"/>
      <c r="AZ550" s="182"/>
      <c r="BA550" s="182"/>
      <c r="BB550" s="182"/>
      <c r="BC550" s="182"/>
      <c r="BD550" s="182"/>
      <c r="BE550" s="182"/>
      <c r="BF550" s="182"/>
      <c r="BG550" s="182"/>
      <c r="BH550" s="182"/>
      <c r="BI550" s="182"/>
      <c r="BJ550" s="182"/>
      <c r="BK550" s="182"/>
      <c r="BL550" s="182"/>
      <c r="BM550" s="182"/>
      <c r="BN550" s="182"/>
      <c r="BO550" s="182"/>
      <c r="BP550" s="182"/>
      <c r="BQ550" s="182"/>
      <c r="BR550" s="182"/>
      <c r="BS550" s="182"/>
      <c r="BT550" s="182"/>
      <c r="BU550" s="182"/>
      <c r="BV550" s="182"/>
      <c r="BW550" s="182"/>
      <c r="BX550" s="182"/>
      <c r="BY550" s="182"/>
      <c r="BZ550" s="182"/>
      <c r="CA550" s="182"/>
      <c r="CB550" s="185"/>
      <c r="CC550" s="185"/>
      <c r="CD550" s="185"/>
      <c r="CE550" s="185"/>
    </row>
    <row r="551" spans="2:83" s="197" customFormat="1" ht="37.5" x14ac:dyDescent="0.3">
      <c r="B551" s="182"/>
      <c r="C551" s="182">
        <v>926</v>
      </c>
      <c r="D551" s="182" t="s">
        <v>1766</v>
      </c>
      <c r="E551" s="181" t="s">
        <v>4736</v>
      </c>
      <c r="F551" s="182"/>
      <c r="G551" s="182"/>
      <c r="H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2"/>
      <c r="AH551" s="182"/>
      <c r="AI551" s="182"/>
      <c r="AJ551" s="182"/>
      <c r="AK551" s="182"/>
      <c r="AL551" s="182"/>
      <c r="AM551" s="182"/>
      <c r="AN551" s="182"/>
      <c r="AO551" s="182"/>
      <c r="AP551" s="182"/>
      <c r="AQ551" s="185">
        <f t="shared" si="91"/>
        <v>0</v>
      </c>
      <c r="AR551" s="182"/>
      <c r="AS551" s="182"/>
      <c r="AT551" s="182"/>
      <c r="AU551" s="182"/>
      <c r="AV551" s="182"/>
      <c r="AW551" s="182"/>
      <c r="AX551" s="182"/>
      <c r="AY551" s="182"/>
      <c r="AZ551" s="182"/>
      <c r="BA551" s="182"/>
      <c r="BB551" s="182"/>
      <c r="BC551" s="182"/>
      <c r="BD551" s="182"/>
      <c r="BE551" s="182"/>
      <c r="BF551" s="182"/>
      <c r="BG551" s="182"/>
      <c r="BH551" s="182"/>
      <c r="BI551" s="182"/>
      <c r="BJ551" s="182"/>
      <c r="BK551" s="182"/>
      <c r="BL551" s="182"/>
      <c r="BM551" s="182"/>
      <c r="BN551" s="182"/>
      <c r="BO551" s="182"/>
      <c r="BP551" s="182"/>
      <c r="BQ551" s="182"/>
      <c r="BR551" s="182"/>
      <c r="BS551" s="182"/>
      <c r="BT551" s="182"/>
      <c r="BU551" s="182"/>
      <c r="BV551" s="182"/>
      <c r="BW551" s="182"/>
      <c r="BX551" s="182"/>
      <c r="BY551" s="182"/>
      <c r="BZ551" s="182"/>
      <c r="CA551" s="182"/>
      <c r="CB551" s="185"/>
      <c r="CC551" s="185"/>
      <c r="CD551" s="185"/>
      <c r="CE551" s="185"/>
    </row>
    <row r="552" spans="2:83" s="197" customFormat="1" ht="37.5" x14ac:dyDescent="0.3">
      <c r="B552" s="182"/>
      <c r="C552" s="182">
        <v>927</v>
      </c>
      <c r="D552" s="182" t="s">
        <v>1766</v>
      </c>
      <c r="E552" s="181" t="s">
        <v>4736</v>
      </c>
      <c r="F552" s="182"/>
      <c r="G552" s="182"/>
      <c r="H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2"/>
      <c r="AH552" s="182"/>
      <c r="AI552" s="182"/>
      <c r="AJ552" s="182"/>
      <c r="AK552" s="182"/>
      <c r="AL552" s="182"/>
      <c r="AM552" s="182"/>
      <c r="AN552" s="182"/>
      <c r="AO552" s="182"/>
      <c r="AP552" s="182"/>
      <c r="AQ552" s="185">
        <f t="shared" si="91"/>
        <v>0</v>
      </c>
      <c r="AR552" s="182"/>
      <c r="AS552" s="182"/>
      <c r="AT552" s="182"/>
      <c r="AU552" s="182"/>
      <c r="AV552" s="182"/>
      <c r="AW552" s="182"/>
      <c r="AX552" s="182"/>
      <c r="AY552" s="182"/>
      <c r="AZ552" s="182"/>
      <c r="BA552" s="182"/>
      <c r="BB552" s="182"/>
      <c r="BC552" s="182"/>
      <c r="BD552" s="182"/>
      <c r="BE552" s="182"/>
      <c r="BF552" s="182"/>
      <c r="BG552" s="182"/>
      <c r="BH552" s="182"/>
      <c r="BI552" s="182"/>
      <c r="BJ552" s="182"/>
      <c r="BK552" s="182"/>
      <c r="BL552" s="182"/>
      <c r="BM552" s="182"/>
      <c r="BN552" s="182"/>
      <c r="BO552" s="182"/>
      <c r="BP552" s="182"/>
      <c r="BQ552" s="182"/>
      <c r="BR552" s="182"/>
      <c r="BS552" s="182"/>
      <c r="BT552" s="182"/>
      <c r="BU552" s="182"/>
      <c r="BV552" s="182"/>
      <c r="BW552" s="182"/>
      <c r="BX552" s="182"/>
      <c r="BY552" s="182"/>
      <c r="BZ552" s="182"/>
      <c r="CA552" s="182"/>
      <c r="CB552" s="185"/>
      <c r="CC552" s="185"/>
      <c r="CD552" s="185"/>
      <c r="CE552" s="185"/>
    </row>
    <row r="553" spans="2:83" s="197" customFormat="1" ht="37.5" x14ac:dyDescent="0.3">
      <c r="B553" s="182"/>
      <c r="C553" s="182">
        <v>928</v>
      </c>
      <c r="D553" s="182" t="s">
        <v>1766</v>
      </c>
      <c r="E553" s="181" t="s">
        <v>4736</v>
      </c>
      <c r="F553" s="182"/>
      <c r="G553" s="182"/>
      <c r="H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  <c r="Z553" s="182"/>
      <c r="AA553" s="182"/>
      <c r="AB553" s="182"/>
      <c r="AC553" s="182"/>
      <c r="AD553" s="182"/>
      <c r="AE553" s="182"/>
      <c r="AF553" s="182"/>
      <c r="AG553" s="182"/>
      <c r="AH553" s="182"/>
      <c r="AI553" s="182"/>
      <c r="AJ553" s="182"/>
      <c r="AK553" s="182"/>
      <c r="AL553" s="182"/>
      <c r="AM553" s="182"/>
      <c r="AN553" s="182"/>
      <c r="AO553" s="182"/>
      <c r="AP553" s="182"/>
      <c r="AQ553" s="185">
        <f t="shared" si="91"/>
        <v>0</v>
      </c>
      <c r="AR553" s="182"/>
      <c r="AS553" s="182"/>
      <c r="AT553" s="182"/>
      <c r="AU553" s="182"/>
      <c r="AV553" s="182"/>
      <c r="AW553" s="182"/>
      <c r="AX553" s="182"/>
      <c r="AY553" s="182"/>
      <c r="AZ553" s="182"/>
      <c r="BA553" s="182"/>
      <c r="BB553" s="182"/>
      <c r="BC553" s="182"/>
      <c r="BD553" s="182"/>
      <c r="BE553" s="182"/>
      <c r="BF553" s="182"/>
      <c r="BG553" s="182"/>
      <c r="BH553" s="182"/>
      <c r="BI553" s="182"/>
      <c r="BJ553" s="182"/>
      <c r="BK553" s="182"/>
      <c r="BL553" s="182"/>
      <c r="BM553" s="182"/>
      <c r="BN553" s="182"/>
      <c r="BO553" s="182"/>
      <c r="BP553" s="182"/>
      <c r="BQ553" s="182"/>
      <c r="BR553" s="182"/>
      <c r="BS553" s="182"/>
      <c r="BT553" s="182"/>
      <c r="BU553" s="182"/>
      <c r="BV553" s="182"/>
      <c r="BW553" s="182"/>
      <c r="BX553" s="182"/>
      <c r="BY553" s="182"/>
      <c r="BZ553" s="182"/>
      <c r="CA553" s="182"/>
      <c r="CB553" s="185"/>
      <c r="CC553" s="185"/>
      <c r="CD553" s="185"/>
      <c r="CE553" s="185"/>
    </row>
    <row r="554" spans="2:83" s="197" customFormat="1" ht="18.75" x14ac:dyDescent="0.3">
      <c r="B554" s="188"/>
      <c r="C554" s="188"/>
      <c r="D554" s="188"/>
      <c r="E554" s="189" t="s">
        <v>4738</v>
      </c>
      <c r="F554" s="188"/>
      <c r="G554" s="188"/>
      <c r="H554" s="188"/>
      <c r="I554" s="188"/>
      <c r="J554" s="188"/>
      <c r="K554" s="188"/>
      <c r="L554" s="188"/>
      <c r="M554" s="188"/>
      <c r="N554" s="188"/>
      <c r="O554" s="188"/>
      <c r="P554" s="188"/>
      <c r="Q554" s="188"/>
      <c r="R554" s="188"/>
      <c r="S554" s="188"/>
      <c r="T554" s="188"/>
      <c r="U554" s="188"/>
      <c r="V554" s="188"/>
      <c r="W554" s="188"/>
      <c r="X554" s="188"/>
      <c r="Y554" s="188"/>
      <c r="Z554" s="188"/>
      <c r="AA554" s="188"/>
      <c r="AB554" s="188"/>
      <c r="AC554" s="188"/>
      <c r="AD554" s="188"/>
      <c r="AE554" s="188"/>
      <c r="AF554" s="188"/>
      <c r="AG554" s="188"/>
      <c r="AH554" s="188"/>
      <c r="AI554" s="188"/>
      <c r="AJ554" s="188"/>
      <c r="AK554" s="188"/>
      <c r="AL554" s="188"/>
      <c r="AM554" s="188"/>
      <c r="AN554" s="188"/>
      <c r="AO554" s="188"/>
      <c r="AP554" s="188"/>
      <c r="AQ554" s="188"/>
      <c r="AR554" s="188"/>
      <c r="AS554" s="188"/>
      <c r="AT554" s="188"/>
      <c r="AU554" s="188"/>
      <c r="AV554" s="188"/>
      <c r="AW554" s="188"/>
      <c r="AX554" s="188"/>
      <c r="AY554" s="188"/>
      <c r="AZ554" s="188"/>
      <c r="BA554" s="188"/>
      <c r="BB554" s="188"/>
      <c r="BC554" s="188"/>
      <c r="BD554" s="188"/>
      <c r="BE554" s="188"/>
      <c r="BF554" s="188"/>
      <c r="BG554" s="188"/>
      <c r="BH554" s="188"/>
      <c r="BI554" s="188"/>
      <c r="BJ554" s="188"/>
      <c r="BK554" s="188"/>
      <c r="BL554" s="188"/>
      <c r="BM554" s="188"/>
      <c r="BN554" s="188"/>
      <c r="BO554" s="188"/>
      <c r="BP554" s="188"/>
      <c r="BQ554" s="188"/>
      <c r="BR554" s="188"/>
      <c r="BS554" s="188"/>
      <c r="BT554" s="188"/>
      <c r="BU554" s="188"/>
      <c r="BV554" s="188"/>
      <c r="BW554" s="188"/>
      <c r="BX554" s="188"/>
      <c r="BY554" s="188"/>
      <c r="BZ554" s="188"/>
      <c r="CA554" s="188"/>
      <c r="CB554" s="188"/>
      <c r="CC554" s="188"/>
      <c r="CD554" s="188"/>
      <c r="CE554" s="188"/>
    </row>
    <row r="555" spans="2:83" s="197" customFormat="1" ht="37.5" x14ac:dyDescent="0.3">
      <c r="B555" s="182"/>
      <c r="C555" s="182">
        <v>929</v>
      </c>
      <c r="D555" s="182" t="s">
        <v>4635</v>
      </c>
      <c r="E555" s="181" t="s">
        <v>4736</v>
      </c>
      <c r="F555" s="182"/>
      <c r="G555" s="182"/>
      <c r="H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2"/>
      <c r="AH555" s="182"/>
      <c r="AI555" s="182"/>
      <c r="AJ555" s="182"/>
      <c r="AK555" s="182"/>
      <c r="AL555" s="182"/>
      <c r="AM555" s="182"/>
      <c r="AN555" s="182"/>
      <c r="AO555" s="182"/>
      <c r="AP555" s="182"/>
      <c r="AQ555" s="185">
        <f t="shared" ref="AQ555:AQ570" si="92">SUM(G555:AP555)</f>
        <v>0</v>
      </c>
      <c r="AR555" s="182"/>
      <c r="AS555" s="182"/>
      <c r="AT555" s="182"/>
      <c r="AU555" s="182"/>
      <c r="AV555" s="182"/>
      <c r="AW555" s="182"/>
      <c r="AX555" s="182"/>
      <c r="AY555" s="182"/>
      <c r="AZ555" s="182"/>
      <c r="BA555" s="182"/>
      <c r="BB555" s="182"/>
      <c r="BC555" s="182"/>
      <c r="BD555" s="182"/>
      <c r="BE555" s="182"/>
      <c r="BF555" s="182"/>
      <c r="BG555" s="182"/>
      <c r="BH555" s="182"/>
      <c r="BI555" s="182"/>
      <c r="BJ555" s="182"/>
      <c r="BK555" s="182"/>
      <c r="BL555" s="182"/>
      <c r="BM555" s="182"/>
      <c r="BN555" s="182"/>
      <c r="BO555" s="182"/>
      <c r="BP555" s="182"/>
      <c r="BQ555" s="182"/>
      <c r="BR555" s="182"/>
      <c r="BS555" s="182"/>
      <c r="BT555" s="182"/>
      <c r="BU555" s="182"/>
      <c r="BV555" s="182"/>
      <c r="BW555" s="182"/>
      <c r="BX555" s="182"/>
      <c r="BY555" s="182"/>
      <c r="BZ555" s="182"/>
      <c r="CA555" s="182"/>
      <c r="CB555" s="185"/>
      <c r="CC555" s="185"/>
      <c r="CD555" s="185"/>
      <c r="CE555" s="185"/>
    </row>
    <row r="556" spans="2:83" s="197" customFormat="1" ht="37.5" x14ac:dyDescent="0.3">
      <c r="B556" s="182"/>
      <c r="C556" s="182">
        <v>930</v>
      </c>
      <c r="D556" s="182" t="s">
        <v>4635</v>
      </c>
      <c r="E556" s="181" t="s">
        <v>4736</v>
      </c>
      <c r="F556" s="182"/>
      <c r="G556" s="182"/>
      <c r="H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  <c r="Z556" s="182"/>
      <c r="AA556" s="182"/>
      <c r="AB556" s="182"/>
      <c r="AC556" s="182"/>
      <c r="AD556" s="182"/>
      <c r="AE556" s="182"/>
      <c r="AF556" s="182"/>
      <c r="AG556" s="182"/>
      <c r="AH556" s="182"/>
      <c r="AI556" s="182"/>
      <c r="AJ556" s="182"/>
      <c r="AK556" s="182"/>
      <c r="AL556" s="182"/>
      <c r="AM556" s="182"/>
      <c r="AN556" s="182"/>
      <c r="AO556" s="182"/>
      <c r="AP556" s="182"/>
      <c r="AQ556" s="185">
        <f t="shared" si="92"/>
        <v>0</v>
      </c>
      <c r="AR556" s="182"/>
      <c r="AS556" s="182"/>
      <c r="AT556" s="182"/>
      <c r="AU556" s="182"/>
      <c r="AV556" s="182"/>
      <c r="AW556" s="182"/>
      <c r="AX556" s="182"/>
      <c r="AY556" s="182"/>
      <c r="AZ556" s="182"/>
      <c r="BA556" s="182"/>
      <c r="BB556" s="182"/>
      <c r="BC556" s="182"/>
      <c r="BD556" s="182"/>
      <c r="BE556" s="182"/>
      <c r="BF556" s="182"/>
      <c r="BG556" s="182"/>
      <c r="BH556" s="182"/>
      <c r="BI556" s="182"/>
      <c r="BJ556" s="182"/>
      <c r="BK556" s="182"/>
      <c r="BL556" s="182"/>
      <c r="BM556" s="182"/>
      <c r="BN556" s="182"/>
      <c r="BO556" s="182"/>
      <c r="BP556" s="182"/>
      <c r="BQ556" s="182"/>
      <c r="BR556" s="182"/>
      <c r="BS556" s="182"/>
      <c r="BT556" s="182"/>
      <c r="BU556" s="182"/>
      <c r="BV556" s="182"/>
      <c r="BW556" s="182"/>
      <c r="BX556" s="182"/>
      <c r="BY556" s="182"/>
      <c r="BZ556" s="182"/>
      <c r="CA556" s="182"/>
      <c r="CB556" s="185"/>
      <c r="CC556" s="185"/>
      <c r="CD556" s="185"/>
      <c r="CE556" s="185"/>
    </row>
    <row r="557" spans="2:83" s="197" customFormat="1" ht="37.5" x14ac:dyDescent="0.3">
      <c r="B557" s="182"/>
      <c r="C557" s="182">
        <v>931</v>
      </c>
      <c r="D557" s="182" t="s">
        <v>4635</v>
      </c>
      <c r="E557" s="181" t="s">
        <v>4736</v>
      </c>
      <c r="F557" s="182"/>
      <c r="G557" s="182"/>
      <c r="H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  <c r="Z557" s="182"/>
      <c r="AA557" s="182"/>
      <c r="AB557" s="182"/>
      <c r="AC557" s="182"/>
      <c r="AD557" s="182"/>
      <c r="AE557" s="182"/>
      <c r="AF557" s="182"/>
      <c r="AG557" s="182"/>
      <c r="AH557" s="182"/>
      <c r="AI557" s="182"/>
      <c r="AJ557" s="182"/>
      <c r="AK557" s="182"/>
      <c r="AL557" s="182"/>
      <c r="AM557" s="182"/>
      <c r="AN557" s="182"/>
      <c r="AO557" s="182"/>
      <c r="AP557" s="182"/>
      <c r="AQ557" s="185">
        <f t="shared" si="92"/>
        <v>0</v>
      </c>
      <c r="AR557" s="182"/>
      <c r="AS557" s="182"/>
      <c r="AT557" s="182"/>
      <c r="AU557" s="182"/>
      <c r="AV557" s="182"/>
      <c r="AW557" s="182"/>
      <c r="AX557" s="182"/>
      <c r="AY557" s="182"/>
      <c r="AZ557" s="182"/>
      <c r="BA557" s="182"/>
      <c r="BB557" s="182"/>
      <c r="BC557" s="182"/>
      <c r="BD557" s="182"/>
      <c r="BE557" s="182"/>
      <c r="BF557" s="182"/>
      <c r="BG557" s="182"/>
      <c r="BH557" s="182"/>
      <c r="BI557" s="182"/>
      <c r="BJ557" s="182"/>
      <c r="BK557" s="182"/>
      <c r="BL557" s="182"/>
      <c r="BM557" s="182"/>
      <c r="BN557" s="182"/>
      <c r="BO557" s="182"/>
      <c r="BP557" s="182"/>
      <c r="BQ557" s="182"/>
      <c r="BR557" s="182"/>
      <c r="BS557" s="182"/>
      <c r="BT557" s="182"/>
      <c r="BU557" s="182"/>
      <c r="BV557" s="182"/>
      <c r="BW557" s="182"/>
      <c r="BX557" s="182"/>
      <c r="BY557" s="182"/>
      <c r="BZ557" s="182"/>
      <c r="CA557" s="182"/>
      <c r="CB557" s="185"/>
      <c r="CC557" s="185"/>
      <c r="CD557" s="185"/>
      <c r="CE557" s="185"/>
    </row>
    <row r="558" spans="2:83" s="197" customFormat="1" ht="37.5" x14ac:dyDescent="0.3">
      <c r="B558" s="182"/>
      <c r="C558" s="182">
        <v>932</v>
      </c>
      <c r="D558" s="182" t="s">
        <v>4635</v>
      </c>
      <c r="E558" s="181" t="s">
        <v>4736</v>
      </c>
      <c r="F558" s="182"/>
      <c r="G558" s="182"/>
      <c r="H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  <c r="Z558" s="182"/>
      <c r="AA558" s="182"/>
      <c r="AB558" s="182"/>
      <c r="AC558" s="182"/>
      <c r="AD558" s="182"/>
      <c r="AE558" s="182"/>
      <c r="AF558" s="182"/>
      <c r="AG558" s="182"/>
      <c r="AH558" s="182"/>
      <c r="AI558" s="182"/>
      <c r="AJ558" s="182"/>
      <c r="AK558" s="182"/>
      <c r="AL558" s="182"/>
      <c r="AM558" s="182"/>
      <c r="AN558" s="182"/>
      <c r="AO558" s="182"/>
      <c r="AP558" s="182"/>
      <c r="AQ558" s="185">
        <f t="shared" si="92"/>
        <v>0</v>
      </c>
      <c r="AR558" s="182"/>
      <c r="AS558" s="182"/>
      <c r="AT558" s="182"/>
      <c r="AU558" s="182"/>
      <c r="AV558" s="182"/>
      <c r="AW558" s="182"/>
      <c r="AX558" s="182"/>
      <c r="AY558" s="182"/>
      <c r="AZ558" s="182"/>
      <c r="BA558" s="182"/>
      <c r="BB558" s="182"/>
      <c r="BC558" s="182"/>
      <c r="BD558" s="182"/>
      <c r="BE558" s="182"/>
      <c r="BF558" s="182"/>
      <c r="BG558" s="182"/>
      <c r="BH558" s="182"/>
      <c r="BI558" s="182"/>
      <c r="BJ558" s="182"/>
      <c r="BK558" s="182"/>
      <c r="BL558" s="182"/>
      <c r="BM558" s="182"/>
      <c r="BN558" s="182"/>
      <c r="BO558" s="182"/>
      <c r="BP558" s="182"/>
      <c r="BQ558" s="182"/>
      <c r="BR558" s="182"/>
      <c r="BS558" s="182"/>
      <c r="BT558" s="182"/>
      <c r="BU558" s="182"/>
      <c r="BV558" s="182"/>
      <c r="BW558" s="182"/>
      <c r="BX558" s="182"/>
      <c r="BY558" s="182"/>
      <c r="BZ558" s="182"/>
      <c r="CA558" s="182"/>
      <c r="CB558" s="185"/>
      <c r="CC558" s="185"/>
      <c r="CD558" s="185"/>
      <c r="CE558" s="185"/>
    </row>
    <row r="559" spans="2:83" s="197" customFormat="1" ht="37.5" x14ac:dyDescent="0.3">
      <c r="B559" s="182"/>
      <c r="C559" s="182">
        <v>933</v>
      </c>
      <c r="D559" s="182" t="s">
        <v>4635</v>
      </c>
      <c r="E559" s="181" t="s">
        <v>4736</v>
      </c>
      <c r="F559" s="182"/>
      <c r="G559" s="182"/>
      <c r="H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  <c r="Z559" s="182"/>
      <c r="AA559" s="182"/>
      <c r="AB559" s="182"/>
      <c r="AC559" s="182"/>
      <c r="AD559" s="182"/>
      <c r="AE559" s="182"/>
      <c r="AF559" s="182"/>
      <c r="AG559" s="182"/>
      <c r="AH559" s="182"/>
      <c r="AI559" s="182"/>
      <c r="AJ559" s="182"/>
      <c r="AK559" s="182"/>
      <c r="AL559" s="182"/>
      <c r="AM559" s="182"/>
      <c r="AN559" s="182"/>
      <c r="AO559" s="182"/>
      <c r="AP559" s="182"/>
      <c r="AQ559" s="185">
        <f t="shared" si="92"/>
        <v>0</v>
      </c>
      <c r="AR559" s="182"/>
      <c r="AS559" s="182"/>
      <c r="AT559" s="182"/>
      <c r="AU559" s="182"/>
      <c r="AV559" s="182"/>
      <c r="AW559" s="182"/>
      <c r="AX559" s="182"/>
      <c r="AY559" s="182"/>
      <c r="AZ559" s="182"/>
      <c r="BA559" s="182"/>
      <c r="BB559" s="182"/>
      <c r="BC559" s="182"/>
      <c r="BD559" s="182"/>
      <c r="BE559" s="182"/>
      <c r="BF559" s="182"/>
      <c r="BG559" s="182"/>
      <c r="BH559" s="182"/>
      <c r="BI559" s="182"/>
      <c r="BJ559" s="182"/>
      <c r="BK559" s="182"/>
      <c r="BL559" s="182"/>
      <c r="BM559" s="182"/>
      <c r="BN559" s="182"/>
      <c r="BO559" s="182"/>
      <c r="BP559" s="182"/>
      <c r="BQ559" s="182"/>
      <c r="BR559" s="182"/>
      <c r="BS559" s="182"/>
      <c r="BT559" s="182"/>
      <c r="BU559" s="182"/>
      <c r="BV559" s="182"/>
      <c r="BW559" s="182"/>
      <c r="BX559" s="182"/>
      <c r="BY559" s="182"/>
      <c r="BZ559" s="182"/>
      <c r="CA559" s="182"/>
      <c r="CB559" s="185"/>
      <c r="CC559" s="185"/>
      <c r="CD559" s="185"/>
      <c r="CE559" s="185"/>
    </row>
    <row r="560" spans="2:83" s="197" customFormat="1" ht="18.75" x14ac:dyDescent="0.3">
      <c r="B560" s="185"/>
      <c r="C560" s="185"/>
      <c r="D560" s="185"/>
      <c r="E560" s="184" t="s">
        <v>4739</v>
      </c>
      <c r="F560" s="185"/>
      <c r="G560" s="185"/>
      <c r="H560" s="185"/>
      <c r="I560" s="185"/>
      <c r="J560" s="185"/>
      <c r="K560" s="185"/>
      <c r="L560" s="185"/>
      <c r="M560" s="185"/>
      <c r="N560" s="185"/>
      <c r="O560" s="185"/>
      <c r="P560" s="185"/>
      <c r="Q560" s="185"/>
      <c r="R560" s="185"/>
      <c r="S560" s="185"/>
      <c r="T560" s="185"/>
      <c r="U560" s="185"/>
      <c r="V560" s="185"/>
      <c r="W560" s="185"/>
      <c r="X560" s="185"/>
      <c r="Y560" s="185"/>
      <c r="Z560" s="185"/>
      <c r="AA560" s="185"/>
      <c r="AB560" s="185"/>
      <c r="AC560" s="185"/>
      <c r="AD560" s="185"/>
      <c r="AE560" s="185"/>
      <c r="AF560" s="185"/>
      <c r="AG560" s="185"/>
      <c r="AH560" s="185"/>
      <c r="AI560" s="185"/>
      <c r="AJ560" s="185"/>
      <c r="AK560" s="185"/>
      <c r="AL560" s="185"/>
      <c r="AM560" s="185"/>
      <c r="AN560" s="185"/>
      <c r="AO560" s="185"/>
      <c r="AP560" s="185"/>
      <c r="AQ560" s="185">
        <f t="shared" si="92"/>
        <v>0</v>
      </c>
      <c r="AR560" s="185"/>
      <c r="AS560" s="185"/>
      <c r="AT560" s="185"/>
      <c r="AU560" s="185"/>
      <c r="AV560" s="185"/>
      <c r="AW560" s="185"/>
      <c r="AX560" s="185"/>
      <c r="AY560" s="185"/>
      <c r="AZ560" s="185"/>
      <c r="BA560" s="185"/>
      <c r="BB560" s="185"/>
      <c r="BC560" s="185"/>
      <c r="BD560" s="185"/>
      <c r="BE560" s="185"/>
      <c r="BF560" s="185"/>
      <c r="BG560" s="185"/>
      <c r="BH560" s="185"/>
      <c r="BI560" s="185"/>
      <c r="BJ560" s="185"/>
      <c r="BK560" s="185"/>
      <c r="BL560" s="185"/>
      <c r="BM560" s="185"/>
      <c r="BN560" s="185"/>
      <c r="BO560" s="185"/>
      <c r="BP560" s="185"/>
      <c r="BQ560" s="185"/>
      <c r="BR560" s="185"/>
      <c r="BS560" s="185"/>
      <c r="BT560" s="185"/>
      <c r="BU560" s="185"/>
      <c r="BV560" s="185"/>
      <c r="BW560" s="185"/>
      <c r="BX560" s="185"/>
      <c r="BY560" s="185"/>
      <c r="BZ560" s="185"/>
      <c r="CA560" s="185"/>
      <c r="CB560" s="185">
        <f t="shared" ref="CB560:CB570" si="93">SUM(AR560:CA560)</f>
        <v>0</v>
      </c>
      <c r="CC560" s="185">
        <f t="shared" ref="CC560:CC570" si="94">+CB560-AQ560</f>
        <v>0</v>
      </c>
      <c r="CD560" s="185">
        <f t="shared" ref="CD560:CD570" si="95">+C560</f>
        <v>0</v>
      </c>
      <c r="CE560" s="185" t="e">
        <f>+#REF!</f>
        <v>#REF!</v>
      </c>
    </row>
    <row r="561" spans="2:83" s="197" customFormat="1" ht="56.25" x14ac:dyDescent="0.3">
      <c r="B561" s="182"/>
      <c r="C561" s="182"/>
      <c r="D561" s="182" t="s">
        <v>122</v>
      </c>
      <c r="E561" s="181" t="s">
        <v>4740</v>
      </c>
      <c r="F561" s="182"/>
      <c r="G561" s="182"/>
      <c r="H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2"/>
      <c r="AH561" s="182"/>
      <c r="AI561" s="182"/>
      <c r="AJ561" s="182"/>
      <c r="AK561" s="182"/>
      <c r="AL561" s="182"/>
      <c r="AM561" s="182"/>
      <c r="AN561" s="182"/>
      <c r="AO561" s="182"/>
      <c r="AP561" s="182">
        <v>200</v>
      </c>
      <c r="AQ561" s="185">
        <f t="shared" si="92"/>
        <v>200</v>
      </c>
      <c r="AR561" s="182"/>
      <c r="AS561" s="182"/>
      <c r="AT561" s="182"/>
      <c r="AU561" s="182"/>
      <c r="AV561" s="182"/>
      <c r="AW561" s="182"/>
      <c r="AX561" s="182"/>
      <c r="AY561" s="182"/>
      <c r="AZ561" s="182"/>
      <c r="BA561" s="182"/>
      <c r="BB561" s="182"/>
      <c r="BC561" s="182"/>
      <c r="BD561" s="182"/>
      <c r="BE561" s="182"/>
      <c r="BF561" s="182"/>
      <c r="BG561" s="182"/>
      <c r="BH561" s="182"/>
      <c r="BI561" s="182"/>
      <c r="BJ561" s="182"/>
      <c r="BK561" s="182"/>
      <c r="BL561" s="182"/>
      <c r="BM561" s="182"/>
      <c r="BN561" s="182"/>
      <c r="BO561" s="182"/>
      <c r="BP561" s="182"/>
      <c r="BQ561" s="182"/>
      <c r="BR561" s="182"/>
      <c r="BS561" s="182"/>
      <c r="BT561" s="182"/>
      <c r="BU561" s="182"/>
      <c r="BV561" s="182"/>
      <c r="BW561" s="182"/>
      <c r="BX561" s="182"/>
      <c r="BY561" s="182"/>
      <c r="BZ561" s="182"/>
      <c r="CA561" s="182">
        <v>200</v>
      </c>
      <c r="CB561" s="185">
        <f t="shared" si="93"/>
        <v>200</v>
      </c>
      <c r="CC561" s="185">
        <f t="shared" si="94"/>
        <v>0</v>
      </c>
      <c r="CD561" s="185">
        <f t="shared" si="95"/>
        <v>0</v>
      </c>
      <c r="CE561" s="185" t="e">
        <f>+#REF!</f>
        <v>#REF!</v>
      </c>
    </row>
    <row r="562" spans="2:83" s="197" customFormat="1" ht="56.25" x14ac:dyDescent="0.3">
      <c r="B562" s="182"/>
      <c r="C562" s="182"/>
      <c r="D562" s="182" t="s">
        <v>122</v>
      </c>
      <c r="E562" s="181" t="s">
        <v>4740</v>
      </c>
      <c r="F562" s="182"/>
      <c r="G562" s="182"/>
      <c r="H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  <c r="Z562" s="182"/>
      <c r="AA562" s="182"/>
      <c r="AB562" s="182"/>
      <c r="AC562" s="182"/>
      <c r="AD562" s="182"/>
      <c r="AE562" s="182"/>
      <c r="AF562" s="182"/>
      <c r="AG562" s="182"/>
      <c r="AH562" s="182"/>
      <c r="AI562" s="182"/>
      <c r="AJ562" s="182"/>
      <c r="AK562" s="182"/>
      <c r="AL562" s="182"/>
      <c r="AM562" s="182"/>
      <c r="AN562" s="182"/>
      <c r="AO562" s="182"/>
      <c r="AP562" s="182">
        <v>250</v>
      </c>
      <c r="AQ562" s="185">
        <f t="shared" si="92"/>
        <v>250</v>
      </c>
      <c r="AR562" s="182"/>
      <c r="AS562" s="182"/>
      <c r="AT562" s="182"/>
      <c r="AU562" s="182"/>
      <c r="AV562" s="182"/>
      <c r="AW562" s="182"/>
      <c r="AX562" s="182"/>
      <c r="AY562" s="182"/>
      <c r="AZ562" s="182"/>
      <c r="BA562" s="182"/>
      <c r="BB562" s="182"/>
      <c r="BC562" s="182"/>
      <c r="BD562" s="182"/>
      <c r="BE562" s="182"/>
      <c r="BF562" s="182"/>
      <c r="BG562" s="182"/>
      <c r="BH562" s="182"/>
      <c r="BI562" s="182"/>
      <c r="BJ562" s="182"/>
      <c r="BK562" s="182"/>
      <c r="BL562" s="182"/>
      <c r="BM562" s="182"/>
      <c r="BN562" s="182"/>
      <c r="BO562" s="182"/>
      <c r="BP562" s="182"/>
      <c r="BQ562" s="182"/>
      <c r="BR562" s="182"/>
      <c r="BS562" s="182"/>
      <c r="BT562" s="182"/>
      <c r="BU562" s="182"/>
      <c r="BV562" s="182"/>
      <c r="BW562" s="182"/>
      <c r="BX562" s="182"/>
      <c r="BY562" s="182"/>
      <c r="BZ562" s="182"/>
      <c r="CA562" s="182">
        <v>250</v>
      </c>
      <c r="CB562" s="185">
        <f t="shared" si="93"/>
        <v>250</v>
      </c>
      <c r="CC562" s="185">
        <f t="shared" si="94"/>
        <v>0</v>
      </c>
      <c r="CD562" s="185">
        <f t="shared" si="95"/>
        <v>0</v>
      </c>
      <c r="CE562" s="185" t="e">
        <f>+#REF!</f>
        <v>#REF!</v>
      </c>
    </row>
    <row r="563" spans="2:83" s="197" customFormat="1" ht="56.25" x14ac:dyDescent="0.3">
      <c r="B563" s="182"/>
      <c r="C563" s="182"/>
      <c r="D563" s="182" t="s">
        <v>122</v>
      </c>
      <c r="E563" s="181" t="s">
        <v>4741</v>
      </c>
      <c r="F563" s="182"/>
      <c r="G563" s="182"/>
      <c r="H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2"/>
      <c r="AH563" s="182"/>
      <c r="AI563" s="182"/>
      <c r="AJ563" s="182"/>
      <c r="AK563" s="182"/>
      <c r="AL563" s="182"/>
      <c r="AM563" s="182"/>
      <c r="AN563" s="182"/>
      <c r="AO563" s="182"/>
      <c r="AP563" s="182">
        <v>50</v>
      </c>
      <c r="AQ563" s="185">
        <f t="shared" si="92"/>
        <v>50</v>
      </c>
      <c r="AR563" s="182"/>
      <c r="AS563" s="182"/>
      <c r="AT563" s="182"/>
      <c r="AU563" s="182"/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182"/>
      <c r="BK563" s="182"/>
      <c r="BL563" s="182"/>
      <c r="BM563" s="182"/>
      <c r="BN563" s="182"/>
      <c r="BO563" s="182"/>
      <c r="BP563" s="182"/>
      <c r="BQ563" s="182"/>
      <c r="BR563" s="182"/>
      <c r="BS563" s="182"/>
      <c r="BT563" s="182"/>
      <c r="BU563" s="182"/>
      <c r="BV563" s="182"/>
      <c r="BW563" s="182"/>
      <c r="BX563" s="182"/>
      <c r="BY563" s="182"/>
      <c r="BZ563" s="182"/>
      <c r="CA563" s="182">
        <v>50</v>
      </c>
      <c r="CB563" s="185">
        <f t="shared" si="93"/>
        <v>50</v>
      </c>
      <c r="CC563" s="185">
        <f t="shared" si="94"/>
        <v>0</v>
      </c>
      <c r="CD563" s="185">
        <f t="shared" si="95"/>
        <v>0</v>
      </c>
      <c r="CE563" s="185" t="e">
        <f>+#REF!</f>
        <v>#REF!</v>
      </c>
    </row>
    <row r="564" spans="2:83" s="197" customFormat="1" ht="56.25" x14ac:dyDescent="0.3">
      <c r="B564" s="182"/>
      <c r="C564" s="182"/>
      <c r="D564" s="182" t="s">
        <v>122</v>
      </c>
      <c r="E564" s="181" t="s">
        <v>4742</v>
      </c>
      <c r="F564" s="182"/>
      <c r="G564" s="182"/>
      <c r="H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2"/>
      <c r="AH564" s="182"/>
      <c r="AI564" s="182"/>
      <c r="AJ564" s="182"/>
      <c r="AK564" s="182"/>
      <c r="AL564" s="182"/>
      <c r="AM564" s="182"/>
      <c r="AN564" s="182"/>
      <c r="AO564" s="182"/>
      <c r="AP564" s="182">
        <v>550</v>
      </c>
      <c r="AQ564" s="185">
        <f t="shared" si="92"/>
        <v>550</v>
      </c>
      <c r="AR564" s="182"/>
      <c r="AS564" s="182"/>
      <c r="AT564" s="182"/>
      <c r="AU564" s="182"/>
      <c r="AV564" s="182"/>
      <c r="AW564" s="182"/>
      <c r="AX564" s="182"/>
      <c r="AY564" s="182"/>
      <c r="AZ564" s="182"/>
      <c r="BA564" s="182"/>
      <c r="BB564" s="182"/>
      <c r="BC564" s="182"/>
      <c r="BD564" s="182"/>
      <c r="BE564" s="182"/>
      <c r="BF564" s="182"/>
      <c r="BG564" s="182"/>
      <c r="BH564" s="182"/>
      <c r="BI564" s="182"/>
      <c r="BJ564" s="182"/>
      <c r="BK564" s="182"/>
      <c r="BL564" s="182"/>
      <c r="BM564" s="182"/>
      <c r="BN564" s="182"/>
      <c r="BO564" s="182"/>
      <c r="BP564" s="182"/>
      <c r="BQ564" s="182"/>
      <c r="BR564" s="182"/>
      <c r="BS564" s="182"/>
      <c r="BT564" s="182"/>
      <c r="BU564" s="182"/>
      <c r="BV564" s="182"/>
      <c r="BW564" s="182"/>
      <c r="BX564" s="182"/>
      <c r="BY564" s="182"/>
      <c r="BZ564" s="182"/>
      <c r="CA564" s="182">
        <v>550</v>
      </c>
      <c r="CB564" s="185">
        <f t="shared" si="93"/>
        <v>550</v>
      </c>
      <c r="CC564" s="185">
        <f t="shared" si="94"/>
        <v>0</v>
      </c>
      <c r="CD564" s="185">
        <f t="shared" si="95"/>
        <v>0</v>
      </c>
      <c r="CE564" s="185" t="e">
        <f>+#REF!</f>
        <v>#REF!</v>
      </c>
    </row>
    <row r="565" spans="2:83" s="197" customFormat="1" ht="37.5" x14ac:dyDescent="0.3">
      <c r="B565" s="182"/>
      <c r="C565" s="182"/>
      <c r="D565" s="182" t="s">
        <v>4683</v>
      </c>
      <c r="E565" s="181" t="s">
        <v>4743</v>
      </c>
      <c r="F565" s="182"/>
      <c r="G565" s="182"/>
      <c r="H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  <c r="Z565" s="182"/>
      <c r="AA565" s="182"/>
      <c r="AB565" s="182"/>
      <c r="AC565" s="182"/>
      <c r="AD565" s="182"/>
      <c r="AE565" s="182"/>
      <c r="AF565" s="182"/>
      <c r="AG565" s="182"/>
      <c r="AH565" s="182"/>
      <c r="AI565" s="182"/>
      <c r="AJ565" s="182"/>
      <c r="AK565" s="182"/>
      <c r="AL565" s="182"/>
      <c r="AM565" s="182"/>
      <c r="AN565" s="182"/>
      <c r="AO565" s="182"/>
      <c r="AP565" s="182">
        <v>2030</v>
      </c>
      <c r="AQ565" s="185">
        <f t="shared" si="92"/>
        <v>2030</v>
      </c>
      <c r="AR565" s="182"/>
      <c r="AS565" s="182"/>
      <c r="AT565" s="182"/>
      <c r="AU565" s="182"/>
      <c r="AV565" s="182"/>
      <c r="AW565" s="182"/>
      <c r="AX565" s="182"/>
      <c r="AY565" s="182"/>
      <c r="AZ565" s="182"/>
      <c r="BA565" s="182"/>
      <c r="BB565" s="182"/>
      <c r="BC565" s="182"/>
      <c r="BD565" s="182"/>
      <c r="BE565" s="182"/>
      <c r="BF565" s="182"/>
      <c r="BG565" s="182"/>
      <c r="BH565" s="182"/>
      <c r="BI565" s="182"/>
      <c r="BJ565" s="182"/>
      <c r="BK565" s="182"/>
      <c r="BL565" s="182"/>
      <c r="BM565" s="182"/>
      <c r="BN565" s="182"/>
      <c r="BO565" s="182"/>
      <c r="BP565" s="182"/>
      <c r="BQ565" s="182"/>
      <c r="BR565" s="182"/>
      <c r="BS565" s="182"/>
      <c r="BT565" s="182"/>
      <c r="BU565" s="182"/>
      <c r="BV565" s="182"/>
      <c r="BW565" s="182"/>
      <c r="BX565" s="182"/>
      <c r="BY565" s="182"/>
      <c r="BZ565" s="182"/>
      <c r="CA565" s="182">
        <v>2030</v>
      </c>
      <c r="CB565" s="185">
        <f t="shared" si="93"/>
        <v>2030</v>
      </c>
      <c r="CC565" s="185">
        <f t="shared" si="94"/>
        <v>0</v>
      </c>
      <c r="CD565" s="185">
        <f t="shared" si="95"/>
        <v>0</v>
      </c>
      <c r="CE565" s="185" t="e">
        <f>+#REF!</f>
        <v>#REF!</v>
      </c>
    </row>
    <row r="566" spans="2:83" s="197" customFormat="1" ht="37.5" x14ac:dyDescent="0.3">
      <c r="B566" s="182"/>
      <c r="C566" s="182"/>
      <c r="D566" s="182" t="s">
        <v>4683</v>
      </c>
      <c r="E566" s="181" t="s">
        <v>4744</v>
      </c>
      <c r="F566" s="182"/>
      <c r="G566" s="182"/>
      <c r="H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2"/>
      <c r="AH566" s="182"/>
      <c r="AI566" s="182"/>
      <c r="AJ566" s="182"/>
      <c r="AK566" s="182"/>
      <c r="AL566" s="182"/>
      <c r="AM566" s="182"/>
      <c r="AN566" s="182"/>
      <c r="AO566" s="182"/>
      <c r="AP566" s="182">
        <v>1735</v>
      </c>
      <c r="AQ566" s="185">
        <f t="shared" si="92"/>
        <v>1735</v>
      </c>
      <c r="AR566" s="182"/>
      <c r="AS566" s="182"/>
      <c r="AT566" s="182"/>
      <c r="AU566" s="182"/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182"/>
      <c r="BK566" s="182"/>
      <c r="BL566" s="182"/>
      <c r="BM566" s="182"/>
      <c r="BN566" s="182"/>
      <c r="BO566" s="182"/>
      <c r="BP566" s="182"/>
      <c r="BQ566" s="182"/>
      <c r="BR566" s="182"/>
      <c r="BS566" s="182"/>
      <c r="BT566" s="182"/>
      <c r="BU566" s="182"/>
      <c r="BV566" s="182"/>
      <c r="BW566" s="182"/>
      <c r="BX566" s="182"/>
      <c r="BY566" s="182"/>
      <c r="BZ566" s="182"/>
      <c r="CA566" s="182">
        <v>1735</v>
      </c>
      <c r="CB566" s="185">
        <f t="shared" si="93"/>
        <v>1735</v>
      </c>
      <c r="CC566" s="185">
        <f t="shared" si="94"/>
        <v>0</v>
      </c>
      <c r="CD566" s="185">
        <f t="shared" si="95"/>
        <v>0</v>
      </c>
      <c r="CE566" s="185" t="e">
        <f>+#REF!</f>
        <v>#REF!</v>
      </c>
    </row>
    <row r="567" spans="2:83" s="197" customFormat="1" ht="37.5" x14ac:dyDescent="0.3">
      <c r="B567" s="182"/>
      <c r="C567" s="182"/>
      <c r="D567" s="182" t="s">
        <v>4683</v>
      </c>
      <c r="E567" s="181" t="s">
        <v>4745</v>
      </c>
      <c r="F567" s="182"/>
      <c r="G567" s="182"/>
      <c r="H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2"/>
      <c r="AH567" s="182"/>
      <c r="AI567" s="182"/>
      <c r="AJ567" s="182"/>
      <c r="AK567" s="182"/>
      <c r="AL567" s="182"/>
      <c r="AM567" s="182"/>
      <c r="AN567" s="182"/>
      <c r="AO567" s="182"/>
      <c r="AP567" s="182">
        <v>1050</v>
      </c>
      <c r="AQ567" s="185">
        <f t="shared" si="92"/>
        <v>1050</v>
      </c>
      <c r="AR567" s="182"/>
      <c r="AS567" s="182"/>
      <c r="AT567" s="182"/>
      <c r="AU567" s="182"/>
      <c r="AV567" s="182"/>
      <c r="AW567" s="182"/>
      <c r="AX567" s="182"/>
      <c r="AY567" s="182"/>
      <c r="AZ567" s="182"/>
      <c r="BA567" s="182"/>
      <c r="BB567" s="182"/>
      <c r="BC567" s="182"/>
      <c r="BD567" s="182"/>
      <c r="BE567" s="182"/>
      <c r="BF567" s="182"/>
      <c r="BG567" s="182"/>
      <c r="BH567" s="182"/>
      <c r="BI567" s="182"/>
      <c r="BJ567" s="182"/>
      <c r="BK567" s="182"/>
      <c r="BL567" s="182"/>
      <c r="BM567" s="182"/>
      <c r="BN567" s="182"/>
      <c r="BO567" s="182"/>
      <c r="BP567" s="182"/>
      <c r="BQ567" s="182"/>
      <c r="BR567" s="182"/>
      <c r="BS567" s="182"/>
      <c r="BT567" s="182"/>
      <c r="BU567" s="182"/>
      <c r="BV567" s="182"/>
      <c r="BW567" s="182"/>
      <c r="BX567" s="182"/>
      <c r="BY567" s="182"/>
      <c r="BZ567" s="182"/>
      <c r="CA567" s="182">
        <v>1050</v>
      </c>
      <c r="CB567" s="185">
        <f t="shared" si="93"/>
        <v>1050</v>
      </c>
      <c r="CC567" s="185">
        <f t="shared" si="94"/>
        <v>0</v>
      </c>
      <c r="CD567" s="185">
        <f t="shared" si="95"/>
        <v>0</v>
      </c>
      <c r="CE567" s="185" t="e">
        <f>+#REF!</f>
        <v>#REF!</v>
      </c>
    </row>
    <row r="568" spans="2:83" s="197" customFormat="1" ht="37.5" x14ac:dyDescent="0.3">
      <c r="B568" s="182"/>
      <c r="C568" s="182"/>
      <c r="D568" s="182" t="s">
        <v>4683</v>
      </c>
      <c r="E568" s="181" t="s">
        <v>4746</v>
      </c>
      <c r="F568" s="182"/>
      <c r="G568" s="182"/>
      <c r="H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  <c r="Z568" s="182"/>
      <c r="AA568" s="182"/>
      <c r="AB568" s="182"/>
      <c r="AC568" s="182"/>
      <c r="AD568" s="182"/>
      <c r="AE568" s="182"/>
      <c r="AF568" s="182"/>
      <c r="AG568" s="182"/>
      <c r="AH568" s="182"/>
      <c r="AI568" s="182"/>
      <c r="AJ568" s="182"/>
      <c r="AK568" s="182"/>
      <c r="AL568" s="182"/>
      <c r="AM568" s="182"/>
      <c r="AN568" s="182"/>
      <c r="AO568" s="182"/>
      <c r="AP568" s="182">
        <v>5810</v>
      </c>
      <c r="AQ568" s="185">
        <f t="shared" si="92"/>
        <v>5810</v>
      </c>
      <c r="AR568" s="182"/>
      <c r="AS568" s="182"/>
      <c r="AT568" s="182"/>
      <c r="AU568" s="182"/>
      <c r="AV568" s="182"/>
      <c r="AW568" s="182"/>
      <c r="AX568" s="182"/>
      <c r="AY568" s="182"/>
      <c r="AZ568" s="182"/>
      <c r="BA568" s="182"/>
      <c r="BB568" s="182"/>
      <c r="BC568" s="182"/>
      <c r="BD568" s="182"/>
      <c r="BE568" s="182"/>
      <c r="BF568" s="182"/>
      <c r="BG568" s="182"/>
      <c r="BH568" s="182"/>
      <c r="BI568" s="182"/>
      <c r="BJ568" s="182"/>
      <c r="BK568" s="182"/>
      <c r="BL568" s="182"/>
      <c r="BM568" s="182"/>
      <c r="BN568" s="182"/>
      <c r="BO568" s="182"/>
      <c r="BP568" s="182"/>
      <c r="BQ568" s="182"/>
      <c r="BR568" s="182"/>
      <c r="BS568" s="182"/>
      <c r="BT568" s="182"/>
      <c r="BU568" s="182"/>
      <c r="BV568" s="182"/>
      <c r="BW568" s="182"/>
      <c r="BX568" s="182"/>
      <c r="BY568" s="182"/>
      <c r="BZ568" s="182"/>
      <c r="CA568" s="182">
        <v>5810</v>
      </c>
      <c r="CB568" s="185">
        <f t="shared" si="93"/>
        <v>5810</v>
      </c>
      <c r="CC568" s="185">
        <f t="shared" si="94"/>
        <v>0</v>
      </c>
      <c r="CD568" s="185">
        <f t="shared" si="95"/>
        <v>0</v>
      </c>
      <c r="CE568" s="185" t="e">
        <f>+#REF!</f>
        <v>#REF!</v>
      </c>
    </row>
    <row r="569" spans="2:83" s="197" customFormat="1" ht="37.5" x14ac:dyDescent="0.3">
      <c r="B569" s="182"/>
      <c r="C569" s="182"/>
      <c r="D569" s="182" t="s">
        <v>4683</v>
      </c>
      <c r="E569" s="181" t="s">
        <v>4747</v>
      </c>
      <c r="F569" s="182"/>
      <c r="G569" s="182"/>
      <c r="H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2"/>
      <c r="AH569" s="182"/>
      <c r="AI569" s="182"/>
      <c r="AJ569" s="182"/>
      <c r="AK569" s="182"/>
      <c r="AL569" s="182"/>
      <c r="AM569" s="182"/>
      <c r="AN569" s="182"/>
      <c r="AO569" s="182"/>
      <c r="AP569" s="182">
        <v>9800</v>
      </c>
      <c r="AQ569" s="185">
        <f t="shared" si="92"/>
        <v>9800</v>
      </c>
      <c r="AR569" s="182"/>
      <c r="AS569" s="182"/>
      <c r="AT569" s="182"/>
      <c r="AU569" s="182"/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182"/>
      <c r="BK569" s="182"/>
      <c r="BL569" s="182"/>
      <c r="BM569" s="182"/>
      <c r="BN569" s="182"/>
      <c r="BO569" s="182"/>
      <c r="BP569" s="182"/>
      <c r="BQ569" s="182"/>
      <c r="BR569" s="182"/>
      <c r="BS569" s="182"/>
      <c r="BT569" s="182"/>
      <c r="BU569" s="182"/>
      <c r="BV569" s="182"/>
      <c r="BW569" s="182"/>
      <c r="BX569" s="182"/>
      <c r="BY569" s="182"/>
      <c r="BZ569" s="182"/>
      <c r="CA569" s="182">
        <v>9800</v>
      </c>
      <c r="CB569" s="185">
        <f t="shared" si="93"/>
        <v>9800</v>
      </c>
      <c r="CC569" s="185">
        <f t="shared" si="94"/>
        <v>0</v>
      </c>
      <c r="CD569" s="185">
        <f t="shared" si="95"/>
        <v>0</v>
      </c>
      <c r="CE569" s="185" t="e">
        <f>+#REF!</f>
        <v>#REF!</v>
      </c>
    </row>
    <row r="570" spans="2:83" s="197" customFormat="1" ht="56.25" x14ac:dyDescent="0.3">
      <c r="B570" s="182"/>
      <c r="C570" s="182"/>
      <c r="D570" s="182" t="s">
        <v>4748</v>
      </c>
      <c r="E570" s="181" t="s">
        <v>4749</v>
      </c>
      <c r="F570" s="182"/>
      <c r="G570" s="182"/>
      <c r="H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2"/>
      <c r="AH570" s="182"/>
      <c r="AI570" s="182">
        <v>2295</v>
      </c>
      <c r="AJ570" s="182"/>
      <c r="AK570" s="182"/>
      <c r="AL570" s="182"/>
      <c r="AM570" s="182"/>
      <c r="AN570" s="182"/>
      <c r="AO570" s="182"/>
      <c r="AP570" s="182"/>
      <c r="AQ570" s="185">
        <f t="shared" si="92"/>
        <v>2295</v>
      </c>
      <c r="AR570" s="182"/>
      <c r="AS570" s="182"/>
      <c r="AT570" s="182"/>
      <c r="AU570" s="182"/>
      <c r="AV570" s="182"/>
      <c r="AW570" s="182"/>
      <c r="AX570" s="182"/>
      <c r="AY570" s="182"/>
      <c r="AZ570" s="182"/>
      <c r="BA570" s="182"/>
      <c r="BB570" s="182"/>
      <c r="BC570" s="182"/>
      <c r="BD570" s="182"/>
      <c r="BE570" s="182"/>
      <c r="BF570" s="182"/>
      <c r="BG570" s="182"/>
      <c r="BH570" s="182"/>
      <c r="BI570" s="182"/>
      <c r="BJ570" s="182"/>
      <c r="BK570" s="182"/>
      <c r="BL570" s="182"/>
      <c r="BM570" s="182"/>
      <c r="BN570" s="182"/>
      <c r="BO570" s="182"/>
      <c r="BP570" s="182"/>
      <c r="BQ570" s="182"/>
      <c r="BR570" s="182"/>
      <c r="BS570" s="182">
        <v>2295</v>
      </c>
      <c r="BT570" s="182"/>
      <c r="BU570" s="182"/>
      <c r="BV570" s="182"/>
      <c r="BW570" s="182"/>
      <c r="BX570" s="182"/>
      <c r="BY570" s="182"/>
      <c r="BZ570" s="182"/>
      <c r="CA570" s="182"/>
      <c r="CB570" s="185">
        <f t="shared" si="93"/>
        <v>2295</v>
      </c>
      <c r="CC570" s="185">
        <f t="shared" si="94"/>
        <v>0</v>
      </c>
      <c r="CD570" s="185">
        <f t="shared" si="95"/>
        <v>0</v>
      </c>
      <c r="CE570" s="185" t="e">
        <f>+#REF!</f>
        <v>#REF!</v>
      </c>
    </row>
    <row r="571" spans="2:83" s="197" customFormat="1" ht="56.25" x14ac:dyDescent="0.3">
      <c r="B571" s="185"/>
      <c r="C571" s="185"/>
      <c r="D571" s="185"/>
      <c r="E571" s="184" t="s">
        <v>4750</v>
      </c>
      <c r="F571" s="185"/>
      <c r="G571" s="185"/>
      <c r="H571" s="185"/>
      <c r="I571" s="185"/>
      <c r="J571" s="185"/>
      <c r="K571" s="185"/>
      <c r="L571" s="185"/>
      <c r="M571" s="185"/>
      <c r="N571" s="185"/>
      <c r="O571" s="185"/>
      <c r="P571" s="185"/>
      <c r="Q571" s="185"/>
      <c r="R571" s="185"/>
      <c r="S571" s="185"/>
      <c r="T571" s="185"/>
      <c r="U571" s="185"/>
      <c r="V571" s="185"/>
      <c r="W571" s="185"/>
      <c r="X571" s="185"/>
      <c r="Y571" s="185"/>
      <c r="Z571" s="185"/>
      <c r="AA571" s="185"/>
      <c r="AB571" s="185"/>
      <c r="AC571" s="185"/>
      <c r="AD571" s="185"/>
      <c r="AE571" s="185"/>
      <c r="AF571" s="185"/>
      <c r="AG571" s="185"/>
      <c r="AH571" s="185"/>
      <c r="AI571" s="185">
        <f t="shared" ref="AI571:CD571" si="96">SUM(AI561:AI570)</f>
        <v>2295</v>
      </c>
      <c r="AJ571" s="185">
        <f t="shared" si="96"/>
        <v>0</v>
      </c>
      <c r="AK571" s="185">
        <f t="shared" si="96"/>
        <v>0</v>
      </c>
      <c r="AL571" s="185">
        <f t="shared" si="96"/>
        <v>0</v>
      </c>
      <c r="AM571" s="185">
        <f t="shared" si="96"/>
        <v>0</v>
      </c>
      <c r="AN571" s="185">
        <f t="shared" si="96"/>
        <v>0</v>
      </c>
      <c r="AO571" s="185">
        <f t="shared" si="96"/>
        <v>0</v>
      </c>
      <c r="AP571" s="185">
        <f t="shared" si="96"/>
        <v>21475</v>
      </c>
      <c r="AQ571" s="185">
        <f t="shared" si="96"/>
        <v>23770</v>
      </c>
      <c r="AR571" s="185">
        <f t="shared" si="96"/>
        <v>0</v>
      </c>
      <c r="AS571" s="185">
        <f t="shared" si="96"/>
        <v>0</v>
      </c>
      <c r="AT571" s="185">
        <f t="shared" si="96"/>
        <v>0</v>
      </c>
      <c r="AU571" s="185">
        <f t="shared" si="96"/>
        <v>0</v>
      </c>
      <c r="AV571" s="185">
        <f t="shared" si="96"/>
        <v>0</v>
      </c>
      <c r="AW571" s="185">
        <f t="shared" si="96"/>
        <v>0</v>
      </c>
      <c r="AX571" s="185">
        <f t="shared" si="96"/>
        <v>0</v>
      </c>
      <c r="AY571" s="185">
        <f t="shared" si="96"/>
        <v>0</v>
      </c>
      <c r="AZ571" s="185">
        <f t="shared" si="96"/>
        <v>0</v>
      </c>
      <c r="BA571" s="185">
        <f t="shared" si="96"/>
        <v>0</v>
      </c>
      <c r="BB571" s="185">
        <f t="shared" si="96"/>
        <v>0</v>
      </c>
      <c r="BC571" s="185">
        <f t="shared" si="96"/>
        <v>0</v>
      </c>
      <c r="BD571" s="185">
        <f t="shared" si="96"/>
        <v>0</v>
      </c>
      <c r="BE571" s="185">
        <f t="shared" si="96"/>
        <v>0</v>
      </c>
      <c r="BF571" s="185">
        <f t="shared" si="96"/>
        <v>0</v>
      </c>
      <c r="BG571" s="185">
        <f t="shared" si="96"/>
        <v>0</v>
      </c>
      <c r="BH571" s="185">
        <f t="shared" si="96"/>
        <v>0</v>
      </c>
      <c r="BI571" s="185">
        <f t="shared" si="96"/>
        <v>0</v>
      </c>
      <c r="BJ571" s="185">
        <f t="shared" si="96"/>
        <v>0</v>
      </c>
      <c r="BK571" s="185">
        <f t="shared" si="96"/>
        <v>0</v>
      </c>
      <c r="BL571" s="185">
        <f t="shared" si="96"/>
        <v>0</v>
      </c>
      <c r="BM571" s="185">
        <f t="shared" si="96"/>
        <v>0</v>
      </c>
      <c r="BN571" s="185">
        <f t="shared" si="96"/>
        <v>0</v>
      </c>
      <c r="BO571" s="185">
        <f t="shared" si="96"/>
        <v>0</v>
      </c>
      <c r="BP571" s="185">
        <f t="shared" si="96"/>
        <v>0</v>
      </c>
      <c r="BQ571" s="185">
        <f t="shared" si="96"/>
        <v>0</v>
      </c>
      <c r="BR571" s="185">
        <f t="shared" si="96"/>
        <v>0</v>
      </c>
      <c r="BS571" s="185">
        <f t="shared" si="96"/>
        <v>2295</v>
      </c>
      <c r="BT571" s="185">
        <f t="shared" si="96"/>
        <v>0</v>
      </c>
      <c r="BU571" s="185">
        <f t="shared" si="96"/>
        <v>0</v>
      </c>
      <c r="BV571" s="185">
        <f t="shared" si="96"/>
        <v>0</v>
      </c>
      <c r="BW571" s="185">
        <f t="shared" si="96"/>
        <v>0</v>
      </c>
      <c r="BX571" s="185">
        <f t="shared" si="96"/>
        <v>0</v>
      </c>
      <c r="BY571" s="185">
        <f t="shared" si="96"/>
        <v>0</v>
      </c>
      <c r="BZ571" s="185">
        <f t="shared" si="96"/>
        <v>0</v>
      </c>
      <c r="CA571" s="185">
        <f t="shared" si="96"/>
        <v>21475</v>
      </c>
      <c r="CB571" s="185">
        <f t="shared" si="96"/>
        <v>23770</v>
      </c>
      <c r="CC571" s="185">
        <f t="shared" si="96"/>
        <v>0</v>
      </c>
      <c r="CD571" s="185">
        <f t="shared" si="96"/>
        <v>0</v>
      </c>
      <c r="CE571" s="185"/>
    </row>
    <row r="572" spans="2:83" s="197" customFormat="1" ht="37.5" x14ac:dyDescent="0.3">
      <c r="B572" s="182">
        <v>1808</v>
      </c>
      <c r="C572" s="182">
        <v>934</v>
      </c>
      <c r="D572" s="182" t="s">
        <v>4624</v>
      </c>
      <c r="E572" s="181" t="s">
        <v>4751</v>
      </c>
      <c r="F572" s="182"/>
      <c r="G572" s="182">
        <v>5000</v>
      </c>
      <c r="H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182"/>
      <c r="AI572" s="182"/>
      <c r="AJ572" s="182"/>
      <c r="AK572" s="182"/>
      <c r="AL572" s="182"/>
      <c r="AM572" s="182"/>
      <c r="AN572" s="182"/>
      <c r="AO572" s="182"/>
      <c r="AP572" s="182"/>
      <c r="AQ572" s="185">
        <f t="shared" ref="AQ572:AQ603" si="97">SUM(G572:AP572)</f>
        <v>5000</v>
      </c>
      <c r="AR572" s="182">
        <v>4462.8500000000004</v>
      </c>
      <c r="AS572" s="182">
        <v>537.15</v>
      </c>
      <c r="AT572" s="182"/>
      <c r="AU572" s="182"/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182"/>
      <c r="BK572" s="182"/>
      <c r="BL572" s="182"/>
      <c r="BM572" s="182"/>
      <c r="BN572" s="182"/>
      <c r="BO572" s="182"/>
      <c r="BP572" s="182"/>
      <c r="BQ572" s="182"/>
      <c r="BR572" s="182"/>
      <c r="BS572" s="182"/>
      <c r="BT572" s="182"/>
      <c r="BU572" s="182"/>
      <c r="BV572" s="182"/>
      <c r="BW572" s="182"/>
      <c r="BX572" s="182"/>
      <c r="BY572" s="182"/>
      <c r="BZ572" s="182"/>
      <c r="CA572" s="182"/>
      <c r="CB572" s="185">
        <f t="shared" ref="CB572:CB603" si="98">SUM(AR572:CA572)</f>
        <v>5000</v>
      </c>
      <c r="CC572" s="185">
        <f t="shared" ref="CC572:CC603" si="99">+CB572-AQ572</f>
        <v>0</v>
      </c>
      <c r="CD572" s="185">
        <f t="shared" ref="CD572:CD603" si="100">+C572</f>
        <v>934</v>
      </c>
      <c r="CE572" s="185" t="e">
        <f>+#REF!</f>
        <v>#REF!</v>
      </c>
    </row>
    <row r="573" spans="2:83" s="197" customFormat="1" ht="37.5" x14ac:dyDescent="0.3">
      <c r="B573" s="182">
        <v>1325</v>
      </c>
      <c r="C573" s="182">
        <v>935</v>
      </c>
      <c r="D573" s="182" t="s">
        <v>4624</v>
      </c>
      <c r="E573" s="181" t="s">
        <v>4752</v>
      </c>
      <c r="F573" s="182"/>
      <c r="G573" s="182">
        <v>293.12</v>
      </c>
      <c r="H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182"/>
      <c r="AI573" s="182"/>
      <c r="AJ573" s="182"/>
      <c r="AK573" s="182"/>
      <c r="AL573" s="182"/>
      <c r="AM573" s="182"/>
      <c r="AN573" s="182"/>
      <c r="AO573" s="182"/>
      <c r="AP573" s="182"/>
      <c r="AQ573" s="185">
        <f t="shared" si="97"/>
        <v>293.12</v>
      </c>
      <c r="AR573" s="182">
        <v>196.45</v>
      </c>
      <c r="AS573" s="182">
        <v>26.05</v>
      </c>
      <c r="AT573" s="182">
        <v>70.62</v>
      </c>
      <c r="AU573" s="182"/>
      <c r="AV573" s="182"/>
      <c r="AW573" s="182"/>
      <c r="AX573" s="182"/>
      <c r="AY573" s="182"/>
      <c r="AZ573" s="182"/>
      <c r="BA573" s="182"/>
      <c r="BB573" s="182"/>
      <c r="BC573" s="182"/>
      <c r="BD573" s="182"/>
      <c r="BE573" s="182"/>
      <c r="BF573" s="182"/>
      <c r="BG573" s="182"/>
      <c r="BH573" s="182"/>
      <c r="BI573" s="182"/>
      <c r="BJ573" s="182"/>
      <c r="BK573" s="182"/>
      <c r="BL573" s="182"/>
      <c r="BM573" s="182"/>
      <c r="BN573" s="182"/>
      <c r="BO573" s="182"/>
      <c r="BP573" s="182"/>
      <c r="BQ573" s="182"/>
      <c r="BR573" s="182"/>
      <c r="BS573" s="182"/>
      <c r="BT573" s="182"/>
      <c r="BU573" s="182"/>
      <c r="BV573" s="182"/>
      <c r="BW573" s="182"/>
      <c r="BX573" s="182"/>
      <c r="BY573" s="182"/>
      <c r="BZ573" s="182"/>
      <c r="CA573" s="182"/>
      <c r="CB573" s="185">
        <f t="shared" si="98"/>
        <v>293.12</v>
      </c>
      <c r="CC573" s="185">
        <f t="shared" si="99"/>
        <v>0</v>
      </c>
      <c r="CD573" s="185">
        <f t="shared" si="100"/>
        <v>935</v>
      </c>
      <c r="CE573" s="185" t="e">
        <f>+#REF!</f>
        <v>#REF!</v>
      </c>
    </row>
    <row r="574" spans="2:83" s="197" customFormat="1" ht="37.5" x14ac:dyDescent="0.3">
      <c r="B574" s="182">
        <v>1324</v>
      </c>
      <c r="C574" s="182">
        <v>936</v>
      </c>
      <c r="D574" s="182" t="s">
        <v>4624</v>
      </c>
      <c r="E574" s="181" t="s">
        <v>4753</v>
      </c>
      <c r="F574" s="182"/>
      <c r="G574" s="182">
        <v>351.75</v>
      </c>
      <c r="H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  <c r="Z574" s="182"/>
      <c r="AA574" s="182"/>
      <c r="AB574" s="182"/>
      <c r="AC574" s="182"/>
      <c r="AD574" s="182"/>
      <c r="AE574" s="182"/>
      <c r="AF574" s="182"/>
      <c r="AG574" s="182"/>
      <c r="AH574" s="182"/>
      <c r="AI574" s="182"/>
      <c r="AJ574" s="182"/>
      <c r="AK574" s="182"/>
      <c r="AL574" s="182"/>
      <c r="AM574" s="182"/>
      <c r="AN574" s="182"/>
      <c r="AO574" s="182"/>
      <c r="AP574" s="182"/>
      <c r="AQ574" s="185">
        <f t="shared" si="97"/>
        <v>351.75</v>
      </c>
      <c r="AR574" s="182">
        <v>235.55</v>
      </c>
      <c r="AS574" s="182">
        <v>31.45</v>
      </c>
      <c r="AT574" s="182">
        <v>84.75</v>
      </c>
      <c r="AU574" s="182"/>
      <c r="AV574" s="182"/>
      <c r="AW574" s="182"/>
      <c r="AX574" s="182"/>
      <c r="AY574" s="182"/>
      <c r="AZ574" s="182"/>
      <c r="BA574" s="182"/>
      <c r="BB574" s="182"/>
      <c r="BC574" s="182"/>
      <c r="BD574" s="182"/>
      <c r="BE574" s="182"/>
      <c r="BF574" s="182"/>
      <c r="BG574" s="182"/>
      <c r="BH574" s="182"/>
      <c r="BI574" s="182"/>
      <c r="BJ574" s="182"/>
      <c r="BK574" s="182"/>
      <c r="BL574" s="182"/>
      <c r="BM574" s="182"/>
      <c r="BN574" s="182"/>
      <c r="BO574" s="182"/>
      <c r="BP574" s="182"/>
      <c r="BQ574" s="182"/>
      <c r="BR574" s="182"/>
      <c r="BS574" s="182"/>
      <c r="BT574" s="182"/>
      <c r="BU574" s="182"/>
      <c r="BV574" s="182"/>
      <c r="BW574" s="182"/>
      <c r="BX574" s="182"/>
      <c r="BY574" s="182"/>
      <c r="BZ574" s="182"/>
      <c r="CA574" s="182"/>
      <c r="CB574" s="185">
        <f t="shared" si="98"/>
        <v>351.75</v>
      </c>
      <c r="CC574" s="185">
        <f t="shared" si="99"/>
        <v>0</v>
      </c>
      <c r="CD574" s="185">
        <f t="shared" si="100"/>
        <v>936</v>
      </c>
      <c r="CE574" s="185" t="e">
        <f>+#REF!</f>
        <v>#REF!</v>
      </c>
    </row>
    <row r="575" spans="2:83" s="197" customFormat="1" ht="37.5" x14ac:dyDescent="0.3">
      <c r="B575" s="182">
        <v>1322</v>
      </c>
      <c r="C575" s="182">
        <v>937</v>
      </c>
      <c r="D575" s="182" t="s">
        <v>4624</v>
      </c>
      <c r="E575" s="181" t="s">
        <v>4754</v>
      </c>
      <c r="F575" s="182"/>
      <c r="G575" s="182">
        <v>25200</v>
      </c>
      <c r="H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2"/>
      <c r="AH575" s="182"/>
      <c r="AI575" s="182"/>
      <c r="AJ575" s="182"/>
      <c r="AK575" s="182"/>
      <c r="AL575" s="182"/>
      <c r="AM575" s="182"/>
      <c r="AN575" s="182"/>
      <c r="AO575" s="182"/>
      <c r="AP575" s="182"/>
      <c r="AQ575" s="185">
        <f t="shared" si="97"/>
        <v>25200</v>
      </c>
      <c r="AR575" s="182">
        <v>22482.05</v>
      </c>
      <c r="AS575" s="182">
        <v>2717.95</v>
      </c>
      <c r="AT575" s="182"/>
      <c r="AU575" s="182"/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182"/>
      <c r="BK575" s="182"/>
      <c r="BL575" s="182"/>
      <c r="BM575" s="182"/>
      <c r="BN575" s="182"/>
      <c r="BO575" s="182"/>
      <c r="BP575" s="182"/>
      <c r="BQ575" s="182"/>
      <c r="BR575" s="182"/>
      <c r="BS575" s="182"/>
      <c r="BT575" s="182"/>
      <c r="BU575" s="182"/>
      <c r="BV575" s="182"/>
      <c r="BW575" s="182"/>
      <c r="BX575" s="182"/>
      <c r="BY575" s="182"/>
      <c r="BZ575" s="182"/>
      <c r="CA575" s="182"/>
      <c r="CB575" s="185">
        <f t="shared" si="98"/>
        <v>25200</v>
      </c>
      <c r="CC575" s="185">
        <f t="shared" si="99"/>
        <v>0</v>
      </c>
      <c r="CD575" s="185">
        <f t="shared" si="100"/>
        <v>937</v>
      </c>
      <c r="CE575" s="185" t="e">
        <f>+#REF!</f>
        <v>#REF!</v>
      </c>
    </row>
    <row r="576" spans="2:83" s="197" customFormat="1" ht="37.5" x14ac:dyDescent="0.3">
      <c r="B576" s="182">
        <v>1320</v>
      </c>
      <c r="C576" s="182">
        <v>938</v>
      </c>
      <c r="D576" s="182" t="s">
        <v>4624</v>
      </c>
      <c r="E576" s="181" t="s">
        <v>4207</v>
      </c>
      <c r="F576" s="182"/>
      <c r="G576" s="182">
        <v>1524.25</v>
      </c>
      <c r="H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2"/>
      <c r="AH576" s="182"/>
      <c r="AI576" s="182"/>
      <c r="AJ576" s="182"/>
      <c r="AK576" s="182"/>
      <c r="AL576" s="182"/>
      <c r="AM576" s="182"/>
      <c r="AN576" s="182"/>
      <c r="AO576" s="182"/>
      <c r="AP576" s="182"/>
      <c r="AQ576" s="185">
        <f t="shared" si="97"/>
        <v>1524.25</v>
      </c>
      <c r="AR576" s="182">
        <v>1018.7</v>
      </c>
      <c r="AS576" s="182">
        <v>138.30000000000001</v>
      </c>
      <c r="AT576" s="182">
        <v>367.25</v>
      </c>
      <c r="AU576" s="182"/>
      <c r="AV576" s="182"/>
      <c r="AW576" s="182"/>
      <c r="AX576" s="182"/>
      <c r="AY576" s="182"/>
      <c r="AZ576" s="182"/>
      <c r="BA576" s="182"/>
      <c r="BB576" s="182"/>
      <c r="BC576" s="182"/>
      <c r="BD576" s="182"/>
      <c r="BE576" s="182"/>
      <c r="BF576" s="182"/>
      <c r="BG576" s="182"/>
      <c r="BH576" s="182"/>
      <c r="BI576" s="182"/>
      <c r="BJ576" s="182"/>
      <c r="BK576" s="182"/>
      <c r="BL576" s="182"/>
      <c r="BM576" s="182"/>
      <c r="BN576" s="182"/>
      <c r="BO576" s="182"/>
      <c r="BP576" s="182"/>
      <c r="BQ576" s="182"/>
      <c r="BR576" s="182"/>
      <c r="BS576" s="182"/>
      <c r="BT576" s="182"/>
      <c r="BU576" s="182"/>
      <c r="BV576" s="182"/>
      <c r="BW576" s="182"/>
      <c r="BX576" s="182"/>
      <c r="BY576" s="182"/>
      <c r="BZ576" s="182"/>
      <c r="CA576" s="182"/>
      <c r="CB576" s="185">
        <f t="shared" si="98"/>
        <v>1524.25</v>
      </c>
      <c r="CC576" s="185">
        <f t="shared" si="99"/>
        <v>0</v>
      </c>
      <c r="CD576" s="185">
        <f t="shared" si="100"/>
        <v>938</v>
      </c>
      <c r="CE576" s="185" t="e">
        <f>+#REF!</f>
        <v>#REF!</v>
      </c>
    </row>
    <row r="577" spans="2:83" s="197" customFormat="1" ht="37.5" x14ac:dyDescent="0.3">
      <c r="B577" s="182">
        <v>1333</v>
      </c>
      <c r="C577" s="182">
        <v>939</v>
      </c>
      <c r="D577" s="182" t="s">
        <v>4624</v>
      </c>
      <c r="E577" s="181" t="s">
        <v>4755</v>
      </c>
      <c r="F577" s="182"/>
      <c r="G577" s="182">
        <v>5465.63</v>
      </c>
      <c r="H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  <c r="Z577" s="182"/>
      <c r="AA577" s="182"/>
      <c r="AB577" s="182"/>
      <c r="AC577" s="182"/>
      <c r="AD577" s="182"/>
      <c r="AE577" s="182"/>
      <c r="AF577" s="182"/>
      <c r="AG577" s="182"/>
      <c r="AH577" s="182"/>
      <c r="AI577" s="182"/>
      <c r="AJ577" s="182"/>
      <c r="AK577" s="182"/>
      <c r="AL577" s="182"/>
      <c r="AM577" s="182"/>
      <c r="AN577" s="182"/>
      <c r="AO577" s="182"/>
      <c r="AP577" s="182"/>
      <c r="AQ577" s="185">
        <f t="shared" si="97"/>
        <v>5465.63</v>
      </c>
      <c r="AR577" s="182">
        <v>4551.25</v>
      </c>
      <c r="AS577" s="182">
        <v>561.25</v>
      </c>
      <c r="AT577" s="182">
        <v>353.13</v>
      </c>
      <c r="AU577" s="182"/>
      <c r="AV577" s="182"/>
      <c r="AW577" s="182"/>
      <c r="AX577" s="182"/>
      <c r="AY577" s="182"/>
      <c r="AZ577" s="182"/>
      <c r="BA577" s="182"/>
      <c r="BB577" s="182"/>
      <c r="BC577" s="182"/>
      <c r="BD577" s="182"/>
      <c r="BE577" s="182"/>
      <c r="BF577" s="182"/>
      <c r="BG577" s="182"/>
      <c r="BH577" s="182"/>
      <c r="BI577" s="182"/>
      <c r="BJ577" s="182"/>
      <c r="BK577" s="182"/>
      <c r="BL577" s="182"/>
      <c r="BM577" s="182"/>
      <c r="BN577" s="182"/>
      <c r="BO577" s="182"/>
      <c r="BP577" s="182"/>
      <c r="BQ577" s="182"/>
      <c r="BR577" s="182"/>
      <c r="BS577" s="182"/>
      <c r="BT577" s="182"/>
      <c r="BU577" s="182"/>
      <c r="BV577" s="182"/>
      <c r="BW577" s="182"/>
      <c r="BX577" s="182"/>
      <c r="BY577" s="182"/>
      <c r="BZ577" s="182"/>
      <c r="CA577" s="182"/>
      <c r="CB577" s="185">
        <f t="shared" si="98"/>
        <v>5465.63</v>
      </c>
      <c r="CC577" s="185">
        <f t="shared" si="99"/>
        <v>0</v>
      </c>
      <c r="CD577" s="185">
        <f t="shared" si="100"/>
        <v>939</v>
      </c>
      <c r="CE577" s="185" t="e">
        <f>+#REF!</f>
        <v>#REF!</v>
      </c>
    </row>
    <row r="578" spans="2:83" s="197" customFormat="1" ht="37.5" x14ac:dyDescent="0.3">
      <c r="B578" s="182">
        <v>1334</v>
      </c>
      <c r="C578" s="182">
        <v>940</v>
      </c>
      <c r="D578" s="182" t="s">
        <v>4624</v>
      </c>
      <c r="E578" s="181" t="s">
        <v>4755</v>
      </c>
      <c r="F578" s="182"/>
      <c r="G578" s="182">
        <v>586.25</v>
      </c>
      <c r="H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  <c r="Z578" s="182"/>
      <c r="AA578" s="182"/>
      <c r="AB578" s="182"/>
      <c r="AC578" s="182"/>
      <c r="AD578" s="182"/>
      <c r="AE578" s="182"/>
      <c r="AF578" s="182"/>
      <c r="AG578" s="182"/>
      <c r="AH578" s="182"/>
      <c r="AI578" s="182"/>
      <c r="AJ578" s="182"/>
      <c r="AK578" s="182"/>
      <c r="AL578" s="182"/>
      <c r="AM578" s="182"/>
      <c r="AN578" s="182"/>
      <c r="AO578" s="182"/>
      <c r="AP578" s="182"/>
      <c r="AQ578" s="185">
        <f t="shared" si="97"/>
        <v>586.25</v>
      </c>
      <c r="AR578" s="182">
        <v>391.85</v>
      </c>
      <c r="AS578" s="182">
        <f>50+3.15</f>
        <v>53.15</v>
      </c>
      <c r="AT578" s="182">
        <v>141.25</v>
      </c>
      <c r="AU578" s="182"/>
      <c r="AV578" s="182"/>
      <c r="AW578" s="182"/>
      <c r="AX578" s="182"/>
      <c r="AY578" s="182"/>
      <c r="AZ578" s="182"/>
      <c r="BA578" s="182"/>
      <c r="BB578" s="182"/>
      <c r="BC578" s="182"/>
      <c r="BD578" s="182"/>
      <c r="BE578" s="182"/>
      <c r="BF578" s="182"/>
      <c r="BG578" s="182"/>
      <c r="BH578" s="182"/>
      <c r="BI578" s="182"/>
      <c r="BJ578" s="182"/>
      <c r="BK578" s="182"/>
      <c r="BL578" s="182"/>
      <c r="BM578" s="182"/>
      <c r="BN578" s="182"/>
      <c r="BO578" s="182"/>
      <c r="BP578" s="182"/>
      <c r="BQ578" s="182"/>
      <c r="BR578" s="182"/>
      <c r="BS578" s="182"/>
      <c r="BT578" s="182"/>
      <c r="BU578" s="182"/>
      <c r="BV578" s="182"/>
      <c r="BW578" s="182"/>
      <c r="BX578" s="182"/>
      <c r="BY578" s="182"/>
      <c r="BZ578" s="182"/>
      <c r="CA578" s="182"/>
      <c r="CB578" s="185">
        <f t="shared" si="98"/>
        <v>586.25</v>
      </c>
      <c r="CC578" s="185">
        <f t="shared" si="99"/>
        <v>0</v>
      </c>
      <c r="CD578" s="185">
        <f t="shared" si="100"/>
        <v>940</v>
      </c>
      <c r="CE578" s="185" t="e">
        <f>+#REF!</f>
        <v>#REF!</v>
      </c>
    </row>
    <row r="579" spans="2:83" s="197" customFormat="1" ht="37.5" x14ac:dyDescent="0.3">
      <c r="B579" s="182">
        <v>1332</v>
      </c>
      <c r="C579" s="182">
        <v>941</v>
      </c>
      <c r="D579" s="182" t="s">
        <v>4624</v>
      </c>
      <c r="E579" s="181" t="s">
        <v>4755</v>
      </c>
      <c r="F579" s="182"/>
      <c r="G579" s="182">
        <v>879.38</v>
      </c>
      <c r="H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  <c r="Z579" s="182"/>
      <c r="AA579" s="182"/>
      <c r="AB579" s="182"/>
      <c r="AC579" s="182"/>
      <c r="AD579" s="182"/>
      <c r="AE579" s="182"/>
      <c r="AF579" s="182"/>
      <c r="AG579" s="182"/>
      <c r="AH579" s="182"/>
      <c r="AI579" s="182"/>
      <c r="AJ579" s="182"/>
      <c r="AK579" s="182"/>
      <c r="AL579" s="182"/>
      <c r="AM579" s="182"/>
      <c r="AN579" s="182"/>
      <c r="AO579" s="182"/>
      <c r="AP579" s="182"/>
      <c r="AQ579" s="185">
        <f t="shared" si="97"/>
        <v>879.38</v>
      </c>
      <c r="AR579" s="182">
        <v>588.15</v>
      </c>
      <c r="AS579" s="182">
        <v>79.349999999999994</v>
      </c>
      <c r="AT579" s="182">
        <v>211.88</v>
      </c>
      <c r="AU579" s="182"/>
      <c r="AV579" s="182"/>
      <c r="AW579" s="182"/>
      <c r="AX579" s="182"/>
      <c r="AY579" s="182"/>
      <c r="AZ579" s="182"/>
      <c r="BA579" s="182"/>
      <c r="BB579" s="182"/>
      <c r="BC579" s="182"/>
      <c r="BD579" s="182"/>
      <c r="BE579" s="182"/>
      <c r="BF579" s="182"/>
      <c r="BG579" s="182"/>
      <c r="BH579" s="182"/>
      <c r="BI579" s="182"/>
      <c r="BJ579" s="182"/>
      <c r="BK579" s="182"/>
      <c r="BL579" s="182"/>
      <c r="BM579" s="182"/>
      <c r="BN579" s="182"/>
      <c r="BO579" s="182"/>
      <c r="BP579" s="182"/>
      <c r="BQ579" s="182"/>
      <c r="BR579" s="182"/>
      <c r="BS579" s="182"/>
      <c r="BT579" s="182"/>
      <c r="BU579" s="182"/>
      <c r="BV579" s="182"/>
      <c r="BW579" s="182"/>
      <c r="BX579" s="182"/>
      <c r="BY579" s="182"/>
      <c r="BZ579" s="182"/>
      <c r="CA579" s="182"/>
      <c r="CB579" s="185">
        <f t="shared" si="98"/>
        <v>879.38</v>
      </c>
      <c r="CC579" s="185">
        <f t="shared" si="99"/>
        <v>0</v>
      </c>
      <c r="CD579" s="185">
        <f t="shared" si="100"/>
        <v>941</v>
      </c>
      <c r="CE579" s="185" t="e">
        <f>+#REF!</f>
        <v>#REF!</v>
      </c>
    </row>
    <row r="580" spans="2:83" s="197" customFormat="1" ht="37.5" x14ac:dyDescent="0.3">
      <c r="B580" s="182">
        <v>1331</v>
      </c>
      <c r="C580" s="182">
        <v>942</v>
      </c>
      <c r="D580" s="182" t="s">
        <v>4624</v>
      </c>
      <c r="E580" s="181" t="s">
        <v>4755</v>
      </c>
      <c r="F580" s="182"/>
      <c r="G580" s="182">
        <v>586.25</v>
      </c>
      <c r="H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  <c r="Z580" s="182"/>
      <c r="AA580" s="182"/>
      <c r="AB580" s="182"/>
      <c r="AC580" s="182"/>
      <c r="AD580" s="182"/>
      <c r="AE580" s="182"/>
      <c r="AF580" s="182"/>
      <c r="AG580" s="182"/>
      <c r="AH580" s="182"/>
      <c r="AI580" s="182"/>
      <c r="AJ580" s="182"/>
      <c r="AK580" s="182"/>
      <c r="AL580" s="182"/>
      <c r="AM580" s="182"/>
      <c r="AN580" s="182"/>
      <c r="AO580" s="182"/>
      <c r="AP580" s="182"/>
      <c r="AQ580" s="185">
        <f t="shared" si="97"/>
        <v>586.25</v>
      </c>
      <c r="AR580" s="182">
        <v>392.4</v>
      </c>
      <c r="AS580" s="182">
        <v>52.6</v>
      </c>
      <c r="AT580" s="182">
        <v>141.25</v>
      </c>
      <c r="AU580" s="182"/>
      <c r="AV580" s="182"/>
      <c r="AW580" s="182"/>
      <c r="AX580" s="182"/>
      <c r="AY580" s="182"/>
      <c r="AZ580" s="182"/>
      <c r="BA580" s="182"/>
      <c r="BB580" s="182"/>
      <c r="BC580" s="182"/>
      <c r="BD580" s="182"/>
      <c r="BE580" s="182"/>
      <c r="BF580" s="182"/>
      <c r="BG580" s="182"/>
      <c r="BH580" s="182"/>
      <c r="BI580" s="182"/>
      <c r="BJ580" s="182"/>
      <c r="BK580" s="182"/>
      <c r="BL580" s="182"/>
      <c r="BM580" s="182"/>
      <c r="BN580" s="182"/>
      <c r="BO580" s="182"/>
      <c r="BP580" s="182"/>
      <c r="BQ580" s="182"/>
      <c r="BR580" s="182"/>
      <c r="BS580" s="182"/>
      <c r="BT580" s="182"/>
      <c r="BU580" s="182"/>
      <c r="BV580" s="182"/>
      <c r="BW580" s="182"/>
      <c r="BX580" s="182"/>
      <c r="BY580" s="182"/>
      <c r="BZ580" s="182"/>
      <c r="CA580" s="182"/>
      <c r="CB580" s="185">
        <f t="shared" si="98"/>
        <v>586.25</v>
      </c>
      <c r="CC580" s="185">
        <f t="shared" si="99"/>
        <v>0</v>
      </c>
      <c r="CD580" s="185">
        <f t="shared" si="100"/>
        <v>942</v>
      </c>
      <c r="CE580" s="185" t="e">
        <f>+#REF!</f>
        <v>#REF!</v>
      </c>
    </row>
    <row r="581" spans="2:83" s="197" customFormat="1" ht="37.5" x14ac:dyDescent="0.3">
      <c r="B581" s="182">
        <v>1807</v>
      </c>
      <c r="C581" s="182">
        <v>943</v>
      </c>
      <c r="D581" s="182" t="s">
        <v>4624</v>
      </c>
      <c r="E581" s="181" t="s">
        <v>4360</v>
      </c>
      <c r="F581" s="182"/>
      <c r="G581" s="182">
        <v>350</v>
      </c>
      <c r="H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  <c r="Z581" s="182"/>
      <c r="AA581" s="182"/>
      <c r="AB581" s="182"/>
      <c r="AC581" s="182"/>
      <c r="AD581" s="182"/>
      <c r="AE581" s="182"/>
      <c r="AF581" s="182"/>
      <c r="AG581" s="182"/>
      <c r="AH581" s="182"/>
      <c r="AI581" s="182"/>
      <c r="AJ581" s="182"/>
      <c r="AK581" s="182"/>
      <c r="AL581" s="182"/>
      <c r="AM581" s="182"/>
      <c r="AN581" s="182"/>
      <c r="AO581" s="182"/>
      <c r="AP581" s="182"/>
      <c r="AQ581" s="185">
        <f t="shared" si="97"/>
        <v>350</v>
      </c>
      <c r="AR581" s="182">
        <v>313.05</v>
      </c>
      <c r="AS581" s="182">
        <v>36.950000000000003</v>
      </c>
      <c r="AT581" s="182"/>
      <c r="AU581" s="182"/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182"/>
      <c r="BK581" s="182"/>
      <c r="BL581" s="182"/>
      <c r="BM581" s="182"/>
      <c r="BN581" s="182"/>
      <c r="BO581" s="182"/>
      <c r="BP581" s="182"/>
      <c r="BQ581" s="182"/>
      <c r="BR581" s="182"/>
      <c r="BS581" s="182"/>
      <c r="BT581" s="182"/>
      <c r="BU581" s="182"/>
      <c r="BV581" s="182"/>
      <c r="BW581" s="182"/>
      <c r="BX581" s="182"/>
      <c r="BY581" s="182"/>
      <c r="BZ581" s="182"/>
      <c r="CA581" s="182"/>
      <c r="CB581" s="185">
        <f t="shared" si="98"/>
        <v>350</v>
      </c>
      <c r="CC581" s="185">
        <f t="shared" si="99"/>
        <v>0</v>
      </c>
      <c r="CD581" s="185">
        <f t="shared" si="100"/>
        <v>943</v>
      </c>
      <c r="CE581" s="185" t="e">
        <f>+#REF!</f>
        <v>#REF!</v>
      </c>
    </row>
    <row r="582" spans="2:83" s="197" customFormat="1" ht="37.5" x14ac:dyDescent="0.3">
      <c r="B582" s="182">
        <v>1806</v>
      </c>
      <c r="C582" s="182">
        <v>944</v>
      </c>
      <c r="D582" s="182" t="s">
        <v>4624</v>
      </c>
      <c r="E582" s="181" t="s">
        <v>4360</v>
      </c>
      <c r="F582" s="182"/>
      <c r="G582" s="182">
        <v>500</v>
      </c>
      <c r="H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2"/>
      <c r="AH582" s="182"/>
      <c r="AI582" s="182"/>
      <c r="AJ582" s="182"/>
      <c r="AK582" s="182"/>
      <c r="AL582" s="182"/>
      <c r="AM582" s="182"/>
      <c r="AN582" s="182"/>
      <c r="AO582" s="182"/>
      <c r="AP582" s="182"/>
      <c r="AQ582" s="185">
        <f t="shared" si="97"/>
        <v>500</v>
      </c>
      <c r="AR582" s="182">
        <v>447.05</v>
      </c>
      <c r="AS582" s="182">
        <v>52.95</v>
      </c>
      <c r="AT582" s="182"/>
      <c r="AU582" s="182"/>
      <c r="AV582" s="182"/>
      <c r="AW582" s="182"/>
      <c r="AX582" s="182"/>
      <c r="AY582" s="182"/>
      <c r="AZ582" s="182"/>
      <c r="BA582" s="182"/>
      <c r="BB582" s="182"/>
      <c r="BC582" s="182"/>
      <c r="BD582" s="182"/>
      <c r="BE582" s="182"/>
      <c r="BF582" s="182"/>
      <c r="BG582" s="182"/>
      <c r="BH582" s="182"/>
      <c r="BI582" s="182"/>
      <c r="BJ582" s="182"/>
      <c r="BK582" s="182"/>
      <c r="BL582" s="182"/>
      <c r="BM582" s="182"/>
      <c r="BN582" s="182"/>
      <c r="BO582" s="182"/>
      <c r="BP582" s="182"/>
      <c r="BQ582" s="182"/>
      <c r="BR582" s="182"/>
      <c r="BS582" s="182"/>
      <c r="BT582" s="182"/>
      <c r="BU582" s="182"/>
      <c r="BV582" s="182"/>
      <c r="BW582" s="182"/>
      <c r="BX582" s="182"/>
      <c r="BY582" s="182"/>
      <c r="BZ582" s="182"/>
      <c r="CA582" s="182"/>
      <c r="CB582" s="185">
        <f t="shared" si="98"/>
        <v>500</v>
      </c>
      <c r="CC582" s="185">
        <f t="shared" si="99"/>
        <v>0</v>
      </c>
      <c r="CD582" s="185">
        <f t="shared" si="100"/>
        <v>944</v>
      </c>
      <c r="CE582" s="185" t="e">
        <f>+#REF!</f>
        <v>#REF!</v>
      </c>
    </row>
    <row r="583" spans="2:83" s="197" customFormat="1" ht="37.5" x14ac:dyDescent="0.3">
      <c r="B583" s="182">
        <v>1799</v>
      </c>
      <c r="C583" s="182">
        <v>945</v>
      </c>
      <c r="D583" s="182" t="s">
        <v>4624</v>
      </c>
      <c r="E583" s="181" t="s">
        <v>4756</v>
      </c>
      <c r="F583" s="182"/>
      <c r="G583" s="182">
        <v>3048.5</v>
      </c>
      <c r="H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2"/>
      <c r="X583" s="182"/>
      <c r="Y583" s="182"/>
      <c r="Z583" s="182"/>
      <c r="AA583" s="182"/>
      <c r="AB583" s="182"/>
      <c r="AC583" s="182"/>
      <c r="AD583" s="182"/>
      <c r="AE583" s="182"/>
      <c r="AF583" s="182"/>
      <c r="AG583" s="182"/>
      <c r="AH583" s="182"/>
      <c r="AI583" s="182"/>
      <c r="AJ583" s="182"/>
      <c r="AK583" s="182"/>
      <c r="AL583" s="182"/>
      <c r="AM583" s="182"/>
      <c r="AN583" s="182"/>
      <c r="AO583" s="182"/>
      <c r="AP583" s="182"/>
      <c r="AQ583" s="185">
        <f t="shared" si="97"/>
        <v>3048.5</v>
      </c>
      <c r="AR583" s="182">
        <v>2040.8</v>
      </c>
      <c r="AS583" s="182">
        <v>273.2</v>
      </c>
      <c r="AT583" s="182">
        <v>734.5</v>
      </c>
      <c r="AU583" s="182"/>
      <c r="AV583" s="182"/>
      <c r="AW583" s="182"/>
      <c r="AX583" s="182"/>
      <c r="AY583" s="182"/>
      <c r="AZ583" s="182"/>
      <c r="BA583" s="182"/>
      <c r="BB583" s="182"/>
      <c r="BC583" s="182"/>
      <c r="BD583" s="182"/>
      <c r="BE583" s="182"/>
      <c r="BF583" s="182"/>
      <c r="BG583" s="182"/>
      <c r="BH583" s="182"/>
      <c r="BI583" s="182"/>
      <c r="BJ583" s="182"/>
      <c r="BK583" s="182"/>
      <c r="BL583" s="182"/>
      <c r="BM583" s="182"/>
      <c r="BN583" s="182"/>
      <c r="BO583" s="182"/>
      <c r="BP583" s="182"/>
      <c r="BQ583" s="182"/>
      <c r="BR583" s="182"/>
      <c r="BS583" s="182"/>
      <c r="BT583" s="182"/>
      <c r="BU583" s="182"/>
      <c r="BV583" s="182"/>
      <c r="BW583" s="182"/>
      <c r="BX583" s="182"/>
      <c r="BY583" s="182"/>
      <c r="BZ583" s="182"/>
      <c r="CA583" s="182"/>
      <c r="CB583" s="185">
        <f t="shared" si="98"/>
        <v>3048.5</v>
      </c>
      <c r="CC583" s="185">
        <f t="shared" si="99"/>
        <v>0</v>
      </c>
      <c r="CD583" s="185">
        <f t="shared" si="100"/>
        <v>945</v>
      </c>
      <c r="CE583" s="185" t="e">
        <f>+#REF!</f>
        <v>#REF!</v>
      </c>
    </row>
    <row r="584" spans="2:83" s="197" customFormat="1" ht="37.5" x14ac:dyDescent="0.3">
      <c r="B584" s="182">
        <v>1800</v>
      </c>
      <c r="C584" s="182">
        <v>946</v>
      </c>
      <c r="D584" s="182" t="s">
        <v>4624</v>
      </c>
      <c r="E584" s="181" t="s">
        <v>4756</v>
      </c>
      <c r="F584" s="182"/>
      <c r="G584" s="182">
        <v>1934.62</v>
      </c>
      <c r="H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  <c r="Z584" s="182"/>
      <c r="AA584" s="182"/>
      <c r="AB584" s="182"/>
      <c r="AC584" s="182"/>
      <c r="AD584" s="182"/>
      <c r="AE584" s="182"/>
      <c r="AF584" s="182"/>
      <c r="AG584" s="182"/>
      <c r="AH584" s="182"/>
      <c r="AI584" s="182"/>
      <c r="AJ584" s="182"/>
      <c r="AK584" s="182"/>
      <c r="AL584" s="182"/>
      <c r="AM584" s="182"/>
      <c r="AN584" s="182"/>
      <c r="AO584" s="182"/>
      <c r="AP584" s="182"/>
      <c r="AQ584" s="185">
        <f t="shared" si="97"/>
        <v>1934.62</v>
      </c>
      <c r="AR584" s="182">
        <v>1295.55</v>
      </c>
      <c r="AS584" s="182">
        <v>172.95</v>
      </c>
      <c r="AT584" s="182">
        <v>466.12</v>
      </c>
      <c r="AU584" s="182"/>
      <c r="AV584" s="182"/>
      <c r="AW584" s="182"/>
      <c r="AX584" s="182"/>
      <c r="AY584" s="182"/>
      <c r="AZ584" s="182"/>
      <c r="BA584" s="182"/>
      <c r="BB584" s="182"/>
      <c r="BC584" s="182"/>
      <c r="BD584" s="182"/>
      <c r="BE584" s="182"/>
      <c r="BF584" s="182"/>
      <c r="BG584" s="182"/>
      <c r="BH584" s="182"/>
      <c r="BI584" s="182"/>
      <c r="BJ584" s="182"/>
      <c r="BK584" s="182"/>
      <c r="BL584" s="182"/>
      <c r="BM584" s="182"/>
      <c r="BN584" s="182"/>
      <c r="BO584" s="182"/>
      <c r="BP584" s="182"/>
      <c r="BQ584" s="182"/>
      <c r="BR584" s="182"/>
      <c r="BS584" s="182"/>
      <c r="BT584" s="182"/>
      <c r="BU584" s="182"/>
      <c r="BV584" s="182"/>
      <c r="BW584" s="182"/>
      <c r="BX584" s="182"/>
      <c r="BY584" s="182"/>
      <c r="BZ584" s="182"/>
      <c r="CA584" s="182"/>
      <c r="CB584" s="185">
        <f t="shared" si="98"/>
        <v>1934.62</v>
      </c>
      <c r="CC584" s="185">
        <f t="shared" si="99"/>
        <v>0</v>
      </c>
      <c r="CD584" s="185">
        <f t="shared" si="100"/>
        <v>946</v>
      </c>
      <c r="CE584" s="185" t="e">
        <f>+#REF!</f>
        <v>#REF!</v>
      </c>
    </row>
    <row r="585" spans="2:83" s="197" customFormat="1" ht="37.5" x14ac:dyDescent="0.3">
      <c r="B585" s="182">
        <v>1802</v>
      </c>
      <c r="C585" s="182">
        <v>947</v>
      </c>
      <c r="D585" s="182" t="s">
        <v>4624</v>
      </c>
      <c r="E585" s="181" t="s">
        <v>4756</v>
      </c>
      <c r="F585" s="182"/>
      <c r="G585" s="182">
        <v>1438</v>
      </c>
      <c r="H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  <c r="Z585" s="182"/>
      <c r="AA585" s="182"/>
      <c r="AB585" s="182"/>
      <c r="AC585" s="182"/>
      <c r="AD585" s="182"/>
      <c r="AE585" s="182"/>
      <c r="AF585" s="182"/>
      <c r="AG585" s="182"/>
      <c r="AH585" s="182"/>
      <c r="AI585" s="182"/>
      <c r="AJ585" s="182"/>
      <c r="AK585" s="182"/>
      <c r="AL585" s="182"/>
      <c r="AM585" s="182"/>
      <c r="AN585" s="182"/>
      <c r="AO585" s="182"/>
      <c r="AP585" s="182"/>
      <c r="AQ585" s="185">
        <f t="shared" si="97"/>
        <v>1438</v>
      </c>
      <c r="AR585" s="182">
        <v>1125.82</v>
      </c>
      <c r="AS585" s="182">
        <f>80+6.18</f>
        <v>86.18</v>
      </c>
      <c r="AT585" s="182">
        <v>226</v>
      </c>
      <c r="AU585" s="182"/>
      <c r="AV585" s="182"/>
      <c r="AW585" s="182"/>
      <c r="AX585" s="182"/>
      <c r="AY585" s="182"/>
      <c r="AZ585" s="182"/>
      <c r="BA585" s="182"/>
      <c r="BB585" s="182"/>
      <c r="BC585" s="182"/>
      <c r="BD585" s="182"/>
      <c r="BE585" s="182"/>
      <c r="BF585" s="182"/>
      <c r="BG585" s="182"/>
      <c r="BH585" s="182"/>
      <c r="BI585" s="182"/>
      <c r="BJ585" s="182"/>
      <c r="BK585" s="182"/>
      <c r="BL585" s="182"/>
      <c r="BM585" s="182"/>
      <c r="BN585" s="182"/>
      <c r="BO585" s="182"/>
      <c r="BP585" s="182"/>
      <c r="BQ585" s="182"/>
      <c r="BR585" s="182"/>
      <c r="BS585" s="182"/>
      <c r="BT585" s="182"/>
      <c r="BU585" s="182"/>
      <c r="BV585" s="182"/>
      <c r="BW585" s="182"/>
      <c r="BX585" s="182"/>
      <c r="BY585" s="182"/>
      <c r="BZ585" s="182"/>
      <c r="CA585" s="182"/>
      <c r="CB585" s="185">
        <f t="shared" si="98"/>
        <v>1438</v>
      </c>
      <c r="CC585" s="185">
        <f t="shared" si="99"/>
        <v>0</v>
      </c>
      <c r="CD585" s="185">
        <f t="shared" si="100"/>
        <v>947</v>
      </c>
      <c r="CE585" s="185" t="e">
        <f>+#REF!</f>
        <v>#REF!</v>
      </c>
    </row>
    <row r="586" spans="2:83" s="197" customFormat="1" ht="37.5" x14ac:dyDescent="0.3">
      <c r="B586" s="182">
        <v>1801</v>
      </c>
      <c r="C586" s="182">
        <v>948</v>
      </c>
      <c r="D586" s="182" t="s">
        <v>4624</v>
      </c>
      <c r="E586" s="181" t="s">
        <v>4756</v>
      </c>
      <c r="F586" s="182"/>
      <c r="G586" s="182">
        <v>4338.25</v>
      </c>
      <c r="H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  <c r="Z586" s="182"/>
      <c r="AA586" s="182"/>
      <c r="AB586" s="182"/>
      <c r="AC586" s="182"/>
      <c r="AD586" s="182"/>
      <c r="AE586" s="182"/>
      <c r="AF586" s="182"/>
      <c r="AG586" s="182"/>
      <c r="AH586" s="182"/>
      <c r="AI586" s="182"/>
      <c r="AJ586" s="182"/>
      <c r="AK586" s="182"/>
      <c r="AL586" s="182"/>
      <c r="AM586" s="182"/>
      <c r="AN586" s="182"/>
      <c r="AO586" s="182"/>
      <c r="AP586" s="182"/>
      <c r="AQ586" s="185">
        <f t="shared" si="97"/>
        <v>4338.25</v>
      </c>
      <c r="AR586" s="182">
        <v>2905.95</v>
      </c>
      <c r="AS586" s="182">
        <v>387.05</v>
      </c>
      <c r="AT586" s="182">
        <v>1045.25</v>
      </c>
      <c r="AU586" s="182"/>
      <c r="AV586" s="182"/>
      <c r="AW586" s="182"/>
      <c r="AX586" s="182"/>
      <c r="AY586" s="182"/>
      <c r="AZ586" s="182"/>
      <c r="BA586" s="182"/>
      <c r="BB586" s="182"/>
      <c r="BC586" s="182"/>
      <c r="BD586" s="182"/>
      <c r="BE586" s="182"/>
      <c r="BF586" s="182"/>
      <c r="BG586" s="182"/>
      <c r="BH586" s="182"/>
      <c r="BI586" s="182"/>
      <c r="BJ586" s="182"/>
      <c r="BK586" s="182"/>
      <c r="BL586" s="182"/>
      <c r="BM586" s="182"/>
      <c r="BN586" s="182"/>
      <c r="BO586" s="182"/>
      <c r="BP586" s="182"/>
      <c r="BQ586" s="182"/>
      <c r="BR586" s="182"/>
      <c r="BS586" s="182"/>
      <c r="BT586" s="182"/>
      <c r="BU586" s="182"/>
      <c r="BV586" s="182"/>
      <c r="BW586" s="182"/>
      <c r="BX586" s="182"/>
      <c r="BY586" s="182"/>
      <c r="BZ586" s="182"/>
      <c r="CA586" s="182"/>
      <c r="CB586" s="185">
        <f t="shared" si="98"/>
        <v>4338.25</v>
      </c>
      <c r="CC586" s="185">
        <f t="shared" si="99"/>
        <v>0</v>
      </c>
      <c r="CD586" s="185">
        <f t="shared" si="100"/>
        <v>948</v>
      </c>
      <c r="CE586" s="185" t="e">
        <f>+#REF!</f>
        <v>#REF!</v>
      </c>
    </row>
    <row r="587" spans="2:83" s="197" customFormat="1" ht="37.5" x14ac:dyDescent="0.3">
      <c r="B587" s="182">
        <v>1803</v>
      </c>
      <c r="C587" s="182">
        <v>949</v>
      </c>
      <c r="D587" s="182" t="s">
        <v>4624</v>
      </c>
      <c r="E587" s="181" t="s">
        <v>4756</v>
      </c>
      <c r="F587" s="182"/>
      <c r="G587" s="182">
        <v>586.25</v>
      </c>
      <c r="H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2"/>
      <c r="AH587" s="182"/>
      <c r="AI587" s="182"/>
      <c r="AJ587" s="182"/>
      <c r="AK587" s="182"/>
      <c r="AL587" s="182"/>
      <c r="AM587" s="182"/>
      <c r="AN587" s="182"/>
      <c r="AO587" s="182"/>
      <c r="AP587" s="182"/>
      <c r="AQ587" s="185">
        <f t="shared" si="97"/>
        <v>586.25</v>
      </c>
      <c r="AR587" s="182">
        <v>391.85</v>
      </c>
      <c r="AS587" s="182">
        <f>50+3.15</f>
        <v>53.15</v>
      </c>
      <c r="AT587" s="182">
        <v>141.25</v>
      </c>
      <c r="AU587" s="182"/>
      <c r="AV587" s="182"/>
      <c r="AW587" s="182"/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/>
      <c r="BH587" s="182"/>
      <c r="BI587" s="182"/>
      <c r="BJ587" s="182"/>
      <c r="BK587" s="182"/>
      <c r="BL587" s="182"/>
      <c r="BM587" s="182"/>
      <c r="BN587" s="182"/>
      <c r="BO587" s="182"/>
      <c r="BP587" s="182"/>
      <c r="BQ587" s="182"/>
      <c r="BR587" s="182"/>
      <c r="BS587" s="182"/>
      <c r="BT587" s="182"/>
      <c r="BU587" s="182"/>
      <c r="BV587" s="182"/>
      <c r="BW587" s="182"/>
      <c r="BX587" s="182"/>
      <c r="BY587" s="182"/>
      <c r="BZ587" s="182"/>
      <c r="CA587" s="182"/>
      <c r="CB587" s="185">
        <f t="shared" si="98"/>
        <v>586.25</v>
      </c>
      <c r="CC587" s="185">
        <f t="shared" si="99"/>
        <v>0</v>
      </c>
      <c r="CD587" s="185">
        <f t="shared" si="100"/>
        <v>949</v>
      </c>
      <c r="CE587" s="185" t="e">
        <f>+#REF!</f>
        <v>#REF!</v>
      </c>
    </row>
    <row r="588" spans="2:83" s="197" customFormat="1" ht="37.5" x14ac:dyDescent="0.3">
      <c r="B588" s="182">
        <v>1804</v>
      </c>
      <c r="C588" s="182">
        <v>950</v>
      </c>
      <c r="D588" s="182" t="s">
        <v>4624</v>
      </c>
      <c r="E588" s="181" t="s">
        <v>4756</v>
      </c>
      <c r="F588" s="182"/>
      <c r="G588" s="182">
        <v>500</v>
      </c>
      <c r="H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2"/>
      <c r="AH588" s="182"/>
      <c r="AI588" s="182"/>
      <c r="AJ588" s="182"/>
      <c r="AK588" s="182"/>
      <c r="AL588" s="182"/>
      <c r="AM588" s="182"/>
      <c r="AN588" s="182"/>
      <c r="AO588" s="182"/>
      <c r="AP588" s="182"/>
      <c r="AQ588" s="185">
        <f t="shared" si="97"/>
        <v>500</v>
      </c>
      <c r="AR588" s="182">
        <v>447.05</v>
      </c>
      <c r="AS588" s="182">
        <v>52.95</v>
      </c>
      <c r="AT588" s="182"/>
      <c r="AU588" s="182"/>
      <c r="AV588" s="182"/>
      <c r="AW588" s="182"/>
      <c r="AX588" s="182"/>
      <c r="AY588" s="182"/>
      <c r="AZ588" s="182"/>
      <c r="BA588" s="182"/>
      <c r="BB588" s="182"/>
      <c r="BC588" s="182"/>
      <c r="BD588" s="182"/>
      <c r="BE588" s="182"/>
      <c r="BF588" s="182"/>
      <c r="BG588" s="182"/>
      <c r="BH588" s="182"/>
      <c r="BI588" s="182"/>
      <c r="BJ588" s="182"/>
      <c r="BK588" s="182"/>
      <c r="BL588" s="182"/>
      <c r="BM588" s="182"/>
      <c r="BN588" s="182"/>
      <c r="BO588" s="182"/>
      <c r="BP588" s="182"/>
      <c r="BQ588" s="182"/>
      <c r="BR588" s="182"/>
      <c r="BS588" s="182"/>
      <c r="BT588" s="182"/>
      <c r="BU588" s="182"/>
      <c r="BV588" s="182"/>
      <c r="BW588" s="182"/>
      <c r="BX588" s="182"/>
      <c r="BY588" s="182"/>
      <c r="BZ588" s="182"/>
      <c r="CA588" s="182"/>
      <c r="CB588" s="185">
        <f t="shared" si="98"/>
        <v>500</v>
      </c>
      <c r="CC588" s="185">
        <f t="shared" si="99"/>
        <v>0</v>
      </c>
      <c r="CD588" s="185">
        <f t="shared" si="100"/>
        <v>950</v>
      </c>
      <c r="CE588" s="185" t="e">
        <f>+#REF!</f>
        <v>#REF!</v>
      </c>
    </row>
    <row r="589" spans="2:83" s="197" customFormat="1" ht="56.25" x14ac:dyDescent="0.3">
      <c r="B589" s="182">
        <v>1809</v>
      </c>
      <c r="C589" s="182">
        <v>951</v>
      </c>
      <c r="D589" s="182" t="s">
        <v>4624</v>
      </c>
      <c r="E589" s="181" t="s">
        <v>4757</v>
      </c>
      <c r="F589" s="182"/>
      <c r="G589" s="182">
        <v>3000</v>
      </c>
      <c r="H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  <c r="Z589" s="182"/>
      <c r="AA589" s="182"/>
      <c r="AB589" s="182"/>
      <c r="AC589" s="182"/>
      <c r="AD589" s="182"/>
      <c r="AE589" s="182"/>
      <c r="AF589" s="182"/>
      <c r="AG589" s="182"/>
      <c r="AH589" s="182"/>
      <c r="AI589" s="182"/>
      <c r="AJ589" s="182"/>
      <c r="AK589" s="182"/>
      <c r="AL589" s="182"/>
      <c r="AM589" s="182"/>
      <c r="AN589" s="182"/>
      <c r="AO589" s="182"/>
      <c r="AP589" s="182"/>
      <c r="AQ589" s="185">
        <f t="shared" si="97"/>
        <v>3000</v>
      </c>
      <c r="AR589" s="182">
        <v>2682.3</v>
      </c>
      <c r="AS589" s="182">
        <v>317.7</v>
      </c>
      <c r="AT589" s="182"/>
      <c r="AU589" s="182"/>
      <c r="AV589" s="182"/>
      <c r="AW589" s="182"/>
      <c r="AX589" s="182"/>
      <c r="AY589" s="182"/>
      <c r="AZ589" s="182"/>
      <c r="BA589" s="182"/>
      <c r="BB589" s="182"/>
      <c r="BC589" s="182"/>
      <c r="BD589" s="182"/>
      <c r="BE589" s="182"/>
      <c r="BF589" s="182"/>
      <c r="BG589" s="182"/>
      <c r="BH589" s="182"/>
      <c r="BI589" s="182"/>
      <c r="BJ589" s="182"/>
      <c r="BK589" s="182"/>
      <c r="BL589" s="182"/>
      <c r="BM589" s="182"/>
      <c r="BN589" s="182"/>
      <c r="BO589" s="182"/>
      <c r="BP589" s="182"/>
      <c r="BQ589" s="182"/>
      <c r="BR589" s="182"/>
      <c r="BS589" s="182"/>
      <c r="BT589" s="182"/>
      <c r="BU589" s="182"/>
      <c r="BV589" s="182"/>
      <c r="BW589" s="182"/>
      <c r="BX589" s="182"/>
      <c r="BY589" s="182"/>
      <c r="BZ589" s="182"/>
      <c r="CA589" s="182"/>
      <c r="CB589" s="185">
        <f t="shared" si="98"/>
        <v>3000</v>
      </c>
      <c r="CC589" s="185">
        <f t="shared" si="99"/>
        <v>0</v>
      </c>
      <c r="CD589" s="185">
        <f t="shared" si="100"/>
        <v>951</v>
      </c>
      <c r="CE589" s="185" t="e">
        <f>+#REF!</f>
        <v>#REF!</v>
      </c>
    </row>
    <row r="590" spans="2:83" s="197" customFormat="1" ht="37.5" x14ac:dyDescent="0.3">
      <c r="B590" s="182">
        <v>1318</v>
      </c>
      <c r="C590" s="182">
        <v>952</v>
      </c>
      <c r="D590" s="182" t="s">
        <v>4624</v>
      </c>
      <c r="E590" s="181" t="s">
        <v>4206</v>
      </c>
      <c r="F590" s="182"/>
      <c r="G590" s="182">
        <v>3300</v>
      </c>
      <c r="H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2"/>
      <c r="AH590" s="182"/>
      <c r="AI590" s="182"/>
      <c r="AJ590" s="182"/>
      <c r="AK590" s="182"/>
      <c r="AL590" s="182"/>
      <c r="AM590" s="182"/>
      <c r="AN590" s="182"/>
      <c r="AO590" s="182"/>
      <c r="AP590" s="182"/>
      <c r="AQ590" s="185">
        <f t="shared" si="97"/>
        <v>3300</v>
      </c>
      <c r="AR590" s="182">
        <v>2945.95</v>
      </c>
      <c r="AS590" s="182">
        <v>354.05</v>
      </c>
      <c r="AT590" s="182"/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182"/>
      <c r="BK590" s="182"/>
      <c r="BL590" s="182"/>
      <c r="BM590" s="182"/>
      <c r="BN590" s="182"/>
      <c r="BO590" s="182"/>
      <c r="BP590" s="182"/>
      <c r="BQ590" s="182"/>
      <c r="BR590" s="182"/>
      <c r="BS590" s="182"/>
      <c r="BT590" s="182"/>
      <c r="BU590" s="182"/>
      <c r="BV590" s="182"/>
      <c r="BW590" s="182"/>
      <c r="BX590" s="182"/>
      <c r="BY590" s="182"/>
      <c r="BZ590" s="182"/>
      <c r="CA590" s="182"/>
      <c r="CB590" s="185">
        <f t="shared" si="98"/>
        <v>3300</v>
      </c>
      <c r="CC590" s="185">
        <f t="shared" si="99"/>
        <v>0</v>
      </c>
      <c r="CD590" s="185">
        <f t="shared" si="100"/>
        <v>952</v>
      </c>
      <c r="CE590" s="185" t="e">
        <f>+#REF!</f>
        <v>#REF!</v>
      </c>
    </row>
    <row r="591" spans="2:83" s="197" customFormat="1" ht="56.25" x14ac:dyDescent="0.3">
      <c r="B591" s="182">
        <v>1319</v>
      </c>
      <c r="C591" s="182">
        <v>953</v>
      </c>
      <c r="D591" s="182" t="s">
        <v>4624</v>
      </c>
      <c r="E591" s="181" t="str">
        <f>+E589</f>
        <v>مكافاه حضور اجتماع مجلس تنفيذى</v>
      </c>
      <c r="F591" s="182"/>
      <c r="G591" s="182">
        <v>3500</v>
      </c>
      <c r="H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2"/>
      <c r="AH591" s="182"/>
      <c r="AI591" s="182"/>
      <c r="AJ591" s="182"/>
      <c r="AK591" s="182"/>
      <c r="AL591" s="182"/>
      <c r="AM591" s="182"/>
      <c r="AN591" s="182"/>
      <c r="AO591" s="182"/>
      <c r="AP591" s="182"/>
      <c r="AQ591" s="185">
        <f t="shared" si="97"/>
        <v>3500</v>
      </c>
      <c r="AR591" s="182">
        <v>3129.35</v>
      </c>
      <c r="AS591" s="182">
        <v>370.65</v>
      </c>
      <c r="AT591" s="182"/>
      <c r="AU591" s="182"/>
      <c r="AV591" s="182"/>
      <c r="AW591" s="182"/>
      <c r="AX591" s="182"/>
      <c r="AY591" s="182"/>
      <c r="AZ591" s="182"/>
      <c r="BA591" s="182"/>
      <c r="BB591" s="182"/>
      <c r="BC591" s="182"/>
      <c r="BD591" s="182"/>
      <c r="BE591" s="182"/>
      <c r="BF591" s="182"/>
      <c r="BG591" s="182"/>
      <c r="BH591" s="182"/>
      <c r="BI591" s="182"/>
      <c r="BJ591" s="182"/>
      <c r="BK591" s="182"/>
      <c r="BL591" s="182"/>
      <c r="BM591" s="182"/>
      <c r="BN591" s="182"/>
      <c r="BO591" s="182"/>
      <c r="BP591" s="182"/>
      <c r="BQ591" s="182"/>
      <c r="BR591" s="182"/>
      <c r="BS591" s="182"/>
      <c r="BT591" s="182"/>
      <c r="BU591" s="182"/>
      <c r="BV591" s="182"/>
      <c r="BW591" s="182"/>
      <c r="BX591" s="182"/>
      <c r="BY591" s="182"/>
      <c r="BZ591" s="182"/>
      <c r="CA591" s="182"/>
      <c r="CB591" s="185">
        <f t="shared" si="98"/>
        <v>3500</v>
      </c>
      <c r="CC591" s="185">
        <f t="shared" si="99"/>
        <v>0</v>
      </c>
      <c r="CD591" s="185">
        <f t="shared" si="100"/>
        <v>953</v>
      </c>
      <c r="CE591" s="185" t="e">
        <f>+#REF!</f>
        <v>#REF!</v>
      </c>
    </row>
    <row r="592" spans="2:83" s="197" customFormat="1" ht="37.5" x14ac:dyDescent="0.3">
      <c r="B592" s="182">
        <v>1321</v>
      </c>
      <c r="C592" s="182">
        <v>954</v>
      </c>
      <c r="D592" s="182" t="s">
        <v>4624</v>
      </c>
      <c r="E592" s="181" t="s">
        <v>4758</v>
      </c>
      <c r="F592" s="182"/>
      <c r="G592" s="182">
        <v>1758.75</v>
      </c>
      <c r="H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  <c r="Z592" s="182"/>
      <c r="AA592" s="182"/>
      <c r="AB592" s="182"/>
      <c r="AC592" s="182"/>
      <c r="AD592" s="182"/>
      <c r="AE592" s="182"/>
      <c r="AF592" s="182"/>
      <c r="AG592" s="182"/>
      <c r="AH592" s="182"/>
      <c r="AI592" s="182"/>
      <c r="AJ592" s="182"/>
      <c r="AK592" s="182"/>
      <c r="AL592" s="182"/>
      <c r="AM592" s="182"/>
      <c r="AN592" s="182"/>
      <c r="AO592" s="182"/>
      <c r="AP592" s="182"/>
      <c r="AQ592" s="185">
        <f t="shared" si="97"/>
        <v>1758.75</v>
      </c>
      <c r="AR592" s="182">
        <v>1175.3499999999999</v>
      </c>
      <c r="AS592" s="182">
        <v>159.65</v>
      </c>
      <c r="AT592" s="182">
        <v>423.75</v>
      </c>
      <c r="AU592" s="182"/>
      <c r="AV592" s="182"/>
      <c r="AW592" s="182"/>
      <c r="AX592" s="182"/>
      <c r="AY592" s="182"/>
      <c r="AZ592" s="182"/>
      <c r="BA592" s="182"/>
      <c r="BB592" s="182"/>
      <c r="BC592" s="182"/>
      <c r="BD592" s="182"/>
      <c r="BE592" s="182"/>
      <c r="BF592" s="182"/>
      <c r="BG592" s="182"/>
      <c r="BH592" s="182"/>
      <c r="BI592" s="182"/>
      <c r="BJ592" s="182"/>
      <c r="BK592" s="182"/>
      <c r="BL592" s="182"/>
      <c r="BM592" s="182"/>
      <c r="BN592" s="182"/>
      <c r="BO592" s="182"/>
      <c r="BP592" s="182"/>
      <c r="BQ592" s="182"/>
      <c r="BR592" s="182"/>
      <c r="BS592" s="182"/>
      <c r="BT592" s="182"/>
      <c r="BU592" s="182"/>
      <c r="BV592" s="182"/>
      <c r="BW592" s="182"/>
      <c r="BX592" s="182"/>
      <c r="BY592" s="182"/>
      <c r="BZ592" s="182"/>
      <c r="CA592" s="182"/>
      <c r="CB592" s="185">
        <f t="shared" si="98"/>
        <v>1758.75</v>
      </c>
      <c r="CC592" s="185">
        <f t="shared" si="99"/>
        <v>0</v>
      </c>
      <c r="CD592" s="185">
        <f t="shared" si="100"/>
        <v>954</v>
      </c>
      <c r="CE592" s="185" t="e">
        <f>+#REF!</f>
        <v>#REF!</v>
      </c>
    </row>
    <row r="593" spans="2:83" s="197" customFormat="1" ht="37.5" x14ac:dyDescent="0.3">
      <c r="B593" s="182">
        <v>1330</v>
      </c>
      <c r="C593" s="182">
        <v>955</v>
      </c>
      <c r="D593" s="182" t="s">
        <v>4624</v>
      </c>
      <c r="E593" s="181" t="s">
        <v>2705</v>
      </c>
      <c r="F593" s="182"/>
      <c r="G593" s="182">
        <v>3106.25</v>
      </c>
      <c r="H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2"/>
      <c r="AH593" s="182"/>
      <c r="AI593" s="182"/>
      <c r="AJ593" s="182"/>
      <c r="AK593" s="182"/>
      <c r="AL593" s="182"/>
      <c r="AM593" s="182"/>
      <c r="AN593" s="182"/>
      <c r="AO593" s="182"/>
      <c r="AP593" s="182"/>
      <c r="AQ593" s="185">
        <f t="shared" si="97"/>
        <v>3106.25</v>
      </c>
      <c r="AR593" s="182">
        <v>2642.2</v>
      </c>
      <c r="AS593" s="182">
        <v>322.8</v>
      </c>
      <c r="AT593" s="182">
        <v>141.25</v>
      </c>
      <c r="AU593" s="182"/>
      <c r="AV593" s="182"/>
      <c r="AW593" s="182"/>
      <c r="AX593" s="182"/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182"/>
      <c r="BK593" s="182"/>
      <c r="BL593" s="182"/>
      <c r="BM593" s="182"/>
      <c r="BN593" s="182"/>
      <c r="BO593" s="182"/>
      <c r="BP593" s="182"/>
      <c r="BQ593" s="182"/>
      <c r="BR593" s="182"/>
      <c r="BS593" s="182"/>
      <c r="BT593" s="182"/>
      <c r="BU593" s="182"/>
      <c r="BV593" s="182"/>
      <c r="BW593" s="182"/>
      <c r="BX593" s="182"/>
      <c r="BY593" s="182"/>
      <c r="BZ593" s="182"/>
      <c r="CA593" s="182"/>
      <c r="CB593" s="185">
        <f t="shared" si="98"/>
        <v>3106.25</v>
      </c>
      <c r="CC593" s="185">
        <f t="shared" si="99"/>
        <v>0</v>
      </c>
      <c r="CD593" s="185">
        <f t="shared" si="100"/>
        <v>955</v>
      </c>
      <c r="CE593" s="185" t="e">
        <f>+#REF!</f>
        <v>#REF!</v>
      </c>
    </row>
    <row r="594" spans="2:83" s="197" customFormat="1" ht="37.5" x14ac:dyDescent="0.3">
      <c r="B594" s="182">
        <v>1327</v>
      </c>
      <c r="C594" s="182">
        <v>956</v>
      </c>
      <c r="D594" s="182" t="s">
        <v>4624</v>
      </c>
      <c r="E594" s="181" t="s">
        <v>4759</v>
      </c>
      <c r="F594" s="182"/>
      <c r="G594" s="182">
        <v>1289.75</v>
      </c>
      <c r="H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2"/>
      <c r="AH594" s="182"/>
      <c r="AI594" s="182"/>
      <c r="AJ594" s="182"/>
      <c r="AK594" s="182"/>
      <c r="AL594" s="182"/>
      <c r="AM594" s="182"/>
      <c r="AN594" s="182"/>
      <c r="AO594" s="182"/>
      <c r="AP594" s="182"/>
      <c r="AQ594" s="185">
        <f t="shared" si="97"/>
        <v>1289.75</v>
      </c>
      <c r="AR594" s="182">
        <v>863</v>
      </c>
      <c r="AS594" s="182">
        <v>116</v>
      </c>
      <c r="AT594" s="182">
        <v>310.75</v>
      </c>
      <c r="AU594" s="182"/>
      <c r="AV594" s="182"/>
      <c r="AW594" s="182"/>
      <c r="AX594" s="182"/>
      <c r="AY594" s="182"/>
      <c r="AZ594" s="182"/>
      <c r="BA594" s="182"/>
      <c r="BB594" s="182"/>
      <c r="BC594" s="182"/>
      <c r="BD594" s="182"/>
      <c r="BE594" s="182"/>
      <c r="BF594" s="182"/>
      <c r="BG594" s="182"/>
      <c r="BH594" s="182"/>
      <c r="BI594" s="182"/>
      <c r="BJ594" s="182"/>
      <c r="BK594" s="182"/>
      <c r="BL594" s="182"/>
      <c r="BM594" s="182"/>
      <c r="BN594" s="182"/>
      <c r="BO594" s="182"/>
      <c r="BP594" s="182"/>
      <c r="BQ594" s="182"/>
      <c r="BR594" s="182"/>
      <c r="BS594" s="182"/>
      <c r="BT594" s="182"/>
      <c r="BU594" s="182"/>
      <c r="BV594" s="182"/>
      <c r="BW594" s="182"/>
      <c r="BX594" s="182"/>
      <c r="BY594" s="182"/>
      <c r="BZ594" s="182"/>
      <c r="CA594" s="182"/>
      <c r="CB594" s="185">
        <f t="shared" si="98"/>
        <v>1289.75</v>
      </c>
      <c r="CC594" s="185">
        <f t="shared" si="99"/>
        <v>0</v>
      </c>
      <c r="CD594" s="185">
        <f t="shared" si="100"/>
        <v>956</v>
      </c>
      <c r="CE594" s="185" t="e">
        <f>+#REF!</f>
        <v>#REF!</v>
      </c>
    </row>
    <row r="595" spans="2:83" s="197" customFormat="1" ht="37.5" x14ac:dyDescent="0.3">
      <c r="B595" s="182">
        <v>1326</v>
      </c>
      <c r="C595" s="182">
        <v>957</v>
      </c>
      <c r="D595" s="182" t="s">
        <v>4624</v>
      </c>
      <c r="E595" s="181" t="s">
        <v>4759</v>
      </c>
      <c r="F595" s="182"/>
      <c r="G595" s="182">
        <v>586.25</v>
      </c>
      <c r="H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  <c r="Z595" s="182"/>
      <c r="AA595" s="182"/>
      <c r="AB595" s="182"/>
      <c r="AC595" s="182"/>
      <c r="AD595" s="182"/>
      <c r="AE595" s="182"/>
      <c r="AF595" s="182"/>
      <c r="AG595" s="182"/>
      <c r="AH595" s="182"/>
      <c r="AI595" s="182"/>
      <c r="AJ595" s="182"/>
      <c r="AK595" s="182"/>
      <c r="AL595" s="182"/>
      <c r="AM595" s="182"/>
      <c r="AN595" s="182"/>
      <c r="AO595" s="182"/>
      <c r="AP595" s="182"/>
      <c r="AQ595" s="185">
        <f t="shared" si="97"/>
        <v>586.25</v>
      </c>
      <c r="AR595" s="182">
        <v>392.4</v>
      </c>
      <c r="AS595" s="182">
        <v>52.6</v>
      </c>
      <c r="AT595" s="182">
        <v>141.25</v>
      </c>
      <c r="AU595" s="182"/>
      <c r="AV595" s="182"/>
      <c r="AW595" s="182"/>
      <c r="AX595" s="182"/>
      <c r="AY595" s="182"/>
      <c r="AZ595" s="182"/>
      <c r="BA595" s="182"/>
      <c r="BB595" s="182"/>
      <c r="BC595" s="182"/>
      <c r="BD595" s="182"/>
      <c r="BE595" s="182"/>
      <c r="BF595" s="182"/>
      <c r="BG595" s="182"/>
      <c r="BH595" s="182"/>
      <c r="BI595" s="182"/>
      <c r="BJ595" s="182"/>
      <c r="BK595" s="182"/>
      <c r="BL595" s="182"/>
      <c r="BM595" s="182"/>
      <c r="BN595" s="182"/>
      <c r="BO595" s="182"/>
      <c r="BP595" s="182"/>
      <c r="BQ595" s="182"/>
      <c r="BR595" s="182"/>
      <c r="BS595" s="182"/>
      <c r="BT595" s="182"/>
      <c r="BU595" s="182"/>
      <c r="BV595" s="182"/>
      <c r="BW595" s="182"/>
      <c r="BX595" s="182"/>
      <c r="BY595" s="182"/>
      <c r="BZ595" s="182"/>
      <c r="CA595" s="182"/>
      <c r="CB595" s="185">
        <f t="shared" si="98"/>
        <v>586.25</v>
      </c>
      <c r="CC595" s="185">
        <f t="shared" si="99"/>
        <v>0</v>
      </c>
      <c r="CD595" s="185">
        <f t="shared" si="100"/>
        <v>957</v>
      </c>
      <c r="CE595" s="185" t="e">
        <f>+#REF!</f>
        <v>#REF!</v>
      </c>
    </row>
    <row r="596" spans="2:83" s="197" customFormat="1" ht="37.5" x14ac:dyDescent="0.3">
      <c r="B596" s="182">
        <v>1328</v>
      </c>
      <c r="C596" s="182">
        <v>958</v>
      </c>
      <c r="D596" s="182" t="s">
        <v>4624</v>
      </c>
      <c r="E596" s="181" t="s">
        <v>4759</v>
      </c>
      <c r="F596" s="182"/>
      <c r="G596" s="182">
        <v>5010.84</v>
      </c>
      <c r="H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2"/>
      <c r="AH596" s="182"/>
      <c r="AI596" s="182"/>
      <c r="AJ596" s="182"/>
      <c r="AK596" s="182"/>
      <c r="AL596" s="182"/>
      <c r="AM596" s="182"/>
      <c r="AN596" s="182"/>
      <c r="AO596" s="182"/>
      <c r="AP596" s="182"/>
      <c r="AQ596" s="185">
        <f t="shared" si="97"/>
        <v>5010.84</v>
      </c>
      <c r="AR596" s="182">
        <v>3544.93</v>
      </c>
      <c r="AS596" s="182">
        <v>465.55</v>
      </c>
      <c r="AT596" s="182">
        <v>1000.36</v>
      </c>
      <c r="AU596" s="182"/>
      <c r="AV596" s="182"/>
      <c r="AW596" s="182"/>
      <c r="AX596" s="182"/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182"/>
      <c r="BK596" s="182"/>
      <c r="BL596" s="182"/>
      <c r="BM596" s="182"/>
      <c r="BN596" s="182"/>
      <c r="BO596" s="182"/>
      <c r="BP596" s="182"/>
      <c r="BQ596" s="182"/>
      <c r="BR596" s="182"/>
      <c r="BS596" s="182"/>
      <c r="BT596" s="182"/>
      <c r="BU596" s="182"/>
      <c r="BV596" s="182"/>
      <c r="BW596" s="182"/>
      <c r="BX596" s="182"/>
      <c r="BY596" s="182"/>
      <c r="BZ596" s="182"/>
      <c r="CA596" s="182"/>
      <c r="CB596" s="185">
        <f t="shared" si="98"/>
        <v>5010.84</v>
      </c>
      <c r="CC596" s="185">
        <f t="shared" si="99"/>
        <v>0</v>
      </c>
      <c r="CD596" s="185">
        <f t="shared" si="100"/>
        <v>958</v>
      </c>
      <c r="CE596" s="185" t="e">
        <f>+#REF!</f>
        <v>#REF!</v>
      </c>
    </row>
    <row r="597" spans="2:83" s="197" customFormat="1" ht="37.5" x14ac:dyDescent="0.3">
      <c r="B597" s="182">
        <v>1329</v>
      </c>
      <c r="C597" s="182">
        <v>959</v>
      </c>
      <c r="D597" s="182" t="s">
        <v>4624</v>
      </c>
      <c r="E597" s="181" t="s">
        <v>4759</v>
      </c>
      <c r="F597" s="182"/>
      <c r="G597" s="182">
        <v>1172.5</v>
      </c>
      <c r="H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182"/>
      <c r="AI597" s="182"/>
      <c r="AJ597" s="182"/>
      <c r="AK597" s="182"/>
      <c r="AL597" s="182"/>
      <c r="AM597" s="182"/>
      <c r="AN597" s="182"/>
      <c r="AO597" s="182"/>
      <c r="AP597" s="182"/>
      <c r="AQ597" s="185">
        <f t="shared" si="97"/>
        <v>1172.5</v>
      </c>
      <c r="AR597" s="182">
        <v>783.7</v>
      </c>
      <c r="AS597" s="182">
        <f>100+6.3</f>
        <v>106.3</v>
      </c>
      <c r="AT597" s="182">
        <v>282.5</v>
      </c>
      <c r="AU597" s="182"/>
      <c r="AV597" s="182"/>
      <c r="AW597" s="182"/>
      <c r="AX597" s="182"/>
      <c r="AY597" s="182"/>
      <c r="AZ597" s="182"/>
      <c r="BA597" s="182"/>
      <c r="BB597" s="182"/>
      <c r="BC597" s="182"/>
      <c r="BD597" s="182"/>
      <c r="BE597" s="182"/>
      <c r="BF597" s="182"/>
      <c r="BG597" s="182"/>
      <c r="BH597" s="182"/>
      <c r="BI597" s="182"/>
      <c r="BJ597" s="182"/>
      <c r="BK597" s="182"/>
      <c r="BL597" s="182"/>
      <c r="BM597" s="182"/>
      <c r="BN597" s="182"/>
      <c r="BO597" s="182"/>
      <c r="BP597" s="182"/>
      <c r="BQ597" s="182"/>
      <c r="BR597" s="182"/>
      <c r="BS597" s="182"/>
      <c r="BT597" s="182"/>
      <c r="BU597" s="182"/>
      <c r="BV597" s="182"/>
      <c r="BW597" s="182"/>
      <c r="BX597" s="182"/>
      <c r="BY597" s="182"/>
      <c r="BZ597" s="182"/>
      <c r="CA597" s="182"/>
      <c r="CB597" s="185">
        <f t="shared" si="98"/>
        <v>1172.5</v>
      </c>
      <c r="CC597" s="185">
        <f t="shared" si="99"/>
        <v>0</v>
      </c>
      <c r="CD597" s="185">
        <f t="shared" si="100"/>
        <v>959</v>
      </c>
      <c r="CE597" s="185" t="e">
        <f>+#REF!</f>
        <v>#REF!</v>
      </c>
    </row>
    <row r="598" spans="2:83" s="197" customFormat="1" ht="37.5" x14ac:dyDescent="0.3">
      <c r="B598" s="182">
        <v>2217</v>
      </c>
      <c r="C598" s="182">
        <v>960</v>
      </c>
      <c r="D598" s="182" t="s">
        <v>130</v>
      </c>
      <c r="E598" s="181" t="s">
        <v>4760</v>
      </c>
      <c r="F598" s="182"/>
      <c r="G598" s="182">
        <v>164.15</v>
      </c>
      <c r="H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  <c r="Z598" s="182"/>
      <c r="AA598" s="182"/>
      <c r="AB598" s="182"/>
      <c r="AC598" s="182"/>
      <c r="AD598" s="182"/>
      <c r="AE598" s="182"/>
      <c r="AF598" s="182"/>
      <c r="AG598" s="182"/>
      <c r="AH598" s="182"/>
      <c r="AI598" s="182"/>
      <c r="AJ598" s="182"/>
      <c r="AK598" s="182"/>
      <c r="AL598" s="182"/>
      <c r="AM598" s="182"/>
      <c r="AN598" s="182"/>
      <c r="AO598" s="182"/>
      <c r="AP598" s="182"/>
      <c r="AQ598" s="185">
        <f t="shared" si="97"/>
        <v>164.15</v>
      </c>
      <c r="AR598" s="182">
        <v>105.79</v>
      </c>
      <c r="AS598" s="182">
        <v>11.81</v>
      </c>
      <c r="AT598" s="182">
        <v>39.549999999999997</v>
      </c>
      <c r="AU598" s="182">
        <v>7</v>
      </c>
      <c r="AV598" s="182"/>
      <c r="AW598" s="182"/>
      <c r="AX598" s="182"/>
      <c r="AY598" s="182"/>
      <c r="AZ598" s="182"/>
      <c r="BA598" s="182"/>
      <c r="BB598" s="182"/>
      <c r="BC598" s="182"/>
      <c r="BD598" s="182"/>
      <c r="BE598" s="182"/>
      <c r="BF598" s="182"/>
      <c r="BG598" s="182"/>
      <c r="BH598" s="182"/>
      <c r="BI598" s="182"/>
      <c r="BJ598" s="182"/>
      <c r="BK598" s="182"/>
      <c r="BL598" s="182"/>
      <c r="BM598" s="182"/>
      <c r="BN598" s="182"/>
      <c r="BO598" s="182"/>
      <c r="BP598" s="182"/>
      <c r="BQ598" s="182"/>
      <c r="BR598" s="182"/>
      <c r="BS598" s="182"/>
      <c r="BT598" s="182"/>
      <c r="BU598" s="182"/>
      <c r="BV598" s="182"/>
      <c r="BW598" s="182"/>
      <c r="BX598" s="182"/>
      <c r="BY598" s="182"/>
      <c r="BZ598" s="182"/>
      <c r="CA598" s="182"/>
      <c r="CB598" s="185">
        <f t="shared" si="98"/>
        <v>164.15</v>
      </c>
      <c r="CC598" s="185">
        <f t="shared" si="99"/>
        <v>0</v>
      </c>
      <c r="CD598" s="185">
        <f t="shared" si="100"/>
        <v>960</v>
      </c>
      <c r="CE598" s="185" t="e">
        <f>+#REF!</f>
        <v>#REF!</v>
      </c>
    </row>
    <row r="599" spans="2:83" s="197" customFormat="1" ht="37.5" x14ac:dyDescent="0.3">
      <c r="B599" s="182">
        <v>2216</v>
      </c>
      <c r="C599" s="182">
        <v>961</v>
      </c>
      <c r="D599" s="182" t="s">
        <v>130</v>
      </c>
      <c r="E599" s="181" t="s">
        <v>4760</v>
      </c>
      <c r="F599" s="182"/>
      <c r="G599" s="182">
        <v>1050.46</v>
      </c>
      <c r="H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2"/>
      <c r="AH599" s="182"/>
      <c r="AI599" s="182"/>
      <c r="AJ599" s="182"/>
      <c r="AK599" s="182"/>
      <c r="AL599" s="182"/>
      <c r="AM599" s="182"/>
      <c r="AN599" s="182"/>
      <c r="AO599" s="182"/>
      <c r="AP599" s="182"/>
      <c r="AQ599" s="185">
        <f t="shared" si="97"/>
        <v>1050.46</v>
      </c>
      <c r="AR599" s="182">
        <v>633.16999999999996</v>
      </c>
      <c r="AS599" s="182">
        <v>119.39</v>
      </c>
      <c r="AT599" s="182">
        <v>253.11</v>
      </c>
      <c r="AU599" s="182">
        <v>44.79</v>
      </c>
      <c r="AV599" s="182"/>
      <c r="AW599" s="182"/>
      <c r="AX599" s="182"/>
      <c r="AY599" s="182"/>
      <c r="AZ599" s="182"/>
      <c r="BA599" s="182"/>
      <c r="BB599" s="182"/>
      <c r="BC599" s="182"/>
      <c r="BD599" s="182"/>
      <c r="BE599" s="182"/>
      <c r="BF599" s="182"/>
      <c r="BG599" s="182"/>
      <c r="BH599" s="182"/>
      <c r="BI599" s="182"/>
      <c r="BJ599" s="182"/>
      <c r="BK599" s="182"/>
      <c r="BL599" s="182"/>
      <c r="BM599" s="182"/>
      <c r="BN599" s="182"/>
      <c r="BO599" s="182"/>
      <c r="BP599" s="182"/>
      <c r="BQ599" s="182"/>
      <c r="BR599" s="182"/>
      <c r="BS599" s="182"/>
      <c r="BT599" s="182"/>
      <c r="BU599" s="182"/>
      <c r="BV599" s="182"/>
      <c r="BW599" s="182"/>
      <c r="BX599" s="182"/>
      <c r="BY599" s="182"/>
      <c r="BZ599" s="182"/>
      <c r="CA599" s="182"/>
      <c r="CB599" s="185">
        <f t="shared" si="98"/>
        <v>1050.46</v>
      </c>
      <c r="CC599" s="185">
        <f t="shared" si="99"/>
        <v>0</v>
      </c>
      <c r="CD599" s="185">
        <f t="shared" si="100"/>
        <v>961</v>
      </c>
      <c r="CE599" s="185" t="e">
        <f>+#REF!</f>
        <v>#REF!</v>
      </c>
    </row>
    <row r="600" spans="2:83" s="197" customFormat="1" ht="37.5" x14ac:dyDescent="0.3">
      <c r="B600" s="182">
        <v>2215</v>
      </c>
      <c r="C600" s="182">
        <v>962</v>
      </c>
      <c r="D600" s="182" t="s">
        <v>130</v>
      </c>
      <c r="E600" s="181" t="s">
        <v>4760</v>
      </c>
      <c r="F600" s="182"/>
      <c r="G600" s="182">
        <v>515.9</v>
      </c>
      <c r="H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2"/>
      <c r="AH600" s="182"/>
      <c r="AI600" s="182"/>
      <c r="AJ600" s="182"/>
      <c r="AK600" s="182"/>
      <c r="AL600" s="182"/>
      <c r="AM600" s="182"/>
      <c r="AN600" s="182"/>
      <c r="AO600" s="182"/>
      <c r="AP600" s="182"/>
      <c r="AQ600" s="185">
        <f t="shared" si="97"/>
        <v>515.9</v>
      </c>
      <c r="AR600" s="182">
        <v>342.72</v>
      </c>
      <c r="AS600" s="182">
        <v>26.88</v>
      </c>
      <c r="AT600" s="182">
        <v>124.3</v>
      </c>
      <c r="AU600" s="182">
        <v>22</v>
      </c>
      <c r="AV600" s="182"/>
      <c r="AW600" s="182"/>
      <c r="AX600" s="182"/>
      <c r="AY600" s="182"/>
      <c r="AZ600" s="182"/>
      <c r="BA600" s="182"/>
      <c r="BB600" s="182"/>
      <c r="BC600" s="182"/>
      <c r="BD600" s="182"/>
      <c r="BE600" s="182"/>
      <c r="BF600" s="182"/>
      <c r="BG600" s="182"/>
      <c r="BH600" s="182"/>
      <c r="BI600" s="182"/>
      <c r="BJ600" s="182"/>
      <c r="BK600" s="182"/>
      <c r="BL600" s="182"/>
      <c r="BM600" s="182"/>
      <c r="BN600" s="182"/>
      <c r="BO600" s="182"/>
      <c r="BP600" s="182"/>
      <c r="BQ600" s="182"/>
      <c r="BR600" s="182"/>
      <c r="BS600" s="182"/>
      <c r="BT600" s="182"/>
      <c r="BU600" s="182"/>
      <c r="BV600" s="182"/>
      <c r="BW600" s="182"/>
      <c r="BX600" s="182"/>
      <c r="BY600" s="182"/>
      <c r="BZ600" s="182"/>
      <c r="CA600" s="182"/>
      <c r="CB600" s="185">
        <f t="shared" si="98"/>
        <v>515.90000000000009</v>
      </c>
      <c r="CC600" s="185">
        <f t="shared" si="99"/>
        <v>0</v>
      </c>
      <c r="CD600" s="185">
        <f t="shared" si="100"/>
        <v>962</v>
      </c>
      <c r="CE600" s="185" t="e">
        <f>+#REF!</f>
        <v>#REF!</v>
      </c>
    </row>
    <row r="601" spans="2:83" s="197" customFormat="1" ht="37.5" x14ac:dyDescent="0.3">
      <c r="B601" s="182">
        <v>2214</v>
      </c>
      <c r="C601" s="182">
        <v>963</v>
      </c>
      <c r="D601" s="182" t="s">
        <v>130</v>
      </c>
      <c r="E601" s="181" t="s">
        <v>499</v>
      </c>
      <c r="F601" s="182"/>
      <c r="G601" s="182">
        <v>140.69999999999999</v>
      </c>
      <c r="H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  <c r="Z601" s="182"/>
      <c r="AA601" s="182"/>
      <c r="AB601" s="182"/>
      <c r="AC601" s="182"/>
      <c r="AD601" s="182"/>
      <c r="AE601" s="182"/>
      <c r="AF601" s="182"/>
      <c r="AG601" s="182"/>
      <c r="AH601" s="182"/>
      <c r="AI601" s="182"/>
      <c r="AJ601" s="182"/>
      <c r="AK601" s="182"/>
      <c r="AL601" s="182"/>
      <c r="AM601" s="182"/>
      <c r="AN601" s="182"/>
      <c r="AO601" s="182"/>
      <c r="AP601" s="182"/>
      <c r="AQ601" s="185">
        <f t="shared" si="97"/>
        <v>140.69999999999999</v>
      </c>
      <c r="AR601" s="182">
        <v>94.08</v>
      </c>
      <c r="AS601" s="182">
        <v>6.72</v>
      </c>
      <c r="AT601" s="182">
        <v>33.9</v>
      </c>
      <c r="AU601" s="182">
        <v>6</v>
      </c>
      <c r="AV601" s="182"/>
      <c r="AW601" s="182"/>
      <c r="AX601" s="182"/>
      <c r="AY601" s="182"/>
      <c r="AZ601" s="182"/>
      <c r="BA601" s="182"/>
      <c r="BB601" s="182"/>
      <c r="BC601" s="182"/>
      <c r="BD601" s="182"/>
      <c r="BE601" s="182"/>
      <c r="BF601" s="182"/>
      <c r="BG601" s="182"/>
      <c r="BH601" s="182"/>
      <c r="BI601" s="182"/>
      <c r="BJ601" s="182"/>
      <c r="BK601" s="182"/>
      <c r="BL601" s="182"/>
      <c r="BM601" s="182"/>
      <c r="BN601" s="182"/>
      <c r="BO601" s="182"/>
      <c r="BP601" s="182"/>
      <c r="BQ601" s="182"/>
      <c r="BR601" s="182"/>
      <c r="BS601" s="182"/>
      <c r="BT601" s="182"/>
      <c r="BU601" s="182"/>
      <c r="BV601" s="182"/>
      <c r="BW601" s="182"/>
      <c r="BX601" s="182"/>
      <c r="BY601" s="182"/>
      <c r="BZ601" s="182"/>
      <c r="CA601" s="182"/>
      <c r="CB601" s="185">
        <f t="shared" si="98"/>
        <v>140.69999999999999</v>
      </c>
      <c r="CC601" s="185">
        <f t="shared" si="99"/>
        <v>0</v>
      </c>
      <c r="CD601" s="185">
        <f t="shared" si="100"/>
        <v>963</v>
      </c>
      <c r="CE601" s="185" t="e">
        <f>+#REF!</f>
        <v>#REF!</v>
      </c>
    </row>
    <row r="602" spans="2:83" s="197" customFormat="1" ht="37.5" x14ac:dyDescent="0.3">
      <c r="B602" s="182">
        <v>2213</v>
      </c>
      <c r="C602" s="182">
        <v>964</v>
      </c>
      <c r="D602" s="182" t="s">
        <v>130</v>
      </c>
      <c r="E602" s="181" t="s">
        <v>1030</v>
      </c>
      <c r="F602" s="182"/>
      <c r="G602" s="182">
        <v>515.9</v>
      </c>
      <c r="H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2"/>
      <c r="AH602" s="182"/>
      <c r="AI602" s="182"/>
      <c r="AJ602" s="182"/>
      <c r="AK602" s="182"/>
      <c r="AL602" s="182"/>
      <c r="AM602" s="182"/>
      <c r="AN602" s="182"/>
      <c r="AO602" s="182"/>
      <c r="AP602" s="182"/>
      <c r="AQ602" s="185">
        <f t="shared" si="97"/>
        <v>515.9</v>
      </c>
      <c r="AR602" s="182">
        <v>342.72</v>
      </c>
      <c r="AS602" s="182">
        <v>26.88</v>
      </c>
      <c r="AT602" s="182">
        <v>124.3</v>
      </c>
      <c r="AU602" s="182">
        <v>22</v>
      </c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182"/>
      <c r="BK602" s="182"/>
      <c r="BL602" s="182"/>
      <c r="BM602" s="182"/>
      <c r="BN602" s="182"/>
      <c r="BO602" s="182"/>
      <c r="BP602" s="182"/>
      <c r="BQ602" s="182"/>
      <c r="BR602" s="182"/>
      <c r="BS602" s="182"/>
      <c r="BT602" s="182"/>
      <c r="BU602" s="182"/>
      <c r="BV602" s="182"/>
      <c r="BW602" s="182"/>
      <c r="BX602" s="182"/>
      <c r="BY602" s="182"/>
      <c r="BZ602" s="182"/>
      <c r="CA602" s="182"/>
      <c r="CB602" s="185">
        <f t="shared" si="98"/>
        <v>515.90000000000009</v>
      </c>
      <c r="CC602" s="185">
        <f t="shared" si="99"/>
        <v>0</v>
      </c>
      <c r="CD602" s="185">
        <f t="shared" si="100"/>
        <v>964</v>
      </c>
      <c r="CE602" s="185" t="e">
        <f>+#REF!</f>
        <v>#REF!</v>
      </c>
    </row>
    <row r="603" spans="2:83" s="197" customFormat="1" ht="37.5" x14ac:dyDescent="0.3">
      <c r="B603" s="182">
        <v>2212</v>
      </c>
      <c r="C603" s="182">
        <v>965</v>
      </c>
      <c r="D603" s="182" t="s">
        <v>130</v>
      </c>
      <c r="E603" s="181" t="s">
        <v>1030</v>
      </c>
      <c r="F603" s="182"/>
      <c r="G603" s="182">
        <v>419.31</v>
      </c>
      <c r="H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2"/>
      <c r="AH603" s="182"/>
      <c r="AI603" s="182"/>
      <c r="AJ603" s="182"/>
      <c r="AK603" s="182"/>
      <c r="AL603" s="182"/>
      <c r="AM603" s="182"/>
      <c r="AN603" s="182"/>
      <c r="AO603" s="182"/>
      <c r="AP603" s="182"/>
      <c r="AQ603" s="185">
        <f t="shared" si="97"/>
        <v>419.31</v>
      </c>
      <c r="AR603" s="182">
        <v>258.26</v>
      </c>
      <c r="AS603" s="182">
        <v>36</v>
      </c>
      <c r="AT603" s="182">
        <v>107.36</v>
      </c>
      <c r="AU603" s="182">
        <v>17.690000000000001</v>
      </c>
      <c r="AV603" s="182"/>
      <c r="AW603" s="182"/>
      <c r="AX603" s="182"/>
      <c r="AY603" s="182"/>
      <c r="AZ603" s="182"/>
      <c r="BA603" s="182"/>
      <c r="BB603" s="182"/>
      <c r="BC603" s="182"/>
      <c r="BD603" s="182"/>
      <c r="BE603" s="182"/>
      <c r="BF603" s="182"/>
      <c r="BG603" s="182"/>
      <c r="BH603" s="182"/>
      <c r="BI603" s="182"/>
      <c r="BJ603" s="182"/>
      <c r="BK603" s="182"/>
      <c r="BL603" s="182"/>
      <c r="BM603" s="182"/>
      <c r="BN603" s="182"/>
      <c r="BO603" s="182"/>
      <c r="BP603" s="182"/>
      <c r="BQ603" s="182"/>
      <c r="BR603" s="182"/>
      <c r="BS603" s="182"/>
      <c r="BT603" s="182"/>
      <c r="BU603" s="182"/>
      <c r="BV603" s="182"/>
      <c r="BW603" s="182"/>
      <c r="BX603" s="182"/>
      <c r="BY603" s="182"/>
      <c r="BZ603" s="182"/>
      <c r="CA603" s="182"/>
      <c r="CB603" s="185">
        <f t="shared" si="98"/>
        <v>419.31</v>
      </c>
      <c r="CC603" s="185">
        <f t="shared" si="99"/>
        <v>0</v>
      </c>
      <c r="CD603" s="185">
        <f t="shared" si="100"/>
        <v>965</v>
      </c>
      <c r="CE603" s="185" t="e">
        <f>+#REF!</f>
        <v>#REF!</v>
      </c>
    </row>
    <row r="604" spans="2:83" s="197" customFormat="1" ht="37.5" x14ac:dyDescent="0.3">
      <c r="B604" s="182">
        <v>2211</v>
      </c>
      <c r="C604" s="182">
        <v>966</v>
      </c>
      <c r="D604" s="182" t="s">
        <v>130</v>
      </c>
      <c r="E604" s="181" t="s">
        <v>863</v>
      </c>
      <c r="F604" s="182"/>
      <c r="G604" s="182">
        <v>515.9</v>
      </c>
      <c r="H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  <c r="Z604" s="182"/>
      <c r="AA604" s="182"/>
      <c r="AB604" s="182"/>
      <c r="AC604" s="182"/>
      <c r="AD604" s="182"/>
      <c r="AE604" s="182"/>
      <c r="AF604" s="182"/>
      <c r="AG604" s="182"/>
      <c r="AH604" s="182"/>
      <c r="AI604" s="182"/>
      <c r="AJ604" s="182"/>
      <c r="AK604" s="182"/>
      <c r="AL604" s="182"/>
      <c r="AM604" s="182"/>
      <c r="AN604" s="182"/>
      <c r="AO604" s="182"/>
      <c r="AP604" s="182"/>
      <c r="AQ604" s="185">
        <f t="shared" ref="AQ604:AQ635" si="101">SUM(G604:AP604)</f>
        <v>515.9</v>
      </c>
      <c r="AR604" s="182">
        <v>345.24</v>
      </c>
      <c r="AS604" s="182">
        <v>24.36</v>
      </c>
      <c r="AT604" s="182">
        <v>124.3</v>
      </c>
      <c r="AU604" s="182">
        <v>22</v>
      </c>
      <c r="AV604" s="182"/>
      <c r="AW604" s="182"/>
      <c r="AX604" s="182"/>
      <c r="AY604" s="182"/>
      <c r="AZ604" s="182"/>
      <c r="BA604" s="182"/>
      <c r="BB604" s="182"/>
      <c r="BC604" s="182"/>
      <c r="BD604" s="182"/>
      <c r="BE604" s="182"/>
      <c r="BF604" s="182"/>
      <c r="BG604" s="182"/>
      <c r="BH604" s="182"/>
      <c r="BI604" s="182"/>
      <c r="BJ604" s="182"/>
      <c r="BK604" s="182"/>
      <c r="BL604" s="182"/>
      <c r="BM604" s="182"/>
      <c r="BN604" s="182"/>
      <c r="BO604" s="182"/>
      <c r="BP604" s="182"/>
      <c r="BQ604" s="182"/>
      <c r="BR604" s="182"/>
      <c r="BS604" s="182"/>
      <c r="BT604" s="182"/>
      <c r="BU604" s="182"/>
      <c r="BV604" s="182"/>
      <c r="BW604" s="182"/>
      <c r="BX604" s="182"/>
      <c r="BY604" s="182"/>
      <c r="BZ604" s="182"/>
      <c r="CA604" s="182"/>
      <c r="CB604" s="185">
        <f t="shared" ref="CB604:CB635" si="102">SUM(AR604:CA604)</f>
        <v>515.90000000000009</v>
      </c>
      <c r="CC604" s="185">
        <f t="shared" ref="CC604:CC635" si="103">+CB604-AQ604</f>
        <v>0</v>
      </c>
      <c r="CD604" s="185">
        <f t="shared" ref="CD604:CD635" si="104">+C604</f>
        <v>966</v>
      </c>
      <c r="CE604" s="185" t="e">
        <f>+#REF!</f>
        <v>#REF!</v>
      </c>
    </row>
    <row r="605" spans="2:83" s="197" customFormat="1" ht="37.5" x14ac:dyDescent="0.3">
      <c r="B605" s="182">
        <v>2210</v>
      </c>
      <c r="C605" s="182">
        <v>967</v>
      </c>
      <c r="D605" s="182" t="s">
        <v>130</v>
      </c>
      <c r="E605" s="181" t="s">
        <v>863</v>
      </c>
      <c r="F605" s="182"/>
      <c r="G605" s="182">
        <v>134.84</v>
      </c>
      <c r="H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  <c r="Z605" s="182"/>
      <c r="AA605" s="182"/>
      <c r="AB605" s="182"/>
      <c r="AC605" s="182"/>
      <c r="AD605" s="182"/>
      <c r="AE605" s="182"/>
      <c r="AF605" s="182"/>
      <c r="AG605" s="182"/>
      <c r="AH605" s="182"/>
      <c r="AI605" s="182"/>
      <c r="AJ605" s="182"/>
      <c r="AK605" s="182"/>
      <c r="AL605" s="182"/>
      <c r="AM605" s="182"/>
      <c r="AN605" s="182"/>
      <c r="AO605" s="182"/>
      <c r="AP605" s="182"/>
      <c r="AQ605" s="185">
        <f t="shared" si="101"/>
        <v>134.84</v>
      </c>
      <c r="AR605" s="182">
        <v>86.85</v>
      </c>
      <c r="AS605" s="182">
        <v>9.75</v>
      </c>
      <c r="AT605" s="182">
        <v>32.49</v>
      </c>
      <c r="AU605" s="182">
        <v>5.75</v>
      </c>
      <c r="AV605" s="182"/>
      <c r="AW605" s="182"/>
      <c r="AX605" s="182"/>
      <c r="AY605" s="182"/>
      <c r="AZ605" s="182"/>
      <c r="BA605" s="182"/>
      <c r="BB605" s="182"/>
      <c r="BC605" s="182"/>
      <c r="BD605" s="182"/>
      <c r="BE605" s="182"/>
      <c r="BF605" s="182"/>
      <c r="BG605" s="182"/>
      <c r="BH605" s="182"/>
      <c r="BI605" s="182"/>
      <c r="BJ605" s="182"/>
      <c r="BK605" s="182"/>
      <c r="BL605" s="182"/>
      <c r="BM605" s="182"/>
      <c r="BN605" s="182"/>
      <c r="BO605" s="182"/>
      <c r="BP605" s="182"/>
      <c r="BQ605" s="182"/>
      <c r="BR605" s="182"/>
      <c r="BS605" s="182"/>
      <c r="BT605" s="182"/>
      <c r="BU605" s="182"/>
      <c r="BV605" s="182"/>
      <c r="BW605" s="182"/>
      <c r="BX605" s="182"/>
      <c r="BY605" s="182"/>
      <c r="BZ605" s="182"/>
      <c r="CA605" s="182"/>
      <c r="CB605" s="185">
        <f t="shared" si="102"/>
        <v>134.84</v>
      </c>
      <c r="CC605" s="185">
        <f t="shared" si="103"/>
        <v>0</v>
      </c>
      <c r="CD605" s="185">
        <f t="shared" si="104"/>
        <v>967</v>
      </c>
      <c r="CE605" s="185" t="e">
        <f>+#REF!</f>
        <v>#REF!</v>
      </c>
    </row>
    <row r="606" spans="2:83" s="197" customFormat="1" ht="37.5" x14ac:dyDescent="0.3">
      <c r="B606" s="182">
        <v>2209</v>
      </c>
      <c r="C606" s="182">
        <v>968</v>
      </c>
      <c r="D606" s="182" t="s">
        <v>130</v>
      </c>
      <c r="E606" s="181" t="s">
        <v>4761</v>
      </c>
      <c r="F606" s="182"/>
      <c r="G606" s="182">
        <v>46.9</v>
      </c>
      <c r="H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  <c r="Z606" s="182"/>
      <c r="AA606" s="182"/>
      <c r="AB606" s="182"/>
      <c r="AC606" s="182"/>
      <c r="AD606" s="182"/>
      <c r="AE606" s="182"/>
      <c r="AF606" s="182"/>
      <c r="AG606" s="182"/>
      <c r="AH606" s="182"/>
      <c r="AI606" s="182"/>
      <c r="AJ606" s="182"/>
      <c r="AK606" s="182"/>
      <c r="AL606" s="182"/>
      <c r="AM606" s="182"/>
      <c r="AN606" s="182"/>
      <c r="AO606" s="182"/>
      <c r="AP606" s="182"/>
      <c r="AQ606" s="185">
        <f t="shared" si="101"/>
        <v>46.9</v>
      </c>
      <c r="AR606" s="182">
        <v>32.76</v>
      </c>
      <c r="AS606" s="182">
        <v>0.84</v>
      </c>
      <c r="AT606" s="182">
        <v>11.3</v>
      </c>
      <c r="AU606" s="182">
        <v>2</v>
      </c>
      <c r="AV606" s="182"/>
      <c r="AW606" s="182"/>
      <c r="AX606" s="182"/>
      <c r="AY606" s="182"/>
      <c r="AZ606" s="182"/>
      <c r="BA606" s="182"/>
      <c r="BB606" s="182"/>
      <c r="BC606" s="182"/>
      <c r="BD606" s="182"/>
      <c r="BE606" s="182"/>
      <c r="BF606" s="182"/>
      <c r="BG606" s="182"/>
      <c r="BH606" s="182"/>
      <c r="BI606" s="182"/>
      <c r="BJ606" s="182"/>
      <c r="BK606" s="182"/>
      <c r="BL606" s="182"/>
      <c r="BM606" s="182"/>
      <c r="BN606" s="182"/>
      <c r="BO606" s="182"/>
      <c r="BP606" s="182"/>
      <c r="BQ606" s="182"/>
      <c r="BR606" s="182"/>
      <c r="BS606" s="182"/>
      <c r="BT606" s="182"/>
      <c r="BU606" s="182"/>
      <c r="BV606" s="182"/>
      <c r="BW606" s="182"/>
      <c r="BX606" s="182"/>
      <c r="BY606" s="182"/>
      <c r="BZ606" s="182"/>
      <c r="CA606" s="182"/>
      <c r="CB606" s="185">
        <f t="shared" si="102"/>
        <v>46.900000000000006</v>
      </c>
      <c r="CC606" s="185">
        <f t="shared" si="103"/>
        <v>0</v>
      </c>
      <c r="CD606" s="185">
        <f t="shared" si="104"/>
        <v>968</v>
      </c>
      <c r="CE606" s="185" t="e">
        <f>+#REF!</f>
        <v>#REF!</v>
      </c>
    </row>
    <row r="607" spans="2:83" s="197" customFormat="1" ht="37.5" x14ac:dyDescent="0.3">
      <c r="B607" s="182">
        <v>2208</v>
      </c>
      <c r="C607" s="182">
        <v>969</v>
      </c>
      <c r="D607" s="182" t="s">
        <v>130</v>
      </c>
      <c r="E607" s="181" t="str">
        <f>+E606</f>
        <v xml:space="preserve">مكافاه قسم العلاقات العامه </v>
      </c>
      <c r="F607" s="182"/>
      <c r="G607" s="182">
        <v>234.5</v>
      </c>
      <c r="H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  <c r="Z607" s="182"/>
      <c r="AA607" s="182"/>
      <c r="AB607" s="182"/>
      <c r="AC607" s="182"/>
      <c r="AD607" s="182"/>
      <c r="AE607" s="182"/>
      <c r="AF607" s="182"/>
      <c r="AG607" s="182"/>
      <c r="AH607" s="182"/>
      <c r="AI607" s="182"/>
      <c r="AJ607" s="182"/>
      <c r="AK607" s="182"/>
      <c r="AL607" s="182"/>
      <c r="AM607" s="182"/>
      <c r="AN607" s="182"/>
      <c r="AO607" s="182"/>
      <c r="AP607" s="182"/>
      <c r="AQ607" s="185">
        <f t="shared" si="101"/>
        <v>234.5</v>
      </c>
      <c r="AR607" s="182">
        <v>156.24</v>
      </c>
      <c r="AS607" s="182">
        <v>11.76</v>
      </c>
      <c r="AT607" s="182">
        <v>56.5</v>
      </c>
      <c r="AU607" s="182">
        <v>10</v>
      </c>
      <c r="AV607" s="182"/>
      <c r="AW607" s="182"/>
      <c r="AX607" s="182"/>
      <c r="AY607" s="182"/>
      <c r="AZ607" s="182"/>
      <c r="BA607" s="182"/>
      <c r="BB607" s="182"/>
      <c r="BC607" s="182"/>
      <c r="BD607" s="182"/>
      <c r="BE607" s="182"/>
      <c r="BF607" s="182"/>
      <c r="BG607" s="182"/>
      <c r="BH607" s="182"/>
      <c r="BI607" s="182"/>
      <c r="BJ607" s="182"/>
      <c r="BK607" s="182"/>
      <c r="BL607" s="182"/>
      <c r="BM607" s="182"/>
      <c r="BN607" s="182"/>
      <c r="BO607" s="182"/>
      <c r="BP607" s="182"/>
      <c r="BQ607" s="182"/>
      <c r="BR607" s="182"/>
      <c r="BS607" s="182"/>
      <c r="BT607" s="182"/>
      <c r="BU607" s="182"/>
      <c r="BV607" s="182"/>
      <c r="BW607" s="182"/>
      <c r="BX607" s="182"/>
      <c r="BY607" s="182"/>
      <c r="BZ607" s="182"/>
      <c r="CA607" s="182"/>
      <c r="CB607" s="185">
        <f t="shared" si="102"/>
        <v>234.5</v>
      </c>
      <c r="CC607" s="185">
        <f t="shared" si="103"/>
        <v>0</v>
      </c>
      <c r="CD607" s="185">
        <f t="shared" si="104"/>
        <v>969</v>
      </c>
      <c r="CE607" s="185" t="e">
        <f>+#REF!</f>
        <v>#REF!</v>
      </c>
    </row>
    <row r="608" spans="2:83" s="197" customFormat="1" ht="37.5" x14ac:dyDescent="0.3">
      <c r="B608" s="182">
        <v>2207</v>
      </c>
      <c r="C608" s="182">
        <v>970</v>
      </c>
      <c r="D608" s="182" t="s">
        <v>130</v>
      </c>
      <c r="E608" s="181" t="str">
        <f>+E607</f>
        <v xml:space="preserve">مكافاه قسم العلاقات العامه </v>
      </c>
      <c r="F608" s="182"/>
      <c r="G608" s="182">
        <v>140.69999999999999</v>
      </c>
      <c r="H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2"/>
      <c r="AH608" s="182"/>
      <c r="AI608" s="182"/>
      <c r="AJ608" s="182"/>
      <c r="AK608" s="182"/>
      <c r="AL608" s="182"/>
      <c r="AM608" s="182"/>
      <c r="AN608" s="182"/>
      <c r="AO608" s="182"/>
      <c r="AP608" s="182"/>
      <c r="AQ608" s="185">
        <f t="shared" si="101"/>
        <v>140.69999999999999</v>
      </c>
      <c r="AR608" s="182">
        <v>90.72</v>
      </c>
      <c r="AS608" s="182">
        <v>10.08</v>
      </c>
      <c r="AT608" s="182">
        <v>33.9</v>
      </c>
      <c r="AU608" s="182">
        <v>6</v>
      </c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182"/>
      <c r="BK608" s="182"/>
      <c r="BL608" s="182"/>
      <c r="BM608" s="182"/>
      <c r="BN608" s="182"/>
      <c r="BO608" s="182"/>
      <c r="BP608" s="182"/>
      <c r="BQ608" s="182"/>
      <c r="BR608" s="182"/>
      <c r="BS608" s="182"/>
      <c r="BT608" s="182"/>
      <c r="BU608" s="182"/>
      <c r="BV608" s="182"/>
      <c r="BW608" s="182"/>
      <c r="BX608" s="182"/>
      <c r="BY608" s="182"/>
      <c r="BZ608" s="182"/>
      <c r="CA608" s="182"/>
      <c r="CB608" s="185">
        <f t="shared" si="102"/>
        <v>140.69999999999999</v>
      </c>
      <c r="CC608" s="185">
        <f t="shared" si="103"/>
        <v>0</v>
      </c>
      <c r="CD608" s="185">
        <f t="shared" si="104"/>
        <v>970</v>
      </c>
      <c r="CE608" s="185" t="e">
        <f>+#REF!</f>
        <v>#REF!</v>
      </c>
    </row>
    <row r="609" spans="2:83" s="197" customFormat="1" ht="37.5" x14ac:dyDescent="0.3">
      <c r="B609" s="182">
        <v>2206</v>
      </c>
      <c r="C609" s="182">
        <v>971</v>
      </c>
      <c r="D609" s="182" t="s">
        <v>130</v>
      </c>
      <c r="E609" s="181" t="s">
        <v>1830</v>
      </c>
      <c r="F609" s="182"/>
      <c r="G609" s="182">
        <v>361.2</v>
      </c>
      <c r="H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2"/>
      <c r="AH609" s="182"/>
      <c r="AI609" s="182"/>
      <c r="AJ609" s="182"/>
      <c r="AK609" s="182"/>
      <c r="AL609" s="182"/>
      <c r="AM609" s="182"/>
      <c r="AN609" s="182"/>
      <c r="AO609" s="182"/>
      <c r="AP609" s="182"/>
      <c r="AQ609" s="185">
        <f t="shared" si="101"/>
        <v>361.2</v>
      </c>
      <c r="AR609" s="182">
        <v>239.03</v>
      </c>
      <c r="AS609" s="182">
        <v>16.47</v>
      </c>
      <c r="AT609" s="182">
        <v>90.4</v>
      </c>
      <c r="AU609" s="182">
        <v>15.3</v>
      </c>
      <c r="AV609" s="182"/>
      <c r="AW609" s="182"/>
      <c r="AX609" s="182"/>
      <c r="AY609" s="182"/>
      <c r="AZ609" s="182"/>
      <c r="BA609" s="182"/>
      <c r="BB609" s="182"/>
      <c r="BC609" s="182"/>
      <c r="BD609" s="182"/>
      <c r="BE609" s="182"/>
      <c r="BF609" s="182"/>
      <c r="BG609" s="182"/>
      <c r="BH609" s="182"/>
      <c r="BI609" s="182"/>
      <c r="BJ609" s="182"/>
      <c r="BK609" s="182"/>
      <c r="BL609" s="182"/>
      <c r="BM609" s="182"/>
      <c r="BN609" s="182"/>
      <c r="BO609" s="182"/>
      <c r="BP609" s="182"/>
      <c r="BQ609" s="182"/>
      <c r="BR609" s="182"/>
      <c r="BS609" s="182"/>
      <c r="BT609" s="182"/>
      <c r="BU609" s="182"/>
      <c r="BV609" s="182"/>
      <c r="BW609" s="182"/>
      <c r="BX609" s="182"/>
      <c r="BY609" s="182"/>
      <c r="BZ609" s="182"/>
      <c r="CA609" s="182"/>
      <c r="CB609" s="185">
        <f t="shared" si="102"/>
        <v>361.2</v>
      </c>
      <c r="CC609" s="185">
        <f t="shared" si="103"/>
        <v>0</v>
      </c>
      <c r="CD609" s="185">
        <f t="shared" si="104"/>
        <v>971</v>
      </c>
      <c r="CE609" s="185" t="e">
        <f>+#REF!</f>
        <v>#REF!</v>
      </c>
    </row>
    <row r="610" spans="2:83" s="197" customFormat="1" ht="37.5" x14ac:dyDescent="0.3">
      <c r="B610" s="182">
        <v>2205</v>
      </c>
      <c r="C610" s="182">
        <v>972</v>
      </c>
      <c r="D610" s="182" t="s">
        <v>130</v>
      </c>
      <c r="E610" s="181" t="s">
        <v>485</v>
      </c>
      <c r="F610" s="182"/>
      <c r="G610" s="182">
        <v>46.9</v>
      </c>
      <c r="H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  <c r="Z610" s="182"/>
      <c r="AA610" s="182"/>
      <c r="AB610" s="182"/>
      <c r="AC610" s="182"/>
      <c r="AD610" s="182"/>
      <c r="AE610" s="182"/>
      <c r="AF610" s="182"/>
      <c r="AG610" s="182"/>
      <c r="AH610" s="182"/>
      <c r="AI610" s="182"/>
      <c r="AJ610" s="182"/>
      <c r="AK610" s="182"/>
      <c r="AL610" s="182"/>
      <c r="AM610" s="182"/>
      <c r="AN610" s="182"/>
      <c r="AO610" s="182"/>
      <c r="AP610" s="182"/>
      <c r="AQ610" s="185">
        <f t="shared" si="101"/>
        <v>46.9</v>
      </c>
      <c r="AR610" s="182">
        <v>32.76</v>
      </c>
      <c r="AS610" s="182">
        <v>0.84</v>
      </c>
      <c r="AT610" s="182">
        <v>11.3</v>
      </c>
      <c r="AU610" s="182">
        <v>2</v>
      </c>
      <c r="AV610" s="182"/>
      <c r="AW610" s="182"/>
      <c r="AX610" s="182"/>
      <c r="AY610" s="182"/>
      <c r="AZ610" s="182"/>
      <c r="BA610" s="182"/>
      <c r="BB610" s="182"/>
      <c r="BC610" s="182"/>
      <c r="BD610" s="182"/>
      <c r="BE610" s="182"/>
      <c r="BF610" s="182"/>
      <c r="BG610" s="182"/>
      <c r="BH610" s="182"/>
      <c r="BI610" s="182"/>
      <c r="BJ610" s="182"/>
      <c r="BK610" s="182"/>
      <c r="BL610" s="182"/>
      <c r="BM610" s="182"/>
      <c r="BN610" s="182"/>
      <c r="BO610" s="182"/>
      <c r="BP610" s="182"/>
      <c r="BQ610" s="182"/>
      <c r="BR610" s="182"/>
      <c r="BS610" s="182"/>
      <c r="BT610" s="182"/>
      <c r="BU610" s="182"/>
      <c r="BV610" s="182"/>
      <c r="BW610" s="182"/>
      <c r="BX610" s="182"/>
      <c r="BY610" s="182"/>
      <c r="BZ610" s="182"/>
      <c r="CA610" s="182"/>
      <c r="CB610" s="185">
        <f t="shared" si="102"/>
        <v>46.900000000000006</v>
      </c>
      <c r="CC610" s="185">
        <f t="shared" si="103"/>
        <v>0</v>
      </c>
      <c r="CD610" s="185">
        <f t="shared" si="104"/>
        <v>972</v>
      </c>
      <c r="CE610" s="185" t="e">
        <f>+#REF!</f>
        <v>#REF!</v>
      </c>
    </row>
    <row r="611" spans="2:83" s="197" customFormat="1" ht="37.5" x14ac:dyDescent="0.3">
      <c r="B611" s="182">
        <v>2204</v>
      </c>
      <c r="C611" s="182">
        <v>973</v>
      </c>
      <c r="D611" s="182" t="s">
        <v>130</v>
      </c>
      <c r="E611" s="181" t="s">
        <v>485</v>
      </c>
      <c r="F611" s="182"/>
      <c r="G611" s="182">
        <v>211.05</v>
      </c>
      <c r="H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2"/>
      <c r="AH611" s="182"/>
      <c r="AI611" s="182"/>
      <c r="AJ611" s="182"/>
      <c r="AK611" s="182"/>
      <c r="AL611" s="182"/>
      <c r="AM611" s="182"/>
      <c r="AN611" s="182"/>
      <c r="AO611" s="182"/>
      <c r="AP611" s="182"/>
      <c r="AQ611" s="185">
        <f t="shared" si="101"/>
        <v>211.05</v>
      </c>
      <c r="AR611" s="182">
        <v>131.84</v>
      </c>
      <c r="AS611" s="182">
        <v>19.36</v>
      </c>
      <c r="AT611" s="182">
        <v>50.85</v>
      </c>
      <c r="AU611" s="182">
        <v>9</v>
      </c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182"/>
      <c r="BK611" s="182"/>
      <c r="BL611" s="182"/>
      <c r="BM611" s="182"/>
      <c r="BN611" s="182"/>
      <c r="BO611" s="182"/>
      <c r="BP611" s="182"/>
      <c r="BQ611" s="182"/>
      <c r="BR611" s="182"/>
      <c r="BS611" s="182"/>
      <c r="BT611" s="182"/>
      <c r="BU611" s="182"/>
      <c r="BV611" s="182"/>
      <c r="BW611" s="182"/>
      <c r="BX611" s="182"/>
      <c r="BY611" s="182"/>
      <c r="BZ611" s="182"/>
      <c r="CA611" s="182"/>
      <c r="CB611" s="185">
        <f t="shared" si="102"/>
        <v>211.04999999999998</v>
      </c>
      <c r="CC611" s="185">
        <f t="shared" si="103"/>
        <v>0</v>
      </c>
      <c r="CD611" s="185">
        <f t="shared" si="104"/>
        <v>973</v>
      </c>
      <c r="CE611" s="185" t="e">
        <f>+#REF!</f>
        <v>#REF!</v>
      </c>
    </row>
    <row r="612" spans="2:83" s="197" customFormat="1" ht="37.5" x14ac:dyDescent="0.3">
      <c r="B612" s="182">
        <v>2203</v>
      </c>
      <c r="C612" s="182">
        <v>974</v>
      </c>
      <c r="D612" s="182" t="s">
        <v>130</v>
      </c>
      <c r="E612" s="181" t="s">
        <v>492</v>
      </c>
      <c r="F612" s="182"/>
      <c r="G612" s="182">
        <v>87.94</v>
      </c>
      <c r="H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2"/>
      <c r="AH612" s="182"/>
      <c r="AI612" s="182"/>
      <c r="AJ612" s="182"/>
      <c r="AK612" s="182"/>
      <c r="AL612" s="182"/>
      <c r="AM612" s="182"/>
      <c r="AN612" s="182"/>
      <c r="AO612" s="182"/>
      <c r="AP612" s="182"/>
      <c r="AQ612" s="185">
        <f t="shared" si="101"/>
        <v>87.94</v>
      </c>
      <c r="AR612" s="182">
        <v>53.46</v>
      </c>
      <c r="AS612" s="182">
        <v>9.5399999999999991</v>
      </c>
      <c r="AT612" s="182">
        <v>21.19</v>
      </c>
      <c r="AU612" s="182">
        <v>3.75</v>
      </c>
      <c r="AV612" s="182"/>
      <c r="AW612" s="182"/>
      <c r="AX612" s="182"/>
      <c r="AY612" s="182"/>
      <c r="AZ612" s="182"/>
      <c r="BA612" s="182"/>
      <c r="BB612" s="182"/>
      <c r="BC612" s="182"/>
      <c r="BD612" s="182"/>
      <c r="BE612" s="182"/>
      <c r="BF612" s="182"/>
      <c r="BG612" s="182"/>
      <c r="BH612" s="182"/>
      <c r="BI612" s="182"/>
      <c r="BJ612" s="182"/>
      <c r="BK612" s="182"/>
      <c r="BL612" s="182"/>
      <c r="BM612" s="182"/>
      <c r="BN612" s="182"/>
      <c r="BO612" s="182"/>
      <c r="BP612" s="182"/>
      <c r="BQ612" s="182"/>
      <c r="BR612" s="182"/>
      <c r="BS612" s="182"/>
      <c r="BT612" s="182"/>
      <c r="BU612" s="182"/>
      <c r="BV612" s="182"/>
      <c r="BW612" s="182"/>
      <c r="BX612" s="182"/>
      <c r="BY612" s="182"/>
      <c r="BZ612" s="182"/>
      <c r="CA612" s="182"/>
      <c r="CB612" s="185">
        <f t="shared" si="102"/>
        <v>87.94</v>
      </c>
      <c r="CC612" s="185">
        <f t="shared" si="103"/>
        <v>0</v>
      </c>
      <c r="CD612" s="185">
        <f t="shared" si="104"/>
        <v>974</v>
      </c>
      <c r="CE612" s="185" t="e">
        <f>+#REF!</f>
        <v>#REF!</v>
      </c>
    </row>
    <row r="613" spans="2:83" s="197" customFormat="1" ht="37.5" x14ac:dyDescent="0.3">
      <c r="B613" s="182">
        <v>2202</v>
      </c>
      <c r="C613" s="182">
        <v>975</v>
      </c>
      <c r="D613" s="182" t="s">
        <v>130</v>
      </c>
      <c r="E613" s="181" t="s">
        <v>4762</v>
      </c>
      <c r="F613" s="182"/>
      <c r="G613" s="182">
        <v>2000</v>
      </c>
      <c r="H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  <c r="Z613" s="182"/>
      <c r="AA613" s="182"/>
      <c r="AB613" s="182"/>
      <c r="AC613" s="182"/>
      <c r="AD613" s="182"/>
      <c r="AE613" s="182"/>
      <c r="AF613" s="182"/>
      <c r="AG613" s="182"/>
      <c r="AH613" s="182"/>
      <c r="AI613" s="182"/>
      <c r="AJ613" s="182"/>
      <c r="AK613" s="182"/>
      <c r="AL613" s="182"/>
      <c r="AM613" s="182"/>
      <c r="AN613" s="182"/>
      <c r="AO613" s="182"/>
      <c r="AP613" s="182"/>
      <c r="AQ613" s="185">
        <f t="shared" si="101"/>
        <v>2000</v>
      </c>
      <c r="AR613" s="182">
        <v>1686.7</v>
      </c>
      <c r="AS613" s="182">
        <v>213.3</v>
      </c>
      <c r="AT613" s="182"/>
      <c r="AU613" s="182">
        <v>100</v>
      </c>
      <c r="AV613" s="182"/>
      <c r="AW613" s="182"/>
      <c r="AX613" s="182"/>
      <c r="AY613" s="182"/>
      <c r="AZ613" s="182"/>
      <c r="BA613" s="182"/>
      <c r="BB613" s="182"/>
      <c r="BC613" s="182"/>
      <c r="BD613" s="182"/>
      <c r="BE613" s="182"/>
      <c r="BF613" s="182"/>
      <c r="BG613" s="182"/>
      <c r="BH613" s="182"/>
      <c r="BI613" s="182"/>
      <c r="BJ613" s="182"/>
      <c r="BK613" s="182"/>
      <c r="BL613" s="182"/>
      <c r="BM613" s="182"/>
      <c r="BN613" s="182"/>
      <c r="BO613" s="182"/>
      <c r="BP613" s="182"/>
      <c r="BQ613" s="182"/>
      <c r="BR613" s="182"/>
      <c r="BS613" s="182"/>
      <c r="BT613" s="182"/>
      <c r="BU613" s="182"/>
      <c r="BV613" s="182"/>
      <c r="BW613" s="182"/>
      <c r="BX613" s="182"/>
      <c r="BY613" s="182"/>
      <c r="BZ613" s="182"/>
      <c r="CA613" s="182"/>
      <c r="CB613" s="185">
        <f t="shared" si="102"/>
        <v>2000</v>
      </c>
      <c r="CC613" s="185">
        <f t="shared" si="103"/>
        <v>0</v>
      </c>
      <c r="CD613" s="185">
        <f t="shared" si="104"/>
        <v>975</v>
      </c>
      <c r="CE613" s="185" t="e">
        <f>+#REF!</f>
        <v>#REF!</v>
      </c>
    </row>
    <row r="614" spans="2:83" s="197" customFormat="1" ht="37.5" x14ac:dyDescent="0.3">
      <c r="B614" s="182">
        <v>2201</v>
      </c>
      <c r="C614" s="182">
        <v>976</v>
      </c>
      <c r="D614" s="182" t="s">
        <v>130</v>
      </c>
      <c r="E614" s="181" t="s">
        <v>4763</v>
      </c>
      <c r="F614" s="182"/>
      <c r="G614" s="182">
        <v>311.12</v>
      </c>
      <c r="H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2"/>
      <c r="AH614" s="182"/>
      <c r="AI614" s="182"/>
      <c r="AJ614" s="182"/>
      <c r="AK614" s="182"/>
      <c r="AL614" s="182"/>
      <c r="AM614" s="182"/>
      <c r="AN614" s="182"/>
      <c r="AO614" s="182"/>
      <c r="AP614" s="182"/>
      <c r="AQ614" s="185">
        <f t="shared" si="101"/>
        <v>311.12</v>
      </c>
      <c r="AR614" s="182">
        <v>195.32</v>
      </c>
      <c r="AS614" s="182">
        <v>27.57</v>
      </c>
      <c r="AT614" s="182">
        <v>74.95</v>
      </c>
      <c r="AU614" s="182">
        <v>13.28</v>
      </c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/>
      <c r="BH614" s="182"/>
      <c r="BI614" s="182"/>
      <c r="BJ614" s="182"/>
      <c r="BK614" s="182"/>
      <c r="BL614" s="182"/>
      <c r="BM614" s="182"/>
      <c r="BN614" s="182"/>
      <c r="BO614" s="182"/>
      <c r="BP614" s="182"/>
      <c r="BQ614" s="182"/>
      <c r="BR614" s="182"/>
      <c r="BS614" s="182"/>
      <c r="BT614" s="182"/>
      <c r="BU614" s="182"/>
      <c r="BV614" s="182"/>
      <c r="BW614" s="182"/>
      <c r="BX614" s="182"/>
      <c r="BY614" s="182"/>
      <c r="BZ614" s="182"/>
      <c r="CA614" s="182"/>
      <c r="CB614" s="185">
        <f t="shared" si="102"/>
        <v>311.11999999999995</v>
      </c>
      <c r="CC614" s="185">
        <f t="shared" si="103"/>
        <v>0</v>
      </c>
      <c r="CD614" s="185">
        <f t="shared" si="104"/>
        <v>976</v>
      </c>
      <c r="CE614" s="185" t="e">
        <f>+#REF!</f>
        <v>#REF!</v>
      </c>
    </row>
    <row r="615" spans="2:83" s="197" customFormat="1" ht="37.5" x14ac:dyDescent="0.3">
      <c r="B615" s="182">
        <v>2200</v>
      </c>
      <c r="C615" s="182">
        <v>977</v>
      </c>
      <c r="D615" s="182" t="s">
        <v>130</v>
      </c>
      <c r="E615" s="181" t="s">
        <v>490</v>
      </c>
      <c r="F615" s="182"/>
      <c r="G615" s="182">
        <v>93.8</v>
      </c>
      <c r="H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2"/>
      <c r="AH615" s="182"/>
      <c r="AI615" s="182"/>
      <c r="AJ615" s="182"/>
      <c r="AK615" s="182"/>
      <c r="AL615" s="182"/>
      <c r="AM615" s="182"/>
      <c r="AN615" s="182"/>
      <c r="AO615" s="182"/>
      <c r="AP615" s="182"/>
      <c r="AQ615" s="185">
        <f t="shared" si="101"/>
        <v>93.8</v>
      </c>
      <c r="AR615" s="182">
        <v>58.8</v>
      </c>
      <c r="AS615" s="182">
        <v>8.4</v>
      </c>
      <c r="AT615" s="182">
        <v>22.6</v>
      </c>
      <c r="AU615" s="182">
        <v>4</v>
      </c>
      <c r="AV615" s="182"/>
      <c r="AW615" s="182"/>
      <c r="AX615" s="182"/>
      <c r="AY615" s="182"/>
      <c r="AZ615" s="182"/>
      <c r="BA615" s="182"/>
      <c r="BB615" s="182"/>
      <c r="BC615" s="182"/>
      <c r="BD615" s="182"/>
      <c r="BE615" s="182"/>
      <c r="BF615" s="182"/>
      <c r="BG615" s="182"/>
      <c r="BH615" s="182"/>
      <c r="BI615" s="182"/>
      <c r="BJ615" s="182"/>
      <c r="BK615" s="182"/>
      <c r="BL615" s="182"/>
      <c r="BM615" s="182"/>
      <c r="BN615" s="182"/>
      <c r="BO615" s="182"/>
      <c r="BP615" s="182"/>
      <c r="BQ615" s="182"/>
      <c r="BR615" s="182"/>
      <c r="BS615" s="182"/>
      <c r="BT615" s="182"/>
      <c r="BU615" s="182"/>
      <c r="BV615" s="182"/>
      <c r="BW615" s="182"/>
      <c r="BX615" s="182"/>
      <c r="BY615" s="182"/>
      <c r="BZ615" s="182"/>
      <c r="CA615" s="182"/>
      <c r="CB615" s="185">
        <f t="shared" si="102"/>
        <v>93.800000000000011</v>
      </c>
      <c r="CC615" s="185">
        <f t="shared" si="103"/>
        <v>0</v>
      </c>
      <c r="CD615" s="185">
        <f t="shared" si="104"/>
        <v>977</v>
      </c>
      <c r="CE615" s="185" t="e">
        <f>+#REF!</f>
        <v>#REF!</v>
      </c>
    </row>
    <row r="616" spans="2:83" s="197" customFormat="1" ht="37.5" x14ac:dyDescent="0.3">
      <c r="B616" s="182">
        <v>2199</v>
      </c>
      <c r="C616" s="182">
        <v>978</v>
      </c>
      <c r="D616" s="182" t="s">
        <v>130</v>
      </c>
      <c r="E616" s="181" t="s">
        <v>1029</v>
      </c>
      <c r="F616" s="182"/>
      <c r="G616" s="182">
        <v>140.69999999999999</v>
      </c>
      <c r="H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  <c r="Z616" s="182"/>
      <c r="AA616" s="182"/>
      <c r="AB616" s="182"/>
      <c r="AC616" s="182"/>
      <c r="AD616" s="182"/>
      <c r="AE616" s="182"/>
      <c r="AF616" s="182"/>
      <c r="AG616" s="182"/>
      <c r="AH616" s="182"/>
      <c r="AI616" s="182"/>
      <c r="AJ616" s="182"/>
      <c r="AK616" s="182"/>
      <c r="AL616" s="182"/>
      <c r="AM616" s="182"/>
      <c r="AN616" s="182"/>
      <c r="AO616" s="182"/>
      <c r="AP616" s="182"/>
      <c r="AQ616" s="185">
        <f t="shared" si="101"/>
        <v>140.69999999999999</v>
      </c>
      <c r="AR616" s="182">
        <v>90.72</v>
      </c>
      <c r="AS616" s="182">
        <v>10.08</v>
      </c>
      <c r="AT616" s="182">
        <v>33.9</v>
      </c>
      <c r="AU616" s="182">
        <v>6</v>
      </c>
      <c r="AV616" s="182"/>
      <c r="AW616" s="182"/>
      <c r="AX616" s="182"/>
      <c r="AY616" s="182"/>
      <c r="AZ616" s="182"/>
      <c r="BA616" s="182"/>
      <c r="BB616" s="182"/>
      <c r="BC616" s="182"/>
      <c r="BD616" s="182"/>
      <c r="BE616" s="182"/>
      <c r="BF616" s="182"/>
      <c r="BG616" s="182"/>
      <c r="BH616" s="182"/>
      <c r="BI616" s="182"/>
      <c r="BJ616" s="182"/>
      <c r="BK616" s="182"/>
      <c r="BL616" s="182"/>
      <c r="BM616" s="182"/>
      <c r="BN616" s="182"/>
      <c r="BO616" s="182"/>
      <c r="BP616" s="182"/>
      <c r="BQ616" s="182"/>
      <c r="BR616" s="182"/>
      <c r="BS616" s="182"/>
      <c r="BT616" s="182"/>
      <c r="BU616" s="182"/>
      <c r="BV616" s="182"/>
      <c r="BW616" s="182"/>
      <c r="BX616" s="182"/>
      <c r="BY616" s="182"/>
      <c r="BZ616" s="182"/>
      <c r="CA616" s="182"/>
      <c r="CB616" s="185">
        <f t="shared" si="102"/>
        <v>140.69999999999999</v>
      </c>
      <c r="CC616" s="185">
        <f t="shared" si="103"/>
        <v>0</v>
      </c>
      <c r="CD616" s="185">
        <f t="shared" si="104"/>
        <v>978</v>
      </c>
      <c r="CE616" s="185" t="e">
        <f>+#REF!</f>
        <v>#REF!</v>
      </c>
    </row>
    <row r="617" spans="2:83" s="197" customFormat="1" ht="37.5" x14ac:dyDescent="0.3">
      <c r="B617" s="182">
        <v>2198</v>
      </c>
      <c r="C617" s="182">
        <v>979</v>
      </c>
      <c r="D617" s="182" t="s">
        <v>130</v>
      </c>
      <c r="E617" s="181" t="s">
        <v>4764</v>
      </c>
      <c r="F617" s="182"/>
      <c r="G617" s="182">
        <v>175.86</v>
      </c>
      <c r="H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2"/>
      <c r="AH617" s="182"/>
      <c r="AI617" s="182"/>
      <c r="AJ617" s="182"/>
      <c r="AK617" s="182"/>
      <c r="AL617" s="182"/>
      <c r="AM617" s="182"/>
      <c r="AN617" s="182"/>
      <c r="AO617" s="182"/>
      <c r="AP617" s="182"/>
      <c r="AQ617" s="185">
        <f t="shared" si="101"/>
        <v>175.86</v>
      </c>
      <c r="AR617" s="182">
        <v>113.4</v>
      </c>
      <c r="AS617" s="182">
        <v>12.6</v>
      </c>
      <c r="AT617" s="182">
        <v>42.36</v>
      </c>
      <c r="AU617" s="182">
        <v>7.5</v>
      </c>
      <c r="AV617" s="182"/>
      <c r="AW617" s="182"/>
      <c r="AX617" s="182"/>
      <c r="AY617" s="182"/>
      <c r="AZ617" s="182"/>
      <c r="BA617" s="182"/>
      <c r="BB617" s="182"/>
      <c r="BC617" s="182"/>
      <c r="BD617" s="182"/>
      <c r="BE617" s="182"/>
      <c r="BF617" s="182"/>
      <c r="BG617" s="182"/>
      <c r="BH617" s="182"/>
      <c r="BI617" s="182"/>
      <c r="BJ617" s="182"/>
      <c r="BK617" s="182"/>
      <c r="BL617" s="182"/>
      <c r="BM617" s="182"/>
      <c r="BN617" s="182"/>
      <c r="BO617" s="182"/>
      <c r="BP617" s="182"/>
      <c r="BQ617" s="182"/>
      <c r="BR617" s="182"/>
      <c r="BS617" s="182"/>
      <c r="BT617" s="182"/>
      <c r="BU617" s="182"/>
      <c r="BV617" s="182"/>
      <c r="BW617" s="182"/>
      <c r="BX617" s="182"/>
      <c r="BY617" s="182"/>
      <c r="BZ617" s="182"/>
      <c r="CA617" s="182"/>
      <c r="CB617" s="185">
        <f t="shared" si="102"/>
        <v>175.86</v>
      </c>
      <c r="CC617" s="185">
        <f t="shared" si="103"/>
        <v>0</v>
      </c>
      <c r="CD617" s="185">
        <f t="shared" si="104"/>
        <v>979</v>
      </c>
      <c r="CE617" s="185" t="e">
        <f>+#REF!</f>
        <v>#REF!</v>
      </c>
    </row>
    <row r="618" spans="2:83" s="197" customFormat="1" ht="37.5" x14ac:dyDescent="0.3">
      <c r="B618" s="182">
        <v>2197</v>
      </c>
      <c r="C618" s="182">
        <v>980</v>
      </c>
      <c r="D618" s="182" t="s">
        <v>130</v>
      </c>
      <c r="E618" s="181" t="s">
        <v>4765</v>
      </c>
      <c r="F618" s="182"/>
      <c r="G618" s="182">
        <v>58.62</v>
      </c>
      <c r="H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2"/>
      <c r="AH618" s="182"/>
      <c r="AI618" s="182"/>
      <c r="AJ618" s="182"/>
      <c r="AK618" s="182"/>
      <c r="AL618" s="182"/>
      <c r="AM618" s="182"/>
      <c r="AN618" s="182"/>
      <c r="AO618" s="182"/>
      <c r="AP618" s="182"/>
      <c r="AQ618" s="185">
        <f t="shared" si="101"/>
        <v>58.62</v>
      </c>
      <c r="AR618" s="182">
        <v>35.700000000000003</v>
      </c>
      <c r="AS618" s="182">
        <v>6.3</v>
      </c>
      <c r="AT618" s="182">
        <v>14.12</v>
      </c>
      <c r="AU618" s="182">
        <v>2.5</v>
      </c>
      <c r="AV618" s="182"/>
      <c r="AW618" s="182"/>
      <c r="AX618" s="182"/>
      <c r="AY618" s="182"/>
      <c r="AZ618" s="182"/>
      <c r="BA618" s="182"/>
      <c r="BB618" s="182"/>
      <c r="BC618" s="182"/>
      <c r="BD618" s="182"/>
      <c r="BE618" s="182"/>
      <c r="BF618" s="182"/>
      <c r="BG618" s="182"/>
      <c r="BH618" s="182"/>
      <c r="BI618" s="182"/>
      <c r="BJ618" s="182"/>
      <c r="BK618" s="182"/>
      <c r="BL618" s="182"/>
      <c r="BM618" s="182"/>
      <c r="BN618" s="182"/>
      <c r="BO618" s="182"/>
      <c r="BP618" s="182"/>
      <c r="BQ618" s="182"/>
      <c r="BR618" s="182"/>
      <c r="BS618" s="182"/>
      <c r="BT618" s="182"/>
      <c r="BU618" s="182"/>
      <c r="BV618" s="182"/>
      <c r="BW618" s="182"/>
      <c r="BX618" s="182"/>
      <c r="BY618" s="182"/>
      <c r="BZ618" s="182"/>
      <c r="CA618" s="182"/>
      <c r="CB618" s="185">
        <f t="shared" si="102"/>
        <v>58.62</v>
      </c>
      <c r="CC618" s="185">
        <f t="shared" si="103"/>
        <v>0</v>
      </c>
      <c r="CD618" s="185">
        <f t="shared" si="104"/>
        <v>980</v>
      </c>
      <c r="CE618" s="185" t="e">
        <f>+#REF!</f>
        <v>#REF!</v>
      </c>
    </row>
    <row r="619" spans="2:83" s="197" customFormat="1" ht="37.5" x14ac:dyDescent="0.3">
      <c r="B619" s="182">
        <v>2196</v>
      </c>
      <c r="C619" s="182">
        <v>981</v>
      </c>
      <c r="D619" s="182" t="s">
        <v>130</v>
      </c>
      <c r="E619" s="181" t="s">
        <v>4766</v>
      </c>
      <c r="F619" s="182"/>
      <c r="G619" s="182">
        <v>762.06</v>
      </c>
      <c r="H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  <c r="Z619" s="182"/>
      <c r="AA619" s="182"/>
      <c r="AB619" s="182"/>
      <c r="AC619" s="182"/>
      <c r="AD619" s="182"/>
      <c r="AE619" s="182"/>
      <c r="AF619" s="182"/>
      <c r="AG619" s="182"/>
      <c r="AH619" s="182"/>
      <c r="AI619" s="182"/>
      <c r="AJ619" s="182"/>
      <c r="AK619" s="182"/>
      <c r="AL619" s="182"/>
      <c r="AM619" s="182"/>
      <c r="AN619" s="182"/>
      <c r="AO619" s="182"/>
      <c r="AP619" s="182"/>
      <c r="AQ619" s="185">
        <f t="shared" si="101"/>
        <v>762.06</v>
      </c>
      <c r="AR619" s="182">
        <v>466.2</v>
      </c>
      <c r="AS619" s="182">
        <v>79.8</v>
      </c>
      <c r="AT619" s="182">
        <v>183.56</v>
      </c>
      <c r="AU619" s="182">
        <v>32.5</v>
      </c>
      <c r="AV619" s="182"/>
      <c r="AW619" s="182"/>
      <c r="AX619" s="182"/>
      <c r="AY619" s="182"/>
      <c r="AZ619" s="182"/>
      <c r="BA619" s="182"/>
      <c r="BB619" s="182"/>
      <c r="BC619" s="182"/>
      <c r="BD619" s="182"/>
      <c r="BE619" s="182"/>
      <c r="BF619" s="182"/>
      <c r="BG619" s="182"/>
      <c r="BH619" s="182"/>
      <c r="BI619" s="182"/>
      <c r="BJ619" s="182"/>
      <c r="BK619" s="182"/>
      <c r="BL619" s="182"/>
      <c r="BM619" s="182"/>
      <c r="BN619" s="182"/>
      <c r="BO619" s="182"/>
      <c r="BP619" s="182"/>
      <c r="BQ619" s="182"/>
      <c r="BR619" s="182"/>
      <c r="BS619" s="182"/>
      <c r="BT619" s="182"/>
      <c r="BU619" s="182"/>
      <c r="BV619" s="182"/>
      <c r="BW619" s="182"/>
      <c r="BX619" s="182"/>
      <c r="BY619" s="182"/>
      <c r="BZ619" s="182"/>
      <c r="CA619" s="182"/>
      <c r="CB619" s="185">
        <f t="shared" si="102"/>
        <v>762.06</v>
      </c>
      <c r="CC619" s="185">
        <f t="shared" si="103"/>
        <v>0</v>
      </c>
      <c r="CD619" s="185">
        <f t="shared" si="104"/>
        <v>981</v>
      </c>
      <c r="CE619" s="185" t="e">
        <f>+#REF!</f>
        <v>#REF!</v>
      </c>
    </row>
    <row r="620" spans="2:83" s="197" customFormat="1" ht="37.5" x14ac:dyDescent="0.3">
      <c r="B620" s="182">
        <v>2195</v>
      </c>
      <c r="C620" s="182">
        <v>982</v>
      </c>
      <c r="D620" s="182" t="s">
        <v>130</v>
      </c>
      <c r="E620" s="181" t="s">
        <v>495</v>
      </c>
      <c r="F620" s="182"/>
      <c r="G620" s="182">
        <v>707.22</v>
      </c>
      <c r="H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2"/>
      <c r="AH620" s="182"/>
      <c r="AI620" s="182"/>
      <c r="AJ620" s="182"/>
      <c r="AK620" s="182"/>
      <c r="AL620" s="182"/>
      <c r="AM620" s="182"/>
      <c r="AN620" s="182"/>
      <c r="AO620" s="182"/>
      <c r="AP620" s="182"/>
      <c r="AQ620" s="185">
        <f t="shared" si="101"/>
        <v>707.22</v>
      </c>
      <c r="AR620" s="182">
        <v>471.44</v>
      </c>
      <c r="AS620" s="182">
        <v>30.18</v>
      </c>
      <c r="AT620" s="190">
        <v>175.6</v>
      </c>
      <c r="AU620" s="182">
        <v>30</v>
      </c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182"/>
      <c r="BK620" s="182"/>
      <c r="BL620" s="182"/>
      <c r="BM620" s="182"/>
      <c r="BN620" s="182"/>
      <c r="BO620" s="182"/>
      <c r="BP620" s="182"/>
      <c r="BQ620" s="182"/>
      <c r="BR620" s="182"/>
      <c r="BS620" s="182"/>
      <c r="BT620" s="182"/>
      <c r="BU620" s="182"/>
      <c r="BV620" s="182"/>
      <c r="BW620" s="182"/>
      <c r="BX620" s="182"/>
      <c r="BY620" s="182"/>
      <c r="BZ620" s="182"/>
      <c r="CA620" s="182"/>
      <c r="CB620" s="185">
        <f t="shared" si="102"/>
        <v>707.22</v>
      </c>
      <c r="CC620" s="185">
        <f t="shared" si="103"/>
        <v>0</v>
      </c>
      <c r="CD620" s="185">
        <f t="shared" si="104"/>
        <v>982</v>
      </c>
      <c r="CE620" s="185" t="e">
        <f>+#REF!</f>
        <v>#REF!</v>
      </c>
    </row>
    <row r="621" spans="2:83" s="197" customFormat="1" ht="37.5" x14ac:dyDescent="0.3">
      <c r="B621" s="182">
        <v>2194</v>
      </c>
      <c r="C621" s="182">
        <v>983</v>
      </c>
      <c r="D621" s="182" t="s">
        <v>130</v>
      </c>
      <c r="E621" s="181" t="s">
        <v>495</v>
      </c>
      <c r="F621" s="182"/>
      <c r="G621" s="182">
        <v>603.85</v>
      </c>
      <c r="H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2"/>
      <c r="AH621" s="182"/>
      <c r="AI621" s="182"/>
      <c r="AJ621" s="182"/>
      <c r="AK621" s="182"/>
      <c r="AL621" s="182"/>
      <c r="AM621" s="182"/>
      <c r="AN621" s="182"/>
      <c r="AO621" s="182"/>
      <c r="AP621" s="182"/>
      <c r="AQ621" s="185">
        <f t="shared" si="101"/>
        <v>603.85</v>
      </c>
      <c r="AR621" s="182">
        <v>369.33</v>
      </c>
      <c r="AS621" s="182">
        <v>63.27</v>
      </c>
      <c r="AT621" s="182">
        <v>145.5</v>
      </c>
      <c r="AU621" s="182">
        <v>25.75</v>
      </c>
      <c r="AV621" s="182"/>
      <c r="AW621" s="182"/>
      <c r="AX621" s="182"/>
      <c r="AY621" s="182"/>
      <c r="AZ621" s="182"/>
      <c r="BA621" s="182"/>
      <c r="BB621" s="182"/>
      <c r="BC621" s="182"/>
      <c r="BD621" s="182"/>
      <c r="BE621" s="182"/>
      <c r="BF621" s="182"/>
      <c r="BG621" s="182"/>
      <c r="BH621" s="182"/>
      <c r="BI621" s="182"/>
      <c r="BJ621" s="182"/>
      <c r="BK621" s="182"/>
      <c r="BL621" s="182"/>
      <c r="BM621" s="182"/>
      <c r="BN621" s="182"/>
      <c r="BO621" s="182"/>
      <c r="BP621" s="182"/>
      <c r="BQ621" s="182"/>
      <c r="BR621" s="182"/>
      <c r="BS621" s="182"/>
      <c r="BT621" s="182"/>
      <c r="BU621" s="182"/>
      <c r="BV621" s="182"/>
      <c r="BW621" s="182"/>
      <c r="BX621" s="182"/>
      <c r="BY621" s="182"/>
      <c r="BZ621" s="182"/>
      <c r="CA621" s="182"/>
      <c r="CB621" s="185">
        <f t="shared" si="102"/>
        <v>603.84999999999991</v>
      </c>
      <c r="CC621" s="185">
        <f t="shared" si="103"/>
        <v>0</v>
      </c>
      <c r="CD621" s="185">
        <f t="shared" si="104"/>
        <v>983</v>
      </c>
      <c r="CE621" s="185" t="e">
        <f>+#REF!</f>
        <v>#REF!</v>
      </c>
    </row>
    <row r="622" spans="2:83" s="197" customFormat="1" ht="37.5" x14ac:dyDescent="0.3">
      <c r="B622" s="182">
        <v>2193</v>
      </c>
      <c r="C622" s="182">
        <v>984</v>
      </c>
      <c r="D622" s="182" t="s">
        <v>130</v>
      </c>
      <c r="E622" s="181" t="s">
        <v>496</v>
      </c>
      <c r="F622" s="182"/>
      <c r="G622" s="182">
        <v>436.75</v>
      </c>
      <c r="H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  <c r="Z622" s="182"/>
      <c r="AA622" s="182"/>
      <c r="AB622" s="182"/>
      <c r="AC622" s="182"/>
      <c r="AD622" s="182"/>
      <c r="AE622" s="182"/>
      <c r="AF622" s="182"/>
      <c r="AG622" s="182"/>
      <c r="AH622" s="182"/>
      <c r="AI622" s="182"/>
      <c r="AJ622" s="182"/>
      <c r="AK622" s="182"/>
      <c r="AL622" s="182"/>
      <c r="AM622" s="182"/>
      <c r="AN622" s="182"/>
      <c r="AO622" s="182"/>
      <c r="AP622" s="182"/>
      <c r="AQ622" s="185">
        <f t="shared" si="101"/>
        <v>436.75</v>
      </c>
      <c r="AR622" s="182">
        <v>297.35000000000002</v>
      </c>
      <c r="AS622" s="182">
        <v>15.55</v>
      </c>
      <c r="AT622" s="182">
        <v>105.23</v>
      </c>
      <c r="AU622" s="182">
        <v>18.62</v>
      </c>
      <c r="AV622" s="182"/>
      <c r="AW622" s="182"/>
      <c r="AX622" s="182"/>
      <c r="AY622" s="182"/>
      <c r="AZ622" s="182"/>
      <c r="BA622" s="182"/>
      <c r="BB622" s="182"/>
      <c r="BC622" s="182"/>
      <c r="BD622" s="182"/>
      <c r="BE622" s="182"/>
      <c r="BF622" s="182"/>
      <c r="BG622" s="182"/>
      <c r="BH622" s="182"/>
      <c r="BI622" s="182"/>
      <c r="BJ622" s="182"/>
      <c r="BK622" s="182"/>
      <c r="BL622" s="182"/>
      <c r="BM622" s="182"/>
      <c r="BN622" s="182"/>
      <c r="BO622" s="182"/>
      <c r="BP622" s="182"/>
      <c r="BQ622" s="182"/>
      <c r="BR622" s="182"/>
      <c r="BS622" s="182"/>
      <c r="BT622" s="182"/>
      <c r="BU622" s="182"/>
      <c r="BV622" s="182"/>
      <c r="BW622" s="182"/>
      <c r="BX622" s="182"/>
      <c r="BY622" s="182"/>
      <c r="BZ622" s="182"/>
      <c r="CA622" s="182"/>
      <c r="CB622" s="185">
        <f t="shared" si="102"/>
        <v>436.75000000000006</v>
      </c>
      <c r="CC622" s="185">
        <f t="shared" si="103"/>
        <v>0</v>
      </c>
      <c r="CD622" s="185">
        <f t="shared" si="104"/>
        <v>984</v>
      </c>
      <c r="CE622" s="185" t="e">
        <f>+#REF!</f>
        <v>#REF!</v>
      </c>
    </row>
    <row r="623" spans="2:83" s="197" customFormat="1" ht="37.5" x14ac:dyDescent="0.3">
      <c r="B623" s="182">
        <v>2192</v>
      </c>
      <c r="C623" s="182">
        <v>985</v>
      </c>
      <c r="D623" s="182" t="s">
        <v>130</v>
      </c>
      <c r="E623" s="181" t="s">
        <v>496</v>
      </c>
      <c r="F623" s="182"/>
      <c r="G623" s="182">
        <v>1150.53</v>
      </c>
      <c r="H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182"/>
      <c r="AI623" s="182"/>
      <c r="AJ623" s="182"/>
      <c r="AK623" s="182"/>
      <c r="AL623" s="182"/>
      <c r="AM623" s="182"/>
      <c r="AN623" s="182"/>
      <c r="AO623" s="182"/>
      <c r="AP623" s="182"/>
      <c r="AQ623" s="185">
        <f t="shared" si="101"/>
        <v>1150.53</v>
      </c>
      <c r="AR623" s="182">
        <v>708.94</v>
      </c>
      <c r="AS623" s="182">
        <v>115.33</v>
      </c>
      <c r="AT623" s="182">
        <v>277.19</v>
      </c>
      <c r="AU623" s="182">
        <v>49.07</v>
      </c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182"/>
      <c r="BK623" s="182"/>
      <c r="BL623" s="182"/>
      <c r="BM623" s="182"/>
      <c r="BN623" s="182"/>
      <c r="BO623" s="182"/>
      <c r="BP623" s="182"/>
      <c r="BQ623" s="182"/>
      <c r="BR623" s="182"/>
      <c r="BS623" s="182"/>
      <c r="BT623" s="182"/>
      <c r="BU623" s="182"/>
      <c r="BV623" s="182"/>
      <c r="BW623" s="182"/>
      <c r="BX623" s="182"/>
      <c r="BY623" s="182"/>
      <c r="BZ623" s="182"/>
      <c r="CA623" s="182"/>
      <c r="CB623" s="185">
        <f t="shared" si="102"/>
        <v>1150.53</v>
      </c>
      <c r="CC623" s="185">
        <f t="shared" si="103"/>
        <v>0</v>
      </c>
      <c r="CD623" s="185">
        <f t="shared" si="104"/>
        <v>985</v>
      </c>
      <c r="CE623" s="185" t="e">
        <f>+#REF!</f>
        <v>#REF!</v>
      </c>
    </row>
    <row r="624" spans="2:83" s="197" customFormat="1" ht="37.5" x14ac:dyDescent="0.3">
      <c r="B624" s="182">
        <v>2191</v>
      </c>
      <c r="C624" s="182">
        <v>1009</v>
      </c>
      <c r="D624" s="182" t="s">
        <v>130</v>
      </c>
      <c r="E624" s="181" t="s">
        <v>1026</v>
      </c>
      <c r="F624" s="182"/>
      <c r="G624" s="182">
        <v>158.29</v>
      </c>
      <c r="H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2"/>
      <c r="AH624" s="182"/>
      <c r="AI624" s="182"/>
      <c r="AJ624" s="182"/>
      <c r="AK624" s="182"/>
      <c r="AL624" s="182"/>
      <c r="AM624" s="182"/>
      <c r="AN624" s="182"/>
      <c r="AO624" s="182"/>
      <c r="AP624" s="182"/>
      <c r="AQ624" s="185">
        <f t="shared" si="101"/>
        <v>158.29</v>
      </c>
      <c r="AR624" s="182">
        <v>98.77</v>
      </c>
      <c r="AS624" s="182">
        <v>14.63</v>
      </c>
      <c r="AT624" s="182">
        <v>38.14</v>
      </c>
      <c r="AU624" s="182">
        <v>6.75</v>
      </c>
      <c r="AV624" s="182"/>
      <c r="AW624" s="182"/>
      <c r="AX624" s="182"/>
      <c r="AY624" s="182"/>
      <c r="AZ624" s="182"/>
      <c r="BA624" s="182"/>
      <c r="BB624" s="182"/>
      <c r="BC624" s="182"/>
      <c r="BD624" s="182"/>
      <c r="BE624" s="182"/>
      <c r="BF624" s="182"/>
      <c r="BG624" s="182"/>
      <c r="BH624" s="182"/>
      <c r="BI624" s="182"/>
      <c r="BJ624" s="182"/>
      <c r="BK624" s="182"/>
      <c r="BL624" s="182"/>
      <c r="BM624" s="182"/>
      <c r="BN624" s="182"/>
      <c r="BO624" s="182"/>
      <c r="BP624" s="182"/>
      <c r="BQ624" s="182"/>
      <c r="BR624" s="182"/>
      <c r="BS624" s="182"/>
      <c r="BT624" s="182"/>
      <c r="BU624" s="182"/>
      <c r="BV624" s="182"/>
      <c r="BW624" s="182"/>
      <c r="BX624" s="182"/>
      <c r="BY624" s="182"/>
      <c r="BZ624" s="182"/>
      <c r="CA624" s="182"/>
      <c r="CB624" s="185">
        <f t="shared" si="102"/>
        <v>158.29</v>
      </c>
      <c r="CC624" s="185">
        <f t="shared" si="103"/>
        <v>0</v>
      </c>
      <c r="CD624" s="185">
        <f t="shared" si="104"/>
        <v>1009</v>
      </c>
      <c r="CE624" s="185" t="e">
        <f>+#REF!</f>
        <v>#REF!</v>
      </c>
    </row>
    <row r="625" spans="2:83" s="197" customFormat="1" ht="37.5" x14ac:dyDescent="0.3">
      <c r="B625" s="182">
        <v>2190</v>
      </c>
      <c r="C625" s="182">
        <v>987</v>
      </c>
      <c r="D625" s="182" t="s">
        <v>130</v>
      </c>
      <c r="E625" s="181" t="s">
        <v>1028</v>
      </c>
      <c r="F625" s="182"/>
      <c r="G625" s="182">
        <v>328.3</v>
      </c>
      <c r="H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  <c r="Z625" s="182"/>
      <c r="AA625" s="182"/>
      <c r="AB625" s="182"/>
      <c r="AC625" s="182"/>
      <c r="AD625" s="182"/>
      <c r="AE625" s="182"/>
      <c r="AF625" s="182"/>
      <c r="AG625" s="182"/>
      <c r="AH625" s="182"/>
      <c r="AI625" s="182"/>
      <c r="AJ625" s="182"/>
      <c r="AK625" s="182"/>
      <c r="AL625" s="182"/>
      <c r="AM625" s="182"/>
      <c r="AN625" s="182"/>
      <c r="AO625" s="182"/>
      <c r="AP625" s="182"/>
      <c r="AQ625" s="185">
        <f t="shared" si="101"/>
        <v>328.3</v>
      </c>
      <c r="AR625" s="182">
        <v>216.72</v>
      </c>
      <c r="AS625" s="182">
        <v>18.48</v>
      </c>
      <c r="AT625" s="182">
        <v>79.099999999999994</v>
      </c>
      <c r="AU625" s="182">
        <v>14</v>
      </c>
      <c r="AV625" s="182"/>
      <c r="AW625" s="182"/>
      <c r="AX625" s="182"/>
      <c r="AY625" s="182"/>
      <c r="AZ625" s="182"/>
      <c r="BA625" s="182"/>
      <c r="BB625" s="182"/>
      <c r="BC625" s="182"/>
      <c r="BD625" s="182"/>
      <c r="BE625" s="182"/>
      <c r="BF625" s="182"/>
      <c r="BG625" s="182"/>
      <c r="BH625" s="182"/>
      <c r="BI625" s="182"/>
      <c r="BJ625" s="182"/>
      <c r="BK625" s="182"/>
      <c r="BL625" s="182"/>
      <c r="BM625" s="182"/>
      <c r="BN625" s="182"/>
      <c r="BO625" s="182"/>
      <c r="BP625" s="182"/>
      <c r="BQ625" s="182"/>
      <c r="BR625" s="182"/>
      <c r="BS625" s="182"/>
      <c r="BT625" s="182"/>
      <c r="BU625" s="182"/>
      <c r="BV625" s="182"/>
      <c r="BW625" s="182"/>
      <c r="BX625" s="182"/>
      <c r="BY625" s="182"/>
      <c r="BZ625" s="182"/>
      <c r="CA625" s="182"/>
      <c r="CB625" s="185">
        <f t="shared" si="102"/>
        <v>328.29999999999995</v>
      </c>
      <c r="CC625" s="185">
        <f t="shared" si="103"/>
        <v>0</v>
      </c>
      <c r="CD625" s="185">
        <f t="shared" si="104"/>
        <v>987</v>
      </c>
      <c r="CE625" s="185" t="e">
        <f>+#REF!</f>
        <v>#REF!</v>
      </c>
    </row>
    <row r="626" spans="2:83" s="197" customFormat="1" ht="37.5" x14ac:dyDescent="0.3">
      <c r="B626" s="182">
        <v>2189</v>
      </c>
      <c r="C626" s="182">
        <v>988</v>
      </c>
      <c r="D626" s="182" t="s">
        <v>130</v>
      </c>
      <c r="E626" s="181" t="s">
        <v>494</v>
      </c>
      <c r="F626" s="182"/>
      <c r="G626" s="182">
        <v>469</v>
      </c>
      <c r="H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  <c r="Z626" s="182"/>
      <c r="AA626" s="182"/>
      <c r="AB626" s="182"/>
      <c r="AC626" s="182"/>
      <c r="AD626" s="182"/>
      <c r="AE626" s="182"/>
      <c r="AF626" s="182"/>
      <c r="AG626" s="182"/>
      <c r="AH626" s="182"/>
      <c r="AI626" s="182"/>
      <c r="AJ626" s="182"/>
      <c r="AK626" s="182"/>
      <c r="AL626" s="182"/>
      <c r="AM626" s="182"/>
      <c r="AN626" s="182"/>
      <c r="AO626" s="182"/>
      <c r="AP626" s="182"/>
      <c r="AQ626" s="185">
        <f t="shared" si="101"/>
        <v>469</v>
      </c>
      <c r="AR626" s="182">
        <v>317.52</v>
      </c>
      <c r="AS626" s="182">
        <v>18.48</v>
      </c>
      <c r="AT626" s="182">
        <v>113</v>
      </c>
      <c r="AU626" s="182">
        <v>20</v>
      </c>
      <c r="AV626" s="182"/>
      <c r="AW626" s="182"/>
      <c r="AX626" s="182"/>
      <c r="AY626" s="182"/>
      <c r="AZ626" s="182"/>
      <c r="BA626" s="182"/>
      <c r="BB626" s="182"/>
      <c r="BC626" s="182"/>
      <c r="BD626" s="182"/>
      <c r="BE626" s="182"/>
      <c r="BF626" s="182"/>
      <c r="BG626" s="182"/>
      <c r="BH626" s="182"/>
      <c r="BI626" s="182"/>
      <c r="BJ626" s="182"/>
      <c r="BK626" s="182"/>
      <c r="BL626" s="182"/>
      <c r="BM626" s="182"/>
      <c r="BN626" s="182"/>
      <c r="BO626" s="182"/>
      <c r="BP626" s="182"/>
      <c r="BQ626" s="182"/>
      <c r="BR626" s="182"/>
      <c r="BS626" s="182"/>
      <c r="BT626" s="182"/>
      <c r="BU626" s="182"/>
      <c r="BV626" s="182"/>
      <c r="BW626" s="182"/>
      <c r="BX626" s="182"/>
      <c r="BY626" s="182"/>
      <c r="BZ626" s="182"/>
      <c r="CA626" s="182"/>
      <c r="CB626" s="185">
        <f t="shared" si="102"/>
        <v>469</v>
      </c>
      <c r="CC626" s="185">
        <f t="shared" si="103"/>
        <v>0</v>
      </c>
      <c r="CD626" s="185">
        <f t="shared" si="104"/>
        <v>988</v>
      </c>
      <c r="CE626" s="185" t="e">
        <f>+#REF!</f>
        <v>#REF!</v>
      </c>
    </row>
    <row r="627" spans="2:83" s="197" customFormat="1" ht="37.5" x14ac:dyDescent="0.3">
      <c r="B627" s="182">
        <v>2188</v>
      </c>
      <c r="C627" s="182">
        <v>989</v>
      </c>
      <c r="D627" s="182" t="s">
        <v>130</v>
      </c>
      <c r="E627" s="181" t="s">
        <v>494</v>
      </c>
      <c r="F627" s="182"/>
      <c r="G627" s="182">
        <v>474.87</v>
      </c>
      <c r="H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  <c r="Z627" s="182"/>
      <c r="AA627" s="182"/>
      <c r="AB627" s="182"/>
      <c r="AC627" s="182"/>
      <c r="AD627" s="182"/>
      <c r="AE627" s="182"/>
      <c r="AF627" s="182"/>
      <c r="AG627" s="182"/>
      <c r="AH627" s="182"/>
      <c r="AI627" s="182"/>
      <c r="AJ627" s="182"/>
      <c r="AK627" s="182"/>
      <c r="AL627" s="182"/>
      <c r="AM627" s="182"/>
      <c r="AN627" s="182"/>
      <c r="AO627" s="182"/>
      <c r="AP627" s="182"/>
      <c r="AQ627" s="185">
        <f t="shared" si="101"/>
        <v>474.87</v>
      </c>
      <c r="AR627" s="182">
        <v>299.45999999999998</v>
      </c>
      <c r="AS627" s="182">
        <v>40.74</v>
      </c>
      <c r="AT627" s="182">
        <v>114.42</v>
      </c>
      <c r="AU627" s="182">
        <v>20.25</v>
      </c>
      <c r="AV627" s="182"/>
      <c r="AW627" s="182"/>
      <c r="AX627" s="182"/>
      <c r="AY627" s="182"/>
      <c r="AZ627" s="182"/>
      <c r="BA627" s="182"/>
      <c r="BB627" s="182"/>
      <c r="BC627" s="182"/>
      <c r="BD627" s="182"/>
      <c r="BE627" s="182"/>
      <c r="BF627" s="182"/>
      <c r="BG627" s="182"/>
      <c r="BH627" s="182"/>
      <c r="BI627" s="182"/>
      <c r="BJ627" s="182"/>
      <c r="BK627" s="182"/>
      <c r="BL627" s="182"/>
      <c r="BM627" s="182"/>
      <c r="BN627" s="182"/>
      <c r="BO627" s="182"/>
      <c r="BP627" s="182"/>
      <c r="BQ627" s="182"/>
      <c r="BR627" s="182"/>
      <c r="BS627" s="182"/>
      <c r="BT627" s="182"/>
      <c r="BU627" s="182"/>
      <c r="BV627" s="182"/>
      <c r="BW627" s="182"/>
      <c r="BX627" s="182"/>
      <c r="BY627" s="182"/>
      <c r="BZ627" s="182"/>
      <c r="CA627" s="182"/>
      <c r="CB627" s="185">
        <f t="shared" si="102"/>
        <v>474.87</v>
      </c>
      <c r="CC627" s="185">
        <f t="shared" si="103"/>
        <v>0</v>
      </c>
      <c r="CD627" s="185">
        <f t="shared" si="104"/>
        <v>989</v>
      </c>
      <c r="CE627" s="185" t="e">
        <f>+#REF!</f>
        <v>#REF!</v>
      </c>
    </row>
    <row r="628" spans="2:83" s="197" customFormat="1" ht="37.5" x14ac:dyDescent="0.3">
      <c r="B628" s="182">
        <v>2187</v>
      </c>
      <c r="C628" s="182">
        <v>990</v>
      </c>
      <c r="D628" s="182" t="s">
        <v>130</v>
      </c>
      <c r="E628" s="181" t="s">
        <v>1832</v>
      </c>
      <c r="F628" s="182"/>
      <c r="G628" s="182">
        <v>58.62</v>
      </c>
      <c r="H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  <c r="Z628" s="182"/>
      <c r="AA628" s="182"/>
      <c r="AB628" s="182"/>
      <c r="AC628" s="182"/>
      <c r="AD628" s="182"/>
      <c r="AE628" s="182"/>
      <c r="AF628" s="182"/>
      <c r="AG628" s="182"/>
      <c r="AH628" s="182"/>
      <c r="AI628" s="182"/>
      <c r="AJ628" s="182"/>
      <c r="AK628" s="182"/>
      <c r="AL628" s="182"/>
      <c r="AM628" s="182"/>
      <c r="AN628" s="182"/>
      <c r="AO628" s="182"/>
      <c r="AP628" s="182"/>
      <c r="AQ628" s="185">
        <f t="shared" si="101"/>
        <v>58.62</v>
      </c>
      <c r="AR628" s="182">
        <v>37.380000000000003</v>
      </c>
      <c r="AS628" s="182">
        <v>4.62</v>
      </c>
      <c r="AT628" s="182">
        <v>14.12</v>
      </c>
      <c r="AU628" s="182">
        <v>2.5</v>
      </c>
      <c r="AV628" s="182"/>
      <c r="AW628" s="182"/>
      <c r="AX628" s="182"/>
      <c r="AY628" s="182"/>
      <c r="AZ628" s="182"/>
      <c r="BA628" s="182"/>
      <c r="BB628" s="182"/>
      <c r="BC628" s="182"/>
      <c r="BD628" s="182"/>
      <c r="BE628" s="182"/>
      <c r="BF628" s="182"/>
      <c r="BG628" s="182"/>
      <c r="BH628" s="182"/>
      <c r="BI628" s="182"/>
      <c r="BJ628" s="182"/>
      <c r="BK628" s="182"/>
      <c r="BL628" s="182"/>
      <c r="BM628" s="182"/>
      <c r="BN628" s="182"/>
      <c r="BO628" s="182"/>
      <c r="BP628" s="182"/>
      <c r="BQ628" s="182"/>
      <c r="BR628" s="182"/>
      <c r="BS628" s="182"/>
      <c r="BT628" s="182"/>
      <c r="BU628" s="182"/>
      <c r="BV628" s="182"/>
      <c r="BW628" s="182"/>
      <c r="BX628" s="182"/>
      <c r="BY628" s="182"/>
      <c r="BZ628" s="182"/>
      <c r="CA628" s="182"/>
      <c r="CB628" s="185">
        <f t="shared" si="102"/>
        <v>58.62</v>
      </c>
      <c r="CC628" s="185">
        <f t="shared" si="103"/>
        <v>0</v>
      </c>
      <c r="CD628" s="185">
        <f t="shared" si="104"/>
        <v>990</v>
      </c>
      <c r="CE628" s="185" t="e">
        <f>+#REF!</f>
        <v>#REF!</v>
      </c>
    </row>
    <row r="629" spans="2:83" s="197" customFormat="1" ht="37.5" x14ac:dyDescent="0.3">
      <c r="B629" s="182">
        <v>2186</v>
      </c>
      <c r="C629" s="182">
        <v>991</v>
      </c>
      <c r="D629" s="182" t="s">
        <v>130</v>
      </c>
      <c r="E629" s="181" t="s">
        <v>1827</v>
      </c>
      <c r="F629" s="182"/>
      <c r="G629" s="182">
        <v>175.88</v>
      </c>
      <c r="H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  <c r="Z629" s="182"/>
      <c r="AA629" s="182"/>
      <c r="AB629" s="182"/>
      <c r="AC629" s="182"/>
      <c r="AD629" s="182"/>
      <c r="AE629" s="182"/>
      <c r="AF629" s="182"/>
      <c r="AG629" s="182"/>
      <c r="AH629" s="182"/>
      <c r="AI629" s="182"/>
      <c r="AJ629" s="182"/>
      <c r="AK629" s="182"/>
      <c r="AL629" s="182"/>
      <c r="AM629" s="182"/>
      <c r="AN629" s="182"/>
      <c r="AO629" s="182"/>
      <c r="AP629" s="182"/>
      <c r="AQ629" s="185">
        <f t="shared" si="101"/>
        <v>175.88</v>
      </c>
      <c r="AR629" s="182">
        <v>106.68</v>
      </c>
      <c r="AS629" s="182">
        <v>19.32</v>
      </c>
      <c r="AT629" s="182">
        <v>42.38</v>
      </c>
      <c r="AU629" s="182">
        <v>7.5</v>
      </c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182"/>
      <c r="BK629" s="182"/>
      <c r="BL629" s="182"/>
      <c r="BM629" s="182"/>
      <c r="BN629" s="182"/>
      <c r="BO629" s="182"/>
      <c r="BP629" s="182"/>
      <c r="BQ629" s="182"/>
      <c r="BR629" s="182"/>
      <c r="BS629" s="182"/>
      <c r="BT629" s="182"/>
      <c r="BU629" s="182"/>
      <c r="BV629" s="182"/>
      <c r="BW629" s="182"/>
      <c r="BX629" s="182"/>
      <c r="BY629" s="182"/>
      <c r="BZ629" s="182"/>
      <c r="CA629" s="182"/>
      <c r="CB629" s="185">
        <f t="shared" si="102"/>
        <v>175.88</v>
      </c>
      <c r="CC629" s="185">
        <f t="shared" si="103"/>
        <v>0</v>
      </c>
      <c r="CD629" s="185">
        <f t="shared" si="104"/>
        <v>991</v>
      </c>
      <c r="CE629" s="185" t="e">
        <f>+#REF!</f>
        <v>#REF!</v>
      </c>
    </row>
    <row r="630" spans="2:83" s="197" customFormat="1" ht="37.5" x14ac:dyDescent="0.3">
      <c r="B630" s="182">
        <v>2185</v>
      </c>
      <c r="C630" s="182">
        <v>992</v>
      </c>
      <c r="D630" s="182" t="s">
        <v>130</v>
      </c>
      <c r="E630" s="181" t="s">
        <v>500</v>
      </c>
      <c r="F630" s="182"/>
      <c r="G630" s="182">
        <v>175.88</v>
      </c>
      <c r="H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2"/>
      <c r="AH630" s="182"/>
      <c r="AI630" s="182"/>
      <c r="AJ630" s="182"/>
      <c r="AK630" s="182"/>
      <c r="AL630" s="182"/>
      <c r="AM630" s="182"/>
      <c r="AN630" s="182"/>
      <c r="AO630" s="182"/>
      <c r="AP630" s="182"/>
      <c r="AQ630" s="185">
        <f t="shared" si="101"/>
        <v>175.88</v>
      </c>
      <c r="AR630" s="182">
        <v>112.95</v>
      </c>
      <c r="AS630" s="182">
        <v>13.05</v>
      </c>
      <c r="AT630" s="182">
        <v>42.38</v>
      </c>
      <c r="AU630" s="182">
        <v>7.5</v>
      </c>
      <c r="AV630" s="182"/>
      <c r="AW630" s="182"/>
      <c r="AX630" s="182"/>
      <c r="AY630" s="182"/>
      <c r="AZ630" s="182"/>
      <c r="BA630" s="182"/>
      <c r="BB630" s="182"/>
      <c r="BC630" s="182"/>
      <c r="BD630" s="182"/>
      <c r="BE630" s="182"/>
      <c r="BF630" s="182"/>
      <c r="BG630" s="182"/>
      <c r="BH630" s="182"/>
      <c r="BI630" s="182"/>
      <c r="BJ630" s="182"/>
      <c r="BK630" s="182"/>
      <c r="BL630" s="182"/>
      <c r="BM630" s="182"/>
      <c r="BN630" s="182"/>
      <c r="BO630" s="182"/>
      <c r="BP630" s="182"/>
      <c r="BQ630" s="182"/>
      <c r="BR630" s="182"/>
      <c r="BS630" s="182"/>
      <c r="BT630" s="182"/>
      <c r="BU630" s="182"/>
      <c r="BV630" s="182"/>
      <c r="BW630" s="182"/>
      <c r="BX630" s="182"/>
      <c r="BY630" s="182"/>
      <c r="BZ630" s="182"/>
      <c r="CA630" s="182"/>
      <c r="CB630" s="185">
        <f t="shared" si="102"/>
        <v>175.88</v>
      </c>
      <c r="CC630" s="185">
        <f t="shared" si="103"/>
        <v>0</v>
      </c>
      <c r="CD630" s="185">
        <f t="shared" si="104"/>
        <v>992</v>
      </c>
      <c r="CE630" s="185" t="e">
        <f>+#REF!</f>
        <v>#REF!</v>
      </c>
    </row>
    <row r="631" spans="2:83" s="197" customFormat="1" ht="37.5" x14ac:dyDescent="0.3">
      <c r="B631" s="182">
        <v>2184</v>
      </c>
      <c r="C631" s="182">
        <v>993</v>
      </c>
      <c r="D631" s="182" t="s">
        <v>130</v>
      </c>
      <c r="E631" s="181" t="s">
        <v>4767</v>
      </c>
      <c r="F631" s="182"/>
      <c r="G631" s="182">
        <v>786.73</v>
      </c>
      <c r="H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  <c r="Z631" s="182"/>
      <c r="AA631" s="182"/>
      <c r="AB631" s="182"/>
      <c r="AC631" s="182"/>
      <c r="AD631" s="182"/>
      <c r="AE631" s="182"/>
      <c r="AF631" s="182"/>
      <c r="AG631" s="182"/>
      <c r="AH631" s="182"/>
      <c r="AI631" s="182"/>
      <c r="AJ631" s="182"/>
      <c r="AK631" s="182"/>
      <c r="AL631" s="182"/>
      <c r="AM631" s="182"/>
      <c r="AN631" s="182"/>
      <c r="AO631" s="182"/>
      <c r="AP631" s="182"/>
      <c r="AQ631" s="185">
        <f t="shared" si="101"/>
        <v>786.73</v>
      </c>
      <c r="AR631" s="182">
        <v>447.82</v>
      </c>
      <c r="AS631" s="182">
        <v>115.8</v>
      </c>
      <c r="AT631" s="182">
        <v>189.56</v>
      </c>
      <c r="AU631" s="182">
        <v>33.549999999999997</v>
      </c>
      <c r="AV631" s="182"/>
      <c r="AW631" s="182"/>
      <c r="AX631" s="182"/>
      <c r="AY631" s="182"/>
      <c r="AZ631" s="182"/>
      <c r="BA631" s="182"/>
      <c r="BB631" s="182"/>
      <c r="BC631" s="182"/>
      <c r="BD631" s="182"/>
      <c r="BE631" s="182"/>
      <c r="BF631" s="182"/>
      <c r="BG631" s="182"/>
      <c r="BH631" s="182"/>
      <c r="BI631" s="182"/>
      <c r="BJ631" s="182"/>
      <c r="BK631" s="182"/>
      <c r="BL631" s="182"/>
      <c r="BM631" s="182"/>
      <c r="BN631" s="182"/>
      <c r="BO631" s="182"/>
      <c r="BP631" s="182"/>
      <c r="BQ631" s="182"/>
      <c r="BR631" s="182"/>
      <c r="BS631" s="182"/>
      <c r="BT631" s="182"/>
      <c r="BU631" s="182"/>
      <c r="BV631" s="182"/>
      <c r="BW631" s="182"/>
      <c r="BX631" s="182"/>
      <c r="BY631" s="182"/>
      <c r="BZ631" s="182"/>
      <c r="CA631" s="182"/>
      <c r="CB631" s="185">
        <f t="shared" si="102"/>
        <v>786.73</v>
      </c>
      <c r="CC631" s="185">
        <f t="shared" si="103"/>
        <v>0</v>
      </c>
      <c r="CD631" s="185">
        <f t="shared" si="104"/>
        <v>993</v>
      </c>
      <c r="CE631" s="185" t="e">
        <f>+#REF!</f>
        <v>#REF!</v>
      </c>
    </row>
    <row r="632" spans="2:83" s="197" customFormat="1" ht="37.5" x14ac:dyDescent="0.3">
      <c r="B632" s="182">
        <v>2111</v>
      </c>
      <c r="C632" s="182">
        <v>994</v>
      </c>
      <c r="D632" s="182" t="s">
        <v>4768</v>
      </c>
      <c r="E632" s="181" t="s">
        <v>4769</v>
      </c>
      <c r="F632" s="182"/>
      <c r="G632" s="182">
        <v>835.22</v>
      </c>
      <c r="H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  <c r="Z632" s="182"/>
      <c r="AA632" s="182"/>
      <c r="AB632" s="182"/>
      <c r="AC632" s="182"/>
      <c r="AD632" s="182"/>
      <c r="AE632" s="182"/>
      <c r="AF632" s="182"/>
      <c r="AG632" s="182"/>
      <c r="AH632" s="182"/>
      <c r="AI632" s="182"/>
      <c r="AJ632" s="182"/>
      <c r="AK632" s="182"/>
      <c r="AL632" s="182"/>
      <c r="AM632" s="182"/>
      <c r="AN632" s="182"/>
      <c r="AO632" s="182"/>
      <c r="AP632" s="182"/>
      <c r="AQ632" s="185">
        <f t="shared" si="101"/>
        <v>835.22</v>
      </c>
      <c r="AR632" s="182">
        <v>553.15</v>
      </c>
      <c r="AS632" s="182">
        <v>72.89</v>
      </c>
      <c r="AT632" s="191">
        <v>209.18</v>
      </c>
      <c r="AU632" s="182"/>
      <c r="AV632" s="182"/>
      <c r="AW632" s="182"/>
      <c r="AX632" s="182"/>
      <c r="AY632" s="182"/>
      <c r="AZ632" s="182"/>
      <c r="BA632" s="182"/>
      <c r="BB632" s="182"/>
      <c r="BC632" s="182"/>
      <c r="BD632" s="182"/>
      <c r="BE632" s="182"/>
      <c r="BF632" s="182"/>
      <c r="BG632" s="182"/>
      <c r="BH632" s="182"/>
      <c r="BI632" s="182"/>
      <c r="BJ632" s="182"/>
      <c r="BK632" s="182"/>
      <c r="BL632" s="182"/>
      <c r="BM632" s="182"/>
      <c r="BN632" s="182"/>
      <c r="BO632" s="182"/>
      <c r="BP632" s="182"/>
      <c r="BQ632" s="182"/>
      <c r="BR632" s="182"/>
      <c r="BS632" s="182"/>
      <c r="BT632" s="182"/>
      <c r="BU632" s="182"/>
      <c r="BV632" s="182"/>
      <c r="BW632" s="182"/>
      <c r="BX632" s="182"/>
      <c r="BY632" s="182"/>
      <c r="BZ632" s="182"/>
      <c r="CA632" s="182"/>
      <c r="CB632" s="185">
        <f t="shared" si="102"/>
        <v>835.22</v>
      </c>
      <c r="CC632" s="185">
        <f t="shared" si="103"/>
        <v>0</v>
      </c>
      <c r="CD632" s="185">
        <f t="shared" si="104"/>
        <v>994</v>
      </c>
      <c r="CE632" s="185" t="e">
        <f>+#REF!</f>
        <v>#REF!</v>
      </c>
    </row>
    <row r="633" spans="2:83" s="197" customFormat="1" ht="37.5" x14ac:dyDescent="0.3">
      <c r="B633" s="182">
        <v>2110</v>
      </c>
      <c r="C633" s="182">
        <v>995</v>
      </c>
      <c r="D633" s="182" t="s">
        <v>4768</v>
      </c>
      <c r="E633" s="181" t="s">
        <v>4769</v>
      </c>
      <c r="F633" s="182"/>
      <c r="G633" s="182">
        <v>365.24</v>
      </c>
      <c r="H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  <c r="Z633" s="182"/>
      <c r="AA633" s="182"/>
      <c r="AB633" s="182"/>
      <c r="AC633" s="182"/>
      <c r="AD633" s="182"/>
      <c r="AE633" s="182"/>
      <c r="AF633" s="182"/>
      <c r="AG633" s="182"/>
      <c r="AH633" s="182"/>
      <c r="AI633" s="182"/>
      <c r="AJ633" s="182"/>
      <c r="AK633" s="182"/>
      <c r="AL633" s="182"/>
      <c r="AM633" s="182"/>
      <c r="AN633" s="182"/>
      <c r="AO633" s="182"/>
      <c r="AP633" s="182"/>
      <c r="AQ633" s="185">
        <f t="shared" si="101"/>
        <v>365.24</v>
      </c>
      <c r="AR633" s="182">
        <v>238.72</v>
      </c>
      <c r="AS633" s="182">
        <v>31.26</v>
      </c>
      <c r="AT633" s="182">
        <v>95.26</v>
      </c>
      <c r="AU633" s="182"/>
      <c r="AV633" s="182"/>
      <c r="AW633" s="182"/>
      <c r="AX633" s="182"/>
      <c r="AY633" s="182"/>
      <c r="AZ633" s="182"/>
      <c r="BA633" s="182"/>
      <c r="BB633" s="182"/>
      <c r="BC633" s="182"/>
      <c r="BD633" s="182"/>
      <c r="BE633" s="182"/>
      <c r="BF633" s="182"/>
      <c r="BG633" s="182"/>
      <c r="BH633" s="182"/>
      <c r="BI633" s="182"/>
      <c r="BJ633" s="182"/>
      <c r="BK633" s="182"/>
      <c r="BL633" s="182"/>
      <c r="BM633" s="182"/>
      <c r="BN633" s="182"/>
      <c r="BO633" s="182"/>
      <c r="BP633" s="182"/>
      <c r="BQ633" s="182"/>
      <c r="BR633" s="182"/>
      <c r="BS633" s="182"/>
      <c r="BT633" s="182"/>
      <c r="BU633" s="182"/>
      <c r="BV633" s="182"/>
      <c r="BW633" s="182"/>
      <c r="BX633" s="182"/>
      <c r="BY633" s="182"/>
      <c r="BZ633" s="182"/>
      <c r="CA633" s="182"/>
      <c r="CB633" s="185">
        <f t="shared" si="102"/>
        <v>365.24</v>
      </c>
      <c r="CC633" s="185">
        <f t="shared" si="103"/>
        <v>0</v>
      </c>
      <c r="CD633" s="185">
        <f t="shared" si="104"/>
        <v>995</v>
      </c>
      <c r="CE633" s="185" t="e">
        <f>+#REF!</f>
        <v>#REF!</v>
      </c>
    </row>
    <row r="634" spans="2:83" s="197" customFormat="1" ht="37.5" x14ac:dyDescent="0.3">
      <c r="B634" s="182">
        <v>2109</v>
      </c>
      <c r="C634" s="182">
        <v>996</v>
      </c>
      <c r="D634" s="182" t="s">
        <v>4768</v>
      </c>
      <c r="E634" s="181" t="s">
        <v>4770</v>
      </c>
      <c r="F634" s="182"/>
      <c r="G634" s="182">
        <v>81.819999999999993</v>
      </c>
      <c r="H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  <c r="Z634" s="182"/>
      <c r="AA634" s="182"/>
      <c r="AB634" s="182"/>
      <c r="AC634" s="182"/>
      <c r="AD634" s="182"/>
      <c r="AE634" s="182"/>
      <c r="AF634" s="182"/>
      <c r="AG634" s="182"/>
      <c r="AH634" s="182"/>
      <c r="AI634" s="182"/>
      <c r="AJ634" s="182"/>
      <c r="AK634" s="182"/>
      <c r="AL634" s="182"/>
      <c r="AM634" s="182"/>
      <c r="AN634" s="182"/>
      <c r="AO634" s="182"/>
      <c r="AP634" s="182"/>
      <c r="AQ634" s="185">
        <f t="shared" si="101"/>
        <v>81.819999999999993</v>
      </c>
      <c r="AR634" s="182">
        <v>55.03</v>
      </c>
      <c r="AS634" s="182">
        <v>7.08</v>
      </c>
      <c r="AT634" s="182">
        <v>19.71</v>
      </c>
      <c r="AU634" s="182"/>
      <c r="AV634" s="182"/>
      <c r="AW634" s="182"/>
      <c r="AX634" s="182"/>
      <c r="AY634" s="182"/>
      <c r="AZ634" s="182"/>
      <c r="BA634" s="182"/>
      <c r="BB634" s="182"/>
      <c r="BC634" s="182"/>
      <c r="BD634" s="182"/>
      <c r="BE634" s="182"/>
      <c r="BF634" s="182"/>
      <c r="BG634" s="182"/>
      <c r="BH634" s="182"/>
      <c r="BI634" s="182"/>
      <c r="BJ634" s="182"/>
      <c r="BK634" s="182"/>
      <c r="BL634" s="182"/>
      <c r="BM634" s="182"/>
      <c r="BN634" s="182"/>
      <c r="BO634" s="182"/>
      <c r="BP634" s="182"/>
      <c r="BQ634" s="182"/>
      <c r="BR634" s="182"/>
      <c r="BS634" s="182"/>
      <c r="BT634" s="182"/>
      <c r="BU634" s="182"/>
      <c r="BV634" s="182"/>
      <c r="BW634" s="182"/>
      <c r="BX634" s="182"/>
      <c r="BY634" s="182"/>
      <c r="BZ634" s="182"/>
      <c r="CA634" s="182"/>
      <c r="CB634" s="185">
        <f t="shared" si="102"/>
        <v>81.819999999999993</v>
      </c>
      <c r="CC634" s="185">
        <f t="shared" si="103"/>
        <v>0</v>
      </c>
      <c r="CD634" s="185">
        <f t="shared" si="104"/>
        <v>996</v>
      </c>
      <c r="CE634" s="185" t="e">
        <f>+#REF!</f>
        <v>#REF!</v>
      </c>
    </row>
    <row r="635" spans="2:83" s="197" customFormat="1" ht="37.5" x14ac:dyDescent="0.3">
      <c r="B635" s="182">
        <v>2114</v>
      </c>
      <c r="C635" s="182">
        <v>997</v>
      </c>
      <c r="D635" s="182" t="s">
        <v>4768</v>
      </c>
      <c r="E635" s="181" t="s">
        <v>4771</v>
      </c>
      <c r="F635" s="182"/>
      <c r="G635" s="182">
        <v>835.22</v>
      </c>
      <c r="H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2"/>
      <c r="AH635" s="182"/>
      <c r="AI635" s="182"/>
      <c r="AJ635" s="182"/>
      <c r="AK635" s="182"/>
      <c r="AL635" s="182"/>
      <c r="AM635" s="182"/>
      <c r="AN635" s="182"/>
      <c r="AO635" s="182"/>
      <c r="AP635" s="182"/>
      <c r="AQ635" s="185">
        <f t="shared" si="101"/>
        <v>835.22</v>
      </c>
      <c r="AR635" s="182">
        <v>553.15</v>
      </c>
      <c r="AS635" s="182">
        <v>72.89</v>
      </c>
      <c r="AT635" s="182">
        <v>209.18</v>
      </c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182"/>
      <c r="BK635" s="182"/>
      <c r="BL635" s="182"/>
      <c r="BM635" s="182"/>
      <c r="BN635" s="182"/>
      <c r="BO635" s="182"/>
      <c r="BP635" s="182"/>
      <c r="BQ635" s="182"/>
      <c r="BR635" s="182"/>
      <c r="BS635" s="182"/>
      <c r="BT635" s="182"/>
      <c r="BU635" s="182"/>
      <c r="BV635" s="182"/>
      <c r="BW635" s="182"/>
      <c r="BX635" s="182"/>
      <c r="BY635" s="182"/>
      <c r="BZ635" s="182"/>
      <c r="CA635" s="182"/>
      <c r="CB635" s="185">
        <f t="shared" si="102"/>
        <v>835.22</v>
      </c>
      <c r="CC635" s="185">
        <f t="shared" si="103"/>
        <v>0</v>
      </c>
      <c r="CD635" s="185">
        <f t="shared" si="104"/>
        <v>997</v>
      </c>
      <c r="CE635" s="185" t="e">
        <f>+#REF!</f>
        <v>#REF!</v>
      </c>
    </row>
    <row r="636" spans="2:83" s="197" customFormat="1" ht="37.5" x14ac:dyDescent="0.3">
      <c r="B636" s="182">
        <v>2113</v>
      </c>
      <c r="C636" s="182">
        <v>998</v>
      </c>
      <c r="D636" s="182" t="s">
        <v>4768</v>
      </c>
      <c r="E636" s="181" t="s">
        <v>4771</v>
      </c>
      <c r="F636" s="182"/>
      <c r="G636" s="182">
        <v>365.24</v>
      </c>
      <c r="H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2"/>
      <c r="AH636" s="182"/>
      <c r="AI636" s="182"/>
      <c r="AJ636" s="182"/>
      <c r="AK636" s="182"/>
      <c r="AL636" s="182"/>
      <c r="AM636" s="182"/>
      <c r="AN636" s="182"/>
      <c r="AO636" s="182"/>
      <c r="AP636" s="182"/>
      <c r="AQ636" s="185">
        <f t="shared" ref="AQ636:AQ667" si="105">SUM(G636:AP636)</f>
        <v>365.24</v>
      </c>
      <c r="AR636" s="182">
        <v>238.72</v>
      </c>
      <c r="AS636" s="182">
        <v>31.26</v>
      </c>
      <c r="AT636" s="182">
        <v>95.26</v>
      </c>
      <c r="AU636" s="182"/>
      <c r="AV636" s="182"/>
      <c r="AW636" s="182"/>
      <c r="AX636" s="182"/>
      <c r="AY636" s="182"/>
      <c r="AZ636" s="182"/>
      <c r="BA636" s="182"/>
      <c r="BB636" s="182"/>
      <c r="BC636" s="182"/>
      <c r="BD636" s="182"/>
      <c r="BE636" s="182"/>
      <c r="BF636" s="182"/>
      <c r="BG636" s="182"/>
      <c r="BH636" s="182"/>
      <c r="BI636" s="182"/>
      <c r="BJ636" s="182"/>
      <c r="BK636" s="182"/>
      <c r="BL636" s="182"/>
      <c r="BM636" s="182"/>
      <c r="BN636" s="182"/>
      <c r="BO636" s="182"/>
      <c r="BP636" s="182"/>
      <c r="BQ636" s="182"/>
      <c r="BR636" s="182"/>
      <c r="BS636" s="182"/>
      <c r="BT636" s="182"/>
      <c r="BU636" s="182"/>
      <c r="BV636" s="182"/>
      <c r="BW636" s="182"/>
      <c r="BX636" s="182"/>
      <c r="BY636" s="182"/>
      <c r="BZ636" s="182"/>
      <c r="CA636" s="182"/>
      <c r="CB636" s="185">
        <f t="shared" ref="CB636:CB667" si="106">SUM(AR636:CA636)</f>
        <v>365.24</v>
      </c>
      <c r="CC636" s="185">
        <f t="shared" ref="CC636:CC667" si="107">+CB636-AQ636</f>
        <v>0</v>
      </c>
      <c r="CD636" s="185">
        <f t="shared" ref="CD636:CD667" si="108">+C636</f>
        <v>998</v>
      </c>
      <c r="CE636" s="185" t="e">
        <f>+#REF!</f>
        <v>#REF!</v>
      </c>
    </row>
    <row r="637" spans="2:83" s="197" customFormat="1" ht="37.5" x14ac:dyDescent="0.3">
      <c r="B637" s="182">
        <v>2112</v>
      </c>
      <c r="C637" s="182">
        <v>999</v>
      </c>
      <c r="D637" s="182" t="s">
        <v>4768</v>
      </c>
      <c r="E637" s="181" t="s">
        <v>4772</v>
      </c>
      <c r="F637" s="182"/>
      <c r="G637" s="182">
        <v>81.819999999999993</v>
      </c>
      <c r="H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  <c r="Z637" s="182"/>
      <c r="AA637" s="182"/>
      <c r="AB637" s="182"/>
      <c r="AC637" s="182"/>
      <c r="AD637" s="182"/>
      <c r="AE637" s="182"/>
      <c r="AF637" s="182"/>
      <c r="AG637" s="182"/>
      <c r="AH637" s="182"/>
      <c r="AI637" s="182"/>
      <c r="AJ637" s="182"/>
      <c r="AK637" s="182"/>
      <c r="AL637" s="182"/>
      <c r="AM637" s="182"/>
      <c r="AN637" s="182"/>
      <c r="AO637" s="182"/>
      <c r="AP637" s="182"/>
      <c r="AQ637" s="185">
        <f t="shared" si="105"/>
        <v>81.819999999999993</v>
      </c>
      <c r="AR637" s="182">
        <v>55.03</v>
      </c>
      <c r="AS637" s="182">
        <v>7.08</v>
      </c>
      <c r="AT637" s="182">
        <v>19.71</v>
      </c>
      <c r="AU637" s="182"/>
      <c r="AV637" s="182"/>
      <c r="AW637" s="182"/>
      <c r="AX637" s="182"/>
      <c r="AY637" s="182"/>
      <c r="AZ637" s="182"/>
      <c r="BA637" s="182"/>
      <c r="BB637" s="182"/>
      <c r="BC637" s="182"/>
      <c r="BD637" s="182"/>
      <c r="BE637" s="182"/>
      <c r="BF637" s="182"/>
      <c r="BG637" s="182"/>
      <c r="BH637" s="182"/>
      <c r="BI637" s="182"/>
      <c r="BJ637" s="182"/>
      <c r="BK637" s="182"/>
      <c r="BL637" s="182"/>
      <c r="BM637" s="182"/>
      <c r="BN637" s="182"/>
      <c r="BO637" s="182"/>
      <c r="BP637" s="182"/>
      <c r="BQ637" s="182"/>
      <c r="BR637" s="182"/>
      <c r="BS637" s="182"/>
      <c r="BT637" s="182"/>
      <c r="BU637" s="182"/>
      <c r="BV637" s="182"/>
      <c r="BW637" s="182"/>
      <c r="BX637" s="182"/>
      <c r="BY637" s="182"/>
      <c r="BZ637" s="182"/>
      <c r="CA637" s="182"/>
      <c r="CB637" s="185">
        <f t="shared" si="106"/>
        <v>81.819999999999993</v>
      </c>
      <c r="CC637" s="185">
        <f t="shared" si="107"/>
        <v>0</v>
      </c>
      <c r="CD637" s="185">
        <f t="shared" si="108"/>
        <v>999</v>
      </c>
      <c r="CE637" s="185" t="e">
        <f>+#REF!</f>
        <v>#REF!</v>
      </c>
    </row>
    <row r="638" spans="2:83" s="197" customFormat="1" ht="37.5" x14ac:dyDescent="0.3">
      <c r="B638" s="182">
        <v>2115</v>
      </c>
      <c r="C638" s="182">
        <v>1000</v>
      </c>
      <c r="D638" s="182" t="s">
        <v>128</v>
      </c>
      <c r="E638" s="181" t="s">
        <v>4773</v>
      </c>
      <c r="F638" s="182"/>
      <c r="G638" s="182">
        <v>6765.33</v>
      </c>
      <c r="H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2"/>
      <c r="AH638" s="182"/>
      <c r="AI638" s="182"/>
      <c r="AJ638" s="182"/>
      <c r="AK638" s="182"/>
      <c r="AL638" s="182"/>
      <c r="AM638" s="182"/>
      <c r="AN638" s="182"/>
      <c r="AO638" s="182"/>
      <c r="AP638" s="182"/>
      <c r="AQ638" s="185">
        <f t="shared" si="105"/>
        <v>6765.33</v>
      </c>
      <c r="AR638" s="182">
        <v>4521.1000000000004</v>
      </c>
      <c r="AS638" s="182">
        <v>614.20000000000005</v>
      </c>
      <c r="AT638" s="182">
        <v>1630.03</v>
      </c>
      <c r="AU638" s="182"/>
      <c r="AV638" s="182"/>
      <c r="AW638" s="182"/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182"/>
      <c r="BK638" s="182"/>
      <c r="BL638" s="182"/>
      <c r="BM638" s="182"/>
      <c r="BN638" s="182"/>
      <c r="BO638" s="182"/>
      <c r="BP638" s="182"/>
      <c r="BQ638" s="182"/>
      <c r="BR638" s="182"/>
      <c r="BS638" s="182"/>
      <c r="BT638" s="182"/>
      <c r="BU638" s="182"/>
      <c r="BV638" s="182"/>
      <c r="BW638" s="182"/>
      <c r="BX638" s="182"/>
      <c r="BY638" s="182"/>
      <c r="BZ638" s="182"/>
      <c r="CA638" s="182"/>
      <c r="CB638" s="185">
        <f t="shared" si="106"/>
        <v>6765.33</v>
      </c>
      <c r="CC638" s="185">
        <f t="shared" si="107"/>
        <v>0</v>
      </c>
      <c r="CD638" s="185">
        <f t="shared" si="108"/>
        <v>1000</v>
      </c>
      <c r="CE638" s="185" t="e">
        <f>+#REF!</f>
        <v>#REF!</v>
      </c>
    </row>
    <row r="639" spans="2:83" s="197" customFormat="1" ht="37.5" x14ac:dyDescent="0.3">
      <c r="B639" s="182">
        <v>2118</v>
      </c>
      <c r="C639" s="182">
        <v>1001</v>
      </c>
      <c r="D639" s="182" t="s">
        <v>128</v>
      </c>
      <c r="E639" s="181" t="s">
        <v>4774</v>
      </c>
      <c r="F639" s="182"/>
      <c r="G639" s="182">
        <v>140.69999999999999</v>
      </c>
      <c r="H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2"/>
      <c r="AH639" s="182"/>
      <c r="AI639" s="182"/>
      <c r="AJ639" s="182"/>
      <c r="AK639" s="182"/>
      <c r="AL639" s="182"/>
      <c r="AM639" s="182"/>
      <c r="AN639" s="182"/>
      <c r="AO639" s="182"/>
      <c r="AP639" s="182"/>
      <c r="AQ639" s="185">
        <f t="shared" si="105"/>
        <v>140.69999999999999</v>
      </c>
      <c r="AR639" s="182">
        <v>94.45</v>
      </c>
      <c r="AS639" s="182">
        <v>12.35</v>
      </c>
      <c r="AT639" s="182">
        <v>33.9</v>
      </c>
      <c r="AU639" s="182"/>
      <c r="AV639" s="182"/>
      <c r="AW639" s="182"/>
      <c r="AX639" s="182"/>
      <c r="AY639" s="182"/>
      <c r="AZ639" s="182"/>
      <c r="BA639" s="182"/>
      <c r="BB639" s="182"/>
      <c r="BC639" s="182"/>
      <c r="BD639" s="182"/>
      <c r="BE639" s="182"/>
      <c r="BF639" s="182"/>
      <c r="BG639" s="182"/>
      <c r="BH639" s="182"/>
      <c r="BI639" s="182"/>
      <c r="BJ639" s="182"/>
      <c r="BK639" s="182"/>
      <c r="BL639" s="182"/>
      <c r="BM639" s="182"/>
      <c r="BN639" s="182"/>
      <c r="BO639" s="182"/>
      <c r="BP639" s="182"/>
      <c r="BQ639" s="182"/>
      <c r="BR639" s="182"/>
      <c r="BS639" s="182"/>
      <c r="BT639" s="182"/>
      <c r="BU639" s="182"/>
      <c r="BV639" s="182"/>
      <c r="BW639" s="182"/>
      <c r="BX639" s="182"/>
      <c r="BY639" s="182"/>
      <c r="BZ639" s="182"/>
      <c r="CA639" s="182"/>
      <c r="CB639" s="185">
        <f t="shared" si="106"/>
        <v>140.69999999999999</v>
      </c>
      <c r="CC639" s="185">
        <f t="shared" si="107"/>
        <v>0</v>
      </c>
      <c r="CD639" s="185">
        <f t="shared" si="108"/>
        <v>1001</v>
      </c>
      <c r="CE639" s="185" t="e">
        <f>+#REF!</f>
        <v>#REF!</v>
      </c>
    </row>
    <row r="640" spans="2:83" s="197" customFormat="1" ht="37.5" x14ac:dyDescent="0.3">
      <c r="B640" s="182">
        <v>2117</v>
      </c>
      <c r="C640" s="182">
        <v>1002</v>
      </c>
      <c r="D640" s="182" t="s">
        <v>128</v>
      </c>
      <c r="E640" s="181" t="str">
        <f>+E638</f>
        <v>جهود الملاعب يونيو</v>
      </c>
      <c r="F640" s="182"/>
      <c r="G640" s="182">
        <v>13881.23</v>
      </c>
      <c r="H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  <c r="Z640" s="182"/>
      <c r="AA640" s="182"/>
      <c r="AB640" s="182"/>
      <c r="AC640" s="182"/>
      <c r="AD640" s="182"/>
      <c r="AE640" s="182"/>
      <c r="AF640" s="182"/>
      <c r="AG640" s="182"/>
      <c r="AH640" s="182"/>
      <c r="AI640" s="182"/>
      <c r="AJ640" s="182"/>
      <c r="AK640" s="182"/>
      <c r="AL640" s="182"/>
      <c r="AM640" s="182"/>
      <c r="AN640" s="182"/>
      <c r="AO640" s="182"/>
      <c r="AP640" s="182"/>
      <c r="AQ640" s="185">
        <f t="shared" si="105"/>
        <v>13881.23</v>
      </c>
      <c r="AR640" s="182">
        <v>9276.16</v>
      </c>
      <c r="AS640" s="182">
        <v>1260.55</v>
      </c>
      <c r="AT640" s="182">
        <v>3344.52</v>
      </c>
      <c r="AU640" s="182"/>
      <c r="AV640" s="182"/>
      <c r="AW640" s="182"/>
      <c r="AX640" s="182"/>
      <c r="AY640" s="182"/>
      <c r="AZ640" s="182"/>
      <c r="BA640" s="182"/>
      <c r="BB640" s="182"/>
      <c r="BC640" s="182"/>
      <c r="BD640" s="182"/>
      <c r="BE640" s="182"/>
      <c r="BF640" s="182"/>
      <c r="BG640" s="182"/>
      <c r="BH640" s="182"/>
      <c r="BI640" s="182"/>
      <c r="BJ640" s="182"/>
      <c r="BK640" s="182"/>
      <c r="BL640" s="182"/>
      <c r="BM640" s="182"/>
      <c r="BN640" s="182"/>
      <c r="BO640" s="182"/>
      <c r="BP640" s="182"/>
      <c r="BQ640" s="182"/>
      <c r="BR640" s="182"/>
      <c r="BS640" s="182"/>
      <c r="BT640" s="182"/>
      <c r="BU640" s="182"/>
      <c r="BV640" s="182"/>
      <c r="BW640" s="182"/>
      <c r="BX640" s="182"/>
      <c r="BY640" s="182"/>
      <c r="BZ640" s="182"/>
      <c r="CA640" s="182"/>
      <c r="CB640" s="185">
        <f t="shared" si="106"/>
        <v>13881.23</v>
      </c>
      <c r="CC640" s="185">
        <f t="shared" si="107"/>
        <v>0</v>
      </c>
      <c r="CD640" s="185">
        <f t="shared" si="108"/>
        <v>1002</v>
      </c>
      <c r="CE640" s="185" t="e">
        <f>+#REF!</f>
        <v>#REF!</v>
      </c>
    </row>
    <row r="641" spans="2:83" s="197" customFormat="1" ht="37.5" x14ac:dyDescent="0.3">
      <c r="B641" s="182">
        <v>2116</v>
      </c>
      <c r="C641" s="182">
        <v>1003</v>
      </c>
      <c r="D641" s="182" t="s">
        <v>128</v>
      </c>
      <c r="E641" s="181" t="str">
        <f>+E640</f>
        <v>جهود الملاعب يونيو</v>
      </c>
      <c r="F641" s="182"/>
      <c r="G641" s="182">
        <v>1758.76</v>
      </c>
      <c r="H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2"/>
      <c r="AH641" s="182"/>
      <c r="AI641" s="182"/>
      <c r="AJ641" s="182"/>
      <c r="AK641" s="182"/>
      <c r="AL641" s="182"/>
      <c r="AM641" s="182"/>
      <c r="AN641" s="182"/>
      <c r="AO641" s="182"/>
      <c r="AP641" s="182"/>
      <c r="AQ641" s="185">
        <f t="shared" si="105"/>
        <v>1758.76</v>
      </c>
      <c r="AR641" s="182">
        <v>1176.8499999999999</v>
      </c>
      <c r="AS641" s="182">
        <f>8.15+150</f>
        <v>158.15</v>
      </c>
      <c r="AT641" s="182">
        <v>423.76</v>
      </c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182"/>
      <c r="BK641" s="182"/>
      <c r="BL641" s="182"/>
      <c r="BM641" s="182"/>
      <c r="BN641" s="182"/>
      <c r="BO641" s="182"/>
      <c r="BP641" s="182"/>
      <c r="BQ641" s="182"/>
      <c r="BR641" s="182"/>
      <c r="BS641" s="182"/>
      <c r="BT641" s="182"/>
      <c r="BU641" s="182"/>
      <c r="BV641" s="182"/>
      <c r="BW641" s="182"/>
      <c r="BX641" s="182"/>
      <c r="BY641" s="182"/>
      <c r="BZ641" s="182"/>
      <c r="CA641" s="182"/>
      <c r="CB641" s="185">
        <f t="shared" si="106"/>
        <v>1758.76</v>
      </c>
      <c r="CC641" s="185">
        <f t="shared" si="107"/>
        <v>0</v>
      </c>
      <c r="CD641" s="185">
        <f t="shared" si="108"/>
        <v>1003</v>
      </c>
      <c r="CE641" s="185" t="e">
        <f>+#REF!</f>
        <v>#REF!</v>
      </c>
    </row>
    <row r="642" spans="2:83" s="197" customFormat="1" ht="37.5" x14ac:dyDescent="0.3">
      <c r="B642" s="182">
        <v>2183</v>
      </c>
      <c r="C642" s="182">
        <v>1004</v>
      </c>
      <c r="D642" s="182" t="s">
        <v>78</v>
      </c>
      <c r="E642" s="181" t="s">
        <v>4187</v>
      </c>
      <c r="F642" s="182"/>
      <c r="G642" s="182">
        <v>540</v>
      </c>
      <c r="H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2"/>
      <c r="AH642" s="182"/>
      <c r="AI642" s="182"/>
      <c r="AJ642" s="182"/>
      <c r="AK642" s="182"/>
      <c r="AL642" s="182"/>
      <c r="AM642" s="182"/>
      <c r="AN642" s="182"/>
      <c r="AO642" s="182"/>
      <c r="AP642" s="182"/>
      <c r="AQ642" s="185">
        <f t="shared" si="105"/>
        <v>540</v>
      </c>
      <c r="AR642" s="182">
        <v>482.55</v>
      </c>
      <c r="AS642" s="182">
        <v>57.45</v>
      </c>
      <c r="AT642" s="182"/>
      <c r="AU642" s="182"/>
      <c r="AV642" s="182"/>
      <c r="AW642" s="182"/>
      <c r="AX642" s="182"/>
      <c r="AY642" s="182"/>
      <c r="AZ642" s="182"/>
      <c r="BA642" s="182"/>
      <c r="BB642" s="182"/>
      <c r="BC642" s="182"/>
      <c r="BD642" s="182"/>
      <c r="BE642" s="182"/>
      <c r="BF642" s="182"/>
      <c r="BG642" s="182"/>
      <c r="BH642" s="182"/>
      <c r="BI642" s="182"/>
      <c r="BJ642" s="182"/>
      <c r="BK642" s="182"/>
      <c r="BL642" s="182"/>
      <c r="BM642" s="182"/>
      <c r="BN642" s="182"/>
      <c r="BO642" s="182"/>
      <c r="BP642" s="182"/>
      <c r="BQ642" s="182"/>
      <c r="BR642" s="182"/>
      <c r="BS642" s="182"/>
      <c r="BT642" s="182"/>
      <c r="BU642" s="182"/>
      <c r="BV642" s="182"/>
      <c r="BW642" s="182"/>
      <c r="BX642" s="182"/>
      <c r="BY642" s="182"/>
      <c r="BZ642" s="182"/>
      <c r="CA642" s="182"/>
      <c r="CB642" s="185">
        <f t="shared" si="106"/>
        <v>540</v>
      </c>
      <c r="CC642" s="185">
        <f t="shared" si="107"/>
        <v>0</v>
      </c>
      <c r="CD642" s="185">
        <f t="shared" si="108"/>
        <v>1004</v>
      </c>
      <c r="CE642" s="185" t="e">
        <f>+#REF!</f>
        <v>#REF!</v>
      </c>
    </row>
    <row r="643" spans="2:83" s="197" customFormat="1" ht="37.5" x14ac:dyDescent="0.3">
      <c r="B643" s="182">
        <v>1913</v>
      </c>
      <c r="C643" s="182">
        <v>1005</v>
      </c>
      <c r="D643" s="182" t="s">
        <v>78</v>
      </c>
      <c r="E643" s="181" t="s">
        <v>4775</v>
      </c>
      <c r="F643" s="182"/>
      <c r="G643" s="182">
        <v>14187.24</v>
      </c>
      <c r="H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  <c r="Z643" s="182"/>
      <c r="AA643" s="182"/>
      <c r="AB643" s="182"/>
      <c r="AC643" s="182"/>
      <c r="AD643" s="182"/>
      <c r="AE643" s="182"/>
      <c r="AF643" s="182"/>
      <c r="AG643" s="182"/>
      <c r="AH643" s="182"/>
      <c r="AI643" s="182"/>
      <c r="AJ643" s="182"/>
      <c r="AK643" s="182"/>
      <c r="AL643" s="182"/>
      <c r="AM643" s="182"/>
      <c r="AN643" s="182"/>
      <c r="AO643" s="182"/>
      <c r="AP643" s="182"/>
      <c r="AQ643" s="185">
        <f t="shared" si="105"/>
        <v>14187.24</v>
      </c>
      <c r="AR643" s="182">
        <v>9488.65</v>
      </c>
      <c r="AS643" s="182">
        <v>1280.3499999999999</v>
      </c>
      <c r="AT643" s="182">
        <v>3418.24</v>
      </c>
      <c r="AU643" s="182"/>
      <c r="AV643" s="182"/>
      <c r="AW643" s="182"/>
      <c r="AX643" s="182"/>
      <c r="AY643" s="182"/>
      <c r="AZ643" s="182"/>
      <c r="BA643" s="182"/>
      <c r="BB643" s="182"/>
      <c r="BC643" s="182"/>
      <c r="BD643" s="182"/>
      <c r="BE643" s="182"/>
      <c r="BF643" s="182"/>
      <c r="BG643" s="182"/>
      <c r="BH643" s="182"/>
      <c r="BI643" s="182"/>
      <c r="BJ643" s="182"/>
      <c r="BK643" s="182"/>
      <c r="BL643" s="182"/>
      <c r="BM643" s="182"/>
      <c r="BN643" s="182"/>
      <c r="BO643" s="182"/>
      <c r="BP643" s="182"/>
      <c r="BQ643" s="182"/>
      <c r="BR643" s="182"/>
      <c r="BS643" s="182"/>
      <c r="BT643" s="182"/>
      <c r="BU643" s="182"/>
      <c r="BV643" s="182"/>
      <c r="BW643" s="182"/>
      <c r="BX643" s="182"/>
      <c r="BY643" s="182"/>
      <c r="BZ643" s="182"/>
      <c r="CA643" s="182"/>
      <c r="CB643" s="185">
        <f t="shared" si="106"/>
        <v>14187.24</v>
      </c>
      <c r="CC643" s="185">
        <f t="shared" si="107"/>
        <v>0</v>
      </c>
      <c r="CD643" s="185">
        <f t="shared" si="108"/>
        <v>1005</v>
      </c>
      <c r="CE643" s="185" t="e">
        <f>+#REF!</f>
        <v>#REF!</v>
      </c>
    </row>
    <row r="644" spans="2:83" s="197" customFormat="1" ht="37.5" x14ac:dyDescent="0.3">
      <c r="B644" s="182">
        <v>1914</v>
      </c>
      <c r="C644" s="182">
        <v>1006</v>
      </c>
      <c r="D644" s="182" t="s">
        <v>78</v>
      </c>
      <c r="E644" s="181" t="s">
        <v>4775</v>
      </c>
      <c r="F644" s="182"/>
      <c r="G644" s="182">
        <v>2872.62</v>
      </c>
      <c r="H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2"/>
      <c r="AH644" s="182"/>
      <c r="AI644" s="182"/>
      <c r="AJ644" s="182"/>
      <c r="AK644" s="182"/>
      <c r="AL644" s="182"/>
      <c r="AM644" s="182"/>
      <c r="AN644" s="182"/>
      <c r="AO644" s="182"/>
      <c r="AP644" s="182"/>
      <c r="AQ644" s="185">
        <f t="shared" si="105"/>
        <v>2872.62</v>
      </c>
      <c r="AR644" s="182">
        <v>1921.25</v>
      </c>
      <c r="AS644" s="182">
        <v>259.25</v>
      </c>
      <c r="AT644" s="182">
        <v>692.12</v>
      </c>
      <c r="AU644" s="182"/>
      <c r="AV644" s="182"/>
      <c r="AW644" s="182"/>
      <c r="AX644" s="182"/>
      <c r="AY644" s="182"/>
      <c r="AZ644" s="182"/>
      <c r="BA644" s="182"/>
      <c r="BB644" s="182"/>
      <c r="BC644" s="182"/>
      <c r="BD644" s="182"/>
      <c r="BE644" s="182"/>
      <c r="BF644" s="182"/>
      <c r="BG644" s="182"/>
      <c r="BH644" s="182"/>
      <c r="BI644" s="182"/>
      <c r="BJ644" s="182"/>
      <c r="BK644" s="182"/>
      <c r="BL644" s="182"/>
      <c r="BM644" s="182"/>
      <c r="BN644" s="182"/>
      <c r="BO644" s="182"/>
      <c r="BP644" s="182"/>
      <c r="BQ644" s="182"/>
      <c r="BR644" s="182"/>
      <c r="BS644" s="182"/>
      <c r="BT644" s="182"/>
      <c r="BU644" s="182"/>
      <c r="BV644" s="182"/>
      <c r="BW644" s="182"/>
      <c r="BX644" s="182"/>
      <c r="BY644" s="182"/>
      <c r="BZ644" s="182"/>
      <c r="CA644" s="182"/>
      <c r="CB644" s="185">
        <f t="shared" si="106"/>
        <v>2872.62</v>
      </c>
      <c r="CC644" s="185">
        <f t="shared" si="107"/>
        <v>0</v>
      </c>
      <c r="CD644" s="185">
        <f t="shared" si="108"/>
        <v>1006</v>
      </c>
      <c r="CE644" s="185" t="e">
        <f>+#REF!</f>
        <v>#REF!</v>
      </c>
    </row>
    <row r="645" spans="2:83" s="197" customFormat="1" ht="37.5" x14ac:dyDescent="0.3">
      <c r="B645" s="182">
        <v>1915</v>
      </c>
      <c r="C645" s="182">
        <v>1007</v>
      </c>
      <c r="D645" s="182" t="s">
        <v>78</v>
      </c>
      <c r="E645" s="181" t="s">
        <v>4775</v>
      </c>
      <c r="F645" s="182"/>
      <c r="G645" s="182">
        <v>938</v>
      </c>
      <c r="H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2"/>
      <c r="AH645" s="182"/>
      <c r="AI645" s="182"/>
      <c r="AJ645" s="182"/>
      <c r="AK645" s="182"/>
      <c r="AL645" s="182"/>
      <c r="AM645" s="182"/>
      <c r="AN645" s="182"/>
      <c r="AO645" s="182"/>
      <c r="AP645" s="182"/>
      <c r="AQ645" s="185">
        <f t="shared" si="105"/>
        <v>938</v>
      </c>
      <c r="AR645" s="182">
        <v>627.35</v>
      </c>
      <c r="AS645" s="182">
        <v>84.65</v>
      </c>
      <c r="AT645" s="182">
        <v>226</v>
      </c>
      <c r="AU645" s="182"/>
      <c r="AV645" s="182"/>
      <c r="AW645" s="182"/>
      <c r="AX645" s="182"/>
      <c r="AY645" s="182"/>
      <c r="AZ645" s="182"/>
      <c r="BA645" s="182"/>
      <c r="BB645" s="182"/>
      <c r="BC645" s="182"/>
      <c r="BD645" s="182"/>
      <c r="BE645" s="182"/>
      <c r="BF645" s="182"/>
      <c r="BG645" s="182"/>
      <c r="BH645" s="182"/>
      <c r="BI645" s="182"/>
      <c r="BJ645" s="182"/>
      <c r="BK645" s="182"/>
      <c r="BL645" s="182"/>
      <c r="BM645" s="182"/>
      <c r="BN645" s="182"/>
      <c r="BO645" s="182"/>
      <c r="BP645" s="182"/>
      <c r="BQ645" s="182"/>
      <c r="BR645" s="182"/>
      <c r="BS645" s="182"/>
      <c r="BT645" s="182"/>
      <c r="BU645" s="182"/>
      <c r="BV645" s="182"/>
      <c r="BW645" s="182"/>
      <c r="BX645" s="182"/>
      <c r="BY645" s="182"/>
      <c r="BZ645" s="182"/>
      <c r="CA645" s="182"/>
      <c r="CB645" s="185">
        <f t="shared" si="106"/>
        <v>938</v>
      </c>
      <c r="CC645" s="185">
        <f t="shared" si="107"/>
        <v>0</v>
      </c>
      <c r="CD645" s="185">
        <f t="shared" si="108"/>
        <v>1007</v>
      </c>
      <c r="CE645" s="185" t="e">
        <f>+#REF!</f>
        <v>#REF!</v>
      </c>
    </row>
    <row r="646" spans="2:83" s="197" customFormat="1" ht="37.5" x14ac:dyDescent="0.3">
      <c r="B646" s="182">
        <v>1916</v>
      </c>
      <c r="C646" s="182">
        <v>1008</v>
      </c>
      <c r="D646" s="182" t="s">
        <v>78</v>
      </c>
      <c r="E646" s="181" t="s">
        <v>4775</v>
      </c>
      <c r="F646" s="182"/>
      <c r="G646" s="182">
        <v>938</v>
      </c>
      <c r="H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  <c r="Z646" s="182"/>
      <c r="AA646" s="182"/>
      <c r="AB646" s="182"/>
      <c r="AC646" s="182"/>
      <c r="AD646" s="182"/>
      <c r="AE646" s="182"/>
      <c r="AF646" s="182"/>
      <c r="AG646" s="182"/>
      <c r="AH646" s="182"/>
      <c r="AI646" s="182"/>
      <c r="AJ646" s="182"/>
      <c r="AK646" s="182"/>
      <c r="AL646" s="182"/>
      <c r="AM646" s="182"/>
      <c r="AN646" s="182"/>
      <c r="AO646" s="182"/>
      <c r="AP646" s="182"/>
      <c r="AQ646" s="185">
        <f t="shared" si="105"/>
        <v>938</v>
      </c>
      <c r="AR646" s="182">
        <v>626.75</v>
      </c>
      <c r="AS646" s="182">
        <f>5.25+80</f>
        <v>85.25</v>
      </c>
      <c r="AT646" s="182">
        <v>226</v>
      </c>
      <c r="AU646" s="182"/>
      <c r="AV646" s="182"/>
      <c r="AW646" s="182"/>
      <c r="AX646" s="182"/>
      <c r="AY646" s="182"/>
      <c r="AZ646" s="182"/>
      <c r="BA646" s="182"/>
      <c r="BB646" s="182"/>
      <c r="BC646" s="182"/>
      <c r="BD646" s="182"/>
      <c r="BE646" s="182"/>
      <c r="BF646" s="182"/>
      <c r="BG646" s="182"/>
      <c r="BH646" s="182"/>
      <c r="BI646" s="182"/>
      <c r="BJ646" s="182"/>
      <c r="BK646" s="182"/>
      <c r="BL646" s="182"/>
      <c r="BM646" s="182"/>
      <c r="BN646" s="182"/>
      <c r="BO646" s="182"/>
      <c r="BP646" s="182"/>
      <c r="BQ646" s="182"/>
      <c r="BR646" s="182"/>
      <c r="BS646" s="182"/>
      <c r="BT646" s="182"/>
      <c r="BU646" s="182"/>
      <c r="BV646" s="182"/>
      <c r="BW646" s="182"/>
      <c r="BX646" s="182"/>
      <c r="BY646" s="182"/>
      <c r="BZ646" s="182"/>
      <c r="CA646" s="182"/>
      <c r="CB646" s="185">
        <f t="shared" si="106"/>
        <v>938</v>
      </c>
      <c r="CC646" s="185">
        <f t="shared" si="107"/>
        <v>0</v>
      </c>
      <c r="CD646" s="185">
        <f t="shared" si="108"/>
        <v>1008</v>
      </c>
      <c r="CE646" s="185" t="e">
        <f>+#REF!</f>
        <v>#REF!</v>
      </c>
    </row>
    <row r="647" spans="2:83" s="197" customFormat="1" ht="37.5" x14ac:dyDescent="0.3">
      <c r="B647" s="182">
        <v>1902</v>
      </c>
      <c r="C647" s="182">
        <v>986</v>
      </c>
      <c r="D647" s="182" t="s">
        <v>78</v>
      </c>
      <c r="E647" s="181" t="s">
        <v>4776</v>
      </c>
      <c r="F647" s="182"/>
      <c r="G647" s="182">
        <v>938</v>
      </c>
      <c r="H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2"/>
      <c r="AH647" s="182"/>
      <c r="AI647" s="182"/>
      <c r="AJ647" s="182"/>
      <c r="AK647" s="182"/>
      <c r="AL647" s="182"/>
      <c r="AM647" s="182"/>
      <c r="AN647" s="182"/>
      <c r="AO647" s="182"/>
      <c r="AP647" s="182"/>
      <c r="AQ647" s="185">
        <f t="shared" si="105"/>
        <v>938</v>
      </c>
      <c r="AR647" s="182">
        <v>628.4</v>
      </c>
      <c r="AS647" s="182">
        <v>83.6</v>
      </c>
      <c r="AT647" s="182">
        <v>226</v>
      </c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182"/>
      <c r="BK647" s="182"/>
      <c r="BL647" s="182"/>
      <c r="BM647" s="182"/>
      <c r="BN647" s="182"/>
      <c r="BO647" s="182"/>
      <c r="BP647" s="182"/>
      <c r="BQ647" s="182"/>
      <c r="BR647" s="182"/>
      <c r="BS647" s="182"/>
      <c r="BT647" s="182"/>
      <c r="BU647" s="182"/>
      <c r="BV647" s="182"/>
      <c r="BW647" s="182"/>
      <c r="BX647" s="182"/>
      <c r="BY647" s="182"/>
      <c r="BZ647" s="182"/>
      <c r="CA647" s="182"/>
      <c r="CB647" s="185">
        <f t="shared" si="106"/>
        <v>938</v>
      </c>
      <c r="CC647" s="185">
        <f t="shared" si="107"/>
        <v>0</v>
      </c>
      <c r="CD647" s="185">
        <f t="shared" si="108"/>
        <v>986</v>
      </c>
      <c r="CE647" s="185" t="e">
        <f>+#REF!</f>
        <v>#REF!</v>
      </c>
    </row>
    <row r="648" spans="2:83" s="197" customFormat="1" ht="37.5" x14ac:dyDescent="0.3">
      <c r="B648" s="182">
        <v>1903</v>
      </c>
      <c r="C648" s="182">
        <v>1010</v>
      </c>
      <c r="D648" s="182" t="s">
        <v>78</v>
      </c>
      <c r="E648" s="181" t="s">
        <v>4776</v>
      </c>
      <c r="F648" s="182"/>
      <c r="G648" s="182">
        <v>703.5</v>
      </c>
      <c r="H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2"/>
      <c r="AH648" s="182"/>
      <c r="AI648" s="182"/>
      <c r="AJ648" s="182"/>
      <c r="AK648" s="182"/>
      <c r="AL648" s="182"/>
      <c r="AM648" s="182"/>
      <c r="AN648" s="182"/>
      <c r="AO648" s="182"/>
      <c r="AP648" s="182"/>
      <c r="AQ648" s="185">
        <f t="shared" si="105"/>
        <v>703.5</v>
      </c>
      <c r="AR648" s="182">
        <v>471.2</v>
      </c>
      <c r="AS648" s="182">
        <v>62.8</v>
      </c>
      <c r="AT648" s="182">
        <v>169.5</v>
      </c>
      <c r="AU648" s="182"/>
      <c r="AV648" s="182"/>
      <c r="AW648" s="182"/>
      <c r="AX648" s="182"/>
      <c r="AY648" s="182"/>
      <c r="AZ648" s="182"/>
      <c r="BA648" s="182"/>
      <c r="BB648" s="182"/>
      <c r="BC648" s="182"/>
      <c r="BD648" s="182"/>
      <c r="BE648" s="182"/>
      <c r="BF648" s="182"/>
      <c r="BG648" s="182"/>
      <c r="BH648" s="182"/>
      <c r="BI648" s="182"/>
      <c r="BJ648" s="182"/>
      <c r="BK648" s="182"/>
      <c r="BL648" s="182"/>
      <c r="BM648" s="182"/>
      <c r="BN648" s="182"/>
      <c r="BO648" s="182"/>
      <c r="BP648" s="182"/>
      <c r="BQ648" s="182"/>
      <c r="BR648" s="182"/>
      <c r="BS648" s="182"/>
      <c r="BT648" s="182"/>
      <c r="BU648" s="182"/>
      <c r="BV648" s="182"/>
      <c r="BW648" s="182"/>
      <c r="BX648" s="182"/>
      <c r="BY648" s="182"/>
      <c r="BZ648" s="182"/>
      <c r="CA648" s="182"/>
      <c r="CB648" s="185">
        <f t="shared" si="106"/>
        <v>703.5</v>
      </c>
      <c r="CC648" s="185">
        <f t="shared" si="107"/>
        <v>0</v>
      </c>
      <c r="CD648" s="185">
        <f t="shared" si="108"/>
        <v>1010</v>
      </c>
      <c r="CE648" s="185" t="e">
        <f>+#REF!</f>
        <v>#REF!</v>
      </c>
    </row>
    <row r="649" spans="2:83" s="197" customFormat="1" ht="37.5" x14ac:dyDescent="0.3">
      <c r="B649" s="182">
        <v>1904</v>
      </c>
      <c r="C649" s="182">
        <v>1011</v>
      </c>
      <c r="D649" s="182" t="s">
        <v>78</v>
      </c>
      <c r="E649" s="181" t="s">
        <v>4776</v>
      </c>
      <c r="F649" s="182"/>
      <c r="G649" s="182">
        <v>938</v>
      </c>
      <c r="H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  <c r="Z649" s="182"/>
      <c r="AA649" s="182"/>
      <c r="AB649" s="182"/>
      <c r="AC649" s="182"/>
      <c r="AD649" s="182"/>
      <c r="AE649" s="182"/>
      <c r="AF649" s="182"/>
      <c r="AG649" s="182"/>
      <c r="AH649" s="182"/>
      <c r="AI649" s="182"/>
      <c r="AJ649" s="182"/>
      <c r="AK649" s="182"/>
      <c r="AL649" s="182"/>
      <c r="AM649" s="182"/>
      <c r="AN649" s="182"/>
      <c r="AO649" s="182"/>
      <c r="AP649" s="182"/>
      <c r="AQ649" s="185">
        <f t="shared" si="105"/>
        <v>938</v>
      </c>
      <c r="AR649" s="182">
        <v>627.35</v>
      </c>
      <c r="AS649" s="182">
        <v>84.65</v>
      </c>
      <c r="AT649" s="182">
        <v>226</v>
      </c>
      <c r="AU649" s="182"/>
      <c r="AV649" s="182"/>
      <c r="AW649" s="182"/>
      <c r="AX649" s="182"/>
      <c r="AY649" s="182"/>
      <c r="AZ649" s="182"/>
      <c r="BA649" s="182"/>
      <c r="BB649" s="182"/>
      <c r="BC649" s="182"/>
      <c r="BD649" s="182"/>
      <c r="BE649" s="182"/>
      <c r="BF649" s="182"/>
      <c r="BG649" s="182"/>
      <c r="BH649" s="182"/>
      <c r="BI649" s="182"/>
      <c r="BJ649" s="182"/>
      <c r="BK649" s="182"/>
      <c r="BL649" s="182"/>
      <c r="BM649" s="182"/>
      <c r="BN649" s="182"/>
      <c r="BO649" s="182"/>
      <c r="BP649" s="182"/>
      <c r="BQ649" s="182"/>
      <c r="BR649" s="182"/>
      <c r="BS649" s="182"/>
      <c r="BT649" s="182"/>
      <c r="BU649" s="182"/>
      <c r="BV649" s="182"/>
      <c r="BW649" s="182"/>
      <c r="BX649" s="182"/>
      <c r="BY649" s="182"/>
      <c r="BZ649" s="182"/>
      <c r="CA649" s="182"/>
      <c r="CB649" s="185">
        <f t="shared" si="106"/>
        <v>938</v>
      </c>
      <c r="CC649" s="185">
        <f t="shared" si="107"/>
        <v>0</v>
      </c>
      <c r="CD649" s="185">
        <f t="shared" si="108"/>
        <v>1011</v>
      </c>
      <c r="CE649" s="185" t="e">
        <f>+#REF!</f>
        <v>#REF!</v>
      </c>
    </row>
    <row r="650" spans="2:83" s="197" customFormat="1" ht="37.5" x14ac:dyDescent="0.3">
      <c r="B650" s="182">
        <v>1905</v>
      </c>
      <c r="C650" s="182">
        <v>1012</v>
      </c>
      <c r="D650" s="182" t="s">
        <v>78</v>
      </c>
      <c r="E650" s="181" t="s">
        <v>4776</v>
      </c>
      <c r="F650" s="182"/>
      <c r="G650" s="182">
        <v>600</v>
      </c>
      <c r="H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2"/>
      <c r="AH650" s="182"/>
      <c r="AI650" s="182"/>
      <c r="AJ650" s="182"/>
      <c r="AK650" s="182"/>
      <c r="AL650" s="182"/>
      <c r="AM650" s="182"/>
      <c r="AN650" s="182"/>
      <c r="AO650" s="182"/>
      <c r="AP650" s="182"/>
      <c r="AQ650" s="185">
        <f t="shared" si="105"/>
        <v>600</v>
      </c>
      <c r="AR650" s="182">
        <v>536.79999999999995</v>
      </c>
      <c r="AS650" s="182">
        <v>63.2</v>
      </c>
      <c r="AT650" s="182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182"/>
      <c r="BK650" s="182"/>
      <c r="BL650" s="182"/>
      <c r="BM650" s="182"/>
      <c r="BN650" s="182"/>
      <c r="BO650" s="182"/>
      <c r="BP650" s="182"/>
      <c r="BQ650" s="182"/>
      <c r="BR650" s="182"/>
      <c r="BS650" s="182"/>
      <c r="BT650" s="182"/>
      <c r="BU650" s="182"/>
      <c r="BV650" s="182"/>
      <c r="BW650" s="182"/>
      <c r="BX650" s="182"/>
      <c r="BY650" s="182"/>
      <c r="BZ650" s="182"/>
      <c r="CA650" s="182"/>
      <c r="CB650" s="185">
        <f t="shared" si="106"/>
        <v>600</v>
      </c>
      <c r="CC650" s="185">
        <f t="shared" si="107"/>
        <v>0</v>
      </c>
      <c r="CD650" s="185">
        <f t="shared" si="108"/>
        <v>1012</v>
      </c>
      <c r="CE650" s="185" t="e">
        <f>+#REF!</f>
        <v>#REF!</v>
      </c>
    </row>
    <row r="651" spans="2:83" s="197" customFormat="1" ht="37.5" x14ac:dyDescent="0.3">
      <c r="B651" s="182">
        <v>1906</v>
      </c>
      <c r="C651" s="182">
        <v>1013</v>
      </c>
      <c r="D651" s="182" t="s">
        <v>78</v>
      </c>
      <c r="E651" s="181" t="s">
        <v>4776</v>
      </c>
      <c r="F651" s="182"/>
      <c r="G651" s="182">
        <v>1172.5</v>
      </c>
      <c r="H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2"/>
      <c r="AH651" s="182"/>
      <c r="AI651" s="182"/>
      <c r="AJ651" s="182"/>
      <c r="AK651" s="182"/>
      <c r="AL651" s="182"/>
      <c r="AM651" s="182"/>
      <c r="AN651" s="182"/>
      <c r="AO651" s="182"/>
      <c r="AP651" s="182"/>
      <c r="AQ651" s="185">
        <f t="shared" si="105"/>
        <v>1172.5</v>
      </c>
      <c r="AR651" s="182">
        <v>784.55</v>
      </c>
      <c r="AS651" s="182">
        <v>105.45</v>
      </c>
      <c r="AT651" s="182">
        <v>282.5</v>
      </c>
      <c r="AU651" s="182"/>
      <c r="AV651" s="182"/>
      <c r="AW651" s="182"/>
      <c r="AX651" s="182"/>
      <c r="AY651" s="182"/>
      <c r="AZ651" s="182"/>
      <c r="BA651" s="182"/>
      <c r="BB651" s="182"/>
      <c r="BC651" s="182"/>
      <c r="BD651" s="182"/>
      <c r="BE651" s="182"/>
      <c r="BF651" s="182"/>
      <c r="BG651" s="182"/>
      <c r="BH651" s="182"/>
      <c r="BI651" s="182"/>
      <c r="BJ651" s="182"/>
      <c r="BK651" s="182"/>
      <c r="BL651" s="182"/>
      <c r="BM651" s="182"/>
      <c r="BN651" s="182"/>
      <c r="BO651" s="182"/>
      <c r="BP651" s="182"/>
      <c r="BQ651" s="182"/>
      <c r="BR651" s="182"/>
      <c r="BS651" s="182"/>
      <c r="BT651" s="182"/>
      <c r="BU651" s="182"/>
      <c r="BV651" s="182"/>
      <c r="BW651" s="182"/>
      <c r="BX651" s="182"/>
      <c r="BY651" s="182"/>
      <c r="BZ651" s="182"/>
      <c r="CA651" s="182"/>
      <c r="CB651" s="185">
        <f t="shared" si="106"/>
        <v>1172.5</v>
      </c>
      <c r="CC651" s="185">
        <f t="shared" si="107"/>
        <v>0</v>
      </c>
      <c r="CD651" s="185">
        <f t="shared" si="108"/>
        <v>1013</v>
      </c>
      <c r="CE651" s="185" t="e">
        <f>+#REF!</f>
        <v>#REF!</v>
      </c>
    </row>
    <row r="652" spans="2:83" s="197" customFormat="1" ht="37.5" x14ac:dyDescent="0.3">
      <c r="B652" s="182">
        <v>1907</v>
      </c>
      <c r="C652" s="182">
        <v>1014</v>
      </c>
      <c r="D652" s="182" t="s">
        <v>78</v>
      </c>
      <c r="E652" s="181" t="s">
        <v>4776</v>
      </c>
      <c r="F652" s="182"/>
      <c r="G652" s="182">
        <v>600</v>
      </c>
      <c r="H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  <c r="Z652" s="182"/>
      <c r="AA652" s="182"/>
      <c r="AB652" s="182"/>
      <c r="AC652" s="182"/>
      <c r="AD652" s="182"/>
      <c r="AE652" s="182"/>
      <c r="AF652" s="182"/>
      <c r="AG652" s="182"/>
      <c r="AH652" s="182"/>
      <c r="AI652" s="182"/>
      <c r="AJ652" s="182"/>
      <c r="AK652" s="182"/>
      <c r="AL652" s="182"/>
      <c r="AM652" s="182"/>
      <c r="AN652" s="182"/>
      <c r="AO652" s="182"/>
      <c r="AP652" s="182"/>
      <c r="AQ652" s="185">
        <f t="shared" si="105"/>
        <v>600</v>
      </c>
      <c r="AR652" s="182">
        <v>536.15</v>
      </c>
      <c r="AS652" s="182">
        <v>63.85</v>
      </c>
      <c r="AT652" s="182"/>
      <c r="AU652" s="182"/>
      <c r="AV652" s="182"/>
      <c r="AW652" s="182"/>
      <c r="AX652" s="182"/>
      <c r="AY652" s="182"/>
      <c r="AZ652" s="182"/>
      <c r="BA652" s="182"/>
      <c r="BB652" s="182"/>
      <c r="BC652" s="182"/>
      <c r="BD652" s="182"/>
      <c r="BE652" s="182"/>
      <c r="BF652" s="182"/>
      <c r="BG652" s="182"/>
      <c r="BH652" s="182"/>
      <c r="BI652" s="182"/>
      <c r="BJ652" s="182"/>
      <c r="BK652" s="182"/>
      <c r="BL652" s="182"/>
      <c r="BM652" s="182"/>
      <c r="BN652" s="182"/>
      <c r="BO652" s="182"/>
      <c r="BP652" s="182"/>
      <c r="BQ652" s="182"/>
      <c r="BR652" s="182"/>
      <c r="BS652" s="182"/>
      <c r="BT652" s="182"/>
      <c r="BU652" s="182"/>
      <c r="BV652" s="182"/>
      <c r="BW652" s="182"/>
      <c r="BX652" s="182"/>
      <c r="BY652" s="182"/>
      <c r="BZ652" s="182"/>
      <c r="CA652" s="182"/>
      <c r="CB652" s="185">
        <f t="shared" si="106"/>
        <v>600</v>
      </c>
      <c r="CC652" s="185">
        <f t="shared" si="107"/>
        <v>0</v>
      </c>
      <c r="CD652" s="185">
        <f t="shared" si="108"/>
        <v>1014</v>
      </c>
      <c r="CE652" s="185" t="e">
        <f>+#REF!</f>
        <v>#REF!</v>
      </c>
    </row>
    <row r="653" spans="2:83" s="197" customFormat="1" ht="37.5" x14ac:dyDescent="0.3">
      <c r="B653" s="182">
        <v>1908</v>
      </c>
      <c r="C653" s="182">
        <v>1015</v>
      </c>
      <c r="D653" s="182" t="s">
        <v>78</v>
      </c>
      <c r="E653" s="181" t="s">
        <v>4776</v>
      </c>
      <c r="F653" s="182"/>
      <c r="G653" s="182">
        <v>703.5</v>
      </c>
      <c r="H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  <c r="Z653" s="182"/>
      <c r="AA653" s="182"/>
      <c r="AB653" s="182"/>
      <c r="AC653" s="182"/>
      <c r="AD653" s="182"/>
      <c r="AE653" s="182"/>
      <c r="AF653" s="182"/>
      <c r="AG653" s="182"/>
      <c r="AH653" s="182"/>
      <c r="AI653" s="182"/>
      <c r="AJ653" s="182"/>
      <c r="AK653" s="182"/>
      <c r="AL653" s="182"/>
      <c r="AM653" s="182"/>
      <c r="AN653" s="182"/>
      <c r="AO653" s="182"/>
      <c r="AP653" s="182"/>
      <c r="AQ653" s="185">
        <f t="shared" si="105"/>
        <v>703.5</v>
      </c>
      <c r="AR653" s="182">
        <v>470.6</v>
      </c>
      <c r="AS653" s="182">
        <v>63.4</v>
      </c>
      <c r="AT653" s="182">
        <v>169.5</v>
      </c>
      <c r="AU653" s="182"/>
      <c r="AV653" s="182"/>
      <c r="AW653" s="182"/>
      <c r="AX653" s="182"/>
      <c r="AY653" s="182"/>
      <c r="AZ653" s="182"/>
      <c r="BA653" s="182"/>
      <c r="BB653" s="182"/>
      <c r="BC653" s="182"/>
      <c r="BD653" s="182"/>
      <c r="BE653" s="182"/>
      <c r="BF653" s="182"/>
      <c r="BG653" s="182"/>
      <c r="BH653" s="182"/>
      <c r="BI653" s="182"/>
      <c r="BJ653" s="182"/>
      <c r="BK653" s="182"/>
      <c r="BL653" s="182"/>
      <c r="BM653" s="182"/>
      <c r="BN653" s="182"/>
      <c r="BO653" s="182"/>
      <c r="BP653" s="182"/>
      <c r="BQ653" s="182"/>
      <c r="BR653" s="182"/>
      <c r="BS653" s="182"/>
      <c r="BT653" s="182"/>
      <c r="BU653" s="182"/>
      <c r="BV653" s="182"/>
      <c r="BW653" s="182"/>
      <c r="BX653" s="182"/>
      <c r="BY653" s="182"/>
      <c r="BZ653" s="182"/>
      <c r="CA653" s="182"/>
      <c r="CB653" s="185">
        <f t="shared" si="106"/>
        <v>703.5</v>
      </c>
      <c r="CC653" s="185">
        <f t="shared" si="107"/>
        <v>0</v>
      </c>
      <c r="CD653" s="185">
        <f t="shared" si="108"/>
        <v>1015</v>
      </c>
      <c r="CE653" s="185" t="e">
        <f>+#REF!</f>
        <v>#REF!</v>
      </c>
    </row>
    <row r="654" spans="2:83" s="197" customFormat="1" ht="37.5" x14ac:dyDescent="0.3">
      <c r="B654" s="182">
        <v>1909</v>
      </c>
      <c r="C654" s="182">
        <v>1016</v>
      </c>
      <c r="D654" s="182" t="s">
        <v>78</v>
      </c>
      <c r="E654" s="181" t="s">
        <v>4776</v>
      </c>
      <c r="F654" s="182"/>
      <c r="G654" s="182">
        <v>469</v>
      </c>
      <c r="H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  <c r="Z654" s="182"/>
      <c r="AA654" s="182"/>
      <c r="AB654" s="182"/>
      <c r="AC654" s="182"/>
      <c r="AD654" s="182"/>
      <c r="AE654" s="182"/>
      <c r="AF654" s="182"/>
      <c r="AG654" s="182"/>
      <c r="AH654" s="182"/>
      <c r="AI654" s="182"/>
      <c r="AJ654" s="182"/>
      <c r="AK654" s="182"/>
      <c r="AL654" s="182"/>
      <c r="AM654" s="182"/>
      <c r="AN654" s="182"/>
      <c r="AO654" s="182"/>
      <c r="AP654" s="182"/>
      <c r="AQ654" s="185">
        <f t="shared" si="105"/>
        <v>469</v>
      </c>
      <c r="AR654" s="182">
        <v>314.39999999999998</v>
      </c>
      <c r="AS654" s="182">
        <v>41.6</v>
      </c>
      <c r="AT654" s="182">
        <v>113</v>
      </c>
      <c r="AU654" s="182"/>
      <c r="AV654" s="182"/>
      <c r="AW654" s="182"/>
      <c r="AX654" s="182"/>
      <c r="AY654" s="182"/>
      <c r="AZ654" s="182"/>
      <c r="BA654" s="182"/>
      <c r="BB654" s="182"/>
      <c r="BC654" s="182"/>
      <c r="BD654" s="182"/>
      <c r="BE654" s="182"/>
      <c r="BF654" s="182"/>
      <c r="BG654" s="182"/>
      <c r="BH654" s="182"/>
      <c r="BI654" s="182"/>
      <c r="BJ654" s="182"/>
      <c r="BK654" s="182"/>
      <c r="BL654" s="182"/>
      <c r="BM654" s="182"/>
      <c r="BN654" s="182"/>
      <c r="BO654" s="182"/>
      <c r="BP654" s="182"/>
      <c r="BQ654" s="182"/>
      <c r="BR654" s="182"/>
      <c r="BS654" s="182"/>
      <c r="BT654" s="182"/>
      <c r="BU654" s="182"/>
      <c r="BV654" s="182"/>
      <c r="BW654" s="182"/>
      <c r="BX654" s="182"/>
      <c r="BY654" s="182"/>
      <c r="BZ654" s="182"/>
      <c r="CA654" s="182"/>
      <c r="CB654" s="185">
        <f t="shared" si="106"/>
        <v>469</v>
      </c>
      <c r="CC654" s="185">
        <f t="shared" si="107"/>
        <v>0</v>
      </c>
      <c r="CD654" s="185">
        <f t="shared" si="108"/>
        <v>1016</v>
      </c>
      <c r="CE654" s="185" t="e">
        <f>+#REF!</f>
        <v>#REF!</v>
      </c>
    </row>
    <row r="655" spans="2:83" s="197" customFormat="1" ht="37.5" x14ac:dyDescent="0.3">
      <c r="B655" s="182">
        <v>1910</v>
      </c>
      <c r="C655" s="182">
        <v>1017</v>
      </c>
      <c r="D655" s="182" t="s">
        <v>78</v>
      </c>
      <c r="E655" s="181" t="s">
        <v>4776</v>
      </c>
      <c r="F655" s="182"/>
      <c r="G655" s="182">
        <v>1407</v>
      </c>
      <c r="H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  <c r="Z655" s="182"/>
      <c r="AA655" s="182"/>
      <c r="AB655" s="182"/>
      <c r="AC655" s="182"/>
      <c r="AD655" s="182"/>
      <c r="AE655" s="182"/>
      <c r="AF655" s="182"/>
      <c r="AG655" s="182"/>
      <c r="AH655" s="182"/>
      <c r="AI655" s="182"/>
      <c r="AJ655" s="182"/>
      <c r="AK655" s="182"/>
      <c r="AL655" s="182"/>
      <c r="AM655" s="182"/>
      <c r="AN655" s="182"/>
      <c r="AO655" s="182"/>
      <c r="AP655" s="182"/>
      <c r="AQ655" s="185">
        <f t="shared" si="105"/>
        <v>1407</v>
      </c>
      <c r="AR655" s="182">
        <v>942.2</v>
      </c>
      <c r="AS655" s="182">
        <v>125.8</v>
      </c>
      <c r="AT655" s="182">
        <v>339</v>
      </c>
      <c r="AU655" s="182"/>
      <c r="AV655" s="182"/>
      <c r="AW655" s="182"/>
      <c r="AX655" s="182"/>
      <c r="AY655" s="182"/>
      <c r="AZ655" s="182"/>
      <c r="BA655" s="182"/>
      <c r="BB655" s="182"/>
      <c r="BC655" s="182"/>
      <c r="BD655" s="182"/>
      <c r="BE655" s="182"/>
      <c r="BF655" s="182"/>
      <c r="BG655" s="182"/>
      <c r="BH655" s="182"/>
      <c r="BI655" s="182"/>
      <c r="BJ655" s="182"/>
      <c r="BK655" s="182"/>
      <c r="BL655" s="182"/>
      <c r="BM655" s="182"/>
      <c r="BN655" s="182"/>
      <c r="BO655" s="182"/>
      <c r="BP655" s="182"/>
      <c r="BQ655" s="182"/>
      <c r="BR655" s="182"/>
      <c r="BS655" s="182"/>
      <c r="BT655" s="182"/>
      <c r="BU655" s="182"/>
      <c r="BV655" s="182"/>
      <c r="BW655" s="182"/>
      <c r="BX655" s="182"/>
      <c r="BY655" s="182"/>
      <c r="BZ655" s="182"/>
      <c r="CA655" s="182"/>
      <c r="CB655" s="185">
        <f t="shared" si="106"/>
        <v>1407</v>
      </c>
      <c r="CC655" s="185">
        <f t="shared" si="107"/>
        <v>0</v>
      </c>
      <c r="CD655" s="185">
        <f t="shared" si="108"/>
        <v>1017</v>
      </c>
      <c r="CE655" s="185" t="e">
        <f>+#REF!</f>
        <v>#REF!</v>
      </c>
    </row>
    <row r="656" spans="2:83" s="197" customFormat="1" ht="37.5" x14ac:dyDescent="0.3">
      <c r="B656" s="182">
        <v>1911</v>
      </c>
      <c r="C656" s="182">
        <v>1018</v>
      </c>
      <c r="D656" s="182" t="s">
        <v>78</v>
      </c>
      <c r="E656" s="181" t="s">
        <v>4776</v>
      </c>
      <c r="F656" s="182"/>
      <c r="G656" s="182">
        <v>234.5</v>
      </c>
      <c r="H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2"/>
      <c r="AH656" s="182"/>
      <c r="AI656" s="182"/>
      <c r="AJ656" s="182"/>
      <c r="AK656" s="182"/>
      <c r="AL656" s="182"/>
      <c r="AM656" s="182"/>
      <c r="AN656" s="182"/>
      <c r="AO656" s="182"/>
      <c r="AP656" s="182"/>
      <c r="AQ656" s="185">
        <f t="shared" si="105"/>
        <v>234.5</v>
      </c>
      <c r="AR656" s="182">
        <v>157.19999999999999</v>
      </c>
      <c r="AS656" s="182">
        <v>20.8</v>
      </c>
      <c r="AT656" s="182">
        <v>56.5</v>
      </c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182"/>
      <c r="BK656" s="182"/>
      <c r="BL656" s="182"/>
      <c r="BM656" s="182"/>
      <c r="BN656" s="182"/>
      <c r="BO656" s="182"/>
      <c r="BP656" s="182"/>
      <c r="BQ656" s="182"/>
      <c r="BR656" s="182"/>
      <c r="BS656" s="182"/>
      <c r="BT656" s="182"/>
      <c r="BU656" s="182"/>
      <c r="BV656" s="182"/>
      <c r="BW656" s="182"/>
      <c r="BX656" s="182"/>
      <c r="BY656" s="182"/>
      <c r="BZ656" s="182"/>
      <c r="CA656" s="182"/>
      <c r="CB656" s="185">
        <f t="shared" si="106"/>
        <v>234.5</v>
      </c>
      <c r="CC656" s="185">
        <f t="shared" si="107"/>
        <v>0</v>
      </c>
      <c r="CD656" s="185">
        <f t="shared" si="108"/>
        <v>1018</v>
      </c>
      <c r="CE656" s="185" t="e">
        <f>+#REF!</f>
        <v>#REF!</v>
      </c>
    </row>
    <row r="657" spans="2:83" s="197" customFormat="1" ht="37.5" x14ac:dyDescent="0.3">
      <c r="B657" s="182">
        <v>1912</v>
      </c>
      <c r="C657" s="182">
        <v>1019</v>
      </c>
      <c r="D657" s="182" t="s">
        <v>78</v>
      </c>
      <c r="E657" s="181" t="s">
        <v>4777</v>
      </c>
      <c r="F657" s="182"/>
      <c r="G657" s="182">
        <v>3986.5</v>
      </c>
      <c r="H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2"/>
      <c r="AH657" s="182"/>
      <c r="AI657" s="182"/>
      <c r="AJ657" s="182"/>
      <c r="AK657" s="182"/>
      <c r="AL657" s="182"/>
      <c r="AM657" s="182"/>
      <c r="AN657" s="182"/>
      <c r="AO657" s="182"/>
      <c r="AP657" s="182"/>
      <c r="AQ657" s="185">
        <f t="shared" si="105"/>
        <v>3986.5</v>
      </c>
      <c r="AR657" s="182">
        <v>2661.55</v>
      </c>
      <c r="AS657" s="182">
        <f>24.45+340</f>
        <v>364.45</v>
      </c>
      <c r="AT657" s="182">
        <v>960.5</v>
      </c>
      <c r="AU657" s="182"/>
      <c r="AV657" s="182"/>
      <c r="AW657" s="182"/>
      <c r="AX657" s="182"/>
      <c r="AY657" s="182"/>
      <c r="AZ657" s="182"/>
      <c r="BA657" s="182"/>
      <c r="BB657" s="182"/>
      <c r="BC657" s="182"/>
      <c r="BD657" s="182"/>
      <c r="BE657" s="182"/>
      <c r="BF657" s="182"/>
      <c r="BG657" s="182"/>
      <c r="BH657" s="182"/>
      <c r="BI657" s="182"/>
      <c r="BJ657" s="182"/>
      <c r="BK657" s="182"/>
      <c r="BL657" s="182"/>
      <c r="BM657" s="182"/>
      <c r="BN657" s="182"/>
      <c r="BO657" s="182"/>
      <c r="BP657" s="182"/>
      <c r="BQ657" s="182"/>
      <c r="BR657" s="182"/>
      <c r="BS657" s="182"/>
      <c r="BT657" s="182"/>
      <c r="BU657" s="182"/>
      <c r="BV657" s="182"/>
      <c r="BW657" s="182"/>
      <c r="BX657" s="182"/>
      <c r="BY657" s="182"/>
      <c r="BZ657" s="182"/>
      <c r="CA657" s="182"/>
      <c r="CB657" s="185">
        <f t="shared" si="106"/>
        <v>3986.5</v>
      </c>
      <c r="CC657" s="185">
        <f t="shared" si="107"/>
        <v>0</v>
      </c>
      <c r="CD657" s="185">
        <f t="shared" si="108"/>
        <v>1019</v>
      </c>
      <c r="CE657" s="185" t="e">
        <f>+#REF!</f>
        <v>#REF!</v>
      </c>
    </row>
    <row r="658" spans="2:83" s="197" customFormat="1" ht="37.5" x14ac:dyDescent="0.3">
      <c r="B658" s="182">
        <v>1917</v>
      </c>
      <c r="C658" s="182">
        <v>1020</v>
      </c>
      <c r="D658" s="182" t="s">
        <v>78</v>
      </c>
      <c r="E658" s="181" t="s">
        <v>4778</v>
      </c>
      <c r="F658" s="182"/>
      <c r="G658" s="182">
        <v>351.75</v>
      </c>
      <c r="H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  <c r="Z658" s="182"/>
      <c r="AA658" s="182"/>
      <c r="AB658" s="182"/>
      <c r="AC658" s="182"/>
      <c r="AD658" s="182"/>
      <c r="AE658" s="182"/>
      <c r="AF658" s="182"/>
      <c r="AG658" s="182"/>
      <c r="AH658" s="182"/>
      <c r="AI658" s="182"/>
      <c r="AJ658" s="182"/>
      <c r="AK658" s="182"/>
      <c r="AL658" s="182"/>
      <c r="AM658" s="182"/>
      <c r="AN658" s="182"/>
      <c r="AO658" s="182"/>
      <c r="AP658" s="182"/>
      <c r="AQ658" s="185">
        <f t="shared" si="105"/>
        <v>351.75</v>
      </c>
      <c r="AR658" s="182">
        <v>235.55</v>
      </c>
      <c r="AS658" s="182">
        <v>31.45</v>
      </c>
      <c r="AT658" s="182">
        <v>84.75</v>
      </c>
      <c r="AU658" s="182"/>
      <c r="AV658" s="182"/>
      <c r="AW658" s="182"/>
      <c r="AX658" s="182"/>
      <c r="AY658" s="182"/>
      <c r="AZ658" s="182"/>
      <c r="BA658" s="182"/>
      <c r="BB658" s="182"/>
      <c r="BC658" s="182"/>
      <c r="BD658" s="182"/>
      <c r="BE658" s="182"/>
      <c r="BF658" s="182"/>
      <c r="BG658" s="182"/>
      <c r="BH658" s="182"/>
      <c r="BI658" s="182"/>
      <c r="BJ658" s="182"/>
      <c r="BK658" s="182"/>
      <c r="BL658" s="182"/>
      <c r="BM658" s="182"/>
      <c r="BN658" s="182"/>
      <c r="BO658" s="182"/>
      <c r="BP658" s="182"/>
      <c r="BQ658" s="182"/>
      <c r="BR658" s="182"/>
      <c r="BS658" s="182"/>
      <c r="BT658" s="182"/>
      <c r="BU658" s="182"/>
      <c r="BV658" s="182"/>
      <c r="BW658" s="182"/>
      <c r="BX658" s="182"/>
      <c r="BY658" s="182"/>
      <c r="BZ658" s="182"/>
      <c r="CA658" s="182"/>
      <c r="CB658" s="185">
        <f t="shared" si="106"/>
        <v>351.75</v>
      </c>
      <c r="CC658" s="185">
        <f t="shared" si="107"/>
        <v>0</v>
      </c>
      <c r="CD658" s="185">
        <f t="shared" si="108"/>
        <v>1020</v>
      </c>
      <c r="CE658" s="185" t="e">
        <f>+#REF!</f>
        <v>#REF!</v>
      </c>
    </row>
    <row r="659" spans="2:83" s="197" customFormat="1" ht="37.5" x14ac:dyDescent="0.3">
      <c r="B659" s="182">
        <v>1918</v>
      </c>
      <c r="C659" s="182">
        <v>1021</v>
      </c>
      <c r="D659" s="182" t="s">
        <v>78</v>
      </c>
      <c r="E659" s="181" t="s">
        <v>1902</v>
      </c>
      <c r="F659" s="182"/>
      <c r="G659" s="182">
        <v>3165.76</v>
      </c>
      <c r="H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2"/>
      <c r="AH659" s="182"/>
      <c r="AI659" s="182"/>
      <c r="AJ659" s="182"/>
      <c r="AK659" s="182"/>
      <c r="AL659" s="182"/>
      <c r="AM659" s="182"/>
      <c r="AN659" s="182"/>
      <c r="AO659" s="182"/>
      <c r="AP659" s="182"/>
      <c r="AQ659" s="185">
        <f t="shared" si="105"/>
        <v>3165.76</v>
      </c>
      <c r="AR659" s="182">
        <v>2117.5</v>
      </c>
      <c r="AS659" s="182">
        <v>285.5</v>
      </c>
      <c r="AT659" s="182">
        <v>762.76</v>
      </c>
      <c r="AU659" s="182"/>
      <c r="AV659" s="182"/>
      <c r="AW659" s="182"/>
      <c r="AX659" s="182"/>
      <c r="AY659" s="182"/>
      <c r="AZ659" s="182"/>
      <c r="BA659" s="182"/>
      <c r="BB659" s="182"/>
      <c r="BC659" s="182"/>
      <c r="BD659" s="182"/>
      <c r="BE659" s="182"/>
      <c r="BF659" s="182"/>
      <c r="BG659" s="182"/>
      <c r="BH659" s="182"/>
      <c r="BI659" s="182"/>
      <c r="BJ659" s="182"/>
      <c r="BK659" s="182"/>
      <c r="BL659" s="182"/>
      <c r="BM659" s="182"/>
      <c r="BN659" s="182"/>
      <c r="BO659" s="182"/>
      <c r="BP659" s="182"/>
      <c r="BQ659" s="182"/>
      <c r="BR659" s="182"/>
      <c r="BS659" s="182"/>
      <c r="BT659" s="182"/>
      <c r="BU659" s="182"/>
      <c r="BV659" s="182"/>
      <c r="BW659" s="182"/>
      <c r="BX659" s="182"/>
      <c r="BY659" s="182"/>
      <c r="BZ659" s="182"/>
      <c r="CA659" s="182"/>
      <c r="CB659" s="185">
        <f t="shared" si="106"/>
        <v>3165.76</v>
      </c>
      <c r="CC659" s="185">
        <f t="shared" si="107"/>
        <v>0</v>
      </c>
      <c r="CD659" s="185">
        <f t="shared" si="108"/>
        <v>1021</v>
      </c>
      <c r="CE659" s="185" t="e">
        <f>+#REF!</f>
        <v>#REF!</v>
      </c>
    </row>
    <row r="660" spans="2:83" s="197" customFormat="1" ht="37.5" x14ac:dyDescent="0.3">
      <c r="B660" s="182">
        <v>1919</v>
      </c>
      <c r="C660" s="182">
        <v>1022</v>
      </c>
      <c r="D660" s="182" t="s">
        <v>78</v>
      </c>
      <c r="E660" s="181" t="s">
        <v>1902</v>
      </c>
      <c r="F660" s="182"/>
      <c r="G660" s="182">
        <v>1172.5</v>
      </c>
      <c r="H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2"/>
      <c r="AH660" s="182"/>
      <c r="AI660" s="182"/>
      <c r="AJ660" s="182"/>
      <c r="AK660" s="182"/>
      <c r="AL660" s="182"/>
      <c r="AM660" s="182"/>
      <c r="AN660" s="182"/>
      <c r="AO660" s="182"/>
      <c r="AP660" s="182"/>
      <c r="AQ660" s="185">
        <f t="shared" si="105"/>
        <v>1172.5</v>
      </c>
      <c r="AR660" s="182">
        <v>783.7</v>
      </c>
      <c r="AS660" s="182">
        <f>6.3+100</f>
        <v>106.3</v>
      </c>
      <c r="AT660" s="182">
        <v>282.5</v>
      </c>
      <c r="AU660" s="182"/>
      <c r="AV660" s="182"/>
      <c r="AW660" s="182"/>
      <c r="AX660" s="182"/>
      <c r="AY660" s="182"/>
      <c r="AZ660" s="182"/>
      <c r="BA660" s="182"/>
      <c r="BB660" s="182"/>
      <c r="BC660" s="182"/>
      <c r="BD660" s="182"/>
      <c r="BE660" s="182"/>
      <c r="BF660" s="182"/>
      <c r="BG660" s="182"/>
      <c r="BH660" s="182"/>
      <c r="BI660" s="182"/>
      <c r="BJ660" s="182"/>
      <c r="BK660" s="182"/>
      <c r="BL660" s="182"/>
      <c r="BM660" s="182"/>
      <c r="BN660" s="182"/>
      <c r="BO660" s="182"/>
      <c r="BP660" s="182"/>
      <c r="BQ660" s="182"/>
      <c r="BR660" s="182"/>
      <c r="BS660" s="182"/>
      <c r="BT660" s="182"/>
      <c r="BU660" s="182"/>
      <c r="BV660" s="182"/>
      <c r="BW660" s="182"/>
      <c r="BX660" s="182"/>
      <c r="BY660" s="182"/>
      <c r="BZ660" s="182"/>
      <c r="CA660" s="182"/>
      <c r="CB660" s="185">
        <f t="shared" si="106"/>
        <v>1172.5</v>
      </c>
      <c r="CC660" s="185">
        <f t="shared" si="107"/>
        <v>0</v>
      </c>
      <c r="CD660" s="185">
        <f t="shared" si="108"/>
        <v>1022</v>
      </c>
      <c r="CE660" s="185" t="e">
        <f>+#REF!</f>
        <v>#REF!</v>
      </c>
    </row>
    <row r="661" spans="2:83" s="197" customFormat="1" ht="37.5" x14ac:dyDescent="0.3">
      <c r="B661" s="182">
        <v>1968</v>
      </c>
      <c r="C661" s="182">
        <v>1023</v>
      </c>
      <c r="D661" s="182" t="s">
        <v>78</v>
      </c>
      <c r="E661" s="181" t="s">
        <v>4779</v>
      </c>
      <c r="F661" s="182"/>
      <c r="G661" s="182">
        <v>2500</v>
      </c>
      <c r="H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  <c r="Z661" s="182"/>
      <c r="AA661" s="182"/>
      <c r="AB661" s="182"/>
      <c r="AC661" s="182"/>
      <c r="AD661" s="182"/>
      <c r="AE661" s="182"/>
      <c r="AF661" s="182"/>
      <c r="AG661" s="182"/>
      <c r="AH661" s="182"/>
      <c r="AI661" s="182"/>
      <c r="AJ661" s="182"/>
      <c r="AK661" s="182"/>
      <c r="AL661" s="182"/>
      <c r="AM661" s="182"/>
      <c r="AN661" s="182"/>
      <c r="AO661" s="182"/>
      <c r="AP661" s="182"/>
      <c r="AQ661" s="185">
        <f t="shared" si="105"/>
        <v>2500</v>
      </c>
      <c r="AR661" s="182">
        <v>2231.6</v>
      </c>
      <c r="AS661" s="182">
        <v>268.39999999999998</v>
      </c>
      <c r="AT661" s="182"/>
      <c r="AU661" s="182"/>
      <c r="AV661" s="182"/>
      <c r="AW661" s="182"/>
      <c r="AX661" s="182"/>
      <c r="AY661" s="182"/>
      <c r="AZ661" s="182"/>
      <c r="BA661" s="182"/>
      <c r="BB661" s="182"/>
      <c r="BC661" s="182"/>
      <c r="BD661" s="182"/>
      <c r="BE661" s="182"/>
      <c r="BF661" s="182"/>
      <c r="BG661" s="182"/>
      <c r="BH661" s="182"/>
      <c r="BI661" s="182"/>
      <c r="BJ661" s="182"/>
      <c r="BK661" s="182"/>
      <c r="BL661" s="182"/>
      <c r="BM661" s="182"/>
      <c r="BN661" s="182"/>
      <c r="BO661" s="182"/>
      <c r="BP661" s="182"/>
      <c r="BQ661" s="182"/>
      <c r="BR661" s="182"/>
      <c r="BS661" s="182"/>
      <c r="BT661" s="182"/>
      <c r="BU661" s="182"/>
      <c r="BV661" s="182"/>
      <c r="BW661" s="182"/>
      <c r="BX661" s="182"/>
      <c r="BY661" s="182"/>
      <c r="BZ661" s="182"/>
      <c r="CA661" s="182"/>
      <c r="CB661" s="185">
        <f t="shared" si="106"/>
        <v>2500</v>
      </c>
      <c r="CC661" s="185">
        <f t="shared" si="107"/>
        <v>0</v>
      </c>
      <c r="CD661" s="185">
        <f t="shared" si="108"/>
        <v>1023</v>
      </c>
      <c r="CE661" s="185" t="e">
        <f>+#REF!</f>
        <v>#REF!</v>
      </c>
    </row>
    <row r="662" spans="2:83" s="197" customFormat="1" ht="37.5" x14ac:dyDescent="0.3">
      <c r="B662" s="182">
        <v>1969</v>
      </c>
      <c r="C662" s="182">
        <v>1024</v>
      </c>
      <c r="D662" s="182" t="s">
        <v>78</v>
      </c>
      <c r="E662" s="181" t="s">
        <v>4780</v>
      </c>
      <c r="F662" s="182"/>
      <c r="G662" s="182">
        <v>900</v>
      </c>
      <c r="H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2"/>
      <c r="AH662" s="182"/>
      <c r="AI662" s="182"/>
      <c r="AJ662" s="182"/>
      <c r="AK662" s="182"/>
      <c r="AL662" s="182"/>
      <c r="AM662" s="182"/>
      <c r="AN662" s="182"/>
      <c r="AO662" s="182"/>
      <c r="AP662" s="182"/>
      <c r="AQ662" s="185">
        <f t="shared" si="105"/>
        <v>900</v>
      </c>
      <c r="AR662" s="182">
        <v>804.05</v>
      </c>
      <c r="AS662" s="182">
        <v>95.95</v>
      </c>
      <c r="AT662" s="182"/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182"/>
      <c r="BK662" s="182"/>
      <c r="BL662" s="182"/>
      <c r="BM662" s="182"/>
      <c r="BN662" s="182"/>
      <c r="BO662" s="182"/>
      <c r="BP662" s="182"/>
      <c r="BQ662" s="182"/>
      <c r="BR662" s="182"/>
      <c r="BS662" s="182"/>
      <c r="BT662" s="182"/>
      <c r="BU662" s="182"/>
      <c r="BV662" s="182"/>
      <c r="BW662" s="182"/>
      <c r="BX662" s="182"/>
      <c r="BY662" s="182"/>
      <c r="BZ662" s="182"/>
      <c r="CA662" s="182"/>
      <c r="CB662" s="185">
        <f t="shared" si="106"/>
        <v>900</v>
      </c>
      <c r="CC662" s="185">
        <f t="shared" si="107"/>
        <v>0</v>
      </c>
      <c r="CD662" s="185">
        <f t="shared" si="108"/>
        <v>1024</v>
      </c>
      <c r="CE662" s="185" t="e">
        <f>+#REF!</f>
        <v>#REF!</v>
      </c>
    </row>
    <row r="663" spans="2:83" s="197" customFormat="1" ht="37.5" x14ac:dyDescent="0.3">
      <c r="B663" s="182">
        <v>1970</v>
      </c>
      <c r="C663" s="182">
        <v>1025</v>
      </c>
      <c r="D663" s="182" t="s">
        <v>78</v>
      </c>
      <c r="E663" s="181" t="s">
        <v>4780</v>
      </c>
      <c r="F663" s="182"/>
      <c r="G663" s="182">
        <v>1055.25</v>
      </c>
      <c r="H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2"/>
      <c r="AH663" s="182"/>
      <c r="AI663" s="182"/>
      <c r="AJ663" s="182"/>
      <c r="AK663" s="182"/>
      <c r="AL663" s="182"/>
      <c r="AM663" s="182"/>
      <c r="AN663" s="182"/>
      <c r="AO663" s="182"/>
      <c r="AP663" s="182"/>
      <c r="AQ663" s="185">
        <f t="shared" si="105"/>
        <v>1055.25</v>
      </c>
      <c r="AR663" s="182">
        <v>705.7</v>
      </c>
      <c r="AS663" s="182">
        <v>95.3</v>
      </c>
      <c r="AT663" s="182">
        <v>254.25</v>
      </c>
      <c r="AU663" s="182"/>
      <c r="AV663" s="182"/>
      <c r="AW663" s="182"/>
      <c r="AX663" s="182"/>
      <c r="AY663" s="182"/>
      <c r="AZ663" s="182"/>
      <c r="BA663" s="182"/>
      <c r="BB663" s="182"/>
      <c r="BC663" s="182"/>
      <c r="BD663" s="182"/>
      <c r="BE663" s="182"/>
      <c r="BF663" s="182"/>
      <c r="BG663" s="182"/>
      <c r="BH663" s="182"/>
      <c r="BI663" s="182"/>
      <c r="BJ663" s="182"/>
      <c r="BK663" s="182"/>
      <c r="BL663" s="182"/>
      <c r="BM663" s="182"/>
      <c r="BN663" s="182"/>
      <c r="BO663" s="182"/>
      <c r="BP663" s="182"/>
      <c r="BQ663" s="182"/>
      <c r="BR663" s="182"/>
      <c r="BS663" s="182"/>
      <c r="BT663" s="182"/>
      <c r="BU663" s="182"/>
      <c r="BV663" s="182"/>
      <c r="BW663" s="182"/>
      <c r="BX663" s="182"/>
      <c r="BY663" s="182"/>
      <c r="BZ663" s="182"/>
      <c r="CA663" s="182"/>
      <c r="CB663" s="185">
        <f t="shared" si="106"/>
        <v>1055.25</v>
      </c>
      <c r="CC663" s="185">
        <f t="shared" si="107"/>
        <v>0</v>
      </c>
      <c r="CD663" s="185">
        <f t="shared" si="108"/>
        <v>1025</v>
      </c>
      <c r="CE663" s="185" t="e">
        <f>+#REF!</f>
        <v>#REF!</v>
      </c>
    </row>
    <row r="664" spans="2:83" s="197" customFormat="1" ht="37.5" x14ac:dyDescent="0.3">
      <c r="B664" s="182">
        <v>1728</v>
      </c>
      <c r="C664" s="182">
        <v>1026</v>
      </c>
      <c r="D664" s="182" t="s">
        <v>4683</v>
      </c>
      <c r="E664" s="181" t="s">
        <v>4781</v>
      </c>
      <c r="F664" s="182"/>
      <c r="G664" s="182"/>
      <c r="H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>
        <v>6296.33</v>
      </c>
      <c r="X664" s="182"/>
      <c r="Y664" s="182"/>
      <c r="Z664" s="182"/>
      <c r="AA664" s="182"/>
      <c r="AB664" s="182"/>
      <c r="AC664" s="182"/>
      <c r="AD664" s="182"/>
      <c r="AE664" s="182"/>
      <c r="AF664" s="182"/>
      <c r="AG664" s="182"/>
      <c r="AH664" s="182"/>
      <c r="AI664" s="182"/>
      <c r="AJ664" s="182"/>
      <c r="AK664" s="182"/>
      <c r="AL664" s="182"/>
      <c r="AM664" s="182"/>
      <c r="AN664" s="182"/>
      <c r="AO664" s="182"/>
      <c r="AP664" s="182"/>
      <c r="AQ664" s="185">
        <f t="shared" si="105"/>
        <v>6296.33</v>
      </c>
      <c r="AR664" s="182">
        <v>3943.9</v>
      </c>
      <c r="AS664" s="182">
        <v>566.9</v>
      </c>
      <c r="AT664" s="182">
        <v>1517.03</v>
      </c>
      <c r="AU664" s="182">
        <v>268.5</v>
      </c>
      <c r="AV664" s="182"/>
      <c r="AW664" s="182"/>
      <c r="AX664" s="182"/>
      <c r="AY664" s="182"/>
      <c r="AZ664" s="182"/>
      <c r="BA664" s="182"/>
      <c r="BB664" s="182"/>
      <c r="BC664" s="182"/>
      <c r="BD664" s="182"/>
      <c r="BE664" s="182"/>
      <c r="BF664" s="182"/>
      <c r="BG664" s="182"/>
      <c r="BH664" s="182"/>
      <c r="BI664" s="182"/>
      <c r="BJ664" s="182"/>
      <c r="BK664" s="182"/>
      <c r="BL664" s="182"/>
      <c r="BM664" s="182"/>
      <c r="BN664" s="182"/>
      <c r="BO664" s="182"/>
      <c r="BP664" s="182"/>
      <c r="BQ664" s="182"/>
      <c r="BR664" s="182"/>
      <c r="BS664" s="182"/>
      <c r="BT664" s="182"/>
      <c r="BU664" s="182"/>
      <c r="BV664" s="182"/>
      <c r="BW664" s="182"/>
      <c r="BX664" s="182"/>
      <c r="BY664" s="182"/>
      <c r="BZ664" s="182"/>
      <c r="CA664" s="182"/>
      <c r="CB664" s="185">
        <f t="shared" si="106"/>
        <v>6296.33</v>
      </c>
      <c r="CC664" s="185">
        <f t="shared" si="107"/>
        <v>0</v>
      </c>
      <c r="CD664" s="185">
        <f t="shared" si="108"/>
        <v>1026</v>
      </c>
      <c r="CE664" s="185" t="e">
        <f>+#REF!</f>
        <v>#REF!</v>
      </c>
    </row>
    <row r="665" spans="2:83" s="197" customFormat="1" ht="37.5" x14ac:dyDescent="0.3">
      <c r="B665" s="182">
        <v>1729</v>
      </c>
      <c r="C665" s="182">
        <v>1027</v>
      </c>
      <c r="D665" s="182" t="s">
        <v>4683</v>
      </c>
      <c r="E665" s="181" t="str">
        <f>+E664</f>
        <v>ج القوافل يونيو</v>
      </c>
      <c r="F665" s="182"/>
      <c r="G665" s="182"/>
      <c r="H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>
        <v>480.73</v>
      </c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2"/>
      <c r="AH665" s="182"/>
      <c r="AI665" s="182"/>
      <c r="AJ665" s="182"/>
      <c r="AK665" s="182"/>
      <c r="AL665" s="182"/>
      <c r="AM665" s="182"/>
      <c r="AN665" s="182"/>
      <c r="AO665" s="182"/>
      <c r="AP665" s="182"/>
      <c r="AQ665" s="185">
        <f t="shared" si="105"/>
        <v>480.73</v>
      </c>
      <c r="AR665" s="182">
        <v>301.06</v>
      </c>
      <c r="AS665" s="182">
        <f>41+2.34</f>
        <v>43.34</v>
      </c>
      <c r="AT665" s="182">
        <v>115.83</v>
      </c>
      <c r="AU665" s="182">
        <v>20.5</v>
      </c>
      <c r="AV665" s="182"/>
      <c r="AW665" s="182"/>
      <c r="AX665" s="182"/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/>
      <c r="BI665" s="182"/>
      <c r="BJ665" s="182"/>
      <c r="BK665" s="182"/>
      <c r="BL665" s="182"/>
      <c r="BM665" s="182"/>
      <c r="BN665" s="182"/>
      <c r="BO665" s="182"/>
      <c r="BP665" s="182"/>
      <c r="BQ665" s="182"/>
      <c r="BR665" s="182"/>
      <c r="BS665" s="182"/>
      <c r="BT665" s="182"/>
      <c r="BU665" s="182"/>
      <c r="BV665" s="182"/>
      <c r="BW665" s="182"/>
      <c r="BX665" s="182"/>
      <c r="BY665" s="182"/>
      <c r="BZ665" s="182"/>
      <c r="CA665" s="182"/>
      <c r="CB665" s="185">
        <f t="shared" si="106"/>
        <v>480.72999999999996</v>
      </c>
      <c r="CC665" s="185">
        <f t="shared" si="107"/>
        <v>0</v>
      </c>
      <c r="CD665" s="185">
        <f t="shared" si="108"/>
        <v>1027</v>
      </c>
      <c r="CE665" s="185" t="e">
        <f>+#REF!</f>
        <v>#REF!</v>
      </c>
    </row>
    <row r="666" spans="2:83" s="197" customFormat="1" ht="37.5" x14ac:dyDescent="0.3">
      <c r="B666" s="182">
        <v>1791</v>
      </c>
      <c r="C666" s="182">
        <v>1028</v>
      </c>
      <c r="D666" s="182" t="s">
        <v>128</v>
      </c>
      <c r="E666" s="181" t="s">
        <v>4782</v>
      </c>
      <c r="F666" s="182"/>
      <c r="G666" s="182"/>
      <c r="H666" s="182">
        <v>3640</v>
      </c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2"/>
      <c r="AH666" s="182"/>
      <c r="AI666" s="182"/>
      <c r="AJ666" s="182"/>
      <c r="AK666" s="182"/>
      <c r="AL666" s="182"/>
      <c r="AM666" s="182"/>
      <c r="AN666" s="182"/>
      <c r="AO666" s="182"/>
      <c r="AP666" s="182"/>
      <c r="AQ666" s="185">
        <f t="shared" si="105"/>
        <v>3640</v>
      </c>
      <c r="AR666" s="182">
        <v>3254.3</v>
      </c>
      <c r="AS666" s="182">
        <v>211.1</v>
      </c>
      <c r="AT666" s="182"/>
      <c r="AU666" s="182"/>
      <c r="AV666" s="182"/>
      <c r="AW666" s="182"/>
      <c r="AX666" s="182"/>
      <c r="AY666" s="182"/>
      <c r="AZ666" s="182"/>
      <c r="BA666" s="182"/>
      <c r="BB666" s="182"/>
      <c r="BC666" s="182"/>
      <c r="BD666" s="182"/>
      <c r="BE666" s="182">
        <v>95.8</v>
      </c>
      <c r="BF666" s="182">
        <v>50</v>
      </c>
      <c r="BG666" s="182">
        <f>14.4*2</f>
        <v>28.8</v>
      </c>
      <c r="BH666" s="182"/>
      <c r="BI666" s="182"/>
      <c r="BJ666" s="182"/>
      <c r="BK666" s="182"/>
      <c r="BL666" s="182"/>
      <c r="BM666" s="182"/>
      <c r="BN666" s="182"/>
      <c r="BO666" s="182"/>
      <c r="BP666" s="182"/>
      <c r="BQ666" s="182"/>
      <c r="BR666" s="182"/>
      <c r="BS666" s="182"/>
      <c r="BT666" s="182"/>
      <c r="BU666" s="182"/>
      <c r="BV666" s="182"/>
      <c r="BW666" s="182"/>
      <c r="BX666" s="182"/>
      <c r="BY666" s="182"/>
      <c r="BZ666" s="182"/>
      <c r="CA666" s="182"/>
      <c r="CB666" s="185">
        <f t="shared" si="106"/>
        <v>3640.0000000000005</v>
      </c>
      <c r="CC666" s="185">
        <f t="shared" si="107"/>
        <v>0</v>
      </c>
      <c r="CD666" s="185">
        <f t="shared" si="108"/>
        <v>1028</v>
      </c>
      <c r="CE666" s="185" t="e">
        <f>+#REF!</f>
        <v>#REF!</v>
      </c>
    </row>
    <row r="667" spans="2:83" s="197" customFormat="1" ht="37.5" x14ac:dyDescent="0.3">
      <c r="B667" s="182">
        <v>1986</v>
      </c>
      <c r="C667" s="182">
        <v>1029</v>
      </c>
      <c r="D667" s="182" t="s">
        <v>123</v>
      </c>
      <c r="E667" s="181" t="s">
        <v>4783</v>
      </c>
      <c r="F667" s="182"/>
      <c r="G667" s="182"/>
      <c r="H667" s="182">
        <v>7903</v>
      </c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  <c r="Z667" s="182"/>
      <c r="AA667" s="182"/>
      <c r="AB667" s="182"/>
      <c r="AC667" s="182"/>
      <c r="AD667" s="182"/>
      <c r="AE667" s="182"/>
      <c r="AF667" s="182"/>
      <c r="AG667" s="182"/>
      <c r="AH667" s="182"/>
      <c r="AI667" s="182"/>
      <c r="AJ667" s="182"/>
      <c r="AK667" s="182"/>
      <c r="AL667" s="182"/>
      <c r="AM667" s="182"/>
      <c r="AN667" s="182"/>
      <c r="AO667" s="182"/>
      <c r="AP667" s="182"/>
      <c r="AQ667" s="185">
        <f t="shared" si="105"/>
        <v>7903</v>
      </c>
      <c r="AR667" s="182">
        <v>7903</v>
      </c>
      <c r="AS667" s="182"/>
      <c r="AT667" s="182"/>
      <c r="AU667" s="182"/>
      <c r="AV667" s="182"/>
      <c r="AW667" s="182"/>
      <c r="AX667" s="182"/>
      <c r="AY667" s="182"/>
      <c r="AZ667" s="182"/>
      <c r="BA667" s="182"/>
      <c r="BB667" s="182"/>
      <c r="BC667" s="182"/>
      <c r="BD667" s="182"/>
      <c r="BE667" s="182"/>
      <c r="BF667" s="182"/>
      <c r="BG667" s="182"/>
      <c r="BH667" s="182"/>
      <c r="BI667" s="182"/>
      <c r="BJ667" s="182"/>
      <c r="BK667" s="182"/>
      <c r="BL667" s="182"/>
      <c r="BM667" s="182"/>
      <c r="BN667" s="182"/>
      <c r="BO667" s="182"/>
      <c r="BP667" s="182"/>
      <c r="BQ667" s="182"/>
      <c r="BR667" s="182"/>
      <c r="BS667" s="182"/>
      <c r="BT667" s="182"/>
      <c r="BU667" s="182"/>
      <c r="BV667" s="182"/>
      <c r="BW667" s="182"/>
      <c r="BX667" s="182"/>
      <c r="BY667" s="182"/>
      <c r="BZ667" s="182"/>
      <c r="CA667" s="182"/>
      <c r="CB667" s="185">
        <f t="shared" si="106"/>
        <v>7903</v>
      </c>
      <c r="CC667" s="185">
        <f t="shared" si="107"/>
        <v>0</v>
      </c>
      <c r="CD667" s="185">
        <f t="shared" si="108"/>
        <v>1029</v>
      </c>
      <c r="CE667" s="185" t="e">
        <f>+#REF!</f>
        <v>#REF!</v>
      </c>
    </row>
    <row r="668" spans="2:83" s="197" customFormat="1" ht="56.25" x14ac:dyDescent="0.3">
      <c r="B668" s="182">
        <v>15388</v>
      </c>
      <c r="C668" s="182">
        <v>1030</v>
      </c>
      <c r="D668" s="182" t="s">
        <v>122</v>
      </c>
      <c r="E668" s="181" t="s">
        <v>4784</v>
      </c>
      <c r="F668" s="182"/>
      <c r="G668" s="182"/>
      <c r="H668" s="182">
        <v>23370</v>
      </c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2"/>
      <c r="AH668" s="182"/>
      <c r="AI668" s="182"/>
      <c r="AJ668" s="182"/>
      <c r="AK668" s="182"/>
      <c r="AL668" s="182"/>
      <c r="AM668" s="182"/>
      <c r="AN668" s="182"/>
      <c r="AO668" s="182"/>
      <c r="AP668" s="182"/>
      <c r="AQ668" s="185">
        <f t="shared" ref="AQ668:AQ674" si="109">SUM(G668:AP668)</f>
        <v>23370</v>
      </c>
      <c r="AR668" s="182">
        <v>20865.900000000001</v>
      </c>
      <c r="AS668" s="182">
        <f>222.75+668.25+17.1</f>
        <v>908.1</v>
      </c>
      <c r="AT668" s="182"/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>
        <v>205</v>
      </c>
      <c r="BF668" s="182">
        <v>38</v>
      </c>
      <c r="BG668" s="182">
        <f>92.25*2</f>
        <v>184.5</v>
      </c>
      <c r="BH668" s="182">
        <v>1168.5</v>
      </c>
      <c r="BI668" s="182"/>
      <c r="BJ668" s="182"/>
      <c r="BK668" s="182"/>
      <c r="BL668" s="182"/>
      <c r="BM668" s="182"/>
      <c r="BN668" s="182"/>
      <c r="BO668" s="182"/>
      <c r="BP668" s="182"/>
      <c r="BQ668" s="182"/>
      <c r="BR668" s="182"/>
      <c r="BS668" s="182"/>
      <c r="BT668" s="182"/>
      <c r="BU668" s="182"/>
      <c r="BV668" s="182"/>
      <c r="BW668" s="182"/>
      <c r="BX668" s="182"/>
      <c r="BY668" s="182"/>
      <c r="BZ668" s="182"/>
      <c r="CA668" s="182"/>
      <c r="CB668" s="185">
        <f t="shared" ref="CB668:CB674" si="110">SUM(AR668:CA668)</f>
        <v>23370</v>
      </c>
      <c r="CC668" s="185">
        <f t="shared" ref="CC668:CC674" si="111">+CB668-AQ668</f>
        <v>0</v>
      </c>
      <c r="CD668" s="185">
        <f t="shared" ref="CD668:CD674" si="112">+C668</f>
        <v>1030</v>
      </c>
      <c r="CE668" s="185" t="e">
        <f>+#REF!</f>
        <v>#REF!</v>
      </c>
    </row>
    <row r="669" spans="2:83" s="197" customFormat="1" ht="75" x14ac:dyDescent="0.3">
      <c r="B669" s="182">
        <v>1313</v>
      </c>
      <c r="C669" s="182">
        <v>1031</v>
      </c>
      <c r="D669" s="182" t="s">
        <v>4624</v>
      </c>
      <c r="E669" s="181" t="s">
        <v>4785</v>
      </c>
      <c r="F669" s="182"/>
      <c r="G669" s="182"/>
      <c r="H669" s="182">
        <v>100404</v>
      </c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  <c r="Z669" s="182"/>
      <c r="AA669" s="182">
        <v>100404</v>
      </c>
      <c r="AB669" s="182"/>
      <c r="AC669" s="182"/>
      <c r="AD669" s="182"/>
      <c r="AE669" s="182"/>
      <c r="AF669" s="182"/>
      <c r="AG669" s="182"/>
      <c r="AH669" s="182"/>
      <c r="AI669" s="182"/>
      <c r="AJ669" s="182"/>
      <c r="AK669" s="182"/>
      <c r="AL669" s="182"/>
      <c r="AM669" s="182"/>
      <c r="AN669" s="182"/>
      <c r="AO669" s="182"/>
      <c r="AP669" s="182"/>
      <c r="AQ669" s="185">
        <f t="shared" si="109"/>
        <v>200808</v>
      </c>
      <c r="AR669" s="182">
        <v>100404</v>
      </c>
      <c r="AS669" s="182"/>
      <c r="AT669" s="182"/>
      <c r="AU669" s="182"/>
      <c r="AV669" s="182"/>
      <c r="AW669" s="182"/>
      <c r="AX669" s="182"/>
      <c r="AY669" s="182"/>
      <c r="AZ669" s="182"/>
      <c r="BA669" s="182"/>
      <c r="BB669" s="182"/>
      <c r="BC669" s="182"/>
      <c r="BD669" s="182"/>
      <c r="BE669" s="182"/>
      <c r="BF669" s="182"/>
      <c r="BG669" s="182"/>
      <c r="BH669" s="182"/>
      <c r="BI669" s="182"/>
      <c r="BJ669" s="182"/>
      <c r="BK669" s="182"/>
      <c r="BL669" s="182"/>
      <c r="BM669" s="182"/>
      <c r="BN669" s="182"/>
      <c r="BO669" s="182"/>
      <c r="BP669" s="182">
        <v>100404</v>
      </c>
      <c r="BQ669" s="182"/>
      <c r="BR669" s="182"/>
      <c r="BS669" s="182"/>
      <c r="BT669" s="182"/>
      <c r="BU669" s="182"/>
      <c r="BV669" s="182"/>
      <c r="BW669" s="182"/>
      <c r="BX669" s="182"/>
      <c r="BY669" s="182"/>
      <c r="BZ669" s="182"/>
      <c r="CA669" s="182"/>
      <c r="CB669" s="185">
        <f t="shared" si="110"/>
        <v>200808</v>
      </c>
      <c r="CC669" s="185">
        <f t="shared" si="111"/>
        <v>0</v>
      </c>
      <c r="CD669" s="185">
        <f t="shared" si="112"/>
        <v>1031</v>
      </c>
      <c r="CE669" s="185" t="e">
        <f>+#REF!</f>
        <v>#REF!</v>
      </c>
    </row>
    <row r="670" spans="2:83" s="197" customFormat="1" ht="56.25" x14ac:dyDescent="0.3">
      <c r="B670" s="182">
        <v>2221</v>
      </c>
      <c r="C670" s="182">
        <v>1032</v>
      </c>
      <c r="D670" s="182" t="s">
        <v>130</v>
      </c>
      <c r="E670" s="181" t="s">
        <v>440</v>
      </c>
      <c r="F670" s="182"/>
      <c r="G670" s="182"/>
      <c r="H670" s="182">
        <v>5400</v>
      </c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  <c r="Z670" s="182"/>
      <c r="AA670" s="182"/>
      <c r="AB670" s="182"/>
      <c r="AC670" s="182"/>
      <c r="AD670" s="182"/>
      <c r="AE670" s="182"/>
      <c r="AF670" s="182"/>
      <c r="AG670" s="182"/>
      <c r="AH670" s="182"/>
      <c r="AI670" s="182"/>
      <c r="AJ670" s="182"/>
      <c r="AK670" s="182"/>
      <c r="AL670" s="182"/>
      <c r="AM670" s="182"/>
      <c r="AN670" s="182"/>
      <c r="AO670" s="182"/>
      <c r="AP670" s="182"/>
      <c r="AQ670" s="185">
        <f t="shared" si="109"/>
        <v>5400</v>
      </c>
      <c r="AR670" s="182">
        <v>4925.3</v>
      </c>
      <c r="AS670" s="182">
        <v>283.89999999999998</v>
      </c>
      <c r="AT670" s="182"/>
      <c r="AU670" s="182"/>
      <c r="AV670" s="182"/>
      <c r="AW670" s="182"/>
      <c r="AX670" s="182"/>
      <c r="AY670" s="182"/>
      <c r="AZ670" s="182"/>
      <c r="BA670" s="182"/>
      <c r="BB670" s="182"/>
      <c r="BC670" s="182"/>
      <c r="BD670" s="182"/>
      <c r="BE670" s="182">
        <v>142.1</v>
      </c>
      <c r="BF670" s="182">
        <v>6</v>
      </c>
      <c r="BG670" s="182">
        <f>21.35*2</f>
        <v>42.7</v>
      </c>
      <c r="BH670" s="182"/>
      <c r="BI670" s="182"/>
      <c r="BJ670" s="182"/>
      <c r="BK670" s="182"/>
      <c r="BL670" s="182"/>
      <c r="BM670" s="182"/>
      <c r="BN670" s="182"/>
      <c r="BO670" s="182"/>
      <c r="BP670" s="182"/>
      <c r="BQ670" s="182"/>
      <c r="BR670" s="182"/>
      <c r="BS670" s="182"/>
      <c r="BT670" s="182"/>
      <c r="BU670" s="182"/>
      <c r="BV670" s="182"/>
      <c r="BW670" s="182"/>
      <c r="BX670" s="182"/>
      <c r="BY670" s="182"/>
      <c r="BZ670" s="182"/>
      <c r="CA670" s="182"/>
      <c r="CB670" s="185">
        <f t="shared" si="110"/>
        <v>5400</v>
      </c>
      <c r="CC670" s="185">
        <f t="shared" si="111"/>
        <v>0</v>
      </c>
      <c r="CD670" s="185">
        <f t="shared" si="112"/>
        <v>1032</v>
      </c>
      <c r="CE670" s="185" t="e">
        <f>+#REF!</f>
        <v>#REF!</v>
      </c>
    </row>
    <row r="671" spans="2:83" s="197" customFormat="1" ht="37.5" x14ac:dyDescent="0.3">
      <c r="B671" s="182">
        <v>2400</v>
      </c>
      <c r="C671" s="182">
        <v>1033</v>
      </c>
      <c r="D671" s="182" t="s">
        <v>78</v>
      </c>
      <c r="E671" s="181" t="s">
        <v>4786</v>
      </c>
      <c r="F671" s="182"/>
      <c r="G671" s="182"/>
      <c r="H671" s="182">
        <v>11250</v>
      </c>
      <c r="I671" s="182"/>
      <c r="J671" s="182"/>
      <c r="K671" s="182"/>
      <c r="L671" s="182"/>
      <c r="M671" s="182"/>
      <c r="N671" s="182"/>
      <c r="O671" s="182">
        <v>11250</v>
      </c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2"/>
      <c r="AH671" s="182"/>
      <c r="AI671" s="182"/>
      <c r="AJ671" s="182"/>
      <c r="AK671" s="182"/>
      <c r="AL671" s="182"/>
      <c r="AM671" s="182"/>
      <c r="AN671" s="182"/>
      <c r="AO671" s="182"/>
      <c r="AP671" s="182"/>
      <c r="AQ671" s="185">
        <f t="shared" si="109"/>
        <v>22500</v>
      </c>
      <c r="AR671" s="182">
        <v>11250</v>
      </c>
      <c r="AS671" s="182"/>
      <c r="AT671" s="182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182"/>
      <c r="BK671" s="182"/>
      <c r="BL671" s="182"/>
      <c r="BM671" s="182">
        <v>11250</v>
      </c>
      <c r="BN671" s="182"/>
      <c r="BO671" s="182"/>
      <c r="BP671" s="182"/>
      <c r="BQ671" s="182"/>
      <c r="BR671" s="182"/>
      <c r="BS671" s="182"/>
      <c r="BT671" s="182"/>
      <c r="BU671" s="182"/>
      <c r="BV671" s="182"/>
      <c r="BW671" s="182"/>
      <c r="BX671" s="182"/>
      <c r="BY671" s="182"/>
      <c r="BZ671" s="182"/>
      <c r="CA671" s="182"/>
      <c r="CB671" s="185">
        <f t="shared" si="110"/>
        <v>22500</v>
      </c>
      <c r="CC671" s="185">
        <f t="shared" si="111"/>
        <v>0</v>
      </c>
      <c r="CD671" s="185">
        <f t="shared" si="112"/>
        <v>1033</v>
      </c>
      <c r="CE671" s="185" t="e">
        <f>+#REF!</f>
        <v>#REF!</v>
      </c>
    </row>
    <row r="672" spans="2:83" s="197" customFormat="1" ht="37.5" x14ac:dyDescent="0.3">
      <c r="B672" s="182">
        <v>2399</v>
      </c>
      <c r="C672" s="182">
        <v>1034</v>
      </c>
      <c r="D672" s="182" t="str">
        <f>+D671</f>
        <v>برنامج دولى</v>
      </c>
      <c r="E672" s="181" t="s">
        <v>4787</v>
      </c>
      <c r="F672" s="182"/>
      <c r="G672" s="182"/>
      <c r="H672" s="182">
        <v>15000</v>
      </c>
      <c r="I672" s="182"/>
      <c r="J672" s="182"/>
      <c r="K672" s="182"/>
      <c r="L672" s="182"/>
      <c r="M672" s="182"/>
      <c r="N672" s="182"/>
      <c r="O672" s="182">
        <v>15000</v>
      </c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2"/>
      <c r="AH672" s="182"/>
      <c r="AI672" s="182"/>
      <c r="AJ672" s="182"/>
      <c r="AK672" s="182"/>
      <c r="AL672" s="182"/>
      <c r="AM672" s="182"/>
      <c r="AN672" s="182"/>
      <c r="AO672" s="182"/>
      <c r="AP672" s="182"/>
      <c r="AQ672" s="185">
        <f t="shared" si="109"/>
        <v>30000</v>
      </c>
      <c r="AR672" s="182">
        <v>15000</v>
      </c>
      <c r="AS672" s="182"/>
      <c r="AT672" s="182"/>
      <c r="AU672" s="182"/>
      <c r="AV672" s="182"/>
      <c r="AW672" s="182"/>
      <c r="AX672" s="182"/>
      <c r="AY672" s="182"/>
      <c r="AZ672" s="182"/>
      <c r="BA672" s="182"/>
      <c r="BB672" s="182"/>
      <c r="BC672" s="182"/>
      <c r="BD672" s="182"/>
      <c r="BE672" s="182"/>
      <c r="BF672" s="182"/>
      <c r="BG672" s="182"/>
      <c r="BH672" s="182"/>
      <c r="BI672" s="182"/>
      <c r="BJ672" s="182"/>
      <c r="BK672" s="182"/>
      <c r="BL672" s="182"/>
      <c r="BM672" s="182">
        <v>15000</v>
      </c>
      <c r="BN672" s="182"/>
      <c r="BO672" s="182"/>
      <c r="BP672" s="182"/>
      <c r="BQ672" s="182"/>
      <c r="BR672" s="182"/>
      <c r="BS672" s="182"/>
      <c r="BT672" s="182"/>
      <c r="BU672" s="182"/>
      <c r="BV672" s="182"/>
      <c r="BW672" s="182"/>
      <c r="BX672" s="182"/>
      <c r="BY672" s="182"/>
      <c r="BZ672" s="182"/>
      <c r="CA672" s="182"/>
      <c r="CB672" s="185">
        <f t="shared" si="110"/>
        <v>30000</v>
      </c>
      <c r="CC672" s="185">
        <f t="shared" si="111"/>
        <v>0</v>
      </c>
      <c r="CD672" s="185">
        <f t="shared" si="112"/>
        <v>1034</v>
      </c>
      <c r="CE672" s="185" t="e">
        <f>+#REF!</f>
        <v>#REF!</v>
      </c>
    </row>
    <row r="673" spans="2:83" s="197" customFormat="1" ht="37.5" x14ac:dyDescent="0.3">
      <c r="B673" s="182">
        <v>1962</v>
      </c>
      <c r="C673" s="182">
        <v>1035</v>
      </c>
      <c r="D673" s="182" t="str">
        <f>+D672</f>
        <v>برنامج دولى</v>
      </c>
      <c r="E673" s="181" t="s">
        <v>4788</v>
      </c>
      <c r="F673" s="182"/>
      <c r="G673" s="182"/>
      <c r="H673" s="182">
        <v>703.95</v>
      </c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  <c r="Z673" s="182"/>
      <c r="AA673" s="182"/>
      <c r="AB673" s="182"/>
      <c r="AC673" s="182"/>
      <c r="AD673" s="182"/>
      <c r="AE673" s="182"/>
      <c r="AF673" s="182"/>
      <c r="AG673" s="182"/>
      <c r="AH673" s="182"/>
      <c r="AI673" s="182"/>
      <c r="AJ673" s="182"/>
      <c r="AK673" s="182"/>
      <c r="AL673" s="182"/>
      <c r="AM673" s="182"/>
      <c r="AN673" s="182"/>
      <c r="AO673" s="182"/>
      <c r="AP673" s="182"/>
      <c r="AQ673" s="185">
        <f t="shared" si="109"/>
        <v>703.95</v>
      </c>
      <c r="AR673" s="182">
        <v>703.95</v>
      </c>
      <c r="AS673" s="182"/>
      <c r="AT673" s="182"/>
      <c r="AU673" s="182"/>
      <c r="AV673" s="182"/>
      <c r="AW673" s="182"/>
      <c r="AX673" s="182"/>
      <c r="AY673" s="182"/>
      <c r="AZ673" s="182"/>
      <c r="BA673" s="182"/>
      <c r="BB673" s="182"/>
      <c r="BC673" s="182"/>
      <c r="BD673" s="182"/>
      <c r="BE673" s="182"/>
      <c r="BF673" s="182"/>
      <c r="BG673" s="182"/>
      <c r="BH673" s="182"/>
      <c r="BI673" s="182"/>
      <c r="BJ673" s="182"/>
      <c r="BK673" s="182"/>
      <c r="BL673" s="182"/>
      <c r="BM673" s="182"/>
      <c r="BN673" s="182"/>
      <c r="BO673" s="182"/>
      <c r="BP673" s="182"/>
      <c r="BQ673" s="182"/>
      <c r="BR673" s="182"/>
      <c r="BS673" s="182"/>
      <c r="BT673" s="182"/>
      <c r="BU673" s="182"/>
      <c r="BV673" s="182"/>
      <c r="BW673" s="182"/>
      <c r="BX673" s="182"/>
      <c r="BY673" s="182"/>
      <c r="BZ673" s="182"/>
      <c r="CA673" s="182"/>
      <c r="CB673" s="185">
        <f t="shared" si="110"/>
        <v>703.95</v>
      </c>
      <c r="CC673" s="185">
        <f t="shared" si="111"/>
        <v>0</v>
      </c>
      <c r="CD673" s="185">
        <f t="shared" si="112"/>
        <v>1035</v>
      </c>
      <c r="CE673" s="185" t="e">
        <f>+#REF!</f>
        <v>#REF!</v>
      </c>
    </row>
    <row r="674" spans="2:83" s="197" customFormat="1" ht="37.5" x14ac:dyDescent="0.3">
      <c r="B674" s="182">
        <v>1961</v>
      </c>
      <c r="C674" s="182">
        <v>1036</v>
      </c>
      <c r="D674" s="182" t="str">
        <f>+D673</f>
        <v>برنامج دولى</v>
      </c>
      <c r="E674" s="181" t="s">
        <v>4789</v>
      </c>
      <c r="F674" s="182"/>
      <c r="G674" s="182"/>
      <c r="H674" s="182">
        <v>2100</v>
      </c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  <c r="Z674" s="182"/>
      <c r="AA674" s="182"/>
      <c r="AB674" s="182"/>
      <c r="AC674" s="182"/>
      <c r="AD674" s="182"/>
      <c r="AE674" s="182"/>
      <c r="AF674" s="182"/>
      <c r="AG674" s="182"/>
      <c r="AH674" s="182"/>
      <c r="AI674" s="182"/>
      <c r="AJ674" s="182"/>
      <c r="AK674" s="182"/>
      <c r="AL674" s="182"/>
      <c r="AM674" s="182"/>
      <c r="AN674" s="182"/>
      <c r="AO674" s="182"/>
      <c r="AP674" s="182"/>
      <c r="AQ674" s="185">
        <f t="shared" si="109"/>
        <v>2100</v>
      </c>
      <c r="AR674" s="182">
        <v>1919.7</v>
      </c>
      <c r="AS674" s="182">
        <f>26.9+80.7+5.4</f>
        <v>113</v>
      </c>
      <c r="AT674" s="182"/>
      <c r="AU674" s="182"/>
      <c r="AV674" s="182"/>
      <c r="AW674" s="182"/>
      <c r="AX674" s="182"/>
      <c r="AY674" s="182"/>
      <c r="AZ674" s="182"/>
      <c r="BA674" s="182"/>
      <c r="BB674" s="182"/>
      <c r="BC674" s="182"/>
      <c r="BD674" s="182"/>
      <c r="BE674" s="182">
        <v>55.3</v>
      </c>
      <c r="BF674" s="182">
        <v>12</v>
      </c>
      <c r="BG674" s="182"/>
      <c r="BH674" s="182"/>
      <c r="BI674" s="182"/>
      <c r="BJ674" s="182"/>
      <c r="BK674" s="182"/>
      <c r="BL674" s="182"/>
      <c r="BM674" s="182"/>
      <c r="BN674" s="182"/>
      <c r="BO674" s="182"/>
      <c r="BP674" s="182"/>
      <c r="BQ674" s="182"/>
      <c r="BR674" s="182"/>
      <c r="BS674" s="182"/>
      <c r="BT674" s="182"/>
      <c r="BU674" s="182"/>
      <c r="BV674" s="182"/>
      <c r="BW674" s="182"/>
      <c r="BX674" s="182"/>
      <c r="BY674" s="182"/>
      <c r="BZ674" s="182"/>
      <c r="CA674" s="182"/>
      <c r="CB674" s="185">
        <f t="shared" si="110"/>
        <v>2100</v>
      </c>
      <c r="CC674" s="185">
        <f t="shared" si="111"/>
        <v>0</v>
      </c>
      <c r="CD674" s="185">
        <f t="shared" si="112"/>
        <v>1036</v>
      </c>
      <c r="CE674" s="185" t="e">
        <f>+#REF!</f>
        <v>#REF!</v>
      </c>
    </row>
    <row r="675" spans="2:83" s="197" customFormat="1" ht="18.75" x14ac:dyDescent="0.3">
      <c r="B675" s="185"/>
      <c r="C675" s="185"/>
      <c r="D675" s="185"/>
      <c r="E675" s="184" t="s">
        <v>4790</v>
      </c>
      <c r="F675" s="185"/>
      <c r="G675" s="185">
        <f t="shared" ref="G675:AL675" si="113">SUM(G572:G674)</f>
        <v>154445.21999999997</v>
      </c>
      <c r="H675" s="185">
        <f t="shared" si="113"/>
        <v>169770.95</v>
      </c>
      <c r="I675" s="185">
        <f t="shared" si="113"/>
        <v>0</v>
      </c>
      <c r="J675" s="185">
        <f t="shared" si="113"/>
        <v>0</v>
      </c>
      <c r="K675" s="185">
        <f t="shared" si="113"/>
        <v>0</v>
      </c>
      <c r="L675" s="185">
        <f t="shared" si="113"/>
        <v>0</v>
      </c>
      <c r="M675" s="185">
        <f t="shared" si="113"/>
        <v>0</v>
      </c>
      <c r="N675" s="185">
        <f t="shared" si="113"/>
        <v>0</v>
      </c>
      <c r="O675" s="185">
        <f t="shared" si="113"/>
        <v>26250</v>
      </c>
      <c r="P675" s="185">
        <f t="shared" si="113"/>
        <v>0</v>
      </c>
      <c r="Q675" s="185">
        <f t="shared" si="113"/>
        <v>0</v>
      </c>
      <c r="R675" s="185">
        <f t="shared" si="113"/>
        <v>0</v>
      </c>
      <c r="S675" s="185">
        <f t="shared" si="113"/>
        <v>0</v>
      </c>
      <c r="T675" s="185">
        <f t="shared" si="113"/>
        <v>0</v>
      </c>
      <c r="U675" s="185">
        <f t="shared" si="113"/>
        <v>0</v>
      </c>
      <c r="V675" s="185">
        <f t="shared" si="113"/>
        <v>0</v>
      </c>
      <c r="W675" s="185">
        <f t="shared" si="113"/>
        <v>6777.0599999999995</v>
      </c>
      <c r="X675" s="185">
        <f t="shared" si="113"/>
        <v>0</v>
      </c>
      <c r="Y675" s="185">
        <f t="shared" si="113"/>
        <v>0</v>
      </c>
      <c r="Z675" s="185">
        <f t="shared" si="113"/>
        <v>0</v>
      </c>
      <c r="AA675" s="185">
        <f t="shared" si="113"/>
        <v>100404</v>
      </c>
      <c r="AB675" s="185">
        <f t="shared" si="113"/>
        <v>0</v>
      </c>
      <c r="AC675" s="185">
        <f t="shared" si="113"/>
        <v>0</v>
      </c>
      <c r="AD675" s="185">
        <f t="shared" si="113"/>
        <v>0</v>
      </c>
      <c r="AE675" s="185">
        <f t="shared" si="113"/>
        <v>0</v>
      </c>
      <c r="AF675" s="185">
        <f t="shared" si="113"/>
        <v>0</v>
      </c>
      <c r="AG675" s="185">
        <f t="shared" si="113"/>
        <v>0</v>
      </c>
      <c r="AH675" s="185">
        <f t="shared" si="113"/>
        <v>0</v>
      </c>
      <c r="AI675" s="185">
        <f t="shared" si="113"/>
        <v>0</v>
      </c>
      <c r="AJ675" s="185">
        <f t="shared" si="113"/>
        <v>0</v>
      </c>
      <c r="AK675" s="185">
        <f t="shared" si="113"/>
        <v>0</v>
      </c>
      <c r="AL675" s="185">
        <f t="shared" si="113"/>
        <v>0</v>
      </c>
      <c r="AM675" s="185">
        <f t="shared" ref="AM675:BR675" si="114">SUM(AM572:AM674)</f>
        <v>0</v>
      </c>
      <c r="AN675" s="185">
        <f t="shared" si="114"/>
        <v>0</v>
      </c>
      <c r="AO675" s="185">
        <f t="shared" si="114"/>
        <v>0</v>
      </c>
      <c r="AP675" s="185">
        <f t="shared" si="114"/>
        <v>0</v>
      </c>
      <c r="AQ675" s="185">
        <f t="shared" si="114"/>
        <v>457647.23</v>
      </c>
      <c r="AR675" s="185">
        <f t="shared" si="114"/>
        <v>285910.91000000003</v>
      </c>
      <c r="AS675" s="185">
        <f t="shared" si="114"/>
        <v>16859.61</v>
      </c>
      <c r="AT675" s="192">
        <f t="shared" si="114"/>
        <v>25308.459999999995</v>
      </c>
      <c r="AU675" s="185">
        <f t="shared" si="114"/>
        <v>885.55</v>
      </c>
      <c r="AV675" s="185">
        <f t="shared" si="114"/>
        <v>0</v>
      </c>
      <c r="AW675" s="185">
        <f t="shared" si="114"/>
        <v>0</v>
      </c>
      <c r="AX675" s="185">
        <f t="shared" si="114"/>
        <v>0</v>
      </c>
      <c r="AY675" s="185">
        <f t="shared" si="114"/>
        <v>0</v>
      </c>
      <c r="AZ675" s="185">
        <f t="shared" si="114"/>
        <v>0</v>
      </c>
      <c r="BA675" s="185">
        <f t="shared" si="114"/>
        <v>0</v>
      </c>
      <c r="BB675" s="185">
        <f t="shared" si="114"/>
        <v>0</v>
      </c>
      <c r="BC675" s="185">
        <f t="shared" si="114"/>
        <v>0</v>
      </c>
      <c r="BD675" s="185">
        <f t="shared" si="114"/>
        <v>0</v>
      </c>
      <c r="BE675" s="185">
        <f t="shared" si="114"/>
        <v>498.2</v>
      </c>
      <c r="BF675" s="185">
        <f t="shared" si="114"/>
        <v>106</v>
      </c>
      <c r="BG675" s="185">
        <f t="shared" si="114"/>
        <v>256</v>
      </c>
      <c r="BH675" s="185">
        <f t="shared" si="114"/>
        <v>1168.5</v>
      </c>
      <c r="BI675" s="185">
        <f t="shared" si="114"/>
        <v>0</v>
      </c>
      <c r="BJ675" s="185">
        <f t="shared" si="114"/>
        <v>0</v>
      </c>
      <c r="BK675" s="185">
        <f t="shared" si="114"/>
        <v>0</v>
      </c>
      <c r="BL675" s="185">
        <f t="shared" si="114"/>
        <v>0</v>
      </c>
      <c r="BM675" s="185">
        <f t="shared" si="114"/>
        <v>26250</v>
      </c>
      <c r="BN675" s="185">
        <f t="shared" si="114"/>
        <v>0</v>
      </c>
      <c r="BO675" s="185">
        <f t="shared" si="114"/>
        <v>0</v>
      </c>
      <c r="BP675" s="185">
        <f t="shared" si="114"/>
        <v>100404</v>
      </c>
      <c r="BQ675" s="185">
        <f t="shared" si="114"/>
        <v>0</v>
      </c>
      <c r="BR675" s="185">
        <f t="shared" si="114"/>
        <v>0</v>
      </c>
      <c r="BS675" s="185">
        <f t="shared" ref="BS675:CC675" si="115">SUM(BS572:BS674)</f>
        <v>0</v>
      </c>
      <c r="BT675" s="185">
        <f t="shared" si="115"/>
        <v>0</v>
      </c>
      <c r="BU675" s="185">
        <f t="shared" si="115"/>
        <v>0</v>
      </c>
      <c r="BV675" s="185">
        <f t="shared" si="115"/>
        <v>0</v>
      </c>
      <c r="BW675" s="185">
        <f t="shared" si="115"/>
        <v>0</v>
      </c>
      <c r="BX675" s="185">
        <f t="shared" si="115"/>
        <v>0</v>
      </c>
      <c r="BY675" s="185">
        <f t="shared" si="115"/>
        <v>0</v>
      </c>
      <c r="BZ675" s="185">
        <f t="shared" si="115"/>
        <v>0</v>
      </c>
      <c r="CA675" s="185">
        <f t="shared" si="115"/>
        <v>0</v>
      </c>
      <c r="CB675" s="185">
        <f t="shared" si="115"/>
        <v>457647.23</v>
      </c>
      <c r="CC675" s="185">
        <f t="shared" si="115"/>
        <v>0</v>
      </c>
      <c r="CD675" s="185"/>
      <c r="CE675" s="185" t="e">
        <f>SUM(CE572:CE674)</f>
        <v>#REF!</v>
      </c>
    </row>
    <row r="676" spans="2:83" s="197" customFormat="1" ht="56.25" x14ac:dyDescent="0.3">
      <c r="B676" s="182">
        <v>993</v>
      </c>
      <c r="C676" s="182">
        <v>1037</v>
      </c>
      <c r="D676" s="182" t="s">
        <v>4683</v>
      </c>
      <c r="E676" s="181" t="s">
        <v>4791</v>
      </c>
      <c r="F676" s="182"/>
      <c r="G676" s="182"/>
      <c r="H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>
        <v>4690</v>
      </c>
      <c r="X676" s="182"/>
      <c r="Y676" s="182"/>
      <c r="Z676" s="182"/>
      <c r="AA676" s="182"/>
      <c r="AB676" s="182"/>
      <c r="AC676" s="182"/>
      <c r="AD676" s="182"/>
      <c r="AE676" s="182"/>
      <c r="AF676" s="182"/>
      <c r="AG676" s="182"/>
      <c r="AH676" s="182"/>
      <c r="AI676" s="182"/>
      <c r="AJ676" s="182"/>
      <c r="AK676" s="182"/>
      <c r="AL676" s="182"/>
      <c r="AM676" s="182"/>
      <c r="AN676" s="182"/>
      <c r="AO676" s="182"/>
      <c r="AP676" s="182"/>
      <c r="AQ676" s="185">
        <f t="shared" ref="AQ676:AQ707" si="116">SUM(G676:AP676)</f>
        <v>4690</v>
      </c>
      <c r="AR676" s="182">
        <v>2934</v>
      </c>
      <c r="AS676" s="182">
        <v>426</v>
      </c>
      <c r="AT676" s="182">
        <v>1130</v>
      </c>
      <c r="AU676" s="182">
        <v>200</v>
      </c>
      <c r="AV676" s="182"/>
      <c r="AW676" s="182"/>
      <c r="AX676" s="182"/>
      <c r="AY676" s="182"/>
      <c r="AZ676" s="182"/>
      <c r="BA676" s="182"/>
      <c r="BB676" s="182"/>
      <c r="BC676" s="182"/>
      <c r="BD676" s="182"/>
      <c r="BE676" s="182"/>
      <c r="BF676" s="182"/>
      <c r="BG676" s="182"/>
      <c r="BH676" s="182"/>
      <c r="BI676" s="182"/>
      <c r="BJ676" s="182"/>
      <c r="BK676" s="182"/>
      <c r="BL676" s="182"/>
      <c r="BM676" s="182"/>
      <c r="BN676" s="182"/>
      <c r="BO676" s="182"/>
      <c r="BP676" s="182"/>
      <c r="BQ676" s="182"/>
      <c r="BR676" s="182"/>
      <c r="BS676" s="182"/>
      <c r="BT676" s="182"/>
      <c r="BU676" s="182"/>
      <c r="BV676" s="182"/>
      <c r="BW676" s="182"/>
      <c r="BX676" s="182"/>
      <c r="BY676" s="182"/>
      <c r="BZ676" s="182"/>
      <c r="CA676" s="182"/>
      <c r="CB676" s="185">
        <f t="shared" ref="CB676:CB707" si="117">SUM(AR676:CA676)</f>
        <v>4690</v>
      </c>
      <c r="CC676" s="185">
        <f t="shared" ref="CC676:CC707" si="118">+CB676-AQ676</f>
        <v>0</v>
      </c>
      <c r="CD676" s="185">
        <f t="shared" ref="CD676:CD707" si="119">+C676</f>
        <v>1037</v>
      </c>
      <c r="CE676" s="185" t="e">
        <f>+#REF!</f>
        <v>#REF!</v>
      </c>
    </row>
    <row r="677" spans="2:83" s="197" customFormat="1" ht="56.25" x14ac:dyDescent="0.3">
      <c r="B677" s="182">
        <v>1786</v>
      </c>
      <c r="C677" s="182">
        <v>1038</v>
      </c>
      <c r="D677" s="182" t="s">
        <v>123</v>
      </c>
      <c r="E677" s="181" t="s">
        <v>4792</v>
      </c>
      <c r="F677" s="182"/>
      <c r="G677" s="182"/>
      <c r="H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>
        <v>4250</v>
      </c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2"/>
      <c r="AH677" s="182"/>
      <c r="AI677" s="182"/>
      <c r="AJ677" s="182"/>
      <c r="AK677" s="182"/>
      <c r="AL677" s="182"/>
      <c r="AM677" s="182"/>
      <c r="AN677" s="182"/>
      <c r="AO677" s="182"/>
      <c r="AP677" s="182"/>
      <c r="AQ677" s="185">
        <f t="shared" si="116"/>
        <v>4250</v>
      </c>
      <c r="AR677" s="182">
        <v>4250</v>
      </c>
      <c r="AS677" s="182"/>
      <c r="AT677" s="182"/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182"/>
      <c r="BK677" s="182"/>
      <c r="BL677" s="182"/>
      <c r="BM677" s="182"/>
      <c r="BN677" s="182"/>
      <c r="BO677" s="182"/>
      <c r="BP677" s="182"/>
      <c r="BQ677" s="182"/>
      <c r="BR677" s="182"/>
      <c r="BS677" s="182"/>
      <c r="BT677" s="182"/>
      <c r="BU677" s="182"/>
      <c r="BV677" s="182"/>
      <c r="BW677" s="182"/>
      <c r="BX677" s="182"/>
      <c r="BY677" s="182"/>
      <c r="BZ677" s="182"/>
      <c r="CA677" s="182"/>
      <c r="CB677" s="185">
        <f t="shared" si="117"/>
        <v>4250</v>
      </c>
      <c r="CC677" s="185">
        <f t="shared" si="118"/>
        <v>0</v>
      </c>
      <c r="CD677" s="185">
        <f t="shared" si="119"/>
        <v>1038</v>
      </c>
      <c r="CE677" s="185" t="e">
        <f>+#REF!</f>
        <v>#REF!</v>
      </c>
    </row>
    <row r="678" spans="2:83" s="197" customFormat="1" ht="37.5" x14ac:dyDescent="0.3">
      <c r="B678" s="182">
        <v>1730</v>
      </c>
      <c r="C678" s="182">
        <v>1039</v>
      </c>
      <c r="D678" s="182" t="s">
        <v>123</v>
      </c>
      <c r="E678" s="181" t="s">
        <v>4793</v>
      </c>
      <c r="F678" s="182"/>
      <c r="G678" s="182">
        <v>1172.5</v>
      </c>
      <c r="H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2"/>
      <c r="AH678" s="182"/>
      <c r="AI678" s="182"/>
      <c r="AJ678" s="182"/>
      <c r="AK678" s="182"/>
      <c r="AL678" s="182"/>
      <c r="AM678" s="182"/>
      <c r="AN678" s="182"/>
      <c r="AO678" s="182"/>
      <c r="AP678" s="182"/>
      <c r="AQ678" s="185">
        <f t="shared" si="116"/>
        <v>1172.5</v>
      </c>
      <c r="AR678" s="182">
        <v>734.1</v>
      </c>
      <c r="AS678" s="182">
        <v>105.9</v>
      </c>
      <c r="AT678" s="182">
        <v>282.5</v>
      </c>
      <c r="AU678" s="182">
        <v>50</v>
      </c>
      <c r="AV678" s="182"/>
      <c r="AW678" s="182"/>
      <c r="AX678" s="182"/>
      <c r="AY678" s="182"/>
      <c r="AZ678" s="182"/>
      <c r="BA678" s="182"/>
      <c r="BB678" s="182"/>
      <c r="BC678" s="182"/>
      <c r="BD678" s="182"/>
      <c r="BE678" s="182"/>
      <c r="BF678" s="182"/>
      <c r="BG678" s="182"/>
      <c r="BH678" s="182"/>
      <c r="BI678" s="182"/>
      <c r="BJ678" s="182"/>
      <c r="BK678" s="182"/>
      <c r="BL678" s="182"/>
      <c r="BM678" s="182"/>
      <c r="BN678" s="182"/>
      <c r="BO678" s="182"/>
      <c r="BP678" s="182"/>
      <c r="BQ678" s="182"/>
      <c r="BR678" s="182"/>
      <c r="BS678" s="182"/>
      <c r="BT678" s="182"/>
      <c r="BU678" s="182"/>
      <c r="BV678" s="182"/>
      <c r="BW678" s="182"/>
      <c r="BX678" s="182"/>
      <c r="BY678" s="182"/>
      <c r="BZ678" s="182"/>
      <c r="CA678" s="182"/>
      <c r="CB678" s="185">
        <f t="shared" si="117"/>
        <v>1172.5</v>
      </c>
      <c r="CC678" s="185">
        <f t="shared" si="118"/>
        <v>0</v>
      </c>
      <c r="CD678" s="185">
        <f t="shared" si="119"/>
        <v>1039</v>
      </c>
      <c r="CE678" s="185" t="e">
        <f>+#REF!</f>
        <v>#REF!</v>
      </c>
    </row>
    <row r="679" spans="2:83" s="197" customFormat="1" ht="37.5" x14ac:dyDescent="0.3">
      <c r="B679" s="182">
        <v>1735</v>
      </c>
      <c r="C679" s="182">
        <v>1040</v>
      </c>
      <c r="D679" s="182" t="s">
        <v>123</v>
      </c>
      <c r="E679" s="181" t="s">
        <v>4794</v>
      </c>
      <c r="F679" s="182"/>
      <c r="G679" s="182">
        <v>117.25</v>
      </c>
      <c r="H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  <c r="Z679" s="182"/>
      <c r="AA679" s="182"/>
      <c r="AB679" s="182"/>
      <c r="AC679" s="182"/>
      <c r="AD679" s="182"/>
      <c r="AE679" s="182"/>
      <c r="AF679" s="182"/>
      <c r="AG679" s="182"/>
      <c r="AH679" s="182"/>
      <c r="AI679" s="182"/>
      <c r="AJ679" s="182"/>
      <c r="AK679" s="182"/>
      <c r="AL679" s="182"/>
      <c r="AM679" s="182"/>
      <c r="AN679" s="182"/>
      <c r="AO679" s="182"/>
      <c r="AP679" s="182"/>
      <c r="AQ679" s="185">
        <f t="shared" si="116"/>
        <v>117.25</v>
      </c>
      <c r="AR679" s="182">
        <v>73.75</v>
      </c>
      <c r="AS679" s="182">
        <v>10.25</v>
      </c>
      <c r="AT679" s="182">
        <v>28.25</v>
      </c>
      <c r="AU679" s="182">
        <v>5</v>
      </c>
      <c r="AV679" s="182"/>
      <c r="AW679" s="182"/>
      <c r="AX679" s="182"/>
      <c r="AY679" s="182"/>
      <c r="AZ679" s="182"/>
      <c r="BA679" s="182"/>
      <c r="BB679" s="182"/>
      <c r="BC679" s="182"/>
      <c r="BD679" s="182"/>
      <c r="BE679" s="182"/>
      <c r="BF679" s="182"/>
      <c r="BG679" s="182"/>
      <c r="BH679" s="182"/>
      <c r="BI679" s="182"/>
      <c r="BJ679" s="182"/>
      <c r="BK679" s="182"/>
      <c r="BL679" s="182"/>
      <c r="BM679" s="182"/>
      <c r="BN679" s="182"/>
      <c r="BO679" s="182"/>
      <c r="BP679" s="182"/>
      <c r="BQ679" s="182"/>
      <c r="BR679" s="182"/>
      <c r="BS679" s="182"/>
      <c r="BT679" s="182"/>
      <c r="BU679" s="182"/>
      <c r="BV679" s="182"/>
      <c r="BW679" s="182"/>
      <c r="BX679" s="182"/>
      <c r="BY679" s="182"/>
      <c r="BZ679" s="182"/>
      <c r="CA679" s="182"/>
      <c r="CB679" s="185">
        <f t="shared" si="117"/>
        <v>117.25</v>
      </c>
      <c r="CC679" s="185">
        <f t="shared" si="118"/>
        <v>0</v>
      </c>
      <c r="CD679" s="185">
        <f t="shared" si="119"/>
        <v>1040</v>
      </c>
      <c r="CE679" s="185" t="e">
        <f>+#REF!</f>
        <v>#REF!</v>
      </c>
    </row>
    <row r="680" spans="2:83" s="197" customFormat="1" ht="37.5" x14ac:dyDescent="0.3">
      <c r="B680" s="182">
        <v>1737</v>
      </c>
      <c r="C680" s="182">
        <v>1041</v>
      </c>
      <c r="D680" s="182" t="s">
        <v>123</v>
      </c>
      <c r="E680" s="181" t="s">
        <v>4795</v>
      </c>
      <c r="F680" s="182"/>
      <c r="G680" s="182">
        <v>4603.75</v>
      </c>
      <c r="H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2"/>
      <c r="AH680" s="182"/>
      <c r="AI680" s="182"/>
      <c r="AJ680" s="182"/>
      <c r="AK680" s="182"/>
      <c r="AL680" s="182"/>
      <c r="AM680" s="182"/>
      <c r="AN680" s="182"/>
      <c r="AO680" s="182"/>
      <c r="AP680" s="182"/>
      <c r="AQ680" s="185">
        <f t="shared" si="116"/>
        <v>4603.75</v>
      </c>
      <c r="AR680" s="182">
        <v>2993.85</v>
      </c>
      <c r="AS680" s="182">
        <v>421.15</v>
      </c>
      <c r="AT680" s="182">
        <v>988.75</v>
      </c>
      <c r="AU680" s="182">
        <v>200</v>
      </c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182"/>
      <c r="BK680" s="182"/>
      <c r="BL680" s="182"/>
      <c r="BM680" s="182"/>
      <c r="BN680" s="182"/>
      <c r="BO680" s="182"/>
      <c r="BP680" s="182"/>
      <c r="BQ680" s="182"/>
      <c r="BR680" s="182"/>
      <c r="BS680" s="182"/>
      <c r="BT680" s="182"/>
      <c r="BU680" s="182"/>
      <c r="BV680" s="182"/>
      <c r="BW680" s="182"/>
      <c r="BX680" s="182"/>
      <c r="BY680" s="182"/>
      <c r="BZ680" s="182"/>
      <c r="CA680" s="182"/>
      <c r="CB680" s="185">
        <f t="shared" si="117"/>
        <v>4603.75</v>
      </c>
      <c r="CC680" s="185">
        <f t="shared" si="118"/>
        <v>0</v>
      </c>
      <c r="CD680" s="185">
        <f t="shared" si="119"/>
        <v>1041</v>
      </c>
      <c r="CE680" s="185" t="e">
        <f>+#REF!</f>
        <v>#REF!</v>
      </c>
    </row>
    <row r="681" spans="2:83" s="197" customFormat="1" ht="37.5" x14ac:dyDescent="0.3">
      <c r="B681" s="182">
        <v>1747</v>
      </c>
      <c r="C681" s="182">
        <v>1042</v>
      </c>
      <c r="D681" s="182" t="s">
        <v>123</v>
      </c>
      <c r="E681" s="181" t="s">
        <v>4795</v>
      </c>
      <c r="F681" s="182"/>
      <c r="G681" s="182">
        <v>1172.5</v>
      </c>
      <c r="H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2"/>
      <c r="AH681" s="182"/>
      <c r="AI681" s="182"/>
      <c r="AJ681" s="182"/>
      <c r="AK681" s="182"/>
      <c r="AL681" s="182"/>
      <c r="AM681" s="182"/>
      <c r="AN681" s="182"/>
      <c r="AO681" s="182"/>
      <c r="AP681" s="182"/>
      <c r="AQ681" s="185">
        <f t="shared" si="116"/>
        <v>1172.5</v>
      </c>
      <c r="AR681" s="182">
        <v>734.8</v>
      </c>
      <c r="AS681" s="182">
        <v>105.2</v>
      </c>
      <c r="AT681" s="182">
        <v>282.5</v>
      </c>
      <c r="AU681" s="182">
        <v>50</v>
      </c>
      <c r="AV681" s="182"/>
      <c r="AW681" s="182"/>
      <c r="AX681" s="182"/>
      <c r="AY681" s="182"/>
      <c r="AZ681" s="182"/>
      <c r="BA681" s="182"/>
      <c r="BB681" s="182"/>
      <c r="BC681" s="182"/>
      <c r="BD681" s="182"/>
      <c r="BE681" s="182"/>
      <c r="BF681" s="182"/>
      <c r="BG681" s="182"/>
      <c r="BH681" s="182"/>
      <c r="BI681" s="182"/>
      <c r="BJ681" s="182"/>
      <c r="BK681" s="182"/>
      <c r="BL681" s="182"/>
      <c r="BM681" s="182"/>
      <c r="BN681" s="182"/>
      <c r="BO681" s="182"/>
      <c r="BP681" s="182"/>
      <c r="BQ681" s="182"/>
      <c r="BR681" s="182"/>
      <c r="BS681" s="182"/>
      <c r="BT681" s="182"/>
      <c r="BU681" s="182"/>
      <c r="BV681" s="182"/>
      <c r="BW681" s="182"/>
      <c r="BX681" s="182"/>
      <c r="BY681" s="182"/>
      <c r="BZ681" s="182"/>
      <c r="CA681" s="182"/>
      <c r="CB681" s="185">
        <f t="shared" si="117"/>
        <v>1172.5</v>
      </c>
      <c r="CC681" s="185">
        <f t="shared" si="118"/>
        <v>0</v>
      </c>
      <c r="CD681" s="185">
        <f t="shared" si="119"/>
        <v>1042</v>
      </c>
      <c r="CE681" s="185" t="e">
        <f>+#REF!</f>
        <v>#REF!</v>
      </c>
    </row>
    <row r="682" spans="2:83" s="197" customFormat="1" ht="37.5" x14ac:dyDescent="0.3">
      <c r="B682" s="182">
        <v>1732</v>
      </c>
      <c r="C682" s="182">
        <v>1043</v>
      </c>
      <c r="D682" s="182" t="s">
        <v>123</v>
      </c>
      <c r="E682" s="181" t="s">
        <v>4796</v>
      </c>
      <c r="F682" s="182"/>
      <c r="G682" s="182">
        <v>175.88</v>
      </c>
      <c r="H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  <c r="Z682" s="182"/>
      <c r="AA682" s="182"/>
      <c r="AB682" s="182"/>
      <c r="AC682" s="182"/>
      <c r="AD682" s="182"/>
      <c r="AE682" s="182"/>
      <c r="AF682" s="182"/>
      <c r="AG682" s="182"/>
      <c r="AH682" s="182"/>
      <c r="AI682" s="182"/>
      <c r="AJ682" s="182"/>
      <c r="AK682" s="182"/>
      <c r="AL682" s="182"/>
      <c r="AM682" s="182"/>
      <c r="AN682" s="182"/>
      <c r="AO682" s="182"/>
      <c r="AP682" s="182"/>
      <c r="AQ682" s="185">
        <f t="shared" si="116"/>
        <v>175.88</v>
      </c>
      <c r="AR682" s="182">
        <v>110.5</v>
      </c>
      <c r="AS682" s="182">
        <v>15.5</v>
      </c>
      <c r="AT682" s="182">
        <v>42.38</v>
      </c>
      <c r="AU682" s="182">
        <v>7.5</v>
      </c>
      <c r="AV682" s="182"/>
      <c r="AW682" s="182"/>
      <c r="AX682" s="182"/>
      <c r="AY682" s="182"/>
      <c r="AZ682" s="182"/>
      <c r="BA682" s="182"/>
      <c r="BB682" s="182"/>
      <c r="BC682" s="182"/>
      <c r="BD682" s="182"/>
      <c r="BE682" s="182"/>
      <c r="BF682" s="182"/>
      <c r="BG682" s="182"/>
      <c r="BH682" s="182"/>
      <c r="BI682" s="182"/>
      <c r="BJ682" s="182"/>
      <c r="BK682" s="182"/>
      <c r="BL682" s="182"/>
      <c r="BM682" s="182"/>
      <c r="BN682" s="182"/>
      <c r="BO682" s="182"/>
      <c r="BP682" s="182"/>
      <c r="BQ682" s="182"/>
      <c r="BR682" s="182"/>
      <c r="BS682" s="182"/>
      <c r="BT682" s="182"/>
      <c r="BU682" s="182"/>
      <c r="BV682" s="182"/>
      <c r="BW682" s="182"/>
      <c r="BX682" s="182"/>
      <c r="BY682" s="182"/>
      <c r="BZ682" s="182"/>
      <c r="CA682" s="182"/>
      <c r="CB682" s="185">
        <f t="shared" si="117"/>
        <v>175.88</v>
      </c>
      <c r="CC682" s="185">
        <f t="shared" si="118"/>
        <v>0</v>
      </c>
      <c r="CD682" s="185">
        <f t="shared" si="119"/>
        <v>1043</v>
      </c>
      <c r="CE682" s="185" t="e">
        <f>+#REF!</f>
        <v>#REF!</v>
      </c>
    </row>
    <row r="683" spans="2:83" s="197" customFormat="1" ht="37.5" x14ac:dyDescent="0.3">
      <c r="B683" s="182">
        <v>1731</v>
      </c>
      <c r="C683" s="182">
        <v>1044</v>
      </c>
      <c r="D683" s="182" t="s">
        <v>123</v>
      </c>
      <c r="E683" s="181" t="s">
        <v>4797</v>
      </c>
      <c r="F683" s="182"/>
      <c r="G683" s="182">
        <v>1055.24</v>
      </c>
      <c r="H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2"/>
      <c r="AH683" s="182"/>
      <c r="AI683" s="182"/>
      <c r="AJ683" s="182"/>
      <c r="AK683" s="182"/>
      <c r="AL683" s="182"/>
      <c r="AM683" s="182"/>
      <c r="AN683" s="182"/>
      <c r="AO683" s="182"/>
      <c r="AP683" s="182"/>
      <c r="AQ683" s="185">
        <f t="shared" si="116"/>
        <v>1055.24</v>
      </c>
      <c r="AR683" s="182">
        <v>661.4</v>
      </c>
      <c r="AS683" s="182">
        <v>94.6</v>
      </c>
      <c r="AT683" s="182">
        <v>254.24</v>
      </c>
      <c r="AU683" s="182">
        <v>45</v>
      </c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182"/>
      <c r="BK683" s="182"/>
      <c r="BL683" s="182"/>
      <c r="BM683" s="182"/>
      <c r="BN683" s="182"/>
      <c r="BO683" s="182"/>
      <c r="BP683" s="182"/>
      <c r="BQ683" s="182"/>
      <c r="BR683" s="182"/>
      <c r="BS683" s="182"/>
      <c r="BT683" s="182"/>
      <c r="BU683" s="182"/>
      <c r="BV683" s="182"/>
      <c r="BW683" s="182"/>
      <c r="BX683" s="182"/>
      <c r="BY683" s="182"/>
      <c r="BZ683" s="182"/>
      <c r="CA683" s="182"/>
      <c r="CB683" s="185">
        <f t="shared" si="117"/>
        <v>1055.24</v>
      </c>
      <c r="CC683" s="185">
        <f t="shared" si="118"/>
        <v>0</v>
      </c>
      <c r="CD683" s="185">
        <f t="shared" si="119"/>
        <v>1044</v>
      </c>
      <c r="CE683" s="185" t="e">
        <f>+#REF!</f>
        <v>#REF!</v>
      </c>
    </row>
    <row r="684" spans="2:83" s="197" customFormat="1" ht="37.5" x14ac:dyDescent="0.3">
      <c r="B684" s="182">
        <v>1736</v>
      </c>
      <c r="C684" s="182">
        <v>1045</v>
      </c>
      <c r="D684" s="182" t="s">
        <v>123</v>
      </c>
      <c r="E684" s="181" t="str">
        <f>+E679</f>
        <v>مكافاه ختم النسر يونيو</v>
      </c>
      <c r="F684" s="182"/>
      <c r="G684" s="182">
        <v>217.25</v>
      </c>
      <c r="H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2"/>
      <c r="AH684" s="182"/>
      <c r="AI684" s="182"/>
      <c r="AJ684" s="182"/>
      <c r="AK684" s="182"/>
      <c r="AL684" s="182"/>
      <c r="AM684" s="182"/>
      <c r="AN684" s="182"/>
      <c r="AO684" s="182"/>
      <c r="AP684" s="182"/>
      <c r="AQ684" s="185">
        <f t="shared" si="116"/>
        <v>217.25</v>
      </c>
      <c r="AR684" s="182">
        <v>158.44999999999999</v>
      </c>
      <c r="AS684" s="182">
        <v>20.55</v>
      </c>
      <c r="AT684" s="182">
        <v>28.25</v>
      </c>
      <c r="AU684" s="182">
        <v>10</v>
      </c>
      <c r="AV684" s="182"/>
      <c r="AW684" s="182"/>
      <c r="AX684" s="182"/>
      <c r="AY684" s="182"/>
      <c r="AZ684" s="182"/>
      <c r="BA684" s="182"/>
      <c r="BB684" s="182"/>
      <c r="BC684" s="182"/>
      <c r="BD684" s="182"/>
      <c r="BE684" s="182"/>
      <c r="BF684" s="182"/>
      <c r="BG684" s="182"/>
      <c r="BH684" s="182"/>
      <c r="BI684" s="182"/>
      <c r="BJ684" s="182"/>
      <c r="BK684" s="182"/>
      <c r="BL684" s="182"/>
      <c r="BM684" s="182"/>
      <c r="BN684" s="182"/>
      <c r="BO684" s="182"/>
      <c r="BP684" s="182"/>
      <c r="BQ684" s="182"/>
      <c r="BR684" s="182"/>
      <c r="BS684" s="182"/>
      <c r="BT684" s="182"/>
      <c r="BU684" s="182"/>
      <c r="BV684" s="182"/>
      <c r="BW684" s="182"/>
      <c r="BX684" s="182"/>
      <c r="BY684" s="182"/>
      <c r="BZ684" s="182"/>
      <c r="CA684" s="182"/>
      <c r="CB684" s="185">
        <f t="shared" si="117"/>
        <v>217.25</v>
      </c>
      <c r="CC684" s="185">
        <f t="shared" si="118"/>
        <v>0</v>
      </c>
      <c r="CD684" s="185">
        <f t="shared" si="119"/>
        <v>1045</v>
      </c>
      <c r="CE684" s="185" t="e">
        <f>+#REF!</f>
        <v>#REF!</v>
      </c>
    </row>
    <row r="685" spans="2:83" s="197" customFormat="1" ht="56.25" x14ac:dyDescent="0.3">
      <c r="B685" s="182">
        <v>1733</v>
      </c>
      <c r="C685" s="182">
        <v>1046</v>
      </c>
      <c r="D685" s="182" t="s">
        <v>4626</v>
      </c>
      <c r="E685" s="181" t="s">
        <v>4798</v>
      </c>
      <c r="F685" s="182"/>
      <c r="G685" s="182">
        <v>802.36</v>
      </c>
      <c r="H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  <c r="Z685" s="182"/>
      <c r="AA685" s="182"/>
      <c r="AB685" s="182"/>
      <c r="AC685" s="182"/>
      <c r="AD685" s="182"/>
      <c r="AE685" s="182"/>
      <c r="AF685" s="182"/>
      <c r="AG685" s="182"/>
      <c r="AH685" s="182"/>
      <c r="AI685" s="182"/>
      <c r="AJ685" s="182"/>
      <c r="AK685" s="182"/>
      <c r="AL685" s="182"/>
      <c r="AM685" s="182"/>
      <c r="AN685" s="182"/>
      <c r="AO685" s="182"/>
      <c r="AP685" s="182"/>
      <c r="AQ685" s="185">
        <f t="shared" si="116"/>
        <v>802.36</v>
      </c>
      <c r="AR685" s="182">
        <v>504.1</v>
      </c>
      <c r="AS685" s="182">
        <v>70.73</v>
      </c>
      <c r="AT685" s="182">
        <v>193.32</v>
      </c>
      <c r="AU685" s="182">
        <v>34.21</v>
      </c>
      <c r="AV685" s="182"/>
      <c r="AW685" s="182"/>
      <c r="AX685" s="182"/>
      <c r="AY685" s="182"/>
      <c r="AZ685" s="182"/>
      <c r="BA685" s="182"/>
      <c r="BB685" s="182"/>
      <c r="BC685" s="182"/>
      <c r="BD685" s="182"/>
      <c r="BE685" s="182"/>
      <c r="BF685" s="182"/>
      <c r="BG685" s="182"/>
      <c r="BH685" s="182"/>
      <c r="BI685" s="182"/>
      <c r="BJ685" s="182"/>
      <c r="BK685" s="182"/>
      <c r="BL685" s="182"/>
      <c r="BM685" s="182"/>
      <c r="BN685" s="182"/>
      <c r="BO685" s="182"/>
      <c r="BP685" s="182"/>
      <c r="BQ685" s="182"/>
      <c r="BR685" s="182"/>
      <c r="BS685" s="182"/>
      <c r="BT685" s="182"/>
      <c r="BU685" s="182"/>
      <c r="BV685" s="182"/>
      <c r="BW685" s="182"/>
      <c r="BX685" s="182"/>
      <c r="BY685" s="182"/>
      <c r="BZ685" s="182"/>
      <c r="CA685" s="182"/>
      <c r="CB685" s="185">
        <f t="shared" si="117"/>
        <v>802.36000000000013</v>
      </c>
      <c r="CC685" s="185">
        <f t="shared" si="118"/>
        <v>0</v>
      </c>
      <c r="CD685" s="185">
        <f t="shared" si="119"/>
        <v>1046</v>
      </c>
      <c r="CE685" s="185" t="e">
        <f>+#REF!</f>
        <v>#REF!</v>
      </c>
    </row>
    <row r="686" spans="2:83" s="197" customFormat="1" ht="56.25" x14ac:dyDescent="0.3">
      <c r="B686" s="182">
        <v>1836</v>
      </c>
      <c r="C686" s="182">
        <v>1047</v>
      </c>
      <c r="D686" s="182" t="s">
        <v>121</v>
      </c>
      <c r="E686" s="181" t="s">
        <v>4799</v>
      </c>
      <c r="F686" s="182"/>
      <c r="G686" s="182">
        <v>108.62</v>
      </c>
      <c r="H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2"/>
      <c r="AH686" s="182"/>
      <c r="AI686" s="182"/>
      <c r="AJ686" s="182"/>
      <c r="AK686" s="182"/>
      <c r="AL686" s="182"/>
      <c r="AM686" s="182"/>
      <c r="AN686" s="182"/>
      <c r="AO686" s="182"/>
      <c r="AP686" s="182"/>
      <c r="AQ686" s="185">
        <f t="shared" si="116"/>
        <v>108.62</v>
      </c>
      <c r="AR686" s="182">
        <v>92.14</v>
      </c>
      <c r="AS686" s="182">
        <v>2.36</v>
      </c>
      <c r="AT686" s="182">
        <v>14.12</v>
      </c>
      <c r="AU686" s="182"/>
      <c r="AV686" s="182"/>
      <c r="AW686" s="182"/>
      <c r="AX686" s="182"/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/>
      <c r="BI686" s="182"/>
      <c r="BJ686" s="182"/>
      <c r="BK686" s="182"/>
      <c r="BL686" s="182"/>
      <c r="BM686" s="182"/>
      <c r="BN686" s="182"/>
      <c r="BO686" s="182"/>
      <c r="BP686" s="182"/>
      <c r="BQ686" s="182"/>
      <c r="BR686" s="182"/>
      <c r="BS686" s="182"/>
      <c r="BT686" s="182"/>
      <c r="BU686" s="182"/>
      <c r="BV686" s="182"/>
      <c r="BW686" s="182"/>
      <c r="BX686" s="182"/>
      <c r="BY686" s="182"/>
      <c r="BZ686" s="182"/>
      <c r="CA686" s="182"/>
      <c r="CB686" s="185">
        <f t="shared" si="117"/>
        <v>108.62</v>
      </c>
      <c r="CC686" s="185">
        <f t="shared" si="118"/>
        <v>0</v>
      </c>
      <c r="CD686" s="185">
        <f t="shared" si="119"/>
        <v>1047</v>
      </c>
      <c r="CE686" s="185" t="e">
        <f>+#REF!</f>
        <v>#REF!</v>
      </c>
    </row>
    <row r="687" spans="2:83" s="197" customFormat="1" ht="56.25" x14ac:dyDescent="0.3">
      <c r="B687" s="182">
        <v>1841</v>
      </c>
      <c r="C687" s="182">
        <v>1048</v>
      </c>
      <c r="D687" s="182" t="s">
        <v>121</v>
      </c>
      <c r="E687" s="181" t="s">
        <v>4800</v>
      </c>
      <c r="F687" s="182"/>
      <c r="G687" s="182">
        <v>108.62</v>
      </c>
      <c r="H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2"/>
      <c r="AH687" s="182"/>
      <c r="AI687" s="182"/>
      <c r="AJ687" s="182"/>
      <c r="AK687" s="182"/>
      <c r="AL687" s="182"/>
      <c r="AM687" s="182"/>
      <c r="AN687" s="182"/>
      <c r="AO687" s="182"/>
      <c r="AP687" s="182"/>
      <c r="AQ687" s="185">
        <f t="shared" si="116"/>
        <v>108.62</v>
      </c>
      <c r="AR687" s="182">
        <v>84.5</v>
      </c>
      <c r="AS687" s="182">
        <v>10</v>
      </c>
      <c r="AT687" s="182">
        <v>14.12</v>
      </c>
      <c r="AU687" s="182"/>
      <c r="AV687" s="182"/>
      <c r="AW687" s="182"/>
      <c r="AX687" s="182"/>
      <c r="AY687" s="182"/>
      <c r="AZ687" s="182"/>
      <c r="BA687" s="182"/>
      <c r="BB687" s="182"/>
      <c r="BC687" s="182"/>
      <c r="BD687" s="182"/>
      <c r="BE687" s="182"/>
      <c r="BF687" s="182"/>
      <c r="BG687" s="182"/>
      <c r="BH687" s="182"/>
      <c r="BI687" s="182"/>
      <c r="BJ687" s="182"/>
      <c r="BK687" s="182"/>
      <c r="BL687" s="182"/>
      <c r="BM687" s="182"/>
      <c r="BN687" s="182"/>
      <c r="BO687" s="182"/>
      <c r="BP687" s="182"/>
      <c r="BQ687" s="182"/>
      <c r="BR687" s="182"/>
      <c r="BS687" s="182"/>
      <c r="BT687" s="182"/>
      <c r="BU687" s="182"/>
      <c r="BV687" s="182"/>
      <c r="BW687" s="182"/>
      <c r="BX687" s="182"/>
      <c r="BY687" s="182"/>
      <c r="BZ687" s="182"/>
      <c r="CA687" s="182"/>
      <c r="CB687" s="185">
        <f t="shared" si="117"/>
        <v>108.62</v>
      </c>
      <c r="CC687" s="185">
        <f t="shared" si="118"/>
        <v>0</v>
      </c>
      <c r="CD687" s="185">
        <f t="shared" si="119"/>
        <v>1048</v>
      </c>
      <c r="CE687" s="185" t="e">
        <f>+#REF!</f>
        <v>#REF!</v>
      </c>
    </row>
    <row r="688" spans="2:83" s="197" customFormat="1" ht="56.25" x14ac:dyDescent="0.3">
      <c r="B688" s="182">
        <v>1847</v>
      </c>
      <c r="C688" s="182">
        <v>1049</v>
      </c>
      <c r="D688" s="182" t="s">
        <v>121</v>
      </c>
      <c r="E688" s="181" t="s">
        <v>4801</v>
      </c>
      <c r="F688" s="182"/>
      <c r="G688" s="182">
        <v>108.62</v>
      </c>
      <c r="H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  <c r="Z688" s="182"/>
      <c r="AA688" s="182"/>
      <c r="AB688" s="182"/>
      <c r="AC688" s="182"/>
      <c r="AD688" s="182"/>
      <c r="AE688" s="182"/>
      <c r="AF688" s="182"/>
      <c r="AG688" s="182"/>
      <c r="AH688" s="182"/>
      <c r="AI688" s="182"/>
      <c r="AJ688" s="182"/>
      <c r="AK688" s="182"/>
      <c r="AL688" s="182"/>
      <c r="AM688" s="182"/>
      <c r="AN688" s="182"/>
      <c r="AO688" s="182"/>
      <c r="AP688" s="182"/>
      <c r="AQ688" s="185">
        <f t="shared" si="116"/>
        <v>108.62</v>
      </c>
      <c r="AR688" s="182">
        <v>84.5</v>
      </c>
      <c r="AS688" s="182">
        <v>10</v>
      </c>
      <c r="AT688" s="182">
        <v>14.12</v>
      </c>
      <c r="AU688" s="182"/>
      <c r="AV688" s="182"/>
      <c r="AW688" s="182"/>
      <c r="AX688" s="182"/>
      <c r="AY688" s="182"/>
      <c r="AZ688" s="182"/>
      <c r="BA688" s="182"/>
      <c r="BB688" s="182"/>
      <c r="BC688" s="182"/>
      <c r="BD688" s="182"/>
      <c r="BE688" s="182"/>
      <c r="BF688" s="182"/>
      <c r="BG688" s="182"/>
      <c r="BH688" s="182"/>
      <c r="BI688" s="182"/>
      <c r="BJ688" s="182"/>
      <c r="BK688" s="182"/>
      <c r="BL688" s="182"/>
      <c r="BM688" s="182"/>
      <c r="BN688" s="182"/>
      <c r="BO688" s="182"/>
      <c r="BP688" s="182"/>
      <c r="BQ688" s="182"/>
      <c r="BR688" s="182"/>
      <c r="BS688" s="182"/>
      <c r="BT688" s="182"/>
      <c r="BU688" s="182"/>
      <c r="BV688" s="182"/>
      <c r="BW688" s="182"/>
      <c r="BX688" s="182"/>
      <c r="BY688" s="182"/>
      <c r="BZ688" s="182"/>
      <c r="CA688" s="182"/>
      <c r="CB688" s="185">
        <f t="shared" si="117"/>
        <v>108.62</v>
      </c>
      <c r="CC688" s="185">
        <f t="shared" si="118"/>
        <v>0</v>
      </c>
      <c r="CD688" s="185">
        <f t="shared" si="119"/>
        <v>1049</v>
      </c>
      <c r="CE688" s="185" t="e">
        <f>+#REF!</f>
        <v>#REF!</v>
      </c>
    </row>
    <row r="689" spans="2:83" s="197" customFormat="1" ht="37.5" x14ac:dyDescent="0.3">
      <c r="B689" s="182">
        <v>2443</v>
      </c>
      <c r="C689" s="182">
        <v>1050</v>
      </c>
      <c r="D689" s="182" t="s">
        <v>78</v>
      </c>
      <c r="E689" s="181" t="s">
        <v>4802</v>
      </c>
      <c r="F689" s="182"/>
      <c r="G689" s="182">
        <v>224.47</v>
      </c>
      <c r="H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182"/>
      <c r="AI689" s="182"/>
      <c r="AJ689" s="182"/>
      <c r="AK689" s="182"/>
      <c r="AL689" s="182"/>
      <c r="AM689" s="182"/>
      <c r="AN689" s="182"/>
      <c r="AO689" s="182"/>
      <c r="AP689" s="182"/>
      <c r="AQ689" s="185">
        <f t="shared" si="116"/>
        <v>224.47</v>
      </c>
      <c r="AR689" s="182">
        <v>159.05000000000001</v>
      </c>
      <c r="AS689" s="182">
        <v>28.92</v>
      </c>
      <c r="AT689" s="182">
        <v>36.5</v>
      </c>
      <c r="AU689" s="182"/>
      <c r="AV689" s="182"/>
      <c r="AW689" s="182"/>
      <c r="AX689" s="182"/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/>
      <c r="BJ689" s="182"/>
      <c r="BK689" s="182"/>
      <c r="BL689" s="182"/>
      <c r="BM689" s="182"/>
      <c r="BN689" s="182"/>
      <c r="BO689" s="182"/>
      <c r="BP689" s="182"/>
      <c r="BQ689" s="182"/>
      <c r="BR689" s="182"/>
      <c r="BS689" s="182"/>
      <c r="BT689" s="182"/>
      <c r="BU689" s="182"/>
      <c r="BV689" s="182"/>
      <c r="BW689" s="182"/>
      <c r="BX689" s="182"/>
      <c r="BY689" s="182"/>
      <c r="BZ689" s="182"/>
      <c r="CA689" s="182"/>
      <c r="CB689" s="185">
        <f t="shared" si="117"/>
        <v>224.47000000000003</v>
      </c>
      <c r="CC689" s="185">
        <f t="shared" si="118"/>
        <v>0</v>
      </c>
      <c r="CD689" s="185">
        <f t="shared" si="119"/>
        <v>1050</v>
      </c>
      <c r="CE689" s="185" t="e">
        <f>+#REF!</f>
        <v>#REF!</v>
      </c>
    </row>
    <row r="690" spans="2:83" s="197" customFormat="1" ht="37.5" x14ac:dyDescent="0.3">
      <c r="B690" s="182">
        <v>1931</v>
      </c>
      <c r="C690" s="182">
        <v>1051</v>
      </c>
      <c r="D690" s="182" t="s">
        <v>78</v>
      </c>
      <c r="E690" s="181" t="s">
        <v>1012</v>
      </c>
      <c r="F690" s="182"/>
      <c r="G690" s="182">
        <v>6793.74</v>
      </c>
      <c r="H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182"/>
      <c r="AI690" s="182"/>
      <c r="AJ690" s="182"/>
      <c r="AK690" s="182"/>
      <c r="AL690" s="182"/>
      <c r="AM690" s="182"/>
      <c r="AN690" s="182"/>
      <c r="AO690" s="182"/>
      <c r="AP690" s="182"/>
      <c r="AQ690" s="185">
        <f t="shared" si="116"/>
        <v>6793.74</v>
      </c>
      <c r="AR690" s="182">
        <v>6039.8</v>
      </c>
      <c r="AS690" s="182">
        <v>723.25</v>
      </c>
      <c r="AT690" s="182">
        <v>30.69</v>
      </c>
      <c r="AU690" s="182"/>
      <c r="AV690" s="182"/>
      <c r="AW690" s="182"/>
      <c r="AX690" s="182"/>
      <c r="AY690" s="182"/>
      <c r="AZ690" s="182"/>
      <c r="BA690" s="182"/>
      <c r="BB690" s="182"/>
      <c r="BC690" s="182"/>
      <c r="BD690" s="182"/>
      <c r="BE690" s="182"/>
      <c r="BF690" s="182"/>
      <c r="BG690" s="182"/>
      <c r="BH690" s="182"/>
      <c r="BI690" s="182"/>
      <c r="BJ690" s="182"/>
      <c r="BK690" s="182"/>
      <c r="BL690" s="182"/>
      <c r="BM690" s="182"/>
      <c r="BN690" s="182"/>
      <c r="BO690" s="182"/>
      <c r="BP690" s="182"/>
      <c r="BQ690" s="182"/>
      <c r="BR690" s="182"/>
      <c r="BS690" s="182"/>
      <c r="BT690" s="182"/>
      <c r="BU690" s="182"/>
      <c r="BV690" s="182"/>
      <c r="BW690" s="182"/>
      <c r="BX690" s="182"/>
      <c r="BY690" s="182"/>
      <c r="BZ690" s="182"/>
      <c r="CA690" s="182"/>
      <c r="CB690" s="185">
        <f t="shared" si="117"/>
        <v>6793.74</v>
      </c>
      <c r="CC690" s="185">
        <f t="shared" si="118"/>
        <v>0</v>
      </c>
      <c r="CD690" s="185">
        <f t="shared" si="119"/>
        <v>1051</v>
      </c>
      <c r="CE690" s="185" t="e">
        <f>+#REF!</f>
        <v>#REF!</v>
      </c>
    </row>
    <row r="691" spans="2:83" s="197" customFormat="1" ht="37.5" x14ac:dyDescent="0.3">
      <c r="B691" s="182">
        <v>1930</v>
      </c>
      <c r="C691" s="182">
        <v>1052</v>
      </c>
      <c r="D691" s="182" t="s">
        <v>78</v>
      </c>
      <c r="E691" s="181" t="s">
        <v>1012</v>
      </c>
      <c r="F691" s="182"/>
      <c r="G691" s="182">
        <v>388.04</v>
      </c>
      <c r="H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  <c r="Z691" s="182"/>
      <c r="AA691" s="182"/>
      <c r="AB691" s="182"/>
      <c r="AC691" s="182"/>
      <c r="AD691" s="182"/>
      <c r="AE691" s="182"/>
      <c r="AF691" s="182"/>
      <c r="AG691" s="182"/>
      <c r="AH691" s="182"/>
      <c r="AI691" s="182"/>
      <c r="AJ691" s="182"/>
      <c r="AK691" s="182"/>
      <c r="AL691" s="182"/>
      <c r="AM691" s="182"/>
      <c r="AN691" s="182"/>
      <c r="AO691" s="182"/>
      <c r="AP691" s="182"/>
      <c r="AQ691" s="185">
        <f t="shared" si="116"/>
        <v>388.04</v>
      </c>
      <c r="AR691" s="182">
        <v>327.08</v>
      </c>
      <c r="AS691" s="182">
        <v>39.6</v>
      </c>
      <c r="AT691" s="182">
        <v>21.36</v>
      </c>
      <c r="AU691" s="182"/>
      <c r="AV691" s="182"/>
      <c r="AW691" s="182"/>
      <c r="AX691" s="182"/>
      <c r="AY691" s="182"/>
      <c r="AZ691" s="182"/>
      <c r="BA691" s="182"/>
      <c r="BB691" s="182"/>
      <c r="BC691" s="182"/>
      <c r="BD691" s="182"/>
      <c r="BE691" s="182"/>
      <c r="BF691" s="182"/>
      <c r="BG691" s="182"/>
      <c r="BH691" s="182"/>
      <c r="BI691" s="182"/>
      <c r="BJ691" s="182"/>
      <c r="BK691" s="182"/>
      <c r="BL691" s="182"/>
      <c r="BM691" s="182"/>
      <c r="BN691" s="182"/>
      <c r="BO691" s="182"/>
      <c r="BP691" s="182"/>
      <c r="BQ691" s="182"/>
      <c r="BR691" s="182"/>
      <c r="BS691" s="182"/>
      <c r="BT691" s="182"/>
      <c r="BU691" s="182"/>
      <c r="BV691" s="182"/>
      <c r="BW691" s="182"/>
      <c r="BX691" s="182"/>
      <c r="BY691" s="182"/>
      <c r="BZ691" s="182"/>
      <c r="CA691" s="182"/>
      <c r="CB691" s="185">
        <f t="shared" si="117"/>
        <v>388.04</v>
      </c>
      <c r="CC691" s="185">
        <f t="shared" si="118"/>
        <v>0</v>
      </c>
      <c r="CD691" s="185">
        <f t="shared" si="119"/>
        <v>1052</v>
      </c>
      <c r="CE691" s="185" t="e">
        <f>+#REF!</f>
        <v>#REF!</v>
      </c>
    </row>
    <row r="692" spans="2:83" s="197" customFormat="1" ht="37.5" x14ac:dyDescent="0.3">
      <c r="B692" s="182">
        <v>1938</v>
      </c>
      <c r="C692" s="182">
        <v>1053</v>
      </c>
      <c r="D692" s="182" t="s">
        <v>78</v>
      </c>
      <c r="E692" s="181" t="s">
        <v>4803</v>
      </c>
      <c r="F692" s="182"/>
      <c r="G692" s="182">
        <v>12600.92</v>
      </c>
      <c r="H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2"/>
      <c r="AH692" s="182"/>
      <c r="AI692" s="182"/>
      <c r="AJ692" s="182"/>
      <c r="AK692" s="182"/>
      <c r="AL692" s="182"/>
      <c r="AM692" s="182"/>
      <c r="AN692" s="182"/>
      <c r="AO692" s="182"/>
      <c r="AP692" s="182"/>
      <c r="AQ692" s="185">
        <f t="shared" si="116"/>
        <v>12600.92</v>
      </c>
      <c r="AR692" s="182">
        <v>10331.07</v>
      </c>
      <c r="AS692" s="182">
        <v>1285.75</v>
      </c>
      <c r="AT692" s="182">
        <v>984.1</v>
      </c>
      <c r="AU692" s="182"/>
      <c r="AV692" s="182"/>
      <c r="AW692" s="182"/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/>
      <c r="BH692" s="182"/>
      <c r="BI692" s="182"/>
      <c r="BJ692" s="182"/>
      <c r="BK692" s="182"/>
      <c r="BL692" s="182"/>
      <c r="BM692" s="182"/>
      <c r="BN692" s="182"/>
      <c r="BO692" s="182"/>
      <c r="BP692" s="182"/>
      <c r="BQ692" s="182"/>
      <c r="BR692" s="182"/>
      <c r="BS692" s="182"/>
      <c r="BT692" s="182"/>
      <c r="BU692" s="182"/>
      <c r="BV692" s="182"/>
      <c r="BW692" s="182"/>
      <c r="BX692" s="182"/>
      <c r="BY692" s="182"/>
      <c r="BZ692" s="182"/>
      <c r="CA692" s="182"/>
      <c r="CB692" s="185">
        <f t="shared" si="117"/>
        <v>12600.92</v>
      </c>
      <c r="CC692" s="185">
        <f t="shared" si="118"/>
        <v>0</v>
      </c>
      <c r="CD692" s="185">
        <f t="shared" si="119"/>
        <v>1053</v>
      </c>
      <c r="CE692" s="185" t="e">
        <f>+#REF!</f>
        <v>#REF!</v>
      </c>
    </row>
    <row r="693" spans="2:83" s="197" customFormat="1" ht="37.5" x14ac:dyDescent="0.3">
      <c r="B693" s="182">
        <v>1944</v>
      </c>
      <c r="C693" s="182">
        <v>1054</v>
      </c>
      <c r="D693" s="182" t="s">
        <v>78</v>
      </c>
      <c r="E693" s="181" t="s">
        <v>4257</v>
      </c>
      <c r="F693" s="182"/>
      <c r="G693" s="182">
        <v>1500</v>
      </c>
      <c r="H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2"/>
      <c r="AH693" s="182"/>
      <c r="AI693" s="182"/>
      <c r="AJ693" s="182"/>
      <c r="AK693" s="182"/>
      <c r="AL693" s="182"/>
      <c r="AM693" s="182"/>
      <c r="AN693" s="182"/>
      <c r="AO693" s="182"/>
      <c r="AP693" s="182"/>
      <c r="AQ693" s="185">
        <f t="shared" si="116"/>
        <v>1500</v>
      </c>
      <c r="AR693" s="182">
        <v>1339.1</v>
      </c>
      <c r="AS693" s="182">
        <v>160.9</v>
      </c>
      <c r="AT693" s="182"/>
      <c r="AU693" s="182"/>
      <c r="AV693" s="182"/>
      <c r="AW693" s="182"/>
      <c r="AX693" s="182"/>
      <c r="AY693" s="182"/>
      <c r="AZ693" s="182"/>
      <c r="BA693" s="182"/>
      <c r="BB693" s="182"/>
      <c r="BC693" s="182"/>
      <c r="BD693" s="182"/>
      <c r="BE693" s="182"/>
      <c r="BF693" s="182"/>
      <c r="BG693" s="182"/>
      <c r="BH693" s="182"/>
      <c r="BI693" s="182"/>
      <c r="BJ693" s="182"/>
      <c r="BK693" s="182"/>
      <c r="BL693" s="182"/>
      <c r="BM693" s="182"/>
      <c r="BN693" s="182"/>
      <c r="BO693" s="182"/>
      <c r="BP693" s="182"/>
      <c r="BQ693" s="182"/>
      <c r="BR693" s="182"/>
      <c r="BS693" s="182"/>
      <c r="BT693" s="182"/>
      <c r="BU693" s="182"/>
      <c r="BV693" s="182"/>
      <c r="BW693" s="182"/>
      <c r="BX693" s="182"/>
      <c r="BY693" s="182"/>
      <c r="BZ693" s="182"/>
      <c r="CA693" s="182"/>
      <c r="CB693" s="185">
        <f t="shared" si="117"/>
        <v>1500</v>
      </c>
      <c r="CC693" s="185">
        <f t="shared" si="118"/>
        <v>0</v>
      </c>
      <c r="CD693" s="185">
        <f t="shared" si="119"/>
        <v>1054</v>
      </c>
      <c r="CE693" s="185" t="e">
        <f>+#REF!</f>
        <v>#REF!</v>
      </c>
    </row>
    <row r="694" spans="2:83" s="197" customFormat="1" ht="37.5" x14ac:dyDescent="0.3">
      <c r="B694" s="182">
        <v>1939</v>
      </c>
      <c r="C694" s="182">
        <v>1055</v>
      </c>
      <c r="D694" s="182" t="s">
        <v>78</v>
      </c>
      <c r="E694" s="181" t="s">
        <v>4803</v>
      </c>
      <c r="F694" s="182"/>
      <c r="G694" s="182">
        <v>750</v>
      </c>
      <c r="H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  <c r="Z694" s="182"/>
      <c r="AA694" s="182"/>
      <c r="AB694" s="182"/>
      <c r="AC694" s="182"/>
      <c r="AD694" s="182"/>
      <c r="AE694" s="182"/>
      <c r="AF694" s="182"/>
      <c r="AG694" s="182"/>
      <c r="AH694" s="182"/>
      <c r="AI694" s="182"/>
      <c r="AJ694" s="182"/>
      <c r="AK694" s="182"/>
      <c r="AL694" s="182"/>
      <c r="AM694" s="182"/>
      <c r="AN694" s="182"/>
      <c r="AO694" s="182"/>
      <c r="AP694" s="182"/>
      <c r="AQ694" s="185">
        <f t="shared" si="116"/>
        <v>750</v>
      </c>
      <c r="AR694" s="182">
        <v>670.1</v>
      </c>
      <c r="AS694" s="182">
        <v>79.900000000000006</v>
      </c>
      <c r="AT694" s="182"/>
      <c r="AU694" s="182"/>
      <c r="AV694" s="182"/>
      <c r="AW694" s="182"/>
      <c r="AX694" s="182"/>
      <c r="AY694" s="182"/>
      <c r="AZ694" s="182"/>
      <c r="BA694" s="182"/>
      <c r="BB694" s="182"/>
      <c r="BC694" s="182"/>
      <c r="BD694" s="182"/>
      <c r="BE694" s="182"/>
      <c r="BF694" s="182"/>
      <c r="BG694" s="182"/>
      <c r="BH694" s="182"/>
      <c r="BI694" s="182"/>
      <c r="BJ694" s="182"/>
      <c r="BK694" s="182"/>
      <c r="BL694" s="182"/>
      <c r="BM694" s="182"/>
      <c r="BN694" s="182"/>
      <c r="BO694" s="182"/>
      <c r="BP694" s="182"/>
      <c r="BQ694" s="182"/>
      <c r="BR694" s="182"/>
      <c r="BS694" s="182"/>
      <c r="BT694" s="182"/>
      <c r="BU694" s="182"/>
      <c r="BV694" s="182"/>
      <c r="BW694" s="182"/>
      <c r="BX694" s="182"/>
      <c r="BY694" s="182"/>
      <c r="BZ694" s="182"/>
      <c r="CA694" s="182"/>
      <c r="CB694" s="185">
        <f t="shared" si="117"/>
        <v>750</v>
      </c>
      <c r="CC694" s="185">
        <f t="shared" si="118"/>
        <v>0</v>
      </c>
      <c r="CD694" s="185">
        <f t="shared" si="119"/>
        <v>1055</v>
      </c>
      <c r="CE694" s="185" t="e">
        <f>+#REF!</f>
        <v>#REF!</v>
      </c>
    </row>
    <row r="695" spans="2:83" s="197" customFormat="1" ht="56.25" x14ac:dyDescent="0.3">
      <c r="B695" s="182">
        <v>1979</v>
      </c>
      <c r="C695" s="182">
        <v>1056</v>
      </c>
      <c r="D695" s="182" t="s">
        <v>78</v>
      </c>
      <c r="E695" s="181" t="s">
        <v>4804</v>
      </c>
      <c r="F695" s="182"/>
      <c r="G695" s="182">
        <v>900</v>
      </c>
      <c r="H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  <c r="Z695" s="182"/>
      <c r="AA695" s="182"/>
      <c r="AB695" s="182"/>
      <c r="AC695" s="182"/>
      <c r="AD695" s="182"/>
      <c r="AE695" s="182"/>
      <c r="AF695" s="182"/>
      <c r="AG695" s="182"/>
      <c r="AH695" s="182"/>
      <c r="AI695" s="182"/>
      <c r="AJ695" s="182"/>
      <c r="AK695" s="182"/>
      <c r="AL695" s="182"/>
      <c r="AM695" s="182"/>
      <c r="AN695" s="182"/>
      <c r="AO695" s="182"/>
      <c r="AP695" s="182"/>
      <c r="AQ695" s="185">
        <f t="shared" si="116"/>
        <v>900</v>
      </c>
      <c r="AR695" s="182">
        <v>804.05</v>
      </c>
      <c r="AS695" s="182">
        <v>95.95</v>
      </c>
      <c r="AT695" s="182"/>
      <c r="AU695" s="182"/>
      <c r="AV695" s="182"/>
      <c r="AW695" s="182"/>
      <c r="AX695" s="182"/>
      <c r="AY695" s="182"/>
      <c r="AZ695" s="182"/>
      <c r="BA695" s="182"/>
      <c r="BB695" s="182"/>
      <c r="BC695" s="182"/>
      <c r="BD695" s="182"/>
      <c r="BE695" s="182"/>
      <c r="BF695" s="182"/>
      <c r="BG695" s="182"/>
      <c r="BH695" s="182"/>
      <c r="BI695" s="182"/>
      <c r="BJ695" s="182"/>
      <c r="BK695" s="182"/>
      <c r="BL695" s="182"/>
      <c r="BM695" s="182"/>
      <c r="BN695" s="182"/>
      <c r="BO695" s="182"/>
      <c r="BP695" s="182"/>
      <c r="BQ695" s="182"/>
      <c r="BR695" s="182"/>
      <c r="BS695" s="182"/>
      <c r="BT695" s="182"/>
      <c r="BU695" s="182"/>
      <c r="BV695" s="182"/>
      <c r="BW695" s="182"/>
      <c r="BX695" s="182"/>
      <c r="BY695" s="182"/>
      <c r="BZ695" s="182"/>
      <c r="CA695" s="182"/>
      <c r="CB695" s="185">
        <f t="shared" si="117"/>
        <v>900</v>
      </c>
      <c r="CC695" s="185">
        <f t="shared" si="118"/>
        <v>0</v>
      </c>
      <c r="CD695" s="185">
        <f t="shared" si="119"/>
        <v>1056</v>
      </c>
      <c r="CE695" s="185" t="e">
        <f>+#REF!</f>
        <v>#REF!</v>
      </c>
    </row>
    <row r="696" spans="2:83" s="197" customFormat="1" ht="56.25" x14ac:dyDescent="0.3">
      <c r="B696" s="182">
        <v>1980</v>
      </c>
      <c r="C696" s="182">
        <v>1057</v>
      </c>
      <c r="D696" s="182" t="s">
        <v>78</v>
      </c>
      <c r="E696" s="181" t="s">
        <v>4804</v>
      </c>
      <c r="F696" s="182"/>
      <c r="G696" s="182">
        <v>900</v>
      </c>
      <c r="H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  <c r="Z696" s="182"/>
      <c r="AA696" s="182"/>
      <c r="AB696" s="182"/>
      <c r="AC696" s="182"/>
      <c r="AD696" s="182"/>
      <c r="AE696" s="182"/>
      <c r="AF696" s="182"/>
      <c r="AG696" s="182"/>
      <c r="AH696" s="182"/>
      <c r="AI696" s="182"/>
      <c r="AJ696" s="182"/>
      <c r="AK696" s="182"/>
      <c r="AL696" s="182"/>
      <c r="AM696" s="182"/>
      <c r="AN696" s="182"/>
      <c r="AO696" s="182"/>
      <c r="AP696" s="182"/>
      <c r="AQ696" s="185">
        <f t="shared" si="116"/>
        <v>900</v>
      </c>
      <c r="AR696" s="182">
        <v>804.05</v>
      </c>
      <c r="AS696" s="182">
        <v>95.95</v>
      </c>
      <c r="AT696" s="182"/>
      <c r="AU696" s="182"/>
      <c r="AV696" s="182"/>
      <c r="AW696" s="182"/>
      <c r="AX696" s="182"/>
      <c r="AY696" s="182"/>
      <c r="AZ696" s="182"/>
      <c r="BA696" s="182"/>
      <c r="BB696" s="182"/>
      <c r="BC696" s="182"/>
      <c r="BD696" s="182"/>
      <c r="BE696" s="182"/>
      <c r="BF696" s="182"/>
      <c r="BG696" s="182"/>
      <c r="BH696" s="182"/>
      <c r="BI696" s="182"/>
      <c r="BJ696" s="182"/>
      <c r="BK696" s="182"/>
      <c r="BL696" s="182"/>
      <c r="BM696" s="182"/>
      <c r="BN696" s="182"/>
      <c r="BO696" s="182"/>
      <c r="BP696" s="182"/>
      <c r="BQ696" s="182"/>
      <c r="BR696" s="182"/>
      <c r="BS696" s="182"/>
      <c r="BT696" s="182"/>
      <c r="BU696" s="182"/>
      <c r="BV696" s="182"/>
      <c r="BW696" s="182"/>
      <c r="BX696" s="182"/>
      <c r="BY696" s="182"/>
      <c r="BZ696" s="182"/>
      <c r="CA696" s="182"/>
      <c r="CB696" s="185">
        <f t="shared" si="117"/>
        <v>900</v>
      </c>
      <c r="CC696" s="185">
        <f t="shared" si="118"/>
        <v>0</v>
      </c>
      <c r="CD696" s="185">
        <f t="shared" si="119"/>
        <v>1057</v>
      </c>
      <c r="CE696" s="185" t="e">
        <f>+#REF!</f>
        <v>#REF!</v>
      </c>
    </row>
    <row r="697" spans="2:83" s="197" customFormat="1" ht="56.25" x14ac:dyDescent="0.3">
      <c r="B697" s="182">
        <v>1981</v>
      </c>
      <c r="C697" s="182">
        <v>1058</v>
      </c>
      <c r="D697" s="182" t="s">
        <v>78</v>
      </c>
      <c r="E697" s="181" t="s">
        <v>4804</v>
      </c>
      <c r="F697" s="182"/>
      <c r="G697" s="182">
        <v>4900</v>
      </c>
      <c r="H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  <c r="Z697" s="182"/>
      <c r="AA697" s="182"/>
      <c r="AB697" s="182"/>
      <c r="AC697" s="182"/>
      <c r="AD697" s="182"/>
      <c r="AE697" s="182"/>
      <c r="AF697" s="182"/>
      <c r="AG697" s="182"/>
      <c r="AH697" s="182"/>
      <c r="AI697" s="182"/>
      <c r="AJ697" s="182"/>
      <c r="AK697" s="182"/>
      <c r="AL697" s="182"/>
      <c r="AM697" s="182"/>
      <c r="AN697" s="182"/>
      <c r="AO697" s="182"/>
      <c r="AP697" s="182"/>
      <c r="AQ697" s="185">
        <f t="shared" si="116"/>
        <v>4900</v>
      </c>
      <c r="AR697" s="182">
        <v>4376.25</v>
      </c>
      <c r="AS697" s="182">
        <v>523.75</v>
      </c>
      <c r="AT697" s="182"/>
      <c r="AU697" s="182"/>
      <c r="AV697" s="182"/>
      <c r="AW697" s="182"/>
      <c r="AX697" s="182"/>
      <c r="AY697" s="182"/>
      <c r="AZ697" s="182"/>
      <c r="BA697" s="182"/>
      <c r="BB697" s="182"/>
      <c r="BC697" s="182"/>
      <c r="BD697" s="182"/>
      <c r="BE697" s="182"/>
      <c r="BF697" s="182"/>
      <c r="BG697" s="182"/>
      <c r="BH697" s="182"/>
      <c r="BI697" s="182"/>
      <c r="BJ697" s="182"/>
      <c r="BK697" s="182"/>
      <c r="BL697" s="182"/>
      <c r="BM697" s="182"/>
      <c r="BN697" s="182"/>
      <c r="BO697" s="182"/>
      <c r="BP697" s="182"/>
      <c r="BQ697" s="182"/>
      <c r="BR697" s="182"/>
      <c r="BS697" s="182"/>
      <c r="BT697" s="182"/>
      <c r="BU697" s="182"/>
      <c r="BV697" s="182"/>
      <c r="BW697" s="182"/>
      <c r="BX697" s="182"/>
      <c r="BY697" s="182"/>
      <c r="BZ697" s="182"/>
      <c r="CA697" s="182"/>
      <c r="CB697" s="185">
        <f t="shared" si="117"/>
        <v>4900</v>
      </c>
      <c r="CC697" s="185">
        <f t="shared" si="118"/>
        <v>0</v>
      </c>
      <c r="CD697" s="185">
        <f t="shared" si="119"/>
        <v>1058</v>
      </c>
      <c r="CE697" s="185" t="e">
        <f>+#REF!</f>
        <v>#REF!</v>
      </c>
    </row>
    <row r="698" spans="2:83" s="197" customFormat="1" ht="56.25" x14ac:dyDescent="0.3">
      <c r="B698" s="182">
        <v>1983</v>
      </c>
      <c r="C698" s="182">
        <v>1059</v>
      </c>
      <c r="D698" s="182" t="s">
        <v>78</v>
      </c>
      <c r="E698" s="181" t="s">
        <v>4805</v>
      </c>
      <c r="F698" s="182"/>
      <c r="G698" s="182">
        <v>2000</v>
      </c>
      <c r="H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  <c r="Z698" s="182"/>
      <c r="AA698" s="182"/>
      <c r="AB698" s="182"/>
      <c r="AC698" s="182"/>
      <c r="AD698" s="182"/>
      <c r="AE698" s="182"/>
      <c r="AF698" s="182"/>
      <c r="AG698" s="182"/>
      <c r="AH698" s="182"/>
      <c r="AI698" s="182"/>
      <c r="AJ698" s="182"/>
      <c r="AK698" s="182"/>
      <c r="AL698" s="182"/>
      <c r="AM698" s="182"/>
      <c r="AN698" s="182"/>
      <c r="AO698" s="182"/>
      <c r="AP698" s="182"/>
      <c r="AQ698" s="185">
        <f t="shared" si="116"/>
        <v>2000</v>
      </c>
      <c r="AR698" s="182">
        <v>1788.2</v>
      </c>
      <c r="AS698" s="182">
        <v>211.8</v>
      </c>
      <c r="AT698" s="182"/>
      <c r="AU698" s="182"/>
      <c r="AV698" s="182"/>
      <c r="AW698" s="182"/>
      <c r="AX698" s="182"/>
      <c r="AY698" s="182"/>
      <c r="AZ698" s="182"/>
      <c r="BA698" s="182"/>
      <c r="BB698" s="182"/>
      <c r="BC698" s="182"/>
      <c r="BD698" s="182"/>
      <c r="BE698" s="182"/>
      <c r="BF698" s="182"/>
      <c r="BG698" s="182"/>
      <c r="BH698" s="182"/>
      <c r="BI698" s="182"/>
      <c r="BJ698" s="182"/>
      <c r="BK698" s="182"/>
      <c r="BL698" s="182"/>
      <c r="BM698" s="182"/>
      <c r="BN698" s="182"/>
      <c r="BO698" s="182"/>
      <c r="BP698" s="182"/>
      <c r="BQ698" s="182"/>
      <c r="BR698" s="182"/>
      <c r="BS698" s="182"/>
      <c r="BT698" s="182"/>
      <c r="BU698" s="182"/>
      <c r="BV698" s="182"/>
      <c r="BW698" s="182"/>
      <c r="BX698" s="182"/>
      <c r="BY698" s="182"/>
      <c r="BZ698" s="182"/>
      <c r="CA698" s="182"/>
      <c r="CB698" s="185">
        <f t="shared" si="117"/>
        <v>2000</v>
      </c>
      <c r="CC698" s="185">
        <f t="shared" si="118"/>
        <v>0</v>
      </c>
      <c r="CD698" s="185">
        <f t="shared" si="119"/>
        <v>1059</v>
      </c>
      <c r="CE698" s="185" t="e">
        <f>+#REF!</f>
        <v>#REF!</v>
      </c>
    </row>
    <row r="699" spans="2:83" s="197" customFormat="1" ht="56.25" x14ac:dyDescent="0.3">
      <c r="B699" s="182">
        <v>1985</v>
      </c>
      <c r="C699" s="182">
        <v>1060</v>
      </c>
      <c r="D699" s="182" t="s">
        <v>78</v>
      </c>
      <c r="E699" s="181" t="str">
        <f>+E696</f>
        <v>ج للقائمين على الامتحان بقسم تنميه معمل مهارات</v>
      </c>
      <c r="F699" s="182"/>
      <c r="G699" s="182">
        <v>13878.22</v>
      </c>
      <c r="H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  <c r="Z699" s="182"/>
      <c r="AA699" s="182"/>
      <c r="AB699" s="182"/>
      <c r="AC699" s="182"/>
      <c r="AD699" s="182"/>
      <c r="AE699" s="182"/>
      <c r="AF699" s="182"/>
      <c r="AG699" s="182"/>
      <c r="AH699" s="182"/>
      <c r="AI699" s="182"/>
      <c r="AJ699" s="182"/>
      <c r="AK699" s="182"/>
      <c r="AL699" s="182"/>
      <c r="AM699" s="182"/>
      <c r="AN699" s="182"/>
      <c r="AO699" s="182"/>
      <c r="AP699" s="182"/>
      <c r="AQ699" s="185">
        <f t="shared" si="116"/>
        <v>13878.22</v>
      </c>
      <c r="AR699" s="182">
        <v>12055.68</v>
      </c>
      <c r="AS699" s="182">
        <v>1448.8</v>
      </c>
      <c r="AT699" s="182">
        <v>373.74</v>
      </c>
      <c r="AU699" s="182"/>
      <c r="AV699" s="182"/>
      <c r="AW699" s="182"/>
      <c r="AX699" s="182"/>
      <c r="AY699" s="182"/>
      <c r="AZ699" s="182"/>
      <c r="BA699" s="182"/>
      <c r="BB699" s="182"/>
      <c r="BC699" s="182"/>
      <c r="BD699" s="182"/>
      <c r="BE699" s="182"/>
      <c r="BF699" s="182"/>
      <c r="BG699" s="182"/>
      <c r="BH699" s="182"/>
      <c r="BI699" s="182"/>
      <c r="BJ699" s="182"/>
      <c r="BK699" s="182"/>
      <c r="BL699" s="182"/>
      <c r="BM699" s="182"/>
      <c r="BN699" s="182"/>
      <c r="BO699" s="182"/>
      <c r="BP699" s="182"/>
      <c r="BQ699" s="182"/>
      <c r="BR699" s="182"/>
      <c r="BS699" s="182"/>
      <c r="BT699" s="182"/>
      <c r="BU699" s="182"/>
      <c r="BV699" s="182"/>
      <c r="BW699" s="182"/>
      <c r="BX699" s="182"/>
      <c r="BY699" s="182"/>
      <c r="BZ699" s="182"/>
      <c r="CA699" s="182"/>
      <c r="CB699" s="185">
        <f t="shared" si="117"/>
        <v>13878.22</v>
      </c>
      <c r="CC699" s="185">
        <f t="shared" si="118"/>
        <v>0</v>
      </c>
      <c r="CD699" s="185">
        <f t="shared" si="119"/>
        <v>1060</v>
      </c>
      <c r="CE699" s="185" t="e">
        <f>+#REF!</f>
        <v>#REF!</v>
      </c>
    </row>
    <row r="700" spans="2:83" s="197" customFormat="1" ht="56.25" x14ac:dyDescent="0.3">
      <c r="B700" s="182">
        <v>1984</v>
      </c>
      <c r="C700" s="182">
        <v>1061</v>
      </c>
      <c r="D700" s="182" t="s">
        <v>78</v>
      </c>
      <c r="E700" s="181" t="str">
        <f>+E699</f>
        <v>ج للقائمين على الامتحان بقسم تنميه معمل مهارات</v>
      </c>
      <c r="F700" s="182"/>
      <c r="G700" s="182">
        <v>2100</v>
      </c>
      <c r="H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  <c r="Z700" s="182"/>
      <c r="AA700" s="182"/>
      <c r="AB700" s="182"/>
      <c r="AC700" s="182"/>
      <c r="AD700" s="182"/>
      <c r="AE700" s="182"/>
      <c r="AF700" s="182"/>
      <c r="AG700" s="182"/>
      <c r="AH700" s="182"/>
      <c r="AI700" s="182"/>
      <c r="AJ700" s="182"/>
      <c r="AK700" s="182"/>
      <c r="AL700" s="182"/>
      <c r="AM700" s="182"/>
      <c r="AN700" s="182"/>
      <c r="AO700" s="182"/>
      <c r="AP700" s="182"/>
      <c r="AQ700" s="185">
        <f t="shared" si="116"/>
        <v>2100</v>
      </c>
      <c r="AR700" s="182">
        <v>1878.25</v>
      </c>
      <c r="AS700" s="182">
        <v>221.75</v>
      </c>
      <c r="AT700" s="182"/>
      <c r="AU700" s="182"/>
      <c r="AV700" s="182"/>
      <c r="AW700" s="182"/>
      <c r="AX700" s="182"/>
      <c r="AY700" s="182"/>
      <c r="AZ700" s="182"/>
      <c r="BA700" s="182"/>
      <c r="BB700" s="182"/>
      <c r="BC700" s="182"/>
      <c r="BD700" s="182"/>
      <c r="BE700" s="182"/>
      <c r="BF700" s="182"/>
      <c r="BG700" s="182"/>
      <c r="BH700" s="182"/>
      <c r="BI700" s="182"/>
      <c r="BJ700" s="182"/>
      <c r="BK700" s="182"/>
      <c r="BL700" s="182"/>
      <c r="BM700" s="182"/>
      <c r="BN700" s="182"/>
      <c r="BO700" s="182"/>
      <c r="BP700" s="182"/>
      <c r="BQ700" s="182"/>
      <c r="BR700" s="182"/>
      <c r="BS700" s="182"/>
      <c r="BT700" s="182"/>
      <c r="BU700" s="182"/>
      <c r="BV700" s="182"/>
      <c r="BW700" s="182"/>
      <c r="BX700" s="182"/>
      <c r="BY700" s="182"/>
      <c r="BZ700" s="182"/>
      <c r="CA700" s="182"/>
      <c r="CB700" s="185">
        <f t="shared" si="117"/>
        <v>2100</v>
      </c>
      <c r="CC700" s="185">
        <f t="shared" si="118"/>
        <v>0</v>
      </c>
      <c r="CD700" s="185">
        <f t="shared" si="119"/>
        <v>1061</v>
      </c>
      <c r="CE700" s="185" t="e">
        <f>+#REF!</f>
        <v>#REF!</v>
      </c>
    </row>
    <row r="701" spans="2:83" s="197" customFormat="1" ht="37.5" x14ac:dyDescent="0.3">
      <c r="B701" s="182">
        <v>1949</v>
      </c>
      <c r="C701" s="182">
        <v>1062</v>
      </c>
      <c r="D701" s="182" t="s">
        <v>78</v>
      </c>
      <c r="E701" s="181" t="s">
        <v>4806</v>
      </c>
      <c r="F701" s="182"/>
      <c r="G701" s="182">
        <v>820.75</v>
      </c>
      <c r="H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  <c r="Z701" s="182"/>
      <c r="AA701" s="182"/>
      <c r="AB701" s="182"/>
      <c r="AC701" s="182"/>
      <c r="AD701" s="182"/>
      <c r="AE701" s="182"/>
      <c r="AF701" s="182"/>
      <c r="AG701" s="182"/>
      <c r="AH701" s="182"/>
      <c r="AI701" s="182"/>
      <c r="AJ701" s="182"/>
      <c r="AK701" s="182"/>
      <c r="AL701" s="182"/>
      <c r="AM701" s="182"/>
      <c r="AN701" s="182"/>
      <c r="AO701" s="182"/>
      <c r="AP701" s="182"/>
      <c r="AQ701" s="185">
        <f t="shared" si="116"/>
        <v>820.75</v>
      </c>
      <c r="AR701" s="182">
        <v>548.95000000000005</v>
      </c>
      <c r="AS701" s="182">
        <v>74.05</v>
      </c>
      <c r="AT701" s="182">
        <v>197.75</v>
      </c>
      <c r="AU701" s="182"/>
      <c r="AV701" s="182"/>
      <c r="AW701" s="182"/>
      <c r="AX701" s="182"/>
      <c r="AY701" s="182"/>
      <c r="AZ701" s="182"/>
      <c r="BA701" s="182"/>
      <c r="BB701" s="182"/>
      <c r="BC701" s="182"/>
      <c r="BD701" s="182"/>
      <c r="BE701" s="182"/>
      <c r="BF701" s="182"/>
      <c r="BG701" s="182"/>
      <c r="BH701" s="182"/>
      <c r="BI701" s="182"/>
      <c r="BJ701" s="182"/>
      <c r="BK701" s="182"/>
      <c r="BL701" s="182"/>
      <c r="BM701" s="182"/>
      <c r="BN701" s="182"/>
      <c r="BO701" s="182"/>
      <c r="BP701" s="182"/>
      <c r="BQ701" s="182"/>
      <c r="BR701" s="182"/>
      <c r="BS701" s="182"/>
      <c r="BT701" s="182"/>
      <c r="BU701" s="182"/>
      <c r="BV701" s="182"/>
      <c r="BW701" s="182"/>
      <c r="BX701" s="182"/>
      <c r="BY701" s="182"/>
      <c r="BZ701" s="182"/>
      <c r="CA701" s="182"/>
      <c r="CB701" s="185">
        <f t="shared" si="117"/>
        <v>820.75</v>
      </c>
      <c r="CC701" s="185">
        <f t="shared" si="118"/>
        <v>0</v>
      </c>
      <c r="CD701" s="185">
        <f t="shared" si="119"/>
        <v>1062</v>
      </c>
      <c r="CE701" s="185" t="e">
        <f>+#REF!</f>
        <v>#REF!</v>
      </c>
    </row>
    <row r="702" spans="2:83" s="197" customFormat="1" ht="37.5" x14ac:dyDescent="0.3">
      <c r="B702" s="182">
        <v>1982</v>
      </c>
      <c r="C702" s="182">
        <v>1063</v>
      </c>
      <c r="D702" s="182" t="s">
        <v>78</v>
      </c>
      <c r="E702" s="181" t="s">
        <v>4806</v>
      </c>
      <c r="F702" s="182"/>
      <c r="G702" s="182">
        <v>4300</v>
      </c>
      <c r="H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2"/>
      <c r="AH702" s="182"/>
      <c r="AI702" s="182"/>
      <c r="AJ702" s="182"/>
      <c r="AK702" s="182"/>
      <c r="AL702" s="182"/>
      <c r="AM702" s="182"/>
      <c r="AN702" s="182"/>
      <c r="AO702" s="182"/>
      <c r="AP702" s="182"/>
      <c r="AQ702" s="185">
        <f t="shared" si="116"/>
        <v>4300</v>
      </c>
      <c r="AR702" s="182">
        <v>3842</v>
      </c>
      <c r="AS702" s="182">
        <v>458</v>
      </c>
      <c r="AT702" s="182"/>
      <c r="AU702" s="182"/>
      <c r="AV702" s="182"/>
      <c r="AW702" s="182"/>
      <c r="AX702" s="182"/>
      <c r="AY702" s="182"/>
      <c r="AZ702" s="182"/>
      <c r="BA702" s="182"/>
      <c r="BB702" s="182"/>
      <c r="BC702" s="182"/>
      <c r="BD702" s="182"/>
      <c r="BE702" s="182"/>
      <c r="BF702" s="182"/>
      <c r="BG702" s="182"/>
      <c r="BH702" s="182"/>
      <c r="BI702" s="182"/>
      <c r="BJ702" s="182"/>
      <c r="BK702" s="182"/>
      <c r="BL702" s="182"/>
      <c r="BM702" s="182"/>
      <c r="BN702" s="182"/>
      <c r="BO702" s="182"/>
      <c r="BP702" s="182"/>
      <c r="BQ702" s="182"/>
      <c r="BR702" s="182"/>
      <c r="BS702" s="182"/>
      <c r="BT702" s="182"/>
      <c r="BU702" s="182"/>
      <c r="BV702" s="182"/>
      <c r="BW702" s="182"/>
      <c r="BX702" s="182"/>
      <c r="BY702" s="182"/>
      <c r="BZ702" s="182"/>
      <c r="CA702" s="182"/>
      <c r="CB702" s="185">
        <f t="shared" si="117"/>
        <v>4300</v>
      </c>
      <c r="CC702" s="185">
        <f t="shared" si="118"/>
        <v>0</v>
      </c>
      <c r="CD702" s="185">
        <f t="shared" si="119"/>
        <v>1063</v>
      </c>
      <c r="CE702" s="185" t="e">
        <f>+#REF!</f>
        <v>#REF!</v>
      </c>
    </row>
    <row r="703" spans="2:83" s="197" customFormat="1" ht="37.5" x14ac:dyDescent="0.3">
      <c r="B703" s="182">
        <v>1899</v>
      </c>
      <c r="C703" s="182">
        <v>1064</v>
      </c>
      <c r="D703" s="182" t="s">
        <v>78</v>
      </c>
      <c r="E703" s="181" t="s">
        <v>1386</v>
      </c>
      <c r="F703" s="182"/>
      <c r="G703" s="182">
        <v>228.64</v>
      </c>
      <c r="H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  <c r="Z703" s="182"/>
      <c r="AA703" s="182"/>
      <c r="AB703" s="182"/>
      <c r="AC703" s="182"/>
      <c r="AD703" s="182"/>
      <c r="AE703" s="182"/>
      <c r="AF703" s="182"/>
      <c r="AG703" s="182"/>
      <c r="AH703" s="182"/>
      <c r="AI703" s="182"/>
      <c r="AJ703" s="182"/>
      <c r="AK703" s="182"/>
      <c r="AL703" s="182"/>
      <c r="AM703" s="182"/>
      <c r="AN703" s="182"/>
      <c r="AO703" s="182"/>
      <c r="AP703" s="182"/>
      <c r="AQ703" s="185">
        <f t="shared" si="116"/>
        <v>228.64</v>
      </c>
      <c r="AR703" s="182">
        <v>153.30000000000001</v>
      </c>
      <c r="AS703" s="182">
        <v>20.25</v>
      </c>
      <c r="AT703" s="182">
        <v>55.09</v>
      </c>
      <c r="AU703" s="182"/>
      <c r="AV703" s="182"/>
      <c r="AW703" s="182"/>
      <c r="AX703" s="182"/>
      <c r="AY703" s="182"/>
      <c r="AZ703" s="182"/>
      <c r="BA703" s="182"/>
      <c r="BB703" s="182"/>
      <c r="BC703" s="182"/>
      <c r="BD703" s="182"/>
      <c r="BE703" s="182"/>
      <c r="BF703" s="182"/>
      <c r="BG703" s="182"/>
      <c r="BH703" s="182"/>
      <c r="BI703" s="182"/>
      <c r="BJ703" s="182"/>
      <c r="BK703" s="182"/>
      <c r="BL703" s="182"/>
      <c r="BM703" s="182"/>
      <c r="BN703" s="182"/>
      <c r="BO703" s="182"/>
      <c r="BP703" s="182"/>
      <c r="BQ703" s="182"/>
      <c r="BR703" s="182"/>
      <c r="BS703" s="182"/>
      <c r="BT703" s="182"/>
      <c r="BU703" s="182"/>
      <c r="BV703" s="182"/>
      <c r="BW703" s="182"/>
      <c r="BX703" s="182"/>
      <c r="BY703" s="182"/>
      <c r="BZ703" s="182"/>
      <c r="CA703" s="182"/>
      <c r="CB703" s="185">
        <f t="shared" si="117"/>
        <v>228.64000000000001</v>
      </c>
      <c r="CC703" s="185">
        <f t="shared" si="118"/>
        <v>0</v>
      </c>
      <c r="CD703" s="185">
        <f t="shared" si="119"/>
        <v>1064</v>
      </c>
      <c r="CE703" s="185" t="e">
        <f>+#REF!</f>
        <v>#REF!</v>
      </c>
    </row>
    <row r="704" spans="2:83" s="197" customFormat="1" ht="37.5" x14ac:dyDescent="0.3">
      <c r="B704" s="182">
        <v>1967</v>
      </c>
      <c r="C704" s="182">
        <v>1065</v>
      </c>
      <c r="D704" s="182" t="s">
        <v>78</v>
      </c>
      <c r="E704" s="181" t="s">
        <v>1929</v>
      </c>
      <c r="F704" s="182"/>
      <c r="G704" s="182">
        <v>351.75</v>
      </c>
      <c r="H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  <c r="Z704" s="182"/>
      <c r="AA704" s="182"/>
      <c r="AB704" s="182"/>
      <c r="AC704" s="182"/>
      <c r="AD704" s="182"/>
      <c r="AE704" s="182"/>
      <c r="AF704" s="182"/>
      <c r="AG704" s="182"/>
      <c r="AH704" s="182"/>
      <c r="AI704" s="182"/>
      <c r="AJ704" s="182"/>
      <c r="AK704" s="182"/>
      <c r="AL704" s="182"/>
      <c r="AM704" s="182"/>
      <c r="AN704" s="182"/>
      <c r="AO704" s="182"/>
      <c r="AP704" s="182"/>
      <c r="AQ704" s="185">
        <f t="shared" si="116"/>
        <v>351.75</v>
      </c>
      <c r="AR704" s="182">
        <v>235.35</v>
      </c>
      <c r="AS704" s="182">
        <f>1.65+30</f>
        <v>31.65</v>
      </c>
      <c r="AT704" s="182">
        <f>116.4-AS704</f>
        <v>84.75</v>
      </c>
      <c r="AU704" s="182"/>
      <c r="AV704" s="182"/>
      <c r="AW704" s="182"/>
      <c r="AX704" s="182"/>
      <c r="AY704" s="182"/>
      <c r="AZ704" s="182"/>
      <c r="BA704" s="182"/>
      <c r="BB704" s="182"/>
      <c r="BC704" s="182"/>
      <c r="BD704" s="182"/>
      <c r="BE704" s="182"/>
      <c r="BF704" s="182"/>
      <c r="BG704" s="182"/>
      <c r="BH704" s="182"/>
      <c r="BI704" s="182"/>
      <c r="BJ704" s="182"/>
      <c r="BK704" s="182"/>
      <c r="BL704" s="182"/>
      <c r="BM704" s="182"/>
      <c r="BN704" s="182"/>
      <c r="BO704" s="182"/>
      <c r="BP704" s="182"/>
      <c r="BQ704" s="182"/>
      <c r="BR704" s="182"/>
      <c r="BS704" s="182"/>
      <c r="BT704" s="182"/>
      <c r="BU704" s="182"/>
      <c r="BV704" s="182"/>
      <c r="BW704" s="182"/>
      <c r="BX704" s="182"/>
      <c r="BY704" s="182"/>
      <c r="BZ704" s="182"/>
      <c r="CA704" s="182"/>
      <c r="CB704" s="185">
        <f t="shared" si="117"/>
        <v>351.75</v>
      </c>
      <c r="CC704" s="185">
        <f t="shared" si="118"/>
        <v>0</v>
      </c>
      <c r="CD704" s="185">
        <f t="shared" si="119"/>
        <v>1065</v>
      </c>
      <c r="CE704" s="185" t="e">
        <f>+#REF!</f>
        <v>#REF!</v>
      </c>
    </row>
    <row r="705" spans="2:83" s="197" customFormat="1" ht="37.5" x14ac:dyDescent="0.3">
      <c r="B705" s="182">
        <v>1895</v>
      </c>
      <c r="C705" s="182">
        <v>1066</v>
      </c>
      <c r="D705" s="182" t="s">
        <v>78</v>
      </c>
      <c r="E705" s="181" t="s">
        <v>1250</v>
      </c>
      <c r="F705" s="182"/>
      <c r="G705" s="182">
        <v>39850.74</v>
      </c>
      <c r="H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  <c r="Z705" s="182"/>
      <c r="AA705" s="182"/>
      <c r="AB705" s="182"/>
      <c r="AC705" s="182"/>
      <c r="AD705" s="182"/>
      <c r="AE705" s="182"/>
      <c r="AF705" s="182"/>
      <c r="AG705" s="182"/>
      <c r="AH705" s="182"/>
      <c r="AI705" s="182"/>
      <c r="AJ705" s="182"/>
      <c r="AK705" s="182"/>
      <c r="AL705" s="182"/>
      <c r="AM705" s="182"/>
      <c r="AN705" s="182"/>
      <c r="AO705" s="182"/>
      <c r="AP705" s="182"/>
      <c r="AQ705" s="185">
        <f t="shared" si="116"/>
        <v>39850.74</v>
      </c>
      <c r="AR705" s="182">
        <v>35013.97</v>
      </c>
      <c r="AS705" s="182">
        <v>4205.05</v>
      </c>
      <c r="AT705" s="182">
        <v>631.72</v>
      </c>
      <c r="AU705" s="182"/>
      <c r="AV705" s="182"/>
      <c r="AW705" s="182"/>
      <c r="AX705" s="182"/>
      <c r="AY705" s="182"/>
      <c r="AZ705" s="182"/>
      <c r="BA705" s="182"/>
      <c r="BB705" s="182"/>
      <c r="BC705" s="182"/>
      <c r="BD705" s="182"/>
      <c r="BE705" s="182"/>
      <c r="BF705" s="182"/>
      <c r="BG705" s="182"/>
      <c r="BH705" s="182"/>
      <c r="BI705" s="182"/>
      <c r="BJ705" s="182"/>
      <c r="BK705" s="182"/>
      <c r="BL705" s="182"/>
      <c r="BM705" s="182"/>
      <c r="BN705" s="182"/>
      <c r="BO705" s="182"/>
      <c r="BP705" s="182"/>
      <c r="BQ705" s="182"/>
      <c r="BR705" s="182"/>
      <c r="BS705" s="182"/>
      <c r="BT705" s="182"/>
      <c r="BU705" s="182"/>
      <c r="BV705" s="182"/>
      <c r="BW705" s="182"/>
      <c r="BX705" s="182"/>
      <c r="BY705" s="182"/>
      <c r="BZ705" s="182"/>
      <c r="CA705" s="182"/>
      <c r="CB705" s="185">
        <f t="shared" si="117"/>
        <v>39850.740000000005</v>
      </c>
      <c r="CC705" s="185">
        <f t="shared" si="118"/>
        <v>0</v>
      </c>
      <c r="CD705" s="185">
        <f t="shared" si="119"/>
        <v>1066</v>
      </c>
      <c r="CE705" s="185" t="e">
        <f>+#REF!</f>
        <v>#REF!</v>
      </c>
    </row>
    <row r="706" spans="2:83" s="197" customFormat="1" ht="37.5" x14ac:dyDescent="0.3">
      <c r="B706" s="182">
        <v>1897</v>
      </c>
      <c r="C706" s="182">
        <v>1067</v>
      </c>
      <c r="D706" s="182" t="s">
        <v>78</v>
      </c>
      <c r="E706" s="181" t="s">
        <v>1250</v>
      </c>
      <c r="F706" s="182"/>
      <c r="G706" s="182">
        <v>3640.62</v>
      </c>
      <c r="H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  <c r="Z706" s="182"/>
      <c r="AA706" s="182"/>
      <c r="AB706" s="182"/>
      <c r="AC706" s="182"/>
      <c r="AD706" s="182"/>
      <c r="AE706" s="182"/>
      <c r="AF706" s="182"/>
      <c r="AG706" s="182"/>
      <c r="AH706" s="182"/>
      <c r="AI706" s="182"/>
      <c r="AJ706" s="182"/>
      <c r="AK706" s="182"/>
      <c r="AL706" s="182"/>
      <c r="AM706" s="182"/>
      <c r="AN706" s="182"/>
      <c r="AO706" s="182"/>
      <c r="AP706" s="182"/>
      <c r="AQ706" s="185">
        <f t="shared" si="116"/>
        <v>3640.62</v>
      </c>
      <c r="AR706" s="182">
        <v>2433.85</v>
      </c>
      <c r="AS706" s="182">
        <v>329.6</v>
      </c>
      <c r="AT706" s="182">
        <v>877.17</v>
      </c>
      <c r="AU706" s="182"/>
      <c r="AV706" s="182"/>
      <c r="AW706" s="182"/>
      <c r="AX706" s="182"/>
      <c r="AY706" s="182"/>
      <c r="AZ706" s="182"/>
      <c r="BA706" s="182"/>
      <c r="BB706" s="182"/>
      <c r="BC706" s="182"/>
      <c r="BD706" s="182"/>
      <c r="BE706" s="182"/>
      <c r="BF706" s="182"/>
      <c r="BG706" s="182"/>
      <c r="BH706" s="182"/>
      <c r="BI706" s="182"/>
      <c r="BJ706" s="182"/>
      <c r="BK706" s="182"/>
      <c r="BL706" s="182"/>
      <c r="BM706" s="182"/>
      <c r="BN706" s="182"/>
      <c r="BO706" s="182"/>
      <c r="BP706" s="182"/>
      <c r="BQ706" s="182"/>
      <c r="BR706" s="182"/>
      <c r="BS706" s="182"/>
      <c r="BT706" s="182"/>
      <c r="BU706" s="182"/>
      <c r="BV706" s="182"/>
      <c r="BW706" s="182"/>
      <c r="BX706" s="182"/>
      <c r="BY706" s="182"/>
      <c r="BZ706" s="182"/>
      <c r="CA706" s="182"/>
      <c r="CB706" s="185">
        <f t="shared" si="117"/>
        <v>3640.62</v>
      </c>
      <c r="CC706" s="185">
        <f t="shared" si="118"/>
        <v>0</v>
      </c>
      <c r="CD706" s="185">
        <f t="shared" si="119"/>
        <v>1067</v>
      </c>
      <c r="CE706" s="185" t="e">
        <f>+#REF!</f>
        <v>#REF!</v>
      </c>
    </row>
    <row r="707" spans="2:83" s="197" customFormat="1" ht="37.5" x14ac:dyDescent="0.3">
      <c r="B707" s="182">
        <v>1896</v>
      </c>
      <c r="C707" s="182">
        <v>1068</v>
      </c>
      <c r="D707" s="182" t="s">
        <v>78</v>
      </c>
      <c r="E707" s="181" t="s">
        <v>1250</v>
      </c>
      <c r="F707" s="182"/>
      <c r="G707" s="182">
        <v>2703.15</v>
      </c>
      <c r="H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2"/>
      <c r="AH707" s="182"/>
      <c r="AI707" s="182"/>
      <c r="AJ707" s="182"/>
      <c r="AK707" s="182"/>
      <c r="AL707" s="182"/>
      <c r="AM707" s="182"/>
      <c r="AN707" s="182"/>
      <c r="AO707" s="182"/>
      <c r="AP707" s="182"/>
      <c r="AQ707" s="185">
        <f t="shared" si="116"/>
        <v>2703.15</v>
      </c>
      <c r="AR707" s="182">
        <v>2273</v>
      </c>
      <c r="AS707" s="182">
        <v>277.60000000000002</v>
      </c>
      <c r="AT707" s="182">
        <v>152.55000000000001</v>
      </c>
      <c r="AU707" s="182"/>
      <c r="AV707" s="182"/>
      <c r="AW707" s="182"/>
      <c r="AX707" s="182"/>
      <c r="AY707" s="182"/>
      <c r="AZ707" s="182"/>
      <c r="BA707" s="182"/>
      <c r="BB707" s="182"/>
      <c r="BC707" s="182"/>
      <c r="BD707" s="182"/>
      <c r="BE707" s="182"/>
      <c r="BF707" s="182"/>
      <c r="BG707" s="182"/>
      <c r="BH707" s="182"/>
      <c r="BI707" s="182"/>
      <c r="BJ707" s="182"/>
      <c r="BK707" s="182"/>
      <c r="BL707" s="182"/>
      <c r="BM707" s="182"/>
      <c r="BN707" s="182"/>
      <c r="BO707" s="182"/>
      <c r="BP707" s="182"/>
      <c r="BQ707" s="182"/>
      <c r="BR707" s="182"/>
      <c r="BS707" s="182"/>
      <c r="BT707" s="182"/>
      <c r="BU707" s="182"/>
      <c r="BV707" s="182"/>
      <c r="BW707" s="182"/>
      <c r="BX707" s="182"/>
      <c r="BY707" s="182"/>
      <c r="BZ707" s="182"/>
      <c r="CA707" s="182"/>
      <c r="CB707" s="185">
        <f t="shared" si="117"/>
        <v>2703.15</v>
      </c>
      <c r="CC707" s="185">
        <f t="shared" si="118"/>
        <v>0</v>
      </c>
      <c r="CD707" s="185">
        <f t="shared" si="119"/>
        <v>1068</v>
      </c>
      <c r="CE707" s="185" t="e">
        <f>+#REF!</f>
        <v>#REF!</v>
      </c>
    </row>
    <row r="708" spans="2:83" s="197" customFormat="1" ht="37.5" x14ac:dyDescent="0.3">
      <c r="B708" s="182">
        <v>1894</v>
      </c>
      <c r="C708" s="182">
        <v>1069</v>
      </c>
      <c r="D708" s="182" t="s">
        <v>78</v>
      </c>
      <c r="E708" s="181" t="s">
        <v>1250</v>
      </c>
      <c r="F708" s="182"/>
      <c r="G708" s="182">
        <v>422.1</v>
      </c>
      <c r="H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2"/>
      <c r="AH708" s="182"/>
      <c r="AI708" s="182"/>
      <c r="AJ708" s="182"/>
      <c r="AK708" s="182"/>
      <c r="AL708" s="182"/>
      <c r="AM708" s="182"/>
      <c r="AN708" s="182"/>
      <c r="AO708" s="182"/>
      <c r="AP708" s="182"/>
      <c r="AQ708" s="185">
        <f t="shared" ref="AQ708:AQ739" si="120">SUM(G708:AP708)</f>
        <v>422.1</v>
      </c>
      <c r="AR708" s="182">
        <v>282.60000000000002</v>
      </c>
      <c r="AS708" s="182">
        <f>1.8+36</f>
        <v>37.799999999999997</v>
      </c>
      <c r="AT708" s="182">
        <f>139.5-AS708</f>
        <v>101.7</v>
      </c>
      <c r="AU708" s="182"/>
      <c r="AV708" s="182"/>
      <c r="AW708" s="182"/>
      <c r="AX708" s="182"/>
      <c r="AY708" s="182"/>
      <c r="AZ708" s="182"/>
      <c r="BA708" s="182"/>
      <c r="BB708" s="182"/>
      <c r="BC708" s="182"/>
      <c r="BD708" s="182"/>
      <c r="BE708" s="182"/>
      <c r="BF708" s="182"/>
      <c r="BG708" s="182"/>
      <c r="BH708" s="182"/>
      <c r="BI708" s="182"/>
      <c r="BJ708" s="182"/>
      <c r="BK708" s="182"/>
      <c r="BL708" s="182"/>
      <c r="BM708" s="182"/>
      <c r="BN708" s="182"/>
      <c r="BO708" s="182"/>
      <c r="BP708" s="182"/>
      <c r="BQ708" s="182"/>
      <c r="BR708" s="182"/>
      <c r="BS708" s="182"/>
      <c r="BT708" s="182"/>
      <c r="BU708" s="182"/>
      <c r="BV708" s="182"/>
      <c r="BW708" s="182"/>
      <c r="BX708" s="182"/>
      <c r="BY708" s="182"/>
      <c r="BZ708" s="182"/>
      <c r="CA708" s="182"/>
      <c r="CB708" s="185">
        <f t="shared" ref="CB708:CB739" si="121">SUM(AR708:CA708)</f>
        <v>422.1</v>
      </c>
      <c r="CC708" s="185">
        <f t="shared" ref="CC708:CC739" si="122">+CB708-AQ708</f>
        <v>0</v>
      </c>
      <c r="CD708" s="185">
        <f t="shared" ref="CD708:CD739" si="123">+C708</f>
        <v>1069</v>
      </c>
      <c r="CE708" s="185" t="e">
        <f>+#REF!</f>
        <v>#REF!</v>
      </c>
    </row>
    <row r="709" spans="2:83" s="197" customFormat="1" ht="37.5" x14ac:dyDescent="0.3">
      <c r="B709" s="182">
        <v>1898</v>
      </c>
      <c r="C709" s="182">
        <v>1070</v>
      </c>
      <c r="D709" s="182" t="s">
        <v>78</v>
      </c>
      <c r="E709" s="181" t="s">
        <v>1250</v>
      </c>
      <c r="F709" s="182"/>
      <c r="G709" s="182">
        <v>2427.08</v>
      </c>
      <c r="H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  <c r="Z709" s="182"/>
      <c r="AA709" s="182"/>
      <c r="AB709" s="182"/>
      <c r="AC709" s="182"/>
      <c r="AD709" s="182"/>
      <c r="AE709" s="182"/>
      <c r="AF709" s="182"/>
      <c r="AG709" s="182"/>
      <c r="AH709" s="182"/>
      <c r="AI709" s="182"/>
      <c r="AJ709" s="182"/>
      <c r="AK709" s="182"/>
      <c r="AL709" s="182"/>
      <c r="AM709" s="182"/>
      <c r="AN709" s="182"/>
      <c r="AO709" s="182"/>
      <c r="AP709" s="182"/>
      <c r="AQ709" s="185">
        <f t="shared" si="120"/>
        <v>2427.08</v>
      </c>
      <c r="AR709" s="182">
        <v>1621.85</v>
      </c>
      <c r="AS709" s="182">
        <v>220.45</v>
      </c>
      <c r="AT709" s="182">
        <v>584.78</v>
      </c>
      <c r="AU709" s="182"/>
      <c r="AV709" s="182"/>
      <c r="AW709" s="182"/>
      <c r="AX709" s="182"/>
      <c r="AY709" s="182"/>
      <c r="AZ709" s="182"/>
      <c r="BA709" s="182"/>
      <c r="BB709" s="182"/>
      <c r="BC709" s="182"/>
      <c r="BD709" s="182"/>
      <c r="BE709" s="182"/>
      <c r="BF709" s="182"/>
      <c r="BG709" s="182"/>
      <c r="BH709" s="182"/>
      <c r="BI709" s="182"/>
      <c r="BJ709" s="182"/>
      <c r="BK709" s="182"/>
      <c r="BL709" s="182"/>
      <c r="BM709" s="182"/>
      <c r="BN709" s="182"/>
      <c r="BO709" s="182"/>
      <c r="BP709" s="182"/>
      <c r="BQ709" s="182"/>
      <c r="BR709" s="182"/>
      <c r="BS709" s="182"/>
      <c r="BT709" s="182"/>
      <c r="BU709" s="182"/>
      <c r="BV709" s="182"/>
      <c r="BW709" s="182"/>
      <c r="BX709" s="182"/>
      <c r="BY709" s="182"/>
      <c r="BZ709" s="182"/>
      <c r="CA709" s="182"/>
      <c r="CB709" s="185">
        <f t="shared" si="121"/>
        <v>2427.08</v>
      </c>
      <c r="CC709" s="185">
        <f t="shared" si="122"/>
        <v>0</v>
      </c>
      <c r="CD709" s="185">
        <f t="shared" si="123"/>
        <v>1070</v>
      </c>
      <c r="CE709" s="185" t="e">
        <f>+#REF!</f>
        <v>#REF!</v>
      </c>
    </row>
    <row r="710" spans="2:83" s="197" customFormat="1" ht="37.5" x14ac:dyDescent="0.3">
      <c r="B710" s="182">
        <v>1862</v>
      </c>
      <c r="C710" s="182">
        <v>1071</v>
      </c>
      <c r="D710" s="182" t="s">
        <v>78</v>
      </c>
      <c r="E710" s="181" t="s">
        <v>1977</v>
      </c>
      <c r="F710" s="182"/>
      <c r="G710" s="182">
        <v>44520</v>
      </c>
      <c r="H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2"/>
      <c r="AH710" s="182"/>
      <c r="AI710" s="182"/>
      <c r="AJ710" s="182"/>
      <c r="AK710" s="182"/>
      <c r="AL710" s="182"/>
      <c r="AM710" s="182"/>
      <c r="AN710" s="182"/>
      <c r="AO710" s="182"/>
      <c r="AP710" s="182"/>
      <c r="AQ710" s="185">
        <f t="shared" si="120"/>
        <v>44520</v>
      </c>
      <c r="AR710" s="182">
        <v>39744.85</v>
      </c>
      <c r="AS710" s="182">
        <v>4775.1499999999996</v>
      </c>
      <c r="AT710" s="182"/>
      <c r="AU710" s="182"/>
      <c r="AV710" s="182"/>
      <c r="AW710" s="182"/>
      <c r="AX710" s="182"/>
      <c r="AY710" s="182"/>
      <c r="AZ710" s="182"/>
      <c r="BA710" s="182"/>
      <c r="BB710" s="182"/>
      <c r="BC710" s="182"/>
      <c r="BD710" s="182"/>
      <c r="BE710" s="182"/>
      <c r="BF710" s="182"/>
      <c r="BG710" s="182"/>
      <c r="BH710" s="182"/>
      <c r="BI710" s="182"/>
      <c r="BJ710" s="182"/>
      <c r="BK710" s="182"/>
      <c r="BL710" s="182"/>
      <c r="BM710" s="182"/>
      <c r="BN710" s="182"/>
      <c r="BO710" s="182"/>
      <c r="BP710" s="182"/>
      <c r="BQ710" s="182"/>
      <c r="BR710" s="182"/>
      <c r="BS710" s="182"/>
      <c r="BT710" s="182"/>
      <c r="BU710" s="182"/>
      <c r="BV710" s="182"/>
      <c r="BW710" s="182"/>
      <c r="BX710" s="182"/>
      <c r="BY710" s="182"/>
      <c r="BZ710" s="182"/>
      <c r="CA710" s="182"/>
      <c r="CB710" s="185">
        <f t="shared" si="121"/>
        <v>44520</v>
      </c>
      <c r="CC710" s="185">
        <f t="shared" si="122"/>
        <v>0</v>
      </c>
      <c r="CD710" s="185">
        <f t="shared" si="123"/>
        <v>1071</v>
      </c>
      <c r="CE710" s="185" t="e">
        <f>+#REF!</f>
        <v>#REF!</v>
      </c>
    </row>
    <row r="711" spans="2:83" s="197" customFormat="1" ht="37.5" x14ac:dyDescent="0.3">
      <c r="B711" s="182">
        <v>1860</v>
      </c>
      <c r="C711" s="182">
        <v>1072</v>
      </c>
      <c r="D711" s="182" t="s">
        <v>78</v>
      </c>
      <c r="E711" s="181" t="s">
        <v>2257</v>
      </c>
      <c r="F711" s="182"/>
      <c r="G711" s="182">
        <v>4819.8</v>
      </c>
      <c r="H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2"/>
      <c r="AH711" s="182"/>
      <c r="AI711" s="182"/>
      <c r="AJ711" s="182"/>
      <c r="AK711" s="182"/>
      <c r="AL711" s="182"/>
      <c r="AM711" s="182"/>
      <c r="AN711" s="182"/>
      <c r="AO711" s="182"/>
      <c r="AP711" s="182"/>
      <c r="AQ711" s="185">
        <f t="shared" si="120"/>
        <v>4819.8</v>
      </c>
      <c r="AR711" s="182">
        <v>3815.57</v>
      </c>
      <c r="AS711" s="182">
        <v>480.5</v>
      </c>
      <c r="AT711" s="182">
        <v>523.73</v>
      </c>
      <c r="AU711" s="182"/>
      <c r="AV711" s="182"/>
      <c r="AW711" s="182"/>
      <c r="AX711" s="182"/>
      <c r="AY711" s="182"/>
      <c r="AZ711" s="182"/>
      <c r="BA711" s="182"/>
      <c r="BB711" s="182"/>
      <c r="BC711" s="182"/>
      <c r="BD711" s="182"/>
      <c r="BE711" s="182"/>
      <c r="BF711" s="182"/>
      <c r="BG711" s="182"/>
      <c r="BH711" s="182"/>
      <c r="BI711" s="182"/>
      <c r="BJ711" s="182"/>
      <c r="BK711" s="182"/>
      <c r="BL711" s="182"/>
      <c r="BM711" s="182"/>
      <c r="BN711" s="182"/>
      <c r="BO711" s="182"/>
      <c r="BP711" s="182"/>
      <c r="BQ711" s="182"/>
      <c r="BR711" s="182"/>
      <c r="BS711" s="182"/>
      <c r="BT711" s="182"/>
      <c r="BU711" s="182"/>
      <c r="BV711" s="182"/>
      <c r="BW711" s="182"/>
      <c r="BX711" s="182"/>
      <c r="BY711" s="182"/>
      <c r="BZ711" s="182"/>
      <c r="CA711" s="182"/>
      <c r="CB711" s="185">
        <f t="shared" si="121"/>
        <v>4819.7999999999993</v>
      </c>
      <c r="CC711" s="185">
        <f t="shared" si="122"/>
        <v>0</v>
      </c>
      <c r="CD711" s="185">
        <f t="shared" si="123"/>
        <v>1072</v>
      </c>
      <c r="CE711" s="185" t="e">
        <f>+#REF!</f>
        <v>#REF!</v>
      </c>
    </row>
    <row r="712" spans="2:83" s="197" customFormat="1" ht="37.5" x14ac:dyDescent="0.3">
      <c r="B712" s="182">
        <v>1859</v>
      </c>
      <c r="C712" s="182">
        <v>1073</v>
      </c>
      <c r="D712" s="182" t="s">
        <v>78</v>
      </c>
      <c r="E712" s="181" t="s">
        <v>2257</v>
      </c>
      <c r="F712" s="182"/>
      <c r="G712" s="182">
        <v>36600</v>
      </c>
      <c r="H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  <c r="Z712" s="182"/>
      <c r="AA712" s="182"/>
      <c r="AB712" s="182"/>
      <c r="AC712" s="182"/>
      <c r="AD712" s="182"/>
      <c r="AE712" s="182"/>
      <c r="AF712" s="182"/>
      <c r="AG712" s="182"/>
      <c r="AH712" s="182"/>
      <c r="AI712" s="182"/>
      <c r="AJ712" s="182"/>
      <c r="AK712" s="182"/>
      <c r="AL712" s="182"/>
      <c r="AM712" s="182"/>
      <c r="AN712" s="182"/>
      <c r="AO712" s="182"/>
      <c r="AP712" s="182"/>
      <c r="AQ712" s="185">
        <f t="shared" si="120"/>
        <v>36600</v>
      </c>
      <c r="AR712" s="182">
        <v>32678.65</v>
      </c>
      <c r="AS712" s="182">
        <v>3921.35</v>
      </c>
      <c r="AT712" s="182"/>
      <c r="AU712" s="182"/>
      <c r="AV712" s="182"/>
      <c r="AW712" s="182"/>
      <c r="AX712" s="182"/>
      <c r="AY712" s="182"/>
      <c r="AZ712" s="182"/>
      <c r="BA712" s="182"/>
      <c r="BB712" s="182"/>
      <c r="BC712" s="182"/>
      <c r="BD712" s="182"/>
      <c r="BE712" s="182"/>
      <c r="BF712" s="182"/>
      <c r="BG712" s="182"/>
      <c r="BH712" s="182"/>
      <c r="BI712" s="182"/>
      <c r="BJ712" s="182"/>
      <c r="BK712" s="182"/>
      <c r="BL712" s="182"/>
      <c r="BM712" s="182"/>
      <c r="BN712" s="182"/>
      <c r="BO712" s="182"/>
      <c r="BP712" s="182"/>
      <c r="BQ712" s="182"/>
      <c r="BR712" s="182"/>
      <c r="BS712" s="182"/>
      <c r="BT712" s="182"/>
      <c r="BU712" s="182"/>
      <c r="BV712" s="182"/>
      <c r="BW712" s="182"/>
      <c r="BX712" s="182"/>
      <c r="BY712" s="182"/>
      <c r="BZ712" s="182"/>
      <c r="CA712" s="182"/>
      <c r="CB712" s="185">
        <f t="shared" si="121"/>
        <v>36600</v>
      </c>
      <c r="CC712" s="185">
        <f t="shared" si="122"/>
        <v>0</v>
      </c>
      <c r="CD712" s="185">
        <f t="shared" si="123"/>
        <v>1073</v>
      </c>
      <c r="CE712" s="185" t="e">
        <f>+#REF!</f>
        <v>#REF!</v>
      </c>
    </row>
    <row r="713" spans="2:83" s="197" customFormat="1" ht="37.5" x14ac:dyDescent="0.3">
      <c r="B713" s="182">
        <v>1861</v>
      </c>
      <c r="C713" s="182">
        <v>1074</v>
      </c>
      <c r="D713" s="182" t="s">
        <v>78</v>
      </c>
      <c r="E713" s="181" t="str">
        <f>+E710</f>
        <v>عب تدريس كيمياء حيويه</v>
      </c>
      <c r="F713" s="182"/>
      <c r="G713" s="182">
        <v>3351.81</v>
      </c>
      <c r="H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2"/>
      <c r="AH713" s="182"/>
      <c r="AI713" s="182"/>
      <c r="AJ713" s="182"/>
      <c r="AK713" s="182"/>
      <c r="AL713" s="182"/>
      <c r="AM713" s="182"/>
      <c r="AN713" s="182"/>
      <c r="AO713" s="182"/>
      <c r="AP713" s="182"/>
      <c r="AQ713" s="185">
        <f t="shared" si="120"/>
        <v>3351.81</v>
      </c>
      <c r="AR713" s="182">
        <v>2821.3</v>
      </c>
      <c r="AS713" s="182">
        <v>347.4</v>
      </c>
      <c r="AT713" s="182">
        <v>183.11</v>
      </c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182"/>
      <c r="BK713" s="182"/>
      <c r="BL713" s="182"/>
      <c r="BM713" s="182"/>
      <c r="BN713" s="182"/>
      <c r="BO713" s="182"/>
      <c r="BP713" s="182"/>
      <c r="BQ713" s="182"/>
      <c r="BR713" s="182"/>
      <c r="BS713" s="182"/>
      <c r="BT713" s="182"/>
      <c r="BU713" s="182"/>
      <c r="BV713" s="182"/>
      <c r="BW713" s="182"/>
      <c r="BX713" s="182"/>
      <c r="BY713" s="182"/>
      <c r="BZ713" s="182"/>
      <c r="CA713" s="182"/>
      <c r="CB713" s="185">
        <f t="shared" si="121"/>
        <v>3351.8100000000004</v>
      </c>
      <c r="CC713" s="185">
        <f t="shared" si="122"/>
        <v>0</v>
      </c>
      <c r="CD713" s="185">
        <f t="shared" si="123"/>
        <v>1074</v>
      </c>
      <c r="CE713" s="185" t="e">
        <f>+#REF!</f>
        <v>#REF!</v>
      </c>
    </row>
    <row r="714" spans="2:83" s="197" customFormat="1" ht="56.25" x14ac:dyDescent="0.3">
      <c r="B714" s="182">
        <v>2229</v>
      </c>
      <c r="C714" s="182">
        <v>1075</v>
      </c>
      <c r="D714" s="182" t="s">
        <v>78</v>
      </c>
      <c r="E714" s="181" t="s">
        <v>4807</v>
      </c>
      <c r="F714" s="182"/>
      <c r="G714" s="182">
        <v>58071.62</v>
      </c>
      <c r="H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2"/>
      <c r="AH714" s="182"/>
      <c r="AI714" s="182"/>
      <c r="AJ714" s="182"/>
      <c r="AK714" s="182"/>
      <c r="AL714" s="182"/>
      <c r="AM714" s="182"/>
      <c r="AN714" s="182"/>
      <c r="AO714" s="182"/>
      <c r="AP714" s="182"/>
      <c r="AQ714" s="185">
        <f t="shared" si="120"/>
        <v>58071.62</v>
      </c>
      <c r="AR714" s="182">
        <v>38802.07</v>
      </c>
      <c r="AS714" s="182">
        <f>325.05+4952.8</f>
        <v>5277.85</v>
      </c>
      <c r="AT714" s="182">
        <v>13991.7</v>
      </c>
      <c r="AU714" s="182"/>
      <c r="AV714" s="182"/>
      <c r="AW714" s="182"/>
      <c r="AX714" s="182"/>
      <c r="AY714" s="182"/>
      <c r="AZ714" s="182"/>
      <c r="BA714" s="182"/>
      <c r="BB714" s="182"/>
      <c r="BC714" s="182"/>
      <c r="BD714" s="182"/>
      <c r="BE714" s="182"/>
      <c r="BF714" s="182"/>
      <c r="BG714" s="182"/>
      <c r="BH714" s="182"/>
      <c r="BI714" s="182"/>
      <c r="BJ714" s="182"/>
      <c r="BK714" s="182"/>
      <c r="BL714" s="182"/>
      <c r="BM714" s="182"/>
      <c r="BN714" s="182"/>
      <c r="BO714" s="182"/>
      <c r="BP714" s="182"/>
      <c r="BQ714" s="182"/>
      <c r="BR714" s="182"/>
      <c r="BS714" s="182"/>
      <c r="BT714" s="182"/>
      <c r="BU714" s="182"/>
      <c r="BV714" s="182"/>
      <c r="BW714" s="182"/>
      <c r="BX714" s="182"/>
      <c r="BY714" s="182"/>
      <c r="BZ714" s="182"/>
      <c r="CA714" s="182"/>
      <c r="CB714" s="185">
        <f t="shared" si="121"/>
        <v>58071.619999999995</v>
      </c>
      <c r="CC714" s="185">
        <f t="shared" si="122"/>
        <v>0</v>
      </c>
      <c r="CD714" s="185">
        <f t="shared" si="123"/>
        <v>1075</v>
      </c>
      <c r="CE714" s="185" t="e">
        <f>+#REF!</f>
        <v>#REF!</v>
      </c>
    </row>
    <row r="715" spans="2:83" s="197" customFormat="1" ht="37.5" x14ac:dyDescent="0.3">
      <c r="B715" s="182">
        <v>2232</v>
      </c>
      <c r="C715" s="182">
        <v>1076</v>
      </c>
      <c r="D715" s="182" t="s">
        <v>78</v>
      </c>
      <c r="E715" s="181" t="s">
        <v>4808</v>
      </c>
      <c r="F715" s="182"/>
      <c r="G715" s="182">
        <v>1407</v>
      </c>
      <c r="H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  <c r="Z715" s="182"/>
      <c r="AA715" s="182"/>
      <c r="AB715" s="182"/>
      <c r="AC715" s="182"/>
      <c r="AD715" s="182"/>
      <c r="AE715" s="182"/>
      <c r="AF715" s="182"/>
      <c r="AG715" s="182"/>
      <c r="AH715" s="182"/>
      <c r="AI715" s="182"/>
      <c r="AJ715" s="182"/>
      <c r="AK715" s="182"/>
      <c r="AL715" s="182"/>
      <c r="AM715" s="182"/>
      <c r="AN715" s="182"/>
      <c r="AO715" s="182"/>
      <c r="AP715" s="182"/>
      <c r="AQ715" s="185">
        <f t="shared" si="120"/>
        <v>1407</v>
      </c>
      <c r="AR715" s="182">
        <v>940.35</v>
      </c>
      <c r="AS715" s="182">
        <v>127.65</v>
      </c>
      <c r="AT715" s="182">
        <v>339</v>
      </c>
      <c r="AU715" s="182"/>
      <c r="AV715" s="182"/>
      <c r="AW715" s="182"/>
      <c r="AX715" s="182"/>
      <c r="AY715" s="182"/>
      <c r="AZ715" s="182"/>
      <c r="BA715" s="182"/>
      <c r="BB715" s="182"/>
      <c r="BC715" s="182"/>
      <c r="BD715" s="182"/>
      <c r="BE715" s="182"/>
      <c r="BF715" s="182"/>
      <c r="BG715" s="182"/>
      <c r="BH715" s="182"/>
      <c r="BI715" s="182"/>
      <c r="BJ715" s="182"/>
      <c r="BK715" s="182"/>
      <c r="BL715" s="182"/>
      <c r="BM715" s="182"/>
      <c r="BN715" s="182"/>
      <c r="BO715" s="182"/>
      <c r="BP715" s="182"/>
      <c r="BQ715" s="182"/>
      <c r="BR715" s="182"/>
      <c r="BS715" s="182"/>
      <c r="BT715" s="182"/>
      <c r="BU715" s="182"/>
      <c r="BV715" s="182"/>
      <c r="BW715" s="182"/>
      <c r="BX715" s="182"/>
      <c r="BY715" s="182"/>
      <c r="BZ715" s="182"/>
      <c r="CA715" s="182"/>
      <c r="CB715" s="185">
        <f t="shared" si="121"/>
        <v>1407</v>
      </c>
      <c r="CC715" s="185">
        <f t="shared" si="122"/>
        <v>0</v>
      </c>
      <c r="CD715" s="185">
        <f t="shared" si="123"/>
        <v>1076</v>
      </c>
      <c r="CE715" s="185" t="e">
        <f>+#REF!</f>
        <v>#REF!</v>
      </c>
    </row>
    <row r="716" spans="2:83" s="197" customFormat="1" ht="37.5" x14ac:dyDescent="0.3">
      <c r="B716" s="182">
        <v>2231</v>
      </c>
      <c r="C716" s="182">
        <v>1077</v>
      </c>
      <c r="D716" s="182" t="s">
        <v>78</v>
      </c>
      <c r="E716" s="181" t="s">
        <v>4808</v>
      </c>
      <c r="F716" s="182"/>
      <c r="G716" s="182">
        <v>1407</v>
      </c>
      <c r="H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2"/>
      <c r="AH716" s="182"/>
      <c r="AI716" s="182"/>
      <c r="AJ716" s="182"/>
      <c r="AK716" s="182"/>
      <c r="AL716" s="182"/>
      <c r="AM716" s="182"/>
      <c r="AN716" s="182"/>
      <c r="AO716" s="182"/>
      <c r="AP716" s="182"/>
      <c r="AQ716" s="185">
        <f t="shared" si="120"/>
        <v>1407</v>
      </c>
      <c r="AR716" s="182">
        <v>940.35</v>
      </c>
      <c r="AS716" s="182">
        <v>127.65</v>
      </c>
      <c r="AT716" s="182">
        <v>339</v>
      </c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182"/>
      <c r="BK716" s="182"/>
      <c r="BL716" s="182"/>
      <c r="BM716" s="182"/>
      <c r="BN716" s="182"/>
      <c r="BO716" s="182"/>
      <c r="BP716" s="182"/>
      <c r="BQ716" s="182"/>
      <c r="BR716" s="182"/>
      <c r="BS716" s="182"/>
      <c r="BT716" s="182"/>
      <c r="BU716" s="182"/>
      <c r="BV716" s="182"/>
      <c r="BW716" s="182"/>
      <c r="BX716" s="182"/>
      <c r="BY716" s="182"/>
      <c r="BZ716" s="182"/>
      <c r="CA716" s="182"/>
      <c r="CB716" s="185">
        <f t="shared" si="121"/>
        <v>1407</v>
      </c>
      <c r="CC716" s="185">
        <f t="shared" si="122"/>
        <v>0</v>
      </c>
      <c r="CD716" s="185">
        <f t="shared" si="123"/>
        <v>1077</v>
      </c>
      <c r="CE716" s="185" t="e">
        <f>+#REF!</f>
        <v>#REF!</v>
      </c>
    </row>
    <row r="717" spans="2:83" s="197" customFormat="1" ht="37.5" x14ac:dyDescent="0.3">
      <c r="B717" s="182">
        <v>2230</v>
      </c>
      <c r="C717" s="182">
        <v>1078</v>
      </c>
      <c r="D717" s="182" t="s">
        <v>78</v>
      </c>
      <c r="E717" s="181" t="s">
        <v>2105</v>
      </c>
      <c r="F717" s="182"/>
      <c r="G717" s="182">
        <v>18750</v>
      </c>
      <c r="H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2"/>
      <c r="AH717" s="182"/>
      <c r="AI717" s="182"/>
      <c r="AJ717" s="182"/>
      <c r="AK717" s="182"/>
      <c r="AL717" s="182"/>
      <c r="AM717" s="182"/>
      <c r="AN717" s="182"/>
      <c r="AO717" s="182"/>
      <c r="AP717" s="182"/>
      <c r="AQ717" s="185">
        <f t="shared" si="120"/>
        <v>18750</v>
      </c>
      <c r="AR717" s="182">
        <v>16732.05</v>
      </c>
      <c r="AS717" s="182">
        <v>2017.95</v>
      </c>
      <c r="AT717" s="182"/>
      <c r="AU717" s="182"/>
      <c r="AV717" s="182"/>
      <c r="AW717" s="182"/>
      <c r="AX717" s="182"/>
      <c r="AY717" s="182"/>
      <c r="AZ717" s="182"/>
      <c r="BA717" s="182"/>
      <c r="BB717" s="182"/>
      <c r="BC717" s="182"/>
      <c r="BD717" s="182"/>
      <c r="BE717" s="182"/>
      <c r="BF717" s="182"/>
      <c r="BG717" s="182"/>
      <c r="BH717" s="182"/>
      <c r="BI717" s="182"/>
      <c r="BJ717" s="182"/>
      <c r="BK717" s="182"/>
      <c r="BL717" s="182"/>
      <c r="BM717" s="182"/>
      <c r="BN717" s="182"/>
      <c r="BO717" s="182"/>
      <c r="BP717" s="182"/>
      <c r="BQ717" s="182"/>
      <c r="BR717" s="182"/>
      <c r="BS717" s="182"/>
      <c r="BT717" s="182"/>
      <c r="BU717" s="182"/>
      <c r="BV717" s="182"/>
      <c r="BW717" s="182"/>
      <c r="BX717" s="182"/>
      <c r="BY717" s="182"/>
      <c r="BZ717" s="182"/>
      <c r="CA717" s="182"/>
      <c r="CB717" s="185">
        <f t="shared" si="121"/>
        <v>18750</v>
      </c>
      <c r="CC717" s="185">
        <f t="shared" si="122"/>
        <v>0</v>
      </c>
      <c r="CD717" s="185">
        <f t="shared" si="123"/>
        <v>1078</v>
      </c>
      <c r="CE717" s="185" t="e">
        <f>+#REF!</f>
        <v>#REF!</v>
      </c>
    </row>
    <row r="718" spans="2:83" s="197" customFormat="1" ht="37.5" x14ac:dyDescent="0.3">
      <c r="B718" s="182">
        <v>2227</v>
      </c>
      <c r="C718" s="182">
        <v>1079</v>
      </c>
      <c r="D718" s="182" t="s">
        <v>4624</v>
      </c>
      <c r="E718" s="181" t="s">
        <v>4809</v>
      </c>
      <c r="F718" s="182"/>
      <c r="G718" s="182">
        <v>30191.88</v>
      </c>
      <c r="H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  <c r="Z718" s="182"/>
      <c r="AA718" s="182"/>
      <c r="AB718" s="182"/>
      <c r="AC718" s="182"/>
      <c r="AD718" s="182"/>
      <c r="AE718" s="182"/>
      <c r="AF718" s="182"/>
      <c r="AG718" s="182"/>
      <c r="AH718" s="182"/>
      <c r="AI718" s="182"/>
      <c r="AJ718" s="182"/>
      <c r="AK718" s="182"/>
      <c r="AL718" s="182"/>
      <c r="AM718" s="182"/>
      <c r="AN718" s="182"/>
      <c r="AO718" s="182"/>
      <c r="AP718" s="182"/>
      <c r="AQ718" s="185">
        <f t="shared" si="120"/>
        <v>30191.88</v>
      </c>
      <c r="AR718" s="182">
        <v>21841.26</v>
      </c>
      <c r="AS718" s="182">
        <f>166.25+559.99</f>
        <v>726.24</v>
      </c>
      <c r="AT718" s="182">
        <f>8350.62-AS718-AU718</f>
        <v>7274.380000000001</v>
      </c>
      <c r="AU718" s="182">
        <v>350</v>
      </c>
      <c r="AV718" s="182"/>
      <c r="AW718" s="182"/>
      <c r="AX718" s="182"/>
      <c r="AY718" s="182"/>
      <c r="AZ718" s="182"/>
      <c r="BA718" s="182"/>
      <c r="BB718" s="182"/>
      <c r="BC718" s="182"/>
      <c r="BD718" s="182"/>
      <c r="BE718" s="182"/>
      <c r="BF718" s="182"/>
      <c r="BG718" s="182"/>
      <c r="BH718" s="182"/>
      <c r="BI718" s="182"/>
      <c r="BJ718" s="182"/>
      <c r="BK718" s="182"/>
      <c r="BL718" s="182"/>
      <c r="BM718" s="182"/>
      <c r="BN718" s="182"/>
      <c r="BO718" s="182"/>
      <c r="BP718" s="182"/>
      <c r="BQ718" s="182"/>
      <c r="BR718" s="182"/>
      <c r="BS718" s="182"/>
      <c r="BT718" s="182"/>
      <c r="BU718" s="182"/>
      <c r="BV718" s="182"/>
      <c r="BW718" s="182"/>
      <c r="BX718" s="182"/>
      <c r="BY718" s="182"/>
      <c r="BZ718" s="182"/>
      <c r="CA718" s="182"/>
      <c r="CB718" s="185">
        <f t="shared" si="121"/>
        <v>30191.88</v>
      </c>
      <c r="CC718" s="185">
        <f t="shared" si="122"/>
        <v>0</v>
      </c>
      <c r="CD718" s="185">
        <f t="shared" si="123"/>
        <v>1079</v>
      </c>
      <c r="CE718" s="185" t="e">
        <f>+#REF!</f>
        <v>#REF!</v>
      </c>
    </row>
    <row r="719" spans="2:83" s="197" customFormat="1" ht="37.5" x14ac:dyDescent="0.3">
      <c r="B719" s="182">
        <v>2226</v>
      </c>
      <c r="C719" s="182">
        <v>1080</v>
      </c>
      <c r="D719" s="182" t="s">
        <v>4624</v>
      </c>
      <c r="E719" s="181" t="s">
        <v>4809</v>
      </c>
      <c r="F719" s="182"/>
      <c r="G719" s="182">
        <v>10800</v>
      </c>
      <c r="H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2"/>
      <c r="AH719" s="182"/>
      <c r="AI719" s="182"/>
      <c r="AJ719" s="182"/>
      <c r="AK719" s="182"/>
      <c r="AL719" s="182"/>
      <c r="AM719" s="182"/>
      <c r="AN719" s="182"/>
      <c r="AO719" s="182"/>
      <c r="AP719" s="182"/>
      <c r="AQ719" s="185">
        <f t="shared" si="120"/>
        <v>10800</v>
      </c>
      <c r="AR719" s="182">
        <v>9869.2199999999993</v>
      </c>
      <c r="AS719" s="182">
        <f>77.7+253.08</f>
        <v>330.78000000000003</v>
      </c>
      <c r="AT719" s="182"/>
      <c r="AU719" s="182">
        <v>600</v>
      </c>
      <c r="AV719" s="182"/>
      <c r="AW719" s="182"/>
      <c r="AX719" s="182"/>
      <c r="AY719" s="182"/>
      <c r="AZ719" s="182"/>
      <c r="BA719" s="182"/>
      <c r="BB719" s="182"/>
      <c r="BC719" s="182"/>
      <c r="BD719" s="182"/>
      <c r="BE719" s="182"/>
      <c r="BF719" s="182"/>
      <c r="BG719" s="182"/>
      <c r="BH719" s="182"/>
      <c r="BI719" s="182"/>
      <c r="BJ719" s="182"/>
      <c r="BK719" s="182"/>
      <c r="BL719" s="182"/>
      <c r="BM719" s="182"/>
      <c r="BN719" s="182"/>
      <c r="BO719" s="182"/>
      <c r="BP719" s="182"/>
      <c r="BQ719" s="182"/>
      <c r="BR719" s="182"/>
      <c r="BS719" s="182"/>
      <c r="BT719" s="182"/>
      <c r="BU719" s="182"/>
      <c r="BV719" s="182"/>
      <c r="BW719" s="182"/>
      <c r="BX719" s="182"/>
      <c r="BY719" s="182"/>
      <c r="BZ719" s="182"/>
      <c r="CA719" s="182"/>
      <c r="CB719" s="185">
        <f t="shared" si="121"/>
        <v>10800</v>
      </c>
      <c r="CC719" s="185">
        <f t="shared" si="122"/>
        <v>0</v>
      </c>
      <c r="CD719" s="185">
        <f t="shared" si="123"/>
        <v>1080</v>
      </c>
      <c r="CE719" s="185" t="e">
        <f>+#REF!</f>
        <v>#REF!</v>
      </c>
    </row>
    <row r="720" spans="2:83" s="197" customFormat="1" ht="37.5" x14ac:dyDescent="0.3">
      <c r="B720" s="182">
        <v>2228</v>
      </c>
      <c r="C720" s="182">
        <v>1081</v>
      </c>
      <c r="D720" s="182" t="s">
        <v>4624</v>
      </c>
      <c r="E720" s="181" t="s">
        <v>4810</v>
      </c>
      <c r="F720" s="182"/>
      <c r="G720" s="182">
        <v>2100</v>
      </c>
      <c r="H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2"/>
      <c r="AH720" s="182"/>
      <c r="AI720" s="182"/>
      <c r="AJ720" s="182"/>
      <c r="AK720" s="182"/>
      <c r="AL720" s="182"/>
      <c r="AM720" s="182"/>
      <c r="AN720" s="182"/>
      <c r="AO720" s="182"/>
      <c r="AP720" s="182"/>
      <c r="AQ720" s="185">
        <f t="shared" si="120"/>
        <v>2100</v>
      </c>
      <c r="AR720" s="182">
        <v>1874.62</v>
      </c>
      <c r="AS720" s="182">
        <f>210+15.38</f>
        <v>225.38</v>
      </c>
      <c r="AT720" s="182"/>
      <c r="AU720" s="182"/>
      <c r="AV720" s="182"/>
      <c r="AW720" s="182"/>
      <c r="AX720" s="182"/>
      <c r="AY720" s="182"/>
      <c r="AZ720" s="182"/>
      <c r="BA720" s="182"/>
      <c r="BB720" s="182"/>
      <c r="BC720" s="182"/>
      <c r="BD720" s="182"/>
      <c r="BE720" s="182"/>
      <c r="BF720" s="182"/>
      <c r="BG720" s="182"/>
      <c r="BH720" s="182"/>
      <c r="BI720" s="182"/>
      <c r="BJ720" s="182"/>
      <c r="BK720" s="182"/>
      <c r="BL720" s="182"/>
      <c r="BM720" s="182"/>
      <c r="BN720" s="182"/>
      <c r="BO720" s="182"/>
      <c r="BP720" s="182"/>
      <c r="BQ720" s="182"/>
      <c r="BR720" s="182"/>
      <c r="BS720" s="182"/>
      <c r="BT720" s="182"/>
      <c r="BU720" s="182"/>
      <c r="BV720" s="182"/>
      <c r="BW720" s="182"/>
      <c r="BX720" s="182"/>
      <c r="BY720" s="182"/>
      <c r="BZ720" s="182"/>
      <c r="CA720" s="182"/>
      <c r="CB720" s="185">
        <f t="shared" si="121"/>
        <v>2100</v>
      </c>
      <c r="CC720" s="185">
        <f t="shared" si="122"/>
        <v>0</v>
      </c>
      <c r="CD720" s="185">
        <f t="shared" si="123"/>
        <v>1081</v>
      </c>
      <c r="CE720" s="185" t="e">
        <f>+#REF!</f>
        <v>#REF!</v>
      </c>
    </row>
    <row r="721" spans="2:83" s="197" customFormat="1" ht="37.5" x14ac:dyDescent="0.3">
      <c r="B721" s="182">
        <v>2233</v>
      </c>
      <c r="C721" s="182">
        <v>1082</v>
      </c>
      <c r="D721" s="182" t="s">
        <v>4624</v>
      </c>
      <c r="E721" s="181" t="s">
        <v>4811</v>
      </c>
      <c r="F721" s="182"/>
      <c r="G721" s="182">
        <v>4221</v>
      </c>
      <c r="H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  <c r="Z721" s="182"/>
      <c r="AA721" s="182"/>
      <c r="AB721" s="182"/>
      <c r="AC721" s="182"/>
      <c r="AD721" s="182"/>
      <c r="AE721" s="182"/>
      <c r="AF721" s="182"/>
      <c r="AG721" s="182"/>
      <c r="AH721" s="182"/>
      <c r="AI721" s="182"/>
      <c r="AJ721" s="182"/>
      <c r="AK721" s="182"/>
      <c r="AL721" s="182"/>
      <c r="AM721" s="182"/>
      <c r="AN721" s="182"/>
      <c r="AO721" s="182"/>
      <c r="AP721" s="182"/>
      <c r="AQ721" s="185">
        <f t="shared" si="120"/>
        <v>4221</v>
      </c>
      <c r="AR721" s="182">
        <v>3100.79</v>
      </c>
      <c r="AS721" s="182">
        <f>23.7+79.51</f>
        <v>103.21000000000001</v>
      </c>
      <c r="AT721" s="182">
        <v>1017</v>
      </c>
      <c r="AU721" s="182"/>
      <c r="AV721" s="182"/>
      <c r="AW721" s="182"/>
      <c r="AX721" s="182"/>
      <c r="AY721" s="182"/>
      <c r="AZ721" s="182"/>
      <c r="BA721" s="182"/>
      <c r="BB721" s="182"/>
      <c r="BC721" s="182"/>
      <c r="BD721" s="182"/>
      <c r="BE721" s="182"/>
      <c r="BF721" s="182"/>
      <c r="BG721" s="182"/>
      <c r="BH721" s="182"/>
      <c r="BI721" s="182"/>
      <c r="BJ721" s="182"/>
      <c r="BK721" s="182"/>
      <c r="BL721" s="182"/>
      <c r="BM721" s="182"/>
      <c r="BN721" s="182"/>
      <c r="BO721" s="182"/>
      <c r="BP721" s="182"/>
      <c r="BQ721" s="182"/>
      <c r="BR721" s="182"/>
      <c r="BS721" s="182"/>
      <c r="BT721" s="182"/>
      <c r="BU721" s="182"/>
      <c r="BV721" s="182"/>
      <c r="BW721" s="182"/>
      <c r="BX721" s="182"/>
      <c r="BY721" s="182"/>
      <c r="BZ721" s="182"/>
      <c r="CA721" s="182"/>
      <c r="CB721" s="185">
        <f t="shared" si="121"/>
        <v>4221</v>
      </c>
      <c r="CC721" s="185">
        <f t="shared" si="122"/>
        <v>0</v>
      </c>
      <c r="CD721" s="185">
        <f t="shared" si="123"/>
        <v>1082</v>
      </c>
      <c r="CE721" s="185" t="e">
        <f>+#REF!</f>
        <v>#REF!</v>
      </c>
    </row>
    <row r="722" spans="2:83" s="197" customFormat="1" ht="37.5" x14ac:dyDescent="0.3">
      <c r="B722" s="182">
        <v>2225</v>
      </c>
      <c r="C722" s="182">
        <v>1083</v>
      </c>
      <c r="D722" s="182" t="s">
        <v>4624</v>
      </c>
      <c r="E722" s="181" t="s">
        <v>4812</v>
      </c>
      <c r="F722" s="182"/>
      <c r="G722" s="182">
        <v>4000</v>
      </c>
      <c r="H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2"/>
      <c r="AH722" s="182"/>
      <c r="AI722" s="182"/>
      <c r="AJ722" s="182"/>
      <c r="AK722" s="182"/>
      <c r="AL722" s="182"/>
      <c r="AM722" s="182"/>
      <c r="AN722" s="182"/>
      <c r="AO722" s="182"/>
      <c r="AP722" s="182"/>
      <c r="AQ722" s="185">
        <f t="shared" si="120"/>
        <v>4000</v>
      </c>
      <c r="AR722" s="182">
        <v>3570.37</v>
      </c>
      <c r="AS722" s="182">
        <f>400+29.63</f>
        <v>429.63</v>
      </c>
      <c r="AT722" s="182"/>
      <c r="AU722" s="182"/>
      <c r="AV722" s="182"/>
      <c r="AW722" s="182"/>
      <c r="AX722" s="182"/>
      <c r="AY722" s="182"/>
      <c r="AZ722" s="182"/>
      <c r="BA722" s="182"/>
      <c r="BB722" s="182"/>
      <c r="BC722" s="182"/>
      <c r="BD722" s="182"/>
      <c r="BE722" s="182"/>
      <c r="BF722" s="182"/>
      <c r="BG722" s="182"/>
      <c r="BH722" s="182"/>
      <c r="BI722" s="182"/>
      <c r="BJ722" s="182"/>
      <c r="BK722" s="182"/>
      <c r="BL722" s="182"/>
      <c r="BM722" s="182"/>
      <c r="BN722" s="182"/>
      <c r="BO722" s="182"/>
      <c r="BP722" s="182"/>
      <c r="BQ722" s="182"/>
      <c r="BR722" s="182"/>
      <c r="BS722" s="182"/>
      <c r="BT722" s="182"/>
      <c r="BU722" s="182"/>
      <c r="BV722" s="182"/>
      <c r="BW722" s="182"/>
      <c r="BX722" s="182"/>
      <c r="BY722" s="182"/>
      <c r="BZ722" s="182"/>
      <c r="CA722" s="182"/>
      <c r="CB722" s="185">
        <f t="shared" si="121"/>
        <v>4000</v>
      </c>
      <c r="CC722" s="185">
        <f t="shared" si="122"/>
        <v>0</v>
      </c>
      <c r="CD722" s="185">
        <f t="shared" si="123"/>
        <v>1083</v>
      </c>
      <c r="CE722" s="185" t="e">
        <f>+#REF!</f>
        <v>#REF!</v>
      </c>
    </row>
    <row r="723" spans="2:83" s="197" customFormat="1" ht="37.5" x14ac:dyDescent="0.3">
      <c r="B723" s="182">
        <v>2224</v>
      </c>
      <c r="C723" s="182">
        <v>1084</v>
      </c>
      <c r="D723" s="182" t="s">
        <v>4624</v>
      </c>
      <c r="E723" s="181" t="s">
        <v>4813</v>
      </c>
      <c r="F723" s="182"/>
      <c r="G723" s="182">
        <v>3300</v>
      </c>
      <c r="H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2"/>
      <c r="AH723" s="182"/>
      <c r="AI723" s="182"/>
      <c r="AJ723" s="182"/>
      <c r="AK723" s="182"/>
      <c r="AL723" s="182"/>
      <c r="AM723" s="182"/>
      <c r="AN723" s="182"/>
      <c r="AO723" s="182"/>
      <c r="AP723" s="182"/>
      <c r="AQ723" s="185">
        <f t="shared" si="120"/>
        <v>3300</v>
      </c>
      <c r="AR723" s="182">
        <v>2945.95</v>
      </c>
      <c r="AS723" s="182">
        <v>354.05</v>
      </c>
      <c r="AT723" s="182"/>
      <c r="AU723" s="182"/>
      <c r="AV723" s="182"/>
      <c r="AW723" s="182"/>
      <c r="AX723" s="182"/>
      <c r="AY723" s="182"/>
      <c r="AZ723" s="182"/>
      <c r="BA723" s="182"/>
      <c r="BB723" s="182"/>
      <c r="BC723" s="182"/>
      <c r="BD723" s="182"/>
      <c r="BE723" s="182"/>
      <c r="BF723" s="182"/>
      <c r="BG723" s="182"/>
      <c r="BH723" s="182"/>
      <c r="BI723" s="182"/>
      <c r="BJ723" s="182"/>
      <c r="BK723" s="182"/>
      <c r="BL723" s="182"/>
      <c r="BM723" s="182"/>
      <c r="BN723" s="182"/>
      <c r="BO723" s="182"/>
      <c r="BP723" s="182"/>
      <c r="BQ723" s="182"/>
      <c r="BR723" s="182"/>
      <c r="BS723" s="182"/>
      <c r="BT723" s="182"/>
      <c r="BU723" s="182"/>
      <c r="BV723" s="182"/>
      <c r="BW723" s="182"/>
      <c r="BX723" s="182"/>
      <c r="BY723" s="182"/>
      <c r="BZ723" s="182"/>
      <c r="CA723" s="182"/>
      <c r="CB723" s="185">
        <f t="shared" si="121"/>
        <v>3300</v>
      </c>
      <c r="CC723" s="185">
        <f t="shared" si="122"/>
        <v>0</v>
      </c>
      <c r="CD723" s="185">
        <f t="shared" si="123"/>
        <v>1084</v>
      </c>
      <c r="CE723" s="185" t="e">
        <f>+#REF!</f>
        <v>#REF!</v>
      </c>
    </row>
    <row r="724" spans="2:83" s="197" customFormat="1" ht="37.5" x14ac:dyDescent="0.3">
      <c r="B724" s="182">
        <v>2245</v>
      </c>
      <c r="C724" s="182">
        <v>1085</v>
      </c>
      <c r="D724" s="182" t="s">
        <v>4624</v>
      </c>
      <c r="E724" s="181" t="s">
        <v>4814</v>
      </c>
      <c r="F724" s="182"/>
      <c r="G724" s="182">
        <v>5475.16</v>
      </c>
      <c r="H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  <c r="Z724" s="182"/>
      <c r="AA724" s="182"/>
      <c r="AB724" s="182"/>
      <c r="AC724" s="182"/>
      <c r="AD724" s="182"/>
      <c r="AE724" s="182"/>
      <c r="AF724" s="182"/>
      <c r="AG724" s="182"/>
      <c r="AH724" s="182"/>
      <c r="AI724" s="182"/>
      <c r="AJ724" s="182"/>
      <c r="AK724" s="182"/>
      <c r="AL724" s="182"/>
      <c r="AM724" s="182"/>
      <c r="AN724" s="182"/>
      <c r="AO724" s="182"/>
      <c r="AP724" s="182"/>
      <c r="AQ724" s="185">
        <f t="shared" si="120"/>
        <v>5475.16</v>
      </c>
      <c r="AR724" s="182">
        <v>3994.36</v>
      </c>
      <c r="AS724" s="182">
        <v>522.5</v>
      </c>
      <c r="AT724" s="182">
        <v>958.3</v>
      </c>
      <c r="AU724" s="182"/>
      <c r="AV724" s="182"/>
      <c r="AW724" s="182"/>
      <c r="AX724" s="182"/>
      <c r="AY724" s="182"/>
      <c r="AZ724" s="182"/>
      <c r="BA724" s="182"/>
      <c r="BB724" s="182"/>
      <c r="BC724" s="182"/>
      <c r="BD724" s="182"/>
      <c r="BE724" s="182"/>
      <c r="BF724" s="182"/>
      <c r="BG724" s="182"/>
      <c r="BH724" s="182"/>
      <c r="BI724" s="182"/>
      <c r="BJ724" s="182"/>
      <c r="BK724" s="182"/>
      <c r="BL724" s="182"/>
      <c r="BM724" s="182"/>
      <c r="BN724" s="182"/>
      <c r="BO724" s="182"/>
      <c r="BP724" s="182"/>
      <c r="BQ724" s="182"/>
      <c r="BR724" s="182"/>
      <c r="BS724" s="182"/>
      <c r="BT724" s="182"/>
      <c r="BU724" s="182"/>
      <c r="BV724" s="182"/>
      <c r="BW724" s="182"/>
      <c r="BX724" s="182"/>
      <c r="BY724" s="182"/>
      <c r="BZ724" s="182"/>
      <c r="CA724" s="182"/>
      <c r="CB724" s="185">
        <f t="shared" si="121"/>
        <v>5475.1600000000008</v>
      </c>
      <c r="CC724" s="185">
        <f t="shared" si="122"/>
        <v>0</v>
      </c>
      <c r="CD724" s="185">
        <f t="shared" si="123"/>
        <v>1085</v>
      </c>
      <c r="CE724" s="185" t="e">
        <f>+#REF!</f>
        <v>#REF!</v>
      </c>
    </row>
    <row r="725" spans="2:83" s="197" customFormat="1" ht="37.5" x14ac:dyDescent="0.3">
      <c r="B725" s="182">
        <v>2246</v>
      </c>
      <c r="C725" s="182">
        <v>1086</v>
      </c>
      <c r="D725" s="182" t="s">
        <v>4624</v>
      </c>
      <c r="E725" s="181" t="s">
        <v>4815</v>
      </c>
      <c r="F725" s="182"/>
      <c r="G725" s="182">
        <v>5276.24</v>
      </c>
      <c r="H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  <c r="Z725" s="182"/>
      <c r="AA725" s="182"/>
      <c r="AB725" s="182"/>
      <c r="AC725" s="182"/>
      <c r="AD725" s="182"/>
      <c r="AE725" s="182"/>
      <c r="AF725" s="182"/>
      <c r="AG725" s="182"/>
      <c r="AH725" s="182"/>
      <c r="AI725" s="182"/>
      <c r="AJ725" s="182"/>
      <c r="AK725" s="182"/>
      <c r="AL725" s="182"/>
      <c r="AM725" s="182"/>
      <c r="AN725" s="182"/>
      <c r="AO725" s="182"/>
      <c r="AP725" s="182"/>
      <c r="AQ725" s="185">
        <f t="shared" si="120"/>
        <v>5276.24</v>
      </c>
      <c r="AR725" s="182">
        <v>3526.05</v>
      </c>
      <c r="AS725" s="182">
        <v>478.95</v>
      </c>
      <c r="AT725" s="182">
        <v>1271.24</v>
      </c>
      <c r="AU725" s="182"/>
      <c r="AV725" s="182"/>
      <c r="AW725" s="182"/>
      <c r="AX725" s="182"/>
      <c r="AY725" s="182"/>
      <c r="AZ725" s="182"/>
      <c r="BA725" s="182"/>
      <c r="BB725" s="182"/>
      <c r="BC725" s="182"/>
      <c r="BD725" s="182"/>
      <c r="BE725" s="182"/>
      <c r="BF725" s="182"/>
      <c r="BG725" s="182"/>
      <c r="BH725" s="182"/>
      <c r="BI725" s="182"/>
      <c r="BJ725" s="182"/>
      <c r="BK725" s="182"/>
      <c r="BL725" s="182"/>
      <c r="BM725" s="182"/>
      <c r="BN725" s="182"/>
      <c r="BO725" s="182"/>
      <c r="BP725" s="182"/>
      <c r="BQ725" s="182"/>
      <c r="BR725" s="182"/>
      <c r="BS725" s="182"/>
      <c r="BT725" s="182"/>
      <c r="BU725" s="182"/>
      <c r="BV725" s="182"/>
      <c r="BW725" s="182"/>
      <c r="BX725" s="182"/>
      <c r="BY725" s="182"/>
      <c r="BZ725" s="182"/>
      <c r="CA725" s="182"/>
      <c r="CB725" s="185">
        <f t="shared" si="121"/>
        <v>5276.24</v>
      </c>
      <c r="CC725" s="185">
        <f t="shared" si="122"/>
        <v>0</v>
      </c>
      <c r="CD725" s="185">
        <f t="shared" si="123"/>
        <v>1086</v>
      </c>
      <c r="CE725" s="185" t="e">
        <f>+#REF!</f>
        <v>#REF!</v>
      </c>
    </row>
    <row r="726" spans="2:83" s="197" customFormat="1" ht="37.5" x14ac:dyDescent="0.3">
      <c r="B726" s="182">
        <v>2238</v>
      </c>
      <c r="C726" s="182">
        <v>1087</v>
      </c>
      <c r="D726" s="182" t="s">
        <v>4624</v>
      </c>
      <c r="E726" s="181" t="s">
        <v>4816</v>
      </c>
      <c r="F726" s="182"/>
      <c r="G726" s="182">
        <v>1160.78</v>
      </c>
      <c r="H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  <c r="Z726" s="182"/>
      <c r="AA726" s="182"/>
      <c r="AB726" s="182"/>
      <c r="AC726" s="182"/>
      <c r="AD726" s="182"/>
      <c r="AE726" s="182"/>
      <c r="AF726" s="182"/>
      <c r="AG726" s="182"/>
      <c r="AH726" s="182"/>
      <c r="AI726" s="182"/>
      <c r="AJ726" s="182"/>
      <c r="AK726" s="182"/>
      <c r="AL726" s="182"/>
      <c r="AM726" s="182"/>
      <c r="AN726" s="182"/>
      <c r="AO726" s="182"/>
      <c r="AP726" s="182"/>
      <c r="AQ726" s="185">
        <f t="shared" si="120"/>
        <v>1160.78</v>
      </c>
      <c r="AR726" s="182">
        <v>777.7</v>
      </c>
      <c r="AS726" s="182">
        <v>103.4</v>
      </c>
      <c r="AT726" s="182">
        <v>279.68</v>
      </c>
      <c r="AU726" s="182"/>
      <c r="AV726" s="182"/>
      <c r="AW726" s="182"/>
      <c r="AX726" s="182"/>
      <c r="AY726" s="182"/>
      <c r="AZ726" s="182"/>
      <c r="BA726" s="182"/>
      <c r="BB726" s="182"/>
      <c r="BC726" s="182"/>
      <c r="BD726" s="182"/>
      <c r="BE726" s="182"/>
      <c r="BF726" s="182"/>
      <c r="BG726" s="182"/>
      <c r="BH726" s="182"/>
      <c r="BI726" s="182"/>
      <c r="BJ726" s="182"/>
      <c r="BK726" s="182"/>
      <c r="BL726" s="182"/>
      <c r="BM726" s="182"/>
      <c r="BN726" s="182"/>
      <c r="BO726" s="182"/>
      <c r="BP726" s="182"/>
      <c r="BQ726" s="182"/>
      <c r="BR726" s="182"/>
      <c r="BS726" s="182"/>
      <c r="BT726" s="182"/>
      <c r="BU726" s="182"/>
      <c r="BV726" s="182"/>
      <c r="BW726" s="182"/>
      <c r="BX726" s="182"/>
      <c r="BY726" s="182"/>
      <c r="BZ726" s="182"/>
      <c r="CA726" s="182"/>
      <c r="CB726" s="185">
        <f t="shared" si="121"/>
        <v>1160.78</v>
      </c>
      <c r="CC726" s="185">
        <f t="shared" si="122"/>
        <v>0</v>
      </c>
      <c r="CD726" s="185">
        <f t="shared" si="123"/>
        <v>1087</v>
      </c>
      <c r="CE726" s="185" t="e">
        <f>+#REF!</f>
        <v>#REF!</v>
      </c>
    </row>
    <row r="727" spans="2:83" s="197" customFormat="1" ht="37.5" x14ac:dyDescent="0.3">
      <c r="B727" s="182">
        <v>2239</v>
      </c>
      <c r="C727" s="182">
        <v>1088</v>
      </c>
      <c r="D727" s="182" t="s">
        <v>4624</v>
      </c>
      <c r="E727" s="181" t="s">
        <v>4816</v>
      </c>
      <c r="F727" s="182"/>
      <c r="G727" s="182">
        <v>23446.68</v>
      </c>
      <c r="H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  <c r="Z727" s="182"/>
      <c r="AA727" s="182"/>
      <c r="AB727" s="182"/>
      <c r="AC727" s="182"/>
      <c r="AD727" s="182"/>
      <c r="AE727" s="182"/>
      <c r="AF727" s="182"/>
      <c r="AG727" s="182"/>
      <c r="AH727" s="182"/>
      <c r="AI727" s="182"/>
      <c r="AJ727" s="182"/>
      <c r="AK727" s="182"/>
      <c r="AL727" s="182"/>
      <c r="AM727" s="182"/>
      <c r="AN727" s="182"/>
      <c r="AO727" s="182"/>
      <c r="AP727" s="182"/>
      <c r="AQ727" s="185">
        <f t="shared" si="120"/>
        <v>23446.68</v>
      </c>
      <c r="AR727" s="182">
        <v>15785.9</v>
      </c>
      <c r="AS727" s="182">
        <v>2094</v>
      </c>
      <c r="AT727" s="182">
        <v>5566.78</v>
      </c>
      <c r="AU727" s="182"/>
      <c r="AV727" s="182"/>
      <c r="AW727" s="182"/>
      <c r="AX727" s="182"/>
      <c r="AY727" s="182"/>
      <c r="AZ727" s="182"/>
      <c r="BA727" s="182"/>
      <c r="BB727" s="182"/>
      <c r="BC727" s="182"/>
      <c r="BD727" s="182"/>
      <c r="BE727" s="182"/>
      <c r="BF727" s="182"/>
      <c r="BG727" s="182"/>
      <c r="BH727" s="182"/>
      <c r="BI727" s="182"/>
      <c r="BJ727" s="182"/>
      <c r="BK727" s="182"/>
      <c r="BL727" s="182"/>
      <c r="BM727" s="182"/>
      <c r="BN727" s="182"/>
      <c r="BO727" s="182"/>
      <c r="BP727" s="182"/>
      <c r="BQ727" s="182"/>
      <c r="BR727" s="182"/>
      <c r="BS727" s="182"/>
      <c r="BT727" s="182"/>
      <c r="BU727" s="182"/>
      <c r="BV727" s="182"/>
      <c r="BW727" s="182"/>
      <c r="BX727" s="182"/>
      <c r="BY727" s="182"/>
      <c r="BZ727" s="182"/>
      <c r="CA727" s="182"/>
      <c r="CB727" s="185">
        <f t="shared" si="121"/>
        <v>23446.68</v>
      </c>
      <c r="CC727" s="185">
        <f t="shared" si="122"/>
        <v>0</v>
      </c>
      <c r="CD727" s="185">
        <f t="shared" si="123"/>
        <v>1088</v>
      </c>
      <c r="CE727" s="185" t="e">
        <f>+#REF!</f>
        <v>#REF!</v>
      </c>
    </row>
    <row r="728" spans="2:83" s="197" customFormat="1" ht="37.5" x14ac:dyDescent="0.3">
      <c r="B728" s="182">
        <v>2241</v>
      </c>
      <c r="C728" s="182">
        <v>1089</v>
      </c>
      <c r="D728" s="182" t="s">
        <v>4624</v>
      </c>
      <c r="E728" s="181" t="s">
        <v>4816</v>
      </c>
      <c r="F728" s="182"/>
      <c r="G728" s="182">
        <v>504.18</v>
      </c>
      <c r="H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5">
        <f t="shared" si="120"/>
        <v>504.18</v>
      </c>
      <c r="AR728" s="182">
        <v>338.02</v>
      </c>
      <c r="AS728" s="182">
        <f>43+1.68</f>
        <v>44.68</v>
      </c>
      <c r="AT728" s="182">
        <v>121.48</v>
      </c>
      <c r="AU728" s="182"/>
      <c r="AV728" s="182"/>
      <c r="AW728" s="182"/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/>
      <c r="BH728" s="182"/>
      <c r="BI728" s="182"/>
      <c r="BJ728" s="182"/>
      <c r="BK728" s="182"/>
      <c r="BL728" s="182"/>
      <c r="BM728" s="182"/>
      <c r="BN728" s="182"/>
      <c r="BO728" s="182"/>
      <c r="BP728" s="182"/>
      <c r="BQ728" s="182"/>
      <c r="BR728" s="182"/>
      <c r="BS728" s="182"/>
      <c r="BT728" s="182"/>
      <c r="BU728" s="182"/>
      <c r="BV728" s="182"/>
      <c r="BW728" s="182"/>
      <c r="BX728" s="182"/>
      <c r="BY728" s="182"/>
      <c r="BZ728" s="182"/>
      <c r="CA728" s="182"/>
      <c r="CB728" s="185">
        <f t="shared" si="121"/>
        <v>504.18</v>
      </c>
      <c r="CC728" s="185">
        <f t="shared" si="122"/>
        <v>0</v>
      </c>
      <c r="CD728" s="185">
        <f t="shared" si="123"/>
        <v>1089</v>
      </c>
      <c r="CE728" s="185" t="e">
        <f>+#REF!</f>
        <v>#REF!</v>
      </c>
    </row>
    <row r="729" spans="2:83" s="197" customFormat="1" ht="37.5" x14ac:dyDescent="0.3">
      <c r="B729" s="182">
        <v>2247</v>
      </c>
      <c r="C729" s="182">
        <v>1090</v>
      </c>
      <c r="D729" s="182" t="s">
        <v>4624</v>
      </c>
      <c r="E729" s="181" t="s">
        <v>4816</v>
      </c>
      <c r="F729" s="182"/>
      <c r="G729" s="182">
        <v>5862.5</v>
      </c>
      <c r="H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5">
        <f t="shared" si="120"/>
        <v>5862.5</v>
      </c>
      <c r="AR729" s="182">
        <v>3919.05</v>
      </c>
      <c r="AS729" s="182">
        <v>530.95000000000005</v>
      </c>
      <c r="AT729" s="182">
        <v>1412.5</v>
      </c>
      <c r="AU729" s="182"/>
      <c r="AV729" s="182"/>
      <c r="AW729" s="182"/>
      <c r="AX729" s="182"/>
      <c r="AY729" s="182"/>
      <c r="AZ729" s="182"/>
      <c r="BA729" s="182"/>
      <c r="BB729" s="182"/>
      <c r="BC729" s="182"/>
      <c r="BD729" s="182"/>
      <c r="BE729" s="182"/>
      <c r="BF729" s="182"/>
      <c r="BG729" s="182"/>
      <c r="BH729" s="182"/>
      <c r="BI729" s="182"/>
      <c r="BJ729" s="182"/>
      <c r="BK729" s="182"/>
      <c r="BL729" s="182"/>
      <c r="BM729" s="182"/>
      <c r="BN729" s="182"/>
      <c r="BO729" s="182"/>
      <c r="BP729" s="182"/>
      <c r="BQ729" s="182"/>
      <c r="BR729" s="182"/>
      <c r="BS729" s="182"/>
      <c r="BT729" s="182"/>
      <c r="BU729" s="182"/>
      <c r="BV729" s="182"/>
      <c r="BW729" s="182"/>
      <c r="BX729" s="182"/>
      <c r="BY729" s="182"/>
      <c r="BZ729" s="182"/>
      <c r="CA729" s="182"/>
      <c r="CB729" s="185">
        <f t="shared" si="121"/>
        <v>5862.5</v>
      </c>
      <c r="CC729" s="185">
        <f t="shared" si="122"/>
        <v>0</v>
      </c>
      <c r="CD729" s="185">
        <f t="shared" si="123"/>
        <v>1090</v>
      </c>
      <c r="CE729" s="185" t="e">
        <f>+#REF!</f>
        <v>#REF!</v>
      </c>
    </row>
    <row r="730" spans="2:83" s="197" customFormat="1" ht="37.5" x14ac:dyDescent="0.3">
      <c r="B730" s="182">
        <v>2254</v>
      </c>
      <c r="C730" s="182">
        <v>1091</v>
      </c>
      <c r="D730" s="182" t="s">
        <v>4624</v>
      </c>
      <c r="E730" s="181" t="s">
        <v>4209</v>
      </c>
      <c r="F730" s="182"/>
      <c r="G730" s="182">
        <v>293.12</v>
      </c>
      <c r="H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  <c r="Z730" s="182"/>
      <c r="AA730" s="182"/>
      <c r="AB730" s="182"/>
      <c r="AC730" s="182"/>
      <c r="AD730" s="182"/>
      <c r="AE730" s="182"/>
      <c r="AF730" s="182"/>
      <c r="AG730" s="182"/>
      <c r="AH730" s="182"/>
      <c r="AI730" s="182"/>
      <c r="AJ730" s="182"/>
      <c r="AK730" s="182"/>
      <c r="AL730" s="182"/>
      <c r="AM730" s="182"/>
      <c r="AN730" s="182"/>
      <c r="AO730" s="182"/>
      <c r="AP730" s="182"/>
      <c r="AQ730" s="185">
        <f t="shared" si="120"/>
        <v>293.12</v>
      </c>
      <c r="AR730" s="182">
        <v>196.45</v>
      </c>
      <c r="AS730" s="182">
        <v>26.05</v>
      </c>
      <c r="AT730" s="182">
        <v>70.62</v>
      </c>
      <c r="AU730" s="182"/>
      <c r="AV730" s="182"/>
      <c r="AW730" s="182"/>
      <c r="AX730" s="182"/>
      <c r="AY730" s="182"/>
      <c r="AZ730" s="182"/>
      <c r="BA730" s="182"/>
      <c r="BB730" s="182"/>
      <c r="BC730" s="182"/>
      <c r="BD730" s="182"/>
      <c r="BE730" s="182"/>
      <c r="BF730" s="182"/>
      <c r="BG730" s="182"/>
      <c r="BH730" s="182"/>
      <c r="BI730" s="182"/>
      <c r="BJ730" s="182"/>
      <c r="BK730" s="182"/>
      <c r="BL730" s="182"/>
      <c r="BM730" s="182"/>
      <c r="BN730" s="182"/>
      <c r="BO730" s="182"/>
      <c r="BP730" s="182"/>
      <c r="BQ730" s="182"/>
      <c r="BR730" s="182"/>
      <c r="BS730" s="182"/>
      <c r="BT730" s="182"/>
      <c r="BU730" s="182"/>
      <c r="BV730" s="182"/>
      <c r="BW730" s="182"/>
      <c r="BX730" s="182"/>
      <c r="BY730" s="182"/>
      <c r="BZ730" s="182"/>
      <c r="CA730" s="182"/>
      <c r="CB730" s="185">
        <f t="shared" si="121"/>
        <v>293.12</v>
      </c>
      <c r="CC730" s="185">
        <f t="shared" si="122"/>
        <v>0</v>
      </c>
      <c r="CD730" s="185">
        <f t="shared" si="123"/>
        <v>1091</v>
      </c>
      <c r="CE730" s="185" t="e">
        <f>+#REF!</f>
        <v>#REF!</v>
      </c>
    </row>
    <row r="731" spans="2:83" s="197" customFormat="1" ht="37.5" x14ac:dyDescent="0.3">
      <c r="B731" s="182">
        <v>2253</v>
      </c>
      <c r="C731" s="182">
        <v>1092</v>
      </c>
      <c r="D731" s="182" t="s">
        <v>4624</v>
      </c>
      <c r="E731" s="181" t="s">
        <v>4817</v>
      </c>
      <c r="F731" s="182"/>
      <c r="G731" s="182">
        <v>351.75</v>
      </c>
      <c r="H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5">
        <f t="shared" si="120"/>
        <v>351.75</v>
      </c>
      <c r="AR731" s="182">
        <v>235.55</v>
      </c>
      <c r="AS731" s="182">
        <v>31.45</v>
      </c>
      <c r="AT731" s="182">
        <v>84.75</v>
      </c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/>
      <c r="BH731" s="182"/>
      <c r="BI731" s="182"/>
      <c r="BJ731" s="182"/>
      <c r="BK731" s="182"/>
      <c r="BL731" s="182"/>
      <c r="BM731" s="182"/>
      <c r="BN731" s="182"/>
      <c r="BO731" s="182"/>
      <c r="BP731" s="182"/>
      <c r="BQ731" s="182"/>
      <c r="BR731" s="182"/>
      <c r="BS731" s="182"/>
      <c r="BT731" s="182"/>
      <c r="BU731" s="182"/>
      <c r="BV731" s="182"/>
      <c r="BW731" s="182"/>
      <c r="BX731" s="182"/>
      <c r="BY731" s="182"/>
      <c r="BZ731" s="182"/>
      <c r="CA731" s="182"/>
      <c r="CB731" s="185">
        <f t="shared" si="121"/>
        <v>351.75</v>
      </c>
      <c r="CC731" s="185">
        <f t="shared" si="122"/>
        <v>0</v>
      </c>
      <c r="CD731" s="185">
        <f t="shared" si="123"/>
        <v>1092</v>
      </c>
      <c r="CE731" s="185" t="e">
        <f>+#REF!</f>
        <v>#REF!</v>
      </c>
    </row>
    <row r="732" spans="2:83" s="197" customFormat="1" ht="37.5" x14ac:dyDescent="0.3">
      <c r="B732" s="182">
        <v>2252</v>
      </c>
      <c r="C732" s="182">
        <v>1093</v>
      </c>
      <c r="D732" s="182" t="s">
        <v>4624</v>
      </c>
      <c r="E732" s="181" t="s">
        <v>4818</v>
      </c>
      <c r="F732" s="182"/>
      <c r="G732" s="182">
        <v>1639.94</v>
      </c>
      <c r="H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2"/>
      <c r="X732" s="182"/>
      <c r="Y732" s="182"/>
      <c r="Z732" s="182"/>
      <c r="AA732" s="182"/>
      <c r="AB732" s="182"/>
      <c r="AC732" s="182"/>
      <c r="AD732" s="182"/>
      <c r="AE732" s="182"/>
      <c r="AF732" s="182"/>
      <c r="AG732" s="182"/>
      <c r="AH732" s="182"/>
      <c r="AI732" s="182"/>
      <c r="AJ732" s="182"/>
      <c r="AK732" s="182"/>
      <c r="AL732" s="182"/>
      <c r="AM732" s="182"/>
      <c r="AN732" s="182"/>
      <c r="AO732" s="182"/>
      <c r="AP732" s="182"/>
      <c r="AQ732" s="185">
        <f t="shared" si="120"/>
        <v>1639.94</v>
      </c>
      <c r="AR732" s="182">
        <v>1250.52</v>
      </c>
      <c r="AS732" s="182">
        <v>160.25</v>
      </c>
      <c r="AT732" s="182">
        <v>229.17</v>
      </c>
      <c r="AU732" s="182"/>
      <c r="AV732" s="182"/>
      <c r="AW732" s="182"/>
      <c r="AX732" s="182"/>
      <c r="AY732" s="182"/>
      <c r="AZ732" s="182"/>
      <c r="BA732" s="182"/>
      <c r="BB732" s="182"/>
      <c r="BC732" s="182"/>
      <c r="BD732" s="182"/>
      <c r="BE732" s="182"/>
      <c r="BF732" s="182"/>
      <c r="BG732" s="182"/>
      <c r="BH732" s="182"/>
      <c r="BI732" s="182"/>
      <c r="BJ732" s="182"/>
      <c r="BK732" s="182"/>
      <c r="BL732" s="182"/>
      <c r="BM732" s="182"/>
      <c r="BN732" s="182"/>
      <c r="BO732" s="182"/>
      <c r="BP732" s="182"/>
      <c r="BQ732" s="182"/>
      <c r="BR732" s="182"/>
      <c r="BS732" s="182"/>
      <c r="BT732" s="182"/>
      <c r="BU732" s="182"/>
      <c r="BV732" s="182"/>
      <c r="BW732" s="182"/>
      <c r="BX732" s="182"/>
      <c r="BY732" s="182"/>
      <c r="BZ732" s="182"/>
      <c r="CA732" s="182"/>
      <c r="CB732" s="185">
        <f t="shared" si="121"/>
        <v>1639.94</v>
      </c>
      <c r="CC732" s="185">
        <f t="shared" si="122"/>
        <v>0</v>
      </c>
      <c r="CD732" s="185">
        <f t="shared" si="123"/>
        <v>1093</v>
      </c>
      <c r="CE732" s="185" t="e">
        <f>+#REF!</f>
        <v>#REF!</v>
      </c>
    </row>
    <row r="733" spans="2:83" s="197" customFormat="1" ht="37.5" x14ac:dyDescent="0.3">
      <c r="B733" s="182">
        <v>2251</v>
      </c>
      <c r="C733" s="182">
        <v>1094</v>
      </c>
      <c r="D733" s="182" t="s">
        <v>4624</v>
      </c>
      <c r="E733" s="181" t="s">
        <v>4818</v>
      </c>
      <c r="F733" s="182"/>
      <c r="G733" s="182">
        <v>1524.25</v>
      </c>
      <c r="H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  <c r="Z733" s="182"/>
      <c r="AA733" s="182"/>
      <c r="AB733" s="182"/>
      <c r="AC733" s="182"/>
      <c r="AD733" s="182"/>
      <c r="AE733" s="182"/>
      <c r="AF733" s="182"/>
      <c r="AG733" s="182"/>
      <c r="AH733" s="182"/>
      <c r="AI733" s="182"/>
      <c r="AJ733" s="182"/>
      <c r="AK733" s="182"/>
      <c r="AL733" s="182"/>
      <c r="AM733" s="182"/>
      <c r="AN733" s="182"/>
      <c r="AO733" s="182"/>
      <c r="AP733" s="182"/>
      <c r="AQ733" s="185">
        <f t="shared" si="120"/>
        <v>1524.25</v>
      </c>
      <c r="AR733" s="182">
        <v>1018.7</v>
      </c>
      <c r="AS733" s="182">
        <v>138.30000000000001</v>
      </c>
      <c r="AT733" s="182">
        <v>367.25</v>
      </c>
      <c r="AU733" s="182"/>
      <c r="AV733" s="182"/>
      <c r="AW733" s="182"/>
      <c r="AX733" s="182"/>
      <c r="AY733" s="182"/>
      <c r="AZ733" s="182"/>
      <c r="BA733" s="182"/>
      <c r="BB733" s="182"/>
      <c r="BC733" s="182"/>
      <c r="BD733" s="182"/>
      <c r="BE733" s="182"/>
      <c r="BF733" s="182"/>
      <c r="BG733" s="182"/>
      <c r="BH733" s="182"/>
      <c r="BI733" s="182"/>
      <c r="BJ733" s="182"/>
      <c r="BK733" s="182"/>
      <c r="BL733" s="182"/>
      <c r="BM733" s="182"/>
      <c r="BN733" s="182"/>
      <c r="BO733" s="182"/>
      <c r="BP733" s="182"/>
      <c r="BQ733" s="182"/>
      <c r="BR733" s="182"/>
      <c r="BS733" s="182"/>
      <c r="BT733" s="182"/>
      <c r="BU733" s="182"/>
      <c r="BV733" s="182"/>
      <c r="BW733" s="182"/>
      <c r="BX733" s="182"/>
      <c r="BY733" s="182"/>
      <c r="BZ733" s="182"/>
      <c r="CA733" s="182"/>
      <c r="CB733" s="185">
        <f t="shared" si="121"/>
        <v>1524.25</v>
      </c>
      <c r="CC733" s="185">
        <f t="shared" si="122"/>
        <v>0</v>
      </c>
      <c r="CD733" s="185">
        <f t="shared" si="123"/>
        <v>1094</v>
      </c>
      <c r="CE733" s="185" t="e">
        <f>+#REF!</f>
        <v>#REF!</v>
      </c>
    </row>
    <row r="734" spans="2:83" s="197" customFormat="1" ht="37.5" x14ac:dyDescent="0.3">
      <c r="B734" s="182">
        <v>2249</v>
      </c>
      <c r="C734" s="182">
        <v>1095</v>
      </c>
      <c r="D734" s="182" t="s">
        <v>4624</v>
      </c>
      <c r="E734" s="181" t="s">
        <v>2705</v>
      </c>
      <c r="F734" s="182"/>
      <c r="G734" s="182">
        <v>3148.62</v>
      </c>
      <c r="H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5">
        <f t="shared" si="120"/>
        <v>3148.62</v>
      </c>
      <c r="AR734" s="182">
        <v>2615.38</v>
      </c>
      <c r="AS734" s="182">
        <v>322.60000000000002</v>
      </c>
      <c r="AT734" s="182">
        <v>210.64</v>
      </c>
      <c r="AU734" s="182"/>
      <c r="AV734" s="182"/>
      <c r="AW734" s="182"/>
      <c r="AX734" s="182"/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182"/>
      <c r="BK734" s="182"/>
      <c r="BL734" s="182"/>
      <c r="BM734" s="182"/>
      <c r="BN734" s="182"/>
      <c r="BO734" s="182"/>
      <c r="BP734" s="182"/>
      <c r="BQ734" s="182"/>
      <c r="BR734" s="182"/>
      <c r="BS734" s="182"/>
      <c r="BT734" s="182"/>
      <c r="BU734" s="182"/>
      <c r="BV734" s="182"/>
      <c r="BW734" s="182"/>
      <c r="BX734" s="182"/>
      <c r="BY734" s="182"/>
      <c r="BZ734" s="182"/>
      <c r="CA734" s="182"/>
      <c r="CB734" s="185">
        <f t="shared" si="121"/>
        <v>3148.62</v>
      </c>
      <c r="CC734" s="185">
        <f t="shared" si="122"/>
        <v>0</v>
      </c>
      <c r="CD734" s="185">
        <f t="shared" si="123"/>
        <v>1095</v>
      </c>
      <c r="CE734" s="185" t="e">
        <f>+#REF!</f>
        <v>#REF!</v>
      </c>
    </row>
    <row r="735" spans="2:83" s="197" customFormat="1" ht="37.5" x14ac:dyDescent="0.3">
      <c r="B735" s="182">
        <v>2248</v>
      </c>
      <c r="C735" s="182">
        <v>1096</v>
      </c>
      <c r="D735" s="182" t="s">
        <v>4624</v>
      </c>
      <c r="E735" s="181" t="s">
        <v>4819</v>
      </c>
      <c r="F735" s="182"/>
      <c r="G735" s="182">
        <v>25372.04</v>
      </c>
      <c r="H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  <c r="Z735" s="182"/>
      <c r="AA735" s="182"/>
      <c r="AB735" s="182"/>
      <c r="AC735" s="182"/>
      <c r="AD735" s="182"/>
      <c r="AE735" s="182"/>
      <c r="AF735" s="182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5">
        <f t="shared" si="120"/>
        <v>25372.04</v>
      </c>
      <c r="AR735" s="182">
        <v>22373.200000000001</v>
      </c>
      <c r="AS735" s="182">
        <v>2717.1</v>
      </c>
      <c r="AT735" s="182">
        <v>281.74</v>
      </c>
      <c r="AU735" s="182"/>
      <c r="AV735" s="182"/>
      <c r="AW735" s="182"/>
      <c r="AX735" s="182"/>
      <c r="AY735" s="182"/>
      <c r="AZ735" s="182"/>
      <c r="BA735" s="182"/>
      <c r="BB735" s="182"/>
      <c r="BC735" s="182"/>
      <c r="BD735" s="182"/>
      <c r="BE735" s="182"/>
      <c r="BF735" s="182"/>
      <c r="BG735" s="182"/>
      <c r="BH735" s="182"/>
      <c r="BI735" s="182"/>
      <c r="BJ735" s="182"/>
      <c r="BK735" s="182"/>
      <c r="BL735" s="182"/>
      <c r="BM735" s="182"/>
      <c r="BN735" s="182"/>
      <c r="BO735" s="182"/>
      <c r="BP735" s="182"/>
      <c r="BQ735" s="182"/>
      <c r="BR735" s="182"/>
      <c r="BS735" s="182"/>
      <c r="BT735" s="182"/>
      <c r="BU735" s="182"/>
      <c r="BV735" s="182"/>
      <c r="BW735" s="182"/>
      <c r="BX735" s="182"/>
      <c r="BY735" s="182"/>
      <c r="BZ735" s="182"/>
      <c r="CA735" s="182"/>
      <c r="CB735" s="185">
        <f t="shared" si="121"/>
        <v>25372.04</v>
      </c>
      <c r="CC735" s="185">
        <f t="shared" si="122"/>
        <v>0</v>
      </c>
      <c r="CD735" s="185">
        <f t="shared" si="123"/>
        <v>1096</v>
      </c>
      <c r="CE735" s="185" t="e">
        <f>+#REF!</f>
        <v>#REF!</v>
      </c>
    </row>
    <row r="736" spans="2:83" s="197" customFormat="1" ht="37.5" x14ac:dyDescent="0.3">
      <c r="B736" s="182">
        <v>2240</v>
      </c>
      <c r="C736" s="182">
        <v>1097</v>
      </c>
      <c r="D736" s="182" t="s">
        <v>4624</v>
      </c>
      <c r="E736" s="181" t="s">
        <v>4820</v>
      </c>
      <c r="F736" s="182"/>
      <c r="G736" s="182">
        <v>8193.26</v>
      </c>
      <c r="H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  <c r="Z736" s="182"/>
      <c r="AA736" s="182"/>
      <c r="AB736" s="182"/>
      <c r="AC736" s="182"/>
      <c r="AD736" s="182"/>
      <c r="AE736" s="182"/>
      <c r="AF736" s="182"/>
      <c r="AG736" s="182"/>
      <c r="AH736" s="182"/>
      <c r="AI736" s="182"/>
      <c r="AJ736" s="182"/>
      <c r="AK736" s="182"/>
      <c r="AL736" s="182"/>
      <c r="AM736" s="182"/>
      <c r="AN736" s="182"/>
      <c r="AO736" s="182"/>
      <c r="AP736" s="182"/>
      <c r="AQ736" s="185">
        <f t="shared" si="120"/>
        <v>8193.26</v>
      </c>
      <c r="AR736" s="182">
        <v>7492.73</v>
      </c>
      <c r="AS736" s="182">
        <f>170+50.27</f>
        <v>220.27</v>
      </c>
      <c r="AT736" s="182">
        <v>480.26</v>
      </c>
      <c r="AU736" s="182"/>
      <c r="AV736" s="182"/>
      <c r="AW736" s="182"/>
      <c r="AX736" s="182"/>
      <c r="AY736" s="182"/>
      <c r="AZ736" s="182"/>
      <c r="BA736" s="182"/>
      <c r="BB736" s="182"/>
      <c r="BC736" s="182"/>
      <c r="BD736" s="182"/>
      <c r="BE736" s="182"/>
      <c r="BF736" s="182"/>
      <c r="BG736" s="182"/>
      <c r="BH736" s="182"/>
      <c r="BI736" s="182"/>
      <c r="BJ736" s="182"/>
      <c r="BK736" s="182"/>
      <c r="BL736" s="182"/>
      <c r="BM736" s="182"/>
      <c r="BN736" s="182"/>
      <c r="BO736" s="182"/>
      <c r="BP736" s="182"/>
      <c r="BQ736" s="182"/>
      <c r="BR736" s="182"/>
      <c r="BS736" s="182"/>
      <c r="BT736" s="182"/>
      <c r="BU736" s="182"/>
      <c r="BV736" s="182"/>
      <c r="BW736" s="182"/>
      <c r="BX736" s="182"/>
      <c r="BY736" s="182"/>
      <c r="BZ736" s="182"/>
      <c r="CA736" s="182"/>
      <c r="CB736" s="185">
        <f t="shared" si="121"/>
        <v>8193.26</v>
      </c>
      <c r="CC736" s="185">
        <f t="shared" si="122"/>
        <v>0</v>
      </c>
      <c r="CD736" s="185">
        <f t="shared" si="123"/>
        <v>1097</v>
      </c>
      <c r="CE736" s="185" t="e">
        <f>+#REF!</f>
        <v>#REF!</v>
      </c>
    </row>
    <row r="737" spans="2:83" s="197" customFormat="1" ht="37.5" x14ac:dyDescent="0.3">
      <c r="B737" s="182">
        <v>2237</v>
      </c>
      <c r="C737" s="182">
        <v>1098</v>
      </c>
      <c r="D737" s="182" t="s">
        <v>4624</v>
      </c>
      <c r="E737" s="181" t="s">
        <v>4820</v>
      </c>
      <c r="F737" s="182"/>
      <c r="G737" s="182">
        <v>7445.34</v>
      </c>
      <c r="H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  <c r="Z737" s="182"/>
      <c r="AA737" s="182"/>
      <c r="AB737" s="182"/>
      <c r="AC737" s="182"/>
      <c r="AD737" s="182"/>
      <c r="AE737" s="182"/>
      <c r="AF737" s="182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5">
        <f t="shared" si="120"/>
        <v>7445.34</v>
      </c>
      <c r="AR737" s="182">
        <v>4983.8999999999996</v>
      </c>
      <c r="AS737" s="182">
        <v>667.6</v>
      </c>
      <c r="AT737" s="182">
        <v>1793.84</v>
      </c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182"/>
      <c r="BK737" s="182"/>
      <c r="BL737" s="182"/>
      <c r="BM737" s="182"/>
      <c r="BN737" s="182"/>
      <c r="BO737" s="182"/>
      <c r="BP737" s="182"/>
      <c r="BQ737" s="182"/>
      <c r="BR737" s="182"/>
      <c r="BS737" s="182"/>
      <c r="BT737" s="182"/>
      <c r="BU737" s="182"/>
      <c r="BV737" s="182"/>
      <c r="BW737" s="182"/>
      <c r="BX737" s="182"/>
      <c r="BY737" s="182"/>
      <c r="BZ737" s="182"/>
      <c r="CA737" s="182"/>
      <c r="CB737" s="185">
        <f t="shared" si="121"/>
        <v>7445.34</v>
      </c>
      <c r="CC737" s="185">
        <f t="shared" si="122"/>
        <v>0</v>
      </c>
      <c r="CD737" s="185">
        <f t="shared" si="123"/>
        <v>1098</v>
      </c>
      <c r="CE737" s="185" t="e">
        <f>+#REF!</f>
        <v>#REF!</v>
      </c>
    </row>
    <row r="738" spans="2:83" s="197" customFormat="1" ht="37.5" x14ac:dyDescent="0.3">
      <c r="B738" s="182">
        <v>2234</v>
      </c>
      <c r="C738" s="182">
        <v>1099</v>
      </c>
      <c r="D738" s="182" t="s">
        <v>4624</v>
      </c>
      <c r="E738" s="181" t="s">
        <v>4820</v>
      </c>
      <c r="F738" s="182"/>
      <c r="G738" s="182">
        <v>1876</v>
      </c>
      <c r="H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/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5">
        <f t="shared" si="120"/>
        <v>1876</v>
      </c>
      <c r="AR738" s="182">
        <v>1255.3499999999999</v>
      </c>
      <c r="AS738" s="182">
        <v>168.65</v>
      </c>
      <c r="AT738" s="182">
        <v>452</v>
      </c>
      <c r="AU738" s="182"/>
      <c r="AV738" s="182"/>
      <c r="AW738" s="182"/>
      <c r="AX738" s="182"/>
      <c r="AY738" s="182"/>
      <c r="AZ738" s="182"/>
      <c r="BA738" s="182"/>
      <c r="BB738" s="182"/>
      <c r="BC738" s="182"/>
      <c r="BD738" s="182"/>
      <c r="BE738" s="182"/>
      <c r="BF738" s="182"/>
      <c r="BG738" s="182"/>
      <c r="BH738" s="182"/>
      <c r="BI738" s="182"/>
      <c r="BJ738" s="182"/>
      <c r="BK738" s="182"/>
      <c r="BL738" s="182"/>
      <c r="BM738" s="182"/>
      <c r="BN738" s="182"/>
      <c r="BO738" s="182"/>
      <c r="BP738" s="182"/>
      <c r="BQ738" s="182"/>
      <c r="BR738" s="182"/>
      <c r="BS738" s="182"/>
      <c r="BT738" s="182"/>
      <c r="BU738" s="182"/>
      <c r="BV738" s="182"/>
      <c r="BW738" s="182"/>
      <c r="BX738" s="182"/>
      <c r="BY738" s="182"/>
      <c r="BZ738" s="182"/>
      <c r="CA738" s="182"/>
      <c r="CB738" s="185">
        <f t="shared" si="121"/>
        <v>1876</v>
      </c>
      <c r="CC738" s="185">
        <f t="shared" si="122"/>
        <v>0</v>
      </c>
      <c r="CD738" s="185">
        <f t="shared" si="123"/>
        <v>1099</v>
      </c>
      <c r="CE738" s="185" t="e">
        <f>+#REF!</f>
        <v>#REF!</v>
      </c>
    </row>
    <row r="739" spans="2:83" s="197" customFormat="1" ht="37.5" x14ac:dyDescent="0.3">
      <c r="B739" s="182">
        <v>2235</v>
      </c>
      <c r="C739" s="182">
        <v>1100</v>
      </c>
      <c r="D739" s="182" t="s">
        <v>4624</v>
      </c>
      <c r="E739" s="181" t="s">
        <v>4820</v>
      </c>
      <c r="F739" s="182"/>
      <c r="G739" s="182">
        <v>586.25</v>
      </c>
      <c r="H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  <c r="Z739" s="182"/>
      <c r="AA739" s="182"/>
      <c r="AB739" s="182"/>
      <c r="AC739" s="182"/>
      <c r="AD739" s="182"/>
      <c r="AE739" s="182"/>
      <c r="AF739" s="182"/>
      <c r="AG739" s="182"/>
      <c r="AH739" s="182"/>
      <c r="AI739" s="182"/>
      <c r="AJ739" s="182"/>
      <c r="AK739" s="182"/>
      <c r="AL739" s="182"/>
      <c r="AM739" s="182"/>
      <c r="AN739" s="182"/>
      <c r="AO739" s="182"/>
      <c r="AP739" s="182"/>
      <c r="AQ739" s="185">
        <f t="shared" si="120"/>
        <v>586.25</v>
      </c>
      <c r="AR739" s="182">
        <v>392.4</v>
      </c>
      <c r="AS739" s="182">
        <v>52.6</v>
      </c>
      <c r="AT739" s="182">
        <v>141.25</v>
      </c>
      <c r="AU739" s="182"/>
      <c r="AV739" s="182"/>
      <c r="AW739" s="182"/>
      <c r="AX739" s="182"/>
      <c r="AY739" s="182"/>
      <c r="AZ739" s="182"/>
      <c r="BA739" s="182"/>
      <c r="BB739" s="182"/>
      <c r="BC739" s="182"/>
      <c r="BD739" s="182"/>
      <c r="BE739" s="182"/>
      <c r="BF739" s="182"/>
      <c r="BG739" s="182"/>
      <c r="BH739" s="182"/>
      <c r="BI739" s="182"/>
      <c r="BJ739" s="182"/>
      <c r="BK739" s="182"/>
      <c r="BL739" s="182"/>
      <c r="BM739" s="182"/>
      <c r="BN739" s="182"/>
      <c r="BO739" s="182"/>
      <c r="BP739" s="182"/>
      <c r="BQ739" s="182"/>
      <c r="BR739" s="182"/>
      <c r="BS739" s="182"/>
      <c r="BT739" s="182"/>
      <c r="BU739" s="182"/>
      <c r="BV739" s="182"/>
      <c r="BW739" s="182"/>
      <c r="BX739" s="182"/>
      <c r="BY739" s="182"/>
      <c r="BZ739" s="182"/>
      <c r="CA739" s="182"/>
      <c r="CB739" s="185">
        <f t="shared" si="121"/>
        <v>586.25</v>
      </c>
      <c r="CC739" s="185">
        <f t="shared" si="122"/>
        <v>0</v>
      </c>
      <c r="CD739" s="185">
        <f t="shared" si="123"/>
        <v>1100</v>
      </c>
      <c r="CE739" s="185" t="e">
        <f>+#REF!</f>
        <v>#REF!</v>
      </c>
    </row>
    <row r="740" spans="2:83" s="197" customFormat="1" ht="37.5" x14ac:dyDescent="0.3">
      <c r="B740" s="182">
        <v>2236</v>
      </c>
      <c r="C740" s="182">
        <v>1101</v>
      </c>
      <c r="D740" s="182" t="s">
        <v>4624</v>
      </c>
      <c r="E740" s="181" t="s">
        <v>4820</v>
      </c>
      <c r="F740" s="182"/>
      <c r="G740" s="182">
        <v>586.25</v>
      </c>
      <c r="H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2"/>
      <c r="X740" s="182"/>
      <c r="Y740" s="182"/>
      <c r="Z740" s="182"/>
      <c r="AA740" s="182"/>
      <c r="AB740" s="182"/>
      <c r="AC740" s="182"/>
      <c r="AD740" s="182"/>
      <c r="AE740" s="182"/>
      <c r="AF740" s="182"/>
      <c r="AG740" s="182"/>
      <c r="AH740" s="182"/>
      <c r="AI740" s="182"/>
      <c r="AJ740" s="182"/>
      <c r="AK740" s="182"/>
      <c r="AL740" s="182"/>
      <c r="AM740" s="182"/>
      <c r="AN740" s="182"/>
      <c r="AO740" s="182"/>
      <c r="AP740" s="182"/>
      <c r="AQ740" s="185">
        <f t="shared" ref="AQ740:AQ745" si="124">SUM(G740:AP740)</f>
        <v>586.25</v>
      </c>
      <c r="AR740" s="182">
        <v>392.4</v>
      </c>
      <c r="AS740" s="182">
        <v>52.6</v>
      </c>
      <c r="AT740" s="182">
        <v>141.25</v>
      </c>
      <c r="AU740" s="182"/>
      <c r="AV740" s="182"/>
      <c r="AW740" s="182"/>
      <c r="AX740" s="182"/>
      <c r="AY740" s="182"/>
      <c r="AZ740" s="182"/>
      <c r="BA740" s="182"/>
      <c r="BB740" s="182"/>
      <c r="BC740" s="182"/>
      <c r="BD740" s="182"/>
      <c r="BE740" s="182"/>
      <c r="BF740" s="182"/>
      <c r="BG740" s="182"/>
      <c r="BH740" s="182"/>
      <c r="BI740" s="182"/>
      <c r="BJ740" s="182"/>
      <c r="BK740" s="182"/>
      <c r="BL740" s="182"/>
      <c r="BM740" s="182"/>
      <c r="BN740" s="182"/>
      <c r="BO740" s="182"/>
      <c r="BP740" s="182"/>
      <c r="BQ740" s="182"/>
      <c r="BR740" s="182"/>
      <c r="BS740" s="182"/>
      <c r="BT740" s="182"/>
      <c r="BU740" s="182"/>
      <c r="BV740" s="182"/>
      <c r="BW740" s="182"/>
      <c r="BX740" s="182"/>
      <c r="BY740" s="182"/>
      <c r="BZ740" s="182"/>
      <c r="CA740" s="182"/>
      <c r="CB740" s="185">
        <f t="shared" ref="CB740:CB745" si="125">SUM(AR740:CA740)</f>
        <v>586.25</v>
      </c>
      <c r="CC740" s="185">
        <f t="shared" ref="CC740:CC745" si="126">+CB740-AQ740</f>
        <v>0</v>
      </c>
      <c r="CD740" s="185">
        <f t="shared" ref="CD740:CD745" si="127">+C740</f>
        <v>1101</v>
      </c>
      <c r="CE740" s="185" t="e">
        <f>+#REF!</f>
        <v>#REF!</v>
      </c>
    </row>
    <row r="741" spans="2:83" s="197" customFormat="1" ht="37.5" x14ac:dyDescent="0.3">
      <c r="B741" s="182">
        <v>2242</v>
      </c>
      <c r="C741" s="182">
        <v>1102</v>
      </c>
      <c r="D741" s="182" t="s">
        <v>4624</v>
      </c>
      <c r="E741" s="181" t="s">
        <v>4821</v>
      </c>
      <c r="F741" s="182"/>
      <c r="G741" s="182">
        <v>615.55999999999995</v>
      </c>
      <c r="H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5">
        <f t="shared" si="124"/>
        <v>615.55999999999995</v>
      </c>
      <c r="AR741" s="182">
        <v>411.8</v>
      </c>
      <c r="AS741" s="182">
        <v>55.45</v>
      </c>
      <c r="AT741" s="182">
        <v>148.31</v>
      </c>
      <c r="AU741" s="182"/>
      <c r="AV741" s="182"/>
      <c r="AW741" s="182"/>
      <c r="AX741" s="182"/>
      <c r="AY741" s="182"/>
      <c r="AZ741" s="182"/>
      <c r="BA741" s="182"/>
      <c r="BB741" s="182"/>
      <c r="BC741" s="182"/>
      <c r="BD741" s="182"/>
      <c r="BE741" s="182"/>
      <c r="BF741" s="182"/>
      <c r="BG741" s="182"/>
      <c r="BH741" s="182"/>
      <c r="BI741" s="182"/>
      <c r="BJ741" s="182"/>
      <c r="BK741" s="182"/>
      <c r="BL741" s="182"/>
      <c r="BM741" s="182"/>
      <c r="BN741" s="182"/>
      <c r="BO741" s="182"/>
      <c r="BP741" s="182"/>
      <c r="BQ741" s="182"/>
      <c r="BR741" s="182"/>
      <c r="BS741" s="182"/>
      <c r="BT741" s="182"/>
      <c r="BU741" s="182"/>
      <c r="BV741" s="182"/>
      <c r="BW741" s="182"/>
      <c r="BX741" s="182"/>
      <c r="BY741" s="182"/>
      <c r="BZ741" s="182"/>
      <c r="CA741" s="182"/>
      <c r="CB741" s="185">
        <f t="shared" si="125"/>
        <v>615.55999999999995</v>
      </c>
      <c r="CC741" s="185">
        <f t="shared" si="126"/>
        <v>0</v>
      </c>
      <c r="CD741" s="185">
        <f t="shared" si="127"/>
        <v>1102</v>
      </c>
      <c r="CE741" s="185" t="e">
        <f>+#REF!</f>
        <v>#REF!</v>
      </c>
    </row>
    <row r="742" spans="2:83" s="197" customFormat="1" ht="37.5" x14ac:dyDescent="0.3">
      <c r="B742" s="182">
        <v>2396</v>
      </c>
      <c r="C742" s="182">
        <v>1103</v>
      </c>
      <c r="D742" s="182" t="s">
        <v>4624</v>
      </c>
      <c r="E742" s="181" t="str">
        <f>+E741</f>
        <v>ج مشتريات ومخازن كلينك</v>
      </c>
      <c r="F742" s="182"/>
      <c r="G742" s="182">
        <v>615.55999999999995</v>
      </c>
      <c r="H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/>
      <c r="X742" s="182"/>
      <c r="Y742" s="182"/>
      <c r="Z742" s="182"/>
      <c r="AA742" s="182"/>
      <c r="AB742" s="182"/>
      <c r="AC742" s="182"/>
      <c r="AD742" s="182"/>
      <c r="AE742" s="182"/>
      <c r="AF742" s="182"/>
      <c r="AG742" s="182"/>
      <c r="AH742" s="182"/>
      <c r="AI742" s="182"/>
      <c r="AJ742" s="182"/>
      <c r="AK742" s="182"/>
      <c r="AL742" s="182"/>
      <c r="AM742" s="182"/>
      <c r="AN742" s="182"/>
      <c r="AO742" s="182"/>
      <c r="AP742" s="182"/>
      <c r="AQ742" s="185">
        <f t="shared" si="124"/>
        <v>615.55999999999995</v>
      </c>
      <c r="AR742" s="182">
        <v>411.8</v>
      </c>
      <c r="AS742" s="182">
        <v>55.45</v>
      </c>
      <c r="AT742" s="182">
        <v>148.31</v>
      </c>
      <c r="AU742" s="182"/>
      <c r="AV742" s="182"/>
      <c r="AW742" s="182"/>
      <c r="AX742" s="182"/>
      <c r="AY742" s="182"/>
      <c r="AZ742" s="182"/>
      <c r="BA742" s="182"/>
      <c r="BB742" s="182"/>
      <c r="BC742" s="182"/>
      <c r="BD742" s="182"/>
      <c r="BE742" s="182"/>
      <c r="BF742" s="182"/>
      <c r="BG742" s="182"/>
      <c r="BH742" s="182"/>
      <c r="BI742" s="182"/>
      <c r="BJ742" s="182"/>
      <c r="BK742" s="182"/>
      <c r="BL742" s="182"/>
      <c r="BM742" s="182"/>
      <c r="BN742" s="182"/>
      <c r="BO742" s="182"/>
      <c r="BP742" s="182"/>
      <c r="BQ742" s="182"/>
      <c r="BR742" s="182"/>
      <c r="BS742" s="182"/>
      <c r="BT742" s="182"/>
      <c r="BU742" s="182"/>
      <c r="BV742" s="182"/>
      <c r="BW742" s="182"/>
      <c r="BX742" s="182"/>
      <c r="BY742" s="182"/>
      <c r="BZ742" s="182"/>
      <c r="CA742" s="182"/>
      <c r="CB742" s="185">
        <f t="shared" si="125"/>
        <v>615.55999999999995</v>
      </c>
      <c r="CC742" s="185">
        <f t="shared" si="126"/>
        <v>0</v>
      </c>
      <c r="CD742" s="185">
        <f t="shared" si="127"/>
        <v>1103</v>
      </c>
      <c r="CE742" s="185" t="e">
        <f>+#REF!</f>
        <v>#REF!</v>
      </c>
    </row>
    <row r="743" spans="2:83" s="197" customFormat="1" ht="37.5" x14ac:dyDescent="0.3">
      <c r="B743" s="182">
        <v>2244</v>
      </c>
      <c r="C743" s="182">
        <v>1104</v>
      </c>
      <c r="D743" s="182" t="s">
        <v>4624</v>
      </c>
      <c r="E743" s="181" t="str">
        <f>+E742</f>
        <v>ج مشتريات ومخازن كلينك</v>
      </c>
      <c r="F743" s="182"/>
      <c r="G743" s="182">
        <v>1590.56</v>
      </c>
      <c r="H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/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2"/>
      <c r="AH743" s="182"/>
      <c r="AI743" s="182"/>
      <c r="AJ743" s="182"/>
      <c r="AK743" s="182"/>
      <c r="AL743" s="182"/>
      <c r="AM743" s="182"/>
      <c r="AN743" s="182"/>
      <c r="AO743" s="182"/>
      <c r="AP743" s="182"/>
      <c r="AQ743" s="185">
        <f t="shared" si="124"/>
        <v>1590.56</v>
      </c>
      <c r="AR743" s="182">
        <v>1379.94</v>
      </c>
      <c r="AS743" s="182">
        <f>52.5+9.81</f>
        <v>62.31</v>
      </c>
      <c r="AT743" s="182">
        <v>148.31</v>
      </c>
      <c r="AU743" s="182"/>
      <c r="AV743" s="182"/>
      <c r="AW743" s="182"/>
      <c r="AX743" s="182"/>
      <c r="AY743" s="182"/>
      <c r="AZ743" s="182"/>
      <c r="BA743" s="182"/>
      <c r="BB743" s="182"/>
      <c r="BC743" s="182"/>
      <c r="BD743" s="182"/>
      <c r="BE743" s="182"/>
      <c r="BF743" s="182"/>
      <c r="BG743" s="182"/>
      <c r="BH743" s="182"/>
      <c r="BI743" s="182"/>
      <c r="BJ743" s="182"/>
      <c r="BK743" s="182"/>
      <c r="BL743" s="182"/>
      <c r="BM743" s="182"/>
      <c r="BN743" s="182"/>
      <c r="BO743" s="182"/>
      <c r="BP743" s="182"/>
      <c r="BQ743" s="182"/>
      <c r="BR743" s="182"/>
      <c r="BS743" s="182"/>
      <c r="BT743" s="182"/>
      <c r="BU743" s="182"/>
      <c r="BV743" s="182"/>
      <c r="BW743" s="182"/>
      <c r="BX743" s="182"/>
      <c r="BY743" s="182"/>
      <c r="BZ743" s="182"/>
      <c r="CA743" s="182"/>
      <c r="CB743" s="185">
        <f t="shared" si="125"/>
        <v>1590.56</v>
      </c>
      <c r="CC743" s="185">
        <f t="shared" si="126"/>
        <v>0</v>
      </c>
      <c r="CD743" s="185">
        <f t="shared" si="127"/>
        <v>1104</v>
      </c>
      <c r="CE743" s="185" t="e">
        <f>+#REF!</f>
        <v>#REF!</v>
      </c>
    </row>
    <row r="744" spans="2:83" s="197" customFormat="1" ht="37.5" x14ac:dyDescent="0.3">
      <c r="B744" s="182">
        <v>2243</v>
      </c>
      <c r="C744" s="182">
        <v>1105</v>
      </c>
      <c r="D744" s="182" t="s">
        <v>4624</v>
      </c>
      <c r="E744" s="181" t="str">
        <f>+E743</f>
        <v>ج مشتريات ومخازن كلينك</v>
      </c>
      <c r="F744" s="182"/>
      <c r="G744" s="182">
        <v>4484.83</v>
      </c>
      <c r="H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2"/>
      <c r="AH744" s="182"/>
      <c r="AI744" s="182"/>
      <c r="AJ744" s="182"/>
      <c r="AK744" s="182"/>
      <c r="AL744" s="182"/>
      <c r="AM744" s="182"/>
      <c r="AN744" s="182"/>
      <c r="AO744" s="182"/>
      <c r="AP744" s="182"/>
      <c r="AQ744" s="185">
        <f t="shared" si="124"/>
        <v>4484.83</v>
      </c>
      <c r="AR744" s="182">
        <v>2999.55</v>
      </c>
      <c r="AS744" s="182">
        <v>404.7</v>
      </c>
      <c r="AT744" s="182">
        <v>1080.58</v>
      </c>
      <c r="AU744" s="182"/>
      <c r="AV744" s="182"/>
      <c r="AW744" s="182"/>
      <c r="AX744" s="182"/>
      <c r="AY744" s="182"/>
      <c r="AZ744" s="182"/>
      <c r="BA744" s="182"/>
      <c r="BB744" s="182"/>
      <c r="BC744" s="182"/>
      <c r="BD744" s="182"/>
      <c r="BE744" s="182"/>
      <c r="BF744" s="182"/>
      <c r="BG744" s="182"/>
      <c r="BH744" s="182"/>
      <c r="BI744" s="182"/>
      <c r="BJ744" s="182"/>
      <c r="BK744" s="182"/>
      <c r="BL744" s="182"/>
      <c r="BM744" s="182"/>
      <c r="BN744" s="182"/>
      <c r="BO744" s="182"/>
      <c r="BP744" s="182"/>
      <c r="BQ744" s="182"/>
      <c r="BR744" s="182"/>
      <c r="BS744" s="182"/>
      <c r="BT744" s="182"/>
      <c r="BU744" s="182"/>
      <c r="BV744" s="182"/>
      <c r="BW744" s="182"/>
      <c r="BX744" s="182"/>
      <c r="BY744" s="182"/>
      <c r="BZ744" s="182"/>
      <c r="CA744" s="182"/>
      <c r="CB744" s="185">
        <f t="shared" si="125"/>
        <v>4484.83</v>
      </c>
      <c r="CC744" s="185">
        <f t="shared" si="126"/>
        <v>0</v>
      </c>
      <c r="CD744" s="185">
        <f t="shared" si="127"/>
        <v>1105</v>
      </c>
      <c r="CE744" s="185" t="e">
        <f>+#REF!</f>
        <v>#REF!</v>
      </c>
    </row>
    <row r="745" spans="2:83" s="197" customFormat="1" ht="37.5" x14ac:dyDescent="0.3">
      <c r="B745" s="182">
        <v>2441</v>
      </c>
      <c r="C745" s="182">
        <v>1106</v>
      </c>
      <c r="D745" s="182" t="s">
        <v>4030</v>
      </c>
      <c r="E745" s="181" t="s">
        <v>4822</v>
      </c>
      <c r="F745" s="182"/>
      <c r="G745" s="182"/>
      <c r="H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  <c r="Z745" s="182"/>
      <c r="AA745" s="182"/>
      <c r="AB745" s="182"/>
      <c r="AC745" s="182">
        <v>684.05</v>
      </c>
      <c r="AD745" s="182"/>
      <c r="AE745" s="182"/>
      <c r="AF745" s="182"/>
      <c r="AG745" s="182"/>
      <c r="AH745" s="182"/>
      <c r="AI745" s="182"/>
      <c r="AJ745" s="182"/>
      <c r="AK745" s="182"/>
      <c r="AL745" s="182"/>
      <c r="AM745" s="182"/>
      <c r="AN745" s="182"/>
      <c r="AO745" s="182"/>
      <c r="AP745" s="182"/>
      <c r="AQ745" s="185">
        <f t="shared" si="124"/>
        <v>684.05</v>
      </c>
      <c r="AR745" s="182">
        <v>684.05</v>
      </c>
      <c r="AS745" s="182"/>
      <c r="AT745" s="182"/>
      <c r="AU745" s="182"/>
      <c r="AV745" s="182"/>
      <c r="AW745" s="182"/>
      <c r="AX745" s="182"/>
      <c r="AY745" s="182"/>
      <c r="AZ745" s="182"/>
      <c r="BA745" s="182"/>
      <c r="BB745" s="182"/>
      <c r="BC745" s="182"/>
      <c r="BD745" s="182"/>
      <c r="BE745" s="182"/>
      <c r="BF745" s="182"/>
      <c r="BG745" s="182"/>
      <c r="BH745" s="182"/>
      <c r="BI745" s="182"/>
      <c r="BJ745" s="182"/>
      <c r="BK745" s="182"/>
      <c r="BL745" s="182"/>
      <c r="BM745" s="182"/>
      <c r="BN745" s="182"/>
      <c r="BO745" s="182"/>
      <c r="BP745" s="182"/>
      <c r="BQ745" s="182"/>
      <c r="BR745" s="182"/>
      <c r="BS745" s="182"/>
      <c r="BT745" s="182"/>
      <c r="BU745" s="182"/>
      <c r="BV745" s="182"/>
      <c r="BW745" s="182"/>
      <c r="BX745" s="182"/>
      <c r="BY745" s="182"/>
      <c r="BZ745" s="182"/>
      <c r="CA745" s="182"/>
      <c r="CB745" s="185">
        <f t="shared" si="125"/>
        <v>684.05</v>
      </c>
      <c r="CC745" s="185">
        <f t="shared" si="126"/>
        <v>0</v>
      </c>
      <c r="CD745" s="185">
        <f t="shared" si="127"/>
        <v>1106</v>
      </c>
      <c r="CE745" s="185" t="e">
        <f>+#REF!</f>
        <v>#REF!</v>
      </c>
    </row>
    <row r="746" spans="2:83" s="197" customFormat="1" ht="18.75" x14ac:dyDescent="0.3">
      <c r="B746" s="185"/>
      <c r="C746" s="185"/>
      <c r="D746" s="185"/>
      <c r="E746" s="184" t="s">
        <v>4823</v>
      </c>
      <c r="F746" s="185"/>
      <c r="G746" s="185">
        <f t="shared" ref="G746:AL746" si="128">SUM(G676:G745)</f>
        <v>434911.79</v>
      </c>
      <c r="H746" s="185">
        <f t="shared" si="128"/>
        <v>0</v>
      </c>
      <c r="I746" s="185">
        <f t="shared" si="128"/>
        <v>0</v>
      </c>
      <c r="J746" s="185">
        <f t="shared" si="128"/>
        <v>0</v>
      </c>
      <c r="K746" s="185">
        <f t="shared" si="128"/>
        <v>0</v>
      </c>
      <c r="L746" s="185">
        <f t="shared" si="128"/>
        <v>0</v>
      </c>
      <c r="M746" s="185">
        <f t="shared" si="128"/>
        <v>0</v>
      </c>
      <c r="N746" s="185">
        <f t="shared" si="128"/>
        <v>0</v>
      </c>
      <c r="O746" s="185">
        <f t="shared" si="128"/>
        <v>0</v>
      </c>
      <c r="P746" s="185">
        <f t="shared" si="128"/>
        <v>0</v>
      </c>
      <c r="Q746" s="185">
        <f t="shared" si="128"/>
        <v>0</v>
      </c>
      <c r="R746" s="185">
        <f t="shared" si="128"/>
        <v>0</v>
      </c>
      <c r="S746" s="185">
        <f t="shared" si="128"/>
        <v>0</v>
      </c>
      <c r="T746" s="185">
        <f t="shared" si="128"/>
        <v>0</v>
      </c>
      <c r="U746" s="185">
        <f t="shared" si="128"/>
        <v>0</v>
      </c>
      <c r="V746" s="185">
        <f t="shared" si="128"/>
        <v>0</v>
      </c>
      <c r="W746" s="185">
        <f t="shared" si="128"/>
        <v>8940</v>
      </c>
      <c r="X746" s="185">
        <f t="shared" si="128"/>
        <v>0</v>
      </c>
      <c r="Y746" s="185">
        <f t="shared" si="128"/>
        <v>0</v>
      </c>
      <c r="Z746" s="185">
        <f t="shared" si="128"/>
        <v>0</v>
      </c>
      <c r="AA746" s="185">
        <f t="shared" si="128"/>
        <v>0</v>
      </c>
      <c r="AB746" s="185">
        <f t="shared" si="128"/>
        <v>0</v>
      </c>
      <c r="AC746" s="185">
        <f t="shared" si="128"/>
        <v>684.05</v>
      </c>
      <c r="AD746" s="185">
        <f t="shared" si="128"/>
        <v>0</v>
      </c>
      <c r="AE746" s="185">
        <f t="shared" si="128"/>
        <v>0</v>
      </c>
      <c r="AF746" s="185">
        <f t="shared" si="128"/>
        <v>0</v>
      </c>
      <c r="AG746" s="185">
        <f t="shared" si="128"/>
        <v>0</v>
      </c>
      <c r="AH746" s="185">
        <f t="shared" si="128"/>
        <v>0</v>
      </c>
      <c r="AI746" s="185">
        <f t="shared" si="128"/>
        <v>0</v>
      </c>
      <c r="AJ746" s="185">
        <f t="shared" si="128"/>
        <v>0</v>
      </c>
      <c r="AK746" s="185">
        <f t="shared" si="128"/>
        <v>0</v>
      </c>
      <c r="AL746" s="185">
        <f t="shared" si="128"/>
        <v>0</v>
      </c>
      <c r="AM746" s="185">
        <f t="shared" ref="AM746:BR746" si="129">SUM(AM676:AM745)</f>
        <v>0</v>
      </c>
      <c r="AN746" s="185">
        <f t="shared" si="129"/>
        <v>0</v>
      </c>
      <c r="AO746" s="185">
        <f t="shared" si="129"/>
        <v>0</v>
      </c>
      <c r="AP746" s="185">
        <f t="shared" si="129"/>
        <v>0</v>
      </c>
      <c r="AQ746" s="185">
        <f t="shared" si="129"/>
        <v>444535.83999999997</v>
      </c>
      <c r="AR746" s="185">
        <f t="shared" si="129"/>
        <v>356505.84</v>
      </c>
      <c r="AS746" s="185">
        <f t="shared" si="129"/>
        <v>40017.659999999989</v>
      </c>
      <c r="AT746" s="192">
        <f t="shared" si="129"/>
        <v>46460.63</v>
      </c>
      <c r="AU746" s="185">
        <f t="shared" si="129"/>
        <v>1551.71</v>
      </c>
      <c r="AV746" s="185">
        <f t="shared" si="129"/>
        <v>0</v>
      </c>
      <c r="AW746" s="185">
        <f t="shared" si="129"/>
        <v>0</v>
      </c>
      <c r="AX746" s="185">
        <f t="shared" si="129"/>
        <v>0</v>
      </c>
      <c r="AY746" s="185">
        <f t="shared" si="129"/>
        <v>0</v>
      </c>
      <c r="AZ746" s="185">
        <f t="shared" si="129"/>
        <v>0</v>
      </c>
      <c r="BA746" s="185">
        <f t="shared" si="129"/>
        <v>0</v>
      </c>
      <c r="BB746" s="185">
        <f t="shared" si="129"/>
        <v>0</v>
      </c>
      <c r="BC746" s="185">
        <f t="shared" si="129"/>
        <v>0</v>
      </c>
      <c r="BD746" s="185">
        <f t="shared" si="129"/>
        <v>0</v>
      </c>
      <c r="BE746" s="185">
        <f t="shared" si="129"/>
        <v>0</v>
      </c>
      <c r="BF746" s="185">
        <f t="shared" si="129"/>
        <v>0</v>
      </c>
      <c r="BG746" s="185">
        <f t="shared" si="129"/>
        <v>0</v>
      </c>
      <c r="BH746" s="185">
        <f t="shared" si="129"/>
        <v>0</v>
      </c>
      <c r="BI746" s="185">
        <f t="shared" si="129"/>
        <v>0</v>
      </c>
      <c r="BJ746" s="185">
        <f t="shared" si="129"/>
        <v>0</v>
      </c>
      <c r="BK746" s="185">
        <f t="shared" si="129"/>
        <v>0</v>
      </c>
      <c r="BL746" s="185">
        <f t="shared" si="129"/>
        <v>0</v>
      </c>
      <c r="BM746" s="185">
        <f t="shared" si="129"/>
        <v>0</v>
      </c>
      <c r="BN746" s="185">
        <f t="shared" si="129"/>
        <v>0</v>
      </c>
      <c r="BO746" s="185">
        <f t="shared" si="129"/>
        <v>0</v>
      </c>
      <c r="BP746" s="185">
        <f t="shared" si="129"/>
        <v>0</v>
      </c>
      <c r="BQ746" s="185">
        <f t="shared" si="129"/>
        <v>0</v>
      </c>
      <c r="BR746" s="185">
        <f t="shared" si="129"/>
        <v>0</v>
      </c>
      <c r="BS746" s="185">
        <f t="shared" ref="BS746:CC746" si="130">SUM(BS676:BS745)</f>
        <v>0</v>
      </c>
      <c r="BT746" s="185">
        <f t="shared" si="130"/>
        <v>0</v>
      </c>
      <c r="BU746" s="185">
        <f t="shared" si="130"/>
        <v>0</v>
      </c>
      <c r="BV746" s="185">
        <f t="shared" si="130"/>
        <v>0</v>
      </c>
      <c r="BW746" s="185">
        <f t="shared" si="130"/>
        <v>0</v>
      </c>
      <c r="BX746" s="185">
        <f t="shared" si="130"/>
        <v>0</v>
      </c>
      <c r="BY746" s="185">
        <f t="shared" si="130"/>
        <v>0</v>
      </c>
      <c r="BZ746" s="185">
        <f t="shared" si="130"/>
        <v>0</v>
      </c>
      <c r="CA746" s="185">
        <f t="shared" si="130"/>
        <v>0</v>
      </c>
      <c r="CB746" s="185">
        <f t="shared" si="130"/>
        <v>444535.83999999997</v>
      </c>
      <c r="CC746" s="185">
        <f t="shared" si="130"/>
        <v>0</v>
      </c>
      <c r="CD746" s="185"/>
      <c r="CE746" s="185" t="e">
        <f>+#REF!</f>
        <v>#REF!</v>
      </c>
    </row>
    <row r="747" spans="2:83" s="197" customFormat="1" ht="56.25" x14ac:dyDescent="0.3">
      <c r="B747" s="182">
        <v>2390</v>
      </c>
      <c r="C747" s="182">
        <v>1107</v>
      </c>
      <c r="D747" s="182" t="s">
        <v>4683</v>
      </c>
      <c r="E747" s="181" t="s">
        <v>4824</v>
      </c>
      <c r="F747" s="182"/>
      <c r="G747" s="182"/>
      <c r="H747" s="182">
        <v>37620</v>
      </c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/>
      <c r="X747" s="182"/>
      <c r="Y747" s="182"/>
      <c r="Z747" s="182"/>
      <c r="AA747" s="182"/>
      <c r="AB747" s="182"/>
      <c r="AC747" s="182"/>
      <c r="AD747" s="182"/>
      <c r="AE747" s="182"/>
      <c r="AF747" s="182"/>
      <c r="AG747" s="182"/>
      <c r="AH747" s="182"/>
      <c r="AI747" s="182"/>
      <c r="AJ747" s="182"/>
      <c r="AK747" s="182"/>
      <c r="AL747" s="182"/>
      <c r="AM747" s="182"/>
      <c r="AN747" s="182"/>
      <c r="AO747" s="182"/>
      <c r="AP747" s="182"/>
      <c r="AQ747" s="185">
        <f t="shared" ref="AQ747:AQ789" si="131">SUM(G747:AP747)</f>
        <v>37620</v>
      </c>
      <c r="AR747" s="182">
        <v>33199.75</v>
      </c>
      <c r="AS747" s="182">
        <f>298+894+17.25</f>
        <v>1209.25</v>
      </c>
      <c r="AT747" s="182"/>
      <c r="AU747" s="182">
        <v>5</v>
      </c>
      <c r="AV747" s="182"/>
      <c r="AW747" s="182"/>
      <c r="AX747" s="182"/>
      <c r="AY747" s="182"/>
      <c r="AZ747" s="182"/>
      <c r="BA747" s="182"/>
      <c r="BB747" s="182"/>
      <c r="BC747" s="182"/>
      <c r="BD747" s="182"/>
      <c r="BE747" s="182">
        <v>990</v>
      </c>
      <c r="BF747" s="182">
        <v>38</v>
      </c>
      <c r="BG747" s="182">
        <f>148.5*2</f>
        <v>297</v>
      </c>
      <c r="BH747" s="182"/>
      <c r="BI747" s="182">
        <v>1881</v>
      </c>
      <c r="BJ747" s="182"/>
      <c r="BK747" s="182"/>
      <c r="BL747" s="182"/>
      <c r="BM747" s="182"/>
      <c r="BN747" s="182"/>
      <c r="BO747" s="182"/>
      <c r="BP747" s="182"/>
      <c r="BQ747" s="182"/>
      <c r="BR747" s="182"/>
      <c r="BS747" s="182"/>
      <c r="BT747" s="182"/>
      <c r="BU747" s="182"/>
      <c r="BV747" s="182"/>
      <c r="BW747" s="182"/>
      <c r="BX747" s="182"/>
      <c r="BY747" s="182"/>
      <c r="BZ747" s="182"/>
      <c r="CA747" s="182"/>
      <c r="CB747" s="185">
        <f t="shared" ref="CB747:CB789" si="132">SUM(AR747:CA747)</f>
        <v>37620</v>
      </c>
      <c r="CC747" s="185">
        <f t="shared" ref="CC747:CC789" si="133">+CB747-AQ747</f>
        <v>0</v>
      </c>
      <c r="CD747" s="185">
        <f t="shared" ref="CD747:CD789" si="134">+C747</f>
        <v>1107</v>
      </c>
      <c r="CE747" s="185" t="e">
        <f>+#REF!</f>
        <v>#REF!</v>
      </c>
    </row>
    <row r="748" spans="2:83" s="197" customFormat="1" ht="112.5" x14ac:dyDescent="0.3">
      <c r="B748" s="182">
        <v>2640</v>
      </c>
      <c r="C748" s="182">
        <v>1108</v>
      </c>
      <c r="D748" s="182" t="s">
        <v>121</v>
      </c>
      <c r="E748" s="181" t="s">
        <v>4825</v>
      </c>
      <c r="F748" s="182"/>
      <c r="G748" s="182"/>
      <c r="H748" s="182">
        <v>24282</v>
      </c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  <c r="Z748" s="182"/>
      <c r="AA748" s="182"/>
      <c r="AB748" s="182"/>
      <c r="AC748" s="182"/>
      <c r="AD748" s="182"/>
      <c r="AE748" s="182"/>
      <c r="AF748" s="182"/>
      <c r="AG748" s="182"/>
      <c r="AH748" s="182"/>
      <c r="AI748" s="182"/>
      <c r="AJ748" s="182"/>
      <c r="AK748" s="182"/>
      <c r="AL748" s="182"/>
      <c r="AM748" s="182"/>
      <c r="AN748" s="182"/>
      <c r="AO748" s="182"/>
      <c r="AP748" s="182"/>
      <c r="AQ748" s="185">
        <f t="shared" si="131"/>
        <v>24282</v>
      </c>
      <c r="AR748" s="182">
        <v>22518.7</v>
      </c>
      <c r="AS748" s="182">
        <f>228+684+6.3</f>
        <v>918.3</v>
      </c>
      <c r="AT748" s="182"/>
      <c r="AU748" s="182"/>
      <c r="AV748" s="182"/>
      <c r="AW748" s="182"/>
      <c r="AX748" s="182"/>
      <c r="AY748" s="182"/>
      <c r="AZ748" s="182"/>
      <c r="BA748" s="182"/>
      <c r="BB748" s="182"/>
      <c r="BC748" s="182"/>
      <c r="BD748" s="182"/>
      <c r="BE748" s="182">
        <v>639</v>
      </c>
      <c r="BF748" s="182">
        <v>14</v>
      </c>
      <c r="BG748" s="182">
        <f>96*2</f>
        <v>192</v>
      </c>
      <c r="BH748" s="182"/>
      <c r="BI748" s="182"/>
      <c r="BJ748" s="182"/>
      <c r="BK748" s="182"/>
      <c r="BL748" s="182"/>
      <c r="BM748" s="182"/>
      <c r="BN748" s="182"/>
      <c r="BO748" s="182"/>
      <c r="BP748" s="182"/>
      <c r="BQ748" s="182"/>
      <c r="BR748" s="182"/>
      <c r="BS748" s="182"/>
      <c r="BT748" s="182"/>
      <c r="BU748" s="182"/>
      <c r="BV748" s="182"/>
      <c r="BW748" s="182"/>
      <c r="BX748" s="182"/>
      <c r="BY748" s="182"/>
      <c r="BZ748" s="182"/>
      <c r="CA748" s="182"/>
      <c r="CB748" s="185">
        <f t="shared" si="132"/>
        <v>24282</v>
      </c>
      <c r="CC748" s="185">
        <f t="shared" si="133"/>
        <v>0</v>
      </c>
      <c r="CD748" s="185">
        <f t="shared" si="134"/>
        <v>1108</v>
      </c>
      <c r="CE748" s="185" t="e">
        <f>+#REF!</f>
        <v>#REF!</v>
      </c>
    </row>
    <row r="749" spans="2:83" s="197" customFormat="1" ht="37.5" x14ac:dyDescent="0.3">
      <c r="B749" s="182">
        <v>2387</v>
      </c>
      <c r="C749" s="182">
        <v>1109</v>
      </c>
      <c r="D749" s="182" t="s">
        <v>130</v>
      </c>
      <c r="E749" s="181" t="s">
        <v>4826</v>
      </c>
      <c r="F749" s="182"/>
      <c r="G749" s="182"/>
      <c r="H749" s="182">
        <v>7524</v>
      </c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  <c r="Z749" s="182"/>
      <c r="AA749" s="182"/>
      <c r="AB749" s="182"/>
      <c r="AC749" s="182"/>
      <c r="AD749" s="182"/>
      <c r="AE749" s="182"/>
      <c r="AF749" s="182"/>
      <c r="AG749" s="182"/>
      <c r="AH749" s="182"/>
      <c r="AI749" s="182"/>
      <c r="AJ749" s="182"/>
      <c r="AK749" s="182"/>
      <c r="AL749" s="182"/>
      <c r="AM749" s="182"/>
      <c r="AN749" s="182"/>
      <c r="AO749" s="182"/>
      <c r="AP749" s="182"/>
      <c r="AQ749" s="185">
        <f t="shared" si="131"/>
        <v>7524</v>
      </c>
      <c r="AR749" s="182">
        <v>6838.7</v>
      </c>
      <c r="AS749" s="182">
        <v>421.9</v>
      </c>
      <c r="AT749" s="182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>
        <v>198</v>
      </c>
      <c r="BF749" s="182">
        <v>6</v>
      </c>
      <c r="BG749" s="182">
        <f>29.7*2</f>
        <v>59.4</v>
      </c>
      <c r="BH749" s="182"/>
      <c r="BI749" s="182"/>
      <c r="BJ749" s="182"/>
      <c r="BK749" s="182"/>
      <c r="BL749" s="182"/>
      <c r="BM749" s="182"/>
      <c r="BN749" s="182"/>
      <c r="BO749" s="182"/>
      <c r="BP749" s="182"/>
      <c r="BQ749" s="182"/>
      <c r="BR749" s="182"/>
      <c r="BS749" s="182"/>
      <c r="BT749" s="182"/>
      <c r="BU749" s="182"/>
      <c r="BV749" s="182"/>
      <c r="BW749" s="182"/>
      <c r="BX749" s="182"/>
      <c r="BY749" s="182"/>
      <c r="BZ749" s="182"/>
      <c r="CA749" s="182"/>
      <c r="CB749" s="185">
        <f t="shared" si="132"/>
        <v>7523.9999999999991</v>
      </c>
      <c r="CC749" s="185">
        <f t="shared" si="133"/>
        <v>0</v>
      </c>
      <c r="CD749" s="185">
        <f t="shared" si="134"/>
        <v>1109</v>
      </c>
      <c r="CE749" s="185" t="e">
        <f>+#REF!</f>
        <v>#REF!</v>
      </c>
    </row>
    <row r="750" spans="2:83" s="197" customFormat="1" ht="37.5" x14ac:dyDescent="0.3">
      <c r="B750" s="182">
        <v>2222</v>
      </c>
      <c r="C750" s="182">
        <v>1110</v>
      </c>
      <c r="D750" s="182" t="s">
        <v>130</v>
      </c>
      <c r="E750" s="181" t="s">
        <v>3795</v>
      </c>
      <c r="F750" s="182"/>
      <c r="G750" s="182"/>
      <c r="H750" s="182">
        <v>76336.45</v>
      </c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2"/>
      <c r="AH750" s="182"/>
      <c r="AI750" s="182"/>
      <c r="AJ750" s="182"/>
      <c r="AK750" s="182"/>
      <c r="AL750" s="182"/>
      <c r="AM750" s="182"/>
      <c r="AN750" s="182"/>
      <c r="AO750" s="182"/>
      <c r="AP750" s="182"/>
      <c r="AQ750" s="185">
        <f t="shared" si="131"/>
        <v>76336.45</v>
      </c>
      <c r="AR750" s="182">
        <v>73697.55</v>
      </c>
      <c r="AS750" s="182">
        <v>2016.2</v>
      </c>
      <c r="AT750" s="182"/>
      <c r="AU750" s="182"/>
      <c r="AV750" s="182"/>
      <c r="AW750" s="182"/>
      <c r="AX750" s="182"/>
      <c r="AY750" s="182"/>
      <c r="AZ750" s="182"/>
      <c r="BA750" s="182"/>
      <c r="BB750" s="182"/>
      <c r="BC750" s="182"/>
      <c r="BD750" s="182"/>
      <c r="BE750" s="182"/>
      <c r="BF750" s="182">
        <v>20</v>
      </c>
      <c r="BG750" s="182">
        <f>301.35*2</f>
        <v>602.70000000000005</v>
      </c>
      <c r="BH750" s="182"/>
      <c r="BI750" s="182"/>
      <c r="BJ750" s="182"/>
      <c r="BK750" s="182"/>
      <c r="BL750" s="182"/>
      <c r="BM750" s="182"/>
      <c r="BN750" s="182"/>
      <c r="BO750" s="182"/>
      <c r="BP750" s="182"/>
      <c r="BQ750" s="182"/>
      <c r="BR750" s="182"/>
      <c r="BS750" s="182"/>
      <c r="BT750" s="182"/>
      <c r="BU750" s="182"/>
      <c r="BV750" s="182"/>
      <c r="BW750" s="182"/>
      <c r="BX750" s="182"/>
      <c r="BY750" s="182"/>
      <c r="BZ750" s="182"/>
      <c r="CA750" s="182"/>
      <c r="CB750" s="185">
        <f t="shared" si="132"/>
        <v>76336.45</v>
      </c>
      <c r="CC750" s="185">
        <f t="shared" si="133"/>
        <v>0</v>
      </c>
      <c r="CD750" s="185">
        <f t="shared" si="134"/>
        <v>1110</v>
      </c>
      <c r="CE750" s="185" t="e">
        <f>+#REF!</f>
        <v>#REF!</v>
      </c>
    </row>
    <row r="751" spans="2:83" s="197" customFormat="1" ht="37.5" x14ac:dyDescent="0.3">
      <c r="B751" s="182">
        <v>2388</v>
      </c>
      <c r="C751" s="182">
        <v>1111</v>
      </c>
      <c r="D751" s="182" t="s">
        <v>130</v>
      </c>
      <c r="E751" s="181" t="str">
        <f>+E749</f>
        <v>شركه بيوميريوايجيبت</v>
      </c>
      <c r="F751" s="182"/>
      <c r="G751" s="182"/>
      <c r="H751" s="182">
        <v>7500</v>
      </c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  <c r="Z751" s="182"/>
      <c r="AA751" s="182"/>
      <c r="AB751" s="182"/>
      <c r="AC751" s="182"/>
      <c r="AD751" s="182"/>
      <c r="AE751" s="182"/>
      <c r="AF751" s="182"/>
      <c r="AG751" s="182"/>
      <c r="AH751" s="182"/>
      <c r="AI751" s="182"/>
      <c r="AJ751" s="182"/>
      <c r="AK751" s="182"/>
      <c r="AL751" s="182"/>
      <c r="AM751" s="182"/>
      <c r="AN751" s="182"/>
      <c r="AO751" s="182"/>
      <c r="AP751" s="182"/>
      <c r="AQ751" s="185">
        <f t="shared" si="131"/>
        <v>7500</v>
      </c>
      <c r="AR751" s="182">
        <v>6816.7</v>
      </c>
      <c r="AS751" s="182">
        <v>420.7</v>
      </c>
      <c r="AT751" s="182"/>
      <c r="AU751" s="182"/>
      <c r="AV751" s="182"/>
      <c r="AW751" s="182"/>
      <c r="AX751" s="182"/>
      <c r="AY751" s="182"/>
      <c r="AZ751" s="182"/>
      <c r="BA751" s="182"/>
      <c r="BB751" s="182"/>
      <c r="BC751" s="182"/>
      <c r="BD751" s="182"/>
      <c r="BE751" s="182">
        <v>197.4</v>
      </c>
      <c r="BF751" s="182">
        <v>6</v>
      </c>
      <c r="BG751" s="182">
        <f>29.6*2</f>
        <v>59.2</v>
      </c>
      <c r="BH751" s="182"/>
      <c r="BI751" s="182"/>
      <c r="BJ751" s="182"/>
      <c r="BK751" s="182"/>
      <c r="BL751" s="182"/>
      <c r="BM751" s="182"/>
      <c r="BN751" s="182"/>
      <c r="BO751" s="182"/>
      <c r="BP751" s="182"/>
      <c r="BQ751" s="182"/>
      <c r="BR751" s="182"/>
      <c r="BS751" s="182"/>
      <c r="BT751" s="182"/>
      <c r="BU751" s="182"/>
      <c r="BV751" s="182"/>
      <c r="BW751" s="182"/>
      <c r="BX751" s="182"/>
      <c r="BY751" s="182"/>
      <c r="BZ751" s="182"/>
      <c r="CA751" s="182"/>
      <c r="CB751" s="185">
        <f t="shared" si="132"/>
        <v>7499.9999999999991</v>
      </c>
      <c r="CC751" s="185">
        <f t="shared" si="133"/>
        <v>0</v>
      </c>
      <c r="CD751" s="185">
        <f t="shared" si="134"/>
        <v>1111</v>
      </c>
      <c r="CE751" s="185" t="e">
        <f>+#REF!</f>
        <v>#REF!</v>
      </c>
    </row>
    <row r="752" spans="2:83" s="197" customFormat="1" ht="37.5" x14ac:dyDescent="0.3">
      <c r="B752" s="182">
        <v>2634</v>
      </c>
      <c r="C752" s="182">
        <v>1112</v>
      </c>
      <c r="D752" s="182" t="s">
        <v>78</v>
      </c>
      <c r="E752" s="181" t="s">
        <v>4827</v>
      </c>
      <c r="F752" s="182"/>
      <c r="G752" s="182">
        <v>175.88</v>
      </c>
      <c r="H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  <c r="Z752" s="182"/>
      <c r="AA752" s="182"/>
      <c r="AB752" s="182"/>
      <c r="AC752" s="182"/>
      <c r="AD752" s="182"/>
      <c r="AE752" s="182"/>
      <c r="AF752" s="182"/>
      <c r="AG752" s="182"/>
      <c r="AH752" s="182"/>
      <c r="AI752" s="182"/>
      <c r="AJ752" s="182"/>
      <c r="AK752" s="182"/>
      <c r="AL752" s="182"/>
      <c r="AM752" s="182"/>
      <c r="AN752" s="182"/>
      <c r="AO752" s="182"/>
      <c r="AP752" s="182"/>
      <c r="AQ752" s="185">
        <f t="shared" si="131"/>
        <v>175.88</v>
      </c>
      <c r="AR752" s="182">
        <v>129.68</v>
      </c>
      <c r="AS752" s="182">
        <v>3.82</v>
      </c>
      <c r="AT752" s="182">
        <v>42.38</v>
      </c>
      <c r="AU752" s="182"/>
      <c r="AV752" s="182"/>
      <c r="AW752" s="182"/>
      <c r="AX752" s="182"/>
      <c r="AY752" s="182"/>
      <c r="AZ752" s="182"/>
      <c r="BA752" s="182"/>
      <c r="BB752" s="182"/>
      <c r="BC752" s="182"/>
      <c r="BD752" s="182"/>
      <c r="BE752" s="182"/>
      <c r="BF752" s="182"/>
      <c r="BG752" s="182"/>
      <c r="BH752" s="182"/>
      <c r="BI752" s="182"/>
      <c r="BJ752" s="182"/>
      <c r="BK752" s="182"/>
      <c r="BL752" s="182"/>
      <c r="BM752" s="182"/>
      <c r="BN752" s="182"/>
      <c r="BO752" s="182"/>
      <c r="BP752" s="182"/>
      <c r="BQ752" s="182"/>
      <c r="BR752" s="182"/>
      <c r="BS752" s="182"/>
      <c r="BT752" s="182"/>
      <c r="BU752" s="182"/>
      <c r="BV752" s="182"/>
      <c r="BW752" s="182"/>
      <c r="BX752" s="182"/>
      <c r="BY752" s="182"/>
      <c r="BZ752" s="182"/>
      <c r="CA752" s="182"/>
      <c r="CB752" s="185">
        <f t="shared" si="132"/>
        <v>175.88</v>
      </c>
      <c r="CC752" s="185">
        <f t="shared" si="133"/>
        <v>0</v>
      </c>
      <c r="CD752" s="185">
        <f t="shared" si="134"/>
        <v>1112</v>
      </c>
      <c r="CE752" s="185" t="e">
        <f>+#REF!</f>
        <v>#REF!</v>
      </c>
    </row>
    <row r="753" spans="2:83" s="197" customFormat="1" ht="37.5" x14ac:dyDescent="0.3">
      <c r="B753" s="182">
        <v>2600</v>
      </c>
      <c r="C753" s="182">
        <v>1113</v>
      </c>
      <c r="D753" s="182" t="s">
        <v>78</v>
      </c>
      <c r="E753" s="181" t="s">
        <v>4828</v>
      </c>
      <c r="F753" s="182"/>
      <c r="G753" s="182">
        <v>2600</v>
      </c>
      <c r="H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  <c r="Z753" s="182"/>
      <c r="AA753" s="182"/>
      <c r="AB753" s="182"/>
      <c r="AC753" s="182"/>
      <c r="AD753" s="182"/>
      <c r="AE753" s="182"/>
      <c r="AF753" s="182"/>
      <c r="AG753" s="182"/>
      <c r="AH753" s="182"/>
      <c r="AI753" s="182"/>
      <c r="AJ753" s="182"/>
      <c r="AK753" s="182"/>
      <c r="AL753" s="182"/>
      <c r="AM753" s="182"/>
      <c r="AN753" s="182"/>
      <c r="AO753" s="182"/>
      <c r="AP753" s="182"/>
      <c r="AQ753" s="185">
        <f t="shared" si="131"/>
        <v>2600</v>
      </c>
      <c r="AR753" s="182">
        <v>2320.85</v>
      </c>
      <c r="AS753" s="182">
        <v>279.14999999999998</v>
      </c>
      <c r="AT753" s="182"/>
      <c r="AU753" s="182"/>
      <c r="AV753" s="182"/>
      <c r="AW753" s="182"/>
      <c r="AX753" s="182"/>
      <c r="AY753" s="182"/>
      <c r="AZ753" s="182"/>
      <c r="BA753" s="182"/>
      <c r="BB753" s="182"/>
      <c r="BC753" s="182"/>
      <c r="BD753" s="182"/>
      <c r="BE753" s="182"/>
      <c r="BF753" s="182"/>
      <c r="BG753" s="182"/>
      <c r="BH753" s="182"/>
      <c r="BI753" s="182"/>
      <c r="BJ753" s="182"/>
      <c r="BK753" s="182"/>
      <c r="BL753" s="182"/>
      <c r="BM753" s="182"/>
      <c r="BN753" s="182"/>
      <c r="BO753" s="182"/>
      <c r="BP753" s="182"/>
      <c r="BQ753" s="182"/>
      <c r="BR753" s="182"/>
      <c r="BS753" s="182"/>
      <c r="BT753" s="182"/>
      <c r="BU753" s="182"/>
      <c r="BV753" s="182"/>
      <c r="BW753" s="182"/>
      <c r="BX753" s="182"/>
      <c r="BY753" s="182"/>
      <c r="BZ753" s="182"/>
      <c r="CA753" s="182"/>
      <c r="CB753" s="185">
        <f t="shared" si="132"/>
        <v>2600</v>
      </c>
      <c r="CC753" s="185">
        <f t="shared" si="133"/>
        <v>0</v>
      </c>
      <c r="CD753" s="185">
        <f t="shared" si="134"/>
        <v>1113</v>
      </c>
      <c r="CE753" s="185" t="e">
        <f>+#REF!</f>
        <v>#REF!</v>
      </c>
    </row>
    <row r="754" spans="2:83" s="197" customFormat="1" ht="37.5" x14ac:dyDescent="0.3">
      <c r="B754" s="182">
        <v>2599</v>
      </c>
      <c r="C754" s="182">
        <v>1114</v>
      </c>
      <c r="D754" s="182" t="s">
        <v>78</v>
      </c>
      <c r="E754" s="181" t="s">
        <v>4828</v>
      </c>
      <c r="F754" s="182"/>
      <c r="G754" s="182">
        <v>2600</v>
      </c>
      <c r="H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  <c r="Z754" s="182"/>
      <c r="AA754" s="182"/>
      <c r="AB754" s="182"/>
      <c r="AC754" s="182"/>
      <c r="AD754" s="182"/>
      <c r="AE754" s="182"/>
      <c r="AF754" s="182"/>
      <c r="AG754" s="182"/>
      <c r="AH754" s="182"/>
      <c r="AI754" s="182"/>
      <c r="AJ754" s="182"/>
      <c r="AK754" s="182"/>
      <c r="AL754" s="182"/>
      <c r="AM754" s="182"/>
      <c r="AN754" s="182"/>
      <c r="AO754" s="182"/>
      <c r="AP754" s="182"/>
      <c r="AQ754" s="185">
        <f t="shared" si="131"/>
        <v>2600</v>
      </c>
      <c r="AR754" s="182">
        <v>2320.85</v>
      </c>
      <c r="AS754" s="182">
        <v>279.14999999999998</v>
      </c>
      <c r="AT754" s="182"/>
      <c r="AU754" s="182"/>
      <c r="AV754" s="182"/>
      <c r="AW754" s="182"/>
      <c r="AX754" s="182"/>
      <c r="AY754" s="182"/>
      <c r="AZ754" s="182"/>
      <c r="BA754" s="182"/>
      <c r="BB754" s="182"/>
      <c r="BC754" s="182"/>
      <c r="BD754" s="182"/>
      <c r="BE754" s="182"/>
      <c r="BF754" s="182"/>
      <c r="BG754" s="182"/>
      <c r="BH754" s="182"/>
      <c r="BI754" s="182"/>
      <c r="BJ754" s="182"/>
      <c r="BK754" s="182"/>
      <c r="BL754" s="182"/>
      <c r="BM754" s="182"/>
      <c r="BN754" s="182"/>
      <c r="BO754" s="182"/>
      <c r="BP754" s="182"/>
      <c r="BQ754" s="182"/>
      <c r="BR754" s="182"/>
      <c r="BS754" s="182"/>
      <c r="BT754" s="182"/>
      <c r="BU754" s="182"/>
      <c r="BV754" s="182"/>
      <c r="BW754" s="182"/>
      <c r="BX754" s="182"/>
      <c r="BY754" s="182"/>
      <c r="BZ754" s="182"/>
      <c r="CA754" s="182"/>
      <c r="CB754" s="185">
        <f t="shared" si="132"/>
        <v>2600</v>
      </c>
      <c r="CC754" s="185">
        <f t="shared" si="133"/>
        <v>0</v>
      </c>
      <c r="CD754" s="185">
        <f t="shared" si="134"/>
        <v>1114</v>
      </c>
      <c r="CE754" s="185" t="e">
        <f>+#REF!</f>
        <v>#REF!</v>
      </c>
    </row>
    <row r="755" spans="2:83" s="197" customFormat="1" ht="37.5" x14ac:dyDescent="0.3">
      <c r="B755" s="182">
        <v>2607</v>
      </c>
      <c r="C755" s="182">
        <v>1115</v>
      </c>
      <c r="D755" s="182" t="s">
        <v>78</v>
      </c>
      <c r="E755" s="181" t="s">
        <v>4829</v>
      </c>
      <c r="F755" s="182"/>
      <c r="G755" s="182">
        <v>10259.4</v>
      </c>
      <c r="H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2"/>
      <c r="AH755" s="182"/>
      <c r="AI755" s="182"/>
      <c r="AJ755" s="182"/>
      <c r="AK755" s="182"/>
      <c r="AL755" s="182"/>
      <c r="AM755" s="182"/>
      <c r="AN755" s="182"/>
      <c r="AO755" s="182"/>
      <c r="AP755" s="182"/>
      <c r="AQ755" s="185">
        <f t="shared" si="131"/>
        <v>10259.4</v>
      </c>
      <c r="AR755" s="182">
        <v>6855.52</v>
      </c>
      <c r="AS755" s="182">
        <f>57+875</f>
        <v>932</v>
      </c>
      <c r="AT755" s="182">
        <v>2471.88</v>
      </c>
      <c r="AU755" s="182"/>
      <c r="AV755" s="182"/>
      <c r="AW755" s="182"/>
      <c r="AX755" s="182"/>
      <c r="AY755" s="182"/>
      <c r="AZ755" s="182"/>
      <c r="BA755" s="182"/>
      <c r="BB755" s="182"/>
      <c r="BC755" s="182"/>
      <c r="BD755" s="182"/>
      <c r="BE755" s="182"/>
      <c r="BF755" s="182"/>
      <c r="BG755" s="182"/>
      <c r="BH755" s="182"/>
      <c r="BI755" s="182"/>
      <c r="BJ755" s="182"/>
      <c r="BK755" s="182"/>
      <c r="BL755" s="182"/>
      <c r="BM755" s="182"/>
      <c r="BN755" s="182"/>
      <c r="BO755" s="182"/>
      <c r="BP755" s="182"/>
      <c r="BQ755" s="182"/>
      <c r="BR755" s="182"/>
      <c r="BS755" s="182"/>
      <c r="BT755" s="182"/>
      <c r="BU755" s="182"/>
      <c r="BV755" s="182"/>
      <c r="BW755" s="182"/>
      <c r="BX755" s="182"/>
      <c r="BY755" s="182"/>
      <c r="BZ755" s="182"/>
      <c r="CA755" s="182"/>
      <c r="CB755" s="185">
        <f t="shared" si="132"/>
        <v>10259.400000000001</v>
      </c>
      <c r="CC755" s="185">
        <f t="shared" si="133"/>
        <v>0</v>
      </c>
      <c r="CD755" s="185">
        <f t="shared" si="134"/>
        <v>1115</v>
      </c>
      <c r="CE755" s="185" t="e">
        <f>+#REF!</f>
        <v>#REF!</v>
      </c>
    </row>
    <row r="756" spans="2:83" s="197" customFormat="1" ht="37.5" x14ac:dyDescent="0.3">
      <c r="B756" s="182">
        <v>2608</v>
      </c>
      <c r="C756" s="182">
        <v>1116</v>
      </c>
      <c r="D756" s="182" t="s">
        <v>78</v>
      </c>
      <c r="E756" s="181" t="str">
        <f>+E754</f>
        <v xml:space="preserve">ج مركز ابحاث اكلينكى </v>
      </c>
      <c r="F756" s="182"/>
      <c r="G756" s="182">
        <v>4993.91</v>
      </c>
      <c r="H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2"/>
      <c r="AH756" s="182"/>
      <c r="AI756" s="182"/>
      <c r="AJ756" s="182"/>
      <c r="AK756" s="182"/>
      <c r="AL756" s="182"/>
      <c r="AM756" s="182"/>
      <c r="AN756" s="182"/>
      <c r="AO756" s="182"/>
      <c r="AP756" s="182"/>
      <c r="AQ756" s="185">
        <f t="shared" si="131"/>
        <v>4993.91</v>
      </c>
      <c r="AR756" s="182">
        <v>3337.07</v>
      </c>
      <c r="AS756" s="182">
        <v>453.62</v>
      </c>
      <c r="AT756" s="182">
        <v>1203.22</v>
      </c>
      <c r="AU756" s="182"/>
      <c r="AV756" s="182"/>
      <c r="AW756" s="182"/>
      <c r="AX756" s="182"/>
      <c r="AY756" s="182"/>
      <c r="AZ756" s="182"/>
      <c r="BA756" s="182"/>
      <c r="BB756" s="182"/>
      <c r="BC756" s="182"/>
      <c r="BD756" s="182"/>
      <c r="BE756" s="182"/>
      <c r="BF756" s="182"/>
      <c r="BG756" s="182"/>
      <c r="BH756" s="182"/>
      <c r="BI756" s="182"/>
      <c r="BJ756" s="182"/>
      <c r="BK756" s="182"/>
      <c r="BL756" s="182"/>
      <c r="BM756" s="182"/>
      <c r="BN756" s="182"/>
      <c r="BO756" s="182"/>
      <c r="BP756" s="182"/>
      <c r="BQ756" s="182"/>
      <c r="BR756" s="182"/>
      <c r="BS756" s="182"/>
      <c r="BT756" s="182"/>
      <c r="BU756" s="182"/>
      <c r="BV756" s="182"/>
      <c r="BW756" s="182"/>
      <c r="BX756" s="182"/>
      <c r="BY756" s="182"/>
      <c r="BZ756" s="182"/>
      <c r="CA756" s="182"/>
      <c r="CB756" s="185">
        <f t="shared" si="132"/>
        <v>4993.91</v>
      </c>
      <c r="CC756" s="185">
        <f t="shared" si="133"/>
        <v>0</v>
      </c>
      <c r="CD756" s="185">
        <f t="shared" si="134"/>
        <v>1116</v>
      </c>
      <c r="CE756" s="185" t="e">
        <f>+#REF!</f>
        <v>#REF!</v>
      </c>
    </row>
    <row r="757" spans="2:83" s="197" customFormat="1" ht="37.5" x14ac:dyDescent="0.3">
      <c r="B757" s="182">
        <v>2609</v>
      </c>
      <c r="C757" s="182">
        <v>1117</v>
      </c>
      <c r="D757" s="182" t="s">
        <v>78</v>
      </c>
      <c r="E757" s="181" t="str">
        <f>+E756</f>
        <v xml:space="preserve">ج مركز ابحاث اكلينكى </v>
      </c>
      <c r="F757" s="182"/>
      <c r="G757" s="182">
        <v>3993</v>
      </c>
      <c r="H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  <c r="Z757" s="182"/>
      <c r="AA757" s="182"/>
      <c r="AB757" s="182"/>
      <c r="AC757" s="182"/>
      <c r="AD757" s="182"/>
      <c r="AE757" s="182"/>
      <c r="AF757" s="182"/>
      <c r="AG757" s="182"/>
      <c r="AH757" s="182"/>
      <c r="AI757" s="182"/>
      <c r="AJ757" s="182"/>
      <c r="AK757" s="182"/>
      <c r="AL757" s="182"/>
      <c r="AM757" s="182"/>
      <c r="AN757" s="182"/>
      <c r="AO757" s="182"/>
      <c r="AP757" s="182"/>
      <c r="AQ757" s="185">
        <f t="shared" si="131"/>
        <v>3993</v>
      </c>
      <c r="AR757" s="182">
        <v>3564.1</v>
      </c>
      <c r="AS757" s="182">
        <v>428.9</v>
      </c>
      <c r="AT757" s="182"/>
      <c r="AU757" s="182"/>
      <c r="AV757" s="182"/>
      <c r="AW757" s="182"/>
      <c r="AX757" s="182"/>
      <c r="AY757" s="182"/>
      <c r="AZ757" s="182"/>
      <c r="BA757" s="182"/>
      <c r="BB757" s="182"/>
      <c r="BC757" s="182"/>
      <c r="BD757" s="182"/>
      <c r="BE757" s="182"/>
      <c r="BF757" s="182"/>
      <c r="BG757" s="182"/>
      <c r="BH757" s="182"/>
      <c r="BI757" s="182"/>
      <c r="BJ757" s="182"/>
      <c r="BK757" s="182"/>
      <c r="BL757" s="182"/>
      <c r="BM757" s="182"/>
      <c r="BN757" s="182"/>
      <c r="BO757" s="182"/>
      <c r="BP757" s="182"/>
      <c r="BQ757" s="182"/>
      <c r="BR757" s="182"/>
      <c r="BS757" s="182"/>
      <c r="BT757" s="182"/>
      <c r="BU757" s="182"/>
      <c r="BV757" s="182"/>
      <c r="BW757" s="182"/>
      <c r="BX757" s="182"/>
      <c r="BY757" s="182"/>
      <c r="BZ757" s="182"/>
      <c r="CA757" s="182"/>
      <c r="CB757" s="185">
        <f t="shared" si="132"/>
        <v>3993</v>
      </c>
      <c r="CC757" s="185">
        <f t="shared" si="133"/>
        <v>0</v>
      </c>
      <c r="CD757" s="185">
        <f t="shared" si="134"/>
        <v>1117</v>
      </c>
      <c r="CE757" s="185" t="e">
        <f>+#REF!</f>
        <v>#REF!</v>
      </c>
    </row>
    <row r="758" spans="2:83" s="197" customFormat="1" ht="37.5" x14ac:dyDescent="0.3">
      <c r="B758" s="182">
        <v>2611</v>
      </c>
      <c r="C758" s="182">
        <v>1118</v>
      </c>
      <c r="D758" s="182" t="s">
        <v>78</v>
      </c>
      <c r="E758" s="181" t="str">
        <f>+E757</f>
        <v xml:space="preserve">ج مركز ابحاث اكلينكى </v>
      </c>
      <c r="F758" s="182"/>
      <c r="G758" s="182">
        <v>11179.56</v>
      </c>
      <c r="H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2"/>
      <c r="AH758" s="182"/>
      <c r="AI758" s="182"/>
      <c r="AJ758" s="182"/>
      <c r="AK758" s="182"/>
      <c r="AL758" s="182"/>
      <c r="AM758" s="182"/>
      <c r="AN758" s="182"/>
      <c r="AO758" s="182"/>
      <c r="AP758" s="182"/>
      <c r="AQ758" s="185">
        <f t="shared" si="131"/>
        <v>11179.56</v>
      </c>
      <c r="AR758" s="182">
        <v>7469.89</v>
      </c>
      <c r="AS758" s="182">
        <f>62.6+953.48</f>
        <v>1016.08</v>
      </c>
      <c r="AT758" s="182">
        <v>2693.59</v>
      </c>
      <c r="AU758" s="182"/>
      <c r="AV758" s="182"/>
      <c r="AW758" s="182"/>
      <c r="AX758" s="182"/>
      <c r="AY758" s="182"/>
      <c r="AZ758" s="182"/>
      <c r="BA758" s="182"/>
      <c r="BB758" s="182"/>
      <c r="BC758" s="182"/>
      <c r="BD758" s="182"/>
      <c r="BE758" s="182"/>
      <c r="BF758" s="182"/>
      <c r="BG758" s="182"/>
      <c r="BH758" s="182"/>
      <c r="BI758" s="182"/>
      <c r="BJ758" s="182"/>
      <c r="BK758" s="182"/>
      <c r="BL758" s="182"/>
      <c r="BM758" s="182"/>
      <c r="BN758" s="182"/>
      <c r="BO758" s="182"/>
      <c r="BP758" s="182"/>
      <c r="BQ758" s="182"/>
      <c r="BR758" s="182"/>
      <c r="BS758" s="182"/>
      <c r="BT758" s="182"/>
      <c r="BU758" s="182"/>
      <c r="BV758" s="182"/>
      <c r="BW758" s="182"/>
      <c r="BX758" s="182"/>
      <c r="BY758" s="182"/>
      <c r="BZ758" s="182"/>
      <c r="CA758" s="182"/>
      <c r="CB758" s="185">
        <f t="shared" si="132"/>
        <v>11179.560000000001</v>
      </c>
      <c r="CC758" s="185">
        <f t="shared" si="133"/>
        <v>0</v>
      </c>
      <c r="CD758" s="185">
        <f t="shared" si="134"/>
        <v>1118</v>
      </c>
      <c r="CE758" s="185" t="e">
        <f>+#REF!</f>
        <v>#REF!</v>
      </c>
    </row>
    <row r="759" spans="2:83" s="197" customFormat="1" ht="37.5" x14ac:dyDescent="0.3">
      <c r="B759" s="182">
        <v>2610</v>
      </c>
      <c r="C759" s="182">
        <v>1119</v>
      </c>
      <c r="D759" s="182" t="s">
        <v>78</v>
      </c>
      <c r="E759" s="181" t="str">
        <f>+E758</f>
        <v xml:space="preserve">ج مركز ابحاث اكلينكى </v>
      </c>
      <c r="F759" s="182"/>
      <c r="G759" s="182">
        <v>9955.8799999999992</v>
      </c>
      <c r="H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2"/>
      <c r="AH759" s="182"/>
      <c r="AI759" s="182"/>
      <c r="AJ759" s="182"/>
      <c r="AK759" s="182"/>
      <c r="AL759" s="182"/>
      <c r="AM759" s="182"/>
      <c r="AN759" s="182"/>
      <c r="AO759" s="182"/>
      <c r="AP759" s="182"/>
      <c r="AQ759" s="185">
        <f t="shared" si="131"/>
        <v>9955.8799999999992</v>
      </c>
      <c r="AR759" s="182">
        <v>8881.0400000000009</v>
      </c>
      <c r="AS759" s="182">
        <v>1074.8399999999999</v>
      </c>
      <c r="AT759" s="182"/>
      <c r="AU759" s="182"/>
      <c r="AV759" s="182"/>
      <c r="AW759" s="182"/>
      <c r="AX759" s="182"/>
      <c r="AY759" s="182"/>
      <c r="AZ759" s="182"/>
      <c r="BA759" s="182"/>
      <c r="BB759" s="182"/>
      <c r="BC759" s="182"/>
      <c r="BD759" s="182"/>
      <c r="BE759" s="182"/>
      <c r="BF759" s="182"/>
      <c r="BG759" s="182"/>
      <c r="BH759" s="182"/>
      <c r="BI759" s="182"/>
      <c r="BJ759" s="182"/>
      <c r="BK759" s="182"/>
      <c r="BL759" s="182"/>
      <c r="BM759" s="182"/>
      <c r="BN759" s="182"/>
      <c r="BO759" s="182"/>
      <c r="BP759" s="182"/>
      <c r="BQ759" s="182"/>
      <c r="BR759" s="182"/>
      <c r="BS759" s="182"/>
      <c r="BT759" s="182"/>
      <c r="BU759" s="182"/>
      <c r="BV759" s="182"/>
      <c r="BW759" s="182"/>
      <c r="BX759" s="182"/>
      <c r="BY759" s="182"/>
      <c r="BZ759" s="182"/>
      <c r="CA759" s="182"/>
      <c r="CB759" s="185">
        <f t="shared" si="132"/>
        <v>9955.880000000001</v>
      </c>
      <c r="CC759" s="185">
        <f t="shared" si="133"/>
        <v>0</v>
      </c>
      <c r="CD759" s="185">
        <f t="shared" si="134"/>
        <v>1119</v>
      </c>
      <c r="CE759" s="185" t="e">
        <f>+#REF!</f>
        <v>#REF!</v>
      </c>
    </row>
    <row r="760" spans="2:83" s="197" customFormat="1" ht="37.5" x14ac:dyDescent="0.3">
      <c r="B760" s="182">
        <v>2543</v>
      </c>
      <c r="C760" s="182">
        <v>1120</v>
      </c>
      <c r="D760" s="182" t="s">
        <v>78</v>
      </c>
      <c r="E760" s="181" t="s">
        <v>790</v>
      </c>
      <c r="F760" s="182"/>
      <c r="G760" s="182">
        <v>1000</v>
      </c>
      <c r="H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  <c r="Z760" s="182"/>
      <c r="AA760" s="182"/>
      <c r="AB760" s="182"/>
      <c r="AC760" s="182"/>
      <c r="AD760" s="182"/>
      <c r="AE760" s="182"/>
      <c r="AF760" s="182"/>
      <c r="AG760" s="182"/>
      <c r="AH760" s="182"/>
      <c r="AI760" s="182"/>
      <c r="AJ760" s="182"/>
      <c r="AK760" s="182"/>
      <c r="AL760" s="182"/>
      <c r="AM760" s="182"/>
      <c r="AN760" s="182"/>
      <c r="AO760" s="182"/>
      <c r="AP760" s="182"/>
      <c r="AQ760" s="185">
        <f t="shared" si="131"/>
        <v>1000</v>
      </c>
      <c r="AR760" s="182">
        <v>893.35</v>
      </c>
      <c r="AS760" s="182">
        <v>106.65</v>
      </c>
      <c r="AT760" s="182"/>
      <c r="AU760" s="182"/>
      <c r="AV760" s="182"/>
      <c r="AW760" s="182"/>
      <c r="AX760" s="182"/>
      <c r="AY760" s="182"/>
      <c r="AZ760" s="182"/>
      <c r="BA760" s="182"/>
      <c r="BB760" s="182"/>
      <c r="BC760" s="182"/>
      <c r="BD760" s="182"/>
      <c r="BE760" s="182"/>
      <c r="BF760" s="182"/>
      <c r="BG760" s="182"/>
      <c r="BH760" s="182"/>
      <c r="BI760" s="182"/>
      <c r="BJ760" s="182"/>
      <c r="BK760" s="182"/>
      <c r="BL760" s="182"/>
      <c r="BM760" s="182"/>
      <c r="BN760" s="182"/>
      <c r="BO760" s="182"/>
      <c r="BP760" s="182"/>
      <c r="BQ760" s="182"/>
      <c r="BR760" s="182"/>
      <c r="BS760" s="182"/>
      <c r="BT760" s="182"/>
      <c r="BU760" s="182"/>
      <c r="BV760" s="182"/>
      <c r="BW760" s="182"/>
      <c r="BX760" s="182"/>
      <c r="BY760" s="182"/>
      <c r="BZ760" s="182"/>
      <c r="CA760" s="182"/>
      <c r="CB760" s="185">
        <f t="shared" si="132"/>
        <v>1000</v>
      </c>
      <c r="CC760" s="185">
        <f t="shared" si="133"/>
        <v>0</v>
      </c>
      <c r="CD760" s="185">
        <f t="shared" si="134"/>
        <v>1120</v>
      </c>
      <c r="CE760" s="185" t="e">
        <f>+#REF!</f>
        <v>#REF!</v>
      </c>
    </row>
    <row r="761" spans="2:83" s="197" customFormat="1" ht="37.5" x14ac:dyDescent="0.3">
      <c r="B761" s="182">
        <v>2542</v>
      </c>
      <c r="C761" s="182">
        <v>1121</v>
      </c>
      <c r="D761" s="182" t="s">
        <v>78</v>
      </c>
      <c r="E761" s="181" t="s">
        <v>790</v>
      </c>
      <c r="F761" s="182"/>
      <c r="G761" s="182">
        <v>15733.32</v>
      </c>
      <c r="H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2"/>
      <c r="AH761" s="182"/>
      <c r="AI761" s="182"/>
      <c r="AJ761" s="182"/>
      <c r="AK761" s="182"/>
      <c r="AL761" s="182"/>
      <c r="AM761" s="182"/>
      <c r="AN761" s="182"/>
      <c r="AO761" s="182"/>
      <c r="AP761" s="182"/>
      <c r="AQ761" s="185">
        <f t="shared" si="131"/>
        <v>15733.32</v>
      </c>
      <c r="AR761" s="182">
        <v>14049.49</v>
      </c>
      <c r="AS761" s="182">
        <v>1683.83</v>
      </c>
      <c r="AT761" s="182"/>
      <c r="AU761" s="182"/>
      <c r="AV761" s="182"/>
      <c r="AW761" s="182"/>
      <c r="AX761" s="182"/>
      <c r="AY761" s="182"/>
      <c r="AZ761" s="182"/>
      <c r="BA761" s="182"/>
      <c r="BB761" s="182"/>
      <c r="BC761" s="182"/>
      <c r="BD761" s="182"/>
      <c r="BE761" s="182"/>
      <c r="BF761" s="182"/>
      <c r="BG761" s="182"/>
      <c r="BH761" s="182"/>
      <c r="BI761" s="182"/>
      <c r="BJ761" s="182"/>
      <c r="BK761" s="182"/>
      <c r="BL761" s="182"/>
      <c r="BM761" s="182"/>
      <c r="BN761" s="182"/>
      <c r="BO761" s="182"/>
      <c r="BP761" s="182"/>
      <c r="BQ761" s="182"/>
      <c r="BR761" s="182"/>
      <c r="BS761" s="182"/>
      <c r="BT761" s="182"/>
      <c r="BU761" s="182"/>
      <c r="BV761" s="182"/>
      <c r="BW761" s="182"/>
      <c r="BX761" s="182"/>
      <c r="BY761" s="182"/>
      <c r="BZ761" s="182"/>
      <c r="CA761" s="182"/>
      <c r="CB761" s="185">
        <f t="shared" si="132"/>
        <v>15733.32</v>
      </c>
      <c r="CC761" s="185">
        <f t="shared" si="133"/>
        <v>0</v>
      </c>
      <c r="CD761" s="185">
        <f t="shared" si="134"/>
        <v>1121</v>
      </c>
      <c r="CE761" s="185" t="e">
        <f>+#REF!</f>
        <v>#REF!</v>
      </c>
    </row>
    <row r="762" spans="2:83" s="197" customFormat="1" ht="37.5" x14ac:dyDescent="0.3">
      <c r="B762" s="182">
        <v>2541</v>
      </c>
      <c r="C762" s="182">
        <v>1122</v>
      </c>
      <c r="D762" s="182" t="s">
        <v>78</v>
      </c>
      <c r="E762" s="181" t="s">
        <v>4830</v>
      </c>
      <c r="F762" s="182"/>
      <c r="G762" s="182">
        <v>820.75</v>
      </c>
      <c r="H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2"/>
      <c r="AH762" s="182"/>
      <c r="AI762" s="182"/>
      <c r="AJ762" s="182"/>
      <c r="AK762" s="182"/>
      <c r="AL762" s="182"/>
      <c r="AM762" s="182"/>
      <c r="AN762" s="182"/>
      <c r="AO762" s="182"/>
      <c r="AP762" s="182"/>
      <c r="AQ762" s="185">
        <f t="shared" si="131"/>
        <v>820.75</v>
      </c>
      <c r="AR762" s="182">
        <v>548.95000000000005</v>
      </c>
      <c r="AS762" s="182">
        <v>74.05</v>
      </c>
      <c r="AT762" s="182">
        <v>197.75</v>
      </c>
      <c r="AU762" s="182"/>
      <c r="AV762" s="182"/>
      <c r="AW762" s="182"/>
      <c r="AX762" s="182"/>
      <c r="AY762" s="182"/>
      <c r="AZ762" s="182"/>
      <c r="BA762" s="182"/>
      <c r="BB762" s="182"/>
      <c r="BC762" s="182"/>
      <c r="BD762" s="182"/>
      <c r="BE762" s="182"/>
      <c r="BF762" s="182"/>
      <c r="BG762" s="182"/>
      <c r="BH762" s="182"/>
      <c r="BI762" s="182"/>
      <c r="BJ762" s="182"/>
      <c r="BK762" s="182"/>
      <c r="BL762" s="182"/>
      <c r="BM762" s="182"/>
      <c r="BN762" s="182"/>
      <c r="BO762" s="182"/>
      <c r="BP762" s="182"/>
      <c r="BQ762" s="182"/>
      <c r="BR762" s="182"/>
      <c r="BS762" s="182"/>
      <c r="BT762" s="182"/>
      <c r="BU762" s="182"/>
      <c r="BV762" s="182"/>
      <c r="BW762" s="182"/>
      <c r="BX762" s="182"/>
      <c r="BY762" s="182"/>
      <c r="BZ762" s="182"/>
      <c r="CA762" s="182"/>
      <c r="CB762" s="185">
        <f t="shared" si="132"/>
        <v>820.75</v>
      </c>
      <c r="CC762" s="185">
        <f t="shared" si="133"/>
        <v>0</v>
      </c>
      <c r="CD762" s="185">
        <f t="shared" si="134"/>
        <v>1122</v>
      </c>
      <c r="CE762" s="185" t="e">
        <f>+#REF!</f>
        <v>#REF!</v>
      </c>
    </row>
    <row r="763" spans="2:83" s="197" customFormat="1" ht="37.5" x14ac:dyDescent="0.3">
      <c r="B763" s="182">
        <v>2540</v>
      </c>
      <c r="C763" s="182">
        <v>1123</v>
      </c>
      <c r="D763" s="182" t="s">
        <v>78</v>
      </c>
      <c r="E763" s="181" t="s">
        <v>4830</v>
      </c>
      <c r="F763" s="182"/>
      <c r="G763" s="182">
        <v>1700.13</v>
      </c>
      <c r="H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  <c r="Z763" s="182"/>
      <c r="AA763" s="182"/>
      <c r="AB763" s="182"/>
      <c r="AC763" s="182"/>
      <c r="AD763" s="182"/>
      <c r="AE763" s="182"/>
      <c r="AF763" s="182"/>
      <c r="AG763" s="182"/>
      <c r="AH763" s="182"/>
      <c r="AI763" s="182"/>
      <c r="AJ763" s="182"/>
      <c r="AK763" s="182"/>
      <c r="AL763" s="182"/>
      <c r="AM763" s="182"/>
      <c r="AN763" s="182"/>
      <c r="AO763" s="182"/>
      <c r="AP763" s="182"/>
      <c r="AQ763" s="185">
        <f t="shared" si="131"/>
        <v>1700.13</v>
      </c>
      <c r="AR763" s="182">
        <v>1137.0999999999999</v>
      </c>
      <c r="AS763" s="182">
        <v>153.4</v>
      </c>
      <c r="AT763" s="182">
        <v>409.63</v>
      </c>
      <c r="AU763" s="182"/>
      <c r="AV763" s="182"/>
      <c r="AW763" s="182"/>
      <c r="AX763" s="182"/>
      <c r="AY763" s="182"/>
      <c r="AZ763" s="182"/>
      <c r="BA763" s="182"/>
      <c r="BB763" s="182"/>
      <c r="BC763" s="182"/>
      <c r="BD763" s="182"/>
      <c r="BE763" s="182"/>
      <c r="BF763" s="182"/>
      <c r="BG763" s="182"/>
      <c r="BH763" s="182"/>
      <c r="BI763" s="182"/>
      <c r="BJ763" s="182"/>
      <c r="BK763" s="182"/>
      <c r="BL763" s="182"/>
      <c r="BM763" s="182"/>
      <c r="BN763" s="182"/>
      <c r="BO763" s="182"/>
      <c r="BP763" s="182"/>
      <c r="BQ763" s="182"/>
      <c r="BR763" s="182"/>
      <c r="BS763" s="182"/>
      <c r="BT763" s="182"/>
      <c r="BU763" s="182"/>
      <c r="BV763" s="182"/>
      <c r="BW763" s="182"/>
      <c r="BX763" s="182"/>
      <c r="BY763" s="182"/>
      <c r="BZ763" s="182"/>
      <c r="CA763" s="182"/>
      <c r="CB763" s="185">
        <f t="shared" si="132"/>
        <v>1700.13</v>
      </c>
      <c r="CC763" s="185">
        <f t="shared" si="133"/>
        <v>0</v>
      </c>
      <c r="CD763" s="185">
        <f t="shared" si="134"/>
        <v>1123</v>
      </c>
      <c r="CE763" s="185" t="e">
        <f>+#REF!</f>
        <v>#REF!</v>
      </c>
    </row>
    <row r="764" spans="2:83" s="197" customFormat="1" ht="37.5" x14ac:dyDescent="0.3">
      <c r="B764" s="182">
        <v>2539</v>
      </c>
      <c r="C764" s="182">
        <v>1124</v>
      </c>
      <c r="D764" s="182" t="s">
        <v>78</v>
      </c>
      <c r="E764" s="181" t="str">
        <f>+E759</f>
        <v xml:space="preserve">ج مركز ابحاث اكلينكى </v>
      </c>
      <c r="F764" s="182"/>
      <c r="G764" s="182">
        <v>142.51</v>
      </c>
      <c r="H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2"/>
      <c r="AH764" s="182"/>
      <c r="AI764" s="182"/>
      <c r="AJ764" s="182"/>
      <c r="AK764" s="182"/>
      <c r="AL764" s="182"/>
      <c r="AM764" s="182"/>
      <c r="AN764" s="182"/>
      <c r="AO764" s="182"/>
      <c r="AP764" s="182"/>
      <c r="AQ764" s="185">
        <f t="shared" si="131"/>
        <v>142.51</v>
      </c>
      <c r="AR764" s="182">
        <v>127.66</v>
      </c>
      <c r="AS764" s="182">
        <f>0.6+14.25</f>
        <v>14.85</v>
      </c>
      <c r="AT764" s="182"/>
      <c r="AU764" s="182"/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182"/>
      <c r="BK764" s="182"/>
      <c r="BL764" s="182"/>
      <c r="BM764" s="182"/>
      <c r="BN764" s="182"/>
      <c r="BO764" s="182"/>
      <c r="BP764" s="182"/>
      <c r="BQ764" s="182"/>
      <c r="BR764" s="182"/>
      <c r="BS764" s="182"/>
      <c r="BT764" s="182"/>
      <c r="BU764" s="182"/>
      <c r="BV764" s="182"/>
      <c r="BW764" s="182"/>
      <c r="BX764" s="182"/>
      <c r="BY764" s="182"/>
      <c r="BZ764" s="182"/>
      <c r="CA764" s="182"/>
      <c r="CB764" s="185">
        <f t="shared" si="132"/>
        <v>142.51</v>
      </c>
      <c r="CC764" s="185">
        <f t="shared" si="133"/>
        <v>0</v>
      </c>
      <c r="CD764" s="185">
        <f t="shared" si="134"/>
        <v>1124</v>
      </c>
      <c r="CE764" s="185" t="e">
        <f>+#REF!</f>
        <v>#REF!</v>
      </c>
    </row>
    <row r="765" spans="2:83" s="197" customFormat="1" ht="37.5" x14ac:dyDescent="0.3">
      <c r="B765" s="182">
        <v>2538</v>
      </c>
      <c r="C765" s="182">
        <v>1125</v>
      </c>
      <c r="D765" s="182" t="s">
        <v>78</v>
      </c>
      <c r="E765" s="181" t="s">
        <v>4831</v>
      </c>
      <c r="F765" s="182"/>
      <c r="G765" s="182">
        <v>4928.79</v>
      </c>
      <c r="H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2"/>
      <c r="AH765" s="182"/>
      <c r="AI765" s="182"/>
      <c r="AJ765" s="182"/>
      <c r="AK765" s="182"/>
      <c r="AL765" s="182"/>
      <c r="AM765" s="182"/>
      <c r="AN765" s="182"/>
      <c r="AO765" s="182"/>
      <c r="AP765" s="182"/>
      <c r="AQ765" s="185">
        <f t="shared" si="131"/>
        <v>4928.79</v>
      </c>
      <c r="AR765" s="182">
        <v>4399.3100000000004</v>
      </c>
      <c r="AS765" s="182">
        <v>529.48</v>
      </c>
      <c r="AT765" s="182"/>
      <c r="AU765" s="182"/>
      <c r="AV765" s="182"/>
      <c r="AW765" s="182"/>
      <c r="AX765" s="182"/>
      <c r="AY765" s="182"/>
      <c r="AZ765" s="182"/>
      <c r="BA765" s="182"/>
      <c r="BB765" s="182"/>
      <c r="BC765" s="182"/>
      <c r="BD765" s="182"/>
      <c r="BE765" s="182"/>
      <c r="BF765" s="182"/>
      <c r="BG765" s="182"/>
      <c r="BH765" s="182"/>
      <c r="BI765" s="182"/>
      <c r="BJ765" s="182"/>
      <c r="BK765" s="182"/>
      <c r="BL765" s="182"/>
      <c r="BM765" s="182"/>
      <c r="BN765" s="182"/>
      <c r="BO765" s="182"/>
      <c r="BP765" s="182"/>
      <c r="BQ765" s="182"/>
      <c r="BR765" s="182"/>
      <c r="BS765" s="182"/>
      <c r="BT765" s="182"/>
      <c r="BU765" s="182"/>
      <c r="BV765" s="182"/>
      <c r="BW765" s="182"/>
      <c r="BX765" s="182"/>
      <c r="BY765" s="182"/>
      <c r="BZ765" s="182"/>
      <c r="CA765" s="182"/>
      <c r="CB765" s="185">
        <f t="shared" si="132"/>
        <v>4928.7900000000009</v>
      </c>
      <c r="CC765" s="185">
        <f t="shared" si="133"/>
        <v>0</v>
      </c>
      <c r="CD765" s="185">
        <f t="shared" si="134"/>
        <v>1125</v>
      </c>
      <c r="CE765" s="185" t="e">
        <f>+#REF!</f>
        <v>#REF!</v>
      </c>
    </row>
    <row r="766" spans="2:83" s="197" customFormat="1" ht="37.5" x14ac:dyDescent="0.3">
      <c r="B766" s="182">
        <v>2537</v>
      </c>
      <c r="C766" s="182">
        <v>1126</v>
      </c>
      <c r="D766" s="182" t="s">
        <v>78</v>
      </c>
      <c r="E766" s="181" t="str">
        <f>+E765</f>
        <v>مكافاه منسقين ابحاث اكلينكيه</v>
      </c>
      <c r="F766" s="182"/>
      <c r="G766" s="182">
        <v>569.89</v>
      </c>
      <c r="H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  <c r="Z766" s="182"/>
      <c r="AA766" s="182"/>
      <c r="AB766" s="182"/>
      <c r="AC766" s="182"/>
      <c r="AD766" s="182"/>
      <c r="AE766" s="182"/>
      <c r="AF766" s="182"/>
      <c r="AG766" s="182"/>
      <c r="AH766" s="182"/>
      <c r="AI766" s="182"/>
      <c r="AJ766" s="182"/>
      <c r="AK766" s="182"/>
      <c r="AL766" s="182"/>
      <c r="AM766" s="182"/>
      <c r="AN766" s="182"/>
      <c r="AO766" s="182"/>
      <c r="AP766" s="182"/>
      <c r="AQ766" s="185">
        <f t="shared" si="131"/>
        <v>569.89</v>
      </c>
      <c r="AR766" s="182">
        <v>509.25</v>
      </c>
      <c r="AS766" s="182">
        <v>60.64</v>
      </c>
      <c r="AT766" s="182"/>
      <c r="AU766" s="182"/>
      <c r="AV766" s="182"/>
      <c r="AW766" s="182"/>
      <c r="AX766" s="182"/>
      <c r="AY766" s="182"/>
      <c r="AZ766" s="182"/>
      <c r="BA766" s="182"/>
      <c r="BB766" s="182"/>
      <c r="BC766" s="182"/>
      <c r="BD766" s="182"/>
      <c r="BE766" s="182"/>
      <c r="BF766" s="182"/>
      <c r="BG766" s="182"/>
      <c r="BH766" s="182"/>
      <c r="BI766" s="182"/>
      <c r="BJ766" s="182"/>
      <c r="BK766" s="182"/>
      <c r="BL766" s="182"/>
      <c r="BM766" s="182"/>
      <c r="BN766" s="182"/>
      <c r="BO766" s="182"/>
      <c r="BP766" s="182"/>
      <c r="BQ766" s="182"/>
      <c r="BR766" s="182"/>
      <c r="BS766" s="182"/>
      <c r="BT766" s="182"/>
      <c r="BU766" s="182"/>
      <c r="BV766" s="182"/>
      <c r="BW766" s="182"/>
      <c r="BX766" s="182"/>
      <c r="BY766" s="182"/>
      <c r="BZ766" s="182"/>
      <c r="CA766" s="182"/>
      <c r="CB766" s="185">
        <f t="shared" si="132"/>
        <v>569.89</v>
      </c>
      <c r="CC766" s="185">
        <f t="shared" si="133"/>
        <v>0</v>
      </c>
      <c r="CD766" s="185">
        <f t="shared" si="134"/>
        <v>1126</v>
      </c>
      <c r="CE766" s="185" t="e">
        <f>+#REF!</f>
        <v>#REF!</v>
      </c>
    </row>
    <row r="767" spans="2:83" s="197" customFormat="1" ht="37.5" x14ac:dyDescent="0.3">
      <c r="B767" s="182">
        <v>2536</v>
      </c>
      <c r="C767" s="182">
        <v>1127</v>
      </c>
      <c r="D767" s="182" t="s">
        <v>78</v>
      </c>
      <c r="E767" s="181" t="str">
        <f>+E766</f>
        <v>مكافاه منسقين ابحاث اكلينكيه</v>
      </c>
      <c r="F767" s="182"/>
      <c r="G767" s="182">
        <v>4884.29</v>
      </c>
      <c r="H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2"/>
      <c r="AH767" s="182"/>
      <c r="AI767" s="182"/>
      <c r="AJ767" s="182"/>
      <c r="AK767" s="182"/>
      <c r="AL767" s="182"/>
      <c r="AM767" s="182"/>
      <c r="AN767" s="182"/>
      <c r="AO767" s="182"/>
      <c r="AP767" s="182"/>
      <c r="AQ767" s="185">
        <f t="shared" si="131"/>
        <v>4884.29</v>
      </c>
      <c r="AR767" s="182">
        <v>4359.5600000000004</v>
      </c>
      <c r="AS767" s="182">
        <v>524.73</v>
      </c>
      <c r="AT767" s="182"/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182"/>
      <c r="BK767" s="182"/>
      <c r="BL767" s="182"/>
      <c r="BM767" s="182"/>
      <c r="BN767" s="182"/>
      <c r="BO767" s="182"/>
      <c r="BP767" s="182"/>
      <c r="BQ767" s="182"/>
      <c r="BR767" s="182"/>
      <c r="BS767" s="182"/>
      <c r="BT767" s="182"/>
      <c r="BU767" s="182"/>
      <c r="BV767" s="182"/>
      <c r="BW767" s="182"/>
      <c r="BX767" s="182"/>
      <c r="BY767" s="182"/>
      <c r="BZ767" s="182"/>
      <c r="CA767" s="182"/>
      <c r="CB767" s="185">
        <f t="shared" si="132"/>
        <v>4884.2900000000009</v>
      </c>
      <c r="CC767" s="185">
        <f t="shared" si="133"/>
        <v>0</v>
      </c>
      <c r="CD767" s="185">
        <f t="shared" si="134"/>
        <v>1127</v>
      </c>
      <c r="CE767" s="185" t="e">
        <f>+#REF!</f>
        <v>#REF!</v>
      </c>
    </row>
    <row r="768" spans="2:83" s="197" customFormat="1" ht="37.5" x14ac:dyDescent="0.3">
      <c r="B768" s="182">
        <v>2534</v>
      </c>
      <c r="C768" s="182">
        <v>1128</v>
      </c>
      <c r="D768" s="182" t="s">
        <v>78</v>
      </c>
      <c r="E768" s="181" t="s">
        <v>4832</v>
      </c>
      <c r="F768" s="182"/>
      <c r="G768" s="182">
        <v>902.83</v>
      </c>
      <c r="H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2"/>
      <c r="AH768" s="182"/>
      <c r="AI768" s="182"/>
      <c r="AJ768" s="182"/>
      <c r="AK768" s="182"/>
      <c r="AL768" s="182"/>
      <c r="AM768" s="182"/>
      <c r="AN768" s="182"/>
      <c r="AO768" s="182"/>
      <c r="AP768" s="182"/>
      <c r="AQ768" s="185">
        <f t="shared" si="131"/>
        <v>902.83</v>
      </c>
      <c r="AR768" s="182">
        <v>603.85</v>
      </c>
      <c r="AS768" s="182">
        <f>4.45+77</f>
        <v>81.45</v>
      </c>
      <c r="AT768" s="182">
        <v>217.53</v>
      </c>
      <c r="AU768" s="182"/>
      <c r="AV768" s="182"/>
      <c r="AW768" s="182"/>
      <c r="AX768" s="182"/>
      <c r="AY768" s="182"/>
      <c r="AZ768" s="182"/>
      <c r="BA768" s="182"/>
      <c r="BB768" s="182"/>
      <c r="BC768" s="182"/>
      <c r="BD768" s="182"/>
      <c r="BE768" s="182"/>
      <c r="BF768" s="182"/>
      <c r="BG768" s="182"/>
      <c r="BH768" s="182"/>
      <c r="BI768" s="182"/>
      <c r="BJ768" s="182"/>
      <c r="BK768" s="182"/>
      <c r="BL768" s="182"/>
      <c r="BM768" s="182"/>
      <c r="BN768" s="182"/>
      <c r="BO768" s="182"/>
      <c r="BP768" s="182"/>
      <c r="BQ768" s="182"/>
      <c r="BR768" s="182"/>
      <c r="BS768" s="182"/>
      <c r="BT768" s="182"/>
      <c r="BU768" s="182"/>
      <c r="BV768" s="182"/>
      <c r="BW768" s="182"/>
      <c r="BX768" s="182"/>
      <c r="BY768" s="182"/>
      <c r="BZ768" s="182"/>
      <c r="CA768" s="182"/>
      <c r="CB768" s="185">
        <f t="shared" si="132"/>
        <v>902.83</v>
      </c>
      <c r="CC768" s="185">
        <f t="shared" si="133"/>
        <v>0</v>
      </c>
      <c r="CD768" s="185">
        <f t="shared" si="134"/>
        <v>1128</v>
      </c>
      <c r="CE768" s="185"/>
    </row>
    <row r="769" spans="2:83" s="197" customFormat="1" ht="37.5" x14ac:dyDescent="0.3">
      <c r="B769" s="182">
        <v>2535</v>
      </c>
      <c r="C769" s="182">
        <v>1129</v>
      </c>
      <c r="D769" s="182" t="s">
        <v>78</v>
      </c>
      <c r="E769" s="181" t="s">
        <v>4833</v>
      </c>
      <c r="F769" s="182"/>
      <c r="G769" s="182">
        <v>586.25</v>
      </c>
      <c r="H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  <c r="Z769" s="182"/>
      <c r="AA769" s="182"/>
      <c r="AB769" s="182"/>
      <c r="AC769" s="182"/>
      <c r="AD769" s="182"/>
      <c r="AE769" s="182"/>
      <c r="AF769" s="182"/>
      <c r="AG769" s="182"/>
      <c r="AH769" s="182"/>
      <c r="AI769" s="182"/>
      <c r="AJ769" s="182"/>
      <c r="AK769" s="182"/>
      <c r="AL769" s="182"/>
      <c r="AM769" s="182"/>
      <c r="AN769" s="182"/>
      <c r="AO769" s="182"/>
      <c r="AP769" s="182"/>
      <c r="AQ769" s="185">
        <f t="shared" si="131"/>
        <v>586.25</v>
      </c>
      <c r="AR769" s="182">
        <v>392.4</v>
      </c>
      <c r="AS769" s="182">
        <f>2.6+50</f>
        <v>52.6</v>
      </c>
      <c r="AT769" s="182">
        <v>141.25</v>
      </c>
      <c r="AU769" s="182"/>
      <c r="AV769" s="182"/>
      <c r="AW769" s="182"/>
      <c r="AX769" s="182"/>
      <c r="AY769" s="182"/>
      <c r="AZ769" s="182"/>
      <c r="BA769" s="182"/>
      <c r="BB769" s="182"/>
      <c r="BC769" s="182"/>
      <c r="BD769" s="182"/>
      <c r="BE769" s="182"/>
      <c r="BF769" s="182"/>
      <c r="BG769" s="182"/>
      <c r="BH769" s="182"/>
      <c r="BI769" s="182"/>
      <c r="BJ769" s="182"/>
      <c r="BK769" s="182"/>
      <c r="BL769" s="182"/>
      <c r="BM769" s="182"/>
      <c r="BN769" s="182"/>
      <c r="BO769" s="182"/>
      <c r="BP769" s="182"/>
      <c r="BQ769" s="182"/>
      <c r="BR769" s="182"/>
      <c r="BS769" s="182"/>
      <c r="BT769" s="182"/>
      <c r="BU769" s="182"/>
      <c r="BV769" s="182"/>
      <c r="BW769" s="182"/>
      <c r="BX769" s="182"/>
      <c r="BY769" s="182"/>
      <c r="BZ769" s="182"/>
      <c r="CA769" s="182"/>
      <c r="CB769" s="185">
        <f t="shared" si="132"/>
        <v>586.25</v>
      </c>
      <c r="CC769" s="185">
        <f t="shared" si="133"/>
        <v>0</v>
      </c>
      <c r="CD769" s="185">
        <f t="shared" si="134"/>
        <v>1129</v>
      </c>
      <c r="CE769" s="185"/>
    </row>
    <row r="770" spans="2:83" s="197" customFormat="1" ht="37.5" x14ac:dyDescent="0.3">
      <c r="B770" s="182">
        <v>2460</v>
      </c>
      <c r="C770" s="182">
        <v>1130</v>
      </c>
      <c r="D770" s="182" t="s">
        <v>128</v>
      </c>
      <c r="E770" s="181" t="s">
        <v>4834</v>
      </c>
      <c r="F770" s="182"/>
      <c r="G770" s="182">
        <v>38985.32</v>
      </c>
      <c r="H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2"/>
      <c r="AH770" s="182"/>
      <c r="AI770" s="182"/>
      <c r="AJ770" s="182"/>
      <c r="AK770" s="182"/>
      <c r="AL770" s="182"/>
      <c r="AM770" s="182"/>
      <c r="AN770" s="182"/>
      <c r="AO770" s="182"/>
      <c r="AP770" s="182"/>
      <c r="AQ770" s="185">
        <f t="shared" si="131"/>
        <v>38985.32</v>
      </c>
      <c r="AR770" s="182">
        <v>25841.47</v>
      </c>
      <c r="AS770" s="182">
        <v>3526</v>
      </c>
      <c r="AT770" s="182">
        <v>9617.85</v>
      </c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182"/>
      <c r="BK770" s="182"/>
      <c r="BL770" s="182"/>
      <c r="BM770" s="182"/>
      <c r="BN770" s="182"/>
      <c r="BO770" s="182"/>
      <c r="BP770" s="182"/>
      <c r="BQ770" s="182"/>
      <c r="BR770" s="182"/>
      <c r="BS770" s="182"/>
      <c r="BT770" s="182"/>
      <c r="BU770" s="182"/>
      <c r="BV770" s="182"/>
      <c r="BW770" s="182"/>
      <c r="BX770" s="182"/>
      <c r="BY770" s="182"/>
      <c r="BZ770" s="182"/>
      <c r="CA770" s="182"/>
      <c r="CB770" s="185">
        <f t="shared" si="132"/>
        <v>38985.32</v>
      </c>
      <c r="CC770" s="185">
        <f t="shared" si="133"/>
        <v>0</v>
      </c>
      <c r="CD770" s="185">
        <f t="shared" si="134"/>
        <v>1130</v>
      </c>
      <c r="CE770" s="185"/>
    </row>
    <row r="771" spans="2:83" s="197" customFormat="1" ht="37.5" x14ac:dyDescent="0.3">
      <c r="B771" s="182">
        <v>2459</v>
      </c>
      <c r="C771" s="182">
        <v>1131</v>
      </c>
      <c r="D771" s="182" t="s">
        <v>128</v>
      </c>
      <c r="E771" s="181" t="s">
        <v>4834</v>
      </c>
      <c r="F771" s="182"/>
      <c r="G771" s="182">
        <v>5232.28</v>
      </c>
      <c r="H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2"/>
      <c r="AH771" s="182"/>
      <c r="AI771" s="182"/>
      <c r="AJ771" s="182"/>
      <c r="AK771" s="182"/>
      <c r="AL771" s="182"/>
      <c r="AM771" s="182"/>
      <c r="AN771" s="182"/>
      <c r="AO771" s="182"/>
      <c r="AP771" s="182"/>
      <c r="AQ771" s="185">
        <f t="shared" si="131"/>
        <v>5232.28</v>
      </c>
      <c r="AR771" s="182">
        <v>3496.34</v>
      </c>
      <c r="AS771" s="182">
        <v>475.3</v>
      </c>
      <c r="AT771" s="182">
        <v>1260.6400000000001</v>
      </c>
      <c r="AU771" s="182"/>
      <c r="AV771" s="182"/>
      <c r="AW771" s="182"/>
      <c r="AX771" s="182"/>
      <c r="AY771" s="182"/>
      <c r="AZ771" s="182"/>
      <c r="BA771" s="182"/>
      <c r="BB771" s="182"/>
      <c r="BC771" s="182"/>
      <c r="BD771" s="182"/>
      <c r="BE771" s="182"/>
      <c r="BF771" s="182"/>
      <c r="BG771" s="182"/>
      <c r="BH771" s="182"/>
      <c r="BI771" s="182"/>
      <c r="BJ771" s="182"/>
      <c r="BK771" s="182"/>
      <c r="BL771" s="182"/>
      <c r="BM771" s="182"/>
      <c r="BN771" s="182"/>
      <c r="BO771" s="182"/>
      <c r="BP771" s="182"/>
      <c r="BQ771" s="182"/>
      <c r="BR771" s="182"/>
      <c r="BS771" s="182"/>
      <c r="BT771" s="182"/>
      <c r="BU771" s="182"/>
      <c r="BV771" s="182"/>
      <c r="BW771" s="182"/>
      <c r="BX771" s="182"/>
      <c r="BY771" s="182"/>
      <c r="BZ771" s="182"/>
      <c r="CA771" s="182"/>
      <c r="CB771" s="185">
        <f t="shared" si="132"/>
        <v>5232.2800000000007</v>
      </c>
      <c r="CC771" s="185">
        <f t="shared" si="133"/>
        <v>0</v>
      </c>
      <c r="CD771" s="185">
        <f t="shared" si="134"/>
        <v>1131</v>
      </c>
      <c r="CE771" s="185"/>
    </row>
    <row r="772" spans="2:83" s="197" customFormat="1" ht="37.5" x14ac:dyDescent="0.3">
      <c r="B772" s="182">
        <v>2458</v>
      </c>
      <c r="C772" s="182">
        <v>1132</v>
      </c>
      <c r="D772" s="182" t="s">
        <v>128</v>
      </c>
      <c r="E772" s="181" t="s">
        <v>4834</v>
      </c>
      <c r="F772" s="182"/>
      <c r="G772" s="182">
        <v>2805.2</v>
      </c>
      <c r="H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  <c r="Z772" s="182"/>
      <c r="AA772" s="182"/>
      <c r="AB772" s="182"/>
      <c r="AC772" s="182"/>
      <c r="AD772" s="182"/>
      <c r="AE772" s="182"/>
      <c r="AF772" s="182"/>
      <c r="AG772" s="182"/>
      <c r="AH772" s="182"/>
      <c r="AI772" s="182"/>
      <c r="AJ772" s="182"/>
      <c r="AK772" s="182"/>
      <c r="AL772" s="182"/>
      <c r="AM772" s="182"/>
      <c r="AN772" s="182"/>
      <c r="AO772" s="182"/>
      <c r="AP772" s="182"/>
      <c r="AQ772" s="185">
        <f t="shared" si="131"/>
        <v>2805.2</v>
      </c>
      <c r="AR772" s="182">
        <v>1874.49</v>
      </c>
      <c r="AS772" s="182">
        <v>254.85</v>
      </c>
      <c r="AT772" s="182">
        <v>675.86</v>
      </c>
      <c r="AU772" s="182"/>
      <c r="AV772" s="182"/>
      <c r="AW772" s="182"/>
      <c r="AX772" s="182"/>
      <c r="AY772" s="182"/>
      <c r="AZ772" s="182"/>
      <c r="BA772" s="182"/>
      <c r="BB772" s="182"/>
      <c r="BC772" s="182"/>
      <c r="BD772" s="182"/>
      <c r="BE772" s="182"/>
      <c r="BF772" s="182"/>
      <c r="BG772" s="182"/>
      <c r="BH772" s="182"/>
      <c r="BI772" s="182"/>
      <c r="BJ772" s="182"/>
      <c r="BK772" s="182"/>
      <c r="BL772" s="182"/>
      <c r="BM772" s="182"/>
      <c r="BN772" s="182"/>
      <c r="BO772" s="182"/>
      <c r="BP772" s="182"/>
      <c r="BQ772" s="182"/>
      <c r="BR772" s="182"/>
      <c r="BS772" s="182"/>
      <c r="BT772" s="182"/>
      <c r="BU772" s="182"/>
      <c r="BV772" s="182"/>
      <c r="BW772" s="182"/>
      <c r="BX772" s="182"/>
      <c r="BY772" s="182"/>
      <c r="BZ772" s="182"/>
      <c r="CA772" s="182"/>
      <c r="CB772" s="185">
        <f t="shared" si="132"/>
        <v>2805.2000000000003</v>
      </c>
      <c r="CC772" s="185">
        <f t="shared" si="133"/>
        <v>0</v>
      </c>
      <c r="CD772" s="185">
        <f t="shared" si="134"/>
        <v>1132</v>
      </c>
      <c r="CE772" s="185"/>
    </row>
    <row r="773" spans="2:83" s="197" customFormat="1" ht="37.5" x14ac:dyDescent="0.3">
      <c r="B773" s="182">
        <v>2454</v>
      </c>
      <c r="C773" s="182">
        <v>1133</v>
      </c>
      <c r="D773" s="182" t="s">
        <v>128</v>
      </c>
      <c r="E773" s="181" t="s">
        <v>4834</v>
      </c>
      <c r="F773" s="182"/>
      <c r="G773" s="182">
        <v>4080.99</v>
      </c>
      <c r="H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  <c r="Z773" s="182"/>
      <c r="AA773" s="182"/>
      <c r="AB773" s="182"/>
      <c r="AC773" s="182"/>
      <c r="AD773" s="182"/>
      <c r="AE773" s="182"/>
      <c r="AF773" s="182"/>
      <c r="AG773" s="182"/>
      <c r="AH773" s="182"/>
      <c r="AI773" s="182"/>
      <c r="AJ773" s="182"/>
      <c r="AK773" s="182"/>
      <c r="AL773" s="182"/>
      <c r="AM773" s="182"/>
      <c r="AN773" s="182"/>
      <c r="AO773" s="182"/>
      <c r="AP773" s="182"/>
      <c r="AQ773" s="185">
        <f t="shared" si="131"/>
        <v>4080.99</v>
      </c>
      <c r="AR773" s="182">
        <v>2771.99</v>
      </c>
      <c r="AS773" s="182">
        <v>373.9</v>
      </c>
      <c r="AT773" s="182">
        <v>935.1</v>
      </c>
      <c r="AU773" s="182"/>
      <c r="AV773" s="182"/>
      <c r="AW773" s="182"/>
      <c r="AX773" s="182"/>
      <c r="AY773" s="182"/>
      <c r="AZ773" s="182"/>
      <c r="BA773" s="182"/>
      <c r="BB773" s="182"/>
      <c r="BC773" s="182"/>
      <c r="BD773" s="182"/>
      <c r="BE773" s="182"/>
      <c r="BF773" s="182"/>
      <c r="BG773" s="182"/>
      <c r="BH773" s="182"/>
      <c r="BI773" s="182"/>
      <c r="BJ773" s="182"/>
      <c r="BK773" s="182"/>
      <c r="BL773" s="182"/>
      <c r="BM773" s="182"/>
      <c r="BN773" s="182"/>
      <c r="BO773" s="182"/>
      <c r="BP773" s="182"/>
      <c r="BQ773" s="182"/>
      <c r="BR773" s="182"/>
      <c r="BS773" s="182"/>
      <c r="BT773" s="182"/>
      <c r="BU773" s="182"/>
      <c r="BV773" s="182"/>
      <c r="BW773" s="182"/>
      <c r="BX773" s="182"/>
      <c r="BY773" s="182"/>
      <c r="BZ773" s="182"/>
      <c r="CA773" s="182"/>
      <c r="CB773" s="185">
        <f t="shared" si="132"/>
        <v>4080.99</v>
      </c>
      <c r="CC773" s="185">
        <f t="shared" si="133"/>
        <v>0</v>
      </c>
      <c r="CD773" s="185">
        <f t="shared" si="134"/>
        <v>1133</v>
      </c>
      <c r="CE773" s="185"/>
    </row>
    <row r="774" spans="2:83" s="197" customFormat="1" ht="37.5" x14ac:dyDescent="0.3">
      <c r="B774" s="182">
        <v>2453</v>
      </c>
      <c r="C774" s="182">
        <v>1134</v>
      </c>
      <c r="D774" s="182" t="s">
        <v>128</v>
      </c>
      <c r="E774" s="181" t="s">
        <v>4835</v>
      </c>
      <c r="F774" s="182"/>
      <c r="G774" s="182">
        <v>4442.53</v>
      </c>
      <c r="H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  <c r="Z774" s="182"/>
      <c r="AA774" s="182"/>
      <c r="AB774" s="182"/>
      <c r="AC774" s="182"/>
      <c r="AD774" s="182"/>
      <c r="AE774" s="182"/>
      <c r="AF774" s="182"/>
      <c r="AG774" s="182"/>
      <c r="AH774" s="182"/>
      <c r="AI774" s="182"/>
      <c r="AJ774" s="182"/>
      <c r="AK774" s="182"/>
      <c r="AL774" s="182"/>
      <c r="AM774" s="182"/>
      <c r="AN774" s="182"/>
      <c r="AO774" s="182"/>
      <c r="AP774" s="182"/>
      <c r="AQ774" s="185">
        <f t="shared" si="131"/>
        <v>4442.53</v>
      </c>
      <c r="AR774" s="182">
        <v>2968.65</v>
      </c>
      <c r="AS774" s="182">
        <v>403.5</v>
      </c>
      <c r="AT774" s="182">
        <v>1070.3800000000001</v>
      </c>
      <c r="AU774" s="182"/>
      <c r="AV774" s="182"/>
      <c r="AW774" s="182"/>
      <c r="AX774" s="182"/>
      <c r="AY774" s="182"/>
      <c r="AZ774" s="182"/>
      <c r="BA774" s="182"/>
      <c r="BB774" s="182"/>
      <c r="BC774" s="182"/>
      <c r="BD774" s="182"/>
      <c r="BE774" s="182"/>
      <c r="BF774" s="182"/>
      <c r="BG774" s="182"/>
      <c r="BH774" s="182"/>
      <c r="BI774" s="182"/>
      <c r="BJ774" s="182"/>
      <c r="BK774" s="182"/>
      <c r="BL774" s="182"/>
      <c r="BM774" s="182"/>
      <c r="BN774" s="182"/>
      <c r="BO774" s="182"/>
      <c r="BP774" s="182"/>
      <c r="BQ774" s="182"/>
      <c r="BR774" s="182"/>
      <c r="BS774" s="182"/>
      <c r="BT774" s="182"/>
      <c r="BU774" s="182"/>
      <c r="BV774" s="182"/>
      <c r="BW774" s="182"/>
      <c r="BX774" s="182"/>
      <c r="BY774" s="182"/>
      <c r="BZ774" s="182"/>
      <c r="CA774" s="182"/>
      <c r="CB774" s="185">
        <f t="shared" si="132"/>
        <v>4442.5300000000007</v>
      </c>
      <c r="CC774" s="185">
        <f t="shared" si="133"/>
        <v>0</v>
      </c>
      <c r="CD774" s="185">
        <f t="shared" si="134"/>
        <v>1134</v>
      </c>
      <c r="CE774" s="185"/>
    </row>
    <row r="775" spans="2:83" s="197" customFormat="1" ht="37.5" x14ac:dyDescent="0.3">
      <c r="B775" s="182">
        <v>2452</v>
      </c>
      <c r="C775" s="182">
        <v>1135</v>
      </c>
      <c r="D775" s="182" t="s">
        <v>128</v>
      </c>
      <c r="E775" s="181" t="s">
        <v>4835</v>
      </c>
      <c r="F775" s="182"/>
      <c r="G775" s="182">
        <v>4143.49</v>
      </c>
      <c r="H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  <c r="Z775" s="182"/>
      <c r="AA775" s="182"/>
      <c r="AB775" s="182"/>
      <c r="AC775" s="182"/>
      <c r="AD775" s="182"/>
      <c r="AE775" s="182"/>
      <c r="AF775" s="182"/>
      <c r="AG775" s="182"/>
      <c r="AH775" s="182"/>
      <c r="AI775" s="182"/>
      <c r="AJ775" s="182"/>
      <c r="AK775" s="182"/>
      <c r="AL775" s="182"/>
      <c r="AM775" s="182"/>
      <c r="AN775" s="182"/>
      <c r="AO775" s="182"/>
      <c r="AP775" s="182"/>
      <c r="AQ775" s="185">
        <f t="shared" si="131"/>
        <v>4143.49</v>
      </c>
      <c r="AR775" s="182">
        <v>2768.88</v>
      </c>
      <c r="AS775" s="182">
        <v>376.28</v>
      </c>
      <c r="AT775" s="182">
        <v>998.33</v>
      </c>
      <c r="AU775" s="182"/>
      <c r="AV775" s="182"/>
      <c r="AW775" s="182"/>
      <c r="AX775" s="182"/>
      <c r="AY775" s="182"/>
      <c r="AZ775" s="182"/>
      <c r="BA775" s="182"/>
      <c r="BB775" s="182"/>
      <c r="BC775" s="182"/>
      <c r="BD775" s="182"/>
      <c r="BE775" s="182"/>
      <c r="BF775" s="182"/>
      <c r="BG775" s="182"/>
      <c r="BH775" s="182"/>
      <c r="BI775" s="182"/>
      <c r="BJ775" s="182"/>
      <c r="BK775" s="182"/>
      <c r="BL775" s="182"/>
      <c r="BM775" s="182"/>
      <c r="BN775" s="182"/>
      <c r="BO775" s="182"/>
      <c r="BP775" s="182"/>
      <c r="BQ775" s="182"/>
      <c r="BR775" s="182"/>
      <c r="BS775" s="182"/>
      <c r="BT775" s="182"/>
      <c r="BU775" s="182"/>
      <c r="BV775" s="182"/>
      <c r="BW775" s="182"/>
      <c r="BX775" s="182"/>
      <c r="BY775" s="182"/>
      <c r="BZ775" s="182"/>
      <c r="CA775" s="182"/>
      <c r="CB775" s="185">
        <f t="shared" si="132"/>
        <v>4143.49</v>
      </c>
      <c r="CC775" s="185">
        <f t="shared" si="133"/>
        <v>0</v>
      </c>
      <c r="CD775" s="185">
        <f t="shared" si="134"/>
        <v>1135</v>
      </c>
      <c r="CE775" s="185"/>
    </row>
    <row r="776" spans="2:83" s="197" customFormat="1" ht="37.5" x14ac:dyDescent="0.3">
      <c r="B776" s="182">
        <v>2451</v>
      </c>
      <c r="C776" s="182">
        <v>1136</v>
      </c>
      <c r="D776" s="182" t="s">
        <v>128</v>
      </c>
      <c r="E776" s="181" t="s">
        <v>4835</v>
      </c>
      <c r="F776" s="182"/>
      <c r="G776" s="182">
        <v>3273.96</v>
      </c>
      <c r="H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2"/>
      <c r="AH776" s="182"/>
      <c r="AI776" s="182"/>
      <c r="AJ776" s="182"/>
      <c r="AK776" s="182"/>
      <c r="AL776" s="182"/>
      <c r="AM776" s="182"/>
      <c r="AN776" s="182"/>
      <c r="AO776" s="182"/>
      <c r="AP776" s="182"/>
      <c r="AQ776" s="185">
        <f t="shared" si="131"/>
        <v>3273.96</v>
      </c>
      <c r="AR776" s="182">
        <v>2187.96</v>
      </c>
      <c r="AS776" s="182">
        <v>297.18</v>
      </c>
      <c r="AT776" s="182">
        <v>788.82</v>
      </c>
      <c r="AU776" s="182"/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182"/>
      <c r="BK776" s="182"/>
      <c r="BL776" s="182"/>
      <c r="BM776" s="182"/>
      <c r="BN776" s="182"/>
      <c r="BO776" s="182"/>
      <c r="BP776" s="182"/>
      <c r="BQ776" s="182"/>
      <c r="BR776" s="182"/>
      <c r="BS776" s="182"/>
      <c r="BT776" s="182"/>
      <c r="BU776" s="182"/>
      <c r="BV776" s="182"/>
      <c r="BW776" s="182"/>
      <c r="BX776" s="182"/>
      <c r="BY776" s="182"/>
      <c r="BZ776" s="182"/>
      <c r="CA776" s="182"/>
      <c r="CB776" s="185">
        <f t="shared" si="132"/>
        <v>3273.96</v>
      </c>
      <c r="CC776" s="185">
        <f t="shared" si="133"/>
        <v>0</v>
      </c>
      <c r="CD776" s="185">
        <f t="shared" si="134"/>
        <v>1136</v>
      </c>
      <c r="CE776" s="185"/>
    </row>
    <row r="777" spans="2:83" s="197" customFormat="1" ht="37.5" x14ac:dyDescent="0.3">
      <c r="B777" s="182">
        <v>2450</v>
      </c>
      <c r="C777" s="182">
        <v>1137</v>
      </c>
      <c r="D777" s="182" t="s">
        <v>128</v>
      </c>
      <c r="E777" s="181" t="s">
        <v>4835</v>
      </c>
      <c r="F777" s="182"/>
      <c r="G777" s="182">
        <v>18075.580000000002</v>
      </c>
      <c r="H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2"/>
      <c r="AH777" s="182"/>
      <c r="AI777" s="182"/>
      <c r="AJ777" s="182"/>
      <c r="AK777" s="182"/>
      <c r="AL777" s="182"/>
      <c r="AM777" s="182"/>
      <c r="AN777" s="182"/>
      <c r="AO777" s="182"/>
      <c r="AP777" s="182"/>
      <c r="AQ777" s="185">
        <f t="shared" si="131"/>
        <v>18075.580000000002</v>
      </c>
      <c r="AR777" s="182">
        <v>11986.07</v>
      </c>
      <c r="AS777" s="182">
        <v>1630.79</v>
      </c>
      <c r="AT777" s="182">
        <v>4458.72</v>
      </c>
      <c r="AU777" s="182"/>
      <c r="AV777" s="182"/>
      <c r="AW777" s="182"/>
      <c r="AX777" s="182"/>
      <c r="AY777" s="182"/>
      <c r="AZ777" s="182"/>
      <c r="BA777" s="182"/>
      <c r="BB777" s="182"/>
      <c r="BC777" s="182"/>
      <c r="BD777" s="182"/>
      <c r="BE777" s="182"/>
      <c r="BF777" s="182"/>
      <c r="BG777" s="182"/>
      <c r="BH777" s="182"/>
      <c r="BI777" s="182"/>
      <c r="BJ777" s="182"/>
      <c r="BK777" s="182"/>
      <c r="BL777" s="182"/>
      <c r="BM777" s="182"/>
      <c r="BN777" s="182"/>
      <c r="BO777" s="182"/>
      <c r="BP777" s="182"/>
      <c r="BQ777" s="182"/>
      <c r="BR777" s="182"/>
      <c r="BS777" s="182"/>
      <c r="BT777" s="182"/>
      <c r="BU777" s="182"/>
      <c r="BV777" s="182"/>
      <c r="BW777" s="182"/>
      <c r="BX777" s="182"/>
      <c r="BY777" s="182"/>
      <c r="BZ777" s="182"/>
      <c r="CA777" s="182"/>
      <c r="CB777" s="185">
        <f t="shared" si="132"/>
        <v>18075.580000000002</v>
      </c>
      <c r="CC777" s="185">
        <f t="shared" si="133"/>
        <v>0</v>
      </c>
      <c r="CD777" s="185">
        <f t="shared" si="134"/>
        <v>1137</v>
      </c>
      <c r="CE777" s="185"/>
    </row>
    <row r="778" spans="2:83" s="197" customFormat="1" ht="37.5" x14ac:dyDescent="0.3">
      <c r="B778" s="182">
        <v>2449</v>
      </c>
      <c r="C778" s="182">
        <v>1138</v>
      </c>
      <c r="D778" s="182" t="s">
        <v>128</v>
      </c>
      <c r="E778" s="181" t="s">
        <v>4836</v>
      </c>
      <c r="F778" s="182"/>
      <c r="G778" s="182">
        <v>4000</v>
      </c>
      <c r="H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  <c r="Z778" s="182"/>
      <c r="AA778" s="182"/>
      <c r="AB778" s="182"/>
      <c r="AC778" s="182"/>
      <c r="AD778" s="182"/>
      <c r="AE778" s="182"/>
      <c r="AF778" s="182"/>
      <c r="AG778" s="182"/>
      <c r="AH778" s="182"/>
      <c r="AI778" s="182"/>
      <c r="AJ778" s="182"/>
      <c r="AK778" s="182"/>
      <c r="AL778" s="182"/>
      <c r="AM778" s="182"/>
      <c r="AN778" s="182"/>
      <c r="AO778" s="182"/>
      <c r="AP778" s="182"/>
      <c r="AQ778" s="185">
        <f t="shared" si="131"/>
        <v>4000</v>
      </c>
      <c r="AR778" s="182">
        <v>3570.35</v>
      </c>
      <c r="AS778" s="182">
        <v>429.65</v>
      </c>
      <c r="AT778" s="182"/>
      <c r="AU778" s="182"/>
      <c r="AV778" s="182"/>
      <c r="AW778" s="182"/>
      <c r="AX778" s="182"/>
      <c r="AY778" s="182"/>
      <c r="AZ778" s="182"/>
      <c r="BA778" s="182"/>
      <c r="BB778" s="182"/>
      <c r="BC778" s="182"/>
      <c r="BD778" s="182"/>
      <c r="BE778" s="182"/>
      <c r="BF778" s="182"/>
      <c r="BG778" s="182"/>
      <c r="BH778" s="182"/>
      <c r="BI778" s="182"/>
      <c r="BJ778" s="182"/>
      <c r="BK778" s="182"/>
      <c r="BL778" s="182"/>
      <c r="BM778" s="182"/>
      <c r="BN778" s="182"/>
      <c r="BO778" s="182"/>
      <c r="BP778" s="182"/>
      <c r="BQ778" s="182"/>
      <c r="BR778" s="182"/>
      <c r="BS778" s="182"/>
      <c r="BT778" s="182"/>
      <c r="BU778" s="182"/>
      <c r="BV778" s="182"/>
      <c r="BW778" s="182"/>
      <c r="BX778" s="182"/>
      <c r="BY778" s="182"/>
      <c r="BZ778" s="182"/>
      <c r="CA778" s="182"/>
      <c r="CB778" s="185">
        <f t="shared" si="132"/>
        <v>4000</v>
      </c>
      <c r="CC778" s="185">
        <f t="shared" si="133"/>
        <v>0</v>
      </c>
      <c r="CD778" s="185">
        <f t="shared" si="134"/>
        <v>1138</v>
      </c>
      <c r="CE778" s="185"/>
    </row>
    <row r="779" spans="2:83" s="197" customFormat="1" ht="37.5" x14ac:dyDescent="0.3">
      <c r="B779" s="182">
        <v>2448</v>
      </c>
      <c r="C779" s="182">
        <v>1139</v>
      </c>
      <c r="D779" s="182" t="s">
        <v>128</v>
      </c>
      <c r="E779" s="181" t="s">
        <v>4837</v>
      </c>
      <c r="F779" s="182"/>
      <c r="G779" s="182">
        <v>4000</v>
      </c>
      <c r="H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2"/>
      <c r="AH779" s="182"/>
      <c r="AI779" s="182"/>
      <c r="AJ779" s="182"/>
      <c r="AK779" s="182"/>
      <c r="AL779" s="182"/>
      <c r="AM779" s="182"/>
      <c r="AN779" s="182"/>
      <c r="AO779" s="182"/>
      <c r="AP779" s="182"/>
      <c r="AQ779" s="185">
        <f t="shared" si="131"/>
        <v>4000</v>
      </c>
      <c r="AR779" s="182">
        <v>3570.35</v>
      </c>
      <c r="AS779" s="182">
        <v>429.65</v>
      </c>
      <c r="AT779" s="182"/>
      <c r="AU779" s="182"/>
      <c r="AV779" s="182"/>
      <c r="AW779" s="182"/>
      <c r="AX779" s="182"/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182"/>
      <c r="BK779" s="182"/>
      <c r="BL779" s="182"/>
      <c r="BM779" s="182"/>
      <c r="BN779" s="182"/>
      <c r="BO779" s="182"/>
      <c r="BP779" s="182"/>
      <c r="BQ779" s="182"/>
      <c r="BR779" s="182"/>
      <c r="BS779" s="182"/>
      <c r="BT779" s="182"/>
      <c r="BU779" s="182"/>
      <c r="BV779" s="182"/>
      <c r="BW779" s="182"/>
      <c r="BX779" s="182"/>
      <c r="BY779" s="182"/>
      <c r="BZ779" s="182"/>
      <c r="CA779" s="182"/>
      <c r="CB779" s="185">
        <f t="shared" si="132"/>
        <v>4000</v>
      </c>
      <c r="CC779" s="185">
        <f t="shared" si="133"/>
        <v>0</v>
      </c>
      <c r="CD779" s="185">
        <f t="shared" si="134"/>
        <v>1139</v>
      </c>
      <c r="CE779" s="185"/>
    </row>
    <row r="780" spans="2:83" s="197" customFormat="1" ht="37.5" x14ac:dyDescent="0.3">
      <c r="B780" s="182">
        <v>1310</v>
      </c>
      <c r="C780" s="182">
        <v>1140</v>
      </c>
      <c r="D780" s="182" t="s">
        <v>118</v>
      </c>
      <c r="E780" s="181" t="s">
        <v>4838</v>
      </c>
      <c r="F780" s="182"/>
      <c r="G780" s="182"/>
      <c r="H780" s="182">
        <v>828.75</v>
      </c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2"/>
      <c r="AH780" s="182"/>
      <c r="AI780" s="182"/>
      <c r="AJ780" s="182"/>
      <c r="AK780" s="182"/>
      <c r="AL780" s="182"/>
      <c r="AM780" s="182"/>
      <c r="AN780" s="182"/>
      <c r="AO780" s="182"/>
      <c r="AP780" s="182"/>
      <c r="AQ780" s="185">
        <f t="shared" si="131"/>
        <v>828.75</v>
      </c>
      <c r="AR780" s="182">
        <v>828.75</v>
      </c>
      <c r="AS780" s="182"/>
      <c r="AT780" s="182"/>
      <c r="AU780" s="182"/>
      <c r="AV780" s="182"/>
      <c r="AW780" s="182"/>
      <c r="AX780" s="182"/>
      <c r="AY780" s="182"/>
      <c r="AZ780" s="182"/>
      <c r="BA780" s="182"/>
      <c r="BB780" s="182"/>
      <c r="BC780" s="182"/>
      <c r="BD780" s="182"/>
      <c r="BE780" s="182"/>
      <c r="BF780" s="182"/>
      <c r="BG780" s="182"/>
      <c r="BH780" s="182"/>
      <c r="BI780" s="182"/>
      <c r="BJ780" s="182"/>
      <c r="BK780" s="182"/>
      <c r="BL780" s="182"/>
      <c r="BM780" s="182"/>
      <c r="BN780" s="182"/>
      <c r="BO780" s="182"/>
      <c r="BP780" s="182"/>
      <c r="BQ780" s="182"/>
      <c r="BR780" s="182"/>
      <c r="BS780" s="182"/>
      <c r="BT780" s="182"/>
      <c r="BU780" s="182"/>
      <c r="BV780" s="182"/>
      <c r="BW780" s="182"/>
      <c r="BX780" s="182"/>
      <c r="BY780" s="182"/>
      <c r="BZ780" s="182"/>
      <c r="CA780" s="182"/>
      <c r="CB780" s="185">
        <f t="shared" si="132"/>
        <v>828.75</v>
      </c>
      <c r="CC780" s="185">
        <f t="shared" si="133"/>
        <v>0</v>
      </c>
      <c r="CD780" s="185">
        <f t="shared" si="134"/>
        <v>1140</v>
      </c>
      <c r="CE780" s="185"/>
    </row>
    <row r="781" spans="2:83" s="197" customFormat="1" ht="37.5" x14ac:dyDescent="0.3">
      <c r="B781" s="182">
        <v>1309</v>
      </c>
      <c r="C781" s="182">
        <v>1141</v>
      </c>
      <c r="D781" s="182" t="s">
        <v>118</v>
      </c>
      <c r="E781" s="181" t="s">
        <v>4839</v>
      </c>
      <c r="F781" s="182"/>
      <c r="G781" s="182"/>
      <c r="H781" s="182">
        <v>2528.75</v>
      </c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  <c r="Z781" s="182"/>
      <c r="AA781" s="182"/>
      <c r="AB781" s="182"/>
      <c r="AC781" s="182"/>
      <c r="AD781" s="182"/>
      <c r="AE781" s="182"/>
      <c r="AF781" s="182"/>
      <c r="AG781" s="182"/>
      <c r="AH781" s="182"/>
      <c r="AI781" s="182"/>
      <c r="AJ781" s="182"/>
      <c r="AK781" s="182"/>
      <c r="AL781" s="182"/>
      <c r="AM781" s="182"/>
      <c r="AN781" s="182"/>
      <c r="AO781" s="182"/>
      <c r="AP781" s="182"/>
      <c r="AQ781" s="185">
        <f t="shared" si="131"/>
        <v>2528.75</v>
      </c>
      <c r="AR781" s="182">
        <v>2528.75</v>
      </c>
      <c r="AS781" s="182"/>
      <c r="AT781" s="182"/>
      <c r="AU781" s="182"/>
      <c r="AV781" s="182"/>
      <c r="AW781" s="182"/>
      <c r="AX781" s="182"/>
      <c r="AY781" s="182"/>
      <c r="AZ781" s="182"/>
      <c r="BA781" s="182"/>
      <c r="BB781" s="182"/>
      <c r="BC781" s="182"/>
      <c r="BD781" s="182"/>
      <c r="BE781" s="182"/>
      <c r="BF781" s="182"/>
      <c r="BG781" s="182"/>
      <c r="BH781" s="182"/>
      <c r="BI781" s="182"/>
      <c r="BJ781" s="182"/>
      <c r="BK781" s="182"/>
      <c r="BL781" s="182"/>
      <c r="BM781" s="182"/>
      <c r="BN781" s="182"/>
      <c r="BO781" s="182"/>
      <c r="BP781" s="182"/>
      <c r="BQ781" s="182"/>
      <c r="BR781" s="182"/>
      <c r="BS781" s="182"/>
      <c r="BT781" s="182"/>
      <c r="BU781" s="182"/>
      <c r="BV781" s="182"/>
      <c r="BW781" s="182"/>
      <c r="BX781" s="182"/>
      <c r="BY781" s="182"/>
      <c r="BZ781" s="182"/>
      <c r="CA781" s="182"/>
      <c r="CB781" s="185">
        <f t="shared" si="132"/>
        <v>2528.75</v>
      </c>
      <c r="CC781" s="185">
        <f t="shared" si="133"/>
        <v>0</v>
      </c>
      <c r="CD781" s="185">
        <f t="shared" si="134"/>
        <v>1141</v>
      </c>
      <c r="CE781" s="185"/>
    </row>
    <row r="782" spans="2:83" s="197" customFormat="1" ht="37.5" x14ac:dyDescent="0.3">
      <c r="B782" s="182">
        <v>1306</v>
      </c>
      <c r="C782" s="182">
        <v>1142</v>
      </c>
      <c r="D782" s="182" t="s">
        <v>118</v>
      </c>
      <c r="E782" s="181" t="s">
        <v>4840</v>
      </c>
      <c r="F782" s="182"/>
      <c r="G782" s="182"/>
      <c r="H782" s="182">
        <v>12198</v>
      </c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2"/>
      <c r="AH782" s="182"/>
      <c r="AI782" s="182"/>
      <c r="AJ782" s="182"/>
      <c r="AK782" s="182"/>
      <c r="AL782" s="182"/>
      <c r="AM782" s="182"/>
      <c r="AN782" s="182"/>
      <c r="AO782" s="182"/>
      <c r="AP782" s="182"/>
      <c r="AQ782" s="185">
        <f t="shared" si="131"/>
        <v>12198</v>
      </c>
      <c r="AR782" s="182">
        <v>11377.4</v>
      </c>
      <c r="AS782" s="182">
        <v>673.6</v>
      </c>
      <c r="AT782" s="182"/>
      <c r="AU782" s="182"/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>
        <v>107</v>
      </c>
      <c r="BF782" s="182">
        <v>40</v>
      </c>
      <c r="BG782" s="182"/>
      <c r="BH782" s="182"/>
      <c r="BI782" s="182"/>
      <c r="BJ782" s="182"/>
      <c r="BK782" s="182"/>
      <c r="BL782" s="182"/>
      <c r="BM782" s="182"/>
      <c r="BN782" s="182"/>
      <c r="BO782" s="182"/>
      <c r="BP782" s="182"/>
      <c r="BQ782" s="182"/>
      <c r="BR782" s="182"/>
      <c r="BS782" s="182"/>
      <c r="BT782" s="182"/>
      <c r="BU782" s="182"/>
      <c r="BV782" s="182"/>
      <c r="BW782" s="182"/>
      <c r="BX782" s="182"/>
      <c r="BY782" s="182"/>
      <c r="BZ782" s="182"/>
      <c r="CA782" s="182"/>
      <c r="CB782" s="185">
        <f t="shared" si="132"/>
        <v>12198</v>
      </c>
      <c r="CC782" s="185">
        <f t="shared" si="133"/>
        <v>0</v>
      </c>
      <c r="CD782" s="185">
        <f t="shared" si="134"/>
        <v>1142</v>
      </c>
      <c r="CE782" s="185"/>
    </row>
    <row r="783" spans="2:83" s="197" customFormat="1" ht="37.5" x14ac:dyDescent="0.3">
      <c r="B783" s="182">
        <v>2442</v>
      </c>
      <c r="C783" s="182">
        <v>1143</v>
      </c>
      <c r="D783" s="182" t="s">
        <v>118</v>
      </c>
      <c r="E783" s="181" t="s">
        <v>4841</v>
      </c>
      <c r="F783" s="182"/>
      <c r="G783" s="182"/>
      <c r="H783" s="182">
        <v>10431</v>
      </c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2"/>
      <c r="AH783" s="182"/>
      <c r="AI783" s="182"/>
      <c r="AJ783" s="182"/>
      <c r="AK783" s="182"/>
      <c r="AL783" s="182"/>
      <c r="AM783" s="182"/>
      <c r="AN783" s="182"/>
      <c r="AO783" s="182"/>
      <c r="AP783" s="182"/>
      <c r="AQ783" s="185">
        <f t="shared" si="131"/>
        <v>10431</v>
      </c>
      <c r="AR783" s="182">
        <v>9619.5</v>
      </c>
      <c r="AS783" s="182">
        <v>667.2</v>
      </c>
      <c r="AT783" s="182"/>
      <c r="AU783" s="182"/>
      <c r="AV783" s="182"/>
      <c r="AW783" s="182"/>
      <c r="AX783" s="182"/>
      <c r="AY783" s="182"/>
      <c r="AZ783" s="182"/>
      <c r="BA783" s="182"/>
      <c r="BB783" s="182"/>
      <c r="BC783" s="182"/>
      <c r="BD783" s="182"/>
      <c r="BE783" s="182">
        <v>104.3</v>
      </c>
      <c r="BF783" s="182">
        <v>40</v>
      </c>
      <c r="BG783" s="182"/>
      <c r="BH783" s="182"/>
      <c r="BI783" s="182"/>
      <c r="BJ783" s="182"/>
      <c r="BK783" s="182"/>
      <c r="BL783" s="182"/>
      <c r="BM783" s="182"/>
      <c r="BN783" s="182"/>
      <c r="BO783" s="182"/>
      <c r="BP783" s="182"/>
      <c r="BQ783" s="182"/>
      <c r="BR783" s="182"/>
      <c r="BS783" s="182"/>
      <c r="BT783" s="182"/>
      <c r="BU783" s="182"/>
      <c r="BV783" s="182"/>
      <c r="BW783" s="182"/>
      <c r="BX783" s="182"/>
      <c r="BY783" s="182"/>
      <c r="BZ783" s="182"/>
      <c r="CA783" s="182"/>
      <c r="CB783" s="185">
        <f t="shared" si="132"/>
        <v>10431</v>
      </c>
      <c r="CC783" s="185">
        <f t="shared" si="133"/>
        <v>0</v>
      </c>
      <c r="CD783" s="185">
        <f t="shared" si="134"/>
        <v>1143</v>
      </c>
      <c r="CE783" s="185"/>
    </row>
    <row r="784" spans="2:83" s="197" customFormat="1" ht="37.5" x14ac:dyDescent="0.3">
      <c r="B784" s="182">
        <v>2383</v>
      </c>
      <c r="C784" s="182">
        <v>1144</v>
      </c>
      <c r="D784" s="182" t="s">
        <v>325</v>
      </c>
      <c r="E784" s="181" t="s">
        <v>4842</v>
      </c>
      <c r="F784" s="182"/>
      <c r="G784" s="182"/>
      <c r="H784" s="182">
        <v>123741</v>
      </c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  <c r="Z784" s="182"/>
      <c r="AA784" s="182"/>
      <c r="AB784" s="182"/>
      <c r="AC784" s="182"/>
      <c r="AD784" s="182"/>
      <c r="AE784" s="182"/>
      <c r="AF784" s="182"/>
      <c r="AG784" s="182"/>
      <c r="AH784" s="182"/>
      <c r="AI784" s="182"/>
      <c r="AJ784" s="182"/>
      <c r="AK784" s="182"/>
      <c r="AL784" s="182"/>
      <c r="AM784" s="182"/>
      <c r="AN784" s="182"/>
      <c r="AO784" s="182"/>
      <c r="AP784" s="182"/>
      <c r="AQ784" s="185">
        <f t="shared" si="131"/>
        <v>123741</v>
      </c>
      <c r="AR784" s="182">
        <v>120672</v>
      </c>
      <c r="AS784" s="182">
        <v>3024</v>
      </c>
      <c r="AT784" s="182"/>
      <c r="AU784" s="182">
        <v>5</v>
      </c>
      <c r="AV784" s="182"/>
      <c r="AW784" s="182"/>
      <c r="AX784" s="182"/>
      <c r="AY784" s="182"/>
      <c r="AZ784" s="182"/>
      <c r="BA784" s="182"/>
      <c r="BB784" s="182"/>
      <c r="BC784" s="182"/>
      <c r="BD784" s="182"/>
      <c r="BE784" s="182"/>
      <c r="BF784" s="182">
        <v>40</v>
      </c>
      <c r="BG784" s="182"/>
      <c r="BH784" s="182"/>
      <c r="BI784" s="182"/>
      <c r="BJ784" s="182"/>
      <c r="BK784" s="182"/>
      <c r="BL784" s="182"/>
      <c r="BM784" s="182"/>
      <c r="BN784" s="182"/>
      <c r="BO784" s="182"/>
      <c r="BP784" s="182"/>
      <c r="BQ784" s="182"/>
      <c r="BR784" s="182"/>
      <c r="BS784" s="182"/>
      <c r="BT784" s="182"/>
      <c r="BU784" s="182"/>
      <c r="BV784" s="182"/>
      <c r="BW784" s="182"/>
      <c r="BX784" s="182"/>
      <c r="BY784" s="182"/>
      <c r="BZ784" s="182"/>
      <c r="CA784" s="182"/>
      <c r="CB784" s="185">
        <f t="shared" si="132"/>
        <v>123741</v>
      </c>
      <c r="CC784" s="185">
        <f t="shared" si="133"/>
        <v>0</v>
      </c>
      <c r="CD784" s="185">
        <f t="shared" si="134"/>
        <v>1144</v>
      </c>
      <c r="CE784" s="185"/>
    </row>
    <row r="785" spans="2:83" s="197" customFormat="1" ht="56.25" x14ac:dyDescent="0.3">
      <c r="B785" s="182">
        <v>2978</v>
      </c>
      <c r="C785" s="182">
        <v>1145</v>
      </c>
      <c r="D785" s="182" t="s">
        <v>121</v>
      </c>
      <c r="E785" s="181" t="s">
        <v>4843</v>
      </c>
      <c r="F785" s="182"/>
      <c r="G785" s="182"/>
      <c r="H785" s="182">
        <v>246225</v>
      </c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2"/>
      <c r="AH785" s="182"/>
      <c r="AI785" s="182"/>
      <c r="AJ785" s="182"/>
      <c r="AK785" s="182"/>
      <c r="AL785" s="182"/>
      <c r="AM785" s="182"/>
      <c r="AN785" s="182"/>
      <c r="AO785" s="182"/>
      <c r="AP785" s="182"/>
      <c r="AQ785" s="185">
        <f t="shared" si="131"/>
        <v>246225</v>
      </c>
      <c r="AR785" s="182">
        <v>182631.7</v>
      </c>
      <c r="AS785" s="182">
        <v>5688.85</v>
      </c>
      <c r="AT785" s="182"/>
      <c r="AU785" s="182"/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>
        <v>6479.65</v>
      </c>
      <c r="BF785" s="182">
        <v>236</v>
      </c>
      <c r="BG785" s="182">
        <v>1943.8</v>
      </c>
      <c r="BH785" s="182">
        <v>49245</v>
      </c>
      <c r="BI785" s="182"/>
      <c r="BJ785" s="182"/>
      <c r="BK785" s="182"/>
      <c r="BL785" s="182"/>
      <c r="BM785" s="182"/>
      <c r="BN785" s="182"/>
      <c r="BO785" s="182"/>
      <c r="BP785" s="182"/>
      <c r="BQ785" s="182"/>
      <c r="BR785" s="182"/>
      <c r="BS785" s="182"/>
      <c r="BT785" s="182"/>
      <c r="BU785" s="182"/>
      <c r="BV785" s="182"/>
      <c r="BW785" s="182"/>
      <c r="BX785" s="182"/>
      <c r="BY785" s="182"/>
      <c r="BZ785" s="182"/>
      <c r="CA785" s="182"/>
      <c r="CB785" s="185">
        <f t="shared" si="132"/>
        <v>246225</v>
      </c>
      <c r="CC785" s="185">
        <f t="shared" si="133"/>
        <v>0</v>
      </c>
      <c r="CD785" s="185">
        <f t="shared" si="134"/>
        <v>1145</v>
      </c>
      <c r="CE785" s="185"/>
    </row>
    <row r="786" spans="2:83" s="197" customFormat="1" ht="37.5" x14ac:dyDescent="0.3">
      <c r="B786" s="182">
        <v>2389</v>
      </c>
      <c r="C786" s="182">
        <v>1146</v>
      </c>
      <c r="D786" s="182" t="s">
        <v>78</v>
      </c>
      <c r="E786" s="181" t="s">
        <v>4844</v>
      </c>
      <c r="F786" s="182"/>
      <c r="G786" s="182"/>
      <c r="H786" s="182"/>
      <c r="I786" s="182"/>
      <c r="J786" s="182"/>
      <c r="K786" s="182">
        <v>3399909.02</v>
      </c>
      <c r="L786" s="182">
        <v>3399909.02</v>
      </c>
      <c r="M786" s="182">
        <v>3399909.02</v>
      </c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2"/>
      <c r="AH786" s="182"/>
      <c r="AI786" s="182"/>
      <c r="AJ786" s="182"/>
      <c r="AK786" s="182"/>
      <c r="AL786" s="182"/>
      <c r="AM786" s="182"/>
      <c r="AN786" s="182"/>
      <c r="AO786" s="182"/>
      <c r="AP786" s="182"/>
      <c r="AQ786" s="185">
        <f t="shared" si="131"/>
        <v>10199727.060000001</v>
      </c>
      <c r="AR786" s="182">
        <f>3399904.02</f>
        <v>3399904.02</v>
      </c>
      <c r="AS786" s="182"/>
      <c r="AT786" s="182"/>
      <c r="AU786" s="182">
        <v>5</v>
      </c>
      <c r="AV786" s="182"/>
      <c r="AW786" s="182"/>
      <c r="AX786" s="182"/>
      <c r="AY786" s="182"/>
      <c r="AZ786" s="182"/>
      <c r="BA786" s="182"/>
      <c r="BB786" s="182"/>
      <c r="BC786" s="182"/>
      <c r="BD786" s="182"/>
      <c r="BE786" s="182"/>
      <c r="BF786" s="182"/>
      <c r="BG786" s="182"/>
      <c r="BH786" s="182"/>
      <c r="BI786" s="182"/>
      <c r="BJ786" s="182">
        <v>3399909.02</v>
      </c>
      <c r="BK786" s="182">
        <v>3399909.02</v>
      </c>
      <c r="BL786" s="182"/>
      <c r="BM786" s="182"/>
      <c r="BN786" s="182"/>
      <c r="BO786" s="182"/>
      <c r="BP786" s="182"/>
      <c r="BQ786" s="182"/>
      <c r="BR786" s="182"/>
      <c r="BS786" s="182"/>
      <c r="BT786" s="182"/>
      <c r="BU786" s="182"/>
      <c r="BV786" s="182"/>
      <c r="BW786" s="182"/>
      <c r="BX786" s="182"/>
      <c r="BY786" s="182"/>
      <c r="BZ786" s="182"/>
      <c r="CA786" s="182"/>
      <c r="CB786" s="185">
        <f t="shared" si="132"/>
        <v>10199727.060000001</v>
      </c>
      <c r="CC786" s="185">
        <f t="shared" si="133"/>
        <v>0</v>
      </c>
      <c r="CD786" s="185">
        <f t="shared" si="134"/>
        <v>1146</v>
      </c>
      <c r="CE786" s="185"/>
    </row>
    <row r="787" spans="2:83" s="197" customFormat="1" ht="112.5" x14ac:dyDescent="0.3">
      <c r="B787" s="182">
        <v>2641</v>
      </c>
      <c r="C787" s="182">
        <v>1147</v>
      </c>
      <c r="D787" s="182" t="s">
        <v>121</v>
      </c>
      <c r="E787" s="181" t="s">
        <v>4845</v>
      </c>
      <c r="F787" s="182"/>
      <c r="G787" s="182"/>
      <c r="H787" s="182">
        <v>332167.5</v>
      </c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  <c r="Z787" s="182"/>
      <c r="AA787" s="182"/>
      <c r="AB787" s="182"/>
      <c r="AC787" s="182"/>
      <c r="AD787" s="182"/>
      <c r="AE787" s="182"/>
      <c r="AF787" s="182"/>
      <c r="AG787" s="182"/>
      <c r="AH787" s="182"/>
      <c r="AI787" s="182"/>
      <c r="AJ787" s="182"/>
      <c r="AK787" s="182"/>
      <c r="AL787" s="182"/>
      <c r="AM787" s="182"/>
      <c r="AN787" s="182"/>
      <c r="AO787" s="182"/>
      <c r="AP787" s="182"/>
      <c r="AQ787" s="185">
        <f t="shared" si="131"/>
        <v>332167.5</v>
      </c>
      <c r="AR787" s="182">
        <v>332167.5</v>
      </c>
      <c r="AS787" s="182"/>
      <c r="AT787" s="182"/>
      <c r="AU787" s="182"/>
      <c r="AV787" s="182"/>
      <c r="AW787" s="182"/>
      <c r="AX787" s="182"/>
      <c r="AY787" s="182"/>
      <c r="AZ787" s="182"/>
      <c r="BA787" s="182"/>
      <c r="BB787" s="182"/>
      <c r="BC787" s="182"/>
      <c r="BD787" s="182"/>
      <c r="BE787" s="182"/>
      <c r="BF787" s="182"/>
      <c r="BG787" s="182"/>
      <c r="BH787" s="182"/>
      <c r="BI787" s="182"/>
      <c r="BJ787" s="182"/>
      <c r="BK787" s="182"/>
      <c r="BL787" s="182"/>
      <c r="BM787" s="182"/>
      <c r="BN787" s="182"/>
      <c r="BO787" s="182"/>
      <c r="BP787" s="182"/>
      <c r="BQ787" s="182"/>
      <c r="BR787" s="182"/>
      <c r="BS787" s="182"/>
      <c r="BT787" s="182"/>
      <c r="BU787" s="182"/>
      <c r="BV787" s="182"/>
      <c r="BW787" s="182"/>
      <c r="BX787" s="182"/>
      <c r="BY787" s="182"/>
      <c r="BZ787" s="182"/>
      <c r="CA787" s="182"/>
      <c r="CB787" s="185">
        <f t="shared" si="132"/>
        <v>332167.5</v>
      </c>
      <c r="CC787" s="185">
        <f t="shared" si="133"/>
        <v>0</v>
      </c>
      <c r="CD787" s="185">
        <f t="shared" si="134"/>
        <v>1147</v>
      </c>
      <c r="CE787" s="185"/>
    </row>
    <row r="788" spans="2:83" s="197" customFormat="1" ht="37.5" x14ac:dyDescent="0.3">
      <c r="B788" s="182"/>
      <c r="C788" s="182">
        <v>1148</v>
      </c>
      <c r="D788" s="182" t="s">
        <v>1431</v>
      </c>
      <c r="E788" s="181" t="s">
        <v>4846</v>
      </c>
      <c r="F788" s="182"/>
      <c r="G788" s="182"/>
      <c r="H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2"/>
      <c r="AH788" s="182"/>
      <c r="AI788" s="182"/>
      <c r="AJ788" s="182"/>
      <c r="AK788" s="182"/>
      <c r="AL788" s="182"/>
      <c r="AM788" s="182"/>
      <c r="AN788" s="182"/>
      <c r="AO788" s="182"/>
      <c r="AP788" s="182"/>
      <c r="AQ788" s="185">
        <f t="shared" si="131"/>
        <v>0</v>
      </c>
      <c r="AR788" s="182"/>
      <c r="AS788" s="182"/>
      <c r="AT788" s="182"/>
      <c r="AU788" s="182"/>
      <c r="AV788" s="182"/>
      <c r="AW788" s="182"/>
      <c r="AX788" s="182"/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/>
      <c r="BI788" s="182"/>
      <c r="BJ788" s="182"/>
      <c r="BK788" s="182"/>
      <c r="BL788" s="182"/>
      <c r="BM788" s="182"/>
      <c r="BN788" s="182"/>
      <c r="BO788" s="182"/>
      <c r="BP788" s="182"/>
      <c r="BQ788" s="182"/>
      <c r="BR788" s="182"/>
      <c r="BS788" s="182"/>
      <c r="BT788" s="182"/>
      <c r="BU788" s="182"/>
      <c r="BV788" s="182"/>
      <c r="BW788" s="182"/>
      <c r="BX788" s="182"/>
      <c r="BY788" s="182"/>
      <c r="BZ788" s="182"/>
      <c r="CA788" s="182"/>
      <c r="CB788" s="185">
        <f t="shared" si="132"/>
        <v>0</v>
      </c>
      <c r="CC788" s="185">
        <f t="shared" si="133"/>
        <v>0</v>
      </c>
      <c r="CD788" s="185">
        <f t="shared" si="134"/>
        <v>1148</v>
      </c>
      <c r="CE788" s="185"/>
    </row>
    <row r="789" spans="2:83" s="197" customFormat="1" ht="37.5" x14ac:dyDescent="0.3">
      <c r="B789" s="182"/>
      <c r="C789" s="182">
        <v>1149</v>
      </c>
      <c r="D789" s="182" t="s">
        <v>1431</v>
      </c>
      <c r="E789" s="181" t="s">
        <v>4847</v>
      </c>
      <c r="F789" s="182"/>
      <c r="G789" s="182"/>
      <c r="H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2"/>
      <c r="AH789" s="182"/>
      <c r="AI789" s="182"/>
      <c r="AJ789" s="182"/>
      <c r="AK789" s="182"/>
      <c r="AL789" s="182"/>
      <c r="AM789" s="182"/>
      <c r="AN789" s="182"/>
      <c r="AO789" s="182"/>
      <c r="AP789" s="182"/>
      <c r="AQ789" s="185">
        <f t="shared" si="131"/>
        <v>0</v>
      </c>
      <c r="AR789" s="182"/>
      <c r="AS789" s="182"/>
      <c r="AT789" s="182"/>
      <c r="AU789" s="182"/>
      <c r="AV789" s="182"/>
      <c r="AW789" s="182"/>
      <c r="AX789" s="182"/>
      <c r="AY789" s="182"/>
      <c r="AZ789" s="182"/>
      <c r="BA789" s="182"/>
      <c r="BB789" s="182"/>
      <c r="BC789" s="182"/>
      <c r="BD789" s="182"/>
      <c r="BE789" s="182"/>
      <c r="BF789" s="182"/>
      <c r="BG789" s="182"/>
      <c r="BH789" s="182"/>
      <c r="BI789" s="182"/>
      <c r="BJ789" s="182"/>
      <c r="BK789" s="182"/>
      <c r="BL789" s="182"/>
      <c r="BM789" s="182"/>
      <c r="BN789" s="182"/>
      <c r="BO789" s="182"/>
      <c r="BP789" s="182"/>
      <c r="BQ789" s="182"/>
      <c r="BR789" s="182"/>
      <c r="BS789" s="182"/>
      <c r="BT789" s="182"/>
      <c r="BU789" s="182"/>
      <c r="BV789" s="182"/>
      <c r="BW789" s="182"/>
      <c r="BX789" s="182"/>
      <c r="BY789" s="182"/>
      <c r="BZ789" s="182"/>
      <c r="CA789" s="182"/>
      <c r="CB789" s="185">
        <f t="shared" si="132"/>
        <v>0</v>
      </c>
      <c r="CC789" s="185">
        <f t="shared" si="133"/>
        <v>0</v>
      </c>
      <c r="CD789" s="185">
        <f t="shared" si="134"/>
        <v>1149</v>
      </c>
      <c r="CE789" s="185"/>
    </row>
    <row r="790" spans="2:83" s="197" customFormat="1" ht="18.75" x14ac:dyDescent="0.3">
      <c r="B790" s="185"/>
      <c r="C790" s="185"/>
      <c r="D790" s="185"/>
      <c r="E790" s="184" t="s">
        <v>4848</v>
      </c>
      <c r="F790" s="185"/>
      <c r="G790" s="185">
        <f t="shared" ref="G790:AL790" si="135">SUM(G747:G789)</f>
        <v>166065.74</v>
      </c>
      <c r="H790" s="185">
        <f t="shared" si="135"/>
        <v>881382.45</v>
      </c>
      <c r="I790" s="185">
        <f t="shared" si="135"/>
        <v>0</v>
      </c>
      <c r="J790" s="185">
        <f t="shared" si="135"/>
        <v>0</v>
      </c>
      <c r="K790" s="185">
        <f t="shared" si="135"/>
        <v>3399909.02</v>
      </c>
      <c r="L790" s="185">
        <f t="shared" si="135"/>
        <v>3399909.02</v>
      </c>
      <c r="M790" s="185">
        <f t="shared" si="135"/>
        <v>3399909.02</v>
      </c>
      <c r="N790" s="185">
        <f t="shared" si="135"/>
        <v>0</v>
      </c>
      <c r="O790" s="185">
        <f t="shared" si="135"/>
        <v>0</v>
      </c>
      <c r="P790" s="185">
        <f t="shared" si="135"/>
        <v>0</v>
      </c>
      <c r="Q790" s="185">
        <f t="shared" si="135"/>
        <v>0</v>
      </c>
      <c r="R790" s="185">
        <f t="shared" si="135"/>
        <v>0</v>
      </c>
      <c r="S790" s="185">
        <f t="shared" si="135"/>
        <v>0</v>
      </c>
      <c r="T790" s="185">
        <f t="shared" si="135"/>
        <v>0</v>
      </c>
      <c r="U790" s="185">
        <f t="shared" si="135"/>
        <v>0</v>
      </c>
      <c r="V790" s="185">
        <f t="shared" si="135"/>
        <v>0</v>
      </c>
      <c r="W790" s="185">
        <f t="shared" si="135"/>
        <v>0</v>
      </c>
      <c r="X790" s="185">
        <f t="shared" si="135"/>
        <v>0</v>
      </c>
      <c r="Y790" s="185">
        <f t="shared" si="135"/>
        <v>0</v>
      </c>
      <c r="Z790" s="185">
        <f t="shared" si="135"/>
        <v>0</v>
      </c>
      <c r="AA790" s="185">
        <f t="shared" si="135"/>
        <v>0</v>
      </c>
      <c r="AB790" s="185">
        <f t="shared" si="135"/>
        <v>0</v>
      </c>
      <c r="AC790" s="185">
        <f t="shared" si="135"/>
        <v>0</v>
      </c>
      <c r="AD790" s="185">
        <f t="shared" si="135"/>
        <v>0</v>
      </c>
      <c r="AE790" s="185">
        <f t="shared" si="135"/>
        <v>0</v>
      </c>
      <c r="AF790" s="185">
        <f t="shared" si="135"/>
        <v>0</v>
      </c>
      <c r="AG790" s="185">
        <f t="shared" si="135"/>
        <v>0</v>
      </c>
      <c r="AH790" s="185">
        <f t="shared" si="135"/>
        <v>0</v>
      </c>
      <c r="AI790" s="185">
        <f t="shared" si="135"/>
        <v>0</v>
      </c>
      <c r="AJ790" s="185">
        <f t="shared" si="135"/>
        <v>0</v>
      </c>
      <c r="AK790" s="185">
        <f t="shared" si="135"/>
        <v>0</v>
      </c>
      <c r="AL790" s="185">
        <f t="shared" si="135"/>
        <v>0</v>
      </c>
      <c r="AM790" s="185">
        <f t="shared" ref="AM790:BR790" si="136">SUM(AM747:AM789)</f>
        <v>0</v>
      </c>
      <c r="AN790" s="185">
        <f t="shared" si="136"/>
        <v>0</v>
      </c>
      <c r="AO790" s="185">
        <f t="shared" si="136"/>
        <v>0</v>
      </c>
      <c r="AP790" s="185">
        <f t="shared" si="136"/>
        <v>0</v>
      </c>
      <c r="AQ790" s="185">
        <f t="shared" si="136"/>
        <v>11247175.25</v>
      </c>
      <c r="AR790" s="185">
        <f t="shared" si="136"/>
        <v>4325737.49</v>
      </c>
      <c r="AS790" s="185">
        <f t="shared" si="136"/>
        <v>30986.340000000004</v>
      </c>
      <c r="AT790" s="185">
        <f t="shared" si="136"/>
        <v>27182.930000000004</v>
      </c>
      <c r="AU790" s="185">
        <f t="shared" si="136"/>
        <v>15</v>
      </c>
      <c r="AV790" s="185">
        <f t="shared" si="136"/>
        <v>0</v>
      </c>
      <c r="AW790" s="185">
        <f t="shared" si="136"/>
        <v>0</v>
      </c>
      <c r="AX790" s="185">
        <f t="shared" si="136"/>
        <v>0</v>
      </c>
      <c r="AY790" s="185">
        <f t="shared" si="136"/>
        <v>0</v>
      </c>
      <c r="AZ790" s="185">
        <f t="shared" si="136"/>
        <v>0</v>
      </c>
      <c r="BA790" s="185">
        <f t="shared" si="136"/>
        <v>0</v>
      </c>
      <c r="BB790" s="185">
        <f t="shared" si="136"/>
        <v>0</v>
      </c>
      <c r="BC790" s="185">
        <f t="shared" si="136"/>
        <v>0</v>
      </c>
      <c r="BD790" s="185">
        <f t="shared" si="136"/>
        <v>0</v>
      </c>
      <c r="BE790" s="185">
        <f t="shared" si="136"/>
        <v>8715.35</v>
      </c>
      <c r="BF790" s="185">
        <f t="shared" si="136"/>
        <v>440</v>
      </c>
      <c r="BG790" s="185">
        <f t="shared" si="136"/>
        <v>3154.1</v>
      </c>
      <c r="BH790" s="185">
        <f t="shared" si="136"/>
        <v>49245</v>
      </c>
      <c r="BI790" s="185">
        <f t="shared" si="136"/>
        <v>1881</v>
      </c>
      <c r="BJ790" s="185">
        <f t="shared" si="136"/>
        <v>3399909.02</v>
      </c>
      <c r="BK790" s="185">
        <f t="shared" si="136"/>
        <v>3399909.02</v>
      </c>
      <c r="BL790" s="185">
        <f t="shared" si="136"/>
        <v>0</v>
      </c>
      <c r="BM790" s="185">
        <f t="shared" si="136"/>
        <v>0</v>
      </c>
      <c r="BN790" s="185">
        <f t="shared" si="136"/>
        <v>0</v>
      </c>
      <c r="BO790" s="185">
        <f t="shared" si="136"/>
        <v>0</v>
      </c>
      <c r="BP790" s="185">
        <f t="shared" si="136"/>
        <v>0</v>
      </c>
      <c r="BQ790" s="185">
        <f t="shared" si="136"/>
        <v>0</v>
      </c>
      <c r="BR790" s="185">
        <f t="shared" si="136"/>
        <v>0</v>
      </c>
      <c r="BS790" s="185">
        <f t="shared" ref="BS790:CC790" si="137">SUM(BS747:BS789)</f>
        <v>0</v>
      </c>
      <c r="BT790" s="185">
        <f t="shared" si="137"/>
        <v>0</v>
      </c>
      <c r="BU790" s="185">
        <f t="shared" si="137"/>
        <v>0</v>
      </c>
      <c r="BV790" s="185">
        <f t="shared" si="137"/>
        <v>0</v>
      </c>
      <c r="BW790" s="185">
        <f t="shared" si="137"/>
        <v>0</v>
      </c>
      <c r="BX790" s="185">
        <f t="shared" si="137"/>
        <v>0</v>
      </c>
      <c r="BY790" s="185">
        <f t="shared" si="137"/>
        <v>0</v>
      </c>
      <c r="BZ790" s="185">
        <f t="shared" si="137"/>
        <v>0</v>
      </c>
      <c r="CA790" s="185">
        <f t="shared" si="137"/>
        <v>0</v>
      </c>
      <c r="CB790" s="185">
        <f t="shared" si="137"/>
        <v>11247175.25</v>
      </c>
      <c r="CC790" s="185">
        <f t="shared" si="137"/>
        <v>0</v>
      </c>
      <c r="CD790" s="185"/>
      <c r="CE790" s="185"/>
    </row>
    <row r="791" spans="2:83" s="197" customFormat="1" ht="37.5" x14ac:dyDescent="0.3">
      <c r="B791" s="182">
        <v>2983</v>
      </c>
      <c r="C791" s="182">
        <v>1150</v>
      </c>
      <c r="D791" s="182" t="s">
        <v>121</v>
      </c>
      <c r="E791" s="181" t="s">
        <v>4849</v>
      </c>
      <c r="F791" s="182"/>
      <c r="G791" s="182">
        <v>333.33</v>
      </c>
      <c r="H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2"/>
      <c r="AH791" s="182"/>
      <c r="AI791" s="182"/>
      <c r="AJ791" s="182"/>
      <c r="AK791" s="182"/>
      <c r="AL791" s="182"/>
      <c r="AM791" s="182"/>
      <c r="AN791" s="182"/>
      <c r="AO791" s="182"/>
      <c r="AP791" s="182"/>
      <c r="AQ791" s="185">
        <f t="shared" ref="AQ791:AQ817" si="138">SUM(G791:AP791)</f>
        <v>333.33</v>
      </c>
      <c r="AR791" s="182">
        <v>298.14999999999998</v>
      </c>
      <c r="AS791" s="182">
        <v>35.18</v>
      </c>
      <c r="AT791" s="182"/>
      <c r="AU791" s="182"/>
      <c r="AV791" s="182"/>
      <c r="AW791" s="182"/>
      <c r="AX791" s="182"/>
      <c r="AY791" s="182"/>
      <c r="AZ791" s="182"/>
      <c r="BA791" s="182"/>
      <c r="BB791" s="182"/>
      <c r="BC791" s="182"/>
      <c r="BD791" s="182"/>
      <c r="BE791" s="182"/>
      <c r="BF791" s="182"/>
      <c r="BG791" s="182"/>
      <c r="BH791" s="182"/>
      <c r="BI791" s="182"/>
      <c r="BJ791" s="182"/>
      <c r="BK791" s="182"/>
      <c r="BL791" s="182"/>
      <c r="BM791" s="182"/>
      <c r="BN791" s="182"/>
      <c r="BO791" s="182"/>
      <c r="BP791" s="182"/>
      <c r="BQ791" s="182"/>
      <c r="BR791" s="182"/>
      <c r="BS791" s="182"/>
      <c r="BT791" s="182"/>
      <c r="BU791" s="182"/>
      <c r="BV791" s="182"/>
      <c r="BW791" s="182"/>
      <c r="BX791" s="182"/>
      <c r="BY791" s="182"/>
      <c r="BZ791" s="182"/>
      <c r="CA791" s="182"/>
      <c r="CB791" s="185">
        <f t="shared" ref="CB791:CB817" si="139">SUM(AR791:CA791)</f>
        <v>333.33</v>
      </c>
      <c r="CC791" s="185">
        <f t="shared" ref="CC791:CC817" si="140">+CB791-AQ791</f>
        <v>0</v>
      </c>
      <c r="CD791" s="185">
        <f t="shared" ref="CD791:CD817" si="141">+C791</f>
        <v>1150</v>
      </c>
      <c r="CE791" s="185"/>
    </row>
    <row r="792" spans="2:83" s="197" customFormat="1" ht="37.5" x14ac:dyDescent="0.3">
      <c r="B792" s="182">
        <v>2985</v>
      </c>
      <c r="C792" s="182">
        <v>1151</v>
      </c>
      <c r="D792" s="182" t="s">
        <v>121</v>
      </c>
      <c r="E792" s="181" t="s">
        <v>4850</v>
      </c>
      <c r="F792" s="182"/>
      <c r="G792" s="182">
        <v>1600</v>
      </c>
      <c r="H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2"/>
      <c r="AH792" s="182"/>
      <c r="AI792" s="182"/>
      <c r="AJ792" s="182"/>
      <c r="AK792" s="182"/>
      <c r="AL792" s="182"/>
      <c r="AM792" s="182"/>
      <c r="AN792" s="182"/>
      <c r="AO792" s="182"/>
      <c r="AP792" s="182"/>
      <c r="AQ792" s="185">
        <f t="shared" si="138"/>
        <v>1600</v>
      </c>
      <c r="AR792" s="182">
        <v>1428.35</v>
      </c>
      <c r="AS792" s="182">
        <v>171.65</v>
      </c>
      <c r="AT792" s="182"/>
      <c r="AU792" s="182"/>
      <c r="AV792" s="182"/>
      <c r="AW792" s="182"/>
      <c r="AX792" s="182"/>
      <c r="AY792" s="182"/>
      <c r="AZ792" s="182"/>
      <c r="BA792" s="182"/>
      <c r="BB792" s="182"/>
      <c r="BC792" s="182"/>
      <c r="BD792" s="182"/>
      <c r="BE792" s="182"/>
      <c r="BF792" s="182"/>
      <c r="BG792" s="182"/>
      <c r="BH792" s="182"/>
      <c r="BI792" s="182"/>
      <c r="BJ792" s="182"/>
      <c r="BK792" s="182"/>
      <c r="BL792" s="182"/>
      <c r="BM792" s="182"/>
      <c r="BN792" s="182"/>
      <c r="BO792" s="182"/>
      <c r="BP792" s="182"/>
      <c r="BQ792" s="182"/>
      <c r="BR792" s="182"/>
      <c r="BS792" s="182"/>
      <c r="BT792" s="182"/>
      <c r="BU792" s="182"/>
      <c r="BV792" s="182"/>
      <c r="BW792" s="182"/>
      <c r="BX792" s="182"/>
      <c r="BY792" s="182"/>
      <c r="BZ792" s="182"/>
      <c r="CA792" s="182"/>
      <c r="CB792" s="185">
        <f t="shared" si="139"/>
        <v>1600</v>
      </c>
      <c r="CC792" s="185">
        <f t="shared" si="140"/>
        <v>0</v>
      </c>
      <c r="CD792" s="185">
        <f t="shared" si="141"/>
        <v>1151</v>
      </c>
      <c r="CE792" s="185"/>
    </row>
    <row r="793" spans="2:83" s="197" customFormat="1" ht="56.25" x14ac:dyDescent="0.3">
      <c r="B793" s="182">
        <v>2984</v>
      </c>
      <c r="C793" s="182">
        <v>1152</v>
      </c>
      <c r="D793" s="182" t="s">
        <v>121</v>
      </c>
      <c r="E793" s="181" t="s">
        <v>4851</v>
      </c>
      <c r="F793" s="182"/>
      <c r="G793" s="182">
        <v>1133.33</v>
      </c>
      <c r="H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  <c r="Z793" s="182"/>
      <c r="AA793" s="182"/>
      <c r="AB793" s="182"/>
      <c r="AC793" s="182"/>
      <c r="AD793" s="182"/>
      <c r="AE793" s="182"/>
      <c r="AF793" s="182"/>
      <c r="AG793" s="182"/>
      <c r="AH793" s="182"/>
      <c r="AI793" s="182"/>
      <c r="AJ793" s="182"/>
      <c r="AK793" s="182"/>
      <c r="AL793" s="182"/>
      <c r="AM793" s="182"/>
      <c r="AN793" s="182"/>
      <c r="AO793" s="182"/>
      <c r="AP793" s="182"/>
      <c r="AQ793" s="185">
        <f t="shared" si="138"/>
        <v>1133.33</v>
      </c>
      <c r="AR793" s="182">
        <v>1012.9</v>
      </c>
      <c r="AS793" s="182">
        <v>120.43</v>
      </c>
      <c r="AT793" s="182"/>
      <c r="AU793" s="182"/>
      <c r="AV793" s="182"/>
      <c r="AW793" s="182"/>
      <c r="AX793" s="182"/>
      <c r="AY793" s="182"/>
      <c r="AZ793" s="182"/>
      <c r="BA793" s="182"/>
      <c r="BB793" s="182"/>
      <c r="BC793" s="182"/>
      <c r="BD793" s="182"/>
      <c r="BE793" s="182"/>
      <c r="BF793" s="182"/>
      <c r="BG793" s="182"/>
      <c r="BH793" s="182"/>
      <c r="BI793" s="182"/>
      <c r="BJ793" s="182"/>
      <c r="BK793" s="182"/>
      <c r="BL793" s="182"/>
      <c r="BM793" s="182"/>
      <c r="BN793" s="182"/>
      <c r="BO793" s="182"/>
      <c r="BP793" s="182"/>
      <c r="BQ793" s="182"/>
      <c r="BR793" s="182"/>
      <c r="BS793" s="182"/>
      <c r="BT793" s="182"/>
      <c r="BU793" s="182"/>
      <c r="BV793" s="182"/>
      <c r="BW793" s="182"/>
      <c r="BX793" s="182"/>
      <c r="BY793" s="182"/>
      <c r="BZ793" s="182"/>
      <c r="CA793" s="182"/>
      <c r="CB793" s="185">
        <f t="shared" si="139"/>
        <v>1133.33</v>
      </c>
      <c r="CC793" s="185">
        <f t="shared" si="140"/>
        <v>0</v>
      </c>
      <c r="CD793" s="185">
        <f t="shared" si="141"/>
        <v>1152</v>
      </c>
      <c r="CE793" s="185"/>
    </row>
    <row r="794" spans="2:83" s="197" customFormat="1" ht="56.25" x14ac:dyDescent="0.3">
      <c r="B794" s="182">
        <v>2583</v>
      </c>
      <c r="C794" s="182">
        <v>1153</v>
      </c>
      <c r="D794" s="182" t="s">
        <v>78</v>
      </c>
      <c r="E794" s="181" t="s">
        <v>4807</v>
      </c>
      <c r="F794" s="182"/>
      <c r="G794" s="182">
        <v>10951.15</v>
      </c>
      <c r="H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  <c r="Z794" s="182"/>
      <c r="AA794" s="182"/>
      <c r="AB794" s="182"/>
      <c r="AC794" s="182"/>
      <c r="AD794" s="182"/>
      <c r="AE794" s="182"/>
      <c r="AF794" s="182"/>
      <c r="AG794" s="182"/>
      <c r="AH794" s="182"/>
      <c r="AI794" s="182"/>
      <c r="AJ794" s="182"/>
      <c r="AK794" s="182"/>
      <c r="AL794" s="182"/>
      <c r="AM794" s="182"/>
      <c r="AN794" s="182"/>
      <c r="AO794" s="182"/>
      <c r="AP794" s="182"/>
      <c r="AQ794" s="185">
        <f t="shared" si="138"/>
        <v>10951.15</v>
      </c>
      <c r="AR794" s="182">
        <v>7317.3</v>
      </c>
      <c r="AS794" s="182">
        <f>61.3+934</f>
        <v>995.3</v>
      </c>
      <c r="AT794" s="182">
        <f>3633.85-AS794</f>
        <v>2638.55</v>
      </c>
      <c r="AU794" s="182"/>
      <c r="AV794" s="182"/>
      <c r="AW794" s="182"/>
      <c r="AX794" s="182"/>
      <c r="AY794" s="182"/>
      <c r="AZ794" s="182"/>
      <c r="BA794" s="182"/>
      <c r="BB794" s="182"/>
      <c r="BC794" s="182"/>
      <c r="BD794" s="182"/>
      <c r="BE794" s="182"/>
      <c r="BF794" s="182"/>
      <c r="BG794" s="182"/>
      <c r="BH794" s="182"/>
      <c r="BI794" s="182"/>
      <c r="BJ794" s="182"/>
      <c r="BK794" s="182"/>
      <c r="BL794" s="182"/>
      <c r="BM794" s="182"/>
      <c r="BN794" s="182"/>
      <c r="BO794" s="182"/>
      <c r="BP794" s="182"/>
      <c r="BQ794" s="182"/>
      <c r="BR794" s="182"/>
      <c r="BS794" s="182"/>
      <c r="BT794" s="182"/>
      <c r="BU794" s="182"/>
      <c r="BV794" s="182"/>
      <c r="BW794" s="182"/>
      <c r="BX794" s="182"/>
      <c r="BY794" s="182"/>
      <c r="BZ794" s="182"/>
      <c r="CA794" s="182"/>
      <c r="CB794" s="185">
        <f t="shared" si="139"/>
        <v>10951.150000000001</v>
      </c>
      <c r="CC794" s="185">
        <f t="shared" si="140"/>
        <v>0</v>
      </c>
      <c r="CD794" s="185">
        <f t="shared" si="141"/>
        <v>1153</v>
      </c>
      <c r="CE794" s="185"/>
    </row>
    <row r="795" spans="2:83" s="197" customFormat="1" ht="37.5" x14ac:dyDescent="0.3">
      <c r="B795" s="182">
        <v>2648</v>
      </c>
      <c r="C795" s="182">
        <v>1154</v>
      </c>
      <c r="D795" s="182" t="s">
        <v>78</v>
      </c>
      <c r="E795" s="181" t="s">
        <v>4228</v>
      </c>
      <c r="F795" s="182"/>
      <c r="G795" s="182">
        <v>64907.14</v>
      </c>
      <c r="H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  <c r="Z795" s="182"/>
      <c r="AA795" s="182"/>
      <c r="AB795" s="182"/>
      <c r="AC795" s="182"/>
      <c r="AD795" s="182"/>
      <c r="AE795" s="182"/>
      <c r="AF795" s="182"/>
      <c r="AG795" s="182"/>
      <c r="AH795" s="182"/>
      <c r="AI795" s="182"/>
      <c r="AJ795" s="182"/>
      <c r="AK795" s="182"/>
      <c r="AL795" s="182"/>
      <c r="AM795" s="182"/>
      <c r="AN795" s="182"/>
      <c r="AO795" s="182"/>
      <c r="AP795" s="182"/>
      <c r="AQ795" s="185">
        <f t="shared" si="138"/>
        <v>64907.14</v>
      </c>
      <c r="AR795" s="182">
        <v>45373.58</v>
      </c>
      <c r="AS795" s="182">
        <v>5976.8</v>
      </c>
      <c r="AT795" s="182">
        <v>13556.76</v>
      </c>
      <c r="AU795" s="182"/>
      <c r="AV795" s="182"/>
      <c r="AW795" s="182"/>
      <c r="AX795" s="182"/>
      <c r="AY795" s="182"/>
      <c r="AZ795" s="182"/>
      <c r="BA795" s="182"/>
      <c r="BB795" s="182"/>
      <c r="BC795" s="182"/>
      <c r="BD795" s="182"/>
      <c r="BE795" s="182"/>
      <c r="BF795" s="182"/>
      <c r="BG795" s="182"/>
      <c r="BH795" s="182"/>
      <c r="BI795" s="182"/>
      <c r="BJ795" s="182"/>
      <c r="BK795" s="182"/>
      <c r="BL795" s="182"/>
      <c r="BM795" s="182"/>
      <c r="BN795" s="182"/>
      <c r="BO795" s="182"/>
      <c r="BP795" s="182"/>
      <c r="BQ795" s="182"/>
      <c r="BR795" s="182"/>
      <c r="BS795" s="182"/>
      <c r="BT795" s="182"/>
      <c r="BU795" s="182"/>
      <c r="BV795" s="182"/>
      <c r="BW795" s="182"/>
      <c r="BX795" s="182"/>
      <c r="BY795" s="182"/>
      <c r="BZ795" s="182"/>
      <c r="CA795" s="182"/>
      <c r="CB795" s="185">
        <f t="shared" si="139"/>
        <v>64907.140000000007</v>
      </c>
      <c r="CC795" s="185">
        <f t="shared" si="140"/>
        <v>0</v>
      </c>
      <c r="CD795" s="185">
        <f t="shared" si="141"/>
        <v>1154</v>
      </c>
      <c r="CE795" s="185"/>
    </row>
    <row r="796" spans="2:83" s="197" customFormat="1" ht="37.5" x14ac:dyDescent="0.3">
      <c r="B796" s="182">
        <v>2647</v>
      </c>
      <c r="C796" s="182">
        <v>1155</v>
      </c>
      <c r="D796" s="182" t="s">
        <v>78</v>
      </c>
      <c r="E796" s="181" t="s">
        <v>4228</v>
      </c>
      <c r="F796" s="182"/>
      <c r="G796" s="182">
        <v>11597.15</v>
      </c>
      <c r="H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  <c r="Z796" s="182"/>
      <c r="AA796" s="182"/>
      <c r="AB796" s="182"/>
      <c r="AC796" s="182"/>
      <c r="AD796" s="182"/>
      <c r="AE796" s="182"/>
      <c r="AF796" s="182"/>
      <c r="AG796" s="182"/>
      <c r="AH796" s="182"/>
      <c r="AI796" s="182"/>
      <c r="AJ796" s="182"/>
      <c r="AK796" s="182"/>
      <c r="AL796" s="182"/>
      <c r="AM796" s="182"/>
      <c r="AN796" s="182"/>
      <c r="AO796" s="182"/>
      <c r="AP796" s="182"/>
      <c r="AQ796" s="185">
        <f t="shared" si="138"/>
        <v>11597.15</v>
      </c>
      <c r="AR796" s="182">
        <v>9541.81</v>
      </c>
      <c r="AS796" s="182">
        <v>1181.47</v>
      </c>
      <c r="AT796" s="182">
        <v>873.87</v>
      </c>
      <c r="AU796" s="182"/>
      <c r="AV796" s="182"/>
      <c r="AW796" s="182"/>
      <c r="AX796" s="182"/>
      <c r="AY796" s="182"/>
      <c r="AZ796" s="182"/>
      <c r="BA796" s="182"/>
      <c r="BB796" s="182"/>
      <c r="BC796" s="182"/>
      <c r="BD796" s="182"/>
      <c r="BE796" s="182"/>
      <c r="BF796" s="182"/>
      <c r="BG796" s="182"/>
      <c r="BH796" s="182"/>
      <c r="BI796" s="182"/>
      <c r="BJ796" s="182"/>
      <c r="BK796" s="182"/>
      <c r="BL796" s="182"/>
      <c r="BM796" s="182"/>
      <c r="BN796" s="182"/>
      <c r="BO796" s="182"/>
      <c r="BP796" s="182"/>
      <c r="BQ796" s="182"/>
      <c r="BR796" s="182"/>
      <c r="BS796" s="182"/>
      <c r="BT796" s="182"/>
      <c r="BU796" s="182"/>
      <c r="BV796" s="182"/>
      <c r="BW796" s="182"/>
      <c r="BX796" s="182"/>
      <c r="BY796" s="182"/>
      <c r="BZ796" s="182"/>
      <c r="CA796" s="182"/>
      <c r="CB796" s="185">
        <f t="shared" si="139"/>
        <v>11597.15</v>
      </c>
      <c r="CC796" s="185">
        <f t="shared" si="140"/>
        <v>0</v>
      </c>
      <c r="CD796" s="185">
        <f t="shared" si="141"/>
        <v>1155</v>
      </c>
      <c r="CE796" s="185"/>
    </row>
    <row r="797" spans="2:83" s="197" customFormat="1" ht="37.5" x14ac:dyDescent="0.3">
      <c r="B797" s="182">
        <v>2646</v>
      </c>
      <c r="C797" s="182">
        <v>1156</v>
      </c>
      <c r="D797" s="182" t="s">
        <v>78</v>
      </c>
      <c r="E797" s="181" t="s">
        <v>4228</v>
      </c>
      <c r="F797" s="182"/>
      <c r="G797" s="182">
        <v>3258.58</v>
      </c>
      <c r="H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  <c r="Z797" s="182"/>
      <c r="AA797" s="182"/>
      <c r="AB797" s="182"/>
      <c r="AC797" s="182"/>
      <c r="AD797" s="182"/>
      <c r="AE797" s="182"/>
      <c r="AF797" s="182"/>
      <c r="AG797" s="182"/>
      <c r="AH797" s="182"/>
      <c r="AI797" s="182"/>
      <c r="AJ797" s="182"/>
      <c r="AK797" s="182"/>
      <c r="AL797" s="182"/>
      <c r="AM797" s="182"/>
      <c r="AN797" s="182"/>
      <c r="AO797" s="182"/>
      <c r="AP797" s="182"/>
      <c r="AQ797" s="185">
        <f t="shared" si="138"/>
        <v>3258.58</v>
      </c>
      <c r="AR797" s="182">
        <v>2180.29</v>
      </c>
      <c r="AS797" s="182">
        <v>293.17</v>
      </c>
      <c r="AT797" s="182">
        <v>785.12</v>
      </c>
      <c r="AU797" s="182"/>
      <c r="AV797" s="182"/>
      <c r="AW797" s="182"/>
      <c r="AX797" s="182"/>
      <c r="AY797" s="182"/>
      <c r="AZ797" s="182"/>
      <c r="BA797" s="182"/>
      <c r="BB797" s="182"/>
      <c r="BC797" s="182"/>
      <c r="BD797" s="182"/>
      <c r="BE797" s="182"/>
      <c r="BF797" s="182"/>
      <c r="BG797" s="182"/>
      <c r="BH797" s="182"/>
      <c r="BI797" s="182"/>
      <c r="BJ797" s="182"/>
      <c r="BK797" s="182"/>
      <c r="BL797" s="182"/>
      <c r="BM797" s="182"/>
      <c r="BN797" s="182"/>
      <c r="BO797" s="182"/>
      <c r="BP797" s="182"/>
      <c r="BQ797" s="182"/>
      <c r="BR797" s="182"/>
      <c r="BS797" s="182"/>
      <c r="BT797" s="182"/>
      <c r="BU797" s="182"/>
      <c r="BV797" s="182"/>
      <c r="BW797" s="182"/>
      <c r="BX797" s="182"/>
      <c r="BY797" s="182"/>
      <c r="BZ797" s="182"/>
      <c r="CA797" s="182"/>
      <c r="CB797" s="185">
        <f t="shared" si="139"/>
        <v>3258.58</v>
      </c>
      <c r="CC797" s="185">
        <f t="shared" si="140"/>
        <v>0</v>
      </c>
      <c r="CD797" s="185">
        <f t="shared" si="141"/>
        <v>1156</v>
      </c>
      <c r="CE797" s="185"/>
    </row>
    <row r="798" spans="2:83" s="197" customFormat="1" ht="37.5" x14ac:dyDescent="0.3">
      <c r="B798" s="182">
        <v>2645</v>
      </c>
      <c r="C798" s="182">
        <v>1157</v>
      </c>
      <c r="D798" s="182" t="s">
        <v>78</v>
      </c>
      <c r="E798" s="181" t="s">
        <v>4228</v>
      </c>
      <c r="F798" s="182"/>
      <c r="G798" s="182">
        <v>2130.0500000000002</v>
      </c>
      <c r="H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  <c r="Z798" s="182"/>
      <c r="AA798" s="182"/>
      <c r="AB798" s="182"/>
      <c r="AC798" s="182"/>
      <c r="AD798" s="182"/>
      <c r="AE798" s="182"/>
      <c r="AF798" s="182"/>
      <c r="AG798" s="182"/>
      <c r="AH798" s="182"/>
      <c r="AI798" s="182"/>
      <c r="AJ798" s="182"/>
      <c r="AK798" s="182"/>
      <c r="AL798" s="182"/>
      <c r="AM798" s="182"/>
      <c r="AN798" s="182"/>
      <c r="AO798" s="182"/>
      <c r="AP798" s="182"/>
      <c r="AQ798" s="185">
        <f t="shared" si="138"/>
        <v>2130.0500000000002</v>
      </c>
      <c r="AR798" s="182">
        <v>1424.51</v>
      </c>
      <c r="AS798" s="182">
        <v>192.32</v>
      </c>
      <c r="AT798" s="182">
        <v>513.22</v>
      </c>
      <c r="AU798" s="182"/>
      <c r="AV798" s="182"/>
      <c r="AW798" s="182"/>
      <c r="AX798" s="182"/>
      <c r="AY798" s="182"/>
      <c r="AZ798" s="182"/>
      <c r="BA798" s="182"/>
      <c r="BB798" s="182"/>
      <c r="BC798" s="182"/>
      <c r="BD798" s="182"/>
      <c r="BE798" s="182"/>
      <c r="BF798" s="182"/>
      <c r="BG798" s="182"/>
      <c r="BH798" s="182"/>
      <c r="BI798" s="182"/>
      <c r="BJ798" s="182"/>
      <c r="BK798" s="182"/>
      <c r="BL798" s="182"/>
      <c r="BM798" s="182"/>
      <c r="BN798" s="182"/>
      <c r="BO798" s="182"/>
      <c r="BP798" s="182"/>
      <c r="BQ798" s="182"/>
      <c r="BR798" s="182"/>
      <c r="BS798" s="182"/>
      <c r="BT798" s="182"/>
      <c r="BU798" s="182"/>
      <c r="BV798" s="182"/>
      <c r="BW798" s="182"/>
      <c r="BX798" s="182"/>
      <c r="BY798" s="182"/>
      <c r="BZ798" s="182"/>
      <c r="CA798" s="182"/>
      <c r="CB798" s="185">
        <f t="shared" si="139"/>
        <v>2130.0500000000002</v>
      </c>
      <c r="CC798" s="185">
        <f t="shared" si="140"/>
        <v>0</v>
      </c>
      <c r="CD798" s="185">
        <f t="shared" si="141"/>
        <v>1157</v>
      </c>
      <c r="CE798" s="185"/>
    </row>
    <row r="799" spans="2:83" s="197" customFormat="1" ht="37.5" x14ac:dyDescent="0.3">
      <c r="B799" s="182">
        <v>2644</v>
      </c>
      <c r="C799" s="182">
        <v>1158</v>
      </c>
      <c r="D799" s="182" t="s">
        <v>78</v>
      </c>
      <c r="E799" s="181" t="s">
        <v>4228</v>
      </c>
      <c r="F799" s="182"/>
      <c r="G799" s="182">
        <v>2564.84</v>
      </c>
      <c r="H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  <c r="Z799" s="182"/>
      <c r="AA799" s="182"/>
      <c r="AB799" s="182"/>
      <c r="AC799" s="182"/>
      <c r="AD799" s="182"/>
      <c r="AE799" s="182"/>
      <c r="AF799" s="182"/>
      <c r="AG799" s="182"/>
      <c r="AH799" s="182"/>
      <c r="AI799" s="182"/>
      <c r="AJ799" s="182"/>
      <c r="AK799" s="182"/>
      <c r="AL799" s="182"/>
      <c r="AM799" s="182"/>
      <c r="AN799" s="182"/>
      <c r="AO799" s="182"/>
      <c r="AP799" s="182"/>
      <c r="AQ799" s="185">
        <f t="shared" si="138"/>
        <v>2564.84</v>
      </c>
      <c r="AR799" s="182">
        <v>1713.86</v>
      </c>
      <c r="AS799" s="182">
        <v>233</v>
      </c>
      <c r="AT799" s="182">
        <v>617.98</v>
      </c>
      <c r="AU799" s="182"/>
      <c r="AV799" s="182"/>
      <c r="AW799" s="182"/>
      <c r="AX799" s="182"/>
      <c r="AY799" s="182"/>
      <c r="AZ799" s="182"/>
      <c r="BA799" s="182"/>
      <c r="BB799" s="182"/>
      <c r="BC799" s="182"/>
      <c r="BD799" s="182"/>
      <c r="BE799" s="182"/>
      <c r="BF799" s="182"/>
      <c r="BG799" s="182"/>
      <c r="BH799" s="182"/>
      <c r="BI799" s="182"/>
      <c r="BJ799" s="182"/>
      <c r="BK799" s="182"/>
      <c r="BL799" s="182"/>
      <c r="BM799" s="182"/>
      <c r="BN799" s="182"/>
      <c r="BO799" s="182"/>
      <c r="BP799" s="182"/>
      <c r="BQ799" s="182"/>
      <c r="BR799" s="182"/>
      <c r="BS799" s="182"/>
      <c r="BT799" s="182"/>
      <c r="BU799" s="182"/>
      <c r="BV799" s="182"/>
      <c r="BW799" s="182"/>
      <c r="BX799" s="182"/>
      <c r="BY799" s="182"/>
      <c r="BZ799" s="182"/>
      <c r="CA799" s="182"/>
      <c r="CB799" s="185">
        <f t="shared" si="139"/>
        <v>2564.84</v>
      </c>
      <c r="CC799" s="185">
        <f t="shared" si="140"/>
        <v>0</v>
      </c>
      <c r="CD799" s="185">
        <f t="shared" si="141"/>
        <v>1158</v>
      </c>
      <c r="CE799" s="185"/>
    </row>
    <row r="800" spans="2:83" s="197" customFormat="1" ht="37.5" x14ac:dyDescent="0.3">
      <c r="B800" s="182">
        <v>2649</v>
      </c>
      <c r="C800" s="182">
        <v>1159</v>
      </c>
      <c r="D800" s="182" t="s">
        <v>78</v>
      </c>
      <c r="E800" s="181" t="s">
        <v>4228</v>
      </c>
      <c r="F800" s="182"/>
      <c r="G800" s="182">
        <v>169997.91</v>
      </c>
      <c r="H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2"/>
      <c r="AH800" s="182"/>
      <c r="AI800" s="182"/>
      <c r="AJ800" s="182"/>
      <c r="AK800" s="182"/>
      <c r="AL800" s="182"/>
      <c r="AM800" s="182"/>
      <c r="AN800" s="182"/>
      <c r="AO800" s="182"/>
      <c r="AP800" s="182"/>
      <c r="AQ800" s="185">
        <f t="shared" si="138"/>
        <v>169997.91</v>
      </c>
      <c r="AR800" s="182">
        <v>113606.68</v>
      </c>
      <c r="AS800" s="182">
        <v>15366.46</v>
      </c>
      <c r="AT800" s="182">
        <v>41024.769999999997</v>
      </c>
      <c r="AU800" s="182"/>
      <c r="AV800" s="182"/>
      <c r="AW800" s="182"/>
      <c r="AX800" s="182"/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/>
      <c r="BI800" s="182"/>
      <c r="BJ800" s="182"/>
      <c r="BK800" s="182"/>
      <c r="BL800" s="182"/>
      <c r="BM800" s="182"/>
      <c r="BN800" s="182"/>
      <c r="BO800" s="182"/>
      <c r="BP800" s="182"/>
      <c r="BQ800" s="182"/>
      <c r="BR800" s="182"/>
      <c r="BS800" s="182"/>
      <c r="BT800" s="182"/>
      <c r="BU800" s="182"/>
      <c r="BV800" s="182"/>
      <c r="BW800" s="182"/>
      <c r="BX800" s="182"/>
      <c r="BY800" s="182"/>
      <c r="BZ800" s="182"/>
      <c r="CA800" s="182"/>
      <c r="CB800" s="185">
        <f t="shared" si="139"/>
        <v>169997.90999999997</v>
      </c>
      <c r="CC800" s="185">
        <f t="shared" si="140"/>
        <v>0</v>
      </c>
      <c r="CD800" s="185">
        <f t="shared" si="141"/>
        <v>1159</v>
      </c>
      <c r="CE800" s="185"/>
    </row>
    <row r="801" spans="2:83" s="197" customFormat="1" ht="56.25" x14ac:dyDescent="0.3">
      <c r="B801" s="182">
        <v>2555</v>
      </c>
      <c r="C801" s="182">
        <v>1160</v>
      </c>
      <c r="D801" s="182" t="s">
        <v>78</v>
      </c>
      <c r="E801" s="181" t="s">
        <v>4852</v>
      </c>
      <c r="F801" s="182"/>
      <c r="G801" s="182">
        <v>2198.44</v>
      </c>
      <c r="H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2"/>
      <c r="AH801" s="182"/>
      <c r="AI801" s="182"/>
      <c r="AJ801" s="182"/>
      <c r="AK801" s="182"/>
      <c r="AL801" s="182"/>
      <c r="AM801" s="182"/>
      <c r="AN801" s="182"/>
      <c r="AO801" s="182"/>
      <c r="AP801" s="182"/>
      <c r="AQ801" s="185">
        <f t="shared" si="138"/>
        <v>2198.44</v>
      </c>
      <c r="AR801" s="182">
        <v>1469.1</v>
      </c>
      <c r="AS801" s="182">
        <v>199.65</v>
      </c>
      <c r="AT801" s="182">
        <v>529.69000000000005</v>
      </c>
      <c r="AU801" s="182"/>
      <c r="AV801" s="182"/>
      <c r="AW801" s="182"/>
      <c r="AX801" s="182"/>
      <c r="AY801" s="182"/>
      <c r="AZ801" s="182"/>
      <c r="BA801" s="182"/>
      <c r="BB801" s="182"/>
      <c r="BC801" s="182"/>
      <c r="BD801" s="182"/>
      <c r="BE801" s="182"/>
      <c r="BF801" s="182"/>
      <c r="BG801" s="182"/>
      <c r="BH801" s="182"/>
      <c r="BI801" s="182"/>
      <c r="BJ801" s="182"/>
      <c r="BK801" s="182"/>
      <c r="BL801" s="182"/>
      <c r="BM801" s="182"/>
      <c r="BN801" s="182"/>
      <c r="BO801" s="182"/>
      <c r="BP801" s="182"/>
      <c r="BQ801" s="182"/>
      <c r="BR801" s="182"/>
      <c r="BS801" s="182"/>
      <c r="BT801" s="182"/>
      <c r="BU801" s="182"/>
      <c r="BV801" s="182"/>
      <c r="BW801" s="182"/>
      <c r="BX801" s="182"/>
      <c r="BY801" s="182"/>
      <c r="BZ801" s="182"/>
      <c r="CA801" s="182"/>
      <c r="CB801" s="185">
        <f t="shared" si="139"/>
        <v>2198.44</v>
      </c>
      <c r="CC801" s="185">
        <f t="shared" si="140"/>
        <v>0</v>
      </c>
      <c r="CD801" s="185">
        <f t="shared" si="141"/>
        <v>1160</v>
      </c>
      <c r="CE801" s="185"/>
    </row>
    <row r="802" spans="2:83" s="197" customFormat="1" ht="56.25" x14ac:dyDescent="0.3">
      <c r="B802" s="182">
        <v>2556</v>
      </c>
      <c r="C802" s="182">
        <v>1161</v>
      </c>
      <c r="D802" s="182" t="s">
        <v>78</v>
      </c>
      <c r="E802" s="181" t="s">
        <v>4852</v>
      </c>
      <c r="F802" s="182"/>
      <c r="G802" s="182">
        <v>806.1</v>
      </c>
      <c r="H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  <c r="Z802" s="182"/>
      <c r="AA802" s="182"/>
      <c r="AB802" s="182"/>
      <c r="AC802" s="182"/>
      <c r="AD802" s="182"/>
      <c r="AE802" s="182"/>
      <c r="AF802" s="182"/>
      <c r="AG802" s="182"/>
      <c r="AH802" s="182"/>
      <c r="AI802" s="182"/>
      <c r="AJ802" s="182"/>
      <c r="AK802" s="182"/>
      <c r="AL802" s="182"/>
      <c r="AM802" s="182"/>
      <c r="AN802" s="182"/>
      <c r="AO802" s="182"/>
      <c r="AP802" s="182"/>
      <c r="AQ802" s="185">
        <f t="shared" si="138"/>
        <v>806.1</v>
      </c>
      <c r="AR802" s="182">
        <v>539.70000000000005</v>
      </c>
      <c r="AS802" s="182">
        <v>72.16</v>
      </c>
      <c r="AT802" s="182">
        <v>194.24</v>
      </c>
      <c r="AU802" s="182"/>
      <c r="AV802" s="182"/>
      <c r="AW802" s="182"/>
      <c r="AX802" s="182"/>
      <c r="AY802" s="182"/>
      <c r="AZ802" s="182"/>
      <c r="BA802" s="182"/>
      <c r="BB802" s="182"/>
      <c r="BC802" s="182"/>
      <c r="BD802" s="182"/>
      <c r="BE802" s="182"/>
      <c r="BF802" s="182"/>
      <c r="BG802" s="182"/>
      <c r="BH802" s="182"/>
      <c r="BI802" s="182"/>
      <c r="BJ802" s="182"/>
      <c r="BK802" s="182"/>
      <c r="BL802" s="182"/>
      <c r="BM802" s="182"/>
      <c r="BN802" s="182"/>
      <c r="BO802" s="182"/>
      <c r="BP802" s="182"/>
      <c r="BQ802" s="182"/>
      <c r="BR802" s="182"/>
      <c r="BS802" s="182"/>
      <c r="BT802" s="182"/>
      <c r="BU802" s="182"/>
      <c r="BV802" s="182"/>
      <c r="BW802" s="182"/>
      <c r="BX802" s="182"/>
      <c r="BY802" s="182"/>
      <c r="BZ802" s="182"/>
      <c r="CA802" s="182"/>
      <c r="CB802" s="185">
        <f t="shared" si="139"/>
        <v>806.1</v>
      </c>
      <c r="CC802" s="185">
        <f t="shared" si="140"/>
        <v>0</v>
      </c>
      <c r="CD802" s="185">
        <f t="shared" si="141"/>
        <v>1161</v>
      </c>
      <c r="CE802" s="185"/>
    </row>
    <row r="803" spans="2:83" s="197" customFormat="1" ht="56.25" x14ac:dyDescent="0.3">
      <c r="B803" s="182">
        <v>2558</v>
      </c>
      <c r="C803" s="182">
        <v>1162</v>
      </c>
      <c r="D803" s="182" t="s">
        <v>78</v>
      </c>
      <c r="E803" s="181" t="s">
        <v>4852</v>
      </c>
      <c r="F803" s="182"/>
      <c r="G803" s="182">
        <v>1166.69</v>
      </c>
      <c r="H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  <c r="Z803" s="182"/>
      <c r="AA803" s="182"/>
      <c r="AB803" s="182"/>
      <c r="AC803" s="182"/>
      <c r="AD803" s="182"/>
      <c r="AE803" s="182"/>
      <c r="AF803" s="182"/>
      <c r="AG803" s="182"/>
      <c r="AH803" s="182"/>
      <c r="AI803" s="182"/>
      <c r="AJ803" s="182"/>
      <c r="AK803" s="182"/>
      <c r="AL803" s="182"/>
      <c r="AM803" s="182"/>
      <c r="AN803" s="182"/>
      <c r="AO803" s="182"/>
      <c r="AP803" s="182"/>
      <c r="AQ803" s="185">
        <f t="shared" si="138"/>
        <v>1166.69</v>
      </c>
      <c r="AR803" s="182">
        <v>963.09</v>
      </c>
      <c r="AS803" s="182">
        <v>118.26</v>
      </c>
      <c r="AT803" s="182">
        <v>85.34</v>
      </c>
      <c r="AU803" s="182"/>
      <c r="AV803" s="182"/>
      <c r="AW803" s="182"/>
      <c r="AX803" s="182"/>
      <c r="AY803" s="182"/>
      <c r="AZ803" s="182"/>
      <c r="BA803" s="182"/>
      <c r="BB803" s="182"/>
      <c r="BC803" s="182"/>
      <c r="BD803" s="182"/>
      <c r="BE803" s="182"/>
      <c r="BF803" s="182"/>
      <c r="BG803" s="182"/>
      <c r="BH803" s="182"/>
      <c r="BI803" s="182"/>
      <c r="BJ803" s="182"/>
      <c r="BK803" s="182"/>
      <c r="BL803" s="182"/>
      <c r="BM803" s="182"/>
      <c r="BN803" s="182"/>
      <c r="BO803" s="182"/>
      <c r="BP803" s="182"/>
      <c r="BQ803" s="182"/>
      <c r="BR803" s="182"/>
      <c r="BS803" s="182"/>
      <c r="BT803" s="182"/>
      <c r="BU803" s="182"/>
      <c r="BV803" s="182"/>
      <c r="BW803" s="182"/>
      <c r="BX803" s="182"/>
      <c r="BY803" s="182"/>
      <c r="BZ803" s="182"/>
      <c r="CA803" s="182"/>
      <c r="CB803" s="185">
        <f t="shared" si="139"/>
        <v>1166.69</v>
      </c>
      <c r="CC803" s="185">
        <f t="shared" si="140"/>
        <v>0</v>
      </c>
      <c r="CD803" s="185">
        <f t="shared" si="141"/>
        <v>1162</v>
      </c>
      <c r="CE803" s="185"/>
    </row>
    <row r="804" spans="2:83" s="197" customFormat="1" ht="56.25" x14ac:dyDescent="0.3">
      <c r="B804" s="182">
        <v>2558</v>
      </c>
      <c r="C804" s="182">
        <v>1163</v>
      </c>
      <c r="D804" s="182" t="s">
        <v>78</v>
      </c>
      <c r="E804" s="181" t="s">
        <v>4852</v>
      </c>
      <c r="F804" s="182"/>
      <c r="G804" s="182">
        <v>4500</v>
      </c>
      <c r="H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  <c r="Z804" s="182"/>
      <c r="AA804" s="182"/>
      <c r="AB804" s="182"/>
      <c r="AC804" s="182"/>
      <c r="AD804" s="182"/>
      <c r="AE804" s="182"/>
      <c r="AF804" s="182"/>
      <c r="AG804" s="182"/>
      <c r="AH804" s="182"/>
      <c r="AI804" s="182"/>
      <c r="AJ804" s="182"/>
      <c r="AK804" s="182"/>
      <c r="AL804" s="182"/>
      <c r="AM804" s="182"/>
      <c r="AN804" s="182"/>
      <c r="AO804" s="182"/>
      <c r="AP804" s="182"/>
      <c r="AQ804" s="185">
        <f t="shared" si="138"/>
        <v>4500</v>
      </c>
      <c r="AR804" s="182">
        <v>4017</v>
      </c>
      <c r="AS804" s="182">
        <v>483</v>
      </c>
      <c r="AT804" s="182"/>
      <c r="AU804" s="182"/>
      <c r="AV804" s="182"/>
      <c r="AW804" s="182"/>
      <c r="AX804" s="182"/>
      <c r="AY804" s="182"/>
      <c r="AZ804" s="182"/>
      <c r="BA804" s="182"/>
      <c r="BB804" s="182"/>
      <c r="BC804" s="182"/>
      <c r="BD804" s="182"/>
      <c r="BE804" s="182"/>
      <c r="BF804" s="182"/>
      <c r="BG804" s="182"/>
      <c r="BH804" s="182"/>
      <c r="BI804" s="182"/>
      <c r="BJ804" s="182"/>
      <c r="BK804" s="182"/>
      <c r="BL804" s="182"/>
      <c r="BM804" s="182"/>
      <c r="BN804" s="182"/>
      <c r="BO804" s="182"/>
      <c r="BP804" s="182"/>
      <c r="BQ804" s="182"/>
      <c r="BR804" s="182"/>
      <c r="BS804" s="182"/>
      <c r="BT804" s="182"/>
      <c r="BU804" s="182"/>
      <c r="BV804" s="182"/>
      <c r="BW804" s="182"/>
      <c r="BX804" s="182"/>
      <c r="BY804" s="182"/>
      <c r="BZ804" s="182"/>
      <c r="CA804" s="182"/>
      <c r="CB804" s="185">
        <f t="shared" si="139"/>
        <v>4500</v>
      </c>
      <c r="CC804" s="185">
        <f t="shared" si="140"/>
        <v>0</v>
      </c>
      <c r="CD804" s="185">
        <f t="shared" si="141"/>
        <v>1163</v>
      </c>
      <c r="CE804" s="185"/>
    </row>
    <row r="805" spans="2:83" s="197" customFormat="1" ht="56.25" x14ac:dyDescent="0.3">
      <c r="B805" s="182">
        <v>2559</v>
      </c>
      <c r="C805" s="182">
        <v>1164</v>
      </c>
      <c r="D805" s="182" t="s">
        <v>78</v>
      </c>
      <c r="E805" s="181" t="s">
        <v>4852</v>
      </c>
      <c r="F805" s="182"/>
      <c r="G805" s="182">
        <v>3419.8</v>
      </c>
      <c r="H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  <c r="Z805" s="182"/>
      <c r="AA805" s="182"/>
      <c r="AB805" s="182"/>
      <c r="AC805" s="182"/>
      <c r="AD805" s="182"/>
      <c r="AE805" s="182"/>
      <c r="AF805" s="182"/>
      <c r="AG805" s="182"/>
      <c r="AH805" s="182"/>
      <c r="AI805" s="182"/>
      <c r="AJ805" s="182"/>
      <c r="AK805" s="182"/>
      <c r="AL805" s="182"/>
      <c r="AM805" s="182"/>
      <c r="AN805" s="182"/>
      <c r="AO805" s="182"/>
      <c r="AP805" s="182"/>
      <c r="AQ805" s="185">
        <f t="shared" si="138"/>
        <v>3419.8</v>
      </c>
      <c r="AR805" s="182">
        <v>2286.46</v>
      </c>
      <c r="AS805" s="182">
        <v>309.37</v>
      </c>
      <c r="AT805" s="182">
        <v>823.97</v>
      </c>
      <c r="AU805" s="182"/>
      <c r="AV805" s="182"/>
      <c r="AW805" s="182"/>
      <c r="AX805" s="182"/>
      <c r="AY805" s="182"/>
      <c r="AZ805" s="182"/>
      <c r="BA805" s="182"/>
      <c r="BB805" s="182"/>
      <c r="BC805" s="182"/>
      <c r="BD805" s="182"/>
      <c r="BE805" s="182"/>
      <c r="BF805" s="182"/>
      <c r="BG805" s="182"/>
      <c r="BH805" s="182"/>
      <c r="BI805" s="182"/>
      <c r="BJ805" s="182"/>
      <c r="BK805" s="182"/>
      <c r="BL805" s="182"/>
      <c r="BM805" s="182"/>
      <c r="BN805" s="182"/>
      <c r="BO805" s="182"/>
      <c r="BP805" s="182"/>
      <c r="BQ805" s="182"/>
      <c r="BR805" s="182"/>
      <c r="BS805" s="182"/>
      <c r="BT805" s="182"/>
      <c r="BU805" s="182"/>
      <c r="BV805" s="182"/>
      <c r="BW805" s="182"/>
      <c r="BX805" s="182"/>
      <c r="BY805" s="182"/>
      <c r="BZ805" s="182"/>
      <c r="CA805" s="182"/>
      <c r="CB805" s="185">
        <f t="shared" si="139"/>
        <v>3419.8</v>
      </c>
      <c r="CC805" s="185">
        <f t="shared" si="140"/>
        <v>0</v>
      </c>
      <c r="CD805" s="185">
        <f t="shared" si="141"/>
        <v>1164</v>
      </c>
      <c r="CE805" s="185"/>
    </row>
    <row r="806" spans="2:83" s="197" customFormat="1" ht="56.25" x14ac:dyDescent="0.3">
      <c r="B806" s="182">
        <v>2560</v>
      </c>
      <c r="C806" s="182">
        <v>1165</v>
      </c>
      <c r="D806" s="182" t="s">
        <v>78</v>
      </c>
      <c r="E806" s="181" t="s">
        <v>4852</v>
      </c>
      <c r="F806" s="182"/>
      <c r="G806" s="182">
        <v>1099.22</v>
      </c>
      <c r="H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2"/>
      <c r="AH806" s="182"/>
      <c r="AI806" s="182"/>
      <c r="AJ806" s="182"/>
      <c r="AK806" s="182"/>
      <c r="AL806" s="182"/>
      <c r="AM806" s="182"/>
      <c r="AN806" s="182"/>
      <c r="AO806" s="182"/>
      <c r="AP806" s="182"/>
      <c r="AQ806" s="185">
        <f t="shared" si="138"/>
        <v>1099.22</v>
      </c>
      <c r="AR806" s="182">
        <v>735.11</v>
      </c>
      <c r="AS806" s="182">
        <v>99.25</v>
      </c>
      <c r="AT806" s="182">
        <v>264.86</v>
      </c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182"/>
      <c r="BK806" s="182"/>
      <c r="BL806" s="182"/>
      <c r="BM806" s="182"/>
      <c r="BN806" s="182"/>
      <c r="BO806" s="182"/>
      <c r="BP806" s="182"/>
      <c r="BQ806" s="182"/>
      <c r="BR806" s="182"/>
      <c r="BS806" s="182"/>
      <c r="BT806" s="182"/>
      <c r="BU806" s="182"/>
      <c r="BV806" s="182"/>
      <c r="BW806" s="182"/>
      <c r="BX806" s="182"/>
      <c r="BY806" s="182"/>
      <c r="BZ806" s="182"/>
      <c r="CA806" s="182"/>
      <c r="CB806" s="185">
        <f t="shared" si="139"/>
        <v>1099.22</v>
      </c>
      <c r="CC806" s="185">
        <f t="shared" si="140"/>
        <v>0</v>
      </c>
      <c r="CD806" s="185">
        <f t="shared" si="141"/>
        <v>1165</v>
      </c>
      <c r="CE806" s="185"/>
    </row>
    <row r="807" spans="2:83" s="197" customFormat="1" ht="56.25" x14ac:dyDescent="0.3">
      <c r="B807" s="182">
        <v>2561</v>
      </c>
      <c r="C807" s="182">
        <v>1166</v>
      </c>
      <c r="D807" s="182" t="s">
        <v>78</v>
      </c>
      <c r="E807" s="181" t="s">
        <v>4852</v>
      </c>
      <c r="F807" s="182"/>
      <c r="G807" s="182">
        <v>7841.09</v>
      </c>
      <c r="H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2"/>
      <c r="AH807" s="182"/>
      <c r="AI807" s="182"/>
      <c r="AJ807" s="182"/>
      <c r="AK807" s="182"/>
      <c r="AL807" s="182"/>
      <c r="AM807" s="182"/>
      <c r="AN807" s="182"/>
      <c r="AO807" s="182"/>
      <c r="AP807" s="182"/>
      <c r="AQ807" s="185">
        <f t="shared" si="138"/>
        <v>7841.09</v>
      </c>
      <c r="AR807" s="182">
        <v>5241.03</v>
      </c>
      <c r="AS807" s="182">
        <v>710.8</v>
      </c>
      <c r="AT807" s="182">
        <v>1889.26</v>
      </c>
      <c r="AU807" s="182"/>
      <c r="AV807" s="182"/>
      <c r="AW807" s="182"/>
      <c r="AX807" s="182"/>
      <c r="AY807" s="182"/>
      <c r="AZ807" s="182"/>
      <c r="BA807" s="182"/>
      <c r="BB807" s="182"/>
      <c r="BC807" s="182"/>
      <c r="BD807" s="182"/>
      <c r="BE807" s="182"/>
      <c r="BF807" s="182"/>
      <c r="BG807" s="182"/>
      <c r="BH807" s="182"/>
      <c r="BI807" s="182"/>
      <c r="BJ807" s="182"/>
      <c r="BK807" s="182"/>
      <c r="BL807" s="182"/>
      <c r="BM807" s="182"/>
      <c r="BN807" s="182"/>
      <c r="BO807" s="182"/>
      <c r="BP807" s="182"/>
      <c r="BQ807" s="182"/>
      <c r="BR807" s="182"/>
      <c r="BS807" s="182"/>
      <c r="BT807" s="182"/>
      <c r="BU807" s="182"/>
      <c r="BV807" s="182"/>
      <c r="BW807" s="182"/>
      <c r="BX807" s="182"/>
      <c r="BY807" s="182"/>
      <c r="BZ807" s="182"/>
      <c r="CA807" s="182"/>
      <c r="CB807" s="185">
        <f t="shared" si="139"/>
        <v>7841.09</v>
      </c>
      <c r="CC807" s="185">
        <f t="shared" si="140"/>
        <v>0</v>
      </c>
      <c r="CD807" s="185">
        <f t="shared" si="141"/>
        <v>1166</v>
      </c>
      <c r="CE807" s="185"/>
    </row>
    <row r="808" spans="2:83" s="197" customFormat="1" ht="56.25" x14ac:dyDescent="0.3">
      <c r="B808" s="182">
        <v>2562</v>
      </c>
      <c r="C808" s="182">
        <v>1167</v>
      </c>
      <c r="D808" s="182" t="s">
        <v>78</v>
      </c>
      <c r="E808" s="181" t="s">
        <v>4852</v>
      </c>
      <c r="F808" s="182"/>
      <c r="G808" s="182">
        <v>2723.63</v>
      </c>
      <c r="H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  <c r="Z808" s="182"/>
      <c r="AA808" s="182"/>
      <c r="AB808" s="182"/>
      <c r="AC808" s="182"/>
      <c r="AD808" s="182"/>
      <c r="AE808" s="182"/>
      <c r="AF808" s="182"/>
      <c r="AG808" s="182"/>
      <c r="AH808" s="182"/>
      <c r="AI808" s="182"/>
      <c r="AJ808" s="182"/>
      <c r="AK808" s="182"/>
      <c r="AL808" s="182"/>
      <c r="AM808" s="182"/>
      <c r="AN808" s="182"/>
      <c r="AO808" s="182"/>
      <c r="AP808" s="182"/>
      <c r="AQ808" s="185">
        <f t="shared" si="138"/>
        <v>2723.63</v>
      </c>
      <c r="AR808" s="182">
        <v>1823.7</v>
      </c>
      <c r="AS808" s="182">
        <v>243.7</v>
      </c>
      <c r="AT808" s="182">
        <v>656.23</v>
      </c>
      <c r="AU808" s="182"/>
      <c r="AV808" s="182"/>
      <c r="AW808" s="182"/>
      <c r="AX808" s="182"/>
      <c r="AY808" s="182"/>
      <c r="AZ808" s="182"/>
      <c r="BA808" s="182"/>
      <c r="BB808" s="182"/>
      <c r="BC808" s="182"/>
      <c r="BD808" s="182"/>
      <c r="BE808" s="182"/>
      <c r="BF808" s="182"/>
      <c r="BG808" s="182"/>
      <c r="BH808" s="182"/>
      <c r="BI808" s="182"/>
      <c r="BJ808" s="182"/>
      <c r="BK808" s="182"/>
      <c r="BL808" s="182"/>
      <c r="BM808" s="182"/>
      <c r="BN808" s="182"/>
      <c r="BO808" s="182"/>
      <c r="BP808" s="182"/>
      <c r="BQ808" s="182"/>
      <c r="BR808" s="182"/>
      <c r="BS808" s="182"/>
      <c r="BT808" s="182"/>
      <c r="BU808" s="182"/>
      <c r="BV808" s="182"/>
      <c r="BW808" s="182"/>
      <c r="BX808" s="182"/>
      <c r="BY808" s="182"/>
      <c r="BZ808" s="182"/>
      <c r="CA808" s="182"/>
      <c r="CB808" s="185">
        <f t="shared" si="139"/>
        <v>2723.63</v>
      </c>
      <c r="CC808" s="185">
        <f t="shared" si="140"/>
        <v>0</v>
      </c>
      <c r="CD808" s="185">
        <f t="shared" si="141"/>
        <v>1167</v>
      </c>
      <c r="CE808" s="185"/>
    </row>
    <row r="809" spans="2:83" s="197" customFormat="1" ht="56.25" x14ac:dyDescent="0.3">
      <c r="B809" s="182">
        <v>2563</v>
      </c>
      <c r="C809" s="182">
        <v>1168</v>
      </c>
      <c r="D809" s="182" t="s">
        <v>78</v>
      </c>
      <c r="E809" s="181" t="s">
        <v>4852</v>
      </c>
      <c r="F809" s="182"/>
      <c r="G809" s="182">
        <v>476.33</v>
      </c>
      <c r="H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2"/>
      <c r="AH809" s="182"/>
      <c r="AI809" s="182"/>
      <c r="AJ809" s="182"/>
      <c r="AK809" s="182"/>
      <c r="AL809" s="182"/>
      <c r="AM809" s="182"/>
      <c r="AN809" s="182"/>
      <c r="AO809" s="182"/>
      <c r="AP809" s="182"/>
      <c r="AQ809" s="185">
        <f t="shared" si="138"/>
        <v>476.33</v>
      </c>
      <c r="AR809" s="182">
        <v>318.89</v>
      </c>
      <c r="AS809" s="182">
        <v>42.68</v>
      </c>
      <c r="AT809" s="182">
        <v>114.76</v>
      </c>
      <c r="AU809" s="182"/>
      <c r="AV809" s="182"/>
      <c r="AW809" s="182"/>
      <c r="AX809" s="182"/>
      <c r="AY809" s="182"/>
      <c r="AZ809" s="182"/>
      <c r="BA809" s="182"/>
      <c r="BB809" s="182"/>
      <c r="BC809" s="182"/>
      <c r="BD809" s="182"/>
      <c r="BE809" s="182"/>
      <c r="BF809" s="182"/>
      <c r="BG809" s="182"/>
      <c r="BH809" s="182"/>
      <c r="BI809" s="182"/>
      <c r="BJ809" s="182"/>
      <c r="BK809" s="182"/>
      <c r="BL809" s="182"/>
      <c r="BM809" s="182"/>
      <c r="BN809" s="182"/>
      <c r="BO809" s="182"/>
      <c r="BP809" s="182"/>
      <c r="BQ809" s="182"/>
      <c r="BR809" s="182"/>
      <c r="BS809" s="182"/>
      <c r="BT809" s="182"/>
      <c r="BU809" s="182"/>
      <c r="BV809" s="182"/>
      <c r="BW809" s="182"/>
      <c r="BX809" s="182"/>
      <c r="BY809" s="182"/>
      <c r="BZ809" s="182"/>
      <c r="CA809" s="182"/>
      <c r="CB809" s="185">
        <f t="shared" si="139"/>
        <v>476.33</v>
      </c>
      <c r="CC809" s="185">
        <f t="shared" si="140"/>
        <v>0</v>
      </c>
      <c r="CD809" s="185">
        <f t="shared" si="141"/>
        <v>1168</v>
      </c>
      <c r="CE809" s="185"/>
    </row>
    <row r="810" spans="2:83" s="197" customFormat="1" ht="56.25" x14ac:dyDescent="0.3">
      <c r="B810" s="182">
        <v>2564</v>
      </c>
      <c r="C810" s="182">
        <v>1169</v>
      </c>
      <c r="D810" s="182" t="s">
        <v>78</v>
      </c>
      <c r="E810" s="181" t="s">
        <v>4852</v>
      </c>
      <c r="F810" s="182"/>
      <c r="G810" s="182">
        <v>732.81</v>
      </c>
      <c r="H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2"/>
      <c r="AH810" s="182"/>
      <c r="AI810" s="182"/>
      <c r="AJ810" s="182"/>
      <c r="AK810" s="182"/>
      <c r="AL810" s="182"/>
      <c r="AM810" s="182"/>
      <c r="AN810" s="182"/>
      <c r="AO810" s="182"/>
      <c r="AP810" s="182"/>
      <c r="AQ810" s="185">
        <f t="shared" si="138"/>
        <v>732.81</v>
      </c>
      <c r="AR810" s="182">
        <v>490.2</v>
      </c>
      <c r="AS810" s="182">
        <v>66.05</v>
      </c>
      <c r="AT810" s="182">
        <v>176.56</v>
      </c>
      <c r="AU810" s="182"/>
      <c r="AV810" s="182"/>
      <c r="AW810" s="182"/>
      <c r="AX810" s="182"/>
      <c r="AY810" s="182"/>
      <c r="AZ810" s="182"/>
      <c r="BA810" s="182"/>
      <c r="BB810" s="182"/>
      <c r="BC810" s="182"/>
      <c r="BD810" s="182"/>
      <c r="BE810" s="182"/>
      <c r="BF810" s="182"/>
      <c r="BG810" s="182"/>
      <c r="BH810" s="182"/>
      <c r="BI810" s="182"/>
      <c r="BJ810" s="182"/>
      <c r="BK810" s="182"/>
      <c r="BL810" s="182"/>
      <c r="BM810" s="182"/>
      <c r="BN810" s="182"/>
      <c r="BO810" s="182"/>
      <c r="BP810" s="182"/>
      <c r="BQ810" s="182"/>
      <c r="BR810" s="182"/>
      <c r="BS810" s="182"/>
      <c r="BT810" s="182"/>
      <c r="BU810" s="182"/>
      <c r="BV810" s="182"/>
      <c r="BW810" s="182"/>
      <c r="BX810" s="182"/>
      <c r="BY810" s="182"/>
      <c r="BZ810" s="182"/>
      <c r="CA810" s="182"/>
      <c r="CB810" s="185">
        <f t="shared" si="139"/>
        <v>732.81</v>
      </c>
      <c r="CC810" s="185">
        <f t="shared" si="140"/>
        <v>0</v>
      </c>
      <c r="CD810" s="185">
        <f t="shared" si="141"/>
        <v>1169</v>
      </c>
      <c r="CE810" s="185"/>
    </row>
    <row r="811" spans="2:83" s="197" customFormat="1" ht="56.25" x14ac:dyDescent="0.3">
      <c r="B811" s="182">
        <v>2565</v>
      </c>
      <c r="C811" s="182">
        <v>1170</v>
      </c>
      <c r="D811" s="182" t="s">
        <v>78</v>
      </c>
      <c r="E811" s="181" t="s">
        <v>4852</v>
      </c>
      <c r="F811" s="182"/>
      <c r="G811" s="182">
        <v>732.81</v>
      </c>
      <c r="H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  <c r="Z811" s="182"/>
      <c r="AA811" s="182"/>
      <c r="AB811" s="182"/>
      <c r="AC811" s="182"/>
      <c r="AD811" s="182"/>
      <c r="AE811" s="182"/>
      <c r="AF811" s="182"/>
      <c r="AG811" s="182"/>
      <c r="AH811" s="182"/>
      <c r="AI811" s="182"/>
      <c r="AJ811" s="182"/>
      <c r="AK811" s="182"/>
      <c r="AL811" s="182"/>
      <c r="AM811" s="182"/>
      <c r="AN811" s="182"/>
      <c r="AO811" s="182"/>
      <c r="AP811" s="182"/>
      <c r="AQ811" s="185">
        <f t="shared" si="138"/>
        <v>732.81</v>
      </c>
      <c r="AR811" s="182">
        <v>490.2</v>
      </c>
      <c r="AS811" s="182">
        <v>66.05</v>
      </c>
      <c r="AT811" s="182">
        <v>176.56</v>
      </c>
      <c r="AU811" s="182"/>
      <c r="AV811" s="182"/>
      <c r="AW811" s="182"/>
      <c r="AX811" s="182"/>
      <c r="AY811" s="182"/>
      <c r="AZ811" s="182"/>
      <c r="BA811" s="182"/>
      <c r="BB811" s="182"/>
      <c r="BC811" s="182"/>
      <c r="BD811" s="182"/>
      <c r="BE811" s="182"/>
      <c r="BF811" s="182"/>
      <c r="BG811" s="182"/>
      <c r="BH811" s="182"/>
      <c r="BI811" s="182"/>
      <c r="BJ811" s="182"/>
      <c r="BK811" s="182"/>
      <c r="BL811" s="182"/>
      <c r="BM811" s="182"/>
      <c r="BN811" s="182"/>
      <c r="BO811" s="182"/>
      <c r="BP811" s="182"/>
      <c r="BQ811" s="182"/>
      <c r="BR811" s="182"/>
      <c r="BS811" s="182"/>
      <c r="BT811" s="182"/>
      <c r="BU811" s="182"/>
      <c r="BV811" s="182"/>
      <c r="BW811" s="182"/>
      <c r="BX811" s="182"/>
      <c r="BY811" s="182"/>
      <c r="BZ811" s="182"/>
      <c r="CA811" s="182"/>
      <c r="CB811" s="185">
        <f t="shared" si="139"/>
        <v>732.81</v>
      </c>
      <c r="CC811" s="185">
        <f t="shared" si="140"/>
        <v>0</v>
      </c>
      <c r="CD811" s="185">
        <f t="shared" si="141"/>
        <v>1170</v>
      </c>
      <c r="CE811" s="185"/>
    </row>
    <row r="812" spans="2:83" s="197" customFormat="1" ht="37.5" x14ac:dyDescent="0.3">
      <c r="B812" s="182">
        <v>2567</v>
      </c>
      <c r="C812" s="182">
        <v>1171</v>
      </c>
      <c r="D812" s="182" t="s">
        <v>78</v>
      </c>
      <c r="E812" s="181" t="s">
        <v>4853</v>
      </c>
      <c r="F812" s="182"/>
      <c r="G812" s="182">
        <v>8852.3799999999992</v>
      </c>
      <c r="H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  <c r="Z812" s="182"/>
      <c r="AA812" s="182"/>
      <c r="AB812" s="182"/>
      <c r="AC812" s="182"/>
      <c r="AD812" s="182"/>
      <c r="AE812" s="182"/>
      <c r="AF812" s="182"/>
      <c r="AG812" s="182"/>
      <c r="AH812" s="182"/>
      <c r="AI812" s="182"/>
      <c r="AJ812" s="182"/>
      <c r="AK812" s="182"/>
      <c r="AL812" s="182"/>
      <c r="AM812" s="182"/>
      <c r="AN812" s="182"/>
      <c r="AO812" s="182"/>
      <c r="AP812" s="182"/>
      <c r="AQ812" s="185">
        <f t="shared" si="138"/>
        <v>8852.3799999999992</v>
      </c>
      <c r="AR812" s="182">
        <v>5920.75</v>
      </c>
      <c r="AS812" s="182">
        <f>43.75+755</f>
        <v>798.75</v>
      </c>
      <c r="AT812" s="182">
        <v>2132.88</v>
      </c>
      <c r="AU812" s="182"/>
      <c r="AV812" s="182"/>
      <c r="AW812" s="182"/>
      <c r="AX812" s="182"/>
      <c r="AY812" s="182"/>
      <c r="AZ812" s="182"/>
      <c r="BA812" s="182"/>
      <c r="BB812" s="182"/>
      <c r="BC812" s="182"/>
      <c r="BD812" s="182"/>
      <c r="BE812" s="182"/>
      <c r="BF812" s="182"/>
      <c r="BG812" s="182"/>
      <c r="BH812" s="182"/>
      <c r="BI812" s="182"/>
      <c r="BJ812" s="182"/>
      <c r="BK812" s="182"/>
      <c r="BL812" s="182"/>
      <c r="BM812" s="182"/>
      <c r="BN812" s="182"/>
      <c r="BO812" s="182"/>
      <c r="BP812" s="182"/>
      <c r="BQ812" s="182"/>
      <c r="BR812" s="182"/>
      <c r="BS812" s="182"/>
      <c r="BT812" s="182"/>
      <c r="BU812" s="182"/>
      <c r="BV812" s="182"/>
      <c r="BW812" s="182"/>
      <c r="BX812" s="182"/>
      <c r="BY812" s="182"/>
      <c r="BZ812" s="182"/>
      <c r="CA812" s="182"/>
      <c r="CB812" s="185">
        <f t="shared" si="139"/>
        <v>8852.380000000001</v>
      </c>
      <c r="CC812" s="185">
        <f t="shared" si="140"/>
        <v>0</v>
      </c>
      <c r="CD812" s="185">
        <f t="shared" si="141"/>
        <v>1171</v>
      </c>
      <c r="CE812" s="185"/>
    </row>
    <row r="813" spans="2:83" s="197" customFormat="1" ht="56.25" x14ac:dyDescent="0.3">
      <c r="B813" s="182">
        <v>2566</v>
      </c>
      <c r="C813" s="182">
        <v>1172</v>
      </c>
      <c r="D813" s="182" t="s">
        <v>78</v>
      </c>
      <c r="E813" s="181" t="str">
        <f>+E811</f>
        <v>مكافاه الساده العاملين بالكليه اغسطس</v>
      </c>
      <c r="F813" s="182"/>
      <c r="G813" s="182">
        <v>156504.31</v>
      </c>
      <c r="H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  <c r="Z813" s="182"/>
      <c r="AA813" s="182"/>
      <c r="AB813" s="182"/>
      <c r="AC813" s="182"/>
      <c r="AD813" s="182"/>
      <c r="AE813" s="182"/>
      <c r="AF813" s="182"/>
      <c r="AG813" s="182"/>
      <c r="AH813" s="182"/>
      <c r="AI813" s="182"/>
      <c r="AJ813" s="182"/>
      <c r="AK813" s="182"/>
      <c r="AL813" s="182"/>
      <c r="AM813" s="182"/>
      <c r="AN813" s="182"/>
      <c r="AO813" s="182"/>
      <c r="AP813" s="182"/>
      <c r="AQ813" s="185">
        <f t="shared" si="138"/>
        <v>156504.31</v>
      </c>
      <c r="AR813" s="182">
        <v>104261.24</v>
      </c>
      <c r="AS813" s="182">
        <v>14109.08</v>
      </c>
      <c r="AT813" s="182">
        <v>38133.99</v>
      </c>
      <c r="AU813" s="182"/>
      <c r="AV813" s="182"/>
      <c r="AW813" s="182"/>
      <c r="AX813" s="182"/>
      <c r="AY813" s="182"/>
      <c r="AZ813" s="182"/>
      <c r="BA813" s="182"/>
      <c r="BB813" s="182"/>
      <c r="BC813" s="182"/>
      <c r="BD813" s="182"/>
      <c r="BE813" s="182"/>
      <c r="BF813" s="182"/>
      <c r="BG813" s="182"/>
      <c r="BH813" s="182"/>
      <c r="BI813" s="182"/>
      <c r="BJ813" s="182"/>
      <c r="BK813" s="182"/>
      <c r="BL813" s="182"/>
      <c r="BM813" s="182"/>
      <c r="BN813" s="182"/>
      <c r="BO813" s="182"/>
      <c r="BP813" s="182"/>
      <c r="BQ813" s="182"/>
      <c r="BR813" s="182"/>
      <c r="BS813" s="182"/>
      <c r="BT813" s="182"/>
      <c r="BU813" s="182"/>
      <c r="BV813" s="182"/>
      <c r="BW813" s="182"/>
      <c r="BX813" s="182"/>
      <c r="BY813" s="182"/>
      <c r="BZ813" s="182"/>
      <c r="CA813" s="182"/>
      <c r="CB813" s="185">
        <f t="shared" si="139"/>
        <v>156504.31</v>
      </c>
      <c r="CC813" s="185">
        <f t="shared" si="140"/>
        <v>0</v>
      </c>
      <c r="CD813" s="185">
        <f t="shared" si="141"/>
        <v>1172</v>
      </c>
      <c r="CE813" s="185"/>
    </row>
    <row r="814" spans="2:83" s="197" customFormat="1" ht="37.5" x14ac:dyDescent="0.3">
      <c r="B814" s="182">
        <v>2568</v>
      </c>
      <c r="C814" s="182">
        <v>1173</v>
      </c>
      <c r="D814" s="182" t="s">
        <v>78</v>
      </c>
      <c r="E814" s="181" t="str">
        <f>+E812</f>
        <v>مكافاه البيان اغسطس</v>
      </c>
      <c r="F814" s="182"/>
      <c r="G814" s="182">
        <v>23270.03</v>
      </c>
      <c r="H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  <c r="Z814" s="182"/>
      <c r="AA814" s="182"/>
      <c r="AB814" s="182"/>
      <c r="AC814" s="182"/>
      <c r="AD814" s="182"/>
      <c r="AE814" s="182"/>
      <c r="AF814" s="182"/>
      <c r="AG814" s="182"/>
      <c r="AH814" s="182"/>
      <c r="AI814" s="182"/>
      <c r="AJ814" s="182"/>
      <c r="AK814" s="182"/>
      <c r="AL814" s="182"/>
      <c r="AM814" s="182"/>
      <c r="AN814" s="182"/>
      <c r="AO814" s="182"/>
      <c r="AP814" s="182"/>
      <c r="AQ814" s="185">
        <f t="shared" si="138"/>
        <v>23270.03</v>
      </c>
      <c r="AR814" s="182">
        <v>15710.15</v>
      </c>
      <c r="AS814" s="182">
        <v>2119.29</v>
      </c>
      <c r="AT814" s="182">
        <v>5440.59</v>
      </c>
      <c r="AU814" s="182"/>
      <c r="AV814" s="182"/>
      <c r="AW814" s="182"/>
      <c r="AX814" s="182"/>
      <c r="AY814" s="182"/>
      <c r="AZ814" s="182"/>
      <c r="BA814" s="182"/>
      <c r="BB814" s="182"/>
      <c r="BC814" s="182"/>
      <c r="BD814" s="182"/>
      <c r="BE814" s="182"/>
      <c r="BF814" s="182"/>
      <c r="BG814" s="182"/>
      <c r="BH814" s="182"/>
      <c r="BI814" s="182"/>
      <c r="BJ814" s="182"/>
      <c r="BK814" s="182"/>
      <c r="BL814" s="182"/>
      <c r="BM814" s="182"/>
      <c r="BN814" s="182"/>
      <c r="BO814" s="182"/>
      <c r="BP814" s="182"/>
      <c r="BQ814" s="182"/>
      <c r="BR814" s="182"/>
      <c r="BS814" s="182"/>
      <c r="BT814" s="182"/>
      <c r="BU814" s="182"/>
      <c r="BV814" s="182"/>
      <c r="BW814" s="182"/>
      <c r="BX814" s="182"/>
      <c r="BY814" s="182"/>
      <c r="BZ814" s="182"/>
      <c r="CA814" s="182"/>
      <c r="CB814" s="185">
        <f t="shared" si="139"/>
        <v>23270.03</v>
      </c>
      <c r="CC814" s="185">
        <f t="shared" si="140"/>
        <v>0</v>
      </c>
      <c r="CD814" s="185">
        <f t="shared" si="141"/>
        <v>1173</v>
      </c>
      <c r="CE814" s="185"/>
    </row>
    <row r="815" spans="2:83" s="197" customFormat="1" ht="56.25" x14ac:dyDescent="0.3">
      <c r="B815" s="182">
        <v>2569</v>
      </c>
      <c r="C815" s="182">
        <v>1174</v>
      </c>
      <c r="D815" s="182" t="s">
        <v>78</v>
      </c>
      <c r="E815" s="181" t="str">
        <f>+E813</f>
        <v>مكافاه الساده العاملين بالكليه اغسطس</v>
      </c>
      <c r="F815" s="182"/>
      <c r="G815" s="182">
        <v>84556.479999999996</v>
      </c>
      <c r="H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2"/>
      <c r="AH815" s="182"/>
      <c r="AI815" s="182"/>
      <c r="AJ815" s="182"/>
      <c r="AK815" s="182"/>
      <c r="AL815" s="182"/>
      <c r="AM815" s="182"/>
      <c r="AN815" s="182"/>
      <c r="AO815" s="182"/>
      <c r="AP815" s="182"/>
      <c r="AQ815" s="185">
        <f t="shared" si="138"/>
        <v>84556.479999999996</v>
      </c>
      <c r="AR815" s="182">
        <v>57286.34</v>
      </c>
      <c r="AS815" s="182">
        <v>7608.18</v>
      </c>
      <c r="AT815" s="182">
        <v>19661.96</v>
      </c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182"/>
      <c r="BK815" s="182"/>
      <c r="BL815" s="182"/>
      <c r="BM815" s="182"/>
      <c r="BN815" s="182"/>
      <c r="BO815" s="182"/>
      <c r="BP815" s="182"/>
      <c r="BQ815" s="182"/>
      <c r="BR815" s="182"/>
      <c r="BS815" s="182"/>
      <c r="BT815" s="182"/>
      <c r="BU815" s="182"/>
      <c r="BV815" s="182"/>
      <c r="BW815" s="182"/>
      <c r="BX815" s="182"/>
      <c r="BY815" s="182"/>
      <c r="BZ815" s="182"/>
      <c r="CA815" s="182"/>
      <c r="CB815" s="185">
        <f t="shared" si="139"/>
        <v>84556.479999999996</v>
      </c>
      <c r="CC815" s="185">
        <f t="shared" si="140"/>
        <v>0</v>
      </c>
      <c r="CD815" s="185">
        <f t="shared" si="141"/>
        <v>1174</v>
      </c>
      <c r="CE815" s="185"/>
    </row>
    <row r="816" spans="2:83" s="197" customFormat="1" ht="75" x14ac:dyDescent="0.3">
      <c r="B816" s="182">
        <v>3075</v>
      </c>
      <c r="C816" s="182">
        <v>1175</v>
      </c>
      <c r="D816" s="182" t="s">
        <v>121</v>
      </c>
      <c r="E816" s="181" t="s">
        <v>4854</v>
      </c>
      <c r="F816" s="182"/>
      <c r="G816" s="182"/>
      <c r="H816" s="182">
        <v>88441.2</v>
      </c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2"/>
      <c r="AH816" s="182"/>
      <c r="AI816" s="182"/>
      <c r="AJ816" s="182"/>
      <c r="AK816" s="182"/>
      <c r="AL816" s="182"/>
      <c r="AM816" s="182"/>
      <c r="AN816" s="182"/>
      <c r="AO816" s="182"/>
      <c r="AP816" s="182"/>
      <c r="AQ816" s="185">
        <f t="shared" si="138"/>
        <v>88441.2</v>
      </c>
      <c r="AR816" s="182">
        <v>80861.149999999994</v>
      </c>
      <c r="AS816" s="182">
        <f>565.25+1695.75+36</f>
        <v>2297</v>
      </c>
      <c r="AT816" s="182"/>
      <c r="AU816" s="182">
        <v>5</v>
      </c>
      <c r="AV816" s="182"/>
      <c r="AW816" s="182"/>
      <c r="AX816" s="182"/>
      <c r="AY816" s="182"/>
      <c r="AZ816" s="182"/>
      <c r="BA816" s="182"/>
      <c r="BB816" s="182"/>
      <c r="BC816" s="182"/>
      <c r="BD816" s="182"/>
      <c r="BE816" s="182">
        <v>775.8</v>
      </c>
      <c r="BF816" s="182">
        <v>80</v>
      </c>
      <c r="BG816" s="182"/>
      <c r="BH816" s="182"/>
      <c r="BI816" s="182">
        <v>4422.25</v>
      </c>
      <c r="BJ816" s="182"/>
      <c r="BK816" s="182"/>
      <c r="BL816" s="182"/>
      <c r="BM816" s="182"/>
      <c r="BN816" s="182"/>
      <c r="BO816" s="182"/>
      <c r="BP816" s="182"/>
      <c r="BQ816" s="182"/>
      <c r="BR816" s="182"/>
      <c r="BS816" s="182"/>
      <c r="BT816" s="182"/>
      <c r="BU816" s="182"/>
      <c r="BV816" s="182"/>
      <c r="BW816" s="182"/>
      <c r="BX816" s="182"/>
      <c r="BY816" s="182"/>
      <c r="BZ816" s="182"/>
      <c r="CA816" s="182"/>
      <c r="CB816" s="185">
        <f t="shared" si="139"/>
        <v>88441.2</v>
      </c>
      <c r="CC816" s="185">
        <f t="shared" si="140"/>
        <v>0</v>
      </c>
      <c r="CD816" s="185">
        <f t="shared" si="141"/>
        <v>1175</v>
      </c>
      <c r="CE816" s="185"/>
    </row>
    <row r="817" spans="2:83" s="197" customFormat="1" ht="75" x14ac:dyDescent="0.3">
      <c r="B817" s="182">
        <v>2639</v>
      </c>
      <c r="C817" s="182">
        <v>1176</v>
      </c>
      <c r="D817" s="182" t="s">
        <v>121</v>
      </c>
      <c r="E817" s="181" t="s">
        <v>4855</v>
      </c>
      <c r="F817" s="182"/>
      <c r="G817" s="182"/>
      <c r="H817" s="182">
        <v>324.2</v>
      </c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  <c r="Z817" s="182"/>
      <c r="AA817" s="182"/>
      <c r="AB817" s="182"/>
      <c r="AC817" s="182"/>
      <c r="AD817" s="182"/>
      <c r="AE817" s="182"/>
      <c r="AF817" s="182"/>
      <c r="AG817" s="182"/>
      <c r="AH817" s="182"/>
      <c r="AI817" s="182"/>
      <c r="AJ817" s="182"/>
      <c r="AK817" s="182"/>
      <c r="AL817" s="182"/>
      <c r="AM817" s="182"/>
      <c r="AN817" s="182"/>
      <c r="AO817" s="182"/>
      <c r="AP817" s="182"/>
      <c r="AQ817" s="185">
        <f t="shared" si="138"/>
        <v>324.2</v>
      </c>
      <c r="AR817" s="182">
        <v>324.2</v>
      </c>
      <c r="AS817" s="182"/>
      <c r="AT817" s="182"/>
      <c r="AU817" s="182"/>
      <c r="AV817" s="182"/>
      <c r="AW817" s="182"/>
      <c r="AX817" s="182"/>
      <c r="AY817" s="182"/>
      <c r="AZ817" s="182"/>
      <c r="BA817" s="182"/>
      <c r="BB817" s="182"/>
      <c r="BC817" s="182"/>
      <c r="BD817" s="182"/>
      <c r="BE817" s="182"/>
      <c r="BF817" s="182"/>
      <c r="BG817" s="182"/>
      <c r="BH817" s="182"/>
      <c r="BI817" s="182"/>
      <c r="BJ817" s="182"/>
      <c r="BK817" s="182"/>
      <c r="BL817" s="182"/>
      <c r="BM817" s="182"/>
      <c r="BN817" s="182"/>
      <c r="BO817" s="182"/>
      <c r="BP817" s="182"/>
      <c r="BQ817" s="182"/>
      <c r="BR817" s="182"/>
      <c r="BS817" s="182"/>
      <c r="BT817" s="182"/>
      <c r="BU817" s="182"/>
      <c r="BV817" s="182"/>
      <c r="BW817" s="182"/>
      <c r="BX817" s="182"/>
      <c r="BY817" s="182"/>
      <c r="BZ817" s="182"/>
      <c r="CA817" s="182"/>
      <c r="CB817" s="185">
        <f t="shared" si="139"/>
        <v>324.2</v>
      </c>
      <c r="CC817" s="185">
        <f t="shared" si="140"/>
        <v>0</v>
      </c>
      <c r="CD817" s="185">
        <f t="shared" si="141"/>
        <v>1176</v>
      </c>
      <c r="CE817" s="185"/>
    </row>
    <row r="818" spans="2:83" s="197" customFormat="1" ht="18.75" x14ac:dyDescent="0.3">
      <c r="B818" s="185"/>
      <c r="C818" s="185"/>
      <c r="D818" s="185"/>
      <c r="E818" s="184" t="s">
        <v>4856</v>
      </c>
      <c r="F818" s="185"/>
      <c r="G818" s="185">
        <f t="shared" ref="G818:AL818" si="142">SUM(G791:G817)</f>
        <v>567353.59999999998</v>
      </c>
      <c r="H818" s="185">
        <f t="shared" si="142"/>
        <v>88765.4</v>
      </c>
      <c r="I818" s="185">
        <f t="shared" si="142"/>
        <v>0</v>
      </c>
      <c r="J818" s="185">
        <f t="shared" si="142"/>
        <v>0</v>
      </c>
      <c r="K818" s="185">
        <f t="shared" si="142"/>
        <v>0</v>
      </c>
      <c r="L818" s="185">
        <f t="shared" si="142"/>
        <v>0</v>
      </c>
      <c r="M818" s="185">
        <f t="shared" si="142"/>
        <v>0</v>
      </c>
      <c r="N818" s="185">
        <f t="shared" si="142"/>
        <v>0</v>
      </c>
      <c r="O818" s="185">
        <f t="shared" si="142"/>
        <v>0</v>
      </c>
      <c r="P818" s="185">
        <f t="shared" si="142"/>
        <v>0</v>
      </c>
      <c r="Q818" s="185">
        <f t="shared" si="142"/>
        <v>0</v>
      </c>
      <c r="R818" s="185">
        <f t="shared" si="142"/>
        <v>0</v>
      </c>
      <c r="S818" s="185">
        <f t="shared" si="142"/>
        <v>0</v>
      </c>
      <c r="T818" s="185">
        <f t="shared" si="142"/>
        <v>0</v>
      </c>
      <c r="U818" s="185">
        <f t="shared" si="142"/>
        <v>0</v>
      </c>
      <c r="V818" s="185">
        <f t="shared" si="142"/>
        <v>0</v>
      </c>
      <c r="W818" s="185">
        <f t="shared" si="142"/>
        <v>0</v>
      </c>
      <c r="X818" s="185">
        <f t="shared" si="142"/>
        <v>0</v>
      </c>
      <c r="Y818" s="185">
        <f t="shared" si="142"/>
        <v>0</v>
      </c>
      <c r="Z818" s="185">
        <f t="shared" si="142"/>
        <v>0</v>
      </c>
      <c r="AA818" s="185">
        <f t="shared" si="142"/>
        <v>0</v>
      </c>
      <c r="AB818" s="185">
        <f t="shared" si="142"/>
        <v>0</v>
      </c>
      <c r="AC818" s="185">
        <f t="shared" si="142"/>
        <v>0</v>
      </c>
      <c r="AD818" s="185">
        <f t="shared" si="142"/>
        <v>0</v>
      </c>
      <c r="AE818" s="185">
        <f t="shared" si="142"/>
        <v>0</v>
      </c>
      <c r="AF818" s="185">
        <f t="shared" si="142"/>
        <v>0</v>
      </c>
      <c r="AG818" s="185">
        <f t="shared" si="142"/>
        <v>0</v>
      </c>
      <c r="AH818" s="185">
        <f t="shared" si="142"/>
        <v>0</v>
      </c>
      <c r="AI818" s="185">
        <f t="shared" si="142"/>
        <v>0</v>
      </c>
      <c r="AJ818" s="185">
        <f t="shared" si="142"/>
        <v>0</v>
      </c>
      <c r="AK818" s="185">
        <f t="shared" si="142"/>
        <v>0</v>
      </c>
      <c r="AL818" s="185">
        <f t="shared" si="142"/>
        <v>0</v>
      </c>
      <c r="AM818" s="185">
        <f t="shared" ref="AM818:BR818" si="143">SUM(AM791:AM817)</f>
        <v>0</v>
      </c>
      <c r="AN818" s="185">
        <f t="shared" si="143"/>
        <v>0</v>
      </c>
      <c r="AO818" s="185">
        <f t="shared" si="143"/>
        <v>0</v>
      </c>
      <c r="AP818" s="185">
        <f t="shared" si="143"/>
        <v>0</v>
      </c>
      <c r="AQ818" s="185">
        <f t="shared" si="143"/>
        <v>656118.99999999988</v>
      </c>
      <c r="AR818" s="185">
        <f t="shared" si="143"/>
        <v>466635.74000000005</v>
      </c>
      <c r="AS818" s="185">
        <f t="shared" si="143"/>
        <v>53909.049999999996</v>
      </c>
      <c r="AT818" s="185">
        <f t="shared" si="143"/>
        <v>130291.15999999997</v>
      </c>
      <c r="AU818" s="185">
        <f t="shared" si="143"/>
        <v>5</v>
      </c>
      <c r="AV818" s="185">
        <f t="shared" si="143"/>
        <v>0</v>
      </c>
      <c r="AW818" s="185">
        <f t="shared" si="143"/>
        <v>0</v>
      </c>
      <c r="AX818" s="185">
        <f t="shared" si="143"/>
        <v>0</v>
      </c>
      <c r="AY818" s="185">
        <f t="shared" si="143"/>
        <v>0</v>
      </c>
      <c r="AZ818" s="185">
        <f t="shared" si="143"/>
        <v>0</v>
      </c>
      <c r="BA818" s="185">
        <f t="shared" si="143"/>
        <v>0</v>
      </c>
      <c r="BB818" s="185">
        <f t="shared" si="143"/>
        <v>0</v>
      </c>
      <c r="BC818" s="185">
        <f t="shared" si="143"/>
        <v>0</v>
      </c>
      <c r="BD818" s="185">
        <f t="shared" si="143"/>
        <v>0</v>
      </c>
      <c r="BE818" s="185">
        <f t="shared" si="143"/>
        <v>775.8</v>
      </c>
      <c r="BF818" s="185">
        <f t="shared" si="143"/>
        <v>80</v>
      </c>
      <c r="BG818" s="185">
        <f t="shared" si="143"/>
        <v>0</v>
      </c>
      <c r="BH818" s="185">
        <f t="shared" si="143"/>
        <v>0</v>
      </c>
      <c r="BI818" s="185">
        <f t="shared" si="143"/>
        <v>4422.25</v>
      </c>
      <c r="BJ818" s="185">
        <f t="shared" si="143"/>
        <v>0</v>
      </c>
      <c r="BK818" s="185">
        <f t="shared" si="143"/>
        <v>0</v>
      </c>
      <c r="BL818" s="185">
        <f t="shared" si="143"/>
        <v>0</v>
      </c>
      <c r="BM818" s="185">
        <f t="shared" si="143"/>
        <v>0</v>
      </c>
      <c r="BN818" s="185">
        <f t="shared" si="143"/>
        <v>0</v>
      </c>
      <c r="BO818" s="185">
        <f t="shared" si="143"/>
        <v>0</v>
      </c>
      <c r="BP818" s="185">
        <f t="shared" si="143"/>
        <v>0</v>
      </c>
      <c r="BQ818" s="185">
        <f t="shared" si="143"/>
        <v>0</v>
      </c>
      <c r="BR818" s="185">
        <f t="shared" si="143"/>
        <v>0</v>
      </c>
      <c r="BS818" s="185">
        <f t="shared" ref="BS818:CC818" si="144">SUM(BS791:BS817)</f>
        <v>0</v>
      </c>
      <c r="BT818" s="185">
        <f t="shared" si="144"/>
        <v>0</v>
      </c>
      <c r="BU818" s="185">
        <f t="shared" si="144"/>
        <v>0</v>
      </c>
      <c r="BV818" s="185">
        <f t="shared" si="144"/>
        <v>0</v>
      </c>
      <c r="BW818" s="185">
        <f t="shared" si="144"/>
        <v>0</v>
      </c>
      <c r="BX818" s="185">
        <f t="shared" si="144"/>
        <v>0</v>
      </c>
      <c r="BY818" s="185">
        <f t="shared" si="144"/>
        <v>0</v>
      </c>
      <c r="BZ818" s="185">
        <f t="shared" si="144"/>
        <v>0</v>
      </c>
      <c r="CA818" s="185">
        <f t="shared" si="144"/>
        <v>0</v>
      </c>
      <c r="CB818" s="185">
        <f t="shared" si="144"/>
        <v>656118.99999999988</v>
      </c>
      <c r="CC818" s="185">
        <f t="shared" si="144"/>
        <v>0</v>
      </c>
      <c r="CD818" s="185"/>
      <c r="CE818" s="185"/>
    </row>
    <row r="819" spans="2:83" s="197" customFormat="1" ht="37.5" x14ac:dyDescent="0.3">
      <c r="B819" s="182">
        <v>2120</v>
      </c>
      <c r="C819" s="182">
        <v>1177</v>
      </c>
      <c r="D819" s="182" t="s">
        <v>78</v>
      </c>
      <c r="E819" s="181" t="s">
        <v>4857</v>
      </c>
      <c r="F819" s="182"/>
      <c r="G819" s="182">
        <v>41.72</v>
      </c>
      <c r="H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2"/>
      <c r="AH819" s="182"/>
      <c r="AI819" s="182"/>
      <c r="AJ819" s="182"/>
      <c r="AK819" s="182"/>
      <c r="AL819" s="182"/>
      <c r="AM819" s="182"/>
      <c r="AN819" s="182"/>
      <c r="AO819" s="182"/>
      <c r="AP819" s="182"/>
      <c r="AQ819" s="185">
        <f t="shared" ref="AQ819:AQ850" si="145">SUM(G819:AP819)</f>
        <v>41.72</v>
      </c>
      <c r="AR819" s="182">
        <v>35.46</v>
      </c>
      <c r="AS819" s="182">
        <v>6.26</v>
      </c>
      <c r="AT819" s="182"/>
      <c r="AU819" s="182"/>
      <c r="AV819" s="182"/>
      <c r="AW819" s="182"/>
      <c r="AX819" s="182"/>
      <c r="AY819" s="182"/>
      <c r="AZ819" s="182"/>
      <c r="BA819" s="182"/>
      <c r="BB819" s="182"/>
      <c r="BC819" s="182"/>
      <c r="BD819" s="182"/>
      <c r="BE819" s="182"/>
      <c r="BF819" s="182"/>
      <c r="BG819" s="182"/>
      <c r="BH819" s="182"/>
      <c r="BI819" s="182"/>
      <c r="BJ819" s="182"/>
      <c r="BK819" s="182"/>
      <c r="BL819" s="182"/>
      <c r="BM819" s="182"/>
      <c r="BN819" s="182"/>
      <c r="BO819" s="182"/>
      <c r="BP819" s="182"/>
      <c r="BQ819" s="182"/>
      <c r="BR819" s="182"/>
      <c r="BS819" s="182"/>
      <c r="BT819" s="182"/>
      <c r="BU819" s="182"/>
      <c r="BV819" s="182"/>
      <c r="BW819" s="182"/>
      <c r="BX819" s="182"/>
      <c r="BY819" s="182"/>
      <c r="BZ819" s="182"/>
      <c r="CA819" s="182"/>
      <c r="CB819" s="185">
        <f t="shared" ref="CB819:CB850" si="146">SUM(AR819:CA819)</f>
        <v>41.72</v>
      </c>
      <c r="CC819" s="185">
        <f t="shared" ref="CC819:CC850" si="147">+CB819-AQ819</f>
        <v>0</v>
      </c>
      <c r="CD819" s="185">
        <f t="shared" ref="CD819:CD850" si="148">+C819</f>
        <v>1177</v>
      </c>
      <c r="CE819" s="185"/>
    </row>
    <row r="820" spans="2:83" s="197" customFormat="1" ht="37.5" x14ac:dyDescent="0.3">
      <c r="B820" s="182">
        <v>3162</v>
      </c>
      <c r="C820" s="182">
        <v>1178</v>
      </c>
      <c r="D820" s="182" t="s">
        <v>78</v>
      </c>
      <c r="E820" s="181" t="s">
        <v>4858</v>
      </c>
      <c r="F820" s="182"/>
      <c r="G820" s="182">
        <v>1200</v>
      </c>
      <c r="H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  <c r="Z820" s="182"/>
      <c r="AA820" s="182"/>
      <c r="AB820" s="182"/>
      <c r="AC820" s="182"/>
      <c r="AD820" s="182"/>
      <c r="AE820" s="182"/>
      <c r="AF820" s="182"/>
      <c r="AG820" s="182"/>
      <c r="AH820" s="182"/>
      <c r="AI820" s="182"/>
      <c r="AJ820" s="182"/>
      <c r="AK820" s="182"/>
      <c r="AL820" s="182"/>
      <c r="AM820" s="182"/>
      <c r="AN820" s="182"/>
      <c r="AO820" s="182"/>
      <c r="AP820" s="182"/>
      <c r="AQ820" s="185">
        <f t="shared" si="145"/>
        <v>1200</v>
      </c>
      <c r="AR820" s="182">
        <v>1071.3499999999999</v>
      </c>
      <c r="AS820" s="182">
        <v>128.65</v>
      </c>
      <c r="AT820" s="182"/>
      <c r="AU820" s="182"/>
      <c r="AV820" s="182"/>
      <c r="AW820" s="182"/>
      <c r="AX820" s="182"/>
      <c r="AY820" s="182"/>
      <c r="AZ820" s="182"/>
      <c r="BA820" s="182"/>
      <c r="BB820" s="182"/>
      <c r="BC820" s="182"/>
      <c r="BD820" s="182"/>
      <c r="BE820" s="182"/>
      <c r="BF820" s="182"/>
      <c r="BG820" s="182"/>
      <c r="BH820" s="182"/>
      <c r="BI820" s="182"/>
      <c r="BJ820" s="182"/>
      <c r="BK820" s="182"/>
      <c r="BL820" s="182"/>
      <c r="BM820" s="182"/>
      <c r="BN820" s="182"/>
      <c r="BO820" s="182"/>
      <c r="BP820" s="182"/>
      <c r="BQ820" s="182"/>
      <c r="BR820" s="182"/>
      <c r="BS820" s="182"/>
      <c r="BT820" s="182"/>
      <c r="BU820" s="182"/>
      <c r="BV820" s="182"/>
      <c r="BW820" s="182"/>
      <c r="BX820" s="182"/>
      <c r="BY820" s="182"/>
      <c r="BZ820" s="182"/>
      <c r="CA820" s="182"/>
      <c r="CB820" s="185">
        <f t="shared" si="146"/>
        <v>1200</v>
      </c>
      <c r="CC820" s="185">
        <f t="shared" si="147"/>
        <v>0</v>
      </c>
      <c r="CD820" s="185">
        <f t="shared" si="148"/>
        <v>1178</v>
      </c>
      <c r="CE820" s="185"/>
    </row>
    <row r="821" spans="2:83" s="197" customFormat="1" ht="37.5" x14ac:dyDescent="0.3">
      <c r="B821" s="182">
        <v>2532</v>
      </c>
      <c r="C821" s="182">
        <v>1179</v>
      </c>
      <c r="D821" s="182" t="s">
        <v>78</v>
      </c>
      <c r="E821" s="181" t="s">
        <v>4859</v>
      </c>
      <c r="F821" s="182"/>
      <c r="G821" s="182">
        <v>30415.63</v>
      </c>
      <c r="H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  <c r="Z821" s="182"/>
      <c r="AA821" s="182"/>
      <c r="AB821" s="182"/>
      <c r="AC821" s="182"/>
      <c r="AD821" s="182"/>
      <c r="AE821" s="182"/>
      <c r="AF821" s="182"/>
      <c r="AG821" s="182"/>
      <c r="AH821" s="182"/>
      <c r="AI821" s="182"/>
      <c r="AJ821" s="182"/>
      <c r="AK821" s="182"/>
      <c r="AL821" s="182"/>
      <c r="AM821" s="182"/>
      <c r="AN821" s="182"/>
      <c r="AO821" s="182"/>
      <c r="AP821" s="182"/>
      <c r="AQ821" s="185">
        <f t="shared" si="145"/>
        <v>30415.63</v>
      </c>
      <c r="AR821" s="182">
        <v>25461.37</v>
      </c>
      <c r="AS821" s="182">
        <v>3140.68</v>
      </c>
      <c r="AT821" s="182">
        <v>1813.58</v>
      </c>
      <c r="AU821" s="182"/>
      <c r="AV821" s="182"/>
      <c r="AW821" s="182"/>
      <c r="AX821" s="182"/>
      <c r="AY821" s="182"/>
      <c r="AZ821" s="182"/>
      <c r="BA821" s="182"/>
      <c r="BB821" s="182"/>
      <c r="BC821" s="182"/>
      <c r="BD821" s="182"/>
      <c r="BE821" s="182"/>
      <c r="BF821" s="182"/>
      <c r="BG821" s="182"/>
      <c r="BH821" s="182"/>
      <c r="BI821" s="182"/>
      <c r="BJ821" s="182"/>
      <c r="BK821" s="182"/>
      <c r="BL821" s="182"/>
      <c r="BM821" s="182"/>
      <c r="BN821" s="182"/>
      <c r="BO821" s="182"/>
      <c r="BP821" s="182"/>
      <c r="BQ821" s="182"/>
      <c r="BR821" s="182"/>
      <c r="BS821" s="182"/>
      <c r="BT821" s="182"/>
      <c r="BU821" s="182"/>
      <c r="BV821" s="182"/>
      <c r="BW821" s="182"/>
      <c r="BX821" s="182"/>
      <c r="BY821" s="182"/>
      <c r="BZ821" s="182"/>
      <c r="CA821" s="182"/>
      <c r="CB821" s="185">
        <f t="shared" si="146"/>
        <v>30415.629999999997</v>
      </c>
      <c r="CC821" s="185">
        <f t="shared" si="147"/>
        <v>0</v>
      </c>
      <c r="CD821" s="185">
        <f t="shared" si="148"/>
        <v>1179</v>
      </c>
      <c r="CE821" s="185"/>
    </row>
    <row r="822" spans="2:83" s="197" customFormat="1" ht="37.5" x14ac:dyDescent="0.3">
      <c r="B822" s="182">
        <v>2531</v>
      </c>
      <c r="C822" s="182">
        <v>1180</v>
      </c>
      <c r="D822" s="182" t="s">
        <v>78</v>
      </c>
      <c r="E822" s="181" t="s">
        <v>4859</v>
      </c>
      <c r="F822" s="182"/>
      <c r="G822" s="182">
        <v>2595.9</v>
      </c>
      <c r="H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  <c r="Z822" s="182"/>
      <c r="AA822" s="182"/>
      <c r="AB822" s="182"/>
      <c r="AC822" s="182"/>
      <c r="AD822" s="182"/>
      <c r="AE822" s="182"/>
      <c r="AF822" s="182"/>
      <c r="AG822" s="182"/>
      <c r="AH822" s="182"/>
      <c r="AI822" s="182"/>
      <c r="AJ822" s="182"/>
      <c r="AK822" s="182"/>
      <c r="AL822" s="182"/>
      <c r="AM822" s="182"/>
      <c r="AN822" s="182"/>
      <c r="AO822" s="182"/>
      <c r="AP822" s="182"/>
      <c r="AQ822" s="185">
        <f t="shared" si="145"/>
        <v>2595.9</v>
      </c>
      <c r="AR822" s="182">
        <v>1736.31</v>
      </c>
      <c r="AS822" s="182">
        <v>234.15</v>
      </c>
      <c r="AT822" s="182">
        <v>625.44000000000005</v>
      </c>
      <c r="AU822" s="182"/>
      <c r="AV822" s="182"/>
      <c r="AW822" s="182"/>
      <c r="AX822" s="182"/>
      <c r="AY822" s="182"/>
      <c r="AZ822" s="182"/>
      <c r="BA822" s="182"/>
      <c r="BB822" s="182"/>
      <c r="BC822" s="182"/>
      <c r="BD822" s="182"/>
      <c r="BE822" s="182"/>
      <c r="BF822" s="182"/>
      <c r="BG822" s="182"/>
      <c r="BH822" s="182"/>
      <c r="BI822" s="182"/>
      <c r="BJ822" s="182"/>
      <c r="BK822" s="182"/>
      <c r="BL822" s="182"/>
      <c r="BM822" s="182"/>
      <c r="BN822" s="182"/>
      <c r="BO822" s="182"/>
      <c r="BP822" s="182"/>
      <c r="BQ822" s="182"/>
      <c r="BR822" s="182"/>
      <c r="BS822" s="182"/>
      <c r="BT822" s="182"/>
      <c r="BU822" s="182"/>
      <c r="BV822" s="182"/>
      <c r="BW822" s="182"/>
      <c r="BX822" s="182"/>
      <c r="BY822" s="182"/>
      <c r="BZ822" s="182"/>
      <c r="CA822" s="182"/>
      <c r="CB822" s="185">
        <f t="shared" si="146"/>
        <v>2595.9</v>
      </c>
      <c r="CC822" s="185">
        <f t="shared" si="147"/>
        <v>0</v>
      </c>
      <c r="CD822" s="185">
        <f t="shared" si="148"/>
        <v>1180</v>
      </c>
      <c r="CE822" s="185"/>
    </row>
    <row r="823" spans="2:83" s="197" customFormat="1" ht="18.75" x14ac:dyDescent="0.3">
      <c r="B823" s="182"/>
      <c r="C823" s="182">
        <v>1181</v>
      </c>
      <c r="D823" s="182" t="s">
        <v>220</v>
      </c>
      <c r="E823" s="181"/>
      <c r="F823" s="182"/>
      <c r="G823" s="182"/>
      <c r="H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  <c r="Z823" s="182"/>
      <c r="AA823" s="182"/>
      <c r="AB823" s="182"/>
      <c r="AC823" s="182"/>
      <c r="AD823" s="182"/>
      <c r="AE823" s="182"/>
      <c r="AF823" s="182"/>
      <c r="AG823" s="182"/>
      <c r="AH823" s="182"/>
      <c r="AI823" s="182"/>
      <c r="AJ823" s="182"/>
      <c r="AK823" s="182"/>
      <c r="AL823" s="182"/>
      <c r="AM823" s="182"/>
      <c r="AN823" s="182"/>
      <c r="AO823" s="182"/>
      <c r="AP823" s="182"/>
      <c r="AQ823" s="185">
        <f t="shared" si="145"/>
        <v>0</v>
      </c>
      <c r="AR823" s="182"/>
      <c r="AS823" s="182"/>
      <c r="AT823" s="182"/>
      <c r="AU823" s="182"/>
      <c r="AV823" s="182"/>
      <c r="AW823" s="182"/>
      <c r="AX823" s="182"/>
      <c r="AY823" s="182"/>
      <c r="AZ823" s="182"/>
      <c r="BA823" s="182"/>
      <c r="BB823" s="182"/>
      <c r="BC823" s="182"/>
      <c r="BD823" s="182"/>
      <c r="BE823" s="182"/>
      <c r="BF823" s="182"/>
      <c r="BG823" s="182"/>
      <c r="BH823" s="182"/>
      <c r="BI823" s="182"/>
      <c r="BJ823" s="182"/>
      <c r="BK823" s="182"/>
      <c r="BL823" s="182"/>
      <c r="BM823" s="182"/>
      <c r="BN823" s="182"/>
      <c r="BO823" s="182"/>
      <c r="BP823" s="182"/>
      <c r="BQ823" s="182"/>
      <c r="BR823" s="182"/>
      <c r="BS823" s="182"/>
      <c r="BT823" s="182"/>
      <c r="BU823" s="182"/>
      <c r="BV823" s="182"/>
      <c r="BW823" s="182"/>
      <c r="BX823" s="182"/>
      <c r="BY823" s="182"/>
      <c r="BZ823" s="182"/>
      <c r="CA823" s="182"/>
      <c r="CB823" s="185">
        <f t="shared" si="146"/>
        <v>0</v>
      </c>
      <c r="CC823" s="185">
        <f t="shared" si="147"/>
        <v>0</v>
      </c>
      <c r="CD823" s="185">
        <f t="shared" si="148"/>
        <v>1181</v>
      </c>
      <c r="CE823" s="185"/>
    </row>
    <row r="824" spans="2:83" s="197" customFormat="1" ht="18.75" x14ac:dyDescent="0.3">
      <c r="B824" s="182"/>
      <c r="C824" s="182">
        <v>1182</v>
      </c>
      <c r="D824" s="182" t="s">
        <v>220</v>
      </c>
      <c r="E824" s="181"/>
      <c r="F824" s="182"/>
      <c r="G824" s="182"/>
      <c r="H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  <c r="Z824" s="182"/>
      <c r="AA824" s="182"/>
      <c r="AB824" s="182"/>
      <c r="AC824" s="182"/>
      <c r="AD824" s="182"/>
      <c r="AE824" s="182"/>
      <c r="AF824" s="182"/>
      <c r="AG824" s="182"/>
      <c r="AH824" s="182"/>
      <c r="AI824" s="182"/>
      <c r="AJ824" s="182"/>
      <c r="AK824" s="182"/>
      <c r="AL824" s="182"/>
      <c r="AM824" s="182"/>
      <c r="AN824" s="182"/>
      <c r="AO824" s="182"/>
      <c r="AP824" s="182"/>
      <c r="AQ824" s="185">
        <f t="shared" si="145"/>
        <v>0</v>
      </c>
      <c r="AR824" s="182"/>
      <c r="AS824" s="182"/>
      <c r="AT824" s="182"/>
      <c r="AU824" s="182"/>
      <c r="AV824" s="182"/>
      <c r="AW824" s="182"/>
      <c r="AX824" s="182"/>
      <c r="AY824" s="182"/>
      <c r="AZ824" s="182"/>
      <c r="BA824" s="182"/>
      <c r="BB824" s="182"/>
      <c r="BC824" s="182"/>
      <c r="BD824" s="182"/>
      <c r="BE824" s="182"/>
      <c r="BF824" s="182"/>
      <c r="BG824" s="182"/>
      <c r="BH824" s="182"/>
      <c r="BI824" s="182"/>
      <c r="BJ824" s="182"/>
      <c r="BK824" s="182"/>
      <c r="BL824" s="182"/>
      <c r="BM824" s="182"/>
      <c r="BN824" s="182"/>
      <c r="BO824" s="182"/>
      <c r="BP824" s="182"/>
      <c r="BQ824" s="182"/>
      <c r="BR824" s="182"/>
      <c r="BS824" s="182"/>
      <c r="BT824" s="182"/>
      <c r="BU824" s="182"/>
      <c r="BV824" s="182"/>
      <c r="BW824" s="182"/>
      <c r="BX824" s="182"/>
      <c r="BY824" s="182"/>
      <c r="BZ824" s="182"/>
      <c r="CA824" s="182"/>
      <c r="CB824" s="185">
        <f t="shared" si="146"/>
        <v>0</v>
      </c>
      <c r="CC824" s="185">
        <f t="shared" si="147"/>
        <v>0</v>
      </c>
      <c r="CD824" s="185">
        <f t="shared" si="148"/>
        <v>1182</v>
      </c>
      <c r="CE824" s="185"/>
    </row>
    <row r="825" spans="2:83" s="197" customFormat="1" ht="18.75" x14ac:dyDescent="0.3">
      <c r="B825" s="182"/>
      <c r="C825" s="182">
        <v>1183</v>
      </c>
      <c r="D825" s="182" t="s">
        <v>220</v>
      </c>
      <c r="E825" s="181"/>
      <c r="F825" s="182"/>
      <c r="G825" s="182"/>
      <c r="H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  <c r="Z825" s="182"/>
      <c r="AA825" s="182"/>
      <c r="AB825" s="182"/>
      <c r="AC825" s="182"/>
      <c r="AD825" s="182"/>
      <c r="AE825" s="182"/>
      <c r="AF825" s="182"/>
      <c r="AG825" s="182"/>
      <c r="AH825" s="182"/>
      <c r="AI825" s="182"/>
      <c r="AJ825" s="182"/>
      <c r="AK825" s="182"/>
      <c r="AL825" s="182"/>
      <c r="AM825" s="182"/>
      <c r="AN825" s="182"/>
      <c r="AO825" s="182"/>
      <c r="AP825" s="182"/>
      <c r="AQ825" s="185">
        <f t="shared" si="145"/>
        <v>0</v>
      </c>
      <c r="AR825" s="182"/>
      <c r="AS825" s="182"/>
      <c r="AT825" s="182"/>
      <c r="AU825" s="182"/>
      <c r="AV825" s="182"/>
      <c r="AW825" s="182"/>
      <c r="AX825" s="182"/>
      <c r="AY825" s="182"/>
      <c r="AZ825" s="182"/>
      <c r="BA825" s="182"/>
      <c r="BB825" s="182"/>
      <c r="BC825" s="182"/>
      <c r="BD825" s="182"/>
      <c r="BE825" s="182"/>
      <c r="BF825" s="182"/>
      <c r="BG825" s="182"/>
      <c r="BH825" s="182"/>
      <c r="BI825" s="182"/>
      <c r="BJ825" s="182"/>
      <c r="BK825" s="182"/>
      <c r="BL825" s="182"/>
      <c r="BM825" s="182"/>
      <c r="BN825" s="182"/>
      <c r="BO825" s="182"/>
      <c r="BP825" s="182"/>
      <c r="BQ825" s="182"/>
      <c r="BR825" s="182"/>
      <c r="BS825" s="182"/>
      <c r="BT825" s="182"/>
      <c r="BU825" s="182"/>
      <c r="BV825" s="182"/>
      <c r="BW825" s="182"/>
      <c r="BX825" s="182"/>
      <c r="BY825" s="182"/>
      <c r="BZ825" s="182"/>
      <c r="CA825" s="182"/>
      <c r="CB825" s="185">
        <f t="shared" si="146"/>
        <v>0</v>
      </c>
      <c r="CC825" s="185">
        <f t="shared" si="147"/>
        <v>0</v>
      </c>
      <c r="CD825" s="185">
        <f t="shared" si="148"/>
        <v>1183</v>
      </c>
      <c r="CE825" s="185"/>
    </row>
    <row r="826" spans="2:83" s="197" customFormat="1" ht="18.75" x14ac:dyDescent="0.3">
      <c r="B826" s="182"/>
      <c r="C826" s="182">
        <v>1184</v>
      </c>
      <c r="D826" s="182" t="s">
        <v>220</v>
      </c>
      <c r="E826" s="181"/>
      <c r="F826" s="182"/>
      <c r="G826" s="182"/>
      <c r="H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  <c r="Z826" s="182"/>
      <c r="AA826" s="182"/>
      <c r="AB826" s="182"/>
      <c r="AC826" s="182"/>
      <c r="AD826" s="182"/>
      <c r="AE826" s="182"/>
      <c r="AF826" s="182"/>
      <c r="AG826" s="182"/>
      <c r="AH826" s="182"/>
      <c r="AI826" s="182"/>
      <c r="AJ826" s="182"/>
      <c r="AK826" s="182"/>
      <c r="AL826" s="182"/>
      <c r="AM826" s="182"/>
      <c r="AN826" s="182"/>
      <c r="AO826" s="182"/>
      <c r="AP826" s="182"/>
      <c r="AQ826" s="185">
        <f t="shared" si="145"/>
        <v>0</v>
      </c>
      <c r="AR826" s="182"/>
      <c r="AS826" s="182"/>
      <c r="AT826" s="182"/>
      <c r="AU826" s="182"/>
      <c r="AV826" s="182"/>
      <c r="AW826" s="182"/>
      <c r="AX826" s="182"/>
      <c r="AY826" s="182"/>
      <c r="AZ826" s="182"/>
      <c r="BA826" s="182"/>
      <c r="BB826" s="182"/>
      <c r="BC826" s="182"/>
      <c r="BD826" s="182"/>
      <c r="BE826" s="182"/>
      <c r="BF826" s="182"/>
      <c r="BG826" s="182"/>
      <c r="BH826" s="182"/>
      <c r="BI826" s="182"/>
      <c r="BJ826" s="182"/>
      <c r="BK826" s="182"/>
      <c r="BL826" s="182"/>
      <c r="BM826" s="182"/>
      <c r="BN826" s="182"/>
      <c r="BO826" s="182"/>
      <c r="BP826" s="182"/>
      <c r="BQ826" s="182"/>
      <c r="BR826" s="182"/>
      <c r="BS826" s="182"/>
      <c r="BT826" s="182"/>
      <c r="BU826" s="182"/>
      <c r="BV826" s="182"/>
      <c r="BW826" s="182"/>
      <c r="BX826" s="182"/>
      <c r="BY826" s="182"/>
      <c r="BZ826" s="182"/>
      <c r="CA826" s="182"/>
      <c r="CB826" s="185">
        <f t="shared" si="146"/>
        <v>0</v>
      </c>
      <c r="CC826" s="185">
        <f t="shared" si="147"/>
        <v>0</v>
      </c>
      <c r="CD826" s="185">
        <f t="shared" si="148"/>
        <v>1184</v>
      </c>
      <c r="CE826" s="185"/>
    </row>
    <row r="827" spans="2:83" s="197" customFormat="1" ht="18.75" x14ac:dyDescent="0.3">
      <c r="B827" s="182"/>
      <c r="C827" s="182">
        <v>1185</v>
      </c>
      <c r="D827" s="182" t="s">
        <v>220</v>
      </c>
      <c r="E827" s="181"/>
      <c r="F827" s="182"/>
      <c r="G827" s="182"/>
      <c r="H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2"/>
      <c r="AH827" s="182"/>
      <c r="AI827" s="182"/>
      <c r="AJ827" s="182"/>
      <c r="AK827" s="182"/>
      <c r="AL827" s="182"/>
      <c r="AM827" s="182"/>
      <c r="AN827" s="182"/>
      <c r="AO827" s="182"/>
      <c r="AP827" s="182"/>
      <c r="AQ827" s="185">
        <f t="shared" si="145"/>
        <v>0</v>
      </c>
      <c r="AR827" s="182"/>
      <c r="AS827" s="182"/>
      <c r="AT827" s="182"/>
      <c r="AU827" s="182"/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/>
      <c r="BH827" s="182"/>
      <c r="BI827" s="182"/>
      <c r="BJ827" s="182"/>
      <c r="BK827" s="182"/>
      <c r="BL827" s="182"/>
      <c r="BM827" s="182"/>
      <c r="BN827" s="182"/>
      <c r="BO827" s="182"/>
      <c r="BP827" s="182"/>
      <c r="BQ827" s="182"/>
      <c r="BR827" s="182"/>
      <c r="BS827" s="182"/>
      <c r="BT827" s="182"/>
      <c r="BU827" s="182"/>
      <c r="BV827" s="182"/>
      <c r="BW827" s="182"/>
      <c r="BX827" s="182"/>
      <c r="BY827" s="182"/>
      <c r="BZ827" s="182"/>
      <c r="CA827" s="182"/>
      <c r="CB827" s="185">
        <f t="shared" si="146"/>
        <v>0</v>
      </c>
      <c r="CC827" s="185">
        <f t="shared" si="147"/>
        <v>0</v>
      </c>
      <c r="CD827" s="185">
        <f t="shared" si="148"/>
        <v>1185</v>
      </c>
      <c r="CE827" s="185"/>
    </row>
    <row r="828" spans="2:83" s="197" customFormat="1" ht="18.75" x14ac:dyDescent="0.3">
      <c r="B828" s="182"/>
      <c r="C828" s="182">
        <v>1186</v>
      </c>
      <c r="D828" s="182" t="s">
        <v>220</v>
      </c>
      <c r="E828" s="181"/>
      <c r="F828" s="182"/>
      <c r="G828" s="182"/>
      <c r="H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2"/>
      <c r="AH828" s="182"/>
      <c r="AI828" s="182"/>
      <c r="AJ828" s="182"/>
      <c r="AK828" s="182"/>
      <c r="AL828" s="182"/>
      <c r="AM828" s="182"/>
      <c r="AN828" s="182"/>
      <c r="AO828" s="182"/>
      <c r="AP828" s="182"/>
      <c r="AQ828" s="185">
        <f t="shared" si="145"/>
        <v>0</v>
      </c>
      <c r="AR828" s="182"/>
      <c r="AS828" s="182"/>
      <c r="AT828" s="182"/>
      <c r="AU828" s="182"/>
      <c r="AV828" s="182"/>
      <c r="AW828" s="182"/>
      <c r="AX828" s="182"/>
      <c r="AY828" s="182"/>
      <c r="AZ828" s="182"/>
      <c r="BA828" s="182"/>
      <c r="BB828" s="182"/>
      <c r="BC828" s="182"/>
      <c r="BD828" s="182"/>
      <c r="BE828" s="182"/>
      <c r="BF828" s="182"/>
      <c r="BG828" s="182"/>
      <c r="BH828" s="182"/>
      <c r="BI828" s="182"/>
      <c r="BJ828" s="182"/>
      <c r="BK828" s="182"/>
      <c r="BL828" s="182"/>
      <c r="BM828" s="182"/>
      <c r="BN828" s="182"/>
      <c r="BO828" s="182"/>
      <c r="BP828" s="182"/>
      <c r="BQ828" s="182"/>
      <c r="BR828" s="182"/>
      <c r="BS828" s="182"/>
      <c r="BT828" s="182"/>
      <c r="BU828" s="182"/>
      <c r="BV828" s="182"/>
      <c r="BW828" s="182"/>
      <c r="BX828" s="182"/>
      <c r="BY828" s="182"/>
      <c r="BZ828" s="182"/>
      <c r="CA828" s="182"/>
      <c r="CB828" s="185">
        <f t="shared" si="146"/>
        <v>0</v>
      </c>
      <c r="CC828" s="185">
        <f t="shared" si="147"/>
        <v>0</v>
      </c>
      <c r="CD828" s="185">
        <f t="shared" si="148"/>
        <v>1186</v>
      </c>
      <c r="CE828" s="185"/>
    </row>
    <row r="829" spans="2:83" s="197" customFormat="1" ht="37.5" x14ac:dyDescent="0.3">
      <c r="B829" s="182">
        <v>2526</v>
      </c>
      <c r="C829" s="182">
        <v>1187</v>
      </c>
      <c r="D829" s="182" t="s">
        <v>78</v>
      </c>
      <c r="E829" s="181" t="s">
        <v>4860</v>
      </c>
      <c r="F829" s="182"/>
      <c r="G829" s="182">
        <v>1562.5</v>
      </c>
      <c r="H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  <c r="Z829" s="182"/>
      <c r="AA829" s="182"/>
      <c r="AB829" s="182"/>
      <c r="AC829" s="182"/>
      <c r="AD829" s="182"/>
      <c r="AE829" s="182"/>
      <c r="AF829" s="182"/>
      <c r="AG829" s="182"/>
      <c r="AH829" s="182"/>
      <c r="AI829" s="182"/>
      <c r="AJ829" s="182"/>
      <c r="AK829" s="182"/>
      <c r="AL829" s="182"/>
      <c r="AM829" s="182"/>
      <c r="AN829" s="182"/>
      <c r="AO829" s="182"/>
      <c r="AP829" s="182"/>
      <c r="AQ829" s="185">
        <f t="shared" si="145"/>
        <v>1562.5</v>
      </c>
      <c r="AR829" s="182">
        <v>1394.9</v>
      </c>
      <c r="AS829" s="182">
        <v>167.6</v>
      </c>
      <c r="AT829" s="182"/>
      <c r="AU829" s="182"/>
      <c r="AV829" s="182"/>
      <c r="AW829" s="182"/>
      <c r="AX829" s="182"/>
      <c r="AY829" s="182"/>
      <c r="AZ829" s="182"/>
      <c r="BA829" s="182"/>
      <c r="BB829" s="182"/>
      <c r="BC829" s="182"/>
      <c r="BD829" s="182"/>
      <c r="BE829" s="182"/>
      <c r="BF829" s="182"/>
      <c r="BG829" s="182"/>
      <c r="BH829" s="182"/>
      <c r="BI829" s="182"/>
      <c r="BJ829" s="182"/>
      <c r="BK829" s="182"/>
      <c r="BL829" s="182"/>
      <c r="BM829" s="182"/>
      <c r="BN829" s="182"/>
      <c r="BO829" s="182"/>
      <c r="BP829" s="182"/>
      <c r="BQ829" s="182"/>
      <c r="BR829" s="182"/>
      <c r="BS829" s="182"/>
      <c r="BT829" s="182"/>
      <c r="BU829" s="182"/>
      <c r="BV829" s="182"/>
      <c r="BW829" s="182"/>
      <c r="BX829" s="182"/>
      <c r="BY829" s="182"/>
      <c r="BZ829" s="182"/>
      <c r="CA829" s="182"/>
      <c r="CB829" s="185">
        <f t="shared" si="146"/>
        <v>1562.5</v>
      </c>
      <c r="CC829" s="185">
        <f t="shared" si="147"/>
        <v>0</v>
      </c>
      <c r="CD829" s="185">
        <f t="shared" si="148"/>
        <v>1187</v>
      </c>
      <c r="CE829" s="185"/>
    </row>
    <row r="830" spans="2:83" s="197" customFormat="1" ht="37.5" x14ac:dyDescent="0.3">
      <c r="B830" s="182">
        <v>3058</v>
      </c>
      <c r="C830" s="182">
        <v>1188</v>
      </c>
      <c r="D830" s="182" t="s">
        <v>78</v>
      </c>
      <c r="E830" s="181" t="s">
        <v>4861</v>
      </c>
      <c r="F830" s="182"/>
      <c r="G830" s="182">
        <v>820.75</v>
      </c>
      <c r="H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  <c r="Z830" s="182"/>
      <c r="AA830" s="182"/>
      <c r="AB830" s="182"/>
      <c r="AC830" s="182"/>
      <c r="AD830" s="182"/>
      <c r="AE830" s="182"/>
      <c r="AF830" s="182"/>
      <c r="AG830" s="182"/>
      <c r="AH830" s="182"/>
      <c r="AI830" s="182"/>
      <c r="AJ830" s="182"/>
      <c r="AK830" s="182"/>
      <c r="AL830" s="182"/>
      <c r="AM830" s="182"/>
      <c r="AN830" s="182"/>
      <c r="AO830" s="182"/>
      <c r="AP830" s="182"/>
      <c r="AQ830" s="185">
        <f t="shared" si="145"/>
        <v>820.75</v>
      </c>
      <c r="AR830" s="182">
        <v>548.95000000000005</v>
      </c>
      <c r="AS830" s="182">
        <v>74.05</v>
      </c>
      <c r="AT830" s="182">
        <v>197.75</v>
      </c>
      <c r="AU830" s="182"/>
      <c r="AV830" s="182"/>
      <c r="AW830" s="182"/>
      <c r="AX830" s="182"/>
      <c r="AY830" s="182"/>
      <c r="AZ830" s="182"/>
      <c r="BA830" s="182"/>
      <c r="BB830" s="182"/>
      <c r="BC830" s="182"/>
      <c r="BD830" s="182"/>
      <c r="BE830" s="182"/>
      <c r="BF830" s="182"/>
      <c r="BG830" s="182"/>
      <c r="BH830" s="182"/>
      <c r="BI830" s="182"/>
      <c r="BJ830" s="182"/>
      <c r="BK830" s="182"/>
      <c r="BL830" s="182"/>
      <c r="BM830" s="182"/>
      <c r="BN830" s="182"/>
      <c r="BO830" s="182"/>
      <c r="BP830" s="182"/>
      <c r="BQ830" s="182"/>
      <c r="BR830" s="182"/>
      <c r="BS830" s="182"/>
      <c r="BT830" s="182"/>
      <c r="BU830" s="182"/>
      <c r="BV830" s="182"/>
      <c r="BW830" s="182"/>
      <c r="BX830" s="182"/>
      <c r="BY830" s="182"/>
      <c r="BZ830" s="182"/>
      <c r="CA830" s="182"/>
      <c r="CB830" s="185">
        <f t="shared" si="146"/>
        <v>820.75</v>
      </c>
      <c r="CC830" s="185">
        <f t="shared" si="147"/>
        <v>0</v>
      </c>
      <c r="CD830" s="185">
        <f t="shared" si="148"/>
        <v>1188</v>
      </c>
      <c r="CE830" s="185"/>
    </row>
    <row r="831" spans="2:83" s="197" customFormat="1" ht="37.5" x14ac:dyDescent="0.3">
      <c r="B831" s="182">
        <v>3190</v>
      </c>
      <c r="C831" s="182">
        <v>1189</v>
      </c>
      <c r="D831" s="182" t="s">
        <v>78</v>
      </c>
      <c r="E831" s="181" t="s">
        <v>4228</v>
      </c>
      <c r="F831" s="182"/>
      <c r="G831" s="182">
        <v>3370.96</v>
      </c>
      <c r="H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  <c r="Z831" s="182"/>
      <c r="AA831" s="182"/>
      <c r="AB831" s="182"/>
      <c r="AC831" s="182"/>
      <c r="AD831" s="182"/>
      <c r="AE831" s="182"/>
      <c r="AF831" s="182"/>
      <c r="AG831" s="182"/>
      <c r="AH831" s="182"/>
      <c r="AI831" s="182"/>
      <c r="AJ831" s="182"/>
      <c r="AK831" s="182"/>
      <c r="AL831" s="182"/>
      <c r="AM831" s="182"/>
      <c r="AN831" s="182"/>
      <c r="AO831" s="182"/>
      <c r="AP831" s="182"/>
      <c r="AQ831" s="185">
        <f t="shared" si="145"/>
        <v>3370.96</v>
      </c>
      <c r="AR831" s="182">
        <v>2251.5700000000002</v>
      </c>
      <c r="AS831" s="182">
        <f>287.5+19.65</f>
        <v>307.14999999999998</v>
      </c>
      <c r="AT831" s="182">
        <v>812.24</v>
      </c>
      <c r="AU831" s="182"/>
      <c r="AV831" s="182"/>
      <c r="AW831" s="182"/>
      <c r="AX831" s="182"/>
      <c r="AY831" s="182"/>
      <c r="AZ831" s="182"/>
      <c r="BA831" s="182"/>
      <c r="BB831" s="182"/>
      <c r="BC831" s="182"/>
      <c r="BD831" s="182"/>
      <c r="BE831" s="182"/>
      <c r="BF831" s="182"/>
      <c r="BG831" s="182"/>
      <c r="BH831" s="182"/>
      <c r="BI831" s="182"/>
      <c r="BJ831" s="182"/>
      <c r="BK831" s="182"/>
      <c r="BL831" s="182"/>
      <c r="BM831" s="182"/>
      <c r="BN831" s="182"/>
      <c r="BO831" s="182"/>
      <c r="BP831" s="182"/>
      <c r="BQ831" s="182"/>
      <c r="BR831" s="182"/>
      <c r="BS831" s="182"/>
      <c r="BT831" s="182"/>
      <c r="BU831" s="182"/>
      <c r="BV831" s="182"/>
      <c r="BW831" s="182"/>
      <c r="BX831" s="182"/>
      <c r="BY831" s="182"/>
      <c r="BZ831" s="182"/>
      <c r="CA831" s="182"/>
      <c r="CB831" s="185">
        <f t="shared" si="146"/>
        <v>3370.96</v>
      </c>
      <c r="CC831" s="185">
        <f t="shared" si="147"/>
        <v>0</v>
      </c>
      <c r="CD831" s="185">
        <f t="shared" si="148"/>
        <v>1189</v>
      </c>
      <c r="CE831" s="185"/>
    </row>
    <row r="832" spans="2:83" s="197" customFormat="1" ht="37.5" x14ac:dyDescent="0.3">
      <c r="B832" s="182">
        <v>3066</v>
      </c>
      <c r="C832" s="182">
        <v>1190</v>
      </c>
      <c r="D832" s="182" t="s">
        <v>118</v>
      </c>
      <c r="E832" s="181" t="s">
        <v>4862</v>
      </c>
      <c r="F832" s="182"/>
      <c r="G832" s="182">
        <v>1319.06</v>
      </c>
      <c r="H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  <c r="Z832" s="182"/>
      <c r="AA832" s="182"/>
      <c r="AB832" s="182"/>
      <c r="AC832" s="182"/>
      <c r="AD832" s="182"/>
      <c r="AE832" s="182"/>
      <c r="AF832" s="182"/>
      <c r="AG832" s="182"/>
      <c r="AH832" s="182"/>
      <c r="AI832" s="182"/>
      <c r="AJ832" s="182"/>
      <c r="AK832" s="182"/>
      <c r="AL832" s="182"/>
      <c r="AM832" s="182"/>
      <c r="AN832" s="182"/>
      <c r="AO832" s="182"/>
      <c r="AP832" s="182"/>
      <c r="AQ832" s="185">
        <f t="shared" si="145"/>
        <v>1319.06</v>
      </c>
      <c r="AR832" s="182">
        <v>880.69</v>
      </c>
      <c r="AS832" s="182">
        <f>112.5+8.06</f>
        <v>120.56</v>
      </c>
      <c r="AT832" s="182">
        <v>317.81</v>
      </c>
      <c r="AU832" s="182"/>
      <c r="AV832" s="182"/>
      <c r="AW832" s="182"/>
      <c r="AX832" s="182"/>
      <c r="AY832" s="182"/>
      <c r="AZ832" s="182"/>
      <c r="BA832" s="182"/>
      <c r="BB832" s="182"/>
      <c r="BC832" s="182"/>
      <c r="BD832" s="182"/>
      <c r="BE832" s="182"/>
      <c r="BF832" s="182"/>
      <c r="BG832" s="182"/>
      <c r="BH832" s="182"/>
      <c r="BI832" s="182"/>
      <c r="BJ832" s="182"/>
      <c r="BK832" s="182"/>
      <c r="BL832" s="182"/>
      <c r="BM832" s="182"/>
      <c r="BN832" s="182"/>
      <c r="BO832" s="182"/>
      <c r="BP832" s="182"/>
      <c r="BQ832" s="182"/>
      <c r="BR832" s="182"/>
      <c r="BS832" s="182"/>
      <c r="BT832" s="182"/>
      <c r="BU832" s="182"/>
      <c r="BV832" s="182"/>
      <c r="BW832" s="182"/>
      <c r="BX832" s="182"/>
      <c r="BY832" s="182"/>
      <c r="BZ832" s="182"/>
      <c r="CA832" s="182"/>
      <c r="CB832" s="185">
        <f t="shared" si="146"/>
        <v>1319.06</v>
      </c>
      <c r="CC832" s="185">
        <f t="shared" si="147"/>
        <v>0</v>
      </c>
      <c r="CD832" s="185">
        <f t="shared" si="148"/>
        <v>1190</v>
      </c>
      <c r="CE832" s="185"/>
    </row>
    <row r="833" spans="2:83" s="197" customFormat="1" ht="37.5" x14ac:dyDescent="0.3">
      <c r="B833" s="182">
        <v>2436</v>
      </c>
      <c r="C833" s="182">
        <v>1191</v>
      </c>
      <c r="D833" s="182" t="s">
        <v>4683</v>
      </c>
      <c r="E833" s="181" t="s">
        <v>4863</v>
      </c>
      <c r="F833" s="182"/>
      <c r="G833" s="182"/>
      <c r="H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>
        <v>145612.68</v>
      </c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2"/>
      <c r="AH833" s="182"/>
      <c r="AI833" s="182"/>
      <c r="AJ833" s="182"/>
      <c r="AK833" s="182"/>
      <c r="AL833" s="182"/>
      <c r="AM833" s="182"/>
      <c r="AN833" s="182"/>
      <c r="AO833" s="182"/>
      <c r="AP833" s="182"/>
      <c r="AQ833" s="185">
        <f t="shared" si="145"/>
        <v>145612.68</v>
      </c>
      <c r="AR833" s="182">
        <v>94836.13</v>
      </c>
      <c r="AS833" s="182">
        <v>13508.3</v>
      </c>
      <c r="AT833" s="182">
        <v>30932</v>
      </c>
      <c r="AU833" s="182">
        <v>6336.25</v>
      </c>
      <c r="AV833" s="182"/>
      <c r="AW833" s="182"/>
      <c r="AX833" s="182"/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182"/>
      <c r="BK833" s="182"/>
      <c r="BL833" s="182"/>
      <c r="BM833" s="182"/>
      <c r="BN833" s="182"/>
      <c r="BO833" s="182"/>
      <c r="BP833" s="182"/>
      <c r="BQ833" s="182"/>
      <c r="BR833" s="182"/>
      <c r="BS833" s="182"/>
      <c r="BT833" s="182"/>
      <c r="BU833" s="182"/>
      <c r="BV833" s="182"/>
      <c r="BW833" s="182"/>
      <c r="BX833" s="182"/>
      <c r="BY833" s="182"/>
      <c r="BZ833" s="182"/>
      <c r="CA833" s="182"/>
      <c r="CB833" s="185">
        <f t="shared" si="146"/>
        <v>145612.68</v>
      </c>
      <c r="CC833" s="185">
        <f t="shared" si="147"/>
        <v>0</v>
      </c>
      <c r="CD833" s="185">
        <f t="shared" si="148"/>
        <v>1191</v>
      </c>
      <c r="CE833" s="185"/>
    </row>
    <row r="834" spans="2:83" s="197" customFormat="1" ht="37.5" x14ac:dyDescent="0.3">
      <c r="B834" s="182">
        <v>2430</v>
      </c>
      <c r="C834" s="182">
        <v>1192</v>
      </c>
      <c r="D834" s="182" t="s">
        <v>4683</v>
      </c>
      <c r="E834" s="181" t="s">
        <v>4863</v>
      </c>
      <c r="F834" s="182"/>
      <c r="G834" s="182"/>
      <c r="H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>
        <v>8201.65</v>
      </c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2"/>
      <c r="AH834" s="182"/>
      <c r="AI834" s="182"/>
      <c r="AJ834" s="182"/>
      <c r="AK834" s="182"/>
      <c r="AL834" s="182"/>
      <c r="AM834" s="182"/>
      <c r="AN834" s="182"/>
      <c r="AO834" s="182"/>
      <c r="AP834" s="182"/>
      <c r="AQ834" s="185">
        <f t="shared" si="145"/>
        <v>8201.65</v>
      </c>
      <c r="AR834" s="182">
        <v>5133.45</v>
      </c>
      <c r="AS834" s="182">
        <v>742.35</v>
      </c>
      <c r="AT834" s="182">
        <v>1976.1</v>
      </c>
      <c r="AU834" s="182">
        <v>349.75</v>
      </c>
      <c r="AV834" s="182"/>
      <c r="AW834" s="182"/>
      <c r="AX834" s="182"/>
      <c r="AY834" s="182"/>
      <c r="AZ834" s="182"/>
      <c r="BA834" s="182"/>
      <c r="BB834" s="182"/>
      <c r="BC834" s="182"/>
      <c r="BD834" s="182"/>
      <c r="BE834" s="182"/>
      <c r="BF834" s="182"/>
      <c r="BG834" s="182"/>
      <c r="BH834" s="182"/>
      <c r="BI834" s="182"/>
      <c r="BJ834" s="182"/>
      <c r="BK834" s="182"/>
      <c r="BL834" s="182"/>
      <c r="BM834" s="182"/>
      <c r="BN834" s="182"/>
      <c r="BO834" s="182"/>
      <c r="BP834" s="182"/>
      <c r="BQ834" s="182"/>
      <c r="BR834" s="182"/>
      <c r="BS834" s="182"/>
      <c r="BT834" s="182"/>
      <c r="BU834" s="182"/>
      <c r="BV834" s="182"/>
      <c r="BW834" s="182"/>
      <c r="BX834" s="182"/>
      <c r="BY834" s="182"/>
      <c r="BZ834" s="182"/>
      <c r="CA834" s="182"/>
      <c r="CB834" s="185">
        <f t="shared" si="146"/>
        <v>8201.65</v>
      </c>
      <c r="CC834" s="185">
        <f t="shared" si="147"/>
        <v>0</v>
      </c>
      <c r="CD834" s="185">
        <f t="shared" si="148"/>
        <v>1192</v>
      </c>
      <c r="CE834" s="185"/>
    </row>
    <row r="835" spans="2:83" s="197" customFormat="1" ht="37.5" x14ac:dyDescent="0.3">
      <c r="B835" s="182">
        <v>2431</v>
      </c>
      <c r="C835" s="182">
        <v>1193</v>
      </c>
      <c r="D835" s="182" t="s">
        <v>4683</v>
      </c>
      <c r="E835" s="181" t="s">
        <v>4863</v>
      </c>
      <c r="F835" s="182"/>
      <c r="G835" s="182"/>
      <c r="H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>
        <v>1980</v>
      </c>
      <c r="X835" s="182"/>
      <c r="Y835" s="182"/>
      <c r="Z835" s="182"/>
      <c r="AA835" s="182"/>
      <c r="AB835" s="182"/>
      <c r="AC835" s="182"/>
      <c r="AD835" s="182"/>
      <c r="AE835" s="182"/>
      <c r="AF835" s="182"/>
      <c r="AG835" s="182"/>
      <c r="AH835" s="182"/>
      <c r="AI835" s="182"/>
      <c r="AJ835" s="182"/>
      <c r="AK835" s="182"/>
      <c r="AL835" s="182"/>
      <c r="AM835" s="182"/>
      <c r="AN835" s="182"/>
      <c r="AO835" s="182"/>
      <c r="AP835" s="182"/>
      <c r="AQ835" s="185">
        <f t="shared" si="145"/>
        <v>1980</v>
      </c>
      <c r="AR835" s="182">
        <v>1668.5</v>
      </c>
      <c r="AS835" s="182">
        <v>212.5</v>
      </c>
      <c r="AT835" s="182"/>
      <c r="AU835" s="182">
        <v>99</v>
      </c>
      <c r="AV835" s="182"/>
      <c r="AW835" s="182"/>
      <c r="AX835" s="182"/>
      <c r="AY835" s="182"/>
      <c r="AZ835" s="182"/>
      <c r="BA835" s="182"/>
      <c r="BB835" s="182"/>
      <c r="BC835" s="182"/>
      <c r="BD835" s="182"/>
      <c r="BE835" s="182"/>
      <c r="BF835" s="182"/>
      <c r="BG835" s="182"/>
      <c r="BH835" s="182"/>
      <c r="BI835" s="182"/>
      <c r="BJ835" s="182"/>
      <c r="BK835" s="182"/>
      <c r="BL835" s="182"/>
      <c r="BM835" s="182"/>
      <c r="BN835" s="182"/>
      <c r="BO835" s="182"/>
      <c r="BP835" s="182"/>
      <c r="BQ835" s="182"/>
      <c r="BR835" s="182"/>
      <c r="BS835" s="182"/>
      <c r="BT835" s="182"/>
      <c r="BU835" s="182"/>
      <c r="BV835" s="182"/>
      <c r="BW835" s="182"/>
      <c r="BX835" s="182"/>
      <c r="BY835" s="182"/>
      <c r="BZ835" s="182"/>
      <c r="CA835" s="182"/>
      <c r="CB835" s="185">
        <f t="shared" si="146"/>
        <v>1980</v>
      </c>
      <c r="CC835" s="185">
        <f t="shared" si="147"/>
        <v>0</v>
      </c>
      <c r="CD835" s="185">
        <f t="shared" si="148"/>
        <v>1193</v>
      </c>
      <c r="CE835" s="185"/>
    </row>
    <row r="836" spans="2:83" s="197" customFormat="1" ht="37.5" x14ac:dyDescent="0.3">
      <c r="B836" s="182">
        <v>2434</v>
      </c>
      <c r="C836" s="182">
        <v>1194</v>
      </c>
      <c r="D836" s="182" t="s">
        <v>4683</v>
      </c>
      <c r="E836" s="181" t="s">
        <v>4863</v>
      </c>
      <c r="F836" s="182"/>
      <c r="G836" s="182"/>
      <c r="H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>
        <v>116292.45</v>
      </c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2"/>
      <c r="AH836" s="182"/>
      <c r="AI836" s="182"/>
      <c r="AJ836" s="182"/>
      <c r="AK836" s="182"/>
      <c r="AL836" s="182"/>
      <c r="AM836" s="182"/>
      <c r="AN836" s="182"/>
      <c r="AO836" s="182"/>
      <c r="AP836" s="182"/>
      <c r="AQ836" s="185">
        <f t="shared" si="145"/>
        <v>116292.45</v>
      </c>
      <c r="AR836" s="182">
        <v>77494.64</v>
      </c>
      <c r="AS836" s="182">
        <v>10942.3</v>
      </c>
      <c r="AT836" s="182">
        <v>22735.01</v>
      </c>
      <c r="AU836" s="182">
        <v>5120.5</v>
      </c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182"/>
      <c r="BK836" s="182"/>
      <c r="BL836" s="182"/>
      <c r="BM836" s="182"/>
      <c r="BN836" s="182"/>
      <c r="BO836" s="182"/>
      <c r="BP836" s="182"/>
      <c r="BQ836" s="182"/>
      <c r="BR836" s="182"/>
      <c r="BS836" s="182"/>
      <c r="BT836" s="182"/>
      <c r="BU836" s="182"/>
      <c r="BV836" s="182"/>
      <c r="BW836" s="182"/>
      <c r="BX836" s="182"/>
      <c r="BY836" s="182"/>
      <c r="BZ836" s="182"/>
      <c r="CA836" s="182"/>
      <c r="CB836" s="185">
        <f t="shared" si="146"/>
        <v>116292.45</v>
      </c>
      <c r="CC836" s="185">
        <f t="shared" si="147"/>
        <v>0</v>
      </c>
      <c r="CD836" s="185">
        <f t="shared" si="148"/>
        <v>1194</v>
      </c>
      <c r="CE836" s="185"/>
    </row>
    <row r="837" spans="2:83" s="197" customFormat="1" ht="37.5" x14ac:dyDescent="0.3">
      <c r="B837" s="182">
        <v>3433</v>
      </c>
      <c r="C837" s="182">
        <v>1195</v>
      </c>
      <c r="D837" s="182" t="s">
        <v>4683</v>
      </c>
      <c r="E837" s="181" t="s">
        <v>4863</v>
      </c>
      <c r="F837" s="182"/>
      <c r="G837" s="182"/>
      <c r="H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>
        <v>2345</v>
      </c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2"/>
      <c r="AH837" s="182"/>
      <c r="AI837" s="182"/>
      <c r="AJ837" s="182"/>
      <c r="AK837" s="182"/>
      <c r="AL837" s="182"/>
      <c r="AM837" s="182"/>
      <c r="AN837" s="182"/>
      <c r="AO837" s="182"/>
      <c r="AP837" s="182"/>
      <c r="AQ837" s="185">
        <f t="shared" si="145"/>
        <v>2345</v>
      </c>
      <c r="AR837" s="182">
        <v>1468.2</v>
      </c>
      <c r="AS837" s="182">
        <v>211.8</v>
      </c>
      <c r="AT837" s="182">
        <v>565</v>
      </c>
      <c r="AU837" s="182">
        <v>100</v>
      </c>
      <c r="AV837" s="182"/>
      <c r="AW837" s="182"/>
      <c r="AX837" s="182"/>
      <c r="AY837" s="182"/>
      <c r="AZ837" s="182"/>
      <c r="BA837" s="182"/>
      <c r="BB837" s="182"/>
      <c r="BC837" s="182"/>
      <c r="BD837" s="182"/>
      <c r="BE837" s="182"/>
      <c r="BF837" s="182"/>
      <c r="BG837" s="182"/>
      <c r="BH837" s="182"/>
      <c r="BI837" s="182"/>
      <c r="BJ837" s="182"/>
      <c r="BK837" s="182"/>
      <c r="BL837" s="182"/>
      <c r="BM837" s="182"/>
      <c r="BN837" s="182"/>
      <c r="BO837" s="182"/>
      <c r="BP837" s="182"/>
      <c r="BQ837" s="182"/>
      <c r="BR837" s="182"/>
      <c r="BS837" s="182"/>
      <c r="BT837" s="182"/>
      <c r="BU837" s="182"/>
      <c r="BV837" s="182"/>
      <c r="BW837" s="182"/>
      <c r="BX837" s="182"/>
      <c r="BY837" s="182"/>
      <c r="BZ837" s="182"/>
      <c r="CA837" s="182"/>
      <c r="CB837" s="185">
        <f t="shared" si="146"/>
        <v>2345</v>
      </c>
      <c r="CC837" s="185">
        <f t="shared" si="147"/>
        <v>0</v>
      </c>
      <c r="CD837" s="185">
        <f t="shared" si="148"/>
        <v>1195</v>
      </c>
      <c r="CE837" s="185"/>
    </row>
    <row r="838" spans="2:83" s="197" customFormat="1" ht="37.5" x14ac:dyDescent="0.3">
      <c r="B838" s="182">
        <v>3432</v>
      </c>
      <c r="C838" s="182">
        <v>1196</v>
      </c>
      <c r="D838" s="182" t="s">
        <v>4683</v>
      </c>
      <c r="E838" s="181" t="s">
        <v>4863</v>
      </c>
      <c r="F838" s="182"/>
      <c r="G838" s="182"/>
      <c r="H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>
        <v>3611.3</v>
      </c>
      <c r="X838" s="182"/>
      <c r="Y838" s="182"/>
      <c r="Z838" s="182"/>
      <c r="AA838" s="182"/>
      <c r="AB838" s="182"/>
      <c r="AC838" s="182"/>
      <c r="AD838" s="182"/>
      <c r="AE838" s="182"/>
      <c r="AF838" s="182"/>
      <c r="AG838" s="182"/>
      <c r="AH838" s="182"/>
      <c r="AI838" s="182"/>
      <c r="AJ838" s="182"/>
      <c r="AK838" s="182"/>
      <c r="AL838" s="182"/>
      <c r="AM838" s="182"/>
      <c r="AN838" s="182"/>
      <c r="AO838" s="182"/>
      <c r="AP838" s="182"/>
      <c r="AQ838" s="185">
        <f t="shared" si="145"/>
        <v>3611.3</v>
      </c>
      <c r="AR838" s="182">
        <v>2259</v>
      </c>
      <c r="AS838" s="182">
        <v>328.2</v>
      </c>
      <c r="AT838" s="182">
        <v>870.1</v>
      </c>
      <c r="AU838" s="182">
        <v>154</v>
      </c>
      <c r="AV838" s="182"/>
      <c r="AW838" s="182"/>
      <c r="AX838" s="182"/>
      <c r="AY838" s="182"/>
      <c r="AZ838" s="182"/>
      <c r="BA838" s="182"/>
      <c r="BB838" s="182"/>
      <c r="BC838" s="182"/>
      <c r="BD838" s="182"/>
      <c r="BE838" s="182"/>
      <c r="BF838" s="182"/>
      <c r="BG838" s="182"/>
      <c r="BH838" s="182"/>
      <c r="BI838" s="182"/>
      <c r="BJ838" s="182"/>
      <c r="BK838" s="182"/>
      <c r="BL838" s="182"/>
      <c r="BM838" s="182"/>
      <c r="BN838" s="182"/>
      <c r="BO838" s="182"/>
      <c r="BP838" s="182"/>
      <c r="BQ838" s="182"/>
      <c r="BR838" s="182"/>
      <c r="BS838" s="182"/>
      <c r="BT838" s="182"/>
      <c r="BU838" s="182"/>
      <c r="BV838" s="182"/>
      <c r="BW838" s="182"/>
      <c r="BX838" s="182"/>
      <c r="BY838" s="182"/>
      <c r="BZ838" s="182"/>
      <c r="CA838" s="182"/>
      <c r="CB838" s="185">
        <f t="shared" si="146"/>
        <v>3611.2999999999997</v>
      </c>
      <c r="CC838" s="185">
        <f t="shared" si="147"/>
        <v>0</v>
      </c>
      <c r="CD838" s="185">
        <f t="shared" si="148"/>
        <v>1196</v>
      </c>
      <c r="CE838" s="185"/>
    </row>
    <row r="839" spans="2:83" s="197" customFormat="1" ht="37.5" x14ac:dyDescent="0.3">
      <c r="B839" s="182">
        <v>2444</v>
      </c>
      <c r="C839" s="182">
        <v>1197</v>
      </c>
      <c r="D839" s="182" t="s">
        <v>4683</v>
      </c>
      <c r="E839" s="181" t="s">
        <v>4863</v>
      </c>
      <c r="F839" s="182"/>
      <c r="G839" s="182"/>
      <c r="H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>
        <v>31727.85</v>
      </c>
      <c r="X839" s="182"/>
      <c r="Y839" s="182"/>
      <c r="Z839" s="182"/>
      <c r="AA839" s="182"/>
      <c r="AB839" s="182"/>
      <c r="AC839" s="182"/>
      <c r="AD839" s="182"/>
      <c r="AE839" s="182"/>
      <c r="AF839" s="182"/>
      <c r="AG839" s="182"/>
      <c r="AH839" s="182"/>
      <c r="AI839" s="182"/>
      <c r="AJ839" s="182"/>
      <c r="AK839" s="182"/>
      <c r="AL839" s="182"/>
      <c r="AM839" s="182"/>
      <c r="AN839" s="182"/>
      <c r="AO839" s="182"/>
      <c r="AP839" s="182"/>
      <c r="AQ839" s="185">
        <f t="shared" si="145"/>
        <v>31727.85</v>
      </c>
      <c r="AR839" s="182">
        <v>19825.25</v>
      </c>
      <c r="AS839" s="182">
        <v>2905.15</v>
      </c>
      <c r="AT839" s="182">
        <v>7644.4500000000007</v>
      </c>
      <c r="AU839" s="182">
        <v>1353</v>
      </c>
      <c r="AV839" s="182"/>
      <c r="AW839" s="182"/>
      <c r="AX839" s="182"/>
      <c r="AY839" s="182"/>
      <c r="AZ839" s="182"/>
      <c r="BA839" s="182"/>
      <c r="BB839" s="182"/>
      <c r="BC839" s="182"/>
      <c r="BD839" s="182"/>
      <c r="BE839" s="182"/>
      <c r="BF839" s="182"/>
      <c r="BG839" s="182"/>
      <c r="BH839" s="182"/>
      <c r="BI839" s="182"/>
      <c r="BJ839" s="182"/>
      <c r="BK839" s="182"/>
      <c r="BL839" s="182"/>
      <c r="BM839" s="182"/>
      <c r="BN839" s="182"/>
      <c r="BO839" s="182"/>
      <c r="BP839" s="182"/>
      <c r="BQ839" s="182"/>
      <c r="BR839" s="182"/>
      <c r="BS839" s="182"/>
      <c r="BT839" s="182"/>
      <c r="BU839" s="182"/>
      <c r="BV839" s="182"/>
      <c r="BW839" s="182"/>
      <c r="BX839" s="182"/>
      <c r="BY839" s="182"/>
      <c r="BZ839" s="182"/>
      <c r="CA839" s="182"/>
      <c r="CB839" s="185">
        <f t="shared" si="146"/>
        <v>31727.850000000002</v>
      </c>
      <c r="CC839" s="185">
        <f t="shared" si="147"/>
        <v>0</v>
      </c>
      <c r="CD839" s="185">
        <f t="shared" si="148"/>
        <v>1197</v>
      </c>
      <c r="CE839" s="185"/>
    </row>
    <row r="840" spans="2:83" s="197" customFormat="1" ht="37.5" x14ac:dyDescent="0.3">
      <c r="B840" s="182">
        <v>2443</v>
      </c>
      <c r="C840" s="182">
        <v>1198</v>
      </c>
      <c r="D840" s="182" t="s">
        <v>4683</v>
      </c>
      <c r="E840" s="181" t="s">
        <v>4864</v>
      </c>
      <c r="F840" s="182"/>
      <c r="G840" s="182"/>
      <c r="H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>
        <v>31516.81</v>
      </c>
      <c r="X840" s="182"/>
      <c r="Y840" s="182"/>
      <c r="Z840" s="182"/>
      <c r="AA840" s="182"/>
      <c r="AB840" s="182"/>
      <c r="AC840" s="182"/>
      <c r="AD840" s="182"/>
      <c r="AE840" s="182"/>
      <c r="AF840" s="182"/>
      <c r="AG840" s="182"/>
      <c r="AH840" s="182"/>
      <c r="AI840" s="182"/>
      <c r="AJ840" s="182"/>
      <c r="AK840" s="182"/>
      <c r="AL840" s="182"/>
      <c r="AM840" s="182"/>
      <c r="AN840" s="182"/>
      <c r="AO840" s="182"/>
      <c r="AP840" s="182"/>
      <c r="AQ840" s="185">
        <f t="shared" si="145"/>
        <v>31516.81</v>
      </c>
      <c r="AR840" s="182">
        <v>19693.150000000001</v>
      </c>
      <c r="AS840" s="182">
        <v>2886.05</v>
      </c>
      <c r="AT840" s="182">
        <v>7593.61</v>
      </c>
      <c r="AU840" s="182">
        <v>1344</v>
      </c>
      <c r="AV840" s="182"/>
      <c r="AW840" s="182"/>
      <c r="AX840" s="182"/>
      <c r="AY840" s="182"/>
      <c r="AZ840" s="182"/>
      <c r="BA840" s="182"/>
      <c r="BB840" s="182"/>
      <c r="BC840" s="182"/>
      <c r="BD840" s="182"/>
      <c r="BE840" s="182"/>
      <c r="BF840" s="182"/>
      <c r="BG840" s="182"/>
      <c r="BH840" s="182"/>
      <c r="BI840" s="182"/>
      <c r="BJ840" s="182"/>
      <c r="BK840" s="182"/>
      <c r="BL840" s="182"/>
      <c r="BM840" s="182"/>
      <c r="BN840" s="182"/>
      <c r="BO840" s="182"/>
      <c r="BP840" s="182"/>
      <c r="BQ840" s="182"/>
      <c r="BR840" s="182"/>
      <c r="BS840" s="182"/>
      <c r="BT840" s="182"/>
      <c r="BU840" s="182"/>
      <c r="BV840" s="182"/>
      <c r="BW840" s="182"/>
      <c r="BX840" s="182"/>
      <c r="BY840" s="182"/>
      <c r="BZ840" s="182"/>
      <c r="CA840" s="182"/>
      <c r="CB840" s="185">
        <f t="shared" si="146"/>
        <v>31516.81</v>
      </c>
      <c r="CC840" s="185">
        <f t="shared" si="147"/>
        <v>0</v>
      </c>
      <c r="CD840" s="185">
        <f t="shared" si="148"/>
        <v>1198</v>
      </c>
      <c r="CE840" s="185"/>
    </row>
    <row r="841" spans="2:83" s="197" customFormat="1" ht="37.5" x14ac:dyDescent="0.3">
      <c r="B841" s="182">
        <v>2441</v>
      </c>
      <c r="C841" s="182">
        <v>1199</v>
      </c>
      <c r="D841" s="182" t="s">
        <v>4683</v>
      </c>
      <c r="E841" s="181" t="s">
        <v>4864</v>
      </c>
      <c r="F841" s="182"/>
      <c r="G841" s="182"/>
      <c r="H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>
        <v>1354.24</v>
      </c>
      <c r="X841" s="182"/>
      <c r="Y841" s="182"/>
      <c r="Z841" s="182"/>
      <c r="AA841" s="182"/>
      <c r="AB841" s="182"/>
      <c r="AC841" s="182"/>
      <c r="AD841" s="182"/>
      <c r="AE841" s="182"/>
      <c r="AF841" s="182"/>
      <c r="AG841" s="182"/>
      <c r="AH841" s="182"/>
      <c r="AI841" s="182"/>
      <c r="AJ841" s="182"/>
      <c r="AK841" s="182"/>
      <c r="AL841" s="182"/>
      <c r="AM841" s="182"/>
      <c r="AN841" s="182"/>
      <c r="AO841" s="182"/>
      <c r="AP841" s="182"/>
      <c r="AQ841" s="185">
        <f t="shared" si="145"/>
        <v>1354.24</v>
      </c>
      <c r="AR841" s="182">
        <v>847.35</v>
      </c>
      <c r="AS841" s="182">
        <v>122.85</v>
      </c>
      <c r="AT841" s="182">
        <v>326.29000000000002</v>
      </c>
      <c r="AU841" s="182">
        <v>57.75</v>
      </c>
      <c r="AV841" s="182"/>
      <c r="AW841" s="182"/>
      <c r="AX841" s="182"/>
      <c r="AY841" s="182"/>
      <c r="AZ841" s="182"/>
      <c r="BA841" s="182"/>
      <c r="BB841" s="182"/>
      <c r="BC841" s="182"/>
      <c r="BD841" s="182"/>
      <c r="BE841" s="182"/>
      <c r="BF841" s="182"/>
      <c r="BG841" s="182"/>
      <c r="BH841" s="182"/>
      <c r="BI841" s="182"/>
      <c r="BJ841" s="182"/>
      <c r="BK841" s="182"/>
      <c r="BL841" s="182"/>
      <c r="BM841" s="182"/>
      <c r="BN841" s="182"/>
      <c r="BO841" s="182"/>
      <c r="BP841" s="182"/>
      <c r="BQ841" s="182"/>
      <c r="BR841" s="182"/>
      <c r="BS841" s="182"/>
      <c r="BT841" s="182"/>
      <c r="BU841" s="182"/>
      <c r="BV841" s="182"/>
      <c r="BW841" s="182"/>
      <c r="BX841" s="182"/>
      <c r="BY841" s="182"/>
      <c r="BZ841" s="182"/>
      <c r="CA841" s="182"/>
      <c r="CB841" s="185">
        <f t="shared" si="146"/>
        <v>1354.24</v>
      </c>
      <c r="CC841" s="185">
        <f t="shared" si="147"/>
        <v>0</v>
      </c>
      <c r="CD841" s="185">
        <f t="shared" si="148"/>
        <v>1199</v>
      </c>
      <c r="CE841" s="185"/>
    </row>
    <row r="842" spans="2:83" s="197" customFormat="1" ht="37.5" x14ac:dyDescent="0.3">
      <c r="B842" s="182">
        <v>2440</v>
      </c>
      <c r="C842" s="182">
        <v>1200</v>
      </c>
      <c r="D842" s="182" t="s">
        <v>4683</v>
      </c>
      <c r="E842" s="181" t="s">
        <v>4864</v>
      </c>
      <c r="F842" s="182"/>
      <c r="G842" s="182"/>
      <c r="H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>
        <v>82093.72</v>
      </c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2"/>
      <c r="AH842" s="182"/>
      <c r="AI842" s="182"/>
      <c r="AJ842" s="182"/>
      <c r="AK842" s="182"/>
      <c r="AL842" s="182"/>
      <c r="AM842" s="182"/>
      <c r="AN842" s="182"/>
      <c r="AO842" s="182"/>
      <c r="AP842" s="182"/>
      <c r="AQ842" s="185">
        <f t="shared" si="145"/>
        <v>82093.72</v>
      </c>
      <c r="AR842" s="182">
        <v>62847.48</v>
      </c>
      <c r="AS842" s="182">
        <v>8332.4500000000007</v>
      </c>
      <c r="AT842" s="182">
        <v>7023.54</v>
      </c>
      <c r="AU842" s="182">
        <v>3890.25</v>
      </c>
      <c r="AV842" s="182"/>
      <c r="AW842" s="182"/>
      <c r="AX842" s="182"/>
      <c r="AY842" s="182"/>
      <c r="AZ842" s="182"/>
      <c r="BA842" s="182"/>
      <c r="BB842" s="182"/>
      <c r="BC842" s="182"/>
      <c r="BD842" s="182"/>
      <c r="BE842" s="182"/>
      <c r="BF842" s="182"/>
      <c r="BG842" s="182"/>
      <c r="BH842" s="182"/>
      <c r="BI842" s="182"/>
      <c r="BJ842" s="182"/>
      <c r="BK842" s="182"/>
      <c r="BL842" s="182"/>
      <c r="BM842" s="182"/>
      <c r="BN842" s="182"/>
      <c r="BO842" s="182"/>
      <c r="BP842" s="182"/>
      <c r="BQ842" s="182"/>
      <c r="BR842" s="182"/>
      <c r="BS842" s="182"/>
      <c r="BT842" s="182"/>
      <c r="BU842" s="182"/>
      <c r="BV842" s="182"/>
      <c r="BW842" s="182"/>
      <c r="BX842" s="182"/>
      <c r="BY842" s="182"/>
      <c r="BZ842" s="182"/>
      <c r="CA842" s="182"/>
      <c r="CB842" s="185">
        <f t="shared" si="146"/>
        <v>82093.72</v>
      </c>
      <c r="CC842" s="185">
        <f t="shared" si="147"/>
        <v>0</v>
      </c>
      <c r="CD842" s="185">
        <f t="shared" si="148"/>
        <v>1200</v>
      </c>
      <c r="CE842" s="185"/>
    </row>
    <row r="843" spans="2:83" s="197" customFormat="1" ht="37.5" x14ac:dyDescent="0.3">
      <c r="B843" s="182">
        <v>2439</v>
      </c>
      <c r="C843" s="182">
        <v>1201</v>
      </c>
      <c r="D843" s="182" t="s">
        <v>4683</v>
      </c>
      <c r="E843" s="181" t="s">
        <v>4864</v>
      </c>
      <c r="F843" s="182"/>
      <c r="G843" s="182"/>
      <c r="H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>
        <v>5135.5600000000004</v>
      </c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2"/>
      <c r="AH843" s="182"/>
      <c r="AI843" s="182"/>
      <c r="AJ843" s="182"/>
      <c r="AK843" s="182"/>
      <c r="AL843" s="182"/>
      <c r="AM843" s="182"/>
      <c r="AN843" s="182"/>
      <c r="AO843" s="182"/>
      <c r="AP843" s="182"/>
      <c r="AQ843" s="185">
        <f t="shared" si="145"/>
        <v>5135.5600000000004</v>
      </c>
      <c r="AR843" s="182">
        <v>3215.05</v>
      </c>
      <c r="AS843" s="182">
        <v>464.15</v>
      </c>
      <c r="AT843" s="182">
        <v>1237.3599999999999</v>
      </c>
      <c r="AU843" s="182">
        <v>219</v>
      </c>
      <c r="AV843" s="182"/>
      <c r="AW843" s="182"/>
      <c r="AX843" s="182"/>
      <c r="AY843" s="182"/>
      <c r="AZ843" s="182"/>
      <c r="BA843" s="182"/>
      <c r="BB843" s="182"/>
      <c r="BC843" s="182"/>
      <c r="BD843" s="182"/>
      <c r="BE843" s="182"/>
      <c r="BF843" s="182"/>
      <c r="BG843" s="182"/>
      <c r="BH843" s="182"/>
      <c r="BI843" s="182"/>
      <c r="BJ843" s="182"/>
      <c r="BK843" s="182"/>
      <c r="BL843" s="182"/>
      <c r="BM843" s="182"/>
      <c r="BN843" s="182"/>
      <c r="BO843" s="182"/>
      <c r="BP843" s="182"/>
      <c r="BQ843" s="182"/>
      <c r="BR843" s="182"/>
      <c r="BS843" s="182"/>
      <c r="BT843" s="182"/>
      <c r="BU843" s="182"/>
      <c r="BV843" s="182"/>
      <c r="BW843" s="182"/>
      <c r="BX843" s="182"/>
      <c r="BY843" s="182"/>
      <c r="BZ843" s="182"/>
      <c r="CA843" s="182"/>
      <c r="CB843" s="185">
        <f t="shared" si="146"/>
        <v>5135.5600000000004</v>
      </c>
      <c r="CC843" s="185">
        <f t="shared" si="147"/>
        <v>0</v>
      </c>
      <c r="CD843" s="185">
        <f t="shared" si="148"/>
        <v>1201</v>
      </c>
      <c r="CE843" s="185"/>
    </row>
    <row r="844" spans="2:83" s="197" customFormat="1" ht="37.5" x14ac:dyDescent="0.3">
      <c r="B844" s="182">
        <v>4238</v>
      </c>
      <c r="C844" s="182">
        <v>1202</v>
      </c>
      <c r="D844" s="182" t="s">
        <v>4683</v>
      </c>
      <c r="E844" s="181" t="s">
        <v>4864</v>
      </c>
      <c r="F844" s="182"/>
      <c r="G844" s="182"/>
      <c r="H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>
        <v>1890</v>
      </c>
      <c r="X844" s="182"/>
      <c r="Y844" s="182"/>
      <c r="Z844" s="182"/>
      <c r="AA844" s="182"/>
      <c r="AB844" s="182"/>
      <c r="AC844" s="182"/>
      <c r="AD844" s="182"/>
      <c r="AE844" s="182"/>
      <c r="AF844" s="182"/>
      <c r="AG844" s="182"/>
      <c r="AH844" s="182"/>
      <c r="AI844" s="182"/>
      <c r="AJ844" s="182"/>
      <c r="AK844" s="182"/>
      <c r="AL844" s="182"/>
      <c r="AM844" s="182"/>
      <c r="AN844" s="182"/>
      <c r="AO844" s="182"/>
      <c r="AP844" s="182"/>
      <c r="AQ844" s="185">
        <f t="shared" si="145"/>
        <v>1890</v>
      </c>
      <c r="AR844" s="182">
        <v>1592.7</v>
      </c>
      <c r="AS844" s="182">
        <v>202.8</v>
      </c>
      <c r="AT844" s="182"/>
      <c r="AU844" s="182">
        <v>94.5</v>
      </c>
      <c r="AV844" s="182"/>
      <c r="AW844" s="182"/>
      <c r="AX844" s="182"/>
      <c r="AY844" s="182"/>
      <c r="AZ844" s="182"/>
      <c r="BA844" s="182"/>
      <c r="BB844" s="182"/>
      <c r="BC844" s="182"/>
      <c r="BD844" s="182"/>
      <c r="BE844" s="182"/>
      <c r="BF844" s="182"/>
      <c r="BG844" s="182"/>
      <c r="BH844" s="182"/>
      <c r="BI844" s="182"/>
      <c r="BJ844" s="182"/>
      <c r="BK844" s="182"/>
      <c r="BL844" s="182"/>
      <c r="BM844" s="182"/>
      <c r="BN844" s="182"/>
      <c r="BO844" s="182"/>
      <c r="BP844" s="182"/>
      <c r="BQ844" s="182"/>
      <c r="BR844" s="182"/>
      <c r="BS844" s="182"/>
      <c r="BT844" s="182"/>
      <c r="BU844" s="182"/>
      <c r="BV844" s="182"/>
      <c r="BW844" s="182"/>
      <c r="BX844" s="182"/>
      <c r="BY844" s="182"/>
      <c r="BZ844" s="182"/>
      <c r="CA844" s="182"/>
      <c r="CB844" s="185">
        <f t="shared" si="146"/>
        <v>1890</v>
      </c>
      <c r="CC844" s="185">
        <f t="shared" si="147"/>
        <v>0</v>
      </c>
      <c r="CD844" s="185">
        <f t="shared" si="148"/>
        <v>1202</v>
      </c>
      <c r="CE844" s="185"/>
    </row>
    <row r="845" spans="2:83" s="197" customFormat="1" ht="37.5" x14ac:dyDescent="0.3">
      <c r="B845" s="182">
        <v>2437</v>
      </c>
      <c r="C845" s="182">
        <v>1203</v>
      </c>
      <c r="D845" s="182" t="s">
        <v>4683</v>
      </c>
      <c r="E845" s="181" t="s">
        <v>4864</v>
      </c>
      <c r="F845" s="182"/>
      <c r="G845" s="182"/>
      <c r="H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>
        <v>1890</v>
      </c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2"/>
      <c r="AH845" s="182"/>
      <c r="AI845" s="182"/>
      <c r="AJ845" s="182"/>
      <c r="AK845" s="182"/>
      <c r="AL845" s="182"/>
      <c r="AM845" s="182"/>
      <c r="AN845" s="182"/>
      <c r="AO845" s="182"/>
      <c r="AP845" s="182"/>
      <c r="AQ845" s="185">
        <f t="shared" si="145"/>
        <v>1890</v>
      </c>
      <c r="AR845" s="182">
        <v>1592.7</v>
      </c>
      <c r="AS845" s="182">
        <v>202.8</v>
      </c>
      <c r="AT845" s="182"/>
      <c r="AU845" s="182">
        <v>94.5</v>
      </c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182"/>
      <c r="BK845" s="182"/>
      <c r="BL845" s="182"/>
      <c r="BM845" s="182"/>
      <c r="BN845" s="182"/>
      <c r="BO845" s="182"/>
      <c r="BP845" s="182"/>
      <c r="BQ845" s="182"/>
      <c r="BR845" s="182"/>
      <c r="BS845" s="182"/>
      <c r="BT845" s="182"/>
      <c r="BU845" s="182"/>
      <c r="BV845" s="182"/>
      <c r="BW845" s="182"/>
      <c r="BX845" s="182"/>
      <c r="BY845" s="182"/>
      <c r="BZ845" s="182"/>
      <c r="CA845" s="182"/>
      <c r="CB845" s="185">
        <f t="shared" si="146"/>
        <v>1890</v>
      </c>
      <c r="CC845" s="185">
        <f t="shared" si="147"/>
        <v>0</v>
      </c>
      <c r="CD845" s="185">
        <f t="shared" si="148"/>
        <v>1203</v>
      </c>
      <c r="CE845" s="185"/>
    </row>
    <row r="846" spans="2:83" s="197" customFormat="1" ht="37.5" x14ac:dyDescent="0.3">
      <c r="B846" s="182">
        <v>2442</v>
      </c>
      <c r="C846" s="182">
        <v>1204</v>
      </c>
      <c r="D846" s="182" t="s">
        <v>4683</v>
      </c>
      <c r="E846" s="181" t="s">
        <v>4864</v>
      </c>
      <c r="F846" s="182"/>
      <c r="G846" s="182"/>
      <c r="H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>
        <v>91190.16</v>
      </c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2"/>
      <c r="AH846" s="182"/>
      <c r="AI846" s="182"/>
      <c r="AJ846" s="182"/>
      <c r="AK846" s="182"/>
      <c r="AL846" s="182"/>
      <c r="AM846" s="182"/>
      <c r="AN846" s="182"/>
      <c r="AO846" s="182"/>
      <c r="AP846" s="182"/>
      <c r="AQ846" s="185">
        <f t="shared" si="145"/>
        <v>91190.16</v>
      </c>
      <c r="AR846" s="182">
        <v>61177.03</v>
      </c>
      <c r="AS846" s="182">
        <v>8584.25</v>
      </c>
      <c r="AT846" s="182">
        <v>17400.63</v>
      </c>
      <c r="AU846" s="182">
        <v>4028.25</v>
      </c>
      <c r="AV846" s="182"/>
      <c r="AW846" s="182"/>
      <c r="AX846" s="182"/>
      <c r="AY846" s="182"/>
      <c r="AZ846" s="182"/>
      <c r="BA846" s="182"/>
      <c r="BB846" s="182"/>
      <c r="BC846" s="182"/>
      <c r="BD846" s="182"/>
      <c r="BE846" s="182"/>
      <c r="BF846" s="182"/>
      <c r="BG846" s="182"/>
      <c r="BH846" s="182"/>
      <c r="BI846" s="182"/>
      <c r="BJ846" s="182"/>
      <c r="BK846" s="182"/>
      <c r="BL846" s="182"/>
      <c r="BM846" s="182"/>
      <c r="BN846" s="182"/>
      <c r="BO846" s="182"/>
      <c r="BP846" s="182"/>
      <c r="BQ846" s="182"/>
      <c r="BR846" s="182"/>
      <c r="BS846" s="182"/>
      <c r="BT846" s="182"/>
      <c r="BU846" s="182"/>
      <c r="BV846" s="182"/>
      <c r="BW846" s="182"/>
      <c r="BX846" s="182"/>
      <c r="BY846" s="182"/>
      <c r="BZ846" s="182"/>
      <c r="CA846" s="182"/>
      <c r="CB846" s="185">
        <f t="shared" si="146"/>
        <v>91190.16</v>
      </c>
      <c r="CC846" s="185">
        <f t="shared" si="147"/>
        <v>0</v>
      </c>
      <c r="CD846" s="185">
        <f t="shared" si="148"/>
        <v>1204</v>
      </c>
      <c r="CE846" s="185"/>
    </row>
    <row r="847" spans="2:83" s="197" customFormat="1" ht="56.25" x14ac:dyDescent="0.3">
      <c r="B847" s="182">
        <v>3112</v>
      </c>
      <c r="C847" s="182">
        <v>1205</v>
      </c>
      <c r="D847" s="182" t="s">
        <v>121</v>
      </c>
      <c r="E847" s="181" t="s">
        <v>548</v>
      </c>
      <c r="F847" s="182"/>
      <c r="G847" s="182">
        <v>19250</v>
      </c>
      <c r="H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  <c r="Z847" s="182"/>
      <c r="AA847" s="182"/>
      <c r="AB847" s="182"/>
      <c r="AC847" s="182"/>
      <c r="AD847" s="182"/>
      <c r="AE847" s="182"/>
      <c r="AF847" s="182"/>
      <c r="AG847" s="182"/>
      <c r="AH847" s="182"/>
      <c r="AI847" s="182"/>
      <c r="AJ847" s="182"/>
      <c r="AK847" s="182"/>
      <c r="AL847" s="182"/>
      <c r="AM847" s="182"/>
      <c r="AN847" s="182"/>
      <c r="AO847" s="182"/>
      <c r="AP847" s="182"/>
      <c r="AQ847" s="185">
        <f t="shared" si="145"/>
        <v>19250</v>
      </c>
      <c r="AR847" s="182">
        <v>17182.400000000001</v>
      </c>
      <c r="AS847" s="182">
        <v>2067.6</v>
      </c>
      <c r="AT847" s="182"/>
      <c r="AU847" s="182"/>
      <c r="AV847" s="182"/>
      <c r="AW847" s="182"/>
      <c r="AX847" s="182"/>
      <c r="AY847" s="182"/>
      <c r="AZ847" s="182"/>
      <c r="BA847" s="182"/>
      <c r="BB847" s="182"/>
      <c r="BC847" s="182"/>
      <c r="BD847" s="182"/>
      <c r="BE847" s="182"/>
      <c r="BF847" s="182"/>
      <c r="BG847" s="182"/>
      <c r="BH847" s="182"/>
      <c r="BI847" s="182"/>
      <c r="BJ847" s="182"/>
      <c r="BK847" s="182"/>
      <c r="BL847" s="182"/>
      <c r="BM847" s="182"/>
      <c r="BN847" s="182"/>
      <c r="BO847" s="182"/>
      <c r="BP847" s="182"/>
      <c r="BQ847" s="182"/>
      <c r="BR847" s="182"/>
      <c r="BS847" s="182"/>
      <c r="BT847" s="182"/>
      <c r="BU847" s="182"/>
      <c r="BV847" s="182"/>
      <c r="BW847" s="182"/>
      <c r="BX847" s="182"/>
      <c r="BY847" s="182"/>
      <c r="BZ847" s="182"/>
      <c r="CA847" s="182"/>
      <c r="CB847" s="185">
        <f t="shared" si="146"/>
        <v>19250</v>
      </c>
      <c r="CC847" s="185">
        <f t="shared" si="147"/>
        <v>0</v>
      </c>
      <c r="CD847" s="185">
        <f t="shared" si="148"/>
        <v>1205</v>
      </c>
      <c r="CE847" s="185"/>
    </row>
    <row r="848" spans="2:83" s="197" customFormat="1" ht="56.25" x14ac:dyDescent="0.3">
      <c r="B848" s="182">
        <v>3042</v>
      </c>
      <c r="C848" s="182">
        <v>1206</v>
      </c>
      <c r="D848" s="182" t="s">
        <v>121</v>
      </c>
      <c r="E848" s="181" t="s">
        <v>4865</v>
      </c>
      <c r="F848" s="182"/>
      <c r="G848" s="182">
        <v>5000</v>
      </c>
      <c r="H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  <c r="Z848" s="182"/>
      <c r="AA848" s="182"/>
      <c r="AB848" s="182"/>
      <c r="AC848" s="182"/>
      <c r="AD848" s="182"/>
      <c r="AE848" s="182"/>
      <c r="AF848" s="182"/>
      <c r="AG848" s="182"/>
      <c r="AH848" s="182"/>
      <c r="AI848" s="182"/>
      <c r="AJ848" s="182"/>
      <c r="AK848" s="182"/>
      <c r="AL848" s="182"/>
      <c r="AM848" s="182"/>
      <c r="AN848" s="182"/>
      <c r="AO848" s="182"/>
      <c r="AP848" s="182"/>
      <c r="AQ848" s="185">
        <f t="shared" si="145"/>
        <v>5000</v>
      </c>
      <c r="AR848" s="182">
        <v>4462.8500000000004</v>
      </c>
      <c r="AS848" s="182">
        <v>537.15</v>
      </c>
      <c r="AT848" s="182"/>
      <c r="AU848" s="182"/>
      <c r="AV848" s="182"/>
      <c r="AW848" s="182"/>
      <c r="AX848" s="182"/>
      <c r="AY848" s="182"/>
      <c r="AZ848" s="182"/>
      <c r="BA848" s="182"/>
      <c r="BB848" s="182"/>
      <c r="BC848" s="182"/>
      <c r="BD848" s="182"/>
      <c r="BE848" s="182"/>
      <c r="BF848" s="182"/>
      <c r="BG848" s="182"/>
      <c r="BH848" s="182"/>
      <c r="BI848" s="182"/>
      <c r="BJ848" s="182"/>
      <c r="BK848" s="182"/>
      <c r="BL848" s="182"/>
      <c r="BM848" s="182"/>
      <c r="BN848" s="182"/>
      <c r="BO848" s="182"/>
      <c r="BP848" s="182"/>
      <c r="BQ848" s="182"/>
      <c r="BR848" s="182"/>
      <c r="BS848" s="182"/>
      <c r="BT848" s="182"/>
      <c r="BU848" s="182"/>
      <c r="BV848" s="182"/>
      <c r="BW848" s="182"/>
      <c r="BX848" s="182"/>
      <c r="BY848" s="182"/>
      <c r="BZ848" s="182"/>
      <c r="CA848" s="182"/>
      <c r="CB848" s="185">
        <f t="shared" si="146"/>
        <v>5000</v>
      </c>
      <c r="CC848" s="185">
        <f t="shared" si="147"/>
        <v>0</v>
      </c>
      <c r="CD848" s="185">
        <f t="shared" si="148"/>
        <v>1206</v>
      </c>
      <c r="CE848" s="185"/>
    </row>
    <row r="849" spans="2:83" s="197" customFormat="1" ht="56.25" x14ac:dyDescent="0.3">
      <c r="B849" s="182">
        <v>3041</v>
      </c>
      <c r="C849" s="182">
        <v>1207</v>
      </c>
      <c r="D849" s="182" t="s">
        <v>121</v>
      </c>
      <c r="E849" s="181" t="s">
        <v>4865</v>
      </c>
      <c r="F849" s="182"/>
      <c r="G849" s="182">
        <v>57500</v>
      </c>
      <c r="H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  <c r="Z849" s="182"/>
      <c r="AA849" s="182"/>
      <c r="AB849" s="182"/>
      <c r="AC849" s="182"/>
      <c r="AD849" s="182"/>
      <c r="AE849" s="182"/>
      <c r="AF849" s="182"/>
      <c r="AG849" s="182"/>
      <c r="AH849" s="182"/>
      <c r="AI849" s="182"/>
      <c r="AJ849" s="182"/>
      <c r="AK849" s="182"/>
      <c r="AL849" s="182"/>
      <c r="AM849" s="182"/>
      <c r="AN849" s="182"/>
      <c r="AO849" s="182"/>
      <c r="AP849" s="182"/>
      <c r="AQ849" s="185">
        <f t="shared" si="145"/>
        <v>57500</v>
      </c>
      <c r="AR849" s="182">
        <v>51329.5</v>
      </c>
      <c r="AS849" s="182">
        <v>6170.5</v>
      </c>
      <c r="AT849" s="182"/>
      <c r="AU849" s="182"/>
      <c r="AV849" s="182"/>
      <c r="AW849" s="182"/>
      <c r="AX849" s="182"/>
      <c r="AY849" s="182"/>
      <c r="AZ849" s="182"/>
      <c r="BA849" s="182"/>
      <c r="BB849" s="182"/>
      <c r="BC849" s="182"/>
      <c r="BD849" s="182"/>
      <c r="BE849" s="182"/>
      <c r="BF849" s="182"/>
      <c r="BG849" s="182"/>
      <c r="BH849" s="182"/>
      <c r="BI849" s="182"/>
      <c r="BJ849" s="182"/>
      <c r="BK849" s="182"/>
      <c r="BL849" s="182"/>
      <c r="BM849" s="182"/>
      <c r="BN849" s="182"/>
      <c r="BO849" s="182"/>
      <c r="BP849" s="182"/>
      <c r="BQ849" s="182"/>
      <c r="BR849" s="182"/>
      <c r="BS849" s="182"/>
      <c r="BT849" s="182"/>
      <c r="BU849" s="182"/>
      <c r="BV849" s="182"/>
      <c r="BW849" s="182"/>
      <c r="BX849" s="182"/>
      <c r="BY849" s="182"/>
      <c r="BZ849" s="182"/>
      <c r="CA849" s="182"/>
      <c r="CB849" s="185">
        <f t="shared" si="146"/>
        <v>57500</v>
      </c>
      <c r="CC849" s="185">
        <f t="shared" si="147"/>
        <v>0</v>
      </c>
      <c r="CD849" s="185">
        <f t="shared" si="148"/>
        <v>1207</v>
      </c>
      <c r="CE849" s="185"/>
    </row>
    <row r="850" spans="2:83" s="197" customFormat="1" ht="56.25" x14ac:dyDescent="0.3">
      <c r="B850" s="182">
        <v>3114</v>
      </c>
      <c r="C850" s="182">
        <v>1208</v>
      </c>
      <c r="D850" s="182" t="s">
        <v>121</v>
      </c>
      <c r="E850" s="181" t="s">
        <v>4866</v>
      </c>
      <c r="F850" s="182"/>
      <c r="G850" s="182">
        <v>16500</v>
      </c>
      <c r="H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  <c r="Z850" s="182"/>
      <c r="AA850" s="182"/>
      <c r="AB850" s="182"/>
      <c r="AC850" s="182"/>
      <c r="AD850" s="182"/>
      <c r="AE850" s="182"/>
      <c r="AF850" s="182"/>
      <c r="AG850" s="182"/>
      <c r="AH850" s="182"/>
      <c r="AI850" s="182"/>
      <c r="AJ850" s="182"/>
      <c r="AK850" s="182"/>
      <c r="AL850" s="182"/>
      <c r="AM850" s="182"/>
      <c r="AN850" s="182"/>
      <c r="AO850" s="182"/>
      <c r="AP850" s="182"/>
      <c r="AQ850" s="185">
        <f t="shared" si="145"/>
        <v>16500</v>
      </c>
      <c r="AR850" s="182">
        <v>14721.65</v>
      </c>
      <c r="AS850" s="182">
        <v>1778.35</v>
      </c>
      <c r="AT850" s="182"/>
      <c r="AU850" s="182"/>
      <c r="AV850" s="182"/>
      <c r="AW850" s="182"/>
      <c r="AX850" s="182"/>
      <c r="AY850" s="182"/>
      <c r="AZ850" s="182"/>
      <c r="BA850" s="182"/>
      <c r="BB850" s="182"/>
      <c r="BC850" s="182"/>
      <c r="BD850" s="182"/>
      <c r="BE850" s="182"/>
      <c r="BF850" s="182"/>
      <c r="BG850" s="182"/>
      <c r="BH850" s="182"/>
      <c r="BI850" s="182"/>
      <c r="BJ850" s="182"/>
      <c r="BK850" s="182"/>
      <c r="BL850" s="182"/>
      <c r="BM850" s="182"/>
      <c r="BN850" s="182"/>
      <c r="BO850" s="182"/>
      <c r="BP850" s="182"/>
      <c r="BQ850" s="182"/>
      <c r="BR850" s="182"/>
      <c r="BS850" s="182"/>
      <c r="BT850" s="182"/>
      <c r="BU850" s="182"/>
      <c r="BV850" s="182"/>
      <c r="BW850" s="182"/>
      <c r="BX850" s="182"/>
      <c r="BY850" s="182"/>
      <c r="BZ850" s="182"/>
      <c r="CA850" s="182"/>
      <c r="CB850" s="185">
        <f t="shared" si="146"/>
        <v>16500</v>
      </c>
      <c r="CC850" s="185">
        <f t="shared" si="147"/>
        <v>0</v>
      </c>
      <c r="CD850" s="185">
        <f t="shared" si="148"/>
        <v>1208</v>
      </c>
      <c r="CE850" s="185"/>
    </row>
    <row r="851" spans="2:83" s="197" customFormat="1" ht="56.25" x14ac:dyDescent="0.3">
      <c r="B851" s="182">
        <v>3149</v>
      </c>
      <c r="C851" s="182">
        <v>1209</v>
      </c>
      <c r="D851" s="182" t="s">
        <v>121</v>
      </c>
      <c r="E851" s="181" t="s">
        <v>4867</v>
      </c>
      <c r="F851" s="182"/>
      <c r="G851" s="182">
        <v>2931.25</v>
      </c>
      <c r="H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  <c r="Z851" s="182"/>
      <c r="AA851" s="182"/>
      <c r="AB851" s="182"/>
      <c r="AC851" s="182"/>
      <c r="AD851" s="182"/>
      <c r="AE851" s="182"/>
      <c r="AF851" s="182"/>
      <c r="AG851" s="182"/>
      <c r="AH851" s="182"/>
      <c r="AI851" s="182"/>
      <c r="AJ851" s="182"/>
      <c r="AK851" s="182"/>
      <c r="AL851" s="182"/>
      <c r="AM851" s="182"/>
      <c r="AN851" s="182"/>
      <c r="AO851" s="182"/>
      <c r="AP851" s="182"/>
      <c r="AQ851" s="185">
        <f t="shared" ref="AQ851:AQ882" si="149">SUM(G851:AP851)</f>
        <v>2931.25</v>
      </c>
      <c r="AR851" s="182">
        <v>1958.65</v>
      </c>
      <c r="AS851" s="182">
        <v>266.35000000000002</v>
      </c>
      <c r="AT851" s="182">
        <v>706.25</v>
      </c>
      <c r="AU851" s="182"/>
      <c r="AV851" s="182"/>
      <c r="AW851" s="182"/>
      <c r="AX851" s="182"/>
      <c r="AY851" s="182"/>
      <c r="AZ851" s="182"/>
      <c r="BA851" s="182"/>
      <c r="BB851" s="182"/>
      <c r="BC851" s="182"/>
      <c r="BD851" s="182"/>
      <c r="BE851" s="182"/>
      <c r="BF851" s="182"/>
      <c r="BG851" s="182"/>
      <c r="BH851" s="182"/>
      <c r="BI851" s="182"/>
      <c r="BJ851" s="182"/>
      <c r="BK851" s="182"/>
      <c r="BL851" s="182"/>
      <c r="BM851" s="182"/>
      <c r="BN851" s="182"/>
      <c r="BO851" s="182"/>
      <c r="BP851" s="182"/>
      <c r="BQ851" s="182"/>
      <c r="BR851" s="182"/>
      <c r="BS851" s="182"/>
      <c r="BT851" s="182"/>
      <c r="BU851" s="182"/>
      <c r="BV851" s="182"/>
      <c r="BW851" s="182"/>
      <c r="BX851" s="182"/>
      <c r="BY851" s="182"/>
      <c r="BZ851" s="182"/>
      <c r="CA851" s="182"/>
      <c r="CB851" s="185">
        <f t="shared" ref="CB851:CB882" si="150">SUM(AR851:CA851)</f>
        <v>2931.25</v>
      </c>
      <c r="CC851" s="185">
        <f t="shared" ref="CC851:CC882" si="151">+CB851-AQ851</f>
        <v>0</v>
      </c>
      <c r="CD851" s="185">
        <f t="shared" ref="CD851:CD882" si="152">+C851</f>
        <v>1209</v>
      </c>
      <c r="CE851" s="185"/>
    </row>
    <row r="852" spans="2:83" s="197" customFormat="1" ht="37.5" x14ac:dyDescent="0.3">
      <c r="B852" s="182">
        <v>3153</v>
      </c>
      <c r="C852" s="182">
        <v>1210</v>
      </c>
      <c r="D852" s="182" t="s">
        <v>121</v>
      </c>
      <c r="E852" s="181" t="s">
        <v>4868</v>
      </c>
      <c r="F852" s="182"/>
      <c r="G852" s="182">
        <v>4500</v>
      </c>
      <c r="H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  <c r="Z852" s="182"/>
      <c r="AA852" s="182"/>
      <c r="AB852" s="182"/>
      <c r="AC852" s="182"/>
      <c r="AD852" s="182"/>
      <c r="AE852" s="182"/>
      <c r="AF852" s="182"/>
      <c r="AG852" s="182"/>
      <c r="AH852" s="182"/>
      <c r="AI852" s="182"/>
      <c r="AJ852" s="182"/>
      <c r="AK852" s="182"/>
      <c r="AL852" s="182"/>
      <c r="AM852" s="182"/>
      <c r="AN852" s="182"/>
      <c r="AO852" s="182"/>
      <c r="AP852" s="182"/>
      <c r="AQ852" s="185">
        <f t="shared" si="149"/>
        <v>4500</v>
      </c>
      <c r="AR852" s="182">
        <v>4016.6</v>
      </c>
      <c r="AS852" s="182">
        <v>483.4</v>
      </c>
      <c r="AT852" s="182"/>
      <c r="AU852" s="182"/>
      <c r="AV852" s="182"/>
      <c r="AW852" s="182"/>
      <c r="AX852" s="182"/>
      <c r="AY852" s="182"/>
      <c r="AZ852" s="182"/>
      <c r="BA852" s="182"/>
      <c r="BB852" s="182"/>
      <c r="BC852" s="182"/>
      <c r="BD852" s="182"/>
      <c r="BE852" s="182"/>
      <c r="BF852" s="182"/>
      <c r="BG852" s="182"/>
      <c r="BH852" s="182"/>
      <c r="BI852" s="182"/>
      <c r="BJ852" s="182"/>
      <c r="BK852" s="182"/>
      <c r="BL852" s="182"/>
      <c r="BM852" s="182"/>
      <c r="BN852" s="182"/>
      <c r="BO852" s="182"/>
      <c r="BP852" s="182"/>
      <c r="BQ852" s="182"/>
      <c r="BR852" s="182"/>
      <c r="BS852" s="182"/>
      <c r="BT852" s="182"/>
      <c r="BU852" s="182"/>
      <c r="BV852" s="182"/>
      <c r="BW852" s="182"/>
      <c r="BX852" s="182"/>
      <c r="BY852" s="182"/>
      <c r="BZ852" s="182"/>
      <c r="CA852" s="182"/>
      <c r="CB852" s="185">
        <f t="shared" si="150"/>
        <v>4500</v>
      </c>
      <c r="CC852" s="185">
        <f t="shared" si="151"/>
        <v>0</v>
      </c>
      <c r="CD852" s="185">
        <f t="shared" si="152"/>
        <v>1210</v>
      </c>
      <c r="CE852" s="185"/>
    </row>
    <row r="853" spans="2:83" s="197" customFormat="1" ht="37.5" x14ac:dyDescent="0.3">
      <c r="B853" s="182">
        <v>3152</v>
      </c>
      <c r="C853" s="182">
        <v>1211</v>
      </c>
      <c r="D853" s="182" t="s">
        <v>121</v>
      </c>
      <c r="E853" s="181" t="s">
        <v>4868</v>
      </c>
      <c r="F853" s="182"/>
      <c r="G853" s="182">
        <v>13500</v>
      </c>
      <c r="H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  <c r="Z853" s="182"/>
      <c r="AA853" s="182"/>
      <c r="AB853" s="182"/>
      <c r="AC853" s="182"/>
      <c r="AD853" s="182"/>
      <c r="AE853" s="182"/>
      <c r="AF853" s="182"/>
      <c r="AG853" s="182"/>
      <c r="AH853" s="182"/>
      <c r="AI853" s="182"/>
      <c r="AJ853" s="182"/>
      <c r="AK853" s="182"/>
      <c r="AL853" s="182"/>
      <c r="AM853" s="182"/>
      <c r="AN853" s="182"/>
      <c r="AO853" s="182"/>
      <c r="AP853" s="182"/>
      <c r="AQ853" s="185">
        <f t="shared" si="149"/>
        <v>13500</v>
      </c>
      <c r="AR853" s="182">
        <v>12049.8</v>
      </c>
      <c r="AS853" s="182">
        <v>1450.2</v>
      </c>
      <c r="AT853" s="182"/>
      <c r="AU853" s="182"/>
      <c r="AV853" s="182"/>
      <c r="AW853" s="182"/>
      <c r="AX853" s="182"/>
      <c r="AY853" s="182"/>
      <c r="AZ853" s="182"/>
      <c r="BA853" s="182"/>
      <c r="BB853" s="182"/>
      <c r="BC853" s="182"/>
      <c r="BD853" s="182"/>
      <c r="BE853" s="182"/>
      <c r="BF853" s="182"/>
      <c r="BG853" s="182"/>
      <c r="BH853" s="182"/>
      <c r="BI853" s="182"/>
      <c r="BJ853" s="182"/>
      <c r="BK853" s="182"/>
      <c r="BL853" s="182"/>
      <c r="BM853" s="182"/>
      <c r="BN853" s="182"/>
      <c r="BO853" s="182"/>
      <c r="BP853" s="182"/>
      <c r="BQ853" s="182"/>
      <c r="BR853" s="182"/>
      <c r="BS853" s="182"/>
      <c r="BT853" s="182"/>
      <c r="BU853" s="182"/>
      <c r="BV853" s="182"/>
      <c r="BW853" s="182"/>
      <c r="BX853" s="182"/>
      <c r="BY853" s="182"/>
      <c r="BZ853" s="182"/>
      <c r="CA853" s="182"/>
      <c r="CB853" s="185">
        <f t="shared" si="150"/>
        <v>13500</v>
      </c>
      <c r="CC853" s="185">
        <f t="shared" si="151"/>
        <v>0</v>
      </c>
      <c r="CD853" s="185">
        <f t="shared" si="152"/>
        <v>1211</v>
      </c>
      <c r="CE853" s="185"/>
    </row>
    <row r="854" spans="2:83" s="197" customFormat="1" ht="37.5" x14ac:dyDescent="0.3">
      <c r="B854" s="182">
        <v>3160</v>
      </c>
      <c r="C854" s="182">
        <v>1212</v>
      </c>
      <c r="D854" s="182" t="s">
        <v>121</v>
      </c>
      <c r="E854" s="181" t="s">
        <v>4869</v>
      </c>
      <c r="F854" s="182"/>
      <c r="G854" s="182">
        <v>16000</v>
      </c>
      <c r="H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  <c r="Z854" s="182"/>
      <c r="AA854" s="182"/>
      <c r="AB854" s="182"/>
      <c r="AC854" s="182"/>
      <c r="AD854" s="182"/>
      <c r="AE854" s="182"/>
      <c r="AF854" s="182"/>
      <c r="AG854" s="182"/>
      <c r="AH854" s="182"/>
      <c r="AI854" s="182"/>
      <c r="AJ854" s="182"/>
      <c r="AK854" s="182"/>
      <c r="AL854" s="182"/>
      <c r="AM854" s="182"/>
      <c r="AN854" s="182"/>
      <c r="AO854" s="182"/>
      <c r="AP854" s="182"/>
      <c r="AQ854" s="185">
        <f t="shared" si="149"/>
        <v>16000</v>
      </c>
      <c r="AR854" s="182">
        <v>14281.4</v>
      </c>
      <c r="AS854" s="182">
        <v>1718.6</v>
      </c>
      <c r="AT854" s="182"/>
      <c r="AU854" s="182"/>
      <c r="AV854" s="182"/>
      <c r="AW854" s="182"/>
      <c r="AX854" s="182"/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182"/>
      <c r="BK854" s="182"/>
      <c r="BL854" s="182"/>
      <c r="BM854" s="182"/>
      <c r="BN854" s="182"/>
      <c r="BO854" s="182"/>
      <c r="BP854" s="182"/>
      <c r="BQ854" s="182"/>
      <c r="BR854" s="182"/>
      <c r="BS854" s="182"/>
      <c r="BT854" s="182"/>
      <c r="BU854" s="182"/>
      <c r="BV854" s="182"/>
      <c r="BW854" s="182"/>
      <c r="BX854" s="182"/>
      <c r="BY854" s="182"/>
      <c r="BZ854" s="182"/>
      <c r="CA854" s="182"/>
      <c r="CB854" s="185">
        <f t="shared" si="150"/>
        <v>16000</v>
      </c>
      <c r="CC854" s="185">
        <f t="shared" si="151"/>
        <v>0</v>
      </c>
      <c r="CD854" s="185">
        <f t="shared" si="152"/>
        <v>1212</v>
      </c>
      <c r="CE854" s="185"/>
    </row>
    <row r="855" spans="2:83" s="197" customFormat="1" ht="37.5" x14ac:dyDescent="0.3">
      <c r="B855" s="182">
        <v>3164</v>
      </c>
      <c r="C855" s="182">
        <v>1213</v>
      </c>
      <c r="D855" s="182" t="s">
        <v>121</v>
      </c>
      <c r="E855" s="181" t="s">
        <v>4870</v>
      </c>
      <c r="F855" s="182"/>
      <c r="G855" s="182">
        <v>17750</v>
      </c>
      <c r="H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2"/>
      <c r="AH855" s="182"/>
      <c r="AI855" s="182"/>
      <c r="AJ855" s="182"/>
      <c r="AK855" s="182"/>
      <c r="AL855" s="182"/>
      <c r="AM855" s="182"/>
      <c r="AN855" s="182"/>
      <c r="AO855" s="182"/>
      <c r="AP855" s="182"/>
      <c r="AQ855" s="185">
        <f t="shared" si="149"/>
        <v>17750</v>
      </c>
      <c r="AR855" s="182">
        <v>15843.3</v>
      </c>
      <c r="AS855" s="182">
        <v>1906.7</v>
      </c>
      <c r="AT855" s="182"/>
      <c r="AU855" s="182"/>
      <c r="AV855" s="182"/>
      <c r="AW855" s="182"/>
      <c r="AX855" s="182"/>
      <c r="AY855" s="182"/>
      <c r="AZ855" s="182"/>
      <c r="BA855" s="182"/>
      <c r="BB855" s="182"/>
      <c r="BC855" s="182"/>
      <c r="BD855" s="182"/>
      <c r="BE855" s="182"/>
      <c r="BF855" s="182"/>
      <c r="BG855" s="182"/>
      <c r="BH855" s="182"/>
      <c r="BI855" s="182"/>
      <c r="BJ855" s="182"/>
      <c r="BK855" s="182"/>
      <c r="BL855" s="182"/>
      <c r="BM855" s="182"/>
      <c r="BN855" s="182"/>
      <c r="BO855" s="182"/>
      <c r="BP855" s="182"/>
      <c r="BQ855" s="182"/>
      <c r="BR855" s="182"/>
      <c r="BS855" s="182"/>
      <c r="BT855" s="182"/>
      <c r="BU855" s="182"/>
      <c r="BV855" s="182"/>
      <c r="BW855" s="182"/>
      <c r="BX855" s="182"/>
      <c r="BY855" s="182"/>
      <c r="BZ855" s="182"/>
      <c r="CA855" s="182"/>
      <c r="CB855" s="185">
        <f t="shared" si="150"/>
        <v>17750</v>
      </c>
      <c r="CC855" s="185">
        <f t="shared" si="151"/>
        <v>0</v>
      </c>
      <c r="CD855" s="185">
        <f t="shared" si="152"/>
        <v>1213</v>
      </c>
      <c r="CE855" s="185"/>
    </row>
    <row r="856" spans="2:83" s="197" customFormat="1" ht="37.5" x14ac:dyDescent="0.3">
      <c r="B856" s="182">
        <v>3166</v>
      </c>
      <c r="C856" s="182">
        <v>1214</v>
      </c>
      <c r="D856" s="182" t="s">
        <v>121</v>
      </c>
      <c r="E856" s="181" t="s">
        <v>4871</v>
      </c>
      <c r="F856" s="182"/>
      <c r="G856" s="182">
        <v>12750</v>
      </c>
      <c r="H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  <c r="Z856" s="182"/>
      <c r="AA856" s="182"/>
      <c r="AB856" s="182"/>
      <c r="AC856" s="182"/>
      <c r="AD856" s="182"/>
      <c r="AE856" s="182"/>
      <c r="AF856" s="182"/>
      <c r="AG856" s="182"/>
      <c r="AH856" s="182"/>
      <c r="AI856" s="182"/>
      <c r="AJ856" s="182"/>
      <c r="AK856" s="182"/>
      <c r="AL856" s="182"/>
      <c r="AM856" s="182"/>
      <c r="AN856" s="182"/>
      <c r="AO856" s="182"/>
      <c r="AP856" s="182"/>
      <c r="AQ856" s="185">
        <f t="shared" si="149"/>
        <v>12750</v>
      </c>
      <c r="AR856" s="182">
        <v>11380.8</v>
      </c>
      <c r="AS856" s="182">
        <v>1369.2</v>
      </c>
      <c r="AT856" s="182"/>
      <c r="AU856" s="182"/>
      <c r="AV856" s="182"/>
      <c r="AW856" s="182"/>
      <c r="AX856" s="182"/>
      <c r="AY856" s="182"/>
      <c r="AZ856" s="182"/>
      <c r="BA856" s="182"/>
      <c r="BB856" s="182"/>
      <c r="BC856" s="182"/>
      <c r="BD856" s="182"/>
      <c r="BE856" s="182"/>
      <c r="BF856" s="182"/>
      <c r="BG856" s="182"/>
      <c r="BH856" s="182"/>
      <c r="BI856" s="182"/>
      <c r="BJ856" s="182"/>
      <c r="BK856" s="182"/>
      <c r="BL856" s="182"/>
      <c r="BM856" s="182"/>
      <c r="BN856" s="182"/>
      <c r="BO856" s="182"/>
      <c r="BP856" s="182"/>
      <c r="BQ856" s="182"/>
      <c r="BR856" s="182"/>
      <c r="BS856" s="182"/>
      <c r="BT856" s="182"/>
      <c r="BU856" s="182"/>
      <c r="BV856" s="182"/>
      <c r="BW856" s="182"/>
      <c r="BX856" s="182"/>
      <c r="BY856" s="182"/>
      <c r="BZ856" s="182"/>
      <c r="CA856" s="182"/>
      <c r="CB856" s="185">
        <f t="shared" si="150"/>
        <v>12750</v>
      </c>
      <c r="CC856" s="185">
        <f t="shared" si="151"/>
        <v>0</v>
      </c>
      <c r="CD856" s="185">
        <f t="shared" si="152"/>
        <v>1214</v>
      </c>
      <c r="CE856" s="185"/>
    </row>
    <row r="857" spans="2:83" s="197" customFormat="1" ht="56.25" x14ac:dyDescent="0.3">
      <c r="B857" s="182">
        <v>3170</v>
      </c>
      <c r="C857" s="182">
        <v>1215</v>
      </c>
      <c r="D857" s="182" t="s">
        <v>121</v>
      </c>
      <c r="E857" s="181" t="s">
        <v>4872</v>
      </c>
      <c r="F857" s="182"/>
      <c r="G857" s="182">
        <v>4500</v>
      </c>
      <c r="H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  <c r="Z857" s="182"/>
      <c r="AA857" s="182"/>
      <c r="AB857" s="182"/>
      <c r="AC857" s="182"/>
      <c r="AD857" s="182"/>
      <c r="AE857" s="182"/>
      <c r="AF857" s="182"/>
      <c r="AG857" s="182"/>
      <c r="AH857" s="182"/>
      <c r="AI857" s="182"/>
      <c r="AJ857" s="182"/>
      <c r="AK857" s="182"/>
      <c r="AL857" s="182"/>
      <c r="AM857" s="182"/>
      <c r="AN857" s="182"/>
      <c r="AO857" s="182"/>
      <c r="AP857" s="182"/>
      <c r="AQ857" s="185">
        <f t="shared" si="149"/>
        <v>4500</v>
      </c>
      <c r="AR857" s="182">
        <v>4017.3</v>
      </c>
      <c r="AS857" s="182">
        <v>482.7</v>
      </c>
      <c r="AT857" s="182"/>
      <c r="AU857" s="182"/>
      <c r="AV857" s="182"/>
      <c r="AW857" s="182"/>
      <c r="AX857" s="182"/>
      <c r="AY857" s="182"/>
      <c r="AZ857" s="182"/>
      <c r="BA857" s="182"/>
      <c r="BB857" s="182"/>
      <c r="BC857" s="182"/>
      <c r="BD857" s="182"/>
      <c r="BE857" s="182"/>
      <c r="BF857" s="182"/>
      <c r="BG857" s="182"/>
      <c r="BH857" s="182"/>
      <c r="BI857" s="182"/>
      <c r="BJ857" s="182"/>
      <c r="BK857" s="182"/>
      <c r="BL857" s="182"/>
      <c r="BM857" s="182"/>
      <c r="BN857" s="182"/>
      <c r="BO857" s="182"/>
      <c r="BP857" s="182"/>
      <c r="BQ857" s="182"/>
      <c r="BR857" s="182"/>
      <c r="BS857" s="182"/>
      <c r="BT857" s="182"/>
      <c r="BU857" s="182"/>
      <c r="BV857" s="182"/>
      <c r="BW857" s="182"/>
      <c r="BX857" s="182"/>
      <c r="BY857" s="182"/>
      <c r="BZ857" s="182"/>
      <c r="CA857" s="182"/>
      <c r="CB857" s="185">
        <f t="shared" si="150"/>
        <v>4500</v>
      </c>
      <c r="CC857" s="185">
        <f t="shared" si="151"/>
        <v>0</v>
      </c>
      <c r="CD857" s="185">
        <f t="shared" si="152"/>
        <v>1215</v>
      </c>
      <c r="CE857" s="185"/>
    </row>
    <row r="858" spans="2:83" s="197" customFormat="1" ht="56.25" x14ac:dyDescent="0.3">
      <c r="B858" s="182">
        <v>3171</v>
      </c>
      <c r="C858" s="182">
        <v>1216</v>
      </c>
      <c r="D858" s="182" t="s">
        <v>121</v>
      </c>
      <c r="E858" s="181" t="s">
        <v>4873</v>
      </c>
      <c r="F858" s="182"/>
      <c r="G858" s="182">
        <v>2000</v>
      </c>
      <c r="H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  <c r="Z858" s="182"/>
      <c r="AA858" s="182"/>
      <c r="AB858" s="182"/>
      <c r="AC858" s="182"/>
      <c r="AD858" s="182"/>
      <c r="AE858" s="182"/>
      <c r="AF858" s="182"/>
      <c r="AG858" s="182"/>
      <c r="AH858" s="182"/>
      <c r="AI858" s="182"/>
      <c r="AJ858" s="182"/>
      <c r="AK858" s="182"/>
      <c r="AL858" s="182"/>
      <c r="AM858" s="182"/>
      <c r="AN858" s="182"/>
      <c r="AO858" s="182"/>
      <c r="AP858" s="182"/>
      <c r="AQ858" s="185">
        <f t="shared" si="149"/>
        <v>2000</v>
      </c>
      <c r="AR858" s="182">
        <v>1788.2</v>
      </c>
      <c r="AS858" s="182">
        <v>211.8</v>
      </c>
      <c r="AT858" s="182"/>
      <c r="AU858" s="182"/>
      <c r="AV858" s="182"/>
      <c r="AW858" s="182"/>
      <c r="AX858" s="182"/>
      <c r="AY858" s="182"/>
      <c r="AZ858" s="182"/>
      <c r="BA858" s="182"/>
      <c r="BB858" s="182"/>
      <c r="BC858" s="182"/>
      <c r="BD858" s="182"/>
      <c r="BE858" s="182"/>
      <c r="BF858" s="182"/>
      <c r="BG858" s="182"/>
      <c r="BH858" s="182"/>
      <c r="BI858" s="182"/>
      <c r="BJ858" s="182"/>
      <c r="BK858" s="182"/>
      <c r="BL858" s="182"/>
      <c r="BM858" s="182"/>
      <c r="BN858" s="182"/>
      <c r="BO858" s="182"/>
      <c r="BP858" s="182"/>
      <c r="BQ858" s="182"/>
      <c r="BR858" s="182"/>
      <c r="BS858" s="182"/>
      <c r="BT858" s="182"/>
      <c r="BU858" s="182"/>
      <c r="BV858" s="182"/>
      <c r="BW858" s="182"/>
      <c r="BX858" s="182"/>
      <c r="BY858" s="182"/>
      <c r="BZ858" s="182"/>
      <c r="CA858" s="182"/>
      <c r="CB858" s="185">
        <f t="shared" si="150"/>
        <v>2000</v>
      </c>
      <c r="CC858" s="185">
        <f t="shared" si="151"/>
        <v>0</v>
      </c>
      <c r="CD858" s="185">
        <f t="shared" si="152"/>
        <v>1216</v>
      </c>
      <c r="CE858" s="185"/>
    </row>
    <row r="859" spans="2:83" s="197" customFormat="1" ht="56.25" x14ac:dyDescent="0.3">
      <c r="B859" s="182">
        <v>3172</v>
      </c>
      <c r="C859" s="182">
        <v>1217</v>
      </c>
      <c r="D859" s="182" t="s">
        <v>121</v>
      </c>
      <c r="E859" s="181" t="s">
        <v>4873</v>
      </c>
      <c r="F859" s="182"/>
      <c r="G859" s="182">
        <v>1500</v>
      </c>
      <c r="H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  <c r="Z859" s="182"/>
      <c r="AA859" s="182"/>
      <c r="AB859" s="182"/>
      <c r="AC859" s="182"/>
      <c r="AD859" s="182"/>
      <c r="AE859" s="182"/>
      <c r="AF859" s="182"/>
      <c r="AG859" s="182"/>
      <c r="AH859" s="182"/>
      <c r="AI859" s="182"/>
      <c r="AJ859" s="182"/>
      <c r="AK859" s="182"/>
      <c r="AL859" s="182"/>
      <c r="AM859" s="182"/>
      <c r="AN859" s="182"/>
      <c r="AO859" s="182"/>
      <c r="AP859" s="182"/>
      <c r="AQ859" s="185">
        <f t="shared" si="149"/>
        <v>1500</v>
      </c>
      <c r="AR859" s="182">
        <v>1341.15</v>
      </c>
      <c r="AS859" s="182">
        <v>158.85</v>
      </c>
      <c r="AT859" s="182"/>
      <c r="AU859" s="182"/>
      <c r="AV859" s="182"/>
      <c r="AW859" s="182"/>
      <c r="AX859" s="182"/>
      <c r="AY859" s="182"/>
      <c r="AZ859" s="182"/>
      <c r="BA859" s="182"/>
      <c r="BB859" s="182"/>
      <c r="BC859" s="182"/>
      <c r="BD859" s="182"/>
      <c r="BE859" s="182"/>
      <c r="BF859" s="182"/>
      <c r="BG859" s="182"/>
      <c r="BH859" s="182"/>
      <c r="BI859" s="182"/>
      <c r="BJ859" s="182"/>
      <c r="BK859" s="182"/>
      <c r="BL859" s="182"/>
      <c r="BM859" s="182"/>
      <c r="BN859" s="182"/>
      <c r="BO859" s="182"/>
      <c r="BP859" s="182"/>
      <c r="BQ859" s="182"/>
      <c r="BR859" s="182"/>
      <c r="BS859" s="182"/>
      <c r="BT859" s="182"/>
      <c r="BU859" s="182"/>
      <c r="BV859" s="182"/>
      <c r="BW859" s="182"/>
      <c r="BX859" s="182"/>
      <c r="BY859" s="182"/>
      <c r="BZ859" s="182"/>
      <c r="CA859" s="182"/>
      <c r="CB859" s="185">
        <f t="shared" si="150"/>
        <v>1500</v>
      </c>
      <c r="CC859" s="185">
        <f t="shared" si="151"/>
        <v>0</v>
      </c>
      <c r="CD859" s="185">
        <f t="shared" si="152"/>
        <v>1217</v>
      </c>
      <c r="CE859" s="185"/>
    </row>
    <row r="860" spans="2:83" s="197" customFormat="1" ht="37.5" x14ac:dyDescent="0.3">
      <c r="B860" s="182">
        <v>3043</v>
      </c>
      <c r="C860" s="182">
        <v>1218</v>
      </c>
      <c r="D860" s="182" t="s">
        <v>121</v>
      </c>
      <c r="E860" s="181" t="s">
        <v>4874</v>
      </c>
      <c r="F860" s="182"/>
      <c r="G860" s="182">
        <v>29722.69</v>
      </c>
      <c r="H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2"/>
      <c r="AH860" s="182"/>
      <c r="AI860" s="182"/>
      <c r="AJ860" s="182"/>
      <c r="AK860" s="182"/>
      <c r="AL860" s="182"/>
      <c r="AM860" s="182"/>
      <c r="AN860" s="182"/>
      <c r="AO860" s="182"/>
      <c r="AP860" s="182"/>
      <c r="AQ860" s="185">
        <f t="shared" si="149"/>
        <v>29722.69</v>
      </c>
      <c r="AR860" s="182">
        <v>22698.97</v>
      </c>
      <c r="AS860" s="182">
        <v>2908.75</v>
      </c>
      <c r="AT860" s="182">
        <v>4114.97</v>
      </c>
      <c r="AU860" s="182"/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/>
      <c r="BH860" s="182"/>
      <c r="BI860" s="182"/>
      <c r="BJ860" s="182"/>
      <c r="BK860" s="182"/>
      <c r="BL860" s="182"/>
      <c r="BM860" s="182"/>
      <c r="BN860" s="182"/>
      <c r="BO860" s="182"/>
      <c r="BP860" s="182"/>
      <c r="BQ860" s="182"/>
      <c r="BR860" s="182"/>
      <c r="BS860" s="182"/>
      <c r="BT860" s="182"/>
      <c r="BU860" s="182"/>
      <c r="BV860" s="182"/>
      <c r="BW860" s="182"/>
      <c r="BX860" s="182"/>
      <c r="BY860" s="182"/>
      <c r="BZ860" s="182"/>
      <c r="CA860" s="182"/>
      <c r="CB860" s="185">
        <f t="shared" si="150"/>
        <v>29722.690000000002</v>
      </c>
      <c r="CC860" s="185">
        <f t="shared" si="151"/>
        <v>0</v>
      </c>
      <c r="CD860" s="185">
        <f t="shared" si="152"/>
        <v>1218</v>
      </c>
      <c r="CE860" s="185"/>
    </row>
    <row r="861" spans="2:83" s="197" customFormat="1" ht="37.5" x14ac:dyDescent="0.3">
      <c r="B861" s="182">
        <v>3049</v>
      </c>
      <c r="C861" s="182">
        <v>1219</v>
      </c>
      <c r="D861" s="182" t="s">
        <v>121</v>
      </c>
      <c r="E861" s="181" t="s">
        <v>4875</v>
      </c>
      <c r="F861" s="182"/>
      <c r="G861" s="182">
        <v>30446.18</v>
      </c>
      <c r="H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2"/>
      <c r="AH861" s="182"/>
      <c r="AI861" s="182"/>
      <c r="AJ861" s="182"/>
      <c r="AK861" s="182"/>
      <c r="AL861" s="182"/>
      <c r="AM861" s="182"/>
      <c r="AN861" s="182"/>
      <c r="AO861" s="182"/>
      <c r="AP861" s="182"/>
      <c r="AQ861" s="185">
        <f t="shared" si="149"/>
        <v>30446.18</v>
      </c>
      <c r="AR861" s="182">
        <v>24376.560000000001</v>
      </c>
      <c r="AS861" s="182">
        <v>3062.55</v>
      </c>
      <c r="AT861" s="182">
        <v>3007.07</v>
      </c>
      <c r="AU861" s="182"/>
      <c r="AV861" s="182"/>
      <c r="AW861" s="182"/>
      <c r="AX861" s="182"/>
      <c r="AY861" s="182"/>
      <c r="AZ861" s="182"/>
      <c r="BA861" s="182"/>
      <c r="BB861" s="182"/>
      <c r="BC861" s="182"/>
      <c r="BD861" s="182"/>
      <c r="BE861" s="182"/>
      <c r="BF861" s="182"/>
      <c r="BG861" s="182"/>
      <c r="BH861" s="182"/>
      <c r="BI861" s="182"/>
      <c r="BJ861" s="182"/>
      <c r="BK861" s="182"/>
      <c r="BL861" s="182"/>
      <c r="BM861" s="182"/>
      <c r="BN861" s="182"/>
      <c r="BO861" s="182"/>
      <c r="BP861" s="182"/>
      <c r="BQ861" s="182"/>
      <c r="BR861" s="182"/>
      <c r="BS861" s="182"/>
      <c r="BT861" s="182"/>
      <c r="BU861" s="182"/>
      <c r="BV861" s="182"/>
      <c r="BW861" s="182"/>
      <c r="BX861" s="182"/>
      <c r="BY861" s="182"/>
      <c r="BZ861" s="182"/>
      <c r="CA861" s="182"/>
      <c r="CB861" s="185">
        <f t="shared" si="150"/>
        <v>30446.18</v>
      </c>
      <c r="CC861" s="185">
        <f t="shared" si="151"/>
        <v>0</v>
      </c>
      <c r="CD861" s="185">
        <f t="shared" si="152"/>
        <v>1219</v>
      </c>
      <c r="CE861" s="185"/>
    </row>
    <row r="862" spans="2:83" s="197" customFormat="1" ht="37.5" x14ac:dyDescent="0.3">
      <c r="B862" s="182">
        <v>3048</v>
      </c>
      <c r="C862" s="182">
        <v>1220</v>
      </c>
      <c r="D862" s="182" t="s">
        <v>121</v>
      </c>
      <c r="E862" s="181" t="s">
        <v>4876</v>
      </c>
      <c r="F862" s="182"/>
      <c r="G862" s="182">
        <v>2668.47</v>
      </c>
      <c r="H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  <c r="Z862" s="182"/>
      <c r="AA862" s="182"/>
      <c r="AB862" s="182"/>
      <c r="AC862" s="182"/>
      <c r="AD862" s="182"/>
      <c r="AE862" s="182"/>
      <c r="AF862" s="182"/>
      <c r="AG862" s="182"/>
      <c r="AH862" s="182"/>
      <c r="AI862" s="182"/>
      <c r="AJ862" s="182"/>
      <c r="AK862" s="182"/>
      <c r="AL862" s="182"/>
      <c r="AM862" s="182"/>
      <c r="AN862" s="182"/>
      <c r="AO862" s="182"/>
      <c r="AP862" s="182"/>
      <c r="AQ862" s="185">
        <f t="shared" si="149"/>
        <v>2668.47</v>
      </c>
      <c r="AR862" s="182">
        <v>1976.15</v>
      </c>
      <c r="AS862" s="182">
        <v>252.65</v>
      </c>
      <c r="AT862" s="182">
        <v>439.67</v>
      </c>
      <c r="AU862" s="182"/>
      <c r="AV862" s="182"/>
      <c r="AW862" s="182"/>
      <c r="AX862" s="182"/>
      <c r="AY862" s="182"/>
      <c r="AZ862" s="182"/>
      <c r="BA862" s="182"/>
      <c r="BB862" s="182"/>
      <c r="BC862" s="182"/>
      <c r="BD862" s="182"/>
      <c r="BE862" s="182"/>
      <c r="BF862" s="182"/>
      <c r="BG862" s="182"/>
      <c r="BH862" s="182"/>
      <c r="BI862" s="182"/>
      <c r="BJ862" s="182"/>
      <c r="BK862" s="182"/>
      <c r="BL862" s="182"/>
      <c r="BM862" s="182"/>
      <c r="BN862" s="182"/>
      <c r="BO862" s="182"/>
      <c r="BP862" s="182"/>
      <c r="BQ862" s="182"/>
      <c r="BR862" s="182"/>
      <c r="BS862" s="182"/>
      <c r="BT862" s="182"/>
      <c r="BU862" s="182"/>
      <c r="BV862" s="182"/>
      <c r="BW862" s="182"/>
      <c r="BX862" s="182"/>
      <c r="BY862" s="182"/>
      <c r="BZ862" s="182"/>
      <c r="CA862" s="182"/>
      <c r="CB862" s="185">
        <f t="shared" si="150"/>
        <v>2668.4700000000003</v>
      </c>
      <c r="CC862" s="185">
        <f t="shared" si="151"/>
        <v>0</v>
      </c>
      <c r="CD862" s="185">
        <f t="shared" si="152"/>
        <v>1220</v>
      </c>
      <c r="CE862" s="185"/>
    </row>
    <row r="863" spans="2:83" s="197" customFormat="1" ht="37.5" x14ac:dyDescent="0.3">
      <c r="B863" s="182">
        <v>3047</v>
      </c>
      <c r="C863" s="182">
        <v>1221</v>
      </c>
      <c r="D863" s="182" t="s">
        <v>121</v>
      </c>
      <c r="E863" s="181" t="s">
        <v>4876</v>
      </c>
      <c r="F863" s="182"/>
      <c r="G863" s="182">
        <v>1582.88</v>
      </c>
      <c r="H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2"/>
      <c r="AH863" s="182"/>
      <c r="AI863" s="182"/>
      <c r="AJ863" s="182"/>
      <c r="AK863" s="182"/>
      <c r="AL863" s="182"/>
      <c r="AM863" s="182"/>
      <c r="AN863" s="182"/>
      <c r="AO863" s="182"/>
      <c r="AP863" s="182"/>
      <c r="AQ863" s="185">
        <f t="shared" si="149"/>
        <v>1582.88</v>
      </c>
      <c r="AR863" s="182">
        <v>1059.4000000000001</v>
      </c>
      <c r="AS863" s="182">
        <v>142.1</v>
      </c>
      <c r="AT863" s="182">
        <v>381.38</v>
      </c>
      <c r="AU863" s="182"/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182"/>
      <c r="BK863" s="182"/>
      <c r="BL863" s="182"/>
      <c r="BM863" s="182"/>
      <c r="BN863" s="182"/>
      <c r="BO863" s="182"/>
      <c r="BP863" s="182"/>
      <c r="BQ863" s="182"/>
      <c r="BR863" s="182"/>
      <c r="BS863" s="182"/>
      <c r="BT863" s="182"/>
      <c r="BU863" s="182"/>
      <c r="BV863" s="182"/>
      <c r="BW863" s="182"/>
      <c r="BX863" s="182"/>
      <c r="BY863" s="182"/>
      <c r="BZ863" s="182"/>
      <c r="CA863" s="182"/>
      <c r="CB863" s="185">
        <f t="shared" si="150"/>
        <v>1582.88</v>
      </c>
      <c r="CC863" s="185">
        <f t="shared" si="151"/>
        <v>0</v>
      </c>
      <c r="CD863" s="185">
        <f t="shared" si="152"/>
        <v>1221</v>
      </c>
      <c r="CE863" s="185"/>
    </row>
    <row r="864" spans="2:83" s="197" customFormat="1" ht="37.5" x14ac:dyDescent="0.3">
      <c r="B864" s="182">
        <v>3046</v>
      </c>
      <c r="C864" s="182">
        <v>1222</v>
      </c>
      <c r="D864" s="182" t="s">
        <v>121</v>
      </c>
      <c r="E864" s="181" t="s">
        <v>4877</v>
      </c>
      <c r="F864" s="182"/>
      <c r="G864" s="182">
        <v>879.4</v>
      </c>
      <c r="H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2"/>
      <c r="AH864" s="182"/>
      <c r="AI864" s="182"/>
      <c r="AJ864" s="182"/>
      <c r="AK864" s="182"/>
      <c r="AL864" s="182"/>
      <c r="AM864" s="182"/>
      <c r="AN864" s="182"/>
      <c r="AO864" s="182"/>
      <c r="AP864" s="182"/>
      <c r="AQ864" s="185">
        <f t="shared" si="149"/>
        <v>879.4</v>
      </c>
      <c r="AR864" s="182">
        <v>590</v>
      </c>
      <c r="AS864" s="182">
        <v>77.5</v>
      </c>
      <c r="AT864" s="182">
        <v>211.9</v>
      </c>
      <c r="AU864" s="182"/>
      <c r="AV864" s="182"/>
      <c r="AW864" s="182"/>
      <c r="AX864" s="182"/>
      <c r="AY864" s="182"/>
      <c r="AZ864" s="182"/>
      <c r="BA864" s="182"/>
      <c r="BB864" s="182"/>
      <c r="BC864" s="182"/>
      <c r="BD864" s="182"/>
      <c r="BE864" s="182"/>
      <c r="BF864" s="182"/>
      <c r="BG864" s="182"/>
      <c r="BH864" s="182"/>
      <c r="BI864" s="182"/>
      <c r="BJ864" s="182"/>
      <c r="BK864" s="182"/>
      <c r="BL864" s="182"/>
      <c r="BM864" s="182"/>
      <c r="BN864" s="182"/>
      <c r="BO864" s="182"/>
      <c r="BP864" s="182"/>
      <c r="BQ864" s="182"/>
      <c r="BR864" s="182"/>
      <c r="BS864" s="182"/>
      <c r="BT864" s="182"/>
      <c r="BU864" s="182"/>
      <c r="BV864" s="182"/>
      <c r="BW864" s="182"/>
      <c r="BX864" s="182"/>
      <c r="BY864" s="182"/>
      <c r="BZ864" s="182"/>
      <c r="CA864" s="182"/>
      <c r="CB864" s="185">
        <f t="shared" si="150"/>
        <v>879.4</v>
      </c>
      <c r="CC864" s="185">
        <f t="shared" si="151"/>
        <v>0</v>
      </c>
      <c r="CD864" s="185">
        <f t="shared" si="152"/>
        <v>1222</v>
      </c>
      <c r="CE864" s="185"/>
    </row>
    <row r="865" spans="2:83" s="197" customFormat="1" ht="37.5" x14ac:dyDescent="0.3">
      <c r="B865" s="182">
        <v>3045</v>
      </c>
      <c r="C865" s="182">
        <v>1223</v>
      </c>
      <c r="D865" s="182" t="s">
        <v>121</v>
      </c>
      <c r="E865" s="181" t="s">
        <v>4877</v>
      </c>
      <c r="F865" s="182"/>
      <c r="G865" s="182">
        <v>351.76</v>
      </c>
      <c r="H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  <c r="Z865" s="182"/>
      <c r="AA865" s="182"/>
      <c r="AB865" s="182"/>
      <c r="AC865" s="182"/>
      <c r="AD865" s="182"/>
      <c r="AE865" s="182"/>
      <c r="AF865" s="182"/>
      <c r="AG865" s="182"/>
      <c r="AH865" s="182"/>
      <c r="AI865" s="182"/>
      <c r="AJ865" s="182"/>
      <c r="AK865" s="182"/>
      <c r="AL865" s="182"/>
      <c r="AM865" s="182"/>
      <c r="AN865" s="182"/>
      <c r="AO865" s="182"/>
      <c r="AP865" s="182"/>
      <c r="AQ865" s="185">
        <f t="shared" si="149"/>
        <v>351.76</v>
      </c>
      <c r="AR865" s="182">
        <v>236</v>
      </c>
      <c r="AS865" s="182">
        <v>31</v>
      </c>
      <c r="AT865" s="182">
        <v>84.76</v>
      </c>
      <c r="AU865" s="182"/>
      <c r="AV865" s="182"/>
      <c r="AW865" s="182"/>
      <c r="AX865" s="182"/>
      <c r="AY865" s="182"/>
      <c r="AZ865" s="182"/>
      <c r="BA865" s="182"/>
      <c r="BB865" s="182"/>
      <c r="BC865" s="182"/>
      <c r="BD865" s="182"/>
      <c r="BE865" s="182"/>
      <c r="BF865" s="182"/>
      <c r="BG865" s="182"/>
      <c r="BH865" s="182"/>
      <c r="BI865" s="182"/>
      <c r="BJ865" s="182"/>
      <c r="BK865" s="182"/>
      <c r="BL865" s="182"/>
      <c r="BM865" s="182"/>
      <c r="BN865" s="182"/>
      <c r="BO865" s="182"/>
      <c r="BP865" s="182"/>
      <c r="BQ865" s="182"/>
      <c r="BR865" s="182"/>
      <c r="BS865" s="182"/>
      <c r="BT865" s="182"/>
      <c r="BU865" s="182"/>
      <c r="BV865" s="182"/>
      <c r="BW865" s="182"/>
      <c r="BX865" s="182"/>
      <c r="BY865" s="182"/>
      <c r="BZ865" s="182"/>
      <c r="CA865" s="182"/>
      <c r="CB865" s="185">
        <f t="shared" si="150"/>
        <v>351.76</v>
      </c>
      <c r="CC865" s="185">
        <f t="shared" si="151"/>
        <v>0</v>
      </c>
      <c r="CD865" s="185">
        <f t="shared" si="152"/>
        <v>1223</v>
      </c>
      <c r="CE865" s="185"/>
    </row>
    <row r="866" spans="2:83" s="197" customFormat="1" ht="56.25" x14ac:dyDescent="0.3">
      <c r="B866" s="182">
        <v>3119</v>
      </c>
      <c r="C866" s="182">
        <v>1224</v>
      </c>
      <c r="D866" s="182" t="s">
        <v>121</v>
      </c>
      <c r="E866" s="181" t="s">
        <v>4878</v>
      </c>
      <c r="F866" s="182"/>
      <c r="G866" s="182">
        <v>7758.76</v>
      </c>
      <c r="H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  <c r="Z866" s="182"/>
      <c r="AA866" s="182"/>
      <c r="AB866" s="182"/>
      <c r="AC866" s="182"/>
      <c r="AD866" s="182"/>
      <c r="AE866" s="182"/>
      <c r="AF866" s="182"/>
      <c r="AG866" s="182"/>
      <c r="AH866" s="182"/>
      <c r="AI866" s="182"/>
      <c r="AJ866" s="182"/>
      <c r="AK866" s="182"/>
      <c r="AL866" s="182"/>
      <c r="AM866" s="182"/>
      <c r="AN866" s="182"/>
      <c r="AO866" s="182"/>
      <c r="AP866" s="182"/>
      <c r="AQ866" s="185">
        <f t="shared" si="149"/>
        <v>7758.76</v>
      </c>
      <c r="AR866" s="182">
        <v>6532</v>
      </c>
      <c r="AS866" s="182">
        <v>803</v>
      </c>
      <c r="AT866" s="182">
        <v>423.76</v>
      </c>
      <c r="AU866" s="182"/>
      <c r="AV866" s="182"/>
      <c r="AW866" s="182"/>
      <c r="AX866" s="182"/>
      <c r="AY866" s="182"/>
      <c r="AZ866" s="182"/>
      <c r="BA866" s="182"/>
      <c r="BB866" s="182"/>
      <c r="BC866" s="182"/>
      <c r="BD866" s="182"/>
      <c r="BE866" s="182"/>
      <c r="BF866" s="182"/>
      <c r="BG866" s="182"/>
      <c r="BH866" s="182"/>
      <c r="BI866" s="182"/>
      <c r="BJ866" s="182"/>
      <c r="BK866" s="182"/>
      <c r="BL866" s="182"/>
      <c r="BM866" s="182"/>
      <c r="BN866" s="182"/>
      <c r="BO866" s="182"/>
      <c r="BP866" s="182"/>
      <c r="BQ866" s="182"/>
      <c r="BR866" s="182"/>
      <c r="BS866" s="182"/>
      <c r="BT866" s="182"/>
      <c r="BU866" s="182"/>
      <c r="BV866" s="182"/>
      <c r="BW866" s="182"/>
      <c r="BX866" s="182"/>
      <c r="BY866" s="182"/>
      <c r="BZ866" s="182"/>
      <c r="CA866" s="182"/>
      <c r="CB866" s="185">
        <f t="shared" si="150"/>
        <v>7758.76</v>
      </c>
      <c r="CC866" s="185">
        <f t="shared" si="151"/>
        <v>0</v>
      </c>
      <c r="CD866" s="185">
        <f t="shared" si="152"/>
        <v>1224</v>
      </c>
      <c r="CE866" s="185"/>
    </row>
    <row r="867" spans="2:83" s="197" customFormat="1" ht="56.25" x14ac:dyDescent="0.3">
      <c r="B867" s="182">
        <v>3117</v>
      </c>
      <c r="C867" s="182">
        <v>1225</v>
      </c>
      <c r="D867" s="182" t="s">
        <v>121</v>
      </c>
      <c r="E867" s="181" t="s">
        <v>4879</v>
      </c>
      <c r="F867" s="182"/>
      <c r="G867" s="182">
        <v>4750</v>
      </c>
      <c r="H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  <c r="Z867" s="182"/>
      <c r="AA867" s="182"/>
      <c r="AB867" s="182"/>
      <c r="AC867" s="182"/>
      <c r="AD867" s="182"/>
      <c r="AE867" s="182"/>
      <c r="AF867" s="182"/>
      <c r="AG867" s="182"/>
      <c r="AH867" s="182"/>
      <c r="AI867" s="182"/>
      <c r="AJ867" s="182"/>
      <c r="AK867" s="182"/>
      <c r="AL867" s="182"/>
      <c r="AM867" s="182"/>
      <c r="AN867" s="182"/>
      <c r="AO867" s="182"/>
      <c r="AP867" s="182"/>
      <c r="AQ867" s="185">
        <f t="shared" si="149"/>
        <v>4750</v>
      </c>
      <c r="AR867" s="182">
        <v>4045.39</v>
      </c>
      <c r="AS867" s="182">
        <v>704.61</v>
      </c>
      <c r="AT867" s="182"/>
      <c r="AU867" s="182"/>
      <c r="AV867" s="182"/>
      <c r="AW867" s="182"/>
      <c r="AX867" s="182"/>
      <c r="AY867" s="182"/>
      <c r="AZ867" s="182"/>
      <c r="BA867" s="182"/>
      <c r="BB867" s="182"/>
      <c r="BC867" s="182"/>
      <c r="BD867" s="182"/>
      <c r="BE867" s="182"/>
      <c r="BF867" s="182"/>
      <c r="BG867" s="182"/>
      <c r="BH867" s="182"/>
      <c r="BI867" s="182"/>
      <c r="BJ867" s="182"/>
      <c r="BK867" s="182"/>
      <c r="BL867" s="182"/>
      <c r="BM867" s="182"/>
      <c r="BN867" s="182"/>
      <c r="BO867" s="182"/>
      <c r="BP867" s="182"/>
      <c r="BQ867" s="182"/>
      <c r="BR867" s="182"/>
      <c r="BS867" s="182"/>
      <c r="BT867" s="182"/>
      <c r="BU867" s="182"/>
      <c r="BV867" s="182"/>
      <c r="BW867" s="182"/>
      <c r="BX867" s="182"/>
      <c r="BY867" s="182"/>
      <c r="BZ867" s="182"/>
      <c r="CA867" s="182"/>
      <c r="CB867" s="185">
        <f t="shared" si="150"/>
        <v>4750</v>
      </c>
      <c r="CC867" s="185">
        <f t="shared" si="151"/>
        <v>0</v>
      </c>
      <c r="CD867" s="185">
        <f t="shared" si="152"/>
        <v>1225</v>
      </c>
      <c r="CE867" s="185"/>
    </row>
    <row r="868" spans="2:83" s="197" customFormat="1" ht="56.25" x14ac:dyDescent="0.3">
      <c r="B868" s="182">
        <v>3118</v>
      </c>
      <c r="C868" s="182">
        <v>1226</v>
      </c>
      <c r="D868" s="182" t="s">
        <v>121</v>
      </c>
      <c r="E868" s="181" t="s">
        <v>4879</v>
      </c>
      <c r="F868" s="182"/>
      <c r="G868" s="182">
        <v>527.62</v>
      </c>
      <c r="H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  <c r="Z868" s="182"/>
      <c r="AA868" s="182"/>
      <c r="AB868" s="182"/>
      <c r="AC868" s="182"/>
      <c r="AD868" s="182"/>
      <c r="AE868" s="182"/>
      <c r="AF868" s="182"/>
      <c r="AG868" s="182"/>
      <c r="AH868" s="182"/>
      <c r="AI868" s="182"/>
      <c r="AJ868" s="182"/>
      <c r="AK868" s="182"/>
      <c r="AL868" s="182"/>
      <c r="AM868" s="182"/>
      <c r="AN868" s="182"/>
      <c r="AO868" s="182"/>
      <c r="AP868" s="182"/>
      <c r="AQ868" s="185">
        <f t="shared" si="149"/>
        <v>527.62</v>
      </c>
      <c r="AR868" s="182">
        <v>353.2</v>
      </c>
      <c r="AS868" s="182">
        <v>47.3</v>
      </c>
      <c r="AT868" s="182">
        <v>127.12</v>
      </c>
      <c r="AU868" s="182"/>
      <c r="AV868" s="182"/>
      <c r="AW868" s="182"/>
      <c r="AX868" s="182"/>
      <c r="AY868" s="182"/>
      <c r="AZ868" s="182"/>
      <c r="BA868" s="182"/>
      <c r="BB868" s="182"/>
      <c r="BC868" s="182"/>
      <c r="BD868" s="182"/>
      <c r="BE868" s="182"/>
      <c r="BF868" s="182"/>
      <c r="BG868" s="182"/>
      <c r="BH868" s="182"/>
      <c r="BI868" s="182"/>
      <c r="BJ868" s="182"/>
      <c r="BK868" s="182"/>
      <c r="BL868" s="182"/>
      <c r="BM868" s="182"/>
      <c r="BN868" s="182"/>
      <c r="BO868" s="182"/>
      <c r="BP868" s="182"/>
      <c r="BQ868" s="182"/>
      <c r="BR868" s="182"/>
      <c r="BS868" s="182"/>
      <c r="BT868" s="182"/>
      <c r="BU868" s="182"/>
      <c r="BV868" s="182"/>
      <c r="BW868" s="182"/>
      <c r="BX868" s="182"/>
      <c r="BY868" s="182"/>
      <c r="BZ868" s="182"/>
      <c r="CA868" s="182"/>
      <c r="CB868" s="185">
        <f t="shared" si="150"/>
        <v>527.62</v>
      </c>
      <c r="CC868" s="185">
        <f t="shared" si="151"/>
        <v>0</v>
      </c>
      <c r="CD868" s="185">
        <f t="shared" si="152"/>
        <v>1226</v>
      </c>
      <c r="CE868" s="185"/>
    </row>
    <row r="869" spans="2:83" s="197" customFormat="1" ht="56.25" x14ac:dyDescent="0.3">
      <c r="B869" s="182">
        <v>3108</v>
      </c>
      <c r="C869" s="182">
        <v>1227</v>
      </c>
      <c r="D869" s="182" t="s">
        <v>121</v>
      </c>
      <c r="E869" s="181" t="s">
        <v>4880</v>
      </c>
      <c r="F869" s="182"/>
      <c r="G869" s="182">
        <v>6775</v>
      </c>
      <c r="H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2"/>
      <c r="AH869" s="182"/>
      <c r="AI869" s="182"/>
      <c r="AJ869" s="182"/>
      <c r="AK869" s="182"/>
      <c r="AL869" s="182"/>
      <c r="AM869" s="182"/>
      <c r="AN869" s="182"/>
      <c r="AO869" s="182"/>
      <c r="AP869" s="182"/>
      <c r="AQ869" s="185">
        <f t="shared" si="149"/>
        <v>6775</v>
      </c>
      <c r="AR869" s="182">
        <v>6047.4</v>
      </c>
      <c r="AS869" s="182">
        <v>727.6</v>
      </c>
      <c r="AT869" s="182"/>
      <c r="AU869" s="182"/>
      <c r="AV869" s="182"/>
      <c r="AW869" s="182"/>
      <c r="AX869" s="182"/>
      <c r="AY869" s="182"/>
      <c r="AZ869" s="182"/>
      <c r="BA869" s="182"/>
      <c r="BB869" s="182"/>
      <c r="BC869" s="182"/>
      <c r="BD869" s="182"/>
      <c r="BE869" s="182"/>
      <c r="BF869" s="182"/>
      <c r="BG869" s="182"/>
      <c r="BH869" s="182"/>
      <c r="BI869" s="182"/>
      <c r="BJ869" s="182"/>
      <c r="BK869" s="182"/>
      <c r="BL869" s="182"/>
      <c r="BM869" s="182"/>
      <c r="BN869" s="182"/>
      <c r="BO869" s="182"/>
      <c r="BP869" s="182"/>
      <c r="BQ869" s="182"/>
      <c r="BR869" s="182"/>
      <c r="BS869" s="182"/>
      <c r="BT869" s="182"/>
      <c r="BU869" s="182"/>
      <c r="BV869" s="182"/>
      <c r="BW869" s="182"/>
      <c r="BX869" s="182"/>
      <c r="BY869" s="182"/>
      <c r="BZ869" s="182"/>
      <c r="CA869" s="182"/>
      <c r="CB869" s="185">
        <f t="shared" si="150"/>
        <v>6775</v>
      </c>
      <c r="CC869" s="185">
        <f t="shared" si="151"/>
        <v>0</v>
      </c>
      <c r="CD869" s="185">
        <f t="shared" si="152"/>
        <v>1227</v>
      </c>
      <c r="CE869" s="185"/>
    </row>
    <row r="870" spans="2:83" s="197" customFormat="1" ht="75" x14ac:dyDescent="0.3">
      <c r="B870" s="182">
        <v>3116</v>
      </c>
      <c r="C870" s="182">
        <v>1228</v>
      </c>
      <c r="D870" s="182" t="s">
        <v>121</v>
      </c>
      <c r="E870" s="181" t="s">
        <v>4881</v>
      </c>
      <c r="F870" s="182"/>
      <c r="G870" s="182">
        <v>7845</v>
      </c>
      <c r="H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2"/>
      <c r="AH870" s="182"/>
      <c r="AI870" s="182"/>
      <c r="AJ870" s="182"/>
      <c r="AK870" s="182"/>
      <c r="AL870" s="182"/>
      <c r="AM870" s="182"/>
      <c r="AN870" s="182"/>
      <c r="AO870" s="182"/>
      <c r="AP870" s="182"/>
      <c r="AQ870" s="185">
        <f t="shared" si="149"/>
        <v>7845</v>
      </c>
      <c r="AR870" s="182">
        <v>6478.85</v>
      </c>
      <c r="AS870" s="182">
        <v>801.15</v>
      </c>
      <c r="AT870" s="182">
        <v>565</v>
      </c>
      <c r="AU870" s="182"/>
      <c r="AV870" s="182"/>
      <c r="AW870" s="182"/>
      <c r="AX870" s="182"/>
      <c r="AY870" s="182"/>
      <c r="AZ870" s="182"/>
      <c r="BA870" s="182"/>
      <c r="BB870" s="182"/>
      <c r="BC870" s="182"/>
      <c r="BD870" s="182"/>
      <c r="BE870" s="182"/>
      <c r="BF870" s="182"/>
      <c r="BG870" s="182"/>
      <c r="BH870" s="182"/>
      <c r="BI870" s="182"/>
      <c r="BJ870" s="182"/>
      <c r="BK870" s="182"/>
      <c r="BL870" s="182"/>
      <c r="BM870" s="182"/>
      <c r="BN870" s="182"/>
      <c r="BO870" s="182"/>
      <c r="BP870" s="182"/>
      <c r="BQ870" s="182"/>
      <c r="BR870" s="182"/>
      <c r="BS870" s="182"/>
      <c r="BT870" s="182"/>
      <c r="BU870" s="182"/>
      <c r="BV870" s="182"/>
      <c r="BW870" s="182"/>
      <c r="BX870" s="182"/>
      <c r="BY870" s="182"/>
      <c r="BZ870" s="182"/>
      <c r="CA870" s="182"/>
      <c r="CB870" s="185">
        <f t="shared" si="150"/>
        <v>7845</v>
      </c>
      <c r="CC870" s="185">
        <f t="shared" si="151"/>
        <v>0</v>
      </c>
      <c r="CD870" s="185">
        <f t="shared" si="152"/>
        <v>1228</v>
      </c>
      <c r="CE870" s="185"/>
    </row>
    <row r="871" spans="2:83" s="197" customFormat="1" ht="37.5" x14ac:dyDescent="0.3">
      <c r="B871" s="182">
        <v>3176</v>
      </c>
      <c r="C871" s="182">
        <v>1229</v>
      </c>
      <c r="D871" s="182" t="s">
        <v>121</v>
      </c>
      <c r="E871" s="181" t="s">
        <v>4882</v>
      </c>
      <c r="F871" s="182"/>
      <c r="G871" s="182">
        <v>4045.14</v>
      </c>
      <c r="H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  <c r="Z871" s="182"/>
      <c r="AA871" s="182"/>
      <c r="AB871" s="182"/>
      <c r="AC871" s="182"/>
      <c r="AD871" s="182"/>
      <c r="AE871" s="182"/>
      <c r="AF871" s="182"/>
      <c r="AG871" s="182"/>
      <c r="AH871" s="182"/>
      <c r="AI871" s="182"/>
      <c r="AJ871" s="182"/>
      <c r="AK871" s="182"/>
      <c r="AL871" s="182"/>
      <c r="AM871" s="182"/>
      <c r="AN871" s="182"/>
      <c r="AO871" s="182"/>
      <c r="AP871" s="182"/>
      <c r="AQ871" s="185">
        <f t="shared" si="149"/>
        <v>4045.14</v>
      </c>
      <c r="AR871" s="182">
        <v>2708.4</v>
      </c>
      <c r="AS871" s="182">
        <v>362.1</v>
      </c>
      <c r="AT871" s="182">
        <v>974.64</v>
      </c>
      <c r="AU871" s="182"/>
      <c r="AV871" s="182"/>
      <c r="AW871" s="182"/>
      <c r="AX871" s="182"/>
      <c r="AY871" s="182"/>
      <c r="AZ871" s="182"/>
      <c r="BA871" s="182"/>
      <c r="BB871" s="182"/>
      <c r="BC871" s="182"/>
      <c r="BD871" s="182"/>
      <c r="BE871" s="182"/>
      <c r="BF871" s="182"/>
      <c r="BG871" s="182"/>
      <c r="BH871" s="182"/>
      <c r="BI871" s="182"/>
      <c r="BJ871" s="182"/>
      <c r="BK871" s="182"/>
      <c r="BL871" s="182"/>
      <c r="BM871" s="182"/>
      <c r="BN871" s="182"/>
      <c r="BO871" s="182"/>
      <c r="BP871" s="182"/>
      <c r="BQ871" s="182"/>
      <c r="BR871" s="182"/>
      <c r="BS871" s="182"/>
      <c r="BT871" s="182"/>
      <c r="BU871" s="182"/>
      <c r="BV871" s="182"/>
      <c r="BW871" s="182"/>
      <c r="BX871" s="182"/>
      <c r="BY871" s="182"/>
      <c r="BZ871" s="182"/>
      <c r="CA871" s="182"/>
      <c r="CB871" s="185">
        <f t="shared" si="150"/>
        <v>4045.14</v>
      </c>
      <c r="CC871" s="185">
        <f t="shared" si="151"/>
        <v>0</v>
      </c>
      <c r="CD871" s="185">
        <f t="shared" si="152"/>
        <v>1229</v>
      </c>
      <c r="CE871" s="185"/>
    </row>
    <row r="872" spans="2:83" s="197" customFormat="1" ht="37.5" x14ac:dyDescent="0.3">
      <c r="B872" s="182">
        <v>3174</v>
      </c>
      <c r="C872" s="182">
        <v>1230</v>
      </c>
      <c r="D872" s="182" t="s">
        <v>121</v>
      </c>
      <c r="E872" s="181" t="s">
        <v>1047</v>
      </c>
      <c r="F872" s="182"/>
      <c r="G872" s="182">
        <v>3318.62</v>
      </c>
      <c r="H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2"/>
      <c r="AH872" s="182"/>
      <c r="AI872" s="182"/>
      <c r="AJ872" s="182"/>
      <c r="AK872" s="182"/>
      <c r="AL872" s="182"/>
      <c r="AM872" s="182"/>
      <c r="AN872" s="182"/>
      <c r="AO872" s="182"/>
      <c r="AP872" s="182"/>
      <c r="AQ872" s="185">
        <f t="shared" si="149"/>
        <v>3318.62</v>
      </c>
      <c r="AR872" s="182">
        <v>2782.9</v>
      </c>
      <c r="AS872" s="182">
        <v>341.45</v>
      </c>
      <c r="AT872" s="182">
        <v>194.27</v>
      </c>
      <c r="AU872" s="182"/>
      <c r="AV872" s="182"/>
      <c r="AW872" s="182"/>
      <c r="AX872" s="182"/>
      <c r="AY872" s="182"/>
      <c r="AZ872" s="182"/>
      <c r="BA872" s="182"/>
      <c r="BB872" s="182"/>
      <c r="BC872" s="182"/>
      <c r="BD872" s="182"/>
      <c r="BE872" s="182"/>
      <c r="BF872" s="182"/>
      <c r="BG872" s="182"/>
      <c r="BH872" s="182"/>
      <c r="BI872" s="182"/>
      <c r="BJ872" s="182"/>
      <c r="BK872" s="182"/>
      <c r="BL872" s="182"/>
      <c r="BM872" s="182"/>
      <c r="BN872" s="182"/>
      <c r="BO872" s="182"/>
      <c r="BP872" s="182"/>
      <c r="BQ872" s="182"/>
      <c r="BR872" s="182"/>
      <c r="BS872" s="182"/>
      <c r="BT872" s="182"/>
      <c r="BU872" s="182"/>
      <c r="BV872" s="182"/>
      <c r="BW872" s="182"/>
      <c r="BX872" s="182"/>
      <c r="BY872" s="182"/>
      <c r="BZ872" s="182"/>
      <c r="CA872" s="182"/>
      <c r="CB872" s="185">
        <f t="shared" si="150"/>
        <v>3318.62</v>
      </c>
      <c r="CC872" s="185">
        <f t="shared" si="151"/>
        <v>0</v>
      </c>
      <c r="CD872" s="185">
        <f t="shared" si="152"/>
        <v>1230</v>
      </c>
      <c r="CE872" s="185"/>
    </row>
    <row r="873" spans="2:83" s="197" customFormat="1" ht="37.5" x14ac:dyDescent="0.3">
      <c r="B873" s="182">
        <v>3168</v>
      </c>
      <c r="C873" s="182">
        <v>1231</v>
      </c>
      <c r="D873" s="182" t="s">
        <v>121</v>
      </c>
      <c r="E873" s="181" t="s">
        <v>4883</v>
      </c>
      <c r="F873" s="182"/>
      <c r="G873" s="182">
        <v>3420.75</v>
      </c>
      <c r="H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2"/>
      <c r="AH873" s="182"/>
      <c r="AI873" s="182"/>
      <c r="AJ873" s="182"/>
      <c r="AK873" s="182"/>
      <c r="AL873" s="182"/>
      <c r="AM873" s="182"/>
      <c r="AN873" s="182"/>
      <c r="AO873" s="182"/>
      <c r="AP873" s="182"/>
      <c r="AQ873" s="185">
        <f t="shared" si="149"/>
        <v>3420.75</v>
      </c>
      <c r="AR873" s="182">
        <v>2871.8</v>
      </c>
      <c r="AS873" s="182">
        <v>351.2</v>
      </c>
      <c r="AT873" s="182">
        <v>197.75</v>
      </c>
      <c r="AU873" s="182"/>
      <c r="AV873" s="182"/>
      <c r="AW873" s="182"/>
      <c r="AX873" s="182"/>
      <c r="AY873" s="182"/>
      <c r="AZ873" s="182"/>
      <c r="BA873" s="182"/>
      <c r="BB873" s="182"/>
      <c r="BC873" s="182"/>
      <c r="BD873" s="182"/>
      <c r="BE873" s="182"/>
      <c r="BF873" s="182"/>
      <c r="BG873" s="182"/>
      <c r="BH873" s="182"/>
      <c r="BI873" s="182"/>
      <c r="BJ873" s="182"/>
      <c r="BK873" s="182"/>
      <c r="BL873" s="182"/>
      <c r="BM873" s="182"/>
      <c r="BN873" s="182"/>
      <c r="BO873" s="182"/>
      <c r="BP873" s="182"/>
      <c r="BQ873" s="182"/>
      <c r="BR873" s="182"/>
      <c r="BS873" s="182"/>
      <c r="BT873" s="182"/>
      <c r="BU873" s="182"/>
      <c r="BV873" s="182"/>
      <c r="BW873" s="182"/>
      <c r="BX873" s="182"/>
      <c r="BY873" s="182"/>
      <c r="BZ873" s="182"/>
      <c r="CA873" s="182"/>
      <c r="CB873" s="185">
        <f t="shared" si="150"/>
        <v>3420.75</v>
      </c>
      <c r="CC873" s="185">
        <f t="shared" si="151"/>
        <v>0</v>
      </c>
      <c r="CD873" s="185">
        <f t="shared" si="152"/>
        <v>1231</v>
      </c>
      <c r="CE873" s="185"/>
    </row>
    <row r="874" spans="2:83" s="197" customFormat="1" ht="37.5" x14ac:dyDescent="0.3">
      <c r="B874" s="182">
        <v>3150</v>
      </c>
      <c r="C874" s="182">
        <v>1232</v>
      </c>
      <c r="D874" s="182" t="s">
        <v>121</v>
      </c>
      <c r="E874" s="181" t="s">
        <v>4884</v>
      </c>
      <c r="F874" s="182"/>
      <c r="G874" s="182">
        <v>2276</v>
      </c>
      <c r="H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  <c r="Z874" s="182"/>
      <c r="AA874" s="182"/>
      <c r="AB874" s="182"/>
      <c r="AC874" s="182"/>
      <c r="AD874" s="182"/>
      <c r="AE874" s="182"/>
      <c r="AF874" s="182"/>
      <c r="AG874" s="182"/>
      <c r="AH874" s="182"/>
      <c r="AI874" s="182"/>
      <c r="AJ874" s="182"/>
      <c r="AK874" s="182"/>
      <c r="AL874" s="182"/>
      <c r="AM874" s="182"/>
      <c r="AN874" s="182"/>
      <c r="AO874" s="182"/>
      <c r="AP874" s="182"/>
      <c r="AQ874" s="185">
        <f t="shared" si="149"/>
        <v>2276</v>
      </c>
      <c r="AR874" s="182">
        <v>1613.7</v>
      </c>
      <c r="AS874" s="182">
        <v>210.3</v>
      </c>
      <c r="AT874" s="182">
        <v>452</v>
      </c>
      <c r="AU874" s="182"/>
      <c r="AV874" s="182"/>
      <c r="AW874" s="182"/>
      <c r="AX874" s="182"/>
      <c r="AY874" s="182"/>
      <c r="AZ874" s="182"/>
      <c r="BA874" s="182"/>
      <c r="BB874" s="182"/>
      <c r="BC874" s="182"/>
      <c r="BD874" s="182"/>
      <c r="BE874" s="182"/>
      <c r="BF874" s="182"/>
      <c r="BG874" s="182"/>
      <c r="BH874" s="182"/>
      <c r="BI874" s="182"/>
      <c r="BJ874" s="182"/>
      <c r="BK874" s="182"/>
      <c r="BL874" s="182"/>
      <c r="BM874" s="182"/>
      <c r="BN874" s="182"/>
      <c r="BO874" s="182"/>
      <c r="BP874" s="182"/>
      <c r="BQ874" s="182"/>
      <c r="BR874" s="182"/>
      <c r="BS874" s="182"/>
      <c r="BT874" s="182"/>
      <c r="BU874" s="182"/>
      <c r="BV874" s="182"/>
      <c r="BW874" s="182"/>
      <c r="BX874" s="182"/>
      <c r="BY874" s="182"/>
      <c r="BZ874" s="182"/>
      <c r="CA874" s="182"/>
      <c r="CB874" s="185">
        <f t="shared" si="150"/>
        <v>2276</v>
      </c>
      <c r="CC874" s="185">
        <f t="shared" si="151"/>
        <v>0</v>
      </c>
      <c r="CD874" s="185">
        <f t="shared" si="152"/>
        <v>1232</v>
      </c>
      <c r="CE874" s="185"/>
    </row>
    <row r="875" spans="2:83" s="197" customFormat="1" ht="37.5" x14ac:dyDescent="0.3">
      <c r="B875" s="182">
        <v>3151</v>
      </c>
      <c r="C875" s="182">
        <v>1233</v>
      </c>
      <c r="D875" s="182" t="s">
        <v>121</v>
      </c>
      <c r="E875" s="181" t="s">
        <v>4885</v>
      </c>
      <c r="F875" s="182"/>
      <c r="G875" s="182">
        <v>6508.76</v>
      </c>
      <c r="H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  <c r="Z875" s="182"/>
      <c r="AA875" s="182"/>
      <c r="AB875" s="182"/>
      <c r="AC875" s="182"/>
      <c r="AD875" s="182"/>
      <c r="AE875" s="182"/>
      <c r="AF875" s="182"/>
      <c r="AG875" s="182"/>
      <c r="AH875" s="182"/>
      <c r="AI875" s="182"/>
      <c r="AJ875" s="182"/>
      <c r="AK875" s="182"/>
      <c r="AL875" s="182"/>
      <c r="AM875" s="182"/>
      <c r="AN875" s="182"/>
      <c r="AO875" s="182"/>
      <c r="AP875" s="182"/>
      <c r="AQ875" s="185">
        <f t="shared" si="149"/>
        <v>6508.76</v>
      </c>
      <c r="AR875" s="182">
        <v>5416.9</v>
      </c>
      <c r="AS875" s="182">
        <v>668.1</v>
      </c>
      <c r="AT875" s="182">
        <v>423.76</v>
      </c>
      <c r="AU875" s="182"/>
      <c r="AV875" s="182"/>
      <c r="AW875" s="182"/>
      <c r="AX875" s="182"/>
      <c r="AY875" s="182"/>
      <c r="AZ875" s="182"/>
      <c r="BA875" s="182"/>
      <c r="BB875" s="182"/>
      <c r="BC875" s="182"/>
      <c r="BD875" s="182"/>
      <c r="BE875" s="182"/>
      <c r="BF875" s="182"/>
      <c r="BG875" s="182"/>
      <c r="BH875" s="182"/>
      <c r="BI875" s="182"/>
      <c r="BJ875" s="182"/>
      <c r="BK875" s="182"/>
      <c r="BL875" s="182"/>
      <c r="BM875" s="182"/>
      <c r="BN875" s="182"/>
      <c r="BO875" s="182"/>
      <c r="BP875" s="182"/>
      <c r="BQ875" s="182"/>
      <c r="BR875" s="182"/>
      <c r="BS875" s="182"/>
      <c r="BT875" s="182"/>
      <c r="BU875" s="182"/>
      <c r="BV875" s="182"/>
      <c r="BW875" s="182"/>
      <c r="BX875" s="182"/>
      <c r="BY875" s="182"/>
      <c r="BZ875" s="182"/>
      <c r="CA875" s="182"/>
      <c r="CB875" s="185">
        <f t="shared" si="150"/>
        <v>6508.76</v>
      </c>
      <c r="CC875" s="185">
        <f t="shared" si="151"/>
        <v>0</v>
      </c>
      <c r="CD875" s="185">
        <f t="shared" si="152"/>
        <v>1233</v>
      </c>
      <c r="CE875" s="185"/>
    </row>
    <row r="876" spans="2:83" s="197" customFormat="1" ht="37.5" x14ac:dyDescent="0.3">
      <c r="B876" s="182">
        <v>3155</v>
      </c>
      <c r="C876" s="182">
        <v>1234</v>
      </c>
      <c r="D876" s="182" t="s">
        <v>121</v>
      </c>
      <c r="E876" s="181" t="s">
        <v>4886</v>
      </c>
      <c r="F876" s="182"/>
      <c r="G876" s="182">
        <v>5379.38</v>
      </c>
      <c r="H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  <c r="Z876" s="182"/>
      <c r="AA876" s="182"/>
      <c r="AB876" s="182"/>
      <c r="AC876" s="182"/>
      <c r="AD876" s="182"/>
      <c r="AE876" s="182"/>
      <c r="AF876" s="182"/>
      <c r="AG876" s="182"/>
      <c r="AH876" s="182"/>
      <c r="AI876" s="182"/>
      <c r="AJ876" s="182"/>
      <c r="AK876" s="182"/>
      <c r="AL876" s="182"/>
      <c r="AM876" s="182"/>
      <c r="AN876" s="182"/>
      <c r="AO876" s="182"/>
      <c r="AP876" s="182"/>
      <c r="AQ876" s="185">
        <f t="shared" si="149"/>
        <v>5379.38</v>
      </c>
      <c r="AR876" s="182">
        <v>4604.75</v>
      </c>
      <c r="AS876" s="182">
        <v>562.75</v>
      </c>
      <c r="AT876" s="182">
        <v>211.88</v>
      </c>
      <c r="AU876" s="182"/>
      <c r="AV876" s="182"/>
      <c r="AW876" s="182"/>
      <c r="AX876" s="182"/>
      <c r="AY876" s="182"/>
      <c r="AZ876" s="182"/>
      <c r="BA876" s="182"/>
      <c r="BB876" s="182"/>
      <c r="BC876" s="182"/>
      <c r="BD876" s="182"/>
      <c r="BE876" s="182"/>
      <c r="BF876" s="182"/>
      <c r="BG876" s="182"/>
      <c r="BH876" s="182"/>
      <c r="BI876" s="182"/>
      <c r="BJ876" s="182"/>
      <c r="BK876" s="182"/>
      <c r="BL876" s="182"/>
      <c r="BM876" s="182"/>
      <c r="BN876" s="182"/>
      <c r="BO876" s="182"/>
      <c r="BP876" s="182"/>
      <c r="BQ876" s="182"/>
      <c r="BR876" s="182"/>
      <c r="BS876" s="182"/>
      <c r="BT876" s="182"/>
      <c r="BU876" s="182"/>
      <c r="BV876" s="182"/>
      <c r="BW876" s="182"/>
      <c r="BX876" s="182"/>
      <c r="BY876" s="182"/>
      <c r="BZ876" s="182"/>
      <c r="CA876" s="182"/>
      <c r="CB876" s="185">
        <f t="shared" si="150"/>
        <v>5379.38</v>
      </c>
      <c r="CC876" s="185">
        <f t="shared" si="151"/>
        <v>0</v>
      </c>
      <c r="CD876" s="185">
        <f t="shared" si="152"/>
        <v>1234</v>
      </c>
      <c r="CE876" s="185"/>
    </row>
    <row r="877" spans="2:83" s="197" customFormat="1" ht="37.5" x14ac:dyDescent="0.3">
      <c r="B877" s="182">
        <v>3158</v>
      </c>
      <c r="C877" s="182">
        <v>1235</v>
      </c>
      <c r="D877" s="182" t="s">
        <v>121</v>
      </c>
      <c r="E877" s="181" t="s">
        <v>4887</v>
      </c>
      <c r="F877" s="182"/>
      <c r="G877" s="182">
        <v>3999.67</v>
      </c>
      <c r="H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  <c r="Z877" s="182"/>
      <c r="AA877" s="182"/>
      <c r="AB877" s="182"/>
      <c r="AC877" s="182"/>
      <c r="AD877" s="182"/>
      <c r="AE877" s="182"/>
      <c r="AF877" s="182"/>
      <c r="AG877" s="182"/>
      <c r="AH877" s="182"/>
      <c r="AI877" s="182"/>
      <c r="AJ877" s="182"/>
      <c r="AK877" s="182"/>
      <c r="AL877" s="182"/>
      <c r="AM877" s="182"/>
      <c r="AN877" s="182"/>
      <c r="AO877" s="182"/>
      <c r="AP877" s="182"/>
      <c r="AQ877" s="185">
        <f t="shared" si="149"/>
        <v>3999.67</v>
      </c>
      <c r="AR877" s="182">
        <v>2807.87</v>
      </c>
      <c r="AS877" s="182">
        <v>373.5</v>
      </c>
      <c r="AT877" s="182">
        <v>818.3</v>
      </c>
      <c r="AU877" s="182"/>
      <c r="AV877" s="182"/>
      <c r="AW877" s="182"/>
      <c r="AX877" s="182"/>
      <c r="AY877" s="182"/>
      <c r="AZ877" s="182"/>
      <c r="BA877" s="182"/>
      <c r="BB877" s="182"/>
      <c r="BC877" s="182"/>
      <c r="BD877" s="182"/>
      <c r="BE877" s="182"/>
      <c r="BF877" s="182"/>
      <c r="BG877" s="182"/>
      <c r="BH877" s="182"/>
      <c r="BI877" s="182"/>
      <c r="BJ877" s="182"/>
      <c r="BK877" s="182"/>
      <c r="BL877" s="182"/>
      <c r="BM877" s="182"/>
      <c r="BN877" s="182"/>
      <c r="BO877" s="182"/>
      <c r="BP877" s="182"/>
      <c r="BQ877" s="182"/>
      <c r="BR877" s="182"/>
      <c r="BS877" s="182"/>
      <c r="BT877" s="182"/>
      <c r="BU877" s="182"/>
      <c r="BV877" s="182"/>
      <c r="BW877" s="182"/>
      <c r="BX877" s="182"/>
      <c r="BY877" s="182"/>
      <c r="BZ877" s="182"/>
      <c r="CA877" s="182"/>
      <c r="CB877" s="185">
        <f t="shared" si="150"/>
        <v>3999.67</v>
      </c>
      <c r="CC877" s="185">
        <f t="shared" si="151"/>
        <v>0</v>
      </c>
      <c r="CD877" s="185">
        <f t="shared" si="152"/>
        <v>1235</v>
      </c>
      <c r="CE877" s="185"/>
    </row>
    <row r="878" spans="2:83" s="197" customFormat="1" ht="37.5" x14ac:dyDescent="0.3">
      <c r="B878" s="182">
        <v>3159</v>
      </c>
      <c r="C878" s="182">
        <v>1236</v>
      </c>
      <c r="D878" s="182" t="s">
        <v>121</v>
      </c>
      <c r="E878" s="181" t="s">
        <v>4887</v>
      </c>
      <c r="F878" s="182"/>
      <c r="G878" s="182">
        <v>5161.83</v>
      </c>
      <c r="H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  <c r="Z878" s="182"/>
      <c r="AA878" s="182"/>
      <c r="AB878" s="182"/>
      <c r="AC878" s="182"/>
      <c r="AD878" s="182"/>
      <c r="AE878" s="182"/>
      <c r="AF878" s="182"/>
      <c r="AG878" s="182"/>
      <c r="AH878" s="182"/>
      <c r="AI878" s="182"/>
      <c r="AJ878" s="182"/>
      <c r="AK878" s="182"/>
      <c r="AL878" s="182"/>
      <c r="AM878" s="182"/>
      <c r="AN878" s="182"/>
      <c r="AO878" s="182"/>
      <c r="AP878" s="182"/>
      <c r="AQ878" s="185">
        <f t="shared" si="149"/>
        <v>5161.83</v>
      </c>
      <c r="AR878" s="182">
        <v>3903.51</v>
      </c>
      <c r="AS878" s="182">
        <v>502</v>
      </c>
      <c r="AT878" s="182">
        <v>756.32</v>
      </c>
      <c r="AU878" s="182"/>
      <c r="AV878" s="182"/>
      <c r="AW878" s="182"/>
      <c r="AX878" s="182"/>
      <c r="AY878" s="182"/>
      <c r="AZ878" s="182"/>
      <c r="BA878" s="182"/>
      <c r="BB878" s="182"/>
      <c r="BC878" s="182"/>
      <c r="BD878" s="182"/>
      <c r="BE878" s="182"/>
      <c r="BF878" s="182"/>
      <c r="BG878" s="182"/>
      <c r="BH878" s="182"/>
      <c r="BI878" s="182"/>
      <c r="BJ878" s="182"/>
      <c r="BK878" s="182"/>
      <c r="BL878" s="182"/>
      <c r="BM878" s="182"/>
      <c r="BN878" s="182"/>
      <c r="BO878" s="182"/>
      <c r="BP878" s="182"/>
      <c r="BQ878" s="182"/>
      <c r="BR878" s="182"/>
      <c r="BS878" s="182"/>
      <c r="BT878" s="182"/>
      <c r="BU878" s="182"/>
      <c r="BV878" s="182"/>
      <c r="BW878" s="182"/>
      <c r="BX878" s="182"/>
      <c r="BY878" s="182"/>
      <c r="BZ878" s="182"/>
      <c r="CA878" s="182"/>
      <c r="CB878" s="185">
        <f t="shared" si="150"/>
        <v>5161.83</v>
      </c>
      <c r="CC878" s="185">
        <f t="shared" si="151"/>
        <v>0</v>
      </c>
      <c r="CD878" s="185">
        <f t="shared" si="152"/>
        <v>1236</v>
      </c>
      <c r="CE878" s="185"/>
    </row>
    <row r="879" spans="2:83" s="197" customFormat="1" ht="37.5" x14ac:dyDescent="0.3">
      <c r="B879" s="182">
        <v>3161</v>
      </c>
      <c r="C879" s="182">
        <v>1237</v>
      </c>
      <c r="D879" s="182" t="s">
        <v>121</v>
      </c>
      <c r="E879" s="181" t="s">
        <v>4888</v>
      </c>
      <c r="F879" s="182"/>
      <c r="G879" s="182">
        <v>4104.26</v>
      </c>
      <c r="H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  <c r="Z879" s="182"/>
      <c r="AA879" s="182"/>
      <c r="AB879" s="182"/>
      <c r="AC879" s="182"/>
      <c r="AD879" s="182"/>
      <c r="AE879" s="182"/>
      <c r="AF879" s="182"/>
      <c r="AG879" s="182"/>
      <c r="AH879" s="182"/>
      <c r="AI879" s="182"/>
      <c r="AJ879" s="182"/>
      <c r="AK879" s="182"/>
      <c r="AL879" s="182"/>
      <c r="AM879" s="182"/>
      <c r="AN879" s="182"/>
      <c r="AO879" s="182"/>
      <c r="AP879" s="182"/>
      <c r="AQ879" s="185">
        <f t="shared" si="149"/>
        <v>4104.26</v>
      </c>
      <c r="AR879" s="182">
        <v>2884.36</v>
      </c>
      <c r="AS879" s="182">
        <v>377.7</v>
      </c>
      <c r="AT879" s="182">
        <v>842.2</v>
      </c>
      <c r="AU879" s="182"/>
      <c r="AV879" s="182"/>
      <c r="AW879" s="182"/>
      <c r="AX879" s="182"/>
      <c r="AY879" s="182"/>
      <c r="AZ879" s="182"/>
      <c r="BA879" s="182"/>
      <c r="BB879" s="182"/>
      <c r="BC879" s="182"/>
      <c r="BD879" s="182"/>
      <c r="BE879" s="182"/>
      <c r="BF879" s="182"/>
      <c r="BG879" s="182"/>
      <c r="BH879" s="182"/>
      <c r="BI879" s="182"/>
      <c r="BJ879" s="182"/>
      <c r="BK879" s="182"/>
      <c r="BL879" s="182"/>
      <c r="BM879" s="182"/>
      <c r="BN879" s="182"/>
      <c r="BO879" s="182"/>
      <c r="BP879" s="182"/>
      <c r="BQ879" s="182"/>
      <c r="BR879" s="182"/>
      <c r="BS879" s="182"/>
      <c r="BT879" s="182"/>
      <c r="BU879" s="182"/>
      <c r="BV879" s="182"/>
      <c r="BW879" s="182"/>
      <c r="BX879" s="182"/>
      <c r="BY879" s="182"/>
      <c r="BZ879" s="182"/>
      <c r="CA879" s="182"/>
      <c r="CB879" s="185">
        <f t="shared" si="150"/>
        <v>4104.26</v>
      </c>
      <c r="CC879" s="185">
        <f t="shared" si="151"/>
        <v>0</v>
      </c>
      <c r="CD879" s="185">
        <f t="shared" si="152"/>
        <v>1237</v>
      </c>
      <c r="CE879" s="185"/>
    </row>
    <row r="880" spans="2:83" s="197" customFormat="1" ht="37.5" x14ac:dyDescent="0.3">
      <c r="B880" s="182">
        <v>3173</v>
      </c>
      <c r="C880" s="182">
        <v>1238</v>
      </c>
      <c r="D880" s="182" t="s">
        <v>121</v>
      </c>
      <c r="E880" s="181" t="s">
        <v>4889</v>
      </c>
      <c r="F880" s="182"/>
      <c r="G880" s="182">
        <v>3607.59</v>
      </c>
      <c r="H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  <c r="Z880" s="182"/>
      <c r="AA880" s="182"/>
      <c r="AB880" s="182"/>
      <c r="AC880" s="182"/>
      <c r="AD880" s="182"/>
      <c r="AE880" s="182"/>
      <c r="AF880" s="182"/>
      <c r="AG880" s="182"/>
      <c r="AH880" s="182"/>
      <c r="AI880" s="182"/>
      <c r="AJ880" s="182"/>
      <c r="AK880" s="182"/>
      <c r="AL880" s="182"/>
      <c r="AM880" s="182"/>
      <c r="AN880" s="182"/>
      <c r="AO880" s="182"/>
      <c r="AP880" s="182"/>
      <c r="AQ880" s="185">
        <f t="shared" si="149"/>
        <v>3607.59</v>
      </c>
      <c r="AR880" s="182">
        <v>2524.5100000000002</v>
      </c>
      <c r="AS880" s="182">
        <v>333.7</v>
      </c>
      <c r="AT880" s="182">
        <v>749.38</v>
      </c>
      <c r="AU880" s="182"/>
      <c r="AV880" s="182"/>
      <c r="AW880" s="182"/>
      <c r="AX880" s="182"/>
      <c r="AY880" s="182"/>
      <c r="AZ880" s="182"/>
      <c r="BA880" s="182"/>
      <c r="BB880" s="182"/>
      <c r="BC880" s="182"/>
      <c r="BD880" s="182"/>
      <c r="BE880" s="182"/>
      <c r="BF880" s="182"/>
      <c r="BG880" s="182"/>
      <c r="BH880" s="182"/>
      <c r="BI880" s="182"/>
      <c r="BJ880" s="182"/>
      <c r="BK880" s="182"/>
      <c r="BL880" s="182"/>
      <c r="BM880" s="182"/>
      <c r="BN880" s="182"/>
      <c r="BO880" s="182"/>
      <c r="BP880" s="182"/>
      <c r="BQ880" s="182"/>
      <c r="BR880" s="182"/>
      <c r="BS880" s="182"/>
      <c r="BT880" s="182"/>
      <c r="BU880" s="182"/>
      <c r="BV880" s="182"/>
      <c r="BW880" s="182"/>
      <c r="BX880" s="182"/>
      <c r="BY880" s="182"/>
      <c r="BZ880" s="182"/>
      <c r="CA880" s="182"/>
      <c r="CB880" s="185">
        <f t="shared" si="150"/>
        <v>3607.59</v>
      </c>
      <c r="CC880" s="185">
        <f t="shared" si="151"/>
        <v>0</v>
      </c>
      <c r="CD880" s="185">
        <f t="shared" si="152"/>
        <v>1238</v>
      </c>
      <c r="CE880" s="185"/>
    </row>
    <row r="881" spans="2:83" s="197" customFormat="1" ht="37.5" x14ac:dyDescent="0.3">
      <c r="B881" s="182">
        <v>3177</v>
      </c>
      <c r="C881" s="182">
        <v>1239</v>
      </c>
      <c r="D881" s="182" t="s">
        <v>121</v>
      </c>
      <c r="E881" s="181" t="s">
        <v>4890</v>
      </c>
      <c r="F881" s="182"/>
      <c r="G881" s="182">
        <v>2051.9</v>
      </c>
      <c r="H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  <c r="Z881" s="182"/>
      <c r="AA881" s="182"/>
      <c r="AB881" s="182"/>
      <c r="AC881" s="182"/>
      <c r="AD881" s="182"/>
      <c r="AE881" s="182"/>
      <c r="AF881" s="182"/>
      <c r="AG881" s="182"/>
      <c r="AH881" s="182"/>
      <c r="AI881" s="182"/>
      <c r="AJ881" s="182"/>
      <c r="AK881" s="182"/>
      <c r="AL881" s="182"/>
      <c r="AM881" s="182"/>
      <c r="AN881" s="182"/>
      <c r="AO881" s="182"/>
      <c r="AP881" s="182"/>
      <c r="AQ881" s="185">
        <f t="shared" si="149"/>
        <v>2051.9</v>
      </c>
      <c r="AR881" s="182">
        <v>1374</v>
      </c>
      <c r="AS881" s="182">
        <v>183.5</v>
      </c>
      <c r="AT881" s="182">
        <v>494.4</v>
      </c>
      <c r="AU881" s="182"/>
      <c r="AV881" s="182"/>
      <c r="AW881" s="182"/>
      <c r="AX881" s="182"/>
      <c r="AY881" s="182"/>
      <c r="AZ881" s="182"/>
      <c r="BA881" s="182"/>
      <c r="BB881" s="182"/>
      <c r="BC881" s="182"/>
      <c r="BD881" s="182"/>
      <c r="BE881" s="182"/>
      <c r="BF881" s="182"/>
      <c r="BG881" s="182"/>
      <c r="BH881" s="182"/>
      <c r="BI881" s="182"/>
      <c r="BJ881" s="182"/>
      <c r="BK881" s="182"/>
      <c r="BL881" s="182"/>
      <c r="BM881" s="182"/>
      <c r="BN881" s="182"/>
      <c r="BO881" s="182"/>
      <c r="BP881" s="182"/>
      <c r="BQ881" s="182"/>
      <c r="BR881" s="182"/>
      <c r="BS881" s="182"/>
      <c r="BT881" s="182"/>
      <c r="BU881" s="182"/>
      <c r="BV881" s="182"/>
      <c r="BW881" s="182"/>
      <c r="BX881" s="182"/>
      <c r="BY881" s="182"/>
      <c r="BZ881" s="182"/>
      <c r="CA881" s="182"/>
      <c r="CB881" s="185">
        <f t="shared" si="150"/>
        <v>2051.9</v>
      </c>
      <c r="CC881" s="185">
        <f t="shared" si="151"/>
        <v>0</v>
      </c>
      <c r="CD881" s="185">
        <f t="shared" si="152"/>
        <v>1239</v>
      </c>
      <c r="CE881" s="185"/>
    </row>
    <row r="882" spans="2:83" s="197" customFormat="1" ht="37.5" x14ac:dyDescent="0.3">
      <c r="B882" s="182">
        <v>3178</v>
      </c>
      <c r="C882" s="182">
        <v>1240</v>
      </c>
      <c r="D882" s="182" t="s">
        <v>121</v>
      </c>
      <c r="E882" s="181" t="s">
        <v>4890</v>
      </c>
      <c r="F882" s="182"/>
      <c r="G882" s="182">
        <v>820.76</v>
      </c>
      <c r="H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2"/>
      <c r="AH882" s="182"/>
      <c r="AI882" s="182"/>
      <c r="AJ882" s="182"/>
      <c r="AK882" s="182"/>
      <c r="AL882" s="182"/>
      <c r="AM882" s="182"/>
      <c r="AN882" s="182"/>
      <c r="AO882" s="182"/>
      <c r="AP882" s="182"/>
      <c r="AQ882" s="185">
        <f t="shared" si="149"/>
        <v>820.76</v>
      </c>
      <c r="AR882" s="182">
        <v>549.6</v>
      </c>
      <c r="AS882" s="182">
        <v>73.400000000000006</v>
      </c>
      <c r="AT882" s="182">
        <v>197.76</v>
      </c>
      <c r="AU882" s="182"/>
      <c r="AV882" s="182"/>
      <c r="AW882" s="182"/>
      <c r="AX882" s="182"/>
      <c r="AY882" s="182"/>
      <c r="AZ882" s="182"/>
      <c r="BA882" s="182"/>
      <c r="BB882" s="182"/>
      <c r="BC882" s="182"/>
      <c r="BD882" s="182"/>
      <c r="BE882" s="182"/>
      <c r="BF882" s="182"/>
      <c r="BG882" s="182"/>
      <c r="BH882" s="182"/>
      <c r="BI882" s="182"/>
      <c r="BJ882" s="182"/>
      <c r="BK882" s="182"/>
      <c r="BL882" s="182"/>
      <c r="BM882" s="182"/>
      <c r="BN882" s="182"/>
      <c r="BO882" s="182"/>
      <c r="BP882" s="182"/>
      <c r="BQ882" s="182"/>
      <c r="BR882" s="182"/>
      <c r="BS882" s="182"/>
      <c r="BT882" s="182"/>
      <c r="BU882" s="182"/>
      <c r="BV882" s="182"/>
      <c r="BW882" s="182"/>
      <c r="BX882" s="182"/>
      <c r="BY882" s="182"/>
      <c r="BZ882" s="182"/>
      <c r="CA882" s="182"/>
      <c r="CB882" s="185">
        <f t="shared" si="150"/>
        <v>820.76</v>
      </c>
      <c r="CC882" s="185">
        <f t="shared" si="151"/>
        <v>0</v>
      </c>
      <c r="CD882" s="185">
        <f t="shared" si="152"/>
        <v>1240</v>
      </c>
      <c r="CE882" s="185"/>
    </row>
    <row r="883" spans="2:83" s="197" customFormat="1" ht="37.5" x14ac:dyDescent="0.3">
      <c r="B883" s="182">
        <v>3179</v>
      </c>
      <c r="C883" s="182">
        <v>1241</v>
      </c>
      <c r="D883" s="182" t="s">
        <v>121</v>
      </c>
      <c r="E883" s="181" t="s">
        <v>4891</v>
      </c>
      <c r="F883" s="182"/>
      <c r="G883" s="182">
        <v>879.38</v>
      </c>
      <c r="H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  <c r="Z883" s="182"/>
      <c r="AA883" s="182"/>
      <c r="AB883" s="182"/>
      <c r="AC883" s="182"/>
      <c r="AD883" s="182"/>
      <c r="AE883" s="182"/>
      <c r="AF883" s="182"/>
      <c r="AG883" s="182"/>
      <c r="AH883" s="182"/>
      <c r="AI883" s="182"/>
      <c r="AJ883" s="182"/>
      <c r="AK883" s="182"/>
      <c r="AL883" s="182"/>
      <c r="AM883" s="182"/>
      <c r="AN883" s="182"/>
      <c r="AO883" s="182"/>
      <c r="AP883" s="182"/>
      <c r="AQ883" s="185">
        <f t="shared" ref="AQ883:AQ914" si="153">SUM(G883:AP883)</f>
        <v>879.38</v>
      </c>
      <c r="AR883" s="182">
        <v>588.15</v>
      </c>
      <c r="AS883" s="182">
        <v>79.349999999999994</v>
      </c>
      <c r="AT883" s="182">
        <v>211.88</v>
      </c>
      <c r="AU883" s="182"/>
      <c r="AV883" s="182"/>
      <c r="AW883" s="182"/>
      <c r="AX883" s="182"/>
      <c r="AY883" s="182"/>
      <c r="AZ883" s="182"/>
      <c r="BA883" s="182"/>
      <c r="BB883" s="182"/>
      <c r="BC883" s="182"/>
      <c r="BD883" s="182"/>
      <c r="BE883" s="182"/>
      <c r="BF883" s="182"/>
      <c r="BG883" s="182"/>
      <c r="BH883" s="182"/>
      <c r="BI883" s="182"/>
      <c r="BJ883" s="182"/>
      <c r="BK883" s="182"/>
      <c r="BL883" s="182"/>
      <c r="BM883" s="182"/>
      <c r="BN883" s="182"/>
      <c r="BO883" s="182"/>
      <c r="BP883" s="182"/>
      <c r="BQ883" s="182"/>
      <c r="BR883" s="182"/>
      <c r="BS883" s="182"/>
      <c r="BT883" s="182"/>
      <c r="BU883" s="182"/>
      <c r="BV883" s="182"/>
      <c r="BW883" s="182"/>
      <c r="BX883" s="182"/>
      <c r="BY883" s="182"/>
      <c r="BZ883" s="182"/>
      <c r="CA883" s="182"/>
      <c r="CB883" s="185">
        <f t="shared" ref="CB883:CB914" si="154">SUM(AR883:CA883)</f>
        <v>879.38</v>
      </c>
      <c r="CC883" s="185">
        <f t="shared" ref="CC883:CC914" si="155">+CB883-AQ883</f>
        <v>0</v>
      </c>
      <c r="CD883" s="185">
        <f t="shared" ref="CD883:CD914" si="156">+C883</f>
        <v>1241</v>
      </c>
      <c r="CE883" s="185"/>
    </row>
    <row r="884" spans="2:83" s="197" customFormat="1" ht="37.5" x14ac:dyDescent="0.3">
      <c r="B884" s="182">
        <v>3169</v>
      </c>
      <c r="C884" s="182">
        <v>1242</v>
      </c>
      <c r="D884" s="182" t="s">
        <v>121</v>
      </c>
      <c r="E884" s="181" t="s">
        <v>4892</v>
      </c>
      <c r="F884" s="182"/>
      <c r="G884" s="182">
        <v>8000</v>
      </c>
      <c r="H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  <c r="Z884" s="182"/>
      <c r="AA884" s="182"/>
      <c r="AB884" s="182"/>
      <c r="AC884" s="182"/>
      <c r="AD884" s="182"/>
      <c r="AE884" s="182"/>
      <c r="AF884" s="182"/>
      <c r="AG884" s="182"/>
      <c r="AH884" s="182"/>
      <c r="AI884" s="182"/>
      <c r="AJ884" s="182"/>
      <c r="AK884" s="182"/>
      <c r="AL884" s="182"/>
      <c r="AM884" s="182"/>
      <c r="AN884" s="182"/>
      <c r="AO884" s="182"/>
      <c r="AP884" s="182"/>
      <c r="AQ884" s="185">
        <f t="shared" si="153"/>
        <v>8000</v>
      </c>
      <c r="AR884" s="182">
        <v>7139.1</v>
      </c>
      <c r="AS884" s="182">
        <v>860.9</v>
      </c>
      <c r="AT884" s="182"/>
      <c r="AU884" s="182"/>
      <c r="AV884" s="182"/>
      <c r="AW884" s="182"/>
      <c r="AX884" s="182"/>
      <c r="AY884" s="182"/>
      <c r="AZ884" s="182"/>
      <c r="BA884" s="182"/>
      <c r="BB884" s="182"/>
      <c r="BC884" s="182"/>
      <c r="BD884" s="182"/>
      <c r="BE884" s="182"/>
      <c r="BF884" s="182"/>
      <c r="BG884" s="182"/>
      <c r="BH884" s="182"/>
      <c r="BI884" s="182"/>
      <c r="BJ884" s="182"/>
      <c r="BK884" s="182"/>
      <c r="BL884" s="182"/>
      <c r="BM884" s="182"/>
      <c r="BN884" s="182"/>
      <c r="BO884" s="182"/>
      <c r="BP884" s="182"/>
      <c r="BQ884" s="182"/>
      <c r="BR884" s="182"/>
      <c r="BS884" s="182"/>
      <c r="BT884" s="182"/>
      <c r="BU884" s="182"/>
      <c r="BV884" s="182"/>
      <c r="BW884" s="182"/>
      <c r="BX884" s="182"/>
      <c r="BY884" s="182"/>
      <c r="BZ884" s="182"/>
      <c r="CA884" s="182"/>
      <c r="CB884" s="185">
        <f t="shared" si="154"/>
        <v>8000</v>
      </c>
      <c r="CC884" s="185">
        <f t="shared" si="155"/>
        <v>0</v>
      </c>
      <c r="CD884" s="185">
        <f t="shared" si="156"/>
        <v>1242</v>
      </c>
      <c r="CE884" s="185"/>
    </row>
    <row r="885" spans="2:83" s="197" customFormat="1" ht="37.5" x14ac:dyDescent="0.3">
      <c r="B885" s="182">
        <v>3111</v>
      </c>
      <c r="C885" s="182">
        <v>1243</v>
      </c>
      <c r="D885" s="182" t="s">
        <v>121</v>
      </c>
      <c r="E885" s="181" t="s">
        <v>4893</v>
      </c>
      <c r="F885" s="182"/>
      <c r="G885" s="182">
        <v>9450</v>
      </c>
      <c r="H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  <c r="Z885" s="182"/>
      <c r="AA885" s="182"/>
      <c r="AB885" s="182"/>
      <c r="AC885" s="182"/>
      <c r="AD885" s="182"/>
      <c r="AE885" s="182"/>
      <c r="AF885" s="182"/>
      <c r="AG885" s="182"/>
      <c r="AH885" s="182"/>
      <c r="AI885" s="182"/>
      <c r="AJ885" s="182"/>
      <c r="AK885" s="182"/>
      <c r="AL885" s="182"/>
      <c r="AM885" s="182"/>
      <c r="AN885" s="182"/>
      <c r="AO885" s="182"/>
      <c r="AP885" s="182"/>
      <c r="AQ885" s="185">
        <f t="shared" si="153"/>
        <v>9450</v>
      </c>
      <c r="AR885" s="182">
        <v>8435.65</v>
      </c>
      <c r="AS885" s="182">
        <v>1014.35</v>
      </c>
      <c r="AT885" s="182"/>
      <c r="AU885" s="182"/>
      <c r="AV885" s="182"/>
      <c r="AW885" s="182"/>
      <c r="AX885" s="182"/>
      <c r="AY885" s="182"/>
      <c r="AZ885" s="182"/>
      <c r="BA885" s="182"/>
      <c r="BB885" s="182"/>
      <c r="BC885" s="182"/>
      <c r="BD885" s="182"/>
      <c r="BE885" s="182"/>
      <c r="BF885" s="182"/>
      <c r="BG885" s="182"/>
      <c r="BH885" s="182"/>
      <c r="BI885" s="182"/>
      <c r="BJ885" s="182"/>
      <c r="BK885" s="182"/>
      <c r="BL885" s="182"/>
      <c r="BM885" s="182"/>
      <c r="BN885" s="182"/>
      <c r="BO885" s="182"/>
      <c r="BP885" s="182"/>
      <c r="BQ885" s="182"/>
      <c r="BR885" s="182"/>
      <c r="BS885" s="182"/>
      <c r="BT885" s="182"/>
      <c r="BU885" s="182"/>
      <c r="BV885" s="182"/>
      <c r="BW885" s="182"/>
      <c r="BX885" s="182"/>
      <c r="BY885" s="182"/>
      <c r="BZ885" s="182"/>
      <c r="CA885" s="182"/>
      <c r="CB885" s="185">
        <f t="shared" si="154"/>
        <v>9450</v>
      </c>
      <c r="CC885" s="185">
        <f t="shared" si="155"/>
        <v>0</v>
      </c>
      <c r="CD885" s="185">
        <f t="shared" si="156"/>
        <v>1243</v>
      </c>
      <c r="CE885" s="185"/>
    </row>
    <row r="886" spans="2:83" s="197" customFormat="1" ht="37.5" x14ac:dyDescent="0.3">
      <c r="B886" s="182">
        <v>3120</v>
      </c>
      <c r="C886" s="182">
        <v>1244</v>
      </c>
      <c r="D886" s="182" t="s">
        <v>121</v>
      </c>
      <c r="E886" s="181" t="s">
        <v>4894</v>
      </c>
      <c r="F886" s="182"/>
      <c r="G886" s="182">
        <v>820.75</v>
      </c>
      <c r="H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  <c r="Z886" s="182"/>
      <c r="AA886" s="182"/>
      <c r="AB886" s="182"/>
      <c r="AC886" s="182"/>
      <c r="AD886" s="182"/>
      <c r="AE886" s="182"/>
      <c r="AF886" s="182"/>
      <c r="AG886" s="182"/>
      <c r="AH886" s="182"/>
      <c r="AI886" s="182"/>
      <c r="AJ886" s="182"/>
      <c r="AK886" s="182"/>
      <c r="AL886" s="182"/>
      <c r="AM886" s="182"/>
      <c r="AN886" s="182"/>
      <c r="AO886" s="182"/>
      <c r="AP886" s="182"/>
      <c r="AQ886" s="185">
        <f t="shared" si="153"/>
        <v>820.75</v>
      </c>
      <c r="AR886" s="182">
        <v>548.95000000000005</v>
      </c>
      <c r="AS886" s="182">
        <v>74.05</v>
      </c>
      <c r="AT886" s="182">
        <v>197.75</v>
      </c>
      <c r="AU886" s="182"/>
      <c r="AV886" s="182"/>
      <c r="AW886" s="182"/>
      <c r="AX886" s="182"/>
      <c r="AY886" s="182"/>
      <c r="AZ886" s="182"/>
      <c r="BA886" s="182"/>
      <c r="BB886" s="182"/>
      <c r="BC886" s="182"/>
      <c r="BD886" s="182"/>
      <c r="BE886" s="182"/>
      <c r="BF886" s="182"/>
      <c r="BG886" s="182"/>
      <c r="BH886" s="182"/>
      <c r="BI886" s="182"/>
      <c r="BJ886" s="182"/>
      <c r="BK886" s="182"/>
      <c r="BL886" s="182"/>
      <c r="BM886" s="182"/>
      <c r="BN886" s="182"/>
      <c r="BO886" s="182"/>
      <c r="BP886" s="182"/>
      <c r="BQ886" s="182"/>
      <c r="BR886" s="182"/>
      <c r="BS886" s="182"/>
      <c r="BT886" s="182"/>
      <c r="BU886" s="182"/>
      <c r="BV886" s="182"/>
      <c r="BW886" s="182"/>
      <c r="BX886" s="182"/>
      <c r="BY886" s="182"/>
      <c r="BZ886" s="182"/>
      <c r="CA886" s="182"/>
      <c r="CB886" s="185">
        <f t="shared" si="154"/>
        <v>820.75</v>
      </c>
      <c r="CC886" s="185">
        <f t="shared" si="155"/>
        <v>0</v>
      </c>
      <c r="CD886" s="185">
        <f t="shared" si="156"/>
        <v>1244</v>
      </c>
      <c r="CE886" s="185"/>
    </row>
    <row r="887" spans="2:83" s="197" customFormat="1" ht="56.25" x14ac:dyDescent="0.3">
      <c r="B887" s="182">
        <v>3050</v>
      </c>
      <c r="C887" s="182">
        <v>1245</v>
      </c>
      <c r="D887" s="182" t="s">
        <v>121</v>
      </c>
      <c r="E887" s="181" t="s">
        <v>4895</v>
      </c>
      <c r="F887" s="182"/>
      <c r="G887" s="182">
        <v>27565.69</v>
      </c>
      <c r="H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2"/>
      <c r="AH887" s="182"/>
      <c r="AI887" s="182"/>
      <c r="AJ887" s="182"/>
      <c r="AK887" s="182"/>
      <c r="AL887" s="182"/>
      <c r="AM887" s="182"/>
      <c r="AN887" s="182"/>
      <c r="AO887" s="182"/>
      <c r="AP887" s="182"/>
      <c r="AQ887" s="185">
        <f t="shared" si="153"/>
        <v>27565.69</v>
      </c>
      <c r="AR887" s="182">
        <v>22416.28</v>
      </c>
      <c r="AS887" s="182">
        <v>2798.2</v>
      </c>
      <c r="AT887" s="182">
        <v>2351.21</v>
      </c>
      <c r="AU887" s="182"/>
      <c r="AV887" s="182"/>
      <c r="AW887" s="182"/>
      <c r="AX887" s="182"/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182"/>
      <c r="BK887" s="182"/>
      <c r="BL887" s="182"/>
      <c r="BM887" s="182"/>
      <c r="BN887" s="182"/>
      <c r="BO887" s="182"/>
      <c r="BP887" s="182"/>
      <c r="BQ887" s="182"/>
      <c r="BR887" s="182"/>
      <c r="BS887" s="182"/>
      <c r="BT887" s="182"/>
      <c r="BU887" s="182"/>
      <c r="BV887" s="182"/>
      <c r="BW887" s="182"/>
      <c r="BX887" s="182"/>
      <c r="BY887" s="182"/>
      <c r="BZ887" s="182"/>
      <c r="CA887" s="182"/>
      <c r="CB887" s="185">
        <f t="shared" si="154"/>
        <v>27565.69</v>
      </c>
      <c r="CC887" s="185">
        <f t="shared" si="155"/>
        <v>0</v>
      </c>
      <c r="CD887" s="185">
        <f t="shared" si="156"/>
        <v>1245</v>
      </c>
      <c r="CE887" s="185"/>
    </row>
    <row r="888" spans="2:83" s="197" customFormat="1" ht="37.5" x14ac:dyDescent="0.3">
      <c r="B888" s="182">
        <v>3044</v>
      </c>
      <c r="C888" s="182">
        <v>1246</v>
      </c>
      <c r="D888" s="182" t="s">
        <v>121</v>
      </c>
      <c r="E888" s="181" t="s">
        <v>4896</v>
      </c>
      <c r="F888" s="182"/>
      <c r="G888" s="182">
        <v>26348.06</v>
      </c>
      <c r="H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2"/>
      <c r="AH888" s="182"/>
      <c r="AI888" s="182"/>
      <c r="AJ888" s="182"/>
      <c r="AK888" s="182"/>
      <c r="AL888" s="182"/>
      <c r="AM888" s="182"/>
      <c r="AN888" s="182"/>
      <c r="AO888" s="182"/>
      <c r="AP888" s="182"/>
      <c r="AQ888" s="185">
        <f t="shared" si="153"/>
        <v>26348.06</v>
      </c>
      <c r="AR888" s="182">
        <v>19571.79</v>
      </c>
      <c r="AS888" s="182">
        <v>2537.85</v>
      </c>
      <c r="AT888" s="182">
        <v>4238.42</v>
      </c>
      <c r="AU888" s="182"/>
      <c r="AV888" s="182"/>
      <c r="AW888" s="182"/>
      <c r="AX888" s="182"/>
      <c r="AY888" s="182"/>
      <c r="AZ888" s="182"/>
      <c r="BA888" s="182"/>
      <c r="BB888" s="182"/>
      <c r="BC888" s="182"/>
      <c r="BD888" s="182"/>
      <c r="BE888" s="182"/>
      <c r="BF888" s="182"/>
      <c r="BG888" s="182"/>
      <c r="BH888" s="182"/>
      <c r="BI888" s="182"/>
      <c r="BJ888" s="182"/>
      <c r="BK888" s="182"/>
      <c r="BL888" s="182"/>
      <c r="BM888" s="182"/>
      <c r="BN888" s="182"/>
      <c r="BO888" s="182"/>
      <c r="BP888" s="182"/>
      <c r="BQ888" s="182"/>
      <c r="BR888" s="182"/>
      <c r="BS888" s="182"/>
      <c r="BT888" s="182"/>
      <c r="BU888" s="182"/>
      <c r="BV888" s="182"/>
      <c r="BW888" s="182"/>
      <c r="BX888" s="182"/>
      <c r="BY888" s="182"/>
      <c r="BZ888" s="182"/>
      <c r="CA888" s="182"/>
      <c r="CB888" s="185">
        <f t="shared" si="154"/>
        <v>26348.059999999998</v>
      </c>
      <c r="CC888" s="185">
        <f t="shared" si="155"/>
        <v>0</v>
      </c>
      <c r="CD888" s="185">
        <f t="shared" si="156"/>
        <v>1246</v>
      </c>
      <c r="CE888" s="185"/>
    </row>
    <row r="889" spans="2:83" s="197" customFormat="1" ht="37.5" x14ac:dyDescent="0.3">
      <c r="B889" s="182">
        <v>3110</v>
      </c>
      <c r="C889" s="182">
        <v>1247</v>
      </c>
      <c r="D889" s="182" t="s">
        <v>121</v>
      </c>
      <c r="E889" s="181" t="s">
        <v>4897</v>
      </c>
      <c r="F889" s="182"/>
      <c r="G889" s="182">
        <v>500</v>
      </c>
      <c r="H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  <c r="Z889" s="182"/>
      <c r="AA889" s="182"/>
      <c r="AB889" s="182"/>
      <c r="AC889" s="182"/>
      <c r="AD889" s="182"/>
      <c r="AE889" s="182"/>
      <c r="AF889" s="182"/>
      <c r="AG889" s="182"/>
      <c r="AH889" s="182"/>
      <c r="AI889" s="182"/>
      <c r="AJ889" s="182"/>
      <c r="AK889" s="182"/>
      <c r="AL889" s="182"/>
      <c r="AM889" s="182"/>
      <c r="AN889" s="182"/>
      <c r="AO889" s="182"/>
      <c r="AP889" s="182"/>
      <c r="AQ889" s="185">
        <f t="shared" si="153"/>
        <v>500</v>
      </c>
      <c r="AR889" s="182">
        <v>447.05</v>
      </c>
      <c r="AS889" s="182">
        <v>52.95</v>
      </c>
      <c r="AT889" s="182"/>
      <c r="AU889" s="182"/>
      <c r="AV889" s="182"/>
      <c r="AW889" s="182"/>
      <c r="AX889" s="182"/>
      <c r="AY889" s="182"/>
      <c r="AZ889" s="182"/>
      <c r="BA889" s="182"/>
      <c r="BB889" s="182"/>
      <c r="BC889" s="182"/>
      <c r="BD889" s="182"/>
      <c r="BE889" s="182"/>
      <c r="BF889" s="182"/>
      <c r="BG889" s="182"/>
      <c r="BH889" s="182"/>
      <c r="BI889" s="182"/>
      <c r="BJ889" s="182"/>
      <c r="BK889" s="182"/>
      <c r="BL889" s="182"/>
      <c r="BM889" s="182"/>
      <c r="BN889" s="182"/>
      <c r="BO889" s="182"/>
      <c r="BP889" s="182"/>
      <c r="BQ889" s="182"/>
      <c r="BR889" s="182"/>
      <c r="BS889" s="182"/>
      <c r="BT889" s="182"/>
      <c r="BU889" s="182"/>
      <c r="BV889" s="182"/>
      <c r="BW889" s="182"/>
      <c r="BX889" s="182"/>
      <c r="BY889" s="182"/>
      <c r="BZ889" s="182"/>
      <c r="CA889" s="182"/>
      <c r="CB889" s="185">
        <f t="shared" si="154"/>
        <v>500</v>
      </c>
      <c r="CC889" s="185">
        <f t="shared" si="155"/>
        <v>0</v>
      </c>
      <c r="CD889" s="185">
        <f t="shared" si="156"/>
        <v>1247</v>
      </c>
      <c r="CE889" s="185"/>
    </row>
    <row r="890" spans="2:83" s="197" customFormat="1" ht="56.25" x14ac:dyDescent="0.3">
      <c r="B890" s="182">
        <v>3109</v>
      </c>
      <c r="C890" s="182">
        <v>1248</v>
      </c>
      <c r="D890" s="182" t="s">
        <v>121</v>
      </c>
      <c r="E890" s="181" t="s">
        <v>4898</v>
      </c>
      <c r="F890" s="182"/>
      <c r="G890" s="182">
        <v>6000</v>
      </c>
      <c r="H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2"/>
      <c r="AH890" s="182"/>
      <c r="AI890" s="182"/>
      <c r="AJ890" s="182"/>
      <c r="AK890" s="182"/>
      <c r="AL890" s="182"/>
      <c r="AM890" s="182"/>
      <c r="AN890" s="182"/>
      <c r="AO890" s="182"/>
      <c r="AP890" s="182"/>
      <c r="AQ890" s="185">
        <f t="shared" si="153"/>
        <v>6000</v>
      </c>
      <c r="AR890" s="182">
        <v>5356.05</v>
      </c>
      <c r="AS890" s="182">
        <v>643.95000000000005</v>
      </c>
      <c r="AT890" s="182"/>
      <c r="AU890" s="182"/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182"/>
      <c r="BK890" s="182"/>
      <c r="BL890" s="182"/>
      <c r="BM890" s="182"/>
      <c r="BN890" s="182"/>
      <c r="BO890" s="182"/>
      <c r="BP890" s="182"/>
      <c r="BQ890" s="182"/>
      <c r="BR890" s="182"/>
      <c r="BS890" s="182"/>
      <c r="BT890" s="182"/>
      <c r="BU890" s="182"/>
      <c r="BV890" s="182"/>
      <c r="BW890" s="182"/>
      <c r="BX890" s="182"/>
      <c r="BY890" s="182"/>
      <c r="BZ890" s="182"/>
      <c r="CA890" s="182"/>
      <c r="CB890" s="185">
        <f t="shared" si="154"/>
        <v>6000</v>
      </c>
      <c r="CC890" s="185">
        <f t="shared" si="155"/>
        <v>0</v>
      </c>
      <c r="CD890" s="185">
        <f t="shared" si="156"/>
        <v>1248</v>
      </c>
      <c r="CE890" s="185"/>
    </row>
    <row r="891" spans="2:83" s="197" customFormat="1" ht="56.25" x14ac:dyDescent="0.3">
      <c r="B891" s="182">
        <v>3113</v>
      </c>
      <c r="C891" s="182">
        <v>1249</v>
      </c>
      <c r="D891" s="182" t="s">
        <v>121</v>
      </c>
      <c r="E891" s="181" t="s">
        <v>4899</v>
      </c>
      <c r="F891" s="182"/>
      <c r="G891" s="182">
        <v>3500</v>
      </c>
      <c r="H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2"/>
      <c r="AH891" s="182"/>
      <c r="AI891" s="182"/>
      <c r="AJ891" s="182"/>
      <c r="AK891" s="182"/>
      <c r="AL891" s="182"/>
      <c r="AM891" s="182"/>
      <c r="AN891" s="182"/>
      <c r="AO891" s="182"/>
      <c r="AP891" s="182"/>
      <c r="AQ891" s="185">
        <f t="shared" si="153"/>
        <v>3500</v>
      </c>
      <c r="AR891" s="182">
        <v>3124.45</v>
      </c>
      <c r="AS891" s="182">
        <v>375.55</v>
      </c>
      <c r="AT891" s="182"/>
      <c r="AU891" s="182"/>
      <c r="AV891" s="182"/>
      <c r="AW891" s="182"/>
      <c r="AX891" s="182"/>
      <c r="AY891" s="182"/>
      <c r="AZ891" s="182"/>
      <c r="BA891" s="182"/>
      <c r="BB891" s="182"/>
      <c r="BC891" s="182"/>
      <c r="BD891" s="182"/>
      <c r="BE891" s="182"/>
      <c r="BF891" s="182"/>
      <c r="BG891" s="182"/>
      <c r="BH891" s="182"/>
      <c r="BI891" s="182"/>
      <c r="BJ891" s="182"/>
      <c r="BK891" s="182"/>
      <c r="BL891" s="182"/>
      <c r="BM891" s="182"/>
      <c r="BN891" s="182"/>
      <c r="BO891" s="182"/>
      <c r="BP891" s="182"/>
      <c r="BQ891" s="182"/>
      <c r="BR891" s="182"/>
      <c r="BS891" s="182"/>
      <c r="BT891" s="182"/>
      <c r="BU891" s="182"/>
      <c r="BV891" s="182"/>
      <c r="BW891" s="182"/>
      <c r="BX891" s="182"/>
      <c r="BY891" s="182"/>
      <c r="BZ891" s="182"/>
      <c r="CA891" s="182"/>
      <c r="CB891" s="185">
        <f t="shared" si="154"/>
        <v>3500</v>
      </c>
      <c r="CC891" s="185">
        <f t="shared" si="155"/>
        <v>0</v>
      </c>
      <c r="CD891" s="185">
        <f t="shared" si="156"/>
        <v>1249</v>
      </c>
      <c r="CE891" s="185"/>
    </row>
    <row r="892" spans="2:83" s="197" customFormat="1" ht="56.25" x14ac:dyDescent="0.3">
      <c r="B892" s="182">
        <v>3115</v>
      </c>
      <c r="C892" s="182">
        <v>1250</v>
      </c>
      <c r="D892" s="182" t="s">
        <v>121</v>
      </c>
      <c r="E892" s="181" t="s">
        <v>4900</v>
      </c>
      <c r="F892" s="182"/>
      <c r="G892" s="182">
        <v>2345</v>
      </c>
      <c r="H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  <c r="Z892" s="182"/>
      <c r="AA892" s="182"/>
      <c r="AB892" s="182"/>
      <c r="AC892" s="182"/>
      <c r="AD892" s="182"/>
      <c r="AE892" s="182"/>
      <c r="AF892" s="182"/>
      <c r="AG892" s="182"/>
      <c r="AH892" s="182"/>
      <c r="AI892" s="182"/>
      <c r="AJ892" s="182"/>
      <c r="AK892" s="182"/>
      <c r="AL892" s="182"/>
      <c r="AM892" s="182"/>
      <c r="AN892" s="182"/>
      <c r="AO892" s="182"/>
      <c r="AP892" s="182"/>
      <c r="AQ892" s="185">
        <f t="shared" si="153"/>
        <v>2345</v>
      </c>
      <c r="AR892" s="182">
        <v>1567.75</v>
      </c>
      <c r="AS892" s="182">
        <v>212.25</v>
      </c>
      <c r="AT892" s="182">
        <v>565</v>
      </c>
      <c r="AU892" s="182"/>
      <c r="AV892" s="182"/>
      <c r="AW892" s="182"/>
      <c r="AX892" s="182"/>
      <c r="AY892" s="182"/>
      <c r="AZ892" s="182"/>
      <c r="BA892" s="182"/>
      <c r="BB892" s="182"/>
      <c r="BC892" s="182"/>
      <c r="BD892" s="182"/>
      <c r="BE892" s="182"/>
      <c r="BF892" s="182"/>
      <c r="BG892" s="182"/>
      <c r="BH892" s="182"/>
      <c r="BI892" s="182"/>
      <c r="BJ892" s="182"/>
      <c r="BK892" s="182"/>
      <c r="BL892" s="182"/>
      <c r="BM892" s="182"/>
      <c r="BN892" s="182"/>
      <c r="BO892" s="182"/>
      <c r="BP892" s="182"/>
      <c r="BQ892" s="182"/>
      <c r="BR892" s="182"/>
      <c r="BS892" s="182"/>
      <c r="BT892" s="182"/>
      <c r="BU892" s="182"/>
      <c r="BV892" s="182"/>
      <c r="BW892" s="182"/>
      <c r="BX892" s="182"/>
      <c r="BY892" s="182"/>
      <c r="BZ892" s="182"/>
      <c r="CA892" s="182"/>
      <c r="CB892" s="185">
        <f t="shared" si="154"/>
        <v>2345</v>
      </c>
      <c r="CC892" s="185">
        <f t="shared" si="155"/>
        <v>0</v>
      </c>
      <c r="CD892" s="185">
        <f t="shared" si="156"/>
        <v>1250</v>
      </c>
      <c r="CE892" s="185"/>
    </row>
    <row r="893" spans="2:83" s="197" customFormat="1" ht="37.5" x14ac:dyDescent="0.3">
      <c r="B893" s="182">
        <v>3154</v>
      </c>
      <c r="C893" s="182">
        <v>1251</v>
      </c>
      <c r="D893" s="182" t="s">
        <v>121</v>
      </c>
      <c r="E893" s="181" t="s">
        <v>4901</v>
      </c>
      <c r="F893" s="182"/>
      <c r="G893" s="182">
        <v>3000</v>
      </c>
      <c r="H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2"/>
      <c r="AH893" s="182"/>
      <c r="AI893" s="182"/>
      <c r="AJ893" s="182"/>
      <c r="AK893" s="182"/>
      <c r="AL893" s="182"/>
      <c r="AM893" s="182"/>
      <c r="AN893" s="182"/>
      <c r="AO893" s="182"/>
      <c r="AP893" s="182"/>
      <c r="AQ893" s="185">
        <f t="shared" si="153"/>
        <v>3000</v>
      </c>
      <c r="AR893" s="182">
        <v>2677.85</v>
      </c>
      <c r="AS893" s="182">
        <v>322.14999999999998</v>
      </c>
      <c r="AT893" s="182"/>
      <c r="AU893" s="182"/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182"/>
      <c r="BK893" s="182"/>
      <c r="BL893" s="182"/>
      <c r="BM893" s="182"/>
      <c r="BN893" s="182"/>
      <c r="BO893" s="182"/>
      <c r="BP893" s="182"/>
      <c r="BQ893" s="182"/>
      <c r="BR893" s="182"/>
      <c r="BS893" s="182"/>
      <c r="BT893" s="182"/>
      <c r="BU893" s="182"/>
      <c r="BV893" s="182"/>
      <c r="BW893" s="182"/>
      <c r="BX893" s="182"/>
      <c r="BY893" s="182"/>
      <c r="BZ893" s="182"/>
      <c r="CA893" s="182"/>
      <c r="CB893" s="185">
        <f t="shared" si="154"/>
        <v>3000</v>
      </c>
      <c r="CC893" s="185">
        <f t="shared" si="155"/>
        <v>0</v>
      </c>
      <c r="CD893" s="185">
        <f t="shared" si="156"/>
        <v>1251</v>
      </c>
      <c r="CE893" s="185"/>
    </row>
    <row r="894" spans="2:83" s="197" customFormat="1" ht="37.5" x14ac:dyDescent="0.3">
      <c r="B894" s="182">
        <v>3156</v>
      </c>
      <c r="C894" s="182">
        <v>1252</v>
      </c>
      <c r="D894" s="182" t="s">
        <v>121</v>
      </c>
      <c r="E894" s="181" t="s">
        <v>4902</v>
      </c>
      <c r="F894" s="182"/>
      <c r="G894" s="182">
        <v>2000</v>
      </c>
      <c r="H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2"/>
      <c r="AH894" s="182"/>
      <c r="AI894" s="182"/>
      <c r="AJ894" s="182"/>
      <c r="AK894" s="182"/>
      <c r="AL894" s="182"/>
      <c r="AM894" s="182"/>
      <c r="AN894" s="182"/>
      <c r="AO894" s="182"/>
      <c r="AP894" s="182"/>
      <c r="AQ894" s="185">
        <f t="shared" si="153"/>
        <v>2000</v>
      </c>
      <c r="AR894" s="182">
        <v>1785.35</v>
      </c>
      <c r="AS894" s="182">
        <v>214.65</v>
      </c>
      <c r="AT894" s="182"/>
      <c r="AU894" s="182"/>
      <c r="AV894" s="182"/>
      <c r="AW894" s="182"/>
      <c r="AX894" s="182"/>
      <c r="AY894" s="182"/>
      <c r="AZ894" s="182"/>
      <c r="BA894" s="182"/>
      <c r="BB894" s="182"/>
      <c r="BC894" s="182"/>
      <c r="BD894" s="182"/>
      <c r="BE894" s="182"/>
      <c r="BF894" s="182"/>
      <c r="BG894" s="182"/>
      <c r="BH894" s="182"/>
      <c r="BI894" s="182"/>
      <c r="BJ894" s="182"/>
      <c r="BK894" s="182"/>
      <c r="BL894" s="182"/>
      <c r="BM894" s="182"/>
      <c r="BN894" s="182"/>
      <c r="BO894" s="182"/>
      <c r="BP894" s="182"/>
      <c r="BQ894" s="182"/>
      <c r="BR894" s="182"/>
      <c r="BS894" s="182"/>
      <c r="BT894" s="182"/>
      <c r="BU894" s="182"/>
      <c r="BV894" s="182"/>
      <c r="BW894" s="182"/>
      <c r="BX894" s="182"/>
      <c r="BY894" s="182"/>
      <c r="BZ894" s="182"/>
      <c r="CA894" s="182"/>
      <c r="CB894" s="185">
        <f t="shared" si="154"/>
        <v>2000</v>
      </c>
      <c r="CC894" s="185">
        <f t="shared" si="155"/>
        <v>0</v>
      </c>
      <c r="CD894" s="185">
        <f t="shared" si="156"/>
        <v>1252</v>
      </c>
      <c r="CE894" s="185"/>
    </row>
    <row r="895" spans="2:83" s="197" customFormat="1" ht="56.25" x14ac:dyDescent="0.3">
      <c r="B895" s="182">
        <v>3157</v>
      </c>
      <c r="C895" s="182">
        <v>1253</v>
      </c>
      <c r="D895" s="182" t="s">
        <v>121</v>
      </c>
      <c r="E895" s="181" t="s">
        <v>4903</v>
      </c>
      <c r="F895" s="182"/>
      <c r="G895" s="182">
        <v>2931.25</v>
      </c>
      <c r="H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  <c r="Z895" s="182"/>
      <c r="AA895" s="182"/>
      <c r="AB895" s="182"/>
      <c r="AC895" s="182"/>
      <c r="AD895" s="182"/>
      <c r="AE895" s="182"/>
      <c r="AF895" s="182"/>
      <c r="AG895" s="182"/>
      <c r="AH895" s="182"/>
      <c r="AI895" s="182"/>
      <c r="AJ895" s="182"/>
      <c r="AK895" s="182"/>
      <c r="AL895" s="182"/>
      <c r="AM895" s="182"/>
      <c r="AN895" s="182"/>
      <c r="AO895" s="182"/>
      <c r="AP895" s="182"/>
      <c r="AQ895" s="185">
        <f t="shared" si="153"/>
        <v>2931.25</v>
      </c>
      <c r="AR895" s="182">
        <v>1958.65</v>
      </c>
      <c r="AS895" s="182">
        <v>266.35000000000002</v>
      </c>
      <c r="AT895" s="182">
        <v>706.25</v>
      </c>
      <c r="AU895" s="182"/>
      <c r="AV895" s="182"/>
      <c r="AW895" s="182"/>
      <c r="AX895" s="182"/>
      <c r="AY895" s="182"/>
      <c r="AZ895" s="182"/>
      <c r="BA895" s="182"/>
      <c r="BB895" s="182"/>
      <c r="BC895" s="182"/>
      <c r="BD895" s="182"/>
      <c r="BE895" s="182"/>
      <c r="BF895" s="182"/>
      <c r="BG895" s="182"/>
      <c r="BH895" s="182"/>
      <c r="BI895" s="182"/>
      <c r="BJ895" s="182"/>
      <c r="BK895" s="182"/>
      <c r="BL895" s="182"/>
      <c r="BM895" s="182"/>
      <c r="BN895" s="182"/>
      <c r="BO895" s="182"/>
      <c r="BP895" s="182"/>
      <c r="BQ895" s="182"/>
      <c r="BR895" s="182"/>
      <c r="BS895" s="182"/>
      <c r="BT895" s="182"/>
      <c r="BU895" s="182"/>
      <c r="BV895" s="182"/>
      <c r="BW895" s="182"/>
      <c r="BX895" s="182"/>
      <c r="BY895" s="182"/>
      <c r="BZ895" s="182"/>
      <c r="CA895" s="182"/>
      <c r="CB895" s="185">
        <f t="shared" si="154"/>
        <v>2931.25</v>
      </c>
      <c r="CC895" s="185">
        <f t="shared" si="155"/>
        <v>0</v>
      </c>
      <c r="CD895" s="185">
        <f t="shared" si="156"/>
        <v>1253</v>
      </c>
      <c r="CE895" s="185"/>
    </row>
    <row r="896" spans="2:83" s="197" customFormat="1" ht="37.5" x14ac:dyDescent="0.3">
      <c r="B896" s="182">
        <v>3163</v>
      </c>
      <c r="C896" s="182">
        <v>1254</v>
      </c>
      <c r="D896" s="182" t="s">
        <v>121</v>
      </c>
      <c r="E896" s="181" t="s">
        <v>4904</v>
      </c>
      <c r="F896" s="182"/>
      <c r="G896" s="182">
        <v>2122.2199999999998</v>
      </c>
      <c r="H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2"/>
      <c r="AH896" s="182"/>
      <c r="AI896" s="182"/>
      <c r="AJ896" s="182"/>
      <c r="AK896" s="182"/>
      <c r="AL896" s="182"/>
      <c r="AM896" s="182"/>
      <c r="AN896" s="182"/>
      <c r="AO896" s="182"/>
      <c r="AP896" s="182"/>
      <c r="AQ896" s="185">
        <f t="shared" si="153"/>
        <v>2122.2199999999998</v>
      </c>
      <c r="AR896" s="182">
        <v>1420.65</v>
      </c>
      <c r="AS896" s="182">
        <v>190.25</v>
      </c>
      <c r="AT896" s="182">
        <v>511.32</v>
      </c>
      <c r="AU896" s="182"/>
      <c r="AV896" s="182"/>
      <c r="AW896" s="182"/>
      <c r="AX896" s="182"/>
      <c r="AY896" s="182"/>
      <c r="AZ896" s="182"/>
      <c r="BA896" s="182"/>
      <c r="BB896" s="182"/>
      <c r="BC896" s="182"/>
      <c r="BD896" s="182"/>
      <c r="BE896" s="182"/>
      <c r="BF896" s="182"/>
      <c r="BG896" s="182"/>
      <c r="BH896" s="182"/>
      <c r="BI896" s="182"/>
      <c r="BJ896" s="182"/>
      <c r="BK896" s="182"/>
      <c r="BL896" s="182"/>
      <c r="BM896" s="182"/>
      <c r="BN896" s="182"/>
      <c r="BO896" s="182"/>
      <c r="BP896" s="182"/>
      <c r="BQ896" s="182"/>
      <c r="BR896" s="182"/>
      <c r="BS896" s="182"/>
      <c r="BT896" s="182"/>
      <c r="BU896" s="182"/>
      <c r="BV896" s="182"/>
      <c r="BW896" s="182"/>
      <c r="BX896" s="182"/>
      <c r="BY896" s="182"/>
      <c r="BZ896" s="182"/>
      <c r="CA896" s="182"/>
      <c r="CB896" s="185">
        <f t="shared" si="154"/>
        <v>2122.2200000000003</v>
      </c>
      <c r="CC896" s="185">
        <f t="shared" si="155"/>
        <v>0</v>
      </c>
      <c r="CD896" s="185">
        <f t="shared" si="156"/>
        <v>1254</v>
      </c>
      <c r="CE896" s="185"/>
    </row>
    <row r="897" spans="2:83" s="197" customFormat="1" ht="37.5" x14ac:dyDescent="0.3">
      <c r="B897" s="182">
        <v>3165</v>
      </c>
      <c r="C897" s="182">
        <v>1255</v>
      </c>
      <c r="D897" s="182" t="s">
        <v>121</v>
      </c>
      <c r="E897" s="181" t="s">
        <v>4905</v>
      </c>
      <c r="F897" s="182"/>
      <c r="G897" s="182">
        <v>3000</v>
      </c>
      <c r="H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2"/>
      <c r="AH897" s="182"/>
      <c r="AI897" s="182"/>
      <c r="AJ897" s="182"/>
      <c r="AK897" s="182"/>
      <c r="AL897" s="182"/>
      <c r="AM897" s="182"/>
      <c r="AN897" s="182"/>
      <c r="AO897" s="182"/>
      <c r="AP897" s="182"/>
      <c r="AQ897" s="185">
        <f t="shared" si="153"/>
        <v>3000</v>
      </c>
      <c r="AR897" s="182">
        <v>2678.2</v>
      </c>
      <c r="AS897" s="182">
        <v>321.8</v>
      </c>
      <c r="AT897" s="182"/>
      <c r="AU897" s="182"/>
      <c r="AV897" s="182"/>
      <c r="AW897" s="182"/>
      <c r="AX897" s="182"/>
      <c r="AY897" s="182"/>
      <c r="AZ897" s="182"/>
      <c r="BA897" s="182"/>
      <c r="BB897" s="182"/>
      <c r="BC897" s="182"/>
      <c r="BD897" s="182"/>
      <c r="BE897" s="182"/>
      <c r="BF897" s="182"/>
      <c r="BG897" s="182"/>
      <c r="BH897" s="182"/>
      <c r="BI897" s="182"/>
      <c r="BJ897" s="182"/>
      <c r="BK897" s="182"/>
      <c r="BL897" s="182"/>
      <c r="BM897" s="182"/>
      <c r="BN897" s="182"/>
      <c r="BO897" s="182"/>
      <c r="BP897" s="182"/>
      <c r="BQ897" s="182"/>
      <c r="BR897" s="182"/>
      <c r="BS897" s="182"/>
      <c r="BT897" s="182"/>
      <c r="BU897" s="182"/>
      <c r="BV897" s="182"/>
      <c r="BW897" s="182"/>
      <c r="BX897" s="182"/>
      <c r="BY897" s="182"/>
      <c r="BZ897" s="182"/>
      <c r="CA897" s="182"/>
      <c r="CB897" s="185">
        <f t="shared" si="154"/>
        <v>3000</v>
      </c>
      <c r="CC897" s="185">
        <f t="shared" si="155"/>
        <v>0</v>
      </c>
      <c r="CD897" s="185">
        <f t="shared" si="156"/>
        <v>1255</v>
      </c>
      <c r="CE897" s="185"/>
    </row>
    <row r="898" spans="2:83" s="197" customFormat="1" ht="37.5" x14ac:dyDescent="0.3">
      <c r="B898" s="182">
        <v>3167</v>
      </c>
      <c r="C898" s="182">
        <v>1256</v>
      </c>
      <c r="D898" s="182" t="s">
        <v>121</v>
      </c>
      <c r="E898" s="181" t="s">
        <v>4883</v>
      </c>
      <c r="F898" s="182"/>
      <c r="G898" s="182">
        <v>3517.5</v>
      </c>
      <c r="H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  <c r="Z898" s="182"/>
      <c r="AA898" s="182"/>
      <c r="AB898" s="182"/>
      <c r="AC898" s="182"/>
      <c r="AD898" s="182"/>
      <c r="AE898" s="182"/>
      <c r="AF898" s="182"/>
      <c r="AG898" s="182"/>
      <c r="AH898" s="182"/>
      <c r="AI898" s="182"/>
      <c r="AJ898" s="182"/>
      <c r="AK898" s="182"/>
      <c r="AL898" s="182"/>
      <c r="AM898" s="182"/>
      <c r="AN898" s="182"/>
      <c r="AO898" s="182"/>
      <c r="AP898" s="182"/>
      <c r="AQ898" s="185">
        <f t="shared" si="153"/>
        <v>3517.5</v>
      </c>
      <c r="AR898" s="182">
        <v>2352.5500000000002</v>
      </c>
      <c r="AS898" s="182">
        <v>317.45</v>
      </c>
      <c r="AT898" s="182">
        <v>847.5</v>
      </c>
      <c r="AU898" s="182"/>
      <c r="AV898" s="182"/>
      <c r="AW898" s="182"/>
      <c r="AX898" s="182"/>
      <c r="AY898" s="182"/>
      <c r="AZ898" s="182"/>
      <c r="BA898" s="182"/>
      <c r="BB898" s="182"/>
      <c r="BC898" s="182"/>
      <c r="BD898" s="182"/>
      <c r="BE898" s="182"/>
      <c r="BF898" s="182"/>
      <c r="BG898" s="182"/>
      <c r="BH898" s="182"/>
      <c r="BI898" s="182"/>
      <c r="BJ898" s="182"/>
      <c r="BK898" s="182"/>
      <c r="BL898" s="182"/>
      <c r="BM898" s="182"/>
      <c r="BN898" s="182"/>
      <c r="BO898" s="182"/>
      <c r="BP898" s="182"/>
      <c r="BQ898" s="182"/>
      <c r="BR898" s="182"/>
      <c r="BS898" s="182"/>
      <c r="BT898" s="182"/>
      <c r="BU898" s="182"/>
      <c r="BV898" s="182"/>
      <c r="BW898" s="182"/>
      <c r="BX898" s="182"/>
      <c r="BY898" s="182"/>
      <c r="BZ898" s="182"/>
      <c r="CA898" s="182"/>
      <c r="CB898" s="185">
        <f t="shared" si="154"/>
        <v>3517.5</v>
      </c>
      <c r="CC898" s="185">
        <f t="shared" si="155"/>
        <v>0</v>
      </c>
      <c r="CD898" s="185">
        <f t="shared" si="156"/>
        <v>1256</v>
      </c>
      <c r="CE898" s="185"/>
    </row>
    <row r="899" spans="2:83" s="197" customFormat="1" ht="37.5" x14ac:dyDescent="0.3">
      <c r="B899" s="182">
        <v>3175</v>
      </c>
      <c r="C899" s="182">
        <v>1257</v>
      </c>
      <c r="D899" s="182" t="s">
        <v>121</v>
      </c>
      <c r="E899" s="181" t="s">
        <v>1065</v>
      </c>
      <c r="F899" s="182"/>
      <c r="G899" s="182">
        <v>1172.5</v>
      </c>
      <c r="H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2"/>
      <c r="AH899" s="182"/>
      <c r="AI899" s="182"/>
      <c r="AJ899" s="182"/>
      <c r="AK899" s="182"/>
      <c r="AL899" s="182"/>
      <c r="AM899" s="182"/>
      <c r="AN899" s="182"/>
      <c r="AO899" s="182"/>
      <c r="AP899" s="182"/>
      <c r="AQ899" s="185">
        <f t="shared" si="153"/>
        <v>1172.5</v>
      </c>
      <c r="AR899" s="182">
        <v>784.1</v>
      </c>
      <c r="AS899" s="182">
        <v>105.9</v>
      </c>
      <c r="AT899" s="182">
        <v>282.5</v>
      </c>
      <c r="AU899" s="182"/>
      <c r="AV899" s="182"/>
      <c r="AW899" s="182"/>
      <c r="AX899" s="182"/>
      <c r="AY899" s="182"/>
      <c r="AZ899" s="182"/>
      <c r="BA899" s="182"/>
      <c r="BB899" s="182"/>
      <c r="BC899" s="182"/>
      <c r="BD899" s="182"/>
      <c r="BE899" s="182"/>
      <c r="BF899" s="182"/>
      <c r="BG899" s="182"/>
      <c r="BH899" s="182"/>
      <c r="BI899" s="182"/>
      <c r="BJ899" s="182"/>
      <c r="BK899" s="182"/>
      <c r="BL899" s="182"/>
      <c r="BM899" s="182"/>
      <c r="BN899" s="182"/>
      <c r="BO899" s="182"/>
      <c r="BP899" s="182"/>
      <c r="BQ899" s="182"/>
      <c r="BR899" s="182"/>
      <c r="BS899" s="182"/>
      <c r="BT899" s="182"/>
      <c r="BU899" s="182"/>
      <c r="BV899" s="182"/>
      <c r="BW899" s="182"/>
      <c r="BX899" s="182"/>
      <c r="BY899" s="182"/>
      <c r="BZ899" s="182"/>
      <c r="CA899" s="182"/>
      <c r="CB899" s="185">
        <f t="shared" si="154"/>
        <v>1172.5</v>
      </c>
      <c r="CC899" s="185">
        <f t="shared" si="155"/>
        <v>0</v>
      </c>
      <c r="CD899" s="185">
        <f t="shared" si="156"/>
        <v>1257</v>
      </c>
      <c r="CE899" s="185"/>
    </row>
    <row r="900" spans="2:83" s="197" customFormat="1" ht="37.5" x14ac:dyDescent="0.3">
      <c r="B900" s="182">
        <v>3121</v>
      </c>
      <c r="C900" s="182">
        <v>1258</v>
      </c>
      <c r="D900" s="182" t="s">
        <v>121</v>
      </c>
      <c r="E900" s="181" t="s">
        <v>4906</v>
      </c>
      <c r="F900" s="182"/>
      <c r="G900" s="182">
        <v>2286.37</v>
      </c>
      <c r="H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2"/>
      <c r="AH900" s="182"/>
      <c r="AI900" s="182"/>
      <c r="AJ900" s="182"/>
      <c r="AK900" s="182"/>
      <c r="AL900" s="182"/>
      <c r="AM900" s="182"/>
      <c r="AN900" s="182"/>
      <c r="AO900" s="182"/>
      <c r="AP900" s="182"/>
      <c r="AQ900" s="185">
        <f t="shared" si="153"/>
        <v>2286.37</v>
      </c>
      <c r="AR900" s="182">
        <v>1528.45</v>
      </c>
      <c r="AS900" s="182">
        <v>207.05</v>
      </c>
      <c r="AT900" s="182">
        <v>550.87</v>
      </c>
      <c r="AU900" s="182"/>
      <c r="AV900" s="182"/>
      <c r="AW900" s="182"/>
      <c r="AX900" s="182"/>
      <c r="AY900" s="182"/>
      <c r="AZ900" s="182"/>
      <c r="BA900" s="182"/>
      <c r="BB900" s="182"/>
      <c r="BC900" s="182"/>
      <c r="BD900" s="182"/>
      <c r="BE900" s="182"/>
      <c r="BF900" s="182"/>
      <c r="BG900" s="182"/>
      <c r="BH900" s="182"/>
      <c r="BI900" s="182"/>
      <c r="BJ900" s="182"/>
      <c r="BK900" s="182"/>
      <c r="BL900" s="182"/>
      <c r="BM900" s="182"/>
      <c r="BN900" s="182"/>
      <c r="BO900" s="182"/>
      <c r="BP900" s="182"/>
      <c r="BQ900" s="182"/>
      <c r="BR900" s="182"/>
      <c r="BS900" s="182"/>
      <c r="BT900" s="182"/>
      <c r="BU900" s="182"/>
      <c r="BV900" s="182"/>
      <c r="BW900" s="182"/>
      <c r="BX900" s="182"/>
      <c r="BY900" s="182"/>
      <c r="BZ900" s="182"/>
      <c r="CA900" s="182"/>
      <c r="CB900" s="185">
        <f t="shared" si="154"/>
        <v>2286.37</v>
      </c>
      <c r="CC900" s="185">
        <f t="shared" si="155"/>
        <v>0</v>
      </c>
      <c r="CD900" s="185">
        <f t="shared" si="156"/>
        <v>1258</v>
      </c>
      <c r="CE900" s="185"/>
    </row>
    <row r="901" spans="2:83" s="197" customFormat="1" ht="56.25" x14ac:dyDescent="0.3">
      <c r="B901" s="182">
        <v>3181</v>
      </c>
      <c r="C901" s="182">
        <v>1259</v>
      </c>
      <c r="D901" s="182" t="s">
        <v>121</v>
      </c>
      <c r="E901" s="181" t="s">
        <v>4907</v>
      </c>
      <c r="F901" s="182"/>
      <c r="G901" s="182">
        <v>2051.88</v>
      </c>
      <c r="H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  <c r="Z901" s="182"/>
      <c r="AA901" s="182"/>
      <c r="AB901" s="182"/>
      <c r="AC901" s="182"/>
      <c r="AD901" s="182"/>
      <c r="AE901" s="182"/>
      <c r="AF901" s="182"/>
      <c r="AG901" s="182"/>
      <c r="AH901" s="182"/>
      <c r="AI901" s="182"/>
      <c r="AJ901" s="182"/>
      <c r="AK901" s="182"/>
      <c r="AL901" s="182"/>
      <c r="AM901" s="182"/>
      <c r="AN901" s="182"/>
      <c r="AO901" s="182"/>
      <c r="AP901" s="182"/>
      <c r="AQ901" s="185">
        <f t="shared" si="153"/>
        <v>2051.88</v>
      </c>
      <c r="AR901" s="182">
        <v>1372.25</v>
      </c>
      <c r="AS901" s="182">
        <v>185.25</v>
      </c>
      <c r="AT901" s="182">
        <v>494.38</v>
      </c>
      <c r="AU901" s="182"/>
      <c r="AV901" s="182"/>
      <c r="AW901" s="182"/>
      <c r="AX901" s="182"/>
      <c r="AY901" s="182"/>
      <c r="AZ901" s="182"/>
      <c r="BA901" s="182"/>
      <c r="BB901" s="182"/>
      <c r="BC901" s="182"/>
      <c r="BD901" s="182"/>
      <c r="BE901" s="182"/>
      <c r="BF901" s="182"/>
      <c r="BG901" s="182"/>
      <c r="BH901" s="182"/>
      <c r="BI901" s="182"/>
      <c r="BJ901" s="182"/>
      <c r="BK901" s="182"/>
      <c r="BL901" s="182"/>
      <c r="BM901" s="182"/>
      <c r="BN901" s="182"/>
      <c r="BO901" s="182"/>
      <c r="BP901" s="182"/>
      <c r="BQ901" s="182"/>
      <c r="BR901" s="182"/>
      <c r="BS901" s="182"/>
      <c r="BT901" s="182"/>
      <c r="BU901" s="182"/>
      <c r="BV901" s="182"/>
      <c r="BW901" s="182"/>
      <c r="BX901" s="182"/>
      <c r="BY901" s="182"/>
      <c r="BZ901" s="182"/>
      <c r="CA901" s="182"/>
      <c r="CB901" s="185">
        <f t="shared" si="154"/>
        <v>2051.88</v>
      </c>
      <c r="CC901" s="185">
        <f t="shared" si="155"/>
        <v>0</v>
      </c>
      <c r="CD901" s="185">
        <f t="shared" si="156"/>
        <v>1259</v>
      </c>
      <c r="CE901" s="185"/>
    </row>
    <row r="902" spans="2:83" s="197" customFormat="1" ht="56.25" x14ac:dyDescent="0.3">
      <c r="B902" s="182">
        <v>3180</v>
      </c>
      <c r="C902" s="182">
        <v>1260</v>
      </c>
      <c r="D902" s="182" t="s">
        <v>121</v>
      </c>
      <c r="E902" s="181" t="s">
        <v>4907</v>
      </c>
      <c r="F902" s="182"/>
      <c r="G902" s="182">
        <v>20190.05</v>
      </c>
      <c r="H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  <c r="Z902" s="182"/>
      <c r="AA902" s="182"/>
      <c r="AB902" s="182"/>
      <c r="AC902" s="182"/>
      <c r="AD902" s="182"/>
      <c r="AE902" s="182"/>
      <c r="AF902" s="182"/>
      <c r="AG902" s="182"/>
      <c r="AH902" s="182"/>
      <c r="AI902" s="182"/>
      <c r="AJ902" s="182"/>
      <c r="AK902" s="182"/>
      <c r="AL902" s="182"/>
      <c r="AM902" s="182"/>
      <c r="AN902" s="182"/>
      <c r="AO902" s="182"/>
      <c r="AP902" s="182"/>
      <c r="AQ902" s="185">
        <f t="shared" si="153"/>
        <v>20190.05</v>
      </c>
      <c r="AR902" s="182">
        <v>16131.2</v>
      </c>
      <c r="AS902" s="182">
        <v>2028.05</v>
      </c>
      <c r="AT902" s="182">
        <v>2030.8</v>
      </c>
      <c r="AU902" s="182"/>
      <c r="AV902" s="182"/>
      <c r="AW902" s="182"/>
      <c r="AX902" s="182"/>
      <c r="AY902" s="182"/>
      <c r="AZ902" s="182"/>
      <c r="BA902" s="182"/>
      <c r="BB902" s="182"/>
      <c r="BC902" s="182"/>
      <c r="BD902" s="182"/>
      <c r="BE902" s="182"/>
      <c r="BF902" s="182"/>
      <c r="BG902" s="182"/>
      <c r="BH902" s="182"/>
      <c r="BI902" s="182"/>
      <c r="BJ902" s="182"/>
      <c r="BK902" s="182"/>
      <c r="BL902" s="182"/>
      <c r="BM902" s="182"/>
      <c r="BN902" s="182"/>
      <c r="BO902" s="182"/>
      <c r="BP902" s="182"/>
      <c r="BQ902" s="182"/>
      <c r="BR902" s="182"/>
      <c r="BS902" s="182"/>
      <c r="BT902" s="182"/>
      <c r="BU902" s="182"/>
      <c r="BV902" s="182"/>
      <c r="BW902" s="182"/>
      <c r="BX902" s="182"/>
      <c r="BY902" s="182"/>
      <c r="BZ902" s="182"/>
      <c r="CA902" s="182"/>
      <c r="CB902" s="185">
        <f t="shared" si="154"/>
        <v>20190.05</v>
      </c>
      <c r="CC902" s="185">
        <f t="shared" si="155"/>
        <v>0</v>
      </c>
      <c r="CD902" s="185">
        <f t="shared" si="156"/>
        <v>1260</v>
      </c>
      <c r="CE902" s="185"/>
    </row>
    <row r="903" spans="2:83" s="197" customFormat="1" ht="37.5" x14ac:dyDescent="0.3">
      <c r="B903" s="182">
        <v>2530</v>
      </c>
      <c r="C903" s="182">
        <v>1261</v>
      </c>
      <c r="D903" s="182" t="s">
        <v>78</v>
      </c>
      <c r="E903" s="181" t="s">
        <v>4859</v>
      </c>
      <c r="F903" s="182"/>
      <c r="G903" s="182">
        <v>12355.91</v>
      </c>
      <c r="H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  <c r="Z903" s="182"/>
      <c r="AA903" s="182"/>
      <c r="AB903" s="182"/>
      <c r="AC903" s="182"/>
      <c r="AD903" s="182"/>
      <c r="AE903" s="182"/>
      <c r="AF903" s="182"/>
      <c r="AG903" s="182"/>
      <c r="AH903" s="182"/>
      <c r="AI903" s="182"/>
      <c r="AJ903" s="182"/>
      <c r="AK903" s="182"/>
      <c r="AL903" s="182"/>
      <c r="AM903" s="182"/>
      <c r="AN903" s="182"/>
      <c r="AO903" s="182"/>
      <c r="AP903" s="182"/>
      <c r="AQ903" s="185">
        <f t="shared" si="153"/>
        <v>12355.91</v>
      </c>
      <c r="AR903" s="182">
        <v>8266.48</v>
      </c>
      <c r="AS903" s="182">
        <v>1112.47</v>
      </c>
      <c r="AT903" s="182">
        <v>2976.96</v>
      </c>
      <c r="AU903" s="182"/>
      <c r="AV903" s="182"/>
      <c r="AW903" s="182"/>
      <c r="AX903" s="182"/>
      <c r="AY903" s="182"/>
      <c r="AZ903" s="182"/>
      <c r="BA903" s="182"/>
      <c r="BB903" s="182"/>
      <c r="BC903" s="182"/>
      <c r="BD903" s="182"/>
      <c r="BE903" s="182"/>
      <c r="BF903" s="182"/>
      <c r="BG903" s="182"/>
      <c r="BH903" s="182"/>
      <c r="BI903" s="182"/>
      <c r="BJ903" s="182"/>
      <c r="BK903" s="182"/>
      <c r="BL903" s="182"/>
      <c r="BM903" s="182"/>
      <c r="BN903" s="182"/>
      <c r="BO903" s="182"/>
      <c r="BP903" s="182"/>
      <c r="BQ903" s="182"/>
      <c r="BR903" s="182"/>
      <c r="BS903" s="182"/>
      <c r="BT903" s="182"/>
      <c r="BU903" s="182"/>
      <c r="BV903" s="182"/>
      <c r="BW903" s="182"/>
      <c r="BX903" s="182"/>
      <c r="BY903" s="182"/>
      <c r="BZ903" s="182"/>
      <c r="CA903" s="182"/>
      <c r="CB903" s="185">
        <f t="shared" si="154"/>
        <v>12355.91</v>
      </c>
      <c r="CC903" s="185">
        <f t="shared" si="155"/>
        <v>0</v>
      </c>
      <c r="CD903" s="185">
        <f t="shared" si="156"/>
        <v>1261</v>
      </c>
      <c r="CE903" s="185"/>
    </row>
    <row r="904" spans="2:83" s="197" customFormat="1" ht="37.5" x14ac:dyDescent="0.3">
      <c r="B904" s="182">
        <v>2529</v>
      </c>
      <c r="C904" s="182">
        <v>1262</v>
      </c>
      <c r="D904" s="182" t="s">
        <v>78</v>
      </c>
      <c r="E904" s="181" t="s">
        <v>4859</v>
      </c>
      <c r="F904" s="182"/>
      <c r="G904" s="182">
        <v>2016.43</v>
      </c>
      <c r="H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  <c r="Z904" s="182"/>
      <c r="AA904" s="182"/>
      <c r="AB904" s="182"/>
      <c r="AC904" s="182"/>
      <c r="AD904" s="182"/>
      <c r="AE904" s="182"/>
      <c r="AF904" s="182"/>
      <c r="AG904" s="182"/>
      <c r="AH904" s="182"/>
      <c r="AI904" s="182"/>
      <c r="AJ904" s="182"/>
      <c r="AK904" s="182"/>
      <c r="AL904" s="182"/>
      <c r="AM904" s="182"/>
      <c r="AN904" s="182"/>
      <c r="AO904" s="182"/>
      <c r="AP904" s="182"/>
      <c r="AQ904" s="185">
        <f t="shared" si="153"/>
        <v>2016.43</v>
      </c>
      <c r="AR904" s="182">
        <v>1371.63</v>
      </c>
      <c r="AS904" s="182">
        <v>183.26</v>
      </c>
      <c r="AT904" s="182">
        <v>461.54</v>
      </c>
      <c r="AU904" s="182"/>
      <c r="AV904" s="182"/>
      <c r="AW904" s="182"/>
      <c r="AX904" s="182"/>
      <c r="AY904" s="182"/>
      <c r="AZ904" s="182"/>
      <c r="BA904" s="182"/>
      <c r="BB904" s="182"/>
      <c r="BC904" s="182"/>
      <c r="BD904" s="182"/>
      <c r="BE904" s="182"/>
      <c r="BF904" s="182"/>
      <c r="BG904" s="182"/>
      <c r="BH904" s="182"/>
      <c r="BI904" s="182"/>
      <c r="BJ904" s="182"/>
      <c r="BK904" s="182"/>
      <c r="BL904" s="182"/>
      <c r="BM904" s="182"/>
      <c r="BN904" s="182"/>
      <c r="BO904" s="182"/>
      <c r="BP904" s="182"/>
      <c r="BQ904" s="182"/>
      <c r="BR904" s="182"/>
      <c r="BS904" s="182"/>
      <c r="BT904" s="182"/>
      <c r="BU904" s="182"/>
      <c r="BV904" s="182"/>
      <c r="BW904" s="182"/>
      <c r="BX904" s="182"/>
      <c r="BY904" s="182"/>
      <c r="BZ904" s="182"/>
      <c r="CA904" s="182"/>
      <c r="CB904" s="185">
        <f t="shared" si="154"/>
        <v>2016.43</v>
      </c>
      <c r="CC904" s="185">
        <f t="shared" si="155"/>
        <v>0</v>
      </c>
      <c r="CD904" s="185">
        <f t="shared" si="156"/>
        <v>1262</v>
      </c>
      <c r="CE904" s="185"/>
    </row>
    <row r="905" spans="2:83" s="197" customFormat="1" ht="37.5" x14ac:dyDescent="0.3">
      <c r="B905" s="182">
        <v>2528</v>
      </c>
      <c r="C905" s="182">
        <v>1263</v>
      </c>
      <c r="D905" s="182" t="s">
        <v>78</v>
      </c>
      <c r="E905" s="181" t="s">
        <v>4859</v>
      </c>
      <c r="F905" s="182"/>
      <c r="G905" s="182">
        <v>613.72</v>
      </c>
      <c r="H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2"/>
      <c r="AH905" s="182"/>
      <c r="AI905" s="182"/>
      <c r="AJ905" s="182"/>
      <c r="AK905" s="182"/>
      <c r="AL905" s="182"/>
      <c r="AM905" s="182"/>
      <c r="AN905" s="182"/>
      <c r="AO905" s="182"/>
      <c r="AP905" s="182"/>
      <c r="AQ905" s="185">
        <f t="shared" si="153"/>
        <v>613.72</v>
      </c>
      <c r="AR905" s="182">
        <v>410.58</v>
      </c>
      <c r="AS905" s="182">
        <v>55.29</v>
      </c>
      <c r="AT905" s="182">
        <v>147.85</v>
      </c>
      <c r="AU905" s="182"/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182"/>
      <c r="BK905" s="182"/>
      <c r="BL905" s="182"/>
      <c r="BM905" s="182"/>
      <c r="BN905" s="182"/>
      <c r="BO905" s="182"/>
      <c r="BP905" s="182"/>
      <c r="BQ905" s="182"/>
      <c r="BR905" s="182"/>
      <c r="BS905" s="182"/>
      <c r="BT905" s="182"/>
      <c r="BU905" s="182"/>
      <c r="BV905" s="182"/>
      <c r="BW905" s="182"/>
      <c r="BX905" s="182"/>
      <c r="BY905" s="182"/>
      <c r="BZ905" s="182"/>
      <c r="CA905" s="182"/>
      <c r="CB905" s="185">
        <f t="shared" si="154"/>
        <v>613.72</v>
      </c>
      <c r="CC905" s="185">
        <f t="shared" si="155"/>
        <v>0</v>
      </c>
      <c r="CD905" s="185">
        <f t="shared" si="156"/>
        <v>1263</v>
      </c>
      <c r="CE905" s="185"/>
    </row>
    <row r="906" spans="2:83" s="197" customFormat="1" ht="37.5" x14ac:dyDescent="0.3">
      <c r="B906" s="182">
        <v>2527</v>
      </c>
      <c r="C906" s="182">
        <v>1264</v>
      </c>
      <c r="D906" s="182" t="s">
        <v>78</v>
      </c>
      <c r="E906" s="181" t="s">
        <v>4859</v>
      </c>
      <c r="F906" s="182"/>
      <c r="G906" s="182">
        <v>483.84</v>
      </c>
      <c r="H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2"/>
      <c r="AH906" s="182"/>
      <c r="AI906" s="182"/>
      <c r="AJ906" s="182"/>
      <c r="AK906" s="182"/>
      <c r="AL906" s="182"/>
      <c r="AM906" s="182"/>
      <c r="AN906" s="182"/>
      <c r="AO906" s="182"/>
      <c r="AP906" s="182"/>
      <c r="AQ906" s="185">
        <f t="shared" si="153"/>
        <v>483.84</v>
      </c>
      <c r="AR906" s="182">
        <v>432.61</v>
      </c>
      <c r="AS906" s="182">
        <v>51.23</v>
      </c>
      <c r="AT906" s="182"/>
      <c r="AU906" s="182"/>
      <c r="AV906" s="182"/>
      <c r="AW906" s="182"/>
      <c r="AX906" s="182"/>
      <c r="AY906" s="182"/>
      <c r="AZ906" s="182"/>
      <c r="BA906" s="182"/>
      <c r="BB906" s="182"/>
      <c r="BC906" s="182"/>
      <c r="BD906" s="182"/>
      <c r="BE906" s="182"/>
      <c r="BF906" s="182"/>
      <c r="BG906" s="182"/>
      <c r="BH906" s="182"/>
      <c r="BI906" s="182"/>
      <c r="BJ906" s="182"/>
      <c r="BK906" s="182"/>
      <c r="BL906" s="182"/>
      <c r="BM906" s="182"/>
      <c r="BN906" s="182"/>
      <c r="BO906" s="182"/>
      <c r="BP906" s="182"/>
      <c r="BQ906" s="182"/>
      <c r="BR906" s="182"/>
      <c r="BS906" s="182"/>
      <c r="BT906" s="182"/>
      <c r="BU906" s="182"/>
      <c r="BV906" s="182"/>
      <c r="BW906" s="182"/>
      <c r="BX906" s="182"/>
      <c r="BY906" s="182"/>
      <c r="BZ906" s="182"/>
      <c r="CA906" s="182"/>
      <c r="CB906" s="185">
        <f t="shared" si="154"/>
        <v>483.84000000000003</v>
      </c>
      <c r="CC906" s="185">
        <f t="shared" si="155"/>
        <v>0</v>
      </c>
      <c r="CD906" s="185">
        <f t="shared" si="156"/>
        <v>1264</v>
      </c>
      <c r="CE906" s="185"/>
    </row>
    <row r="907" spans="2:83" s="197" customFormat="1" ht="37.5" x14ac:dyDescent="0.3">
      <c r="B907" s="182">
        <v>2533</v>
      </c>
      <c r="C907" s="182">
        <v>1265</v>
      </c>
      <c r="D907" s="182" t="s">
        <v>78</v>
      </c>
      <c r="E907" s="181" t="s">
        <v>4859</v>
      </c>
      <c r="F907" s="182"/>
      <c r="G907" s="182">
        <v>9507.1200000000008</v>
      </c>
      <c r="H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82"/>
      <c r="Y907" s="182"/>
      <c r="Z907" s="182"/>
      <c r="AA907" s="182"/>
      <c r="AB907" s="182"/>
      <c r="AC907" s="182"/>
      <c r="AD907" s="182"/>
      <c r="AE907" s="182"/>
      <c r="AF907" s="182"/>
      <c r="AG907" s="182"/>
      <c r="AH907" s="182"/>
      <c r="AI907" s="182"/>
      <c r="AJ907" s="182"/>
      <c r="AK907" s="182"/>
      <c r="AL907" s="182"/>
      <c r="AM907" s="182"/>
      <c r="AN907" s="182"/>
      <c r="AO907" s="182"/>
      <c r="AP907" s="182"/>
      <c r="AQ907" s="185">
        <f t="shared" si="153"/>
        <v>9507.1200000000008</v>
      </c>
      <c r="AR907" s="182">
        <v>8394.6299999999992</v>
      </c>
      <c r="AS907" s="182">
        <v>1018.95</v>
      </c>
      <c r="AT907" s="182">
        <v>93.54</v>
      </c>
      <c r="AU907" s="182"/>
      <c r="AV907" s="182"/>
      <c r="AW907" s="182"/>
      <c r="AX907" s="182"/>
      <c r="AY907" s="182"/>
      <c r="AZ907" s="182"/>
      <c r="BA907" s="182"/>
      <c r="BB907" s="182"/>
      <c r="BC907" s="182"/>
      <c r="BD907" s="182"/>
      <c r="BE907" s="182"/>
      <c r="BF907" s="182"/>
      <c r="BG907" s="182"/>
      <c r="BH907" s="182"/>
      <c r="BI907" s="182"/>
      <c r="BJ907" s="182"/>
      <c r="BK907" s="182"/>
      <c r="BL907" s="182"/>
      <c r="BM907" s="182"/>
      <c r="BN907" s="182"/>
      <c r="BO907" s="182"/>
      <c r="BP907" s="182"/>
      <c r="BQ907" s="182"/>
      <c r="BR907" s="182"/>
      <c r="BS907" s="182"/>
      <c r="BT907" s="182"/>
      <c r="BU907" s="182"/>
      <c r="BV907" s="182"/>
      <c r="BW907" s="182"/>
      <c r="BX907" s="182"/>
      <c r="BY907" s="182"/>
      <c r="BZ907" s="182"/>
      <c r="CA907" s="182"/>
      <c r="CB907" s="185">
        <f t="shared" si="154"/>
        <v>9507.1200000000008</v>
      </c>
      <c r="CC907" s="185">
        <f t="shared" si="155"/>
        <v>0</v>
      </c>
      <c r="CD907" s="185">
        <f t="shared" si="156"/>
        <v>1265</v>
      </c>
      <c r="CE907" s="185"/>
    </row>
    <row r="908" spans="2:83" s="197" customFormat="1" ht="37.5" x14ac:dyDescent="0.3">
      <c r="B908" s="182">
        <v>2525</v>
      </c>
      <c r="C908" s="182">
        <v>1266</v>
      </c>
      <c r="D908" s="182" t="s">
        <v>78</v>
      </c>
      <c r="E908" s="181" t="s">
        <v>4860</v>
      </c>
      <c r="F908" s="182"/>
      <c r="G908" s="182">
        <v>45833.33</v>
      </c>
      <c r="H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2"/>
      <c r="AH908" s="182"/>
      <c r="AI908" s="182"/>
      <c r="AJ908" s="182"/>
      <c r="AK908" s="182"/>
      <c r="AL908" s="182"/>
      <c r="AM908" s="182"/>
      <c r="AN908" s="182"/>
      <c r="AO908" s="182"/>
      <c r="AP908" s="182"/>
      <c r="AQ908" s="185">
        <f t="shared" si="153"/>
        <v>45833.33</v>
      </c>
      <c r="AR908" s="182">
        <v>40838.26</v>
      </c>
      <c r="AS908" s="182">
        <v>4909.78</v>
      </c>
      <c r="AT908" s="182">
        <v>85.29</v>
      </c>
      <c r="AU908" s="182"/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182"/>
      <c r="BK908" s="182"/>
      <c r="BL908" s="182"/>
      <c r="BM908" s="182"/>
      <c r="BN908" s="182"/>
      <c r="BO908" s="182"/>
      <c r="BP908" s="182"/>
      <c r="BQ908" s="182"/>
      <c r="BR908" s="182"/>
      <c r="BS908" s="182"/>
      <c r="BT908" s="182"/>
      <c r="BU908" s="182"/>
      <c r="BV908" s="182"/>
      <c r="BW908" s="182"/>
      <c r="BX908" s="182"/>
      <c r="BY908" s="182"/>
      <c r="BZ908" s="182"/>
      <c r="CA908" s="182"/>
      <c r="CB908" s="185">
        <f t="shared" si="154"/>
        <v>45833.33</v>
      </c>
      <c r="CC908" s="185">
        <f t="shared" si="155"/>
        <v>0</v>
      </c>
      <c r="CD908" s="185">
        <f t="shared" si="156"/>
        <v>1266</v>
      </c>
      <c r="CE908" s="185"/>
    </row>
    <row r="909" spans="2:83" s="197" customFormat="1" ht="37.5" x14ac:dyDescent="0.3">
      <c r="B909" s="182">
        <v>1891</v>
      </c>
      <c r="C909" s="182">
        <v>1267</v>
      </c>
      <c r="D909" s="182" t="s">
        <v>78</v>
      </c>
      <c r="E909" s="181" t="s">
        <v>1005</v>
      </c>
      <c r="F909" s="182"/>
      <c r="G909" s="182">
        <v>20024.87</v>
      </c>
      <c r="H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2"/>
      <c r="AH909" s="182"/>
      <c r="AI909" s="182"/>
      <c r="AJ909" s="182"/>
      <c r="AK909" s="182"/>
      <c r="AL909" s="182"/>
      <c r="AM909" s="182"/>
      <c r="AN909" s="182"/>
      <c r="AO909" s="182"/>
      <c r="AP909" s="182"/>
      <c r="AQ909" s="185">
        <f t="shared" si="153"/>
        <v>20024.87</v>
      </c>
      <c r="AR909" s="182">
        <v>17654.72</v>
      </c>
      <c r="AS909" s="182">
        <v>2132.9</v>
      </c>
      <c r="AT909" s="182">
        <v>237.25</v>
      </c>
      <c r="AU909" s="182"/>
      <c r="AV909" s="182"/>
      <c r="AW909" s="182"/>
      <c r="AX909" s="182"/>
      <c r="AY909" s="182"/>
      <c r="AZ909" s="182"/>
      <c r="BA909" s="182"/>
      <c r="BB909" s="182"/>
      <c r="BC909" s="182"/>
      <c r="BD909" s="182"/>
      <c r="BE909" s="182"/>
      <c r="BF909" s="182"/>
      <c r="BG909" s="182"/>
      <c r="BH909" s="182"/>
      <c r="BI909" s="182"/>
      <c r="BJ909" s="182"/>
      <c r="BK909" s="182"/>
      <c r="BL909" s="182"/>
      <c r="BM909" s="182"/>
      <c r="BN909" s="182"/>
      <c r="BO909" s="182"/>
      <c r="BP909" s="182"/>
      <c r="BQ909" s="182"/>
      <c r="BR909" s="182"/>
      <c r="BS909" s="182"/>
      <c r="BT909" s="182"/>
      <c r="BU909" s="182"/>
      <c r="BV909" s="182"/>
      <c r="BW909" s="182"/>
      <c r="BX909" s="182"/>
      <c r="BY909" s="182"/>
      <c r="BZ909" s="182"/>
      <c r="CA909" s="182"/>
      <c r="CB909" s="185">
        <f t="shared" si="154"/>
        <v>20024.870000000003</v>
      </c>
      <c r="CC909" s="185">
        <f t="shared" si="155"/>
        <v>0</v>
      </c>
      <c r="CD909" s="185">
        <f t="shared" si="156"/>
        <v>1267</v>
      </c>
      <c r="CE909" s="185"/>
    </row>
    <row r="910" spans="2:83" s="197" customFormat="1" ht="37.5" x14ac:dyDescent="0.3">
      <c r="B910" s="182">
        <v>1892</v>
      </c>
      <c r="C910" s="182">
        <v>1268</v>
      </c>
      <c r="D910" s="182" t="s">
        <v>78</v>
      </c>
      <c r="E910" s="181" t="s">
        <v>1005</v>
      </c>
      <c r="F910" s="182"/>
      <c r="G910" s="182">
        <v>2240</v>
      </c>
      <c r="H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82"/>
      <c r="Y910" s="182"/>
      <c r="Z910" s="182"/>
      <c r="AA910" s="182"/>
      <c r="AB910" s="182"/>
      <c r="AC910" s="182"/>
      <c r="AD910" s="182"/>
      <c r="AE910" s="182"/>
      <c r="AF910" s="182"/>
      <c r="AG910" s="182"/>
      <c r="AH910" s="182"/>
      <c r="AI910" s="182"/>
      <c r="AJ910" s="182"/>
      <c r="AK910" s="182"/>
      <c r="AL910" s="182"/>
      <c r="AM910" s="182"/>
      <c r="AN910" s="182"/>
      <c r="AO910" s="182"/>
      <c r="AP910" s="182"/>
      <c r="AQ910" s="185">
        <f t="shared" si="153"/>
        <v>2240</v>
      </c>
      <c r="AR910" s="182">
        <v>1999.55</v>
      </c>
      <c r="AS910" s="182">
        <v>240.45</v>
      </c>
      <c r="AT910" s="182"/>
      <c r="AU910" s="182"/>
      <c r="AV910" s="182"/>
      <c r="AW910" s="182"/>
      <c r="AX910" s="182"/>
      <c r="AY910" s="182"/>
      <c r="AZ910" s="182"/>
      <c r="BA910" s="182"/>
      <c r="BB910" s="182"/>
      <c r="BC910" s="182"/>
      <c r="BD910" s="182"/>
      <c r="BE910" s="182"/>
      <c r="BF910" s="182"/>
      <c r="BG910" s="182"/>
      <c r="BH910" s="182"/>
      <c r="BI910" s="182"/>
      <c r="BJ910" s="182"/>
      <c r="BK910" s="182"/>
      <c r="BL910" s="182"/>
      <c r="BM910" s="182"/>
      <c r="BN910" s="182"/>
      <c r="BO910" s="182"/>
      <c r="BP910" s="182"/>
      <c r="BQ910" s="182"/>
      <c r="BR910" s="182"/>
      <c r="BS910" s="182"/>
      <c r="BT910" s="182"/>
      <c r="BU910" s="182"/>
      <c r="BV910" s="182"/>
      <c r="BW910" s="182"/>
      <c r="BX910" s="182"/>
      <c r="BY910" s="182"/>
      <c r="BZ910" s="182"/>
      <c r="CA910" s="182"/>
      <c r="CB910" s="185">
        <f t="shared" si="154"/>
        <v>2240</v>
      </c>
      <c r="CC910" s="185">
        <f t="shared" si="155"/>
        <v>0</v>
      </c>
      <c r="CD910" s="185">
        <f t="shared" si="156"/>
        <v>1268</v>
      </c>
      <c r="CE910" s="185"/>
    </row>
    <row r="911" spans="2:83" s="197" customFormat="1" ht="37.5" x14ac:dyDescent="0.3">
      <c r="B911" s="182">
        <v>1889</v>
      </c>
      <c r="C911" s="182">
        <v>1269</v>
      </c>
      <c r="D911" s="182" t="s">
        <v>78</v>
      </c>
      <c r="E911" s="181" t="s">
        <v>4908</v>
      </c>
      <c r="F911" s="182"/>
      <c r="G911" s="182">
        <v>3800</v>
      </c>
      <c r="H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2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2"/>
      <c r="AH911" s="182"/>
      <c r="AI911" s="182"/>
      <c r="AJ911" s="182"/>
      <c r="AK911" s="182"/>
      <c r="AL911" s="182"/>
      <c r="AM911" s="182"/>
      <c r="AN911" s="182"/>
      <c r="AO911" s="182"/>
      <c r="AP911" s="182"/>
      <c r="AQ911" s="185">
        <f t="shared" si="153"/>
        <v>3800</v>
      </c>
      <c r="AR911" s="182">
        <v>3392.95</v>
      </c>
      <c r="AS911" s="182">
        <v>407.05</v>
      </c>
      <c r="AT911" s="182"/>
      <c r="AU911" s="182"/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182"/>
      <c r="BK911" s="182"/>
      <c r="BL911" s="182"/>
      <c r="BM911" s="182"/>
      <c r="BN911" s="182"/>
      <c r="BO911" s="182"/>
      <c r="BP911" s="182"/>
      <c r="BQ911" s="182"/>
      <c r="BR911" s="182"/>
      <c r="BS911" s="182"/>
      <c r="BT911" s="182"/>
      <c r="BU911" s="182"/>
      <c r="BV911" s="182"/>
      <c r="BW911" s="182"/>
      <c r="BX911" s="182"/>
      <c r="BY911" s="182"/>
      <c r="BZ911" s="182"/>
      <c r="CA911" s="182"/>
      <c r="CB911" s="185">
        <f t="shared" si="154"/>
        <v>3800</v>
      </c>
      <c r="CC911" s="185">
        <f t="shared" si="155"/>
        <v>0</v>
      </c>
      <c r="CD911" s="185">
        <f t="shared" si="156"/>
        <v>1269</v>
      </c>
      <c r="CE911" s="185"/>
    </row>
    <row r="912" spans="2:83" s="197" customFormat="1" ht="37.5" x14ac:dyDescent="0.3">
      <c r="B912" s="182">
        <v>1887</v>
      </c>
      <c r="C912" s="182">
        <v>1270</v>
      </c>
      <c r="D912" s="182" t="s">
        <v>78</v>
      </c>
      <c r="E912" s="181" t="s">
        <v>4908</v>
      </c>
      <c r="F912" s="182"/>
      <c r="G912" s="182">
        <v>8452.5</v>
      </c>
      <c r="H912" s="182"/>
      <c r="I912" s="182"/>
      <c r="J912" s="182"/>
      <c r="K912" s="182"/>
      <c r="L912" s="182"/>
      <c r="M912" s="182"/>
      <c r="N912" s="182"/>
      <c r="O912" s="182"/>
      <c r="P912" s="182"/>
      <c r="Q912" s="182"/>
      <c r="R912" s="182"/>
      <c r="S912" s="182"/>
      <c r="T912" s="182"/>
      <c r="U912" s="182"/>
      <c r="V912" s="182"/>
      <c r="W912" s="182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2"/>
      <c r="AH912" s="182"/>
      <c r="AI912" s="182"/>
      <c r="AJ912" s="182"/>
      <c r="AK912" s="182"/>
      <c r="AL912" s="182"/>
      <c r="AM912" s="182"/>
      <c r="AN912" s="182"/>
      <c r="AO912" s="182"/>
      <c r="AP912" s="182"/>
      <c r="AQ912" s="185">
        <f t="shared" si="153"/>
        <v>8452.5</v>
      </c>
      <c r="AR912" s="182">
        <v>5178.75</v>
      </c>
      <c r="AS912" s="182">
        <f>41.25+690</f>
        <v>731.25</v>
      </c>
      <c r="AT912" s="182">
        <f>3273.75-AS912</f>
        <v>2542.5</v>
      </c>
      <c r="AU912" s="182"/>
      <c r="AV912" s="182"/>
      <c r="AW912" s="182"/>
      <c r="AX912" s="182"/>
      <c r="AY912" s="182"/>
      <c r="AZ912" s="182"/>
      <c r="BA912" s="182"/>
      <c r="BB912" s="182"/>
      <c r="BC912" s="182"/>
      <c r="BD912" s="182"/>
      <c r="BE912" s="182"/>
      <c r="BF912" s="182"/>
      <c r="BG912" s="182"/>
      <c r="BH912" s="182"/>
      <c r="BI912" s="182"/>
      <c r="BJ912" s="182"/>
      <c r="BK912" s="182"/>
      <c r="BL912" s="182"/>
      <c r="BM912" s="182"/>
      <c r="BN912" s="182"/>
      <c r="BO912" s="182"/>
      <c r="BP912" s="182"/>
      <c r="BQ912" s="182"/>
      <c r="BR912" s="182"/>
      <c r="BS912" s="182"/>
      <c r="BT912" s="182"/>
      <c r="BU912" s="182"/>
      <c r="BV912" s="182"/>
      <c r="BW912" s="182"/>
      <c r="BX912" s="182"/>
      <c r="BY912" s="182"/>
      <c r="BZ912" s="182"/>
      <c r="CA912" s="182"/>
      <c r="CB912" s="185">
        <f t="shared" si="154"/>
        <v>8452.5</v>
      </c>
      <c r="CC912" s="185">
        <f t="shared" si="155"/>
        <v>0</v>
      </c>
      <c r="CD912" s="185">
        <f t="shared" si="156"/>
        <v>1270</v>
      </c>
      <c r="CE912" s="185"/>
    </row>
    <row r="913" spans="2:83" s="197" customFormat="1" ht="37.5" x14ac:dyDescent="0.3">
      <c r="B913" s="182">
        <v>1888</v>
      </c>
      <c r="C913" s="182">
        <v>1271</v>
      </c>
      <c r="D913" s="182" t="s">
        <v>78</v>
      </c>
      <c r="E913" s="181" t="s">
        <v>4908</v>
      </c>
      <c r="F913" s="182"/>
      <c r="G913" s="182">
        <v>9000</v>
      </c>
      <c r="H913" s="182"/>
      <c r="I913" s="182"/>
      <c r="J913" s="182"/>
      <c r="K913" s="182"/>
      <c r="L913" s="182"/>
      <c r="M913" s="182"/>
      <c r="N913" s="182"/>
      <c r="O913" s="182"/>
      <c r="P913" s="182"/>
      <c r="Q913" s="182"/>
      <c r="R913" s="182"/>
      <c r="S913" s="182"/>
      <c r="T913" s="182"/>
      <c r="U913" s="182"/>
      <c r="V913" s="182"/>
      <c r="W913" s="182"/>
      <c r="X913" s="182"/>
      <c r="Y913" s="182"/>
      <c r="Z913" s="182"/>
      <c r="AA913" s="182"/>
      <c r="AB913" s="182"/>
      <c r="AC913" s="182"/>
      <c r="AD913" s="182"/>
      <c r="AE913" s="182"/>
      <c r="AF913" s="182"/>
      <c r="AG913" s="182"/>
      <c r="AH913" s="182"/>
      <c r="AI913" s="182"/>
      <c r="AJ913" s="182"/>
      <c r="AK913" s="182"/>
      <c r="AL913" s="182"/>
      <c r="AM913" s="182"/>
      <c r="AN913" s="182"/>
      <c r="AO913" s="182"/>
      <c r="AP913" s="182"/>
      <c r="AQ913" s="185">
        <f t="shared" si="153"/>
        <v>9000</v>
      </c>
      <c r="AR913" s="182">
        <v>8034.6</v>
      </c>
      <c r="AS913" s="182">
        <v>965.4</v>
      </c>
      <c r="AT913" s="182"/>
      <c r="AU913" s="182"/>
      <c r="AV913" s="182"/>
      <c r="AW913" s="182"/>
      <c r="AX913" s="182"/>
      <c r="AY913" s="182"/>
      <c r="AZ913" s="182"/>
      <c r="BA913" s="182"/>
      <c r="BB913" s="182"/>
      <c r="BC913" s="182"/>
      <c r="BD913" s="182"/>
      <c r="BE913" s="182"/>
      <c r="BF913" s="182"/>
      <c r="BG913" s="182"/>
      <c r="BH913" s="182"/>
      <c r="BI913" s="182"/>
      <c r="BJ913" s="182"/>
      <c r="BK913" s="182"/>
      <c r="BL913" s="182"/>
      <c r="BM913" s="182"/>
      <c r="BN913" s="182"/>
      <c r="BO913" s="182"/>
      <c r="BP913" s="182"/>
      <c r="BQ913" s="182"/>
      <c r="BR913" s="182"/>
      <c r="BS913" s="182"/>
      <c r="BT913" s="182"/>
      <c r="BU913" s="182"/>
      <c r="BV913" s="182"/>
      <c r="BW913" s="182"/>
      <c r="BX913" s="182"/>
      <c r="BY913" s="182"/>
      <c r="BZ913" s="182"/>
      <c r="CA913" s="182"/>
      <c r="CB913" s="185">
        <f t="shared" si="154"/>
        <v>9000</v>
      </c>
      <c r="CC913" s="185">
        <f t="shared" si="155"/>
        <v>0</v>
      </c>
      <c r="CD913" s="185">
        <f t="shared" si="156"/>
        <v>1271</v>
      </c>
      <c r="CE913" s="185"/>
    </row>
    <row r="914" spans="2:83" s="197" customFormat="1" ht="37.5" x14ac:dyDescent="0.3">
      <c r="B914" s="182">
        <v>1878</v>
      </c>
      <c r="C914" s="182">
        <v>1272</v>
      </c>
      <c r="D914" s="182" t="s">
        <v>78</v>
      </c>
      <c r="E914" s="181" t="s">
        <v>4908</v>
      </c>
      <c r="F914" s="182"/>
      <c r="G914" s="182">
        <v>1609.55</v>
      </c>
      <c r="H914" s="182"/>
      <c r="I914" s="182"/>
      <c r="J914" s="182"/>
      <c r="K914" s="182"/>
      <c r="L914" s="182"/>
      <c r="M914" s="182"/>
      <c r="N914" s="182"/>
      <c r="O914" s="182"/>
      <c r="P914" s="182"/>
      <c r="Q914" s="182"/>
      <c r="R914" s="182"/>
      <c r="S914" s="182"/>
      <c r="T914" s="182"/>
      <c r="U914" s="182"/>
      <c r="V914" s="182"/>
      <c r="W914" s="182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2"/>
      <c r="AH914" s="182"/>
      <c r="AI914" s="182"/>
      <c r="AJ914" s="182"/>
      <c r="AK914" s="182"/>
      <c r="AL914" s="182"/>
      <c r="AM914" s="182"/>
      <c r="AN914" s="182"/>
      <c r="AO914" s="182"/>
      <c r="AP914" s="182"/>
      <c r="AQ914" s="185">
        <f t="shared" si="153"/>
        <v>1609.55</v>
      </c>
      <c r="AR914" s="182">
        <v>1269.79</v>
      </c>
      <c r="AS914" s="182">
        <v>160.35</v>
      </c>
      <c r="AT914" s="182">
        <v>179.41</v>
      </c>
      <c r="AU914" s="182"/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/>
      <c r="BH914" s="182"/>
      <c r="BI914" s="182"/>
      <c r="BJ914" s="182"/>
      <c r="BK914" s="182"/>
      <c r="BL914" s="182"/>
      <c r="BM914" s="182"/>
      <c r="BN914" s="182"/>
      <c r="BO914" s="182"/>
      <c r="BP914" s="182"/>
      <c r="BQ914" s="182"/>
      <c r="BR914" s="182"/>
      <c r="BS914" s="182"/>
      <c r="BT914" s="182"/>
      <c r="BU914" s="182"/>
      <c r="BV914" s="182"/>
      <c r="BW914" s="182"/>
      <c r="BX914" s="182"/>
      <c r="BY914" s="182"/>
      <c r="BZ914" s="182"/>
      <c r="CA914" s="182"/>
      <c r="CB914" s="185">
        <f t="shared" si="154"/>
        <v>1609.55</v>
      </c>
      <c r="CC914" s="185">
        <f t="shared" si="155"/>
        <v>0</v>
      </c>
      <c r="CD914" s="185">
        <f t="shared" si="156"/>
        <v>1272</v>
      </c>
      <c r="CE914" s="185"/>
    </row>
    <row r="915" spans="2:83" s="197" customFormat="1" ht="37.5" x14ac:dyDescent="0.3">
      <c r="B915" s="182">
        <v>1886</v>
      </c>
      <c r="C915" s="182">
        <v>1273</v>
      </c>
      <c r="D915" s="182" t="s">
        <v>78</v>
      </c>
      <c r="E915" s="181" t="str">
        <f>+E910</f>
        <v>عب تدريس فارماكولوجى</v>
      </c>
      <c r="F915" s="182"/>
      <c r="G915" s="182">
        <v>844.2</v>
      </c>
      <c r="H915" s="182"/>
      <c r="I915" s="182"/>
      <c r="J915" s="182"/>
      <c r="K915" s="182"/>
      <c r="L915" s="182"/>
      <c r="M915" s="182"/>
      <c r="N915" s="182"/>
      <c r="O915" s="182"/>
      <c r="P915" s="182"/>
      <c r="Q915" s="182"/>
      <c r="R915" s="182"/>
      <c r="S915" s="182"/>
      <c r="T915" s="182"/>
      <c r="U915" s="182"/>
      <c r="V915" s="182"/>
      <c r="W915" s="182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2"/>
      <c r="AH915" s="182"/>
      <c r="AI915" s="182"/>
      <c r="AJ915" s="182"/>
      <c r="AK915" s="182"/>
      <c r="AL915" s="182"/>
      <c r="AM915" s="182"/>
      <c r="AN915" s="182"/>
      <c r="AO915" s="182"/>
      <c r="AP915" s="182"/>
      <c r="AQ915" s="185">
        <f t="shared" ref="AQ915:AQ946" si="157">SUM(G915:AP915)</f>
        <v>844.2</v>
      </c>
      <c r="AR915" s="182">
        <v>565.20000000000005</v>
      </c>
      <c r="AS915" s="182">
        <v>75.599999999999994</v>
      </c>
      <c r="AT915" s="182">
        <v>203.4</v>
      </c>
      <c r="AU915" s="182"/>
      <c r="AV915" s="182"/>
      <c r="AW915" s="182"/>
      <c r="AX915" s="182"/>
      <c r="AY915" s="182"/>
      <c r="AZ915" s="182"/>
      <c r="BA915" s="182"/>
      <c r="BB915" s="182"/>
      <c r="BC915" s="182"/>
      <c r="BD915" s="182"/>
      <c r="BE915" s="182"/>
      <c r="BF915" s="182"/>
      <c r="BG915" s="182"/>
      <c r="BH915" s="182"/>
      <c r="BI915" s="182"/>
      <c r="BJ915" s="182"/>
      <c r="BK915" s="182"/>
      <c r="BL915" s="182"/>
      <c r="BM915" s="182"/>
      <c r="BN915" s="182"/>
      <c r="BO915" s="182"/>
      <c r="BP915" s="182"/>
      <c r="BQ915" s="182"/>
      <c r="BR915" s="182"/>
      <c r="BS915" s="182"/>
      <c r="BT915" s="182"/>
      <c r="BU915" s="182"/>
      <c r="BV915" s="182"/>
      <c r="BW915" s="182"/>
      <c r="BX915" s="182"/>
      <c r="BY915" s="182"/>
      <c r="BZ915" s="182"/>
      <c r="CA915" s="182"/>
      <c r="CB915" s="185">
        <f t="shared" ref="CB915:CB946" si="158">SUM(AR915:CA915)</f>
        <v>844.2</v>
      </c>
      <c r="CC915" s="185">
        <f t="shared" ref="CC915:CC946" si="159">+CB915-AQ915</f>
        <v>0</v>
      </c>
      <c r="CD915" s="185">
        <f t="shared" ref="CD915:CD946" si="160">+C915</f>
        <v>1273</v>
      </c>
      <c r="CE915" s="185"/>
    </row>
    <row r="916" spans="2:83" s="197" customFormat="1" ht="37.5" x14ac:dyDescent="0.3">
      <c r="B916" s="182">
        <v>1890</v>
      </c>
      <c r="C916" s="182">
        <v>1274</v>
      </c>
      <c r="D916" s="182" t="s">
        <v>78</v>
      </c>
      <c r="E916" s="181" t="str">
        <f>+E915</f>
        <v>عب تدريس فارماكولوجى</v>
      </c>
      <c r="F916" s="182"/>
      <c r="G916" s="182">
        <v>420</v>
      </c>
      <c r="H916" s="182"/>
      <c r="I916" s="182"/>
      <c r="J916" s="182"/>
      <c r="K916" s="182"/>
      <c r="L916" s="182"/>
      <c r="M916" s="182"/>
      <c r="N916" s="182"/>
      <c r="O916" s="182"/>
      <c r="P916" s="182"/>
      <c r="Q916" s="182"/>
      <c r="R916" s="182"/>
      <c r="S916" s="182"/>
      <c r="T916" s="182"/>
      <c r="U916" s="182"/>
      <c r="V916" s="182"/>
      <c r="W916" s="182"/>
      <c r="X916" s="182"/>
      <c r="Y916" s="182"/>
      <c r="Z916" s="182"/>
      <c r="AA916" s="182"/>
      <c r="AB916" s="182"/>
      <c r="AC916" s="182"/>
      <c r="AD916" s="182"/>
      <c r="AE916" s="182"/>
      <c r="AF916" s="182"/>
      <c r="AG916" s="182"/>
      <c r="AH916" s="182"/>
      <c r="AI916" s="182"/>
      <c r="AJ916" s="182"/>
      <c r="AK916" s="182"/>
      <c r="AL916" s="182"/>
      <c r="AM916" s="182"/>
      <c r="AN916" s="182"/>
      <c r="AO916" s="182"/>
      <c r="AP916" s="182"/>
      <c r="AQ916" s="185">
        <f t="shared" si="157"/>
        <v>420</v>
      </c>
      <c r="AR916" s="182">
        <v>375.55</v>
      </c>
      <c r="AS916" s="182">
        <v>44.45</v>
      </c>
      <c r="AT916" s="182"/>
      <c r="AU916" s="182"/>
      <c r="AV916" s="182"/>
      <c r="AW916" s="182"/>
      <c r="AX916" s="182"/>
      <c r="AY916" s="182"/>
      <c r="AZ916" s="182"/>
      <c r="BA916" s="182"/>
      <c r="BB916" s="182"/>
      <c r="BC916" s="182"/>
      <c r="BD916" s="182"/>
      <c r="BE916" s="182"/>
      <c r="BF916" s="182"/>
      <c r="BG916" s="182"/>
      <c r="BH916" s="182"/>
      <c r="BI916" s="182"/>
      <c r="BJ916" s="182"/>
      <c r="BK916" s="182"/>
      <c r="BL916" s="182"/>
      <c r="BM916" s="182"/>
      <c r="BN916" s="182"/>
      <c r="BO916" s="182"/>
      <c r="BP916" s="182"/>
      <c r="BQ916" s="182"/>
      <c r="BR916" s="182"/>
      <c r="BS916" s="182"/>
      <c r="BT916" s="182"/>
      <c r="BU916" s="182"/>
      <c r="BV916" s="182"/>
      <c r="BW916" s="182"/>
      <c r="BX916" s="182"/>
      <c r="BY916" s="182"/>
      <c r="BZ916" s="182"/>
      <c r="CA916" s="182"/>
      <c r="CB916" s="185">
        <f t="shared" si="158"/>
        <v>420</v>
      </c>
      <c r="CC916" s="185">
        <f t="shared" si="159"/>
        <v>0</v>
      </c>
      <c r="CD916" s="185">
        <f t="shared" si="160"/>
        <v>1274</v>
      </c>
      <c r="CE916" s="185"/>
    </row>
    <row r="917" spans="2:83" s="197" customFormat="1" ht="37.5" x14ac:dyDescent="0.3">
      <c r="B917" s="182">
        <v>1873</v>
      </c>
      <c r="C917" s="182">
        <v>1275</v>
      </c>
      <c r="D917" s="182" t="s">
        <v>78</v>
      </c>
      <c r="E917" s="181" t="str">
        <f>+E916</f>
        <v>عب تدريس فارماكولوجى</v>
      </c>
      <c r="F917" s="182"/>
      <c r="G917" s="182">
        <v>7140</v>
      </c>
      <c r="H917" s="182"/>
      <c r="I917" s="182"/>
      <c r="J917" s="182"/>
      <c r="K917" s="182"/>
      <c r="L917" s="182"/>
      <c r="M917" s="182"/>
      <c r="N917" s="182"/>
      <c r="O917" s="182"/>
      <c r="P917" s="182"/>
      <c r="Q917" s="182"/>
      <c r="R917" s="182"/>
      <c r="S917" s="182"/>
      <c r="T917" s="182"/>
      <c r="U917" s="182"/>
      <c r="V917" s="182"/>
      <c r="W917" s="182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2"/>
      <c r="AH917" s="182"/>
      <c r="AI917" s="182"/>
      <c r="AJ917" s="182"/>
      <c r="AK917" s="182"/>
      <c r="AL917" s="182"/>
      <c r="AM917" s="182"/>
      <c r="AN917" s="182"/>
      <c r="AO917" s="182"/>
      <c r="AP917" s="182"/>
      <c r="AQ917" s="185">
        <f t="shared" si="157"/>
        <v>7140</v>
      </c>
      <c r="AR917" s="182">
        <v>6373.15</v>
      </c>
      <c r="AS917" s="182">
        <v>766.85</v>
      </c>
      <c r="AT917" s="182"/>
      <c r="AU917" s="182"/>
      <c r="AV917" s="182"/>
      <c r="AW917" s="182"/>
      <c r="AX917" s="182"/>
      <c r="AY917" s="182"/>
      <c r="AZ917" s="182"/>
      <c r="BA917" s="182"/>
      <c r="BB917" s="182"/>
      <c r="BC917" s="182"/>
      <c r="BD917" s="182"/>
      <c r="BE917" s="182"/>
      <c r="BF917" s="182"/>
      <c r="BG917" s="182"/>
      <c r="BH917" s="182"/>
      <c r="BI917" s="182"/>
      <c r="BJ917" s="182"/>
      <c r="BK917" s="182"/>
      <c r="BL917" s="182"/>
      <c r="BM917" s="182"/>
      <c r="BN917" s="182"/>
      <c r="BO917" s="182"/>
      <c r="BP917" s="182"/>
      <c r="BQ917" s="182"/>
      <c r="BR917" s="182"/>
      <c r="BS917" s="182"/>
      <c r="BT917" s="182"/>
      <c r="BU917" s="182"/>
      <c r="BV917" s="182"/>
      <c r="BW917" s="182"/>
      <c r="BX917" s="182"/>
      <c r="BY917" s="182"/>
      <c r="BZ917" s="182"/>
      <c r="CA917" s="182"/>
      <c r="CB917" s="185">
        <f t="shared" si="158"/>
        <v>7140</v>
      </c>
      <c r="CC917" s="185">
        <f t="shared" si="159"/>
        <v>0</v>
      </c>
      <c r="CD917" s="185">
        <f t="shared" si="160"/>
        <v>1275</v>
      </c>
      <c r="CE917" s="185"/>
    </row>
    <row r="918" spans="2:83" s="197" customFormat="1" ht="37.5" x14ac:dyDescent="0.3">
      <c r="B918" s="182">
        <v>1885</v>
      </c>
      <c r="C918" s="182">
        <v>1276</v>
      </c>
      <c r="D918" s="182" t="s">
        <v>78</v>
      </c>
      <c r="E918" s="181" t="str">
        <f>+E917</f>
        <v>عب تدريس فارماكولوجى</v>
      </c>
      <c r="F918" s="182"/>
      <c r="G918" s="182">
        <v>20287.919999999998</v>
      </c>
      <c r="H918" s="182"/>
      <c r="I918" s="182"/>
      <c r="J918" s="182"/>
      <c r="K918" s="182"/>
      <c r="L918" s="182"/>
      <c r="M918" s="182"/>
      <c r="N918" s="182"/>
      <c r="O918" s="182"/>
      <c r="P918" s="182"/>
      <c r="Q918" s="182"/>
      <c r="R918" s="182"/>
      <c r="S918" s="182"/>
      <c r="T918" s="182"/>
      <c r="U918" s="182"/>
      <c r="V918" s="182"/>
      <c r="W918" s="182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2"/>
      <c r="AH918" s="182"/>
      <c r="AI918" s="182"/>
      <c r="AJ918" s="182"/>
      <c r="AK918" s="182"/>
      <c r="AL918" s="182"/>
      <c r="AM918" s="182"/>
      <c r="AN918" s="182"/>
      <c r="AO918" s="182"/>
      <c r="AP918" s="182"/>
      <c r="AQ918" s="185">
        <f t="shared" si="157"/>
        <v>20287.919999999998</v>
      </c>
      <c r="AR918" s="182">
        <v>17364.810000000001</v>
      </c>
      <c r="AS918" s="182">
        <v>2124.0500000000002</v>
      </c>
      <c r="AT918" s="182">
        <v>799.06</v>
      </c>
      <c r="AU918" s="182"/>
      <c r="AV918" s="182"/>
      <c r="AW918" s="182"/>
      <c r="AX918" s="182"/>
      <c r="AY918" s="182"/>
      <c r="AZ918" s="182"/>
      <c r="BA918" s="182"/>
      <c r="BB918" s="182"/>
      <c r="BC918" s="182"/>
      <c r="BD918" s="182"/>
      <c r="BE918" s="182"/>
      <c r="BF918" s="182"/>
      <c r="BG918" s="182"/>
      <c r="BH918" s="182"/>
      <c r="BI918" s="182"/>
      <c r="BJ918" s="182"/>
      <c r="BK918" s="182"/>
      <c r="BL918" s="182"/>
      <c r="BM918" s="182"/>
      <c r="BN918" s="182"/>
      <c r="BO918" s="182"/>
      <c r="BP918" s="182"/>
      <c r="BQ918" s="182"/>
      <c r="BR918" s="182"/>
      <c r="BS918" s="182"/>
      <c r="BT918" s="182"/>
      <c r="BU918" s="182"/>
      <c r="BV918" s="182"/>
      <c r="BW918" s="182"/>
      <c r="BX918" s="182"/>
      <c r="BY918" s="182"/>
      <c r="BZ918" s="182"/>
      <c r="CA918" s="182"/>
      <c r="CB918" s="185">
        <f t="shared" si="158"/>
        <v>20287.920000000002</v>
      </c>
      <c r="CC918" s="185">
        <f t="shared" si="159"/>
        <v>0</v>
      </c>
      <c r="CD918" s="185">
        <f t="shared" si="160"/>
        <v>1276</v>
      </c>
      <c r="CE918" s="185"/>
    </row>
    <row r="919" spans="2:83" s="197" customFormat="1" ht="56.25" x14ac:dyDescent="0.3">
      <c r="B919" s="182">
        <v>1947</v>
      </c>
      <c r="C919" s="182">
        <v>1277</v>
      </c>
      <c r="D919" s="182" t="s">
        <v>78</v>
      </c>
      <c r="E919" s="181" t="s">
        <v>4909</v>
      </c>
      <c r="F919" s="182"/>
      <c r="G919" s="182">
        <v>900</v>
      </c>
      <c r="H919" s="182"/>
      <c r="I919" s="182"/>
      <c r="J919" s="182"/>
      <c r="K919" s="182"/>
      <c r="L919" s="182"/>
      <c r="M919" s="182"/>
      <c r="N919" s="182"/>
      <c r="O919" s="182"/>
      <c r="P919" s="182"/>
      <c r="Q919" s="182"/>
      <c r="R919" s="182"/>
      <c r="S919" s="182"/>
      <c r="T919" s="182"/>
      <c r="U919" s="182"/>
      <c r="V919" s="182"/>
      <c r="W919" s="182"/>
      <c r="X919" s="182"/>
      <c r="Y919" s="182"/>
      <c r="Z919" s="182"/>
      <c r="AA919" s="182"/>
      <c r="AB919" s="182"/>
      <c r="AC919" s="182"/>
      <c r="AD919" s="182"/>
      <c r="AE919" s="182"/>
      <c r="AF919" s="182"/>
      <c r="AG919" s="182"/>
      <c r="AH919" s="182"/>
      <c r="AI919" s="182"/>
      <c r="AJ919" s="182"/>
      <c r="AK919" s="182"/>
      <c r="AL919" s="182"/>
      <c r="AM919" s="182"/>
      <c r="AN919" s="182"/>
      <c r="AO919" s="182"/>
      <c r="AP919" s="182"/>
      <c r="AQ919" s="185">
        <f t="shared" si="157"/>
        <v>900</v>
      </c>
      <c r="AR919" s="182">
        <v>804.05</v>
      </c>
      <c r="AS919" s="182">
        <v>95.95</v>
      </c>
      <c r="AT919" s="182"/>
      <c r="AU919" s="182"/>
      <c r="AV919" s="182"/>
      <c r="AW919" s="182"/>
      <c r="AX919" s="182"/>
      <c r="AY919" s="182"/>
      <c r="AZ919" s="182"/>
      <c r="BA919" s="182"/>
      <c r="BB919" s="182"/>
      <c r="BC919" s="182"/>
      <c r="BD919" s="182"/>
      <c r="BE919" s="182"/>
      <c r="BF919" s="182"/>
      <c r="BG919" s="182"/>
      <c r="BH919" s="182"/>
      <c r="BI919" s="182"/>
      <c r="BJ919" s="182"/>
      <c r="BK919" s="182"/>
      <c r="BL919" s="182"/>
      <c r="BM919" s="182"/>
      <c r="BN919" s="182"/>
      <c r="BO919" s="182"/>
      <c r="BP919" s="182"/>
      <c r="BQ919" s="182"/>
      <c r="BR919" s="182"/>
      <c r="BS919" s="182"/>
      <c r="BT919" s="182"/>
      <c r="BU919" s="182"/>
      <c r="BV919" s="182"/>
      <c r="BW919" s="182"/>
      <c r="BX919" s="182"/>
      <c r="BY919" s="182"/>
      <c r="BZ919" s="182"/>
      <c r="CA919" s="182"/>
      <c r="CB919" s="185">
        <f t="shared" si="158"/>
        <v>900</v>
      </c>
      <c r="CC919" s="185">
        <f t="shared" si="159"/>
        <v>0</v>
      </c>
      <c r="CD919" s="185">
        <f t="shared" si="160"/>
        <v>1277</v>
      </c>
      <c r="CE919" s="185"/>
    </row>
    <row r="920" spans="2:83" s="197" customFormat="1" ht="56.25" x14ac:dyDescent="0.3">
      <c r="B920" s="182">
        <v>1946</v>
      </c>
      <c r="C920" s="182">
        <v>1278</v>
      </c>
      <c r="D920" s="182" t="s">
        <v>78</v>
      </c>
      <c r="E920" s="181" t="s">
        <v>4909</v>
      </c>
      <c r="F920" s="182"/>
      <c r="G920" s="182">
        <v>900</v>
      </c>
      <c r="H920" s="182"/>
      <c r="I920" s="182"/>
      <c r="J920" s="182"/>
      <c r="K920" s="182"/>
      <c r="L920" s="182"/>
      <c r="M920" s="182"/>
      <c r="N920" s="182"/>
      <c r="O920" s="182"/>
      <c r="P920" s="182"/>
      <c r="Q920" s="182"/>
      <c r="R920" s="182"/>
      <c r="S920" s="182"/>
      <c r="T920" s="182"/>
      <c r="U920" s="182"/>
      <c r="V920" s="182"/>
      <c r="W920" s="182"/>
      <c r="X920" s="182"/>
      <c r="Y920" s="182"/>
      <c r="Z920" s="182"/>
      <c r="AA920" s="182"/>
      <c r="AB920" s="182"/>
      <c r="AC920" s="182"/>
      <c r="AD920" s="182"/>
      <c r="AE920" s="182"/>
      <c r="AF920" s="182"/>
      <c r="AG920" s="182"/>
      <c r="AH920" s="182"/>
      <c r="AI920" s="182"/>
      <c r="AJ920" s="182"/>
      <c r="AK920" s="182"/>
      <c r="AL920" s="182"/>
      <c r="AM920" s="182"/>
      <c r="AN920" s="182"/>
      <c r="AO920" s="182"/>
      <c r="AP920" s="182"/>
      <c r="AQ920" s="185">
        <f t="shared" si="157"/>
        <v>900</v>
      </c>
      <c r="AR920" s="182">
        <v>804.05</v>
      </c>
      <c r="AS920" s="182">
        <v>95.95</v>
      </c>
      <c r="AT920" s="182"/>
      <c r="AU920" s="182"/>
      <c r="AV920" s="182"/>
      <c r="AW920" s="182"/>
      <c r="AX920" s="182"/>
      <c r="AY920" s="182"/>
      <c r="AZ920" s="182"/>
      <c r="BA920" s="182"/>
      <c r="BB920" s="182"/>
      <c r="BC920" s="182"/>
      <c r="BD920" s="182"/>
      <c r="BE920" s="182"/>
      <c r="BF920" s="182"/>
      <c r="BG920" s="182"/>
      <c r="BH920" s="182"/>
      <c r="BI920" s="182"/>
      <c r="BJ920" s="182"/>
      <c r="BK920" s="182"/>
      <c r="BL920" s="182"/>
      <c r="BM920" s="182"/>
      <c r="BN920" s="182"/>
      <c r="BO920" s="182"/>
      <c r="BP920" s="182"/>
      <c r="BQ920" s="182"/>
      <c r="BR920" s="182"/>
      <c r="BS920" s="182"/>
      <c r="BT920" s="182"/>
      <c r="BU920" s="182"/>
      <c r="BV920" s="182"/>
      <c r="BW920" s="182"/>
      <c r="BX920" s="182"/>
      <c r="BY920" s="182"/>
      <c r="BZ920" s="182"/>
      <c r="CA920" s="182"/>
      <c r="CB920" s="185">
        <f t="shared" si="158"/>
        <v>900</v>
      </c>
      <c r="CC920" s="185">
        <f t="shared" si="159"/>
        <v>0</v>
      </c>
      <c r="CD920" s="185">
        <f t="shared" si="160"/>
        <v>1278</v>
      </c>
      <c r="CE920" s="185"/>
    </row>
    <row r="921" spans="2:83" s="197" customFormat="1" ht="56.25" x14ac:dyDescent="0.3">
      <c r="B921" s="182">
        <v>1948</v>
      </c>
      <c r="C921" s="182">
        <v>1279</v>
      </c>
      <c r="D921" s="182" t="s">
        <v>78</v>
      </c>
      <c r="E921" s="181" t="s">
        <v>4909</v>
      </c>
      <c r="F921" s="182"/>
      <c r="G921" s="182">
        <v>4800</v>
      </c>
      <c r="H921" s="182"/>
      <c r="I921" s="182"/>
      <c r="J921" s="182"/>
      <c r="K921" s="182"/>
      <c r="L921" s="182"/>
      <c r="M921" s="182"/>
      <c r="N921" s="182"/>
      <c r="O921" s="182"/>
      <c r="P921" s="182"/>
      <c r="Q921" s="182"/>
      <c r="R921" s="182"/>
      <c r="S921" s="182"/>
      <c r="T921" s="182"/>
      <c r="U921" s="182"/>
      <c r="V921" s="182"/>
      <c r="W921" s="182"/>
      <c r="X921" s="182"/>
      <c r="Y921" s="182"/>
      <c r="Z921" s="182"/>
      <c r="AA921" s="182"/>
      <c r="AB921" s="182"/>
      <c r="AC921" s="182"/>
      <c r="AD921" s="182"/>
      <c r="AE921" s="182"/>
      <c r="AF921" s="182"/>
      <c r="AG921" s="182"/>
      <c r="AH921" s="182"/>
      <c r="AI921" s="182"/>
      <c r="AJ921" s="182"/>
      <c r="AK921" s="182"/>
      <c r="AL921" s="182"/>
      <c r="AM921" s="182"/>
      <c r="AN921" s="182"/>
      <c r="AO921" s="182"/>
      <c r="AP921" s="182"/>
      <c r="AQ921" s="185">
        <f t="shared" si="157"/>
        <v>4800</v>
      </c>
      <c r="AR921" s="182">
        <v>4288.6000000000004</v>
      </c>
      <c r="AS921" s="182">
        <v>511.4</v>
      </c>
      <c r="AT921" s="182"/>
      <c r="AU921" s="182"/>
      <c r="AV921" s="182"/>
      <c r="AW921" s="182"/>
      <c r="AX921" s="182"/>
      <c r="AY921" s="182"/>
      <c r="AZ921" s="182"/>
      <c r="BA921" s="182"/>
      <c r="BB921" s="182"/>
      <c r="BC921" s="182"/>
      <c r="BD921" s="182"/>
      <c r="BE921" s="182"/>
      <c r="BF921" s="182"/>
      <c r="BG921" s="182"/>
      <c r="BH921" s="182"/>
      <c r="BI921" s="182"/>
      <c r="BJ921" s="182"/>
      <c r="BK921" s="182"/>
      <c r="BL921" s="182"/>
      <c r="BM921" s="182"/>
      <c r="BN921" s="182"/>
      <c r="BO921" s="182"/>
      <c r="BP921" s="182"/>
      <c r="BQ921" s="182"/>
      <c r="BR921" s="182"/>
      <c r="BS921" s="182"/>
      <c r="BT921" s="182"/>
      <c r="BU921" s="182"/>
      <c r="BV921" s="182"/>
      <c r="BW921" s="182"/>
      <c r="BX921" s="182"/>
      <c r="BY921" s="182"/>
      <c r="BZ921" s="182"/>
      <c r="CA921" s="182"/>
      <c r="CB921" s="185">
        <f t="shared" si="158"/>
        <v>4800</v>
      </c>
      <c r="CC921" s="185">
        <f t="shared" si="159"/>
        <v>0</v>
      </c>
      <c r="CD921" s="185">
        <f t="shared" si="160"/>
        <v>1279</v>
      </c>
      <c r="CE921" s="185"/>
    </row>
    <row r="922" spans="2:83" s="197" customFormat="1" ht="37.5" x14ac:dyDescent="0.3">
      <c r="B922" s="182">
        <v>3125</v>
      </c>
      <c r="C922" s="182">
        <v>1280</v>
      </c>
      <c r="D922" s="182" t="s">
        <v>78</v>
      </c>
      <c r="E922" s="181" t="s">
        <v>4910</v>
      </c>
      <c r="F922" s="182"/>
      <c r="G922" s="182">
        <v>10800</v>
      </c>
      <c r="H922" s="182"/>
      <c r="I922" s="182"/>
      <c r="J922" s="182"/>
      <c r="K922" s="182"/>
      <c r="L922" s="182"/>
      <c r="M922" s="182"/>
      <c r="N922" s="182"/>
      <c r="O922" s="182"/>
      <c r="P922" s="182"/>
      <c r="Q922" s="182"/>
      <c r="R922" s="182"/>
      <c r="S922" s="182"/>
      <c r="T922" s="182"/>
      <c r="U922" s="182"/>
      <c r="V922" s="182"/>
      <c r="W922" s="182"/>
      <c r="X922" s="182"/>
      <c r="Y922" s="182"/>
      <c r="Z922" s="182"/>
      <c r="AA922" s="182"/>
      <c r="AB922" s="182"/>
      <c r="AC922" s="182"/>
      <c r="AD922" s="182"/>
      <c r="AE922" s="182"/>
      <c r="AF922" s="182"/>
      <c r="AG922" s="182"/>
      <c r="AH922" s="182"/>
      <c r="AI922" s="182"/>
      <c r="AJ922" s="182"/>
      <c r="AK922" s="182"/>
      <c r="AL922" s="182"/>
      <c r="AM922" s="182"/>
      <c r="AN922" s="182"/>
      <c r="AO922" s="182"/>
      <c r="AP922" s="182"/>
      <c r="AQ922" s="185">
        <f t="shared" si="157"/>
        <v>10800</v>
      </c>
      <c r="AR922" s="182">
        <v>9638</v>
      </c>
      <c r="AS922" s="182">
        <v>1162</v>
      </c>
      <c r="AT922" s="182"/>
      <c r="AU922" s="182"/>
      <c r="AV922" s="182"/>
      <c r="AW922" s="182"/>
      <c r="AX922" s="182"/>
      <c r="AY922" s="182"/>
      <c r="AZ922" s="182"/>
      <c r="BA922" s="182"/>
      <c r="BB922" s="182"/>
      <c r="BC922" s="182"/>
      <c r="BD922" s="182"/>
      <c r="BE922" s="182"/>
      <c r="BF922" s="182"/>
      <c r="BG922" s="182"/>
      <c r="BH922" s="182"/>
      <c r="BI922" s="182"/>
      <c r="BJ922" s="182"/>
      <c r="BK922" s="182"/>
      <c r="BL922" s="182"/>
      <c r="BM922" s="182"/>
      <c r="BN922" s="182"/>
      <c r="BO922" s="182"/>
      <c r="BP922" s="182"/>
      <c r="BQ922" s="182"/>
      <c r="BR922" s="182"/>
      <c r="BS922" s="182"/>
      <c r="BT922" s="182"/>
      <c r="BU922" s="182"/>
      <c r="BV922" s="182"/>
      <c r="BW922" s="182"/>
      <c r="BX922" s="182"/>
      <c r="BY922" s="182"/>
      <c r="BZ922" s="182"/>
      <c r="CA922" s="182"/>
      <c r="CB922" s="185">
        <f t="shared" si="158"/>
        <v>10800</v>
      </c>
      <c r="CC922" s="185">
        <f t="shared" si="159"/>
        <v>0</v>
      </c>
      <c r="CD922" s="185">
        <f t="shared" si="160"/>
        <v>1280</v>
      </c>
      <c r="CE922" s="185"/>
    </row>
    <row r="923" spans="2:83" s="197" customFormat="1" ht="37.5" x14ac:dyDescent="0.3">
      <c r="B923" s="182">
        <v>1883</v>
      </c>
      <c r="C923" s="182">
        <v>1281</v>
      </c>
      <c r="D923" s="182" t="s">
        <v>78</v>
      </c>
      <c r="E923" s="181" t="s">
        <v>4911</v>
      </c>
      <c r="F923" s="182"/>
      <c r="G923" s="182">
        <v>23981.1</v>
      </c>
      <c r="H923" s="182"/>
      <c r="I923" s="182"/>
      <c r="J923" s="182"/>
      <c r="K923" s="182"/>
      <c r="L923" s="182"/>
      <c r="M923" s="182"/>
      <c r="N923" s="182"/>
      <c r="O923" s="182"/>
      <c r="P923" s="182"/>
      <c r="Q923" s="182"/>
      <c r="R923" s="182"/>
      <c r="S923" s="182"/>
      <c r="T923" s="182"/>
      <c r="U923" s="182"/>
      <c r="V923" s="182"/>
      <c r="W923" s="182"/>
      <c r="X923" s="182"/>
      <c r="Y923" s="182"/>
      <c r="Z923" s="182"/>
      <c r="AA923" s="182"/>
      <c r="AB923" s="182"/>
      <c r="AC923" s="182"/>
      <c r="AD923" s="182"/>
      <c r="AE923" s="182"/>
      <c r="AF923" s="182"/>
      <c r="AG923" s="182"/>
      <c r="AH923" s="182"/>
      <c r="AI923" s="182"/>
      <c r="AJ923" s="182"/>
      <c r="AK923" s="182"/>
      <c r="AL923" s="182"/>
      <c r="AM923" s="182"/>
      <c r="AN923" s="182"/>
      <c r="AO923" s="182"/>
      <c r="AP923" s="182"/>
      <c r="AQ923" s="185">
        <f t="shared" si="157"/>
        <v>23981.1</v>
      </c>
      <c r="AR923" s="182">
        <v>21405.19</v>
      </c>
      <c r="AS923" s="182">
        <v>2575.91</v>
      </c>
      <c r="AT923" s="182"/>
      <c r="AU923" s="182"/>
      <c r="AV923" s="182"/>
      <c r="AW923" s="182"/>
      <c r="AX923" s="182"/>
      <c r="AY923" s="182"/>
      <c r="AZ923" s="182"/>
      <c r="BA923" s="182"/>
      <c r="BB923" s="182"/>
      <c r="BC923" s="182"/>
      <c r="BD923" s="182"/>
      <c r="BE923" s="182"/>
      <c r="BF923" s="182"/>
      <c r="BG923" s="182"/>
      <c r="BH923" s="182"/>
      <c r="BI923" s="182"/>
      <c r="BJ923" s="182"/>
      <c r="BK923" s="182"/>
      <c r="BL923" s="182"/>
      <c r="BM923" s="182"/>
      <c r="BN923" s="182"/>
      <c r="BO923" s="182"/>
      <c r="BP923" s="182"/>
      <c r="BQ923" s="182"/>
      <c r="BR923" s="182"/>
      <c r="BS923" s="182"/>
      <c r="BT923" s="182"/>
      <c r="BU923" s="182"/>
      <c r="BV923" s="182"/>
      <c r="BW923" s="182"/>
      <c r="BX923" s="182"/>
      <c r="BY923" s="182"/>
      <c r="BZ923" s="182"/>
      <c r="CA923" s="182"/>
      <c r="CB923" s="185">
        <f t="shared" si="158"/>
        <v>23981.1</v>
      </c>
      <c r="CC923" s="185">
        <f t="shared" si="159"/>
        <v>0</v>
      </c>
      <c r="CD923" s="185">
        <f t="shared" si="160"/>
        <v>1281</v>
      </c>
      <c r="CE923" s="185"/>
    </row>
    <row r="924" spans="2:83" s="197" customFormat="1" ht="37.5" x14ac:dyDescent="0.3">
      <c r="B924" s="182">
        <v>1879</v>
      </c>
      <c r="C924" s="182">
        <v>1282</v>
      </c>
      <c r="D924" s="182" t="s">
        <v>78</v>
      </c>
      <c r="E924" s="181" t="s">
        <v>2543</v>
      </c>
      <c r="F924" s="182"/>
      <c r="G924" s="182">
        <v>20289</v>
      </c>
      <c r="H924" s="182"/>
      <c r="I924" s="182"/>
      <c r="J924" s="182"/>
      <c r="K924" s="182"/>
      <c r="L924" s="182"/>
      <c r="M924" s="182"/>
      <c r="N924" s="182"/>
      <c r="O924" s="182"/>
      <c r="P924" s="182"/>
      <c r="Q924" s="182"/>
      <c r="R924" s="182"/>
      <c r="S924" s="182"/>
      <c r="T924" s="182"/>
      <c r="U924" s="182"/>
      <c r="V924" s="182"/>
      <c r="W924" s="182"/>
      <c r="X924" s="182"/>
      <c r="Y924" s="182"/>
      <c r="Z924" s="182"/>
      <c r="AA924" s="182"/>
      <c r="AB924" s="182"/>
      <c r="AC924" s="182"/>
      <c r="AD924" s="182"/>
      <c r="AE924" s="182"/>
      <c r="AF924" s="182"/>
      <c r="AG924" s="182"/>
      <c r="AH924" s="182"/>
      <c r="AI924" s="182"/>
      <c r="AJ924" s="182"/>
      <c r="AK924" s="182"/>
      <c r="AL924" s="182"/>
      <c r="AM924" s="182"/>
      <c r="AN924" s="182"/>
      <c r="AO924" s="182"/>
      <c r="AP924" s="182"/>
      <c r="AQ924" s="185">
        <f t="shared" si="157"/>
        <v>20289</v>
      </c>
      <c r="AR924" s="182">
        <v>17483.150000000001</v>
      </c>
      <c r="AS924" s="182">
        <v>2127.85</v>
      </c>
      <c r="AT924" s="182">
        <v>678</v>
      </c>
      <c r="AU924" s="182"/>
      <c r="AV924" s="182"/>
      <c r="AW924" s="182"/>
      <c r="AX924" s="182"/>
      <c r="AY924" s="182"/>
      <c r="AZ924" s="182"/>
      <c r="BA924" s="182"/>
      <c r="BB924" s="182"/>
      <c r="BC924" s="182"/>
      <c r="BD924" s="182"/>
      <c r="BE924" s="182"/>
      <c r="BF924" s="182"/>
      <c r="BG924" s="182"/>
      <c r="BH924" s="182"/>
      <c r="BI924" s="182"/>
      <c r="BJ924" s="182"/>
      <c r="BK924" s="182"/>
      <c r="BL924" s="182"/>
      <c r="BM924" s="182"/>
      <c r="BN924" s="182"/>
      <c r="BO924" s="182"/>
      <c r="BP924" s="182"/>
      <c r="BQ924" s="182"/>
      <c r="BR924" s="182"/>
      <c r="BS924" s="182"/>
      <c r="BT924" s="182"/>
      <c r="BU924" s="182"/>
      <c r="BV924" s="182"/>
      <c r="BW924" s="182"/>
      <c r="BX924" s="182"/>
      <c r="BY924" s="182"/>
      <c r="BZ924" s="182"/>
      <c r="CA924" s="182"/>
      <c r="CB924" s="185">
        <f t="shared" si="158"/>
        <v>20289</v>
      </c>
      <c r="CC924" s="185">
        <f t="shared" si="159"/>
        <v>0</v>
      </c>
      <c r="CD924" s="185">
        <f t="shared" si="160"/>
        <v>1282</v>
      </c>
      <c r="CE924" s="185"/>
    </row>
    <row r="925" spans="2:83" s="197" customFormat="1" ht="37.5" x14ac:dyDescent="0.3">
      <c r="B925" s="182">
        <v>1882</v>
      </c>
      <c r="C925" s="182">
        <v>1283</v>
      </c>
      <c r="D925" s="182" t="s">
        <v>78</v>
      </c>
      <c r="E925" s="181" t="s">
        <v>4912</v>
      </c>
      <c r="F925" s="182"/>
      <c r="G925" s="182">
        <v>1758.75</v>
      </c>
      <c r="H925" s="182"/>
      <c r="I925" s="182"/>
      <c r="J925" s="182"/>
      <c r="K925" s="182"/>
      <c r="L925" s="182"/>
      <c r="M925" s="182"/>
      <c r="N925" s="182"/>
      <c r="O925" s="182"/>
      <c r="P925" s="182"/>
      <c r="Q925" s="182"/>
      <c r="R925" s="182"/>
      <c r="S925" s="182"/>
      <c r="T925" s="182"/>
      <c r="U925" s="182"/>
      <c r="V925" s="182"/>
      <c r="W925" s="182"/>
      <c r="X925" s="182"/>
      <c r="Y925" s="182"/>
      <c r="Z925" s="182"/>
      <c r="AA925" s="182"/>
      <c r="AB925" s="182"/>
      <c r="AC925" s="182"/>
      <c r="AD925" s="182"/>
      <c r="AE925" s="182"/>
      <c r="AF925" s="182"/>
      <c r="AG925" s="182"/>
      <c r="AH925" s="182"/>
      <c r="AI925" s="182"/>
      <c r="AJ925" s="182"/>
      <c r="AK925" s="182"/>
      <c r="AL925" s="182"/>
      <c r="AM925" s="182"/>
      <c r="AN925" s="182"/>
      <c r="AO925" s="182"/>
      <c r="AP925" s="182"/>
      <c r="AQ925" s="185">
        <f t="shared" si="157"/>
        <v>1758.75</v>
      </c>
      <c r="AR925" s="182">
        <v>1175.3499999999999</v>
      </c>
      <c r="AS925" s="182">
        <f>9.65+150</f>
        <v>159.65</v>
      </c>
      <c r="AT925" s="182">
        <f>583.4-AS925</f>
        <v>423.75</v>
      </c>
      <c r="AU925" s="182"/>
      <c r="AV925" s="182"/>
      <c r="AW925" s="182"/>
      <c r="AX925" s="182"/>
      <c r="AY925" s="182"/>
      <c r="AZ925" s="182"/>
      <c r="BA925" s="182"/>
      <c r="BB925" s="182"/>
      <c r="BC925" s="182"/>
      <c r="BD925" s="182"/>
      <c r="BE925" s="182"/>
      <c r="BF925" s="182"/>
      <c r="BG925" s="182"/>
      <c r="BH925" s="182"/>
      <c r="BI925" s="182"/>
      <c r="BJ925" s="182"/>
      <c r="BK925" s="182"/>
      <c r="BL925" s="182"/>
      <c r="BM925" s="182"/>
      <c r="BN925" s="182"/>
      <c r="BO925" s="182"/>
      <c r="BP925" s="182"/>
      <c r="BQ925" s="182"/>
      <c r="BR925" s="182"/>
      <c r="BS925" s="182"/>
      <c r="BT925" s="182"/>
      <c r="BU925" s="182"/>
      <c r="BV925" s="182"/>
      <c r="BW925" s="182"/>
      <c r="BX925" s="182"/>
      <c r="BY925" s="182"/>
      <c r="BZ925" s="182"/>
      <c r="CA925" s="182"/>
      <c r="CB925" s="185">
        <f t="shared" si="158"/>
        <v>1758.75</v>
      </c>
      <c r="CC925" s="185">
        <f t="shared" si="159"/>
        <v>0</v>
      </c>
      <c r="CD925" s="185">
        <f t="shared" si="160"/>
        <v>1283</v>
      </c>
      <c r="CE925" s="185"/>
    </row>
    <row r="926" spans="2:83" s="197" customFormat="1" ht="37.5" x14ac:dyDescent="0.3">
      <c r="B926" s="182">
        <v>1881</v>
      </c>
      <c r="C926" s="182">
        <v>1284</v>
      </c>
      <c r="D926" s="182" t="s">
        <v>78</v>
      </c>
      <c r="E926" s="181" t="s">
        <v>4912</v>
      </c>
      <c r="F926" s="182"/>
      <c r="G926" s="182">
        <v>938</v>
      </c>
      <c r="H926" s="182"/>
      <c r="I926" s="182"/>
      <c r="J926" s="182"/>
      <c r="K926" s="182"/>
      <c r="L926" s="182"/>
      <c r="M926" s="182"/>
      <c r="N926" s="182"/>
      <c r="O926" s="182"/>
      <c r="P926" s="182"/>
      <c r="Q926" s="182"/>
      <c r="R926" s="182"/>
      <c r="S926" s="182"/>
      <c r="T926" s="182"/>
      <c r="U926" s="182"/>
      <c r="V926" s="182"/>
      <c r="W926" s="182"/>
      <c r="X926" s="182"/>
      <c r="Y926" s="182"/>
      <c r="Z926" s="182"/>
      <c r="AA926" s="182"/>
      <c r="AB926" s="182"/>
      <c r="AC926" s="182"/>
      <c r="AD926" s="182"/>
      <c r="AE926" s="182"/>
      <c r="AF926" s="182"/>
      <c r="AG926" s="182"/>
      <c r="AH926" s="182"/>
      <c r="AI926" s="182"/>
      <c r="AJ926" s="182"/>
      <c r="AK926" s="182"/>
      <c r="AL926" s="182"/>
      <c r="AM926" s="182"/>
      <c r="AN926" s="182"/>
      <c r="AO926" s="182"/>
      <c r="AP926" s="182"/>
      <c r="AQ926" s="185">
        <f t="shared" si="157"/>
        <v>938</v>
      </c>
      <c r="AR926" s="182">
        <v>627.35</v>
      </c>
      <c r="AS926" s="182">
        <v>84.65</v>
      </c>
      <c r="AT926" s="182">
        <v>226</v>
      </c>
      <c r="AU926" s="182"/>
      <c r="AV926" s="182"/>
      <c r="AW926" s="182"/>
      <c r="AX926" s="182"/>
      <c r="AY926" s="182"/>
      <c r="AZ926" s="182"/>
      <c r="BA926" s="182"/>
      <c r="BB926" s="182"/>
      <c r="BC926" s="182"/>
      <c r="BD926" s="182"/>
      <c r="BE926" s="182"/>
      <c r="BF926" s="182"/>
      <c r="BG926" s="182"/>
      <c r="BH926" s="182"/>
      <c r="BI926" s="182"/>
      <c r="BJ926" s="182"/>
      <c r="BK926" s="182"/>
      <c r="BL926" s="182"/>
      <c r="BM926" s="182"/>
      <c r="BN926" s="182"/>
      <c r="BO926" s="182"/>
      <c r="BP926" s="182"/>
      <c r="BQ926" s="182"/>
      <c r="BR926" s="182"/>
      <c r="BS926" s="182"/>
      <c r="BT926" s="182"/>
      <c r="BU926" s="182"/>
      <c r="BV926" s="182"/>
      <c r="BW926" s="182"/>
      <c r="BX926" s="182"/>
      <c r="BY926" s="182"/>
      <c r="BZ926" s="182"/>
      <c r="CA926" s="182"/>
      <c r="CB926" s="185">
        <f t="shared" si="158"/>
        <v>938</v>
      </c>
      <c r="CC926" s="185">
        <f t="shared" si="159"/>
        <v>0</v>
      </c>
      <c r="CD926" s="185">
        <f t="shared" si="160"/>
        <v>1284</v>
      </c>
      <c r="CE926" s="185"/>
    </row>
    <row r="927" spans="2:83" s="197" customFormat="1" ht="37.5" x14ac:dyDescent="0.3">
      <c r="B927" s="182">
        <v>1880</v>
      </c>
      <c r="C927" s="182">
        <v>1285</v>
      </c>
      <c r="D927" s="182" t="s">
        <v>78</v>
      </c>
      <c r="E927" s="181" t="s">
        <v>4912</v>
      </c>
      <c r="F927" s="182"/>
      <c r="G927" s="182">
        <v>6000</v>
      </c>
      <c r="H927" s="182"/>
      <c r="I927" s="182"/>
      <c r="J927" s="182"/>
      <c r="K927" s="182"/>
      <c r="L927" s="182"/>
      <c r="M927" s="182"/>
      <c r="N927" s="182"/>
      <c r="O927" s="182"/>
      <c r="P927" s="182"/>
      <c r="Q927" s="182"/>
      <c r="R927" s="182"/>
      <c r="S927" s="182"/>
      <c r="T927" s="182"/>
      <c r="U927" s="182"/>
      <c r="V927" s="182"/>
      <c r="W927" s="182"/>
      <c r="X927" s="182"/>
      <c r="Y927" s="182"/>
      <c r="Z927" s="182"/>
      <c r="AA927" s="182"/>
      <c r="AB927" s="182"/>
      <c r="AC927" s="182"/>
      <c r="AD927" s="182"/>
      <c r="AE927" s="182"/>
      <c r="AF927" s="182"/>
      <c r="AG927" s="182"/>
      <c r="AH927" s="182"/>
      <c r="AI927" s="182"/>
      <c r="AJ927" s="182"/>
      <c r="AK927" s="182"/>
      <c r="AL927" s="182"/>
      <c r="AM927" s="182"/>
      <c r="AN927" s="182"/>
      <c r="AO927" s="182"/>
      <c r="AP927" s="182"/>
      <c r="AQ927" s="185">
        <f t="shared" si="157"/>
        <v>6000</v>
      </c>
      <c r="AR927" s="182">
        <v>5356.4</v>
      </c>
      <c r="AS927" s="182">
        <v>643.6</v>
      </c>
      <c r="AT927" s="182"/>
      <c r="AU927" s="182"/>
      <c r="AV927" s="182"/>
      <c r="AW927" s="182"/>
      <c r="AX927" s="182"/>
      <c r="AY927" s="182"/>
      <c r="AZ927" s="182"/>
      <c r="BA927" s="182"/>
      <c r="BB927" s="182"/>
      <c r="BC927" s="182"/>
      <c r="BD927" s="182"/>
      <c r="BE927" s="182"/>
      <c r="BF927" s="182"/>
      <c r="BG927" s="182"/>
      <c r="BH927" s="182"/>
      <c r="BI927" s="182"/>
      <c r="BJ927" s="182"/>
      <c r="BK927" s="182"/>
      <c r="BL927" s="182"/>
      <c r="BM927" s="182"/>
      <c r="BN927" s="182"/>
      <c r="BO927" s="182"/>
      <c r="BP927" s="182"/>
      <c r="BQ927" s="182"/>
      <c r="BR927" s="182"/>
      <c r="BS927" s="182"/>
      <c r="BT927" s="182"/>
      <c r="BU927" s="182"/>
      <c r="BV927" s="182"/>
      <c r="BW927" s="182"/>
      <c r="BX927" s="182"/>
      <c r="BY927" s="182"/>
      <c r="BZ927" s="182"/>
      <c r="CA927" s="182"/>
      <c r="CB927" s="185">
        <f t="shared" si="158"/>
        <v>6000</v>
      </c>
      <c r="CC927" s="185">
        <f t="shared" si="159"/>
        <v>0</v>
      </c>
      <c r="CD927" s="185">
        <f t="shared" si="160"/>
        <v>1285</v>
      </c>
      <c r="CE927" s="185"/>
    </row>
    <row r="928" spans="2:83" s="197" customFormat="1" ht="37.5" x14ac:dyDescent="0.3">
      <c r="B928" s="182">
        <v>1877</v>
      </c>
      <c r="C928" s="182">
        <v>1286</v>
      </c>
      <c r="D928" s="182" t="s">
        <v>78</v>
      </c>
      <c r="E928" s="181" t="s">
        <v>581</v>
      </c>
      <c r="F928" s="182"/>
      <c r="G928" s="182">
        <v>66233.320000000007</v>
      </c>
      <c r="H928" s="182"/>
      <c r="I928" s="182"/>
      <c r="J928" s="182"/>
      <c r="K928" s="182"/>
      <c r="L928" s="182"/>
      <c r="M928" s="182"/>
      <c r="N928" s="182"/>
      <c r="O928" s="182"/>
      <c r="P928" s="182"/>
      <c r="Q928" s="182"/>
      <c r="R928" s="182"/>
      <c r="S928" s="182"/>
      <c r="T928" s="182"/>
      <c r="U928" s="182"/>
      <c r="V928" s="182"/>
      <c r="W928" s="182"/>
      <c r="X928" s="182"/>
      <c r="Y928" s="182"/>
      <c r="Z928" s="182"/>
      <c r="AA928" s="182"/>
      <c r="AB928" s="182"/>
      <c r="AC928" s="182"/>
      <c r="AD928" s="182"/>
      <c r="AE928" s="182"/>
      <c r="AF928" s="182"/>
      <c r="AG928" s="182"/>
      <c r="AH928" s="182"/>
      <c r="AI928" s="182"/>
      <c r="AJ928" s="182"/>
      <c r="AK928" s="182"/>
      <c r="AL928" s="182"/>
      <c r="AM928" s="182"/>
      <c r="AN928" s="182"/>
      <c r="AO928" s="182"/>
      <c r="AP928" s="182"/>
      <c r="AQ928" s="185">
        <f t="shared" si="157"/>
        <v>66233.320000000007</v>
      </c>
      <c r="AR928" s="182">
        <v>56756.15</v>
      </c>
      <c r="AS928" s="182">
        <v>6933.35</v>
      </c>
      <c r="AT928" s="182">
        <v>2543.8200000000002</v>
      </c>
      <c r="AU928" s="182"/>
      <c r="AV928" s="182"/>
      <c r="AW928" s="182"/>
      <c r="AX928" s="182"/>
      <c r="AY928" s="182"/>
      <c r="AZ928" s="182"/>
      <c r="BA928" s="182"/>
      <c r="BB928" s="182"/>
      <c r="BC928" s="182"/>
      <c r="BD928" s="182"/>
      <c r="BE928" s="182"/>
      <c r="BF928" s="182"/>
      <c r="BG928" s="182"/>
      <c r="BH928" s="182"/>
      <c r="BI928" s="182"/>
      <c r="BJ928" s="182"/>
      <c r="BK928" s="182"/>
      <c r="BL928" s="182"/>
      <c r="BM928" s="182"/>
      <c r="BN928" s="182"/>
      <c r="BO928" s="182"/>
      <c r="BP928" s="182"/>
      <c r="BQ928" s="182"/>
      <c r="BR928" s="182"/>
      <c r="BS928" s="182"/>
      <c r="BT928" s="182"/>
      <c r="BU928" s="182"/>
      <c r="BV928" s="182"/>
      <c r="BW928" s="182"/>
      <c r="BX928" s="182"/>
      <c r="BY928" s="182"/>
      <c r="BZ928" s="182"/>
      <c r="CA928" s="182"/>
      <c r="CB928" s="185">
        <f t="shared" si="158"/>
        <v>66233.320000000007</v>
      </c>
      <c r="CC928" s="185">
        <f t="shared" si="159"/>
        <v>0</v>
      </c>
      <c r="CD928" s="185">
        <f t="shared" si="160"/>
        <v>1286</v>
      </c>
      <c r="CE928" s="185"/>
    </row>
    <row r="929" spans="2:83" s="197" customFormat="1" ht="37.5" x14ac:dyDescent="0.3">
      <c r="B929" s="182">
        <v>1867</v>
      </c>
      <c r="C929" s="182">
        <v>1287</v>
      </c>
      <c r="D929" s="182" t="s">
        <v>78</v>
      </c>
      <c r="E929" s="181" t="s">
        <v>581</v>
      </c>
      <c r="F929" s="182"/>
      <c r="G929" s="182">
        <v>13071.85</v>
      </c>
      <c r="H929" s="182"/>
      <c r="I929" s="182"/>
      <c r="J929" s="182"/>
      <c r="K929" s="182"/>
      <c r="L929" s="182"/>
      <c r="M929" s="182"/>
      <c r="N929" s="182"/>
      <c r="O929" s="182"/>
      <c r="P929" s="182"/>
      <c r="Q929" s="182"/>
      <c r="R929" s="182"/>
      <c r="S929" s="182"/>
      <c r="T929" s="182"/>
      <c r="U929" s="182"/>
      <c r="V929" s="182"/>
      <c r="W929" s="182"/>
      <c r="X929" s="182"/>
      <c r="Y929" s="182"/>
      <c r="Z929" s="182"/>
      <c r="AA929" s="182"/>
      <c r="AB929" s="182"/>
      <c r="AC929" s="182"/>
      <c r="AD929" s="182"/>
      <c r="AE929" s="182"/>
      <c r="AF929" s="182"/>
      <c r="AG929" s="182"/>
      <c r="AH929" s="182"/>
      <c r="AI929" s="182"/>
      <c r="AJ929" s="182"/>
      <c r="AK929" s="182"/>
      <c r="AL929" s="182"/>
      <c r="AM929" s="182"/>
      <c r="AN929" s="182"/>
      <c r="AO929" s="182"/>
      <c r="AP929" s="182"/>
      <c r="AQ929" s="185">
        <f t="shared" si="157"/>
        <v>13071.85</v>
      </c>
      <c r="AR929" s="182">
        <v>10399.5</v>
      </c>
      <c r="AS929" s="182">
        <v>1310.05</v>
      </c>
      <c r="AT929" s="182">
        <v>1362.3</v>
      </c>
      <c r="AU929" s="182"/>
      <c r="AV929" s="182"/>
      <c r="AW929" s="182"/>
      <c r="AX929" s="182"/>
      <c r="AY929" s="182"/>
      <c r="AZ929" s="182"/>
      <c r="BA929" s="182"/>
      <c r="BB929" s="182"/>
      <c r="BC929" s="182"/>
      <c r="BD929" s="182"/>
      <c r="BE929" s="182"/>
      <c r="BF929" s="182"/>
      <c r="BG929" s="182"/>
      <c r="BH929" s="182"/>
      <c r="BI929" s="182"/>
      <c r="BJ929" s="182"/>
      <c r="BK929" s="182"/>
      <c r="BL929" s="182"/>
      <c r="BM929" s="182"/>
      <c r="BN929" s="182"/>
      <c r="BO929" s="182"/>
      <c r="BP929" s="182"/>
      <c r="BQ929" s="182"/>
      <c r="BR929" s="182"/>
      <c r="BS929" s="182"/>
      <c r="BT929" s="182"/>
      <c r="BU929" s="182"/>
      <c r="BV929" s="182"/>
      <c r="BW929" s="182"/>
      <c r="BX929" s="182"/>
      <c r="BY929" s="182"/>
      <c r="BZ929" s="182"/>
      <c r="CA929" s="182"/>
      <c r="CB929" s="185">
        <f t="shared" si="158"/>
        <v>13071.849999999999</v>
      </c>
      <c r="CC929" s="185">
        <f t="shared" si="159"/>
        <v>0</v>
      </c>
      <c r="CD929" s="185">
        <f t="shared" si="160"/>
        <v>1287</v>
      </c>
      <c r="CE929" s="185"/>
    </row>
    <row r="930" spans="2:83" s="197" customFormat="1" ht="37.5" x14ac:dyDescent="0.3">
      <c r="B930" s="182">
        <v>1869</v>
      </c>
      <c r="C930" s="182">
        <v>1288</v>
      </c>
      <c r="D930" s="182" t="s">
        <v>78</v>
      </c>
      <c r="E930" s="181" t="s">
        <v>581</v>
      </c>
      <c r="F930" s="182"/>
      <c r="G930" s="182">
        <v>18713.099999999999</v>
      </c>
      <c r="H930" s="182"/>
      <c r="I930" s="182"/>
      <c r="J930" s="182"/>
      <c r="K930" s="182"/>
      <c r="L930" s="182"/>
      <c r="M930" s="182"/>
      <c r="N930" s="182"/>
      <c r="O930" s="182"/>
      <c r="P930" s="182"/>
      <c r="Q930" s="182"/>
      <c r="R930" s="182"/>
      <c r="S930" s="182"/>
      <c r="T930" s="182"/>
      <c r="U930" s="182"/>
      <c r="V930" s="182"/>
      <c r="W930" s="182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2"/>
      <c r="AH930" s="182"/>
      <c r="AI930" s="182"/>
      <c r="AJ930" s="182"/>
      <c r="AK930" s="182"/>
      <c r="AL930" s="182"/>
      <c r="AM930" s="182"/>
      <c r="AN930" s="182"/>
      <c r="AO930" s="182"/>
      <c r="AP930" s="182"/>
      <c r="AQ930" s="185">
        <f t="shared" si="157"/>
        <v>18713.099999999999</v>
      </c>
      <c r="AR930" s="182">
        <v>12496.5</v>
      </c>
      <c r="AS930" s="182">
        <f>111.9+1596</f>
        <v>1707.9</v>
      </c>
      <c r="AT930" s="182">
        <f>6216.6-AS930</f>
        <v>4508.7000000000007</v>
      </c>
      <c r="AU930" s="182"/>
      <c r="AV930" s="182"/>
      <c r="AW930" s="182"/>
      <c r="AX930" s="182"/>
      <c r="AY930" s="182"/>
      <c r="AZ930" s="182"/>
      <c r="BA930" s="182"/>
      <c r="BB930" s="182"/>
      <c r="BC930" s="182"/>
      <c r="BD930" s="182"/>
      <c r="BE930" s="182"/>
      <c r="BF930" s="182"/>
      <c r="BG930" s="182"/>
      <c r="BH930" s="182"/>
      <c r="BI930" s="182"/>
      <c r="BJ930" s="182"/>
      <c r="BK930" s="182"/>
      <c r="BL930" s="182"/>
      <c r="BM930" s="182"/>
      <c r="BN930" s="182"/>
      <c r="BO930" s="182"/>
      <c r="BP930" s="182"/>
      <c r="BQ930" s="182"/>
      <c r="BR930" s="182"/>
      <c r="BS930" s="182"/>
      <c r="BT930" s="182"/>
      <c r="BU930" s="182"/>
      <c r="BV930" s="182"/>
      <c r="BW930" s="182"/>
      <c r="BX930" s="182"/>
      <c r="BY930" s="182"/>
      <c r="BZ930" s="182"/>
      <c r="CA930" s="182"/>
      <c r="CB930" s="185">
        <f t="shared" si="158"/>
        <v>18713.099999999999</v>
      </c>
      <c r="CC930" s="185">
        <f t="shared" si="159"/>
        <v>0</v>
      </c>
      <c r="CD930" s="185">
        <f t="shared" si="160"/>
        <v>1288</v>
      </c>
      <c r="CE930" s="185"/>
    </row>
    <row r="931" spans="2:83" s="197" customFormat="1" ht="37.5" x14ac:dyDescent="0.3">
      <c r="B931" s="182">
        <v>1868</v>
      </c>
      <c r="C931" s="182">
        <v>1289</v>
      </c>
      <c r="D931" s="182" t="s">
        <v>78</v>
      </c>
      <c r="E931" s="181" t="s">
        <v>581</v>
      </c>
      <c r="F931" s="182"/>
      <c r="G931" s="182">
        <v>984.9</v>
      </c>
      <c r="H931" s="182"/>
      <c r="I931" s="182"/>
      <c r="J931" s="182"/>
      <c r="K931" s="182"/>
      <c r="L931" s="182"/>
      <c r="M931" s="182"/>
      <c r="N931" s="182"/>
      <c r="O931" s="182"/>
      <c r="P931" s="182"/>
      <c r="Q931" s="182"/>
      <c r="R931" s="182"/>
      <c r="S931" s="182"/>
      <c r="T931" s="182"/>
      <c r="U931" s="182"/>
      <c r="V931" s="182"/>
      <c r="W931" s="182"/>
      <c r="X931" s="182"/>
      <c r="Y931" s="182"/>
      <c r="Z931" s="182"/>
      <c r="AA931" s="182"/>
      <c r="AB931" s="182"/>
      <c r="AC931" s="182"/>
      <c r="AD931" s="182"/>
      <c r="AE931" s="182"/>
      <c r="AF931" s="182"/>
      <c r="AG931" s="182"/>
      <c r="AH931" s="182"/>
      <c r="AI931" s="182"/>
      <c r="AJ931" s="182"/>
      <c r="AK931" s="182"/>
      <c r="AL931" s="182"/>
      <c r="AM931" s="182"/>
      <c r="AN931" s="182"/>
      <c r="AO931" s="182"/>
      <c r="AP931" s="182"/>
      <c r="AQ931" s="185">
        <f t="shared" si="157"/>
        <v>984.9</v>
      </c>
      <c r="AR931" s="182">
        <v>658.7</v>
      </c>
      <c r="AS931" s="182">
        <v>88.9</v>
      </c>
      <c r="AT931" s="182">
        <v>237.3</v>
      </c>
      <c r="AU931" s="182"/>
      <c r="AV931" s="182"/>
      <c r="AW931" s="182"/>
      <c r="AX931" s="182"/>
      <c r="AY931" s="182"/>
      <c r="AZ931" s="182"/>
      <c r="BA931" s="182"/>
      <c r="BB931" s="182"/>
      <c r="BC931" s="182"/>
      <c r="BD931" s="182"/>
      <c r="BE931" s="182"/>
      <c r="BF931" s="182"/>
      <c r="BG931" s="182"/>
      <c r="BH931" s="182"/>
      <c r="BI931" s="182"/>
      <c r="BJ931" s="182"/>
      <c r="BK931" s="182"/>
      <c r="BL931" s="182"/>
      <c r="BM931" s="182"/>
      <c r="BN931" s="182"/>
      <c r="BO931" s="182"/>
      <c r="BP931" s="182"/>
      <c r="BQ931" s="182"/>
      <c r="BR931" s="182"/>
      <c r="BS931" s="182"/>
      <c r="BT931" s="182"/>
      <c r="BU931" s="182"/>
      <c r="BV931" s="182"/>
      <c r="BW931" s="182"/>
      <c r="BX931" s="182"/>
      <c r="BY931" s="182"/>
      <c r="BZ931" s="182"/>
      <c r="CA931" s="182"/>
      <c r="CB931" s="185">
        <f t="shared" si="158"/>
        <v>984.90000000000009</v>
      </c>
      <c r="CC931" s="185">
        <f t="shared" si="159"/>
        <v>0</v>
      </c>
      <c r="CD931" s="185">
        <f t="shared" si="160"/>
        <v>1289</v>
      </c>
      <c r="CE931" s="185"/>
    </row>
    <row r="932" spans="2:83" s="197" customFormat="1" ht="37.5" x14ac:dyDescent="0.3">
      <c r="B932" s="182">
        <v>1932</v>
      </c>
      <c r="C932" s="182">
        <v>1290</v>
      </c>
      <c r="D932" s="182" t="s">
        <v>78</v>
      </c>
      <c r="E932" s="181" t="s">
        <v>4913</v>
      </c>
      <c r="F932" s="182"/>
      <c r="G932" s="182">
        <v>3288.18</v>
      </c>
      <c r="H932" s="182"/>
      <c r="I932" s="182"/>
      <c r="J932" s="182"/>
      <c r="K932" s="182"/>
      <c r="L932" s="182"/>
      <c r="M932" s="182"/>
      <c r="N932" s="182"/>
      <c r="O932" s="182"/>
      <c r="P932" s="182"/>
      <c r="Q932" s="182"/>
      <c r="R932" s="182"/>
      <c r="S932" s="182"/>
      <c r="T932" s="182"/>
      <c r="U932" s="182"/>
      <c r="V932" s="182"/>
      <c r="W932" s="182"/>
      <c r="X932" s="182"/>
      <c r="Y932" s="182"/>
      <c r="Z932" s="182"/>
      <c r="AA932" s="182"/>
      <c r="AB932" s="182"/>
      <c r="AC932" s="182"/>
      <c r="AD932" s="182"/>
      <c r="AE932" s="182"/>
      <c r="AF932" s="182"/>
      <c r="AG932" s="182"/>
      <c r="AH932" s="182"/>
      <c r="AI932" s="182"/>
      <c r="AJ932" s="182"/>
      <c r="AK932" s="182"/>
      <c r="AL932" s="182"/>
      <c r="AM932" s="182"/>
      <c r="AN932" s="182"/>
      <c r="AO932" s="182"/>
      <c r="AP932" s="182"/>
      <c r="AQ932" s="185">
        <f t="shared" si="157"/>
        <v>3288.18</v>
      </c>
      <c r="AR932" s="182">
        <v>2499.73</v>
      </c>
      <c r="AS932" s="182">
        <v>316.5</v>
      </c>
      <c r="AT932" s="182">
        <v>471.95</v>
      </c>
      <c r="AU932" s="182"/>
      <c r="AV932" s="182"/>
      <c r="AW932" s="182"/>
      <c r="AX932" s="182"/>
      <c r="AY932" s="182"/>
      <c r="AZ932" s="182"/>
      <c r="BA932" s="182"/>
      <c r="BB932" s="182"/>
      <c r="BC932" s="182"/>
      <c r="BD932" s="182"/>
      <c r="BE932" s="182"/>
      <c r="BF932" s="182"/>
      <c r="BG932" s="182"/>
      <c r="BH932" s="182"/>
      <c r="BI932" s="182"/>
      <c r="BJ932" s="182"/>
      <c r="BK932" s="182"/>
      <c r="BL932" s="182"/>
      <c r="BM932" s="182"/>
      <c r="BN932" s="182"/>
      <c r="BO932" s="182"/>
      <c r="BP932" s="182"/>
      <c r="BQ932" s="182"/>
      <c r="BR932" s="182"/>
      <c r="BS932" s="182"/>
      <c r="BT932" s="182"/>
      <c r="BU932" s="182"/>
      <c r="BV932" s="182"/>
      <c r="BW932" s="182"/>
      <c r="BX932" s="182"/>
      <c r="BY932" s="182"/>
      <c r="BZ932" s="182"/>
      <c r="CA932" s="182"/>
      <c r="CB932" s="185">
        <f t="shared" si="158"/>
        <v>3288.18</v>
      </c>
      <c r="CC932" s="185">
        <f t="shared" si="159"/>
        <v>0</v>
      </c>
      <c r="CD932" s="185">
        <f t="shared" si="160"/>
        <v>1290</v>
      </c>
      <c r="CE932" s="185"/>
    </row>
    <row r="933" spans="2:83" s="197" customFormat="1" ht="37.5" x14ac:dyDescent="0.3">
      <c r="B933" s="182">
        <v>1945</v>
      </c>
      <c r="C933" s="182">
        <v>1291</v>
      </c>
      <c r="D933" s="182" t="s">
        <v>78</v>
      </c>
      <c r="E933" s="181" t="s">
        <v>4914</v>
      </c>
      <c r="F933" s="182"/>
      <c r="G933" s="182">
        <v>750</v>
      </c>
      <c r="H933" s="182"/>
      <c r="I933" s="182"/>
      <c r="J933" s="182"/>
      <c r="K933" s="182"/>
      <c r="L933" s="182"/>
      <c r="M933" s="182"/>
      <c r="N933" s="182"/>
      <c r="O933" s="182"/>
      <c r="P933" s="182"/>
      <c r="Q933" s="182"/>
      <c r="R933" s="182"/>
      <c r="S933" s="182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/>
      <c r="AL933" s="182"/>
      <c r="AM933" s="182"/>
      <c r="AN933" s="182"/>
      <c r="AO933" s="182"/>
      <c r="AP933" s="182"/>
      <c r="AQ933" s="185">
        <f t="shared" si="157"/>
        <v>750</v>
      </c>
      <c r="AR933" s="182">
        <v>670.1</v>
      </c>
      <c r="AS933" s="182">
        <v>79.900000000000006</v>
      </c>
      <c r="AT933" s="182"/>
      <c r="AU933" s="182"/>
      <c r="AV933" s="182"/>
      <c r="AW933" s="182"/>
      <c r="AX933" s="182"/>
      <c r="AY933" s="182"/>
      <c r="AZ933" s="182"/>
      <c r="BA933" s="182"/>
      <c r="BB933" s="182"/>
      <c r="BC933" s="182"/>
      <c r="BD933" s="182"/>
      <c r="BE933" s="182"/>
      <c r="BF933" s="182"/>
      <c r="BG933" s="182"/>
      <c r="BH933" s="182"/>
      <c r="BI933" s="182"/>
      <c r="BJ933" s="182"/>
      <c r="BK933" s="182"/>
      <c r="BL933" s="182"/>
      <c r="BM933" s="182"/>
      <c r="BN933" s="182"/>
      <c r="BO933" s="182"/>
      <c r="BP933" s="182"/>
      <c r="BQ933" s="182"/>
      <c r="BR933" s="182"/>
      <c r="BS933" s="182"/>
      <c r="BT933" s="182"/>
      <c r="BU933" s="182"/>
      <c r="BV933" s="182"/>
      <c r="BW933" s="182"/>
      <c r="BX933" s="182"/>
      <c r="BY933" s="182"/>
      <c r="BZ933" s="182"/>
      <c r="CA933" s="182"/>
      <c r="CB933" s="185">
        <f t="shared" si="158"/>
        <v>750</v>
      </c>
      <c r="CC933" s="185">
        <f t="shared" si="159"/>
        <v>0</v>
      </c>
      <c r="CD933" s="185">
        <f t="shared" si="160"/>
        <v>1291</v>
      </c>
      <c r="CE933" s="185"/>
    </row>
    <row r="934" spans="2:83" s="197" customFormat="1" ht="37.5" x14ac:dyDescent="0.3">
      <c r="B934" s="182">
        <v>1935</v>
      </c>
      <c r="C934" s="182">
        <v>1292</v>
      </c>
      <c r="D934" s="182" t="s">
        <v>78</v>
      </c>
      <c r="E934" s="181" t="s">
        <v>4915</v>
      </c>
      <c r="F934" s="182"/>
      <c r="G934" s="182">
        <v>879.38</v>
      </c>
      <c r="H934" s="182"/>
      <c r="I934" s="182"/>
      <c r="J934" s="182"/>
      <c r="K934" s="182"/>
      <c r="L934" s="182"/>
      <c r="M934" s="182"/>
      <c r="N934" s="182"/>
      <c r="O934" s="182"/>
      <c r="P934" s="182"/>
      <c r="Q934" s="182"/>
      <c r="R934" s="182"/>
      <c r="S934" s="182"/>
      <c r="T934" s="182"/>
      <c r="U934" s="182"/>
      <c r="V934" s="182"/>
      <c r="W934" s="182"/>
      <c r="X934" s="182"/>
      <c r="Y934" s="182"/>
      <c r="Z934" s="182"/>
      <c r="AA934" s="182"/>
      <c r="AB934" s="182"/>
      <c r="AC934" s="182"/>
      <c r="AD934" s="182"/>
      <c r="AE934" s="182"/>
      <c r="AF934" s="182"/>
      <c r="AG934" s="182"/>
      <c r="AH934" s="182"/>
      <c r="AI934" s="182"/>
      <c r="AJ934" s="182"/>
      <c r="AK934" s="182"/>
      <c r="AL934" s="182"/>
      <c r="AM934" s="182"/>
      <c r="AN934" s="182"/>
      <c r="AO934" s="182"/>
      <c r="AP934" s="182"/>
      <c r="AQ934" s="185">
        <f t="shared" si="157"/>
        <v>879.38</v>
      </c>
      <c r="AR934" s="182">
        <v>588.15</v>
      </c>
      <c r="AS934" s="182">
        <v>79.349999999999994</v>
      </c>
      <c r="AT934" s="182">
        <v>211.88</v>
      </c>
      <c r="AU934" s="182"/>
      <c r="AV934" s="182"/>
      <c r="AW934" s="182"/>
      <c r="AX934" s="182"/>
      <c r="AY934" s="182"/>
      <c r="AZ934" s="182"/>
      <c r="BA934" s="182"/>
      <c r="BB934" s="182"/>
      <c r="BC934" s="182"/>
      <c r="BD934" s="182"/>
      <c r="BE934" s="182"/>
      <c r="BF934" s="182"/>
      <c r="BG934" s="182"/>
      <c r="BH934" s="182"/>
      <c r="BI934" s="182"/>
      <c r="BJ934" s="182"/>
      <c r="BK934" s="182"/>
      <c r="BL934" s="182"/>
      <c r="BM934" s="182"/>
      <c r="BN934" s="182"/>
      <c r="BO934" s="182"/>
      <c r="BP934" s="182"/>
      <c r="BQ934" s="182"/>
      <c r="BR934" s="182"/>
      <c r="BS934" s="182"/>
      <c r="BT934" s="182"/>
      <c r="BU934" s="182"/>
      <c r="BV934" s="182"/>
      <c r="BW934" s="182"/>
      <c r="BX934" s="182"/>
      <c r="BY934" s="182"/>
      <c r="BZ934" s="182"/>
      <c r="CA934" s="182"/>
      <c r="CB934" s="185">
        <f t="shared" si="158"/>
        <v>879.38</v>
      </c>
      <c r="CC934" s="185">
        <f t="shared" si="159"/>
        <v>0</v>
      </c>
      <c r="CD934" s="185">
        <f t="shared" si="160"/>
        <v>1292</v>
      </c>
      <c r="CE934" s="185"/>
    </row>
    <row r="935" spans="2:83" s="197" customFormat="1" ht="37.5" x14ac:dyDescent="0.3">
      <c r="B935" s="182">
        <v>1936</v>
      </c>
      <c r="C935" s="182">
        <v>1293</v>
      </c>
      <c r="D935" s="182" t="s">
        <v>78</v>
      </c>
      <c r="E935" s="181" t="s">
        <v>4915</v>
      </c>
      <c r="F935" s="182"/>
      <c r="G935" s="182">
        <v>879.38</v>
      </c>
      <c r="H935" s="182"/>
      <c r="I935" s="182"/>
      <c r="J935" s="182"/>
      <c r="K935" s="182"/>
      <c r="L935" s="182"/>
      <c r="M935" s="182"/>
      <c r="N935" s="182"/>
      <c r="O935" s="182"/>
      <c r="P935" s="182"/>
      <c r="Q935" s="182"/>
      <c r="R935" s="182"/>
      <c r="S935" s="182"/>
      <c r="T935" s="182"/>
      <c r="U935" s="182"/>
      <c r="V935" s="182"/>
      <c r="W935" s="182"/>
      <c r="X935" s="182"/>
      <c r="Y935" s="182"/>
      <c r="Z935" s="182"/>
      <c r="AA935" s="182"/>
      <c r="AB935" s="182"/>
      <c r="AC935" s="182"/>
      <c r="AD935" s="182"/>
      <c r="AE935" s="182"/>
      <c r="AF935" s="182"/>
      <c r="AG935" s="182"/>
      <c r="AH935" s="182"/>
      <c r="AI935" s="182"/>
      <c r="AJ935" s="182"/>
      <c r="AK935" s="182"/>
      <c r="AL935" s="182"/>
      <c r="AM935" s="182"/>
      <c r="AN935" s="182"/>
      <c r="AO935" s="182"/>
      <c r="AP935" s="182"/>
      <c r="AQ935" s="185">
        <f t="shared" si="157"/>
        <v>879.38</v>
      </c>
      <c r="AR935" s="182">
        <v>588.15</v>
      </c>
      <c r="AS935" s="182">
        <v>79.349999999999994</v>
      </c>
      <c r="AT935" s="182">
        <v>211.88</v>
      </c>
      <c r="AU935" s="182"/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182"/>
      <c r="BK935" s="182"/>
      <c r="BL935" s="182"/>
      <c r="BM935" s="182"/>
      <c r="BN935" s="182"/>
      <c r="BO935" s="182"/>
      <c r="BP935" s="182"/>
      <c r="BQ935" s="182"/>
      <c r="BR935" s="182"/>
      <c r="BS935" s="182"/>
      <c r="BT935" s="182"/>
      <c r="BU935" s="182"/>
      <c r="BV935" s="182"/>
      <c r="BW935" s="182"/>
      <c r="BX935" s="182"/>
      <c r="BY935" s="182"/>
      <c r="BZ935" s="182"/>
      <c r="CA935" s="182"/>
      <c r="CB935" s="185">
        <f t="shared" si="158"/>
        <v>879.38</v>
      </c>
      <c r="CC935" s="185">
        <f t="shared" si="159"/>
        <v>0</v>
      </c>
      <c r="CD935" s="185">
        <f t="shared" si="160"/>
        <v>1293</v>
      </c>
      <c r="CE935" s="185"/>
    </row>
    <row r="936" spans="2:83" s="197" customFormat="1" ht="37.5" x14ac:dyDescent="0.3">
      <c r="B936" s="182">
        <v>1937</v>
      </c>
      <c r="C936" s="182">
        <v>1294</v>
      </c>
      <c r="D936" s="182" t="s">
        <v>78</v>
      </c>
      <c r="E936" s="181" t="str">
        <f>+E932</f>
        <v>مكافاه منسقين سنه ثانيه</v>
      </c>
      <c r="F936" s="182"/>
      <c r="G936" s="182">
        <v>879.38</v>
      </c>
      <c r="H936" s="182"/>
      <c r="I936" s="182"/>
      <c r="J936" s="182"/>
      <c r="K936" s="182"/>
      <c r="L936" s="182"/>
      <c r="M936" s="182"/>
      <c r="N936" s="182"/>
      <c r="O936" s="182"/>
      <c r="P936" s="182"/>
      <c r="Q936" s="182"/>
      <c r="R936" s="182"/>
      <c r="S936" s="182"/>
      <c r="T936" s="182"/>
      <c r="U936" s="182"/>
      <c r="V936" s="182"/>
      <c r="W936" s="182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2"/>
      <c r="AH936" s="182"/>
      <c r="AI936" s="182"/>
      <c r="AJ936" s="182"/>
      <c r="AK936" s="182"/>
      <c r="AL936" s="182"/>
      <c r="AM936" s="182"/>
      <c r="AN936" s="182"/>
      <c r="AO936" s="182"/>
      <c r="AP936" s="182"/>
      <c r="AQ936" s="185">
        <f t="shared" si="157"/>
        <v>879.38</v>
      </c>
      <c r="AR936" s="182">
        <v>588.15</v>
      </c>
      <c r="AS936" s="182">
        <v>79.349999999999994</v>
      </c>
      <c r="AT936" s="182">
        <v>211.88</v>
      </c>
      <c r="AU936" s="182"/>
      <c r="AV936" s="182"/>
      <c r="AW936" s="182"/>
      <c r="AX936" s="182"/>
      <c r="AY936" s="182"/>
      <c r="AZ936" s="182"/>
      <c r="BA936" s="182"/>
      <c r="BB936" s="182"/>
      <c r="BC936" s="182"/>
      <c r="BD936" s="182"/>
      <c r="BE936" s="182"/>
      <c r="BF936" s="182"/>
      <c r="BG936" s="182"/>
      <c r="BH936" s="182"/>
      <c r="BI936" s="182"/>
      <c r="BJ936" s="182"/>
      <c r="BK936" s="182"/>
      <c r="BL936" s="182"/>
      <c r="BM936" s="182"/>
      <c r="BN936" s="182"/>
      <c r="BO936" s="182"/>
      <c r="BP936" s="182"/>
      <c r="BQ936" s="182"/>
      <c r="BR936" s="182"/>
      <c r="BS936" s="182"/>
      <c r="BT936" s="182"/>
      <c r="BU936" s="182"/>
      <c r="BV936" s="182"/>
      <c r="BW936" s="182"/>
      <c r="BX936" s="182"/>
      <c r="BY936" s="182"/>
      <c r="BZ936" s="182"/>
      <c r="CA936" s="182"/>
      <c r="CB936" s="185">
        <f t="shared" si="158"/>
        <v>879.38</v>
      </c>
      <c r="CC936" s="185">
        <f t="shared" si="159"/>
        <v>0</v>
      </c>
      <c r="CD936" s="185">
        <f t="shared" si="160"/>
        <v>1294</v>
      </c>
      <c r="CE936" s="185"/>
    </row>
    <row r="937" spans="2:83" s="197" customFormat="1" ht="37.5" x14ac:dyDescent="0.3">
      <c r="B937" s="182">
        <v>1863</v>
      </c>
      <c r="C937" s="182">
        <v>1295</v>
      </c>
      <c r="D937" s="182" t="s">
        <v>78</v>
      </c>
      <c r="E937" s="181" t="str">
        <f>+E931</f>
        <v>عب تدريس باثولوجى</v>
      </c>
      <c r="F937" s="182"/>
      <c r="G937" s="182">
        <v>10285.6</v>
      </c>
      <c r="H937" s="182"/>
      <c r="I937" s="182"/>
      <c r="J937" s="182"/>
      <c r="K937" s="182"/>
      <c r="L937" s="182"/>
      <c r="M937" s="182"/>
      <c r="N937" s="182"/>
      <c r="O937" s="182"/>
      <c r="P937" s="182"/>
      <c r="Q937" s="182"/>
      <c r="R937" s="182"/>
      <c r="S937" s="182"/>
      <c r="T937" s="182"/>
      <c r="U937" s="182"/>
      <c r="V937" s="182"/>
      <c r="W937" s="182"/>
      <c r="X937" s="182"/>
      <c r="Y937" s="182"/>
      <c r="Z937" s="182"/>
      <c r="AA937" s="182"/>
      <c r="AB937" s="182"/>
      <c r="AC937" s="182"/>
      <c r="AD937" s="182"/>
      <c r="AE937" s="182"/>
      <c r="AF937" s="182"/>
      <c r="AG937" s="182"/>
      <c r="AH937" s="182"/>
      <c r="AI937" s="182"/>
      <c r="AJ937" s="182"/>
      <c r="AK937" s="182"/>
      <c r="AL937" s="182"/>
      <c r="AM937" s="182"/>
      <c r="AN937" s="182"/>
      <c r="AO937" s="182"/>
      <c r="AP937" s="182"/>
      <c r="AQ937" s="185">
        <f t="shared" si="157"/>
        <v>10285.6</v>
      </c>
      <c r="AR937" s="182">
        <v>8868.75</v>
      </c>
      <c r="AS937" s="182">
        <v>1080.1500000000001</v>
      </c>
      <c r="AT937" s="182">
        <v>336.7</v>
      </c>
      <c r="AU937" s="182"/>
      <c r="AV937" s="182"/>
      <c r="AW937" s="182"/>
      <c r="AX937" s="182"/>
      <c r="AY937" s="182"/>
      <c r="AZ937" s="182"/>
      <c r="BA937" s="182"/>
      <c r="BB937" s="182"/>
      <c r="BC937" s="182"/>
      <c r="BD937" s="182"/>
      <c r="BE937" s="182"/>
      <c r="BF937" s="182"/>
      <c r="BG937" s="182"/>
      <c r="BH937" s="182"/>
      <c r="BI937" s="182"/>
      <c r="BJ937" s="182"/>
      <c r="BK937" s="182"/>
      <c r="BL937" s="182"/>
      <c r="BM937" s="182"/>
      <c r="BN937" s="182"/>
      <c r="BO937" s="182"/>
      <c r="BP937" s="182"/>
      <c r="BQ937" s="182"/>
      <c r="BR937" s="182"/>
      <c r="BS937" s="182"/>
      <c r="BT937" s="182"/>
      <c r="BU937" s="182"/>
      <c r="BV937" s="182"/>
      <c r="BW937" s="182"/>
      <c r="BX937" s="182"/>
      <c r="BY937" s="182"/>
      <c r="BZ937" s="182"/>
      <c r="CA937" s="182"/>
      <c r="CB937" s="185">
        <f t="shared" si="158"/>
        <v>10285.6</v>
      </c>
      <c r="CC937" s="185">
        <f t="shared" si="159"/>
        <v>0</v>
      </c>
      <c r="CD937" s="185">
        <f t="shared" si="160"/>
        <v>1295</v>
      </c>
      <c r="CE937" s="185"/>
    </row>
    <row r="938" spans="2:83" s="197" customFormat="1" ht="37.5" x14ac:dyDescent="0.3">
      <c r="B938" s="182">
        <v>1864</v>
      </c>
      <c r="C938" s="182">
        <v>1296</v>
      </c>
      <c r="D938" s="182" t="s">
        <v>78</v>
      </c>
      <c r="E938" s="181" t="str">
        <f t="shared" ref="E938:E943" si="161">+E937</f>
        <v>عب تدريس باثولوجى</v>
      </c>
      <c r="F938" s="182"/>
      <c r="G938" s="182">
        <v>3240</v>
      </c>
      <c r="H938" s="182"/>
      <c r="I938" s="182"/>
      <c r="J938" s="182"/>
      <c r="K938" s="182"/>
      <c r="L938" s="182"/>
      <c r="M938" s="182"/>
      <c r="N938" s="182"/>
      <c r="O938" s="182"/>
      <c r="P938" s="182"/>
      <c r="Q938" s="182"/>
      <c r="R938" s="182"/>
      <c r="S938" s="182"/>
      <c r="T938" s="182"/>
      <c r="U938" s="182"/>
      <c r="V938" s="182"/>
      <c r="W938" s="182"/>
      <c r="X938" s="182"/>
      <c r="Y938" s="182"/>
      <c r="Z938" s="182"/>
      <c r="AA938" s="182"/>
      <c r="AB938" s="182"/>
      <c r="AC938" s="182"/>
      <c r="AD938" s="182"/>
      <c r="AE938" s="182"/>
      <c r="AF938" s="182"/>
      <c r="AG938" s="182"/>
      <c r="AH938" s="182"/>
      <c r="AI938" s="182"/>
      <c r="AJ938" s="182"/>
      <c r="AK938" s="182"/>
      <c r="AL938" s="182"/>
      <c r="AM938" s="182"/>
      <c r="AN938" s="182"/>
      <c r="AO938" s="182"/>
      <c r="AP938" s="182"/>
      <c r="AQ938" s="185">
        <f t="shared" si="157"/>
        <v>3240</v>
      </c>
      <c r="AR938" s="182">
        <v>2892.75</v>
      </c>
      <c r="AS938" s="182">
        <v>347.25</v>
      </c>
      <c r="AT938" s="182"/>
      <c r="AU938" s="182"/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182"/>
      <c r="BK938" s="182"/>
      <c r="BL938" s="182"/>
      <c r="BM938" s="182"/>
      <c r="BN938" s="182"/>
      <c r="BO938" s="182"/>
      <c r="BP938" s="182"/>
      <c r="BQ938" s="182"/>
      <c r="BR938" s="182"/>
      <c r="BS938" s="182"/>
      <c r="BT938" s="182"/>
      <c r="BU938" s="182"/>
      <c r="BV938" s="182"/>
      <c r="BW938" s="182"/>
      <c r="BX938" s="182"/>
      <c r="BY938" s="182"/>
      <c r="BZ938" s="182"/>
      <c r="CA938" s="182"/>
      <c r="CB938" s="185">
        <f t="shared" si="158"/>
        <v>3240</v>
      </c>
      <c r="CC938" s="185">
        <f t="shared" si="159"/>
        <v>0</v>
      </c>
      <c r="CD938" s="185">
        <f t="shared" si="160"/>
        <v>1296</v>
      </c>
      <c r="CE938" s="185"/>
    </row>
    <row r="939" spans="2:83" s="197" customFormat="1" ht="37.5" x14ac:dyDescent="0.3">
      <c r="B939" s="182">
        <v>1866</v>
      </c>
      <c r="C939" s="182">
        <v>1297</v>
      </c>
      <c r="D939" s="182" t="s">
        <v>78</v>
      </c>
      <c r="E939" s="181" t="str">
        <f t="shared" si="161"/>
        <v>عب تدريس باثولوجى</v>
      </c>
      <c r="F939" s="182"/>
      <c r="G939" s="182">
        <v>1080</v>
      </c>
      <c r="H939" s="182"/>
      <c r="I939" s="182"/>
      <c r="J939" s="182"/>
      <c r="K939" s="182"/>
      <c r="L939" s="182"/>
      <c r="M939" s="182"/>
      <c r="N939" s="182"/>
      <c r="O939" s="182"/>
      <c r="P939" s="182"/>
      <c r="Q939" s="182"/>
      <c r="R939" s="182"/>
      <c r="S939" s="182"/>
      <c r="T939" s="182"/>
      <c r="U939" s="182"/>
      <c r="V939" s="182"/>
      <c r="W939" s="182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2"/>
      <c r="AH939" s="182"/>
      <c r="AI939" s="182"/>
      <c r="AJ939" s="182"/>
      <c r="AK939" s="182"/>
      <c r="AL939" s="182"/>
      <c r="AM939" s="182"/>
      <c r="AN939" s="182"/>
      <c r="AO939" s="182"/>
      <c r="AP939" s="182"/>
      <c r="AQ939" s="185">
        <f t="shared" si="157"/>
        <v>1080</v>
      </c>
      <c r="AR939" s="182">
        <v>965.85</v>
      </c>
      <c r="AS939" s="182">
        <v>114.15</v>
      </c>
      <c r="AT939" s="182"/>
      <c r="AU939" s="182"/>
      <c r="AV939" s="182"/>
      <c r="AW939" s="182"/>
      <c r="AX939" s="182"/>
      <c r="AY939" s="182"/>
      <c r="AZ939" s="182"/>
      <c r="BA939" s="182"/>
      <c r="BB939" s="182"/>
      <c r="BC939" s="182"/>
      <c r="BD939" s="182"/>
      <c r="BE939" s="182"/>
      <c r="BF939" s="182"/>
      <c r="BG939" s="182"/>
      <c r="BH939" s="182"/>
      <c r="BI939" s="182"/>
      <c r="BJ939" s="182"/>
      <c r="BK939" s="182"/>
      <c r="BL939" s="182"/>
      <c r="BM939" s="182"/>
      <c r="BN939" s="182"/>
      <c r="BO939" s="182"/>
      <c r="BP939" s="182"/>
      <c r="BQ939" s="182"/>
      <c r="BR939" s="182"/>
      <c r="BS939" s="182"/>
      <c r="BT939" s="182"/>
      <c r="BU939" s="182"/>
      <c r="BV939" s="182"/>
      <c r="BW939" s="182"/>
      <c r="BX939" s="182"/>
      <c r="BY939" s="182"/>
      <c r="BZ939" s="182"/>
      <c r="CA939" s="182"/>
      <c r="CB939" s="185">
        <f t="shared" si="158"/>
        <v>1080</v>
      </c>
      <c r="CC939" s="185">
        <f t="shared" si="159"/>
        <v>0</v>
      </c>
      <c r="CD939" s="185">
        <f t="shared" si="160"/>
        <v>1297</v>
      </c>
      <c r="CE939" s="185"/>
    </row>
    <row r="940" spans="2:83" s="197" customFormat="1" ht="37.5" x14ac:dyDescent="0.3">
      <c r="B940" s="182">
        <v>1865</v>
      </c>
      <c r="C940" s="182">
        <v>1298</v>
      </c>
      <c r="D940" s="182" t="s">
        <v>78</v>
      </c>
      <c r="E940" s="181" t="str">
        <f t="shared" si="161"/>
        <v>عب تدريس باثولوجى</v>
      </c>
      <c r="F940" s="182"/>
      <c r="G940" s="182">
        <v>4140</v>
      </c>
      <c r="H940" s="182"/>
      <c r="I940" s="182"/>
      <c r="J940" s="182"/>
      <c r="K940" s="182"/>
      <c r="L940" s="182"/>
      <c r="M940" s="182"/>
      <c r="N940" s="182"/>
      <c r="O940" s="182"/>
      <c r="P940" s="182"/>
      <c r="Q940" s="182"/>
      <c r="R940" s="182"/>
      <c r="S940" s="182"/>
      <c r="T940" s="182"/>
      <c r="U940" s="182"/>
      <c r="V940" s="182"/>
      <c r="W940" s="182"/>
      <c r="X940" s="182"/>
      <c r="Y940" s="182"/>
      <c r="Z940" s="182"/>
      <c r="AA940" s="182"/>
      <c r="AB940" s="182"/>
      <c r="AC940" s="182"/>
      <c r="AD940" s="182"/>
      <c r="AE940" s="182"/>
      <c r="AF940" s="182"/>
      <c r="AG940" s="182"/>
      <c r="AH940" s="182"/>
      <c r="AI940" s="182"/>
      <c r="AJ940" s="182"/>
      <c r="AK940" s="182"/>
      <c r="AL940" s="182"/>
      <c r="AM940" s="182"/>
      <c r="AN940" s="182"/>
      <c r="AO940" s="182"/>
      <c r="AP940" s="182"/>
      <c r="AQ940" s="185">
        <f t="shared" si="157"/>
        <v>4140</v>
      </c>
      <c r="AR940" s="182">
        <v>3696.35</v>
      </c>
      <c r="AS940" s="182">
        <v>443.65</v>
      </c>
      <c r="AT940" s="182"/>
      <c r="AU940" s="182"/>
      <c r="AV940" s="182"/>
      <c r="AW940" s="182"/>
      <c r="AX940" s="182"/>
      <c r="AY940" s="182"/>
      <c r="AZ940" s="182"/>
      <c r="BA940" s="182"/>
      <c r="BB940" s="182"/>
      <c r="BC940" s="182"/>
      <c r="BD940" s="182"/>
      <c r="BE940" s="182"/>
      <c r="BF940" s="182"/>
      <c r="BG940" s="182"/>
      <c r="BH940" s="182"/>
      <c r="BI940" s="182"/>
      <c r="BJ940" s="182"/>
      <c r="BK940" s="182"/>
      <c r="BL940" s="182"/>
      <c r="BM940" s="182"/>
      <c r="BN940" s="182"/>
      <c r="BO940" s="182"/>
      <c r="BP940" s="182"/>
      <c r="BQ940" s="182"/>
      <c r="BR940" s="182"/>
      <c r="BS940" s="182"/>
      <c r="BT940" s="182"/>
      <c r="BU940" s="182"/>
      <c r="BV940" s="182"/>
      <c r="BW940" s="182"/>
      <c r="BX940" s="182"/>
      <c r="BY940" s="182"/>
      <c r="BZ940" s="182"/>
      <c r="CA940" s="182"/>
      <c r="CB940" s="185">
        <f t="shared" si="158"/>
        <v>4140</v>
      </c>
      <c r="CC940" s="185">
        <f t="shared" si="159"/>
        <v>0</v>
      </c>
      <c r="CD940" s="185">
        <f t="shared" si="160"/>
        <v>1298</v>
      </c>
      <c r="CE940" s="185"/>
    </row>
    <row r="941" spans="2:83" s="197" customFormat="1" ht="37.5" x14ac:dyDescent="0.3">
      <c r="B941" s="182">
        <v>1871</v>
      </c>
      <c r="C941" s="182">
        <v>1299</v>
      </c>
      <c r="D941" s="182" t="s">
        <v>78</v>
      </c>
      <c r="E941" s="181" t="str">
        <f t="shared" si="161"/>
        <v>عب تدريس باثولوجى</v>
      </c>
      <c r="F941" s="182"/>
      <c r="G941" s="182">
        <v>1869.27</v>
      </c>
      <c r="H941" s="182"/>
      <c r="I941" s="182"/>
      <c r="J941" s="182"/>
      <c r="K941" s="182"/>
      <c r="L941" s="182"/>
      <c r="M941" s="182"/>
      <c r="N941" s="182"/>
      <c r="O941" s="182"/>
      <c r="P941" s="182"/>
      <c r="Q941" s="182"/>
      <c r="R941" s="182"/>
      <c r="S941" s="182"/>
      <c r="T941" s="182"/>
      <c r="U941" s="182"/>
      <c r="V941" s="182"/>
      <c r="W941" s="182"/>
      <c r="X941" s="182"/>
      <c r="Y941" s="182"/>
      <c r="Z941" s="182"/>
      <c r="AA941" s="182"/>
      <c r="AB941" s="182"/>
      <c r="AC941" s="182"/>
      <c r="AD941" s="182"/>
      <c r="AE941" s="182"/>
      <c r="AF941" s="182"/>
      <c r="AG941" s="182"/>
      <c r="AH941" s="182"/>
      <c r="AI941" s="182"/>
      <c r="AJ941" s="182"/>
      <c r="AK941" s="182"/>
      <c r="AL941" s="182"/>
      <c r="AM941" s="182"/>
      <c r="AN941" s="182"/>
      <c r="AO941" s="182"/>
      <c r="AP941" s="182"/>
      <c r="AQ941" s="185">
        <f t="shared" si="157"/>
        <v>1869.27</v>
      </c>
      <c r="AR941" s="182">
        <v>1289.79</v>
      </c>
      <c r="AS941" s="182">
        <v>171.25</v>
      </c>
      <c r="AT941" s="182">
        <v>408.23</v>
      </c>
      <c r="AU941" s="182"/>
      <c r="AV941" s="182"/>
      <c r="AW941" s="182"/>
      <c r="AX941" s="182"/>
      <c r="AY941" s="182"/>
      <c r="AZ941" s="182"/>
      <c r="BA941" s="182"/>
      <c r="BB941" s="182"/>
      <c r="BC941" s="182"/>
      <c r="BD941" s="182"/>
      <c r="BE941" s="182"/>
      <c r="BF941" s="182"/>
      <c r="BG941" s="182"/>
      <c r="BH941" s="182"/>
      <c r="BI941" s="182"/>
      <c r="BJ941" s="182"/>
      <c r="BK941" s="182"/>
      <c r="BL941" s="182"/>
      <c r="BM941" s="182"/>
      <c r="BN941" s="182"/>
      <c r="BO941" s="182"/>
      <c r="BP941" s="182"/>
      <c r="BQ941" s="182"/>
      <c r="BR941" s="182"/>
      <c r="BS941" s="182"/>
      <c r="BT941" s="182"/>
      <c r="BU941" s="182"/>
      <c r="BV941" s="182"/>
      <c r="BW941" s="182"/>
      <c r="BX941" s="182"/>
      <c r="BY941" s="182"/>
      <c r="BZ941" s="182"/>
      <c r="CA941" s="182"/>
      <c r="CB941" s="185">
        <f t="shared" si="158"/>
        <v>1869.27</v>
      </c>
      <c r="CC941" s="185">
        <f t="shared" si="159"/>
        <v>0</v>
      </c>
      <c r="CD941" s="185">
        <f t="shared" si="160"/>
        <v>1299</v>
      </c>
      <c r="CE941" s="185"/>
    </row>
    <row r="942" spans="2:83" s="197" customFormat="1" ht="37.5" x14ac:dyDescent="0.3">
      <c r="B942" s="182">
        <v>1870</v>
      </c>
      <c r="C942" s="182">
        <v>1300</v>
      </c>
      <c r="D942" s="182" t="s">
        <v>78</v>
      </c>
      <c r="E942" s="181" t="str">
        <f t="shared" si="161"/>
        <v>عب تدريس باثولوجى</v>
      </c>
      <c r="F942" s="182"/>
      <c r="G942" s="182">
        <v>5250</v>
      </c>
      <c r="H942" s="182"/>
      <c r="I942" s="182"/>
      <c r="J942" s="182"/>
      <c r="K942" s="182"/>
      <c r="L942" s="182"/>
      <c r="M942" s="182"/>
      <c r="N942" s="182"/>
      <c r="O942" s="182"/>
      <c r="P942" s="182"/>
      <c r="Q942" s="182"/>
      <c r="R942" s="182"/>
      <c r="S942" s="182"/>
      <c r="T942" s="182"/>
      <c r="U942" s="182"/>
      <c r="V942" s="182"/>
      <c r="W942" s="182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2"/>
      <c r="AH942" s="182"/>
      <c r="AI942" s="182"/>
      <c r="AJ942" s="182"/>
      <c r="AK942" s="182"/>
      <c r="AL942" s="182"/>
      <c r="AM942" s="182"/>
      <c r="AN942" s="182"/>
      <c r="AO942" s="182"/>
      <c r="AP942" s="182"/>
      <c r="AQ942" s="185">
        <f t="shared" si="157"/>
        <v>5250</v>
      </c>
      <c r="AR942" s="182">
        <v>4688.6499999999996</v>
      </c>
      <c r="AS942" s="182">
        <v>561.35</v>
      </c>
      <c r="AT942" s="182"/>
      <c r="AU942" s="182"/>
      <c r="AV942" s="182"/>
      <c r="AW942" s="182"/>
      <c r="AX942" s="182"/>
      <c r="AY942" s="182"/>
      <c r="AZ942" s="182"/>
      <c r="BA942" s="182"/>
      <c r="BB942" s="182"/>
      <c r="BC942" s="182"/>
      <c r="BD942" s="182"/>
      <c r="BE942" s="182"/>
      <c r="BF942" s="182"/>
      <c r="BG942" s="182"/>
      <c r="BH942" s="182"/>
      <c r="BI942" s="182"/>
      <c r="BJ942" s="182"/>
      <c r="BK942" s="182"/>
      <c r="BL942" s="182"/>
      <c r="BM942" s="182"/>
      <c r="BN942" s="182"/>
      <c r="BO942" s="182"/>
      <c r="BP942" s="182"/>
      <c r="BQ942" s="182"/>
      <c r="BR942" s="182"/>
      <c r="BS942" s="182"/>
      <c r="BT942" s="182"/>
      <c r="BU942" s="182"/>
      <c r="BV942" s="182"/>
      <c r="BW942" s="182"/>
      <c r="BX942" s="182"/>
      <c r="BY942" s="182"/>
      <c r="BZ942" s="182"/>
      <c r="CA942" s="182"/>
      <c r="CB942" s="185">
        <f t="shared" si="158"/>
        <v>5250</v>
      </c>
      <c r="CC942" s="185">
        <f t="shared" si="159"/>
        <v>0</v>
      </c>
      <c r="CD942" s="185">
        <f t="shared" si="160"/>
        <v>1300</v>
      </c>
      <c r="CE942" s="185"/>
    </row>
    <row r="943" spans="2:83" s="197" customFormat="1" ht="37.5" x14ac:dyDescent="0.3">
      <c r="B943" s="182">
        <v>1872</v>
      </c>
      <c r="C943" s="182">
        <v>1301</v>
      </c>
      <c r="D943" s="182" t="s">
        <v>78</v>
      </c>
      <c r="E943" s="181" t="str">
        <f t="shared" si="161"/>
        <v>عب تدريس باثولوجى</v>
      </c>
      <c r="F943" s="182"/>
      <c r="G943" s="182">
        <v>2400</v>
      </c>
      <c r="H943" s="182"/>
      <c r="I943" s="182"/>
      <c r="J943" s="182"/>
      <c r="K943" s="182"/>
      <c r="L943" s="182"/>
      <c r="M943" s="182"/>
      <c r="N943" s="182"/>
      <c r="O943" s="182"/>
      <c r="P943" s="182"/>
      <c r="Q943" s="182"/>
      <c r="R943" s="182"/>
      <c r="S943" s="182"/>
      <c r="T943" s="182"/>
      <c r="U943" s="182"/>
      <c r="V943" s="182"/>
      <c r="W943" s="182"/>
      <c r="X943" s="182"/>
      <c r="Y943" s="182"/>
      <c r="Z943" s="182"/>
      <c r="AA943" s="182"/>
      <c r="AB943" s="182"/>
      <c r="AC943" s="182"/>
      <c r="AD943" s="182"/>
      <c r="AE943" s="182"/>
      <c r="AF943" s="182"/>
      <c r="AG943" s="182"/>
      <c r="AH943" s="182"/>
      <c r="AI943" s="182"/>
      <c r="AJ943" s="182"/>
      <c r="AK943" s="182"/>
      <c r="AL943" s="182"/>
      <c r="AM943" s="182"/>
      <c r="AN943" s="182"/>
      <c r="AO943" s="182"/>
      <c r="AP943" s="182"/>
      <c r="AQ943" s="185">
        <f t="shared" si="157"/>
        <v>2400</v>
      </c>
      <c r="AR943" s="182">
        <v>2144.85</v>
      </c>
      <c r="AS943" s="182">
        <v>255.15</v>
      </c>
      <c r="AT943" s="182"/>
      <c r="AU943" s="182"/>
      <c r="AV943" s="182"/>
      <c r="AW943" s="182"/>
      <c r="AX943" s="182"/>
      <c r="AY943" s="182"/>
      <c r="AZ943" s="182"/>
      <c r="BA943" s="182"/>
      <c r="BB943" s="182"/>
      <c r="BC943" s="182"/>
      <c r="BD943" s="182"/>
      <c r="BE943" s="182"/>
      <c r="BF943" s="182"/>
      <c r="BG943" s="182"/>
      <c r="BH943" s="182"/>
      <c r="BI943" s="182"/>
      <c r="BJ943" s="182"/>
      <c r="BK943" s="182"/>
      <c r="BL943" s="182"/>
      <c r="BM943" s="182"/>
      <c r="BN943" s="182"/>
      <c r="BO943" s="182"/>
      <c r="BP943" s="182"/>
      <c r="BQ943" s="182"/>
      <c r="BR943" s="182"/>
      <c r="BS943" s="182"/>
      <c r="BT943" s="182"/>
      <c r="BU943" s="182"/>
      <c r="BV943" s="182"/>
      <c r="BW943" s="182"/>
      <c r="BX943" s="182"/>
      <c r="BY943" s="182"/>
      <c r="BZ943" s="182"/>
      <c r="CA943" s="182"/>
      <c r="CB943" s="185">
        <f t="shared" si="158"/>
        <v>2400</v>
      </c>
      <c r="CC943" s="185">
        <f t="shared" si="159"/>
        <v>0</v>
      </c>
      <c r="CD943" s="185">
        <f t="shared" si="160"/>
        <v>1301</v>
      </c>
      <c r="CE943" s="185"/>
    </row>
    <row r="944" spans="2:83" s="197" customFormat="1" ht="37.5" x14ac:dyDescent="0.3">
      <c r="B944" s="182">
        <v>1874</v>
      </c>
      <c r="C944" s="182">
        <v>1302</v>
      </c>
      <c r="D944" s="182" t="s">
        <v>78</v>
      </c>
      <c r="E944" s="181" t="str">
        <f>+E917</f>
        <v>عب تدريس فارماكولوجى</v>
      </c>
      <c r="F944" s="182"/>
      <c r="G944" s="182">
        <v>1522.8</v>
      </c>
      <c r="H944" s="182"/>
      <c r="I944" s="182"/>
      <c r="J944" s="182"/>
      <c r="K944" s="182"/>
      <c r="L944" s="182"/>
      <c r="M944" s="182"/>
      <c r="N944" s="182"/>
      <c r="O944" s="182"/>
      <c r="P944" s="182"/>
      <c r="Q944" s="182"/>
      <c r="R944" s="182"/>
      <c r="S944" s="182"/>
      <c r="T944" s="182"/>
      <c r="U944" s="182"/>
      <c r="V944" s="182"/>
      <c r="W944" s="182"/>
      <c r="X944" s="182"/>
      <c r="Y944" s="182"/>
      <c r="Z944" s="182"/>
      <c r="AA944" s="182"/>
      <c r="AB944" s="182"/>
      <c r="AC944" s="182"/>
      <c r="AD944" s="182"/>
      <c r="AE944" s="182"/>
      <c r="AF944" s="182"/>
      <c r="AG944" s="182"/>
      <c r="AH944" s="182"/>
      <c r="AI944" s="182"/>
      <c r="AJ944" s="182"/>
      <c r="AK944" s="182"/>
      <c r="AL944" s="182"/>
      <c r="AM944" s="182"/>
      <c r="AN944" s="182"/>
      <c r="AO944" s="182"/>
      <c r="AP944" s="182"/>
      <c r="AQ944" s="185">
        <f t="shared" si="157"/>
        <v>1522.8</v>
      </c>
      <c r="AR944" s="182">
        <v>1235.1500000000001</v>
      </c>
      <c r="AS944" s="182">
        <v>152.05000000000001</v>
      </c>
      <c r="AT944" s="182">
        <v>135.6</v>
      </c>
      <c r="AU944" s="182"/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182"/>
      <c r="BK944" s="182"/>
      <c r="BL944" s="182"/>
      <c r="BM944" s="182"/>
      <c r="BN944" s="182"/>
      <c r="BO944" s="182"/>
      <c r="BP944" s="182"/>
      <c r="BQ944" s="182"/>
      <c r="BR944" s="182"/>
      <c r="BS944" s="182"/>
      <c r="BT944" s="182"/>
      <c r="BU944" s="182"/>
      <c r="BV944" s="182"/>
      <c r="BW944" s="182"/>
      <c r="BX944" s="182"/>
      <c r="BY944" s="182"/>
      <c r="BZ944" s="182"/>
      <c r="CA944" s="182"/>
      <c r="CB944" s="185">
        <f t="shared" si="158"/>
        <v>1522.8</v>
      </c>
      <c r="CC944" s="185">
        <f t="shared" si="159"/>
        <v>0</v>
      </c>
      <c r="CD944" s="185">
        <f t="shared" si="160"/>
        <v>1302</v>
      </c>
      <c r="CE944" s="185"/>
    </row>
    <row r="945" spans="2:83" s="197" customFormat="1" ht="37.5" x14ac:dyDescent="0.3">
      <c r="B945" s="182">
        <v>1876</v>
      </c>
      <c r="C945" s="182">
        <v>1303</v>
      </c>
      <c r="D945" s="182" t="s">
        <v>78</v>
      </c>
      <c r="E945" s="181" t="str">
        <f>+E918</f>
        <v>عب تدريس فارماكولوجى</v>
      </c>
      <c r="F945" s="182"/>
      <c r="G945" s="182">
        <v>20540</v>
      </c>
      <c r="H945" s="182"/>
      <c r="I945" s="182"/>
      <c r="J945" s="182"/>
      <c r="K945" s="182"/>
      <c r="L945" s="182"/>
      <c r="M945" s="182"/>
      <c r="N945" s="182"/>
      <c r="O945" s="182"/>
      <c r="P945" s="182"/>
      <c r="Q945" s="182"/>
      <c r="R945" s="182"/>
      <c r="S945" s="182"/>
      <c r="T945" s="182"/>
      <c r="U945" s="182"/>
      <c r="V945" s="182"/>
      <c r="W945" s="182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2"/>
      <c r="AH945" s="182"/>
      <c r="AI945" s="182"/>
      <c r="AJ945" s="182"/>
      <c r="AK945" s="182"/>
      <c r="AL945" s="182"/>
      <c r="AM945" s="182"/>
      <c r="AN945" s="182"/>
      <c r="AO945" s="182"/>
      <c r="AP945" s="182"/>
      <c r="AQ945" s="185">
        <f t="shared" si="157"/>
        <v>20540</v>
      </c>
      <c r="AR945" s="182">
        <v>18335.45</v>
      </c>
      <c r="AS945" s="182">
        <v>2204.5500000000002</v>
      </c>
      <c r="AT945" s="182"/>
      <c r="AU945" s="182"/>
      <c r="AV945" s="182"/>
      <c r="AW945" s="182"/>
      <c r="AX945" s="182"/>
      <c r="AY945" s="182"/>
      <c r="AZ945" s="182"/>
      <c r="BA945" s="182"/>
      <c r="BB945" s="182"/>
      <c r="BC945" s="182"/>
      <c r="BD945" s="182"/>
      <c r="BE945" s="182"/>
      <c r="BF945" s="182"/>
      <c r="BG945" s="182"/>
      <c r="BH945" s="182"/>
      <c r="BI945" s="182"/>
      <c r="BJ945" s="182"/>
      <c r="BK945" s="182"/>
      <c r="BL945" s="182"/>
      <c r="BM945" s="182"/>
      <c r="BN945" s="182"/>
      <c r="BO945" s="182"/>
      <c r="BP945" s="182"/>
      <c r="BQ945" s="182"/>
      <c r="BR945" s="182"/>
      <c r="BS945" s="182"/>
      <c r="BT945" s="182"/>
      <c r="BU945" s="182"/>
      <c r="BV945" s="182"/>
      <c r="BW945" s="182"/>
      <c r="BX945" s="182"/>
      <c r="BY945" s="182"/>
      <c r="BZ945" s="182"/>
      <c r="CA945" s="182"/>
      <c r="CB945" s="185">
        <f t="shared" si="158"/>
        <v>20540</v>
      </c>
      <c r="CC945" s="185">
        <f t="shared" si="159"/>
        <v>0</v>
      </c>
      <c r="CD945" s="185">
        <f t="shared" si="160"/>
        <v>1303</v>
      </c>
      <c r="CE945" s="185"/>
    </row>
    <row r="946" spans="2:83" s="197" customFormat="1" ht="37.5" x14ac:dyDescent="0.3">
      <c r="B946" s="182">
        <v>1875</v>
      </c>
      <c r="C946" s="182">
        <v>1304</v>
      </c>
      <c r="D946" s="182" t="s">
        <v>78</v>
      </c>
      <c r="E946" s="181" t="str">
        <f>+E945</f>
        <v>عب تدريس فارماكولوجى</v>
      </c>
      <c r="F946" s="182"/>
      <c r="G946" s="182">
        <v>1760</v>
      </c>
      <c r="H946" s="182"/>
      <c r="I946" s="182"/>
      <c r="J946" s="182"/>
      <c r="K946" s="182"/>
      <c r="L946" s="182"/>
      <c r="M946" s="182"/>
      <c r="N946" s="182"/>
      <c r="O946" s="182"/>
      <c r="P946" s="182"/>
      <c r="Q946" s="182"/>
      <c r="R946" s="182"/>
      <c r="S946" s="182"/>
      <c r="T946" s="182"/>
      <c r="U946" s="182"/>
      <c r="V946" s="182"/>
      <c r="W946" s="182"/>
      <c r="X946" s="182"/>
      <c r="Y946" s="182"/>
      <c r="Z946" s="182"/>
      <c r="AA946" s="182"/>
      <c r="AB946" s="182"/>
      <c r="AC946" s="182"/>
      <c r="AD946" s="182"/>
      <c r="AE946" s="182"/>
      <c r="AF946" s="182"/>
      <c r="AG946" s="182"/>
      <c r="AH946" s="182"/>
      <c r="AI946" s="182"/>
      <c r="AJ946" s="182"/>
      <c r="AK946" s="182"/>
      <c r="AL946" s="182"/>
      <c r="AM946" s="182"/>
      <c r="AN946" s="182"/>
      <c r="AO946" s="182"/>
      <c r="AP946" s="182"/>
      <c r="AQ946" s="185">
        <f t="shared" si="157"/>
        <v>1760</v>
      </c>
      <c r="AR946" s="182">
        <v>1571.15</v>
      </c>
      <c r="AS946" s="182">
        <v>188.85</v>
      </c>
      <c r="AT946" s="182"/>
      <c r="AU946" s="182"/>
      <c r="AV946" s="182"/>
      <c r="AW946" s="182"/>
      <c r="AX946" s="182"/>
      <c r="AY946" s="182"/>
      <c r="AZ946" s="182"/>
      <c r="BA946" s="182"/>
      <c r="BB946" s="182"/>
      <c r="BC946" s="182"/>
      <c r="BD946" s="182"/>
      <c r="BE946" s="182"/>
      <c r="BF946" s="182"/>
      <c r="BG946" s="182"/>
      <c r="BH946" s="182"/>
      <c r="BI946" s="182"/>
      <c r="BJ946" s="182"/>
      <c r="BK946" s="182"/>
      <c r="BL946" s="182"/>
      <c r="BM946" s="182"/>
      <c r="BN946" s="182"/>
      <c r="BO946" s="182"/>
      <c r="BP946" s="182"/>
      <c r="BQ946" s="182"/>
      <c r="BR946" s="182"/>
      <c r="BS946" s="182"/>
      <c r="BT946" s="182"/>
      <c r="BU946" s="182"/>
      <c r="BV946" s="182"/>
      <c r="BW946" s="182"/>
      <c r="BX946" s="182"/>
      <c r="BY946" s="182"/>
      <c r="BZ946" s="182"/>
      <c r="CA946" s="182"/>
      <c r="CB946" s="185">
        <f t="shared" si="158"/>
        <v>1760</v>
      </c>
      <c r="CC946" s="185">
        <f t="shared" si="159"/>
        <v>0</v>
      </c>
      <c r="CD946" s="185">
        <f t="shared" si="160"/>
        <v>1304</v>
      </c>
      <c r="CE946" s="185"/>
    </row>
    <row r="947" spans="2:83" s="197" customFormat="1" ht="37.5" x14ac:dyDescent="0.3">
      <c r="B947" s="182">
        <v>3230</v>
      </c>
      <c r="C947" s="182">
        <v>1305</v>
      </c>
      <c r="D947" s="182" t="s">
        <v>121</v>
      </c>
      <c r="E947" s="181" t="s">
        <v>4882</v>
      </c>
      <c r="F947" s="182"/>
      <c r="G947" s="182">
        <v>550</v>
      </c>
      <c r="H947" s="182"/>
      <c r="I947" s="182"/>
      <c r="J947" s="182"/>
      <c r="K947" s="182"/>
      <c r="L947" s="182"/>
      <c r="M947" s="182"/>
      <c r="N947" s="182"/>
      <c r="O947" s="182"/>
      <c r="P947" s="182"/>
      <c r="Q947" s="182"/>
      <c r="R947" s="182"/>
      <c r="S947" s="182"/>
      <c r="T947" s="182"/>
      <c r="U947" s="182"/>
      <c r="V947" s="182"/>
      <c r="W947" s="182"/>
      <c r="X947" s="182"/>
      <c r="Y947" s="182"/>
      <c r="Z947" s="182"/>
      <c r="AA947" s="182"/>
      <c r="AB947" s="182"/>
      <c r="AC947" s="182"/>
      <c r="AD947" s="182"/>
      <c r="AE947" s="182"/>
      <c r="AF947" s="182"/>
      <c r="AG947" s="182"/>
      <c r="AH947" s="182"/>
      <c r="AI947" s="182"/>
      <c r="AJ947" s="182"/>
      <c r="AK947" s="182"/>
      <c r="AL947" s="182"/>
      <c r="AM947" s="182"/>
      <c r="AN947" s="182"/>
      <c r="AO947" s="182"/>
      <c r="AP947" s="182"/>
      <c r="AQ947" s="185">
        <f t="shared" ref="AQ947:AQ955" si="162">SUM(G947:AP947)</f>
        <v>550</v>
      </c>
      <c r="AR947" s="182">
        <v>491.5</v>
      </c>
      <c r="AS947" s="182">
        <v>58.5</v>
      </c>
      <c r="AT947" s="182"/>
      <c r="AU947" s="182"/>
      <c r="AV947" s="182"/>
      <c r="AW947" s="182"/>
      <c r="AX947" s="182"/>
      <c r="AY947" s="182"/>
      <c r="AZ947" s="182"/>
      <c r="BA947" s="182"/>
      <c r="BB947" s="182"/>
      <c r="BC947" s="182"/>
      <c r="BD947" s="182"/>
      <c r="BE947" s="182"/>
      <c r="BF947" s="182"/>
      <c r="BG947" s="182"/>
      <c r="BH947" s="182"/>
      <c r="BI947" s="182"/>
      <c r="BJ947" s="182"/>
      <c r="BK947" s="182"/>
      <c r="BL947" s="182"/>
      <c r="BM947" s="182"/>
      <c r="BN947" s="182"/>
      <c r="BO947" s="182"/>
      <c r="BP947" s="182"/>
      <c r="BQ947" s="182"/>
      <c r="BR947" s="182"/>
      <c r="BS947" s="182"/>
      <c r="BT947" s="182"/>
      <c r="BU947" s="182"/>
      <c r="BV947" s="182"/>
      <c r="BW947" s="182"/>
      <c r="BX947" s="182"/>
      <c r="BY947" s="182"/>
      <c r="BZ947" s="182"/>
      <c r="CA947" s="182"/>
      <c r="CB947" s="185">
        <f t="shared" ref="CB947:CB955" si="163">SUM(AR947:CA947)</f>
        <v>550</v>
      </c>
      <c r="CC947" s="185">
        <f t="shared" ref="CC947:CC955" si="164">+CB947-AQ947</f>
        <v>0</v>
      </c>
      <c r="CD947" s="185">
        <f t="shared" ref="CD947:CD955" si="165">+C947</f>
        <v>1305</v>
      </c>
      <c r="CE947" s="185"/>
    </row>
    <row r="948" spans="2:83" s="197" customFormat="1" ht="37.5" x14ac:dyDescent="0.3">
      <c r="B948" s="182">
        <v>3231</v>
      </c>
      <c r="C948" s="182">
        <v>1306</v>
      </c>
      <c r="D948" s="182" t="s">
        <v>121</v>
      </c>
      <c r="E948" s="181" t="s">
        <v>4916</v>
      </c>
      <c r="F948" s="182"/>
      <c r="G948" s="182">
        <v>213.13</v>
      </c>
      <c r="H948" s="182"/>
      <c r="I948" s="182"/>
      <c r="J948" s="182"/>
      <c r="K948" s="182"/>
      <c r="L948" s="182"/>
      <c r="M948" s="182"/>
      <c r="N948" s="182"/>
      <c r="O948" s="182"/>
      <c r="P948" s="182"/>
      <c r="Q948" s="182"/>
      <c r="R948" s="182"/>
      <c r="S948" s="182"/>
      <c r="T948" s="182"/>
      <c r="U948" s="182"/>
      <c r="V948" s="182"/>
      <c r="W948" s="182"/>
      <c r="X948" s="182"/>
      <c r="Y948" s="182"/>
      <c r="Z948" s="182"/>
      <c r="AA948" s="182"/>
      <c r="AB948" s="182"/>
      <c r="AC948" s="182"/>
      <c r="AD948" s="182"/>
      <c r="AE948" s="182"/>
      <c r="AF948" s="182"/>
      <c r="AG948" s="182"/>
      <c r="AH948" s="182"/>
      <c r="AI948" s="182"/>
      <c r="AJ948" s="182"/>
      <c r="AK948" s="182"/>
      <c r="AL948" s="182"/>
      <c r="AM948" s="182"/>
      <c r="AN948" s="182"/>
      <c r="AO948" s="182"/>
      <c r="AP948" s="182"/>
      <c r="AQ948" s="185">
        <f t="shared" si="162"/>
        <v>213.13</v>
      </c>
      <c r="AR948" s="182">
        <v>136.91999999999999</v>
      </c>
      <c r="AS948" s="182">
        <v>24.86</v>
      </c>
      <c r="AT948" s="182">
        <v>51.35</v>
      </c>
      <c r="AU948" s="182"/>
      <c r="AV948" s="182"/>
      <c r="AW948" s="182"/>
      <c r="AX948" s="182"/>
      <c r="AY948" s="182"/>
      <c r="AZ948" s="182"/>
      <c r="BA948" s="182"/>
      <c r="BB948" s="182"/>
      <c r="BC948" s="182"/>
      <c r="BD948" s="182"/>
      <c r="BE948" s="182"/>
      <c r="BF948" s="182"/>
      <c r="BG948" s="182"/>
      <c r="BH948" s="182"/>
      <c r="BI948" s="182"/>
      <c r="BJ948" s="182"/>
      <c r="BK948" s="182"/>
      <c r="BL948" s="182"/>
      <c r="BM948" s="182"/>
      <c r="BN948" s="182"/>
      <c r="BO948" s="182"/>
      <c r="BP948" s="182"/>
      <c r="BQ948" s="182"/>
      <c r="BR948" s="182"/>
      <c r="BS948" s="182"/>
      <c r="BT948" s="182"/>
      <c r="BU948" s="182"/>
      <c r="BV948" s="182"/>
      <c r="BW948" s="182"/>
      <c r="BX948" s="182"/>
      <c r="BY948" s="182"/>
      <c r="BZ948" s="182"/>
      <c r="CA948" s="182"/>
      <c r="CB948" s="185">
        <f t="shared" si="163"/>
        <v>213.12999999999997</v>
      </c>
      <c r="CC948" s="185">
        <f t="shared" si="164"/>
        <v>0</v>
      </c>
      <c r="CD948" s="185">
        <f t="shared" si="165"/>
        <v>1306</v>
      </c>
      <c r="CE948" s="185"/>
    </row>
    <row r="949" spans="2:83" s="197" customFormat="1" ht="37.5" x14ac:dyDescent="0.3">
      <c r="B949" s="182">
        <v>3056</v>
      </c>
      <c r="C949" s="182">
        <v>1307</v>
      </c>
      <c r="D949" s="182" t="s">
        <v>2820</v>
      </c>
      <c r="E949" s="181" t="s">
        <v>2967</v>
      </c>
      <c r="F949" s="182"/>
      <c r="G949" s="182"/>
      <c r="H949" s="182">
        <v>32319</v>
      </c>
      <c r="I949" s="182"/>
      <c r="J949" s="182"/>
      <c r="K949" s="182"/>
      <c r="L949" s="182"/>
      <c r="M949" s="182"/>
      <c r="N949" s="182"/>
      <c r="O949" s="182"/>
      <c r="P949" s="182"/>
      <c r="Q949" s="182"/>
      <c r="R949" s="182"/>
      <c r="S949" s="182"/>
      <c r="T949" s="182"/>
      <c r="U949" s="182"/>
      <c r="V949" s="182"/>
      <c r="W949" s="182"/>
      <c r="X949" s="182"/>
      <c r="Y949" s="182"/>
      <c r="Z949" s="182"/>
      <c r="AA949" s="182"/>
      <c r="AB949" s="182"/>
      <c r="AC949" s="182"/>
      <c r="AD949" s="182"/>
      <c r="AE949" s="182"/>
      <c r="AF949" s="182"/>
      <c r="AG949" s="182"/>
      <c r="AH949" s="182"/>
      <c r="AI949" s="182"/>
      <c r="AJ949" s="182"/>
      <c r="AK949" s="182"/>
      <c r="AL949" s="182"/>
      <c r="AM949" s="182"/>
      <c r="AN949" s="182"/>
      <c r="AO949" s="182"/>
      <c r="AP949" s="182"/>
      <c r="AQ949" s="185">
        <f t="shared" si="162"/>
        <v>32319</v>
      </c>
      <c r="AR949" s="182">
        <v>30103.9</v>
      </c>
      <c r="AS949" s="182">
        <v>1089.4000000000001</v>
      </c>
      <c r="AT949" s="182"/>
      <c r="AU949" s="182"/>
      <c r="AV949" s="182"/>
      <c r="AW949" s="182"/>
      <c r="AX949" s="182"/>
      <c r="AY949" s="182"/>
      <c r="AZ949" s="182"/>
      <c r="BA949" s="182"/>
      <c r="BB949" s="182"/>
      <c r="BC949" s="182"/>
      <c r="BD949" s="182"/>
      <c r="BE949" s="182">
        <v>850.5</v>
      </c>
      <c r="BF949" s="182">
        <v>20</v>
      </c>
      <c r="BG949" s="182">
        <f>127.6*2</f>
        <v>255.2</v>
      </c>
      <c r="BH949" s="182"/>
      <c r="BI949" s="182"/>
      <c r="BJ949" s="182"/>
      <c r="BK949" s="182"/>
      <c r="BL949" s="182"/>
      <c r="BM949" s="182"/>
      <c r="BN949" s="182"/>
      <c r="BO949" s="182"/>
      <c r="BP949" s="182"/>
      <c r="BQ949" s="182"/>
      <c r="BR949" s="182"/>
      <c r="BS949" s="182"/>
      <c r="BT949" s="182"/>
      <c r="BU949" s="182"/>
      <c r="BV949" s="182"/>
      <c r="BW949" s="182"/>
      <c r="BX949" s="182"/>
      <c r="BY949" s="182"/>
      <c r="BZ949" s="182"/>
      <c r="CA949" s="182"/>
      <c r="CB949" s="185">
        <f t="shared" si="163"/>
        <v>32319.000000000004</v>
      </c>
      <c r="CC949" s="185">
        <f t="shared" si="164"/>
        <v>0</v>
      </c>
      <c r="CD949" s="185">
        <f t="shared" si="165"/>
        <v>1307</v>
      </c>
      <c r="CE949" s="185"/>
    </row>
    <row r="950" spans="2:83" s="197" customFormat="1" ht="37.5" x14ac:dyDescent="0.3">
      <c r="B950" s="182">
        <v>2220</v>
      </c>
      <c r="C950" s="182">
        <v>1308</v>
      </c>
      <c r="D950" s="182" t="s">
        <v>2820</v>
      </c>
      <c r="E950" s="181" t="s">
        <v>4917</v>
      </c>
      <c r="F950" s="182"/>
      <c r="G950" s="182"/>
      <c r="H950" s="182">
        <v>1710</v>
      </c>
      <c r="I950" s="182"/>
      <c r="J950" s="182"/>
      <c r="K950" s="182"/>
      <c r="L950" s="182"/>
      <c r="M950" s="182"/>
      <c r="N950" s="182"/>
      <c r="O950" s="182"/>
      <c r="P950" s="182"/>
      <c r="Q950" s="182"/>
      <c r="R950" s="182"/>
      <c r="S950" s="182"/>
      <c r="T950" s="182"/>
      <c r="U950" s="182"/>
      <c r="V950" s="182"/>
      <c r="W950" s="182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2"/>
      <c r="AH950" s="182"/>
      <c r="AI950" s="182"/>
      <c r="AJ950" s="182"/>
      <c r="AK950" s="182"/>
      <c r="AL950" s="182"/>
      <c r="AM950" s="182"/>
      <c r="AN950" s="182"/>
      <c r="AO950" s="182"/>
      <c r="AP950" s="182"/>
      <c r="AQ950" s="185">
        <f t="shared" si="162"/>
        <v>1710</v>
      </c>
      <c r="AR950" s="182">
        <v>1546</v>
      </c>
      <c r="AS950" s="182">
        <v>92</v>
      </c>
      <c r="AT950" s="182"/>
      <c r="AU950" s="182">
        <v>5</v>
      </c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>
        <v>45</v>
      </c>
      <c r="BF950" s="182">
        <v>10</v>
      </c>
      <c r="BG950" s="182">
        <v>12</v>
      </c>
      <c r="BH950" s="182"/>
      <c r="BI950" s="182"/>
      <c r="BJ950" s="182"/>
      <c r="BK950" s="182"/>
      <c r="BL950" s="182"/>
      <c r="BM950" s="182"/>
      <c r="BN950" s="182"/>
      <c r="BO950" s="182"/>
      <c r="BP950" s="182"/>
      <c r="BQ950" s="182"/>
      <c r="BR950" s="182"/>
      <c r="BS950" s="182"/>
      <c r="BT950" s="182"/>
      <c r="BU950" s="182"/>
      <c r="BV950" s="182"/>
      <c r="BW950" s="182"/>
      <c r="BX950" s="182"/>
      <c r="BY950" s="182"/>
      <c r="BZ950" s="182"/>
      <c r="CA950" s="182"/>
      <c r="CB950" s="185">
        <f t="shared" si="163"/>
        <v>1710</v>
      </c>
      <c r="CC950" s="185">
        <f t="shared" si="164"/>
        <v>0</v>
      </c>
      <c r="CD950" s="185">
        <f t="shared" si="165"/>
        <v>1308</v>
      </c>
      <c r="CE950" s="185"/>
    </row>
    <row r="951" spans="2:83" s="197" customFormat="1" ht="37.5" x14ac:dyDescent="0.3">
      <c r="B951" s="182">
        <v>2223</v>
      </c>
      <c r="C951" s="182">
        <v>1309</v>
      </c>
      <c r="D951" s="182" t="s">
        <v>2820</v>
      </c>
      <c r="E951" s="181" t="s">
        <v>4917</v>
      </c>
      <c r="F951" s="182"/>
      <c r="G951" s="182"/>
      <c r="H951" s="182">
        <v>1710</v>
      </c>
      <c r="I951" s="182"/>
      <c r="J951" s="182"/>
      <c r="K951" s="182"/>
      <c r="L951" s="182"/>
      <c r="M951" s="182"/>
      <c r="N951" s="182"/>
      <c r="O951" s="182"/>
      <c r="P951" s="182"/>
      <c r="Q951" s="182"/>
      <c r="R951" s="182"/>
      <c r="S951" s="182"/>
      <c r="T951" s="182"/>
      <c r="U951" s="182"/>
      <c r="V951" s="182"/>
      <c r="W951" s="182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2"/>
      <c r="AH951" s="182"/>
      <c r="AI951" s="182"/>
      <c r="AJ951" s="182"/>
      <c r="AK951" s="182"/>
      <c r="AL951" s="182"/>
      <c r="AM951" s="182"/>
      <c r="AN951" s="182"/>
      <c r="AO951" s="182"/>
      <c r="AP951" s="182"/>
      <c r="AQ951" s="185">
        <f t="shared" si="162"/>
        <v>1710</v>
      </c>
      <c r="AR951" s="182">
        <v>1546</v>
      </c>
      <c r="AS951" s="182">
        <v>92</v>
      </c>
      <c r="AT951" s="182"/>
      <c r="AU951" s="182">
        <v>5</v>
      </c>
      <c r="AV951" s="182"/>
      <c r="AW951" s="182"/>
      <c r="AX951" s="182"/>
      <c r="AY951" s="182"/>
      <c r="AZ951" s="182"/>
      <c r="BA951" s="182"/>
      <c r="BB951" s="182"/>
      <c r="BC951" s="182"/>
      <c r="BD951" s="182"/>
      <c r="BE951" s="182">
        <v>45</v>
      </c>
      <c r="BF951" s="182">
        <v>10</v>
      </c>
      <c r="BG951" s="182">
        <v>12</v>
      </c>
      <c r="BH951" s="182"/>
      <c r="BI951" s="182"/>
      <c r="BJ951" s="182"/>
      <c r="BK951" s="182"/>
      <c r="BL951" s="182"/>
      <c r="BM951" s="182"/>
      <c r="BN951" s="182"/>
      <c r="BO951" s="182"/>
      <c r="BP951" s="182"/>
      <c r="BQ951" s="182"/>
      <c r="BR951" s="182"/>
      <c r="BS951" s="182"/>
      <c r="BT951" s="182"/>
      <c r="BU951" s="182"/>
      <c r="BV951" s="182"/>
      <c r="BW951" s="182"/>
      <c r="BX951" s="182"/>
      <c r="BY951" s="182"/>
      <c r="BZ951" s="182"/>
      <c r="CA951" s="182"/>
      <c r="CB951" s="185">
        <f t="shared" si="163"/>
        <v>1710</v>
      </c>
      <c r="CC951" s="185">
        <f t="shared" si="164"/>
        <v>0</v>
      </c>
      <c r="CD951" s="185">
        <f t="shared" si="165"/>
        <v>1309</v>
      </c>
      <c r="CE951" s="185"/>
    </row>
    <row r="952" spans="2:83" s="197" customFormat="1" ht="37.5" x14ac:dyDescent="0.3">
      <c r="B952" s="182">
        <v>3055</v>
      </c>
      <c r="C952" s="182">
        <v>1310</v>
      </c>
      <c r="D952" s="182" t="str">
        <f>+D946</f>
        <v>برنامج دولى</v>
      </c>
      <c r="E952" s="181" t="s">
        <v>4918</v>
      </c>
      <c r="F952" s="182"/>
      <c r="G952" s="182"/>
      <c r="H952" s="182"/>
      <c r="I952" s="182"/>
      <c r="J952" s="182"/>
      <c r="K952" s="182"/>
      <c r="L952" s="182"/>
      <c r="M952" s="182"/>
      <c r="N952" s="182"/>
      <c r="O952" s="182"/>
      <c r="P952" s="182"/>
      <c r="Q952" s="182"/>
      <c r="R952" s="182"/>
      <c r="S952" s="182"/>
      <c r="T952" s="182"/>
      <c r="U952" s="182"/>
      <c r="V952" s="182"/>
      <c r="W952" s="182">
        <v>2586</v>
      </c>
      <c r="X952" s="182"/>
      <c r="Y952" s="182"/>
      <c r="Z952" s="182"/>
      <c r="AA952" s="182"/>
      <c r="AB952" s="182"/>
      <c r="AC952" s="182"/>
      <c r="AD952" s="182"/>
      <c r="AE952" s="182"/>
      <c r="AF952" s="182"/>
      <c r="AG952" s="182"/>
      <c r="AH952" s="182"/>
      <c r="AI952" s="182"/>
      <c r="AJ952" s="182"/>
      <c r="AK952" s="182"/>
      <c r="AL952" s="182"/>
      <c r="AM952" s="182"/>
      <c r="AN952" s="182"/>
      <c r="AO952" s="182"/>
      <c r="AP952" s="182"/>
      <c r="AQ952" s="185">
        <f t="shared" si="162"/>
        <v>2586</v>
      </c>
      <c r="AR952" s="182">
        <v>2586</v>
      </c>
      <c r="AS952" s="182"/>
      <c r="AT952" s="182"/>
      <c r="AU952" s="182"/>
      <c r="AV952" s="182"/>
      <c r="AW952" s="182"/>
      <c r="AX952" s="182"/>
      <c r="AY952" s="182"/>
      <c r="AZ952" s="182"/>
      <c r="BA952" s="182"/>
      <c r="BB952" s="182"/>
      <c r="BC952" s="182"/>
      <c r="BD952" s="182"/>
      <c r="BE952" s="182"/>
      <c r="BF952" s="182"/>
      <c r="BG952" s="182"/>
      <c r="BH952" s="182"/>
      <c r="BI952" s="182"/>
      <c r="BJ952" s="182"/>
      <c r="BK952" s="182"/>
      <c r="BL952" s="182"/>
      <c r="BM952" s="182"/>
      <c r="BN952" s="182"/>
      <c r="BO952" s="182"/>
      <c r="BP952" s="182"/>
      <c r="BQ952" s="182"/>
      <c r="BR952" s="182"/>
      <c r="BS952" s="182"/>
      <c r="BT952" s="182"/>
      <c r="BU952" s="182"/>
      <c r="BV952" s="182"/>
      <c r="BW952" s="182"/>
      <c r="BX952" s="182"/>
      <c r="BY952" s="182"/>
      <c r="BZ952" s="182"/>
      <c r="CA952" s="182"/>
      <c r="CB952" s="185">
        <f t="shared" si="163"/>
        <v>2586</v>
      </c>
      <c r="CC952" s="185">
        <f t="shared" si="164"/>
        <v>0</v>
      </c>
      <c r="CD952" s="185">
        <f t="shared" si="165"/>
        <v>1310</v>
      </c>
      <c r="CE952" s="185"/>
    </row>
    <row r="953" spans="2:83" s="197" customFormat="1" ht="37.5" x14ac:dyDescent="0.3">
      <c r="B953" s="182"/>
      <c r="C953" s="182">
        <v>1311</v>
      </c>
      <c r="D953" s="182" t="s">
        <v>123</v>
      </c>
      <c r="E953" s="181" t="s">
        <v>4919</v>
      </c>
      <c r="F953" s="182"/>
      <c r="G953" s="182"/>
      <c r="H953" s="182">
        <v>9770</v>
      </c>
      <c r="I953" s="182"/>
      <c r="J953" s="182"/>
      <c r="K953" s="182"/>
      <c r="L953" s="182"/>
      <c r="M953" s="182"/>
      <c r="N953" s="182"/>
      <c r="O953" s="182"/>
      <c r="P953" s="182"/>
      <c r="Q953" s="182"/>
      <c r="R953" s="182"/>
      <c r="S953" s="182"/>
      <c r="T953" s="182"/>
      <c r="U953" s="182"/>
      <c r="V953" s="182"/>
      <c r="W953" s="182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2"/>
      <c r="AH953" s="182"/>
      <c r="AI953" s="182"/>
      <c r="AJ953" s="182"/>
      <c r="AK953" s="182"/>
      <c r="AL953" s="182"/>
      <c r="AM953" s="182"/>
      <c r="AN953" s="182"/>
      <c r="AO953" s="182"/>
      <c r="AP953" s="182"/>
      <c r="AQ953" s="185">
        <f t="shared" si="162"/>
        <v>9770</v>
      </c>
      <c r="AR953" s="182">
        <v>9770</v>
      </c>
      <c r="AS953" s="182"/>
      <c r="AT953" s="182"/>
      <c r="AU953" s="182"/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182"/>
      <c r="BK953" s="182"/>
      <c r="BL953" s="182"/>
      <c r="BM953" s="182"/>
      <c r="BN953" s="182"/>
      <c r="BO953" s="182"/>
      <c r="BP953" s="182"/>
      <c r="BQ953" s="182"/>
      <c r="BR953" s="182"/>
      <c r="BS953" s="182"/>
      <c r="BT953" s="182"/>
      <c r="BU953" s="182"/>
      <c r="BV953" s="182"/>
      <c r="BW953" s="182"/>
      <c r="BX953" s="182"/>
      <c r="BY953" s="182"/>
      <c r="BZ953" s="182"/>
      <c r="CA953" s="182"/>
      <c r="CB953" s="185">
        <f t="shared" si="163"/>
        <v>9770</v>
      </c>
      <c r="CC953" s="185">
        <f t="shared" si="164"/>
        <v>0</v>
      </c>
      <c r="CD953" s="185">
        <f t="shared" si="165"/>
        <v>1311</v>
      </c>
      <c r="CE953" s="185"/>
    </row>
    <row r="954" spans="2:83" s="197" customFormat="1" ht="56.25" x14ac:dyDescent="0.3">
      <c r="B954" s="182"/>
      <c r="C954" s="182">
        <v>1312</v>
      </c>
      <c r="D954" s="182" t="s">
        <v>121</v>
      </c>
      <c r="E954" s="181" t="s">
        <v>4920</v>
      </c>
      <c r="F954" s="182"/>
      <c r="G954" s="182"/>
      <c r="H954" s="182">
        <v>460567.41</v>
      </c>
      <c r="I954" s="182"/>
      <c r="J954" s="182"/>
      <c r="K954" s="182"/>
      <c r="L954" s="182"/>
      <c r="M954" s="182"/>
      <c r="N954" s="182"/>
      <c r="O954" s="182"/>
      <c r="P954" s="182"/>
      <c r="Q954" s="182"/>
      <c r="R954" s="182"/>
      <c r="S954" s="182"/>
      <c r="T954" s="182"/>
      <c r="U954" s="182"/>
      <c r="V954" s="182"/>
      <c r="W954" s="182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2"/>
      <c r="AH954" s="182"/>
      <c r="AI954" s="182"/>
      <c r="AJ954" s="182"/>
      <c r="AK954" s="182"/>
      <c r="AL954" s="182"/>
      <c r="AM954" s="182"/>
      <c r="AN954" s="182"/>
      <c r="AO954" s="182"/>
      <c r="AP954" s="182"/>
      <c r="AQ954" s="185">
        <f t="shared" si="162"/>
        <v>460567.41</v>
      </c>
      <c r="AR954" s="182">
        <v>388493.91</v>
      </c>
      <c r="AS954" s="182">
        <f>2524+7572+49.5</f>
        <v>10145.5</v>
      </c>
      <c r="AT954" s="182"/>
      <c r="AU954" s="182">
        <v>5</v>
      </c>
      <c r="AV954" s="182"/>
      <c r="AW954" s="182"/>
      <c r="AX954" s="182"/>
      <c r="AY954" s="182"/>
      <c r="AZ954" s="182"/>
      <c r="BA954" s="182"/>
      <c r="BB954" s="182"/>
      <c r="BC954" s="182"/>
      <c r="BD954" s="182"/>
      <c r="BE954" s="182">
        <v>12120.25</v>
      </c>
      <c r="BF954" s="182">
        <v>110</v>
      </c>
      <c r="BG954" s="182">
        <f>1818*2</f>
        <v>3636</v>
      </c>
      <c r="BH954" s="182">
        <v>46056.75</v>
      </c>
      <c r="BI954" s="182"/>
      <c r="BJ954" s="182"/>
      <c r="BK954" s="182"/>
      <c r="BL954" s="182"/>
      <c r="BM954" s="182"/>
      <c r="BN954" s="182"/>
      <c r="BO954" s="182"/>
      <c r="BP954" s="182"/>
      <c r="BQ954" s="182"/>
      <c r="BR954" s="182"/>
      <c r="BS954" s="182"/>
      <c r="BT954" s="182"/>
      <c r="BU954" s="182"/>
      <c r="BV954" s="182"/>
      <c r="BW954" s="182"/>
      <c r="BX954" s="182"/>
      <c r="BY954" s="182"/>
      <c r="BZ954" s="182"/>
      <c r="CA954" s="182"/>
      <c r="CB954" s="185">
        <f t="shared" si="163"/>
        <v>460567.41</v>
      </c>
      <c r="CC954" s="185">
        <f t="shared" si="164"/>
        <v>0</v>
      </c>
      <c r="CD954" s="185">
        <f t="shared" si="165"/>
        <v>1312</v>
      </c>
      <c r="CE954" s="185"/>
    </row>
    <row r="955" spans="2:83" s="197" customFormat="1" ht="37.5" x14ac:dyDescent="0.3">
      <c r="B955" s="182">
        <v>3255</v>
      </c>
      <c r="C955" s="182">
        <v>1313</v>
      </c>
      <c r="D955" s="182" t="s">
        <v>78</v>
      </c>
      <c r="E955" s="181" t="s">
        <v>2080</v>
      </c>
      <c r="F955" s="182"/>
      <c r="G955" s="182"/>
      <c r="H955" s="182">
        <v>10000</v>
      </c>
      <c r="I955" s="182"/>
      <c r="J955" s="182"/>
      <c r="K955" s="182"/>
      <c r="L955" s="182"/>
      <c r="M955" s="182"/>
      <c r="N955" s="182"/>
      <c r="O955" s="182">
        <v>10000</v>
      </c>
      <c r="P955" s="182"/>
      <c r="Q955" s="182"/>
      <c r="R955" s="182"/>
      <c r="S955" s="182"/>
      <c r="T955" s="182"/>
      <c r="U955" s="182"/>
      <c r="V955" s="182"/>
      <c r="W955" s="182"/>
      <c r="X955" s="182"/>
      <c r="Y955" s="182"/>
      <c r="Z955" s="182"/>
      <c r="AA955" s="182"/>
      <c r="AB955" s="182"/>
      <c r="AC955" s="182"/>
      <c r="AD955" s="182"/>
      <c r="AE955" s="182"/>
      <c r="AF955" s="182"/>
      <c r="AG955" s="182"/>
      <c r="AH955" s="182"/>
      <c r="AI955" s="182"/>
      <c r="AJ955" s="182"/>
      <c r="AK955" s="182"/>
      <c r="AL955" s="182"/>
      <c r="AM955" s="182"/>
      <c r="AN955" s="182"/>
      <c r="AO955" s="182"/>
      <c r="AP955" s="182"/>
      <c r="AQ955" s="185">
        <f t="shared" si="162"/>
        <v>20000</v>
      </c>
      <c r="AR955" s="182">
        <v>10000</v>
      </c>
      <c r="AS955" s="182"/>
      <c r="AT955" s="182"/>
      <c r="AU955" s="182"/>
      <c r="AV955" s="182"/>
      <c r="AW955" s="182"/>
      <c r="AX955" s="182"/>
      <c r="AY955" s="182"/>
      <c r="AZ955" s="182"/>
      <c r="BA955" s="182"/>
      <c r="BB955" s="182"/>
      <c r="BC955" s="182"/>
      <c r="BD955" s="182"/>
      <c r="BE955" s="182"/>
      <c r="BF955" s="182"/>
      <c r="BG955" s="182"/>
      <c r="BH955" s="182"/>
      <c r="BI955" s="182"/>
      <c r="BJ955" s="182"/>
      <c r="BK955" s="182"/>
      <c r="BL955" s="182"/>
      <c r="BM955" s="182">
        <v>10000</v>
      </c>
      <c r="BN955" s="182"/>
      <c r="BO955" s="182"/>
      <c r="BP955" s="182"/>
      <c r="BQ955" s="182"/>
      <c r="BR955" s="182"/>
      <c r="BS955" s="182"/>
      <c r="BT955" s="182"/>
      <c r="BU955" s="182"/>
      <c r="BV955" s="182"/>
      <c r="BW955" s="182"/>
      <c r="BX955" s="182"/>
      <c r="BY955" s="182"/>
      <c r="BZ955" s="182"/>
      <c r="CA955" s="182"/>
      <c r="CB955" s="185">
        <f t="shared" si="163"/>
        <v>20000</v>
      </c>
      <c r="CC955" s="185">
        <f t="shared" si="164"/>
        <v>0</v>
      </c>
      <c r="CD955" s="185">
        <f t="shared" si="165"/>
        <v>1313</v>
      </c>
      <c r="CE955" s="185"/>
    </row>
    <row r="956" spans="2:83" s="197" customFormat="1" ht="37.5" x14ac:dyDescent="0.3">
      <c r="B956" s="185"/>
      <c r="C956" s="185"/>
      <c r="D956" s="185" t="s">
        <v>4921</v>
      </c>
      <c r="E956" s="184" t="s">
        <v>4922</v>
      </c>
      <c r="F956" s="185"/>
      <c r="G956" s="185">
        <f t="shared" ref="G956:AL956" si="166">SUM(G819:G955)</f>
        <v>854217.37000000023</v>
      </c>
      <c r="H956" s="185">
        <f t="shared" si="166"/>
        <v>516076.41</v>
      </c>
      <c r="I956" s="185">
        <f t="shared" si="166"/>
        <v>0</v>
      </c>
      <c r="J956" s="185">
        <f t="shared" si="166"/>
        <v>0</v>
      </c>
      <c r="K956" s="185">
        <f t="shared" si="166"/>
        <v>0</v>
      </c>
      <c r="L956" s="185">
        <f t="shared" si="166"/>
        <v>0</v>
      </c>
      <c r="M956" s="185">
        <f t="shared" si="166"/>
        <v>0</v>
      </c>
      <c r="N956" s="185">
        <f t="shared" si="166"/>
        <v>0</v>
      </c>
      <c r="O956" s="185">
        <f t="shared" si="166"/>
        <v>10000</v>
      </c>
      <c r="P956" s="185">
        <f t="shared" si="166"/>
        <v>0</v>
      </c>
      <c r="Q956" s="185">
        <f t="shared" si="166"/>
        <v>0</v>
      </c>
      <c r="R956" s="185">
        <f t="shared" si="166"/>
        <v>0</v>
      </c>
      <c r="S956" s="185">
        <f t="shared" si="166"/>
        <v>0</v>
      </c>
      <c r="T956" s="185">
        <f t="shared" si="166"/>
        <v>0</v>
      </c>
      <c r="U956" s="185">
        <f t="shared" si="166"/>
        <v>0</v>
      </c>
      <c r="V956" s="185">
        <f t="shared" si="166"/>
        <v>0</v>
      </c>
      <c r="W956" s="185">
        <f t="shared" si="166"/>
        <v>527427.41999999993</v>
      </c>
      <c r="X956" s="185">
        <f t="shared" si="166"/>
        <v>0</v>
      </c>
      <c r="Y956" s="185">
        <f t="shared" si="166"/>
        <v>0</v>
      </c>
      <c r="Z956" s="185">
        <f t="shared" si="166"/>
        <v>0</v>
      </c>
      <c r="AA956" s="185">
        <f t="shared" si="166"/>
        <v>0</v>
      </c>
      <c r="AB956" s="185">
        <f t="shared" si="166"/>
        <v>0</v>
      </c>
      <c r="AC956" s="185">
        <f t="shared" si="166"/>
        <v>0</v>
      </c>
      <c r="AD956" s="185">
        <f t="shared" si="166"/>
        <v>0</v>
      </c>
      <c r="AE956" s="185">
        <f t="shared" si="166"/>
        <v>0</v>
      </c>
      <c r="AF956" s="185">
        <f t="shared" si="166"/>
        <v>0</v>
      </c>
      <c r="AG956" s="185">
        <f t="shared" si="166"/>
        <v>0</v>
      </c>
      <c r="AH956" s="185">
        <f t="shared" si="166"/>
        <v>0</v>
      </c>
      <c r="AI956" s="185">
        <f t="shared" si="166"/>
        <v>0</v>
      </c>
      <c r="AJ956" s="185">
        <f t="shared" si="166"/>
        <v>0</v>
      </c>
      <c r="AK956" s="185">
        <f t="shared" si="166"/>
        <v>0</v>
      </c>
      <c r="AL956" s="185">
        <f t="shared" si="166"/>
        <v>0</v>
      </c>
      <c r="AM956" s="185">
        <f t="shared" ref="AM956:BR956" si="167">SUM(AM819:AM955)</f>
        <v>0</v>
      </c>
      <c r="AN956" s="185">
        <f t="shared" si="167"/>
        <v>0</v>
      </c>
      <c r="AO956" s="185">
        <f t="shared" si="167"/>
        <v>0</v>
      </c>
      <c r="AP956" s="185">
        <f t="shared" si="167"/>
        <v>0</v>
      </c>
      <c r="AQ956" s="185">
        <f t="shared" si="167"/>
        <v>1907721.2</v>
      </c>
      <c r="AR956" s="185">
        <f t="shared" si="167"/>
        <v>1510839.0199999998</v>
      </c>
      <c r="AS956" s="185">
        <f t="shared" si="167"/>
        <v>149264.25999999995</v>
      </c>
      <c r="AT956" s="185">
        <f t="shared" si="167"/>
        <v>151179.47000000006</v>
      </c>
      <c r="AU956" s="185">
        <f t="shared" si="167"/>
        <v>23255.75</v>
      </c>
      <c r="AV956" s="185">
        <f t="shared" si="167"/>
        <v>0</v>
      </c>
      <c r="AW956" s="185">
        <f t="shared" si="167"/>
        <v>0</v>
      </c>
      <c r="AX956" s="185">
        <f t="shared" si="167"/>
        <v>0</v>
      </c>
      <c r="AY956" s="185">
        <f t="shared" si="167"/>
        <v>0</v>
      </c>
      <c r="AZ956" s="185">
        <f t="shared" si="167"/>
        <v>0</v>
      </c>
      <c r="BA956" s="185">
        <f t="shared" si="167"/>
        <v>0</v>
      </c>
      <c r="BB956" s="185">
        <f t="shared" si="167"/>
        <v>0</v>
      </c>
      <c r="BC956" s="185">
        <f t="shared" si="167"/>
        <v>0</v>
      </c>
      <c r="BD956" s="185">
        <f t="shared" si="167"/>
        <v>0</v>
      </c>
      <c r="BE956" s="185">
        <f t="shared" si="167"/>
        <v>13060.75</v>
      </c>
      <c r="BF956" s="185">
        <f t="shared" si="167"/>
        <v>150</v>
      </c>
      <c r="BG956" s="185">
        <f t="shared" si="167"/>
        <v>3915.2</v>
      </c>
      <c r="BH956" s="185">
        <f t="shared" si="167"/>
        <v>46056.75</v>
      </c>
      <c r="BI956" s="185">
        <f t="shared" si="167"/>
        <v>0</v>
      </c>
      <c r="BJ956" s="185">
        <f t="shared" si="167"/>
        <v>0</v>
      </c>
      <c r="BK956" s="185">
        <f t="shared" si="167"/>
        <v>0</v>
      </c>
      <c r="BL956" s="185">
        <f t="shared" si="167"/>
        <v>0</v>
      </c>
      <c r="BM956" s="185">
        <f t="shared" si="167"/>
        <v>10000</v>
      </c>
      <c r="BN956" s="185">
        <f t="shared" si="167"/>
        <v>0</v>
      </c>
      <c r="BO956" s="185">
        <f t="shared" si="167"/>
        <v>0</v>
      </c>
      <c r="BP956" s="185">
        <f t="shared" si="167"/>
        <v>0</v>
      </c>
      <c r="BQ956" s="185">
        <f t="shared" si="167"/>
        <v>0</v>
      </c>
      <c r="BR956" s="185">
        <f t="shared" si="167"/>
        <v>0</v>
      </c>
      <c r="BS956" s="185">
        <f t="shared" ref="BS956:CC956" si="168">SUM(BS819:BS955)</f>
        <v>0</v>
      </c>
      <c r="BT956" s="185">
        <f t="shared" si="168"/>
        <v>0</v>
      </c>
      <c r="BU956" s="185">
        <f t="shared" si="168"/>
        <v>0</v>
      </c>
      <c r="BV956" s="185">
        <f t="shared" si="168"/>
        <v>0</v>
      </c>
      <c r="BW956" s="185">
        <f t="shared" si="168"/>
        <v>0</v>
      </c>
      <c r="BX956" s="185">
        <f t="shared" si="168"/>
        <v>0</v>
      </c>
      <c r="BY956" s="185">
        <f t="shared" si="168"/>
        <v>0</v>
      </c>
      <c r="BZ956" s="185">
        <f t="shared" si="168"/>
        <v>0</v>
      </c>
      <c r="CA956" s="185">
        <f t="shared" si="168"/>
        <v>0</v>
      </c>
      <c r="CB956" s="185">
        <f t="shared" si="168"/>
        <v>1907721.2</v>
      </c>
      <c r="CC956" s="185">
        <f t="shared" si="168"/>
        <v>0</v>
      </c>
      <c r="CD956" s="185"/>
      <c r="CE956" s="185"/>
    </row>
    <row r="957" spans="2:83" s="197" customFormat="1" ht="37.5" x14ac:dyDescent="0.3">
      <c r="B957" s="182">
        <v>2581</v>
      </c>
      <c r="C957" s="182">
        <v>1314</v>
      </c>
      <c r="D957" s="182" t="s">
        <v>325</v>
      </c>
      <c r="E957" s="181" t="s">
        <v>4923</v>
      </c>
      <c r="F957" s="182"/>
      <c r="G957" s="182">
        <v>1041.7</v>
      </c>
      <c r="H957" s="182"/>
      <c r="I957" s="182"/>
      <c r="J957" s="182"/>
      <c r="K957" s="182"/>
      <c r="L957" s="182"/>
      <c r="M957" s="182"/>
      <c r="N957" s="182"/>
      <c r="O957" s="182"/>
      <c r="P957" s="182"/>
      <c r="Q957" s="182"/>
      <c r="R957" s="182"/>
      <c r="S957" s="182"/>
      <c r="T957" s="182"/>
      <c r="U957" s="182"/>
      <c r="V957" s="182"/>
      <c r="W957" s="182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2"/>
      <c r="AH957" s="182"/>
      <c r="AI957" s="182"/>
      <c r="AJ957" s="182"/>
      <c r="AK957" s="182"/>
      <c r="AL957" s="182"/>
      <c r="AM957" s="182"/>
      <c r="AN957" s="182"/>
      <c r="AO957" s="182"/>
      <c r="AP957" s="182"/>
      <c r="AQ957" s="185">
        <f t="shared" ref="AQ957:AQ1004" si="169">SUM(G957:AP957)</f>
        <v>1041.7</v>
      </c>
      <c r="AR957" s="182">
        <v>930.08</v>
      </c>
      <c r="AS957" s="182">
        <v>111.62</v>
      </c>
      <c r="AT957" s="182"/>
      <c r="AU957" s="182"/>
      <c r="AV957" s="182"/>
      <c r="AW957" s="182"/>
      <c r="AX957" s="182"/>
      <c r="AY957" s="182"/>
      <c r="AZ957" s="182"/>
      <c r="BA957" s="182"/>
      <c r="BB957" s="182"/>
      <c r="BC957" s="182"/>
      <c r="BD957" s="182"/>
      <c r="BE957" s="182"/>
      <c r="BF957" s="182"/>
      <c r="BG957" s="182"/>
      <c r="BH957" s="182"/>
      <c r="BI957" s="182"/>
      <c r="BJ957" s="182"/>
      <c r="BK957" s="182"/>
      <c r="BL957" s="182"/>
      <c r="BM957" s="182"/>
      <c r="BN957" s="182"/>
      <c r="BO957" s="182"/>
      <c r="BP957" s="182"/>
      <c r="BQ957" s="182"/>
      <c r="BR957" s="182"/>
      <c r="BS957" s="182"/>
      <c r="BT957" s="182"/>
      <c r="BU957" s="182"/>
      <c r="BV957" s="182"/>
      <c r="BW957" s="182"/>
      <c r="BX957" s="182"/>
      <c r="BY957" s="182"/>
      <c r="BZ957" s="182"/>
      <c r="CA957" s="182"/>
      <c r="CB957" s="185">
        <f t="shared" ref="CB957:CB1004" si="170">SUM(AR957:CA957)</f>
        <v>1041.7</v>
      </c>
      <c r="CC957" s="185">
        <f t="shared" ref="CC957:CC988" si="171">+CB957-AQ957</f>
        <v>0</v>
      </c>
      <c r="CD957" s="185">
        <f t="shared" ref="CD957:CD988" si="172">+C957</f>
        <v>1314</v>
      </c>
      <c r="CE957" s="185"/>
    </row>
    <row r="958" spans="2:83" s="197" customFormat="1" ht="37.5" x14ac:dyDescent="0.3">
      <c r="B958" s="182">
        <v>2582</v>
      </c>
      <c r="C958" s="182">
        <v>1315</v>
      </c>
      <c r="D958" s="182" t="s">
        <v>325</v>
      </c>
      <c r="E958" s="181" t="s">
        <v>4923</v>
      </c>
      <c r="F958" s="182"/>
      <c r="G958" s="182">
        <v>84813</v>
      </c>
      <c r="H958" s="182"/>
      <c r="I958" s="182"/>
      <c r="J958" s="182"/>
      <c r="K958" s="182"/>
      <c r="L958" s="182"/>
      <c r="M958" s="182"/>
      <c r="N958" s="182"/>
      <c r="O958" s="182"/>
      <c r="P958" s="182"/>
      <c r="Q958" s="182"/>
      <c r="R958" s="182"/>
      <c r="S958" s="182"/>
      <c r="T958" s="182"/>
      <c r="U958" s="182"/>
      <c r="V958" s="182"/>
      <c r="W958" s="182"/>
      <c r="X958" s="182"/>
      <c r="Y958" s="182"/>
      <c r="Z958" s="182"/>
      <c r="AA958" s="182"/>
      <c r="AB958" s="182"/>
      <c r="AC958" s="182"/>
      <c r="AD958" s="182"/>
      <c r="AE958" s="182"/>
      <c r="AF958" s="182"/>
      <c r="AG958" s="182"/>
      <c r="AH958" s="182"/>
      <c r="AI958" s="182"/>
      <c r="AJ958" s="182"/>
      <c r="AK958" s="182"/>
      <c r="AL958" s="182"/>
      <c r="AM958" s="182"/>
      <c r="AN958" s="182"/>
      <c r="AO958" s="182"/>
      <c r="AP958" s="182"/>
      <c r="AQ958" s="185">
        <f t="shared" si="169"/>
        <v>84813</v>
      </c>
      <c r="AR958" s="182">
        <v>75679.199999999997</v>
      </c>
      <c r="AS958" s="182">
        <v>9133.7999999999993</v>
      </c>
      <c r="AT958" s="182"/>
      <c r="AU958" s="182"/>
      <c r="AV958" s="182"/>
      <c r="AW958" s="182"/>
      <c r="AX958" s="182"/>
      <c r="AY958" s="182"/>
      <c r="AZ958" s="182"/>
      <c r="BA958" s="182"/>
      <c r="BB958" s="182"/>
      <c r="BC958" s="182"/>
      <c r="BD958" s="182"/>
      <c r="BE958" s="182"/>
      <c r="BF958" s="182"/>
      <c r="BG958" s="182"/>
      <c r="BH958" s="182"/>
      <c r="BI958" s="182"/>
      <c r="BJ958" s="182"/>
      <c r="BK958" s="182"/>
      <c r="BL958" s="182"/>
      <c r="BM958" s="182"/>
      <c r="BN958" s="182"/>
      <c r="BO958" s="182"/>
      <c r="BP958" s="182"/>
      <c r="BQ958" s="182"/>
      <c r="BR958" s="182"/>
      <c r="BS958" s="182"/>
      <c r="BT958" s="182"/>
      <c r="BU958" s="182"/>
      <c r="BV958" s="182"/>
      <c r="BW958" s="182"/>
      <c r="BX958" s="182"/>
      <c r="BY958" s="182"/>
      <c r="BZ958" s="182"/>
      <c r="CA958" s="182"/>
      <c r="CB958" s="185">
        <f t="shared" si="170"/>
        <v>84813</v>
      </c>
      <c r="CC958" s="185">
        <f t="shared" si="171"/>
        <v>0</v>
      </c>
      <c r="CD958" s="185">
        <f t="shared" si="172"/>
        <v>1315</v>
      </c>
      <c r="CE958" s="185"/>
    </row>
    <row r="959" spans="2:83" s="197" customFormat="1" ht="37.5" x14ac:dyDescent="0.3">
      <c r="B959" s="182">
        <v>2584</v>
      </c>
      <c r="C959" s="182">
        <v>1316</v>
      </c>
      <c r="D959" s="182" t="s">
        <v>325</v>
      </c>
      <c r="E959" s="181" t="s">
        <v>1515</v>
      </c>
      <c r="F959" s="182"/>
      <c r="G959" s="182">
        <v>32500</v>
      </c>
      <c r="H959" s="182"/>
      <c r="I959" s="182"/>
      <c r="J959" s="182"/>
      <c r="K959" s="182"/>
      <c r="L959" s="182"/>
      <c r="M959" s="182"/>
      <c r="N959" s="182"/>
      <c r="O959" s="182"/>
      <c r="P959" s="182"/>
      <c r="Q959" s="182"/>
      <c r="R959" s="182"/>
      <c r="S959" s="182"/>
      <c r="T959" s="182"/>
      <c r="U959" s="182"/>
      <c r="V959" s="182"/>
      <c r="W959" s="182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2"/>
      <c r="AH959" s="182"/>
      <c r="AI959" s="182"/>
      <c r="AJ959" s="182"/>
      <c r="AK959" s="182"/>
      <c r="AL959" s="182"/>
      <c r="AM959" s="182"/>
      <c r="AN959" s="182"/>
      <c r="AO959" s="182"/>
      <c r="AP959" s="182"/>
      <c r="AQ959" s="185">
        <f t="shared" si="169"/>
        <v>32500</v>
      </c>
      <c r="AR959" s="182">
        <v>29010.799999999999</v>
      </c>
      <c r="AS959" s="182">
        <v>3489.2</v>
      </c>
      <c r="AT959" s="182"/>
      <c r="AU959" s="182"/>
      <c r="AV959" s="182"/>
      <c r="AW959" s="182"/>
      <c r="AX959" s="182"/>
      <c r="AY959" s="182"/>
      <c r="AZ959" s="182"/>
      <c r="BA959" s="182"/>
      <c r="BB959" s="182"/>
      <c r="BC959" s="182"/>
      <c r="BD959" s="182"/>
      <c r="BE959" s="182"/>
      <c r="BF959" s="182"/>
      <c r="BG959" s="182"/>
      <c r="BH959" s="182"/>
      <c r="BI959" s="182"/>
      <c r="BJ959" s="182"/>
      <c r="BK959" s="182"/>
      <c r="BL959" s="182"/>
      <c r="BM959" s="182"/>
      <c r="BN959" s="182"/>
      <c r="BO959" s="182"/>
      <c r="BP959" s="182"/>
      <c r="BQ959" s="182"/>
      <c r="BR959" s="182"/>
      <c r="BS959" s="182"/>
      <c r="BT959" s="182"/>
      <c r="BU959" s="182"/>
      <c r="BV959" s="182"/>
      <c r="BW959" s="182"/>
      <c r="BX959" s="182"/>
      <c r="BY959" s="182"/>
      <c r="BZ959" s="182"/>
      <c r="CA959" s="182"/>
      <c r="CB959" s="185">
        <f t="shared" si="170"/>
        <v>32500</v>
      </c>
      <c r="CC959" s="185">
        <f t="shared" si="171"/>
        <v>0</v>
      </c>
      <c r="CD959" s="185">
        <f t="shared" si="172"/>
        <v>1316</v>
      </c>
      <c r="CE959" s="185"/>
    </row>
    <row r="960" spans="2:83" s="197" customFormat="1" ht="37.5" x14ac:dyDescent="0.3">
      <c r="B960" s="182">
        <v>2388</v>
      </c>
      <c r="C960" s="182">
        <v>1317</v>
      </c>
      <c r="D960" s="182" t="s">
        <v>325</v>
      </c>
      <c r="E960" s="181" t="s">
        <v>1974</v>
      </c>
      <c r="F960" s="182"/>
      <c r="G960" s="182">
        <v>2501.23</v>
      </c>
      <c r="H960" s="182"/>
      <c r="I960" s="182"/>
      <c r="J960" s="182"/>
      <c r="K960" s="182"/>
      <c r="L960" s="182"/>
      <c r="M960" s="182"/>
      <c r="N960" s="182"/>
      <c r="O960" s="182"/>
      <c r="P960" s="182"/>
      <c r="Q960" s="182"/>
      <c r="R960" s="182"/>
      <c r="S960" s="182"/>
      <c r="T960" s="182"/>
      <c r="U960" s="182"/>
      <c r="V960" s="182"/>
      <c r="W960" s="182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2"/>
      <c r="AH960" s="182"/>
      <c r="AI960" s="182"/>
      <c r="AJ960" s="182"/>
      <c r="AK960" s="182"/>
      <c r="AL960" s="182"/>
      <c r="AM960" s="182"/>
      <c r="AN960" s="182"/>
      <c r="AO960" s="182"/>
      <c r="AP960" s="182"/>
      <c r="AQ960" s="185">
        <f t="shared" si="169"/>
        <v>2501.23</v>
      </c>
      <c r="AR960" s="182">
        <v>1850.15</v>
      </c>
      <c r="AS960" s="182">
        <v>239.65</v>
      </c>
      <c r="AT960" s="182">
        <v>411.43</v>
      </c>
      <c r="AU960" s="182"/>
      <c r="AV960" s="182"/>
      <c r="AW960" s="182"/>
      <c r="AX960" s="182"/>
      <c r="AY960" s="182"/>
      <c r="AZ960" s="182"/>
      <c r="BA960" s="182"/>
      <c r="BB960" s="182"/>
      <c r="BC960" s="182"/>
      <c r="BD960" s="182"/>
      <c r="BE960" s="182"/>
      <c r="BF960" s="182"/>
      <c r="BG960" s="182"/>
      <c r="BH960" s="182"/>
      <c r="BI960" s="182"/>
      <c r="BJ960" s="182"/>
      <c r="BK960" s="182"/>
      <c r="BL960" s="182"/>
      <c r="BM960" s="182"/>
      <c r="BN960" s="182"/>
      <c r="BO960" s="182"/>
      <c r="BP960" s="182"/>
      <c r="BQ960" s="182"/>
      <c r="BR960" s="182"/>
      <c r="BS960" s="182"/>
      <c r="BT960" s="182"/>
      <c r="BU960" s="182"/>
      <c r="BV960" s="182"/>
      <c r="BW960" s="182"/>
      <c r="BX960" s="182"/>
      <c r="BY960" s="182"/>
      <c r="BZ960" s="182"/>
      <c r="CA960" s="182"/>
      <c r="CB960" s="185">
        <f t="shared" si="170"/>
        <v>2501.23</v>
      </c>
      <c r="CC960" s="185">
        <f t="shared" si="171"/>
        <v>0</v>
      </c>
      <c r="CD960" s="185">
        <f t="shared" si="172"/>
        <v>1317</v>
      </c>
      <c r="CE960" s="185"/>
    </row>
    <row r="961" spans="2:83" s="197" customFormat="1" ht="37.5" x14ac:dyDescent="0.3">
      <c r="B961" s="182">
        <v>2390</v>
      </c>
      <c r="C961" s="182">
        <v>1318</v>
      </c>
      <c r="D961" s="182" t="s">
        <v>325</v>
      </c>
      <c r="E961" s="181" t="s">
        <v>1974</v>
      </c>
      <c r="F961" s="182"/>
      <c r="G961" s="182">
        <v>3551.88</v>
      </c>
      <c r="H961" s="182"/>
      <c r="I961" s="182"/>
      <c r="J961" s="182"/>
      <c r="K961" s="182"/>
      <c r="L961" s="182"/>
      <c r="M961" s="182"/>
      <c r="N961" s="182"/>
      <c r="O961" s="182"/>
      <c r="P961" s="182"/>
      <c r="Q961" s="182"/>
      <c r="R961" s="182"/>
      <c r="S961" s="182"/>
      <c r="T961" s="182"/>
      <c r="U961" s="182"/>
      <c r="V961" s="182"/>
      <c r="W961" s="182"/>
      <c r="X961" s="182"/>
      <c r="Y961" s="182"/>
      <c r="Z961" s="182"/>
      <c r="AA961" s="182"/>
      <c r="AB961" s="182"/>
      <c r="AC961" s="182"/>
      <c r="AD961" s="182"/>
      <c r="AE961" s="182"/>
      <c r="AF961" s="182"/>
      <c r="AG961" s="182"/>
      <c r="AH961" s="182"/>
      <c r="AI961" s="182"/>
      <c r="AJ961" s="182"/>
      <c r="AK961" s="182"/>
      <c r="AL961" s="182"/>
      <c r="AM961" s="182"/>
      <c r="AN961" s="182"/>
      <c r="AO961" s="182"/>
      <c r="AP961" s="182"/>
      <c r="AQ961" s="185">
        <f t="shared" si="169"/>
        <v>3551.88</v>
      </c>
      <c r="AR961" s="182">
        <v>2712.45</v>
      </c>
      <c r="AS961" s="182">
        <v>345.05</v>
      </c>
      <c r="AT961" s="182">
        <v>494.38</v>
      </c>
      <c r="AU961" s="182"/>
      <c r="AV961" s="182"/>
      <c r="AW961" s="182"/>
      <c r="AX961" s="182"/>
      <c r="AY961" s="182"/>
      <c r="AZ961" s="182"/>
      <c r="BA961" s="182"/>
      <c r="BB961" s="182"/>
      <c r="BC961" s="182"/>
      <c r="BD961" s="182"/>
      <c r="BE961" s="182"/>
      <c r="BF961" s="182"/>
      <c r="BG961" s="182"/>
      <c r="BH961" s="182"/>
      <c r="BI961" s="182"/>
      <c r="BJ961" s="182"/>
      <c r="BK961" s="182"/>
      <c r="BL961" s="182"/>
      <c r="BM961" s="182"/>
      <c r="BN961" s="182"/>
      <c r="BO961" s="182"/>
      <c r="BP961" s="182"/>
      <c r="BQ961" s="182"/>
      <c r="BR961" s="182"/>
      <c r="BS961" s="182"/>
      <c r="BT961" s="182"/>
      <c r="BU961" s="182"/>
      <c r="BV961" s="182"/>
      <c r="BW961" s="182"/>
      <c r="BX961" s="182"/>
      <c r="BY961" s="182"/>
      <c r="BZ961" s="182"/>
      <c r="CA961" s="182"/>
      <c r="CB961" s="185">
        <f t="shared" si="170"/>
        <v>3551.88</v>
      </c>
      <c r="CC961" s="185">
        <f t="shared" si="171"/>
        <v>0</v>
      </c>
      <c r="CD961" s="185">
        <f t="shared" si="172"/>
        <v>1318</v>
      </c>
      <c r="CE961" s="185"/>
    </row>
    <row r="962" spans="2:83" s="197" customFormat="1" ht="37.5" x14ac:dyDescent="0.3">
      <c r="B962" s="182">
        <v>2389</v>
      </c>
      <c r="C962" s="182">
        <v>1319</v>
      </c>
      <c r="D962" s="182" t="s">
        <v>325</v>
      </c>
      <c r="E962" s="181" t="s">
        <v>1974</v>
      </c>
      <c r="F962" s="182"/>
      <c r="G962" s="182">
        <v>586.25</v>
      </c>
      <c r="H962" s="182"/>
      <c r="I962" s="182"/>
      <c r="J962" s="182"/>
      <c r="K962" s="182"/>
      <c r="L962" s="182"/>
      <c r="M962" s="182"/>
      <c r="N962" s="182"/>
      <c r="O962" s="182"/>
      <c r="P962" s="182"/>
      <c r="Q962" s="182"/>
      <c r="R962" s="182"/>
      <c r="S962" s="182"/>
      <c r="T962" s="182"/>
      <c r="U962" s="182"/>
      <c r="V962" s="182"/>
      <c r="W962" s="182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2"/>
      <c r="AH962" s="182"/>
      <c r="AI962" s="182"/>
      <c r="AJ962" s="182"/>
      <c r="AK962" s="182"/>
      <c r="AL962" s="182"/>
      <c r="AM962" s="182"/>
      <c r="AN962" s="182"/>
      <c r="AO962" s="182"/>
      <c r="AP962" s="182"/>
      <c r="AQ962" s="185">
        <f t="shared" si="169"/>
        <v>586.25</v>
      </c>
      <c r="AR962" s="182">
        <v>392.4</v>
      </c>
      <c r="AS962" s="182">
        <v>52.6</v>
      </c>
      <c r="AT962" s="182">
        <v>141.25</v>
      </c>
      <c r="AU962" s="182"/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182"/>
      <c r="BK962" s="182"/>
      <c r="BL962" s="182"/>
      <c r="BM962" s="182"/>
      <c r="BN962" s="182"/>
      <c r="BO962" s="182"/>
      <c r="BP962" s="182"/>
      <c r="BQ962" s="182"/>
      <c r="BR962" s="182"/>
      <c r="BS962" s="182"/>
      <c r="BT962" s="182"/>
      <c r="BU962" s="182"/>
      <c r="BV962" s="182"/>
      <c r="BW962" s="182"/>
      <c r="BX962" s="182"/>
      <c r="BY962" s="182"/>
      <c r="BZ962" s="182"/>
      <c r="CA962" s="182"/>
      <c r="CB962" s="185">
        <f t="shared" si="170"/>
        <v>586.25</v>
      </c>
      <c r="CC962" s="185">
        <f t="shared" si="171"/>
        <v>0</v>
      </c>
      <c r="CD962" s="185">
        <f t="shared" si="172"/>
        <v>1319</v>
      </c>
      <c r="CE962" s="185"/>
    </row>
    <row r="963" spans="2:83" s="197" customFormat="1" ht="37.5" x14ac:dyDescent="0.3">
      <c r="B963" s="182">
        <v>2391</v>
      </c>
      <c r="C963" s="182">
        <v>1320</v>
      </c>
      <c r="D963" s="182" t="s">
        <v>325</v>
      </c>
      <c r="E963" s="181" t="s">
        <v>1974</v>
      </c>
      <c r="F963" s="182"/>
      <c r="G963" s="182">
        <v>3258.75</v>
      </c>
      <c r="H963" s="182"/>
      <c r="I963" s="182"/>
      <c r="J963" s="182"/>
      <c r="K963" s="182"/>
      <c r="L963" s="182"/>
      <c r="M963" s="182"/>
      <c r="N963" s="182"/>
      <c r="O963" s="182"/>
      <c r="P963" s="182"/>
      <c r="Q963" s="182"/>
      <c r="R963" s="182"/>
      <c r="S963" s="182"/>
      <c r="T963" s="182"/>
      <c r="U963" s="182"/>
      <c r="V963" s="182"/>
      <c r="W963" s="182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2"/>
      <c r="AH963" s="182"/>
      <c r="AI963" s="182"/>
      <c r="AJ963" s="182"/>
      <c r="AK963" s="182"/>
      <c r="AL963" s="182"/>
      <c r="AM963" s="182"/>
      <c r="AN963" s="182"/>
      <c r="AO963" s="182"/>
      <c r="AP963" s="182"/>
      <c r="AQ963" s="185">
        <f t="shared" si="169"/>
        <v>3258.75</v>
      </c>
      <c r="AR963" s="182">
        <v>2515.6</v>
      </c>
      <c r="AS963" s="182">
        <v>319.39999999999998</v>
      </c>
      <c r="AT963" s="182">
        <v>423.75</v>
      </c>
      <c r="AU963" s="182"/>
      <c r="AV963" s="182"/>
      <c r="AW963" s="182"/>
      <c r="AX963" s="182"/>
      <c r="AY963" s="182"/>
      <c r="AZ963" s="182"/>
      <c r="BA963" s="182"/>
      <c r="BB963" s="182"/>
      <c r="BC963" s="182"/>
      <c r="BD963" s="182"/>
      <c r="BE963" s="182"/>
      <c r="BF963" s="182"/>
      <c r="BG963" s="182"/>
      <c r="BH963" s="182"/>
      <c r="BI963" s="182"/>
      <c r="BJ963" s="182"/>
      <c r="BK963" s="182"/>
      <c r="BL963" s="182"/>
      <c r="BM963" s="182"/>
      <c r="BN963" s="182"/>
      <c r="BO963" s="182"/>
      <c r="BP963" s="182"/>
      <c r="BQ963" s="182"/>
      <c r="BR963" s="182"/>
      <c r="BS963" s="182"/>
      <c r="BT963" s="182"/>
      <c r="BU963" s="182"/>
      <c r="BV963" s="182"/>
      <c r="BW963" s="182"/>
      <c r="BX963" s="182"/>
      <c r="BY963" s="182"/>
      <c r="BZ963" s="182"/>
      <c r="CA963" s="182"/>
      <c r="CB963" s="185">
        <f t="shared" si="170"/>
        <v>3258.75</v>
      </c>
      <c r="CC963" s="185">
        <f t="shared" si="171"/>
        <v>0</v>
      </c>
      <c r="CD963" s="185">
        <f t="shared" si="172"/>
        <v>1320</v>
      </c>
      <c r="CE963" s="185"/>
    </row>
    <row r="964" spans="2:83" s="197" customFormat="1" ht="37.5" x14ac:dyDescent="0.3">
      <c r="B964" s="182">
        <v>2392</v>
      </c>
      <c r="C964" s="182">
        <v>1321</v>
      </c>
      <c r="D964" s="182" t="s">
        <v>325</v>
      </c>
      <c r="E964" s="181" t="s">
        <v>1974</v>
      </c>
      <c r="F964" s="182"/>
      <c r="G964" s="182">
        <v>1172.5</v>
      </c>
      <c r="H964" s="182"/>
      <c r="I964" s="182"/>
      <c r="J964" s="182"/>
      <c r="K964" s="182"/>
      <c r="L964" s="182"/>
      <c r="M964" s="182"/>
      <c r="N964" s="182"/>
      <c r="O964" s="182"/>
      <c r="P964" s="182"/>
      <c r="Q964" s="182"/>
      <c r="R964" s="182"/>
      <c r="S964" s="182"/>
      <c r="T964" s="182"/>
      <c r="U964" s="182"/>
      <c r="V964" s="182"/>
      <c r="W964" s="182"/>
      <c r="X964" s="182"/>
      <c r="Y964" s="182"/>
      <c r="Z964" s="182"/>
      <c r="AA964" s="182"/>
      <c r="AB964" s="182"/>
      <c r="AC964" s="182"/>
      <c r="AD964" s="182"/>
      <c r="AE964" s="182"/>
      <c r="AF964" s="182"/>
      <c r="AG964" s="182"/>
      <c r="AH964" s="182"/>
      <c r="AI964" s="182"/>
      <c r="AJ964" s="182"/>
      <c r="AK964" s="182"/>
      <c r="AL964" s="182"/>
      <c r="AM964" s="182"/>
      <c r="AN964" s="182"/>
      <c r="AO964" s="182"/>
      <c r="AP964" s="182"/>
      <c r="AQ964" s="185">
        <f t="shared" si="169"/>
        <v>1172.5</v>
      </c>
      <c r="AR964" s="182">
        <v>784.8</v>
      </c>
      <c r="AS964" s="182">
        <v>105.2</v>
      </c>
      <c r="AT964" s="182">
        <v>282.5</v>
      </c>
      <c r="AU964" s="182"/>
      <c r="AV964" s="182"/>
      <c r="AW964" s="182"/>
      <c r="AX964" s="182"/>
      <c r="AY964" s="182"/>
      <c r="AZ964" s="182"/>
      <c r="BA964" s="182"/>
      <c r="BB964" s="182"/>
      <c r="BC964" s="182"/>
      <c r="BD964" s="182"/>
      <c r="BE964" s="182"/>
      <c r="BF964" s="182"/>
      <c r="BG964" s="182"/>
      <c r="BH964" s="182"/>
      <c r="BI964" s="182"/>
      <c r="BJ964" s="182"/>
      <c r="BK964" s="182"/>
      <c r="BL964" s="182"/>
      <c r="BM964" s="182"/>
      <c r="BN964" s="182"/>
      <c r="BO964" s="182"/>
      <c r="BP964" s="182"/>
      <c r="BQ964" s="182"/>
      <c r="BR964" s="182"/>
      <c r="BS964" s="182"/>
      <c r="BT964" s="182"/>
      <c r="BU964" s="182"/>
      <c r="BV964" s="182"/>
      <c r="BW964" s="182"/>
      <c r="BX964" s="182"/>
      <c r="BY964" s="182"/>
      <c r="BZ964" s="182"/>
      <c r="CA964" s="182"/>
      <c r="CB964" s="185">
        <f t="shared" si="170"/>
        <v>1172.5</v>
      </c>
      <c r="CC964" s="185">
        <f t="shared" si="171"/>
        <v>0</v>
      </c>
      <c r="CD964" s="185">
        <f t="shared" si="172"/>
        <v>1321</v>
      </c>
      <c r="CE964" s="185"/>
    </row>
    <row r="965" spans="2:83" s="197" customFormat="1" ht="37.5" x14ac:dyDescent="0.3">
      <c r="B965" s="182">
        <v>2393</v>
      </c>
      <c r="C965" s="182">
        <v>1322</v>
      </c>
      <c r="D965" s="182" t="s">
        <v>325</v>
      </c>
      <c r="E965" s="181" t="s">
        <v>1974</v>
      </c>
      <c r="F965" s="182"/>
      <c r="G965" s="182">
        <v>30000</v>
      </c>
      <c r="H965" s="182"/>
      <c r="I965" s="182"/>
      <c r="J965" s="182"/>
      <c r="K965" s="182"/>
      <c r="L965" s="182"/>
      <c r="M965" s="182"/>
      <c r="N965" s="182"/>
      <c r="O965" s="182"/>
      <c r="P965" s="182"/>
      <c r="Q965" s="182"/>
      <c r="R965" s="182"/>
      <c r="S965" s="182"/>
      <c r="T965" s="182"/>
      <c r="U965" s="182"/>
      <c r="V965" s="182"/>
      <c r="W965" s="182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2"/>
      <c r="AH965" s="182"/>
      <c r="AI965" s="182"/>
      <c r="AJ965" s="182"/>
      <c r="AK965" s="182"/>
      <c r="AL965" s="182"/>
      <c r="AM965" s="182"/>
      <c r="AN965" s="182"/>
      <c r="AO965" s="182"/>
      <c r="AP965" s="182"/>
      <c r="AQ965" s="185">
        <f t="shared" si="169"/>
        <v>30000</v>
      </c>
      <c r="AR965" s="182">
        <v>26761.200000000001</v>
      </c>
      <c r="AS965" s="182">
        <v>3238.8</v>
      </c>
      <c r="AT965" s="182"/>
      <c r="AU965" s="182"/>
      <c r="AV965" s="182"/>
      <c r="AW965" s="182"/>
      <c r="AX965" s="182"/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/>
      <c r="BJ965" s="182"/>
      <c r="BK965" s="182"/>
      <c r="BL965" s="182"/>
      <c r="BM965" s="182"/>
      <c r="BN965" s="182"/>
      <c r="BO965" s="182"/>
      <c r="BP965" s="182"/>
      <c r="BQ965" s="182"/>
      <c r="BR965" s="182"/>
      <c r="BS965" s="182"/>
      <c r="BT965" s="182"/>
      <c r="BU965" s="182"/>
      <c r="BV965" s="182"/>
      <c r="BW965" s="182"/>
      <c r="BX965" s="182"/>
      <c r="BY965" s="182"/>
      <c r="BZ965" s="182"/>
      <c r="CA965" s="182"/>
      <c r="CB965" s="185">
        <f t="shared" si="170"/>
        <v>30000</v>
      </c>
      <c r="CC965" s="185">
        <f t="shared" si="171"/>
        <v>0</v>
      </c>
      <c r="CD965" s="185">
        <f t="shared" si="172"/>
        <v>1322</v>
      </c>
      <c r="CE965" s="185"/>
    </row>
    <row r="966" spans="2:83" s="197" customFormat="1" ht="37.5" x14ac:dyDescent="0.3">
      <c r="B966" s="182">
        <v>2394</v>
      </c>
      <c r="C966" s="182">
        <v>1323</v>
      </c>
      <c r="D966" s="182" t="s">
        <v>325</v>
      </c>
      <c r="E966" s="181" t="s">
        <v>1974</v>
      </c>
      <c r="F966" s="182"/>
      <c r="G966" s="182">
        <v>5851.63</v>
      </c>
      <c r="H966" s="182"/>
      <c r="I966" s="182"/>
      <c r="J966" s="182"/>
      <c r="K966" s="182"/>
      <c r="L966" s="182"/>
      <c r="M966" s="182"/>
      <c r="N966" s="182"/>
      <c r="O966" s="182"/>
      <c r="P966" s="182"/>
      <c r="Q966" s="182"/>
      <c r="R966" s="182"/>
      <c r="S966" s="182"/>
      <c r="T966" s="182"/>
      <c r="U966" s="182"/>
      <c r="V966" s="182"/>
      <c r="W966" s="182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2"/>
      <c r="AH966" s="182"/>
      <c r="AI966" s="182"/>
      <c r="AJ966" s="182"/>
      <c r="AK966" s="182"/>
      <c r="AL966" s="182"/>
      <c r="AM966" s="182"/>
      <c r="AN966" s="182"/>
      <c r="AO966" s="182"/>
      <c r="AP966" s="182"/>
      <c r="AQ966" s="185">
        <f t="shared" si="169"/>
        <v>5851.63</v>
      </c>
      <c r="AR966" s="182">
        <v>4683.93</v>
      </c>
      <c r="AS966" s="182">
        <v>591.85</v>
      </c>
      <c r="AT966" s="182">
        <v>575.85</v>
      </c>
      <c r="AU966" s="182"/>
      <c r="AV966" s="182"/>
      <c r="AW966" s="182"/>
      <c r="AX966" s="182"/>
      <c r="AY966" s="182"/>
      <c r="AZ966" s="182"/>
      <c r="BA966" s="182"/>
      <c r="BB966" s="182"/>
      <c r="BC966" s="182"/>
      <c r="BD966" s="182"/>
      <c r="BE966" s="182"/>
      <c r="BF966" s="182"/>
      <c r="BG966" s="182"/>
      <c r="BH966" s="182"/>
      <c r="BI966" s="182"/>
      <c r="BJ966" s="182"/>
      <c r="BK966" s="182"/>
      <c r="BL966" s="182"/>
      <c r="BM966" s="182"/>
      <c r="BN966" s="182"/>
      <c r="BO966" s="182"/>
      <c r="BP966" s="182"/>
      <c r="BQ966" s="182"/>
      <c r="BR966" s="182"/>
      <c r="BS966" s="182"/>
      <c r="BT966" s="182"/>
      <c r="BU966" s="182"/>
      <c r="BV966" s="182"/>
      <c r="BW966" s="182"/>
      <c r="BX966" s="182"/>
      <c r="BY966" s="182"/>
      <c r="BZ966" s="182"/>
      <c r="CA966" s="182"/>
      <c r="CB966" s="185">
        <f t="shared" si="170"/>
        <v>5851.630000000001</v>
      </c>
      <c r="CC966" s="185">
        <f t="shared" si="171"/>
        <v>0</v>
      </c>
      <c r="CD966" s="185">
        <f t="shared" si="172"/>
        <v>1323</v>
      </c>
      <c r="CE966" s="185"/>
    </row>
    <row r="967" spans="2:83" s="197" customFormat="1" ht="37.5" x14ac:dyDescent="0.3">
      <c r="B967" s="182">
        <v>2395</v>
      </c>
      <c r="C967" s="182">
        <v>1324</v>
      </c>
      <c r="D967" s="182" t="s">
        <v>325</v>
      </c>
      <c r="E967" s="181" t="s">
        <v>4924</v>
      </c>
      <c r="F967" s="182"/>
      <c r="G967" s="182">
        <v>4103.75</v>
      </c>
      <c r="H967" s="182"/>
      <c r="I967" s="182"/>
      <c r="J967" s="182"/>
      <c r="K967" s="182"/>
      <c r="L967" s="182"/>
      <c r="M967" s="182"/>
      <c r="N967" s="182"/>
      <c r="O967" s="182"/>
      <c r="P967" s="182"/>
      <c r="Q967" s="182"/>
      <c r="R967" s="182"/>
      <c r="S967" s="182"/>
      <c r="T967" s="182"/>
      <c r="U967" s="182"/>
      <c r="V967" s="182"/>
      <c r="W967" s="182"/>
      <c r="X967" s="182"/>
      <c r="Y967" s="182"/>
      <c r="Z967" s="182"/>
      <c r="AA967" s="182"/>
      <c r="AB967" s="182"/>
      <c r="AC967" s="182"/>
      <c r="AD967" s="182"/>
      <c r="AE967" s="182"/>
      <c r="AF967" s="182"/>
      <c r="AG967" s="182"/>
      <c r="AH967" s="182"/>
      <c r="AI967" s="182"/>
      <c r="AJ967" s="182"/>
      <c r="AK967" s="182"/>
      <c r="AL967" s="182"/>
      <c r="AM967" s="182"/>
      <c r="AN967" s="182"/>
      <c r="AO967" s="182"/>
      <c r="AP967" s="182"/>
      <c r="AQ967" s="185">
        <f t="shared" si="169"/>
        <v>4103.75</v>
      </c>
      <c r="AR967" s="182">
        <v>2742</v>
      </c>
      <c r="AS967" s="182">
        <f>23+350</f>
        <v>373</v>
      </c>
      <c r="AT967" s="182">
        <v>988.75</v>
      </c>
      <c r="AU967" s="182"/>
      <c r="AV967" s="182"/>
      <c r="AW967" s="182"/>
      <c r="AX967" s="182"/>
      <c r="AY967" s="182"/>
      <c r="AZ967" s="182"/>
      <c r="BA967" s="182"/>
      <c r="BB967" s="182"/>
      <c r="BC967" s="182"/>
      <c r="BD967" s="182"/>
      <c r="BE967" s="182"/>
      <c r="BF967" s="182"/>
      <c r="BG967" s="182"/>
      <c r="BH967" s="182"/>
      <c r="BI967" s="182"/>
      <c r="BJ967" s="182"/>
      <c r="BK967" s="182"/>
      <c r="BL967" s="182"/>
      <c r="BM967" s="182"/>
      <c r="BN967" s="182"/>
      <c r="BO967" s="182"/>
      <c r="BP967" s="182"/>
      <c r="BQ967" s="182"/>
      <c r="BR967" s="182"/>
      <c r="BS967" s="182"/>
      <c r="BT967" s="182"/>
      <c r="BU967" s="182"/>
      <c r="BV967" s="182"/>
      <c r="BW967" s="182"/>
      <c r="BX967" s="182"/>
      <c r="BY967" s="182"/>
      <c r="BZ967" s="182"/>
      <c r="CA967" s="182"/>
      <c r="CB967" s="185">
        <f t="shared" si="170"/>
        <v>4103.75</v>
      </c>
      <c r="CC967" s="185">
        <f t="shared" si="171"/>
        <v>0</v>
      </c>
      <c r="CD967" s="185">
        <f t="shared" si="172"/>
        <v>1324</v>
      </c>
      <c r="CE967" s="185"/>
    </row>
    <row r="968" spans="2:83" s="197" customFormat="1" ht="37.5" x14ac:dyDescent="0.3">
      <c r="B968" s="182">
        <v>2615</v>
      </c>
      <c r="C968" s="182">
        <v>1325</v>
      </c>
      <c r="D968" s="182" t="s">
        <v>325</v>
      </c>
      <c r="E968" s="181" t="s">
        <v>1654</v>
      </c>
      <c r="F968" s="182"/>
      <c r="G968" s="182">
        <v>2000</v>
      </c>
      <c r="H968" s="182"/>
      <c r="I968" s="182"/>
      <c r="J968" s="182"/>
      <c r="K968" s="182"/>
      <c r="L968" s="182"/>
      <c r="M968" s="182"/>
      <c r="N968" s="182"/>
      <c r="O968" s="182"/>
      <c r="P968" s="182"/>
      <c r="Q968" s="182"/>
      <c r="R968" s="182"/>
      <c r="S968" s="182"/>
      <c r="T968" s="182"/>
      <c r="U968" s="182"/>
      <c r="V968" s="182"/>
      <c r="W968" s="182"/>
      <c r="X968" s="182"/>
      <c r="Y968" s="182"/>
      <c r="Z968" s="182"/>
      <c r="AA968" s="182"/>
      <c r="AB968" s="182"/>
      <c r="AC968" s="182"/>
      <c r="AD968" s="182"/>
      <c r="AE968" s="182"/>
      <c r="AF968" s="182"/>
      <c r="AG968" s="182"/>
      <c r="AH968" s="182"/>
      <c r="AI968" s="182"/>
      <c r="AJ968" s="182"/>
      <c r="AK968" s="182"/>
      <c r="AL968" s="182"/>
      <c r="AM968" s="182"/>
      <c r="AN968" s="182"/>
      <c r="AO968" s="182"/>
      <c r="AP968" s="182"/>
      <c r="AQ968" s="185">
        <f t="shared" si="169"/>
        <v>2000</v>
      </c>
      <c r="AR968" s="182">
        <v>1785.35</v>
      </c>
      <c r="AS968" s="182">
        <v>214.65</v>
      </c>
      <c r="AT968" s="182"/>
      <c r="AU968" s="182"/>
      <c r="AV968" s="182"/>
      <c r="AW968" s="182"/>
      <c r="AX968" s="182"/>
      <c r="AY968" s="182"/>
      <c r="AZ968" s="182"/>
      <c r="BA968" s="182"/>
      <c r="BB968" s="182"/>
      <c r="BC968" s="182"/>
      <c r="BD968" s="182"/>
      <c r="BE968" s="182"/>
      <c r="BF968" s="182"/>
      <c r="BG968" s="182"/>
      <c r="BH968" s="182"/>
      <c r="BI968" s="182"/>
      <c r="BJ968" s="182"/>
      <c r="BK968" s="182"/>
      <c r="BL968" s="182"/>
      <c r="BM968" s="182"/>
      <c r="BN968" s="182"/>
      <c r="BO968" s="182"/>
      <c r="BP968" s="182"/>
      <c r="BQ968" s="182"/>
      <c r="BR968" s="182"/>
      <c r="BS968" s="182"/>
      <c r="BT968" s="182"/>
      <c r="BU968" s="182"/>
      <c r="BV968" s="182"/>
      <c r="BW968" s="182"/>
      <c r="BX968" s="182"/>
      <c r="BY968" s="182"/>
      <c r="BZ968" s="182"/>
      <c r="CA968" s="182"/>
      <c r="CB968" s="185">
        <f t="shared" si="170"/>
        <v>2000</v>
      </c>
      <c r="CC968" s="185">
        <f t="shared" si="171"/>
        <v>0</v>
      </c>
      <c r="CD968" s="185">
        <f t="shared" si="172"/>
        <v>1325</v>
      </c>
      <c r="CE968" s="185"/>
    </row>
    <row r="969" spans="2:83" s="197" customFormat="1" ht="37.5" x14ac:dyDescent="0.3">
      <c r="B969" s="182">
        <v>2614</v>
      </c>
      <c r="C969" s="182">
        <v>1326</v>
      </c>
      <c r="D969" s="182" t="s">
        <v>325</v>
      </c>
      <c r="E969" s="181" t="s">
        <v>1654</v>
      </c>
      <c r="F969" s="182"/>
      <c r="G969" s="182">
        <v>2000</v>
      </c>
      <c r="H969" s="182"/>
      <c r="I969" s="182"/>
      <c r="J969" s="182"/>
      <c r="K969" s="182"/>
      <c r="L969" s="182"/>
      <c r="M969" s="182"/>
      <c r="N969" s="182"/>
      <c r="O969" s="182"/>
      <c r="P969" s="182"/>
      <c r="Q969" s="182"/>
      <c r="R969" s="182"/>
      <c r="S969" s="182"/>
      <c r="T969" s="182"/>
      <c r="U969" s="182"/>
      <c r="V969" s="182"/>
      <c r="W969" s="182"/>
      <c r="X969" s="182"/>
      <c r="Y969" s="182"/>
      <c r="Z969" s="182"/>
      <c r="AA969" s="182"/>
      <c r="AB969" s="182"/>
      <c r="AC969" s="182"/>
      <c r="AD969" s="182"/>
      <c r="AE969" s="182"/>
      <c r="AF969" s="182"/>
      <c r="AG969" s="182"/>
      <c r="AH969" s="182"/>
      <c r="AI969" s="182"/>
      <c r="AJ969" s="182"/>
      <c r="AK969" s="182"/>
      <c r="AL969" s="182"/>
      <c r="AM969" s="182"/>
      <c r="AN969" s="182"/>
      <c r="AO969" s="182"/>
      <c r="AP969" s="182"/>
      <c r="AQ969" s="185">
        <f t="shared" si="169"/>
        <v>2000</v>
      </c>
      <c r="AR969" s="182">
        <v>1785.35</v>
      </c>
      <c r="AS969" s="182">
        <v>214.65</v>
      </c>
      <c r="AT969" s="182"/>
      <c r="AU969" s="182"/>
      <c r="AV969" s="182"/>
      <c r="AW969" s="182"/>
      <c r="AX969" s="182"/>
      <c r="AY969" s="182"/>
      <c r="AZ969" s="182"/>
      <c r="BA969" s="182"/>
      <c r="BB969" s="182"/>
      <c r="BC969" s="182"/>
      <c r="BD969" s="182"/>
      <c r="BE969" s="182"/>
      <c r="BF969" s="182"/>
      <c r="BG969" s="182"/>
      <c r="BH969" s="182"/>
      <c r="BI969" s="182"/>
      <c r="BJ969" s="182"/>
      <c r="BK969" s="182"/>
      <c r="BL969" s="182"/>
      <c r="BM969" s="182"/>
      <c r="BN969" s="182"/>
      <c r="BO969" s="182"/>
      <c r="BP969" s="182"/>
      <c r="BQ969" s="182"/>
      <c r="BR969" s="182"/>
      <c r="BS969" s="182"/>
      <c r="BT969" s="182"/>
      <c r="BU969" s="182"/>
      <c r="BV969" s="182"/>
      <c r="BW969" s="182"/>
      <c r="BX969" s="182"/>
      <c r="BY969" s="182"/>
      <c r="BZ969" s="182"/>
      <c r="CA969" s="182"/>
      <c r="CB969" s="185">
        <f t="shared" si="170"/>
        <v>2000</v>
      </c>
      <c r="CC969" s="185">
        <f t="shared" si="171"/>
        <v>0</v>
      </c>
      <c r="CD969" s="185">
        <f t="shared" si="172"/>
        <v>1326</v>
      </c>
      <c r="CE969" s="185"/>
    </row>
    <row r="970" spans="2:83" s="197" customFormat="1" ht="37.5" x14ac:dyDescent="0.3">
      <c r="B970" s="182">
        <v>2616</v>
      </c>
      <c r="C970" s="182">
        <v>1327</v>
      </c>
      <c r="D970" s="182" t="s">
        <v>325</v>
      </c>
      <c r="E970" s="181" t="s">
        <v>4925</v>
      </c>
      <c r="F970" s="182"/>
      <c r="G970" s="182">
        <v>10968.77</v>
      </c>
      <c r="H970" s="182"/>
      <c r="I970" s="182"/>
      <c r="J970" s="182"/>
      <c r="K970" s="182"/>
      <c r="L970" s="182"/>
      <c r="M970" s="182"/>
      <c r="N970" s="182"/>
      <c r="O970" s="182"/>
      <c r="P970" s="182"/>
      <c r="Q970" s="182"/>
      <c r="R970" s="182"/>
      <c r="S970" s="182"/>
      <c r="T970" s="182"/>
      <c r="U970" s="182"/>
      <c r="V970" s="182"/>
      <c r="W970" s="182"/>
      <c r="X970" s="182"/>
      <c r="Y970" s="182"/>
      <c r="Z970" s="182"/>
      <c r="AA970" s="182"/>
      <c r="AB970" s="182"/>
      <c r="AC970" s="182"/>
      <c r="AD970" s="182"/>
      <c r="AE970" s="182"/>
      <c r="AF970" s="182"/>
      <c r="AG970" s="182"/>
      <c r="AH970" s="182"/>
      <c r="AI970" s="182"/>
      <c r="AJ970" s="182"/>
      <c r="AK970" s="182"/>
      <c r="AL970" s="182"/>
      <c r="AM970" s="182"/>
      <c r="AN970" s="182"/>
      <c r="AO970" s="182"/>
      <c r="AP970" s="182"/>
      <c r="AQ970" s="185">
        <f t="shared" si="169"/>
        <v>10968.77</v>
      </c>
      <c r="AR970" s="182">
        <v>7702.41</v>
      </c>
      <c r="AS970" s="182">
        <v>1024.75</v>
      </c>
      <c r="AT970" s="182">
        <v>2241.61</v>
      </c>
      <c r="AU970" s="182"/>
      <c r="AV970" s="182"/>
      <c r="AW970" s="182"/>
      <c r="AX970" s="182"/>
      <c r="AY970" s="182"/>
      <c r="AZ970" s="182"/>
      <c r="BA970" s="182"/>
      <c r="BB970" s="182"/>
      <c r="BC970" s="182"/>
      <c r="BD970" s="182"/>
      <c r="BE970" s="182"/>
      <c r="BF970" s="182"/>
      <c r="BG970" s="182"/>
      <c r="BH970" s="182"/>
      <c r="BI970" s="182"/>
      <c r="BJ970" s="182"/>
      <c r="BK970" s="182"/>
      <c r="BL970" s="182"/>
      <c r="BM970" s="182"/>
      <c r="BN970" s="182"/>
      <c r="BO970" s="182"/>
      <c r="BP970" s="182"/>
      <c r="BQ970" s="182"/>
      <c r="BR970" s="182"/>
      <c r="BS970" s="182"/>
      <c r="BT970" s="182"/>
      <c r="BU970" s="182"/>
      <c r="BV970" s="182"/>
      <c r="BW970" s="182"/>
      <c r="BX970" s="182"/>
      <c r="BY970" s="182"/>
      <c r="BZ970" s="182"/>
      <c r="CA970" s="182"/>
      <c r="CB970" s="185">
        <f t="shared" si="170"/>
        <v>10968.77</v>
      </c>
      <c r="CC970" s="185">
        <f t="shared" si="171"/>
        <v>0</v>
      </c>
      <c r="CD970" s="185">
        <f t="shared" si="172"/>
        <v>1327</v>
      </c>
      <c r="CE970" s="185"/>
    </row>
    <row r="971" spans="2:83" s="197" customFormat="1" ht="37.5" x14ac:dyDescent="0.3">
      <c r="B971" s="182">
        <v>2617</v>
      </c>
      <c r="C971" s="182">
        <v>1328</v>
      </c>
      <c r="D971" s="182" t="s">
        <v>325</v>
      </c>
      <c r="E971" s="181" t="s">
        <v>4925</v>
      </c>
      <c r="F971" s="182"/>
      <c r="G971" s="182">
        <v>5393.5</v>
      </c>
      <c r="H971" s="182"/>
      <c r="I971" s="182"/>
      <c r="J971" s="182"/>
      <c r="K971" s="182"/>
      <c r="L971" s="182"/>
      <c r="M971" s="182"/>
      <c r="N971" s="182"/>
      <c r="O971" s="182"/>
      <c r="P971" s="182"/>
      <c r="Q971" s="182"/>
      <c r="R971" s="182"/>
      <c r="S971" s="182"/>
      <c r="T971" s="182"/>
      <c r="U971" s="182"/>
      <c r="V971" s="182"/>
      <c r="W971" s="182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2"/>
      <c r="AH971" s="182"/>
      <c r="AI971" s="182"/>
      <c r="AJ971" s="182"/>
      <c r="AK971" s="182"/>
      <c r="AL971" s="182"/>
      <c r="AM971" s="182"/>
      <c r="AN971" s="182"/>
      <c r="AO971" s="182"/>
      <c r="AP971" s="182"/>
      <c r="AQ971" s="185">
        <f t="shared" si="169"/>
        <v>5393.5</v>
      </c>
      <c r="AR971" s="182">
        <v>3603.65</v>
      </c>
      <c r="AS971" s="182">
        <v>490.35</v>
      </c>
      <c r="AT971" s="182">
        <v>1299.5</v>
      </c>
      <c r="AU971" s="182"/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182"/>
      <c r="BK971" s="182"/>
      <c r="BL971" s="182"/>
      <c r="BM971" s="182"/>
      <c r="BN971" s="182"/>
      <c r="BO971" s="182"/>
      <c r="BP971" s="182"/>
      <c r="BQ971" s="182"/>
      <c r="BR971" s="182"/>
      <c r="BS971" s="182"/>
      <c r="BT971" s="182"/>
      <c r="BU971" s="182"/>
      <c r="BV971" s="182"/>
      <c r="BW971" s="182"/>
      <c r="BX971" s="182"/>
      <c r="BY971" s="182"/>
      <c r="BZ971" s="182"/>
      <c r="CA971" s="182"/>
      <c r="CB971" s="185">
        <f t="shared" si="170"/>
        <v>5393.5</v>
      </c>
      <c r="CC971" s="185">
        <f t="shared" si="171"/>
        <v>0</v>
      </c>
      <c r="CD971" s="185">
        <f t="shared" si="172"/>
        <v>1328</v>
      </c>
      <c r="CE971" s="185"/>
    </row>
    <row r="972" spans="2:83" s="197" customFormat="1" ht="37.5" x14ac:dyDescent="0.3">
      <c r="B972" s="182">
        <v>2590</v>
      </c>
      <c r="C972" s="182">
        <v>1329</v>
      </c>
      <c r="D972" s="182" t="s">
        <v>325</v>
      </c>
      <c r="E972" s="181" t="s">
        <v>3857</v>
      </c>
      <c r="F972" s="182"/>
      <c r="G972" s="182">
        <v>750</v>
      </c>
      <c r="H972" s="182"/>
      <c r="I972" s="182"/>
      <c r="J972" s="182"/>
      <c r="K972" s="182"/>
      <c r="L972" s="182"/>
      <c r="M972" s="182"/>
      <c r="N972" s="182"/>
      <c r="O972" s="182"/>
      <c r="P972" s="182"/>
      <c r="Q972" s="182"/>
      <c r="R972" s="182"/>
      <c r="S972" s="182"/>
      <c r="T972" s="182"/>
      <c r="U972" s="182"/>
      <c r="V972" s="182"/>
      <c r="W972" s="182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2"/>
      <c r="AH972" s="182"/>
      <c r="AI972" s="182"/>
      <c r="AJ972" s="182"/>
      <c r="AK972" s="182"/>
      <c r="AL972" s="182"/>
      <c r="AM972" s="182"/>
      <c r="AN972" s="182"/>
      <c r="AO972" s="182"/>
      <c r="AP972" s="182"/>
      <c r="AQ972" s="185">
        <f t="shared" si="169"/>
        <v>750</v>
      </c>
      <c r="AR972" s="182">
        <v>670.1</v>
      </c>
      <c r="AS972" s="182">
        <v>79.900000000000006</v>
      </c>
      <c r="AT972" s="182"/>
      <c r="AU972" s="182"/>
      <c r="AV972" s="182"/>
      <c r="AW972" s="182"/>
      <c r="AX972" s="182"/>
      <c r="AY972" s="182"/>
      <c r="AZ972" s="182"/>
      <c r="BA972" s="182"/>
      <c r="BB972" s="182"/>
      <c r="BC972" s="182"/>
      <c r="BD972" s="182"/>
      <c r="BE972" s="182"/>
      <c r="BF972" s="182"/>
      <c r="BG972" s="182"/>
      <c r="BH972" s="182"/>
      <c r="BI972" s="182"/>
      <c r="BJ972" s="182"/>
      <c r="BK972" s="182"/>
      <c r="BL972" s="182"/>
      <c r="BM972" s="182"/>
      <c r="BN972" s="182"/>
      <c r="BO972" s="182"/>
      <c r="BP972" s="182"/>
      <c r="BQ972" s="182"/>
      <c r="BR972" s="182"/>
      <c r="BS972" s="182"/>
      <c r="BT972" s="182"/>
      <c r="BU972" s="182"/>
      <c r="BV972" s="182"/>
      <c r="BW972" s="182"/>
      <c r="BX972" s="182"/>
      <c r="BY972" s="182"/>
      <c r="BZ972" s="182"/>
      <c r="CA972" s="182"/>
      <c r="CB972" s="185">
        <f t="shared" si="170"/>
        <v>750</v>
      </c>
      <c r="CC972" s="185">
        <f t="shared" si="171"/>
        <v>0</v>
      </c>
      <c r="CD972" s="185">
        <f t="shared" si="172"/>
        <v>1329</v>
      </c>
      <c r="CE972" s="185"/>
    </row>
    <row r="973" spans="2:83" s="197" customFormat="1" ht="37.5" x14ac:dyDescent="0.3">
      <c r="B973" s="182">
        <v>2591</v>
      </c>
      <c r="C973" s="182">
        <v>1330</v>
      </c>
      <c r="D973" s="182" t="s">
        <v>325</v>
      </c>
      <c r="E973" s="181" t="s">
        <v>4926</v>
      </c>
      <c r="F973" s="182"/>
      <c r="G973" s="182">
        <v>1172.5</v>
      </c>
      <c r="H973" s="182"/>
      <c r="I973" s="182"/>
      <c r="J973" s="182"/>
      <c r="K973" s="182"/>
      <c r="L973" s="182"/>
      <c r="M973" s="182"/>
      <c r="N973" s="182"/>
      <c r="O973" s="182"/>
      <c r="P973" s="182"/>
      <c r="Q973" s="182"/>
      <c r="R973" s="182"/>
      <c r="S973" s="182"/>
      <c r="T973" s="182"/>
      <c r="U973" s="182"/>
      <c r="V973" s="182"/>
      <c r="W973" s="182"/>
      <c r="X973" s="182"/>
      <c r="Y973" s="182"/>
      <c r="Z973" s="182"/>
      <c r="AA973" s="182"/>
      <c r="AB973" s="182"/>
      <c r="AC973" s="182"/>
      <c r="AD973" s="182"/>
      <c r="AE973" s="182"/>
      <c r="AF973" s="182"/>
      <c r="AG973" s="182"/>
      <c r="AH973" s="182"/>
      <c r="AI973" s="182"/>
      <c r="AJ973" s="182"/>
      <c r="AK973" s="182"/>
      <c r="AL973" s="182"/>
      <c r="AM973" s="182"/>
      <c r="AN973" s="182"/>
      <c r="AO973" s="182"/>
      <c r="AP973" s="182"/>
      <c r="AQ973" s="185">
        <f t="shared" si="169"/>
        <v>1172.5</v>
      </c>
      <c r="AR973" s="182">
        <v>784.1</v>
      </c>
      <c r="AS973" s="182">
        <v>105.9</v>
      </c>
      <c r="AT973" s="182">
        <v>282.5</v>
      </c>
      <c r="AU973" s="182"/>
      <c r="AV973" s="182"/>
      <c r="AW973" s="182"/>
      <c r="AX973" s="182"/>
      <c r="AY973" s="182"/>
      <c r="AZ973" s="182"/>
      <c r="BA973" s="182"/>
      <c r="BB973" s="182"/>
      <c r="BC973" s="182"/>
      <c r="BD973" s="182"/>
      <c r="BE973" s="182"/>
      <c r="BF973" s="182"/>
      <c r="BG973" s="182"/>
      <c r="BH973" s="182"/>
      <c r="BI973" s="182"/>
      <c r="BJ973" s="182"/>
      <c r="BK973" s="182"/>
      <c r="BL973" s="182"/>
      <c r="BM973" s="182"/>
      <c r="BN973" s="182"/>
      <c r="BO973" s="182"/>
      <c r="BP973" s="182"/>
      <c r="BQ973" s="182"/>
      <c r="BR973" s="182"/>
      <c r="BS973" s="182"/>
      <c r="BT973" s="182"/>
      <c r="BU973" s="182"/>
      <c r="BV973" s="182"/>
      <c r="BW973" s="182"/>
      <c r="BX973" s="182"/>
      <c r="BY973" s="182"/>
      <c r="BZ973" s="182"/>
      <c r="CA973" s="182"/>
      <c r="CB973" s="185">
        <f t="shared" si="170"/>
        <v>1172.5</v>
      </c>
      <c r="CC973" s="185">
        <f t="shared" si="171"/>
        <v>0</v>
      </c>
      <c r="CD973" s="185">
        <f t="shared" si="172"/>
        <v>1330</v>
      </c>
      <c r="CE973" s="185"/>
    </row>
    <row r="974" spans="2:83" s="197" customFormat="1" ht="37.5" x14ac:dyDescent="0.3">
      <c r="B974" s="182">
        <v>2592</v>
      </c>
      <c r="C974" s="182">
        <v>1331</v>
      </c>
      <c r="D974" s="182" t="s">
        <v>325</v>
      </c>
      <c r="E974" s="181" t="s">
        <v>4927</v>
      </c>
      <c r="F974" s="182"/>
      <c r="G974" s="182">
        <v>938</v>
      </c>
      <c r="H974" s="182"/>
      <c r="I974" s="182"/>
      <c r="J974" s="182"/>
      <c r="K974" s="182"/>
      <c r="L974" s="182"/>
      <c r="M974" s="182"/>
      <c r="N974" s="182"/>
      <c r="O974" s="182"/>
      <c r="P974" s="182"/>
      <c r="Q974" s="182"/>
      <c r="R974" s="182"/>
      <c r="S974" s="182"/>
      <c r="T974" s="182"/>
      <c r="U974" s="182"/>
      <c r="V974" s="182"/>
      <c r="W974" s="182"/>
      <c r="X974" s="182"/>
      <c r="Y974" s="182"/>
      <c r="Z974" s="182"/>
      <c r="AA974" s="182"/>
      <c r="AB974" s="182"/>
      <c r="AC974" s="182"/>
      <c r="AD974" s="182"/>
      <c r="AE974" s="182"/>
      <c r="AF974" s="182"/>
      <c r="AG974" s="182"/>
      <c r="AH974" s="182"/>
      <c r="AI974" s="182"/>
      <c r="AJ974" s="182"/>
      <c r="AK974" s="182"/>
      <c r="AL974" s="182"/>
      <c r="AM974" s="182"/>
      <c r="AN974" s="182"/>
      <c r="AO974" s="182"/>
      <c r="AP974" s="182"/>
      <c r="AQ974" s="185">
        <f t="shared" si="169"/>
        <v>938</v>
      </c>
      <c r="AR974" s="182">
        <v>627.35</v>
      </c>
      <c r="AS974" s="182">
        <v>84.65</v>
      </c>
      <c r="AT974" s="182">
        <v>226</v>
      </c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182"/>
      <c r="BK974" s="182"/>
      <c r="BL974" s="182"/>
      <c r="BM974" s="182"/>
      <c r="BN974" s="182"/>
      <c r="BO974" s="182"/>
      <c r="BP974" s="182"/>
      <c r="BQ974" s="182"/>
      <c r="BR974" s="182"/>
      <c r="BS974" s="182"/>
      <c r="BT974" s="182"/>
      <c r="BU974" s="182"/>
      <c r="BV974" s="182"/>
      <c r="BW974" s="182"/>
      <c r="BX974" s="182"/>
      <c r="BY974" s="182"/>
      <c r="BZ974" s="182"/>
      <c r="CA974" s="182"/>
      <c r="CB974" s="185">
        <f t="shared" si="170"/>
        <v>938</v>
      </c>
      <c r="CC974" s="185">
        <f t="shared" si="171"/>
        <v>0</v>
      </c>
      <c r="CD974" s="185">
        <f t="shared" si="172"/>
        <v>1331</v>
      </c>
      <c r="CE974" s="185"/>
    </row>
    <row r="975" spans="2:83" s="197" customFormat="1" ht="37.5" x14ac:dyDescent="0.3">
      <c r="B975" s="182">
        <v>2593</v>
      </c>
      <c r="C975" s="182">
        <v>1332</v>
      </c>
      <c r="D975" s="182" t="s">
        <v>325</v>
      </c>
      <c r="E975" s="181" t="s">
        <v>4928</v>
      </c>
      <c r="F975" s="182"/>
      <c r="G975" s="182">
        <v>1407</v>
      </c>
      <c r="H975" s="182"/>
      <c r="I975" s="182"/>
      <c r="J975" s="182"/>
      <c r="K975" s="182"/>
      <c r="L975" s="182"/>
      <c r="M975" s="182"/>
      <c r="N975" s="182"/>
      <c r="O975" s="182"/>
      <c r="P975" s="182"/>
      <c r="Q975" s="182"/>
      <c r="R975" s="182"/>
      <c r="S975" s="182"/>
      <c r="T975" s="182"/>
      <c r="U975" s="182"/>
      <c r="V975" s="182"/>
      <c r="W975" s="182"/>
      <c r="X975" s="182"/>
      <c r="Y975" s="182"/>
      <c r="Z975" s="182"/>
      <c r="AA975" s="182"/>
      <c r="AB975" s="182"/>
      <c r="AC975" s="182"/>
      <c r="AD975" s="182"/>
      <c r="AE975" s="182"/>
      <c r="AF975" s="182"/>
      <c r="AG975" s="182"/>
      <c r="AH975" s="182"/>
      <c r="AI975" s="182"/>
      <c r="AJ975" s="182"/>
      <c r="AK975" s="182"/>
      <c r="AL975" s="182"/>
      <c r="AM975" s="182"/>
      <c r="AN975" s="182"/>
      <c r="AO975" s="182"/>
      <c r="AP975" s="182"/>
      <c r="AQ975" s="185">
        <f t="shared" si="169"/>
        <v>1407</v>
      </c>
      <c r="AR975" s="182">
        <v>940.35</v>
      </c>
      <c r="AS975" s="182">
        <v>127.65</v>
      </c>
      <c r="AT975" s="182">
        <v>339</v>
      </c>
      <c r="AU975" s="182"/>
      <c r="AV975" s="182"/>
      <c r="AW975" s="182"/>
      <c r="AX975" s="182"/>
      <c r="AY975" s="182"/>
      <c r="AZ975" s="182"/>
      <c r="BA975" s="182"/>
      <c r="BB975" s="182"/>
      <c r="BC975" s="182"/>
      <c r="BD975" s="182"/>
      <c r="BE975" s="182"/>
      <c r="BF975" s="182"/>
      <c r="BG975" s="182"/>
      <c r="BH975" s="182"/>
      <c r="BI975" s="182"/>
      <c r="BJ975" s="182"/>
      <c r="BK975" s="182"/>
      <c r="BL975" s="182"/>
      <c r="BM975" s="182"/>
      <c r="BN975" s="182"/>
      <c r="BO975" s="182"/>
      <c r="BP975" s="182"/>
      <c r="BQ975" s="182"/>
      <c r="BR975" s="182"/>
      <c r="BS975" s="182"/>
      <c r="BT975" s="182"/>
      <c r="BU975" s="182"/>
      <c r="BV975" s="182"/>
      <c r="BW975" s="182"/>
      <c r="BX975" s="182"/>
      <c r="BY975" s="182"/>
      <c r="BZ975" s="182"/>
      <c r="CA975" s="182"/>
      <c r="CB975" s="185">
        <f t="shared" si="170"/>
        <v>1407</v>
      </c>
      <c r="CC975" s="185">
        <f t="shared" si="171"/>
        <v>0</v>
      </c>
      <c r="CD975" s="185">
        <f t="shared" si="172"/>
        <v>1332</v>
      </c>
      <c r="CE975" s="185"/>
    </row>
    <row r="976" spans="2:83" s="197" customFormat="1" ht="37.5" x14ac:dyDescent="0.3">
      <c r="B976" s="182">
        <v>2594</v>
      </c>
      <c r="C976" s="182">
        <v>1333</v>
      </c>
      <c r="D976" s="182" t="s">
        <v>325</v>
      </c>
      <c r="E976" s="181" t="s">
        <v>4928</v>
      </c>
      <c r="F976" s="182"/>
      <c r="G976" s="182">
        <v>1993.24</v>
      </c>
      <c r="H976" s="182"/>
      <c r="I976" s="182"/>
      <c r="J976" s="182"/>
      <c r="K976" s="182"/>
      <c r="L976" s="182"/>
      <c r="M976" s="182"/>
      <c r="N976" s="182"/>
      <c r="O976" s="182"/>
      <c r="P976" s="182"/>
      <c r="Q976" s="182"/>
      <c r="R976" s="182"/>
      <c r="S976" s="182"/>
      <c r="T976" s="182"/>
      <c r="U976" s="182"/>
      <c r="V976" s="182"/>
      <c r="W976" s="182"/>
      <c r="X976" s="182"/>
      <c r="Y976" s="182"/>
      <c r="Z976" s="182"/>
      <c r="AA976" s="182"/>
      <c r="AB976" s="182"/>
      <c r="AC976" s="182"/>
      <c r="AD976" s="182"/>
      <c r="AE976" s="182"/>
      <c r="AF976" s="182"/>
      <c r="AG976" s="182"/>
      <c r="AH976" s="182"/>
      <c r="AI976" s="182"/>
      <c r="AJ976" s="182"/>
      <c r="AK976" s="182"/>
      <c r="AL976" s="182"/>
      <c r="AM976" s="182"/>
      <c r="AN976" s="182"/>
      <c r="AO976" s="182"/>
      <c r="AP976" s="182"/>
      <c r="AQ976" s="185">
        <f t="shared" si="169"/>
        <v>1993.24</v>
      </c>
      <c r="AR976" s="182">
        <v>1332.65</v>
      </c>
      <c r="AS976" s="182">
        <v>180.35</v>
      </c>
      <c r="AT976" s="182">
        <v>480.24</v>
      </c>
      <c r="AU976" s="182"/>
      <c r="AV976" s="182"/>
      <c r="AW976" s="182"/>
      <c r="AX976" s="182"/>
      <c r="AY976" s="182"/>
      <c r="AZ976" s="182"/>
      <c r="BA976" s="182"/>
      <c r="BB976" s="182"/>
      <c r="BC976" s="182"/>
      <c r="BD976" s="182"/>
      <c r="BE976" s="182"/>
      <c r="BF976" s="182"/>
      <c r="BG976" s="182"/>
      <c r="BH976" s="182"/>
      <c r="BI976" s="182"/>
      <c r="BJ976" s="182"/>
      <c r="BK976" s="182"/>
      <c r="BL976" s="182"/>
      <c r="BM976" s="182"/>
      <c r="BN976" s="182"/>
      <c r="BO976" s="182"/>
      <c r="BP976" s="182"/>
      <c r="BQ976" s="182"/>
      <c r="BR976" s="182"/>
      <c r="BS976" s="182"/>
      <c r="BT976" s="182"/>
      <c r="BU976" s="182"/>
      <c r="BV976" s="182"/>
      <c r="BW976" s="182"/>
      <c r="BX976" s="182"/>
      <c r="BY976" s="182"/>
      <c r="BZ976" s="182"/>
      <c r="CA976" s="182"/>
      <c r="CB976" s="185">
        <f t="shared" si="170"/>
        <v>1993.24</v>
      </c>
      <c r="CC976" s="185">
        <f t="shared" si="171"/>
        <v>0</v>
      </c>
      <c r="CD976" s="185">
        <f t="shared" si="172"/>
        <v>1333</v>
      </c>
      <c r="CE976" s="185"/>
    </row>
    <row r="977" spans="2:83" s="197" customFormat="1" ht="37.5" x14ac:dyDescent="0.3">
      <c r="B977" s="182">
        <v>2595</v>
      </c>
      <c r="C977" s="182">
        <v>1334</v>
      </c>
      <c r="D977" s="182" t="s">
        <v>325</v>
      </c>
      <c r="E977" s="181" t="s">
        <v>4929</v>
      </c>
      <c r="F977" s="182"/>
      <c r="G977" s="182">
        <v>732.82</v>
      </c>
      <c r="H977" s="182"/>
      <c r="I977" s="182"/>
      <c r="J977" s="182"/>
      <c r="K977" s="182"/>
      <c r="L977" s="182"/>
      <c r="M977" s="182"/>
      <c r="N977" s="182"/>
      <c r="O977" s="182"/>
      <c r="P977" s="182"/>
      <c r="Q977" s="182"/>
      <c r="R977" s="182"/>
      <c r="S977" s="182"/>
      <c r="T977" s="182"/>
      <c r="U977" s="182"/>
      <c r="V977" s="182"/>
      <c r="W977" s="182"/>
      <c r="X977" s="182"/>
      <c r="Y977" s="182"/>
      <c r="Z977" s="182"/>
      <c r="AA977" s="182"/>
      <c r="AB977" s="182"/>
      <c r="AC977" s="182"/>
      <c r="AD977" s="182"/>
      <c r="AE977" s="182"/>
      <c r="AF977" s="182"/>
      <c r="AG977" s="182"/>
      <c r="AH977" s="182"/>
      <c r="AI977" s="182"/>
      <c r="AJ977" s="182"/>
      <c r="AK977" s="182"/>
      <c r="AL977" s="182"/>
      <c r="AM977" s="182"/>
      <c r="AN977" s="182"/>
      <c r="AO977" s="182"/>
      <c r="AP977" s="182"/>
      <c r="AQ977" s="185">
        <f t="shared" si="169"/>
        <v>732.82</v>
      </c>
      <c r="AR977" s="182">
        <v>490.78</v>
      </c>
      <c r="AS977" s="182">
        <v>65.5</v>
      </c>
      <c r="AT977" s="182">
        <v>176.54</v>
      </c>
      <c r="AU977" s="182"/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182"/>
      <c r="BK977" s="182"/>
      <c r="BL977" s="182"/>
      <c r="BM977" s="182"/>
      <c r="BN977" s="182"/>
      <c r="BO977" s="182"/>
      <c r="BP977" s="182"/>
      <c r="BQ977" s="182"/>
      <c r="BR977" s="182"/>
      <c r="BS977" s="182"/>
      <c r="BT977" s="182"/>
      <c r="BU977" s="182"/>
      <c r="BV977" s="182"/>
      <c r="BW977" s="182"/>
      <c r="BX977" s="182"/>
      <c r="BY977" s="182"/>
      <c r="BZ977" s="182"/>
      <c r="CA977" s="182"/>
      <c r="CB977" s="185">
        <f t="shared" si="170"/>
        <v>732.81999999999994</v>
      </c>
      <c r="CC977" s="185">
        <f t="shared" si="171"/>
        <v>0</v>
      </c>
      <c r="CD977" s="185">
        <f t="shared" si="172"/>
        <v>1334</v>
      </c>
      <c r="CE977" s="185"/>
    </row>
    <row r="978" spans="2:83" s="197" customFormat="1" ht="37.5" x14ac:dyDescent="0.3">
      <c r="B978" s="182">
        <v>2596</v>
      </c>
      <c r="C978" s="182">
        <v>1335</v>
      </c>
      <c r="D978" s="182" t="s">
        <v>325</v>
      </c>
      <c r="E978" s="181" t="s">
        <v>3592</v>
      </c>
      <c r="F978" s="182"/>
      <c r="G978" s="182">
        <v>732.82</v>
      </c>
      <c r="H978" s="182"/>
      <c r="I978" s="182"/>
      <c r="J978" s="182"/>
      <c r="K978" s="182"/>
      <c r="L978" s="182"/>
      <c r="M978" s="182"/>
      <c r="N978" s="182"/>
      <c r="O978" s="182"/>
      <c r="P978" s="182"/>
      <c r="Q978" s="182"/>
      <c r="R978" s="182"/>
      <c r="S978" s="182"/>
      <c r="T978" s="182"/>
      <c r="U978" s="182"/>
      <c r="V978" s="182"/>
      <c r="W978" s="182"/>
      <c r="X978" s="182"/>
      <c r="Y978" s="182"/>
      <c r="Z978" s="182"/>
      <c r="AA978" s="182"/>
      <c r="AB978" s="182"/>
      <c r="AC978" s="182"/>
      <c r="AD978" s="182"/>
      <c r="AE978" s="182"/>
      <c r="AF978" s="182"/>
      <c r="AG978" s="182"/>
      <c r="AH978" s="182"/>
      <c r="AI978" s="182"/>
      <c r="AJ978" s="182"/>
      <c r="AK978" s="182"/>
      <c r="AL978" s="182"/>
      <c r="AM978" s="182"/>
      <c r="AN978" s="182"/>
      <c r="AO978" s="182"/>
      <c r="AP978" s="182"/>
      <c r="AQ978" s="185">
        <f t="shared" si="169"/>
        <v>732.82</v>
      </c>
      <c r="AR978" s="182">
        <v>490.78</v>
      </c>
      <c r="AS978" s="182">
        <v>65.5</v>
      </c>
      <c r="AT978" s="182">
        <v>176.54</v>
      </c>
      <c r="AU978" s="182"/>
      <c r="AV978" s="182"/>
      <c r="AW978" s="182"/>
      <c r="AX978" s="182"/>
      <c r="AY978" s="182"/>
      <c r="AZ978" s="182"/>
      <c r="BA978" s="182"/>
      <c r="BB978" s="182"/>
      <c r="BC978" s="182"/>
      <c r="BD978" s="182"/>
      <c r="BE978" s="182"/>
      <c r="BF978" s="182"/>
      <c r="BG978" s="182"/>
      <c r="BH978" s="182"/>
      <c r="BI978" s="182"/>
      <c r="BJ978" s="182"/>
      <c r="BK978" s="182"/>
      <c r="BL978" s="182"/>
      <c r="BM978" s="182"/>
      <c r="BN978" s="182"/>
      <c r="BO978" s="182"/>
      <c r="BP978" s="182"/>
      <c r="BQ978" s="182"/>
      <c r="BR978" s="182"/>
      <c r="BS978" s="182"/>
      <c r="BT978" s="182"/>
      <c r="BU978" s="182"/>
      <c r="BV978" s="182"/>
      <c r="BW978" s="182"/>
      <c r="BX978" s="182"/>
      <c r="BY978" s="182"/>
      <c r="BZ978" s="182"/>
      <c r="CA978" s="182"/>
      <c r="CB978" s="185">
        <f t="shared" si="170"/>
        <v>732.81999999999994</v>
      </c>
      <c r="CC978" s="185">
        <f t="shared" si="171"/>
        <v>0</v>
      </c>
      <c r="CD978" s="185">
        <f t="shared" si="172"/>
        <v>1335</v>
      </c>
      <c r="CE978" s="185"/>
    </row>
    <row r="979" spans="2:83" s="197" customFormat="1" ht="37.5" x14ac:dyDescent="0.3">
      <c r="B979" s="182">
        <v>2597</v>
      </c>
      <c r="C979" s="182">
        <v>1336</v>
      </c>
      <c r="D979" s="182" t="s">
        <v>325</v>
      </c>
      <c r="E979" s="181" t="s">
        <v>3592</v>
      </c>
      <c r="F979" s="182"/>
      <c r="G979" s="182">
        <v>366.41</v>
      </c>
      <c r="H979" s="182"/>
      <c r="I979" s="182"/>
      <c r="J979" s="182"/>
      <c r="K979" s="182"/>
      <c r="L979" s="182"/>
      <c r="M979" s="182"/>
      <c r="N979" s="182"/>
      <c r="O979" s="182"/>
      <c r="P979" s="182"/>
      <c r="Q979" s="182"/>
      <c r="R979" s="182"/>
      <c r="S979" s="182"/>
      <c r="T979" s="182"/>
      <c r="U979" s="182"/>
      <c r="V979" s="182"/>
      <c r="W979" s="182"/>
      <c r="X979" s="182"/>
      <c r="Y979" s="182"/>
      <c r="Z979" s="182"/>
      <c r="AA979" s="182"/>
      <c r="AB979" s="182"/>
      <c r="AC979" s="182"/>
      <c r="AD979" s="182"/>
      <c r="AE979" s="182"/>
      <c r="AF979" s="182"/>
      <c r="AG979" s="182"/>
      <c r="AH979" s="182"/>
      <c r="AI979" s="182"/>
      <c r="AJ979" s="182"/>
      <c r="AK979" s="182"/>
      <c r="AL979" s="182"/>
      <c r="AM979" s="182"/>
      <c r="AN979" s="182"/>
      <c r="AO979" s="182"/>
      <c r="AP979" s="182"/>
      <c r="AQ979" s="185">
        <f t="shared" si="169"/>
        <v>366.41</v>
      </c>
      <c r="AR979" s="182">
        <v>245.39</v>
      </c>
      <c r="AS979" s="182">
        <v>32.75</v>
      </c>
      <c r="AT979" s="182">
        <v>88.27</v>
      </c>
      <c r="AU979" s="182"/>
      <c r="AV979" s="182"/>
      <c r="AW979" s="182"/>
      <c r="AX979" s="182"/>
      <c r="AY979" s="182"/>
      <c r="AZ979" s="182"/>
      <c r="BA979" s="182"/>
      <c r="BB979" s="182"/>
      <c r="BC979" s="182"/>
      <c r="BD979" s="182"/>
      <c r="BE979" s="182"/>
      <c r="BF979" s="182"/>
      <c r="BG979" s="182"/>
      <c r="BH979" s="182"/>
      <c r="BI979" s="182"/>
      <c r="BJ979" s="182"/>
      <c r="BK979" s="182"/>
      <c r="BL979" s="182"/>
      <c r="BM979" s="182"/>
      <c r="BN979" s="182"/>
      <c r="BO979" s="182"/>
      <c r="BP979" s="182"/>
      <c r="BQ979" s="182"/>
      <c r="BR979" s="182"/>
      <c r="BS979" s="182"/>
      <c r="BT979" s="182"/>
      <c r="BU979" s="182"/>
      <c r="BV979" s="182"/>
      <c r="BW979" s="182"/>
      <c r="BX979" s="182"/>
      <c r="BY979" s="182"/>
      <c r="BZ979" s="182"/>
      <c r="CA979" s="182"/>
      <c r="CB979" s="185">
        <f t="shared" si="170"/>
        <v>366.40999999999997</v>
      </c>
      <c r="CC979" s="185">
        <f t="shared" si="171"/>
        <v>0</v>
      </c>
      <c r="CD979" s="185">
        <f t="shared" si="172"/>
        <v>1336</v>
      </c>
      <c r="CE979" s="185"/>
    </row>
    <row r="980" spans="2:83" s="197" customFormat="1" ht="37.5" x14ac:dyDescent="0.3">
      <c r="B980" s="182">
        <v>2598</v>
      </c>
      <c r="C980" s="182">
        <v>1337</v>
      </c>
      <c r="D980" s="182" t="s">
        <v>325</v>
      </c>
      <c r="E980" s="181" t="s">
        <v>3592</v>
      </c>
      <c r="F980" s="182"/>
      <c r="G980" s="182">
        <v>366.41</v>
      </c>
      <c r="H980" s="182"/>
      <c r="I980" s="182"/>
      <c r="J980" s="182"/>
      <c r="K980" s="182"/>
      <c r="L980" s="182"/>
      <c r="M980" s="182"/>
      <c r="N980" s="182"/>
      <c r="O980" s="182"/>
      <c r="P980" s="182"/>
      <c r="Q980" s="182"/>
      <c r="R980" s="182"/>
      <c r="S980" s="182"/>
      <c r="T980" s="182"/>
      <c r="U980" s="182"/>
      <c r="V980" s="182"/>
      <c r="W980" s="182"/>
      <c r="X980" s="182"/>
      <c r="Y980" s="182"/>
      <c r="Z980" s="182"/>
      <c r="AA980" s="182"/>
      <c r="AB980" s="182"/>
      <c r="AC980" s="182"/>
      <c r="AD980" s="182"/>
      <c r="AE980" s="182"/>
      <c r="AF980" s="182"/>
      <c r="AG980" s="182"/>
      <c r="AH980" s="182"/>
      <c r="AI980" s="182"/>
      <c r="AJ980" s="182"/>
      <c r="AK980" s="182"/>
      <c r="AL980" s="182"/>
      <c r="AM980" s="182"/>
      <c r="AN980" s="182"/>
      <c r="AO980" s="182"/>
      <c r="AP980" s="182"/>
      <c r="AQ980" s="185">
        <f t="shared" si="169"/>
        <v>366.41</v>
      </c>
      <c r="AR980" s="182">
        <v>245.39</v>
      </c>
      <c r="AS980" s="182">
        <v>32.75</v>
      </c>
      <c r="AT980" s="182">
        <v>88.27</v>
      </c>
      <c r="AU980" s="182"/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182"/>
      <c r="BK980" s="182"/>
      <c r="BL980" s="182"/>
      <c r="BM980" s="182"/>
      <c r="BN980" s="182"/>
      <c r="BO980" s="182"/>
      <c r="BP980" s="182"/>
      <c r="BQ980" s="182"/>
      <c r="BR980" s="182"/>
      <c r="BS980" s="182"/>
      <c r="BT980" s="182"/>
      <c r="BU980" s="182"/>
      <c r="BV980" s="182"/>
      <c r="BW980" s="182"/>
      <c r="BX980" s="182"/>
      <c r="BY980" s="182"/>
      <c r="BZ980" s="182"/>
      <c r="CA980" s="182"/>
      <c r="CB980" s="185">
        <f t="shared" si="170"/>
        <v>366.40999999999997</v>
      </c>
      <c r="CC980" s="185">
        <f t="shared" si="171"/>
        <v>0</v>
      </c>
      <c r="CD980" s="185">
        <f t="shared" si="172"/>
        <v>1337</v>
      </c>
      <c r="CE980" s="185"/>
    </row>
    <row r="981" spans="2:83" s="197" customFormat="1" ht="37.5" x14ac:dyDescent="0.3">
      <c r="B981" s="182">
        <v>2601</v>
      </c>
      <c r="C981" s="182">
        <v>1338</v>
      </c>
      <c r="D981" s="182" t="s">
        <v>325</v>
      </c>
      <c r="E981" s="181" t="s">
        <v>885</v>
      </c>
      <c r="F981" s="182"/>
      <c r="G981" s="182">
        <v>820.75</v>
      </c>
      <c r="H981" s="182"/>
      <c r="I981" s="182"/>
      <c r="J981" s="182"/>
      <c r="K981" s="182"/>
      <c r="L981" s="182"/>
      <c r="M981" s="182"/>
      <c r="N981" s="182"/>
      <c r="O981" s="182"/>
      <c r="P981" s="182"/>
      <c r="Q981" s="182"/>
      <c r="R981" s="182"/>
      <c r="S981" s="182"/>
      <c r="T981" s="182"/>
      <c r="U981" s="182"/>
      <c r="V981" s="182"/>
      <c r="W981" s="182"/>
      <c r="X981" s="182"/>
      <c r="Y981" s="182"/>
      <c r="Z981" s="182"/>
      <c r="AA981" s="182"/>
      <c r="AB981" s="182"/>
      <c r="AC981" s="182"/>
      <c r="AD981" s="182"/>
      <c r="AE981" s="182"/>
      <c r="AF981" s="182"/>
      <c r="AG981" s="182"/>
      <c r="AH981" s="182"/>
      <c r="AI981" s="182"/>
      <c r="AJ981" s="182"/>
      <c r="AK981" s="182"/>
      <c r="AL981" s="182"/>
      <c r="AM981" s="182"/>
      <c r="AN981" s="182"/>
      <c r="AO981" s="182"/>
      <c r="AP981" s="182"/>
      <c r="AQ981" s="185">
        <f t="shared" si="169"/>
        <v>820.75</v>
      </c>
      <c r="AR981" s="182">
        <v>548.95000000000005</v>
      </c>
      <c r="AS981" s="182">
        <v>74.05</v>
      </c>
      <c r="AT981" s="182">
        <v>197.75</v>
      </c>
      <c r="AU981" s="182"/>
      <c r="AV981" s="182"/>
      <c r="AW981" s="182"/>
      <c r="AX981" s="182"/>
      <c r="AY981" s="182"/>
      <c r="AZ981" s="182"/>
      <c r="BA981" s="182"/>
      <c r="BB981" s="182"/>
      <c r="BC981" s="182"/>
      <c r="BD981" s="182"/>
      <c r="BE981" s="182"/>
      <c r="BF981" s="182"/>
      <c r="BG981" s="182"/>
      <c r="BH981" s="182"/>
      <c r="BI981" s="182"/>
      <c r="BJ981" s="182"/>
      <c r="BK981" s="182"/>
      <c r="BL981" s="182"/>
      <c r="BM981" s="182"/>
      <c r="BN981" s="182"/>
      <c r="BO981" s="182"/>
      <c r="BP981" s="182"/>
      <c r="BQ981" s="182"/>
      <c r="BR981" s="182"/>
      <c r="BS981" s="182"/>
      <c r="BT981" s="182"/>
      <c r="BU981" s="182"/>
      <c r="BV981" s="182"/>
      <c r="BW981" s="182"/>
      <c r="BX981" s="182"/>
      <c r="BY981" s="182"/>
      <c r="BZ981" s="182"/>
      <c r="CA981" s="182"/>
      <c r="CB981" s="185">
        <f t="shared" si="170"/>
        <v>820.75</v>
      </c>
      <c r="CC981" s="185">
        <f t="shared" si="171"/>
        <v>0</v>
      </c>
      <c r="CD981" s="185">
        <f t="shared" si="172"/>
        <v>1338</v>
      </c>
      <c r="CE981" s="185"/>
    </row>
    <row r="982" spans="2:83" s="197" customFormat="1" ht="37.5" x14ac:dyDescent="0.3">
      <c r="B982" s="182">
        <v>2602</v>
      </c>
      <c r="C982" s="182">
        <v>1339</v>
      </c>
      <c r="D982" s="182" t="s">
        <v>325</v>
      </c>
      <c r="E982" s="181" t="s">
        <v>885</v>
      </c>
      <c r="F982" s="182"/>
      <c r="G982" s="182">
        <v>820.75</v>
      </c>
      <c r="H982" s="182"/>
      <c r="I982" s="182"/>
      <c r="J982" s="182"/>
      <c r="K982" s="182"/>
      <c r="L982" s="182"/>
      <c r="M982" s="182"/>
      <c r="N982" s="182"/>
      <c r="O982" s="182"/>
      <c r="P982" s="182"/>
      <c r="Q982" s="182"/>
      <c r="R982" s="182"/>
      <c r="S982" s="182"/>
      <c r="T982" s="182"/>
      <c r="U982" s="182"/>
      <c r="V982" s="182"/>
      <c r="W982" s="182"/>
      <c r="X982" s="182"/>
      <c r="Y982" s="182"/>
      <c r="Z982" s="182"/>
      <c r="AA982" s="182"/>
      <c r="AB982" s="182"/>
      <c r="AC982" s="182"/>
      <c r="AD982" s="182"/>
      <c r="AE982" s="182"/>
      <c r="AF982" s="182"/>
      <c r="AG982" s="182"/>
      <c r="AH982" s="182"/>
      <c r="AI982" s="182"/>
      <c r="AJ982" s="182"/>
      <c r="AK982" s="182"/>
      <c r="AL982" s="182"/>
      <c r="AM982" s="182"/>
      <c r="AN982" s="182"/>
      <c r="AO982" s="182"/>
      <c r="AP982" s="182"/>
      <c r="AQ982" s="185">
        <f t="shared" si="169"/>
        <v>820.75</v>
      </c>
      <c r="AR982" s="182">
        <v>548.95000000000005</v>
      </c>
      <c r="AS982" s="182">
        <v>74.05</v>
      </c>
      <c r="AT982" s="182">
        <v>197.75</v>
      </c>
      <c r="AU982" s="182"/>
      <c r="AV982" s="182"/>
      <c r="AW982" s="182"/>
      <c r="AX982" s="182"/>
      <c r="AY982" s="182"/>
      <c r="AZ982" s="182"/>
      <c r="BA982" s="182"/>
      <c r="BB982" s="182"/>
      <c r="BC982" s="182"/>
      <c r="BD982" s="182"/>
      <c r="BE982" s="182"/>
      <c r="BF982" s="182"/>
      <c r="BG982" s="182"/>
      <c r="BH982" s="182"/>
      <c r="BI982" s="182"/>
      <c r="BJ982" s="182"/>
      <c r="BK982" s="182"/>
      <c r="BL982" s="182"/>
      <c r="BM982" s="182"/>
      <c r="BN982" s="182"/>
      <c r="BO982" s="182"/>
      <c r="BP982" s="182"/>
      <c r="BQ982" s="182"/>
      <c r="BR982" s="182"/>
      <c r="BS982" s="182"/>
      <c r="BT982" s="182"/>
      <c r="BU982" s="182"/>
      <c r="BV982" s="182"/>
      <c r="BW982" s="182"/>
      <c r="BX982" s="182"/>
      <c r="BY982" s="182"/>
      <c r="BZ982" s="182"/>
      <c r="CA982" s="182"/>
      <c r="CB982" s="185">
        <f t="shared" si="170"/>
        <v>820.75</v>
      </c>
      <c r="CC982" s="185">
        <f t="shared" si="171"/>
        <v>0</v>
      </c>
      <c r="CD982" s="185">
        <f t="shared" si="172"/>
        <v>1339</v>
      </c>
      <c r="CE982" s="185"/>
    </row>
    <row r="983" spans="2:83" s="197" customFormat="1" ht="37.5" x14ac:dyDescent="0.3">
      <c r="B983" s="182">
        <v>2603</v>
      </c>
      <c r="C983" s="182">
        <v>1340</v>
      </c>
      <c r="D983" s="182" t="s">
        <v>325</v>
      </c>
      <c r="E983" s="181" t="s">
        <v>885</v>
      </c>
      <c r="F983" s="182"/>
      <c r="G983" s="182">
        <v>1641.5</v>
      </c>
      <c r="H983" s="182"/>
      <c r="I983" s="182"/>
      <c r="J983" s="182"/>
      <c r="K983" s="182"/>
      <c r="L983" s="182"/>
      <c r="M983" s="182"/>
      <c r="N983" s="182"/>
      <c r="O983" s="182"/>
      <c r="P983" s="182"/>
      <c r="Q983" s="182"/>
      <c r="R983" s="182"/>
      <c r="S983" s="182"/>
      <c r="T983" s="182"/>
      <c r="U983" s="182"/>
      <c r="V983" s="182"/>
      <c r="W983" s="182"/>
      <c r="X983" s="182"/>
      <c r="Y983" s="182"/>
      <c r="Z983" s="182"/>
      <c r="AA983" s="182"/>
      <c r="AB983" s="182"/>
      <c r="AC983" s="182"/>
      <c r="AD983" s="182"/>
      <c r="AE983" s="182"/>
      <c r="AF983" s="182"/>
      <c r="AG983" s="182"/>
      <c r="AH983" s="182"/>
      <c r="AI983" s="182"/>
      <c r="AJ983" s="182"/>
      <c r="AK983" s="182"/>
      <c r="AL983" s="182"/>
      <c r="AM983" s="182"/>
      <c r="AN983" s="182"/>
      <c r="AO983" s="182"/>
      <c r="AP983" s="182"/>
      <c r="AQ983" s="185">
        <f t="shared" si="169"/>
        <v>1641.5</v>
      </c>
      <c r="AR983" s="182">
        <v>1097.9000000000001</v>
      </c>
      <c r="AS983" s="182">
        <v>148.1</v>
      </c>
      <c r="AT983" s="182">
        <v>395.5</v>
      </c>
      <c r="AU983" s="182"/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182"/>
      <c r="BK983" s="182"/>
      <c r="BL983" s="182"/>
      <c r="BM983" s="182"/>
      <c r="BN983" s="182"/>
      <c r="BO983" s="182"/>
      <c r="BP983" s="182"/>
      <c r="BQ983" s="182"/>
      <c r="BR983" s="182"/>
      <c r="BS983" s="182"/>
      <c r="BT983" s="182"/>
      <c r="BU983" s="182"/>
      <c r="BV983" s="182"/>
      <c r="BW983" s="182"/>
      <c r="BX983" s="182"/>
      <c r="BY983" s="182"/>
      <c r="BZ983" s="182"/>
      <c r="CA983" s="182"/>
      <c r="CB983" s="185">
        <f t="shared" si="170"/>
        <v>1641.5</v>
      </c>
      <c r="CC983" s="185">
        <f t="shared" si="171"/>
        <v>0</v>
      </c>
      <c r="CD983" s="185">
        <f t="shared" si="172"/>
        <v>1340</v>
      </c>
      <c r="CE983" s="185"/>
    </row>
    <row r="984" spans="2:83" s="197" customFormat="1" ht="37.5" x14ac:dyDescent="0.3">
      <c r="B984" s="182">
        <v>2604</v>
      </c>
      <c r="C984" s="182">
        <v>1341</v>
      </c>
      <c r="D984" s="182" t="s">
        <v>325</v>
      </c>
      <c r="E984" s="181" t="s">
        <v>885</v>
      </c>
      <c r="F984" s="182"/>
      <c r="G984" s="182">
        <v>766.49</v>
      </c>
      <c r="H984" s="182"/>
      <c r="I984" s="182"/>
      <c r="J984" s="182"/>
      <c r="K984" s="182"/>
      <c r="L984" s="182"/>
      <c r="M984" s="182"/>
      <c r="N984" s="182"/>
      <c r="O984" s="182"/>
      <c r="P984" s="182"/>
      <c r="Q984" s="182"/>
      <c r="R984" s="182"/>
      <c r="S984" s="182"/>
      <c r="T984" s="182"/>
      <c r="U984" s="182"/>
      <c r="V984" s="182"/>
      <c r="W984" s="182"/>
      <c r="X984" s="182"/>
      <c r="Y984" s="182"/>
      <c r="Z984" s="182"/>
      <c r="AA984" s="182"/>
      <c r="AB984" s="182"/>
      <c r="AC984" s="182"/>
      <c r="AD984" s="182"/>
      <c r="AE984" s="182"/>
      <c r="AF984" s="182"/>
      <c r="AG984" s="182"/>
      <c r="AH984" s="182"/>
      <c r="AI984" s="182"/>
      <c r="AJ984" s="182"/>
      <c r="AK984" s="182"/>
      <c r="AL984" s="182"/>
      <c r="AM984" s="182"/>
      <c r="AN984" s="182"/>
      <c r="AO984" s="182"/>
      <c r="AP984" s="182"/>
      <c r="AQ984" s="185">
        <f t="shared" si="169"/>
        <v>766.49</v>
      </c>
      <c r="AR984" s="182">
        <v>583.36</v>
      </c>
      <c r="AS984" s="182">
        <v>74.25</v>
      </c>
      <c r="AT984" s="182">
        <v>108.88</v>
      </c>
      <c r="AU984" s="182"/>
      <c r="AV984" s="182"/>
      <c r="AW984" s="182"/>
      <c r="AX984" s="182"/>
      <c r="AY984" s="182"/>
      <c r="AZ984" s="182"/>
      <c r="BA984" s="182"/>
      <c r="BB984" s="182"/>
      <c r="BC984" s="182"/>
      <c r="BD984" s="182"/>
      <c r="BE984" s="182"/>
      <c r="BF984" s="182"/>
      <c r="BG984" s="182"/>
      <c r="BH984" s="182"/>
      <c r="BI984" s="182"/>
      <c r="BJ984" s="182"/>
      <c r="BK984" s="182"/>
      <c r="BL984" s="182"/>
      <c r="BM984" s="182"/>
      <c r="BN984" s="182"/>
      <c r="BO984" s="182"/>
      <c r="BP984" s="182"/>
      <c r="BQ984" s="182"/>
      <c r="BR984" s="182"/>
      <c r="BS984" s="182"/>
      <c r="BT984" s="182"/>
      <c r="BU984" s="182"/>
      <c r="BV984" s="182"/>
      <c r="BW984" s="182"/>
      <c r="BX984" s="182"/>
      <c r="BY984" s="182"/>
      <c r="BZ984" s="182"/>
      <c r="CA984" s="182"/>
      <c r="CB984" s="185">
        <f t="shared" si="170"/>
        <v>766.49</v>
      </c>
      <c r="CC984" s="185">
        <f t="shared" si="171"/>
        <v>0</v>
      </c>
      <c r="CD984" s="185">
        <f t="shared" si="172"/>
        <v>1341</v>
      </c>
      <c r="CE984" s="185"/>
    </row>
    <row r="985" spans="2:83" s="197" customFormat="1" ht="37.5" x14ac:dyDescent="0.3">
      <c r="B985" s="182">
        <v>2605</v>
      </c>
      <c r="C985" s="182">
        <v>1342</v>
      </c>
      <c r="D985" s="182" t="s">
        <v>325</v>
      </c>
      <c r="E985" s="181" t="s">
        <v>885</v>
      </c>
      <c r="F985" s="182"/>
      <c r="G985" s="182">
        <v>820.75</v>
      </c>
      <c r="H985" s="182"/>
      <c r="I985" s="182"/>
      <c r="J985" s="182"/>
      <c r="K985" s="182"/>
      <c r="L985" s="182"/>
      <c r="M985" s="182"/>
      <c r="N985" s="182"/>
      <c r="O985" s="182"/>
      <c r="P985" s="182"/>
      <c r="Q985" s="182"/>
      <c r="R985" s="182"/>
      <c r="S985" s="182"/>
      <c r="T985" s="182"/>
      <c r="U985" s="182"/>
      <c r="V985" s="182"/>
      <c r="W985" s="182"/>
      <c r="X985" s="182"/>
      <c r="Y985" s="182"/>
      <c r="Z985" s="182"/>
      <c r="AA985" s="182"/>
      <c r="AB985" s="182"/>
      <c r="AC985" s="182"/>
      <c r="AD985" s="182"/>
      <c r="AE985" s="182"/>
      <c r="AF985" s="182"/>
      <c r="AG985" s="182"/>
      <c r="AH985" s="182"/>
      <c r="AI985" s="182"/>
      <c r="AJ985" s="182"/>
      <c r="AK985" s="182"/>
      <c r="AL985" s="182"/>
      <c r="AM985" s="182"/>
      <c r="AN985" s="182"/>
      <c r="AO985" s="182"/>
      <c r="AP985" s="182"/>
      <c r="AQ985" s="185">
        <f t="shared" si="169"/>
        <v>820.75</v>
      </c>
      <c r="AR985" s="182">
        <v>548.95000000000005</v>
      </c>
      <c r="AS985" s="182">
        <v>74.05</v>
      </c>
      <c r="AT985" s="182">
        <v>197.75</v>
      </c>
      <c r="AU985" s="182"/>
      <c r="AV985" s="182"/>
      <c r="AW985" s="182"/>
      <c r="AX985" s="182"/>
      <c r="AY985" s="182"/>
      <c r="AZ985" s="182"/>
      <c r="BA985" s="182"/>
      <c r="BB985" s="182"/>
      <c r="BC985" s="182"/>
      <c r="BD985" s="182"/>
      <c r="BE985" s="182"/>
      <c r="BF985" s="182"/>
      <c r="BG985" s="182"/>
      <c r="BH985" s="182"/>
      <c r="BI985" s="182"/>
      <c r="BJ985" s="182"/>
      <c r="BK985" s="182"/>
      <c r="BL985" s="182"/>
      <c r="BM985" s="182"/>
      <c r="BN985" s="182"/>
      <c r="BO985" s="182"/>
      <c r="BP985" s="182"/>
      <c r="BQ985" s="182"/>
      <c r="BR985" s="182"/>
      <c r="BS985" s="182"/>
      <c r="BT985" s="182"/>
      <c r="BU985" s="182"/>
      <c r="BV985" s="182"/>
      <c r="BW985" s="182"/>
      <c r="BX985" s="182"/>
      <c r="BY985" s="182"/>
      <c r="BZ985" s="182"/>
      <c r="CA985" s="182"/>
      <c r="CB985" s="185">
        <f t="shared" si="170"/>
        <v>820.75</v>
      </c>
      <c r="CC985" s="185">
        <f t="shared" si="171"/>
        <v>0</v>
      </c>
      <c r="CD985" s="185">
        <f t="shared" si="172"/>
        <v>1342</v>
      </c>
      <c r="CE985" s="185"/>
    </row>
    <row r="986" spans="2:83" s="197" customFormat="1" ht="37.5" x14ac:dyDescent="0.3">
      <c r="B986" s="182">
        <v>2606</v>
      </c>
      <c r="C986" s="182">
        <v>1343</v>
      </c>
      <c r="D986" s="182" t="s">
        <v>325</v>
      </c>
      <c r="E986" s="181" t="s">
        <v>885</v>
      </c>
      <c r="F986" s="182"/>
      <c r="G986" s="182">
        <v>1407</v>
      </c>
      <c r="H986" s="182"/>
      <c r="I986" s="182"/>
      <c r="J986" s="182"/>
      <c r="K986" s="182"/>
      <c r="L986" s="182"/>
      <c r="M986" s="182"/>
      <c r="N986" s="182"/>
      <c r="O986" s="182"/>
      <c r="P986" s="182"/>
      <c r="Q986" s="182"/>
      <c r="R986" s="182"/>
      <c r="S986" s="182"/>
      <c r="T986" s="182"/>
      <c r="U986" s="182"/>
      <c r="V986" s="182"/>
      <c r="W986" s="182"/>
      <c r="X986" s="182"/>
      <c r="Y986" s="182"/>
      <c r="Z986" s="182"/>
      <c r="AA986" s="182"/>
      <c r="AB986" s="182"/>
      <c r="AC986" s="182"/>
      <c r="AD986" s="182"/>
      <c r="AE986" s="182"/>
      <c r="AF986" s="182"/>
      <c r="AG986" s="182"/>
      <c r="AH986" s="182"/>
      <c r="AI986" s="182"/>
      <c r="AJ986" s="182"/>
      <c r="AK986" s="182"/>
      <c r="AL986" s="182"/>
      <c r="AM986" s="182"/>
      <c r="AN986" s="182"/>
      <c r="AO986" s="182"/>
      <c r="AP986" s="182"/>
      <c r="AQ986" s="185">
        <f t="shared" si="169"/>
        <v>1407</v>
      </c>
      <c r="AR986" s="182">
        <v>940.35</v>
      </c>
      <c r="AS986" s="182">
        <v>127.65</v>
      </c>
      <c r="AT986" s="182">
        <v>339</v>
      </c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182"/>
      <c r="BK986" s="182"/>
      <c r="BL986" s="182"/>
      <c r="BM986" s="182"/>
      <c r="BN986" s="182"/>
      <c r="BO986" s="182"/>
      <c r="BP986" s="182"/>
      <c r="BQ986" s="182"/>
      <c r="BR986" s="182"/>
      <c r="BS986" s="182"/>
      <c r="BT986" s="182"/>
      <c r="BU986" s="182"/>
      <c r="BV986" s="182"/>
      <c r="BW986" s="182"/>
      <c r="BX986" s="182"/>
      <c r="BY986" s="182"/>
      <c r="BZ986" s="182"/>
      <c r="CA986" s="182"/>
      <c r="CB986" s="185">
        <f t="shared" si="170"/>
        <v>1407</v>
      </c>
      <c r="CC986" s="185">
        <f t="shared" si="171"/>
        <v>0</v>
      </c>
      <c r="CD986" s="185">
        <f t="shared" si="172"/>
        <v>1343</v>
      </c>
      <c r="CE986" s="185"/>
    </row>
    <row r="987" spans="2:83" s="197" customFormat="1" ht="37.5" x14ac:dyDescent="0.3">
      <c r="B987" s="182">
        <v>2612</v>
      </c>
      <c r="C987" s="182">
        <v>1344</v>
      </c>
      <c r="D987" s="182" t="s">
        <v>325</v>
      </c>
      <c r="E987" s="181" t="s">
        <v>4930</v>
      </c>
      <c r="F987" s="182"/>
      <c r="G987" s="182">
        <v>3517.5</v>
      </c>
      <c r="H987" s="182"/>
      <c r="I987" s="182"/>
      <c r="J987" s="182"/>
      <c r="K987" s="182"/>
      <c r="L987" s="182"/>
      <c r="M987" s="182"/>
      <c r="N987" s="182"/>
      <c r="O987" s="182"/>
      <c r="P987" s="182"/>
      <c r="Q987" s="182"/>
      <c r="R987" s="182"/>
      <c r="S987" s="182"/>
      <c r="T987" s="182"/>
      <c r="U987" s="182"/>
      <c r="V987" s="182"/>
      <c r="W987" s="182"/>
      <c r="X987" s="182"/>
      <c r="Y987" s="182"/>
      <c r="Z987" s="182"/>
      <c r="AA987" s="182"/>
      <c r="AB987" s="182"/>
      <c r="AC987" s="182"/>
      <c r="AD987" s="182"/>
      <c r="AE987" s="182"/>
      <c r="AF987" s="182"/>
      <c r="AG987" s="182"/>
      <c r="AH987" s="182"/>
      <c r="AI987" s="182"/>
      <c r="AJ987" s="182"/>
      <c r="AK987" s="182"/>
      <c r="AL987" s="182"/>
      <c r="AM987" s="182"/>
      <c r="AN987" s="182"/>
      <c r="AO987" s="182"/>
      <c r="AP987" s="182"/>
      <c r="AQ987" s="185">
        <f t="shared" si="169"/>
        <v>3517.5</v>
      </c>
      <c r="AR987" s="182">
        <v>2351.1</v>
      </c>
      <c r="AS987" s="182">
        <v>318.89999999999998</v>
      </c>
      <c r="AT987" s="182">
        <v>847.5</v>
      </c>
      <c r="AU987" s="182"/>
      <c r="AV987" s="182"/>
      <c r="AW987" s="182"/>
      <c r="AX987" s="182"/>
      <c r="AY987" s="182"/>
      <c r="AZ987" s="182"/>
      <c r="BA987" s="182"/>
      <c r="BB987" s="182"/>
      <c r="BC987" s="182"/>
      <c r="BD987" s="182"/>
      <c r="BE987" s="182"/>
      <c r="BF987" s="182"/>
      <c r="BG987" s="182"/>
      <c r="BH987" s="182"/>
      <c r="BI987" s="182"/>
      <c r="BJ987" s="182"/>
      <c r="BK987" s="182"/>
      <c r="BL987" s="182"/>
      <c r="BM987" s="182"/>
      <c r="BN987" s="182"/>
      <c r="BO987" s="182"/>
      <c r="BP987" s="182"/>
      <c r="BQ987" s="182"/>
      <c r="BR987" s="182"/>
      <c r="BS987" s="182"/>
      <c r="BT987" s="182"/>
      <c r="BU987" s="182"/>
      <c r="BV987" s="182"/>
      <c r="BW987" s="182"/>
      <c r="BX987" s="182"/>
      <c r="BY987" s="182"/>
      <c r="BZ987" s="182"/>
      <c r="CA987" s="182"/>
      <c r="CB987" s="185">
        <f t="shared" si="170"/>
        <v>3517.5</v>
      </c>
      <c r="CC987" s="185">
        <f t="shared" si="171"/>
        <v>0</v>
      </c>
      <c r="CD987" s="185">
        <f t="shared" si="172"/>
        <v>1344</v>
      </c>
      <c r="CE987" s="185"/>
    </row>
    <row r="988" spans="2:83" s="197" customFormat="1" ht="37.5" x14ac:dyDescent="0.3">
      <c r="B988" s="182">
        <v>2613</v>
      </c>
      <c r="C988" s="182">
        <v>1345</v>
      </c>
      <c r="D988" s="182" t="s">
        <v>325</v>
      </c>
      <c r="E988" s="181" t="s">
        <v>4930</v>
      </c>
      <c r="F988" s="182"/>
      <c r="G988" s="182">
        <v>3517.5</v>
      </c>
      <c r="H988" s="182"/>
      <c r="I988" s="182"/>
      <c r="J988" s="182"/>
      <c r="K988" s="182"/>
      <c r="L988" s="182"/>
      <c r="M988" s="182"/>
      <c r="N988" s="182"/>
      <c r="O988" s="182"/>
      <c r="P988" s="182"/>
      <c r="Q988" s="182"/>
      <c r="R988" s="182"/>
      <c r="S988" s="182"/>
      <c r="T988" s="182"/>
      <c r="U988" s="182"/>
      <c r="V988" s="182"/>
      <c r="W988" s="182"/>
      <c r="X988" s="182"/>
      <c r="Y988" s="182"/>
      <c r="Z988" s="182"/>
      <c r="AA988" s="182"/>
      <c r="AB988" s="182"/>
      <c r="AC988" s="182"/>
      <c r="AD988" s="182"/>
      <c r="AE988" s="182"/>
      <c r="AF988" s="182"/>
      <c r="AG988" s="182"/>
      <c r="AH988" s="182"/>
      <c r="AI988" s="182"/>
      <c r="AJ988" s="182"/>
      <c r="AK988" s="182"/>
      <c r="AL988" s="182"/>
      <c r="AM988" s="182"/>
      <c r="AN988" s="182"/>
      <c r="AO988" s="182"/>
      <c r="AP988" s="182"/>
      <c r="AQ988" s="185">
        <f t="shared" si="169"/>
        <v>3517.5</v>
      </c>
      <c r="AR988" s="182">
        <v>2350.35</v>
      </c>
      <c r="AS988" s="182">
        <v>319.64999999999998</v>
      </c>
      <c r="AT988" s="182">
        <v>847.5</v>
      </c>
      <c r="AU988" s="182"/>
      <c r="AV988" s="182"/>
      <c r="AW988" s="182"/>
      <c r="AX988" s="182"/>
      <c r="AY988" s="182"/>
      <c r="AZ988" s="182"/>
      <c r="BA988" s="182"/>
      <c r="BB988" s="182"/>
      <c r="BC988" s="182"/>
      <c r="BD988" s="182"/>
      <c r="BE988" s="182"/>
      <c r="BF988" s="182"/>
      <c r="BG988" s="182"/>
      <c r="BH988" s="182"/>
      <c r="BI988" s="182"/>
      <c r="BJ988" s="182"/>
      <c r="BK988" s="182"/>
      <c r="BL988" s="182"/>
      <c r="BM988" s="182"/>
      <c r="BN988" s="182"/>
      <c r="BO988" s="182"/>
      <c r="BP988" s="182"/>
      <c r="BQ988" s="182"/>
      <c r="BR988" s="182"/>
      <c r="BS988" s="182"/>
      <c r="BT988" s="182"/>
      <c r="BU988" s="182"/>
      <c r="BV988" s="182"/>
      <c r="BW988" s="182"/>
      <c r="BX988" s="182"/>
      <c r="BY988" s="182"/>
      <c r="BZ988" s="182"/>
      <c r="CA988" s="182"/>
      <c r="CB988" s="185">
        <f t="shared" si="170"/>
        <v>3517.5</v>
      </c>
      <c r="CC988" s="185">
        <f t="shared" si="171"/>
        <v>0</v>
      </c>
      <c r="CD988" s="185">
        <f t="shared" si="172"/>
        <v>1345</v>
      </c>
      <c r="CE988" s="185"/>
    </row>
    <row r="989" spans="2:83" s="197" customFormat="1" ht="37.5" x14ac:dyDescent="0.3">
      <c r="B989" s="182">
        <v>2395</v>
      </c>
      <c r="C989" s="182">
        <v>1346</v>
      </c>
      <c r="D989" s="182" t="s">
        <v>325</v>
      </c>
      <c r="E989" s="181" t="str">
        <f>+E967</f>
        <v>ج مركز ابحاث خارجى</v>
      </c>
      <c r="F989" s="182"/>
      <c r="G989" s="182">
        <v>15621.25</v>
      </c>
      <c r="H989" s="182"/>
      <c r="I989" s="182"/>
      <c r="J989" s="182"/>
      <c r="K989" s="182"/>
      <c r="L989" s="182"/>
      <c r="M989" s="182"/>
      <c r="N989" s="182"/>
      <c r="O989" s="182"/>
      <c r="P989" s="182"/>
      <c r="Q989" s="182"/>
      <c r="R989" s="182"/>
      <c r="S989" s="182"/>
      <c r="T989" s="182"/>
      <c r="U989" s="182"/>
      <c r="V989" s="182"/>
      <c r="W989" s="182"/>
      <c r="X989" s="182"/>
      <c r="Y989" s="182"/>
      <c r="Z989" s="182"/>
      <c r="AA989" s="182"/>
      <c r="AB989" s="182"/>
      <c r="AC989" s="182"/>
      <c r="AD989" s="182"/>
      <c r="AE989" s="182"/>
      <c r="AF989" s="182"/>
      <c r="AG989" s="182"/>
      <c r="AH989" s="182"/>
      <c r="AI989" s="182"/>
      <c r="AJ989" s="182"/>
      <c r="AK989" s="182"/>
      <c r="AL989" s="182"/>
      <c r="AM989" s="182"/>
      <c r="AN989" s="182"/>
      <c r="AO989" s="182"/>
      <c r="AP989" s="182"/>
      <c r="AQ989" s="185">
        <f t="shared" si="169"/>
        <v>15621.25</v>
      </c>
      <c r="AR989" s="182">
        <v>12229.8</v>
      </c>
      <c r="AS989" s="182">
        <f>105.2+1450</f>
        <v>1555.2</v>
      </c>
      <c r="AT989" s="182">
        <v>1836.25</v>
      </c>
      <c r="AU989" s="182"/>
      <c r="AV989" s="182"/>
      <c r="AW989" s="182"/>
      <c r="AX989" s="182"/>
      <c r="AY989" s="182"/>
      <c r="AZ989" s="182"/>
      <c r="BA989" s="182"/>
      <c r="BB989" s="182"/>
      <c r="BC989" s="182"/>
      <c r="BD989" s="182"/>
      <c r="BE989" s="182"/>
      <c r="BF989" s="182"/>
      <c r="BG989" s="182"/>
      <c r="BH989" s="182"/>
      <c r="BI989" s="182"/>
      <c r="BJ989" s="182"/>
      <c r="BK989" s="182"/>
      <c r="BL989" s="182"/>
      <c r="BM989" s="182"/>
      <c r="BN989" s="182"/>
      <c r="BO989" s="182"/>
      <c r="BP989" s="182"/>
      <c r="BQ989" s="182"/>
      <c r="BR989" s="182"/>
      <c r="BS989" s="182"/>
      <c r="BT989" s="182"/>
      <c r="BU989" s="182"/>
      <c r="BV989" s="182"/>
      <c r="BW989" s="182"/>
      <c r="BX989" s="182"/>
      <c r="BY989" s="182"/>
      <c r="BZ989" s="182"/>
      <c r="CA989" s="182"/>
      <c r="CB989" s="185">
        <f t="shared" si="170"/>
        <v>15621.25</v>
      </c>
      <c r="CC989" s="185">
        <f t="shared" ref="CC989:CC1010" si="173">+CB989-AQ989</f>
        <v>0</v>
      </c>
      <c r="CD989" s="185">
        <f t="shared" ref="CD989:CD1010" si="174">+C989</f>
        <v>1346</v>
      </c>
      <c r="CE989" s="185"/>
    </row>
    <row r="990" spans="2:83" s="197" customFormat="1" ht="37.5" x14ac:dyDescent="0.3">
      <c r="B990" s="182">
        <v>3279</v>
      </c>
      <c r="C990" s="182">
        <v>1347</v>
      </c>
      <c r="D990" s="182" t="s">
        <v>325</v>
      </c>
      <c r="E990" s="181" t="s">
        <v>4931</v>
      </c>
      <c r="F990" s="182"/>
      <c r="G990" s="182">
        <v>58166.64</v>
      </c>
      <c r="H990" s="182"/>
      <c r="I990" s="182"/>
      <c r="J990" s="182"/>
      <c r="K990" s="182"/>
      <c r="L990" s="182"/>
      <c r="M990" s="182"/>
      <c r="N990" s="182"/>
      <c r="O990" s="182"/>
      <c r="P990" s="182"/>
      <c r="Q990" s="182"/>
      <c r="R990" s="182"/>
      <c r="S990" s="182"/>
      <c r="T990" s="182"/>
      <c r="U990" s="182"/>
      <c r="V990" s="182"/>
      <c r="W990" s="182"/>
      <c r="X990" s="182"/>
      <c r="Y990" s="182"/>
      <c r="Z990" s="182"/>
      <c r="AA990" s="182"/>
      <c r="AB990" s="182"/>
      <c r="AC990" s="182"/>
      <c r="AD990" s="182"/>
      <c r="AE990" s="182"/>
      <c r="AF990" s="182"/>
      <c r="AG990" s="182"/>
      <c r="AH990" s="182"/>
      <c r="AI990" s="182"/>
      <c r="AJ990" s="182"/>
      <c r="AK990" s="182"/>
      <c r="AL990" s="182"/>
      <c r="AM990" s="182"/>
      <c r="AN990" s="182"/>
      <c r="AO990" s="182"/>
      <c r="AP990" s="182"/>
      <c r="AQ990" s="185">
        <f t="shared" si="169"/>
        <v>58166.64</v>
      </c>
      <c r="AR990" s="182">
        <v>48745.4</v>
      </c>
      <c r="AS990" s="182">
        <v>6026.68</v>
      </c>
      <c r="AT990" s="182">
        <v>3394.56</v>
      </c>
      <c r="AU990" s="182"/>
      <c r="AV990" s="182"/>
      <c r="AW990" s="182"/>
      <c r="AX990" s="182"/>
      <c r="AY990" s="182"/>
      <c r="AZ990" s="182"/>
      <c r="BA990" s="182"/>
      <c r="BB990" s="182"/>
      <c r="BC990" s="182"/>
      <c r="BD990" s="182"/>
      <c r="BE990" s="182"/>
      <c r="BF990" s="182"/>
      <c r="BG990" s="182"/>
      <c r="BH990" s="182"/>
      <c r="BI990" s="182"/>
      <c r="BJ990" s="182"/>
      <c r="BK990" s="182"/>
      <c r="BL990" s="182"/>
      <c r="BM990" s="182"/>
      <c r="BN990" s="182"/>
      <c r="BO990" s="182"/>
      <c r="BP990" s="182"/>
      <c r="BQ990" s="182"/>
      <c r="BR990" s="182"/>
      <c r="BS990" s="182"/>
      <c r="BT990" s="182"/>
      <c r="BU990" s="182"/>
      <c r="BV990" s="182"/>
      <c r="BW990" s="182"/>
      <c r="BX990" s="182"/>
      <c r="BY990" s="182"/>
      <c r="BZ990" s="182"/>
      <c r="CA990" s="182"/>
      <c r="CB990" s="185">
        <f t="shared" si="170"/>
        <v>58166.64</v>
      </c>
      <c r="CC990" s="185">
        <f t="shared" si="173"/>
        <v>0</v>
      </c>
      <c r="CD990" s="185">
        <f t="shared" si="174"/>
        <v>1347</v>
      </c>
      <c r="CE990" s="185"/>
    </row>
    <row r="991" spans="2:83" s="197" customFormat="1" ht="37.5" x14ac:dyDescent="0.3">
      <c r="B991" s="182">
        <v>3274</v>
      </c>
      <c r="C991" s="182">
        <v>1348</v>
      </c>
      <c r="D991" s="182" t="s">
        <v>325</v>
      </c>
      <c r="E991" s="181" t="s">
        <v>4931</v>
      </c>
      <c r="F991" s="182"/>
      <c r="G991" s="182">
        <v>41670</v>
      </c>
      <c r="H991" s="182"/>
      <c r="I991" s="182"/>
      <c r="J991" s="182"/>
      <c r="K991" s="182"/>
      <c r="L991" s="182"/>
      <c r="M991" s="182"/>
      <c r="N991" s="182"/>
      <c r="O991" s="182"/>
      <c r="P991" s="182"/>
      <c r="Q991" s="182"/>
      <c r="R991" s="182"/>
      <c r="S991" s="182"/>
      <c r="T991" s="182"/>
      <c r="U991" s="182"/>
      <c r="V991" s="182"/>
      <c r="W991" s="182"/>
      <c r="X991" s="182"/>
      <c r="Y991" s="182"/>
      <c r="Z991" s="182"/>
      <c r="AA991" s="182"/>
      <c r="AB991" s="182"/>
      <c r="AC991" s="182"/>
      <c r="AD991" s="182"/>
      <c r="AE991" s="182"/>
      <c r="AF991" s="182"/>
      <c r="AG991" s="182"/>
      <c r="AH991" s="182"/>
      <c r="AI991" s="182"/>
      <c r="AJ991" s="182"/>
      <c r="AK991" s="182"/>
      <c r="AL991" s="182"/>
      <c r="AM991" s="182"/>
      <c r="AN991" s="182"/>
      <c r="AO991" s="182"/>
      <c r="AP991" s="182"/>
      <c r="AQ991" s="185">
        <f t="shared" si="169"/>
        <v>41670</v>
      </c>
      <c r="AR991" s="182">
        <v>37179.96</v>
      </c>
      <c r="AS991" s="182">
        <v>4490.04</v>
      </c>
      <c r="AT991" s="182"/>
      <c r="AU991" s="182"/>
      <c r="AV991" s="182"/>
      <c r="AW991" s="182"/>
      <c r="AX991" s="182"/>
      <c r="AY991" s="182"/>
      <c r="AZ991" s="182"/>
      <c r="BA991" s="182"/>
      <c r="BB991" s="182"/>
      <c r="BC991" s="182"/>
      <c r="BD991" s="182"/>
      <c r="BE991" s="182"/>
      <c r="BF991" s="182"/>
      <c r="BG991" s="182"/>
      <c r="BH991" s="182"/>
      <c r="BI991" s="182"/>
      <c r="BJ991" s="182"/>
      <c r="BK991" s="182"/>
      <c r="BL991" s="182"/>
      <c r="BM991" s="182"/>
      <c r="BN991" s="182"/>
      <c r="BO991" s="182"/>
      <c r="BP991" s="182"/>
      <c r="BQ991" s="182"/>
      <c r="BR991" s="182"/>
      <c r="BS991" s="182"/>
      <c r="BT991" s="182"/>
      <c r="BU991" s="182"/>
      <c r="BV991" s="182"/>
      <c r="BW991" s="182"/>
      <c r="BX991" s="182"/>
      <c r="BY991" s="182"/>
      <c r="BZ991" s="182"/>
      <c r="CA991" s="182"/>
      <c r="CB991" s="185">
        <f t="shared" si="170"/>
        <v>41670</v>
      </c>
      <c r="CC991" s="185">
        <f t="shared" si="173"/>
        <v>0</v>
      </c>
      <c r="CD991" s="185">
        <f t="shared" si="174"/>
        <v>1348</v>
      </c>
      <c r="CE991" s="185"/>
    </row>
    <row r="992" spans="2:83" s="197" customFormat="1" ht="37.5" x14ac:dyDescent="0.3">
      <c r="B992" s="182">
        <v>3272</v>
      </c>
      <c r="C992" s="182">
        <v>1349</v>
      </c>
      <c r="D992" s="182" t="s">
        <v>325</v>
      </c>
      <c r="E992" s="181" t="s">
        <v>4931</v>
      </c>
      <c r="F992" s="182"/>
      <c r="G992" s="182">
        <v>15373.75</v>
      </c>
      <c r="H992" s="182"/>
      <c r="I992" s="182"/>
      <c r="J992" s="182"/>
      <c r="K992" s="182"/>
      <c r="L992" s="182"/>
      <c r="M992" s="182"/>
      <c r="N992" s="182"/>
      <c r="O992" s="182"/>
      <c r="P992" s="182"/>
      <c r="Q992" s="182"/>
      <c r="R992" s="182"/>
      <c r="S992" s="182"/>
      <c r="T992" s="182"/>
      <c r="U992" s="182"/>
      <c r="V992" s="182"/>
      <c r="W992" s="182"/>
      <c r="X992" s="182"/>
      <c r="Y992" s="182"/>
      <c r="Z992" s="182"/>
      <c r="AA992" s="182"/>
      <c r="AB992" s="182"/>
      <c r="AC992" s="182"/>
      <c r="AD992" s="182"/>
      <c r="AE992" s="182"/>
      <c r="AF992" s="182"/>
      <c r="AG992" s="182"/>
      <c r="AH992" s="182"/>
      <c r="AI992" s="182"/>
      <c r="AJ992" s="182"/>
      <c r="AK992" s="182"/>
      <c r="AL992" s="182"/>
      <c r="AM992" s="182"/>
      <c r="AN992" s="182"/>
      <c r="AO992" s="182"/>
      <c r="AP992" s="182"/>
      <c r="AQ992" s="185">
        <f t="shared" si="169"/>
        <v>15373.75</v>
      </c>
      <c r="AR992" s="182">
        <v>13716.96</v>
      </c>
      <c r="AS992" s="182">
        <v>1656.79</v>
      </c>
      <c r="AT992" s="182"/>
      <c r="AU992" s="182"/>
      <c r="AV992" s="182"/>
      <c r="AW992" s="182"/>
      <c r="AX992" s="182"/>
      <c r="AY992" s="182"/>
      <c r="AZ992" s="182"/>
      <c r="BA992" s="182"/>
      <c r="BB992" s="182"/>
      <c r="BC992" s="182"/>
      <c r="BD992" s="182"/>
      <c r="BE992" s="182"/>
      <c r="BF992" s="182"/>
      <c r="BG992" s="182"/>
      <c r="BH992" s="182"/>
      <c r="BI992" s="182"/>
      <c r="BJ992" s="182"/>
      <c r="BK992" s="182"/>
      <c r="BL992" s="182"/>
      <c r="BM992" s="182"/>
      <c r="BN992" s="182"/>
      <c r="BO992" s="182"/>
      <c r="BP992" s="182"/>
      <c r="BQ992" s="182"/>
      <c r="BR992" s="182"/>
      <c r="BS992" s="182"/>
      <c r="BT992" s="182"/>
      <c r="BU992" s="182"/>
      <c r="BV992" s="182"/>
      <c r="BW992" s="182"/>
      <c r="BX992" s="182"/>
      <c r="BY992" s="182"/>
      <c r="BZ992" s="182"/>
      <c r="CA992" s="182"/>
      <c r="CB992" s="185">
        <f t="shared" si="170"/>
        <v>15373.75</v>
      </c>
      <c r="CC992" s="185">
        <f t="shared" si="173"/>
        <v>0</v>
      </c>
      <c r="CD992" s="185">
        <f t="shared" si="174"/>
        <v>1349</v>
      </c>
      <c r="CE992" s="185"/>
    </row>
    <row r="993" spans="2:83" s="197" customFormat="1" ht="37.5" x14ac:dyDescent="0.3">
      <c r="B993" s="182">
        <v>3270</v>
      </c>
      <c r="C993" s="182">
        <v>1350</v>
      </c>
      <c r="D993" s="182" t="s">
        <v>4624</v>
      </c>
      <c r="E993" s="181" t="s">
        <v>4931</v>
      </c>
      <c r="F993" s="182"/>
      <c r="G993" s="182">
        <v>15023.75</v>
      </c>
      <c r="H993" s="182"/>
      <c r="I993" s="182"/>
      <c r="J993" s="182"/>
      <c r="K993" s="182"/>
      <c r="L993" s="182"/>
      <c r="M993" s="182"/>
      <c r="N993" s="182"/>
      <c r="O993" s="182"/>
      <c r="P993" s="182"/>
      <c r="Q993" s="182"/>
      <c r="R993" s="182"/>
      <c r="S993" s="182"/>
      <c r="T993" s="182"/>
      <c r="U993" s="182"/>
      <c r="V993" s="182"/>
      <c r="W993" s="182"/>
      <c r="X993" s="182"/>
      <c r="Y993" s="182"/>
      <c r="Z993" s="182"/>
      <c r="AA993" s="182"/>
      <c r="AB993" s="182"/>
      <c r="AC993" s="182"/>
      <c r="AD993" s="182"/>
      <c r="AE993" s="182"/>
      <c r="AF993" s="182"/>
      <c r="AG993" s="182"/>
      <c r="AH993" s="182"/>
      <c r="AI993" s="182"/>
      <c r="AJ993" s="182"/>
      <c r="AK993" s="182"/>
      <c r="AL993" s="182"/>
      <c r="AM993" s="182"/>
      <c r="AN993" s="182"/>
      <c r="AO993" s="182"/>
      <c r="AP993" s="182"/>
      <c r="AQ993" s="185">
        <f t="shared" si="169"/>
        <v>15023.75</v>
      </c>
      <c r="AR993" s="182">
        <v>13407.21</v>
      </c>
      <c r="AS993" s="182">
        <v>1616.54</v>
      </c>
      <c r="AT993" s="182"/>
      <c r="AU993" s="182"/>
      <c r="AV993" s="182"/>
      <c r="AW993" s="182"/>
      <c r="AX993" s="182"/>
      <c r="AY993" s="182"/>
      <c r="AZ993" s="182"/>
      <c r="BA993" s="182"/>
      <c r="BB993" s="182"/>
      <c r="BC993" s="182"/>
      <c r="BD993" s="182"/>
      <c r="BE993" s="182"/>
      <c r="BF993" s="182"/>
      <c r="BG993" s="182"/>
      <c r="BH993" s="182"/>
      <c r="BI993" s="182"/>
      <c r="BJ993" s="182"/>
      <c r="BK993" s="182"/>
      <c r="BL993" s="182"/>
      <c r="BM993" s="182"/>
      <c r="BN993" s="182"/>
      <c r="BO993" s="182"/>
      <c r="BP993" s="182"/>
      <c r="BQ993" s="182"/>
      <c r="BR993" s="182"/>
      <c r="BS993" s="182"/>
      <c r="BT993" s="182"/>
      <c r="BU993" s="182"/>
      <c r="BV993" s="182"/>
      <c r="BW993" s="182"/>
      <c r="BX993" s="182"/>
      <c r="BY993" s="182"/>
      <c r="BZ993" s="182"/>
      <c r="CA993" s="182"/>
      <c r="CB993" s="185">
        <f t="shared" si="170"/>
        <v>15023.75</v>
      </c>
      <c r="CC993" s="185">
        <f t="shared" si="173"/>
        <v>0</v>
      </c>
      <c r="CD993" s="185">
        <f t="shared" si="174"/>
        <v>1350</v>
      </c>
      <c r="CE993" s="185"/>
    </row>
    <row r="994" spans="2:83" s="197" customFormat="1" ht="37.5" x14ac:dyDescent="0.3">
      <c r="B994" s="182">
        <v>3275</v>
      </c>
      <c r="C994" s="182">
        <v>1351</v>
      </c>
      <c r="D994" s="182" t="s">
        <v>121</v>
      </c>
      <c r="E994" s="181" t="s">
        <v>4931</v>
      </c>
      <c r="F994" s="182"/>
      <c r="G994" s="182">
        <v>20207.45</v>
      </c>
      <c r="H994" s="182"/>
      <c r="I994" s="182"/>
      <c r="J994" s="182"/>
      <c r="K994" s="182"/>
      <c r="L994" s="182"/>
      <c r="M994" s="182"/>
      <c r="N994" s="182"/>
      <c r="O994" s="182"/>
      <c r="P994" s="182"/>
      <c r="Q994" s="182"/>
      <c r="R994" s="182"/>
      <c r="S994" s="182"/>
      <c r="T994" s="182"/>
      <c r="U994" s="182"/>
      <c r="V994" s="182"/>
      <c r="W994" s="182"/>
      <c r="X994" s="182"/>
      <c r="Y994" s="182"/>
      <c r="Z994" s="182"/>
      <c r="AA994" s="182"/>
      <c r="AB994" s="182"/>
      <c r="AC994" s="182"/>
      <c r="AD994" s="182"/>
      <c r="AE994" s="182"/>
      <c r="AF994" s="182"/>
      <c r="AG994" s="182"/>
      <c r="AH994" s="182"/>
      <c r="AI994" s="182"/>
      <c r="AJ994" s="182"/>
      <c r="AK994" s="182"/>
      <c r="AL994" s="182"/>
      <c r="AM994" s="182"/>
      <c r="AN994" s="182"/>
      <c r="AO994" s="182"/>
      <c r="AP994" s="182"/>
      <c r="AQ994" s="185">
        <f t="shared" si="169"/>
        <v>20207.45</v>
      </c>
      <c r="AR994" s="182">
        <v>18031.39</v>
      </c>
      <c r="AS994" s="182">
        <v>2176.06</v>
      </c>
      <c r="AT994" s="182"/>
      <c r="AU994" s="182"/>
      <c r="AV994" s="182"/>
      <c r="AW994" s="182"/>
      <c r="AX994" s="182"/>
      <c r="AY994" s="182"/>
      <c r="AZ994" s="182"/>
      <c r="BA994" s="182"/>
      <c r="BB994" s="182"/>
      <c r="BC994" s="182"/>
      <c r="BD994" s="182"/>
      <c r="BE994" s="182"/>
      <c r="BF994" s="182"/>
      <c r="BG994" s="182"/>
      <c r="BH994" s="182"/>
      <c r="BI994" s="182"/>
      <c r="BJ994" s="182"/>
      <c r="BK994" s="182"/>
      <c r="BL994" s="182"/>
      <c r="BM994" s="182"/>
      <c r="BN994" s="182"/>
      <c r="BO994" s="182"/>
      <c r="BP994" s="182"/>
      <c r="BQ994" s="182"/>
      <c r="BR994" s="182"/>
      <c r="BS994" s="182"/>
      <c r="BT994" s="182"/>
      <c r="BU994" s="182"/>
      <c r="BV994" s="182"/>
      <c r="BW994" s="182"/>
      <c r="BX994" s="182"/>
      <c r="BY994" s="182"/>
      <c r="BZ994" s="182"/>
      <c r="CA994" s="182"/>
      <c r="CB994" s="185">
        <f t="shared" si="170"/>
        <v>20207.45</v>
      </c>
      <c r="CC994" s="185">
        <f t="shared" si="173"/>
        <v>0</v>
      </c>
      <c r="CD994" s="185">
        <f t="shared" si="174"/>
        <v>1351</v>
      </c>
      <c r="CE994" s="185"/>
    </row>
    <row r="995" spans="2:83" s="197" customFormat="1" ht="37.5" x14ac:dyDescent="0.3">
      <c r="B995" s="182">
        <v>3276</v>
      </c>
      <c r="C995" s="182">
        <v>1352</v>
      </c>
      <c r="D995" s="182" t="str">
        <f>+D992</f>
        <v xml:space="preserve">برنامج دولى </v>
      </c>
      <c r="E995" s="181" t="s">
        <v>4931</v>
      </c>
      <c r="F995" s="182"/>
      <c r="G995" s="182">
        <v>4991.25</v>
      </c>
      <c r="H995" s="182"/>
      <c r="I995" s="182"/>
      <c r="J995" s="182"/>
      <c r="K995" s="182"/>
      <c r="L995" s="182"/>
      <c r="M995" s="182"/>
      <c r="N995" s="182"/>
      <c r="O995" s="182"/>
      <c r="P995" s="182"/>
      <c r="Q995" s="182"/>
      <c r="R995" s="182"/>
      <c r="S995" s="182"/>
      <c r="T995" s="182"/>
      <c r="U995" s="182"/>
      <c r="V995" s="182"/>
      <c r="W995" s="182"/>
      <c r="X995" s="182"/>
      <c r="Y995" s="182"/>
      <c r="Z995" s="182"/>
      <c r="AA995" s="182"/>
      <c r="AB995" s="182"/>
      <c r="AC995" s="182"/>
      <c r="AD995" s="182"/>
      <c r="AE995" s="182"/>
      <c r="AF995" s="182"/>
      <c r="AG995" s="182"/>
      <c r="AH995" s="182"/>
      <c r="AI995" s="182"/>
      <c r="AJ995" s="182"/>
      <c r="AK995" s="182"/>
      <c r="AL995" s="182"/>
      <c r="AM995" s="182"/>
      <c r="AN995" s="182"/>
      <c r="AO995" s="182"/>
      <c r="AP995" s="182"/>
      <c r="AQ995" s="185">
        <f t="shared" si="169"/>
        <v>4991.25</v>
      </c>
      <c r="AR995" s="182">
        <v>4455.0200000000004</v>
      </c>
      <c r="AS995" s="182">
        <v>536.23</v>
      </c>
      <c r="AT995" s="182"/>
      <c r="AU995" s="182"/>
      <c r="AV995" s="182"/>
      <c r="AW995" s="182"/>
      <c r="AX995" s="182"/>
      <c r="AY995" s="182"/>
      <c r="AZ995" s="182"/>
      <c r="BA995" s="182"/>
      <c r="BB995" s="182"/>
      <c r="BC995" s="182"/>
      <c r="BD995" s="182"/>
      <c r="BE995" s="182"/>
      <c r="BF995" s="182"/>
      <c r="BG995" s="182"/>
      <c r="BH995" s="182"/>
      <c r="BI995" s="182"/>
      <c r="BJ995" s="182"/>
      <c r="BK995" s="182"/>
      <c r="BL995" s="182"/>
      <c r="BM995" s="182"/>
      <c r="BN995" s="182"/>
      <c r="BO995" s="182"/>
      <c r="BP995" s="182"/>
      <c r="BQ995" s="182"/>
      <c r="BR995" s="182"/>
      <c r="BS995" s="182"/>
      <c r="BT995" s="182"/>
      <c r="BU995" s="182"/>
      <c r="BV995" s="182"/>
      <c r="BW995" s="182"/>
      <c r="BX995" s="182"/>
      <c r="BY995" s="182"/>
      <c r="BZ995" s="182"/>
      <c r="CA995" s="182"/>
      <c r="CB995" s="185">
        <f t="shared" si="170"/>
        <v>4991.25</v>
      </c>
      <c r="CC995" s="185">
        <f t="shared" si="173"/>
        <v>0</v>
      </c>
      <c r="CD995" s="185">
        <f t="shared" si="174"/>
        <v>1352</v>
      </c>
      <c r="CE995" s="185"/>
    </row>
    <row r="996" spans="2:83" s="197" customFormat="1" ht="37.5" x14ac:dyDescent="0.3">
      <c r="B996" s="182">
        <v>3273</v>
      </c>
      <c r="C996" s="182">
        <v>1353</v>
      </c>
      <c r="D996" s="182" t="s">
        <v>121</v>
      </c>
      <c r="E996" s="181" t="s">
        <v>4931</v>
      </c>
      <c r="F996" s="182"/>
      <c r="G996" s="182">
        <v>5441.25</v>
      </c>
      <c r="H996" s="182"/>
      <c r="I996" s="182"/>
      <c r="J996" s="182"/>
      <c r="K996" s="182"/>
      <c r="L996" s="182"/>
      <c r="M996" s="182"/>
      <c r="N996" s="182"/>
      <c r="O996" s="182"/>
      <c r="P996" s="182"/>
      <c r="Q996" s="182"/>
      <c r="R996" s="182"/>
      <c r="S996" s="182"/>
      <c r="T996" s="182"/>
      <c r="U996" s="182"/>
      <c r="V996" s="182"/>
      <c r="W996" s="182"/>
      <c r="X996" s="182"/>
      <c r="Y996" s="182"/>
      <c r="Z996" s="182"/>
      <c r="AA996" s="182"/>
      <c r="AB996" s="182"/>
      <c r="AC996" s="182"/>
      <c r="AD996" s="182"/>
      <c r="AE996" s="182"/>
      <c r="AF996" s="182"/>
      <c r="AG996" s="182"/>
      <c r="AH996" s="182"/>
      <c r="AI996" s="182"/>
      <c r="AJ996" s="182"/>
      <c r="AK996" s="182"/>
      <c r="AL996" s="182"/>
      <c r="AM996" s="182"/>
      <c r="AN996" s="182"/>
      <c r="AO996" s="182"/>
      <c r="AP996" s="182"/>
      <c r="AQ996" s="185">
        <f t="shared" si="169"/>
        <v>5441.25</v>
      </c>
      <c r="AR996" s="182">
        <v>4853.97</v>
      </c>
      <c r="AS996" s="182">
        <v>587.28</v>
      </c>
      <c r="AT996" s="182"/>
      <c r="AU996" s="182"/>
      <c r="AV996" s="182"/>
      <c r="AW996" s="182"/>
      <c r="AX996" s="182"/>
      <c r="AY996" s="182"/>
      <c r="AZ996" s="182"/>
      <c r="BA996" s="182"/>
      <c r="BB996" s="182"/>
      <c r="BC996" s="182"/>
      <c r="BD996" s="182"/>
      <c r="BE996" s="182"/>
      <c r="BF996" s="182"/>
      <c r="BG996" s="182"/>
      <c r="BH996" s="182"/>
      <c r="BI996" s="182"/>
      <c r="BJ996" s="182"/>
      <c r="BK996" s="182"/>
      <c r="BL996" s="182"/>
      <c r="BM996" s="182"/>
      <c r="BN996" s="182"/>
      <c r="BO996" s="182"/>
      <c r="BP996" s="182"/>
      <c r="BQ996" s="182"/>
      <c r="BR996" s="182"/>
      <c r="BS996" s="182"/>
      <c r="BT996" s="182"/>
      <c r="BU996" s="182"/>
      <c r="BV996" s="182"/>
      <c r="BW996" s="182"/>
      <c r="BX996" s="182"/>
      <c r="BY996" s="182"/>
      <c r="BZ996" s="182"/>
      <c r="CA996" s="182"/>
      <c r="CB996" s="185">
        <f t="shared" si="170"/>
        <v>5441.25</v>
      </c>
      <c r="CC996" s="185">
        <f t="shared" si="173"/>
        <v>0</v>
      </c>
      <c r="CD996" s="185">
        <f t="shared" si="174"/>
        <v>1353</v>
      </c>
      <c r="CE996" s="185"/>
    </row>
    <row r="997" spans="2:83" s="197" customFormat="1" ht="37.5" x14ac:dyDescent="0.3">
      <c r="B997" s="182">
        <v>3278</v>
      </c>
      <c r="C997" s="182">
        <v>1354</v>
      </c>
      <c r="D997" s="182" t="s">
        <v>4624</v>
      </c>
      <c r="E997" s="181" t="s">
        <v>4931</v>
      </c>
      <c r="F997" s="182"/>
      <c r="G997" s="182">
        <v>5041.25</v>
      </c>
      <c r="H997" s="182"/>
      <c r="I997" s="182"/>
      <c r="J997" s="182"/>
      <c r="K997" s="182"/>
      <c r="L997" s="182"/>
      <c r="M997" s="182"/>
      <c r="N997" s="182"/>
      <c r="O997" s="182"/>
      <c r="P997" s="182"/>
      <c r="Q997" s="182"/>
      <c r="R997" s="182"/>
      <c r="S997" s="182"/>
      <c r="T997" s="182"/>
      <c r="U997" s="182"/>
      <c r="V997" s="182"/>
      <c r="W997" s="182"/>
      <c r="X997" s="182"/>
      <c r="Y997" s="182"/>
      <c r="Z997" s="182"/>
      <c r="AA997" s="182"/>
      <c r="AB997" s="182"/>
      <c r="AC997" s="182"/>
      <c r="AD997" s="182"/>
      <c r="AE997" s="182"/>
      <c r="AF997" s="182"/>
      <c r="AG997" s="182"/>
      <c r="AH997" s="182"/>
      <c r="AI997" s="182"/>
      <c r="AJ997" s="182"/>
      <c r="AK997" s="182"/>
      <c r="AL997" s="182"/>
      <c r="AM997" s="182"/>
      <c r="AN997" s="182"/>
      <c r="AO997" s="182"/>
      <c r="AP997" s="182"/>
      <c r="AQ997" s="185">
        <f t="shared" si="169"/>
        <v>5041.25</v>
      </c>
      <c r="AR997" s="182">
        <v>4497.17</v>
      </c>
      <c r="AS997" s="182">
        <v>544.08000000000004</v>
      </c>
      <c r="AT997" s="182"/>
      <c r="AU997" s="182"/>
      <c r="AV997" s="182"/>
      <c r="AW997" s="182"/>
      <c r="AX997" s="182"/>
      <c r="AY997" s="182"/>
      <c r="AZ997" s="182"/>
      <c r="BA997" s="182"/>
      <c r="BB997" s="182"/>
      <c r="BC997" s="182"/>
      <c r="BD997" s="182"/>
      <c r="BE997" s="182"/>
      <c r="BF997" s="182"/>
      <c r="BG997" s="182"/>
      <c r="BH997" s="182"/>
      <c r="BI997" s="182"/>
      <c r="BJ997" s="182"/>
      <c r="BK997" s="182"/>
      <c r="BL997" s="182"/>
      <c r="BM997" s="182"/>
      <c r="BN997" s="182"/>
      <c r="BO997" s="182"/>
      <c r="BP997" s="182"/>
      <c r="BQ997" s="182"/>
      <c r="BR997" s="182"/>
      <c r="BS997" s="182"/>
      <c r="BT997" s="182"/>
      <c r="BU997" s="182"/>
      <c r="BV997" s="182"/>
      <c r="BW997" s="182"/>
      <c r="BX997" s="182"/>
      <c r="BY997" s="182"/>
      <c r="BZ997" s="182"/>
      <c r="CA997" s="182"/>
      <c r="CB997" s="185">
        <f t="shared" si="170"/>
        <v>5041.25</v>
      </c>
      <c r="CC997" s="185">
        <f t="shared" si="173"/>
        <v>0</v>
      </c>
      <c r="CD997" s="185">
        <f t="shared" si="174"/>
        <v>1354</v>
      </c>
      <c r="CE997" s="185"/>
    </row>
    <row r="998" spans="2:83" s="197" customFormat="1" ht="37.5" x14ac:dyDescent="0.3">
      <c r="B998" s="182">
        <v>3277</v>
      </c>
      <c r="C998" s="182">
        <v>1355</v>
      </c>
      <c r="D998" s="182" t="s">
        <v>78</v>
      </c>
      <c r="E998" s="181" t="s">
        <v>4931</v>
      </c>
      <c r="F998" s="182"/>
      <c r="G998" s="182">
        <v>6255</v>
      </c>
      <c r="H998" s="182"/>
      <c r="I998" s="182"/>
      <c r="J998" s="182"/>
      <c r="K998" s="182"/>
      <c r="L998" s="182"/>
      <c r="M998" s="182"/>
      <c r="N998" s="182"/>
      <c r="O998" s="182"/>
      <c r="P998" s="182"/>
      <c r="Q998" s="182"/>
      <c r="R998" s="182"/>
      <c r="S998" s="182"/>
      <c r="T998" s="182"/>
      <c r="U998" s="182"/>
      <c r="V998" s="182"/>
      <c r="W998" s="182"/>
      <c r="X998" s="182"/>
      <c r="Y998" s="182"/>
      <c r="Z998" s="182"/>
      <c r="AA998" s="182"/>
      <c r="AB998" s="182"/>
      <c r="AC998" s="182"/>
      <c r="AD998" s="182"/>
      <c r="AE998" s="182"/>
      <c r="AF998" s="182"/>
      <c r="AG998" s="182"/>
      <c r="AH998" s="182"/>
      <c r="AI998" s="182"/>
      <c r="AJ998" s="182"/>
      <c r="AK998" s="182"/>
      <c r="AL998" s="182"/>
      <c r="AM998" s="182"/>
      <c r="AN998" s="182"/>
      <c r="AO998" s="182"/>
      <c r="AP998" s="182"/>
      <c r="AQ998" s="185">
        <f t="shared" si="169"/>
        <v>6255</v>
      </c>
      <c r="AR998" s="182">
        <v>5579.85</v>
      </c>
      <c r="AS998" s="182">
        <v>675.15</v>
      </c>
      <c r="AT998" s="182"/>
      <c r="AU998" s="182"/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182"/>
      <c r="BK998" s="182"/>
      <c r="BL998" s="182"/>
      <c r="BM998" s="182"/>
      <c r="BN998" s="182"/>
      <c r="BO998" s="182"/>
      <c r="BP998" s="182"/>
      <c r="BQ998" s="182"/>
      <c r="BR998" s="182"/>
      <c r="BS998" s="182"/>
      <c r="BT998" s="182"/>
      <c r="BU998" s="182"/>
      <c r="BV998" s="182"/>
      <c r="BW998" s="182"/>
      <c r="BX998" s="182"/>
      <c r="BY998" s="182"/>
      <c r="BZ998" s="182"/>
      <c r="CA998" s="182"/>
      <c r="CB998" s="185">
        <f t="shared" si="170"/>
        <v>6255</v>
      </c>
      <c r="CC998" s="185">
        <f t="shared" si="173"/>
        <v>0</v>
      </c>
      <c r="CD998" s="185">
        <f t="shared" si="174"/>
        <v>1355</v>
      </c>
      <c r="CE998" s="185"/>
    </row>
    <row r="999" spans="2:83" s="197" customFormat="1" ht="37.5" x14ac:dyDescent="0.3">
      <c r="B999" s="182">
        <v>3271</v>
      </c>
      <c r="C999" s="182">
        <v>1356</v>
      </c>
      <c r="D999" s="182" t="s">
        <v>78</v>
      </c>
      <c r="E999" s="181" t="s">
        <v>4931</v>
      </c>
      <c r="F999" s="182"/>
      <c r="G999" s="182">
        <v>5041.25</v>
      </c>
      <c r="H999" s="182"/>
      <c r="I999" s="182"/>
      <c r="J999" s="182"/>
      <c r="K999" s="182"/>
      <c r="L999" s="182"/>
      <c r="M999" s="182"/>
      <c r="N999" s="182"/>
      <c r="O999" s="182"/>
      <c r="P999" s="182"/>
      <c r="Q999" s="182"/>
      <c r="R999" s="182"/>
      <c r="S999" s="182"/>
      <c r="T999" s="182"/>
      <c r="U999" s="182"/>
      <c r="V999" s="182"/>
      <c r="W999" s="182"/>
      <c r="X999" s="182"/>
      <c r="Y999" s="182"/>
      <c r="Z999" s="182"/>
      <c r="AA999" s="182"/>
      <c r="AB999" s="182"/>
      <c r="AC999" s="182"/>
      <c r="AD999" s="182"/>
      <c r="AE999" s="182"/>
      <c r="AF999" s="182"/>
      <c r="AG999" s="182"/>
      <c r="AH999" s="182"/>
      <c r="AI999" s="182"/>
      <c r="AJ999" s="182"/>
      <c r="AK999" s="182"/>
      <c r="AL999" s="182"/>
      <c r="AM999" s="182"/>
      <c r="AN999" s="182"/>
      <c r="AO999" s="182"/>
      <c r="AP999" s="182"/>
      <c r="AQ999" s="185">
        <f t="shared" si="169"/>
        <v>5041.25</v>
      </c>
      <c r="AR999" s="182">
        <v>4497.17</v>
      </c>
      <c r="AS999" s="182">
        <v>544.08000000000004</v>
      </c>
      <c r="AT999" s="182"/>
      <c r="AU999" s="182"/>
      <c r="AV999" s="182"/>
      <c r="AW999" s="182"/>
      <c r="AX999" s="182"/>
      <c r="AY999" s="182"/>
      <c r="AZ999" s="182"/>
      <c r="BA999" s="182"/>
      <c r="BB999" s="182"/>
      <c r="BC999" s="182"/>
      <c r="BD999" s="182"/>
      <c r="BE999" s="182"/>
      <c r="BF999" s="182"/>
      <c r="BG999" s="182"/>
      <c r="BH999" s="182"/>
      <c r="BI999" s="182"/>
      <c r="BJ999" s="182"/>
      <c r="BK999" s="182"/>
      <c r="BL999" s="182"/>
      <c r="BM999" s="182"/>
      <c r="BN999" s="182"/>
      <c r="BO999" s="182"/>
      <c r="BP999" s="182"/>
      <c r="BQ999" s="182"/>
      <c r="BR999" s="182"/>
      <c r="BS999" s="182"/>
      <c r="BT999" s="182"/>
      <c r="BU999" s="182"/>
      <c r="BV999" s="182"/>
      <c r="BW999" s="182"/>
      <c r="BX999" s="182"/>
      <c r="BY999" s="182"/>
      <c r="BZ999" s="182"/>
      <c r="CA999" s="182"/>
      <c r="CB999" s="185">
        <f t="shared" si="170"/>
        <v>5041.25</v>
      </c>
      <c r="CC999" s="185">
        <f t="shared" si="173"/>
        <v>0</v>
      </c>
      <c r="CD999" s="185">
        <f t="shared" si="174"/>
        <v>1356</v>
      </c>
      <c r="CE999" s="185"/>
    </row>
    <row r="1000" spans="2:83" s="197" customFormat="1" ht="37.5" x14ac:dyDescent="0.3">
      <c r="B1000" s="182">
        <v>3300</v>
      </c>
      <c r="C1000" s="182">
        <v>1357</v>
      </c>
      <c r="D1000" s="182" t="s">
        <v>78</v>
      </c>
      <c r="E1000" s="181" t="s">
        <v>4932</v>
      </c>
      <c r="F1000" s="182"/>
      <c r="G1000" s="182">
        <v>4500</v>
      </c>
      <c r="H1000" s="182"/>
      <c r="I1000" s="182"/>
      <c r="J1000" s="182"/>
      <c r="K1000" s="182"/>
      <c r="L1000" s="182"/>
      <c r="M1000" s="182"/>
      <c r="N1000" s="182"/>
      <c r="O1000" s="182"/>
      <c r="P1000" s="182"/>
      <c r="Q1000" s="182"/>
      <c r="R1000" s="182"/>
      <c r="S1000" s="182"/>
      <c r="T1000" s="182"/>
      <c r="U1000" s="182"/>
      <c r="V1000" s="182"/>
      <c r="W1000" s="182"/>
      <c r="X1000" s="182"/>
      <c r="Y1000" s="182"/>
      <c r="Z1000" s="182"/>
      <c r="AA1000" s="182"/>
      <c r="AB1000" s="182"/>
      <c r="AC1000" s="182"/>
      <c r="AD1000" s="182"/>
      <c r="AE1000" s="182"/>
      <c r="AF1000" s="182"/>
      <c r="AG1000" s="182"/>
      <c r="AH1000" s="182"/>
      <c r="AI1000" s="182"/>
      <c r="AJ1000" s="182"/>
      <c r="AK1000" s="182"/>
      <c r="AL1000" s="182"/>
      <c r="AM1000" s="182"/>
      <c r="AN1000" s="182"/>
      <c r="AO1000" s="182"/>
      <c r="AP1000" s="182"/>
      <c r="AQ1000" s="185">
        <f t="shared" si="169"/>
        <v>4500</v>
      </c>
      <c r="AR1000" s="182">
        <v>4016.6</v>
      </c>
      <c r="AS1000" s="182">
        <v>483.4</v>
      </c>
      <c r="AT1000" s="182"/>
      <c r="AU1000" s="182"/>
      <c r="AV1000" s="182"/>
      <c r="AW1000" s="182"/>
      <c r="AX1000" s="182"/>
      <c r="AY1000" s="182"/>
      <c r="AZ1000" s="182"/>
      <c r="BA1000" s="182"/>
      <c r="BB1000" s="182"/>
      <c r="BC1000" s="182"/>
      <c r="BD1000" s="182"/>
      <c r="BE1000" s="182"/>
      <c r="BF1000" s="182"/>
      <c r="BG1000" s="182"/>
      <c r="BH1000" s="182"/>
      <c r="BI1000" s="182"/>
      <c r="BJ1000" s="182"/>
      <c r="BK1000" s="182"/>
      <c r="BL1000" s="182"/>
      <c r="BM1000" s="182"/>
      <c r="BN1000" s="182"/>
      <c r="BO1000" s="182"/>
      <c r="BP1000" s="182"/>
      <c r="BQ1000" s="182"/>
      <c r="BR1000" s="182"/>
      <c r="BS1000" s="182"/>
      <c r="BT1000" s="182"/>
      <c r="BU1000" s="182"/>
      <c r="BV1000" s="182"/>
      <c r="BW1000" s="182"/>
      <c r="BX1000" s="182"/>
      <c r="BY1000" s="182"/>
      <c r="BZ1000" s="182"/>
      <c r="CA1000" s="182"/>
      <c r="CB1000" s="185">
        <f t="shared" si="170"/>
        <v>4500</v>
      </c>
      <c r="CC1000" s="185">
        <f t="shared" si="173"/>
        <v>0</v>
      </c>
      <c r="CD1000" s="185">
        <f t="shared" si="174"/>
        <v>1357</v>
      </c>
      <c r="CE1000" s="185"/>
    </row>
    <row r="1001" spans="2:83" s="197" customFormat="1" ht="37.5" x14ac:dyDescent="0.3">
      <c r="B1001" s="182">
        <v>3299</v>
      </c>
      <c r="C1001" s="182">
        <v>1358</v>
      </c>
      <c r="D1001" s="182" t="s">
        <v>78</v>
      </c>
      <c r="E1001" s="181" t="s">
        <v>4933</v>
      </c>
      <c r="F1001" s="182"/>
      <c r="G1001" s="182">
        <v>116.08</v>
      </c>
      <c r="H1001" s="182"/>
      <c r="I1001" s="182"/>
      <c r="J1001" s="182"/>
      <c r="K1001" s="182"/>
      <c r="L1001" s="182"/>
      <c r="M1001" s="182"/>
      <c r="N1001" s="182"/>
      <c r="O1001" s="182"/>
      <c r="P1001" s="182"/>
      <c r="Q1001" s="182"/>
      <c r="R1001" s="182"/>
      <c r="S1001" s="182"/>
      <c r="T1001" s="182"/>
      <c r="U1001" s="182"/>
      <c r="V1001" s="182"/>
      <c r="W1001" s="182"/>
      <c r="X1001" s="182"/>
      <c r="Y1001" s="182"/>
      <c r="Z1001" s="182"/>
      <c r="AA1001" s="182"/>
      <c r="AB1001" s="182"/>
      <c r="AC1001" s="182"/>
      <c r="AD1001" s="182"/>
      <c r="AE1001" s="182"/>
      <c r="AF1001" s="182"/>
      <c r="AG1001" s="182"/>
      <c r="AH1001" s="182"/>
      <c r="AI1001" s="182"/>
      <c r="AJ1001" s="182"/>
      <c r="AK1001" s="182"/>
      <c r="AL1001" s="182"/>
      <c r="AM1001" s="182"/>
      <c r="AN1001" s="182"/>
      <c r="AO1001" s="182"/>
      <c r="AP1001" s="182"/>
      <c r="AQ1001" s="185">
        <f t="shared" si="169"/>
        <v>116.08</v>
      </c>
      <c r="AR1001" s="182">
        <v>77.959999999999994</v>
      </c>
      <c r="AS1001" s="182">
        <v>10.15</v>
      </c>
      <c r="AT1001" s="182">
        <v>27.97</v>
      </c>
      <c r="AU1001" s="182"/>
      <c r="AV1001" s="182"/>
      <c r="AW1001" s="182"/>
      <c r="AX1001" s="182"/>
      <c r="AY1001" s="182"/>
      <c r="AZ1001" s="182"/>
      <c r="BA1001" s="182"/>
      <c r="BB1001" s="182"/>
      <c r="BC1001" s="182"/>
      <c r="BD1001" s="182"/>
      <c r="BE1001" s="182"/>
      <c r="BF1001" s="182"/>
      <c r="BG1001" s="182"/>
      <c r="BH1001" s="182"/>
      <c r="BI1001" s="182"/>
      <c r="BJ1001" s="182"/>
      <c r="BK1001" s="182"/>
      <c r="BL1001" s="182"/>
      <c r="BM1001" s="182"/>
      <c r="BN1001" s="182"/>
      <c r="BO1001" s="182"/>
      <c r="BP1001" s="182"/>
      <c r="BQ1001" s="182"/>
      <c r="BR1001" s="182"/>
      <c r="BS1001" s="182"/>
      <c r="BT1001" s="182"/>
      <c r="BU1001" s="182"/>
      <c r="BV1001" s="182"/>
      <c r="BW1001" s="182"/>
      <c r="BX1001" s="182"/>
      <c r="BY1001" s="182"/>
      <c r="BZ1001" s="182"/>
      <c r="CA1001" s="182"/>
      <c r="CB1001" s="185">
        <f t="shared" si="170"/>
        <v>116.08</v>
      </c>
      <c r="CC1001" s="185">
        <f t="shared" si="173"/>
        <v>0</v>
      </c>
      <c r="CD1001" s="185">
        <f t="shared" si="174"/>
        <v>1358</v>
      </c>
      <c r="CE1001" s="185"/>
    </row>
    <row r="1002" spans="2:83" s="197" customFormat="1" ht="37.5" x14ac:dyDescent="0.3">
      <c r="B1002" s="182">
        <v>3214</v>
      </c>
      <c r="C1002" s="182">
        <v>1359</v>
      </c>
      <c r="D1002" s="182" t="s">
        <v>130</v>
      </c>
      <c r="E1002" s="181" t="s">
        <v>4934</v>
      </c>
      <c r="F1002" s="182"/>
      <c r="G1002" s="182">
        <v>293.12</v>
      </c>
      <c r="H1002" s="182"/>
      <c r="I1002" s="182"/>
      <c r="J1002" s="182"/>
      <c r="K1002" s="182"/>
      <c r="L1002" s="182"/>
      <c r="M1002" s="182"/>
      <c r="N1002" s="182"/>
      <c r="O1002" s="182"/>
      <c r="P1002" s="182"/>
      <c r="Q1002" s="182"/>
      <c r="R1002" s="182"/>
      <c r="S1002" s="182"/>
      <c r="T1002" s="182"/>
      <c r="U1002" s="182"/>
      <c r="V1002" s="182"/>
      <c r="W1002" s="182"/>
      <c r="X1002" s="182"/>
      <c r="Y1002" s="182"/>
      <c r="Z1002" s="182"/>
      <c r="AA1002" s="182"/>
      <c r="AB1002" s="182"/>
      <c r="AC1002" s="182"/>
      <c r="AD1002" s="182"/>
      <c r="AE1002" s="182"/>
      <c r="AF1002" s="182"/>
      <c r="AG1002" s="182"/>
      <c r="AH1002" s="182"/>
      <c r="AI1002" s="182"/>
      <c r="AJ1002" s="182"/>
      <c r="AK1002" s="182"/>
      <c r="AL1002" s="182"/>
      <c r="AM1002" s="182"/>
      <c r="AN1002" s="182"/>
      <c r="AO1002" s="182"/>
      <c r="AP1002" s="182"/>
      <c r="AQ1002" s="185">
        <f t="shared" si="169"/>
        <v>293.12</v>
      </c>
      <c r="AR1002" s="182">
        <v>188.06</v>
      </c>
      <c r="AS1002" s="182">
        <v>21.94</v>
      </c>
      <c r="AT1002" s="182">
        <v>70.62</v>
      </c>
      <c r="AU1002" s="182">
        <v>12.5</v>
      </c>
      <c r="AV1002" s="182"/>
      <c r="AW1002" s="182"/>
      <c r="AX1002" s="182"/>
      <c r="AY1002" s="182"/>
      <c r="AZ1002" s="182"/>
      <c r="BA1002" s="182"/>
      <c r="BB1002" s="182"/>
      <c r="BC1002" s="182"/>
      <c r="BD1002" s="182"/>
      <c r="BE1002" s="182"/>
      <c r="BF1002" s="182"/>
      <c r="BG1002" s="182"/>
      <c r="BH1002" s="182"/>
      <c r="BI1002" s="182"/>
      <c r="BJ1002" s="182"/>
      <c r="BK1002" s="182"/>
      <c r="BL1002" s="182"/>
      <c r="BM1002" s="182"/>
      <c r="BN1002" s="182"/>
      <c r="BO1002" s="182"/>
      <c r="BP1002" s="182"/>
      <c r="BQ1002" s="182"/>
      <c r="BR1002" s="182"/>
      <c r="BS1002" s="182"/>
      <c r="BT1002" s="182"/>
      <c r="BU1002" s="182"/>
      <c r="BV1002" s="182"/>
      <c r="BW1002" s="182"/>
      <c r="BX1002" s="182"/>
      <c r="BY1002" s="182"/>
      <c r="BZ1002" s="182"/>
      <c r="CA1002" s="182"/>
      <c r="CB1002" s="185">
        <f t="shared" si="170"/>
        <v>293.12</v>
      </c>
      <c r="CC1002" s="185">
        <f t="shared" si="173"/>
        <v>0</v>
      </c>
      <c r="CD1002" s="185">
        <f t="shared" si="174"/>
        <v>1359</v>
      </c>
      <c r="CE1002" s="185"/>
    </row>
    <row r="1003" spans="2:83" s="197" customFormat="1" ht="37.5" x14ac:dyDescent="0.3">
      <c r="B1003" s="182">
        <v>3215</v>
      </c>
      <c r="C1003" s="182">
        <v>1360</v>
      </c>
      <c r="D1003" s="182" t="s">
        <v>130</v>
      </c>
      <c r="E1003" s="181" t="s">
        <v>4934</v>
      </c>
      <c r="F1003" s="182"/>
      <c r="G1003" s="182">
        <v>762.12</v>
      </c>
      <c r="H1003" s="182"/>
      <c r="I1003" s="182"/>
      <c r="J1003" s="182"/>
      <c r="K1003" s="182"/>
      <c r="L1003" s="182"/>
      <c r="M1003" s="182"/>
      <c r="N1003" s="182"/>
      <c r="O1003" s="182"/>
      <c r="P1003" s="182"/>
      <c r="Q1003" s="182"/>
      <c r="R1003" s="182"/>
      <c r="S1003" s="182"/>
      <c r="T1003" s="182"/>
      <c r="U1003" s="182"/>
      <c r="V1003" s="182"/>
      <c r="W1003" s="182"/>
      <c r="X1003" s="182"/>
      <c r="Y1003" s="182"/>
      <c r="Z1003" s="182"/>
      <c r="AA1003" s="182"/>
      <c r="AB1003" s="182"/>
      <c r="AC1003" s="182"/>
      <c r="AD1003" s="182"/>
      <c r="AE1003" s="182"/>
      <c r="AF1003" s="182"/>
      <c r="AG1003" s="182"/>
      <c r="AH1003" s="182"/>
      <c r="AI1003" s="182"/>
      <c r="AJ1003" s="182"/>
      <c r="AK1003" s="182"/>
      <c r="AL1003" s="182"/>
      <c r="AM1003" s="182"/>
      <c r="AN1003" s="182"/>
      <c r="AO1003" s="182"/>
      <c r="AP1003" s="182"/>
      <c r="AQ1003" s="185">
        <f t="shared" si="169"/>
        <v>762.12</v>
      </c>
      <c r="AR1003" s="182">
        <v>526.34</v>
      </c>
      <c r="AS1003" s="182">
        <v>19.66</v>
      </c>
      <c r="AT1003" s="182">
        <v>183.62</v>
      </c>
      <c r="AU1003" s="182">
        <v>32.5</v>
      </c>
      <c r="AV1003" s="182"/>
      <c r="AW1003" s="182"/>
      <c r="AX1003" s="182"/>
      <c r="AY1003" s="182"/>
      <c r="AZ1003" s="182"/>
      <c r="BA1003" s="182"/>
      <c r="BB1003" s="182"/>
      <c r="BC1003" s="182"/>
      <c r="BD1003" s="182"/>
      <c r="BE1003" s="182"/>
      <c r="BF1003" s="182"/>
      <c r="BG1003" s="182"/>
      <c r="BH1003" s="182"/>
      <c r="BI1003" s="182"/>
      <c r="BJ1003" s="182"/>
      <c r="BK1003" s="182"/>
      <c r="BL1003" s="182"/>
      <c r="BM1003" s="182"/>
      <c r="BN1003" s="182"/>
      <c r="BO1003" s="182"/>
      <c r="BP1003" s="182"/>
      <c r="BQ1003" s="182"/>
      <c r="BR1003" s="182"/>
      <c r="BS1003" s="182"/>
      <c r="BT1003" s="182"/>
      <c r="BU1003" s="182"/>
      <c r="BV1003" s="182"/>
      <c r="BW1003" s="182"/>
      <c r="BX1003" s="182"/>
      <c r="BY1003" s="182"/>
      <c r="BZ1003" s="182"/>
      <c r="CA1003" s="182"/>
      <c r="CB1003" s="185">
        <f t="shared" si="170"/>
        <v>762.12</v>
      </c>
      <c r="CC1003" s="185">
        <f t="shared" si="173"/>
        <v>0</v>
      </c>
      <c r="CD1003" s="185">
        <f t="shared" si="174"/>
        <v>1360</v>
      </c>
      <c r="CE1003" s="185"/>
    </row>
    <row r="1004" spans="2:83" s="197" customFormat="1" ht="37.5" x14ac:dyDescent="0.3">
      <c r="B1004" s="182">
        <v>3213</v>
      </c>
      <c r="C1004" s="182">
        <v>1361</v>
      </c>
      <c r="D1004" s="182" t="s">
        <v>130</v>
      </c>
      <c r="E1004" s="181" t="s">
        <v>856</v>
      </c>
      <c r="F1004" s="182"/>
      <c r="G1004" s="182">
        <v>996.62</v>
      </c>
      <c r="H1004" s="182"/>
      <c r="I1004" s="182"/>
      <c r="J1004" s="182"/>
      <c r="K1004" s="182"/>
      <c r="L1004" s="182"/>
      <c r="M1004" s="182"/>
      <c r="N1004" s="182"/>
      <c r="O1004" s="182"/>
      <c r="P1004" s="182"/>
      <c r="Q1004" s="182"/>
      <c r="R1004" s="182"/>
      <c r="S1004" s="182"/>
      <c r="T1004" s="182"/>
      <c r="U1004" s="182"/>
      <c r="V1004" s="182"/>
      <c r="W1004" s="182"/>
      <c r="X1004" s="182"/>
      <c r="Y1004" s="182"/>
      <c r="Z1004" s="182"/>
      <c r="AA1004" s="182"/>
      <c r="AB1004" s="182"/>
      <c r="AC1004" s="182"/>
      <c r="AD1004" s="182"/>
      <c r="AE1004" s="182"/>
      <c r="AF1004" s="182"/>
      <c r="AG1004" s="182"/>
      <c r="AH1004" s="182"/>
      <c r="AI1004" s="182"/>
      <c r="AJ1004" s="182"/>
      <c r="AK1004" s="182"/>
      <c r="AL1004" s="182"/>
      <c r="AM1004" s="182"/>
      <c r="AN1004" s="182"/>
      <c r="AO1004" s="182"/>
      <c r="AP1004" s="182"/>
      <c r="AQ1004" s="185">
        <f t="shared" si="169"/>
        <v>996.62</v>
      </c>
      <c r="AR1004" s="182">
        <v>638.15</v>
      </c>
      <c r="AS1004" s="182">
        <v>75.849999999999994</v>
      </c>
      <c r="AT1004" s="182">
        <v>240.12</v>
      </c>
      <c r="AU1004" s="182">
        <v>42.5</v>
      </c>
      <c r="AV1004" s="182"/>
      <c r="AW1004" s="182"/>
      <c r="AX1004" s="182"/>
      <c r="AY1004" s="182"/>
      <c r="AZ1004" s="182"/>
      <c r="BA1004" s="182"/>
      <c r="BB1004" s="182"/>
      <c r="BC1004" s="182"/>
      <c r="BD1004" s="182"/>
      <c r="BE1004" s="182"/>
      <c r="BF1004" s="182"/>
      <c r="BG1004" s="182"/>
      <c r="BH1004" s="182"/>
      <c r="BI1004" s="182"/>
      <c r="BJ1004" s="182"/>
      <c r="BK1004" s="182"/>
      <c r="BL1004" s="182"/>
      <c r="BM1004" s="182"/>
      <c r="BN1004" s="182"/>
      <c r="BO1004" s="182"/>
      <c r="BP1004" s="182"/>
      <c r="BQ1004" s="182"/>
      <c r="BR1004" s="182"/>
      <c r="BS1004" s="182"/>
      <c r="BT1004" s="182"/>
      <c r="BU1004" s="182"/>
      <c r="BV1004" s="182"/>
      <c r="BW1004" s="182"/>
      <c r="BX1004" s="182"/>
      <c r="BY1004" s="182"/>
      <c r="BZ1004" s="182"/>
      <c r="CA1004" s="182"/>
      <c r="CB1004" s="185">
        <f t="shared" si="170"/>
        <v>996.62</v>
      </c>
      <c r="CC1004" s="185">
        <f t="shared" si="173"/>
        <v>0</v>
      </c>
      <c r="CD1004" s="185">
        <f t="shared" si="174"/>
        <v>1361</v>
      </c>
      <c r="CE1004" s="185"/>
    </row>
    <row r="1005" spans="2:83" s="197" customFormat="1" ht="18.75" x14ac:dyDescent="0.3">
      <c r="B1005" s="185"/>
      <c r="C1005" s="185"/>
      <c r="D1005" s="185"/>
      <c r="E1005" s="184" t="s">
        <v>4935</v>
      </c>
      <c r="F1005" s="185"/>
      <c r="G1005" s="185">
        <f t="shared" ref="G1005:AL1005" si="175">SUM(G957:G1004)</f>
        <v>411015.18</v>
      </c>
      <c r="H1005" s="185">
        <f t="shared" si="175"/>
        <v>0</v>
      </c>
      <c r="I1005" s="185">
        <f t="shared" si="175"/>
        <v>0</v>
      </c>
      <c r="J1005" s="185">
        <f t="shared" si="175"/>
        <v>0</v>
      </c>
      <c r="K1005" s="185">
        <f t="shared" si="175"/>
        <v>0</v>
      </c>
      <c r="L1005" s="185">
        <f t="shared" si="175"/>
        <v>0</v>
      </c>
      <c r="M1005" s="185">
        <f t="shared" si="175"/>
        <v>0</v>
      </c>
      <c r="N1005" s="185">
        <f t="shared" si="175"/>
        <v>0</v>
      </c>
      <c r="O1005" s="185">
        <f t="shared" si="175"/>
        <v>0</v>
      </c>
      <c r="P1005" s="185">
        <f t="shared" si="175"/>
        <v>0</v>
      </c>
      <c r="Q1005" s="185">
        <f t="shared" si="175"/>
        <v>0</v>
      </c>
      <c r="R1005" s="185">
        <f t="shared" si="175"/>
        <v>0</v>
      </c>
      <c r="S1005" s="185">
        <f t="shared" si="175"/>
        <v>0</v>
      </c>
      <c r="T1005" s="185">
        <f t="shared" si="175"/>
        <v>0</v>
      </c>
      <c r="U1005" s="185">
        <f t="shared" si="175"/>
        <v>0</v>
      </c>
      <c r="V1005" s="185">
        <f t="shared" si="175"/>
        <v>0</v>
      </c>
      <c r="W1005" s="185">
        <f t="shared" si="175"/>
        <v>0</v>
      </c>
      <c r="X1005" s="185">
        <f t="shared" si="175"/>
        <v>0</v>
      </c>
      <c r="Y1005" s="185">
        <f t="shared" si="175"/>
        <v>0</v>
      </c>
      <c r="Z1005" s="185">
        <f t="shared" si="175"/>
        <v>0</v>
      </c>
      <c r="AA1005" s="185">
        <f t="shared" si="175"/>
        <v>0</v>
      </c>
      <c r="AB1005" s="185">
        <f t="shared" si="175"/>
        <v>0</v>
      </c>
      <c r="AC1005" s="185">
        <f t="shared" si="175"/>
        <v>0</v>
      </c>
      <c r="AD1005" s="185">
        <f t="shared" si="175"/>
        <v>0</v>
      </c>
      <c r="AE1005" s="185">
        <f t="shared" si="175"/>
        <v>0</v>
      </c>
      <c r="AF1005" s="185">
        <f t="shared" si="175"/>
        <v>0</v>
      </c>
      <c r="AG1005" s="185">
        <f t="shared" si="175"/>
        <v>0</v>
      </c>
      <c r="AH1005" s="185">
        <f t="shared" si="175"/>
        <v>0</v>
      </c>
      <c r="AI1005" s="185">
        <f t="shared" si="175"/>
        <v>0</v>
      </c>
      <c r="AJ1005" s="185">
        <f t="shared" si="175"/>
        <v>0</v>
      </c>
      <c r="AK1005" s="185">
        <f t="shared" si="175"/>
        <v>0</v>
      </c>
      <c r="AL1005" s="185">
        <f t="shared" si="175"/>
        <v>0</v>
      </c>
      <c r="AM1005" s="185">
        <f t="shared" ref="AM1005:BR1005" si="176">SUM(AM957:AM1004)</f>
        <v>0</v>
      </c>
      <c r="AN1005" s="185">
        <f t="shared" si="176"/>
        <v>0</v>
      </c>
      <c r="AO1005" s="185">
        <f t="shared" si="176"/>
        <v>0</v>
      </c>
      <c r="AP1005" s="185">
        <f t="shared" si="176"/>
        <v>0</v>
      </c>
      <c r="AQ1005" s="185">
        <f t="shared" si="176"/>
        <v>411015.18</v>
      </c>
      <c r="AR1005" s="185">
        <f t="shared" si="176"/>
        <v>350377.18000000011</v>
      </c>
      <c r="AS1005" s="185">
        <f t="shared" si="176"/>
        <v>42949.35000000002</v>
      </c>
      <c r="AT1005" s="185">
        <f t="shared" si="176"/>
        <v>17601.150000000001</v>
      </c>
      <c r="AU1005" s="185">
        <f t="shared" si="176"/>
        <v>87.5</v>
      </c>
      <c r="AV1005" s="185">
        <f t="shared" si="176"/>
        <v>0</v>
      </c>
      <c r="AW1005" s="185">
        <f t="shared" si="176"/>
        <v>0</v>
      </c>
      <c r="AX1005" s="185">
        <f t="shared" si="176"/>
        <v>0</v>
      </c>
      <c r="AY1005" s="185">
        <f t="shared" si="176"/>
        <v>0</v>
      </c>
      <c r="AZ1005" s="185">
        <f t="shared" si="176"/>
        <v>0</v>
      </c>
      <c r="BA1005" s="185">
        <f t="shared" si="176"/>
        <v>0</v>
      </c>
      <c r="BB1005" s="185">
        <f t="shared" si="176"/>
        <v>0</v>
      </c>
      <c r="BC1005" s="185">
        <f t="shared" si="176"/>
        <v>0</v>
      </c>
      <c r="BD1005" s="185">
        <f t="shared" si="176"/>
        <v>0</v>
      </c>
      <c r="BE1005" s="185">
        <f t="shared" si="176"/>
        <v>0</v>
      </c>
      <c r="BF1005" s="185">
        <f t="shared" si="176"/>
        <v>0</v>
      </c>
      <c r="BG1005" s="185">
        <f t="shared" si="176"/>
        <v>0</v>
      </c>
      <c r="BH1005" s="185">
        <f t="shared" si="176"/>
        <v>0</v>
      </c>
      <c r="BI1005" s="185">
        <f t="shared" si="176"/>
        <v>0</v>
      </c>
      <c r="BJ1005" s="185">
        <f t="shared" si="176"/>
        <v>0</v>
      </c>
      <c r="BK1005" s="185">
        <f t="shared" si="176"/>
        <v>0</v>
      </c>
      <c r="BL1005" s="185">
        <f t="shared" si="176"/>
        <v>0</v>
      </c>
      <c r="BM1005" s="185">
        <f t="shared" si="176"/>
        <v>0</v>
      </c>
      <c r="BN1005" s="185">
        <f t="shared" si="176"/>
        <v>0</v>
      </c>
      <c r="BO1005" s="185">
        <f t="shared" si="176"/>
        <v>0</v>
      </c>
      <c r="BP1005" s="185">
        <f t="shared" si="176"/>
        <v>0</v>
      </c>
      <c r="BQ1005" s="185">
        <f t="shared" si="176"/>
        <v>0</v>
      </c>
      <c r="BR1005" s="185">
        <f t="shared" si="176"/>
        <v>0</v>
      </c>
      <c r="BS1005" s="185">
        <f t="shared" ref="BS1005:CB1005" si="177">SUM(BS957:BS1004)</f>
        <v>0</v>
      </c>
      <c r="BT1005" s="185">
        <f t="shared" si="177"/>
        <v>0</v>
      </c>
      <c r="BU1005" s="185">
        <f t="shared" si="177"/>
        <v>0</v>
      </c>
      <c r="BV1005" s="185">
        <f t="shared" si="177"/>
        <v>0</v>
      </c>
      <c r="BW1005" s="185">
        <f t="shared" si="177"/>
        <v>0</v>
      </c>
      <c r="BX1005" s="185">
        <f t="shared" si="177"/>
        <v>0</v>
      </c>
      <c r="BY1005" s="185">
        <f t="shared" si="177"/>
        <v>0</v>
      </c>
      <c r="BZ1005" s="185">
        <f t="shared" si="177"/>
        <v>0</v>
      </c>
      <c r="CA1005" s="185">
        <f t="shared" si="177"/>
        <v>0</v>
      </c>
      <c r="CB1005" s="185">
        <f t="shared" si="177"/>
        <v>411015.18</v>
      </c>
      <c r="CC1005" s="185">
        <f t="shared" si="173"/>
        <v>0</v>
      </c>
      <c r="CD1005" s="185">
        <f t="shared" si="174"/>
        <v>0</v>
      </c>
      <c r="CE1005" s="185"/>
    </row>
    <row r="1006" spans="2:83" s="197" customFormat="1" ht="37.5" x14ac:dyDescent="0.3">
      <c r="B1006" s="182"/>
      <c r="C1006" s="182"/>
      <c r="D1006" s="182" t="s">
        <v>4936</v>
      </c>
      <c r="E1006" s="181" t="s">
        <v>4937</v>
      </c>
      <c r="F1006" s="182"/>
      <c r="G1006" s="182"/>
      <c r="H1006" s="182"/>
      <c r="I1006" s="182"/>
      <c r="J1006" s="182"/>
      <c r="K1006" s="182"/>
      <c r="L1006" s="182"/>
      <c r="M1006" s="182"/>
      <c r="N1006" s="182"/>
      <c r="O1006" s="182"/>
      <c r="P1006" s="182">
        <v>10000</v>
      </c>
      <c r="Q1006" s="182"/>
      <c r="R1006" s="182"/>
      <c r="S1006" s="182"/>
      <c r="T1006" s="182"/>
      <c r="U1006" s="182"/>
      <c r="V1006" s="182"/>
      <c r="W1006" s="182"/>
      <c r="X1006" s="182"/>
      <c r="Y1006" s="182"/>
      <c r="Z1006" s="182"/>
      <c r="AA1006" s="182"/>
      <c r="AB1006" s="182"/>
      <c r="AC1006" s="182"/>
      <c r="AD1006" s="182"/>
      <c r="AE1006" s="182"/>
      <c r="AF1006" s="182"/>
      <c r="AG1006" s="182"/>
      <c r="AH1006" s="182"/>
      <c r="AI1006" s="182"/>
      <c r="AJ1006" s="182"/>
      <c r="AK1006" s="182"/>
      <c r="AL1006" s="182"/>
      <c r="AM1006" s="182"/>
      <c r="AN1006" s="182"/>
      <c r="AO1006" s="182"/>
      <c r="AP1006" s="182"/>
      <c r="AQ1006" s="185">
        <f>SUM(G1006:AP1006)</f>
        <v>10000</v>
      </c>
      <c r="AR1006" s="182"/>
      <c r="AS1006" s="182"/>
      <c r="AT1006" s="182"/>
      <c r="AU1006" s="182"/>
      <c r="AV1006" s="182"/>
      <c r="AW1006" s="182"/>
      <c r="AX1006" s="182"/>
      <c r="AY1006" s="182"/>
      <c r="AZ1006" s="182"/>
      <c r="BA1006" s="182"/>
      <c r="BB1006" s="182"/>
      <c r="BC1006" s="182"/>
      <c r="BD1006" s="182"/>
      <c r="BE1006" s="182"/>
      <c r="BF1006" s="182"/>
      <c r="BG1006" s="182"/>
      <c r="BH1006" s="182"/>
      <c r="BI1006" s="182"/>
      <c r="BJ1006" s="182"/>
      <c r="BK1006" s="182"/>
      <c r="BL1006" s="182"/>
      <c r="BM1006" s="182"/>
      <c r="BN1006" s="182">
        <v>10000</v>
      </c>
      <c r="BO1006" s="182"/>
      <c r="BP1006" s="182"/>
      <c r="BQ1006" s="182"/>
      <c r="BR1006" s="182"/>
      <c r="BS1006" s="182"/>
      <c r="BT1006" s="182"/>
      <c r="BU1006" s="182"/>
      <c r="BV1006" s="182"/>
      <c r="BW1006" s="182"/>
      <c r="BX1006" s="182"/>
      <c r="BY1006" s="182"/>
      <c r="BZ1006" s="182"/>
      <c r="CA1006" s="182"/>
      <c r="CB1006" s="185">
        <f>SUM(AR1006:CA1006)</f>
        <v>10000</v>
      </c>
      <c r="CC1006" s="185">
        <f t="shared" si="173"/>
        <v>0</v>
      </c>
      <c r="CD1006" s="185">
        <f t="shared" si="174"/>
        <v>0</v>
      </c>
      <c r="CE1006" s="185" t="e">
        <f>+#REF!</f>
        <v>#REF!</v>
      </c>
    </row>
    <row r="1007" spans="2:83" s="197" customFormat="1" ht="37.5" x14ac:dyDescent="0.3">
      <c r="B1007" s="182"/>
      <c r="C1007" s="182"/>
      <c r="D1007" s="182" t="s">
        <v>4936</v>
      </c>
      <c r="E1007" s="181" t="s">
        <v>2640</v>
      </c>
      <c r="F1007" s="182"/>
      <c r="G1007" s="182"/>
      <c r="H1007" s="182"/>
      <c r="I1007" s="182"/>
      <c r="J1007" s="182"/>
      <c r="K1007" s="182"/>
      <c r="L1007" s="182"/>
      <c r="M1007" s="182"/>
      <c r="N1007" s="182"/>
      <c r="O1007" s="182"/>
      <c r="P1007" s="182">
        <v>7000</v>
      </c>
      <c r="Q1007" s="182"/>
      <c r="R1007" s="182"/>
      <c r="S1007" s="182"/>
      <c r="T1007" s="182"/>
      <c r="U1007" s="182"/>
      <c r="V1007" s="182"/>
      <c r="W1007" s="182"/>
      <c r="X1007" s="182"/>
      <c r="Y1007" s="182"/>
      <c r="Z1007" s="182"/>
      <c r="AA1007" s="182"/>
      <c r="AB1007" s="182"/>
      <c r="AC1007" s="182"/>
      <c r="AD1007" s="182"/>
      <c r="AE1007" s="182"/>
      <c r="AF1007" s="182"/>
      <c r="AG1007" s="182"/>
      <c r="AH1007" s="182"/>
      <c r="AI1007" s="182"/>
      <c r="AJ1007" s="182"/>
      <c r="AK1007" s="182"/>
      <c r="AL1007" s="182"/>
      <c r="AM1007" s="182"/>
      <c r="AN1007" s="182"/>
      <c r="AO1007" s="182"/>
      <c r="AP1007" s="182"/>
      <c r="AQ1007" s="185">
        <f>SUM(G1007:AP1007)</f>
        <v>7000</v>
      </c>
      <c r="AR1007" s="182"/>
      <c r="AS1007" s="182"/>
      <c r="AT1007" s="182"/>
      <c r="AU1007" s="182"/>
      <c r="AV1007" s="182"/>
      <c r="AW1007" s="182"/>
      <c r="AX1007" s="182"/>
      <c r="AY1007" s="182"/>
      <c r="AZ1007" s="182"/>
      <c r="BA1007" s="182"/>
      <c r="BB1007" s="182"/>
      <c r="BC1007" s="182"/>
      <c r="BD1007" s="182"/>
      <c r="BE1007" s="182"/>
      <c r="BF1007" s="182"/>
      <c r="BG1007" s="182"/>
      <c r="BH1007" s="182"/>
      <c r="BI1007" s="182"/>
      <c r="BJ1007" s="182"/>
      <c r="BK1007" s="182"/>
      <c r="BL1007" s="182"/>
      <c r="BM1007" s="182"/>
      <c r="BN1007" s="182">
        <v>7000</v>
      </c>
      <c r="BO1007" s="182"/>
      <c r="BP1007" s="182"/>
      <c r="BQ1007" s="182"/>
      <c r="BR1007" s="182"/>
      <c r="BS1007" s="182"/>
      <c r="BT1007" s="182"/>
      <c r="BU1007" s="182"/>
      <c r="BV1007" s="182"/>
      <c r="BW1007" s="182"/>
      <c r="BX1007" s="182"/>
      <c r="BY1007" s="182"/>
      <c r="BZ1007" s="182"/>
      <c r="CA1007" s="182"/>
      <c r="CB1007" s="185">
        <f>SUM(AR1007:CA1007)</f>
        <v>7000</v>
      </c>
      <c r="CC1007" s="185">
        <f t="shared" si="173"/>
        <v>0</v>
      </c>
      <c r="CD1007" s="185">
        <f t="shared" si="174"/>
        <v>0</v>
      </c>
      <c r="CE1007" s="185" t="e">
        <f>+#REF!</f>
        <v>#REF!</v>
      </c>
    </row>
    <row r="1008" spans="2:83" s="197" customFormat="1" ht="56.25" x14ac:dyDescent="0.3">
      <c r="B1008" s="182"/>
      <c r="C1008" s="182"/>
      <c r="D1008" s="182" t="s">
        <v>122</v>
      </c>
      <c r="E1008" s="181" t="s">
        <v>4938</v>
      </c>
      <c r="F1008" s="182"/>
      <c r="G1008" s="182"/>
      <c r="H1008" s="182"/>
      <c r="I1008" s="182"/>
      <c r="J1008" s="182"/>
      <c r="K1008" s="182"/>
      <c r="L1008" s="182"/>
      <c r="M1008" s="182"/>
      <c r="N1008" s="182"/>
      <c r="O1008" s="182"/>
      <c r="P1008" s="182"/>
      <c r="Q1008" s="182"/>
      <c r="R1008" s="182"/>
      <c r="S1008" s="182"/>
      <c r="T1008" s="182"/>
      <c r="U1008" s="182"/>
      <c r="V1008" s="182"/>
      <c r="W1008" s="182"/>
      <c r="X1008" s="182"/>
      <c r="Y1008" s="182"/>
      <c r="Z1008" s="182"/>
      <c r="AA1008" s="182"/>
      <c r="AB1008" s="182"/>
      <c r="AC1008" s="182"/>
      <c r="AD1008" s="182"/>
      <c r="AE1008" s="182"/>
      <c r="AF1008" s="182"/>
      <c r="AG1008" s="182"/>
      <c r="AH1008" s="182"/>
      <c r="AI1008" s="182"/>
      <c r="AJ1008" s="182"/>
      <c r="AK1008" s="182"/>
      <c r="AL1008" s="182"/>
      <c r="AM1008" s="182"/>
      <c r="AN1008" s="182"/>
      <c r="AO1008" s="182"/>
      <c r="AP1008" s="182">
        <v>400</v>
      </c>
      <c r="AQ1008" s="185">
        <f>SUM(G1008:AP1008)</f>
        <v>400</v>
      </c>
      <c r="AR1008" s="182"/>
      <c r="AS1008" s="182"/>
      <c r="AT1008" s="182"/>
      <c r="AU1008" s="182"/>
      <c r="AV1008" s="182"/>
      <c r="AW1008" s="182"/>
      <c r="AX1008" s="182"/>
      <c r="AY1008" s="182"/>
      <c r="AZ1008" s="182"/>
      <c r="BA1008" s="182"/>
      <c r="BB1008" s="182"/>
      <c r="BC1008" s="182"/>
      <c r="BD1008" s="182"/>
      <c r="BE1008" s="182"/>
      <c r="BF1008" s="182"/>
      <c r="BG1008" s="182"/>
      <c r="BH1008" s="182"/>
      <c r="BI1008" s="182"/>
      <c r="BJ1008" s="182"/>
      <c r="BK1008" s="182"/>
      <c r="BL1008" s="182"/>
      <c r="BM1008" s="182"/>
      <c r="BN1008" s="182"/>
      <c r="BO1008" s="182"/>
      <c r="BP1008" s="182"/>
      <c r="BQ1008" s="182"/>
      <c r="BR1008" s="182"/>
      <c r="BS1008" s="182"/>
      <c r="BT1008" s="182"/>
      <c r="BU1008" s="182"/>
      <c r="BV1008" s="182"/>
      <c r="BW1008" s="182"/>
      <c r="BX1008" s="182"/>
      <c r="BY1008" s="182"/>
      <c r="BZ1008" s="182"/>
      <c r="CA1008" s="182">
        <v>400</v>
      </c>
      <c r="CB1008" s="185">
        <f>SUM(AR1008:CA1008)</f>
        <v>400</v>
      </c>
      <c r="CC1008" s="185">
        <f t="shared" si="173"/>
        <v>0</v>
      </c>
      <c r="CD1008" s="185">
        <f t="shared" si="174"/>
        <v>0</v>
      </c>
      <c r="CE1008" s="185" t="e">
        <f>+#REF!</f>
        <v>#REF!</v>
      </c>
    </row>
    <row r="1009" spans="2:83" s="197" customFormat="1" ht="37.5" x14ac:dyDescent="0.3">
      <c r="B1009" s="182"/>
      <c r="C1009" s="182"/>
      <c r="D1009" s="182" t="s">
        <v>4683</v>
      </c>
      <c r="E1009" s="181" t="s">
        <v>4939</v>
      </c>
      <c r="F1009" s="182"/>
      <c r="G1009" s="182"/>
      <c r="H1009" s="182"/>
      <c r="I1009" s="182"/>
      <c r="J1009" s="182"/>
      <c r="K1009" s="182"/>
      <c r="L1009" s="182"/>
      <c r="M1009" s="182"/>
      <c r="N1009" s="182"/>
      <c r="O1009" s="182"/>
      <c r="P1009" s="182"/>
      <c r="Q1009" s="182"/>
      <c r="R1009" s="182"/>
      <c r="S1009" s="182"/>
      <c r="T1009" s="182"/>
      <c r="U1009" s="182"/>
      <c r="V1009" s="182"/>
      <c r="W1009" s="182"/>
      <c r="X1009" s="182"/>
      <c r="Y1009" s="182"/>
      <c r="Z1009" s="182"/>
      <c r="AA1009" s="182"/>
      <c r="AB1009" s="182"/>
      <c r="AC1009" s="182"/>
      <c r="AD1009" s="182"/>
      <c r="AE1009" s="182"/>
      <c r="AF1009" s="182"/>
      <c r="AG1009" s="182"/>
      <c r="AH1009" s="182"/>
      <c r="AI1009" s="182"/>
      <c r="AJ1009" s="182"/>
      <c r="AK1009" s="182"/>
      <c r="AL1009" s="182"/>
      <c r="AM1009" s="182"/>
      <c r="AN1009" s="182"/>
      <c r="AO1009" s="182"/>
      <c r="AP1009" s="182">
        <v>5465</v>
      </c>
      <c r="AQ1009" s="185">
        <f>SUM(G1009:AP1009)</f>
        <v>5465</v>
      </c>
      <c r="AR1009" s="182"/>
      <c r="AS1009" s="182"/>
      <c r="AT1009" s="182"/>
      <c r="AU1009" s="182"/>
      <c r="AV1009" s="182"/>
      <c r="AW1009" s="182"/>
      <c r="AX1009" s="182"/>
      <c r="AY1009" s="182"/>
      <c r="AZ1009" s="182"/>
      <c r="BA1009" s="182"/>
      <c r="BB1009" s="182"/>
      <c r="BC1009" s="182"/>
      <c r="BD1009" s="182"/>
      <c r="BE1009" s="182"/>
      <c r="BF1009" s="182"/>
      <c r="BG1009" s="182"/>
      <c r="BH1009" s="182"/>
      <c r="BI1009" s="182"/>
      <c r="BJ1009" s="182"/>
      <c r="BK1009" s="182"/>
      <c r="BL1009" s="182"/>
      <c r="BM1009" s="182"/>
      <c r="BN1009" s="182"/>
      <c r="BO1009" s="182"/>
      <c r="BP1009" s="182"/>
      <c r="BQ1009" s="182"/>
      <c r="BR1009" s="182"/>
      <c r="BS1009" s="182"/>
      <c r="BT1009" s="182"/>
      <c r="BU1009" s="182"/>
      <c r="BV1009" s="182"/>
      <c r="BW1009" s="182"/>
      <c r="BX1009" s="182"/>
      <c r="BY1009" s="182"/>
      <c r="BZ1009" s="182"/>
      <c r="CA1009" s="182">
        <v>5465</v>
      </c>
      <c r="CB1009" s="185">
        <f>SUM(AR1009:CA1009)</f>
        <v>5465</v>
      </c>
      <c r="CC1009" s="185">
        <f t="shared" si="173"/>
        <v>0</v>
      </c>
      <c r="CD1009" s="185">
        <f t="shared" si="174"/>
        <v>0</v>
      </c>
      <c r="CE1009" s="185" t="e">
        <f>+#REF!</f>
        <v>#REF!</v>
      </c>
    </row>
    <row r="1010" spans="2:83" s="197" customFormat="1" ht="56.25" x14ac:dyDescent="0.3">
      <c r="B1010" s="182"/>
      <c r="C1010" s="182"/>
      <c r="D1010" s="182" t="s">
        <v>4940</v>
      </c>
      <c r="E1010" s="181" t="s">
        <v>4941</v>
      </c>
      <c r="F1010" s="182"/>
      <c r="G1010" s="182"/>
      <c r="H1010" s="182"/>
      <c r="I1010" s="182"/>
      <c r="J1010" s="182"/>
      <c r="K1010" s="182"/>
      <c r="L1010" s="182"/>
      <c r="M1010" s="182"/>
      <c r="N1010" s="182"/>
      <c r="O1010" s="182"/>
      <c r="P1010" s="182"/>
      <c r="Q1010" s="182"/>
      <c r="R1010" s="182"/>
      <c r="S1010" s="182"/>
      <c r="T1010" s="182"/>
      <c r="U1010" s="182"/>
      <c r="V1010" s="182"/>
      <c r="W1010" s="182">
        <f>282587.9+1120.5</f>
        <v>283708.40000000002</v>
      </c>
      <c r="X1010" s="182"/>
      <c r="Y1010" s="182"/>
      <c r="Z1010" s="182"/>
      <c r="AA1010" s="182"/>
      <c r="AB1010" s="182"/>
      <c r="AC1010" s="182"/>
      <c r="AD1010" s="182"/>
      <c r="AE1010" s="182">
        <v>283708.40000000002</v>
      </c>
      <c r="AF1010" s="182"/>
      <c r="AG1010" s="182"/>
      <c r="AH1010" s="182"/>
      <c r="AI1010" s="182"/>
      <c r="AJ1010" s="182"/>
      <c r="AK1010" s="182"/>
      <c r="AL1010" s="182"/>
      <c r="AM1010" s="182"/>
      <c r="AN1010" s="182"/>
      <c r="AO1010" s="182"/>
      <c r="AP1010" s="182"/>
      <c r="AQ1010" s="185">
        <f>SUM(G1010:AP1010)</f>
        <v>567416.80000000005</v>
      </c>
      <c r="AR1010" s="182"/>
      <c r="AS1010" s="182"/>
      <c r="AT1010" s="182"/>
      <c r="AU1010" s="182"/>
      <c r="AV1010" s="182"/>
      <c r="AW1010" s="182"/>
      <c r="AX1010" s="182">
        <f>1120.5+282587.9</f>
        <v>283708.40000000002</v>
      </c>
      <c r="AY1010" s="182"/>
      <c r="AZ1010" s="182"/>
      <c r="BA1010" s="182"/>
      <c r="BB1010" s="182"/>
      <c r="BC1010" s="182"/>
      <c r="BD1010" s="182"/>
      <c r="BE1010" s="182"/>
      <c r="BF1010" s="182"/>
      <c r="BG1010" s="182"/>
      <c r="BH1010" s="182"/>
      <c r="BI1010" s="182"/>
      <c r="BJ1010" s="182"/>
      <c r="BK1010" s="182"/>
      <c r="BL1010" s="182"/>
      <c r="BM1010" s="182"/>
      <c r="BN1010" s="182"/>
      <c r="BO1010" s="182"/>
      <c r="BP1010" s="182"/>
      <c r="BQ1010" s="182"/>
      <c r="BR1010" s="182"/>
      <c r="BS1010" s="182"/>
      <c r="BT1010" s="182"/>
      <c r="BU1010" s="182"/>
      <c r="BV1010" s="182"/>
      <c r="BW1010" s="182"/>
      <c r="BX1010" s="182"/>
      <c r="BY1010" s="182"/>
      <c r="BZ1010" s="182"/>
      <c r="CA1010" s="182">
        <v>283708.40000000002</v>
      </c>
      <c r="CB1010" s="185">
        <f>SUM(AR1010:CA1010)</f>
        <v>567416.80000000005</v>
      </c>
      <c r="CC1010" s="185">
        <f t="shared" si="173"/>
        <v>0</v>
      </c>
      <c r="CD1010" s="185">
        <f t="shared" si="174"/>
        <v>0</v>
      </c>
      <c r="CE1010" s="185" t="e">
        <f>+#REF!</f>
        <v>#REF!</v>
      </c>
    </row>
    <row r="1011" spans="2:83" s="197" customFormat="1" ht="56.25" x14ac:dyDescent="0.3">
      <c r="B1011" s="188"/>
      <c r="C1011" s="188"/>
      <c r="D1011" s="188"/>
      <c r="E1011" s="189" t="s">
        <v>4942</v>
      </c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>
        <f t="shared" ref="P1011:AU1011" si="178">SUM(P1006:P1010)</f>
        <v>17000</v>
      </c>
      <c r="Q1011" s="188">
        <f t="shared" si="178"/>
        <v>0</v>
      </c>
      <c r="R1011" s="188">
        <f t="shared" si="178"/>
        <v>0</v>
      </c>
      <c r="S1011" s="188">
        <f t="shared" si="178"/>
        <v>0</v>
      </c>
      <c r="T1011" s="188">
        <f t="shared" si="178"/>
        <v>0</v>
      </c>
      <c r="U1011" s="188">
        <f t="shared" si="178"/>
        <v>0</v>
      </c>
      <c r="V1011" s="188">
        <f t="shared" si="178"/>
        <v>0</v>
      </c>
      <c r="W1011" s="188">
        <f t="shared" si="178"/>
        <v>283708.40000000002</v>
      </c>
      <c r="X1011" s="188">
        <f t="shared" si="178"/>
        <v>0</v>
      </c>
      <c r="Y1011" s="188">
        <f t="shared" si="178"/>
        <v>0</v>
      </c>
      <c r="Z1011" s="188">
        <f t="shared" si="178"/>
        <v>0</v>
      </c>
      <c r="AA1011" s="188">
        <f t="shared" si="178"/>
        <v>0</v>
      </c>
      <c r="AB1011" s="188">
        <f t="shared" si="178"/>
        <v>0</v>
      </c>
      <c r="AC1011" s="188">
        <f t="shared" si="178"/>
        <v>0</v>
      </c>
      <c r="AD1011" s="188">
        <f t="shared" si="178"/>
        <v>0</v>
      </c>
      <c r="AE1011" s="188">
        <f t="shared" si="178"/>
        <v>283708.40000000002</v>
      </c>
      <c r="AF1011" s="188">
        <f t="shared" si="178"/>
        <v>0</v>
      </c>
      <c r="AG1011" s="188">
        <f t="shared" si="178"/>
        <v>0</v>
      </c>
      <c r="AH1011" s="188">
        <f t="shared" si="178"/>
        <v>0</v>
      </c>
      <c r="AI1011" s="188">
        <f t="shared" si="178"/>
        <v>0</v>
      </c>
      <c r="AJ1011" s="188">
        <f t="shared" si="178"/>
        <v>0</v>
      </c>
      <c r="AK1011" s="188">
        <f t="shared" si="178"/>
        <v>0</v>
      </c>
      <c r="AL1011" s="188">
        <f t="shared" si="178"/>
        <v>0</v>
      </c>
      <c r="AM1011" s="188">
        <f t="shared" si="178"/>
        <v>0</v>
      </c>
      <c r="AN1011" s="188">
        <f t="shared" si="178"/>
        <v>0</v>
      </c>
      <c r="AO1011" s="188">
        <f t="shared" si="178"/>
        <v>0</v>
      </c>
      <c r="AP1011" s="188">
        <f t="shared" si="178"/>
        <v>5865</v>
      </c>
      <c r="AQ1011" s="188">
        <f t="shared" si="178"/>
        <v>590281.80000000005</v>
      </c>
      <c r="AR1011" s="188">
        <f t="shared" si="178"/>
        <v>0</v>
      </c>
      <c r="AS1011" s="188">
        <f t="shared" si="178"/>
        <v>0</v>
      </c>
      <c r="AT1011" s="188">
        <f t="shared" si="178"/>
        <v>0</v>
      </c>
      <c r="AU1011" s="188">
        <f t="shared" si="178"/>
        <v>0</v>
      </c>
      <c r="AV1011" s="188">
        <f t="shared" ref="AV1011:CA1011" si="179">SUM(AV1006:AV1010)</f>
        <v>0</v>
      </c>
      <c r="AW1011" s="188">
        <f t="shared" si="179"/>
        <v>0</v>
      </c>
      <c r="AX1011" s="188">
        <f t="shared" si="179"/>
        <v>283708.40000000002</v>
      </c>
      <c r="AY1011" s="188">
        <f t="shared" si="179"/>
        <v>0</v>
      </c>
      <c r="AZ1011" s="188">
        <f t="shared" si="179"/>
        <v>0</v>
      </c>
      <c r="BA1011" s="188">
        <f t="shared" si="179"/>
        <v>0</v>
      </c>
      <c r="BB1011" s="188">
        <f t="shared" si="179"/>
        <v>0</v>
      </c>
      <c r="BC1011" s="188">
        <f t="shared" si="179"/>
        <v>0</v>
      </c>
      <c r="BD1011" s="188">
        <f t="shared" si="179"/>
        <v>0</v>
      </c>
      <c r="BE1011" s="188">
        <f t="shared" si="179"/>
        <v>0</v>
      </c>
      <c r="BF1011" s="188">
        <f t="shared" si="179"/>
        <v>0</v>
      </c>
      <c r="BG1011" s="188">
        <f t="shared" si="179"/>
        <v>0</v>
      </c>
      <c r="BH1011" s="188">
        <f t="shared" si="179"/>
        <v>0</v>
      </c>
      <c r="BI1011" s="188">
        <f t="shared" si="179"/>
        <v>0</v>
      </c>
      <c r="BJ1011" s="188">
        <f t="shared" si="179"/>
        <v>0</v>
      </c>
      <c r="BK1011" s="188">
        <f t="shared" si="179"/>
        <v>0</v>
      </c>
      <c r="BL1011" s="188">
        <f t="shared" si="179"/>
        <v>0</v>
      </c>
      <c r="BM1011" s="188">
        <f t="shared" si="179"/>
        <v>0</v>
      </c>
      <c r="BN1011" s="188">
        <f t="shared" si="179"/>
        <v>17000</v>
      </c>
      <c r="BO1011" s="188">
        <f t="shared" si="179"/>
        <v>0</v>
      </c>
      <c r="BP1011" s="188">
        <f t="shared" si="179"/>
        <v>0</v>
      </c>
      <c r="BQ1011" s="188">
        <f t="shared" si="179"/>
        <v>0</v>
      </c>
      <c r="BR1011" s="188">
        <f t="shared" si="179"/>
        <v>0</v>
      </c>
      <c r="BS1011" s="188">
        <f t="shared" si="179"/>
        <v>0</v>
      </c>
      <c r="BT1011" s="188">
        <f t="shared" si="179"/>
        <v>0</v>
      </c>
      <c r="BU1011" s="188">
        <f t="shared" si="179"/>
        <v>0</v>
      </c>
      <c r="BV1011" s="188">
        <f t="shared" si="179"/>
        <v>0</v>
      </c>
      <c r="BW1011" s="188">
        <f t="shared" si="179"/>
        <v>0</v>
      </c>
      <c r="BX1011" s="188">
        <f t="shared" si="179"/>
        <v>0</v>
      </c>
      <c r="BY1011" s="188">
        <f t="shared" si="179"/>
        <v>0</v>
      </c>
      <c r="BZ1011" s="188">
        <f t="shared" si="179"/>
        <v>0</v>
      </c>
      <c r="CA1011" s="188">
        <f t="shared" si="179"/>
        <v>289573.40000000002</v>
      </c>
      <c r="CB1011" s="188">
        <f t="shared" ref="CB1011:CD1011" si="180">SUM(CB1006:CB1010)</f>
        <v>590281.80000000005</v>
      </c>
      <c r="CC1011" s="188">
        <f t="shared" si="180"/>
        <v>0</v>
      </c>
      <c r="CD1011" s="188">
        <f t="shared" si="180"/>
        <v>0</v>
      </c>
      <c r="CE1011" s="188"/>
    </row>
    <row r="1012" spans="2:83" s="197" customFormat="1" ht="56.25" x14ac:dyDescent="0.3">
      <c r="B1012" s="182"/>
      <c r="C1012" s="182"/>
      <c r="D1012" s="182" t="s">
        <v>1431</v>
      </c>
      <c r="E1012" s="181" t="s">
        <v>4943</v>
      </c>
      <c r="F1012" s="182"/>
      <c r="G1012" s="182"/>
      <c r="H1012" s="182"/>
      <c r="I1012" s="182"/>
      <c r="J1012" s="182"/>
      <c r="K1012" s="182"/>
      <c r="L1012" s="182"/>
      <c r="M1012" s="182"/>
      <c r="N1012" s="182"/>
      <c r="O1012" s="182"/>
      <c r="P1012" s="182"/>
      <c r="Q1012" s="182"/>
      <c r="R1012" s="182"/>
      <c r="S1012" s="182"/>
      <c r="T1012" s="182"/>
      <c r="U1012" s="182"/>
      <c r="V1012" s="182"/>
      <c r="W1012" s="182"/>
      <c r="X1012" s="182"/>
      <c r="Y1012" s="182"/>
      <c r="Z1012" s="182"/>
      <c r="AA1012" s="182"/>
      <c r="AB1012" s="182"/>
      <c r="AC1012" s="182"/>
      <c r="AD1012" s="182"/>
      <c r="AE1012" s="182"/>
      <c r="AF1012" s="182"/>
      <c r="AG1012" s="182"/>
      <c r="AH1012" s="182"/>
      <c r="AI1012" s="182"/>
      <c r="AJ1012" s="182"/>
      <c r="AK1012" s="182"/>
      <c r="AL1012" s="182"/>
      <c r="AM1012" s="182"/>
      <c r="AN1012" s="182"/>
      <c r="AO1012" s="182"/>
      <c r="AP1012" s="182"/>
      <c r="AQ1012" s="185">
        <f>SUM(G1012:AP1012)</f>
        <v>0</v>
      </c>
      <c r="AR1012" s="182"/>
      <c r="AS1012" s="182"/>
      <c r="AT1012" s="182"/>
      <c r="AU1012" s="182"/>
      <c r="AV1012" s="182"/>
      <c r="AW1012" s="182"/>
      <c r="AX1012" s="182"/>
      <c r="AY1012" s="182"/>
      <c r="AZ1012" s="182"/>
      <c r="BA1012" s="182"/>
      <c r="BB1012" s="182"/>
      <c r="BC1012" s="182"/>
      <c r="BD1012" s="182"/>
      <c r="BE1012" s="182"/>
      <c r="BF1012" s="182"/>
      <c r="BG1012" s="182"/>
      <c r="BH1012" s="182"/>
      <c r="BI1012" s="182"/>
      <c r="BJ1012" s="182"/>
      <c r="BK1012" s="182"/>
      <c r="BL1012" s="182"/>
      <c r="BM1012" s="182"/>
      <c r="BN1012" s="182"/>
      <c r="BO1012" s="182"/>
      <c r="BP1012" s="182"/>
      <c r="BQ1012" s="182"/>
      <c r="BR1012" s="182"/>
      <c r="BS1012" s="182"/>
      <c r="BT1012" s="182"/>
      <c r="BU1012" s="182"/>
      <c r="BV1012" s="182"/>
      <c r="BW1012" s="182"/>
      <c r="BX1012" s="182"/>
      <c r="BY1012" s="182"/>
      <c r="BZ1012" s="182"/>
      <c r="CA1012" s="182"/>
      <c r="CB1012" s="185">
        <f>SUM(AR1012:CA1012)</f>
        <v>0</v>
      </c>
      <c r="CC1012" s="185">
        <f>+CB1012-AQ1012</f>
        <v>0</v>
      </c>
      <c r="CD1012" s="185">
        <f>+C1012</f>
        <v>0</v>
      </c>
      <c r="CE1012" s="185" t="e">
        <f>+#REF!</f>
        <v>#REF!</v>
      </c>
    </row>
    <row r="1013" spans="2:83" s="197" customFormat="1" ht="37.5" x14ac:dyDescent="0.3">
      <c r="B1013" s="182"/>
      <c r="C1013" s="182"/>
      <c r="D1013" s="182" t="s">
        <v>1431</v>
      </c>
      <c r="E1013" s="181"/>
      <c r="F1013" s="182"/>
      <c r="G1013" s="182"/>
      <c r="H1013" s="182"/>
      <c r="I1013" s="182"/>
      <c r="J1013" s="182"/>
      <c r="K1013" s="182"/>
      <c r="L1013" s="182"/>
      <c r="M1013" s="182"/>
      <c r="N1013" s="182"/>
      <c r="O1013" s="182"/>
      <c r="P1013" s="182"/>
      <c r="Q1013" s="182"/>
      <c r="R1013" s="182"/>
      <c r="S1013" s="182"/>
      <c r="T1013" s="182"/>
      <c r="U1013" s="182"/>
      <c r="V1013" s="182"/>
      <c r="W1013" s="182"/>
      <c r="X1013" s="182"/>
      <c r="Y1013" s="182"/>
      <c r="Z1013" s="182"/>
      <c r="AA1013" s="182"/>
      <c r="AB1013" s="182"/>
      <c r="AC1013" s="182"/>
      <c r="AD1013" s="182"/>
      <c r="AE1013" s="182"/>
      <c r="AF1013" s="182"/>
      <c r="AG1013" s="182"/>
      <c r="AH1013" s="182"/>
      <c r="AI1013" s="182"/>
      <c r="AJ1013" s="182"/>
      <c r="AK1013" s="182"/>
      <c r="AL1013" s="182"/>
      <c r="AM1013" s="182"/>
      <c r="AN1013" s="182"/>
      <c r="AO1013" s="182"/>
      <c r="AP1013" s="182"/>
      <c r="AQ1013" s="185">
        <f>SUM(G1013:AP1013)</f>
        <v>0</v>
      </c>
      <c r="AR1013" s="182"/>
      <c r="AS1013" s="182"/>
      <c r="AT1013" s="182"/>
      <c r="AU1013" s="182"/>
      <c r="AV1013" s="182"/>
      <c r="AW1013" s="182"/>
      <c r="AX1013" s="182"/>
      <c r="AY1013" s="182"/>
      <c r="AZ1013" s="182"/>
      <c r="BA1013" s="182"/>
      <c r="BB1013" s="182"/>
      <c r="BC1013" s="182"/>
      <c r="BD1013" s="182"/>
      <c r="BE1013" s="182"/>
      <c r="BF1013" s="182"/>
      <c r="BG1013" s="182"/>
      <c r="BH1013" s="182"/>
      <c r="BI1013" s="182"/>
      <c r="BJ1013" s="182"/>
      <c r="BK1013" s="182"/>
      <c r="BL1013" s="182"/>
      <c r="BM1013" s="182"/>
      <c r="BN1013" s="182"/>
      <c r="BO1013" s="182"/>
      <c r="BP1013" s="182"/>
      <c r="BQ1013" s="182"/>
      <c r="BR1013" s="182"/>
      <c r="BS1013" s="182"/>
      <c r="BT1013" s="182"/>
      <c r="BU1013" s="182"/>
      <c r="BV1013" s="182"/>
      <c r="BW1013" s="182"/>
      <c r="BX1013" s="182"/>
      <c r="BY1013" s="182"/>
      <c r="BZ1013" s="182"/>
      <c r="CA1013" s="182"/>
      <c r="CB1013" s="185">
        <f>SUM(AR1013:CA1013)</f>
        <v>0</v>
      </c>
      <c r="CC1013" s="185">
        <f>+CB1013-AQ1013</f>
        <v>0</v>
      </c>
      <c r="CD1013" s="185">
        <f>+C1013</f>
        <v>0</v>
      </c>
      <c r="CE1013" s="185" t="e">
        <f>+#REF!</f>
        <v>#REF!</v>
      </c>
    </row>
    <row r="1014" spans="2:83" s="197" customFormat="1" ht="37.5" x14ac:dyDescent="0.3">
      <c r="B1014" s="182"/>
      <c r="C1014" s="182"/>
      <c r="D1014" s="182" t="s">
        <v>1431</v>
      </c>
      <c r="E1014" s="181"/>
      <c r="F1014" s="182"/>
      <c r="G1014" s="182"/>
      <c r="H1014" s="182"/>
      <c r="I1014" s="182"/>
      <c r="J1014" s="182"/>
      <c r="K1014" s="182"/>
      <c r="L1014" s="182"/>
      <c r="M1014" s="182"/>
      <c r="N1014" s="182"/>
      <c r="O1014" s="182"/>
      <c r="P1014" s="182"/>
      <c r="Q1014" s="182"/>
      <c r="R1014" s="182"/>
      <c r="S1014" s="182"/>
      <c r="T1014" s="182"/>
      <c r="U1014" s="182"/>
      <c r="V1014" s="182"/>
      <c r="W1014" s="182"/>
      <c r="X1014" s="182"/>
      <c r="Y1014" s="182"/>
      <c r="Z1014" s="182"/>
      <c r="AA1014" s="182"/>
      <c r="AB1014" s="182"/>
      <c r="AC1014" s="182"/>
      <c r="AD1014" s="182"/>
      <c r="AE1014" s="182"/>
      <c r="AF1014" s="182"/>
      <c r="AG1014" s="182"/>
      <c r="AH1014" s="182"/>
      <c r="AI1014" s="182"/>
      <c r="AJ1014" s="182"/>
      <c r="AK1014" s="182"/>
      <c r="AL1014" s="182"/>
      <c r="AM1014" s="182"/>
      <c r="AN1014" s="182"/>
      <c r="AO1014" s="182"/>
      <c r="AP1014" s="182"/>
      <c r="AQ1014" s="185">
        <f>SUM(G1014:AP1014)</f>
        <v>0</v>
      </c>
      <c r="AR1014" s="182"/>
      <c r="AS1014" s="182"/>
      <c r="AT1014" s="182"/>
      <c r="AU1014" s="182"/>
      <c r="AV1014" s="182"/>
      <c r="AW1014" s="182"/>
      <c r="AX1014" s="182"/>
      <c r="AY1014" s="182"/>
      <c r="AZ1014" s="182"/>
      <c r="BA1014" s="182"/>
      <c r="BB1014" s="182"/>
      <c r="BC1014" s="182"/>
      <c r="BD1014" s="182"/>
      <c r="BE1014" s="182"/>
      <c r="BF1014" s="182"/>
      <c r="BG1014" s="182"/>
      <c r="BH1014" s="182"/>
      <c r="BI1014" s="182"/>
      <c r="BJ1014" s="182"/>
      <c r="BK1014" s="182"/>
      <c r="BL1014" s="182"/>
      <c r="BM1014" s="182"/>
      <c r="BN1014" s="182"/>
      <c r="BO1014" s="182"/>
      <c r="BP1014" s="182"/>
      <c r="BQ1014" s="182"/>
      <c r="BR1014" s="182"/>
      <c r="BS1014" s="182"/>
      <c r="BT1014" s="182"/>
      <c r="BU1014" s="182"/>
      <c r="BV1014" s="182"/>
      <c r="BW1014" s="182"/>
      <c r="BX1014" s="182"/>
      <c r="BY1014" s="182"/>
      <c r="BZ1014" s="182"/>
      <c r="CA1014" s="182"/>
      <c r="CB1014" s="185">
        <f>SUM(AR1014:CA1014)</f>
        <v>0</v>
      </c>
      <c r="CC1014" s="185">
        <f>+CB1014-AQ1014</f>
        <v>0</v>
      </c>
      <c r="CD1014" s="185">
        <f>+C1014</f>
        <v>0</v>
      </c>
      <c r="CE1014" s="185" t="e">
        <f>+#REF!</f>
        <v>#REF!</v>
      </c>
    </row>
    <row r="1015" spans="2:83" s="197" customFormat="1" ht="56.25" x14ac:dyDescent="0.3">
      <c r="B1015" s="182"/>
      <c r="C1015" s="182"/>
      <c r="D1015" s="182"/>
      <c r="E1015" s="181" t="s">
        <v>4944</v>
      </c>
      <c r="F1015" s="182"/>
      <c r="G1015" s="182"/>
      <c r="H1015" s="182"/>
      <c r="I1015" s="182"/>
      <c r="J1015" s="182"/>
      <c r="K1015" s="182"/>
      <c r="L1015" s="182"/>
      <c r="M1015" s="182"/>
      <c r="N1015" s="182"/>
      <c r="O1015" s="182"/>
      <c r="P1015" s="182"/>
      <c r="Q1015" s="182"/>
      <c r="R1015" s="182"/>
      <c r="S1015" s="182"/>
      <c r="T1015" s="182"/>
      <c r="U1015" s="182"/>
      <c r="V1015" s="182"/>
      <c r="W1015" s="182"/>
      <c r="X1015" s="182"/>
      <c r="Y1015" s="182"/>
      <c r="Z1015" s="182"/>
      <c r="AA1015" s="182"/>
      <c r="AB1015" s="182"/>
      <c r="AC1015" s="182"/>
      <c r="AD1015" s="182"/>
      <c r="AE1015" s="182"/>
      <c r="AF1015" s="182"/>
      <c r="AG1015" s="182">
        <v>20360242.859999999</v>
      </c>
      <c r="AH1015" s="182"/>
      <c r="AI1015" s="182"/>
      <c r="AJ1015" s="182"/>
      <c r="AK1015" s="182"/>
      <c r="AL1015" s="182"/>
      <c r="AM1015" s="182"/>
      <c r="AN1015" s="182"/>
      <c r="AO1015" s="182"/>
      <c r="AP1015" s="182"/>
      <c r="AQ1015" s="185">
        <f>SUM(G1015:AP1015)</f>
        <v>20360242.859999999</v>
      </c>
      <c r="AR1015" s="182">
        <v>25842.12</v>
      </c>
      <c r="AS1015" s="182"/>
      <c r="AT1015" s="182"/>
      <c r="AU1015" s="182"/>
      <c r="AV1015" s="182"/>
      <c r="AW1015" s="182"/>
      <c r="AX1015" s="182"/>
      <c r="AY1015" s="182">
        <v>20334400.739999998</v>
      </c>
      <c r="AZ1015" s="182"/>
      <c r="BA1015" s="182"/>
      <c r="BB1015" s="182"/>
      <c r="BC1015" s="182"/>
      <c r="BD1015" s="182"/>
      <c r="BE1015" s="182"/>
      <c r="BF1015" s="182"/>
      <c r="BG1015" s="182"/>
      <c r="BH1015" s="182"/>
      <c r="BI1015" s="182"/>
      <c r="BJ1015" s="182"/>
      <c r="BK1015" s="182"/>
      <c r="BL1015" s="182"/>
      <c r="BM1015" s="182"/>
      <c r="BN1015" s="182"/>
      <c r="BO1015" s="182"/>
      <c r="BP1015" s="182"/>
      <c r="BQ1015" s="182"/>
      <c r="BR1015" s="182"/>
      <c r="BS1015" s="182"/>
      <c r="BT1015" s="182"/>
      <c r="BU1015" s="182"/>
      <c r="BV1015" s="182"/>
      <c r="BW1015" s="182"/>
      <c r="BX1015" s="182"/>
      <c r="BY1015" s="182"/>
      <c r="BZ1015" s="182"/>
      <c r="CA1015" s="182"/>
      <c r="CB1015" s="185">
        <f>SUM(AR1015:CA1015)</f>
        <v>20360242.859999999</v>
      </c>
      <c r="CC1015" s="185">
        <f>+CB1015-AQ1015</f>
        <v>0</v>
      </c>
      <c r="CD1015" s="185">
        <f>+C1015</f>
        <v>0</v>
      </c>
      <c r="CE1015" s="185" t="e">
        <f>+#REF!</f>
        <v>#REF!</v>
      </c>
    </row>
    <row r="1016" spans="2:83" s="197" customFormat="1" ht="56.25" x14ac:dyDescent="0.3">
      <c r="B1016" s="182"/>
      <c r="C1016" s="182"/>
      <c r="D1016" s="182"/>
      <c r="E1016" s="181" t="s">
        <v>4945</v>
      </c>
      <c r="F1016" s="182"/>
      <c r="G1016" s="182"/>
      <c r="H1016" s="182"/>
      <c r="I1016" s="182"/>
      <c r="J1016" s="182"/>
      <c r="K1016" s="182"/>
      <c r="L1016" s="182"/>
      <c r="M1016" s="182"/>
      <c r="N1016" s="182"/>
      <c r="O1016" s="182"/>
      <c r="P1016" s="182"/>
      <c r="Q1016" s="182"/>
      <c r="R1016" s="182"/>
      <c r="S1016" s="182"/>
      <c r="T1016" s="182"/>
      <c r="U1016" s="182"/>
      <c r="V1016" s="182"/>
      <c r="W1016" s="182"/>
      <c r="X1016" s="182"/>
      <c r="Y1016" s="182"/>
      <c r="Z1016" s="182"/>
      <c r="AA1016" s="182"/>
      <c r="AB1016" s="182"/>
      <c r="AC1016" s="182"/>
      <c r="AD1016" s="182">
        <v>20360242.859999999</v>
      </c>
      <c r="AE1016" s="182">
        <v>17084870.440000001</v>
      </c>
      <c r="AF1016" s="182"/>
      <c r="AG1016" s="182"/>
      <c r="AH1016" s="182"/>
      <c r="AI1016" s="182"/>
      <c r="AJ1016" s="182"/>
      <c r="AK1016" s="182"/>
      <c r="AL1016" s="182"/>
      <c r="AM1016" s="182"/>
      <c r="AN1016" s="182"/>
      <c r="AO1016" s="182"/>
      <c r="AP1016" s="182"/>
      <c r="AQ1016" s="185">
        <f>SUM(G1016:AP1016)</f>
        <v>37445113.299999997</v>
      </c>
      <c r="AR1016" s="182"/>
      <c r="AS1016" s="182"/>
      <c r="AT1016" s="182"/>
      <c r="AU1016" s="182"/>
      <c r="AV1016" s="182"/>
      <c r="AW1016" s="182"/>
      <c r="AX1016" s="182">
        <v>20360242.859999999</v>
      </c>
      <c r="AY1016" s="182"/>
      <c r="AZ1016" s="182"/>
      <c r="BA1016" s="182"/>
      <c r="BB1016" s="182"/>
      <c r="BC1016" s="182"/>
      <c r="BD1016" s="182"/>
      <c r="BE1016" s="182"/>
      <c r="BF1016" s="182"/>
      <c r="BG1016" s="182"/>
      <c r="BH1016" s="182"/>
      <c r="BI1016" s="182"/>
      <c r="BJ1016" s="182"/>
      <c r="BK1016" s="182"/>
      <c r="BL1016" s="182"/>
      <c r="BM1016" s="182"/>
      <c r="BN1016" s="182"/>
      <c r="BO1016" s="182"/>
      <c r="BP1016" s="182"/>
      <c r="BQ1016" s="182"/>
      <c r="BR1016" s="182"/>
      <c r="BS1016" s="182"/>
      <c r="BT1016" s="182"/>
      <c r="BU1016" s="182"/>
      <c r="BV1016" s="182"/>
      <c r="BW1016" s="182"/>
      <c r="BX1016" s="182"/>
      <c r="BY1016" s="182"/>
      <c r="BZ1016" s="182"/>
      <c r="CA1016" s="182">
        <v>17084870.440000001</v>
      </c>
      <c r="CB1016" s="185">
        <f>SUM(AR1016:CA1016)</f>
        <v>37445113.299999997</v>
      </c>
      <c r="CC1016" s="185">
        <f>+CB1016-AQ1016</f>
        <v>0</v>
      </c>
      <c r="CD1016" s="185">
        <f>+C1016</f>
        <v>0</v>
      </c>
      <c r="CE1016" s="185" t="e">
        <f>+#REF!</f>
        <v>#REF!</v>
      </c>
    </row>
    <row r="1017" spans="2:83" s="197" customFormat="1" ht="56.25" x14ac:dyDescent="0.3">
      <c r="B1017" s="185"/>
      <c r="C1017" s="185"/>
      <c r="D1017" s="185"/>
      <c r="E1017" s="184" t="s">
        <v>4946</v>
      </c>
      <c r="F1017" s="185"/>
      <c r="G1017" s="185"/>
      <c r="H1017" s="185"/>
      <c r="I1017" s="185"/>
      <c r="J1017" s="185"/>
      <c r="K1017" s="185"/>
      <c r="L1017" s="185"/>
      <c r="M1017" s="185"/>
      <c r="N1017" s="185"/>
      <c r="O1017" s="185"/>
      <c r="P1017" s="185"/>
      <c r="Q1017" s="185"/>
      <c r="R1017" s="185"/>
      <c r="S1017" s="185"/>
      <c r="T1017" s="185"/>
      <c r="U1017" s="185"/>
      <c r="V1017" s="185"/>
      <c r="W1017" s="185"/>
      <c r="X1017" s="185"/>
      <c r="Y1017" s="185"/>
      <c r="Z1017" s="185"/>
      <c r="AA1017" s="185"/>
      <c r="AB1017" s="185"/>
      <c r="AC1017" s="185"/>
      <c r="AD1017" s="185">
        <f t="shared" ref="AD1017:BI1017" si="181">SUM(AD1012:AD1016)</f>
        <v>20360242.859999999</v>
      </c>
      <c r="AE1017" s="185">
        <f t="shared" si="181"/>
        <v>17084870.440000001</v>
      </c>
      <c r="AF1017" s="185">
        <f t="shared" si="181"/>
        <v>0</v>
      </c>
      <c r="AG1017" s="185">
        <f t="shared" si="181"/>
        <v>20360242.859999999</v>
      </c>
      <c r="AH1017" s="185">
        <f t="shared" si="181"/>
        <v>0</v>
      </c>
      <c r="AI1017" s="185">
        <f t="shared" si="181"/>
        <v>0</v>
      </c>
      <c r="AJ1017" s="185">
        <f t="shared" si="181"/>
        <v>0</v>
      </c>
      <c r="AK1017" s="185">
        <f t="shared" si="181"/>
        <v>0</v>
      </c>
      <c r="AL1017" s="185">
        <f t="shared" si="181"/>
        <v>0</v>
      </c>
      <c r="AM1017" s="185">
        <f t="shared" si="181"/>
        <v>0</v>
      </c>
      <c r="AN1017" s="185">
        <f t="shared" si="181"/>
        <v>0</v>
      </c>
      <c r="AO1017" s="185">
        <f t="shared" si="181"/>
        <v>0</v>
      </c>
      <c r="AP1017" s="185">
        <f t="shared" si="181"/>
        <v>0</v>
      </c>
      <c r="AQ1017" s="185">
        <f t="shared" si="181"/>
        <v>57805356.159999996</v>
      </c>
      <c r="AR1017" s="185">
        <f t="shared" si="181"/>
        <v>25842.12</v>
      </c>
      <c r="AS1017" s="185">
        <f t="shared" si="181"/>
        <v>0</v>
      </c>
      <c r="AT1017" s="185">
        <f t="shared" si="181"/>
        <v>0</v>
      </c>
      <c r="AU1017" s="185">
        <f t="shared" si="181"/>
        <v>0</v>
      </c>
      <c r="AV1017" s="185">
        <f t="shared" si="181"/>
        <v>0</v>
      </c>
      <c r="AW1017" s="185">
        <f t="shared" si="181"/>
        <v>0</v>
      </c>
      <c r="AX1017" s="185">
        <f t="shared" si="181"/>
        <v>20360242.859999999</v>
      </c>
      <c r="AY1017" s="185">
        <f t="shared" si="181"/>
        <v>20334400.739999998</v>
      </c>
      <c r="AZ1017" s="185">
        <f t="shared" si="181"/>
        <v>0</v>
      </c>
      <c r="BA1017" s="185">
        <f t="shared" si="181"/>
        <v>0</v>
      </c>
      <c r="BB1017" s="185">
        <f t="shared" si="181"/>
        <v>0</v>
      </c>
      <c r="BC1017" s="185">
        <f t="shared" si="181"/>
        <v>0</v>
      </c>
      <c r="BD1017" s="185">
        <f t="shared" si="181"/>
        <v>0</v>
      </c>
      <c r="BE1017" s="185">
        <f t="shared" si="181"/>
        <v>0</v>
      </c>
      <c r="BF1017" s="185">
        <f t="shared" si="181"/>
        <v>0</v>
      </c>
      <c r="BG1017" s="185">
        <f t="shared" si="181"/>
        <v>0</v>
      </c>
      <c r="BH1017" s="185">
        <f t="shared" si="181"/>
        <v>0</v>
      </c>
      <c r="BI1017" s="185">
        <f t="shared" si="181"/>
        <v>0</v>
      </c>
      <c r="BJ1017" s="185">
        <f t="shared" ref="BJ1017:CD1017" si="182">SUM(BJ1012:BJ1016)</f>
        <v>0</v>
      </c>
      <c r="BK1017" s="185">
        <f t="shared" si="182"/>
        <v>0</v>
      </c>
      <c r="BL1017" s="185">
        <f t="shared" si="182"/>
        <v>0</v>
      </c>
      <c r="BM1017" s="185">
        <f t="shared" si="182"/>
        <v>0</v>
      </c>
      <c r="BN1017" s="185">
        <f t="shared" si="182"/>
        <v>0</v>
      </c>
      <c r="BO1017" s="185">
        <f t="shared" si="182"/>
        <v>0</v>
      </c>
      <c r="BP1017" s="185">
        <f t="shared" si="182"/>
        <v>0</v>
      </c>
      <c r="BQ1017" s="185">
        <f t="shared" si="182"/>
        <v>0</v>
      </c>
      <c r="BR1017" s="185">
        <f t="shared" si="182"/>
        <v>0</v>
      </c>
      <c r="BS1017" s="185">
        <f t="shared" si="182"/>
        <v>0</v>
      </c>
      <c r="BT1017" s="185">
        <f t="shared" si="182"/>
        <v>0</v>
      </c>
      <c r="BU1017" s="185">
        <f t="shared" si="182"/>
        <v>0</v>
      </c>
      <c r="BV1017" s="185">
        <f t="shared" si="182"/>
        <v>0</v>
      </c>
      <c r="BW1017" s="185">
        <f t="shared" si="182"/>
        <v>0</v>
      </c>
      <c r="BX1017" s="185">
        <f t="shared" si="182"/>
        <v>0</v>
      </c>
      <c r="BY1017" s="185">
        <f t="shared" si="182"/>
        <v>0</v>
      </c>
      <c r="BZ1017" s="185">
        <f t="shared" si="182"/>
        <v>0</v>
      </c>
      <c r="CA1017" s="185">
        <f t="shared" si="182"/>
        <v>17084870.440000001</v>
      </c>
      <c r="CB1017" s="185">
        <f t="shared" si="182"/>
        <v>57805356.159999996</v>
      </c>
      <c r="CC1017" s="185">
        <f t="shared" si="182"/>
        <v>0</v>
      </c>
      <c r="CD1017" s="185">
        <f t="shared" si="182"/>
        <v>0</v>
      </c>
      <c r="CE1017" s="185"/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57FB2-398B-4BD1-9A43-3F04F1549D51}">
  <dimension ref="A1"/>
  <sheetViews>
    <sheetView rightToLeft="1" workbookViewId="0">
      <selection activeCell="F16" sqref="F16"/>
    </sheetView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CD50C-2C68-473C-B64B-F3710C5085BB}">
  <dimension ref="A1:CQ1415"/>
  <sheetViews>
    <sheetView rightToLeft="1" workbookViewId="0">
      <pane xSplit="5" ySplit="1" topLeftCell="AS1346" activePane="bottomRight" state="frozen"/>
      <selection pane="topRight" activeCell="F1" sqref="F1"/>
      <selection pane="bottomLeft" activeCell="A3" sqref="A3"/>
      <selection pane="bottomRight" activeCell="D1" sqref="D1:D1048576"/>
    </sheetView>
  </sheetViews>
  <sheetFormatPr defaultRowHeight="18.75" x14ac:dyDescent="0.3"/>
  <cols>
    <col min="1" max="1" width="9.140625" style="197"/>
    <col min="2" max="3" width="9.28515625" style="197" bestFit="1" customWidth="1"/>
    <col min="4" max="4" width="24.85546875" style="197" customWidth="1"/>
    <col min="5" max="5" width="47.42578125" style="197" customWidth="1"/>
    <col min="6" max="6" width="9.140625" style="197"/>
    <col min="7" max="7" width="12.85546875" style="197" customWidth="1"/>
    <col min="8" max="8" width="15.28515625" style="197" customWidth="1"/>
    <col min="9" max="9" width="9.28515625" style="197" bestFit="1" customWidth="1"/>
    <col min="10" max="13" width="15" style="197" bestFit="1" customWidth="1"/>
    <col min="14" max="18" width="9.28515625" style="197" bestFit="1" customWidth="1"/>
    <col min="19" max="20" width="13.5703125" style="197" bestFit="1" customWidth="1"/>
    <col min="21" max="22" width="9.28515625" style="197" bestFit="1" customWidth="1"/>
    <col min="23" max="23" width="15" style="197" bestFit="1" customWidth="1"/>
    <col min="24" max="26" width="9.28515625" style="197" bestFit="1" customWidth="1"/>
    <col min="27" max="27" width="11.28515625" style="197" bestFit="1" customWidth="1"/>
    <col min="28" max="28" width="15" style="197" bestFit="1" customWidth="1"/>
    <col min="29" max="29" width="12" style="197" bestFit="1" customWidth="1"/>
    <col min="30" max="31" width="16.42578125" style="197" bestFit="1" customWidth="1"/>
    <col min="32" max="32" width="9.28515625" style="197" bestFit="1" customWidth="1"/>
    <col min="33" max="33" width="16.42578125" style="197" bestFit="1" customWidth="1"/>
    <col min="34" max="42" width="9.28515625" style="197" bestFit="1" customWidth="1"/>
    <col min="43" max="43" width="16.42578125" style="197" bestFit="1" customWidth="1"/>
    <col min="44" max="44" width="15" style="197" bestFit="1" customWidth="1"/>
    <col min="45" max="46" width="13.5703125" style="197" bestFit="1" customWidth="1"/>
    <col min="47" max="47" width="12" style="197" customWidth="1"/>
    <col min="48" max="48" width="9.28515625" style="197" customWidth="1"/>
    <col min="49" max="49" width="10.5703125" style="197" customWidth="1"/>
    <col min="50" max="51" width="16.42578125" style="197" customWidth="1"/>
    <col min="52" max="55" width="9.28515625" style="197" customWidth="1"/>
    <col min="56" max="56" width="9.28515625" style="197" bestFit="1" customWidth="1"/>
    <col min="57" max="57" width="12" style="197" customWidth="1"/>
    <col min="58" max="58" width="9.28515625" style="197" customWidth="1"/>
    <col min="59" max="59" width="12.85546875" style="197" customWidth="1"/>
    <col min="60" max="60" width="13.5703125" style="197" customWidth="1"/>
    <col min="61" max="61" width="10.5703125" style="197" customWidth="1"/>
    <col min="62" max="63" width="15" style="197" customWidth="1"/>
    <col min="64" max="66" width="9.28515625" style="197" customWidth="1"/>
    <col min="67" max="67" width="15" style="197" customWidth="1"/>
    <col min="68" max="68" width="11.28515625" style="197" customWidth="1"/>
    <col min="69" max="75" width="9.28515625" style="197" customWidth="1"/>
    <col min="76" max="76" width="15" style="197" customWidth="1"/>
    <col min="77" max="78" width="9.28515625" style="197" customWidth="1"/>
    <col min="79" max="79" width="16.42578125" style="197" customWidth="1"/>
    <col min="80" max="80" width="16.42578125" style="197" bestFit="1" customWidth="1"/>
    <col min="81" max="81" width="10.5703125" style="197" hidden="1" customWidth="1"/>
    <col min="82" max="83" width="9.28515625" style="197" bestFit="1" customWidth="1"/>
    <col min="84" max="16384" width="9.140625" style="197"/>
  </cols>
  <sheetData>
    <row r="1" spans="1:95" s="196" customFormat="1" ht="93.75" x14ac:dyDescent="0.3">
      <c r="A1" s="196" t="s">
        <v>4958</v>
      </c>
      <c r="B1" s="196" t="s">
        <v>8</v>
      </c>
      <c r="C1" s="196" t="s">
        <v>4947</v>
      </c>
      <c r="D1" s="196" t="s">
        <v>10</v>
      </c>
      <c r="E1" s="196" t="s">
        <v>4948</v>
      </c>
      <c r="F1" s="196" t="s">
        <v>12</v>
      </c>
      <c r="G1" s="196" t="s">
        <v>4949</v>
      </c>
      <c r="H1" s="196" t="s">
        <v>4950</v>
      </c>
      <c r="I1" s="196" t="s">
        <v>4951</v>
      </c>
      <c r="J1" s="196" t="s">
        <v>4952</v>
      </c>
      <c r="K1" s="196" t="s">
        <v>4953</v>
      </c>
      <c r="L1" s="196" t="s">
        <v>18</v>
      </c>
      <c r="M1" s="196" t="s">
        <v>19</v>
      </c>
      <c r="N1" s="196" t="s">
        <v>20</v>
      </c>
      <c r="O1" s="196" t="s">
        <v>21</v>
      </c>
      <c r="P1" s="196" t="s">
        <v>22</v>
      </c>
      <c r="Q1" s="196" t="s">
        <v>23</v>
      </c>
      <c r="R1" s="196" t="s">
        <v>24</v>
      </c>
      <c r="S1" s="196" t="s">
        <v>25</v>
      </c>
      <c r="T1" s="196" t="s">
        <v>26</v>
      </c>
      <c r="U1" s="196" t="s">
        <v>27</v>
      </c>
      <c r="V1" s="196" t="s">
        <v>28</v>
      </c>
      <c r="W1" s="196" t="s">
        <v>29</v>
      </c>
      <c r="X1" s="196" t="s">
        <v>30</v>
      </c>
      <c r="Y1" s="196" t="s">
        <v>31</v>
      </c>
      <c r="Z1" s="196" t="s">
        <v>32</v>
      </c>
      <c r="AA1" s="196" t="s">
        <v>33</v>
      </c>
      <c r="AB1" s="196" t="s">
        <v>34</v>
      </c>
      <c r="AC1" s="196" t="s">
        <v>35</v>
      </c>
      <c r="AD1" s="196" t="s">
        <v>36</v>
      </c>
      <c r="AE1" s="196" t="s">
        <v>37</v>
      </c>
      <c r="AF1" s="196" t="s">
        <v>38</v>
      </c>
      <c r="AG1" s="196" t="s">
        <v>39</v>
      </c>
      <c r="AH1" s="196" t="s">
        <v>40</v>
      </c>
      <c r="AI1" s="196" t="s">
        <v>41</v>
      </c>
      <c r="AJ1" s="196" t="s">
        <v>42</v>
      </c>
      <c r="AK1" s="196" t="s">
        <v>43</v>
      </c>
      <c r="AL1" s="196" t="s">
        <v>44</v>
      </c>
      <c r="AM1" s="196" t="s">
        <v>45</v>
      </c>
      <c r="AN1" s="196" t="s">
        <v>46</v>
      </c>
      <c r="AO1" s="196" t="s">
        <v>47</v>
      </c>
      <c r="AP1" s="196" t="s">
        <v>48</v>
      </c>
      <c r="AQ1" s="196" t="s">
        <v>4954</v>
      </c>
      <c r="AR1" s="196" t="s">
        <v>51</v>
      </c>
      <c r="AS1" s="196" t="s">
        <v>52</v>
      </c>
      <c r="AT1" s="196" t="s">
        <v>25</v>
      </c>
      <c r="AU1" s="196" t="s">
        <v>53</v>
      </c>
      <c r="AV1" s="196" t="s">
        <v>54</v>
      </c>
      <c r="AW1" s="196" t="s">
        <v>55</v>
      </c>
      <c r="AX1" s="196" t="s">
        <v>37</v>
      </c>
      <c r="AY1" s="196" t="s">
        <v>39</v>
      </c>
      <c r="AZ1" s="196" t="s">
        <v>56</v>
      </c>
      <c r="BA1" s="196" t="s">
        <v>57</v>
      </c>
      <c r="BB1" s="196" t="s">
        <v>58</v>
      </c>
      <c r="BC1" s="196" t="s">
        <v>59</v>
      </c>
      <c r="BD1" s="196" t="s">
        <v>31</v>
      </c>
      <c r="BE1" s="196" t="s">
        <v>60</v>
      </c>
      <c r="BF1" s="196" t="s">
        <v>27</v>
      </c>
      <c r="BG1" s="196" t="s">
        <v>61</v>
      </c>
      <c r="BH1" s="196" t="s">
        <v>62</v>
      </c>
      <c r="BI1" s="196" t="s">
        <v>24</v>
      </c>
      <c r="BJ1" s="196" t="s">
        <v>63</v>
      </c>
      <c r="BK1" s="196" t="s">
        <v>64</v>
      </c>
      <c r="BL1" s="196" t="s">
        <v>18</v>
      </c>
      <c r="BM1" s="196" t="s">
        <v>65</v>
      </c>
      <c r="BN1" s="196" t="s">
        <v>21</v>
      </c>
      <c r="BO1" s="196" t="s">
        <v>66</v>
      </c>
      <c r="BP1" s="196" t="s">
        <v>67</v>
      </c>
      <c r="BQ1" s="196" t="s">
        <v>40</v>
      </c>
      <c r="BR1" s="196" t="s">
        <v>68</v>
      </c>
      <c r="BS1" s="196" t="s">
        <v>69</v>
      </c>
      <c r="BT1" s="196" t="s">
        <v>41</v>
      </c>
      <c r="BU1" s="196" t="s">
        <v>70</v>
      </c>
      <c r="BV1" s="196" t="s">
        <v>71</v>
      </c>
      <c r="BW1" s="196" t="s">
        <v>72</v>
      </c>
      <c r="BX1" s="196" t="s">
        <v>46</v>
      </c>
      <c r="BY1" s="196" t="s">
        <v>73</v>
      </c>
      <c r="BZ1" s="196" t="s">
        <v>74</v>
      </c>
      <c r="CA1" s="196" t="s">
        <v>75</v>
      </c>
      <c r="CB1" s="196" t="s">
        <v>4955</v>
      </c>
      <c r="CC1" s="196" t="s">
        <v>4956</v>
      </c>
      <c r="CD1" s="196" t="s">
        <v>9</v>
      </c>
      <c r="CE1" s="196" t="s">
        <v>4957</v>
      </c>
      <c r="CF1" s="196" t="s">
        <v>70</v>
      </c>
      <c r="CG1" s="196" t="s">
        <v>71</v>
      </c>
      <c r="CH1" s="196" t="s">
        <v>72</v>
      </c>
      <c r="CI1" s="196" t="s">
        <v>46</v>
      </c>
      <c r="CJ1" s="196" t="s">
        <v>73</v>
      </c>
      <c r="CK1" s="196" t="s">
        <v>74</v>
      </c>
      <c r="CL1" s="196" t="s">
        <v>75</v>
      </c>
      <c r="CM1" s="196" t="s">
        <v>4955</v>
      </c>
      <c r="CN1" s="196" t="s">
        <v>4956</v>
      </c>
      <c r="CO1" s="196" t="s">
        <v>9</v>
      </c>
      <c r="CP1" s="196" t="s">
        <v>4957</v>
      </c>
      <c r="CQ1" s="196" t="s">
        <v>8</v>
      </c>
    </row>
    <row r="2" spans="1:95" ht="37.5" x14ac:dyDescent="0.3">
      <c r="B2" s="182">
        <v>1591</v>
      </c>
      <c r="C2" s="182">
        <v>1362</v>
      </c>
      <c r="D2" s="182"/>
      <c r="E2" s="181" t="s">
        <v>4051</v>
      </c>
      <c r="F2" s="182" t="s">
        <v>220</v>
      </c>
      <c r="G2" s="182"/>
      <c r="H2" s="182"/>
      <c r="I2" s="182"/>
      <c r="J2" s="182"/>
      <c r="K2" s="182"/>
      <c r="L2" s="182"/>
      <c r="M2" s="182"/>
      <c r="N2" s="182"/>
      <c r="O2" s="182"/>
      <c r="P2" s="182"/>
      <c r="Q2" s="182"/>
      <c r="R2" s="182"/>
      <c r="S2" s="182">
        <v>134.63999999999999</v>
      </c>
      <c r="T2" s="182"/>
      <c r="U2" s="182"/>
      <c r="V2" s="182"/>
      <c r="W2" s="182"/>
      <c r="X2" s="182"/>
      <c r="Y2" s="182"/>
      <c r="Z2" s="182"/>
      <c r="AA2" s="182"/>
      <c r="AB2" s="182"/>
      <c r="AC2" s="182"/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185">
        <v>134.63999999999999</v>
      </c>
      <c r="AR2" s="182">
        <v>134.63999999999999</v>
      </c>
      <c r="AS2" s="182"/>
      <c r="AT2" s="182"/>
      <c r="AU2" s="182"/>
      <c r="AV2" s="182"/>
      <c r="AW2" s="182"/>
      <c r="AX2" s="182"/>
      <c r="AY2" s="182"/>
      <c r="AZ2" s="182"/>
      <c r="BA2" s="182"/>
      <c r="BB2" s="182"/>
      <c r="BC2" s="182"/>
      <c r="BD2" s="182"/>
      <c r="BE2" s="182"/>
      <c r="BF2" s="182"/>
      <c r="BG2" s="182"/>
      <c r="BH2" s="182"/>
      <c r="BI2" s="182"/>
      <c r="BJ2" s="182"/>
      <c r="BK2" s="182"/>
      <c r="BL2" s="182"/>
      <c r="BM2" s="182"/>
      <c r="BN2" s="182"/>
      <c r="BO2" s="182"/>
      <c r="BP2" s="182"/>
      <c r="BQ2" s="182"/>
      <c r="BR2" s="182"/>
      <c r="BS2" s="182"/>
      <c r="BT2" s="182"/>
      <c r="BU2" s="182"/>
      <c r="BV2" s="182"/>
      <c r="BW2" s="182"/>
      <c r="BX2" s="182"/>
      <c r="BY2" s="182"/>
      <c r="BZ2" s="182"/>
      <c r="CA2" s="182"/>
      <c r="CB2" s="185">
        <v>134.63999999999999</v>
      </c>
      <c r="CC2" s="185">
        <v>0</v>
      </c>
      <c r="CD2" s="185">
        <v>1362</v>
      </c>
      <c r="CE2" s="185"/>
    </row>
    <row r="3" spans="1:95" ht="37.5" x14ac:dyDescent="0.3">
      <c r="B3" s="182">
        <v>1587</v>
      </c>
      <c r="C3" s="182">
        <v>1363</v>
      </c>
      <c r="D3" s="182"/>
      <c r="E3" s="181" t="s">
        <v>4051</v>
      </c>
      <c r="F3" s="182" t="s">
        <v>220</v>
      </c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>
        <v>96.88</v>
      </c>
      <c r="T3" s="182"/>
      <c r="U3" s="182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5">
        <v>96.88</v>
      </c>
      <c r="AR3" s="182">
        <v>96.88</v>
      </c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2"/>
      <c r="BL3" s="182"/>
      <c r="BM3" s="182"/>
      <c r="BN3" s="182"/>
      <c r="BO3" s="182"/>
      <c r="BP3" s="182"/>
      <c r="BQ3" s="182"/>
      <c r="BR3" s="182"/>
      <c r="BS3" s="182"/>
      <c r="BT3" s="182"/>
      <c r="BU3" s="182"/>
      <c r="BV3" s="182"/>
      <c r="BW3" s="182"/>
      <c r="BX3" s="182"/>
      <c r="BY3" s="182"/>
      <c r="BZ3" s="182"/>
      <c r="CA3" s="182"/>
      <c r="CB3" s="185">
        <v>96.88</v>
      </c>
      <c r="CC3" s="185">
        <v>0</v>
      </c>
      <c r="CD3" s="185">
        <v>1363</v>
      </c>
      <c r="CE3" s="185"/>
    </row>
    <row r="4" spans="1:95" ht="37.5" x14ac:dyDescent="0.3">
      <c r="B4" s="182">
        <v>1590</v>
      </c>
      <c r="C4" s="182">
        <v>1364</v>
      </c>
      <c r="D4" s="182"/>
      <c r="E4" s="181" t="s">
        <v>4051</v>
      </c>
      <c r="F4" s="182" t="s">
        <v>220</v>
      </c>
      <c r="G4" s="182"/>
      <c r="H4" s="182"/>
      <c r="I4" s="182"/>
      <c r="J4" s="182"/>
      <c r="K4" s="182"/>
      <c r="L4" s="182"/>
      <c r="M4" s="182"/>
      <c r="N4" s="182"/>
      <c r="O4" s="182"/>
      <c r="P4" s="182"/>
      <c r="Q4" s="182"/>
      <c r="R4" s="182"/>
      <c r="S4" s="182">
        <v>106.87</v>
      </c>
      <c r="T4" s="182"/>
      <c r="U4" s="182"/>
      <c r="V4" s="182"/>
      <c r="W4" s="182"/>
      <c r="X4" s="182"/>
      <c r="Y4" s="182"/>
      <c r="Z4" s="182"/>
      <c r="AA4" s="182"/>
      <c r="AB4" s="182"/>
      <c r="AC4" s="182"/>
      <c r="AD4" s="182"/>
      <c r="AE4" s="182"/>
      <c r="AF4" s="182"/>
      <c r="AG4" s="182"/>
      <c r="AH4" s="182"/>
      <c r="AI4" s="182"/>
      <c r="AJ4" s="182"/>
      <c r="AK4" s="182"/>
      <c r="AL4" s="182"/>
      <c r="AM4" s="182"/>
      <c r="AN4" s="182"/>
      <c r="AO4" s="182"/>
      <c r="AP4" s="182"/>
      <c r="AQ4" s="185">
        <v>106.87</v>
      </c>
      <c r="AR4" s="182">
        <v>106.87</v>
      </c>
      <c r="AS4" s="182"/>
      <c r="AT4" s="182"/>
      <c r="AU4" s="182"/>
      <c r="AV4" s="182"/>
      <c r="AW4" s="182"/>
      <c r="AX4" s="182"/>
      <c r="AY4" s="182"/>
      <c r="AZ4" s="182"/>
      <c r="BA4" s="182"/>
      <c r="BB4" s="182"/>
      <c r="BC4" s="182"/>
      <c r="BD4" s="182"/>
      <c r="BE4" s="182"/>
      <c r="BF4" s="182"/>
      <c r="BG4" s="182"/>
      <c r="BH4" s="182"/>
      <c r="BI4" s="182"/>
      <c r="BJ4" s="182"/>
      <c r="BK4" s="182"/>
      <c r="BL4" s="182"/>
      <c r="BM4" s="182"/>
      <c r="BN4" s="182"/>
      <c r="BO4" s="182"/>
      <c r="BP4" s="182"/>
      <c r="BQ4" s="182"/>
      <c r="BR4" s="182"/>
      <c r="BS4" s="182"/>
      <c r="BT4" s="182"/>
      <c r="BU4" s="182"/>
      <c r="BV4" s="182"/>
      <c r="BW4" s="182"/>
      <c r="BX4" s="182"/>
      <c r="BY4" s="182"/>
      <c r="BZ4" s="182"/>
      <c r="CA4" s="182"/>
      <c r="CB4" s="185">
        <v>106.87</v>
      </c>
      <c r="CC4" s="185">
        <v>0</v>
      </c>
      <c r="CD4" s="185">
        <v>1364</v>
      </c>
      <c r="CE4" s="185"/>
    </row>
    <row r="5" spans="1:95" ht="37.5" x14ac:dyDescent="0.3">
      <c r="B5" s="182">
        <v>1592</v>
      </c>
      <c r="C5" s="182">
        <v>1365</v>
      </c>
      <c r="D5" s="182"/>
      <c r="E5" s="181" t="s">
        <v>4051</v>
      </c>
      <c r="F5" s="182" t="s">
        <v>220</v>
      </c>
      <c r="G5" s="182"/>
      <c r="H5" s="182"/>
      <c r="I5" s="182"/>
      <c r="J5" s="182"/>
      <c r="K5" s="182"/>
      <c r="L5" s="182"/>
      <c r="M5" s="182"/>
      <c r="N5" s="182"/>
      <c r="O5" s="182"/>
      <c r="P5" s="182"/>
      <c r="Q5" s="182"/>
      <c r="R5" s="182"/>
      <c r="S5" s="182">
        <v>206.43</v>
      </c>
      <c r="T5" s="182"/>
      <c r="U5" s="182"/>
      <c r="V5" s="182"/>
      <c r="W5" s="182"/>
      <c r="X5" s="182"/>
      <c r="Y5" s="182"/>
      <c r="Z5" s="182"/>
      <c r="AA5" s="182"/>
      <c r="AB5" s="182"/>
      <c r="AC5" s="182"/>
      <c r="AD5" s="182"/>
      <c r="AE5" s="182"/>
      <c r="AF5" s="182"/>
      <c r="AG5" s="182"/>
      <c r="AH5" s="182"/>
      <c r="AI5" s="182"/>
      <c r="AJ5" s="182"/>
      <c r="AK5" s="182"/>
      <c r="AL5" s="182"/>
      <c r="AM5" s="182"/>
      <c r="AN5" s="182"/>
      <c r="AO5" s="182"/>
      <c r="AP5" s="182"/>
      <c r="AQ5" s="185">
        <v>206.43</v>
      </c>
      <c r="AR5" s="182">
        <v>206.43</v>
      </c>
      <c r="AS5" s="182"/>
      <c r="AT5" s="182"/>
      <c r="AU5" s="182"/>
      <c r="AV5" s="182"/>
      <c r="AW5" s="182"/>
      <c r="AX5" s="182"/>
      <c r="AY5" s="182"/>
      <c r="AZ5" s="182"/>
      <c r="BA5" s="182"/>
      <c r="BB5" s="182"/>
      <c r="BC5" s="182"/>
      <c r="BD5" s="182"/>
      <c r="BE5" s="182"/>
      <c r="BF5" s="182"/>
      <c r="BG5" s="182"/>
      <c r="BH5" s="182"/>
      <c r="BI5" s="182"/>
      <c r="BJ5" s="182"/>
      <c r="BK5" s="182"/>
      <c r="BL5" s="182"/>
      <c r="BM5" s="182"/>
      <c r="BN5" s="182"/>
      <c r="BO5" s="182"/>
      <c r="BP5" s="182"/>
      <c r="BQ5" s="182"/>
      <c r="BR5" s="182"/>
      <c r="BS5" s="182"/>
      <c r="BT5" s="182"/>
      <c r="BU5" s="182"/>
      <c r="BV5" s="182"/>
      <c r="BW5" s="182"/>
      <c r="BX5" s="182"/>
      <c r="BY5" s="182"/>
      <c r="BZ5" s="182"/>
      <c r="CA5" s="182"/>
      <c r="CB5" s="185">
        <v>206.43</v>
      </c>
      <c r="CC5" s="185">
        <v>0</v>
      </c>
      <c r="CD5" s="185">
        <v>1365</v>
      </c>
      <c r="CE5" s="185"/>
    </row>
    <row r="6" spans="1:95" x14ac:dyDescent="0.3">
      <c r="B6" s="182">
        <v>1539</v>
      </c>
      <c r="C6" s="182">
        <v>1366</v>
      </c>
      <c r="D6" s="182"/>
      <c r="E6" s="181" t="s">
        <v>4052</v>
      </c>
      <c r="F6" s="182" t="s">
        <v>220</v>
      </c>
      <c r="G6" s="182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  <c r="AB6" s="182"/>
      <c r="AC6" s="182">
        <v>1177.31</v>
      </c>
      <c r="AD6" s="182"/>
      <c r="AE6" s="182"/>
      <c r="AF6" s="182"/>
      <c r="AG6" s="182"/>
      <c r="AH6" s="182"/>
      <c r="AI6" s="182"/>
      <c r="AJ6" s="182"/>
      <c r="AK6" s="182"/>
      <c r="AL6" s="182"/>
      <c r="AM6" s="182"/>
      <c r="AN6" s="182"/>
      <c r="AO6" s="182"/>
      <c r="AP6" s="182"/>
      <c r="AQ6" s="185">
        <v>1177.31</v>
      </c>
      <c r="AR6" s="182">
        <v>1177.31</v>
      </c>
      <c r="AS6" s="182"/>
      <c r="AT6" s="182"/>
      <c r="AU6" s="182"/>
      <c r="AV6" s="182"/>
      <c r="AW6" s="182"/>
      <c r="AX6" s="182"/>
      <c r="AY6" s="182"/>
      <c r="AZ6" s="182"/>
      <c r="BA6" s="182"/>
      <c r="BB6" s="182"/>
      <c r="BC6" s="182"/>
      <c r="BD6" s="182"/>
      <c r="BE6" s="182"/>
      <c r="BF6" s="182"/>
      <c r="BG6" s="182"/>
      <c r="BH6" s="182"/>
      <c r="BI6" s="182"/>
      <c r="BJ6" s="182"/>
      <c r="BK6" s="182"/>
      <c r="BL6" s="182"/>
      <c r="BM6" s="182"/>
      <c r="BN6" s="182"/>
      <c r="BO6" s="182"/>
      <c r="BP6" s="182"/>
      <c r="BQ6" s="182"/>
      <c r="BR6" s="182"/>
      <c r="BS6" s="182"/>
      <c r="BT6" s="182"/>
      <c r="BU6" s="182"/>
      <c r="BV6" s="182"/>
      <c r="BW6" s="182"/>
      <c r="BX6" s="182"/>
      <c r="BY6" s="182"/>
      <c r="BZ6" s="182"/>
      <c r="CA6" s="182"/>
      <c r="CB6" s="185">
        <v>1177.31</v>
      </c>
      <c r="CC6" s="185">
        <v>0</v>
      </c>
      <c r="CD6" s="185">
        <v>1366</v>
      </c>
      <c r="CE6" s="185"/>
    </row>
    <row r="7" spans="1:95" x14ac:dyDescent="0.3">
      <c r="B7" s="182">
        <v>1565</v>
      </c>
      <c r="C7" s="182">
        <v>1367</v>
      </c>
      <c r="D7" s="182"/>
      <c r="E7" s="181" t="s">
        <v>4053</v>
      </c>
      <c r="F7" s="182" t="s">
        <v>220</v>
      </c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  <c r="AC7" s="182">
        <v>104</v>
      </c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5">
        <v>104</v>
      </c>
      <c r="AR7" s="182">
        <v>104</v>
      </c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/>
      <c r="BJ7" s="182"/>
      <c r="BK7" s="182"/>
      <c r="BL7" s="182"/>
      <c r="BM7" s="182"/>
      <c r="BN7" s="182"/>
      <c r="BO7" s="182"/>
      <c r="BP7" s="182"/>
      <c r="BQ7" s="182"/>
      <c r="BR7" s="182"/>
      <c r="BS7" s="182"/>
      <c r="BT7" s="182"/>
      <c r="BU7" s="182"/>
      <c r="BV7" s="182"/>
      <c r="BW7" s="182"/>
      <c r="BX7" s="182"/>
      <c r="BY7" s="182"/>
      <c r="BZ7" s="182"/>
      <c r="CA7" s="182"/>
      <c r="CB7" s="185">
        <v>104</v>
      </c>
      <c r="CC7" s="185">
        <v>0</v>
      </c>
      <c r="CD7" s="185">
        <v>1367</v>
      </c>
      <c r="CE7" s="185"/>
    </row>
    <row r="8" spans="1:95" x14ac:dyDescent="0.3">
      <c r="B8" s="182">
        <v>1536</v>
      </c>
      <c r="C8" s="182">
        <v>1368</v>
      </c>
      <c r="D8" s="182"/>
      <c r="E8" s="181" t="s">
        <v>4054</v>
      </c>
      <c r="F8" s="182" t="s">
        <v>220</v>
      </c>
      <c r="G8" s="182"/>
      <c r="H8" s="182"/>
      <c r="I8" s="182"/>
      <c r="J8" s="182"/>
      <c r="K8" s="182"/>
      <c r="L8" s="182"/>
      <c r="M8" s="182"/>
      <c r="N8" s="182"/>
      <c r="O8" s="182"/>
      <c r="P8" s="182"/>
      <c r="Q8" s="182"/>
      <c r="R8" s="182"/>
      <c r="S8" s="182"/>
      <c r="T8" s="182"/>
      <c r="U8" s="182"/>
      <c r="V8" s="182"/>
      <c r="W8" s="182"/>
      <c r="X8" s="182"/>
      <c r="Y8" s="182"/>
      <c r="Z8" s="182"/>
      <c r="AA8" s="182"/>
      <c r="AB8" s="182"/>
      <c r="AC8" s="182">
        <v>930.81</v>
      </c>
      <c r="AD8" s="182"/>
      <c r="AE8" s="182"/>
      <c r="AF8" s="182"/>
      <c r="AG8" s="182"/>
      <c r="AH8" s="182"/>
      <c r="AI8" s="182"/>
      <c r="AJ8" s="182"/>
      <c r="AK8" s="182"/>
      <c r="AL8" s="182"/>
      <c r="AM8" s="182"/>
      <c r="AN8" s="182"/>
      <c r="AO8" s="182"/>
      <c r="AP8" s="182"/>
      <c r="AQ8" s="185">
        <v>930.81</v>
      </c>
      <c r="AR8" s="182">
        <v>930.81</v>
      </c>
      <c r="AS8" s="182"/>
      <c r="AT8" s="182"/>
      <c r="AU8" s="182"/>
      <c r="AV8" s="182"/>
      <c r="AW8" s="182"/>
      <c r="AX8" s="182"/>
      <c r="AY8" s="182"/>
      <c r="AZ8" s="182"/>
      <c r="BA8" s="182"/>
      <c r="BB8" s="182"/>
      <c r="BC8" s="182"/>
      <c r="BD8" s="182"/>
      <c r="BE8" s="182"/>
      <c r="BF8" s="182"/>
      <c r="BG8" s="182"/>
      <c r="BH8" s="182"/>
      <c r="BI8" s="182"/>
      <c r="BJ8" s="182"/>
      <c r="BK8" s="182"/>
      <c r="BL8" s="182"/>
      <c r="BM8" s="182"/>
      <c r="BN8" s="182"/>
      <c r="BO8" s="182"/>
      <c r="BP8" s="182"/>
      <c r="BQ8" s="182"/>
      <c r="BR8" s="182"/>
      <c r="BS8" s="182"/>
      <c r="BT8" s="182"/>
      <c r="BU8" s="182"/>
      <c r="BV8" s="182"/>
      <c r="BW8" s="182"/>
      <c r="BX8" s="182"/>
      <c r="BY8" s="182"/>
      <c r="BZ8" s="182"/>
      <c r="CA8" s="182"/>
      <c r="CB8" s="185">
        <v>930.81</v>
      </c>
      <c r="CC8" s="185">
        <v>0</v>
      </c>
      <c r="CD8" s="185">
        <v>1368</v>
      </c>
      <c r="CE8" s="185"/>
    </row>
    <row r="9" spans="1:95" x14ac:dyDescent="0.3">
      <c r="B9" s="182">
        <v>1562</v>
      </c>
      <c r="C9" s="182">
        <v>1369</v>
      </c>
      <c r="D9" s="182"/>
      <c r="E9" s="181" t="s">
        <v>4055</v>
      </c>
      <c r="F9" s="182" t="s">
        <v>220</v>
      </c>
      <c r="G9" s="182"/>
      <c r="H9" s="182"/>
      <c r="I9" s="182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  <c r="AC9" s="182">
        <v>1328</v>
      </c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5">
        <v>1328</v>
      </c>
      <c r="AR9" s="182">
        <v>1328</v>
      </c>
      <c r="AS9" s="182"/>
      <c r="AT9" s="182"/>
      <c r="AU9" s="182"/>
      <c r="AV9" s="182"/>
      <c r="AW9" s="182"/>
      <c r="AX9" s="182"/>
      <c r="AY9" s="182"/>
      <c r="AZ9" s="182"/>
      <c r="BA9" s="182"/>
      <c r="BB9" s="182"/>
      <c r="BC9" s="182"/>
      <c r="BD9" s="182"/>
      <c r="BE9" s="182"/>
      <c r="BF9" s="182"/>
      <c r="BG9" s="182"/>
      <c r="BH9" s="182"/>
      <c r="BI9" s="182"/>
      <c r="BJ9" s="182"/>
      <c r="BK9" s="182"/>
      <c r="BL9" s="182"/>
      <c r="BM9" s="182"/>
      <c r="BN9" s="182"/>
      <c r="BO9" s="182"/>
      <c r="BP9" s="182"/>
      <c r="BQ9" s="182"/>
      <c r="BR9" s="182"/>
      <c r="BS9" s="182"/>
      <c r="BT9" s="182"/>
      <c r="BU9" s="182"/>
      <c r="BV9" s="182"/>
      <c r="BW9" s="182"/>
      <c r="BX9" s="182"/>
      <c r="BY9" s="182"/>
      <c r="BZ9" s="182"/>
      <c r="CA9" s="182"/>
      <c r="CB9" s="185">
        <v>1328</v>
      </c>
      <c r="CC9" s="185">
        <v>0</v>
      </c>
      <c r="CD9" s="185">
        <v>1369</v>
      </c>
      <c r="CE9" s="185"/>
    </row>
    <row r="10" spans="1:95" ht="37.5" x14ac:dyDescent="0.3">
      <c r="B10" s="182">
        <v>1582</v>
      </c>
      <c r="C10" s="182">
        <v>1370</v>
      </c>
      <c r="D10" s="182"/>
      <c r="E10" s="181" t="s">
        <v>4051</v>
      </c>
      <c r="F10" s="182" t="s">
        <v>220</v>
      </c>
      <c r="G10" s="182"/>
      <c r="H10" s="182"/>
      <c r="I10" s="182"/>
      <c r="J10" s="182"/>
      <c r="K10" s="182"/>
      <c r="L10" s="182"/>
      <c r="M10" s="182"/>
      <c r="N10" s="182"/>
      <c r="O10" s="182"/>
      <c r="P10" s="182"/>
      <c r="Q10" s="182"/>
      <c r="R10" s="182"/>
      <c r="S10" s="182">
        <v>104.44</v>
      </c>
      <c r="T10" s="182"/>
      <c r="U10" s="182"/>
      <c r="V10" s="182"/>
      <c r="W10" s="182"/>
      <c r="X10" s="182"/>
      <c r="Y10" s="182"/>
      <c r="Z10" s="182"/>
      <c r="AA10" s="182"/>
      <c r="AB10" s="182"/>
      <c r="AC10" s="182"/>
      <c r="AD10" s="182"/>
      <c r="AE10" s="182"/>
      <c r="AF10" s="182"/>
      <c r="AG10" s="182"/>
      <c r="AH10" s="182"/>
      <c r="AI10" s="182"/>
      <c r="AJ10" s="182"/>
      <c r="AK10" s="182"/>
      <c r="AL10" s="182"/>
      <c r="AM10" s="182"/>
      <c r="AN10" s="182"/>
      <c r="AO10" s="182"/>
      <c r="AP10" s="182"/>
      <c r="AQ10" s="185">
        <v>104.44</v>
      </c>
      <c r="AR10" s="182">
        <v>104.44</v>
      </c>
      <c r="AS10" s="182"/>
      <c r="AT10" s="182"/>
      <c r="AU10" s="182"/>
      <c r="AV10" s="182"/>
      <c r="AW10" s="182"/>
      <c r="AX10" s="182"/>
      <c r="AY10" s="182"/>
      <c r="AZ10" s="182"/>
      <c r="BA10" s="182"/>
      <c r="BB10" s="182"/>
      <c r="BC10" s="182"/>
      <c r="BD10" s="182"/>
      <c r="BE10" s="182"/>
      <c r="BF10" s="182"/>
      <c r="BG10" s="182"/>
      <c r="BH10" s="182"/>
      <c r="BI10" s="182"/>
      <c r="BJ10" s="182"/>
      <c r="BK10" s="182"/>
      <c r="BL10" s="182"/>
      <c r="BM10" s="182"/>
      <c r="BN10" s="182"/>
      <c r="BO10" s="182"/>
      <c r="BP10" s="182"/>
      <c r="BQ10" s="182"/>
      <c r="BR10" s="182"/>
      <c r="BS10" s="182"/>
      <c r="BT10" s="182"/>
      <c r="BU10" s="182"/>
      <c r="BV10" s="182"/>
      <c r="BW10" s="182"/>
      <c r="BX10" s="182"/>
      <c r="BY10" s="182"/>
      <c r="BZ10" s="182"/>
      <c r="CA10" s="182"/>
      <c r="CB10" s="185">
        <v>104.44</v>
      </c>
      <c r="CC10" s="185">
        <v>0</v>
      </c>
      <c r="CD10" s="185">
        <v>1370</v>
      </c>
      <c r="CE10" s="185"/>
    </row>
    <row r="11" spans="1:95" x14ac:dyDescent="0.3">
      <c r="B11" s="182">
        <v>1538</v>
      </c>
      <c r="C11" s="182">
        <v>1371</v>
      </c>
      <c r="D11" s="182"/>
      <c r="E11" s="181" t="s">
        <v>4056</v>
      </c>
      <c r="F11" s="182" t="s">
        <v>220</v>
      </c>
      <c r="G11" s="182"/>
      <c r="H11" s="182"/>
      <c r="I11" s="182"/>
      <c r="J11" s="182"/>
      <c r="K11" s="182"/>
      <c r="L11" s="182"/>
      <c r="M11" s="182"/>
      <c r="N11" s="182"/>
      <c r="O11" s="182"/>
      <c r="P11" s="182"/>
      <c r="Q11" s="182"/>
      <c r="R11" s="182"/>
      <c r="S11" s="182"/>
      <c r="T11" s="182"/>
      <c r="U11" s="182"/>
      <c r="V11" s="182"/>
      <c r="W11" s="182"/>
      <c r="X11" s="182"/>
      <c r="Y11" s="182"/>
      <c r="Z11" s="182"/>
      <c r="AA11" s="182"/>
      <c r="AB11" s="182"/>
      <c r="AC11" s="182">
        <v>3400</v>
      </c>
      <c r="AD11" s="182"/>
      <c r="AE11" s="182"/>
      <c r="AF11" s="182"/>
      <c r="AG11" s="182"/>
      <c r="AH11" s="182"/>
      <c r="AI11" s="182"/>
      <c r="AJ11" s="182"/>
      <c r="AK11" s="182"/>
      <c r="AL11" s="182"/>
      <c r="AM11" s="182"/>
      <c r="AN11" s="182"/>
      <c r="AO11" s="182"/>
      <c r="AP11" s="182"/>
      <c r="AQ11" s="185">
        <v>3400</v>
      </c>
      <c r="AR11" s="182">
        <v>3400</v>
      </c>
      <c r="AS11" s="182"/>
      <c r="AT11" s="182"/>
      <c r="AU11" s="182"/>
      <c r="AV11" s="182"/>
      <c r="AW11" s="18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2"/>
      <c r="BH11" s="182"/>
      <c r="BI11" s="182"/>
      <c r="BJ11" s="182"/>
      <c r="BK11" s="182"/>
      <c r="BL11" s="182"/>
      <c r="BM11" s="182"/>
      <c r="BN11" s="182"/>
      <c r="BO11" s="182"/>
      <c r="BP11" s="182"/>
      <c r="BQ11" s="182"/>
      <c r="BR11" s="182"/>
      <c r="BS11" s="182"/>
      <c r="BT11" s="182"/>
      <c r="BU11" s="182"/>
      <c r="BV11" s="182"/>
      <c r="BW11" s="182"/>
      <c r="BX11" s="182"/>
      <c r="BY11" s="182"/>
      <c r="BZ11" s="182"/>
      <c r="CA11" s="182"/>
      <c r="CB11" s="185">
        <v>3400</v>
      </c>
      <c r="CC11" s="185">
        <v>0</v>
      </c>
      <c r="CD11" s="185">
        <v>1371</v>
      </c>
      <c r="CE11" s="185"/>
    </row>
    <row r="12" spans="1:95" x14ac:dyDescent="0.3">
      <c r="B12" s="182">
        <v>1564</v>
      </c>
      <c r="C12" s="182">
        <v>1372</v>
      </c>
      <c r="D12" s="182"/>
      <c r="E12" s="181" t="s">
        <v>4057</v>
      </c>
      <c r="F12" s="182" t="s">
        <v>220</v>
      </c>
      <c r="G12" s="182"/>
      <c r="H12" s="182"/>
      <c r="I12" s="182"/>
      <c r="J12" s="182"/>
      <c r="K12" s="182"/>
      <c r="L12" s="182"/>
      <c r="M12" s="182"/>
      <c r="N12" s="182"/>
      <c r="O12" s="182"/>
      <c r="P12" s="182"/>
      <c r="Q12" s="182"/>
      <c r="R12" s="182"/>
      <c r="S12" s="182"/>
      <c r="T12" s="182"/>
      <c r="U12" s="182"/>
      <c r="V12" s="182"/>
      <c r="W12" s="182"/>
      <c r="X12" s="182"/>
      <c r="Y12" s="182"/>
      <c r="Z12" s="182"/>
      <c r="AA12" s="182"/>
      <c r="AB12" s="182"/>
      <c r="AC12" s="182">
        <v>1575</v>
      </c>
      <c r="AD12" s="182"/>
      <c r="AE12" s="182"/>
      <c r="AF12" s="182"/>
      <c r="AG12" s="182"/>
      <c r="AH12" s="182"/>
      <c r="AI12" s="182"/>
      <c r="AJ12" s="182"/>
      <c r="AK12" s="182"/>
      <c r="AL12" s="182"/>
      <c r="AM12" s="182"/>
      <c r="AN12" s="182"/>
      <c r="AO12" s="182"/>
      <c r="AP12" s="182"/>
      <c r="AQ12" s="185">
        <v>1575</v>
      </c>
      <c r="AR12" s="182">
        <v>1575</v>
      </c>
      <c r="AS12" s="182"/>
      <c r="AT12" s="182"/>
      <c r="AU12" s="182"/>
      <c r="AV12" s="182"/>
      <c r="AW12" s="182"/>
      <c r="AX12" s="182"/>
      <c r="AY12" s="182"/>
      <c r="AZ12" s="182"/>
      <c r="BA12" s="182"/>
      <c r="BB12" s="182"/>
      <c r="BC12" s="182"/>
      <c r="BD12" s="182"/>
      <c r="BE12" s="182"/>
      <c r="BF12" s="182"/>
      <c r="BG12" s="182"/>
      <c r="BH12" s="182"/>
      <c r="BI12" s="182"/>
      <c r="BJ12" s="182"/>
      <c r="BK12" s="182"/>
      <c r="BL12" s="182"/>
      <c r="BM12" s="182"/>
      <c r="BN12" s="182"/>
      <c r="BO12" s="182"/>
      <c r="BP12" s="182"/>
      <c r="BQ12" s="182"/>
      <c r="BR12" s="182"/>
      <c r="BS12" s="182"/>
      <c r="BT12" s="182"/>
      <c r="BU12" s="182"/>
      <c r="BV12" s="182"/>
      <c r="BW12" s="182"/>
      <c r="BX12" s="182"/>
      <c r="BY12" s="182"/>
      <c r="BZ12" s="182"/>
      <c r="CA12" s="182"/>
      <c r="CB12" s="185">
        <v>1575</v>
      </c>
      <c r="CC12" s="185">
        <v>0</v>
      </c>
      <c r="CD12" s="185">
        <v>1372</v>
      </c>
      <c r="CE12" s="185"/>
    </row>
    <row r="13" spans="1:95" x14ac:dyDescent="0.3">
      <c r="B13" s="182">
        <v>1550</v>
      </c>
      <c r="C13" s="182">
        <v>1373</v>
      </c>
      <c r="D13" s="182"/>
      <c r="E13" s="181" t="s">
        <v>4058</v>
      </c>
      <c r="F13" s="182" t="s">
        <v>220</v>
      </c>
      <c r="G13" s="182"/>
      <c r="H13" s="182"/>
      <c r="I13" s="182"/>
      <c r="J13" s="182"/>
      <c r="K13" s="182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82"/>
      <c r="X13" s="182"/>
      <c r="Y13" s="182"/>
      <c r="Z13" s="182"/>
      <c r="AA13" s="182"/>
      <c r="AB13" s="182"/>
      <c r="AC13" s="182">
        <v>4</v>
      </c>
      <c r="AD13" s="182"/>
      <c r="AE13" s="182"/>
      <c r="AF13" s="182"/>
      <c r="AG13" s="182"/>
      <c r="AH13" s="182"/>
      <c r="AI13" s="182"/>
      <c r="AJ13" s="182"/>
      <c r="AK13" s="182"/>
      <c r="AL13" s="182"/>
      <c r="AM13" s="182"/>
      <c r="AN13" s="182"/>
      <c r="AO13" s="182"/>
      <c r="AP13" s="182"/>
      <c r="AQ13" s="185">
        <v>4</v>
      </c>
      <c r="AR13" s="182">
        <v>4</v>
      </c>
      <c r="AS13" s="182"/>
      <c r="AT13" s="182"/>
      <c r="AU13" s="182"/>
      <c r="AV13" s="182"/>
      <c r="AW13" s="18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2"/>
      <c r="BH13" s="182"/>
      <c r="BI13" s="182"/>
      <c r="BJ13" s="182"/>
      <c r="BK13" s="182"/>
      <c r="BL13" s="182"/>
      <c r="BM13" s="182"/>
      <c r="BN13" s="182"/>
      <c r="BO13" s="182"/>
      <c r="BP13" s="182"/>
      <c r="BQ13" s="182"/>
      <c r="BR13" s="182"/>
      <c r="BS13" s="182"/>
      <c r="BT13" s="182"/>
      <c r="BU13" s="182"/>
      <c r="BV13" s="182"/>
      <c r="BW13" s="182"/>
      <c r="BX13" s="182"/>
      <c r="BY13" s="182"/>
      <c r="BZ13" s="182"/>
      <c r="CA13" s="182"/>
      <c r="CB13" s="185">
        <v>4</v>
      </c>
      <c r="CC13" s="185">
        <v>0</v>
      </c>
      <c r="CD13" s="185">
        <v>1373</v>
      </c>
      <c r="CE13" s="185"/>
    </row>
    <row r="14" spans="1:95" ht="37.5" x14ac:dyDescent="0.3">
      <c r="B14" s="182">
        <v>1588</v>
      </c>
      <c r="C14" s="182">
        <v>1374</v>
      </c>
      <c r="D14" s="182"/>
      <c r="E14" s="181" t="s">
        <v>4059</v>
      </c>
      <c r="F14" s="182" t="s">
        <v>220</v>
      </c>
      <c r="G14" s="182"/>
      <c r="H14" s="182"/>
      <c r="I14" s="182"/>
      <c r="J14" s="182"/>
      <c r="K14" s="182"/>
      <c r="L14" s="182"/>
      <c r="M14" s="182"/>
      <c r="N14" s="182"/>
      <c r="O14" s="182"/>
      <c r="P14" s="182"/>
      <c r="Q14" s="182"/>
      <c r="R14" s="182"/>
      <c r="S14" s="182">
        <v>561455.67000000004</v>
      </c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2"/>
      <c r="AM14" s="182"/>
      <c r="AN14" s="182"/>
      <c r="AO14" s="182"/>
      <c r="AP14" s="182"/>
      <c r="AQ14" s="185">
        <v>561455.67000000004</v>
      </c>
      <c r="AR14" s="182">
        <v>561455.67000000004</v>
      </c>
      <c r="AS14" s="182"/>
      <c r="AT14" s="182"/>
      <c r="AU14" s="182"/>
      <c r="AV14" s="182"/>
      <c r="AW14" s="182"/>
      <c r="AX14" s="182"/>
      <c r="AY14" s="182"/>
      <c r="AZ14" s="182"/>
      <c r="BA14" s="182"/>
      <c r="BB14" s="182"/>
      <c r="BC14" s="182"/>
      <c r="BD14" s="182"/>
      <c r="BE14" s="182"/>
      <c r="BF14" s="182"/>
      <c r="BG14" s="182"/>
      <c r="BH14" s="182"/>
      <c r="BI14" s="182"/>
      <c r="BJ14" s="182"/>
      <c r="BK14" s="182"/>
      <c r="BL14" s="182"/>
      <c r="BM14" s="182"/>
      <c r="BN14" s="182"/>
      <c r="BO14" s="182"/>
      <c r="BP14" s="182"/>
      <c r="BQ14" s="182"/>
      <c r="BR14" s="182"/>
      <c r="BS14" s="182"/>
      <c r="BT14" s="182"/>
      <c r="BU14" s="182"/>
      <c r="BV14" s="182"/>
      <c r="BW14" s="182"/>
      <c r="BX14" s="182"/>
      <c r="BY14" s="182"/>
      <c r="BZ14" s="182"/>
      <c r="CA14" s="182"/>
      <c r="CB14" s="185">
        <v>561455.67000000004</v>
      </c>
      <c r="CC14" s="185">
        <v>0</v>
      </c>
      <c r="CD14" s="185">
        <v>1374</v>
      </c>
      <c r="CE14" s="185"/>
    </row>
    <row r="15" spans="1:95" x14ac:dyDescent="0.3">
      <c r="B15" s="182">
        <v>1593</v>
      </c>
      <c r="C15" s="182">
        <v>1375</v>
      </c>
      <c r="D15" s="182"/>
      <c r="E15" s="181" t="s">
        <v>4060</v>
      </c>
      <c r="F15" s="182" t="s">
        <v>220</v>
      </c>
      <c r="G15" s="182"/>
      <c r="H15" s="182"/>
      <c r="I15" s="182"/>
      <c r="J15" s="182"/>
      <c r="K15" s="182"/>
      <c r="L15" s="182"/>
      <c r="M15" s="182"/>
      <c r="N15" s="182"/>
      <c r="O15" s="182"/>
      <c r="P15" s="182"/>
      <c r="Q15" s="182"/>
      <c r="R15" s="182"/>
      <c r="S15" s="182"/>
      <c r="T15" s="182"/>
      <c r="U15" s="182"/>
      <c r="V15" s="182"/>
      <c r="W15" s="182"/>
      <c r="X15" s="182"/>
      <c r="Y15" s="182"/>
      <c r="Z15" s="182"/>
      <c r="AA15" s="182"/>
      <c r="AB15" s="182"/>
      <c r="AC15" s="182">
        <v>215.33</v>
      </c>
      <c r="AD15" s="182"/>
      <c r="AE15" s="182"/>
      <c r="AF15" s="182"/>
      <c r="AG15" s="182"/>
      <c r="AH15" s="182"/>
      <c r="AI15" s="182"/>
      <c r="AJ15" s="182"/>
      <c r="AK15" s="182"/>
      <c r="AL15" s="182"/>
      <c r="AM15" s="182"/>
      <c r="AN15" s="182"/>
      <c r="AO15" s="182"/>
      <c r="AP15" s="182"/>
      <c r="AQ15" s="185">
        <v>215.33</v>
      </c>
      <c r="AR15" s="182">
        <v>215.33</v>
      </c>
      <c r="AS15" s="182"/>
      <c r="AT15" s="182"/>
      <c r="AU15" s="182"/>
      <c r="AV15" s="182"/>
      <c r="AW15" s="182"/>
      <c r="AX15" s="182"/>
      <c r="AY15" s="182"/>
      <c r="AZ15" s="182"/>
      <c r="BA15" s="182"/>
      <c r="BB15" s="182"/>
      <c r="BC15" s="182"/>
      <c r="BD15" s="182"/>
      <c r="BE15" s="182"/>
      <c r="BF15" s="182"/>
      <c r="BG15" s="182"/>
      <c r="BH15" s="182"/>
      <c r="BI15" s="182"/>
      <c r="BJ15" s="182"/>
      <c r="BK15" s="182"/>
      <c r="BL15" s="182"/>
      <c r="BM15" s="182"/>
      <c r="BN15" s="182"/>
      <c r="BO15" s="182"/>
      <c r="BP15" s="182"/>
      <c r="BQ15" s="182"/>
      <c r="BR15" s="182"/>
      <c r="BS15" s="182"/>
      <c r="BT15" s="182"/>
      <c r="BU15" s="182"/>
      <c r="BV15" s="182"/>
      <c r="BW15" s="182"/>
      <c r="BX15" s="182"/>
      <c r="BY15" s="182"/>
      <c r="BZ15" s="182"/>
      <c r="CA15" s="182"/>
      <c r="CB15" s="185">
        <v>215.33</v>
      </c>
      <c r="CC15" s="185">
        <v>0</v>
      </c>
      <c r="CD15" s="185">
        <v>1375</v>
      </c>
      <c r="CE15" s="185"/>
    </row>
    <row r="16" spans="1:95" x14ac:dyDescent="0.3">
      <c r="B16" s="182">
        <v>1594</v>
      </c>
      <c r="C16" s="182">
        <v>1376</v>
      </c>
      <c r="D16" s="182"/>
      <c r="E16" s="181" t="s">
        <v>4061</v>
      </c>
      <c r="F16" s="182" t="s">
        <v>220</v>
      </c>
      <c r="G16" s="182"/>
      <c r="H16" s="182"/>
      <c r="I16" s="182"/>
      <c r="J16" s="182"/>
      <c r="K16" s="182"/>
      <c r="L16" s="182"/>
      <c r="M16" s="182"/>
      <c r="N16" s="182"/>
      <c r="O16" s="182"/>
      <c r="P16" s="182"/>
      <c r="Q16" s="182"/>
      <c r="R16" s="182"/>
      <c r="S16" s="182"/>
      <c r="T16" s="182">
        <v>15339.06</v>
      </c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2"/>
      <c r="AM16" s="182"/>
      <c r="AN16" s="182"/>
      <c r="AO16" s="182"/>
      <c r="AP16" s="182"/>
      <c r="AQ16" s="185">
        <v>15339.06</v>
      </c>
      <c r="AR16" s="182">
        <v>15339.06</v>
      </c>
      <c r="AS16" s="182"/>
      <c r="AT16" s="182"/>
      <c r="AU16" s="182"/>
      <c r="AV16" s="182"/>
      <c r="AW16" s="182"/>
      <c r="AX16" s="182"/>
      <c r="AY16" s="182"/>
      <c r="AZ16" s="182"/>
      <c r="BA16" s="182"/>
      <c r="BB16" s="182"/>
      <c r="BC16" s="182"/>
      <c r="BD16" s="182"/>
      <c r="BE16" s="182"/>
      <c r="BF16" s="182"/>
      <c r="BG16" s="182"/>
      <c r="BH16" s="182"/>
      <c r="BI16" s="182"/>
      <c r="BJ16" s="182"/>
      <c r="BK16" s="182"/>
      <c r="BL16" s="182"/>
      <c r="BM16" s="182"/>
      <c r="BN16" s="182"/>
      <c r="BO16" s="182"/>
      <c r="BP16" s="182"/>
      <c r="BQ16" s="182"/>
      <c r="BR16" s="182"/>
      <c r="BS16" s="182"/>
      <c r="BT16" s="182"/>
      <c r="BU16" s="182"/>
      <c r="BV16" s="182"/>
      <c r="BW16" s="182"/>
      <c r="BX16" s="182"/>
      <c r="BY16" s="182"/>
      <c r="BZ16" s="182"/>
      <c r="CA16" s="182"/>
      <c r="CB16" s="185">
        <v>15339.06</v>
      </c>
      <c r="CC16" s="185">
        <v>0</v>
      </c>
      <c r="CD16" s="185">
        <v>1376</v>
      </c>
      <c r="CE16" s="185"/>
    </row>
    <row r="17" spans="2:83" x14ac:dyDescent="0.3">
      <c r="B17" s="182">
        <v>1595</v>
      </c>
      <c r="C17" s="182">
        <v>1377</v>
      </c>
      <c r="D17" s="182"/>
      <c r="E17" s="181" t="s">
        <v>4062</v>
      </c>
      <c r="F17" s="182" t="s">
        <v>220</v>
      </c>
      <c r="G17" s="182"/>
      <c r="H17" s="182"/>
      <c r="I17" s="182"/>
      <c r="J17" s="182"/>
      <c r="K17" s="182"/>
      <c r="L17" s="182"/>
      <c r="M17" s="182"/>
      <c r="N17" s="182"/>
      <c r="O17" s="182"/>
      <c r="P17" s="182"/>
      <c r="Q17" s="182"/>
      <c r="R17" s="182"/>
      <c r="S17" s="182"/>
      <c r="T17" s="182">
        <v>12704.4</v>
      </c>
      <c r="U17" s="182"/>
      <c r="V17" s="182"/>
      <c r="W17" s="182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2"/>
      <c r="AM17" s="182"/>
      <c r="AN17" s="182"/>
      <c r="AO17" s="182"/>
      <c r="AP17" s="182"/>
      <c r="AQ17" s="185">
        <v>12704.4</v>
      </c>
      <c r="AR17" s="182">
        <v>12704.4</v>
      </c>
      <c r="AS17" s="182"/>
      <c r="AT17" s="182"/>
      <c r="AU17" s="182"/>
      <c r="AV17" s="182"/>
      <c r="AW17" s="18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2"/>
      <c r="BH17" s="182"/>
      <c r="BI17" s="182"/>
      <c r="BJ17" s="182"/>
      <c r="BK17" s="182"/>
      <c r="BL17" s="182"/>
      <c r="BM17" s="182"/>
      <c r="BN17" s="182"/>
      <c r="BO17" s="182"/>
      <c r="BP17" s="182"/>
      <c r="BQ17" s="182"/>
      <c r="BR17" s="182"/>
      <c r="BS17" s="182"/>
      <c r="BT17" s="182"/>
      <c r="BU17" s="182"/>
      <c r="BV17" s="182"/>
      <c r="BW17" s="182"/>
      <c r="BX17" s="182"/>
      <c r="BY17" s="182"/>
      <c r="BZ17" s="182"/>
      <c r="CA17" s="182"/>
      <c r="CB17" s="185">
        <v>12704.4</v>
      </c>
      <c r="CC17" s="185">
        <v>0</v>
      </c>
      <c r="CD17" s="185">
        <v>1377</v>
      </c>
      <c r="CE17" s="185"/>
    </row>
    <row r="18" spans="2:83" x14ac:dyDescent="0.3">
      <c r="B18" s="182">
        <v>1531</v>
      </c>
      <c r="C18" s="182">
        <v>1378</v>
      </c>
      <c r="D18" s="182"/>
      <c r="E18" s="181" t="s">
        <v>4063</v>
      </c>
      <c r="F18" s="182" t="s">
        <v>220</v>
      </c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182"/>
      <c r="T18" s="182"/>
      <c r="U18" s="182"/>
      <c r="V18" s="182"/>
      <c r="W18" s="182"/>
      <c r="X18" s="182"/>
      <c r="Y18" s="182"/>
      <c r="Z18" s="182"/>
      <c r="AA18" s="182"/>
      <c r="AB18" s="182"/>
      <c r="AC18" s="182">
        <v>633.20000000000005</v>
      </c>
      <c r="AD18" s="182"/>
      <c r="AE18" s="182"/>
      <c r="AF18" s="182"/>
      <c r="AG18" s="182"/>
      <c r="AH18" s="182"/>
      <c r="AI18" s="182"/>
      <c r="AJ18" s="182"/>
      <c r="AK18" s="182"/>
      <c r="AL18" s="182"/>
      <c r="AM18" s="182"/>
      <c r="AN18" s="182"/>
      <c r="AO18" s="182"/>
      <c r="AP18" s="182"/>
      <c r="AQ18" s="185">
        <v>633.20000000000005</v>
      </c>
      <c r="AR18" s="182">
        <v>633.20000000000005</v>
      </c>
      <c r="AS18" s="182"/>
      <c r="AT18" s="182"/>
      <c r="AU18" s="182"/>
      <c r="AV18" s="182"/>
      <c r="AW18" s="182"/>
      <c r="AX18" s="182"/>
      <c r="AY18" s="182"/>
      <c r="AZ18" s="182"/>
      <c r="BA18" s="182"/>
      <c r="BB18" s="182"/>
      <c r="BC18" s="182"/>
      <c r="BD18" s="182"/>
      <c r="BE18" s="182"/>
      <c r="BF18" s="182"/>
      <c r="BG18" s="182"/>
      <c r="BH18" s="182"/>
      <c r="BI18" s="182"/>
      <c r="BJ18" s="182"/>
      <c r="BK18" s="182"/>
      <c r="BL18" s="182"/>
      <c r="BM18" s="182"/>
      <c r="BN18" s="182"/>
      <c r="BO18" s="182"/>
      <c r="BP18" s="182"/>
      <c r="BQ18" s="182"/>
      <c r="BR18" s="182"/>
      <c r="BS18" s="182"/>
      <c r="BT18" s="182"/>
      <c r="BU18" s="182"/>
      <c r="BV18" s="182"/>
      <c r="BW18" s="182"/>
      <c r="BX18" s="182"/>
      <c r="BY18" s="182"/>
      <c r="BZ18" s="182"/>
      <c r="CA18" s="182"/>
      <c r="CB18" s="185">
        <v>633.20000000000005</v>
      </c>
      <c r="CC18" s="185">
        <v>0</v>
      </c>
      <c r="CD18" s="185">
        <v>1378</v>
      </c>
      <c r="CE18" s="185"/>
    </row>
    <row r="19" spans="2:83" x14ac:dyDescent="0.3">
      <c r="B19" s="182">
        <v>1554</v>
      </c>
      <c r="C19" s="182">
        <v>1379</v>
      </c>
      <c r="D19" s="182"/>
      <c r="E19" s="181" t="s">
        <v>4064</v>
      </c>
      <c r="F19" s="182" t="s">
        <v>220</v>
      </c>
      <c r="G19" s="182"/>
      <c r="H19" s="182"/>
      <c r="I19" s="182"/>
      <c r="J19" s="182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  <c r="AC19" s="182">
        <v>4944</v>
      </c>
      <c r="AD19" s="182"/>
      <c r="AE19" s="182"/>
      <c r="AF19" s="182"/>
      <c r="AG19" s="182"/>
      <c r="AH19" s="182"/>
      <c r="AI19" s="182"/>
      <c r="AJ19" s="182"/>
      <c r="AK19" s="182"/>
      <c r="AL19" s="182"/>
      <c r="AM19" s="182"/>
      <c r="AN19" s="182"/>
      <c r="AO19" s="182"/>
      <c r="AP19" s="182"/>
      <c r="AQ19" s="185">
        <v>4944</v>
      </c>
      <c r="AR19" s="182">
        <v>4944</v>
      </c>
      <c r="AS19" s="182"/>
      <c r="AT19" s="182"/>
      <c r="AU19" s="182"/>
      <c r="AV19" s="182"/>
      <c r="AW19" s="182"/>
      <c r="AX19" s="182"/>
      <c r="AY19" s="182"/>
      <c r="AZ19" s="182"/>
      <c r="BA19" s="182"/>
      <c r="BB19" s="182"/>
      <c r="BC19" s="182"/>
      <c r="BD19" s="182"/>
      <c r="BE19" s="182"/>
      <c r="BF19" s="182"/>
      <c r="BG19" s="182"/>
      <c r="BH19" s="182"/>
      <c r="BI19" s="182"/>
      <c r="BJ19" s="182"/>
      <c r="BK19" s="182"/>
      <c r="BL19" s="182"/>
      <c r="BM19" s="182"/>
      <c r="BN19" s="182"/>
      <c r="BO19" s="182"/>
      <c r="BP19" s="182"/>
      <c r="BQ19" s="182"/>
      <c r="BR19" s="182"/>
      <c r="BS19" s="182"/>
      <c r="BT19" s="182"/>
      <c r="BU19" s="182"/>
      <c r="BV19" s="182"/>
      <c r="BW19" s="182"/>
      <c r="BX19" s="182"/>
      <c r="BY19" s="182"/>
      <c r="BZ19" s="182"/>
      <c r="CA19" s="182"/>
      <c r="CB19" s="185">
        <v>4944</v>
      </c>
      <c r="CC19" s="185">
        <v>0</v>
      </c>
      <c r="CD19" s="185">
        <v>1379</v>
      </c>
      <c r="CE19" s="185"/>
    </row>
    <row r="20" spans="2:83" x14ac:dyDescent="0.3">
      <c r="B20" s="182">
        <v>1545</v>
      </c>
      <c r="C20" s="182">
        <v>1380</v>
      </c>
      <c r="D20" s="182"/>
      <c r="E20" s="181" t="s">
        <v>4065</v>
      </c>
      <c r="F20" s="182" t="s">
        <v>220</v>
      </c>
      <c r="G20" s="182"/>
      <c r="H20" s="182"/>
      <c r="I20" s="182"/>
      <c r="J20" s="182"/>
      <c r="K20" s="182"/>
      <c r="L20" s="182"/>
      <c r="M20" s="182"/>
      <c r="N20" s="182"/>
      <c r="O20" s="182"/>
      <c r="P20" s="182"/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2"/>
      <c r="AC20" s="182">
        <v>700</v>
      </c>
      <c r="AD20" s="182"/>
      <c r="AE20" s="182"/>
      <c r="AF20" s="182"/>
      <c r="AG20" s="182"/>
      <c r="AH20" s="182"/>
      <c r="AI20" s="182"/>
      <c r="AJ20" s="182"/>
      <c r="AK20" s="182"/>
      <c r="AL20" s="182"/>
      <c r="AM20" s="182"/>
      <c r="AN20" s="182"/>
      <c r="AO20" s="182"/>
      <c r="AP20" s="182"/>
      <c r="AQ20" s="185">
        <v>700</v>
      </c>
      <c r="AR20" s="182">
        <v>700</v>
      </c>
      <c r="AS20" s="182"/>
      <c r="AT20" s="182"/>
      <c r="AU20" s="182"/>
      <c r="AV20" s="182"/>
      <c r="AW20" s="182"/>
      <c r="AX20" s="182"/>
      <c r="AY20" s="182"/>
      <c r="AZ20" s="182"/>
      <c r="BA20" s="182"/>
      <c r="BB20" s="182"/>
      <c r="BC20" s="182"/>
      <c r="BD20" s="182"/>
      <c r="BE20" s="182"/>
      <c r="BF20" s="182"/>
      <c r="BG20" s="182"/>
      <c r="BH20" s="182"/>
      <c r="BI20" s="182"/>
      <c r="BJ20" s="182"/>
      <c r="BK20" s="182"/>
      <c r="BL20" s="182"/>
      <c r="BM20" s="182"/>
      <c r="BN20" s="182"/>
      <c r="BO20" s="182"/>
      <c r="BP20" s="182"/>
      <c r="BQ20" s="182"/>
      <c r="BR20" s="182"/>
      <c r="BS20" s="182"/>
      <c r="BT20" s="182"/>
      <c r="BU20" s="182"/>
      <c r="BV20" s="182"/>
      <c r="BW20" s="182"/>
      <c r="BX20" s="182"/>
      <c r="BY20" s="182"/>
      <c r="BZ20" s="182"/>
      <c r="CA20" s="182"/>
      <c r="CB20" s="185">
        <v>700</v>
      </c>
      <c r="CC20" s="185">
        <v>0</v>
      </c>
      <c r="CD20" s="185">
        <v>1380</v>
      </c>
      <c r="CE20" s="185"/>
    </row>
    <row r="21" spans="2:83" x14ac:dyDescent="0.3">
      <c r="B21" s="182">
        <v>1555</v>
      </c>
      <c r="C21" s="182">
        <v>1381</v>
      </c>
      <c r="D21" s="182" t="s">
        <v>121</v>
      </c>
      <c r="E21" s="181" t="s">
        <v>4066</v>
      </c>
      <c r="F21" s="182" t="s">
        <v>220</v>
      </c>
      <c r="G21" s="182"/>
      <c r="H21" s="182"/>
      <c r="I21" s="182"/>
      <c r="J21" s="182"/>
      <c r="K21" s="182"/>
      <c r="L21" s="182"/>
      <c r="M21" s="182"/>
      <c r="N21" s="182"/>
      <c r="O21" s="182"/>
      <c r="P21" s="182"/>
      <c r="Q21" s="182"/>
      <c r="R21" s="182"/>
      <c r="S21" s="182"/>
      <c r="T21" s="182"/>
      <c r="U21" s="182"/>
      <c r="V21" s="182"/>
      <c r="W21" s="182">
        <v>18.350000000000001</v>
      </c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2"/>
      <c r="AM21" s="182"/>
      <c r="AN21" s="182"/>
      <c r="AO21" s="182"/>
      <c r="AP21" s="182"/>
      <c r="AQ21" s="185">
        <v>18.350000000000001</v>
      </c>
      <c r="AR21" s="182">
        <v>18.350000000000001</v>
      </c>
      <c r="AS21" s="182"/>
      <c r="AT21" s="182"/>
      <c r="AU21" s="182"/>
      <c r="AV21" s="182"/>
      <c r="AW21" s="182"/>
      <c r="AX21" s="182"/>
      <c r="AY21" s="182"/>
      <c r="AZ21" s="182"/>
      <c r="BA21" s="182"/>
      <c r="BB21" s="182"/>
      <c r="BC21" s="182"/>
      <c r="BD21" s="182"/>
      <c r="BE21" s="182"/>
      <c r="BF21" s="182"/>
      <c r="BG21" s="182"/>
      <c r="BH21" s="182"/>
      <c r="BI21" s="182"/>
      <c r="BJ21" s="182"/>
      <c r="BK21" s="182"/>
      <c r="BL21" s="182"/>
      <c r="BM21" s="182"/>
      <c r="BN21" s="182"/>
      <c r="BO21" s="182"/>
      <c r="BP21" s="182"/>
      <c r="BQ21" s="182"/>
      <c r="BR21" s="182"/>
      <c r="BS21" s="182"/>
      <c r="BT21" s="182"/>
      <c r="BU21" s="182"/>
      <c r="BV21" s="182"/>
      <c r="BW21" s="182"/>
      <c r="BX21" s="182"/>
      <c r="BY21" s="182"/>
      <c r="BZ21" s="182"/>
      <c r="CA21" s="182"/>
      <c r="CB21" s="185">
        <v>18.350000000000001</v>
      </c>
      <c r="CC21" s="185">
        <v>0</v>
      </c>
      <c r="CD21" s="185">
        <v>1381</v>
      </c>
      <c r="CE21" s="185"/>
    </row>
    <row r="22" spans="2:83" x14ac:dyDescent="0.3">
      <c r="B22" s="182">
        <v>1543</v>
      </c>
      <c r="C22" s="182">
        <v>1382</v>
      </c>
      <c r="D22" s="182"/>
      <c r="E22" s="181" t="s">
        <v>4067</v>
      </c>
      <c r="F22" s="182" t="s">
        <v>220</v>
      </c>
      <c r="G22" s="182"/>
      <c r="H22" s="182"/>
      <c r="I22" s="182"/>
      <c r="J22" s="182"/>
      <c r="K22" s="182"/>
      <c r="L22" s="182"/>
      <c r="M22" s="182"/>
      <c r="N22" s="182"/>
      <c r="O22" s="182"/>
      <c r="P22" s="182"/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  <c r="AB22" s="182"/>
      <c r="AC22" s="182">
        <v>1039.76</v>
      </c>
      <c r="AD22" s="182"/>
      <c r="AE22" s="182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5">
        <v>1039.76</v>
      </c>
      <c r="AR22" s="182">
        <v>1039.76</v>
      </c>
      <c r="AS22" s="182"/>
      <c r="AT22" s="182"/>
      <c r="AU22" s="182"/>
      <c r="AV22" s="182"/>
      <c r="AW22" s="182"/>
      <c r="AX22" s="182"/>
      <c r="AY22" s="182"/>
      <c r="AZ22" s="182"/>
      <c r="BA22" s="182"/>
      <c r="BB22" s="182"/>
      <c r="BC22" s="182"/>
      <c r="BD22" s="182"/>
      <c r="BE22" s="182"/>
      <c r="BF22" s="182"/>
      <c r="BG22" s="182"/>
      <c r="BH22" s="182"/>
      <c r="BI22" s="182"/>
      <c r="BJ22" s="182"/>
      <c r="BK22" s="182"/>
      <c r="BL22" s="182"/>
      <c r="BM22" s="182"/>
      <c r="BN22" s="182"/>
      <c r="BO22" s="182"/>
      <c r="BP22" s="182"/>
      <c r="BQ22" s="182"/>
      <c r="BR22" s="182"/>
      <c r="BS22" s="182"/>
      <c r="BT22" s="182"/>
      <c r="BU22" s="182"/>
      <c r="BV22" s="182"/>
      <c r="BW22" s="182"/>
      <c r="BX22" s="182"/>
      <c r="BY22" s="182"/>
      <c r="BZ22" s="182"/>
      <c r="CA22" s="182"/>
      <c r="CB22" s="185">
        <v>1039.76</v>
      </c>
      <c r="CC22" s="185">
        <v>0</v>
      </c>
      <c r="CD22" s="185">
        <v>1382</v>
      </c>
      <c r="CE22" s="185"/>
    </row>
    <row r="23" spans="2:83" x14ac:dyDescent="0.3">
      <c r="B23" s="182">
        <v>1568</v>
      </c>
      <c r="C23" s="182">
        <v>1383</v>
      </c>
      <c r="D23" s="182"/>
      <c r="E23" s="181" t="s">
        <v>4068</v>
      </c>
      <c r="F23" s="182" t="s">
        <v>220</v>
      </c>
      <c r="G23" s="182"/>
      <c r="H23" s="182"/>
      <c r="I23" s="182"/>
      <c r="J23" s="182"/>
      <c r="K23" s="182"/>
      <c r="L23" s="182"/>
      <c r="M23" s="182"/>
      <c r="N23" s="182"/>
      <c r="O23" s="182"/>
      <c r="P23" s="182"/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  <c r="AC23" s="182">
        <v>14</v>
      </c>
      <c r="AD23" s="182"/>
      <c r="AE23" s="182"/>
      <c r="AF23" s="182"/>
      <c r="AG23" s="182"/>
      <c r="AH23" s="182"/>
      <c r="AI23" s="182"/>
      <c r="AJ23" s="182"/>
      <c r="AK23" s="182"/>
      <c r="AL23" s="182"/>
      <c r="AM23" s="182"/>
      <c r="AN23" s="182"/>
      <c r="AO23" s="182"/>
      <c r="AP23" s="182"/>
      <c r="AQ23" s="185">
        <v>14</v>
      </c>
      <c r="AR23" s="182">
        <v>14</v>
      </c>
      <c r="AS23" s="182"/>
      <c r="AT23" s="182"/>
      <c r="AU23" s="182"/>
      <c r="AV23" s="182"/>
      <c r="AW23" s="182"/>
      <c r="AX23" s="182"/>
      <c r="AY23" s="182"/>
      <c r="AZ23" s="182"/>
      <c r="BA23" s="182"/>
      <c r="BB23" s="182"/>
      <c r="BC23" s="182"/>
      <c r="BD23" s="182"/>
      <c r="BE23" s="182"/>
      <c r="BF23" s="182"/>
      <c r="BG23" s="182"/>
      <c r="BH23" s="182"/>
      <c r="BI23" s="182"/>
      <c r="BJ23" s="182"/>
      <c r="BK23" s="182"/>
      <c r="BL23" s="182"/>
      <c r="BM23" s="182"/>
      <c r="BN23" s="182"/>
      <c r="BO23" s="182"/>
      <c r="BP23" s="182"/>
      <c r="BQ23" s="182"/>
      <c r="BR23" s="182"/>
      <c r="BS23" s="182"/>
      <c r="BT23" s="182"/>
      <c r="BU23" s="182"/>
      <c r="BV23" s="182"/>
      <c r="BW23" s="182"/>
      <c r="BX23" s="182"/>
      <c r="BY23" s="182"/>
      <c r="BZ23" s="182"/>
      <c r="CA23" s="182"/>
      <c r="CB23" s="185">
        <v>14</v>
      </c>
      <c r="CC23" s="185">
        <v>0</v>
      </c>
      <c r="CD23" s="185">
        <v>1383</v>
      </c>
      <c r="CE23" s="185"/>
    </row>
    <row r="24" spans="2:83" x14ac:dyDescent="0.3">
      <c r="B24" s="182">
        <v>1563</v>
      </c>
      <c r="C24" s="182">
        <v>1384</v>
      </c>
      <c r="D24" s="182"/>
      <c r="E24" s="181" t="s">
        <v>4069</v>
      </c>
      <c r="F24" s="182" t="s">
        <v>220</v>
      </c>
      <c r="G24" s="182"/>
      <c r="H24" s="182"/>
      <c r="I24" s="182"/>
      <c r="J24" s="182"/>
      <c r="K24" s="182"/>
      <c r="L24" s="182"/>
      <c r="M24" s="182"/>
      <c r="N24" s="182"/>
      <c r="O24" s="182"/>
      <c r="P24" s="182"/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  <c r="AB24" s="182"/>
      <c r="AC24" s="182">
        <v>1916.34</v>
      </c>
      <c r="AD24" s="182"/>
      <c r="AE24" s="182"/>
      <c r="AF24" s="182"/>
      <c r="AG24" s="182"/>
      <c r="AH24" s="182"/>
      <c r="AI24" s="182"/>
      <c r="AJ24" s="182"/>
      <c r="AK24" s="182"/>
      <c r="AL24" s="182"/>
      <c r="AM24" s="182"/>
      <c r="AN24" s="182"/>
      <c r="AO24" s="182"/>
      <c r="AP24" s="182"/>
      <c r="AQ24" s="185">
        <v>1916.34</v>
      </c>
      <c r="AR24" s="182">
        <v>1916.34</v>
      </c>
      <c r="AS24" s="182"/>
      <c r="AT24" s="182"/>
      <c r="AU24" s="182"/>
      <c r="AV24" s="182"/>
      <c r="AW24" s="182"/>
      <c r="AX24" s="182"/>
      <c r="AY24" s="182"/>
      <c r="AZ24" s="182"/>
      <c r="BA24" s="182"/>
      <c r="BB24" s="182"/>
      <c r="BC24" s="182"/>
      <c r="BD24" s="182"/>
      <c r="BE24" s="182"/>
      <c r="BF24" s="182"/>
      <c r="BG24" s="182"/>
      <c r="BH24" s="182"/>
      <c r="BI24" s="182"/>
      <c r="BJ24" s="182"/>
      <c r="BK24" s="182"/>
      <c r="BL24" s="182"/>
      <c r="BM24" s="182"/>
      <c r="BN24" s="182"/>
      <c r="BO24" s="182"/>
      <c r="BP24" s="182"/>
      <c r="BQ24" s="182"/>
      <c r="BR24" s="182"/>
      <c r="BS24" s="182"/>
      <c r="BT24" s="182"/>
      <c r="BU24" s="182"/>
      <c r="BV24" s="182"/>
      <c r="BW24" s="182"/>
      <c r="BX24" s="182"/>
      <c r="BY24" s="182"/>
      <c r="BZ24" s="182"/>
      <c r="CA24" s="182"/>
      <c r="CB24" s="185">
        <v>1916.34</v>
      </c>
      <c r="CC24" s="185">
        <v>0</v>
      </c>
      <c r="CD24" s="185">
        <v>1384</v>
      </c>
      <c r="CE24" s="185"/>
    </row>
    <row r="25" spans="2:83" x14ac:dyDescent="0.3">
      <c r="B25" s="182">
        <v>1557</v>
      </c>
      <c r="C25" s="182">
        <v>1385</v>
      </c>
      <c r="D25" s="182"/>
      <c r="E25" s="181" t="s">
        <v>4070</v>
      </c>
      <c r="F25" s="182" t="s">
        <v>220</v>
      </c>
      <c r="G25" s="182"/>
      <c r="H25" s="182"/>
      <c r="I25" s="182"/>
      <c r="J25" s="182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2"/>
      <c r="X25" s="182"/>
      <c r="Y25" s="182"/>
      <c r="Z25" s="182"/>
      <c r="AA25" s="182"/>
      <c r="AB25" s="182"/>
      <c r="AC25" s="182">
        <v>85</v>
      </c>
      <c r="AD25" s="182"/>
      <c r="AE25" s="182"/>
      <c r="AF25" s="182"/>
      <c r="AG25" s="182"/>
      <c r="AH25" s="182"/>
      <c r="AI25" s="182"/>
      <c r="AJ25" s="182"/>
      <c r="AK25" s="182"/>
      <c r="AL25" s="182"/>
      <c r="AM25" s="182"/>
      <c r="AN25" s="182"/>
      <c r="AO25" s="182"/>
      <c r="AP25" s="182"/>
      <c r="AQ25" s="185">
        <v>85</v>
      </c>
      <c r="AR25" s="182">
        <v>85</v>
      </c>
      <c r="AS25" s="182"/>
      <c r="AT25" s="182"/>
      <c r="AU25" s="182"/>
      <c r="AV25" s="182"/>
      <c r="AW25" s="182"/>
      <c r="AX25" s="182"/>
      <c r="AY25" s="182"/>
      <c r="AZ25" s="182"/>
      <c r="BA25" s="182"/>
      <c r="BB25" s="182"/>
      <c r="BC25" s="182"/>
      <c r="BD25" s="182"/>
      <c r="BE25" s="182"/>
      <c r="BF25" s="182"/>
      <c r="BG25" s="182"/>
      <c r="BH25" s="182"/>
      <c r="BI25" s="182"/>
      <c r="BJ25" s="182"/>
      <c r="BK25" s="182"/>
      <c r="BL25" s="182"/>
      <c r="BM25" s="182"/>
      <c r="BN25" s="182"/>
      <c r="BO25" s="182"/>
      <c r="BP25" s="182"/>
      <c r="BQ25" s="182"/>
      <c r="BR25" s="182"/>
      <c r="BS25" s="182"/>
      <c r="BT25" s="182"/>
      <c r="BU25" s="182"/>
      <c r="BV25" s="182"/>
      <c r="BW25" s="182"/>
      <c r="BX25" s="182"/>
      <c r="BY25" s="182"/>
      <c r="BZ25" s="182"/>
      <c r="CA25" s="182"/>
      <c r="CB25" s="185">
        <v>85</v>
      </c>
      <c r="CC25" s="185">
        <v>0</v>
      </c>
      <c r="CD25" s="185">
        <v>1385</v>
      </c>
      <c r="CE25" s="185"/>
    </row>
    <row r="26" spans="2:83" x14ac:dyDescent="0.3">
      <c r="B26" s="182">
        <v>1558</v>
      </c>
      <c r="C26" s="182">
        <v>1386</v>
      </c>
      <c r="D26" s="182"/>
      <c r="E26" s="181" t="s">
        <v>4071</v>
      </c>
      <c r="F26" s="182" t="s">
        <v>220</v>
      </c>
      <c r="G26" s="182"/>
      <c r="H26" s="182"/>
      <c r="I26" s="182"/>
      <c r="J26" s="182"/>
      <c r="K26" s="182"/>
      <c r="L26" s="182"/>
      <c r="M26" s="182"/>
      <c r="N26" s="182"/>
      <c r="O26" s="182"/>
      <c r="P26" s="182"/>
      <c r="Q26" s="182"/>
      <c r="R26" s="182"/>
      <c r="S26" s="182"/>
      <c r="T26" s="182"/>
      <c r="U26" s="182"/>
      <c r="V26" s="182"/>
      <c r="W26" s="182"/>
      <c r="X26" s="182"/>
      <c r="Y26" s="182"/>
      <c r="Z26" s="182"/>
      <c r="AA26" s="182"/>
      <c r="AB26" s="182"/>
      <c r="AC26" s="182">
        <v>2</v>
      </c>
      <c r="AD26" s="182"/>
      <c r="AE26" s="182"/>
      <c r="AF26" s="182"/>
      <c r="AG26" s="182"/>
      <c r="AH26" s="182"/>
      <c r="AI26" s="182"/>
      <c r="AJ26" s="182"/>
      <c r="AK26" s="182"/>
      <c r="AL26" s="182"/>
      <c r="AM26" s="182"/>
      <c r="AN26" s="182"/>
      <c r="AO26" s="182"/>
      <c r="AP26" s="182"/>
      <c r="AQ26" s="185">
        <v>2</v>
      </c>
      <c r="AR26" s="182">
        <v>2</v>
      </c>
      <c r="AS26" s="182"/>
      <c r="AT26" s="182"/>
      <c r="AU26" s="182"/>
      <c r="AV26" s="182"/>
      <c r="AW26" s="18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2"/>
      <c r="BH26" s="182"/>
      <c r="BI26" s="182"/>
      <c r="BJ26" s="182"/>
      <c r="BK26" s="182"/>
      <c r="BL26" s="182"/>
      <c r="BM26" s="182"/>
      <c r="BN26" s="182"/>
      <c r="BO26" s="182"/>
      <c r="BP26" s="182"/>
      <c r="BQ26" s="182"/>
      <c r="BR26" s="182"/>
      <c r="BS26" s="182"/>
      <c r="BT26" s="182"/>
      <c r="BU26" s="182"/>
      <c r="BV26" s="182"/>
      <c r="BW26" s="182"/>
      <c r="BX26" s="182"/>
      <c r="BY26" s="182"/>
      <c r="BZ26" s="182"/>
      <c r="CA26" s="182"/>
      <c r="CB26" s="185">
        <v>2</v>
      </c>
      <c r="CC26" s="185">
        <v>0</v>
      </c>
      <c r="CD26" s="185">
        <v>1386</v>
      </c>
      <c r="CE26" s="185"/>
    </row>
    <row r="27" spans="2:83" x14ac:dyDescent="0.3">
      <c r="B27" s="182">
        <v>1548</v>
      </c>
      <c r="C27" s="182">
        <v>1387</v>
      </c>
      <c r="D27" s="182"/>
      <c r="E27" s="181" t="s">
        <v>4072</v>
      </c>
      <c r="F27" s="182" t="s">
        <v>220</v>
      </c>
      <c r="G27" s="182"/>
      <c r="H27" s="182"/>
      <c r="I27" s="182"/>
      <c r="J27" s="182"/>
      <c r="K27" s="182"/>
      <c r="L27" s="182"/>
      <c r="M27" s="182"/>
      <c r="N27" s="182"/>
      <c r="O27" s="182"/>
      <c r="P27" s="182"/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  <c r="AB27" s="182"/>
      <c r="AC27" s="182">
        <v>1275</v>
      </c>
      <c r="AD27" s="182"/>
      <c r="AE27" s="182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5">
        <v>1275</v>
      </c>
      <c r="AR27" s="182">
        <v>1275</v>
      </c>
      <c r="AS27" s="182"/>
      <c r="AT27" s="182"/>
      <c r="AU27" s="182"/>
      <c r="AV27" s="182"/>
      <c r="AW27" s="182"/>
      <c r="AX27" s="182"/>
      <c r="AY27" s="182"/>
      <c r="AZ27" s="182"/>
      <c r="BA27" s="182"/>
      <c r="BB27" s="182"/>
      <c r="BC27" s="182"/>
      <c r="BD27" s="182"/>
      <c r="BE27" s="182"/>
      <c r="BF27" s="182"/>
      <c r="BG27" s="182"/>
      <c r="BH27" s="182"/>
      <c r="BI27" s="182"/>
      <c r="BJ27" s="182"/>
      <c r="BK27" s="182"/>
      <c r="BL27" s="182"/>
      <c r="BM27" s="182"/>
      <c r="BN27" s="182"/>
      <c r="BO27" s="182"/>
      <c r="BP27" s="182"/>
      <c r="BQ27" s="182"/>
      <c r="BR27" s="182"/>
      <c r="BS27" s="182"/>
      <c r="BT27" s="182"/>
      <c r="BU27" s="182"/>
      <c r="BV27" s="182"/>
      <c r="BW27" s="182"/>
      <c r="BX27" s="182"/>
      <c r="BY27" s="182"/>
      <c r="BZ27" s="182"/>
      <c r="CA27" s="182"/>
      <c r="CB27" s="185">
        <v>1275</v>
      </c>
      <c r="CC27" s="185">
        <v>0</v>
      </c>
      <c r="CD27" s="185">
        <v>1387</v>
      </c>
      <c r="CE27" s="185"/>
    </row>
    <row r="28" spans="2:83" s="198" customFormat="1" x14ac:dyDescent="0.3">
      <c r="B28" s="190"/>
      <c r="C28" s="190"/>
      <c r="D28" s="190"/>
      <c r="E28" s="199" t="s">
        <v>4073</v>
      </c>
      <c r="F28" s="190"/>
      <c r="G28" s="190"/>
      <c r="H28" s="190"/>
      <c r="I28" s="190"/>
      <c r="J28" s="190"/>
      <c r="K28" s="190"/>
      <c r="L28" s="190"/>
      <c r="M28" s="190"/>
      <c r="N28" s="190"/>
      <c r="O28" s="190"/>
      <c r="P28" s="190"/>
      <c r="Q28" s="190"/>
      <c r="R28" s="190"/>
      <c r="S28" s="190">
        <v>562104.93000000005</v>
      </c>
      <c r="T28" s="190">
        <v>28043.46</v>
      </c>
      <c r="U28" s="190">
        <v>0</v>
      </c>
      <c r="V28" s="190">
        <v>0</v>
      </c>
      <c r="W28" s="190">
        <v>18.350000000000001</v>
      </c>
      <c r="X28" s="190">
        <v>0</v>
      </c>
      <c r="Y28" s="190">
        <v>0</v>
      </c>
      <c r="Z28" s="190">
        <v>0</v>
      </c>
      <c r="AA28" s="190">
        <v>0</v>
      </c>
      <c r="AB28" s="190">
        <v>0</v>
      </c>
      <c r="AC28" s="190">
        <v>19343.75</v>
      </c>
      <c r="AD28" s="190">
        <v>0</v>
      </c>
      <c r="AE28" s="190">
        <v>0</v>
      </c>
      <c r="AF28" s="190">
        <v>0</v>
      </c>
      <c r="AG28" s="190">
        <v>0</v>
      </c>
      <c r="AH28" s="190">
        <v>0</v>
      </c>
      <c r="AI28" s="190">
        <v>0</v>
      </c>
      <c r="AJ28" s="190">
        <v>0</v>
      </c>
      <c r="AK28" s="190">
        <v>0</v>
      </c>
      <c r="AL28" s="190">
        <v>0</v>
      </c>
      <c r="AM28" s="190">
        <v>0</v>
      </c>
      <c r="AN28" s="190">
        <v>0</v>
      </c>
      <c r="AO28" s="190">
        <v>0</v>
      </c>
      <c r="AP28" s="190">
        <v>0</v>
      </c>
      <c r="AQ28" s="190">
        <v>609510.49</v>
      </c>
      <c r="AR28" s="190">
        <v>609510.49</v>
      </c>
      <c r="AS28" s="190">
        <v>0</v>
      </c>
      <c r="AT28" s="190">
        <v>0</v>
      </c>
      <c r="AU28" s="190">
        <v>0</v>
      </c>
      <c r="AV28" s="190">
        <v>0</v>
      </c>
      <c r="AW28" s="190">
        <v>0</v>
      </c>
      <c r="AX28" s="190">
        <v>0</v>
      </c>
      <c r="AY28" s="190">
        <v>0</v>
      </c>
      <c r="AZ28" s="190">
        <v>0</v>
      </c>
      <c r="BA28" s="190">
        <v>0</v>
      </c>
      <c r="BB28" s="190">
        <v>0</v>
      </c>
      <c r="BC28" s="190">
        <v>0</v>
      </c>
      <c r="BD28" s="190">
        <v>0</v>
      </c>
      <c r="BE28" s="190">
        <v>0</v>
      </c>
      <c r="BF28" s="190">
        <v>0</v>
      </c>
      <c r="BG28" s="190">
        <v>0</v>
      </c>
      <c r="BH28" s="190">
        <v>0</v>
      </c>
      <c r="BI28" s="190">
        <v>0</v>
      </c>
      <c r="BJ28" s="190">
        <v>0</v>
      </c>
      <c r="BK28" s="190">
        <v>0</v>
      </c>
      <c r="BL28" s="190">
        <v>0</v>
      </c>
      <c r="BM28" s="190">
        <v>0</v>
      </c>
      <c r="BN28" s="190">
        <v>0</v>
      </c>
      <c r="BO28" s="190">
        <v>0</v>
      </c>
      <c r="BP28" s="190">
        <v>0</v>
      </c>
      <c r="BQ28" s="190">
        <v>0</v>
      </c>
      <c r="BR28" s="190">
        <v>0</v>
      </c>
      <c r="BS28" s="190">
        <v>0</v>
      </c>
      <c r="BT28" s="190">
        <v>0</v>
      </c>
      <c r="BU28" s="190">
        <v>0</v>
      </c>
      <c r="BV28" s="190">
        <v>0</v>
      </c>
      <c r="BW28" s="190">
        <v>0</v>
      </c>
      <c r="BX28" s="190">
        <v>0</v>
      </c>
      <c r="BY28" s="190">
        <v>0</v>
      </c>
      <c r="BZ28" s="190">
        <v>0</v>
      </c>
      <c r="CA28" s="190">
        <v>0</v>
      </c>
      <c r="CB28" s="190">
        <v>609510.49</v>
      </c>
      <c r="CC28" s="190">
        <v>0</v>
      </c>
      <c r="CD28" s="190"/>
      <c r="CE28" s="190"/>
    </row>
    <row r="29" spans="2:83" x14ac:dyDescent="0.3">
      <c r="B29" s="182">
        <v>3218</v>
      </c>
      <c r="C29" s="182">
        <v>1388</v>
      </c>
      <c r="D29" s="182" t="s">
        <v>121</v>
      </c>
      <c r="E29" s="181" t="s">
        <v>4074</v>
      </c>
      <c r="F29" s="182"/>
      <c r="G29" s="182"/>
      <c r="H29" s="182"/>
      <c r="I29" s="182"/>
      <c r="J29" s="182"/>
      <c r="K29" s="182"/>
      <c r="L29" s="182"/>
      <c r="M29" s="182"/>
      <c r="N29" s="182"/>
      <c r="O29" s="182"/>
      <c r="P29" s="182"/>
      <c r="Q29" s="182"/>
      <c r="R29" s="182"/>
      <c r="S29" s="182"/>
      <c r="T29" s="182"/>
      <c r="U29" s="182"/>
      <c r="V29" s="182"/>
      <c r="W29" s="182">
        <v>853</v>
      </c>
      <c r="X29" s="182"/>
      <c r="Y29" s="182"/>
      <c r="Z29" s="182"/>
      <c r="AA29" s="182"/>
      <c r="AB29" s="182"/>
      <c r="AC29" s="182"/>
      <c r="AD29" s="182"/>
      <c r="AE29" s="182"/>
      <c r="AF29" s="182"/>
      <c r="AG29" s="182"/>
      <c r="AH29" s="182"/>
      <c r="AI29" s="182"/>
      <c r="AJ29" s="182"/>
      <c r="AK29" s="182"/>
      <c r="AL29" s="182"/>
      <c r="AM29" s="182"/>
      <c r="AN29" s="182"/>
      <c r="AO29" s="182"/>
      <c r="AP29" s="182"/>
      <c r="AQ29" s="185">
        <v>853</v>
      </c>
      <c r="AR29" s="182">
        <v>853</v>
      </c>
      <c r="AS29" s="182"/>
      <c r="AT29" s="182"/>
      <c r="AU29" s="182"/>
      <c r="AV29" s="182"/>
      <c r="AW29" s="18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2"/>
      <c r="BH29" s="182"/>
      <c r="BI29" s="182"/>
      <c r="BJ29" s="182"/>
      <c r="BK29" s="182"/>
      <c r="BL29" s="182"/>
      <c r="BM29" s="182"/>
      <c r="BN29" s="182"/>
      <c r="BO29" s="182"/>
      <c r="BP29" s="182"/>
      <c r="BQ29" s="182"/>
      <c r="BR29" s="182"/>
      <c r="BS29" s="182"/>
      <c r="BT29" s="182"/>
      <c r="BU29" s="182"/>
      <c r="BV29" s="182"/>
      <c r="BW29" s="182"/>
      <c r="BX29" s="182"/>
      <c r="BY29" s="182"/>
      <c r="BZ29" s="182"/>
      <c r="CA29" s="182"/>
      <c r="CB29" s="185">
        <v>853</v>
      </c>
      <c r="CC29" s="185">
        <v>0</v>
      </c>
      <c r="CD29" s="185">
        <v>1388</v>
      </c>
      <c r="CE29" s="185"/>
    </row>
    <row r="30" spans="2:83" x14ac:dyDescent="0.3">
      <c r="B30" s="182">
        <v>3217</v>
      </c>
      <c r="C30" s="182">
        <v>1389</v>
      </c>
      <c r="D30" s="182" t="s">
        <v>121</v>
      </c>
      <c r="E30" s="181" t="s">
        <v>4075</v>
      </c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  <c r="R30" s="182"/>
      <c r="S30" s="182"/>
      <c r="T30" s="182"/>
      <c r="U30" s="182"/>
      <c r="V30" s="182"/>
      <c r="W30" s="182">
        <v>1250</v>
      </c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2"/>
      <c r="AM30" s="182"/>
      <c r="AN30" s="182"/>
      <c r="AO30" s="182"/>
      <c r="AP30" s="182"/>
      <c r="AQ30" s="185">
        <v>1250</v>
      </c>
      <c r="AR30" s="182">
        <v>1250</v>
      </c>
      <c r="AS30" s="182"/>
      <c r="AT30" s="182"/>
      <c r="AU30" s="182"/>
      <c r="AV30" s="182"/>
      <c r="AW30" s="18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2"/>
      <c r="BH30" s="182"/>
      <c r="BI30" s="182"/>
      <c r="BJ30" s="182"/>
      <c r="BK30" s="182"/>
      <c r="BL30" s="182"/>
      <c r="BM30" s="182"/>
      <c r="BN30" s="182"/>
      <c r="BO30" s="182"/>
      <c r="BP30" s="182"/>
      <c r="BQ30" s="182"/>
      <c r="BR30" s="182"/>
      <c r="BS30" s="182"/>
      <c r="BT30" s="182"/>
      <c r="BU30" s="182"/>
      <c r="BV30" s="182"/>
      <c r="BW30" s="182"/>
      <c r="BX30" s="182"/>
      <c r="BY30" s="182"/>
      <c r="BZ30" s="182"/>
      <c r="CA30" s="182"/>
      <c r="CB30" s="185">
        <v>1250</v>
      </c>
      <c r="CC30" s="185">
        <v>0</v>
      </c>
      <c r="CD30" s="185">
        <v>1389</v>
      </c>
      <c r="CE30" s="185"/>
    </row>
    <row r="31" spans="2:83" x14ac:dyDescent="0.3">
      <c r="B31" s="182">
        <v>3070</v>
      </c>
      <c r="C31" s="182">
        <v>1390</v>
      </c>
      <c r="D31" s="182" t="s">
        <v>132</v>
      </c>
      <c r="E31" s="181" t="s">
        <v>4076</v>
      </c>
      <c r="F31" s="182"/>
      <c r="G31" s="182"/>
      <c r="H31" s="182">
        <v>340</v>
      </c>
      <c r="I31" s="182"/>
      <c r="J31" s="182"/>
      <c r="K31" s="182"/>
      <c r="L31" s="182"/>
      <c r="M31" s="182"/>
      <c r="N31" s="182"/>
      <c r="O31" s="182"/>
      <c r="P31" s="182"/>
      <c r="Q31" s="182"/>
      <c r="R31" s="182"/>
      <c r="S31" s="182"/>
      <c r="T31" s="182"/>
      <c r="U31" s="182"/>
      <c r="V31" s="182"/>
      <c r="W31" s="182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5">
        <v>340</v>
      </c>
      <c r="AR31" s="182">
        <v>340</v>
      </c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/>
      <c r="BH31" s="182"/>
      <c r="BI31" s="182"/>
      <c r="BJ31" s="182"/>
      <c r="BK31" s="182"/>
      <c r="BL31" s="182"/>
      <c r="BM31" s="182"/>
      <c r="BN31" s="182"/>
      <c r="BO31" s="182"/>
      <c r="BP31" s="182"/>
      <c r="BQ31" s="182"/>
      <c r="BR31" s="182"/>
      <c r="BS31" s="182"/>
      <c r="BT31" s="182"/>
      <c r="BU31" s="182"/>
      <c r="BV31" s="182"/>
      <c r="BW31" s="182"/>
      <c r="BX31" s="182"/>
      <c r="BY31" s="182"/>
      <c r="BZ31" s="182"/>
      <c r="CA31" s="182"/>
      <c r="CB31" s="185">
        <v>340</v>
      </c>
      <c r="CC31" s="185">
        <v>0</v>
      </c>
      <c r="CD31" s="185">
        <v>1390</v>
      </c>
      <c r="CE31" s="185"/>
    </row>
    <row r="32" spans="2:83" x14ac:dyDescent="0.3">
      <c r="B32" s="182">
        <v>3073</v>
      </c>
      <c r="C32" s="182">
        <v>1391</v>
      </c>
      <c r="D32" s="182" t="s">
        <v>132</v>
      </c>
      <c r="E32" s="181" t="s">
        <v>2751</v>
      </c>
      <c r="F32" s="182"/>
      <c r="G32" s="182"/>
      <c r="H32" s="182">
        <v>7550</v>
      </c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182"/>
      <c r="T32" s="182"/>
      <c r="U32" s="182"/>
      <c r="V32" s="182"/>
      <c r="W32" s="182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2"/>
      <c r="AM32" s="182"/>
      <c r="AN32" s="182"/>
      <c r="AO32" s="182"/>
      <c r="AP32" s="182"/>
      <c r="AQ32" s="185">
        <v>7550</v>
      </c>
      <c r="AR32" s="182">
        <v>7550</v>
      </c>
      <c r="AS32" s="182"/>
      <c r="AT32" s="182"/>
      <c r="AU32" s="182"/>
      <c r="AV32" s="182"/>
      <c r="AW32" s="182"/>
      <c r="AX32" s="182"/>
      <c r="AY32" s="182"/>
      <c r="AZ32" s="182"/>
      <c r="BA32" s="182"/>
      <c r="BB32" s="182"/>
      <c r="BC32" s="182"/>
      <c r="BD32" s="182"/>
      <c r="BE32" s="182"/>
      <c r="BF32" s="182"/>
      <c r="BG32" s="182"/>
      <c r="BH32" s="182"/>
      <c r="BI32" s="182"/>
      <c r="BJ32" s="182"/>
      <c r="BK32" s="182"/>
      <c r="BL32" s="182"/>
      <c r="BM32" s="182"/>
      <c r="BN32" s="182"/>
      <c r="BO32" s="182"/>
      <c r="BP32" s="182"/>
      <c r="BQ32" s="182"/>
      <c r="BR32" s="182"/>
      <c r="BS32" s="182"/>
      <c r="BT32" s="182"/>
      <c r="BU32" s="182"/>
      <c r="BV32" s="182"/>
      <c r="BW32" s="182"/>
      <c r="BX32" s="182"/>
      <c r="BY32" s="182"/>
      <c r="BZ32" s="182"/>
      <c r="CA32" s="182"/>
      <c r="CB32" s="185">
        <v>7550</v>
      </c>
      <c r="CC32" s="185">
        <v>0</v>
      </c>
      <c r="CD32" s="185">
        <v>1391</v>
      </c>
      <c r="CE32" s="185"/>
    </row>
    <row r="33" spans="2:83" x14ac:dyDescent="0.3">
      <c r="B33" s="182">
        <v>3072</v>
      </c>
      <c r="C33" s="182">
        <v>1392</v>
      </c>
      <c r="D33" s="182" t="s">
        <v>132</v>
      </c>
      <c r="E33" s="181" t="s">
        <v>4077</v>
      </c>
      <c r="F33" s="182"/>
      <c r="G33" s="182"/>
      <c r="H33" s="182">
        <v>1572.5</v>
      </c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5">
        <v>1572.5</v>
      </c>
      <c r="AR33" s="182">
        <v>1572.5</v>
      </c>
      <c r="AS33" s="182"/>
      <c r="AT33" s="182"/>
      <c r="AU33" s="182"/>
      <c r="AV33" s="182"/>
      <c r="AW33" s="18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2"/>
      <c r="BH33" s="182"/>
      <c r="BI33" s="182"/>
      <c r="BJ33" s="182"/>
      <c r="BK33" s="182"/>
      <c r="BL33" s="182"/>
      <c r="BM33" s="182"/>
      <c r="BN33" s="182"/>
      <c r="BO33" s="182"/>
      <c r="BP33" s="182"/>
      <c r="BQ33" s="182"/>
      <c r="BR33" s="182"/>
      <c r="BS33" s="182"/>
      <c r="BT33" s="182"/>
      <c r="BU33" s="182"/>
      <c r="BV33" s="182"/>
      <c r="BW33" s="182"/>
      <c r="BX33" s="182"/>
      <c r="BY33" s="182"/>
      <c r="BZ33" s="182"/>
      <c r="CA33" s="182"/>
      <c r="CB33" s="185">
        <v>1572.5</v>
      </c>
      <c r="CC33" s="185">
        <v>0</v>
      </c>
      <c r="CD33" s="185">
        <v>1392</v>
      </c>
      <c r="CE33" s="185"/>
    </row>
    <row r="34" spans="2:83" x14ac:dyDescent="0.3">
      <c r="B34" s="182">
        <v>3069</v>
      </c>
      <c r="C34" s="182">
        <v>1393</v>
      </c>
      <c r="D34" s="182" t="s">
        <v>132</v>
      </c>
      <c r="E34" s="181" t="s">
        <v>4078</v>
      </c>
      <c r="F34" s="182"/>
      <c r="G34" s="182"/>
      <c r="H34" s="182">
        <v>1950.75</v>
      </c>
      <c r="I34" s="182"/>
      <c r="J34" s="182"/>
      <c r="K34" s="182"/>
      <c r="L34" s="182"/>
      <c r="M34" s="182"/>
      <c r="N34" s="182"/>
      <c r="O34" s="182"/>
      <c r="P34" s="182"/>
      <c r="Q34" s="182"/>
      <c r="R34" s="182"/>
      <c r="S34" s="182"/>
      <c r="T34" s="182"/>
      <c r="U34" s="182"/>
      <c r="V34" s="182"/>
      <c r="W34" s="182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2"/>
      <c r="AM34" s="182"/>
      <c r="AN34" s="182"/>
      <c r="AO34" s="182"/>
      <c r="AP34" s="182"/>
      <c r="AQ34" s="185">
        <v>1950.75</v>
      </c>
      <c r="AR34" s="182">
        <v>1950.75</v>
      </c>
      <c r="AS34" s="182"/>
      <c r="AT34" s="182"/>
      <c r="AU34" s="182"/>
      <c r="AV34" s="182"/>
      <c r="AW34" s="18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2"/>
      <c r="BH34" s="182"/>
      <c r="BI34" s="182"/>
      <c r="BJ34" s="182"/>
      <c r="BK34" s="182"/>
      <c r="BL34" s="182"/>
      <c r="BM34" s="182"/>
      <c r="BN34" s="182"/>
      <c r="BO34" s="182"/>
      <c r="BP34" s="182"/>
      <c r="BQ34" s="182"/>
      <c r="BR34" s="182"/>
      <c r="BS34" s="182"/>
      <c r="BT34" s="182"/>
      <c r="BU34" s="182"/>
      <c r="BV34" s="182"/>
      <c r="BW34" s="182"/>
      <c r="BX34" s="182"/>
      <c r="BY34" s="182"/>
      <c r="BZ34" s="182"/>
      <c r="CA34" s="182"/>
      <c r="CB34" s="185">
        <v>1950.75</v>
      </c>
      <c r="CC34" s="185">
        <v>0</v>
      </c>
      <c r="CD34" s="185">
        <v>1393</v>
      </c>
      <c r="CE34" s="185"/>
    </row>
    <row r="35" spans="2:83" x14ac:dyDescent="0.3">
      <c r="B35" s="182">
        <v>3071</v>
      </c>
      <c r="C35" s="182">
        <v>1394</v>
      </c>
      <c r="D35" s="182" t="s">
        <v>132</v>
      </c>
      <c r="E35" s="181" t="s">
        <v>4079</v>
      </c>
      <c r="F35" s="182"/>
      <c r="G35" s="182"/>
      <c r="H35" s="182">
        <v>2325</v>
      </c>
      <c r="I35" s="182"/>
      <c r="J35" s="182"/>
      <c r="K35" s="182"/>
      <c r="L35" s="182"/>
      <c r="M35" s="182"/>
      <c r="N35" s="182"/>
      <c r="O35" s="182"/>
      <c r="P35" s="182"/>
      <c r="Q35" s="182"/>
      <c r="R35" s="182"/>
      <c r="S35" s="182"/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2"/>
      <c r="AM35" s="182"/>
      <c r="AN35" s="182"/>
      <c r="AO35" s="182"/>
      <c r="AP35" s="182"/>
      <c r="AQ35" s="185">
        <v>2325</v>
      </c>
      <c r="AR35" s="182">
        <v>2110.0500000000002</v>
      </c>
      <c r="AS35" s="182">
        <v>153.69999999999999</v>
      </c>
      <c r="AT35" s="182"/>
      <c r="AU35" s="182"/>
      <c r="AV35" s="182"/>
      <c r="AW35" s="182"/>
      <c r="AX35" s="182"/>
      <c r="AY35" s="182"/>
      <c r="AZ35" s="182"/>
      <c r="BA35" s="182"/>
      <c r="BB35" s="182"/>
      <c r="BC35" s="182"/>
      <c r="BD35" s="182"/>
      <c r="BE35" s="182">
        <v>23.25</v>
      </c>
      <c r="BF35" s="182">
        <v>38</v>
      </c>
      <c r="BG35" s="182"/>
      <c r="BH35" s="182"/>
      <c r="BI35" s="182"/>
      <c r="BJ35" s="182"/>
      <c r="BK35" s="182"/>
      <c r="BL35" s="182"/>
      <c r="BM35" s="182"/>
      <c r="BN35" s="182"/>
      <c r="BO35" s="182"/>
      <c r="BP35" s="182"/>
      <c r="BQ35" s="182"/>
      <c r="BR35" s="182"/>
      <c r="BS35" s="182"/>
      <c r="BT35" s="182"/>
      <c r="BU35" s="182"/>
      <c r="BV35" s="182"/>
      <c r="BW35" s="182"/>
      <c r="BX35" s="182"/>
      <c r="BY35" s="182"/>
      <c r="BZ35" s="182"/>
      <c r="CA35" s="182"/>
      <c r="CB35" s="185">
        <v>2325</v>
      </c>
      <c r="CC35" s="185">
        <v>0</v>
      </c>
      <c r="CD35" s="185">
        <v>1394</v>
      </c>
      <c r="CE35" s="185"/>
    </row>
    <row r="36" spans="2:83" x14ac:dyDescent="0.3">
      <c r="B36" s="182">
        <v>2651</v>
      </c>
      <c r="C36" s="182">
        <v>1395</v>
      </c>
      <c r="D36" s="182" t="s">
        <v>132</v>
      </c>
      <c r="E36" s="181" t="s">
        <v>4080</v>
      </c>
      <c r="F36" s="182"/>
      <c r="G36" s="182">
        <v>201.73</v>
      </c>
      <c r="H36" s="182"/>
      <c r="I36" s="182"/>
      <c r="J36" s="182"/>
      <c r="K36" s="182"/>
      <c r="L36" s="182"/>
      <c r="M36" s="182"/>
      <c r="N36" s="182"/>
      <c r="O36" s="182"/>
      <c r="P36" s="182"/>
      <c r="Q36" s="182"/>
      <c r="R36" s="182"/>
      <c r="S36" s="182"/>
      <c r="T36" s="182"/>
      <c r="U36" s="182"/>
      <c r="V36" s="182"/>
      <c r="W36" s="182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2"/>
      <c r="AM36" s="182"/>
      <c r="AN36" s="182"/>
      <c r="AO36" s="182"/>
      <c r="AP36" s="182"/>
      <c r="AQ36" s="185">
        <v>201.73</v>
      </c>
      <c r="AR36" s="182">
        <v>121.98</v>
      </c>
      <c r="AS36" s="182">
        <v>31.15</v>
      </c>
      <c r="AT36" s="182">
        <v>48.6</v>
      </c>
      <c r="AU36" s="182"/>
      <c r="AV36" s="182"/>
      <c r="AW36" s="18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2"/>
      <c r="BH36" s="182"/>
      <c r="BI36" s="182"/>
      <c r="BJ36" s="182"/>
      <c r="BK36" s="182"/>
      <c r="BL36" s="182"/>
      <c r="BM36" s="182"/>
      <c r="BN36" s="182"/>
      <c r="BO36" s="182"/>
      <c r="BP36" s="182"/>
      <c r="BQ36" s="182"/>
      <c r="BR36" s="182"/>
      <c r="BS36" s="182"/>
      <c r="BT36" s="182"/>
      <c r="BU36" s="182"/>
      <c r="BV36" s="182"/>
      <c r="BW36" s="182"/>
      <c r="BX36" s="182"/>
      <c r="BY36" s="182"/>
      <c r="BZ36" s="182"/>
      <c r="CA36" s="182"/>
      <c r="CB36" s="185">
        <v>201.73</v>
      </c>
      <c r="CC36" s="185">
        <v>0</v>
      </c>
      <c r="CD36" s="185">
        <v>1395</v>
      </c>
      <c r="CE36" s="185"/>
    </row>
    <row r="37" spans="2:83" x14ac:dyDescent="0.3">
      <c r="B37" s="182">
        <v>2652</v>
      </c>
      <c r="C37" s="182">
        <v>1396</v>
      </c>
      <c r="D37" s="182" t="s">
        <v>132</v>
      </c>
      <c r="E37" s="181" t="s">
        <v>4081</v>
      </c>
      <c r="F37" s="182"/>
      <c r="G37" s="182">
        <v>174.75</v>
      </c>
      <c r="H37" s="182"/>
      <c r="I37" s="182"/>
      <c r="J37" s="182"/>
      <c r="K37" s="182"/>
      <c r="L37" s="182"/>
      <c r="M37" s="182"/>
      <c r="N37" s="182"/>
      <c r="O37" s="182"/>
      <c r="P37" s="182"/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2"/>
      <c r="AM37" s="182"/>
      <c r="AN37" s="182"/>
      <c r="AO37" s="182"/>
      <c r="AP37" s="182"/>
      <c r="AQ37" s="185">
        <v>174.75</v>
      </c>
      <c r="AR37" s="182">
        <v>139.19999999999999</v>
      </c>
      <c r="AS37" s="182">
        <v>35.549999999999997</v>
      </c>
      <c r="AT37" s="182"/>
      <c r="AU37" s="182"/>
      <c r="AV37" s="182"/>
      <c r="AW37" s="182"/>
      <c r="AX37" s="182"/>
      <c r="AY37" s="182"/>
      <c r="AZ37" s="182"/>
      <c r="BA37" s="182"/>
      <c r="BB37" s="182"/>
      <c r="BC37" s="182"/>
      <c r="BD37" s="182"/>
      <c r="BE37" s="182"/>
      <c r="BF37" s="182"/>
      <c r="BG37" s="182"/>
      <c r="BH37" s="182"/>
      <c r="BI37" s="182"/>
      <c r="BJ37" s="182"/>
      <c r="BK37" s="182"/>
      <c r="BL37" s="182"/>
      <c r="BM37" s="182"/>
      <c r="BN37" s="182"/>
      <c r="BO37" s="182"/>
      <c r="BP37" s="182"/>
      <c r="BQ37" s="182"/>
      <c r="BR37" s="182"/>
      <c r="BS37" s="182"/>
      <c r="BT37" s="182"/>
      <c r="BU37" s="182"/>
      <c r="BV37" s="182"/>
      <c r="BW37" s="182"/>
      <c r="BX37" s="182"/>
      <c r="BY37" s="182"/>
      <c r="BZ37" s="182"/>
      <c r="CA37" s="182"/>
      <c r="CB37" s="185">
        <v>174.75</v>
      </c>
      <c r="CC37" s="185">
        <v>0</v>
      </c>
      <c r="CD37" s="185">
        <v>1396</v>
      </c>
      <c r="CE37" s="185"/>
    </row>
    <row r="38" spans="2:83" x14ac:dyDescent="0.3">
      <c r="B38" s="182">
        <v>2588</v>
      </c>
      <c r="C38" s="182">
        <v>1397</v>
      </c>
      <c r="D38" s="182" t="s">
        <v>132</v>
      </c>
      <c r="E38" s="181" t="s">
        <v>4082</v>
      </c>
      <c r="F38" s="182"/>
      <c r="G38" s="182">
        <v>661.5</v>
      </c>
      <c r="H38" s="182"/>
      <c r="I38" s="182"/>
      <c r="J38" s="182"/>
      <c r="K38" s="182"/>
      <c r="L38" s="182"/>
      <c r="M38" s="182"/>
      <c r="N38" s="182"/>
      <c r="O38" s="182"/>
      <c r="P38" s="182"/>
      <c r="Q38" s="182"/>
      <c r="R38" s="182"/>
      <c r="S38" s="182"/>
      <c r="T38" s="182"/>
      <c r="U38" s="182"/>
      <c r="V38" s="182"/>
      <c r="W38" s="182"/>
      <c r="X38" s="182"/>
      <c r="Y38" s="182"/>
      <c r="Z38" s="182"/>
      <c r="AA38" s="182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2"/>
      <c r="AM38" s="182"/>
      <c r="AN38" s="182"/>
      <c r="AO38" s="182"/>
      <c r="AP38" s="182"/>
      <c r="AQ38" s="185">
        <v>661.5</v>
      </c>
      <c r="AR38" s="182">
        <v>437.3</v>
      </c>
      <c r="AS38" s="182">
        <v>64.84</v>
      </c>
      <c r="AT38" s="182">
        <v>159.36000000000001</v>
      </c>
      <c r="AU38" s="182"/>
      <c r="AV38" s="182"/>
      <c r="AW38" s="182"/>
      <c r="AX38" s="182"/>
      <c r="AY38" s="182"/>
      <c r="AZ38" s="182"/>
      <c r="BA38" s="182"/>
      <c r="BB38" s="182"/>
      <c r="BC38" s="182"/>
      <c r="BD38" s="182"/>
      <c r="BE38" s="182"/>
      <c r="BF38" s="182"/>
      <c r="BG38" s="182"/>
      <c r="BH38" s="182"/>
      <c r="BI38" s="182"/>
      <c r="BJ38" s="182"/>
      <c r="BK38" s="182"/>
      <c r="BL38" s="182"/>
      <c r="BM38" s="182"/>
      <c r="BN38" s="182"/>
      <c r="BO38" s="182"/>
      <c r="BP38" s="182"/>
      <c r="BQ38" s="182"/>
      <c r="BR38" s="182"/>
      <c r="BS38" s="182"/>
      <c r="BT38" s="182"/>
      <c r="BU38" s="182"/>
      <c r="BV38" s="182"/>
      <c r="BW38" s="182"/>
      <c r="BX38" s="182"/>
      <c r="BY38" s="182"/>
      <c r="BZ38" s="182"/>
      <c r="CA38" s="182"/>
      <c r="CB38" s="185">
        <v>661.5</v>
      </c>
      <c r="CC38" s="185">
        <v>0</v>
      </c>
      <c r="CD38" s="185">
        <v>1397</v>
      </c>
      <c r="CE38" s="185"/>
    </row>
    <row r="39" spans="2:83" x14ac:dyDescent="0.3">
      <c r="B39" s="182">
        <v>2423</v>
      </c>
      <c r="C39" s="182">
        <v>1398</v>
      </c>
      <c r="D39" s="182" t="s">
        <v>78</v>
      </c>
      <c r="E39" s="181" t="s">
        <v>4083</v>
      </c>
      <c r="F39" s="182"/>
      <c r="G39" s="182">
        <v>1832.03</v>
      </c>
      <c r="H39" s="182"/>
      <c r="I39" s="182"/>
      <c r="J39" s="182"/>
      <c r="K39" s="182"/>
      <c r="L39" s="182"/>
      <c r="M39" s="182"/>
      <c r="N39" s="182"/>
      <c r="O39" s="182"/>
      <c r="P39" s="182"/>
      <c r="Q39" s="182"/>
      <c r="R39" s="182"/>
      <c r="S39" s="182"/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2"/>
      <c r="AM39" s="182"/>
      <c r="AN39" s="182"/>
      <c r="AO39" s="182"/>
      <c r="AP39" s="182"/>
      <c r="AQ39" s="185">
        <v>1832.03</v>
      </c>
      <c r="AR39" s="182">
        <v>1224.3399999999999</v>
      </c>
      <c r="AS39" s="182">
        <v>166.3</v>
      </c>
      <c r="AT39" s="182">
        <v>441.39</v>
      </c>
      <c r="AU39" s="182"/>
      <c r="AV39" s="182"/>
      <c r="AW39" s="18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2"/>
      <c r="BH39" s="182"/>
      <c r="BI39" s="182"/>
      <c r="BJ39" s="182"/>
      <c r="BK39" s="182"/>
      <c r="BL39" s="182"/>
      <c r="BM39" s="182"/>
      <c r="BN39" s="182"/>
      <c r="BO39" s="182"/>
      <c r="BP39" s="182"/>
      <c r="BQ39" s="182"/>
      <c r="BR39" s="182"/>
      <c r="BS39" s="182"/>
      <c r="BT39" s="182"/>
      <c r="BU39" s="182"/>
      <c r="BV39" s="182"/>
      <c r="BW39" s="182"/>
      <c r="BX39" s="182"/>
      <c r="BY39" s="182"/>
      <c r="BZ39" s="182"/>
      <c r="CA39" s="182"/>
      <c r="CB39" s="185">
        <v>1832.0299999999997</v>
      </c>
      <c r="CC39" s="185">
        <v>0</v>
      </c>
      <c r="CD39" s="185">
        <v>1398</v>
      </c>
      <c r="CE39" s="185"/>
    </row>
    <row r="40" spans="2:83" x14ac:dyDescent="0.3">
      <c r="B40" s="182">
        <v>2422</v>
      </c>
      <c r="C40" s="182">
        <v>1399</v>
      </c>
      <c r="D40" s="182" t="s">
        <v>78</v>
      </c>
      <c r="E40" s="181" t="s">
        <v>4083</v>
      </c>
      <c r="F40" s="182"/>
      <c r="G40" s="182">
        <v>1832.03</v>
      </c>
      <c r="H40" s="182"/>
      <c r="I40" s="182"/>
      <c r="J40" s="182"/>
      <c r="K40" s="182"/>
      <c r="L40" s="182"/>
      <c r="M40" s="182"/>
      <c r="N40" s="182"/>
      <c r="O40" s="182"/>
      <c r="P40" s="182"/>
      <c r="Q40" s="182"/>
      <c r="R40" s="182"/>
      <c r="S40" s="182"/>
      <c r="T40" s="182"/>
      <c r="U40" s="182"/>
      <c r="V40" s="182"/>
      <c r="W40" s="182"/>
      <c r="X40" s="182"/>
      <c r="Y40" s="182"/>
      <c r="Z40" s="182"/>
      <c r="AA40" s="182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182"/>
      <c r="AM40" s="182"/>
      <c r="AN40" s="182"/>
      <c r="AO40" s="182"/>
      <c r="AP40" s="182"/>
      <c r="AQ40" s="185">
        <v>1832.03</v>
      </c>
      <c r="AR40" s="182">
        <v>1224.3399999999999</v>
      </c>
      <c r="AS40" s="182">
        <v>166.3</v>
      </c>
      <c r="AT40" s="182">
        <v>441.39</v>
      </c>
      <c r="AU40" s="182"/>
      <c r="AV40" s="182"/>
      <c r="AW40" s="182"/>
      <c r="AX40" s="182"/>
      <c r="AY40" s="182"/>
      <c r="AZ40" s="182"/>
      <c r="BA40" s="182"/>
      <c r="BB40" s="182"/>
      <c r="BC40" s="182"/>
      <c r="BD40" s="182"/>
      <c r="BE40" s="182"/>
      <c r="BF40" s="182"/>
      <c r="BG40" s="182"/>
      <c r="BH40" s="182"/>
      <c r="BI40" s="182"/>
      <c r="BJ40" s="182"/>
      <c r="BK40" s="182"/>
      <c r="BL40" s="182"/>
      <c r="BM40" s="182"/>
      <c r="BN40" s="182"/>
      <c r="BO40" s="182"/>
      <c r="BP40" s="182"/>
      <c r="BQ40" s="182"/>
      <c r="BR40" s="182"/>
      <c r="BS40" s="182"/>
      <c r="BT40" s="182"/>
      <c r="BU40" s="182"/>
      <c r="BV40" s="182"/>
      <c r="BW40" s="182"/>
      <c r="BX40" s="182"/>
      <c r="BY40" s="182"/>
      <c r="BZ40" s="182"/>
      <c r="CA40" s="182"/>
      <c r="CB40" s="185">
        <v>1832.0299999999997</v>
      </c>
      <c r="CC40" s="185">
        <v>0</v>
      </c>
      <c r="CD40" s="185">
        <v>1399</v>
      </c>
      <c r="CE40" s="185"/>
    </row>
    <row r="41" spans="2:83" x14ac:dyDescent="0.3">
      <c r="B41" s="182">
        <v>2421</v>
      </c>
      <c r="C41" s="182">
        <v>1400</v>
      </c>
      <c r="D41" s="182" t="s">
        <v>78</v>
      </c>
      <c r="E41" s="181" t="s">
        <v>4084</v>
      </c>
      <c r="F41" s="182"/>
      <c r="G41" s="182">
        <v>1407</v>
      </c>
      <c r="H41" s="182"/>
      <c r="I41" s="182"/>
      <c r="J41" s="182"/>
      <c r="K41" s="182"/>
      <c r="L41" s="182"/>
      <c r="M41" s="182"/>
      <c r="N41" s="182"/>
      <c r="O41" s="182"/>
      <c r="P41" s="182"/>
      <c r="Q41" s="182"/>
      <c r="R41" s="182"/>
      <c r="S41" s="182"/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2"/>
      <c r="AM41" s="182"/>
      <c r="AN41" s="182"/>
      <c r="AO41" s="182"/>
      <c r="AP41" s="182"/>
      <c r="AQ41" s="185">
        <v>1407</v>
      </c>
      <c r="AR41" s="182">
        <v>940.35</v>
      </c>
      <c r="AS41" s="182">
        <v>127.65</v>
      </c>
      <c r="AT41" s="182">
        <v>339</v>
      </c>
      <c r="AU41" s="182"/>
      <c r="AV41" s="182"/>
      <c r="AW41" s="182"/>
      <c r="AX41" s="182"/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182"/>
      <c r="BR41" s="182"/>
      <c r="BS41" s="182"/>
      <c r="BT41" s="182"/>
      <c r="BU41" s="182"/>
      <c r="BV41" s="182"/>
      <c r="BW41" s="182"/>
      <c r="BX41" s="182"/>
      <c r="BY41" s="182"/>
      <c r="BZ41" s="182"/>
      <c r="CA41" s="182"/>
      <c r="CB41" s="185">
        <v>1407</v>
      </c>
      <c r="CC41" s="185">
        <v>0</v>
      </c>
      <c r="CD41" s="185">
        <v>1400</v>
      </c>
      <c r="CE41" s="185"/>
    </row>
    <row r="42" spans="2:83" x14ac:dyDescent="0.3">
      <c r="B42" s="182">
        <v>2420</v>
      </c>
      <c r="C42" s="182">
        <v>1401</v>
      </c>
      <c r="D42" s="182" t="s">
        <v>78</v>
      </c>
      <c r="E42" s="181" t="s">
        <v>4085</v>
      </c>
      <c r="F42" s="182"/>
      <c r="G42" s="182">
        <v>527.62</v>
      </c>
      <c r="H42" s="182"/>
      <c r="I42" s="182"/>
      <c r="J42" s="182"/>
      <c r="K42" s="182"/>
      <c r="L42" s="182"/>
      <c r="M42" s="182"/>
      <c r="N42" s="182"/>
      <c r="O42" s="182"/>
      <c r="P42" s="182"/>
      <c r="Q42" s="182"/>
      <c r="R42" s="182"/>
      <c r="S42" s="182"/>
      <c r="T42" s="182"/>
      <c r="U42" s="182"/>
      <c r="V42" s="182"/>
      <c r="W42" s="182"/>
      <c r="X42" s="182"/>
      <c r="Y42" s="182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2"/>
      <c r="AM42" s="182"/>
      <c r="AN42" s="182"/>
      <c r="AO42" s="182"/>
      <c r="AP42" s="182"/>
      <c r="AQ42" s="185">
        <v>527.62</v>
      </c>
      <c r="AR42" s="182">
        <v>353.2</v>
      </c>
      <c r="AS42" s="182">
        <v>47.3</v>
      </c>
      <c r="AT42" s="182">
        <v>127.12</v>
      </c>
      <c r="AU42" s="182"/>
      <c r="AV42" s="182"/>
      <c r="AW42" s="182"/>
      <c r="AX42" s="182"/>
      <c r="AY42" s="182"/>
      <c r="AZ42" s="182"/>
      <c r="BA42" s="182"/>
      <c r="BB42" s="182"/>
      <c r="BC42" s="182"/>
      <c r="BD42" s="182"/>
      <c r="BE42" s="182"/>
      <c r="BF42" s="182"/>
      <c r="BG42" s="182"/>
      <c r="BH42" s="182"/>
      <c r="BI42" s="182"/>
      <c r="BJ42" s="182"/>
      <c r="BK42" s="182"/>
      <c r="BL42" s="182"/>
      <c r="BM42" s="182"/>
      <c r="BN42" s="182"/>
      <c r="BO42" s="182"/>
      <c r="BP42" s="182"/>
      <c r="BQ42" s="182"/>
      <c r="BR42" s="182"/>
      <c r="BS42" s="182"/>
      <c r="BT42" s="182"/>
      <c r="BU42" s="182"/>
      <c r="BV42" s="182"/>
      <c r="BW42" s="182"/>
      <c r="BX42" s="182"/>
      <c r="BY42" s="182"/>
      <c r="BZ42" s="182"/>
      <c r="CA42" s="182"/>
      <c r="CB42" s="185">
        <v>527.62</v>
      </c>
      <c r="CC42" s="185">
        <v>0</v>
      </c>
      <c r="CD42" s="185">
        <v>1401</v>
      </c>
      <c r="CE42" s="185"/>
    </row>
    <row r="43" spans="2:83" x14ac:dyDescent="0.3">
      <c r="B43" s="182">
        <v>2419</v>
      </c>
      <c r="C43" s="182">
        <v>1402</v>
      </c>
      <c r="D43" s="182" t="s">
        <v>78</v>
      </c>
      <c r="E43" s="181" t="s">
        <v>4086</v>
      </c>
      <c r="F43" s="182"/>
      <c r="G43" s="182">
        <v>2931.25</v>
      </c>
      <c r="H43" s="182"/>
      <c r="I43" s="182"/>
      <c r="J43" s="182"/>
      <c r="K43" s="182"/>
      <c r="L43" s="182"/>
      <c r="M43" s="182"/>
      <c r="N43" s="182"/>
      <c r="O43" s="182"/>
      <c r="P43" s="182"/>
      <c r="Q43" s="182"/>
      <c r="R43" s="182"/>
      <c r="S43" s="182"/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2"/>
      <c r="AM43" s="182"/>
      <c r="AN43" s="182"/>
      <c r="AO43" s="182"/>
      <c r="AP43" s="182"/>
      <c r="AQ43" s="185">
        <v>2931.25</v>
      </c>
      <c r="AR43" s="182">
        <v>2013.9</v>
      </c>
      <c r="AS43" s="182">
        <v>211.1</v>
      </c>
      <c r="AT43" s="182">
        <v>706.25</v>
      </c>
      <c r="AU43" s="182"/>
      <c r="AV43" s="182"/>
      <c r="AW43" s="182"/>
      <c r="AX43" s="182"/>
      <c r="AY43" s="182"/>
      <c r="AZ43" s="182"/>
      <c r="BA43" s="182"/>
      <c r="BB43" s="182"/>
      <c r="BC43" s="182"/>
      <c r="BD43" s="182"/>
      <c r="BE43" s="182"/>
      <c r="BF43" s="182"/>
      <c r="BG43" s="182"/>
      <c r="BH43" s="182"/>
      <c r="BI43" s="182"/>
      <c r="BJ43" s="182"/>
      <c r="BK43" s="182"/>
      <c r="BL43" s="182"/>
      <c r="BM43" s="182"/>
      <c r="BN43" s="182"/>
      <c r="BO43" s="182"/>
      <c r="BP43" s="182"/>
      <c r="BQ43" s="182"/>
      <c r="BR43" s="182"/>
      <c r="BS43" s="182"/>
      <c r="BT43" s="182"/>
      <c r="BU43" s="182"/>
      <c r="BV43" s="182"/>
      <c r="BW43" s="182"/>
      <c r="BX43" s="182"/>
      <c r="BY43" s="182"/>
      <c r="BZ43" s="182"/>
      <c r="CA43" s="182"/>
      <c r="CB43" s="185">
        <v>2931.25</v>
      </c>
      <c r="CC43" s="185">
        <v>0</v>
      </c>
      <c r="CD43" s="185">
        <v>1402</v>
      </c>
      <c r="CE43" s="185"/>
    </row>
    <row r="44" spans="2:83" x14ac:dyDescent="0.3">
      <c r="B44" s="182">
        <v>2418</v>
      </c>
      <c r="C44" s="182">
        <v>1403</v>
      </c>
      <c r="D44" s="182" t="s">
        <v>78</v>
      </c>
      <c r="E44" s="181" t="s">
        <v>4086</v>
      </c>
      <c r="F44" s="182"/>
      <c r="G44" s="182">
        <v>2931.25</v>
      </c>
      <c r="H44" s="182"/>
      <c r="I44" s="182"/>
      <c r="J44" s="182"/>
      <c r="K44" s="182"/>
      <c r="L44" s="182"/>
      <c r="M44" s="182"/>
      <c r="N44" s="182"/>
      <c r="O44" s="182"/>
      <c r="P44" s="182"/>
      <c r="Q44" s="182"/>
      <c r="R44" s="182"/>
      <c r="S44" s="182"/>
      <c r="T44" s="182"/>
      <c r="U44" s="182"/>
      <c r="V44" s="182"/>
      <c r="W44" s="182"/>
      <c r="X44" s="182"/>
      <c r="Y44" s="182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2"/>
      <c r="AM44" s="182"/>
      <c r="AN44" s="182"/>
      <c r="AO44" s="182"/>
      <c r="AP44" s="182"/>
      <c r="AQ44" s="185">
        <v>2931.25</v>
      </c>
      <c r="AR44" s="182">
        <v>1962</v>
      </c>
      <c r="AS44" s="182">
        <v>263</v>
      </c>
      <c r="AT44" s="182">
        <v>706.25</v>
      </c>
      <c r="AU44" s="182"/>
      <c r="AV44" s="182"/>
      <c r="AW44" s="18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2"/>
      <c r="BH44" s="182"/>
      <c r="BI44" s="182"/>
      <c r="BJ44" s="182"/>
      <c r="BK44" s="182"/>
      <c r="BL44" s="182"/>
      <c r="BM44" s="182"/>
      <c r="BN44" s="182"/>
      <c r="BO44" s="182"/>
      <c r="BP44" s="182"/>
      <c r="BQ44" s="182"/>
      <c r="BR44" s="182"/>
      <c r="BS44" s="182"/>
      <c r="BT44" s="182"/>
      <c r="BU44" s="182"/>
      <c r="BV44" s="182"/>
      <c r="BW44" s="182"/>
      <c r="BX44" s="182"/>
      <c r="BY44" s="182"/>
      <c r="BZ44" s="182"/>
      <c r="CA44" s="182"/>
      <c r="CB44" s="185">
        <v>2931.25</v>
      </c>
      <c r="CC44" s="185">
        <v>0</v>
      </c>
      <c r="CD44" s="185">
        <v>1403</v>
      </c>
      <c r="CE44" s="185"/>
    </row>
    <row r="45" spans="2:83" x14ac:dyDescent="0.3">
      <c r="B45" s="182">
        <v>2417</v>
      </c>
      <c r="C45" s="182">
        <v>1404</v>
      </c>
      <c r="D45" s="182" t="s">
        <v>78</v>
      </c>
      <c r="E45" s="181" t="s">
        <v>2517</v>
      </c>
      <c r="F45" s="182"/>
      <c r="G45" s="182">
        <v>703.5</v>
      </c>
      <c r="H45" s="182"/>
      <c r="I45" s="182"/>
      <c r="J45" s="182"/>
      <c r="K45" s="182"/>
      <c r="L45" s="182"/>
      <c r="M45" s="182"/>
      <c r="N45" s="182"/>
      <c r="O45" s="182"/>
      <c r="P45" s="182"/>
      <c r="Q45" s="182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2"/>
      <c r="AM45" s="182"/>
      <c r="AN45" s="182"/>
      <c r="AO45" s="182"/>
      <c r="AP45" s="182"/>
      <c r="AQ45" s="185">
        <v>703.5</v>
      </c>
      <c r="AR45" s="182">
        <v>470.6</v>
      </c>
      <c r="AS45" s="182">
        <v>63.4</v>
      </c>
      <c r="AT45" s="182">
        <v>169.5</v>
      </c>
      <c r="AU45" s="182"/>
      <c r="AV45" s="182"/>
      <c r="AW45" s="18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182"/>
      <c r="BR45" s="182"/>
      <c r="BS45" s="182"/>
      <c r="BT45" s="182"/>
      <c r="BU45" s="182"/>
      <c r="BV45" s="182"/>
      <c r="BW45" s="182"/>
      <c r="BX45" s="182"/>
      <c r="BY45" s="182"/>
      <c r="BZ45" s="182"/>
      <c r="CA45" s="182"/>
      <c r="CB45" s="185">
        <v>703.5</v>
      </c>
      <c r="CC45" s="185">
        <v>0</v>
      </c>
      <c r="CD45" s="185">
        <v>1404</v>
      </c>
      <c r="CE45" s="185"/>
    </row>
    <row r="46" spans="2:83" x14ac:dyDescent="0.3">
      <c r="B46" s="182">
        <v>2416</v>
      </c>
      <c r="C46" s="182">
        <v>1405</v>
      </c>
      <c r="D46" s="182" t="s">
        <v>78</v>
      </c>
      <c r="E46" s="181" t="s">
        <v>4087</v>
      </c>
      <c r="F46" s="182"/>
      <c r="G46" s="182">
        <v>3517.52</v>
      </c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2"/>
      <c r="AM46" s="182"/>
      <c r="AN46" s="182"/>
      <c r="AO46" s="182"/>
      <c r="AP46" s="182"/>
      <c r="AQ46" s="185">
        <v>3517.52</v>
      </c>
      <c r="AR46" s="182">
        <v>2352.6</v>
      </c>
      <c r="AS46" s="182">
        <v>317.39999999999998</v>
      </c>
      <c r="AT46" s="182">
        <v>847.52</v>
      </c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  <c r="BZ46" s="182"/>
      <c r="CA46" s="182"/>
      <c r="CB46" s="185">
        <v>3517.52</v>
      </c>
      <c r="CC46" s="185">
        <v>0</v>
      </c>
      <c r="CD46" s="185">
        <v>1405</v>
      </c>
      <c r="CE46" s="185"/>
    </row>
    <row r="47" spans="2:83" x14ac:dyDescent="0.3">
      <c r="B47" s="182">
        <v>2415</v>
      </c>
      <c r="C47" s="182">
        <v>1406</v>
      </c>
      <c r="D47" s="182" t="s">
        <v>78</v>
      </c>
      <c r="E47" s="181" t="s">
        <v>4087</v>
      </c>
      <c r="F47" s="182"/>
      <c r="G47" s="182">
        <v>3517.52</v>
      </c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2"/>
      <c r="AM47" s="182"/>
      <c r="AN47" s="182"/>
      <c r="AO47" s="182"/>
      <c r="AP47" s="182"/>
      <c r="AQ47" s="185">
        <v>3517.52</v>
      </c>
      <c r="AR47" s="182">
        <v>2352.6</v>
      </c>
      <c r="AS47" s="182">
        <v>317.39999999999998</v>
      </c>
      <c r="AT47" s="182">
        <v>847.52</v>
      </c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2"/>
      <c r="BZ47" s="182"/>
      <c r="CA47" s="182"/>
      <c r="CB47" s="185">
        <v>3517.52</v>
      </c>
      <c r="CC47" s="185">
        <v>0</v>
      </c>
      <c r="CD47" s="185">
        <v>1406</v>
      </c>
      <c r="CE47" s="185"/>
    </row>
    <row r="48" spans="2:83" x14ac:dyDescent="0.3">
      <c r="B48" s="182">
        <v>2414</v>
      </c>
      <c r="C48" s="182">
        <v>1407</v>
      </c>
      <c r="D48" s="182" t="s">
        <v>78</v>
      </c>
      <c r="E48" s="181" t="s">
        <v>889</v>
      </c>
      <c r="F48" s="182"/>
      <c r="G48" s="182">
        <v>586.25</v>
      </c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2"/>
      <c r="AM48" s="182"/>
      <c r="AN48" s="182"/>
      <c r="AO48" s="182"/>
      <c r="AP48" s="182"/>
      <c r="AQ48" s="185">
        <v>586.25</v>
      </c>
      <c r="AR48" s="182">
        <v>392.4</v>
      </c>
      <c r="AS48" s="182">
        <v>52.6</v>
      </c>
      <c r="AT48" s="182">
        <v>141.25</v>
      </c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2"/>
      <c r="BZ48" s="182"/>
      <c r="CA48" s="182"/>
      <c r="CB48" s="185">
        <v>586.25</v>
      </c>
      <c r="CC48" s="185">
        <v>0</v>
      </c>
      <c r="CD48" s="185">
        <v>1407</v>
      </c>
      <c r="CE48" s="185"/>
    </row>
    <row r="49" spans="2:83" x14ac:dyDescent="0.3">
      <c r="B49" s="182">
        <v>2413</v>
      </c>
      <c r="C49" s="182">
        <v>1408</v>
      </c>
      <c r="D49" s="182" t="s">
        <v>78</v>
      </c>
      <c r="E49" s="181" t="s">
        <v>889</v>
      </c>
      <c r="F49" s="182"/>
      <c r="G49" s="182">
        <v>576.46</v>
      </c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5">
        <v>576.46</v>
      </c>
      <c r="AR49" s="182">
        <v>398.59</v>
      </c>
      <c r="AS49" s="182">
        <v>52.65</v>
      </c>
      <c r="AT49" s="182">
        <v>125.22</v>
      </c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5">
        <v>576.45999999999992</v>
      </c>
      <c r="CC49" s="185">
        <v>0</v>
      </c>
      <c r="CD49" s="185">
        <v>1408</v>
      </c>
      <c r="CE49" s="185"/>
    </row>
    <row r="50" spans="2:83" x14ac:dyDescent="0.3">
      <c r="B50" s="182">
        <v>2412</v>
      </c>
      <c r="C50" s="182">
        <v>1409</v>
      </c>
      <c r="D50" s="182" t="s">
        <v>78</v>
      </c>
      <c r="E50" s="181" t="s">
        <v>662</v>
      </c>
      <c r="F50" s="182"/>
      <c r="G50" s="182">
        <v>975.15</v>
      </c>
      <c r="H50" s="182"/>
      <c r="I50" s="182"/>
      <c r="J50" s="182"/>
      <c r="K50" s="182"/>
      <c r="L50" s="182"/>
      <c r="M50" s="182"/>
      <c r="N50" s="182"/>
      <c r="O50" s="182"/>
      <c r="P50" s="182"/>
      <c r="Q50" s="182"/>
      <c r="R50" s="182"/>
      <c r="S50" s="182"/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2"/>
      <c r="AM50" s="182"/>
      <c r="AN50" s="182"/>
      <c r="AO50" s="182"/>
      <c r="AP50" s="182"/>
      <c r="AQ50" s="185">
        <v>975.15</v>
      </c>
      <c r="AR50" s="182">
        <v>604.47</v>
      </c>
      <c r="AS50" s="182">
        <v>83.85</v>
      </c>
      <c r="AT50" s="182">
        <v>286.83</v>
      </c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182"/>
      <c r="BR50" s="182"/>
      <c r="BS50" s="182"/>
      <c r="BT50" s="182"/>
      <c r="BU50" s="182"/>
      <c r="BV50" s="182"/>
      <c r="BW50" s="182"/>
      <c r="BX50" s="182"/>
      <c r="BY50" s="182"/>
      <c r="BZ50" s="182"/>
      <c r="CA50" s="182"/>
      <c r="CB50" s="185">
        <v>975.15000000000009</v>
      </c>
      <c r="CC50" s="185">
        <v>0</v>
      </c>
      <c r="CD50" s="185">
        <v>1409</v>
      </c>
      <c r="CE50" s="185"/>
    </row>
    <row r="51" spans="2:83" x14ac:dyDescent="0.3">
      <c r="B51" s="182">
        <v>2411</v>
      </c>
      <c r="C51" s="182">
        <v>1410</v>
      </c>
      <c r="D51" s="182" t="s">
        <v>78</v>
      </c>
      <c r="E51" s="181" t="s">
        <v>662</v>
      </c>
      <c r="F51" s="182"/>
      <c r="G51" s="182">
        <v>1200</v>
      </c>
      <c r="H51" s="182"/>
      <c r="I51" s="182"/>
      <c r="J51" s="182"/>
      <c r="K51" s="182"/>
      <c r="L51" s="182"/>
      <c r="M51" s="182"/>
      <c r="N51" s="182"/>
      <c r="O51" s="182"/>
      <c r="P51" s="182"/>
      <c r="Q51" s="182"/>
      <c r="R51" s="182"/>
      <c r="S51" s="182"/>
      <c r="T51" s="182"/>
      <c r="U51" s="182"/>
      <c r="V51" s="182"/>
      <c r="W51" s="182"/>
      <c r="X51" s="182"/>
      <c r="Y51" s="182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182"/>
      <c r="AQ51" s="185">
        <v>1200</v>
      </c>
      <c r="AR51" s="182">
        <v>1071.3499999999999</v>
      </c>
      <c r="AS51" s="182">
        <v>128.65</v>
      </c>
      <c r="AT51" s="182"/>
      <c r="AU51" s="182"/>
      <c r="AV51" s="182"/>
      <c r="AW51" s="182"/>
      <c r="AX51" s="182"/>
      <c r="AY51" s="182"/>
      <c r="AZ51" s="182"/>
      <c r="BA51" s="182"/>
      <c r="BB51" s="182"/>
      <c r="BC51" s="182"/>
      <c r="BD51" s="182"/>
      <c r="BE51" s="182"/>
      <c r="BF51" s="182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182"/>
      <c r="BR51" s="182"/>
      <c r="BS51" s="182"/>
      <c r="BT51" s="182"/>
      <c r="BU51" s="182"/>
      <c r="BV51" s="182"/>
      <c r="BW51" s="182"/>
      <c r="BX51" s="182"/>
      <c r="BY51" s="182"/>
      <c r="BZ51" s="182"/>
      <c r="CA51" s="182"/>
      <c r="CB51" s="185">
        <v>1200</v>
      </c>
      <c r="CC51" s="185">
        <v>0</v>
      </c>
      <c r="CD51" s="185">
        <v>1410</v>
      </c>
      <c r="CE51" s="185"/>
    </row>
    <row r="52" spans="2:83" x14ac:dyDescent="0.3">
      <c r="B52" s="182">
        <v>2410</v>
      </c>
      <c r="C52" s="182">
        <v>1411</v>
      </c>
      <c r="D52" s="182" t="s">
        <v>78</v>
      </c>
      <c r="E52" s="181" t="s">
        <v>662</v>
      </c>
      <c r="F52" s="182"/>
      <c r="G52" s="182">
        <v>1200</v>
      </c>
      <c r="H52" s="182"/>
      <c r="I52" s="182"/>
      <c r="J52" s="182"/>
      <c r="K52" s="182"/>
      <c r="L52" s="182"/>
      <c r="M52" s="182"/>
      <c r="N52" s="182"/>
      <c r="O52" s="182"/>
      <c r="P52" s="182"/>
      <c r="Q52" s="182"/>
      <c r="R52" s="182"/>
      <c r="S52" s="182"/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5">
        <v>1200</v>
      </c>
      <c r="AR52" s="182">
        <v>1071.3499999999999</v>
      </c>
      <c r="AS52" s="182">
        <v>128.65</v>
      </c>
      <c r="AT52" s="182"/>
      <c r="AU52" s="182"/>
      <c r="AV52" s="182"/>
      <c r="AW52" s="182"/>
      <c r="AX52" s="182"/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182"/>
      <c r="BR52" s="182"/>
      <c r="BS52" s="182"/>
      <c r="BT52" s="182"/>
      <c r="BU52" s="182"/>
      <c r="BV52" s="182"/>
      <c r="BW52" s="182"/>
      <c r="BX52" s="182"/>
      <c r="BY52" s="182"/>
      <c r="BZ52" s="182"/>
      <c r="CA52" s="182"/>
      <c r="CB52" s="185">
        <v>1200</v>
      </c>
      <c r="CC52" s="185">
        <v>0</v>
      </c>
      <c r="CD52" s="185">
        <v>1411</v>
      </c>
      <c r="CE52" s="185"/>
    </row>
    <row r="53" spans="2:83" x14ac:dyDescent="0.3">
      <c r="B53" s="182">
        <v>2401</v>
      </c>
      <c r="C53" s="182">
        <v>1412</v>
      </c>
      <c r="D53" s="182" t="s">
        <v>78</v>
      </c>
      <c r="E53" s="181" t="s">
        <v>4088</v>
      </c>
      <c r="F53" s="182"/>
      <c r="G53" s="182">
        <v>1758.75</v>
      </c>
      <c r="H53" s="182"/>
      <c r="I53" s="182"/>
      <c r="J53" s="182"/>
      <c r="K53" s="182"/>
      <c r="L53" s="182"/>
      <c r="M53" s="182"/>
      <c r="N53" s="182"/>
      <c r="O53" s="182"/>
      <c r="P53" s="182"/>
      <c r="Q53" s="182"/>
      <c r="R53" s="182"/>
      <c r="S53" s="182"/>
      <c r="T53" s="182"/>
      <c r="U53" s="182"/>
      <c r="V53" s="182"/>
      <c r="W53" s="182"/>
      <c r="X53" s="182"/>
      <c r="Y53" s="182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2"/>
      <c r="AM53" s="182"/>
      <c r="AN53" s="182"/>
      <c r="AO53" s="182"/>
      <c r="AP53" s="182"/>
      <c r="AQ53" s="185">
        <v>1758.75</v>
      </c>
      <c r="AR53" s="182">
        <v>1175.3499999999999</v>
      </c>
      <c r="AS53" s="182">
        <v>159.65</v>
      </c>
      <c r="AT53" s="182">
        <v>423.75</v>
      </c>
      <c r="AU53" s="182"/>
      <c r="AV53" s="182"/>
      <c r="AW53" s="18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2"/>
      <c r="BH53" s="182"/>
      <c r="BI53" s="182"/>
      <c r="BJ53" s="182"/>
      <c r="BK53" s="182"/>
      <c r="BL53" s="182"/>
      <c r="BM53" s="182"/>
      <c r="BN53" s="182"/>
      <c r="BO53" s="182"/>
      <c r="BP53" s="182"/>
      <c r="BQ53" s="182"/>
      <c r="BR53" s="182"/>
      <c r="BS53" s="182"/>
      <c r="BT53" s="182"/>
      <c r="BU53" s="182"/>
      <c r="BV53" s="182"/>
      <c r="BW53" s="182"/>
      <c r="BX53" s="182"/>
      <c r="BY53" s="182"/>
      <c r="BZ53" s="182"/>
      <c r="CA53" s="182"/>
      <c r="CB53" s="185">
        <v>1758.75</v>
      </c>
      <c r="CC53" s="185">
        <v>0</v>
      </c>
      <c r="CD53" s="185">
        <v>1412</v>
      </c>
      <c r="CE53" s="185"/>
    </row>
    <row r="54" spans="2:83" x14ac:dyDescent="0.3">
      <c r="B54" s="182">
        <v>2400</v>
      </c>
      <c r="C54" s="182">
        <v>1413</v>
      </c>
      <c r="D54" s="182" t="s">
        <v>78</v>
      </c>
      <c r="E54" s="181" t="s">
        <v>4088</v>
      </c>
      <c r="F54" s="182"/>
      <c r="G54" s="182">
        <v>2900</v>
      </c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182"/>
      <c r="AQ54" s="185">
        <v>2900</v>
      </c>
      <c r="AR54" s="182">
        <v>2588.6</v>
      </c>
      <c r="AS54" s="182">
        <v>311.39999999999998</v>
      </c>
      <c r="AT54" s="182"/>
      <c r="AU54" s="182"/>
      <c r="AV54" s="182"/>
      <c r="AW54" s="18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2"/>
      <c r="BH54" s="182"/>
      <c r="BI54" s="182"/>
      <c r="BJ54" s="182"/>
      <c r="BK54" s="182"/>
      <c r="BL54" s="182"/>
      <c r="BM54" s="182"/>
      <c r="BN54" s="182"/>
      <c r="BO54" s="182"/>
      <c r="BP54" s="182"/>
      <c r="BQ54" s="182"/>
      <c r="BR54" s="182"/>
      <c r="BS54" s="182"/>
      <c r="BT54" s="182"/>
      <c r="BU54" s="182"/>
      <c r="BV54" s="182"/>
      <c r="BW54" s="182"/>
      <c r="BX54" s="182"/>
      <c r="BY54" s="182"/>
      <c r="BZ54" s="182"/>
      <c r="CA54" s="182"/>
      <c r="CB54" s="185">
        <v>2900</v>
      </c>
      <c r="CC54" s="185">
        <v>0</v>
      </c>
      <c r="CD54" s="185">
        <v>1413</v>
      </c>
      <c r="CE54" s="185"/>
    </row>
    <row r="55" spans="2:83" x14ac:dyDescent="0.3">
      <c r="B55" s="182">
        <v>2399</v>
      </c>
      <c r="C55" s="182">
        <v>1414</v>
      </c>
      <c r="D55" s="182" t="s">
        <v>78</v>
      </c>
      <c r="E55" s="181" t="s">
        <v>4088</v>
      </c>
      <c r="F55" s="182"/>
      <c r="G55" s="182">
        <v>6481.34</v>
      </c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182"/>
      <c r="AQ55" s="185">
        <v>6481.34</v>
      </c>
      <c r="AR55" s="182">
        <v>5356.5</v>
      </c>
      <c r="AS55" s="182">
        <v>664.1</v>
      </c>
      <c r="AT55" s="182">
        <v>460.74</v>
      </c>
      <c r="AU55" s="182"/>
      <c r="AV55" s="182"/>
      <c r="AW55" s="18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2"/>
      <c r="BM55" s="182"/>
      <c r="BN55" s="182"/>
      <c r="BO55" s="182"/>
      <c r="BP55" s="182"/>
      <c r="BQ55" s="182"/>
      <c r="BR55" s="182"/>
      <c r="BS55" s="182"/>
      <c r="BT55" s="182"/>
      <c r="BU55" s="182"/>
      <c r="BV55" s="182"/>
      <c r="BW55" s="182"/>
      <c r="BX55" s="182"/>
      <c r="BY55" s="182"/>
      <c r="BZ55" s="182"/>
      <c r="CA55" s="182"/>
      <c r="CB55" s="185">
        <v>6481.34</v>
      </c>
      <c r="CC55" s="185">
        <v>0</v>
      </c>
      <c r="CD55" s="185">
        <v>1414</v>
      </c>
      <c r="CE55" s="185"/>
    </row>
    <row r="56" spans="2:83" x14ac:dyDescent="0.3">
      <c r="B56" s="182">
        <v>2398</v>
      </c>
      <c r="C56" s="182">
        <v>1415</v>
      </c>
      <c r="D56" s="182" t="s">
        <v>78</v>
      </c>
      <c r="E56" s="181" t="s">
        <v>4088</v>
      </c>
      <c r="F56" s="182"/>
      <c r="G56" s="182">
        <v>1934.62</v>
      </c>
      <c r="H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2"/>
      <c r="AM56" s="182"/>
      <c r="AN56" s="182"/>
      <c r="AO56" s="182"/>
      <c r="AP56" s="182"/>
      <c r="AQ56" s="185">
        <v>1934.62</v>
      </c>
      <c r="AR56" s="182">
        <v>1292.8499999999999</v>
      </c>
      <c r="AS56" s="182">
        <v>175.65</v>
      </c>
      <c r="AT56" s="182">
        <v>466.12</v>
      </c>
      <c r="AU56" s="182"/>
      <c r="AV56" s="182"/>
      <c r="AW56" s="18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2"/>
      <c r="BH56" s="182"/>
      <c r="BI56" s="182"/>
      <c r="BJ56" s="182"/>
      <c r="BK56" s="182"/>
      <c r="BL56" s="182"/>
      <c r="BM56" s="182"/>
      <c r="BN56" s="182"/>
      <c r="BO56" s="182"/>
      <c r="BP56" s="182"/>
      <c r="BQ56" s="182"/>
      <c r="BR56" s="182"/>
      <c r="BS56" s="182"/>
      <c r="BT56" s="182"/>
      <c r="BU56" s="182"/>
      <c r="BV56" s="182"/>
      <c r="BW56" s="182"/>
      <c r="BX56" s="182"/>
      <c r="BY56" s="182"/>
      <c r="BZ56" s="182"/>
      <c r="CA56" s="182"/>
      <c r="CB56" s="185">
        <v>1934.62</v>
      </c>
      <c r="CC56" s="185">
        <v>0</v>
      </c>
      <c r="CD56" s="185">
        <v>1415</v>
      </c>
      <c r="CE56" s="185"/>
    </row>
    <row r="57" spans="2:83" x14ac:dyDescent="0.3">
      <c r="B57" s="182">
        <v>2397</v>
      </c>
      <c r="C57" s="182">
        <v>1416</v>
      </c>
      <c r="D57" s="182" t="s">
        <v>78</v>
      </c>
      <c r="E57" s="181" t="s">
        <v>4089</v>
      </c>
      <c r="F57" s="182"/>
      <c r="G57" s="182">
        <v>9204.1200000000008</v>
      </c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2"/>
      <c r="AM57" s="182"/>
      <c r="AN57" s="182"/>
      <c r="AO57" s="182"/>
      <c r="AP57" s="182"/>
      <c r="AQ57" s="185">
        <v>9204.1200000000008</v>
      </c>
      <c r="AR57" s="182">
        <v>6150.9</v>
      </c>
      <c r="AS57" s="182">
        <v>835.6</v>
      </c>
      <c r="AT57" s="182">
        <v>2217.62</v>
      </c>
      <c r="AU57" s="182"/>
      <c r="AV57" s="182"/>
      <c r="AW57" s="18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2"/>
      <c r="BH57" s="182"/>
      <c r="BI57" s="182"/>
      <c r="BJ57" s="182"/>
      <c r="BK57" s="182"/>
      <c r="BL57" s="182"/>
      <c r="BM57" s="182"/>
      <c r="BN57" s="182"/>
      <c r="BO57" s="182"/>
      <c r="BP57" s="182"/>
      <c r="BQ57" s="182"/>
      <c r="BR57" s="182"/>
      <c r="BS57" s="182"/>
      <c r="BT57" s="182"/>
      <c r="BU57" s="182"/>
      <c r="BV57" s="182"/>
      <c r="BW57" s="182"/>
      <c r="BX57" s="182"/>
      <c r="BY57" s="182"/>
      <c r="BZ57" s="182"/>
      <c r="CA57" s="182"/>
      <c r="CB57" s="185">
        <v>9204.119999999999</v>
      </c>
      <c r="CC57" s="185">
        <v>0</v>
      </c>
      <c r="CD57" s="185">
        <v>1416</v>
      </c>
      <c r="CE57" s="185"/>
    </row>
    <row r="58" spans="2:83" x14ac:dyDescent="0.3">
      <c r="B58" s="182">
        <v>2396</v>
      </c>
      <c r="C58" s="182">
        <v>1417</v>
      </c>
      <c r="D58" s="182" t="s">
        <v>78</v>
      </c>
      <c r="E58" s="181" t="s">
        <v>4090</v>
      </c>
      <c r="F58" s="182"/>
      <c r="G58" s="182">
        <v>23353.1</v>
      </c>
      <c r="H58" s="182"/>
      <c r="I58" s="182"/>
      <c r="J58" s="182"/>
      <c r="K58" s="182"/>
      <c r="L58" s="182"/>
      <c r="M58" s="182"/>
      <c r="N58" s="182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2"/>
      <c r="AM58" s="182"/>
      <c r="AN58" s="182"/>
      <c r="AO58" s="182"/>
      <c r="AP58" s="182"/>
      <c r="AQ58" s="185">
        <v>23353.1</v>
      </c>
      <c r="AR58" s="182">
        <v>15503.85</v>
      </c>
      <c r="AS58" s="182">
        <v>2112.3000000000002</v>
      </c>
      <c r="AT58" s="182">
        <v>5736.95</v>
      </c>
      <c r="AU58" s="182"/>
      <c r="AV58" s="182"/>
      <c r="AW58" s="182"/>
      <c r="AX58" s="182"/>
      <c r="AY58" s="182"/>
      <c r="AZ58" s="182"/>
      <c r="BA58" s="182"/>
      <c r="BB58" s="182"/>
      <c r="BC58" s="182"/>
      <c r="BD58" s="182"/>
      <c r="BE58" s="182"/>
      <c r="BF58" s="182"/>
      <c r="BG58" s="182"/>
      <c r="BH58" s="182"/>
      <c r="BI58" s="182"/>
      <c r="BJ58" s="182"/>
      <c r="BK58" s="182"/>
      <c r="BL58" s="182"/>
      <c r="BM58" s="182"/>
      <c r="BN58" s="182"/>
      <c r="BO58" s="182"/>
      <c r="BP58" s="182"/>
      <c r="BQ58" s="182"/>
      <c r="BR58" s="182"/>
      <c r="BS58" s="182"/>
      <c r="BT58" s="182"/>
      <c r="BU58" s="182"/>
      <c r="BV58" s="182"/>
      <c r="BW58" s="182"/>
      <c r="BX58" s="182"/>
      <c r="BY58" s="182"/>
      <c r="BZ58" s="182"/>
      <c r="CA58" s="182"/>
      <c r="CB58" s="185">
        <v>23353.100000000002</v>
      </c>
      <c r="CC58" s="185">
        <v>0</v>
      </c>
      <c r="CD58" s="185">
        <v>1417</v>
      </c>
      <c r="CE58" s="185"/>
    </row>
    <row r="59" spans="2:83" x14ac:dyDescent="0.3">
      <c r="B59" s="182">
        <v>2409</v>
      </c>
      <c r="C59" s="182">
        <v>1418</v>
      </c>
      <c r="D59" s="182" t="s">
        <v>78</v>
      </c>
      <c r="E59" s="181" t="s">
        <v>4091</v>
      </c>
      <c r="F59" s="182"/>
      <c r="G59" s="182">
        <v>5276.25</v>
      </c>
      <c r="H59" s="182"/>
      <c r="I59" s="182"/>
      <c r="J59" s="182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2"/>
      <c r="AM59" s="182"/>
      <c r="AN59" s="182"/>
      <c r="AO59" s="182"/>
      <c r="AP59" s="182"/>
      <c r="AQ59" s="185">
        <v>5276.25</v>
      </c>
      <c r="AR59" s="182">
        <v>3531.6</v>
      </c>
      <c r="AS59" s="182">
        <v>473.4</v>
      </c>
      <c r="AT59" s="182">
        <v>1271.25</v>
      </c>
      <c r="AU59" s="182"/>
      <c r="AV59" s="182"/>
      <c r="AW59" s="182"/>
      <c r="AX59" s="182"/>
      <c r="AY59" s="182"/>
      <c r="AZ59" s="182"/>
      <c r="BA59" s="182"/>
      <c r="BB59" s="182"/>
      <c r="BC59" s="182"/>
      <c r="BD59" s="182"/>
      <c r="BE59" s="182"/>
      <c r="BF59" s="182"/>
      <c r="BG59" s="182"/>
      <c r="BH59" s="182"/>
      <c r="BI59" s="182"/>
      <c r="BJ59" s="182"/>
      <c r="BK59" s="182"/>
      <c r="BL59" s="182"/>
      <c r="BM59" s="182"/>
      <c r="BN59" s="182"/>
      <c r="BO59" s="182"/>
      <c r="BP59" s="182"/>
      <c r="BQ59" s="182"/>
      <c r="BR59" s="182"/>
      <c r="BS59" s="182"/>
      <c r="BT59" s="182"/>
      <c r="BU59" s="182"/>
      <c r="BV59" s="182"/>
      <c r="BW59" s="182"/>
      <c r="BX59" s="182"/>
      <c r="BY59" s="182"/>
      <c r="BZ59" s="182"/>
      <c r="CA59" s="182"/>
      <c r="CB59" s="185">
        <v>5276.25</v>
      </c>
      <c r="CC59" s="185">
        <v>0</v>
      </c>
      <c r="CD59" s="185">
        <v>1418</v>
      </c>
      <c r="CE59" s="185"/>
    </row>
    <row r="60" spans="2:83" x14ac:dyDescent="0.3">
      <c r="B60" s="182">
        <v>2408</v>
      </c>
      <c r="C60" s="182">
        <v>1419</v>
      </c>
      <c r="D60" s="182" t="s">
        <v>78</v>
      </c>
      <c r="E60" s="181" t="s">
        <v>4091</v>
      </c>
      <c r="F60" s="182"/>
      <c r="G60" s="182">
        <v>586.25</v>
      </c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2"/>
      <c r="AM60" s="182"/>
      <c r="AN60" s="182"/>
      <c r="AO60" s="182"/>
      <c r="AP60" s="182"/>
      <c r="AQ60" s="185">
        <v>586.25</v>
      </c>
      <c r="AR60" s="182">
        <v>392.4</v>
      </c>
      <c r="AS60" s="182">
        <v>52.6</v>
      </c>
      <c r="AT60" s="182">
        <v>141.25</v>
      </c>
      <c r="AU60" s="182"/>
      <c r="AV60" s="182"/>
      <c r="AW60" s="18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2"/>
      <c r="BH60" s="182"/>
      <c r="BI60" s="182"/>
      <c r="BJ60" s="182"/>
      <c r="BK60" s="182"/>
      <c r="BL60" s="182"/>
      <c r="BM60" s="182"/>
      <c r="BN60" s="182"/>
      <c r="BO60" s="182"/>
      <c r="BP60" s="182"/>
      <c r="BQ60" s="182"/>
      <c r="BR60" s="182"/>
      <c r="BS60" s="182"/>
      <c r="BT60" s="182"/>
      <c r="BU60" s="182"/>
      <c r="BV60" s="182"/>
      <c r="BW60" s="182"/>
      <c r="BX60" s="182"/>
      <c r="BY60" s="182"/>
      <c r="BZ60" s="182"/>
      <c r="CA60" s="182"/>
      <c r="CB60" s="185">
        <v>586.25</v>
      </c>
      <c r="CC60" s="185">
        <v>0</v>
      </c>
      <c r="CD60" s="185">
        <v>1419</v>
      </c>
      <c r="CE60" s="185"/>
    </row>
    <row r="61" spans="2:83" x14ac:dyDescent="0.3">
      <c r="B61" s="182">
        <v>2407</v>
      </c>
      <c r="C61" s="182">
        <v>1420</v>
      </c>
      <c r="D61" s="182" t="s">
        <v>78</v>
      </c>
      <c r="E61" s="181" t="s">
        <v>4091</v>
      </c>
      <c r="F61" s="182"/>
      <c r="G61" s="182">
        <v>586.25</v>
      </c>
      <c r="H61" s="182"/>
      <c r="I61" s="182"/>
      <c r="J61" s="182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  <c r="Z61" s="182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2"/>
      <c r="AM61" s="182"/>
      <c r="AN61" s="182"/>
      <c r="AO61" s="182"/>
      <c r="AP61" s="182"/>
      <c r="AQ61" s="185">
        <v>586.25</v>
      </c>
      <c r="AR61" s="182">
        <v>392.4</v>
      </c>
      <c r="AS61" s="182">
        <v>52.6</v>
      </c>
      <c r="AT61" s="182">
        <v>141.25</v>
      </c>
      <c r="AU61" s="182"/>
      <c r="AV61" s="182"/>
      <c r="AW61" s="18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2"/>
      <c r="BH61" s="182"/>
      <c r="BI61" s="182"/>
      <c r="BJ61" s="182"/>
      <c r="BK61" s="182"/>
      <c r="BL61" s="182"/>
      <c r="BM61" s="182"/>
      <c r="BN61" s="182"/>
      <c r="BO61" s="182"/>
      <c r="BP61" s="182"/>
      <c r="BQ61" s="182"/>
      <c r="BR61" s="182"/>
      <c r="BS61" s="182"/>
      <c r="BT61" s="182"/>
      <c r="BU61" s="182"/>
      <c r="BV61" s="182"/>
      <c r="BW61" s="182"/>
      <c r="BX61" s="182"/>
      <c r="BY61" s="182"/>
      <c r="BZ61" s="182"/>
      <c r="CA61" s="182"/>
      <c r="CB61" s="185">
        <v>586.25</v>
      </c>
      <c r="CC61" s="185">
        <v>0</v>
      </c>
      <c r="CD61" s="185">
        <v>1420</v>
      </c>
      <c r="CE61" s="185"/>
    </row>
    <row r="62" spans="2:83" x14ac:dyDescent="0.3">
      <c r="B62" s="182">
        <v>2406</v>
      </c>
      <c r="C62" s="182">
        <v>1421</v>
      </c>
      <c r="D62" s="182" t="s">
        <v>78</v>
      </c>
      <c r="E62" s="181" t="s">
        <v>4092</v>
      </c>
      <c r="F62" s="182"/>
      <c r="G62" s="182">
        <v>586.25</v>
      </c>
      <c r="H62" s="182"/>
      <c r="I62" s="182"/>
      <c r="J62" s="182"/>
      <c r="K62" s="182"/>
      <c r="L62" s="182"/>
      <c r="M62" s="182"/>
      <c r="N62" s="182"/>
      <c r="O62" s="182"/>
      <c r="P62" s="182"/>
      <c r="Q62" s="182"/>
      <c r="R62" s="182"/>
      <c r="S62" s="182"/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2"/>
      <c r="AM62" s="182"/>
      <c r="AN62" s="182"/>
      <c r="AO62" s="182"/>
      <c r="AP62" s="182"/>
      <c r="AQ62" s="185">
        <v>586.25</v>
      </c>
      <c r="AR62" s="182">
        <v>392.4</v>
      </c>
      <c r="AS62" s="182">
        <v>52.6</v>
      </c>
      <c r="AT62" s="182">
        <v>141.25</v>
      </c>
      <c r="AU62" s="182"/>
      <c r="AV62" s="182"/>
      <c r="AW62" s="18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2"/>
      <c r="BH62" s="182"/>
      <c r="BI62" s="182"/>
      <c r="BJ62" s="182"/>
      <c r="BK62" s="182"/>
      <c r="BL62" s="182"/>
      <c r="BM62" s="182"/>
      <c r="BN62" s="182"/>
      <c r="BO62" s="182"/>
      <c r="BP62" s="182"/>
      <c r="BQ62" s="182"/>
      <c r="BR62" s="182"/>
      <c r="BS62" s="182"/>
      <c r="BT62" s="182"/>
      <c r="BU62" s="182"/>
      <c r="BV62" s="182"/>
      <c r="BW62" s="182"/>
      <c r="BX62" s="182"/>
      <c r="BY62" s="182"/>
      <c r="BZ62" s="182"/>
      <c r="CA62" s="182"/>
      <c r="CB62" s="185">
        <v>586.25</v>
      </c>
      <c r="CC62" s="185">
        <v>0</v>
      </c>
      <c r="CD62" s="185">
        <v>1421</v>
      </c>
      <c r="CE62" s="185"/>
    </row>
    <row r="63" spans="2:83" x14ac:dyDescent="0.3">
      <c r="B63" s="182">
        <v>2275</v>
      </c>
      <c r="C63" s="182">
        <v>1422</v>
      </c>
      <c r="D63" s="182" t="s">
        <v>78</v>
      </c>
      <c r="E63" s="181" t="s">
        <v>4093</v>
      </c>
      <c r="F63" s="182"/>
      <c r="G63" s="182">
        <v>703.5</v>
      </c>
      <c r="H63" s="182"/>
      <c r="I63" s="182"/>
      <c r="J63" s="182"/>
      <c r="K63" s="182"/>
      <c r="L63" s="182"/>
      <c r="M63" s="182"/>
      <c r="N63" s="182"/>
      <c r="O63" s="182"/>
      <c r="P63" s="182"/>
      <c r="Q63" s="182"/>
      <c r="R63" s="182"/>
      <c r="S63" s="182"/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2"/>
      <c r="AM63" s="182"/>
      <c r="AN63" s="182"/>
      <c r="AO63" s="182"/>
      <c r="AP63" s="182"/>
      <c r="AQ63" s="185">
        <v>703.5</v>
      </c>
      <c r="AR63" s="182">
        <v>470.6</v>
      </c>
      <c r="AS63" s="182">
        <v>63.4</v>
      </c>
      <c r="AT63" s="182">
        <v>169.5</v>
      </c>
      <c r="AU63" s="182"/>
      <c r="AV63" s="182"/>
      <c r="AW63" s="18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2"/>
      <c r="BH63" s="182"/>
      <c r="BI63" s="182"/>
      <c r="BJ63" s="182"/>
      <c r="BK63" s="182"/>
      <c r="BL63" s="182"/>
      <c r="BM63" s="182"/>
      <c r="BN63" s="182"/>
      <c r="BO63" s="182"/>
      <c r="BP63" s="182"/>
      <c r="BQ63" s="182"/>
      <c r="BR63" s="182"/>
      <c r="BS63" s="182"/>
      <c r="BT63" s="182"/>
      <c r="BU63" s="182"/>
      <c r="BV63" s="182"/>
      <c r="BW63" s="182"/>
      <c r="BX63" s="182"/>
      <c r="BY63" s="182"/>
      <c r="BZ63" s="182"/>
      <c r="CA63" s="182"/>
      <c r="CB63" s="185">
        <v>703.5</v>
      </c>
      <c r="CC63" s="185">
        <v>0</v>
      </c>
      <c r="CD63" s="185">
        <v>1422</v>
      </c>
      <c r="CE63" s="185"/>
    </row>
    <row r="64" spans="2:83" x14ac:dyDescent="0.3">
      <c r="B64" s="182">
        <v>2274</v>
      </c>
      <c r="C64" s="182">
        <v>1423</v>
      </c>
      <c r="D64" s="182" t="s">
        <v>78</v>
      </c>
      <c r="E64" s="181" t="s">
        <v>1936</v>
      </c>
      <c r="F64" s="182"/>
      <c r="G64" s="182">
        <v>7113.93</v>
      </c>
      <c r="H64" s="182"/>
      <c r="I64" s="182"/>
      <c r="J64" s="182"/>
      <c r="K64" s="182"/>
      <c r="L64" s="182"/>
      <c r="M64" s="182"/>
      <c r="N64" s="182"/>
      <c r="O64" s="182"/>
      <c r="P64" s="182"/>
      <c r="Q64" s="182"/>
      <c r="R64" s="182"/>
      <c r="S64" s="182"/>
      <c r="T64" s="182"/>
      <c r="U64" s="182"/>
      <c r="V64" s="182"/>
      <c r="W64" s="182"/>
      <c r="X64" s="182"/>
      <c r="Y64" s="182"/>
      <c r="Z64" s="182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2"/>
      <c r="AM64" s="182"/>
      <c r="AN64" s="182"/>
      <c r="AO64" s="182"/>
      <c r="AP64" s="182"/>
      <c r="AQ64" s="185">
        <v>7113.93</v>
      </c>
      <c r="AR64" s="182">
        <v>4655</v>
      </c>
      <c r="AS64" s="182">
        <v>634.65</v>
      </c>
      <c r="AT64" s="182">
        <v>1824.28</v>
      </c>
      <c r="AU64" s="182"/>
      <c r="AV64" s="182"/>
      <c r="AW64" s="18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2"/>
      <c r="BH64" s="182"/>
      <c r="BI64" s="182"/>
      <c r="BJ64" s="182"/>
      <c r="BK64" s="182"/>
      <c r="BL64" s="182"/>
      <c r="BM64" s="182"/>
      <c r="BN64" s="182"/>
      <c r="BO64" s="182"/>
      <c r="BP64" s="182"/>
      <c r="BQ64" s="182"/>
      <c r="BR64" s="182"/>
      <c r="BS64" s="182"/>
      <c r="BT64" s="182"/>
      <c r="BU64" s="182"/>
      <c r="BV64" s="182"/>
      <c r="BW64" s="182"/>
      <c r="BX64" s="182"/>
      <c r="BY64" s="182"/>
      <c r="BZ64" s="182"/>
      <c r="CA64" s="182"/>
      <c r="CB64" s="185">
        <v>7113.9299999999994</v>
      </c>
      <c r="CC64" s="185">
        <v>0</v>
      </c>
      <c r="CD64" s="185">
        <v>1423</v>
      </c>
      <c r="CE64" s="185"/>
    </row>
    <row r="65" spans="2:83" x14ac:dyDescent="0.3">
      <c r="B65" s="182">
        <v>2273</v>
      </c>
      <c r="C65" s="182">
        <v>1424</v>
      </c>
      <c r="D65" s="182" t="s">
        <v>78</v>
      </c>
      <c r="E65" s="181" t="s">
        <v>1936</v>
      </c>
      <c r="F65" s="182"/>
      <c r="G65" s="182">
        <v>7113.93</v>
      </c>
      <c r="H65" s="182"/>
      <c r="I65" s="182"/>
      <c r="J65" s="182"/>
      <c r="K65" s="182"/>
      <c r="L65" s="182"/>
      <c r="M65" s="182"/>
      <c r="N65" s="182"/>
      <c r="O65" s="182"/>
      <c r="P65" s="182"/>
      <c r="Q65" s="182"/>
      <c r="R65" s="182"/>
      <c r="S65" s="182"/>
      <c r="T65" s="182"/>
      <c r="U65" s="182"/>
      <c r="V65" s="182"/>
      <c r="W65" s="182"/>
      <c r="X65" s="182"/>
      <c r="Y65" s="182"/>
      <c r="Z65" s="182"/>
      <c r="AA65" s="182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  <c r="AL65" s="182"/>
      <c r="AM65" s="182"/>
      <c r="AN65" s="182"/>
      <c r="AO65" s="182"/>
      <c r="AP65" s="182"/>
      <c r="AQ65" s="185">
        <v>7113.93</v>
      </c>
      <c r="AR65" s="182">
        <v>4655</v>
      </c>
      <c r="AS65" s="182">
        <v>634.65</v>
      </c>
      <c r="AT65" s="182">
        <v>1824.28</v>
      </c>
      <c r="AU65" s="182"/>
      <c r="AV65" s="182"/>
      <c r="AW65" s="182"/>
      <c r="AX65" s="182"/>
      <c r="AY65" s="182"/>
      <c r="AZ65" s="182"/>
      <c r="BA65" s="182"/>
      <c r="BB65" s="182"/>
      <c r="BC65" s="182"/>
      <c r="BD65" s="182"/>
      <c r="BE65" s="182"/>
      <c r="BF65" s="182"/>
      <c r="BG65" s="182"/>
      <c r="BH65" s="182"/>
      <c r="BI65" s="182"/>
      <c r="BJ65" s="182"/>
      <c r="BK65" s="182"/>
      <c r="BL65" s="182"/>
      <c r="BM65" s="182"/>
      <c r="BN65" s="182"/>
      <c r="BO65" s="182"/>
      <c r="BP65" s="182"/>
      <c r="BQ65" s="182"/>
      <c r="BR65" s="182"/>
      <c r="BS65" s="182"/>
      <c r="BT65" s="182"/>
      <c r="BU65" s="182"/>
      <c r="BV65" s="182"/>
      <c r="BW65" s="182"/>
      <c r="BX65" s="182"/>
      <c r="BY65" s="182"/>
      <c r="BZ65" s="182"/>
      <c r="CA65" s="182"/>
      <c r="CB65" s="185">
        <v>7113.9299999999994</v>
      </c>
      <c r="CC65" s="185">
        <v>0</v>
      </c>
      <c r="CD65" s="185">
        <v>1424</v>
      </c>
      <c r="CE65" s="185"/>
    </row>
    <row r="66" spans="2:83" x14ac:dyDescent="0.3">
      <c r="B66" s="182">
        <v>2640</v>
      </c>
      <c r="C66" s="182">
        <v>1425</v>
      </c>
      <c r="D66" s="182" t="s">
        <v>78</v>
      </c>
      <c r="E66" s="181" t="s">
        <v>4093</v>
      </c>
      <c r="F66" s="182"/>
      <c r="G66" s="182">
        <v>351.75</v>
      </c>
      <c r="H66" s="182"/>
      <c r="I66" s="182"/>
      <c r="J66" s="182"/>
      <c r="K66" s="182"/>
      <c r="L66" s="182"/>
      <c r="M66" s="182"/>
      <c r="N66" s="182"/>
      <c r="O66" s="182"/>
      <c r="P66" s="182"/>
      <c r="Q66" s="182"/>
      <c r="R66" s="182"/>
      <c r="S66" s="182"/>
      <c r="T66" s="182"/>
      <c r="U66" s="182"/>
      <c r="V66" s="182"/>
      <c r="W66" s="182"/>
      <c r="X66" s="182"/>
      <c r="Y66" s="182"/>
      <c r="Z66" s="182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2"/>
      <c r="AM66" s="182"/>
      <c r="AN66" s="182"/>
      <c r="AO66" s="182"/>
      <c r="AP66" s="182"/>
      <c r="AQ66" s="185">
        <v>351.75</v>
      </c>
      <c r="AR66" s="182">
        <v>235.55</v>
      </c>
      <c r="AS66" s="182">
        <v>31.45</v>
      </c>
      <c r="AT66" s="182">
        <v>84.75</v>
      </c>
      <c r="AU66" s="182"/>
      <c r="AV66" s="182"/>
      <c r="AW66" s="182"/>
      <c r="AX66" s="182"/>
      <c r="AY66" s="182"/>
      <c r="AZ66" s="182"/>
      <c r="BA66" s="182"/>
      <c r="BB66" s="182"/>
      <c r="BC66" s="182"/>
      <c r="BD66" s="182"/>
      <c r="BE66" s="182"/>
      <c r="BF66" s="182"/>
      <c r="BG66" s="182"/>
      <c r="BH66" s="182"/>
      <c r="BI66" s="182"/>
      <c r="BJ66" s="182"/>
      <c r="BK66" s="182"/>
      <c r="BL66" s="182"/>
      <c r="BM66" s="182"/>
      <c r="BN66" s="182"/>
      <c r="BO66" s="182"/>
      <c r="BP66" s="182"/>
      <c r="BQ66" s="182"/>
      <c r="BR66" s="182"/>
      <c r="BS66" s="182"/>
      <c r="BT66" s="182"/>
      <c r="BU66" s="182"/>
      <c r="BV66" s="182"/>
      <c r="BW66" s="182"/>
      <c r="BX66" s="182"/>
      <c r="BY66" s="182"/>
      <c r="BZ66" s="182"/>
      <c r="CA66" s="182"/>
      <c r="CB66" s="185">
        <v>351.75</v>
      </c>
      <c r="CC66" s="185">
        <v>0</v>
      </c>
      <c r="CD66" s="185">
        <v>1425</v>
      </c>
      <c r="CE66" s="185"/>
    </row>
    <row r="67" spans="2:83" x14ac:dyDescent="0.3">
      <c r="B67" s="182">
        <v>2639</v>
      </c>
      <c r="C67" s="182">
        <v>1426</v>
      </c>
      <c r="D67" s="182" t="s">
        <v>78</v>
      </c>
      <c r="E67" s="181" t="s">
        <v>4093</v>
      </c>
      <c r="F67" s="182"/>
      <c r="G67" s="182">
        <v>351.75</v>
      </c>
      <c r="H67" s="182"/>
      <c r="I67" s="182"/>
      <c r="J67" s="182"/>
      <c r="K67" s="182"/>
      <c r="L67" s="182"/>
      <c r="M67" s="182"/>
      <c r="N67" s="182"/>
      <c r="O67" s="182"/>
      <c r="P67" s="182"/>
      <c r="Q67" s="182"/>
      <c r="R67" s="182"/>
      <c r="S67" s="182"/>
      <c r="T67" s="182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2"/>
      <c r="AM67" s="182"/>
      <c r="AN67" s="182"/>
      <c r="AO67" s="182"/>
      <c r="AP67" s="182"/>
      <c r="AQ67" s="185">
        <v>351.75</v>
      </c>
      <c r="AR67" s="182">
        <v>235.55</v>
      </c>
      <c r="AS67" s="182">
        <v>31.45</v>
      </c>
      <c r="AT67" s="182">
        <v>84.75</v>
      </c>
      <c r="AU67" s="182"/>
      <c r="AV67" s="182"/>
      <c r="AW67" s="18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2"/>
      <c r="BH67" s="182"/>
      <c r="BI67" s="182"/>
      <c r="BJ67" s="182"/>
      <c r="BK67" s="182"/>
      <c r="BL67" s="182"/>
      <c r="BM67" s="182"/>
      <c r="BN67" s="182"/>
      <c r="BO67" s="182"/>
      <c r="BP67" s="182"/>
      <c r="BQ67" s="182"/>
      <c r="BR67" s="182"/>
      <c r="BS67" s="182"/>
      <c r="BT67" s="182"/>
      <c r="BU67" s="182"/>
      <c r="BV67" s="182"/>
      <c r="BW67" s="182"/>
      <c r="BX67" s="182"/>
      <c r="BY67" s="182"/>
      <c r="BZ67" s="182"/>
      <c r="CA67" s="182"/>
      <c r="CB67" s="185">
        <v>351.75</v>
      </c>
      <c r="CC67" s="185">
        <v>0</v>
      </c>
      <c r="CD67" s="185">
        <v>1426</v>
      </c>
      <c r="CE67" s="185"/>
    </row>
    <row r="68" spans="2:83" x14ac:dyDescent="0.3">
      <c r="B68" s="182">
        <v>2638</v>
      </c>
      <c r="C68" s="182">
        <v>1427</v>
      </c>
      <c r="D68" s="182" t="s">
        <v>78</v>
      </c>
      <c r="E68" s="181" t="s">
        <v>4094</v>
      </c>
      <c r="F68" s="182"/>
      <c r="G68" s="182">
        <v>2814</v>
      </c>
      <c r="H68" s="182"/>
      <c r="I68" s="182"/>
      <c r="J68" s="182"/>
      <c r="K68" s="182"/>
      <c r="L68" s="182"/>
      <c r="M68" s="182"/>
      <c r="N68" s="182"/>
      <c r="O68" s="182"/>
      <c r="P68" s="182"/>
      <c r="Q68" s="182"/>
      <c r="R68" s="182"/>
      <c r="S68" s="182"/>
      <c r="T68" s="182"/>
      <c r="U68" s="182"/>
      <c r="V68" s="182"/>
      <c r="W68" s="182"/>
      <c r="X68" s="182"/>
      <c r="Y68" s="182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2"/>
      <c r="AM68" s="182"/>
      <c r="AN68" s="182"/>
      <c r="AO68" s="182"/>
      <c r="AP68" s="182"/>
      <c r="AQ68" s="185">
        <v>2814</v>
      </c>
      <c r="AR68" s="182">
        <v>1880.7</v>
      </c>
      <c r="AS68" s="182">
        <v>255.3</v>
      </c>
      <c r="AT68" s="182">
        <v>678</v>
      </c>
      <c r="AU68" s="182"/>
      <c r="AV68" s="182"/>
      <c r="AW68" s="18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2"/>
      <c r="BH68" s="182"/>
      <c r="BI68" s="182"/>
      <c r="BJ68" s="182"/>
      <c r="BK68" s="182"/>
      <c r="BL68" s="182"/>
      <c r="BM68" s="182"/>
      <c r="BN68" s="182"/>
      <c r="BO68" s="182"/>
      <c r="BP68" s="182"/>
      <c r="BQ68" s="182"/>
      <c r="BR68" s="182"/>
      <c r="BS68" s="182"/>
      <c r="BT68" s="182"/>
      <c r="BU68" s="182"/>
      <c r="BV68" s="182"/>
      <c r="BW68" s="182"/>
      <c r="BX68" s="182"/>
      <c r="BY68" s="182"/>
      <c r="BZ68" s="182"/>
      <c r="CA68" s="182"/>
      <c r="CB68" s="185">
        <v>2814</v>
      </c>
      <c r="CC68" s="185">
        <v>0</v>
      </c>
      <c r="CD68" s="185">
        <v>1427</v>
      </c>
      <c r="CE68" s="185"/>
    </row>
    <row r="69" spans="2:83" x14ac:dyDescent="0.3">
      <c r="B69" s="182">
        <v>2637</v>
      </c>
      <c r="C69" s="182">
        <v>1428</v>
      </c>
      <c r="D69" s="182" t="s">
        <v>78</v>
      </c>
      <c r="E69" s="181" t="s">
        <v>4095</v>
      </c>
      <c r="F69" s="182"/>
      <c r="G69" s="182">
        <v>1172.5</v>
      </c>
      <c r="H69" s="182"/>
      <c r="I69" s="182"/>
      <c r="J69" s="182"/>
      <c r="K69" s="182"/>
      <c r="L69" s="182"/>
      <c r="M69" s="182"/>
      <c r="N69" s="182"/>
      <c r="O69" s="182"/>
      <c r="P69" s="182"/>
      <c r="Q69" s="182"/>
      <c r="R69" s="182"/>
      <c r="S69" s="182"/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2"/>
      <c r="AM69" s="182"/>
      <c r="AN69" s="182"/>
      <c r="AO69" s="182"/>
      <c r="AP69" s="182"/>
      <c r="AQ69" s="185">
        <v>1172.5</v>
      </c>
      <c r="AR69" s="182">
        <v>784.1</v>
      </c>
      <c r="AS69" s="182">
        <v>105.9</v>
      </c>
      <c r="AT69" s="182">
        <v>282.5</v>
      </c>
      <c r="AU69" s="182"/>
      <c r="AV69" s="182"/>
      <c r="AW69" s="18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2"/>
      <c r="BH69" s="182"/>
      <c r="BI69" s="182"/>
      <c r="BJ69" s="182"/>
      <c r="BK69" s="182"/>
      <c r="BL69" s="182"/>
      <c r="BM69" s="182"/>
      <c r="BN69" s="182"/>
      <c r="BO69" s="182"/>
      <c r="BP69" s="182"/>
      <c r="BQ69" s="182"/>
      <c r="BR69" s="182"/>
      <c r="BS69" s="182"/>
      <c r="BT69" s="182"/>
      <c r="BU69" s="182"/>
      <c r="BV69" s="182"/>
      <c r="BW69" s="182"/>
      <c r="BX69" s="182"/>
      <c r="BY69" s="182"/>
      <c r="BZ69" s="182"/>
      <c r="CA69" s="182"/>
      <c r="CB69" s="185">
        <v>1172.5</v>
      </c>
      <c r="CC69" s="185">
        <v>0</v>
      </c>
      <c r="CD69" s="185">
        <v>1428</v>
      </c>
      <c r="CE69" s="185"/>
    </row>
    <row r="70" spans="2:83" x14ac:dyDescent="0.3">
      <c r="B70" s="182">
        <v>2635</v>
      </c>
      <c r="C70" s="182">
        <v>1429</v>
      </c>
      <c r="D70" s="182" t="s">
        <v>78</v>
      </c>
      <c r="E70" s="181" t="s">
        <v>4096</v>
      </c>
      <c r="F70" s="182"/>
      <c r="G70" s="182">
        <v>2000</v>
      </c>
      <c r="H70" s="182"/>
      <c r="I70" s="182"/>
      <c r="J70" s="182"/>
      <c r="K70" s="182"/>
      <c r="L70" s="182"/>
      <c r="M70" s="182"/>
      <c r="N70" s="182"/>
      <c r="O70" s="182"/>
      <c r="P70" s="182"/>
      <c r="Q70" s="182"/>
      <c r="R70" s="182"/>
      <c r="S70" s="182"/>
      <c r="T70" s="182"/>
      <c r="U70" s="182"/>
      <c r="V70" s="182"/>
      <c r="W70" s="182"/>
      <c r="X70" s="182"/>
      <c r="Y70" s="182"/>
      <c r="Z70" s="182"/>
      <c r="AA70" s="182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  <c r="AL70" s="182"/>
      <c r="AM70" s="182"/>
      <c r="AN70" s="182"/>
      <c r="AO70" s="182"/>
      <c r="AP70" s="182"/>
      <c r="AQ70" s="185">
        <v>2000</v>
      </c>
      <c r="AR70" s="182">
        <v>1785.35</v>
      </c>
      <c r="AS70" s="182">
        <v>214.65</v>
      </c>
      <c r="AT70" s="182"/>
      <c r="AU70" s="182"/>
      <c r="AV70" s="182"/>
      <c r="AW70" s="182"/>
      <c r="AX70" s="182"/>
      <c r="AY70" s="182"/>
      <c r="AZ70" s="182"/>
      <c r="BA70" s="182"/>
      <c r="BB70" s="182"/>
      <c r="BC70" s="182"/>
      <c r="BD70" s="182"/>
      <c r="BE70" s="182"/>
      <c r="BF70" s="182"/>
      <c r="BG70" s="182"/>
      <c r="BH70" s="182"/>
      <c r="BI70" s="182"/>
      <c r="BJ70" s="182"/>
      <c r="BK70" s="182"/>
      <c r="BL70" s="182"/>
      <c r="BM70" s="182"/>
      <c r="BN70" s="182"/>
      <c r="BO70" s="182"/>
      <c r="BP70" s="182"/>
      <c r="BQ70" s="182"/>
      <c r="BR70" s="182"/>
      <c r="BS70" s="182"/>
      <c r="BT70" s="182"/>
      <c r="BU70" s="182"/>
      <c r="BV70" s="182"/>
      <c r="BW70" s="182"/>
      <c r="BX70" s="182"/>
      <c r="BY70" s="182"/>
      <c r="BZ70" s="182"/>
      <c r="CA70" s="182"/>
      <c r="CB70" s="185">
        <v>2000</v>
      </c>
      <c r="CC70" s="185">
        <v>0</v>
      </c>
      <c r="CD70" s="185">
        <v>1429</v>
      </c>
      <c r="CE70" s="185"/>
    </row>
    <row r="71" spans="2:83" x14ac:dyDescent="0.3">
      <c r="B71" s="182">
        <v>2634</v>
      </c>
      <c r="C71" s="182">
        <v>1430</v>
      </c>
      <c r="D71" s="182" t="s">
        <v>78</v>
      </c>
      <c r="E71" s="181" t="s">
        <v>4096</v>
      </c>
      <c r="F71" s="182"/>
      <c r="G71" s="182">
        <v>2000</v>
      </c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5">
        <v>2000</v>
      </c>
      <c r="AR71" s="182">
        <v>1785.35</v>
      </c>
      <c r="AS71" s="182">
        <v>214.65</v>
      </c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5">
        <v>2000</v>
      </c>
      <c r="CC71" s="185">
        <v>0</v>
      </c>
      <c r="CD71" s="185">
        <v>1430</v>
      </c>
      <c r="CE71" s="185"/>
    </row>
    <row r="72" spans="2:83" x14ac:dyDescent="0.3">
      <c r="B72" s="182">
        <v>2633</v>
      </c>
      <c r="C72" s="182">
        <v>1431</v>
      </c>
      <c r="D72" s="182" t="s">
        <v>78</v>
      </c>
      <c r="E72" s="181" t="s">
        <v>4097</v>
      </c>
      <c r="F72" s="182"/>
      <c r="G72" s="182">
        <v>750</v>
      </c>
      <c r="H72" s="182"/>
      <c r="I72" s="182"/>
      <c r="J72" s="182"/>
      <c r="K72" s="182"/>
      <c r="L72" s="182"/>
      <c r="M72" s="182"/>
      <c r="N72" s="182"/>
      <c r="O72" s="182"/>
      <c r="P72" s="182"/>
      <c r="Q72" s="182"/>
      <c r="R72" s="182"/>
      <c r="S72" s="182"/>
      <c r="T72" s="182"/>
      <c r="U72" s="182"/>
      <c r="V72" s="182"/>
      <c r="W72" s="182"/>
      <c r="X72" s="182"/>
      <c r="Y72" s="182"/>
      <c r="Z72" s="182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2"/>
      <c r="AM72" s="182"/>
      <c r="AN72" s="182"/>
      <c r="AO72" s="182"/>
      <c r="AP72" s="182"/>
      <c r="AQ72" s="185">
        <v>750</v>
      </c>
      <c r="AR72" s="182">
        <v>670.1</v>
      </c>
      <c r="AS72" s="182">
        <v>79.900000000000006</v>
      </c>
      <c r="AT72" s="182"/>
      <c r="AU72" s="182"/>
      <c r="AV72" s="182"/>
      <c r="AW72" s="18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2"/>
      <c r="BH72" s="182"/>
      <c r="BI72" s="182"/>
      <c r="BJ72" s="182"/>
      <c r="BK72" s="182"/>
      <c r="BL72" s="182"/>
      <c r="BM72" s="182"/>
      <c r="BN72" s="182"/>
      <c r="BO72" s="182"/>
      <c r="BP72" s="182"/>
      <c r="BQ72" s="182"/>
      <c r="BR72" s="182"/>
      <c r="BS72" s="182"/>
      <c r="BT72" s="182"/>
      <c r="BU72" s="182"/>
      <c r="BV72" s="182"/>
      <c r="BW72" s="182"/>
      <c r="BX72" s="182"/>
      <c r="BY72" s="182"/>
      <c r="BZ72" s="182"/>
      <c r="CA72" s="182"/>
      <c r="CB72" s="185">
        <v>750</v>
      </c>
      <c r="CC72" s="185">
        <v>0</v>
      </c>
      <c r="CD72" s="185">
        <v>1431</v>
      </c>
      <c r="CE72" s="185"/>
    </row>
    <row r="73" spans="2:83" x14ac:dyDescent="0.3">
      <c r="B73" s="182">
        <v>2631</v>
      </c>
      <c r="C73" s="182">
        <v>1432</v>
      </c>
      <c r="D73" s="182" t="s">
        <v>78</v>
      </c>
      <c r="E73" s="181" t="s">
        <v>4098</v>
      </c>
      <c r="F73" s="182"/>
      <c r="G73" s="182">
        <v>703.5</v>
      </c>
      <c r="H73" s="182"/>
      <c r="I73" s="182"/>
      <c r="J73" s="182"/>
      <c r="K73" s="182"/>
      <c r="L73" s="182"/>
      <c r="M73" s="182"/>
      <c r="N73" s="182"/>
      <c r="O73" s="182"/>
      <c r="P73" s="182"/>
      <c r="Q73" s="182"/>
      <c r="R73" s="182"/>
      <c r="S73" s="182"/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2"/>
      <c r="AM73" s="182"/>
      <c r="AN73" s="182"/>
      <c r="AO73" s="182"/>
      <c r="AP73" s="182"/>
      <c r="AQ73" s="185">
        <v>703.5</v>
      </c>
      <c r="AR73" s="182">
        <v>470.6</v>
      </c>
      <c r="AS73" s="182">
        <v>63.4</v>
      </c>
      <c r="AT73" s="182">
        <v>169.5</v>
      </c>
      <c r="AU73" s="182"/>
      <c r="AV73" s="182"/>
      <c r="AW73" s="182"/>
      <c r="AX73" s="182"/>
      <c r="AY73" s="182"/>
      <c r="AZ73" s="182"/>
      <c r="BA73" s="182"/>
      <c r="BB73" s="182"/>
      <c r="BC73" s="182"/>
      <c r="BD73" s="182"/>
      <c r="BE73" s="182"/>
      <c r="BF73" s="182"/>
      <c r="BG73" s="182"/>
      <c r="BH73" s="182"/>
      <c r="BI73" s="182"/>
      <c r="BJ73" s="182"/>
      <c r="BK73" s="182"/>
      <c r="BL73" s="182"/>
      <c r="BM73" s="182"/>
      <c r="BN73" s="182"/>
      <c r="BO73" s="182"/>
      <c r="BP73" s="182"/>
      <c r="BQ73" s="182"/>
      <c r="BR73" s="182"/>
      <c r="BS73" s="182"/>
      <c r="BT73" s="182"/>
      <c r="BU73" s="182"/>
      <c r="BV73" s="182"/>
      <c r="BW73" s="182"/>
      <c r="BX73" s="182"/>
      <c r="BY73" s="182"/>
      <c r="BZ73" s="182"/>
      <c r="CA73" s="182"/>
      <c r="CB73" s="185">
        <v>703.5</v>
      </c>
      <c r="CC73" s="185">
        <v>0</v>
      </c>
      <c r="CD73" s="185">
        <v>1432</v>
      </c>
      <c r="CE73" s="185"/>
    </row>
    <row r="74" spans="2:83" x14ac:dyDescent="0.3">
      <c r="B74" s="182">
        <v>2632</v>
      </c>
      <c r="C74" s="182">
        <v>1433</v>
      </c>
      <c r="D74" s="182" t="s">
        <v>78</v>
      </c>
      <c r="E74" s="181" t="s">
        <v>4098</v>
      </c>
      <c r="F74" s="182"/>
      <c r="G74" s="182">
        <v>703.5</v>
      </c>
      <c r="H74" s="182"/>
      <c r="I74" s="182"/>
      <c r="J74" s="182"/>
      <c r="K74" s="182"/>
      <c r="L74" s="182"/>
      <c r="M74" s="182"/>
      <c r="N74" s="182"/>
      <c r="O74" s="182"/>
      <c r="P74" s="182"/>
      <c r="Q74" s="182"/>
      <c r="R74" s="182"/>
      <c r="S74" s="182"/>
      <c r="T74" s="182"/>
      <c r="U74" s="182"/>
      <c r="V74" s="182"/>
      <c r="W74" s="182"/>
      <c r="X74" s="182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5">
        <v>703.5</v>
      </c>
      <c r="AR74" s="182">
        <v>470.6</v>
      </c>
      <c r="AS74" s="182">
        <v>63.4</v>
      </c>
      <c r="AT74" s="182">
        <v>169.5</v>
      </c>
      <c r="AU74" s="182"/>
      <c r="AV74" s="182"/>
      <c r="AW74" s="18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2"/>
      <c r="BH74" s="182"/>
      <c r="BI74" s="182"/>
      <c r="BJ74" s="182"/>
      <c r="BK74" s="182"/>
      <c r="BL74" s="182"/>
      <c r="BM74" s="182"/>
      <c r="BN74" s="182"/>
      <c r="BO74" s="182"/>
      <c r="BP74" s="182"/>
      <c r="BQ74" s="182"/>
      <c r="BR74" s="182"/>
      <c r="BS74" s="182"/>
      <c r="BT74" s="182"/>
      <c r="BU74" s="182"/>
      <c r="BV74" s="182"/>
      <c r="BW74" s="182"/>
      <c r="BX74" s="182"/>
      <c r="BY74" s="182"/>
      <c r="BZ74" s="182"/>
      <c r="CA74" s="182"/>
      <c r="CB74" s="185">
        <v>703.5</v>
      </c>
      <c r="CC74" s="185">
        <v>0</v>
      </c>
      <c r="CD74" s="185">
        <v>1433</v>
      </c>
      <c r="CE74" s="185"/>
    </row>
    <row r="75" spans="2:83" x14ac:dyDescent="0.3">
      <c r="B75" s="182">
        <v>2405</v>
      </c>
      <c r="C75" s="182">
        <v>1434</v>
      </c>
      <c r="D75" s="182" t="s">
        <v>78</v>
      </c>
      <c r="E75" s="181" t="s">
        <v>4099</v>
      </c>
      <c r="F75" s="182"/>
      <c r="G75" s="182">
        <v>703.5</v>
      </c>
      <c r="H75" s="182"/>
      <c r="I75" s="182"/>
      <c r="J75" s="182"/>
      <c r="K75" s="182"/>
      <c r="L75" s="182"/>
      <c r="M75" s="182"/>
      <c r="N75" s="182"/>
      <c r="O75" s="182"/>
      <c r="P75" s="182"/>
      <c r="Q75" s="182"/>
      <c r="R75" s="182"/>
      <c r="S75" s="182"/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  <c r="AL75" s="182"/>
      <c r="AM75" s="182"/>
      <c r="AN75" s="182"/>
      <c r="AO75" s="182"/>
      <c r="AP75" s="182"/>
      <c r="AQ75" s="185">
        <v>703.5</v>
      </c>
      <c r="AR75" s="182">
        <v>470.6</v>
      </c>
      <c r="AS75" s="182">
        <v>63.4</v>
      </c>
      <c r="AT75" s="182">
        <v>169.5</v>
      </c>
      <c r="AU75" s="182"/>
      <c r="AV75" s="182"/>
      <c r="AW75" s="182"/>
      <c r="AX75" s="182"/>
      <c r="AY75" s="182"/>
      <c r="AZ75" s="182"/>
      <c r="BA75" s="182"/>
      <c r="BB75" s="182"/>
      <c r="BC75" s="182"/>
      <c r="BD75" s="182"/>
      <c r="BE75" s="182"/>
      <c r="BF75" s="182"/>
      <c r="BG75" s="182"/>
      <c r="BH75" s="182"/>
      <c r="BI75" s="182"/>
      <c r="BJ75" s="182"/>
      <c r="BK75" s="182"/>
      <c r="BL75" s="182"/>
      <c r="BM75" s="182"/>
      <c r="BN75" s="182"/>
      <c r="BO75" s="182"/>
      <c r="BP75" s="182"/>
      <c r="BQ75" s="182"/>
      <c r="BR75" s="182"/>
      <c r="BS75" s="182"/>
      <c r="BT75" s="182"/>
      <c r="BU75" s="182"/>
      <c r="BV75" s="182"/>
      <c r="BW75" s="182"/>
      <c r="BX75" s="182"/>
      <c r="BY75" s="182"/>
      <c r="BZ75" s="182"/>
      <c r="CA75" s="182"/>
      <c r="CB75" s="185">
        <v>703.5</v>
      </c>
      <c r="CC75" s="185">
        <v>0</v>
      </c>
      <c r="CD75" s="185">
        <v>1434</v>
      </c>
      <c r="CE75" s="185"/>
    </row>
    <row r="76" spans="2:83" x14ac:dyDescent="0.3">
      <c r="B76" s="182">
        <v>2404</v>
      </c>
      <c r="C76" s="182">
        <v>1435</v>
      </c>
      <c r="D76" s="182" t="s">
        <v>78</v>
      </c>
      <c r="E76" s="181" t="s">
        <v>4099</v>
      </c>
      <c r="F76" s="182"/>
      <c r="G76" s="182">
        <v>1217.29</v>
      </c>
      <c r="H76" s="182"/>
      <c r="I76" s="182"/>
      <c r="J76" s="182"/>
      <c r="K76" s="182"/>
      <c r="L76" s="182"/>
      <c r="M76" s="182"/>
      <c r="N76" s="182"/>
      <c r="O76" s="182"/>
      <c r="P76" s="182"/>
      <c r="Q76" s="182"/>
      <c r="R76" s="182"/>
      <c r="S76" s="182"/>
      <c r="T76" s="182"/>
      <c r="U76" s="182"/>
      <c r="V76" s="182"/>
      <c r="W76" s="182"/>
      <c r="X76" s="182"/>
      <c r="Y76" s="182"/>
      <c r="Z76" s="182"/>
      <c r="AA76" s="182"/>
      <c r="AB76" s="182"/>
      <c r="AC76" s="182"/>
      <c r="AD76" s="182"/>
      <c r="AE76" s="182"/>
      <c r="AF76" s="182"/>
      <c r="AG76" s="182"/>
      <c r="AH76" s="182"/>
      <c r="AI76" s="182"/>
      <c r="AJ76" s="182"/>
      <c r="AK76" s="182"/>
      <c r="AL76" s="182"/>
      <c r="AM76" s="182"/>
      <c r="AN76" s="182"/>
      <c r="AO76" s="182"/>
      <c r="AP76" s="182"/>
      <c r="AQ76" s="185">
        <v>1217.29</v>
      </c>
      <c r="AR76" s="182">
        <v>1061.33</v>
      </c>
      <c r="AS76" s="182">
        <v>127.65</v>
      </c>
      <c r="AT76" s="182">
        <v>28.31</v>
      </c>
      <c r="AU76" s="182"/>
      <c r="AV76" s="182"/>
      <c r="AW76" s="18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2"/>
      <c r="BH76" s="182"/>
      <c r="BI76" s="182"/>
      <c r="BJ76" s="182"/>
      <c r="BK76" s="182"/>
      <c r="BL76" s="182"/>
      <c r="BM76" s="182"/>
      <c r="BN76" s="182"/>
      <c r="BO76" s="182"/>
      <c r="BP76" s="182"/>
      <c r="BQ76" s="182"/>
      <c r="BR76" s="182"/>
      <c r="BS76" s="182"/>
      <c r="BT76" s="182"/>
      <c r="BU76" s="182"/>
      <c r="BV76" s="182"/>
      <c r="BW76" s="182"/>
      <c r="BX76" s="182"/>
      <c r="BY76" s="182"/>
      <c r="BZ76" s="182"/>
      <c r="CA76" s="182"/>
      <c r="CB76" s="185">
        <v>1217.29</v>
      </c>
      <c r="CC76" s="185">
        <v>0</v>
      </c>
      <c r="CD76" s="185">
        <v>1435</v>
      </c>
      <c r="CE76" s="185"/>
    </row>
    <row r="77" spans="2:83" x14ac:dyDescent="0.3">
      <c r="B77" s="182">
        <v>2630</v>
      </c>
      <c r="C77" s="182">
        <v>1436</v>
      </c>
      <c r="D77" s="182" t="s">
        <v>78</v>
      </c>
      <c r="E77" s="181" t="s">
        <v>4098</v>
      </c>
      <c r="F77" s="182"/>
      <c r="G77" s="182">
        <v>703.5</v>
      </c>
      <c r="H77" s="182"/>
      <c r="I77" s="182"/>
      <c r="J77" s="182"/>
      <c r="K77" s="182"/>
      <c r="L77" s="182"/>
      <c r="M77" s="182"/>
      <c r="N77" s="182"/>
      <c r="O77" s="182"/>
      <c r="P77" s="182"/>
      <c r="Q77" s="182"/>
      <c r="R77" s="182"/>
      <c r="S77" s="182"/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2"/>
      <c r="AO77" s="182"/>
      <c r="AP77" s="182"/>
      <c r="AQ77" s="185">
        <v>703.5</v>
      </c>
      <c r="AR77" s="182">
        <v>470.6</v>
      </c>
      <c r="AS77" s="182">
        <v>63.4</v>
      </c>
      <c r="AT77" s="182">
        <v>169.5</v>
      </c>
      <c r="AU77" s="182"/>
      <c r="AV77" s="182"/>
      <c r="AW77" s="182"/>
      <c r="AX77" s="182"/>
      <c r="AY77" s="182"/>
      <c r="AZ77" s="182"/>
      <c r="BA77" s="182"/>
      <c r="BB77" s="182"/>
      <c r="BC77" s="182"/>
      <c r="BD77" s="182"/>
      <c r="BE77" s="182"/>
      <c r="BF77" s="182"/>
      <c r="BG77" s="182"/>
      <c r="BH77" s="182"/>
      <c r="BI77" s="182"/>
      <c r="BJ77" s="182"/>
      <c r="BK77" s="182"/>
      <c r="BL77" s="182"/>
      <c r="BM77" s="182"/>
      <c r="BN77" s="182"/>
      <c r="BO77" s="182"/>
      <c r="BP77" s="182"/>
      <c r="BQ77" s="182"/>
      <c r="BR77" s="182"/>
      <c r="BS77" s="182"/>
      <c r="BT77" s="182"/>
      <c r="BU77" s="182"/>
      <c r="BV77" s="182"/>
      <c r="BW77" s="182"/>
      <c r="BX77" s="182"/>
      <c r="BY77" s="182"/>
      <c r="BZ77" s="182"/>
      <c r="CA77" s="182"/>
      <c r="CB77" s="185">
        <v>703.5</v>
      </c>
      <c r="CC77" s="185">
        <v>0</v>
      </c>
      <c r="CD77" s="185">
        <v>1436</v>
      </c>
      <c r="CE77" s="185"/>
    </row>
    <row r="78" spans="2:83" x14ac:dyDescent="0.3">
      <c r="B78" s="182">
        <v>2629</v>
      </c>
      <c r="C78" s="182">
        <v>1437</v>
      </c>
      <c r="D78" s="182" t="s">
        <v>78</v>
      </c>
      <c r="E78" s="181" t="s">
        <v>4098</v>
      </c>
      <c r="F78" s="182"/>
      <c r="G78" s="182">
        <v>703.5</v>
      </c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5">
        <v>703.5</v>
      </c>
      <c r="AR78" s="182">
        <v>470.6</v>
      </c>
      <c r="AS78" s="182">
        <v>63.4</v>
      </c>
      <c r="AT78" s="182">
        <v>169.5</v>
      </c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5">
        <v>703.5</v>
      </c>
      <c r="CC78" s="185">
        <v>0</v>
      </c>
      <c r="CD78" s="185">
        <v>1437</v>
      </c>
      <c r="CE78" s="185"/>
    </row>
    <row r="79" spans="2:83" x14ac:dyDescent="0.3">
      <c r="B79" s="182">
        <v>2403</v>
      </c>
      <c r="C79" s="182">
        <v>1438</v>
      </c>
      <c r="D79" s="182" t="s">
        <v>78</v>
      </c>
      <c r="E79" s="181" t="s">
        <v>4098</v>
      </c>
      <c r="F79" s="182"/>
      <c r="G79" s="182">
        <v>703.5</v>
      </c>
      <c r="H79" s="182"/>
      <c r="I79" s="182"/>
      <c r="J79" s="182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2"/>
      <c r="AM79" s="182"/>
      <c r="AN79" s="182"/>
      <c r="AO79" s="182"/>
      <c r="AP79" s="182"/>
      <c r="AQ79" s="185">
        <v>703.5</v>
      </c>
      <c r="AR79" s="182">
        <v>470.6</v>
      </c>
      <c r="AS79" s="182">
        <v>63.4</v>
      </c>
      <c r="AT79" s="182">
        <v>169.5</v>
      </c>
      <c r="AU79" s="182"/>
      <c r="AV79" s="182"/>
      <c r="AW79" s="182"/>
      <c r="AX79" s="182"/>
      <c r="AY79" s="182"/>
      <c r="AZ79" s="182"/>
      <c r="BA79" s="182"/>
      <c r="BB79" s="182"/>
      <c r="BC79" s="182"/>
      <c r="BD79" s="182"/>
      <c r="BE79" s="182"/>
      <c r="BF79" s="182"/>
      <c r="BG79" s="182"/>
      <c r="BH79" s="182"/>
      <c r="BI79" s="182"/>
      <c r="BJ79" s="182"/>
      <c r="BK79" s="182"/>
      <c r="BL79" s="182"/>
      <c r="BM79" s="182"/>
      <c r="BN79" s="182"/>
      <c r="BO79" s="182"/>
      <c r="BP79" s="182"/>
      <c r="BQ79" s="182"/>
      <c r="BR79" s="182"/>
      <c r="BS79" s="182"/>
      <c r="BT79" s="182"/>
      <c r="BU79" s="182"/>
      <c r="BV79" s="182"/>
      <c r="BW79" s="182"/>
      <c r="BX79" s="182"/>
      <c r="BY79" s="182"/>
      <c r="BZ79" s="182"/>
      <c r="CA79" s="182"/>
      <c r="CB79" s="185">
        <v>703.5</v>
      </c>
      <c r="CC79" s="185">
        <v>0</v>
      </c>
      <c r="CD79" s="185">
        <v>1438</v>
      </c>
      <c r="CE79" s="185"/>
    </row>
    <row r="80" spans="2:83" x14ac:dyDescent="0.3">
      <c r="B80" s="182">
        <v>2402</v>
      </c>
      <c r="C80" s="182">
        <v>1439</v>
      </c>
      <c r="D80" s="182" t="s">
        <v>78</v>
      </c>
      <c r="E80" s="181" t="s">
        <v>4098</v>
      </c>
      <c r="F80" s="182"/>
      <c r="G80" s="182">
        <v>1303.5</v>
      </c>
      <c r="H80" s="182"/>
      <c r="I80" s="182"/>
      <c r="J80" s="182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182"/>
      <c r="AL80" s="182"/>
      <c r="AM80" s="182"/>
      <c r="AN80" s="182"/>
      <c r="AO80" s="182"/>
      <c r="AP80" s="182"/>
      <c r="AQ80" s="185">
        <v>1303.5</v>
      </c>
      <c r="AR80" s="182">
        <v>1006.75</v>
      </c>
      <c r="AS80" s="182">
        <v>127.25</v>
      </c>
      <c r="AT80" s="182">
        <v>169.5</v>
      </c>
      <c r="AU80" s="182"/>
      <c r="AV80" s="182"/>
      <c r="AW80" s="182"/>
      <c r="AX80" s="182"/>
      <c r="AY80" s="182"/>
      <c r="AZ80" s="182"/>
      <c r="BA80" s="182"/>
      <c r="BB80" s="182"/>
      <c r="BC80" s="182"/>
      <c r="BD80" s="182"/>
      <c r="BE80" s="182"/>
      <c r="BF80" s="182"/>
      <c r="BG80" s="182"/>
      <c r="BH80" s="182"/>
      <c r="BI80" s="182"/>
      <c r="BJ80" s="182"/>
      <c r="BK80" s="182"/>
      <c r="BL80" s="182"/>
      <c r="BM80" s="182"/>
      <c r="BN80" s="182"/>
      <c r="BO80" s="182"/>
      <c r="BP80" s="182"/>
      <c r="BQ80" s="182"/>
      <c r="BR80" s="182"/>
      <c r="BS80" s="182"/>
      <c r="BT80" s="182"/>
      <c r="BU80" s="182"/>
      <c r="BV80" s="182"/>
      <c r="BW80" s="182"/>
      <c r="BX80" s="182"/>
      <c r="BY80" s="182"/>
      <c r="BZ80" s="182"/>
      <c r="CA80" s="182"/>
      <c r="CB80" s="185">
        <v>1303.5</v>
      </c>
      <c r="CC80" s="185">
        <v>0</v>
      </c>
      <c r="CD80" s="185">
        <v>1439</v>
      </c>
      <c r="CE80" s="185"/>
    </row>
    <row r="81" spans="2:83" x14ac:dyDescent="0.3">
      <c r="B81" s="182">
        <v>2277</v>
      </c>
      <c r="C81" s="182">
        <v>1440</v>
      </c>
      <c r="D81" s="182" t="s">
        <v>78</v>
      </c>
      <c r="E81" s="181" t="s">
        <v>1909</v>
      </c>
      <c r="F81" s="182"/>
      <c r="G81" s="182">
        <v>2462.25</v>
      </c>
      <c r="H81" s="182"/>
      <c r="I81" s="182"/>
      <c r="J81" s="182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182"/>
      <c r="AL81" s="182"/>
      <c r="AM81" s="182"/>
      <c r="AN81" s="182"/>
      <c r="AO81" s="182"/>
      <c r="AP81" s="182"/>
      <c r="AQ81" s="185">
        <v>2462.25</v>
      </c>
      <c r="AR81" s="182">
        <v>1648</v>
      </c>
      <c r="AS81" s="182">
        <v>221</v>
      </c>
      <c r="AT81" s="182">
        <v>593.25</v>
      </c>
      <c r="AU81" s="182"/>
      <c r="AV81" s="182"/>
      <c r="AW81" s="18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2"/>
      <c r="BH81" s="182"/>
      <c r="BI81" s="182"/>
      <c r="BJ81" s="182"/>
      <c r="BK81" s="182"/>
      <c r="BL81" s="182"/>
      <c r="BM81" s="182"/>
      <c r="BN81" s="182"/>
      <c r="BO81" s="182"/>
      <c r="BP81" s="182"/>
      <c r="BQ81" s="182"/>
      <c r="BR81" s="182"/>
      <c r="BS81" s="182"/>
      <c r="BT81" s="182"/>
      <c r="BU81" s="182"/>
      <c r="BV81" s="182"/>
      <c r="BW81" s="182"/>
      <c r="BX81" s="182"/>
      <c r="BY81" s="182"/>
      <c r="BZ81" s="182"/>
      <c r="CA81" s="182"/>
      <c r="CB81" s="185">
        <v>2462.25</v>
      </c>
      <c r="CC81" s="185">
        <v>0</v>
      </c>
      <c r="CD81" s="185">
        <v>1440</v>
      </c>
      <c r="CE81" s="185"/>
    </row>
    <row r="82" spans="2:83" x14ac:dyDescent="0.3">
      <c r="B82" s="182">
        <v>2278</v>
      </c>
      <c r="C82" s="182">
        <v>1441</v>
      </c>
      <c r="D82" s="182" t="s">
        <v>78</v>
      </c>
      <c r="E82" s="181" t="s">
        <v>1909</v>
      </c>
      <c r="F82" s="182"/>
      <c r="G82" s="182">
        <v>1993.24</v>
      </c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5">
        <v>1993.24</v>
      </c>
      <c r="AR82" s="182">
        <v>1333.1</v>
      </c>
      <c r="AS82" s="182">
        <v>179.9</v>
      </c>
      <c r="AT82" s="182">
        <v>480.24</v>
      </c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5">
        <v>1993.24</v>
      </c>
      <c r="CC82" s="185">
        <v>0</v>
      </c>
      <c r="CD82" s="185">
        <v>1441</v>
      </c>
      <c r="CE82" s="185"/>
    </row>
    <row r="83" spans="2:83" x14ac:dyDescent="0.3">
      <c r="B83" s="182">
        <v>2620</v>
      </c>
      <c r="C83" s="182">
        <v>1442</v>
      </c>
      <c r="D83" s="182" t="s">
        <v>78</v>
      </c>
      <c r="E83" s="181" t="s">
        <v>1909</v>
      </c>
      <c r="F83" s="182"/>
      <c r="G83" s="182">
        <v>1641.5</v>
      </c>
      <c r="H83" s="182"/>
      <c r="I83" s="182"/>
      <c r="J83" s="182"/>
      <c r="K83" s="182"/>
      <c r="L83" s="182"/>
      <c r="M83" s="182"/>
      <c r="N83" s="182"/>
      <c r="O83" s="182"/>
      <c r="P83" s="182"/>
      <c r="Q83" s="182"/>
      <c r="R83" s="182"/>
      <c r="S83" s="182"/>
      <c r="T83" s="182"/>
      <c r="U83" s="182"/>
      <c r="V83" s="182"/>
      <c r="W83" s="182"/>
      <c r="X83" s="182"/>
      <c r="Y83" s="182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  <c r="AN83" s="182"/>
      <c r="AO83" s="182"/>
      <c r="AP83" s="182"/>
      <c r="AQ83" s="185">
        <v>1641.5</v>
      </c>
      <c r="AR83" s="182">
        <v>1098.45</v>
      </c>
      <c r="AS83" s="182">
        <v>147.55000000000001</v>
      </c>
      <c r="AT83" s="182">
        <v>395.5</v>
      </c>
      <c r="AU83" s="182"/>
      <c r="AV83" s="182"/>
      <c r="AW83" s="18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2"/>
      <c r="BH83" s="182"/>
      <c r="BI83" s="182"/>
      <c r="BJ83" s="182"/>
      <c r="BK83" s="182"/>
      <c r="BL83" s="182"/>
      <c r="BM83" s="182"/>
      <c r="BN83" s="182"/>
      <c r="BO83" s="182"/>
      <c r="BP83" s="182"/>
      <c r="BQ83" s="182"/>
      <c r="BR83" s="182"/>
      <c r="BS83" s="182"/>
      <c r="BT83" s="182"/>
      <c r="BU83" s="182"/>
      <c r="BV83" s="182"/>
      <c r="BW83" s="182"/>
      <c r="BX83" s="182"/>
      <c r="BY83" s="182"/>
      <c r="BZ83" s="182"/>
      <c r="CA83" s="182"/>
      <c r="CB83" s="185">
        <v>1641.5</v>
      </c>
      <c r="CC83" s="185">
        <v>0</v>
      </c>
      <c r="CD83" s="185">
        <v>1442</v>
      </c>
      <c r="CE83" s="185"/>
    </row>
    <row r="84" spans="2:83" x14ac:dyDescent="0.3">
      <c r="B84" s="182">
        <v>2621</v>
      </c>
      <c r="C84" s="182">
        <v>1443</v>
      </c>
      <c r="D84" s="182" t="s">
        <v>78</v>
      </c>
      <c r="E84" s="181" t="s">
        <v>1909</v>
      </c>
      <c r="F84" s="182"/>
      <c r="G84" s="182">
        <v>703.5</v>
      </c>
      <c r="H84" s="182"/>
      <c r="I84" s="182"/>
      <c r="J84" s="182"/>
      <c r="K84" s="182"/>
      <c r="L84" s="182"/>
      <c r="M84" s="182"/>
      <c r="N84" s="182"/>
      <c r="O84" s="182"/>
      <c r="P84" s="182"/>
      <c r="Q84" s="182"/>
      <c r="R84" s="182"/>
      <c r="S84" s="182"/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5">
        <v>703.5</v>
      </c>
      <c r="AR84" s="182">
        <v>470.6</v>
      </c>
      <c r="AS84" s="182">
        <v>63.4</v>
      </c>
      <c r="AT84" s="182">
        <v>169.5</v>
      </c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/>
      <c r="BI84" s="182"/>
      <c r="BJ84" s="182"/>
      <c r="BK84" s="182"/>
      <c r="BL84" s="182"/>
      <c r="BM84" s="182"/>
      <c r="BN84" s="182"/>
      <c r="BO84" s="182"/>
      <c r="BP84" s="182"/>
      <c r="BQ84" s="182"/>
      <c r="BR84" s="182"/>
      <c r="BS84" s="182"/>
      <c r="BT84" s="182"/>
      <c r="BU84" s="182"/>
      <c r="BV84" s="182"/>
      <c r="BW84" s="182"/>
      <c r="BX84" s="182"/>
      <c r="BY84" s="182"/>
      <c r="BZ84" s="182"/>
      <c r="CA84" s="182"/>
      <c r="CB84" s="185">
        <v>703.5</v>
      </c>
      <c r="CC84" s="185">
        <v>0</v>
      </c>
      <c r="CD84" s="185">
        <v>1443</v>
      </c>
      <c r="CE84" s="185"/>
    </row>
    <row r="85" spans="2:83" x14ac:dyDescent="0.3">
      <c r="B85" s="182">
        <v>2622</v>
      </c>
      <c r="C85" s="182">
        <v>1444</v>
      </c>
      <c r="D85" s="182" t="s">
        <v>78</v>
      </c>
      <c r="E85" s="181" t="s">
        <v>1909</v>
      </c>
      <c r="F85" s="182"/>
      <c r="G85" s="182">
        <v>600</v>
      </c>
      <c r="H85" s="182"/>
      <c r="I85" s="182"/>
      <c r="J85" s="182"/>
      <c r="K85" s="182"/>
      <c r="L85" s="182"/>
      <c r="M85" s="182"/>
      <c r="N85" s="182"/>
      <c r="O85" s="182"/>
      <c r="P85" s="182"/>
      <c r="Q85" s="182"/>
      <c r="R85" s="182"/>
      <c r="S85" s="182"/>
      <c r="T85" s="182"/>
      <c r="U85" s="182"/>
      <c r="V85" s="182"/>
      <c r="W85" s="182"/>
      <c r="X85" s="182"/>
      <c r="Y85" s="182"/>
      <c r="Z85" s="182"/>
      <c r="AA85" s="182"/>
      <c r="AB85" s="182"/>
      <c r="AC85" s="182"/>
      <c r="AD85" s="182"/>
      <c r="AE85" s="182"/>
      <c r="AF85" s="182"/>
      <c r="AG85" s="182"/>
      <c r="AH85" s="182"/>
      <c r="AI85" s="182"/>
      <c r="AJ85" s="182"/>
      <c r="AK85" s="182"/>
      <c r="AL85" s="182"/>
      <c r="AM85" s="182"/>
      <c r="AN85" s="182"/>
      <c r="AO85" s="182"/>
      <c r="AP85" s="182"/>
      <c r="AQ85" s="185">
        <v>600</v>
      </c>
      <c r="AR85" s="182">
        <v>536.15</v>
      </c>
      <c r="AS85" s="182">
        <v>63.85</v>
      </c>
      <c r="AT85" s="182"/>
      <c r="AU85" s="182"/>
      <c r="AV85" s="182"/>
      <c r="AW85" s="18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2"/>
      <c r="BH85" s="182"/>
      <c r="BI85" s="182"/>
      <c r="BJ85" s="182"/>
      <c r="BK85" s="182"/>
      <c r="BL85" s="182"/>
      <c r="BM85" s="182"/>
      <c r="BN85" s="182"/>
      <c r="BO85" s="182"/>
      <c r="BP85" s="182"/>
      <c r="BQ85" s="182"/>
      <c r="BR85" s="182"/>
      <c r="BS85" s="182"/>
      <c r="BT85" s="182"/>
      <c r="BU85" s="182"/>
      <c r="BV85" s="182"/>
      <c r="BW85" s="182"/>
      <c r="BX85" s="182"/>
      <c r="BY85" s="182"/>
      <c r="BZ85" s="182"/>
      <c r="CA85" s="182"/>
      <c r="CB85" s="185">
        <v>600</v>
      </c>
      <c r="CC85" s="185">
        <v>0</v>
      </c>
      <c r="CD85" s="185">
        <v>1444</v>
      </c>
      <c r="CE85" s="185"/>
    </row>
    <row r="86" spans="2:83" x14ac:dyDescent="0.3">
      <c r="B86" s="182">
        <v>2623</v>
      </c>
      <c r="C86" s="182">
        <v>1445</v>
      </c>
      <c r="D86" s="182" t="s">
        <v>78</v>
      </c>
      <c r="E86" s="181" t="s">
        <v>1909</v>
      </c>
      <c r="F86" s="182"/>
      <c r="G86" s="182">
        <v>293.12</v>
      </c>
      <c r="H86" s="182"/>
      <c r="I86" s="182"/>
      <c r="J86" s="182"/>
      <c r="K86" s="182"/>
      <c r="L86" s="182"/>
      <c r="M86" s="182"/>
      <c r="N86" s="182"/>
      <c r="O86" s="182"/>
      <c r="P86" s="182"/>
      <c r="Q86" s="182"/>
      <c r="R86" s="182"/>
      <c r="S86" s="182"/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/>
      <c r="AM86" s="182"/>
      <c r="AN86" s="182"/>
      <c r="AO86" s="182"/>
      <c r="AP86" s="182"/>
      <c r="AQ86" s="185">
        <v>293.12</v>
      </c>
      <c r="AR86" s="182">
        <v>196.45</v>
      </c>
      <c r="AS86" s="182">
        <v>26.05</v>
      </c>
      <c r="AT86" s="182">
        <v>70.62</v>
      </c>
      <c r="AU86" s="182"/>
      <c r="AV86" s="182"/>
      <c r="AW86" s="18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2"/>
      <c r="BH86" s="182"/>
      <c r="BI86" s="182"/>
      <c r="BJ86" s="182"/>
      <c r="BK86" s="182"/>
      <c r="BL86" s="182"/>
      <c r="BM86" s="182"/>
      <c r="BN86" s="182"/>
      <c r="BO86" s="182"/>
      <c r="BP86" s="182"/>
      <c r="BQ86" s="182"/>
      <c r="BR86" s="182"/>
      <c r="BS86" s="182"/>
      <c r="BT86" s="182"/>
      <c r="BU86" s="182"/>
      <c r="BV86" s="182"/>
      <c r="BW86" s="182"/>
      <c r="BX86" s="182"/>
      <c r="BY86" s="182"/>
      <c r="BZ86" s="182"/>
      <c r="CA86" s="182"/>
      <c r="CB86" s="185">
        <v>293.12</v>
      </c>
      <c r="CC86" s="185">
        <v>0</v>
      </c>
      <c r="CD86" s="185">
        <v>1445</v>
      </c>
      <c r="CE86" s="185"/>
    </row>
    <row r="87" spans="2:83" x14ac:dyDescent="0.3">
      <c r="B87" s="182">
        <v>2624</v>
      </c>
      <c r="C87" s="182">
        <v>1446</v>
      </c>
      <c r="D87" s="182" t="s">
        <v>78</v>
      </c>
      <c r="E87" s="181" t="s">
        <v>1909</v>
      </c>
      <c r="F87" s="182"/>
      <c r="G87" s="182">
        <v>469</v>
      </c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5">
        <v>469</v>
      </c>
      <c r="AR87" s="182">
        <v>314.39999999999998</v>
      </c>
      <c r="AS87" s="182">
        <v>41.6</v>
      </c>
      <c r="AT87" s="182">
        <v>113</v>
      </c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5">
        <v>469</v>
      </c>
      <c r="CC87" s="185">
        <v>0</v>
      </c>
      <c r="CD87" s="185">
        <v>1446</v>
      </c>
      <c r="CE87" s="185"/>
    </row>
    <row r="88" spans="2:83" x14ac:dyDescent="0.3">
      <c r="B88" s="182">
        <v>2619</v>
      </c>
      <c r="C88" s="182">
        <v>1447</v>
      </c>
      <c r="D88" s="182" t="s">
        <v>78</v>
      </c>
      <c r="E88" s="181" t="s">
        <v>1909</v>
      </c>
      <c r="F88" s="182"/>
      <c r="G88" s="182">
        <v>820.75</v>
      </c>
      <c r="H88" s="182"/>
      <c r="I88" s="182"/>
      <c r="J88" s="182"/>
      <c r="K88" s="182"/>
      <c r="L88" s="182"/>
      <c r="M88" s="182"/>
      <c r="N88" s="182"/>
      <c r="O88" s="182"/>
      <c r="P88" s="182"/>
      <c r="Q88" s="182"/>
      <c r="R88" s="182"/>
      <c r="S88" s="182"/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182"/>
      <c r="AQ88" s="185">
        <v>820.75</v>
      </c>
      <c r="AR88" s="182">
        <v>548.95000000000005</v>
      </c>
      <c r="AS88" s="182">
        <v>74.05</v>
      </c>
      <c r="AT88" s="182">
        <v>197.75</v>
      </c>
      <c r="AU88" s="182"/>
      <c r="AV88" s="182"/>
      <c r="AW88" s="18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2"/>
      <c r="BH88" s="182"/>
      <c r="BI88" s="182"/>
      <c r="BJ88" s="182"/>
      <c r="BK88" s="182"/>
      <c r="BL88" s="182"/>
      <c r="BM88" s="182"/>
      <c r="BN88" s="182"/>
      <c r="BO88" s="182"/>
      <c r="BP88" s="182"/>
      <c r="BQ88" s="182"/>
      <c r="BR88" s="182"/>
      <c r="BS88" s="182"/>
      <c r="BT88" s="182"/>
      <c r="BU88" s="182"/>
      <c r="BV88" s="182"/>
      <c r="BW88" s="182"/>
      <c r="BX88" s="182"/>
      <c r="BY88" s="182"/>
      <c r="BZ88" s="182"/>
      <c r="CA88" s="182"/>
      <c r="CB88" s="185">
        <v>820.75</v>
      </c>
      <c r="CC88" s="185">
        <v>0</v>
      </c>
      <c r="CD88" s="185">
        <v>1447</v>
      </c>
      <c r="CE88" s="185"/>
    </row>
    <row r="89" spans="2:83" x14ac:dyDescent="0.3">
      <c r="B89" s="182">
        <v>2618</v>
      </c>
      <c r="C89" s="182">
        <v>1448</v>
      </c>
      <c r="D89" s="182" t="s">
        <v>78</v>
      </c>
      <c r="E89" s="181" t="s">
        <v>1909</v>
      </c>
      <c r="F89" s="182"/>
      <c r="G89" s="182">
        <v>13339.24</v>
      </c>
      <c r="H89" s="182"/>
      <c r="I89" s="182"/>
      <c r="J89" s="182"/>
      <c r="K89" s="182"/>
      <c r="L89" s="182"/>
      <c r="M89" s="182"/>
      <c r="N89" s="182"/>
      <c r="O89" s="182"/>
      <c r="P89" s="182"/>
      <c r="Q89" s="182"/>
      <c r="R89" s="182"/>
      <c r="S89" s="182"/>
      <c r="T89" s="182"/>
      <c r="U89" s="182"/>
      <c r="V89" s="182"/>
      <c r="W89" s="182"/>
      <c r="X89" s="182"/>
      <c r="Y89" s="182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182"/>
      <c r="AQ89" s="185">
        <v>13339.24</v>
      </c>
      <c r="AR89" s="182">
        <v>8727.39</v>
      </c>
      <c r="AS89" s="182">
        <v>1190.3499999999999</v>
      </c>
      <c r="AT89" s="182">
        <v>3421.5</v>
      </c>
      <c r="AU89" s="182"/>
      <c r="AV89" s="182"/>
      <c r="AW89" s="18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2"/>
      <c r="BH89" s="182"/>
      <c r="BI89" s="182"/>
      <c r="BJ89" s="182"/>
      <c r="BK89" s="182"/>
      <c r="BL89" s="182"/>
      <c r="BM89" s="182"/>
      <c r="BN89" s="182"/>
      <c r="BO89" s="182"/>
      <c r="BP89" s="182"/>
      <c r="BQ89" s="182"/>
      <c r="BR89" s="182"/>
      <c r="BS89" s="182"/>
      <c r="BT89" s="182"/>
      <c r="BU89" s="182"/>
      <c r="BV89" s="182"/>
      <c r="BW89" s="182"/>
      <c r="BX89" s="182"/>
      <c r="BY89" s="182"/>
      <c r="BZ89" s="182"/>
      <c r="CA89" s="182"/>
      <c r="CB89" s="185">
        <v>13339.24</v>
      </c>
      <c r="CC89" s="185">
        <v>0</v>
      </c>
      <c r="CD89" s="185">
        <v>1448</v>
      </c>
      <c r="CE89" s="185"/>
    </row>
    <row r="90" spans="2:83" x14ac:dyDescent="0.3">
      <c r="B90" s="182">
        <v>2626</v>
      </c>
      <c r="C90" s="182">
        <v>1449</v>
      </c>
      <c r="D90" s="182" t="s">
        <v>78</v>
      </c>
      <c r="E90" s="181" t="s">
        <v>4100</v>
      </c>
      <c r="F90" s="182"/>
      <c r="G90" s="182">
        <v>633.15</v>
      </c>
      <c r="H90" s="182"/>
      <c r="I90" s="182"/>
      <c r="J90" s="182"/>
      <c r="K90" s="182"/>
      <c r="L90" s="182"/>
      <c r="M90" s="182"/>
      <c r="N90" s="182"/>
      <c r="O90" s="182"/>
      <c r="P90" s="182"/>
      <c r="Q90" s="182"/>
      <c r="R90" s="182"/>
      <c r="S90" s="182"/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/>
      <c r="AO90" s="182"/>
      <c r="AP90" s="182"/>
      <c r="AQ90" s="185">
        <v>633.15</v>
      </c>
      <c r="AR90" s="182">
        <v>423.55</v>
      </c>
      <c r="AS90" s="182">
        <v>57.05</v>
      </c>
      <c r="AT90" s="182">
        <v>152.55000000000001</v>
      </c>
      <c r="AU90" s="182"/>
      <c r="AV90" s="182"/>
      <c r="AW90" s="18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2"/>
      <c r="BH90" s="182"/>
      <c r="BI90" s="182"/>
      <c r="BJ90" s="182"/>
      <c r="BK90" s="182"/>
      <c r="BL90" s="182"/>
      <c r="BM90" s="182"/>
      <c r="BN90" s="182"/>
      <c r="BO90" s="182"/>
      <c r="BP90" s="182"/>
      <c r="BQ90" s="182"/>
      <c r="BR90" s="182"/>
      <c r="BS90" s="182"/>
      <c r="BT90" s="182"/>
      <c r="BU90" s="182"/>
      <c r="BV90" s="182"/>
      <c r="BW90" s="182"/>
      <c r="BX90" s="182"/>
      <c r="BY90" s="182"/>
      <c r="BZ90" s="182"/>
      <c r="CA90" s="182"/>
      <c r="CB90" s="185">
        <v>633.15000000000009</v>
      </c>
      <c r="CC90" s="185">
        <v>0</v>
      </c>
      <c r="CD90" s="185">
        <v>1449</v>
      </c>
      <c r="CE90" s="185"/>
    </row>
    <row r="91" spans="2:83" x14ac:dyDescent="0.3">
      <c r="B91" s="182">
        <v>2628</v>
      </c>
      <c r="C91" s="182">
        <v>1450</v>
      </c>
      <c r="D91" s="182" t="s">
        <v>78</v>
      </c>
      <c r="E91" s="181" t="s">
        <v>4101</v>
      </c>
      <c r="F91" s="182"/>
      <c r="G91" s="182">
        <v>211.05</v>
      </c>
      <c r="H91" s="182"/>
      <c r="I91" s="182"/>
      <c r="J91" s="182"/>
      <c r="K91" s="182"/>
      <c r="L91" s="182"/>
      <c r="M91" s="182"/>
      <c r="N91" s="182"/>
      <c r="O91" s="182"/>
      <c r="P91" s="182"/>
      <c r="Q91" s="182"/>
      <c r="R91" s="182"/>
      <c r="S91" s="182"/>
      <c r="T91" s="182"/>
      <c r="U91" s="182"/>
      <c r="V91" s="182"/>
      <c r="W91" s="182"/>
      <c r="X91" s="182"/>
      <c r="Y91" s="182"/>
      <c r="Z91" s="182"/>
      <c r="AA91" s="182"/>
      <c r="AB91" s="182"/>
      <c r="AC91" s="182"/>
      <c r="AD91" s="182"/>
      <c r="AE91" s="182"/>
      <c r="AF91" s="182"/>
      <c r="AG91" s="182"/>
      <c r="AH91" s="182"/>
      <c r="AI91" s="182"/>
      <c r="AJ91" s="182"/>
      <c r="AK91" s="182"/>
      <c r="AL91" s="182"/>
      <c r="AM91" s="182"/>
      <c r="AN91" s="182"/>
      <c r="AO91" s="182"/>
      <c r="AP91" s="182"/>
      <c r="AQ91" s="185">
        <v>211.05</v>
      </c>
      <c r="AR91" s="182">
        <v>141.5</v>
      </c>
      <c r="AS91" s="182">
        <v>18.7</v>
      </c>
      <c r="AT91" s="182">
        <v>50.85</v>
      </c>
      <c r="AU91" s="182"/>
      <c r="AV91" s="182"/>
      <c r="AW91" s="18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2"/>
      <c r="BH91" s="182"/>
      <c r="BI91" s="182"/>
      <c r="BJ91" s="182"/>
      <c r="BK91" s="182"/>
      <c r="BL91" s="182"/>
      <c r="BM91" s="182"/>
      <c r="BN91" s="182"/>
      <c r="BO91" s="182"/>
      <c r="BP91" s="182"/>
      <c r="BQ91" s="182"/>
      <c r="BR91" s="182"/>
      <c r="BS91" s="182"/>
      <c r="BT91" s="182"/>
      <c r="BU91" s="182"/>
      <c r="BV91" s="182"/>
      <c r="BW91" s="182"/>
      <c r="BX91" s="182"/>
      <c r="BY91" s="182"/>
      <c r="BZ91" s="182"/>
      <c r="CA91" s="182"/>
      <c r="CB91" s="185">
        <v>211.04999999999998</v>
      </c>
      <c r="CC91" s="185">
        <v>0</v>
      </c>
      <c r="CD91" s="185">
        <v>1450</v>
      </c>
      <c r="CE91" s="185"/>
    </row>
    <row r="92" spans="2:83" x14ac:dyDescent="0.3">
      <c r="B92" s="182">
        <v>2627</v>
      </c>
      <c r="C92" s="182">
        <v>1451</v>
      </c>
      <c r="D92" s="182" t="s">
        <v>78</v>
      </c>
      <c r="E92" s="181" t="s">
        <v>4101</v>
      </c>
      <c r="F92" s="182"/>
      <c r="G92" s="182">
        <v>1020.06</v>
      </c>
      <c r="H92" s="182"/>
      <c r="I92" s="182"/>
      <c r="J92" s="182"/>
      <c r="K92" s="182"/>
      <c r="L92" s="182"/>
      <c r="M92" s="182"/>
      <c r="N92" s="182"/>
      <c r="O92" s="182"/>
      <c r="P92" s="182"/>
      <c r="Q92" s="182"/>
      <c r="R92" s="182"/>
      <c r="S92" s="182"/>
      <c r="T92" s="182"/>
      <c r="U92" s="182"/>
      <c r="V92" s="182"/>
      <c r="W92" s="182"/>
      <c r="X92" s="182"/>
      <c r="Y92" s="182"/>
      <c r="Z92" s="182"/>
      <c r="AA92" s="182"/>
      <c r="AB92" s="182"/>
      <c r="AC92" s="182"/>
      <c r="AD92" s="182"/>
      <c r="AE92" s="182"/>
      <c r="AF92" s="182"/>
      <c r="AG92" s="182"/>
      <c r="AH92" s="182"/>
      <c r="AI92" s="182"/>
      <c r="AJ92" s="182"/>
      <c r="AK92" s="182"/>
      <c r="AL92" s="182"/>
      <c r="AM92" s="182"/>
      <c r="AN92" s="182"/>
      <c r="AO92" s="182"/>
      <c r="AP92" s="182"/>
      <c r="AQ92" s="185">
        <v>1020.06</v>
      </c>
      <c r="AR92" s="182">
        <v>683.3</v>
      </c>
      <c r="AS92" s="182">
        <v>91</v>
      </c>
      <c r="AT92" s="182">
        <v>245.76</v>
      </c>
      <c r="AU92" s="182"/>
      <c r="AV92" s="182"/>
      <c r="AW92" s="182"/>
      <c r="AX92" s="182"/>
      <c r="AY92" s="182"/>
      <c r="AZ92" s="182"/>
      <c r="BA92" s="182"/>
      <c r="BB92" s="182"/>
      <c r="BC92" s="182"/>
      <c r="BD92" s="182"/>
      <c r="BE92" s="182"/>
      <c r="BF92" s="182"/>
      <c r="BG92" s="182"/>
      <c r="BH92" s="182"/>
      <c r="BI92" s="182"/>
      <c r="BJ92" s="182"/>
      <c r="BK92" s="182"/>
      <c r="BL92" s="182"/>
      <c r="BM92" s="182"/>
      <c r="BN92" s="182"/>
      <c r="BO92" s="182"/>
      <c r="BP92" s="182"/>
      <c r="BQ92" s="182"/>
      <c r="BR92" s="182"/>
      <c r="BS92" s="182"/>
      <c r="BT92" s="182"/>
      <c r="BU92" s="182"/>
      <c r="BV92" s="182"/>
      <c r="BW92" s="182"/>
      <c r="BX92" s="182"/>
      <c r="BY92" s="182"/>
      <c r="BZ92" s="182"/>
      <c r="CA92" s="182"/>
      <c r="CB92" s="185">
        <v>1020.06</v>
      </c>
      <c r="CC92" s="185">
        <v>0</v>
      </c>
      <c r="CD92" s="185">
        <v>1451</v>
      </c>
      <c r="CE92" s="185"/>
    </row>
    <row r="93" spans="2:83" x14ac:dyDescent="0.3">
      <c r="B93" s="182">
        <v>3353</v>
      </c>
      <c r="C93" s="182">
        <v>1452</v>
      </c>
      <c r="D93" s="182" t="s">
        <v>78</v>
      </c>
      <c r="E93" s="181" t="s">
        <v>1909</v>
      </c>
      <c r="F93" s="182"/>
      <c r="G93" s="182">
        <v>1000</v>
      </c>
      <c r="H93" s="182"/>
      <c r="I93" s="182"/>
      <c r="J93" s="182"/>
      <c r="K93" s="182"/>
      <c r="L93" s="182"/>
      <c r="M93" s="182"/>
      <c r="N93" s="182"/>
      <c r="O93" s="182"/>
      <c r="P93" s="182"/>
      <c r="Q93" s="182"/>
      <c r="R93" s="182"/>
      <c r="S93" s="182"/>
      <c r="T93" s="182"/>
      <c r="U93" s="182"/>
      <c r="V93" s="182"/>
      <c r="W93" s="182"/>
      <c r="X93" s="182"/>
      <c r="Y93" s="182"/>
      <c r="Z93" s="182"/>
      <c r="AA93" s="182"/>
      <c r="AB93" s="182"/>
      <c r="AC93" s="182"/>
      <c r="AD93" s="182"/>
      <c r="AE93" s="182"/>
      <c r="AF93" s="182"/>
      <c r="AG93" s="182"/>
      <c r="AH93" s="182"/>
      <c r="AI93" s="182"/>
      <c r="AJ93" s="182"/>
      <c r="AK93" s="182"/>
      <c r="AL93" s="182"/>
      <c r="AM93" s="182"/>
      <c r="AN93" s="182"/>
      <c r="AO93" s="182"/>
      <c r="AP93" s="182"/>
      <c r="AQ93" s="185">
        <v>1000</v>
      </c>
      <c r="AR93" s="182">
        <v>893.35</v>
      </c>
      <c r="AS93" s="182">
        <v>106.65</v>
      </c>
      <c r="AT93" s="182"/>
      <c r="AU93" s="182"/>
      <c r="AV93" s="182"/>
      <c r="AW93" s="182"/>
      <c r="AX93" s="182"/>
      <c r="AY93" s="182"/>
      <c r="AZ93" s="182"/>
      <c r="BA93" s="182"/>
      <c r="BB93" s="182"/>
      <c r="BC93" s="182"/>
      <c r="BD93" s="182"/>
      <c r="BE93" s="182"/>
      <c r="BF93" s="182"/>
      <c r="BG93" s="182"/>
      <c r="BH93" s="182"/>
      <c r="BI93" s="182"/>
      <c r="BJ93" s="182"/>
      <c r="BK93" s="182"/>
      <c r="BL93" s="182"/>
      <c r="BM93" s="182"/>
      <c r="BN93" s="182"/>
      <c r="BO93" s="182"/>
      <c r="BP93" s="182"/>
      <c r="BQ93" s="182"/>
      <c r="BR93" s="182"/>
      <c r="BS93" s="182"/>
      <c r="BT93" s="182"/>
      <c r="BU93" s="182"/>
      <c r="BV93" s="182"/>
      <c r="BW93" s="182"/>
      <c r="BX93" s="182"/>
      <c r="BY93" s="182"/>
      <c r="BZ93" s="182"/>
      <c r="CA93" s="182"/>
      <c r="CB93" s="185">
        <v>1000</v>
      </c>
      <c r="CC93" s="185">
        <v>0</v>
      </c>
      <c r="CD93" s="185">
        <v>1452</v>
      </c>
      <c r="CE93" s="185"/>
    </row>
    <row r="94" spans="2:83" x14ac:dyDescent="0.3">
      <c r="B94" s="182">
        <v>2643</v>
      </c>
      <c r="C94" s="182">
        <v>1453</v>
      </c>
      <c r="D94" s="182" t="s">
        <v>78</v>
      </c>
      <c r="E94" s="181" t="s">
        <v>2828</v>
      </c>
      <c r="F94" s="182"/>
      <c r="G94" s="182">
        <v>1407</v>
      </c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182"/>
      <c r="AG94" s="182"/>
      <c r="AH94" s="182"/>
      <c r="AI94" s="182"/>
      <c r="AJ94" s="182"/>
      <c r="AK94" s="182"/>
      <c r="AL94" s="182"/>
      <c r="AM94" s="182"/>
      <c r="AN94" s="182"/>
      <c r="AO94" s="182"/>
      <c r="AP94" s="182"/>
      <c r="AQ94" s="185">
        <v>1407</v>
      </c>
      <c r="AR94" s="182">
        <v>940.35</v>
      </c>
      <c r="AS94" s="182">
        <v>127.65</v>
      </c>
      <c r="AT94" s="182">
        <v>339</v>
      </c>
      <c r="AU94" s="182"/>
      <c r="AV94" s="182"/>
      <c r="AW94" s="182"/>
      <c r="AX94" s="182"/>
      <c r="AY94" s="182"/>
      <c r="AZ94" s="182"/>
      <c r="BA94" s="182"/>
      <c r="BB94" s="182"/>
      <c r="BC94" s="182"/>
      <c r="BD94" s="182"/>
      <c r="BE94" s="182"/>
      <c r="BF94" s="182"/>
      <c r="BG94" s="182"/>
      <c r="BH94" s="182"/>
      <c r="BI94" s="182"/>
      <c r="BJ94" s="182"/>
      <c r="BK94" s="182"/>
      <c r="BL94" s="182"/>
      <c r="BM94" s="182"/>
      <c r="BN94" s="182"/>
      <c r="BO94" s="182"/>
      <c r="BP94" s="182"/>
      <c r="BQ94" s="182"/>
      <c r="BR94" s="182"/>
      <c r="BS94" s="182"/>
      <c r="BT94" s="182"/>
      <c r="BU94" s="182"/>
      <c r="BV94" s="182"/>
      <c r="BW94" s="182"/>
      <c r="BX94" s="182"/>
      <c r="BY94" s="182"/>
      <c r="BZ94" s="182"/>
      <c r="CA94" s="182"/>
      <c r="CB94" s="185">
        <v>1407</v>
      </c>
      <c r="CC94" s="185">
        <v>0</v>
      </c>
      <c r="CD94" s="185">
        <v>1453</v>
      </c>
      <c r="CE94" s="185"/>
    </row>
    <row r="95" spans="2:83" x14ac:dyDescent="0.3">
      <c r="B95" s="182">
        <v>2642</v>
      </c>
      <c r="C95" s="182">
        <v>1454</v>
      </c>
      <c r="D95" s="182" t="s">
        <v>78</v>
      </c>
      <c r="E95" s="181" t="s">
        <v>2986</v>
      </c>
      <c r="F95" s="182"/>
      <c r="G95" s="182">
        <v>1758.76</v>
      </c>
      <c r="H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  <c r="Z95" s="182"/>
      <c r="AA95" s="182"/>
      <c r="AB95" s="182"/>
      <c r="AC95" s="182"/>
      <c r="AD95" s="182"/>
      <c r="AE95" s="182"/>
      <c r="AF95" s="182"/>
      <c r="AG95" s="182"/>
      <c r="AH95" s="182"/>
      <c r="AI95" s="182"/>
      <c r="AJ95" s="182"/>
      <c r="AK95" s="182"/>
      <c r="AL95" s="182"/>
      <c r="AM95" s="182"/>
      <c r="AN95" s="182"/>
      <c r="AO95" s="182"/>
      <c r="AP95" s="182"/>
      <c r="AQ95" s="185">
        <v>1758.76</v>
      </c>
      <c r="AR95" s="182">
        <v>1176.3</v>
      </c>
      <c r="AS95" s="182">
        <v>158.69999999999999</v>
      </c>
      <c r="AT95" s="182">
        <v>423.76</v>
      </c>
      <c r="AU95" s="182"/>
      <c r="AV95" s="182"/>
      <c r="AW95" s="18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2"/>
      <c r="BH95" s="182"/>
      <c r="BI95" s="182"/>
      <c r="BJ95" s="182"/>
      <c r="BK95" s="182"/>
      <c r="BL95" s="182"/>
      <c r="BM95" s="182"/>
      <c r="BN95" s="182"/>
      <c r="BO95" s="182"/>
      <c r="BP95" s="182"/>
      <c r="BQ95" s="182"/>
      <c r="BR95" s="182"/>
      <c r="BS95" s="182"/>
      <c r="BT95" s="182"/>
      <c r="BU95" s="182"/>
      <c r="BV95" s="182"/>
      <c r="BW95" s="182"/>
      <c r="BX95" s="182"/>
      <c r="BY95" s="182"/>
      <c r="BZ95" s="182"/>
      <c r="CA95" s="182"/>
      <c r="CB95" s="185">
        <v>1758.76</v>
      </c>
      <c r="CC95" s="185">
        <v>0</v>
      </c>
      <c r="CD95" s="185">
        <v>1454</v>
      </c>
      <c r="CE95" s="185"/>
    </row>
    <row r="96" spans="2:83" x14ac:dyDescent="0.3">
      <c r="B96" s="182">
        <v>2641</v>
      </c>
      <c r="C96" s="182">
        <v>1455</v>
      </c>
      <c r="D96" s="182" t="s">
        <v>78</v>
      </c>
      <c r="E96" s="181" t="s">
        <v>2986</v>
      </c>
      <c r="F96" s="182"/>
      <c r="G96" s="182">
        <v>2000</v>
      </c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/>
      <c r="AL96" s="182"/>
      <c r="AM96" s="182"/>
      <c r="AN96" s="182"/>
      <c r="AO96" s="182"/>
      <c r="AP96" s="182"/>
      <c r="AQ96" s="185">
        <v>2000</v>
      </c>
      <c r="AR96" s="182">
        <v>1786.7</v>
      </c>
      <c r="AS96" s="182">
        <v>213.3</v>
      </c>
      <c r="AT96" s="182"/>
      <c r="AU96" s="182"/>
      <c r="AV96" s="182"/>
      <c r="AW96" s="182"/>
      <c r="AX96" s="182"/>
      <c r="AY96" s="182"/>
      <c r="AZ96" s="182"/>
      <c r="BA96" s="182"/>
      <c r="BB96" s="182"/>
      <c r="BC96" s="182"/>
      <c r="BD96" s="182"/>
      <c r="BE96" s="182"/>
      <c r="BF96" s="182"/>
      <c r="BG96" s="182"/>
      <c r="BH96" s="182"/>
      <c r="BI96" s="182"/>
      <c r="BJ96" s="182"/>
      <c r="BK96" s="182"/>
      <c r="BL96" s="182"/>
      <c r="BM96" s="182"/>
      <c r="BN96" s="182"/>
      <c r="BO96" s="182"/>
      <c r="BP96" s="182"/>
      <c r="BQ96" s="182"/>
      <c r="BR96" s="182"/>
      <c r="BS96" s="182"/>
      <c r="BT96" s="182"/>
      <c r="BU96" s="182"/>
      <c r="BV96" s="182"/>
      <c r="BW96" s="182"/>
      <c r="BX96" s="182"/>
      <c r="BY96" s="182"/>
      <c r="BZ96" s="182"/>
      <c r="CA96" s="182"/>
      <c r="CB96" s="185">
        <v>2000</v>
      </c>
      <c r="CC96" s="185">
        <v>0</v>
      </c>
      <c r="CD96" s="185">
        <v>1455</v>
      </c>
      <c r="CE96" s="185"/>
    </row>
    <row r="97" spans="2:83" x14ac:dyDescent="0.3">
      <c r="B97" s="182">
        <v>2636</v>
      </c>
      <c r="C97" s="182">
        <v>1456</v>
      </c>
      <c r="D97" s="182" t="s">
        <v>78</v>
      </c>
      <c r="E97" s="181" t="s">
        <v>4102</v>
      </c>
      <c r="F97" s="182"/>
      <c r="G97" s="182">
        <v>175.88</v>
      </c>
      <c r="H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  <c r="Z97" s="182"/>
      <c r="AA97" s="182"/>
      <c r="AB97" s="182"/>
      <c r="AC97" s="182"/>
      <c r="AD97" s="182"/>
      <c r="AE97" s="182"/>
      <c r="AF97" s="182"/>
      <c r="AG97" s="182"/>
      <c r="AH97" s="182"/>
      <c r="AI97" s="182"/>
      <c r="AJ97" s="182"/>
      <c r="AK97" s="182"/>
      <c r="AL97" s="182"/>
      <c r="AM97" s="182"/>
      <c r="AN97" s="182"/>
      <c r="AO97" s="182"/>
      <c r="AP97" s="182"/>
      <c r="AQ97" s="185">
        <v>175.88</v>
      </c>
      <c r="AR97" s="182">
        <v>117.95</v>
      </c>
      <c r="AS97" s="182">
        <v>15.55</v>
      </c>
      <c r="AT97" s="182">
        <v>42.38</v>
      </c>
      <c r="AU97" s="182"/>
      <c r="AV97" s="182"/>
      <c r="AW97" s="182"/>
      <c r="AX97" s="182"/>
      <c r="AY97" s="182"/>
      <c r="AZ97" s="182"/>
      <c r="BA97" s="182"/>
      <c r="BB97" s="182"/>
      <c r="BC97" s="182"/>
      <c r="BD97" s="182"/>
      <c r="BE97" s="182"/>
      <c r="BF97" s="182"/>
      <c r="BG97" s="182"/>
      <c r="BH97" s="182"/>
      <c r="BI97" s="182"/>
      <c r="BJ97" s="182"/>
      <c r="BK97" s="182"/>
      <c r="BL97" s="182"/>
      <c r="BM97" s="182"/>
      <c r="BN97" s="182"/>
      <c r="BO97" s="182"/>
      <c r="BP97" s="182"/>
      <c r="BQ97" s="182"/>
      <c r="BR97" s="182"/>
      <c r="BS97" s="182"/>
      <c r="BT97" s="182"/>
      <c r="BU97" s="182"/>
      <c r="BV97" s="182"/>
      <c r="BW97" s="182"/>
      <c r="BX97" s="182"/>
      <c r="BY97" s="182"/>
      <c r="BZ97" s="182"/>
      <c r="CA97" s="182"/>
      <c r="CB97" s="185">
        <v>175.88</v>
      </c>
      <c r="CC97" s="185">
        <v>0</v>
      </c>
      <c r="CD97" s="185">
        <v>1456</v>
      </c>
      <c r="CE97" s="185"/>
    </row>
    <row r="98" spans="2:83" x14ac:dyDescent="0.3">
      <c r="B98" s="182">
        <v>2276</v>
      </c>
      <c r="C98" s="182">
        <v>1457</v>
      </c>
      <c r="D98" s="182" t="s">
        <v>78</v>
      </c>
      <c r="E98" s="181" t="s">
        <v>1909</v>
      </c>
      <c r="F98" s="182"/>
      <c r="G98" s="182">
        <v>4338.25</v>
      </c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5">
        <v>4338.25</v>
      </c>
      <c r="AR98" s="182">
        <v>2900.15</v>
      </c>
      <c r="AS98" s="182">
        <v>392.85</v>
      </c>
      <c r="AT98" s="182">
        <v>1045.25</v>
      </c>
      <c r="AU98" s="182"/>
      <c r="AV98" s="182"/>
      <c r="AW98" s="182"/>
      <c r="AX98" s="182"/>
      <c r="AY98" s="182"/>
      <c r="AZ98" s="182"/>
      <c r="BA98" s="182"/>
      <c r="BB98" s="182"/>
      <c r="BC98" s="182"/>
      <c r="BD98" s="182"/>
      <c r="BE98" s="182"/>
      <c r="BF98" s="182"/>
      <c r="BG98" s="182"/>
      <c r="BH98" s="182"/>
      <c r="BI98" s="182"/>
      <c r="BJ98" s="182"/>
      <c r="BK98" s="182"/>
      <c r="BL98" s="182"/>
      <c r="BM98" s="182"/>
      <c r="BN98" s="182"/>
      <c r="BO98" s="182"/>
      <c r="BP98" s="182"/>
      <c r="BQ98" s="182"/>
      <c r="BR98" s="182"/>
      <c r="BS98" s="182"/>
      <c r="BT98" s="182"/>
      <c r="BU98" s="182"/>
      <c r="BV98" s="182"/>
      <c r="BW98" s="182"/>
      <c r="BX98" s="182"/>
      <c r="BY98" s="182"/>
      <c r="BZ98" s="182"/>
      <c r="CA98" s="182"/>
      <c r="CB98" s="185">
        <v>4338.25</v>
      </c>
      <c r="CC98" s="185">
        <v>0</v>
      </c>
      <c r="CD98" s="185">
        <v>1457</v>
      </c>
      <c r="CE98" s="185"/>
    </row>
    <row r="99" spans="2:83" ht="37.5" x14ac:dyDescent="0.3">
      <c r="B99" s="182">
        <v>3408</v>
      </c>
      <c r="C99" s="182">
        <v>1458</v>
      </c>
      <c r="D99" s="182" t="s">
        <v>78</v>
      </c>
      <c r="E99" s="181" t="s">
        <v>4103</v>
      </c>
      <c r="F99" s="182"/>
      <c r="G99" s="182"/>
      <c r="H99" s="182">
        <v>23100</v>
      </c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2"/>
      <c r="AM99" s="182"/>
      <c r="AN99" s="182"/>
      <c r="AO99" s="182"/>
      <c r="AP99" s="182"/>
      <c r="AQ99" s="185">
        <v>23100</v>
      </c>
      <c r="AR99" s="182">
        <v>23100</v>
      </c>
      <c r="AS99" s="182"/>
      <c r="AT99" s="182"/>
      <c r="AU99" s="182"/>
      <c r="AV99" s="182"/>
      <c r="AW99" s="182"/>
      <c r="AX99" s="182"/>
      <c r="AY99" s="182"/>
      <c r="AZ99" s="182"/>
      <c r="BA99" s="182"/>
      <c r="BB99" s="182"/>
      <c r="BC99" s="182"/>
      <c r="BD99" s="182"/>
      <c r="BE99" s="182"/>
      <c r="BF99" s="182"/>
      <c r="BG99" s="182"/>
      <c r="BH99" s="182"/>
      <c r="BI99" s="182"/>
      <c r="BJ99" s="182"/>
      <c r="BK99" s="182"/>
      <c r="BL99" s="182"/>
      <c r="BM99" s="182"/>
      <c r="BN99" s="182"/>
      <c r="BO99" s="182"/>
      <c r="BP99" s="182"/>
      <c r="BQ99" s="182"/>
      <c r="BR99" s="182"/>
      <c r="BS99" s="182"/>
      <c r="BT99" s="182"/>
      <c r="BU99" s="182"/>
      <c r="BV99" s="182"/>
      <c r="BW99" s="182"/>
      <c r="BX99" s="182"/>
      <c r="BY99" s="182"/>
      <c r="BZ99" s="182"/>
      <c r="CA99" s="182"/>
      <c r="CB99" s="185">
        <v>23100</v>
      </c>
      <c r="CC99" s="185">
        <v>0</v>
      </c>
      <c r="CD99" s="185">
        <v>1458</v>
      </c>
      <c r="CE99" s="185"/>
    </row>
    <row r="100" spans="2:83" x14ac:dyDescent="0.3">
      <c r="B100" s="182" t="s">
        <v>4104</v>
      </c>
      <c r="C100" s="182">
        <v>1459</v>
      </c>
      <c r="D100" s="182" t="s">
        <v>78</v>
      </c>
      <c r="E100" s="181" t="s">
        <v>4105</v>
      </c>
      <c r="F100" s="182"/>
      <c r="G100" s="182"/>
      <c r="H100" s="182">
        <v>960</v>
      </c>
      <c r="I100" s="182"/>
      <c r="J100" s="182"/>
      <c r="K100" s="182"/>
      <c r="L100" s="182"/>
      <c r="M100" s="182"/>
      <c r="N100" s="182"/>
      <c r="O100" s="182">
        <v>960</v>
      </c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5">
        <v>1920</v>
      </c>
      <c r="AR100" s="182">
        <v>960</v>
      </c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>
        <v>960</v>
      </c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5">
        <v>1920</v>
      </c>
      <c r="CC100" s="185">
        <v>0</v>
      </c>
      <c r="CD100" s="185">
        <v>1459</v>
      </c>
      <c r="CE100" s="185"/>
    </row>
    <row r="101" spans="2:83" ht="37.5" x14ac:dyDescent="0.3">
      <c r="B101" s="182">
        <v>3383</v>
      </c>
      <c r="C101" s="182">
        <v>1460</v>
      </c>
      <c r="D101" s="182" t="s">
        <v>78</v>
      </c>
      <c r="E101" s="181" t="s">
        <v>4106</v>
      </c>
      <c r="F101" s="182"/>
      <c r="G101" s="182"/>
      <c r="H101" s="182">
        <v>3100</v>
      </c>
      <c r="I101" s="182"/>
      <c r="J101" s="182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  <c r="Z101" s="182"/>
      <c r="AA101" s="182">
        <v>3100</v>
      </c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  <c r="AN101" s="182"/>
      <c r="AO101" s="182"/>
      <c r="AP101" s="182"/>
      <c r="AQ101" s="185">
        <v>6200</v>
      </c>
      <c r="AR101" s="182">
        <v>3100</v>
      </c>
      <c r="AS101" s="182"/>
      <c r="AT101" s="182"/>
      <c r="AU101" s="182"/>
      <c r="AV101" s="182"/>
      <c r="AW101" s="182"/>
      <c r="AX101" s="182"/>
      <c r="AY101" s="182"/>
      <c r="AZ101" s="182"/>
      <c r="BA101" s="182"/>
      <c r="BB101" s="182"/>
      <c r="BC101" s="182"/>
      <c r="BD101" s="182"/>
      <c r="BE101" s="182"/>
      <c r="BF101" s="182"/>
      <c r="BG101" s="182"/>
      <c r="BH101" s="182"/>
      <c r="BI101" s="182"/>
      <c r="BJ101" s="182"/>
      <c r="BK101" s="182"/>
      <c r="BL101" s="182"/>
      <c r="BM101" s="182"/>
      <c r="BN101" s="182"/>
      <c r="BO101" s="182"/>
      <c r="BP101" s="182">
        <v>3100</v>
      </c>
      <c r="BQ101" s="182"/>
      <c r="BR101" s="182"/>
      <c r="BS101" s="182"/>
      <c r="BT101" s="182"/>
      <c r="BU101" s="182"/>
      <c r="BV101" s="182"/>
      <c r="BW101" s="182"/>
      <c r="BX101" s="182"/>
      <c r="BY101" s="182"/>
      <c r="BZ101" s="182"/>
      <c r="CA101" s="182"/>
      <c r="CB101" s="185">
        <v>6200</v>
      </c>
      <c r="CC101" s="185">
        <v>0</v>
      </c>
      <c r="CD101" s="185">
        <v>1460</v>
      </c>
      <c r="CE101" s="185"/>
    </row>
    <row r="102" spans="2:83" x14ac:dyDescent="0.3">
      <c r="B102" s="182">
        <v>3479</v>
      </c>
      <c r="C102" s="182">
        <v>1461</v>
      </c>
      <c r="D102" s="182" t="s">
        <v>4107</v>
      </c>
      <c r="E102" s="181" t="s">
        <v>4108</v>
      </c>
      <c r="F102" s="182"/>
      <c r="G102" s="182"/>
      <c r="H102" s="182">
        <v>68.5</v>
      </c>
      <c r="I102" s="182"/>
      <c r="J102" s="182"/>
      <c r="K102" s="182"/>
      <c r="L102" s="182"/>
      <c r="M102" s="182"/>
      <c r="N102" s="182"/>
      <c r="O102" s="182"/>
      <c r="P102" s="182"/>
      <c r="Q102" s="182"/>
      <c r="R102" s="182"/>
      <c r="S102" s="182"/>
      <c r="T102" s="182"/>
      <c r="U102" s="182"/>
      <c r="V102" s="182"/>
      <c r="W102" s="182"/>
      <c r="X102" s="182"/>
      <c r="Y102" s="182"/>
      <c r="Z102" s="182"/>
      <c r="AA102" s="182">
        <v>68.5</v>
      </c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/>
      <c r="AP102" s="182"/>
      <c r="AQ102" s="185">
        <v>137</v>
      </c>
      <c r="AR102" s="182">
        <v>64.599999999999994</v>
      </c>
      <c r="AS102" s="182">
        <v>1.9</v>
      </c>
      <c r="AT102" s="182"/>
      <c r="AU102" s="182"/>
      <c r="AV102" s="182"/>
      <c r="AW102" s="182"/>
      <c r="AX102" s="182"/>
      <c r="AY102" s="182"/>
      <c r="AZ102" s="182"/>
      <c r="BA102" s="182"/>
      <c r="BB102" s="182"/>
      <c r="BC102" s="182"/>
      <c r="BD102" s="182"/>
      <c r="BE102" s="182"/>
      <c r="BF102" s="182">
        <v>2</v>
      </c>
      <c r="BG102" s="182"/>
      <c r="BH102" s="182"/>
      <c r="BI102" s="182"/>
      <c r="BJ102" s="182"/>
      <c r="BK102" s="182"/>
      <c r="BL102" s="182"/>
      <c r="BM102" s="182"/>
      <c r="BN102" s="182"/>
      <c r="BO102" s="182"/>
      <c r="BP102" s="182">
        <v>68.5</v>
      </c>
      <c r="BQ102" s="182"/>
      <c r="BR102" s="182"/>
      <c r="BS102" s="182"/>
      <c r="BT102" s="182"/>
      <c r="BU102" s="182"/>
      <c r="BV102" s="182"/>
      <c r="BW102" s="182"/>
      <c r="BX102" s="182"/>
      <c r="BY102" s="182"/>
      <c r="BZ102" s="182"/>
      <c r="CA102" s="182"/>
      <c r="CB102" s="185">
        <v>137</v>
      </c>
      <c r="CC102" s="185">
        <v>0</v>
      </c>
      <c r="CD102" s="185">
        <v>1461</v>
      </c>
      <c r="CE102" s="185"/>
    </row>
    <row r="103" spans="2:83" ht="56.25" x14ac:dyDescent="0.3">
      <c r="B103" s="182">
        <v>3540</v>
      </c>
      <c r="C103" s="182">
        <v>1462</v>
      </c>
      <c r="D103" s="182" t="s">
        <v>121</v>
      </c>
      <c r="E103" s="181" t="s">
        <v>4109</v>
      </c>
      <c r="F103" s="182"/>
      <c r="G103" s="182"/>
      <c r="H103" s="182">
        <v>332167.5</v>
      </c>
      <c r="I103" s="182"/>
      <c r="J103" s="182"/>
      <c r="K103" s="182"/>
      <c r="L103" s="182"/>
      <c r="M103" s="182"/>
      <c r="N103" s="182"/>
      <c r="O103" s="182"/>
      <c r="P103" s="182"/>
      <c r="Q103" s="182"/>
      <c r="R103" s="182"/>
      <c r="S103" s="182"/>
      <c r="T103" s="182"/>
      <c r="U103" s="182"/>
      <c r="V103" s="182"/>
      <c r="W103" s="182"/>
      <c r="X103" s="182"/>
      <c r="Y103" s="182"/>
      <c r="Z103" s="182"/>
      <c r="AA103" s="182"/>
      <c r="AB103" s="182"/>
      <c r="AC103" s="182"/>
      <c r="AD103" s="182"/>
      <c r="AE103" s="182"/>
      <c r="AF103" s="182"/>
      <c r="AG103" s="182"/>
      <c r="AH103" s="182"/>
      <c r="AI103" s="182"/>
      <c r="AJ103" s="182"/>
      <c r="AK103" s="182"/>
      <c r="AL103" s="182"/>
      <c r="AM103" s="182"/>
      <c r="AN103" s="182"/>
      <c r="AO103" s="182"/>
      <c r="AP103" s="182"/>
      <c r="AQ103" s="185">
        <v>332167.5</v>
      </c>
      <c r="AR103" s="182">
        <v>332167.5</v>
      </c>
      <c r="AS103" s="182"/>
      <c r="AT103" s="182"/>
      <c r="AU103" s="182"/>
      <c r="AV103" s="182"/>
      <c r="AW103" s="182"/>
      <c r="AX103" s="182"/>
      <c r="AY103" s="182"/>
      <c r="AZ103" s="182"/>
      <c r="BA103" s="182"/>
      <c r="BB103" s="182"/>
      <c r="BC103" s="182"/>
      <c r="BD103" s="182"/>
      <c r="BE103" s="182"/>
      <c r="BF103" s="182"/>
      <c r="BG103" s="182"/>
      <c r="BH103" s="182"/>
      <c r="BI103" s="182"/>
      <c r="BJ103" s="182"/>
      <c r="BK103" s="182"/>
      <c r="BL103" s="182"/>
      <c r="BM103" s="182"/>
      <c r="BN103" s="182"/>
      <c r="BO103" s="182"/>
      <c r="BP103" s="182"/>
      <c r="BQ103" s="182"/>
      <c r="BR103" s="182"/>
      <c r="BS103" s="182"/>
      <c r="BT103" s="182"/>
      <c r="BU103" s="182"/>
      <c r="BV103" s="182"/>
      <c r="BW103" s="182"/>
      <c r="BX103" s="182"/>
      <c r="BY103" s="182"/>
      <c r="BZ103" s="182"/>
      <c r="CA103" s="182"/>
      <c r="CB103" s="185">
        <v>332167.5</v>
      </c>
      <c r="CC103" s="185">
        <v>0</v>
      </c>
      <c r="CD103" s="185">
        <v>1462</v>
      </c>
      <c r="CE103" s="185"/>
    </row>
    <row r="104" spans="2:83" ht="37.5" x14ac:dyDescent="0.3">
      <c r="B104" s="182">
        <v>3480</v>
      </c>
      <c r="C104" s="182">
        <v>1463</v>
      </c>
      <c r="D104" s="182" t="s">
        <v>121</v>
      </c>
      <c r="E104" s="181" t="s">
        <v>4110</v>
      </c>
      <c r="F104" s="182"/>
      <c r="G104" s="182"/>
      <c r="H104" s="182">
        <v>80</v>
      </c>
      <c r="I104" s="182"/>
      <c r="J104" s="182"/>
      <c r="K104" s="182"/>
      <c r="L104" s="182"/>
      <c r="M104" s="182"/>
      <c r="N104" s="182"/>
      <c r="O104" s="182"/>
      <c r="P104" s="182"/>
      <c r="Q104" s="182"/>
      <c r="R104" s="182"/>
      <c r="S104" s="182"/>
      <c r="T104" s="182"/>
      <c r="U104" s="182"/>
      <c r="V104" s="182"/>
      <c r="W104" s="182"/>
      <c r="X104" s="182"/>
      <c r="Y104" s="182"/>
      <c r="Z104" s="182"/>
      <c r="AA104" s="182">
        <v>80</v>
      </c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5">
        <v>160</v>
      </c>
      <c r="AR104" s="182">
        <v>76.099999999999994</v>
      </c>
      <c r="AS104" s="182">
        <v>1.9</v>
      </c>
      <c r="AT104" s="182"/>
      <c r="AU104" s="182"/>
      <c r="AV104" s="182"/>
      <c r="AW104" s="182"/>
      <c r="AX104" s="182"/>
      <c r="AY104" s="182"/>
      <c r="AZ104" s="182"/>
      <c r="BA104" s="182"/>
      <c r="BB104" s="182"/>
      <c r="BC104" s="182"/>
      <c r="BD104" s="182"/>
      <c r="BE104" s="182"/>
      <c r="BF104" s="182">
        <v>2</v>
      </c>
      <c r="BG104" s="182"/>
      <c r="BH104" s="182"/>
      <c r="BI104" s="182"/>
      <c r="BJ104" s="182"/>
      <c r="BK104" s="182"/>
      <c r="BL104" s="182"/>
      <c r="BM104" s="182"/>
      <c r="BN104" s="182"/>
      <c r="BO104" s="182"/>
      <c r="BP104" s="182">
        <v>80</v>
      </c>
      <c r="BQ104" s="182"/>
      <c r="BR104" s="182"/>
      <c r="BS104" s="182"/>
      <c r="BT104" s="182"/>
      <c r="BU104" s="182"/>
      <c r="BV104" s="182"/>
      <c r="BW104" s="182"/>
      <c r="BX104" s="182"/>
      <c r="BY104" s="182"/>
      <c r="BZ104" s="182"/>
      <c r="CA104" s="182"/>
      <c r="CB104" s="185">
        <v>160</v>
      </c>
      <c r="CC104" s="185">
        <v>0</v>
      </c>
      <c r="CD104" s="185">
        <v>1463</v>
      </c>
      <c r="CE104" s="185"/>
    </row>
    <row r="105" spans="2:83" ht="37.5" x14ac:dyDescent="0.3">
      <c r="B105" s="182">
        <v>3478</v>
      </c>
      <c r="C105" s="182">
        <v>1464</v>
      </c>
      <c r="D105" s="182" t="s">
        <v>121</v>
      </c>
      <c r="E105" s="181" t="s">
        <v>4111</v>
      </c>
      <c r="F105" s="182"/>
      <c r="G105" s="182"/>
      <c r="H105" s="182">
        <v>574.5</v>
      </c>
      <c r="I105" s="182"/>
      <c r="J105" s="182"/>
      <c r="K105" s="182"/>
      <c r="L105" s="182"/>
      <c r="M105" s="182"/>
      <c r="N105" s="182"/>
      <c r="O105" s="182"/>
      <c r="P105" s="182"/>
      <c r="Q105" s="182"/>
      <c r="R105" s="182"/>
      <c r="S105" s="182"/>
      <c r="T105" s="182"/>
      <c r="U105" s="182"/>
      <c r="V105" s="182"/>
      <c r="W105" s="182"/>
      <c r="X105" s="182"/>
      <c r="Y105" s="182"/>
      <c r="Z105" s="182"/>
      <c r="AA105" s="182">
        <v>574.5</v>
      </c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5">
        <v>1149</v>
      </c>
      <c r="AR105" s="182">
        <v>548</v>
      </c>
      <c r="AS105" s="182">
        <v>24.5</v>
      </c>
      <c r="AT105" s="182"/>
      <c r="AU105" s="182"/>
      <c r="AV105" s="182"/>
      <c r="AW105" s="182"/>
      <c r="AX105" s="182"/>
      <c r="AY105" s="182"/>
      <c r="AZ105" s="182"/>
      <c r="BA105" s="182"/>
      <c r="BB105" s="182"/>
      <c r="BC105" s="182"/>
      <c r="BD105" s="182"/>
      <c r="BE105" s="182"/>
      <c r="BF105" s="182">
        <v>2</v>
      </c>
      <c r="BG105" s="182"/>
      <c r="BH105" s="182"/>
      <c r="BI105" s="182"/>
      <c r="BJ105" s="182"/>
      <c r="BK105" s="182"/>
      <c r="BL105" s="182"/>
      <c r="BM105" s="182"/>
      <c r="BN105" s="182"/>
      <c r="BO105" s="182"/>
      <c r="BP105" s="182">
        <v>574.5</v>
      </c>
      <c r="BQ105" s="182"/>
      <c r="BR105" s="182"/>
      <c r="BS105" s="182"/>
      <c r="BT105" s="182"/>
      <c r="BU105" s="182"/>
      <c r="BV105" s="182"/>
      <c r="BW105" s="182"/>
      <c r="BX105" s="182"/>
      <c r="BY105" s="182"/>
      <c r="BZ105" s="182"/>
      <c r="CA105" s="182"/>
      <c r="CB105" s="185">
        <v>1149</v>
      </c>
      <c r="CC105" s="185">
        <v>0</v>
      </c>
      <c r="CD105" s="185">
        <v>1464</v>
      </c>
      <c r="CE105" s="185"/>
    </row>
    <row r="106" spans="2:83" ht="37.5" x14ac:dyDescent="0.3">
      <c r="B106" s="182">
        <v>3477</v>
      </c>
      <c r="C106" s="182">
        <v>1465</v>
      </c>
      <c r="D106" s="182" t="s">
        <v>121</v>
      </c>
      <c r="E106" s="181" t="s">
        <v>4111</v>
      </c>
      <c r="F106" s="182"/>
      <c r="G106" s="182"/>
      <c r="H106" s="182">
        <v>574.5</v>
      </c>
      <c r="I106" s="182"/>
      <c r="J106" s="182"/>
      <c r="K106" s="182"/>
      <c r="L106" s="182"/>
      <c r="M106" s="182"/>
      <c r="N106" s="182"/>
      <c r="O106" s="182"/>
      <c r="P106" s="182"/>
      <c r="Q106" s="182"/>
      <c r="R106" s="182"/>
      <c r="S106" s="182"/>
      <c r="T106" s="182"/>
      <c r="U106" s="182"/>
      <c r="V106" s="182"/>
      <c r="W106" s="182"/>
      <c r="X106" s="182"/>
      <c r="Y106" s="182"/>
      <c r="Z106" s="182"/>
      <c r="AA106" s="182">
        <v>574.5</v>
      </c>
      <c r="AB106" s="182"/>
      <c r="AC106" s="182"/>
      <c r="AD106" s="182"/>
      <c r="AE106" s="182"/>
      <c r="AF106" s="182"/>
      <c r="AG106" s="182"/>
      <c r="AH106" s="182"/>
      <c r="AI106" s="182"/>
      <c r="AJ106" s="182"/>
      <c r="AK106" s="182"/>
      <c r="AL106" s="182"/>
      <c r="AM106" s="182"/>
      <c r="AN106" s="182"/>
      <c r="AO106" s="182"/>
      <c r="AP106" s="182"/>
      <c r="AQ106" s="185">
        <v>1149</v>
      </c>
      <c r="AR106" s="182">
        <v>548</v>
      </c>
      <c r="AS106" s="182">
        <v>24.5</v>
      </c>
      <c r="AT106" s="182"/>
      <c r="AU106" s="182"/>
      <c r="AV106" s="182"/>
      <c r="AW106" s="182"/>
      <c r="AX106" s="182"/>
      <c r="AY106" s="182"/>
      <c r="AZ106" s="182"/>
      <c r="BA106" s="182"/>
      <c r="BB106" s="182"/>
      <c r="BC106" s="182"/>
      <c r="BD106" s="182"/>
      <c r="BE106" s="182"/>
      <c r="BF106" s="182">
        <v>2</v>
      </c>
      <c r="BG106" s="182"/>
      <c r="BH106" s="182"/>
      <c r="BI106" s="182"/>
      <c r="BJ106" s="182"/>
      <c r="BK106" s="182"/>
      <c r="BL106" s="182"/>
      <c r="BM106" s="182"/>
      <c r="BN106" s="182"/>
      <c r="BO106" s="182"/>
      <c r="BP106" s="182">
        <v>574.5</v>
      </c>
      <c r="BQ106" s="182"/>
      <c r="BR106" s="182"/>
      <c r="BS106" s="182"/>
      <c r="BT106" s="182"/>
      <c r="BU106" s="182"/>
      <c r="BV106" s="182"/>
      <c r="BW106" s="182"/>
      <c r="BX106" s="182"/>
      <c r="BY106" s="182"/>
      <c r="BZ106" s="182"/>
      <c r="CA106" s="182"/>
      <c r="CB106" s="185">
        <v>1149</v>
      </c>
      <c r="CC106" s="185">
        <v>0</v>
      </c>
      <c r="CD106" s="185">
        <v>1465</v>
      </c>
      <c r="CE106" s="185"/>
    </row>
    <row r="107" spans="2:83" x14ac:dyDescent="0.3">
      <c r="B107" s="182">
        <v>3386</v>
      </c>
      <c r="C107" s="182">
        <v>1466</v>
      </c>
      <c r="D107" s="182" t="s">
        <v>121</v>
      </c>
      <c r="E107" s="181" t="s">
        <v>4112</v>
      </c>
      <c r="F107" s="182"/>
      <c r="G107" s="182"/>
      <c r="H107" s="182">
        <v>2000</v>
      </c>
      <c r="I107" s="182"/>
      <c r="J107" s="182"/>
      <c r="K107" s="182"/>
      <c r="L107" s="182"/>
      <c r="M107" s="182"/>
      <c r="N107" s="182"/>
      <c r="O107" s="182"/>
      <c r="P107" s="182"/>
      <c r="Q107" s="182"/>
      <c r="R107" s="182"/>
      <c r="S107" s="182"/>
      <c r="T107" s="182"/>
      <c r="U107" s="182"/>
      <c r="V107" s="182"/>
      <c r="W107" s="182"/>
      <c r="X107" s="182"/>
      <c r="Y107" s="182"/>
      <c r="Z107" s="182"/>
      <c r="AA107" s="182"/>
      <c r="AB107" s="182"/>
      <c r="AC107" s="182"/>
      <c r="AD107" s="182"/>
      <c r="AE107" s="182"/>
      <c r="AF107" s="182"/>
      <c r="AG107" s="182"/>
      <c r="AH107" s="182"/>
      <c r="AI107" s="182"/>
      <c r="AJ107" s="182"/>
      <c r="AK107" s="182"/>
      <c r="AL107" s="182"/>
      <c r="AM107" s="182"/>
      <c r="AN107" s="182"/>
      <c r="AO107" s="182"/>
      <c r="AP107" s="182"/>
      <c r="AQ107" s="185">
        <v>2000</v>
      </c>
      <c r="AR107" s="182">
        <v>1836.15</v>
      </c>
      <c r="AS107" s="182">
        <v>105.10000000000001</v>
      </c>
      <c r="AT107" s="182"/>
      <c r="AU107" s="182"/>
      <c r="AV107" s="182"/>
      <c r="AW107" s="182"/>
      <c r="AX107" s="182"/>
      <c r="AY107" s="182"/>
      <c r="AZ107" s="182"/>
      <c r="BA107" s="182"/>
      <c r="BB107" s="182"/>
      <c r="BC107" s="182"/>
      <c r="BD107" s="182"/>
      <c r="BE107" s="182">
        <v>52.75</v>
      </c>
      <c r="BF107" s="182">
        <v>6</v>
      </c>
      <c r="BG107" s="182"/>
      <c r="BH107" s="182"/>
      <c r="BI107" s="182"/>
      <c r="BJ107" s="182"/>
      <c r="BK107" s="182"/>
      <c r="BL107" s="182"/>
      <c r="BM107" s="182"/>
      <c r="BN107" s="182"/>
      <c r="BO107" s="182"/>
      <c r="BP107" s="182"/>
      <c r="BQ107" s="182"/>
      <c r="BR107" s="182"/>
      <c r="BS107" s="182"/>
      <c r="BT107" s="182"/>
      <c r="BU107" s="182"/>
      <c r="BV107" s="182"/>
      <c r="BW107" s="182"/>
      <c r="BX107" s="182"/>
      <c r="BY107" s="182"/>
      <c r="BZ107" s="182"/>
      <c r="CA107" s="182"/>
      <c r="CB107" s="185">
        <v>2000</v>
      </c>
      <c r="CC107" s="185">
        <v>0</v>
      </c>
      <c r="CD107" s="185">
        <v>1466</v>
      </c>
      <c r="CE107" s="185"/>
    </row>
    <row r="108" spans="2:83" ht="37.5" x14ac:dyDescent="0.3">
      <c r="B108" s="182">
        <v>213</v>
      </c>
      <c r="C108" s="182">
        <v>1467</v>
      </c>
      <c r="D108" s="182" t="s">
        <v>121</v>
      </c>
      <c r="E108" s="181" t="s">
        <v>4113</v>
      </c>
      <c r="F108" s="182"/>
      <c r="G108" s="182"/>
      <c r="H108" s="182">
        <v>60000</v>
      </c>
      <c r="I108" s="182"/>
      <c r="J108" s="182"/>
      <c r="K108" s="182"/>
      <c r="L108" s="182"/>
      <c r="M108" s="182"/>
      <c r="N108" s="182"/>
      <c r="O108" s="182"/>
      <c r="P108" s="182"/>
      <c r="Q108" s="182"/>
      <c r="R108" s="182"/>
      <c r="S108" s="182"/>
      <c r="T108" s="182"/>
      <c r="U108" s="182"/>
      <c r="V108" s="182"/>
      <c r="W108" s="182"/>
      <c r="X108" s="182"/>
      <c r="Y108" s="182"/>
      <c r="Z108" s="182"/>
      <c r="AA108" s="182"/>
      <c r="AB108" s="182"/>
      <c r="AC108" s="182"/>
      <c r="AD108" s="182"/>
      <c r="AE108" s="182"/>
      <c r="AF108" s="182"/>
      <c r="AG108" s="182"/>
      <c r="AH108" s="182"/>
      <c r="AI108" s="182"/>
      <c r="AJ108" s="182"/>
      <c r="AK108" s="182"/>
      <c r="AL108" s="182"/>
      <c r="AM108" s="182"/>
      <c r="AN108" s="182"/>
      <c r="AO108" s="182"/>
      <c r="AP108" s="182"/>
      <c r="AQ108" s="185">
        <v>60000</v>
      </c>
      <c r="AR108" s="182">
        <v>52405.5</v>
      </c>
      <c r="AS108" s="182">
        <v>1855.5</v>
      </c>
      <c r="AT108" s="182"/>
      <c r="AU108" s="182">
        <v>5</v>
      </c>
      <c r="AV108" s="182"/>
      <c r="AW108" s="182"/>
      <c r="AX108" s="182"/>
      <c r="AY108" s="182"/>
      <c r="AZ108" s="182"/>
      <c r="BA108" s="182"/>
      <c r="BB108" s="182"/>
      <c r="BC108" s="182"/>
      <c r="BD108" s="182"/>
      <c r="BE108" s="182">
        <v>1800</v>
      </c>
      <c r="BF108" s="182">
        <v>34</v>
      </c>
      <c r="BG108" s="182">
        <v>900</v>
      </c>
      <c r="BH108" s="182">
        <v>3000</v>
      </c>
      <c r="BI108" s="182"/>
      <c r="BJ108" s="182"/>
      <c r="BK108" s="182"/>
      <c r="BL108" s="182"/>
      <c r="BM108" s="182"/>
      <c r="BN108" s="182"/>
      <c r="BO108" s="182"/>
      <c r="BP108" s="182"/>
      <c r="BQ108" s="182"/>
      <c r="BR108" s="182"/>
      <c r="BS108" s="182"/>
      <c r="BT108" s="182"/>
      <c r="BU108" s="182"/>
      <c r="BV108" s="182"/>
      <c r="BW108" s="182"/>
      <c r="BX108" s="182"/>
      <c r="BY108" s="182"/>
      <c r="BZ108" s="182"/>
      <c r="CA108" s="182"/>
      <c r="CB108" s="185">
        <v>60000</v>
      </c>
      <c r="CC108" s="185">
        <v>0</v>
      </c>
      <c r="CD108" s="185">
        <v>1467</v>
      </c>
      <c r="CE108" s="185"/>
    </row>
    <row r="109" spans="2:83" ht="37.5" x14ac:dyDescent="0.3">
      <c r="B109" s="182">
        <v>2384</v>
      </c>
      <c r="C109" s="182">
        <v>1468</v>
      </c>
      <c r="D109" s="182" t="s">
        <v>78</v>
      </c>
      <c r="E109" s="181" t="s">
        <v>4114</v>
      </c>
      <c r="F109" s="182"/>
      <c r="G109" s="182"/>
      <c r="H109" s="182">
        <v>215</v>
      </c>
      <c r="I109" s="182"/>
      <c r="J109" s="182"/>
      <c r="K109" s="182"/>
      <c r="L109" s="182"/>
      <c r="M109" s="182"/>
      <c r="N109" s="182"/>
      <c r="O109" s="182"/>
      <c r="P109" s="182"/>
      <c r="Q109" s="182"/>
      <c r="R109" s="182"/>
      <c r="S109" s="182"/>
      <c r="T109" s="182"/>
      <c r="U109" s="182"/>
      <c r="V109" s="182"/>
      <c r="W109" s="182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82"/>
      <c r="AH109" s="182"/>
      <c r="AI109" s="182"/>
      <c r="AJ109" s="182"/>
      <c r="AK109" s="182"/>
      <c r="AL109" s="182"/>
      <c r="AM109" s="182"/>
      <c r="AN109" s="182"/>
      <c r="AO109" s="182"/>
      <c r="AP109" s="182"/>
      <c r="AQ109" s="185">
        <v>215</v>
      </c>
      <c r="AR109" s="182">
        <v>215</v>
      </c>
      <c r="AS109" s="182"/>
      <c r="AT109" s="182"/>
      <c r="AU109" s="182"/>
      <c r="AV109" s="182"/>
      <c r="AW109" s="182"/>
      <c r="AX109" s="182"/>
      <c r="AY109" s="182"/>
      <c r="AZ109" s="182"/>
      <c r="BA109" s="182"/>
      <c r="BB109" s="182"/>
      <c r="BC109" s="182"/>
      <c r="BD109" s="182"/>
      <c r="BE109" s="182"/>
      <c r="BF109" s="182"/>
      <c r="BG109" s="182"/>
      <c r="BH109" s="182"/>
      <c r="BI109" s="182"/>
      <c r="BJ109" s="182"/>
      <c r="BK109" s="182"/>
      <c r="BL109" s="182"/>
      <c r="BM109" s="182"/>
      <c r="BN109" s="182"/>
      <c r="BO109" s="182"/>
      <c r="BP109" s="182"/>
      <c r="BQ109" s="182"/>
      <c r="BR109" s="182"/>
      <c r="BS109" s="182"/>
      <c r="BT109" s="182"/>
      <c r="BU109" s="182"/>
      <c r="BV109" s="182"/>
      <c r="BW109" s="182"/>
      <c r="BX109" s="182"/>
      <c r="BY109" s="182"/>
      <c r="BZ109" s="182"/>
      <c r="CA109" s="182"/>
      <c r="CB109" s="185">
        <v>215</v>
      </c>
      <c r="CC109" s="185">
        <v>0</v>
      </c>
      <c r="CD109" s="185">
        <v>1468</v>
      </c>
      <c r="CE109" s="185"/>
    </row>
    <row r="110" spans="2:83" x14ac:dyDescent="0.3">
      <c r="B110" s="182">
        <v>3375</v>
      </c>
      <c r="C110" s="182">
        <v>1469</v>
      </c>
      <c r="D110" s="182" t="s">
        <v>724</v>
      </c>
      <c r="E110" s="181" t="s">
        <v>4115</v>
      </c>
      <c r="F110" s="182"/>
      <c r="G110" s="182"/>
      <c r="H110" s="182">
        <v>5250</v>
      </c>
      <c r="I110" s="182"/>
      <c r="J110" s="182"/>
      <c r="K110" s="182"/>
      <c r="L110" s="182"/>
      <c r="M110" s="182"/>
      <c r="N110" s="182"/>
      <c r="O110" s="182">
        <v>5250</v>
      </c>
      <c r="P110" s="182"/>
      <c r="Q110" s="182"/>
      <c r="R110" s="182"/>
      <c r="S110" s="182"/>
      <c r="T110" s="182"/>
      <c r="U110" s="182"/>
      <c r="V110" s="182"/>
      <c r="W110" s="182"/>
      <c r="X110" s="182"/>
      <c r="Y110" s="182"/>
      <c r="Z110" s="182"/>
      <c r="AA110" s="182"/>
      <c r="AB110" s="182"/>
      <c r="AC110" s="182"/>
      <c r="AD110" s="182"/>
      <c r="AE110" s="182"/>
      <c r="AF110" s="182"/>
      <c r="AG110" s="182"/>
      <c r="AH110" s="182"/>
      <c r="AI110" s="182"/>
      <c r="AJ110" s="182"/>
      <c r="AK110" s="182"/>
      <c r="AL110" s="182"/>
      <c r="AM110" s="182"/>
      <c r="AN110" s="182"/>
      <c r="AO110" s="182"/>
      <c r="AP110" s="182"/>
      <c r="AQ110" s="185">
        <v>10500</v>
      </c>
      <c r="AR110" s="182">
        <v>5250</v>
      </c>
      <c r="AS110" s="182"/>
      <c r="AT110" s="182"/>
      <c r="AU110" s="182"/>
      <c r="AV110" s="182"/>
      <c r="AW110" s="182"/>
      <c r="AX110" s="182"/>
      <c r="AY110" s="182"/>
      <c r="AZ110" s="182"/>
      <c r="BA110" s="182"/>
      <c r="BB110" s="182"/>
      <c r="BC110" s="182"/>
      <c r="BD110" s="182"/>
      <c r="BE110" s="182"/>
      <c r="BF110" s="182"/>
      <c r="BG110" s="182"/>
      <c r="BH110" s="182"/>
      <c r="BI110" s="182"/>
      <c r="BJ110" s="182"/>
      <c r="BK110" s="182"/>
      <c r="BL110" s="182"/>
      <c r="BM110" s="182">
        <v>5250</v>
      </c>
      <c r="BN110" s="182"/>
      <c r="BO110" s="182"/>
      <c r="BP110" s="182"/>
      <c r="BQ110" s="182"/>
      <c r="BR110" s="182"/>
      <c r="BS110" s="182"/>
      <c r="BT110" s="182"/>
      <c r="BU110" s="182"/>
      <c r="BV110" s="182"/>
      <c r="BW110" s="182"/>
      <c r="BX110" s="182"/>
      <c r="BY110" s="182"/>
      <c r="BZ110" s="182"/>
      <c r="CA110" s="182"/>
      <c r="CB110" s="185">
        <v>10500</v>
      </c>
      <c r="CC110" s="185">
        <v>0</v>
      </c>
      <c r="CD110" s="185">
        <v>1469</v>
      </c>
      <c r="CE110" s="185"/>
    </row>
    <row r="111" spans="2:83" x14ac:dyDescent="0.3">
      <c r="B111" s="182">
        <v>3062</v>
      </c>
      <c r="C111" s="182">
        <v>1470</v>
      </c>
      <c r="D111" s="182" t="s">
        <v>130</v>
      </c>
      <c r="E111" s="181" t="s">
        <v>4116</v>
      </c>
      <c r="F111" s="182"/>
      <c r="G111" s="182"/>
      <c r="H111" s="182">
        <v>2850</v>
      </c>
      <c r="I111" s="182"/>
      <c r="J111" s="182"/>
      <c r="K111" s="182"/>
      <c r="L111" s="182"/>
      <c r="M111" s="182"/>
      <c r="N111" s="182"/>
      <c r="O111" s="182"/>
      <c r="P111" s="182"/>
      <c r="Q111" s="182"/>
      <c r="R111" s="182"/>
      <c r="S111" s="182"/>
      <c r="T111" s="182"/>
      <c r="U111" s="182"/>
      <c r="V111" s="182"/>
      <c r="W111" s="182"/>
      <c r="X111" s="182"/>
      <c r="Y111" s="182"/>
      <c r="Z111" s="182"/>
      <c r="AA111" s="182"/>
      <c r="AB111" s="182"/>
      <c r="AC111" s="182"/>
      <c r="AD111" s="182"/>
      <c r="AE111" s="182"/>
      <c r="AF111" s="182"/>
      <c r="AG111" s="182"/>
      <c r="AH111" s="182"/>
      <c r="AI111" s="182"/>
      <c r="AJ111" s="182"/>
      <c r="AK111" s="182"/>
      <c r="AL111" s="182"/>
      <c r="AM111" s="182"/>
      <c r="AN111" s="182"/>
      <c r="AO111" s="182"/>
      <c r="AP111" s="182"/>
      <c r="AQ111" s="185">
        <v>2850</v>
      </c>
      <c r="AR111" s="182">
        <v>2596.8000000000002</v>
      </c>
      <c r="AS111" s="182">
        <v>149.69999999999999</v>
      </c>
      <c r="AT111" s="182"/>
      <c r="AU111" s="182"/>
      <c r="AV111" s="182"/>
      <c r="AW111" s="182"/>
      <c r="AX111" s="182"/>
      <c r="AY111" s="182"/>
      <c r="AZ111" s="182"/>
      <c r="BA111" s="182"/>
      <c r="BB111" s="182"/>
      <c r="BC111" s="182"/>
      <c r="BD111" s="182"/>
      <c r="BE111" s="182">
        <v>75</v>
      </c>
      <c r="BF111" s="182">
        <v>6</v>
      </c>
      <c r="BG111" s="182">
        <v>22.5</v>
      </c>
      <c r="BH111" s="182"/>
      <c r="BI111" s="182"/>
      <c r="BJ111" s="182"/>
      <c r="BK111" s="182"/>
      <c r="BL111" s="182"/>
      <c r="BM111" s="182"/>
      <c r="BN111" s="182"/>
      <c r="BO111" s="182"/>
      <c r="BP111" s="182"/>
      <c r="BQ111" s="182"/>
      <c r="BR111" s="182"/>
      <c r="BS111" s="182"/>
      <c r="BT111" s="182"/>
      <c r="BU111" s="182"/>
      <c r="BV111" s="182"/>
      <c r="BW111" s="182"/>
      <c r="BX111" s="182"/>
      <c r="BY111" s="182"/>
      <c r="BZ111" s="182"/>
      <c r="CA111" s="182"/>
      <c r="CB111" s="185">
        <v>2850</v>
      </c>
      <c r="CC111" s="185">
        <v>0</v>
      </c>
      <c r="CD111" s="185">
        <v>1470</v>
      </c>
      <c r="CE111" s="185"/>
    </row>
    <row r="112" spans="2:83" x14ac:dyDescent="0.3">
      <c r="B112" s="182">
        <v>3063</v>
      </c>
      <c r="C112" s="182">
        <v>1471</v>
      </c>
      <c r="D112" s="182" t="s">
        <v>130</v>
      </c>
      <c r="E112" s="181" t="s">
        <v>4116</v>
      </c>
      <c r="F112" s="182"/>
      <c r="G112" s="182"/>
      <c r="H112" s="182">
        <v>2850</v>
      </c>
      <c r="I112" s="182"/>
      <c r="J112" s="182"/>
      <c r="K112" s="182"/>
      <c r="L112" s="182"/>
      <c r="M112" s="182"/>
      <c r="N112" s="182"/>
      <c r="O112" s="182"/>
      <c r="P112" s="182"/>
      <c r="Q112" s="182"/>
      <c r="R112" s="182"/>
      <c r="S112" s="182"/>
      <c r="T112" s="182"/>
      <c r="U112" s="182"/>
      <c r="V112" s="182"/>
      <c r="W112" s="182"/>
      <c r="X112" s="182"/>
      <c r="Y112" s="182"/>
      <c r="Z112" s="182"/>
      <c r="AA112" s="182"/>
      <c r="AB112" s="182"/>
      <c r="AC112" s="182"/>
      <c r="AD112" s="182"/>
      <c r="AE112" s="182"/>
      <c r="AF112" s="182"/>
      <c r="AG112" s="182"/>
      <c r="AH112" s="182"/>
      <c r="AI112" s="182"/>
      <c r="AJ112" s="182"/>
      <c r="AK112" s="182"/>
      <c r="AL112" s="182"/>
      <c r="AM112" s="182"/>
      <c r="AN112" s="182"/>
      <c r="AO112" s="182"/>
      <c r="AP112" s="182"/>
      <c r="AQ112" s="185">
        <v>2850</v>
      </c>
      <c r="AR112" s="182">
        <v>2596.8000000000002</v>
      </c>
      <c r="AS112" s="182">
        <v>149.69999999999999</v>
      </c>
      <c r="AT112" s="182"/>
      <c r="AU112" s="182"/>
      <c r="AV112" s="182"/>
      <c r="AW112" s="182"/>
      <c r="AX112" s="182"/>
      <c r="AY112" s="182"/>
      <c r="AZ112" s="182"/>
      <c r="BA112" s="182"/>
      <c r="BB112" s="182"/>
      <c r="BC112" s="182"/>
      <c r="BD112" s="182"/>
      <c r="BE112" s="182">
        <v>75</v>
      </c>
      <c r="BF112" s="182">
        <v>6</v>
      </c>
      <c r="BG112" s="182">
        <v>22.5</v>
      </c>
      <c r="BH112" s="182"/>
      <c r="BI112" s="182"/>
      <c r="BJ112" s="182"/>
      <c r="BK112" s="182"/>
      <c r="BL112" s="182"/>
      <c r="BM112" s="182"/>
      <c r="BN112" s="182"/>
      <c r="BO112" s="182"/>
      <c r="BP112" s="182"/>
      <c r="BQ112" s="182"/>
      <c r="BR112" s="182"/>
      <c r="BS112" s="182"/>
      <c r="BT112" s="182"/>
      <c r="BU112" s="182"/>
      <c r="BV112" s="182"/>
      <c r="BW112" s="182"/>
      <c r="BX112" s="182"/>
      <c r="BY112" s="182"/>
      <c r="BZ112" s="182"/>
      <c r="CA112" s="182"/>
      <c r="CB112" s="185">
        <v>2850</v>
      </c>
      <c r="CC112" s="185">
        <v>0</v>
      </c>
      <c r="CD112" s="185">
        <v>1471</v>
      </c>
      <c r="CE112" s="185"/>
    </row>
    <row r="113" spans="2:83" x14ac:dyDescent="0.3">
      <c r="B113" s="182">
        <v>3064</v>
      </c>
      <c r="C113" s="182">
        <v>1472</v>
      </c>
      <c r="D113" s="182" t="s">
        <v>130</v>
      </c>
      <c r="E113" s="181" t="s">
        <v>4116</v>
      </c>
      <c r="F113" s="182"/>
      <c r="G113" s="182"/>
      <c r="H113" s="182">
        <v>2850</v>
      </c>
      <c r="I113" s="182"/>
      <c r="J113" s="182"/>
      <c r="K113" s="182"/>
      <c r="L113" s="182"/>
      <c r="M113" s="182"/>
      <c r="N113" s="182"/>
      <c r="O113" s="182"/>
      <c r="P113" s="182"/>
      <c r="Q113" s="182"/>
      <c r="R113" s="182"/>
      <c r="S113" s="182"/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5">
        <v>2850</v>
      </c>
      <c r="AR113" s="182">
        <v>2596.8000000000002</v>
      </c>
      <c r="AS113" s="182">
        <v>149.69999999999999</v>
      </c>
      <c r="AT113" s="182"/>
      <c r="AU113" s="182"/>
      <c r="AV113" s="182"/>
      <c r="AW113" s="182"/>
      <c r="AX113" s="182"/>
      <c r="AY113" s="182"/>
      <c r="AZ113" s="182"/>
      <c r="BA113" s="182"/>
      <c r="BB113" s="182"/>
      <c r="BC113" s="182"/>
      <c r="BD113" s="182"/>
      <c r="BE113" s="182">
        <v>75</v>
      </c>
      <c r="BF113" s="182">
        <v>6</v>
      </c>
      <c r="BG113" s="182">
        <v>22.5</v>
      </c>
      <c r="BH113" s="182"/>
      <c r="BI113" s="182"/>
      <c r="BJ113" s="182"/>
      <c r="BK113" s="182"/>
      <c r="BL113" s="182"/>
      <c r="BM113" s="182"/>
      <c r="BN113" s="182"/>
      <c r="BO113" s="182"/>
      <c r="BP113" s="182"/>
      <c r="BQ113" s="182"/>
      <c r="BR113" s="182"/>
      <c r="BS113" s="182"/>
      <c r="BT113" s="182"/>
      <c r="BU113" s="182"/>
      <c r="BV113" s="182"/>
      <c r="BW113" s="182"/>
      <c r="BX113" s="182"/>
      <c r="BY113" s="182"/>
      <c r="BZ113" s="182"/>
      <c r="CA113" s="182"/>
      <c r="CB113" s="185">
        <v>2850</v>
      </c>
      <c r="CC113" s="185">
        <v>0</v>
      </c>
      <c r="CD113" s="185">
        <v>1472</v>
      </c>
      <c r="CE113" s="185"/>
    </row>
    <row r="114" spans="2:83" x14ac:dyDescent="0.3">
      <c r="B114" s="182">
        <v>3565</v>
      </c>
      <c r="C114" s="182">
        <v>1473</v>
      </c>
      <c r="D114" s="182" t="s">
        <v>130</v>
      </c>
      <c r="E114" s="181" t="s">
        <v>4117</v>
      </c>
      <c r="F114" s="182"/>
      <c r="G114" s="182"/>
      <c r="H114" s="182">
        <v>17977.8</v>
      </c>
      <c r="I114" s="182"/>
      <c r="J114" s="182"/>
      <c r="K114" s="182"/>
      <c r="L114" s="182"/>
      <c r="M114" s="182"/>
      <c r="N114" s="182"/>
      <c r="O114" s="182"/>
      <c r="P114" s="182"/>
      <c r="Q114" s="182"/>
      <c r="R114" s="182"/>
      <c r="S114" s="182"/>
      <c r="T114" s="182"/>
      <c r="U114" s="182"/>
      <c r="V114" s="182"/>
      <c r="W114" s="182"/>
      <c r="X114" s="182"/>
      <c r="Y114" s="182"/>
      <c r="Z114" s="182"/>
      <c r="AA114" s="182">
        <v>17977.8</v>
      </c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2"/>
      <c r="AM114" s="182"/>
      <c r="AN114" s="182"/>
      <c r="AO114" s="182"/>
      <c r="AP114" s="182"/>
      <c r="AQ114" s="185">
        <v>35955.599999999999</v>
      </c>
      <c r="AR114" s="182">
        <v>17977.8</v>
      </c>
      <c r="AS114" s="182"/>
      <c r="AT114" s="182"/>
      <c r="AU114" s="182"/>
      <c r="AV114" s="182"/>
      <c r="AW114" s="182"/>
      <c r="AX114" s="182"/>
      <c r="AY114" s="182"/>
      <c r="AZ114" s="182"/>
      <c r="BA114" s="182"/>
      <c r="BB114" s="182"/>
      <c r="BC114" s="182"/>
      <c r="BD114" s="182"/>
      <c r="BE114" s="182"/>
      <c r="BF114" s="182"/>
      <c r="BG114" s="182"/>
      <c r="BH114" s="182"/>
      <c r="BI114" s="182"/>
      <c r="BJ114" s="182"/>
      <c r="BK114" s="182"/>
      <c r="BL114" s="182"/>
      <c r="BM114" s="182"/>
      <c r="BN114" s="182"/>
      <c r="BO114" s="182"/>
      <c r="BP114" s="182">
        <v>17977.8</v>
      </c>
      <c r="BQ114" s="182"/>
      <c r="BR114" s="182"/>
      <c r="BS114" s="182"/>
      <c r="BT114" s="182"/>
      <c r="BU114" s="182"/>
      <c r="BV114" s="182"/>
      <c r="BW114" s="182"/>
      <c r="BX114" s="182"/>
      <c r="BY114" s="182"/>
      <c r="BZ114" s="182"/>
      <c r="CA114" s="182"/>
      <c r="CB114" s="185">
        <v>35955.599999999999</v>
      </c>
      <c r="CC114" s="185">
        <v>0</v>
      </c>
      <c r="CD114" s="185">
        <v>1473</v>
      </c>
      <c r="CE114" s="185"/>
    </row>
    <row r="115" spans="2:83" x14ac:dyDescent="0.3">
      <c r="B115" s="182">
        <v>3566</v>
      </c>
      <c r="C115" s="182">
        <v>1474</v>
      </c>
      <c r="D115" s="182" t="s">
        <v>130</v>
      </c>
      <c r="E115" s="181" t="s">
        <v>4118</v>
      </c>
      <c r="F115" s="182"/>
      <c r="G115" s="182"/>
      <c r="H115" s="182">
        <v>55000</v>
      </c>
      <c r="I115" s="182"/>
      <c r="J115" s="182"/>
      <c r="K115" s="182"/>
      <c r="L115" s="182"/>
      <c r="M115" s="182"/>
      <c r="N115" s="182"/>
      <c r="O115" s="182"/>
      <c r="P115" s="182"/>
      <c r="Q115" s="182"/>
      <c r="R115" s="182"/>
      <c r="S115" s="182"/>
      <c r="T115" s="182"/>
      <c r="U115" s="182"/>
      <c r="V115" s="182"/>
      <c r="W115" s="182"/>
      <c r="X115" s="182"/>
      <c r="Y115" s="182"/>
      <c r="Z115" s="182"/>
      <c r="AA115" s="182">
        <v>55000</v>
      </c>
      <c r="AB115" s="182"/>
      <c r="AC115" s="182"/>
      <c r="AD115" s="182"/>
      <c r="AE115" s="182"/>
      <c r="AF115" s="182"/>
      <c r="AG115" s="182"/>
      <c r="AH115" s="182"/>
      <c r="AI115" s="182"/>
      <c r="AJ115" s="182"/>
      <c r="AK115" s="182"/>
      <c r="AL115" s="182"/>
      <c r="AM115" s="182"/>
      <c r="AN115" s="182"/>
      <c r="AO115" s="182"/>
      <c r="AP115" s="182"/>
      <c r="AQ115" s="185">
        <v>110000</v>
      </c>
      <c r="AR115" s="182">
        <v>55000</v>
      </c>
      <c r="AS115" s="182"/>
      <c r="AT115" s="182"/>
      <c r="AU115" s="182"/>
      <c r="AV115" s="182"/>
      <c r="AW115" s="182"/>
      <c r="AX115" s="182"/>
      <c r="AY115" s="182"/>
      <c r="AZ115" s="182"/>
      <c r="BA115" s="182"/>
      <c r="BB115" s="182"/>
      <c r="BC115" s="182"/>
      <c r="BD115" s="182"/>
      <c r="BE115" s="182"/>
      <c r="BF115" s="182"/>
      <c r="BG115" s="182"/>
      <c r="BH115" s="182"/>
      <c r="BI115" s="182"/>
      <c r="BJ115" s="182"/>
      <c r="BK115" s="182"/>
      <c r="BL115" s="182"/>
      <c r="BM115" s="182"/>
      <c r="BN115" s="182"/>
      <c r="BO115" s="182"/>
      <c r="BP115" s="182">
        <v>55000</v>
      </c>
      <c r="BQ115" s="182"/>
      <c r="BR115" s="182"/>
      <c r="BS115" s="182"/>
      <c r="BT115" s="182"/>
      <c r="BU115" s="182"/>
      <c r="BV115" s="182"/>
      <c r="BW115" s="182"/>
      <c r="BX115" s="182"/>
      <c r="BY115" s="182"/>
      <c r="BZ115" s="182"/>
      <c r="CA115" s="182"/>
      <c r="CB115" s="185">
        <v>110000</v>
      </c>
      <c r="CC115" s="185">
        <v>0</v>
      </c>
      <c r="CD115" s="185">
        <v>1474</v>
      </c>
      <c r="CE115" s="185"/>
    </row>
    <row r="116" spans="2:83" s="198" customFormat="1" x14ac:dyDescent="0.3">
      <c r="B116" s="190"/>
      <c r="C116" s="190"/>
      <c r="D116" s="190"/>
      <c r="E116" s="199" t="s">
        <v>4119</v>
      </c>
      <c r="F116" s="190"/>
      <c r="G116" s="190">
        <v>143422.39000000001</v>
      </c>
      <c r="H116" s="190">
        <v>523356.05</v>
      </c>
      <c r="I116" s="190">
        <v>0</v>
      </c>
      <c r="J116" s="190">
        <v>0</v>
      </c>
      <c r="K116" s="190">
        <v>0</v>
      </c>
      <c r="L116" s="190">
        <v>0</v>
      </c>
      <c r="M116" s="190">
        <v>0</v>
      </c>
      <c r="N116" s="190">
        <v>0</v>
      </c>
      <c r="O116" s="190">
        <v>6210</v>
      </c>
      <c r="P116" s="190">
        <v>0</v>
      </c>
      <c r="Q116" s="190">
        <v>0</v>
      </c>
      <c r="R116" s="190">
        <v>0</v>
      </c>
      <c r="S116" s="190">
        <v>0</v>
      </c>
      <c r="T116" s="190">
        <v>0</v>
      </c>
      <c r="U116" s="190">
        <v>0</v>
      </c>
      <c r="V116" s="190">
        <v>0</v>
      </c>
      <c r="W116" s="190">
        <v>2103</v>
      </c>
      <c r="X116" s="190">
        <v>0</v>
      </c>
      <c r="Y116" s="190">
        <v>0</v>
      </c>
      <c r="Z116" s="190">
        <v>0</v>
      </c>
      <c r="AA116" s="190">
        <v>77375.3</v>
      </c>
      <c r="AB116" s="190">
        <v>0</v>
      </c>
      <c r="AC116" s="190">
        <v>0</v>
      </c>
      <c r="AD116" s="190">
        <v>0</v>
      </c>
      <c r="AE116" s="190">
        <v>0</v>
      </c>
      <c r="AF116" s="190">
        <v>0</v>
      </c>
      <c r="AG116" s="190">
        <v>0</v>
      </c>
      <c r="AH116" s="190">
        <v>0</v>
      </c>
      <c r="AI116" s="190">
        <v>0</v>
      </c>
      <c r="AJ116" s="190">
        <v>0</v>
      </c>
      <c r="AK116" s="190">
        <v>0</v>
      </c>
      <c r="AL116" s="190">
        <v>0</v>
      </c>
      <c r="AM116" s="190">
        <v>0</v>
      </c>
      <c r="AN116" s="190">
        <v>0</v>
      </c>
      <c r="AO116" s="190">
        <v>0</v>
      </c>
      <c r="AP116" s="190">
        <v>0</v>
      </c>
      <c r="AQ116" s="190">
        <v>752466.73999999987</v>
      </c>
      <c r="AR116" s="190">
        <v>616558.39000000025</v>
      </c>
      <c r="AS116" s="190">
        <v>15854.389999999996</v>
      </c>
      <c r="AT116" s="190">
        <v>30291.159999999996</v>
      </c>
      <c r="AU116" s="190">
        <v>5</v>
      </c>
      <c r="AV116" s="190">
        <v>0</v>
      </c>
      <c r="AW116" s="190">
        <v>0</v>
      </c>
      <c r="AX116" s="190">
        <v>0</v>
      </c>
      <c r="AY116" s="190">
        <v>0</v>
      </c>
      <c r="AZ116" s="190">
        <v>0</v>
      </c>
      <c r="BA116" s="190">
        <v>0</v>
      </c>
      <c r="BB116" s="190">
        <v>0</v>
      </c>
      <c r="BC116" s="190">
        <v>0</v>
      </c>
      <c r="BD116" s="190">
        <v>0</v>
      </c>
      <c r="BE116" s="190">
        <v>2101</v>
      </c>
      <c r="BF116" s="190">
        <v>104</v>
      </c>
      <c r="BG116" s="190">
        <v>967.5</v>
      </c>
      <c r="BH116" s="190">
        <v>3000</v>
      </c>
      <c r="BI116" s="190">
        <v>0</v>
      </c>
      <c r="BJ116" s="190">
        <v>0</v>
      </c>
      <c r="BK116" s="190">
        <v>0</v>
      </c>
      <c r="BL116" s="190">
        <v>0</v>
      </c>
      <c r="BM116" s="190">
        <v>6210</v>
      </c>
      <c r="BN116" s="190">
        <v>0</v>
      </c>
      <c r="BO116" s="190">
        <v>0</v>
      </c>
      <c r="BP116" s="190">
        <v>77375.3</v>
      </c>
      <c r="BQ116" s="190">
        <v>0</v>
      </c>
      <c r="BR116" s="190">
        <v>0</v>
      </c>
      <c r="BS116" s="190">
        <v>0</v>
      </c>
      <c r="BT116" s="190">
        <v>0</v>
      </c>
      <c r="BU116" s="190">
        <v>0</v>
      </c>
      <c r="BV116" s="190">
        <v>0</v>
      </c>
      <c r="BW116" s="190">
        <v>0</v>
      </c>
      <c r="BX116" s="190">
        <v>0</v>
      </c>
      <c r="BY116" s="190">
        <v>0</v>
      </c>
      <c r="BZ116" s="190">
        <v>0</v>
      </c>
      <c r="CA116" s="190">
        <v>0</v>
      </c>
      <c r="CB116" s="190">
        <v>752466.74</v>
      </c>
      <c r="CC116" s="190">
        <v>0</v>
      </c>
      <c r="CD116" s="190">
        <v>0</v>
      </c>
      <c r="CE116" s="190"/>
    </row>
    <row r="117" spans="2:83" x14ac:dyDescent="0.3">
      <c r="B117" s="182">
        <v>2565</v>
      </c>
      <c r="C117" s="182">
        <v>1475</v>
      </c>
      <c r="D117" s="182" t="s">
        <v>130</v>
      </c>
      <c r="E117" s="181" t="s">
        <v>4120</v>
      </c>
      <c r="F117" s="182"/>
      <c r="G117" s="182">
        <v>1758.76</v>
      </c>
      <c r="H117" s="182"/>
      <c r="I117" s="182"/>
      <c r="J117" s="182"/>
      <c r="K117" s="182"/>
      <c r="L117" s="182"/>
      <c r="M117" s="182"/>
      <c r="N117" s="182"/>
      <c r="O117" s="182"/>
      <c r="P117" s="182"/>
      <c r="Q117" s="182"/>
      <c r="R117" s="182"/>
      <c r="S117" s="182"/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5">
        <v>1758.76</v>
      </c>
      <c r="AR117" s="182">
        <v>1126.1600000000001</v>
      </c>
      <c r="AS117" s="182">
        <v>133.84</v>
      </c>
      <c r="AT117" s="182">
        <v>423.76</v>
      </c>
      <c r="AU117" s="182">
        <v>75</v>
      </c>
      <c r="AV117" s="182"/>
      <c r="AW117" s="182"/>
      <c r="AX117" s="182"/>
      <c r="AY117" s="182"/>
      <c r="AZ117" s="182"/>
      <c r="BA117" s="182"/>
      <c r="BB117" s="182"/>
      <c r="BC117" s="182"/>
      <c r="BD117" s="182"/>
      <c r="BE117" s="182"/>
      <c r="BF117" s="182"/>
      <c r="BG117" s="182"/>
      <c r="BH117" s="182"/>
      <c r="BI117" s="182"/>
      <c r="BJ117" s="182"/>
      <c r="BK117" s="182"/>
      <c r="BL117" s="182"/>
      <c r="BM117" s="182"/>
      <c r="BN117" s="182"/>
      <c r="BO117" s="182"/>
      <c r="BP117" s="182"/>
      <c r="BQ117" s="182"/>
      <c r="BR117" s="182"/>
      <c r="BS117" s="182"/>
      <c r="BT117" s="182"/>
      <c r="BU117" s="182"/>
      <c r="BV117" s="182"/>
      <c r="BW117" s="182"/>
      <c r="BX117" s="182"/>
      <c r="BY117" s="182"/>
      <c r="BZ117" s="182"/>
      <c r="CA117" s="182"/>
      <c r="CB117" s="185">
        <v>1758.76</v>
      </c>
      <c r="CC117" s="185">
        <v>0</v>
      </c>
      <c r="CD117" s="185">
        <v>1475</v>
      </c>
      <c r="CE117" s="185"/>
    </row>
    <row r="118" spans="2:83" x14ac:dyDescent="0.3">
      <c r="B118" s="182">
        <v>2563</v>
      </c>
      <c r="C118" s="182">
        <v>1476</v>
      </c>
      <c r="D118" s="182" t="s">
        <v>130</v>
      </c>
      <c r="E118" s="181" t="s">
        <v>4120</v>
      </c>
      <c r="F118" s="182"/>
      <c r="G118" s="182">
        <v>9519.07</v>
      </c>
      <c r="H118" s="182"/>
      <c r="I118" s="182"/>
      <c r="J118" s="182"/>
      <c r="K118" s="182"/>
      <c r="L118" s="182"/>
      <c r="M118" s="182"/>
      <c r="N118" s="182"/>
      <c r="O118" s="182"/>
      <c r="P118" s="182"/>
      <c r="Q118" s="182"/>
      <c r="R118" s="182"/>
      <c r="S118" s="182"/>
      <c r="T118" s="182"/>
      <c r="U118" s="182"/>
      <c r="V118" s="182"/>
      <c r="W118" s="182"/>
      <c r="X118" s="182"/>
      <c r="Y118" s="182"/>
      <c r="Z118" s="182"/>
      <c r="AA118" s="182"/>
      <c r="AB118" s="182"/>
      <c r="AC118" s="182"/>
      <c r="AD118" s="182"/>
      <c r="AE118" s="182"/>
      <c r="AF118" s="182"/>
      <c r="AG118" s="182"/>
      <c r="AH118" s="182"/>
      <c r="AI118" s="182"/>
      <c r="AJ118" s="182"/>
      <c r="AK118" s="182"/>
      <c r="AL118" s="182"/>
      <c r="AM118" s="182"/>
      <c r="AN118" s="182"/>
      <c r="AO118" s="182"/>
      <c r="AP118" s="182"/>
      <c r="AQ118" s="185">
        <v>9519.07</v>
      </c>
      <c r="AR118" s="182">
        <v>6986.58</v>
      </c>
      <c r="AS118" s="182">
        <v>1748.42</v>
      </c>
      <c r="AT118" s="182">
        <v>317.82</v>
      </c>
      <c r="AU118" s="182">
        <v>466.25</v>
      </c>
      <c r="AV118" s="182"/>
      <c r="AW118" s="182"/>
      <c r="AX118" s="182"/>
      <c r="AY118" s="182"/>
      <c r="AZ118" s="182"/>
      <c r="BA118" s="182"/>
      <c r="BB118" s="182"/>
      <c r="BC118" s="182"/>
      <c r="BD118" s="182"/>
      <c r="BE118" s="182"/>
      <c r="BF118" s="182"/>
      <c r="BG118" s="182"/>
      <c r="BH118" s="182"/>
      <c r="BI118" s="182"/>
      <c r="BJ118" s="182"/>
      <c r="BK118" s="182"/>
      <c r="BL118" s="182"/>
      <c r="BM118" s="182"/>
      <c r="BN118" s="182"/>
      <c r="BO118" s="182"/>
      <c r="BP118" s="182"/>
      <c r="BQ118" s="182"/>
      <c r="BR118" s="182"/>
      <c r="BS118" s="182"/>
      <c r="BT118" s="182"/>
      <c r="BU118" s="182"/>
      <c r="BV118" s="182"/>
      <c r="BW118" s="182"/>
      <c r="BX118" s="182"/>
      <c r="BY118" s="182"/>
      <c r="BZ118" s="182"/>
      <c r="CA118" s="182"/>
      <c r="CB118" s="185">
        <v>9519.07</v>
      </c>
      <c r="CC118" s="185">
        <v>0</v>
      </c>
      <c r="CD118" s="185">
        <v>1476</v>
      </c>
      <c r="CE118" s="185"/>
    </row>
    <row r="119" spans="2:83" x14ac:dyDescent="0.3">
      <c r="B119" s="182">
        <v>2566</v>
      </c>
      <c r="C119" s="182">
        <v>1477</v>
      </c>
      <c r="D119" s="182" t="s">
        <v>130</v>
      </c>
      <c r="E119" s="181" t="s">
        <v>4120</v>
      </c>
      <c r="F119" s="182"/>
      <c r="G119" s="182">
        <v>6038.4</v>
      </c>
      <c r="H119" s="182"/>
      <c r="I119" s="182"/>
      <c r="J119" s="182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  <c r="AN119" s="182"/>
      <c r="AO119" s="182"/>
      <c r="AP119" s="182"/>
      <c r="AQ119" s="185">
        <v>6038.4</v>
      </c>
      <c r="AR119" s="182">
        <v>4048.01</v>
      </c>
      <c r="AS119" s="182">
        <v>277.99</v>
      </c>
      <c r="AT119" s="182">
        <v>1454.9</v>
      </c>
      <c r="AU119" s="182">
        <v>257.5</v>
      </c>
      <c r="AV119" s="182"/>
      <c r="AW119" s="182"/>
      <c r="AX119" s="182"/>
      <c r="AY119" s="182"/>
      <c r="AZ119" s="182"/>
      <c r="BA119" s="182"/>
      <c r="BB119" s="182"/>
      <c r="BC119" s="182"/>
      <c r="BD119" s="182"/>
      <c r="BE119" s="182"/>
      <c r="BF119" s="182"/>
      <c r="BG119" s="182"/>
      <c r="BH119" s="182"/>
      <c r="BI119" s="182"/>
      <c r="BJ119" s="182"/>
      <c r="BK119" s="182"/>
      <c r="BL119" s="182"/>
      <c r="BM119" s="182"/>
      <c r="BN119" s="182"/>
      <c r="BO119" s="182"/>
      <c r="BP119" s="182"/>
      <c r="BQ119" s="182"/>
      <c r="BR119" s="182"/>
      <c r="BS119" s="182"/>
      <c r="BT119" s="182"/>
      <c r="BU119" s="182"/>
      <c r="BV119" s="182"/>
      <c r="BW119" s="182"/>
      <c r="BX119" s="182"/>
      <c r="BY119" s="182"/>
      <c r="BZ119" s="182"/>
      <c r="CA119" s="182"/>
      <c r="CB119" s="185">
        <v>6038.4</v>
      </c>
      <c r="CC119" s="185">
        <v>0</v>
      </c>
      <c r="CD119" s="185">
        <v>1477</v>
      </c>
      <c r="CE119" s="185"/>
    </row>
    <row r="120" spans="2:83" x14ac:dyDescent="0.3">
      <c r="B120" s="182">
        <v>2564</v>
      </c>
      <c r="C120" s="182">
        <v>1478</v>
      </c>
      <c r="D120" s="182" t="s">
        <v>130</v>
      </c>
      <c r="E120" s="181" t="s">
        <v>4120</v>
      </c>
      <c r="F120" s="182"/>
      <c r="G120" s="182">
        <v>900</v>
      </c>
      <c r="H120" s="182"/>
      <c r="I120" s="182"/>
      <c r="J120" s="182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5">
        <v>900</v>
      </c>
      <c r="AR120" s="182">
        <v>679.24</v>
      </c>
      <c r="AS120" s="182">
        <v>175.76</v>
      </c>
      <c r="AT120" s="182"/>
      <c r="AU120" s="182">
        <v>45</v>
      </c>
      <c r="AV120" s="182"/>
      <c r="AW120" s="182"/>
      <c r="AX120" s="182"/>
      <c r="AY120" s="182"/>
      <c r="AZ120" s="182"/>
      <c r="BA120" s="182"/>
      <c r="BB120" s="182"/>
      <c r="BC120" s="182"/>
      <c r="BD120" s="182"/>
      <c r="BE120" s="182"/>
      <c r="BF120" s="182"/>
      <c r="BG120" s="182"/>
      <c r="BH120" s="182"/>
      <c r="BI120" s="182"/>
      <c r="BJ120" s="182"/>
      <c r="BK120" s="182"/>
      <c r="BL120" s="182"/>
      <c r="BM120" s="182"/>
      <c r="BN120" s="182"/>
      <c r="BO120" s="182"/>
      <c r="BP120" s="182"/>
      <c r="BQ120" s="182"/>
      <c r="BR120" s="182"/>
      <c r="BS120" s="182"/>
      <c r="BT120" s="182"/>
      <c r="BU120" s="182"/>
      <c r="BV120" s="182"/>
      <c r="BW120" s="182"/>
      <c r="BX120" s="182"/>
      <c r="BY120" s="182"/>
      <c r="BZ120" s="182"/>
      <c r="CA120" s="182"/>
      <c r="CB120" s="185">
        <v>900</v>
      </c>
      <c r="CC120" s="185">
        <v>0</v>
      </c>
      <c r="CD120" s="185">
        <v>1478</v>
      </c>
      <c r="CE120" s="185"/>
    </row>
    <row r="121" spans="2:83" x14ac:dyDescent="0.3">
      <c r="B121" s="182">
        <v>2379</v>
      </c>
      <c r="C121" s="182">
        <v>1479</v>
      </c>
      <c r="D121" s="182" t="s">
        <v>78</v>
      </c>
      <c r="E121" s="181" t="s">
        <v>1929</v>
      </c>
      <c r="F121" s="182"/>
      <c r="G121" s="182">
        <v>38775.870000000003</v>
      </c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5">
        <v>38775.870000000003</v>
      </c>
      <c r="AR121" s="182">
        <v>33517.82</v>
      </c>
      <c r="AS121" s="182">
        <v>4102.05</v>
      </c>
      <c r="AT121" s="182">
        <v>1156</v>
      </c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5">
        <v>38775.870000000003</v>
      </c>
      <c r="CC121" s="185">
        <v>0</v>
      </c>
      <c r="CD121" s="185">
        <v>1479</v>
      </c>
      <c r="CE121" s="185"/>
    </row>
    <row r="122" spans="2:83" x14ac:dyDescent="0.3">
      <c r="B122" s="182">
        <v>2378</v>
      </c>
      <c r="C122" s="182">
        <v>1480</v>
      </c>
      <c r="D122" s="182" t="s">
        <v>78</v>
      </c>
      <c r="E122" s="181" t="s">
        <v>1929</v>
      </c>
      <c r="F122" s="182"/>
      <c r="G122" s="182">
        <v>31063.45</v>
      </c>
      <c r="H122" s="182"/>
      <c r="I122" s="182"/>
      <c r="J122" s="182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5">
        <v>31063.45</v>
      </c>
      <c r="AR122" s="182">
        <v>25538.36</v>
      </c>
      <c r="AS122" s="182">
        <v>3144.8</v>
      </c>
      <c r="AT122" s="182">
        <v>2380.29</v>
      </c>
      <c r="AU122" s="182"/>
      <c r="AV122" s="182"/>
      <c r="AW122" s="182"/>
      <c r="AX122" s="182"/>
      <c r="AY122" s="182"/>
      <c r="AZ122" s="182"/>
      <c r="BA122" s="182"/>
      <c r="BB122" s="182"/>
      <c r="BC122" s="182"/>
      <c r="BD122" s="182"/>
      <c r="BE122" s="182"/>
      <c r="BF122" s="182"/>
      <c r="BG122" s="182"/>
      <c r="BH122" s="182"/>
      <c r="BI122" s="182"/>
      <c r="BJ122" s="182"/>
      <c r="BK122" s="182"/>
      <c r="BL122" s="182"/>
      <c r="BM122" s="182"/>
      <c r="BN122" s="182"/>
      <c r="BO122" s="182"/>
      <c r="BP122" s="182"/>
      <c r="BQ122" s="182"/>
      <c r="BR122" s="182"/>
      <c r="BS122" s="182"/>
      <c r="BT122" s="182"/>
      <c r="BU122" s="182"/>
      <c r="BV122" s="182"/>
      <c r="BW122" s="182"/>
      <c r="BX122" s="182"/>
      <c r="BY122" s="182"/>
      <c r="BZ122" s="182"/>
      <c r="CA122" s="182"/>
      <c r="CB122" s="185">
        <v>31063.45</v>
      </c>
      <c r="CC122" s="185">
        <v>0</v>
      </c>
      <c r="CD122" s="185">
        <v>1480</v>
      </c>
      <c r="CE122" s="185"/>
    </row>
    <row r="123" spans="2:83" x14ac:dyDescent="0.3">
      <c r="B123" s="182">
        <v>2381</v>
      </c>
      <c r="C123" s="182">
        <v>1481</v>
      </c>
      <c r="D123" s="182" t="s">
        <v>78</v>
      </c>
      <c r="E123" s="181" t="s">
        <v>1929</v>
      </c>
      <c r="F123" s="182"/>
      <c r="G123" s="182">
        <v>30391.200000000001</v>
      </c>
      <c r="H123" s="182"/>
      <c r="I123" s="182"/>
      <c r="J123" s="182"/>
      <c r="K123" s="182"/>
      <c r="L123" s="182"/>
      <c r="M123" s="182"/>
      <c r="N123" s="182"/>
      <c r="O123" s="182"/>
      <c r="P123" s="182"/>
      <c r="Q123" s="182"/>
      <c r="R123" s="182"/>
      <c r="S123" s="182"/>
      <c r="T123" s="182"/>
      <c r="U123" s="182"/>
      <c r="V123" s="182"/>
      <c r="W123" s="182"/>
      <c r="X123" s="182"/>
      <c r="Y123" s="182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5">
        <v>30391.200000000001</v>
      </c>
      <c r="AR123" s="182">
        <v>20372.2</v>
      </c>
      <c r="AS123" s="182">
        <v>2696.6</v>
      </c>
      <c r="AT123" s="182">
        <v>7322.4</v>
      </c>
      <c r="AU123" s="182"/>
      <c r="AV123" s="182"/>
      <c r="AW123" s="182"/>
      <c r="AX123" s="182"/>
      <c r="AY123" s="182"/>
      <c r="AZ123" s="182"/>
      <c r="BA123" s="182"/>
      <c r="BB123" s="182"/>
      <c r="BC123" s="182"/>
      <c r="BD123" s="182"/>
      <c r="BE123" s="182"/>
      <c r="BF123" s="182"/>
      <c r="BG123" s="182"/>
      <c r="BH123" s="182"/>
      <c r="BI123" s="182"/>
      <c r="BJ123" s="182"/>
      <c r="BK123" s="182"/>
      <c r="BL123" s="182"/>
      <c r="BM123" s="182"/>
      <c r="BN123" s="182"/>
      <c r="BO123" s="182"/>
      <c r="BP123" s="182"/>
      <c r="BQ123" s="182"/>
      <c r="BR123" s="182"/>
      <c r="BS123" s="182"/>
      <c r="BT123" s="182"/>
      <c r="BU123" s="182"/>
      <c r="BV123" s="182"/>
      <c r="BW123" s="182"/>
      <c r="BX123" s="182"/>
      <c r="BY123" s="182"/>
      <c r="BZ123" s="182"/>
      <c r="CA123" s="182"/>
      <c r="CB123" s="185">
        <v>30391.199999999997</v>
      </c>
      <c r="CC123" s="185">
        <v>0</v>
      </c>
      <c r="CD123" s="185">
        <v>1481</v>
      </c>
      <c r="CE123" s="185"/>
    </row>
    <row r="124" spans="2:83" x14ac:dyDescent="0.3">
      <c r="B124" s="182">
        <v>2380</v>
      </c>
      <c r="C124" s="182">
        <v>1482</v>
      </c>
      <c r="D124" s="182" t="s">
        <v>78</v>
      </c>
      <c r="E124" s="181" t="s">
        <v>1929</v>
      </c>
      <c r="F124" s="182"/>
      <c r="G124" s="182">
        <v>10130.4</v>
      </c>
      <c r="H124" s="182"/>
      <c r="I124" s="182"/>
      <c r="J124" s="182"/>
      <c r="K124" s="182"/>
      <c r="L124" s="182"/>
      <c r="M124" s="182"/>
      <c r="N124" s="182"/>
      <c r="O124" s="182"/>
      <c r="P124" s="182"/>
      <c r="Q124" s="182"/>
      <c r="R124" s="182"/>
      <c r="S124" s="182"/>
      <c r="T124" s="182"/>
      <c r="U124" s="182"/>
      <c r="V124" s="182"/>
      <c r="W124" s="182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2"/>
      <c r="AH124" s="182"/>
      <c r="AI124" s="182"/>
      <c r="AJ124" s="182"/>
      <c r="AK124" s="182"/>
      <c r="AL124" s="182"/>
      <c r="AM124" s="182"/>
      <c r="AN124" s="182"/>
      <c r="AO124" s="182"/>
      <c r="AP124" s="182"/>
      <c r="AQ124" s="185">
        <v>10130.4</v>
      </c>
      <c r="AR124" s="182">
        <v>6769</v>
      </c>
      <c r="AS124" s="182">
        <v>920.6</v>
      </c>
      <c r="AT124" s="182">
        <v>2440.8000000000002</v>
      </c>
      <c r="AU124" s="182"/>
      <c r="AV124" s="182"/>
      <c r="AW124" s="182"/>
      <c r="AX124" s="182"/>
      <c r="AY124" s="182"/>
      <c r="AZ124" s="182"/>
      <c r="BA124" s="182"/>
      <c r="BB124" s="182"/>
      <c r="BC124" s="182"/>
      <c r="BD124" s="182"/>
      <c r="BE124" s="182"/>
      <c r="BF124" s="182"/>
      <c r="BG124" s="182"/>
      <c r="BH124" s="182"/>
      <c r="BI124" s="182"/>
      <c r="BJ124" s="182"/>
      <c r="BK124" s="182"/>
      <c r="BL124" s="182"/>
      <c r="BM124" s="182"/>
      <c r="BN124" s="182"/>
      <c r="BO124" s="182"/>
      <c r="BP124" s="182"/>
      <c r="BQ124" s="182"/>
      <c r="BR124" s="182"/>
      <c r="BS124" s="182"/>
      <c r="BT124" s="182"/>
      <c r="BU124" s="182"/>
      <c r="BV124" s="182"/>
      <c r="BW124" s="182"/>
      <c r="BX124" s="182"/>
      <c r="BY124" s="182"/>
      <c r="BZ124" s="182"/>
      <c r="CA124" s="182"/>
      <c r="CB124" s="185">
        <v>10130.400000000001</v>
      </c>
      <c r="CC124" s="185">
        <v>0</v>
      </c>
      <c r="CD124" s="185">
        <v>1482</v>
      </c>
      <c r="CE124" s="185"/>
    </row>
    <row r="125" spans="2:83" x14ac:dyDescent="0.3">
      <c r="B125" s="182">
        <v>1926</v>
      </c>
      <c r="C125" s="182">
        <v>1483</v>
      </c>
      <c r="D125" s="182" t="s">
        <v>78</v>
      </c>
      <c r="E125" s="181" t="s">
        <v>581</v>
      </c>
      <c r="F125" s="182"/>
      <c r="G125" s="182">
        <v>8160</v>
      </c>
      <c r="H125" s="182"/>
      <c r="I125" s="182"/>
      <c r="J125" s="182"/>
      <c r="K125" s="182"/>
      <c r="L125" s="182"/>
      <c r="M125" s="182"/>
      <c r="N125" s="182"/>
      <c r="O125" s="182"/>
      <c r="P125" s="182"/>
      <c r="Q125" s="182"/>
      <c r="R125" s="182"/>
      <c r="S125" s="182"/>
      <c r="T125" s="182"/>
      <c r="U125" s="182"/>
      <c r="V125" s="182"/>
      <c r="W125" s="182"/>
      <c r="X125" s="182"/>
      <c r="Y125" s="182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5">
        <v>8160</v>
      </c>
      <c r="AR125" s="182">
        <v>7279.1</v>
      </c>
      <c r="AS125" s="182">
        <v>880.9</v>
      </c>
      <c r="AT125" s="182"/>
      <c r="AU125" s="182"/>
      <c r="AV125" s="182"/>
      <c r="AW125" s="182"/>
      <c r="AX125" s="182"/>
      <c r="AY125" s="182"/>
      <c r="AZ125" s="182"/>
      <c r="BA125" s="182"/>
      <c r="BB125" s="182"/>
      <c r="BC125" s="182"/>
      <c r="BD125" s="182"/>
      <c r="BE125" s="182"/>
      <c r="BF125" s="182"/>
      <c r="BG125" s="182"/>
      <c r="BH125" s="182"/>
      <c r="BI125" s="182"/>
      <c r="BJ125" s="182"/>
      <c r="BK125" s="182"/>
      <c r="BL125" s="182"/>
      <c r="BM125" s="182"/>
      <c r="BN125" s="182"/>
      <c r="BO125" s="182"/>
      <c r="BP125" s="182"/>
      <c r="BQ125" s="182"/>
      <c r="BR125" s="182"/>
      <c r="BS125" s="182"/>
      <c r="BT125" s="182"/>
      <c r="BU125" s="182"/>
      <c r="BV125" s="182"/>
      <c r="BW125" s="182"/>
      <c r="BX125" s="182"/>
      <c r="BY125" s="182"/>
      <c r="BZ125" s="182"/>
      <c r="CA125" s="182"/>
      <c r="CB125" s="185">
        <v>8160</v>
      </c>
      <c r="CC125" s="185">
        <v>0</v>
      </c>
      <c r="CD125" s="185">
        <v>1483</v>
      </c>
      <c r="CE125" s="185"/>
    </row>
    <row r="126" spans="2:83" x14ac:dyDescent="0.3">
      <c r="B126" s="182">
        <v>1925</v>
      </c>
      <c r="C126" s="182">
        <v>1484</v>
      </c>
      <c r="D126" s="182" t="s">
        <v>78</v>
      </c>
      <c r="E126" s="181" t="s">
        <v>583</v>
      </c>
      <c r="F126" s="182"/>
      <c r="G126" s="182">
        <v>10800</v>
      </c>
      <c r="H126" s="182"/>
      <c r="I126" s="182"/>
      <c r="J126" s="182"/>
      <c r="K126" s="182"/>
      <c r="L126" s="182"/>
      <c r="M126" s="182"/>
      <c r="N126" s="182"/>
      <c r="O126" s="182"/>
      <c r="P126" s="182"/>
      <c r="Q126" s="182"/>
      <c r="R126" s="182"/>
      <c r="S126" s="182"/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5">
        <v>10800</v>
      </c>
      <c r="AR126" s="182">
        <v>9638</v>
      </c>
      <c r="AS126" s="182">
        <v>1162</v>
      </c>
      <c r="AT126" s="182"/>
      <c r="AU126" s="182"/>
      <c r="AV126" s="182"/>
      <c r="AW126" s="182"/>
      <c r="AX126" s="182"/>
      <c r="AY126" s="182"/>
      <c r="AZ126" s="182"/>
      <c r="BA126" s="182"/>
      <c r="BB126" s="182"/>
      <c r="BC126" s="182"/>
      <c r="BD126" s="182"/>
      <c r="BE126" s="182"/>
      <c r="BF126" s="182"/>
      <c r="BG126" s="182"/>
      <c r="BH126" s="182"/>
      <c r="BI126" s="182"/>
      <c r="BJ126" s="182"/>
      <c r="BK126" s="182"/>
      <c r="BL126" s="182"/>
      <c r="BM126" s="182"/>
      <c r="BN126" s="182"/>
      <c r="BO126" s="182"/>
      <c r="BP126" s="182"/>
      <c r="BQ126" s="182"/>
      <c r="BR126" s="182"/>
      <c r="BS126" s="182"/>
      <c r="BT126" s="182"/>
      <c r="BU126" s="182"/>
      <c r="BV126" s="182"/>
      <c r="BW126" s="182"/>
      <c r="BX126" s="182"/>
      <c r="BY126" s="182"/>
      <c r="BZ126" s="182"/>
      <c r="CA126" s="182"/>
      <c r="CB126" s="185">
        <v>10800</v>
      </c>
      <c r="CC126" s="185">
        <v>0</v>
      </c>
      <c r="CD126" s="185">
        <v>1484</v>
      </c>
      <c r="CE126" s="185"/>
    </row>
    <row r="127" spans="2:83" x14ac:dyDescent="0.3">
      <c r="B127" s="182">
        <v>3342</v>
      </c>
      <c r="C127" s="182">
        <v>1485</v>
      </c>
      <c r="D127" s="182" t="s">
        <v>78</v>
      </c>
      <c r="E127" s="181" t="s">
        <v>1929</v>
      </c>
      <c r="F127" s="182"/>
      <c r="G127" s="182">
        <v>9701.3799999999992</v>
      </c>
      <c r="H127" s="182"/>
      <c r="I127" s="182"/>
      <c r="J127" s="182"/>
      <c r="K127" s="182"/>
      <c r="L127" s="182"/>
      <c r="M127" s="182"/>
      <c r="N127" s="182"/>
      <c r="O127" s="182"/>
      <c r="P127" s="182"/>
      <c r="Q127" s="182"/>
      <c r="R127" s="182"/>
      <c r="S127" s="182"/>
      <c r="T127" s="182"/>
      <c r="U127" s="182"/>
      <c r="V127" s="182"/>
      <c r="W127" s="182"/>
      <c r="X127" s="182"/>
      <c r="Y127" s="182"/>
      <c r="Z127" s="182"/>
      <c r="AA127" s="182"/>
      <c r="AB127" s="182"/>
      <c r="AC127" s="182"/>
      <c r="AD127" s="182"/>
      <c r="AE127" s="182"/>
      <c r="AF127" s="182"/>
      <c r="AG127" s="182"/>
      <c r="AH127" s="182"/>
      <c r="AI127" s="182"/>
      <c r="AJ127" s="182"/>
      <c r="AK127" s="182"/>
      <c r="AL127" s="182"/>
      <c r="AM127" s="182"/>
      <c r="AN127" s="182"/>
      <c r="AO127" s="182"/>
      <c r="AP127" s="182"/>
      <c r="AQ127" s="185">
        <v>9701.3799999999992</v>
      </c>
      <c r="AR127" s="182">
        <v>7040.18</v>
      </c>
      <c r="AS127" s="182">
        <v>923</v>
      </c>
      <c r="AT127" s="182">
        <v>1738.2</v>
      </c>
      <c r="AU127" s="182"/>
      <c r="AV127" s="182"/>
      <c r="AW127" s="182"/>
      <c r="AX127" s="182"/>
      <c r="AY127" s="182"/>
      <c r="AZ127" s="182"/>
      <c r="BA127" s="182"/>
      <c r="BB127" s="182"/>
      <c r="BC127" s="182"/>
      <c r="BD127" s="182"/>
      <c r="BE127" s="182"/>
      <c r="BF127" s="182"/>
      <c r="BG127" s="182"/>
      <c r="BH127" s="182"/>
      <c r="BI127" s="182"/>
      <c r="BJ127" s="182"/>
      <c r="BK127" s="182"/>
      <c r="BL127" s="182"/>
      <c r="BM127" s="182"/>
      <c r="BN127" s="182"/>
      <c r="BO127" s="182"/>
      <c r="BP127" s="182"/>
      <c r="BQ127" s="182"/>
      <c r="BR127" s="182"/>
      <c r="BS127" s="182"/>
      <c r="BT127" s="182"/>
      <c r="BU127" s="182"/>
      <c r="BV127" s="182"/>
      <c r="BW127" s="182"/>
      <c r="BX127" s="182"/>
      <c r="BY127" s="182"/>
      <c r="BZ127" s="182"/>
      <c r="CA127" s="182"/>
      <c r="CB127" s="185">
        <v>9701.380000000001</v>
      </c>
      <c r="CC127" s="185">
        <v>0</v>
      </c>
      <c r="CD127" s="185">
        <v>1485</v>
      </c>
      <c r="CE127" s="185"/>
    </row>
    <row r="128" spans="2:83" x14ac:dyDescent="0.3">
      <c r="B128" s="182">
        <v>2383</v>
      </c>
      <c r="C128" s="182">
        <v>1486</v>
      </c>
      <c r="D128" s="182" t="s">
        <v>78</v>
      </c>
      <c r="E128" s="181" t="s">
        <v>4121</v>
      </c>
      <c r="F128" s="182"/>
      <c r="G128" s="182">
        <v>316.58</v>
      </c>
      <c r="H128" s="182"/>
      <c r="I128" s="182"/>
      <c r="J128" s="182"/>
      <c r="K128" s="182"/>
      <c r="L128" s="182"/>
      <c r="M128" s="182"/>
      <c r="N128" s="182"/>
      <c r="O128" s="182"/>
      <c r="P128" s="182"/>
      <c r="Q128" s="182"/>
      <c r="R128" s="182"/>
      <c r="S128" s="182"/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5">
        <v>316.58</v>
      </c>
      <c r="AR128" s="182">
        <v>212.05</v>
      </c>
      <c r="AS128" s="182">
        <v>28.25</v>
      </c>
      <c r="AT128" s="182">
        <v>76.28</v>
      </c>
      <c r="AU128" s="182"/>
      <c r="AV128" s="182"/>
      <c r="AW128" s="182"/>
      <c r="AX128" s="182"/>
      <c r="AY128" s="182"/>
      <c r="AZ128" s="182"/>
      <c r="BA128" s="182"/>
      <c r="BB128" s="182"/>
      <c r="BC128" s="182"/>
      <c r="BD128" s="182"/>
      <c r="BE128" s="182"/>
      <c r="BF128" s="182"/>
      <c r="BG128" s="182"/>
      <c r="BH128" s="182"/>
      <c r="BI128" s="182"/>
      <c r="BJ128" s="182"/>
      <c r="BK128" s="182"/>
      <c r="BL128" s="182"/>
      <c r="BM128" s="182"/>
      <c r="BN128" s="182"/>
      <c r="BO128" s="182"/>
      <c r="BP128" s="182"/>
      <c r="BQ128" s="182"/>
      <c r="BR128" s="182"/>
      <c r="BS128" s="182"/>
      <c r="BT128" s="182"/>
      <c r="BU128" s="182"/>
      <c r="BV128" s="182"/>
      <c r="BW128" s="182"/>
      <c r="BX128" s="182"/>
      <c r="BY128" s="182"/>
      <c r="BZ128" s="182"/>
      <c r="CA128" s="182"/>
      <c r="CB128" s="185">
        <v>316.58000000000004</v>
      </c>
      <c r="CC128" s="185">
        <v>0</v>
      </c>
      <c r="CD128" s="185">
        <v>1486</v>
      </c>
      <c r="CE128" s="185"/>
    </row>
    <row r="129" spans="2:83" x14ac:dyDescent="0.3">
      <c r="B129" s="182">
        <v>2384</v>
      </c>
      <c r="C129" s="182">
        <v>1487</v>
      </c>
      <c r="D129" s="182" t="s">
        <v>78</v>
      </c>
      <c r="E129" s="181" t="s">
        <v>1932</v>
      </c>
      <c r="F129" s="182"/>
      <c r="G129" s="182">
        <v>1160.78</v>
      </c>
      <c r="H129" s="182"/>
      <c r="I129" s="182"/>
      <c r="J129" s="182"/>
      <c r="K129" s="182"/>
      <c r="L129" s="182"/>
      <c r="M129" s="182"/>
      <c r="N129" s="182"/>
      <c r="O129" s="182"/>
      <c r="P129" s="182"/>
      <c r="Q129" s="182"/>
      <c r="R129" s="182"/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5">
        <v>1160.78</v>
      </c>
      <c r="AR129" s="182">
        <v>777.1</v>
      </c>
      <c r="AS129" s="182">
        <v>104</v>
      </c>
      <c r="AT129" s="182">
        <v>279.68</v>
      </c>
      <c r="AU129" s="182"/>
      <c r="AV129" s="182"/>
      <c r="AW129" s="182"/>
      <c r="AX129" s="182"/>
      <c r="AY129" s="182"/>
      <c r="AZ129" s="182"/>
      <c r="BA129" s="182"/>
      <c r="BB129" s="182"/>
      <c r="BC129" s="182"/>
      <c r="BD129" s="182"/>
      <c r="BE129" s="182"/>
      <c r="BF129" s="182"/>
      <c r="BG129" s="182"/>
      <c r="BH129" s="182"/>
      <c r="BI129" s="182"/>
      <c r="BJ129" s="182"/>
      <c r="BK129" s="182"/>
      <c r="BL129" s="182"/>
      <c r="BM129" s="182"/>
      <c r="BN129" s="182"/>
      <c r="BO129" s="182"/>
      <c r="BP129" s="182"/>
      <c r="BQ129" s="182"/>
      <c r="BR129" s="182"/>
      <c r="BS129" s="182"/>
      <c r="BT129" s="182"/>
      <c r="BU129" s="182"/>
      <c r="BV129" s="182"/>
      <c r="BW129" s="182"/>
      <c r="BX129" s="182"/>
      <c r="BY129" s="182"/>
      <c r="BZ129" s="182"/>
      <c r="CA129" s="182"/>
      <c r="CB129" s="185">
        <v>1160.78</v>
      </c>
      <c r="CC129" s="185">
        <v>0</v>
      </c>
      <c r="CD129" s="185">
        <v>1487</v>
      </c>
      <c r="CE129" s="185"/>
    </row>
    <row r="130" spans="2:83" x14ac:dyDescent="0.3">
      <c r="B130" s="182">
        <v>2382</v>
      </c>
      <c r="C130" s="182">
        <v>1488</v>
      </c>
      <c r="D130" s="182" t="s">
        <v>78</v>
      </c>
      <c r="E130" s="181" t="s">
        <v>4121</v>
      </c>
      <c r="F130" s="182"/>
      <c r="G130" s="182">
        <v>492.45</v>
      </c>
      <c r="H130" s="182"/>
      <c r="I130" s="182"/>
      <c r="J130" s="182"/>
      <c r="K130" s="182"/>
      <c r="L130" s="182"/>
      <c r="M130" s="182"/>
      <c r="N130" s="182"/>
      <c r="O130" s="182"/>
      <c r="P130" s="182"/>
      <c r="Q130" s="182"/>
      <c r="R130" s="182"/>
      <c r="S130" s="182"/>
      <c r="T130" s="182"/>
      <c r="U130" s="182"/>
      <c r="V130" s="182"/>
      <c r="W130" s="182"/>
      <c r="X130" s="182"/>
      <c r="Y130" s="182"/>
      <c r="Z130" s="182"/>
      <c r="AA130" s="182"/>
      <c r="AB130" s="182"/>
      <c r="AC130" s="182"/>
      <c r="AD130" s="182"/>
      <c r="AE130" s="182"/>
      <c r="AF130" s="182"/>
      <c r="AG130" s="182"/>
      <c r="AH130" s="182"/>
      <c r="AI130" s="182"/>
      <c r="AJ130" s="182"/>
      <c r="AK130" s="182"/>
      <c r="AL130" s="182"/>
      <c r="AM130" s="182"/>
      <c r="AN130" s="182"/>
      <c r="AO130" s="182"/>
      <c r="AP130" s="182"/>
      <c r="AQ130" s="185">
        <v>492.45</v>
      </c>
      <c r="AR130" s="182">
        <v>329.7</v>
      </c>
      <c r="AS130" s="182">
        <v>44.1</v>
      </c>
      <c r="AT130" s="182">
        <v>118.65</v>
      </c>
      <c r="AU130" s="182"/>
      <c r="AV130" s="182"/>
      <c r="AW130" s="182"/>
      <c r="AX130" s="182"/>
      <c r="AY130" s="182"/>
      <c r="AZ130" s="182"/>
      <c r="BA130" s="182"/>
      <c r="BB130" s="182"/>
      <c r="BC130" s="182"/>
      <c r="BD130" s="182"/>
      <c r="BE130" s="182"/>
      <c r="BF130" s="182"/>
      <c r="BG130" s="182"/>
      <c r="BH130" s="182"/>
      <c r="BI130" s="182"/>
      <c r="BJ130" s="182"/>
      <c r="BK130" s="182"/>
      <c r="BL130" s="182"/>
      <c r="BM130" s="182"/>
      <c r="BN130" s="182"/>
      <c r="BO130" s="182"/>
      <c r="BP130" s="182"/>
      <c r="BQ130" s="182"/>
      <c r="BR130" s="182"/>
      <c r="BS130" s="182"/>
      <c r="BT130" s="182"/>
      <c r="BU130" s="182"/>
      <c r="BV130" s="182"/>
      <c r="BW130" s="182"/>
      <c r="BX130" s="182"/>
      <c r="BY130" s="182"/>
      <c r="BZ130" s="182"/>
      <c r="CA130" s="182"/>
      <c r="CB130" s="185">
        <v>492.45000000000005</v>
      </c>
      <c r="CC130" s="185">
        <v>0</v>
      </c>
      <c r="CD130" s="185">
        <v>1488</v>
      </c>
      <c r="CE130" s="185"/>
    </row>
    <row r="131" spans="2:83" x14ac:dyDescent="0.3">
      <c r="B131" s="182">
        <v>2385</v>
      </c>
      <c r="C131" s="182">
        <v>1489</v>
      </c>
      <c r="D131" s="182" t="s">
        <v>78</v>
      </c>
      <c r="E131" s="181" t="s">
        <v>1932</v>
      </c>
      <c r="F131" s="182"/>
      <c r="G131" s="182">
        <v>4184.09</v>
      </c>
      <c r="H131" s="182"/>
      <c r="I131" s="182"/>
      <c r="J131" s="182"/>
      <c r="K131" s="182"/>
      <c r="L131" s="182"/>
      <c r="M131" s="182"/>
      <c r="N131" s="182"/>
      <c r="O131" s="182"/>
      <c r="P131" s="182"/>
      <c r="Q131" s="182"/>
      <c r="R131" s="182"/>
      <c r="S131" s="182"/>
      <c r="T131" s="182"/>
      <c r="U131" s="182"/>
      <c r="V131" s="182"/>
      <c r="W131" s="182"/>
      <c r="X131" s="182"/>
      <c r="Y131" s="182"/>
      <c r="Z131" s="182"/>
      <c r="AA131" s="182"/>
      <c r="AB131" s="182"/>
      <c r="AC131" s="182"/>
      <c r="AD131" s="182"/>
      <c r="AE131" s="182"/>
      <c r="AF131" s="182"/>
      <c r="AG131" s="182"/>
      <c r="AH131" s="182"/>
      <c r="AI131" s="182"/>
      <c r="AJ131" s="182"/>
      <c r="AK131" s="182"/>
      <c r="AL131" s="182"/>
      <c r="AM131" s="182"/>
      <c r="AN131" s="182"/>
      <c r="AO131" s="182"/>
      <c r="AP131" s="182"/>
      <c r="AQ131" s="185">
        <v>4184.09</v>
      </c>
      <c r="AR131" s="182">
        <v>3167.39</v>
      </c>
      <c r="AS131" s="182">
        <v>404.05</v>
      </c>
      <c r="AT131" s="182">
        <v>612.65</v>
      </c>
      <c r="AU131" s="182"/>
      <c r="AV131" s="182"/>
      <c r="AW131" s="182"/>
      <c r="AX131" s="182"/>
      <c r="AY131" s="182"/>
      <c r="AZ131" s="182"/>
      <c r="BA131" s="182"/>
      <c r="BB131" s="182"/>
      <c r="BC131" s="182"/>
      <c r="BD131" s="182"/>
      <c r="BE131" s="182"/>
      <c r="BF131" s="182"/>
      <c r="BG131" s="182"/>
      <c r="BH131" s="182"/>
      <c r="BI131" s="182"/>
      <c r="BJ131" s="182"/>
      <c r="BK131" s="182"/>
      <c r="BL131" s="182"/>
      <c r="BM131" s="182"/>
      <c r="BN131" s="182"/>
      <c r="BO131" s="182"/>
      <c r="BP131" s="182"/>
      <c r="BQ131" s="182"/>
      <c r="BR131" s="182"/>
      <c r="BS131" s="182"/>
      <c r="BT131" s="182"/>
      <c r="BU131" s="182"/>
      <c r="BV131" s="182"/>
      <c r="BW131" s="182"/>
      <c r="BX131" s="182"/>
      <c r="BY131" s="182"/>
      <c r="BZ131" s="182"/>
      <c r="CA131" s="182"/>
      <c r="CB131" s="185">
        <v>4184.09</v>
      </c>
      <c r="CC131" s="185">
        <v>0</v>
      </c>
      <c r="CD131" s="185">
        <v>1489</v>
      </c>
      <c r="CE131" s="185"/>
    </row>
    <row r="132" spans="2:83" x14ac:dyDescent="0.3">
      <c r="B132" s="182">
        <v>3364</v>
      </c>
      <c r="C132" s="182">
        <v>1490</v>
      </c>
      <c r="D132" s="182" t="s">
        <v>78</v>
      </c>
      <c r="E132" s="181" t="s">
        <v>4121</v>
      </c>
      <c r="F132" s="182"/>
      <c r="G132" s="182">
        <v>1266.3</v>
      </c>
      <c r="H132" s="182"/>
      <c r="I132" s="182"/>
      <c r="J132" s="182"/>
      <c r="K132" s="182"/>
      <c r="L132" s="182"/>
      <c r="M132" s="182"/>
      <c r="N132" s="182"/>
      <c r="O132" s="182"/>
      <c r="P132" s="182"/>
      <c r="Q132" s="182"/>
      <c r="R132" s="182"/>
      <c r="S132" s="182"/>
      <c r="T132" s="182"/>
      <c r="U132" s="182"/>
      <c r="V132" s="182"/>
      <c r="W132" s="182"/>
      <c r="X132" s="182"/>
      <c r="Y132" s="182"/>
      <c r="Z132" s="182"/>
      <c r="AA132" s="182"/>
      <c r="AB132" s="182"/>
      <c r="AC132" s="182"/>
      <c r="AD132" s="182"/>
      <c r="AE132" s="182"/>
      <c r="AF132" s="182"/>
      <c r="AG132" s="182"/>
      <c r="AH132" s="182"/>
      <c r="AI132" s="182"/>
      <c r="AJ132" s="182"/>
      <c r="AK132" s="182"/>
      <c r="AL132" s="182"/>
      <c r="AM132" s="182"/>
      <c r="AN132" s="182"/>
      <c r="AO132" s="182"/>
      <c r="AP132" s="182"/>
      <c r="AQ132" s="185">
        <v>1266.3</v>
      </c>
      <c r="AR132" s="182">
        <v>847.1</v>
      </c>
      <c r="AS132" s="182">
        <v>114.1</v>
      </c>
      <c r="AT132" s="182">
        <v>305.10000000000002</v>
      </c>
      <c r="AU132" s="182"/>
      <c r="AV132" s="182"/>
      <c r="AW132" s="182"/>
      <c r="AX132" s="182"/>
      <c r="AY132" s="182"/>
      <c r="AZ132" s="182"/>
      <c r="BA132" s="182"/>
      <c r="BB132" s="182"/>
      <c r="BC132" s="182"/>
      <c r="BD132" s="182"/>
      <c r="BE132" s="182"/>
      <c r="BF132" s="182"/>
      <c r="BG132" s="182"/>
      <c r="BH132" s="182"/>
      <c r="BI132" s="182"/>
      <c r="BJ132" s="182"/>
      <c r="BK132" s="182"/>
      <c r="BL132" s="182"/>
      <c r="BM132" s="182"/>
      <c r="BN132" s="182"/>
      <c r="BO132" s="182"/>
      <c r="BP132" s="182"/>
      <c r="BQ132" s="182"/>
      <c r="BR132" s="182"/>
      <c r="BS132" s="182"/>
      <c r="BT132" s="182"/>
      <c r="BU132" s="182"/>
      <c r="BV132" s="182"/>
      <c r="BW132" s="182"/>
      <c r="BX132" s="182"/>
      <c r="BY132" s="182"/>
      <c r="BZ132" s="182"/>
      <c r="CA132" s="182"/>
      <c r="CB132" s="185">
        <v>1266.3000000000002</v>
      </c>
      <c r="CC132" s="185">
        <v>0</v>
      </c>
      <c r="CD132" s="185">
        <v>1490</v>
      </c>
      <c r="CE132" s="185"/>
    </row>
    <row r="133" spans="2:83" x14ac:dyDescent="0.3">
      <c r="B133" s="182">
        <v>2376</v>
      </c>
      <c r="C133" s="182">
        <v>1491</v>
      </c>
      <c r="D133" s="182" t="s">
        <v>78</v>
      </c>
      <c r="E133" s="181" t="s">
        <v>587</v>
      </c>
      <c r="F133" s="182"/>
      <c r="G133" s="182">
        <v>1582.88</v>
      </c>
      <c r="H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2"/>
      <c r="X133" s="182"/>
      <c r="Y133" s="182"/>
      <c r="Z133" s="182"/>
      <c r="AA133" s="182"/>
      <c r="AB133" s="182"/>
      <c r="AC133" s="182"/>
      <c r="AD133" s="182"/>
      <c r="AE133" s="182"/>
      <c r="AF133" s="182"/>
      <c r="AG133" s="182"/>
      <c r="AH133" s="182"/>
      <c r="AI133" s="182"/>
      <c r="AJ133" s="182"/>
      <c r="AK133" s="182"/>
      <c r="AL133" s="182"/>
      <c r="AM133" s="182"/>
      <c r="AN133" s="182"/>
      <c r="AO133" s="182"/>
      <c r="AP133" s="182"/>
      <c r="AQ133" s="185">
        <v>1582.88</v>
      </c>
      <c r="AR133" s="182">
        <v>1057.8499999999999</v>
      </c>
      <c r="AS133" s="182">
        <v>143.65</v>
      </c>
      <c r="AT133" s="182">
        <v>381.38</v>
      </c>
      <c r="AU133" s="182"/>
      <c r="AV133" s="182"/>
      <c r="AW133" s="182"/>
      <c r="AX133" s="182"/>
      <c r="AY133" s="182"/>
      <c r="AZ133" s="182"/>
      <c r="BA133" s="182"/>
      <c r="BB133" s="182"/>
      <c r="BC133" s="182"/>
      <c r="BD133" s="182"/>
      <c r="BE133" s="182"/>
      <c r="BF133" s="182"/>
      <c r="BG133" s="182"/>
      <c r="BH133" s="182"/>
      <c r="BI133" s="182"/>
      <c r="BJ133" s="182"/>
      <c r="BK133" s="182"/>
      <c r="BL133" s="182"/>
      <c r="BM133" s="182"/>
      <c r="BN133" s="182"/>
      <c r="BO133" s="182"/>
      <c r="BP133" s="182"/>
      <c r="BQ133" s="182"/>
      <c r="BR133" s="182"/>
      <c r="BS133" s="182"/>
      <c r="BT133" s="182"/>
      <c r="BU133" s="182"/>
      <c r="BV133" s="182"/>
      <c r="BW133" s="182"/>
      <c r="BX133" s="182"/>
      <c r="BY133" s="182"/>
      <c r="BZ133" s="182"/>
      <c r="CA133" s="182"/>
      <c r="CB133" s="185">
        <v>1582.88</v>
      </c>
      <c r="CC133" s="185">
        <v>0</v>
      </c>
      <c r="CD133" s="185">
        <v>1491</v>
      </c>
      <c r="CE133" s="185"/>
    </row>
    <row r="134" spans="2:83" x14ac:dyDescent="0.3">
      <c r="B134" s="182">
        <v>2374</v>
      </c>
      <c r="C134" s="182">
        <v>1492</v>
      </c>
      <c r="D134" s="182" t="s">
        <v>78</v>
      </c>
      <c r="E134" s="181" t="s">
        <v>587</v>
      </c>
      <c r="F134" s="182"/>
      <c r="G134" s="182">
        <v>97191.03</v>
      </c>
      <c r="H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5">
        <v>97191.03</v>
      </c>
      <c r="AR134" s="182">
        <v>85559.97</v>
      </c>
      <c r="AS134" s="182">
        <v>10171.85</v>
      </c>
      <c r="AT134" s="182">
        <v>1459.21</v>
      </c>
      <c r="AU134" s="182"/>
      <c r="AV134" s="182"/>
      <c r="AW134" s="182"/>
      <c r="AX134" s="182"/>
      <c r="AY134" s="182"/>
      <c r="AZ134" s="182"/>
      <c r="BA134" s="182"/>
      <c r="BB134" s="182"/>
      <c r="BC134" s="182"/>
      <c r="BD134" s="182"/>
      <c r="BE134" s="182"/>
      <c r="BF134" s="182"/>
      <c r="BG134" s="182"/>
      <c r="BH134" s="182"/>
      <c r="BI134" s="182"/>
      <c r="BJ134" s="182"/>
      <c r="BK134" s="182"/>
      <c r="BL134" s="182"/>
      <c r="BM134" s="182"/>
      <c r="BN134" s="182"/>
      <c r="BO134" s="182"/>
      <c r="BP134" s="182"/>
      <c r="BQ134" s="182"/>
      <c r="BR134" s="182"/>
      <c r="BS134" s="182"/>
      <c r="BT134" s="182"/>
      <c r="BU134" s="182"/>
      <c r="BV134" s="182"/>
      <c r="BW134" s="182"/>
      <c r="BX134" s="182"/>
      <c r="BY134" s="182"/>
      <c r="BZ134" s="182"/>
      <c r="CA134" s="182"/>
      <c r="CB134" s="185">
        <v>97191.030000000013</v>
      </c>
      <c r="CC134" s="185">
        <v>0</v>
      </c>
      <c r="CD134" s="185">
        <v>1492</v>
      </c>
      <c r="CE134" s="185"/>
    </row>
    <row r="135" spans="2:83" x14ac:dyDescent="0.3">
      <c r="B135" s="182">
        <v>2377</v>
      </c>
      <c r="C135" s="182">
        <v>1493</v>
      </c>
      <c r="D135" s="182" t="s">
        <v>78</v>
      </c>
      <c r="E135" s="181" t="s">
        <v>587</v>
      </c>
      <c r="F135" s="182"/>
      <c r="G135" s="182">
        <v>25927.67</v>
      </c>
      <c r="H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5">
        <v>25927.67</v>
      </c>
      <c r="AR135" s="182">
        <v>20717.87</v>
      </c>
      <c r="AS135" s="182">
        <v>2544.1999999999998</v>
      </c>
      <c r="AT135" s="182">
        <v>2665.6</v>
      </c>
      <c r="AU135" s="182"/>
      <c r="AV135" s="182"/>
      <c r="AW135" s="182"/>
      <c r="AX135" s="182"/>
      <c r="AY135" s="182"/>
      <c r="AZ135" s="182"/>
      <c r="BA135" s="182"/>
      <c r="BB135" s="182"/>
      <c r="BC135" s="182"/>
      <c r="BD135" s="182"/>
      <c r="BE135" s="182"/>
      <c r="BF135" s="182"/>
      <c r="BG135" s="182"/>
      <c r="BH135" s="182"/>
      <c r="BI135" s="182"/>
      <c r="BJ135" s="182"/>
      <c r="BK135" s="182"/>
      <c r="BL135" s="182"/>
      <c r="BM135" s="182"/>
      <c r="BN135" s="182"/>
      <c r="BO135" s="182"/>
      <c r="BP135" s="182"/>
      <c r="BQ135" s="182"/>
      <c r="BR135" s="182"/>
      <c r="BS135" s="182"/>
      <c r="BT135" s="182"/>
      <c r="BU135" s="182"/>
      <c r="BV135" s="182"/>
      <c r="BW135" s="182"/>
      <c r="BX135" s="182"/>
      <c r="BY135" s="182"/>
      <c r="BZ135" s="182"/>
      <c r="CA135" s="182"/>
      <c r="CB135" s="185">
        <v>25927.67</v>
      </c>
      <c r="CC135" s="185">
        <v>0</v>
      </c>
      <c r="CD135" s="185">
        <v>1493</v>
      </c>
      <c r="CE135" s="185"/>
    </row>
    <row r="136" spans="2:83" x14ac:dyDescent="0.3">
      <c r="B136" s="182">
        <v>2375</v>
      </c>
      <c r="C136" s="182">
        <v>1494</v>
      </c>
      <c r="D136" s="182" t="s">
        <v>78</v>
      </c>
      <c r="E136" s="181" t="s">
        <v>587</v>
      </c>
      <c r="F136" s="182"/>
      <c r="G136" s="182">
        <v>4748.63</v>
      </c>
      <c r="H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2"/>
      <c r="X136" s="182"/>
      <c r="Y136" s="182"/>
      <c r="Z136" s="182"/>
      <c r="AA136" s="182"/>
      <c r="AB136" s="182"/>
      <c r="AC136" s="182"/>
      <c r="AD136" s="182"/>
      <c r="AE136" s="182"/>
      <c r="AF136" s="182"/>
      <c r="AG136" s="182"/>
      <c r="AH136" s="182"/>
      <c r="AI136" s="182"/>
      <c r="AJ136" s="182"/>
      <c r="AK136" s="182"/>
      <c r="AL136" s="182"/>
      <c r="AM136" s="182"/>
      <c r="AN136" s="182"/>
      <c r="AO136" s="182"/>
      <c r="AP136" s="182"/>
      <c r="AQ136" s="185">
        <v>4748.63</v>
      </c>
      <c r="AR136" s="182">
        <v>3173.2</v>
      </c>
      <c r="AS136" s="182">
        <v>431.3</v>
      </c>
      <c r="AT136" s="182">
        <v>1144.1300000000001</v>
      </c>
      <c r="AU136" s="182"/>
      <c r="AV136" s="182"/>
      <c r="AW136" s="182"/>
      <c r="AX136" s="182"/>
      <c r="AY136" s="182"/>
      <c r="AZ136" s="182"/>
      <c r="BA136" s="182"/>
      <c r="BB136" s="182"/>
      <c r="BC136" s="182"/>
      <c r="BD136" s="182"/>
      <c r="BE136" s="182"/>
      <c r="BF136" s="182"/>
      <c r="BG136" s="182"/>
      <c r="BH136" s="182"/>
      <c r="BI136" s="182"/>
      <c r="BJ136" s="182"/>
      <c r="BK136" s="182"/>
      <c r="BL136" s="182"/>
      <c r="BM136" s="182"/>
      <c r="BN136" s="182"/>
      <c r="BO136" s="182"/>
      <c r="BP136" s="182"/>
      <c r="BQ136" s="182"/>
      <c r="BR136" s="182"/>
      <c r="BS136" s="182"/>
      <c r="BT136" s="182"/>
      <c r="BU136" s="182"/>
      <c r="BV136" s="182"/>
      <c r="BW136" s="182"/>
      <c r="BX136" s="182"/>
      <c r="BY136" s="182"/>
      <c r="BZ136" s="182"/>
      <c r="CA136" s="182"/>
      <c r="CB136" s="185">
        <v>4748.63</v>
      </c>
      <c r="CC136" s="185">
        <v>0</v>
      </c>
      <c r="CD136" s="185">
        <v>1494</v>
      </c>
      <c r="CE136" s="185"/>
    </row>
    <row r="137" spans="2:83" x14ac:dyDescent="0.3">
      <c r="B137" s="182">
        <v>3363</v>
      </c>
      <c r="C137" s="182">
        <v>1495</v>
      </c>
      <c r="D137" s="182" t="s">
        <v>78</v>
      </c>
      <c r="E137" s="181" t="s">
        <v>587</v>
      </c>
      <c r="F137" s="182"/>
      <c r="G137" s="182">
        <v>6239.88</v>
      </c>
      <c r="H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2"/>
      <c r="X137" s="182"/>
      <c r="Y137" s="182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5">
        <v>6239.88</v>
      </c>
      <c r="AR137" s="182">
        <v>4288.62</v>
      </c>
      <c r="AS137" s="182">
        <v>575.79999999999995</v>
      </c>
      <c r="AT137" s="182">
        <v>1375.46</v>
      </c>
      <c r="AU137" s="182"/>
      <c r="AV137" s="182"/>
      <c r="AW137" s="182"/>
      <c r="AX137" s="182"/>
      <c r="AY137" s="182"/>
      <c r="AZ137" s="182"/>
      <c r="BA137" s="182"/>
      <c r="BB137" s="182"/>
      <c r="BC137" s="182"/>
      <c r="BD137" s="182"/>
      <c r="BE137" s="182"/>
      <c r="BF137" s="182"/>
      <c r="BG137" s="182"/>
      <c r="BH137" s="182"/>
      <c r="BI137" s="182"/>
      <c r="BJ137" s="182"/>
      <c r="BK137" s="182"/>
      <c r="BL137" s="182"/>
      <c r="BM137" s="182"/>
      <c r="BN137" s="182"/>
      <c r="BO137" s="182"/>
      <c r="BP137" s="182"/>
      <c r="BQ137" s="182"/>
      <c r="BR137" s="182"/>
      <c r="BS137" s="182"/>
      <c r="BT137" s="182"/>
      <c r="BU137" s="182"/>
      <c r="BV137" s="182"/>
      <c r="BW137" s="182"/>
      <c r="BX137" s="182"/>
      <c r="BY137" s="182"/>
      <c r="BZ137" s="182"/>
      <c r="CA137" s="182"/>
      <c r="CB137" s="185">
        <v>6239.88</v>
      </c>
      <c r="CC137" s="185">
        <v>0</v>
      </c>
      <c r="CD137" s="185">
        <v>1495</v>
      </c>
      <c r="CE137" s="185"/>
    </row>
    <row r="138" spans="2:83" x14ac:dyDescent="0.3">
      <c r="B138" s="182">
        <v>2369</v>
      </c>
      <c r="C138" s="182">
        <v>1496</v>
      </c>
      <c r="D138" s="182" t="s">
        <v>78</v>
      </c>
      <c r="E138" s="181" t="s">
        <v>4122</v>
      </c>
      <c r="F138" s="182"/>
      <c r="G138" s="182">
        <v>633.15</v>
      </c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2"/>
      <c r="X138" s="182"/>
      <c r="Y138" s="182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  <c r="AN138" s="182"/>
      <c r="AO138" s="182"/>
      <c r="AP138" s="182"/>
      <c r="AQ138" s="185">
        <v>633.15</v>
      </c>
      <c r="AR138" s="182">
        <v>423.55</v>
      </c>
      <c r="AS138" s="182">
        <v>57.05</v>
      </c>
      <c r="AT138" s="182">
        <v>152.55000000000001</v>
      </c>
      <c r="AU138" s="182"/>
      <c r="AV138" s="182"/>
      <c r="AW138" s="182"/>
      <c r="AX138" s="182"/>
      <c r="AY138" s="182"/>
      <c r="AZ138" s="182"/>
      <c r="BA138" s="182"/>
      <c r="BB138" s="182"/>
      <c r="BC138" s="182"/>
      <c r="BD138" s="182"/>
      <c r="BE138" s="182"/>
      <c r="BF138" s="182"/>
      <c r="BG138" s="182"/>
      <c r="BH138" s="182"/>
      <c r="BI138" s="182"/>
      <c r="BJ138" s="182"/>
      <c r="BK138" s="182"/>
      <c r="BL138" s="182"/>
      <c r="BM138" s="182"/>
      <c r="BN138" s="182"/>
      <c r="BO138" s="182"/>
      <c r="BP138" s="182"/>
      <c r="BQ138" s="182"/>
      <c r="BR138" s="182"/>
      <c r="BS138" s="182"/>
      <c r="BT138" s="182"/>
      <c r="BU138" s="182"/>
      <c r="BV138" s="182"/>
      <c r="BW138" s="182"/>
      <c r="BX138" s="182"/>
      <c r="BY138" s="182"/>
      <c r="BZ138" s="182"/>
      <c r="CA138" s="182"/>
      <c r="CB138" s="185">
        <v>633.15000000000009</v>
      </c>
      <c r="CC138" s="185">
        <v>0</v>
      </c>
      <c r="CD138" s="185">
        <v>1496</v>
      </c>
      <c r="CE138" s="185"/>
    </row>
    <row r="139" spans="2:83" x14ac:dyDescent="0.3">
      <c r="B139" s="182">
        <v>2370</v>
      </c>
      <c r="C139" s="182">
        <v>1497</v>
      </c>
      <c r="D139" s="182" t="s">
        <v>78</v>
      </c>
      <c r="E139" s="181" t="s">
        <v>4122</v>
      </c>
      <c r="F139" s="182"/>
      <c r="G139" s="182">
        <v>633.15</v>
      </c>
      <c r="H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2"/>
      <c r="X139" s="182"/>
      <c r="Y139" s="182"/>
      <c r="Z139" s="182"/>
      <c r="AA139" s="182"/>
      <c r="AB139" s="182"/>
      <c r="AC139" s="182"/>
      <c r="AD139" s="182"/>
      <c r="AE139" s="182"/>
      <c r="AF139" s="182"/>
      <c r="AG139" s="182"/>
      <c r="AH139" s="182"/>
      <c r="AI139" s="182"/>
      <c r="AJ139" s="182"/>
      <c r="AK139" s="182"/>
      <c r="AL139" s="182"/>
      <c r="AM139" s="182"/>
      <c r="AN139" s="182"/>
      <c r="AO139" s="182"/>
      <c r="AP139" s="182"/>
      <c r="AQ139" s="185">
        <v>633.15</v>
      </c>
      <c r="AR139" s="182">
        <v>423.55</v>
      </c>
      <c r="AS139" s="182">
        <v>57.05</v>
      </c>
      <c r="AT139" s="182">
        <v>152.55000000000001</v>
      </c>
      <c r="AU139" s="182"/>
      <c r="AV139" s="182"/>
      <c r="AW139" s="182"/>
      <c r="AX139" s="182"/>
      <c r="AY139" s="182"/>
      <c r="AZ139" s="182"/>
      <c r="BA139" s="182"/>
      <c r="BB139" s="182"/>
      <c r="BC139" s="182"/>
      <c r="BD139" s="182"/>
      <c r="BE139" s="182"/>
      <c r="BF139" s="182"/>
      <c r="BG139" s="182"/>
      <c r="BH139" s="182"/>
      <c r="BI139" s="182"/>
      <c r="BJ139" s="182"/>
      <c r="BK139" s="182"/>
      <c r="BL139" s="182"/>
      <c r="BM139" s="182"/>
      <c r="BN139" s="182"/>
      <c r="BO139" s="182"/>
      <c r="BP139" s="182"/>
      <c r="BQ139" s="182"/>
      <c r="BR139" s="182"/>
      <c r="BS139" s="182"/>
      <c r="BT139" s="182"/>
      <c r="BU139" s="182"/>
      <c r="BV139" s="182"/>
      <c r="BW139" s="182"/>
      <c r="BX139" s="182"/>
      <c r="BY139" s="182"/>
      <c r="BZ139" s="182"/>
      <c r="CA139" s="182"/>
      <c r="CB139" s="185">
        <v>633.15000000000009</v>
      </c>
      <c r="CC139" s="185">
        <v>0</v>
      </c>
      <c r="CD139" s="185">
        <v>1497</v>
      </c>
      <c r="CE139" s="185"/>
    </row>
    <row r="140" spans="2:83" x14ac:dyDescent="0.3">
      <c r="B140" s="182">
        <v>2372</v>
      </c>
      <c r="C140" s="182">
        <v>1498</v>
      </c>
      <c r="D140" s="182" t="s">
        <v>78</v>
      </c>
      <c r="E140" s="181" t="s">
        <v>4122</v>
      </c>
      <c r="F140" s="182"/>
      <c r="G140" s="182">
        <v>2216.0300000000002</v>
      </c>
      <c r="H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5">
        <v>2216.0300000000002</v>
      </c>
      <c r="AR140" s="182">
        <v>1481.45</v>
      </c>
      <c r="AS140" s="182">
        <v>200.65</v>
      </c>
      <c r="AT140" s="182">
        <v>533.92999999999995</v>
      </c>
      <c r="AU140" s="182"/>
      <c r="AV140" s="182"/>
      <c r="AW140" s="182"/>
      <c r="AX140" s="182"/>
      <c r="AY140" s="182"/>
      <c r="AZ140" s="182"/>
      <c r="BA140" s="182"/>
      <c r="BB140" s="182"/>
      <c r="BC140" s="182"/>
      <c r="BD140" s="182"/>
      <c r="BE140" s="182"/>
      <c r="BF140" s="182"/>
      <c r="BG140" s="182"/>
      <c r="BH140" s="182"/>
      <c r="BI140" s="182"/>
      <c r="BJ140" s="182"/>
      <c r="BK140" s="182"/>
      <c r="BL140" s="182"/>
      <c r="BM140" s="182"/>
      <c r="BN140" s="182"/>
      <c r="BO140" s="182"/>
      <c r="BP140" s="182"/>
      <c r="BQ140" s="182"/>
      <c r="BR140" s="182"/>
      <c r="BS140" s="182"/>
      <c r="BT140" s="182"/>
      <c r="BU140" s="182"/>
      <c r="BV140" s="182"/>
      <c r="BW140" s="182"/>
      <c r="BX140" s="182"/>
      <c r="BY140" s="182"/>
      <c r="BZ140" s="182"/>
      <c r="CA140" s="182"/>
      <c r="CB140" s="185">
        <v>2216.0300000000002</v>
      </c>
      <c r="CC140" s="185">
        <v>0</v>
      </c>
      <c r="CD140" s="185">
        <v>1498</v>
      </c>
      <c r="CE140" s="185"/>
    </row>
    <row r="141" spans="2:83" x14ac:dyDescent="0.3">
      <c r="B141" s="182">
        <v>2368</v>
      </c>
      <c r="C141" s="182">
        <v>1499</v>
      </c>
      <c r="D141" s="182" t="s">
        <v>78</v>
      </c>
      <c r="E141" s="181" t="s">
        <v>4122</v>
      </c>
      <c r="F141" s="182"/>
      <c r="G141" s="182">
        <v>633.15</v>
      </c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5">
        <v>633.15</v>
      </c>
      <c r="AR141" s="182">
        <v>423.55</v>
      </c>
      <c r="AS141" s="182">
        <v>57.05</v>
      </c>
      <c r="AT141" s="182">
        <v>152.55000000000001</v>
      </c>
      <c r="AU141" s="182"/>
      <c r="AV141" s="182"/>
      <c r="AW141" s="182"/>
      <c r="AX141" s="182"/>
      <c r="AY141" s="182"/>
      <c r="AZ141" s="182"/>
      <c r="BA141" s="182"/>
      <c r="BB141" s="182"/>
      <c r="BC141" s="182"/>
      <c r="BD141" s="182"/>
      <c r="BE141" s="182"/>
      <c r="BF141" s="182"/>
      <c r="BG141" s="182"/>
      <c r="BH141" s="182"/>
      <c r="BI141" s="182"/>
      <c r="BJ141" s="182"/>
      <c r="BK141" s="182"/>
      <c r="BL141" s="182"/>
      <c r="BM141" s="182"/>
      <c r="BN141" s="182"/>
      <c r="BO141" s="182"/>
      <c r="BP141" s="182"/>
      <c r="BQ141" s="182"/>
      <c r="BR141" s="182"/>
      <c r="BS141" s="182"/>
      <c r="BT141" s="182"/>
      <c r="BU141" s="182"/>
      <c r="BV141" s="182"/>
      <c r="BW141" s="182"/>
      <c r="BX141" s="182"/>
      <c r="BY141" s="182"/>
      <c r="BZ141" s="182"/>
      <c r="CA141" s="182"/>
      <c r="CB141" s="185">
        <v>633.15000000000009</v>
      </c>
      <c r="CC141" s="185">
        <v>0</v>
      </c>
      <c r="CD141" s="185">
        <v>1499</v>
      </c>
      <c r="CE141" s="185"/>
    </row>
    <row r="142" spans="2:83" x14ac:dyDescent="0.3">
      <c r="B142" s="182">
        <v>2373</v>
      </c>
      <c r="C142" s="182">
        <v>1500</v>
      </c>
      <c r="D142" s="182" t="s">
        <v>78</v>
      </c>
      <c r="E142" s="181" t="s">
        <v>4122</v>
      </c>
      <c r="F142" s="182"/>
      <c r="G142" s="182">
        <v>1477.35</v>
      </c>
      <c r="H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  <c r="Z142" s="182"/>
      <c r="AA142" s="182"/>
      <c r="AB142" s="182"/>
      <c r="AC142" s="182"/>
      <c r="AD142" s="182"/>
      <c r="AE142" s="182"/>
      <c r="AF142" s="182"/>
      <c r="AG142" s="182"/>
      <c r="AH142" s="182"/>
      <c r="AI142" s="182"/>
      <c r="AJ142" s="182"/>
      <c r="AK142" s="182"/>
      <c r="AL142" s="182"/>
      <c r="AM142" s="182"/>
      <c r="AN142" s="182"/>
      <c r="AO142" s="182"/>
      <c r="AP142" s="182"/>
      <c r="AQ142" s="185">
        <v>1477.35</v>
      </c>
      <c r="AR142" s="182">
        <v>987.35</v>
      </c>
      <c r="AS142" s="182">
        <v>134.05000000000001</v>
      </c>
      <c r="AT142" s="182">
        <v>355.95</v>
      </c>
      <c r="AU142" s="182"/>
      <c r="AV142" s="182"/>
      <c r="AW142" s="182"/>
      <c r="AX142" s="182"/>
      <c r="AY142" s="182"/>
      <c r="AZ142" s="182"/>
      <c r="BA142" s="182"/>
      <c r="BB142" s="182"/>
      <c r="BC142" s="182"/>
      <c r="BD142" s="182"/>
      <c r="BE142" s="182"/>
      <c r="BF142" s="182"/>
      <c r="BG142" s="182"/>
      <c r="BH142" s="182"/>
      <c r="BI142" s="182"/>
      <c r="BJ142" s="182"/>
      <c r="BK142" s="182"/>
      <c r="BL142" s="182"/>
      <c r="BM142" s="182"/>
      <c r="BN142" s="182"/>
      <c r="BO142" s="182"/>
      <c r="BP142" s="182"/>
      <c r="BQ142" s="182"/>
      <c r="BR142" s="182"/>
      <c r="BS142" s="182"/>
      <c r="BT142" s="182"/>
      <c r="BU142" s="182"/>
      <c r="BV142" s="182"/>
      <c r="BW142" s="182"/>
      <c r="BX142" s="182"/>
      <c r="BY142" s="182"/>
      <c r="BZ142" s="182"/>
      <c r="CA142" s="182"/>
      <c r="CB142" s="185">
        <v>1477.3500000000001</v>
      </c>
      <c r="CC142" s="185">
        <v>0</v>
      </c>
      <c r="CD142" s="185">
        <v>1500</v>
      </c>
      <c r="CE142" s="185"/>
    </row>
    <row r="143" spans="2:83" x14ac:dyDescent="0.3">
      <c r="B143" s="182">
        <v>2371</v>
      </c>
      <c r="C143" s="182">
        <v>1501</v>
      </c>
      <c r="D143" s="182" t="s">
        <v>78</v>
      </c>
      <c r="E143" s="181" t="s">
        <v>4122</v>
      </c>
      <c r="F143" s="182"/>
      <c r="G143" s="182">
        <v>633.16</v>
      </c>
      <c r="H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5">
        <v>633.16</v>
      </c>
      <c r="AR143" s="182">
        <v>424.8</v>
      </c>
      <c r="AS143" s="182">
        <v>55.8</v>
      </c>
      <c r="AT143" s="182">
        <v>152.56</v>
      </c>
      <c r="AU143" s="182"/>
      <c r="AV143" s="182"/>
      <c r="AW143" s="182"/>
      <c r="AX143" s="182"/>
      <c r="AY143" s="182"/>
      <c r="AZ143" s="182"/>
      <c r="BA143" s="182"/>
      <c r="BB143" s="182"/>
      <c r="BC143" s="182"/>
      <c r="BD143" s="182"/>
      <c r="BE143" s="182"/>
      <c r="BF143" s="182"/>
      <c r="BG143" s="182"/>
      <c r="BH143" s="182"/>
      <c r="BI143" s="182"/>
      <c r="BJ143" s="182"/>
      <c r="BK143" s="182"/>
      <c r="BL143" s="182"/>
      <c r="BM143" s="182"/>
      <c r="BN143" s="182"/>
      <c r="BO143" s="182"/>
      <c r="BP143" s="182"/>
      <c r="BQ143" s="182"/>
      <c r="BR143" s="182"/>
      <c r="BS143" s="182"/>
      <c r="BT143" s="182"/>
      <c r="BU143" s="182"/>
      <c r="BV143" s="182"/>
      <c r="BW143" s="182"/>
      <c r="BX143" s="182"/>
      <c r="BY143" s="182"/>
      <c r="BZ143" s="182"/>
      <c r="CA143" s="182"/>
      <c r="CB143" s="185">
        <v>633.16000000000008</v>
      </c>
      <c r="CC143" s="185">
        <v>0</v>
      </c>
      <c r="CD143" s="185">
        <v>1501</v>
      </c>
      <c r="CE143" s="185"/>
    </row>
    <row r="144" spans="2:83" x14ac:dyDescent="0.3">
      <c r="B144" s="182">
        <v>2387</v>
      </c>
      <c r="C144" s="182">
        <v>1502</v>
      </c>
      <c r="D144" s="182" t="s">
        <v>78</v>
      </c>
      <c r="E144" s="181" t="s">
        <v>4123</v>
      </c>
      <c r="F144" s="182"/>
      <c r="G144" s="182">
        <v>9000</v>
      </c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2"/>
      <c r="X144" s="182"/>
      <c r="Y144" s="182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  <c r="AN144" s="182"/>
      <c r="AO144" s="182"/>
      <c r="AP144" s="182"/>
      <c r="AQ144" s="185">
        <v>9000</v>
      </c>
      <c r="AR144" s="182">
        <v>8028.4</v>
      </c>
      <c r="AS144" s="182">
        <v>971.6</v>
      </c>
      <c r="AT144" s="182"/>
      <c r="AU144" s="182"/>
      <c r="AV144" s="182"/>
      <c r="AW144" s="182"/>
      <c r="AX144" s="182"/>
      <c r="AY144" s="182"/>
      <c r="AZ144" s="182"/>
      <c r="BA144" s="182"/>
      <c r="BB144" s="182"/>
      <c r="BC144" s="182"/>
      <c r="BD144" s="182"/>
      <c r="BE144" s="182"/>
      <c r="BF144" s="182"/>
      <c r="BG144" s="182"/>
      <c r="BH144" s="182"/>
      <c r="BI144" s="182"/>
      <c r="BJ144" s="182"/>
      <c r="BK144" s="182"/>
      <c r="BL144" s="182"/>
      <c r="BM144" s="182"/>
      <c r="BN144" s="182"/>
      <c r="BO144" s="182"/>
      <c r="BP144" s="182"/>
      <c r="BQ144" s="182"/>
      <c r="BR144" s="182"/>
      <c r="BS144" s="182"/>
      <c r="BT144" s="182"/>
      <c r="BU144" s="182"/>
      <c r="BV144" s="182"/>
      <c r="BW144" s="182"/>
      <c r="BX144" s="182"/>
      <c r="BY144" s="182"/>
      <c r="BZ144" s="182"/>
      <c r="CA144" s="182"/>
      <c r="CB144" s="185">
        <v>9000</v>
      </c>
      <c r="CC144" s="185">
        <v>0</v>
      </c>
      <c r="CD144" s="185">
        <v>1502</v>
      </c>
      <c r="CE144" s="185"/>
    </row>
    <row r="145" spans="2:83" x14ac:dyDescent="0.3">
      <c r="B145" s="182">
        <v>2386</v>
      </c>
      <c r="C145" s="182">
        <v>1503</v>
      </c>
      <c r="D145" s="182" t="s">
        <v>78</v>
      </c>
      <c r="E145" s="181" t="s">
        <v>4123</v>
      </c>
      <c r="F145" s="182"/>
      <c r="G145" s="182">
        <v>9272.51</v>
      </c>
      <c r="H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2"/>
      <c r="X145" s="182"/>
      <c r="Y145" s="182"/>
      <c r="Z145" s="182"/>
      <c r="AA145" s="182"/>
      <c r="AB145" s="182"/>
      <c r="AC145" s="182"/>
      <c r="AD145" s="182"/>
      <c r="AE145" s="182"/>
      <c r="AF145" s="182"/>
      <c r="AG145" s="182"/>
      <c r="AH145" s="182"/>
      <c r="AI145" s="182"/>
      <c r="AJ145" s="182"/>
      <c r="AK145" s="182"/>
      <c r="AL145" s="182"/>
      <c r="AM145" s="182"/>
      <c r="AN145" s="182"/>
      <c r="AO145" s="182"/>
      <c r="AP145" s="182"/>
      <c r="AQ145" s="185">
        <v>9272.51</v>
      </c>
      <c r="AR145" s="182">
        <v>7581.6</v>
      </c>
      <c r="AS145" s="182">
        <v>949.85</v>
      </c>
      <c r="AT145" s="182">
        <v>741.06</v>
      </c>
      <c r="AU145" s="182"/>
      <c r="AV145" s="182"/>
      <c r="AW145" s="182"/>
      <c r="AX145" s="182"/>
      <c r="AY145" s="182"/>
      <c r="AZ145" s="182"/>
      <c r="BA145" s="182"/>
      <c r="BB145" s="182"/>
      <c r="BC145" s="182"/>
      <c r="BD145" s="182"/>
      <c r="BE145" s="182"/>
      <c r="BF145" s="182"/>
      <c r="BG145" s="182"/>
      <c r="BH145" s="182"/>
      <c r="BI145" s="182"/>
      <c r="BJ145" s="182"/>
      <c r="BK145" s="182"/>
      <c r="BL145" s="182"/>
      <c r="BM145" s="182"/>
      <c r="BN145" s="182"/>
      <c r="BO145" s="182"/>
      <c r="BP145" s="182"/>
      <c r="BQ145" s="182"/>
      <c r="BR145" s="182"/>
      <c r="BS145" s="182"/>
      <c r="BT145" s="182"/>
      <c r="BU145" s="182"/>
      <c r="BV145" s="182"/>
      <c r="BW145" s="182"/>
      <c r="BX145" s="182"/>
      <c r="BY145" s="182"/>
      <c r="BZ145" s="182"/>
      <c r="CA145" s="182"/>
      <c r="CB145" s="185">
        <v>9272.51</v>
      </c>
      <c r="CC145" s="185">
        <v>0</v>
      </c>
      <c r="CD145" s="185">
        <v>1503</v>
      </c>
      <c r="CE145" s="185"/>
    </row>
    <row r="146" spans="2:83" x14ac:dyDescent="0.3">
      <c r="B146" s="182">
        <v>1884</v>
      </c>
      <c r="C146" s="182">
        <v>1504</v>
      </c>
      <c r="D146" s="182" t="s">
        <v>78</v>
      </c>
      <c r="E146" s="181" t="s">
        <v>1005</v>
      </c>
      <c r="F146" s="182"/>
      <c r="G146" s="182">
        <v>19808.400000000001</v>
      </c>
      <c r="H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2"/>
      <c r="X146" s="182"/>
      <c r="Y146" s="182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5">
        <v>19808.400000000001</v>
      </c>
      <c r="AR146" s="182">
        <v>17311.099999999999</v>
      </c>
      <c r="AS146" s="182">
        <v>2090.5</v>
      </c>
      <c r="AT146" s="182">
        <v>406.8</v>
      </c>
      <c r="AU146" s="182"/>
      <c r="AV146" s="182"/>
      <c r="AW146" s="182"/>
      <c r="AX146" s="182"/>
      <c r="AY146" s="182"/>
      <c r="AZ146" s="182"/>
      <c r="BA146" s="182"/>
      <c r="BB146" s="182"/>
      <c r="BC146" s="182"/>
      <c r="BD146" s="182"/>
      <c r="BE146" s="182"/>
      <c r="BF146" s="182"/>
      <c r="BG146" s="182"/>
      <c r="BH146" s="182"/>
      <c r="BI146" s="182"/>
      <c r="BJ146" s="182"/>
      <c r="BK146" s="182"/>
      <c r="BL146" s="182"/>
      <c r="BM146" s="182"/>
      <c r="BN146" s="182"/>
      <c r="BO146" s="182"/>
      <c r="BP146" s="182"/>
      <c r="BQ146" s="182"/>
      <c r="BR146" s="182"/>
      <c r="BS146" s="182"/>
      <c r="BT146" s="182"/>
      <c r="BU146" s="182"/>
      <c r="BV146" s="182"/>
      <c r="BW146" s="182"/>
      <c r="BX146" s="182"/>
      <c r="BY146" s="182"/>
      <c r="BZ146" s="182"/>
      <c r="CA146" s="182"/>
      <c r="CB146" s="185">
        <v>19808.399999999998</v>
      </c>
      <c r="CC146" s="185">
        <v>0</v>
      </c>
      <c r="CD146" s="185">
        <v>1504</v>
      </c>
      <c r="CE146" s="185"/>
    </row>
    <row r="147" spans="2:83" x14ac:dyDescent="0.3">
      <c r="B147" s="182">
        <v>1893</v>
      </c>
      <c r="C147" s="182">
        <v>1505</v>
      </c>
      <c r="D147" s="182" t="s">
        <v>78</v>
      </c>
      <c r="E147" s="181" t="s">
        <v>1005</v>
      </c>
      <c r="F147" s="182"/>
      <c r="G147" s="182">
        <v>480</v>
      </c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2"/>
      <c r="X147" s="182"/>
      <c r="Y147" s="182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182"/>
      <c r="AO147" s="182"/>
      <c r="AP147" s="182"/>
      <c r="AQ147" s="185">
        <v>480</v>
      </c>
      <c r="AR147" s="182">
        <v>429.2</v>
      </c>
      <c r="AS147" s="182">
        <v>50.8</v>
      </c>
      <c r="AT147" s="182"/>
      <c r="AU147" s="182"/>
      <c r="AV147" s="182"/>
      <c r="AW147" s="182"/>
      <c r="AX147" s="182"/>
      <c r="AY147" s="182"/>
      <c r="AZ147" s="182"/>
      <c r="BA147" s="182"/>
      <c r="BB147" s="182"/>
      <c r="BC147" s="182"/>
      <c r="BD147" s="182"/>
      <c r="BE147" s="182"/>
      <c r="BF147" s="182"/>
      <c r="BG147" s="182"/>
      <c r="BH147" s="182"/>
      <c r="BI147" s="182"/>
      <c r="BJ147" s="182"/>
      <c r="BK147" s="182"/>
      <c r="BL147" s="182"/>
      <c r="BM147" s="182"/>
      <c r="BN147" s="182"/>
      <c r="BO147" s="182"/>
      <c r="BP147" s="182"/>
      <c r="BQ147" s="182"/>
      <c r="BR147" s="182"/>
      <c r="BS147" s="182"/>
      <c r="BT147" s="182"/>
      <c r="BU147" s="182"/>
      <c r="BV147" s="182"/>
      <c r="BW147" s="182"/>
      <c r="BX147" s="182"/>
      <c r="BY147" s="182"/>
      <c r="BZ147" s="182"/>
      <c r="CA147" s="182"/>
      <c r="CB147" s="185">
        <v>480</v>
      </c>
      <c r="CC147" s="185">
        <v>0</v>
      </c>
      <c r="CD147" s="185">
        <v>1505</v>
      </c>
      <c r="CE147" s="185"/>
    </row>
    <row r="148" spans="2:83" x14ac:dyDescent="0.3">
      <c r="B148" s="182">
        <v>2362</v>
      </c>
      <c r="C148" s="182">
        <v>1506</v>
      </c>
      <c r="D148" s="182" t="s">
        <v>78</v>
      </c>
      <c r="E148" s="181" t="s">
        <v>4124</v>
      </c>
      <c r="F148" s="182"/>
      <c r="G148" s="182">
        <v>63994.8</v>
      </c>
      <c r="H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2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82"/>
      <c r="AH148" s="182"/>
      <c r="AI148" s="182"/>
      <c r="AJ148" s="182"/>
      <c r="AK148" s="182"/>
      <c r="AL148" s="182"/>
      <c r="AM148" s="182"/>
      <c r="AN148" s="182"/>
      <c r="AO148" s="182"/>
      <c r="AP148" s="182"/>
      <c r="AQ148" s="185">
        <v>63994.8</v>
      </c>
      <c r="AR148" s="182">
        <v>57107.42</v>
      </c>
      <c r="AS148" s="182">
        <v>6887.38</v>
      </c>
      <c r="AT148" s="182"/>
      <c r="AU148" s="182"/>
      <c r="AV148" s="182"/>
      <c r="AW148" s="182"/>
      <c r="AX148" s="182"/>
      <c r="AY148" s="182"/>
      <c r="AZ148" s="182"/>
      <c r="BA148" s="182"/>
      <c r="BB148" s="182"/>
      <c r="BC148" s="182"/>
      <c r="BD148" s="182"/>
      <c r="BE148" s="182"/>
      <c r="BF148" s="182"/>
      <c r="BG148" s="182"/>
      <c r="BH148" s="182"/>
      <c r="BI148" s="182"/>
      <c r="BJ148" s="182"/>
      <c r="BK148" s="182"/>
      <c r="BL148" s="182"/>
      <c r="BM148" s="182"/>
      <c r="BN148" s="182"/>
      <c r="BO148" s="182"/>
      <c r="BP148" s="182"/>
      <c r="BQ148" s="182"/>
      <c r="BR148" s="182"/>
      <c r="BS148" s="182"/>
      <c r="BT148" s="182"/>
      <c r="BU148" s="182"/>
      <c r="BV148" s="182"/>
      <c r="BW148" s="182"/>
      <c r="BX148" s="182"/>
      <c r="BY148" s="182"/>
      <c r="BZ148" s="182"/>
      <c r="CA148" s="182"/>
      <c r="CB148" s="185">
        <v>63994.799999999996</v>
      </c>
      <c r="CC148" s="185">
        <v>0</v>
      </c>
      <c r="CD148" s="185">
        <v>1506</v>
      </c>
      <c r="CE148" s="185"/>
    </row>
    <row r="149" spans="2:83" x14ac:dyDescent="0.3">
      <c r="B149" s="182">
        <v>2666</v>
      </c>
      <c r="C149" s="182">
        <v>1507</v>
      </c>
      <c r="D149" s="182" t="s">
        <v>78</v>
      </c>
      <c r="E149" s="181" t="s">
        <v>4125</v>
      </c>
      <c r="F149" s="182"/>
      <c r="G149" s="182">
        <v>19769.61</v>
      </c>
      <c r="H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2"/>
      <c r="X149" s="182"/>
      <c r="Y149" s="182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5">
        <v>19769.61</v>
      </c>
      <c r="AR149" s="182">
        <v>17235.93</v>
      </c>
      <c r="AS149" s="182">
        <v>2092.15</v>
      </c>
      <c r="AT149" s="182">
        <v>441.53</v>
      </c>
      <c r="AU149" s="182"/>
      <c r="AV149" s="182"/>
      <c r="AW149" s="182"/>
      <c r="AX149" s="182"/>
      <c r="AY149" s="182"/>
      <c r="AZ149" s="182"/>
      <c r="BA149" s="182"/>
      <c r="BB149" s="182"/>
      <c r="BC149" s="182"/>
      <c r="BD149" s="182"/>
      <c r="BE149" s="182"/>
      <c r="BF149" s="182"/>
      <c r="BG149" s="182"/>
      <c r="BH149" s="182"/>
      <c r="BI149" s="182"/>
      <c r="BJ149" s="182"/>
      <c r="BK149" s="182"/>
      <c r="BL149" s="182"/>
      <c r="BM149" s="182"/>
      <c r="BN149" s="182"/>
      <c r="BO149" s="182"/>
      <c r="BP149" s="182"/>
      <c r="BQ149" s="182"/>
      <c r="BR149" s="182"/>
      <c r="BS149" s="182"/>
      <c r="BT149" s="182"/>
      <c r="BU149" s="182"/>
      <c r="BV149" s="182"/>
      <c r="BW149" s="182"/>
      <c r="BX149" s="182"/>
      <c r="BY149" s="182"/>
      <c r="BZ149" s="182"/>
      <c r="CA149" s="182"/>
      <c r="CB149" s="185">
        <v>19769.61</v>
      </c>
      <c r="CC149" s="185">
        <v>0</v>
      </c>
      <c r="CD149" s="185">
        <v>1507</v>
      </c>
      <c r="CE149" s="185"/>
    </row>
    <row r="150" spans="2:83" x14ac:dyDescent="0.3">
      <c r="B150" s="182">
        <v>2363</v>
      </c>
      <c r="C150" s="182">
        <v>1508</v>
      </c>
      <c r="D150" s="182" t="s">
        <v>78</v>
      </c>
      <c r="E150" s="181" t="s">
        <v>4126</v>
      </c>
      <c r="F150" s="182"/>
      <c r="G150" s="182">
        <v>4675</v>
      </c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5">
        <v>4675</v>
      </c>
      <c r="AR150" s="182">
        <v>4173.1499999999996</v>
      </c>
      <c r="AS150" s="182">
        <v>501.85</v>
      </c>
      <c r="AT150" s="182"/>
      <c r="AU150" s="182"/>
      <c r="AV150" s="182"/>
      <c r="AW150" s="182"/>
      <c r="AX150" s="182"/>
      <c r="AY150" s="182"/>
      <c r="AZ150" s="182"/>
      <c r="BA150" s="182"/>
      <c r="BB150" s="182"/>
      <c r="BC150" s="182"/>
      <c r="BD150" s="182"/>
      <c r="BE150" s="182"/>
      <c r="BF150" s="182"/>
      <c r="BG150" s="182"/>
      <c r="BH150" s="182"/>
      <c r="BI150" s="182"/>
      <c r="BJ150" s="182"/>
      <c r="BK150" s="182"/>
      <c r="BL150" s="182"/>
      <c r="BM150" s="182"/>
      <c r="BN150" s="182"/>
      <c r="BO150" s="182"/>
      <c r="BP150" s="182"/>
      <c r="BQ150" s="182"/>
      <c r="BR150" s="182"/>
      <c r="BS150" s="182"/>
      <c r="BT150" s="182"/>
      <c r="BU150" s="182"/>
      <c r="BV150" s="182"/>
      <c r="BW150" s="182"/>
      <c r="BX150" s="182"/>
      <c r="BY150" s="182"/>
      <c r="BZ150" s="182"/>
      <c r="CA150" s="182"/>
      <c r="CB150" s="185">
        <v>4675</v>
      </c>
      <c r="CC150" s="185">
        <v>0</v>
      </c>
      <c r="CD150" s="185">
        <v>1508</v>
      </c>
      <c r="CE150" s="185"/>
    </row>
    <row r="151" spans="2:83" x14ac:dyDescent="0.3">
      <c r="B151" s="182">
        <v>2365</v>
      </c>
      <c r="C151" s="182">
        <v>1509</v>
      </c>
      <c r="D151" s="182" t="s">
        <v>78</v>
      </c>
      <c r="E151" s="181" t="s">
        <v>4127</v>
      </c>
      <c r="F151" s="182"/>
      <c r="G151" s="182">
        <v>1231.1199999999999</v>
      </c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2"/>
      <c r="X151" s="182"/>
      <c r="Y151" s="182"/>
      <c r="Z151" s="182"/>
      <c r="AA151" s="182"/>
      <c r="AB151" s="182"/>
      <c r="AC151" s="182"/>
      <c r="AD151" s="182"/>
      <c r="AE151" s="182"/>
      <c r="AF151" s="182"/>
      <c r="AG151" s="182"/>
      <c r="AH151" s="182"/>
      <c r="AI151" s="182"/>
      <c r="AJ151" s="182"/>
      <c r="AK151" s="182"/>
      <c r="AL151" s="182"/>
      <c r="AM151" s="182"/>
      <c r="AN151" s="182"/>
      <c r="AO151" s="182"/>
      <c r="AP151" s="182"/>
      <c r="AQ151" s="185">
        <v>1231.1199999999999</v>
      </c>
      <c r="AR151" s="182">
        <v>824.7</v>
      </c>
      <c r="AS151" s="182">
        <v>109.8</v>
      </c>
      <c r="AT151" s="182">
        <v>296.62</v>
      </c>
      <c r="AU151" s="182"/>
      <c r="AV151" s="182"/>
      <c r="AW151" s="182"/>
      <c r="AX151" s="182"/>
      <c r="AY151" s="182"/>
      <c r="AZ151" s="182"/>
      <c r="BA151" s="182"/>
      <c r="BB151" s="182"/>
      <c r="BC151" s="182"/>
      <c r="BD151" s="182"/>
      <c r="BE151" s="182"/>
      <c r="BF151" s="182"/>
      <c r="BG151" s="182"/>
      <c r="BH151" s="182"/>
      <c r="BI151" s="182"/>
      <c r="BJ151" s="182"/>
      <c r="BK151" s="182"/>
      <c r="BL151" s="182"/>
      <c r="BM151" s="182"/>
      <c r="BN151" s="182"/>
      <c r="BO151" s="182"/>
      <c r="BP151" s="182"/>
      <c r="BQ151" s="182"/>
      <c r="BR151" s="182"/>
      <c r="BS151" s="182"/>
      <c r="BT151" s="182"/>
      <c r="BU151" s="182"/>
      <c r="BV151" s="182"/>
      <c r="BW151" s="182"/>
      <c r="BX151" s="182"/>
      <c r="BY151" s="182"/>
      <c r="BZ151" s="182"/>
      <c r="CA151" s="182"/>
      <c r="CB151" s="185">
        <v>1231.1199999999999</v>
      </c>
      <c r="CC151" s="185">
        <v>0</v>
      </c>
      <c r="CD151" s="185">
        <v>1509</v>
      </c>
      <c r="CE151" s="185"/>
    </row>
    <row r="152" spans="2:83" x14ac:dyDescent="0.3">
      <c r="B152" s="182">
        <v>2366</v>
      </c>
      <c r="C152" s="182">
        <v>1510</v>
      </c>
      <c r="D152" s="182" t="s">
        <v>78</v>
      </c>
      <c r="E152" s="181" t="s">
        <v>4127</v>
      </c>
      <c r="F152" s="182"/>
      <c r="G152" s="182">
        <v>12294.35</v>
      </c>
      <c r="H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  <c r="AJ152" s="182"/>
      <c r="AK152" s="182"/>
      <c r="AL152" s="182"/>
      <c r="AM152" s="182"/>
      <c r="AN152" s="182"/>
      <c r="AO152" s="182"/>
      <c r="AP152" s="182"/>
      <c r="AQ152" s="185">
        <v>12294.35</v>
      </c>
      <c r="AR152" s="182">
        <v>9317.14</v>
      </c>
      <c r="AS152" s="182">
        <v>1193.2</v>
      </c>
      <c r="AT152" s="182">
        <v>1784.01</v>
      </c>
      <c r="AU152" s="182"/>
      <c r="AV152" s="182"/>
      <c r="AW152" s="182"/>
      <c r="AX152" s="182"/>
      <c r="AY152" s="182"/>
      <c r="AZ152" s="182"/>
      <c r="BA152" s="182"/>
      <c r="BB152" s="182"/>
      <c r="BC152" s="182"/>
      <c r="BD152" s="182"/>
      <c r="BE152" s="182"/>
      <c r="BF152" s="182"/>
      <c r="BG152" s="182"/>
      <c r="BH152" s="182"/>
      <c r="BI152" s="182"/>
      <c r="BJ152" s="182"/>
      <c r="BK152" s="182"/>
      <c r="BL152" s="182"/>
      <c r="BM152" s="182"/>
      <c r="BN152" s="182"/>
      <c r="BO152" s="182"/>
      <c r="BP152" s="182"/>
      <c r="BQ152" s="182"/>
      <c r="BR152" s="182"/>
      <c r="BS152" s="182"/>
      <c r="BT152" s="182"/>
      <c r="BU152" s="182"/>
      <c r="BV152" s="182"/>
      <c r="BW152" s="182"/>
      <c r="BX152" s="182"/>
      <c r="BY152" s="182"/>
      <c r="BZ152" s="182"/>
      <c r="CA152" s="182"/>
      <c r="CB152" s="185">
        <v>12294.35</v>
      </c>
      <c r="CC152" s="185">
        <v>0</v>
      </c>
      <c r="CD152" s="185">
        <v>1510</v>
      </c>
      <c r="CE152" s="185"/>
    </row>
    <row r="153" spans="2:83" x14ac:dyDescent="0.3">
      <c r="B153" s="182">
        <v>2364</v>
      </c>
      <c r="C153" s="182">
        <v>1511</v>
      </c>
      <c r="D153" s="182" t="s">
        <v>78</v>
      </c>
      <c r="E153" s="181" t="s">
        <v>4127</v>
      </c>
      <c r="F153" s="182"/>
      <c r="G153" s="182">
        <v>474.86</v>
      </c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2"/>
      <c r="X153" s="182"/>
      <c r="Y153" s="182"/>
      <c r="Z153" s="182"/>
      <c r="AA153" s="182"/>
      <c r="AB153" s="182"/>
      <c r="AC153" s="182"/>
      <c r="AD153" s="182"/>
      <c r="AE153" s="182"/>
      <c r="AF153" s="182"/>
      <c r="AG153" s="182"/>
      <c r="AH153" s="182"/>
      <c r="AI153" s="182"/>
      <c r="AJ153" s="182"/>
      <c r="AK153" s="182"/>
      <c r="AL153" s="182"/>
      <c r="AM153" s="182"/>
      <c r="AN153" s="182"/>
      <c r="AO153" s="182"/>
      <c r="AP153" s="182"/>
      <c r="AQ153" s="185">
        <v>474.86</v>
      </c>
      <c r="AR153" s="182">
        <v>317.89999999999998</v>
      </c>
      <c r="AS153" s="182">
        <v>42.55</v>
      </c>
      <c r="AT153" s="182">
        <v>114.41</v>
      </c>
      <c r="AU153" s="182"/>
      <c r="AV153" s="182"/>
      <c r="AW153" s="182"/>
      <c r="AX153" s="182"/>
      <c r="AY153" s="182"/>
      <c r="AZ153" s="182"/>
      <c r="BA153" s="182"/>
      <c r="BB153" s="182"/>
      <c r="BC153" s="182"/>
      <c r="BD153" s="182"/>
      <c r="BE153" s="182"/>
      <c r="BF153" s="182"/>
      <c r="BG153" s="182"/>
      <c r="BH153" s="182"/>
      <c r="BI153" s="182"/>
      <c r="BJ153" s="182"/>
      <c r="BK153" s="182"/>
      <c r="BL153" s="182"/>
      <c r="BM153" s="182"/>
      <c r="BN153" s="182"/>
      <c r="BO153" s="182"/>
      <c r="BP153" s="182"/>
      <c r="BQ153" s="182"/>
      <c r="BR153" s="182"/>
      <c r="BS153" s="182"/>
      <c r="BT153" s="182"/>
      <c r="BU153" s="182"/>
      <c r="BV153" s="182"/>
      <c r="BW153" s="182"/>
      <c r="BX153" s="182"/>
      <c r="BY153" s="182"/>
      <c r="BZ153" s="182"/>
      <c r="CA153" s="182"/>
      <c r="CB153" s="185">
        <v>474.86</v>
      </c>
      <c r="CC153" s="185">
        <v>0</v>
      </c>
      <c r="CD153" s="185">
        <v>1511</v>
      </c>
      <c r="CE153" s="185"/>
    </row>
    <row r="154" spans="2:83" x14ac:dyDescent="0.3">
      <c r="B154" s="182">
        <v>2367</v>
      </c>
      <c r="C154" s="182">
        <v>1512</v>
      </c>
      <c r="D154" s="182" t="s">
        <v>78</v>
      </c>
      <c r="E154" s="181" t="s">
        <v>4127</v>
      </c>
      <c r="F154" s="182"/>
      <c r="G154" s="182">
        <v>23781.65</v>
      </c>
      <c r="H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  <c r="AK154" s="182"/>
      <c r="AL154" s="182"/>
      <c r="AM154" s="182"/>
      <c r="AN154" s="182"/>
      <c r="AO154" s="182"/>
      <c r="AP154" s="182"/>
      <c r="AQ154" s="185">
        <v>23781.65</v>
      </c>
      <c r="AR154" s="182">
        <v>20031.419999999998</v>
      </c>
      <c r="AS154" s="182">
        <v>2461.9499999999998</v>
      </c>
      <c r="AT154" s="182">
        <v>1288.28</v>
      </c>
      <c r="AU154" s="182"/>
      <c r="AV154" s="182"/>
      <c r="AW154" s="182"/>
      <c r="AX154" s="182"/>
      <c r="AY154" s="182"/>
      <c r="AZ154" s="182"/>
      <c r="BA154" s="182"/>
      <c r="BB154" s="182"/>
      <c r="BC154" s="182"/>
      <c r="BD154" s="182"/>
      <c r="BE154" s="182"/>
      <c r="BF154" s="182"/>
      <c r="BG154" s="182"/>
      <c r="BH154" s="182"/>
      <c r="BI154" s="182"/>
      <c r="BJ154" s="182"/>
      <c r="BK154" s="182"/>
      <c r="BL154" s="182"/>
      <c r="BM154" s="182"/>
      <c r="BN154" s="182"/>
      <c r="BO154" s="182"/>
      <c r="BP154" s="182"/>
      <c r="BQ154" s="182"/>
      <c r="BR154" s="182"/>
      <c r="BS154" s="182"/>
      <c r="BT154" s="182"/>
      <c r="BU154" s="182"/>
      <c r="BV154" s="182"/>
      <c r="BW154" s="182"/>
      <c r="BX154" s="182"/>
      <c r="BY154" s="182"/>
      <c r="BZ154" s="182"/>
      <c r="CA154" s="182"/>
      <c r="CB154" s="185">
        <v>23781.649999999998</v>
      </c>
      <c r="CC154" s="185">
        <v>0</v>
      </c>
      <c r="CD154" s="185">
        <v>1512</v>
      </c>
      <c r="CE154" s="185"/>
    </row>
    <row r="155" spans="2:83" x14ac:dyDescent="0.3">
      <c r="B155" s="182">
        <v>3673</v>
      </c>
      <c r="C155" s="182">
        <v>1513</v>
      </c>
      <c r="D155" s="182" t="s">
        <v>78</v>
      </c>
      <c r="E155" s="181" t="s">
        <v>4123</v>
      </c>
      <c r="F155" s="182"/>
      <c r="G155" s="182">
        <v>3798.9</v>
      </c>
      <c r="H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2"/>
      <c r="X155" s="182"/>
      <c r="Y155" s="182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AQ155" s="185">
        <v>3798.9</v>
      </c>
      <c r="AR155" s="182">
        <v>2538.6999999999998</v>
      </c>
      <c r="AS155" s="182">
        <v>344.9</v>
      </c>
      <c r="AT155" s="182">
        <v>915.3</v>
      </c>
      <c r="AU155" s="182"/>
      <c r="AV155" s="182"/>
      <c r="AW155" s="182"/>
      <c r="AX155" s="182"/>
      <c r="AY155" s="182"/>
      <c r="AZ155" s="182"/>
      <c r="BA155" s="182"/>
      <c r="BB155" s="182"/>
      <c r="BC155" s="182"/>
      <c r="BD155" s="182"/>
      <c r="BE155" s="182"/>
      <c r="BF155" s="182"/>
      <c r="BG155" s="182"/>
      <c r="BH155" s="182"/>
      <c r="BI155" s="182"/>
      <c r="BJ155" s="182"/>
      <c r="BK155" s="182"/>
      <c r="BL155" s="182"/>
      <c r="BM155" s="182"/>
      <c r="BN155" s="182"/>
      <c r="BO155" s="182"/>
      <c r="BP155" s="182"/>
      <c r="BQ155" s="182"/>
      <c r="BR155" s="182"/>
      <c r="BS155" s="182"/>
      <c r="BT155" s="182"/>
      <c r="BU155" s="182"/>
      <c r="BV155" s="182"/>
      <c r="BW155" s="182"/>
      <c r="BX155" s="182"/>
      <c r="BY155" s="182"/>
      <c r="BZ155" s="182"/>
      <c r="CA155" s="182"/>
      <c r="CB155" s="185">
        <v>3798.8999999999996</v>
      </c>
      <c r="CC155" s="185">
        <v>0</v>
      </c>
      <c r="CD155" s="185">
        <v>1513</v>
      </c>
      <c r="CE155" s="185"/>
    </row>
    <row r="156" spans="2:83" x14ac:dyDescent="0.3">
      <c r="B156" s="182">
        <v>3672</v>
      </c>
      <c r="C156" s="182">
        <v>1514</v>
      </c>
      <c r="D156" s="182" t="s">
        <v>78</v>
      </c>
      <c r="E156" s="181" t="s">
        <v>1005</v>
      </c>
      <c r="F156" s="182"/>
      <c r="G156" s="182">
        <v>4854.16</v>
      </c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  <c r="AJ156" s="182"/>
      <c r="AK156" s="182"/>
      <c r="AL156" s="182"/>
      <c r="AM156" s="182"/>
      <c r="AN156" s="182"/>
      <c r="AO156" s="182"/>
      <c r="AP156" s="182"/>
      <c r="AQ156" s="185">
        <v>4854.16</v>
      </c>
      <c r="AR156" s="182">
        <v>3243.7</v>
      </c>
      <c r="AS156" s="182">
        <v>440.9</v>
      </c>
      <c r="AT156" s="182">
        <v>1169.56</v>
      </c>
      <c r="AU156" s="182"/>
      <c r="AV156" s="182"/>
      <c r="AW156" s="182"/>
      <c r="AX156" s="182"/>
      <c r="AY156" s="182"/>
      <c r="AZ156" s="182"/>
      <c r="BA156" s="182"/>
      <c r="BB156" s="182"/>
      <c r="BC156" s="182"/>
      <c r="BD156" s="182"/>
      <c r="BE156" s="182"/>
      <c r="BF156" s="182"/>
      <c r="BG156" s="182"/>
      <c r="BH156" s="182"/>
      <c r="BI156" s="182"/>
      <c r="BJ156" s="182"/>
      <c r="BK156" s="182"/>
      <c r="BL156" s="182"/>
      <c r="BM156" s="182"/>
      <c r="BN156" s="182"/>
      <c r="BO156" s="182"/>
      <c r="BP156" s="182"/>
      <c r="BQ156" s="182"/>
      <c r="BR156" s="182"/>
      <c r="BS156" s="182"/>
      <c r="BT156" s="182"/>
      <c r="BU156" s="182"/>
      <c r="BV156" s="182"/>
      <c r="BW156" s="182"/>
      <c r="BX156" s="182"/>
      <c r="BY156" s="182"/>
      <c r="BZ156" s="182"/>
      <c r="CA156" s="182"/>
      <c r="CB156" s="185">
        <v>4854.16</v>
      </c>
      <c r="CC156" s="185">
        <v>0</v>
      </c>
      <c r="CD156" s="185">
        <v>1514</v>
      </c>
      <c r="CE156" s="185"/>
    </row>
    <row r="157" spans="2:83" x14ac:dyDescent="0.3">
      <c r="B157" s="182">
        <v>3595</v>
      </c>
      <c r="C157" s="182">
        <v>1515</v>
      </c>
      <c r="D157" s="182" t="s">
        <v>132</v>
      </c>
      <c r="E157" s="181" t="s">
        <v>4128</v>
      </c>
      <c r="F157" s="182"/>
      <c r="G157" s="182"/>
      <c r="H157" s="182">
        <v>15000</v>
      </c>
      <c r="I157" s="182"/>
      <c r="J157" s="182"/>
      <c r="K157" s="182"/>
      <c r="L157" s="182"/>
      <c r="M157" s="182"/>
      <c r="N157" s="182"/>
      <c r="O157" s="182">
        <v>15000</v>
      </c>
      <c r="P157" s="182"/>
      <c r="Q157" s="182"/>
      <c r="R157" s="182"/>
      <c r="S157" s="182"/>
      <c r="T157" s="182"/>
      <c r="U157" s="182"/>
      <c r="V157" s="182"/>
      <c r="W157" s="182"/>
      <c r="X157" s="182"/>
      <c r="Y157" s="182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AQ157" s="185">
        <v>30000</v>
      </c>
      <c r="AR157" s="182">
        <v>15000</v>
      </c>
      <c r="AS157" s="182"/>
      <c r="AT157" s="182"/>
      <c r="AU157" s="182"/>
      <c r="AV157" s="182"/>
      <c r="AW157" s="182"/>
      <c r="AX157" s="182"/>
      <c r="AY157" s="182"/>
      <c r="AZ157" s="182"/>
      <c r="BA157" s="182"/>
      <c r="BB157" s="182"/>
      <c r="BC157" s="182"/>
      <c r="BD157" s="182"/>
      <c r="BE157" s="182"/>
      <c r="BF157" s="182"/>
      <c r="BG157" s="182"/>
      <c r="BH157" s="182"/>
      <c r="BI157" s="182"/>
      <c r="BJ157" s="182"/>
      <c r="BK157" s="182"/>
      <c r="BL157" s="182"/>
      <c r="BM157" s="182">
        <v>15000</v>
      </c>
      <c r="BN157" s="182"/>
      <c r="BO157" s="182"/>
      <c r="BP157" s="182"/>
      <c r="BQ157" s="182"/>
      <c r="BR157" s="182"/>
      <c r="BS157" s="182"/>
      <c r="BT157" s="182"/>
      <c r="BU157" s="182"/>
      <c r="BV157" s="182"/>
      <c r="BW157" s="182"/>
      <c r="BX157" s="182"/>
      <c r="BY157" s="182"/>
      <c r="BZ157" s="182"/>
      <c r="CA157" s="182"/>
      <c r="CB157" s="185">
        <v>30000</v>
      </c>
      <c r="CC157" s="185">
        <v>0</v>
      </c>
      <c r="CD157" s="185">
        <v>1515</v>
      </c>
      <c r="CE157" s="185"/>
    </row>
    <row r="158" spans="2:83" s="198" customFormat="1" x14ac:dyDescent="0.3">
      <c r="B158" s="190"/>
      <c r="C158" s="190"/>
      <c r="D158" s="190"/>
      <c r="E158" s="199" t="s">
        <v>4129</v>
      </c>
      <c r="F158" s="190"/>
      <c r="G158" s="190">
        <v>480010.17000000004</v>
      </c>
      <c r="H158" s="190">
        <v>15000</v>
      </c>
      <c r="I158" s="190">
        <v>0</v>
      </c>
      <c r="J158" s="190">
        <v>0</v>
      </c>
      <c r="K158" s="190">
        <v>0</v>
      </c>
      <c r="L158" s="190">
        <v>0</v>
      </c>
      <c r="M158" s="190">
        <v>0</v>
      </c>
      <c r="N158" s="190">
        <v>0</v>
      </c>
      <c r="O158" s="190">
        <v>15000</v>
      </c>
      <c r="P158" s="190">
        <v>0</v>
      </c>
      <c r="Q158" s="190">
        <v>0</v>
      </c>
      <c r="R158" s="190">
        <v>0</v>
      </c>
      <c r="S158" s="190">
        <v>0</v>
      </c>
      <c r="T158" s="190">
        <v>0</v>
      </c>
      <c r="U158" s="190">
        <v>0</v>
      </c>
      <c r="V158" s="190">
        <v>0</v>
      </c>
      <c r="W158" s="190">
        <v>0</v>
      </c>
      <c r="X158" s="190">
        <v>0</v>
      </c>
      <c r="Y158" s="190">
        <v>0</v>
      </c>
      <c r="Z158" s="190">
        <v>0</v>
      </c>
      <c r="AA158" s="190">
        <v>0</v>
      </c>
      <c r="AB158" s="190">
        <v>0</v>
      </c>
      <c r="AC158" s="190">
        <v>0</v>
      </c>
      <c r="AD158" s="190">
        <v>0</v>
      </c>
      <c r="AE158" s="190">
        <v>0</v>
      </c>
      <c r="AF158" s="190">
        <v>0</v>
      </c>
      <c r="AG158" s="190">
        <v>0</v>
      </c>
      <c r="AH158" s="190">
        <v>0</v>
      </c>
      <c r="AI158" s="190">
        <v>0</v>
      </c>
      <c r="AJ158" s="190">
        <v>0</v>
      </c>
      <c r="AK158" s="190">
        <v>0</v>
      </c>
      <c r="AL158" s="190">
        <v>0</v>
      </c>
      <c r="AM158" s="190">
        <v>0</v>
      </c>
      <c r="AN158" s="190">
        <v>0</v>
      </c>
      <c r="AO158" s="190">
        <v>0</v>
      </c>
      <c r="AP158" s="190">
        <v>0</v>
      </c>
      <c r="AQ158" s="190">
        <v>510010.17000000004</v>
      </c>
      <c r="AR158" s="190">
        <v>410430.11</v>
      </c>
      <c r="AS158" s="190">
        <v>49426.34</v>
      </c>
      <c r="AT158" s="190">
        <v>34309.969999999994</v>
      </c>
      <c r="AU158" s="190">
        <v>843.75</v>
      </c>
      <c r="AV158" s="190">
        <v>0</v>
      </c>
      <c r="AW158" s="190">
        <v>0</v>
      </c>
      <c r="AX158" s="190">
        <v>0</v>
      </c>
      <c r="AY158" s="190">
        <v>0</v>
      </c>
      <c r="AZ158" s="190">
        <v>0</v>
      </c>
      <c r="BA158" s="190">
        <v>0</v>
      </c>
      <c r="BB158" s="190">
        <v>0</v>
      </c>
      <c r="BC158" s="190">
        <v>0</v>
      </c>
      <c r="BD158" s="190">
        <v>0</v>
      </c>
      <c r="BE158" s="190">
        <v>0</v>
      </c>
      <c r="BF158" s="190">
        <v>0</v>
      </c>
      <c r="BG158" s="190">
        <v>0</v>
      </c>
      <c r="BH158" s="190">
        <v>0</v>
      </c>
      <c r="BI158" s="190">
        <v>0</v>
      </c>
      <c r="BJ158" s="190">
        <v>0</v>
      </c>
      <c r="BK158" s="190">
        <v>0</v>
      </c>
      <c r="BL158" s="190">
        <v>0</v>
      </c>
      <c r="BM158" s="190">
        <v>15000</v>
      </c>
      <c r="BN158" s="190">
        <v>0</v>
      </c>
      <c r="BO158" s="190">
        <v>0</v>
      </c>
      <c r="BP158" s="190">
        <v>0</v>
      </c>
      <c r="BQ158" s="190">
        <v>0</v>
      </c>
      <c r="BR158" s="190">
        <v>0</v>
      </c>
      <c r="BS158" s="190">
        <v>0</v>
      </c>
      <c r="BT158" s="190">
        <v>0</v>
      </c>
      <c r="BU158" s="190">
        <v>0</v>
      </c>
      <c r="BV158" s="190">
        <v>0</v>
      </c>
      <c r="BW158" s="190">
        <v>0</v>
      </c>
      <c r="BX158" s="190">
        <v>0</v>
      </c>
      <c r="BY158" s="190">
        <v>0</v>
      </c>
      <c r="BZ158" s="190">
        <v>0</v>
      </c>
      <c r="CA158" s="190">
        <v>0</v>
      </c>
      <c r="CB158" s="190">
        <v>510010.17000000004</v>
      </c>
      <c r="CC158" s="190">
        <v>0</v>
      </c>
      <c r="CD158" s="190">
        <v>0</v>
      </c>
      <c r="CE158" s="190"/>
    </row>
    <row r="159" spans="2:83" x14ac:dyDescent="0.3">
      <c r="B159" s="182">
        <v>3715</v>
      </c>
      <c r="C159" s="182">
        <v>1516</v>
      </c>
      <c r="D159" s="182" t="s">
        <v>132</v>
      </c>
      <c r="E159" s="181" t="s">
        <v>4130</v>
      </c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>
        <v>35863.81</v>
      </c>
      <c r="U159" s="182"/>
      <c r="V159" s="182"/>
      <c r="W159" s="182"/>
      <c r="X159" s="182"/>
      <c r="Y159" s="182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/>
      <c r="AL159" s="182"/>
      <c r="AM159" s="182"/>
      <c r="AN159" s="182"/>
      <c r="AO159" s="182"/>
      <c r="AP159" s="182"/>
      <c r="AQ159" s="185">
        <v>35863.81</v>
      </c>
      <c r="AR159" s="182">
        <v>35863.81</v>
      </c>
      <c r="AS159" s="182"/>
      <c r="AT159" s="182"/>
      <c r="AU159" s="182"/>
      <c r="AV159" s="182"/>
      <c r="AW159" s="182"/>
      <c r="AX159" s="182"/>
      <c r="AY159" s="182"/>
      <c r="AZ159" s="182"/>
      <c r="BA159" s="182"/>
      <c r="BB159" s="182"/>
      <c r="BC159" s="182"/>
      <c r="BD159" s="182"/>
      <c r="BE159" s="182"/>
      <c r="BF159" s="182"/>
      <c r="BG159" s="182"/>
      <c r="BH159" s="182"/>
      <c r="BI159" s="182"/>
      <c r="BJ159" s="182"/>
      <c r="BK159" s="182"/>
      <c r="BL159" s="182"/>
      <c r="BM159" s="182"/>
      <c r="BN159" s="182"/>
      <c r="BO159" s="182"/>
      <c r="BP159" s="182"/>
      <c r="BQ159" s="182"/>
      <c r="BR159" s="182"/>
      <c r="BS159" s="182"/>
      <c r="BT159" s="182"/>
      <c r="BU159" s="182"/>
      <c r="BV159" s="182"/>
      <c r="BW159" s="182"/>
      <c r="BX159" s="182"/>
      <c r="BY159" s="182"/>
      <c r="BZ159" s="182"/>
      <c r="CA159" s="182"/>
      <c r="CB159" s="185">
        <v>35863.81</v>
      </c>
      <c r="CC159" s="185">
        <v>0</v>
      </c>
      <c r="CD159" s="185">
        <v>1516</v>
      </c>
      <c r="CE159" s="185"/>
    </row>
    <row r="160" spans="2:83" x14ac:dyDescent="0.3">
      <c r="B160" s="182">
        <v>3716</v>
      </c>
      <c r="C160" s="182">
        <v>1517</v>
      </c>
      <c r="D160" s="182" t="s">
        <v>132</v>
      </c>
      <c r="E160" s="181" t="s">
        <v>4131</v>
      </c>
      <c r="F160" s="182"/>
      <c r="G160" s="182"/>
      <c r="H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>
        <v>1340.8</v>
      </c>
      <c r="U160" s="182"/>
      <c r="V160" s="182"/>
      <c r="W160" s="182"/>
      <c r="X160" s="182"/>
      <c r="Y160" s="182"/>
      <c r="Z160" s="182"/>
      <c r="AA160" s="182"/>
      <c r="AB160" s="182"/>
      <c r="AC160" s="182"/>
      <c r="AD160" s="182"/>
      <c r="AE160" s="182"/>
      <c r="AF160" s="182"/>
      <c r="AG160" s="182"/>
      <c r="AH160" s="182"/>
      <c r="AI160" s="182"/>
      <c r="AJ160" s="182"/>
      <c r="AK160" s="182"/>
      <c r="AL160" s="182"/>
      <c r="AM160" s="182"/>
      <c r="AN160" s="182"/>
      <c r="AO160" s="182"/>
      <c r="AP160" s="182"/>
      <c r="AQ160" s="185">
        <v>1340.8</v>
      </c>
      <c r="AR160" s="182">
        <v>1340.8</v>
      </c>
      <c r="AS160" s="182"/>
      <c r="AT160" s="182"/>
      <c r="AU160" s="182"/>
      <c r="AV160" s="182"/>
      <c r="AW160" s="182"/>
      <c r="AX160" s="182"/>
      <c r="AY160" s="182"/>
      <c r="AZ160" s="182"/>
      <c r="BA160" s="182"/>
      <c r="BB160" s="182"/>
      <c r="BC160" s="182"/>
      <c r="BD160" s="182"/>
      <c r="BE160" s="182"/>
      <c r="BF160" s="182"/>
      <c r="BG160" s="182"/>
      <c r="BH160" s="182"/>
      <c r="BI160" s="182"/>
      <c r="BJ160" s="182"/>
      <c r="BK160" s="182"/>
      <c r="BL160" s="182"/>
      <c r="BM160" s="182"/>
      <c r="BN160" s="182"/>
      <c r="BO160" s="182"/>
      <c r="BP160" s="182"/>
      <c r="BQ160" s="182"/>
      <c r="BR160" s="182"/>
      <c r="BS160" s="182"/>
      <c r="BT160" s="182"/>
      <c r="BU160" s="182"/>
      <c r="BV160" s="182"/>
      <c r="BW160" s="182"/>
      <c r="BX160" s="182"/>
      <c r="BY160" s="182"/>
      <c r="BZ160" s="182"/>
      <c r="CA160" s="182"/>
      <c r="CB160" s="185">
        <v>1340.8</v>
      </c>
      <c r="CC160" s="185">
        <v>0</v>
      </c>
      <c r="CD160" s="185">
        <v>1517</v>
      </c>
      <c r="CE160" s="185"/>
    </row>
    <row r="161" spans="2:83" x14ac:dyDescent="0.3">
      <c r="B161" s="182">
        <v>3717</v>
      </c>
      <c r="C161" s="182">
        <v>1518</v>
      </c>
      <c r="D161" s="182" t="s">
        <v>132</v>
      </c>
      <c r="E161" s="181" t="s">
        <v>4132</v>
      </c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>
        <v>80</v>
      </c>
      <c r="V161" s="182"/>
      <c r="W161" s="182"/>
      <c r="X161" s="182"/>
      <c r="Y161" s="182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5">
        <v>80</v>
      </c>
      <c r="AR161" s="182">
        <v>80</v>
      </c>
      <c r="AS161" s="182"/>
      <c r="AT161" s="182"/>
      <c r="AU161" s="182"/>
      <c r="AV161" s="182"/>
      <c r="AW161" s="182"/>
      <c r="AX161" s="182"/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/>
      <c r="BI161" s="182"/>
      <c r="BJ161" s="182"/>
      <c r="BK161" s="182"/>
      <c r="BL161" s="182"/>
      <c r="BM161" s="182"/>
      <c r="BN161" s="182"/>
      <c r="BO161" s="182"/>
      <c r="BP161" s="182"/>
      <c r="BQ161" s="182"/>
      <c r="BR161" s="182"/>
      <c r="BS161" s="182"/>
      <c r="BT161" s="182"/>
      <c r="BU161" s="182"/>
      <c r="BV161" s="182"/>
      <c r="BW161" s="182"/>
      <c r="BX161" s="182"/>
      <c r="BY161" s="182"/>
      <c r="BZ161" s="182"/>
      <c r="CA161" s="182"/>
      <c r="CB161" s="185">
        <v>80</v>
      </c>
      <c r="CC161" s="185">
        <v>0</v>
      </c>
      <c r="CD161" s="185">
        <v>1518</v>
      </c>
      <c r="CE161" s="185"/>
    </row>
    <row r="162" spans="2:83" x14ac:dyDescent="0.3">
      <c r="B162" s="182">
        <v>3718</v>
      </c>
      <c r="C162" s="182">
        <v>1519</v>
      </c>
      <c r="D162" s="182" t="s">
        <v>132</v>
      </c>
      <c r="E162" s="181" t="s">
        <v>4133</v>
      </c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>
        <v>2815.84</v>
      </c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  <c r="AK162" s="182"/>
      <c r="AL162" s="182"/>
      <c r="AM162" s="182"/>
      <c r="AN162" s="182"/>
      <c r="AO162" s="182"/>
      <c r="AP162" s="182"/>
      <c r="AQ162" s="185">
        <v>2815.84</v>
      </c>
      <c r="AR162" s="182">
        <v>2815.84</v>
      </c>
      <c r="AS162" s="182"/>
      <c r="AT162" s="182"/>
      <c r="AU162" s="182"/>
      <c r="AV162" s="182"/>
      <c r="AW162" s="182"/>
      <c r="AX162" s="182"/>
      <c r="AY162" s="182"/>
      <c r="AZ162" s="182"/>
      <c r="BA162" s="182"/>
      <c r="BB162" s="182"/>
      <c r="BC162" s="182"/>
      <c r="BD162" s="182"/>
      <c r="BE162" s="182"/>
      <c r="BF162" s="182"/>
      <c r="BG162" s="182"/>
      <c r="BH162" s="182"/>
      <c r="BI162" s="182"/>
      <c r="BJ162" s="182"/>
      <c r="BK162" s="182"/>
      <c r="BL162" s="182"/>
      <c r="BM162" s="182"/>
      <c r="BN162" s="182"/>
      <c r="BO162" s="182"/>
      <c r="BP162" s="182"/>
      <c r="BQ162" s="182"/>
      <c r="BR162" s="182"/>
      <c r="BS162" s="182"/>
      <c r="BT162" s="182"/>
      <c r="BU162" s="182"/>
      <c r="BV162" s="182"/>
      <c r="BW162" s="182"/>
      <c r="BX162" s="182"/>
      <c r="BY162" s="182"/>
      <c r="BZ162" s="182"/>
      <c r="CA162" s="182"/>
      <c r="CB162" s="185">
        <v>2815.84</v>
      </c>
      <c r="CC162" s="185">
        <v>0</v>
      </c>
      <c r="CD162" s="185">
        <v>1519</v>
      </c>
      <c r="CE162" s="185"/>
    </row>
    <row r="163" spans="2:83" x14ac:dyDescent="0.3">
      <c r="B163" s="182">
        <v>3719</v>
      </c>
      <c r="C163" s="182">
        <v>1520</v>
      </c>
      <c r="D163" s="182" t="s">
        <v>4134</v>
      </c>
      <c r="E163" s="181" t="s">
        <v>4130</v>
      </c>
      <c r="F163" s="182"/>
      <c r="G163" s="182"/>
      <c r="H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>
        <v>1727.35</v>
      </c>
      <c r="U163" s="182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182"/>
      <c r="AG163" s="182"/>
      <c r="AH163" s="182"/>
      <c r="AI163" s="182"/>
      <c r="AJ163" s="182"/>
      <c r="AK163" s="182"/>
      <c r="AL163" s="182"/>
      <c r="AM163" s="182"/>
      <c r="AN163" s="182"/>
      <c r="AO163" s="182"/>
      <c r="AP163" s="182"/>
      <c r="AQ163" s="185">
        <v>1727.35</v>
      </c>
      <c r="AR163" s="182">
        <v>1727.35</v>
      </c>
      <c r="AS163" s="182"/>
      <c r="AT163" s="182"/>
      <c r="AU163" s="182"/>
      <c r="AV163" s="182"/>
      <c r="AW163" s="182"/>
      <c r="AX163" s="182"/>
      <c r="AY163" s="182"/>
      <c r="AZ163" s="182"/>
      <c r="BA163" s="182"/>
      <c r="BB163" s="182"/>
      <c r="BC163" s="182"/>
      <c r="BD163" s="182"/>
      <c r="BE163" s="182"/>
      <c r="BF163" s="182"/>
      <c r="BG163" s="182"/>
      <c r="BH163" s="182"/>
      <c r="BI163" s="182"/>
      <c r="BJ163" s="182"/>
      <c r="BK163" s="182"/>
      <c r="BL163" s="182"/>
      <c r="BM163" s="182"/>
      <c r="BN163" s="182"/>
      <c r="BO163" s="182"/>
      <c r="BP163" s="182"/>
      <c r="BQ163" s="182"/>
      <c r="BR163" s="182"/>
      <c r="BS163" s="182"/>
      <c r="BT163" s="182"/>
      <c r="BU163" s="182"/>
      <c r="BV163" s="182"/>
      <c r="BW163" s="182"/>
      <c r="BX163" s="182"/>
      <c r="BY163" s="182"/>
      <c r="BZ163" s="182"/>
      <c r="CA163" s="182"/>
      <c r="CB163" s="185">
        <v>1727.35</v>
      </c>
      <c r="CC163" s="185">
        <v>0</v>
      </c>
      <c r="CD163" s="185">
        <v>1520</v>
      </c>
      <c r="CE163" s="185"/>
    </row>
    <row r="164" spans="2:83" x14ac:dyDescent="0.3">
      <c r="B164" s="182">
        <v>3720</v>
      </c>
      <c r="C164" s="182">
        <v>1521</v>
      </c>
      <c r="D164" s="182" t="s">
        <v>4134</v>
      </c>
      <c r="E164" s="181" t="s">
        <v>4133</v>
      </c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>
        <v>102.75</v>
      </c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182"/>
      <c r="AQ164" s="185">
        <v>102.75</v>
      </c>
      <c r="AR164" s="182">
        <v>102.75</v>
      </c>
      <c r="AS164" s="182"/>
      <c r="AT164" s="182"/>
      <c r="AU164" s="182"/>
      <c r="AV164" s="182"/>
      <c r="AW164" s="182"/>
      <c r="AX164" s="182"/>
      <c r="AY164" s="182"/>
      <c r="AZ164" s="182"/>
      <c r="BA164" s="182"/>
      <c r="BB164" s="182"/>
      <c r="BC164" s="182"/>
      <c r="BD164" s="182"/>
      <c r="BE164" s="182"/>
      <c r="BF164" s="182"/>
      <c r="BG164" s="182"/>
      <c r="BH164" s="182"/>
      <c r="BI164" s="182"/>
      <c r="BJ164" s="182"/>
      <c r="BK164" s="182"/>
      <c r="BL164" s="182"/>
      <c r="BM164" s="182"/>
      <c r="BN164" s="182"/>
      <c r="BO164" s="182"/>
      <c r="BP164" s="182"/>
      <c r="BQ164" s="182"/>
      <c r="BR164" s="182"/>
      <c r="BS164" s="182"/>
      <c r="BT164" s="182"/>
      <c r="BU164" s="182"/>
      <c r="BV164" s="182"/>
      <c r="BW164" s="182"/>
      <c r="BX164" s="182"/>
      <c r="BY164" s="182"/>
      <c r="BZ164" s="182"/>
      <c r="CA164" s="182"/>
      <c r="CB164" s="185">
        <v>102.75</v>
      </c>
      <c r="CC164" s="185">
        <v>0</v>
      </c>
      <c r="CD164" s="185">
        <v>1521</v>
      </c>
      <c r="CE164" s="185"/>
    </row>
    <row r="165" spans="2:83" x14ac:dyDescent="0.3">
      <c r="B165" s="182">
        <v>3721</v>
      </c>
      <c r="C165" s="182">
        <v>1522</v>
      </c>
      <c r="D165" s="182" t="s">
        <v>78</v>
      </c>
      <c r="E165" s="181" t="s">
        <v>4130</v>
      </c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>
        <v>332381.43</v>
      </c>
      <c r="U165" s="182"/>
      <c r="V165" s="182"/>
      <c r="W165" s="182"/>
      <c r="X165" s="182"/>
      <c r="Y165" s="182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2"/>
      <c r="AM165" s="182"/>
      <c r="AN165" s="182"/>
      <c r="AO165" s="182"/>
      <c r="AP165" s="182"/>
      <c r="AQ165" s="185">
        <v>332381.43</v>
      </c>
      <c r="AR165" s="182">
        <v>332381.43</v>
      </c>
      <c r="AS165" s="182"/>
      <c r="AT165" s="182"/>
      <c r="AU165" s="182"/>
      <c r="AV165" s="182"/>
      <c r="AW165" s="182"/>
      <c r="AX165" s="182"/>
      <c r="AY165" s="182"/>
      <c r="AZ165" s="182"/>
      <c r="BA165" s="182"/>
      <c r="BB165" s="182"/>
      <c r="BC165" s="182"/>
      <c r="BD165" s="182"/>
      <c r="BE165" s="182"/>
      <c r="BF165" s="182"/>
      <c r="BG165" s="182"/>
      <c r="BH165" s="182"/>
      <c r="BI165" s="182"/>
      <c r="BJ165" s="182"/>
      <c r="BK165" s="182"/>
      <c r="BL165" s="182"/>
      <c r="BM165" s="182"/>
      <c r="BN165" s="182"/>
      <c r="BO165" s="182"/>
      <c r="BP165" s="182"/>
      <c r="BQ165" s="182"/>
      <c r="BR165" s="182"/>
      <c r="BS165" s="182"/>
      <c r="BT165" s="182"/>
      <c r="BU165" s="182"/>
      <c r="BV165" s="182"/>
      <c r="BW165" s="182"/>
      <c r="BX165" s="182"/>
      <c r="BY165" s="182"/>
      <c r="BZ165" s="182"/>
      <c r="CA165" s="182"/>
      <c r="CB165" s="185">
        <v>332381.43</v>
      </c>
      <c r="CC165" s="185">
        <v>0</v>
      </c>
      <c r="CD165" s="185">
        <v>1522</v>
      </c>
      <c r="CE165" s="185"/>
    </row>
    <row r="166" spans="2:83" x14ac:dyDescent="0.3">
      <c r="B166" s="182">
        <v>3722</v>
      </c>
      <c r="C166" s="182">
        <v>1523</v>
      </c>
      <c r="D166" s="182" t="s">
        <v>130</v>
      </c>
      <c r="E166" s="181" t="s">
        <v>4130</v>
      </c>
      <c r="F166" s="182"/>
      <c r="G166" s="182"/>
      <c r="H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>
        <v>1359.6</v>
      </c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  <c r="AJ166" s="182"/>
      <c r="AK166" s="182"/>
      <c r="AL166" s="182"/>
      <c r="AM166" s="182"/>
      <c r="AN166" s="182"/>
      <c r="AO166" s="182"/>
      <c r="AP166" s="182"/>
      <c r="AQ166" s="185">
        <v>1359.6</v>
      </c>
      <c r="AR166" s="182">
        <v>1359.6</v>
      </c>
      <c r="AS166" s="182"/>
      <c r="AT166" s="182"/>
      <c r="AU166" s="182"/>
      <c r="AV166" s="182"/>
      <c r="AW166" s="182"/>
      <c r="AX166" s="182"/>
      <c r="AY166" s="182"/>
      <c r="AZ166" s="182"/>
      <c r="BA166" s="182"/>
      <c r="BB166" s="182"/>
      <c r="BC166" s="182"/>
      <c r="BD166" s="182"/>
      <c r="BE166" s="182"/>
      <c r="BF166" s="182"/>
      <c r="BG166" s="182"/>
      <c r="BH166" s="182"/>
      <c r="BI166" s="182"/>
      <c r="BJ166" s="182"/>
      <c r="BK166" s="182"/>
      <c r="BL166" s="182"/>
      <c r="BM166" s="182"/>
      <c r="BN166" s="182"/>
      <c r="BO166" s="182"/>
      <c r="BP166" s="182"/>
      <c r="BQ166" s="182"/>
      <c r="BR166" s="182"/>
      <c r="BS166" s="182"/>
      <c r="BT166" s="182"/>
      <c r="BU166" s="182"/>
      <c r="BV166" s="182"/>
      <c r="BW166" s="182"/>
      <c r="BX166" s="182"/>
      <c r="BY166" s="182"/>
      <c r="BZ166" s="182"/>
      <c r="CA166" s="182"/>
      <c r="CB166" s="185">
        <v>1359.6</v>
      </c>
      <c r="CC166" s="185">
        <v>0</v>
      </c>
      <c r="CD166" s="185">
        <v>1523</v>
      </c>
      <c r="CE166" s="185"/>
    </row>
    <row r="167" spans="2:83" x14ac:dyDescent="0.3">
      <c r="B167" s="182">
        <v>3723</v>
      </c>
      <c r="C167" s="182">
        <v>1524</v>
      </c>
      <c r="D167" s="182" t="s">
        <v>128</v>
      </c>
      <c r="E167" s="181" t="s">
        <v>4130</v>
      </c>
      <c r="F167" s="182"/>
      <c r="G167" s="182"/>
      <c r="H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>
        <v>9617.4500000000007</v>
      </c>
      <c r="U167" s="182"/>
      <c r="V167" s="182"/>
      <c r="W167" s="182"/>
      <c r="X167" s="182"/>
      <c r="Y167" s="182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182"/>
      <c r="AL167" s="182"/>
      <c r="AM167" s="182"/>
      <c r="AN167" s="182"/>
      <c r="AO167" s="182"/>
      <c r="AP167" s="182"/>
      <c r="AQ167" s="185">
        <v>9617.4500000000007</v>
      </c>
      <c r="AR167" s="182">
        <v>9617.4500000000007</v>
      </c>
      <c r="AS167" s="182"/>
      <c r="AT167" s="182"/>
      <c r="AU167" s="182"/>
      <c r="AV167" s="182"/>
      <c r="AW167" s="182"/>
      <c r="AX167" s="182"/>
      <c r="AY167" s="182"/>
      <c r="AZ167" s="182"/>
      <c r="BA167" s="182"/>
      <c r="BB167" s="182"/>
      <c r="BC167" s="182"/>
      <c r="BD167" s="182"/>
      <c r="BE167" s="182"/>
      <c r="BF167" s="182"/>
      <c r="BG167" s="182"/>
      <c r="BH167" s="182"/>
      <c r="BI167" s="182"/>
      <c r="BJ167" s="182"/>
      <c r="BK167" s="182"/>
      <c r="BL167" s="182"/>
      <c r="BM167" s="182"/>
      <c r="BN167" s="182"/>
      <c r="BO167" s="182"/>
      <c r="BP167" s="182"/>
      <c r="BQ167" s="182"/>
      <c r="BR167" s="182"/>
      <c r="BS167" s="182"/>
      <c r="BT167" s="182"/>
      <c r="BU167" s="182"/>
      <c r="BV167" s="182"/>
      <c r="BW167" s="182"/>
      <c r="BX167" s="182"/>
      <c r="BY167" s="182"/>
      <c r="BZ167" s="182"/>
      <c r="CA167" s="182"/>
      <c r="CB167" s="185">
        <v>9617.4500000000007</v>
      </c>
      <c r="CC167" s="185">
        <v>0</v>
      </c>
      <c r="CD167" s="185">
        <v>1524</v>
      </c>
      <c r="CE167" s="185"/>
    </row>
    <row r="168" spans="2:83" x14ac:dyDescent="0.3">
      <c r="B168" s="182">
        <v>3724</v>
      </c>
      <c r="C168" s="182">
        <v>1525</v>
      </c>
      <c r="D168" s="182" t="s">
        <v>724</v>
      </c>
      <c r="E168" s="181" t="s">
        <v>4130</v>
      </c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>
        <v>294.33</v>
      </c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182"/>
      <c r="AL168" s="182"/>
      <c r="AM168" s="182"/>
      <c r="AN168" s="182"/>
      <c r="AO168" s="182"/>
      <c r="AP168" s="182"/>
      <c r="AQ168" s="185">
        <v>294.33</v>
      </c>
      <c r="AR168" s="182">
        <v>294.33</v>
      </c>
      <c r="AS168" s="182"/>
      <c r="AT168" s="182"/>
      <c r="AU168" s="182"/>
      <c r="AV168" s="182"/>
      <c r="AW168" s="182"/>
      <c r="AX168" s="182"/>
      <c r="AY168" s="182"/>
      <c r="AZ168" s="182"/>
      <c r="BA168" s="182"/>
      <c r="BB168" s="182"/>
      <c r="BC168" s="182"/>
      <c r="BD168" s="182"/>
      <c r="BE168" s="182"/>
      <c r="BF168" s="182"/>
      <c r="BG168" s="182"/>
      <c r="BH168" s="182"/>
      <c r="BI168" s="182"/>
      <c r="BJ168" s="182"/>
      <c r="BK168" s="182"/>
      <c r="BL168" s="182"/>
      <c r="BM168" s="182"/>
      <c r="BN168" s="182"/>
      <c r="BO168" s="182"/>
      <c r="BP168" s="182"/>
      <c r="BQ168" s="182"/>
      <c r="BR168" s="182"/>
      <c r="BS168" s="182"/>
      <c r="BT168" s="182"/>
      <c r="BU168" s="182"/>
      <c r="BV168" s="182"/>
      <c r="BW168" s="182"/>
      <c r="BX168" s="182"/>
      <c r="BY168" s="182"/>
      <c r="BZ168" s="182"/>
      <c r="CA168" s="182"/>
      <c r="CB168" s="185">
        <v>294.33</v>
      </c>
      <c r="CC168" s="185">
        <v>0</v>
      </c>
      <c r="CD168" s="185">
        <v>1525</v>
      </c>
      <c r="CE168" s="185"/>
    </row>
    <row r="169" spans="2:83" x14ac:dyDescent="0.3">
      <c r="B169" s="182">
        <v>3725</v>
      </c>
      <c r="C169" s="182">
        <v>1526</v>
      </c>
      <c r="D169" s="182" t="s">
        <v>724</v>
      </c>
      <c r="E169" s="181" t="s">
        <v>4133</v>
      </c>
      <c r="F169" s="182"/>
      <c r="G169" s="182"/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>
        <v>8.3000000000000007</v>
      </c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  <c r="AJ169" s="182"/>
      <c r="AK169" s="182"/>
      <c r="AL169" s="182"/>
      <c r="AM169" s="182"/>
      <c r="AN169" s="182"/>
      <c r="AO169" s="182"/>
      <c r="AP169" s="182"/>
      <c r="AQ169" s="185">
        <v>8.3000000000000007</v>
      </c>
      <c r="AR169" s="182">
        <v>8.3000000000000007</v>
      </c>
      <c r="AS169" s="182"/>
      <c r="AT169" s="182"/>
      <c r="AU169" s="182"/>
      <c r="AV169" s="182"/>
      <c r="AW169" s="182"/>
      <c r="AX169" s="182"/>
      <c r="AY169" s="182"/>
      <c r="AZ169" s="182"/>
      <c r="BA169" s="182"/>
      <c r="BB169" s="182"/>
      <c r="BC169" s="182"/>
      <c r="BD169" s="182"/>
      <c r="BE169" s="182"/>
      <c r="BF169" s="182"/>
      <c r="BG169" s="182"/>
      <c r="BH169" s="182"/>
      <c r="BI169" s="182"/>
      <c r="BJ169" s="182"/>
      <c r="BK169" s="182"/>
      <c r="BL169" s="182"/>
      <c r="BM169" s="182"/>
      <c r="BN169" s="182"/>
      <c r="BO169" s="182"/>
      <c r="BP169" s="182"/>
      <c r="BQ169" s="182"/>
      <c r="BR169" s="182"/>
      <c r="BS169" s="182"/>
      <c r="BT169" s="182"/>
      <c r="BU169" s="182"/>
      <c r="BV169" s="182"/>
      <c r="BW169" s="182"/>
      <c r="BX169" s="182"/>
      <c r="BY169" s="182"/>
      <c r="BZ169" s="182"/>
      <c r="CA169" s="182"/>
      <c r="CB169" s="185">
        <v>8.3000000000000007</v>
      </c>
      <c r="CC169" s="185">
        <v>0</v>
      </c>
      <c r="CD169" s="185">
        <v>1526</v>
      </c>
      <c r="CE169" s="185"/>
    </row>
    <row r="170" spans="2:83" x14ac:dyDescent="0.3">
      <c r="B170" s="182">
        <v>3726</v>
      </c>
      <c r="C170" s="182">
        <v>1527</v>
      </c>
      <c r="D170" s="182" t="s">
        <v>128</v>
      </c>
      <c r="E170" s="181" t="s">
        <v>4133</v>
      </c>
      <c r="F170" s="182"/>
      <c r="G170" s="182"/>
      <c r="H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>
        <v>624.9</v>
      </c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182"/>
      <c r="AL170" s="182"/>
      <c r="AM170" s="182"/>
      <c r="AN170" s="182"/>
      <c r="AO170" s="182"/>
      <c r="AP170" s="182"/>
      <c r="AQ170" s="185">
        <v>624.9</v>
      </c>
      <c r="AR170" s="182">
        <v>624.9</v>
      </c>
      <c r="AS170" s="182"/>
      <c r="AT170" s="182"/>
      <c r="AU170" s="182"/>
      <c r="AV170" s="182"/>
      <c r="AW170" s="182"/>
      <c r="AX170" s="182"/>
      <c r="AY170" s="182"/>
      <c r="AZ170" s="182"/>
      <c r="BA170" s="182"/>
      <c r="BB170" s="182"/>
      <c r="BC170" s="182"/>
      <c r="BD170" s="182"/>
      <c r="BE170" s="182"/>
      <c r="BF170" s="182"/>
      <c r="BG170" s="182"/>
      <c r="BH170" s="182"/>
      <c r="BI170" s="182"/>
      <c r="BJ170" s="182"/>
      <c r="BK170" s="182"/>
      <c r="BL170" s="182"/>
      <c r="BM170" s="182"/>
      <c r="BN170" s="182"/>
      <c r="BO170" s="182"/>
      <c r="BP170" s="182"/>
      <c r="BQ170" s="182"/>
      <c r="BR170" s="182"/>
      <c r="BS170" s="182"/>
      <c r="BT170" s="182"/>
      <c r="BU170" s="182"/>
      <c r="BV170" s="182"/>
      <c r="BW170" s="182"/>
      <c r="BX170" s="182"/>
      <c r="BY170" s="182"/>
      <c r="BZ170" s="182"/>
      <c r="CA170" s="182"/>
      <c r="CB170" s="185">
        <v>624.9</v>
      </c>
      <c r="CC170" s="185">
        <v>0</v>
      </c>
      <c r="CD170" s="185">
        <v>1527</v>
      </c>
      <c r="CE170" s="185"/>
    </row>
    <row r="171" spans="2:83" x14ac:dyDescent="0.3">
      <c r="B171" s="182">
        <v>3727</v>
      </c>
      <c r="C171" s="182">
        <v>1528</v>
      </c>
      <c r="D171" s="182" t="s">
        <v>130</v>
      </c>
      <c r="E171" s="181" t="s">
        <v>4133</v>
      </c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>
        <v>44.9</v>
      </c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/>
      <c r="AL171" s="182"/>
      <c r="AM171" s="182"/>
      <c r="AN171" s="182"/>
      <c r="AO171" s="182"/>
      <c r="AP171" s="182"/>
      <c r="AQ171" s="185">
        <v>44.9</v>
      </c>
      <c r="AR171" s="182">
        <v>44.9</v>
      </c>
      <c r="AS171" s="182"/>
      <c r="AT171" s="182"/>
      <c r="AU171" s="182"/>
      <c r="AV171" s="182"/>
      <c r="AW171" s="182"/>
      <c r="AX171" s="182"/>
      <c r="AY171" s="182"/>
      <c r="AZ171" s="182"/>
      <c r="BA171" s="182"/>
      <c r="BB171" s="182"/>
      <c r="BC171" s="182"/>
      <c r="BD171" s="182"/>
      <c r="BE171" s="182"/>
      <c r="BF171" s="182"/>
      <c r="BG171" s="182"/>
      <c r="BH171" s="182"/>
      <c r="BI171" s="182"/>
      <c r="BJ171" s="182"/>
      <c r="BK171" s="182"/>
      <c r="BL171" s="182"/>
      <c r="BM171" s="182"/>
      <c r="BN171" s="182"/>
      <c r="BO171" s="182"/>
      <c r="BP171" s="182"/>
      <c r="BQ171" s="182"/>
      <c r="BR171" s="182"/>
      <c r="BS171" s="182"/>
      <c r="BT171" s="182"/>
      <c r="BU171" s="182"/>
      <c r="BV171" s="182"/>
      <c r="BW171" s="182"/>
      <c r="BX171" s="182"/>
      <c r="BY171" s="182"/>
      <c r="BZ171" s="182"/>
      <c r="CA171" s="182"/>
      <c r="CB171" s="185">
        <v>44.9</v>
      </c>
      <c r="CC171" s="185">
        <v>0</v>
      </c>
      <c r="CD171" s="185">
        <v>1528</v>
      </c>
      <c r="CE171" s="185"/>
    </row>
    <row r="172" spans="2:83" x14ac:dyDescent="0.3">
      <c r="B172" s="182">
        <v>3728</v>
      </c>
      <c r="C172" s="182">
        <v>1529</v>
      </c>
      <c r="D172" s="182" t="s">
        <v>78</v>
      </c>
      <c r="E172" s="181" t="s">
        <v>4133</v>
      </c>
      <c r="F172" s="182"/>
      <c r="G172" s="182"/>
      <c r="H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>
        <v>22655.49</v>
      </c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  <c r="AJ172" s="182"/>
      <c r="AK172" s="182"/>
      <c r="AL172" s="182"/>
      <c r="AM172" s="182"/>
      <c r="AN172" s="182"/>
      <c r="AO172" s="182"/>
      <c r="AP172" s="182"/>
      <c r="AQ172" s="185">
        <v>22655.49</v>
      </c>
      <c r="AR172" s="182">
        <v>22655.49</v>
      </c>
      <c r="AS172" s="182"/>
      <c r="AT172" s="182"/>
      <c r="AU172" s="182"/>
      <c r="AV172" s="182"/>
      <c r="AW172" s="182"/>
      <c r="AX172" s="182"/>
      <c r="AY172" s="182"/>
      <c r="AZ172" s="182"/>
      <c r="BA172" s="182"/>
      <c r="BB172" s="182"/>
      <c r="BC172" s="182"/>
      <c r="BD172" s="182"/>
      <c r="BE172" s="182"/>
      <c r="BF172" s="182"/>
      <c r="BG172" s="182"/>
      <c r="BH172" s="182"/>
      <c r="BI172" s="182"/>
      <c r="BJ172" s="182"/>
      <c r="BK172" s="182"/>
      <c r="BL172" s="182"/>
      <c r="BM172" s="182"/>
      <c r="BN172" s="182"/>
      <c r="BO172" s="182"/>
      <c r="BP172" s="182"/>
      <c r="BQ172" s="182"/>
      <c r="BR172" s="182"/>
      <c r="BS172" s="182"/>
      <c r="BT172" s="182"/>
      <c r="BU172" s="182"/>
      <c r="BV172" s="182"/>
      <c r="BW172" s="182"/>
      <c r="BX172" s="182"/>
      <c r="BY172" s="182"/>
      <c r="BZ172" s="182"/>
      <c r="CA172" s="182"/>
      <c r="CB172" s="185">
        <v>22655.49</v>
      </c>
      <c r="CC172" s="185">
        <v>0</v>
      </c>
      <c r="CD172" s="185">
        <v>1529</v>
      </c>
      <c r="CE172" s="185"/>
    </row>
    <row r="173" spans="2:83" x14ac:dyDescent="0.3">
      <c r="B173" s="182">
        <v>3729</v>
      </c>
      <c r="C173" s="182">
        <v>1530</v>
      </c>
      <c r="D173" s="182" t="s">
        <v>78</v>
      </c>
      <c r="E173" s="181" t="s">
        <v>4131</v>
      </c>
      <c r="F173" s="182"/>
      <c r="G173" s="182"/>
      <c r="H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>
        <v>57671</v>
      </c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  <c r="AJ173" s="182"/>
      <c r="AK173" s="182"/>
      <c r="AL173" s="182"/>
      <c r="AM173" s="182"/>
      <c r="AN173" s="182"/>
      <c r="AO173" s="182"/>
      <c r="AP173" s="182"/>
      <c r="AQ173" s="185">
        <v>57671</v>
      </c>
      <c r="AR173" s="182">
        <v>57671</v>
      </c>
      <c r="AS173" s="182"/>
      <c r="AT173" s="182"/>
      <c r="AU173" s="182"/>
      <c r="AV173" s="182"/>
      <c r="AW173" s="182"/>
      <c r="AX173" s="182"/>
      <c r="AY173" s="182"/>
      <c r="AZ173" s="182"/>
      <c r="BA173" s="182"/>
      <c r="BB173" s="182"/>
      <c r="BC173" s="182"/>
      <c r="BD173" s="182"/>
      <c r="BE173" s="182"/>
      <c r="BF173" s="182"/>
      <c r="BG173" s="182"/>
      <c r="BH173" s="182"/>
      <c r="BI173" s="182"/>
      <c r="BJ173" s="182"/>
      <c r="BK173" s="182"/>
      <c r="BL173" s="182"/>
      <c r="BM173" s="182"/>
      <c r="BN173" s="182"/>
      <c r="BO173" s="182"/>
      <c r="BP173" s="182"/>
      <c r="BQ173" s="182"/>
      <c r="BR173" s="182"/>
      <c r="BS173" s="182"/>
      <c r="BT173" s="182"/>
      <c r="BU173" s="182"/>
      <c r="BV173" s="182"/>
      <c r="BW173" s="182"/>
      <c r="BX173" s="182"/>
      <c r="BY173" s="182"/>
      <c r="BZ173" s="182"/>
      <c r="CA173" s="182"/>
      <c r="CB173" s="185">
        <v>57671</v>
      </c>
      <c r="CC173" s="185">
        <v>0</v>
      </c>
      <c r="CD173" s="185">
        <v>1530</v>
      </c>
      <c r="CE173" s="185"/>
    </row>
    <row r="174" spans="2:83" x14ac:dyDescent="0.3">
      <c r="B174" s="182">
        <v>3730</v>
      </c>
      <c r="C174" s="182">
        <v>1531</v>
      </c>
      <c r="D174" s="182" t="s">
        <v>130</v>
      </c>
      <c r="E174" s="181" t="s">
        <v>4131</v>
      </c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>
        <v>4809.8999999999996</v>
      </c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182"/>
      <c r="AI174" s="182"/>
      <c r="AJ174" s="182"/>
      <c r="AK174" s="182"/>
      <c r="AL174" s="182"/>
      <c r="AM174" s="182"/>
      <c r="AN174" s="182"/>
      <c r="AO174" s="182"/>
      <c r="AP174" s="182"/>
      <c r="AQ174" s="185">
        <v>4809.8999999999996</v>
      </c>
      <c r="AR174" s="182">
        <v>4809.8999999999996</v>
      </c>
      <c r="AS174" s="182"/>
      <c r="AT174" s="182"/>
      <c r="AU174" s="182"/>
      <c r="AV174" s="182"/>
      <c r="AW174" s="182"/>
      <c r="AX174" s="182"/>
      <c r="AY174" s="182"/>
      <c r="AZ174" s="182"/>
      <c r="BA174" s="182"/>
      <c r="BB174" s="182"/>
      <c r="BC174" s="182"/>
      <c r="BD174" s="182"/>
      <c r="BE174" s="182"/>
      <c r="BF174" s="182"/>
      <c r="BG174" s="182"/>
      <c r="BH174" s="182"/>
      <c r="BI174" s="182"/>
      <c r="BJ174" s="182"/>
      <c r="BK174" s="182"/>
      <c r="BL174" s="182"/>
      <c r="BM174" s="182"/>
      <c r="BN174" s="182"/>
      <c r="BO174" s="182"/>
      <c r="BP174" s="182"/>
      <c r="BQ174" s="182"/>
      <c r="BR174" s="182"/>
      <c r="BS174" s="182"/>
      <c r="BT174" s="182"/>
      <c r="BU174" s="182"/>
      <c r="BV174" s="182"/>
      <c r="BW174" s="182"/>
      <c r="BX174" s="182"/>
      <c r="BY174" s="182"/>
      <c r="BZ174" s="182"/>
      <c r="CA174" s="182"/>
      <c r="CB174" s="185">
        <v>4809.8999999999996</v>
      </c>
      <c r="CC174" s="185">
        <v>0</v>
      </c>
      <c r="CD174" s="185">
        <v>1531</v>
      </c>
      <c r="CE174" s="185"/>
    </row>
    <row r="175" spans="2:83" x14ac:dyDescent="0.3">
      <c r="B175" s="182">
        <v>3731</v>
      </c>
      <c r="C175" s="182">
        <v>1532</v>
      </c>
      <c r="D175" s="182" t="s">
        <v>128</v>
      </c>
      <c r="E175" s="181" t="s">
        <v>4131</v>
      </c>
      <c r="F175" s="182"/>
      <c r="G175" s="182"/>
      <c r="H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>
        <v>471.1</v>
      </c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  <c r="AI175" s="182"/>
      <c r="AJ175" s="182"/>
      <c r="AK175" s="182"/>
      <c r="AL175" s="182"/>
      <c r="AM175" s="182"/>
      <c r="AN175" s="182"/>
      <c r="AO175" s="182"/>
      <c r="AP175" s="182"/>
      <c r="AQ175" s="185">
        <v>471.1</v>
      </c>
      <c r="AR175" s="182">
        <v>471.1</v>
      </c>
      <c r="AS175" s="182"/>
      <c r="AT175" s="182"/>
      <c r="AU175" s="182"/>
      <c r="AV175" s="182"/>
      <c r="AW175" s="182"/>
      <c r="AX175" s="182"/>
      <c r="AY175" s="182"/>
      <c r="AZ175" s="182"/>
      <c r="BA175" s="182"/>
      <c r="BB175" s="182"/>
      <c r="BC175" s="182"/>
      <c r="BD175" s="182"/>
      <c r="BE175" s="182"/>
      <c r="BF175" s="182"/>
      <c r="BG175" s="182"/>
      <c r="BH175" s="182"/>
      <c r="BI175" s="182"/>
      <c r="BJ175" s="182"/>
      <c r="BK175" s="182"/>
      <c r="BL175" s="182"/>
      <c r="BM175" s="182"/>
      <c r="BN175" s="182"/>
      <c r="BO175" s="182"/>
      <c r="BP175" s="182"/>
      <c r="BQ175" s="182"/>
      <c r="BR175" s="182"/>
      <c r="BS175" s="182"/>
      <c r="BT175" s="182"/>
      <c r="BU175" s="182"/>
      <c r="BV175" s="182"/>
      <c r="BW175" s="182"/>
      <c r="BX175" s="182"/>
      <c r="BY175" s="182"/>
      <c r="BZ175" s="182"/>
      <c r="CA175" s="182"/>
      <c r="CB175" s="185">
        <v>471.1</v>
      </c>
      <c r="CC175" s="185">
        <v>0</v>
      </c>
      <c r="CD175" s="185">
        <v>1532</v>
      </c>
      <c r="CE175" s="185"/>
    </row>
    <row r="176" spans="2:83" x14ac:dyDescent="0.3">
      <c r="B176" s="182">
        <v>3732</v>
      </c>
      <c r="C176" s="182">
        <v>1533</v>
      </c>
      <c r="D176" s="182" t="s">
        <v>128</v>
      </c>
      <c r="E176" s="181" t="s">
        <v>4132</v>
      </c>
      <c r="F176" s="182"/>
      <c r="G176" s="182"/>
      <c r="H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>
        <v>62</v>
      </c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G176" s="182"/>
      <c r="AH176" s="182"/>
      <c r="AI176" s="182"/>
      <c r="AJ176" s="182"/>
      <c r="AK176" s="182"/>
      <c r="AL176" s="182"/>
      <c r="AM176" s="182"/>
      <c r="AN176" s="182"/>
      <c r="AO176" s="182"/>
      <c r="AP176" s="182"/>
      <c r="AQ176" s="185">
        <v>62</v>
      </c>
      <c r="AR176" s="182">
        <v>62</v>
      </c>
      <c r="AS176" s="182"/>
      <c r="AT176" s="182"/>
      <c r="AU176" s="182"/>
      <c r="AV176" s="182"/>
      <c r="AW176" s="182"/>
      <c r="AX176" s="182"/>
      <c r="AY176" s="182"/>
      <c r="AZ176" s="182"/>
      <c r="BA176" s="182"/>
      <c r="BB176" s="182"/>
      <c r="BC176" s="182"/>
      <c r="BD176" s="182"/>
      <c r="BE176" s="182"/>
      <c r="BF176" s="182"/>
      <c r="BG176" s="182"/>
      <c r="BH176" s="182"/>
      <c r="BI176" s="182"/>
      <c r="BJ176" s="182"/>
      <c r="BK176" s="182"/>
      <c r="BL176" s="182"/>
      <c r="BM176" s="182"/>
      <c r="BN176" s="182"/>
      <c r="BO176" s="182"/>
      <c r="BP176" s="182"/>
      <c r="BQ176" s="182"/>
      <c r="BR176" s="182"/>
      <c r="BS176" s="182"/>
      <c r="BT176" s="182"/>
      <c r="BU176" s="182"/>
      <c r="BV176" s="182"/>
      <c r="BW176" s="182"/>
      <c r="BX176" s="182"/>
      <c r="BY176" s="182"/>
      <c r="BZ176" s="182"/>
      <c r="CA176" s="182"/>
      <c r="CB176" s="185">
        <v>62</v>
      </c>
      <c r="CC176" s="185">
        <v>0</v>
      </c>
      <c r="CD176" s="185">
        <v>1533</v>
      </c>
      <c r="CE176" s="185"/>
    </row>
    <row r="177" spans="2:83" x14ac:dyDescent="0.3">
      <c r="B177" s="182">
        <v>3733</v>
      </c>
      <c r="C177" s="182">
        <v>1534</v>
      </c>
      <c r="D177" s="182" t="s">
        <v>130</v>
      </c>
      <c r="E177" s="181" t="s">
        <v>4132</v>
      </c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>
        <v>114</v>
      </c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/>
      <c r="AN177" s="182"/>
      <c r="AO177" s="182"/>
      <c r="AP177" s="182"/>
      <c r="AQ177" s="185">
        <v>114</v>
      </c>
      <c r="AR177" s="182">
        <v>114</v>
      </c>
      <c r="AS177" s="182"/>
      <c r="AT177" s="182"/>
      <c r="AU177" s="182"/>
      <c r="AV177" s="182"/>
      <c r="AW177" s="182"/>
      <c r="AX177" s="182"/>
      <c r="AY177" s="182"/>
      <c r="AZ177" s="182"/>
      <c r="BA177" s="182"/>
      <c r="BB177" s="182"/>
      <c r="BC177" s="182"/>
      <c r="BD177" s="182"/>
      <c r="BE177" s="182"/>
      <c r="BF177" s="182"/>
      <c r="BG177" s="182"/>
      <c r="BH177" s="182"/>
      <c r="BI177" s="182"/>
      <c r="BJ177" s="182"/>
      <c r="BK177" s="182"/>
      <c r="BL177" s="182"/>
      <c r="BM177" s="182"/>
      <c r="BN177" s="182"/>
      <c r="BO177" s="182"/>
      <c r="BP177" s="182"/>
      <c r="BQ177" s="182"/>
      <c r="BR177" s="182"/>
      <c r="BS177" s="182"/>
      <c r="BT177" s="182"/>
      <c r="BU177" s="182"/>
      <c r="BV177" s="182"/>
      <c r="BW177" s="182"/>
      <c r="BX177" s="182"/>
      <c r="BY177" s="182"/>
      <c r="BZ177" s="182"/>
      <c r="CA177" s="182"/>
      <c r="CB177" s="185">
        <v>114</v>
      </c>
      <c r="CC177" s="185">
        <v>0</v>
      </c>
      <c r="CD177" s="185">
        <v>1534</v>
      </c>
      <c r="CE177" s="185"/>
    </row>
    <row r="178" spans="2:83" x14ac:dyDescent="0.3">
      <c r="B178" s="182">
        <v>3734</v>
      </c>
      <c r="C178" s="182">
        <v>1535</v>
      </c>
      <c r="D178" s="182" t="s">
        <v>78</v>
      </c>
      <c r="E178" s="181" t="s">
        <v>4132</v>
      </c>
      <c r="F178" s="182"/>
      <c r="G178" s="182"/>
      <c r="H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>
        <v>256</v>
      </c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G178" s="182"/>
      <c r="AH178" s="182"/>
      <c r="AI178" s="182"/>
      <c r="AJ178" s="182"/>
      <c r="AK178" s="182"/>
      <c r="AL178" s="182"/>
      <c r="AM178" s="182"/>
      <c r="AN178" s="182"/>
      <c r="AO178" s="182"/>
      <c r="AP178" s="182"/>
      <c r="AQ178" s="185">
        <v>256</v>
      </c>
      <c r="AR178" s="182">
        <v>256</v>
      </c>
      <c r="AS178" s="182"/>
      <c r="AT178" s="182"/>
      <c r="AU178" s="182"/>
      <c r="AV178" s="182"/>
      <c r="AW178" s="182"/>
      <c r="AX178" s="182"/>
      <c r="AY178" s="182"/>
      <c r="AZ178" s="182"/>
      <c r="BA178" s="182"/>
      <c r="BB178" s="182"/>
      <c r="BC178" s="182"/>
      <c r="BD178" s="182"/>
      <c r="BE178" s="182"/>
      <c r="BF178" s="182"/>
      <c r="BG178" s="182"/>
      <c r="BH178" s="182"/>
      <c r="BI178" s="182"/>
      <c r="BJ178" s="182"/>
      <c r="BK178" s="182"/>
      <c r="BL178" s="182"/>
      <c r="BM178" s="182"/>
      <c r="BN178" s="182"/>
      <c r="BO178" s="182"/>
      <c r="BP178" s="182"/>
      <c r="BQ178" s="182"/>
      <c r="BR178" s="182"/>
      <c r="BS178" s="182"/>
      <c r="BT178" s="182"/>
      <c r="BU178" s="182"/>
      <c r="BV178" s="182"/>
      <c r="BW178" s="182"/>
      <c r="BX178" s="182"/>
      <c r="BY178" s="182"/>
      <c r="BZ178" s="182"/>
      <c r="CA178" s="182"/>
      <c r="CB178" s="185">
        <v>256</v>
      </c>
      <c r="CC178" s="185">
        <v>0</v>
      </c>
      <c r="CD178" s="185">
        <v>1535</v>
      </c>
      <c r="CE178" s="185"/>
    </row>
    <row r="179" spans="2:83" x14ac:dyDescent="0.3">
      <c r="B179" s="182">
        <v>3735</v>
      </c>
      <c r="C179" s="182">
        <v>1536</v>
      </c>
      <c r="D179" s="182" t="s">
        <v>121</v>
      </c>
      <c r="E179" s="181" t="s">
        <v>4130</v>
      </c>
      <c r="F179" s="182"/>
      <c r="G179" s="182"/>
      <c r="H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>
        <v>194246.22</v>
      </c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  <c r="AJ179" s="182"/>
      <c r="AK179" s="182"/>
      <c r="AL179" s="182"/>
      <c r="AM179" s="182"/>
      <c r="AN179" s="182"/>
      <c r="AO179" s="182"/>
      <c r="AP179" s="182"/>
      <c r="AQ179" s="185">
        <v>194246.22</v>
      </c>
      <c r="AR179" s="182">
        <v>194246.22</v>
      </c>
      <c r="AS179" s="182"/>
      <c r="AT179" s="182"/>
      <c r="AU179" s="182"/>
      <c r="AV179" s="182"/>
      <c r="AW179" s="182"/>
      <c r="AX179" s="182"/>
      <c r="AY179" s="182"/>
      <c r="AZ179" s="182"/>
      <c r="BA179" s="182"/>
      <c r="BB179" s="182"/>
      <c r="BC179" s="182"/>
      <c r="BD179" s="182"/>
      <c r="BE179" s="182"/>
      <c r="BF179" s="182"/>
      <c r="BG179" s="182"/>
      <c r="BH179" s="182"/>
      <c r="BI179" s="182"/>
      <c r="BJ179" s="182"/>
      <c r="BK179" s="182"/>
      <c r="BL179" s="182"/>
      <c r="BM179" s="182"/>
      <c r="BN179" s="182"/>
      <c r="BO179" s="182"/>
      <c r="BP179" s="182"/>
      <c r="BQ179" s="182"/>
      <c r="BR179" s="182"/>
      <c r="BS179" s="182"/>
      <c r="BT179" s="182"/>
      <c r="BU179" s="182"/>
      <c r="BV179" s="182"/>
      <c r="BW179" s="182"/>
      <c r="BX179" s="182"/>
      <c r="BY179" s="182"/>
      <c r="BZ179" s="182"/>
      <c r="CA179" s="182"/>
      <c r="CB179" s="185">
        <v>194246.22</v>
      </c>
      <c r="CC179" s="185">
        <v>0</v>
      </c>
      <c r="CD179" s="185">
        <v>1536</v>
      </c>
      <c r="CE179" s="185"/>
    </row>
    <row r="180" spans="2:83" x14ac:dyDescent="0.3">
      <c r="B180" s="182">
        <v>3736</v>
      </c>
      <c r="C180" s="182">
        <v>1537</v>
      </c>
      <c r="D180" s="182" t="s">
        <v>121</v>
      </c>
      <c r="E180" s="181" t="s">
        <v>4133</v>
      </c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>
        <v>13597.02</v>
      </c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2"/>
      <c r="AG180" s="182"/>
      <c r="AH180" s="182"/>
      <c r="AI180" s="182"/>
      <c r="AJ180" s="182"/>
      <c r="AK180" s="182"/>
      <c r="AL180" s="182"/>
      <c r="AM180" s="182"/>
      <c r="AN180" s="182"/>
      <c r="AO180" s="182"/>
      <c r="AP180" s="182"/>
      <c r="AQ180" s="185">
        <v>13597.02</v>
      </c>
      <c r="AR180" s="182">
        <v>13597.02</v>
      </c>
      <c r="AS180" s="182"/>
      <c r="AT180" s="182"/>
      <c r="AU180" s="182"/>
      <c r="AV180" s="182"/>
      <c r="AW180" s="182"/>
      <c r="AX180" s="182"/>
      <c r="AY180" s="182"/>
      <c r="AZ180" s="182"/>
      <c r="BA180" s="182"/>
      <c r="BB180" s="182"/>
      <c r="BC180" s="182"/>
      <c r="BD180" s="182"/>
      <c r="BE180" s="182"/>
      <c r="BF180" s="182"/>
      <c r="BG180" s="182"/>
      <c r="BH180" s="182"/>
      <c r="BI180" s="182"/>
      <c r="BJ180" s="182"/>
      <c r="BK180" s="182"/>
      <c r="BL180" s="182"/>
      <c r="BM180" s="182"/>
      <c r="BN180" s="182"/>
      <c r="BO180" s="182"/>
      <c r="BP180" s="182"/>
      <c r="BQ180" s="182"/>
      <c r="BR180" s="182"/>
      <c r="BS180" s="182"/>
      <c r="BT180" s="182"/>
      <c r="BU180" s="182"/>
      <c r="BV180" s="182"/>
      <c r="BW180" s="182"/>
      <c r="BX180" s="182"/>
      <c r="BY180" s="182"/>
      <c r="BZ180" s="182"/>
      <c r="CA180" s="182"/>
      <c r="CB180" s="185">
        <v>13597.02</v>
      </c>
      <c r="CC180" s="185">
        <v>0</v>
      </c>
      <c r="CD180" s="185">
        <v>1537</v>
      </c>
      <c r="CE180" s="185"/>
    </row>
    <row r="181" spans="2:83" x14ac:dyDescent="0.3">
      <c r="B181" s="182">
        <v>3737</v>
      </c>
      <c r="C181" s="182">
        <v>1538</v>
      </c>
      <c r="D181" s="182" t="s">
        <v>121</v>
      </c>
      <c r="E181" s="181" t="s">
        <v>4131</v>
      </c>
      <c r="F181" s="182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>
        <v>25691.55</v>
      </c>
      <c r="U181" s="182"/>
      <c r="V181" s="182"/>
      <c r="W181" s="182"/>
      <c r="X181" s="182"/>
      <c r="Y181" s="182"/>
      <c r="Z181" s="182"/>
      <c r="AA181" s="182"/>
      <c r="AB181" s="182"/>
      <c r="AC181" s="182"/>
      <c r="AD181" s="182"/>
      <c r="AE181" s="182"/>
      <c r="AF181" s="182"/>
      <c r="AG181" s="182"/>
      <c r="AH181" s="182"/>
      <c r="AI181" s="182"/>
      <c r="AJ181" s="182"/>
      <c r="AK181" s="182"/>
      <c r="AL181" s="182"/>
      <c r="AM181" s="182"/>
      <c r="AN181" s="182"/>
      <c r="AO181" s="182"/>
      <c r="AP181" s="182"/>
      <c r="AQ181" s="185">
        <v>25691.55</v>
      </c>
      <c r="AR181" s="182">
        <v>25691.55</v>
      </c>
      <c r="AS181" s="182"/>
      <c r="AT181" s="182"/>
      <c r="AU181" s="182"/>
      <c r="AV181" s="182"/>
      <c r="AW181" s="182"/>
      <c r="AX181" s="182"/>
      <c r="AY181" s="182"/>
      <c r="AZ181" s="182"/>
      <c r="BA181" s="182"/>
      <c r="BB181" s="182"/>
      <c r="BC181" s="182"/>
      <c r="BD181" s="182"/>
      <c r="BE181" s="182"/>
      <c r="BF181" s="182"/>
      <c r="BG181" s="182"/>
      <c r="BH181" s="182"/>
      <c r="BI181" s="182"/>
      <c r="BJ181" s="182"/>
      <c r="BK181" s="182"/>
      <c r="BL181" s="182"/>
      <c r="BM181" s="182"/>
      <c r="BN181" s="182"/>
      <c r="BO181" s="182"/>
      <c r="BP181" s="182"/>
      <c r="BQ181" s="182"/>
      <c r="BR181" s="182"/>
      <c r="BS181" s="182"/>
      <c r="BT181" s="182"/>
      <c r="BU181" s="182"/>
      <c r="BV181" s="182"/>
      <c r="BW181" s="182"/>
      <c r="BX181" s="182"/>
      <c r="BY181" s="182"/>
      <c r="BZ181" s="182"/>
      <c r="CA181" s="182"/>
      <c r="CB181" s="185">
        <v>25691.55</v>
      </c>
      <c r="CC181" s="185">
        <v>0</v>
      </c>
      <c r="CD181" s="185">
        <v>1538</v>
      </c>
      <c r="CE181" s="185"/>
    </row>
    <row r="182" spans="2:83" x14ac:dyDescent="0.3">
      <c r="B182" s="182">
        <v>3738</v>
      </c>
      <c r="C182" s="182">
        <v>1539</v>
      </c>
      <c r="D182" s="182" t="s">
        <v>121</v>
      </c>
      <c r="E182" s="181" t="s">
        <v>4132</v>
      </c>
      <c r="F182" s="182"/>
      <c r="G182" s="182"/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>
        <v>624</v>
      </c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  <c r="AI182" s="182"/>
      <c r="AJ182" s="182"/>
      <c r="AK182" s="182"/>
      <c r="AL182" s="182"/>
      <c r="AM182" s="182"/>
      <c r="AN182" s="182"/>
      <c r="AO182" s="182"/>
      <c r="AP182" s="182"/>
      <c r="AQ182" s="185">
        <v>624</v>
      </c>
      <c r="AR182" s="182">
        <v>624</v>
      </c>
      <c r="AS182" s="182"/>
      <c r="AT182" s="182"/>
      <c r="AU182" s="182"/>
      <c r="AV182" s="182"/>
      <c r="AW182" s="182"/>
      <c r="AX182" s="182"/>
      <c r="AY182" s="182"/>
      <c r="AZ182" s="182"/>
      <c r="BA182" s="182"/>
      <c r="BB182" s="182"/>
      <c r="BC182" s="182"/>
      <c r="BD182" s="182"/>
      <c r="BE182" s="182"/>
      <c r="BF182" s="182"/>
      <c r="BG182" s="182"/>
      <c r="BH182" s="182"/>
      <c r="BI182" s="182"/>
      <c r="BJ182" s="182"/>
      <c r="BK182" s="182"/>
      <c r="BL182" s="182"/>
      <c r="BM182" s="182"/>
      <c r="BN182" s="182"/>
      <c r="BO182" s="182"/>
      <c r="BP182" s="182"/>
      <c r="BQ182" s="182"/>
      <c r="BR182" s="182"/>
      <c r="BS182" s="182"/>
      <c r="BT182" s="182"/>
      <c r="BU182" s="182"/>
      <c r="BV182" s="182"/>
      <c r="BW182" s="182"/>
      <c r="BX182" s="182"/>
      <c r="BY182" s="182"/>
      <c r="BZ182" s="182"/>
      <c r="CA182" s="182"/>
      <c r="CB182" s="185">
        <v>624</v>
      </c>
      <c r="CC182" s="185">
        <v>0</v>
      </c>
      <c r="CD182" s="185">
        <v>1539</v>
      </c>
      <c r="CE182" s="185"/>
    </row>
    <row r="183" spans="2:83" x14ac:dyDescent="0.3">
      <c r="B183" s="182">
        <v>3739</v>
      </c>
      <c r="C183" s="182">
        <v>1540</v>
      </c>
      <c r="D183" s="182" t="s">
        <v>123</v>
      </c>
      <c r="E183" s="181" t="s">
        <v>4130</v>
      </c>
      <c r="F183" s="182"/>
      <c r="G183" s="182"/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>
        <v>924.09</v>
      </c>
      <c r="U183" s="182"/>
      <c r="V183" s="182"/>
      <c r="W183" s="182"/>
      <c r="X183" s="182"/>
      <c r="Y183" s="182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182"/>
      <c r="AK183" s="182"/>
      <c r="AL183" s="182"/>
      <c r="AM183" s="182"/>
      <c r="AN183" s="182"/>
      <c r="AO183" s="182"/>
      <c r="AP183" s="182"/>
      <c r="AQ183" s="185">
        <v>924.09</v>
      </c>
      <c r="AR183" s="182">
        <v>924.09</v>
      </c>
      <c r="AS183" s="182"/>
      <c r="AT183" s="182"/>
      <c r="AU183" s="182"/>
      <c r="AV183" s="182"/>
      <c r="AW183" s="182"/>
      <c r="AX183" s="182"/>
      <c r="AY183" s="182"/>
      <c r="AZ183" s="182"/>
      <c r="BA183" s="182"/>
      <c r="BB183" s="182"/>
      <c r="BC183" s="182"/>
      <c r="BD183" s="182"/>
      <c r="BE183" s="182"/>
      <c r="BF183" s="182"/>
      <c r="BG183" s="182"/>
      <c r="BH183" s="182"/>
      <c r="BI183" s="182"/>
      <c r="BJ183" s="182"/>
      <c r="BK183" s="182"/>
      <c r="BL183" s="182"/>
      <c r="BM183" s="182"/>
      <c r="BN183" s="182"/>
      <c r="BO183" s="182"/>
      <c r="BP183" s="182"/>
      <c r="BQ183" s="182"/>
      <c r="BR183" s="182"/>
      <c r="BS183" s="182"/>
      <c r="BT183" s="182"/>
      <c r="BU183" s="182"/>
      <c r="BV183" s="182"/>
      <c r="BW183" s="182"/>
      <c r="BX183" s="182"/>
      <c r="BY183" s="182"/>
      <c r="BZ183" s="182"/>
      <c r="CA183" s="182"/>
      <c r="CB183" s="185">
        <v>924.09</v>
      </c>
      <c r="CC183" s="185">
        <v>0</v>
      </c>
      <c r="CD183" s="185">
        <v>1540</v>
      </c>
      <c r="CE183" s="185"/>
    </row>
    <row r="184" spans="2:83" x14ac:dyDescent="0.3">
      <c r="B184" s="182">
        <v>3740</v>
      </c>
      <c r="C184" s="182">
        <v>1541</v>
      </c>
      <c r="D184" s="182" t="s">
        <v>123</v>
      </c>
      <c r="E184" s="181" t="s">
        <v>4133</v>
      </c>
      <c r="F184" s="182"/>
      <c r="G184" s="182"/>
      <c r="H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>
        <v>79.900000000000006</v>
      </c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  <c r="AI184" s="182"/>
      <c r="AJ184" s="182"/>
      <c r="AK184" s="182"/>
      <c r="AL184" s="182"/>
      <c r="AM184" s="182"/>
      <c r="AN184" s="182"/>
      <c r="AO184" s="182"/>
      <c r="AP184" s="182"/>
      <c r="AQ184" s="185">
        <v>79.900000000000006</v>
      </c>
      <c r="AR184" s="182">
        <v>79.900000000000006</v>
      </c>
      <c r="AS184" s="182"/>
      <c r="AT184" s="182"/>
      <c r="AU184" s="182"/>
      <c r="AV184" s="182"/>
      <c r="AW184" s="182"/>
      <c r="AX184" s="182"/>
      <c r="AY184" s="182"/>
      <c r="AZ184" s="182"/>
      <c r="BA184" s="182"/>
      <c r="BB184" s="182"/>
      <c r="BC184" s="182"/>
      <c r="BD184" s="182"/>
      <c r="BE184" s="182"/>
      <c r="BF184" s="182"/>
      <c r="BG184" s="182"/>
      <c r="BH184" s="182"/>
      <c r="BI184" s="182"/>
      <c r="BJ184" s="182"/>
      <c r="BK184" s="182"/>
      <c r="BL184" s="182"/>
      <c r="BM184" s="182"/>
      <c r="BN184" s="182"/>
      <c r="BO184" s="182"/>
      <c r="BP184" s="182"/>
      <c r="BQ184" s="182"/>
      <c r="BR184" s="182"/>
      <c r="BS184" s="182"/>
      <c r="BT184" s="182"/>
      <c r="BU184" s="182"/>
      <c r="BV184" s="182"/>
      <c r="BW184" s="182"/>
      <c r="BX184" s="182"/>
      <c r="BY184" s="182"/>
      <c r="BZ184" s="182"/>
      <c r="CA184" s="182"/>
      <c r="CB184" s="185">
        <v>79.900000000000006</v>
      </c>
      <c r="CC184" s="185">
        <v>0</v>
      </c>
      <c r="CD184" s="185">
        <v>1541</v>
      </c>
      <c r="CE184" s="185"/>
    </row>
    <row r="185" spans="2:83" x14ac:dyDescent="0.3">
      <c r="B185" s="182">
        <v>3741</v>
      </c>
      <c r="C185" s="182">
        <v>1542</v>
      </c>
      <c r="D185" s="182" t="s">
        <v>4107</v>
      </c>
      <c r="E185" s="181" t="s">
        <v>4131</v>
      </c>
      <c r="F185" s="182"/>
      <c r="G185" s="182"/>
      <c r="H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>
        <v>908.1</v>
      </c>
      <c r="U185" s="182"/>
      <c r="V185" s="182"/>
      <c r="W185" s="182"/>
      <c r="X185" s="182"/>
      <c r="Y185" s="182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  <c r="AO185" s="182"/>
      <c r="AP185" s="182"/>
      <c r="AQ185" s="185">
        <v>908.1</v>
      </c>
      <c r="AR185" s="182">
        <v>908.1</v>
      </c>
      <c r="AS185" s="182"/>
      <c r="AT185" s="182"/>
      <c r="AU185" s="182"/>
      <c r="AV185" s="182"/>
      <c r="AW185" s="182"/>
      <c r="AX185" s="182"/>
      <c r="AY185" s="182"/>
      <c r="AZ185" s="182"/>
      <c r="BA185" s="182"/>
      <c r="BB185" s="182"/>
      <c r="BC185" s="182"/>
      <c r="BD185" s="182"/>
      <c r="BE185" s="182"/>
      <c r="BF185" s="182"/>
      <c r="BG185" s="182"/>
      <c r="BH185" s="182"/>
      <c r="BI185" s="182"/>
      <c r="BJ185" s="182"/>
      <c r="BK185" s="182"/>
      <c r="BL185" s="182"/>
      <c r="BM185" s="182"/>
      <c r="BN185" s="182"/>
      <c r="BO185" s="182"/>
      <c r="BP185" s="182"/>
      <c r="BQ185" s="182"/>
      <c r="BR185" s="182"/>
      <c r="BS185" s="182"/>
      <c r="BT185" s="182"/>
      <c r="BU185" s="182"/>
      <c r="BV185" s="182"/>
      <c r="BW185" s="182"/>
      <c r="BX185" s="182"/>
      <c r="BY185" s="182"/>
      <c r="BZ185" s="182"/>
      <c r="CA185" s="182"/>
      <c r="CB185" s="185">
        <v>908.1</v>
      </c>
      <c r="CC185" s="185">
        <v>0</v>
      </c>
      <c r="CD185" s="185">
        <v>1542</v>
      </c>
      <c r="CE185" s="185"/>
    </row>
    <row r="186" spans="2:83" x14ac:dyDescent="0.3">
      <c r="B186" s="182">
        <v>3742</v>
      </c>
      <c r="C186" s="182">
        <v>1543</v>
      </c>
      <c r="D186" s="182" t="s">
        <v>4107</v>
      </c>
      <c r="E186" s="181" t="s">
        <v>4132</v>
      </c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>
        <v>38</v>
      </c>
      <c r="V186" s="182"/>
      <c r="W186" s="182"/>
      <c r="X186" s="182"/>
      <c r="Y186" s="182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/>
      <c r="AN186" s="182"/>
      <c r="AO186" s="182"/>
      <c r="AP186" s="182"/>
      <c r="AQ186" s="185">
        <v>38</v>
      </c>
      <c r="AR186" s="182">
        <v>38</v>
      </c>
      <c r="AS186" s="182"/>
      <c r="AT186" s="182"/>
      <c r="AU186" s="182"/>
      <c r="AV186" s="182"/>
      <c r="AW186" s="182"/>
      <c r="AX186" s="182"/>
      <c r="AY186" s="182"/>
      <c r="AZ186" s="182"/>
      <c r="BA186" s="182"/>
      <c r="BB186" s="182"/>
      <c r="BC186" s="182"/>
      <c r="BD186" s="182"/>
      <c r="BE186" s="182"/>
      <c r="BF186" s="182"/>
      <c r="BG186" s="182"/>
      <c r="BH186" s="182"/>
      <c r="BI186" s="182"/>
      <c r="BJ186" s="182"/>
      <c r="BK186" s="182"/>
      <c r="BL186" s="182"/>
      <c r="BM186" s="182"/>
      <c r="BN186" s="182"/>
      <c r="BO186" s="182"/>
      <c r="BP186" s="182"/>
      <c r="BQ186" s="182"/>
      <c r="BR186" s="182"/>
      <c r="BS186" s="182"/>
      <c r="BT186" s="182"/>
      <c r="BU186" s="182"/>
      <c r="BV186" s="182"/>
      <c r="BW186" s="182"/>
      <c r="BX186" s="182"/>
      <c r="BY186" s="182"/>
      <c r="BZ186" s="182"/>
      <c r="CA186" s="182"/>
      <c r="CB186" s="185">
        <v>38</v>
      </c>
      <c r="CC186" s="185">
        <v>0</v>
      </c>
      <c r="CD186" s="185">
        <v>1543</v>
      </c>
      <c r="CE186" s="185"/>
    </row>
    <row r="187" spans="2:83" x14ac:dyDescent="0.3">
      <c r="B187" s="182">
        <v>3743</v>
      </c>
      <c r="C187" s="182">
        <v>1544</v>
      </c>
      <c r="D187" s="182" t="s">
        <v>249</v>
      </c>
      <c r="E187" s="181" t="s">
        <v>4130</v>
      </c>
      <c r="F187" s="182"/>
      <c r="G187" s="182"/>
      <c r="H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>
        <v>53780.88</v>
      </c>
      <c r="U187" s="182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182"/>
      <c r="AI187" s="182"/>
      <c r="AJ187" s="182"/>
      <c r="AK187" s="182"/>
      <c r="AL187" s="182"/>
      <c r="AM187" s="182"/>
      <c r="AN187" s="182"/>
      <c r="AO187" s="182"/>
      <c r="AP187" s="182"/>
      <c r="AQ187" s="185">
        <v>53780.88</v>
      </c>
      <c r="AR187" s="182">
        <v>53780.88</v>
      </c>
      <c r="AS187" s="182"/>
      <c r="AT187" s="182"/>
      <c r="AU187" s="182"/>
      <c r="AV187" s="182"/>
      <c r="AW187" s="182"/>
      <c r="AX187" s="182"/>
      <c r="AY187" s="182"/>
      <c r="AZ187" s="182"/>
      <c r="BA187" s="182"/>
      <c r="BB187" s="182"/>
      <c r="BC187" s="182"/>
      <c r="BD187" s="182"/>
      <c r="BE187" s="182"/>
      <c r="BF187" s="182"/>
      <c r="BG187" s="182"/>
      <c r="BH187" s="182"/>
      <c r="BI187" s="182"/>
      <c r="BJ187" s="182"/>
      <c r="BK187" s="182"/>
      <c r="BL187" s="182"/>
      <c r="BM187" s="182"/>
      <c r="BN187" s="182"/>
      <c r="BO187" s="182"/>
      <c r="BP187" s="182"/>
      <c r="BQ187" s="182"/>
      <c r="BR187" s="182"/>
      <c r="BS187" s="182"/>
      <c r="BT187" s="182"/>
      <c r="BU187" s="182"/>
      <c r="BV187" s="182"/>
      <c r="BW187" s="182"/>
      <c r="BX187" s="182"/>
      <c r="BY187" s="182"/>
      <c r="BZ187" s="182"/>
      <c r="CA187" s="182"/>
      <c r="CB187" s="185">
        <v>53780.88</v>
      </c>
      <c r="CC187" s="185">
        <v>0</v>
      </c>
      <c r="CD187" s="185">
        <v>1544</v>
      </c>
      <c r="CE187" s="185"/>
    </row>
    <row r="188" spans="2:83" x14ac:dyDescent="0.3">
      <c r="B188" s="182">
        <v>3744</v>
      </c>
      <c r="C188" s="182">
        <v>1545</v>
      </c>
      <c r="D188" s="182" t="s">
        <v>249</v>
      </c>
      <c r="E188" s="181" t="s">
        <v>4133</v>
      </c>
      <c r="F188" s="182"/>
      <c r="G188" s="182"/>
      <c r="H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>
        <v>3642.4</v>
      </c>
      <c r="U188" s="182"/>
      <c r="V188" s="182"/>
      <c r="W188" s="182"/>
      <c r="X188" s="182"/>
      <c r="Y188" s="182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  <c r="AO188" s="182"/>
      <c r="AP188" s="182"/>
      <c r="AQ188" s="185">
        <v>3642.4</v>
      </c>
      <c r="AR188" s="182">
        <v>3642.4</v>
      </c>
      <c r="AS188" s="182"/>
      <c r="AT188" s="182"/>
      <c r="AU188" s="182"/>
      <c r="AV188" s="182"/>
      <c r="AW188" s="182"/>
      <c r="AX188" s="182"/>
      <c r="AY188" s="182"/>
      <c r="AZ188" s="182"/>
      <c r="BA188" s="182"/>
      <c r="BB188" s="182"/>
      <c r="BC188" s="182"/>
      <c r="BD188" s="182"/>
      <c r="BE188" s="182"/>
      <c r="BF188" s="182"/>
      <c r="BG188" s="182"/>
      <c r="BH188" s="182"/>
      <c r="BI188" s="182"/>
      <c r="BJ188" s="182"/>
      <c r="BK188" s="182"/>
      <c r="BL188" s="182"/>
      <c r="BM188" s="182"/>
      <c r="BN188" s="182"/>
      <c r="BO188" s="182"/>
      <c r="BP188" s="182"/>
      <c r="BQ188" s="182"/>
      <c r="BR188" s="182"/>
      <c r="BS188" s="182"/>
      <c r="BT188" s="182"/>
      <c r="BU188" s="182"/>
      <c r="BV188" s="182"/>
      <c r="BW188" s="182"/>
      <c r="BX188" s="182"/>
      <c r="BY188" s="182"/>
      <c r="BZ188" s="182"/>
      <c r="CA188" s="182"/>
      <c r="CB188" s="185">
        <v>3642.4</v>
      </c>
      <c r="CC188" s="185">
        <v>0</v>
      </c>
      <c r="CD188" s="185">
        <v>1545</v>
      </c>
      <c r="CE188" s="185"/>
    </row>
    <row r="189" spans="2:83" x14ac:dyDescent="0.3">
      <c r="B189" s="182">
        <v>3745</v>
      </c>
      <c r="C189" s="182">
        <v>1546</v>
      </c>
      <c r="D189" s="182" t="s">
        <v>249</v>
      </c>
      <c r="E189" s="181" t="s">
        <v>4131</v>
      </c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>
        <v>1209.25</v>
      </c>
      <c r="U189" s="182"/>
      <c r="V189" s="182"/>
      <c r="W189" s="182"/>
      <c r="X189" s="182"/>
      <c r="Y189" s="182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/>
      <c r="AM189" s="182"/>
      <c r="AN189" s="182"/>
      <c r="AO189" s="182"/>
      <c r="AP189" s="182"/>
      <c r="AQ189" s="185">
        <v>1209.25</v>
      </c>
      <c r="AR189" s="182">
        <v>1209.25</v>
      </c>
      <c r="AS189" s="182"/>
      <c r="AT189" s="182"/>
      <c r="AU189" s="182"/>
      <c r="AV189" s="182"/>
      <c r="AW189" s="182"/>
      <c r="AX189" s="182"/>
      <c r="AY189" s="182"/>
      <c r="AZ189" s="182"/>
      <c r="BA189" s="182"/>
      <c r="BB189" s="182"/>
      <c r="BC189" s="182"/>
      <c r="BD189" s="182"/>
      <c r="BE189" s="182"/>
      <c r="BF189" s="182"/>
      <c r="BG189" s="182"/>
      <c r="BH189" s="182"/>
      <c r="BI189" s="182"/>
      <c r="BJ189" s="182"/>
      <c r="BK189" s="182"/>
      <c r="BL189" s="182"/>
      <c r="BM189" s="182"/>
      <c r="BN189" s="182"/>
      <c r="BO189" s="182"/>
      <c r="BP189" s="182"/>
      <c r="BQ189" s="182"/>
      <c r="BR189" s="182"/>
      <c r="BS189" s="182"/>
      <c r="BT189" s="182"/>
      <c r="BU189" s="182"/>
      <c r="BV189" s="182"/>
      <c r="BW189" s="182"/>
      <c r="BX189" s="182"/>
      <c r="BY189" s="182"/>
      <c r="BZ189" s="182"/>
      <c r="CA189" s="182"/>
      <c r="CB189" s="185">
        <v>1209.25</v>
      </c>
      <c r="CC189" s="185">
        <v>0</v>
      </c>
      <c r="CD189" s="185">
        <v>1546</v>
      </c>
      <c r="CE189" s="185"/>
    </row>
    <row r="190" spans="2:83" x14ac:dyDescent="0.3">
      <c r="B190" s="182">
        <v>3746</v>
      </c>
      <c r="C190" s="182">
        <v>1547</v>
      </c>
      <c r="D190" s="182" t="s">
        <v>249</v>
      </c>
      <c r="E190" s="181" t="s">
        <v>4132</v>
      </c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>
        <v>38</v>
      </c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  <c r="AJ190" s="182"/>
      <c r="AK190" s="182"/>
      <c r="AL190" s="182"/>
      <c r="AM190" s="182"/>
      <c r="AN190" s="182"/>
      <c r="AO190" s="182"/>
      <c r="AP190" s="182"/>
      <c r="AQ190" s="185">
        <v>38</v>
      </c>
      <c r="AR190" s="182">
        <v>38</v>
      </c>
      <c r="AS190" s="182"/>
      <c r="AT190" s="182"/>
      <c r="AU190" s="182"/>
      <c r="AV190" s="182"/>
      <c r="AW190" s="182"/>
      <c r="AX190" s="182"/>
      <c r="AY190" s="182"/>
      <c r="AZ190" s="182"/>
      <c r="BA190" s="182"/>
      <c r="BB190" s="182"/>
      <c r="BC190" s="182"/>
      <c r="BD190" s="182"/>
      <c r="BE190" s="182"/>
      <c r="BF190" s="182"/>
      <c r="BG190" s="182"/>
      <c r="BH190" s="182"/>
      <c r="BI190" s="182"/>
      <c r="BJ190" s="182"/>
      <c r="BK190" s="182"/>
      <c r="BL190" s="182"/>
      <c r="BM190" s="182"/>
      <c r="BN190" s="182"/>
      <c r="BO190" s="182"/>
      <c r="BP190" s="182"/>
      <c r="BQ190" s="182"/>
      <c r="BR190" s="182"/>
      <c r="BS190" s="182"/>
      <c r="BT190" s="182"/>
      <c r="BU190" s="182"/>
      <c r="BV190" s="182"/>
      <c r="BW190" s="182"/>
      <c r="BX190" s="182"/>
      <c r="BY190" s="182"/>
      <c r="BZ190" s="182"/>
      <c r="CA190" s="182"/>
      <c r="CB190" s="185">
        <v>38</v>
      </c>
      <c r="CC190" s="185">
        <v>0</v>
      </c>
      <c r="CD190" s="185">
        <v>1547</v>
      </c>
      <c r="CE190" s="185"/>
    </row>
    <row r="191" spans="2:83" x14ac:dyDescent="0.3">
      <c r="B191" s="182">
        <v>3747</v>
      </c>
      <c r="C191" s="182">
        <v>1548</v>
      </c>
      <c r="D191" s="182" t="s">
        <v>125</v>
      </c>
      <c r="E191" s="181" t="s">
        <v>4130</v>
      </c>
      <c r="F191" s="182"/>
      <c r="G191" s="182"/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>
        <v>604.95000000000005</v>
      </c>
      <c r="U191" s="182"/>
      <c r="V191" s="182"/>
      <c r="W191" s="182"/>
      <c r="X191" s="182"/>
      <c r="Y191" s="182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  <c r="AO191" s="182"/>
      <c r="AP191" s="182"/>
      <c r="AQ191" s="185">
        <v>604.95000000000005</v>
      </c>
      <c r="AR191" s="182">
        <v>604.95000000000005</v>
      </c>
      <c r="AS191" s="182"/>
      <c r="AT191" s="182"/>
      <c r="AU191" s="182"/>
      <c r="AV191" s="182"/>
      <c r="AW191" s="182"/>
      <c r="AX191" s="182"/>
      <c r="AY191" s="182"/>
      <c r="AZ191" s="182"/>
      <c r="BA191" s="182"/>
      <c r="BB191" s="182"/>
      <c r="BC191" s="182"/>
      <c r="BD191" s="182"/>
      <c r="BE191" s="182"/>
      <c r="BF191" s="182"/>
      <c r="BG191" s="182"/>
      <c r="BH191" s="182"/>
      <c r="BI191" s="182"/>
      <c r="BJ191" s="182"/>
      <c r="BK191" s="182"/>
      <c r="BL191" s="182"/>
      <c r="BM191" s="182"/>
      <c r="BN191" s="182"/>
      <c r="BO191" s="182"/>
      <c r="BP191" s="182"/>
      <c r="BQ191" s="182"/>
      <c r="BR191" s="182"/>
      <c r="BS191" s="182"/>
      <c r="BT191" s="182"/>
      <c r="BU191" s="182"/>
      <c r="BV191" s="182"/>
      <c r="BW191" s="182"/>
      <c r="BX191" s="182"/>
      <c r="BY191" s="182"/>
      <c r="BZ191" s="182"/>
      <c r="CA191" s="182"/>
      <c r="CB191" s="185">
        <v>604.95000000000005</v>
      </c>
      <c r="CC191" s="185">
        <v>0</v>
      </c>
      <c r="CD191" s="185">
        <v>1548</v>
      </c>
      <c r="CE191" s="185"/>
    </row>
    <row r="192" spans="2:83" x14ac:dyDescent="0.3">
      <c r="B192" s="182">
        <v>3748</v>
      </c>
      <c r="C192" s="182">
        <v>1549</v>
      </c>
      <c r="D192" s="182" t="s">
        <v>125</v>
      </c>
      <c r="E192" s="181" t="s">
        <v>4133</v>
      </c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>
        <v>37</v>
      </c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5">
        <v>37</v>
      </c>
      <c r="AR192" s="182">
        <v>37</v>
      </c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5">
        <v>37</v>
      </c>
      <c r="CC192" s="185">
        <v>0</v>
      </c>
      <c r="CD192" s="185">
        <v>1549</v>
      </c>
      <c r="CE192" s="185"/>
    </row>
    <row r="193" spans="2:83" x14ac:dyDescent="0.3">
      <c r="B193" s="182">
        <v>3749</v>
      </c>
      <c r="C193" s="182">
        <v>1550</v>
      </c>
      <c r="D193" s="182" t="s">
        <v>124</v>
      </c>
      <c r="E193" s="181" t="s">
        <v>4130</v>
      </c>
      <c r="F193" s="182"/>
      <c r="G193" s="182"/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>
        <v>273.73</v>
      </c>
      <c r="U193" s="182"/>
      <c r="V193" s="182"/>
      <c r="W193" s="182"/>
      <c r="X193" s="182"/>
      <c r="Y193" s="182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  <c r="AN193" s="182"/>
      <c r="AO193" s="182"/>
      <c r="AP193" s="182"/>
      <c r="AQ193" s="185">
        <v>273.73</v>
      </c>
      <c r="AR193" s="182">
        <v>273.73</v>
      </c>
      <c r="AS193" s="182"/>
      <c r="AT193" s="182"/>
      <c r="AU193" s="182"/>
      <c r="AV193" s="182"/>
      <c r="AW193" s="182"/>
      <c r="AX193" s="182"/>
      <c r="AY193" s="182"/>
      <c r="AZ193" s="182"/>
      <c r="BA193" s="182"/>
      <c r="BB193" s="182"/>
      <c r="BC193" s="182"/>
      <c r="BD193" s="182"/>
      <c r="BE193" s="182"/>
      <c r="BF193" s="182"/>
      <c r="BG193" s="182"/>
      <c r="BH193" s="182"/>
      <c r="BI193" s="182"/>
      <c r="BJ193" s="182"/>
      <c r="BK193" s="182"/>
      <c r="BL193" s="182"/>
      <c r="BM193" s="182"/>
      <c r="BN193" s="182"/>
      <c r="BO193" s="182"/>
      <c r="BP193" s="182"/>
      <c r="BQ193" s="182"/>
      <c r="BR193" s="182"/>
      <c r="BS193" s="182"/>
      <c r="BT193" s="182"/>
      <c r="BU193" s="182"/>
      <c r="BV193" s="182"/>
      <c r="BW193" s="182"/>
      <c r="BX193" s="182"/>
      <c r="BY193" s="182"/>
      <c r="BZ193" s="182"/>
      <c r="CA193" s="182"/>
      <c r="CB193" s="185">
        <v>273.73</v>
      </c>
      <c r="CC193" s="185">
        <v>0</v>
      </c>
      <c r="CD193" s="185">
        <v>1550</v>
      </c>
      <c r="CE193" s="185"/>
    </row>
    <row r="194" spans="2:83" x14ac:dyDescent="0.3">
      <c r="B194" s="182">
        <v>3750</v>
      </c>
      <c r="C194" s="182">
        <v>1551</v>
      </c>
      <c r="D194" s="182" t="s">
        <v>124</v>
      </c>
      <c r="E194" s="181" t="s">
        <v>4133</v>
      </c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>
        <v>12</v>
      </c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5">
        <v>12</v>
      </c>
      <c r="AR194" s="182">
        <v>12</v>
      </c>
      <c r="AS194" s="182"/>
      <c r="AT194" s="182"/>
      <c r="AU194" s="182"/>
      <c r="AV194" s="182"/>
      <c r="AW194" s="182"/>
      <c r="AX194" s="182"/>
      <c r="AY194" s="182"/>
      <c r="AZ194" s="182"/>
      <c r="BA194" s="182"/>
      <c r="BB194" s="182"/>
      <c r="BC194" s="182"/>
      <c r="BD194" s="182"/>
      <c r="BE194" s="182"/>
      <c r="BF194" s="182"/>
      <c r="BG194" s="182"/>
      <c r="BH194" s="182"/>
      <c r="BI194" s="182"/>
      <c r="BJ194" s="182"/>
      <c r="BK194" s="182"/>
      <c r="BL194" s="182"/>
      <c r="BM194" s="182"/>
      <c r="BN194" s="182"/>
      <c r="BO194" s="182"/>
      <c r="BP194" s="182"/>
      <c r="BQ194" s="182"/>
      <c r="BR194" s="182"/>
      <c r="BS194" s="182"/>
      <c r="BT194" s="182"/>
      <c r="BU194" s="182"/>
      <c r="BV194" s="182"/>
      <c r="BW194" s="182"/>
      <c r="BX194" s="182"/>
      <c r="BY194" s="182"/>
      <c r="BZ194" s="182"/>
      <c r="CA194" s="182"/>
      <c r="CB194" s="185">
        <v>12</v>
      </c>
      <c r="CC194" s="185">
        <v>0</v>
      </c>
      <c r="CD194" s="185">
        <v>1551</v>
      </c>
      <c r="CE194" s="185"/>
    </row>
    <row r="195" spans="2:83" x14ac:dyDescent="0.3">
      <c r="B195" s="182">
        <v>3628</v>
      </c>
      <c r="C195" s="182">
        <v>1552</v>
      </c>
      <c r="D195" s="182" t="s">
        <v>121</v>
      </c>
      <c r="E195" s="181" t="s">
        <v>4135</v>
      </c>
      <c r="F195" s="182"/>
      <c r="G195" s="182">
        <v>16500</v>
      </c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2"/>
      <c r="X195" s="182"/>
      <c r="Y195" s="182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  <c r="AN195" s="182"/>
      <c r="AO195" s="182"/>
      <c r="AP195" s="182"/>
      <c r="AQ195" s="185">
        <v>16500</v>
      </c>
      <c r="AR195" s="182">
        <v>14721.65</v>
      </c>
      <c r="AS195" s="182">
        <v>1778.35</v>
      </c>
      <c r="AT195" s="182"/>
      <c r="AU195" s="182"/>
      <c r="AV195" s="182"/>
      <c r="AW195" s="182"/>
      <c r="AX195" s="182"/>
      <c r="AY195" s="182"/>
      <c r="AZ195" s="182"/>
      <c r="BA195" s="182"/>
      <c r="BB195" s="182"/>
      <c r="BC195" s="182"/>
      <c r="BD195" s="182"/>
      <c r="BE195" s="182"/>
      <c r="BF195" s="182"/>
      <c r="BG195" s="182"/>
      <c r="BH195" s="182"/>
      <c r="BI195" s="182"/>
      <c r="BJ195" s="182"/>
      <c r="BK195" s="182"/>
      <c r="BL195" s="182"/>
      <c r="BM195" s="182"/>
      <c r="BN195" s="182"/>
      <c r="BO195" s="182"/>
      <c r="BP195" s="182"/>
      <c r="BQ195" s="182"/>
      <c r="BR195" s="182"/>
      <c r="BS195" s="182"/>
      <c r="BT195" s="182"/>
      <c r="BU195" s="182"/>
      <c r="BV195" s="182"/>
      <c r="BW195" s="182"/>
      <c r="BX195" s="182"/>
      <c r="BY195" s="182"/>
      <c r="BZ195" s="182"/>
      <c r="CA195" s="182"/>
      <c r="CB195" s="185">
        <v>16500</v>
      </c>
      <c r="CC195" s="185">
        <v>0</v>
      </c>
      <c r="CD195" s="185">
        <v>1552</v>
      </c>
      <c r="CE195" s="185"/>
    </row>
    <row r="196" spans="2:83" x14ac:dyDescent="0.3">
      <c r="B196" s="182">
        <v>3623</v>
      </c>
      <c r="C196" s="182">
        <v>1553</v>
      </c>
      <c r="D196" s="182" t="s">
        <v>121</v>
      </c>
      <c r="E196" s="181" t="s">
        <v>4136</v>
      </c>
      <c r="F196" s="182"/>
      <c r="G196" s="182">
        <v>4500</v>
      </c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2"/>
      <c r="X196" s="182"/>
      <c r="Y196" s="182"/>
      <c r="Z196" s="182"/>
      <c r="AA196" s="182"/>
      <c r="AB196" s="182"/>
      <c r="AC196" s="182"/>
      <c r="AD196" s="182"/>
      <c r="AE196" s="182"/>
      <c r="AF196" s="182"/>
      <c r="AG196" s="182"/>
      <c r="AH196" s="182"/>
      <c r="AI196" s="182"/>
      <c r="AJ196" s="182"/>
      <c r="AK196" s="182"/>
      <c r="AL196" s="182"/>
      <c r="AM196" s="182"/>
      <c r="AN196" s="182"/>
      <c r="AO196" s="182"/>
      <c r="AP196" s="182"/>
      <c r="AQ196" s="185">
        <v>4500</v>
      </c>
      <c r="AR196" s="182">
        <v>4016.6</v>
      </c>
      <c r="AS196" s="182">
        <v>483.4</v>
      </c>
      <c r="AT196" s="182"/>
      <c r="AU196" s="182"/>
      <c r="AV196" s="182"/>
      <c r="AW196" s="182"/>
      <c r="AX196" s="182"/>
      <c r="AY196" s="182"/>
      <c r="AZ196" s="182"/>
      <c r="BA196" s="182"/>
      <c r="BB196" s="182"/>
      <c r="BC196" s="182"/>
      <c r="BD196" s="182"/>
      <c r="BE196" s="182"/>
      <c r="BF196" s="182"/>
      <c r="BG196" s="182"/>
      <c r="BH196" s="182"/>
      <c r="BI196" s="182"/>
      <c r="BJ196" s="182"/>
      <c r="BK196" s="182"/>
      <c r="BL196" s="182"/>
      <c r="BM196" s="182"/>
      <c r="BN196" s="182"/>
      <c r="BO196" s="182"/>
      <c r="BP196" s="182"/>
      <c r="BQ196" s="182"/>
      <c r="BR196" s="182"/>
      <c r="BS196" s="182"/>
      <c r="BT196" s="182"/>
      <c r="BU196" s="182"/>
      <c r="BV196" s="182"/>
      <c r="BW196" s="182"/>
      <c r="BX196" s="182"/>
      <c r="BY196" s="182"/>
      <c r="BZ196" s="182"/>
      <c r="CA196" s="182"/>
      <c r="CB196" s="185">
        <v>4500</v>
      </c>
      <c r="CC196" s="185">
        <v>0</v>
      </c>
      <c r="CD196" s="185">
        <v>1553</v>
      </c>
      <c r="CE196" s="185"/>
    </row>
    <row r="197" spans="2:83" x14ac:dyDescent="0.3">
      <c r="B197" s="182">
        <v>3624</v>
      </c>
      <c r="C197" s="182">
        <v>1554</v>
      </c>
      <c r="D197" s="182" t="s">
        <v>121</v>
      </c>
      <c r="E197" s="181" t="s">
        <v>4136</v>
      </c>
      <c r="F197" s="182"/>
      <c r="G197" s="182">
        <v>13500</v>
      </c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2"/>
      <c r="X197" s="182"/>
      <c r="Y197" s="182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5">
        <v>13500</v>
      </c>
      <c r="AR197" s="182">
        <v>12049.8</v>
      </c>
      <c r="AS197" s="182">
        <v>1450.2</v>
      </c>
      <c r="AT197" s="182"/>
      <c r="AU197" s="182"/>
      <c r="AV197" s="182"/>
      <c r="AW197" s="182"/>
      <c r="AX197" s="182"/>
      <c r="AY197" s="182"/>
      <c r="AZ197" s="182"/>
      <c r="BA197" s="182"/>
      <c r="BB197" s="182"/>
      <c r="BC197" s="182"/>
      <c r="BD197" s="182"/>
      <c r="BE197" s="182"/>
      <c r="BF197" s="182"/>
      <c r="BG197" s="182"/>
      <c r="BH197" s="182"/>
      <c r="BI197" s="182"/>
      <c r="BJ197" s="182"/>
      <c r="BK197" s="182"/>
      <c r="BL197" s="182"/>
      <c r="BM197" s="182"/>
      <c r="BN197" s="182"/>
      <c r="BO197" s="182"/>
      <c r="BP197" s="182"/>
      <c r="BQ197" s="182"/>
      <c r="BR197" s="182"/>
      <c r="BS197" s="182"/>
      <c r="BT197" s="182"/>
      <c r="BU197" s="182"/>
      <c r="BV197" s="182"/>
      <c r="BW197" s="182"/>
      <c r="BX197" s="182"/>
      <c r="BY197" s="182"/>
      <c r="BZ197" s="182"/>
      <c r="CA197" s="182"/>
      <c r="CB197" s="185">
        <v>13500</v>
      </c>
      <c r="CC197" s="185">
        <v>0</v>
      </c>
      <c r="CD197" s="185">
        <v>1554</v>
      </c>
      <c r="CE197" s="185"/>
    </row>
    <row r="198" spans="2:83" x14ac:dyDescent="0.3">
      <c r="B198" s="182">
        <v>3620</v>
      </c>
      <c r="C198" s="182">
        <v>1555</v>
      </c>
      <c r="D198" s="182" t="s">
        <v>121</v>
      </c>
      <c r="E198" s="181" t="s">
        <v>4137</v>
      </c>
      <c r="F198" s="182"/>
      <c r="G198" s="182">
        <v>19250</v>
      </c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2"/>
      <c r="X198" s="182"/>
      <c r="Y198" s="182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  <c r="AO198" s="182"/>
      <c r="AP198" s="182"/>
      <c r="AQ198" s="185">
        <v>19250</v>
      </c>
      <c r="AR198" s="182">
        <v>17182.900000000001</v>
      </c>
      <c r="AS198" s="182">
        <v>2067.1</v>
      </c>
      <c r="AT198" s="182"/>
      <c r="AU198" s="182"/>
      <c r="AV198" s="182"/>
      <c r="AW198" s="182"/>
      <c r="AX198" s="182"/>
      <c r="AY198" s="182"/>
      <c r="AZ198" s="182"/>
      <c r="BA198" s="182"/>
      <c r="BB198" s="182"/>
      <c r="BC198" s="182"/>
      <c r="BD198" s="182"/>
      <c r="BE198" s="182"/>
      <c r="BF198" s="182"/>
      <c r="BG198" s="182"/>
      <c r="BH198" s="182"/>
      <c r="BI198" s="182"/>
      <c r="BJ198" s="182"/>
      <c r="BK198" s="182"/>
      <c r="BL198" s="182"/>
      <c r="BM198" s="182"/>
      <c r="BN198" s="182"/>
      <c r="BO198" s="182"/>
      <c r="BP198" s="182"/>
      <c r="BQ198" s="182"/>
      <c r="BR198" s="182"/>
      <c r="BS198" s="182"/>
      <c r="BT198" s="182"/>
      <c r="BU198" s="182"/>
      <c r="BV198" s="182"/>
      <c r="BW198" s="182"/>
      <c r="BX198" s="182"/>
      <c r="BY198" s="182"/>
      <c r="BZ198" s="182"/>
      <c r="CA198" s="182"/>
      <c r="CB198" s="185">
        <v>19250</v>
      </c>
      <c r="CC198" s="185">
        <v>0</v>
      </c>
      <c r="CD198" s="185">
        <v>1555</v>
      </c>
      <c r="CE198" s="185"/>
    </row>
    <row r="199" spans="2:83" x14ac:dyDescent="0.3">
      <c r="B199" s="182">
        <v>3606</v>
      </c>
      <c r="C199" s="182">
        <v>1556</v>
      </c>
      <c r="D199" s="182" t="s">
        <v>121</v>
      </c>
      <c r="E199" s="181" t="s">
        <v>4138</v>
      </c>
      <c r="F199" s="182"/>
      <c r="G199" s="182">
        <v>19250</v>
      </c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2"/>
      <c r="X199" s="182"/>
      <c r="Y199" s="182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  <c r="AO199" s="182"/>
      <c r="AP199" s="182"/>
      <c r="AQ199" s="185">
        <v>19250</v>
      </c>
      <c r="AR199" s="182">
        <v>17182.400000000001</v>
      </c>
      <c r="AS199" s="182">
        <v>2067.6</v>
      </c>
      <c r="AT199" s="182"/>
      <c r="AU199" s="182"/>
      <c r="AV199" s="182"/>
      <c r="AW199" s="182"/>
      <c r="AX199" s="182"/>
      <c r="AY199" s="182"/>
      <c r="AZ199" s="182"/>
      <c r="BA199" s="182"/>
      <c r="BB199" s="182"/>
      <c r="BC199" s="182"/>
      <c r="BD199" s="182"/>
      <c r="BE199" s="182"/>
      <c r="BF199" s="182"/>
      <c r="BG199" s="182"/>
      <c r="BH199" s="182"/>
      <c r="BI199" s="182"/>
      <c r="BJ199" s="182"/>
      <c r="BK199" s="182"/>
      <c r="BL199" s="182"/>
      <c r="BM199" s="182"/>
      <c r="BN199" s="182"/>
      <c r="BO199" s="182"/>
      <c r="BP199" s="182"/>
      <c r="BQ199" s="182"/>
      <c r="BR199" s="182"/>
      <c r="BS199" s="182"/>
      <c r="BT199" s="182"/>
      <c r="BU199" s="182"/>
      <c r="BV199" s="182"/>
      <c r="BW199" s="182"/>
      <c r="BX199" s="182"/>
      <c r="BY199" s="182"/>
      <c r="BZ199" s="182"/>
      <c r="CA199" s="182"/>
      <c r="CB199" s="185">
        <v>19250</v>
      </c>
      <c r="CC199" s="185">
        <v>0</v>
      </c>
      <c r="CD199" s="185">
        <v>1556</v>
      </c>
      <c r="CE199" s="185"/>
    </row>
    <row r="200" spans="2:83" x14ac:dyDescent="0.3">
      <c r="B200" s="182">
        <v>3611</v>
      </c>
      <c r="C200" s="182">
        <v>1557</v>
      </c>
      <c r="D200" s="182" t="s">
        <v>121</v>
      </c>
      <c r="E200" s="181" t="s">
        <v>4139</v>
      </c>
      <c r="F200" s="182"/>
      <c r="G200" s="182">
        <v>13500</v>
      </c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2"/>
      <c r="X200" s="182"/>
      <c r="Y200" s="182"/>
      <c r="Z200" s="182"/>
      <c r="AA200" s="182"/>
      <c r="AB200" s="182"/>
      <c r="AC200" s="182"/>
      <c r="AD200" s="182"/>
      <c r="AE200" s="182"/>
      <c r="AF200" s="182"/>
      <c r="AG200" s="182"/>
      <c r="AH200" s="182"/>
      <c r="AI200" s="182"/>
      <c r="AJ200" s="182"/>
      <c r="AK200" s="182"/>
      <c r="AL200" s="182"/>
      <c r="AM200" s="182"/>
      <c r="AN200" s="182"/>
      <c r="AO200" s="182"/>
      <c r="AP200" s="182"/>
      <c r="AQ200" s="185">
        <v>13500</v>
      </c>
      <c r="AR200" s="182">
        <v>12049.8</v>
      </c>
      <c r="AS200" s="182">
        <v>1450.2</v>
      </c>
      <c r="AT200" s="182"/>
      <c r="AU200" s="182"/>
      <c r="AV200" s="182"/>
      <c r="AW200" s="182"/>
      <c r="AX200" s="182"/>
      <c r="AY200" s="182"/>
      <c r="AZ200" s="182"/>
      <c r="BA200" s="182"/>
      <c r="BB200" s="182"/>
      <c r="BC200" s="182"/>
      <c r="BD200" s="182"/>
      <c r="BE200" s="182"/>
      <c r="BF200" s="182"/>
      <c r="BG200" s="182"/>
      <c r="BH200" s="182"/>
      <c r="BI200" s="182"/>
      <c r="BJ200" s="182"/>
      <c r="BK200" s="182"/>
      <c r="BL200" s="182"/>
      <c r="BM200" s="182"/>
      <c r="BN200" s="182"/>
      <c r="BO200" s="182"/>
      <c r="BP200" s="182"/>
      <c r="BQ200" s="182"/>
      <c r="BR200" s="182"/>
      <c r="BS200" s="182"/>
      <c r="BT200" s="182"/>
      <c r="BU200" s="182"/>
      <c r="BV200" s="182"/>
      <c r="BW200" s="182"/>
      <c r="BX200" s="182"/>
      <c r="BY200" s="182"/>
      <c r="BZ200" s="182"/>
      <c r="CA200" s="182"/>
      <c r="CB200" s="185">
        <v>13500</v>
      </c>
      <c r="CC200" s="185">
        <v>0</v>
      </c>
      <c r="CD200" s="185">
        <v>1557</v>
      </c>
      <c r="CE200" s="185"/>
    </row>
    <row r="201" spans="2:83" x14ac:dyDescent="0.3">
      <c r="B201" s="182">
        <v>3602</v>
      </c>
      <c r="C201" s="182">
        <v>1558</v>
      </c>
      <c r="D201" s="182" t="s">
        <v>121</v>
      </c>
      <c r="E201" s="181" t="s">
        <v>4140</v>
      </c>
      <c r="F201" s="182"/>
      <c r="G201" s="182">
        <v>8500</v>
      </c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2"/>
      <c r="X201" s="182"/>
      <c r="Y201" s="182"/>
      <c r="Z201" s="182"/>
      <c r="AA201" s="182"/>
      <c r="AB201" s="182"/>
      <c r="AC201" s="182"/>
      <c r="AD201" s="182"/>
      <c r="AE201" s="182"/>
      <c r="AF201" s="182"/>
      <c r="AG201" s="182"/>
      <c r="AH201" s="182"/>
      <c r="AI201" s="182"/>
      <c r="AJ201" s="182"/>
      <c r="AK201" s="182"/>
      <c r="AL201" s="182"/>
      <c r="AM201" s="182"/>
      <c r="AN201" s="182"/>
      <c r="AO201" s="182"/>
      <c r="AP201" s="182"/>
      <c r="AQ201" s="185">
        <v>8500</v>
      </c>
      <c r="AR201" s="182">
        <v>7586.95</v>
      </c>
      <c r="AS201" s="182">
        <v>913.05</v>
      </c>
      <c r="AT201" s="182"/>
      <c r="AU201" s="182"/>
      <c r="AV201" s="182"/>
      <c r="AW201" s="182"/>
      <c r="AX201" s="182"/>
      <c r="AY201" s="182"/>
      <c r="AZ201" s="182"/>
      <c r="BA201" s="182"/>
      <c r="BB201" s="182"/>
      <c r="BC201" s="182"/>
      <c r="BD201" s="182"/>
      <c r="BE201" s="182"/>
      <c r="BF201" s="182"/>
      <c r="BG201" s="182"/>
      <c r="BH201" s="182"/>
      <c r="BI201" s="182"/>
      <c r="BJ201" s="182"/>
      <c r="BK201" s="182"/>
      <c r="BL201" s="182"/>
      <c r="BM201" s="182"/>
      <c r="BN201" s="182"/>
      <c r="BO201" s="182"/>
      <c r="BP201" s="182"/>
      <c r="BQ201" s="182"/>
      <c r="BR201" s="182"/>
      <c r="BS201" s="182"/>
      <c r="BT201" s="182"/>
      <c r="BU201" s="182"/>
      <c r="BV201" s="182"/>
      <c r="BW201" s="182"/>
      <c r="BX201" s="182"/>
      <c r="BY201" s="182"/>
      <c r="BZ201" s="182"/>
      <c r="CA201" s="182"/>
      <c r="CB201" s="185">
        <v>8500</v>
      </c>
      <c r="CC201" s="185">
        <v>0</v>
      </c>
      <c r="CD201" s="185">
        <v>1558</v>
      </c>
      <c r="CE201" s="185"/>
    </row>
    <row r="202" spans="2:83" x14ac:dyDescent="0.3">
      <c r="B202" s="182">
        <v>3604</v>
      </c>
      <c r="C202" s="182">
        <v>1559</v>
      </c>
      <c r="D202" s="182" t="s">
        <v>121</v>
      </c>
      <c r="E202" s="181" t="s">
        <v>4140</v>
      </c>
      <c r="F202" s="182"/>
      <c r="G202" s="182">
        <v>12000</v>
      </c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82"/>
      <c r="AA202" s="182"/>
      <c r="AB202" s="182"/>
      <c r="AC202" s="182"/>
      <c r="AD202" s="182"/>
      <c r="AE202" s="182"/>
      <c r="AF202" s="182"/>
      <c r="AG202" s="182"/>
      <c r="AH202" s="182"/>
      <c r="AI202" s="182"/>
      <c r="AJ202" s="182"/>
      <c r="AK202" s="182"/>
      <c r="AL202" s="182"/>
      <c r="AM202" s="182"/>
      <c r="AN202" s="182"/>
      <c r="AO202" s="182"/>
      <c r="AP202" s="182"/>
      <c r="AQ202" s="185">
        <v>12000</v>
      </c>
      <c r="AR202" s="182">
        <v>10711.4</v>
      </c>
      <c r="AS202" s="182">
        <v>1288.5999999999999</v>
      </c>
      <c r="AT202" s="182"/>
      <c r="AU202" s="182"/>
      <c r="AV202" s="182"/>
      <c r="AW202" s="182"/>
      <c r="AX202" s="182"/>
      <c r="AY202" s="182"/>
      <c r="AZ202" s="182"/>
      <c r="BA202" s="182"/>
      <c r="BB202" s="182"/>
      <c r="BC202" s="182"/>
      <c r="BD202" s="182"/>
      <c r="BE202" s="182"/>
      <c r="BF202" s="182"/>
      <c r="BG202" s="182"/>
      <c r="BH202" s="182"/>
      <c r="BI202" s="182"/>
      <c r="BJ202" s="182"/>
      <c r="BK202" s="182"/>
      <c r="BL202" s="182"/>
      <c r="BM202" s="182"/>
      <c r="BN202" s="182"/>
      <c r="BO202" s="182"/>
      <c r="BP202" s="182"/>
      <c r="BQ202" s="182"/>
      <c r="BR202" s="182"/>
      <c r="BS202" s="182"/>
      <c r="BT202" s="182"/>
      <c r="BU202" s="182"/>
      <c r="BV202" s="182"/>
      <c r="BW202" s="182"/>
      <c r="BX202" s="182"/>
      <c r="BY202" s="182"/>
      <c r="BZ202" s="182"/>
      <c r="CA202" s="182"/>
      <c r="CB202" s="185">
        <v>12000</v>
      </c>
      <c r="CC202" s="185">
        <v>0</v>
      </c>
      <c r="CD202" s="185">
        <v>1559</v>
      </c>
      <c r="CE202" s="185"/>
    </row>
    <row r="203" spans="2:83" x14ac:dyDescent="0.3">
      <c r="B203" s="182">
        <v>3603</v>
      </c>
      <c r="C203" s="182">
        <v>1560</v>
      </c>
      <c r="D203" s="182" t="s">
        <v>121</v>
      </c>
      <c r="E203" s="181" t="s">
        <v>4140</v>
      </c>
      <c r="F203" s="182"/>
      <c r="G203" s="182">
        <v>6000</v>
      </c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82"/>
      <c r="AA203" s="182"/>
      <c r="AB203" s="182"/>
      <c r="AC203" s="182"/>
      <c r="AD203" s="182"/>
      <c r="AE203" s="182"/>
      <c r="AF203" s="182"/>
      <c r="AG203" s="182"/>
      <c r="AH203" s="182"/>
      <c r="AI203" s="182"/>
      <c r="AJ203" s="182"/>
      <c r="AK203" s="182"/>
      <c r="AL203" s="182"/>
      <c r="AM203" s="182"/>
      <c r="AN203" s="182"/>
      <c r="AO203" s="182"/>
      <c r="AP203" s="182"/>
      <c r="AQ203" s="185">
        <v>6000</v>
      </c>
      <c r="AR203" s="182">
        <v>5355.7</v>
      </c>
      <c r="AS203" s="182">
        <v>644.29999999999995</v>
      </c>
      <c r="AT203" s="182"/>
      <c r="AU203" s="182"/>
      <c r="AV203" s="182"/>
      <c r="AW203" s="182"/>
      <c r="AX203" s="182"/>
      <c r="AY203" s="182"/>
      <c r="AZ203" s="182"/>
      <c r="BA203" s="182"/>
      <c r="BB203" s="182"/>
      <c r="BC203" s="182"/>
      <c r="BD203" s="182"/>
      <c r="BE203" s="182"/>
      <c r="BF203" s="182"/>
      <c r="BG203" s="182"/>
      <c r="BH203" s="182"/>
      <c r="BI203" s="182"/>
      <c r="BJ203" s="182"/>
      <c r="BK203" s="182"/>
      <c r="BL203" s="182"/>
      <c r="BM203" s="182"/>
      <c r="BN203" s="182"/>
      <c r="BO203" s="182"/>
      <c r="BP203" s="182"/>
      <c r="BQ203" s="182"/>
      <c r="BR203" s="182"/>
      <c r="BS203" s="182"/>
      <c r="BT203" s="182"/>
      <c r="BU203" s="182"/>
      <c r="BV203" s="182"/>
      <c r="BW203" s="182"/>
      <c r="BX203" s="182"/>
      <c r="BY203" s="182"/>
      <c r="BZ203" s="182"/>
      <c r="CA203" s="182"/>
      <c r="CB203" s="185">
        <v>6000</v>
      </c>
      <c r="CC203" s="185">
        <v>0</v>
      </c>
      <c r="CD203" s="185">
        <v>1560</v>
      </c>
      <c r="CE203" s="185"/>
    </row>
    <row r="204" spans="2:83" x14ac:dyDescent="0.3">
      <c r="B204" s="182">
        <v>3600</v>
      </c>
      <c r="C204" s="182">
        <v>1561</v>
      </c>
      <c r="D204" s="182" t="s">
        <v>121</v>
      </c>
      <c r="E204" s="181" t="s">
        <v>4141</v>
      </c>
      <c r="F204" s="182"/>
      <c r="G204" s="182">
        <v>3600</v>
      </c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  <c r="AK204" s="182"/>
      <c r="AL204" s="182"/>
      <c r="AM204" s="182"/>
      <c r="AN204" s="182"/>
      <c r="AO204" s="182"/>
      <c r="AP204" s="182"/>
      <c r="AQ204" s="185">
        <v>3600</v>
      </c>
      <c r="AR204" s="182">
        <v>3213.35</v>
      </c>
      <c r="AS204" s="182">
        <v>386.65</v>
      </c>
      <c r="AT204" s="182"/>
      <c r="AU204" s="182"/>
      <c r="AV204" s="182"/>
      <c r="AW204" s="182"/>
      <c r="AX204" s="182"/>
      <c r="AY204" s="182"/>
      <c r="AZ204" s="182"/>
      <c r="BA204" s="182"/>
      <c r="BB204" s="182"/>
      <c r="BC204" s="182"/>
      <c r="BD204" s="182"/>
      <c r="BE204" s="182"/>
      <c r="BF204" s="182"/>
      <c r="BG204" s="182"/>
      <c r="BH204" s="182"/>
      <c r="BI204" s="182"/>
      <c r="BJ204" s="182"/>
      <c r="BK204" s="182"/>
      <c r="BL204" s="182"/>
      <c r="BM204" s="182"/>
      <c r="BN204" s="182"/>
      <c r="BO204" s="182"/>
      <c r="BP204" s="182"/>
      <c r="BQ204" s="182"/>
      <c r="BR204" s="182"/>
      <c r="BS204" s="182"/>
      <c r="BT204" s="182"/>
      <c r="BU204" s="182"/>
      <c r="BV204" s="182"/>
      <c r="BW204" s="182"/>
      <c r="BX204" s="182"/>
      <c r="BY204" s="182"/>
      <c r="BZ204" s="182"/>
      <c r="CA204" s="182"/>
      <c r="CB204" s="185">
        <v>3600</v>
      </c>
      <c r="CC204" s="185">
        <v>0</v>
      </c>
      <c r="CD204" s="185">
        <v>1561</v>
      </c>
      <c r="CE204" s="185"/>
    </row>
    <row r="205" spans="2:83" x14ac:dyDescent="0.3">
      <c r="B205" s="182">
        <v>3601</v>
      </c>
      <c r="C205" s="182">
        <v>1562</v>
      </c>
      <c r="D205" s="182" t="s">
        <v>121</v>
      </c>
      <c r="E205" s="181" t="s">
        <v>4141</v>
      </c>
      <c r="F205" s="182"/>
      <c r="G205" s="182">
        <v>14200</v>
      </c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82"/>
      <c r="AA205" s="182"/>
      <c r="AB205" s="182"/>
      <c r="AC205" s="182"/>
      <c r="AD205" s="182"/>
      <c r="AE205" s="182"/>
      <c r="AF205" s="182"/>
      <c r="AG205" s="182"/>
      <c r="AH205" s="182"/>
      <c r="AI205" s="182"/>
      <c r="AJ205" s="182"/>
      <c r="AK205" s="182"/>
      <c r="AL205" s="182"/>
      <c r="AM205" s="182"/>
      <c r="AN205" s="182"/>
      <c r="AO205" s="182"/>
      <c r="AP205" s="182"/>
      <c r="AQ205" s="185">
        <v>14200</v>
      </c>
      <c r="AR205" s="182">
        <v>12674.9</v>
      </c>
      <c r="AS205" s="182">
        <v>1525.1</v>
      </c>
      <c r="AT205" s="182"/>
      <c r="AU205" s="182"/>
      <c r="AV205" s="182"/>
      <c r="AW205" s="182"/>
      <c r="AX205" s="182"/>
      <c r="AY205" s="182"/>
      <c r="AZ205" s="182"/>
      <c r="BA205" s="182"/>
      <c r="BB205" s="182"/>
      <c r="BC205" s="182"/>
      <c r="BD205" s="182"/>
      <c r="BE205" s="182"/>
      <c r="BF205" s="182"/>
      <c r="BG205" s="182"/>
      <c r="BH205" s="182"/>
      <c r="BI205" s="182"/>
      <c r="BJ205" s="182"/>
      <c r="BK205" s="182"/>
      <c r="BL205" s="182"/>
      <c r="BM205" s="182"/>
      <c r="BN205" s="182"/>
      <c r="BO205" s="182"/>
      <c r="BP205" s="182"/>
      <c r="BQ205" s="182"/>
      <c r="BR205" s="182"/>
      <c r="BS205" s="182"/>
      <c r="BT205" s="182"/>
      <c r="BU205" s="182"/>
      <c r="BV205" s="182"/>
      <c r="BW205" s="182"/>
      <c r="BX205" s="182"/>
      <c r="BY205" s="182"/>
      <c r="BZ205" s="182"/>
      <c r="CA205" s="182"/>
      <c r="CB205" s="185">
        <v>14200</v>
      </c>
      <c r="CC205" s="185">
        <v>0</v>
      </c>
      <c r="CD205" s="185">
        <v>1562</v>
      </c>
      <c r="CE205" s="185"/>
    </row>
    <row r="206" spans="2:83" x14ac:dyDescent="0.3">
      <c r="B206" s="182">
        <v>3599</v>
      </c>
      <c r="C206" s="182">
        <v>1563</v>
      </c>
      <c r="D206" s="182" t="s">
        <v>121</v>
      </c>
      <c r="E206" s="181" t="s">
        <v>4141</v>
      </c>
      <c r="F206" s="182"/>
      <c r="G206" s="182">
        <v>7300</v>
      </c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2"/>
      <c r="X206" s="182"/>
      <c r="Y206" s="182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  <c r="AN206" s="182"/>
      <c r="AO206" s="182"/>
      <c r="AP206" s="182"/>
      <c r="AQ206" s="185">
        <v>7300</v>
      </c>
      <c r="AR206" s="182">
        <v>6516</v>
      </c>
      <c r="AS206" s="182">
        <v>784</v>
      </c>
      <c r="AT206" s="182"/>
      <c r="AU206" s="182"/>
      <c r="AV206" s="182"/>
      <c r="AW206" s="182"/>
      <c r="AX206" s="182"/>
      <c r="AY206" s="182"/>
      <c r="AZ206" s="182"/>
      <c r="BA206" s="182"/>
      <c r="BB206" s="182"/>
      <c r="BC206" s="182"/>
      <c r="BD206" s="182"/>
      <c r="BE206" s="182"/>
      <c r="BF206" s="182"/>
      <c r="BG206" s="182"/>
      <c r="BH206" s="182"/>
      <c r="BI206" s="182"/>
      <c r="BJ206" s="182"/>
      <c r="BK206" s="182"/>
      <c r="BL206" s="182"/>
      <c r="BM206" s="182"/>
      <c r="BN206" s="182"/>
      <c r="BO206" s="182"/>
      <c r="BP206" s="182"/>
      <c r="BQ206" s="182"/>
      <c r="BR206" s="182"/>
      <c r="BS206" s="182"/>
      <c r="BT206" s="182"/>
      <c r="BU206" s="182"/>
      <c r="BV206" s="182"/>
      <c r="BW206" s="182"/>
      <c r="BX206" s="182"/>
      <c r="BY206" s="182"/>
      <c r="BZ206" s="182"/>
      <c r="CA206" s="182"/>
      <c r="CB206" s="185">
        <v>7300</v>
      </c>
      <c r="CC206" s="185">
        <v>0</v>
      </c>
      <c r="CD206" s="185">
        <v>1563</v>
      </c>
      <c r="CE206" s="185"/>
    </row>
    <row r="207" spans="2:83" x14ac:dyDescent="0.3">
      <c r="B207" s="182">
        <v>3597</v>
      </c>
      <c r="C207" s="182">
        <v>1564</v>
      </c>
      <c r="D207" s="182" t="s">
        <v>121</v>
      </c>
      <c r="E207" s="181" t="s">
        <v>4142</v>
      </c>
      <c r="F207" s="182"/>
      <c r="G207" s="182">
        <v>6000</v>
      </c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2"/>
      <c r="X207" s="182"/>
      <c r="Y207" s="182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/>
      <c r="AM207" s="182"/>
      <c r="AN207" s="182"/>
      <c r="AO207" s="182"/>
      <c r="AP207" s="182"/>
      <c r="AQ207" s="185">
        <v>6000</v>
      </c>
      <c r="AR207" s="182">
        <v>5355.7</v>
      </c>
      <c r="AS207" s="182">
        <v>644.29999999999995</v>
      </c>
      <c r="AT207" s="182"/>
      <c r="AU207" s="182"/>
      <c r="AV207" s="182"/>
      <c r="AW207" s="182"/>
      <c r="AX207" s="182"/>
      <c r="AY207" s="182"/>
      <c r="AZ207" s="182"/>
      <c r="BA207" s="182"/>
      <c r="BB207" s="182"/>
      <c r="BC207" s="182"/>
      <c r="BD207" s="182"/>
      <c r="BE207" s="182"/>
      <c r="BF207" s="182"/>
      <c r="BG207" s="182"/>
      <c r="BH207" s="182"/>
      <c r="BI207" s="182"/>
      <c r="BJ207" s="182"/>
      <c r="BK207" s="182"/>
      <c r="BL207" s="182"/>
      <c r="BM207" s="182"/>
      <c r="BN207" s="182"/>
      <c r="BO207" s="182"/>
      <c r="BP207" s="182"/>
      <c r="BQ207" s="182"/>
      <c r="BR207" s="182"/>
      <c r="BS207" s="182"/>
      <c r="BT207" s="182"/>
      <c r="BU207" s="182"/>
      <c r="BV207" s="182"/>
      <c r="BW207" s="182"/>
      <c r="BX207" s="182"/>
      <c r="BY207" s="182"/>
      <c r="BZ207" s="182"/>
      <c r="CA207" s="182"/>
      <c r="CB207" s="185">
        <v>6000</v>
      </c>
      <c r="CC207" s="185">
        <v>0</v>
      </c>
      <c r="CD207" s="185">
        <v>1564</v>
      </c>
      <c r="CE207" s="185"/>
    </row>
    <row r="208" spans="2:83" x14ac:dyDescent="0.3">
      <c r="B208" s="182">
        <v>3597</v>
      </c>
      <c r="C208" s="182">
        <v>1565</v>
      </c>
      <c r="D208" s="182" t="s">
        <v>121</v>
      </c>
      <c r="E208" s="181" t="s">
        <v>4142</v>
      </c>
      <c r="F208" s="182"/>
      <c r="G208" s="182">
        <v>12000</v>
      </c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2"/>
      <c r="X208" s="182"/>
      <c r="Y208" s="182"/>
      <c r="Z208" s="182"/>
      <c r="AA208" s="182"/>
      <c r="AB208" s="182"/>
      <c r="AC208" s="182"/>
      <c r="AD208" s="182"/>
      <c r="AE208" s="182"/>
      <c r="AF208" s="182"/>
      <c r="AG208" s="182"/>
      <c r="AH208" s="182"/>
      <c r="AI208" s="182"/>
      <c r="AJ208" s="182"/>
      <c r="AK208" s="182"/>
      <c r="AL208" s="182"/>
      <c r="AM208" s="182"/>
      <c r="AN208" s="182"/>
      <c r="AO208" s="182"/>
      <c r="AP208" s="182"/>
      <c r="AQ208" s="185">
        <v>12000</v>
      </c>
      <c r="AR208" s="182">
        <v>10711.4</v>
      </c>
      <c r="AS208" s="182">
        <v>1288.5999999999999</v>
      </c>
      <c r="AT208" s="182"/>
      <c r="AU208" s="182"/>
      <c r="AV208" s="182"/>
      <c r="AW208" s="182"/>
      <c r="AX208" s="182"/>
      <c r="AY208" s="182"/>
      <c r="AZ208" s="182"/>
      <c r="BA208" s="182"/>
      <c r="BB208" s="182"/>
      <c r="BC208" s="182"/>
      <c r="BD208" s="182"/>
      <c r="BE208" s="182"/>
      <c r="BF208" s="182"/>
      <c r="BG208" s="182"/>
      <c r="BH208" s="182"/>
      <c r="BI208" s="182"/>
      <c r="BJ208" s="182"/>
      <c r="BK208" s="182"/>
      <c r="BL208" s="182"/>
      <c r="BM208" s="182"/>
      <c r="BN208" s="182"/>
      <c r="BO208" s="182"/>
      <c r="BP208" s="182"/>
      <c r="BQ208" s="182"/>
      <c r="BR208" s="182"/>
      <c r="BS208" s="182"/>
      <c r="BT208" s="182"/>
      <c r="BU208" s="182"/>
      <c r="BV208" s="182"/>
      <c r="BW208" s="182"/>
      <c r="BX208" s="182"/>
      <c r="BY208" s="182"/>
      <c r="BZ208" s="182"/>
      <c r="CA208" s="182"/>
      <c r="CB208" s="185">
        <v>12000</v>
      </c>
      <c r="CC208" s="185">
        <v>0</v>
      </c>
      <c r="CD208" s="185">
        <v>1565</v>
      </c>
      <c r="CE208" s="185"/>
    </row>
    <row r="209" spans="2:83" x14ac:dyDescent="0.3">
      <c r="B209" s="182">
        <v>3596</v>
      </c>
      <c r="C209" s="182">
        <v>1566</v>
      </c>
      <c r="D209" s="182" t="s">
        <v>121</v>
      </c>
      <c r="E209" s="181" t="s">
        <v>4142</v>
      </c>
      <c r="F209" s="182"/>
      <c r="G209" s="182">
        <v>8000</v>
      </c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2"/>
      <c r="X209" s="182"/>
      <c r="Y209" s="182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  <c r="AO209" s="182"/>
      <c r="AP209" s="182"/>
      <c r="AQ209" s="185">
        <v>8000</v>
      </c>
      <c r="AR209" s="182">
        <v>7141.05</v>
      </c>
      <c r="AS209" s="182">
        <v>858.95</v>
      </c>
      <c r="AT209" s="182"/>
      <c r="AU209" s="182"/>
      <c r="AV209" s="182"/>
      <c r="AW209" s="182"/>
      <c r="AX209" s="182"/>
      <c r="AY209" s="182"/>
      <c r="AZ209" s="182"/>
      <c r="BA209" s="182"/>
      <c r="BB209" s="182"/>
      <c r="BC209" s="182"/>
      <c r="BD209" s="182"/>
      <c r="BE209" s="182"/>
      <c r="BF209" s="182"/>
      <c r="BG209" s="182"/>
      <c r="BH209" s="182"/>
      <c r="BI209" s="182"/>
      <c r="BJ209" s="182"/>
      <c r="BK209" s="182"/>
      <c r="BL209" s="182"/>
      <c r="BM209" s="182"/>
      <c r="BN209" s="182"/>
      <c r="BO209" s="182"/>
      <c r="BP209" s="182"/>
      <c r="BQ209" s="182"/>
      <c r="BR209" s="182"/>
      <c r="BS209" s="182"/>
      <c r="BT209" s="182"/>
      <c r="BU209" s="182"/>
      <c r="BV209" s="182"/>
      <c r="BW209" s="182"/>
      <c r="BX209" s="182"/>
      <c r="BY209" s="182"/>
      <c r="BZ209" s="182"/>
      <c r="CA209" s="182"/>
      <c r="CB209" s="185">
        <v>8000</v>
      </c>
      <c r="CC209" s="185">
        <v>0</v>
      </c>
      <c r="CD209" s="185">
        <v>1566</v>
      </c>
      <c r="CE209" s="185"/>
    </row>
    <row r="210" spans="2:83" x14ac:dyDescent="0.3">
      <c r="B210" s="182">
        <v>3609</v>
      </c>
      <c r="C210" s="182">
        <v>1567</v>
      </c>
      <c r="D210" s="182" t="s">
        <v>121</v>
      </c>
      <c r="E210" s="181" t="s">
        <v>4143</v>
      </c>
      <c r="F210" s="182"/>
      <c r="G210" s="182">
        <v>6500</v>
      </c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2"/>
      <c r="X210" s="182"/>
      <c r="Y210" s="182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  <c r="AN210" s="182"/>
      <c r="AO210" s="182"/>
      <c r="AP210" s="182"/>
      <c r="AQ210" s="185">
        <v>6500</v>
      </c>
      <c r="AR210" s="182">
        <v>5801.95</v>
      </c>
      <c r="AS210" s="182">
        <v>698.05</v>
      </c>
      <c r="AT210" s="182"/>
      <c r="AU210" s="182"/>
      <c r="AV210" s="182"/>
      <c r="AW210" s="182"/>
      <c r="AX210" s="182"/>
      <c r="AY210" s="182"/>
      <c r="AZ210" s="182"/>
      <c r="BA210" s="182"/>
      <c r="BB210" s="182"/>
      <c r="BC210" s="182"/>
      <c r="BD210" s="182"/>
      <c r="BE210" s="182"/>
      <c r="BF210" s="182"/>
      <c r="BG210" s="182"/>
      <c r="BH210" s="182"/>
      <c r="BI210" s="182"/>
      <c r="BJ210" s="182"/>
      <c r="BK210" s="182"/>
      <c r="BL210" s="182"/>
      <c r="BM210" s="182"/>
      <c r="BN210" s="182"/>
      <c r="BO210" s="182"/>
      <c r="BP210" s="182"/>
      <c r="BQ210" s="182"/>
      <c r="BR210" s="182"/>
      <c r="BS210" s="182"/>
      <c r="BT210" s="182"/>
      <c r="BU210" s="182"/>
      <c r="BV210" s="182"/>
      <c r="BW210" s="182"/>
      <c r="BX210" s="182"/>
      <c r="BY210" s="182"/>
      <c r="BZ210" s="182"/>
      <c r="CA210" s="182"/>
      <c r="CB210" s="185">
        <v>6500</v>
      </c>
      <c r="CC210" s="185">
        <v>0</v>
      </c>
      <c r="CD210" s="185">
        <v>1567</v>
      </c>
      <c r="CE210" s="185"/>
    </row>
    <row r="211" spans="2:83" x14ac:dyDescent="0.3">
      <c r="B211" s="182">
        <v>3630</v>
      </c>
      <c r="C211" s="182">
        <v>1568</v>
      </c>
      <c r="D211" s="182" t="s">
        <v>121</v>
      </c>
      <c r="E211" s="181" t="s">
        <v>4144</v>
      </c>
      <c r="F211" s="182"/>
      <c r="G211" s="182">
        <v>5040.57</v>
      </c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2"/>
      <c r="X211" s="182"/>
      <c r="Y211" s="182"/>
      <c r="Z211" s="182"/>
      <c r="AA211" s="182"/>
      <c r="AB211" s="182"/>
      <c r="AC211" s="182"/>
      <c r="AD211" s="182"/>
      <c r="AE211" s="182"/>
      <c r="AF211" s="182"/>
      <c r="AG211" s="182"/>
      <c r="AH211" s="182"/>
      <c r="AI211" s="182"/>
      <c r="AJ211" s="182"/>
      <c r="AK211" s="182"/>
      <c r="AL211" s="182"/>
      <c r="AM211" s="182"/>
      <c r="AN211" s="182"/>
      <c r="AO211" s="182"/>
      <c r="AP211" s="182"/>
      <c r="AQ211" s="185">
        <v>5040.57</v>
      </c>
      <c r="AR211" s="182">
        <v>4362.04</v>
      </c>
      <c r="AS211" s="182">
        <v>530.20000000000005</v>
      </c>
      <c r="AT211" s="182">
        <v>148.33000000000001</v>
      </c>
      <c r="AU211" s="182"/>
      <c r="AV211" s="182"/>
      <c r="AW211" s="182"/>
      <c r="AX211" s="182"/>
      <c r="AY211" s="182"/>
      <c r="AZ211" s="182"/>
      <c r="BA211" s="182"/>
      <c r="BB211" s="182"/>
      <c r="BC211" s="182"/>
      <c r="BD211" s="182"/>
      <c r="BE211" s="182"/>
      <c r="BF211" s="182"/>
      <c r="BG211" s="182"/>
      <c r="BH211" s="182"/>
      <c r="BI211" s="182"/>
      <c r="BJ211" s="182"/>
      <c r="BK211" s="182"/>
      <c r="BL211" s="182"/>
      <c r="BM211" s="182"/>
      <c r="BN211" s="182"/>
      <c r="BO211" s="182"/>
      <c r="BP211" s="182"/>
      <c r="BQ211" s="182"/>
      <c r="BR211" s="182"/>
      <c r="BS211" s="182"/>
      <c r="BT211" s="182"/>
      <c r="BU211" s="182"/>
      <c r="BV211" s="182"/>
      <c r="BW211" s="182"/>
      <c r="BX211" s="182"/>
      <c r="BY211" s="182"/>
      <c r="BZ211" s="182"/>
      <c r="CA211" s="182"/>
      <c r="CB211" s="185">
        <v>5040.57</v>
      </c>
      <c r="CC211" s="185">
        <v>0</v>
      </c>
      <c r="CD211" s="185">
        <v>1568</v>
      </c>
      <c r="CE211" s="185"/>
    </row>
    <row r="212" spans="2:83" x14ac:dyDescent="0.3">
      <c r="B212" s="182">
        <v>3627</v>
      </c>
      <c r="C212" s="182">
        <v>1569</v>
      </c>
      <c r="D212" s="182" t="s">
        <v>121</v>
      </c>
      <c r="E212" s="181" t="s">
        <v>4145</v>
      </c>
      <c r="F212" s="182"/>
      <c r="G212" s="182">
        <v>5379.38</v>
      </c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2"/>
      <c r="X212" s="182"/>
      <c r="Y212" s="182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  <c r="AN212" s="182"/>
      <c r="AO212" s="182"/>
      <c r="AP212" s="182"/>
      <c r="AQ212" s="185">
        <v>5379.38</v>
      </c>
      <c r="AR212" s="182">
        <v>4604.75</v>
      </c>
      <c r="AS212" s="182">
        <v>562.75</v>
      </c>
      <c r="AT212" s="182">
        <v>211.88</v>
      </c>
      <c r="AU212" s="182"/>
      <c r="AV212" s="182"/>
      <c r="AW212" s="182"/>
      <c r="AX212" s="182"/>
      <c r="AY212" s="182"/>
      <c r="AZ212" s="182"/>
      <c r="BA212" s="182"/>
      <c r="BB212" s="182"/>
      <c r="BC212" s="182"/>
      <c r="BD212" s="182"/>
      <c r="BE212" s="182"/>
      <c r="BF212" s="182"/>
      <c r="BG212" s="182"/>
      <c r="BH212" s="182"/>
      <c r="BI212" s="182"/>
      <c r="BJ212" s="182"/>
      <c r="BK212" s="182"/>
      <c r="BL212" s="182"/>
      <c r="BM212" s="182"/>
      <c r="BN212" s="182"/>
      <c r="BO212" s="182"/>
      <c r="BP212" s="182"/>
      <c r="BQ212" s="182"/>
      <c r="BR212" s="182"/>
      <c r="BS212" s="182"/>
      <c r="BT212" s="182"/>
      <c r="BU212" s="182"/>
      <c r="BV212" s="182"/>
      <c r="BW212" s="182"/>
      <c r="BX212" s="182"/>
      <c r="BY212" s="182"/>
      <c r="BZ212" s="182"/>
      <c r="CA212" s="182"/>
      <c r="CB212" s="185">
        <v>5379.38</v>
      </c>
      <c r="CC212" s="185">
        <v>0</v>
      </c>
      <c r="CD212" s="185">
        <v>1569</v>
      </c>
      <c r="CE212" s="185"/>
    </row>
    <row r="213" spans="2:83" x14ac:dyDescent="0.3">
      <c r="B213" s="182">
        <v>3622</v>
      </c>
      <c r="C213" s="182">
        <v>1570</v>
      </c>
      <c r="D213" s="182" t="s">
        <v>121</v>
      </c>
      <c r="E213" s="181" t="s">
        <v>4146</v>
      </c>
      <c r="F213" s="182"/>
      <c r="G213" s="182">
        <v>6500</v>
      </c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2"/>
      <c r="X213" s="182"/>
      <c r="Y213" s="182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  <c r="AN213" s="182"/>
      <c r="AO213" s="182"/>
      <c r="AP213" s="182"/>
      <c r="AQ213" s="185">
        <v>6500</v>
      </c>
      <c r="AR213" s="182">
        <v>5801.95</v>
      </c>
      <c r="AS213" s="182">
        <v>698.05</v>
      </c>
      <c r="AT213" s="182"/>
      <c r="AU213" s="182"/>
      <c r="AV213" s="182"/>
      <c r="AW213" s="182"/>
      <c r="AX213" s="182"/>
      <c r="AY213" s="182"/>
      <c r="AZ213" s="182"/>
      <c r="BA213" s="182"/>
      <c r="BB213" s="182"/>
      <c r="BC213" s="182"/>
      <c r="BD213" s="182"/>
      <c r="BE213" s="182"/>
      <c r="BF213" s="182"/>
      <c r="BG213" s="182"/>
      <c r="BH213" s="182"/>
      <c r="BI213" s="182"/>
      <c r="BJ213" s="182"/>
      <c r="BK213" s="182"/>
      <c r="BL213" s="182"/>
      <c r="BM213" s="182"/>
      <c r="BN213" s="182"/>
      <c r="BO213" s="182"/>
      <c r="BP213" s="182"/>
      <c r="BQ213" s="182"/>
      <c r="BR213" s="182"/>
      <c r="BS213" s="182"/>
      <c r="BT213" s="182"/>
      <c r="BU213" s="182"/>
      <c r="BV213" s="182"/>
      <c r="BW213" s="182"/>
      <c r="BX213" s="182"/>
      <c r="BY213" s="182"/>
      <c r="BZ213" s="182"/>
      <c r="CA213" s="182"/>
      <c r="CB213" s="185">
        <v>6500</v>
      </c>
      <c r="CC213" s="185">
        <v>0</v>
      </c>
      <c r="CD213" s="185">
        <v>1570</v>
      </c>
      <c r="CE213" s="185"/>
    </row>
    <row r="214" spans="2:83" x14ac:dyDescent="0.3">
      <c r="B214" s="182">
        <v>3618</v>
      </c>
      <c r="C214" s="182">
        <v>1571</v>
      </c>
      <c r="D214" s="182" t="s">
        <v>121</v>
      </c>
      <c r="E214" s="181" t="s">
        <v>4147</v>
      </c>
      <c r="F214" s="182"/>
      <c r="G214" s="182">
        <v>2345</v>
      </c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2"/>
      <c r="X214" s="182"/>
      <c r="Y214" s="182"/>
      <c r="Z214" s="182"/>
      <c r="AA214" s="182"/>
      <c r="AB214" s="182"/>
      <c r="AC214" s="182"/>
      <c r="AD214" s="182"/>
      <c r="AE214" s="182"/>
      <c r="AF214" s="182"/>
      <c r="AG214" s="182"/>
      <c r="AH214" s="182"/>
      <c r="AI214" s="182"/>
      <c r="AJ214" s="182"/>
      <c r="AK214" s="182"/>
      <c r="AL214" s="182"/>
      <c r="AM214" s="182"/>
      <c r="AN214" s="182"/>
      <c r="AO214" s="182"/>
      <c r="AP214" s="182"/>
      <c r="AQ214" s="185">
        <v>2345</v>
      </c>
      <c r="AR214" s="182">
        <v>1568.2</v>
      </c>
      <c r="AS214" s="182">
        <v>211.8</v>
      </c>
      <c r="AT214" s="182">
        <v>565</v>
      </c>
      <c r="AU214" s="182"/>
      <c r="AV214" s="182"/>
      <c r="AW214" s="182"/>
      <c r="AX214" s="182"/>
      <c r="AY214" s="182"/>
      <c r="AZ214" s="182"/>
      <c r="BA214" s="182"/>
      <c r="BB214" s="182"/>
      <c r="BC214" s="182"/>
      <c r="BD214" s="182"/>
      <c r="BE214" s="182"/>
      <c r="BF214" s="182"/>
      <c r="BG214" s="182"/>
      <c r="BH214" s="182"/>
      <c r="BI214" s="182"/>
      <c r="BJ214" s="182"/>
      <c r="BK214" s="182"/>
      <c r="BL214" s="182"/>
      <c r="BM214" s="182"/>
      <c r="BN214" s="182"/>
      <c r="BO214" s="182"/>
      <c r="BP214" s="182"/>
      <c r="BQ214" s="182"/>
      <c r="BR214" s="182"/>
      <c r="BS214" s="182"/>
      <c r="BT214" s="182"/>
      <c r="BU214" s="182"/>
      <c r="BV214" s="182"/>
      <c r="BW214" s="182"/>
      <c r="BX214" s="182"/>
      <c r="BY214" s="182"/>
      <c r="BZ214" s="182"/>
      <c r="CA214" s="182"/>
      <c r="CB214" s="185">
        <v>2345</v>
      </c>
      <c r="CC214" s="185">
        <v>0</v>
      </c>
      <c r="CD214" s="185">
        <v>1571</v>
      </c>
      <c r="CE214" s="185"/>
    </row>
    <row r="215" spans="2:83" x14ac:dyDescent="0.3">
      <c r="B215" s="182">
        <v>3617</v>
      </c>
      <c r="C215" s="182">
        <v>1572</v>
      </c>
      <c r="D215" s="182" t="s">
        <v>121</v>
      </c>
      <c r="E215" s="181" t="s">
        <v>4147</v>
      </c>
      <c r="F215" s="182"/>
      <c r="G215" s="182">
        <v>4500</v>
      </c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2"/>
      <c r="X215" s="182"/>
      <c r="Y215" s="182"/>
      <c r="Z215" s="182"/>
      <c r="AA215" s="182"/>
      <c r="AB215" s="182"/>
      <c r="AC215" s="182"/>
      <c r="AD215" s="182"/>
      <c r="AE215" s="182"/>
      <c r="AF215" s="182"/>
      <c r="AG215" s="182"/>
      <c r="AH215" s="182"/>
      <c r="AI215" s="182"/>
      <c r="AJ215" s="182"/>
      <c r="AK215" s="182"/>
      <c r="AL215" s="182"/>
      <c r="AM215" s="182"/>
      <c r="AN215" s="182"/>
      <c r="AO215" s="182"/>
      <c r="AP215" s="182"/>
      <c r="AQ215" s="185">
        <v>4500</v>
      </c>
      <c r="AR215" s="182">
        <v>4017.45</v>
      </c>
      <c r="AS215" s="182">
        <v>482.55</v>
      </c>
      <c r="AT215" s="182"/>
      <c r="AU215" s="182"/>
      <c r="AV215" s="182"/>
      <c r="AW215" s="182"/>
      <c r="AX215" s="182"/>
      <c r="AY215" s="182"/>
      <c r="AZ215" s="182"/>
      <c r="BA215" s="182"/>
      <c r="BB215" s="182"/>
      <c r="BC215" s="182"/>
      <c r="BD215" s="182"/>
      <c r="BE215" s="182"/>
      <c r="BF215" s="182"/>
      <c r="BG215" s="182"/>
      <c r="BH215" s="182"/>
      <c r="BI215" s="182"/>
      <c r="BJ215" s="182"/>
      <c r="BK215" s="182"/>
      <c r="BL215" s="182"/>
      <c r="BM215" s="182"/>
      <c r="BN215" s="182"/>
      <c r="BO215" s="182"/>
      <c r="BP215" s="182"/>
      <c r="BQ215" s="182"/>
      <c r="BR215" s="182"/>
      <c r="BS215" s="182"/>
      <c r="BT215" s="182"/>
      <c r="BU215" s="182"/>
      <c r="BV215" s="182"/>
      <c r="BW215" s="182"/>
      <c r="BX215" s="182"/>
      <c r="BY215" s="182"/>
      <c r="BZ215" s="182"/>
      <c r="CA215" s="182"/>
      <c r="CB215" s="185">
        <v>4500</v>
      </c>
      <c r="CC215" s="185">
        <v>0</v>
      </c>
      <c r="CD215" s="185">
        <v>1572</v>
      </c>
      <c r="CE215" s="185"/>
    </row>
    <row r="216" spans="2:83" x14ac:dyDescent="0.3">
      <c r="B216" s="182">
        <v>3615</v>
      </c>
      <c r="C216" s="182">
        <v>1573</v>
      </c>
      <c r="D216" s="182" t="s">
        <v>121</v>
      </c>
      <c r="E216" s="181" t="s">
        <v>4148</v>
      </c>
      <c r="F216" s="182"/>
      <c r="G216" s="182">
        <v>7800</v>
      </c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2"/>
      <c r="X216" s="182"/>
      <c r="Y216" s="182"/>
      <c r="Z216" s="182"/>
      <c r="AA216" s="182"/>
      <c r="AB216" s="182"/>
      <c r="AC216" s="182"/>
      <c r="AD216" s="182"/>
      <c r="AE216" s="182"/>
      <c r="AF216" s="182"/>
      <c r="AG216" s="182"/>
      <c r="AH216" s="182"/>
      <c r="AI216" s="182"/>
      <c r="AJ216" s="182"/>
      <c r="AK216" s="182"/>
      <c r="AL216" s="182"/>
      <c r="AM216" s="182"/>
      <c r="AN216" s="182"/>
      <c r="AO216" s="182"/>
      <c r="AP216" s="182"/>
      <c r="AQ216" s="185">
        <v>7800</v>
      </c>
      <c r="AR216" s="182">
        <v>6962.2</v>
      </c>
      <c r="AS216" s="182">
        <v>837.8</v>
      </c>
      <c r="AT216" s="182"/>
      <c r="AU216" s="182"/>
      <c r="AV216" s="182"/>
      <c r="AW216" s="182"/>
      <c r="AX216" s="182"/>
      <c r="AY216" s="182"/>
      <c r="AZ216" s="182"/>
      <c r="BA216" s="182"/>
      <c r="BB216" s="182"/>
      <c r="BC216" s="182"/>
      <c r="BD216" s="182"/>
      <c r="BE216" s="182"/>
      <c r="BF216" s="182"/>
      <c r="BG216" s="182"/>
      <c r="BH216" s="182"/>
      <c r="BI216" s="182"/>
      <c r="BJ216" s="182"/>
      <c r="BK216" s="182"/>
      <c r="BL216" s="182"/>
      <c r="BM216" s="182"/>
      <c r="BN216" s="182"/>
      <c r="BO216" s="182"/>
      <c r="BP216" s="182"/>
      <c r="BQ216" s="182"/>
      <c r="BR216" s="182"/>
      <c r="BS216" s="182"/>
      <c r="BT216" s="182"/>
      <c r="BU216" s="182"/>
      <c r="BV216" s="182"/>
      <c r="BW216" s="182"/>
      <c r="BX216" s="182"/>
      <c r="BY216" s="182"/>
      <c r="BZ216" s="182"/>
      <c r="CA216" s="182"/>
      <c r="CB216" s="185">
        <v>7800</v>
      </c>
      <c r="CC216" s="185">
        <v>0</v>
      </c>
      <c r="CD216" s="185">
        <v>1573</v>
      </c>
      <c r="CE216" s="185"/>
    </row>
    <row r="217" spans="2:83" x14ac:dyDescent="0.3">
      <c r="B217" s="182">
        <v>3614</v>
      </c>
      <c r="C217" s="182">
        <v>1574</v>
      </c>
      <c r="D217" s="182" t="s">
        <v>121</v>
      </c>
      <c r="E217" s="181" t="s">
        <v>4149</v>
      </c>
      <c r="F217" s="182"/>
      <c r="G217" s="182">
        <v>7810.15</v>
      </c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2"/>
      <c r="X217" s="182"/>
      <c r="Y217" s="182"/>
      <c r="Z217" s="182"/>
      <c r="AA217" s="182"/>
      <c r="AB217" s="182"/>
      <c r="AC217" s="182"/>
      <c r="AD217" s="182"/>
      <c r="AE217" s="182"/>
      <c r="AF217" s="182"/>
      <c r="AG217" s="182"/>
      <c r="AH217" s="182"/>
      <c r="AI217" s="182"/>
      <c r="AJ217" s="182"/>
      <c r="AK217" s="182"/>
      <c r="AL217" s="182"/>
      <c r="AM217" s="182"/>
      <c r="AN217" s="182"/>
      <c r="AO217" s="182"/>
      <c r="AP217" s="182"/>
      <c r="AQ217" s="185">
        <v>7810.15</v>
      </c>
      <c r="AR217" s="182">
        <v>6500.92</v>
      </c>
      <c r="AS217" s="182">
        <v>801.3</v>
      </c>
      <c r="AT217" s="182">
        <v>507.93</v>
      </c>
      <c r="AU217" s="182"/>
      <c r="AV217" s="182"/>
      <c r="AW217" s="182"/>
      <c r="AX217" s="182"/>
      <c r="AY217" s="182"/>
      <c r="AZ217" s="182"/>
      <c r="BA217" s="182"/>
      <c r="BB217" s="182"/>
      <c r="BC217" s="182"/>
      <c r="BD217" s="182"/>
      <c r="BE217" s="182"/>
      <c r="BF217" s="182"/>
      <c r="BG217" s="182"/>
      <c r="BH217" s="182"/>
      <c r="BI217" s="182"/>
      <c r="BJ217" s="182"/>
      <c r="BK217" s="182"/>
      <c r="BL217" s="182"/>
      <c r="BM217" s="182"/>
      <c r="BN217" s="182"/>
      <c r="BO217" s="182"/>
      <c r="BP217" s="182"/>
      <c r="BQ217" s="182"/>
      <c r="BR217" s="182"/>
      <c r="BS217" s="182"/>
      <c r="BT217" s="182"/>
      <c r="BU217" s="182"/>
      <c r="BV217" s="182"/>
      <c r="BW217" s="182"/>
      <c r="BX217" s="182"/>
      <c r="BY217" s="182"/>
      <c r="BZ217" s="182"/>
      <c r="CA217" s="182"/>
      <c r="CB217" s="185">
        <v>7810.1500000000005</v>
      </c>
      <c r="CC217" s="185">
        <v>0</v>
      </c>
      <c r="CD217" s="185">
        <v>1574</v>
      </c>
      <c r="CE217" s="185"/>
    </row>
    <row r="218" spans="2:83" ht="37.5" x14ac:dyDescent="0.3">
      <c r="B218" s="182">
        <v>3608</v>
      </c>
      <c r="C218" s="182">
        <v>1575</v>
      </c>
      <c r="D218" s="182" t="s">
        <v>121</v>
      </c>
      <c r="E218" s="181" t="s">
        <v>4150</v>
      </c>
      <c r="F218" s="182"/>
      <c r="G218" s="182">
        <v>4500</v>
      </c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2"/>
      <c r="X218" s="182"/>
      <c r="Y218" s="182"/>
      <c r="Z218" s="182"/>
      <c r="AA218" s="182"/>
      <c r="AB218" s="182"/>
      <c r="AC218" s="182"/>
      <c r="AD218" s="182"/>
      <c r="AE218" s="182"/>
      <c r="AF218" s="182"/>
      <c r="AG218" s="182"/>
      <c r="AH218" s="182"/>
      <c r="AI218" s="182"/>
      <c r="AJ218" s="182"/>
      <c r="AK218" s="182"/>
      <c r="AL218" s="182"/>
      <c r="AM218" s="182"/>
      <c r="AN218" s="182"/>
      <c r="AO218" s="182"/>
      <c r="AP218" s="182"/>
      <c r="AQ218" s="185">
        <v>4500</v>
      </c>
      <c r="AR218" s="182">
        <v>4016.6</v>
      </c>
      <c r="AS218" s="182">
        <v>483.4</v>
      </c>
      <c r="AT218" s="182"/>
      <c r="AU218" s="182"/>
      <c r="AV218" s="182"/>
      <c r="AW218" s="182"/>
      <c r="AX218" s="182"/>
      <c r="AY218" s="182"/>
      <c r="AZ218" s="182"/>
      <c r="BA218" s="182"/>
      <c r="BB218" s="182"/>
      <c r="BC218" s="182"/>
      <c r="BD218" s="182"/>
      <c r="BE218" s="182"/>
      <c r="BF218" s="182"/>
      <c r="BG218" s="182"/>
      <c r="BH218" s="182"/>
      <c r="BI218" s="182"/>
      <c r="BJ218" s="182"/>
      <c r="BK218" s="182"/>
      <c r="BL218" s="182"/>
      <c r="BM218" s="182"/>
      <c r="BN218" s="182"/>
      <c r="BO218" s="182"/>
      <c r="BP218" s="182"/>
      <c r="BQ218" s="182"/>
      <c r="BR218" s="182"/>
      <c r="BS218" s="182"/>
      <c r="BT218" s="182"/>
      <c r="BU218" s="182"/>
      <c r="BV218" s="182"/>
      <c r="BW218" s="182"/>
      <c r="BX218" s="182"/>
      <c r="BY218" s="182"/>
      <c r="BZ218" s="182"/>
      <c r="CA218" s="182"/>
      <c r="CB218" s="185">
        <v>4500</v>
      </c>
      <c r="CC218" s="185">
        <v>0</v>
      </c>
      <c r="CD218" s="185">
        <v>1575</v>
      </c>
      <c r="CE218" s="185"/>
    </row>
    <row r="219" spans="2:83" x14ac:dyDescent="0.3">
      <c r="B219" s="182">
        <v>3605</v>
      </c>
      <c r="C219" s="182">
        <v>1576</v>
      </c>
      <c r="D219" s="182" t="s">
        <v>121</v>
      </c>
      <c r="E219" s="181" t="s">
        <v>4151</v>
      </c>
      <c r="F219" s="182"/>
      <c r="G219" s="182">
        <v>11000</v>
      </c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2"/>
      <c r="X219" s="182"/>
      <c r="Y219" s="182"/>
      <c r="Z219" s="182"/>
      <c r="AA219" s="182"/>
      <c r="AB219" s="182"/>
      <c r="AC219" s="182"/>
      <c r="AD219" s="182"/>
      <c r="AE219" s="182"/>
      <c r="AF219" s="182"/>
      <c r="AG219" s="182"/>
      <c r="AH219" s="182"/>
      <c r="AI219" s="182"/>
      <c r="AJ219" s="182"/>
      <c r="AK219" s="182"/>
      <c r="AL219" s="182"/>
      <c r="AM219" s="182"/>
      <c r="AN219" s="182"/>
      <c r="AO219" s="182"/>
      <c r="AP219" s="182"/>
      <c r="AQ219" s="185">
        <v>11000</v>
      </c>
      <c r="AR219" s="182">
        <v>9818.5499999999993</v>
      </c>
      <c r="AS219" s="182">
        <v>1181.45</v>
      </c>
      <c r="AT219" s="182"/>
      <c r="AU219" s="182"/>
      <c r="AV219" s="182"/>
      <c r="AW219" s="182"/>
      <c r="AX219" s="182"/>
      <c r="AY219" s="182"/>
      <c r="AZ219" s="182"/>
      <c r="BA219" s="182"/>
      <c r="BB219" s="182"/>
      <c r="BC219" s="182"/>
      <c r="BD219" s="182"/>
      <c r="BE219" s="182"/>
      <c r="BF219" s="182"/>
      <c r="BG219" s="182"/>
      <c r="BH219" s="182"/>
      <c r="BI219" s="182"/>
      <c r="BJ219" s="182"/>
      <c r="BK219" s="182"/>
      <c r="BL219" s="182"/>
      <c r="BM219" s="182"/>
      <c r="BN219" s="182"/>
      <c r="BO219" s="182"/>
      <c r="BP219" s="182"/>
      <c r="BQ219" s="182"/>
      <c r="BR219" s="182"/>
      <c r="BS219" s="182"/>
      <c r="BT219" s="182"/>
      <c r="BU219" s="182"/>
      <c r="BV219" s="182"/>
      <c r="BW219" s="182"/>
      <c r="BX219" s="182"/>
      <c r="BY219" s="182"/>
      <c r="BZ219" s="182"/>
      <c r="CA219" s="182"/>
      <c r="CB219" s="185">
        <v>11000</v>
      </c>
      <c r="CC219" s="185">
        <v>0</v>
      </c>
      <c r="CD219" s="185">
        <v>1576</v>
      </c>
      <c r="CE219" s="185"/>
    </row>
    <row r="220" spans="2:83" x14ac:dyDescent="0.3">
      <c r="B220" s="182">
        <v>3626</v>
      </c>
      <c r="C220" s="182">
        <v>1577</v>
      </c>
      <c r="D220" s="182" t="s">
        <v>121</v>
      </c>
      <c r="E220" s="181" t="s">
        <v>4151</v>
      </c>
      <c r="F220" s="182"/>
      <c r="G220" s="182">
        <v>5177.33</v>
      </c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2"/>
      <c r="X220" s="182"/>
      <c r="Y220" s="182"/>
      <c r="Z220" s="182"/>
      <c r="AA220" s="182"/>
      <c r="AB220" s="182"/>
      <c r="AC220" s="182"/>
      <c r="AD220" s="182"/>
      <c r="AE220" s="182"/>
      <c r="AF220" s="182"/>
      <c r="AG220" s="182"/>
      <c r="AH220" s="182"/>
      <c r="AI220" s="182"/>
      <c r="AJ220" s="182"/>
      <c r="AK220" s="182"/>
      <c r="AL220" s="182"/>
      <c r="AM220" s="182"/>
      <c r="AN220" s="182"/>
      <c r="AO220" s="182"/>
      <c r="AP220" s="182"/>
      <c r="AQ220" s="185">
        <v>5177.33</v>
      </c>
      <c r="AR220" s="182">
        <v>3912.08</v>
      </c>
      <c r="AS220" s="182">
        <v>237.88</v>
      </c>
      <c r="AT220" s="182">
        <v>1027.3699999999999</v>
      </c>
      <c r="AU220" s="182"/>
      <c r="AV220" s="182"/>
      <c r="AW220" s="182"/>
      <c r="AX220" s="182"/>
      <c r="AY220" s="182"/>
      <c r="AZ220" s="182"/>
      <c r="BA220" s="182"/>
      <c r="BB220" s="182"/>
      <c r="BC220" s="182"/>
      <c r="BD220" s="182"/>
      <c r="BE220" s="182"/>
      <c r="BF220" s="182"/>
      <c r="BG220" s="182"/>
      <c r="BH220" s="182"/>
      <c r="BI220" s="182"/>
      <c r="BJ220" s="182"/>
      <c r="BK220" s="182"/>
      <c r="BL220" s="182"/>
      <c r="BM220" s="182"/>
      <c r="BN220" s="182"/>
      <c r="BO220" s="182"/>
      <c r="BP220" s="182"/>
      <c r="BQ220" s="182"/>
      <c r="BR220" s="182"/>
      <c r="BS220" s="182"/>
      <c r="BT220" s="182"/>
      <c r="BU220" s="182"/>
      <c r="BV220" s="182"/>
      <c r="BW220" s="182"/>
      <c r="BX220" s="182"/>
      <c r="BY220" s="182"/>
      <c r="BZ220" s="182"/>
      <c r="CA220" s="182"/>
      <c r="CB220" s="185">
        <v>5177.33</v>
      </c>
      <c r="CC220" s="185">
        <v>0</v>
      </c>
      <c r="CD220" s="185">
        <v>1577</v>
      </c>
      <c r="CE220" s="185"/>
    </row>
    <row r="221" spans="2:83" x14ac:dyDescent="0.3">
      <c r="B221" s="182">
        <v>3612</v>
      </c>
      <c r="C221" s="182">
        <v>1578</v>
      </c>
      <c r="D221" s="182" t="s">
        <v>121</v>
      </c>
      <c r="E221" s="181" t="s">
        <v>4152</v>
      </c>
      <c r="F221" s="182"/>
      <c r="G221" s="182">
        <v>2500</v>
      </c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2"/>
      <c r="X221" s="182"/>
      <c r="Y221" s="182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  <c r="AN221" s="182"/>
      <c r="AO221" s="182"/>
      <c r="AP221" s="182"/>
      <c r="AQ221" s="185">
        <v>2500</v>
      </c>
      <c r="AR221" s="182">
        <v>2231.6</v>
      </c>
      <c r="AS221" s="182">
        <v>268.39999999999998</v>
      </c>
      <c r="AT221" s="182"/>
      <c r="AU221" s="182"/>
      <c r="AV221" s="182"/>
      <c r="AW221" s="182"/>
      <c r="AX221" s="182"/>
      <c r="AY221" s="182"/>
      <c r="AZ221" s="182"/>
      <c r="BA221" s="182"/>
      <c r="BB221" s="182"/>
      <c r="BC221" s="182"/>
      <c r="BD221" s="182"/>
      <c r="BE221" s="182"/>
      <c r="BF221" s="182"/>
      <c r="BG221" s="182"/>
      <c r="BH221" s="182"/>
      <c r="BI221" s="182"/>
      <c r="BJ221" s="182"/>
      <c r="BK221" s="182"/>
      <c r="BL221" s="182"/>
      <c r="BM221" s="182"/>
      <c r="BN221" s="182"/>
      <c r="BO221" s="182"/>
      <c r="BP221" s="182"/>
      <c r="BQ221" s="182"/>
      <c r="BR221" s="182"/>
      <c r="BS221" s="182"/>
      <c r="BT221" s="182"/>
      <c r="BU221" s="182"/>
      <c r="BV221" s="182"/>
      <c r="BW221" s="182"/>
      <c r="BX221" s="182"/>
      <c r="BY221" s="182"/>
      <c r="BZ221" s="182"/>
      <c r="CA221" s="182"/>
      <c r="CB221" s="185">
        <v>2500</v>
      </c>
      <c r="CC221" s="185">
        <v>0</v>
      </c>
      <c r="CD221" s="185">
        <v>1578</v>
      </c>
      <c r="CE221" s="185"/>
    </row>
    <row r="222" spans="2:83" x14ac:dyDescent="0.3">
      <c r="B222" s="182">
        <v>3610</v>
      </c>
      <c r="C222" s="182">
        <v>1579</v>
      </c>
      <c r="D222" s="182" t="s">
        <v>121</v>
      </c>
      <c r="E222" s="181" t="s">
        <v>4153</v>
      </c>
      <c r="F222" s="182"/>
      <c r="G222" s="182">
        <v>3500</v>
      </c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2"/>
      <c r="X222" s="182"/>
      <c r="Y222" s="182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182"/>
      <c r="AO222" s="182"/>
      <c r="AP222" s="182"/>
      <c r="AQ222" s="185">
        <v>3500</v>
      </c>
      <c r="AR222" s="182">
        <v>3124.1</v>
      </c>
      <c r="AS222" s="182">
        <v>375.9</v>
      </c>
      <c r="AT222" s="182"/>
      <c r="AU222" s="182"/>
      <c r="AV222" s="182"/>
      <c r="AW222" s="182"/>
      <c r="AX222" s="182"/>
      <c r="AY222" s="182"/>
      <c r="AZ222" s="182"/>
      <c r="BA222" s="182"/>
      <c r="BB222" s="182"/>
      <c r="BC222" s="182"/>
      <c r="BD222" s="182"/>
      <c r="BE222" s="182"/>
      <c r="BF222" s="182"/>
      <c r="BG222" s="182"/>
      <c r="BH222" s="182"/>
      <c r="BI222" s="182"/>
      <c r="BJ222" s="182"/>
      <c r="BK222" s="182"/>
      <c r="BL222" s="182"/>
      <c r="BM222" s="182"/>
      <c r="BN222" s="182"/>
      <c r="BO222" s="182"/>
      <c r="BP222" s="182"/>
      <c r="BQ222" s="182"/>
      <c r="BR222" s="182"/>
      <c r="BS222" s="182"/>
      <c r="BT222" s="182"/>
      <c r="BU222" s="182"/>
      <c r="BV222" s="182"/>
      <c r="BW222" s="182"/>
      <c r="BX222" s="182"/>
      <c r="BY222" s="182"/>
      <c r="BZ222" s="182"/>
      <c r="CA222" s="182"/>
      <c r="CB222" s="185">
        <v>3500</v>
      </c>
      <c r="CC222" s="185">
        <v>0</v>
      </c>
      <c r="CD222" s="185">
        <v>1579</v>
      </c>
      <c r="CE222" s="185"/>
    </row>
    <row r="223" spans="2:83" x14ac:dyDescent="0.3">
      <c r="B223" s="182">
        <v>3629</v>
      </c>
      <c r="C223" s="182">
        <v>1580</v>
      </c>
      <c r="D223" s="182" t="s">
        <v>121</v>
      </c>
      <c r="E223" s="181" t="s">
        <v>4154</v>
      </c>
      <c r="F223" s="182"/>
      <c r="G223" s="182">
        <v>3500</v>
      </c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  <c r="AN223" s="182"/>
      <c r="AO223" s="182"/>
      <c r="AP223" s="182"/>
      <c r="AQ223" s="185">
        <v>3500</v>
      </c>
      <c r="AR223" s="182">
        <v>3124.95</v>
      </c>
      <c r="AS223" s="182">
        <v>375.05</v>
      </c>
      <c r="AT223" s="182"/>
      <c r="AU223" s="182"/>
      <c r="AV223" s="182"/>
      <c r="AW223" s="182"/>
      <c r="AX223" s="182"/>
      <c r="AY223" s="182"/>
      <c r="AZ223" s="182"/>
      <c r="BA223" s="182"/>
      <c r="BB223" s="182"/>
      <c r="BC223" s="182"/>
      <c r="BD223" s="182"/>
      <c r="BE223" s="182"/>
      <c r="BF223" s="182"/>
      <c r="BG223" s="182"/>
      <c r="BH223" s="182"/>
      <c r="BI223" s="182"/>
      <c r="BJ223" s="182"/>
      <c r="BK223" s="182"/>
      <c r="BL223" s="182"/>
      <c r="BM223" s="182"/>
      <c r="BN223" s="182"/>
      <c r="BO223" s="182"/>
      <c r="BP223" s="182"/>
      <c r="BQ223" s="182"/>
      <c r="BR223" s="182"/>
      <c r="BS223" s="182"/>
      <c r="BT223" s="182"/>
      <c r="BU223" s="182"/>
      <c r="BV223" s="182"/>
      <c r="BW223" s="182"/>
      <c r="BX223" s="182"/>
      <c r="BY223" s="182"/>
      <c r="BZ223" s="182"/>
      <c r="CA223" s="182"/>
      <c r="CB223" s="185">
        <v>3500</v>
      </c>
      <c r="CC223" s="185">
        <v>0</v>
      </c>
      <c r="CD223" s="185">
        <v>1580</v>
      </c>
      <c r="CE223" s="185"/>
    </row>
    <row r="224" spans="2:83" x14ac:dyDescent="0.3">
      <c r="B224" s="182">
        <v>3625</v>
      </c>
      <c r="C224" s="182">
        <v>1581</v>
      </c>
      <c r="D224" s="182" t="s">
        <v>121</v>
      </c>
      <c r="E224" s="181" t="s">
        <v>4155</v>
      </c>
      <c r="F224" s="182"/>
      <c r="G224" s="182">
        <v>3000</v>
      </c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5">
        <v>3000</v>
      </c>
      <c r="AR224" s="182">
        <v>2677.85</v>
      </c>
      <c r="AS224" s="182">
        <v>322.14999999999998</v>
      </c>
      <c r="AT224" s="182"/>
      <c r="AU224" s="182"/>
      <c r="AV224" s="182"/>
      <c r="AW224" s="182"/>
      <c r="AX224" s="182"/>
      <c r="AY224" s="182"/>
      <c r="AZ224" s="182"/>
      <c r="BA224" s="182"/>
      <c r="BB224" s="182"/>
      <c r="BC224" s="182"/>
      <c r="BD224" s="182"/>
      <c r="BE224" s="182"/>
      <c r="BF224" s="182"/>
      <c r="BG224" s="182"/>
      <c r="BH224" s="182"/>
      <c r="BI224" s="182"/>
      <c r="BJ224" s="182"/>
      <c r="BK224" s="182"/>
      <c r="BL224" s="182"/>
      <c r="BM224" s="182"/>
      <c r="BN224" s="182"/>
      <c r="BO224" s="182"/>
      <c r="BP224" s="182"/>
      <c r="BQ224" s="182"/>
      <c r="BR224" s="182"/>
      <c r="BS224" s="182"/>
      <c r="BT224" s="182"/>
      <c r="BU224" s="182"/>
      <c r="BV224" s="182"/>
      <c r="BW224" s="182"/>
      <c r="BX224" s="182"/>
      <c r="BY224" s="182"/>
      <c r="BZ224" s="182"/>
      <c r="CA224" s="182"/>
      <c r="CB224" s="185">
        <v>3000</v>
      </c>
      <c r="CC224" s="185">
        <v>0</v>
      </c>
      <c r="CD224" s="185">
        <v>1581</v>
      </c>
      <c r="CE224" s="185"/>
    </row>
    <row r="225" spans="2:83" x14ac:dyDescent="0.3">
      <c r="B225" s="182">
        <v>3619</v>
      </c>
      <c r="C225" s="182">
        <v>1582</v>
      </c>
      <c r="D225" s="182" t="s">
        <v>121</v>
      </c>
      <c r="E225" s="181" t="s">
        <v>4156</v>
      </c>
      <c r="F225" s="182"/>
      <c r="G225" s="182">
        <v>879.38</v>
      </c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5">
        <v>879.38</v>
      </c>
      <c r="AR225" s="182">
        <v>588.15</v>
      </c>
      <c r="AS225" s="182">
        <v>79.349999999999994</v>
      </c>
      <c r="AT225" s="182">
        <v>211.88</v>
      </c>
      <c r="AU225" s="182"/>
      <c r="AV225" s="182"/>
      <c r="AW225" s="182"/>
      <c r="AX225" s="182"/>
      <c r="AY225" s="182"/>
      <c r="AZ225" s="182"/>
      <c r="BA225" s="182"/>
      <c r="BB225" s="182"/>
      <c r="BC225" s="182"/>
      <c r="BD225" s="182"/>
      <c r="BE225" s="182"/>
      <c r="BF225" s="182"/>
      <c r="BG225" s="182"/>
      <c r="BH225" s="182"/>
      <c r="BI225" s="182"/>
      <c r="BJ225" s="182"/>
      <c r="BK225" s="182"/>
      <c r="BL225" s="182"/>
      <c r="BM225" s="182"/>
      <c r="BN225" s="182"/>
      <c r="BO225" s="182"/>
      <c r="BP225" s="182"/>
      <c r="BQ225" s="182"/>
      <c r="BR225" s="182"/>
      <c r="BS225" s="182"/>
      <c r="BT225" s="182"/>
      <c r="BU225" s="182"/>
      <c r="BV225" s="182"/>
      <c r="BW225" s="182"/>
      <c r="BX225" s="182"/>
      <c r="BY225" s="182"/>
      <c r="BZ225" s="182"/>
      <c r="CA225" s="182"/>
      <c r="CB225" s="185">
        <v>879.38</v>
      </c>
      <c r="CC225" s="185">
        <v>0</v>
      </c>
      <c r="CD225" s="185">
        <v>1582</v>
      </c>
      <c r="CE225" s="185"/>
    </row>
    <row r="226" spans="2:83" x14ac:dyDescent="0.3">
      <c r="B226" s="182">
        <v>3616</v>
      </c>
      <c r="C226" s="182">
        <v>1583</v>
      </c>
      <c r="D226" s="182" t="s">
        <v>121</v>
      </c>
      <c r="E226" s="181" t="s">
        <v>4157</v>
      </c>
      <c r="F226" s="182"/>
      <c r="G226" s="182">
        <v>500</v>
      </c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2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2"/>
      <c r="AH226" s="182"/>
      <c r="AI226" s="182"/>
      <c r="AJ226" s="182"/>
      <c r="AK226" s="182"/>
      <c r="AL226" s="182"/>
      <c r="AM226" s="182"/>
      <c r="AN226" s="182"/>
      <c r="AO226" s="182"/>
      <c r="AP226" s="182"/>
      <c r="AQ226" s="185">
        <v>500</v>
      </c>
      <c r="AR226" s="182">
        <v>447.05</v>
      </c>
      <c r="AS226" s="182">
        <v>52.95</v>
      </c>
      <c r="AT226" s="182"/>
      <c r="AU226" s="182"/>
      <c r="AV226" s="182"/>
      <c r="AW226" s="182"/>
      <c r="AX226" s="182"/>
      <c r="AY226" s="182"/>
      <c r="AZ226" s="182"/>
      <c r="BA226" s="182"/>
      <c r="BB226" s="182"/>
      <c r="BC226" s="182"/>
      <c r="BD226" s="182"/>
      <c r="BE226" s="182"/>
      <c r="BF226" s="182"/>
      <c r="BG226" s="182"/>
      <c r="BH226" s="182"/>
      <c r="BI226" s="182"/>
      <c r="BJ226" s="182"/>
      <c r="BK226" s="182"/>
      <c r="BL226" s="182"/>
      <c r="BM226" s="182"/>
      <c r="BN226" s="182"/>
      <c r="BO226" s="182"/>
      <c r="BP226" s="182"/>
      <c r="BQ226" s="182"/>
      <c r="BR226" s="182"/>
      <c r="BS226" s="182"/>
      <c r="BT226" s="182"/>
      <c r="BU226" s="182"/>
      <c r="BV226" s="182"/>
      <c r="BW226" s="182"/>
      <c r="BX226" s="182"/>
      <c r="BY226" s="182"/>
      <c r="BZ226" s="182"/>
      <c r="CA226" s="182"/>
      <c r="CB226" s="185">
        <v>500</v>
      </c>
      <c r="CC226" s="185">
        <v>0</v>
      </c>
      <c r="CD226" s="185">
        <v>1583</v>
      </c>
      <c r="CE226" s="185"/>
    </row>
    <row r="227" spans="2:83" x14ac:dyDescent="0.3">
      <c r="B227" s="182">
        <v>3613</v>
      </c>
      <c r="C227" s="182">
        <v>1584</v>
      </c>
      <c r="D227" s="182" t="s">
        <v>121</v>
      </c>
      <c r="E227" s="181" t="s">
        <v>4158</v>
      </c>
      <c r="F227" s="182"/>
      <c r="G227" s="182">
        <v>2086.25</v>
      </c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  <c r="AO227" s="182"/>
      <c r="AP227" s="182"/>
      <c r="AQ227" s="185">
        <v>2086.25</v>
      </c>
      <c r="AR227" s="182">
        <v>1731.5</v>
      </c>
      <c r="AS227" s="182">
        <v>213.5</v>
      </c>
      <c r="AT227" s="182">
        <v>141.25</v>
      </c>
      <c r="AU227" s="182"/>
      <c r="AV227" s="182"/>
      <c r="AW227" s="182"/>
      <c r="AX227" s="182"/>
      <c r="AY227" s="182"/>
      <c r="AZ227" s="182"/>
      <c r="BA227" s="182"/>
      <c r="BB227" s="182"/>
      <c r="BC227" s="182"/>
      <c r="BD227" s="182"/>
      <c r="BE227" s="182"/>
      <c r="BF227" s="182"/>
      <c r="BG227" s="182"/>
      <c r="BH227" s="182"/>
      <c r="BI227" s="182"/>
      <c r="BJ227" s="182"/>
      <c r="BK227" s="182"/>
      <c r="BL227" s="182"/>
      <c r="BM227" s="182"/>
      <c r="BN227" s="182"/>
      <c r="BO227" s="182"/>
      <c r="BP227" s="182"/>
      <c r="BQ227" s="182"/>
      <c r="BR227" s="182"/>
      <c r="BS227" s="182"/>
      <c r="BT227" s="182"/>
      <c r="BU227" s="182"/>
      <c r="BV227" s="182"/>
      <c r="BW227" s="182"/>
      <c r="BX227" s="182"/>
      <c r="BY227" s="182"/>
      <c r="BZ227" s="182"/>
      <c r="CA227" s="182"/>
      <c r="CB227" s="185">
        <v>2086.25</v>
      </c>
      <c r="CC227" s="185">
        <v>0</v>
      </c>
      <c r="CD227" s="185">
        <v>1584</v>
      </c>
      <c r="CE227" s="185"/>
    </row>
    <row r="228" spans="2:83" x14ac:dyDescent="0.3">
      <c r="B228" s="182">
        <v>3607</v>
      </c>
      <c r="C228" s="182">
        <v>1585</v>
      </c>
      <c r="D228" s="182" t="s">
        <v>121</v>
      </c>
      <c r="E228" s="181" t="s">
        <v>4159</v>
      </c>
      <c r="F228" s="182"/>
      <c r="G228" s="182">
        <v>3172.5</v>
      </c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2"/>
      <c r="X228" s="182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  <c r="AN228" s="182"/>
      <c r="AO228" s="182"/>
      <c r="AP228" s="182"/>
      <c r="AQ228" s="185">
        <v>3172.5</v>
      </c>
      <c r="AR228" s="182">
        <v>2569.4499999999998</v>
      </c>
      <c r="AS228" s="182">
        <v>320.55</v>
      </c>
      <c r="AT228" s="182">
        <v>282.5</v>
      </c>
      <c r="AU228" s="182"/>
      <c r="AV228" s="182"/>
      <c r="AW228" s="182"/>
      <c r="AX228" s="182"/>
      <c r="AY228" s="182"/>
      <c r="AZ228" s="182"/>
      <c r="BA228" s="182"/>
      <c r="BB228" s="182"/>
      <c r="BC228" s="182"/>
      <c r="BD228" s="182"/>
      <c r="BE228" s="182"/>
      <c r="BF228" s="182"/>
      <c r="BG228" s="182"/>
      <c r="BH228" s="182"/>
      <c r="BI228" s="182"/>
      <c r="BJ228" s="182"/>
      <c r="BK228" s="182"/>
      <c r="BL228" s="182"/>
      <c r="BM228" s="182"/>
      <c r="BN228" s="182"/>
      <c r="BO228" s="182"/>
      <c r="BP228" s="182"/>
      <c r="BQ228" s="182"/>
      <c r="BR228" s="182"/>
      <c r="BS228" s="182"/>
      <c r="BT228" s="182"/>
      <c r="BU228" s="182"/>
      <c r="BV228" s="182"/>
      <c r="BW228" s="182"/>
      <c r="BX228" s="182"/>
      <c r="BY228" s="182"/>
      <c r="BZ228" s="182"/>
      <c r="CA228" s="182"/>
      <c r="CB228" s="185">
        <v>3172.5</v>
      </c>
      <c r="CC228" s="185">
        <v>0</v>
      </c>
      <c r="CD228" s="185">
        <v>1585</v>
      </c>
      <c r="CE228" s="185"/>
    </row>
    <row r="229" spans="2:83" x14ac:dyDescent="0.3">
      <c r="B229" s="182">
        <v>3621</v>
      </c>
      <c r="C229" s="182">
        <v>1586</v>
      </c>
      <c r="D229" s="182" t="s">
        <v>121</v>
      </c>
      <c r="E229" s="181" t="s">
        <v>4160</v>
      </c>
      <c r="F229" s="182"/>
      <c r="G229" s="182">
        <v>6000</v>
      </c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2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2"/>
      <c r="AH229" s="182"/>
      <c r="AI229" s="182"/>
      <c r="AJ229" s="182"/>
      <c r="AK229" s="182"/>
      <c r="AL229" s="182"/>
      <c r="AM229" s="182"/>
      <c r="AN229" s="182"/>
      <c r="AO229" s="182"/>
      <c r="AP229" s="182"/>
      <c r="AQ229" s="185">
        <v>6000</v>
      </c>
      <c r="AR229" s="182">
        <v>5356.05</v>
      </c>
      <c r="AS229" s="182">
        <v>643.95000000000005</v>
      </c>
      <c r="AT229" s="182"/>
      <c r="AU229" s="182"/>
      <c r="AV229" s="182"/>
      <c r="AW229" s="182"/>
      <c r="AX229" s="182"/>
      <c r="AY229" s="182"/>
      <c r="AZ229" s="182"/>
      <c r="BA229" s="182"/>
      <c r="BB229" s="182"/>
      <c r="BC229" s="182"/>
      <c r="BD229" s="182"/>
      <c r="BE229" s="182"/>
      <c r="BF229" s="182"/>
      <c r="BG229" s="182"/>
      <c r="BH229" s="182"/>
      <c r="BI229" s="182"/>
      <c r="BJ229" s="182"/>
      <c r="BK229" s="182"/>
      <c r="BL229" s="182"/>
      <c r="BM229" s="182"/>
      <c r="BN229" s="182"/>
      <c r="BO229" s="182"/>
      <c r="BP229" s="182"/>
      <c r="BQ229" s="182"/>
      <c r="BR229" s="182"/>
      <c r="BS229" s="182"/>
      <c r="BT229" s="182"/>
      <c r="BU229" s="182"/>
      <c r="BV229" s="182"/>
      <c r="BW229" s="182"/>
      <c r="BX229" s="182"/>
      <c r="BY229" s="182"/>
      <c r="BZ229" s="182"/>
      <c r="CA229" s="182"/>
      <c r="CB229" s="185">
        <v>6000</v>
      </c>
      <c r="CC229" s="185">
        <v>0</v>
      </c>
      <c r="CD229" s="185">
        <v>1586</v>
      </c>
      <c r="CE229" s="185"/>
    </row>
    <row r="230" spans="2:83" x14ac:dyDescent="0.3">
      <c r="B230" s="182">
        <v>3286</v>
      </c>
      <c r="C230" s="182">
        <v>1587</v>
      </c>
      <c r="D230" s="182" t="s">
        <v>121</v>
      </c>
      <c r="E230" s="181" t="s">
        <v>4161</v>
      </c>
      <c r="F230" s="182"/>
      <c r="G230" s="182">
        <v>159.54</v>
      </c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2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  <c r="AN230" s="182"/>
      <c r="AO230" s="182"/>
      <c r="AP230" s="182"/>
      <c r="AQ230" s="185">
        <v>159.54</v>
      </c>
      <c r="AR230" s="182">
        <v>102.78</v>
      </c>
      <c r="AS230" s="182">
        <v>18.34</v>
      </c>
      <c r="AT230" s="182">
        <v>38.42</v>
      </c>
      <c r="AU230" s="182"/>
      <c r="AV230" s="182"/>
      <c r="AW230" s="182"/>
      <c r="AX230" s="182"/>
      <c r="AY230" s="182"/>
      <c r="AZ230" s="182"/>
      <c r="BA230" s="182"/>
      <c r="BB230" s="182"/>
      <c r="BC230" s="182"/>
      <c r="BD230" s="182"/>
      <c r="BE230" s="182"/>
      <c r="BF230" s="182"/>
      <c r="BG230" s="182"/>
      <c r="BH230" s="182"/>
      <c r="BI230" s="182"/>
      <c r="BJ230" s="182"/>
      <c r="BK230" s="182"/>
      <c r="BL230" s="182"/>
      <c r="BM230" s="182"/>
      <c r="BN230" s="182"/>
      <c r="BO230" s="182"/>
      <c r="BP230" s="182"/>
      <c r="BQ230" s="182"/>
      <c r="BR230" s="182"/>
      <c r="BS230" s="182"/>
      <c r="BT230" s="182"/>
      <c r="BU230" s="182"/>
      <c r="BV230" s="182"/>
      <c r="BW230" s="182"/>
      <c r="BX230" s="182"/>
      <c r="BY230" s="182"/>
      <c r="BZ230" s="182"/>
      <c r="CA230" s="182"/>
      <c r="CB230" s="185">
        <v>159.54000000000002</v>
      </c>
      <c r="CC230" s="185">
        <v>0</v>
      </c>
      <c r="CD230" s="185">
        <v>1587</v>
      </c>
      <c r="CE230" s="185"/>
    </row>
    <row r="231" spans="2:83" x14ac:dyDescent="0.3">
      <c r="B231" s="182">
        <v>2581</v>
      </c>
      <c r="C231" s="182">
        <v>1588</v>
      </c>
      <c r="D231" s="182" t="s">
        <v>124</v>
      </c>
      <c r="E231" s="181" t="s">
        <v>4162</v>
      </c>
      <c r="F231" s="182"/>
      <c r="G231" s="182">
        <v>551.72</v>
      </c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2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  <c r="AO231" s="182"/>
      <c r="AP231" s="182"/>
      <c r="AQ231" s="185">
        <v>551.72</v>
      </c>
      <c r="AR231" s="182">
        <v>370.04</v>
      </c>
      <c r="AS231" s="182">
        <v>48.75</v>
      </c>
      <c r="AT231" s="182">
        <v>132.93</v>
      </c>
      <c r="AU231" s="182"/>
      <c r="AV231" s="182"/>
      <c r="AW231" s="182"/>
      <c r="AX231" s="182"/>
      <c r="AY231" s="182"/>
      <c r="AZ231" s="182"/>
      <c r="BA231" s="182"/>
      <c r="BB231" s="182"/>
      <c r="BC231" s="182"/>
      <c r="BD231" s="182"/>
      <c r="BE231" s="182"/>
      <c r="BF231" s="182"/>
      <c r="BG231" s="182"/>
      <c r="BH231" s="182"/>
      <c r="BI231" s="182"/>
      <c r="BJ231" s="182"/>
      <c r="BK231" s="182"/>
      <c r="BL231" s="182"/>
      <c r="BM231" s="182"/>
      <c r="BN231" s="182"/>
      <c r="BO231" s="182"/>
      <c r="BP231" s="182"/>
      <c r="BQ231" s="182"/>
      <c r="BR231" s="182"/>
      <c r="BS231" s="182"/>
      <c r="BT231" s="182"/>
      <c r="BU231" s="182"/>
      <c r="BV231" s="182"/>
      <c r="BW231" s="182"/>
      <c r="BX231" s="182"/>
      <c r="BY231" s="182"/>
      <c r="BZ231" s="182"/>
      <c r="CA231" s="182"/>
      <c r="CB231" s="185">
        <v>551.72</v>
      </c>
      <c r="CC231" s="185">
        <v>0</v>
      </c>
      <c r="CD231" s="185">
        <v>1588</v>
      </c>
      <c r="CE231" s="185"/>
    </row>
    <row r="232" spans="2:83" x14ac:dyDescent="0.3">
      <c r="B232" s="182">
        <v>2591</v>
      </c>
      <c r="C232" s="182">
        <v>1589</v>
      </c>
      <c r="D232" s="182" t="s">
        <v>123</v>
      </c>
      <c r="E232" s="181" t="s">
        <v>4163</v>
      </c>
      <c r="F232" s="182"/>
      <c r="G232" s="182">
        <v>351.75</v>
      </c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2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2"/>
      <c r="AH232" s="182"/>
      <c r="AI232" s="182"/>
      <c r="AJ232" s="182"/>
      <c r="AK232" s="182"/>
      <c r="AL232" s="182"/>
      <c r="AM232" s="182"/>
      <c r="AN232" s="182"/>
      <c r="AO232" s="182"/>
      <c r="AP232" s="182"/>
      <c r="AQ232" s="185">
        <v>351.75</v>
      </c>
      <c r="AR232" s="182">
        <v>220.55</v>
      </c>
      <c r="AS232" s="182">
        <v>31.45</v>
      </c>
      <c r="AT232" s="182">
        <v>84.75</v>
      </c>
      <c r="AU232" s="182">
        <v>15</v>
      </c>
      <c r="AV232" s="182"/>
      <c r="AW232" s="182"/>
      <c r="AX232" s="182"/>
      <c r="AY232" s="182"/>
      <c r="AZ232" s="182"/>
      <c r="BA232" s="182"/>
      <c r="BB232" s="182"/>
      <c r="BC232" s="182"/>
      <c r="BD232" s="182"/>
      <c r="BE232" s="182"/>
      <c r="BF232" s="182"/>
      <c r="BG232" s="182"/>
      <c r="BH232" s="182"/>
      <c r="BI232" s="182"/>
      <c r="BJ232" s="182"/>
      <c r="BK232" s="182"/>
      <c r="BL232" s="182"/>
      <c r="BM232" s="182"/>
      <c r="BN232" s="182"/>
      <c r="BO232" s="182"/>
      <c r="BP232" s="182"/>
      <c r="BQ232" s="182"/>
      <c r="BR232" s="182"/>
      <c r="BS232" s="182"/>
      <c r="BT232" s="182"/>
      <c r="BU232" s="182"/>
      <c r="BV232" s="182"/>
      <c r="BW232" s="182"/>
      <c r="BX232" s="182"/>
      <c r="BY232" s="182"/>
      <c r="BZ232" s="182"/>
      <c r="CA232" s="182"/>
      <c r="CB232" s="185">
        <v>351.75</v>
      </c>
      <c r="CC232" s="185">
        <v>0</v>
      </c>
      <c r="CD232" s="185">
        <v>1589</v>
      </c>
      <c r="CE232" s="185"/>
    </row>
    <row r="233" spans="2:83" x14ac:dyDescent="0.3">
      <c r="B233" s="182">
        <v>2580</v>
      </c>
      <c r="C233" s="182">
        <v>1590</v>
      </c>
      <c r="D233" s="182" t="s">
        <v>123</v>
      </c>
      <c r="E233" s="181" t="s">
        <v>4162</v>
      </c>
      <c r="F233" s="182"/>
      <c r="G233" s="182">
        <v>1000</v>
      </c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2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  <c r="AN233" s="182"/>
      <c r="AO233" s="182"/>
      <c r="AP233" s="182"/>
      <c r="AQ233" s="185">
        <v>1000</v>
      </c>
      <c r="AR233" s="182">
        <v>843.35</v>
      </c>
      <c r="AS233" s="182">
        <v>106.65</v>
      </c>
      <c r="AT233" s="182"/>
      <c r="AU233" s="182">
        <v>50</v>
      </c>
      <c r="AV233" s="182"/>
      <c r="AW233" s="182"/>
      <c r="AX233" s="182"/>
      <c r="AY233" s="182"/>
      <c r="AZ233" s="182"/>
      <c r="BA233" s="182"/>
      <c r="BB233" s="182"/>
      <c r="BC233" s="182"/>
      <c r="BD233" s="182"/>
      <c r="BE233" s="182"/>
      <c r="BF233" s="182"/>
      <c r="BG233" s="182"/>
      <c r="BH233" s="182"/>
      <c r="BI233" s="182"/>
      <c r="BJ233" s="182"/>
      <c r="BK233" s="182"/>
      <c r="BL233" s="182"/>
      <c r="BM233" s="182"/>
      <c r="BN233" s="182"/>
      <c r="BO233" s="182"/>
      <c r="BP233" s="182"/>
      <c r="BQ233" s="182"/>
      <c r="BR233" s="182"/>
      <c r="BS233" s="182"/>
      <c r="BT233" s="182"/>
      <c r="BU233" s="182"/>
      <c r="BV233" s="182"/>
      <c r="BW233" s="182"/>
      <c r="BX233" s="182"/>
      <c r="BY233" s="182"/>
      <c r="BZ233" s="182"/>
      <c r="CA233" s="182"/>
      <c r="CB233" s="185">
        <v>1000</v>
      </c>
      <c r="CC233" s="185">
        <v>0</v>
      </c>
      <c r="CD233" s="185">
        <v>1590</v>
      </c>
      <c r="CE233" s="185"/>
    </row>
    <row r="234" spans="2:83" x14ac:dyDescent="0.3">
      <c r="B234" s="182">
        <v>2593</v>
      </c>
      <c r="C234" s="182">
        <v>1591</v>
      </c>
      <c r="D234" s="182" t="s">
        <v>123</v>
      </c>
      <c r="E234" s="181" t="s">
        <v>4164</v>
      </c>
      <c r="F234" s="182"/>
      <c r="G234" s="182">
        <v>267.23</v>
      </c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2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  <c r="AN234" s="182"/>
      <c r="AO234" s="182"/>
      <c r="AP234" s="182"/>
      <c r="AQ234" s="185">
        <v>267.23</v>
      </c>
      <c r="AR234" s="182">
        <v>177.31</v>
      </c>
      <c r="AS234" s="182">
        <v>23.48</v>
      </c>
      <c r="AT234" s="182">
        <v>54.75</v>
      </c>
      <c r="AU234" s="182">
        <v>11.69</v>
      </c>
      <c r="AV234" s="182"/>
      <c r="AW234" s="182"/>
      <c r="AX234" s="182"/>
      <c r="AY234" s="182"/>
      <c r="AZ234" s="182"/>
      <c r="BA234" s="182"/>
      <c r="BB234" s="182"/>
      <c r="BC234" s="182"/>
      <c r="BD234" s="182"/>
      <c r="BE234" s="182"/>
      <c r="BF234" s="182"/>
      <c r="BG234" s="182"/>
      <c r="BH234" s="182"/>
      <c r="BI234" s="182"/>
      <c r="BJ234" s="182"/>
      <c r="BK234" s="182"/>
      <c r="BL234" s="182"/>
      <c r="BM234" s="182"/>
      <c r="BN234" s="182"/>
      <c r="BO234" s="182"/>
      <c r="BP234" s="182"/>
      <c r="BQ234" s="182"/>
      <c r="BR234" s="182"/>
      <c r="BS234" s="182"/>
      <c r="BT234" s="182"/>
      <c r="BU234" s="182"/>
      <c r="BV234" s="182"/>
      <c r="BW234" s="182"/>
      <c r="BX234" s="182"/>
      <c r="BY234" s="182"/>
      <c r="BZ234" s="182"/>
      <c r="CA234" s="182"/>
      <c r="CB234" s="185">
        <v>267.23</v>
      </c>
      <c r="CC234" s="185">
        <v>0</v>
      </c>
      <c r="CD234" s="185">
        <v>1591</v>
      </c>
      <c r="CE234" s="185"/>
    </row>
    <row r="235" spans="2:83" x14ac:dyDescent="0.3">
      <c r="B235" s="182">
        <v>2595</v>
      </c>
      <c r="C235" s="182">
        <v>1592</v>
      </c>
      <c r="D235" s="182" t="s">
        <v>123</v>
      </c>
      <c r="E235" s="181" t="s">
        <v>4164</v>
      </c>
      <c r="F235" s="182"/>
      <c r="G235" s="182">
        <v>75</v>
      </c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2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5">
        <v>75</v>
      </c>
      <c r="AR235" s="182">
        <v>63.6</v>
      </c>
      <c r="AS235" s="182">
        <v>7.65</v>
      </c>
      <c r="AT235" s="182"/>
      <c r="AU235" s="182">
        <v>3.75</v>
      </c>
      <c r="AV235" s="182"/>
      <c r="AW235" s="182"/>
      <c r="AX235" s="182"/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/>
      <c r="BI235" s="182"/>
      <c r="BJ235" s="182"/>
      <c r="BK235" s="182"/>
      <c r="BL235" s="182"/>
      <c r="BM235" s="182"/>
      <c r="BN235" s="182"/>
      <c r="BO235" s="182"/>
      <c r="BP235" s="182"/>
      <c r="BQ235" s="182"/>
      <c r="BR235" s="182"/>
      <c r="BS235" s="182"/>
      <c r="BT235" s="182"/>
      <c r="BU235" s="182"/>
      <c r="BV235" s="182"/>
      <c r="BW235" s="182"/>
      <c r="BX235" s="182"/>
      <c r="BY235" s="182"/>
      <c r="BZ235" s="182"/>
      <c r="CA235" s="182"/>
      <c r="CB235" s="185">
        <v>75</v>
      </c>
      <c r="CC235" s="185">
        <v>0</v>
      </c>
      <c r="CD235" s="185">
        <v>1592</v>
      </c>
      <c r="CE235" s="185"/>
    </row>
    <row r="236" spans="2:83" x14ac:dyDescent="0.3">
      <c r="B236" s="182">
        <v>2590</v>
      </c>
      <c r="C236" s="182">
        <v>1593</v>
      </c>
      <c r="D236" s="182" t="s">
        <v>123</v>
      </c>
      <c r="E236" s="181" t="s">
        <v>4163</v>
      </c>
      <c r="F236" s="182"/>
      <c r="G236" s="182">
        <v>3251.75</v>
      </c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  <c r="AO236" s="182"/>
      <c r="AP236" s="182"/>
      <c r="AQ236" s="185">
        <v>3251.75</v>
      </c>
      <c r="AR236" s="182">
        <v>2669.4</v>
      </c>
      <c r="AS236" s="182">
        <v>337.6</v>
      </c>
      <c r="AT236" s="182">
        <v>84.75</v>
      </c>
      <c r="AU236" s="182">
        <v>160</v>
      </c>
      <c r="AV236" s="182"/>
      <c r="AW236" s="182"/>
      <c r="AX236" s="182"/>
      <c r="AY236" s="182"/>
      <c r="AZ236" s="182"/>
      <c r="BA236" s="182"/>
      <c r="BB236" s="182"/>
      <c r="BC236" s="182"/>
      <c r="BD236" s="182"/>
      <c r="BE236" s="182"/>
      <c r="BF236" s="182"/>
      <c r="BG236" s="182"/>
      <c r="BH236" s="182"/>
      <c r="BI236" s="182"/>
      <c r="BJ236" s="182"/>
      <c r="BK236" s="182"/>
      <c r="BL236" s="182"/>
      <c r="BM236" s="182"/>
      <c r="BN236" s="182"/>
      <c r="BO236" s="182"/>
      <c r="BP236" s="182"/>
      <c r="BQ236" s="182"/>
      <c r="BR236" s="182"/>
      <c r="BS236" s="182"/>
      <c r="BT236" s="182"/>
      <c r="BU236" s="182"/>
      <c r="BV236" s="182"/>
      <c r="BW236" s="182"/>
      <c r="BX236" s="182"/>
      <c r="BY236" s="182"/>
      <c r="BZ236" s="182"/>
      <c r="CA236" s="182"/>
      <c r="CB236" s="185">
        <v>3251.75</v>
      </c>
      <c r="CC236" s="185">
        <v>0</v>
      </c>
      <c r="CD236" s="185">
        <v>1593</v>
      </c>
      <c r="CE236" s="185"/>
    </row>
    <row r="237" spans="2:83" x14ac:dyDescent="0.3">
      <c r="B237" s="182">
        <v>2594</v>
      </c>
      <c r="C237" s="182">
        <v>1594</v>
      </c>
      <c r="D237" s="182" t="s">
        <v>123</v>
      </c>
      <c r="E237" s="181" t="s">
        <v>4164</v>
      </c>
      <c r="F237" s="182"/>
      <c r="G237" s="182">
        <v>93.8</v>
      </c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  <c r="AO237" s="182"/>
      <c r="AP237" s="182"/>
      <c r="AQ237" s="185">
        <v>93.8</v>
      </c>
      <c r="AR237" s="182">
        <v>59.2</v>
      </c>
      <c r="AS237" s="182">
        <v>8</v>
      </c>
      <c r="AT237" s="182">
        <v>22.6</v>
      </c>
      <c r="AU237" s="182">
        <v>4</v>
      </c>
      <c r="AV237" s="182"/>
      <c r="AW237" s="182"/>
      <c r="AX237" s="182"/>
      <c r="AY237" s="182"/>
      <c r="AZ237" s="182"/>
      <c r="BA237" s="182"/>
      <c r="BB237" s="182"/>
      <c r="BC237" s="182"/>
      <c r="BD237" s="182"/>
      <c r="BE237" s="182"/>
      <c r="BF237" s="182"/>
      <c r="BG237" s="182"/>
      <c r="BH237" s="182"/>
      <c r="BI237" s="182"/>
      <c r="BJ237" s="182"/>
      <c r="BK237" s="182"/>
      <c r="BL237" s="182"/>
      <c r="BM237" s="182"/>
      <c r="BN237" s="182"/>
      <c r="BO237" s="182"/>
      <c r="BP237" s="182"/>
      <c r="BQ237" s="182"/>
      <c r="BR237" s="182"/>
      <c r="BS237" s="182"/>
      <c r="BT237" s="182"/>
      <c r="BU237" s="182"/>
      <c r="BV237" s="182"/>
      <c r="BW237" s="182"/>
      <c r="BX237" s="182"/>
      <c r="BY237" s="182"/>
      <c r="BZ237" s="182"/>
      <c r="CA237" s="182"/>
      <c r="CB237" s="185">
        <v>93.800000000000011</v>
      </c>
      <c r="CC237" s="185">
        <v>0</v>
      </c>
      <c r="CD237" s="185">
        <v>1594</v>
      </c>
      <c r="CE237" s="185"/>
    </row>
    <row r="238" spans="2:83" x14ac:dyDescent="0.3">
      <c r="B238" s="182">
        <v>2589</v>
      </c>
      <c r="C238" s="182">
        <v>1595</v>
      </c>
      <c r="D238" s="182" t="s">
        <v>123</v>
      </c>
      <c r="E238" s="181" t="s">
        <v>4165</v>
      </c>
      <c r="F238" s="182"/>
      <c r="G238" s="182">
        <v>334.5</v>
      </c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5">
        <v>334.5</v>
      </c>
      <c r="AR238" s="182">
        <v>232.2</v>
      </c>
      <c r="AS238" s="182">
        <v>30.8</v>
      </c>
      <c r="AT238" s="182">
        <v>56.5</v>
      </c>
      <c r="AU238" s="182">
        <v>15</v>
      </c>
      <c r="AV238" s="182"/>
      <c r="AW238" s="182"/>
      <c r="AX238" s="182"/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182"/>
      <c r="BR238" s="182"/>
      <c r="BS238" s="182"/>
      <c r="BT238" s="182"/>
      <c r="BU238" s="182"/>
      <c r="BV238" s="182"/>
      <c r="BW238" s="182"/>
      <c r="BX238" s="182"/>
      <c r="BY238" s="182"/>
      <c r="BZ238" s="182"/>
      <c r="CA238" s="182"/>
      <c r="CB238" s="185">
        <v>334.5</v>
      </c>
      <c r="CC238" s="185">
        <v>0</v>
      </c>
      <c r="CD238" s="185">
        <v>1595</v>
      </c>
      <c r="CE238" s="185"/>
    </row>
    <row r="239" spans="2:83" x14ac:dyDescent="0.3">
      <c r="B239" s="182">
        <v>2582</v>
      </c>
      <c r="C239" s="182">
        <v>1596</v>
      </c>
      <c r="D239" s="182" t="s">
        <v>123</v>
      </c>
      <c r="E239" s="181" t="s">
        <v>3703</v>
      </c>
      <c r="F239" s="182"/>
      <c r="G239" s="182">
        <v>470.44</v>
      </c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2"/>
      <c r="AH239" s="182"/>
      <c r="AI239" s="182"/>
      <c r="AJ239" s="182"/>
      <c r="AK239" s="182"/>
      <c r="AL239" s="182"/>
      <c r="AM239" s="182"/>
      <c r="AN239" s="182"/>
      <c r="AO239" s="182"/>
      <c r="AP239" s="182"/>
      <c r="AQ239" s="185">
        <v>470.44</v>
      </c>
      <c r="AR239" s="182">
        <v>295.91000000000003</v>
      </c>
      <c r="AS239" s="182">
        <v>41.12</v>
      </c>
      <c r="AT239" s="182">
        <v>113.35</v>
      </c>
      <c r="AU239" s="182">
        <v>20.059999999999999</v>
      </c>
      <c r="AV239" s="182"/>
      <c r="AW239" s="182"/>
      <c r="AX239" s="182"/>
      <c r="AY239" s="182"/>
      <c r="AZ239" s="182"/>
      <c r="BA239" s="182"/>
      <c r="BB239" s="182"/>
      <c r="BC239" s="182"/>
      <c r="BD239" s="182"/>
      <c r="BE239" s="182"/>
      <c r="BF239" s="182"/>
      <c r="BG239" s="182"/>
      <c r="BH239" s="182"/>
      <c r="BI239" s="182"/>
      <c r="BJ239" s="182"/>
      <c r="BK239" s="182"/>
      <c r="BL239" s="182"/>
      <c r="BM239" s="182"/>
      <c r="BN239" s="182"/>
      <c r="BO239" s="182"/>
      <c r="BP239" s="182"/>
      <c r="BQ239" s="182"/>
      <c r="BR239" s="182"/>
      <c r="BS239" s="182"/>
      <c r="BT239" s="182"/>
      <c r="BU239" s="182"/>
      <c r="BV239" s="182"/>
      <c r="BW239" s="182"/>
      <c r="BX239" s="182"/>
      <c r="BY239" s="182"/>
      <c r="BZ239" s="182"/>
      <c r="CA239" s="182"/>
      <c r="CB239" s="185">
        <v>470.44</v>
      </c>
      <c r="CC239" s="185">
        <v>0</v>
      </c>
      <c r="CD239" s="185">
        <v>1596</v>
      </c>
      <c r="CE239" s="185"/>
    </row>
    <row r="240" spans="2:83" x14ac:dyDescent="0.3">
      <c r="B240" s="182">
        <v>2598</v>
      </c>
      <c r="C240" s="182">
        <v>1597</v>
      </c>
      <c r="D240" s="182" t="s">
        <v>123</v>
      </c>
      <c r="E240" s="181" t="s">
        <v>4166</v>
      </c>
      <c r="F240" s="182"/>
      <c r="G240" s="182">
        <v>1172.5</v>
      </c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2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2"/>
      <c r="AH240" s="182"/>
      <c r="AI240" s="182"/>
      <c r="AJ240" s="182"/>
      <c r="AK240" s="182"/>
      <c r="AL240" s="182"/>
      <c r="AM240" s="182"/>
      <c r="AN240" s="182"/>
      <c r="AO240" s="182"/>
      <c r="AP240" s="182"/>
      <c r="AQ240" s="185">
        <v>1172.5</v>
      </c>
      <c r="AR240" s="182">
        <v>734.8</v>
      </c>
      <c r="AS240" s="182">
        <v>105.2</v>
      </c>
      <c r="AT240" s="182">
        <v>282.5</v>
      </c>
      <c r="AU240" s="182">
        <v>50</v>
      </c>
      <c r="AV240" s="182"/>
      <c r="AW240" s="182"/>
      <c r="AX240" s="182"/>
      <c r="AY240" s="182"/>
      <c r="AZ240" s="182"/>
      <c r="BA240" s="182"/>
      <c r="BB240" s="182"/>
      <c r="BC240" s="182"/>
      <c r="BD240" s="182"/>
      <c r="BE240" s="182"/>
      <c r="BF240" s="182"/>
      <c r="BG240" s="182"/>
      <c r="BH240" s="182"/>
      <c r="BI240" s="182"/>
      <c r="BJ240" s="182"/>
      <c r="BK240" s="182"/>
      <c r="BL240" s="182"/>
      <c r="BM240" s="182"/>
      <c r="BN240" s="182"/>
      <c r="BO240" s="182"/>
      <c r="BP240" s="182"/>
      <c r="BQ240" s="182"/>
      <c r="BR240" s="182"/>
      <c r="BS240" s="182"/>
      <c r="BT240" s="182"/>
      <c r="BU240" s="182"/>
      <c r="BV240" s="182"/>
      <c r="BW240" s="182"/>
      <c r="BX240" s="182"/>
      <c r="BY240" s="182"/>
      <c r="BZ240" s="182"/>
      <c r="CA240" s="182"/>
      <c r="CB240" s="185">
        <v>1172.5</v>
      </c>
      <c r="CC240" s="185">
        <v>0</v>
      </c>
      <c r="CD240" s="185">
        <v>1597</v>
      </c>
      <c r="CE240" s="185"/>
    </row>
    <row r="241" spans="2:83" x14ac:dyDescent="0.3">
      <c r="B241" s="182">
        <v>2599</v>
      </c>
      <c r="C241" s="182">
        <v>1598</v>
      </c>
      <c r="D241" s="182" t="s">
        <v>123</v>
      </c>
      <c r="E241" s="181" t="s">
        <v>4166</v>
      </c>
      <c r="F241" s="182"/>
      <c r="G241" s="182">
        <v>5041.75</v>
      </c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2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2"/>
      <c r="AH241" s="182"/>
      <c r="AI241" s="182"/>
      <c r="AJ241" s="182"/>
      <c r="AK241" s="182"/>
      <c r="AL241" s="182"/>
      <c r="AM241" s="182"/>
      <c r="AN241" s="182"/>
      <c r="AO241" s="182"/>
      <c r="AP241" s="182"/>
      <c r="AQ241" s="185">
        <v>5041.75</v>
      </c>
      <c r="AR241" s="182">
        <v>3159.15</v>
      </c>
      <c r="AS241" s="182">
        <v>452.85</v>
      </c>
      <c r="AT241" s="182">
        <v>1214.75</v>
      </c>
      <c r="AU241" s="182">
        <v>215</v>
      </c>
      <c r="AV241" s="182"/>
      <c r="AW241" s="182"/>
      <c r="AX241" s="182"/>
      <c r="AY241" s="182"/>
      <c r="AZ241" s="182"/>
      <c r="BA241" s="182"/>
      <c r="BB241" s="182"/>
      <c r="BC241" s="182"/>
      <c r="BD241" s="182"/>
      <c r="BE241" s="182"/>
      <c r="BF241" s="182"/>
      <c r="BG241" s="182"/>
      <c r="BH241" s="182"/>
      <c r="BI241" s="182"/>
      <c r="BJ241" s="182"/>
      <c r="BK241" s="182"/>
      <c r="BL241" s="182"/>
      <c r="BM241" s="182"/>
      <c r="BN241" s="182"/>
      <c r="BO241" s="182"/>
      <c r="BP241" s="182"/>
      <c r="BQ241" s="182"/>
      <c r="BR241" s="182"/>
      <c r="BS241" s="182"/>
      <c r="BT241" s="182"/>
      <c r="BU241" s="182"/>
      <c r="BV241" s="182"/>
      <c r="BW241" s="182"/>
      <c r="BX241" s="182"/>
      <c r="BY241" s="182"/>
      <c r="BZ241" s="182"/>
      <c r="CA241" s="182"/>
      <c r="CB241" s="185">
        <v>5041.75</v>
      </c>
      <c r="CC241" s="185">
        <v>0</v>
      </c>
      <c r="CD241" s="185">
        <v>1598</v>
      </c>
      <c r="CE241" s="185"/>
    </row>
    <row r="242" spans="2:83" x14ac:dyDescent="0.3">
      <c r="B242" s="182">
        <v>2596</v>
      </c>
      <c r="C242" s="182">
        <v>1599</v>
      </c>
      <c r="D242" s="182" t="s">
        <v>123</v>
      </c>
      <c r="E242" s="181" t="s">
        <v>4164</v>
      </c>
      <c r="F242" s="182"/>
      <c r="G242" s="182">
        <v>3353.05</v>
      </c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2"/>
      <c r="X242" s="182"/>
      <c r="Y242" s="182"/>
      <c r="Z242" s="182"/>
      <c r="AA242" s="182"/>
      <c r="AB242" s="182"/>
      <c r="AC242" s="182"/>
      <c r="AD242" s="182"/>
      <c r="AE242" s="182"/>
      <c r="AF242" s="182"/>
      <c r="AG242" s="182"/>
      <c r="AH242" s="182"/>
      <c r="AI242" s="182"/>
      <c r="AJ242" s="182"/>
      <c r="AK242" s="182"/>
      <c r="AL242" s="182"/>
      <c r="AM242" s="182"/>
      <c r="AN242" s="182"/>
      <c r="AO242" s="182"/>
      <c r="AP242" s="182"/>
      <c r="AQ242" s="185">
        <v>3353.05</v>
      </c>
      <c r="AR242" s="182">
        <v>2230.46</v>
      </c>
      <c r="AS242" s="182">
        <v>298.62</v>
      </c>
      <c r="AT242" s="182">
        <v>677</v>
      </c>
      <c r="AU242" s="182">
        <v>146.97</v>
      </c>
      <c r="AV242" s="182"/>
      <c r="AW242" s="182"/>
      <c r="AX242" s="182"/>
      <c r="AY242" s="182"/>
      <c r="AZ242" s="182"/>
      <c r="BA242" s="182"/>
      <c r="BB242" s="182"/>
      <c r="BC242" s="182"/>
      <c r="BD242" s="182"/>
      <c r="BE242" s="182"/>
      <c r="BF242" s="182"/>
      <c r="BG242" s="182"/>
      <c r="BH242" s="182"/>
      <c r="BI242" s="182"/>
      <c r="BJ242" s="182"/>
      <c r="BK242" s="182"/>
      <c r="BL242" s="182"/>
      <c r="BM242" s="182"/>
      <c r="BN242" s="182"/>
      <c r="BO242" s="182"/>
      <c r="BP242" s="182"/>
      <c r="BQ242" s="182"/>
      <c r="BR242" s="182"/>
      <c r="BS242" s="182"/>
      <c r="BT242" s="182"/>
      <c r="BU242" s="182"/>
      <c r="BV242" s="182"/>
      <c r="BW242" s="182"/>
      <c r="BX242" s="182"/>
      <c r="BY242" s="182"/>
      <c r="BZ242" s="182"/>
      <c r="CA242" s="182"/>
      <c r="CB242" s="185">
        <v>3353.0499999999997</v>
      </c>
      <c r="CC242" s="185">
        <v>0</v>
      </c>
      <c r="CD242" s="185">
        <v>1599</v>
      </c>
      <c r="CE242" s="185"/>
    </row>
    <row r="243" spans="2:83" x14ac:dyDescent="0.3">
      <c r="B243" s="182">
        <v>2588</v>
      </c>
      <c r="C243" s="182">
        <v>1600</v>
      </c>
      <c r="D243" s="182" t="s">
        <v>123</v>
      </c>
      <c r="E243" s="181" t="s">
        <v>3703</v>
      </c>
      <c r="F243" s="182"/>
      <c r="G243" s="182">
        <v>293.12</v>
      </c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2"/>
      <c r="X243" s="182"/>
      <c r="Y243" s="182"/>
      <c r="Z243" s="182"/>
      <c r="AA243" s="182"/>
      <c r="AB243" s="182"/>
      <c r="AC243" s="182"/>
      <c r="AD243" s="182"/>
      <c r="AE243" s="182"/>
      <c r="AF243" s="182"/>
      <c r="AG243" s="182"/>
      <c r="AH243" s="182"/>
      <c r="AI243" s="182"/>
      <c r="AJ243" s="182"/>
      <c r="AK243" s="182"/>
      <c r="AL243" s="182"/>
      <c r="AM243" s="182"/>
      <c r="AN243" s="182"/>
      <c r="AO243" s="182"/>
      <c r="AP243" s="182"/>
      <c r="AQ243" s="185">
        <v>293.12</v>
      </c>
      <c r="AR243" s="182">
        <v>183.95</v>
      </c>
      <c r="AS243" s="182">
        <v>26.05</v>
      </c>
      <c r="AT243" s="182">
        <v>70.62</v>
      </c>
      <c r="AU243" s="182">
        <v>12.5</v>
      </c>
      <c r="AV243" s="182"/>
      <c r="AW243" s="182"/>
      <c r="AX243" s="182"/>
      <c r="AY243" s="182"/>
      <c r="AZ243" s="182"/>
      <c r="BA243" s="182"/>
      <c r="BB243" s="182"/>
      <c r="BC243" s="182"/>
      <c r="BD243" s="182"/>
      <c r="BE243" s="182"/>
      <c r="BF243" s="182"/>
      <c r="BG243" s="182"/>
      <c r="BH243" s="182"/>
      <c r="BI243" s="182"/>
      <c r="BJ243" s="182"/>
      <c r="BK243" s="182"/>
      <c r="BL243" s="182"/>
      <c r="BM243" s="182"/>
      <c r="BN243" s="182"/>
      <c r="BO243" s="182"/>
      <c r="BP243" s="182"/>
      <c r="BQ243" s="182"/>
      <c r="BR243" s="182"/>
      <c r="BS243" s="182"/>
      <c r="BT243" s="182"/>
      <c r="BU243" s="182"/>
      <c r="BV243" s="182"/>
      <c r="BW243" s="182"/>
      <c r="BX243" s="182"/>
      <c r="BY243" s="182"/>
      <c r="BZ243" s="182"/>
      <c r="CA243" s="182"/>
      <c r="CB243" s="185">
        <v>293.12</v>
      </c>
      <c r="CC243" s="185">
        <v>0</v>
      </c>
      <c r="CD243" s="185">
        <v>1600</v>
      </c>
      <c r="CE243" s="185"/>
    </row>
    <row r="244" spans="2:83" x14ac:dyDescent="0.3">
      <c r="B244" s="182">
        <v>3357</v>
      </c>
      <c r="C244" s="182">
        <v>1601</v>
      </c>
      <c r="D244" s="182" t="s">
        <v>122</v>
      </c>
      <c r="E244" s="181" t="s">
        <v>4167</v>
      </c>
      <c r="F244" s="182"/>
      <c r="G244" s="182">
        <v>18937.3</v>
      </c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2"/>
      <c r="X244" s="182"/>
      <c r="Y244" s="182"/>
      <c r="Z244" s="182"/>
      <c r="AA244" s="182"/>
      <c r="AB244" s="182"/>
      <c r="AC244" s="182"/>
      <c r="AD244" s="182"/>
      <c r="AE244" s="182"/>
      <c r="AF244" s="182"/>
      <c r="AG244" s="182"/>
      <c r="AH244" s="182"/>
      <c r="AI244" s="182"/>
      <c r="AJ244" s="182"/>
      <c r="AK244" s="182"/>
      <c r="AL244" s="182"/>
      <c r="AM244" s="182"/>
      <c r="AN244" s="182"/>
      <c r="AO244" s="182"/>
      <c r="AP244" s="182"/>
      <c r="AQ244" s="185">
        <v>18937.3</v>
      </c>
      <c r="AR244" s="182">
        <v>15308.11</v>
      </c>
      <c r="AS244" s="182">
        <v>1969.76</v>
      </c>
      <c r="AT244" s="182">
        <v>735</v>
      </c>
      <c r="AU244" s="182">
        <v>924.43</v>
      </c>
      <c r="AV244" s="182"/>
      <c r="AW244" s="182"/>
      <c r="AX244" s="182"/>
      <c r="AY244" s="182"/>
      <c r="AZ244" s="182"/>
      <c r="BA244" s="182"/>
      <c r="BB244" s="182"/>
      <c r="BC244" s="182"/>
      <c r="BD244" s="182"/>
      <c r="BE244" s="182"/>
      <c r="BF244" s="182"/>
      <c r="BG244" s="182"/>
      <c r="BH244" s="182"/>
      <c r="BI244" s="182"/>
      <c r="BJ244" s="182"/>
      <c r="BK244" s="182"/>
      <c r="BL244" s="182"/>
      <c r="BM244" s="182"/>
      <c r="BN244" s="182"/>
      <c r="BO244" s="182"/>
      <c r="BP244" s="182"/>
      <c r="BQ244" s="182"/>
      <c r="BR244" s="182"/>
      <c r="BS244" s="182"/>
      <c r="BT244" s="182"/>
      <c r="BU244" s="182"/>
      <c r="BV244" s="182"/>
      <c r="BW244" s="182"/>
      <c r="BX244" s="182"/>
      <c r="BY244" s="182"/>
      <c r="BZ244" s="182"/>
      <c r="CA244" s="182"/>
      <c r="CB244" s="185">
        <v>18937.3</v>
      </c>
      <c r="CC244" s="185">
        <v>0</v>
      </c>
      <c r="CD244" s="185">
        <v>1601</v>
      </c>
      <c r="CE244" s="185"/>
    </row>
    <row r="245" spans="2:83" x14ac:dyDescent="0.3">
      <c r="B245" s="182">
        <v>3355</v>
      </c>
      <c r="C245" s="182">
        <v>1602</v>
      </c>
      <c r="D245" s="182" t="s">
        <v>122</v>
      </c>
      <c r="E245" s="181" t="s">
        <v>4167</v>
      </c>
      <c r="F245" s="182"/>
      <c r="G245" s="182">
        <v>588.29</v>
      </c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2"/>
      <c r="X245" s="182"/>
      <c r="Y245" s="182"/>
      <c r="Z245" s="182"/>
      <c r="AA245" s="182"/>
      <c r="AB245" s="182"/>
      <c r="AC245" s="182"/>
      <c r="AD245" s="182"/>
      <c r="AE245" s="182"/>
      <c r="AF245" s="182"/>
      <c r="AG245" s="182"/>
      <c r="AH245" s="182"/>
      <c r="AI245" s="182"/>
      <c r="AJ245" s="182"/>
      <c r="AK245" s="182"/>
      <c r="AL245" s="182"/>
      <c r="AM245" s="182"/>
      <c r="AN245" s="182"/>
      <c r="AO245" s="182"/>
      <c r="AP245" s="182"/>
      <c r="AQ245" s="185">
        <v>588.29</v>
      </c>
      <c r="AR245" s="182">
        <v>368.99</v>
      </c>
      <c r="AS245" s="182">
        <v>52.47</v>
      </c>
      <c r="AT245" s="182">
        <v>141.74</v>
      </c>
      <c r="AU245" s="182">
        <v>25.09</v>
      </c>
      <c r="AV245" s="182"/>
      <c r="AW245" s="182"/>
      <c r="AX245" s="182"/>
      <c r="AY245" s="182"/>
      <c r="AZ245" s="182"/>
      <c r="BA245" s="182"/>
      <c r="BB245" s="182"/>
      <c r="BC245" s="182"/>
      <c r="BD245" s="182"/>
      <c r="BE245" s="182"/>
      <c r="BF245" s="182"/>
      <c r="BG245" s="182"/>
      <c r="BH245" s="182"/>
      <c r="BI245" s="182"/>
      <c r="BJ245" s="182"/>
      <c r="BK245" s="182"/>
      <c r="BL245" s="182"/>
      <c r="BM245" s="182"/>
      <c r="BN245" s="182"/>
      <c r="BO245" s="182"/>
      <c r="BP245" s="182"/>
      <c r="BQ245" s="182"/>
      <c r="BR245" s="182"/>
      <c r="BS245" s="182"/>
      <c r="BT245" s="182"/>
      <c r="BU245" s="182"/>
      <c r="BV245" s="182"/>
      <c r="BW245" s="182"/>
      <c r="BX245" s="182"/>
      <c r="BY245" s="182"/>
      <c r="BZ245" s="182"/>
      <c r="CA245" s="182"/>
      <c r="CB245" s="185">
        <v>588.29000000000008</v>
      </c>
      <c r="CC245" s="185">
        <v>0</v>
      </c>
      <c r="CD245" s="185">
        <v>1602</v>
      </c>
      <c r="CE245" s="185"/>
    </row>
    <row r="246" spans="2:83" x14ac:dyDescent="0.3">
      <c r="B246" s="182">
        <v>2435</v>
      </c>
      <c r="C246" s="182">
        <v>1603</v>
      </c>
      <c r="D246" s="182" t="s">
        <v>122</v>
      </c>
      <c r="E246" s="181" t="s">
        <v>4168</v>
      </c>
      <c r="F246" s="182"/>
      <c r="G246" s="182">
        <v>3364.47</v>
      </c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2"/>
      <c r="X246" s="182"/>
      <c r="Y246" s="182"/>
      <c r="Z246" s="182"/>
      <c r="AA246" s="182"/>
      <c r="AB246" s="182"/>
      <c r="AC246" s="182"/>
      <c r="AD246" s="182"/>
      <c r="AE246" s="182"/>
      <c r="AF246" s="182"/>
      <c r="AG246" s="182"/>
      <c r="AH246" s="182"/>
      <c r="AI246" s="182"/>
      <c r="AJ246" s="182"/>
      <c r="AK246" s="182"/>
      <c r="AL246" s="182"/>
      <c r="AM246" s="182"/>
      <c r="AN246" s="182"/>
      <c r="AO246" s="182"/>
      <c r="AP246" s="182"/>
      <c r="AQ246" s="185">
        <v>3364.47</v>
      </c>
      <c r="AR246" s="182">
        <v>2687.27</v>
      </c>
      <c r="AS246" s="182">
        <v>347.36</v>
      </c>
      <c r="AT246" s="182">
        <v>166.7</v>
      </c>
      <c r="AU246" s="182">
        <v>163.13999999999999</v>
      </c>
      <c r="AV246" s="182"/>
      <c r="AW246" s="182"/>
      <c r="AX246" s="182"/>
      <c r="AY246" s="182"/>
      <c r="AZ246" s="182"/>
      <c r="BA246" s="182"/>
      <c r="BB246" s="182"/>
      <c r="BC246" s="182"/>
      <c r="BD246" s="182"/>
      <c r="BE246" s="182"/>
      <c r="BF246" s="182"/>
      <c r="BG246" s="182"/>
      <c r="BH246" s="182"/>
      <c r="BI246" s="182"/>
      <c r="BJ246" s="182"/>
      <c r="BK246" s="182"/>
      <c r="BL246" s="182"/>
      <c r="BM246" s="182"/>
      <c r="BN246" s="182"/>
      <c r="BO246" s="182"/>
      <c r="BP246" s="182"/>
      <c r="BQ246" s="182"/>
      <c r="BR246" s="182"/>
      <c r="BS246" s="182"/>
      <c r="BT246" s="182"/>
      <c r="BU246" s="182"/>
      <c r="BV246" s="182"/>
      <c r="BW246" s="182"/>
      <c r="BX246" s="182"/>
      <c r="BY246" s="182"/>
      <c r="BZ246" s="182"/>
      <c r="CA246" s="182"/>
      <c r="CB246" s="185">
        <v>3364.47</v>
      </c>
      <c r="CC246" s="185">
        <v>0</v>
      </c>
      <c r="CD246" s="185">
        <v>1603</v>
      </c>
      <c r="CE246" s="185"/>
    </row>
    <row r="247" spans="2:83" x14ac:dyDescent="0.3">
      <c r="B247" s="182">
        <v>2445</v>
      </c>
      <c r="C247" s="182">
        <v>1604</v>
      </c>
      <c r="D247" s="182" t="s">
        <v>122</v>
      </c>
      <c r="E247" s="181" t="s">
        <v>4169</v>
      </c>
      <c r="F247" s="182"/>
      <c r="G247" s="182">
        <v>344.37</v>
      </c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2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182"/>
      <c r="AI247" s="182"/>
      <c r="AJ247" s="182"/>
      <c r="AK247" s="182"/>
      <c r="AL247" s="182"/>
      <c r="AM247" s="182"/>
      <c r="AN247" s="182"/>
      <c r="AO247" s="182"/>
      <c r="AP247" s="182"/>
      <c r="AQ247" s="185">
        <v>344.37</v>
      </c>
      <c r="AR247" s="182">
        <v>216.44</v>
      </c>
      <c r="AS247" s="182">
        <v>30.259999999999998</v>
      </c>
      <c r="AT247" s="182">
        <v>82.98</v>
      </c>
      <c r="AU247" s="182">
        <v>14.69</v>
      </c>
      <c r="AV247" s="182"/>
      <c r="AW247" s="182"/>
      <c r="AX247" s="182"/>
      <c r="AY247" s="182"/>
      <c r="AZ247" s="182"/>
      <c r="BA247" s="182"/>
      <c r="BB247" s="182"/>
      <c r="BC247" s="182"/>
      <c r="BD247" s="182"/>
      <c r="BE247" s="182"/>
      <c r="BF247" s="182"/>
      <c r="BG247" s="182"/>
      <c r="BH247" s="182"/>
      <c r="BI247" s="182"/>
      <c r="BJ247" s="182"/>
      <c r="BK247" s="182"/>
      <c r="BL247" s="182"/>
      <c r="BM247" s="182"/>
      <c r="BN247" s="182"/>
      <c r="BO247" s="182"/>
      <c r="BP247" s="182"/>
      <c r="BQ247" s="182"/>
      <c r="BR247" s="182"/>
      <c r="BS247" s="182"/>
      <c r="BT247" s="182"/>
      <c r="BU247" s="182"/>
      <c r="BV247" s="182"/>
      <c r="BW247" s="182"/>
      <c r="BX247" s="182"/>
      <c r="BY247" s="182"/>
      <c r="BZ247" s="182"/>
      <c r="CA247" s="182"/>
      <c r="CB247" s="185">
        <v>344.37</v>
      </c>
      <c r="CC247" s="185">
        <v>0</v>
      </c>
      <c r="CD247" s="185">
        <v>1604</v>
      </c>
      <c r="CE247" s="185"/>
    </row>
    <row r="248" spans="2:83" x14ac:dyDescent="0.3">
      <c r="B248" s="182">
        <v>2502</v>
      </c>
      <c r="C248" s="182">
        <v>1605</v>
      </c>
      <c r="D248" s="182" t="s">
        <v>122</v>
      </c>
      <c r="E248" s="181" t="s">
        <v>4169</v>
      </c>
      <c r="F248" s="182"/>
      <c r="G248" s="182">
        <v>24335.62</v>
      </c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2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  <c r="AN248" s="182"/>
      <c r="AO248" s="182"/>
      <c r="AP248" s="182"/>
      <c r="AQ248" s="185">
        <v>24335.62</v>
      </c>
      <c r="AR248" s="182">
        <v>19329.41</v>
      </c>
      <c r="AS248" s="182">
        <v>2529.5700000000002</v>
      </c>
      <c r="AT248" s="182">
        <v>1299.53</v>
      </c>
      <c r="AU248" s="182">
        <v>1177.1099999999999</v>
      </c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  <c r="BM248" s="182"/>
      <c r="BN248" s="182"/>
      <c r="BO248" s="182"/>
      <c r="BP248" s="182"/>
      <c r="BQ248" s="182"/>
      <c r="BR248" s="182"/>
      <c r="BS248" s="182"/>
      <c r="BT248" s="182"/>
      <c r="BU248" s="182"/>
      <c r="BV248" s="182"/>
      <c r="BW248" s="182"/>
      <c r="BX248" s="182"/>
      <c r="BY248" s="182"/>
      <c r="BZ248" s="182"/>
      <c r="CA248" s="182"/>
      <c r="CB248" s="185">
        <v>24335.62</v>
      </c>
      <c r="CC248" s="185">
        <v>0</v>
      </c>
      <c r="CD248" s="185">
        <v>1605</v>
      </c>
      <c r="CE248" s="185"/>
    </row>
    <row r="249" spans="2:83" x14ac:dyDescent="0.3">
      <c r="B249" s="182">
        <v>3358</v>
      </c>
      <c r="C249" s="182">
        <v>1606</v>
      </c>
      <c r="D249" s="182" t="s">
        <v>122</v>
      </c>
      <c r="E249" s="181" t="s">
        <v>4167</v>
      </c>
      <c r="F249" s="182"/>
      <c r="G249" s="182">
        <v>2202.75</v>
      </c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2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  <c r="AN249" s="182"/>
      <c r="AO249" s="182"/>
      <c r="AP249" s="182"/>
      <c r="AQ249" s="185">
        <v>2202.75</v>
      </c>
      <c r="AR249" s="182">
        <v>1856.18</v>
      </c>
      <c r="AS249" s="182">
        <v>236.43</v>
      </c>
      <c r="AT249" s="182"/>
      <c r="AU249" s="182">
        <v>110.14</v>
      </c>
      <c r="AV249" s="182"/>
      <c r="AW249" s="182"/>
      <c r="AX249" s="182"/>
      <c r="AY249" s="182"/>
      <c r="AZ249" s="182"/>
      <c r="BA249" s="182"/>
      <c r="BB249" s="182"/>
      <c r="BC249" s="182"/>
      <c r="BD249" s="182"/>
      <c r="BE249" s="182"/>
      <c r="BF249" s="182"/>
      <c r="BG249" s="182"/>
      <c r="BH249" s="182"/>
      <c r="BI249" s="182"/>
      <c r="BJ249" s="182"/>
      <c r="BK249" s="182"/>
      <c r="BL249" s="182"/>
      <c r="BM249" s="182"/>
      <c r="BN249" s="182"/>
      <c r="BO249" s="182"/>
      <c r="BP249" s="182"/>
      <c r="BQ249" s="182"/>
      <c r="BR249" s="182"/>
      <c r="BS249" s="182"/>
      <c r="BT249" s="182"/>
      <c r="BU249" s="182"/>
      <c r="BV249" s="182"/>
      <c r="BW249" s="182"/>
      <c r="BX249" s="182"/>
      <c r="BY249" s="182"/>
      <c r="BZ249" s="182"/>
      <c r="CA249" s="182"/>
      <c r="CB249" s="185">
        <v>2202.75</v>
      </c>
      <c r="CC249" s="185">
        <v>0</v>
      </c>
      <c r="CD249" s="185">
        <v>1606</v>
      </c>
      <c r="CE249" s="185"/>
    </row>
    <row r="250" spans="2:83" x14ac:dyDescent="0.3">
      <c r="B250" s="182">
        <v>3356</v>
      </c>
      <c r="C250" s="182">
        <v>1607</v>
      </c>
      <c r="D250" s="182" t="s">
        <v>122</v>
      </c>
      <c r="E250" s="181" t="s">
        <v>4170</v>
      </c>
      <c r="F250" s="182"/>
      <c r="G250" s="182">
        <v>5512.91</v>
      </c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2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2"/>
      <c r="AH250" s="182"/>
      <c r="AI250" s="182"/>
      <c r="AJ250" s="182"/>
      <c r="AK250" s="182"/>
      <c r="AL250" s="182"/>
      <c r="AM250" s="182"/>
      <c r="AN250" s="182"/>
      <c r="AO250" s="182"/>
      <c r="AP250" s="182"/>
      <c r="AQ250" s="185">
        <v>5512.91</v>
      </c>
      <c r="AR250" s="182">
        <v>4608.37</v>
      </c>
      <c r="AS250" s="182">
        <v>586.6</v>
      </c>
      <c r="AT250" s="182">
        <v>43.64</v>
      </c>
      <c r="AU250" s="182">
        <v>274.3</v>
      </c>
      <c r="AV250" s="182"/>
      <c r="AW250" s="182"/>
      <c r="AX250" s="182"/>
      <c r="AY250" s="182"/>
      <c r="AZ250" s="182"/>
      <c r="BA250" s="182"/>
      <c r="BB250" s="182"/>
      <c r="BC250" s="182"/>
      <c r="BD250" s="182"/>
      <c r="BE250" s="182"/>
      <c r="BF250" s="182"/>
      <c r="BG250" s="182"/>
      <c r="BH250" s="182"/>
      <c r="BI250" s="182"/>
      <c r="BJ250" s="182"/>
      <c r="BK250" s="182"/>
      <c r="BL250" s="182"/>
      <c r="BM250" s="182"/>
      <c r="BN250" s="182"/>
      <c r="BO250" s="182"/>
      <c r="BP250" s="182"/>
      <c r="BQ250" s="182"/>
      <c r="BR250" s="182"/>
      <c r="BS250" s="182"/>
      <c r="BT250" s="182"/>
      <c r="BU250" s="182"/>
      <c r="BV250" s="182"/>
      <c r="BW250" s="182"/>
      <c r="BX250" s="182"/>
      <c r="BY250" s="182"/>
      <c r="BZ250" s="182"/>
      <c r="CA250" s="182"/>
      <c r="CB250" s="185">
        <v>5512.9100000000008</v>
      </c>
      <c r="CC250" s="185">
        <v>0</v>
      </c>
      <c r="CD250" s="185">
        <v>1607</v>
      </c>
      <c r="CE250" s="185"/>
    </row>
    <row r="251" spans="2:83" x14ac:dyDescent="0.3">
      <c r="B251" s="182">
        <v>2583</v>
      </c>
      <c r="C251" s="182">
        <v>1608</v>
      </c>
      <c r="D251" s="182" t="s">
        <v>249</v>
      </c>
      <c r="E251" s="181" t="s">
        <v>4171</v>
      </c>
      <c r="F251" s="182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2">
        <v>820.75</v>
      </c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  <c r="AN251" s="182"/>
      <c r="AO251" s="182"/>
      <c r="AP251" s="182"/>
      <c r="AQ251" s="185">
        <v>820.75</v>
      </c>
      <c r="AR251" s="182">
        <v>548.95000000000005</v>
      </c>
      <c r="AS251" s="182">
        <v>74.05</v>
      </c>
      <c r="AT251" s="182">
        <v>197.75</v>
      </c>
      <c r="AU251" s="182"/>
      <c r="AV251" s="182"/>
      <c r="AW251" s="182"/>
      <c r="AX251" s="182"/>
      <c r="AY251" s="182"/>
      <c r="AZ251" s="182"/>
      <c r="BA251" s="182"/>
      <c r="BB251" s="182"/>
      <c r="BC251" s="182"/>
      <c r="BD251" s="182"/>
      <c r="BE251" s="182"/>
      <c r="BF251" s="182"/>
      <c r="BG251" s="182"/>
      <c r="BH251" s="182"/>
      <c r="BI251" s="182"/>
      <c r="BJ251" s="182"/>
      <c r="BK251" s="182"/>
      <c r="BL251" s="182"/>
      <c r="BM251" s="182"/>
      <c r="BN251" s="182"/>
      <c r="BO251" s="182"/>
      <c r="BP251" s="182"/>
      <c r="BQ251" s="182"/>
      <c r="BR251" s="182"/>
      <c r="BS251" s="182"/>
      <c r="BT251" s="182"/>
      <c r="BU251" s="182"/>
      <c r="BV251" s="182"/>
      <c r="BW251" s="182"/>
      <c r="BX251" s="182"/>
      <c r="BY251" s="182"/>
      <c r="BZ251" s="182"/>
      <c r="CA251" s="182"/>
      <c r="CB251" s="185">
        <v>820.75</v>
      </c>
      <c r="CC251" s="185">
        <v>0</v>
      </c>
      <c r="CD251" s="185">
        <v>1608</v>
      </c>
      <c r="CE251" s="185"/>
    </row>
    <row r="252" spans="2:83" x14ac:dyDescent="0.3">
      <c r="B252" s="182">
        <v>2584</v>
      </c>
      <c r="C252" s="182">
        <v>1609</v>
      </c>
      <c r="D252" s="182" t="s">
        <v>249</v>
      </c>
      <c r="E252" s="181" t="s">
        <v>4171</v>
      </c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2">
        <v>1935.25</v>
      </c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  <c r="AO252" s="182"/>
      <c r="AP252" s="182"/>
      <c r="AQ252" s="185">
        <v>1935.25</v>
      </c>
      <c r="AR252" s="182">
        <v>1283.73</v>
      </c>
      <c r="AS252" s="182">
        <v>181.25</v>
      </c>
      <c r="AT252" s="182">
        <v>385.27</v>
      </c>
      <c r="AU252" s="182">
        <v>85</v>
      </c>
      <c r="AV252" s="182"/>
      <c r="AW252" s="182"/>
      <c r="AX252" s="182"/>
      <c r="AY252" s="182"/>
      <c r="AZ252" s="182"/>
      <c r="BA252" s="182"/>
      <c r="BB252" s="182"/>
      <c r="BC252" s="182"/>
      <c r="BD252" s="182"/>
      <c r="BE252" s="182"/>
      <c r="BF252" s="182"/>
      <c r="BG252" s="182"/>
      <c r="BH252" s="182"/>
      <c r="BI252" s="182"/>
      <c r="BJ252" s="182"/>
      <c r="BK252" s="182"/>
      <c r="BL252" s="182"/>
      <c r="BM252" s="182"/>
      <c r="BN252" s="182"/>
      <c r="BO252" s="182"/>
      <c r="BP252" s="182"/>
      <c r="BQ252" s="182"/>
      <c r="BR252" s="182"/>
      <c r="BS252" s="182"/>
      <c r="BT252" s="182"/>
      <c r="BU252" s="182"/>
      <c r="BV252" s="182"/>
      <c r="BW252" s="182"/>
      <c r="BX252" s="182"/>
      <c r="BY252" s="182"/>
      <c r="BZ252" s="182"/>
      <c r="CA252" s="182"/>
      <c r="CB252" s="185">
        <v>1935.25</v>
      </c>
      <c r="CC252" s="185">
        <v>0</v>
      </c>
      <c r="CD252" s="185">
        <v>1609</v>
      </c>
      <c r="CE252" s="185"/>
    </row>
    <row r="253" spans="2:83" x14ac:dyDescent="0.3">
      <c r="B253" s="182">
        <v>992</v>
      </c>
      <c r="C253" s="182">
        <v>1610</v>
      </c>
      <c r="D253" s="182" t="s">
        <v>249</v>
      </c>
      <c r="E253" s="181" t="s">
        <v>4172</v>
      </c>
      <c r="F253" s="182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2">
        <v>6566</v>
      </c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2"/>
      <c r="AH253" s="182"/>
      <c r="AI253" s="182"/>
      <c r="AJ253" s="182"/>
      <c r="AK253" s="182"/>
      <c r="AL253" s="182"/>
      <c r="AM253" s="182"/>
      <c r="AN253" s="182"/>
      <c r="AO253" s="182"/>
      <c r="AP253" s="182"/>
      <c r="AQ253" s="185">
        <v>6566</v>
      </c>
      <c r="AR253" s="182">
        <v>4107.3</v>
      </c>
      <c r="AS253" s="182">
        <v>596.70000000000005</v>
      </c>
      <c r="AT253" s="182">
        <v>1582</v>
      </c>
      <c r="AU253" s="182">
        <v>280</v>
      </c>
      <c r="AV253" s="182"/>
      <c r="AW253" s="182"/>
      <c r="AX253" s="182"/>
      <c r="AY253" s="182"/>
      <c r="AZ253" s="182"/>
      <c r="BA253" s="182"/>
      <c r="BB253" s="182"/>
      <c r="BC253" s="182"/>
      <c r="BD253" s="182"/>
      <c r="BE253" s="182"/>
      <c r="BF253" s="182"/>
      <c r="BG253" s="182"/>
      <c r="BH253" s="182"/>
      <c r="BI253" s="182"/>
      <c r="BJ253" s="182"/>
      <c r="BK253" s="182"/>
      <c r="BL253" s="182"/>
      <c r="BM253" s="182"/>
      <c r="BN253" s="182"/>
      <c r="BO253" s="182"/>
      <c r="BP253" s="182"/>
      <c r="BQ253" s="182"/>
      <c r="BR253" s="182"/>
      <c r="BS253" s="182"/>
      <c r="BT253" s="182"/>
      <c r="BU253" s="182"/>
      <c r="BV253" s="182"/>
      <c r="BW253" s="182"/>
      <c r="BX253" s="182"/>
      <c r="BY253" s="182"/>
      <c r="BZ253" s="182"/>
      <c r="CA253" s="182"/>
      <c r="CB253" s="185">
        <v>6566</v>
      </c>
      <c r="CC253" s="185">
        <v>0</v>
      </c>
      <c r="CD253" s="185">
        <v>1610</v>
      </c>
      <c r="CE253" s="185"/>
    </row>
    <row r="254" spans="2:83" x14ac:dyDescent="0.3">
      <c r="B254" s="182">
        <v>990</v>
      </c>
      <c r="C254" s="182">
        <v>1611</v>
      </c>
      <c r="D254" s="182" t="s">
        <v>249</v>
      </c>
      <c r="E254" s="181" t="s">
        <v>4173</v>
      </c>
      <c r="F254" s="182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2">
        <v>6566</v>
      </c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  <c r="AN254" s="182"/>
      <c r="AO254" s="182"/>
      <c r="AP254" s="182"/>
      <c r="AQ254" s="185">
        <v>6566</v>
      </c>
      <c r="AR254" s="182">
        <v>4107.3</v>
      </c>
      <c r="AS254" s="182">
        <v>596.70000000000005</v>
      </c>
      <c r="AT254" s="182">
        <v>1582</v>
      </c>
      <c r="AU254" s="182">
        <v>280</v>
      </c>
      <c r="AV254" s="182"/>
      <c r="AW254" s="182"/>
      <c r="AX254" s="182"/>
      <c r="AY254" s="182"/>
      <c r="AZ254" s="182"/>
      <c r="BA254" s="182"/>
      <c r="BB254" s="182"/>
      <c r="BC254" s="182"/>
      <c r="BD254" s="182"/>
      <c r="BE254" s="182"/>
      <c r="BF254" s="182"/>
      <c r="BG254" s="182"/>
      <c r="BH254" s="182"/>
      <c r="BI254" s="182"/>
      <c r="BJ254" s="182"/>
      <c r="BK254" s="182"/>
      <c r="BL254" s="182"/>
      <c r="BM254" s="182"/>
      <c r="BN254" s="182"/>
      <c r="BO254" s="182"/>
      <c r="BP254" s="182"/>
      <c r="BQ254" s="182"/>
      <c r="BR254" s="182"/>
      <c r="BS254" s="182"/>
      <c r="BT254" s="182"/>
      <c r="BU254" s="182"/>
      <c r="BV254" s="182"/>
      <c r="BW254" s="182"/>
      <c r="BX254" s="182"/>
      <c r="BY254" s="182"/>
      <c r="BZ254" s="182"/>
      <c r="CA254" s="182"/>
      <c r="CB254" s="185">
        <v>6566</v>
      </c>
      <c r="CC254" s="185">
        <v>0</v>
      </c>
      <c r="CD254" s="185">
        <v>1611</v>
      </c>
      <c r="CE254" s="185"/>
    </row>
    <row r="255" spans="2:83" x14ac:dyDescent="0.3">
      <c r="B255" s="182">
        <v>989</v>
      </c>
      <c r="C255" s="182">
        <v>1612</v>
      </c>
      <c r="D255" s="182" t="s">
        <v>249</v>
      </c>
      <c r="E255" s="181" t="s">
        <v>4174</v>
      </c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2">
        <v>6566</v>
      </c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  <c r="AN255" s="182"/>
      <c r="AO255" s="182"/>
      <c r="AP255" s="182"/>
      <c r="AQ255" s="185">
        <v>6566</v>
      </c>
      <c r="AR255" s="182">
        <v>4107.3</v>
      </c>
      <c r="AS255" s="182">
        <v>596.70000000000005</v>
      </c>
      <c r="AT255" s="182">
        <v>1582</v>
      </c>
      <c r="AU255" s="182">
        <v>280</v>
      </c>
      <c r="AV255" s="182"/>
      <c r="AW255" s="182"/>
      <c r="AX255" s="182"/>
      <c r="AY255" s="182"/>
      <c r="AZ255" s="182"/>
      <c r="BA255" s="182"/>
      <c r="BB255" s="182"/>
      <c r="BC255" s="182"/>
      <c r="BD255" s="182"/>
      <c r="BE255" s="182"/>
      <c r="BF255" s="182"/>
      <c r="BG255" s="182"/>
      <c r="BH255" s="182"/>
      <c r="BI255" s="182"/>
      <c r="BJ255" s="182"/>
      <c r="BK255" s="182"/>
      <c r="BL255" s="182"/>
      <c r="BM255" s="182"/>
      <c r="BN255" s="182"/>
      <c r="BO255" s="182"/>
      <c r="BP255" s="182"/>
      <c r="BQ255" s="182"/>
      <c r="BR255" s="182"/>
      <c r="BS255" s="182"/>
      <c r="BT255" s="182"/>
      <c r="BU255" s="182"/>
      <c r="BV255" s="182"/>
      <c r="BW255" s="182"/>
      <c r="BX255" s="182"/>
      <c r="BY255" s="182"/>
      <c r="BZ255" s="182"/>
      <c r="CA255" s="182"/>
      <c r="CB255" s="185">
        <v>6566</v>
      </c>
      <c r="CC255" s="185">
        <v>0</v>
      </c>
      <c r="CD255" s="185">
        <v>1612</v>
      </c>
      <c r="CE255" s="185"/>
    </row>
    <row r="256" spans="2:83" x14ac:dyDescent="0.3">
      <c r="B256" s="182">
        <v>2321</v>
      </c>
      <c r="C256" s="182">
        <v>1613</v>
      </c>
      <c r="D256" s="182" t="s">
        <v>78</v>
      </c>
      <c r="E256" s="181" t="s">
        <v>1929</v>
      </c>
      <c r="F256" s="182"/>
      <c r="G256" s="182">
        <v>1260</v>
      </c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2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2"/>
      <c r="AH256" s="182"/>
      <c r="AI256" s="182"/>
      <c r="AJ256" s="182"/>
      <c r="AK256" s="182"/>
      <c r="AL256" s="182"/>
      <c r="AM256" s="182"/>
      <c r="AN256" s="182"/>
      <c r="AO256" s="182"/>
      <c r="AP256" s="182"/>
      <c r="AQ256" s="185">
        <v>1260</v>
      </c>
      <c r="AR256" s="182">
        <v>1124.9000000000001</v>
      </c>
      <c r="AS256" s="182">
        <v>135.1</v>
      </c>
      <c r="AT256" s="182"/>
      <c r="AU256" s="182"/>
      <c r="AV256" s="182"/>
      <c r="AW256" s="182"/>
      <c r="AX256" s="182"/>
      <c r="AY256" s="182"/>
      <c r="AZ256" s="182"/>
      <c r="BA256" s="182"/>
      <c r="BB256" s="182"/>
      <c r="BC256" s="182"/>
      <c r="BD256" s="182"/>
      <c r="BE256" s="182"/>
      <c r="BF256" s="182"/>
      <c r="BG256" s="182"/>
      <c r="BH256" s="182"/>
      <c r="BI256" s="182"/>
      <c r="BJ256" s="182"/>
      <c r="BK256" s="182"/>
      <c r="BL256" s="182"/>
      <c r="BM256" s="182"/>
      <c r="BN256" s="182"/>
      <c r="BO256" s="182"/>
      <c r="BP256" s="182"/>
      <c r="BQ256" s="182"/>
      <c r="BR256" s="182"/>
      <c r="BS256" s="182"/>
      <c r="BT256" s="182"/>
      <c r="BU256" s="182"/>
      <c r="BV256" s="182"/>
      <c r="BW256" s="182"/>
      <c r="BX256" s="182"/>
      <c r="BY256" s="182"/>
      <c r="BZ256" s="182"/>
      <c r="CA256" s="182"/>
      <c r="CB256" s="185">
        <v>1260</v>
      </c>
      <c r="CC256" s="185">
        <v>0</v>
      </c>
      <c r="CD256" s="185">
        <v>1613</v>
      </c>
      <c r="CE256" s="185"/>
    </row>
    <row r="257" spans="2:83" x14ac:dyDescent="0.3">
      <c r="B257" s="182">
        <v>2322</v>
      </c>
      <c r="C257" s="182">
        <v>1614</v>
      </c>
      <c r="D257" s="182" t="s">
        <v>78</v>
      </c>
      <c r="E257" s="181" t="s">
        <v>1929</v>
      </c>
      <c r="F257" s="182"/>
      <c r="G257" s="182">
        <v>2205</v>
      </c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2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2"/>
      <c r="AO257" s="182"/>
      <c r="AP257" s="182"/>
      <c r="AQ257" s="185">
        <v>2205</v>
      </c>
      <c r="AR257" s="182">
        <v>1968.95</v>
      </c>
      <c r="AS257" s="182">
        <v>236.05</v>
      </c>
      <c r="AT257" s="182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/>
      <c r="BF257" s="182"/>
      <c r="BG257" s="182"/>
      <c r="BH257" s="182"/>
      <c r="BI257" s="182"/>
      <c r="BJ257" s="182"/>
      <c r="BK257" s="182"/>
      <c r="BL257" s="182"/>
      <c r="BM257" s="182"/>
      <c r="BN257" s="182"/>
      <c r="BO257" s="182"/>
      <c r="BP257" s="182"/>
      <c r="BQ257" s="182"/>
      <c r="BR257" s="182"/>
      <c r="BS257" s="182"/>
      <c r="BT257" s="182"/>
      <c r="BU257" s="182"/>
      <c r="BV257" s="182"/>
      <c r="BW257" s="182"/>
      <c r="BX257" s="182"/>
      <c r="BY257" s="182"/>
      <c r="BZ257" s="182"/>
      <c r="CA257" s="182"/>
      <c r="CB257" s="185">
        <v>2205</v>
      </c>
      <c r="CC257" s="185">
        <v>0</v>
      </c>
      <c r="CD257" s="185">
        <v>1614</v>
      </c>
      <c r="CE257" s="185"/>
    </row>
    <row r="258" spans="2:83" x14ac:dyDescent="0.3">
      <c r="B258" s="182">
        <v>2320</v>
      </c>
      <c r="C258" s="182">
        <v>1615</v>
      </c>
      <c r="D258" s="182" t="s">
        <v>78</v>
      </c>
      <c r="E258" s="181" t="s">
        <v>1929</v>
      </c>
      <c r="F258" s="182"/>
      <c r="G258" s="182">
        <v>738.68</v>
      </c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2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  <c r="AN258" s="182"/>
      <c r="AO258" s="182"/>
      <c r="AP258" s="182"/>
      <c r="AQ258" s="185">
        <v>738.68</v>
      </c>
      <c r="AR258" s="182">
        <v>494.1</v>
      </c>
      <c r="AS258" s="182">
        <v>66.599999999999994</v>
      </c>
      <c r="AT258" s="182">
        <v>177.98</v>
      </c>
      <c r="AU258" s="182"/>
      <c r="AV258" s="182"/>
      <c r="AW258" s="182"/>
      <c r="AX258" s="182"/>
      <c r="AY258" s="182"/>
      <c r="AZ258" s="182"/>
      <c r="BA258" s="182"/>
      <c r="BB258" s="182"/>
      <c r="BC258" s="182"/>
      <c r="BD258" s="182"/>
      <c r="BE258" s="182"/>
      <c r="BF258" s="182"/>
      <c r="BG258" s="182"/>
      <c r="BH258" s="182"/>
      <c r="BI258" s="182"/>
      <c r="BJ258" s="182"/>
      <c r="BK258" s="182"/>
      <c r="BL258" s="182"/>
      <c r="BM258" s="182"/>
      <c r="BN258" s="182"/>
      <c r="BO258" s="182"/>
      <c r="BP258" s="182"/>
      <c r="BQ258" s="182"/>
      <c r="BR258" s="182"/>
      <c r="BS258" s="182"/>
      <c r="BT258" s="182"/>
      <c r="BU258" s="182"/>
      <c r="BV258" s="182"/>
      <c r="BW258" s="182"/>
      <c r="BX258" s="182"/>
      <c r="BY258" s="182"/>
      <c r="BZ258" s="182"/>
      <c r="CA258" s="182"/>
      <c r="CB258" s="185">
        <v>738.68000000000006</v>
      </c>
      <c r="CC258" s="185">
        <v>0</v>
      </c>
      <c r="CD258" s="185">
        <v>1615</v>
      </c>
      <c r="CE258" s="185"/>
    </row>
    <row r="259" spans="2:83" x14ac:dyDescent="0.3">
      <c r="B259" s="182">
        <v>2319</v>
      </c>
      <c r="C259" s="182">
        <v>1616</v>
      </c>
      <c r="D259" s="182" t="s">
        <v>78</v>
      </c>
      <c r="E259" s="181" t="s">
        <v>1929</v>
      </c>
      <c r="F259" s="182"/>
      <c r="G259" s="182">
        <v>683.27</v>
      </c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2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2"/>
      <c r="AH259" s="182"/>
      <c r="AI259" s="182"/>
      <c r="AJ259" s="182"/>
      <c r="AK259" s="182"/>
      <c r="AL259" s="182"/>
      <c r="AM259" s="182"/>
      <c r="AN259" s="182"/>
      <c r="AO259" s="182"/>
      <c r="AP259" s="182"/>
      <c r="AQ259" s="185">
        <v>683.27</v>
      </c>
      <c r="AR259" s="182">
        <v>529.17999999999995</v>
      </c>
      <c r="AS259" s="182">
        <v>66.849999999999994</v>
      </c>
      <c r="AT259" s="182">
        <v>87.24</v>
      </c>
      <c r="AU259" s="182"/>
      <c r="AV259" s="182"/>
      <c r="AW259" s="182"/>
      <c r="AX259" s="182"/>
      <c r="AY259" s="182"/>
      <c r="AZ259" s="182"/>
      <c r="BA259" s="182"/>
      <c r="BB259" s="182"/>
      <c r="BC259" s="182"/>
      <c r="BD259" s="182"/>
      <c r="BE259" s="182"/>
      <c r="BF259" s="182"/>
      <c r="BG259" s="182"/>
      <c r="BH259" s="182"/>
      <c r="BI259" s="182"/>
      <c r="BJ259" s="182"/>
      <c r="BK259" s="182"/>
      <c r="BL259" s="182"/>
      <c r="BM259" s="182"/>
      <c r="BN259" s="182"/>
      <c r="BO259" s="182"/>
      <c r="BP259" s="182"/>
      <c r="BQ259" s="182"/>
      <c r="BR259" s="182"/>
      <c r="BS259" s="182"/>
      <c r="BT259" s="182"/>
      <c r="BU259" s="182"/>
      <c r="BV259" s="182"/>
      <c r="BW259" s="182"/>
      <c r="BX259" s="182"/>
      <c r="BY259" s="182"/>
      <c r="BZ259" s="182"/>
      <c r="CA259" s="182"/>
      <c r="CB259" s="185">
        <v>683.27</v>
      </c>
      <c r="CC259" s="185">
        <v>0</v>
      </c>
      <c r="CD259" s="185">
        <v>1616</v>
      </c>
      <c r="CE259" s="185"/>
    </row>
    <row r="260" spans="2:83" x14ac:dyDescent="0.3">
      <c r="B260" s="182">
        <v>2318</v>
      </c>
      <c r="C260" s="182">
        <v>1617</v>
      </c>
      <c r="D260" s="182" t="s">
        <v>78</v>
      </c>
      <c r="E260" s="181" t="s">
        <v>1929</v>
      </c>
      <c r="F260" s="182"/>
      <c r="G260" s="182">
        <v>369.32</v>
      </c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2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2"/>
      <c r="AH260" s="182"/>
      <c r="AI260" s="182"/>
      <c r="AJ260" s="182"/>
      <c r="AK260" s="182"/>
      <c r="AL260" s="182"/>
      <c r="AM260" s="182"/>
      <c r="AN260" s="182"/>
      <c r="AO260" s="182"/>
      <c r="AP260" s="182"/>
      <c r="AQ260" s="185">
        <v>369.32</v>
      </c>
      <c r="AR260" s="182">
        <v>248.22</v>
      </c>
      <c r="AS260" s="182">
        <v>32.1</v>
      </c>
      <c r="AT260" s="182">
        <v>89</v>
      </c>
      <c r="AU260" s="182"/>
      <c r="AV260" s="182"/>
      <c r="AW260" s="182"/>
      <c r="AX260" s="182"/>
      <c r="AY260" s="182"/>
      <c r="AZ260" s="182"/>
      <c r="BA260" s="182"/>
      <c r="BB260" s="182"/>
      <c r="BC260" s="182"/>
      <c r="BD260" s="182"/>
      <c r="BE260" s="182"/>
      <c r="BF260" s="182"/>
      <c r="BG260" s="182"/>
      <c r="BH260" s="182"/>
      <c r="BI260" s="182"/>
      <c r="BJ260" s="182"/>
      <c r="BK260" s="182"/>
      <c r="BL260" s="182"/>
      <c r="BM260" s="182"/>
      <c r="BN260" s="182"/>
      <c r="BO260" s="182"/>
      <c r="BP260" s="182"/>
      <c r="BQ260" s="182"/>
      <c r="BR260" s="182"/>
      <c r="BS260" s="182"/>
      <c r="BT260" s="182"/>
      <c r="BU260" s="182"/>
      <c r="BV260" s="182"/>
      <c r="BW260" s="182"/>
      <c r="BX260" s="182"/>
      <c r="BY260" s="182"/>
      <c r="BZ260" s="182"/>
      <c r="CA260" s="182"/>
      <c r="CB260" s="185">
        <v>369.32</v>
      </c>
      <c r="CC260" s="185">
        <v>0</v>
      </c>
      <c r="CD260" s="185">
        <v>1617</v>
      </c>
      <c r="CE260" s="185"/>
    </row>
    <row r="261" spans="2:83" x14ac:dyDescent="0.3">
      <c r="B261" s="182">
        <v>2344</v>
      </c>
      <c r="C261" s="182">
        <v>1618</v>
      </c>
      <c r="D261" s="182" t="s">
        <v>78</v>
      </c>
      <c r="E261" s="181" t="s">
        <v>1929</v>
      </c>
      <c r="F261" s="182"/>
      <c r="G261" s="182">
        <v>13930.27</v>
      </c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2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2"/>
      <c r="AH261" s="182"/>
      <c r="AI261" s="182"/>
      <c r="AJ261" s="182"/>
      <c r="AK261" s="182"/>
      <c r="AL261" s="182"/>
      <c r="AM261" s="182"/>
      <c r="AN261" s="182"/>
      <c r="AO261" s="182"/>
      <c r="AP261" s="182"/>
      <c r="AQ261" s="185">
        <v>13930.27</v>
      </c>
      <c r="AR261" s="182">
        <v>12416.19</v>
      </c>
      <c r="AS261" s="182">
        <v>1497.25</v>
      </c>
      <c r="AT261" s="182">
        <v>16.829999999999998</v>
      </c>
      <c r="AU261" s="182"/>
      <c r="AV261" s="182"/>
      <c r="AW261" s="182"/>
      <c r="AX261" s="182"/>
      <c r="AY261" s="182"/>
      <c r="AZ261" s="182"/>
      <c r="BA261" s="182"/>
      <c r="BB261" s="182"/>
      <c r="BC261" s="182"/>
      <c r="BD261" s="182"/>
      <c r="BE261" s="182"/>
      <c r="BF261" s="182"/>
      <c r="BG261" s="182"/>
      <c r="BH261" s="182"/>
      <c r="BI261" s="182"/>
      <c r="BJ261" s="182"/>
      <c r="BK261" s="182"/>
      <c r="BL261" s="182"/>
      <c r="BM261" s="182"/>
      <c r="BN261" s="182"/>
      <c r="BO261" s="182"/>
      <c r="BP261" s="182"/>
      <c r="BQ261" s="182"/>
      <c r="BR261" s="182"/>
      <c r="BS261" s="182"/>
      <c r="BT261" s="182"/>
      <c r="BU261" s="182"/>
      <c r="BV261" s="182"/>
      <c r="BW261" s="182"/>
      <c r="BX261" s="182"/>
      <c r="BY261" s="182"/>
      <c r="BZ261" s="182"/>
      <c r="CA261" s="182"/>
      <c r="CB261" s="185">
        <v>13930.27</v>
      </c>
      <c r="CC261" s="185">
        <v>0</v>
      </c>
      <c r="CD261" s="185">
        <v>1618</v>
      </c>
      <c r="CE261" s="185"/>
    </row>
    <row r="262" spans="2:83" x14ac:dyDescent="0.3">
      <c r="B262" s="182">
        <v>2348</v>
      </c>
      <c r="C262" s="182">
        <v>1619</v>
      </c>
      <c r="D262" s="182" t="s">
        <v>78</v>
      </c>
      <c r="E262" s="181" t="s">
        <v>1929</v>
      </c>
      <c r="F262" s="182"/>
      <c r="G262" s="182">
        <v>3042.64</v>
      </c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2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2"/>
      <c r="AH262" s="182"/>
      <c r="AI262" s="182"/>
      <c r="AJ262" s="182"/>
      <c r="AK262" s="182"/>
      <c r="AL262" s="182"/>
      <c r="AM262" s="182"/>
      <c r="AN262" s="182"/>
      <c r="AO262" s="182"/>
      <c r="AP262" s="182"/>
      <c r="AQ262" s="185">
        <v>3042.64</v>
      </c>
      <c r="AR262" s="182">
        <v>2031.72</v>
      </c>
      <c r="AS262" s="182">
        <v>277.83</v>
      </c>
      <c r="AT262" s="182">
        <v>733.08999999999992</v>
      </c>
      <c r="AU262" s="182"/>
      <c r="AV262" s="182"/>
      <c r="AW262" s="182"/>
      <c r="AX262" s="182"/>
      <c r="AY262" s="182"/>
      <c r="AZ262" s="182"/>
      <c r="BA262" s="182"/>
      <c r="BB262" s="182"/>
      <c r="BC262" s="182"/>
      <c r="BD262" s="182"/>
      <c r="BE262" s="182"/>
      <c r="BF262" s="182"/>
      <c r="BG262" s="182"/>
      <c r="BH262" s="182"/>
      <c r="BI262" s="182"/>
      <c r="BJ262" s="182"/>
      <c r="BK262" s="182"/>
      <c r="BL262" s="182"/>
      <c r="BM262" s="182"/>
      <c r="BN262" s="182"/>
      <c r="BO262" s="182"/>
      <c r="BP262" s="182"/>
      <c r="BQ262" s="182"/>
      <c r="BR262" s="182"/>
      <c r="BS262" s="182"/>
      <c r="BT262" s="182"/>
      <c r="BU262" s="182"/>
      <c r="BV262" s="182"/>
      <c r="BW262" s="182"/>
      <c r="BX262" s="182"/>
      <c r="BY262" s="182"/>
      <c r="BZ262" s="182"/>
      <c r="CA262" s="182"/>
      <c r="CB262" s="185">
        <v>3042.6400000000003</v>
      </c>
      <c r="CC262" s="185">
        <v>0</v>
      </c>
      <c r="CD262" s="185">
        <v>1619</v>
      </c>
      <c r="CE262" s="185"/>
    </row>
    <row r="263" spans="2:83" x14ac:dyDescent="0.3">
      <c r="B263" s="182">
        <v>2346</v>
      </c>
      <c r="C263" s="182">
        <v>1620</v>
      </c>
      <c r="D263" s="182" t="s">
        <v>78</v>
      </c>
      <c r="E263" s="181" t="s">
        <v>1929</v>
      </c>
      <c r="F263" s="182"/>
      <c r="G263" s="182">
        <v>1143.19</v>
      </c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2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2"/>
      <c r="AH263" s="182"/>
      <c r="AI263" s="182"/>
      <c r="AJ263" s="182"/>
      <c r="AK263" s="182"/>
      <c r="AL263" s="182"/>
      <c r="AM263" s="182"/>
      <c r="AN263" s="182"/>
      <c r="AO263" s="182"/>
      <c r="AP263" s="182"/>
      <c r="AQ263" s="185">
        <v>1143.19</v>
      </c>
      <c r="AR263" s="182">
        <v>765</v>
      </c>
      <c r="AS263" s="182">
        <v>102.75</v>
      </c>
      <c r="AT263" s="182">
        <v>275.44</v>
      </c>
      <c r="AU263" s="182"/>
      <c r="AV263" s="182"/>
      <c r="AW263" s="182"/>
      <c r="AX263" s="182"/>
      <c r="AY263" s="182"/>
      <c r="AZ263" s="182"/>
      <c r="BA263" s="182"/>
      <c r="BB263" s="182"/>
      <c r="BC263" s="182"/>
      <c r="BD263" s="182"/>
      <c r="BE263" s="182"/>
      <c r="BF263" s="182"/>
      <c r="BG263" s="182"/>
      <c r="BH263" s="182"/>
      <c r="BI263" s="182"/>
      <c r="BJ263" s="182"/>
      <c r="BK263" s="182"/>
      <c r="BL263" s="182"/>
      <c r="BM263" s="182"/>
      <c r="BN263" s="182"/>
      <c r="BO263" s="182"/>
      <c r="BP263" s="182"/>
      <c r="BQ263" s="182"/>
      <c r="BR263" s="182"/>
      <c r="BS263" s="182"/>
      <c r="BT263" s="182"/>
      <c r="BU263" s="182"/>
      <c r="BV263" s="182"/>
      <c r="BW263" s="182"/>
      <c r="BX263" s="182"/>
      <c r="BY263" s="182"/>
      <c r="BZ263" s="182"/>
      <c r="CA263" s="182"/>
      <c r="CB263" s="185">
        <v>1143.19</v>
      </c>
      <c r="CC263" s="185">
        <v>0</v>
      </c>
      <c r="CD263" s="185">
        <v>1620</v>
      </c>
      <c r="CE263" s="185"/>
    </row>
    <row r="264" spans="2:83" x14ac:dyDescent="0.3">
      <c r="B264" s="182">
        <v>2347</v>
      </c>
      <c r="C264" s="182">
        <v>1621</v>
      </c>
      <c r="D264" s="182" t="s">
        <v>78</v>
      </c>
      <c r="E264" s="181" t="s">
        <v>1929</v>
      </c>
      <c r="F264" s="182"/>
      <c r="G264" s="182">
        <v>2040.16</v>
      </c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2"/>
      <c r="X264" s="182"/>
      <c r="Y264" s="182"/>
      <c r="Z264" s="182"/>
      <c r="AA264" s="182"/>
      <c r="AB264" s="182"/>
      <c r="AC264" s="182"/>
      <c r="AD264" s="182"/>
      <c r="AE264" s="182"/>
      <c r="AF264" s="182"/>
      <c r="AG264" s="182"/>
      <c r="AH264" s="182"/>
      <c r="AI264" s="182"/>
      <c r="AJ264" s="182"/>
      <c r="AK264" s="182"/>
      <c r="AL264" s="182"/>
      <c r="AM264" s="182"/>
      <c r="AN264" s="182"/>
      <c r="AO264" s="182"/>
      <c r="AP264" s="182"/>
      <c r="AQ264" s="185">
        <v>2040.16</v>
      </c>
      <c r="AR264" s="182">
        <v>1364.4</v>
      </c>
      <c r="AS264" s="182">
        <v>184.2</v>
      </c>
      <c r="AT264" s="182">
        <v>491.56</v>
      </c>
      <c r="AU264" s="182"/>
      <c r="AV264" s="182"/>
      <c r="AW264" s="182"/>
      <c r="AX264" s="182"/>
      <c r="AY264" s="182"/>
      <c r="AZ264" s="182"/>
      <c r="BA264" s="182"/>
      <c r="BB264" s="182"/>
      <c r="BC264" s="182"/>
      <c r="BD264" s="182"/>
      <c r="BE264" s="182"/>
      <c r="BF264" s="182"/>
      <c r="BG264" s="182"/>
      <c r="BH264" s="182"/>
      <c r="BI264" s="182"/>
      <c r="BJ264" s="182"/>
      <c r="BK264" s="182"/>
      <c r="BL264" s="182"/>
      <c r="BM264" s="182"/>
      <c r="BN264" s="182"/>
      <c r="BO264" s="182"/>
      <c r="BP264" s="182"/>
      <c r="BQ264" s="182"/>
      <c r="BR264" s="182"/>
      <c r="BS264" s="182"/>
      <c r="BT264" s="182"/>
      <c r="BU264" s="182"/>
      <c r="BV264" s="182"/>
      <c r="BW264" s="182"/>
      <c r="BX264" s="182"/>
      <c r="BY264" s="182"/>
      <c r="BZ264" s="182"/>
      <c r="CA264" s="182"/>
      <c r="CB264" s="185">
        <v>2040.16</v>
      </c>
      <c r="CC264" s="185">
        <v>0</v>
      </c>
      <c r="CD264" s="185">
        <v>1621</v>
      </c>
      <c r="CE264" s="185"/>
    </row>
    <row r="265" spans="2:83" x14ac:dyDescent="0.3">
      <c r="B265" s="182">
        <v>3472</v>
      </c>
      <c r="C265" s="182">
        <v>1622</v>
      </c>
      <c r="D265" s="182" t="s">
        <v>78</v>
      </c>
      <c r="E265" s="181" t="s">
        <v>4175</v>
      </c>
      <c r="F265" s="182"/>
      <c r="G265" s="182">
        <v>314.82</v>
      </c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2"/>
      <c r="X265" s="182"/>
      <c r="Y265" s="182"/>
      <c r="Z265" s="182"/>
      <c r="AA265" s="182"/>
      <c r="AB265" s="182"/>
      <c r="AC265" s="182"/>
      <c r="AD265" s="182"/>
      <c r="AE265" s="182"/>
      <c r="AF265" s="182"/>
      <c r="AG265" s="182"/>
      <c r="AH265" s="182"/>
      <c r="AI265" s="182"/>
      <c r="AJ265" s="182"/>
      <c r="AK265" s="182"/>
      <c r="AL265" s="182"/>
      <c r="AM265" s="182"/>
      <c r="AN265" s="182"/>
      <c r="AO265" s="182"/>
      <c r="AP265" s="182"/>
      <c r="AQ265" s="185">
        <v>314.82</v>
      </c>
      <c r="AR265" s="182">
        <v>210.88</v>
      </c>
      <c r="AS265" s="182">
        <v>28.1</v>
      </c>
      <c r="AT265" s="182">
        <v>75.84</v>
      </c>
      <c r="AU265" s="182"/>
      <c r="AV265" s="182"/>
      <c r="AW265" s="182"/>
      <c r="AX265" s="182"/>
      <c r="AY265" s="182"/>
      <c r="AZ265" s="182"/>
      <c r="BA265" s="182"/>
      <c r="BB265" s="182"/>
      <c r="BC265" s="182"/>
      <c r="BD265" s="182"/>
      <c r="BE265" s="182"/>
      <c r="BF265" s="182"/>
      <c r="BG265" s="182"/>
      <c r="BH265" s="182"/>
      <c r="BI265" s="182"/>
      <c r="BJ265" s="182"/>
      <c r="BK265" s="182"/>
      <c r="BL265" s="182"/>
      <c r="BM265" s="182"/>
      <c r="BN265" s="182"/>
      <c r="BO265" s="182"/>
      <c r="BP265" s="182"/>
      <c r="BQ265" s="182"/>
      <c r="BR265" s="182"/>
      <c r="BS265" s="182"/>
      <c r="BT265" s="182"/>
      <c r="BU265" s="182"/>
      <c r="BV265" s="182"/>
      <c r="BW265" s="182"/>
      <c r="BX265" s="182"/>
      <c r="BY265" s="182"/>
      <c r="BZ265" s="182"/>
      <c r="CA265" s="182"/>
      <c r="CB265" s="185">
        <v>314.82</v>
      </c>
      <c r="CC265" s="185">
        <v>0</v>
      </c>
      <c r="CD265" s="185">
        <v>1622</v>
      </c>
      <c r="CE265" s="185"/>
    </row>
    <row r="266" spans="2:83" x14ac:dyDescent="0.3">
      <c r="B266" s="182">
        <v>3471</v>
      </c>
      <c r="C266" s="182">
        <v>1623</v>
      </c>
      <c r="D266" s="182" t="s">
        <v>78</v>
      </c>
      <c r="E266" s="181" t="s">
        <v>4175</v>
      </c>
      <c r="F266" s="182"/>
      <c r="G266" s="182">
        <v>457.82</v>
      </c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2"/>
      <c r="X266" s="182"/>
      <c r="Y266" s="182"/>
      <c r="Z266" s="182"/>
      <c r="AA266" s="182"/>
      <c r="AB266" s="182"/>
      <c r="AC266" s="182"/>
      <c r="AD266" s="182"/>
      <c r="AE266" s="182"/>
      <c r="AF266" s="182"/>
      <c r="AG266" s="182"/>
      <c r="AH266" s="182"/>
      <c r="AI266" s="182"/>
      <c r="AJ266" s="182"/>
      <c r="AK266" s="182"/>
      <c r="AL266" s="182"/>
      <c r="AM266" s="182"/>
      <c r="AN266" s="182"/>
      <c r="AO266" s="182"/>
      <c r="AP266" s="182"/>
      <c r="AQ266" s="185">
        <v>457.82</v>
      </c>
      <c r="AR266" s="182">
        <v>306.52999999999997</v>
      </c>
      <c r="AS266" s="182">
        <v>41</v>
      </c>
      <c r="AT266" s="182">
        <v>110.29</v>
      </c>
      <c r="AU266" s="182"/>
      <c r="AV266" s="182"/>
      <c r="AW266" s="182"/>
      <c r="AX266" s="182"/>
      <c r="AY266" s="182"/>
      <c r="AZ266" s="182"/>
      <c r="BA266" s="182"/>
      <c r="BB266" s="182"/>
      <c r="BC266" s="182"/>
      <c r="BD266" s="182"/>
      <c r="BE266" s="182"/>
      <c r="BF266" s="182"/>
      <c r="BG266" s="182"/>
      <c r="BH266" s="182"/>
      <c r="BI266" s="182"/>
      <c r="BJ266" s="182"/>
      <c r="BK266" s="182"/>
      <c r="BL266" s="182"/>
      <c r="BM266" s="182"/>
      <c r="BN266" s="182"/>
      <c r="BO266" s="182"/>
      <c r="BP266" s="182"/>
      <c r="BQ266" s="182"/>
      <c r="BR266" s="182"/>
      <c r="BS266" s="182"/>
      <c r="BT266" s="182"/>
      <c r="BU266" s="182"/>
      <c r="BV266" s="182"/>
      <c r="BW266" s="182"/>
      <c r="BX266" s="182"/>
      <c r="BY266" s="182"/>
      <c r="BZ266" s="182"/>
      <c r="CA266" s="182"/>
      <c r="CB266" s="185">
        <v>457.82</v>
      </c>
      <c r="CC266" s="185">
        <v>0</v>
      </c>
      <c r="CD266" s="185">
        <v>1623</v>
      </c>
      <c r="CE266" s="185"/>
    </row>
    <row r="267" spans="2:83" x14ac:dyDescent="0.3">
      <c r="B267" s="182">
        <v>2283</v>
      </c>
      <c r="C267" s="182">
        <v>1624</v>
      </c>
      <c r="D267" s="182" t="s">
        <v>78</v>
      </c>
      <c r="E267" s="181" t="s">
        <v>1929</v>
      </c>
      <c r="F267" s="182"/>
      <c r="G267" s="182">
        <v>4524.8999999999996</v>
      </c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2"/>
      <c r="X267" s="182"/>
      <c r="Y267" s="182"/>
      <c r="Z267" s="182"/>
      <c r="AA267" s="182"/>
      <c r="AB267" s="182"/>
      <c r="AC267" s="182"/>
      <c r="AD267" s="182"/>
      <c r="AE267" s="182"/>
      <c r="AF267" s="182"/>
      <c r="AG267" s="182"/>
      <c r="AH267" s="182"/>
      <c r="AI267" s="182"/>
      <c r="AJ267" s="182"/>
      <c r="AK267" s="182"/>
      <c r="AL267" s="182"/>
      <c r="AM267" s="182"/>
      <c r="AN267" s="182"/>
      <c r="AO267" s="182"/>
      <c r="AP267" s="182"/>
      <c r="AQ267" s="185">
        <v>4524.8999999999996</v>
      </c>
      <c r="AR267" s="182">
        <v>3820.8</v>
      </c>
      <c r="AS267" s="182">
        <v>466.8</v>
      </c>
      <c r="AT267" s="182">
        <v>237.3</v>
      </c>
      <c r="AU267" s="182"/>
      <c r="AV267" s="182"/>
      <c r="AW267" s="182"/>
      <c r="AX267" s="182"/>
      <c r="AY267" s="182"/>
      <c r="AZ267" s="182"/>
      <c r="BA267" s="182"/>
      <c r="BB267" s="182"/>
      <c r="BC267" s="182"/>
      <c r="BD267" s="182"/>
      <c r="BE267" s="182"/>
      <c r="BF267" s="182"/>
      <c r="BG267" s="182"/>
      <c r="BH267" s="182"/>
      <c r="BI267" s="182"/>
      <c r="BJ267" s="182"/>
      <c r="BK267" s="182"/>
      <c r="BL267" s="182"/>
      <c r="BM267" s="182"/>
      <c r="BN267" s="182"/>
      <c r="BO267" s="182"/>
      <c r="BP267" s="182"/>
      <c r="BQ267" s="182"/>
      <c r="BR267" s="182"/>
      <c r="BS267" s="182"/>
      <c r="BT267" s="182"/>
      <c r="BU267" s="182"/>
      <c r="BV267" s="182"/>
      <c r="BW267" s="182"/>
      <c r="BX267" s="182"/>
      <c r="BY267" s="182"/>
      <c r="BZ267" s="182"/>
      <c r="CA267" s="182"/>
      <c r="CB267" s="185">
        <v>4524.9000000000005</v>
      </c>
      <c r="CC267" s="185">
        <v>0</v>
      </c>
      <c r="CD267" s="185">
        <v>1624</v>
      </c>
      <c r="CE267" s="185"/>
    </row>
    <row r="268" spans="2:83" x14ac:dyDescent="0.3">
      <c r="B268" s="182">
        <v>2665</v>
      </c>
      <c r="C268" s="182">
        <v>1625</v>
      </c>
      <c r="D268" s="182" t="s">
        <v>78</v>
      </c>
      <c r="E268" s="181" t="s">
        <v>4176</v>
      </c>
      <c r="F268" s="182"/>
      <c r="G268" s="182">
        <v>1200</v>
      </c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2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2"/>
      <c r="AH268" s="182"/>
      <c r="AI268" s="182"/>
      <c r="AJ268" s="182"/>
      <c r="AK268" s="182"/>
      <c r="AL268" s="182"/>
      <c r="AM268" s="182"/>
      <c r="AN268" s="182"/>
      <c r="AO268" s="182"/>
      <c r="AP268" s="182"/>
      <c r="AQ268" s="185">
        <v>1200</v>
      </c>
      <c r="AR268" s="182">
        <v>1072.3</v>
      </c>
      <c r="AS268" s="182">
        <v>127.7</v>
      </c>
      <c r="AT268" s="182"/>
      <c r="AU268" s="182"/>
      <c r="AV268" s="182"/>
      <c r="AW268" s="182"/>
      <c r="AX268" s="182"/>
      <c r="AY268" s="182"/>
      <c r="AZ268" s="182"/>
      <c r="BA268" s="182"/>
      <c r="BB268" s="182"/>
      <c r="BC268" s="182"/>
      <c r="BD268" s="182"/>
      <c r="BE268" s="182"/>
      <c r="BF268" s="182"/>
      <c r="BG268" s="182"/>
      <c r="BH268" s="182"/>
      <c r="BI268" s="182"/>
      <c r="BJ268" s="182"/>
      <c r="BK268" s="182"/>
      <c r="BL268" s="182"/>
      <c r="BM268" s="182"/>
      <c r="BN268" s="182"/>
      <c r="BO268" s="182"/>
      <c r="BP268" s="182"/>
      <c r="BQ268" s="182"/>
      <c r="BR268" s="182"/>
      <c r="BS268" s="182"/>
      <c r="BT268" s="182"/>
      <c r="BU268" s="182"/>
      <c r="BV268" s="182"/>
      <c r="BW268" s="182"/>
      <c r="BX268" s="182"/>
      <c r="BY268" s="182"/>
      <c r="BZ268" s="182"/>
      <c r="CA268" s="182"/>
      <c r="CB268" s="185">
        <v>1200</v>
      </c>
      <c r="CC268" s="185">
        <v>0</v>
      </c>
      <c r="CD268" s="185">
        <v>1625</v>
      </c>
      <c r="CE268" s="185"/>
    </row>
    <row r="269" spans="2:83" x14ac:dyDescent="0.3">
      <c r="B269" s="182">
        <v>2668</v>
      </c>
      <c r="C269" s="182">
        <v>1626</v>
      </c>
      <c r="D269" s="182" t="s">
        <v>78</v>
      </c>
      <c r="E269" s="181" t="s">
        <v>1859</v>
      </c>
      <c r="F269" s="182"/>
      <c r="G269" s="182">
        <v>1100</v>
      </c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2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2"/>
      <c r="AH269" s="182"/>
      <c r="AI269" s="182"/>
      <c r="AJ269" s="182"/>
      <c r="AK269" s="182"/>
      <c r="AL269" s="182"/>
      <c r="AM269" s="182"/>
      <c r="AN269" s="182"/>
      <c r="AO269" s="182"/>
      <c r="AP269" s="182"/>
      <c r="AQ269" s="185">
        <v>1100</v>
      </c>
      <c r="AR269" s="182">
        <v>983.2</v>
      </c>
      <c r="AS269" s="182">
        <v>116.8</v>
      </c>
      <c r="AT269" s="182"/>
      <c r="AU269" s="182"/>
      <c r="AV269" s="182"/>
      <c r="AW269" s="182"/>
      <c r="AX269" s="182"/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/>
      <c r="BI269" s="182"/>
      <c r="BJ269" s="182"/>
      <c r="BK269" s="182"/>
      <c r="BL269" s="182"/>
      <c r="BM269" s="182"/>
      <c r="BN269" s="182"/>
      <c r="BO269" s="182"/>
      <c r="BP269" s="182"/>
      <c r="BQ269" s="182"/>
      <c r="BR269" s="182"/>
      <c r="BS269" s="182"/>
      <c r="BT269" s="182"/>
      <c r="BU269" s="182"/>
      <c r="BV269" s="182"/>
      <c r="BW269" s="182"/>
      <c r="BX269" s="182"/>
      <c r="BY269" s="182"/>
      <c r="BZ269" s="182"/>
      <c r="CA269" s="182"/>
      <c r="CB269" s="185">
        <v>1100</v>
      </c>
      <c r="CC269" s="185">
        <v>0</v>
      </c>
      <c r="CD269" s="185">
        <v>1626</v>
      </c>
      <c r="CE269" s="185"/>
    </row>
    <row r="270" spans="2:83" x14ac:dyDescent="0.3">
      <c r="B270" s="182">
        <v>2292</v>
      </c>
      <c r="C270" s="182">
        <v>1627</v>
      </c>
      <c r="D270" s="182" t="s">
        <v>78</v>
      </c>
      <c r="E270" s="181" t="s">
        <v>4177</v>
      </c>
      <c r="F270" s="182"/>
      <c r="G270" s="182">
        <v>960</v>
      </c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2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/>
      <c r="AK270" s="182"/>
      <c r="AL270" s="182"/>
      <c r="AM270" s="182"/>
      <c r="AN270" s="182"/>
      <c r="AO270" s="182"/>
      <c r="AP270" s="182"/>
      <c r="AQ270" s="185">
        <v>960</v>
      </c>
      <c r="AR270" s="182">
        <v>857.6</v>
      </c>
      <c r="AS270" s="182">
        <v>102.4</v>
      </c>
      <c r="AT270" s="182"/>
      <c r="AU270" s="182"/>
      <c r="AV270" s="182"/>
      <c r="AW270" s="182"/>
      <c r="AX270" s="182"/>
      <c r="AY270" s="182"/>
      <c r="AZ270" s="182"/>
      <c r="BA270" s="182"/>
      <c r="BB270" s="182"/>
      <c r="BC270" s="182"/>
      <c r="BD270" s="182"/>
      <c r="BE270" s="182"/>
      <c r="BF270" s="182"/>
      <c r="BG270" s="182"/>
      <c r="BH270" s="182"/>
      <c r="BI270" s="182"/>
      <c r="BJ270" s="182"/>
      <c r="BK270" s="182"/>
      <c r="BL270" s="182"/>
      <c r="BM270" s="182"/>
      <c r="BN270" s="182"/>
      <c r="BO270" s="182"/>
      <c r="BP270" s="182"/>
      <c r="BQ270" s="182"/>
      <c r="BR270" s="182"/>
      <c r="BS270" s="182"/>
      <c r="BT270" s="182"/>
      <c r="BU270" s="182"/>
      <c r="BV270" s="182"/>
      <c r="BW270" s="182"/>
      <c r="BX270" s="182"/>
      <c r="BY270" s="182"/>
      <c r="BZ270" s="182"/>
      <c r="CA270" s="182"/>
      <c r="CB270" s="185">
        <v>960</v>
      </c>
      <c r="CC270" s="185">
        <v>0</v>
      </c>
      <c r="CD270" s="185">
        <v>1627</v>
      </c>
      <c r="CE270" s="185"/>
    </row>
    <row r="271" spans="2:83" x14ac:dyDescent="0.3">
      <c r="B271" s="182">
        <v>2667</v>
      </c>
      <c r="C271" s="182">
        <v>1628</v>
      </c>
      <c r="D271" s="182" t="s">
        <v>78</v>
      </c>
      <c r="E271" s="181" t="s">
        <v>570</v>
      </c>
      <c r="F271" s="182"/>
      <c r="G271" s="182">
        <v>13866.39</v>
      </c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2"/>
      <c r="AH271" s="182"/>
      <c r="AI271" s="182"/>
      <c r="AJ271" s="182"/>
      <c r="AK271" s="182"/>
      <c r="AL271" s="182"/>
      <c r="AM271" s="182"/>
      <c r="AN271" s="182"/>
      <c r="AO271" s="182"/>
      <c r="AP271" s="182"/>
      <c r="AQ271" s="185">
        <v>13866.39</v>
      </c>
      <c r="AR271" s="182">
        <v>12063.43</v>
      </c>
      <c r="AS271" s="182">
        <v>1473.2</v>
      </c>
      <c r="AT271" s="182">
        <v>329.76</v>
      </c>
      <c r="AU271" s="182"/>
      <c r="AV271" s="182"/>
      <c r="AW271" s="182"/>
      <c r="AX271" s="182"/>
      <c r="AY271" s="182"/>
      <c r="AZ271" s="182"/>
      <c r="BA271" s="182"/>
      <c r="BB271" s="182"/>
      <c r="BC271" s="182"/>
      <c r="BD271" s="182"/>
      <c r="BE271" s="182"/>
      <c r="BF271" s="182"/>
      <c r="BG271" s="182"/>
      <c r="BH271" s="182"/>
      <c r="BI271" s="182"/>
      <c r="BJ271" s="182"/>
      <c r="BK271" s="182"/>
      <c r="BL271" s="182"/>
      <c r="BM271" s="182"/>
      <c r="BN271" s="182"/>
      <c r="BO271" s="182"/>
      <c r="BP271" s="182"/>
      <c r="BQ271" s="182"/>
      <c r="BR271" s="182"/>
      <c r="BS271" s="182"/>
      <c r="BT271" s="182"/>
      <c r="BU271" s="182"/>
      <c r="BV271" s="182"/>
      <c r="BW271" s="182"/>
      <c r="BX271" s="182"/>
      <c r="BY271" s="182"/>
      <c r="BZ271" s="182"/>
      <c r="CA271" s="182"/>
      <c r="CB271" s="185">
        <v>13866.390000000001</v>
      </c>
      <c r="CC271" s="185">
        <v>0</v>
      </c>
      <c r="CD271" s="185">
        <v>1628</v>
      </c>
      <c r="CE271" s="185"/>
    </row>
    <row r="272" spans="2:83" x14ac:dyDescent="0.3">
      <c r="B272" s="182">
        <v>2280</v>
      </c>
      <c r="C272" s="182">
        <v>1629</v>
      </c>
      <c r="D272" s="182" t="s">
        <v>78</v>
      </c>
      <c r="E272" s="181" t="s">
        <v>1859</v>
      </c>
      <c r="F272" s="182"/>
      <c r="G272" s="182">
        <v>5500</v>
      </c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2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182"/>
      <c r="AI272" s="182"/>
      <c r="AJ272" s="182"/>
      <c r="AK272" s="182"/>
      <c r="AL272" s="182"/>
      <c r="AM272" s="182"/>
      <c r="AN272" s="182"/>
      <c r="AO272" s="182"/>
      <c r="AP272" s="182"/>
      <c r="AQ272" s="185">
        <v>5500</v>
      </c>
      <c r="AR272" s="182">
        <v>4909.45</v>
      </c>
      <c r="AS272" s="182">
        <v>590.54999999999995</v>
      </c>
      <c r="AT272" s="182"/>
      <c r="AU272" s="182"/>
      <c r="AV272" s="182"/>
      <c r="AW272" s="182"/>
      <c r="AX272" s="182"/>
      <c r="AY272" s="182"/>
      <c r="AZ272" s="182"/>
      <c r="BA272" s="182"/>
      <c r="BB272" s="182"/>
      <c r="BC272" s="182"/>
      <c r="BD272" s="182"/>
      <c r="BE272" s="182"/>
      <c r="BF272" s="182"/>
      <c r="BG272" s="182"/>
      <c r="BH272" s="182"/>
      <c r="BI272" s="182"/>
      <c r="BJ272" s="182"/>
      <c r="BK272" s="182"/>
      <c r="BL272" s="182"/>
      <c r="BM272" s="182"/>
      <c r="BN272" s="182"/>
      <c r="BO272" s="182"/>
      <c r="BP272" s="182"/>
      <c r="BQ272" s="182"/>
      <c r="BR272" s="182"/>
      <c r="BS272" s="182"/>
      <c r="BT272" s="182"/>
      <c r="BU272" s="182"/>
      <c r="BV272" s="182"/>
      <c r="BW272" s="182"/>
      <c r="BX272" s="182"/>
      <c r="BY272" s="182"/>
      <c r="BZ272" s="182"/>
      <c r="CA272" s="182"/>
      <c r="CB272" s="185">
        <v>5500</v>
      </c>
      <c r="CC272" s="185">
        <v>0</v>
      </c>
      <c r="CD272" s="185">
        <v>1629</v>
      </c>
      <c r="CE272" s="185"/>
    </row>
    <row r="273" spans="2:83" x14ac:dyDescent="0.3">
      <c r="B273" s="182">
        <v>2305</v>
      </c>
      <c r="C273" s="182">
        <v>1630</v>
      </c>
      <c r="D273" s="182" t="s">
        <v>78</v>
      </c>
      <c r="E273" s="181" t="s">
        <v>1863</v>
      </c>
      <c r="F273" s="182"/>
      <c r="G273" s="182">
        <v>3000</v>
      </c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2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182"/>
      <c r="AI273" s="182"/>
      <c r="AJ273" s="182"/>
      <c r="AK273" s="182"/>
      <c r="AL273" s="182"/>
      <c r="AM273" s="182"/>
      <c r="AN273" s="182"/>
      <c r="AO273" s="182"/>
      <c r="AP273" s="182"/>
      <c r="AQ273" s="185">
        <v>3000</v>
      </c>
      <c r="AR273" s="182">
        <v>2678.2</v>
      </c>
      <c r="AS273" s="182">
        <v>321.8</v>
      </c>
      <c r="AT273" s="182"/>
      <c r="AU273" s="182"/>
      <c r="AV273" s="182"/>
      <c r="AW273" s="182"/>
      <c r="AX273" s="182"/>
      <c r="AY273" s="182"/>
      <c r="AZ273" s="182"/>
      <c r="BA273" s="182"/>
      <c r="BB273" s="182"/>
      <c r="BC273" s="182"/>
      <c r="BD273" s="182"/>
      <c r="BE273" s="182"/>
      <c r="BF273" s="182"/>
      <c r="BG273" s="182"/>
      <c r="BH273" s="182"/>
      <c r="BI273" s="182"/>
      <c r="BJ273" s="182"/>
      <c r="BK273" s="182"/>
      <c r="BL273" s="182"/>
      <c r="BM273" s="182"/>
      <c r="BN273" s="182"/>
      <c r="BO273" s="182"/>
      <c r="BP273" s="182"/>
      <c r="BQ273" s="182"/>
      <c r="BR273" s="182"/>
      <c r="BS273" s="182"/>
      <c r="BT273" s="182"/>
      <c r="BU273" s="182"/>
      <c r="BV273" s="182"/>
      <c r="BW273" s="182"/>
      <c r="BX273" s="182"/>
      <c r="BY273" s="182"/>
      <c r="BZ273" s="182"/>
      <c r="CA273" s="182"/>
      <c r="CB273" s="185">
        <v>3000</v>
      </c>
      <c r="CC273" s="185">
        <v>0</v>
      </c>
      <c r="CD273" s="185">
        <v>1630</v>
      </c>
      <c r="CE273" s="185"/>
    </row>
    <row r="274" spans="2:83" x14ac:dyDescent="0.3">
      <c r="B274" s="182">
        <v>2306</v>
      </c>
      <c r="C274" s="182">
        <v>1631</v>
      </c>
      <c r="D274" s="182" t="s">
        <v>78</v>
      </c>
      <c r="E274" s="181" t="s">
        <v>1863</v>
      </c>
      <c r="F274" s="182"/>
      <c r="G274" s="182">
        <v>1758.75</v>
      </c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2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2"/>
      <c r="AH274" s="182"/>
      <c r="AI274" s="182"/>
      <c r="AJ274" s="182"/>
      <c r="AK274" s="182"/>
      <c r="AL274" s="182"/>
      <c r="AM274" s="182"/>
      <c r="AN274" s="182"/>
      <c r="AO274" s="182"/>
      <c r="AP274" s="182"/>
      <c r="AQ274" s="185">
        <v>1758.75</v>
      </c>
      <c r="AR274" s="182">
        <v>1175.3499999999999</v>
      </c>
      <c r="AS274" s="182">
        <v>159.65</v>
      </c>
      <c r="AT274" s="182">
        <v>423.75</v>
      </c>
      <c r="AU274" s="182"/>
      <c r="AV274" s="182"/>
      <c r="AW274" s="182"/>
      <c r="AX274" s="182"/>
      <c r="AY274" s="182"/>
      <c r="AZ274" s="182"/>
      <c r="BA274" s="182"/>
      <c r="BB274" s="182"/>
      <c r="BC274" s="182"/>
      <c r="BD274" s="182"/>
      <c r="BE274" s="182"/>
      <c r="BF274" s="182"/>
      <c r="BG274" s="182"/>
      <c r="BH274" s="182"/>
      <c r="BI274" s="182"/>
      <c r="BJ274" s="182"/>
      <c r="BK274" s="182"/>
      <c r="BL274" s="182"/>
      <c r="BM274" s="182"/>
      <c r="BN274" s="182"/>
      <c r="BO274" s="182"/>
      <c r="BP274" s="182"/>
      <c r="BQ274" s="182"/>
      <c r="BR274" s="182"/>
      <c r="BS274" s="182"/>
      <c r="BT274" s="182"/>
      <c r="BU274" s="182"/>
      <c r="BV274" s="182"/>
      <c r="BW274" s="182"/>
      <c r="BX274" s="182"/>
      <c r="BY274" s="182"/>
      <c r="BZ274" s="182"/>
      <c r="CA274" s="182"/>
      <c r="CB274" s="185">
        <v>1758.75</v>
      </c>
      <c r="CC274" s="185">
        <v>0</v>
      </c>
      <c r="CD274" s="185">
        <v>1631</v>
      </c>
      <c r="CE274" s="185"/>
    </row>
    <row r="275" spans="2:83" x14ac:dyDescent="0.3">
      <c r="B275" s="182">
        <v>2307</v>
      </c>
      <c r="C275" s="182">
        <v>1632</v>
      </c>
      <c r="D275" s="182" t="s">
        <v>78</v>
      </c>
      <c r="E275" s="181" t="s">
        <v>1863</v>
      </c>
      <c r="F275" s="182"/>
      <c r="G275" s="182">
        <v>1758.75</v>
      </c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182"/>
      <c r="AM275" s="182"/>
      <c r="AN275" s="182"/>
      <c r="AO275" s="182"/>
      <c r="AP275" s="182"/>
      <c r="AQ275" s="185">
        <v>1758.75</v>
      </c>
      <c r="AR275" s="182">
        <v>1175.3499999999999</v>
      </c>
      <c r="AS275" s="182">
        <v>159.65</v>
      </c>
      <c r="AT275" s="182">
        <v>423.75</v>
      </c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182"/>
      <c r="BK275" s="182"/>
      <c r="BL275" s="182"/>
      <c r="BM275" s="182"/>
      <c r="BN275" s="182"/>
      <c r="BO275" s="182"/>
      <c r="BP275" s="182"/>
      <c r="BQ275" s="182"/>
      <c r="BR275" s="182"/>
      <c r="BS275" s="182"/>
      <c r="BT275" s="182"/>
      <c r="BU275" s="182"/>
      <c r="BV275" s="182"/>
      <c r="BW275" s="182"/>
      <c r="BX275" s="182"/>
      <c r="BY275" s="182"/>
      <c r="BZ275" s="182"/>
      <c r="CA275" s="182"/>
      <c r="CB275" s="185">
        <v>1758.75</v>
      </c>
      <c r="CC275" s="185">
        <v>0</v>
      </c>
      <c r="CD275" s="185">
        <v>1632</v>
      </c>
      <c r="CE275" s="185"/>
    </row>
    <row r="276" spans="2:83" x14ac:dyDescent="0.3">
      <c r="B276" s="182">
        <v>2308</v>
      </c>
      <c r="C276" s="182">
        <v>1633</v>
      </c>
      <c r="D276" s="182" t="s">
        <v>78</v>
      </c>
      <c r="E276" s="181" t="s">
        <v>1863</v>
      </c>
      <c r="F276" s="182"/>
      <c r="G276" s="182">
        <v>8300</v>
      </c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  <c r="AK276" s="182"/>
      <c r="AL276" s="182"/>
      <c r="AM276" s="182"/>
      <c r="AN276" s="182"/>
      <c r="AO276" s="182"/>
      <c r="AP276" s="182"/>
      <c r="AQ276" s="185">
        <v>8300</v>
      </c>
      <c r="AR276" s="182">
        <v>7410.25</v>
      </c>
      <c r="AS276" s="182">
        <v>889.75</v>
      </c>
      <c r="AT276" s="182"/>
      <c r="AU276" s="182"/>
      <c r="AV276" s="182"/>
      <c r="AW276" s="182"/>
      <c r="AX276" s="182"/>
      <c r="AY276" s="182"/>
      <c r="AZ276" s="182"/>
      <c r="BA276" s="182"/>
      <c r="BB276" s="182"/>
      <c r="BC276" s="182"/>
      <c r="BD276" s="182"/>
      <c r="BE276" s="182"/>
      <c r="BF276" s="182"/>
      <c r="BG276" s="182"/>
      <c r="BH276" s="182"/>
      <c r="BI276" s="182"/>
      <c r="BJ276" s="182"/>
      <c r="BK276" s="182"/>
      <c r="BL276" s="182"/>
      <c r="BM276" s="182"/>
      <c r="BN276" s="182"/>
      <c r="BO276" s="182"/>
      <c r="BP276" s="182"/>
      <c r="BQ276" s="182"/>
      <c r="BR276" s="182"/>
      <c r="BS276" s="182"/>
      <c r="BT276" s="182"/>
      <c r="BU276" s="182"/>
      <c r="BV276" s="182"/>
      <c r="BW276" s="182"/>
      <c r="BX276" s="182"/>
      <c r="BY276" s="182"/>
      <c r="BZ276" s="182"/>
      <c r="CA276" s="182"/>
      <c r="CB276" s="185">
        <v>8300</v>
      </c>
      <c r="CC276" s="185">
        <v>0</v>
      </c>
      <c r="CD276" s="185">
        <v>1633</v>
      </c>
      <c r="CE276" s="185"/>
    </row>
    <row r="277" spans="2:83" x14ac:dyDescent="0.3">
      <c r="B277" s="182">
        <v>2309</v>
      </c>
      <c r="C277" s="182">
        <v>1634</v>
      </c>
      <c r="D277" s="182" t="s">
        <v>78</v>
      </c>
      <c r="E277" s="181" t="s">
        <v>1863</v>
      </c>
      <c r="F277" s="182"/>
      <c r="G277" s="182">
        <v>8090.25</v>
      </c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82"/>
      <c r="AA277" s="182"/>
      <c r="AB277" s="182"/>
      <c r="AC277" s="182"/>
      <c r="AD277" s="182"/>
      <c r="AE277" s="182"/>
      <c r="AF277" s="182"/>
      <c r="AG277" s="182"/>
      <c r="AH277" s="182"/>
      <c r="AI277" s="182"/>
      <c r="AJ277" s="182"/>
      <c r="AK277" s="182"/>
      <c r="AL277" s="182"/>
      <c r="AM277" s="182"/>
      <c r="AN277" s="182"/>
      <c r="AO277" s="182"/>
      <c r="AP277" s="182"/>
      <c r="AQ277" s="185">
        <v>8090.25</v>
      </c>
      <c r="AR277" s="182">
        <v>5408.1</v>
      </c>
      <c r="AS277" s="182">
        <v>732.9</v>
      </c>
      <c r="AT277" s="182">
        <v>1949.25</v>
      </c>
      <c r="AU277" s="182"/>
      <c r="AV277" s="182"/>
      <c r="AW277" s="182"/>
      <c r="AX277" s="182"/>
      <c r="AY277" s="182"/>
      <c r="AZ277" s="182"/>
      <c r="BA277" s="182"/>
      <c r="BB277" s="182"/>
      <c r="BC277" s="182"/>
      <c r="BD277" s="182"/>
      <c r="BE277" s="182"/>
      <c r="BF277" s="182"/>
      <c r="BG277" s="182"/>
      <c r="BH277" s="182"/>
      <c r="BI277" s="182"/>
      <c r="BJ277" s="182"/>
      <c r="BK277" s="182"/>
      <c r="BL277" s="182"/>
      <c r="BM277" s="182"/>
      <c r="BN277" s="182"/>
      <c r="BO277" s="182"/>
      <c r="BP277" s="182"/>
      <c r="BQ277" s="182"/>
      <c r="BR277" s="182"/>
      <c r="BS277" s="182"/>
      <c r="BT277" s="182"/>
      <c r="BU277" s="182"/>
      <c r="BV277" s="182"/>
      <c r="BW277" s="182"/>
      <c r="BX277" s="182"/>
      <c r="BY277" s="182"/>
      <c r="BZ277" s="182"/>
      <c r="CA277" s="182"/>
      <c r="CB277" s="185">
        <v>8090.25</v>
      </c>
      <c r="CC277" s="185">
        <v>0</v>
      </c>
      <c r="CD277" s="185">
        <v>1634</v>
      </c>
      <c r="CE277" s="185"/>
    </row>
    <row r="278" spans="2:83" x14ac:dyDescent="0.3">
      <c r="B278" s="182">
        <v>2361</v>
      </c>
      <c r="C278" s="182">
        <v>1635</v>
      </c>
      <c r="D278" s="182" t="s">
        <v>78</v>
      </c>
      <c r="E278" s="181" t="s">
        <v>1929</v>
      </c>
      <c r="F278" s="182"/>
      <c r="G278" s="182">
        <v>3112.99</v>
      </c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82"/>
      <c r="AA278" s="182"/>
      <c r="AB278" s="182"/>
      <c r="AC278" s="182"/>
      <c r="AD278" s="182"/>
      <c r="AE278" s="182"/>
      <c r="AF278" s="182"/>
      <c r="AG278" s="182"/>
      <c r="AH278" s="182"/>
      <c r="AI278" s="182"/>
      <c r="AJ278" s="182"/>
      <c r="AK278" s="182"/>
      <c r="AL278" s="182"/>
      <c r="AM278" s="182"/>
      <c r="AN278" s="182"/>
      <c r="AO278" s="182"/>
      <c r="AP278" s="182"/>
      <c r="AQ278" s="185">
        <v>3112.99</v>
      </c>
      <c r="AR278" s="182">
        <v>2080.85</v>
      </c>
      <c r="AS278" s="182">
        <v>282.10000000000002</v>
      </c>
      <c r="AT278" s="182">
        <v>750.04</v>
      </c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182"/>
      <c r="BK278" s="182"/>
      <c r="BL278" s="182"/>
      <c r="BM278" s="182"/>
      <c r="BN278" s="182"/>
      <c r="BO278" s="182"/>
      <c r="BP278" s="182"/>
      <c r="BQ278" s="182"/>
      <c r="BR278" s="182"/>
      <c r="BS278" s="182"/>
      <c r="BT278" s="182"/>
      <c r="BU278" s="182"/>
      <c r="BV278" s="182"/>
      <c r="BW278" s="182"/>
      <c r="BX278" s="182"/>
      <c r="BY278" s="182"/>
      <c r="BZ278" s="182"/>
      <c r="CA278" s="182"/>
      <c r="CB278" s="185">
        <v>3112.99</v>
      </c>
      <c r="CC278" s="185">
        <v>0</v>
      </c>
      <c r="CD278" s="185">
        <v>1635</v>
      </c>
      <c r="CE278" s="185"/>
    </row>
    <row r="279" spans="2:83" x14ac:dyDescent="0.3">
      <c r="B279" s="182">
        <v>2428</v>
      </c>
      <c r="C279" s="182">
        <v>1636</v>
      </c>
      <c r="D279" s="182" t="s">
        <v>78</v>
      </c>
      <c r="E279" s="181" t="s">
        <v>4178</v>
      </c>
      <c r="F279" s="182"/>
      <c r="G279" s="182">
        <v>30478.25</v>
      </c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2"/>
      <c r="X279" s="182"/>
      <c r="Y279" s="182"/>
      <c r="Z279" s="182"/>
      <c r="AA279" s="182"/>
      <c r="AB279" s="182"/>
      <c r="AC279" s="182"/>
      <c r="AD279" s="182"/>
      <c r="AE279" s="182"/>
      <c r="AF279" s="182"/>
      <c r="AG279" s="182"/>
      <c r="AH279" s="182"/>
      <c r="AI279" s="182"/>
      <c r="AJ279" s="182"/>
      <c r="AK279" s="182"/>
      <c r="AL279" s="182"/>
      <c r="AM279" s="182"/>
      <c r="AN279" s="182"/>
      <c r="AO279" s="182"/>
      <c r="AP279" s="182"/>
      <c r="AQ279" s="185">
        <v>30478.25</v>
      </c>
      <c r="AR279" s="182">
        <v>26419.07</v>
      </c>
      <c r="AS279" s="182">
        <v>3218.97</v>
      </c>
      <c r="AT279" s="182">
        <v>840.21</v>
      </c>
      <c r="AU279" s="182"/>
      <c r="AV279" s="182"/>
      <c r="AW279" s="182"/>
      <c r="AX279" s="182"/>
      <c r="AY279" s="182"/>
      <c r="AZ279" s="182"/>
      <c r="BA279" s="182"/>
      <c r="BB279" s="182"/>
      <c r="BC279" s="182"/>
      <c r="BD279" s="182"/>
      <c r="BE279" s="182"/>
      <c r="BF279" s="182"/>
      <c r="BG279" s="182"/>
      <c r="BH279" s="182"/>
      <c r="BI279" s="182"/>
      <c r="BJ279" s="182"/>
      <c r="BK279" s="182"/>
      <c r="BL279" s="182"/>
      <c r="BM279" s="182"/>
      <c r="BN279" s="182"/>
      <c r="BO279" s="182"/>
      <c r="BP279" s="182"/>
      <c r="BQ279" s="182"/>
      <c r="BR279" s="182"/>
      <c r="BS279" s="182"/>
      <c r="BT279" s="182"/>
      <c r="BU279" s="182"/>
      <c r="BV279" s="182"/>
      <c r="BW279" s="182"/>
      <c r="BX279" s="182"/>
      <c r="BY279" s="182"/>
      <c r="BZ279" s="182"/>
      <c r="CA279" s="182"/>
      <c r="CB279" s="185">
        <v>30478.25</v>
      </c>
      <c r="CC279" s="185">
        <v>0</v>
      </c>
      <c r="CD279" s="185">
        <v>1636</v>
      </c>
      <c r="CE279" s="185"/>
    </row>
    <row r="280" spans="2:83" x14ac:dyDescent="0.3">
      <c r="B280" s="182">
        <v>2429</v>
      </c>
      <c r="C280" s="182">
        <v>1637</v>
      </c>
      <c r="D280" s="182" t="s">
        <v>78</v>
      </c>
      <c r="E280" s="181" t="s">
        <v>4178</v>
      </c>
      <c r="F280" s="182"/>
      <c r="G280" s="182">
        <v>2866.26</v>
      </c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2"/>
      <c r="X280" s="182"/>
      <c r="Y280" s="182"/>
      <c r="Z280" s="182"/>
      <c r="AA280" s="182"/>
      <c r="AB280" s="182"/>
      <c r="AC280" s="182"/>
      <c r="AD280" s="182"/>
      <c r="AE280" s="182"/>
      <c r="AF280" s="182"/>
      <c r="AG280" s="182"/>
      <c r="AH280" s="182"/>
      <c r="AI280" s="182"/>
      <c r="AJ280" s="182"/>
      <c r="AK280" s="182"/>
      <c r="AL280" s="182"/>
      <c r="AM280" s="182"/>
      <c r="AN280" s="182"/>
      <c r="AO280" s="182"/>
      <c r="AP280" s="182"/>
      <c r="AQ280" s="185">
        <v>2866.26</v>
      </c>
      <c r="AR280" s="182">
        <v>2120.94</v>
      </c>
      <c r="AS280" s="182">
        <v>275.54000000000002</v>
      </c>
      <c r="AT280" s="182">
        <v>469.78</v>
      </c>
      <c r="AU280" s="182"/>
      <c r="AV280" s="182"/>
      <c r="AW280" s="182"/>
      <c r="AX280" s="182"/>
      <c r="AY280" s="182"/>
      <c r="AZ280" s="182"/>
      <c r="BA280" s="182"/>
      <c r="BB280" s="182"/>
      <c r="BC280" s="182"/>
      <c r="BD280" s="182"/>
      <c r="BE280" s="182"/>
      <c r="BF280" s="182"/>
      <c r="BG280" s="182"/>
      <c r="BH280" s="182"/>
      <c r="BI280" s="182"/>
      <c r="BJ280" s="182"/>
      <c r="BK280" s="182"/>
      <c r="BL280" s="182"/>
      <c r="BM280" s="182"/>
      <c r="BN280" s="182"/>
      <c r="BO280" s="182"/>
      <c r="BP280" s="182"/>
      <c r="BQ280" s="182"/>
      <c r="BR280" s="182"/>
      <c r="BS280" s="182"/>
      <c r="BT280" s="182"/>
      <c r="BU280" s="182"/>
      <c r="BV280" s="182"/>
      <c r="BW280" s="182"/>
      <c r="BX280" s="182"/>
      <c r="BY280" s="182"/>
      <c r="BZ280" s="182"/>
      <c r="CA280" s="182"/>
      <c r="CB280" s="185">
        <v>2866.26</v>
      </c>
      <c r="CC280" s="185">
        <v>0</v>
      </c>
      <c r="CD280" s="185">
        <v>1637</v>
      </c>
      <c r="CE280" s="185"/>
    </row>
    <row r="281" spans="2:83" x14ac:dyDescent="0.3">
      <c r="B281" s="182">
        <v>2287</v>
      </c>
      <c r="C281" s="182">
        <v>1638</v>
      </c>
      <c r="D281" s="182" t="s">
        <v>78</v>
      </c>
      <c r="E281" s="181" t="s">
        <v>1929</v>
      </c>
      <c r="F281" s="182"/>
      <c r="G281" s="182">
        <v>16020</v>
      </c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182"/>
      <c r="AM281" s="182"/>
      <c r="AN281" s="182"/>
      <c r="AO281" s="182"/>
      <c r="AP281" s="182"/>
      <c r="AQ281" s="185">
        <v>16020</v>
      </c>
      <c r="AR281" s="182">
        <v>14296.05</v>
      </c>
      <c r="AS281" s="182">
        <v>1723.95</v>
      </c>
      <c r="AT281" s="182"/>
      <c r="AU281" s="182"/>
      <c r="AV281" s="182"/>
      <c r="AW281" s="182"/>
      <c r="AX281" s="182"/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/>
      <c r="BI281" s="182"/>
      <c r="BJ281" s="182"/>
      <c r="BK281" s="182"/>
      <c r="BL281" s="182"/>
      <c r="BM281" s="182"/>
      <c r="BN281" s="182"/>
      <c r="BO281" s="182"/>
      <c r="BP281" s="182"/>
      <c r="BQ281" s="182"/>
      <c r="BR281" s="182"/>
      <c r="BS281" s="182"/>
      <c r="BT281" s="182"/>
      <c r="BU281" s="182"/>
      <c r="BV281" s="182"/>
      <c r="BW281" s="182"/>
      <c r="BX281" s="182"/>
      <c r="BY281" s="182"/>
      <c r="BZ281" s="182"/>
      <c r="CA281" s="182"/>
      <c r="CB281" s="185">
        <v>16020</v>
      </c>
      <c r="CC281" s="185">
        <v>0</v>
      </c>
      <c r="CD281" s="185">
        <v>1638</v>
      </c>
      <c r="CE281" s="185"/>
    </row>
    <row r="282" spans="2:83" x14ac:dyDescent="0.3">
      <c r="B282" s="182">
        <v>2282</v>
      </c>
      <c r="C282" s="182">
        <v>1639</v>
      </c>
      <c r="D282" s="182" t="s">
        <v>78</v>
      </c>
      <c r="E282" s="181" t="s">
        <v>1929</v>
      </c>
      <c r="F282" s="182"/>
      <c r="G282" s="182">
        <v>2321.56</v>
      </c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2"/>
      <c r="X282" s="182"/>
      <c r="Y282" s="182"/>
      <c r="Z282" s="182"/>
      <c r="AA282" s="182"/>
      <c r="AB282" s="182"/>
      <c r="AC282" s="182"/>
      <c r="AD282" s="182"/>
      <c r="AE282" s="182"/>
      <c r="AF282" s="182"/>
      <c r="AG282" s="182"/>
      <c r="AH282" s="182"/>
      <c r="AI282" s="182"/>
      <c r="AJ282" s="182"/>
      <c r="AK282" s="182"/>
      <c r="AL282" s="182"/>
      <c r="AM282" s="182"/>
      <c r="AN282" s="182"/>
      <c r="AO282" s="182"/>
      <c r="AP282" s="182"/>
      <c r="AQ282" s="185">
        <v>2321.56</v>
      </c>
      <c r="AR282" s="182">
        <v>1552.5</v>
      </c>
      <c r="AS282" s="182">
        <v>209.7</v>
      </c>
      <c r="AT282" s="182">
        <v>559.36</v>
      </c>
      <c r="AU282" s="182"/>
      <c r="AV282" s="182"/>
      <c r="AW282" s="182"/>
      <c r="AX282" s="182"/>
      <c r="AY282" s="182"/>
      <c r="AZ282" s="182"/>
      <c r="BA282" s="182"/>
      <c r="BB282" s="182"/>
      <c r="BC282" s="182"/>
      <c r="BD282" s="182"/>
      <c r="BE282" s="182"/>
      <c r="BF282" s="182"/>
      <c r="BG282" s="182"/>
      <c r="BH282" s="182"/>
      <c r="BI282" s="182"/>
      <c r="BJ282" s="182"/>
      <c r="BK282" s="182"/>
      <c r="BL282" s="182"/>
      <c r="BM282" s="182"/>
      <c r="BN282" s="182"/>
      <c r="BO282" s="182"/>
      <c r="BP282" s="182"/>
      <c r="BQ282" s="182"/>
      <c r="BR282" s="182"/>
      <c r="BS282" s="182"/>
      <c r="BT282" s="182"/>
      <c r="BU282" s="182"/>
      <c r="BV282" s="182"/>
      <c r="BW282" s="182"/>
      <c r="BX282" s="182"/>
      <c r="BY282" s="182"/>
      <c r="BZ282" s="182"/>
      <c r="CA282" s="182"/>
      <c r="CB282" s="185">
        <v>2321.56</v>
      </c>
      <c r="CC282" s="185">
        <v>0</v>
      </c>
      <c r="CD282" s="185">
        <v>1639</v>
      </c>
      <c r="CE282" s="185"/>
    </row>
    <row r="283" spans="2:83" x14ac:dyDescent="0.3">
      <c r="B283" s="182">
        <v>2281</v>
      </c>
      <c r="C283" s="182">
        <v>1640</v>
      </c>
      <c r="D283" s="182" t="s">
        <v>78</v>
      </c>
      <c r="E283" s="181" t="s">
        <v>1929</v>
      </c>
      <c r="F283" s="182"/>
      <c r="G283" s="182">
        <v>1741.17</v>
      </c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2"/>
      <c r="X283" s="182"/>
      <c r="Y283" s="182"/>
      <c r="Z283" s="182"/>
      <c r="AA283" s="182"/>
      <c r="AB283" s="182"/>
      <c r="AC283" s="182"/>
      <c r="AD283" s="182"/>
      <c r="AE283" s="182"/>
      <c r="AF283" s="182"/>
      <c r="AG283" s="182"/>
      <c r="AH283" s="182"/>
      <c r="AI283" s="182"/>
      <c r="AJ283" s="182"/>
      <c r="AK283" s="182"/>
      <c r="AL283" s="182"/>
      <c r="AM283" s="182"/>
      <c r="AN283" s="182"/>
      <c r="AO283" s="182"/>
      <c r="AP283" s="182"/>
      <c r="AQ283" s="185">
        <v>1741.17</v>
      </c>
      <c r="AR283" s="182">
        <v>1164.75</v>
      </c>
      <c r="AS283" s="182">
        <v>156.9</v>
      </c>
      <c r="AT283" s="182">
        <v>419.52</v>
      </c>
      <c r="AU283" s="182"/>
      <c r="AV283" s="182"/>
      <c r="AW283" s="182"/>
      <c r="AX283" s="182"/>
      <c r="AY283" s="182"/>
      <c r="AZ283" s="182"/>
      <c r="BA283" s="182"/>
      <c r="BB283" s="182"/>
      <c r="BC283" s="182"/>
      <c r="BD283" s="182"/>
      <c r="BE283" s="182"/>
      <c r="BF283" s="182"/>
      <c r="BG283" s="182"/>
      <c r="BH283" s="182"/>
      <c r="BI283" s="182"/>
      <c r="BJ283" s="182"/>
      <c r="BK283" s="182"/>
      <c r="BL283" s="182"/>
      <c r="BM283" s="182"/>
      <c r="BN283" s="182"/>
      <c r="BO283" s="182"/>
      <c r="BP283" s="182"/>
      <c r="BQ283" s="182"/>
      <c r="BR283" s="182"/>
      <c r="BS283" s="182"/>
      <c r="BT283" s="182"/>
      <c r="BU283" s="182"/>
      <c r="BV283" s="182"/>
      <c r="BW283" s="182"/>
      <c r="BX283" s="182"/>
      <c r="BY283" s="182"/>
      <c r="BZ283" s="182"/>
      <c r="CA283" s="182"/>
      <c r="CB283" s="185">
        <v>1741.17</v>
      </c>
      <c r="CC283" s="185">
        <v>0</v>
      </c>
      <c r="CD283" s="185">
        <v>1640</v>
      </c>
      <c r="CE283" s="185"/>
    </row>
    <row r="284" spans="2:83" x14ac:dyDescent="0.3">
      <c r="B284" s="182">
        <v>2317</v>
      </c>
      <c r="C284" s="182">
        <v>1641</v>
      </c>
      <c r="D284" s="182" t="s">
        <v>78</v>
      </c>
      <c r="E284" s="181" t="s">
        <v>4179</v>
      </c>
      <c r="F284" s="182"/>
      <c r="G284" s="182">
        <v>19982.7</v>
      </c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2"/>
      <c r="X284" s="182"/>
      <c r="Y284" s="182"/>
      <c r="Z284" s="182"/>
      <c r="AA284" s="182"/>
      <c r="AB284" s="182"/>
      <c r="AC284" s="182"/>
      <c r="AD284" s="182"/>
      <c r="AE284" s="182"/>
      <c r="AF284" s="182"/>
      <c r="AG284" s="182"/>
      <c r="AH284" s="182"/>
      <c r="AI284" s="182"/>
      <c r="AJ284" s="182"/>
      <c r="AK284" s="182"/>
      <c r="AL284" s="182"/>
      <c r="AM284" s="182"/>
      <c r="AN284" s="182"/>
      <c r="AO284" s="182"/>
      <c r="AP284" s="182"/>
      <c r="AQ284" s="185">
        <v>19982.7</v>
      </c>
      <c r="AR284" s="182">
        <v>17836.28</v>
      </c>
      <c r="AS284" s="182">
        <v>2146.42</v>
      </c>
      <c r="AT284" s="182"/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182"/>
      <c r="BK284" s="182"/>
      <c r="BL284" s="182"/>
      <c r="BM284" s="182"/>
      <c r="BN284" s="182"/>
      <c r="BO284" s="182"/>
      <c r="BP284" s="182"/>
      <c r="BQ284" s="182"/>
      <c r="BR284" s="182"/>
      <c r="BS284" s="182"/>
      <c r="BT284" s="182"/>
      <c r="BU284" s="182"/>
      <c r="BV284" s="182"/>
      <c r="BW284" s="182"/>
      <c r="BX284" s="182"/>
      <c r="BY284" s="182"/>
      <c r="BZ284" s="182"/>
      <c r="CA284" s="182"/>
      <c r="CB284" s="185">
        <v>19982.699999999997</v>
      </c>
      <c r="CC284" s="185">
        <v>0</v>
      </c>
      <c r="CD284" s="185">
        <v>1641</v>
      </c>
      <c r="CE284" s="185"/>
    </row>
    <row r="285" spans="2:83" x14ac:dyDescent="0.3">
      <c r="B285" s="182">
        <v>2316</v>
      </c>
      <c r="C285" s="182">
        <v>1642</v>
      </c>
      <c r="D285" s="182" t="s">
        <v>78</v>
      </c>
      <c r="E285" s="181" t="s">
        <v>4179</v>
      </c>
      <c r="F285" s="182"/>
      <c r="G285" s="182">
        <v>13800</v>
      </c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2"/>
      <c r="X285" s="182"/>
      <c r="Y285" s="182"/>
      <c r="Z285" s="182"/>
      <c r="AA285" s="182"/>
      <c r="AB285" s="182"/>
      <c r="AC285" s="182"/>
      <c r="AD285" s="182"/>
      <c r="AE285" s="182"/>
      <c r="AF285" s="182"/>
      <c r="AG285" s="182"/>
      <c r="AH285" s="182"/>
      <c r="AI285" s="182"/>
      <c r="AJ285" s="182"/>
      <c r="AK285" s="182"/>
      <c r="AL285" s="182"/>
      <c r="AM285" s="182"/>
      <c r="AN285" s="182"/>
      <c r="AO285" s="182"/>
      <c r="AP285" s="182"/>
      <c r="AQ285" s="185">
        <v>13800</v>
      </c>
      <c r="AR285" s="182">
        <v>12317.9</v>
      </c>
      <c r="AS285" s="182">
        <v>1482.1</v>
      </c>
      <c r="AT285" s="182"/>
      <c r="AU285" s="182"/>
      <c r="AV285" s="182"/>
      <c r="AW285" s="182"/>
      <c r="AX285" s="182"/>
      <c r="AY285" s="182"/>
      <c r="AZ285" s="182"/>
      <c r="BA285" s="182"/>
      <c r="BB285" s="182"/>
      <c r="BC285" s="182"/>
      <c r="BD285" s="182"/>
      <c r="BE285" s="182"/>
      <c r="BF285" s="182"/>
      <c r="BG285" s="182"/>
      <c r="BH285" s="182"/>
      <c r="BI285" s="182"/>
      <c r="BJ285" s="182"/>
      <c r="BK285" s="182"/>
      <c r="BL285" s="182"/>
      <c r="BM285" s="182"/>
      <c r="BN285" s="182"/>
      <c r="BO285" s="182"/>
      <c r="BP285" s="182"/>
      <c r="BQ285" s="182"/>
      <c r="BR285" s="182"/>
      <c r="BS285" s="182"/>
      <c r="BT285" s="182"/>
      <c r="BU285" s="182"/>
      <c r="BV285" s="182"/>
      <c r="BW285" s="182"/>
      <c r="BX285" s="182"/>
      <c r="BY285" s="182"/>
      <c r="BZ285" s="182"/>
      <c r="CA285" s="182"/>
      <c r="CB285" s="185">
        <v>13800</v>
      </c>
      <c r="CC285" s="185">
        <v>0</v>
      </c>
      <c r="CD285" s="185">
        <v>1642</v>
      </c>
      <c r="CE285" s="185"/>
    </row>
    <row r="286" spans="2:83" x14ac:dyDescent="0.3">
      <c r="B286" s="182">
        <v>2315</v>
      </c>
      <c r="C286" s="182">
        <v>1643</v>
      </c>
      <c r="D286" s="182" t="s">
        <v>78</v>
      </c>
      <c r="E286" s="181" t="s">
        <v>4180</v>
      </c>
      <c r="F286" s="182"/>
      <c r="G286" s="182">
        <v>6600</v>
      </c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2"/>
      <c r="X286" s="182"/>
      <c r="Y286" s="182"/>
      <c r="Z286" s="182"/>
      <c r="AA286" s="182"/>
      <c r="AB286" s="182"/>
      <c r="AC286" s="182"/>
      <c r="AD286" s="182"/>
      <c r="AE286" s="182"/>
      <c r="AF286" s="182"/>
      <c r="AG286" s="182"/>
      <c r="AH286" s="182"/>
      <c r="AI286" s="182"/>
      <c r="AJ286" s="182"/>
      <c r="AK286" s="182"/>
      <c r="AL286" s="182"/>
      <c r="AM286" s="182"/>
      <c r="AN286" s="182"/>
      <c r="AO286" s="182"/>
      <c r="AP286" s="182"/>
      <c r="AQ286" s="185">
        <v>6600</v>
      </c>
      <c r="AR286" s="182">
        <v>5893.25</v>
      </c>
      <c r="AS286" s="182">
        <v>706.75</v>
      </c>
      <c r="AT286" s="182"/>
      <c r="AU286" s="182"/>
      <c r="AV286" s="182"/>
      <c r="AW286" s="182"/>
      <c r="AX286" s="182"/>
      <c r="AY286" s="182"/>
      <c r="AZ286" s="182"/>
      <c r="BA286" s="182"/>
      <c r="BB286" s="182"/>
      <c r="BC286" s="182"/>
      <c r="BD286" s="182"/>
      <c r="BE286" s="182"/>
      <c r="BF286" s="182"/>
      <c r="BG286" s="182"/>
      <c r="BH286" s="182"/>
      <c r="BI286" s="182"/>
      <c r="BJ286" s="182"/>
      <c r="BK286" s="182"/>
      <c r="BL286" s="182"/>
      <c r="BM286" s="182"/>
      <c r="BN286" s="182"/>
      <c r="BO286" s="182"/>
      <c r="BP286" s="182"/>
      <c r="BQ286" s="182"/>
      <c r="BR286" s="182"/>
      <c r="BS286" s="182"/>
      <c r="BT286" s="182"/>
      <c r="BU286" s="182"/>
      <c r="BV286" s="182"/>
      <c r="BW286" s="182"/>
      <c r="BX286" s="182"/>
      <c r="BY286" s="182"/>
      <c r="BZ286" s="182"/>
      <c r="CA286" s="182"/>
      <c r="CB286" s="185">
        <v>6600</v>
      </c>
      <c r="CC286" s="185">
        <v>0</v>
      </c>
      <c r="CD286" s="185">
        <v>1643</v>
      </c>
      <c r="CE286" s="185"/>
    </row>
    <row r="287" spans="2:83" x14ac:dyDescent="0.3">
      <c r="B287" s="182">
        <v>2345</v>
      </c>
      <c r="C287" s="182">
        <v>1644</v>
      </c>
      <c r="D287" s="182" t="s">
        <v>78</v>
      </c>
      <c r="E287" s="181" t="s">
        <v>1929</v>
      </c>
      <c r="F287" s="182"/>
      <c r="G287" s="182">
        <v>2013.55</v>
      </c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2"/>
      <c r="X287" s="182"/>
      <c r="Y287" s="182"/>
      <c r="Z287" s="182"/>
      <c r="AA287" s="182"/>
      <c r="AB287" s="182"/>
      <c r="AC287" s="182"/>
      <c r="AD287" s="182"/>
      <c r="AE287" s="182"/>
      <c r="AF287" s="182"/>
      <c r="AG287" s="182"/>
      <c r="AH287" s="182"/>
      <c r="AI287" s="182"/>
      <c r="AJ287" s="182"/>
      <c r="AK287" s="182"/>
      <c r="AL287" s="182"/>
      <c r="AM287" s="182"/>
      <c r="AN287" s="182"/>
      <c r="AO287" s="182"/>
      <c r="AP287" s="182"/>
      <c r="AQ287" s="185">
        <v>2013.55</v>
      </c>
      <c r="AR287" s="182">
        <v>1608.96</v>
      </c>
      <c r="AS287" s="182">
        <v>202.25</v>
      </c>
      <c r="AT287" s="182">
        <v>202.34</v>
      </c>
      <c r="AU287" s="182"/>
      <c r="AV287" s="182"/>
      <c r="AW287" s="182"/>
      <c r="AX287" s="182"/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/>
      <c r="BJ287" s="182"/>
      <c r="BK287" s="182"/>
      <c r="BL287" s="182"/>
      <c r="BM287" s="182"/>
      <c r="BN287" s="182"/>
      <c r="BO287" s="182"/>
      <c r="BP287" s="182"/>
      <c r="BQ287" s="182"/>
      <c r="BR287" s="182"/>
      <c r="BS287" s="182"/>
      <c r="BT287" s="182"/>
      <c r="BU287" s="182"/>
      <c r="BV287" s="182"/>
      <c r="BW287" s="182"/>
      <c r="BX287" s="182"/>
      <c r="BY287" s="182"/>
      <c r="BZ287" s="182"/>
      <c r="CA287" s="182"/>
      <c r="CB287" s="185">
        <v>2013.55</v>
      </c>
      <c r="CC287" s="185">
        <v>0</v>
      </c>
      <c r="CD287" s="185">
        <v>1644</v>
      </c>
      <c r="CE287" s="185"/>
    </row>
    <row r="288" spans="2:83" x14ac:dyDescent="0.3">
      <c r="B288" s="182">
        <v>2657</v>
      </c>
      <c r="C288" s="182">
        <v>1645</v>
      </c>
      <c r="D288" s="182" t="s">
        <v>78</v>
      </c>
      <c r="E288" s="181" t="s">
        <v>1929</v>
      </c>
      <c r="F288" s="182"/>
      <c r="G288" s="182">
        <v>738.68</v>
      </c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2"/>
      <c r="X288" s="182"/>
      <c r="Y288" s="182"/>
      <c r="Z288" s="182"/>
      <c r="AA288" s="182"/>
      <c r="AB288" s="182"/>
      <c r="AC288" s="182"/>
      <c r="AD288" s="182"/>
      <c r="AE288" s="182"/>
      <c r="AF288" s="182"/>
      <c r="AG288" s="182"/>
      <c r="AH288" s="182"/>
      <c r="AI288" s="182"/>
      <c r="AJ288" s="182"/>
      <c r="AK288" s="182"/>
      <c r="AL288" s="182"/>
      <c r="AM288" s="182"/>
      <c r="AN288" s="182"/>
      <c r="AO288" s="182"/>
      <c r="AP288" s="182"/>
      <c r="AQ288" s="185">
        <v>738.68</v>
      </c>
      <c r="AR288" s="182">
        <v>494.1</v>
      </c>
      <c r="AS288" s="182">
        <v>66.599999999999994</v>
      </c>
      <c r="AT288" s="182">
        <v>177.98</v>
      </c>
      <c r="AU288" s="182"/>
      <c r="AV288" s="182"/>
      <c r="AW288" s="182"/>
      <c r="AX288" s="182"/>
      <c r="AY288" s="182"/>
      <c r="AZ288" s="182"/>
      <c r="BA288" s="182"/>
      <c r="BB288" s="182"/>
      <c r="BC288" s="182"/>
      <c r="BD288" s="182"/>
      <c r="BE288" s="182"/>
      <c r="BF288" s="182"/>
      <c r="BG288" s="182"/>
      <c r="BH288" s="182"/>
      <c r="BI288" s="182"/>
      <c r="BJ288" s="182"/>
      <c r="BK288" s="182"/>
      <c r="BL288" s="182"/>
      <c r="BM288" s="182"/>
      <c r="BN288" s="182"/>
      <c r="BO288" s="182"/>
      <c r="BP288" s="182"/>
      <c r="BQ288" s="182"/>
      <c r="BR288" s="182"/>
      <c r="BS288" s="182"/>
      <c r="BT288" s="182"/>
      <c r="BU288" s="182"/>
      <c r="BV288" s="182"/>
      <c r="BW288" s="182"/>
      <c r="BX288" s="182"/>
      <c r="BY288" s="182"/>
      <c r="BZ288" s="182"/>
      <c r="CA288" s="182"/>
      <c r="CB288" s="185">
        <v>738.68000000000006</v>
      </c>
      <c r="CC288" s="185">
        <v>0</v>
      </c>
      <c r="CD288" s="185">
        <v>1645</v>
      </c>
      <c r="CE288" s="185"/>
    </row>
    <row r="289" spans="2:83" x14ac:dyDescent="0.3">
      <c r="B289" s="182">
        <v>2656</v>
      </c>
      <c r="C289" s="182">
        <v>1646</v>
      </c>
      <c r="D289" s="182" t="s">
        <v>78</v>
      </c>
      <c r="E289" s="181" t="s">
        <v>1929</v>
      </c>
      <c r="F289" s="182"/>
      <c r="G289" s="182">
        <v>738.68</v>
      </c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2"/>
      <c r="X289" s="182"/>
      <c r="Y289" s="182"/>
      <c r="Z289" s="182"/>
      <c r="AA289" s="182"/>
      <c r="AB289" s="182"/>
      <c r="AC289" s="182"/>
      <c r="AD289" s="182"/>
      <c r="AE289" s="182"/>
      <c r="AF289" s="182"/>
      <c r="AG289" s="182"/>
      <c r="AH289" s="182"/>
      <c r="AI289" s="182"/>
      <c r="AJ289" s="182"/>
      <c r="AK289" s="182"/>
      <c r="AL289" s="182"/>
      <c r="AM289" s="182"/>
      <c r="AN289" s="182"/>
      <c r="AO289" s="182"/>
      <c r="AP289" s="182"/>
      <c r="AQ289" s="185">
        <v>738.68</v>
      </c>
      <c r="AR289" s="182">
        <v>494.1</v>
      </c>
      <c r="AS289" s="182">
        <v>66.599999999999994</v>
      </c>
      <c r="AT289" s="182">
        <v>177.98</v>
      </c>
      <c r="AU289" s="182"/>
      <c r="AV289" s="182"/>
      <c r="AW289" s="182"/>
      <c r="AX289" s="182"/>
      <c r="AY289" s="182"/>
      <c r="AZ289" s="182"/>
      <c r="BA289" s="182"/>
      <c r="BB289" s="182"/>
      <c r="BC289" s="182"/>
      <c r="BD289" s="182"/>
      <c r="BE289" s="182"/>
      <c r="BF289" s="182"/>
      <c r="BG289" s="182"/>
      <c r="BH289" s="182"/>
      <c r="BI289" s="182"/>
      <c r="BJ289" s="182"/>
      <c r="BK289" s="182"/>
      <c r="BL289" s="182"/>
      <c r="BM289" s="182"/>
      <c r="BN289" s="182"/>
      <c r="BO289" s="182"/>
      <c r="BP289" s="182"/>
      <c r="BQ289" s="182"/>
      <c r="BR289" s="182"/>
      <c r="BS289" s="182"/>
      <c r="BT289" s="182"/>
      <c r="BU289" s="182"/>
      <c r="BV289" s="182"/>
      <c r="BW289" s="182"/>
      <c r="BX289" s="182"/>
      <c r="BY289" s="182"/>
      <c r="BZ289" s="182"/>
      <c r="CA289" s="182"/>
      <c r="CB289" s="185">
        <v>738.68000000000006</v>
      </c>
      <c r="CC289" s="185">
        <v>0</v>
      </c>
      <c r="CD289" s="185">
        <v>1646</v>
      </c>
      <c r="CE289" s="185"/>
    </row>
    <row r="290" spans="2:83" x14ac:dyDescent="0.3">
      <c r="B290" s="182">
        <v>2655</v>
      </c>
      <c r="C290" s="182">
        <v>1647</v>
      </c>
      <c r="D290" s="182" t="s">
        <v>78</v>
      </c>
      <c r="E290" s="181" t="s">
        <v>1929</v>
      </c>
      <c r="F290" s="182"/>
      <c r="G290" s="182">
        <v>738.68</v>
      </c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2"/>
      <c r="X290" s="182"/>
      <c r="Y290" s="182"/>
      <c r="Z290" s="182"/>
      <c r="AA290" s="182"/>
      <c r="AB290" s="182"/>
      <c r="AC290" s="182"/>
      <c r="AD290" s="182"/>
      <c r="AE290" s="182"/>
      <c r="AF290" s="182"/>
      <c r="AG290" s="182"/>
      <c r="AH290" s="182"/>
      <c r="AI290" s="182"/>
      <c r="AJ290" s="182"/>
      <c r="AK290" s="182"/>
      <c r="AL290" s="182"/>
      <c r="AM290" s="182"/>
      <c r="AN290" s="182"/>
      <c r="AO290" s="182"/>
      <c r="AP290" s="182"/>
      <c r="AQ290" s="185">
        <v>738.68</v>
      </c>
      <c r="AR290" s="182">
        <v>494.1</v>
      </c>
      <c r="AS290" s="182">
        <v>66.599999999999994</v>
      </c>
      <c r="AT290" s="182">
        <v>177.98</v>
      </c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182"/>
      <c r="BK290" s="182"/>
      <c r="BL290" s="182"/>
      <c r="BM290" s="182"/>
      <c r="BN290" s="182"/>
      <c r="BO290" s="182"/>
      <c r="BP290" s="182"/>
      <c r="BQ290" s="182"/>
      <c r="BR290" s="182"/>
      <c r="BS290" s="182"/>
      <c r="BT290" s="182"/>
      <c r="BU290" s="182"/>
      <c r="BV290" s="182"/>
      <c r="BW290" s="182"/>
      <c r="BX290" s="182"/>
      <c r="BY290" s="182"/>
      <c r="BZ290" s="182"/>
      <c r="CA290" s="182"/>
      <c r="CB290" s="185">
        <v>738.68000000000006</v>
      </c>
      <c r="CC290" s="185">
        <v>0</v>
      </c>
      <c r="CD290" s="185">
        <v>1647</v>
      </c>
      <c r="CE290" s="185"/>
    </row>
    <row r="291" spans="2:83" x14ac:dyDescent="0.3">
      <c r="B291" s="182">
        <v>2654</v>
      </c>
      <c r="C291" s="182">
        <v>1648</v>
      </c>
      <c r="D291" s="182" t="s">
        <v>78</v>
      </c>
      <c r="E291" s="181" t="s">
        <v>1929</v>
      </c>
      <c r="F291" s="182"/>
      <c r="G291" s="182">
        <v>369.32</v>
      </c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2"/>
      <c r="X291" s="182"/>
      <c r="Y291" s="182"/>
      <c r="Z291" s="182"/>
      <c r="AA291" s="182"/>
      <c r="AB291" s="182"/>
      <c r="AC291" s="182"/>
      <c r="AD291" s="182"/>
      <c r="AE291" s="182"/>
      <c r="AF291" s="182"/>
      <c r="AG291" s="182"/>
      <c r="AH291" s="182"/>
      <c r="AI291" s="182"/>
      <c r="AJ291" s="182"/>
      <c r="AK291" s="182"/>
      <c r="AL291" s="182"/>
      <c r="AM291" s="182"/>
      <c r="AN291" s="182"/>
      <c r="AO291" s="182"/>
      <c r="AP291" s="182"/>
      <c r="AQ291" s="185">
        <v>369.32</v>
      </c>
      <c r="AR291" s="182">
        <v>248.22</v>
      </c>
      <c r="AS291" s="182">
        <v>32.1</v>
      </c>
      <c r="AT291" s="182">
        <v>89</v>
      </c>
      <c r="AU291" s="182"/>
      <c r="AV291" s="182"/>
      <c r="AW291" s="182"/>
      <c r="AX291" s="182"/>
      <c r="AY291" s="182"/>
      <c r="AZ291" s="182"/>
      <c r="BA291" s="182"/>
      <c r="BB291" s="182"/>
      <c r="BC291" s="182"/>
      <c r="BD291" s="182"/>
      <c r="BE291" s="182"/>
      <c r="BF291" s="182"/>
      <c r="BG291" s="182"/>
      <c r="BH291" s="182"/>
      <c r="BI291" s="182"/>
      <c r="BJ291" s="182"/>
      <c r="BK291" s="182"/>
      <c r="BL291" s="182"/>
      <c r="BM291" s="182"/>
      <c r="BN291" s="182"/>
      <c r="BO291" s="182"/>
      <c r="BP291" s="182"/>
      <c r="BQ291" s="182"/>
      <c r="BR291" s="182"/>
      <c r="BS291" s="182"/>
      <c r="BT291" s="182"/>
      <c r="BU291" s="182"/>
      <c r="BV291" s="182"/>
      <c r="BW291" s="182"/>
      <c r="BX291" s="182"/>
      <c r="BY291" s="182"/>
      <c r="BZ291" s="182"/>
      <c r="CA291" s="182"/>
      <c r="CB291" s="185">
        <v>369.32</v>
      </c>
      <c r="CC291" s="185">
        <v>0</v>
      </c>
      <c r="CD291" s="185">
        <v>1648</v>
      </c>
      <c r="CE291" s="185"/>
    </row>
    <row r="292" spans="2:83" x14ac:dyDescent="0.3">
      <c r="B292" s="182">
        <v>2653</v>
      </c>
      <c r="C292" s="182">
        <v>1649</v>
      </c>
      <c r="D292" s="182" t="s">
        <v>78</v>
      </c>
      <c r="E292" s="181" t="s">
        <v>1929</v>
      </c>
      <c r="F292" s="182"/>
      <c r="G292" s="182">
        <v>1055.25</v>
      </c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2"/>
      <c r="X292" s="182"/>
      <c r="Y292" s="182"/>
      <c r="Z292" s="182"/>
      <c r="AA292" s="182"/>
      <c r="AB292" s="182"/>
      <c r="AC292" s="182"/>
      <c r="AD292" s="182"/>
      <c r="AE292" s="182"/>
      <c r="AF292" s="182"/>
      <c r="AG292" s="182"/>
      <c r="AH292" s="182"/>
      <c r="AI292" s="182"/>
      <c r="AJ292" s="182"/>
      <c r="AK292" s="182"/>
      <c r="AL292" s="182"/>
      <c r="AM292" s="182"/>
      <c r="AN292" s="182"/>
      <c r="AO292" s="182"/>
      <c r="AP292" s="182"/>
      <c r="AQ292" s="185">
        <v>1055.25</v>
      </c>
      <c r="AR292" s="182">
        <v>706.7</v>
      </c>
      <c r="AS292" s="182">
        <v>94.3</v>
      </c>
      <c r="AT292" s="182">
        <v>254.25</v>
      </c>
      <c r="AU292" s="182"/>
      <c r="AV292" s="182"/>
      <c r="AW292" s="182"/>
      <c r="AX292" s="182"/>
      <c r="AY292" s="182"/>
      <c r="AZ292" s="182"/>
      <c r="BA292" s="182"/>
      <c r="BB292" s="182"/>
      <c r="BC292" s="182"/>
      <c r="BD292" s="182"/>
      <c r="BE292" s="182"/>
      <c r="BF292" s="182"/>
      <c r="BG292" s="182"/>
      <c r="BH292" s="182"/>
      <c r="BI292" s="182"/>
      <c r="BJ292" s="182"/>
      <c r="BK292" s="182"/>
      <c r="BL292" s="182"/>
      <c r="BM292" s="182"/>
      <c r="BN292" s="182"/>
      <c r="BO292" s="182"/>
      <c r="BP292" s="182"/>
      <c r="BQ292" s="182"/>
      <c r="BR292" s="182"/>
      <c r="BS292" s="182"/>
      <c r="BT292" s="182"/>
      <c r="BU292" s="182"/>
      <c r="BV292" s="182"/>
      <c r="BW292" s="182"/>
      <c r="BX292" s="182"/>
      <c r="BY292" s="182"/>
      <c r="BZ292" s="182"/>
      <c r="CA292" s="182"/>
      <c r="CB292" s="185">
        <v>1055.25</v>
      </c>
      <c r="CC292" s="185">
        <v>0</v>
      </c>
      <c r="CD292" s="185">
        <v>1649</v>
      </c>
      <c r="CE292" s="185"/>
    </row>
    <row r="293" spans="2:83" x14ac:dyDescent="0.3">
      <c r="B293" s="182">
        <v>3336</v>
      </c>
      <c r="C293" s="182">
        <v>1650</v>
      </c>
      <c r="D293" s="182" t="s">
        <v>78</v>
      </c>
      <c r="E293" s="181" t="s">
        <v>4181</v>
      </c>
      <c r="F293" s="182"/>
      <c r="G293" s="182">
        <v>6840</v>
      </c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2"/>
      <c r="X293" s="182"/>
      <c r="Y293" s="182"/>
      <c r="Z293" s="182"/>
      <c r="AA293" s="182"/>
      <c r="AB293" s="182"/>
      <c r="AC293" s="182"/>
      <c r="AD293" s="182"/>
      <c r="AE293" s="182"/>
      <c r="AF293" s="182"/>
      <c r="AG293" s="182"/>
      <c r="AH293" s="182"/>
      <c r="AI293" s="182"/>
      <c r="AJ293" s="182"/>
      <c r="AK293" s="182"/>
      <c r="AL293" s="182"/>
      <c r="AM293" s="182"/>
      <c r="AN293" s="182"/>
      <c r="AO293" s="182"/>
      <c r="AP293" s="182"/>
      <c r="AQ293" s="185">
        <v>6840</v>
      </c>
      <c r="AR293" s="182">
        <v>6105.4</v>
      </c>
      <c r="AS293" s="182">
        <v>734.6</v>
      </c>
      <c r="AT293" s="182"/>
      <c r="AU293" s="182"/>
      <c r="AV293" s="182"/>
      <c r="AW293" s="182"/>
      <c r="AX293" s="182"/>
      <c r="AY293" s="182"/>
      <c r="AZ293" s="182"/>
      <c r="BA293" s="182"/>
      <c r="BB293" s="182"/>
      <c r="BC293" s="182"/>
      <c r="BD293" s="182"/>
      <c r="BE293" s="182"/>
      <c r="BF293" s="182"/>
      <c r="BG293" s="182"/>
      <c r="BH293" s="182"/>
      <c r="BI293" s="182"/>
      <c r="BJ293" s="182"/>
      <c r="BK293" s="182"/>
      <c r="BL293" s="182"/>
      <c r="BM293" s="182"/>
      <c r="BN293" s="182"/>
      <c r="BO293" s="182"/>
      <c r="BP293" s="182"/>
      <c r="BQ293" s="182"/>
      <c r="BR293" s="182"/>
      <c r="BS293" s="182"/>
      <c r="BT293" s="182"/>
      <c r="BU293" s="182"/>
      <c r="BV293" s="182"/>
      <c r="BW293" s="182"/>
      <c r="BX293" s="182"/>
      <c r="BY293" s="182"/>
      <c r="BZ293" s="182"/>
      <c r="CA293" s="182"/>
      <c r="CB293" s="185">
        <v>6840</v>
      </c>
      <c r="CC293" s="185">
        <v>0</v>
      </c>
      <c r="CD293" s="185">
        <v>1650</v>
      </c>
      <c r="CE293" s="185"/>
    </row>
    <row r="294" spans="2:83" x14ac:dyDescent="0.3">
      <c r="B294" s="182">
        <v>3338</v>
      </c>
      <c r="C294" s="182">
        <v>1651</v>
      </c>
      <c r="D294" s="182" t="s">
        <v>78</v>
      </c>
      <c r="E294" s="181" t="s">
        <v>4182</v>
      </c>
      <c r="F294" s="182"/>
      <c r="G294" s="182">
        <v>3125</v>
      </c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2"/>
      <c r="X294" s="182"/>
      <c r="Y294" s="182"/>
      <c r="Z294" s="182"/>
      <c r="AA294" s="182"/>
      <c r="AB294" s="182"/>
      <c r="AC294" s="182"/>
      <c r="AD294" s="182"/>
      <c r="AE294" s="182"/>
      <c r="AF294" s="182"/>
      <c r="AG294" s="182"/>
      <c r="AH294" s="182"/>
      <c r="AI294" s="182"/>
      <c r="AJ294" s="182"/>
      <c r="AK294" s="182"/>
      <c r="AL294" s="182"/>
      <c r="AM294" s="182"/>
      <c r="AN294" s="182"/>
      <c r="AO294" s="182"/>
      <c r="AP294" s="182"/>
      <c r="AQ294" s="185">
        <v>3125</v>
      </c>
      <c r="AR294" s="182">
        <v>2789.4</v>
      </c>
      <c r="AS294" s="182">
        <v>335.6</v>
      </c>
      <c r="AT294" s="182"/>
      <c r="AU294" s="182"/>
      <c r="AV294" s="182"/>
      <c r="AW294" s="182"/>
      <c r="AX294" s="182"/>
      <c r="AY294" s="182"/>
      <c r="AZ294" s="182"/>
      <c r="BA294" s="182"/>
      <c r="BB294" s="182"/>
      <c r="BC294" s="182"/>
      <c r="BD294" s="182"/>
      <c r="BE294" s="182"/>
      <c r="BF294" s="182"/>
      <c r="BG294" s="182"/>
      <c r="BH294" s="182"/>
      <c r="BI294" s="182"/>
      <c r="BJ294" s="182"/>
      <c r="BK294" s="182"/>
      <c r="BL294" s="182"/>
      <c r="BM294" s="182"/>
      <c r="BN294" s="182"/>
      <c r="BO294" s="182"/>
      <c r="BP294" s="182"/>
      <c r="BQ294" s="182"/>
      <c r="BR294" s="182"/>
      <c r="BS294" s="182"/>
      <c r="BT294" s="182"/>
      <c r="BU294" s="182"/>
      <c r="BV294" s="182"/>
      <c r="BW294" s="182"/>
      <c r="BX294" s="182"/>
      <c r="BY294" s="182"/>
      <c r="BZ294" s="182"/>
      <c r="CA294" s="182"/>
      <c r="CB294" s="185">
        <v>3125</v>
      </c>
      <c r="CC294" s="185">
        <v>0</v>
      </c>
      <c r="CD294" s="185">
        <v>1651</v>
      </c>
      <c r="CE294" s="185"/>
    </row>
    <row r="295" spans="2:83" x14ac:dyDescent="0.3">
      <c r="B295" s="182">
        <v>3210</v>
      </c>
      <c r="C295" s="182">
        <v>1652</v>
      </c>
      <c r="D295" s="182" t="s">
        <v>78</v>
      </c>
      <c r="E295" s="181" t="s">
        <v>4183</v>
      </c>
      <c r="F295" s="182"/>
      <c r="G295" s="182">
        <v>636.32000000000005</v>
      </c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2"/>
      <c r="X295" s="182"/>
      <c r="Y295" s="182"/>
      <c r="Z295" s="182"/>
      <c r="AA295" s="182"/>
      <c r="AB295" s="182"/>
      <c r="AC295" s="182"/>
      <c r="AD295" s="182"/>
      <c r="AE295" s="182"/>
      <c r="AF295" s="182"/>
      <c r="AG295" s="182"/>
      <c r="AH295" s="182"/>
      <c r="AI295" s="182"/>
      <c r="AJ295" s="182"/>
      <c r="AK295" s="182"/>
      <c r="AL295" s="182"/>
      <c r="AM295" s="182"/>
      <c r="AN295" s="182"/>
      <c r="AO295" s="182"/>
      <c r="AP295" s="182"/>
      <c r="AQ295" s="185">
        <v>636.32000000000005</v>
      </c>
      <c r="AR295" s="182">
        <v>470.65</v>
      </c>
      <c r="AS295" s="182">
        <v>12.38</v>
      </c>
      <c r="AT295" s="182">
        <v>153.29</v>
      </c>
      <c r="AU295" s="182"/>
      <c r="AV295" s="182"/>
      <c r="AW295" s="182"/>
      <c r="AX295" s="182"/>
      <c r="AY295" s="182"/>
      <c r="AZ295" s="182"/>
      <c r="BA295" s="182"/>
      <c r="BB295" s="182"/>
      <c r="BC295" s="182"/>
      <c r="BD295" s="182"/>
      <c r="BE295" s="182"/>
      <c r="BF295" s="182"/>
      <c r="BG295" s="182"/>
      <c r="BH295" s="182"/>
      <c r="BI295" s="182"/>
      <c r="BJ295" s="182"/>
      <c r="BK295" s="182"/>
      <c r="BL295" s="182"/>
      <c r="BM295" s="182"/>
      <c r="BN295" s="182"/>
      <c r="BO295" s="182"/>
      <c r="BP295" s="182"/>
      <c r="BQ295" s="182"/>
      <c r="BR295" s="182"/>
      <c r="BS295" s="182"/>
      <c r="BT295" s="182"/>
      <c r="BU295" s="182"/>
      <c r="BV295" s="182"/>
      <c r="BW295" s="182"/>
      <c r="BX295" s="182"/>
      <c r="BY295" s="182"/>
      <c r="BZ295" s="182"/>
      <c r="CA295" s="182"/>
      <c r="CB295" s="185">
        <v>636.31999999999994</v>
      </c>
      <c r="CC295" s="185">
        <v>0</v>
      </c>
      <c r="CD295" s="185">
        <v>1652</v>
      </c>
      <c r="CE295" s="185"/>
    </row>
    <row r="296" spans="2:83" x14ac:dyDescent="0.3">
      <c r="B296" s="182">
        <v>3198</v>
      </c>
      <c r="C296" s="182">
        <v>1653</v>
      </c>
      <c r="D296" s="182" t="s">
        <v>78</v>
      </c>
      <c r="E296" s="181" t="s">
        <v>4184</v>
      </c>
      <c r="F296" s="182"/>
      <c r="G296" s="182">
        <v>74.52</v>
      </c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2"/>
      <c r="X296" s="182"/>
      <c r="Y296" s="182"/>
      <c r="Z296" s="182"/>
      <c r="AA296" s="182"/>
      <c r="AB296" s="182"/>
      <c r="AC296" s="182"/>
      <c r="AD296" s="182"/>
      <c r="AE296" s="182"/>
      <c r="AF296" s="182"/>
      <c r="AG296" s="182"/>
      <c r="AH296" s="182"/>
      <c r="AI296" s="182"/>
      <c r="AJ296" s="182"/>
      <c r="AK296" s="182"/>
      <c r="AL296" s="182"/>
      <c r="AM296" s="182"/>
      <c r="AN296" s="182"/>
      <c r="AO296" s="182"/>
      <c r="AP296" s="182"/>
      <c r="AQ296" s="185">
        <v>74.52</v>
      </c>
      <c r="AR296" s="182">
        <v>72.510000000000005</v>
      </c>
      <c r="AS296" s="182">
        <v>2.0099999999999998</v>
      </c>
      <c r="AT296" s="182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182"/>
      <c r="BK296" s="182"/>
      <c r="BL296" s="182"/>
      <c r="BM296" s="182"/>
      <c r="BN296" s="182"/>
      <c r="BO296" s="182"/>
      <c r="BP296" s="182"/>
      <c r="BQ296" s="182"/>
      <c r="BR296" s="182"/>
      <c r="BS296" s="182"/>
      <c r="BT296" s="182"/>
      <c r="BU296" s="182"/>
      <c r="BV296" s="182"/>
      <c r="BW296" s="182"/>
      <c r="BX296" s="182"/>
      <c r="BY296" s="182"/>
      <c r="BZ296" s="182"/>
      <c r="CA296" s="182"/>
      <c r="CB296" s="185">
        <v>74.52000000000001</v>
      </c>
      <c r="CC296" s="185">
        <v>0</v>
      </c>
      <c r="CD296" s="185">
        <v>1653</v>
      </c>
      <c r="CE296" s="185"/>
    </row>
    <row r="297" spans="2:83" x14ac:dyDescent="0.3">
      <c r="B297" s="182">
        <v>3465</v>
      </c>
      <c r="C297" s="182">
        <v>1654</v>
      </c>
      <c r="D297" s="182" t="s">
        <v>78</v>
      </c>
      <c r="E297" s="181" t="s">
        <v>3175</v>
      </c>
      <c r="F297" s="182"/>
      <c r="G297" s="182">
        <v>3303.49</v>
      </c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2"/>
      <c r="X297" s="182"/>
      <c r="Y297" s="182"/>
      <c r="Z297" s="182"/>
      <c r="AA297" s="182"/>
      <c r="AB297" s="182"/>
      <c r="AC297" s="182"/>
      <c r="AD297" s="182"/>
      <c r="AE297" s="182"/>
      <c r="AF297" s="182"/>
      <c r="AG297" s="182"/>
      <c r="AH297" s="182"/>
      <c r="AI297" s="182"/>
      <c r="AJ297" s="182"/>
      <c r="AK297" s="182"/>
      <c r="AL297" s="182"/>
      <c r="AM297" s="182"/>
      <c r="AN297" s="182"/>
      <c r="AO297" s="182"/>
      <c r="AP297" s="182"/>
      <c r="AQ297" s="185">
        <v>3303.49</v>
      </c>
      <c r="AR297" s="182">
        <v>2793.3</v>
      </c>
      <c r="AS297" s="182">
        <v>340.7</v>
      </c>
      <c r="AT297" s="182">
        <v>169.49</v>
      </c>
      <c r="AU297" s="182"/>
      <c r="AV297" s="182"/>
      <c r="AW297" s="182"/>
      <c r="AX297" s="182"/>
      <c r="AY297" s="182"/>
      <c r="AZ297" s="182"/>
      <c r="BA297" s="182"/>
      <c r="BB297" s="182"/>
      <c r="BC297" s="182"/>
      <c r="BD297" s="182"/>
      <c r="BE297" s="182"/>
      <c r="BF297" s="182"/>
      <c r="BG297" s="182"/>
      <c r="BH297" s="182"/>
      <c r="BI297" s="182"/>
      <c r="BJ297" s="182"/>
      <c r="BK297" s="182"/>
      <c r="BL297" s="182"/>
      <c r="BM297" s="182"/>
      <c r="BN297" s="182"/>
      <c r="BO297" s="182"/>
      <c r="BP297" s="182"/>
      <c r="BQ297" s="182"/>
      <c r="BR297" s="182"/>
      <c r="BS297" s="182"/>
      <c r="BT297" s="182"/>
      <c r="BU297" s="182"/>
      <c r="BV297" s="182"/>
      <c r="BW297" s="182"/>
      <c r="BX297" s="182"/>
      <c r="BY297" s="182"/>
      <c r="BZ297" s="182"/>
      <c r="CA297" s="182"/>
      <c r="CB297" s="185">
        <v>3303.49</v>
      </c>
      <c r="CC297" s="185">
        <v>0</v>
      </c>
      <c r="CD297" s="185">
        <v>1654</v>
      </c>
      <c r="CE297" s="185"/>
    </row>
    <row r="298" spans="2:83" x14ac:dyDescent="0.3">
      <c r="B298" s="182">
        <v>3466</v>
      </c>
      <c r="C298" s="182">
        <v>1655</v>
      </c>
      <c r="D298" s="182" t="s">
        <v>78</v>
      </c>
      <c r="E298" s="181" t="s">
        <v>3175</v>
      </c>
      <c r="F298" s="182"/>
      <c r="G298" s="182">
        <v>50</v>
      </c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2"/>
      <c r="X298" s="182"/>
      <c r="Y298" s="182"/>
      <c r="Z298" s="182"/>
      <c r="AA298" s="182"/>
      <c r="AB298" s="182"/>
      <c r="AC298" s="182"/>
      <c r="AD298" s="182"/>
      <c r="AE298" s="182"/>
      <c r="AF298" s="182"/>
      <c r="AG298" s="182"/>
      <c r="AH298" s="182"/>
      <c r="AI298" s="182"/>
      <c r="AJ298" s="182"/>
      <c r="AK298" s="182"/>
      <c r="AL298" s="182"/>
      <c r="AM298" s="182"/>
      <c r="AN298" s="182"/>
      <c r="AO298" s="182"/>
      <c r="AP298" s="182"/>
      <c r="AQ298" s="185">
        <v>50</v>
      </c>
      <c r="AR298" s="182">
        <v>45</v>
      </c>
      <c r="AS298" s="182">
        <v>5</v>
      </c>
      <c r="AT298" s="182"/>
      <c r="AU298" s="182"/>
      <c r="AV298" s="182"/>
      <c r="AW298" s="182"/>
      <c r="AX298" s="182"/>
      <c r="AY298" s="182"/>
      <c r="AZ298" s="182"/>
      <c r="BA298" s="182"/>
      <c r="BB298" s="182"/>
      <c r="BC298" s="182"/>
      <c r="BD298" s="182"/>
      <c r="BE298" s="182"/>
      <c r="BF298" s="182"/>
      <c r="BG298" s="182"/>
      <c r="BH298" s="182"/>
      <c r="BI298" s="182"/>
      <c r="BJ298" s="182"/>
      <c r="BK298" s="182"/>
      <c r="BL298" s="182"/>
      <c r="BM298" s="182"/>
      <c r="BN298" s="182"/>
      <c r="BO298" s="182"/>
      <c r="BP298" s="182"/>
      <c r="BQ298" s="182"/>
      <c r="BR298" s="182"/>
      <c r="BS298" s="182"/>
      <c r="BT298" s="182"/>
      <c r="BU298" s="182"/>
      <c r="BV298" s="182"/>
      <c r="BW298" s="182"/>
      <c r="BX298" s="182"/>
      <c r="BY298" s="182"/>
      <c r="BZ298" s="182"/>
      <c r="CA298" s="182"/>
      <c r="CB298" s="185">
        <v>50</v>
      </c>
      <c r="CC298" s="185">
        <v>0</v>
      </c>
      <c r="CD298" s="185">
        <v>1655</v>
      </c>
      <c r="CE298" s="185"/>
    </row>
    <row r="299" spans="2:83" x14ac:dyDescent="0.3">
      <c r="B299" s="182">
        <v>3467</v>
      </c>
      <c r="C299" s="182">
        <v>1656</v>
      </c>
      <c r="D299" s="182" t="s">
        <v>78</v>
      </c>
      <c r="E299" s="181" t="s">
        <v>3175</v>
      </c>
      <c r="F299" s="182"/>
      <c r="G299" s="182">
        <v>1017.25</v>
      </c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2"/>
      <c r="X299" s="182"/>
      <c r="Y299" s="182"/>
      <c r="Z299" s="182"/>
      <c r="AA299" s="182"/>
      <c r="AB299" s="182"/>
      <c r="AC299" s="182"/>
      <c r="AD299" s="182"/>
      <c r="AE299" s="182"/>
      <c r="AF299" s="182"/>
      <c r="AG299" s="182"/>
      <c r="AH299" s="182"/>
      <c r="AI299" s="182"/>
      <c r="AJ299" s="182"/>
      <c r="AK299" s="182"/>
      <c r="AL299" s="182"/>
      <c r="AM299" s="182"/>
      <c r="AN299" s="182"/>
      <c r="AO299" s="182"/>
      <c r="AP299" s="182"/>
      <c r="AQ299" s="185">
        <v>1017.25</v>
      </c>
      <c r="AR299" s="182">
        <v>883.25</v>
      </c>
      <c r="AS299" s="182">
        <v>105.75</v>
      </c>
      <c r="AT299" s="182">
        <v>28.25</v>
      </c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182"/>
      <c r="BK299" s="182"/>
      <c r="BL299" s="182"/>
      <c r="BM299" s="182"/>
      <c r="BN299" s="182"/>
      <c r="BO299" s="182"/>
      <c r="BP299" s="182"/>
      <c r="BQ299" s="182"/>
      <c r="BR299" s="182"/>
      <c r="BS299" s="182"/>
      <c r="BT299" s="182"/>
      <c r="BU299" s="182"/>
      <c r="BV299" s="182"/>
      <c r="BW299" s="182"/>
      <c r="BX299" s="182"/>
      <c r="BY299" s="182"/>
      <c r="BZ299" s="182"/>
      <c r="CA299" s="182"/>
      <c r="CB299" s="185">
        <v>1017.25</v>
      </c>
      <c r="CC299" s="185">
        <v>0</v>
      </c>
      <c r="CD299" s="185">
        <v>1656</v>
      </c>
      <c r="CE299" s="185"/>
    </row>
    <row r="300" spans="2:83" x14ac:dyDescent="0.3">
      <c r="B300" s="182">
        <v>3468</v>
      </c>
      <c r="C300" s="182">
        <v>1657</v>
      </c>
      <c r="D300" s="182" t="s">
        <v>78</v>
      </c>
      <c r="E300" s="181" t="s">
        <v>3175</v>
      </c>
      <c r="F300" s="182"/>
      <c r="G300" s="182">
        <v>13116.59</v>
      </c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2"/>
      <c r="X300" s="182"/>
      <c r="Y300" s="182"/>
      <c r="Z300" s="182"/>
      <c r="AA300" s="182"/>
      <c r="AB300" s="182"/>
      <c r="AC300" s="182"/>
      <c r="AD300" s="182"/>
      <c r="AE300" s="182"/>
      <c r="AF300" s="182"/>
      <c r="AG300" s="182"/>
      <c r="AH300" s="182"/>
      <c r="AI300" s="182"/>
      <c r="AJ300" s="182"/>
      <c r="AK300" s="182"/>
      <c r="AL300" s="182"/>
      <c r="AM300" s="182"/>
      <c r="AN300" s="182"/>
      <c r="AO300" s="182"/>
      <c r="AP300" s="182"/>
      <c r="AQ300" s="185">
        <v>13116.59</v>
      </c>
      <c r="AR300" s="182">
        <v>8760.84</v>
      </c>
      <c r="AS300" s="182">
        <v>1176.05</v>
      </c>
      <c r="AT300" s="182">
        <v>3179.7</v>
      </c>
      <c r="AU300" s="182"/>
      <c r="AV300" s="182"/>
      <c r="AW300" s="182"/>
      <c r="AX300" s="182"/>
      <c r="AY300" s="182"/>
      <c r="AZ300" s="182"/>
      <c r="BA300" s="182"/>
      <c r="BB300" s="182"/>
      <c r="BC300" s="182"/>
      <c r="BD300" s="182"/>
      <c r="BE300" s="182"/>
      <c r="BF300" s="182"/>
      <c r="BG300" s="182"/>
      <c r="BH300" s="182"/>
      <c r="BI300" s="182"/>
      <c r="BJ300" s="182"/>
      <c r="BK300" s="182"/>
      <c r="BL300" s="182"/>
      <c r="BM300" s="182"/>
      <c r="BN300" s="182"/>
      <c r="BO300" s="182"/>
      <c r="BP300" s="182"/>
      <c r="BQ300" s="182"/>
      <c r="BR300" s="182"/>
      <c r="BS300" s="182"/>
      <c r="BT300" s="182"/>
      <c r="BU300" s="182"/>
      <c r="BV300" s="182"/>
      <c r="BW300" s="182"/>
      <c r="BX300" s="182"/>
      <c r="BY300" s="182"/>
      <c r="BZ300" s="182"/>
      <c r="CA300" s="182"/>
      <c r="CB300" s="185">
        <v>13116.59</v>
      </c>
      <c r="CC300" s="185">
        <v>0</v>
      </c>
      <c r="CD300" s="185">
        <v>1657</v>
      </c>
      <c r="CE300" s="185"/>
    </row>
    <row r="301" spans="2:83" x14ac:dyDescent="0.3">
      <c r="B301" s="182">
        <v>3507</v>
      </c>
      <c r="C301" s="182">
        <v>1658</v>
      </c>
      <c r="D301" s="182" t="s">
        <v>78</v>
      </c>
      <c r="E301" s="181" t="s">
        <v>3175</v>
      </c>
      <c r="F301" s="182"/>
      <c r="G301" s="182">
        <v>1436.32</v>
      </c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2"/>
      <c r="X301" s="182"/>
      <c r="Y301" s="182"/>
      <c r="Z301" s="182"/>
      <c r="AA301" s="182"/>
      <c r="AB301" s="182"/>
      <c r="AC301" s="182"/>
      <c r="AD301" s="182"/>
      <c r="AE301" s="182"/>
      <c r="AF301" s="182"/>
      <c r="AG301" s="182"/>
      <c r="AH301" s="182"/>
      <c r="AI301" s="182"/>
      <c r="AJ301" s="182"/>
      <c r="AK301" s="182"/>
      <c r="AL301" s="182"/>
      <c r="AM301" s="182"/>
      <c r="AN301" s="182"/>
      <c r="AO301" s="182"/>
      <c r="AP301" s="182"/>
      <c r="AQ301" s="185">
        <v>1436.32</v>
      </c>
      <c r="AR301" s="182">
        <v>961.11</v>
      </c>
      <c r="AS301" s="182">
        <v>129.13999999999999</v>
      </c>
      <c r="AT301" s="182">
        <v>346.07</v>
      </c>
      <c r="AU301" s="182"/>
      <c r="AV301" s="182"/>
      <c r="AW301" s="182"/>
      <c r="AX301" s="182"/>
      <c r="AY301" s="182"/>
      <c r="AZ301" s="182"/>
      <c r="BA301" s="182"/>
      <c r="BB301" s="182"/>
      <c r="BC301" s="182"/>
      <c r="BD301" s="182"/>
      <c r="BE301" s="182"/>
      <c r="BF301" s="182"/>
      <c r="BG301" s="182"/>
      <c r="BH301" s="182"/>
      <c r="BI301" s="182"/>
      <c r="BJ301" s="182"/>
      <c r="BK301" s="182"/>
      <c r="BL301" s="182"/>
      <c r="BM301" s="182"/>
      <c r="BN301" s="182"/>
      <c r="BO301" s="182"/>
      <c r="BP301" s="182"/>
      <c r="BQ301" s="182"/>
      <c r="BR301" s="182"/>
      <c r="BS301" s="182"/>
      <c r="BT301" s="182"/>
      <c r="BU301" s="182"/>
      <c r="BV301" s="182"/>
      <c r="BW301" s="182"/>
      <c r="BX301" s="182"/>
      <c r="BY301" s="182"/>
      <c r="BZ301" s="182"/>
      <c r="CA301" s="182"/>
      <c r="CB301" s="185">
        <v>1436.32</v>
      </c>
      <c r="CC301" s="185">
        <v>0</v>
      </c>
      <c r="CD301" s="185">
        <v>1658</v>
      </c>
      <c r="CE301" s="185"/>
    </row>
    <row r="302" spans="2:83" x14ac:dyDescent="0.3">
      <c r="B302" s="182">
        <v>2325</v>
      </c>
      <c r="C302" s="182">
        <v>1659</v>
      </c>
      <c r="D302" s="182" t="s">
        <v>78</v>
      </c>
      <c r="E302" s="181" t="s">
        <v>1929</v>
      </c>
      <c r="F302" s="182"/>
      <c r="G302" s="182">
        <v>1741.17</v>
      </c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2"/>
      <c r="X302" s="182"/>
      <c r="Y302" s="182"/>
      <c r="Z302" s="182"/>
      <c r="AA302" s="182"/>
      <c r="AB302" s="182"/>
      <c r="AC302" s="182"/>
      <c r="AD302" s="182"/>
      <c r="AE302" s="182"/>
      <c r="AF302" s="182"/>
      <c r="AG302" s="182"/>
      <c r="AH302" s="182"/>
      <c r="AI302" s="182"/>
      <c r="AJ302" s="182"/>
      <c r="AK302" s="182"/>
      <c r="AL302" s="182"/>
      <c r="AM302" s="182"/>
      <c r="AN302" s="182"/>
      <c r="AO302" s="182"/>
      <c r="AP302" s="182"/>
      <c r="AQ302" s="185">
        <v>1741.17</v>
      </c>
      <c r="AR302" s="182">
        <v>1164.75</v>
      </c>
      <c r="AS302" s="182">
        <v>156.9</v>
      </c>
      <c r="AT302" s="182">
        <v>419.52</v>
      </c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182"/>
      <c r="BK302" s="182"/>
      <c r="BL302" s="182"/>
      <c r="BM302" s="182"/>
      <c r="BN302" s="182"/>
      <c r="BO302" s="182"/>
      <c r="BP302" s="182"/>
      <c r="BQ302" s="182"/>
      <c r="BR302" s="182"/>
      <c r="BS302" s="182"/>
      <c r="BT302" s="182"/>
      <c r="BU302" s="182"/>
      <c r="BV302" s="182"/>
      <c r="BW302" s="182"/>
      <c r="BX302" s="182"/>
      <c r="BY302" s="182"/>
      <c r="BZ302" s="182"/>
      <c r="CA302" s="182"/>
      <c r="CB302" s="185">
        <v>1741.17</v>
      </c>
      <c r="CC302" s="185">
        <v>0</v>
      </c>
      <c r="CD302" s="185">
        <v>1659</v>
      </c>
      <c r="CE302" s="185"/>
    </row>
    <row r="303" spans="2:83" x14ac:dyDescent="0.3">
      <c r="B303" s="182">
        <v>2324</v>
      </c>
      <c r="C303" s="182">
        <v>1660</v>
      </c>
      <c r="D303" s="182" t="s">
        <v>78</v>
      </c>
      <c r="E303" s="181" t="s">
        <v>1929</v>
      </c>
      <c r="F303" s="182"/>
      <c r="G303" s="182">
        <v>1890</v>
      </c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2"/>
      <c r="X303" s="182"/>
      <c r="Y303" s="182"/>
      <c r="Z303" s="182"/>
      <c r="AA303" s="182"/>
      <c r="AB303" s="182"/>
      <c r="AC303" s="182"/>
      <c r="AD303" s="182"/>
      <c r="AE303" s="182"/>
      <c r="AF303" s="182"/>
      <c r="AG303" s="182"/>
      <c r="AH303" s="182"/>
      <c r="AI303" s="182"/>
      <c r="AJ303" s="182"/>
      <c r="AK303" s="182"/>
      <c r="AL303" s="182"/>
      <c r="AM303" s="182"/>
      <c r="AN303" s="182"/>
      <c r="AO303" s="182"/>
      <c r="AP303" s="182"/>
      <c r="AQ303" s="185">
        <v>1890</v>
      </c>
      <c r="AR303" s="182">
        <v>1687.2</v>
      </c>
      <c r="AS303" s="182">
        <v>202.8</v>
      </c>
      <c r="AT303" s="182"/>
      <c r="AU303" s="182"/>
      <c r="AV303" s="182"/>
      <c r="AW303" s="182"/>
      <c r="AX303" s="182"/>
      <c r="AY303" s="182"/>
      <c r="AZ303" s="182"/>
      <c r="BA303" s="182"/>
      <c r="BB303" s="182"/>
      <c r="BC303" s="182"/>
      <c r="BD303" s="182"/>
      <c r="BE303" s="182"/>
      <c r="BF303" s="182"/>
      <c r="BG303" s="182"/>
      <c r="BH303" s="182"/>
      <c r="BI303" s="182"/>
      <c r="BJ303" s="182"/>
      <c r="BK303" s="182"/>
      <c r="BL303" s="182"/>
      <c r="BM303" s="182"/>
      <c r="BN303" s="182"/>
      <c r="BO303" s="182"/>
      <c r="BP303" s="182"/>
      <c r="BQ303" s="182"/>
      <c r="BR303" s="182"/>
      <c r="BS303" s="182"/>
      <c r="BT303" s="182"/>
      <c r="BU303" s="182"/>
      <c r="BV303" s="182"/>
      <c r="BW303" s="182"/>
      <c r="BX303" s="182"/>
      <c r="BY303" s="182"/>
      <c r="BZ303" s="182"/>
      <c r="CA303" s="182"/>
      <c r="CB303" s="185">
        <v>1890</v>
      </c>
      <c r="CC303" s="185">
        <v>0</v>
      </c>
      <c r="CD303" s="185">
        <v>1660</v>
      </c>
      <c r="CE303" s="185"/>
    </row>
    <row r="304" spans="2:83" x14ac:dyDescent="0.3">
      <c r="B304" s="182">
        <v>2323</v>
      </c>
      <c r="C304" s="182">
        <v>1661</v>
      </c>
      <c r="D304" s="182" t="s">
        <v>78</v>
      </c>
      <c r="E304" s="181" t="s">
        <v>1929</v>
      </c>
      <c r="F304" s="182"/>
      <c r="G304" s="182">
        <v>16020</v>
      </c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2"/>
      <c r="X304" s="182"/>
      <c r="Y304" s="182"/>
      <c r="Z304" s="182"/>
      <c r="AA304" s="182"/>
      <c r="AB304" s="182"/>
      <c r="AC304" s="182"/>
      <c r="AD304" s="182"/>
      <c r="AE304" s="182"/>
      <c r="AF304" s="182"/>
      <c r="AG304" s="182"/>
      <c r="AH304" s="182"/>
      <c r="AI304" s="182"/>
      <c r="AJ304" s="182"/>
      <c r="AK304" s="182"/>
      <c r="AL304" s="182"/>
      <c r="AM304" s="182"/>
      <c r="AN304" s="182"/>
      <c r="AO304" s="182"/>
      <c r="AP304" s="182"/>
      <c r="AQ304" s="185">
        <v>16020</v>
      </c>
      <c r="AR304" s="182">
        <v>14296.05</v>
      </c>
      <c r="AS304" s="182">
        <v>1723.95</v>
      </c>
      <c r="AT304" s="182"/>
      <c r="AU304" s="182"/>
      <c r="AV304" s="182"/>
      <c r="AW304" s="182"/>
      <c r="AX304" s="182"/>
      <c r="AY304" s="182"/>
      <c r="AZ304" s="182"/>
      <c r="BA304" s="182"/>
      <c r="BB304" s="182"/>
      <c r="BC304" s="182"/>
      <c r="BD304" s="182"/>
      <c r="BE304" s="182"/>
      <c r="BF304" s="182"/>
      <c r="BG304" s="182"/>
      <c r="BH304" s="182"/>
      <c r="BI304" s="182"/>
      <c r="BJ304" s="182"/>
      <c r="BK304" s="182"/>
      <c r="BL304" s="182"/>
      <c r="BM304" s="182"/>
      <c r="BN304" s="182"/>
      <c r="BO304" s="182"/>
      <c r="BP304" s="182"/>
      <c r="BQ304" s="182"/>
      <c r="BR304" s="182"/>
      <c r="BS304" s="182"/>
      <c r="BT304" s="182"/>
      <c r="BU304" s="182"/>
      <c r="BV304" s="182"/>
      <c r="BW304" s="182"/>
      <c r="BX304" s="182"/>
      <c r="BY304" s="182"/>
      <c r="BZ304" s="182"/>
      <c r="CA304" s="182"/>
      <c r="CB304" s="185">
        <v>16020</v>
      </c>
      <c r="CC304" s="185">
        <v>0</v>
      </c>
      <c r="CD304" s="185">
        <v>1661</v>
      </c>
      <c r="CE304" s="185"/>
    </row>
    <row r="305" spans="2:83" x14ac:dyDescent="0.3">
      <c r="B305" s="182">
        <v>2326</v>
      </c>
      <c r="C305" s="182">
        <v>1662</v>
      </c>
      <c r="D305" s="182" t="s">
        <v>78</v>
      </c>
      <c r="E305" s="181" t="s">
        <v>1929</v>
      </c>
      <c r="F305" s="182"/>
      <c r="G305" s="182">
        <v>3112.99</v>
      </c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2"/>
      <c r="X305" s="182"/>
      <c r="Y305" s="182"/>
      <c r="Z305" s="182"/>
      <c r="AA305" s="182"/>
      <c r="AB305" s="182"/>
      <c r="AC305" s="182"/>
      <c r="AD305" s="182"/>
      <c r="AE305" s="182"/>
      <c r="AF305" s="182"/>
      <c r="AG305" s="182"/>
      <c r="AH305" s="182"/>
      <c r="AI305" s="182"/>
      <c r="AJ305" s="182"/>
      <c r="AK305" s="182"/>
      <c r="AL305" s="182"/>
      <c r="AM305" s="182"/>
      <c r="AN305" s="182"/>
      <c r="AO305" s="182"/>
      <c r="AP305" s="182"/>
      <c r="AQ305" s="185">
        <v>3112.99</v>
      </c>
      <c r="AR305" s="182">
        <v>2078.6999999999998</v>
      </c>
      <c r="AS305" s="182">
        <v>284.25</v>
      </c>
      <c r="AT305" s="182">
        <v>750.04</v>
      </c>
      <c r="AU305" s="182"/>
      <c r="AV305" s="182"/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/>
      <c r="BI305" s="182"/>
      <c r="BJ305" s="182"/>
      <c r="BK305" s="182"/>
      <c r="BL305" s="182"/>
      <c r="BM305" s="182"/>
      <c r="BN305" s="182"/>
      <c r="BO305" s="182"/>
      <c r="BP305" s="182"/>
      <c r="BQ305" s="182"/>
      <c r="BR305" s="182"/>
      <c r="BS305" s="182"/>
      <c r="BT305" s="182"/>
      <c r="BU305" s="182"/>
      <c r="BV305" s="182"/>
      <c r="BW305" s="182"/>
      <c r="BX305" s="182"/>
      <c r="BY305" s="182"/>
      <c r="BZ305" s="182"/>
      <c r="CA305" s="182"/>
      <c r="CB305" s="185">
        <v>3112.99</v>
      </c>
      <c r="CC305" s="185">
        <v>0</v>
      </c>
      <c r="CD305" s="185">
        <v>1662</v>
      </c>
      <c r="CE305" s="185"/>
    </row>
    <row r="306" spans="2:83" x14ac:dyDescent="0.3">
      <c r="B306" s="182">
        <v>2335</v>
      </c>
      <c r="C306" s="182">
        <v>1663</v>
      </c>
      <c r="D306" s="182" t="s">
        <v>78</v>
      </c>
      <c r="E306" s="181" t="s">
        <v>1004</v>
      </c>
      <c r="F306" s="182"/>
      <c r="G306" s="182">
        <v>7994.31</v>
      </c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2"/>
      <c r="X306" s="182"/>
      <c r="Y306" s="182"/>
      <c r="Z306" s="182"/>
      <c r="AA306" s="182"/>
      <c r="AB306" s="182"/>
      <c r="AC306" s="182"/>
      <c r="AD306" s="182"/>
      <c r="AE306" s="182"/>
      <c r="AF306" s="182"/>
      <c r="AG306" s="182"/>
      <c r="AH306" s="182"/>
      <c r="AI306" s="182"/>
      <c r="AJ306" s="182"/>
      <c r="AK306" s="182"/>
      <c r="AL306" s="182"/>
      <c r="AM306" s="182"/>
      <c r="AN306" s="182"/>
      <c r="AO306" s="182"/>
      <c r="AP306" s="182"/>
      <c r="AQ306" s="185">
        <v>7994.31</v>
      </c>
      <c r="AR306" s="182">
        <v>5924.03</v>
      </c>
      <c r="AS306" s="182">
        <v>769.45</v>
      </c>
      <c r="AT306" s="182">
        <v>1300.83</v>
      </c>
      <c r="AU306" s="182"/>
      <c r="AV306" s="182"/>
      <c r="AW306" s="182"/>
      <c r="AX306" s="182"/>
      <c r="AY306" s="182"/>
      <c r="AZ306" s="182"/>
      <c r="BA306" s="182"/>
      <c r="BB306" s="182"/>
      <c r="BC306" s="182"/>
      <c r="BD306" s="182"/>
      <c r="BE306" s="182"/>
      <c r="BF306" s="182"/>
      <c r="BG306" s="182"/>
      <c r="BH306" s="182"/>
      <c r="BI306" s="182"/>
      <c r="BJ306" s="182"/>
      <c r="BK306" s="182"/>
      <c r="BL306" s="182"/>
      <c r="BM306" s="182"/>
      <c r="BN306" s="182"/>
      <c r="BO306" s="182"/>
      <c r="BP306" s="182"/>
      <c r="BQ306" s="182"/>
      <c r="BR306" s="182"/>
      <c r="BS306" s="182"/>
      <c r="BT306" s="182"/>
      <c r="BU306" s="182"/>
      <c r="BV306" s="182"/>
      <c r="BW306" s="182"/>
      <c r="BX306" s="182"/>
      <c r="BY306" s="182"/>
      <c r="BZ306" s="182"/>
      <c r="CA306" s="182"/>
      <c r="CB306" s="185">
        <v>7994.3099999999995</v>
      </c>
      <c r="CC306" s="185">
        <v>0</v>
      </c>
      <c r="CD306" s="185">
        <v>1663</v>
      </c>
      <c r="CE306" s="185"/>
    </row>
    <row r="307" spans="2:83" x14ac:dyDescent="0.3">
      <c r="B307" s="182">
        <v>2334</v>
      </c>
      <c r="C307" s="182">
        <v>1664</v>
      </c>
      <c r="D307" s="182" t="s">
        <v>78</v>
      </c>
      <c r="E307" s="181" t="s">
        <v>1004</v>
      </c>
      <c r="F307" s="182"/>
      <c r="G307" s="182">
        <v>2117.9</v>
      </c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82"/>
      <c r="AA307" s="182"/>
      <c r="AB307" s="182"/>
      <c r="AC307" s="182"/>
      <c r="AD307" s="182"/>
      <c r="AE307" s="182"/>
      <c r="AF307" s="182"/>
      <c r="AG307" s="182"/>
      <c r="AH307" s="182"/>
      <c r="AI307" s="182"/>
      <c r="AJ307" s="182"/>
      <c r="AK307" s="182"/>
      <c r="AL307" s="182"/>
      <c r="AM307" s="182"/>
      <c r="AN307" s="182"/>
      <c r="AO307" s="182"/>
      <c r="AP307" s="182"/>
      <c r="AQ307" s="185">
        <v>2117.9</v>
      </c>
      <c r="AR307" s="182">
        <v>1588.71</v>
      </c>
      <c r="AS307" s="182">
        <v>205.1</v>
      </c>
      <c r="AT307" s="182">
        <v>324.08999999999997</v>
      </c>
      <c r="AU307" s="182"/>
      <c r="AV307" s="182"/>
      <c r="AW307" s="182"/>
      <c r="AX307" s="182"/>
      <c r="AY307" s="182"/>
      <c r="AZ307" s="182"/>
      <c r="BA307" s="182"/>
      <c r="BB307" s="182"/>
      <c r="BC307" s="182"/>
      <c r="BD307" s="182"/>
      <c r="BE307" s="182"/>
      <c r="BF307" s="182"/>
      <c r="BG307" s="182"/>
      <c r="BH307" s="182"/>
      <c r="BI307" s="182"/>
      <c r="BJ307" s="182"/>
      <c r="BK307" s="182"/>
      <c r="BL307" s="182"/>
      <c r="BM307" s="182"/>
      <c r="BN307" s="182"/>
      <c r="BO307" s="182"/>
      <c r="BP307" s="182"/>
      <c r="BQ307" s="182"/>
      <c r="BR307" s="182"/>
      <c r="BS307" s="182"/>
      <c r="BT307" s="182"/>
      <c r="BU307" s="182"/>
      <c r="BV307" s="182"/>
      <c r="BW307" s="182"/>
      <c r="BX307" s="182"/>
      <c r="BY307" s="182"/>
      <c r="BZ307" s="182"/>
      <c r="CA307" s="182"/>
      <c r="CB307" s="185">
        <v>2117.9</v>
      </c>
      <c r="CC307" s="185">
        <v>0</v>
      </c>
      <c r="CD307" s="185">
        <v>1664</v>
      </c>
      <c r="CE307" s="185"/>
    </row>
    <row r="308" spans="2:83" x14ac:dyDescent="0.3">
      <c r="B308" s="182">
        <v>2333</v>
      </c>
      <c r="C308" s="182">
        <v>1665</v>
      </c>
      <c r="D308" s="182" t="s">
        <v>78</v>
      </c>
      <c r="E308" s="181" t="s">
        <v>1004</v>
      </c>
      <c r="F308" s="182"/>
      <c r="G308" s="182">
        <v>26352.22</v>
      </c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82"/>
      <c r="AA308" s="182"/>
      <c r="AB308" s="182"/>
      <c r="AC308" s="182"/>
      <c r="AD308" s="182"/>
      <c r="AE308" s="182"/>
      <c r="AF308" s="182"/>
      <c r="AG308" s="182"/>
      <c r="AH308" s="182"/>
      <c r="AI308" s="182"/>
      <c r="AJ308" s="182"/>
      <c r="AK308" s="182"/>
      <c r="AL308" s="182"/>
      <c r="AM308" s="182"/>
      <c r="AN308" s="182"/>
      <c r="AO308" s="182"/>
      <c r="AP308" s="182"/>
      <c r="AQ308" s="185">
        <v>26352.22</v>
      </c>
      <c r="AR308" s="182">
        <v>23455.22</v>
      </c>
      <c r="AS308" s="182">
        <v>2827.85</v>
      </c>
      <c r="AT308" s="182">
        <v>69.150000000000006</v>
      </c>
      <c r="AU308" s="182"/>
      <c r="AV308" s="182"/>
      <c r="AW308" s="182"/>
      <c r="AX308" s="182"/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182"/>
      <c r="BK308" s="182"/>
      <c r="BL308" s="182"/>
      <c r="BM308" s="182"/>
      <c r="BN308" s="182"/>
      <c r="BO308" s="182"/>
      <c r="BP308" s="182"/>
      <c r="BQ308" s="182"/>
      <c r="BR308" s="182"/>
      <c r="BS308" s="182"/>
      <c r="BT308" s="182"/>
      <c r="BU308" s="182"/>
      <c r="BV308" s="182"/>
      <c r="BW308" s="182"/>
      <c r="BX308" s="182"/>
      <c r="BY308" s="182"/>
      <c r="BZ308" s="182"/>
      <c r="CA308" s="182"/>
      <c r="CB308" s="185">
        <v>26352.22</v>
      </c>
      <c r="CC308" s="185">
        <v>0</v>
      </c>
      <c r="CD308" s="185">
        <v>1665</v>
      </c>
      <c r="CE308" s="185"/>
    </row>
    <row r="309" spans="2:83" x14ac:dyDescent="0.3">
      <c r="B309" s="182">
        <v>2338</v>
      </c>
      <c r="C309" s="182">
        <v>1666</v>
      </c>
      <c r="D309" s="182" t="s">
        <v>78</v>
      </c>
      <c r="E309" s="181" t="s">
        <v>1004</v>
      </c>
      <c r="F309" s="182"/>
      <c r="G309" s="182">
        <v>316.58</v>
      </c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82"/>
      <c r="AA309" s="182"/>
      <c r="AB309" s="182"/>
      <c r="AC309" s="182"/>
      <c r="AD309" s="182"/>
      <c r="AE309" s="182"/>
      <c r="AF309" s="182"/>
      <c r="AG309" s="182"/>
      <c r="AH309" s="182"/>
      <c r="AI309" s="182"/>
      <c r="AJ309" s="182"/>
      <c r="AK309" s="182"/>
      <c r="AL309" s="182"/>
      <c r="AM309" s="182"/>
      <c r="AN309" s="182"/>
      <c r="AO309" s="182"/>
      <c r="AP309" s="182"/>
      <c r="AQ309" s="185">
        <v>316.58</v>
      </c>
      <c r="AR309" s="182">
        <v>212.05</v>
      </c>
      <c r="AS309" s="182">
        <v>28.25</v>
      </c>
      <c r="AT309" s="182">
        <v>76.28</v>
      </c>
      <c r="AU309" s="182"/>
      <c r="AV309" s="182"/>
      <c r="AW309" s="182"/>
      <c r="AX309" s="182"/>
      <c r="AY309" s="182"/>
      <c r="AZ309" s="182"/>
      <c r="BA309" s="182"/>
      <c r="BB309" s="182"/>
      <c r="BC309" s="182"/>
      <c r="BD309" s="182"/>
      <c r="BE309" s="182"/>
      <c r="BF309" s="182"/>
      <c r="BG309" s="182"/>
      <c r="BH309" s="182"/>
      <c r="BI309" s="182"/>
      <c r="BJ309" s="182"/>
      <c r="BK309" s="182"/>
      <c r="BL309" s="182"/>
      <c r="BM309" s="182"/>
      <c r="BN309" s="182"/>
      <c r="BO309" s="182"/>
      <c r="BP309" s="182"/>
      <c r="BQ309" s="182"/>
      <c r="BR309" s="182"/>
      <c r="BS309" s="182"/>
      <c r="BT309" s="182"/>
      <c r="BU309" s="182"/>
      <c r="BV309" s="182"/>
      <c r="BW309" s="182"/>
      <c r="BX309" s="182"/>
      <c r="BY309" s="182"/>
      <c r="BZ309" s="182"/>
      <c r="CA309" s="182"/>
      <c r="CB309" s="185">
        <v>316.58000000000004</v>
      </c>
      <c r="CC309" s="185">
        <v>0</v>
      </c>
      <c r="CD309" s="185">
        <v>1666</v>
      </c>
      <c r="CE309" s="185"/>
    </row>
    <row r="310" spans="2:83" x14ac:dyDescent="0.3">
      <c r="B310" s="182">
        <v>2337</v>
      </c>
      <c r="C310" s="182">
        <v>1667</v>
      </c>
      <c r="D310" s="182" t="s">
        <v>78</v>
      </c>
      <c r="E310" s="181" t="s">
        <v>1004</v>
      </c>
      <c r="F310" s="182"/>
      <c r="G310" s="182">
        <v>1758.75</v>
      </c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82"/>
      <c r="AA310" s="182"/>
      <c r="AB310" s="182"/>
      <c r="AC310" s="182"/>
      <c r="AD310" s="182"/>
      <c r="AE310" s="182"/>
      <c r="AF310" s="182"/>
      <c r="AG310" s="182"/>
      <c r="AH310" s="182"/>
      <c r="AI310" s="182"/>
      <c r="AJ310" s="182"/>
      <c r="AK310" s="182"/>
      <c r="AL310" s="182"/>
      <c r="AM310" s="182"/>
      <c r="AN310" s="182"/>
      <c r="AO310" s="182"/>
      <c r="AP310" s="182"/>
      <c r="AQ310" s="185">
        <v>1758.75</v>
      </c>
      <c r="AR310" s="182">
        <v>1174.1199999999999</v>
      </c>
      <c r="AS310" s="182">
        <v>160.88</v>
      </c>
      <c r="AT310" s="182">
        <v>423.75</v>
      </c>
      <c r="AU310" s="182"/>
      <c r="AV310" s="182"/>
      <c r="AW310" s="182"/>
      <c r="AX310" s="182"/>
      <c r="AY310" s="182"/>
      <c r="AZ310" s="182"/>
      <c r="BA310" s="182"/>
      <c r="BB310" s="182"/>
      <c r="BC310" s="182"/>
      <c r="BD310" s="182"/>
      <c r="BE310" s="182"/>
      <c r="BF310" s="182"/>
      <c r="BG310" s="182"/>
      <c r="BH310" s="182"/>
      <c r="BI310" s="182"/>
      <c r="BJ310" s="182"/>
      <c r="BK310" s="182"/>
      <c r="BL310" s="182"/>
      <c r="BM310" s="182"/>
      <c r="BN310" s="182"/>
      <c r="BO310" s="182"/>
      <c r="BP310" s="182"/>
      <c r="BQ310" s="182"/>
      <c r="BR310" s="182"/>
      <c r="BS310" s="182"/>
      <c r="BT310" s="182"/>
      <c r="BU310" s="182"/>
      <c r="BV310" s="182"/>
      <c r="BW310" s="182"/>
      <c r="BX310" s="182"/>
      <c r="BY310" s="182"/>
      <c r="BZ310" s="182"/>
      <c r="CA310" s="182"/>
      <c r="CB310" s="185">
        <v>1758.75</v>
      </c>
      <c r="CC310" s="185">
        <v>0</v>
      </c>
      <c r="CD310" s="185">
        <v>1667</v>
      </c>
      <c r="CE310" s="185"/>
    </row>
    <row r="311" spans="2:83" x14ac:dyDescent="0.3">
      <c r="B311" s="182">
        <v>2336</v>
      </c>
      <c r="C311" s="182">
        <v>1668</v>
      </c>
      <c r="D311" s="182" t="s">
        <v>78</v>
      </c>
      <c r="E311" s="181" t="s">
        <v>1004</v>
      </c>
      <c r="F311" s="182"/>
      <c r="G311" s="182">
        <v>8442</v>
      </c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2"/>
      <c r="X311" s="182"/>
      <c r="Y311" s="182"/>
      <c r="Z311" s="182"/>
      <c r="AA311" s="182"/>
      <c r="AB311" s="182"/>
      <c r="AC311" s="182"/>
      <c r="AD311" s="182"/>
      <c r="AE311" s="182"/>
      <c r="AF311" s="182"/>
      <c r="AG311" s="182"/>
      <c r="AH311" s="182"/>
      <c r="AI311" s="182"/>
      <c r="AJ311" s="182"/>
      <c r="AK311" s="182"/>
      <c r="AL311" s="182"/>
      <c r="AM311" s="182"/>
      <c r="AN311" s="182"/>
      <c r="AO311" s="182"/>
      <c r="AP311" s="182"/>
      <c r="AQ311" s="185">
        <v>8442</v>
      </c>
      <c r="AR311" s="182">
        <v>5641.05</v>
      </c>
      <c r="AS311" s="182">
        <v>766.95</v>
      </c>
      <c r="AT311" s="182">
        <v>2034</v>
      </c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/>
      <c r="BJ311" s="182"/>
      <c r="BK311" s="182"/>
      <c r="BL311" s="182"/>
      <c r="BM311" s="182"/>
      <c r="BN311" s="182"/>
      <c r="BO311" s="182"/>
      <c r="BP311" s="182"/>
      <c r="BQ311" s="182"/>
      <c r="BR311" s="182"/>
      <c r="BS311" s="182"/>
      <c r="BT311" s="182"/>
      <c r="BU311" s="182"/>
      <c r="BV311" s="182"/>
      <c r="BW311" s="182"/>
      <c r="BX311" s="182"/>
      <c r="BY311" s="182"/>
      <c r="BZ311" s="182"/>
      <c r="CA311" s="182"/>
      <c r="CB311" s="185">
        <v>8442</v>
      </c>
      <c r="CC311" s="185">
        <v>0</v>
      </c>
      <c r="CD311" s="185">
        <v>1668</v>
      </c>
      <c r="CE311" s="185"/>
    </row>
    <row r="312" spans="2:83" x14ac:dyDescent="0.3">
      <c r="B312" s="182">
        <v>2342</v>
      </c>
      <c r="C312" s="182">
        <v>1669</v>
      </c>
      <c r="D312" s="182" t="s">
        <v>78</v>
      </c>
      <c r="E312" s="181" t="s">
        <v>1004</v>
      </c>
      <c r="F312" s="182"/>
      <c r="G312" s="182">
        <v>4039.94</v>
      </c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2"/>
      <c r="X312" s="182"/>
      <c r="Y312" s="182"/>
      <c r="Z312" s="182"/>
      <c r="AA312" s="182"/>
      <c r="AB312" s="182"/>
      <c r="AC312" s="182"/>
      <c r="AD312" s="182"/>
      <c r="AE312" s="182"/>
      <c r="AF312" s="182"/>
      <c r="AG312" s="182"/>
      <c r="AH312" s="182"/>
      <c r="AI312" s="182"/>
      <c r="AJ312" s="182"/>
      <c r="AK312" s="182"/>
      <c r="AL312" s="182"/>
      <c r="AM312" s="182"/>
      <c r="AN312" s="182"/>
      <c r="AO312" s="182"/>
      <c r="AP312" s="182"/>
      <c r="AQ312" s="185">
        <v>4039.94</v>
      </c>
      <c r="AR312" s="182">
        <v>3532.89</v>
      </c>
      <c r="AS312" s="182">
        <v>425.25</v>
      </c>
      <c r="AT312" s="182">
        <v>81.8</v>
      </c>
      <c r="AU312" s="182"/>
      <c r="AV312" s="182"/>
      <c r="AW312" s="182"/>
      <c r="AX312" s="182"/>
      <c r="AY312" s="182"/>
      <c r="AZ312" s="182"/>
      <c r="BA312" s="182"/>
      <c r="BB312" s="182"/>
      <c r="BC312" s="182"/>
      <c r="BD312" s="182"/>
      <c r="BE312" s="182"/>
      <c r="BF312" s="182"/>
      <c r="BG312" s="182"/>
      <c r="BH312" s="182"/>
      <c r="BI312" s="182"/>
      <c r="BJ312" s="182"/>
      <c r="BK312" s="182"/>
      <c r="BL312" s="182"/>
      <c r="BM312" s="182"/>
      <c r="BN312" s="182"/>
      <c r="BO312" s="182"/>
      <c r="BP312" s="182"/>
      <c r="BQ312" s="182"/>
      <c r="BR312" s="182"/>
      <c r="BS312" s="182"/>
      <c r="BT312" s="182"/>
      <c r="BU312" s="182"/>
      <c r="BV312" s="182"/>
      <c r="BW312" s="182"/>
      <c r="BX312" s="182"/>
      <c r="BY312" s="182"/>
      <c r="BZ312" s="182"/>
      <c r="CA312" s="182"/>
      <c r="CB312" s="185">
        <v>4039.94</v>
      </c>
      <c r="CC312" s="185">
        <v>0</v>
      </c>
      <c r="CD312" s="185">
        <v>1669</v>
      </c>
      <c r="CE312" s="185"/>
    </row>
    <row r="313" spans="2:83" x14ac:dyDescent="0.3">
      <c r="B313" s="182">
        <v>2341</v>
      </c>
      <c r="C313" s="182">
        <v>1670</v>
      </c>
      <c r="D313" s="182" t="s">
        <v>78</v>
      </c>
      <c r="E313" s="181" t="s">
        <v>1004</v>
      </c>
      <c r="F313" s="182"/>
      <c r="G313" s="182">
        <v>439.02</v>
      </c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2"/>
      <c r="X313" s="182"/>
      <c r="Y313" s="182"/>
      <c r="Z313" s="182"/>
      <c r="AA313" s="182"/>
      <c r="AB313" s="182"/>
      <c r="AC313" s="182"/>
      <c r="AD313" s="182"/>
      <c r="AE313" s="182"/>
      <c r="AF313" s="182"/>
      <c r="AG313" s="182"/>
      <c r="AH313" s="182"/>
      <c r="AI313" s="182"/>
      <c r="AJ313" s="182"/>
      <c r="AK313" s="182"/>
      <c r="AL313" s="182"/>
      <c r="AM313" s="182"/>
      <c r="AN313" s="182"/>
      <c r="AO313" s="182"/>
      <c r="AP313" s="182"/>
      <c r="AQ313" s="185">
        <v>439.02</v>
      </c>
      <c r="AR313" s="182">
        <v>363.52</v>
      </c>
      <c r="AS313" s="182">
        <v>44.35</v>
      </c>
      <c r="AT313" s="182">
        <v>31.15</v>
      </c>
      <c r="AU313" s="182"/>
      <c r="AV313" s="182"/>
      <c r="AW313" s="182"/>
      <c r="AX313" s="182"/>
      <c r="AY313" s="182"/>
      <c r="AZ313" s="182"/>
      <c r="BA313" s="182"/>
      <c r="BB313" s="182"/>
      <c r="BC313" s="182"/>
      <c r="BD313" s="182"/>
      <c r="BE313" s="182"/>
      <c r="BF313" s="182"/>
      <c r="BG313" s="182"/>
      <c r="BH313" s="182"/>
      <c r="BI313" s="182"/>
      <c r="BJ313" s="182"/>
      <c r="BK313" s="182"/>
      <c r="BL313" s="182"/>
      <c r="BM313" s="182"/>
      <c r="BN313" s="182"/>
      <c r="BO313" s="182"/>
      <c r="BP313" s="182"/>
      <c r="BQ313" s="182"/>
      <c r="BR313" s="182"/>
      <c r="BS313" s="182"/>
      <c r="BT313" s="182"/>
      <c r="BU313" s="182"/>
      <c r="BV313" s="182"/>
      <c r="BW313" s="182"/>
      <c r="BX313" s="182"/>
      <c r="BY313" s="182"/>
      <c r="BZ313" s="182"/>
      <c r="CA313" s="182"/>
      <c r="CB313" s="185">
        <v>439.02</v>
      </c>
      <c r="CC313" s="185">
        <v>0</v>
      </c>
      <c r="CD313" s="185">
        <v>1670</v>
      </c>
      <c r="CE313" s="185"/>
    </row>
    <row r="314" spans="2:83" x14ac:dyDescent="0.3">
      <c r="B314" s="182">
        <v>2340</v>
      </c>
      <c r="C314" s="182">
        <v>1671</v>
      </c>
      <c r="D314" s="182" t="s">
        <v>78</v>
      </c>
      <c r="E314" s="181" t="s">
        <v>1004</v>
      </c>
      <c r="F314" s="182"/>
      <c r="G314" s="182">
        <v>1266.3</v>
      </c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2"/>
      <c r="X314" s="182"/>
      <c r="Y314" s="182"/>
      <c r="Z314" s="182"/>
      <c r="AA314" s="182"/>
      <c r="AB314" s="182"/>
      <c r="AC314" s="182"/>
      <c r="AD314" s="182"/>
      <c r="AE314" s="182"/>
      <c r="AF314" s="182"/>
      <c r="AG314" s="182"/>
      <c r="AH314" s="182"/>
      <c r="AI314" s="182"/>
      <c r="AJ314" s="182"/>
      <c r="AK314" s="182"/>
      <c r="AL314" s="182"/>
      <c r="AM314" s="182"/>
      <c r="AN314" s="182"/>
      <c r="AO314" s="182"/>
      <c r="AP314" s="182"/>
      <c r="AQ314" s="185">
        <v>1266.3</v>
      </c>
      <c r="AR314" s="182">
        <v>847.1</v>
      </c>
      <c r="AS314" s="182">
        <v>114.1</v>
      </c>
      <c r="AT314" s="182">
        <v>305.10000000000002</v>
      </c>
      <c r="AU314" s="182"/>
      <c r="AV314" s="182"/>
      <c r="AW314" s="182"/>
      <c r="AX314" s="182"/>
      <c r="AY314" s="182"/>
      <c r="AZ314" s="182"/>
      <c r="BA314" s="182"/>
      <c r="BB314" s="182"/>
      <c r="BC314" s="182"/>
      <c r="BD314" s="182"/>
      <c r="BE314" s="182"/>
      <c r="BF314" s="182"/>
      <c r="BG314" s="182"/>
      <c r="BH314" s="182"/>
      <c r="BI314" s="182"/>
      <c r="BJ314" s="182"/>
      <c r="BK314" s="182"/>
      <c r="BL314" s="182"/>
      <c r="BM314" s="182"/>
      <c r="BN314" s="182"/>
      <c r="BO314" s="182"/>
      <c r="BP314" s="182"/>
      <c r="BQ314" s="182"/>
      <c r="BR314" s="182"/>
      <c r="BS314" s="182"/>
      <c r="BT314" s="182"/>
      <c r="BU314" s="182"/>
      <c r="BV314" s="182"/>
      <c r="BW314" s="182"/>
      <c r="BX314" s="182"/>
      <c r="BY314" s="182"/>
      <c r="BZ314" s="182"/>
      <c r="CA314" s="182"/>
      <c r="CB314" s="185">
        <v>1266.3000000000002</v>
      </c>
      <c r="CC314" s="185">
        <v>0</v>
      </c>
      <c r="CD314" s="185">
        <v>1671</v>
      </c>
      <c r="CE314" s="185"/>
    </row>
    <row r="315" spans="2:83" x14ac:dyDescent="0.3">
      <c r="B315" s="182">
        <v>2339</v>
      </c>
      <c r="C315" s="182">
        <v>1672</v>
      </c>
      <c r="D315" s="182" t="s">
        <v>78</v>
      </c>
      <c r="E315" s="181" t="s">
        <v>1004</v>
      </c>
      <c r="F315" s="182"/>
      <c r="G315" s="182">
        <v>949.73</v>
      </c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2"/>
      <c r="X315" s="182"/>
      <c r="Y315" s="182"/>
      <c r="Z315" s="182"/>
      <c r="AA315" s="182"/>
      <c r="AB315" s="182"/>
      <c r="AC315" s="182"/>
      <c r="AD315" s="182"/>
      <c r="AE315" s="182"/>
      <c r="AF315" s="182"/>
      <c r="AG315" s="182"/>
      <c r="AH315" s="182"/>
      <c r="AI315" s="182"/>
      <c r="AJ315" s="182"/>
      <c r="AK315" s="182"/>
      <c r="AL315" s="182"/>
      <c r="AM315" s="182"/>
      <c r="AN315" s="182"/>
      <c r="AO315" s="182"/>
      <c r="AP315" s="182"/>
      <c r="AQ315" s="185">
        <v>949.73</v>
      </c>
      <c r="AR315" s="182">
        <v>635.6</v>
      </c>
      <c r="AS315" s="182">
        <v>85.3</v>
      </c>
      <c r="AT315" s="182">
        <v>228.83</v>
      </c>
      <c r="AU315" s="182"/>
      <c r="AV315" s="182"/>
      <c r="AW315" s="182"/>
      <c r="AX315" s="182"/>
      <c r="AY315" s="182"/>
      <c r="AZ315" s="182"/>
      <c r="BA315" s="182"/>
      <c r="BB315" s="182"/>
      <c r="BC315" s="182"/>
      <c r="BD315" s="182"/>
      <c r="BE315" s="182"/>
      <c r="BF315" s="182"/>
      <c r="BG315" s="182"/>
      <c r="BH315" s="182"/>
      <c r="BI315" s="182"/>
      <c r="BJ315" s="182"/>
      <c r="BK315" s="182"/>
      <c r="BL315" s="182"/>
      <c r="BM315" s="182"/>
      <c r="BN315" s="182"/>
      <c r="BO315" s="182"/>
      <c r="BP315" s="182"/>
      <c r="BQ315" s="182"/>
      <c r="BR315" s="182"/>
      <c r="BS315" s="182"/>
      <c r="BT315" s="182"/>
      <c r="BU315" s="182"/>
      <c r="BV315" s="182"/>
      <c r="BW315" s="182"/>
      <c r="BX315" s="182"/>
      <c r="BY315" s="182"/>
      <c r="BZ315" s="182"/>
      <c r="CA315" s="182"/>
      <c r="CB315" s="185">
        <v>949.73</v>
      </c>
      <c r="CC315" s="185">
        <v>0</v>
      </c>
      <c r="CD315" s="185">
        <v>1672</v>
      </c>
      <c r="CE315" s="185"/>
    </row>
    <row r="316" spans="2:83" x14ac:dyDescent="0.3">
      <c r="B316" s="182">
        <v>2343</v>
      </c>
      <c r="C316" s="182">
        <v>1673</v>
      </c>
      <c r="D316" s="182" t="s">
        <v>78</v>
      </c>
      <c r="E316" s="181" t="s">
        <v>1004</v>
      </c>
      <c r="F316" s="182"/>
      <c r="G316" s="182">
        <v>809.03</v>
      </c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2"/>
      <c r="X316" s="182"/>
      <c r="Y316" s="182"/>
      <c r="Z316" s="182"/>
      <c r="AA316" s="182"/>
      <c r="AB316" s="182"/>
      <c r="AC316" s="182"/>
      <c r="AD316" s="182"/>
      <c r="AE316" s="182"/>
      <c r="AF316" s="182"/>
      <c r="AG316" s="182"/>
      <c r="AH316" s="182"/>
      <c r="AI316" s="182"/>
      <c r="AJ316" s="182"/>
      <c r="AK316" s="182"/>
      <c r="AL316" s="182"/>
      <c r="AM316" s="182"/>
      <c r="AN316" s="182"/>
      <c r="AO316" s="182"/>
      <c r="AP316" s="182"/>
      <c r="AQ316" s="185">
        <v>809.03</v>
      </c>
      <c r="AR316" s="182">
        <v>541.07000000000005</v>
      </c>
      <c r="AS316" s="182">
        <v>73.03</v>
      </c>
      <c r="AT316" s="182">
        <v>194.93</v>
      </c>
      <c r="AU316" s="182"/>
      <c r="AV316" s="182"/>
      <c r="AW316" s="182"/>
      <c r="AX316" s="182"/>
      <c r="AY316" s="182"/>
      <c r="AZ316" s="182"/>
      <c r="BA316" s="182"/>
      <c r="BB316" s="182"/>
      <c r="BC316" s="182"/>
      <c r="BD316" s="182"/>
      <c r="BE316" s="182"/>
      <c r="BF316" s="182"/>
      <c r="BG316" s="182"/>
      <c r="BH316" s="182"/>
      <c r="BI316" s="182"/>
      <c r="BJ316" s="182"/>
      <c r="BK316" s="182"/>
      <c r="BL316" s="182"/>
      <c r="BM316" s="182"/>
      <c r="BN316" s="182"/>
      <c r="BO316" s="182"/>
      <c r="BP316" s="182"/>
      <c r="BQ316" s="182"/>
      <c r="BR316" s="182"/>
      <c r="BS316" s="182"/>
      <c r="BT316" s="182"/>
      <c r="BU316" s="182"/>
      <c r="BV316" s="182"/>
      <c r="BW316" s="182"/>
      <c r="BX316" s="182"/>
      <c r="BY316" s="182"/>
      <c r="BZ316" s="182"/>
      <c r="CA316" s="182"/>
      <c r="CB316" s="185">
        <v>809.03</v>
      </c>
      <c r="CC316" s="185">
        <v>0</v>
      </c>
      <c r="CD316" s="185">
        <v>1673</v>
      </c>
      <c r="CE316" s="185"/>
    </row>
    <row r="317" spans="2:83" x14ac:dyDescent="0.3">
      <c r="B317" s="182">
        <v>2286</v>
      </c>
      <c r="C317" s="182">
        <v>1674</v>
      </c>
      <c r="D317" s="182" t="s">
        <v>78</v>
      </c>
      <c r="E317" s="181" t="s">
        <v>4185</v>
      </c>
      <c r="F317" s="182"/>
      <c r="G317" s="182">
        <v>175.88</v>
      </c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2"/>
      <c r="X317" s="182"/>
      <c r="Y317" s="182"/>
      <c r="Z317" s="182"/>
      <c r="AA317" s="182"/>
      <c r="AB317" s="182"/>
      <c r="AC317" s="182"/>
      <c r="AD317" s="182"/>
      <c r="AE317" s="182"/>
      <c r="AF317" s="182"/>
      <c r="AG317" s="182"/>
      <c r="AH317" s="182"/>
      <c r="AI317" s="182"/>
      <c r="AJ317" s="182"/>
      <c r="AK317" s="182"/>
      <c r="AL317" s="182"/>
      <c r="AM317" s="182"/>
      <c r="AN317" s="182"/>
      <c r="AO317" s="182"/>
      <c r="AP317" s="182"/>
      <c r="AQ317" s="185">
        <v>175.88</v>
      </c>
      <c r="AR317" s="182">
        <v>117.95</v>
      </c>
      <c r="AS317" s="182">
        <v>15.55</v>
      </c>
      <c r="AT317" s="182">
        <v>42.38</v>
      </c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182"/>
      <c r="BK317" s="182"/>
      <c r="BL317" s="182"/>
      <c r="BM317" s="182"/>
      <c r="BN317" s="182"/>
      <c r="BO317" s="182"/>
      <c r="BP317" s="182"/>
      <c r="BQ317" s="182"/>
      <c r="BR317" s="182"/>
      <c r="BS317" s="182"/>
      <c r="BT317" s="182"/>
      <c r="BU317" s="182"/>
      <c r="BV317" s="182"/>
      <c r="BW317" s="182"/>
      <c r="BX317" s="182"/>
      <c r="BY317" s="182"/>
      <c r="BZ317" s="182"/>
      <c r="CA317" s="182"/>
      <c r="CB317" s="185">
        <v>175.88</v>
      </c>
      <c r="CC317" s="185">
        <v>0</v>
      </c>
      <c r="CD317" s="185">
        <v>1674</v>
      </c>
      <c r="CE317" s="185"/>
    </row>
    <row r="318" spans="2:83" x14ac:dyDescent="0.3">
      <c r="B318" s="182">
        <v>2285</v>
      </c>
      <c r="C318" s="182">
        <v>1675</v>
      </c>
      <c r="D318" s="182" t="s">
        <v>78</v>
      </c>
      <c r="E318" s="181" t="s">
        <v>4185</v>
      </c>
      <c r="F318" s="182"/>
      <c r="G318" s="182">
        <v>1266.31</v>
      </c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2"/>
      <c r="X318" s="182"/>
      <c r="Y318" s="182"/>
      <c r="Z318" s="182"/>
      <c r="AA318" s="182"/>
      <c r="AB318" s="182"/>
      <c r="AC318" s="182"/>
      <c r="AD318" s="182"/>
      <c r="AE318" s="182"/>
      <c r="AF318" s="182"/>
      <c r="AG318" s="182"/>
      <c r="AH318" s="182"/>
      <c r="AI318" s="182"/>
      <c r="AJ318" s="182"/>
      <c r="AK318" s="182"/>
      <c r="AL318" s="182"/>
      <c r="AM318" s="182"/>
      <c r="AN318" s="182"/>
      <c r="AO318" s="182"/>
      <c r="AP318" s="182"/>
      <c r="AQ318" s="185">
        <v>1266.31</v>
      </c>
      <c r="AR318" s="182">
        <v>847.65</v>
      </c>
      <c r="AS318" s="182">
        <v>113.55</v>
      </c>
      <c r="AT318" s="182">
        <v>305.11</v>
      </c>
      <c r="AU318" s="182"/>
      <c r="AV318" s="182"/>
      <c r="AW318" s="182"/>
      <c r="AX318" s="182"/>
      <c r="AY318" s="182"/>
      <c r="AZ318" s="182"/>
      <c r="BA318" s="182"/>
      <c r="BB318" s="182"/>
      <c r="BC318" s="182"/>
      <c r="BD318" s="182"/>
      <c r="BE318" s="182"/>
      <c r="BF318" s="182"/>
      <c r="BG318" s="182"/>
      <c r="BH318" s="182"/>
      <c r="BI318" s="182"/>
      <c r="BJ318" s="182"/>
      <c r="BK318" s="182"/>
      <c r="BL318" s="182"/>
      <c r="BM318" s="182"/>
      <c r="BN318" s="182"/>
      <c r="BO318" s="182"/>
      <c r="BP318" s="182"/>
      <c r="BQ318" s="182"/>
      <c r="BR318" s="182"/>
      <c r="BS318" s="182"/>
      <c r="BT318" s="182"/>
      <c r="BU318" s="182"/>
      <c r="BV318" s="182"/>
      <c r="BW318" s="182"/>
      <c r="BX318" s="182"/>
      <c r="BY318" s="182"/>
      <c r="BZ318" s="182"/>
      <c r="CA318" s="182"/>
      <c r="CB318" s="185">
        <v>1266.31</v>
      </c>
      <c r="CC318" s="185">
        <v>0</v>
      </c>
      <c r="CD318" s="185">
        <v>1675</v>
      </c>
      <c r="CE318" s="185"/>
    </row>
    <row r="319" spans="2:83" x14ac:dyDescent="0.3">
      <c r="B319" s="182">
        <v>2284</v>
      </c>
      <c r="C319" s="182">
        <v>1676</v>
      </c>
      <c r="D319" s="182" t="s">
        <v>78</v>
      </c>
      <c r="E319" s="181" t="s">
        <v>4185</v>
      </c>
      <c r="F319" s="182"/>
      <c r="G319" s="182">
        <v>1174.4100000000001</v>
      </c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  <c r="AD319" s="182"/>
      <c r="AE319" s="182"/>
      <c r="AF319" s="182"/>
      <c r="AG319" s="182"/>
      <c r="AH319" s="182"/>
      <c r="AI319" s="182"/>
      <c r="AJ319" s="182"/>
      <c r="AK319" s="182"/>
      <c r="AL319" s="182"/>
      <c r="AM319" s="182"/>
      <c r="AN319" s="182"/>
      <c r="AO319" s="182"/>
      <c r="AP319" s="182"/>
      <c r="AQ319" s="185">
        <v>1174.4100000000001</v>
      </c>
      <c r="AR319" s="182">
        <v>905.3</v>
      </c>
      <c r="AS319" s="182">
        <v>114.5</v>
      </c>
      <c r="AT319" s="182">
        <v>154.61000000000001</v>
      </c>
      <c r="AU319" s="182"/>
      <c r="AV319" s="182"/>
      <c r="AW319" s="182"/>
      <c r="AX319" s="182"/>
      <c r="AY319" s="182"/>
      <c r="AZ319" s="182"/>
      <c r="BA319" s="182"/>
      <c r="BB319" s="182"/>
      <c r="BC319" s="182"/>
      <c r="BD319" s="182"/>
      <c r="BE319" s="182"/>
      <c r="BF319" s="182"/>
      <c r="BG319" s="182"/>
      <c r="BH319" s="182"/>
      <c r="BI319" s="182"/>
      <c r="BJ319" s="182"/>
      <c r="BK319" s="182"/>
      <c r="BL319" s="182"/>
      <c r="BM319" s="182"/>
      <c r="BN319" s="182"/>
      <c r="BO319" s="182"/>
      <c r="BP319" s="182"/>
      <c r="BQ319" s="182"/>
      <c r="BR319" s="182"/>
      <c r="BS319" s="182"/>
      <c r="BT319" s="182"/>
      <c r="BU319" s="182"/>
      <c r="BV319" s="182"/>
      <c r="BW319" s="182"/>
      <c r="BX319" s="182"/>
      <c r="BY319" s="182"/>
      <c r="BZ319" s="182"/>
      <c r="CA319" s="182"/>
      <c r="CB319" s="185">
        <v>1174.4099999999999</v>
      </c>
      <c r="CC319" s="185">
        <v>0</v>
      </c>
      <c r="CD319" s="185">
        <v>1676</v>
      </c>
      <c r="CE319" s="185"/>
    </row>
    <row r="320" spans="2:83" x14ac:dyDescent="0.3">
      <c r="B320" s="182">
        <v>2332</v>
      </c>
      <c r="C320" s="182">
        <v>1677</v>
      </c>
      <c r="D320" s="182" t="s">
        <v>78</v>
      </c>
      <c r="E320" s="181" t="s">
        <v>1929</v>
      </c>
      <c r="F320" s="182"/>
      <c r="G320" s="182">
        <v>3112.99</v>
      </c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82"/>
      <c r="AE320" s="182"/>
      <c r="AF320" s="182"/>
      <c r="AG320" s="182"/>
      <c r="AH320" s="182"/>
      <c r="AI320" s="182"/>
      <c r="AJ320" s="182"/>
      <c r="AK320" s="182"/>
      <c r="AL320" s="182"/>
      <c r="AM320" s="182"/>
      <c r="AN320" s="182"/>
      <c r="AO320" s="182"/>
      <c r="AP320" s="182"/>
      <c r="AQ320" s="185">
        <v>3112.99</v>
      </c>
      <c r="AR320" s="182">
        <v>2078.6999999999998</v>
      </c>
      <c r="AS320" s="182">
        <v>284.25</v>
      </c>
      <c r="AT320" s="182">
        <v>750.04</v>
      </c>
      <c r="AU320" s="182"/>
      <c r="AV320" s="182"/>
      <c r="AW320" s="182"/>
      <c r="AX320" s="182"/>
      <c r="AY320" s="182"/>
      <c r="AZ320" s="182"/>
      <c r="BA320" s="182"/>
      <c r="BB320" s="182"/>
      <c r="BC320" s="182"/>
      <c r="BD320" s="182"/>
      <c r="BE320" s="182"/>
      <c r="BF320" s="182"/>
      <c r="BG320" s="182"/>
      <c r="BH320" s="182"/>
      <c r="BI320" s="182"/>
      <c r="BJ320" s="182"/>
      <c r="BK320" s="182"/>
      <c r="BL320" s="182"/>
      <c r="BM320" s="182"/>
      <c r="BN320" s="182"/>
      <c r="BO320" s="182"/>
      <c r="BP320" s="182"/>
      <c r="BQ320" s="182"/>
      <c r="BR320" s="182"/>
      <c r="BS320" s="182"/>
      <c r="BT320" s="182"/>
      <c r="BU320" s="182"/>
      <c r="BV320" s="182"/>
      <c r="BW320" s="182"/>
      <c r="BX320" s="182"/>
      <c r="BY320" s="182"/>
      <c r="BZ320" s="182"/>
      <c r="CA320" s="182"/>
      <c r="CB320" s="185">
        <v>3112.99</v>
      </c>
      <c r="CC320" s="185">
        <v>0</v>
      </c>
      <c r="CD320" s="185">
        <v>1677</v>
      </c>
      <c r="CE320" s="185"/>
    </row>
    <row r="321" spans="2:83" x14ac:dyDescent="0.3">
      <c r="B321" s="182">
        <v>2349</v>
      </c>
      <c r="C321" s="182">
        <v>1678</v>
      </c>
      <c r="D321" s="182" t="s">
        <v>78</v>
      </c>
      <c r="E321" s="181" t="s">
        <v>1929</v>
      </c>
      <c r="F321" s="182"/>
      <c r="G321" s="182">
        <v>2737.35</v>
      </c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2"/>
      <c r="X321" s="182"/>
      <c r="Y321" s="182"/>
      <c r="Z321" s="182"/>
      <c r="AA321" s="182"/>
      <c r="AB321" s="182"/>
      <c r="AC321" s="182"/>
      <c r="AD321" s="182"/>
      <c r="AE321" s="182"/>
      <c r="AF321" s="182"/>
      <c r="AG321" s="182"/>
      <c r="AH321" s="182"/>
      <c r="AI321" s="182"/>
      <c r="AJ321" s="182"/>
      <c r="AK321" s="182"/>
      <c r="AL321" s="182"/>
      <c r="AM321" s="182"/>
      <c r="AN321" s="182"/>
      <c r="AO321" s="182"/>
      <c r="AP321" s="182"/>
      <c r="AQ321" s="185">
        <v>2737.35</v>
      </c>
      <c r="AR321" s="182">
        <v>2112.25</v>
      </c>
      <c r="AS321" s="182">
        <v>269.14999999999998</v>
      </c>
      <c r="AT321" s="182">
        <v>355.95</v>
      </c>
      <c r="AU321" s="182"/>
      <c r="AV321" s="182"/>
      <c r="AW321" s="182"/>
      <c r="AX321" s="182"/>
      <c r="AY321" s="182"/>
      <c r="AZ321" s="182"/>
      <c r="BA321" s="182"/>
      <c r="BB321" s="182"/>
      <c r="BC321" s="182"/>
      <c r="BD321" s="182"/>
      <c r="BE321" s="182"/>
      <c r="BF321" s="182"/>
      <c r="BG321" s="182"/>
      <c r="BH321" s="182"/>
      <c r="BI321" s="182"/>
      <c r="BJ321" s="182"/>
      <c r="BK321" s="182"/>
      <c r="BL321" s="182"/>
      <c r="BM321" s="182"/>
      <c r="BN321" s="182"/>
      <c r="BO321" s="182"/>
      <c r="BP321" s="182"/>
      <c r="BQ321" s="182"/>
      <c r="BR321" s="182"/>
      <c r="BS321" s="182"/>
      <c r="BT321" s="182"/>
      <c r="BU321" s="182"/>
      <c r="BV321" s="182"/>
      <c r="BW321" s="182"/>
      <c r="BX321" s="182"/>
      <c r="BY321" s="182"/>
      <c r="BZ321" s="182"/>
      <c r="CA321" s="182"/>
      <c r="CB321" s="185">
        <v>2737.35</v>
      </c>
      <c r="CC321" s="185">
        <v>0</v>
      </c>
      <c r="CD321" s="185">
        <v>1678</v>
      </c>
      <c r="CE321" s="185"/>
    </row>
    <row r="322" spans="2:83" x14ac:dyDescent="0.3">
      <c r="B322" s="182">
        <v>2350</v>
      </c>
      <c r="C322" s="182">
        <v>1679</v>
      </c>
      <c r="D322" s="182" t="s">
        <v>78</v>
      </c>
      <c r="E322" s="181" t="s">
        <v>1929</v>
      </c>
      <c r="F322" s="182"/>
      <c r="G322" s="182">
        <v>959.88</v>
      </c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2"/>
      <c r="X322" s="182"/>
      <c r="Y322" s="182"/>
      <c r="Z322" s="182"/>
      <c r="AA322" s="182"/>
      <c r="AB322" s="182"/>
      <c r="AC322" s="182"/>
      <c r="AD322" s="182"/>
      <c r="AE322" s="182"/>
      <c r="AF322" s="182"/>
      <c r="AG322" s="182"/>
      <c r="AH322" s="182"/>
      <c r="AI322" s="182"/>
      <c r="AJ322" s="182"/>
      <c r="AK322" s="182"/>
      <c r="AL322" s="182"/>
      <c r="AM322" s="182"/>
      <c r="AN322" s="182"/>
      <c r="AO322" s="182"/>
      <c r="AP322" s="182"/>
      <c r="AQ322" s="185">
        <v>959.88</v>
      </c>
      <c r="AR322" s="182">
        <v>834.81</v>
      </c>
      <c r="AS322" s="182">
        <v>100.7</v>
      </c>
      <c r="AT322" s="182">
        <v>24.37</v>
      </c>
      <c r="AU322" s="182"/>
      <c r="AV322" s="182"/>
      <c r="AW322" s="182"/>
      <c r="AX322" s="182"/>
      <c r="AY322" s="182"/>
      <c r="AZ322" s="182"/>
      <c r="BA322" s="182"/>
      <c r="BB322" s="182"/>
      <c r="BC322" s="182"/>
      <c r="BD322" s="182"/>
      <c r="BE322" s="182"/>
      <c r="BF322" s="182"/>
      <c r="BG322" s="182"/>
      <c r="BH322" s="182"/>
      <c r="BI322" s="182"/>
      <c r="BJ322" s="182"/>
      <c r="BK322" s="182"/>
      <c r="BL322" s="182"/>
      <c r="BM322" s="182"/>
      <c r="BN322" s="182"/>
      <c r="BO322" s="182"/>
      <c r="BP322" s="182"/>
      <c r="BQ322" s="182"/>
      <c r="BR322" s="182"/>
      <c r="BS322" s="182"/>
      <c r="BT322" s="182"/>
      <c r="BU322" s="182"/>
      <c r="BV322" s="182"/>
      <c r="BW322" s="182"/>
      <c r="BX322" s="182"/>
      <c r="BY322" s="182"/>
      <c r="BZ322" s="182"/>
      <c r="CA322" s="182"/>
      <c r="CB322" s="185">
        <v>959.88</v>
      </c>
      <c r="CC322" s="185">
        <v>0</v>
      </c>
      <c r="CD322" s="185">
        <v>1679</v>
      </c>
      <c r="CE322" s="185"/>
    </row>
    <row r="323" spans="2:83" x14ac:dyDescent="0.3">
      <c r="B323" s="182">
        <v>2351</v>
      </c>
      <c r="C323" s="182">
        <v>1680</v>
      </c>
      <c r="D323" s="182" t="s">
        <v>78</v>
      </c>
      <c r="E323" s="181" t="s">
        <v>1929</v>
      </c>
      <c r="F323" s="182"/>
      <c r="G323" s="182">
        <v>237.42</v>
      </c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2"/>
      <c r="X323" s="182"/>
      <c r="Y323" s="182"/>
      <c r="Z323" s="182"/>
      <c r="AA323" s="182"/>
      <c r="AB323" s="182"/>
      <c r="AC323" s="182"/>
      <c r="AD323" s="182"/>
      <c r="AE323" s="182"/>
      <c r="AF323" s="182"/>
      <c r="AG323" s="182"/>
      <c r="AH323" s="182"/>
      <c r="AI323" s="182"/>
      <c r="AJ323" s="182"/>
      <c r="AK323" s="182"/>
      <c r="AL323" s="182"/>
      <c r="AM323" s="182"/>
      <c r="AN323" s="182"/>
      <c r="AO323" s="182"/>
      <c r="AP323" s="182"/>
      <c r="AQ323" s="185">
        <v>237.42</v>
      </c>
      <c r="AR323" s="182">
        <v>159.63</v>
      </c>
      <c r="AS323" s="182">
        <v>20.55</v>
      </c>
      <c r="AT323" s="182">
        <v>57.24</v>
      </c>
      <c r="AU323" s="182"/>
      <c r="AV323" s="182"/>
      <c r="AW323" s="182"/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/>
      <c r="BJ323" s="182"/>
      <c r="BK323" s="182"/>
      <c r="BL323" s="182"/>
      <c r="BM323" s="182"/>
      <c r="BN323" s="182"/>
      <c r="BO323" s="182"/>
      <c r="BP323" s="182"/>
      <c r="BQ323" s="182"/>
      <c r="BR323" s="182"/>
      <c r="BS323" s="182"/>
      <c r="BT323" s="182"/>
      <c r="BU323" s="182"/>
      <c r="BV323" s="182"/>
      <c r="BW323" s="182"/>
      <c r="BX323" s="182"/>
      <c r="BY323" s="182"/>
      <c r="BZ323" s="182"/>
      <c r="CA323" s="182"/>
      <c r="CB323" s="185">
        <v>237.42000000000002</v>
      </c>
      <c r="CC323" s="185">
        <v>0</v>
      </c>
      <c r="CD323" s="185">
        <v>1680</v>
      </c>
      <c r="CE323" s="185"/>
    </row>
    <row r="324" spans="2:83" x14ac:dyDescent="0.3">
      <c r="B324" s="182">
        <v>2352</v>
      </c>
      <c r="C324" s="182">
        <v>1681</v>
      </c>
      <c r="D324" s="182" t="s">
        <v>78</v>
      </c>
      <c r="E324" s="181" t="s">
        <v>1929</v>
      </c>
      <c r="F324" s="182"/>
      <c r="G324" s="182">
        <v>79.14</v>
      </c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2"/>
      <c r="X324" s="182"/>
      <c r="Y324" s="182"/>
      <c r="Z324" s="182"/>
      <c r="AA324" s="182"/>
      <c r="AB324" s="182"/>
      <c r="AC324" s="182"/>
      <c r="AD324" s="182"/>
      <c r="AE324" s="182"/>
      <c r="AF324" s="182"/>
      <c r="AG324" s="182"/>
      <c r="AH324" s="182"/>
      <c r="AI324" s="182"/>
      <c r="AJ324" s="182"/>
      <c r="AK324" s="182"/>
      <c r="AL324" s="182"/>
      <c r="AM324" s="182"/>
      <c r="AN324" s="182"/>
      <c r="AO324" s="182"/>
      <c r="AP324" s="182"/>
      <c r="AQ324" s="185">
        <v>79.14</v>
      </c>
      <c r="AR324" s="182">
        <v>53.21</v>
      </c>
      <c r="AS324" s="182">
        <v>6.85</v>
      </c>
      <c r="AT324" s="182">
        <v>19.079999999999998</v>
      </c>
      <c r="AU324" s="182"/>
      <c r="AV324" s="182"/>
      <c r="AW324" s="182"/>
      <c r="AX324" s="182"/>
      <c r="AY324" s="182"/>
      <c r="AZ324" s="182"/>
      <c r="BA324" s="182"/>
      <c r="BB324" s="182"/>
      <c r="BC324" s="182"/>
      <c r="BD324" s="182"/>
      <c r="BE324" s="182"/>
      <c r="BF324" s="182"/>
      <c r="BG324" s="182"/>
      <c r="BH324" s="182"/>
      <c r="BI324" s="182"/>
      <c r="BJ324" s="182"/>
      <c r="BK324" s="182"/>
      <c r="BL324" s="182"/>
      <c r="BM324" s="182"/>
      <c r="BN324" s="182"/>
      <c r="BO324" s="182"/>
      <c r="BP324" s="182"/>
      <c r="BQ324" s="182"/>
      <c r="BR324" s="182"/>
      <c r="BS324" s="182"/>
      <c r="BT324" s="182"/>
      <c r="BU324" s="182"/>
      <c r="BV324" s="182"/>
      <c r="BW324" s="182"/>
      <c r="BX324" s="182"/>
      <c r="BY324" s="182"/>
      <c r="BZ324" s="182"/>
      <c r="CA324" s="182"/>
      <c r="CB324" s="185">
        <v>79.14</v>
      </c>
      <c r="CC324" s="185">
        <v>0</v>
      </c>
      <c r="CD324" s="185">
        <v>1681</v>
      </c>
      <c r="CE324" s="185"/>
    </row>
    <row r="325" spans="2:83" x14ac:dyDescent="0.3">
      <c r="B325" s="182">
        <v>2353</v>
      </c>
      <c r="C325" s="182">
        <v>1682</v>
      </c>
      <c r="D325" s="182" t="s">
        <v>78</v>
      </c>
      <c r="E325" s="181" t="s">
        <v>1929</v>
      </c>
      <c r="F325" s="182"/>
      <c r="G325" s="182">
        <v>633.15</v>
      </c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2"/>
      <c r="X325" s="182"/>
      <c r="Y325" s="182"/>
      <c r="Z325" s="182"/>
      <c r="AA325" s="182"/>
      <c r="AB325" s="182"/>
      <c r="AC325" s="182"/>
      <c r="AD325" s="182"/>
      <c r="AE325" s="182"/>
      <c r="AF325" s="182"/>
      <c r="AG325" s="182"/>
      <c r="AH325" s="182"/>
      <c r="AI325" s="182"/>
      <c r="AJ325" s="182"/>
      <c r="AK325" s="182"/>
      <c r="AL325" s="182"/>
      <c r="AM325" s="182"/>
      <c r="AN325" s="182"/>
      <c r="AO325" s="182"/>
      <c r="AP325" s="182"/>
      <c r="AQ325" s="185">
        <v>633.15</v>
      </c>
      <c r="AR325" s="182">
        <v>423.55</v>
      </c>
      <c r="AS325" s="182">
        <v>57.05</v>
      </c>
      <c r="AT325" s="182">
        <v>152.55000000000001</v>
      </c>
      <c r="AU325" s="182"/>
      <c r="AV325" s="182"/>
      <c r="AW325" s="182"/>
      <c r="AX325" s="182"/>
      <c r="AY325" s="182"/>
      <c r="AZ325" s="182"/>
      <c r="BA325" s="182"/>
      <c r="BB325" s="182"/>
      <c r="BC325" s="182"/>
      <c r="BD325" s="182"/>
      <c r="BE325" s="182"/>
      <c r="BF325" s="182"/>
      <c r="BG325" s="182"/>
      <c r="BH325" s="182"/>
      <c r="BI325" s="182"/>
      <c r="BJ325" s="182"/>
      <c r="BK325" s="182"/>
      <c r="BL325" s="182"/>
      <c r="BM325" s="182"/>
      <c r="BN325" s="182"/>
      <c r="BO325" s="182"/>
      <c r="BP325" s="182"/>
      <c r="BQ325" s="182"/>
      <c r="BR325" s="182"/>
      <c r="BS325" s="182"/>
      <c r="BT325" s="182"/>
      <c r="BU325" s="182"/>
      <c r="BV325" s="182"/>
      <c r="BW325" s="182"/>
      <c r="BX325" s="182"/>
      <c r="BY325" s="182"/>
      <c r="BZ325" s="182"/>
      <c r="CA325" s="182"/>
      <c r="CB325" s="185">
        <v>633.15000000000009</v>
      </c>
      <c r="CC325" s="185">
        <v>0</v>
      </c>
      <c r="CD325" s="185">
        <v>1682</v>
      </c>
      <c r="CE325" s="185"/>
    </row>
    <row r="326" spans="2:83" x14ac:dyDescent="0.3">
      <c r="B326" s="182">
        <v>2354</v>
      </c>
      <c r="C326" s="182">
        <v>1683</v>
      </c>
      <c r="D326" s="182" t="s">
        <v>78</v>
      </c>
      <c r="E326" s="181" t="s">
        <v>1929</v>
      </c>
      <c r="F326" s="182"/>
      <c r="G326" s="182">
        <v>633.15</v>
      </c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2"/>
      <c r="X326" s="182"/>
      <c r="Y326" s="182"/>
      <c r="Z326" s="182"/>
      <c r="AA326" s="182"/>
      <c r="AB326" s="182"/>
      <c r="AC326" s="182"/>
      <c r="AD326" s="182"/>
      <c r="AE326" s="182"/>
      <c r="AF326" s="182"/>
      <c r="AG326" s="182"/>
      <c r="AH326" s="182"/>
      <c r="AI326" s="182"/>
      <c r="AJ326" s="182"/>
      <c r="AK326" s="182"/>
      <c r="AL326" s="182"/>
      <c r="AM326" s="182"/>
      <c r="AN326" s="182"/>
      <c r="AO326" s="182"/>
      <c r="AP326" s="182"/>
      <c r="AQ326" s="185">
        <v>633.15</v>
      </c>
      <c r="AR326" s="182">
        <v>423.55</v>
      </c>
      <c r="AS326" s="182">
        <v>57.05</v>
      </c>
      <c r="AT326" s="182">
        <v>152.55000000000001</v>
      </c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182"/>
      <c r="BK326" s="182"/>
      <c r="BL326" s="182"/>
      <c r="BM326" s="182"/>
      <c r="BN326" s="182"/>
      <c r="BO326" s="182"/>
      <c r="BP326" s="182"/>
      <c r="BQ326" s="182"/>
      <c r="BR326" s="182"/>
      <c r="BS326" s="182"/>
      <c r="BT326" s="182"/>
      <c r="BU326" s="182"/>
      <c r="BV326" s="182"/>
      <c r="BW326" s="182"/>
      <c r="BX326" s="182"/>
      <c r="BY326" s="182"/>
      <c r="BZ326" s="182"/>
      <c r="CA326" s="182"/>
      <c r="CB326" s="185">
        <v>633.15000000000009</v>
      </c>
      <c r="CC326" s="185">
        <v>0</v>
      </c>
      <c r="CD326" s="185">
        <v>1683</v>
      </c>
      <c r="CE326" s="185"/>
    </row>
    <row r="327" spans="2:83" x14ac:dyDescent="0.3">
      <c r="B327" s="182">
        <v>2355</v>
      </c>
      <c r="C327" s="182">
        <v>1684</v>
      </c>
      <c r="D327" s="182" t="s">
        <v>78</v>
      </c>
      <c r="E327" s="181" t="s">
        <v>1929</v>
      </c>
      <c r="F327" s="182"/>
      <c r="G327" s="182">
        <v>175.88</v>
      </c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2"/>
      <c r="X327" s="182"/>
      <c r="Y327" s="182"/>
      <c r="Z327" s="182"/>
      <c r="AA327" s="182"/>
      <c r="AB327" s="182"/>
      <c r="AC327" s="182"/>
      <c r="AD327" s="182"/>
      <c r="AE327" s="182"/>
      <c r="AF327" s="182"/>
      <c r="AG327" s="182"/>
      <c r="AH327" s="182"/>
      <c r="AI327" s="182"/>
      <c r="AJ327" s="182"/>
      <c r="AK327" s="182"/>
      <c r="AL327" s="182"/>
      <c r="AM327" s="182"/>
      <c r="AN327" s="182"/>
      <c r="AO327" s="182"/>
      <c r="AP327" s="182"/>
      <c r="AQ327" s="185">
        <v>175.88</v>
      </c>
      <c r="AR327" s="182">
        <v>117.9</v>
      </c>
      <c r="AS327" s="182">
        <v>15.6</v>
      </c>
      <c r="AT327" s="182">
        <v>42.38</v>
      </c>
      <c r="AU327" s="182"/>
      <c r="AV327" s="182"/>
      <c r="AW327" s="182"/>
      <c r="AX327" s="182"/>
      <c r="AY327" s="182"/>
      <c r="AZ327" s="182"/>
      <c r="BA327" s="182"/>
      <c r="BB327" s="182"/>
      <c r="BC327" s="182"/>
      <c r="BD327" s="182"/>
      <c r="BE327" s="182"/>
      <c r="BF327" s="182"/>
      <c r="BG327" s="182"/>
      <c r="BH327" s="182"/>
      <c r="BI327" s="182"/>
      <c r="BJ327" s="182"/>
      <c r="BK327" s="182"/>
      <c r="BL327" s="182"/>
      <c r="BM327" s="182"/>
      <c r="BN327" s="182"/>
      <c r="BO327" s="182"/>
      <c r="BP327" s="182"/>
      <c r="BQ327" s="182"/>
      <c r="BR327" s="182"/>
      <c r="BS327" s="182"/>
      <c r="BT327" s="182"/>
      <c r="BU327" s="182"/>
      <c r="BV327" s="182"/>
      <c r="BW327" s="182"/>
      <c r="BX327" s="182"/>
      <c r="BY327" s="182"/>
      <c r="BZ327" s="182"/>
      <c r="CA327" s="182"/>
      <c r="CB327" s="185">
        <v>175.88</v>
      </c>
      <c r="CC327" s="185">
        <v>0</v>
      </c>
      <c r="CD327" s="185">
        <v>1684</v>
      </c>
      <c r="CE327" s="185"/>
    </row>
    <row r="328" spans="2:83" x14ac:dyDescent="0.3">
      <c r="B328" s="182">
        <v>2310</v>
      </c>
      <c r="C328" s="182">
        <v>1685</v>
      </c>
      <c r="D328" s="182" t="s">
        <v>78</v>
      </c>
      <c r="E328" s="181" t="s">
        <v>2501</v>
      </c>
      <c r="F328" s="182"/>
      <c r="G328" s="182">
        <v>2784.5</v>
      </c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2"/>
      <c r="X328" s="182"/>
      <c r="Y328" s="182"/>
      <c r="Z328" s="182"/>
      <c r="AA328" s="182"/>
      <c r="AB328" s="182"/>
      <c r="AC328" s="182"/>
      <c r="AD328" s="182"/>
      <c r="AE328" s="182"/>
      <c r="AF328" s="182"/>
      <c r="AG328" s="182"/>
      <c r="AH328" s="182"/>
      <c r="AI328" s="182"/>
      <c r="AJ328" s="182"/>
      <c r="AK328" s="182"/>
      <c r="AL328" s="182"/>
      <c r="AM328" s="182"/>
      <c r="AN328" s="182"/>
      <c r="AO328" s="182"/>
      <c r="AP328" s="182"/>
      <c r="AQ328" s="185">
        <v>2784.5</v>
      </c>
      <c r="AR328" s="182">
        <v>2441.1</v>
      </c>
      <c r="AS328" s="182">
        <v>286.89999999999998</v>
      </c>
      <c r="AT328" s="182">
        <v>56.5</v>
      </c>
      <c r="AU328" s="182"/>
      <c r="AV328" s="182"/>
      <c r="AW328" s="182"/>
      <c r="AX328" s="182"/>
      <c r="AY328" s="182"/>
      <c r="AZ328" s="182"/>
      <c r="BA328" s="182"/>
      <c r="BB328" s="182"/>
      <c r="BC328" s="182"/>
      <c r="BD328" s="182"/>
      <c r="BE328" s="182"/>
      <c r="BF328" s="182"/>
      <c r="BG328" s="182"/>
      <c r="BH328" s="182"/>
      <c r="BI328" s="182"/>
      <c r="BJ328" s="182"/>
      <c r="BK328" s="182"/>
      <c r="BL328" s="182"/>
      <c r="BM328" s="182"/>
      <c r="BN328" s="182"/>
      <c r="BO328" s="182"/>
      <c r="BP328" s="182"/>
      <c r="BQ328" s="182"/>
      <c r="BR328" s="182"/>
      <c r="BS328" s="182"/>
      <c r="BT328" s="182"/>
      <c r="BU328" s="182"/>
      <c r="BV328" s="182"/>
      <c r="BW328" s="182"/>
      <c r="BX328" s="182"/>
      <c r="BY328" s="182"/>
      <c r="BZ328" s="182"/>
      <c r="CA328" s="182"/>
      <c r="CB328" s="185">
        <v>2784.5</v>
      </c>
      <c r="CC328" s="185">
        <v>0</v>
      </c>
      <c r="CD328" s="185">
        <v>1685</v>
      </c>
      <c r="CE328" s="185"/>
    </row>
    <row r="329" spans="2:83" x14ac:dyDescent="0.3">
      <c r="B329" s="182">
        <v>2311</v>
      </c>
      <c r="C329" s="182">
        <v>1686</v>
      </c>
      <c r="D329" s="182" t="s">
        <v>78</v>
      </c>
      <c r="E329" s="181" t="s">
        <v>2501</v>
      </c>
      <c r="F329" s="182"/>
      <c r="G329" s="182">
        <v>351.75</v>
      </c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2"/>
      <c r="X329" s="182"/>
      <c r="Y329" s="182"/>
      <c r="Z329" s="182"/>
      <c r="AA329" s="182"/>
      <c r="AB329" s="182"/>
      <c r="AC329" s="182"/>
      <c r="AD329" s="182"/>
      <c r="AE329" s="182"/>
      <c r="AF329" s="182"/>
      <c r="AG329" s="182"/>
      <c r="AH329" s="182"/>
      <c r="AI329" s="182"/>
      <c r="AJ329" s="182"/>
      <c r="AK329" s="182"/>
      <c r="AL329" s="182"/>
      <c r="AM329" s="182"/>
      <c r="AN329" s="182"/>
      <c r="AO329" s="182"/>
      <c r="AP329" s="182"/>
      <c r="AQ329" s="185">
        <v>351.75</v>
      </c>
      <c r="AR329" s="182">
        <v>235.55</v>
      </c>
      <c r="AS329" s="182">
        <v>31.45</v>
      </c>
      <c r="AT329" s="182">
        <v>84.75</v>
      </c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182"/>
      <c r="BK329" s="182"/>
      <c r="BL329" s="182"/>
      <c r="BM329" s="182"/>
      <c r="BN329" s="182"/>
      <c r="BO329" s="182"/>
      <c r="BP329" s="182"/>
      <c r="BQ329" s="182"/>
      <c r="BR329" s="182"/>
      <c r="BS329" s="182"/>
      <c r="BT329" s="182"/>
      <c r="BU329" s="182"/>
      <c r="BV329" s="182"/>
      <c r="BW329" s="182"/>
      <c r="BX329" s="182"/>
      <c r="BY329" s="182"/>
      <c r="BZ329" s="182"/>
      <c r="CA329" s="182"/>
      <c r="CB329" s="185">
        <v>351.75</v>
      </c>
      <c r="CC329" s="185">
        <v>0</v>
      </c>
      <c r="CD329" s="185">
        <v>1686</v>
      </c>
      <c r="CE329" s="185"/>
    </row>
    <row r="330" spans="2:83" x14ac:dyDescent="0.3">
      <c r="B330" s="182">
        <v>2312</v>
      </c>
      <c r="C330" s="182">
        <v>1687</v>
      </c>
      <c r="D330" s="182" t="s">
        <v>78</v>
      </c>
      <c r="E330" s="181" t="s">
        <v>2501</v>
      </c>
      <c r="F330" s="182"/>
      <c r="G330" s="182">
        <v>205.19</v>
      </c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2"/>
      <c r="X330" s="182"/>
      <c r="Y330" s="182"/>
      <c r="Z330" s="182"/>
      <c r="AA330" s="182"/>
      <c r="AB330" s="182"/>
      <c r="AC330" s="182"/>
      <c r="AD330" s="182"/>
      <c r="AE330" s="182"/>
      <c r="AF330" s="182"/>
      <c r="AG330" s="182"/>
      <c r="AH330" s="182"/>
      <c r="AI330" s="182"/>
      <c r="AJ330" s="182"/>
      <c r="AK330" s="182"/>
      <c r="AL330" s="182"/>
      <c r="AM330" s="182"/>
      <c r="AN330" s="182"/>
      <c r="AO330" s="182"/>
      <c r="AP330" s="182"/>
      <c r="AQ330" s="185">
        <v>205.19</v>
      </c>
      <c r="AR330" s="182">
        <v>137.6</v>
      </c>
      <c r="AS330" s="182">
        <v>18.149999999999999</v>
      </c>
      <c r="AT330" s="182">
        <v>49.44</v>
      </c>
      <c r="AU330" s="182"/>
      <c r="AV330" s="182"/>
      <c r="AW330" s="182"/>
      <c r="AX330" s="182"/>
      <c r="AY330" s="182"/>
      <c r="AZ330" s="182"/>
      <c r="BA330" s="182"/>
      <c r="BB330" s="182"/>
      <c r="BC330" s="182"/>
      <c r="BD330" s="182"/>
      <c r="BE330" s="182"/>
      <c r="BF330" s="182"/>
      <c r="BG330" s="182"/>
      <c r="BH330" s="182"/>
      <c r="BI330" s="182"/>
      <c r="BJ330" s="182"/>
      <c r="BK330" s="182"/>
      <c r="BL330" s="182"/>
      <c r="BM330" s="182"/>
      <c r="BN330" s="182"/>
      <c r="BO330" s="182"/>
      <c r="BP330" s="182"/>
      <c r="BQ330" s="182"/>
      <c r="BR330" s="182"/>
      <c r="BS330" s="182"/>
      <c r="BT330" s="182"/>
      <c r="BU330" s="182"/>
      <c r="BV330" s="182"/>
      <c r="BW330" s="182"/>
      <c r="BX330" s="182"/>
      <c r="BY330" s="182"/>
      <c r="BZ330" s="182"/>
      <c r="CA330" s="182"/>
      <c r="CB330" s="185">
        <v>205.19</v>
      </c>
      <c r="CC330" s="185">
        <v>0</v>
      </c>
      <c r="CD330" s="185">
        <v>1687</v>
      </c>
      <c r="CE330" s="185"/>
    </row>
    <row r="331" spans="2:83" x14ac:dyDescent="0.3">
      <c r="B331" s="182">
        <v>2313</v>
      </c>
      <c r="C331" s="182">
        <v>1688</v>
      </c>
      <c r="D331" s="182" t="s">
        <v>78</v>
      </c>
      <c r="E331" s="181" t="s">
        <v>2501</v>
      </c>
      <c r="F331" s="182"/>
      <c r="G331" s="182">
        <v>1125</v>
      </c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  <c r="AD331" s="182"/>
      <c r="AE331" s="182"/>
      <c r="AF331" s="182"/>
      <c r="AG331" s="182"/>
      <c r="AH331" s="182"/>
      <c r="AI331" s="182"/>
      <c r="AJ331" s="182"/>
      <c r="AK331" s="182"/>
      <c r="AL331" s="182"/>
      <c r="AM331" s="182"/>
      <c r="AN331" s="182"/>
      <c r="AO331" s="182"/>
      <c r="AP331" s="182"/>
      <c r="AQ331" s="185">
        <v>1125</v>
      </c>
      <c r="AR331" s="182">
        <v>1007.1</v>
      </c>
      <c r="AS331" s="182">
        <v>117.9</v>
      </c>
      <c r="AT331" s="182"/>
      <c r="AU331" s="182"/>
      <c r="AV331" s="182"/>
      <c r="AW331" s="182"/>
      <c r="AX331" s="182"/>
      <c r="AY331" s="182"/>
      <c r="AZ331" s="182"/>
      <c r="BA331" s="182"/>
      <c r="BB331" s="182"/>
      <c r="BC331" s="182"/>
      <c r="BD331" s="182"/>
      <c r="BE331" s="182"/>
      <c r="BF331" s="182"/>
      <c r="BG331" s="182"/>
      <c r="BH331" s="182"/>
      <c r="BI331" s="182"/>
      <c r="BJ331" s="182"/>
      <c r="BK331" s="182"/>
      <c r="BL331" s="182"/>
      <c r="BM331" s="182"/>
      <c r="BN331" s="182"/>
      <c r="BO331" s="182"/>
      <c r="BP331" s="182"/>
      <c r="BQ331" s="182"/>
      <c r="BR331" s="182"/>
      <c r="BS331" s="182"/>
      <c r="BT331" s="182"/>
      <c r="BU331" s="182"/>
      <c r="BV331" s="182"/>
      <c r="BW331" s="182"/>
      <c r="BX331" s="182"/>
      <c r="BY331" s="182"/>
      <c r="BZ331" s="182"/>
      <c r="CA331" s="182"/>
      <c r="CB331" s="185">
        <v>1125</v>
      </c>
      <c r="CC331" s="185">
        <v>0</v>
      </c>
      <c r="CD331" s="185">
        <v>1688</v>
      </c>
      <c r="CE331" s="185"/>
    </row>
    <row r="332" spans="2:83" x14ac:dyDescent="0.3">
      <c r="B332" s="182">
        <v>2314</v>
      </c>
      <c r="C332" s="182">
        <v>1689</v>
      </c>
      <c r="D332" s="182" t="s">
        <v>78</v>
      </c>
      <c r="E332" s="181" t="s">
        <v>4186</v>
      </c>
      <c r="F332" s="182"/>
      <c r="G332" s="182">
        <v>586.26</v>
      </c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2"/>
      <c r="X332" s="182"/>
      <c r="Y332" s="182"/>
      <c r="Z332" s="182"/>
      <c r="AA332" s="182"/>
      <c r="AB332" s="182"/>
      <c r="AC332" s="182"/>
      <c r="AD332" s="182"/>
      <c r="AE332" s="182"/>
      <c r="AF332" s="182"/>
      <c r="AG332" s="182"/>
      <c r="AH332" s="182"/>
      <c r="AI332" s="182"/>
      <c r="AJ332" s="182"/>
      <c r="AK332" s="182"/>
      <c r="AL332" s="182"/>
      <c r="AM332" s="182"/>
      <c r="AN332" s="182"/>
      <c r="AO332" s="182"/>
      <c r="AP332" s="182"/>
      <c r="AQ332" s="185">
        <v>586.26</v>
      </c>
      <c r="AR332" s="182">
        <v>392.4</v>
      </c>
      <c r="AS332" s="182">
        <v>52.6</v>
      </c>
      <c r="AT332" s="182">
        <v>141.26000000000002</v>
      </c>
      <c r="AU332" s="182"/>
      <c r="AV332" s="182"/>
      <c r="AW332" s="182"/>
      <c r="AX332" s="182"/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182"/>
      <c r="BK332" s="182"/>
      <c r="BL332" s="182"/>
      <c r="BM332" s="182"/>
      <c r="BN332" s="182"/>
      <c r="BO332" s="182"/>
      <c r="BP332" s="182"/>
      <c r="BQ332" s="182"/>
      <c r="BR332" s="182"/>
      <c r="BS332" s="182"/>
      <c r="BT332" s="182"/>
      <c r="BU332" s="182"/>
      <c r="BV332" s="182"/>
      <c r="BW332" s="182"/>
      <c r="BX332" s="182"/>
      <c r="BY332" s="182"/>
      <c r="BZ332" s="182"/>
      <c r="CA332" s="182"/>
      <c r="CB332" s="185">
        <v>586.26</v>
      </c>
      <c r="CC332" s="185">
        <v>0</v>
      </c>
      <c r="CD332" s="185">
        <v>1689</v>
      </c>
      <c r="CE332" s="185"/>
    </row>
    <row r="333" spans="2:83" x14ac:dyDescent="0.3">
      <c r="B333" s="182">
        <v>2328</v>
      </c>
      <c r="C333" s="182">
        <v>1690</v>
      </c>
      <c r="D333" s="182" t="s">
        <v>78</v>
      </c>
      <c r="E333" s="181" t="s">
        <v>1929</v>
      </c>
      <c r="F333" s="182"/>
      <c r="G333" s="182">
        <v>16020</v>
      </c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2"/>
      <c r="X333" s="182"/>
      <c r="Y333" s="182"/>
      <c r="Z333" s="182"/>
      <c r="AA333" s="182"/>
      <c r="AB333" s="182"/>
      <c r="AC333" s="182"/>
      <c r="AD333" s="182"/>
      <c r="AE333" s="182"/>
      <c r="AF333" s="182"/>
      <c r="AG333" s="182"/>
      <c r="AH333" s="182"/>
      <c r="AI333" s="182"/>
      <c r="AJ333" s="182"/>
      <c r="AK333" s="182"/>
      <c r="AL333" s="182"/>
      <c r="AM333" s="182"/>
      <c r="AN333" s="182"/>
      <c r="AO333" s="182"/>
      <c r="AP333" s="182"/>
      <c r="AQ333" s="185">
        <v>16020</v>
      </c>
      <c r="AR333" s="182">
        <v>14296.05</v>
      </c>
      <c r="AS333" s="182">
        <v>1723.95</v>
      </c>
      <c r="AT333" s="182"/>
      <c r="AU333" s="182"/>
      <c r="AV333" s="182"/>
      <c r="AW333" s="182"/>
      <c r="AX333" s="182"/>
      <c r="AY333" s="182"/>
      <c r="AZ333" s="182"/>
      <c r="BA333" s="182"/>
      <c r="BB333" s="182"/>
      <c r="BC333" s="182"/>
      <c r="BD333" s="182"/>
      <c r="BE333" s="182"/>
      <c r="BF333" s="182"/>
      <c r="BG333" s="182"/>
      <c r="BH333" s="182"/>
      <c r="BI333" s="182"/>
      <c r="BJ333" s="182"/>
      <c r="BK333" s="182"/>
      <c r="BL333" s="182"/>
      <c r="BM333" s="182"/>
      <c r="BN333" s="182"/>
      <c r="BO333" s="182"/>
      <c r="BP333" s="182"/>
      <c r="BQ333" s="182"/>
      <c r="BR333" s="182"/>
      <c r="BS333" s="182"/>
      <c r="BT333" s="182"/>
      <c r="BU333" s="182"/>
      <c r="BV333" s="182"/>
      <c r="BW333" s="182"/>
      <c r="BX333" s="182"/>
      <c r="BY333" s="182"/>
      <c r="BZ333" s="182"/>
      <c r="CA333" s="182"/>
      <c r="CB333" s="185">
        <v>16020</v>
      </c>
      <c r="CC333" s="185">
        <v>0</v>
      </c>
      <c r="CD333" s="185">
        <v>1690</v>
      </c>
      <c r="CE333" s="185"/>
    </row>
    <row r="334" spans="2:83" x14ac:dyDescent="0.3">
      <c r="B334" s="182">
        <v>2331</v>
      </c>
      <c r="C334" s="182">
        <v>1691</v>
      </c>
      <c r="D334" s="182" t="s">
        <v>78</v>
      </c>
      <c r="E334" s="181" t="s">
        <v>1929</v>
      </c>
      <c r="F334" s="182"/>
      <c r="G334" s="182">
        <v>1890</v>
      </c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2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2"/>
      <c r="AH334" s="182"/>
      <c r="AI334" s="182"/>
      <c r="AJ334" s="182"/>
      <c r="AK334" s="182"/>
      <c r="AL334" s="182"/>
      <c r="AM334" s="182"/>
      <c r="AN334" s="182"/>
      <c r="AO334" s="182"/>
      <c r="AP334" s="182"/>
      <c r="AQ334" s="185">
        <v>1890</v>
      </c>
      <c r="AR334" s="182">
        <v>1687.2</v>
      </c>
      <c r="AS334" s="182">
        <v>202.8</v>
      </c>
      <c r="AT334" s="182"/>
      <c r="AU334" s="182"/>
      <c r="AV334" s="182"/>
      <c r="AW334" s="182"/>
      <c r="AX334" s="182"/>
      <c r="AY334" s="182"/>
      <c r="AZ334" s="182"/>
      <c r="BA334" s="182"/>
      <c r="BB334" s="182"/>
      <c r="BC334" s="182"/>
      <c r="BD334" s="182"/>
      <c r="BE334" s="182"/>
      <c r="BF334" s="182"/>
      <c r="BG334" s="182"/>
      <c r="BH334" s="182"/>
      <c r="BI334" s="182"/>
      <c r="BJ334" s="182"/>
      <c r="BK334" s="182"/>
      <c r="BL334" s="182"/>
      <c r="BM334" s="182"/>
      <c r="BN334" s="182"/>
      <c r="BO334" s="182"/>
      <c r="BP334" s="182"/>
      <c r="BQ334" s="182"/>
      <c r="BR334" s="182"/>
      <c r="BS334" s="182"/>
      <c r="BT334" s="182"/>
      <c r="BU334" s="182"/>
      <c r="BV334" s="182"/>
      <c r="BW334" s="182"/>
      <c r="BX334" s="182"/>
      <c r="BY334" s="182"/>
      <c r="BZ334" s="182"/>
      <c r="CA334" s="182"/>
      <c r="CB334" s="185">
        <v>1890</v>
      </c>
      <c r="CC334" s="185">
        <v>0</v>
      </c>
      <c r="CD334" s="185">
        <v>1691</v>
      </c>
      <c r="CE334" s="185"/>
    </row>
    <row r="335" spans="2:83" x14ac:dyDescent="0.3">
      <c r="B335" s="182">
        <v>2330</v>
      </c>
      <c r="C335" s="182">
        <v>1692</v>
      </c>
      <c r="D335" s="182" t="s">
        <v>78</v>
      </c>
      <c r="E335" s="181" t="s">
        <v>1929</v>
      </c>
      <c r="F335" s="182"/>
      <c r="G335" s="182">
        <v>1980</v>
      </c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2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  <c r="AN335" s="182"/>
      <c r="AO335" s="182"/>
      <c r="AP335" s="182"/>
      <c r="AQ335" s="185">
        <v>1980</v>
      </c>
      <c r="AR335" s="182">
        <v>1768.8</v>
      </c>
      <c r="AS335" s="182">
        <v>211.2</v>
      </c>
      <c r="AT335" s="182"/>
      <c r="AU335" s="182"/>
      <c r="AV335" s="182"/>
      <c r="AW335" s="182"/>
      <c r="AX335" s="182"/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/>
      <c r="BJ335" s="182"/>
      <c r="BK335" s="182"/>
      <c r="BL335" s="182"/>
      <c r="BM335" s="182"/>
      <c r="BN335" s="182"/>
      <c r="BO335" s="182"/>
      <c r="BP335" s="182"/>
      <c r="BQ335" s="182"/>
      <c r="BR335" s="182"/>
      <c r="BS335" s="182"/>
      <c r="BT335" s="182"/>
      <c r="BU335" s="182"/>
      <c r="BV335" s="182"/>
      <c r="BW335" s="182"/>
      <c r="BX335" s="182"/>
      <c r="BY335" s="182"/>
      <c r="BZ335" s="182"/>
      <c r="CA335" s="182"/>
      <c r="CB335" s="185">
        <v>1980</v>
      </c>
      <c r="CC335" s="185">
        <v>0</v>
      </c>
      <c r="CD335" s="185">
        <v>1692</v>
      </c>
      <c r="CE335" s="185"/>
    </row>
    <row r="336" spans="2:83" x14ac:dyDescent="0.3">
      <c r="B336" s="182">
        <v>2329</v>
      </c>
      <c r="C336" s="182">
        <v>1693</v>
      </c>
      <c r="D336" s="182" t="s">
        <v>78</v>
      </c>
      <c r="E336" s="181" t="s">
        <v>1929</v>
      </c>
      <c r="F336" s="182"/>
      <c r="G336" s="182">
        <v>1741.17</v>
      </c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2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/>
      <c r="AN336" s="182"/>
      <c r="AO336" s="182"/>
      <c r="AP336" s="182"/>
      <c r="AQ336" s="185">
        <v>1741.17</v>
      </c>
      <c r="AR336" s="182">
        <v>1164.75</v>
      </c>
      <c r="AS336" s="182">
        <v>156.9</v>
      </c>
      <c r="AT336" s="182">
        <v>419.52</v>
      </c>
      <c r="AU336" s="182"/>
      <c r="AV336" s="182"/>
      <c r="AW336" s="182"/>
      <c r="AX336" s="182"/>
      <c r="AY336" s="182"/>
      <c r="AZ336" s="182"/>
      <c r="BA336" s="182"/>
      <c r="BB336" s="182"/>
      <c r="BC336" s="182"/>
      <c r="BD336" s="182"/>
      <c r="BE336" s="182"/>
      <c r="BF336" s="182"/>
      <c r="BG336" s="182"/>
      <c r="BH336" s="182"/>
      <c r="BI336" s="182"/>
      <c r="BJ336" s="182"/>
      <c r="BK336" s="182"/>
      <c r="BL336" s="182"/>
      <c r="BM336" s="182"/>
      <c r="BN336" s="182"/>
      <c r="BO336" s="182"/>
      <c r="BP336" s="182"/>
      <c r="BQ336" s="182"/>
      <c r="BR336" s="182"/>
      <c r="BS336" s="182"/>
      <c r="BT336" s="182"/>
      <c r="BU336" s="182"/>
      <c r="BV336" s="182"/>
      <c r="BW336" s="182"/>
      <c r="BX336" s="182"/>
      <c r="BY336" s="182"/>
      <c r="BZ336" s="182"/>
      <c r="CA336" s="182"/>
      <c r="CB336" s="185">
        <v>1741.17</v>
      </c>
      <c r="CC336" s="185">
        <v>0</v>
      </c>
      <c r="CD336" s="185">
        <v>1693</v>
      </c>
      <c r="CE336" s="185"/>
    </row>
    <row r="337" spans="2:83" x14ac:dyDescent="0.3">
      <c r="B337" s="182">
        <v>2360</v>
      </c>
      <c r="C337" s="182">
        <v>1694</v>
      </c>
      <c r="D337" s="182" t="s">
        <v>78</v>
      </c>
      <c r="E337" s="181" t="s">
        <v>2760</v>
      </c>
      <c r="F337" s="182"/>
      <c r="G337" s="182">
        <v>1266.3</v>
      </c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2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182"/>
      <c r="AI337" s="182"/>
      <c r="AJ337" s="182"/>
      <c r="AK337" s="182"/>
      <c r="AL337" s="182"/>
      <c r="AM337" s="182"/>
      <c r="AN337" s="182"/>
      <c r="AO337" s="182"/>
      <c r="AP337" s="182"/>
      <c r="AQ337" s="185">
        <v>1266.3</v>
      </c>
      <c r="AR337" s="182">
        <v>847.25</v>
      </c>
      <c r="AS337" s="182">
        <v>113.95</v>
      </c>
      <c r="AT337" s="182">
        <v>305.10000000000002</v>
      </c>
      <c r="AU337" s="182"/>
      <c r="AV337" s="182"/>
      <c r="AW337" s="182"/>
      <c r="AX337" s="182"/>
      <c r="AY337" s="182"/>
      <c r="AZ337" s="182"/>
      <c r="BA337" s="182"/>
      <c r="BB337" s="182"/>
      <c r="BC337" s="182"/>
      <c r="BD337" s="182"/>
      <c r="BE337" s="182"/>
      <c r="BF337" s="182"/>
      <c r="BG337" s="182"/>
      <c r="BH337" s="182"/>
      <c r="BI337" s="182"/>
      <c r="BJ337" s="182"/>
      <c r="BK337" s="182"/>
      <c r="BL337" s="182"/>
      <c r="BM337" s="182"/>
      <c r="BN337" s="182"/>
      <c r="BO337" s="182"/>
      <c r="BP337" s="182"/>
      <c r="BQ337" s="182"/>
      <c r="BR337" s="182"/>
      <c r="BS337" s="182"/>
      <c r="BT337" s="182"/>
      <c r="BU337" s="182"/>
      <c r="BV337" s="182"/>
      <c r="BW337" s="182"/>
      <c r="BX337" s="182"/>
      <c r="BY337" s="182"/>
      <c r="BZ337" s="182"/>
      <c r="CA337" s="182"/>
      <c r="CB337" s="185">
        <v>1266.3000000000002</v>
      </c>
      <c r="CC337" s="185">
        <v>0</v>
      </c>
      <c r="CD337" s="185">
        <v>1694</v>
      </c>
      <c r="CE337" s="185"/>
    </row>
    <row r="338" spans="2:83" x14ac:dyDescent="0.3">
      <c r="B338" s="182">
        <v>2358</v>
      </c>
      <c r="C338" s="182">
        <v>1695</v>
      </c>
      <c r="D338" s="182" t="s">
        <v>78</v>
      </c>
      <c r="E338" s="181" t="s">
        <v>2760</v>
      </c>
      <c r="F338" s="182"/>
      <c r="G338" s="182">
        <v>1688.4</v>
      </c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2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  <c r="AN338" s="182"/>
      <c r="AO338" s="182"/>
      <c r="AP338" s="182"/>
      <c r="AQ338" s="185">
        <v>1688.4</v>
      </c>
      <c r="AR338" s="182">
        <v>1129.3</v>
      </c>
      <c r="AS338" s="182">
        <v>152.30000000000001</v>
      </c>
      <c r="AT338" s="182">
        <v>406.8</v>
      </c>
      <c r="AU338" s="182"/>
      <c r="AV338" s="182"/>
      <c r="AW338" s="182"/>
      <c r="AX338" s="182"/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182"/>
      <c r="BK338" s="182"/>
      <c r="BL338" s="182"/>
      <c r="BM338" s="182"/>
      <c r="BN338" s="182"/>
      <c r="BO338" s="182"/>
      <c r="BP338" s="182"/>
      <c r="BQ338" s="182"/>
      <c r="BR338" s="182"/>
      <c r="BS338" s="182"/>
      <c r="BT338" s="182"/>
      <c r="BU338" s="182"/>
      <c r="BV338" s="182"/>
      <c r="BW338" s="182"/>
      <c r="BX338" s="182"/>
      <c r="BY338" s="182"/>
      <c r="BZ338" s="182"/>
      <c r="CA338" s="182"/>
      <c r="CB338" s="185">
        <v>1688.3999999999999</v>
      </c>
      <c r="CC338" s="185">
        <v>0</v>
      </c>
      <c r="CD338" s="185">
        <v>1695</v>
      </c>
      <c r="CE338" s="185"/>
    </row>
    <row r="339" spans="2:83" x14ac:dyDescent="0.3">
      <c r="B339" s="182">
        <v>2359</v>
      </c>
      <c r="C339" s="182">
        <v>1696</v>
      </c>
      <c r="D339" s="182" t="s">
        <v>78</v>
      </c>
      <c r="E339" s="181" t="s">
        <v>2760</v>
      </c>
      <c r="F339" s="182"/>
      <c r="G339" s="182">
        <v>859.62</v>
      </c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2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/>
      <c r="AN339" s="182"/>
      <c r="AO339" s="182"/>
      <c r="AP339" s="182"/>
      <c r="AQ339" s="185">
        <v>859.62</v>
      </c>
      <c r="AR339" s="182">
        <v>738.03</v>
      </c>
      <c r="AS339" s="182">
        <v>89.45</v>
      </c>
      <c r="AT339" s="182">
        <v>32.14</v>
      </c>
      <c r="AU339" s="182"/>
      <c r="AV339" s="182"/>
      <c r="AW339" s="182"/>
      <c r="AX339" s="182"/>
      <c r="AY339" s="182"/>
      <c r="AZ339" s="182"/>
      <c r="BA339" s="182"/>
      <c r="BB339" s="182"/>
      <c r="BC339" s="182"/>
      <c r="BD339" s="182"/>
      <c r="BE339" s="182"/>
      <c r="BF339" s="182"/>
      <c r="BG339" s="182"/>
      <c r="BH339" s="182"/>
      <c r="BI339" s="182"/>
      <c r="BJ339" s="182"/>
      <c r="BK339" s="182"/>
      <c r="BL339" s="182"/>
      <c r="BM339" s="182"/>
      <c r="BN339" s="182"/>
      <c r="BO339" s="182"/>
      <c r="BP339" s="182"/>
      <c r="BQ339" s="182"/>
      <c r="BR339" s="182"/>
      <c r="BS339" s="182"/>
      <c r="BT339" s="182"/>
      <c r="BU339" s="182"/>
      <c r="BV339" s="182"/>
      <c r="BW339" s="182"/>
      <c r="BX339" s="182"/>
      <c r="BY339" s="182"/>
      <c r="BZ339" s="182"/>
      <c r="CA339" s="182"/>
      <c r="CB339" s="185">
        <v>859.62</v>
      </c>
      <c r="CC339" s="185">
        <v>0</v>
      </c>
      <c r="CD339" s="185">
        <v>1696</v>
      </c>
      <c r="CE339" s="185"/>
    </row>
    <row r="340" spans="2:83" x14ac:dyDescent="0.3">
      <c r="B340" s="182">
        <v>3581</v>
      </c>
      <c r="C340" s="182">
        <v>1697</v>
      </c>
      <c r="D340" s="182" t="s">
        <v>78</v>
      </c>
      <c r="E340" s="181" t="s">
        <v>1863</v>
      </c>
      <c r="F340" s="182"/>
      <c r="G340" s="182">
        <v>13111.25</v>
      </c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2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2"/>
      <c r="AH340" s="182"/>
      <c r="AI340" s="182"/>
      <c r="AJ340" s="182"/>
      <c r="AK340" s="182"/>
      <c r="AL340" s="182"/>
      <c r="AM340" s="182"/>
      <c r="AN340" s="182"/>
      <c r="AO340" s="182"/>
      <c r="AP340" s="182"/>
      <c r="AQ340" s="185">
        <v>13111.25</v>
      </c>
      <c r="AR340" s="182">
        <v>8942.2000000000007</v>
      </c>
      <c r="AS340" s="182">
        <v>1202.8</v>
      </c>
      <c r="AT340" s="182">
        <v>2966.25</v>
      </c>
      <c r="AU340" s="182"/>
      <c r="AV340" s="182"/>
      <c r="AW340" s="182"/>
      <c r="AX340" s="182"/>
      <c r="AY340" s="182"/>
      <c r="AZ340" s="182"/>
      <c r="BA340" s="182"/>
      <c r="BB340" s="182"/>
      <c r="BC340" s="182"/>
      <c r="BD340" s="182"/>
      <c r="BE340" s="182"/>
      <c r="BF340" s="182"/>
      <c r="BG340" s="182"/>
      <c r="BH340" s="182"/>
      <c r="BI340" s="182"/>
      <c r="BJ340" s="182"/>
      <c r="BK340" s="182"/>
      <c r="BL340" s="182"/>
      <c r="BM340" s="182"/>
      <c r="BN340" s="182"/>
      <c r="BO340" s="182"/>
      <c r="BP340" s="182"/>
      <c r="BQ340" s="182"/>
      <c r="BR340" s="182"/>
      <c r="BS340" s="182"/>
      <c r="BT340" s="182"/>
      <c r="BU340" s="182"/>
      <c r="BV340" s="182"/>
      <c r="BW340" s="182"/>
      <c r="BX340" s="182"/>
      <c r="BY340" s="182"/>
      <c r="BZ340" s="182"/>
      <c r="CA340" s="182"/>
      <c r="CB340" s="185">
        <v>13111.25</v>
      </c>
      <c r="CC340" s="185">
        <v>0</v>
      </c>
      <c r="CD340" s="185">
        <v>1697</v>
      </c>
      <c r="CE340" s="185"/>
    </row>
    <row r="341" spans="2:83" x14ac:dyDescent="0.3">
      <c r="B341" s="182">
        <v>2356</v>
      </c>
      <c r="C341" s="182">
        <v>1698</v>
      </c>
      <c r="D341" s="182" t="s">
        <v>78</v>
      </c>
      <c r="E341" s="181" t="s">
        <v>2760</v>
      </c>
      <c r="F341" s="182"/>
      <c r="G341" s="182">
        <v>5390.87</v>
      </c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2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2"/>
      <c r="AH341" s="182"/>
      <c r="AI341" s="182"/>
      <c r="AJ341" s="182"/>
      <c r="AK341" s="182"/>
      <c r="AL341" s="182"/>
      <c r="AM341" s="182"/>
      <c r="AN341" s="182"/>
      <c r="AO341" s="182"/>
      <c r="AP341" s="182"/>
      <c r="AQ341" s="185">
        <v>5390.87</v>
      </c>
      <c r="AR341" s="182">
        <v>4645.6899999999996</v>
      </c>
      <c r="AS341" s="182">
        <v>563.6</v>
      </c>
      <c r="AT341" s="182">
        <v>181.58</v>
      </c>
      <c r="AU341" s="182"/>
      <c r="AV341" s="182"/>
      <c r="AW341" s="182"/>
      <c r="AX341" s="182"/>
      <c r="AY341" s="182"/>
      <c r="AZ341" s="182"/>
      <c r="BA341" s="182"/>
      <c r="BB341" s="182"/>
      <c r="BC341" s="182"/>
      <c r="BD341" s="182"/>
      <c r="BE341" s="182"/>
      <c r="BF341" s="182"/>
      <c r="BG341" s="182"/>
      <c r="BH341" s="182"/>
      <c r="BI341" s="182"/>
      <c r="BJ341" s="182"/>
      <c r="BK341" s="182"/>
      <c r="BL341" s="182"/>
      <c r="BM341" s="182"/>
      <c r="BN341" s="182"/>
      <c r="BO341" s="182"/>
      <c r="BP341" s="182"/>
      <c r="BQ341" s="182"/>
      <c r="BR341" s="182"/>
      <c r="BS341" s="182"/>
      <c r="BT341" s="182"/>
      <c r="BU341" s="182"/>
      <c r="BV341" s="182"/>
      <c r="BW341" s="182"/>
      <c r="BX341" s="182"/>
      <c r="BY341" s="182"/>
      <c r="BZ341" s="182"/>
      <c r="CA341" s="182"/>
      <c r="CB341" s="185">
        <v>5390.87</v>
      </c>
      <c r="CC341" s="185">
        <v>0</v>
      </c>
      <c r="CD341" s="185">
        <v>1698</v>
      </c>
      <c r="CE341" s="185"/>
    </row>
    <row r="342" spans="2:83" x14ac:dyDescent="0.3">
      <c r="B342" s="182">
        <v>2357</v>
      </c>
      <c r="C342" s="182">
        <v>1699</v>
      </c>
      <c r="D342" s="182" t="s">
        <v>78</v>
      </c>
      <c r="E342" s="181" t="s">
        <v>2760</v>
      </c>
      <c r="F342" s="182"/>
      <c r="G342" s="182">
        <v>1266.3</v>
      </c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2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2"/>
      <c r="AH342" s="182"/>
      <c r="AI342" s="182"/>
      <c r="AJ342" s="182"/>
      <c r="AK342" s="182"/>
      <c r="AL342" s="182"/>
      <c r="AM342" s="182"/>
      <c r="AN342" s="182"/>
      <c r="AO342" s="182"/>
      <c r="AP342" s="182"/>
      <c r="AQ342" s="185">
        <v>1266.3</v>
      </c>
      <c r="AR342" s="182">
        <v>847.25</v>
      </c>
      <c r="AS342" s="182">
        <v>113.95</v>
      </c>
      <c r="AT342" s="182">
        <v>305.10000000000002</v>
      </c>
      <c r="AU342" s="182"/>
      <c r="AV342" s="182"/>
      <c r="AW342" s="182"/>
      <c r="AX342" s="182"/>
      <c r="AY342" s="182"/>
      <c r="AZ342" s="182"/>
      <c r="BA342" s="182"/>
      <c r="BB342" s="182"/>
      <c r="BC342" s="182"/>
      <c r="BD342" s="182"/>
      <c r="BE342" s="182"/>
      <c r="BF342" s="182"/>
      <c r="BG342" s="182"/>
      <c r="BH342" s="182"/>
      <c r="BI342" s="182"/>
      <c r="BJ342" s="182"/>
      <c r="BK342" s="182"/>
      <c r="BL342" s="182"/>
      <c r="BM342" s="182"/>
      <c r="BN342" s="182"/>
      <c r="BO342" s="182"/>
      <c r="BP342" s="182"/>
      <c r="BQ342" s="182"/>
      <c r="BR342" s="182"/>
      <c r="BS342" s="182"/>
      <c r="BT342" s="182"/>
      <c r="BU342" s="182"/>
      <c r="BV342" s="182"/>
      <c r="BW342" s="182"/>
      <c r="BX342" s="182"/>
      <c r="BY342" s="182"/>
      <c r="BZ342" s="182"/>
      <c r="CA342" s="182"/>
      <c r="CB342" s="185">
        <v>1266.3000000000002</v>
      </c>
      <c r="CC342" s="185">
        <v>0</v>
      </c>
      <c r="CD342" s="185">
        <v>1699</v>
      </c>
      <c r="CE342" s="185"/>
    </row>
    <row r="343" spans="2:83" x14ac:dyDescent="0.3">
      <c r="B343" s="182">
        <v>2427</v>
      </c>
      <c r="C343" s="182">
        <v>1700</v>
      </c>
      <c r="D343" s="182" t="s">
        <v>78</v>
      </c>
      <c r="E343" s="181" t="s">
        <v>1863</v>
      </c>
      <c r="F343" s="182"/>
      <c r="G343" s="182">
        <v>6331.5</v>
      </c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2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2"/>
      <c r="AH343" s="182"/>
      <c r="AI343" s="182"/>
      <c r="AJ343" s="182"/>
      <c r="AK343" s="182"/>
      <c r="AL343" s="182"/>
      <c r="AM343" s="182"/>
      <c r="AN343" s="182"/>
      <c r="AO343" s="182"/>
      <c r="AP343" s="182"/>
      <c r="AQ343" s="185">
        <v>6331.5</v>
      </c>
      <c r="AR343" s="182">
        <v>4232.75</v>
      </c>
      <c r="AS343" s="182">
        <v>573.25</v>
      </c>
      <c r="AT343" s="182">
        <v>1525.5</v>
      </c>
      <c r="AU343" s="182"/>
      <c r="AV343" s="182"/>
      <c r="AW343" s="182"/>
      <c r="AX343" s="182"/>
      <c r="AY343" s="182"/>
      <c r="AZ343" s="182"/>
      <c r="BA343" s="182"/>
      <c r="BB343" s="182"/>
      <c r="BC343" s="182"/>
      <c r="BD343" s="182"/>
      <c r="BE343" s="182"/>
      <c r="BF343" s="182"/>
      <c r="BG343" s="182"/>
      <c r="BH343" s="182"/>
      <c r="BI343" s="182"/>
      <c r="BJ343" s="182"/>
      <c r="BK343" s="182"/>
      <c r="BL343" s="182"/>
      <c r="BM343" s="182"/>
      <c r="BN343" s="182"/>
      <c r="BO343" s="182"/>
      <c r="BP343" s="182"/>
      <c r="BQ343" s="182"/>
      <c r="BR343" s="182"/>
      <c r="BS343" s="182"/>
      <c r="BT343" s="182"/>
      <c r="BU343" s="182"/>
      <c r="BV343" s="182"/>
      <c r="BW343" s="182"/>
      <c r="BX343" s="182"/>
      <c r="BY343" s="182"/>
      <c r="BZ343" s="182"/>
      <c r="CA343" s="182"/>
      <c r="CB343" s="185">
        <v>6331.5</v>
      </c>
      <c r="CC343" s="185">
        <v>0</v>
      </c>
      <c r="CD343" s="185">
        <v>1700</v>
      </c>
      <c r="CE343" s="185"/>
    </row>
    <row r="344" spans="2:83" x14ac:dyDescent="0.3">
      <c r="B344" s="182">
        <v>2426</v>
      </c>
      <c r="C344" s="182">
        <v>1701</v>
      </c>
      <c r="D344" s="182" t="s">
        <v>78</v>
      </c>
      <c r="E344" s="181" t="s">
        <v>1863</v>
      </c>
      <c r="F344" s="182"/>
      <c r="G344" s="182">
        <v>1758.75</v>
      </c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2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  <c r="AN344" s="182"/>
      <c r="AO344" s="182"/>
      <c r="AP344" s="182"/>
      <c r="AQ344" s="185">
        <v>1758.75</v>
      </c>
      <c r="AR344" s="182">
        <v>1175.3499999999999</v>
      </c>
      <c r="AS344" s="182">
        <v>159.65</v>
      </c>
      <c r="AT344" s="182">
        <v>423.75</v>
      </c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182"/>
      <c r="BK344" s="182"/>
      <c r="BL344" s="182"/>
      <c r="BM344" s="182"/>
      <c r="BN344" s="182"/>
      <c r="BO344" s="182"/>
      <c r="BP344" s="182"/>
      <c r="BQ344" s="182"/>
      <c r="BR344" s="182"/>
      <c r="BS344" s="182"/>
      <c r="BT344" s="182"/>
      <c r="BU344" s="182"/>
      <c r="BV344" s="182"/>
      <c r="BW344" s="182"/>
      <c r="BX344" s="182"/>
      <c r="BY344" s="182"/>
      <c r="BZ344" s="182"/>
      <c r="CA344" s="182"/>
      <c r="CB344" s="185">
        <v>1758.75</v>
      </c>
      <c r="CC344" s="185">
        <v>0</v>
      </c>
      <c r="CD344" s="185">
        <v>1701</v>
      </c>
      <c r="CE344" s="185"/>
    </row>
    <row r="345" spans="2:83" x14ac:dyDescent="0.3">
      <c r="B345" s="182">
        <v>2425</v>
      </c>
      <c r="C345" s="182">
        <v>1702</v>
      </c>
      <c r="D345" s="182" t="s">
        <v>78</v>
      </c>
      <c r="E345" s="181" t="s">
        <v>1863</v>
      </c>
      <c r="F345" s="182"/>
      <c r="G345" s="182">
        <v>3517.5</v>
      </c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2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  <c r="AN345" s="182"/>
      <c r="AO345" s="182"/>
      <c r="AP345" s="182"/>
      <c r="AQ345" s="185">
        <v>3517.5</v>
      </c>
      <c r="AR345" s="182">
        <v>2350.6999999999998</v>
      </c>
      <c r="AS345" s="182">
        <v>319.3</v>
      </c>
      <c r="AT345" s="182">
        <v>847.5</v>
      </c>
      <c r="AU345" s="182"/>
      <c r="AV345" s="182"/>
      <c r="AW345" s="182"/>
      <c r="AX345" s="182"/>
      <c r="AY345" s="182"/>
      <c r="AZ345" s="182"/>
      <c r="BA345" s="182"/>
      <c r="BB345" s="182"/>
      <c r="BC345" s="182"/>
      <c r="BD345" s="182"/>
      <c r="BE345" s="182"/>
      <c r="BF345" s="182"/>
      <c r="BG345" s="182"/>
      <c r="BH345" s="182"/>
      <c r="BI345" s="182"/>
      <c r="BJ345" s="182"/>
      <c r="BK345" s="182"/>
      <c r="BL345" s="182"/>
      <c r="BM345" s="182"/>
      <c r="BN345" s="182"/>
      <c r="BO345" s="182"/>
      <c r="BP345" s="182"/>
      <c r="BQ345" s="182"/>
      <c r="BR345" s="182"/>
      <c r="BS345" s="182"/>
      <c r="BT345" s="182"/>
      <c r="BU345" s="182"/>
      <c r="BV345" s="182"/>
      <c r="BW345" s="182"/>
      <c r="BX345" s="182"/>
      <c r="BY345" s="182"/>
      <c r="BZ345" s="182"/>
      <c r="CA345" s="182"/>
      <c r="CB345" s="185">
        <v>3517.5</v>
      </c>
      <c r="CC345" s="185">
        <v>0</v>
      </c>
      <c r="CD345" s="185">
        <v>1702</v>
      </c>
      <c r="CE345" s="185"/>
    </row>
    <row r="346" spans="2:83" x14ac:dyDescent="0.3">
      <c r="B346" s="182">
        <v>2327</v>
      </c>
      <c r="C346" s="182">
        <v>1703</v>
      </c>
      <c r="D346" s="182" t="s">
        <v>78</v>
      </c>
      <c r="E346" s="181" t="s">
        <v>1929</v>
      </c>
      <c r="F346" s="182"/>
      <c r="G346" s="182">
        <v>2036.98</v>
      </c>
      <c r="H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2"/>
      <c r="X346" s="182"/>
      <c r="Y346" s="182"/>
      <c r="Z346" s="182"/>
      <c r="AA346" s="182"/>
      <c r="AB346" s="182"/>
      <c r="AC346" s="182"/>
      <c r="AD346" s="182"/>
      <c r="AE346" s="182"/>
      <c r="AF346" s="182"/>
      <c r="AG346" s="182"/>
      <c r="AH346" s="182"/>
      <c r="AI346" s="182"/>
      <c r="AJ346" s="182"/>
      <c r="AK346" s="182"/>
      <c r="AL346" s="182"/>
      <c r="AM346" s="182"/>
      <c r="AN346" s="182"/>
      <c r="AO346" s="182"/>
      <c r="AP346" s="182"/>
      <c r="AQ346" s="185">
        <v>2036.98</v>
      </c>
      <c r="AR346" s="182">
        <v>1732.72</v>
      </c>
      <c r="AS346" s="182">
        <v>210.95</v>
      </c>
      <c r="AT346" s="182">
        <v>93.31</v>
      </c>
      <c r="AU346" s="182"/>
      <c r="AV346" s="182"/>
      <c r="AW346" s="182"/>
      <c r="AX346" s="182"/>
      <c r="AY346" s="182"/>
      <c r="AZ346" s="182"/>
      <c r="BA346" s="182"/>
      <c r="BB346" s="182"/>
      <c r="BC346" s="182"/>
      <c r="BD346" s="182"/>
      <c r="BE346" s="182"/>
      <c r="BF346" s="182"/>
      <c r="BG346" s="182"/>
      <c r="BH346" s="182"/>
      <c r="BI346" s="182"/>
      <c r="BJ346" s="182"/>
      <c r="BK346" s="182"/>
      <c r="BL346" s="182"/>
      <c r="BM346" s="182"/>
      <c r="BN346" s="182"/>
      <c r="BO346" s="182"/>
      <c r="BP346" s="182"/>
      <c r="BQ346" s="182"/>
      <c r="BR346" s="182"/>
      <c r="BS346" s="182"/>
      <c r="BT346" s="182"/>
      <c r="BU346" s="182"/>
      <c r="BV346" s="182"/>
      <c r="BW346" s="182"/>
      <c r="BX346" s="182"/>
      <c r="BY346" s="182"/>
      <c r="BZ346" s="182"/>
      <c r="CA346" s="182"/>
      <c r="CB346" s="185">
        <v>2036.98</v>
      </c>
      <c r="CC346" s="185">
        <v>0</v>
      </c>
      <c r="CD346" s="185">
        <v>1703</v>
      </c>
      <c r="CE346" s="185"/>
    </row>
    <row r="347" spans="2:83" x14ac:dyDescent="0.3">
      <c r="B347" s="182">
        <v>3487</v>
      </c>
      <c r="C347" s="182">
        <v>1704</v>
      </c>
      <c r="D347" s="182" t="s">
        <v>78</v>
      </c>
      <c r="E347" s="181" t="s">
        <v>565</v>
      </c>
      <c r="F347" s="182"/>
      <c r="G347" s="182">
        <v>3600</v>
      </c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2"/>
      <c r="X347" s="182"/>
      <c r="Y347" s="182"/>
      <c r="Z347" s="182"/>
      <c r="AA347" s="182"/>
      <c r="AB347" s="182"/>
      <c r="AC347" s="182"/>
      <c r="AD347" s="182"/>
      <c r="AE347" s="182"/>
      <c r="AF347" s="182"/>
      <c r="AG347" s="182"/>
      <c r="AH347" s="182"/>
      <c r="AI347" s="182"/>
      <c r="AJ347" s="182"/>
      <c r="AK347" s="182"/>
      <c r="AL347" s="182"/>
      <c r="AM347" s="182"/>
      <c r="AN347" s="182"/>
      <c r="AO347" s="182"/>
      <c r="AP347" s="182"/>
      <c r="AQ347" s="185">
        <v>3600</v>
      </c>
      <c r="AR347" s="182">
        <v>3213.7</v>
      </c>
      <c r="AS347" s="182">
        <v>386.3</v>
      </c>
      <c r="AT347" s="182"/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182"/>
      <c r="BK347" s="182"/>
      <c r="BL347" s="182"/>
      <c r="BM347" s="182"/>
      <c r="BN347" s="182"/>
      <c r="BO347" s="182"/>
      <c r="BP347" s="182"/>
      <c r="BQ347" s="182"/>
      <c r="BR347" s="182"/>
      <c r="BS347" s="182"/>
      <c r="BT347" s="182"/>
      <c r="BU347" s="182"/>
      <c r="BV347" s="182"/>
      <c r="BW347" s="182"/>
      <c r="BX347" s="182"/>
      <c r="BY347" s="182"/>
      <c r="BZ347" s="182"/>
      <c r="CA347" s="182"/>
      <c r="CB347" s="185">
        <v>3600</v>
      </c>
      <c r="CC347" s="185">
        <v>0</v>
      </c>
      <c r="CD347" s="185">
        <v>1704</v>
      </c>
      <c r="CE347" s="185"/>
    </row>
    <row r="348" spans="2:83" x14ac:dyDescent="0.3">
      <c r="B348" s="182">
        <v>3488</v>
      </c>
      <c r="C348" s="182">
        <v>1705</v>
      </c>
      <c r="D348" s="182" t="s">
        <v>78</v>
      </c>
      <c r="E348" s="181" t="s">
        <v>565</v>
      </c>
      <c r="F348" s="182"/>
      <c r="G348" s="182">
        <v>8100</v>
      </c>
      <c r="H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2"/>
      <c r="X348" s="182"/>
      <c r="Y348" s="182"/>
      <c r="Z348" s="182"/>
      <c r="AA348" s="182"/>
      <c r="AB348" s="182"/>
      <c r="AC348" s="182"/>
      <c r="AD348" s="182"/>
      <c r="AE348" s="182"/>
      <c r="AF348" s="182"/>
      <c r="AG348" s="182"/>
      <c r="AH348" s="182"/>
      <c r="AI348" s="182"/>
      <c r="AJ348" s="182"/>
      <c r="AK348" s="182"/>
      <c r="AL348" s="182"/>
      <c r="AM348" s="182"/>
      <c r="AN348" s="182"/>
      <c r="AO348" s="182"/>
      <c r="AP348" s="182"/>
      <c r="AQ348" s="185">
        <v>8100</v>
      </c>
      <c r="AR348" s="182">
        <v>7227.45</v>
      </c>
      <c r="AS348" s="182">
        <v>872.55</v>
      </c>
      <c r="AT348" s="182"/>
      <c r="AU348" s="182"/>
      <c r="AV348" s="182"/>
      <c r="AW348" s="182"/>
      <c r="AX348" s="182"/>
      <c r="AY348" s="182"/>
      <c r="AZ348" s="182"/>
      <c r="BA348" s="182"/>
      <c r="BB348" s="182"/>
      <c r="BC348" s="182"/>
      <c r="BD348" s="182"/>
      <c r="BE348" s="182"/>
      <c r="BF348" s="182"/>
      <c r="BG348" s="182"/>
      <c r="BH348" s="182"/>
      <c r="BI348" s="182"/>
      <c r="BJ348" s="182"/>
      <c r="BK348" s="182"/>
      <c r="BL348" s="182"/>
      <c r="BM348" s="182"/>
      <c r="BN348" s="182"/>
      <c r="BO348" s="182"/>
      <c r="BP348" s="182"/>
      <c r="BQ348" s="182"/>
      <c r="BR348" s="182"/>
      <c r="BS348" s="182"/>
      <c r="BT348" s="182"/>
      <c r="BU348" s="182"/>
      <c r="BV348" s="182"/>
      <c r="BW348" s="182"/>
      <c r="BX348" s="182"/>
      <c r="BY348" s="182"/>
      <c r="BZ348" s="182"/>
      <c r="CA348" s="182"/>
      <c r="CB348" s="185">
        <v>8100</v>
      </c>
      <c r="CC348" s="185">
        <v>0</v>
      </c>
      <c r="CD348" s="185">
        <v>1705</v>
      </c>
      <c r="CE348" s="185"/>
    </row>
    <row r="349" spans="2:83" x14ac:dyDescent="0.3">
      <c r="B349" s="182">
        <v>3486</v>
      </c>
      <c r="C349" s="182">
        <v>1706</v>
      </c>
      <c r="D349" s="182" t="s">
        <v>78</v>
      </c>
      <c r="E349" s="181" t="s">
        <v>565</v>
      </c>
      <c r="F349" s="182"/>
      <c r="G349" s="182">
        <v>5700</v>
      </c>
      <c r="H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2"/>
      <c r="X349" s="182"/>
      <c r="Y349" s="182"/>
      <c r="Z349" s="182"/>
      <c r="AA349" s="182"/>
      <c r="AB349" s="182"/>
      <c r="AC349" s="182"/>
      <c r="AD349" s="182"/>
      <c r="AE349" s="182"/>
      <c r="AF349" s="182"/>
      <c r="AG349" s="182"/>
      <c r="AH349" s="182"/>
      <c r="AI349" s="182"/>
      <c r="AJ349" s="182"/>
      <c r="AK349" s="182"/>
      <c r="AL349" s="182"/>
      <c r="AM349" s="182"/>
      <c r="AN349" s="182"/>
      <c r="AO349" s="182"/>
      <c r="AP349" s="182"/>
      <c r="AQ349" s="185">
        <v>5700</v>
      </c>
      <c r="AR349" s="182">
        <v>5087.95</v>
      </c>
      <c r="AS349" s="182">
        <v>612.04999999999995</v>
      </c>
      <c r="AT349" s="182"/>
      <c r="AU349" s="182"/>
      <c r="AV349" s="182"/>
      <c r="AW349" s="182"/>
      <c r="AX349" s="182"/>
      <c r="AY349" s="182"/>
      <c r="AZ349" s="182"/>
      <c r="BA349" s="182"/>
      <c r="BB349" s="182"/>
      <c r="BC349" s="182"/>
      <c r="BD349" s="182"/>
      <c r="BE349" s="182"/>
      <c r="BF349" s="182"/>
      <c r="BG349" s="182"/>
      <c r="BH349" s="182"/>
      <c r="BI349" s="182"/>
      <c r="BJ349" s="182"/>
      <c r="BK349" s="182"/>
      <c r="BL349" s="182"/>
      <c r="BM349" s="182"/>
      <c r="BN349" s="182"/>
      <c r="BO349" s="182"/>
      <c r="BP349" s="182"/>
      <c r="BQ349" s="182"/>
      <c r="BR349" s="182"/>
      <c r="BS349" s="182"/>
      <c r="BT349" s="182"/>
      <c r="BU349" s="182"/>
      <c r="BV349" s="182"/>
      <c r="BW349" s="182"/>
      <c r="BX349" s="182"/>
      <c r="BY349" s="182"/>
      <c r="BZ349" s="182"/>
      <c r="CA349" s="182"/>
      <c r="CB349" s="185">
        <v>5700</v>
      </c>
      <c r="CC349" s="185">
        <v>0</v>
      </c>
      <c r="CD349" s="185">
        <v>1706</v>
      </c>
      <c r="CE349" s="185"/>
    </row>
    <row r="350" spans="2:83" x14ac:dyDescent="0.3">
      <c r="B350" s="182">
        <v>3674</v>
      </c>
      <c r="C350" s="182">
        <v>1707</v>
      </c>
      <c r="D350" s="182" t="s">
        <v>78</v>
      </c>
      <c r="E350" s="181" t="s">
        <v>1010</v>
      </c>
      <c r="F350" s="182"/>
      <c r="G350" s="182">
        <v>2100</v>
      </c>
      <c r="H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2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182"/>
      <c r="AI350" s="182"/>
      <c r="AJ350" s="182"/>
      <c r="AK350" s="182"/>
      <c r="AL350" s="182"/>
      <c r="AM350" s="182"/>
      <c r="AN350" s="182"/>
      <c r="AO350" s="182"/>
      <c r="AP350" s="182"/>
      <c r="AQ350" s="185">
        <v>2100</v>
      </c>
      <c r="AR350" s="182">
        <v>1874.6</v>
      </c>
      <c r="AS350" s="182">
        <v>225.4</v>
      </c>
      <c r="AT350" s="182"/>
      <c r="AU350" s="182"/>
      <c r="AV350" s="182"/>
      <c r="AW350" s="182"/>
      <c r="AX350" s="182"/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182"/>
      <c r="BK350" s="182"/>
      <c r="BL350" s="182"/>
      <c r="BM350" s="182"/>
      <c r="BN350" s="182"/>
      <c r="BO350" s="182"/>
      <c r="BP350" s="182"/>
      <c r="BQ350" s="182"/>
      <c r="BR350" s="182"/>
      <c r="BS350" s="182"/>
      <c r="BT350" s="182"/>
      <c r="BU350" s="182"/>
      <c r="BV350" s="182"/>
      <c r="BW350" s="182"/>
      <c r="BX350" s="182"/>
      <c r="BY350" s="182"/>
      <c r="BZ350" s="182"/>
      <c r="CA350" s="182"/>
      <c r="CB350" s="185">
        <v>2100</v>
      </c>
      <c r="CC350" s="185">
        <v>0</v>
      </c>
      <c r="CD350" s="185">
        <v>1707</v>
      </c>
      <c r="CE350" s="185"/>
    </row>
    <row r="351" spans="2:83" x14ac:dyDescent="0.3">
      <c r="B351" s="182">
        <v>3534</v>
      </c>
      <c r="C351" s="182">
        <v>1708</v>
      </c>
      <c r="D351" s="182" t="s">
        <v>78</v>
      </c>
      <c r="E351" s="181" t="s">
        <v>4187</v>
      </c>
      <c r="F351" s="182"/>
      <c r="G351" s="182">
        <v>65250</v>
      </c>
      <c r="H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2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182"/>
      <c r="AI351" s="182"/>
      <c r="AJ351" s="182"/>
      <c r="AK351" s="182"/>
      <c r="AL351" s="182"/>
      <c r="AM351" s="182"/>
      <c r="AN351" s="182"/>
      <c r="AO351" s="182"/>
      <c r="AP351" s="182"/>
      <c r="AQ351" s="185">
        <v>65250</v>
      </c>
      <c r="AR351" s="182">
        <v>58281.25</v>
      </c>
      <c r="AS351" s="182">
        <v>6968.75</v>
      </c>
      <c r="AT351" s="182"/>
      <c r="AU351" s="182"/>
      <c r="AV351" s="182"/>
      <c r="AW351" s="182"/>
      <c r="AX351" s="182"/>
      <c r="AY351" s="182"/>
      <c r="AZ351" s="182"/>
      <c r="BA351" s="182"/>
      <c r="BB351" s="182"/>
      <c r="BC351" s="182"/>
      <c r="BD351" s="182"/>
      <c r="BE351" s="182"/>
      <c r="BF351" s="182"/>
      <c r="BG351" s="182"/>
      <c r="BH351" s="182"/>
      <c r="BI351" s="182"/>
      <c r="BJ351" s="182"/>
      <c r="BK351" s="182"/>
      <c r="BL351" s="182"/>
      <c r="BM351" s="182"/>
      <c r="BN351" s="182"/>
      <c r="BO351" s="182"/>
      <c r="BP351" s="182"/>
      <c r="BQ351" s="182"/>
      <c r="BR351" s="182"/>
      <c r="BS351" s="182"/>
      <c r="BT351" s="182"/>
      <c r="BU351" s="182"/>
      <c r="BV351" s="182"/>
      <c r="BW351" s="182"/>
      <c r="BX351" s="182"/>
      <c r="BY351" s="182"/>
      <c r="BZ351" s="182"/>
      <c r="CA351" s="182"/>
      <c r="CB351" s="185">
        <v>65250</v>
      </c>
      <c r="CC351" s="185">
        <v>0</v>
      </c>
      <c r="CD351" s="185">
        <v>1708</v>
      </c>
      <c r="CE351" s="185"/>
    </row>
    <row r="352" spans="2:83" x14ac:dyDescent="0.3">
      <c r="B352" s="182">
        <v>3536</v>
      </c>
      <c r="C352" s="182">
        <v>1709</v>
      </c>
      <c r="D352" s="182" t="s">
        <v>78</v>
      </c>
      <c r="E352" s="181" t="s">
        <v>4188</v>
      </c>
      <c r="F352" s="182"/>
      <c r="G352" s="182">
        <v>97560</v>
      </c>
      <c r="H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2"/>
      <c r="X352" s="182"/>
      <c r="Y352" s="182"/>
      <c r="Z352" s="182"/>
      <c r="AA352" s="182"/>
      <c r="AB352" s="182"/>
      <c r="AC352" s="182"/>
      <c r="AD352" s="182"/>
      <c r="AE352" s="182"/>
      <c r="AF352" s="182"/>
      <c r="AG352" s="182"/>
      <c r="AH352" s="182"/>
      <c r="AI352" s="182"/>
      <c r="AJ352" s="182"/>
      <c r="AK352" s="182"/>
      <c r="AL352" s="182"/>
      <c r="AM352" s="182"/>
      <c r="AN352" s="182"/>
      <c r="AO352" s="182"/>
      <c r="AP352" s="182"/>
      <c r="AQ352" s="185">
        <v>97560</v>
      </c>
      <c r="AR352" s="182">
        <v>87227.25</v>
      </c>
      <c r="AS352" s="182">
        <v>10332.75</v>
      </c>
      <c r="AT352" s="182"/>
      <c r="AU352" s="182"/>
      <c r="AV352" s="182"/>
      <c r="AW352" s="182"/>
      <c r="AX352" s="182"/>
      <c r="AY352" s="182"/>
      <c r="AZ352" s="182"/>
      <c r="BA352" s="182"/>
      <c r="BB352" s="182"/>
      <c r="BC352" s="182"/>
      <c r="BD352" s="182"/>
      <c r="BE352" s="182"/>
      <c r="BF352" s="182"/>
      <c r="BG352" s="182"/>
      <c r="BH352" s="182"/>
      <c r="BI352" s="182"/>
      <c r="BJ352" s="182"/>
      <c r="BK352" s="182"/>
      <c r="BL352" s="182"/>
      <c r="BM352" s="182"/>
      <c r="BN352" s="182"/>
      <c r="BO352" s="182"/>
      <c r="BP352" s="182"/>
      <c r="BQ352" s="182"/>
      <c r="BR352" s="182"/>
      <c r="BS352" s="182"/>
      <c r="BT352" s="182"/>
      <c r="BU352" s="182"/>
      <c r="BV352" s="182"/>
      <c r="BW352" s="182"/>
      <c r="BX352" s="182"/>
      <c r="BY352" s="182"/>
      <c r="BZ352" s="182"/>
      <c r="CA352" s="182"/>
      <c r="CB352" s="185">
        <v>97560</v>
      </c>
      <c r="CC352" s="185">
        <v>0</v>
      </c>
      <c r="CD352" s="185">
        <v>1709</v>
      </c>
      <c r="CE352" s="185"/>
    </row>
    <row r="353" spans="2:83" x14ac:dyDescent="0.3">
      <c r="B353" s="182">
        <v>3532</v>
      </c>
      <c r="C353" s="182">
        <v>1710</v>
      </c>
      <c r="D353" s="182" t="s">
        <v>78</v>
      </c>
      <c r="E353" s="181" t="s">
        <v>4187</v>
      </c>
      <c r="F353" s="182"/>
      <c r="G353" s="182">
        <v>48750</v>
      </c>
      <c r="H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2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182"/>
      <c r="AI353" s="182"/>
      <c r="AJ353" s="182"/>
      <c r="AK353" s="182"/>
      <c r="AL353" s="182"/>
      <c r="AM353" s="182"/>
      <c r="AN353" s="182"/>
      <c r="AO353" s="182"/>
      <c r="AP353" s="182"/>
      <c r="AQ353" s="185">
        <v>48750</v>
      </c>
      <c r="AR353" s="182">
        <v>43487</v>
      </c>
      <c r="AS353" s="182">
        <v>5263</v>
      </c>
      <c r="AT353" s="182"/>
      <c r="AU353" s="182"/>
      <c r="AV353" s="182"/>
      <c r="AW353" s="182"/>
      <c r="AX353" s="182"/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182"/>
      <c r="BK353" s="182"/>
      <c r="BL353" s="182"/>
      <c r="BM353" s="182"/>
      <c r="BN353" s="182"/>
      <c r="BO353" s="182"/>
      <c r="BP353" s="182"/>
      <c r="BQ353" s="182"/>
      <c r="BR353" s="182"/>
      <c r="BS353" s="182"/>
      <c r="BT353" s="182"/>
      <c r="BU353" s="182"/>
      <c r="BV353" s="182"/>
      <c r="BW353" s="182"/>
      <c r="BX353" s="182"/>
      <c r="BY353" s="182"/>
      <c r="BZ353" s="182"/>
      <c r="CA353" s="182"/>
      <c r="CB353" s="185">
        <v>48750</v>
      </c>
      <c r="CC353" s="185">
        <v>0</v>
      </c>
      <c r="CD353" s="185">
        <v>1710</v>
      </c>
      <c r="CE353" s="185"/>
    </row>
    <row r="354" spans="2:83" x14ac:dyDescent="0.3">
      <c r="B354" s="182">
        <v>3531</v>
      </c>
      <c r="C354" s="182">
        <v>1711</v>
      </c>
      <c r="D354" s="182" t="s">
        <v>78</v>
      </c>
      <c r="E354" s="181" t="s">
        <v>431</v>
      </c>
      <c r="F354" s="182"/>
      <c r="G354" s="182">
        <v>64063.5</v>
      </c>
      <c r="H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2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182"/>
      <c r="AI354" s="182"/>
      <c r="AJ354" s="182"/>
      <c r="AK354" s="182"/>
      <c r="AL354" s="182"/>
      <c r="AM354" s="182"/>
      <c r="AN354" s="182"/>
      <c r="AO354" s="182"/>
      <c r="AP354" s="182"/>
      <c r="AQ354" s="185">
        <v>64063.5</v>
      </c>
      <c r="AR354" s="182">
        <v>56991.3</v>
      </c>
      <c r="AS354" s="182">
        <v>6902.7</v>
      </c>
      <c r="AT354" s="182">
        <v>169.5</v>
      </c>
      <c r="AU354" s="182"/>
      <c r="AV354" s="182"/>
      <c r="AW354" s="182"/>
      <c r="AX354" s="182"/>
      <c r="AY354" s="182"/>
      <c r="AZ354" s="182"/>
      <c r="BA354" s="182"/>
      <c r="BB354" s="182"/>
      <c r="BC354" s="182"/>
      <c r="BD354" s="182"/>
      <c r="BE354" s="182"/>
      <c r="BF354" s="182"/>
      <c r="BG354" s="182"/>
      <c r="BH354" s="182"/>
      <c r="BI354" s="182"/>
      <c r="BJ354" s="182"/>
      <c r="BK354" s="182"/>
      <c r="BL354" s="182"/>
      <c r="BM354" s="182"/>
      <c r="BN354" s="182"/>
      <c r="BO354" s="182"/>
      <c r="BP354" s="182"/>
      <c r="BQ354" s="182"/>
      <c r="BR354" s="182"/>
      <c r="BS354" s="182"/>
      <c r="BT354" s="182"/>
      <c r="BU354" s="182"/>
      <c r="BV354" s="182"/>
      <c r="BW354" s="182"/>
      <c r="BX354" s="182"/>
      <c r="BY354" s="182"/>
      <c r="BZ354" s="182"/>
      <c r="CA354" s="182"/>
      <c r="CB354" s="185">
        <v>64063.5</v>
      </c>
      <c r="CC354" s="185">
        <v>0</v>
      </c>
      <c r="CD354" s="185">
        <v>1711</v>
      </c>
      <c r="CE354" s="185"/>
    </row>
    <row r="355" spans="2:83" x14ac:dyDescent="0.3">
      <c r="B355" s="182">
        <v>3533</v>
      </c>
      <c r="C355" s="182">
        <v>1712</v>
      </c>
      <c r="D355" s="182" t="s">
        <v>78</v>
      </c>
      <c r="E355" s="181" t="s">
        <v>4187</v>
      </c>
      <c r="F355" s="182"/>
      <c r="G355" s="182">
        <v>48750</v>
      </c>
      <c r="H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2"/>
      <c r="X355" s="182"/>
      <c r="Y355" s="182"/>
      <c r="Z355" s="182"/>
      <c r="AA355" s="182"/>
      <c r="AB355" s="182"/>
      <c r="AC355" s="182"/>
      <c r="AD355" s="182"/>
      <c r="AE355" s="182"/>
      <c r="AF355" s="182"/>
      <c r="AG355" s="182"/>
      <c r="AH355" s="182"/>
      <c r="AI355" s="182"/>
      <c r="AJ355" s="182"/>
      <c r="AK355" s="182"/>
      <c r="AL355" s="182"/>
      <c r="AM355" s="182"/>
      <c r="AN355" s="182"/>
      <c r="AO355" s="182"/>
      <c r="AP355" s="182"/>
      <c r="AQ355" s="185">
        <v>48750</v>
      </c>
      <c r="AR355" s="182">
        <v>43487</v>
      </c>
      <c r="AS355" s="182">
        <v>5263</v>
      </c>
      <c r="AT355" s="182"/>
      <c r="AU355" s="182"/>
      <c r="AV355" s="182"/>
      <c r="AW355" s="182"/>
      <c r="AX355" s="182"/>
      <c r="AY355" s="182"/>
      <c r="AZ355" s="182"/>
      <c r="BA355" s="182"/>
      <c r="BB355" s="182"/>
      <c r="BC355" s="182"/>
      <c r="BD355" s="182"/>
      <c r="BE355" s="182"/>
      <c r="BF355" s="182"/>
      <c r="BG355" s="182"/>
      <c r="BH355" s="182"/>
      <c r="BI355" s="182"/>
      <c r="BJ355" s="182"/>
      <c r="BK355" s="182"/>
      <c r="BL355" s="182"/>
      <c r="BM355" s="182"/>
      <c r="BN355" s="182"/>
      <c r="BO355" s="182"/>
      <c r="BP355" s="182"/>
      <c r="BQ355" s="182"/>
      <c r="BR355" s="182"/>
      <c r="BS355" s="182"/>
      <c r="BT355" s="182"/>
      <c r="BU355" s="182"/>
      <c r="BV355" s="182"/>
      <c r="BW355" s="182"/>
      <c r="BX355" s="182"/>
      <c r="BY355" s="182"/>
      <c r="BZ355" s="182"/>
      <c r="CA355" s="182"/>
      <c r="CB355" s="185">
        <v>48750</v>
      </c>
      <c r="CC355" s="185">
        <v>0</v>
      </c>
      <c r="CD355" s="185">
        <v>1712</v>
      </c>
      <c r="CE355" s="185"/>
    </row>
    <row r="356" spans="2:83" x14ac:dyDescent="0.3">
      <c r="B356" s="182">
        <v>3535</v>
      </c>
      <c r="C356" s="182">
        <v>1713</v>
      </c>
      <c r="D356" s="182" t="s">
        <v>78</v>
      </c>
      <c r="E356" s="181" t="s">
        <v>4187</v>
      </c>
      <c r="F356" s="182"/>
      <c r="G356" s="182">
        <v>64500</v>
      </c>
      <c r="H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2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182"/>
      <c r="AI356" s="182"/>
      <c r="AJ356" s="182"/>
      <c r="AK356" s="182"/>
      <c r="AL356" s="182"/>
      <c r="AM356" s="182"/>
      <c r="AN356" s="182"/>
      <c r="AO356" s="182"/>
      <c r="AP356" s="182"/>
      <c r="AQ356" s="185">
        <v>64500</v>
      </c>
      <c r="AR356" s="182">
        <v>57608.5</v>
      </c>
      <c r="AS356" s="182">
        <v>6891.5</v>
      </c>
      <c r="AT356" s="182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182"/>
      <c r="BK356" s="182"/>
      <c r="BL356" s="182"/>
      <c r="BM356" s="182"/>
      <c r="BN356" s="182"/>
      <c r="BO356" s="182"/>
      <c r="BP356" s="182"/>
      <c r="BQ356" s="182"/>
      <c r="BR356" s="182"/>
      <c r="BS356" s="182"/>
      <c r="BT356" s="182"/>
      <c r="BU356" s="182"/>
      <c r="BV356" s="182"/>
      <c r="BW356" s="182"/>
      <c r="BX356" s="182"/>
      <c r="BY356" s="182"/>
      <c r="BZ356" s="182"/>
      <c r="CA356" s="182"/>
      <c r="CB356" s="185">
        <v>64500</v>
      </c>
      <c r="CC356" s="185">
        <v>0</v>
      </c>
      <c r="CD356" s="185">
        <v>1713</v>
      </c>
      <c r="CE356" s="185"/>
    </row>
    <row r="357" spans="2:83" x14ac:dyDescent="0.3">
      <c r="B357" s="182">
        <v>3775</v>
      </c>
      <c r="C357" s="182">
        <v>1714</v>
      </c>
      <c r="D357" s="182" t="s">
        <v>78</v>
      </c>
      <c r="E357" s="181" t="s">
        <v>431</v>
      </c>
      <c r="F357" s="182"/>
      <c r="G357" s="182">
        <v>1407</v>
      </c>
      <c r="H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2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  <c r="AN357" s="182"/>
      <c r="AO357" s="182"/>
      <c r="AP357" s="182"/>
      <c r="AQ357" s="185">
        <v>1407</v>
      </c>
      <c r="AR357" s="182">
        <v>941.2</v>
      </c>
      <c r="AS357" s="182">
        <v>126.8</v>
      </c>
      <c r="AT357" s="182">
        <v>339</v>
      </c>
      <c r="AU357" s="182"/>
      <c r="AV357" s="182"/>
      <c r="AW357" s="182"/>
      <c r="AX357" s="182"/>
      <c r="AY357" s="182"/>
      <c r="AZ357" s="182"/>
      <c r="BA357" s="182"/>
      <c r="BB357" s="182"/>
      <c r="BC357" s="182"/>
      <c r="BD357" s="182"/>
      <c r="BE357" s="182"/>
      <c r="BF357" s="182"/>
      <c r="BG357" s="182"/>
      <c r="BH357" s="182"/>
      <c r="BI357" s="182"/>
      <c r="BJ357" s="182"/>
      <c r="BK357" s="182"/>
      <c r="BL357" s="182"/>
      <c r="BM357" s="182"/>
      <c r="BN357" s="182"/>
      <c r="BO357" s="182"/>
      <c r="BP357" s="182"/>
      <c r="BQ357" s="182"/>
      <c r="BR357" s="182"/>
      <c r="BS357" s="182"/>
      <c r="BT357" s="182"/>
      <c r="BU357" s="182"/>
      <c r="BV357" s="182"/>
      <c r="BW357" s="182"/>
      <c r="BX357" s="182"/>
      <c r="BY357" s="182"/>
      <c r="BZ357" s="182"/>
      <c r="CA357" s="182"/>
      <c r="CB357" s="185">
        <v>1407</v>
      </c>
      <c r="CC357" s="185">
        <v>0</v>
      </c>
      <c r="CD357" s="185">
        <v>1714</v>
      </c>
      <c r="CE357" s="185"/>
    </row>
    <row r="358" spans="2:83" x14ac:dyDescent="0.3">
      <c r="B358" s="182">
        <v>3572</v>
      </c>
      <c r="C358" s="182">
        <v>1715</v>
      </c>
      <c r="D358" s="182" t="s">
        <v>78</v>
      </c>
      <c r="E358" s="181" t="s">
        <v>3175</v>
      </c>
      <c r="F358" s="182"/>
      <c r="G358" s="182">
        <v>46079.26</v>
      </c>
      <c r="H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2"/>
      <c r="X358" s="182"/>
      <c r="Y358" s="182"/>
      <c r="Z358" s="182"/>
      <c r="AA358" s="182"/>
      <c r="AB358" s="182"/>
      <c r="AC358" s="182"/>
      <c r="AD358" s="182"/>
      <c r="AE358" s="182"/>
      <c r="AF358" s="182"/>
      <c r="AG358" s="182"/>
      <c r="AH358" s="182"/>
      <c r="AI358" s="182"/>
      <c r="AJ358" s="182"/>
      <c r="AK358" s="182"/>
      <c r="AL358" s="182"/>
      <c r="AM358" s="182"/>
      <c r="AN358" s="182"/>
      <c r="AO358" s="182"/>
      <c r="AP358" s="182"/>
      <c r="AQ358" s="185">
        <v>46079.26</v>
      </c>
      <c r="AR358" s="182">
        <v>31921.89</v>
      </c>
      <c r="AS358" s="182">
        <v>4242.45</v>
      </c>
      <c r="AT358" s="182">
        <v>9914.92</v>
      </c>
      <c r="AU358" s="182"/>
      <c r="AV358" s="182"/>
      <c r="AW358" s="182"/>
      <c r="AX358" s="182"/>
      <c r="AY358" s="182"/>
      <c r="AZ358" s="182"/>
      <c r="BA358" s="182"/>
      <c r="BB358" s="182"/>
      <c r="BC358" s="182"/>
      <c r="BD358" s="182"/>
      <c r="BE358" s="182"/>
      <c r="BF358" s="182"/>
      <c r="BG358" s="182"/>
      <c r="BH358" s="182"/>
      <c r="BI358" s="182"/>
      <c r="BJ358" s="182"/>
      <c r="BK358" s="182"/>
      <c r="BL358" s="182"/>
      <c r="BM358" s="182"/>
      <c r="BN358" s="182"/>
      <c r="BO358" s="182"/>
      <c r="BP358" s="182"/>
      <c r="BQ358" s="182"/>
      <c r="BR358" s="182"/>
      <c r="BS358" s="182"/>
      <c r="BT358" s="182"/>
      <c r="BU358" s="182"/>
      <c r="BV358" s="182"/>
      <c r="BW358" s="182"/>
      <c r="BX358" s="182"/>
      <c r="BY358" s="182"/>
      <c r="BZ358" s="182"/>
      <c r="CA358" s="182"/>
      <c r="CB358" s="185">
        <v>46079.259999999995</v>
      </c>
      <c r="CC358" s="185">
        <v>0</v>
      </c>
      <c r="CD358" s="185">
        <v>1715</v>
      </c>
      <c r="CE358" s="185"/>
    </row>
    <row r="359" spans="2:83" x14ac:dyDescent="0.3">
      <c r="B359" s="182">
        <v>3676</v>
      </c>
      <c r="C359" s="182">
        <v>1716</v>
      </c>
      <c r="D359" s="182" t="s">
        <v>78</v>
      </c>
      <c r="E359" s="181" t="s">
        <v>3175</v>
      </c>
      <c r="F359" s="182"/>
      <c r="G359" s="182">
        <v>11145.4</v>
      </c>
      <c r="H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2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182"/>
      <c r="AI359" s="182"/>
      <c r="AJ359" s="182"/>
      <c r="AK359" s="182"/>
      <c r="AL359" s="182"/>
      <c r="AM359" s="182"/>
      <c r="AN359" s="182"/>
      <c r="AO359" s="182"/>
      <c r="AP359" s="182"/>
      <c r="AQ359" s="185">
        <v>11145.4</v>
      </c>
      <c r="AR359" s="182">
        <v>9256.7999999999993</v>
      </c>
      <c r="AS359" s="182">
        <v>1142.8</v>
      </c>
      <c r="AT359" s="182">
        <v>745.8</v>
      </c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182"/>
      <c r="BK359" s="182"/>
      <c r="BL359" s="182"/>
      <c r="BM359" s="182"/>
      <c r="BN359" s="182"/>
      <c r="BO359" s="182"/>
      <c r="BP359" s="182"/>
      <c r="BQ359" s="182"/>
      <c r="BR359" s="182"/>
      <c r="BS359" s="182"/>
      <c r="BT359" s="182"/>
      <c r="BU359" s="182"/>
      <c r="BV359" s="182"/>
      <c r="BW359" s="182"/>
      <c r="BX359" s="182"/>
      <c r="BY359" s="182"/>
      <c r="BZ359" s="182"/>
      <c r="CA359" s="182"/>
      <c r="CB359" s="185">
        <v>11145.399999999998</v>
      </c>
      <c r="CC359" s="185">
        <v>0</v>
      </c>
      <c r="CD359" s="185">
        <v>1716</v>
      </c>
      <c r="CE359" s="185"/>
    </row>
    <row r="360" spans="2:83" x14ac:dyDescent="0.3">
      <c r="B360" s="182">
        <v>3469</v>
      </c>
      <c r="C360" s="182">
        <v>1717</v>
      </c>
      <c r="D360" s="182" t="s">
        <v>78</v>
      </c>
      <c r="E360" s="181" t="s">
        <v>4189</v>
      </c>
      <c r="F360" s="182"/>
      <c r="G360" s="182">
        <v>3120.05</v>
      </c>
      <c r="H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2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182"/>
      <c r="AI360" s="182"/>
      <c r="AJ360" s="182"/>
      <c r="AK360" s="182"/>
      <c r="AL360" s="182"/>
      <c r="AM360" s="182"/>
      <c r="AN360" s="182"/>
      <c r="AO360" s="182"/>
      <c r="AP360" s="182"/>
      <c r="AQ360" s="185">
        <v>3120.05</v>
      </c>
      <c r="AR360" s="182">
        <v>2601.89</v>
      </c>
      <c r="AS360" s="182">
        <v>321.55</v>
      </c>
      <c r="AT360" s="182">
        <v>196.61</v>
      </c>
      <c r="AU360" s="182"/>
      <c r="AV360" s="182"/>
      <c r="AW360" s="182"/>
      <c r="AX360" s="182"/>
      <c r="AY360" s="182"/>
      <c r="AZ360" s="182"/>
      <c r="BA360" s="182"/>
      <c r="BB360" s="182"/>
      <c r="BC360" s="182"/>
      <c r="BD360" s="182"/>
      <c r="BE360" s="182"/>
      <c r="BF360" s="182"/>
      <c r="BG360" s="182"/>
      <c r="BH360" s="182"/>
      <c r="BI360" s="182"/>
      <c r="BJ360" s="182"/>
      <c r="BK360" s="182"/>
      <c r="BL360" s="182"/>
      <c r="BM360" s="182"/>
      <c r="BN360" s="182"/>
      <c r="BO360" s="182"/>
      <c r="BP360" s="182"/>
      <c r="BQ360" s="182"/>
      <c r="BR360" s="182"/>
      <c r="BS360" s="182"/>
      <c r="BT360" s="182"/>
      <c r="BU360" s="182"/>
      <c r="BV360" s="182"/>
      <c r="BW360" s="182"/>
      <c r="BX360" s="182"/>
      <c r="BY360" s="182"/>
      <c r="BZ360" s="182"/>
      <c r="CA360" s="182"/>
      <c r="CB360" s="185">
        <v>3120.05</v>
      </c>
      <c r="CC360" s="185">
        <v>0</v>
      </c>
      <c r="CD360" s="185">
        <v>1717</v>
      </c>
      <c r="CE360" s="185"/>
    </row>
    <row r="361" spans="2:83" x14ac:dyDescent="0.3">
      <c r="B361" s="182">
        <v>2589</v>
      </c>
      <c r="C361" s="182">
        <v>1718</v>
      </c>
      <c r="D361" s="182" t="s">
        <v>78</v>
      </c>
      <c r="E361" s="181" t="s">
        <v>2678</v>
      </c>
      <c r="F361" s="182"/>
      <c r="G361" s="182">
        <v>527.62</v>
      </c>
      <c r="H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2"/>
      <c r="X361" s="182"/>
      <c r="Y361" s="182"/>
      <c r="Z361" s="182"/>
      <c r="AA361" s="182"/>
      <c r="AB361" s="182"/>
      <c r="AC361" s="182"/>
      <c r="AD361" s="182"/>
      <c r="AE361" s="182"/>
      <c r="AF361" s="182"/>
      <c r="AG361" s="182"/>
      <c r="AH361" s="182"/>
      <c r="AI361" s="182"/>
      <c r="AJ361" s="182"/>
      <c r="AK361" s="182"/>
      <c r="AL361" s="182"/>
      <c r="AM361" s="182"/>
      <c r="AN361" s="182"/>
      <c r="AO361" s="182"/>
      <c r="AP361" s="182"/>
      <c r="AQ361" s="185">
        <v>527.62</v>
      </c>
      <c r="AR361" s="182">
        <v>353.2</v>
      </c>
      <c r="AS361" s="182">
        <v>47.3</v>
      </c>
      <c r="AT361" s="182">
        <v>127.12</v>
      </c>
      <c r="AU361" s="182"/>
      <c r="AV361" s="182"/>
      <c r="AW361" s="182"/>
      <c r="AX361" s="182"/>
      <c r="AY361" s="182"/>
      <c r="AZ361" s="182"/>
      <c r="BA361" s="182"/>
      <c r="BB361" s="182"/>
      <c r="BC361" s="182"/>
      <c r="BD361" s="182"/>
      <c r="BE361" s="182"/>
      <c r="BF361" s="182"/>
      <c r="BG361" s="182"/>
      <c r="BH361" s="182"/>
      <c r="BI361" s="182"/>
      <c r="BJ361" s="182"/>
      <c r="BK361" s="182"/>
      <c r="BL361" s="182"/>
      <c r="BM361" s="182"/>
      <c r="BN361" s="182"/>
      <c r="BO361" s="182"/>
      <c r="BP361" s="182"/>
      <c r="BQ361" s="182"/>
      <c r="BR361" s="182"/>
      <c r="BS361" s="182"/>
      <c r="BT361" s="182"/>
      <c r="BU361" s="182"/>
      <c r="BV361" s="182"/>
      <c r="BW361" s="182"/>
      <c r="BX361" s="182"/>
      <c r="BY361" s="182"/>
      <c r="BZ361" s="182"/>
      <c r="CA361" s="182"/>
      <c r="CB361" s="185">
        <v>527.62</v>
      </c>
      <c r="CC361" s="185">
        <v>0</v>
      </c>
      <c r="CD361" s="185">
        <v>1718</v>
      </c>
      <c r="CE361" s="185"/>
    </row>
    <row r="362" spans="2:83" x14ac:dyDescent="0.3">
      <c r="B362" s="182">
        <v>3564</v>
      </c>
      <c r="C362" s="182">
        <v>1719</v>
      </c>
      <c r="D362" s="182" t="s">
        <v>78</v>
      </c>
      <c r="E362" s="181" t="s">
        <v>4190</v>
      </c>
      <c r="F362" s="182"/>
      <c r="G362" s="182">
        <v>117.25</v>
      </c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2"/>
      <c r="X362" s="182"/>
      <c r="Y362" s="182"/>
      <c r="Z362" s="182"/>
      <c r="AA362" s="182"/>
      <c r="AB362" s="182"/>
      <c r="AC362" s="182"/>
      <c r="AD362" s="182"/>
      <c r="AE362" s="182"/>
      <c r="AF362" s="182"/>
      <c r="AG362" s="182"/>
      <c r="AH362" s="182"/>
      <c r="AI362" s="182"/>
      <c r="AJ362" s="182"/>
      <c r="AK362" s="182"/>
      <c r="AL362" s="182"/>
      <c r="AM362" s="182"/>
      <c r="AN362" s="182"/>
      <c r="AO362" s="182"/>
      <c r="AP362" s="182"/>
      <c r="AQ362" s="185">
        <v>117.25</v>
      </c>
      <c r="AR362" s="182">
        <v>78.75</v>
      </c>
      <c r="AS362" s="182">
        <v>10.25</v>
      </c>
      <c r="AT362" s="182">
        <v>28.25</v>
      </c>
      <c r="AU362" s="182"/>
      <c r="AV362" s="182"/>
      <c r="AW362" s="182"/>
      <c r="AX362" s="182"/>
      <c r="AY362" s="182"/>
      <c r="AZ362" s="182"/>
      <c r="BA362" s="182"/>
      <c r="BB362" s="182"/>
      <c r="BC362" s="182"/>
      <c r="BD362" s="182"/>
      <c r="BE362" s="182"/>
      <c r="BF362" s="182"/>
      <c r="BG362" s="182"/>
      <c r="BH362" s="182"/>
      <c r="BI362" s="182"/>
      <c r="BJ362" s="182"/>
      <c r="BK362" s="182"/>
      <c r="BL362" s="182"/>
      <c r="BM362" s="182"/>
      <c r="BN362" s="182"/>
      <c r="BO362" s="182"/>
      <c r="BP362" s="182"/>
      <c r="BQ362" s="182"/>
      <c r="BR362" s="182"/>
      <c r="BS362" s="182"/>
      <c r="BT362" s="182"/>
      <c r="BU362" s="182"/>
      <c r="BV362" s="182"/>
      <c r="BW362" s="182"/>
      <c r="BX362" s="182"/>
      <c r="BY362" s="182"/>
      <c r="BZ362" s="182"/>
      <c r="CA362" s="182"/>
      <c r="CB362" s="185">
        <v>117.25</v>
      </c>
      <c r="CC362" s="185">
        <v>0</v>
      </c>
      <c r="CD362" s="185">
        <v>1719</v>
      </c>
      <c r="CE362" s="185"/>
    </row>
    <row r="363" spans="2:83" x14ac:dyDescent="0.3">
      <c r="B363" s="182">
        <v>3526</v>
      </c>
      <c r="C363" s="182">
        <v>1720</v>
      </c>
      <c r="D363" s="182" t="s">
        <v>78</v>
      </c>
      <c r="E363" s="181" t="s">
        <v>4191</v>
      </c>
      <c r="F363" s="182"/>
      <c r="G363" s="182">
        <v>9710.3799999999992</v>
      </c>
      <c r="H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2"/>
      <c r="X363" s="182"/>
      <c r="Y363" s="182"/>
      <c r="Z363" s="182"/>
      <c r="AA363" s="182"/>
      <c r="AB363" s="182"/>
      <c r="AC363" s="182"/>
      <c r="AD363" s="182"/>
      <c r="AE363" s="182"/>
      <c r="AF363" s="182"/>
      <c r="AG363" s="182"/>
      <c r="AH363" s="182"/>
      <c r="AI363" s="182"/>
      <c r="AJ363" s="182"/>
      <c r="AK363" s="182"/>
      <c r="AL363" s="182"/>
      <c r="AM363" s="182"/>
      <c r="AN363" s="182"/>
      <c r="AO363" s="182"/>
      <c r="AP363" s="182"/>
      <c r="AQ363" s="185">
        <v>9710.3799999999992</v>
      </c>
      <c r="AR363" s="182">
        <v>8576.4500000000007</v>
      </c>
      <c r="AS363" s="182">
        <v>1035.05</v>
      </c>
      <c r="AT363" s="182">
        <v>98.88</v>
      </c>
      <c r="AU363" s="182"/>
      <c r="AV363" s="182"/>
      <c r="AW363" s="182"/>
      <c r="AX363" s="182"/>
      <c r="AY363" s="182"/>
      <c r="AZ363" s="182"/>
      <c r="BA363" s="182"/>
      <c r="BB363" s="182"/>
      <c r="BC363" s="182"/>
      <c r="BD363" s="182"/>
      <c r="BE363" s="182"/>
      <c r="BF363" s="182"/>
      <c r="BG363" s="182"/>
      <c r="BH363" s="182"/>
      <c r="BI363" s="182"/>
      <c r="BJ363" s="182"/>
      <c r="BK363" s="182"/>
      <c r="BL363" s="182"/>
      <c r="BM363" s="182"/>
      <c r="BN363" s="182"/>
      <c r="BO363" s="182"/>
      <c r="BP363" s="182"/>
      <c r="BQ363" s="182"/>
      <c r="BR363" s="182"/>
      <c r="BS363" s="182"/>
      <c r="BT363" s="182"/>
      <c r="BU363" s="182"/>
      <c r="BV363" s="182"/>
      <c r="BW363" s="182"/>
      <c r="BX363" s="182"/>
      <c r="BY363" s="182"/>
      <c r="BZ363" s="182"/>
      <c r="CA363" s="182"/>
      <c r="CB363" s="185">
        <v>9710.3799999999992</v>
      </c>
      <c r="CC363" s="185">
        <v>0</v>
      </c>
      <c r="CD363" s="185">
        <v>1720</v>
      </c>
      <c r="CE363" s="185"/>
    </row>
    <row r="364" spans="2:83" x14ac:dyDescent="0.3">
      <c r="B364" s="182">
        <v>3527</v>
      </c>
      <c r="C364" s="182">
        <v>1721</v>
      </c>
      <c r="D364" s="182" t="s">
        <v>78</v>
      </c>
      <c r="E364" s="181" t="s">
        <v>4191</v>
      </c>
      <c r="F364" s="182"/>
      <c r="G364" s="182">
        <v>1638</v>
      </c>
      <c r="H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2"/>
      <c r="X364" s="182"/>
      <c r="Y364" s="182"/>
      <c r="Z364" s="182"/>
      <c r="AA364" s="182"/>
      <c r="AB364" s="182"/>
      <c r="AC364" s="182"/>
      <c r="AD364" s="182"/>
      <c r="AE364" s="182"/>
      <c r="AF364" s="182"/>
      <c r="AG364" s="182"/>
      <c r="AH364" s="182"/>
      <c r="AI364" s="182"/>
      <c r="AJ364" s="182"/>
      <c r="AK364" s="182"/>
      <c r="AL364" s="182"/>
      <c r="AM364" s="182"/>
      <c r="AN364" s="182"/>
      <c r="AO364" s="182"/>
      <c r="AP364" s="182"/>
      <c r="AQ364" s="185">
        <v>1638</v>
      </c>
      <c r="AR364" s="182">
        <v>1252.8</v>
      </c>
      <c r="AS364" s="182">
        <v>159.19999999999999</v>
      </c>
      <c r="AT364" s="182">
        <v>226</v>
      </c>
      <c r="AU364" s="182"/>
      <c r="AV364" s="182"/>
      <c r="AW364" s="182"/>
      <c r="AX364" s="182"/>
      <c r="AY364" s="182"/>
      <c r="AZ364" s="182"/>
      <c r="BA364" s="182"/>
      <c r="BB364" s="182"/>
      <c r="BC364" s="182"/>
      <c r="BD364" s="182"/>
      <c r="BE364" s="182"/>
      <c r="BF364" s="182"/>
      <c r="BG364" s="182"/>
      <c r="BH364" s="182"/>
      <c r="BI364" s="182"/>
      <c r="BJ364" s="182"/>
      <c r="BK364" s="182"/>
      <c r="BL364" s="182"/>
      <c r="BM364" s="182"/>
      <c r="BN364" s="182"/>
      <c r="BO364" s="182"/>
      <c r="BP364" s="182"/>
      <c r="BQ364" s="182"/>
      <c r="BR364" s="182"/>
      <c r="BS364" s="182"/>
      <c r="BT364" s="182"/>
      <c r="BU364" s="182"/>
      <c r="BV364" s="182"/>
      <c r="BW364" s="182"/>
      <c r="BX364" s="182"/>
      <c r="BY364" s="182"/>
      <c r="BZ364" s="182"/>
      <c r="CA364" s="182"/>
      <c r="CB364" s="185">
        <v>1638</v>
      </c>
      <c r="CC364" s="185">
        <v>0</v>
      </c>
      <c r="CD364" s="185">
        <v>1721</v>
      </c>
      <c r="CE364" s="185"/>
    </row>
    <row r="365" spans="2:83" x14ac:dyDescent="0.3">
      <c r="B365" s="182"/>
      <c r="C365" s="182">
        <v>1722</v>
      </c>
      <c r="D365" s="182" t="s">
        <v>332</v>
      </c>
      <c r="E365" s="181" t="s">
        <v>899</v>
      </c>
      <c r="F365" s="182"/>
      <c r="G365" s="182"/>
      <c r="H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2"/>
      <c r="X365" s="182"/>
      <c r="Y365" s="182"/>
      <c r="Z365" s="182"/>
      <c r="AA365" s="182"/>
      <c r="AB365" s="182"/>
      <c r="AC365" s="182"/>
      <c r="AD365" s="182"/>
      <c r="AE365" s="182"/>
      <c r="AF365" s="182"/>
      <c r="AG365" s="182"/>
      <c r="AH365" s="182"/>
      <c r="AI365" s="182"/>
      <c r="AJ365" s="182"/>
      <c r="AK365" s="182"/>
      <c r="AL365" s="182"/>
      <c r="AM365" s="182"/>
      <c r="AN365" s="182"/>
      <c r="AO365" s="182"/>
      <c r="AP365" s="182"/>
      <c r="AQ365" s="185">
        <v>0</v>
      </c>
      <c r="AR365" s="182"/>
      <c r="AS365" s="182"/>
      <c r="AT365" s="182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182"/>
      <c r="BK365" s="182"/>
      <c r="BL365" s="182"/>
      <c r="BM365" s="182"/>
      <c r="BN365" s="182"/>
      <c r="BO365" s="182"/>
      <c r="BP365" s="182"/>
      <c r="BQ365" s="182"/>
      <c r="BR365" s="182"/>
      <c r="BS365" s="182"/>
      <c r="BT365" s="182"/>
      <c r="BU365" s="182"/>
      <c r="BV365" s="182"/>
      <c r="BW365" s="182"/>
      <c r="BX365" s="182"/>
      <c r="BY365" s="182"/>
      <c r="BZ365" s="182"/>
      <c r="CA365" s="182"/>
      <c r="CB365" s="185">
        <v>0</v>
      </c>
      <c r="CC365" s="185">
        <v>0</v>
      </c>
      <c r="CD365" s="185">
        <v>1722</v>
      </c>
      <c r="CE365" s="185"/>
    </row>
    <row r="366" spans="2:83" x14ac:dyDescent="0.3">
      <c r="B366" s="182">
        <v>3529</v>
      </c>
      <c r="C366" s="182">
        <v>1723</v>
      </c>
      <c r="D366" s="182" t="s">
        <v>78</v>
      </c>
      <c r="E366" s="181" t="s">
        <v>4191</v>
      </c>
      <c r="F366" s="182"/>
      <c r="G366" s="182">
        <v>2345.0100000000002</v>
      </c>
      <c r="H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2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/>
      <c r="AH366" s="182"/>
      <c r="AI366" s="182"/>
      <c r="AJ366" s="182"/>
      <c r="AK366" s="182"/>
      <c r="AL366" s="182"/>
      <c r="AM366" s="182"/>
      <c r="AN366" s="182"/>
      <c r="AO366" s="182"/>
      <c r="AP366" s="182"/>
      <c r="AQ366" s="185">
        <v>2345.0100000000002</v>
      </c>
      <c r="AR366" s="182">
        <v>1566.72</v>
      </c>
      <c r="AS366" s="182">
        <v>213.28</v>
      </c>
      <c r="AT366" s="182">
        <v>565.01</v>
      </c>
      <c r="AU366" s="182"/>
      <c r="AV366" s="182"/>
      <c r="AW366" s="182"/>
      <c r="AX366" s="182"/>
      <c r="AY366" s="182"/>
      <c r="AZ366" s="182"/>
      <c r="BA366" s="182"/>
      <c r="BB366" s="182"/>
      <c r="BC366" s="182"/>
      <c r="BD366" s="182"/>
      <c r="BE366" s="182"/>
      <c r="BF366" s="182"/>
      <c r="BG366" s="182"/>
      <c r="BH366" s="182"/>
      <c r="BI366" s="182"/>
      <c r="BJ366" s="182"/>
      <c r="BK366" s="182"/>
      <c r="BL366" s="182"/>
      <c r="BM366" s="182"/>
      <c r="BN366" s="182"/>
      <c r="BO366" s="182"/>
      <c r="BP366" s="182"/>
      <c r="BQ366" s="182"/>
      <c r="BR366" s="182"/>
      <c r="BS366" s="182"/>
      <c r="BT366" s="182"/>
      <c r="BU366" s="182"/>
      <c r="BV366" s="182"/>
      <c r="BW366" s="182"/>
      <c r="BX366" s="182"/>
      <c r="BY366" s="182"/>
      <c r="BZ366" s="182"/>
      <c r="CA366" s="182"/>
      <c r="CB366" s="185">
        <v>2345.0100000000002</v>
      </c>
      <c r="CC366" s="185">
        <v>0</v>
      </c>
      <c r="CD366" s="185">
        <v>1723</v>
      </c>
      <c r="CE366" s="185"/>
    </row>
    <row r="367" spans="2:83" x14ac:dyDescent="0.3">
      <c r="B367" s="182">
        <v>3530</v>
      </c>
      <c r="C367" s="182">
        <v>1724</v>
      </c>
      <c r="D367" s="182" t="s">
        <v>78</v>
      </c>
      <c r="E367" s="181" t="s">
        <v>4192</v>
      </c>
      <c r="F367" s="182"/>
      <c r="G367" s="182">
        <v>3517.5</v>
      </c>
      <c r="H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2"/>
      <c r="X367" s="182"/>
      <c r="Y367" s="182"/>
      <c r="Z367" s="182"/>
      <c r="AA367" s="182"/>
      <c r="AB367" s="182"/>
      <c r="AC367" s="182"/>
      <c r="AD367" s="182"/>
      <c r="AE367" s="182"/>
      <c r="AF367" s="182"/>
      <c r="AG367" s="182"/>
      <c r="AH367" s="182"/>
      <c r="AI367" s="182"/>
      <c r="AJ367" s="182"/>
      <c r="AK367" s="182"/>
      <c r="AL367" s="182"/>
      <c r="AM367" s="182"/>
      <c r="AN367" s="182"/>
      <c r="AO367" s="182"/>
      <c r="AP367" s="182"/>
      <c r="AQ367" s="185">
        <v>3517.5</v>
      </c>
      <c r="AR367" s="182">
        <v>2353</v>
      </c>
      <c r="AS367" s="182">
        <v>317</v>
      </c>
      <c r="AT367" s="182">
        <v>847.5</v>
      </c>
      <c r="AU367" s="182"/>
      <c r="AV367" s="182"/>
      <c r="AW367" s="182"/>
      <c r="AX367" s="182"/>
      <c r="AY367" s="182"/>
      <c r="AZ367" s="182"/>
      <c r="BA367" s="182"/>
      <c r="BB367" s="182"/>
      <c r="BC367" s="182"/>
      <c r="BD367" s="182"/>
      <c r="BE367" s="182"/>
      <c r="BF367" s="182"/>
      <c r="BG367" s="182"/>
      <c r="BH367" s="182"/>
      <c r="BI367" s="182"/>
      <c r="BJ367" s="182"/>
      <c r="BK367" s="182"/>
      <c r="BL367" s="182"/>
      <c r="BM367" s="182"/>
      <c r="BN367" s="182"/>
      <c r="BO367" s="182"/>
      <c r="BP367" s="182"/>
      <c r="BQ367" s="182"/>
      <c r="BR367" s="182"/>
      <c r="BS367" s="182"/>
      <c r="BT367" s="182"/>
      <c r="BU367" s="182"/>
      <c r="BV367" s="182"/>
      <c r="BW367" s="182"/>
      <c r="BX367" s="182"/>
      <c r="BY367" s="182"/>
      <c r="BZ367" s="182"/>
      <c r="CA367" s="182"/>
      <c r="CB367" s="185">
        <v>3517.5</v>
      </c>
      <c r="CC367" s="185">
        <v>0</v>
      </c>
      <c r="CD367" s="185">
        <v>1724</v>
      </c>
      <c r="CE367" s="185"/>
    </row>
    <row r="368" spans="2:83" x14ac:dyDescent="0.3">
      <c r="B368" s="182">
        <v>3490</v>
      </c>
      <c r="C368" s="182">
        <v>1725</v>
      </c>
      <c r="D368" s="182" t="s">
        <v>78</v>
      </c>
      <c r="E368" s="181" t="s">
        <v>4193</v>
      </c>
      <c r="F368" s="182"/>
      <c r="G368" s="182">
        <v>351.75</v>
      </c>
      <c r="H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2"/>
      <c r="X368" s="182"/>
      <c r="Y368" s="182"/>
      <c r="Z368" s="182"/>
      <c r="AA368" s="182"/>
      <c r="AB368" s="182"/>
      <c r="AC368" s="182"/>
      <c r="AD368" s="182"/>
      <c r="AE368" s="182"/>
      <c r="AF368" s="182"/>
      <c r="AG368" s="182"/>
      <c r="AH368" s="182"/>
      <c r="AI368" s="182"/>
      <c r="AJ368" s="182"/>
      <c r="AK368" s="182"/>
      <c r="AL368" s="182"/>
      <c r="AM368" s="182"/>
      <c r="AN368" s="182"/>
      <c r="AO368" s="182"/>
      <c r="AP368" s="182"/>
      <c r="AQ368" s="185">
        <v>351.75</v>
      </c>
      <c r="AR368" s="182">
        <v>235.55</v>
      </c>
      <c r="AS368" s="182">
        <v>31.45</v>
      </c>
      <c r="AT368" s="182">
        <v>84.75</v>
      </c>
      <c r="AU368" s="182"/>
      <c r="AV368" s="182"/>
      <c r="AW368" s="182"/>
      <c r="AX368" s="182"/>
      <c r="AY368" s="182"/>
      <c r="AZ368" s="182"/>
      <c r="BA368" s="182"/>
      <c r="BB368" s="182"/>
      <c r="BC368" s="182"/>
      <c r="BD368" s="182"/>
      <c r="BE368" s="182"/>
      <c r="BF368" s="182"/>
      <c r="BG368" s="182"/>
      <c r="BH368" s="182"/>
      <c r="BI368" s="182"/>
      <c r="BJ368" s="182"/>
      <c r="BK368" s="182"/>
      <c r="BL368" s="182"/>
      <c r="BM368" s="182"/>
      <c r="BN368" s="182"/>
      <c r="BO368" s="182"/>
      <c r="BP368" s="182"/>
      <c r="BQ368" s="182"/>
      <c r="BR368" s="182"/>
      <c r="BS368" s="182"/>
      <c r="BT368" s="182"/>
      <c r="BU368" s="182"/>
      <c r="BV368" s="182"/>
      <c r="BW368" s="182"/>
      <c r="BX368" s="182"/>
      <c r="BY368" s="182"/>
      <c r="BZ368" s="182"/>
      <c r="CA368" s="182"/>
      <c r="CB368" s="185">
        <v>351.75</v>
      </c>
      <c r="CC368" s="185">
        <v>0</v>
      </c>
      <c r="CD368" s="185">
        <v>1725</v>
      </c>
      <c r="CE368" s="185"/>
    </row>
    <row r="369" spans="2:83" x14ac:dyDescent="0.3">
      <c r="B369" s="182">
        <v>3491</v>
      </c>
      <c r="C369" s="182">
        <v>1726</v>
      </c>
      <c r="D369" s="182" t="s">
        <v>78</v>
      </c>
      <c r="E369" s="181" t="s">
        <v>4193</v>
      </c>
      <c r="F369" s="182"/>
      <c r="G369" s="182">
        <v>351.75</v>
      </c>
      <c r="H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2"/>
      <c r="X369" s="182"/>
      <c r="Y369" s="182"/>
      <c r="Z369" s="182"/>
      <c r="AA369" s="182"/>
      <c r="AB369" s="182"/>
      <c r="AC369" s="182"/>
      <c r="AD369" s="182"/>
      <c r="AE369" s="182"/>
      <c r="AF369" s="182"/>
      <c r="AG369" s="182"/>
      <c r="AH369" s="182"/>
      <c r="AI369" s="182"/>
      <c r="AJ369" s="182"/>
      <c r="AK369" s="182"/>
      <c r="AL369" s="182"/>
      <c r="AM369" s="182"/>
      <c r="AN369" s="182"/>
      <c r="AO369" s="182"/>
      <c r="AP369" s="182"/>
      <c r="AQ369" s="185">
        <v>351.75</v>
      </c>
      <c r="AR369" s="182">
        <v>235.55</v>
      </c>
      <c r="AS369" s="182">
        <v>31.45</v>
      </c>
      <c r="AT369" s="182">
        <v>84.75</v>
      </c>
      <c r="AU369" s="182"/>
      <c r="AV369" s="182"/>
      <c r="AW369" s="182"/>
      <c r="AX369" s="182"/>
      <c r="AY369" s="182"/>
      <c r="AZ369" s="182"/>
      <c r="BA369" s="182"/>
      <c r="BB369" s="182"/>
      <c r="BC369" s="182"/>
      <c r="BD369" s="182"/>
      <c r="BE369" s="182"/>
      <c r="BF369" s="182"/>
      <c r="BG369" s="182"/>
      <c r="BH369" s="182"/>
      <c r="BI369" s="182"/>
      <c r="BJ369" s="182"/>
      <c r="BK369" s="182"/>
      <c r="BL369" s="182"/>
      <c r="BM369" s="182"/>
      <c r="BN369" s="182"/>
      <c r="BO369" s="182"/>
      <c r="BP369" s="182"/>
      <c r="BQ369" s="182"/>
      <c r="BR369" s="182"/>
      <c r="BS369" s="182"/>
      <c r="BT369" s="182"/>
      <c r="BU369" s="182"/>
      <c r="BV369" s="182"/>
      <c r="BW369" s="182"/>
      <c r="BX369" s="182"/>
      <c r="BY369" s="182"/>
      <c r="BZ369" s="182"/>
      <c r="CA369" s="182"/>
      <c r="CB369" s="185">
        <v>351.75</v>
      </c>
      <c r="CC369" s="185">
        <v>0</v>
      </c>
      <c r="CD369" s="185">
        <v>1726</v>
      </c>
      <c r="CE369" s="185"/>
    </row>
    <row r="370" spans="2:83" x14ac:dyDescent="0.3">
      <c r="B370" s="182">
        <v>3492</v>
      </c>
      <c r="C370" s="182">
        <v>1727</v>
      </c>
      <c r="D370" s="182" t="s">
        <v>78</v>
      </c>
      <c r="E370" s="181" t="s">
        <v>4194</v>
      </c>
      <c r="F370" s="182"/>
      <c r="G370" s="182">
        <v>1172.5</v>
      </c>
      <c r="H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2"/>
      <c r="X370" s="182"/>
      <c r="Y370" s="182"/>
      <c r="Z370" s="182"/>
      <c r="AA370" s="182"/>
      <c r="AB370" s="182"/>
      <c r="AC370" s="182"/>
      <c r="AD370" s="182"/>
      <c r="AE370" s="182"/>
      <c r="AF370" s="182"/>
      <c r="AG370" s="182"/>
      <c r="AH370" s="182"/>
      <c r="AI370" s="182"/>
      <c r="AJ370" s="182"/>
      <c r="AK370" s="182"/>
      <c r="AL370" s="182"/>
      <c r="AM370" s="182"/>
      <c r="AN370" s="182"/>
      <c r="AO370" s="182"/>
      <c r="AP370" s="182"/>
      <c r="AQ370" s="185">
        <v>1172.5</v>
      </c>
      <c r="AR370" s="182">
        <v>784.1</v>
      </c>
      <c r="AS370" s="182">
        <v>105.9</v>
      </c>
      <c r="AT370" s="182">
        <v>282.5</v>
      </c>
      <c r="AU370" s="182"/>
      <c r="AV370" s="182"/>
      <c r="AW370" s="182"/>
      <c r="AX370" s="182"/>
      <c r="AY370" s="182"/>
      <c r="AZ370" s="182"/>
      <c r="BA370" s="182"/>
      <c r="BB370" s="182"/>
      <c r="BC370" s="182"/>
      <c r="BD370" s="182"/>
      <c r="BE370" s="182"/>
      <c r="BF370" s="182"/>
      <c r="BG370" s="182"/>
      <c r="BH370" s="182"/>
      <c r="BI370" s="182"/>
      <c r="BJ370" s="182"/>
      <c r="BK370" s="182"/>
      <c r="BL370" s="182"/>
      <c r="BM370" s="182"/>
      <c r="BN370" s="182"/>
      <c r="BO370" s="182"/>
      <c r="BP370" s="182"/>
      <c r="BQ370" s="182"/>
      <c r="BR370" s="182"/>
      <c r="BS370" s="182"/>
      <c r="BT370" s="182"/>
      <c r="BU370" s="182"/>
      <c r="BV370" s="182"/>
      <c r="BW370" s="182"/>
      <c r="BX370" s="182"/>
      <c r="BY370" s="182"/>
      <c r="BZ370" s="182"/>
      <c r="CA370" s="182"/>
      <c r="CB370" s="185">
        <v>1172.5</v>
      </c>
      <c r="CC370" s="185">
        <v>0</v>
      </c>
      <c r="CD370" s="185">
        <v>1727</v>
      </c>
      <c r="CE370" s="185"/>
    </row>
    <row r="371" spans="2:83" x14ac:dyDescent="0.3">
      <c r="B371" s="182">
        <v>3493</v>
      </c>
      <c r="C371" s="182">
        <v>1728</v>
      </c>
      <c r="D371" s="182" t="s">
        <v>78</v>
      </c>
      <c r="E371" s="181" t="s">
        <v>4195</v>
      </c>
      <c r="F371" s="182"/>
      <c r="G371" s="182">
        <v>7035</v>
      </c>
      <c r="H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2"/>
      <c r="X371" s="182"/>
      <c r="Y371" s="182"/>
      <c r="Z371" s="182"/>
      <c r="AA371" s="182"/>
      <c r="AB371" s="182"/>
      <c r="AC371" s="182"/>
      <c r="AD371" s="182"/>
      <c r="AE371" s="182"/>
      <c r="AF371" s="182"/>
      <c r="AG371" s="182"/>
      <c r="AH371" s="182"/>
      <c r="AI371" s="182"/>
      <c r="AJ371" s="182"/>
      <c r="AK371" s="182"/>
      <c r="AL371" s="182"/>
      <c r="AM371" s="182"/>
      <c r="AN371" s="182"/>
      <c r="AO371" s="182"/>
      <c r="AP371" s="182"/>
      <c r="AQ371" s="185">
        <v>7035</v>
      </c>
      <c r="AR371" s="182">
        <v>4701</v>
      </c>
      <c r="AS371" s="182">
        <v>639</v>
      </c>
      <c r="AT371" s="182">
        <v>1695</v>
      </c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182"/>
      <c r="BK371" s="182"/>
      <c r="BL371" s="182"/>
      <c r="BM371" s="182"/>
      <c r="BN371" s="182"/>
      <c r="BO371" s="182"/>
      <c r="BP371" s="182"/>
      <c r="BQ371" s="182"/>
      <c r="BR371" s="182"/>
      <c r="BS371" s="182"/>
      <c r="BT371" s="182"/>
      <c r="BU371" s="182"/>
      <c r="BV371" s="182"/>
      <c r="BW371" s="182"/>
      <c r="BX371" s="182"/>
      <c r="BY371" s="182"/>
      <c r="BZ371" s="182"/>
      <c r="CA371" s="182"/>
      <c r="CB371" s="185">
        <v>7035</v>
      </c>
      <c r="CC371" s="185">
        <v>0</v>
      </c>
      <c r="CD371" s="185">
        <v>1728</v>
      </c>
      <c r="CE371" s="185"/>
    </row>
    <row r="372" spans="2:83" x14ac:dyDescent="0.3">
      <c r="B372" s="182">
        <v>3494</v>
      </c>
      <c r="C372" s="182">
        <v>1729</v>
      </c>
      <c r="D372" s="182" t="s">
        <v>78</v>
      </c>
      <c r="E372" s="181" t="s">
        <v>4195</v>
      </c>
      <c r="F372" s="182"/>
      <c r="G372" s="182">
        <v>2345</v>
      </c>
      <c r="H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2"/>
      <c r="X372" s="182"/>
      <c r="Y372" s="182"/>
      <c r="Z372" s="182"/>
      <c r="AA372" s="182"/>
      <c r="AB372" s="182"/>
      <c r="AC372" s="182"/>
      <c r="AD372" s="182"/>
      <c r="AE372" s="182"/>
      <c r="AF372" s="182"/>
      <c r="AG372" s="182"/>
      <c r="AH372" s="182"/>
      <c r="AI372" s="182"/>
      <c r="AJ372" s="182"/>
      <c r="AK372" s="182"/>
      <c r="AL372" s="182"/>
      <c r="AM372" s="182"/>
      <c r="AN372" s="182"/>
      <c r="AO372" s="182"/>
      <c r="AP372" s="182"/>
      <c r="AQ372" s="185">
        <v>2345</v>
      </c>
      <c r="AR372" s="182">
        <v>1565.35</v>
      </c>
      <c r="AS372" s="182">
        <v>214.65</v>
      </c>
      <c r="AT372" s="182">
        <v>565</v>
      </c>
      <c r="AU372" s="182"/>
      <c r="AV372" s="182"/>
      <c r="AW372" s="182"/>
      <c r="AX372" s="182"/>
      <c r="AY372" s="182"/>
      <c r="AZ372" s="182"/>
      <c r="BA372" s="182"/>
      <c r="BB372" s="182"/>
      <c r="BC372" s="182"/>
      <c r="BD372" s="182"/>
      <c r="BE372" s="182"/>
      <c r="BF372" s="182"/>
      <c r="BG372" s="182"/>
      <c r="BH372" s="182"/>
      <c r="BI372" s="182"/>
      <c r="BJ372" s="182"/>
      <c r="BK372" s="182"/>
      <c r="BL372" s="182"/>
      <c r="BM372" s="182"/>
      <c r="BN372" s="182"/>
      <c r="BO372" s="182"/>
      <c r="BP372" s="182"/>
      <c r="BQ372" s="182"/>
      <c r="BR372" s="182"/>
      <c r="BS372" s="182"/>
      <c r="BT372" s="182"/>
      <c r="BU372" s="182"/>
      <c r="BV372" s="182"/>
      <c r="BW372" s="182"/>
      <c r="BX372" s="182"/>
      <c r="BY372" s="182"/>
      <c r="BZ372" s="182"/>
      <c r="CA372" s="182"/>
      <c r="CB372" s="185">
        <v>2345</v>
      </c>
      <c r="CC372" s="185">
        <v>0</v>
      </c>
      <c r="CD372" s="185">
        <v>1729</v>
      </c>
      <c r="CE372" s="185"/>
    </row>
    <row r="373" spans="2:83" x14ac:dyDescent="0.3">
      <c r="B373" s="182">
        <v>3495</v>
      </c>
      <c r="C373" s="182">
        <v>1730</v>
      </c>
      <c r="D373" s="182" t="s">
        <v>78</v>
      </c>
      <c r="E373" s="181" t="s">
        <v>4196</v>
      </c>
      <c r="F373" s="182"/>
      <c r="G373" s="182">
        <v>351.75</v>
      </c>
      <c r="H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2"/>
      <c r="X373" s="182"/>
      <c r="Y373" s="182"/>
      <c r="Z373" s="182"/>
      <c r="AA373" s="182"/>
      <c r="AB373" s="182"/>
      <c r="AC373" s="182"/>
      <c r="AD373" s="182"/>
      <c r="AE373" s="182"/>
      <c r="AF373" s="182"/>
      <c r="AG373" s="182"/>
      <c r="AH373" s="182"/>
      <c r="AI373" s="182"/>
      <c r="AJ373" s="182"/>
      <c r="AK373" s="182"/>
      <c r="AL373" s="182"/>
      <c r="AM373" s="182"/>
      <c r="AN373" s="182"/>
      <c r="AO373" s="182"/>
      <c r="AP373" s="182"/>
      <c r="AQ373" s="185">
        <v>351.75</v>
      </c>
      <c r="AR373" s="182">
        <v>235.55</v>
      </c>
      <c r="AS373" s="182">
        <v>31.45</v>
      </c>
      <c r="AT373" s="182">
        <v>84.75</v>
      </c>
      <c r="AU373" s="182"/>
      <c r="AV373" s="182"/>
      <c r="AW373" s="182"/>
      <c r="AX373" s="182"/>
      <c r="AY373" s="182"/>
      <c r="AZ373" s="182"/>
      <c r="BA373" s="182"/>
      <c r="BB373" s="182"/>
      <c r="BC373" s="182"/>
      <c r="BD373" s="182"/>
      <c r="BE373" s="182"/>
      <c r="BF373" s="182"/>
      <c r="BG373" s="182"/>
      <c r="BH373" s="182"/>
      <c r="BI373" s="182"/>
      <c r="BJ373" s="182"/>
      <c r="BK373" s="182"/>
      <c r="BL373" s="182"/>
      <c r="BM373" s="182"/>
      <c r="BN373" s="182"/>
      <c r="BO373" s="182"/>
      <c r="BP373" s="182"/>
      <c r="BQ373" s="182"/>
      <c r="BR373" s="182"/>
      <c r="BS373" s="182"/>
      <c r="BT373" s="182"/>
      <c r="BU373" s="182"/>
      <c r="BV373" s="182"/>
      <c r="BW373" s="182"/>
      <c r="BX373" s="182"/>
      <c r="BY373" s="182"/>
      <c r="BZ373" s="182"/>
      <c r="CA373" s="182"/>
      <c r="CB373" s="185">
        <v>351.75</v>
      </c>
      <c r="CC373" s="185">
        <v>0</v>
      </c>
      <c r="CD373" s="185">
        <v>1730</v>
      </c>
      <c r="CE373" s="185"/>
    </row>
    <row r="374" spans="2:83" x14ac:dyDescent="0.3">
      <c r="B374" s="182">
        <v>3496</v>
      </c>
      <c r="C374" s="182">
        <v>1731</v>
      </c>
      <c r="D374" s="182" t="s">
        <v>78</v>
      </c>
      <c r="E374" s="181" t="s">
        <v>4196</v>
      </c>
      <c r="F374" s="182"/>
      <c r="G374" s="182">
        <v>351.75</v>
      </c>
      <c r="H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2"/>
      <c r="X374" s="182"/>
      <c r="Y374" s="182"/>
      <c r="Z374" s="182"/>
      <c r="AA374" s="182"/>
      <c r="AB374" s="182"/>
      <c r="AC374" s="182"/>
      <c r="AD374" s="182"/>
      <c r="AE374" s="182"/>
      <c r="AF374" s="182"/>
      <c r="AG374" s="182"/>
      <c r="AH374" s="182"/>
      <c r="AI374" s="182"/>
      <c r="AJ374" s="182"/>
      <c r="AK374" s="182"/>
      <c r="AL374" s="182"/>
      <c r="AM374" s="182"/>
      <c r="AN374" s="182"/>
      <c r="AO374" s="182"/>
      <c r="AP374" s="182"/>
      <c r="AQ374" s="185">
        <v>351.75</v>
      </c>
      <c r="AR374" s="182">
        <v>235.55</v>
      </c>
      <c r="AS374" s="182">
        <v>31.45</v>
      </c>
      <c r="AT374" s="182">
        <v>84.75</v>
      </c>
      <c r="AU374" s="182"/>
      <c r="AV374" s="182"/>
      <c r="AW374" s="182"/>
      <c r="AX374" s="182"/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/>
      <c r="BI374" s="182"/>
      <c r="BJ374" s="182"/>
      <c r="BK374" s="182"/>
      <c r="BL374" s="182"/>
      <c r="BM374" s="182"/>
      <c r="BN374" s="182"/>
      <c r="BO374" s="182"/>
      <c r="BP374" s="182"/>
      <c r="BQ374" s="182"/>
      <c r="BR374" s="182"/>
      <c r="BS374" s="182"/>
      <c r="BT374" s="182"/>
      <c r="BU374" s="182"/>
      <c r="BV374" s="182"/>
      <c r="BW374" s="182"/>
      <c r="BX374" s="182"/>
      <c r="BY374" s="182"/>
      <c r="BZ374" s="182"/>
      <c r="CA374" s="182"/>
      <c r="CB374" s="185">
        <v>351.75</v>
      </c>
      <c r="CC374" s="185">
        <v>0</v>
      </c>
      <c r="CD374" s="185">
        <v>1731</v>
      </c>
      <c r="CE374" s="185"/>
    </row>
    <row r="375" spans="2:83" x14ac:dyDescent="0.3">
      <c r="B375" s="182">
        <v>3497</v>
      </c>
      <c r="C375" s="182">
        <v>1732</v>
      </c>
      <c r="D375" s="182" t="s">
        <v>78</v>
      </c>
      <c r="E375" s="181" t="s">
        <v>4196</v>
      </c>
      <c r="F375" s="182"/>
      <c r="G375" s="182">
        <v>351.75</v>
      </c>
      <c r="H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2"/>
      <c r="X375" s="182"/>
      <c r="Y375" s="182"/>
      <c r="Z375" s="182"/>
      <c r="AA375" s="182"/>
      <c r="AB375" s="182"/>
      <c r="AC375" s="182"/>
      <c r="AD375" s="182"/>
      <c r="AE375" s="182"/>
      <c r="AF375" s="182"/>
      <c r="AG375" s="182"/>
      <c r="AH375" s="182"/>
      <c r="AI375" s="182"/>
      <c r="AJ375" s="182"/>
      <c r="AK375" s="182"/>
      <c r="AL375" s="182"/>
      <c r="AM375" s="182"/>
      <c r="AN375" s="182"/>
      <c r="AO375" s="182"/>
      <c r="AP375" s="182"/>
      <c r="AQ375" s="185">
        <v>351.75</v>
      </c>
      <c r="AR375" s="182">
        <v>235.35</v>
      </c>
      <c r="AS375" s="182">
        <v>31.65</v>
      </c>
      <c r="AT375" s="182">
        <v>84.75</v>
      </c>
      <c r="AU375" s="182"/>
      <c r="AV375" s="182"/>
      <c r="AW375" s="182"/>
      <c r="AX375" s="182"/>
      <c r="AY375" s="182"/>
      <c r="AZ375" s="182"/>
      <c r="BA375" s="182"/>
      <c r="BB375" s="182"/>
      <c r="BC375" s="182"/>
      <c r="BD375" s="182"/>
      <c r="BE375" s="182"/>
      <c r="BF375" s="182"/>
      <c r="BG375" s="182"/>
      <c r="BH375" s="182"/>
      <c r="BI375" s="182"/>
      <c r="BJ375" s="182"/>
      <c r="BK375" s="182"/>
      <c r="BL375" s="182"/>
      <c r="BM375" s="182"/>
      <c r="BN375" s="182"/>
      <c r="BO375" s="182"/>
      <c r="BP375" s="182"/>
      <c r="BQ375" s="182"/>
      <c r="BR375" s="182"/>
      <c r="BS375" s="182"/>
      <c r="BT375" s="182"/>
      <c r="BU375" s="182"/>
      <c r="BV375" s="182"/>
      <c r="BW375" s="182"/>
      <c r="BX375" s="182"/>
      <c r="BY375" s="182"/>
      <c r="BZ375" s="182"/>
      <c r="CA375" s="182"/>
      <c r="CB375" s="185">
        <v>351.75</v>
      </c>
      <c r="CC375" s="185">
        <v>0</v>
      </c>
      <c r="CD375" s="185">
        <v>1732</v>
      </c>
      <c r="CE375" s="185"/>
    </row>
    <row r="376" spans="2:83" x14ac:dyDescent="0.3">
      <c r="B376" s="182">
        <v>3498</v>
      </c>
      <c r="C376" s="182">
        <v>1733</v>
      </c>
      <c r="D376" s="182" t="s">
        <v>78</v>
      </c>
      <c r="E376" s="181" t="s">
        <v>4197</v>
      </c>
      <c r="F376" s="182"/>
      <c r="G376" s="182">
        <v>2345</v>
      </c>
      <c r="H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2"/>
      <c r="X376" s="182"/>
      <c r="Y376" s="182"/>
      <c r="Z376" s="182"/>
      <c r="AA376" s="182"/>
      <c r="AB376" s="182"/>
      <c r="AC376" s="182"/>
      <c r="AD376" s="182"/>
      <c r="AE376" s="182"/>
      <c r="AF376" s="182"/>
      <c r="AG376" s="182"/>
      <c r="AH376" s="182"/>
      <c r="AI376" s="182"/>
      <c r="AJ376" s="182"/>
      <c r="AK376" s="182"/>
      <c r="AL376" s="182"/>
      <c r="AM376" s="182"/>
      <c r="AN376" s="182"/>
      <c r="AO376" s="182"/>
      <c r="AP376" s="182"/>
      <c r="AQ376" s="185">
        <v>2345</v>
      </c>
      <c r="AR376" s="182">
        <v>1565.35</v>
      </c>
      <c r="AS376" s="182">
        <v>214.65</v>
      </c>
      <c r="AT376" s="182">
        <v>565</v>
      </c>
      <c r="AU376" s="182"/>
      <c r="AV376" s="182"/>
      <c r="AW376" s="182"/>
      <c r="AX376" s="182"/>
      <c r="AY376" s="182"/>
      <c r="AZ376" s="182"/>
      <c r="BA376" s="182"/>
      <c r="BB376" s="182"/>
      <c r="BC376" s="182"/>
      <c r="BD376" s="182"/>
      <c r="BE376" s="182"/>
      <c r="BF376" s="182"/>
      <c r="BG376" s="182"/>
      <c r="BH376" s="182"/>
      <c r="BI376" s="182"/>
      <c r="BJ376" s="182"/>
      <c r="BK376" s="182"/>
      <c r="BL376" s="182"/>
      <c r="BM376" s="182"/>
      <c r="BN376" s="182"/>
      <c r="BO376" s="182"/>
      <c r="BP376" s="182"/>
      <c r="BQ376" s="182"/>
      <c r="BR376" s="182"/>
      <c r="BS376" s="182"/>
      <c r="BT376" s="182"/>
      <c r="BU376" s="182"/>
      <c r="BV376" s="182"/>
      <c r="BW376" s="182"/>
      <c r="BX376" s="182"/>
      <c r="BY376" s="182"/>
      <c r="BZ376" s="182"/>
      <c r="CA376" s="182"/>
      <c r="CB376" s="185">
        <v>2345</v>
      </c>
      <c r="CC376" s="185">
        <v>0</v>
      </c>
      <c r="CD376" s="185">
        <v>1733</v>
      </c>
      <c r="CE376" s="185"/>
    </row>
    <row r="377" spans="2:83" x14ac:dyDescent="0.3">
      <c r="B377" s="182">
        <v>3499</v>
      </c>
      <c r="C377" s="182">
        <v>1734</v>
      </c>
      <c r="D377" s="182" t="s">
        <v>78</v>
      </c>
      <c r="E377" s="181" t="s">
        <v>4198</v>
      </c>
      <c r="F377" s="182"/>
      <c r="G377" s="182">
        <v>1055.25</v>
      </c>
      <c r="H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2"/>
      <c r="X377" s="182"/>
      <c r="Y377" s="182"/>
      <c r="Z377" s="182"/>
      <c r="AA377" s="182"/>
      <c r="AB377" s="182"/>
      <c r="AC377" s="182"/>
      <c r="AD377" s="182"/>
      <c r="AE377" s="182"/>
      <c r="AF377" s="182"/>
      <c r="AG377" s="182"/>
      <c r="AH377" s="182"/>
      <c r="AI377" s="182"/>
      <c r="AJ377" s="182"/>
      <c r="AK377" s="182"/>
      <c r="AL377" s="182"/>
      <c r="AM377" s="182"/>
      <c r="AN377" s="182"/>
      <c r="AO377" s="182"/>
      <c r="AP377" s="182"/>
      <c r="AQ377" s="185">
        <v>1055.25</v>
      </c>
      <c r="AR377" s="182">
        <v>706.4</v>
      </c>
      <c r="AS377" s="182">
        <v>94.6</v>
      </c>
      <c r="AT377" s="182">
        <v>254.25</v>
      </c>
      <c r="AU377" s="182"/>
      <c r="AV377" s="182"/>
      <c r="AW377" s="182"/>
      <c r="AX377" s="182"/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182"/>
      <c r="BK377" s="182"/>
      <c r="BL377" s="182"/>
      <c r="BM377" s="182"/>
      <c r="BN377" s="182"/>
      <c r="BO377" s="182"/>
      <c r="BP377" s="182"/>
      <c r="BQ377" s="182"/>
      <c r="BR377" s="182"/>
      <c r="BS377" s="182"/>
      <c r="BT377" s="182"/>
      <c r="BU377" s="182"/>
      <c r="BV377" s="182"/>
      <c r="BW377" s="182"/>
      <c r="BX377" s="182"/>
      <c r="BY377" s="182"/>
      <c r="BZ377" s="182"/>
      <c r="CA377" s="182"/>
      <c r="CB377" s="185">
        <v>1055.25</v>
      </c>
      <c r="CC377" s="185">
        <v>0</v>
      </c>
      <c r="CD377" s="185">
        <v>1734</v>
      </c>
      <c r="CE377" s="185"/>
    </row>
    <row r="378" spans="2:83" x14ac:dyDescent="0.3">
      <c r="B378" s="182">
        <v>3500</v>
      </c>
      <c r="C378" s="182">
        <v>1735</v>
      </c>
      <c r="D378" s="182" t="s">
        <v>78</v>
      </c>
      <c r="E378" s="181" t="s">
        <v>4199</v>
      </c>
      <c r="F378" s="182"/>
      <c r="G378" s="182">
        <v>13020</v>
      </c>
      <c r="H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2"/>
      <c r="X378" s="182"/>
      <c r="Y378" s="182"/>
      <c r="Z378" s="182"/>
      <c r="AA378" s="182"/>
      <c r="AB378" s="182"/>
      <c r="AC378" s="182"/>
      <c r="AD378" s="182"/>
      <c r="AE378" s="182"/>
      <c r="AF378" s="182"/>
      <c r="AG378" s="182"/>
      <c r="AH378" s="182"/>
      <c r="AI378" s="182"/>
      <c r="AJ378" s="182"/>
      <c r="AK378" s="182"/>
      <c r="AL378" s="182"/>
      <c r="AM378" s="182"/>
      <c r="AN378" s="182"/>
      <c r="AO378" s="182"/>
      <c r="AP378" s="182"/>
      <c r="AQ378" s="185">
        <v>13020</v>
      </c>
      <c r="AR378" s="182">
        <v>11622.65</v>
      </c>
      <c r="AS378" s="182">
        <v>1397.35</v>
      </c>
      <c r="AT378" s="182"/>
      <c r="AU378" s="182"/>
      <c r="AV378" s="182"/>
      <c r="AW378" s="182"/>
      <c r="AX378" s="182"/>
      <c r="AY378" s="182"/>
      <c r="AZ378" s="182"/>
      <c r="BA378" s="182"/>
      <c r="BB378" s="182"/>
      <c r="BC378" s="182"/>
      <c r="BD378" s="182"/>
      <c r="BE378" s="182"/>
      <c r="BF378" s="182"/>
      <c r="BG378" s="182"/>
      <c r="BH378" s="182"/>
      <c r="BI378" s="182"/>
      <c r="BJ378" s="182"/>
      <c r="BK378" s="182"/>
      <c r="BL378" s="182"/>
      <c r="BM378" s="182"/>
      <c r="BN378" s="182"/>
      <c r="BO378" s="182"/>
      <c r="BP378" s="182"/>
      <c r="BQ378" s="182"/>
      <c r="BR378" s="182"/>
      <c r="BS378" s="182"/>
      <c r="BT378" s="182"/>
      <c r="BU378" s="182"/>
      <c r="BV378" s="182"/>
      <c r="BW378" s="182"/>
      <c r="BX378" s="182"/>
      <c r="BY378" s="182"/>
      <c r="BZ378" s="182"/>
      <c r="CA378" s="182"/>
      <c r="CB378" s="185">
        <v>13020</v>
      </c>
      <c r="CC378" s="185">
        <v>0</v>
      </c>
      <c r="CD378" s="185">
        <v>1735</v>
      </c>
      <c r="CE378" s="185"/>
    </row>
    <row r="379" spans="2:83" x14ac:dyDescent="0.3">
      <c r="B379" s="182">
        <v>3501</v>
      </c>
      <c r="C379" s="182">
        <v>1736</v>
      </c>
      <c r="D379" s="182" t="s">
        <v>78</v>
      </c>
      <c r="E379" s="181" t="s">
        <v>4199</v>
      </c>
      <c r="F379" s="182"/>
      <c r="G379" s="182">
        <v>8098.96</v>
      </c>
      <c r="H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2"/>
      <c r="X379" s="182"/>
      <c r="Y379" s="182"/>
      <c r="Z379" s="182"/>
      <c r="AA379" s="182"/>
      <c r="AB379" s="182"/>
      <c r="AC379" s="182"/>
      <c r="AD379" s="182"/>
      <c r="AE379" s="182"/>
      <c r="AF379" s="182"/>
      <c r="AG379" s="182"/>
      <c r="AH379" s="182"/>
      <c r="AI379" s="182"/>
      <c r="AJ379" s="182"/>
      <c r="AK379" s="182"/>
      <c r="AL379" s="182"/>
      <c r="AM379" s="182"/>
      <c r="AN379" s="182"/>
      <c r="AO379" s="182"/>
      <c r="AP379" s="182"/>
      <c r="AQ379" s="185">
        <v>8098.96</v>
      </c>
      <c r="AR379" s="182">
        <v>6316.23</v>
      </c>
      <c r="AS379" s="182">
        <v>801.85</v>
      </c>
      <c r="AT379" s="182">
        <v>980.88</v>
      </c>
      <c r="AU379" s="182"/>
      <c r="AV379" s="182"/>
      <c r="AW379" s="182"/>
      <c r="AX379" s="182"/>
      <c r="AY379" s="182"/>
      <c r="AZ379" s="182"/>
      <c r="BA379" s="182"/>
      <c r="BB379" s="182"/>
      <c r="BC379" s="182"/>
      <c r="BD379" s="182"/>
      <c r="BE379" s="182"/>
      <c r="BF379" s="182"/>
      <c r="BG379" s="182"/>
      <c r="BH379" s="182"/>
      <c r="BI379" s="182"/>
      <c r="BJ379" s="182"/>
      <c r="BK379" s="182"/>
      <c r="BL379" s="182"/>
      <c r="BM379" s="182"/>
      <c r="BN379" s="182"/>
      <c r="BO379" s="182"/>
      <c r="BP379" s="182"/>
      <c r="BQ379" s="182"/>
      <c r="BR379" s="182"/>
      <c r="BS379" s="182"/>
      <c r="BT379" s="182"/>
      <c r="BU379" s="182"/>
      <c r="BV379" s="182"/>
      <c r="BW379" s="182"/>
      <c r="BX379" s="182"/>
      <c r="BY379" s="182"/>
      <c r="BZ379" s="182"/>
      <c r="CA379" s="182"/>
      <c r="CB379" s="185">
        <v>8098.96</v>
      </c>
      <c r="CC379" s="185">
        <v>0</v>
      </c>
      <c r="CD379" s="185">
        <v>1736</v>
      </c>
      <c r="CE379" s="185"/>
    </row>
    <row r="380" spans="2:83" x14ac:dyDescent="0.3">
      <c r="B380" s="182">
        <v>3502</v>
      </c>
      <c r="C380" s="182">
        <v>1737</v>
      </c>
      <c r="D380" s="182" t="s">
        <v>78</v>
      </c>
      <c r="E380" s="181" t="s">
        <v>3449</v>
      </c>
      <c r="F380" s="182"/>
      <c r="G380" s="182">
        <v>8406.34</v>
      </c>
      <c r="H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2"/>
      <c r="X380" s="182"/>
      <c r="Y380" s="182"/>
      <c r="Z380" s="182"/>
      <c r="AA380" s="182"/>
      <c r="AB380" s="182"/>
      <c r="AC380" s="182"/>
      <c r="AD380" s="182"/>
      <c r="AE380" s="182"/>
      <c r="AF380" s="182"/>
      <c r="AG380" s="182"/>
      <c r="AH380" s="182"/>
      <c r="AI380" s="182"/>
      <c r="AJ380" s="182"/>
      <c r="AK380" s="182"/>
      <c r="AL380" s="182"/>
      <c r="AM380" s="182"/>
      <c r="AN380" s="182"/>
      <c r="AO380" s="182"/>
      <c r="AP380" s="182"/>
      <c r="AQ380" s="185">
        <v>8406.34</v>
      </c>
      <c r="AR380" s="182">
        <v>6430.17</v>
      </c>
      <c r="AS380" s="182">
        <v>819.4</v>
      </c>
      <c r="AT380" s="182">
        <v>1156.77</v>
      </c>
      <c r="AU380" s="182"/>
      <c r="AV380" s="182"/>
      <c r="AW380" s="182"/>
      <c r="AX380" s="182"/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182"/>
      <c r="BK380" s="182"/>
      <c r="BL380" s="182"/>
      <c r="BM380" s="182"/>
      <c r="BN380" s="182"/>
      <c r="BO380" s="182"/>
      <c r="BP380" s="182"/>
      <c r="BQ380" s="182"/>
      <c r="BR380" s="182"/>
      <c r="BS380" s="182"/>
      <c r="BT380" s="182"/>
      <c r="BU380" s="182"/>
      <c r="BV380" s="182"/>
      <c r="BW380" s="182"/>
      <c r="BX380" s="182"/>
      <c r="BY380" s="182"/>
      <c r="BZ380" s="182"/>
      <c r="CA380" s="182"/>
      <c r="CB380" s="185">
        <v>8406.34</v>
      </c>
      <c r="CC380" s="185">
        <v>0</v>
      </c>
      <c r="CD380" s="185">
        <v>1737</v>
      </c>
      <c r="CE380" s="185"/>
    </row>
    <row r="381" spans="2:83" x14ac:dyDescent="0.3">
      <c r="B381" s="182">
        <v>3503</v>
      </c>
      <c r="C381" s="182">
        <v>1738</v>
      </c>
      <c r="D381" s="182" t="s">
        <v>78</v>
      </c>
      <c r="E381" s="181" t="s">
        <v>3449</v>
      </c>
      <c r="F381" s="182"/>
      <c r="G381" s="182">
        <v>938</v>
      </c>
      <c r="H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2"/>
      <c r="X381" s="182"/>
      <c r="Y381" s="182"/>
      <c r="Z381" s="182"/>
      <c r="AA381" s="182"/>
      <c r="AB381" s="182"/>
      <c r="AC381" s="182"/>
      <c r="AD381" s="182"/>
      <c r="AE381" s="182"/>
      <c r="AF381" s="182"/>
      <c r="AG381" s="182"/>
      <c r="AH381" s="182"/>
      <c r="AI381" s="182"/>
      <c r="AJ381" s="182"/>
      <c r="AK381" s="182"/>
      <c r="AL381" s="182"/>
      <c r="AM381" s="182"/>
      <c r="AN381" s="182"/>
      <c r="AO381" s="182"/>
      <c r="AP381" s="182"/>
      <c r="AQ381" s="185">
        <v>938</v>
      </c>
      <c r="AR381" s="182">
        <v>628</v>
      </c>
      <c r="AS381" s="182">
        <v>84</v>
      </c>
      <c r="AT381" s="182">
        <v>226</v>
      </c>
      <c r="AU381" s="182"/>
      <c r="AV381" s="182"/>
      <c r="AW381" s="182"/>
      <c r="AX381" s="182"/>
      <c r="AY381" s="182"/>
      <c r="AZ381" s="182"/>
      <c r="BA381" s="182"/>
      <c r="BB381" s="182"/>
      <c r="BC381" s="182"/>
      <c r="BD381" s="182"/>
      <c r="BE381" s="182"/>
      <c r="BF381" s="182"/>
      <c r="BG381" s="182"/>
      <c r="BH381" s="182"/>
      <c r="BI381" s="182"/>
      <c r="BJ381" s="182"/>
      <c r="BK381" s="182"/>
      <c r="BL381" s="182"/>
      <c r="BM381" s="182"/>
      <c r="BN381" s="182"/>
      <c r="BO381" s="182"/>
      <c r="BP381" s="182"/>
      <c r="BQ381" s="182"/>
      <c r="BR381" s="182"/>
      <c r="BS381" s="182"/>
      <c r="BT381" s="182"/>
      <c r="BU381" s="182"/>
      <c r="BV381" s="182"/>
      <c r="BW381" s="182"/>
      <c r="BX381" s="182"/>
      <c r="BY381" s="182"/>
      <c r="BZ381" s="182"/>
      <c r="CA381" s="182"/>
      <c r="CB381" s="185">
        <v>938</v>
      </c>
      <c r="CC381" s="185">
        <v>0</v>
      </c>
      <c r="CD381" s="185">
        <v>1738</v>
      </c>
      <c r="CE381" s="185"/>
    </row>
    <row r="382" spans="2:83" x14ac:dyDescent="0.3">
      <c r="B382" s="182">
        <v>3504</v>
      </c>
      <c r="C382" s="182">
        <v>1739</v>
      </c>
      <c r="D382" s="182" t="s">
        <v>78</v>
      </c>
      <c r="E382" s="181" t="s">
        <v>3449</v>
      </c>
      <c r="F382" s="182"/>
      <c r="G382" s="182">
        <v>8207.5</v>
      </c>
      <c r="H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2"/>
      <c r="X382" s="182"/>
      <c r="Y382" s="182"/>
      <c r="Z382" s="182"/>
      <c r="AA382" s="182"/>
      <c r="AB382" s="182"/>
      <c r="AC382" s="182"/>
      <c r="AD382" s="182"/>
      <c r="AE382" s="182"/>
      <c r="AF382" s="182"/>
      <c r="AG382" s="182"/>
      <c r="AH382" s="182"/>
      <c r="AI382" s="182"/>
      <c r="AJ382" s="182"/>
      <c r="AK382" s="182"/>
      <c r="AL382" s="182"/>
      <c r="AM382" s="182"/>
      <c r="AN382" s="182"/>
      <c r="AO382" s="182"/>
      <c r="AP382" s="182"/>
      <c r="AQ382" s="185">
        <v>8207.5</v>
      </c>
      <c r="AR382" s="182">
        <v>5489.9</v>
      </c>
      <c r="AS382" s="182">
        <v>740.1</v>
      </c>
      <c r="AT382" s="182">
        <v>1977.5</v>
      </c>
      <c r="AU382" s="182"/>
      <c r="AV382" s="182"/>
      <c r="AW382" s="182"/>
      <c r="AX382" s="182"/>
      <c r="AY382" s="182"/>
      <c r="AZ382" s="182"/>
      <c r="BA382" s="182"/>
      <c r="BB382" s="182"/>
      <c r="BC382" s="182"/>
      <c r="BD382" s="182"/>
      <c r="BE382" s="182"/>
      <c r="BF382" s="182"/>
      <c r="BG382" s="182"/>
      <c r="BH382" s="182"/>
      <c r="BI382" s="182"/>
      <c r="BJ382" s="182"/>
      <c r="BK382" s="182"/>
      <c r="BL382" s="182"/>
      <c r="BM382" s="182"/>
      <c r="BN382" s="182"/>
      <c r="BO382" s="182"/>
      <c r="BP382" s="182"/>
      <c r="BQ382" s="182"/>
      <c r="BR382" s="182"/>
      <c r="BS382" s="182"/>
      <c r="BT382" s="182"/>
      <c r="BU382" s="182"/>
      <c r="BV382" s="182"/>
      <c r="BW382" s="182"/>
      <c r="BX382" s="182"/>
      <c r="BY382" s="182"/>
      <c r="BZ382" s="182"/>
      <c r="CA382" s="182"/>
      <c r="CB382" s="185">
        <v>8207.5</v>
      </c>
      <c r="CC382" s="185">
        <v>0</v>
      </c>
      <c r="CD382" s="185">
        <v>1739</v>
      </c>
      <c r="CE382" s="185"/>
    </row>
    <row r="383" spans="2:83" x14ac:dyDescent="0.3">
      <c r="B383" s="182">
        <v>3505</v>
      </c>
      <c r="C383" s="182">
        <v>1740</v>
      </c>
      <c r="D383" s="182" t="s">
        <v>78</v>
      </c>
      <c r="E383" s="181" t="s">
        <v>3215</v>
      </c>
      <c r="F383" s="182"/>
      <c r="G383" s="182">
        <v>11021.5</v>
      </c>
      <c r="H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2"/>
      <c r="X383" s="182"/>
      <c r="Y383" s="182"/>
      <c r="Z383" s="182"/>
      <c r="AA383" s="182"/>
      <c r="AB383" s="182"/>
      <c r="AC383" s="182"/>
      <c r="AD383" s="182"/>
      <c r="AE383" s="182"/>
      <c r="AF383" s="182"/>
      <c r="AG383" s="182"/>
      <c r="AH383" s="182"/>
      <c r="AI383" s="182"/>
      <c r="AJ383" s="182"/>
      <c r="AK383" s="182"/>
      <c r="AL383" s="182"/>
      <c r="AM383" s="182"/>
      <c r="AN383" s="182"/>
      <c r="AO383" s="182"/>
      <c r="AP383" s="182"/>
      <c r="AQ383" s="185">
        <v>11021.5</v>
      </c>
      <c r="AR383" s="182">
        <v>7365.45</v>
      </c>
      <c r="AS383" s="182">
        <v>1000.55</v>
      </c>
      <c r="AT383" s="182">
        <v>2655.5</v>
      </c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182"/>
      <c r="BK383" s="182"/>
      <c r="BL383" s="182"/>
      <c r="BM383" s="182"/>
      <c r="BN383" s="182"/>
      <c r="BO383" s="182"/>
      <c r="BP383" s="182"/>
      <c r="BQ383" s="182"/>
      <c r="BR383" s="182"/>
      <c r="BS383" s="182"/>
      <c r="BT383" s="182"/>
      <c r="BU383" s="182"/>
      <c r="BV383" s="182"/>
      <c r="BW383" s="182"/>
      <c r="BX383" s="182"/>
      <c r="BY383" s="182"/>
      <c r="BZ383" s="182"/>
      <c r="CA383" s="182"/>
      <c r="CB383" s="185">
        <v>11021.5</v>
      </c>
      <c r="CC383" s="185">
        <v>0</v>
      </c>
      <c r="CD383" s="185">
        <v>1740</v>
      </c>
      <c r="CE383" s="185"/>
    </row>
    <row r="384" spans="2:83" x14ac:dyDescent="0.3">
      <c r="B384" s="182">
        <v>3506</v>
      </c>
      <c r="C384" s="182">
        <v>1741</v>
      </c>
      <c r="D384" s="182" t="s">
        <v>78</v>
      </c>
      <c r="E384" s="181" t="s">
        <v>3215</v>
      </c>
      <c r="F384" s="182"/>
      <c r="G384" s="182">
        <v>1524.25</v>
      </c>
      <c r="H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2"/>
      <c r="X384" s="182"/>
      <c r="Y384" s="182"/>
      <c r="Z384" s="182"/>
      <c r="AA384" s="182"/>
      <c r="AB384" s="182"/>
      <c r="AC384" s="182"/>
      <c r="AD384" s="182"/>
      <c r="AE384" s="182"/>
      <c r="AF384" s="182"/>
      <c r="AG384" s="182"/>
      <c r="AH384" s="182"/>
      <c r="AI384" s="182"/>
      <c r="AJ384" s="182"/>
      <c r="AK384" s="182"/>
      <c r="AL384" s="182"/>
      <c r="AM384" s="182"/>
      <c r="AN384" s="182"/>
      <c r="AO384" s="182"/>
      <c r="AP384" s="182"/>
      <c r="AQ384" s="185">
        <v>1524.25</v>
      </c>
      <c r="AR384" s="182">
        <v>1018.7</v>
      </c>
      <c r="AS384" s="182">
        <v>138.30000000000001</v>
      </c>
      <c r="AT384" s="182">
        <v>367.25</v>
      </c>
      <c r="AU384" s="182"/>
      <c r="AV384" s="182"/>
      <c r="AW384" s="182"/>
      <c r="AX384" s="182"/>
      <c r="AY384" s="182"/>
      <c r="AZ384" s="182"/>
      <c r="BA384" s="182"/>
      <c r="BB384" s="182"/>
      <c r="BC384" s="182"/>
      <c r="BD384" s="182"/>
      <c r="BE384" s="182"/>
      <c r="BF384" s="182"/>
      <c r="BG384" s="182"/>
      <c r="BH384" s="182"/>
      <c r="BI384" s="182"/>
      <c r="BJ384" s="182"/>
      <c r="BK384" s="182"/>
      <c r="BL384" s="182"/>
      <c r="BM384" s="182"/>
      <c r="BN384" s="182"/>
      <c r="BO384" s="182"/>
      <c r="BP384" s="182"/>
      <c r="BQ384" s="182"/>
      <c r="BR384" s="182"/>
      <c r="BS384" s="182"/>
      <c r="BT384" s="182"/>
      <c r="BU384" s="182"/>
      <c r="BV384" s="182"/>
      <c r="BW384" s="182"/>
      <c r="BX384" s="182"/>
      <c r="BY384" s="182"/>
      <c r="BZ384" s="182"/>
      <c r="CA384" s="182"/>
      <c r="CB384" s="185">
        <v>1524.25</v>
      </c>
      <c r="CC384" s="185">
        <v>0</v>
      </c>
      <c r="CD384" s="185">
        <v>1741</v>
      </c>
      <c r="CE384" s="185"/>
    </row>
    <row r="385" spans="2:83" x14ac:dyDescent="0.3">
      <c r="B385" s="182">
        <v>3508</v>
      </c>
      <c r="C385" s="182">
        <v>1742</v>
      </c>
      <c r="D385" s="182" t="s">
        <v>78</v>
      </c>
      <c r="E385" s="181" t="s">
        <v>4200</v>
      </c>
      <c r="F385" s="182"/>
      <c r="G385" s="182">
        <v>3734.5</v>
      </c>
      <c r="H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2"/>
      <c r="X385" s="182"/>
      <c r="Y385" s="182"/>
      <c r="Z385" s="182"/>
      <c r="AA385" s="182"/>
      <c r="AB385" s="182"/>
      <c r="AC385" s="182"/>
      <c r="AD385" s="182"/>
      <c r="AE385" s="182"/>
      <c r="AF385" s="182"/>
      <c r="AG385" s="182"/>
      <c r="AH385" s="182"/>
      <c r="AI385" s="182"/>
      <c r="AJ385" s="182"/>
      <c r="AK385" s="182"/>
      <c r="AL385" s="182"/>
      <c r="AM385" s="182"/>
      <c r="AN385" s="182"/>
      <c r="AO385" s="182"/>
      <c r="AP385" s="182"/>
      <c r="AQ385" s="185">
        <v>3734.5</v>
      </c>
      <c r="AR385" s="182">
        <v>3284.1</v>
      </c>
      <c r="AS385" s="182">
        <v>393.9</v>
      </c>
      <c r="AT385" s="182">
        <v>56.5</v>
      </c>
      <c r="AU385" s="182"/>
      <c r="AV385" s="182"/>
      <c r="AW385" s="182"/>
      <c r="AX385" s="182"/>
      <c r="AY385" s="182"/>
      <c r="AZ385" s="182"/>
      <c r="BA385" s="182"/>
      <c r="BB385" s="182"/>
      <c r="BC385" s="182"/>
      <c r="BD385" s="182"/>
      <c r="BE385" s="182"/>
      <c r="BF385" s="182"/>
      <c r="BG385" s="182"/>
      <c r="BH385" s="182"/>
      <c r="BI385" s="182"/>
      <c r="BJ385" s="182"/>
      <c r="BK385" s="182"/>
      <c r="BL385" s="182"/>
      <c r="BM385" s="182"/>
      <c r="BN385" s="182"/>
      <c r="BO385" s="182"/>
      <c r="BP385" s="182"/>
      <c r="BQ385" s="182"/>
      <c r="BR385" s="182"/>
      <c r="BS385" s="182"/>
      <c r="BT385" s="182"/>
      <c r="BU385" s="182"/>
      <c r="BV385" s="182"/>
      <c r="BW385" s="182"/>
      <c r="BX385" s="182"/>
      <c r="BY385" s="182"/>
      <c r="BZ385" s="182"/>
      <c r="CA385" s="182"/>
      <c r="CB385" s="185">
        <v>3734.5</v>
      </c>
      <c r="CC385" s="185">
        <v>0</v>
      </c>
      <c r="CD385" s="185">
        <v>1742</v>
      </c>
      <c r="CE385" s="185"/>
    </row>
    <row r="386" spans="2:83" x14ac:dyDescent="0.3">
      <c r="B386" s="182">
        <v>3509</v>
      </c>
      <c r="C386" s="182">
        <v>1743</v>
      </c>
      <c r="D386" s="182" t="s">
        <v>78</v>
      </c>
      <c r="E386" s="181" t="s">
        <v>4200</v>
      </c>
      <c r="F386" s="182"/>
      <c r="G386" s="182">
        <v>805.72</v>
      </c>
      <c r="H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2"/>
      <c r="X386" s="182"/>
      <c r="Y386" s="182"/>
      <c r="Z386" s="182"/>
      <c r="AA386" s="182"/>
      <c r="AB386" s="182"/>
      <c r="AC386" s="182"/>
      <c r="AD386" s="182"/>
      <c r="AE386" s="182"/>
      <c r="AF386" s="182"/>
      <c r="AG386" s="182"/>
      <c r="AH386" s="182"/>
      <c r="AI386" s="182"/>
      <c r="AJ386" s="182"/>
      <c r="AK386" s="182"/>
      <c r="AL386" s="182"/>
      <c r="AM386" s="182"/>
      <c r="AN386" s="182"/>
      <c r="AO386" s="182"/>
      <c r="AP386" s="182"/>
      <c r="AQ386" s="185">
        <v>805.72</v>
      </c>
      <c r="AR386" s="182">
        <v>635.47</v>
      </c>
      <c r="AS386" s="182">
        <v>79</v>
      </c>
      <c r="AT386" s="182">
        <v>91.25</v>
      </c>
      <c r="AU386" s="182"/>
      <c r="AV386" s="182"/>
      <c r="AW386" s="182"/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/>
      <c r="BJ386" s="182"/>
      <c r="BK386" s="182"/>
      <c r="BL386" s="182"/>
      <c r="BM386" s="182"/>
      <c r="BN386" s="182"/>
      <c r="BO386" s="182"/>
      <c r="BP386" s="182"/>
      <c r="BQ386" s="182"/>
      <c r="BR386" s="182"/>
      <c r="BS386" s="182"/>
      <c r="BT386" s="182"/>
      <c r="BU386" s="182"/>
      <c r="BV386" s="182"/>
      <c r="BW386" s="182"/>
      <c r="BX386" s="182"/>
      <c r="BY386" s="182"/>
      <c r="BZ386" s="182"/>
      <c r="CA386" s="182"/>
      <c r="CB386" s="185">
        <v>805.72</v>
      </c>
      <c r="CC386" s="185">
        <v>0</v>
      </c>
      <c r="CD386" s="185">
        <v>1743</v>
      </c>
      <c r="CE386" s="185"/>
    </row>
    <row r="387" spans="2:83" x14ac:dyDescent="0.3">
      <c r="B387" s="182">
        <v>3510</v>
      </c>
      <c r="C387" s="182">
        <v>1744</v>
      </c>
      <c r="D387" s="182" t="s">
        <v>78</v>
      </c>
      <c r="E387" s="181" t="s">
        <v>4200</v>
      </c>
      <c r="F387" s="182"/>
      <c r="G387" s="182">
        <v>2929.5</v>
      </c>
      <c r="H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2"/>
      <c r="X387" s="182"/>
      <c r="Y387" s="182"/>
      <c r="Z387" s="182"/>
      <c r="AA387" s="182"/>
      <c r="AB387" s="182"/>
      <c r="AC387" s="182"/>
      <c r="AD387" s="182"/>
      <c r="AE387" s="182"/>
      <c r="AF387" s="182"/>
      <c r="AG387" s="182"/>
      <c r="AH387" s="182"/>
      <c r="AI387" s="182"/>
      <c r="AJ387" s="182"/>
      <c r="AK387" s="182"/>
      <c r="AL387" s="182"/>
      <c r="AM387" s="182"/>
      <c r="AN387" s="182"/>
      <c r="AO387" s="182"/>
      <c r="AP387" s="182"/>
      <c r="AQ387" s="185">
        <v>2929.5</v>
      </c>
      <c r="AR387" s="182">
        <v>2039.9</v>
      </c>
      <c r="AS387" s="182">
        <v>268.10000000000002</v>
      </c>
      <c r="AT387" s="182">
        <v>621.5</v>
      </c>
      <c r="AU387" s="182"/>
      <c r="AV387" s="182"/>
      <c r="AW387" s="182"/>
      <c r="AX387" s="182"/>
      <c r="AY387" s="182"/>
      <c r="AZ387" s="182"/>
      <c r="BA387" s="182"/>
      <c r="BB387" s="182"/>
      <c r="BC387" s="182"/>
      <c r="BD387" s="182"/>
      <c r="BE387" s="182"/>
      <c r="BF387" s="182"/>
      <c r="BG387" s="182"/>
      <c r="BH387" s="182"/>
      <c r="BI387" s="182"/>
      <c r="BJ387" s="182"/>
      <c r="BK387" s="182"/>
      <c r="BL387" s="182"/>
      <c r="BM387" s="182"/>
      <c r="BN387" s="182"/>
      <c r="BO387" s="182"/>
      <c r="BP387" s="182"/>
      <c r="BQ387" s="182"/>
      <c r="BR387" s="182"/>
      <c r="BS387" s="182"/>
      <c r="BT387" s="182"/>
      <c r="BU387" s="182"/>
      <c r="BV387" s="182"/>
      <c r="BW387" s="182"/>
      <c r="BX387" s="182"/>
      <c r="BY387" s="182"/>
      <c r="BZ387" s="182"/>
      <c r="CA387" s="182"/>
      <c r="CB387" s="185">
        <v>2929.5</v>
      </c>
      <c r="CC387" s="185">
        <v>0</v>
      </c>
      <c r="CD387" s="185">
        <v>1744</v>
      </c>
      <c r="CE387" s="185"/>
    </row>
    <row r="388" spans="2:83" x14ac:dyDescent="0.3">
      <c r="B388" s="182">
        <v>3525</v>
      </c>
      <c r="C388" s="182">
        <v>1745</v>
      </c>
      <c r="D388" s="182" t="s">
        <v>78</v>
      </c>
      <c r="E388" s="181" t="s">
        <v>4201</v>
      </c>
      <c r="F388" s="182"/>
      <c r="G388" s="182">
        <v>996.63</v>
      </c>
      <c r="H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2"/>
      <c r="X388" s="182"/>
      <c r="Y388" s="182"/>
      <c r="Z388" s="182"/>
      <c r="AA388" s="182"/>
      <c r="AB388" s="182"/>
      <c r="AC388" s="182"/>
      <c r="AD388" s="182"/>
      <c r="AE388" s="182"/>
      <c r="AF388" s="182"/>
      <c r="AG388" s="182"/>
      <c r="AH388" s="182"/>
      <c r="AI388" s="182"/>
      <c r="AJ388" s="182"/>
      <c r="AK388" s="182"/>
      <c r="AL388" s="182"/>
      <c r="AM388" s="182"/>
      <c r="AN388" s="182"/>
      <c r="AO388" s="182"/>
      <c r="AP388" s="182"/>
      <c r="AQ388" s="185">
        <v>996.63</v>
      </c>
      <c r="AR388" s="182">
        <v>667.1</v>
      </c>
      <c r="AS388" s="182">
        <v>89.4</v>
      </c>
      <c r="AT388" s="182">
        <v>240.13</v>
      </c>
      <c r="AU388" s="182"/>
      <c r="AV388" s="182"/>
      <c r="AW388" s="182"/>
      <c r="AX388" s="182"/>
      <c r="AY388" s="182"/>
      <c r="AZ388" s="182"/>
      <c r="BA388" s="182"/>
      <c r="BB388" s="182"/>
      <c r="BC388" s="182"/>
      <c r="BD388" s="182"/>
      <c r="BE388" s="182"/>
      <c r="BF388" s="182"/>
      <c r="BG388" s="182"/>
      <c r="BH388" s="182"/>
      <c r="BI388" s="182"/>
      <c r="BJ388" s="182"/>
      <c r="BK388" s="182"/>
      <c r="BL388" s="182"/>
      <c r="BM388" s="182"/>
      <c r="BN388" s="182"/>
      <c r="BO388" s="182"/>
      <c r="BP388" s="182"/>
      <c r="BQ388" s="182"/>
      <c r="BR388" s="182"/>
      <c r="BS388" s="182"/>
      <c r="BT388" s="182"/>
      <c r="BU388" s="182"/>
      <c r="BV388" s="182"/>
      <c r="BW388" s="182"/>
      <c r="BX388" s="182"/>
      <c r="BY388" s="182"/>
      <c r="BZ388" s="182"/>
      <c r="CA388" s="182"/>
      <c r="CB388" s="185">
        <v>996.63</v>
      </c>
      <c r="CC388" s="185">
        <v>0</v>
      </c>
      <c r="CD388" s="185">
        <v>1745</v>
      </c>
      <c r="CE388" s="185"/>
    </row>
    <row r="389" spans="2:83" x14ac:dyDescent="0.3">
      <c r="B389" s="182">
        <v>3552</v>
      </c>
      <c r="C389" s="182">
        <v>1746</v>
      </c>
      <c r="D389" s="182" t="s">
        <v>78</v>
      </c>
      <c r="E389" s="181" t="s">
        <v>4202</v>
      </c>
      <c r="F389" s="182"/>
      <c r="G389" s="182">
        <v>586.26</v>
      </c>
      <c r="H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2"/>
      <c r="X389" s="182"/>
      <c r="Y389" s="182"/>
      <c r="Z389" s="182"/>
      <c r="AA389" s="182"/>
      <c r="AB389" s="182"/>
      <c r="AC389" s="182"/>
      <c r="AD389" s="182"/>
      <c r="AE389" s="182"/>
      <c r="AF389" s="182"/>
      <c r="AG389" s="182"/>
      <c r="AH389" s="182"/>
      <c r="AI389" s="182"/>
      <c r="AJ389" s="182"/>
      <c r="AK389" s="182"/>
      <c r="AL389" s="182"/>
      <c r="AM389" s="182"/>
      <c r="AN389" s="182"/>
      <c r="AO389" s="182"/>
      <c r="AP389" s="182"/>
      <c r="AQ389" s="185">
        <v>586.26</v>
      </c>
      <c r="AR389" s="182">
        <v>392.9</v>
      </c>
      <c r="AS389" s="182">
        <v>52.1</v>
      </c>
      <c r="AT389" s="182">
        <v>141.26</v>
      </c>
      <c r="AU389" s="182"/>
      <c r="AV389" s="182"/>
      <c r="AW389" s="182"/>
      <c r="AX389" s="182"/>
      <c r="AY389" s="182"/>
      <c r="AZ389" s="182"/>
      <c r="BA389" s="182"/>
      <c r="BB389" s="182"/>
      <c r="BC389" s="182"/>
      <c r="BD389" s="182"/>
      <c r="BE389" s="182"/>
      <c r="BF389" s="182"/>
      <c r="BG389" s="182"/>
      <c r="BH389" s="182"/>
      <c r="BI389" s="182"/>
      <c r="BJ389" s="182"/>
      <c r="BK389" s="182"/>
      <c r="BL389" s="182"/>
      <c r="BM389" s="182"/>
      <c r="BN389" s="182"/>
      <c r="BO389" s="182"/>
      <c r="BP389" s="182"/>
      <c r="BQ389" s="182"/>
      <c r="BR389" s="182"/>
      <c r="BS389" s="182"/>
      <c r="BT389" s="182"/>
      <c r="BU389" s="182"/>
      <c r="BV389" s="182"/>
      <c r="BW389" s="182"/>
      <c r="BX389" s="182"/>
      <c r="BY389" s="182"/>
      <c r="BZ389" s="182"/>
      <c r="CA389" s="182"/>
      <c r="CB389" s="185">
        <v>586.26</v>
      </c>
      <c r="CC389" s="185">
        <v>0</v>
      </c>
      <c r="CD389" s="185">
        <v>1746</v>
      </c>
      <c r="CE389" s="185"/>
    </row>
    <row r="390" spans="2:83" x14ac:dyDescent="0.3">
      <c r="B390" s="182">
        <v>3666</v>
      </c>
      <c r="C390" s="182">
        <v>1747</v>
      </c>
      <c r="D390" s="182" t="s">
        <v>128</v>
      </c>
      <c r="E390" s="181" t="s">
        <v>3188</v>
      </c>
      <c r="F390" s="182"/>
      <c r="G390" s="182">
        <v>3130.67</v>
      </c>
      <c r="H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2"/>
      <c r="X390" s="182"/>
      <c r="Y390" s="182"/>
      <c r="Z390" s="182"/>
      <c r="AA390" s="182"/>
      <c r="AB390" s="182"/>
      <c r="AC390" s="182"/>
      <c r="AD390" s="182"/>
      <c r="AE390" s="182"/>
      <c r="AF390" s="182"/>
      <c r="AG390" s="182"/>
      <c r="AH390" s="182"/>
      <c r="AI390" s="182"/>
      <c r="AJ390" s="182"/>
      <c r="AK390" s="182"/>
      <c r="AL390" s="182"/>
      <c r="AM390" s="182"/>
      <c r="AN390" s="182"/>
      <c r="AO390" s="182"/>
      <c r="AP390" s="182"/>
      <c r="AQ390" s="185">
        <v>3130.67</v>
      </c>
      <c r="AR390" s="182">
        <v>2554.9699999999998</v>
      </c>
      <c r="AS390" s="182">
        <v>318.14</v>
      </c>
      <c r="AT390" s="182">
        <v>257.56</v>
      </c>
      <c r="AU390" s="182"/>
      <c r="AV390" s="182"/>
      <c r="AW390" s="182"/>
      <c r="AX390" s="182"/>
      <c r="AY390" s="182"/>
      <c r="AZ390" s="182"/>
      <c r="BA390" s="182"/>
      <c r="BB390" s="182"/>
      <c r="BC390" s="182"/>
      <c r="BD390" s="182"/>
      <c r="BE390" s="182"/>
      <c r="BF390" s="182"/>
      <c r="BG390" s="182"/>
      <c r="BH390" s="182"/>
      <c r="BI390" s="182"/>
      <c r="BJ390" s="182"/>
      <c r="BK390" s="182"/>
      <c r="BL390" s="182"/>
      <c r="BM390" s="182"/>
      <c r="BN390" s="182"/>
      <c r="BO390" s="182"/>
      <c r="BP390" s="182"/>
      <c r="BQ390" s="182"/>
      <c r="BR390" s="182"/>
      <c r="BS390" s="182"/>
      <c r="BT390" s="182"/>
      <c r="BU390" s="182"/>
      <c r="BV390" s="182"/>
      <c r="BW390" s="182"/>
      <c r="BX390" s="182"/>
      <c r="BY390" s="182"/>
      <c r="BZ390" s="182"/>
      <c r="CA390" s="182"/>
      <c r="CB390" s="185">
        <v>3130.6699999999996</v>
      </c>
      <c r="CC390" s="185">
        <v>0</v>
      </c>
      <c r="CD390" s="185">
        <v>1747</v>
      </c>
      <c r="CE390" s="185"/>
    </row>
    <row r="391" spans="2:83" x14ac:dyDescent="0.3">
      <c r="B391" s="182">
        <v>3667</v>
      </c>
      <c r="C391" s="182">
        <v>1748</v>
      </c>
      <c r="D391" s="182" t="s">
        <v>128</v>
      </c>
      <c r="E391" s="181" t="s">
        <v>3188</v>
      </c>
      <c r="F391" s="182"/>
      <c r="G391" s="182">
        <v>3845.75</v>
      </c>
      <c r="H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2"/>
      <c r="X391" s="182"/>
      <c r="Y391" s="182"/>
      <c r="Z391" s="182"/>
      <c r="AA391" s="182"/>
      <c r="AB391" s="182"/>
      <c r="AC391" s="182"/>
      <c r="AD391" s="182"/>
      <c r="AE391" s="182"/>
      <c r="AF391" s="182"/>
      <c r="AG391" s="182"/>
      <c r="AH391" s="182"/>
      <c r="AI391" s="182"/>
      <c r="AJ391" s="182"/>
      <c r="AK391" s="182"/>
      <c r="AL391" s="182"/>
      <c r="AM391" s="182"/>
      <c r="AN391" s="182"/>
      <c r="AO391" s="182"/>
      <c r="AP391" s="182"/>
      <c r="AQ391" s="185">
        <v>3845.75</v>
      </c>
      <c r="AR391" s="182">
        <v>3433.02</v>
      </c>
      <c r="AS391" s="182">
        <v>412.73</v>
      </c>
      <c r="AT391" s="182"/>
      <c r="AU391" s="182"/>
      <c r="AV391" s="182"/>
      <c r="AW391" s="182"/>
      <c r="AX391" s="182"/>
      <c r="AY391" s="182"/>
      <c r="AZ391" s="182"/>
      <c r="BA391" s="182"/>
      <c r="BB391" s="182"/>
      <c r="BC391" s="182"/>
      <c r="BD391" s="182"/>
      <c r="BE391" s="182"/>
      <c r="BF391" s="182"/>
      <c r="BG391" s="182"/>
      <c r="BH391" s="182"/>
      <c r="BI391" s="182"/>
      <c r="BJ391" s="182"/>
      <c r="BK391" s="182"/>
      <c r="BL391" s="182"/>
      <c r="BM391" s="182"/>
      <c r="BN391" s="182"/>
      <c r="BO391" s="182"/>
      <c r="BP391" s="182"/>
      <c r="BQ391" s="182"/>
      <c r="BR391" s="182"/>
      <c r="BS391" s="182"/>
      <c r="BT391" s="182"/>
      <c r="BU391" s="182"/>
      <c r="BV391" s="182"/>
      <c r="BW391" s="182"/>
      <c r="BX391" s="182"/>
      <c r="BY391" s="182"/>
      <c r="BZ391" s="182"/>
      <c r="CA391" s="182"/>
      <c r="CB391" s="185">
        <v>3845.75</v>
      </c>
      <c r="CC391" s="185">
        <v>0</v>
      </c>
      <c r="CD391" s="185">
        <v>1748</v>
      </c>
      <c r="CE391" s="185"/>
    </row>
    <row r="392" spans="2:83" x14ac:dyDescent="0.3">
      <c r="B392" s="182">
        <v>3668</v>
      </c>
      <c r="C392" s="182">
        <v>1749</v>
      </c>
      <c r="D392" s="182" t="s">
        <v>128</v>
      </c>
      <c r="E392" s="181" t="s">
        <v>3188</v>
      </c>
      <c r="F392" s="182"/>
      <c r="G392" s="182">
        <v>3533.9</v>
      </c>
      <c r="H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2"/>
      <c r="X392" s="182"/>
      <c r="Y392" s="182"/>
      <c r="Z392" s="182"/>
      <c r="AA392" s="182"/>
      <c r="AB392" s="182"/>
      <c r="AC392" s="182"/>
      <c r="AD392" s="182"/>
      <c r="AE392" s="182"/>
      <c r="AF392" s="182"/>
      <c r="AG392" s="182"/>
      <c r="AH392" s="182"/>
      <c r="AI392" s="182"/>
      <c r="AJ392" s="182"/>
      <c r="AK392" s="182"/>
      <c r="AL392" s="182"/>
      <c r="AM392" s="182"/>
      <c r="AN392" s="182"/>
      <c r="AO392" s="182"/>
      <c r="AP392" s="182"/>
      <c r="AQ392" s="185">
        <v>3533.9</v>
      </c>
      <c r="AR392" s="182">
        <v>3154.72</v>
      </c>
      <c r="AS392" s="182">
        <v>379.18</v>
      </c>
      <c r="AT392" s="182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182"/>
      <c r="BK392" s="182"/>
      <c r="BL392" s="182"/>
      <c r="BM392" s="182"/>
      <c r="BN392" s="182"/>
      <c r="BO392" s="182"/>
      <c r="BP392" s="182"/>
      <c r="BQ392" s="182"/>
      <c r="BR392" s="182"/>
      <c r="BS392" s="182"/>
      <c r="BT392" s="182"/>
      <c r="BU392" s="182"/>
      <c r="BV392" s="182"/>
      <c r="BW392" s="182"/>
      <c r="BX392" s="182"/>
      <c r="BY392" s="182"/>
      <c r="BZ392" s="182"/>
      <c r="CA392" s="182"/>
      <c r="CB392" s="185">
        <v>3533.8999999999996</v>
      </c>
      <c r="CC392" s="185">
        <v>0</v>
      </c>
      <c r="CD392" s="185">
        <v>1749</v>
      </c>
      <c r="CE392" s="185"/>
    </row>
    <row r="393" spans="2:83" x14ac:dyDescent="0.3">
      <c r="B393" s="182">
        <v>3669</v>
      </c>
      <c r="C393" s="182">
        <v>1750</v>
      </c>
      <c r="D393" s="182" t="s">
        <v>128</v>
      </c>
      <c r="E393" s="181" t="s">
        <v>3188</v>
      </c>
      <c r="F393" s="182"/>
      <c r="G393" s="182">
        <v>19103.599999999999</v>
      </c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2"/>
      <c r="X393" s="182"/>
      <c r="Y393" s="182"/>
      <c r="Z393" s="182"/>
      <c r="AA393" s="182"/>
      <c r="AB393" s="182"/>
      <c r="AC393" s="182"/>
      <c r="AD393" s="182"/>
      <c r="AE393" s="182"/>
      <c r="AF393" s="182"/>
      <c r="AG393" s="182"/>
      <c r="AH393" s="182"/>
      <c r="AI393" s="182"/>
      <c r="AJ393" s="182"/>
      <c r="AK393" s="182"/>
      <c r="AL393" s="182"/>
      <c r="AM393" s="182"/>
      <c r="AN393" s="182"/>
      <c r="AO393" s="182"/>
      <c r="AP393" s="182"/>
      <c r="AQ393" s="185">
        <v>19103.599999999999</v>
      </c>
      <c r="AR393" s="182">
        <v>13507.91</v>
      </c>
      <c r="AS393" s="182">
        <v>1786.73</v>
      </c>
      <c r="AT393" s="182">
        <v>3808.96</v>
      </c>
      <c r="AU393" s="182"/>
      <c r="AV393" s="182"/>
      <c r="AW393" s="182"/>
      <c r="AX393" s="182"/>
      <c r="AY393" s="182"/>
      <c r="AZ393" s="182"/>
      <c r="BA393" s="182"/>
      <c r="BB393" s="182"/>
      <c r="BC393" s="182"/>
      <c r="BD393" s="182"/>
      <c r="BE393" s="182"/>
      <c r="BF393" s="182"/>
      <c r="BG393" s="182"/>
      <c r="BH393" s="182"/>
      <c r="BI393" s="182"/>
      <c r="BJ393" s="182"/>
      <c r="BK393" s="182"/>
      <c r="BL393" s="182"/>
      <c r="BM393" s="182"/>
      <c r="BN393" s="182"/>
      <c r="BO393" s="182"/>
      <c r="BP393" s="182"/>
      <c r="BQ393" s="182"/>
      <c r="BR393" s="182"/>
      <c r="BS393" s="182"/>
      <c r="BT393" s="182"/>
      <c r="BU393" s="182"/>
      <c r="BV393" s="182"/>
      <c r="BW393" s="182"/>
      <c r="BX393" s="182"/>
      <c r="BY393" s="182"/>
      <c r="BZ393" s="182"/>
      <c r="CA393" s="182"/>
      <c r="CB393" s="185">
        <v>19103.599999999999</v>
      </c>
      <c r="CC393" s="185">
        <v>0</v>
      </c>
      <c r="CD393" s="185">
        <v>1750</v>
      </c>
      <c r="CE393" s="185"/>
    </row>
    <row r="394" spans="2:83" x14ac:dyDescent="0.3">
      <c r="B394" s="182">
        <v>3670</v>
      </c>
      <c r="C394" s="182">
        <v>1751</v>
      </c>
      <c r="D394" s="182" t="s">
        <v>128</v>
      </c>
      <c r="E394" s="181" t="s">
        <v>4203</v>
      </c>
      <c r="F394" s="182"/>
      <c r="G394" s="182">
        <v>4000</v>
      </c>
      <c r="H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2"/>
      <c r="X394" s="182"/>
      <c r="Y394" s="182"/>
      <c r="Z394" s="182"/>
      <c r="AA394" s="182"/>
      <c r="AB394" s="182"/>
      <c r="AC394" s="182"/>
      <c r="AD394" s="182"/>
      <c r="AE394" s="182"/>
      <c r="AF394" s="182"/>
      <c r="AG394" s="182"/>
      <c r="AH394" s="182"/>
      <c r="AI394" s="182"/>
      <c r="AJ394" s="182"/>
      <c r="AK394" s="182"/>
      <c r="AL394" s="182"/>
      <c r="AM394" s="182"/>
      <c r="AN394" s="182"/>
      <c r="AO394" s="182"/>
      <c r="AP394" s="182"/>
      <c r="AQ394" s="185">
        <v>4000</v>
      </c>
      <c r="AR394" s="182">
        <v>3570.35</v>
      </c>
      <c r="AS394" s="182">
        <v>429.65</v>
      </c>
      <c r="AT394" s="182"/>
      <c r="AU394" s="182"/>
      <c r="AV394" s="182"/>
      <c r="AW394" s="182"/>
      <c r="AX394" s="182"/>
      <c r="AY394" s="182"/>
      <c r="AZ394" s="182"/>
      <c r="BA394" s="182"/>
      <c r="BB394" s="182"/>
      <c r="BC394" s="182"/>
      <c r="BD394" s="182"/>
      <c r="BE394" s="182"/>
      <c r="BF394" s="182"/>
      <c r="BG394" s="182"/>
      <c r="BH394" s="182"/>
      <c r="BI394" s="182"/>
      <c r="BJ394" s="182"/>
      <c r="BK394" s="182"/>
      <c r="BL394" s="182"/>
      <c r="BM394" s="182"/>
      <c r="BN394" s="182"/>
      <c r="BO394" s="182"/>
      <c r="BP394" s="182"/>
      <c r="BQ394" s="182"/>
      <c r="BR394" s="182"/>
      <c r="BS394" s="182"/>
      <c r="BT394" s="182"/>
      <c r="BU394" s="182"/>
      <c r="BV394" s="182"/>
      <c r="BW394" s="182"/>
      <c r="BX394" s="182"/>
      <c r="BY394" s="182"/>
      <c r="BZ394" s="182"/>
      <c r="CA394" s="182"/>
      <c r="CB394" s="185">
        <v>4000</v>
      </c>
      <c r="CC394" s="185">
        <v>0</v>
      </c>
      <c r="CD394" s="185">
        <v>1751</v>
      </c>
      <c r="CE394" s="185"/>
    </row>
    <row r="395" spans="2:83" x14ac:dyDescent="0.3">
      <c r="B395" s="182">
        <v>3671</v>
      </c>
      <c r="C395" s="182">
        <v>1752</v>
      </c>
      <c r="D395" s="182" t="s">
        <v>128</v>
      </c>
      <c r="E395" s="181" t="s">
        <v>4204</v>
      </c>
      <c r="F395" s="182"/>
      <c r="G395" s="182">
        <v>4000</v>
      </c>
      <c r="H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2"/>
      <c r="X395" s="182"/>
      <c r="Y395" s="182"/>
      <c r="Z395" s="182"/>
      <c r="AA395" s="182"/>
      <c r="AB395" s="182"/>
      <c r="AC395" s="182"/>
      <c r="AD395" s="182"/>
      <c r="AE395" s="182"/>
      <c r="AF395" s="182"/>
      <c r="AG395" s="182"/>
      <c r="AH395" s="182"/>
      <c r="AI395" s="182"/>
      <c r="AJ395" s="182"/>
      <c r="AK395" s="182"/>
      <c r="AL395" s="182"/>
      <c r="AM395" s="182"/>
      <c r="AN395" s="182"/>
      <c r="AO395" s="182"/>
      <c r="AP395" s="182"/>
      <c r="AQ395" s="185">
        <v>4000</v>
      </c>
      <c r="AR395" s="182">
        <v>3570.35</v>
      </c>
      <c r="AS395" s="182">
        <v>429.65</v>
      </c>
      <c r="AT395" s="182"/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/>
      <c r="BJ395" s="182"/>
      <c r="BK395" s="182"/>
      <c r="BL395" s="182"/>
      <c r="BM395" s="182"/>
      <c r="BN395" s="182"/>
      <c r="BO395" s="182"/>
      <c r="BP395" s="182"/>
      <c r="BQ395" s="182"/>
      <c r="BR395" s="182"/>
      <c r="BS395" s="182"/>
      <c r="BT395" s="182"/>
      <c r="BU395" s="182"/>
      <c r="BV395" s="182"/>
      <c r="BW395" s="182"/>
      <c r="BX395" s="182"/>
      <c r="BY395" s="182"/>
      <c r="BZ395" s="182"/>
      <c r="CA395" s="182"/>
      <c r="CB395" s="185">
        <v>4000</v>
      </c>
      <c r="CC395" s="185">
        <v>0</v>
      </c>
      <c r="CD395" s="185">
        <v>1752</v>
      </c>
      <c r="CE395" s="185"/>
    </row>
    <row r="396" spans="2:83" x14ac:dyDescent="0.3">
      <c r="B396" s="182">
        <v>3751</v>
      </c>
      <c r="C396" s="182">
        <v>1753</v>
      </c>
      <c r="D396" s="182" t="s">
        <v>128</v>
      </c>
      <c r="E396" s="181" t="s">
        <v>4205</v>
      </c>
      <c r="F396" s="182"/>
      <c r="G396" s="182">
        <v>1755</v>
      </c>
      <c r="H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2"/>
      <c r="X396" s="182"/>
      <c r="Y396" s="182"/>
      <c r="Z396" s="182"/>
      <c r="AA396" s="182"/>
      <c r="AB396" s="182"/>
      <c r="AC396" s="182"/>
      <c r="AD396" s="182"/>
      <c r="AE396" s="182"/>
      <c r="AF396" s="182"/>
      <c r="AG396" s="182"/>
      <c r="AH396" s="182"/>
      <c r="AI396" s="182"/>
      <c r="AJ396" s="182"/>
      <c r="AK396" s="182"/>
      <c r="AL396" s="182"/>
      <c r="AM396" s="182"/>
      <c r="AN396" s="182"/>
      <c r="AO396" s="182"/>
      <c r="AP396" s="182"/>
      <c r="AQ396" s="185">
        <v>1755</v>
      </c>
      <c r="AR396" s="182">
        <v>1566.7</v>
      </c>
      <c r="AS396" s="182">
        <v>188.3</v>
      </c>
      <c r="AT396" s="182"/>
      <c r="AU396" s="182"/>
      <c r="AV396" s="182"/>
      <c r="AW396" s="182"/>
      <c r="AX396" s="182"/>
      <c r="AY396" s="182"/>
      <c r="AZ396" s="182"/>
      <c r="BA396" s="182"/>
      <c r="BB396" s="182"/>
      <c r="BC396" s="182"/>
      <c r="BD396" s="182"/>
      <c r="BE396" s="182"/>
      <c r="BF396" s="182"/>
      <c r="BG396" s="182"/>
      <c r="BH396" s="182"/>
      <c r="BI396" s="182"/>
      <c r="BJ396" s="182"/>
      <c r="BK396" s="182"/>
      <c r="BL396" s="182"/>
      <c r="BM396" s="182"/>
      <c r="BN396" s="182"/>
      <c r="BO396" s="182"/>
      <c r="BP396" s="182"/>
      <c r="BQ396" s="182"/>
      <c r="BR396" s="182"/>
      <c r="BS396" s="182"/>
      <c r="BT396" s="182"/>
      <c r="BU396" s="182"/>
      <c r="BV396" s="182"/>
      <c r="BW396" s="182"/>
      <c r="BX396" s="182"/>
      <c r="BY396" s="182"/>
      <c r="BZ396" s="182"/>
      <c r="CA396" s="182"/>
      <c r="CB396" s="185">
        <v>1755</v>
      </c>
      <c r="CC396" s="185">
        <v>0</v>
      </c>
      <c r="CD396" s="185">
        <v>1753</v>
      </c>
      <c r="CE396" s="185"/>
    </row>
    <row r="397" spans="2:83" x14ac:dyDescent="0.3">
      <c r="B397" s="182">
        <v>3752</v>
      </c>
      <c r="C397" s="182">
        <v>1754</v>
      </c>
      <c r="D397" s="182" t="s">
        <v>128</v>
      </c>
      <c r="E397" s="181" t="s">
        <v>4205</v>
      </c>
      <c r="F397" s="182"/>
      <c r="G397" s="182">
        <v>2805</v>
      </c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2"/>
      <c r="X397" s="182"/>
      <c r="Y397" s="182"/>
      <c r="Z397" s="182"/>
      <c r="AA397" s="182"/>
      <c r="AB397" s="182"/>
      <c r="AC397" s="182"/>
      <c r="AD397" s="182"/>
      <c r="AE397" s="182"/>
      <c r="AF397" s="182"/>
      <c r="AG397" s="182"/>
      <c r="AH397" s="182"/>
      <c r="AI397" s="182"/>
      <c r="AJ397" s="182"/>
      <c r="AK397" s="182"/>
      <c r="AL397" s="182"/>
      <c r="AM397" s="182"/>
      <c r="AN397" s="182"/>
      <c r="AO397" s="182"/>
      <c r="AP397" s="182"/>
      <c r="AQ397" s="185">
        <v>2805</v>
      </c>
      <c r="AR397" s="182">
        <v>2504.6</v>
      </c>
      <c r="AS397" s="182">
        <v>300.39999999999998</v>
      </c>
      <c r="AT397" s="182"/>
      <c r="AU397" s="182"/>
      <c r="AV397" s="182"/>
      <c r="AW397" s="182"/>
      <c r="AX397" s="182"/>
      <c r="AY397" s="182"/>
      <c r="AZ397" s="182"/>
      <c r="BA397" s="182"/>
      <c r="BB397" s="182"/>
      <c r="BC397" s="182"/>
      <c r="BD397" s="182"/>
      <c r="BE397" s="182"/>
      <c r="BF397" s="182"/>
      <c r="BG397" s="182"/>
      <c r="BH397" s="182"/>
      <c r="BI397" s="182"/>
      <c r="BJ397" s="182"/>
      <c r="BK397" s="182"/>
      <c r="BL397" s="182"/>
      <c r="BM397" s="182"/>
      <c r="BN397" s="182"/>
      <c r="BO397" s="182"/>
      <c r="BP397" s="182"/>
      <c r="BQ397" s="182"/>
      <c r="BR397" s="182"/>
      <c r="BS397" s="182"/>
      <c r="BT397" s="182"/>
      <c r="BU397" s="182"/>
      <c r="BV397" s="182"/>
      <c r="BW397" s="182"/>
      <c r="BX397" s="182"/>
      <c r="BY397" s="182"/>
      <c r="BZ397" s="182"/>
      <c r="CA397" s="182"/>
      <c r="CB397" s="185">
        <v>2805</v>
      </c>
      <c r="CC397" s="185">
        <v>0</v>
      </c>
      <c r="CD397" s="185">
        <v>1754</v>
      </c>
      <c r="CE397" s="185"/>
    </row>
    <row r="398" spans="2:83" x14ac:dyDescent="0.3">
      <c r="B398" s="182">
        <v>3753</v>
      </c>
      <c r="C398" s="182">
        <v>1755</v>
      </c>
      <c r="D398" s="182" t="s">
        <v>128</v>
      </c>
      <c r="E398" s="181" t="s">
        <v>4205</v>
      </c>
      <c r="F398" s="182"/>
      <c r="G398" s="182">
        <v>3277.5</v>
      </c>
      <c r="H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2"/>
      <c r="X398" s="182"/>
      <c r="Y398" s="182"/>
      <c r="Z398" s="182"/>
      <c r="AA398" s="182"/>
      <c r="AB398" s="182"/>
      <c r="AC398" s="182"/>
      <c r="AD398" s="182"/>
      <c r="AE398" s="182"/>
      <c r="AF398" s="182"/>
      <c r="AG398" s="182"/>
      <c r="AH398" s="182"/>
      <c r="AI398" s="182"/>
      <c r="AJ398" s="182"/>
      <c r="AK398" s="182"/>
      <c r="AL398" s="182"/>
      <c r="AM398" s="182"/>
      <c r="AN398" s="182"/>
      <c r="AO398" s="182"/>
      <c r="AP398" s="182"/>
      <c r="AQ398" s="185">
        <v>3277.5</v>
      </c>
      <c r="AR398" s="182">
        <v>2925.9</v>
      </c>
      <c r="AS398" s="182">
        <v>351.6</v>
      </c>
      <c r="AT398" s="182"/>
      <c r="AU398" s="182"/>
      <c r="AV398" s="182"/>
      <c r="AW398" s="182"/>
      <c r="AX398" s="182"/>
      <c r="AY398" s="182"/>
      <c r="AZ398" s="182"/>
      <c r="BA398" s="182"/>
      <c r="BB398" s="182"/>
      <c r="BC398" s="182"/>
      <c r="BD398" s="182"/>
      <c r="BE398" s="182"/>
      <c r="BF398" s="182"/>
      <c r="BG398" s="182"/>
      <c r="BH398" s="182"/>
      <c r="BI398" s="182"/>
      <c r="BJ398" s="182"/>
      <c r="BK398" s="182"/>
      <c r="BL398" s="182"/>
      <c r="BM398" s="182"/>
      <c r="BN398" s="182"/>
      <c r="BO398" s="182"/>
      <c r="BP398" s="182"/>
      <c r="BQ398" s="182"/>
      <c r="BR398" s="182"/>
      <c r="BS398" s="182"/>
      <c r="BT398" s="182"/>
      <c r="BU398" s="182"/>
      <c r="BV398" s="182"/>
      <c r="BW398" s="182"/>
      <c r="BX398" s="182"/>
      <c r="BY398" s="182"/>
      <c r="BZ398" s="182"/>
      <c r="CA398" s="182"/>
      <c r="CB398" s="185">
        <v>3277.5</v>
      </c>
      <c r="CC398" s="185">
        <v>0</v>
      </c>
      <c r="CD398" s="185">
        <v>1755</v>
      </c>
      <c r="CE398" s="185"/>
    </row>
    <row r="399" spans="2:83" x14ac:dyDescent="0.3">
      <c r="B399" s="182">
        <v>3754</v>
      </c>
      <c r="C399" s="182">
        <v>1756</v>
      </c>
      <c r="D399" s="182" t="s">
        <v>128</v>
      </c>
      <c r="E399" s="181" t="s">
        <v>4205</v>
      </c>
      <c r="F399" s="182"/>
      <c r="G399" s="182">
        <v>26826.97</v>
      </c>
      <c r="H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2"/>
      <c r="X399" s="182"/>
      <c r="Y399" s="182"/>
      <c r="Z399" s="182"/>
      <c r="AA399" s="182"/>
      <c r="AB399" s="182"/>
      <c r="AC399" s="182"/>
      <c r="AD399" s="182"/>
      <c r="AE399" s="182"/>
      <c r="AF399" s="182"/>
      <c r="AG399" s="182"/>
      <c r="AH399" s="182"/>
      <c r="AI399" s="182"/>
      <c r="AJ399" s="182"/>
      <c r="AK399" s="182"/>
      <c r="AL399" s="182"/>
      <c r="AM399" s="182"/>
      <c r="AN399" s="182"/>
      <c r="AO399" s="182"/>
      <c r="AP399" s="182"/>
      <c r="AQ399" s="185">
        <v>26826.97</v>
      </c>
      <c r="AR399" s="182">
        <v>21479.11</v>
      </c>
      <c r="AS399" s="182">
        <v>1577.95</v>
      </c>
      <c r="AT399" s="182">
        <v>3769.91</v>
      </c>
      <c r="AU399" s="182"/>
      <c r="AV399" s="182"/>
      <c r="AW399" s="182"/>
      <c r="AX399" s="182"/>
      <c r="AY399" s="182"/>
      <c r="AZ399" s="182"/>
      <c r="BA399" s="182"/>
      <c r="BB399" s="182"/>
      <c r="BC399" s="182"/>
      <c r="BD399" s="182"/>
      <c r="BE399" s="182"/>
      <c r="BF399" s="182"/>
      <c r="BG399" s="182"/>
      <c r="BH399" s="182"/>
      <c r="BI399" s="182"/>
      <c r="BJ399" s="182"/>
      <c r="BK399" s="182"/>
      <c r="BL399" s="182"/>
      <c r="BM399" s="182"/>
      <c r="BN399" s="182"/>
      <c r="BO399" s="182"/>
      <c r="BP399" s="182"/>
      <c r="BQ399" s="182"/>
      <c r="BR399" s="182"/>
      <c r="BS399" s="182"/>
      <c r="BT399" s="182"/>
      <c r="BU399" s="182"/>
      <c r="BV399" s="182"/>
      <c r="BW399" s="182"/>
      <c r="BX399" s="182"/>
      <c r="BY399" s="182"/>
      <c r="BZ399" s="182"/>
      <c r="CA399" s="182"/>
      <c r="CB399" s="185">
        <v>26826.97</v>
      </c>
      <c r="CC399" s="185">
        <v>0</v>
      </c>
      <c r="CD399" s="185">
        <v>1756</v>
      </c>
      <c r="CE399" s="185"/>
    </row>
    <row r="400" spans="2:83" x14ac:dyDescent="0.3">
      <c r="B400" s="182">
        <v>3554</v>
      </c>
      <c r="C400" s="182">
        <v>1757</v>
      </c>
      <c r="D400" s="182" t="s">
        <v>132</v>
      </c>
      <c r="E400" s="181" t="s">
        <v>4206</v>
      </c>
      <c r="F400" s="182"/>
      <c r="G400" s="182">
        <v>3300</v>
      </c>
      <c r="H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2"/>
      <c r="X400" s="182"/>
      <c r="Y400" s="182"/>
      <c r="Z400" s="182"/>
      <c r="AA400" s="182"/>
      <c r="AB400" s="182"/>
      <c r="AC400" s="182"/>
      <c r="AD400" s="182"/>
      <c r="AE400" s="182"/>
      <c r="AF400" s="182"/>
      <c r="AG400" s="182"/>
      <c r="AH400" s="182"/>
      <c r="AI400" s="182"/>
      <c r="AJ400" s="182"/>
      <c r="AK400" s="182"/>
      <c r="AL400" s="182"/>
      <c r="AM400" s="182"/>
      <c r="AN400" s="182"/>
      <c r="AO400" s="182"/>
      <c r="AP400" s="182"/>
      <c r="AQ400" s="185">
        <v>3300</v>
      </c>
      <c r="AR400" s="182">
        <v>2945.95</v>
      </c>
      <c r="AS400" s="182">
        <v>354.05</v>
      </c>
      <c r="AT400" s="182"/>
      <c r="AU400" s="182"/>
      <c r="AV400" s="182"/>
      <c r="AW400" s="182"/>
      <c r="AX400" s="182"/>
      <c r="AY400" s="182"/>
      <c r="AZ400" s="182"/>
      <c r="BA400" s="182"/>
      <c r="BB400" s="182"/>
      <c r="BC400" s="182"/>
      <c r="BD400" s="182"/>
      <c r="BE400" s="182"/>
      <c r="BF400" s="182"/>
      <c r="BG400" s="182"/>
      <c r="BH400" s="182"/>
      <c r="BI400" s="182"/>
      <c r="BJ400" s="182"/>
      <c r="BK400" s="182"/>
      <c r="BL400" s="182"/>
      <c r="BM400" s="182"/>
      <c r="BN400" s="182"/>
      <c r="BO400" s="182"/>
      <c r="BP400" s="182"/>
      <c r="BQ400" s="182"/>
      <c r="BR400" s="182"/>
      <c r="BS400" s="182"/>
      <c r="BT400" s="182"/>
      <c r="BU400" s="182"/>
      <c r="BV400" s="182"/>
      <c r="BW400" s="182"/>
      <c r="BX400" s="182"/>
      <c r="BY400" s="182"/>
      <c r="BZ400" s="182"/>
      <c r="CA400" s="182"/>
      <c r="CB400" s="185">
        <v>3300</v>
      </c>
      <c r="CC400" s="185">
        <v>0</v>
      </c>
      <c r="CD400" s="185">
        <v>1757</v>
      </c>
      <c r="CE400" s="185"/>
    </row>
    <row r="401" spans="2:83" x14ac:dyDescent="0.3">
      <c r="B401" s="182">
        <v>3553</v>
      </c>
      <c r="C401" s="182">
        <v>1758</v>
      </c>
      <c r="D401" s="182" t="s">
        <v>132</v>
      </c>
      <c r="E401" s="181" t="s">
        <v>3371</v>
      </c>
      <c r="F401" s="182"/>
      <c r="G401" s="182">
        <v>19200</v>
      </c>
      <c r="H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2"/>
      <c r="X401" s="182"/>
      <c r="Y401" s="182"/>
      <c r="Z401" s="182"/>
      <c r="AA401" s="182"/>
      <c r="AB401" s="182"/>
      <c r="AC401" s="182"/>
      <c r="AD401" s="182"/>
      <c r="AE401" s="182"/>
      <c r="AF401" s="182"/>
      <c r="AG401" s="182"/>
      <c r="AH401" s="182"/>
      <c r="AI401" s="182"/>
      <c r="AJ401" s="182"/>
      <c r="AK401" s="182"/>
      <c r="AL401" s="182"/>
      <c r="AM401" s="182"/>
      <c r="AN401" s="182"/>
      <c r="AO401" s="182"/>
      <c r="AP401" s="182"/>
      <c r="AQ401" s="185">
        <v>19200</v>
      </c>
      <c r="AR401" s="182">
        <v>17129.650000000001</v>
      </c>
      <c r="AS401" s="182">
        <v>2070.35</v>
      </c>
      <c r="AT401" s="182"/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182"/>
      <c r="BK401" s="182"/>
      <c r="BL401" s="182"/>
      <c r="BM401" s="182"/>
      <c r="BN401" s="182"/>
      <c r="BO401" s="182"/>
      <c r="BP401" s="182"/>
      <c r="BQ401" s="182"/>
      <c r="BR401" s="182"/>
      <c r="BS401" s="182"/>
      <c r="BT401" s="182"/>
      <c r="BU401" s="182"/>
      <c r="BV401" s="182"/>
      <c r="BW401" s="182"/>
      <c r="BX401" s="182"/>
      <c r="BY401" s="182"/>
      <c r="BZ401" s="182"/>
      <c r="CA401" s="182"/>
      <c r="CB401" s="185">
        <v>19200</v>
      </c>
      <c r="CC401" s="185">
        <v>0</v>
      </c>
      <c r="CD401" s="185">
        <v>1758</v>
      </c>
      <c r="CE401" s="185"/>
    </row>
    <row r="402" spans="2:83" x14ac:dyDescent="0.3">
      <c r="B402" s="182">
        <v>3570</v>
      </c>
      <c r="C402" s="182">
        <v>1759</v>
      </c>
      <c r="D402" s="182" t="s">
        <v>132</v>
      </c>
      <c r="E402" s="181" t="s">
        <v>4207</v>
      </c>
      <c r="F402" s="182"/>
      <c r="G402" s="182">
        <v>1524.25</v>
      </c>
      <c r="H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2"/>
      <c r="X402" s="182"/>
      <c r="Y402" s="182"/>
      <c r="Z402" s="182"/>
      <c r="AA402" s="182"/>
      <c r="AB402" s="182"/>
      <c r="AC402" s="182"/>
      <c r="AD402" s="182"/>
      <c r="AE402" s="182"/>
      <c r="AF402" s="182"/>
      <c r="AG402" s="182"/>
      <c r="AH402" s="182"/>
      <c r="AI402" s="182"/>
      <c r="AJ402" s="182"/>
      <c r="AK402" s="182"/>
      <c r="AL402" s="182"/>
      <c r="AM402" s="182"/>
      <c r="AN402" s="182"/>
      <c r="AO402" s="182"/>
      <c r="AP402" s="182"/>
      <c r="AQ402" s="185">
        <v>1524.25</v>
      </c>
      <c r="AR402" s="182">
        <v>1018.7</v>
      </c>
      <c r="AS402" s="182">
        <v>138.30000000000001</v>
      </c>
      <c r="AT402" s="182">
        <v>367.25</v>
      </c>
      <c r="AU402" s="182"/>
      <c r="AV402" s="182"/>
      <c r="AW402" s="182"/>
      <c r="AX402" s="182"/>
      <c r="AY402" s="182"/>
      <c r="AZ402" s="182"/>
      <c r="BA402" s="182"/>
      <c r="BB402" s="182"/>
      <c r="BC402" s="182"/>
      <c r="BD402" s="182"/>
      <c r="BE402" s="182"/>
      <c r="BF402" s="182"/>
      <c r="BG402" s="182"/>
      <c r="BH402" s="182"/>
      <c r="BI402" s="182"/>
      <c r="BJ402" s="182"/>
      <c r="BK402" s="182"/>
      <c r="BL402" s="182"/>
      <c r="BM402" s="182"/>
      <c r="BN402" s="182"/>
      <c r="BO402" s="182"/>
      <c r="BP402" s="182"/>
      <c r="BQ402" s="182"/>
      <c r="BR402" s="182"/>
      <c r="BS402" s="182"/>
      <c r="BT402" s="182"/>
      <c r="BU402" s="182"/>
      <c r="BV402" s="182"/>
      <c r="BW402" s="182"/>
      <c r="BX402" s="182"/>
      <c r="BY402" s="182"/>
      <c r="BZ402" s="182"/>
      <c r="CA402" s="182"/>
      <c r="CB402" s="185">
        <v>1524.25</v>
      </c>
      <c r="CC402" s="185">
        <v>0</v>
      </c>
      <c r="CD402" s="185">
        <v>1759</v>
      </c>
      <c r="CE402" s="185"/>
    </row>
    <row r="403" spans="2:83" x14ac:dyDescent="0.3">
      <c r="B403" s="182">
        <v>3571</v>
      </c>
      <c r="C403" s="182">
        <v>1760</v>
      </c>
      <c r="D403" s="182" t="s">
        <v>132</v>
      </c>
      <c r="E403" s="181" t="s">
        <v>4207</v>
      </c>
      <c r="F403" s="182"/>
      <c r="G403" s="182">
        <v>1500</v>
      </c>
      <c r="H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2"/>
      <c r="X403" s="182"/>
      <c r="Y403" s="182"/>
      <c r="Z403" s="182"/>
      <c r="AA403" s="182"/>
      <c r="AB403" s="182"/>
      <c r="AC403" s="182"/>
      <c r="AD403" s="182"/>
      <c r="AE403" s="182"/>
      <c r="AF403" s="182"/>
      <c r="AG403" s="182"/>
      <c r="AH403" s="182"/>
      <c r="AI403" s="182"/>
      <c r="AJ403" s="182"/>
      <c r="AK403" s="182"/>
      <c r="AL403" s="182"/>
      <c r="AM403" s="182"/>
      <c r="AN403" s="182"/>
      <c r="AO403" s="182"/>
      <c r="AP403" s="182"/>
      <c r="AQ403" s="185">
        <v>1500</v>
      </c>
      <c r="AR403" s="182">
        <v>1339.1</v>
      </c>
      <c r="AS403" s="182">
        <v>160.9</v>
      </c>
      <c r="AT403" s="182"/>
      <c r="AU403" s="182"/>
      <c r="AV403" s="182"/>
      <c r="AW403" s="182"/>
      <c r="AX403" s="182"/>
      <c r="AY403" s="182"/>
      <c r="AZ403" s="182"/>
      <c r="BA403" s="182"/>
      <c r="BB403" s="182"/>
      <c r="BC403" s="182"/>
      <c r="BD403" s="182"/>
      <c r="BE403" s="182"/>
      <c r="BF403" s="182"/>
      <c r="BG403" s="182"/>
      <c r="BH403" s="182"/>
      <c r="BI403" s="182"/>
      <c r="BJ403" s="182"/>
      <c r="BK403" s="182"/>
      <c r="BL403" s="182"/>
      <c r="BM403" s="182"/>
      <c r="BN403" s="182"/>
      <c r="BO403" s="182"/>
      <c r="BP403" s="182"/>
      <c r="BQ403" s="182"/>
      <c r="BR403" s="182"/>
      <c r="BS403" s="182"/>
      <c r="BT403" s="182"/>
      <c r="BU403" s="182"/>
      <c r="BV403" s="182"/>
      <c r="BW403" s="182"/>
      <c r="BX403" s="182"/>
      <c r="BY403" s="182"/>
      <c r="BZ403" s="182"/>
      <c r="CA403" s="182"/>
      <c r="CB403" s="185">
        <v>1500</v>
      </c>
      <c r="CC403" s="185">
        <v>0</v>
      </c>
      <c r="CD403" s="185">
        <v>1760</v>
      </c>
      <c r="CE403" s="185"/>
    </row>
    <row r="404" spans="2:83" x14ac:dyDescent="0.3">
      <c r="B404" s="182">
        <v>3560</v>
      </c>
      <c r="C404" s="182">
        <v>1761</v>
      </c>
      <c r="D404" s="182" t="s">
        <v>132</v>
      </c>
      <c r="E404" s="181" t="s">
        <v>1238</v>
      </c>
      <c r="F404" s="182"/>
      <c r="G404" s="182">
        <v>831.62</v>
      </c>
      <c r="H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2"/>
      <c r="X404" s="182"/>
      <c r="Y404" s="182"/>
      <c r="Z404" s="182"/>
      <c r="AA404" s="182"/>
      <c r="AB404" s="182"/>
      <c r="AC404" s="182"/>
      <c r="AD404" s="182"/>
      <c r="AE404" s="182"/>
      <c r="AF404" s="182"/>
      <c r="AG404" s="182"/>
      <c r="AH404" s="182"/>
      <c r="AI404" s="182"/>
      <c r="AJ404" s="182"/>
      <c r="AK404" s="182"/>
      <c r="AL404" s="182"/>
      <c r="AM404" s="182"/>
      <c r="AN404" s="182"/>
      <c r="AO404" s="182"/>
      <c r="AP404" s="182"/>
      <c r="AQ404" s="185">
        <v>831.62</v>
      </c>
      <c r="AR404" s="182">
        <v>618.4</v>
      </c>
      <c r="AS404" s="182">
        <v>79.55</v>
      </c>
      <c r="AT404" s="182">
        <v>133.66999999999999</v>
      </c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182"/>
      <c r="BK404" s="182"/>
      <c r="BL404" s="182"/>
      <c r="BM404" s="182"/>
      <c r="BN404" s="182"/>
      <c r="BO404" s="182"/>
      <c r="BP404" s="182"/>
      <c r="BQ404" s="182"/>
      <c r="BR404" s="182"/>
      <c r="BS404" s="182"/>
      <c r="BT404" s="182"/>
      <c r="BU404" s="182"/>
      <c r="BV404" s="182"/>
      <c r="BW404" s="182"/>
      <c r="BX404" s="182"/>
      <c r="BY404" s="182"/>
      <c r="BZ404" s="182"/>
      <c r="CA404" s="182"/>
      <c r="CB404" s="185">
        <v>831.61999999999989</v>
      </c>
      <c r="CC404" s="185">
        <v>0</v>
      </c>
      <c r="CD404" s="185">
        <v>1761</v>
      </c>
      <c r="CE404" s="185"/>
    </row>
    <row r="405" spans="2:83" x14ac:dyDescent="0.3">
      <c r="B405" s="182">
        <v>3561</v>
      </c>
      <c r="C405" s="182">
        <v>1762</v>
      </c>
      <c r="D405" s="182" t="s">
        <v>132</v>
      </c>
      <c r="E405" s="181" t="s">
        <v>1238</v>
      </c>
      <c r="F405" s="182"/>
      <c r="G405" s="182">
        <v>9224.39</v>
      </c>
      <c r="H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2"/>
      <c r="X405" s="182"/>
      <c r="Y405" s="182"/>
      <c r="Z405" s="182"/>
      <c r="AA405" s="182"/>
      <c r="AB405" s="182"/>
      <c r="AC405" s="182"/>
      <c r="AD405" s="182"/>
      <c r="AE405" s="182"/>
      <c r="AF405" s="182"/>
      <c r="AG405" s="182"/>
      <c r="AH405" s="182"/>
      <c r="AI405" s="182"/>
      <c r="AJ405" s="182"/>
      <c r="AK405" s="182"/>
      <c r="AL405" s="182"/>
      <c r="AM405" s="182"/>
      <c r="AN405" s="182"/>
      <c r="AO405" s="182"/>
      <c r="AP405" s="182"/>
      <c r="AQ405" s="185">
        <v>9224.39</v>
      </c>
      <c r="AR405" s="182">
        <v>7512.9</v>
      </c>
      <c r="AS405" s="182">
        <v>934.6</v>
      </c>
      <c r="AT405" s="182">
        <v>776.89</v>
      </c>
      <c r="AU405" s="182"/>
      <c r="AV405" s="182"/>
      <c r="AW405" s="182"/>
      <c r="AX405" s="182"/>
      <c r="AY405" s="182"/>
      <c r="AZ405" s="182"/>
      <c r="BA405" s="182"/>
      <c r="BB405" s="182"/>
      <c r="BC405" s="182"/>
      <c r="BD405" s="182"/>
      <c r="BE405" s="182"/>
      <c r="BF405" s="182"/>
      <c r="BG405" s="182"/>
      <c r="BH405" s="182"/>
      <c r="BI405" s="182"/>
      <c r="BJ405" s="182"/>
      <c r="BK405" s="182"/>
      <c r="BL405" s="182"/>
      <c r="BM405" s="182"/>
      <c r="BN405" s="182"/>
      <c r="BO405" s="182"/>
      <c r="BP405" s="182"/>
      <c r="BQ405" s="182"/>
      <c r="BR405" s="182"/>
      <c r="BS405" s="182"/>
      <c r="BT405" s="182"/>
      <c r="BU405" s="182"/>
      <c r="BV405" s="182"/>
      <c r="BW405" s="182"/>
      <c r="BX405" s="182"/>
      <c r="BY405" s="182"/>
      <c r="BZ405" s="182"/>
      <c r="CA405" s="182"/>
      <c r="CB405" s="185">
        <v>9224.39</v>
      </c>
      <c r="CC405" s="185">
        <v>0</v>
      </c>
      <c r="CD405" s="185">
        <v>1762</v>
      </c>
      <c r="CE405" s="185"/>
    </row>
    <row r="406" spans="2:83" x14ac:dyDescent="0.3">
      <c r="B406" s="182">
        <v>3558</v>
      </c>
      <c r="C406" s="182">
        <v>1763</v>
      </c>
      <c r="D406" s="182" t="s">
        <v>132</v>
      </c>
      <c r="E406" s="181" t="s">
        <v>4208</v>
      </c>
      <c r="F406" s="182"/>
      <c r="G406" s="182">
        <v>351.75</v>
      </c>
      <c r="H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2"/>
      <c r="X406" s="182"/>
      <c r="Y406" s="182"/>
      <c r="Z406" s="182"/>
      <c r="AA406" s="182"/>
      <c r="AB406" s="182"/>
      <c r="AC406" s="182"/>
      <c r="AD406" s="182"/>
      <c r="AE406" s="182"/>
      <c r="AF406" s="182"/>
      <c r="AG406" s="182"/>
      <c r="AH406" s="182"/>
      <c r="AI406" s="182"/>
      <c r="AJ406" s="182"/>
      <c r="AK406" s="182"/>
      <c r="AL406" s="182"/>
      <c r="AM406" s="182"/>
      <c r="AN406" s="182"/>
      <c r="AO406" s="182"/>
      <c r="AP406" s="182"/>
      <c r="AQ406" s="185">
        <v>351.75</v>
      </c>
      <c r="AR406" s="182">
        <v>235.55</v>
      </c>
      <c r="AS406" s="182">
        <v>31.45</v>
      </c>
      <c r="AT406" s="182">
        <v>84.75</v>
      </c>
      <c r="AU406" s="182"/>
      <c r="AV406" s="182"/>
      <c r="AW406" s="182"/>
      <c r="AX406" s="182"/>
      <c r="AY406" s="182"/>
      <c r="AZ406" s="182"/>
      <c r="BA406" s="182"/>
      <c r="BB406" s="182"/>
      <c r="BC406" s="182"/>
      <c r="BD406" s="182"/>
      <c r="BE406" s="182"/>
      <c r="BF406" s="182"/>
      <c r="BG406" s="182"/>
      <c r="BH406" s="182"/>
      <c r="BI406" s="182"/>
      <c r="BJ406" s="182"/>
      <c r="BK406" s="182"/>
      <c r="BL406" s="182"/>
      <c r="BM406" s="182"/>
      <c r="BN406" s="182"/>
      <c r="BO406" s="182"/>
      <c r="BP406" s="182"/>
      <c r="BQ406" s="182"/>
      <c r="BR406" s="182"/>
      <c r="BS406" s="182"/>
      <c r="BT406" s="182"/>
      <c r="BU406" s="182"/>
      <c r="BV406" s="182"/>
      <c r="BW406" s="182"/>
      <c r="BX406" s="182"/>
      <c r="BY406" s="182"/>
      <c r="BZ406" s="182"/>
      <c r="CA406" s="182"/>
      <c r="CB406" s="185">
        <v>351.75</v>
      </c>
      <c r="CC406" s="185">
        <v>0</v>
      </c>
      <c r="CD406" s="185">
        <v>1763</v>
      </c>
      <c r="CE406" s="185"/>
    </row>
    <row r="407" spans="2:83" x14ac:dyDescent="0.3">
      <c r="B407" s="182">
        <v>3557</v>
      </c>
      <c r="C407" s="182">
        <v>1764</v>
      </c>
      <c r="D407" s="182" t="s">
        <v>132</v>
      </c>
      <c r="E407" s="181" t="s">
        <v>4209</v>
      </c>
      <c r="F407" s="182"/>
      <c r="G407" s="182">
        <v>293.12</v>
      </c>
      <c r="H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2"/>
      <c r="X407" s="182"/>
      <c r="Y407" s="182"/>
      <c r="Z407" s="182"/>
      <c r="AA407" s="182"/>
      <c r="AB407" s="182"/>
      <c r="AC407" s="182"/>
      <c r="AD407" s="182"/>
      <c r="AE407" s="182"/>
      <c r="AF407" s="182"/>
      <c r="AG407" s="182"/>
      <c r="AH407" s="182"/>
      <c r="AI407" s="182"/>
      <c r="AJ407" s="182"/>
      <c r="AK407" s="182"/>
      <c r="AL407" s="182"/>
      <c r="AM407" s="182"/>
      <c r="AN407" s="182"/>
      <c r="AO407" s="182"/>
      <c r="AP407" s="182"/>
      <c r="AQ407" s="185">
        <v>293.12</v>
      </c>
      <c r="AR407" s="182">
        <v>196.45</v>
      </c>
      <c r="AS407" s="182">
        <v>26.05</v>
      </c>
      <c r="AT407" s="182">
        <v>70.62</v>
      </c>
      <c r="AU407" s="182"/>
      <c r="AV407" s="182"/>
      <c r="AW407" s="182"/>
      <c r="AX407" s="182"/>
      <c r="AY407" s="182"/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182"/>
      <c r="BK407" s="182"/>
      <c r="BL407" s="182"/>
      <c r="BM407" s="182"/>
      <c r="BN407" s="182"/>
      <c r="BO407" s="182"/>
      <c r="BP407" s="182"/>
      <c r="BQ407" s="182"/>
      <c r="BR407" s="182"/>
      <c r="BS407" s="182"/>
      <c r="BT407" s="182"/>
      <c r="BU407" s="182"/>
      <c r="BV407" s="182"/>
      <c r="BW407" s="182"/>
      <c r="BX407" s="182"/>
      <c r="BY407" s="182"/>
      <c r="BZ407" s="182"/>
      <c r="CA407" s="182"/>
      <c r="CB407" s="185">
        <v>293.12</v>
      </c>
      <c r="CC407" s="185">
        <v>0</v>
      </c>
      <c r="CD407" s="185">
        <v>1764</v>
      </c>
      <c r="CE407" s="185"/>
    </row>
    <row r="408" spans="2:83" x14ac:dyDescent="0.3">
      <c r="B408" s="182">
        <v>3562</v>
      </c>
      <c r="C408" s="182">
        <v>1765</v>
      </c>
      <c r="D408" s="182" t="s">
        <v>132</v>
      </c>
      <c r="E408" s="181" t="s">
        <v>1238</v>
      </c>
      <c r="F408" s="182"/>
      <c r="G408" s="182">
        <v>586.25</v>
      </c>
      <c r="H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2"/>
      <c r="X408" s="182"/>
      <c r="Y408" s="182"/>
      <c r="Z408" s="182"/>
      <c r="AA408" s="182"/>
      <c r="AB408" s="182"/>
      <c r="AC408" s="182"/>
      <c r="AD408" s="182"/>
      <c r="AE408" s="182"/>
      <c r="AF408" s="182"/>
      <c r="AG408" s="182"/>
      <c r="AH408" s="182"/>
      <c r="AI408" s="182"/>
      <c r="AJ408" s="182"/>
      <c r="AK408" s="182"/>
      <c r="AL408" s="182"/>
      <c r="AM408" s="182"/>
      <c r="AN408" s="182"/>
      <c r="AO408" s="182"/>
      <c r="AP408" s="182"/>
      <c r="AQ408" s="185">
        <v>586.25</v>
      </c>
      <c r="AR408" s="182">
        <v>391.85</v>
      </c>
      <c r="AS408" s="182">
        <v>53.15</v>
      </c>
      <c r="AT408" s="182">
        <v>141.25</v>
      </c>
      <c r="AU408" s="182"/>
      <c r="AV408" s="182"/>
      <c r="AW408" s="182"/>
      <c r="AX408" s="182"/>
      <c r="AY408" s="182"/>
      <c r="AZ408" s="182"/>
      <c r="BA408" s="182"/>
      <c r="BB408" s="182"/>
      <c r="BC408" s="182"/>
      <c r="BD408" s="182"/>
      <c r="BE408" s="182"/>
      <c r="BF408" s="182"/>
      <c r="BG408" s="182"/>
      <c r="BH408" s="182"/>
      <c r="BI408" s="182"/>
      <c r="BJ408" s="182"/>
      <c r="BK408" s="182"/>
      <c r="BL408" s="182"/>
      <c r="BM408" s="182"/>
      <c r="BN408" s="182"/>
      <c r="BO408" s="182"/>
      <c r="BP408" s="182"/>
      <c r="BQ408" s="182"/>
      <c r="BR408" s="182"/>
      <c r="BS408" s="182"/>
      <c r="BT408" s="182"/>
      <c r="BU408" s="182"/>
      <c r="BV408" s="182"/>
      <c r="BW408" s="182"/>
      <c r="BX408" s="182"/>
      <c r="BY408" s="182"/>
      <c r="BZ408" s="182"/>
      <c r="CA408" s="182"/>
      <c r="CB408" s="185">
        <v>586.25</v>
      </c>
      <c r="CC408" s="185">
        <v>0</v>
      </c>
      <c r="CD408" s="185">
        <v>1765</v>
      </c>
      <c r="CE408" s="185"/>
    </row>
    <row r="409" spans="2:83" x14ac:dyDescent="0.3">
      <c r="B409" s="182">
        <v>3563</v>
      </c>
      <c r="C409" s="182">
        <v>1766</v>
      </c>
      <c r="D409" s="182" t="s">
        <v>132</v>
      </c>
      <c r="E409" s="181" t="s">
        <v>4210</v>
      </c>
      <c r="F409" s="182"/>
      <c r="G409" s="182">
        <v>3106.25</v>
      </c>
      <c r="H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2"/>
      <c r="X409" s="182"/>
      <c r="Y409" s="182"/>
      <c r="Z409" s="182"/>
      <c r="AA409" s="182"/>
      <c r="AB409" s="182"/>
      <c r="AC409" s="182"/>
      <c r="AD409" s="182"/>
      <c r="AE409" s="182"/>
      <c r="AF409" s="182"/>
      <c r="AG409" s="182"/>
      <c r="AH409" s="182"/>
      <c r="AI409" s="182"/>
      <c r="AJ409" s="182"/>
      <c r="AK409" s="182"/>
      <c r="AL409" s="182"/>
      <c r="AM409" s="182"/>
      <c r="AN409" s="182"/>
      <c r="AO409" s="182"/>
      <c r="AP409" s="182"/>
      <c r="AQ409" s="185">
        <v>3106.25</v>
      </c>
      <c r="AR409" s="182">
        <v>2642.2</v>
      </c>
      <c r="AS409" s="182">
        <v>322.8</v>
      </c>
      <c r="AT409" s="182">
        <v>141.25</v>
      </c>
      <c r="AU409" s="182"/>
      <c r="AV409" s="182"/>
      <c r="AW409" s="182"/>
      <c r="AX409" s="182"/>
      <c r="AY409" s="182"/>
      <c r="AZ409" s="182"/>
      <c r="BA409" s="182"/>
      <c r="BB409" s="182"/>
      <c r="BC409" s="182"/>
      <c r="BD409" s="182"/>
      <c r="BE409" s="182"/>
      <c r="BF409" s="182"/>
      <c r="BG409" s="182"/>
      <c r="BH409" s="182"/>
      <c r="BI409" s="182"/>
      <c r="BJ409" s="182"/>
      <c r="BK409" s="182"/>
      <c r="BL409" s="182"/>
      <c r="BM409" s="182"/>
      <c r="BN409" s="182"/>
      <c r="BO409" s="182"/>
      <c r="BP409" s="182"/>
      <c r="BQ409" s="182"/>
      <c r="BR409" s="182"/>
      <c r="BS409" s="182"/>
      <c r="BT409" s="182"/>
      <c r="BU409" s="182"/>
      <c r="BV409" s="182"/>
      <c r="BW409" s="182"/>
      <c r="BX409" s="182"/>
      <c r="BY409" s="182"/>
      <c r="BZ409" s="182"/>
      <c r="CA409" s="182"/>
      <c r="CB409" s="185">
        <v>3106.25</v>
      </c>
      <c r="CC409" s="185">
        <v>0</v>
      </c>
      <c r="CD409" s="185">
        <v>1766</v>
      </c>
      <c r="CE409" s="185"/>
    </row>
    <row r="410" spans="2:83" x14ac:dyDescent="0.3">
      <c r="B410" s="182">
        <v>3559</v>
      </c>
      <c r="C410" s="182">
        <v>1767</v>
      </c>
      <c r="D410" s="182" t="s">
        <v>132</v>
      </c>
      <c r="E410" s="181" t="s">
        <v>1238</v>
      </c>
      <c r="F410" s="182"/>
      <c r="G410" s="182">
        <v>586.25</v>
      </c>
      <c r="H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2"/>
      <c r="X410" s="182"/>
      <c r="Y410" s="182"/>
      <c r="Z410" s="182"/>
      <c r="AA410" s="182"/>
      <c r="AB410" s="182"/>
      <c r="AC410" s="182"/>
      <c r="AD410" s="182"/>
      <c r="AE410" s="182"/>
      <c r="AF410" s="182"/>
      <c r="AG410" s="182"/>
      <c r="AH410" s="182"/>
      <c r="AI410" s="182"/>
      <c r="AJ410" s="182"/>
      <c r="AK410" s="182"/>
      <c r="AL410" s="182"/>
      <c r="AM410" s="182"/>
      <c r="AN410" s="182"/>
      <c r="AO410" s="182"/>
      <c r="AP410" s="182"/>
      <c r="AQ410" s="185">
        <v>586.25</v>
      </c>
      <c r="AR410" s="182">
        <v>392.4</v>
      </c>
      <c r="AS410" s="182">
        <v>52.6</v>
      </c>
      <c r="AT410" s="182">
        <v>141.25</v>
      </c>
      <c r="AU410" s="182"/>
      <c r="AV410" s="182"/>
      <c r="AW410" s="182"/>
      <c r="AX410" s="182"/>
      <c r="AY410" s="182"/>
      <c r="AZ410" s="182"/>
      <c r="BA410" s="182"/>
      <c r="BB410" s="182"/>
      <c r="BC410" s="182"/>
      <c r="BD410" s="182"/>
      <c r="BE410" s="182"/>
      <c r="BF410" s="182"/>
      <c r="BG410" s="182"/>
      <c r="BH410" s="182"/>
      <c r="BI410" s="182"/>
      <c r="BJ410" s="182"/>
      <c r="BK410" s="182"/>
      <c r="BL410" s="182"/>
      <c r="BM410" s="182"/>
      <c r="BN410" s="182"/>
      <c r="BO410" s="182"/>
      <c r="BP410" s="182"/>
      <c r="BQ410" s="182"/>
      <c r="BR410" s="182"/>
      <c r="BS410" s="182"/>
      <c r="BT410" s="182"/>
      <c r="BU410" s="182"/>
      <c r="BV410" s="182"/>
      <c r="BW410" s="182"/>
      <c r="BX410" s="182"/>
      <c r="BY410" s="182"/>
      <c r="BZ410" s="182"/>
      <c r="CA410" s="182"/>
      <c r="CB410" s="185">
        <v>586.25</v>
      </c>
      <c r="CC410" s="185">
        <v>0</v>
      </c>
      <c r="CD410" s="185">
        <v>1767</v>
      </c>
      <c r="CE410" s="185"/>
    </row>
    <row r="411" spans="2:83" x14ac:dyDescent="0.3">
      <c r="B411" s="182">
        <v>3549</v>
      </c>
      <c r="C411" s="182">
        <v>1768</v>
      </c>
      <c r="D411" s="182" t="s">
        <v>132</v>
      </c>
      <c r="E411" s="181" t="s">
        <v>1232</v>
      </c>
      <c r="F411" s="182"/>
      <c r="G411" s="182">
        <v>351.75</v>
      </c>
      <c r="H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2"/>
      <c r="X411" s="182"/>
      <c r="Y411" s="182"/>
      <c r="Z411" s="182"/>
      <c r="AA411" s="182"/>
      <c r="AB411" s="182"/>
      <c r="AC411" s="182"/>
      <c r="AD411" s="182"/>
      <c r="AE411" s="182"/>
      <c r="AF411" s="182"/>
      <c r="AG411" s="182"/>
      <c r="AH411" s="182"/>
      <c r="AI411" s="182"/>
      <c r="AJ411" s="182"/>
      <c r="AK411" s="182"/>
      <c r="AL411" s="182"/>
      <c r="AM411" s="182"/>
      <c r="AN411" s="182"/>
      <c r="AO411" s="182"/>
      <c r="AP411" s="182"/>
      <c r="AQ411" s="185">
        <v>351.75</v>
      </c>
      <c r="AR411" s="182">
        <v>235.55</v>
      </c>
      <c r="AS411" s="182">
        <v>31.45</v>
      </c>
      <c r="AT411" s="182">
        <v>84.75</v>
      </c>
      <c r="AU411" s="182"/>
      <c r="AV411" s="182"/>
      <c r="AW411" s="182"/>
      <c r="AX411" s="182"/>
      <c r="AY411" s="182"/>
      <c r="AZ411" s="182"/>
      <c r="BA411" s="182"/>
      <c r="BB411" s="182"/>
      <c r="BC411" s="182"/>
      <c r="BD411" s="182"/>
      <c r="BE411" s="182"/>
      <c r="BF411" s="182"/>
      <c r="BG411" s="182"/>
      <c r="BH411" s="182"/>
      <c r="BI411" s="182"/>
      <c r="BJ411" s="182"/>
      <c r="BK411" s="182"/>
      <c r="BL411" s="182"/>
      <c r="BM411" s="182"/>
      <c r="BN411" s="182"/>
      <c r="BO411" s="182"/>
      <c r="BP411" s="182"/>
      <c r="BQ411" s="182"/>
      <c r="BR411" s="182"/>
      <c r="BS411" s="182"/>
      <c r="BT411" s="182"/>
      <c r="BU411" s="182"/>
      <c r="BV411" s="182"/>
      <c r="BW411" s="182"/>
      <c r="BX411" s="182"/>
      <c r="BY411" s="182"/>
      <c r="BZ411" s="182"/>
      <c r="CA411" s="182"/>
      <c r="CB411" s="185">
        <v>351.75</v>
      </c>
      <c r="CC411" s="185">
        <v>0</v>
      </c>
      <c r="CD411" s="185">
        <v>1768</v>
      </c>
      <c r="CE411" s="185"/>
    </row>
    <row r="412" spans="2:83" x14ac:dyDescent="0.3">
      <c r="B412" s="182">
        <v>3547</v>
      </c>
      <c r="C412" s="182">
        <v>1769</v>
      </c>
      <c r="D412" s="182" t="s">
        <v>132</v>
      </c>
      <c r="E412" s="181" t="s">
        <v>1232</v>
      </c>
      <c r="F412" s="182"/>
      <c r="G412" s="182">
        <v>703.5</v>
      </c>
      <c r="H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2"/>
      <c r="X412" s="182"/>
      <c r="Y412" s="182"/>
      <c r="Z412" s="182"/>
      <c r="AA412" s="182"/>
      <c r="AB412" s="182"/>
      <c r="AC412" s="182"/>
      <c r="AD412" s="182"/>
      <c r="AE412" s="182"/>
      <c r="AF412" s="182"/>
      <c r="AG412" s="182"/>
      <c r="AH412" s="182"/>
      <c r="AI412" s="182"/>
      <c r="AJ412" s="182"/>
      <c r="AK412" s="182"/>
      <c r="AL412" s="182"/>
      <c r="AM412" s="182"/>
      <c r="AN412" s="182"/>
      <c r="AO412" s="182"/>
      <c r="AP412" s="182"/>
      <c r="AQ412" s="185">
        <v>703.5</v>
      </c>
      <c r="AR412" s="182">
        <v>470.6</v>
      </c>
      <c r="AS412" s="182">
        <v>63.4</v>
      </c>
      <c r="AT412" s="182">
        <v>169.5</v>
      </c>
      <c r="AU412" s="182"/>
      <c r="AV412" s="182"/>
      <c r="AW412" s="182"/>
      <c r="AX412" s="182"/>
      <c r="AY412" s="182"/>
      <c r="AZ412" s="182"/>
      <c r="BA412" s="182"/>
      <c r="BB412" s="182"/>
      <c r="BC412" s="182"/>
      <c r="BD412" s="182"/>
      <c r="BE412" s="182"/>
      <c r="BF412" s="182"/>
      <c r="BG412" s="182"/>
      <c r="BH412" s="182"/>
      <c r="BI412" s="182"/>
      <c r="BJ412" s="182"/>
      <c r="BK412" s="182"/>
      <c r="BL412" s="182"/>
      <c r="BM412" s="182"/>
      <c r="BN412" s="182"/>
      <c r="BO412" s="182"/>
      <c r="BP412" s="182"/>
      <c r="BQ412" s="182"/>
      <c r="BR412" s="182"/>
      <c r="BS412" s="182"/>
      <c r="BT412" s="182"/>
      <c r="BU412" s="182"/>
      <c r="BV412" s="182"/>
      <c r="BW412" s="182"/>
      <c r="BX412" s="182"/>
      <c r="BY412" s="182"/>
      <c r="BZ412" s="182"/>
      <c r="CA412" s="182"/>
      <c r="CB412" s="185">
        <v>703.5</v>
      </c>
      <c r="CC412" s="185">
        <v>0</v>
      </c>
      <c r="CD412" s="185">
        <v>1769</v>
      </c>
      <c r="CE412" s="185"/>
    </row>
    <row r="413" spans="2:83" x14ac:dyDescent="0.3">
      <c r="B413" s="182">
        <v>3546</v>
      </c>
      <c r="C413" s="182">
        <v>1770</v>
      </c>
      <c r="D413" s="182" t="s">
        <v>132</v>
      </c>
      <c r="E413" s="181" t="s">
        <v>1232</v>
      </c>
      <c r="F413" s="182"/>
      <c r="G413" s="182">
        <v>1395.27</v>
      </c>
      <c r="H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2"/>
      <c r="X413" s="182"/>
      <c r="Y413" s="182"/>
      <c r="Z413" s="182"/>
      <c r="AA413" s="182"/>
      <c r="AB413" s="182"/>
      <c r="AC413" s="182"/>
      <c r="AD413" s="182"/>
      <c r="AE413" s="182"/>
      <c r="AF413" s="182"/>
      <c r="AG413" s="182"/>
      <c r="AH413" s="182"/>
      <c r="AI413" s="182"/>
      <c r="AJ413" s="182"/>
      <c r="AK413" s="182"/>
      <c r="AL413" s="182"/>
      <c r="AM413" s="182"/>
      <c r="AN413" s="182"/>
      <c r="AO413" s="182"/>
      <c r="AP413" s="182"/>
      <c r="AQ413" s="185">
        <v>1395.27</v>
      </c>
      <c r="AR413" s="182">
        <v>933.9</v>
      </c>
      <c r="AS413" s="182">
        <v>125.2</v>
      </c>
      <c r="AT413" s="182">
        <v>336.17</v>
      </c>
      <c r="AU413" s="182"/>
      <c r="AV413" s="182"/>
      <c r="AW413" s="182"/>
      <c r="AX413" s="182"/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/>
      <c r="BI413" s="182"/>
      <c r="BJ413" s="182"/>
      <c r="BK413" s="182"/>
      <c r="BL413" s="182"/>
      <c r="BM413" s="182"/>
      <c r="BN413" s="182"/>
      <c r="BO413" s="182"/>
      <c r="BP413" s="182"/>
      <c r="BQ413" s="182"/>
      <c r="BR413" s="182"/>
      <c r="BS413" s="182"/>
      <c r="BT413" s="182"/>
      <c r="BU413" s="182"/>
      <c r="BV413" s="182"/>
      <c r="BW413" s="182"/>
      <c r="BX413" s="182"/>
      <c r="BY413" s="182"/>
      <c r="BZ413" s="182"/>
      <c r="CA413" s="182"/>
      <c r="CB413" s="185">
        <v>1395.27</v>
      </c>
      <c r="CC413" s="185">
        <v>0</v>
      </c>
      <c r="CD413" s="185">
        <v>1770</v>
      </c>
      <c r="CE413" s="185"/>
    </row>
    <row r="414" spans="2:83" x14ac:dyDescent="0.3">
      <c r="B414" s="182">
        <v>3550</v>
      </c>
      <c r="C414" s="182">
        <v>1771</v>
      </c>
      <c r="D414" s="182" t="s">
        <v>132</v>
      </c>
      <c r="E414" s="181" t="s">
        <v>1232</v>
      </c>
      <c r="F414" s="182"/>
      <c r="G414" s="182">
        <v>25014.54</v>
      </c>
      <c r="H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2"/>
      <c r="X414" s="182"/>
      <c r="Y414" s="182"/>
      <c r="Z414" s="182"/>
      <c r="AA414" s="182"/>
      <c r="AB414" s="182"/>
      <c r="AC414" s="182"/>
      <c r="AD414" s="182"/>
      <c r="AE414" s="182"/>
      <c r="AF414" s="182"/>
      <c r="AG414" s="182"/>
      <c r="AH414" s="182"/>
      <c r="AI414" s="182"/>
      <c r="AJ414" s="182"/>
      <c r="AK414" s="182"/>
      <c r="AL414" s="182"/>
      <c r="AM414" s="182"/>
      <c r="AN414" s="182"/>
      <c r="AO414" s="182"/>
      <c r="AP414" s="182"/>
      <c r="AQ414" s="185">
        <v>25014.54</v>
      </c>
      <c r="AR414" s="182">
        <v>17562.05</v>
      </c>
      <c r="AS414" s="182">
        <v>2294.5500000000002</v>
      </c>
      <c r="AT414" s="182">
        <v>5157.9399999999996</v>
      </c>
      <c r="AU414" s="182"/>
      <c r="AV414" s="182"/>
      <c r="AW414" s="182"/>
      <c r="AX414" s="182"/>
      <c r="AY414" s="182"/>
      <c r="AZ414" s="182"/>
      <c r="BA414" s="182"/>
      <c r="BB414" s="182"/>
      <c r="BC414" s="182"/>
      <c r="BD414" s="182"/>
      <c r="BE414" s="182"/>
      <c r="BF414" s="182"/>
      <c r="BG414" s="182"/>
      <c r="BH414" s="182"/>
      <c r="BI414" s="182"/>
      <c r="BJ414" s="182"/>
      <c r="BK414" s="182"/>
      <c r="BL414" s="182"/>
      <c r="BM414" s="182"/>
      <c r="BN414" s="182"/>
      <c r="BO414" s="182"/>
      <c r="BP414" s="182"/>
      <c r="BQ414" s="182"/>
      <c r="BR414" s="182"/>
      <c r="BS414" s="182"/>
      <c r="BT414" s="182"/>
      <c r="BU414" s="182"/>
      <c r="BV414" s="182"/>
      <c r="BW414" s="182"/>
      <c r="BX414" s="182"/>
      <c r="BY414" s="182"/>
      <c r="BZ414" s="182"/>
      <c r="CA414" s="182"/>
      <c r="CB414" s="185">
        <v>25014.539999999997</v>
      </c>
      <c r="CC414" s="185">
        <v>0</v>
      </c>
      <c r="CD414" s="185">
        <v>1771</v>
      </c>
      <c r="CE414" s="185"/>
    </row>
    <row r="415" spans="2:83" x14ac:dyDescent="0.3">
      <c r="B415" s="182">
        <v>3548</v>
      </c>
      <c r="C415" s="182">
        <v>1772</v>
      </c>
      <c r="D415" s="182" t="s">
        <v>132</v>
      </c>
      <c r="E415" s="181" t="s">
        <v>1232</v>
      </c>
      <c r="F415" s="182"/>
      <c r="G415" s="182">
        <v>3347.47</v>
      </c>
      <c r="H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2"/>
      <c r="X415" s="182"/>
      <c r="Y415" s="182"/>
      <c r="Z415" s="182"/>
      <c r="AA415" s="182"/>
      <c r="AB415" s="182"/>
      <c r="AC415" s="182"/>
      <c r="AD415" s="182"/>
      <c r="AE415" s="182"/>
      <c r="AF415" s="182"/>
      <c r="AG415" s="182"/>
      <c r="AH415" s="182"/>
      <c r="AI415" s="182"/>
      <c r="AJ415" s="182"/>
      <c r="AK415" s="182"/>
      <c r="AL415" s="182"/>
      <c r="AM415" s="182"/>
      <c r="AN415" s="182"/>
      <c r="AO415" s="182"/>
      <c r="AP415" s="182"/>
      <c r="AQ415" s="185">
        <v>3347.47</v>
      </c>
      <c r="AR415" s="182">
        <v>2241.8000000000002</v>
      </c>
      <c r="AS415" s="182">
        <v>299.14999999999998</v>
      </c>
      <c r="AT415" s="182">
        <v>806.52</v>
      </c>
      <c r="AU415" s="182"/>
      <c r="AV415" s="182"/>
      <c r="AW415" s="182"/>
      <c r="AX415" s="182"/>
      <c r="AY415" s="182"/>
      <c r="AZ415" s="182"/>
      <c r="BA415" s="182"/>
      <c r="BB415" s="182"/>
      <c r="BC415" s="182"/>
      <c r="BD415" s="182"/>
      <c r="BE415" s="182"/>
      <c r="BF415" s="182"/>
      <c r="BG415" s="182"/>
      <c r="BH415" s="182"/>
      <c r="BI415" s="182"/>
      <c r="BJ415" s="182"/>
      <c r="BK415" s="182"/>
      <c r="BL415" s="182"/>
      <c r="BM415" s="182"/>
      <c r="BN415" s="182"/>
      <c r="BO415" s="182"/>
      <c r="BP415" s="182"/>
      <c r="BQ415" s="182"/>
      <c r="BR415" s="182"/>
      <c r="BS415" s="182"/>
      <c r="BT415" s="182"/>
      <c r="BU415" s="182"/>
      <c r="BV415" s="182"/>
      <c r="BW415" s="182"/>
      <c r="BX415" s="182"/>
      <c r="BY415" s="182"/>
      <c r="BZ415" s="182"/>
      <c r="CA415" s="182"/>
      <c r="CB415" s="185">
        <v>3347.4700000000003</v>
      </c>
      <c r="CC415" s="185">
        <v>0</v>
      </c>
      <c r="CD415" s="185">
        <v>1772</v>
      </c>
      <c r="CE415" s="185"/>
    </row>
    <row r="416" spans="2:83" x14ac:dyDescent="0.3">
      <c r="B416" s="182">
        <v>3551</v>
      </c>
      <c r="C416" s="182">
        <v>1773</v>
      </c>
      <c r="D416" s="182" t="s">
        <v>132</v>
      </c>
      <c r="E416" s="181" t="s">
        <v>1232</v>
      </c>
      <c r="F416" s="182"/>
      <c r="G416" s="182">
        <v>6950.21</v>
      </c>
      <c r="H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2"/>
      <c r="X416" s="182"/>
      <c r="Y416" s="182"/>
      <c r="Z416" s="182"/>
      <c r="AA416" s="182"/>
      <c r="AB416" s="182"/>
      <c r="AC416" s="182"/>
      <c r="AD416" s="182"/>
      <c r="AE416" s="182"/>
      <c r="AF416" s="182"/>
      <c r="AG416" s="182"/>
      <c r="AH416" s="182"/>
      <c r="AI416" s="182"/>
      <c r="AJ416" s="182"/>
      <c r="AK416" s="182"/>
      <c r="AL416" s="182"/>
      <c r="AM416" s="182"/>
      <c r="AN416" s="182"/>
      <c r="AO416" s="182"/>
      <c r="AP416" s="182"/>
      <c r="AQ416" s="185">
        <v>6950.21</v>
      </c>
      <c r="AR416" s="182">
        <v>6077.27</v>
      </c>
      <c r="AS416" s="182">
        <v>258.48</v>
      </c>
      <c r="AT416" s="182">
        <v>614.46</v>
      </c>
      <c r="AU416" s="182"/>
      <c r="AV416" s="182"/>
      <c r="AW416" s="182"/>
      <c r="AX416" s="182"/>
      <c r="AY416" s="182"/>
      <c r="AZ416" s="182"/>
      <c r="BA416" s="182"/>
      <c r="BB416" s="182"/>
      <c r="BC416" s="182"/>
      <c r="BD416" s="182"/>
      <c r="BE416" s="182"/>
      <c r="BF416" s="182"/>
      <c r="BG416" s="182"/>
      <c r="BH416" s="182"/>
      <c r="BI416" s="182"/>
      <c r="BJ416" s="182"/>
      <c r="BK416" s="182"/>
      <c r="BL416" s="182"/>
      <c r="BM416" s="182"/>
      <c r="BN416" s="182"/>
      <c r="BO416" s="182"/>
      <c r="BP416" s="182"/>
      <c r="BQ416" s="182"/>
      <c r="BR416" s="182"/>
      <c r="BS416" s="182"/>
      <c r="BT416" s="182"/>
      <c r="BU416" s="182"/>
      <c r="BV416" s="182"/>
      <c r="BW416" s="182"/>
      <c r="BX416" s="182"/>
      <c r="BY416" s="182"/>
      <c r="BZ416" s="182"/>
      <c r="CA416" s="182"/>
      <c r="CB416" s="185">
        <v>6950.21</v>
      </c>
      <c r="CC416" s="185">
        <v>0</v>
      </c>
      <c r="CD416" s="185">
        <v>1773</v>
      </c>
      <c r="CE416" s="185"/>
    </row>
    <row r="417" spans="2:83" x14ac:dyDescent="0.3">
      <c r="B417" s="182">
        <v>3542</v>
      </c>
      <c r="C417" s="182">
        <v>1774</v>
      </c>
      <c r="D417" s="182" t="s">
        <v>132</v>
      </c>
      <c r="E417" s="181" t="s">
        <v>1238</v>
      </c>
      <c r="F417" s="182"/>
      <c r="G417" s="182">
        <v>586.25</v>
      </c>
      <c r="H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2"/>
      <c r="X417" s="182"/>
      <c r="Y417" s="182"/>
      <c r="Z417" s="182"/>
      <c r="AA417" s="182"/>
      <c r="AB417" s="182"/>
      <c r="AC417" s="182"/>
      <c r="AD417" s="182"/>
      <c r="AE417" s="182"/>
      <c r="AF417" s="182"/>
      <c r="AG417" s="182"/>
      <c r="AH417" s="182"/>
      <c r="AI417" s="182"/>
      <c r="AJ417" s="182"/>
      <c r="AK417" s="182"/>
      <c r="AL417" s="182"/>
      <c r="AM417" s="182"/>
      <c r="AN417" s="182"/>
      <c r="AO417" s="182"/>
      <c r="AP417" s="182"/>
      <c r="AQ417" s="185">
        <v>586.25</v>
      </c>
      <c r="AR417" s="182">
        <v>392.4</v>
      </c>
      <c r="AS417" s="182">
        <v>52.6</v>
      </c>
      <c r="AT417" s="182">
        <v>141.25</v>
      </c>
      <c r="AU417" s="182"/>
      <c r="AV417" s="182"/>
      <c r="AW417" s="182"/>
      <c r="AX417" s="182"/>
      <c r="AY417" s="182"/>
      <c r="AZ417" s="182"/>
      <c r="BA417" s="182"/>
      <c r="BB417" s="182"/>
      <c r="BC417" s="182"/>
      <c r="BD417" s="182"/>
      <c r="BE417" s="182"/>
      <c r="BF417" s="182"/>
      <c r="BG417" s="182"/>
      <c r="BH417" s="182"/>
      <c r="BI417" s="182"/>
      <c r="BJ417" s="182"/>
      <c r="BK417" s="182"/>
      <c r="BL417" s="182"/>
      <c r="BM417" s="182"/>
      <c r="BN417" s="182"/>
      <c r="BO417" s="182"/>
      <c r="BP417" s="182"/>
      <c r="BQ417" s="182"/>
      <c r="BR417" s="182"/>
      <c r="BS417" s="182"/>
      <c r="BT417" s="182"/>
      <c r="BU417" s="182"/>
      <c r="BV417" s="182"/>
      <c r="BW417" s="182"/>
      <c r="BX417" s="182"/>
      <c r="BY417" s="182"/>
      <c r="BZ417" s="182"/>
      <c r="CA417" s="182"/>
      <c r="CB417" s="185">
        <v>586.25</v>
      </c>
      <c r="CC417" s="185">
        <v>0</v>
      </c>
      <c r="CD417" s="185">
        <v>1774</v>
      </c>
      <c r="CE417" s="185"/>
    </row>
    <row r="418" spans="2:83" x14ac:dyDescent="0.3">
      <c r="B418" s="182">
        <v>3544</v>
      </c>
      <c r="C418" s="182">
        <v>1775</v>
      </c>
      <c r="D418" s="182" t="s">
        <v>132</v>
      </c>
      <c r="E418" s="181" t="s">
        <v>1238</v>
      </c>
      <c r="F418" s="182"/>
      <c r="G418" s="182">
        <v>9408.17</v>
      </c>
      <c r="H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2"/>
      <c r="X418" s="182"/>
      <c r="Y418" s="182"/>
      <c r="Z418" s="182"/>
      <c r="AA418" s="182"/>
      <c r="AB418" s="182"/>
      <c r="AC418" s="182"/>
      <c r="AD418" s="182"/>
      <c r="AE418" s="182"/>
      <c r="AF418" s="182"/>
      <c r="AG418" s="182"/>
      <c r="AH418" s="182"/>
      <c r="AI418" s="182"/>
      <c r="AJ418" s="182"/>
      <c r="AK418" s="182"/>
      <c r="AL418" s="182"/>
      <c r="AM418" s="182"/>
      <c r="AN418" s="182"/>
      <c r="AO418" s="182"/>
      <c r="AP418" s="182"/>
      <c r="AQ418" s="185">
        <v>9408.17</v>
      </c>
      <c r="AR418" s="182">
        <v>7396.61</v>
      </c>
      <c r="AS418" s="182">
        <v>933.7</v>
      </c>
      <c r="AT418" s="182">
        <v>1077.8599999999999</v>
      </c>
      <c r="AU418" s="182"/>
      <c r="AV418" s="182"/>
      <c r="AW418" s="182"/>
      <c r="AX418" s="182"/>
      <c r="AY418" s="182"/>
      <c r="AZ418" s="182"/>
      <c r="BA418" s="182"/>
      <c r="BB418" s="182"/>
      <c r="BC418" s="182"/>
      <c r="BD418" s="182"/>
      <c r="BE418" s="182"/>
      <c r="BF418" s="182"/>
      <c r="BG418" s="182"/>
      <c r="BH418" s="182"/>
      <c r="BI418" s="182"/>
      <c r="BJ418" s="182"/>
      <c r="BK418" s="182"/>
      <c r="BL418" s="182"/>
      <c r="BM418" s="182"/>
      <c r="BN418" s="182"/>
      <c r="BO418" s="182"/>
      <c r="BP418" s="182"/>
      <c r="BQ418" s="182"/>
      <c r="BR418" s="182"/>
      <c r="BS418" s="182"/>
      <c r="BT418" s="182"/>
      <c r="BU418" s="182"/>
      <c r="BV418" s="182"/>
      <c r="BW418" s="182"/>
      <c r="BX418" s="182"/>
      <c r="BY418" s="182"/>
      <c r="BZ418" s="182"/>
      <c r="CA418" s="182"/>
      <c r="CB418" s="185">
        <v>9408.17</v>
      </c>
      <c r="CC418" s="185">
        <v>0</v>
      </c>
      <c r="CD418" s="185">
        <v>1775</v>
      </c>
      <c r="CE418" s="185"/>
    </row>
    <row r="419" spans="2:83" x14ac:dyDescent="0.3">
      <c r="B419" s="182">
        <v>3569</v>
      </c>
      <c r="C419" s="182">
        <v>1776</v>
      </c>
      <c r="D419" s="182" t="s">
        <v>132</v>
      </c>
      <c r="E419" s="181" t="s">
        <v>2962</v>
      </c>
      <c r="F419" s="182"/>
      <c r="G419" s="182">
        <v>3000</v>
      </c>
      <c r="H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2"/>
      <c r="X419" s="182"/>
      <c r="Y419" s="182"/>
      <c r="Z419" s="182"/>
      <c r="AA419" s="182"/>
      <c r="AB419" s="182"/>
      <c r="AC419" s="182"/>
      <c r="AD419" s="182"/>
      <c r="AE419" s="182"/>
      <c r="AF419" s="182"/>
      <c r="AG419" s="182"/>
      <c r="AH419" s="182"/>
      <c r="AI419" s="182"/>
      <c r="AJ419" s="182"/>
      <c r="AK419" s="182"/>
      <c r="AL419" s="182"/>
      <c r="AM419" s="182"/>
      <c r="AN419" s="182"/>
      <c r="AO419" s="182"/>
      <c r="AP419" s="182"/>
      <c r="AQ419" s="185">
        <v>3000</v>
      </c>
      <c r="AR419" s="182">
        <v>2677.85</v>
      </c>
      <c r="AS419" s="182">
        <v>322.14999999999998</v>
      </c>
      <c r="AT419" s="182"/>
      <c r="AU419" s="182"/>
      <c r="AV419" s="182"/>
      <c r="AW419" s="182"/>
      <c r="AX419" s="182"/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/>
      <c r="BI419" s="182"/>
      <c r="BJ419" s="182"/>
      <c r="BK419" s="182"/>
      <c r="BL419" s="182"/>
      <c r="BM419" s="182"/>
      <c r="BN419" s="182"/>
      <c r="BO419" s="182"/>
      <c r="BP419" s="182"/>
      <c r="BQ419" s="182"/>
      <c r="BR419" s="182"/>
      <c r="BS419" s="182"/>
      <c r="BT419" s="182"/>
      <c r="BU419" s="182"/>
      <c r="BV419" s="182"/>
      <c r="BW419" s="182"/>
      <c r="BX419" s="182"/>
      <c r="BY419" s="182"/>
      <c r="BZ419" s="182"/>
      <c r="CA419" s="182"/>
      <c r="CB419" s="185">
        <v>3000</v>
      </c>
      <c r="CC419" s="185">
        <v>0</v>
      </c>
      <c r="CD419" s="185">
        <v>1776</v>
      </c>
      <c r="CE419" s="185"/>
    </row>
    <row r="420" spans="2:83" x14ac:dyDescent="0.3">
      <c r="B420" s="182">
        <v>3555</v>
      </c>
      <c r="C420" s="182">
        <v>1777</v>
      </c>
      <c r="D420" s="182" t="s">
        <v>132</v>
      </c>
      <c r="E420" s="181" t="s">
        <v>4211</v>
      </c>
      <c r="F420" s="182"/>
      <c r="G420" s="182">
        <v>3000</v>
      </c>
      <c r="H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2"/>
      <c r="X420" s="182"/>
      <c r="Y420" s="182"/>
      <c r="Z420" s="182"/>
      <c r="AA420" s="182"/>
      <c r="AB420" s="182"/>
      <c r="AC420" s="182"/>
      <c r="AD420" s="182"/>
      <c r="AE420" s="182"/>
      <c r="AF420" s="182"/>
      <c r="AG420" s="182"/>
      <c r="AH420" s="182"/>
      <c r="AI420" s="182"/>
      <c r="AJ420" s="182"/>
      <c r="AK420" s="182"/>
      <c r="AL420" s="182"/>
      <c r="AM420" s="182"/>
      <c r="AN420" s="182"/>
      <c r="AO420" s="182"/>
      <c r="AP420" s="182"/>
      <c r="AQ420" s="185">
        <v>3000</v>
      </c>
      <c r="AR420" s="182">
        <v>2682.3</v>
      </c>
      <c r="AS420" s="182">
        <v>317.7</v>
      </c>
      <c r="AT420" s="182"/>
      <c r="AU420" s="182"/>
      <c r="AV420" s="182"/>
      <c r="AW420" s="182"/>
      <c r="AX420" s="182"/>
      <c r="AY420" s="182"/>
      <c r="AZ420" s="182"/>
      <c r="BA420" s="182"/>
      <c r="BB420" s="182"/>
      <c r="BC420" s="182"/>
      <c r="BD420" s="182"/>
      <c r="BE420" s="182"/>
      <c r="BF420" s="182"/>
      <c r="BG420" s="182"/>
      <c r="BH420" s="182"/>
      <c r="BI420" s="182"/>
      <c r="BJ420" s="182"/>
      <c r="BK420" s="182"/>
      <c r="BL420" s="182"/>
      <c r="BM420" s="182"/>
      <c r="BN420" s="182"/>
      <c r="BO420" s="182"/>
      <c r="BP420" s="182"/>
      <c r="BQ420" s="182"/>
      <c r="BR420" s="182"/>
      <c r="BS420" s="182"/>
      <c r="BT420" s="182"/>
      <c r="BU420" s="182"/>
      <c r="BV420" s="182"/>
      <c r="BW420" s="182"/>
      <c r="BX420" s="182"/>
      <c r="BY420" s="182"/>
      <c r="BZ420" s="182"/>
      <c r="CA420" s="182"/>
      <c r="CB420" s="185">
        <v>3000</v>
      </c>
      <c r="CC420" s="185">
        <v>0</v>
      </c>
      <c r="CD420" s="185">
        <v>1777</v>
      </c>
      <c r="CE420" s="185"/>
    </row>
    <row r="421" spans="2:83" x14ac:dyDescent="0.3">
      <c r="B421" s="182">
        <v>3545</v>
      </c>
      <c r="C421" s="182">
        <v>1778</v>
      </c>
      <c r="D421" s="182" t="s">
        <v>132</v>
      </c>
      <c r="E421" s="181" t="s">
        <v>1238</v>
      </c>
      <c r="F421" s="182"/>
      <c r="G421" s="182">
        <v>586.25</v>
      </c>
      <c r="H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2"/>
      <c r="X421" s="182"/>
      <c r="Y421" s="182"/>
      <c r="Z421" s="182"/>
      <c r="AA421" s="182"/>
      <c r="AB421" s="182"/>
      <c r="AC421" s="182"/>
      <c r="AD421" s="182"/>
      <c r="AE421" s="182"/>
      <c r="AF421" s="182"/>
      <c r="AG421" s="182"/>
      <c r="AH421" s="182"/>
      <c r="AI421" s="182"/>
      <c r="AJ421" s="182"/>
      <c r="AK421" s="182"/>
      <c r="AL421" s="182"/>
      <c r="AM421" s="182"/>
      <c r="AN421" s="182"/>
      <c r="AO421" s="182"/>
      <c r="AP421" s="182"/>
      <c r="AQ421" s="185">
        <v>586.25</v>
      </c>
      <c r="AR421" s="182">
        <v>391.85</v>
      </c>
      <c r="AS421" s="182">
        <v>53.15</v>
      </c>
      <c r="AT421" s="182">
        <v>141.25</v>
      </c>
      <c r="AU421" s="182"/>
      <c r="AV421" s="182"/>
      <c r="AW421" s="182"/>
      <c r="AX421" s="182"/>
      <c r="AY421" s="182"/>
      <c r="AZ421" s="182"/>
      <c r="BA421" s="182"/>
      <c r="BB421" s="182"/>
      <c r="BC421" s="182"/>
      <c r="BD421" s="182"/>
      <c r="BE421" s="182"/>
      <c r="BF421" s="182"/>
      <c r="BG421" s="182"/>
      <c r="BH421" s="182"/>
      <c r="BI421" s="182"/>
      <c r="BJ421" s="182"/>
      <c r="BK421" s="182"/>
      <c r="BL421" s="182"/>
      <c r="BM421" s="182"/>
      <c r="BN421" s="182"/>
      <c r="BO421" s="182"/>
      <c r="BP421" s="182"/>
      <c r="BQ421" s="182"/>
      <c r="BR421" s="182"/>
      <c r="BS421" s="182"/>
      <c r="BT421" s="182"/>
      <c r="BU421" s="182"/>
      <c r="BV421" s="182"/>
      <c r="BW421" s="182"/>
      <c r="BX421" s="182"/>
      <c r="BY421" s="182"/>
      <c r="BZ421" s="182"/>
      <c r="CA421" s="182"/>
      <c r="CB421" s="185">
        <v>586.25</v>
      </c>
      <c r="CC421" s="185">
        <v>0</v>
      </c>
      <c r="CD421" s="185">
        <v>1778</v>
      </c>
      <c r="CE421" s="185"/>
    </row>
    <row r="422" spans="2:83" x14ac:dyDescent="0.3">
      <c r="B422" s="182">
        <v>3543</v>
      </c>
      <c r="C422" s="182">
        <v>1779</v>
      </c>
      <c r="D422" s="182" t="s">
        <v>132</v>
      </c>
      <c r="E422" s="181" t="s">
        <v>1238</v>
      </c>
      <c r="F422" s="182"/>
      <c r="G422" s="182">
        <v>879.38</v>
      </c>
      <c r="H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2"/>
      <c r="X422" s="182"/>
      <c r="Y422" s="182"/>
      <c r="Z422" s="182"/>
      <c r="AA422" s="182"/>
      <c r="AB422" s="182"/>
      <c r="AC422" s="182"/>
      <c r="AD422" s="182"/>
      <c r="AE422" s="182"/>
      <c r="AF422" s="182"/>
      <c r="AG422" s="182"/>
      <c r="AH422" s="182"/>
      <c r="AI422" s="182"/>
      <c r="AJ422" s="182"/>
      <c r="AK422" s="182"/>
      <c r="AL422" s="182"/>
      <c r="AM422" s="182"/>
      <c r="AN422" s="182"/>
      <c r="AO422" s="182"/>
      <c r="AP422" s="182"/>
      <c r="AQ422" s="185">
        <v>879.38</v>
      </c>
      <c r="AR422" s="182">
        <v>588.15</v>
      </c>
      <c r="AS422" s="182">
        <v>79.349999999999994</v>
      </c>
      <c r="AT422" s="182">
        <v>211.88</v>
      </c>
      <c r="AU422" s="182"/>
      <c r="AV422" s="182"/>
      <c r="AW422" s="182"/>
      <c r="AX422" s="182"/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182"/>
      <c r="BK422" s="182"/>
      <c r="BL422" s="182"/>
      <c r="BM422" s="182"/>
      <c r="BN422" s="182"/>
      <c r="BO422" s="182"/>
      <c r="BP422" s="182"/>
      <c r="BQ422" s="182"/>
      <c r="BR422" s="182"/>
      <c r="BS422" s="182"/>
      <c r="BT422" s="182"/>
      <c r="BU422" s="182"/>
      <c r="BV422" s="182"/>
      <c r="BW422" s="182"/>
      <c r="BX422" s="182"/>
      <c r="BY422" s="182"/>
      <c r="BZ422" s="182"/>
      <c r="CA422" s="182"/>
      <c r="CB422" s="185">
        <v>879.38</v>
      </c>
      <c r="CC422" s="185">
        <v>0</v>
      </c>
      <c r="CD422" s="185">
        <v>1779</v>
      </c>
      <c r="CE422" s="185"/>
    </row>
    <row r="423" spans="2:83" x14ac:dyDescent="0.3">
      <c r="B423" s="182">
        <v>3541</v>
      </c>
      <c r="C423" s="182">
        <v>1780</v>
      </c>
      <c r="D423" s="182" t="s">
        <v>132</v>
      </c>
      <c r="E423" s="181" t="s">
        <v>4212</v>
      </c>
      <c r="F423" s="182"/>
      <c r="G423" s="182">
        <v>2345</v>
      </c>
      <c r="H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2"/>
      <c r="X423" s="182"/>
      <c r="Y423" s="182"/>
      <c r="Z423" s="182"/>
      <c r="AA423" s="182"/>
      <c r="AB423" s="182"/>
      <c r="AC423" s="182"/>
      <c r="AD423" s="182"/>
      <c r="AE423" s="182"/>
      <c r="AF423" s="182"/>
      <c r="AG423" s="182"/>
      <c r="AH423" s="182"/>
      <c r="AI423" s="182"/>
      <c r="AJ423" s="182"/>
      <c r="AK423" s="182"/>
      <c r="AL423" s="182"/>
      <c r="AM423" s="182"/>
      <c r="AN423" s="182"/>
      <c r="AO423" s="182"/>
      <c r="AP423" s="182"/>
      <c r="AQ423" s="185">
        <v>2345</v>
      </c>
      <c r="AR423" s="182">
        <v>1569.6</v>
      </c>
      <c r="AS423" s="182">
        <v>210.4</v>
      </c>
      <c r="AT423" s="182">
        <v>565</v>
      </c>
      <c r="AU423" s="182"/>
      <c r="AV423" s="182"/>
      <c r="AW423" s="182"/>
      <c r="AX423" s="182"/>
      <c r="AY423" s="182"/>
      <c r="AZ423" s="182"/>
      <c r="BA423" s="182"/>
      <c r="BB423" s="182"/>
      <c r="BC423" s="182"/>
      <c r="BD423" s="182"/>
      <c r="BE423" s="182"/>
      <c r="BF423" s="182"/>
      <c r="BG423" s="182"/>
      <c r="BH423" s="182"/>
      <c r="BI423" s="182"/>
      <c r="BJ423" s="182"/>
      <c r="BK423" s="182"/>
      <c r="BL423" s="182"/>
      <c r="BM423" s="182"/>
      <c r="BN423" s="182"/>
      <c r="BO423" s="182"/>
      <c r="BP423" s="182"/>
      <c r="BQ423" s="182"/>
      <c r="BR423" s="182"/>
      <c r="BS423" s="182"/>
      <c r="BT423" s="182"/>
      <c r="BU423" s="182"/>
      <c r="BV423" s="182"/>
      <c r="BW423" s="182"/>
      <c r="BX423" s="182"/>
      <c r="BY423" s="182"/>
      <c r="BZ423" s="182"/>
      <c r="CA423" s="182"/>
      <c r="CB423" s="185">
        <v>2345</v>
      </c>
      <c r="CC423" s="185">
        <v>0</v>
      </c>
      <c r="CD423" s="185">
        <v>1780</v>
      </c>
      <c r="CE423" s="185"/>
    </row>
    <row r="424" spans="2:83" x14ac:dyDescent="0.3">
      <c r="B424" s="182">
        <v>3291</v>
      </c>
      <c r="C424" s="182">
        <v>1781</v>
      </c>
      <c r="D424" s="182" t="s">
        <v>123</v>
      </c>
      <c r="E424" s="181" t="s">
        <v>4213</v>
      </c>
      <c r="F424" s="182"/>
      <c r="G424" s="182">
        <v>3251.75</v>
      </c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2"/>
      <c r="X424" s="182"/>
      <c r="Y424" s="182"/>
      <c r="Z424" s="182"/>
      <c r="AA424" s="182"/>
      <c r="AB424" s="182"/>
      <c r="AC424" s="182"/>
      <c r="AD424" s="182"/>
      <c r="AE424" s="182"/>
      <c r="AF424" s="182"/>
      <c r="AG424" s="182"/>
      <c r="AH424" s="182"/>
      <c r="AI424" s="182"/>
      <c r="AJ424" s="182"/>
      <c r="AK424" s="182"/>
      <c r="AL424" s="182"/>
      <c r="AM424" s="182"/>
      <c r="AN424" s="182"/>
      <c r="AO424" s="182"/>
      <c r="AP424" s="182"/>
      <c r="AQ424" s="185">
        <v>3251.75</v>
      </c>
      <c r="AR424" s="182">
        <v>2669.4</v>
      </c>
      <c r="AS424" s="182">
        <v>337.6</v>
      </c>
      <c r="AT424" s="182">
        <v>84.75</v>
      </c>
      <c r="AU424" s="182">
        <v>160</v>
      </c>
      <c r="AV424" s="182"/>
      <c r="AW424" s="182"/>
      <c r="AX424" s="182"/>
      <c r="AY424" s="182"/>
      <c r="AZ424" s="182"/>
      <c r="BA424" s="182"/>
      <c r="BB424" s="182"/>
      <c r="BC424" s="182"/>
      <c r="BD424" s="182"/>
      <c r="BE424" s="182"/>
      <c r="BF424" s="182"/>
      <c r="BG424" s="182"/>
      <c r="BH424" s="182"/>
      <c r="BI424" s="182"/>
      <c r="BJ424" s="182"/>
      <c r="BK424" s="182"/>
      <c r="BL424" s="182"/>
      <c r="BM424" s="182"/>
      <c r="BN424" s="182"/>
      <c r="BO424" s="182"/>
      <c r="BP424" s="182"/>
      <c r="BQ424" s="182"/>
      <c r="BR424" s="182"/>
      <c r="BS424" s="182"/>
      <c r="BT424" s="182"/>
      <c r="BU424" s="182"/>
      <c r="BV424" s="182"/>
      <c r="BW424" s="182"/>
      <c r="BX424" s="182"/>
      <c r="BY424" s="182"/>
      <c r="BZ424" s="182"/>
      <c r="CA424" s="182"/>
      <c r="CB424" s="185">
        <v>3251.75</v>
      </c>
      <c r="CC424" s="185">
        <v>0</v>
      </c>
      <c r="CD424" s="185">
        <v>1781</v>
      </c>
      <c r="CE424" s="185"/>
    </row>
    <row r="425" spans="2:83" x14ac:dyDescent="0.3">
      <c r="B425" s="182">
        <v>3292</v>
      </c>
      <c r="C425" s="182">
        <v>1782</v>
      </c>
      <c r="D425" s="182" t="s">
        <v>123</v>
      </c>
      <c r="E425" s="181" t="s">
        <v>4213</v>
      </c>
      <c r="F425" s="182"/>
      <c r="G425" s="182">
        <v>351.75</v>
      </c>
      <c r="H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2"/>
      <c r="X425" s="182"/>
      <c r="Y425" s="182"/>
      <c r="Z425" s="182"/>
      <c r="AA425" s="182"/>
      <c r="AB425" s="182"/>
      <c r="AC425" s="182"/>
      <c r="AD425" s="182"/>
      <c r="AE425" s="182"/>
      <c r="AF425" s="182"/>
      <c r="AG425" s="182"/>
      <c r="AH425" s="182"/>
      <c r="AI425" s="182"/>
      <c r="AJ425" s="182"/>
      <c r="AK425" s="182"/>
      <c r="AL425" s="182"/>
      <c r="AM425" s="182"/>
      <c r="AN425" s="182"/>
      <c r="AO425" s="182"/>
      <c r="AP425" s="182"/>
      <c r="AQ425" s="185">
        <v>351.75</v>
      </c>
      <c r="AR425" s="182">
        <v>220.55</v>
      </c>
      <c r="AS425" s="182">
        <v>31.45</v>
      </c>
      <c r="AT425" s="182">
        <v>84.75</v>
      </c>
      <c r="AU425" s="182">
        <v>15</v>
      </c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182"/>
      <c r="BK425" s="182"/>
      <c r="BL425" s="182"/>
      <c r="BM425" s="182"/>
      <c r="BN425" s="182"/>
      <c r="BO425" s="182"/>
      <c r="BP425" s="182"/>
      <c r="BQ425" s="182"/>
      <c r="BR425" s="182"/>
      <c r="BS425" s="182"/>
      <c r="BT425" s="182"/>
      <c r="BU425" s="182"/>
      <c r="BV425" s="182"/>
      <c r="BW425" s="182"/>
      <c r="BX425" s="182"/>
      <c r="BY425" s="182"/>
      <c r="BZ425" s="182"/>
      <c r="CA425" s="182"/>
      <c r="CB425" s="185">
        <v>351.75</v>
      </c>
      <c r="CC425" s="185">
        <v>0</v>
      </c>
      <c r="CD425" s="185">
        <v>1782</v>
      </c>
      <c r="CE425" s="185"/>
    </row>
    <row r="426" spans="2:83" x14ac:dyDescent="0.3">
      <c r="B426" s="182">
        <v>3290</v>
      </c>
      <c r="C426" s="182">
        <v>1783</v>
      </c>
      <c r="D426" s="182" t="s">
        <v>123</v>
      </c>
      <c r="E426" s="181" t="s">
        <v>4214</v>
      </c>
      <c r="F426" s="182"/>
      <c r="G426" s="182">
        <v>3851.75</v>
      </c>
      <c r="H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2"/>
      <c r="X426" s="182"/>
      <c r="Y426" s="182"/>
      <c r="Z426" s="182"/>
      <c r="AA426" s="182"/>
      <c r="AB426" s="182"/>
      <c r="AC426" s="182"/>
      <c r="AD426" s="182"/>
      <c r="AE426" s="182"/>
      <c r="AF426" s="182"/>
      <c r="AG426" s="182"/>
      <c r="AH426" s="182"/>
      <c r="AI426" s="182"/>
      <c r="AJ426" s="182"/>
      <c r="AK426" s="182"/>
      <c r="AL426" s="182"/>
      <c r="AM426" s="182"/>
      <c r="AN426" s="182"/>
      <c r="AO426" s="182"/>
      <c r="AP426" s="182"/>
      <c r="AQ426" s="185">
        <v>3851.75</v>
      </c>
      <c r="AR426" s="182">
        <v>3176.1</v>
      </c>
      <c r="AS426" s="182">
        <v>400.9</v>
      </c>
      <c r="AT426" s="182">
        <v>84.75</v>
      </c>
      <c r="AU426" s="182">
        <v>190</v>
      </c>
      <c r="AV426" s="182"/>
      <c r="AW426" s="182"/>
      <c r="AX426" s="182"/>
      <c r="AY426" s="182"/>
      <c r="AZ426" s="182"/>
      <c r="BA426" s="182"/>
      <c r="BB426" s="182"/>
      <c r="BC426" s="182"/>
      <c r="BD426" s="182"/>
      <c r="BE426" s="182"/>
      <c r="BF426" s="182"/>
      <c r="BG426" s="182"/>
      <c r="BH426" s="182"/>
      <c r="BI426" s="182"/>
      <c r="BJ426" s="182"/>
      <c r="BK426" s="182"/>
      <c r="BL426" s="182"/>
      <c r="BM426" s="182"/>
      <c r="BN426" s="182"/>
      <c r="BO426" s="182"/>
      <c r="BP426" s="182"/>
      <c r="BQ426" s="182"/>
      <c r="BR426" s="182"/>
      <c r="BS426" s="182"/>
      <c r="BT426" s="182"/>
      <c r="BU426" s="182"/>
      <c r="BV426" s="182"/>
      <c r="BW426" s="182"/>
      <c r="BX426" s="182"/>
      <c r="BY426" s="182"/>
      <c r="BZ426" s="182"/>
      <c r="CA426" s="182"/>
      <c r="CB426" s="185">
        <v>3851.75</v>
      </c>
      <c r="CC426" s="185">
        <v>0</v>
      </c>
      <c r="CD426" s="185">
        <v>1783</v>
      </c>
      <c r="CE426" s="185"/>
    </row>
    <row r="427" spans="2:83" x14ac:dyDescent="0.3">
      <c r="B427" s="182">
        <v>3289</v>
      </c>
      <c r="C427" s="182">
        <v>1784</v>
      </c>
      <c r="D427" s="182" t="s">
        <v>123</v>
      </c>
      <c r="E427" s="181" t="s">
        <v>4214</v>
      </c>
      <c r="F427" s="182"/>
      <c r="G427" s="182">
        <v>703.5</v>
      </c>
      <c r="H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2"/>
      <c r="X427" s="182"/>
      <c r="Y427" s="182"/>
      <c r="Z427" s="182"/>
      <c r="AA427" s="182"/>
      <c r="AB427" s="182"/>
      <c r="AC427" s="182"/>
      <c r="AD427" s="182"/>
      <c r="AE427" s="182"/>
      <c r="AF427" s="182"/>
      <c r="AG427" s="182"/>
      <c r="AH427" s="182"/>
      <c r="AI427" s="182"/>
      <c r="AJ427" s="182"/>
      <c r="AK427" s="182"/>
      <c r="AL427" s="182"/>
      <c r="AM427" s="182"/>
      <c r="AN427" s="182"/>
      <c r="AO427" s="182"/>
      <c r="AP427" s="182"/>
      <c r="AQ427" s="185">
        <v>703.5</v>
      </c>
      <c r="AR427" s="182">
        <v>441.1</v>
      </c>
      <c r="AS427" s="182">
        <v>62.9</v>
      </c>
      <c r="AT427" s="182">
        <v>169.5</v>
      </c>
      <c r="AU427" s="182">
        <v>30</v>
      </c>
      <c r="AV427" s="182"/>
      <c r="AW427" s="182"/>
      <c r="AX427" s="182"/>
      <c r="AY427" s="182"/>
      <c r="AZ427" s="182"/>
      <c r="BA427" s="182"/>
      <c r="BB427" s="182"/>
      <c r="BC427" s="182"/>
      <c r="BD427" s="182"/>
      <c r="BE427" s="182"/>
      <c r="BF427" s="182"/>
      <c r="BG427" s="182"/>
      <c r="BH427" s="182"/>
      <c r="BI427" s="182"/>
      <c r="BJ427" s="182"/>
      <c r="BK427" s="182"/>
      <c r="BL427" s="182"/>
      <c r="BM427" s="182"/>
      <c r="BN427" s="182"/>
      <c r="BO427" s="182"/>
      <c r="BP427" s="182"/>
      <c r="BQ427" s="182"/>
      <c r="BR427" s="182"/>
      <c r="BS427" s="182"/>
      <c r="BT427" s="182"/>
      <c r="BU427" s="182"/>
      <c r="BV427" s="182"/>
      <c r="BW427" s="182"/>
      <c r="BX427" s="182"/>
      <c r="BY427" s="182"/>
      <c r="BZ427" s="182"/>
      <c r="CA427" s="182"/>
      <c r="CB427" s="185">
        <v>703.5</v>
      </c>
      <c r="CC427" s="185">
        <v>0</v>
      </c>
      <c r="CD427" s="185">
        <v>1784</v>
      </c>
      <c r="CE427" s="185"/>
    </row>
    <row r="428" spans="2:83" x14ac:dyDescent="0.3">
      <c r="B428" s="182">
        <v>3809</v>
      </c>
      <c r="C428" s="182">
        <v>1785</v>
      </c>
      <c r="D428" s="182" t="s">
        <v>121</v>
      </c>
      <c r="E428" s="181" t="s">
        <v>4215</v>
      </c>
      <c r="F428" s="182"/>
      <c r="G428" s="182">
        <v>4221</v>
      </c>
      <c r="H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2"/>
      <c r="X428" s="182"/>
      <c r="Y428" s="182"/>
      <c r="Z428" s="182"/>
      <c r="AA428" s="182"/>
      <c r="AB428" s="182"/>
      <c r="AC428" s="182"/>
      <c r="AD428" s="182"/>
      <c r="AE428" s="182"/>
      <c r="AF428" s="182"/>
      <c r="AG428" s="182"/>
      <c r="AH428" s="182"/>
      <c r="AI428" s="182"/>
      <c r="AJ428" s="182"/>
      <c r="AK428" s="182"/>
      <c r="AL428" s="182"/>
      <c r="AM428" s="182"/>
      <c r="AN428" s="182"/>
      <c r="AO428" s="182"/>
      <c r="AP428" s="182"/>
      <c r="AQ428" s="185">
        <v>4221</v>
      </c>
      <c r="AR428" s="182">
        <v>2820.7</v>
      </c>
      <c r="AS428" s="182">
        <v>383.3</v>
      </c>
      <c r="AT428" s="182">
        <v>1017</v>
      </c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182"/>
      <c r="BK428" s="182"/>
      <c r="BL428" s="182"/>
      <c r="BM428" s="182"/>
      <c r="BN428" s="182"/>
      <c r="BO428" s="182"/>
      <c r="BP428" s="182"/>
      <c r="BQ428" s="182"/>
      <c r="BR428" s="182"/>
      <c r="BS428" s="182"/>
      <c r="BT428" s="182"/>
      <c r="BU428" s="182"/>
      <c r="BV428" s="182"/>
      <c r="BW428" s="182"/>
      <c r="BX428" s="182"/>
      <c r="BY428" s="182"/>
      <c r="BZ428" s="182"/>
      <c r="CA428" s="182"/>
      <c r="CB428" s="185">
        <v>4221</v>
      </c>
      <c r="CC428" s="185">
        <v>0</v>
      </c>
      <c r="CD428" s="185">
        <v>1785</v>
      </c>
      <c r="CE428" s="185"/>
    </row>
    <row r="429" spans="2:83" x14ac:dyDescent="0.3">
      <c r="B429" s="182">
        <v>3804</v>
      </c>
      <c r="C429" s="182">
        <v>1786</v>
      </c>
      <c r="D429" s="182" t="s">
        <v>121</v>
      </c>
      <c r="E429" s="181" t="s">
        <v>4216</v>
      </c>
      <c r="F429" s="182"/>
      <c r="G429" s="182">
        <v>25560.5</v>
      </c>
      <c r="H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2"/>
      <c r="X429" s="182"/>
      <c r="Y429" s="182"/>
      <c r="Z429" s="182"/>
      <c r="AA429" s="182"/>
      <c r="AB429" s="182"/>
      <c r="AC429" s="182"/>
      <c r="AD429" s="182"/>
      <c r="AE429" s="182"/>
      <c r="AF429" s="182"/>
      <c r="AG429" s="182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5">
        <v>25560.5</v>
      </c>
      <c r="AR429" s="182">
        <v>17082</v>
      </c>
      <c r="AS429" s="182">
        <v>2320</v>
      </c>
      <c r="AT429" s="182">
        <v>6158.5</v>
      </c>
      <c r="AU429" s="182"/>
      <c r="AV429" s="182"/>
      <c r="AW429" s="182"/>
      <c r="AX429" s="182"/>
      <c r="AY429" s="182"/>
      <c r="AZ429" s="182"/>
      <c r="BA429" s="182"/>
      <c r="BB429" s="182"/>
      <c r="BC429" s="182"/>
      <c r="BD429" s="182"/>
      <c r="BE429" s="182"/>
      <c r="BF429" s="182"/>
      <c r="BG429" s="182"/>
      <c r="BH429" s="182"/>
      <c r="BI429" s="182"/>
      <c r="BJ429" s="182"/>
      <c r="BK429" s="182"/>
      <c r="BL429" s="182"/>
      <c r="BM429" s="182"/>
      <c r="BN429" s="182"/>
      <c r="BO429" s="182"/>
      <c r="BP429" s="182"/>
      <c r="BQ429" s="182"/>
      <c r="BR429" s="182"/>
      <c r="BS429" s="182"/>
      <c r="BT429" s="182"/>
      <c r="BU429" s="182"/>
      <c r="BV429" s="182"/>
      <c r="BW429" s="182"/>
      <c r="BX429" s="182"/>
      <c r="BY429" s="182"/>
      <c r="BZ429" s="182"/>
      <c r="CA429" s="182"/>
      <c r="CB429" s="185">
        <v>25560.5</v>
      </c>
      <c r="CC429" s="185">
        <v>0</v>
      </c>
      <c r="CD429" s="185">
        <v>1786</v>
      </c>
      <c r="CE429" s="185"/>
    </row>
    <row r="430" spans="2:83" x14ac:dyDescent="0.3">
      <c r="B430" s="182">
        <v>3813</v>
      </c>
      <c r="C430" s="182">
        <v>1787</v>
      </c>
      <c r="D430" s="182" t="s">
        <v>121</v>
      </c>
      <c r="E430" s="181" t="s">
        <v>4217</v>
      </c>
      <c r="F430" s="182"/>
      <c r="G430" s="182">
        <v>10083.5</v>
      </c>
      <c r="H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2"/>
      <c r="X430" s="182"/>
      <c r="Y430" s="182"/>
      <c r="Z430" s="182"/>
      <c r="AA430" s="182"/>
      <c r="AB430" s="182"/>
      <c r="AC430" s="182"/>
      <c r="AD430" s="182"/>
      <c r="AE430" s="182"/>
      <c r="AF430" s="182"/>
      <c r="AG430" s="182"/>
      <c r="AH430" s="182"/>
      <c r="AI430" s="182"/>
      <c r="AJ430" s="182"/>
      <c r="AK430" s="182"/>
      <c r="AL430" s="182"/>
      <c r="AM430" s="182"/>
      <c r="AN430" s="182"/>
      <c r="AO430" s="182"/>
      <c r="AP430" s="182"/>
      <c r="AQ430" s="185">
        <v>10083.5</v>
      </c>
      <c r="AR430" s="182">
        <v>6739</v>
      </c>
      <c r="AS430" s="182">
        <v>915</v>
      </c>
      <c r="AT430" s="182">
        <v>2429.5</v>
      </c>
      <c r="AU430" s="182"/>
      <c r="AV430" s="182"/>
      <c r="AW430" s="182"/>
      <c r="AX430" s="182"/>
      <c r="AY430" s="182"/>
      <c r="AZ430" s="182"/>
      <c r="BA430" s="182"/>
      <c r="BB430" s="182"/>
      <c r="BC430" s="182"/>
      <c r="BD430" s="182"/>
      <c r="BE430" s="182"/>
      <c r="BF430" s="182"/>
      <c r="BG430" s="182"/>
      <c r="BH430" s="182"/>
      <c r="BI430" s="182"/>
      <c r="BJ430" s="182"/>
      <c r="BK430" s="182"/>
      <c r="BL430" s="182"/>
      <c r="BM430" s="182"/>
      <c r="BN430" s="182"/>
      <c r="BO430" s="182"/>
      <c r="BP430" s="182"/>
      <c r="BQ430" s="182"/>
      <c r="BR430" s="182"/>
      <c r="BS430" s="182"/>
      <c r="BT430" s="182"/>
      <c r="BU430" s="182"/>
      <c r="BV430" s="182"/>
      <c r="BW430" s="182"/>
      <c r="BX430" s="182"/>
      <c r="BY430" s="182"/>
      <c r="BZ430" s="182"/>
      <c r="CA430" s="182"/>
      <c r="CB430" s="185">
        <v>10083.5</v>
      </c>
      <c r="CC430" s="185">
        <v>0</v>
      </c>
      <c r="CD430" s="185">
        <v>1787</v>
      </c>
      <c r="CE430" s="185"/>
    </row>
    <row r="431" spans="2:83" x14ac:dyDescent="0.3">
      <c r="B431" s="182">
        <v>3803</v>
      </c>
      <c r="C431" s="182">
        <v>1788</v>
      </c>
      <c r="D431" s="182" t="s">
        <v>121</v>
      </c>
      <c r="E431" s="181" t="s">
        <v>4218</v>
      </c>
      <c r="F431" s="182"/>
      <c r="G431" s="182">
        <v>17587.5</v>
      </c>
      <c r="H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2"/>
      <c r="X431" s="182"/>
      <c r="Y431" s="182"/>
      <c r="Z431" s="182"/>
      <c r="AA431" s="182"/>
      <c r="AB431" s="182"/>
      <c r="AC431" s="182"/>
      <c r="AD431" s="182"/>
      <c r="AE431" s="182"/>
      <c r="AF431" s="182"/>
      <c r="AG431" s="182"/>
      <c r="AH431" s="182"/>
      <c r="AI431" s="182"/>
      <c r="AJ431" s="182"/>
      <c r="AK431" s="182"/>
      <c r="AL431" s="182"/>
      <c r="AM431" s="182"/>
      <c r="AN431" s="182"/>
      <c r="AO431" s="182"/>
      <c r="AP431" s="182"/>
      <c r="AQ431" s="185">
        <v>17587.5</v>
      </c>
      <c r="AR431" s="182">
        <v>11756</v>
      </c>
      <c r="AS431" s="182">
        <v>1594</v>
      </c>
      <c r="AT431" s="182">
        <v>4237.5</v>
      </c>
      <c r="AU431" s="182"/>
      <c r="AV431" s="182"/>
      <c r="AW431" s="182"/>
      <c r="AX431" s="182"/>
      <c r="AY431" s="182"/>
      <c r="AZ431" s="182"/>
      <c r="BA431" s="182"/>
      <c r="BB431" s="182"/>
      <c r="BC431" s="182"/>
      <c r="BD431" s="182"/>
      <c r="BE431" s="182"/>
      <c r="BF431" s="182"/>
      <c r="BG431" s="182"/>
      <c r="BH431" s="182"/>
      <c r="BI431" s="182"/>
      <c r="BJ431" s="182"/>
      <c r="BK431" s="182"/>
      <c r="BL431" s="182"/>
      <c r="BM431" s="182"/>
      <c r="BN431" s="182"/>
      <c r="BO431" s="182"/>
      <c r="BP431" s="182"/>
      <c r="BQ431" s="182"/>
      <c r="BR431" s="182"/>
      <c r="BS431" s="182"/>
      <c r="BT431" s="182"/>
      <c r="BU431" s="182"/>
      <c r="BV431" s="182"/>
      <c r="BW431" s="182"/>
      <c r="BX431" s="182"/>
      <c r="BY431" s="182"/>
      <c r="BZ431" s="182"/>
      <c r="CA431" s="182"/>
      <c r="CB431" s="185">
        <v>17587.5</v>
      </c>
      <c r="CC431" s="185">
        <v>0</v>
      </c>
      <c r="CD431" s="185">
        <v>1788</v>
      </c>
      <c r="CE431" s="185"/>
    </row>
    <row r="432" spans="2:83" x14ac:dyDescent="0.3">
      <c r="B432" s="182">
        <v>3802</v>
      </c>
      <c r="C432" s="182">
        <v>1789</v>
      </c>
      <c r="D432" s="182" t="s">
        <v>121</v>
      </c>
      <c r="E432" s="181" t="s">
        <v>4219</v>
      </c>
      <c r="F432" s="182"/>
      <c r="G432" s="182">
        <v>15599.42</v>
      </c>
      <c r="H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2"/>
      <c r="X432" s="182"/>
      <c r="Y432" s="182"/>
      <c r="Z432" s="182"/>
      <c r="AA432" s="182"/>
      <c r="AB432" s="182"/>
      <c r="AC432" s="182"/>
      <c r="AD432" s="182"/>
      <c r="AE432" s="182"/>
      <c r="AF432" s="182"/>
      <c r="AG432" s="182"/>
      <c r="AH432" s="182"/>
      <c r="AI432" s="182"/>
      <c r="AJ432" s="182"/>
      <c r="AK432" s="182"/>
      <c r="AL432" s="182"/>
      <c r="AM432" s="182"/>
      <c r="AN432" s="182"/>
      <c r="AO432" s="182"/>
      <c r="AP432" s="182"/>
      <c r="AQ432" s="185">
        <v>15599.42</v>
      </c>
      <c r="AR432" s="182">
        <v>10875.46</v>
      </c>
      <c r="AS432" s="182">
        <v>1449.55</v>
      </c>
      <c r="AT432" s="182">
        <v>3274.41</v>
      </c>
      <c r="AU432" s="182"/>
      <c r="AV432" s="182"/>
      <c r="AW432" s="182"/>
      <c r="AX432" s="182"/>
      <c r="AY432" s="182"/>
      <c r="AZ432" s="182"/>
      <c r="BA432" s="182"/>
      <c r="BB432" s="182"/>
      <c r="BC432" s="182"/>
      <c r="BD432" s="182"/>
      <c r="BE432" s="182"/>
      <c r="BF432" s="182"/>
      <c r="BG432" s="182"/>
      <c r="BH432" s="182"/>
      <c r="BI432" s="182"/>
      <c r="BJ432" s="182"/>
      <c r="BK432" s="182"/>
      <c r="BL432" s="182"/>
      <c r="BM432" s="182"/>
      <c r="BN432" s="182"/>
      <c r="BO432" s="182"/>
      <c r="BP432" s="182"/>
      <c r="BQ432" s="182"/>
      <c r="BR432" s="182"/>
      <c r="BS432" s="182"/>
      <c r="BT432" s="182"/>
      <c r="BU432" s="182"/>
      <c r="BV432" s="182"/>
      <c r="BW432" s="182"/>
      <c r="BX432" s="182"/>
      <c r="BY432" s="182"/>
      <c r="BZ432" s="182"/>
      <c r="CA432" s="182"/>
      <c r="CB432" s="185">
        <v>15599.419999999998</v>
      </c>
      <c r="CC432" s="185">
        <v>0</v>
      </c>
      <c r="CD432" s="185">
        <v>1789</v>
      </c>
      <c r="CE432" s="185"/>
    </row>
    <row r="433" spans="2:83" x14ac:dyDescent="0.3">
      <c r="B433" s="182">
        <v>3801</v>
      </c>
      <c r="C433" s="182">
        <v>1790</v>
      </c>
      <c r="D433" s="182" t="s">
        <v>121</v>
      </c>
      <c r="E433" s="181" t="s">
        <v>4220</v>
      </c>
      <c r="F433" s="182"/>
      <c r="G433" s="182">
        <v>6214.25</v>
      </c>
      <c r="H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2"/>
      <c r="X433" s="182"/>
      <c r="Y433" s="182"/>
      <c r="Z433" s="182"/>
      <c r="AA433" s="182"/>
      <c r="AB433" s="182"/>
      <c r="AC433" s="182"/>
      <c r="AD433" s="182"/>
      <c r="AE433" s="182"/>
      <c r="AF433" s="182"/>
      <c r="AG433" s="182"/>
      <c r="AH433" s="182"/>
      <c r="AI433" s="182"/>
      <c r="AJ433" s="182"/>
      <c r="AK433" s="182"/>
      <c r="AL433" s="182"/>
      <c r="AM433" s="182"/>
      <c r="AN433" s="182"/>
      <c r="AO433" s="182"/>
      <c r="AP433" s="182"/>
      <c r="AQ433" s="185">
        <v>6214.25</v>
      </c>
      <c r="AR433" s="182">
        <v>4153.3999999999996</v>
      </c>
      <c r="AS433" s="182">
        <v>563.6</v>
      </c>
      <c r="AT433" s="182">
        <v>1497.25</v>
      </c>
      <c r="AU433" s="182"/>
      <c r="AV433" s="182"/>
      <c r="AW433" s="182"/>
      <c r="AX433" s="182"/>
      <c r="AY433" s="182"/>
      <c r="AZ433" s="182"/>
      <c r="BA433" s="182"/>
      <c r="BB433" s="182"/>
      <c r="BC433" s="182"/>
      <c r="BD433" s="182"/>
      <c r="BE433" s="182"/>
      <c r="BF433" s="182"/>
      <c r="BG433" s="182"/>
      <c r="BH433" s="182"/>
      <c r="BI433" s="182"/>
      <c r="BJ433" s="182"/>
      <c r="BK433" s="182"/>
      <c r="BL433" s="182"/>
      <c r="BM433" s="182"/>
      <c r="BN433" s="182"/>
      <c r="BO433" s="182"/>
      <c r="BP433" s="182"/>
      <c r="BQ433" s="182"/>
      <c r="BR433" s="182"/>
      <c r="BS433" s="182"/>
      <c r="BT433" s="182"/>
      <c r="BU433" s="182"/>
      <c r="BV433" s="182"/>
      <c r="BW433" s="182"/>
      <c r="BX433" s="182"/>
      <c r="BY433" s="182"/>
      <c r="BZ433" s="182"/>
      <c r="CA433" s="182"/>
      <c r="CB433" s="185">
        <v>6214.25</v>
      </c>
      <c r="CC433" s="185">
        <v>0</v>
      </c>
      <c r="CD433" s="185">
        <v>1790</v>
      </c>
      <c r="CE433" s="185"/>
    </row>
    <row r="434" spans="2:83" x14ac:dyDescent="0.3">
      <c r="B434" s="182">
        <v>3810</v>
      </c>
      <c r="C434" s="182">
        <v>1791</v>
      </c>
      <c r="D434" s="182" t="s">
        <v>121</v>
      </c>
      <c r="E434" s="181" t="s">
        <v>4221</v>
      </c>
      <c r="F434" s="182"/>
      <c r="G434" s="182">
        <v>6566</v>
      </c>
      <c r="H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2"/>
      <c r="X434" s="182"/>
      <c r="Y434" s="182"/>
      <c r="Z434" s="182"/>
      <c r="AA434" s="182"/>
      <c r="AB434" s="182"/>
      <c r="AC434" s="182"/>
      <c r="AD434" s="182"/>
      <c r="AE434" s="182"/>
      <c r="AF434" s="182"/>
      <c r="AG434" s="182"/>
      <c r="AH434" s="182"/>
      <c r="AI434" s="182"/>
      <c r="AJ434" s="182"/>
      <c r="AK434" s="182"/>
      <c r="AL434" s="182"/>
      <c r="AM434" s="182"/>
      <c r="AN434" s="182"/>
      <c r="AO434" s="182"/>
      <c r="AP434" s="182"/>
      <c r="AQ434" s="185">
        <v>6566</v>
      </c>
      <c r="AR434" s="182">
        <v>4388.05</v>
      </c>
      <c r="AS434" s="182">
        <v>595.95000000000005</v>
      </c>
      <c r="AT434" s="182">
        <v>1582</v>
      </c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182"/>
      <c r="BK434" s="182"/>
      <c r="BL434" s="182"/>
      <c r="BM434" s="182"/>
      <c r="BN434" s="182"/>
      <c r="BO434" s="182"/>
      <c r="BP434" s="182"/>
      <c r="BQ434" s="182"/>
      <c r="BR434" s="182"/>
      <c r="BS434" s="182"/>
      <c r="BT434" s="182"/>
      <c r="BU434" s="182"/>
      <c r="BV434" s="182"/>
      <c r="BW434" s="182"/>
      <c r="BX434" s="182"/>
      <c r="BY434" s="182"/>
      <c r="BZ434" s="182"/>
      <c r="CA434" s="182"/>
      <c r="CB434" s="185">
        <v>6566</v>
      </c>
      <c r="CC434" s="185">
        <v>0</v>
      </c>
      <c r="CD434" s="185">
        <v>1791</v>
      </c>
      <c r="CE434" s="185"/>
    </row>
    <row r="435" spans="2:83" x14ac:dyDescent="0.3">
      <c r="B435" s="182">
        <v>3811</v>
      </c>
      <c r="C435" s="182">
        <v>1792</v>
      </c>
      <c r="D435" s="182" t="s">
        <v>121</v>
      </c>
      <c r="E435" s="181" t="s">
        <v>4221</v>
      </c>
      <c r="F435" s="182"/>
      <c r="G435" s="182">
        <v>1407</v>
      </c>
      <c r="H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2"/>
      <c r="X435" s="182"/>
      <c r="Y435" s="182"/>
      <c r="Z435" s="182"/>
      <c r="AA435" s="182"/>
      <c r="AB435" s="182"/>
      <c r="AC435" s="182"/>
      <c r="AD435" s="182"/>
      <c r="AE435" s="182"/>
      <c r="AF435" s="182"/>
      <c r="AG435" s="182"/>
      <c r="AH435" s="182"/>
      <c r="AI435" s="182"/>
      <c r="AJ435" s="182"/>
      <c r="AK435" s="182"/>
      <c r="AL435" s="182"/>
      <c r="AM435" s="182"/>
      <c r="AN435" s="182"/>
      <c r="AO435" s="182"/>
      <c r="AP435" s="182"/>
      <c r="AQ435" s="185">
        <v>1407</v>
      </c>
      <c r="AR435" s="182">
        <v>940.35</v>
      </c>
      <c r="AS435" s="182">
        <v>127.65</v>
      </c>
      <c r="AT435" s="182">
        <v>339</v>
      </c>
      <c r="AU435" s="182"/>
      <c r="AV435" s="182"/>
      <c r="AW435" s="182"/>
      <c r="AX435" s="182"/>
      <c r="AY435" s="182"/>
      <c r="AZ435" s="182"/>
      <c r="BA435" s="182"/>
      <c r="BB435" s="182"/>
      <c r="BC435" s="182"/>
      <c r="BD435" s="182"/>
      <c r="BE435" s="182"/>
      <c r="BF435" s="182"/>
      <c r="BG435" s="182"/>
      <c r="BH435" s="182"/>
      <c r="BI435" s="182"/>
      <c r="BJ435" s="182"/>
      <c r="BK435" s="182"/>
      <c r="BL435" s="182"/>
      <c r="BM435" s="182"/>
      <c r="BN435" s="182"/>
      <c r="BO435" s="182"/>
      <c r="BP435" s="182"/>
      <c r="BQ435" s="182"/>
      <c r="BR435" s="182"/>
      <c r="BS435" s="182"/>
      <c r="BT435" s="182"/>
      <c r="BU435" s="182"/>
      <c r="BV435" s="182"/>
      <c r="BW435" s="182"/>
      <c r="BX435" s="182"/>
      <c r="BY435" s="182"/>
      <c r="BZ435" s="182"/>
      <c r="CA435" s="182"/>
      <c r="CB435" s="185">
        <v>1407</v>
      </c>
      <c r="CC435" s="185">
        <v>0</v>
      </c>
      <c r="CD435" s="185">
        <v>1792</v>
      </c>
      <c r="CE435" s="185"/>
    </row>
    <row r="436" spans="2:83" x14ac:dyDescent="0.3">
      <c r="B436" s="182">
        <v>3814</v>
      </c>
      <c r="C436" s="182">
        <v>1793</v>
      </c>
      <c r="D436" s="182" t="s">
        <v>121</v>
      </c>
      <c r="E436" s="181" t="s">
        <v>4222</v>
      </c>
      <c r="F436" s="182"/>
      <c r="G436" s="182">
        <v>2345</v>
      </c>
      <c r="H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2"/>
      <c r="X436" s="182"/>
      <c r="Y436" s="182"/>
      <c r="Z436" s="182"/>
      <c r="AA436" s="182"/>
      <c r="AB436" s="182"/>
      <c r="AC436" s="182"/>
      <c r="AD436" s="182"/>
      <c r="AE436" s="182"/>
      <c r="AF436" s="182"/>
      <c r="AG436" s="182"/>
      <c r="AH436" s="182"/>
      <c r="AI436" s="182"/>
      <c r="AJ436" s="182"/>
      <c r="AK436" s="182"/>
      <c r="AL436" s="182"/>
      <c r="AM436" s="182"/>
      <c r="AN436" s="182"/>
      <c r="AO436" s="182"/>
      <c r="AP436" s="182"/>
      <c r="AQ436" s="185">
        <v>2345</v>
      </c>
      <c r="AR436" s="182">
        <v>1567</v>
      </c>
      <c r="AS436" s="182">
        <v>213</v>
      </c>
      <c r="AT436" s="182">
        <v>565</v>
      </c>
      <c r="AU436" s="182"/>
      <c r="AV436" s="182"/>
      <c r="AW436" s="182"/>
      <c r="AX436" s="182"/>
      <c r="AY436" s="182"/>
      <c r="AZ436" s="182"/>
      <c r="BA436" s="182"/>
      <c r="BB436" s="182"/>
      <c r="BC436" s="182"/>
      <c r="BD436" s="182"/>
      <c r="BE436" s="182"/>
      <c r="BF436" s="182"/>
      <c r="BG436" s="182"/>
      <c r="BH436" s="182"/>
      <c r="BI436" s="182"/>
      <c r="BJ436" s="182"/>
      <c r="BK436" s="182"/>
      <c r="BL436" s="182"/>
      <c r="BM436" s="182"/>
      <c r="BN436" s="182"/>
      <c r="BO436" s="182"/>
      <c r="BP436" s="182"/>
      <c r="BQ436" s="182"/>
      <c r="BR436" s="182"/>
      <c r="BS436" s="182"/>
      <c r="BT436" s="182"/>
      <c r="BU436" s="182"/>
      <c r="BV436" s="182"/>
      <c r="BW436" s="182"/>
      <c r="BX436" s="182"/>
      <c r="BY436" s="182"/>
      <c r="BZ436" s="182"/>
      <c r="CA436" s="182"/>
      <c r="CB436" s="185">
        <v>2345</v>
      </c>
      <c r="CC436" s="185">
        <v>0</v>
      </c>
      <c r="CD436" s="185">
        <v>1793</v>
      </c>
      <c r="CE436" s="185"/>
    </row>
    <row r="437" spans="2:83" x14ac:dyDescent="0.3">
      <c r="B437" s="182">
        <v>3855</v>
      </c>
      <c r="C437" s="182">
        <v>1794</v>
      </c>
      <c r="D437" s="182" t="s">
        <v>121</v>
      </c>
      <c r="E437" s="181" t="s">
        <v>4216</v>
      </c>
      <c r="F437" s="182"/>
      <c r="G437" s="182">
        <v>2345</v>
      </c>
      <c r="H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2"/>
      <c r="X437" s="182"/>
      <c r="Y437" s="182"/>
      <c r="Z437" s="182"/>
      <c r="AA437" s="182"/>
      <c r="AB437" s="182"/>
      <c r="AC437" s="182"/>
      <c r="AD437" s="182"/>
      <c r="AE437" s="182"/>
      <c r="AF437" s="182"/>
      <c r="AG437" s="182"/>
      <c r="AH437" s="182"/>
      <c r="AI437" s="182"/>
      <c r="AJ437" s="182"/>
      <c r="AK437" s="182"/>
      <c r="AL437" s="182"/>
      <c r="AM437" s="182"/>
      <c r="AN437" s="182"/>
      <c r="AO437" s="182"/>
      <c r="AP437" s="182"/>
      <c r="AQ437" s="185">
        <v>2345</v>
      </c>
      <c r="AR437" s="182">
        <v>1567</v>
      </c>
      <c r="AS437" s="182">
        <v>213</v>
      </c>
      <c r="AT437" s="182">
        <v>565</v>
      </c>
      <c r="AU437" s="182"/>
      <c r="AV437" s="182"/>
      <c r="AW437" s="182"/>
      <c r="AX437" s="182"/>
      <c r="AY437" s="182"/>
      <c r="AZ437" s="182"/>
      <c r="BA437" s="182"/>
      <c r="BB437" s="182"/>
      <c r="BC437" s="182"/>
      <c r="BD437" s="182"/>
      <c r="BE437" s="182"/>
      <c r="BF437" s="182"/>
      <c r="BG437" s="182"/>
      <c r="BH437" s="182"/>
      <c r="BI437" s="182"/>
      <c r="BJ437" s="182"/>
      <c r="BK437" s="182"/>
      <c r="BL437" s="182"/>
      <c r="BM437" s="182"/>
      <c r="BN437" s="182"/>
      <c r="BO437" s="182"/>
      <c r="BP437" s="182"/>
      <c r="BQ437" s="182"/>
      <c r="BR437" s="182"/>
      <c r="BS437" s="182"/>
      <c r="BT437" s="182"/>
      <c r="BU437" s="182"/>
      <c r="BV437" s="182"/>
      <c r="BW437" s="182"/>
      <c r="BX437" s="182"/>
      <c r="BY437" s="182"/>
      <c r="BZ437" s="182"/>
      <c r="CA437" s="182"/>
      <c r="CB437" s="185">
        <v>2345</v>
      </c>
      <c r="CC437" s="185">
        <v>0</v>
      </c>
      <c r="CD437" s="185">
        <v>1794</v>
      </c>
      <c r="CE437" s="185"/>
    </row>
    <row r="438" spans="2:83" x14ac:dyDescent="0.3">
      <c r="B438" s="182">
        <v>3387</v>
      </c>
      <c r="C438" s="182">
        <v>1795</v>
      </c>
      <c r="D438" s="182" t="s">
        <v>121</v>
      </c>
      <c r="E438" s="181" t="s">
        <v>4223</v>
      </c>
      <c r="F438" s="182"/>
      <c r="G438" s="182"/>
      <c r="H438" s="182">
        <v>3300</v>
      </c>
      <c r="I438" s="182"/>
      <c r="J438" s="182"/>
      <c r="K438" s="182"/>
      <c r="L438" s="182"/>
      <c r="M438" s="182"/>
      <c r="N438" s="182"/>
      <c r="O438" s="182">
        <v>3300</v>
      </c>
      <c r="P438" s="182"/>
      <c r="Q438" s="182"/>
      <c r="R438" s="182"/>
      <c r="S438" s="182"/>
      <c r="T438" s="182"/>
      <c r="U438" s="182"/>
      <c r="V438" s="182"/>
      <c r="W438" s="182"/>
      <c r="X438" s="182"/>
      <c r="Y438" s="182"/>
      <c r="Z438" s="182"/>
      <c r="AA438" s="182"/>
      <c r="AB438" s="182"/>
      <c r="AC438" s="182"/>
      <c r="AD438" s="182"/>
      <c r="AE438" s="182"/>
      <c r="AF438" s="182"/>
      <c r="AG438" s="182"/>
      <c r="AH438" s="182"/>
      <c r="AI438" s="182"/>
      <c r="AJ438" s="182"/>
      <c r="AK438" s="182"/>
      <c r="AL438" s="182"/>
      <c r="AM438" s="182"/>
      <c r="AN438" s="182"/>
      <c r="AO438" s="182"/>
      <c r="AP438" s="182"/>
      <c r="AQ438" s="185">
        <v>6600</v>
      </c>
      <c r="AR438" s="182">
        <v>3300</v>
      </c>
      <c r="AS438" s="182"/>
      <c r="AT438" s="182"/>
      <c r="AU438" s="182"/>
      <c r="AV438" s="182"/>
      <c r="AW438" s="182"/>
      <c r="AX438" s="182"/>
      <c r="AY438" s="182"/>
      <c r="AZ438" s="182"/>
      <c r="BA438" s="182"/>
      <c r="BB438" s="182"/>
      <c r="BC438" s="182"/>
      <c r="BD438" s="182"/>
      <c r="BE438" s="182"/>
      <c r="BF438" s="182"/>
      <c r="BG438" s="182"/>
      <c r="BH438" s="182"/>
      <c r="BI438" s="182"/>
      <c r="BJ438" s="182"/>
      <c r="BK438" s="182"/>
      <c r="BL438" s="182"/>
      <c r="BM438" s="182">
        <v>3300</v>
      </c>
      <c r="BN438" s="182"/>
      <c r="BO438" s="182"/>
      <c r="BP438" s="182"/>
      <c r="BQ438" s="182"/>
      <c r="BR438" s="182"/>
      <c r="BS438" s="182"/>
      <c r="BT438" s="182"/>
      <c r="BU438" s="182"/>
      <c r="BV438" s="182"/>
      <c r="BW438" s="182"/>
      <c r="BX438" s="182"/>
      <c r="BY438" s="182"/>
      <c r="BZ438" s="182"/>
      <c r="CA438" s="182"/>
      <c r="CB438" s="185">
        <v>6600</v>
      </c>
      <c r="CC438" s="185">
        <v>0</v>
      </c>
      <c r="CD438" s="185">
        <v>1794</v>
      </c>
      <c r="CE438" s="185"/>
    </row>
    <row r="439" spans="2:83" x14ac:dyDescent="0.3">
      <c r="B439" s="182">
        <v>3224</v>
      </c>
      <c r="C439" s="182">
        <v>1796</v>
      </c>
      <c r="D439" s="182" t="s">
        <v>121</v>
      </c>
      <c r="E439" s="181" t="s">
        <v>4224</v>
      </c>
      <c r="F439" s="182"/>
      <c r="G439" s="182"/>
      <c r="H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2">
        <v>1430</v>
      </c>
      <c r="X439" s="182"/>
      <c r="Y439" s="182"/>
      <c r="Z439" s="182"/>
      <c r="AA439" s="182"/>
      <c r="AB439" s="182"/>
      <c r="AC439" s="182"/>
      <c r="AD439" s="182"/>
      <c r="AE439" s="182"/>
      <c r="AF439" s="182"/>
      <c r="AG439" s="182"/>
      <c r="AH439" s="182"/>
      <c r="AI439" s="182"/>
      <c r="AJ439" s="182"/>
      <c r="AK439" s="182"/>
      <c r="AL439" s="182"/>
      <c r="AM439" s="182"/>
      <c r="AN439" s="182"/>
      <c r="AO439" s="182"/>
      <c r="AP439" s="182"/>
      <c r="AQ439" s="185">
        <v>1430</v>
      </c>
      <c r="AR439" s="182">
        <v>1430</v>
      </c>
      <c r="AS439" s="182"/>
      <c r="AT439" s="182"/>
      <c r="AU439" s="182"/>
      <c r="AV439" s="182"/>
      <c r="AW439" s="182"/>
      <c r="AX439" s="182"/>
      <c r="AY439" s="182"/>
      <c r="AZ439" s="182"/>
      <c r="BA439" s="182"/>
      <c r="BB439" s="182"/>
      <c r="BC439" s="182"/>
      <c r="BD439" s="182"/>
      <c r="BE439" s="182"/>
      <c r="BF439" s="182"/>
      <c r="BG439" s="182"/>
      <c r="BH439" s="182"/>
      <c r="BI439" s="182"/>
      <c r="BJ439" s="182"/>
      <c r="BK439" s="182"/>
      <c r="BL439" s="182"/>
      <c r="BM439" s="182"/>
      <c r="BN439" s="182"/>
      <c r="BO439" s="182"/>
      <c r="BP439" s="182"/>
      <c r="BQ439" s="182"/>
      <c r="BR439" s="182"/>
      <c r="BS439" s="182"/>
      <c r="BT439" s="182"/>
      <c r="BU439" s="182"/>
      <c r="BV439" s="182"/>
      <c r="BW439" s="182"/>
      <c r="BX439" s="182"/>
      <c r="BY439" s="182"/>
      <c r="BZ439" s="182"/>
      <c r="CA439" s="182"/>
      <c r="CB439" s="185">
        <v>1430</v>
      </c>
      <c r="CC439" s="185">
        <v>0</v>
      </c>
      <c r="CD439" s="185">
        <v>1796</v>
      </c>
      <c r="CE439" s="185"/>
    </row>
    <row r="440" spans="2:83" ht="37.5" x14ac:dyDescent="0.3">
      <c r="B440" s="182">
        <v>3837</v>
      </c>
      <c r="C440" s="182">
        <v>1797</v>
      </c>
      <c r="D440" s="182" t="s">
        <v>121</v>
      </c>
      <c r="E440" s="181" t="s">
        <v>4225</v>
      </c>
      <c r="F440" s="182"/>
      <c r="G440" s="182"/>
      <c r="H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>
        <v>199207.45</v>
      </c>
      <c r="T440" s="182"/>
      <c r="U440" s="182"/>
      <c r="V440" s="182"/>
      <c r="W440" s="182"/>
      <c r="X440" s="182"/>
      <c r="Y440" s="182"/>
      <c r="Z440" s="182"/>
      <c r="AA440" s="182"/>
      <c r="AB440" s="182"/>
      <c r="AC440" s="182"/>
      <c r="AD440" s="182"/>
      <c r="AE440" s="182"/>
      <c r="AF440" s="182"/>
      <c r="AG440" s="182"/>
      <c r="AH440" s="182"/>
      <c r="AI440" s="182"/>
      <c r="AJ440" s="182"/>
      <c r="AK440" s="182"/>
      <c r="AL440" s="182"/>
      <c r="AM440" s="182"/>
      <c r="AN440" s="182"/>
      <c r="AO440" s="182"/>
      <c r="AP440" s="182"/>
      <c r="AQ440" s="185">
        <v>199207.45</v>
      </c>
      <c r="AR440" s="182">
        <v>199207.45</v>
      </c>
      <c r="AS440" s="182"/>
      <c r="AT440" s="182"/>
      <c r="AU440" s="182"/>
      <c r="AV440" s="182"/>
      <c r="AW440" s="182"/>
      <c r="AX440" s="182"/>
      <c r="AY440" s="182"/>
      <c r="AZ440" s="182"/>
      <c r="BA440" s="182"/>
      <c r="BB440" s="182"/>
      <c r="BC440" s="182"/>
      <c r="BD440" s="182"/>
      <c r="BE440" s="182"/>
      <c r="BF440" s="182"/>
      <c r="BG440" s="182"/>
      <c r="BH440" s="182"/>
      <c r="BI440" s="182"/>
      <c r="BJ440" s="182"/>
      <c r="BK440" s="182"/>
      <c r="BL440" s="182"/>
      <c r="BM440" s="182"/>
      <c r="BN440" s="182"/>
      <c r="BO440" s="182"/>
      <c r="BP440" s="182"/>
      <c r="BQ440" s="182"/>
      <c r="BR440" s="182"/>
      <c r="BS440" s="182"/>
      <c r="BT440" s="182"/>
      <c r="BU440" s="182"/>
      <c r="BV440" s="182"/>
      <c r="BW440" s="182"/>
      <c r="BX440" s="182"/>
      <c r="BY440" s="182"/>
      <c r="BZ440" s="182"/>
      <c r="CA440" s="182"/>
      <c r="CB440" s="185">
        <v>199207.45</v>
      </c>
      <c r="CC440" s="185">
        <v>0</v>
      </c>
      <c r="CD440" s="185">
        <v>1797</v>
      </c>
      <c r="CE440" s="185"/>
    </row>
    <row r="441" spans="2:83" ht="37.5" x14ac:dyDescent="0.3">
      <c r="B441" s="182">
        <v>3841</v>
      </c>
      <c r="C441" s="182">
        <v>1798</v>
      </c>
      <c r="D441" s="182" t="s">
        <v>124</v>
      </c>
      <c r="E441" s="181" t="s">
        <v>4225</v>
      </c>
      <c r="F441" s="182"/>
      <c r="G441" s="182"/>
      <c r="H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>
        <v>281.42</v>
      </c>
      <c r="T441" s="182"/>
      <c r="U441" s="182"/>
      <c r="V441" s="182"/>
      <c r="W441" s="182"/>
      <c r="X441" s="182"/>
      <c r="Y441" s="182"/>
      <c r="Z441" s="182"/>
      <c r="AA441" s="182"/>
      <c r="AB441" s="182"/>
      <c r="AC441" s="182"/>
      <c r="AD441" s="182"/>
      <c r="AE441" s="182"/>
      <c r="AF441" s="182"/>
      <c r="AG441" s="182"/>
      <c r="AH441" s="182"/>
      <c r="AI441" s="182"/>
      <c r="AJ441" s="182"/>
      <c r="AK441" s="182"/>
      <c r="AL441" s="182"/>
      <c r="AM441" s="182"/>
      <c r="AN441" s="182"/>
      <c r="AO441" s="182"/>
      <c r="AP441" s="182"/>
      <c r="AQ441" s="185">
        <v>281.42</v>
      </c>
      <c r="AR441" s="182">
        <v>281.42</v>
      </c>
      <c r="AS441" s="182"/>
      <c r="AT441" s="182"/>
      <c r="AU441" s="182"/>
      <c r="AV441" s="182"/>
      <c r="AW441" s="182"/>
      <c r="AX441" s="182"/>
      <c r="AY441" s="182"/>
      <c r="AZ441" s="182"/>
      <c r="BA441" s="182"/>
      <c r="BB441" s="182"/>
      <c r="BC441" s="182"/>
      <c r="BD441" s="182"/>
      <c r="BE441" s="182"/>
      <c r="BF441" s="182"/>
      <c r="BG441" s="182"/>
      <c r="BH441" s="182"/>
      <c r="BI441" s="182"/>
      <c r="BJ441" s="182"/>
      <c r="BK441" s="182"/>
      <c r="BL441" s="182"/>
      <c r="BM441" s="182"/>
      <c r="BN441" s="182"/>
      <c r="BO441" s="182"/>
      <c r="BP441" s="182"/>
      <c r="BQ441" s="182"/>
      <c r="BR441" s="182"/>
      <c r="BS441" s="182"/>
      <c r="BT441" s="182"/>
      <c r="BU441" s="182"/>
      <c r="BV441" s="182"/>
      <c r="BW441" s="182"/>
      <c r="BX441" s="182"/>
      <c r="BY441" s="182"/>
      <c r="BZ441" s="182"/>
      <c r="CA441" s="182"/>
      <c r="CB441" s="185">
        <v>281.42</v>
      </c>
      <c r="CC441" s="185">
        <v>0</v>
      </c>
      <c r="CD441" s="185">
        <v>1798</v>
      </c>
      <c r="CE441" s="185"/>
    </row>
    <row r="442" spans="2:83" ht="37.5" x14ac:dyDescent="0.3">
      <c r="B442" s="182">
        <v>3840</v>
      </c>
      <c r="C442" s="182">
        <v>1799</v>
      </c>
      <c r="D442" s="182" t="s">
        <v>249</v>
      </c>
      <c r="E442" s="181" t="s">
        <v>4225</v>
      </c>
      <c r="F442" s="182"/>
      <c r="G442" s="182"/>
      <c r="H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>
        <v>121073.95</v>
      </c>
      <c r="T442" s="182"/>
      <c r="U442" s="182"/>
      <c r="V442" s="182"/>
      <c r="W442" s="182"/>
      <c r="X442" s="182"/>
      <c r="Y442" s="182"/>
      <c r="Z442" s="182"/>
      <c r="AA442" s="182"/>
      <c r="AB442" s="182"/>
      <c r="AC442" s="182"/>
      <c r="AD442" s="182"/>
      <c r="AE442" s="182"/>
      <c r="AF442" s="182"/>
      <c r="AG442" s="182"/>
      <c r="AH442" s="182"/>
      <c r="AI442" s="182"/>
      <c r="AJ442" s="182"/>
      <c r="AK442" s="182"/>
      <c r="AL442" s="182"/>
      <c r="AM442" s="182"/>
      <c r="AN442" s="182"/>
      <c r="AO442" s="182"/>
      <c r="AP442" s="182"/>
      <c r="AQ442" s="185">
        <v>121073.95</v>
      </c>
      <c r="AR442" s="182">
        <v>121073.95</v>
      </c>
      <c r="AS442" s="182"/>
      <c r="AT442" s="182"/>
      <c r="AU442" s="182"/>
      <c r="AV442" s="182"/>
      <c r="AW442" s="182"/>
      <c r="AX442" s="182"/>
      <c r="AY442" s="182"/>
      <c r="AZ442" s="182"/>
      <c r="BA442" s="182"/>
      <c r="BB442" s="182"/>
      <c r="BC442" s="182"/>
      <c r="BD442" s="182"/>
      <c r="BE442" s="182"/>
      <c r="BF442" s="182"/>
      <c r="BG442" s="182"/>
      <c r="BH442" s="182"/>
      <c r="BI442" s="182"/>
      <c r="BJ442" s="182"/>
      <c r="BK442" s="182"/>
      <c r="BL442" s="182"/>
      <c r="BM442" s="182"/>
      <c r="BN442" s="182"/>
      <c r="BO442" s="182"/>
      <c r="BP442" s="182"/>
      <c r="BQ442" s="182"/>
      <c r="BR442" s="182"/>
      <c r="BS442" s="182"/>
      <c r="BT442" s="182"/>
      <c r="BU442" s="182"/>
      <c r="BV442" s="182"/>
      <c r="BW442" s="182"/>
      <c r="BX442" s="182"/>
      <c r="BY442" s="182"/>
      <c r="BZ442" s="182"/>
      <c r="CA442" s="182"/>
      <c r="CB442" s="185">
        <v>121073.95</v>
      </c>
      <c r="CC442" s="185">
        <v>0</v>
      </c>
      <c r="CD442" s="185">
        <v>1799</v>
      </c>
      <c r="CE442" s="185"/>
    </row>
    <row r="443" spans="2:83" ht="37.5" x14ac:dyDescent="0.3">
      <c r="B443" s="182">
        <v>3838</v>
      </c>
      <c r="C443" s="182">
        <v>1800</v>
      </c>
      <c r="D443" s="182" t="s">
        <v>125</v>
      </c>
      <c r="E443" s="181" t="s">
        <v>4225</v>
      </c>
      <c r="F443" s="182"/>
      <c r="G443" s="182"/>
      <c r="H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>
        <v>1542.93</v>
      </c>
      <c r="T443" s="182"/>
      <c r="U443" s="182"/>
      <c r="V443" s="182"/>
      <c r="W443" s="182"/>
      <c r="X443" s="182"/>
      <c r="Y443" s="182"/>
      <c r="Z443" s="182"/>
      <c r="AA443" s="182"/>
      <c r="AB443" s="182"/>
      <c r="AC443" s="182"/>
      <c r="AD443" s="182"/>
      <c r="AE443" s="182"/>
      <c r="AF443" s="182"/>
      <c r="AG443" s="182"/>
      <c r="AH443" s="182"/>
      <c r="AI443" s="182"/>
      <c r="AJ443" s="182"/>
      <c r="AK443" s="182"/>
      <c r="AL443" s="182"/>
      <c r="AM443" s="182"/>
      <c r="AN443" s="182"/>
      <c r="AO443" s="182"/>
      <c r="AP443" s="182"/>
      <c r="AQ443" s="185">
        <v>1542.93</v>
      </c>
      <c r="AR443" s="182">
        <v>1542.93</v>
      </c>
      <c r="AS443" s="182"/>
      <c r="AT443" s="182"/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182"/>
      <c r="BK443" s="182"/>
      <c r="BL443" s="182"/>
      <c r="BM443" s="182"/>
      <c r="BN443" s="182"/>
      <c r="BO443" s="182"/>
      <c r="BP443" s="182"/>
      <c r="BQ443" s="182"/>
      <c r="BR443" s="182"/>
      <c r="BS443" s="182"/>
      <c r="BT443" s="182"/>
      <c r="BU443" s="182"/>
      <c r="BV443" s="182"/>
      <c r="BW443" s="182"/>
      <c r="BX443" s="182"/>
      <c r="BY443" s="182"/>
      <c r="BZ443" s="182"/>
      <c r="CA443" s="182"/>
      <c r="CB443" s="185">
        <v>1542.93</v>
      </c>
      <c r="CC443" s="185">
        <v>0</v>
      </c>
      <c r="CD443" s="185">
        <v>1800</v>
      </c>
      <c r="CE443" s="185"/>
    </row>
    <row r="444" spans="2:83" ht="37.5" x14ac:dyDescent="0.3">
      <c r="B444" s="182">
        <v>3839</v>
      </c>
      <c r="C444" s="182">
        <v>1801</v>
      </c>
      <c r="D444" s="182" t="s">
        <v>123</v>
      </c>
      <c r="E444" s="181" t="s">
        <v>4225</v>
      </c>
      <c r="F444" s="182"/>
      <c r="G444" s="182"/>
      <c r="H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>
        <v>3822.15</v>
      </c>
      <c r="T444" s="182"/>
      <c r="U444" s="182"/>
      <c r="V444" s="182"/>
      <c r="W444" s="182"/>
      <c r="X444" s="182"/>
      <c r="Y444" s="182"/>
      <c r="Z444" s="182"/>
      <c r="AA444" s="182"/>
      <c r="AB444" s="182"/>
      <c r="AC444" s="182"/>
      <c r="AD444" s="182"/>
      <c r="AE444" s="182"/>
      <c r="AF444" s="182"/>
      <c r="AG444" s="182"/>
      <c r="AH444" s="182"/>
      <c r="AI444" s="182"/>
      <c r="AJ444" s="182"/>
      <c r="AK444" s="182"/>
      <c r="AL444" s="182"/>
      <c r="AM444" s="182"/>
      <c r="AN444" s="182"/>
      <c r="AO444" s="182"/>
      <c r="AP444" s="182"/>
      <c r="AQ444" s="185">
        <v>3822.15</v>
      </c>
      <c r="AR444" s="182">
        <v>3822.15</v>
      </c>
      <c r="AS444" s="182"/>
      <c r="AT444" s="182"/>
      <c r="AU444" s="182"/>
      <c r="AV444" s="182"/>
      <c r="AW444" s="182"/>
      <c r="AX444" s="182"/>
      <c r="AY444" s="182"/>
      <c r="AZ444" s="182"/>
      <c r="BA444" s="182"/>
      <c r="BB444" s="182"/>
      <c r="BC444" s="182"/>
      <c r="BD444" s="182"/>
      <c r="BE444" s="182"/>
      <c r="BF444" s="182"/>
      <c r="BG444" s="182"/>
      <c r="BH444" s="182"/>
      <c r="BI444" s="182"/>
      <c r="BJ444" s="182"/>
      <c r="BK444" s="182"/>
      <c r="BL444" s="182"/>
      <c r="BM444" s="182"/>
      <c r="BN444" s="182"/>
      <c r="BO444" s="182"/>
      <c r="BP444" s="182"/>
      <c r="BQ444" s="182"/>
      <c r="BR444" s="182"/>
      <c r="BS444" s="182"/>
      <c r="BT444" s="182"/>
      <c r="BU444" s="182"/>
      <c r="BV444" s="182"/>
      <c r="BW444" s="182"/>
      <c r="BX444" s="182"/>
      <c r="BY444" s="182"/>
      <c r="BZ444" s="182"/>
      <c r="CA444" s="182"/>
      <c r="CB444" s="185">
        <v>3822.15</v>
      </c>
      <c r="CC444" s="185">
        <v>0</v>
      </c>
      <c r="CD444" s="185">
        <v>1801</v>
      </c>
      <c r="CE444" s="185"/>
    </row>
    <row r="445" spans="2:83" ht="37.5" x14ac:dyDescent="0.3">
      <c r="B445" s="182">
        <v>3835</v>
      </c>
      <c r="C445" s="182">
        <v>1802</v>
      </c>
      <c r="D445" s="182" t="s">
        <v>132</v>
      </c>
      <c r="E445" s="181" t="s">
        <v>4225</v>
      </c>
      <c r="F445" s="182"/>
      <c r="G445" s="182"/>
      <c r="H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>
        <v>58462.32</v>
      </c>
      <c r="T445" s="182"/>
      <c r="U445" s="182"/>
      <c r="V445" s="182"/>
      <c r="W445" s="182"/>
      <c r="X445" s="182"/>
      <c r="Y445" s="182"/>
      <c r="Z445" s="182"/>
      <c r="AA445" s="182"/>
      <c r="AB445" s="182"/>
      <c r="AC445" s="182"/>
      <c r="AD445" s="182"/>
      <c r="AE445" s="182"/>
      <c r="AF445" s="182"/>
      <c r="AG445" s="182"/>
      <c r="AH445" s="182"/>
      <c r="AI445" s="182"/>
      <c r="AJ445" s="182"/>
      <c r="AK445" s="182"/>
      <c r="AL445" s="182"/>
      <c r="AM445" s="182"/>
      <c r="AN445" s="182"/>
      <c r="AO445" s="182"/>
      <c r="AP445" s="182"/>
      <c r="AQ445" s="185">
        <v>58462.32</v>
      </c>
      <c r="AR445" s="182">
        <v>58462.32</v>
      </c>
      <c r="AS445" s="182"/>
      <c r="AT445" s="182"/>
      <c r="AU445" s="182"/>
      <c r="AV445" s="182"/>
      <c r="AW445" s="182"/>
      <c r="AX445" s="182"/>
      <c r="AY445" s="182"/>
      <c r="AZ445" s="182"/>
      <c r="BA445" s="182"/>
      <c r="BB445" s="182"/>
      <c r="BC445" s="182"/>
      <c r="BD445" s="182"/>
      <c r="BE445" s="182"/>
      <c r="BF445" s="182"/>
      <c r="BG445" s="182"/>
      <c r="BH445" s="182"/>
      <c r="BI445" s="182"/>
      <c r="BJ445" s="182"/>
      <c r="BK445" s="182"/>
      <c r="BL445" s="182"/>
      <c r="BM445" s="182"/>
      <c r="BN445" s="182"/>
      <c r="BO445" s="182"/>
      <c r="BP445" s="182"/>
      <c r="BQ445" s="182"/>
      <c r="BR445" s="182"/>
      <c r="BS445" s="182"/>
      <c r="BT445" s="182"/>
      <c r="BU445" s="182"/>
      <c r="BV445" s="182"/>
      <c r="BW445" s="182"/>
      <c r="BX445" s="182"/>
      <c r="BY445" s="182"/>
      <c r="BZ445" s="182"/>
      <c r="CA445" s="182"/>
      <c r="CB445" s="185">
        <v>58462.32</v>
      </c>
      <c r="CC445" s="185">
        <v>0</v>
      </c>
      <c r="CD445" s="185">
        <v>1802</v>
      </c>
      <c r="CE445" s="185"/>
    </row>
    <row r="446" spans="2:83" ht="37.5" x14ac:dyDescent="0.3">
      <c r="B446" s="182">
        <v>3836</v>
      </c>
      <c r="C446" s="182">
        <v>1803</v>
      </c>
      <c r="D446" s="182" t="s">
        <v>729</v>
      </c>
      <c r="E446" s="181" t="s">
        <v>4225</v>
      </c>
      <c r="F446" s="182"/>
      <c r="G446" s="182"/>
      <c r="H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>
        <v>113</v>
      </c>
      <c r="T446" s="182"/>
      <c r="U446" s="182"/>
      <c r="V446" s="182"/>
      <c r="W446" s="182"/>
      <c r="X446" s="182"/>
      <c r="Y446" s="182"/>
      <c r="Z446" s="182"/>
      <c r="AA446" s="182"/>
      <c r="AB446" s="182"/>
      <c r="AC446" s="182"/>
      <c r="AD446" s="182"/>
      <c r="AE446" s="182"/>
      <c r="AF446" s="182"/>
      <c r="AG446" s="182"/>
      <c r="AH446" s="182"/>
      <c r="AI446" s="182"/>
      <c r="AJ446" s="182"/>
      <c r="AK446" s="182"/>
      <c r="AL446" s="182"/>
      <c r="AM446" s="182"/>
      <c r="AN446" s="182"/>
      <c r="AO446" s="182"/>
      <c r="AP446" s="182"/>
      <c r="AQ446" s="185">
        <v>113</v>
      </c>
      <c r="AR446" s="182">
        <v>113</v>
      </c>
      <c r="AS446" s="182"/>
      <c r="AT446" s="182"/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182"/>
      <c r="BK446" s="182"/>
      <c r="BL446" s="182"/>
      <c r="BM446" s="182"/>
      <c r="BN446" s="182"/>
      <c r="BO446" s="182"/>
      <c r="BP446" s="182"/>
      <c r="BQ446" s="182"/>
      <c r="BR446" s="182"/>
      <c r="BS446" s="182"/>
      <c r="BT446" s="182"/>
      <c r="BU446" s="182"/>
      <c r="BV446" s="182"/>
      <c r="BW446" s="182"/>
      <c r="BX446" s="182"/>
      <c r="BY446" s="182"/>
      <c r="BZ446" s="182"/>
      <c r="CA446" s="182"/>
      <c r="CB446" s="185">
        <v>113</v>
      </c>
      <c r="CC446" s="185">
        <v>0</v>
      </c>
      <c r="CD446" s="185">
        <v>1803</v>
      </c>
      <c r="CE446" s="185"/>
    </row>
    <row r="447" spans="2:83" s="198" customFormat="1" x14ac:dyDescent="0.3">
      <c r="B447" s="190"/>
      <c r="C447" s="190"/>
      <c r="D447" s="190"/>
      <c r="E447" s="199" t="s">
        <v>4226</v>
      </c>
      <c r="F447" s="190"/>
      <c r="G447" s="190">
        <v>1522659.66</v>
      </c>
      <c r="H447" s="190">
        <v>3300</v>
      </c>
      <c r="I447" s="190">
        <v>0</v>
      </c>
      <c r="J447" s="190">
        <v>0</v>
      </c>
      <c r="K447" s="190">
        <v>0</v>
      </c>
      <c r="L447" s="190">
        <v>0</v>
      </c>
      <c r="M447" s="190">
        <v>0</v>
      </c>
      <c r="N447" s="190">
        <v>0</v>
      </c>
      <c r="O447" s="190">
        <v>3300</v>
      </c>
      <c r="P447" s="190">
        <v>0</v>
      </c>
      <c r="Q447" s="190">
        <v>0</v>
      </c>
      <c r="R447" s="190">
        <v>0</v>
      </c>
      <c r="S447" s="190">
        <v>384503.22000000003</v>
      </c>
      <c r="T447" s="190">
        <v>766796.04</v>
      </c>
      <c r="U447" s="190">
        <v>1212</v>
      </c>
      <c r="V447" s="190">
        <v>0</v>
      </c>
      <c r="W447" s="190">
        <v>23884</v>
      </c>
      <c r="X447" s="190">
        <v>0</v>
      </c>
      <c r="Y447" s="190">
        <v>0</v>
      </c>
      <c r="Z447" s="190">
        <v>0</v>
      </c>
      <c r="AA447" s="190">
        <v>0</v>
      </c>
      <c r="AB447" s="190">
        <v>0</v>
      </c>
      <c r="AC447" s="190">
        <v>0</v>
      </c>
      <c r="AD447" s="190">
        <v>0</v>
      </c>
      <c r="AE447" s="190">
        <v>0</v>
      </c>
      <c r="AF447" s="190">
        <v>0</v>
      </c>
      <c r="AG447" s="190">
        <v>0</v>
      </c>
      <c r="AH447" s="190">
        <v>0</v>
      </c>
      <c r="AI447" s="190">
        <v>0</v>
      </c>
      <c r="AJ447" s="190">
        <v>0</v>
      </c>
      <c r="AK447" s="190">
        <v>0</v>
      </c>
      <c r="AL447" s="190">
        <v>0</v>
      </c>
      <c r="AM447" s="190">
        <v>0</v>
      </c>
      <c r="AN447" s="190">
        <v>0</v>
      </c>
      <c r="AO447" s="190">
        <v>0</v>
      </c>
      <c r="AP447" s="190">
        <v>0</v>
      </c>
      <c r="AQ447" s="190">
        <v>2705654.92</v>
      </c>
      <c r="AR447" s="190">
        <v>2431497.8200000008</v>
      </c>
      <c r="AS447" s="190">
        <v>156218.52999999997</v>
      </c>
      <c r="AT447" s="190">
        <v>109925.70000000003</v>
      </c>
      <c r="AU447" s="190">
        <v>4712.8700000000008</v>
      </c>
      <c r="AV447" s="190">
        <v>0</v>
      </c>
      <c r="AW447" s="190">
        <v>0</v>
      </c>
      <c r="AX447" s="190">
        <v>0</v>
      </c>
      <c r="AY447" s="190">
        <v>0</v>
      </c>
      <c r="AZ447" s="190">
        <v>0</v>
      </c>
      <c r="BA447" s="190">
        <v>0</v>
      </c>
      <c r="BB447" s="190">
        <v>0</v>
      </c>
      <c r="BC447" s="190">
        <v>0</v>
      </c>
      <c r="BD447" s="190">
        <v>0</v>
      </c>
      <c r="BE447" s="190">
        <v>0</v>
      </c>
      <c r="BF447" s="190">
        <v>0</v>
      </c>
      <c r="BG447" s="190">
        <v>0</v>
      </c>
      <c r="BH447" s="190">
        <v>0</v>
      </c>
      <c r="BI447" s="190">
        <v>0</v>
      </c>
      <c r="BJ447" s="190">
        <v>0</v>
      </c>
      <c r="BK447" s="190">
        <v>0</v>
      </c>
      <c r="BL447" s="190">
        <v>0</v>
      </c>
      <c r="BM447" s="190">
        <v>3300</v>
      </c>
      <c r="BN447" s="190">
        <v>0</v>
      </c>
      <c r="BO447" s="190">
        <v>0</v>
      </c>
      <c r="BP447" s="190">
        <v>0</v>
      </c>
      <c r="BQ447" s="190">
        <v>0</v>
      </c>
      <c r="BR447" s="190">
        <v>0</v>
      </c>
      <c r="BS447" s="190">
        <v>0</v>
      </c>
      <c r="BT447" s="190">
        <v>0</v>
      </c>
      <c r="BU447" s="190">
        <v>0</v>
      </c>
      <c r="BV447" s="190">
        <v>0</v>
      </c>
      <c r="BW447" s="190">
        <v>0</v>
      </c>
      <c r="BX447" s="190">
        <v>0</v>
      </c>
      <c r="BY447" s="190">
        <v>0</v>
      </c>
      <c r="BZ447" s="190">
        <v>0</v>
      </c>
      <c r="CA447" s="190">
        <v>0</v>
      </c>
      <c r="CB447" s="190">
        <v>2705654.92</v>
      </c>
      <c r="CC447" s="190">
        <v>0</v>
      </c>
      <c r="CD447" s="190"/>
      <c r="CE447" s="190"/>
    </row>
    <row r="448" spans="2:83" x14ac:dyDescent="0.3">
      <c r="B448" s="182">
        <v>3195</v>
      </c>
      <c r="C448" s="182">
        <v>1804</v>
      </c>
      <c r="D448" s="182" t="s">
        <v>78</v>
      </c>
      <c r="E448" s="181" t="s">
        <v>4227</v>
      </c>
      <c r="F448" s="182"/>
      <c r="G448" s="182">
        <v>92128.72</v>
      </c>
      <c r="H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2"/>
      <c r="X448" s="182"/>
      <c r="Y448" s="182"/>
      <c r="Z448" s="182"/>
      <c r="AA448" s="182"/>
      <c r="AB448" s="182"/>
      <c r="AC448" s="182"/>
      <c r="AD448" s="182"/>
      <c r="AE448" s="182"/>
      <c r="AF448" s="182"/>
      <c r="AG448" s="182"/>
      <c r="AH448" s="182"/>
      <c r="AI448" s="182"/>
      <c r="AJ448" s="182"/>
      <c r="AK448" s="182"/>
      <c r="AL448" s="182"/>
      <c r="AM448" s="182"/>
      <c r="AN448" s="182"/>
      <c r="AO448" s="182"/>
      <c r="AP448" s="182"/>
      <c r="AQ448" s="185">
        <v>92128.72</v>
      </c>
      <c r="AR448" s="182">
        <v>76816.95</v>
      </c>
      <c r="AS448" s="182">
        <v>441.25</v>
      </c>
      <c r="AT448" s="182">
        <v>14870.52</v>
      </c>
      <c r="AU448" s="182"/>
      <c r="AV448" s="182"/>
      <c r="AW448" s="182"/>
      <c r="AX448" s="182"/>
      <c r="AY448" s="182"/>
      <c r="AZ448" s="182"/>
      <c r="BA448" s="182"/>
      <c r="BB448" s="182"/>
      <c r="BC448" s="182"/>
      <c r="BD448" s="182"/>
      <c r="BE448" s="182"/>
      <c r="BF448" s="182"/>
      <c r="BG448" s="182"/>
      <c r="BH448" s="182"/>
      <c r="BI448" s="182"/>
      <c r="BJ448" s="182"/>
      <c r="BK448" s="182"/>
      <c r="BL448" s="182"/>
      <c r="BM448" s="182"/>
      <c r="BN448" s="182"/>
      <c r="BO448" s="182"/>
      <c r="BP448" s="182"/>
      <c r="BQ448" s="182"/>
      <c r="BR448" s="182"/>
      <c r="BS448" s="182"/>
      <c r="BT448" s="182"/>
      <c r="BU448" s="182"/>
      <c r="BV448" s="182"/>
      <c r="BW448" s="182"/>
      <c r="BX448" s="182"/>
      <c r="BY448" s="182"/>
      <c r="BZ448" s="182"/>
      <c r="CA448" s="182"/>
      <c r="CB448" s="185">
        <v>92128.72</v>
      </c>
      <c r="CC448" s="185">
        <v>0</v>
      </c>
      <c r="CD448" s="185">
        <v>1804</v>
      </c>
      <c r="CE448" s="185"/>
    </row>
    <row r="449" spans="2:83" x14ac:dyDescent="0.3">
      <c r="B449" s="182">
        <v>3573</v>
      </c>
      <c r="C449" s="182">
        <v>1805</v>
      </c>
      <c r="D449" s="182" t="s">
        <v>78</v>
      </c>
      <c r="E449" s="181" t="s">
        <v>4228</v>
      </c>
      <c r="F449" s="182"/>
      <c r="G449" s="182">
        <v>875</v>
      </c>
      <c r="H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2"/>
      <c r="X449" s="182"/>
      <c r="Y449" s="182"/>
      <c r="Z449" s="182"/>
      <c r="AA449" s="182"/>
      <c r="AB449" s="182"/>
      <c r="AC449" s="182"/>
      <c r="AD449" s="182"/>
      <c r="AE449" s="182"/>
      <c r="AF449" s="182"/>
      <c r="AG449" s="182"/>
      <c r="AH449" s="182"/>
      <c r="AI449" s="182"/>
      <c r="AJ449" s="182"/>
      <c r="AK449" s="182"/>
      <c r="AL449" s="182"/>
      <c r="AM449" s="182"/>
      <c r="AN449" s="182"/>
      <c r="AO449" s="182"/>
      <c r="AP449" s="182"/>
      <c r="AQ449" s="185">
        <v>875</v>
      </c>
      <c r="AR449" s="182">
        <v>781.7</v>
      </c>
      <c r="AS449" s="182">
        <v>93.3</v>
      </c>
      <c r="AT449" s="182"/>
      <c r="AU449" s="182"/>
      <c r="AV449" s="182"/>
      <c r="AW449" s="182"/>
      <c r="AX449" s="182"/>
      <c r="AY449" s="182"/>
      <c r="AZ449" s="182"/>
      <c r="BA449" s="182"/>
      <c r="BB449" s="182"/>
      <c r="BC449" s="182"/>
      <c r="BD449" s="182"/>
      <c r="BE449" s="182"/>
      <c r="BF449" s="182"/>
      <c r="BG449" s="182"/>
      <c r="BH449" s="182"/>
      <c r="BI449" s="182"/>
      <c r="BJ449" s="182"/>
      <c r="BK449" s="182"/>
      <c r="BL449" s="182"/>
      <c r="BM449" s="182"/>
      <c r="BN449" s="182"/>
      <c r="BO449" s="182"/>
      <c r="BP449" s="182"/>
      <c r="BQ449" s="182"/>
      <c r="BR449" s="182"/>
      <c r="BS449" s="182"/>
      <c r="BT449" s="182"/>
      <c r="BU449" s="182"/>
      <c r="BV449" s="182"/>
      <c r="BW449" s="182"/>
      <c r="BX449" s="182"/>
      <c r="BY449" s="182"/>
      <c r="BZ449" s="182"/>
      <c r="CA449" s="182"/>
      <c r="CB449" s="185">
        <v>875</v>
      </c>
      <c r="CC449" s="185">
        <v>0</v>
      </c>
      <c r="CD449" s="185">
        <v>1805</v>
      </c>
      <c r="CE449" s="185"/>
    </row>
    <row r="450" spans="2:83" x14ac:dyDescent="0.3">
      <c r="B450" s="182">
        <v>3574</v>
      </c>
      <c r="C450" s="182">
        <v>1806</v>
      </c>
      <c r="D450" s="182" t="s">
        <v>78</v>
      </c>
      <c r="E450" s="181" t="s">
        <v>4228</v>
      </c>
      <c r="F450" s="182"/>
      <c r="G450" s="182">
        <v>2564.84</v>
      </c>
      <c r="H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2"/>
      <c r="X450" s="182"/>
      <c r="Y450" s="182"/>
      <c r="Z450" s="182"/>
      <c r="AA450" s="182"/>
      <c r="AB450" s="182"/>
      <c r="AC450" s="182"/>
      <c r="AD450" s="182"/>
      <c r="AE450" s="182"/>
      <c r="AF450" s="182"/>
      <c r="AG450" s="182"/>
      <c r="AH450" s="182"/>
      <c r="AI450" s="182"/>
      <c r="AJ450" s="182"/>
      <c r="AK450" s="182"/>
      <c r="AL450" s="182"/>
      <c r="AM450" s="182"/>
      <c r="AN450" s="182"/>
      <c r="AO450" s="182"/>
      <c r="AP450" s="182"/>
      <c r="AQ450" s="185">
        <v>2564.84</v>
      </c>
      <c r="AR450" s="182">
        <v>1713.86</v>
      </c>
      <c r="AS450" s="182">
        <v>233</v>
      </c>
      <c r="AT450" s="182">
        <v>617.98</v>
      </c>
      <c r="AU450" s="182"/>
      <c r="AV450" s="182"/>
      <c r="AW450" s="182"/>
      <c r="AX450" s="182"/>
      <c r="AY450" s="182"/>
      <c r="AZ450" s="182"/>
      <c r="BA450" s="182"/>
      <c r="BB450" s="182"/>
      <c r="BC450" s="182"/>
      <c r="BD450" s="182"/>
      <c r="BE450" s="182"/>
      <c r="BF450" s="182"/>
      <c r="BG450" s="182"/>
      <c r="BH450" s="182"/>
      <c r="BI450" s="182"/>
      <c r="BJ450" s="182"/>
      <c r="BK450" s="182"/>
      <c r="BL450" s="182"/>
      <c r="BM450" s="182"/>
      <c r="BN450" s="182"/>
      <c r="BO450" s="182"/>
      <c r="BP450" s="182"/>
      <c r="BQ450" s="182"/>
      <c r="BR450" s="182"/>
      <c r="BS450" s="182"/>
      <c r="BT450" s="182"/>
      <c r="BU450" s="182"/>
      <c r="BV450" s="182"/>
      <c r="BW450" s="182"/>
      <c r="BX450" s="182"/>
      <c r="BY450" s="182"/>
      <c r="BZ450" s="182"/>
      <c r="CA450" s="182"/>
      <c r="CB450" s="185">
        <v>2564.84</v>
      </c>
      <c r="CC450" s="185">
        <v>0</v>
      </c>
      <c r="CD450" s="185">
        <v>1806</v>
      </c>
      <c r="CE450" s="185"/>
    </row>
    <row r="451" spans="2:83" x14ac:dyDescent="0.3">
      <c r="B451" s="182">
        <v>3575</v>
      </c>
      <c r="C451" s="182">
        <v>1807</v>
      </c>
      <c r="D451" s="182" t="s">
        <v>78</v>
      </c>
      <c r="E451" s="181" t="s">
        <v>4228</v>
      </c>
      <c r="F451" s="182"/>
      <c r="G451" s="182">
        <v>461.67</v>
      </c>
      <c r="H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2"/>
      <c r="X451" s="182"/>
      <c r="Y451" s="182"/>
      <c r="Z451" s="182"/>
      <c r="AA451" s="182"/>
      <c r="AB451" s="182"/>
      <c r="AC451" s="182"/>
      <c r="AD451" s="182"/>
      <c r="AE451" s="182"/>
      <c r="AF451" s="182"/>
      <c r="AG451" s="182"/>
      <c r="AH451" s="182"/>
      <c r="AI451" s="182"/>
      <c r="AJ451" s="182"/>
      <c r="AK451" s="182"/>
      <c r="AL451" s="182"/>
      <c r="AM451" s="182"/>
      <c r="AN451" s="182"/>
      <c r="AO451" s="182"/>
      <c r="AP451" s="182"/>
      <c r="AQ451" s="185">
        <v>461.67</v>
      </c>
      <c r="AR451" s="182">
        <v>309.10000000000002</v>
      </c>
      <c r="AS451" s="182">
        <v>41.33</v>
      </c>
      <c r="AT451" s="182">
        <v>111.24</v>
      </c>
      <c r="AU451" s="182"/>
      <c r="AV451" s="182"/>
      <c r="AW451" s="182"/>
      <c r="AX451" s="182"/>
      <c r="AY451" s="182"/>
      <c r="AZ451" s="182"/>
      <c r="BA451" s="182"/>
      <c r="BB451" s="182"/>
      <c r="BC451" s="182"/>
      <c r="BD451" s="182"/>
      <c r="BE451" s="182"/>
      <c r="BF451" s="182"/>
      <c r="BG451" s="182"/>
      <c r="BH451" s="182"/>
      <c r="BI451" s="182"/>
      <c r="BJ451" s="182"/>
      <c r="BK451" s="182"/>
      <c r="BL451" s="182"/>
      <c r="BM451" s="182"/>
      <c r="BN451" s="182"/>
      <c r="BO451" s="182"/>
      <c r="BP451" s="182"/>
      <c r="BQ451" s="182"/>
      <c r="BR451" s="182"/>
      <c r="BS451" s="182"/>
      <c r="BT451" s="182"/>
      <c r="BU451" s="182"/>
      <c r="BV451" s="182"/>
      <c r="BW451" s="182"/>
      <c r="BX451" s="182"/>
      <c r="BY451" s="182"/>
      <c r="BZ451" s="182"/>
      <c r="CA451" s="182"/>
      <c r="CB451" s="185">
        <v>461.67</v>
      </c>
      <c r="CC451" s="185">
        <v>0</v>
      </c>
      <c r="CD451" s="185">
        <v>1807</v>
      </c>
      <c r="CE451" s="185"/>
    </row>
    <row r="452" spans="2:83" x14ac:dyDescent="0.3">
      <c r="B452" s="182">
        <v>3577</v>
      </c>
      <c r="C452" s="182">
        <v>1808</v>
      </c>
      <c r="D452" s="182" t="s">
        <v>78</v>
      </c>
      <c r="E452" s="181" t="s">
        <v>4228</v>
      </c>
      <c r="F452" s="182"/>
      <c r="G452" s="182">
        <v>2564.84</v>
      </c>
      <c r="H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2"/>
      <c r="X452" s="182"/>
      <c r="Y452" s="182"/>
      <c r="Z452" s="182"/>
      <c r="AA452" s="182"/>
      <c r="AB452" s="182"/>
      <c r="AC452" s="182"/>
      <c r="AD452" s="182"/>
      <c r="AE452" s="182"/>
      <c r="AF452" s="182"/>
      <c r="AG452" s="182"/>
      <c r="AH452" s="182"/>
      <c r="AI452" s="182"/>
      <c r="AJ452" s="182"/>
      <c r="AK452" s="182"/>
      <c r="AL452" s="182"/>
      <c r="AM452" s="182"/>
      <c r="AN452" s="182"/>
      <c r="AO452" s="182"/>
      <c r="AP452" s="182"/>
      <c r="AQ452" s="185">
        <v>2564.84</v>
      </c>
      <c r="AR452" s="182">
        <v>1713.86</v>
      </c>
      <c r="AS452" s="182">
        <v>233</v>
      </c>
      <c r="AT452" s="182">
        <v>617.98</v>
      </c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182"/>
      <c r="BK452" s="182"/>
      <c r="BL452" s="182"/>
      <c r="BM452" s="182"/>
      <c r="BN452" s="182"/>
      <c r="BO452" s="182"/>
      <c r="BP452" s="182"/>
      <c r="BQ452" s="182"/>
      <c r="BR452" s="182"/>
      <c r="BS452" s="182"/>
      <c r="BT452" s="182"/>
      <c r="BU452" s="182"/>
      <c r="BV452" s="182"/>
      <c r="BW452" s="182"/>
      <c r="BX452" s="182"/>
      <c r="BY452" s="182"/>
      <c r="BZ452" s="182"/>
      <c r="CA452" s="182"/>
      <c r="CB452" s="185">
        <v>2564.84</v>
      </c>
      <c r="CC452" s="185">
        <v>0</v>
      </c>
      <c r="CD452" s="185">
        <v>1808</v>
      </c>
      <c r="CE452" s="185"/>
    </row>
    <row r="453" spans="2:83" x14ac:dyDescent="0.3">
      <c r="B453" s="182">
        <v>3576</v>
      </c>
      <c r="C453" s="182">
        <v>1809</v>
      </c>
      <c r="D453" s="182" t="s">
        <v>78</v>
      </c>
      <c r="E453" s="181" t="s">
        <v>4228</v>
      </c>
      <c r="F453" s="182"/>
      <c r="G453" s="182">
        <v>439.69</v>
      </c>
      <c r="H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2"/>
      <c r="X453" s="182"/>
      <c r="Y453" s="182"/>
      <c r="Z453" s="182"/>
      <c r="AA453" s="182"/>
      <c r="AB453" s="182"/>
      <c r="AC453" s="182"/>
      <c r="AD453" s="182"/>
      <c r="AE453" s="182"/>
      <c r="AF453" s="182"/>
      <c r="AG453" s="182"/>
      <c r="AH453" s="182"/>
      <c r="AI453" s="182"/>
      <c r="AJ453" s="182"/>
      <c r="AK453" s="182"/>
      <c r="AL453" s="182"/>
      <c r="AM453" s="182"/>
      <c r="AN453" s="182"/>
      <c r="AO453" s="182"/>
      <c r="AP453" s="182"/>
      <c r="AQ453" s="185">
        <v>439.69</v>
      </c>
      <c r="AR453" s="182">
        <v>294.39999999999998</v>
      </c>
      <c r="AS453" s="182">
        <v>39.35</v>
      </c>
      <c r="AT453" s="182">
        <v>105.94</v>
      </c>
      <c r="AU453" s="182"/>
      <c r="AV453" s="182"/>
      <c r="AW453" s="182"/>
      <c r="AX453" s="182"/>
      <c r="AY453" s="182"/>
      <c r="AZ453" s="182"/>
      <c r="BA453" s="182"/>
      <c r="BB453" s="182"/>
      <c r="BC453" s="182"/>
      <c r="BD453" s="182"/>
      <c r="BE453" s="182"/>
      <c r="BF453" s="182"/>
      <c r="BG453" s="182"/>
      <c r="BH453" s="182"/>
      <c r="BI453" s="182"/>
      <c r="BJ453" s="182"/>
      <c r="BK453" s="182"/>
      <c r="BL453" s="182"/>
      <c r="BM453" s="182"/>
      <c r="BN453" s="182"/>
      <c r="BO453" s="182"/>
      <c r="BP453" s="182"/>
      <c r="BQ453" s="182"/>
      <c r="BR453" s="182"/>
      <c r="BS453" s="182"/>
      <c r="BT453" s="182"/>
      <c r="BU453" s="182"/>
      <c r="BV453" s="182"/>
      <c r="BW453" s="182"/>
      <c r="BX453" s="182"/>
      <c r="BY453" s="182"/>
      <c r="BZ453" s="182"/>
      <c r="CA453" s="182"/>
      <c r="CB453" s="185">
        <v>439.69</v>
      </c>
      <c r="CC453" s="185">
        <v>0</v>
      </c>
      <c r="CD453" s="185">
        <v>1809</v>
      </c>
      <c r="CE453" s="185"/>
    </row>
    <row r="454" spans="2:83" x14ac:dyDescent="0.3">
      <c r="B454" s="182">
        <v>3578</v>
      </c>
      <c r="C454" s="182">
        <v>1810</v>
      </c>
      <c r="D454" s="182" t="s">
        <v>78</v>
      </c>
      <c r="E454" s="181" t="s">
        <v>4228</v>
      </c>
      <c r="F454" s="182"/>
      <c r="G454" s="182">
        <v>1055.25</v>
      </c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2"/>
      <c r="X454" s="182"/>
      <c r="Y454" s="182"/>
      <c r="Z454" s="182"/>
      <c r="AA454" s="182"/>
      <c r="AB454" s="182"/>
      <c r="AC454" s="182"/>
      <c r="AD454" s="182"/>
      <c r="AE454" s="182"/>
      <c r="AF454" s="182"/>
      <c r="AG454" s="182"/>
      <c r="AH454" s="182"/>
      <c r="AI454" s="182"/>
      <c r="AJ454" s="182"/>
      <c r="AK454" s="182"/>
      <c r="AL454" s="182"/>
      <c r="AM454" s="182"/>
      <c r="AN454" s="182"/>
      <c r="AO454" s="182"/>
      <c r="AP454" s="182"/>
      <c r="AQ454" s="185">
        <v>1055.25</v>
      </c>
      <c r="AR454" s="182">
        <v>705.7</v>
      </c>
      <c r="AS454" s="182">
        <v>95.3</v>
      </c>
      <c r="AT454" s="182">
        <v>254.25</v>
      </c>
      <c r="AU454" s="182"/>
      <c r="AV454" s="182"/>
      <c r="AW454" s="182"/>
      <c r="AX454" s="182"/>
      <c r="AY454" s="182"/>
      <c r="AZ454" s="182"/>
      <c r="BA454" s="182"/>
      <c r="BB454" s="182"/>
      <c r="BC454" s="182"/>
      <c r="BD454" s="182"/>
      <c r="BE454" s="182"/>
      <c r="BF454" s="182"/>
      <c r="BG454" s="182"/>
      <c r="BH454" s="182"/>
      <c r="BI454" s="182"/>
      <c r="BJ454" s="182"/>
      <c r="BK454" s="182"/>
      <c r="BL454" s="182"/>
      <c r="BM454" s="182"/>
      <c r="BN454" s="182"/>
      <c r="BO454" s="182"/>
      <c r="BP454" s="182"/>
      <c r="BQ454" s="182"/>
      <c r="BR454" s="182"/>
      <c r="BS454" s="182"/>
      <c r="BT454" s="182"/>
      <c r="BU454" s="182"/>
      <c r="BV454" s="182"/>
      <c r="BW454" s="182"/>
      <c r="BX454" s="182"/>
      <c r="BY454" s="182"/>
      <c r="BZ454" s="182"/>
      <c r="CA454" s="182"/>
      <c r="CB454" s="185">
        <v>1055.25</v>
      </c>
      <c r="CC454" s="185">
        <v>0</v>
      </c>
      <c r="CD454" s="185">
        <v>1810</v>
      </c>
      <c r="CE454" s="185"/>
    </row>
    <row r="455" spans="2:83" x14ac:dyDescent="0.3">
      <c r="B455" s="182">
        <v>3579</v>
      </c>
      <c r="C455" s="182">
        <v>1811</v>
      </c>
      <c r="D455" s="182" t="s">
        <v>78</v>
      </c>
      <c r="E455" s="181" t="s">
        <v>4228</v>
      </c>
      <c r="F455" s="182"/>
      <c r="G455" s="182">
        <v>1113.8800000000001</v>
      </c>
      <c r="H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2"/>
      <c r="X455" s="182"/>
      <c r="Y455" s="182"/>
      <c r="Z455" s="182"/>
      <c r="AA455" s="182"/>
      <c r="AB455" s="182"/>
      <c r="AC455" s="182"/>
      <c r="AD455" s="182"/>
      <c r="AE455" s="182"/>
      <c r="AF455" s="182"/>
      <c r="AG455" s="182"/>
      <c r="AH455" s="182"/>
      <c r="AI455" s="182"/>
      <c r="AJ455" s="182"/>
      <c r="AK455" s="182"/>
      <c r="AL455" s="182"/>
      <c r="AM455" s="182"/>
      <c r="AN455" s="182"/>
      <c r="AO455" s="182"/>
      <c r="AP455" s="182"/>
      <c r="AQ455" s="185">
        <v>1113.8800000000001</v>
      </c>
      <c r="AR455" s="182">
        <v>744.9</v>
      </c>
      <c r="AS455" s="182">
        <v>100.6</v>
      </c>
      <c r="AT455" s="182">
        <v>268.38</v>
      </c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182"/>
      <c r="BK455" s="182"/>
      <c r="BL455" s="182"/>
      <c r="BM455" s="182"/>
      <c r="BN455" s="182"/>
      <c r="BO455" s="182"/>
      <c r="BP455" s="182"/>
      <c r="BQ455" s="182"/>
      <c r="BR455" s="182"/>
      <c r="BS455" s="182"/>
      <c r="BT455" s="182"/>
      <c r="BU455" s="182"/>
      <c r="BV455" s="182"/>
      <c r="BW455" s="182"/>
      <c r="BX455" s="182"/>
      <c r="BY455" s="182"/>
      <c r="BZ455" s="182"/>
      <c r="CA455" s="182"/>
      <c r="CB455" s="185">
        <v>1113.8800000000001</v>
      </c>
      <c r="CC455" s="185">
        <v>0</v>
      </c>
      <c r="CD455" s="185">
        <v>1811</v>
      </c>
      <c r="CE455" s="185"/>
    </row>
    <row r="456" spans="2:83" x14ac:dyDescent="0.3">
      <c r="B456" s="182">
        <v>3451</v>
      </c>
      <c r="C456" s="182">
        <v>1812</v>
      </c>
      <c r="D456" s="182" t="s">
        <v>78</v>
      </c>
      <c r="E456" s="181" t="s">
        <v>1204</v>
      </c>
      <c r="F456" s="182"/>
      <c r="G456" s="182">
        <v>2259.4299999999998</v>
      </c>
      <c r="H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2"/>
      <c r="X456" s="182"/>
      <c r="Y456" s="182"/>
      <c r="Z456" s="182"/>
      <c r="AA456" s="182"/>
      <c r="AB456" s="182"/>
      <c r="AC456" s="182"/>
      <c r="AD456" s="182"/>
      <c r="AE456" s="182"/>
      <c r="AF456" s="182"/>
      <c r="AG456" s="182"/>
      <c r="AH456" s="182"/>
      <c r="AI456" s="182"/>
      <c r="AJ456" s="182"/>
      <c r="AK456" s="182"/>
      <c r="AL456" s="182"/>
      <c r="AM456" s="182"/>
      <c r="AN456" s="182"/>
      <c r="AO456" s="182"/>
      <c r="AP456" s="182"/>
      <c r="AQ456" s="185">
        <v>2259.4299999999998</v>
      </c>
      <c r="AR456" s="182">
        <v>2016.89</v>
      </c>
      <c r="AS456" s="182">
        <v>242.54</v>
      </c>
      <c r="AT456" s="182"/>
      <c r="AU456" s="182"/>
      <c r="AV456" s="182"/>
      <c r="AW456" s="182"/>
      <c r="AX456" s="182"/>
      <c r="AY456" s="182"/>
      <c r="AZ456" s="182"/>
      <c r="BA456" s="182"/>
      <c r="BB456" s="182"/>
      <c r="BC456" s="182"/>
      <c r="BD456" s="182"/>
      <c r="BE456" s="182"/>
      <c r="BF456" s="182"/>
      <c r="BG456" s="182"/>
      <c r="BH456" s="182"/>
      <c r="BI456" s="182"/>
      <c r="BJ456" s="182"/>
      <c r="BK456" s="182"/>
      <c r="BL456" s="182"/>
      <c r="BM456" s="182"/>
      <c r="BN456" s="182"/>
      <c r="BO456" s="182"/>
      <c r="BP456" s="182"/>
      <c r="BQ456" s="182"/>
      <c r="BR456" s="182"/>
      <c r="BS456" s="182"/>
      <c r="BT456" s="182"/>
      <c r="BU456" s="182"/>
      <c r="BV456" s="182"/>
      <c r="BW456" s="182"/>
      <c r="BX456" s="182"/>
      <c r="BY456" s="182"/>
      <c r="BZ456" s="182"/>
      <c r="CA456" s="182"/>
      <c r="CB456" s="185">
        <v>2259.4300000000003</v>
      </c>
      <c r="CC456" s="185">
        <v>0</v>
      </c>
      <c r="CD456" s="185">
        <v>1812</v>
      </c>
      <c r="CE456" s="185"/>
    </row>
    <row r="457" spans="2:83" x14ac:dyDescent="0.3">
      <c r="B457" s="182">
        <v>3456</v>
      </c>
      <c r="C457" s="182">
        <v>1813</v>
      </c>
      <c r="D457" s="182" t="s">
        <v>78</v>
      </c>
      <c r="E457" s="181" t="s">
        <v>1204</v>
      </c>
      <c r="F457" s="182"/>
      <c r="G457" s="182">
        <v>42454.35</v>
      </c>
      <c r="H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2"/>
      <c r="X457" s="182"/>
      <c r="Y457" s="182"/>
      <c r="Z457" s="182"/>
      <c r="AA457" s="182"/>
      <c r="AB457" s="182"/>
      <c r="AC457" s="182"/>
      <c r="AD457" s="182"/>
      <c r="AE457" s="182"/>
      <c r="AF457" s="182"/>
      <c r="AG457" s="182"/>
      <c r="AH457" s="182"/>
      <c r="AI457" s="182"/>
      <c r="AJ457" s="182"/>
      <c r="AK457" s="182"/>
      <c r="AL457" s="182"/>
      <c r="AM457" s="182"/>
      <c r="AN457" s="182"/>
      <c r="AO457" s="182"/>
      <c r="AP457" s="182"/>
      <c r="AQ457" s="185">
        <v>42454.35</v>
      </c>
      <c r="AR457" s="182">
        <v>37898.47</v>
      </c>
      <c r="AS457" s="182">
        <v>4555.88</v>
      </c>
      <c r="AT457" s="182"/>
      <c r="AU457" s="182"/>
      <c r="AV457" s="182"/>
      <c r="AW457" s="182"/>
      <c r="AX457" s="182"/>
      <c r="AY457" s="182"/>
      <c r="AZ457" s="182"/>
      <c r="BA457" s="182"/>
      <c r="BB457" s="182"/>
      <c r="BC457" s="182"/>
      <c r="BD457" s="182"/>
      <c r="BE457" s="182"/>
      <c r="BF457" s="182"/>
      <c r="BG457" s="182"/>
      <c r="BH457" s="182"/>
      <c r="BI457" s="182"/>
      <c r="BJ457" s="182"/>
      <c r="BK457" s="182"/>
      <c r="BL457" s="182"/>
      <c r="BM457" s="182"/>
      <c r="BN457" s="182"/>
      <c r="BO457" s="182"/>
      <c r="BP457" s="182"/>
      <c r="BQ457" s="182"/>
      <c r="BR457" s="182"/>
      <c r="BS457" s="182"/>
      <c r="BT457" s="182"/>
      <c r="BU457" s="182"/>
      <c r="BV457" s="182"/>
      <c r="BW457" s="182"/>
      <c r="BX457" s="182"/>
      <c r="BY457" s="182"/>
      <c r="BZ457" s="182"/>
      <c r="CA457" s="182"/>
      <c r="CB457" s="185">
        <v>42454.35</v>
      </c>
      <c r="CC457" s="185">
        <v>0</v>
      </c>
      <c r="CD457" s="185">
        <v>1813</v>
      </c>
      <c r="CE457" s="185"/>
    </row>
    <row r="458" spans="2:83" x14ac:dyDescent="0.3">
      <c r="B458" s="182">
        <v>3454</v>
      </c>
      <c r="C458" s="182">
        <v>1814</v>
      </c>
      <c r="D458" s="182" t="s">
        <v>78</v>
      </c>
      <c r="E458" s="181" t="s">
        <v>1204</v>
      </c>
      <c r="F458" s="182"/>
      <c r="G458" s="182">
        <v>7949.06</v>
      </c>
      <c r="H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2"/>
      <c r="X458" s="182"/>
      <c r="Y458" s="182"/>
      <c r="Z458" s="182"/>
      <c r="AA458" s="182"/>
      <c r="AB458" s="182"/>
      <c r="AC458" s="182"/>
      <c r="AD458" s="182"/>
      <c r="AE458" s="182"/>
      <c r="AF458" s="182"/>
      <c r="AG458" s="182"/>
      <c r="AH458" s="182"/>
      <c r="AI458" s="182"/>
      <c r="AJ458" s="182"/>
      <c r="AK458" s="182"/>
      <c r="AL458" s="182"/>
      <c r="AM458" s="182"/>
      <c r="AN458" s="182"/>
      <c r="AO458" s="182"/>
      <c r="AP458" s="182"/>
      <c r="AQ458" s="185">
        <v>7949.06</v>
      </c>
      <c r="AR458" s="182">
        <v>7074.99</v>
      </c>
      <c r="AS458" s="182">
        <v>850.13</v>
      </c>
      <c r="AT458" s="182">
        <v>23.94</v>
      </c>
      <c r="AU458" s="182"/>
      <c r="AV458" s="182"/>
      <c r="AW458" s="182"/>
      <c r="AX458" s="182"/>
      <c r="AY458" s="182"/>
      <c r="AZ458" s="182"/>
      <c r="BA458" s="182"/>
      <c r="BB458" s="182"/>
      <c r="BC458" s="182"/>
      <c r="BD458" s="182"/>
      <c r="BE458" s="182"/>
      <c r="BF458" s="182"/>
      <c r="BG458" s="182"/>
      <c r="BH458" s="182"/>
      <c r="BI458" s="182"/>
      <c r="BJ458" s="182"/>
      <c r="BK458" s="182"/>
      <c r="BL458" s="182"/>
      <c r="BM458" s="182"/>
      <c r="BN458" s="182"/>
      <c r="BO458" s="182"/>
      <c r="BP458" s="182"/>
      <c r="BQ458" s="182"/>
      <c r="BR458" s="182"/>
      <c r="BS458" s="182"/>
      <c r="BT458" s="182"/>
      <c r="BU458" s="182"/>
      <c r="BV458" s="182"/>
      <c r="BW458" s="182"/>
      <c r="BX458" s="182"/>
      <c r="BY458" s="182"/>
      <c r="BZ458" s="182"/>
      <c r="CA458" s="182"/>
      <c r="CB458" s="185">
        <v>7949.0599999999995</v>
      </c>
      <c r="CC458" s="185">
        <v>0</v>
      </c>
      <c r="CD458" s="185">
        <v>1814</v>
      </c>
      <c r="CE458" s="185"/>
    </row>
    <row r="459" spans="2:83" x14ac:dyDescent="0.3">
      <c r="B459" s="182">
        <v>3452</v>
      </c>
      <c r="C459" s="182">
        <v>1815</v>
      </c>
      <c r="D459" s="182" t="s">
        <v>78</v>
      </c>
      <c r="E459" s="181" t="s">
        <v>1204</v>
      </c>
      <c r="F459" s="182"/>
      <c r="G459" s="182">
        <v>4972.05</v>
      </c>
      <c r="H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2"/>
      <c r="X459" s="182"/>
      <c r="Y459" s="182"/>
      <c r="Z459" s="182"/>
      <c r="AA459" s="182"/>
      <c r="AB459" s="182"/>
      <c r="AC459" s="182"/>
      <c r="AD459" s="182"/>
      <c r="AE459" s="182"/>
      <c r="AF459" s="182"/>
      <c r="AG459" s="182"/>
      <c r="AH459" s="182"/>
      <c r="AI459" s="182"/>
      <c r="AJ459" s="182"/>
      <c r="AK459" s="182"/>
      <c r="AL459" s="182"/>
      <c r="AM459" s="182"/>
      <c r="AN459" s="182"/>
      <c r="AO459" s="182"/>
      <c r="AP459" s="182"/>
      <c r="AQ459" s="185">
        <v>4972.05</v>
      </c>
      <c r="AR459" s="182">
        <v>4438.29</v>
      </c>
      <c r="AS459" s="182">
        <v>533.76</v>
      </c>
      <c r="AT459" s="182"/>
      <c r="AU459" s="182"/>
      <c r="AV459" s="182"/>
      <c r="AW459" s="182"/>
      <c r="AX459" s="182"/>
      <c r="AY459" s="182"/>
      <c r="AZ459" s="182"/>
      <c r="BA459" s="182"/>
      <c r="BB459" s="182"/>
      <c r="BC459" s="182"/>
      <c r="BD459" s="182"/>
      <c r="BE459" s="182"/>
      <c r="BF459" s="182"/>
      <c r="BG459" s="182"/>
      <c r="BH459" s="182"/>
      <c r="BI459" s="182"/>
      <c r="BJ459" s="182"/>
      <c r="BK459" s="182"/>
      <c r="BL459" s="182"/>
      <c r="BM459" s="182"/>
      <c r="BN459" s="182"/>
      <c r="BO459" s="182"/>
      <c r="BP459" s="182"/>
      <c r="BQ459" s="182"/>
      <c r="BR459" s="182"/>
      <c r="BS459" s="182"/>
      <c r="BT459" s="182"/>
      <c r="BU459" s="182"/>
      <c r="BV459" s="182"/>
      <c r="BW459" s="182"/>
      <c r="BX459" s="182"/>
      <c r="BY459" s="182"/>
      <c r="BZ459" s="182"/>
      <c r="CA459" s="182"/>
      <c r="CB459" s="185">
        <v>4972.05</v>
      </c>
      <c r="CC459" s="185">
        <v>0</v>
      </c>
      <c r="CD459" s="185">
        <v>1815</v>
      </c>
      <c r="CE459" s="185"/>
    </row>
    <row r="460" spans="2:83" x14ac:dyDescent="0.3">
      <c r="B460" s="182">
        <v>3450</v>
      </c>
      <c r="C460" s="182">
        <v>1816</v>
      </c>
      <c r="D460" s="182" t="s">
        <v>78</v>
      </c>
      <c r="E460" s="181" t="s">
        <v>1204</v>
      </c>
      <c r="F460" s="182"/>
      <c r="G460" s="182">
        <v>5579.62</v>
      </c>
      <c r="H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2"/>
      <c r="X460" s="182"/>
      <c r="Y460" s="182"/>
      <c r="Z460" s="182"/>
      <c r="AA460" s="182"/>
      <c r="AB460" s="182"/>
      <c r="AC460" s="182"/>
      <c r="AD460" s="182"/>
      <c r="AE460" s="182"/>
      <c r="AF460" s="182"/>
      <c r="AG460" s="182"/>
      <c r="AH460" s="182"/>
      <c r="AI460" s="182"/>
      <c r="AJ460" s="182"/>
      <c r="AK460" s="182"/>
      <c r="AL460" s="182"/>
      <c r="AM460" s="182"/>
      <c r="AN460" s="182"/>
      <c r="AO460" s="182"/>
      <c r="AP460" s="182"/>
      <c r="AQ460" s="185">
        <v>5579.62</v>
      </c>
      <c r="AR460" s="182">
        <v>4980.51</v>
      </c>
      <c r="AS460" s="182">
        <v>599.11</v>
      </c>
      <c r="AT460" s="182"/>
      <c r="AU460" s="182"/>
      <c r="AV460" s="182"/>
      <c r="AW460" s="182"/>
      <c r="AX460" s="182"/>
      <c r="AY460" s="182"/>
      <c r="AZ460" s="182"/>
      <c r="BA460" s="182"/>
      <c r="BB460" s="182"/>
      <c r="BC460" s="182"/>
      <c r="BD460" s="182"/>
      <c r="BE460" s="182"/>
      <c r="BF460" s="182"/>
      <c r="BG460" s="182"/>
      <c r="BH460" s="182"/>
      <c r="BI460" s="182"/>
      <c r="BJ460" s="182"/>
      <c r="BK460" s="182"/>
      <c r="BL460" s="182"/>
      <c r="BM460" s="182"/>
      <c r="BN460" s="182"/>
      <c r="BO460" s="182"/>
      <c r="BP460" s="182"/>
      <c r="BQ460" s="182"/>
      <c r="BR460" s="182"/>
      <c r="BS460" s="182"/>
      <c r="BT460" s="182"/>
      <c r="BU460" s="182"/>
      <c r="BV460" s="182"/>
      <c r="BW460" s="182"/>
      <c r="BX460" s="182"/>
      <c r="BY460" s="182"/>
      <c r="BZ460" s="182"/>
      <c r="CA460" s="182"/>
      <c r="CB460" s="185">
        <v>5579.62</v>
      </c>
      <c r="CC460" s="185">
        <v>0</v>
      </c>
      <c r="CD460" s="185">
        <v>1816</v>
      </c>
      <c r="CE460" s="185"/>
    </row>
    <row r="461" spans="2:83" x14ac:dyDescent="0.3">
      <c r="B461" s="182">
        <v>3453</v>
      </c>
      <c r="C461" s="182">
        <v>1817</v>
      </c>
      <c r="D461" s="182" t="s">
        <v>78</v>
      </c>
      <c r="E461" s="181" t="s">
        <v>1204</v>
      </c>
      <c r="F461" s="182"/>
      <c r="G461" s="182">
        <v>6215.86</v>
      </c>
      <c r="H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2"/>
      <c r="X461" s="182"/>
      <c r="Y461" s="182"/>
      <c r="Z461" s="182"/>
      <c r="AA461" s="182"/>
      <c r="AB461" s="182"/>
      <c r="AC461" s="182"/>
      <c r="AD461" s="182"/>
      <c r="AE461" s="182"/>
      <c r="AF461" s="182"/>
      <c r="AG461" s="182"/>
      <c r="AH461" s="182"/>
      <c r="AI461" s="182"/>
      <c r="AJ461" s="182"/>
      <c r="AK461" s="182"/>
      <c r="AL461" s="182"/>
      <c r="AM461" s="182"/>
      <c r="AN461" s="182"/>
      <c r="AO461" s="182"/>
      <c r="AP461" s="182"/>
      <c r="AQ461" s="185">
        <v>6215.86</v>
      </c>
      <c r="AR461" s="182">
        <v>5548.72</v>
      </c>
      <c r="AS461" s="182">
        <v>667.14</v>
      </c>
      <c r="AT461" s="182"/>
      <c r="AU461" s="182"/>
      <c r="AV461" s="182"/>
      <c r="AW461" s="182"/>
      <c r="AX461" s="182"/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/>
      <c r="BI461" s="182"/>
      <c r="BJ461" s="182"/>
      <c r="BK461" s="182"/>
      <c r="BL461" s="182"/>
      <c r="BM461" s="182"/>
      <c r="BN461" s="182"/>
      <c r="BO461" s="182"/>
      <c r="BP461" s="182"/>
      <c r="BQ461" s="182"/>
      <c r="BR461" s="182"/>
      <c r="BS461" s="182"/>
      <c r="BT461" s="182"/>
      <c r="BU461" s="182"/>
      <c r="BV461" s="182"/>
      <c r="BW461" s="182"/>
      <c r="BX461" s="182"/>
      <c r="BY461" s="182"/>
      <c r="BZ461" s="182"/>
      <c r="CA461" s="182"/>
      <c r="CB461" s="185">
        <v>6215.8600000000006</v>
      </c>
      <c r="CC461" s="185">
        <v>0</v>
      </c>
      <c r="CD461" s="185">
        <v>1817</v>
      </c>
      <c r="CE461" s="185"/>
    </row>
    <row r="462" spans="2:83" x14ac:dyDescent="0.3">
      <c r="B462" s="182">
        <v>3455</v>
      </c>
      <c r="C462" s="182">
        <v>1818</v>
      </c>
      <c r="D462" s="182" t="s">
        <v>78</v>
      </c>
      <c r="E462" s="181" t="s">
        <v>1204</v>
      </c>
      <c r="F462" s="182"/>
      <c r="G462" s="182">
        <v>10086.719999999999</v>
      </c>
      <c r="H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2"/>
      <c r="X462" s="182"/>
      <c r="Y462" s="182"/>
      <c r="Z462" s="182"/>
      <c r="AA462" s="182"/>
      <c r="AB462" s="182"/>
      <c r="AC462" s="182"/>
      <c r="AD462" s="182"/>
      <c r="AE462" s="182"/>
      <c r="AF462" s="182"/>
      <c r="AG462" s="182"/>
      <c r="AH462" s="182"/>
      <c r="AI462" s="182"/>
      <c r="AJ462" s="182"/>
      <c r="AK462" s="182"/>
      <c r="AL462" s="182"/>
      <c r="AM462" s="182"/>
      <c r="AN462" s="182"/>
      <c r="AO462" s="182"/>
      <c r="AP462" s="182"/>
      <c r="AQ462" s="185">
        <v>10086.719999999999</v>
      </c>
      <c r="AR462" s="182">
        <v>9004.15</v>
      </c>
      <c r="AS462" s="182">
        <v>1082.57</v>
      </c>
      <c r="AT462" s="182"/>
      <c r="AU462" s="182"/>
      <c r="AV462" s="182"/>
      <c r="AW462" s="182"/>
      <c r="AX462" s="182"/>
      <c r="AY462" s="182"/>
      <c r="AZ462" s="182"/>
      <c r="BA462" s="182"/>
      <c r="BB462" s="182"/>
      <c r="BC462" s="182"/>
      <c r="BD462" s="182"/>
      <c r="BE462" s="182"/>
      <c r="BF462" s="182"/>
      <c r="BG462" s="182"/>
      <c r="BH462" s="182"/>
      <c r="BI462" s="182"/>
      <c r="BJ462" s="182"/>
      <c r="BK462" s="182"/>
      <c r="BL462" s="182"/>
      <c r="BM462" s="182"/>
      <c r="BN462" s="182"/>
      <c r="BO462" s="182"/>
      <c r="BP462" s="182"/>
      <c r="BQ462" s="182"/>
      <c r="BR462" s="182"/>
      <c r="BS462" s="182"/>
      <c r="BT462" s="182"/>
      <c r="BU462" s="182"/>
      <c r="BV462" s="182"/>
      <c r="BW462" s="182"/>
      <c r="BX462" s="182"/>
      <c r="BY462" s="182"/>
      <c r="BZ462" s="182"/>
      <c r="CA462" s="182"/>
      <c r="CB462" s="185">
        <v>10086.719999999999</v>
      </c>
      <c r="CC462" s="185">
        <v>0</v>
      </c>
      <c r="CD462" s="185">
        <v>1818</v>
      </c>
      <c r="CE462" s="185"/>
    </row>
    <row r="463" spans="2:83" x14ac:dyDescent="0.3">
      <c r="B463" s="182">
        <v>3432</v>
      </c>
      <c r="C463" s="182">
        <v>1819</v>
      </c>
      <c r="D463" s="182" t="s">
        <v>78</v>
      </c>
      <c r="E463" s="181" t="s">
        <v>1204</v>
      </c>
      <c r="F463" s="182"/>
      <c r="G463" s="182">
        <v>5057.0200000000004</v>
      </c>
      <c r="H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2"/>
      <c r="X463" s="182"/>
      <c r="Y463" s="182"/>
      <c r="Z463" s="182"/>
      <c r="AA463" s="182"/>
      <c r="AB463" s="182"/>
      <c r="AC463" s="182"/>
      <c r="AD463" s="182"/>
      <c r="AE463" s="182"/>
      <c r="AF463" s="182"/>
      <c r="AG463" s="182"/>
      <c r="AH463" s="182"/>
      <c r="AI463" s="182"/>
      <c r="AJ463" s="182"/>
      <c r="AK463" s="182"/>
      <c r="AL463" s="182"/>
      <c r="AM463" s="182"/>
      <c r="AN463" s="182"/>
      <c r="AO463" s="182"/>
      <c r="AP463" s="182"/>
      <c r="AQ463" s="185">
        <v>5057.0200000000004</v>
      </c>
      <c r="AR463" s="182">
        <v>4378.22</v>
      </c>
      <c r="AS463" s="182">
        <v>532.9</v>
      </c>
      <c r="AT463" s="182">
        <v>145.9</v>
      </c>
      <c r="AU463" s="182"/>
      <c r="AV463" s="182"/>
      <c r="AW463" s="182"/>
      <c r="AX463" s="182"/>
      <c r="AY463" s="182"/>
      <c r="AZ463" s="182"/>
      <c r="BA463" s="182"/>
      <c r="BB463" s="182"/>
      <c r="BC463" s="182"/>
      <c r="BD463" s="182"/>
      <c r="BE463" s="182"/>
      <c r="BF463" s="182"/>
      <c r="BG463" s="182"/>
      <c r="BH463" s="182"/>
      <c r="BI463" s="182"/>
      <c r="BJ463" s="182"/>
      <c r="BK463" s="182"/>
      <c r="BL463" s="182"/>
      <c r="BM463" s="182"/>
      <c r="BN463" s="182"/>
      <c r="BO463" s="182"/>
      <c r="BP463" s="182"/>
      <c r="BQ463" s="182"/>
      <c r="BR463" s="182"/>
      <c r="BS463" s="182"/>
      <c r="BT463" s="182"/>
      <c r="BU463" s="182"/>
      <c r="BV463" s="182"/>
      <c r="BW463" s="182"/>
      <c r="BX463" s="182"/>
      <c r="BY463" s="182"/>
      <c r="BZ463" s="182"/>
      <c r="CA463" s="182"/>
      <c r="CB463" s="185">
        <v>5057.0199999999995</v>
      </c>
      <c r="CC463" s="185">
        <v>0</v>
      </c>
      <c r="CD463" s="185">
        <v>1819</v>
      </c>
      <c r="CE463" s="185"/>
    </row>
    <row r="464" spans="2:83" x14ac:dyDescent="0.3">
      <c r="B464" s="182">
        <v>3431</v>
      </c>
      <c r="C464" s="182">
        <v>1820</v>
      </c>
      <c r="D464" s="182" t="s">
        <v>78</v>
      </c>
      <c r="E464" s="181" t="s">
        <v>1204</v>
      </c>
      <c r="F464" s="182"/>
      <c r="G464" s="182">
        <v>40528.449999999997</v>
      </c>
      <c r="H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2"/>
      <c r="X464" s="182"/>
      <c r="Y464" s="182"/>
      <c r="Z464" s="182"/>
      <c r="AA464" s="182"/>
      <c r="AB464" s="182"/>
      <c r="AC464" s="182"/>
      <c r="AD464" s="182"/>
      <c r="AE464" s="182"/>
      <c r="AF464" s="182"/>
      <c r="AG464" s="182"/>
      <c r="AH464" s="182"/>
      <c r="AI464" s="182"/>
      <c r="AJ464" s="182"/>
      <c r="AK464" s="182"/>
      <c r="AL464" s="182"/>
      <c r="AM464" s="182"/>
      <c r="AN464" s="182"/>
      <c r="AO464" s="182"/>
      <c r="AP464" s="182"/>
      <c r="AQ464" s="185">
        <v>40528.449999999997</v>
      </c>
      <c r="AR464" s="182">
        <v>33836.01</v>
      </c>
      <c r="AS464" s="182">
        <v>4174.0200000000004</v>
      </c>
      <c r="AT464" s="182">
        <v>2518.42</v>
      </c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/>
      <c r="BI464" s="182"/>
      <c r="BJ464" s="182"/>
      <c r="BK464" s="182"/>
      <c r="BL464" s="182"/>
      <c r="BM464" s="182"/>
      <c r="BN464" s="182"/>
      <c r="BO464" s="182"/>
      <c r="BP464" s="182"/>
      <c r="BQ464" s="182"/>
      <c r="BR464" s="182"/>
      <c r="BS464" s="182"/>
      <c r="BT464" s="182"/>
      <c r="BU464" s="182"/>
      <c r="BV464" s="182"/>
      <c r="BW464" s="182"/>
      <c r="BX464" s="182"/>
      <c r="BY464" s="182"/>
      <c r="BZ464" s="182"/>
      <c r="CA464" s="182"/>
      <c r="CB464" s="185">
        <v>40528.449999999997</v>
      </c>
      <c r="CC464" s="185">
        <v>0</v>
      </c>
      <c r="CD464" s="185">
        <v>1820</v>
      </c>
      <c r="CE464" s="185"/>
    </row>
    <row r="465" spans="2:83" x14ac:dyDescent="0.3">
      <c r="B465" s="182">
        <v>3433</v>
      </c>
      <c r="C465" s="182">
        <v>1821</v>
      </c>
      <c r="D465" s="182" t="s">
        <v>78</v>
      </c>
      <c r="E465" s="181" t="s">
        <v>1204</v>
      </c>
      <c r="F465" s="182"/>
      <c r="G465" s="182">
        <v>3574.63</v>
      </c>
      <c r="H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2"/>
      <c r="X465" s="182"/>
      <c r="Y465" s="182"/>
      <c r="Z465" s="182"/>
      <c r="AA465" s="182"/>
      <c r="AB465" s="182"/>
      <c r="AC465" s="182"/>
      <c r="AD465" s="182"/>
      <c r="AE465" s="182"/>
      <c r="AF465" s="182"/>
      <c r="AG465" s="182"/>
      <c r="AH465" s="182"/>
      <c r="AI465" s="182"/>
      <c r="AJ465" s="182"/>
      <c r="AK465" s="182"/>
      <c r="AL465" s="182"/>
      <c r="AM465" s="182"/>
      <c r="AN465" s="182"/>
      <c r="AO465" s="182"/>
      <c r="AP465" s="182"/>
      <c r="AQ465" s="185">
        <v>3574.63</v>
      </c>
      <c r="AR465" s="182">
        <v>3190.72</v>
      </c>
      <c r="AS465" s="182">
        <v>383.91</v>
      </c>
      <c r="AT465" s="182"/>
      <c r="AU465" s="182"/>
      <c r="AV465" s="182"/>
      <c r="AW465" s="182"/>
      <c r="AX465" s="182"/>
      <c r="AY465" s="182"/>
      <c r="AZ465" s="182"/>
      <c r="BA465" s="182"/>
      <c r="BB465" s="182"/>
      <c r="BC465" s="182"/>
      <c r="BD465" s="182"/>
      <c r="BE465" s="182"/>
      <c r="BF465" s="182"/>
      <c r="BG465" s="182"/>
      <c r="BH465" s="182"/>
      <c r="BI465" s="182"/>
      <c r="BJ465" s="182"/>
      <c r="BK465" s="182"/>
      <c r="BL465" s="182"/>
      <c r="BM465" s="182"/>
      <c r="BN465" s="182"/>
      <c r="BO465" s="182"/>
      <c r="BP465" s="182"/>
      <c r="BQ465" s="182"/>
      <c r="BR465" s="182"/>
      <c r="BS465" s="182"/>
      <c r="BT465" s="182"/>
      <c r="BU465" s="182"/>
      <c r="BV465" s="182"/>
      <c r="BW465" s="182"/>
      <c r="BX465" s="182"/>
      <c r="BY465" s="182"/>
      <c r="BZ465" s="182"/>
      <c r="CA465" s="182"/>
      <c r="CB465" s="185">
        <v>3574.6299999999997</v>
      </c>
      <c r="CC465" s="185">
        <v>0</v>
      </c>
      <c r="CD465" s="185">
        <v>1821</v>
      </c>
      <c r="CE465" s="185"/>
    </row>
    <row r="466" spans="2:83" x14ac:dyDescent="0.3">
      <c r="B466" s="182">
        <v>3429</v>
      </c>
      <c r="C466" s="182">
        <v>1822</v>
      </c>
      <c r="D466" s="182" t="s">
        <v>78</v>
      </c>
      <c r="E466" s="181" t="s">
        <v>1204</v>
      </c>
      <c r="F466" s="182"/>
      <c r="G466" s="182">
        <v>7401.28</v>
      </c>
      <c r="H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2"/>
      <c r="X466" s="182"/>
      <c r="Y466" s="182"/>
      <c r="Z466" s="182"/>
      <c r="AA466" s="182"/>
      <c r="AB466" s="182"/>
      <c r="AC466" s="182"/>
      <c r="AD466" s="182"/>
      <c r="AE466" s="182"/>
      <c r="AF466" s="182"/>
      <c r="AG466" s="182"/>
      <c r="AH466" s="182"/>
      <c r="AI466" s="182"/>
      <c r="AJ466" s="182"/>
      <c r="AK466" s="182"/>
      <c r="AL466" s="182"/>
      <c r="AM466" s="182"/>
      <c r="AN466" s="182"/>
      <c r="AO466" s="182"/>
      <c r="AP466" s="182"/>
      <c r="AQ466" s="185">
        <v>7401.28</v>
      </c>
      <c r="AR466" s="182">
        <v>5560.88</v>
      </c>
      <c r="AS466" s="182">
        <v>714.75</v>
      </c>
      <c r="AT466" s="182">
        <v>1125.6500000000001</v>
      </c>
      <c r="AU466" s="182"/>
      <c r="AV466" s="182"/>
      <c r="AW466" s="182"/>
      <c r="AX466" s="182"/>
      <c r="AY466" s="182"/>
      <c r="AZ466" s="182"/>
      <c r="BA466" s="182"/>
      <c r="BB466" s="182"/>
      <c r="BC466" s="182"/>
      <c r="BD466" s="182"/>
      <c r="BE466" s="182"/>
      <c r="BF466" s="182"/>
      <c r="BG466" s="182"/>
      <c r="BH466" s="182"/>
      <c r="BI466" s="182"/>
      <c r="BJ466" s="182"/>
      <c r="BK466" s="182"/>
      <c r="BL466" s="182"/>
      <c r="BM466" s="182"/>
      <c r="BN466" s="182"/>
      <c r="BO466" s="182"/>
      <c r="BP466" s="182"/>
      <c r="BQ466" s="182"/>
      <c r="BR466" s="182"/>
      <c r="BS466" s="182"/>
      <c r="BT466" s="182"/>
      <c r="BU466" s="182"/>
      <c r="BV466" s="182"/>
      <c r="BW466" s="182"/>
      <c r="BX466" s="182"/>
      <c r="BY466" s="182"/>
      <c r="BZ466" s="182"/>
      <c r="CA466" s="182"/>
      <c r="CB466" s="185">
        <v>7401.2800000000007</v>
      </c>
      <c r="CC466" s="185">
        <v>0</v>
      </c>
      <c r="CD466" s="185">
        <v>1822</v>
      </c>
      <c r="CE466" s="185"/>
    </row>
    <row r="467" spans="2:83" x14ac:dyDescent="0.3">
      <c r="B467" s="182">
        <v>3430</v>
      </c>
      <c r="C467" s="182">
        <v>1823</v>
      </c>
      <c r="D467" s="182" t="s">
        <v>78</v>
      </c>
      <c r="E467" s="181" t="s">
        <v>1204</v>
      </c>
      <c r="F467" s="182"/>
      <c r="G467" s="182">
        <v>8773.61</v>
      </c>
      <c r="H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2"/>
      <c r="X467" s="182"/>
      <c r="Y467" s="182"/>
      <c r="Z467" s="182"/>
      <c r="AA467" s="182"/>
      <c r="AB467" s="182"/>
      <c r="AC467" s="182"/>
      <c r="AD467" s="182"/>
      <c r="AE467" s="182"/>
      <c r="AF467" s="182"/>
      <c r="AG467" s="182"/>
      <c r="AH467" s="182"/>
      <c r="AI467" s="182"/>
      <c r="AJ467" s="182"/>
      <c r="AK467" s="182"/>
      <c r="AL467" s="182"/>
      <c r="AM467" s="182"/>
      <c r="AN467" s="182"/>
      <c r="AO467" s="182"/>
      <c r="AP467" s="182"/>
      <c r="AQ467" s="185">
        <v>8773.61</v>
      </c>
      <c r="AR467" s="182">
        <v>7532.75</v>
      </c>
      <c r="AS467" s="182">
        <v>918.95</v>
      </c>
      <c r="AT467" s="182">
        <v>321.91000000000003</v>
      </c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182"/>
      <c r="BK467" s="182"/>
      <c r="BL467" s="182"/>
      <c r="BM467" s="182"/>
      <c r="BN467" s="182"/>
      <c r="BO467" s="182"/>
      <c r="BP467" s="182"/>
      <c r="BQ467" s="182"/>
      <c r="BR467" s="182"/>
      <c r="BS467" s="182"/>
      <c r="BT467" s="182"/>
      <c r="BU467" s="182"/>
      <c r="BV467" s="182"/>
      <c r="BW467" s="182"/>
      <c r="BX467" s="182"/>
      <c r="BY467" s="182"/>
      <c r="BZ467" s="182"/>
      <c r="CA467" s="182"/>
      <c r="CB467" s="185">
        <v>8773.61</v>
      </c>
      <c r="CC467" s="185">
        <v>0</v>
      </c>
      <c r="CD467" s="185">
        <v>1823</v>
      </c>
      <c r="CE467" s="185"/>
    </row>
    <row r="468" spans="2:83" x14ac:dyDescent="0.3">
      <c r="B468" s="182">
        <v>3435</v>
      </c>
      <c r="C468" s="182">
        <v>1824</v>
      </c>
      <c r="D468" s="182" t="s">
        <v>78</v>
      </c>
      <c r="E468" s="181" t="s">
        <v>1204</v>
      </c>
      <c r="F468" s="182"/>
      <c r="G468" s="182">
        <v>5502.06</v>
      </c>
      <c r="H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2"/>
      <c r="X468" s="182"/>
      <c r="Y468" s="182"/>
      <c r="Z468" s="182"/>
      <c r="AA468" s="182"/>
      <c r="AB468" s="182"/>
      <c r="AC468" s="182"/>
      <c r="AD468" s="182"/>
      <c r="AE468" s="182"/>
      <c r="AF468" s="182"/>
      <c r="AG468" s="182"/>
      <c r="AH468" s="182"/>
      <c r="AI468" s="182"/>
      <c r="AJ468" s="182"/>
      <c r="AK468" s="182"/>
      <c r="AL468" s="182"/>
      <c r="AM468" s="182"/>
      <c r="AN468" s="182"/>
      <c r="AO468" s="182"/>
      <c r="AP468" s="182"/>
      <c r="AQ468" s="185">
        <v>5502.06</v>
      </c>
      <c r="AR468" s="182">
        <v>4441.51</v>
      </c>
      <c r="AS468" s="182">
        <v>555.41</v>
      </c>
      <c r="AT468" s="182">
        <v>505.14</v>
      </c>
      <c r="AU468" s="182"/>
      <c r="AV468" s="182"/>
      <c r="AW468" s="182"/>
      <c r="AX468" s="182"/>
      <c r="AY468" s="182"/>
      <c r="AZ468" s="182"/>
      <c r="BA468" s="182"/>
      <c r="BB468" s="182"/>
      <c r="BC468" s="182"/>
      <c r="BD468" s="182"/>
      <c r="BE468" s="182"/>
      <c r="BF468" s="182"/>
      <c r="BG468" s="182"/>
      <c r="BH468" s="182"/>
      <c r="BI468" s="182"/>
      <c r="BJ468" s="182"/>
      <c r="BK468" s="182"/>
      <c r="BL468" s="182"/>
      <c r="BM468" s="182"/>
      <c r="BN468" s="182"/>
      <c r="BO468" s="182"/>
      <c r="BP468" s="182"/>
      <c r="BQ468" s="182"/>
      <c r="BR468" s="182"/>
      <c r="BS468" s="182"/>
      <c r="BT468" s="182"/>
      <c r="BU468" s="182"/>
      <c r="BV468" s="182"/>
      <c r="BW468" s="182"/>
      <c r="BX468" s="182"/>
      <c r="BY468" s="182"/>
      <c r="BZ468" s="182"/>
      <c r="CA468" s="182"/>
      <c r="CB468" s="185">
        <v>5502.06</v>
      </c>
      <c r="CC468" s="185">
        <v>0</v>
      </c>
      <c r="CD468" s="185">
        <v>1824</v>
      </c>
      <c r="CE468" s="185"/>
    </row>
    <row r="469" spans="2:83" x14ac:dyDescent="0.3">
      <c r="B469" s="182">
        <v>3434</v>
      </c>
      <c r="C469" s="182">
        <v>1825</v>
      </c>
      <c r="D469" s="182" t="s">
        <v>78</v>
      </c>
      <c r="E469" s="181" t="s">
        <v>1204</v>
      </c>
      <c r="F469" s="182"/>
      <c r="G469" s="182">
        <v>4559.28</v>
      </c>
      <c r="H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2"/>
      <c r="X469" s="182"/>
      <c r="Y469" s="182"/>
      <c r="Z469" s="182"/>
      <c r="AA469" s="182"/>
      <c r="AB469" s="182"/>
      <c r="AC469" s="182"/>
      <c r="AD469" s="182"/>
      <c r="AE469" s="182"/>
      <c r="AF469" s="182"/>
      <c r="AG469" s="182"/>
      <c r="AH469" s="182"/>
      <c r="AI469" s="182"/>
      <c r="AJ469" s="182"/>
      <c r="AK469" s="182"/>
      <c r="AL469" s="182"/>
      <c r="AM469" s="182"/>
      <c r="AN469" s="182"/>
      <c r="AO469" s="182"/>
      <c r="AP469" s="182"/>
      <c r="AQ469" s="185">
        <v>4559.28</v>
      </c>
      <c r="AR469" s="182">
        <v>3138.92</v>
      </c>
      <c r="AS469" s="182">
        <v>420.85</v>
      </c>
      <c r="AT469" s="182">
        <v>999.51</v>
      </c>
      <c r="AU469" s="182"/>
      <c r="AV469" s="182"/>
      <c r="AW469" s="182"/>
      <c r="AX469" s="182"/>
      <c r="AY469" s="182"/>
      <c r="AZ469" s="182"/>
      <c r="BA469" s="182"/>
      <c r="BB469" s="182"/>
      <c r="BC469" s="182"/>
      <c r="BD469" s="182"/>
      <c r="BE469" s="182"/>
      <c r="BF469" s="182"/>
      <c r="BG469" s="182"/>
      <c r="BH469" s="182"/>
      <c r="BI469" s="182"/>
      <c r="BJ469" s="182"/>
      <c r="BK469" s="182"/>
      <c r="BL469" s="182"/>
      <c r="BM469" s="182"/>
      <c r="BN469" s="182"/>
      <c r="BO469" s="182"/>
      <c r="BP469" s="182"/>
      <c r="BQ469" s="182"/>
      <c r="BR469" s="182"/>
      <c r="BS469" s="182"/>
      <c r="BT469" s="182"/>
      <c r="BU469" s="182"/>
      <c r="BV469" s="182"/>
      <c r="BW469" s="182"/>
      <c r="BX469" s="182"/>
      <c r="BY469" s="182"/>
      <c r="BZ469" s="182"/>
      <c r="CA469" s="182"/>
      <c r="CB469" s="185">
        <v>4559.28</v>
      </c>
      <c r="CC469" s="185">
        <v>0</v>
      </c>
      <c r="CD469" s="185">
        <v>1825</v>
      </c>
      <c r="CE469" s="185"/>
    </row>
    <row r="470" spans="2:83" x14ac:dyDescent="0.3">
      <c r="B470" s="182">
        <v>3459</v>
      </c>
      <c r="C470" s="182">
        <v>1826</v>
      </c>
      <c r="D470" s="182" t="s">
        <v>78</v>
      </c>
      <c r="E470" s="181" t="s">
        <v>1204</v>
      </c>
      <c r="F470" s="182"/>
      <c r="G470" s="182">
        <v>1768.25</v>
      </c>
      <c r="H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2"/>
      <c r="X470" s="182"/>
      <c r="Y470" s="182"/>
      <c r="Z470" s="182"/>
      <c r="AA470" s="182"/>
      <c r="AB470" s="182"/>
      <c r="AC470" s="182"/>
      <c r="AD470" s="182"/>
      <c r="AE470" s="182"/>
      <c r="AF470" s="182"/>
      <c r="AG470" s="182"/>
      <c r="AH470" s="182"/>
      <c r="AI470" s="182"/>
      <c r="AJ470" s="182"/>
      <c r="AK470" s="182"/>
      <c r="AL470" s="182"/>
      <c r="AM470" s="182"/>
      <c r="AN470" s="182"/>
      <c r="AO470" s="182"/>
      <c r="AP470" s="182"/>
      <c r="AQ470" s="185">
        <v>1768.25</v>
      </c>
      <c r="AR470" s="182">
        <v>1578.52</v>
      </c>
      <c r="AS470" s="182">
        <v>189.73</v>
      </c>
      <c r="AT470" s="182"/>
      <c r="AU470" s="182"/>
      <c r="AV470" s="182"/>
      <c r="AW470" s="182"/>
      <c r="AX470" s="182"/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182"/>
      <c r="BK470" s="182"/>
      <c r="BL470" s="182"/>
      <c r="BM470" s="182"/>
      <c r="BN470" s="182"/>
      <c r="BO470" s="182"/>
      <c r="BP470" s="182"/>
      <c r="BQ470" s="182"/>
      <c r="BR470" s="182"/>
      <c r="BS470" s="182"/>
      <c r="BT470" s="182"/>
      <c r="BU470" s="182"/>
      <c r="BV470" s="182"/>
      <c r="BW470" s="182"/>
      <c r="BX470" s="182"/>
      <c r="BY470" s="182"/>
      <c r="BZ470" s="182"/>
      <c r="CA470" s="182"/>
      <c r="CB470" s="185">
        <v>1768.25</v>
      </c>
      <c r="CC470" s="185">
        <v>0</v>
      </c>
      <c r="CD470" s="185">
        <v>1826</v>
      </c>
      <c r="CE470" s="185"/>
    </row>
    <row r="471" spans="2:83" x14ac:dyDescent="0.3">
      <c r="B471" s="182">
        <v>3458</v>
      </c>
      <c r="C471" s="182">
        <v>1827</v>
      </c>
      <c r="D471" s="182" t="s">
        <v>78</v>
      </c>
      <c r="E471" s="181" t="s">
        <v>1204</v>
      </c>
      <c r="F471" s="182"/>
      <c r="G471" s="182">
        <v>4972.05</v>
      </c>
      <c r="H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2"/>
      <c r="X471" s="182"/>
      <c r="Y471" s="182"/>
      <c r="Z471" s="182"/>
      <c r="AA471" s="182"/>
      <c r="AB471" s="182"/>
      <c r="AC471" s="182"/>
      <c r="AD471" s="182"/>
      <c r="AE471" s="182"/>
      <c r="AF471" s="182"/>
      <c r="AG471" s="182"/>
      <c r="AH471" s="182"/>
      <c r="AI471" s="182"/>
      <c r="AJ471" s="182"/>
      <c r="AK471" s="182"/>
      <c r="AL471" s="182"/>
      <c r="AM471" s="182"/>
      <c r="AN471" s="182"/>
      <c r="AO471" s="182"/>
      <c r="AP471" s="182"/>
      <c r="AQ471" s="185">
        <v>4972.05</v>
      </c>
      <c r="AR471" s="182">
        <v>4438.29</v>
      </c>
      <c r="AS471" s="182">
        <v>533.76</v>
      </c>
      <c r="AT471" s="182"/>
      <c r="AU471" s="182"/>
      <c r="AV471" s="182"/>
      <c r="AW471" s="182"/>
      <c r="AX471" s="182"/>
      <c r="AY471" s="182"/>
      <c r="AZ471" s="182"/>
      <c r="BA471" s="182"/>
      <c r="BB471" s="182"/>
      <c r="BC471" s="182"/>
      <c r="BD471" s="182"/>
      <c r="BE471" s="182"/>
      <c r="BF471" s="182"/>
      <c r="BG471" s="182"/>
      <c r="BH471" s="182"/>
      <c r="BI471" s="182"/>
      <c r="BJ471" s="182"/>
      <c r="BK471" s="182"/>
      <c r="BL471" s="182"/>
      <c r="BM471" s="182"/>
      <c r="BN471" s="182"/>
      <c r="BO471" s="182"/>
      <c r="BP471" s="182"/>
      <c r="BQ471" s="182"/>
      <c r="BR471" s="182"/>
      <c r="BS471" s="182"/>
      <c r="BT471" s="182"/>
      <c r="BU471" s="182"/>
      <c r="BV471" s="182"/>
      <c r="BW471" s="182"/>
      <c r="BX471" s="182"/>
      <c r="BY471" s="182"/>
      <c r="BZ471" s="182"/>
      <c r="CA471" s="182"/>
      <c r="CB471" s="185">
        <v>4972.05</v>
      </c>
      <c r="CC471" s="185">
        <v>0</v>
      </c>
      <c r="CD471" s="185">
        <v>1827</v>
      </c>
      <c r="CE471" s="185"/>
    </row>
    <row r="472" spans="2:83" x14ac:dyDescent="0.3">
      <c r="B472" s="182">
        <v>3457</v>
      </c>
      <c r="C472" s="182">
        <v>1828</v>
      </c>
      <c r="D472" s="182" t="s">
        <v>78</v>
      </c>
      <c r="E472" s="181" t="s">
        <v>1204</v>
      </c>
      <c r="F472" s="182"/>
      <c r="G472" s="182">
        <v>5403.59</v>
      </c>
      <c r="H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2"/>
      <c r="X472" s="182"/>
      <c r="Y472" s="182"/>
      <c r="Z472" s="182"/>
      <c r="AA472" s="182"/>
      <c r="AB472" s="182"/>
      <c r="AC472" s="182"/>
      <c r="AD472" s="182"/>
      <c r="AE472" s="182"/>
      <c r="AF472" s="182"/>
      <c r="AG472" s="182"/>
      <c r="AH472" s="182"/>
      <c r="AI472" s="182"/>
      <c r="AJ472" s="182"/>
      <c r="AK472" s="182"/>
      <c r="AL472" s="182"/>
      <c r="AM472" s="182"/>
      <c r="AN472" s="182"/>
      <c r="AO472" s="182"/>
      <c r="AP472" s="182"/>
      <c r="AQ472" s="185">
        <v>5403.59</v>
      </c>
      <c r="AR472" s="182">
        <v>4823.43</v>
      </c>
      <c r="AS472" s="182">
        <v>580.16</v>
      </c>
      <c r="AT472" s="182"/>
      <c r="AU472" s="182"/>
      <c r="AV472" s="182"/>
      <c r="AW472" s="182"/>
      <c r="AX472" s="182"/>
      <c r="AY472" s="182"/>
      <c r="AZ472" s="182"/>
      <c r="BA472" s="182"/>
      <c r="BB472" s="182"/>
      <c r="BC472" s="182"/>
      <c r="BD472" s="182"/>
      <c r="BE472" s="182"/>
      <c r="BF472" s="182"/>
      <c r="BG472" s="182"/>
      <c r="BH472" s="182"/>
      <c r="BI472" s="182"/>
      <c r="BJ472" s="182"/>
      <c r="BK472" s="182"/>
      <c r="BL472" s="182"/>
      <c r="BM472" s="182"/>
      <c r="BN472" s="182"/>
      <c r="BO472" s="182"/>
      <c r="BP472" s="182"/>
      <c r="BQ472" s="182"/>
      <c r="BR472" s="182"/>
      <c r="BS472" s="182"/>
      <c r="BT472" s="182"/>
      <c r="BU472" s="182"/>
      <c r="BV472" s="182"/>
      <c r="BW472" s="182"/>
      <c r="BX472" s="182"/>
      <c r="BY472" s="182"/>
      <c r="BZ472" s="182"/>
      <c r="CA472" s="182"/>
      <c r="CB472" s="185">
        <v>5403.59</v>
      </c>
      <c r="CC472" s="185">
        <v>0</v>
      </c>
      <c r="CD472" s="185">
        <v>1828</v>
      </c>
      <c r="CE472" s="185"/>
    </row>
    <row r="473" spans="2:83" x14ac:dyDescent="0.3">
      <c r="B473" s="182">
        <v>3463</v>
      </c>
      <c r="C473" s="182">
        <v>1829</v>
      </c>
      <c r="D473" s="182" t="s">
        <v>78</v>
      </c>
      <c r="E473" s="181" t="s">
        <v>1204</v>
      </c>
      <c r="F473" s="182"/>
      <c r="G473" s="182">
        <v>41984.22</v>
      </c>
      <c r="H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2"/>
      <c r="X473" s="182"/>
      <c r="Y473" s="182"/>
      <c r="Z473" s="182"/>
      <c r="AA473" s="182"/>
      <c r="AB473" s="182"/>
      <c r="AC473" s="182"/>
      <c r="AD473" s="182"/>
      <c r="AE473" s="182"/>
      <c r="AF473" s="182"/>
      <c r="AG473" s="182"/>
      <c r="AH473" s="182"/>
      <c r="AI473" s="182"/>
      <c r="AJ473" s="182"/>
      <c r="AK473" s="182"/>
      <c r="AL473" s="182"/>
      <c r="AM473" s="182"/>
      <c r="AN473" s="182"/>
      <c r="AO473" s="182"/>
      <c r="AP473" s="182"/>
      <c r="AQ473" s="185">
        <v>41984.22</v>
      </c>
      <c r="AR473" s="182">
        <v>37479.46</v>
      </c>
      <c r="AS473" s="182">
        <v>4504.76</v>
      </c>
      <c r="AT473" s="182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182"/>
      <c r="BK473" s="182"/>
      <c r="BL473" s="182"/>
      <c r="BM473" s="182"/>
      <c r="BN473" s="182"/>
      <c r="BO473" s="182"/>
      <c r="BP473" s="182"/>
      <c r="BQ473" s="182"/>
      <c r="BR473" s="182"/>
      <c r="BS473" s="182"/>
      <c r="BT473" s="182"/>
      <c r="BU473" s="182"/>
      <c r="BV473" s="182"/>
      <c r="BW473" s="182"/>
      <c r="BX473" s="182"/>
      <c r="BY473" s="182"/>
      <c r="BZ473" s="182"/>
      <c r="CA473" s="182"/>
      <c r="CB473" s="185">
        <v>41984.22</v>
      </c>
      <c r="CC473" s="185">
        <v>0</v>
      </c>
      <c r="CD473" s="185">
        <v>1829</v>
      </c>
      <c r="CE473" s="185"/>
    </row>
    <row r="474" spans="2:83" x14ac:dyDescent="0.3">
      <c r="B474" s="182">
        <v>3460</v>
      </c>
      <c r="C474" s="182">
        <v>1830</v>
      </c>
      <c r="D474" s="182" t="s">
        <v>78</v>
      </c>
      <c r="E474" s="181" t="s">
        <v>1204</v>
      </c>
      <c r="F474" s="182"/>
      <c r="G474" s="182">
        <v>5675.21</v>
      </c>
      <c r="H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2"/>
      <c r="X474" s="182"/>
      <c r="Y474" s="182"/>
      <c r="Z474" s="182"/>
      <c r="AA474" s="182"/>
      <c r="AB474" s="182"/>
      <c r="AC474" s="182"/>
      <c r="AD474" s="182"/>
      <c r="AE474" s="182"/>
      <c r="AF474" s="182"/>
      <c r="AG474" s="182"/>
      <c r="AH474" s="182"/>
      <c r="AI474" s="182"/>
      <c r="AJ474" s="182"/>
      <c r="AK474" s="182"/>
      <c r="AL474" s="182"/>
      <c r="AM474" s="182"/>
      <c r="AN474" s="182"/>
      <c r="AO474" s="182"/>
      <c r="AP474" s="182"/>
      <c r="AQ474" s="185">
        <v>5675.21</v>
      </c>
      <c r="AR474" s="182">
        <v>5066.1899999999996</v>
      </c>
      <c r="AS474" s="182">
        <v>609.02</v>
      </c>
      <c r="AT474" s="182"/>
      <c r="AU474" s="182"/>
      <c r="AV474" s="182"/>
      <c r="AW474" s="182"/>
      <c r="AX474" s="182"/>
      <c r="AY474" s="182"/>
      <c r="AZ474" s="182"/>
      <c r="BA474" s="182"/>
      <c r="BB474" s="182"/>
      <c r="BC474" s="182"/>
      <c r="BD474" s="182"/>
      <c r="BE474" s="182"/>
      <c r="BF474" s="182"/>
      <c r="BG474" s="182"/>
      <c r="BH474" s="182"/>
      <c r="BI474" s="182"/>
      <c r="BJ474" s="182"/>
      <c r="BK474" s="182"/>
      <c r="BL474" s="182"/>
      <c r="BM474" s="182"/>
      <c r="BN474" s="182"/>
      <c r="BO474" s="182"/>
      <c r="BP474" s="182"/>
      <c r="BQ474" s="182"/>
      <c r="BR474" s="182"/>
      <c r="BS474" s="182"/>
      <c r="BT474" s="182"/>
      <c r="BU474" s="182"/>
      <c r="BV474" s="182"/>
      <c r="BW474" s="182"/>
      <c r="BX474" s="182"/>
      <c r="BY474" s="182"/>
      <c r="BZ474" s="182"/>
      <c r="CA474" s="182"/>
      <c r="CB474" s="185">
        <v>5675.2099999999991</v>
      </c>
      <c r="CC474" s="185">
        <v>0</v>
      </c>
      <c r="CD474" s="185">
        <v>1830</v>
      </c>
      <c r="CE474" s="185"/>
    </row>
    <row r="475" spans="2:83" x14ac:dyDescent="0.3">
      <c r="B475" s="182">
        <v>3461</v>
      </c>
      <c r="C475" s="182">
        <v>1831</v>
      </c>
      <c r="D475" s="182" t="s">
        <v>78</v>
      </c>
      <c r="E475" s="181" t="s">
        <v>1204</v>
      </c>
      <c r="F475" s="182"/>
      <c r="G475" s="182">
        <v>7956.58</v>
      </c>
      <c r="H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2"/>
      <c r="X475" s="182"/>
      <c r="Y475" s="182"/>
      <c r="Z475" s="182"/>
      <c r="AA475" s="182"/>
      <c r="AB475" s="182"/>
      <c r="AC475" s="182"/>
      <c r="AD475" s="182"/>
      <c r="AE475" s="182"/>
      <c r="AF475" s="182"/>
      <c r="AG475" s="182"/>
      <c r="AH475" s="182"/>
      <c r="AI475" s="182"/>
      <c r="AJ475" s="182"/>
      <c r="AK475" s="182"/>
      <c r="AL475" s="182"/>
      <c r="AM475" s="182"/>
      <c r="AN475" s="182"/>
      <c r="AO475" s="182"/>
      <c r="AP475" s="182"/>
      <c r="AQ475" s="185">
        <v>7956.58</v>
      </c>
      <c r="AR475" s="182">
        <v>7103.99</v>
      </c>
      <c r="AS475" s="182">
        <v>852.59</v>
      </c>
      <c r="AT475" s="182"/>
      <c r="AU475" s="182"/>
      <c r="AV475" s="182"/>
      <c r="AW475" s="182"/>
      <c r="AX475" s="182"/>
      <c r="AY475" s="182"/>
      <c r="AZ475" s="182"/>
      <c r="BA475" s="182"/>
      <c r="BB475" s="182"/>
      <c r="BC475" s="182"/>
      <c r="BD475" s="182"/>
      <c r="BE475" s="182"/>
      <c r="BF475" s="182"/>
      <c r="BG475" s="182"/>
      <c r="BH475" s="182"/>
      <c r="BI475" s="182"/>
      <c r="BJ475" s="182"/>
      <c r="BK475" s="182"/>
      <c r="BL475" s="182"/>
      <c r="BM475" s="182"/>
      <c r="BN475" s="182"/>
      <c r="BO475" s="182"/>
      <c r="BP475" s="182"/>
      <c r="BQ475" s="182"/>
      <c r="BR475" s="182"/>
      <c r="BS475" s="182"/>
      <c r="BT475" s="182"/>
      <c r="BU475" s="182"/>
      <c r="BV475" s="182"/>
      <c r="BW475" s="182"/>
      <c r="BX475" s="182"/>
      <c r="BY475" s="182"/>
      <c r="BZ475" s="182"/>
      <c r="CA475" s="182"/>
      <c r="CB475" s="185">
        <v>7956.58</v>
      </c>
      <c r="CC475" s="185">
        <v>0</v>
      </c>
      <c r="CD475" s="185">
        <v>1831</v>
      </c>
      <c r="CE475" s="185"/>
    </row>
    <row r="476" spans="2:83" x14ac:dyDescent="0.3">
      <c r="B476" s="182">
        <v>3462</v>
      </c>
      <c r="C476" s="182">
        <v>1832</v>
      </c>
      <c r="D476" s="182" t="s">
        <v>78</v>
      </c>
      <c r="E476" s="181" t="s">
        <v>1204</v>
      </c>
      <c r="F476" s="182"/>
      <c r="G476" s="182">
        <v>9540.0499999999993</v>
      </c>
      <c r="H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2"/>
      <c r="X476" s="182"/>
      <c r="Y476" s="182"/>
      <c r="Z476" s="182"/>
      <c r="AA476" s="182"/>
      <c r="AB476" s="182"/>
      <c r="AC476" s="182"/>
      <c r="AD476" s="182"/>
      <c r="AE476" s="182"/>
      <c r="AF476" s="182"/>
      <c r="AG476" s="182"/>
      <c r="AH476" s="182"/>
      <c r="AI476" s="182"/>
      <c r="AJ476" s="182"/>
      <c r="AK476" s="182"/>
      <c r="AL476" s="182"/>
      <c r="AM476" s="182"/>
      <c r="AN476" s="182"/>
      <c r="AO476" s="182"/>
      <c r="AP476" s="182"/>
      <c r="AQ476" s="185">
        <v>9540.0499999999993</v>
      </c>
      <c r="AR476" s="182">
        <v>8516.25</v>
      </c>
      <c r="AS476" s="182">
        <v>1023.8</v>
      </c>
      <c r="AT476" s="182"/>
      <c r="AU476" s="182"/>
      <c r="AV476" s="182"/>
      <c r="AW476" s="182"/>
      <c r="AX476" s="182"/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/>
      <c r="BI476" s="182"/>
      <c r="BJ476" s="182"/>
      <c r="BK476" s="182"/>
      <c r="BL476" s="182"/>
      <c r="BM476" s="182"/>
      <c r="BN476" s="182"/>
      <c r="BO476" s="182"/>
      <c r="BP476" s="182"/>
      <c r="BQ476" s="182"/>
      <c r="BR476" s="182"/>
      <c r="BS476" s="182"/>
      <c r="BT476" s="182"/>
      <c r="BU476" s="182"/>
      <c r="BV476" s="182"/>
      <c r="BW476" s="182"/>
      <c r="BX476" s="182"/>
      <c r="BY476" s="182"/>
      <c r="BZ476" s="182"/>
      <c r="CA476" s="182"/>
      <c r="CB476" s="185">
        <v>9540.0499999999993</v>
      </c>
      <c r="CC476" s="185">
        <v>0</v>
      </c>
      <c r="CD476" s="185">
        <v>1832</v>
      </c>
      <c r="CE476" s="185"/>
    </row>
    <row r="477" spans="2:83" x14ac:dyDescent="0.3">
      <c r="B477" s="182">
        <v>3428</v>
      </c>
      <c r="C477" s="182">
        <v>1833</v>
      </c>
      <c r="D477" s="182" t="s">
        <v>78</v>
      </c>
      <c r="E477" s="181" t="s">
        <v>1204</v>
      </c>
      <c r="F477" s="182"/>
      <c r="G477" s="182">
        <v>3979.91</v>
      </c>
      <c r="H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2"/>
      <c r="X477" s="182"/>
      <c r="Y477" s="182"/>
      <c r="Z477" s="182"/>
      <c r="AA477" s="182"/>
      <c r="AB477" s="182"/>
      <c r="AC477" s="182"/>
      <c r="AD477" s="182"/>
      <c r="AE477" s="182"/>
      <c r="AF477" s="182"/>
      <c r="AG477" s="182"/>
      <c r="AH477" s="182"/>
      <c r="AI477" s="182"/>
      <c r="AJ477" s="182"/>
      <c r="AK477" s="182"/>
      <c r="AL477" s="182"/>
      <c r="AM477" s="182"/>
      <c r="AN477" s="182"/>
      <c r="AO477" s="182"/>
      <c r="AP477" s="182"/>
      <c r="AQ477" s="185">
        <v>3979.91</v>
      </c>
      <c r="AR477" s="182">
        <v>3153.71</v>
      </c>
      <c r="AS477" s="182">
        <v>398.15</v>
      </c>
      <c r="AT477" s="182">
        <v>428.05</v>
      </c>
      <c r="AU477" s="182"/>
      <c r="AV477" s="182"/>
      <c r="AW477" s="182"/>
      <c r="AX477" s="182"/>
      <c r="AY477" s="182"/>
      <c r="AZ477" s="182"/>
      <c r="BA477" s="182"/>
      <c r="BB477" s="182"/>
      <c r="BC477" s="182"/>
      <c r="BD477" s="182"/>
      <c r="BE477" s="182"/>
      <c r="BF477" s="182"/>
      <c r="BG477" s="182"/>
      <c r="BH477" s="182"/>
      <c r="BI477" s="182"/>
      <c r="BJ477" s="182"/>
      <c r="BK477" s="182"/>
      <c r="BL477" s="182"/>
      <c r="BM477" s="182"/>
      <c r="BN477" s="182"/>
      <c r="BO477" s="182"/>
      <c r="BP477" s="182"/>
      <c r="BQ477" s="182"/>
      <c r="BR477" s="182"/>
      <c r="BS477" s="182"/>
      <c r="BT477" s="182"/>
      <c r="BU477" s="182"/>
      <c r="BV477" s="182"/>
      <c r="BW477" s="182"/>
      <c r="BX477" s="182"/>
      <c r="BY477" s="182"/>
      <c r="BZ477" s="182"/>
      <c r="CA477" s="182"/>
      <c r="CB477" s="185">
        <v>3979.9100000000003</v>
      </c>
      <c r="CC477" s="185">
        <v>0</v>
      </c>
      <c r="CD477" s="185">
        <v>1833</v>
      </c>
      <c r="CE477" s="185"/>
    </row>
    <row r="478" spans="2:83" x14ac:dyDescent="0.3">
      <c r="B478" s="182">
        <v>3427</v>
      </c>
      <c r="C478" s="182">
        <v>1834</v>
      </c>
      <c r="D478" s="182" t="s">
        <v>78</v>
      </c>
      <c r="E478" s="181" t="s">
        <v>1204</v>
      </c>
      <c r="F478" s="182"/>
      <c r="G478" s="182">
        <v>9139.33</v>
      </c>
      <c r="H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2"/>
      <c r="X478" s="182"/>
      <c r="Y478" s="182"/>
      <c r="Z478" s="182"/>
      <c r="AA478" s="182"/>
      <c r="AB478" s="182"/>
      <c r="AC478" s="182"/>
      <c r="AD478" s="182"/>
      <c r="AE478" s="182"/>
      <c r="AF478" s="182"/>
      <c r="AG478" s="182"/>
      <c r="AH478" s="182"/>
      <c r="AI478" s="182"/>
      <c r="AJ478" s="182"/>
      <c r="AK478" s="182"/>
      <c r="AL478" s="182"/>
      <c r="AM478" s="182"/>
      <c r="AN478" s="182"/>
      <c r="AO478" s="182"/>
      <c r="AP478" s="182"/>
      <c r="AQ478" s="185">
        <v>9139.33</v>
      </c>
      <c r="AR478" s="182">
        <v>7114.89</v>
      </c>
      <c r="AS478" s="182">
        <v>903.49</v>
      </c>
      <c r="AT478" s="182">
        <v>1120.95</v>
      </c>
      <c r="AU478" s="182"/>
      <c r="AV478" s="182"/>
      <c r="AW478" s="182"/>
      <c r="AX478" s="182"/>
      <c r="AY478" s="182"/>
      <c r="AZ478" s="182"/>
      <c r="BA478" s="182"/>
      <c r="BB478" s="182"/>
      <c r="BC478" s="182"/>
      <c r="BD478" s="182"/>
      <c r="BE478" s="182"/>
      <c r="BF478" s="182"/>
      <c r="BG478" s="182"/>
      <c r="BH478" s="182"/>
      <c r="BI478" s="182"/>
      <c r="BJ478" s="182"/>
      <c r="BK478" s="182"/>
      <c r="BL478" s="182"/>
      <c r="BM478" s="182"/>
      <c r="BN478" s="182"/>
      <c r="BO478" s="182"/>
      <c r="BP478" s="182"/>
      <c r="BQ478" s="182"/>
      <c r="BR478" s="182"/>
      <c r="BS478" s="182"/>
      <c r="BT478" s="182"/>
      <c r="BU478" s="182"/>
      <c r="BV478" s="182"/>
      <c r="BW478" s="182"/>
      <c r="BX478" s="182"/>
      <c r="BY478" s="182"/>
      <c r="BZ478" s="182"/>
      <c r="CA478" s="182"/>
      <c r="CB478" s="185">
        <v>9139.33</v>
      </c>
      <c r="CC478" s="185">
        <v>0</v>
      </c>
      <c r="CD478" s="185">
        <v>1834</v>
      </c>
      <c r="CE478" s="185"/>
    </row>
    <row r="479" spans="2:83" x14ac:dyDescent="0.3">
      <c r="B479" s="182">
        <v>3426</v>
      </c>
      <c r="C479" s="182">
        <v>1835</v>
      </c>
      <c r="D479" s="182" t="s">
        <v>78</v>
      </c>
      <c r="E479" s="181" t="s">
        <v>1204</v>
      </c>
      <c r="F479" s="182"/>
      <c r="G479" s="182">
        <v>7250.7</v>
      </c>
      <c r="H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2"/>
      <c r="X479" s="182"/>
      <c r="Y479" s="182"/>
      <c r="Z479" s="182"/>
      <c r="AA479" s="182"/>
      <c r="AB479" s="182"/>
      <c r="AC479" s="182"/>
      <c r="AD479" s="182"/>
      <c r="AE479" s="182"/>
      <c r="AF479" s="182"/>
      <c r="AG479" s="182"/>
      <c r="AH479" s="182"/>
      <c r="AI479" s="182"/>
      <c r="AJ479" s="182"/>
      <c r="AK479" s="182"/>
      <c r="AL479" s="182"/>
      <c r="AM479" s="182"/>
      <c r="AN479" s="182"/>
      <c r="AO479" s="182"/>
      <c r="AP479" s="182"/>
      <c r="AQ479" s="185">
        <v>7250.7</v>
      </c>
      <c r="AR479" s="182">
        <v>5272.26</v>
      </c>
      <c r="AS479" s="182">
        <v>686.26</v>
      </c>
      <c r="AT479" s="182">
        <v>1292.18</v>
      </c>
      <c r="AU479" s="182"/>
      <c r="AV479" s="182"/>
      <c r="AW479" s="182"/>
      <c r="AX479" s="182"/>
      <c r="AY479" s="182"/>
      <c r="AZ479" s="182"/>
      <c r="BA479" s="182"/>
      <c r="BB479" s="182"/>
      <c r="BC479" s="182"/>
      <c r="BD479" s="182"/>
      <c r="BE479" s="182"/>
      <c r="BF479" s="182"/>
      <c r="BG479" s="182"/>
      <c r="BH479" s="182"/>
      <c r="BI479" s="182"/>
      <c r="BJ479" s="182"/>
      <c r="BK479" s="182"/>
      <c r="BL479" s="182"/>
      <c r="BM479" s="182"/>
      <c r="BN479" s="182"/>
      <c r="BO479" s="182"/>
      <c r="BP479" s="182"/>
      <c r="BQ479" s="182"/>
      <c r="BR479" s="182"/>
      <c r="BS479" s="182"/>
      <c r="BT479" s="182"/>
      <c r="BU479" s="182"/>
      <c r="BV479" s="182"/>
      <c r="BW479" s="182"/>
      <c r="BX479" s="182"/>
      <c r="BY479" s="182"/>
      <c r="BZ479" s="182"/>
      <c r="CA479" s="182"/>
      <c r="CB479" s="185">
        <v>7250.7000000000007</v>
      </c>
      <c r="CC479" s="185">
        <v>0</v>
      </c>
      <c r="CD479" s="185">
        <v>1835</v>
      </c>
      <c r="CE479" s="185"/>
    </row>
    <row r="480" spans="2:83" x14ac:dyDescent="0.3">
      <c r="B480" s="182">
        <v>3425</v>
      </c>
      <c r="C480" s="182">
        <v>1836</v>
      </c>
      <c r="D480" s="182" t="s">
        <v>78</v>
      </c>
      <c r="E480" s="181" t="s">
        <v>1204</v>
      </c>
      <c r="F480" s="182"/>
      <c r="G480" s="182">
        <v>5822.56</v>
      </c>
      <c r="H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2"/>
      <c r="X480" s="182"/>
      <c r="Y480" s="182"/>
      <c r="Z480" s="182"/>
      <c r="AA480" s="182"/>
      <c r="AB480" s="182"/>
      <c r="AC480" s="182"/>
      <c r="AD480" s="182"/>
      <c r="AE480" s="182"/>
      <c r="AF480" s="182"/>
      <c r="AG480" s="182"/>
      <c r="AH480" s="182"/>
      <c r="AI480" s="182"/>
      <c r="AJ480" s="182"/>
      <c r="AK480" s="182"/>
      <c r="AL480" s="182"/>
      <c r="AM480" s="182"/>
      <c r="AN480" s="182"/>
      <c r="AO480" s="182"/>
      <c r="AP480" s="182"/>
      <c r="AQ480" s="185">
        <v>5822.56</v>
      </c>
      <c r="AR480" s="182">
        <v>4219.96</v>
      </c>
      <c r="AS480" s="182">
        <v>552.54</v>
      </c>
      <c r="AT480" s="182">
        <v>1050.06</v>
      </c>
      <c r="AU480" s="182"/>
      <c r="AV480" s="182"/>
      <c r="AW480" s="182"/>
      <c r="AX480" s="182"/>
      <c r="AY480" s="182"/>
      <c r="AZ480" s="182"/>
      <c r="BA480" s="182"/>
      <c r="BB480" s="182"/>
      <c r="BC480" s="182"/>
      <c r="BD480" s="182"/>
      <c r="BE480" s="182"/>
      <c r="BF480" s="182"/>
      <c r="BG480" s="182"/>
      <c r="BH480" s="182"/>
      <c r="BI480" s="182"/>
      <c r="BJ480" s="182"/>
      <c r="BK480" s="182"/>
      <c r="BL480" s="182"/>
      <c r="BM480" s="182"/>
      <c r="BN480" s="182"/>
      <c r="BO480" s="182"/>
      <c r="BP480" s="182"/>
      <c r="BQ480" s="182"/>
      <c r="BR480" s="182"/>
      <c r="BS480" s="182"/>
      <c r="BT480" s="182"/>
      <c r="BU480" s="182"/>
      <c r="BV480" s="182"/>
      <c r="BW480" s="182"/>
      <c r="BX480" s="182"/>
      <c r="BY480" s="182"/>
      <c r="BZ480" s="182"/>
      <c r="CA480" s="182"/>
      <c r="CB480" s="185">
        <v>5822.5599999999995</v>
      </c>
      <c r="CC480" s="185">
        <v>0</v>
      </c>
      <c r="CD480" s="185">
        <v>1836</v>
      </c>
      <c r="CE480" s="185"/>
    </row>
    <row r="481" spans="2:83" x14ac:dyDescent="0.3">
      <c r="B481" s="182">
        <v>3424</v>
      </c>
      <c r="C481" s="182">
        <v>1837</v>
      </c>
      <c r="D481" s="182" t="s">
        <v>78</v>
      </c>
      <c r="E481" s="181" t="s">
        <v>1204</v>
      </c>
      <c r="F481" s="182"/>
      <c r="G481" s="182">
        <v>4340.76</v>
      </c>
      <c r="H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2"/>
      <c r="X481" s="182"/>
      <c r="Y481" s="182"/>
      <c r="Z481" s="182"/>
      <c r="AA481" s="182"/>
      <c r="AB481" s="182"/>
      <c r="AC481" s="182"/>
      <c r="AD481" s="182"/>
      <c r="AE481" s="182"/>
      <c r="AF481" s="182"/>
      <c r="AG481" s="182"/>
      <c r="AH481" s="182"/>
      <c r="AI481" s="182"/>
      <c r="AJ481" s="182"/>
      <c r="AK481" s="182"/>
      <c r="AL481" s="182"/>
      <c r="AM481" s="182"/>
      <c r="AN481" s="182"/>
      <c r="AO481" s="182"/>
      <c r="AP481" s="182"/>
      <c r="AQ481" s="185">
        <v>4340.76</v>
      </c>
      <c r="AR481" s="182">
        <v>2900.68</v>
      </c>
      <c r="AS481" s="182">
        <v>394.22</v>
      </c>
      <c r="AT481" s="182">
        <v>1045.8599999999999</v>
      </c>
      <c r="AU481" s="182"/>
      <c r="AV481" s="182"/>
      <c r="AW481" s="182"/>
      <c r="AX481" s="182"/>
      <c r="AY481" s="182"/>
      <c r="AZ481" s="182"/>
      <c r="BA481" s="182"/>
      <c r="BB481" s="182"/>
      <c r="BC481" s="182"/>
      <c r="BD481" s="182"/>
      <c r="BE481" s="182"/>
      <c r="BF481" s="182"/>
      <c r="BG481" s="182"/>
      <c r="BH481" s="182"/>
      <c r="BI481" s="182"/>
      <c r="BJ481" s="182"/>
      <c r="BK481" s="182"/>
      <c r="BL481" s="182"/>
      <c r="BM481" s="182"/>
      <c r="BN481" s="182"/>
      <c r="BO481" s="182"/>
      <c r="BP481" s="182"/>
      <c r="BQ481" s="182"/>
      <c r="BR481" s="182"/>
      <c r="BS481" s="182"/>
      <c r="BT481" s="182"/>
      <c r="BU481" s="182"/>
      <c r="BV481" s="182"/>
      <c r="BW481" s="182"/>
      <c r="BX481" s="182"/>
      <c r="BY481" s="182"/>
      <c r="BZ481" s="182"/>
      <c r="CA481" s="182"/>
      <c r="CB481" s="185">
        <v>4340.7599999999993</v>
      </c>
      <c r="CC481" s="185">
        <v>0</v>
      </c>
      <c r="CD481" s="185">
        <v>1837</v>
      </c>
      <c r="CE481" s="185"/>
    </row>
    <row r="482" spans="2:83" x14ac:dyDescent="0.3">
      <c r="B482" s="182">
        <v>3423</v>
      </c>
      <c r="C482" s="182">
        <v>1838</v>
      </c>
      <c r="D482" s="182" t="s">
        <v>78</v>
      </c>
      <c r="E482" s="181" t="s">
        <v>1204</v>
      </c>
      <c r="F482" s="182"/>
      <c r="G482" s="182">
        <v>5265.13</v>
      </c>
      <c r="H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2"/>
      <c r="X482" s="182"/>
      <c r="Y482" s="182"/>
      <c r="Z482" s="182"/>
      <c r="AA482" s="182"/>
      <c r="AB482" s="182"/>
      <c r="AC482" s="182"/>
      <c r="AD482" s="182"/>
      <c r="AE482" s="182"/>
      <c r="AF482" s="182"/>
      <c r="AG482" s="182"/>
      <c r="AH482" s="182"/>
      <c r="AI482" s="182"/>
      <c r="AJ482" s="182"/>
      <c r="AK482" s="182"/>
      <c r="AL482" s="182"/>
      <c r="AM482" s="182"/>
      <c r="AN482" s="182"/>
      <c r="AO482" s="182"/>
      <c r="AP482" s="182"/>
      <c r="AQ482" s="185">
        <v>5265.13</v>
      </c>
      <c r="AR482" s="182">
        <v>3872.19</v>
      </c>
      <c r="AS482" s="182">
        <v>504.36</v>
      </c>
      <c r="AT482" s="182">
        <v>888.58</v>
      </c>
      <c r="AU482" s="182"/>
      <c r="AV482" s="182"/>
      <c r="AW482" s="182"/>
      <c r="AX482" s="182"/>
      <c r="AY482" s="182"/>
      <c r="AZ482" s="182"/>
      <c r="BA482" s="182"/>
      <c r="BB482" s="182"/>
      <c r="BC482" s="182"/>
      <c r="BD482" s="182"/>
      <c r="BE482" s="182"/>
      <c r="BF482" s="182"/>
      <c r="BG482" s="182"/>
      <c r="BH482" s="182"/>
      <c r="BI482" s="182"/>
      <c r="BJ482" s="182"/>
      <c r="BK482" s="182"/>
      <c r="BL482" s="182"/>
      <c r="BM482" s="182"/>
      <c r="BN482" s="182"/>
      <c r="BO482" s="182"/>
      <c r="BP482" s="182"/>
      <c r="BQ482" s="182"/>
      <c r="BR482" s="182"/>
      <c r="BS482" s="182"/>
      <c r="BT482" s="182"/>
      <c r="BU482" s="182"/>
      <c r="BV482" s="182"/>
      <c r="BW482" s="182"/>
      <c r="BX482" s="182"/>
      <c r="BY482" s="182"/>
      <c r="BZ482" s="182"/>
      <c r="CA482" s="182"/>
      <c r="CB482" s="185">
        <v>5265.13</v>
      </c>
      <c r="CC482" s="185">
        <v>0</v>
      </c>
      <c r="CD482" s="185">
        <v>1838</v>
      </c>
      <c r="CE482" s="185"/>
    </row>
    <row r="483" spans="2:83" x14ac:dyDescent="0.3">
      <c r="B483" s="182">
        <v>3422</v>
      </c>
      <c r="C483" s="182">
        <v>1839</v>
      </c>
      <c r="D483" s="182" t="s">
        <v>78</v>
      </c>
      <c r="E483" s="181" t="s">
        <v>1204</v>
      </c>
      <c r="F483" s="182"/>
      <c r="G483" s="182">
        <v>35880.22</v>
      </c>
      <c r="H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2"/>
      <c r="X483" s="182"/>
      <c r="Y483" s="182"/>
      <c r="Z483" s="182"/>
      <c r="AA483" s="182"/>
      <c r="AB483" s="182"/>
      <c r="AC483" s="182"/>
      <c r="AD483" s="182"/>
      <c r="AE483" s="182"/>
      <c r="AF483" s="182"/>
      <c r="AG483" s="182"/>
      <c r="AH483" s="182"/>
      <c r="AI483" s="182"/>
      <c r="AJ483" s="182"/>
      <c r="AK483" s="182"/>
      <c r="AL483" s="182"/>
      <c r="AM483" s="182"/>
      <c r="AN483" s="182"/>
      <c r="AO483" s="182"/>
      <c r="AP483" s="182"/>
      <c r="AQ483" s="185">
        <v>35880.22</v>
      </c>
      <c r="AR483" s="182">
        <v>28487.360000000001</v>
      </c>
      <c r="AS483" s="182">
        <v>3586.31</v>
      </c>
      <c r="AT483" s="182">
        <v>3806.55</v>
      </c>
      <c r="AU483" s="182"/>
      <c r="AV483" s="182"/>
      <c r="AW483" s="182"/>
      <c r="AX483" s="182"/>
      <c r="AY483" s="182"/>
      <c r="AZ483" s="182"/>
      <c r="BA483" s="182"/>
      <c r="BB483" s="182"/>
      <c r="BC483" s="182"/>
      <c r="BD483" s="182"/>
      <c r="BE483" s="182"/>
      <c r="BF483" s="182"/>
      <c r="BG483" s="182"/>
      <c r="BH483" s="182"/>
      <c r="BI483" s="182"/>
      <c r="BJ483" s="182"/>
      <c r="BK483" s="182"/>
      <c r="BL483" s="182"/>
      <c r="BM483" s="182"/>
      <c r="BN483" s="182"/>
      <c r="BO483" s="182"/>
      <c r="BP483" s="182"/>
      <c r="BQ483" s="182"/>
      <c r="BR483" s="182"/>
      <c r="BS483" s="182"/>
      <c r="BT483" s="182"/>
      <c r="BU483" s="182"/>
      <c r="BV483" s="182"/>
      <c r="BW483" s="182"/>
      <c r="BX483" s="182"/>
      <c r="BY483" s="182"/>
      <c r="BZ483" s="182"/>
      <c r="CA483" s="182"/>
      <c r="CB483" s="185">
        <v>35880.22</v>
      </c>
      <c r="CC483" s="185">
        <v>0</v>
      </c>
      <c r="CD483" s="185">
        <v>1839</v>
      </c>
      <c r="CE483" s="185"/>
    </row>
    <row r="484" spans="2:83" x14ac:dyDescent="0.3">
      <c r="B484" s="182">
        <v>3442</v>
      </c>
      <c r="C484" s="182">
        <v>1840</v>
      </c>
      <c r="D484" s="182" t="s">
        <v>78</v>
      </c>
      <c r="E484" s="181" t="s">
        <v>1204</v>
      </c>
      <c r="F484" s="182"/>
      <c r="G484" s="182">
        <v>37895.160000000003</v>
      </c>
      <c r="H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2"/>
      <c r="X484" s="182"/>
      <c r="Y484" s="182"/>
      <c r="Z484" s="182"/>
      <c r="AA484" s="182"/>
      <c r="AB484" s="182"/>
      <c r="AC484" s="182"/>
      <c r="AD484" s="182"/>
      <c r="AE484" s="182"/>
      <c r="AF484" s="182"/>
      <c r="AG484" s="182"/>
      <c r="AH484" s="182"/>
      <c r="AI484" s="182"/>
      <c r="AJ484" s="182"/>
      <c r="AK484" s="182"/>
      <c r="AL484" s="182"/>
      <c r="AM484" s="182"/>
      <c r="AN484" s="182"/>
      <c r="AO484" s="182"/>
      <c r="AP484" s="182"/>
      <c r="AQ484" s="185">
        <v>37895.160000000003</v>
      </c>
      <c r="AR484" s="182">
        <v>32748.83</v>
      </c>
      <c r="AS484" s="182">
        <v>3984.1</v>
      </c>
      <c r="AT484" s="182">
        <v>1162.23</v>
      </c>
      <c r="AU484" s="182"/>
      <c r="AV484" s="182"/>
      <c r="AW484" s="182"/>
      <c r="AX484" s="182"/>
      <c r="AY484" s="182"/>
      <c r="AZ484" s="182"/>
      <c r="BA484" s="182"/>
      <c r="BB484" s="182"/>
      <c r="BC484" s="182"/>
      <c r="BD484" s="182"/>
      <c r="BE484" s="182"/>
      <c r="BF484" s="182"/>
      <c r="BG484" s="182"/>
      <c r="BH484" s="182"/>
      <c r="BI484" s="182"/>
      <c r="BJ484" s="182"/>
      <c r="BK484" s="182"/>
      <c r="BL484" s="182"/>
      <c r="BM484" s="182"/>
      <c r="BN484" s="182"/>
      <c r="BO484" s="182"/>
      <c r="BP484" s="182"/>
      <c r="BQ484" s="182"/>
      <c r="BR484" s="182"/>
      <c r="BS484" s="182"/>
      <c r="BT484" s="182"/>
      <c r="BU484" s="182"/>
      <c r="BV484" s="182"/>
      <c r="BW484" s="182"/>
      <c r="BX484" s="182"/>
      <c r="BY484" s="182"/>
      <c r="BZ484" s="182"/>
      <c r="CA484" s="182"/>
      <c r="CB484" s="185">
        <v>37895.160000000003</v>
      </c>
      <c r="CC484" s="185">
        <v>0</v>
      </c>
      <c r="CD484" s="185">
        <v>1840</v>
      </c>
      <c r="CE484" s="185"/>
    </row>
    <row r="485" spans="2:83" x14ac:dyDescent="0.3">
      <c r="B485" s="182">
        <v>3441</v>
      </c>
      <c r="C485" s="182">
        <v>1841</v>
      </c>
      <c r="D485" s="182" t="s">
        <v>78</v>
      </c>
      <c r="E485" s="181" t="s">
        <v>1204</v>
      </c>
      <c r="F485" s="182"/>
      <c r="G485" s="182">
        <v>8426.9</v>
      </c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2"/>
      <c r="X485" s="182"/>
      <c r="Y485" s="182"/>
      <c r="Z485" s="182"/>
      <c r="AA485" s="182"/>
      <c r="AB485" s="182"/>
      <c r="AC485" s="182"/>
      <c r="AD485" s="182"/>
      <c r="AE485" s="182"/>
      <c r="AF485" s="182"/>
      <c r="AG485" s="182"/>
      <c r="AH485" s="182"/>
      <c r="AI485" s="182"/>
      <c r="AJ485" s="182"/>
      <c r="AK485" s="182"/>
      <c r="AL485" s="182"/>
      <c r="AM485" s="182"/>
      <c r="AN485" s="182"/>
      <c r="AO485" s="182"/>
      <c r="AP485" s="182"/>
      <c r="AQ485" s="185">
        <v>8426.9</v>
      </c>
      <c r="AR485" s="182">
        <v>7300.63</v>
      </c>
      <c r="AS485" s="182">
        <v>887.36</v>
      </c>
      <c r="AT485" s="182">
        <v>238.91</v>
      </c>
      <c r="AU485" s="182"/>
      <c r="AV485" s="182"/>
      <c r="AW485" s="182"/>
      <c r="AX485" s="182"/>
      <c r="AY485" s="182"/>
      <c r="AZ485" s="182"/>
      <c r="BA485" s="182"/>
      <c r="BB485" s="182"/>
      <c r="BC485" s="182"/>
      <c r="BD485" s="182"/>
      <c r="BE485" s="182"/>
      <c r="BF485" s="182"/>
      <c r="BG485" s="182"/>
      <c r="BH485" s="182"/>
      <c r="BI485" s="182"/>
      <c r="BJ485" s="182"/>
      <c r="BK485" s="182"/>
      <c r="BL485" s="182"/>
      <c r="BM485" s="182"/>
      <c r="BN485" s="182"/>
      <c r="BO485" s="182"/>
      <c r="BP485" s="182"/>
      <c r="BQ485" s="182"/>
      <c r="BR485" s="182"/>
      <c r="BS485" s="182"/>
      <c r="BT485" s="182"/>
      <c r="BU485" s="182"/>
      <c r="BV485" s="182"/>
      <c r="BW485" s="182"/>
      <c r="BX485" s="182"/>
      <c r="BY485" s="182"/>
      <c r="BZ485" s="182"/>
      <c r="CA485" s="182"/>
      <c r="CB485" s="185">
        <v>8426.9</v>
      </c>
      <c r="CC485" s="185">
        <v>0</v>
      </c>
      <c r="CD485" s="185">
        <v>1841</v>
      </c>
      <c r="CE485" s="185"/>
    </row>
    <row r="486" spans="2:83" x14ac:dyDescent="0.3">
      <c r="B486" s="182">
        <v>3440</v>
      </c>
      <c r="C486" s="182">
        <v>1842</v>
      </c>
      <c r="D486" s="182" t="s">
        <v>78</v>
      </c>
      <c r="E486" s="181" t="s">
        <v>1204</v>
      </c>
      <c r="F486" s="182"/>
      <c r="G486" s="182">
        <v>5057.3900000000003</v>
      </c>
      <c r="H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/>
      <c r="AH486" s="182"/>
      <c r="AI486" s="182"/>
      <c r="AJ486" s="182"/>
      <c r="AK486" s="182"/>
      <c r="AL486" s="182"/>
      <c r="AM486" s="182"/>
      <c r="AN486" s="182"/>
      <c r="AO486" s="182"/>
      <c r="AP486" s="182"/>
      <c r="AQ486" s="185">
        <v>5057.3900000000003</v>
      </c>
      <c r="AR486" s="182">
        <v>4294.8599999999997</v>
      </c>
      <c r="AS486" s="182">
        <v>526.04999999999995</v>
      </c>
      <c r="AT486" s="182">
        <v>236.48</v>
      </c>
      <c r="AU486" s="182"/>
      <c r="AV486" s="182"/>
      <c r="AW486" s="182"/>
      <c r="AX486" s="182"/>
      <c r="AY486" s="182"/>
      <c r="AZ486" s="182"/>
      <c r="BA486" s="182"/>
      <c r="BB486" s="182"/>
      <c r="BC486" s="182"/>
      <c r="BD486" s="182"/>
      <c r="BE486" s="182"/>
      <c r="BF486" s="182"/>
      <c r="BG486" s="182"/>
      <c r="BH486" s="182"/>
      <c r="BI486" s="182"/>
      <c r="BJ486" s="182"/>
      <c r="BK486" s="182"/>
      <c r="BL486" s="182"/>
      <c r="BM486" s="182"/>
      <c r="BN486" s="182"/>
      <c r="BO486" s="182"/>
      <c r="BP486" s="182"/>
      <c r="BQ486" s="182"/>
      <c r="BR486" s="182"/>
      <c r="BS486" s="182"/>
      <c r="BT486" s="182"/>
      <c r="BU486" s="182"/>
      <c r="BV486" s="182"/>
      <c r="BW486" s="182"/>
      <c r="BX486" s="182"/>
      <c r="BY486" s="182"/>
      <c r="BZ486" s="182"/>
      <c r="CA486" s="182"/>
      <c r="CB486" s="185">
        <v>5057.3899999999994</v>
      </c>
      <c r="CC486" s="185">
        <v>0</v>
      </c>
      <c r="CD486" s="185">
        <v>1842</v>
      </c>
      <c r="CE486" s="185"/>
    </row>
    <row r="487" spans="2:83" x14ac:dyDescent="0.3">
      <c r="B487" s="182">
        <v>3439</v>
      </c>
      <c r="C487" s="182">
        <v>1843</v>
      </c>
      <c r="D487" s="182" t="s">
        <v>78</v>
      </c>
      <c r="E487" s="181" t="s">
        <v>1204</v>
      </c>
      <c r="F487" s="182"/>
      <c r="G487" s="182">
        <v>6835.31</v>
      </c>
      <c r="H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  <c r="Z487" s="182"/>
      <c r="AA487" s="182"/>
      <c r="AB487" s="182"/>
      <c r="AC487" s="182"/>
      <c r="AD487" s="182"/>
      <c r="AE487" s="182"/>
      <c r="AF487" s="182"/>
      <c r="AG487" s="182"/>
      <c r="AH487" s="182"/>
      <c r="AI487" s="182"/>
      <c r="AJ487" s="182"/>
      <c r="AK487" s="182"/>
      <c r="AL487" s="182"/>
      <c r="AM487" s="182"/>
      <c r="AN487" s="182"/>
      <c r="AO487" s="182"/>
      <c r="AP487" s="182"/>
      <c r="AQ487" s="185">
        <v>6835.31</v>
      </c>
      <c r="AR487" s="182">
        <v>5767.47</v>
      </c>
      <c r="AS487" s="182">
        <v>706.31</v>
      </c>
      <c r="AT487" s="182">
        <v>361.53</v>
      </c>
      <c r="AU487" s="182"/>
      <c r="AV487" s="182"/>
      <c r="AW487" s="182"/>
      <c r="AX487" s="182"/>
      <c r="AY487" s="182"/>
      <c r="AZ487" s="182"/>
      <c r="BA487" s="182"/>
      <c r="BB487" s="182"/>
      <c r="BC487" s="182"/>
      <c r="BD487" s="182"/>
      <c r="BE487" s="182"/>
      <c r="BF487" s="182"/>
      <c r="BG487" s="182"/>
      <c r="BH487" s="182"/>
      <c r="BI487" s="182"/>
      <c r="BJ487" s="182"/>
      <c r="BK487" s="182"/>
      <c r="BL487" s="182"/>
      <c r="BM487" s="182"/>
      <c r="BN487" s="182"/>
      <c r="BO487" s="182"/>
      <c r="BP487" s="182"/>
      <c r="BQ487" s="182"/>
      <c r="BR487" s="182"/>
      <c r="BS487" s="182"/>
      <c r="BT487" s="182"/>
      <c r="BU487" s="182"/>
      <c r="BV487" s="182"/>
      <c r="BW487" s="182"/>
      <c r="BX487" s="182"/>
      <c r="BY487" s="182"/>
      <c r="BZ487" s="182"/>
      <c r="CA487" s="182"/>
      <c r="CB487" s="185">
        <v>6835.31</v>
      </c>
      <c r="CC487" s="185">
        <v>0</v>
      </c>
      <c r="CD487" s="185">
        <v>1843</v>
      </c>
      <c r="CE487" s="185"/>
    </row>
    <row r="488" spans="2:83" x14ac:dyDescent="0.3">
      <c r="B488" s="182">
        <v>3438</v>
      </c>
      <c r="C488" s="182">
        <v>1844</v>
      </c>
      <c r="D488" s="182" t="s">
        <v>78</v>
      </c>
      <c r="E488" s="181" t="s">
        <v>1204</v>
      </c>
      <c r="F488" s="182"/>
      <c r="G488" s="182">
        <v>4192.49</v>
      </c>
      <c r="H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2"/>
      <c r="X488" s="182"/>
      <c r="Y488" s="182"/>
      <c r="Z488" s="182"/>
      <c r="AA488" s="182"/>
      <c r="AB488" s="182"/>
      <c r="AC488" s="182"/>
      <c r="AD488" s="182"/>
      <c r="AE488" s="182"/>
      <c r="AF488" s="182"/>
      <c r="AG488" s="182"/>
      <c r="AH488" s="182"/>
      <c r="AI488" s="182"/>
      <c r="AJ488" s="182"/>
      <c r="AK488" s="182"/>
      <c r="AL488" s="182"/>
      <c r="AM488" s="182"/>
      <c r="AN488" s="182"/>
      <c r="AO488" s="182"/>
      <c r="AP488" s="182"/>
      <c r="AQ488" s="185">
        <v>4192.49</v>
      </c>
      <c r="AR488" s="182">
        <v>3505.46</v>
      </c>
      <c r="AS488" s="182">
        <v>432.57</v>
      </c>
      <c r="AT488" s="182">
        <v>254.46</v>
      </c>
      <c r="AU488" s="182"/>
      <c r="AV488" s="182"/>
      <c r="AW488" s="182"/>
      <c r="AX488" s="182"/>
      <c r="AY488" s="182"/>
      <c r="AZ488" s="182"/>
      <c r="BA488" s="182"/>
      <c r="BB488" s="182"/>
      <c r="BC488" s="182"/>
      <c r="BD488" s="182"/>
      <c r="BE488" s="182"/>
      <c r="BF488" s="182"/>
      <c r="BG488" s="182"/>
      <c r="BH488" s="182"/>
      <c r="BI488" s="182"/>
      <c r="BJ488" s="182"/>
      <c r="BK488" s="182"/>
      <c r="BL488" s="182"/>
      <c r="BM488" s="182"/>
      <c r="BN488" s="182"/>
      <c r="BO488" s="182"/>
      <c r="BP488" s="182"/>
      <c r="BQ488" s="182"/>
      <c r="BR488" s="182"/>
      <c r="BS488" s="182"/>
      <c r="BT488" s="182"/>
      <c r="BU488" s="182"/>
      <c r="BV488" s="182"/>
      <c r="BW488" s="182"/>
      <c r="BX488" s="182"/>
      <c r="BY488" s="182"/>
      <c r="BZ488" s="182"/>
      <c r="CA488" s="182"/>
      <c r="CB488" s="185">
        <v>4192.49</v>
      </c>
      <c r="CC488" s="185">
        <v>0</v>
      </c>
      <c r="CD488" s="185">
        <v>1844</v>
      </c>
      <c r="CE488" s="185"/>
    </row>
    <row r="489" spans="2:83" x14ac:dyDescent="0.3">
      <c r="B489" s="182">
        <v>3437</v>
      </c>
      <c r="C489" s="182">
        <v>1845</v>
      </c>
      <c r="D489" s="182" t="s">
        <v>78</v>
      </c>
      <c r="E489" s="181" t="s">
        <v>1204</v>
      </c>
      <c r="F489" s="182"/>
      <c r="G489" s="182">
        <v>1902.65</v>
      </c>
      <c r="H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2"/>
      <c r="X489" s="182"/>
      <c r="Y489" s="182"/>
      <c r="Z489" s="182"/>
      <c r="AA489" s="182"/>
      <c r="AB489" s="182"/>
      <c r="AC489" s="182"/>
      <c r="AD489" s="182"/>
      <c r="AE489" s="182"/>
      <c r="AF489" s="182"/>
      <c r="AG489" s="182"/>
      <c r="AH489" s="182"/>
      <c r="AI489" s="182"/>
      <c r="AJ489" s="182"/>
      <c r="AK489" s="182"/>
      <c r="AL489" s="182"/>
      <c r="AM489" s="182"/>
      <c r="AN489" s="182"/>
      <c r="AO489" s="182"/>
      <c r="AP489" s="182"/>
      <c r="AQ489" s="185">
        <v>1902.65</v>
      </c>
      <c r="AR489" s="182">
        <v>1698.48</v>
      </c>
      <c r="AS489" s="182">
        <v>204.17</v>
      </c>
      <c r="AT489" s="182"/>
      <c r="AU489" s="182"/>
      <c r="AV489" s="182"/>
      <c r="AW489" s="182"/>
      <c r="AX489" s="182"/>
      <c r="AY489" s="182"/>
      <c r="AZ489" s="182"/>
      <c r="BA489" s="182"/>
      <c r="BB489" s="182"/>
      <c r="BC489" s="182"/>
      <c r="BD489" s="182"/>
      <c r="BE489" s="182"/>
      <c r="BF489" s="182"/>
      <c r="BG489" s="182"/>
      <c r="BH489" s="182"/>
      <c r="BI489" s="182"/>
      <c r="BJ489" s="182"/>
      <c r="BK489" s="182"/>
      <c r="BL489" s="182"/>
      <c r="BM489" s="182"/>
      <c r="BN489" s="182"/>
      <c r="BO489" s="182"/>
      <c r="BP489" s="182"/>
      <c r="BQ489" s="182"/>
      <c r="BR489" s="182"/>
      <c r="BS489" s="182"/>
      <c r="BT489" s="182"/>
      <c r="BU489" s="182"/>
      <c r="BV489" s="182"/>
      <c r="BW489" s="182"/>
      <c r="BX489" s="182"/>
      <c r="BY489" s="182"/>
      <c r="BZ489" s="182"/>
      <c r="CA489" s="182"/>
      <c r="CB489" s="185">
        <v>1902.65</v>
      </c>
      <c r="CC489" s="185">
        <v>0</v>
      </c>
      <c r="CD489" s="185">
        <v>1845</v>
      </c>
      <c r="CE489" s="185"/>
    </row>
    <row r="490" spans="2:83" x14ac:dyDescent="0.3">
      <c r="B490" s="182">
        <v>3436</v>
      </c>
      <c r="C490" s="182">
        <v>1846</v>
      </c>
      <c r="D490" s="182" t="s">
        <v>78</v>
      </c>
      <c r="E490" s="181" t="s">
        <v>1204</v>
      </c>
      <c r="F490" s="182"/>
      <c r="G490" s="182">
        <v>4980.46</v>
      </c>
      <c r="H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2"/>
      <c r="X490" s="182"/>
      <c r="Y490" s="182"/>
      <c r="Z490" s="182"/>
      <c r="AA490" s="182"/>
      <c r="AB490" s="182"/>
      <c r="AC490" s="182"/>
      <c r="AD490" s="182"/>
      <c r="AE490" s="182"/>
      <c r="AF490" s="182"/>
      <c r="AG490" s="182"/>
      <c r="AH490" s="182"/>
      <c r="AI490" s="182"/>
      <c r="AJ490" s="182"/>
      <c r="AK490" s="182"/>
      <c r="AL490" s="182"/>
      <c r="AM490" s="182"/>
      <c r="AN490" s="182"/>
      <c r="AO490" s="182"/>
      <c r="AP490" s="182"/>
      <c r="AQ490" s="185">
        <v>4980.46</v>
      </c>
      <c r="AR490" s="182">
        <v>4445.76</v>
      </c>
      <c r="AS490" s="182">
        <v>534.70000000000005</v>
      </c>
      <c r="AT490" s="182"/>
      <c r="AU490" s="182"/>
      <c r="AV490" s="182"/>
      <c r="AW490" s="182"/>
      <c r="AX490" s="182"/>
      <c r="AY490" s="182"/>
      <c r="AZ490" s="182"/>
      <c r="BA490" s="182"/>
      <c r="BB490" s="182"/>
      <c r="BC490" s="182"/>
      <c r="BD490" s="182"/>
      <c r="BE490" s="182"/>
      <c r="BF490" s="182"/>
      <c r="BG490" s="182"/>
      <c r="BH490" s="182"/>
      <c r="BI490" s="182"/>
      <c r="BJ490" s="182"/>
      <c r="BK490" s="182"/>
      <c r="BL490" s="182"/>
      <c r="BM490" s="182"/>
      <c r="BN490" s="182"/>
      <c r="BO490" s="182"/>
      <c r="BP490" s="182"/>
      <c r="BQ490" s="182"/>
      <c r="BR490" s="182"/>
      <c r="BS490" s="182"/>
      <c r="BT490" s="182"/>
      <c r="BU490" s="182"/>
      <c r="BV490" s="182"/>
      <c r="BW490" s="182"/>
      <c r="BX490" s="182"/>
      <c r="BY490" s="182"/>
      <c r="BZ490" s="182"/>
      <c r="CA490" s="182"/>
      <c r="CB490" s="185">
        <v>4980.46</v>
      </c>
      <c r="CC490" s="185">
        <v>0</v>
      </c>
      <c r="CD490" s="185">
        <v>1846</v>
      </c>
      <c r="CE490" s="185"/>
    </row>
    <row r="491" spans="2:83" x14ac:dyDescent="0.3">
      <c r="B491" s="182">
        <v>3449</v>
      </c>
      <c r="C491" s="182">
        <v>1847</v>
      </c>
      <c r="D491" s="182" t="s">
        <v>78</v>
      </c>
      <c r="E491" s="181" t="s">
        <v>1204</v>
      </c>
      <c r="F491" s="182"/>
      <c r="G491" s="182">
        <v>42062.78</v>
      </c>
      <c r="H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2"/>
      <c r="X491" s="182"/>
      <c r="Y491" s="182"/>
      <c r="Z491" s="182"/>
      <c r="AA491" s="182"/>
      <c r="AB491" s="182"/>
      <c r="AC491" s="182"/>
      <c r="AD491" s="182"/>
      <c r="AE491" s="182"/>
      <c r="AF491" s="182"/>
      <c r="AG491" s="182"/>
      <c r="AH491" s="182"/>
      <c r="AI491" s="182"/>
      <c r="AJ491" s="182"/>
      <c r="AK491" s="182"/>
      <c r="AL491" s="182"/>
      <c r="AM491" s="182"/>
      <c r="AN491" s="182"/>
      <c r="AO491" s="182"/>
      <c r="AP491" s="182"/>
      <c r="AQ491" s="185">
        <v>42062.78</v>
      </c>
      <c r="AR491" s="182">
        <v>37345.339999999997</v>
      </c>
      <c r="AS491" s="182">
        <v>4497.2700000000004</v>
      </c>
      <c r="AT491" s="182">
        <v>220.17</v>
      </c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182"/>
      <c r="BK491" s="182"/>
      <c r="BL491" s="182"/>
      <c r="BM491" s="182"/>
      <c r="BN491" s="182"/>
      <c r="BO491" s="182"/>
      <c r="BP491" s="182"/>
      <c r="BQ491" s="182"/>
      <c r="BR491" s="182"/>
      <c r="BS491" s="182"/>
      <c r="BT491" s="182"/>
      <c r="BU491" s="182"/>
      <c r="BV491" s="182"/>
      <c r="BW491" s="182"/>
      <c r="BX491" s="182"/>
      <c r="BY491" s="182"/>
      <c r="BZ491" s="182"/>
      <c r="CA491" s="182"/>
      <c r="CB491" s="185">
        <v>42062.78</v>
      </c>
      <c r="CC491" s="185">
        <v>0</v>
      </c>
      <c r="CD491" s="185">
        <v>1847</v>
      </c>
      <c r="CE491" s="185"/>
    </row>
    <row r="492" spans="2:83" x14ac:dyDescent="0.3">
      <c r="B492" s="182">
        <v>3448</v>
      </c>
      <c r="C492" s="182">
        <v>1848</v>
      </c>
      <c r="D492" s="182" t="s">
        <v>78</v>
      </c>
      <c r="E492" s="181" t="s">
        <v>1204</v>
      </c>
      <c r="F492" s="182"/>
      <c r="G492" s="182">
        <v>6286.38</v>
      </c>
      <c r="H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2"/>
      <c r="X492" s="182"/>
      <c r="Y492" s="182"/>
      <c r="Z492" s="182"/>
      <c r="AA492" s="182"/>
      <c r="AB492" s="182"/>
      <c r="AC492" s="182"/>
      <c r="AD492" s="182"/>
      <c r="AE492" s="182"/>
      <c r="AF492" s="182"/>
      <c r="AG492" s="182"/>
      <c r="AH492" s="182"/>
      <c r="AI492" s="182"/>
      <c r="AJ492" s="182"/>
      <c r="AK492" s="182"/>
      <c r="AL492" s="182"/>
      <c r="AM492" s="182"/>
      <c r="AN492" s="182"/>
      <c r="AO492" s="182"/>
      <c r="AP492" s="182"/>
      <c r="AQ492" s="185">
        <v>6286.38</v>
      </c>
      <c r="AR492" s="182">
        <v>5504.1</v>
      </c>
      <c r="AS492" s="182">
        <v>666.79</v>
      </c>
      <c r="AT492" s="182">
        <v>115.49</v>
      </c>
      <c r="AU492" s="182"/>
      <c r="AV492" s="182"/>
      <c r="AW492" s="182"/>
      <c r="AX492" s="182"/>
      <c r="AY492" s="182"/>
      <c r="AZ492" s="182"/>
      <c r="BA492" s="182"/>
      <c r="BB492" s="182"/>
      <c r="BC492" s="182"/>
      <c r="BD492" s="182"/>
      <c r="BE492" s="182"/>
      <c r="BF492" s="182"/>
      <c r="BG492" s="182"/>
      <c r="BH492" s="182"/>
      <c r="BI492" s="182"/>
      <c r="BJ492" s="182"/>
      <c r="BK492" s="182"/>
      <c r="BL492" s="182"/>
      <c r="BM492" s="182"/>
      <c r="BN492" s="182"/>
      <c r="BO492" s="182"/>
      <c r="BP492" s="182"/>
      <c r="BQ492" s="182"/>
      <c r="BR492" s="182"/>
      <c r="BS492" s="182"/>
      <c r="BT492" s="182"/>
      <c r="BU492" s="182"/>
      <c r="BV492" s="182"/>
      <c r="BW492" s="182"/>
      <c r="BX492" s="182"/>
      <c r="BY492" s="182"/>
      <c r="BZ492" s="182"/>
      <c r="CA492" s="182"/>
      <c r="CB492" s="185">
        <v>6286.38</v>
      </c>
      <c r="CC492" s="185">
        <v>0</v>
      </c>
      <c r="CD492" s="185">
        <v>1848</v>
      </c>
      <c r="CE492" s="185"/>
    </row>
    <row r="493" spans="2:83" x14ac:dyDescent="0.3">
      <c r="B493" s="182">
        <v>3447</v>
      </c>
      <c r="C493" s="182">
        <v>1849</v>
      </c>
      <c r="D493" s="182" t="s">
        <v>78</v>
      </c>
      <c r="E493" s="181" t="s">
        <v>1204</v>
      </c>
      <c r="F493" s="182"/>
      <c r="G493" s="182">
        <v>10176.549999999999</v>
      </c>
      <c r="H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  <c r="Z493" s="182"/>
      <c r="AA493" s="182"/>
      <c r="AB493" s="182"/>
      <c r="AC493" s="182"/>
      <c r="AD493" s="182"/>
      <c r="AE493" s="182"/>
      <c r="AF493" s="182"/>
      <c r="AG493" s="182"/>
      <c r="AH493" s="182"/>
      <c r="AI493" s="182"/>
      <c r="AJ493" s="182"/>
      <c r="AK493" s="182"/>
      <c r="AL493" s="182"/>
      <c r="AM493" s="182"/>
      <c r="AN493" s="182"/>
      <c r="AO493" s="182"/>
      <c r="AP493" s="182"/>
      <c r="AQ493" s="185">
        <v>10176.549999999999</v>
      </c>
      <c r="AR493" s="182">
        <v>8879.39</v>
      </c>
      <c r="AS493" s="182">
        <v>1077.1199999999999</v>
      </c>
      <c r="AT493" s="182">
        <v>220.04</v>
      </c>
      <c r="AU493" s="182"/>
      <c r="AV493" s="182"/>
      <c r="AW493" s="182"/>
      <c r="AX493" s="182"/>
      <c r="AY493" s="182"/>
      <c r="AZ493" s="182"/>
      <c r="BA493" s="182"/>
      <c r="BB493" s="182"/>
      <c r="BC493" s="182"/>
      <c r="BD493" s="182"/>
      <c r="BE493" s="182"/>
      <c r="BF493" s="182"/>
      <c r="BG493" s="182"/>
      <c r="BH493" s="182"/>
      <c r="BI493" s="182"/>
      <c r="BJ493" s="182"/>
      <c r="BK493" s="182"/>
      <c r="BL493" s="182"/>
      <c r="BM493" s="182"/>
      <c r="BN493" s="182"/>
      <c r="BO493" s="182"/>
      <c r="BP493" s="182"/>
      <c r="BQ493" s="182"/>
      <c r="BR493" s="182"/>
      <c r="BS493" s="182"/>
      <c r="BT493" s="182"/>
      <c r="BU493" s="182"/>
      <c r="BV493" s="182"/>
      <c r="BW493" s="182"/>
      <c r="BX493" s="182"/>
      <c r="BY493" s="182"/>
      <c r="BZ493" s="182"/>
      <c r="CA493" s="182"/>
      <c r="CB493" s="185">
        <v>10176.549999999999</v>
      </c>
      <c r="CC493" s="185">
        <v>0</v>
      </c>
      <c r="CD493" s="185">
        <v>1849</v>
      </c>
      <c r="CE493" s="185"/>
    </row>
    <row r="494" spans="2:83" x14ac:dyDescent="0.3">
      <c r="B494" s="182">
        <v>3446</v>
      </c>
      <c r="C494" s="182">
        <v>1850</v>
      </c>
      <c r="D494" s="182" t="s">
        <v>78</v>
      </c>
      <c r="E494" s="181" t="s">
        <v>1204</v>
      </c>
      <c r="F494" s="182"/>
      <c r="G494" s="182">
        <v>8132.99</v>
      </c>
      <c r="H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182"/>
      <c r="AI494" s="182"/>
      <c r="AJ494" s="182"/>
      <c r="AK494" s="182"/>
      <c r="AL494" s="182"/>
      <c r="AM494" s="182"/>
      <c r="AN494" s="182"/>
      <c r="AO494" s="182"/>
      <c r="AP494" s="182"/>
      <c r="AQ494" s="185">
        <v>8132.99</v>
      </c>
      <c r="AR494" s="182">
        <v>7102.46</v>
      </c>
      <c r="AS494" s="182">
        <v>859.92</v>
      </c>
      <c r="AT494" s="182">
        <v>170.61</v>
      </c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182"/>
      <c r="BK494" s="182"/>
      <c r="BL494" s="182"/>
      <c r="BM494" s="182"/>
      <c r="BN494" s="182"/>
      <c r="BO494" s="182"/>
      <c r="BP494" s="182"/>
      <c r="BQ494" s="182"/>
      <c r="BR494" s="182"/>
      <c r="BS494" s="182"/>
      <c r="BT494" s="182"/>
      <c r="BU494" s="182"/>
      <c r="BV494" s="182"/>
      <c r="BW494" s="182"/>
      <c r="BX494" s="182"/>
      <c r="BY494" s="182"/>
      <c r="BZ494" s="182"/>
      <c r="CA494" s="182"/>
      <c r="CB494" s="185">
        <v>8132.99</v>
      </c>
      <c r="CC494" s="185">
        <v>0</v>
      </c>
      <c r="CD494" s="185">
        <v>1850</v>
      </c>
      <c r="CE494" s="185"/>
    </row>
    <row r="495" spans="2:83" x14ac:dyDescent="0.3">
      <c r="B495" s="182">
        <v>3445</v>
      </c>
      <c r="C495" s="182">
        <v>1851</v>
      </c>
      <c r="D495" s="182" t="s">
        <v>78</v>
      </c>
      <c r="E495" s="181" t="s">
        <v>1204</v>
      </c>
      <c r="F495" s="182"/>
      <c r="G495" s="182">
        <v>5073.5200000000004</v>
      </c>
      <c r="H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2"/>
      <c r="X495" s="182"/>
      <c r="Y495" s="182"/>
      <c r="Z495" s="182"/>
      <c r="AA495" s="182"/>
      <c r="AB495" s="182"/>
      <c r="AC495" s="182"/>
      <c r="AD495" s="182"/>
      <c r="AE495" s="182"/>
      <c r="AF495" s="182"/>
      <c r="AG495" s="182"/>
      <c r="AH495" s="182"/>
      <c r="AI495" s="182"/>
      <c r="AJ495" s="182"/>
      <c r="AK495" s="182"/>
      <c r="AL495" s="182"/>
      <c r="AM495" s="182"/>
      <c r="AN495" s="182"/>
      <c r="AO495" s="182"/>
      <c r="AP495" s="182"/>
      <c r="AQ495" s="185">
        <v>5073.5200000000004</v>
      </c>
      <c r="AR495" s="182">
        <v>4528.8599999999997</v>
      </c>
      <c r="AS495" s="182">
        <v>544.66</v>
      </c>
      <c r="AT495" s="182"/>
      <c r="AU495" s="182"/>
      <c r="AV495" s="182"/>
      <c r="AW495" s="182"/>
      <c r="AX495" s="182"/>
      <c r="AY495" s="182"/>
      <c r="AZ495" s="182"/>
      <c r="BA495" s="182"/>
      <c r="BB495" s="182"/>
      <c r="BC495" s="182"/>
      <c r="BD495" s="182"/>
      <c r="BE495" s="182"/>
      <c r="BF495" s="182"/>
      <c r="BG495" s="182"/>
      <c r="BH495" s="182"/>
      <c r="BI495" s="182"/>
      <c r="BJ495" s="182"/>
      <c r="BK495" s="182"/>
      <c r="BL495" s="182"/>
      <c r="BM495" s="182"/>
      <c r="BN495" s="182"/>
      <c r="BO495" s="182"/>
      <c r="BP495" s="182"/>
      <c r="BQ495" s="182"/>
      <c r="BR495" s="182"/>
      <c r="BS495" s="182"/>
      <c r="BT495" s="182"/>
      <c r="BU495" s="182"/>
      <c r="BV495" s="182"/>
      <c r="BW495" s="182"/>
      <c r="BX495" s="182"/>
      <c r="BY495" s="182"/>
      <c r="BZ495" s="182"/>
      <c r="CA495" s="182"/>
      <c r="CB495" s="185">
        <v>5073.5199999999995</v>
      </c>
      <c r="CC495" s="185">
        <v>0</v>
      </c>
      <c r="CD495" s="185">
        <v>1851</v>
      </c>
      <c r="CE495" s="185"/>
    </row>
    <row r="496" spans="2:83" x14ac:dyDescent="0.3">
      <c r="B496" s="182">
        <v>3444</v>
      </c>
      <c r="C496" s="182">
        <v>1852</v>
      </c>
      <c r="D496" s="182" t="s">
        <v>78</v>
      </c>
      <c r="E496" s="181" t="s">
        <v>1204</v>
      </c>
      <c r="F496" s="182"/>
      <c r="G496" s="182">
        <v>2357.67</v>
      </c>
      <c r="H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2"/>
      <c r="X496" s="182"/>
      <c r="Y496" s="182"/>
      <c r="Z496" s="182"/>
      <c r="AA496" s="182"/>
      <c r="AB496" s="182"/>
      <c r="AC496" s="182"/>
      <c r="AD496" s="182"/>
      <c r="AE496" s="182"/>
      <c r="AF496" s="182"/>
      <c r="AG496" s="182"/>
      <c r="AH496" s="182"/>
      <c r="AI496" s="182"/>
      <c r="AJ496" s="182"/>
      <c r="AK496" s="182"/>
      <c r="AL496" s="182"/>
      <c r="AM496" s="182"/>
      <c r="AN496" s="182"/>
      <c r="AO496" s="182"/>
      <c r="AP496" s="182"/>
      <c r="AQ496" s="185">
        <v>2357.67</v>
      </c>
      <c r="AR496" s="182">
        <v>2104.5500000000002</v>
      </c>
      <c r="AS496" s="182">
        <v>253.12</v>
      </c>
      <c r="AT496" s="182"/>
      <c r="AU496" s="182"/>
      <c r="AV496" s="182"/>
      <c r="AW496" s="182"/>
      <c r="AX496" s="182"/>
      <c r="AY496" s="182"/>
      <c r="AZ496" s="182"/>
      <c r="BA496" s="182"/>
      <c r="BB496" s="182"/>
      <c r="BC496" s="182"/>
      <c r="BD496" s="182"/>
      <c r="BE496" s="182"/>
      <c r="BF496" s="182"/>
      <c r="BG496" s="182"/>
      <c r="BH496" s="182"/>
      <c r="BI496" s="182"/>
      <c r="BJ496" s="182"/>
      <c r="BK496" s="182"/>
      <c r="BL496" s="182"/>
      <c r="BM496" s="182"/>
      <c r="BN496" s="182"/>
      <c r="BO496" s="182"/>
      <c r="BP496" s="182"/>
      <c r="BQ496" s="182"/>
      <c r="BR496" s="182"/>
      <c r="BS496" s="182"/>
      <c r="BT496" s="182"/>
      <c r="BU496" s="182"/>
      <c r="BV496" s="182"/>
      <c r="BW496" s="182"/>
      <c r="BX496" s="182"/>
      <c r="BY496" s="182"/>
      <c r="BZ496" s="182"/>
      <c r="CA496" s="182"/>
      <c r="CB496" s="185">
        <v>2357.67</v>
      </c>
      <c r="CC496" s="185">
        <v>0</v>
      </c>
      <c r="CD496" s="185">
        <v>1852</v>
      </c>
      <c r="CE496" s="185"/>
    </row>
    <row r="497" spans="2:83" x14ac:dyDescent="0.3">
      <c r="B497" s="182">
        <v>3443</v>
      </c>
      <c r="C497" s="182">
        <v>1853</v>
      </c>
      <c r="D497" s="182" t="s">
        <v>78</v>
      </c>
      <c r="E497" s="181" t="s">
        <v>1204</v>
      </c>
      <c r="F497" s="182"/>
      <c r="G497" s="182">
        <v>6089.8</v>
      </c>
      <c r="H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2"/>
      <c r="X497" s="182"/>
      <c r="Y497" s="182"/>
      <c r="Z497" s="182"/>
      <c r="AA497" s="182"/>
      <c r="AB497" s="182"/>
      <c r="AC497" s="182"/>
      <c r="AD497" s="182"/>
      <c r="AE497" s="182"/>
      <c r="AF497" s="182"/>
      <c r="AG497" s="182"/>
      <c r="AH497" s="182"/>
      <c r="AI497" s="182"/>
      <c r="AJ497" s="182"/>
      <c r="AK497" s="182"/>
      <c r="AL497" s="182"/>
      <c r="AM497" s="182"/>
      <c r="AN497" s="182"/>
      <c r="AO497" s="182"/>
      <c r="AP497" s="182"/>
      <c r="AQ497" s="185">
        <v>6089.8</v>
      </c>
      <c r="AR497" s="182">
        <v>5435.81</v>
      </c>
      <c r="AS497" s="182">
        <v>653.99</v>
      </c>
      <c r="AT497" s="182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182"/>
      <c r="BK497" s="182"/>
      <c r="BL497" s="182"/>
      <c r="BM497" s="182"/>
      <c r="BN497" s="182"/>
      <c r="BO497" s="182"/>
      <c r="BP497" s="182"/>
      <c r="BQ497" s="182"/>
      <c r="BR497" s="182"/>
      <c r="BS497" s="182"/>
      <c r="BT497" s="182"/>
      <c r="BU497" s="182"/>
      <c r="BV497" s="182"/>
      <c r="BW497" s="182"/>
      <c r="BX497" s="182"/>
      <c r="BY497" s="182"/>
      <c r="BZ497" s="182"/>
      <c r="CA497" s="182"/>
      <c r="CB497" s="185">
        <v>6089.8</v>
      </c>
      <c r="CC497" s="185">
        <v>0</v>
      </c>
      <c r="CD497" s="185">
        <v>1853</v>
      </c>
      <c r="CE497" s="185"/>
    </row>
    <row r="498" spans="2:83" x14ac:dyDescent="0.3">
      <c r="B498" s="182">
        <v>3789</v>
      </c>
      <c r="C498" s="182">
        <v>1854</v>
      </c>
      <c r="D498" s="182" t="s">
        <v>78</v>
      </c>
      <c r="E498" s="181" t="s">
        <v>4229</v>
      </c>
      <c r="F498" s="182"/>
      <c r="G498" s="182">
        <v>351.75</v>
      </c>
      <c r="H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2"/>
      <c r="X498" s="182"/>
      <c r="Y498" s="182"/>
      <c r="Z498" s="182"/>
      <c r="AA498" s="182"/>
      <c r="AB498" s="182"/>
      <c r="AC498" s="182"/>
      <c r="AD498" s="182"/>
      <c r="AE498" s="182"/>
      <c r="AF498" s="182"/>
      <c r="AG498" s="182"/>
      <c r="AH498" s="182"/>
      <c r="AI498" s="182"/>
      <c r="AJ498" s="182"/>
      <c r="AK498" s="182"/>
      <c r="AL498" s="182"/>
      <c r="AM498" s="182"/>
      <c r="AN498" s="182"/>
      <c r="AO498" s="182"/>
      <c r="AP498" s="182"/>
      <c r="AQ498" s="185">
        <v>351.75</v>
      </c>
      <c r="AR498" s="182">
        <v>235.37</v>
      </c>
      <c r="AS498" s="182">
        <v>31.63</v>
      </c>
      <c r="AT498" s="182">
        <v>84.75</v>
      </c>
      <c r="AU498" s="182"/>
      <c r="AV498" s="182"/>
      <c r="AW498" s="182"/>
      <c r="AX498" s="182"/>
      <c r="AY498" s="182"/>
      <c r="AZ498" s="182"/>
      <c r="BA498" s="182"/>
      <c r="BB498" s="182"/>
      <c r="BC498" s="182"/>
      <c r="BD498" s="182"/>
      <c r="BE498" s="182"/>
      <c r="BF498" s="182"/>
      <c r="BG498" s="182"/>
      <c r="BH498" s="182"/>
      <c r="BI498" s="182"/>
      <c r="BJ498" s="182"/>
      <c r="BK498" s="182"/>
      <c r="BL498" s="182"/>
      <c r="BM498" s="182"/>
      <c r="BN498" s="182"/>
      <c r="BO498" s="182"/>
      <c r="BP498" s="182"/>
      <c r="BQ498" s="182"/>
      <c r="BR498" s="182"/>
      <c r="BS498" s="182"/>
      <c r="BT498" s="182"/>
      <c r="BU498" s="182"/>
      <c r="BV498" s="182"/>
      <c r="BW498" s="182"/>
      <c r="BX498" s="182"/>
      <c r="BY498" s="182"/>
      <c r="BZ498" s="182"/>
      <c r="CA498" s="182"/>
      <c r="CB498" s="185">
        <v>351.75</v>
      </c>
      <c r="CC498" s="185">
        <v>0</v>
      </c>
      <c r="CD498" s="185">
        <v>1854</v>
      </c>
      <c r="CE498" s="185"/>
    </row>
    <row r="499" spans="2:83" x14ac:dyDescent="0.3">
      <c r="B499" s="182">
        <v>3792</v>
      </c>
      <c r="C499" s="182">
        <v>1855</v>
      </c>
      <c r="D499" s="182" t="s">
        <v>78</v>
      </c>
      <c r="E499" s="181" t="s">
        <v>4229</v>
      </c>
      <c r="F499" s="182"/>
      <c r="G499" s="182">
        <v>351.75</v>
      </c>
      <c r="H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2"/>
      <c r="X499" s="182"/>
      <c r="Y499" s="182"/>
      <c r="Z499" s="182"/>
      <c r="AA499" s="182"/>
      <c r="AB499" s="182"/>
      <c r="AC499" s="182"/>
      <c r="AD499" s="182"/>
      <c r="AE499" s="182"/>
      <c r="AF499" s="182"/>
      <c r="AG499" s="182"/>
      <c r="AH499" s="182"/>
      <c r="AI499" s="182"/>
      <c r="AJ499" s="182"/>
      <c r="AK499" s="182"/>
      <c r="AL499" s="182"/>
      <c r="AM499" s="182"/>
      <c r="AN499" s="182"/>
      <c r="AO499" s="182"/>
      <c r="AP499" s="182"/>
      <c r="AQ499" s="185">
        <v>351.75</v>
      </c>
      <c r="AR499" s="182">
        <v>235.55</v>
      </c>
      <c r="AS499" s="182">
        <v>31.45</v>
      </c>
      <c r="AT499" s="182">
        <v>84.75</v>
      </c>
      <c r="AU499" s="182"/>
      <c r="AV499" s="182"/>
      <c r="AW499" s="182"/>
      <c r="AX499" s="182"/>
      <c r="AY499" s="182"/>
      <c r="AZ499" s="182"/>
      <c r="BA499" s="182"/>
      <c r="BB499" s="182"/>
      <c r="BC499" s="182"/>
      <c r="BD499" s="182"/>
      <c r="BE499" s="182"/>
      <c r="BF499" s="182"/>
      <c r="BG499" s="182"/>
      <c r="BH499" s="182"/>
      <c r="BI499" s="182"/>
      <c r="BJ499" s="182"/>
      <c r="BK499" s="182"/>
      <c r="BL499" s="182"/>
      <c r="BM499" s="182"/>
      <c r="BN499" s="182"/>
      <c r="BO499" s="182"/>
      <c r="BP499" s="182"/>
      <c r="BQ499" s="182"/>
      <c r="BR499" s="182"/>
      <c r="BS499" s="182"/>
      <c r="BT499" s="182"/>
      <c r="BU499" s="182"/>
      <c r="BV499" s="182"/>
      <c r="BW499" s="182"/>
      <c r="BX499" s="182"/>
      <c r="BY499" s="182"/>
      <c r="BZ499" s="182"/>
      <c r="CA499" s="182"/>
      <c r="CB499" s="185">
        <v>351.75</v>
      </c>
      <c r="CC499" s="185">
        <v>0</v>
      </c>
      <c r="CD499" s="185">
        <v>1855</v>
      </c>
      <c r="CE499" s="185"/>
    </row>
    <row r="500" spans="2:83" x14ac:dyDescent="0.3">
      <c r="B500" s="182">
        <v>3769</v>
      </c>
      <c r="C500" s="182">
        <v>1856</v>
      </c>
      <c r="D500" s="182" t="s">
        <v>78</v>
      </c>
      <c r="E500" s="181" t="s">
        <v>4229</v>
      </c>
      <c r="F500" s="182"/>
      <c r="G500" s="182">
        <v>4443.59</v>
      </c>
      <c r="H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2"/>
      <c r="X500" s="182"/>
      <c r="Y500" s="182"/>
      <c r="Z500" s="182"/>
      <c r="AA500" s="182"/>
      <c r="AB500" s="182"/>
      <c r="AC500" s="182"/>
      <c r="AD500" s="182"/>
      <c r="AE500" s="182"/>
      <c r="AF500" s="182"/>
      <c r="AG500" s="182"/>
      <c r="AH500" s="182"/>
      <c r="AI500" s="182"/>
      <c r="AJ500" s="182"/>
      <c r="AK500" s="182"/>
      <c r="AL500" s="182"/>
      <c r="AM500" s="182"/>
      <c r="AN500" s="182"/>
      <c r="AO500" s="182"/>
      <c r="AP500" s="182"/>
      <c r="AQ500" s="185">
        <v>4443.59</v>
      </c>
      <c r="AR500" s="182">
        <v>2996.41</v>
      </c>
      <c r="AS500" s="182">
        <v>393.2</v>
      </c>
      <c r="AT500" s="182">
        <v>1053.98</v>
      </c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182"/>
      <c r="BK500" s="182"/>
      <c r="BL500" s="182"/>
      <c r="BM500" s="182"/>
      <c r="BN500" s="182"/>
      <c r="BO500" s="182"/>
      <c r="BP500" s="182"/>
      <c r="BQ500" s="182"/>
      <c r="BR500" s="182"/>
      <c r="BS500" s="182"/>
      <c r="BT500" s="182"/>
      <c r="BU500" s="182"/>
      <c r="BV500" s="182"/>
      <c r="BW500" s="182"/>
      <c r="BX500" s="182"/>
      <c r="BY500" s="182"/>
      <c r="BZ500" s="182"/>
      <c r="CA500" s="182"/>
      <c r="CB500" s="185">
        <v>4443.59</v>
      </c>
      <c r="CC500" s="185">
        <v>0</v>
      </c>
      <c r="CD500" s="185">
        <v>1856</v>
      </c>
      <c r="CE500" s="185"/>
    </row>
    <row r="501" spans="2:83" x14ac:dyDescent="0.3">
      <c r="B501" s="182">
        <v>3771</v>
      </c>
      <c r="C501" s="182">
        <v>1857</v>
      </c>
      <c r="D501" s="182" t="s">
        <v>78</v>
      </c>
      <c r="E501" s="181" t="s">
        <v>4229</v>
      </c>
      <c r="F501" s="182"/>
      <c r="G501" s="182">
        <v>3017.38</v>
      </c>
      <c r="H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2"/>
      <c r="X501" s="182"/>
      <c r="Y501" s="182"/>
      <c r="Z501" s="182"/>
      <c r="AA501" s="182"/>
      <c r="AB501" s="182"/>
      <c r="AC501" s="182"/>
      <c r="AD501" s="182"/>
      <c r="AE501" s="182"/>
      <c r="AF501" s="182"/>
      <c r="AG501" s="182"/>
      <c r="AH501" s="182"/>
      <c r="AI501" s="182"/>
      <c r="AJ501" s="182"/>
      <c r="AK501" s="182"/>
      <c r="AL501" s="182"/>
      <c r="AM501" s="182"/>
      <c r="AN501" s="182"/>
      <c r="AO501" s="182"/>
      <c r="AP501" s="182"/>
      <c r="AQ501" s="185">
        <v>3017.38</v>
      </c>
      <c r="AR501" s="182">
        <v>2291.65</v>
      </c>
      <c r="AS501" s="182">
        <v>287.85000000000002</v>
      </c>
      <c r="AT501" s="182">
        <v>437.88</v>
      </c>
      <c r="AU501" s="182"/>
      <c r="AV501" s="182"/>
      <c r="AW501" s="182"/>
      <c r="AX501" s="182"/>
      <c r="AY501" s="182"/>
      <c r="AZ501" s="182"/>
      <c r="BA501" s="182"/>
      <c r="BB501" s="182"/>
      <c r="BC501" s="182"/>
      <c r="BD501" s="182"/>
      <c r="BE501" s="182"/>
      <c r="BF501" s="182"/>
      <c r="BG501" s="182"/>
      <c r="BH501" s="182"/>
      <c r="BI501" s="182"/>
      <c r="BJ501" s="182"/>
      <c r="BK501" s="182"/>
      <c r="BL501" s="182"/>
      <c r="BM501" s="182"/>
      <c r="BN501" s="182"/>
      <c r="BO501" s="182"/>
      <c r="BP501" s="182"/>
      <c r="BQ501" s="182"/>
      <c r="BR501" s="182"/>
      <c r="BS501" s="182"/>
      <c r="BT501" s="182"/>
      <c r="BU501" s="182"/>
      <c r="BV501" s="182"/>
      <c r="BW501" s="182"/>
      <c r="BX501" s="182"/>
      <c r="BY501" s="182"/>
      <c r="BZ501" s="182"/>
      <c r="CA501" s="182"/>
      <c r="CB501" s="185">
        <v>3017.38</v>
      </c>
      <c r="CC501" s="185">
        <v>0</v>
      </c>
      <c r="CD501" s="185">
        <v>1857</v>
      </c>
      <c r="CE501" s="185"/>
    </row>
    <row r="502" spans="2:83" x14ac:dyDescent="0.3">
      <c r="B502" s="182">
        <v>3791</v>
      </c>
      <c r="C502" s="182">
        <v>1858</v>
      </c>
      <c r="D502" s="182" t="s">
        <v>78</v>
      </c>
      <c r="E502" s="181" t="s">
        <v>4229</v>
      </c>
      <c r="F502" s="182"/>
      <c r="G502" s="182">
        <v>975.88</v>
      </c>
      <c r="H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2"/>
      <c r="X502" s="182"/>
      <c r="Y502" s="182"/>
      <c r="Z502" s="182"/>
      <c r="AA502" s="182"/>
      <c r="AB502" s="182"/>
      <c r="AC502" s="182"/>
      <c r="AD502" s="182"/>
      <c r="AE502" s="182"/>
      <c r="AF502" s="182"/>
      <c r="AG502" s="182"/>
      <c r="AH502" s="182"/>
      <c r="AI502" s="182"/>
      <c r="AJ502" s="182"/>
      <c r="AK502" s="182"/>
      <c r="AL502" s="182"/>
      <c r="AM502" s="182"/>
      <c r="AN502" s="182"/>
      <c r="AO502" s="182"/>
      <c r="AP502" s="182"/>
      <c r="AQ502" s="185">
        <v>975.88</v>
      </c>
      <c r="AR502" s="182">
        <v>834.25</v>
      </c>
      <c r="AS502" s="182">
        <v>99.25</v>
      </c>
      <c r="AT502" s="182">
        <v>42.38</v>
      </c>
      <c r="AU502" s="182"/>
      <c r="AV502" s="182"/>
      <c r="AW502" s="182"/>
      <c r="AX502" s="182"/>
      <c r="AY502" s="182"/>
      <c r="AZ502" s="182"/>
      <c r="BA502" s="182"/>
      <c r="BB502" s="182"/>
      <c r="BC502" s="182"/>
      <c r="BD502" s="182"/>
      <c r="BE502" s="182"/>
      <c r="BF502" s="182"/>
      <c r="BG502" s="182"/>
      <c r="BH502" s="182"/>
      <c r="BI502" s="182"/>
      <c r="BJ502" s="182"/>
      <c r="BK502" s="182"/>
      <c r="BL502" s="182"/>
      <c r="BM502" s="182"/>
      <c r="BN502" s="182"/>
      <c r="BO502" s="182"/>
      <c r="BP502" s="182"/>
      <c r="BQ502" s="182"/>
      <c r="BR502" s="182"/>
      <c r="BS502" s="182"/>
      <c r="BT502" s="182"/>
      <c r="BU502" s="182"/>
      <c r="BV502" s="182"/>
      <c r="BW502" s="182"/>
      <c r="BX502" s="182"/>
      <c r="BY502" s="182"/>
      <c r="BZ502" s="182"/>
      <c r="CA502" s="182"/>
      <c r="CB502" s="185">
        <v>975.88</v>
      </c>
      <c r="CC502" s="185">
        <v>0</v>
      </c>
      <c r="CD502" s="185">
        <v>1858</v>
      </c>
      <c r="CE502" s="185"/>
    </row>
    <row r="503" spans="2:83" x14ac:dyDescent="0.3">
      <c r="B503" s="182">
        <v>3790</v>
      </c>
      <c r="C503" s="182">
        <v>1859</v>
      </c>
      <c r="D503" s="182" t="s">
        <v>78</v>
      </c>
      <c r="E503" s="181" t="s">
        <v>4229</v>
      </c>
      <c r="F503" s="182"/>
      <c r="G503" s="182">
        <v>2533.06</v>
      </c>
      <c r="H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2"/>
      <c r="X503" s="182"/>
      <c r="Y503" s="182"/>
      <c r="Z503" s="182"/>
      <c r="AA503" s="182"/>
      <c r="AB503" s="182"/>
      <c r="AC503" s="182"/>
      <c r="AD503" s="182"/>
      <c r="AE503" s="182"/>
      <c r="AF503" s="182"/>
      <c r="AG503" s="182"/>
      <c r="AH503" s="182"/>
      <c r="AI503" s="182"/>
      <c r="AJ503" s="182"/>
      <c r="AK503" s="182"/>
      <c r="AL503" s="182"/>
      <c r="AM503" s="182"/>
      <c r="AN503" s="182"/>
      <c r="AO503" s="182"/>
      <c r="AP503" s="182"/>
      <c r="AQ503" s="185">
        <v>2533.06</v>
      </c>
      <c r="AR503" s="182">
        <v>1759.96</v>
      </c>
      <c r="AS503" s="182">
        <v>227.65</v>
      </c>
      <c r="AT503" s="182">
        <v>545.45000000000005</v>
      </c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/>
      <c r="BH503" s="182"/>
      <c r="BI503" s="182"/>
      <c r="BJ503" s="182"/>
      <c r="BK503" s="182"/>
      <c r="BL503" s="182"/>
      <c r="BM503" s="182"/>
      <c r="BN503" s="182"/>
      <c r="BO503" s="182"/>
      <c r="BP503" s="182"/>
      <c r="BQ503" s="182"/>
      <c r="BR503" s="182"/>
      <c r="BS503" s="182"/>
      <c r="BT503" s="182"/>
      <c r="BU503" s="182"/>
      <c r="BV503" s="182"/>
      <c r="BW503" s="182"/>
      <c r="BX503" s="182"/>
      <c r="BY503" s="182"/>
      <c r="BZ503" s="182"/>
      <c r="CA503" s="182"/>
      <c r="CB503" s="185">
        <v>2533.0600000000004</v>
      </c>
      <c r="CC503" s="185">
        <v>0</v>
      </c>
      <c r="CD503" s="185">
        <v>1859</v>
      </c>
      <c r="CE503" s="185"/>
    </row>
    <row r="504" spans="2:83" x14ac:dyDescent="0.3">
      <c r="B504" s="182">
        <v>3774</v>
      </c>
      <c r="C504" s="182">
        <v>1860</v>
      </c>
      <c r="D504" s="182" t="s">
        <v>78</v>
      </c>
      <c r="E504" s="181" t="s">
        <v>4229</v>
      </c>
      <c r="F504" s="182"/>
      <c r="G504" s="182">
        <v>351.75</v>
      </c>
      <c r="H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2"/>
      <c r="X504" s="182"/>
      <c r="Y504" s="182"/>
      <c r="Z504" s="182"/>
      <c r="AA504" s="182"/>
      <c r="AB504" s="182"/>
      <c r="AC504" s="182"/>
      <c r="AD504" s="182"/>
      <c r="AE504" s="182"/>
      <c r="AF504" s="182"/>
      <c r="AG504" s="182"/>
      <c r="AH504" s="182"/>
      <c r="AI504" s="182"/>
      <c r="AJ504" s="182"/>
      <c r="AK504" s="182"/>
      <c r="AL504" s="182"/>
      <c r="AM504" s="182"/>
      <c r="AN504" s="182"/>
      <c r="AO504" s="182"/>
      <c r="AP504" s="182"/>
      <c r="AQ504" s="185">
        <v>351.75</v>
      </c>
      <c r="AR504" s="182">
        <v>235.37</v>
      </c>
      <c r="AS504" s="182">
        <v>31.63</v>
      </c>
      <c r="AT504" s="182">
        <v>84.75</v>
      </c>
      <c r="AU504" s="182"/>
      <c r="AV504" s="182"/>
      <c r="AW504" s="182"/>
      <c r="AX504" s="182"/>
      <c r="AY504" s="182"/>
      <c r="AZ504" s="182"/>
      <c r="BA504" s="182"/>
      <c r="BB504" s="182"/>
      <c r="BC504" s="182"/>
      <c r="BD504" s="182"/>
      <c r="BE504" s="182"/>
      <c r="BF504" s="182"/>
      <c r="BG504" s="182"/>
      <c r="BH504" s="182"/>
      <c r="BI504" s="182"/>
      <c r="BJ504" s="182"/>
      <c r="BK504" s="182"/>
      <c r="BL504" s="182"/>
      <c r="BM504" s="182"/>
      <c r="BN504" s="182"/>
      <c r="BO504" s="182"/>
      <c r="BP504" s="182"/>
      <c r="BQ504" s="182"/>
      <c r="BR504" s="182"/>
      <c r="BS504" s="182"/>
      <c r="BT504" s="182"/>
      <c r="BU504" s="182"/>
      <c r="BV504" s="182"/>
      <c r="BW504" s="182"/>
      <c r="BX504" s="182"/>
      <c r="BY504" s="182"/>
      <c r="BZ504" s="182"/>
      <c r="CA504" s="182"/>
      <c r="CB504" s="185">
        <v>351.75</v>
      </c>
      <c r="CC504" s="185">
        <v>0</v>
      </c>
      <c r="CD504" s="185">
        <v>1860</v>
      </c>
      <c r="CE504" s="185"/>
    </row>
    <row r="505" spans="2:83" x14ac:dyDescent="0.3">
      <c r="B505" s="182">
        <v>3768</v>
      </c>
      <c r="C505" s="182">
        <v>1861</v>
      </c>
      <c r="D505" s="182" t="s">
        <v>78</v>
      </c>
      <c r="E505" s="181" t="s">
        <v>4229</v>
      </c>
      <c r="F505" s="182"/>
      <c r="G505" s="182">
        <v>481.06</v>
      </c>
      <c r="H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2"/>
      <c r="X505" s="182"/>
      <c r="Y505" s="182"/>
      <c r="Z505" s="182"/>
      <c r="AA505" s="182"/>
      <c r="AB505" s="182"/>
      <c r="AC505" s="182"/>
      <c r="AD505" s="182"/>
      <c r="AE505" s="182"/>
      <c r="AF505" s="182"/>
      <c r="AG505" s="182"/>
      <c r="AH505" s="182"/>
      <c r="AI505" s="182"/>
      <c r="AJ505" s="182"/>
      <c r="AK505" s="182"/>
      <c r="AL505" s="182"/>
      <c r="AM505" s="182"/>
      <c r="AN505" s="182"/>
      <c r="AO505" s="182"/>
      <c r="AP505" s="182"/>
      <c r="AQ505" s="185">
        <v>481.06</v>
      </c>
      <c r="AR505" s="182">
        <v>345</v>
      </c>
      <c r="AS505" s="182">
        <v>44.25</v>
      </c>
      <c r="AT505" s="182">
        <v>91.81</v>
      </c>
      <c r="AU505" s="182"/>
      <c r="AV505" s="182"/>
      <c r="AW505" s="182"/>
      <c r="AX505" s="182"/>
      <c r="AY505" s="182"/>
      <c r="AZ505" s="182"/>
      <c r="BA505" s="182"/>
      <c r="BB505" s="182"/>
      <c r="BC505" s="182"/>
      <c r="BD505" s="182"/>
      <c r="BE505" s="182"/>
      <c r="BF505" s="182"/>
      <c r="BG505" s="182"/>
      <c r="BH505" s="182"/>
      <c r="BI505" s="182"/>
      <c r="BJ505" s="182"/>
      <c r="BK505" s="182"/>
      <c r="BL505" s="182"/>
      <c r="BM505" s="182"/>
      <c r="BN505" s="182"/>
      <c r="BO505" s="182"/>
      <c r="BP505" s="182"/>
      <c r="BQ505" s="182"/>
      <c r="BR505" s="182"/>
      <c r="BS505" s="182"/>
      <c r="BT505" s="182"/>
      <c r="BU505" s="182"/>
      <c r="BV505" s="182"/>
      <c r="BW505" s="182"/>
      <c r="BX505" s="182"/>
      <c r="BY505" s="182"/>
      <c r="BZ505" s="182"/>
      <c r="CA505" s="182"/>
      <c r="CB505" s="185">
        <v>481.06</v>
      </c>
      <c r="CC505" s="185">
        <v>0</v>
      </c>
      <c r="CD505" s="185">
        <v>1861</v>
      </c>
      <c r="CE505" s="185"/>
    </row>
    <row r="506" spans="2:83" x14ac:dyDescent="0.3">
      <c r="B506" s="182">
        <v>3767</v>
      </c>
      <c r="C506" s="182">
        <v>1862</v>
      </c>
      <c r="D506" s="182" t="s">
        <v>78</v>
      </c>
      <c r="E506" s="181" t="s">
        <v>4229</v>
      </c>
      <c r="F506" s="182"/>
      <c r="G506" s="182">
        <v>2403.56</v>
      </c>
      <c r="H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2"/>
      <c r="X506" s="182"/>
      <c r="Y506" s="182"/>
      <c r="Z506" s="182"/>
      <c r="AA506" s="182"/>
      <c r="AB506" s="182"/>
      <c r="AC506" s="182"/>
      <c r="AD506" s="182"/>
      <c r="AE506" s="182"/>
      <c r="AF506" s="182"/>
      <c r="AG506" s="182"/>
      <c r="AH506" s="182"/>
      <c r="AI506" s="182"/>
      <c r="AJ506" s="182"/>
      <c r="AK506" s="182"/>
      <c r="AL506" s="182"/>
      <c r="AM506" s="182"/>
      <c r="AN506" s="182"/>
      <c r="AO506" s="182"/>
      <c r="AP506" s="182"/>
      <c r="AQ506" s="185">
        <v>2403.56</v>
      </c>
      <c r="AR506" s="182">
        <v>1803.4</v>
      </c>
      <c r="AS506" s="182">
        <v>225.85</v>
      </c>
      <c r="AT506" s="182">
        <v>374.31</v>
      </c>
      <c r="AU506" s="182"/>
      <c r="AV506" s="182"/>
      <c r="AW506" s="182"/>
      <c r="AX506" s="182"/>
      <c r="AY506" s="182"/>
      <c r="AZ506" s="182"/>
      <c r="BA506" s="182"/>
      <c r="BB506" s="182"/>
      <c r="BC506" s="182"/>
      <c r="BD506" s="182"/>
      <c r="BE506" s="182"/>
      <c r="BF506" s="182"/>
      <c r="BG506" s="182"/>
      <c r="BH506" s="182"/>
      <c r="BI506" s="182"/>
      <c r="BJ506" s="182"/>
      <c r="BK506" s="182"/>
      <c r="BL506" s="182"/>
      <c r="BM506" s="182"/>
      <c r="BN506" s="182"/>
      <c r="BO506" s="182"/>
      <c r="BP506" s="182"/>
      <c r="BQ506" s="182"/>
      <c r="BR506" s="182"/>
      <c r="BS506" s="182"/>
      <c r="BT506" s="182"/>
      <c r="BU506" s="182"/>
      <c r="BV506" s="182"/>
      <c r="BW506" s="182"/>
      <c r="BX506" s="182"/>
      <c r="BY506" s="182"/>
      <c r="BZ506" s="182"/>
      <c r="CA506" s="182"/>
      <c r="CB506" s="185">
        <v>2403.56</v>
      </c>
      <c r="CC506" s="185">
        <v>0</v>
      </c>
      <c r="CD506" s="185">
        <v>1862</v>
      </c>
      <c r="CE506" s="185"/>
    </row>
    <row r="507" spans="2:83" x14ac:dyDescent="0.3">
      <c r="B507" s="182">
        <v>3766</v>
      </c>
      <c r="C507" s="182">
        <v>1863</v>
      </c>
      <c r="D507" s="182" t="s">
        <v>78</v>
      </c>
      <c r="E507" s="181" t="s">
        <v>4229</v>
      </c>
      <c r="F507" s="182"/>
      <c r="G507" s="182">
        <v>5265.89</v>
      </c>
      <c r="H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2"/>
      <c r="X507" s="182"/>
      <c r="Y507" s="182"/>
      <c r="Z507" s="182"/>
      <c r="AA507" s="182"/>
      <c r="AB507" s="182"/>
      <c r="AC507" s="182"/>
      <c r="AD507" s="182"/>
      <c r="AE507" s="182"/>
      <c r="AF507" s="182"/>
      <c r="AG507" s="182"/>
      <c r="AH507" s="182"/>
      <c r="AI507" s="182"/>
      <c r="AJ507" s="182"/>
      <c r="AK507" s="182"/>
      <c r="AL507" s="182"/>
      <c r="AM507" s="182"/>
      <c r="AN507" s="182"/>
      <c r="AO507" s="182"/>
      <c r="AP507" s="182"/>
      <c r="AQ507" s="185">
        <v>5265.89</v>
      </c>
      <c r="AR507" s="182">
        <v>3622.3</v>
      </c>
      <c r="AS507" s="182">
        <v>471.2</v>
      </c>
      <c r="AT507" s="182">
        <v>1172.3900000000001</v>
      </c>
      <c r="AU507" s="182"/>
      <c r="AV507" s="182"/>
      <c r="AW507" s="182"/>
      <c r="AX507" s="182"/>
      <c r="AY507" s="182"/>
      <c r="AZ507" s="182"/>
      <c r="BA507" s="182"/>
      <c r="BB507" s="182"/>
      <c r="BC507" s="182"/>
      <c r="BD507" s="182"/>
      <c r="BE507" s="182"/>
      <c r="BF507" s="182"/>
      <c r="BG507" s="182"/>
      <c r="BH507" s="182"/>
      <c r="BI507" s="182"/>
      <c r="BJ507" s="182"/>
      <c r="BK507" s="182"/>
      <c r="BL507" s="182"/>
      <c r="BM507" s="182"/>
      <c r="BN507" s="182"/>
      <c r="BO507" s="182"/>
      <c r="BP507" s="182"/>
      <c r="BQ507" s="182"/>
      <c r="BR507" s="182"/>
      <c r="BS507" s="182"/>
      <c r="BT507" s="182"/>
      <c r="BU507" s="182"/>
      <c r="BV507" s="182"/>
      <c r="BW507" s="182"/>
      <c r="BX507" s="182"/>
      <c r="BY507" s="182"/>
      <c r="BZ507" s="182"/>
      <c r="CA507" s="182"/>
      <c r="CB507" s="185">
        <v>5265.89</v>
      </c>
      <c r="CC507" s="185">
        <v>0</v>
      </c>
      <c r="CD507" s="185">
        <v>1863</v>
      </c>
      <c r="CE507" s="185"/>
    </row>
    <row r="508" spans="2:83" x14ac:dyDescent="0.3">
      <c r="B508" s="182">
        <v>3770</v>
      </c>
      <c r="C508" s="182">
        <v>1864</v>
      </c>
      <c r="D508" s="182" t="s">
        <v>78</v>
      </c>
      <c r="E508" s="181" t="s">
        <v>4229</v>
      </c>
      <c r="F508" s="182"/>
      <c r="G508" s="182">
        <v>322.44</v>
      </c>
      <c r="H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2"/>
      <c r="X508" s="182"/>
      <c r="Y508" s="182"/>
      <c r="Z508" s="182"/>
      <c r="AA508" s="182"/>
      <c r="AB508" s="182"/>
      <c r="AC508" s="182"/>
      <c r="AD508" s="182"/>
      <c r="AE508" s="182"/>
      <c r="AF508" s="182"/>
      <c r="AG508" s="182"/>
      <c r="AH508" s="182"/>
      <c r="AI508" s="182"/>
      <c r="AJ508" s="182"/>
      <c r="AK508" s="182"/>
      <c r="AL508" s="182"/>
      <c r="AM508" s="182"/>
      <c r="AN508" s="182"/>
      <c r="AO508" s="182"/>
      <c r="AP508" s="182"/>
      <c r="AQ508" s="185">
        <v>322.44</v>
      </c>
      <c r="AR508" s="182">
        <v>215.95</v>
      </c>
      <c r="AS508" s="182">
        <v>28.8</v>
      </c>
      <c r="AT508" s="182">
        <v>77.69</v>
      </c>
      <c r="AU508" s="182"/>
      <c r="AV508" s="182"/>
      <c r="AW508" s="182"/>
      <c r="AX508" s="182"/>
      <c r="AY508" s="182"/>
      <c r="AZ508" s="182"/>
      <c r="BA508" s="182"/>
      <c r="BB508" s="182"/>
      <c r="BC508" s="182"/>
      <c r="BD508" s="182"/>
      <c r="BE508" s="182"/>
      <c r="BF508" s="182"/>
      <c r="BG508" s="182"/>
      <c r="BH508" s="182"/>
      <c r="BI508" s="182"/>
      <c r="BJ508" s="182"/>
      <c r="BK508" s="182"/>
      <c r="BL508" s="182"/>
      <c r="BM508" s="182"/>
      <c r="BN508" s="182"/>
      <c r="BO508" s="182"/>
      <c r="BP508" s="182"/>
      <c r="BQ508" s="182"/>
      <c r="BR508" s="182"/>
      <c r="BS508" s="182"/>
      <c r="BT508" s="182"/>
      <c r="BU508" s="182"/>
      <c r="BV508" s="182"/>
      <c r="BW508" s="182"/>
      <c r="BX508" s="182"/>
      <c r="BY508" s="182"/>
      <c r="BZ508" s="182"/>
      <c r="CA508" s="182"/>
      <c r="CB508" s="185">
        <v>322.44</v>
      </c>
      <c r="CC508" s="185">
        <v>0</v>
      </c>
      <c r="CD508" s="185">
        <v>1864</v>
      </c>
      <c r="CE508" s="185"/>
    </row>
    <row r="509" spans="2:83" x14ac:dyDescent="0.3">
      <c r="B509" s="182">
        <v>3772</v>
      </c>
      <c r="C509" s="182">
        <v>1865</v>
      </c>
      <c r="D509" s="182" t="s">
        <v>78</v>
      </c>
      <c r="E509" s="181" t="s">
        <v>4229</v>
      </c>
      <c r="F509" s="182"/>
      <c r="G509" s="182">
        <v>703.5</v>
      </c>
      <c r="H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2"/>
      <c r="X509" s="182"/>
      <c r="Y509" s="182"/>
      <c r="Z509" s="182"/>
      <c r="AA509" s="182"/>
      <c r="AB509" s="182"/>
      <c r="AC509" s="182"/>
      <c r="AD509" s="182"/>
      <c r="AE509" s="182"/>
      <c r="AF509" s="182"/>
      <c r="AG509" s="182"/>
      <c r="AH509" s="182"/>
      <c r="AI509" s="182"/>
      <c r="AJ509" s="182"/>
      <c r="AK509" s="182"/>
      <c r="AL509" s="182"/>
      <c r="AM509" s="182"/>
      <c r="AN509" s="182"/>
      <c r="AO509" s="182"/>
      <c r="AP509" s="182"/>
      <c r="AQ509" s="185">
        <v>703.5</v>
      </c>
      <c r="AR509" s="182">
        <v>471.1</v>
      </c>
      <c r="AS509" s="182">
        <v>62.9</v>
      </c>
      <c r="AT509" s="182">
        <v>169.5</v>
      </c>
      <c r="AU509" s="182"/>
      <c r="AV509" s="182"/>
      <c r="AW509" s="182"/>
      <c r="AX509" s="182"/>
      <c r="AY509" s="182"/>
      <c r="AZ509" s="182"/>
      <c r="BA509" s="182"/>
      <c r="BB509" s="182"/>
      <c r="BC509" s="182"/>
      <c r="BD509" s="182"/>
      <c r="BE509" s="182"/>
      <c r="BF509" s="182"/>
      <c r="BG509" s="182"/>
      <c r="BH509" s="182"/>
      <c r="BI509" s="182"/>
      <c r="BJ509" s="182"/>
      <c r="BK509" s="182"/>
      <c r="BL509" s="182"/>
      <c r="BM509" s="182"/>
      <c r="BN509" s="182"/>
      <c r="BO509" s="182"/>
      <c r="BP509" s="182"/>
      <c r="BQ509" s="182"/>
      <c r="BR509" s="182"/>
      <c r="BS509" s="182"/>
      <c r="BT509" s="182"/>
      <c r="BU509" s="182"/>
      <c r="BV509" s="182"/>
      <c r="BW509" s="182"/>
      <c r="BX509" s="182"/>
      <c r="BY509" s="182"/>
      <c r="BZ509" s="182"/>
      <c r="CA509" s="182"/>
      <c r="CB509" s="185">
        <v>703.5</v>
      </c>
      <c r="CC509" s="185">
        <v>0</v>
      </c>
      <c r="CD509" s="185">
        <v>1865</v>
      </c>
      <c r="CE509" s="185"/>
    </row>
    <row r="510" spans="2:83" x14ac:dyDescent="0.3">
      <c r="B510" s="182">
        <v>3773</v>
      </c>
      <c r="C510" s="182">
        <v>1866</v>
      </c>
      <c r="D510" s="182" t="s">
        <v>78</v>
      </c>
      <c r="E510" s="181" t="s">
        <v>4229</v>
      </c>
      <c r="F510" s="182"/>
      <c r="G510" s="182">
        <v>351.75</v>
      </c>
      <c r="H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2"/>
      <c r="X510" s="182"/>
      <c r="Y510" s="182"/>
      <c r="Z510" s="182"/>
      <c r="AA510" s="182"/>
      <c r="AB510" s="182"/>
      <c r="AC510" s="182"/>
      <c r="AD510" s="182"/>
      <c r="AE510" s="182"/>
      <c r="AF510" s="182"/>
      <c r="AG510" s="182"/>
      <c r="AH510" s="182"/>
      <c r="AI510" s="182"/>
      <c r="AJ510" s="182"/>
      <c r="AK510" s="182"/>
      <c r="AL510" s="182"/>
      <c r="AM510" s="182"/>
      <c r="AN510" s="182"/>
      <c r="AO510" s="182"/>
      <c r="AP510" s="182"/>
      <c r="AQ510" s="185">
        <v>351.75</v>
      </c>
      <c r="AR510" s="182">
        <v>235.55</v>
      </c>
      <c r="AS510" s="182">
        <v>31.45</v>
      </c>
      <c r="AT510" s="182">
        <v>84.75</v>
      </c>
      <c r="AU510" s="182"/>
      <c r="AV510" s="182"/>
      <c r="AW510" s="182"/>
      <c r="AX510" s="182"/>
      <c r="AY510" s="182"/>
      <c r="AZ510" s="182"/>
      <c r="BA510" s="182"/>
      <c r="BB510" s="182"/>
      <c r="BC510" s="182"/>
      <c r="BD510" s="182"/>
      <c r="BE510" s="182"/>
      <c r="BF510" s="182"/>
      <c r="BG510" s="182"/>
      <c r="BH510" s="182"/>
      <c r="BI510" s="182"/>
      <c r="BJ510" s="182"/>
      <c r="BK510" s="182"/>
      <c r="BL510" s="182"/>
      <c r="BM510" s="182"/>
      <c r="BN510" s="182"/>
      <c r="BO510" s="182"/>
      <c r="BP510" s="182"/>
      <c r="BQ510" s="182"/>
      <c r="BR510" s="182"/>
      <c r="BS510" s="182"/>
      <c r="BT510" s="182"/>
      <c r="BU510" s="182"/>
      <c r="BV510" s="182"/>
      <c r="BW510" s="182"/>
      <c r="BX510" s="182"/>
      <c r="BY510" s="182"/>
      <c r="BZ510" s="182"/>
      <c r="CA510" s="182"/>
      <c r="CB510" s="185">
        <v>351.75</v>
      </c>
      <c r="CC510" s="185">
        <v>0</v>
      </c>
      <c r="CD510" s="185">
        <v>1866</v>
      </c>
      <c r="CE510" s="185"/>
    </row>
    <row r="511" spans="2:83" x14ac:dyDescent="0.3">
      <c r="B511" s="182">
        <v>3765</v>
      </c>
      <c r="C511" s="182">
        <v>1867</v>
      </c>
      <c r="D511" s="182" t="s">
        <v>78</v>
      </c>
      <c r="E511" s="181" t="s">
        <v>4229</v>
      </c>
      <c r="F511" s="182"/>
      <c r="G511" s="182">
        <v>703.5</v>
      </c>
      <c r="H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2"/>
      <c r="X511" s="182"/>
      <c r="Y511" s="182"/>
      <c r="Z511" s="182"/>
      <c r="AA511" s="182"/>
      <c r="AB511" s="182"/>
      <c r="AC511" s="182"/>
      <c r="AD511" s="182"/>
      <c r="AE511" s="182"/>
      <c r="AF511" s="182"/>
      <c r="AG511" s="182"/>
      <c r="AH511" s="182"/>
      <c r="AI511" s="182"/>
      <c r="AJ511" s="182"/>
      <c r="AK511" s="182"/>
      <c r="AL511" s="182"/>
      <c r="AM511" s="182"/>
      <c r="AN511" s="182"/>
      <c r="AO511" s="182"/>
      <c r="AP511" s="182"/>
      <c r="AQ511" s="185">
        <v>703.5</v>
      </c>
      <c r="AR511" s="182">
        <v>471.5</v>
      </c>
      <c r="AS511" s="182">
        <v>62.5</v>
      </c>
      <c r="AT511" s="182">
        <v>169.5</v>
      </c>
      <c r="AU511" s="182"/>
      <c r="AV511" s="182"/>
      <c r="AW511" s="182"/>
      <c r="AX511" s="182"/>
      <c r="AY511" s="182"/>
      <c r="AZ511" s="182"/>
      <c r="BA511" s="182"/>
      <c r="BB511" s="182"/>
      <c r="BC511" s="182"/>
      <c r="BD511" s="182"/>
      <c r="BE511" s="182"/>
      <c r="BF511" s="182"/>
      <c r="BG511" s="182"/>
      <c r="BH511" s="182"/>
      <c r="BI511" s="182"/>
      <c r="BJ511" s="182"/>
      <c r="BK511" s="182"/>
      <c r="BL511" s="182"/>
      <c r="BM511" s="182"/>
      <c r="BN511" s="182"/>
      <c r="BO511" s="182"/>
      <c r="BP511" s="182"/>
      <c r="BQ511" s="182"/>
      <c r="BR511" s="182"/>
      <c r="BS511" s="182"/>
      <c r="BT511" s="182"/>
      <c r="BU511" s="182"/>
      <c r="BV511" s="182"/>
      <c r="BW511" s="182"/>
      <c r="BX511" s="182"/>
      <c r="BY511" s="182"/>
      <c r="BZ511" s="182"/>
      <c r="CA511" s="182"/>
      <c r="CB511" s="185">
        <v>703.5</v>
      </c>
      <c r="CC511" s="185">
        <v>0</v>
      </c>
      <c r="CD511" s="185">
        <v>1867</v>
      </c>
      <c r="CE511" s="185"/>
    </row>
    <row r="512" spans="2:83" x14ac:dyDescent="0.3">
      <c r="B512" s="182">
        <v>1573</v>
      </c>
      <c r="C512" s="182">
        <v>1868</v>
      </c>
      <c r="D512" s="182" t="s">
        <v>121</v>
      </c>
      <c r="E512" s="181" t="s">
        <v>4218</v>
      </c>
      <c r="F512" s="182"/>
      <c r="G512" s="182">
        <v>1800</v>
      </c>
      <c r="H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182"/>
      <c r="AI512" s="182"/>
      <c r="AJ512" s="182"/>
      <c r="AK512" s="182"/>
      <c r="AL512" s="182"/>
      <c r="AM512" s="182"/>
      <c r="AN512" s="182"/>
      <c r="AO512" s="182"/>
      <c r="AP512" s="182"/>
      <c r="AQ512" s="185">
        <v>1800</v>
      </c>
      <c r="AR512" s="182">
        <v>1606.85</v>
      </c>
      <c r="AS512" s="182">
        <v>193.15</v>
      </c>
      <c r="AT512" s="182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182"/>
      <c r="BK512" s="182"/>
      <c r="BL512" s="182"/>
      <c r="BM512" s="182"/>
      <c r="BN512" s="182"/>
      <c r="BO512" s="182"/>
      <c r="BP512" s="182"/>
      <c r="BQ512" s="182"/>
      <c r="BR512" s="182"/>
      <c r="BS512" s="182"/>
      <c r="BT512" s="182"/>
      <c r="BU512" s="182"/>
      <c r="BV512" s="182"/>
      <c r="BW512" s="182"/>
      <c r="BX512" s="182"/>
      <c r="BY512" s="182"/>
      <c r="BZ512" s="182"/>
      <c r="CA512" s="182"/>
      <c r="CB512" s="185">
        <v>1800</v>
      </c>
      <c r="CC512" s="185">
        <v>0</v>
      </c>
      <c r="CD512" s="185">
        <v>1868</v>
      </c>
      <c r="CE512" s="185"/>
    </row>
    <row r="513" spans="2:83" x14ac:dyDescent="0.3">
      <c r="B513" s="182">
        <v>1572</v>
      </c>
      <c r="C513" s="182">
        <v>1869</v>
      </c>
      <c r="D513" s="182" t="s">
        <v>121</v>
      </c>
      <c r="E513" s="181" t="s">
        <v>4230</v>
      </c>
      <c r="F513" s="182"/>
      <c r="G513" s="182">
        <v>2110.5</v>
      </c>
      <c r="H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182"/>
      <c r="AI513" s="182"/>
      <c r="AJ513" s="182"/>
      <c r="AK513" s="182"/>
      <c r="AL513" s="182"/>
      <c r="AM513" s="182"/>
      <c r="AN513" s="182"/>
      <c r="AO513" s="182"/>
      <c r="AP513" s="182"/>
      <c r="AQ513" s="185">
        <v>2110.5</v>
      </c>
      <c r="AR513" s="182">
        <v>1410.35</v>
      </c>
      <c r="AS513" s="182">
        <v>191.65</v>
      </c>
      <c r="AT513" s="182">
        <v>508.5</v>
      </c>
      <c r="AU513" s="182"/>
      <c r="AV513" s="182"/>
      <c r="AW513" s="182"/>
      <c r="AX513" s="182"/>
      <c r="AY513" s="182"/>
      <c r="AZ513" s="182"/>
      <c r="BA513" s="182"/>
      <c r="BB513" s="182"/>
      <c r="BC513" s="182"/>
      <c r="BD513" s="182"/>
      <c r="BE513" s="182"/>
      <c r="BF513" s="182"/>
      <c r="BG513" s="182"/>
      <c r="BH513" s="182"/>
      <c r="BI513" s="182"/>
      <c r="BJ513" s="182"/>
      <c r="BK513" s="182"/>
      <c r="BL513" s="182"/>
      <c r="BM513" s="182"/>
      <c r="BN513" s="182"/>
      <c r="BO513" s="182"/>
      <c r="BP513" s="182"/>
      <c r="BQ513" s="182"/>
      <c r="BR513" s="182"/>
      <c r="BS513" s="182"/>
      <c r="BT513" s="182"/>
      <c r="BU513" s="182"/>
      <c r="BV513" s="182"/>
      <c r="BW513" s="182"/>
      <c r="BX513" s="182"/>
      <c r="BY513" s="182"/>
      <c r="BZ513" s="182"/>
      <c r="CA513" s="182"/>
      <c r="CB513" s="185">
        <v>2110.5</v>
      </c>
      <c r="CC513" s="185">
        <v>0</v>
      </c>
      <c r="CD513" s="185">
        <v>1869</v>
      </c>
      <c r="CE513" s="185"/>
    </row>
    <row r="514" spans="2:83" x14ac:dyDescent="0.3">
      <c r="B514" s="182">
        <v>1573</v>
      </c>
      <c r="C514" s="182">
        <v>1870</v>
      </c>
      <c r="D514" s="182" t="s">
        <v>121</v>
      </c>
      <c r="E514" s="181" t="s">
        <v>4231</v>
      </c>
      <c r="F514" s="182"/>
      <c r="G514" s="182">
        <v>7594.31</v>
      </c>
      <c r="H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2"/>
      <c r="X514" s="182"/>
      <c r="Y514" s="182"/>
      <c r="Z514" s="182"/>
      <c r="AA514" s="182"/>
      <c r="AB514" s="182"/>
      <c r="AC514" s="182"/>
      <c r="AD514" s="182"/>
      <c r="AE514" s="182"/>
      <c r="AF514" s="182"/>
      <c r="AG514" s="182"/>
      <c r="AH514" s="182"/>
      <c r="AI514" s="182"/>
      <c r="AJ514" s="182"/>
      <c r="AK514" s="182"/>
      <c r="AL514" s="182"/>
      <c r="AM514" s="182"/>
      <c r="AN514" s="182"/>
      <c r="AO514" s="182"/>
      <c r="AP514" s="182"/>
      <c r="AQ514" s="185">
        <v>7594.31</v>
      </c>
      <c r="AR514" s="182">
        <v>5109.37</v>
      </c>
      <c r="AS514" s="182">
        <v>692.8</v>
      </c>
      <c r="AT514" s="182">
        <v>1792.14</v>
      </c>
      <c r="AU514" s="182"/>
      <c r="AV514" s="182"/>
      <c r="AW514" s="182"/>
      <c r="AX514" s="182"/>
      <c r="AY514" s="182"/>
      <c r="AZ514" s="182"/>
      <c r="BA514" s="182"/>
      <c r="BB514" s="182"/>
      <c r="BC514" s="182"/>
      <c r="BD514" s="182"/>
      <c r="BE514" s="182"/>
      <c r="BF514" s="182"/>
      <c r="BG514" s="182"/>
      <c r="BH514" s="182"/>
      <c r="BI514" s="182"/>
      <c r="BJ514" s="182"/>
      <c r="BK514" s="182"/>
      <c r="BL514" s="182"/>
      <c r="BM514" s="182"/>
      <c r="BN514" s="182"/>
      <c r="BO514" s="182"/>
      <c r="BP514" s="182"/>
      <c r="BQ514" s="182"/>
      <c r="BR514" s="182"/>
      <c r="BS514" s="182"/>
      <c r="BT514" s="182"/>
      <c r="BU514" s="182"/>
      <c r="BV514" s="182"/>
      <c r="BW514" s="182"/>
      <c r="BX514" s="182"/>
      <c r="BY514" s="182"/>
      <c r="BZ514" s="182"/>
      <c r="CA514" s="182"/>
      <c r="CB514" s="185">
        <v>7594.31</v>
      </c>
      <c r="CC514" s="185">
        <v>0</v>
      </c>
      <c r="CD514" s="185">
        <v>1870</v>
      </c>
      <c r="CE514" s="185"/>
    </row>
    <row r="515" spans="2:83" ht="37.5" x14ac:dyDescent="0.3">
      <c r="B515" s="182">
        <v>3833</v>
      </c>
      <c r="C515" s="182">
        <v>1871</v>
      </c>
      <c r="D515" s="182" t="s">
        <v>128</v>
      </c>
      <c r="E515" s="181" t="s">
        <v>4225</v>
      </c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>
        <v>25237.91</v>
      </c>
      <c r="T515" s="182"/>
      <c r="U515" s="182"/>
      <c r="V515" s="182"/>
      <c r="W515" s="182"/>
      <c r="X515" s="182"/>
      <c r="Y515" s="182"/>
      <c r="Z515" s="182"/>
      <c r="AA515" s="182"/>
      <c r="AB515" s="182"/>
      <c r="AC515" s="182"/>
      <c r="AD515" s="182"/>
      <c r="AE515" s="182"/>
      <c r="AF515" s="182"/>
      <c r="AG515" s="182"/>
      <c r="AH515" s="182"/>
      <c r="AI515" s="182"/>
      <c r="AJ515" s="182"/>
      <c r="AK515" s="182"/>
      <c r="AL515" s="182"/>
      <c r="AM515" s="182"/>
      <c r="AN515" s="182"/>
      <c r="AO515" s="182"/>
      <c r="AP515" s="182"/>
      <c r="AQ515" s="185">
        <v>25237.91</v>
      </c>
      <c r="AR515" s="182">
        <v>25237.91</v>
      </c>
      <c r="AS515" s="182"/>
      <c r="AT515" s="182"/>
      <c r="AU515" s="182"/>
      <c r="AV515" s="182"/>
      <c r="AW515" s="182"/>
      <c r="AX515" s="182"/>
      <c r="AY515" s="182"/>
      <c r="AZ515" s="182"/>
      <c r="BA515" s="182"/>
      <c r="BB515" s="182"/>
      <c r="BC515" s="182"/>
      <c r="BD515" s="182"/>
      <c r="BE515" s="182"/>
      <c r="BF515" s="182"/>
      <c r="BG515" s="182"/>
      <c r="BH515" s="182"/>
      <c r="BI515" s="182"/>
      <c r="BJ515" s="182"/>
      <c r="BK515" s="182"/>
      <c r="BL515" s="182"/>
      <c r="BM515" s="182"/>
      <c r="BN515" s="182"/>
      <c r="BO515" s="182"/>
      <c r="BP515" s="182"/>
      <c r="BQ515" s="182"/>
      <c r="BR515" s="182"/>
      <c r="BS515" s="182"/>
      <c r="BT515" s="182"/>
      <c r="BU515" s="182"/>
      <c r="BV515" s="182"/>
      <c r="BW515" s="182"/>
      <c r="BX515" s="182"/>
      <c r="BY515" s="182"/>
      <c r="BZ515" s="182"/>
      <c r="CA515" s="182"/>
      <c r="CB515" s="185">
        <v>25237.91</v>
      </c>
      <c r="CC515" s="185">
        <v>0</v>
      </c>
      <c r="CD515" s="185">
        <v>1871</v>
      </c>
      <c r="CE515" s="185"/>
    </row>
    <row r="516" spans="2:83" ht="37.5" x14ac:dyDescent="0.3">
      <c r="B516" s="182">
        <v>3834</v>
      </c>
      <c r="C516" s="182">
        <v>1872</v>
      </c>
      <c r="D516" s="182" t="s">
        <v>724</v>
      </c>
      <c r="E516" s="181" t="s">
        <v>4225</v>
      </c>
      <c r="F516" s="182"/>
      <c r="G516" s="182"/>
      <c r="H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>
        <v>952.74</v>
      </c>
      <c r="T516" s="182"/>
      <c r="U516" s="182"/>
      <c r="V516" s="182"/>
      <c r="W516" s="182"/>
      <c r="X516" s="182"/>
      <c r="Y516" s="182"/>
      <c r="Z516" s="182"/>
      <c r="AA516" s="182"/>
      <c r="AB516" s="182"/>
      <c r="AC516" s="182"/>
      <c r="AD516" s="182"/>
      <c r="AE516" s="182"/>
      <c r="AF516" s="182"/>
      <c r="AG516" s="182"/>
      <c r="AH516" s="182"/>
      <c r="AI516" s="182"/>
      <c r="AJ516" s="182"/>
      <c r="AK516" s="182"/>
      <c r="AL516" s="182"/>
      <c r="AM516" s="182"/>
      <c r="AN516" s="182"/>
      <c r="AO516" s="182"/>
      <c r="AP516" s="182"/>
      <c r="AQ516" s="185">
        <v>952.74</v>
      </c>
      <c r="AR516" s="182">
        <v>952.74</v>
      </c>
      <c r="AS516" s="182"/>
      <c r="AT516" s="182"/>
      <c r="AU516" s="182"/>
      <c r="AV516" s="182"/>
      <c r="AW516" s="182"/>
      <c r="AX516" s="182"/>
      <c r="AY516" s="182"/>
      <c r="AZ516" s="182"/>
      <c r="BA516" s="182"/>
      <c r="BB516" s="182"/>
      <c r="BC516" s="182"/>
      <c r="BD516" s="182"/>
      <c r="BE516" s="182"/>
      <c r="BF516" s="182"/>
      <c r="BG516" s="182"/>
      <c r="BH516" s="182"/>
      <c r="BI516" s="182"/>
      <c r="BJ516" s="182"/>
      <c r="BK516" s="182"/>
      <c r="BL516" s="182"/>
      <c r="BM516" s="182"/>
      <c r="BN516" s="182"/>
      <c r="BO516" s="182"/>
      <c r="BP516" s="182"/>
      <c r="BQ516" s="182"/>
      <c r="BR516" s="182"/>
      <c r="BS516" s="182"/>
      <c r="BT516" s="182"/>
      <c r="BU516" s="182"/>
      <c r="BV516" s="182"/>
      <c r="BW516" s="182"/>
      <c r="BX516" s="182"/>
      <c r="BY516" s="182"/>
      <c r="BZ516" s="182"/>
      <c r="CA516" s="182"/>
      <c r="CB516" s="185">
        <v>952.74</v>
      </c>
      <c r="CC516" s="185">
        <v>0</v>
      </c>
      <c r="CD516" s="185">
        <v>1872</v>
      </c>
      <c r="CE516" s="185"/>
    </row>
    <row r="517" spans="2:83" ht="37.5" x14ac:dyDescent="0.3">
      <c r="B517" s="182">
        <v>3832</v>
      </c>
      <c r="C517" s="182">
        <v>1873</v>
      </c>
      <c r="D517" s="182" t="s">
        <v>130</v>
      </c>
      <c r="E517" s="181" t="s">
        <v>4225</v>
      </c>
      <c r="F517" s="182"/>
      <c r="G517" s="182"/>
      <c r="H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>
        <v>3444.34</v>
      </c>
      <c r="T517" s="182"/>
      <c r="U517" s="182"/>
      <c r="V517" s="182"/>
      <c r="W517" s="182"/>
      <c r="X517" s="182"/>
      <c r="Y517" s="182"/>
      <c r="Z517" s="182"/>
      <c r="AA517" s="182"/>
      <c r="AB517" s="182"/>
      <c r="AC517" s="182"/>
      <c r="AD517" s="182"/>
      <c r="AE517" s="182"/>
      <c r="AF517" s="182"/>
      <c r="AG517" s="182"/>
      <c r="AH517" s="182"/>
      <c r="AI517" s="182"/>
      <c r="AJ517" s="182"/>
      <c r="AK517" s="182"/>
      <c r="AL517" s="182"/>
      <c r="AM517" s="182"/>
      <c r="AN517" s="182"/>
      <c r="AO517" s="182"/>
      <c r="AP517" s="182"/>
      <c r="AQ517" s="185">
        <v>3444.34</v>
      </c>
      <c r="AR517" s="182">
        <v>3444.34</v>
      </c>
      <c r="AS517" s="182"/>
      <c r="AT517" s="182"/>
      <c r="AU517" s="182"/>
      <c r="AV517" s="182"/>
      <c r="AW517" s="182"/>
      <c r="AX517" s="182"/>
      <c r="AY517" s="182"/>
      <c r="AZ517" s="182"/>
      <c r="BA517" s="182"/>
      <c r="BB517" s="182"/>
      <c r="BC517" s="182"/>
      <c r="BD517" s="182"/>
      <c r="BE517" s="182"/>
      <c r="BF517" s="182"/>
      <c r="BG517" s="182"/>
      <c r="BH517" s="182"/>
      <c r="BI517" s="182"/>
      <c r="BJ517" s="182"/>
      <c r="BK517" s="182"/>
      <c r="BL517" s="182"/>
      <c r="BM517" s="182"/>
      <c r="BN517" s="182"/>
      <c r="BO517" s="182"/>
      <c r="BP517" s="182"/>
      <c r="BQ517" s="182"/>
      <c r="BR517" s="182"/>
      <c r="BS517" s="182"/>
      <c r="BT517" s="182"/>
      <c r="BU517" s="182"/>
      <c r="BV517" s="182"/>
      <c r="BW517" s="182"/>
      <c r="BX517" s="182"/>
      <c r="BY517" s="182"/>
      <c r="BZ517" s="182"/>
      <c r="CA517" s="182"/>
      <c r="CB517" s="185">
        <v>3444.34</v>
      </c>
      <c r="CC517" s="185">
        <v>0</v>
      </c>
      <c r="CD517" s="185">
        <v>1873</v>
      </c>
      <c r="CE517" s="185"/>
    </row>
    <row r="518" spans="2:83" ht="37.5" x14ac:dyDescent="0.3">
      <c r="B518" s="182">
        <v>3831</v>
      </c>
      <c r="C518" s="182">
        <v>1874</v>
      </c>
      <c r="D518" s="182" t="s">
        <v>78</v>
      </c>
      <c r="E518" s="181" t="s">
        <v>4225</v>
      </c>
      <c r="F518" s="182"/>
      <c r="G518" s="182"/>
      <c r="H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>
        <v>352385.14</v>
      </c>
      <c r="T518" s="182"/>
      <c r="U518" s="182"/>
      <c r="V518" s="182"/>
      <c r="W518" s="182"/>
      <c r="X518" s="182"/>
      <c r="Y518" s="182"/>
      <c r="Z518" s="182"/>
      <c r="AA518" s="182"/>
      <c r="AB518" s="182"/>
      <c r="AC518" s="182"/>
      <c r="AD518" s="182"/>
      <c r="AE518" s="182"/>
      <c r="AF518" s="182"/>
      <c r="AG518" s="182"/>
      <c r="AH518" s="182"/>
      <c r="AI518" s="182"/>
      <c r="AJ518" s="182"/>
      <c r="AK518" s="182"/>
      <c r="AL518" s="182"/>
      <c r="AM518" s="182"/>
      <c r="AN518" s="182"/>
      <c r="AO518" s="182"/>
      <c r="AP518" s="182"/>
      <c r="AQ518" s="185">
        <v>352385.14</v>
      </c>
      <c r="AR518" s="182">
        <v>352385.14</v>
      </c>
      <c r="AS518" s="182"/>
      <c r="AT518" s="182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182"/>
      <c r="BK518" s="182"/>
      <c r="BL518" s="182"/>
      <c r="BM518" s="182"/>
      <c r="BN518" s="182"/>
      <c r="BO518" s="182"/>
      <c r="BP518" s="182"/>
      <c r="BQ518" s="182"/>
      <c r="BR518" s="182"/>
      <c r="BS518" s="182"/>
      <c r="BT518" s="182"/>
      <c r="BU518" s="182"/>
      <c r="BV518" s="182"/>
      <c r="BW518" s="182"/>
      <c r="BX518" s="182"/>
      <c r="BY518" s="182"/>
      <c r="BZ518" s="182"/>
      <c r="CA518" s="182"/>
      <c r="CB518" s="185">
        <v>352385.14</v>
      </c>
      <c r="CC518" s="185">
        <v>0</v>
      </c>
      <c r="CD518" s="185">
        <v>1874</v>
      </c>
      <c r="CE518" s="185"/>
    </row>
    <row r="519" spans="2:83" x14ac:dyDescent="0.3">
      <c r="B519" s="182">
        <v>3512</v>
      </c>
      <c r="C519" s="182">
        <v>1875</v>
      </c>
      <c r="D519" s="182" t="s">
        <v>132</v>
      </c>
      <c r="E519" s="181" t="s">
        <v>3572</v>
      </c>
      <c r="F519" s="182"/>
      <c r="G519" s="182">
        <v>751</v>
      </c>
      <c r="H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2"/>
      <c r="X519" s="182"/>
      <c r="Y519" s="182"/>
      <c r="Z519" s="182"/>
      <c r="AA519" s="182"/>
      <c r="AB519" s="182"/>
      <c r="AC519" s="182"/>
      <c r="AD519" s="182"/>
      <c r="AE519" s="182"/>
      <c r="AF519" s="182"/>
      <c r="AG519" s="182"/>
      <c r="AH519" s="182"/>
      <c r="AI519" s="182"/>
      <c r="AJ519" s="182"/>
      <c r="AK519" s="182"/>
      <c r="AL519" s="182"/>
      <c r="AM519" s="182"/>
      <c r="AN519" s="182"/>
      <c r="AO519" s="182"/>
      <c r="AP519" s="182"/>
      <c r="AQ519" s="185">
        <v>751</v>
      </c>
      <c r="AR519" s="182">
        <v>553.32000000000005</v>
      </c>
      <c r="AS519" s="182">
        <v>16.739999999999998</v>
      </c>
      <c r="AT519" s="182">
        <v>180.94</v>
      </c>
      <c r="AU519" s="182"/>
      <c r="AV519" s="182"/>
      <c r="AW519" s="182"/>
      <c r="AX519" s="182"/>
      <c r="AY519" s="182"/>
      <c r="AZ519" s="182"/>
      <c r="BA519" s="182"/>
      <c r="BB519" s="182"/>
      <c r="BC519" s="182"/>
      <c r="BD519" s="182"/>
      <c r="BE519" s="182"/>
      <c r="BF519" s="182"/>
      <c r="BG519" s="182"/>
      <c r="BH519" s="182"/>
      <c r="BI519" s="182"/>
      <c r="BJ519" s="182"/>
      <c r="BK519" s="182"/>
      <c r="BL519" s="182"/>
      <c r="BM519" s="182"/>
      <c r="BN519" s="182"/>
      <c r="BO519" s="182"/>
      <c r="BP519" s="182"/>
      <c r="BQ519" s="182"/>
      <c r="BR519" s="182"/>
      <c r="BS519" s="182"/>
      <c r="BT519" s="182"/>
      <c r="BU519" s="182"/>
      <c r="BV519" s="182"/>
      <c r="BW519" s="182"/>
      <c r="BX519" s="182"/>
      <c r="BY519" s="182"/>
      <c r="BZ519" s="182"/>
      <c r="CA519" s="182"/>
      <c r="CB519" s="185">
        <v>751</v>
      </c>
      <c r="CC519" s="185">
        <v>0</v>
      </c>
      <c r="CD519" s="185">
        <v>1875</v>
      </c>
      <c r="CE519" s="185"/>
    </row>
    <row r="520" spans="2:83" x14ac:dyDescent="0.3">
      <c r="B520" s="182">
        <v>3513</v>
      </c>
      <c r="C520" s="182">
        <v>1876</v>
      </c>
      <c r="D520" s="182" t="s">
        <v>132</v>
      </c>
      <c r="E520" s="181" t="s">
        <v>3572</v>
      </c>
      <c r="F520" s="182"/>
      <c r="G520" s="182">
        <v>733.41</v>
      </c>
      <c r="H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2"/>
      <c r="X520" s="182"/>
      <c r="Y520" s="182"/>
      <c r="Z520" s="182"/>
      <c r="AA520" s="182"/>
      <c r="AB520" s="182"/>
      <c r="AC520" s="182"/>
      <c r="AD520" s="182"/>
      <c r="AE520" s="182"/>
      <c r="AF520" s="182"/>
      <c r="AG520" s="182"/>
      <c r="AH520" s="182"/>
      <c r="AI520" s="182"/>
      <c r="AJ520" s="182"/>
      <c r="AK520" s="182"/>
      <c r="AL520" s="182"/>
      <c r="AM520" s="182"/>
      <c r="AN520" s="182"/>
      <c r="AO520" s="182"/>
      <c r="AP520" s="182"/>
      <c r="AQ520" s="185">
        <v>733.41</v>
      </c>
      <c r="AR520" s="182">
        <v>540.33000000000004</v>
      </c>
      <c r="AS520" s="182">
        <v>16.41</v>
      </c>
      <c r="AT520" s="182">
        <v>176.67</v>
      </c>
      <c r="AU520" s="182"/>
      <c r="AV520" s="182"/>
      <c r="AW520" s="182"/>
      <c r="AX520" s="182"/>
      <c r="AY520" s="182"/>
      <c r="AZ520" s="182"/>
      <c r="BA520" s="182"/>
      <c r="BB520" s="182"/>
      <c r="BC520" s="182"/>
      <c r="BD520" s="182"/>
      <c r="BE520" s="182"/>
      <c r="BF520" s="182"/>
      <c r="BG520" s="182"/>
      <c r="BH520" s="182"/>
      <c r="BI520" s="182"/>
      <c r="BJ520" s="182"/>
      <c r="BK520" s="182"/>
      <c r="BL520" s="182"/>
      <c r="BM520" s="182"/>
      <c r="BN520" s="182"/>
      <c r="BO520" s="182"/>
      <c r="BP520" s="182"/>
      <c r="BQ520" s="182"/>
      <c r="BR520" s="182"/>
      <c r="BS520" s="182"/>
      <c r="BT520" s="182"/>
      <c r="BU520" s="182"/>
      <c r="BV520" s="182"/>
      <c r="BW520" s="182"/>
      <c r="BX520" s="182"/>
      <c r="BY520" s="182"/>
      <c r="BZ520" s="182"/>
      <c r="CA520" s="182"/>
      <c r="CB520" s="185">
        <v>733.41</v>
      </c>
      <c r="CC520" s="185">
        <v>0</v>
      </c>
      <c r="CD520" s="185">
        <v>1876</v>
      </c>
      <c r="CE520" s="185"/>
    </row>
    <row r="521" spans="2:83" x14ac:dyDescent="0.3">
      <c r="B521" s="182">
        <v>3514</v>
      </c>
      <c r="C521" s="182">
        <v>1877</v>
      </c>
      <c r="D521" s="182" t="s">
        <v>132</v>
      </c>
      <c r="E521" s="181" t="s">
        <v>3572</v>
      </c>
      <c r="F521" s="182"/>
      <c r="G521" s="182">
        <v>7659.57</v>
      </c>
      <c r="H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2"/>
      <c r="X521" s="182"/>
      <c r="Y521" s="182"/>
      <c r="Z521" s="182"/>
      <c r="AA521" s="182"/>
      <c r="AB521" s="182"/>
      <c r="AC521" s="182"/>
      <c r="AD521" s="182"/>
      <c r="AE521" s="182"/>
      <c r="AF521" s="182"/>
      <c r="AG521" s="182"/>
      <c r="AH521" s="182"/>
      <c r="AI521" s="182"/>
      <c r="AJ521" s="182"/>
      <c r="AK521" s="182"/>
      <c r="AL521" s="182"/>
      <c r="AM521" s="182"/>
      <c r="AN521" s="182"/>
      <c r="AO521" s="182"/>
      <c r="AP521" s="182"/>
      <c r="AQ521" s="185">
        <v>7659.57</v>
      </c>
      <c r="AR521" s="182">
        <v>5525.34</v>
      </c>
      <c r="AS521" s="182">
        <v>250.61</v>
      </c>
      <c r="AT521" s="182">
        <v>1883.62</v>
      </c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182"/>
      <c r="BK521" s="182"/>
      <c r="BL521" s="182"/>
      <c r="BM521" s="182"/>
      <c r="BN521" s="182"/>
      <c r="BO521" s="182"/>
      <c r="BP521" s="182"/>
      <c r="BQ521" s="182"/>
      <c r="BR521" s="182"/>
      <c r="BS521" s="182"/>
      <c r="BT521" s="182"/>
      <c r="BU521" s="182"/>
      <c r="BV521" s="182"/>
      <c r="BW521" s="182"/>
      <c r="BX521" s="182"/>
      <c r="BY521" s="182"/>
      <c r="BZ521" s="182"/>
      <c r="CA521" s="182"/>
      <c r="CB521" s="185">
        <v>7659.57</v>
      </c>
      <c r="CC521" s="185">
        <v>0</v>
      </c>
      <c r="CD521" s="185">
        <v>1877</v>
      </c>
      <c r="CE521" s="185"/>
    </row>
    <row r="522" spans="2:83" x14ac:dyDescent="0.3">
      <c r="B522" s="182"/>
      <c r="C522" s="182">
        <v>1878</v>
      </c>
      <c r="D522" s="182" t="s">
        <v>332</v>
      </c>
      <c r="E522" s="181" t="s">
        <v>4232</v>
      </c>
      <c r="F522" s="182"/>
      <c r="G522" s="182"/>
      <c r="H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2"/>
      <c r="X522" s="182"/>
      <c r="Y522" s="182"/>
      <c r="Z522" s="182"/>
      <c r="AA522" s="182"/>
      <c r="AB522" s="182"/>
      <c r="AC522" s="182"/>
      <c r="AD522" s="182"/>
      <c r="AE522" s="182"/>
      <c r="AF522" s="182"/>
      <c r="AG522" s="182"/>
      <c r="AH522" s="182"/>
      <c r="AI522" s="182"/>
      <c r="AJ522" s="182"/>
      <c r="AK522" s="182"/>
      <c r="AL522" s="182"/>
      <c r="AM522" s="182"/>
      <c r="AN522" s="182"/>
      <c r="AO522" s="182"/>
      <c r="AP522" s="182"/>
      <c r="AQ522" s="185">
        <v>0</v>
      </c>
      <c r="AR522" s="182"/>
      <c r="AS522" s="182"/>
      <c r="AT522" s="182"/>
      <c r="AU522" s="182"/>
      <c r="AV522" s="182"/>
      <c r="AW522" s="182"/>
      <c r="AX522" s="182"/>
      <c r="AY522" s="182"/>
      <c r="AZ522" s="182"/>
      <c r="BA522" s="182"/>
      <c r="BB522" s="182"/>
      <c r="BC522" s="182"/>
      <c r="BD522" s="182"/>
      <c r="BE522" s="182"/>
      <c r="BF522" s="182"/>
      <c r="BG522" s="182"/>
      <c r="BH522" s="182"/>
      <c r="BI522" s="182"/>
      <c r="BJ522" s="182"/>
      <c r="BK522" s="182"/>
      <c r="BL522" s="182"/>
      <c r="BM522" s="182"/>
      <c r="BN522" s="182"/>
      <c r="BO522" s="182"/>
      <c r="BP522" s="182"/>
      <c r="BQ522" s="182"/>
      <c r="BR522" s="182"/>
      <c r="BS522" s="182"/>
      <c r="BT522" s="182"/>
      <c r="BU522" s="182"/>
      <c r="BV522" s="182"/>
      <c r="BW522" s="182"/>
      <c r="BX522" s="182"/>
      <c r="BY522" s="182"/>
      <c r="BZ522" s="182"/>
      <c r="CA522" s="182"/>
      <c r="CB522" s="185">
        <v>0</v>
      </c>
      <c r="CC522" s="185">
        <v>0</v>
      </c>
      <c r="CD522" s="185">
        <v>1878</v>
      </c>
      <c r="CE522" s="185"/>
    </row>
    <row r="523" spans="2:83" x14ac:dyDescent="0.3">
      <c r="B523" s="182">
        <v>3528</v>
      </c>
      <c r="C523" s="182">
        <v>1879</v>
      </c>
      <c r="D523" s="182" t="s">
        <v>78</v>
      </c>
      <c r="E523" s="181" t="s">
        <v>4191</v>
      </c>
      <c r="F523" s="182"/>
      <c r="G523" s="182">
        <v>6459.17</v>
      </c>
      <c r="H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2"/>
      <c r="X523" s="182"/>
      <c r="Y523" s="182"/>
      <c r="Z523" s="182"/>
      <c r="AA523" s="182"/>
      <c r="AB523" s="182"/>
      <c r="AC523" s="182"/>
      <c r="AD523" s="182"/>
      <c r="AE523" s="182"/>
      <c r="AF523" s="182"/>
      <c r="AG523" s="182"/>
      <c r="AH523" s="182"/>
      <c r="AI523" s="182"/>
      <c r="AJ523" s="182"/>
      <c r="AK523" s="182"/>
      <c r="AL523" s="182"/>
      <c r="AM523" s="182"/>
      <c r="AN523" s="182"/>
      <c r="AO523" s="182"/>
      <c r="AP523" s="182"/>
      <c r="AQ523" s="185">
        <v>6459.17</v>
      </c>
      <c r="AR523" s="182">
        <v>4458.18</v>
      </c>
      <c r="AS523" s="182">
        <v>593.95000000000005</v>
      </c>
      <c r="AT523" s="182">
        <v>1407.04</v>
      </c>
      <c r="AU523" s="182"/>
      <c r="AV523" s="182"/>
      <c r="AW523" s="182"/>
      <c r="AX523" s="182"/>
      <c r="AY523" s="182"/>
      <c r="AZ523" s="182"/>
      <c r="BA523" s="182"/>
      <c r="BB523" s="182"/>
      <c r="BC523" s="182"/>
      <c r="BD523" s="182"/>
      <c r="BE523" s="182"/>
      <c r="BF523" s="182"/>
      <c r="BG523" s="182"/>
      <c r="BH523" s="182"/>
      <c r="BI523" s="182"/>
      <c r="BJ523" s="182"/>
      <c r="BK523" s="182"/>
      <c r="BL523" s="182"/>
      <c r="BM523" s="182"/>
      <c r="BN523" s="182"/>
      <c r="BO523" s="182"/>
      <c r="BP523" s="182"/>
      <c r="BQ523" s="182"/>
      <c r="BR523" s="182"/>
      <c r="BS523" s="182"/>
      <c r="BT523" s="182"/>
      <c r="BU523" s="182"/>
      <c r="BV523" s="182"/>
      <c r="BW523" s="182"/>
      <c r="BX523" s="182"/>
      <c r="BY523" s="182"/>
      <c r="BZ523" s="182"/>
      <c r="CA523" s="182"/>
      <c r="CB523" s="185">
        <v>6459.17</v>
      </c>
      <c r="CC523" s="185">
        <v>0</v>
      </c>
      <c r="CD523" s="185">
        <v>1879</v>
      </c>
      <c r="CE523" s="185"/>
    </row>
    <row r="524" spans="2:83" ht="37.5" x14ac:dyDescent="0.3">
      <c r="B524" s="182"/>
      <c r="C524" s="182">
        <v>1880</v>
      </c>
      <c r="D524" s="182" t="s">
        <v>78</v>
      </c>
      <c r="E524" s="181" t="s">
        <v>4233</v>
      </c>
      <c r="F524" s="182"/>
      <c r="G524" s="182"/>
      <c r="H524" s="182">
        <v>420000</v>
      </c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2"/>
      <c r="X524" s="182"/>
      <c r="Y524" s="182"/>
      <c r="Z524" s="182"/>
      <c r="AA524" s="182"/>
      <c r="AB524" s="182"/>
      <c r="AC524" s="182"/>
      <c r="AD524" s="182"/>
      <c r="AE524" s="182"/>
      <c r="AF524" s="182"/>
      <c r="AG524" s="182"/>
      <c r="AH524" s="182"/>
      <c r="AI524" s="182"/>
      <c r="AJ524" s="182"/>
      <c r="AK524" s="182"/>
      <c r="AL524" s="182"/>
      <c r="AM524" s="182"/>
      <c r="AN524" s="182"/>
      <c r="AO524" s="182"/>
      <c r="AP524" s="182"/>
      <c r="AQ524" s="185">
        <v>420000</v>
      </c>
      <c r="AR524" s="182">
        <v>420000</v>
      </c>
      <c r="AS524" s="182"/>
      <c r="AT524" s="182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182"/>
      <c r="BK524" s="182"/>
      <c r="BL524" s="182"/>
      <c r="BM524" s="182"/>
      <c r="BN524" s="182"/>
      <c r="BO524" s="182"/>
      <c r="BP524" s="182"/>
      <c r="BQ524" s="182"/>
      <c r="BR524" s="182"/>
      <c r="BS524" s="182"/>
      <c r="BT524" s="182"/>
      <c r="BU524" s="182"/>
      <c r="BV524" s="182"/>
      <c r="BW524" s="182"/>
      <c r="BX524" s="182"/>
      <c r="BY524" s="182"/>
      <c r="BZ524" s="182"/>
      <c r="CA524" s="182"/>
      <c r="CB524" s="185">
        <v>420000</v>
      </c>
      <c r="CC524" s="185">
        <v>0</v>
      </c>
      <c r="CD524" s="185">
        <v>1880</v>
      </c>
      <c r="CE524" s="185"/>
    </row>
    <row r="525" spans="2:83" ht="37.5" x14ac:dyDescent="0.3">
      <c r="B525" s="182"/>
      <c r="C525" s="182">
        <v>1881</v>
      </c>
      <c r="D525" s="182" t="s">
        <v>78</v>
      </c>
      <c r="E525" s="181" t="s">
        <v>4234</v>
      </c>
      <c r="F525" s="182"/>
      <c r="G525" s="182"/>
      <c r="H525" s="182">
        <v>7000</v>
      </c>
      <c r="I525" s="182"/>
      <c r="J525" s="182"/>
      <c r="K525" s="182"/>
      <c r="L525" s="182"/>
      <c r="M525" s="182"/>
      <c r="N525" s="182"/>
      <c r="O525" s="182">
        <v>7000</v>
      </c>
      <c r="P525" s="182"/>
      <c r="Q525" s="182"/>
      <c r="R525" s="182"/>
      <c r="S525" s="182"/>
      <c r="T525" s="182"/>
      <c r="U525" s="182"/>
      <c r="V525" s="182"/>
      <c r="W525" s="182"/>
      <c r="X525" s="182"/>
      <c r="Y525" s="182"/>
      <c r="Z525" s="182"/>
      <c r="AA525" s="182"/>
      <c r="AB525" s="182"/>
      <c r="AC525" s="182"/>
      <c r="AD525" s="182"/>
      <c r="AE525" s="182"/>
      <c r="AF525" s="182"/>
      <c r="AG525" s="182"/>
      <c r="AH525" s="182"/>
      <c r="AI525" s="182"/>
      <c r="AJ525" s="182"/>
      <c r="AK525" s="182"/>
      <c r="AL525" s="182"/>
      <c r="AM525" s="182"/>
      <c r="AN525" s="182"/>
      <c r="AO525" s="182"/>
      <c r="AP525" s="182"/>
      <c r="AQ525" s="185">
        <v>14000</v>
      </c>
      <c r="AR525" s="182">
        <v>7000</v>
      </c>
      <c r="AS525" s="182"/>
      <c r="AT525" s="182"/>
      <c r="AU525" s="182"/>
      <c r="AV525" s="182"/>
      <c r="AW525" s="182"/>
      <c r="AX525" s="182"/>
      <c r="AY525" s="182"/>
      <c r="AZ525" s="182"/>
      <c r="BA525" s="182"/>
      <c r="BB525" s="182"/>
      <c r="BC525" s="182"/>
      <c r="BD525" s="182"/>
      <c r="BE525" s="182"/>
      <c r="BF525" s="182"/>
      <c r="BG525" s="182"/>
      <c r="BH525" s="182"/>
      <c r="BI525" s="182"/>
      <c r="BJ525" s="182"/>
      <c r="BK525" s="182"/>
      <c r="BL525" s="182"/>
      <c r="BM525" s="182">
        <v>7000</v>
      </c>
      <c r="BN525" s="182"/>
      <c r="BO525" s="182"/>
      <c r="BP525" s="182"/>
      <c r="BQ525" s="182"/>
      <c r="BR525" s="182"/>
      <c r="BS525" s="182"/>
      <c r="BT525" s="182"/>
      <c r="BU525" s="182"/>
      <c r="BV525" s="182"/>
      <c r="BW525" s="182"/>
      <c r="BX525" s="182"/>
      <c r="BY525" s="182"/>
      <c r="BZ525" s="182"/>
      <c r="CA525" s="182"/>
      <c r="CB525" s="185">
        <v>14000</v>
      </c>
      <c r="CC525" s="185">
        <v>0</v>
      </c>
      <c r="CD525" s="185">
        <v>1881</v>
      </c>
      <c r="CE525" s="185"/>
    </row>
    <row r="526" spans="2:83" ht="37.5" x14ac:dyDescent="0.3">
      <c r="B526" s="182"/>
      <c r="C526" s="182">
        <v>1882</v>
      </c>
      <c r="D526" s="182" t="s">
        <v>78</v>
      </c>
      <c r="E526" s="181" t="s">
        <v>4235</v>
      </c>
      <c r="F526" s="182"/>
      <c r="G526" s="182"/>
      <c r="H526" s="182">
        <v>17100</v>
      </c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2"/>
      <c r="X526" s="182"/>
      <c r="Y526" s="182"/>
      <c r="Z526" s="182"/>
      <c r="AA526" s="182"/>
      <c r="AB526" s="182"/>
      <c r="AC526" s="182"/>
      <c r="AD526" s="182"/>
      <c r="AE526" s="182"/>
      <c r="AF526" s="182"/>
      <c r="AG526" s="182"/>
      <c r="AH526" s="182"/>
      <c r="AI526" s="182"/>
      <c r="AJ526" s="182"/>
      <c r="AK526" s="182"/>
      <c r="AL526" s="182"/>
      <c r="AM526" s="182"/>
      <c r="AN526" s="182"/>
      <c r="AO526" s="182"/>
      <c r="AP526" s="182"/>
      <c r="AQ526" s="185">
        <v>17100</v>
      </c>
      <c r="AR526" s="182">
        <v>16305.65</v>
      </c>
      <c r="AS526" s="182">
        <v>725.6</v>
      </c>
      <c r="AT526" s="182"/>
      <c r="AU526" s="182">
        <v>5</v>
      </c>
      <c r="AV526" s="182"/>
      <c r="AW526" s="182"/>
      <c r="AX526" s="182"/>
      <c r="AY526" s="182"/>
      <c r="AZ526" s="182"/>
      <c r="BA526" s="182"/>
      <c r="BB526" s="182"/>
      <c r="BC526" s="182"/>
      <c r="BD526" s="182"/>
      <c r="BE526" s="182">
        <v>47.75</v>
      </c>
      <c r="BF526" s="182">
        <v>16</v>
      </c>
      <c r="BG526" s="182"/>
      <c r="BH526" s="182"/>
      <c r="BI526" s="182"/>
      <c r="BJ526" s="182"/>
      <c r="BK526" s="182"/>
      <c r="BL526" s="182"/>
      <c r="BM526" s="182"/>
      <c r="BN526" s="182"/>
      <c r="BO526" s="182"/>
      <c r="BP526" s="182"/>
      <c r="BQ526" s="182"/>
      <c r="BR526" s="182"/>
      <c r="BS526" s="182"/>
      <c r="BT526" s="182"/>
      <c r="BU526" s="182"/>
      <c r="BV526" s="182"/>
      <c r="BW526" s="182"/>
      <c r="BX526" s="182"/>
      <c r="BY526" s="182"/>
      <c r="BZ526" s="182"/>
      <c r="CA526" s="182"/>
      <c r="CB526" s="185">
        <v>17100</v>
      </c>
      <c r="CC526" s="185">
        <v>0</v>
      </c>
      <c r="CD526" s="185">
        <v>1882</v>
      </c>
      <c r="CE526" s="185"/>
    </row>
    <row r="527" spans="2:83" x14ac:dyDescent="0.3">
      <c r="B527" s="182"/>
      <c r="C527" s="182">
        <v>1883</v>
      </c>
      <c r="D527" s="182" t="s">
        <v>78</v>
      </c>
      <c r="E527" s="181" t="s">
        <v>4236</v>
      </c>
      <c r="F527" s="182"/>
      <c r="G527" s="182"/>
      <c r="H527" s="182">
        <v>280</v>
      </c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2"/>
      <c r="X527" s="182"/>
      <c r="Y527" s="182"/>
      <c r="Z527" s="182"/>
      <c r="AA527" s="182"/>
      <c r="AB527" s="182"/>
      <c r="AC527" s="182"/>
      <c r="AD527" s="182"/>
      <c r="AE527" s="182"/>
      <c r="AF527" s="182"/>
      <c r="AG527" s="182"/>
      <c r="AH527" s="182"/>
      <c r="AI527" s="182"/>
      <c r="AJ527" s="182"/>
      <c r="AK527" s="182"/>
      <c r="AL527" s="182"/>
      <c r="AM527" s="182"/>
      <c r="AN527" s="182"/>
      <c r="AO527" s="182"/>
      <c r="AP527" s="182"/>
      <c r="AQ527" s="185">
        <v>280</v>
      </c>
      <c r="AR527" s="182">
        <v>280</v>
      </c>
      <c r="AS527" s="182"/>
      <c r="AT527" s="182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182"/>
      <c r="BK527" s="182"/>
      <c r="BL527" s="182"/>
      <c r="BM527" s="182"/>
      <c r="BN527" s="182"/>
      <c r="BO527" s="182"/>
      <c r="BP527" s="182"/>
      <c r="BQ527" s="182"/>
      <c r="BR527" s="182"/>
      <c r="BS527" s="182"/>
      <c r="BT527" s="182"/>
      <c r="BU527" s="182"/>
      <c r="BV527" s="182"/>
      <c r="BW527" s="182"/>
      <c r="BX527" s="182"/>
      <c r="BY527" s="182"/>
      <c r="BZ527" s="182"/>
      <c r="CA527" s="182"/>
      <c r="CB527" s="185">
        <v>280</v>
      </c>
      <c r="CC527" s="185">
        <v>0</v>
      </c>
      <c r="CD527" s="185">
        <v>1883</v>
      </c>
      <c r="CE527" s="185"/>
    </row>
    <row r="528" spans="2:83" ht="37.5" x14ac:dyDescent="0.3">
      <c r="B528" s="182"/>
      <c r="C528" s="182">
        <v>1884</v>
      </c>
      <c r="D528" s="182" t="s">
        <v>78</v>
      </c>
      <c r="E528" s="181" t="s">
        <v>4237</v>
      </c>
      <c r="F528" s="182"/>
      <c r="G528" s="182"/>
      <c r="H528" s="182">
        <v>29750</v>
      </c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2"/>
      <c r="X528" s="182"/>
      <c r="Y528" s="182"/>
      <c r="Z528" s="182"/>
      <c r="AA528" s="182"/>
      <c r="AB528" s="182"/>
      <c r="AC528" s="182"/>
      <c r="AD528" s="182"/>
      <c r="AE528" s="182"/>
      <c r="AF528" s="182"/>
      <c r="AG528" s="182"/>
      <c r="AH528" s="182"/>
      <c r="AI528" s="182"/>
      <c r="AJ528" s="182"/>
      <c r="AK528" s="182"/>
      <c r="AL528" s="182"/>
      <c r="AM528" s="182"/>
      <c r="AN528" s="182"/>
      <c r="AO528" s="182"/>
      <c r="AP528" s="182"/>
      <c r="AQ528" s="185">
        <v>29750</v>
      </c>
      <c r="AR528" s="182">
        <v>29750</v>
      </c>
      <c r="AS528" s="182"/>
      <c r="AT528" s="182"/>
      <c r="AU528" s="182"/>
      <c r="AV528" s="182"/>
      <c r="AW528" s="182"/>
      <c r="AX528" s="182"/>
      <c r="AY528" s="182"/>
      <c r="AZ528" s="182"/>
      <c r="BA528" s="182"/>
      <c r="BB528" s="182"/>
      <c r="BC528" s="182"/>
      <c r="BD528" s="182"/>
      <c r="BE528" s="182"/>
      <c r="BF528" s="182"/>
      <c r="BG528" s="182"/>
      <c r="BH528" s="182"/>
      <c r="BI528" s="182"/>
      <c r="BJ528" s="182"/>
      <c r="BK528" s="182"/>
      <c r="BL528" s="182"/>
      <c r="BM528" s="182"/>
      <c r="BN528" s="182"/>
      <c r="BO528" s="182"/>
      <c r="BP528" s="182"/>
      <c r="BQ528" s="182"/>
      <c r="BR528" s="182"/>
      <c r="BS528" s="182"/>
      <c r="BT528" s="182"/>
      <c r="BU528" s="182"/>
      <c r="BV528" s="182"/>
      <c r="BW528" s="182"/>
      <c r="BX528" s="182"/>
      <c r="BY528" s="182"/>
      <c r="BZ528" s="182"/>
      <c r="CA528" s="182"/>
      <c r="CB528" s="185">
        <v>29750</v>
      </c>
      <c r="CC528" s="185">
        <v>0</v>
      </c>
      <c r="CD528" s="185">
        <v>1884</v>
      </c>
      <c r="CE528" s="185"/>
    </row>
    <row r="529" spans="2:83" ht="37.5" x14ac:dyDescent="0.3">
      <c r="B529" s="182"/>
      <c r="C529" s="182">
        <v>1885</v>
      </c>
      <c r="D529" s="182" t="s">
        <v>78</v>
      </c>
      <c r="E529" s="181" t="s">
        <v>4238</v>
      </c>
      <c r="F529" s="182"/>
      <c r="G529" s="182"/>
      <c r="H529" s="182">
        <v>3420</v>
      </c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2"/>
      <c r="X529" s="182"/>
      <c r="Y529" s="182"/>
      <c r="Z529" s="182"/>
      <c r="AA529" s="182"/>
      <c r="AB529" s="182"/>
      <c r="AC529" s="182"/>
      <c r="AD529" s="182"/>
      <c r="AE529" s="182"/>
      <c r="AF529" s="182"/>
      <c r="AG529" s="182"/>
      <c r="AH529" s="182"/>
      <c r="AI529" s="182"/>
      <c r="AJ529" s="182"/>
      <c r="AK529" s="182"/>
      <c r="AL529" s="182"/>
      <c r="AM529" s="182"/>
      <c r="AN529" s="182"/>
      <c r="AO529" s="182"/>
      <c r="AP529" s="182"/>
      <c r="AQ529" s="185">
        <v>3420</v>
      </c>
      <c r="AR529" s="182">
        <v>3117.3</v>
      </c>
      <c r="AS529" s="182">
        <v>179.7</v>
      </c>
      <c r="AT529" s="182"/>
      <c r="AU529" s="182"/>
      <c r="AV529" s="182"/>
      <c r="AW529" s="182"/>
      <c r="AX529" s="182"/>
      <c r="AY529" s="182"/>
      <c r="AZ529" s="182"/>
      <c r="BA529" s="182"/>
      <c r="BB529" s="182"/>
      <c r="BC529" s="182"/>
      <c r="BD529" s="182"/>
      <c r="BE529" s="182">
        <v>90</v>
      </c>
      <c r="BF529" s="182">
        <v>6</v>
      </c>
      <c r="BG529" s="182">
        <v>27</v>
      </c>
      <c r="BH529" s="182"/>
      <c r="BI529" s="182"/>
      <c r="BJ529" s="182"/>
      <c r="BK529" s="182"/>
      <c r="BL529" s="182"/>
      <c r="BM529" s="182"/>
      <c r="BN529" s="182"/>
      <c r="BO529" s="182"/>
      <c r="BP529" s="182"/>
      <c r="BQ529" s="182"/>
      <c r="BR529" s="182"/>
      <c r="BS529" s="182"/>
      <c r="BT529" s="182"/>
      <c r="BU529" s="182"/>
      <c r="BV529" s="182"/>
      <c r="BW529" s="182"/>
      <c r="BX529" s="182"/>
      <c r="BY529" s="182"/>
      <c r="BZ529" s="182"/>
      <c r="CA529" s="182"/>
      <c r="CB529" s="185">
        <v>3420</v>
      </c>
      <c r="CC529" s="185">
        <v>0</v>
      </c>
      <c r="CD529" s="185">
        <v>1885</v>
      </c>
      <c r="CE529" s="185"/>
    </row>
    <row r="530" spans="2:83" ht="37.5" x14ac:dyDescent="0.3">
      <c r="B530" s="182"/>
      <c r="C530" s="182">
        <v>1886</v>
      </c>
      <c r="D530" s="182" t="s">
        <v>78</v>
      </c>
      <c r="E530" s="181" t="s">
        <v>4239</v>
      </c>
      <c r="F530" s="182"/>
      <c r="G530" s="182"/>
      <c r="H530" s="182">
        <v>10488</v>
      </c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2"/>
      <c r="X530" s="182"/>
      <c r="Y530" s="182"/>
      <c r="Z530" s="182"/>
      <c r="AA530" s="182"/>
      <c r="AB530" s="182"/>
      <c r="AC530" s="182"/>
      <c r="AD530" s="182"/>
      <c r="AE530" s="182"/>
      <c r="AF530" s="182"/>
      <c r="AG530" s="182"/>
      <c r="AH530" s="182"/>
      <c r="AI530" s="182"/>
      <c r="AJ530" s="182"/>
      <c r="AK530" s="182"/>
      <c r="AL530" s="182"/>
      <c r="AM530" s="182"/>
      <c r="AN530" s="182"/>
      <c r="AO530" s="182"/>
      <c r="AP530" s="182"/>
      <c r="AQ530" s="185">
        <v>10488</v>
      </c>
      <c r="AR530" s="182">
        <v>9260.5</v>
      </c>
      <c r="AS530" s="182">
        <v>595</v>
      </c>
      <c r="AT530" s="182"/>
      <c r="AU530" s="182">
        <v>5</v>
      </c>
      <c r="AV530" s="182"/>
      <c r="AW530" s="182"/>
      <c r="AX530" s="182"/>
      <c r="AY530" s="182"/>
      <c r="AZ530" s="182"/>
      <c r="BA530" s="182"/>
      <c r="BB530" s="182"/>
      <c r="BC530" s="182"/>
      <c r="BD530" s="182"/>
      <c r="BE530" s="182"/>
      <c r="BF530" s="182">
        <v>20</v>
      </c>
      <c r="BG530" s="182">
        <v>83</v>
      </c>
      <c r="BH530" s="182">
        <v>524.5</v>
      </c>
      <c r="BI530" s="182"/>
      <c r="BJ530" s="182"/>
      <c r="BK530" s="182"/>
      <c r="BL530" s="182"/>
      <c r="BM530" s="182"/>
      <c r="BN530" s="182"/>
      <c r="BO530" s="182"/>
      <c r="BP530" s="182"/>
      <c r="BQ530" s="182"/>
      <c r="BR530" s="182"/>
      <c r="BS530" s="182"/>
      <c r="BT530" s="182"/>
      <c r="BU530" s="182"/>
      <c r="BV530" s="182"/>
      <c r="BW530" s="182"/>
      <c r="BX530" s="182"/>
      <c r="BY530" s="182"/>
      <c r="BZ530" s="182"/>
      <c r="CA530" s="182"/>
      <c r="CB530" s="185">
        <v>10488</v>
      </c>
      <c r="CC530" s="185">
        <v>0</v>
      </c>
      <c r="CD530" s="185">
        <v>1886</v>
      </c>
      <c r="CE530" s="185"/>
    </row>
    <row r="531" spans="2:83" x14ac:dyDescent="0.3">
      <c r="B531" s="182">
        <v>3381</v>
      </c>
      <c r="C531" s="182">
        <v>1887</v>
      </c>
      <c r="D531" s="182" t="s">
        <v>132</v>
      </c>
      <c r="E531" s="181" t="s">
        <v>4240</v>
      </c>
      <c r="F531" s="182"/>
      <c r="G531" s="182"/>
      <c r="H531" s="182"/>
      <c r="I531" s="182"/>
      <c r="J531" s="182"/>
      <c r="K531" s="182">
        <v>550000</v>
      </c>
      <c r="L531" s="182">
        <v>550000</v>
      </c>
      <c r="M531" s="182">
        <v>550000</v>
      </c>
      <c r="N531" s="182"/>
      <c r="O531" s="182"/>
      <c r="P531" s="182"/>
      <c r="Q531" s="182"/>
      <c r="R531" s="182"/>
      <c r="S531" s="182"/>
      <c r="T531" s="182"/>
      <c r="U531" s="182"/>
      <c r="V531" s="182"/>
      <c r="W531" s="182"/>
      <c r="X531" s="182"/>
      <c r="Y531" s="182"/>
      <c r="Z531" s="182"/>
      <c r="AA531" s="182"/>
      <c r="AB531" s="182"/>
      <c r="AC531" s="182"/>
      <c r="AD531" s="182"/>
      <c r="AE531" s="182"/>
      <c r="AF531" s="182"/>
      <c r="AG531" s="182"/>
      <c r="AH531" s="182"/>
      <c r="AI531" s="182"/>
      <c r="AJ531" s="182"/>
      <c r="AK531" s="182"/>
      <c r="AL531" s="182"/>
      <c r="AM531" s="182"/>
      <c r="AN531" s="182"/>
      <c r="AO531" s="182"/>
      <c r="AP531" s="182"/>
      <c r="AQ531" s="185">
        <v>1650000</v>
      </c>
      <c r="AR531" s="182">
        <v>510469</v>
      </c>
      <c r="AS531" s="182">
        <v>12015</v>
      </c>
      <c r="AT531" s="182"/>
      <c r="AU531" s="182">
        <v>5</v>
      </c>
      <c r="AV531" s="182"/>
      <c r="AW531" s="182"/>
      <c r="AX531" s="182"/>
      <c r="AY531" s="182"/>
      <c r="AZ531" s="182"/>
      <c r="BA531" s="182"/>
      <c r="BB531" s="182"/>
      <c r="BC531" s="182"/>
      <c r="BD531" s="182"/>
      <c r="BE531" s="182">
        <v>4824.6000000000004</v>
      </c>
      <c r="BF531" s="182">
        <v>80</v>
      </c>
      <c r="BG531" s="182">
        <v>4342</v>
      </c>
      <c r="BH531" s="182"/>
      <c r="BI531" s="182"/>
      <c r="BJ531" s="182">
        <v>550000</v>
      </c>
      <c r="BK531" s="182">
        <v>550000</v>
      </c>
      <c r="BL531" s="182"/>
      <c r="BM531" s="182"/>
      <c r="BN531" s="182"/>
      <c r="BO531" s="182"/>
      <c r="BP531" s="182"/>
      <c r="BQ531" s="182"/>
      <c r="BR531" s="182"/>
      <c r="BS531" s="182"/>
      <c r="BT531" s="182"/>
      <c r="BU531" s="182"/>
      <c r="BV531" s="182"/>
      <c r="BW531" s="182"/>
      <c r="BX531" s="182"/>
      <c r="BY531" s="182"/>
      <c r="BZ531" s="182"/>
      <c r="CA531" s="182">
        <v>18264.400000000001</v>
      </c>
      <c r="CB531" s="185">
        <v>1650000</v>
      </c>
      <c r="CC531" s="185">
        <v>0</v>
      </c>
      <c r="CD531" s="185">
        <v>1887</v>
      </c>
      <c r="CE531" s="185"/>
    </row>
    <row r="532" spans="2:83" x14ac:dyDescent="0.3">
      <c r="B532" s="182">
        <v>3881</v>
      </c>
      <c r="C532" s="182">
        <v>1888</v>
      </c>
      <c r="D532" s="182" t="s">
        <v>132</v>
      </c>
      <c r="E532" s="181" t="s">
        <v>4241</v>
      </c>
      <c r="F532" s="182"/>
      <c r="G532" s="182"/>
      <c r="H532" s="182"/>
      <c r="I532" s="182"/>
      <c r="J532" s="182"/>
      <c r="K532" s="182">
        <v>9234</v>
      </c>
      <c r="L532" s="182">
        <v>9234</v>
      </c>
      <c r="M532" s="182">
        <v>9234</v>
      </c>
      <c r="N532" s="182"/>
      <c r="O532" s="182"/>
      <c r="P532" s="182"/>
      <c r="Q532" s="182"/>
      <c r="R532" s="182"/>
      <c r="S532" s="182"/>
      <c r="T532" s="182"/>
      <c r="U532" s="182"/>
      <c r="V532" s="182"/>
      <c r="W532" s="182"/>
      <c r="X532" s="182"/>
      <c r="Y532" s="182"/>
      <c r="Z532" s="182"/>
      <c r="AA532" s="182"/>
      <c r="AB532" s="182"/>
      <c r="AC532" s="182"/>
      <c r="AD532" s="182"/>
      <c r="AE532" s="182"/>
      <c r="AF532" s="182"/>
      <c r="AG532" s="182"/>
      <c r="AH532" s="182"/>
      <c r="AI532" s="182"/>
      <c r="AJ532" s="182"/>
      <c r="AK532" s="182"/>
      <c r="AL532" s="182"/>
      <c r="AM532" s="182"/>
      <c r="AN532" s="182"/>
      <c r="AO532" s="182"/>
      <c r="AP532" s="182"/>
      <c r="AQ532" s="185">
        <v>27702</v>
      </c>
      <c r="AR532" s="182">
        <v>8162.6</v>
      </c>
      <c r="AS532" s="182">
        <v>539.5</v>
      </c>
      <c r="AT532" s="182"/>
      <c r="AU532" s="182"/>
      <c r="AV532" s="182"/>
      <c r="AW532" s="182"/>
      <c r="AX532" s="182"/>
      <c r="AY532" s="182"/>
      <c r="AZ532" s="182"/>
      <c r="BA532" s="182"/>
      <c r="BB532" s="182"/>
      <c r="BC532" s="182"/>
      <c r="BD532" s="182"/>
      <c r="BE532" s="182"/>
      <c r="BF532" s="182">
        <v>54</v>
      </c>
      <c r="BG532" s="182">
        <v>16.2</v>
      </c>
      <c r="BH532" s="182">
        <v>461.7</v>
      </c>
      <c r="BI532" s="182"/>
      <c r="BJ532" s="182">
        <v>9234</v>
      </c>
      <c r="BK532" s="182">
        <v>9234</v>
      </c>
      <c r="BL532" s="182"/>
      <c r="BM532" s="182"/>
      <c r="BN532" s="182"/>
      <c r="BO532" s="182"/>
      <c r="BP532" s="182"/>
      <c r="BQ532" s="182"/>
      <c r="BR532" s="182"/>
      <c r="BS532" s="182"/>
      <c r="BT532" s="182"/>
      <c r="BU532" s="182"/>
      <c r="BV532" s="182"/>
      <c r="BW532" s="182"/>
      <c r="BX532" s="182"/>
      <c r="BY532" s="182"/>
      <c r="BZ532" s="182"/>
      <c r="CA532" s="182"/>
      <c r="CB532" s="185">
        <v>27702</v>
      </c>
      <c r="CC532" s="185">
        <v>0</v>
      </c>
      <c r="CD532" s="185">
        <v>1888</v>
      </c>
      <c r="CE532" s="185"/>
    </row>
    <row r="533" spans="2:83" x14ac:dyDescent="0.3">
      <c r="B533" s="182">
        <v>3909</v>
      </c>
      <c r="C533" s="182">
        <v>1889</v>
      </c>
      <c r="D533" s="182" t="s">
        <v>78</v>
      </c>
      <c r="E533" s="181" t="s">
        <v>4242</v>
      </c>
      <c r="F533" s="182"/>
      <c r="G533" s="182"/>
      <c r="H533" s="182">
        <v>10000</v>
      </c>
      <c r="I533" s="182"/>
      <c r="J533" s="182"/>
      <c r="K533" s="182"/>
      <c r="L533" s="182"/>
      <c r="M533" s="182"/>
      <c r="N533" s="182"/>
      <c r="O533" s="182">
        <v>10000</v>
      </c>
      <c r="P533" s="182"/>
      <c r="Q533" s="182"/>
      <c r="R533" s="182"/>
      <c r="S533" s="182"/>
      <c r="T533" s="182"/>
      <c r="U533" s="182"/>
      <c r="V533" s="182"/>
      <c r="W533" s="182"/>
      <c r="X533" s="182"/>
      <c r="Y533" s="182"/>
      <c r="Z533" s="182"/>
      <c r="AA533" s="182"/>
      <c r="AB533" s="182"/>
      <c r="AC533" s="182"/>
      <c r="AD533" s="182"/>
      <c r="AE533" s="182"/>
      <c r="AF533" s="182"/>
      <c r="AG533" s="182"/>
      <c r="AH533" s="182"/>
      <c r="AI533" s="182"/>
      <c r="AJ533" s="182"/>
      <c r="AK533" s="182"/>
      <c r="AL533" s="182"/>
      <c r="AM533" s="182"/>
      <c r="AN533" s="182"/>
      <c r="AO533" s="182"/>
      <c r="AP533" s="182"/>
      <c r="AQ533" s="185">
        <v>20000</v>
      </c>
      <c r="AR533" s="182">
        <v>10000</v>
      </c>
      <c r="AS533" s="182"/>
      <c r="AT533" s="182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182"/>
      <c r="BK533" s="182"/>
      <c r="BL533" s="182"/>
      <c r="BM533" s="182">
        <v>10000</v>
      </c>
      <c r="BN533" s="182"/>
      <c r="BO533" s="182"/>
      <c r="BP533" s="182"/>
      <c r="BQ533" s="182"/>
      <c r="BR533" s="182"/>
      <c r="BS533" s="182"/>
      <c r="BT533" s="182"/>
      <c r="BU533" s="182"/>
      <c r="BV533" s="182"/>
      <c r="BW533" s="182"/>
      <c r="BX533" s="182"/>
      <c r="BY533" s="182"/>
      <c r="BZ533" s="182"/>
      <c r="CA533" s="182"/>
      <c r="CB533" s="185">
        <v>20000</v>
      </c>
      <c r="CC533" s="185">
        <v>0</v>
      </c>
      <c r="CD533" s="185">
        <v>1889</v>
      </c>
      <c r="CE533" s="185"/>
    </row>
    <row r="534" spans="2:83" ht="37.5" x14ac:dyDescent="0.3">
      <c r="B534" s="182">
        <v>3895</v>
      </c>
      <c r="C534" s="182">
        <v>1890</v>
      </c>
      <c r="D534" s="182" t="s">
        <v>4243</v>
      </c>
      <c r="E534" s="181" t="s">
        <v>4244</v>
      </c>
      <c r="F534" s="182"/>
      <c r="G534" s="182"/>
      <c r="H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2"/>
      <c r="X534" s="182"/>
      <c r="Y534" s="182"/>
      <c r="Z534" s="182"/>
      <c r="AA534" s="182"/>
      <c r="AB534" s="182"/>
      <c r="AC534" s="182">
        <v>27271.66</v>
      </c>
      <c r="AD534" s="182"/>
      <c r="AE534" s="182"/>
      <c r="AF534" s="182"/>
      <c r="AG534" s="182"/>
      <c r="AH534" s="182"/>
      <c r="AI534" s="182"/>
      <c r="AJ534" s="182"/>
      <c r="AK534" s="182"/>
      <c r="AL534" s="182"/>
      <c r="AM534" s="182"/>
      <c r="AN534" s="182"/>
      <c r="AO534" s="182"/>
      <c r="AP534" s="182"/>
      <c r="AQ534" s="185">
        <v>27271.66</v>
      </c>
      <c r="AR534" s="182">
        <v>27271.66</v>
      </c>
      <c r="AS534" s="182"/>
      <c r="AT534" s="182"/>
      <c r="AU534" s="182"/>
      <c r="AV534" s="182"/>
      <c r="AW534" s="182"/>
      <c r="AX534" s="182"/>
      <c r="AY534" s="182"/>
      <c r="AZ534" s="182"/>
      <c r="BA534" s="182"/>
      <c r="BB534" s="182"/>
      <c r="BC534" s="182"/>
      <c r="BD534" s="182"/>
      <c r="BE534" s="182"/>
      <c r="BF534" s="182"/>
      <c r="BG534" s="182"/>
      <c r="BH534" s="182"/>
      <c r="BI534" s="182"/>
      <c r="BJ534" s="182"/>
      <c r="BK534" s="182"/>
      <c r="BL534" s="182"/>
      <c r="BM534" s="182"/>
      <c r="BN534" s="182"/>
      <c r="BO534" s="182"/>
      <c r="BP534" s="182"/>
      <c r="BQ534" s="182"/>
      <c r="BR534" s="182"/>
      <c r="BS534" s="182"/>
      <c r="BT534" s="182"/>
      <c r="BU534" s="182"/>
      <c r="BV534" s="182"/>
      <c r="BW534" s="182"/>
      <c r="BX534" s="182"/>
      <c r="BY534" s="182"/>
      <c r="BZ534" s="182"/>
      <c r="CA534" s="182"/>
      <c r="CB534" s="185">
        <v>27271.66</v>
      </c>
      <c r="CC534" s="185">
        <v>0</v>
      </c>
      <c r="CD534" s="185">
        <v>1890</v>
      </c>
      <c r="CE534" s="185"/>
    </row>
    <row r="535" spans="2:83" x14ac:dyDescent="0.3">
      <c r="B535" s="182"/>
      <c r="C535" s="182">
        <v>1891</v>
      </c>
      <c r="D535" s="182" t="s">
        <v>332</v>
      </c>
      <c r="E535" s="181" t="s">
        <v>4245</v>
      </c>
      <c r="F535" s="182"/>
      <c r="G535" s="182"/>
      <c r="H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2"/>
      <c r="X535" s="182"/>
      <c r="Y535" s="182"/>
      <c r="Z535" s="182"/>
      <c r="AA535" s="182"/>
      <c r="AB535" s="182"/>
      <c r="AC535" s="182"/>
      <c r="AD535" s="182"/>
      <c r="AE535" s="182"/>
      <c r="AF535" s="182"/>
      <c r="AG535" s="182"/>
      <c r="AH535" s="182"/>
      <c r="AI535" s="182"/>
      <c r="AJ535" s="182"/>
      <c r="AK535" s="182"/>
      <c r="AL535" s="182"/>
      <c r="AM535" s="182"/>
      <c r="AN535" s="182"/>
      <c r="AO535" s="182"/>
      <c r="AP535" s="182"/>
      <c r="AQ535" s="185">
        <v>0</v>
      </c>
      <c r="AR535" s="182"/>
      <c r="AS535" s="182"/>
      <c r="AT535" s="182"/>
      <c r="AU535" s="182"/>
      <c r="AV535" s="182"/>
      <c r="AW535" s="182"/>
      <c r="AX535" s="182"/>
      <c r="AY535" s="182"/>
      <c r="AZ535" s="182"/>
      <c r="BA535" s="182"/>
      <c r="BB535" s="182"/>
      <c r="BC535" s="182"/>
      <c r="BD535" s="182"/>
      <c r="BE535" s="182"/>
      <c r="BF535" s="182"/>
      <c r="BG535" s="182"/>
      <c r="BH535" s="182"/>
      <c r="BI535" s="182"/>
      <c r="BJ535" s="182"/>
      <c r="BK535" s="182"/>
      <c r="BL535" s="182"/>
      <c r="BM535" s="182"/>
      <c r="BN535" s="182"/>
      <c r="BO535" s="182"/>
      <c r="BP535" s="182"/>
      <c r="BQ535" s="182"/>
      <c r="BR535" s="182"/>
      <c r="BS535" s="182"/>
      <c r="BT535" s="182"/>
      <c r="BU535" s="182"/>
      <c r="BV535" s="182"/>
      <c r="BW535" s="182"/>
      <c r="BX535" s="182"/>
      <c r="BY535" s="182"/>
      <c r="BZ535" s="182"/>
      <c r="CA535" s="182"/>
      <c r="CB535" s="185">
        <v>0</v>
      </c>
      <c r="CC535" s="185">
        <v>0</v>
      </c>
      <c r="CD535" s="185">
        <v>1891</v>
      </c>
      <c r="CE535" s="185"/>
    </row>
    <row r="536" spans="2:83" x14ac:dyDescent="0.3">
      <c r="B536" s="182">
        <v>3914</v>
      </c>
      <c r="C536" s="182">
        <v>1892</v>
      </c>
      <c r="D536" s="182" t="s">
        <v>132</v>
      </c>
      <c r="E536" s="181" t="s">
        <v>4246</v>
      </c>
      <c r="F536" s="182"/>
      <c r="G536" s="182"/>
      <c r="H536" s="182"/>
      <c r="I536" s="182"/>
      <c r="J536" s="182"/>
      <c r="K536" s="182">
        <v>87216.84</v>
      </c>
      <c r="L536" s="182">
        <v>87216.84</v>
      </c>
      <c r="M536" s="182">
        <v>87216.84</v>
      </c>
      <c r="N536" s="182"/>
      <c r="O536" s="182"/>
      <c r="P536" s="182"/>
      <c r="Q536" s="182"/>
      <c r="R536" s="182"/>
      <c r="S536" s="182"/>
      <c r="T536" s="182"/>
      <c r="U536" s="182"/>
      <c r="V536" s="182"/>
      <c r="W536" s="182"/>
      <c r="X536" s="182"/>
      <c r="Y536" s="182"/>
      <c r="Z536" s="182"/>
      <c r="AA536" s="182"/>
      <c r="AB536" s="182"/>
      <c r="AC536" s="182"/>
      <c r="AD536" s="182"/>
      <c r="AE536" s="182"/>
      <c r="AF536" s="182"/>
      <c r="AG536" s="182"/>
      <c r="AH536" s="182"/>
      <c r="AI536" s="182"/>
      <c r="AJ536" s="182"/>
      <c r="AK536" s="182"/>
      <c r="AL536" s="182"/>
      <c r="AM536" s="182"/>
      <c r="AN536" s="182"/>
      <c r="AO536" s="182"/>
      <c r="AP536" s="182"/>
      <c r="AQ536" s="185">
        <v>261650.52</v>
      </c>
      <c r="AR536" s="182">
        <v>79097.69</v>
      </c>
      <c r="AS536" s="182">
        <v>2256.6</v>
      </c>
      <c r="AT536" s="182"/>
      <c r="AU536" s="182"/>
      <c r="AV536" s="182"/>
      <c r="AW536" s="182"/>
      <c r="AX536" s="182"/>
      <c r="AY536" s="182"/>
      <c r="AZ536" s="182"/>
      <c r="BA536" s="182"/>
      <c r="BB536" s="182"/>
      <c r="BC536" s="182"/>
      <c r="BD536" s="182"/>
      <c r="BE536" s="182">
        <v>765.1</v>
      </c>
      <c r="BF536" s="182">
        <v>48</v>
      </c>
      <c r="BG536" s="182">
        <v>688.6</v>
      </c>
      <c r="BH536" s="182">
        <v>4360.8500000000004</v>
      </c>
      <c r="BI536" s="182"/>
      <c r="BJ536" s="182">
        <v>87216.84</v>
      </c>
      <c r="BK536" s="182">
        <v>87216.84</v>
      </c>
      <c r="BL536" s="182"/>
      <c r="BM536" s="182"/>
      <c r="BN536" s="182"/>
      <c r="BO536" s="182"/>
      <c r="BP536" s="182"/>
      <c r="BQ536" s="182"/>
      <c r="BR536" s="182"/>
      <c r="BS536" s="182"/>
      <c r="BT536" s="182"/>
      <c r="BU536" s="182"/>
      <c r="BV536" s="182"/>
      <c r="BW536" s="182"/>
      <c r="BX536" s="182"/>
      <c r="BY536" s="182"/>
      <c r="BZ536" s="182"/>
      <c r="CA536" s="182"/>
      <c r="CB536" s="185">
        <v>261650.52000000002</v>
      </c>
      <c r="CC536" s="185">
        <v>0</v>
      </c>
      <c r="CD536" s="185">
        <v>1892</v>
      </c>
      <c r="CE536" s="185"/>
    </row>
    <row r="537" spans="2:83" x14ac:dyDescent="0.3">
      <c r="B537" s="182">
        <v>3918</v>
      </c>
      <c r="C537" s="182">
        <v>1893</v>
      </c>
      <c r="D537" s="182" t="s">
        <v>78</v>
      </c>
      <c r="E537" s="181" t="s">
        <v>2339</v>
      </c>
      <c r="F537" s="182"/>
      <c r="G537" s="182"/>
      <c r="H537" s="182">
        <v>16000</v>
      </c>
      <c r="I537" s="182"/>
      <c r="J537" s="182"/>
      <c r="K537" s="182"/>
      <c r="L537" s="182"/>
      <c r="M537" s="182"/>
      <c r="N537" s="182"/>
      <c r="O537" s="182">
        <v>16000</v>
      </c>
      <c r="P537" s="182"/>
      <c r="Q537" s="182"/>
      <c r="R537" s="182"/>
      <c r="S537" s="182"/>
      <c r="T537" s="182"/>
      <c r="U537" s="182"/>
      <c r="V537" s="182"/>
      <c r="W537" s="182"/>
      <c r="X537" s="182"/>
      <c r="Y537" s="182"/>
      <c r="Z537" s="182"/>
      <c r="AA537" s="182"/>
      <c r="AB537" s="182"/>
      <c r="AC537" s="182"/>
      <c r="AD537" s="182"/>
      <c r="AE537" s="182"/>
      <c r="AF537" s="182"/>
      <c r="AG537" s="182"/>
      <c r="AH537" s="182"/>
      <c r="AI537" s="182"/>
      <c r="AJ537" s="182"/>
      <c r="AK537" s="182"/>
      <c r="AL537" s="182"/>
      <c r="AM537" s="182"/>
      <c r="AN537" s="182"/>
      <c r="AO537" s="182"/>
      <c r="AP537" s="182"/>
      <c r="AQ537" s="185">
        <v>32000</v>
      </c>
      <c r="AR537" s="182">
        <v>16000</v>
      </c>
      <c r="AS537" s="182"/>
      <c r="AT537" s="182"/>
      <c r="AU537" s="182"/>
      <c r="AV537" s="182"/>
      <c r="AW537" s="182"/>
      <c r="AX537" s="182"/>
      <c r="AY537" s="182"/>
      <c r="AZ537" s="182"/>
      <c r="BA537" s="182"/>
      <c r="BB537" s="182"/>
      <c r="BC537" s="182"/>
      <c r="BD537" s="182"/>
      <c r="BE537" s="182"/>
      <c r="BF537" s="182"/>
      <c r="BG537" s="182"/>
      <c r="BH537" s="182"/>
      <c r="BI537" s="182"/>
      <c r="BJ537" s="182"/>
      <c r="BK537" s="182"/>
      <c r="BL537" s="182"/>
      <c r="BM537" s="182">
        <v>16000</v>
      </c>
      <c r="BN537" s="182"/>
      <c r="BO537" s="182"/>
      <c r="BP537" s="182"/>
      <c r="BQ537" s="182"/>
      <c r="BR537" s="182"/>
      <c r="BS537" s="182"/>
      <c r="BT537" s="182"/>
      <c r="BU537" s="182"/>
      <c r="BV537" s="182"/>
      <c r="BW537" s="182"/>
      <c r="BX537" s="182"/>
      <c r="BY537" s="182"/>
      <c r="BZ537" s="182"/>
      <c r="CA537" s="182"/>
      <c r="CB537" s="185">
        <v>32000</v>
      </c>
      <c r="CC537" s="185">
        <v>0</v>
      </c>
      <c r="CD537" s="185">
        <v>1893</v>
      </c>
      <c r="CE537" s="185"/>
    </row>
    <row r="538" spans="2:83" x14ac:dyDescent="0.3">
      <c r="B538" s="182">
        <v>3404</v>
      </c>
      <c r="C538" s="182">
        <v>1894</v>
      </c>
      <c r="D538" s="182" t="s">
        <v>78</v>
      </c>
      <c r="E538" s="181" t="s">
        <v>4247</v>
      </c>
      <c r="F538" s="182"/>
      <c r="G538" s="182"/>
      <c r="H538" s="182">
        <v>30324</v>
      </c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2"/>
      <c r="X538" s="182"/>
      <c r="Y538" s="182"/>
      <c r="Z538" s="182"/>
      <c r="AA538" s="182"/>
      <c r="AB538" s="182"/>
      <c r="AC538" s="182"/>
      <c r="AD538" s="182"/>
      <c r="AE538" s="182"/>
      <c r="AF538" s="182"/>
      <c r="AG538" s="182"/>
      <c r="AH538" s="182"/>
      <c r="AI538" s="182"/>
      <c r="AJ538" s="182"/>
      <c r="AK538" s="182"/>
      <c r="AL538" s="182"/>
      <c r="AM538" s="182"/>
      <c r="AN538" s="182"/>
      <c r="AO538" s="182"/>
      <c r="AP538" s="182"/>
      <c r="AQ538" s="185">
        <v>30324</v>
      </c>
      <c r="AR538" s="182">
        <v>28898.6</v>
      </c>
      <c r="AS538" s="182">
        <v>1074.4000000000001</v>
      </c>
      <c r="AT538" s="182"/>
      <c r="AU538" s="182">
        <v>5</v>
      </c>
      <c r="AV538" s="182"/>
      <c r="AW538" s="182"/>
      <c r="AX538" s="182"/>
      <c r="AY538" s="182"/>
      <c r="AZ538" s="182"/>
      <c r="BA538" s="182"/>
      <c r="BB538" s="182"/>
      <c r="BC538" s="182"/>
      <c r="BD538" s="182"/>
      <c r="BE538" s="182">
        <v>266</v>
      </c>
      <c r="BF538" s="182">
        <v>80</v>
      </c>
      <c r="BG538" s="182"/>
      <c r="BH538" s="182"/>
      <c r="BI538" s="182"/>
      <c r="BJ538" s="182"/>
      <c r="BK538" s="182"/>
      <c r="BL538" s="182"/>
      <c r="BM538" s="182"/>
      <c r="BN538" s="182"/>
      <c r="BO538" s="182"/>
      <c r="BP538" s="182"/>
      <c r="BQ538" s="182"/>
      <c r="BR538" s="182"/>
      <c r="BS538" s="182"/>
      <c r="BT538" s="182"/>
      <c r="BU538" s="182"/>
      <c r="BV538" s="182"/>
      <c r="BW538" s="182"/>
      <c r="BX538" s="182"/>
      <c r="BY538" s="182"/>
      <c r="BZ538" s="182"/>
      <c r="CA538" s="182"/>
      <c r="CB538" s="185">
        <v>30324</v>
      </c>
      <c r="CC538" s="185">
        <v>0</v>
      </c>
      <c r="CD538" s="185">
        <v>1894</v>
      </c>
      <c r="CE538" s="185"/>
    </row>
    <row r="539" spans="2:83" ht="37.5" x14ac:dyDescent="0.3">
      <c r="B539" s="182">
        <v>3862</v>
      </c>
      <c r="C539" s="182">
        <v>1895</v>
      </c>
      <c r="D539" s="182" t="s">
        <v>130</v>
      </c>
      <c r="E539" s="181" t="s">
        <v>4248</v>
      </c>
      <c r="F539" s="182"/>
      <c r="G539" s="182"/>
      <c r="H539" s="182">
        <v>4812.5</v>
      </c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2"/>
      <c r="X539" s="182"/>
      <c r="Y539" s="182"/>
      <c r="Z539" s="182"/>
      <c r="AA539" s="182"/>
      <c r="AB539" s="182"/>
      <c r="AC539" s="182"/>
      <c r="AD539" s="182"/>
      <c r="AE539" s="182"/>
      <c r="AF539" s="182"/>
      <c r="AG539" s="182"/>
      <c r="AH539" s="182"/>
      <c r="AI539" s="182"/>
      <c r="AJ539" s="182"/>
      <c r="AK539" s="182"/>
      <c r="AL539" s="182"/>
      <c r="AM539" s="182"/>
      <c r="AN539" s="182"/>
      <c r="AO539" s="182"/>
      <c r="AP539" s="182"/>
      <c r="AQ539" s="185">
        <v>4812.5</v>
      </c>
      <c r="AR539" s="182">
        <v>4388.75</v>
      </c>
      <c r="AS539" s="182">
        <v>253.1</v>
      </c>
      <c r="AT539" s="182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>
        <v>126.65</v>
      </c>
      <c r="BF539" s="182">
        <v>6</v>
      </c>
      <c r="BG539" s="182">
        <v>38</v>
      </c>
      <c r="BH539" s="182"/>
      <c r="BI539" s="182"/>
      <c r="BJ539" s="182"/>
      <c r="BK539" s="182"/>
      <c r="BL539" s="182"/>
      <c r="BM539" s="182"/>
      <c r="BN539" s="182"/>
      <c r="BO539" s="182"/>
      <c r="BP539" s="182"/>
      <c r="BQ539" s="182"/>
      <c r="BR539" s="182"/>
      <c r="BS539" s="182"/>
      <c r="BT539" s="182"/>
      <c r="BU539" s="182"/>
      <c r="BV539" s="182"/>
      <c r="BW539" s="182"/>
      <c r="BX539" s="182"/>
      <c r="BY539" s="182"/>
      <c r="BZ539" s="182"/>
      <c r="CA539" s="182"/>
      <c r="CB539" s="185">
        <v>4812.5</v>
      </c>
      <c r="CC539" s="185">
        <v>0</v>
      </c>
      <c r="CD539" s="185">
        <v>1895</v>
      </c>
      <c r="CE539" s="185"/>
    </row>
    <row r="540" spans="2:83" s="198" customFormat="1" x14ac:dyDescent="0.3">
      <c r="B540" s="190"/>
      <c r="C540" s="190"/>
      <c r="D540" s="190"/>
      <c r="E540" s="199" t="s">
        <v>4249</v>
      </c>
      <c r="F540" s="190"/>
      <c r="G540" s="190">
        <v>603930.74000000057</v>
      </c>
      <c r="H540" s="190">
        <v>549174.5</v>
      </c>
      <c r="I540" s="190">
        <v>0</v>
      </c>
      <c r="J540" s="190">
        <v>0</v>
      </c>
      <c r="K540" s="190">
        <v>646450.84</v>
      </c>
      <c r="L540" s="190">
        <v>646450.84</v>
      </c>
      <c r="M540" s="190">
        <v>646450.84</v>
      </c>
      <c r="N540" s="190">
        <v>0</v>
      </c>
      <c r="O540" s="190">
        <v>33000</v>
      </c>
      <c r="P540" s="190">
        <v>0</v>
      </c>
      <c r="Q540" s="190">
        <v>0</v>
      </c>
      <c r="R540" s="190">
        <v>0</v>
      </c>
      <c r="S540" s="190">
        <v>382020.13</v>
      </c>
      <c r="T540" s="190">
        <v>0</v>
      </c>
      <c r="U540" s="190">
        <v>0</v>
      </c>
      <c r="V540" s="190">
        <v>0</v>
      </c>
      <c r="W540" s="190">
        <v>0</v>
      </c>
      <c r="X540" s="190">
        <v>0</v>
      </c>
      <c r="Y540" s="190">
        <v>0</v>
      </c>
      <c r="Z540" s="190">
        <v>0</v>
      </c>
      <c r="AA540" s="190">
        <v>0</v>
      </c>
      <c r="AB540" s="190">
        <v>0</v>
      </c>
      <c r="AC540" s="190">
        <v>27271.66</v>
      </c>
      <c r="AD540" s="190">
        <v>0</v>
      </c>
      <c r="AE540" s="190">
        <v>0</v>
      </c>
      <c r="AF540" s="190">
        <v>0</v>
      </c>
      <c r="AG540" s="190">
        <v>0</v>
      </c>
      <c r="AH540" s="190">
        <v>0</v>
      </c>
      <c r="AI540" s="190">
        <v>0</v>
      </c>
      <c r="AJ540" s="190">
        <v>0</v>
      </c>
      <c r="AK540" s="190">
        <v>0</v>
      </c>
      <c r="AL540" s="190">
        <v>0</v>
      </c>
      <c r="AM540" s="190">
        <v>0</v>
      </c>
      <c r="AN540" s="190">
        <v>0</v>
      </c>
      <c r="AO540" s="190">
        <v>0</v>
      </c>
      <c r="AP540" s="190">
        <v>0</v>
      </c>
      <c r="AQ540" s="190">
        <v>3534749.5500000007</v>
      </c>
      <c r="AR540" s="190">
        <v>2057789.6599999997</v>
      </c>
      <c r="AS540" s="190">
        <v>70280.149999999994</v>
      </c>
      <c r="AT540" s="190">
        <v>45521.710000000006</v>
      </c>
      <c r="AU540" s="190">
        <v>20</v>
      </c>
      <c r="AV540" s="190">
        <v>0</v>
      </c>
      <c r="AW540" s="190">
        <v>0</v>
      </c>
      <c r="AX540" s="190">
        <v>0</v>
      </c>
      <c r="AY540" s="190">
        <v>0</v>
      </c>
      <c r="AZ540" s="190">
        <v>0</v>
      </c>
      <c r="BA540" s="190">
        <v>0</v>
      </c>
      <c r="BB540" s="190">
        <v>0</v>
      </c>
      <c r="BC540" s="190">
        <v>0</v>
      </c>
      <c r="BD540" s="190">
        <v>0</v>
      </c>
      <c r="BE540" s="190">
        <v>6120.1</v>
      </c>
      <c r="BF540" s="190">
        <v>310</v>
      </c>
      <c r="BG540" s="190">
        <v>5194.8</v>
      </c>
      <c r="BH540" s="190">
        <v>5347.05</v>
      </c>
      <c r="BI540" s="190">
        <v>0</v>
      </c>
      <c r="BJ540" s="190">
        <v>646450.84</v>
      </c>
      <c r="BK540" s="190">
        <v>646450.84</v>
      </c>
      <c r="BL540" s="190">
        <v>0</v>
      </c>
      <c r="BM540" s="190">
        <v>33000</v>
      </c>
      <c r="BN540" s="190">
        <v>0</v>
      </c>
      <c r="BO540" s="190">
        <v>0</v>
      </c>
      <c r="BP540" s="190">
        <v>0</v>
      </c>
      <c r="BQ540" s="190">
        <v>0</v>
      </c>
      <c r="BR540" s="190">
        <v>0</v>
      </c>
      <c r="BS540" s="190">
        <v>0</v>
      </c>
      <c r="BT540" s="190">
        <v>0</v>
      </c>
      <c r="BU540" s="190">
        <v>0</v>
      </c>
      <c r="BV540" s="190">
        <v>0</v>
      </c>
      <c r="BW540" s="190">
        <v>0</v>
      </c>
      <c r="BX540" s="190">
        <v>0</v>
      </c>
      <c r="BY540" s="190">
        <v>0</v>
      </c>
      <c r="BZ540" s="190">
        <v>0</v>
      </c>
      <c r="CA540" s="190">
        <v>18264.400000000001</v>
      </c>
      <c r="CB540" s="190">
        <v>3534749.5500000007</v>
      </c>
      <c r="CC540" s="190">
        <v>0</v>
      </c>
      <c r="CD540" s="190"/>
      <c r="CE540" s="190"/>
    </row>
    <row r="541" spans="2:83" x14ac:dyDescent="0.3">
      <c r="B541" s="182">
        <v>1827</v>
      </c>
      <c r="C541" s="182">
        <v>1896</v>
      </c>
      <c r="D541" s="182" t="s">
        <v>121</v>
      </c>
      <c r="E541" s="181" t="s">
        <v>4250</v>
      </c>
      <c r="F541" s="182" t="s">
        <v>220</v>
      </c>
      <c r="G541" s="182">
        <v>10074.469999999999</v>
      </c>
      <c r="H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2"/>
      <c r="X541" s="182"/>
      <c r="Y541" s="182"/>
      <c r="Z541" s="182"/>
      <c r="AA541" s="182"/>
      <c r="AB541" s="182"/>
      <c r="AC541" s="182"/>
      <c r="AD541" s="182"/>
      <c r="AE541" s="182"/>
      <c r="AF541" s="182"/>
      <c r="AG541" s="182"/>
      <c r="AH541" s="182"/>
      <c r="AI541" s="182"/>
      <c r="AJ541" s="182"/>
      <c r="AK541" s="182"/>
      <c r="AL541" s="182"/>
      <c r="AM541" s="182"/>
      <c r="AN541" s="182"/>
      <c r="AO541" s="182"/>
      <c r="AP541" s="182"/>
      <c r="AQ541" s="185">
        <v>10074.469999999999</v>
      </c>
      <c r="AR541" s="182">
        <v>7219.94</v>
      </c>
      <c r="AS541" s="182">
        <v>90.35</v>
      </c>
      <c r="AT541" s="182">
        <v>2443.3200000000002</v>
      </c>
      <c r="AU541" s="182">
        <v>319.12</v>
      </c>
      <c r="AV541" s="182"/>
      <c r="AW541" s="182"/>
      <c r="AX541" s="182"/>
      <c r="AY541" s="182"/>
      <c r="AZ541" s="182"/>
      <c r="BA541" s="182"/>
      <c r="BB541" s="182"/>
      <c r="BC541" s="182"/>
      <c r="BD541" s="182"/>
      <c r="BE541" s="182"/>
      <c r="BF541" s="182"/>
      <c r="BG541" s="182"/>
      <c r="BH541" s="182"/>
      <c r="BI541" s="182"/>
      <c r="BJ541" s="182"/>
      <c r="BK541" s="182"/>
      <c r="BL541" s="182"/>
      <c r="BM541" s="182"/>
      <c r="BN541" s="182"/>
      <c r="BO541" s="182"/>
      <c r="BP541" s="182"/>
      <c r="BQ541" s="182"/>
      <c r="BR541" s="182"/>
      <c r="BS541" s="182"/>
      <c r="BT541" s="182"/>
      <c r="BU541" s="182"/>
      <c r="BV541" s="182"/>
      <c r="BW541" s="182"/>
      <c r="BX541" s="182"/>
      <c r="BY541" s="182"/>
      <c r="BZ541" s="182"/>
      <c r="CA541" s="182">
        <v>1.74</v>
      </c>
      <c r="CB541" s="185">
        <v>10074.470000000001</v>
      </c>
      <c r="CC541" s="185">
        <v>0</v>
      </c>
      <c r="CD541" s="185">
        <v>1896</v>
      </c>
      <c r="CE541" s="185"/>
    </row>
    <row r="542" spans="2:83" x14ac:dyDescent="0.3">
      <c r="B542" s="182">
        <v>1829</v>
      </c>
      <c r="C542" s="182">
        <v>1897</v>
      </c>
      <c r="D542" s="182" t="s">
        <v>121</v>
      </c>
      <c r="E542" s="181" t="s">
        <v>4250</v>
      </c>
      <c r="F542" s="182" t="s">
        <v>220</v>
      </c>
      <c r="G542" s="182">
        <v>258914.8</v>
      </c>
      <c r="H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2"/>
      <c r="X542" s="182"/>
      <c r="Y542" s="182"/>
      <c r="Z542" s="182"/>
      <c r="AA542" s="182"/>
      <c r="AB542" s="182"/>
      <c r="AC542" s="182"/>
      <c r="AD542" s="182"/>
      <c r="AE542" s="182"/>
      <c r="AF542" s="182"/>
      <c r="AG542" s="182"/>
      <c r="AH542" s="182"/>
      <c r="AI542" s="182"/>
      <c r="AJ542" s="182"/>
      <c r="AK542" s="182"/>
      <c r="AL542" s="182"/>
      <c r="AM542" s="182"/>
      <c r="AN542" s="182"/>
      <c r="AO542" s="182"/>
      <c r="AP542" s="182"/>
      <c r="AQ542" s="185">
        <v>258914.8</v>
      </c>
      <c r="AR542" s="182">
        <v>192335.81</v>
      </c>
      <c r="AS542" s="182">
        <v>2652.84</v>
      </c>
      <c r="AT542" s="182">
        <v>62382.39</v>
      </c>
      <c r="AU542" s="182">
        <v>1519.3</v>
      </c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/>
      <c r="BH542" s="182"/>
      <c r="BI542" s="182"/>
      <c r="BJ542" s="182"/>
      <c r="BK542" s="182"/>
      <c r="BL542" s="182"/>
      <c r="BM542" s="182"/>
      <c r="BN542" s="182"/>
      <c r="BO542" s="182"/>
      <c r="BP542" s="182"/>
      <c r="BQ542" s="182"/>
      <c r="BR542" s="182"/>
      <c r="BS542" s="182"/>
      <c r="BT542" s="182"/>
      <c r="BU542" s="182"/>
      <c r="BV542" s="182"/>
      <c r="BW542" s="182"/>
      <c r="BX542" s="182"/>
      <c r="BY542" s="182"/>
      <c r="BZ542" s="182"/>
      <c r="CA542" s="182">
        <v>24.46</v>
      </c>
      <c r="CB542" s="185">
        <v>258914.79999999996</v>
      </c>
      <c r="CC542" s="185">
        <v>0</v>
      </c>
      <c r="CD542" s="185">
        <v>1897</v>
      </c>
      <c r="CE542" s="185"/>
    </row>
    <row r="543" spans="2:83" x14ac:dyDescent="0.3">
      <c r="B543" s="182">
        <v>1828</v>
      </c>
      <c r="C543" s="182">
        <v>1898</v>
      </c>
      <c r="D543" s="182" t="s">
        <v>121</v>
      </c>
      <c r="E543" s="181" t="s">
        <v>4250</v>
      </c>
      <c r="F543" s="182" t="s">
        <v>220</v>
      </c>
      <c r="G543" s="182">
        <v>4876.49</v>
      </c>
      <c r="H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2"/>
      <c r="X543" s="182"/>
      <c r="Y543" s="182"/>
      <c r="Z543" s="182"/>
      <c r="AA543" s="182"/>
      <c r="AB543" s="182"/>
      <c r="AC543" s="182"/>
      <c r="AD543" s="182"/>
      <c r="AE543" s="182"/>
      <c r="AF543" s="182"/>
      <c r="AG543" s="182"/>
      <c r="AH543" s="182"/>
      <c r="AI543" s="182"/>
      <c r="AJ543" s="182"/>
      <c r="AK543" s="182"/>
      <c r="AL543" s="182"/>
      <c r="AM543" s="182"/>
      <c r="AN543" s="182"/>
      <c r="AO543" s="182"/>
      <c r="AP543" s="182"/>
      <c r="AQ543" s="185">
        <v>4876.49</v>
      </c>
      <c r="AR543" s="182">
        <v>2433.9699999999998</v>
      </c>
      <c r="AS543" s="182">
        <v>44.25</v>
      </c>
      <c r="AT543" s="182">
        <v>1174.93</v>
      </c>
      <c r="AU543" s="182">
        <v>1221.56</v>
      </c>
      <c r="AV543" s="182"/>
      <c r="AW543" s="182"/>
      <c r="AX543" s="182"/>
      <c r="AY543" s="182"/>
      <c r="AZ543" s="182"/>
      <c r="BA543" s="182"/>
      <c r="BB543" s="182"/>
      <c r="BC543" s="182"/>
      <c r="BD543" s="182"/>
      <c r="BE543" s="182"/>
      <c r="BF543" s="182"/>
      <c r="BG543" s="182"/>
      <c r="BH543" s="182"/>
      <c r="BI543" s="182"/>
      <c r="BJ543" s="182"/>
      <c r="BK543" s="182"/>
      <c r="BL543" s="182"/>
      <c r="BM543" s="182"/>
      <c r="BN543" s="182"/>
      <c r="BO543" s="182"/>
      <c r="BP543" s="182"/>
      <c r="BQ543" s="182"/>
      <c r="BR543" s="182"/>
      <c r="BS543" s="182"/>
      <c r="BT543" s="182"/>
      <c r="BU543" s="182"/>
      <c r="BV543" s="182"/>
      <c r="BW543" s="182"/>
      <c r="BX543" s="182"/>
      <c r="BY543" s="182"/>
      <c r="BZ543" s="182"/>
      <c r="CA543" s="182">
        <v>1.78</v>
      </c>
      <c r="CB543" s="185">
        <v>4876.4899999999989</v>
      </c>
      <c r="CC543" s="185">
        <v>0</v>
      </c>
      <c r="CD543" s="185">
        <v>1898</v>
      </c>
      <c r="CE543" s="185"/>
    </row>
    <row r="544" spans="2:83" x14ac:dyDescent="0.3">
      <c r="B544" s="182">
        <v>1830</v>
      </c>
      <c r="C544" s="182">
        <v>1899</v>
      </c>
      <c r="D544" s="182" t="s">
        <v>121</v>
      </c>
      <c r="E544" s="181" t="s">
        <v>4250</v>
      </c>
      <c r="F544" s="182" t="s">
        <v>220</v>
      </c>
      <c r="G544" s="182">
        <v>4843.32</v>
      </c>
      <c r="H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2"/>
      <c r="X544" s="182"/>
      <c r="Y544" s="182"/>
      <c r="Z544" s="182"/>
      <c r="AA544" s="182"/>
      <c r="AB544" s="182"/>
      <c r="AC544" s="182"/>
      <c r="AD544" s="182"/>
      <c r="AE544" s="182"/>
      <c r="AF544" s="182"/>
      <c r="AG544" s="182"/>
      <c r="AH544" s="182"/>
      <c r="AI544" s="182"/>
      <c r="AJ544" s="182"/>
      <c r="AK544" s="182"/>
      <c r="AL544" s="182"/>
      <c r="AM544" s="182"/>
      <c r="AN544" s="182"/>
      <c r="AO544" s="182"/>
      <c r="AP544" s="182"/>
      <c r="AQ544" s="185">
        <v>4843.32</v>
      </c>
      <c r="AR544" s="182">
        <v>3540.01</v>
      </c>
      <c r="AS544" s="182">
        <v>43.43</v>
      </c>
      <c r="AT544" s="182">
        <v>1166.94</v>
      </c>
      <c r="AU544" s="182">
        <v>91.199999999999989</v>
      </c>
      <c r="AV544" s="182"/>
      <c r="AW544" s="182"/>
      <c r="AX544" s="182"/>
      <c r="AY544" s="182"/>
      <c r="AZ544" s="182"/>
      <c r="BA544" s="182"/>
      <c r="BB544" s="182"/>
      <c r="BC544" s="182"/>
      <c r="BD544" s="182"/>
      <c r="BE544" s="182"/>
      <c r="BF544" s="182"/>
      <c r="BG544" s="182"/>
      <c r="BH544" s="182"/>
      <c r="BI544" s="182"/>
      <c r="BJ544" s="182"/>
      <c r="BK544" s="182"/>
      <c r="BL544" s="182"/>
      <c r="BM544" s="182"/>
      <c r="BN544" s="182"/>
      <c r="BO544" s="182"/>
      <c r="BP544" s="182"/>
      <c r="BQ544" s="182"/>
      <c r="BR544" s="182"/>
      <c r="BS544" s="182"/>
      <c r="BT544" s="182"/>
      <c r="BU544" s="182"/>
      <c r="BV544" s="182"/>
      <c r="BW544" s="182"/>
      <c r="BX544" s="182"/>
      <c r="BY544" s="182"/>
      <c r="BZ544" s="182"/>
      <c r="CA544" s="182">
        <v>1.74</v>
      </c>
      <c r="CB544" s="185">
        <v>4843.32</v>
      </c>
      <c r="CC544" s="185">
        <v>0</v>
      </c>
      <c r="CD544" s="185">
        <v>1899</v>
      </c>
      <c r="CE544" s="185"/>
    </row>
    <row r="545" spans="2:83" x14ac:dyDescent="0.3">
      <c r="B545" s="182">
        <v>1831</v>
      </c>
      <c r="C545" s="182">
        <v>1900</v>
      </c>
      <c r="D545" s="182" t="s">
        <v>121</v>
      </c>
      <c r="E545" s="181" t="s">
        <v>4250</v>
      </c>
      <c r="F545" s="182" t="s">
        <v>220</v>
      </c>
      <c r="G545" s="182">
        <v>4843.32</v>
      </c>
      <c r="H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2"/>
      <c r="X545" s="182"/>
      <c r="Y545" s="182"/>
      <c r="Z545" s="182"/>
      <c r="AA545" s="182"/>
      <c r="AB545" s="182"/>
      <c r="AC545" s="182"/>
      <c r="AD545" s="182"/>
      <c r="AE545" s="182"/>
      <c r="AF545" s="182"/>
      <c r="AG545" s="182"/>
      <c r="AH545" s="182"/>
      <c r="AI545" s="182"/>
      <c r="AJ545" s="182"/>
      <c r="AK545" s="182"/>
      <c r="AL545" s="182"/>
      <c r="AM545" s="182"/>
      <c r="AN545" s="182"/>
      <c r="AO545" s="182"/>
      <c r="AP545" s="182"/>
      <c r="AQ545" s="185">
        <v>4843.32</v>
      </c>
      <c r="AR545" s="182">
        <v>3627.88</v>
      </c>
      <c r="AS545" s="182">
        <v>43.43</v>
      </c>
      <c r="AT545" s="182">
        <v>1166.94</v>
      </c>
      <c r="AU545" s="182">
        <v>5.07</v>
      </c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182"/>
      <c r="BK545" s="182"/>
      <c r="BL545" s="182"/>
      <c r="BM545" s="182"/>
      <c r="BN545" s="182"/>
      <c r="BO545" s="182"/>
      <c r="BP545" s="182"/>
      <c r="BQ545" s="182"/>
      <c r="BR545" s="182"/>
      <c r="BS545" s="182"/>
      <c r="BT545" s="182"/>
      <c r="BU545" s="182"/>
      <c r="BV545" s="182"/>
      <c r="BW545" s="182"/>
      <c r="BX545" s="182"/>
      <c r="BY545" s="182"/>
      <c r="BZ545" s="182"/>
      <c r="CA545" s="182"/>
      <c r="CB545" s="185">
        <v>4843.32</v>
      </c>
      <c r="CC545" s="185">
        <v>0</v>
      </c>
      <c r="CD545" s="185">
        <v>1900</v>
      </c>
      <c r="CE545" s="185"/>
    </row>
    <row r="546" spans="2:83" x14ac:dyDescent="0.3">
      <c r="B546" s="182">
        <v>1832</v>
      </c>
      <c r="C546" s="182">
        <v>1901</v>
      </c>
      <c r="D546" s="182" t="s">
        <v>121</v>
      </c>
      <c r="E546" s="181" t="s">
        <v>4250</v>
      </c>
      <c r="F546" s="182" t="s">
        <v>220</v>
      </c>
      <c r="G546" s="182">
        <v>9733.24</v>
      </c>
      <c r="H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2"/>
      <c r="X546" s="182"/>
      <c r="Y546" s="182"/>
      <c r="Z546" s="182"/>
      <c r="AA546" s="182"/>
      <c r="AB546" s="182"/>
      <c r="AC546" s="182"/>
      <c r="AD546" s="182"/>
      <c r="AE546" s="182"/>
      <c r="AF546" s="182"/>
      <c r="AG546" s="182"/>
      <c r="AH546" s="182"/>
      <c r="AI546" s="182"/>
      <c r="AJ546" s="182"/>
      <c r="AK546" s="182"/>
      <c r="AL546" s="182"/>
      <c r="AM546" s="182"/>
      <c r="AN546" s="182"/>
      <c r="AO546" s="182"/>
      <c r="AP546" s="182"/>
      <c r="AQ546" s="185">
        <v>9733.24</v>
      </c>
      <c r="AR546" s="182">
        <v>7070.66</v>
      </c>
      <c r="AS546" s="182">
        <v>88.03</v>
      </c>
      <c r="AT546" s="182">
        <v>2345.14</v>
      </c>
      <c r="AU546" s="182">
        <v>225.48000000000002</v>
      </c>
      <c r="AV546" s="182"/>
      <c r="AW546" s="182"/>
      <c r="AX546" s="182"/>
      <c r="AY546" s="182"/>
      <c r="AZ546" s="182"/>
      <c r="BA546" s="182"/>
      <c r="BB546" s="182"/>
      <c r="BC546" s="182"/>
      <c r="BD546" s="182"/>
      <c r="BE546" s="182"/>
      <c r="BF546" s="182"/>
      <c r="BG546" s="182"/>
      <c r="BH546" s="182"/>
      <c r="BI546" s="182"/>
      <c r="BJ546" s="182"/>
      <c r="BK546" s="182"/>
      <c r="BL546" s="182"/>
      <c r="BM546" s="182"/>
      <c r="BN546" s="182"/>
      <c r="BO546" s="182"/>
      <c r="BP546" s="182"/>
      <c r="BQ546" s="182"/>
      <c r="BR546" s="182"/>
      <c r="BS546" s="182"/>
      <c r="BT546" s="182"/>
      <c r="BU546" s="182"/>
      <c r="BV546" s="182"/>
      <c r="BW546" s="182"/>
      <c r="BX546" s="182"/>
      <c r="BY546" s="182"/>
      <c r="BZ546" s="182"/>
      <c r="CA546" s="182">
        <v>3.93</v>
      </c>
      <c r="CB546" s="185">
        <v>9733.24</v>
      </c>
      <c r="CC546" s="185">
        <v>0</v>
      </c>
      <c r="CD546" s="185">
        <v>1901</v>
      </c>
      <c r="CE546" s="185"/>
    </row>
    <row r="547" spans="2:83" x14ac:dyDescent="0.3">
      <c r="B547" s="182">
        <v>1833</v>
      </c>
      <c r="C547" s="182">
        <v>1902</v>
      </c>
      <c r="D547" s="182" t="s">
        <v>121</v>
      </c>
      <c r="E547" s="181" t="s">
        <v>4250</v>
      </c>
      <c r="F547" s="182" t="s">
        <v>220</v>
      </c>
      <c r="G547" s="182">
        <v>4843.32</v>
      </c>
      <c r="H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2"/>
      <c r="X547" s="182"/>
      <c r="Y547" s="182"/>
      <c r="Z547" s="182"/>
      <c r="AA547" s="182"/>
      <c r="AB547" s="182"/>
      <c r="AC547" s="182"/>
      <c r="AD547" s="182"/>
      <c r="AE547" s="182"/>
      <c r="AF547" s="182"/>
      <c r="AG547" s="182"/>
      <c r="AH547" s="182"/>
      <c r="AI547" s="182"/>
      <c r="AJ547" s="182"/>
      <c r="AK547" s="182"/>
      <c r="AL547" s="182"/>
      <c r="AM547" s="182"/>
      <c r="AN547" s="182"/>
      <c r="AO547" s="182"/>
      <c r="AP547" s="182"/>
      <c r="AQ547" s="185">
        <v>4843.32</v>
      </c>
      <c r="AR547" s="182">
        <v>3627.88</v>
      </c>
      <c r="AS547" s="182">
        <v>43.43</v>
      </c>
      <c r="AT547" s="182">
        <v>1166.94</v>
      </c>
      <c r="AU547" s="182">
        <v>5.07</v>
      </c>
      <c r="AV547" s="182"/>
      <c r="AW547" s="182"/>
      <c r="AX547" s="182"/>
      <c r="AY547" s="182"/>
      <c r="AZ547" s="182"/>
      <c r="BA547" s="182"/>
      <c r="BB547" s="182"/>
      <c r="BC547" s="182"/>
      <c r="BD547" s="182"/>
      <c r="BE547" s="182"/>
      <c r="BF547" s="182"/>
      <c r="BG547" s="182"/>
      <c r="BH547" s="182"/>
      <c r="BI547" s="182"/>
      <c r="BJ547" s="182"/>
      <c r="BK547" s="182"/>
      <c r="BL547" s="182"/>
      <c r="BM547" s="182"/>
      <c r="BN547" s="182"/>
      <c r="BO547" s="182"/>
      <c r="BP547" s="182"/>
      <c r="BQ547" s="182"/>
      <c r="BR547" s="182"/>
      <c r="BS547" s="182"/>
      <c r="BT547" s="182"/>
      <c r="BU547" s="182"/>
      <c r="BV547" s="182"/>
      <c r="BW547" s="182"/>
      <c r="BX547" s="182"/>
      <c r="BY547" s="182"/>
      <c r="BZ547" s="182"/>
      <c r="CA547" s="182"/>
      <c r="CB547" s="185">
        <v>4843.32</v>
      </c>
      <c r="CC547" s="185">
        <v>0</v>
      </c>
      <c r="CD547" s="185">
        <v>1902</v>
      </c>
      <c r="CE547" s="185"/>
    </row>
    <row r="548" spans="2:83" x14ac:dyDescent="0.3">
      <c r="B548" s="182">
        <v>1834</v>
      </c>
      <c r="C548" s="182">
        <v>1903</v>
      </c>
      <c r="D548" s="182" t="s">
        <v>121</v>
      </c>
      <c r="E548" s="181" t="s">
        <v>4250</v>
      </c>
      <c r="F548" s="182" t="s">
        <v>220</v>
      </c>
      <c r="G548" s="182">
        <v>29573.52</v>
      </c>
      <c r="H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2"/>
      <c r="X548" s="182"/>
      <c r="Y548" s="182"/>
      <c r="Z548" s="182"/>
      <c r="AA548" s="182"/>
      <c r="AB548" s="182"/>
      <c r="AC548" s="182"/>
      <c r="AD548" s="182"/>
      <c r="AE548" s="182"/>
      <c r="AF548" s="182"/>
      <c r="AG548" s="182"/>
      <c r="AH548" s="182"/>
      <c r="AI548" s="182"/>
      <c r="AJ548" s="182"/>
      <c r="AK548" s="182"/>
      <c r="AL548" s="182"/>
      <c r="AM548" s="182"/>
      <c r="AN548" s="182"/>
      <c r="AO548" s="182"/>
      <c r="AP548" s="182"/>
      <c r="AQ548" s="185">
        <v>29573.52</v>
      </c>
      <c r="AR548" s="182">
        <v>22144.26</v>
      </c>
      <c r="AS548" s="182">
        <v>273.24</v>
      </c>
      <c r="AT548" s="182">
        <v>7125.42</v>
      </c>
      <c r="AU548" s="182">
        <v>30.6</v>
      </c>
      <c r="AV548" s="182"/>
      <c r="AW548" s="182"/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/>
      <c r="BH548" s="182"/>
      <c r="BI548" s="182"/>
      <c r="BJ548" s="182"/>
      <c r="BK548" s="182"/>
      <c r="BL548" s="182"/>
      <c r="BM548" s="182"/>
      <c r="BN548" s="182"/>
      <c r="BO548" s="182"/>
      <c r="BP548" s="182"/>
      <c r="BQ548" s="182"/>
      <c r="BR548" s="182"/>
      <c r="BS548" s="182"/>
      <c r="BT548" s="182"/>
      <c r="BU548" s="182"/>
      <c r="BV548" s="182"/>
      <c r="BW548" s="182"/>
      <c r="BX548" s="182"/>
      <c r="BY548" s="182"/>
      <c r="BZ548" s="182"/>
      <c r="CA548" s="182"/>
      <c r="CB548" s="185">
        <v>29573.519999999997</v>
      </c>
      <c r="CC548" s="185">
        <v>0</v>
      </c>
      <c r="CD548" s="185">
        <v>1903</v>
      </c>
      <c r="CE548" s="185"/>
    </row>
    <row r="549" spans="2:83" x14ac:dyDescent="0.3">
      <c r="B549" s="182">
        <v>1835</v>
      </c>
      <c r="C549" s="182">
        <v>1904</v>
      </c>
      <c r="D549" s="182" t="s">
        <v>121</v>
      </c>
      <c r="E549" s="181" t="s">
        <v>4250</v>
      </c>
      <c r="F549" s="182" t="s">
        <v>220</v>
      </c>
      <c r="G549" s="182">
        <v>90784.960000000006</v>
      </c>
      <c r="H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2"/>
      <c r="X549" s="182"/>
      <c r="Y549" s="182"/>
      <c r="Z549" s="182"/>
      <c r="AA549" s="182"/>
      <c r="AB549" s="182"/>
      <c r="AC549" s="182"/>
      <c r="AD549" s="182"/>
      <c r="AE549" s="182"/>
      <c r="AF549" s="182"/>
      <c r="AG549" s="182"/>
      <c r="AH549" s="182"/>
      <c r="AI549" s="182"/>
      <c r="AJ549" s="182"/>
      <c r="AK549" s="182"/>
      <c r="AL549" s="182"/>
      <c r="AM549" s="182"/>
      <c r="AN549" s="182"/>
      <c r="AO549" s="182"/>
      <c r="AP549" s="182"/>
      <c r="AQ549" s="185">
        <v>90784.960000000006</v>
      </c>
      <c r="AR549" s="182">
        <v>67630.320000000007</v>
      </c>
      <c r="AS549" s="182">
        <v>719.84</v>
      </c>
      <c r="AT549" s="182">
        <v>21873.53</v>
      </c>
      <c r="AU549" s="182">
        <v>553.61</v>
      </c>
      <c r="AV549" s="182"/>
      <c r="AW549" s="182"/>
      <c r="AX549" s="182"/>
      <c r="AY549" s="182"/>
      <c r="AZ549" s="182"/>
      <c r="BA549" s="182"/>
      <c r="BB549" s="182"/>
      <c r="BC549" s="182"/>
      <c r="BD549" s="182"/>
      <c r="BE549" s="182"/>
      <c r="BF549" s="182"/>
      <c r="BG549" s="182"/>
      <c r="BH549" s="182"/>
      <c r="BI549" s="182"/>
      <c r="BJ549" s="182"/>
      <c r="BK549" s="182"/>
      <c r="BL549" s="182"/>
      <c r="BM549" s="182"/>
      <c r="BN549" s="182"/>
      <c r="BO549" s="182"/>
      <c r="BP549" s="182"/>
      <c r="BQ549" s="182"/>
      <c r="BR549" s="182"/>
      <c r="BS549" s="182"/>
      <c r="BT549" s="182"/>
      <c r="BU549" s="182"/>
      <c r="BV549" s="182"/>
      <c r="BW549" s="182"/>
      <c r="BX549" s="182"/>
      <c r="BY549" s="182"/>
      <c r="BZ549" s="182"/>
      <c r="CA549" s="182">
        <v>7.66</v>
      </c>
      <c r="CB549" s="185">
        <v>90784.960000000006</v>
      </c>
      <c r="CC549" s="185">
        <v>0</v>
      </c>
      <c r="CD549" s="185">
        <v>1904</v>
      </c>
      <c r="CE549" s="185"/>
    </row>
    <row r="550" spans="2:83" s="198" customFormat="1" x14ac:dyDescent="0.3">
      <c r="B550" s="190"/>
      <c r="C550" s="190"/>
      <c r="D550" s="190"/>
      <c r="E550" s="199" t="s">
        <v>4251</v>
      </c>
      <c r="F550" s="190"/>
      <c r="G550" s="190">
        <v>418487.44</v>
      </c>
      <c r="H550" s="190">
        <v>0</v>
      </c>
      <c r="I550" s="190">
        <v>0</v>
      </c>
      <c r="J550" s="190">
        <v>0</v>
      </c>
      <c r="K550" s="190">
        <v>0</v>
      </c>
      <c r="L550" s="190">
        <v>0</v>
      </c>
      <c r="M550" s="190">
        <v>0</v>
      </c>
      <c r="N550" s="190">
        <v>0</v>
      </c>
      <c r="O550" s="190">
        <v>0</v>
      </c>
      <c r="P550" s="190">
        <v>0</v>
      </c>
      <c r="Q550" s="190">
        <v>0</v>
      </c>
      <c r="R550" s="190">
        <v>0</v>
      </c>
      <c r="S550" s="190">
        <v>0</v>
      </c>
      <c r="T550" s="190">
        <v>0</v>
      </c>
      <c r="U550" s="190">
        <v>0</v>
      </c>
      <c r="V550" s="190">
        <v>0</v>
      </c>
      <c r="W550" s="190">
        <v>0</v>
      </c>
      <c r="X550" s="190">
        <v>0</v>
      </c>
      <c r="Y550" s="190">
        <v>0</v>
      </c>
      <c r="Z550" s="190">
        <v>0</v>
      </c>
      <c r="AA550" s="190">
        <v>0</v>
      </c>
      <c r="AB550" s="190">
        <v>0</v>
      </c>
      <c r="AC550" s="190">
        <v>0</v>
      </c>
      <c r="AD550" s="190">
        <v>0</v>
      </c>
      <c r="AE550" s="190">
        <v>0</v>
      </c>
      <c r="AF550" s="190">
        <v>0</v>
      </c>
      <c r="AG550" s="190">
        <v>0</v>
      </c>
      <c r="AH550" s="190">
        <v>0</v>
      </c>
      <c r="AI550" s="190">
        <v>0</v>
      </c>
      <c r="AJ550" s="190">
        <v>0</v>
      </c>
      <c r="AK550" s="190">
        <v>0</v>
      </c>
      <c r="AL550" s="190">
        <v>0</v>
      </c>
      <c r="AM550" s="190">
        <v>0</v>
      </c>
      <c r="AN550" s="190">
        <v>0</v>
      </c>
      <c r="AO550" s="190">
        <v>0</v>
      </c>
      <c r="AP550" s="190">
        <v>0</v>
      </c>
      <c r="AQ550" s="190">
        <v>418487.44</v>
      </c>
      <c r="AR550" s="190">
        <v>309630.73000000004</v>
      </c>
      <c r="AS550" s="190">
        <v>3998.84</v>
      </c>
      <c r="AT550" s="190">
        <v>100845.55</v>
      </c>
      <c r="AU550" s="190">
        <v>3971.01</v>
      </c>
      <c r="AV550" s="190">
        <v>0</v>
      </c>
      <c r="AW550" s="190">
        <v>0</v>
      </c>
      <c r="AX550" s="190">
        <v>0</v>
      </c>
      <c r="AY550" s="190">
        <v>0</v>
      </c>
      <c r="AZ550" s="190">
        <v>0</v>
      </c>
      <c r="BA550" s="190">
        <v>0</v>
      </c>
      <c r="BB550" s="190">
        <v>0</v>
      </c>
      <c r="BC550" s="190">
        <v>0</v>
      </c>
      <c r="BD550" s="190">
        <v>0</v>
      </c>
      <c r="BE550" s="190">
        <v>0</v>
      </c>
      <c r="BF550" s="190">
        <v>0</v>
      </c>
      <c r="BG550" s="190">
        <v>0</v>
      </c>
      <c r="BH550" s="190">
        <v>0</v>
      </c>
      <c r="BI550" s="190">
        <v>0</v>
      </c>
      <c r="BJ550" s="190">
        <v>0</v>
      </c>
      <c r="BK550" s="190">
        <v>0</v>
      </c>
      <c r="BL550" s="190">
        <v>0</v>
      </c>
      <c r="BM550" s="190">
        <v>0</v>
      </c>
      <c r="BN550" s="190">
        <v>0</v>
      </c>
      <c r="BO550" s="190">
        <v>0</v>
      </c>
      <c r="BP550" s="190">
        <v>0</v>
      </c>
      <c r="BQ550" s="190">
        <v>0</v>
      </c>
      <c r="BR550" s="190">
        <v>0</v>
      </c>
      <c r="BS550" s="190">
        <v>0</v>
      </c>
      <c r="BT550" s="190">
        <v>0</v>
      </c>
      <c r="BU550" s="190">
        <v>0</v>
      </c>
      <c r="BV550" s="190">
        <v>0</v>
      </c>
      <c r="BW550" s="190">
        <v>0</v>
      </c>
      <c r="BX550" s="190">
        <v>0</v>
      </c>
      <c r="BY550" s="190">
        <v>0</v>
      </c>
      <c r="BZ550" s="190">
        <v>0</v>
      </c>
      <c r="CA550" s="190">
        <v>41.31</v>
      </c>
      <c r="CB550" s="190">
        <v>418487.44</v>
      </c>
      <c r="CC550" s="190">
        <v>0</v>
      </c>
      <c r="CD550" s="190"/>
      <c r="CE550" s="190"/>
    </row>
    <row r="551" spans="2:83" x14ac:dyDescent="0.3">
      <c r="B551" s="182">
        <v>1836</v>
      </c>
      <c r="C551" s="182">
        <v>1905</v>
      </c>
      <c r="D551" s="182" t="s">
        <v>121</v>
      </c>
      <c r="E551" s="181" t="s">
        <v>4250</v>
      </c>
      <c r="F551" s="182" t="s">
        <v>220</v>
      </c>
      <c r="G551" s="182">
        <v>18141.95</v>
      </c>
      <c r="H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2"/>
      <c r="X551" s="182"/>
      <c r="Y551" s="182"/>
      <c r="Z551" s="182"/>
      <c r="AA551" s="182"/>
      <c r="AB551" s="182"/>
      <c r="AC551" s="182"/>
      <c r="AD551" s="182"/>
      <c r="AE551" s="182"/>
      <c r="AF551" s="182"/>
      <c r="AG551" s="182"/>
      <c r="AH551" s="182"/>
      <c r="AI551" s="182"/>
      <c r="AJ551" s="182"/>
      <c r="AK551" s="182"/>
      <c r="AL551" s="182"/>
      <c r="AM551" s="182"/>
      <c r="AN551" s="182"/>
      <c r="AO551" s="182"/>
      <c r="AP551" s="182"/>
      <c r="AQ551" s="185">
        <v>18141.95</v>
      </c>
      <c r="AR551" s="182">
        <v>13607.54</v>
      </c>
      <c r="AS551" s="182">
        <v>143.57999999999998</v>
      </c>
      <c r="AT551" s="182">
        <v>4371.0999999999995</v>
      </c>
      <c r="AU551" s="182">
        <v>19.73</v>
      </c>
      <c r="AV551" s="182"/>
      <c r="AW551" s="182"/>
      <c r="AX551" s="182"/>
      <c r="AY551" s="182"/>
      <c r="AZ551" s="182"/>
      <c r="BA551" s="182"/>
      <c r="BB551" s="182"/>
      <c r="BC551" s="182"/>
      <c r="BD551" s="182"/>
      <c r="BE551" s="182"/>
      <c r="BF551" s="182"/>
      <c r="BG551" s="182"/>
      <c r="BH551" s="182"/>
      <c r="BI551" s="182"/>
      <c r="BJ551" s="182"/>
      <c r="BK551" s="182"/>
      <c r="BL551" s="182"/>
      <c r="BM551" s="182"/>
      <c r="BN551" s="182"/>
      <c r="BO551" s="182"/>
      <c r="BP551" s="182"/>
      <c r="BQ551" s="182"/>
      <c r="BR551" s="182"/>
      <c r="BS551" s="182"/>
      <c r="BT551" s="182"/>
      <c r="BU551" s="182"/>
      <c r="BV551" s="182"/>
      <c r="BW551" s="182"/>
      <c r="BX551" s="182"/>
      <c r="BY551" s="182"/>
      <c r="BZ551" s="182"/>
      <c r="CA551" s="182"/>
      <c r="CB551" s="185">
        <v>18141.95</v>
      </c>
      <c r="CC551" s="185">
        <v>0</v>
      </c>
      <c r="CD551" s="185">
        <v>1905</v>
      </c>
      <c r="CE551" s="185"/>
    </row>
    <row r="552" spans="2:83" x14ac:dyDescent="0.3">
      <c r="B552" s="182">
        <v>1837</v>
      </c>
      <c r="C552" s="182">
        <v>1906</v>
      </c>
      <c r="D552" s="182" t="s">
        <v>121</v>
      </c>
      <c r="E552" s="181" t="s">
        <v>4250</v>
      </c>
      <c r="F552" s="182" t="s">
        <v>220</v>
      </c>
      <c r="G552" s="182">
        <v>4945.2700000000004</v>
      </c>
      <c r="H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2"/>
      <c r="X552" s="182"/>
      <c r="Y552" s="182"/>
      <c r="Z552" s="182"/>
      <c r="AA552" s="182"/>
      <c r="AB552" s="182"/>
      <c r="AC552" s="182"/>
      <c r="AD552" s="182"/>
      <c r="AE552" s="182"/>
      <c r="AF552" s="182"/>
      <c r="AG552" s="182"/>
      <c r="AH552" s="182"/>
      <c r="AI552" s="182"/>
      <c r="AJ552" s="182"/>
      <c r="AK552" s="182"/>
      <c r="AL552" s="182"/>
      <c r="AM552" s="182"/>
      <c r="AN552" s="182"/>
      <c r="AO552" s="182"/>
      <c r="AP552" s="182"/>
      <c r="AQ552" s="185">
        <v>4945.2700000000004</v>
      </c>
      <c r="AR552" s="182">
        <v>3700.7</v>
      </c>
      <c r="AS552" s="182">
        <v>45.95</v>
      </c>
      <c r="AT552" s="182">
        <v>1191.51</v>
      </c>
      <c r="AU552" s="182">
        <v>7.1099999999999994</v>
      </c>
      <c r="AV552" s="182"/>
      <c r="AW552" s="182"/>
      <c r="AX552" s="182"/>
      <c r="AY552" s="182"/>
      <c r="AZ552" s="182"/>
      <c r="BA552" s="182"/>
      <c r="BB552" s="182"/>
      <c r="BC552" s="182"/>
      <c r="BD552" s="182"/>
      <c r="BE552" s="182"/>
      <c r="BF552" s="182"/>
      <c r="BG552" s="182"/>
      <c r="BH552" s="182"/>
      <c r="BI552" s="182"/>
      <c r="BJ552" s="182"/>
      <c r="BK552" s="182"/>
      <c r="BL552" s="182"/>
      <c r="BM552" s="182"/>
      <c r="BN552" s="182"/>
      <c r="BO552" s="182"/>
      <c r="BP552" s="182"/>
      <c r="BQ552" s="182"/>
      <c r="BR552" s="182"/>
      <c r="BS552" s="182"/>
      <c r="BT552" s="182"/>
      <c r="BU552" s="182"/>
      <c r="BV552" s="182"/>
      <c r="BW552" s="182"/>
      <c r="BX552" s="182"/>
      <c r="BY552" s="182"/>
      <c r="BZ552" s="182"/>
      <c r="CA552" s="182"/>
      <c r="CB552" s="185">
        <v>4945.2699999999995</v>
      </c>
      <c r="CC552" s="185">
        <v>0</v>
      </c>
      <c r="CD552" s="185">
        <v>1906</v>
      </c>
      <c r="CE552" s="185"/>
    </row>
    <row r="553" spans="2:83" x14ac:dyDescent="0.3">
      <c r="B553" s="182">
        <v>1838</v>
      </c>
      <c r="C553" s="182">
        <v>1907</v>
      </c>
      <c r="D553" s="182" t="s">
        <v>121</v>
      </c>
      <c r="E553" s="181" t="s">
        <v>4250</v>
      </c>
      <c r="F553" s="182" t="s">
        <v>220</v>
      </c>
      <c r="G553" s="182">
        <v>4627.92</v>
      </c>
      <c r="H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2"/>
      <c r="X553" s="182"/>
      <c r="Y553" s="182"/>
      <c r="Z553" s="182"/>
      <c r="AA553" s="182"/>
      <c r="AB553" s="182"/>
      <c r="AC553" s="182"/>
      <c r="AD553" s="182"/>
      <c r="AE553" s="182"/>
      <c r="AF553" s="182"/>
      <c r="AG553" s="182"/>
      <c r="AH553" s="182"/>
      <c r="AI553" s="182"/>
      <c r="AJ553" s="182"/>
      <c r="AK553" s="182"/>
      <c r="AL553" s="182"/>
      <c r="AM553" s="182"/>
      <c r="AN553" s="182"/>
      <c r="AO553" s="182"/>
      <c r="AP553" s="182"/>
      <c r="AQ553" s="185">
        <v>4627.92</v>
      </c>
      <c r="AR553" s="182">
        <v>3469.74</v>
      </c>
      <c r="AS553" s="182">
        <v>38.17</v>
      </c>
      <c r="AT553" s="182">
        <v>1115.04</v>
      </c>
      <c r="AU553" s="182">
        <v>4.97</v>
      </c>
      <c r="AV553" s="182"/>
      <c r="AW553" s="182"/>
      <c r="AX553" s="182"/>
      <c r="AY553" s="182"/>
      <c r="AZ553" s="182"/>
      <c r="BA553" s="182"/>
      <c r="BB553" s="182"/>
      <c r="BC553" s="182"/>
      <c r="BD553" s="182"/>
      <c r="BE553" s="182"/>
      <c r="BF553" s="182"/>
      <c r="BG553" s="182"/>
      <c r="BH553" s="182"/>
      <c r="BI553" s="182"/>
      <c r="BJ553" s="182"/>
      <c r="BK553" s="182"/>
      <c r="BL553" s="182"/>
      <c r="BM553" s="182"/>
      <c r="BN553" s="182"/>
      <c r="BO553" s="182"/>
      <c r="BP553" s="182"/>
      <c r="BQ553" s="182"/>
      <c r="BR553" s="182"/>
      <c r="BS553" s="182"/>
      <c r="BT553" s="182"/>
      <c r="BU553" s="182"/>
      <c r="BV553" s="182"/>
      <c r="BW553" s="182"/>
      <c r="BX553" s="182"/>
      <c r="BY553" s="182"/>
      <c r="BZ553" s="182"/>
      <c r="CA553" s="182"/>
      <c r="CB553" s="185">
        <v>4627.92</v>
      </c>
      <c r="CC553" s="185">
        <v>0</v>
      </c>
      <c r="CD553" s="185">
        <v>1907</v>
      </c>
      <c r="CE553" s="185"/>
    </row>
    <row r="554" spans="2:83" x14ac:dyDescent="0.3">
      <c r="B554" s="182">
        <v>1750</v>
      </c>
      <c r="C554" s="182">
        <v>1908</v>
      </c>
      <c r="D554" s="182" t="s">
        <v>78</v>
      </c>
      <c r="E554" s="181" t="s">
        <v>4250</v>
      </c>
      <c r="F554" s="182" t="s">
        <v>220</v>
      </c>
      <c r="G554" s="182">
        <v>4419</v>
      </c>
      <c r="H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2"/>
      <c r="X554" s="182"/>
      <c r="Y554" s="182"/>
      <c r="Z554" s="182"/>
      <c r="AA554" s="182"/>
      <c r="AB554" s="182"/>
      <c r="AC554" s="182"/>
      <c r="AD554" s="182"/>
      <c r="AE554" s="182"/>
      <c r="AF554" s="182"/>
      <c r="AG554" s="182"/>
      <c r="AH554" s="182"/>
      <c r="AI554" s="182"/>
      <c r="AJ554" s="182"/>
      <c r="AK554" s="182"/>
      <c r="AL554" s="182"/>
      <c r="AM554" s="182"/>
      <c r="AN554" s="182"/>
      <c r="AO554" s="182"/>
      <c r="AP554" s="182"/>
      <c r="AQ554" s="185">
        <v>4419</v>
      </c>
      <c r="AR554" s="182">
        <v>3313.25</v>
      </c>
      <c r="AS554" s="182">
        <v>36.159999999999997</v>
      </c>
      <c r="AT554" s="182">
        <v>1064.71</v>
      </c>
      <c r="AU554" s="182">
        <v>4.88</v>
      </c>
      <c r="AV554" s="182"/>
      <c r="AW554" s="182"/>
      <c r="AX554" s="182"/>
      <c r="AY554" s="182"/>
      <c r="AZ554" s="182"/>
      <c r="BA554" s="182"/>
      <c r="BB554" s="182"/>
      <c r="BC554" s="182"/>
      <c r="BD554" s="182"/>
      <c r="BE554" s="182"/>
      <c r="BF554" s="182"/>
      <c r="BG554" s="182"/>
      <c r="BH554" s="182"/>
      <c r="BI554" s="182"/>
      <c r="BJ554" s="182"/>
      <c r="BK554" s="182"/>
      <c r="BL554" s="182"/>
      <c r="BM554" s="182"/>
      <c r="BN554" s="182"/>
      <c r="BO554" s="182"/>
      <c r="BP554" s="182"/>
      <c r="BQ554" s="182"/>
      <c r="BR554" s="182"/>
      <c r="BS554" s="182"/>
      <c r="BT554" s="182"/>
      <c r="BU554" s="182"/>
      <c r="BV554" s="182"/>
      <c r="BW554" s="182"/>
      <c r="BX554" s="182"/>
      <c r="BY554" s="182"/>
      <c r="BZ554" s="182"/>
      <c r="CA554" s="182"/>
      <c r="CB554" s="185">
        <v>4419</v>
      </c>
      <c r="CC554" s="185">
        <v>0</v>
      </c>
      <c r="CD554" s="185">
        <v>1908</v>
      </c>
      <c r="CE554" s="185"/>
    </row>
    <row r="555" spans="2:83" x14ac:dyDescent="0.3">
      <c r="B555" s="182">
        <v>1751</v>
      </c>
      <c r="C555" s="182">
        <v>1909</v>
      </c>
      <c r="D555" s="182" t="s">
        <v>78</v>
      </c>
      <c r="E555" s="181" t="s">
        <v>4250</v>
      </c>
      <c r="F555" s="182" t="s">
        <v>220</v>
      </c>
      <c r="G555" s="182">
        <v>10399.280000000001</v>
      </c>
      <c r="H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2"/>
      <c r="X555" s="182"/>
      <c r="Y555" s="182"/>
      <c r="Z555" s="182"/>
      <c r="AA555" s="182"/>
      <c r="AB555" s="182"/>
      <c r="AC555" s="182"/>
      <c r="AD555" s="182"/>
      <c r="AE555" s="182"/>
      <c r="AF555" s="182"/>
      <c r="AG555" s="182"/>
      <c r="AH555" s="182"/>
      <c r="AI555" s="182"/>
      <c r="AJ555" s="182"/>
      <c r="AK555" s="182"/>
      <c r="AL555" s="182"/>
      <c r="AM555" s="182"/>
      <c r="AN555" s="182"/>
      <c r="AO555" s="182"/>
      <c r="AP555" s="182"/>
      <c r="AQ555" s="185">
        <v>10399.280000000001</v>
      </c>
      <c r="AR555" s="182">
        <v>7738.72</v>
      </c>
      <c r="AS555" s="182">
        <v>129.51999999999998</v>
      </c>
      <c r="AT555" s="182">
        <v>2505.6000000000004</v>
      </c>
      <c r="AU555" s="182">
        <v>25.44</v>
      </c>
      <c r="AV555" s="182"/>
      <c r="AW555" s="182"/>
      <c r="AX555" s="182"/>
      <c r="AY555" s="182"/>
      <c r="AZ555" s="182"/>
      <c r="BA555" s="182"/>
      <c r="BB555" s="182"/>
      <c r="BC555" s="182"/>
      <c r="BD555" s="182"/>
      <c r="BE555" s="182"/>
      <c r="BF555" s="182"/>
      <c r="BG555" s="182"/>
      <c r="BH555" s="182"/>
      <c r="BI555" s="182"/>
      <c r="BJ555" s="182"/>
      <c r="BK555" s="182"/>
      <c r="BL555" s="182"/>
      <c r="BM555" s="182"/>
      <c r="BN555" s="182"/>
      <c r="BO555" s="182"/>
      <c r="BP555" s="182"/>
      <c r="BQ555" s="182"/>
      <c r="BR555" s="182"/>
      <c r="BS555" s="182"/>
      <c r="BT555" s="182"/>
      <c r="BU555" s="182"/>
      <c r="BV555" s="182"/>
      <c r="BW555" s="182"/>
      <c r="BX555" s="182"/>
      <c r="BY555" s="182"/>
      <c r="BZ555" s="182"/>
      <c r="CA555" s="182"/>
      <c r="CB555" s="185">
        <v>10399.280000000001</v>
      </c>
      <c r="CC555" s="185">
        <v>0</v>
      </c>
      <c r="CD555" s="185">
        <v>1909</v>
      </c>
      <c r="CE555" s="185"/>
    </row>
    <row r="556" spans="2:83" x14ac:dyDescent="0.3">
      <c r="B556" s="182">
        <v>1752</v>
      </c>
      <c r="C556" s="182">
        <v>1910</v>
      </c>
      <c r="D556" s="182" t="s">
        <v>78</v>
      </c>
      <c r="E556" s="181" t="s">
        <v>4250</v>
      </c>
      <c r="F556" s="182" t="s">
        <v>220</v>
      </c>
      <c r="G556" s="182">
        <v>9781.39</v>
      </c>
      <c r="H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2"/>
      <c r="X556" s="182"/>
      <c r="Y556" s="182"/>
      <c r="Z556" s="182"/>
      <c r="AA556" s="182"/>
      <c r="AB556" s="182"/>
      <c r="AC556" s="182"/>
      <c r="AD556" s="182"/>
      <c r="AE556" s="182"/>
      <c r="AF556" s="182"/>
      <c r="AG556" s="182"/>
      <c r="AH556" s="182"/>
      <c r="AI556" s="182"/>
      <c r="AJ556" s="182"/>
      <c r="AK556" s="182"/>
      <c r="AL556" s="182"/>
      <c r="AM556" s="182"/>
      <c r="AN556" s="182"/>
      <c r="AO556" s="182"/>
      <c r="AP556" s="182"/>
      <c r="AQ556" s="185">
        <v>9781.39</v>
      </c>
      <c r="AR556" s="182">
        <v>7231.25</v>
      </c>
      <c r="AS556" s="182">
        <v>89.240000000000009</v>
      </c>
      <c r="AT556" s="182">
        <v>2356.73</v>
      </c>
      <c r="AU556" s="182">
        <v>104.17</v>
      </c>
      <c r="AV556" s="182"/>
      <c r="AW556" s="182"/>
      <c r="AX556" s="182"/>
      <c r="AY556" s="182"/>
      <c r="AZ556" s="182"/>
      <c r="BA556" s="182"/>
      <c r="BB556" s="182"/>
      <c r="BC556" s="182"/>
      <c r="BD556" s="182"/>
      <c r="BE556" s="182"/>
      <c r="BF556" s="182"/>
      <c r="BG556" s="182"/>
      <c r="BH556" s="182"/>
      <c r="BI556" s="182"/>
      <c r="BJ556" s="182"/>
      <c r="BK556" s="182"/>
      <c r="BL556" s="182"/>
      <c r="BM556" s="182"/>
      <c r="BN556" s="182"/>
      <c r="BO556" s="182"/>
      <c r="BP556" s="182"/>
      <c r="BQ556" s="182"/>
      <c r="BR556" s="182"/>
      <c r="BS556" s="182"/>
      <c r="BT556" s="182"/>
      <c r="BU556" s="182"/>
      <c r="BV556" s="182"/>
      <c r="BW556" s="182"/>
      <c r="BX556" s="182"/>
      <c r="BY556" s="182"/>
      <c r="BZ556" s="182"/>
      <c r="CA556" s="182"/>
      <c r="CB556" s="185">
        <v>9781.39</v>
      </c>
      <c r="CC556" s="185">
        <v>0</v>
      </c>
      <c r="CD556" s="185">
        <v>1910</v>
      </c>
      <c r="CE556" s="185"/>
    </row>
    <row r="557" spans="2:83" x14ac:dyDescent="0.3">
      <c r="B557" s="182">
        <v>1753</v>
      </c>
      <c r="C557" s="182">
        <v>1911</v>
      </c>
      <c r="D557" s="182" t="s">
        <v>78</v>
      </c>
      <c r="E557" s="181" t="s">
        <v>4250</v>
      </c>
      <c r="F557" s="182" t="s">
        <v>220</v>
      </c>
      <c r="G557" s="182">
        <v>5199.5200000000004</v>
      </c>
      <c r="H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2"/>
      <c r="X557" s="182"/>
      <c r="Y557" s="182"/>
      <c r="Z557" s="182"/>
      <c r="AA557" s="182"/>
      <c r="AB557" s="182"/>
      <c r="AC557" s="182"/>
      <c r="AD557" s="182"/>
      <c r="AE557" s="182"/>
      <c r="AF557" s="182"/>
      <c r="AG557" s="182"/>
      <c r="AH557" s="182"/>
      <c r="AI557" s="182"/>
      <c r="AJ557" s="182"/>
      <c r="AK557" s="182"/>
      <c r="AL557" s="182"/>
      <c r="AM557" s="182"/>
      <c r="AN557" s="182"/>
      <c r="AO557" s="182"/>
      <c r="AP557" s="182"/>
      <c r="AQ557" s="185">
        <v>5199.5200000000004</v>
      </c>
      <c r="AR557" s="182">
        <v>3812.37</v>
      </c>
      <c r="AS557" s="182">
        <v>64.75</v>
      </c>
      <c r="AT557" s="182">
        <v>1252.7800000000002</v>
      </c>
      <c r="AU557" s="182">
        <v>5.2200000000000006</v>
      </c>
      <c r="AV557" s="182"/>
      <c r="AW557" s="182">
        <v>64.400000000000006</v>
      </c>
      <c r="AX557" s="182"/>
      <c r="AY557" s="182"/>
      <c r="AZ557" s="182"/>
      <c r="BA557" s="182"/>
      <c r="BB557" s="182"/>
      <c r="BC557" s="182"/>
      <c r="BD557" s="182"/>
      <c r="BE557" s="182"/>
      <c r="BF557" s="182"/>
      <c r="BG557" s="182"/>
      <c r="BH557" s="182"/>
      <c r="BI557" s="182"/>
      <c r="BJ557" s="182"/>
      <c r="BK557" s="182"/>
      <c r="BL557" s="182"/>
      <c r="BM557" s="182"/>
      <c r="BN557" s="182"/>
      <c r="BO557" s="182"/>
      <c r="BP557" s="182"/>
      <c r="BQ557" s="182"/>
      <c r="BR557" s="182"/>
      <c r="BS557" s="182"/>
      <c r="BT557" s="182"/>
      <c r="BU557" s="182"/>
      <c r="BV557" s="182"/>
      <c r="BW557" s="182"/>
      <c r="BX557" s="182"/>
      <c r="BY557" s="182"/>
      <c r="BZ557" s="182"/>
      <c r="CA557" s="182"/>
      <c r="CB557" s="185">
        <v>5199.5199999999995</v>
      </c>
      <c r="CC557" s="185">
        <v>0</v>
      </c>
      <c r="CD557" s="185">
        <v>1911</v>
      </c>
      <c r="CE557" s="185"/>
    </row>
    <row r="558" spans="2:83" x14ac:dyDescent="0.3">
      <c r="B558" s="182">
        <v>1754</v>
      </c>
      <c r="C558" s="182">
        <v>1912</v>
      </c>
      <c r="D558" s="182" t="s">
        <v>78</v>
      </c>
      <c r="E558" s="181" t="s">
        <v>4250</v>
      </c>
      <c r="F558" s="182" t="s">
        <v>220</v>
      </c>
      <c r="G558" s="182">
        <v>4910.01</v>
      </c>
      <c r="H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2"/>
      <c r="X558" s="182"/>
      <c r="Y558" s="182"/>
      <c r="Z558" s="182"/>
      <c r="AA558" s="182"/>
      <c r="AB558" s="182"/>
      <c r="AC558" s="182"/>
      <c r="AD558" s="182"/>
      <c r="AE558" s="182"/>
      <c r="AF558" s="182"/>
      <c r="AG558" s="182"/>
      <c r="AH558" s="182"/>
      <c r="AI558" s="182"/>
      <c r="AJ558" s="182"/>
      <c r="AK558" s="182"/>
      <c r="AL558" s="182"/>
      <c r="AM558" s="182"/>
      <c r="AN558" s="182"/>
      <c r="AO558" s="182"/>
      <c r="AP558" s="182"/>
      <c r="AQ558" s="185">
        <v>4910.01</v>
      </c>
      <c r="AR558" s="182">
        <v>3615.81</v>
      </c>
      <c r="AS558" s="182">
        <v>45.08</v>
      </c>
      <c r="AT558" s="182">
        <v>1183.03</v>
      </c>
      <c r="AU558" s="182">
        <v>66.09</v>
      </c>
      <c r="AV558" s="182"/>
      <c r="AW558" s="182"/>
      <c r="AX558" s="182"/>
      <c r="AY558" s="182"/>
      <c r="AZ558" s="182"/>
      <c r="BA558" s="182"/>
      <c r="BB558" s="182"/>
      <c r="BC558" s="182"/>
      <c r="BD558" s="182"/>
      <c r="BE558" s="182"/>
      <c r="BF558" s="182"/>
      <c r="BG558" s="182"/>
      <c r="BH558" s="182"/>
      <c r="BI558" s="182"/>
      <c r="BJ558" s="182"/>
      <c r="BK558" s="182"/>
      <c r="BL558" s="182"/>
      <c r="BM558" s="182"/>
      <c r="BN558" s="182"/>
      <c r="BO558" s="182"/>
      <c r="BP558" s="182"/>
      <c r="BQ558" s="182"/>
      <c r="BR558" s="182"/>
      <c r="BS558" s="182"/>
      <c r="BT558" s="182"/>
      <c r="BU558" s="182"/>
      <c r="BV558" s="182"/>
      <c r="BW558" s="182"/>
      <c r="BX558" s="182"/>
      <c r="BY558" s="182"/>
      <c r="BZ558" s="182"/>
      <c r="CA558" s="182"/>
      <c r="CB558" s="185">
        <v>4910.01</v>
      </c>
      <c r="CC558" s="185">
        <v>0</v>
      </c>
      <c r="CD558" s="185">
        <v>1912</v>
      </c>
      <c r="CE558" s="185"/>
    </row>
    <row r="559" spans="2:83" x14ac:dyDescent="0.3">
      <c r="B559" s="182">
        <v>1757</v>
      </c>
      <c r="C559" s="182">
        <v>1913</v>
      </c>
      <c r="D559" s="182" t="s">
        <v>78</v>
      </c>
      <c r="E559" s="181" t="s">
        <v>4250</v>
      </c>
      <c r="F559" s="182" t="s">
        <v>220</v>
      </c>
      <c r="G559" s="182">
        <v>4892.78</v>
      </c>
      <c r="H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2"/>
      <c r="X559" s="182"/>
      <c r="Y559" s="182"/>
      <c r="Z559" s="182"/>
      <c r="AA559" s="182"/>
      <c r="AB559" s="182"/>
      <c r="AC559" s="182"/>
      <c r="AD559" s="182"/>
      <c r="AE559" s="182"/>
      <c r="AF559" s="182"/>
      <c r="AG559" s="182"/>
      <c r="AH559" s="182"/>
      <c r="AI559" s="182"/>
      <c r="AJ559" s="182"/>
      <c r="AK559" s="182"/>
      <c r="AL559" s="182"/>
      <c r="AM559" s="182"/>
      <c r="AN559" s="182"/>
      <c r="AO559" s="182"/>
      <c r="AP559" s="182"/>
      <c r="AQ559" s="185">
        <v>4892.78</v>
      </c>
      <c r="AR559" s="182">
        <v>3664.17</v>
      </c>
      <c r="AS559" s="182">
        <v>44.66</v>
      </c>
      <c r="AT559" s="182">
        <v>1178.8600000000001</v>
      </c>
      <c r="AU559" s="182">
        <v>5.09</v>
      </c>
      <c r="AV559" s="182"/>
      <c r="AW559" s="182"/>
      <c r="AX559" s="182"/>
      <c r="AY559" s="182"/>
      <c r="AZ559" s="182"/>
      <c r="BA559" s="182"/>
      <c r="BB559" s="182"/>
      <c r="BC559" s="182"/>
      <c r="BD559" s="182"/>
      <c r="BE559" s="182"/>
      <c r="BF559" s="182"/>
      <c r="BG559" s="182"/>
      <c r="BH559" s="182"/>
      <c r="BI559" s="182"/>
      <c r="BJ559" s="182"/>
      <c r="BK559" s="182"/>
      <c r="BL559" s="182"/>
      <c r="BM559" s="182"/>
      <c r="BN559" s="182"/>
      <c r="BO559" s="182"/>
      <c r="BP559" s="182"/>
      <c r="BQ559" s="182"/>
      <c r="BR559" s="182"/>
      <c r="BS559" s="182"/>
      <c r="BT559" s="182"/>
      <c r="BU559" s="182"/>
      <c r="BV559" s="182"/>
      <c r="BW559" s="182"/>
      <c r="BX559" s="182"/>
      <c r="BY559" s="182"/>
      <c r="BZ559" s="182"/>
      <c r="CA559" s="182"/>
      <c r="CB559" s="185">
        <v>4892.7800000000007</v>
      </c>
      <c r="CC559" s="185">
        <v>0</v>
      </c>
      <c r="CD559" s="185">
        <v>1913</v>
      </c>
      <c r="CE559" s="185"/>
    </row>
    <row r="560" spans="2:83" x14ac:dyDescent="0.3">
      <c r="B560" s="182">
        <v>1756</v>
      </c>
      <c r="C560" s="182">
        <v>1914</v>
      </c>
      <c r="D560" s="182" t="s">
        <v>78</v>
      </c>
      <c r="E560" s="181" t="s">
        <v>4250</v>
      </c>
      <c r="F560" s="182" t="s">
        <v>220</v>
      </c>
      <c r="G560" s="182">
        <v>9945.84</v>
      </c>
      <c r="H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2"/>
      <c r="X560" s="182"/>
      <c r="Y560" s="182"/>
      <c r="Z560" s="182"/>
      <c r="AA560" s="182"/>
      <c r="AB560" s="182"/>
      <c r="AC560" s="182"/>
      <c r="AD560" s="182"/>
      <c r="AE560" s="182"/>
      <c r="AF560" s="182"/>
      <c r="AG560" s="182"/>
      <c r="AH560" s="182"/>
      <c r="AI560" s="182"/>
      <c r="AJ560" s="182"/>
      <c r="AK560" s="182"/>
      <c r="AL560" s="182"/>
      <c r="AM560" s="182"/>
      <c r="AN560" s="182"/>
      <c r="AO560" s="182"/>
      <c r="AP560" s="182"/>
      <c r="AQ560" s="185">
        <v>9945.84</v>
      </c>
      <c r="AR560" s="182">
        <v>7287.42</v>
      </c>
      <c r="AS560" s="182">
        <v>106.84</v>
      </c>
      <c r="AT560" s="182">
        <v>2396.34</v>
      </c>
      <c r="AU560" s="182">
        <v>155.24</v>
      </c>
      <c r="AV560" s="182"/>
      <c r="AW560" s="182"/>
      <c r="AX560" s="182"/>
      <c r="AY560" s="182"/>
      <c r="AZ560" s="182"/>
      <c r="BA560" s="182"/>
      <c r="BB560" s="182"/>
      <c r="BC560" s="182"/>
      <c r="BD560" s="182"/>
      <c r="BE560" s="182"/>
      <c r="BF560" s="182"/>
      <c r="BG560" s="182"/>
      <c r="BH560" s="182"/>
      <c r="BI560" s="182"/>
      <c r="BJ560" s="182"/>
      <c r="BK560" s="182"/>
      <c r="BL560" s="182"/>
      <c r="BM560" s="182"/>
      <c r="BN560" s="182"/>
      <c r="BO560" s="182"/>
      <c r="BP560" s="182"/>
      <c r="BQ560" s="182"/>
      <c r="BR560" s="182"/>
      <c r="BS560" s="182"/>
      <c r="BT560" s="182"/>
      <c r="BU560" s="182"/>
      <c r="BV560" s="182"/>
      <c r="BW560" s="182"/>
      <c r="BX560" s="182"/>
      <c r="BY560" s="182"/>
      <c r="BZ560" s="182"/>
      <c r="CA560" s="182"/>
      <c r="CB560" s="185">
        <v>9945.84</v>
      </c>
      <c r="CC560" s="185">
        <v>0</v>
      </c>
      <c r="CD560" s="185">
        <v>1914</v>
      </c>
      <c r="CE560" s="185"/>
    </row>
    <row r="561" spans="2:83" x14ac:dyDescent="0.3">
      <c r="B561" s="182">
        <v>1758</v>
      </c>
      <c r="C561" s="182">
        <v>1915</v>
      </c>
      <c r="D561" s="182" t="s">
        <v>78</v>
      </c>
      <c r="E561" s="181" t="s">
        <v>4250</v>
      </c>
      <c r="F561" s="182" t="s">
        <v>220</v>
      </c>
      <c r="G561" s="182">
        <v>59100.01</v>
      </c>
      <c r="H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2"/>
      <c r="X561" s="182"/>
      <c r="Y561" s="182"/>
      <c r="Z561" s="182"/>
      <c r="AA561" s="182"/>
      <c r="AB561" s="182"/>
      <c r="AC561" s="182"/>
      <c r="AD561" s="182"/>
      <c r="AE561" s="182"/>
      <c r="AF561" s="182"/>
      <c r="AG561" s="182"/>
      <c r="AH561" s="182"/>
      <c r="AI561" s="182"/>
      <c r="AJ561" s="182"/>
      <c r="AK561" s="182"/>
      <c r="AL561" s="182"/>
      <c r="AM561" s="182"/>
      <c r="AN561" s="182"/>
      <c r="AO561" s="182"/>
      <c r="AP561" s="182"/>
      <c r="AQ561" s="185">
        <v>59100.01</v>
      </c>
      <c r="AR561" s="182">
        <v>43894.12</v>
      </c>
      <c r="AS561" s="182">
        <v>628.36</v>
      </c>
      <c r="AT561" s="182">
        <v>14239.61</v>
      </c>
      <c r="AU561" s="182">
        <v>238.21</v>
      </c>
      <c r="AV561" s="182"/>
      <c r="AW561" s="182">
        <v>99.71</v>
      </c>
      <c r="AX561" s="182"/>
      <c r="AY561" s="182"/>
      <c r="AZ561" s="182"/>
      <c r="BA561" s="182"/>
      <c r="BB561" s="182"/>
      <c r="BC561" s="182"/>
      <c r="BD561" s="182"/>
      <c r="BE561" s="182"/>
      <c r="BF561" s="182"/>
      <c r="BG561" s="182"/>
      <c r="BH561" s="182"/>
      <c r="BI561" s="182"/>
      <c r="BJ561" s="182"/>
      <c r="BK561" s="182"/>
      <c r="BL561" s="182"/>
      <c r="BM561" s="182"/>
      <c r="BN561" s="182"/>
      <c r="BO561" s="182"/>
      <c r="BP561" s="182"/>
      <c r="BQ561" s="182"/>
      <c r="BR561" s="182"/>
      <c r="BS561" s="182"/>
      <c r="BT561" s="182"/>
      <c r="BU561" s="182"/>
      <c r="BV561" s="182"/>
      <c r="BW561" s="182"/>
      <c r="BX561" s="182"/>
      <c r="BY561" s="182"/>
      <c r="BZ561" s="182"/>
      <c r="CA561" s="182"/>
      <c r="CB561" s="185">
        <v>59100.01</v>
      </c>
      <c r="CC561" s="185">
        <v>0</v>
      </c>
      <c r="CD561" s="185">
        <v>1915</v>
      </c>
      <c r="CE561" s="185"/>
    </row>
    <row r="562" spans="2:83" x14ac:dyDescent="0.3">
      <c r="B562" s="182">
        <v>1755</v>
      </c>
      <c r="C562" s="182">
        <v>1916</v>
      </c>
      <c r="D562" s="182" t="s">
        <v>78</v>
      </c>
      <c r="E562" s="181" t="s">
        <v>4250</v>
      </c>
      <c r="F562" s="182" t="s">
        <v>220</v>
      </c>
      <c r="G562" s="182">
        <v>4871.38</v>
      </c>
      <c r="H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2"/>
      <c r="X562" s="182"/>
      <c r="Y562" s="182"/>
      <c r="Z562" s="182"/>
      <c r="AA562" s="182"/>
      <c r="AB562" s="182"/>
      <c r="AC562" s="182"/>
      <c r="AD562" s="182"/>
      <c r="AE562" s="182"/>
      <c r="AF562" s="182"/>
      <c r="AG562" s="182"/>
      <c r="AH562" s="182"/>
      <c r="AI562" s="182"/>
      <c r="AJ562" s="182"/>
      <c r="AK562" s="182"/>
      <c r="AL562" s="182"/>
      <c r="AM562" s="182"/>
      <c r="AN562" s="182"/>
      <c r="AO562" s="182"/>
      <c r="AP562" s="182"/>
      <c r="AQ562" s="185">
        <v>4871.38</v>
      </c>
      <c r="AR562" s="182">
        <v>3648.44</v>
      </c>
      <c r="AS562" s="182">
        <v>44.16</v>
      </c>
      <c r="AT562" s="182">
        <v>1173.7</v>
      </c>
      <c r="AU562" s="182">
        <v>5.08</v>
      </c>
      <c r="AV562" s="182"/>
      <c r="AW562" s="182"/>
      <c r="AX562" s="182"/>
      <c r="AY562" s="182"/>
      <c r="AZ562" s="182"/>
      <c r="BA562" s="182"/>
      <c r="BB562" s="182"/>
      <c r="BC562" s="182"/>
      <c r="BD562" s="182"/>
      <c r="BE562" s="182"/>
      <c r="BF562" s="182"/>
      <c r="BG562" s="182"/>
      <c r="BH562" s="182"/>
      <c r="BI562" s="182"/>
      <c r="BJ562" s="182"/>
      <c r="BK562" s="182"/>
      <c r="BL562" s="182"/>
      <c r="BM562" s="182"/>
      <c r="BN562" s="182"/>
      <c r="BO562" s="182"/>
      <c r="BP562" s="182"/>
      <c r="BQ562" s="182"/>
      <c r="BR562" s="182"/>
      <c r="BS562" s="182"/>
      <c r="BT562" s="182"/>
      <c r="BU562" s="182"/>
      <c r="BV562" s="182"/>
      <c r="BW562" s="182"/>
      <c r="BX562" s="182"/>
      <c r="BY562" s="182"/>
      <c r="BZ562" s="182"/>
      <c r="CA562" s="182"/>
      <c r="CB562" s="185">
        <v>4871.38</v>
      </c>
      <c r="CC562" s="185">
        <v>0</v>
      </c>
      <c r="CD562" s="185">
        <v>1916</v>
      </c>
      <c r="CE562" s="185"/>
    </row>
    <row r="563" spans="2:83" x14ac:dyDescent="0.3">
      <c r="B563" s="182">
        <v>1759</v>
      </c>
      <c r="C563" s="182">
        <v>1917</v>
      </c>
      <c r="D563" s="182" t="s">
        <v>78</v>
      </c>
      <c r="E563" s="181" t="s">
        <v>4250</v>
      </c>
      <c r="F563" s="182" t="s">
        <v>220</v>
      </c>
      <c r="G563" s="182">
        <v>33323.519999999997</v>
      </c>
      <c r="H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2"/>
      <c r="X563" s="182"/>
      <c r="Y563" s="182"/>
      <c r="Z563" s="182"/>
      <c r="AA563" s="182"/>
      <c r="AB563" s="182"/>
      <c r="AC563" s="182"/>
      <c r="AD563" s="182"/>
      <c r="AE563" s="182"/>
      <c r="AF563" s="182"/>
      <c r="AG563" s="182"/>
      <c r="AH563" s="182"/>
      <c r="AI563" s="182"/>
      <c r="AJ563" s="182"/>
      <c r="AK563" s="182"/>
      <c r="AL563" s="182"/>
      <c r="AM563" s="182"/>
      <c r="AN563" s="182"/>
      <c r="AO563" s="182"/>
      <c r="AP563" s="182"/>
      <c r="AQ563" s="185">
        <v>33323.519999999997</v>
      </c>
      <c r="AR563" s="182">
        <v>23551.599999999999</v>
      </c>
      <c r="AS563" s="182">
        <v>302.11</v>
      </c>
      <c r="AT563" s="182">
        <v>8402.99</v>
      </c>
      <c r="AU563" s="182">
        <v>1066.82</v>
      </c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182"/>
      <c r="BK563" s="182"/>
      <c r="BL563" s="182"/>
      <c r="BM563" s="182"/>
      <c r="BN563" s="182"/>
      <c r="BO563" s="182"/>
      <c r="BP563" s="182"/>
      <c r="BQ563" s="182"/>
      <c r="BR563" s="182"/>
      <c r="BS563" s="182"/>
      <c r="BT563" s="182"/>
      <c r="BU563" s="182"/>
      <c r="BV563" s="182"/>
      <c r="BW563" s="182"/>
      <c r="BX563" s="182"/>
      <c r="BY563" s="182"/>
      <c r="BZ563" s="182"/>
      <c r="CA563" s="182"/>
      <c r="CB563" s="185">
        <v>33323.519999999997</v>
      </c>
      <c r="CC563" s="185">
        <v>0</v>
      </c>
      <c r="CD563" s="185">
        <v>1917</v>
      </c>
      <c r="CE563" s="185"/>
    </row>
    <row r="564" spans="2:83" x14ac:dyDescent="0.3">
      <c r="B564" s="182">
        <v>1763</v>
      </c>
      <c r="C564" s="182">
        <v>1918</v>
      </c>
      <c r="D564" s="182" t="s">
        <v>78</v>
      </c>
      <c r="E564" s="181" t="s">
        <v>4250</v>
      </c>
      <c r="F564" s="182" t="s">
        <v>220</v>
      </c>
      <c r="G564" s="182">
        <v>4746.32</v>
      </c>
      <c r="H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2"/>
      <c r="X564" s="182"/>
      <c r="Y564" s="182"/>
      <c r="Z564" s="182"/>
      <c r="AA564" s="182"/>
      <c r="AB564" s="182"/>
      <c r="AC564" s="182"/>
      <c r="AD564" s="182"/>
      <c r="AE564" s="182"/>
      <c r="AF564" s="182"/>
      <c r="AG564" s="182"/>
      <c r="AH564" s="182"/>
      <c r="AI564" s="182"/>
      <c r="AJ564" s="182"/>
      <c r="AK564" s="182"/>
      <c r="AL564" s="182"/>
      <c r="AM564" s="182"/>
      <c r="AN564" s="182"/>
      <c r="AO564" s="182"/>
      <c r="AP564" s="182"/>
      <c r="AQ564" s="185">
        <v>4746.32</v>
      </c>
      <c r="AR564" s="182">
        <v>3533.37</v>
      </c>
      <c r="AS564" s="182">
        <v>41.37</v>
      </c>
      <c r="AT564" s="182">
        <v>1166.56</v>
      </c>
      <c r="AU564" s="182">
        <v>5.0199999999999996</v>
      </c>
      <c r="AV564" s="182"/>
      <c r="AW564" s="182"/>
      <c r="AX564" s="182"/>
      <c r="AY564" s="182"/>
      <c r="AZ564" s="182"/>
      <c r="BA564" s="182"/>
      <c r="BB564" s="182"/>
      <c r="BC564" s="182"/>
      <c r="BD564" s="182"/>
      <c r="BE564" s="182"/>
      <c r="BF564" s="182"/>
      <c r="BG564" s="182"/>
      <c r="BH564" s="182"/>
      <c r="BI564" s="182"/>
      <c r="BJ564" s="182"/>
      <c r="BK564" s="182"/>
      <c r="BL564" s="182"/>
      <c r="BM564" s="182"/>
      <c r="BN564" s="182"/>
      <c r="BO564" s="182"/>
      <c r="BP564" s="182"/>
      <c r="BQ564" s="182"/>
      <c r="BR564" s="182"/>
      <c r="BS564" s="182"/>
      <c r="BT564" s="182"/>
      <c r="BU564" s="182"/>
      <c r="BV564" s="182"/>
      <c r="BW564" s="182"/>
      <c r="BX564" s="182"/>
      <c r="BY564" s="182"/>
      <c r="BZ564" s="182"/>
      <c r="CA564" s="182"/>
      <c r="CB564" s="185">
        <v>4746.32</v>
      </c>
      <c r="CC564" s="185">
        <v>0</v>
      </c>
      <c r="CD564" s="185">
        <v>1918</v>
      </c>
      <c r="CE564" s="185"/>
    </row>
    <row r="565" spans="2:83" x14ac:dyDescent="0.3">
      <c r="B565" s="182">
        <v>1761</v>
      </c>
      <c r="C565" s="182">
        <v>1919</v>
      </c>
      <c r="D565" s="182" t="s">
        <v>78</v>
      </c>
      <c r="E565" s="181" t="s">
        <v>4250</v>
      </c>
      <c r="F565" s="182" t="s">
        <v>220</v>
      </c>
      <c r="G565" s="182">
        <v>10399.040000000001</v>
      </c>
      <c r="H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2"/>
      <c r="X565" s="182"/>
      <c r="Y565" s="182"/>
      <c r="Z565" s="182"/>
      <c r="AA565" s="182"/>
      <c r="AB565" s="182"/>
      <c r="AC565" s="182"/>
      <c r="AD565" s="182"/>
      <c r="AE565" s="182"/>
      <c r="AF565" s="182"/>
      <c r="AG565" s="182"/>
      <c r="AH565" s="182"/>
      <c r="AI565" s="182"/>
      <c r="AJ565" s="182"/>
      <c r="AK565" s="182"/>
      <c r="AL565" s="182"/>
      <c r="AM565" s="182"/>
      <c r="AN565" s="182"/>
      <c r="AO565" s="182"/>
      <c r="AP565" s="182"/>
      <c r="AQ565" s="185">
        <v>10399.040000000001</v>
      </c>
      <c r="AR565" s="182">
        <v>7753.54</v>
      </c>
      <c r="AS565" s="182">
        <v>129.5</v>
      </c>
      <c r="AT565" s="182">
        <v>2505.5600000000004</v>
      </c>
      <c r="AU565" s="182">
        <v>10.440000000000001</v>
      </c>
      <c r="AV565" s="182"/>
      <c r="AW565" s="182"/>
      <c r="AX565" s="182"/>
      <c r="AY565" s="182"/>
      <c r="AZ565" s="182"/>
      <c r="BA565" s="182"/>
      <c r="BB565" s="182"/>
      <c r="BC565" s="182"/>
      <c r="BD565" s="182"/>
      <c r="BE565" s="182"/>
      <c r="BF565" s="182"/>
      <c r="BG565" s="182"/>
      <c r="BH565" s="182"/>
      <c r="BI565" s="182"/>
      <c r="BJ565" s="182"/>
      <c r="BK565" s="182"/>
      <c r="BL565" s="182"/>
      <c r="BM565" s="182"/>
      <c r="BN565" s="182"/>
      <c r="BO565" s="182"/>
      <c r="BP565" s="182"/>
      <c r="BQ565" s="182"/>
      <c r="BR565" s="182"/>
      <c r="BS565" s="182"/>
      <c r="BT565" s="182"/>
      <c r="BU565" s="182"/>
      <c r="BV565" s="182"/>
      <c r="BW565" s="182"/>
      <c r="BX565" s="182"/>
      <c r="BY565" s="182"/>
      <c r="BZ565" s="182"/>
      <c r="CA565" s="182"/>
      <c r="CB565" s="185">
        <v>10399.040000000001</v>
      </c>
      <c r="CC565" s="185">
        <v>0</v>
      </c>
      <c r="CD565" s="185">
        <v>1919</v>
      </c>
      <c r="CE565" s="185"/>
    </row>
    <row r="566" spans="2:83" x14ac:dyDescent="0.3">
      <c r="B566" s="182">
        <v>1764</v>
      </c>
      <c r="C566" s="182">
        <v>1920</v>
      </c>
      <c r="D566" s="182" t="s">
        <v>78</v>
      </c>
      <c r="E566" s="181" t="s">
        <v>4250</v>
      </c>
      <c r="F566" s="182" t="s">
        <v>220</v>
      </c>
      <c r="G566" s="182">
        <v>4910.01</v>
      </c>
      <c r="H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2"/>
      <c r="X566" s="182"/>
      <c r="Y566" s="182"/>
      <c r="Z566" s="182"/>
      <c r="AA566" s="182"/>
      <c r="AB566" s="182"/>
      <c r="AC566" s="182"/>
      <c r="AD566" s="182"/>
      <c r="AE566" s="182"/>
      <c r="AF566" s="182"/>
      <c r="AG566" s="182"/>
      <c r="AH566" s="182"/>
      <c r="AI566" s="182"/>
      <c r="AJ566" s="182"/>
      <c r="AK566" s="182"/>
      <c r="AL566" s="182"/>
      <c r="AM566" s="182"/>
      <c r="AN566" s="182"/>
      <c r="AO566" s="182"/>
      <c r="AP566" s="182"/>
      <c r="AQ566" s="185">
        <v>4910.01</v>
      </c>
      <c r="AR566" s="182">
        <v>2658.81</v>
      </c>
      <c r="AS566" s="182">
        <v>45.08</v>
      </c>
      <c r="AT566" s="182">
        <v>1183.03</v>
      </c>
      <c r="AU566" s="182">
        <v>1023.09</v>
      </c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182"/>
      <c r="BK566" s="182"/>
      <c r="BL566" s="182"/>
      <c r="BM566" s="182"/>
      <c r="BN566" s="182"/>
      <c r="BO566" s="182"/>
      <c r="BP566" s="182"/>
      <c r="BQ566" s="182"/>
      <c r="BR566" s="182"/>
      <c r="BS566" s="182"/>
      <c r="BT566" s="182"/>
      <c r="BU566" s="182"/>
      <c r="BV566" s="182"/>
      <c r="BW566" s="182"/>
      <c r="BX566" s="182"/>
      <c r="BY566" s="182"/>
      <c r="BZ566" s="182"/>
      <c r="CA566" s="182"/>
      <c r="CB566" s="185">
        <v>4910.01</v>
      </c>
      <c r="CC566" s="185">
        <v>0</v>
      </c>
      <c r="CD566" s="185">
        <v>1920</v>
      </c>
      <c r="CE566" s="185"/>
    </row>
    <row r="567" spans="2:83" x14ac:dyDescent="0.3">
      <c r="B567" s="182">
        <v>1762</v>
      </c>
      <c r="C567" s="182">
        <v>1921</v>
      </c>
      <c r="D567" s="182" t="s">
        <v>78</v>
      </c>
      <c r="E567" s="181" t="s">
        <v>4250</v>
      </c>
      <c r="F567" s="182" t="s">
        <v>220</v>
      </c>
      <c r="G567" s="182">
        <v>3764.34</v>
      </c>
      <c r="H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2"/>
      <c r="X567" s="182"/>
      <c r="Y567" s="182"/>
      <c r="Z567" s="182"/>
      <c r="AA567" s="182"/>
      <c r="AB567" s="182"/>
      <c r="AC567" s="182"/>
      <c r="AD567" s="182"/>
      <c r="AE567" s="182"/>
      <c r="AF567" s="182"/>
      <c r="AG567" s="182"/>
      <c r="AH567" s="182"/>
      <c r="AI567" s="182"/>
      <c r="AJ567" s="182"/>
      <c r="AK567" s="182"/>
      <c r="AL567" s="182"/>
      <c r="AM567" s="182"/>
      <c r="AN567" s="182"/>
      <c r="AO567" s="182"/>
      <c r="AP567" s="182"/>
      <c r="AQ567" s="185">
        <v>3764.34</v>
      </c>
      <c r="AR567" s="182">
        <v>2765.78</v>
      </c>
      <c r="AS567" s="182">
        <v>24.3</v>
      </c>
      <c r="AT567" s="182">
        <v>906.99</v>
      </c>
      <c r="AU567" s="182">
        <v>4.6100000000000003</v>
      </c>
      <c r="AV567" s="182"/>
      <c r="AW567" s="182">
        <v>62.66</v>
      </c>
      <c r="AX567" s="182"/>
      <c r="AY567" s="182"/>
      <c r="AZ567" s="182"/>
      <c r="BA567" s="182"/>
      <c r="BB567" s="182"/>
      <c r="BC567" s="182"/>
      <c r="BD567" s="182"/>
      <c r="BE567" s="182"/>
      <c r="BF567" s="182"/>
      <c r="BG567" s="182"/>
      <c r="BH567" s="182"/>
      <c r="BI567" s="182"/>
      <c r="BJ567" s="182"/>
      <c r="BK567" s="182"/>
      <c r="BL567" s="182"/>
      <c r="BM567" s="182"/>
      <c r="BN567" s="182"/>
      <c r="BO567" s="182"/>
      <c r="BP567" s="182"/>
      <c r="BQ567" s="182"/>
      <c r="BR567" s="182"/>
      <c r="BS567" s="182"/>
      <c r="BT567" s="182"/>
      <c r="BU567" s="182"/>
      <c r="BV567" s="182"/>
      <c r="BW567" s="182"/>
      <c r="BX567" s="182"/>
      <c r="BY567" s="182"/>
      <c r="BZ567" s="182"/>
      <c r="CA567" s="182"/>
      <c r="CB567" s="185">
        <v>3764.3400000000006</v>
      </c>
      <c r="CC567" s="185">
        <v>0</v>
      </c>
      <c r="CD567" s="185">
        <v>1921</v>
      </c>
      <c r="CE567" s="185"/>
    </row>
    <row r="568" spans="2:83" x14ac:dyDescent="0.3">
      <c r="B568" s="182">
        <v>1760</v>
      </c>
      <c r="C568" s="182">
        <v>1922</v>
      </c>
      <c r="D568" s="182" t="s">
        <v>78</v>
      </c>
      <c r="E568" s="181" t="s">
        <v>4250</v>
      </c>
      <c r="F568" s="182" t="s">
        <v>220</v>
      </c>
      <c r="G568" s="182">
        <v>1223513.56</v>
      </c>
      <c r="H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2"/>
      <c r="X568" s="182"/>
      <c r="Y568" s="182"/>
      <c r="Z568" s="182"/>
      <c r="AA568" s="182"/>
      <c r="AB568" s="182"/>
      <c r="AC568" s="182"/>
      <c r="AD568" s="182"/>
      <c r="AE568" s="182"/>
      <c r="AF568" s="182"/>
      <c r="AG568" s="182"/>
      <c r="AH568" s="182"/>
      <c r="AI568" s="182"/>
      <c r="AJ568" s="182"/>
      <c r="AK568" s="182"/>
      <c r="AL568" s="182"/>
      <c r="AM568" s="182"/>
      <c r="AN568" s="182"/>
      <c r="AO568" s="182"/>
      <c r="AP568" s="182"/>
      <c r="AQ568" s="185">
        <v>1223513.56</v>
      </c>
      <c r="AR568" s="182">
        <v>901134.65</v>
      </c>
      <c r="AS568" s="182">
        <v>12916.310000000001</v>
      </c>
      <c r="AT568" s="182">
        <v>299600.03000000003</v>
      </c>
      <c r="AU568" s="182">
        <v>7803.99</v>
      </c>
      <c r="AV568" s="182"/>
      <c r="AW568" s="182">
        <v>2058.58</v>
      </c>
      <c r="AX568" s="182"/>
      <c r="AY568" s="182"/>
      <c r="AZ568" s="182"/>
      <c r="BA568" s="182"/>
      <c r="BB568" s="182"/>
      <c r="BC568" s="182"/>
      <c r="BD568" s="182"/>
      <c r="BE568" s="182"/>
      <c r="BF568" s="182"/>
      <c r="BG568" s="182"/>
      <c r="BH568" s="182"/>
      <c r="BI568" s="182"/>
      <c r="BJ568" s="182"/>
      <c r="BK568" s="182"/>
      <c r="BL568" s="182"/>
      <c r="BM568" s="182"/>
      <c r="BN568" s="182"/>
      <c r="BO568" s="182"/>
      <c r="BP568" s="182"/>
      <c r="BQ568" s="182"/>
      <c r="BR568" s="182"/>
      <c r="BS568" s="182"/>
      <c r="BT568" s="182"/>
      <c r="BU568" s="182"/>
      <c r="BV568" s="182"/>
      <c r="BW568" s="182"/>
      <c r="BX568" s="182"/>
      <c r="BY568" s="182"/>
      <c r="BZ568" s="182"/>
      <c r="CA568" s="182"/>
      <c r="CB568" s="185">
        <v>1223513.5600000003</v>
      </c>
      <c r="CC568" s="185">
        <v>0</v>
      </c>
      <c r="CD568" s="185">
        <v>1922</v>
      </c>
      <c r="CE568" s="185"/>
    </row>
    <row r="569" spans="2:83" x14ac:dyDescent="0.3">
      <c r="B569" s="182">
        <v>1765</v>
      </c>
      <c r="C569" s="182">
        <v>1923</v>
      </c>
      <c r="D569" s="182" t="s">
        <v>78</v>
      </c>
      <c r="E569" s="181" t="s">
        <v>4250</v>
      </c>
      <c r="F569" s="182" t="s">
        <v>220</v>
      </c>
      <c r="G569" s="182">
        <v>19998.57</v>
      </c>
      <c r="H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2"/>
      <c r="X569" s="182"/>
      <c r="Y569" s="182"/>
      <c r="Z569" s="182"/>
      <c r="AA569" s="182"/>
      <c r="AB569" s="182"/>
      <c r="AC569" s="182"/>
      <c r="AD569" s="182"/>
      <c r="AE569" s="182"/>
      <c r="AF569" s="182"/>
      <c r="AG569" s="182"/>
      <c r="AH569" s="182"/>
      <c r="AI569" s="182"/>
      <c r="AJ569" s="182"/>
      <c r="AK569" s="182"/>
      <c r="AL569" s="182"/>
      <c r="AM569" s="182"/>
      <c r="AN569" s="182"/>
      <c r="AO569" s="182"/>
      <c r="AP569" s="182"/>
      <c r="AQ569" s="185">
        <v>19998.57</v>
      </c>
      <c r="AR569" s="182">
        <v>14941.83</v>
      </c>
      <c r="AS569" s="182">
        <v>202.76999999999998</v>
      </c>
      <c r="AT569" s="182">
        <v>4818.4400000000005</v>
      </c>
      <c r="AU569" s="182">
        <v>35.53</v>
      </c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182"/>
      <c r="BK569" s="182"/>
      <c r="BL569" s="182"/>
      <c r="BM569" s="182"/>
      <c r="BN569" s="182"/>
      <c r="BO569" s="182"/>
      <c r="BP569" s="182"/>
      <c r="BQ569" s="182"/>
      <c r="BR569" s="182"/>
      <c r="BS569" s="182"/>
      <c r="BT569" s="182"/>
      <c r="BU569" s="182"/>
      <c r="BV569" s="182"/>
      <c r="BW569" s="182"/>
      <c r="BX569" s="182"/>
      <c r="BY569" s="182"/>
      <c r="BZ569" s="182"/>
      <c r="CA569" s="182"/>
      <c r="CB569" s="185">
        <v>19998.57</v>
      </c>
      <c r="CC569" s="185">
        <v>0</v>
      </c>
      <c r="CD569" s="185">
        <v>1923</v>
      </c>
      <c r="CE569" s="185"/>
    </row>
    <row r="570" spans="2:83" x14ac:dyDescent="0.3">
      <c r="B570" s="182">
        <v>1766</v>
      </c>
      <c r="C570" s="182">
        <v>1924</v>
      </c>
      <c r="D570" s="182" t="s">
        <v>78</v>
      </c>
      <c r="E570" s="181" t="s">
        <v>4250</v>
      </c>
      <c r="F570" s="182" t="s">
        <v>220</v>
      </c>
      <c r="G570" s="182">
        <v>3444.02</v>
      </c>
      <c r="H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2"/>
      <c r="X570" s="182"/>
      <c r="Y570" s="182"/>
      <c r="Z570" s="182"/>
      <c r="AA570" s="182"/>
      <c r="AB570" s="182"/>
      <c r="AC570" s="182"/>
      <c r="AD570" s="182"/>
      <c r="AE570" s="182"/>
      <c r="AF570" s="182"/>
      <c r="AG570" s="182"/>
      <c r="AH570" s="182"/>
      <c r="AI570" s="182"/>
      <c r="AJ570" s="182"/>
      <c r="AK570" s="182"/>
      <c r="AL570" s="182"/>
      <c r="AM570" s="182"/>
      <c r="AN570" s="182"/>
      <c r="AO570" s="182"/>
      <c r="AP570" s="182"/>
      <c r="AQ570" s="185">
        <v>3444.02</v>
      </c>
      <c r="AR570" s="182">
        <v>1650.06</v>
      </c>
      <c r="AS570" s="182">
        <v>19.25</v>
      </c>
      <c r="AT570" s="182">
        <v>829.79</v>
      </c>
      <c r="AU570" s="182">
        <v>757.47</v>
      </c>
      <c r="AV570" s="182"/>
      <c r="AW570" s="182">
        <v>187.45</v>
      </c>
      <c r="AX570" s="182"/>
      <c r="AY570" s="182"/>
      <c r="AZ570" s="182"/>
      <c r="BA570" s="182"/>
      <c r="BB570" s="182"/>
      <c r="BC570" s="182"/>
      <c r="BD570" s="182"/>
      <c r="BE570" s="182"/>
      <c r="BF570" s="182"/>
      <c r="BG570" s="182"/>
      <c r="BH570" s="182"/>
      <c r="BI570" s="182"/>
      <c r="BJ570" s="182"/>
      <c r="BK570" s="182"/>
      <c r="BL570" s="182"/>
      <c r="BM570" s="182"/>
      <c r="BN570" s="182"/>
      <c r="BO570" s="182"/>
      <c r="BP570" s="182"/>
      <c r="BQ570" s="182"/>
      <c r="BR570" s="182"/>
      <c r="BS570" s="182"/>
      <c r="BT570" s="182"/>
      <c r="BU570" s="182"/>
      <c r="BV570" s="182"/>
      <c r="BW570" s="182"/>
      <c r="BX570" s="182"/>
      <c r="BY570" s="182"/>
      <c r="BZ570" s="182"/>
      <c r="CA570" s="182"/>
      <c r="CB570" s="185">
        <v>3444.0199999999995</v>
      </c>
      <c r="CC570" s="185">
        <v>0</v>
      </c>
      <c r="CD570" s="185">
        <v>1924</v>
      </c>
      <c r="CE570" s="185"/>
    </row>
    <row r="571" spans="2:83" x14ac:dyDescent="0.3">
      <c r="B571" s="182">
        <v>1767</v>
      </c>
      <c r="C571" s="182">
        <v>1925</v>
      </c>
      <c r="D571" s="182" t="s">
        <v>78</v>
      </c>
      <c r="E571" s="181" t="s">
        <v>4250</v>
      </c>
      <c r="F571" s="182" t="s">
        <v>220</v>
      </c>
      <c r="G571" s="182">
        <v>4914.7</v>
      </c>
      <c r="H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2"/>
      <c r="X571" s="182"/>
      <c r="Y571" s="182"/>
      <c r="Z571" s="182"/>
      <c r="AA571" s="182"/>
      <c r="AB571" s="182"/>
      <c r="AC571" s="182"/>
      <c r="AD571" s="182"/>
      <c r="AE571" s="182"/>
      <c r="AF571" s="182"/>
      <c r="AG571" s="182"/>
      <c r="AH571" s="182"/>
      <c r="AI571" s="182"/>
      <c r="AJ571" s="182"/>
      <c r="AK571" s="182"/>
      <c r="AL571" s="182"/>
      <c r="AM571" s="182"/>
      <c r="AN571" s="182"/>
      <c r="AO571" s="182"/>
      <c r="AP571" s="182"/>
      <c r="AQ571" s="185">
        <v>4914.7</v>
      </c>
      <c r="AR571" s="182">
        <v>3586.27</v>
      </c>
      <c r="AS571" s="182">
        <v>45.17</v>
      </c>
      <c r="AT571" s="182">
        <v>1184.1600000000001</v>
      </c>
      <c r="AU571" s="182">
        <v>99.1</v>
      </c>
      <c r="AV571" s="182"/>
      <c r="AW571" s="182"/>
      <c r="AX571" s="182"/>
      <c r="AY571" s="182"/>
      <c r="AZ571" s="182"/>
      <c r="BA571" s="182"/>
      <c r="BB571" s="182"/>
      <c r="BC571" s="182"/>
      <c r="BD571" s="182"/>
      <c r="BE571" s="182"/>
      <c r="BF571" s="182"/>
      <c r="BG571" s="182"/>
      <c r="BH571" s="182"/>
      <c r="BI571" s="182"/>
      <c r="BJ571" s="182"/>
      <c r="BK571" s="182"/>
      <c r="BL571" s="182"/>
      <c r="BM571" s="182"/>
      <c r="BN571" s="182"/>
      <c r="BO571" s="182"/>
      <c r="BP571" s="182"/>
      <c r="BQ571" s="182"/>
      <c r="BR571" s="182"/>
      <c r="BS571" s="182"/>
      <c r="BT571" s="182"/>
      <c r="BU571" s="182"/>
      <c r="BV571" s="182"/>
      <c r="BW571" s="182"/>
      <c r="BX571" s="182"/>
      <c r="BY571" s="182"/>
      <c r="BZ571" s="182"/>
      <c r="CA571" s="182"/>
      <c r="CB571" s="185">
        <v>4914.7000000000007</v>
      </c>
      <c r="CC571" s="185">
        <v>0</v>
      </c>
      <c r="CD571" s="185">
        <v>1925</v>
      </c>
      <c r="CE571" s="185"/>
    </row>
    <row r="572" spans="2:83" x14ac:dyDescent="0.3">
      <c r="B572" s="182">
        <v>1769</v>
      </c>
      <c r="C572" s="182">
        <v>1926</v>
      </c>
      <c r="D572" s="182" t="s">
        <v>78</v>
      </c>
      <c r="E572" s="181" t="s">
        <v>4250</v>
      </c>
      <c r="F572" s="182" t="s">
        <v>220</v>
      </c>
      <c r="G572" s="182">
        <v>10399.040000000001</v>
      </c>
      <c r="H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2"/>
      <c r="X572" s="182"/>
      <c r="Y572" s="182"/>
      <c r="Z572" s="182"/>
      <c r="AA572" s="182"/>
      <c r="AB572" s="182"/>
      <c r="AC572" s="182"/>
      <c r="AD572" s="182"/>
      <c r="AE572" s="182"/>
      <c r="AF572" s="182"/>
      <c r="AG572" s="182"/>
      <c r="AH572" s="182"/>
      <c r="AI572" s="182"/>
      <c r="AJ572" s="182"/>
      <c r="AK572" s="182"/>
      <c r="AL572" s="182"/>
      <c r="AM572" s="182"/>
      <c r="AN572" s="182"/>
      <c r="AO572" s="182"/>
      <c r="AP572" s="182"/>
      <c r="AQ572" s="185">
        <v>10399.040000000001</v>
      </c>
      <c r="AR572" s="182">
        <v>7749.54</v>
      </c>
      <c r="AS572" s="182">
        <v>129.5</v>
      </c>
      <c r="AT572" s="182">
        <v>2505.5600000000004</v>
      </c>
      <c r="AU572" s="182">
        <v>14.440000000000001</v>
      </c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182"/>
      <c r="BK572" s="182"/>
      <c r="BL572" s="182"/>
      <c r="BM572" s="182"/>
      <c r="BN572" s="182"/>
      <c r="BO572" s="182"/>
      <c r="BP572" s="182"/>
      <c r="BQ572" s="182"/>
      <c r="BR572" s="182"/>
      <c r="BS572" s="182"/>
      <c r="BT572" s="182"/>
      <c r="BU572" s="182"/>
      <c r="BV572" s="182"/>
      <c r="BW572" s="182"/>
      <c r="BX572" s="182"/>
      <c r="BY572" s="182"/>
      <c r="BZ572" s="182"/>
      <c r="CA572" s="182"/>
      <c r="CB572" s="185">
        <v>10399.040000000001</v>
      </c>
      <c r="CC572" s="185">
        <v>0</v>
      </c>
      <c r="CD572" s="185">
        <v>1926</v>
      </c>
      <c r="CE572" s="185"/>
    </row>
    <row r="573" spans="2:83" x14ac:dyDescent="0.3">
      <c r="B573" s="182">
        <v>1768</v>
      </c>
      <c r="C573" s="182">
        <v>1927</v>
      </c>
      <c r="D573" s="182" t="s">
        <v>78</v>
      </c>
      <c r="E573" s="181" t="s">
        <v>4250</v>
      </c>
      <c r="F573" s="182" t="s">
        <v>220</v>
      </c>
      <c r="G573" s="182">
        <v>9492.66</v>
      </c>
      <c r="H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2"/>
      <c r="X573" s="182"/>
      <c r="Y573" s="182"/>
      <c r="Z573" s="182"/>
      <c r="AA573" s="182"/>
      <c r="AB573" s="182"/>
      <c r="AC573" s="182"/>
      <c r="AD573" s="182"/>
      <c r="AE573" s="182"/>
      <c r="AF573" s="182"/>
      <c r="AG573" s="182"/>
      <c r="AH573" s="182"/>
      <c r="AI573" s="182"/>
      <c r="AJ573" s="182"/>
      <c r="AK573" s="182"/>
      <c r="AL573" s="182"/>
      <c r="AM573" s="182"/>
      <c r="AN573" s="182"/>
      <c r="AO573" s="182"/>
      <c r="AP573" s="182"/>
      <c r="AQ573" s="185">
        <v>9492.66</v>
      </c>
      <c r="AR573" s="182">
        <v>7037.24</v>
      </c>
      <c r="AS573" s="182">
        <v>84.23</v>
      </c>
      <c r="AT573" s="182">
        <v>2287.15</v>
      </c>
      <c r="AU573" s="182">
        <v>84.04</v>
      </c>
      <c r="AV573" s="182"/>
      <c r="AW573" s="182"/>
      <c r="AX573" s="182"/>
      <c r="AY573" s="182"/>
      <c r="AZ573" s="182"/>
      <c r="BA573" s="182"/>
      <c r="BB573" s="182"/>
      <c r="BC573" s="182"/>
      <c r="BD573" s="182"/>
      <c r="BE573" s="182"/>
      <c r="BF573" s="182"/>
      <c r="BG573" s="182"/>
      <c r="BH573" s="182"/>
      <c r="BI573" s="182"/>
      <c r="BJ573" s="182"/>
      <c r="BK573" s="182"/>
      <c r="BL573" s="182"/>
      <c r="BM573" s="182"/>
      <c r="BN573" s="182"/>
      <c r="BO573" s="182"/>
      <c r="BP573" s="182"/>
      <c r="BQ573" s="182"/>
      <c r="BR573" s="182"/>
      <c r="BS573" s="182"/>
      <c r="BT573" s="182"/>
      <c r="BU573" s="182"/>
      <c r="BV573" s="182"/>
      <c r="BW573" s="182"/>
      <c r="BX573" s="182"/>
      <c r="BY573" s="182"/>
      <c r="BZ573" s="182"/>
      <c r="CA573" s="182"/>
      <c r="CB573" s="185">
        <v>9492.66</v>
      </c>
      <c r="CC573" s="185">
        <v>0</v>
      </c>
      <c r="CD573" s="185">
        <v>1927</v>
      </c>
      <c r="CE573" s="185"/>
    </row>
    <row r="574" spans="2:83" x14ac:dyDescent="0.3">
      <c r="B574" s="182">
        <v>1771</v>
      </c>
      <c r="C574" s="182">
        <v>1928</v>
      </c>
      <c r="D574" s="182" t="s">
        <v>78</v>
      </c>
      <c r="E574" s="181" t="s">
        <v>4250</v>
      </c>
      <c r="F574" s="182" t="s">
        <v>220</v>
      </c>
      <c r="G574" s="182">
        <v>9656.33</v>
      </c>
      <c r="H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2"/>
      <c r="X574" s="182"/>
      <c r="Y574" s="182"/>
      <c r="Z574" s="182"/>
      <c r="AA574" s="182"/>
      <c r="AB574" s="182"/>
      <c r="AC574" s="182"/>
      <c r="AD574" s="182"/>
      <c r="AE574" s="182"/>
      <c r="AF574" s="182"/>
      <c r="AG574" s="182"/>
      <c r="AH574" s="182"/>
      <c r="AI574" s="182"/>
      <c r="AJ574" s="182"/>
      <c r="AK574" s="182"/>
      <c r="AL574" s="182"/>
      <c r="AM574" s="182"/>
      <c r="AN574" s="182"/>
      <c r="AO574" s="182"/>
      <c r="AP574" s="182"/>
      <c r="AQ574" s="185">
        <v>9656.33</v>
      </c>
      <c r="AR574" s="182">
        <v>7232.46</v>
      </c>
      <c r="AS574" s="182">
        <v>87.17</v>
      </c>
      <c r="AT574" s="182">
        <v>2326.59</v>
      </c>
      <c r="AU574" s="182">
        <v>10.11</v>
      </c>
      <c r="AV574" s="182"/>
      <c r="AW574" s="182"/>
      <c r="AX574" s="182"/>
      <c r="AY574" s="182"/>
      <c r="AZ574" s="182"/>
      <c r="BA574" s="182"/>
      <c r="BB574" s="182"/>
      <c r="BC574" s="182"/>
      <c r="BD574" s="182"/>
      <c r="BE574" s="182"/>
      <c r="BF574" s="182"/>
      <c r="BG574" s="182"/>
      <c r="BH574" s="182"/>
      <c r="BI574" s="182"/>
      <c r="BJ574" s="182"/>
      <c r="BK574" s="182"/>
      <c r="BL574" s="182"/>
      <c r="BM574" s="182"/>
      <c r="BN574" s="182"/>
      <c r="BO574" s="182"/>
      <c r="BP574" s="182"/>
      <c r="BQ574" s="182"/>
      <c r="BR574" s="182"/>
      <c r="BS574" s="182"/>
      <c r="BT574" s="182"/>
      <c r="BU574" s="182"/>
      <c r="BV574" s="182"/>
      <c r="BW574" s="182"/>
      <c r="BX574" s="182"/>
      <c r="BY574" s="182"/>
      <c r="BZ574" s="182"/>
      <c r="CA574" s="182"/>
      <c r="CB574" s="185">
        <v>9656.3300000000017</v>
      </c>
      <c r="CC574" s="185">
        <v>0</v>
      </c>
      <c r="CD574" s="185">
        <v>1928</v>
      </c>
      <c r="CE574" s="185"/>
    </row>
    <row r="575" spans="2:83" x14ac:dyDescent="0.3">
      <c r="B575" s="182">
        <v>1770</v>
      </c>
      <c r="C575" s="182">
        <v>1929</v>
      </c>
      <c r="D575" s="182" t="s">
        <v>78</v>
      </c>
      <c r="E575" s="181" t="s">
        <v>4250</v>
      </c>
      <c r="F575" s="182" t="s">
        <v>220</v>
      </c>
      <c r="G575" s="182">
        <v>4910.01</v>
      </c>
      <c r="H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2"/>
      <c r="X575" s="182"/>
      <c r="Y575" s="182"/>
      <c r="Z575" s="182"/>
      <c r="AA575" s="182"/>
      <c r="AB575" s="182"/>
      <c r="AC575" s="182"/>
      <c r="AD575" s="182"/>
      <c r="AE575" s="182"/>
      <c r="AF575" s="182"/>
      <c r="AG575" s="182"/>
      <c r="AH575" s="182"/>
      <c r="AI575" s="182"/>
      <c r="AJ575" s="182"/>
      <c r="AK575" s="182"/>
      <c r="AL575" s="182"/>
      <c r="AM575" s="182"/>
      <c r="AN575" s="182"/>
      <c r="AO575" s="182"/>
      <c r="AP575" s="182"/>
      <c r="AQ575" s="185">
        <v>4910.01</v>
      </c>
      <c r="AR575" s="182">
        <v>3520.99</v>
      </c>
      <c r="AS575" s="182">
        <v>45.08</v>
      </c>
      <c r="AT575" s="182">
        <v>1183.03</v>
      </c>
      <c r="AU575" s="182">
        <v>160.91</v>
      </c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182"/>
      <c r="BK575" s="182"/>
      <c r="BL575" s="182"/>
      <c r="BM575" s="182"/>
      <c r="BN575" s="182"/>
      <c r="BO575" s="182"/>
      <c r="BP575" s="182"/>
      <c r="BQ575" s="182"/>
      <c r="BR575" s="182"/>
      <c r="BS575" s="182"/>
      <c r="BT575" s="182"/>
      <c r="BU575" s="182"/>
      <c r="BV575" s="182"/>
      <c r="BW575" s="182"/>
      <c r="BX575" s="182"/>
      <c r="BY575" s="182"/>
      <c r="BZ575" s="182"/>
      <c r="CA575" s="182"/>
      <c r="CB575" s="185">
        <v>4910.0099999999993</v>
      </c>
      <c r="CC575" s="185">
        <v>0</v>
      </c>
      <c r="CD575" s="185">
        <v>1929</v>
      </c>
      <c r="CE575" s="185"/>
    </row>
    <row r="576" spans="2:83" x14ac:dyDescent="0.3">
      <c r="B576" s="182">
        <v>1772</v>
      </c>
      <c r="C576" s="182">
        <v>1930</v>
      </c>
      <c r="D576" s="182" t="s">
        <v>78</v>
      </c>
      <c r="E576" s="181" t="s">
        <v>4250</v>
      </c>
      <c r="F576" s="182" t="s">
        <v>220</v>
      </c>
      <c r="G576" s="182">
        <v>14325.41</v>
      </c>
      <c r="H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2"/>
      <c r="X576" s="182"/>
      <c r="Y576" s="182"/>
      <c r="Z576" s="182"/>
      <c r="AA576" s="182"/>
      <c r="AB576" s="182"/>
      <c r="AC576" s="182"/>
      <c r="AD576" s="182"/>
      <c r="AE576" s="182"/>
      <c r="AF576" s="182"/>
      <c r="AG576" s="182"/>
      <c r="AH576" s="182"/>
      <c r="AI576" s="182"/>
      <c r="AJ576" s="182"/>
      <c r="AK576" s="182"/>
      <c r="AL576" s="182"/>
      <c r="AM576" s="182"/>
      <c r="AN576" s="182"/>
      <c r="AO576" s="182"/>
      <c r="AP576" s="182"/>
      <c r="AQ576" s="185">
        <v>14325.41</v>
      </c>
      <c r="AR576" s="182">
        <v>9969.68</v>
      </c>
      <c r="AS576" s="182">
        <v>127.47</v>
      </c>
      <c r="AT576" s="182">
        <v>3451.52</v>
      </c>
      <c r="AU576" s="182">
        <v>150.11000000000001</v>
      </c>
      <c r="AV576" s="182"/>
      <c r="AW576" s="182">
        <v>626.63</v>
      </c>
      <c r="AX576" s="182"/>
      <c r="AY576" s="182"/>
      <c r="AZ576" s="182"/>
      <c r="BA576" s="182"/>
      <c r="BB576" s="182"/>
      <c r="BC576" s="182"/>
      <c r="BD576" s="182"/>
      <c r="BE576" s="182"/>
      <c r="BF576" s="182"/>
      <c r="BG576" s="182"/>
      <c r="BH576" s="182"/>
      <c r="BI576" s="182"/>
      <c r="BJ576" s="182"/>
      <c r="BK576" s="182"/>
      <c r="BL576" s="182"/>
      <c r="BM576" s="182"/>
      <c r="BN576" s="182"/>
      <c r="BO576" s="182"/>
      <c r="BP576" s="182"/>
      <c r="BQ576" s="182"/>
      <c r="BR576" s="182"/>
      <c r="BS576" s="182"/>
      <c r="BT576" s="182"/>
      <c r="BU576" s="182"/>
      <c r="BV576" s="182"/>
      <c r="BW576" s="182"/>
      <c r="BX576" s="182"/>
      <c r="BY576" s="182"/>
      <c r="BZ576" s="182"/>
      <c r="CA576" s="182"/>
      <c r="CB576" s="185">
        <v>14325.41</v>
      </c>
      <c r="CC576" s="185">
        <v>0</v>
      </c>
      <c r="CD576" s="185">
        <v>1930</v>
      </c>
      <c r="CE576" s="185"/>
    </row>
    <row r="577" spans="2:83" x14ac:dyDescent="0.3">
      <c r="B577" s="182">
        <v>1774</v>
      </c>
      <c r="C577" s="182">
        <v>1931</v>
      </c>
      <c r="D577" s="182" t="s">
        <v>78</v>
      </c>
      <c r="E577" s="181" t="s">
        <v>4250</v>
      </c>
      <c r="F577" s="182" t="s">
        <v>220</v>
      </c>
      <c r="G577" s="182">
        <v>4746.32</v>
      </c>
      <c r="H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2"/>
      <c r="X577" s="182"/>
      <c r="Y577" s="182"/>
      <c r="Z577" s="182"/>
      <c r="AA577" s="182"/>
      <c r="AB577" s="182"/>
      <c r="AC577" s="182"/>
      <c r="AD577" s="182"/>
      <c r="AE577" s="182"/>
      <c r="AF577" s="182"/>
      <c r="AG577" s="182"/>
      <c r="AH577" s="182"/>
      <c r="AI577" s="182"/>
      <c r="AJ577" s="182"/>
      <c r="AK577" s="182"/>
      <c r="AL577" s="182"/>
      <c r="AM577" s="182"/>
      <c r="AN577" s="182"/>
      <c r="AO577" s="182"/>
      <c r="AP577" s="182"/>
      <c r="AQ577" s="185">
        <v>4746.32</v>
      </c>
      <c r="AR577" s="182">
        <v>3179.67</v>
      </c>
      <c r="AS577" s="182">
        <v>42.089999999999996</v>
      </c>
      <c r="AT577" s="182">
        <v>1143.56</v>
      </c>
      <c r="AU577" s="182">
        <v>5.0199999999999996</v>
      </c>
      <c r="AV577" s="182"/>
      <c r="AW577" s="182">
        <v>375.98</v>
      </c>
      <c r="AX577" s="182"/>
      <c r="AY577" s="182"/>
      <c r="AZ577" s="182"/>
      <c r="BA577" s="182"/>
      <c r="BB577" s="182"/>
      <c r="BC577" s="182"/>
      <c r="BD577" s="182"/>
      <c r="BE577" s="182"/>
      <c r="BF577" s="182"/>
      <c r="BG577" s="182"/>
      <c r="BH577" s="182"/>
      <c r="BI577" s="182"/>
      <c r="BJ577" s="182"/>
      <c r="BK577" s="182"/>
      <c r="BL577" s="182"/>
      <c r="BM577" s="182"/>
      <c r="BN577" s="182"/>
      <c r="BO577" s="182"/>
      <c r="BP577" s="182"/>
      <c r="BQ577" s="182"/>
      <c r="BR577" s="182"/>
      <c r="BS577" s="182"/>
      <c r="BT577" s="182"/>
      <c r="BU577" s="182"/>
      <c r="BV577" s="182"/>
      <c r="BW577" s="182"/>
      <c r="BX577" s="182"/>
      <c r="BY577" s="182"/>
      <c r="BZ577" s="182"/>
      <c r="CA577" s="182"/>
      <c r="CB577" s="185">
        <v>4746.32</v>
      </c>
      <c r="CC577" s="185">
        <v>0</v>
      </c>
      <c r="CD577" s="185">
        <v>1931</v>
      </c>
      <c r="CE577" s="185"/>
    </row>
    <row r="578" spans="2:83" x14ac:dyDescent="0.3">
      <c r="B578" s="182">
        <v>1775</v>
      </c>
      <c r="C578" s="182">
        <v>1932</v>
      </c>
      <c r="D578" s="182" t="s">
        <v>78</v>
      </c>
      <c r="E578" s="181" t="s">
        <v>4250</v>
      </c>
      <c r="F578" s="182" t="s">
        <v>220</v>
      </c>
      <c r="G578" s="182">
        <v>4910.01</v>
      </c>
      <c r="H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2"/>
      <c r="X578" s="182"/>
      <c r="Y578" s="182"/>
      <c r="Z578" s="182"/>
      <c r="AA578" s="182"/>
      <c r="AB578" s="182"/>
      <c r="AC578" s="182"/>
      <c r="AD578" s="182"/>
      <c r="AE578" s="182"/>
      <c r="AF578" s="182"/>
      <c r="AG578" s="182"/>
      <c r="AH578" s="182"/>
      <c r="AI578" s="182"/>
      <c r="AJ578" s="182"/>
      <c r="AK578" s="182"/>
      <c r="AL578" s="182"/>
      <c r="AM578" s="182"/>
      <c r="AN578" s="182"/>
      <c r="AO578" s="182"/>
      <c r="AP578" s="182"/>
      <c r="AQ578" s="185">
        <v>4910.01</v>
      </c>
      <c r="AR578" s="182">
        <v>3676.81</v>
      </c>
      <c r="AS578" s="182">
        <v>45.08</v>
      </c>
      <c r="AT578" s="182">
        <v>1183.03</v>
      </c>
      <c r="AU578" s="182">
        <v>5.09</v>
      </c>
      <c r="AV578" s="182"/>
      <c r="AW578" s="182"/>
      <c r="AX578" s="182"/>
      <c r="AY578" s="182"/>
      <c r="AZ578" s="182"/>
      <c r="BA578" s="182"/>
      <c r="BB578" s="182"/>
      <c r="BC578" s="182"/>
      <c r="BD578" s="182"/>
      <c r="BE578" s="182"/>
      <c r="BF578" s="182"/>
      <c r="BG578" s="182"/>
      <c r="BH578" s="182"/>
      <c r="BI578" s="182"/>
      <c r="BJ578" s="182"/>
      <c r="BK578" s="182"/>
      <c r="BL578" s="182"/>
      <c r="BM578" s="182"/>
      <c r="BN578" s="182"/>
      <c r="BO578" s="182"/>
      <c r="BP578" s="182"/>
      <c r="BQ578" s="182"/>
      <c r="BR578" s="182"/>
      <c r="BS578" s="182"/>
      <c r="BT578" s="182"/>
      <c r="BU578" s="182"/>
      <c r="BV578" s="182"/>
      <c r="BW578" s="182"/>
      <c r="BX578" s="182"/>
      <c r="BY578" s="182"/>
      <c r="BZ578" s="182"/>
      <c r="CA578" s="182"/>
      <c r="CB578" s="185">
        <v>4910.01</v>
      </c>
      <c r="CC578" s="185">
        <v>0</v>
      </c>
      <c r="CD578" s="185">
        <v>1932</v>
      </c>
      <c r="CE578" s="185"/>
    </row>
    <row r="579" spans="2:83" x14ac:dyDescent="0.3">
      <c r="B579" s="182">
        <v>1773</v>
      </c>
      <c r="C579" s="182">
        <v>1933</v>
      </c>
      <c r="D579" s="182" t="s">
        <v>78</v>
      </c>
      <c r="E579" s="181" t="s">
        <v>4250</v>
      </c>
      <c r="F579" s="182" t="s">
        <v>220</v>
      </c>
      <c r="G579" s="182">
        <v>5199.5200000000004</v>
      </c>
      <c r="H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2"/>
      <c r="X579" s="182"/>
      <c r="Y579" s="182"/>
      <c r="Z579" s="182"/>
      <c r="AA579" s="182"/>
      <c r="AB579" s="182"/>
      <c r="AC579" s="182"/>
      <c r="AD579" s="182"/>
      <c r="AE579" s="182"/>
      <c r="AF579" s="182"/>
      <c r="AG579" s="182"/>
      <c r="AH579" s="182"/>
      <c r="AI579" s="182"/>
      <c r="AJ579" s="182"/>
      <c r="AK579" s="182"/>
      <c r="AL579" s="182"/>
      <c r="AM579" s="182"/>
      <c r="AN579" s="182"/>
      <c r="AO579" s="182"/>
      <c r="AP579" s="182"/>
      <c r="AQ579" s="185">
        <v>5199.5200000000004</v>
      </c>
      <c r="AR579" s="182">
        <v>3874.77</v>
      </c>
      <c r="AS579" s="182">
        <v>64.75</v>
      </c>
      <c r="AT579" s="182">
        <v>1252.7800000000002</v>
      </c>
      <c r="AU579" s="182">
        <v>7.2200000000000006</v>
      </c>
      <c r="AV579" s="182"/>
      <c r="AW579" s="182"/>
      <c r="AX579" s="182"/>
      <c r="AY579" s="182"/>
      <c r="AZ579" s="182"/>
      <c r="BA579" s="182"/>
      <c r="BB579" s="182"/>
      <c r="BC579" s="182"/>
      <c r="BD579" s="182"/>
      <c r="BE579" s="182"/>
      <c r="BF579" s="182"/>
      <c r="BG579" s="182"/>
      <c r="BH579" s="182"/>
      <c r="BI579" s="182"/>
      <c r="BJ579" s="182"/>
      <c r="BK579" s="182"/>
      <c r="BL579" s="182"/>
      <c r="BM579" s="182"/>
      <c r="BN579" s="182"/>
      <c r="BO579" s="182"/>
      <c r="BP579" s="182"/>
      <c r="BQ579" s="182"/>
      <c r="BR579" s="182"/>
      <c r="BS579" s="182"/>
      <c r="BT579" s="182"/>
      <c r="BU579" s="182"/>
      <c r="BV579" s="182"/>
      <c r="BW579" s="182"/>
      <c r="BX579" s="182"/>
      <c r="BY579" s="182"/>
      <c r="BZ579" s="182"/>
      <c r="CA579" s="182"/>
      <c r="CB579" s="185">
        <v>5199.5200000000004</v>
      </c>
      <c r="CC579" s="185">
        <v>0</v>
      </c>
      <c r="CD579" s="185">
        <v>1933</v>
      </c>
      <c r="CE579" s="185"/>
    </row>
    <row r="580" spans="2:83" x14ac:dyDescent="0.3">
      <c r="B580" s="182">
        <v>1777</v>
      </c>
      <c r="C580" s="182">
        <v>1934</v>
      </c>
      <c r="D580" s="182" t="s">
        <v>78</v>
      </c>
      <c r="E580" s="181" t="s">
        <v>4250</v>
      </c>
      <c r="F580" s="182" t="s">
        <v>220</v>
      </c>
      <c r="G580" s="182">
        <v>4679.5600000000004</v>
      </c>
      <c r="H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2"/>
      <c r="X580" s="182"/>
      <c r="Y580" s="182"/>
      <c r="Z580" s="182"/>
      <c r="AA580" s="182"/>
      <c r="AB580" s="182"/>
      <c r="AC580" s="182"/>
      <c r="AD580" s="182"/>
      <c r="AE580" s="182"/>
      <c r="AF580" s="182"/>
      <c r="AG580" s="182"/>
      <c r="AH580" s="182"/>
      <c r="AI580" s="182"/>
      <c r="AJ580" s="182"/>
      <c r="AK580" s="182"/>
      <c r="AL580" s="182"/>
      <c r="AM580" s="182"/>
      <c r="AN580" s="182"/>
      <c r="AO580" s="182"/>
      <c r="AP580" s="182"/>
      <c r="AQ580" s="185">
        <v>4679.5600000000004</v>
      </c>
      <c r="AR580" s="182">
        <v>3504.51</v>
      </c>
      <c r="AS580" s="182">
        <v>42.57</v>
      </c>
      <c r="AT580" s="182">
        <v>1127.48</v>
      </c>
      <c r="AU580" s="182">
        <v>5</v>
      </c>
      <c r="AV580" s="182"/>
      <c r="AW580" s="182"/>
      <c r="AX580" s="182"/>
      <c r="AY580" s="182"/>
      <c r="AZ580" s="182"/>
      <c r="BA580" s="182"/>
      <c r="BB580" s="182"/>
      <c r="BC580" s="182"/>
      <c r="BD580" s="182"/>
      <c r="BE580" s="182"/>
      <c r="BF580" s="182"/>
      <c r="BG580" s="182"/>
      <c r="BH580" s="182"/>
      <c r="BI580" s="182"/>
      <c r="BJ580" s="182"/>
      <c r="BK580" s="182"/>
      <c r="BL580" s="182"/>
      <c r="BM580" s="182"/>
      <c r="BN580" s="182"/>
      <c r="BO580" s="182"/>
      <c r="BP580" s="182"/>
      <c r="BQ580" s="182"/>
      <c r="BR580" s="182"/>
      <c r="BS580" s="182"/>
      <c r="BT580" s="182"/>
      <c r="BU580" s="182"/>
      <c r="BV580" s="182"/>
      <c r="BW580" s="182"/>
      <c r="BX580" s="182"/>
      <c r="BY580" s="182"/>
      <c r="BZ580" s="182"/>
      <c r="CA580" s="182"/>
      <c r="CB580" s="185">
        <v>4679.5600000000004</v>
      </c>
      <c r="CC580" s="185">
        <v>0</v>
      </c>
      <c r="CD580" s="185">
        <v>1934</v>
      </c>
      <c r="CE580" s="185"/>
    </row>
    <row r="581" spans="2:83" x14ac:dyDescent="0.3">
      <c r="B581" s="182">
        <v>1776</v>
      </c>
      <c r="C581" s="182">
        <v>1935</v>
      </c>
      <c r="D581" s="182" t="s">
        <v>78</v>
      </c>
      <c r="E581" s="181" t="s">
        <v>4250</v>
      </c>
      <c r="F581" s="182" t="s">
        <v>220</v>
      </c>
      <c r="G581" s="182">
        <v>5199.5200000000004</v>
      </c>
      <c r="H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2"/>
      <c r="X581" s="182"/>
      <c r="Y581" s="182"/>
      <c r="Z581" s="182"/>
      <c r="AA581" s="182"/>
      <c r="AB581" s="182"/>
      <c r="AC581" s="182"/>
      <c r="AD581" s="182"/>
      <c r="AE581" s="182"/>
      <c r="AF581" s="182"/>
      <c r="AG581" s="182"/>
      <c r="AH581" s="182"/>
      <c r="AI581" s="182"/>
      <c r="AJ581" s="182"/>
      <c r="AK581" s="182"/>
      <c r="AL581" s="182"/>
      <c r="AM581" s="182"/>
      <c r="AN581" s="182"/>
      <c r="AO581" s="182"/>
      <c r="AP581" s="182"/>
      <c r="AQ581" s="185">
        <v>5199.5200000000004</v>
      </c>
      <c r="AR581" s="182">
        <v>3876.77</v>
      </c>
      <c r="AS581" s="182">
        <v>64.75</v>
      </c>
      <c r="AT581" s="182">
        <v>1252.7800000000002</v>
      </c>
      <c r="AU581" s="182">
        <v>5.2200000000000006</v>
      </c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182"/>
      <c r="BK581" s="182"/>
      <c r="BL581" s="182"/>
      <c r="BM581" s="182"/>
      <c r="BN581" s="182"/>
      <c r="BO581" s="182"/>
      <c r="BP581" s="182"/>
      <c r="BQ581" s="182"/>
      <c r="BR581" s="182"/>
      <c r="BS581" s="182"/>
      <c r="BT581" s="182"/>
      <c r="BU581" s="182"/>
      <c r="BV581" s="182"/>
      <c r="BW581" s="182"/>
      <c r="BX581" s="182"/>
      <c r="BY581" s="182"/>
      <c r="BZ581" s="182"/>
      <c r="CA581" s="182"/>
      <c r="CB581" s="185">
        <v>5199.5200000000004</v>
      </c>
      <c r="CC581" s="185">
        <v>0</v>
      </c>
      <c r="CD581" s="185">
        <v>1935</v>
      </c>
      <c r="CE581" s="185"/>
    </row>
    <row r="582" spans="2:83" x14ac:dyDescent="0.3">
      <c r="B582" s="182">
        <v>1778</v>
      </c>
      <c r="C582" s="182">
        <v>1936</v>
      </c>
      <c r="D582" s="182" t="s">
        <v>78</v>
      </c>
      <c r="E582" s="181" t="s">
        <v>4250</v>
      </c>
      <c r="F582" s="182" t="s">
        <v>220</v>
      </c>
      <c r="G582" s="182">
        <v>5201.87</v>
      </c>
      <c r="H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2"/>
      <c r="X582" s="182"/>
      <c r="Y582" s="182"/>
      <c r="Z582" s="182"/>
      <c r="AA582" s="182"/>
      <c r="AB582" s="182"/>
      <c r="AC582" s="182"/>
      <c r="AD582" s="182"/>
      <c r="AE582" s="182"/>
      <c r="AF582" s="182"/>
      <c r="AG582" s="182"/>
      <c r="AH582" s="182"/>
      <c r="AI582" s="182"/>
      <c r="AJ582" s="182"/>
      <c r="AK582" s="182"/>
      <c r="AL582" s="182"/>
      <c r="AM582" s="182"/>
      <c r="AN582" s="182"/>
      <c r="AO582" s="182"/>
      <c r="AP582" s="182"/>
      <c r="AQ582" s="185">
        <v>5201.87</v>
      </c>
      <c r="AR582" s="182">
        <v>3863.37</v>
      </c>
      <c r="AS582" s="182">
        <v>64.930000000000007</v>
      </c>
      <c r="AT582" s="182">
        <v>1253.3500000000001</v>
      </c>
      <c r="AU582" s="182">
        <v>20.22</v>
      </c>
      <c r="AV582" s="182"/>
      <c r="AW582" s="182"/>
      <c r="AX582" s="182"/>
      <c r="AY582" s="182"/>
      <c r="AZ582" s="182"/>
      <c r="BA582" s="182"/>
      <c r="BB582" s="182"/>
      <c r="BC582" s="182"/>
      <c r="BD582" s="182"/>
      <c r="BE582" s="182"/>
      <c r="BF582" s="182"/>
      <c r="BG582" s="182"/>
      <c r="BH582" s="182"/>
      <c r="BI582" s="182"/>
      <c r="BJ582" s="182"/>
      <c r="BK582" s="182"/>
      <c r="BL582" s="182"/>
      <c r="BM582" s="182"/>
      <c r="BN582" s="182"/>
      <c r="BO582" s="182"/>
      <c r="BP582" s="182"/>
      <c r="BQ582" s="182"/>
      <c r="BR582" s="182"/>
      <c r="BS582" s="182"/>
      <c r="BT582" s="182"/>
      <c r="BU582" s="182"/>
      <c r="BV582" s="182"/>
      <c r="BW582" s="182"/>
      <c r="BX582" s="182"/>
      <c r="BY582" s="182"/>
      <c r="BZ582" s="182"/>
      <c r="CA582" s="182"/>
      <c r="CB582" s="185">
        <v>5201.87</v>
      </c>
      <c r="CC582" s="185">
        <v>0</v>
      </c>
      <c r="CD582" s="185">
        <v>1936</v>
      </c>
      <c r="CE582" s="185"/>
    </row>
    <row r="583" spans="2:83" s="198" customFormat="1" x14ac:dyDescent="0.3">
      <c r="B583" s="190"/>
      <c r="C583" s="190"/>
      <c r="D583" s="190"/>
      <c r="E583" s="199" t="s">
        <v>4252</v>
      </c>
      <c r="F583" s="190"/>
      <c r="G583" s="190">
        <v>1528968.6800000004</v>
      </c>
      <c r="H583" s="190">
        <v>0</v>
      </c>
      <c r="I583" s="190">
        <v>0</v>
      </c>
      <c r="J583" s="190">
        <v>0</v>
      </c>
      <c r="K583" s="190">
        <v>0</v>
      </c>
      <c r="L583" s="190">
        <v>0</v>
      </c>
      <c r="M583" s="190">
        <v>0</v>
      </c>
      <c r="N583" s="190">
        <v>0</v>
      </c>
      <c r="O583" s="190">
        <v>0</v>
      </c>
      <c r="P583" s="190">
        <v>0</v>
      </c>
      <c r="Q583" s="190">
        <v>0</v>
      </c>
      <c r="R583" s="190">
        <v>0</v>
      </c>
      <c r="S583" s="190">
        <v>0</v>
      </c>
      <c r="T583" s="190">
        <v>0</v>
      </c>
      <c r="U583" s="190">
        <v>0</v>
      </c>
      <c r="V583" s="190">
        <v>0</v>
      </c>
      <c r="W583" s="190">
        <v>0</v>
      </c>
      <c r="X583" s="190">
        <v>0</v>
      </c>
      <c r="Y583" s="190">
        <v>0</v>
      </c>
      <c r="Z583" s="190">
        <v>0</v>
      </c>
      <c r="AA583" s="190">
        <v>0</v>
      </c>
      <c r="AB583" s="190">
        <v>0</v>
      </c>
      <c r="AC583" s="190">
        <v>0</v>
      </c>
      <c r="AD583" s="190">
        <v>0</v>
      </c>
      <c r="AE583" s="190">
        <v>0</v>
      </c>
      <c r="AF583" s="190">
        <v>0</v>
      </c>
      <c r="AG583" s="190">
        <v>0</v>
      </c>
      <c r="AH583" s="190">
        <v>0</v>
      </c>
      <c r="AI583" s="190">
        <v>0</v>
      </c>
      <c r="AJ583" s="190">
        <v>0</v>
      </c>
      <c r="AK583" s="190">
        <v>0</v>
      </c>
      <c r="AL583" s="190">
        <v>0</v>
      </c>
      <c r="AM583" s="190">
        <v>0</v>
      </c>
      <c r="AN583" s="190">
        <v>0</v>
      </c>
      <c r="AO583" s="190">
        <v>0</v>
      </c>
      <c r="AP583" s="190">
        <v>0</v>
      </c>
      <c r="AQ583" s="190">
        <v>1528968.6800000004</v>
      </c>
      <c r="AR583" s="190">
        <v>1124045.2500000002</v>
      </c>
      <c r="AS583" s="190">
        <v>15939.95</v>
      </c>
      <c r="AT583" s="190">
        <v>373593.39000000013</v>
      </c>
      <c r="AU583" s="190">
        <v>11914.680000000002</v>
      </c>
      <c r="AV583" s="190">
        <v>0</v>
      </c>
      <c r="AW583" s="190">
        <v>3475.41</v>
      </c>
      <c r="AX583" s="190">
        <v>0</v>
      </c>
      <c r="AY583" s="190">
        <v>0</v>
      </c>
      <c r="AZ583" s="190">
        <v>0</v>
      </c>
      <c r="BA583" s="190">
        <v>0</v>
      </c>
      <c r="BB583" s="190">
        <v>0</v>
      </c>
      <c r="BC583" s="190">
        <v>0</v>
      </c>
      <c r="BD583" s="190">
        <v>0</v>
      </c>
      <c r="BE583" s="190">
        <v>0</v>
      </c>
      <c r="BF583" s="190">
        <v>0</v>
      </c>
      <c r="BG583" s="190">
        <v>0</v>
      </c>
      <c r="BH583" s="190">
        <v>0</v>
      </c>
      <c r="BI583" s="190">
        <v>0</v>
      </c>
      <c r="BJ583" s="190">
        <v>0</v>
      </c>
      <c r="BK583" s="190">
        <v>0</v>
      </c>
      <c r="BL583" s="190">
        <v>0</v>
      </c>
      <c r="BM583" s="190">
        <v>0</v>
      </c>
      <c r="BN583" s="190">
        <v>0</v>
      </c>
      <c r="BO583" s="190">
        <v>0</v>
      </c>
      <c r="BP583" s="190">
        <v>0</v>
      </c>
      <c r="BQ583" s="190">
        <v>0</v>
      </c>
      <c r="BR583" s="190">
        <v>0</v>
      </c>
      <c r="BS583" s="190">
        <v>0</v>
      </c>
      <c r="BT583" s="190">
        <v>0</v>
      </c>
      <c r="BU583" s="190">
        <v>0</v>
      </c>
      <c r="BV583" s="190">
        <v>0</v>
      </c>
      <c r="BW583" s="190">
        <v>0</v>
      </c>
      <c r="BX583" s="190">
        <v>0</v>
      </c>
      <c r="BY583" s="190">
        <v>0</v>
      </c>
      <c r="BZ583" s="190">
        <v>0</v>
      </c>
      <c r="CA583" s="190">
        <v>0</v>
      </c>
      <c r="CB583" s="190">
        <v>1528968.6800000006</v>
      </c>
      <c r="CC583" s="190">
        <v>0</v>
      </c>
      <c r="CD583" s="190"/>
      <c r="CE583" s="190"/>
    </row>
    <row r="584" spans="2:83" x14ac:dyDescent="0.3">
      <c r="B584" s="182">
        <v>3889</v>
      </c>
      <c r="C584" s="182">
        <v>1937</v>
      </c>
      <c r="D584" s="182" t="s">
        <v>132</v>
      </c>
      <c r="E584" s="181" t="s">
        <v>4253</v>
      </c>
      <c r="F584" s="182"/>
      <c r="G584" s="182">
        <v>2100</v>
      </c>
      <c r="H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2"/>
      <c r="X584" s="182"/>
      <c r="Y584" s="182"/>
      <c r="Z584" s="182"/>
      <c r="AA584" s="182"/>
      <c r="AB584" s="182"/>
      <c r="AC584" s="182"/>
      <c r="AD584" s="182"/>
      <c r="AE584" s="182"/>
      <c r="AF584" s="182"/>
      <c r="AG584" s="182"/>
      <c r="AH584" s="182"/>
      <c r="AI584" s="182"/>
      <c r="AJ584" s="182"/>
      <c r="AK584" s="182"/>
      <c r="AL584" s="182"/>
      <c r="AM584" s="182"/>
      <c r="AN584" s="182"/>
      <c r="AO584" s="182"/>
      <c r="AP584" s="182"/>
      <c r="AQ584" s="185">
        <v>2100</v>
      </c>
      <c r="AR584" s="182">
        <v>1874.62</v>
      </c>
      <c r="AS584" s="182">
        <v>225.38</v>
      </c>
      <c r="AT584" s="182"/>
      <c r="AU584" s="182"/>
      <c r="AV584" s="182"/>
      <c r="AW584" s="182"/>
      <c r="AX584" s="182"/>
      <c r="AY584" s="182"/>
      <c r="AZ584" s="182"/>
      <c r="BA584" s="182"/>
      <c r="BB584" s="182"/>
      <c r="BC584" s="182"/>
      <c r="BD584" s="182"/>
      <c r="BE584" s="182"/>
      <c r="BF584" s="182"/>
      <c r="BG584" s="182"/>
      <c r="BH584" s="182"/>
      <c r="BI584" s="182"/>
      <c r="BJ584" s="182"/>
      <c r="BK584" s="182"/>
      <c r="BL584" s="182"/>
      <c r="BM584" s="182"/>
      <c r="BN584" s="182"/>
      <c r="BO584" s="182"/>
      <c r="BP584" s="182"/>
      <c r="BQ584" s="182"/>
      <c r="BR584" s="182"/>
      <c r="BS584" s="182"/>
      <c r="BT584" s="182"/>
      <c r="BU584" s="182"/>
      <c r="BV584" s="182"/>
      <c r="BW584" s="182"/>
      <c r="BX584" s="182"/>
      <c r="BY584" s="182"/>
      <c r="BZ584" s="182"/>
      <c r="CA584" s="182"/>
      <c r="CB584" s="185">
        <v>2100</v>
      </c>
      <c r="CC584" s="185">
        <v>0</v>
      </c>
      <c r="CD584" s="185">
        <v>1937</v>
      </c>
      <c r="CE584" s="185"/>
    </row>
    <row r="585" spans="2:83" x14ac:dyDescent="0.3">
      <c r="B585" s="182">
        <v>3891</v>
      </c>
      <c r="C585" s="182">
        <v>1938</v>
      </c>
      <c r="D585" s="182" t="s">
        <v>132</v>
      </c>
      <c r="E585" s="181" t="s">
        <v>4254</v>
      </c>
      <c r="F585" s="182"/>
      <c r="G585" s="182">
        <v>500</v>
      </c>
      <c r="H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2"/>
      <c r="X585" s="182"/>
      <c r="Y585" s="182"/>
      <c r="Z585" s="182"/>
      <c r="AA585" s="182"/>
      <c r="AB585" s="182"/>
      <c r="AC585" s="182"/>
      <c r="AD585" s="182"/>
      <c r="AE585" s="182"/>
      <c r="AF585" s="182"/>
      <c r="AG585" s="182"/>
      <c r="AH585" s="182"/>
      <c r="AI585" s="182"/>
      <c r="AJ585" s="182"/>
      <c r="AK585" s="182"/>
      <c r="AL585" s="182"/>
      <c r="AM585" s="182"/>
      <c r="AN585" s="182"/>
      <c r="AO585" s="182"/>
      <c r="AP585" s="182"/>
      <c r="AQ585" s="185">
        <v>500</v>
      </c>
      <c r="AR585" s="182">
        <v>447.05</v>
      </c>
      <c r="AS585" s="182">
        <v>52.95</v>
      </c>
      <c r="AT585" s="182"/>
      <c r="AU585" s="182"/>
      <c r="AV585" s="182"/>
      <c r="AW585" s="182"/>
      <c r="AX585" s="182"/>
      <c r="AY585" s="182"/>
      <c r="AZ585" s="182"/>
      <c r="BA585" s="182"/>
      <c r="BB585" s="182"/>
      <c r="BC585" s="182"/>
      <c r="BD585" s="182"/>
      <c r="BE585" s="182"/>
      <c r="BF585" s="182"/>
      <c r="BG585" s="182"/>
      <c r="BH585" s="182"/>
      <c r="BI585" s="182"/>
      <c r="BJ585" s="182"/>
      <c r="BK585" s="182"/>
      <c r="BL585" s="182"/>
      <c r="BM585" s="182"/>
      <c r="BN585" s="182"/>
      <c r="BO585" s="182"/>
      <c r="BP585" s="182"/>
      <c r="BQ585" s="182"/>
      <c r="BR585" s="182"/>
      <c r="BS585" s="182"/>
      <c r="BT585" s="182"/>
      <c r="BU585" s="182"/>
      <c r="BV585" s="182"/>
      <c r="BW585" s="182"/>
      <c r="BX585" s="182"/>
      <c r="BY585" s="182"/>
      <c r="BZ585" s="182"/>
      <c r="CA585" s="182"/>
      <c r="CB585" s="185">
        <v>500</v>
      </c>
      <c r="CC585" s="185">
        <v>0</v>
      </c>
      <c r="CD585" s="185">
        <v>1938</v>
      </c>
      <c r="CE585" s="185"/>
    </row>
    <row r="586" spans="2:83" x14ac:dyDescent="0.3">
      <c r="B586" s="182">
        <v>3890</v>
      </c>
      <c r="C586" s="182">
        <v>1939</v>
      </c>
      <c r="D586" s="182" t="s">
        <v>132</v>
      </c>
      <c r="E586" s="181" t="s">
        <v>4254</v>
      </c>
      <c r="F586" s="182"/>
      <c r="G586" s="182">
        <v>350</v>
      </c>
      <c r="H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2"/>
      <c r="X586" s="182"/>
      <c r="Y586" s="182"/>
      <c r="Z586" s="182"/>
      <c r="AA586" s="182"/>
      <c r="AB586" s="182"/>
      <c r="AC586" s="182"/>
      <c r="AD586" s="182"/>
      <c r="AE586" s="182"/>
      <c r="AF586" s="182"/>
      <c r="AG586" s="182"/>
      <c r="AH586" s="182"/>
      <c r="AI586" s="182"/>
      <c r="AJ586" s="182"/>
      <c r="AK586" s="182"/>
      <c r="AL586" s="182"/>
      <c r="AM586" s="182"/>
      <c r="AN586" s="182"/>
      <c r="AO586" s="182"/>
      <c r="AP586" s="182"/>
      <c r="AQ586" s="185">
        <v>350</v>
      </c>
      <c r="AR586" s="182">
        <v>313.05</v>
      </c>
      <c r="AS586" s="182">
        <v>36.950000000000003</v>
      </c>
      <c r="AT586" s="182"/>
      <c r="AU586" s="182"/>
      <c r="AV586" s="182"/>
      <c r="AW586" s="182"/>
      <c r="AX586" s="182"/>
      <c r="AY586" s="182"/>
      <c r="AZ586" s="182"/>
      <c r="BA586" s="182"/>
      <c r="BB586" s="182"/>
      <c r="BC586" s="182"/>
      <c r="BD586" s="182"/>
      <c r="BE586" s="182"/>
      <c r="BF586" s="182"/>
      <c r="BG586" s="182"/>
      <c r="BH586" s="182"/>
      <c r="BI586" s="182"/>
      <c r="BJ586" s="182"/>
      <c r="BK586" s="182"/>
      <c r="BL586" s="182"/>
      <c r="BM586" s="182"/>
      <c r="BN586" s="182"/>
      <c r="BO586" s="182"/>
      <c r="BP586" s="182"/>
      <c r="BQ586" s="182"/>
      <c r="BR586" s="182"/>
      <c r="BS586" s="182"/>
      <c r="BT586" s="182"/>
      <c r="BU586" s="182"/>
      <c r="BV586" s="182"/>
      <c r="BW586" s="182"/>
      <c r="BX586" s="182"/>
      <c r="BY586" s="182"/>
      <c r="BZ586" s="182"/>
      <c r="CA586" s="182"/>
      <c r="CB586" s="185">
        <v>350</v>
      </c>
      <c r="CC586" s="185">
        <v>0</v>
      </c>
      <c r="CD586" s="185">
        <v>1939</v>
      </c>
      <c r="CE586" s="185"/>
    </row>
    <row r="587" spans="2:83" x14ac:dyDescent="0.3">
      <c r="B587" s="182">
        <v>3888</v>
      </c>
      <c r="C587" s="182">
        <v>1940</v>
      </c>
      <c r="D587" s="182" t="s">
        <v>132</v>
      </c>
      <c r="E587" s="181" t="s">
        <v>4255</v>
      </c>
      <c r="F587" s="182"/>
      <c r="G587" s="182">
        <v>4221</v>
      </c>
      <c r="H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2"/>
      <c r="X587" s="182"/>
      <c r="Y587" s="182"/>
      <c r="Z587" s="182"/>
      <c r="AA587" s="182"/>
      <c r="AB587" s="182"/>
      <c r="AC587" s="182"/>
      <c r="AD587" s="182"/>
      <c r="AE587" s="182"/>
      <c r="AF587" s="182"/>
      <c r="AG587" s="182"/>
      <c r="AH587" s="182"/>
      <c r="AI587" s="182"/>
      <c r="AJ587" s="182"/>
      <c r="AK587" s="182"/>
      <c r="AL587" s="182"/>
      <c r="AM587" s="182"/>
      <c r="AN587" s="182"/>
      <c r="AO587" s="182"/>
      <c r="AP587" s="182"/>
      <c r="AQ587" s="185">
        <v>4221</v>
      </c>
      <c r="AR587" s="182">
        <v>3100.79</v>
      </c>
      <c r="AS587" s="182">
        <v>103.21000000000001</v>
      </c>
      <c r="AT587" s="182">
        <v>1017</v>
      </c>
      <c r="AU587" s="182"/>
      <c r="AV587" s="182"/>
      <c r="AW587" s="182"/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/>
      <c r="BH587" s="182"/>
      <c r="BI587" s="182"/>
      <c r="BJ587" s="182"/>
      <c r="BK587" s="182"/>
      <c r="BL587" s="182"/>
      <c r="BM587" s="182"/>
      <c r="BN587" s="182"/>
      <c r="BO587" s="182"/>
      <c r="BP587" s="182"/>
      <c r="BQ587" s="182"/>
      <c r="BR587" s="182"/>
      <c r="BS587" s="182"/>
      <c r="BT587" s="182"/>
      <c r="BU587" s="182"/>
      <c r="BV587" s="182"/>
      <c r="BW587" s="182"/>
      <c r="BX587" s="182"/>
      <c r="BY587" s="182"/>
      <c r="BZ587" s="182"/>
      <c r="CA587" s="182"/>
      <c r="CB587" s="185">
        <v>4221</v>
      </c>
      <c r="CC587" s="185">
        <v>0</v>
      </c>
      <c r="CD587" s="185">
        <v>1940</v>
      </c>
      <c r="CE587" s="185"/>
    </row>
    <row r="588" spans="2:83" x14ac:dyDescent="0.3">
      <c r="B588" s="182">
        <v>3887</v>
      </c>
      <c r="C588" s="182">
        <v>1941</v>
      </c>
      <c r="D588" s="182" t="s">
        <v>132</v>
      </c>
      <c r="E588" s="181" t="s">
        <v>4256</v>
      </c>
      <c r="F588" s="182"/>
      <c r="G588" s="182">
        <v>10800</v>
      </c>
      <c r="H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2"/>
      <c r="X588" s="182"/>
      <c r="Y588" s="182"/>
      <c r="Z588" s="182"/>
      <c r="AA588" s="182"/>
      <c r="AB588" s="182"/>
      <c r="AC588" s="182"/>
      <c r="AD588" s="182"/>
      <c r="AE588" s="182"/>
      <c r="AF588" s="182"/>
      <c r="AG588" s="182"/>
      <c r="AH588" s="182"/>
      <c r="AI588" s="182"/>
      <c r="AJ588" s="182"/>
      <c r="AK588" s="182"/>
      <c r="AL588" s="182"/>
      <c r="AM588" s="182"/>
      <c r="AN588" s="182"/>
      <c r="AO588" s="182"/>
      <c r="AP588" s="182"/>
      <c r="AQ588" s="185">
        <v>10800</v>
      </c>
      <c r="AR588" s="182">
        <v>9917.9699999999993</v>
      </c>
      <c r="AS588" s="182">
        <v>332.03000000000003</v>
      </c>
      <c r="AT588" s="182"/>
      <c r="AU588" s="182">
        <v>550</v>
      </c>
      <c r="AV588" s="182"/>
      <c r="AW588" s="182"/>
      <c r="AX588" s="182"/>
      <c r="AY588" s="182"/>
      <c r="AZ588" s="182"/>
      <c r="BA588" s="182"/>
      <c r="BB588" s="182"/>
      <c r="BC588" s="182"/>
      <c r="BD588" s="182"/>
      <c r="BE588" s="182"/>
      <c r="BF588" s="182"/>
      <c r="BG588" s="182"/>
      <c r="BH588" s="182"/>
      <c r="BI588" s="182"/>
      <c r="BJ588" s="182"/>
      <c r="BK588" s="182"/>
      <c r="BL588" s="182"/>
      <c r="BM588" s="182"/>
      <c r="BN588" s="182"/>
      <c r="BO588" s="182"/>
      <c r="BP588" s="182"/>
      <c r="BQ588" s="182"/>
      <c r="BR588" s="182"/>
      <c r="BS588" s="182"/>
      <c r="BT588" s="182"/>
      <c r="BU588" s="182"/>
      <c r="BV588" s="182"/>
      <c r="BW588" s="182"/>
      <c r="BX588" s="182"/>
      <c r="BY588" s="182"/>
      <c r="BZ588" s="182"/>
      <c r="CA588" s="182"/>
      <c r="CB588" s="185">
        <v>10800</v>
      </c>
      <c r="CC588" s="185">
        <v>0</v>
      </c>
      <c r="CD588" s="185">
        <v>1941</v>
      </c>
      <c r="CE588" s="185"/>
    </row>
    <row r="589" spans="2:83" x14ac:dyDescent="0.3">
      <c r="B589" s="182">
        <v>3886</v>
      </c>
      <c r="C589" s="182">
        <v>1942</v>
      </c>
      <c r="D589" s="182" t="s">
        <v>132</v>
      </c>
      <c r="E589" s="181" t="s">
        <v>4256</v>
      </c>
      <c r="F589" s="182"/>
      <c r="G589" s="182">
        <v>31012.63</v>
      </c>
      <c r="H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2"/>
      <c r="X589" s="182"/>
      <c r="Y589" s="182"/>
      <c r="Z589" s="182"/>
      <c r="AA589" s="182"/>
      <c r="AB589" s="182"/>
      <c r="AC589" s="182"/>
      <c r="AD589" s="182"/>
      <c r="AE589" s="182"/>
      <c r="AF589" s="182"/>
      <c r="AG589" s="182"/>
      <c r="AH589" s="182"/>
      <c r="AI589" s="182"/>
      <c r="AJ589" s="182"/>
      <c r="AK589" s="182"/>
      <c r="AL589" s="182"/>
      <c r="AM589" s="182"/>
      <c r="AN589" s="182"/>
      <c r="AO589" s="182"/>
      <c r="AP589" s="182"/>
      <c r="AQ589" s="185">
        <v>31012.63</v>
      </c>
      <c r="AR589" s="182">
        <v>22492.42</v>
      </c>
      <c r="AS589" s="182">
        <v>748.07999999999993</v>
      </c>
      <c r="AT589" s="182">
        <v>7472.13</v>
      </c>
      <c r="AU589" s="182">
        <v>300</v>
      </c>
      <c r="AV589" s="182"/>
      <c r="AW589" s="182"/>
      <c r="AX589" s="182"/>
      <c r="AY589" s="182"/>
      <c r="AZ589" s="182"/>
      <c r="BA589" s="182"/>
      <c r="BB589" s="182"/>
      <c r="BC589" s="182"/>
      <c r="BD589" s="182"/>
      <c r="BE589" s="182"/>
      <c r="BF589" s="182"/>
      <c r="BG589" s="182"/>
      <c r="BH589" s="182"/>
      <c r="BI589" s="182"/>
      <c r="BJ589" s="182"/>
      <c r="BK589" s="182"/>
      <c r="BL589" s="182"/>
      <c r="BM589" s="182"/>
      <c r="BN589" s="182"/>
      <c r="BO589" s="182"/>
      <c r="BP589" s="182"/>
      <c r="BQ589" s="182"/>
      <c r="BR589" s="182"/>
      <c r="BS589" s="182"/>
      <c r="BT589" s="182"/>
      <c r="BU589" s="182"/>
      <c r="BV589" s="182"/>
      <c r="BW589" s="182"/>
      <c r="BX589" s="182"/>
      <c r="BY589" s="182"/>
      <c r="BZ589" s="182"/>
      <c r="CA589" s="182"/>
      <c r="CB589" s="185">
        <v>31012.63</v>
      </c>
      <c r="CC589" s="185">
        <v>0</v>
      </c>
      <c r="CD589" s="185">
        <v>1942</v>
      </c>
      <c r="CE589" s="185"/>
    </row>
    <row r="590" spans="2:83" x14ac:dyDescent="0.3">
      <c r="B590" s="182">
        <v>1934</v>
      </c>
      <c r="C590" s="182">
        <v>1943</v>
      </c>
      <c r="D590" s="182" t="s">
        <v>78</v>
      </c>
      <c r="E590" s="181" t="s">
        <v>4257</v>
      </c>
      <c r="F590" s="182"/>
      <c r="G590" s="182">
        <v>1172.5</v>
      </c>
      <c r="H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2"/>
      <c r="X590" s="182"/>
      <c r="Y590" s="182"/>
      <c r="Z590" s="182"/>
      <c r="AA590" s="182"/>
      <c r="AB590" s="182"/>
      <c r="AC590" s="182"/>
      <c r="AD590" s="182"/>
      <c r="AE590" s="182"/>
      <c r="AF590" s="182"/>
      <c r="AG590" s="182"/>
      <c r="AH590" s="182"/>
      <c r="AI590" s="182"/>
      <c r="AJ590" s="182"/>
      <c r="AK590" s="182"/>
      <c r="AL590" s="182"/>
      <c r="AM590" s="182"/>
      <c r="AN590" s="182"/>
      <c r="AO590" s="182"/>
      <c r="AP590" s="182"/>
      <c r="AQ590" s="185">
        <v>1172.5</v>
      </c>
      <c r="AR590" s="182">
        <v>784.1</v>
      </c>
      <c r="AS590" s="182">
        <v>105.9</v>
      </c>
      <c r="AT590" s="182">
        <v>282.5</v>
      </c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182"/>
      <c r="BK590" s="182"/>
      <c r="BL590" s="182"/>
      <c r="BM590" s="182"/>
      <c r="BN590" s="182"/>
      <c r="BO590" s="182"/>
      <c r="BP590" s="182"/>
      <c r="BQ590" s="182"/>
      <c r="BR590" s="182"/>
      <c r="BS590" s="182"/>
      <c r="BT590" s="182"/>
      <c r="BU590" s="182"/>
      <c r="BV590" s="182"/>
      <c r="BW590" s="182"/>
      <c r="BX590" s="182"/>
      <c r="BY590" s="182"/>
      <c r="BZ590" s="182"/>
      <c r="CA590" s="182"/>
      <c r="CB590" s="185">
        <v>1172.5</v>
      </c>
      <c r="CC590" s="185">
        <v>0</v>
      </c>
      <c r="CD590" s="185">
        <v>1943</v>
      </c>
      <c r="CE590" s="185"/>
    </row>
    <row r="591" spans="2:83" x14ac:dyDescent="0.3">
      <c r="B591" s="182">
        <v>1933</v>
      </c>
      <c r="C591" s="182">
        <v>1944</v>
      </c>
      <c r="D591" s="182" t="s">
        <v>78</v>
      </c>
      <c r="E591" s="181" t="s">
        <v>4257</v>
      </c>
      <c r="F591" s="182"/>
      <c r="G591" s="182">
        <v>12215.62</v>
      </c>
      <c r="H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2"/>
      <c r="X591" s="182"/>
      <c r="Y591" s="182"/>
      <c r="Z591" s="182"/>
      <c r="AA591" s="182"/>
      <c r="AB591" s="182"/>
      <c r="AC591" s="182"/>
      <c r="AD591" s="182"/>
      <c r="AE591" s="182"/>
      <c r="AF591" s="182"/>
      <c r="AG591" s="182"/>
      <c r="AH591" s="182"/>
      <c r="AI591" s="182"/>
      <c r="AJ591" s="182"/>
      <c r="AK591" s="182"/>
      <c r="AL591" s="182"/>
      <c r="AM591" s="182"/>
      <c r="AN591" s="182"/>
      <c r="AO591" s="182"/>
      <c r="AP591" s="182"/>
      <c r="AQ591" s="185">
        <v>12215.62</v>
      </c>
      <c r="AR591" s="182">
        <v>10577.8</v>
      </c>
      <c r="AS591" s="182">
        <v>1284.7</v>
      </c>
      <c r="AT591" s="182">
        <v>353.12</v>
      </c>
      <c r="AU591" s="182"/>
      <c r="AV591" s="182"/>
      <c r="AW591" s="182"/>
      <c r="AX591" s="182"/>
      <c r="AY591" s="182"/>
      <c r="AZ591" s="182"/>
      <c r="BA591" s="182"/>
      <c r="BB591" s="182"/>
      <c r="BC591" s="182"/>
      <c r="BD591" s="182"/>
      <c r="BE591" s="182"/>
      <c r="BF591" s="182"/>
      <c r="BG591" s="182"/>
      <c r="BH591" s="182"/>
      <c r="BI591" s="182"/>
      <c r="BJ591" s="182"/>
      <c r="BK591" s="182"/>
      <c r="BL591" s="182"/>
      <c r="BM591" s="182"/>
      <c r="BN591" s="182"/>
      <c r="BO591" s="182"/>
      <c r="BP591" s="182"/>
      <c r="BQ591" s="182"/>
      <c r="BR591" s="182"/>
      <c r="BS591" s="182"/>
      <c r="BT591" s="182"/>
      <c r="BU591" s="182"/>
      <c r="BV591" s="182"/>
      <c r="BW591" s="182"/>
      <c r="BX591" s="182"/>
      <c r="BY591" s="182"/>
      <c r="BZ591" s="182"/>
      <c r="CA591" s="182"/>
      <c r="CB591" s="185">
        <v>12215.62</v>
      </c>
      <c r="CC591" s="185">
        <v>0</v>
      </c>
      <c r="CD591" s="185">
        <v>1944</v>
      </c>
      <c r="CE591" s="185"/>
    </row>
    <row r="592" spans="2:83" x14ac:dyDescent="0.3">
      <c r="B592" s="182">
        <v>3713</v>
      </c>
      <c r="C592" s="182">
        <v>1945</v>
      </c>
      <c r="D592" s="182" t="s">
        <v>78</v>
      </c>
      <c r="E592" s="181" t="s">
        <v>4258</v>
      </c>
      <c r="F592" s="182"/>
      <c r="G592" s="182">
        <v>1266.3900000000001</v>
      </c>
      <c r="H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2"/>
      <c r="X592" s="182"/>
      <c r="Y592" s="182"/>
      <c r="Z592" s="182"/>
      <c r="AA592" s="182"/>
      <c r="AB592" s="182"/>
      <c r="AC592" s="182"/>
      <c r="AD592" s="182"/>
      <c r="AE592" s="182"/>
      <c r="AF592" s="182"/>
      <c r="AG592" s="182"/>
      <c r="AH592" s="182"/>
      <c r="AI592" s="182"/>
      <c r="AJ592" s="182"/>
      <c r="AK592" s="182"/>
      <c r="AL592" s="182"/>
      <c r="AM592" s="182"/>
      <c r="AN592" s="182"/>
      <c r="AO592" s="182"/>
      <c r="AP592" s="182"/>
      <c r="AQ592" s="185">
        <v>1266.3900000000001</v>
      </c>
      <c r="AR592" s="182">
        <v>1105.5999999999999</v>
      </c>
      <c r="AS592" s="182">
        <v>133.94999999999999</v>
      </c>
      <c r="AT592" s="182">
        <v>26.84</v>
      </c>
      <c r="AU592" s="182"/>
      <c r="AV592" s="182"/>
      <c r="AW592" s="182"/>
      <c r="AX592" s="182"/>
      <c r="AY592" s="182"/>
      <c r="AZ592" s="182"/>
      <c r="BA592" s="182"/>
      <c r="BB592" s="182"/>
      <c r="BC592" s="182"/>
      <c r="BD592" s="182"/>
      <c r="BE592" s="182"/>
      <c r="BF592" s="182"/>
      <c r="BG592" s="182"/>
      <c r="BH592" s="182"/>
      <c r="BI592" s="182"/>
      <c r="BJ592" s="182"/>
      <c r="BK592" s="182"/>
      <c r="BL592" s="182"/>
      <c r="BM592" s="182"/>
      <c r="BN592" s="182"/>
      <c r="BO592" s="182"/>
      <c r="BP592" s="182"/>
      <c r="BQ592" s="182"/>
      <c r="BR592" s="182"/>
      <c r="BS592" s="182"/>
      <c r="BT592" s="182"/>
      <c r="BU592" s="182"/>
      <c r="BV592" s="182"/>
      <c r="BW592" s="182"/>
      <c r="BX592" s="182"/>
      <c r="BY592" s="182"/>
      <c r="BZ592" s="182"/>
      <c r="CA592" s="182"/>
      <c r="CB592" s="185">
        <v>1266.3899999999999</v>
      </c>
      <c r="CC592" s="185">
        <v>0</v>
      </c>
      <c r="CD592" s="185">
        <v>1945</v>
      </c>
      <c r="CE592" s="185"/>
    </row>
    <row r="593" spans="2:83" x14ac:dyDescent="0.3">
      <c r="B593" s="182">
        <v>3697</v>
      </c>
      <c r="C593" s="182">
        <v>1946</v>
      </c>
      <c r="D593" s="182" t="s">
        <v>78</v>
      </c>
      <c r="E593" s="181" t="s">
        <v>4259</v>
      </c>
      <c r="F593" s="182"/>
      <c r="G593" s="182">
        <v>5307.26</v>
      </c>
      <c r="H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2"/>
      <c r="X593" s="182"/>
      <c r="Y593" s="182"/>
      <c r="Z593" s="182"/>
      <c r="AA593" s="182"/>
      <c r="AB593" s="182"/>
      <c r="AC593" s="182"/>
      <c r="AD593" s="182"/>
      <c r="AE593" s="182"/>
      <c r="AF593" s="182"/>
      <c r="AG593" s="182"/>
      <c r="AH593" s="182"/>
      <c r="AI593" s="182"/>
      <c r="AJ593" s="182"/>
      <c r="AK593" s="182"/>
      <c r="AL593" s="182"/>
      <c r="AM593" s="182"/>
      <c r="AN593" s="182"/>
      <c r="AO593" s="182"/>
      <c r="AP593" s="182"/>
      <c r="AQ593" s="185">
        <v>5307.26</v>
      </c>
      <c r="AR593" s="182">
        <v>3661.85</v>
      </c>
      <c r="AS593" s="182">
        <v>487.15</v>
      </c>
      <c r="AT593" s="182">
        <v>1158.26</v>
      </c>
      <c r="AU593" s="182"/>
      <c r="AV593" s="182"/>
      <c r="AW593" s="182"/>
      <c r="AX593" s="182"/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182"/>
      <c r="BK593" s="182"/>
      <c r="BL593" s="182"/>
      <c r="BM593" s="182"/>
      <c r="BN593" s="182"/>
      <c r="BO593" s="182"/>
      <c r="BP593" s="182"/>
      <c r="BQ593" s="182"/>
      <c r="BR593" s="182"/>
      <c r="BS593" s="182"/>
      <c r="BT593" s="182"/>
      <c r="BU593" s="182"/>
      <c r="BV593" s="182"/>
      <c r="BW593" s="182"/>
      <c r="BX593" s="182"/>
      <c r="BY593" s="182"/>
      <c r="BZ593" s="182"/>
      <c r="CA593" s="182"/>
      <c r="CB593" s="185">
        <v>5307.26</v>
      </c>
      <c r="CC593" s="185">
        <v>0</v>
      </c>
      <c r="CD593" s="185">
        <v>1946</v>
      </c>
      <c r="CE593" s="185"/>
    </row>
    <row r="594" spans="2:83" x14ac:dyDescent="0.3">
      <c r="B594" s="182">
        <v>3698</v>
      </c>
      <c r="C594" s="182">
        <v>1947</v>
      </c>
      <c r="D594" s="182" t="s">
        <v>78</v>
      </c>
      <c r="E594" s="181" t="s">
        <v>4259</v>
      </c>
      <c r="F594" s="182"/>
      <c r="G594" s="182">
        <v>600</v>
      </c>
      <c r="H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2"/>
      <c r="X594" s="182"/>
      <c r="Y594" s="182"/>
      <c r="Z594" s="182"/>
      <c r="AA594" s="182"/>
      <c r="AB594" s="182"/>
      <c r="AC594" s="182"/>
      <c r="AD594" s="182"/>
      <c r="AE594" s="182"/>
      <c r="AF594" s="182"/>
      <c r="AG594" s="182"/>
      <c r="AH594" s="182"/>
      <c r="AI594" s="182"/>
      <c r="AJ594" s="182"/>
      <c r="AK594" s="182"/>
      <c r="AL594" s="182"/>
      <c r="AM594" s="182"/>
      <c r="AN594" s="182"/>
      <c r="AO594" s="182"/>
      <c r="AP594" s="182"/>
      <c r="AQ594" s="185">
        <v>600</v>
      </c>
      <c r="AR594" s="182">
        <v>536.15</v>
      </c>
      <c r="AS594" s="182">
        <v>63.85</v>
      </c>
      <c r="AT594" s="182"/>
      <c r="AU594" s="182"/>
      <c r="AV594" s="182"/>
      <c r="AW594" s="182"/>
      <c r="AX594" s="182"/>
      <c r="AY594" s="182"/>
      <c r="AZ594" s="182"/>
      <c r="BA594" s="182"/>
      <c r="BB594" s="182"/>
      <c r="BC594" s="182"/>
      <c r="BD594" s="182"/>
      <c r="BE594" s="182"/>
      <c r="BF594" s="182"/>
      <c r="BG594" s="182"/>
      <c r="BH594" s="182"/>
      <c r="BI594" s="182"/>
      <c r="BJ594" s="182"/>
      <c r="BK594" s="182"/>
      <c r="BL594" s="182"/>
      <c r="BM594" s="182"/>
      <c r="BN594" s="182"/>
      <c r="BO594" s="182"/>
      <c r="BP594" s="182"/>
      <c r="BQ594" s="182"/>
      <c r="BR594" s="182"/>
      <c r="BS594" s="182"/>
      <c r="BT594" s="182"/>
      <c r="BU594" s="182"/>
      <c r="BV594" s="182"/>
      <c r="BW594" s="182"/>
      <c r="BX594" s="182"/>
      <c r="BY594" s="182"/>
      <c r="BZ594" s="182"/>
      <c r="CA594" s="182"/>
      <c r="CB594" s="185">
        <v>600</v>
      </c>
      <c r="CC594" s="185">
        <v>0</v>
      </c>
      <c r="CD594" s="185">
        <v>1947</v>
      </c>
      <c r="CE594" s="185"/>
    </row>
    <row r="595" spans="2:83" x14ac:dyDescent="0.3">
      <c r="B595" s="182">
        <v>3699</v>
      </c>
      <c r="C595" s="182">
        <v>1948</v>
      </c>
      <c r="D595" s="182" t="s">
        <v>78</v>
      </c>
      <c r="E595" s="181" t="s">
        <v>4259</v>
      </c>
      <c r="F595" s="182"/>
      <c r="G595" s="182">
        <v>500</v>
      </c>
      <c r="H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2"/>
      <c r="X595" s="182"/>
      <c r="Y595" s="182"/>
      <c r="Z595" s="182"/>
      <c r="AA595" s="182"/>
      <c r="AB595" s="182"/>
      <c r="AC595" s="182"/>
      <c r="AD595" s="182"/>
      <c r="AE595" s="182"/>
      <c r="AF595" s="182"/>
      <c r="AG595" s="182"/>
      <c r="AH595" s="182"/>
      <c r="AI595" s="182"/>
      <c r="AJ595" s="182"/>
      <c r="AK595" s="182"/>
      <c r="AL595" s="182"/>
      <c r="AM595" s="182"/>
      <c r="AN595" s="182"/>
      <c r="AO595" s="182"/>
      <c r="AP595" s="182"/>
      <c r="AQ595" s="185">
        <v>500</v>
      </c>
      <c r="AR595" s="182">
        <v>447.05</v>
      </c>
      <c r="AS595" s="182">
        <v>52.95</v>
      </c>
      <c r="AT595" s="182"/>
      <c r="AU595" s="182"/>
      <c r="AV595" s="182"/>
      <c r="AW595" s="182"/>
      <c r="AX595" s="182"/>
      <c r="AY595" s="182"/>
      <c r="AZ595" s="182"/>
      <c r="BA595" s="182"/>
      <c r="BB595" s="182"/>
      <c r="BC595" s="182"/>
      <c r="BD595" s="182"/>
      <c r="BE595" s="182"/>
      <c r="BF595" s="182"/>
      <c r="BG595" s="182"/>
      <c r="BH595" s="182"/>
      <c r="BI595" s="182"/>
      <c r="BJ595" s="182"/>
      <c r="BK595" s="182"/>
      <c r="BL595" s="182"/>
      <c r="BM595" s="182"/>
      <c r="BN595" s="182"/>
      <c r="BO595" s="182"/>
      <c r="BP595" s="182"/>
      <c r="BQ595" s="182"/>
      <c r="BR595" s="182"/>
      <c r="BS595" s="182"/>
      <c r="BT595" s="182"/>
      <c r="BU595" s="182"/>
      <c r="BV595" s="182"/>
      <c r="BW595" s="182"/>
      <c r="BX595" s="182"/>
      <c r="BY595" s="182"/>
      <c r="BZ595" s="182"/>
      <c r="CA595" s="182"/>
      <c r="CB595" s="185">
        <v>500</v>
      </c>
      <c r="CC595" s="185">
        <v>0</v>
      </c>
      <c r="CD595" s="185">
        <v>1948</v>
      </c>
      <c r="CE595" s="185"/>
    </row>
    <row r="596" spans="2:83" x14ac:dyDescent="0.3">
      <c r="B596" s="182">
        <v>3700</v>
      </c>
      <c r="C596" s="182">
        <v>1949</v>
      </c>
      <c r="D596" s="182" t="s">
        <v>78</v>
      </c>
      <c r="E596" s="181" t="s">
        <v>4259</v>
      </c>
      <c r="F596" s="182"/>
      <c r="G596" s="182">
        <v>1876</v>
      </c>
      <c r="H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2"/>
      <c r="X596" s="182"/>
      <c r="Y596" s="182"/>
      <c r="Z596" s="182"/>
      <c r="AA596" s="182"/>
      <c r="AB596" s="182"/>
      <c r="AC596" s="182"/>
      <c r="AD596" s="182"/>
      <c r="AE596" s="182"/>
      <c r="AF596" s="182"/>
      <c r="AG596" s="182"/>
      <c r="AH596" s="182"/>
      <c r="AI596" s="182"/>
      <c r="AJ596" s="182"/>
      <c r="AK596" s="182"/>
      <c r="AL596" s="182"/>
      <c r="AM596" s="182"/>
      <c r="AN596" s="182"/>
      <c r="AO596" s="182"/>
      <c r="AP596" s="182"/>
      <c r="AQ596" s="185">
        <v>1876</v>
      </c>
      <c r="AR596" s="182">
        <v>1253.6099999999999</v>
      </c>
      <c r="AS596" s="182">
        <v>170.39</v>
      </c>
      <c r="AT596" s="182">
        <v>452</v>
      </c>
      <c r="AU596" s="182"/>
      <c r="AV596" s="182"/>
      <c r="AW596" s="182"/>
      <c r="AX596" s="182"/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182"/>
      <c r="BK596" s="182"/>
      <c r="BL596" s="182"/>
      <c r="BM596" s="182"/>
      <c r="BN596" s="182"/>
      <c r="BO596" s="182"/>
      <c r="BP596" s="182"/>
      <c r="BQ596" s="182"/>
      <c r="BR596" s="182"/>
      <c r="BS596" s="182"/>
      <c r="BT596" s="182"/>
      <c r="BU596" s="182"/>
      <c r="BV596" s="182"/>
      <c r="BW596" s="182"/>
      <c r="BX596" s="182"/>
      <c r="BY596" s="182"/>
      <c r="BZ596" s="182"/>
      <c r="CA596" s="182"/>
      <c r="CB596" s="185">
        <v>1876</v>
      </c>
      <c r="CC596" s="185">
        <v>0</v>
      </c>
      <c r="CD596" s="185">
        <v>1949</v>
      </c>
      <c r="CE596" s="185"/>
    </row>
    <row r="597" spans="2:83" x14ac:dyDescent="0.3">
      <c r="B597" s="182">
        <v>3701</v>
      </c>
      <c r="C597" s="182">
        <v>1950</v>
      </c>
      <c r="D597" s="182" t="s">
        <v>78</v>
      </c>
      <c r="E597" s="181" t="s">
        <v>3589</v>
      </c>
      <c r="F597" s="182"/>
      <c r="G597" s="182">
        <v>3129.22</v>
      </c>
      <c r="H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2"/>
      <c r="X597" s="182"/>
      <c r="Y597" s="182"/>
      <c r="Z597" s="182"/>
      <c r="AA597" s="182"/>
      <c r="AB597" s="182"/>
      <c r="AC597" s="182"/>
      <c r="AD597" s="182"/>
      <c r="AE597" s="182"/>
      <c r="AF597" s="182"/>
      <c r="AG597" s="182"/>
      <c r="AH597" s="182"/>
      <c r="AI597" s="182"/>
      <c r="AJ597" s="182"/>
      <c r="AK597" s="182"/>
      <c r="AL597" s="182"/>
      <c r="AM597" s="182"/>
      <c r="AN597" s="182"/>
      <c r="AO597" s="182"/>
      <c r="AP597" s="182"/>
      <c r="AQ597" s="185">
        <v>3129.22</v>
      </c>
      <c r="AR597" s="182">
        <v>2598.1999999999998</v>
      </c>
      <c r="AS597" s="182">
        <v>319.39999999999998</v>
      </c>
      <c r="AT597" s="182">
        <v>211.62</v>
      </c>
      <c r="AU597" s="182"/>
      <c r="AV597" s="182"/>
      <c r="AW597" s="182"/>
      <c r="AX597" s="182"/>
      <c r="AY597" s="182"/>
      <c r="AZ597" s="182"/>
      <c r="BA597" s="182"/>
      <c r="BB597" s="182"/>
      <c r="BC597" s="182"/>
      <c r="BD597" s="182"/>
      <c r="BE597" s="182"/>
      <c r="BF597" s="182"/>
      <c r="BG597" s="182"/>
      <c r="BH597" s="182"/>
      <c r="BI597" s="182"/>
      <c r="BJ597" s="182"/>
      <c r="BK597" s="182"/>
      <c r="BL597" s="182"/>
      <c r="BM597" s="182"/>
      <c r="BN597" s="182"/>
      <c r="BO597" s="182"/>
      <c r="BP597" s="182"/>
      <c r="BQ597" s="182"/>
      <c r="BR597" s="182"/>
      <c r="BS597" s="182"/>
      <c r="BT597" s="182"/>
      <c r="BU597" s="182"/>
      <c r="BV597" s="182"/>
      <c r="BW597" s="182"/>
      <c r="BX597" s="182"/>
      <c r="BY597" s="182"/>
      <c r="BZ597" s="182"/>
      <c r="CA597" s="182"/>
      <c r="CB597" s="185">
        <v>3129.22</v>
      </c>
      <c r="CC597" s="185">
        <v>0</v>
      </c>
      <c r="CD597" s="185">
        <v>1950</v>
      </c>
      <c r="CE597" s="185"/>
    </row>
    <row r="598" spans="2:83" x14ac:dyDescent="0.3">
      <c r="B598" s="182">
        <v>3702</v>
      </c>
      <c r="C598" s="182">
        <v>1951</v>
      </c>
      <c r="D598" s="182" t="s">
        <v>78</v>
      </c>
      <c r="E598" s="181" t="s">
        <v>3589</v>
      </c>
      <c r="F598" s="182"/>
      <c r="G598" s="182">
        <v>1000</v>
      </c>
      <c r="H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2"/>
      <c r="X598" s="182"/>
      <c r="Y598" s="182"/>
      <c r="Z598" s="182"/>
      <c r="AA598" s="182"/>
      <c r="AB598" s="182"/>
      <c r="AC598" s="182"/>
      <c r="AD598" s="182"/>
      <c r="AE598" s="182"/>
      <c r="AF598" s="182"/>
      <c r="AG598" s="182"/>
      <c r="AH598" s="182"/>
      <c r="AI598" s="182"/>
      <c r="AJ598" s="182"/>
      <c r="AK598" s="182"/>
      <c r="AL598" s="182"/>
      <c r="AM598" s="182"/>
      <c r="AN598" s="182"/>
      <c r="AO598" s="182"/>
      <c r="AP598" s="182"/>
      <c r="AQ598" s="185">
        <v>1000</v>
      </c>
      <c r="AR598" s="182">
        <v>893.35</v>
      </c>
      <c r="AS598" s="182">
        <v>106.65</v>
      </c>
      <c r="AT598" s="182"/>
      <c r="AU598" s="182"/>
      <c r="AV598" s="182"/>
      <c r="AW598" s="182"/>
      <c r="AX598" s="182"/>
      <c r="AY598" s="182"/>
      <c r="AZ598" s="182"/>
      <c r="BA598" s="182"/>
      <c r="BB598" s="182"/>
      <c r="BC598" s="182"/>
      <c r="BD598" s="182"/>
      <c r="BE598" s="182"/>
      <c r="BF598" s="182"/>
      <c r="BG598" s="182"/>
      <c r="BH598" s="182"/>
      <c r="BI598" s="182"/>
      <c r="BJ598" s="182"/>
      <c r="BK598" s="182"/>
      <c r="BL598" s="182"/>
      <c r="BM598" s="182"/>
      <c r="BN598" s="182"/>
      <c r="BO598" s="182"/>
      <c r="BP598" s="182"/>
      <c r="BQ598" s="182"/>
      <c r="BR598" s="182"/>
      <c r="BS598" s="182"/>
      <c r="BT598" s="182"/>
      <c r="BU598" s="182"/>
      <c r="BV598" s="182"/>
      <c r="BW598" s="182"/>
      <c r="BX598" s="182"/>
      <c r="BY598" s="182"/>
      <c r="BZ598" s="182"/>
      <c r="CA598" s="182"/>
      <c r="CB598" s="185">
        <v>1000</v>
      </c>
      <c r="CC598" s="185">
        <v>0</v>
      </c>
      <c r="CD598" s="185">
        <v>1951</v>
      </c>
      <c r="CE598" s="185"/>
    </row>
    <row r="599" spans="2:83" x14ac:dyDescent="0.3">
      <c r="B599" s="182">
        <v>3703</v>
      </c>
      <c r="C599" s="182">
        <v>1952</v>
      </c>
      <c r="D599" s="182" t="s">
        <v>78</v>
      </c>
      <c r="E599" s="181" t="s">
        <v>4260</v>
      </c>
      <c r="F599" s="182"/>
      <c r="G599" s="182">
        <v>1407</v>
      </c>
      <c r="H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2"/>
      <c r="X599" s="182"/>
      <c r="Y599" s="182"/>
      <c r="Z599" s="182"/>
      <c r="AA599" s="182"/>
      <c r="AB599" s="182"/>
      <c r="AC599" s="182"/>
      <c r="AD599" s="182"/>
      <c r="AE599" s="182"/>
      <c r="AF599" s="182"/>
      <c r="AG599" s="182"/>
      <c r="AH599" s="182"/>
      <c r="AI599" s="182"/>
      <c r="AJ599" s="182"/>
      <c r="AK599" s="182"/>
      <c r="AL599" s="182"/>
      <c r="AM599" s="182"/>
      <c r="AN599" s="182"/>
      <c r="AO599" s="182"/>
      <c r="AP599" s="182"/>
      <c r="AQ599" s="185">
        <v>1407</v>
      </c>
      <c r="AR599" s="182">
        <v>940.35</v>
      </c>
      <c r="AS599" s="182">
        <v>127.65</v>
      </c>
      <c r="AT599" s="182">
        <v>339</v>
      </c>
      <c r="AU599" s="182"/>
      <c r="AV599" s="182"/>
      <c r="AW599" s="182"/>
      <c r="AX599" s="182"/>
      <c r="AY599" s="182"/>
      <c r="AZ599" s="182"/>
      <c r="BA599" s="182"/>
      <c r="BB599" s="182"/>
      <c r="BC599" s="182"/>
      <c r="BD599" s="182"/>
      <c r="BE599" s="182"/>
      <c r="BF599" s="182"/>
      <c r="BG599" s="182"/>
      <c r="BH599" s="182"/>
      <c r="BI599" s="182"/>
      <c r="BJ599" s="182"/>
      <c r="BK599" s="182"/>
      <c r="BL599" s="182"/>
      <c r="BM599" s="182"/>
      <c r="BN599" s="182"/>
      <c r="BO599" s="182"/>
      <c r="BP599" s="182"/>
      <c r="BQ599" s="182"/>
      <c r="BR599" s="182"/>
      <c r="BS599" s="182"/>
      <c r="BT599" s="182"/>
      <c r="BU599" s="182"/>
      <c r="BV599" s="182"/>
      <c r="BW599" s="182"/>
      <c r="BX599" s="182"/>
      <c r="BY599" s="182"/>
      <c r="BZ599" s="182"/>
      <c r="CA599" s="182"/>
      <c r="CB599" s="185">
        <v>1407</v>
      </c>
      <c r="CC599" s="185">
        <v>0</v>
      </c>
      <c r="CD599" s="185">
        <v>1952</v>
      </c>
      <c r="CE599" s="185"/>
    </row>
    <row r="600" spans="2:83" x14ac:dyDescent="0.3">
      <c r="B600" s="182">
        <v>3704</v>
      </c>
      <c r="C600" s="182">
        <v>1953</v>
      </c>
      <c r="D600" s="182" t="s">
        <v>78</v>
      </c>
      <c r="E600" s="181" t="s">
        <v>4260</v>
      </c>
      <c r="F600" s="182"/>
      <c r="G600" s="182">
        <v>1000</v>
      </c>
      <c r="H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2"/>
      <c r="X600" s="182"/>
      <c r="Y600" s="182"/>
      <c r="Z600" s="182"/>
      <c r="AA600" s="182"/>
      <c r="AB600" s="182"/>
      <c r="AC600" s="182"/>
      <c r="AD600" s="182"/>
      <c r="AE600" s="182"/>
      <c r="AF600" s="182"/>
      <c r="AG600" s="182"/>
      <c r="AH600" s="182"/>
      <c r="AI600" s="182"/>
      <c r="AJ600" s="182"/>
      <c r="AK600" s="182"/>
      <c r="AL600" s="182"/>
      <c r="AM600" s="182"/>
      <c r="AN600" s="182"/>
      <c r="AO600" s="182"/>
      <c r="AP600" s="182"/>
      <c r="AQ600" s="185">
        <v>1000</v>
      </c>
      <c r="AR600" s="182">
        <v>893.35</v>
      </c>
      <c r="AS600" s="182">
        <v>106.65</v>
      </c>
      <c r="AT600" s="182"/>
      <c r="AU600" s="182"/>
      <c r="AV600" s="182"/>
      <c r="AW600" s="182"/>
      <c r="AX600" s="182"/>
      <c r="AY600" s="182"/>
      <c r="AZ600" s="182"/>
      <c r="BA600" s="182"/>
      <c r="BB600" s="182"/>
      <c r="BC600" s="182"/>
      <c r="BD600" s="182"/>
      <c r="BE600" s="182"/>
      <c r="BF600" s="182"/>
      <c r="BG600" s="182"/>
      <c r="BH600" s="182"/>
      <c r="BI600" s="182"/>
      <c r="BJ600" s="182"/>
      <c r="BK600" s="182"/>
      <c r="BL600" s="182"/>
      <c r="BM600" s="182"/>
      <c r="BN600" s="182"/>
      <c r="BO600" s="182"/>
      <c r="BP600" s="182"/>
      <c r="BQ600" s="182"/>
      <c r="BR600" s="182"/>
      <c r="BS600" s="182"/>
      <c r="BT600" s="182"/>
      <c r="BU600" s="182"/>
      <c r="BV600" s="182"/>
      <c r="BW600" s="182"/>
      <c r="BX600" s="182"/>
      <c r="BY600" s="182"/>
      <c r="BZ600" s="182"/>
      <c r="CA600" s="182"/>
      <c r="CB600" s="185">
        <v>1000</v>
      </c>
      <c r="CC600" s="185">
        <v>0</v>
      </c>
      <c r="CD600" s="185">
        <v>1953</v>
      </c>
      <c r="CE600" s="185"/>
    </row>
    <row r="601" spans="2:83" x14ac:dyDescent="0.3">
      <c r="B601" s="182">
        <v>3705</v>
      </c>
      <c r="C601" s="182">
        <v>1954</v>
      </c>
      <c r="D601" s="182" t="s">
        <v>78</v>
      </c>
      <c r="E601" s="181" t="s">
        <v>3317</v>
      </c>
      <c r="F601" s="182"/>
      <c r="G601" s="182">
        <v>1800</v>
      </c>
      <c r="H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2"/>
      <c r="X601" s="182"/>
      <c r="Y601" s="182"/>
      <c r="Z601" s="182"/>
      <c r="AA601" s="182"/>
      <c r="AB601" s="182"/>
      <c r="AC601" s="182"/>
      <c r="AD601" s="182"/>
      <c r="AE601" s="182"/>
      <c r="AF601" s="182"/>
      <c r="AG601" s="182"/>
      <c r="AH601" s="182"/>
      <c r="AI601" s="182"/>
      <c r="AJ601" s="182"/>
      <c r="AK601" s="182"/>
      <c r="AL601" s="182"/>
      <c r="AM601" s="182"/>
      <c r="AN601" s="182"/>
      <c r="AO601" s="182"/>
      <c r="AP601" s="182"/>
      <c r="AQ601" s="185">
        <v>1800</v>
      </c>
      <c r="AR601" s="182">
        <v>1608.1</v>
      </c>
      <c r="AS601" s="182">
        <v>191.9</v>
      </c>
      <c r="AT601" s="182"/>
      <c r="AU601" s="182"/>
      <c r="AV601" s="182"/>
      <c r="AW601" s="182"/>
      <c r="AX601" s="182"/>
      <c r="AY601" s="182"/>
      <c r="AZ601" s="182"/>
      <c r="BA601" s="182"/>
      <c r="BB601" s="182"/>
      <c r="BC601" s="182"/>
      <c r="BD601" s="182"/>
      <c r="BE601" s="182"/>
      <c r="BF601" s="182"/>
      <c r="BG601" s="182"/>
      <c r="BH601" s="182"/>
      <c r="BI601" s="182"/>
      <c r="BJ601" s="182"/>
      <c r="BK601" s="182"/>
      <c r="BL601" s="182"/>
      <c r="BM601" s="182"/>
      <c r="BN601" s="182"/>
      <c r="BO601" s="182"/>
      <c r="BP601" s="182"/>
      <c r="BQ601" s="182"/>
      <c r="BR601" s="182"/>
      <c r="BS601" s="182"/>
      <c r="BT601" s="182"/>
      <c r="BU601" s="182"/>
      <c r="BV601" s="182"/>
      <c r="BW601" s="182"/>
      <c r="BX601" s="182"/>
      <c r="BY601" s="182"/>
      <c r="BZ601" s="182"/>
      <c r="CA601" s="182"/>
      <c r="CB601" s="185">
        <v>1800</v>
      </c>
      <c r="CC601" s="185">
        <v>0</v>
      </c>
      <c r="CD601" s="185">
        <v>1954</v>
      </c>
      <c r="CE601" s="185"/>
    </row>
    <row r="602" spans="2:83" x14ac:dyDescent="0.3">
      <c r="B602" s="182">
        <v>3706</v>
      </c>
      <c r="C602" s="182">
        <v>1955</v>
      </c>
      <c r="D602" s="182" t="s">
        <v>78</v>
      </c>
      <c r="E602" s="181" t="s">
        <v>4261</v>
      </c>
      <c r="F602" s="182"/>
      <c r="G602" s="182">
        <v>2510.5</v>
      </c>
      <c r="H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2"/>
      <c r="X602" s="182"/>
      <c r="Y602" s="182"/>
      <c r="Z602" s="182"/>
      <c r="AA602" s="182"/>
      <c r="AB602" s="182"/>
      <c r="AC602" s="182"/>
      <c r="AD602" s="182"/>
      <c r="AE602" s="182"/>
      <c r="AF602" s="182"/>
      <c r="AG602" s="182"/>
      <c r="AH602" s="182"/>
      <c r="AI602" s="182"/>
      <c r="AJ602" s="182"/>
      <c r="AK602" s="182"/>
      <c r="AL602" s="182"/>
      <c r="AM602" s="182"/>
      <c r="AN602" s="182"/>
      <c r="AO602" s="182"/>
      <c r="AP602" s="182"/>
      <c r="AQ602" s="185">
        <v>2510.5</v>
      </c>
      <c r="AR602" s="182">
        <v>1769.1</v>
      </c>
      <c r="AS602" s="182">
        <v>232.9</v>
      </c>
      <c r="AT602" s="182">
        <v>508.5</v>
      </c>
      <c r="AU602" s="182"/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182"/>
      <c r="BK602" s="182"/>
      <c r="BL602" s="182"/>
      <c r="BM602" s="182"/>
      <c r="BN602" s="182"/>
      <c r="BO602" s="182"/>
      <c r="BP602" s="182"/>
      <c r="BQ602" s="182"/>
      <c r="BR602" s="182"/>
      <c r="BS602" s="182"/>
      <c r="BT602" s="182"/>
      <c r="BU602" s="182"/>
      <c r="BV602" s="182"/>
      <c r="BW602" s="182"/>
      <c r="BX602" s="182"/>
      <c r="BY602" s="182"/>
      <c r="BZ602" s="182"/>
      <c r="CA602" s="182"/>
      <c r="CB602" s="185">
        <v>2510.5</v>
      </c>
      <c r="CC602" s="185">
        <v>0</v>
      </c>
      <c r="CD602" s="185">
        <v>1955</v>
      </c>
      <c r="CE602" s="185"/>
    </row>
    <row r="603" spans="2:83" x14ac:dyDescent="0.3">
      <c r="B603" s="182">
        <v>3707</v>
      </c>
      <c r="C603" s="182">
        <v>1956</v>
      </c>
      <c r="D603" s="182" t="s">
        <v>78</v>
      </c>
      <c r="E603" s="181" t="s">
        <v>3317</v>
      </c>
      <c r="F603" s="182"/>
      <c r="G603" s="182">
        <v>1055.25</v>
      </c>
      <c r="H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2"/>
      <c r="X603" s="182"/>
      <c r="Y603" s="182"/>
      <c r="Z603" s="182"/>
      <c r="AA603" s="182"/>
      <c r="AB603" s="182"/>
      <c r="AC603" s="182"/>
      <c r="AD603" s="182"/>
      <c r="AE603" s="182"/>
      <c r="AF603" s="182"/>
      <c r="AG603" s="182"/>
      <c r="AH603" s="182"/>
      <c r="AI603" s="182"/>
      <c r="AJ603" s="182"/>
      <c r="AK603" s="182"/>
      <c r="AL603" s="182"/>
      <c r="AM603" s="182"/>
      <c r="AN603" s="182"/>
      <c r="AO603" s="182"/>
      <c r="AP603" s="182"/>
      <c r="AQ603" s="185">
        <v>1055.25</v>
      </c>
      <c r="AR603" s="182">
        <v>705.7</v>
      </c>
      <c r="AS603" s="182">
        <v>95.3</v>
      </c>
      <c r="AT603" s="182">
        <v>254.25</v>
      </c>
      <c r="AU603" s="182"/>
      <c r="AV603" s="182"/>
      <c r="AW603" s="182"/>
      <c r="AX603" s="182"/>
      <c r="AY603" s="182"/>
      <c r="AZ603" s="182"/>
      <c r="BA603" s="182"/>
      <c r="BB603" s="182"/>
      <c r="BC603" s="182"/>
      <c r="BD603" s="182"/>
      <c r="BE603" s="182"/>
      <c r="BF603" s="182"/>
      <c r="BG603" s="182"/>
      <c r="BH603" s="182"/>
      <c r="BI603" s="182"/>
      <c r="BJ603" s="182"/>
      <c r="BK603" s="182"/>
      <c r="BL603" s="182"/>
      <c r="BM603" s="182"/>
      <c r="BN603" s="182"/>
      <c r="BO603" s="182"/>
      <c r="BP603" s="182"/>
      <c r="BQ603" s="182"/>
      <c r="BR603" s="182"/>
      <c r="BS603" s="182"/>
      <c r="BT603" s="182"/>
      <c r="BU603" s="182"/>
      <c r="BV603" s="182"/>
      <c r="BW603" s="182"/>
      <c r="BX603" s="182"/>
      <c r="BY603" s="182"/>
      <c r="BZ603" s="182"/>
      <c r="CA603" s="182"/>
      <c r="CB603" s="185">
        <v>1055.25</v>
      </c>
      <c r="CC603" s="185">
        <v>0</v>
      </c>
      <c r="CD603" s="185">
        <v>1956</v>
      </c>
      <c r="CE603" s="185"/>
    </row>
    <row r="604" spans="2:83" x14ac:dyDescent="0.3">
      <c r="B604" s="182">
        <v>3708</v>
      </c>
      <c r="C604" s="182">
        <v>1957</v>
      </c>
      <c r="D604" s="182" t="s">
        <v>78</v>
      </c>
      <c r="E604" s="181" t="s">
        <v>4262</v>
      </c>
      <c r="F604" s="182"/>
      <c r="G604" s="182">
        <v>1113.8800000000001</v>
      </c>
      <c r="H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2"/>
      <c r="X604" s="182"/>
      <c r="Y604" s="182"/>
      <c r="Z604" s="182"/>
      <c r="AA604" s="182"/>
      <c r="AB604" s="182"/>
      <c r="AC604" s="182"/>
      <c r="AD604" s="182"/>
      <c r="AE604" s="182"/>
      <c r="AF604" s="182"/>
      <c r="AG604" s="182"/>
      <c r="AH604" s="182"/>
      <c r="AI604" s="182"/>
      <c r="AJ604" s="182"/>
      <c r="AK604" s="182"/>
      <c r="AL604" s="182"/>
      <c r="AM604" s="182"/>
      <c r="AN604" s="182"/>
      <c r="AO604" s="182"/>
      <c r="AP604" s="182"/>
      <c r="AQ604" s="185">
        <v>1113.8800000000001</v>
      </c>
      <c r="AR604" s="182">
        <v>744.9</v>
      </c>
      <c r="AS604" s="182">
        <v>100.6</v>
      </c>
      <c r="AT604" s="182">
        <v>268.38</v>
      </c>
      <c r="AU604" s="182"/>
      <c r="AV604" s="182"/>
      <c r="AW604" s="182"/>
      <c r="AX604" s="182"/>
      <c r="AY604" s="182"/>
      <c r="AZ604" s="182"/>
      <c r="BA604" s="182"/>
      <c r="BB604" s="182"/>
      <c r="BC604" s="182"/>
      <c r="BD604" s="182"/>
      <c r="BE604" s="182"/>
      <c r="BF604" s="182"/>
      <c r="BG604" s="182"/>
      <c r="BH604" s="182"/>
      <c r="BI604" s="182"/>
      <c r="BJ604" s="182"/>
      <c r="BK604" s="182"/>
      <c r="BL604" s="182"/>
      <c r="BM604" s="182"/>
      <c r="BN604" s="182"/>
      <c r="BO604" s="182"/>
      <c r="BP604" s="182"/>
      <c r="BQ604" s="182"/>
      <c r="BR604" s="182"/>
      <c r="BS604" s="182"/>
      <c r="BT604" s="182"/>
      <c r="BU604" s="182"/>
      <c r="BV604" s="182"/>
      <c r="BW604" s="182"/>
      <c r="BX604" s="182"/>
      <c r="BY604" s="182"/>
      <c r="BZ604" s="182"/>
      <c r="CA604" s="182"/>
      <c r="CB604" s="185">
        <v>1113.8800000000001</v>
      </c>
      <c r="CC604" s="185">
        <v>0</v>
      </c>
      <c r="CD604" s="185">
        <v>1957</v>
      </c>
      <c r="CE604" s="185"/>
    </row>
    <row r="605" spans="2:83" x14ac:dyDescent="0.3">
      <c r="B605" s="182">
        <v>3709</v>
      </c>
      <c r="C605" s="182">
        <v>1958</v>
      </c>
      <c r="D605" s="182" t="s">
        <v>78</v>
      </c>
      <c r="E605" s="181" t="s">
        <v>4262</v>
      </c>
      <c r="F605" s="182"/>
      <c r="G605" s="182">
        <v>1900</v>
      </c>
      <c r="H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2"/>
      <c r="X605" s="182"/>
      <c r="Y605" s="182"/>
      <c r="Z605" s="182"/>
      <c r="AA605" s="182"/>
      <c r="AB605" s="182"/>
      <c r="AC605" s="182"/>
      <c r="AD605" s="182"/>
      <c r="AE605" s="182"/>
      <c r="AF605" s="182"/>
      <c r="AG605" s="182"/>
      <c r="AH605" s="182"/>
      <c r="AI605" s="182"/>
      <c r="AJ605" s="182"/>
      <c r="AK605" s="182"/>
      <c r="AL605" s="182"/>
      <c r="AM605" s="182"/>
      <c r="AN605" s="182"/>
      <c r="AO605" s="182"/>
      <c r="AP605" s="182"/>
      <c r="AQ605" s="185">
        <v>1900</v>
      </c>
      <c r="AR605" s="182">
        <v>1697.4</v>
      </c>
      <c r="AS605" s="182">
        <v>202.6</v>
      </c>
      <c r="AT605" s="182"/>
      <c r="AU605" s="182"/>
      <c r="AV605" s="182"/>
      <c r="AW605" s="182"/>
      <c r="AX605" s="182"/>
      <c r="AY605" s="182"/>
      <c r="AZ605" s="182"/>
      <c r="BA605" s="182"/>
      <c r="BB605" s="182"/>
      <c r="BC605" s="182"/>
      <c r="BD605" s="182"/>
      <c r="BE605" s="182"/>
      <c r="BF605" s="182"/>
      <c r="BG605" s="182"/>
      <c r="BH605" s="182"/>
      <c r="BI605" s="182"/>
      <c r="BJ605" s="182"/>
      <c r="BK605" s="182"/>
      <c r="BL605" s="182"/>
      <c r="BM605" s="182"/>
      <c r="BN605" s="182"/>
      <c r="BO605" s="182"/>
      <c r="BP605" s="182"/>
      <c r="BQ605" s="182"/>
      <c r="BR605" s="182"/>
      <c r="BS605" s="182"/>
      <c r="BT605" s="182"/>
      <c r="BU605" s="182"/>
      <c r="BV605" s="182"/>
      <c r="BW605" s="182"/>
      <c r="BX605" s="182"/>
      <c r="BY605" s="182"/>
      <c r="BZ605" s="182"/>
      <c r="CA605" s="182"/>
      <c r="CB605" s="185">
        <v>1900</v>
      </c>
      <c r="CC605" s="185">
        <v>0</v>
      </c>
      <c r="CD605" s="185">
        <v>1958</v>
      </c>
      <c r="CE605" s="185"/>
    </row>
    <row r="606" spans="2:83" x14ac:dyDescent="0.3">
      <c r="B606" s="182">
        <v>3710</v>
      </c>
      <c r="C606" s="182">
        <v>1959</v>
      </c>
      <c r="D606" s="182" t="s">
        <v>78</v>
      </c>
      <c r="E606" s="181" t="s">
        <v>4263</v>
      </c>
      <c r="F606" s="182"/>
      <c r="G606" s="182">
        <v>300</v>
      </c>
      <c r="H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2"/>
      <c r="X606" s="182"/>
      <c r="Y606" s="182"/>
      <c r="Z606" s="182"/>
      <c r="AA606" s="182"/>
      <c r="AB606" s="182"/>
      <c r="AC606" s="182"/>
      <c r="AD606" s="182"/>
      <c r="AE606" s="182"/>
      <c r="AF606" s="182"/>
      <c r="AG606" s="182"/>
      <c r="AH606" s="182"/>
      <c r="AI606" s="182"/>
      <c r="AJ606" s="182"/>
      <c r="AK606" s="182"/>
      <c r="AL606" s="182"/>
      <c r="AM606" s="182"/>
      <c r="AN606" s="182"/>
      <c r="AO606" s="182"/>
      <c r="AP606" s="182"/>
      <c r="AQ606" s="185">
        <v>300</v>
      </c>
      <c r="AR606" s="182">
        <v>268.35000000000002</v>
      </c>
      <c r="AS606" s="182">
        <v>31.65</v>
      </c>
      <c r="AT606" s="182"/>
      <c r="AU606" s="182"/>
      <c r="AV606" s="182"/>
      <c r="AW606" s="182"/>
      <c r="AX606" s="182"/>
      <c r="AY606" s="182"/>
      <c r="AZ606" s="182"/>
      <c r="BA606" s="182"/>
      <c r="BB606" s="182"/>
      <c r="BC606" s="182"/>
      <c r="BD606" s="182"/>
      <c r="BE606" s="182"/>
      <c r="BF606" s="182"/>
      <c r="BG606" s="182"/>
      <c r="BH606" s="182"/>
      <c r="BI606" s="182"/>
      <c r="BJ606" s="182"/>
      <c r="BK606" s="182"/>
      <c r="BL606" s="182"/>
      <c r="BM606" s="182"/>
      <c r="BN606" s="182"/>
      <c r="BO606" s="182"/>
      <c r="BP606" s="182"/>
      <c r="BQ606" s="182"/>
      <c r="BR606" s="182"/>
      <c r="BS606" s="182"/>
      <c r="BT606" s="182"/>
      <c r="BU606" s="182"/>
      <c r="BV606" s="182"/>
      <c r="BW606" s="182"/>
      <c r="BX606" s="182"/>
      <c r="BY606" s="182"/>
      <c r="BZ606" s="182"/>
      <c r="CA606" s="182"/>
      <c r="CB606" s="185">
        <v>300</v>
      </c>
      <c r="CC606" s="185">
        <v>0</v>
      </c>
      <c r="CD606" s="185">
        <v>1959</v>
      </c>
      <c r="CE606" s="185"/>
    </row>
    <row r="607" spans="2:83" x14ac:dyDescent="0.3">
      <c r="B607" s="182">
        <v>3711</v>
      </c>
      <c r="C607" s="182">
        <v>1960</v>
      </c>
      <c r="D607" s="182" t="s">
        <v>78</v>
      </c>
      <c r="E607" s="181" t="s">
        <v>4264</v>
      </c>
      <c r="F607" s="182"/>
      <c r="G607" s="182">
        <v>586.25</v>
      </c>
      <c r="H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2"/>
      <c r="X607" s="182"/>
      <c r="Y607" s="182"/>
      <c r="Z607" s="182"/>
      <c r="AA607" s="182"/>
      <c r="AB607" s="182"/>
      <c r="AC607" s="182"/>
      <c r="AD607" s="182"/>
      <c r="AE607" s="182"/>
      <c r="AF607" s="182"/>
      <c r="AG607" s="182"/>
      <c r="AH607" s="182"/>
      <c r="AI607" s="182"/>
      <c r="AJ607" s="182"/>
      <c r="AK607" s="182"/>
      <c r="AL607" s="182"/>
      <c r="AM607" s="182"/>
      <c r="AN607" s="182"/>
      <c r="AO607" s="182"/>
      <c r="AP607" s="182"/>
      <c r="AQ607" s="185">
        <v>586.25</v>
      </c>
      <c r="AR607" s="182">
        <v>392.4</v>
      </c>
      <c r="AS607" s="182">
        <v>52.6</v>
      </c>
      <c r="AT607" s="182">
        <v>141.25</v>
      </c>
      <c r="AU607" s="182"/>
      <c r="AV607" s="182"/>
      <c r="AW607" s="182"/>
      <c r="AX607" s="182"/>
      <c r="AY607" s="182"/>
      <c r="AZ607" s="182"/>
      <c r="BA607" s="182"/>
      <c r="BB607" s="182"/>
      <c r="BC607" s="182"/>
      <c r="BD607" s="182"/>
      <c r="BE607" s="182"/>
      <c r="BF607" s="182"/>
      <c r="BG607" s="182"/>
      <c r="BH607" s="182"/>
      <c r="BI607" s="182"/>
      <c r="BJ607" s="182"/>
      <c r="BK607" s="182"/>
      <c r="BL607" s="182"/>
      <c r="BM607" s="182"/>
      <c r="BN607" s="182"/>
      <c r="BO607" s="182"/>
      <c r="BP607" s="182"/>
      <c r="BQ607" s="182"/>
      <c r="BR607" s="182"/>
      <c r="BS607" s="182"/>
      <c r="BT607" s="182"/>
      <c r="BU607" s="182"/>
      <c r="BV607" s="182"/>
      <c r="BW607" s="182"/>
      <c r="BX607" s="182"/>
      <c r="BY607" s="182"/>
      <c r="BZ607" s="182"/>
      <c r="CA607" s="182"/>
      <c r="CB607" s="185">
        <v>586.25</v>
      </c>
      <c r="CC607" s="185">
        <v>0</v>
      </c>
      <c r="CD607" s="185">
        <v>1960</v>
      </c>
      <c r="CE607" s="185"/>
    </row>
    <row r="608" spans="2:83" x14ac:dyDescent="0.3">
      <c r="B608" s="182">
        <v>3712</v>
      </c>
      <c r="C608" s="182">
        <v>1961</v>
      </c>
      <c r="D608" s="182" t="s">
        <v>78</v>
      </c>
      <c r="E608" s="181" t="s">
        <v>4265</v>
      </c>
      <c r="F608" s="182"/>
      <c r="G608" s="182">
        <v>7200</v>
      </c>
      <c r="H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2"/>
      <c r="X608" s="182"/>
      <c r="Y608" s="182"/>
      <c r="Z608" s="182"/>
      <c r="AA608" s="182"/>
      <c r="AB608" s="182"/>
      <c r="AC608" s="182"/>
      <c r="AD608" s="182"/>
      <c r="AE608" s="182"/>
      <c r="AF608" s="182"/>
      <c r="AG608" s="182"/>
      <c r="AH608" s="182"/>
      <c r="AI608" s="182"/>
      <c r="AJ608" s="182"/>
      <c r="AK608" s="182"/>
      <c r="AL608" s="182"/>
      <c r="AM608" s="182"/>
      <c r="AN608" s="182"/>
      <c r="AO608" s="182"/>
      <c r="AP608" s="182"/>
      <c r="AQ608" s="185">
        <v>7200</v>
      </c>
      <c r="AR608" s="182">
        <v>6422.8</v>
      </c>
      <c r="AS608" s="182">
        <v>777.2</v>
      </c>
      <c r="AT608" s="182"/>
      <c r="AU608" s="182"/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182"/>
      <c r="BK608" s="182"/>
      <c r="BL608" s="182"/>
      <c r="BM608" s="182"/>
      <c r="BN608" s="182"/>
      <c r="BO608" s="182"/>
      <c r="BP608" s="182"/>
      <c r="BQ608" s="182"/>
      <c r="BR608" s="182"/>
      <c r="BS608" s="182"/>
      <c r="BT608" s="182"/>
      <c r="BU608" s="182"/>
      <c r="BV608" s="182"/>
      <c r="BW608" s="182"/>
      <c r="BX608" s="182"/>
      <c r="BY608" s="182"/>
      <c r="BZ608" s="182"/>
      <c r="CA608" s="182"/>
      <c r="CB608" s="185">
        <v>7200</v>
      </c>
      <c r="CC608" s="185">
        <v>0</v>
      </c>
      <c r="CD608" s="185">
        <v>1961</v>
      </c>
      <c r="CE608" s="185"/>
    </row>
    <row r="609" spans="2:83" x14ac:dyDescent="0.3">
      <c r="B609" s="182">
        <v>3713</v>
      </c>
      <c r="C609" s="182">
        <v>1962</v>
      </c>
      <c r="D609" s="182" t="s">
        <v>78</v>
      </c>
      <c r="E609" s="181" t="s">
        <v>4265</v>
      </c>
      <c r="F609" s="182"/>
      <c r="G609" s="182">
        <v>1920</v>
      </c>
      <c r="H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2"/>
      <c r="X609" s="182"/>
      <c r="Y609" s="182"/>
      <c r="Z609" s="182"/>
      <c r="AA609" s="182"/>
      <c r="AB609" s="182"/>
      <c r="AC609" s="182"/>
      <c r="AD609" s="182"/>
      <c r="AE609" s="182"/>
      <c r="AF609" s="182"/>
      <c r="AG609" s="182"/>
      <c r="AH609" s="182"/>
      <c r="AI609" s="182"/>
      <c r="AJ609" s="182"/>
      <c r="AK609" s="182"/>
      <c r="AL609" s="182"/>
      <c r="AM609" s="182"/>
      <c r="AN609" s="182"/>
      <c r="AO609" s="182"/>
      <c r="AP609" s="182"/>
      <c r="AQ609" s="185">
        <v>1920</v>
      </c>
      <c r="AR609" s="182">
        <v>1713.95</v>
      </c>
      <c r="AS609" s="182">
        <v>206.05</v>
      </c>
      <c r="AT609" s="182"/>
      <c r="AU609" s="182"/>
      <c r="AV609" s="182"/>
      <c r="AW609" s="182"/>
      <c r="AX609" s="182"/>
      <c r="AY609" s="182"/>
      <c r="AZ609" s="182"/>
      <c r="BA609" s="182"/>
      <c r="BB609" s="182"/>
      <c r="BC609" s="182"/>
      <c r="BD609" s="182"/>
      <c r="BE609" s="182"/>
      <c r="BF609" s="182"/>
      <c r="BG609" s="182"/>
      <c r="BH609" s="182"/>
      <c r="BI609" s="182"/>
      <c r="BJ609" s="182"/>
      <c r="BK609" s="182"/>
      <c r="BL609" s="182"/>
      <c r="BM609" s="182"/>
      <c r="BN609" s="182"/>
      <c r="BO609" s="182"/>
      <c r="BP609" s="182"/>
      <c r="BQ609" s="182"/>
      <c r="BR609" s="182"/>
      <c r="BS609" s="182"/>
      <c r="BT609" s="182"/>
      <c r="BU609" s="182"/>
      <c r="BV609" s="182"/>
      <c r="BW609" s="182"/>
      <c r="BX609" s="182"/>
      <c r="BY609" s="182"/>
      <c r="BZ609" s="182"/>
      <c r="CA609" s="182"/>
      <c r="CB609" s="185">
        <v>1920</v>
      </c>
      <c r="CC609" s="185">
        <v>0</v>
      </c>
      <c r="CD609" s="185">
        <v>1962</v>
      </c>
      <c r="CE609" s="185"/>
    </row>
    <row r="610" spans="2:83" x14ac:dyDescent="0.3">
      <c r="B610" s="182">
        <v>3788</v>
      </c>
      <c r="C610" s="182">
        <v>1963</v>
      </c>
      <c r="D610" s="182" t="s">
        <v>78</v>
      </c>
      <c r="E610" s="181" t="s">
        <v>4266</v>
      </c>
      <c r="F610" s="182"/>
      <c r="G610" s="182">
        <v>2700</v>
      </c>
      <c r="H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2"/>
      <c r="X610" s="182"/>
      <c r="Y610" s="182"/>
      <c r="Z610" s="182"/>
      <c r="AA610" s="182"/>
      <c r="AB610" s="182"/>
      <c r="AC610" s="182"/>
      <c r="AD610" s="182"/>
      <c r="AE610" s="182"/>
      <c r="AF610" s="182"/>
      <c r="AG610" s="182"/>
      <c r="AH610" s="182"/>
      <c r="AI610" s="182"/>
      <c r="AJ610" s="182"/>
      <c r="AK610" s="182"/>
      <c r="AL610" s="182"/>
      <c r="AM610" s="182"/>
      <c r="AN610" s="182"/>
      <c r="AO610" s="182"/>
      <c r="AP610" s="182"/>
      <c r="AQ610" s="185">
        <v>2700</v>
      </c>
      <c r="AR610" s="182">
        <v>2410.1</v>
      </c>
      <c r="AS610" s="182">
        <v>289.89999999999998</v>
      </c>
      <c r="AT610" s="182"/>
      <c r="AU610" s="182"/>
      <c r="AV610" s="182"/>
      <c r="AW610" s="182"/>
      <c r="AX610" s="182"/>
      <c r="AY610" s="182"/>
      <c r="AZ610" s="182"/>
      <c r="BA610" s="182"/>
      <c r="BB610" s="182"/>
      <c r="BC610" s="182"/>
      <c r="BD610" s="182"/>
      <c r="BE610" s="182"/>
      <c r="BF610" s="182"/>
      <c r="BG610" s="182"/>
      <c r="BH610" s="182"/>
      <c r="BI610" s="182"/>
      <c r="BJ610" s="182"/>
      <c r="BK610" s="182"/>
      <c r="BL610" s="182"/>
      <c r="BM610" s="182"/>
      <c r="BN610" s="182"/>
      <c r="BO610" s="182"/>
      <c r="BP610" s="182"/>
      <c r="BQ610" s="182"/>
      <c r="BR610" s="182"/>
      <c r="BS610" s="182"/>
      <c r="BT610" s="182"/>
      <c r="BU610" s="182"/>
      <c r="BV610" s="182"/>
      <c r="BW610" s="182"/>
      <c r="BX610" s="182"/>
      <c r="BY610" s="182"/>
      <c r="BZ610" s="182"/>
      <c r="CA610" s="182"/>
      <c r="CB610" s="185">
        <v>2700</v>
      </c>
      <c r="CC610" s="185">
        <v>0</v>
      </c>
      <c r="CD610" s="185">
        <v>1963</v>
      </c>
      <c r="CE610" s="185"/>
    </row>
    <row r="611" spans="2:83" x14ac:dyDescent="0.3">
      <c r="B611" s="182">
        <v>3787</v>
      </c>
      <c r="C611" s="182">
        <v>1964</v>
      </c>
      <c r="D611" s="182" t="s">
        <v>78</v>
      </c>
      <c r="E611" s="181" t="s">
        <v>4266</v>
      </c>
      <c r="F611" s="182"/>
      <c r="G611" s="182">
        <v>13720.14</v>
      </c>
      <c r="H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2"/>
      <c r="X611" s="182"/>
      <c r="Y611" s="182"/>
      <c r="Z611" s="182"/>
      <c r="AA611" s="182"/>
      <c r="AB611" s="182"/>
      <c r="AC611" s="182"/>
      <c r="AD611" s="182"/>
      <c r="AE611" s="182"/>
      <c r="AF611" s="182"/>
      <c r="AG611" s="182"/>
      <c r="AH611" s="182"/>
      <c r="AI611" s="182"/>
      <c r="AJ611" s="182"/>
      <c r="AK611" s="182"/>
      <c r="AL611" s="182"/>
      <c r="AM611" s="182"/>
      <c r="AN611" s="182"/>
      <c r="AO611" s="182"/>
      <c r="AP611" s="182"/>
      <c r="AQ611" s="185">
        <v>13720.14</v>
      </c>
      <c r="AR611" s="182">
        <v>10400.57</v>
      </c>
      <c r="AS611" s="182">
        <v>993.85</v>
      </c>
      <c r="AT611" s="182">
        <v>2325.7199999999998</v>
      </c>
      <c r="AU611" s="182"/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182"/>
      <c r="BK611" s="182"/>
      <c r="BL611" s="182"/>
      <c r="BM611" s="182"/>
      <c r="BN611" s="182"/>
      <c r="BO611" s="182"/>
      <c r="BP611" s="182"/>
      <c r="BQ611" s="182"/>
      <c r="BR611" s="182"/>
      <c r="BS611" s="182"/>
      <c r="BT611" s="182"/>
      <c r="BU611" s="182"/>
      <c r="BV611" s="182"/>
      <c r="BW611" s="182"/>
      <c r="BX611" s="182"/>
      <c r="BY611" s="182"/>
      <c r="BZ611" s="182"/>
      <c r="CA611" s="182"/>
      <c r="CB611" s="185">
        <v>13720.14</v>
      </c>
      <c r="CC611" s="185">
        <v>0</v>
      </c>
      <c r="CD611" s="185">
        <v>1964</v>
      </c>
      <c r="CE611" s="185"/>
    </row>
    <row r="612" spans="2:83" x14ac:dyDescent="0.3">
      <c r="B612" s="182">
        <v>3786</v>
      </c>
      <c r="C612" s="182">
        <v>1965</v>
      </c>
      <c r="D612" s="182" t="s">
        <v>78</v>
      </c>
      <c r="E612" s="181" t="s">
        <v>4267</v>
      </c>
      <c r="F612" s="182"/>
      <c r="G612" s="182">
        <v>938</v>
      </c>
      <c r="H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2"/>
      <c r="X612" s="182"/>
      <c r="Y612" s="182"/>
      <c r="Z612" s="182"/>
      <c r="AA612" s="182"/>
      <c r="AB612" s="182"/>
      <c r="AC612" s="182"/>
      <c r="AD612" s="182"/>
      <c r="AE612" s="182"/>
      <c r="AF612" s="182"/>
      <c r="AG612" s="182"/>
      <c r="AH612" s="182"/>
      <c r="AI612" s="182"/>
      <c r="AJ612" s="182"/>
      <c r="AK612" s="182"/>
      <c r="AL612" s="182"/>
      <c r="AM612" s="182"/>
      <c r="AN612" s="182"/>
      <c r="AO612" s="182"/>
      <c r="AP612" s="182"/>
      <c r="AQ612" s="185">
        <v>938</v>
      </c>
      <c r="AR612" s="182">
        <v>627.35</v>
      </c>
      <c r="AS612" s="182">
        <v>84.65</v>
      </c>
      <c r="AT612" s="182">
        <v>226</v>
      </c>
      <c r="AU612" s="182"/>
      <c r="AV612" s="182"/>
      <c r="AW612" s="182"/>
      <c r="AX612" s="182"/>
      <c r="AY612" s="182"/>
      <c r="AZ612" s="182"/>
      <c r="BA612" s="182"/>
      <c r="BB612" s="182"/>
      <c r="BC612" s="182"/>
      <c r="BD612" s="182"/>
      <c r="BE612" s="182"/>
      <c r="BF612" s="182"/>
      <c r="BG612" s="182"/>
      <c r="BH612" s="182"/>
      <c r="BI612" s="182"/>
      <c r="BJ612" s="182"/>
      <c r="BK612" s="182"/>
      <c r="BL612" s="182"/>
      <c r="BM612" s="182"/>
      <c r="BN612" s="182"/>
      <c r="BO612" s="182"/>
      <c r="BP612" s="182"/>
      <c r="BQ612" s="182"/>
      <c r="BR612" s="182"/>
      <c r="BS612" s="182"/>
      <c r="BT612" s="182"/>
      <c r="BU612" s="182"/>
      <c r="BV612" s="182"/>
      <c r="BW612" s="182"/>
      <c r="BX612" s="182"/>
      <c r="BY612" s="182"/>
      <c r="BZ612" s="182"/>
      <c r="CA612" s="182"/>
      <c r="CB612" s="185">
        <v>938</v>
      </c>
      <c r="CC612" s="185">
        <v>0</v>
      </c>
      <c r="CD612" s="185">
        <v>1965</v>
      </c>
      <c r="CE612" s="185"/>
    </row>
    <row r="613" spans="2:83" x14ac:dyDescent="0.3">
      <c r="B613" s="182">
        <v>3785</v>
      </c>
      <c r="C613" s="182">
        <v>1966</v>
      </c>
      <c r="D613" s="182" t="s">
        <v>78</v>
      </c>
      <c r="E613" s="181" t="s">
        <v>4267</v>
      </c>
      <c r="F613" s="182"/>
      <c r="G613" s="182">
        <v>600</v>
      </c>
      <c r="H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2"/>
      <c r="X613" s="182"/>
      <c r="Y613" s="182"/>
      <c r="Z613" s="182"/>
      <c r="AA613" s="182"/>
      <c r="AB613" s="182"/>
      <c r="AC613" s="182"/>
      <c r="AD613" s="182"/>
      <c r="AE613" s="182"/>
      <c r="AF613" s="182"/>
      <c r="AG613" s="182"/>
      <c r="AH613" s="182"/>
      <c r="AI613" s="182"/>
      <c r="AJ613" s="182"/>
      <c r="AK613" s="182"/>
      <c r="AL613" s="182"/>
      <c r="AM613" s="182"/>
      <c r="AN613" s="182"/>
      <c r="AO613" s="182"/>
      <c r="AP613" s="182"/>
      <c r="AQ613" s="185">
        <v>600</v>
      </c>
      <c r="AR613" s="182">
        <v>536.53</v>
      </c>
      <c r="AS613" s="182">
        <v>63.47</v>
      </c>
      <c r="AT613" s="182"/>
      <c r="AU613" s="182"/>
      <c r="AV613" s="182"/>
      <c r="AW613" s="182"/>
      <c r="AX613" s="182"/>
      <c r="AY613" s="182"/>
      <c r="AZ613" s="182"/>
      <c r="BA613" s="182"/>
      <c r="BB613" s="182"/>
      <c r="BC613" s="182"/>
      <c r="BD613" s="182"/>
      <c r="BE613" s="182"/>
      <c r="BF613" s="182"/>
      <c r="BG613" s="182"/>
      <c r="BH613" s="182"/>
      <c r="BI613" s="182"/>
      <c r="BJ613" s="182"/>
      <c r="BK613" s="182"/>
      <c r="BL613" s="182"/>
      <c r="BM613" s="182"/>
      <c r="BN613" s="182"/>
      <c r="BO613" s="182"/>
      <c r="BP613" s="182"/>
      <c r="BQ613" s="182"/>
      <c r="BR613" s="182"/>
      <c r="BS613" s="182"/>
      <c r="BT613" s="182"/>
      <c r="BU613" s="182"/>
      <c r="BV613" s="182"/>
      <c r="BW613" s="182"/>
      <c r="BX613" s="182"/>
      <c r="BY613" s="182"/>
      <c r="BZ613" s="182"/>
      <c r="CA613" s="182"/>
      <c r="CB613" s="185">
        <v>600</v>
      </c>
      <c r="CC613" s="185">
        <v>0</v>
      </c>
      <c r="CD613" s="185">
        <v>1966</v>
      </c>
      <c r="CE613" s="185"/>
    </row>
    <row r="614" spans="2:83" x14ac:dyDescent="0.3">
      <c r="B614" s="182">
        <v>3784</v>
      </c>
      <c r="C614" s="182">
        <v>1967</v>
      </c>
      <c r="D614" s="182" t="s">
        <v>78</v>
      </c>
      <c r="E614" s="181" t="s">
        <v>4267</v>
      </c>
      <c r="F614" s="182"/>
      <c r="G614" s="182">
        <v>1000</v>
      </c>
      <c r="H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2"/>
      <c r="X614" s="182"/>
      <c r="Y614" s="182"/>
      <c r="Z614" s="182"/>
      <c r="AA614" s="182"/>
      <c r="AB614" s="182"/>
      <c r="AC614" s="182"/>
      <c r="AD614" s="182"/>
      <c r="AE614" s="182"/>
      <c r="AF614" s="182"/>
      <c r="AG614" s="182"/>
      <c r="AH614" s="182"/>
      <c r="AI614" s="182"/>
      <c r="AJ614" s="182"/>
      <c r="AK614" s="182"/>
      <c r="AL614" s="182"/>
      <c r="AM614" s="182"/>
      <c r="AN614" s="182"/>
      <c r="AO614" s="182"/>
      <c r="AP614" s="182"/>
      <c r="AQ614" s="185">
        <v>1000</v>
      </c>
      <c r="AR614" s="182">
        <v>794.68</v>
      </c>
      <c r="AS614" s="182">
        <v>205.32</v>
      </c>
      <c r="AT614" s="182"/>
      <c r="AU614" s="182"/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/>
      <c r="BH614" s="182"/>
      <c r="BI614" s="182"/>
      <c r="BJ614" s="182"/>
      <c r="BK614" s="182"/>
      <c r="BL614" s="182"/>
      <c r="BM614" s="182"/>
      <c r="BN614" s="182"/>
      <c r="BO614" s="182"/>
      <c r="BP614" s="182"/>
      <c r="BQ614" s="182"/>
      <c r="BR614" s="182"/>
      <c r="BS614" s="182"/>
      <c r="BT614" s="182"/>
      <c r="BU614" s="182"/>
      <c r="BV614" s="182"/>
      <c r="BW614" s="182"/>
      <c r="BX614" s="182"/>
      <c r="BY614" s="182"/>
      <c r="BZ614" s="182"/>
      <c r="CA614" s="182"/>
      <c r="CB614" s="185">
        <v>1000</v>
      </c>
      <c r="CC614" s="185">
        <v>0</v>
      </c>
      <c r="CD614" s="185">
        <v>1967</v>
      </c>
      <c r="CE614" s="185"/>
    </row>
    <row r="615" spans="2:83" x14ac:dyDescent="0.3">
      <c r="B615" s="182">
        <v>3783</v>
      </c>
      <c r="C615" s="182">
        <v>1968</v>
      </c>
      <c r="D615" s="182" t="s">
        <v>78</v>
      </c>
      <c r="E615" s="181" t="s">
        <v>4268</v>
      </c>
      <c r="F615" s="182"/>
      <c r="G615" s="182">
        <v>996.62</v>
      </c>
      <c r="H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2"/>
      <c r="X615" s="182"/>
      <c r="Y615" s="182"/>
      <c r="Z615" s="182"/>
      <c r="AA615" s="182"/>
      <c r="AB615" s="182"/>
      <c r="AC615" s="182"/>
      <c r="AD615" s="182"/>
      <c r="AE615" s="182"/>
      <c r="AF615" s="182"/>
      <c r="AG615" s="182"/>
      <c r="AH615" s="182"/>
      <c r="AI615" s="182"/>
      <c r="AJ615" s="182"/>
      <c r="AK615" s="182"/>
      <c r="AL615" s="182"/>
      <c r="AM615" s="182"/>
      <c r="AN615" s="182"/>
      <c r="AO615" s="182"/>
      <c r="AP615" s="182"/>
      <c r="AQ615" s="185">
        <v>996.62</v>
      </c>
      <c r="AR615" s="182">
        <v>666.55</v>
      </c>
      <c r="AS615" s="182">
        <v>89.95</v>
      </c>
      <c r="AT615" s="182">
        <v>240.12</v>
      </c>
      <c r="AU615" s="182"/>
      <c r="AV615" s="182"/>
      <c r="AW615" s="182"/>
      <c r="AX615" s="182"/>
      <c r="AY615" s="182"/>
      <c r="AZ615" s="182"/>
      <c r="BA615" s="182"/>
      <c r="BB615" s="182"/>
      <c r="BC615" s="182"/>
      <c r="BD615" s="182"/>
      <c r="BE615" s="182"/>
      <c r="BF615" s="182"/>
      <c r="BG615" s="182"/>
      <c r="BH615" s="182"/>
      <c r="BI615" s="182"/>
      <c r="BJ615" s="182"/>
      <c r="BK615" s="182"/>
      <c r="BL615" s="182"/>
      <c r="BM615" s="182"/>
      <c r="BN615" s="182"/>
      <c r="BO615" s="182"/>
      <c r="BP615" s="182"/>
      <c r="BQ615" s="182"/>
      <c r="BR615" s="182"/>
      <c r="BS615" s="182"/>
      <c r="BT615" s="182"/>
      <c r="BU615" s="182"/>
      <c r="BV615" s="182"/>
      <c r="BW615" s="182"/>
      <c r="BX615" s="182"/>
      <c r="BY615" s="182"/>
      <c r="BZ615" s="182"/>
      <c r="CA615" s="182"/>
      <c r="CB615" s="185">
        <v>996.62</v>
      </c>
      <c r="CC615" s="185">
        <v>0</v>
      </c>
      <c r="CD615" s="185">
        <v>1968</v>
      </c>
      <c r="CE615" s="185"/>
    </row>
    <row r="616" spans="2:83" x14ac:dyDescent="0.3">
      <c r="B616" s="182">
        <v>3782</v>
      </c>
      <c r="C616" s="182">
        <v>1969</v>
      </c>
      <c r="D616" s="182" t="s">
        <v>78</v>
      </c>
      <c r="E616" s="181" t="s">
        <v>4268</v>
      </c>
      <c r="F616" s="182"/>
      <c r="G616" s="182">
        <v>850</v>
      </c>
      <c r="H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2"/>
      <c r="X616" s="182"/>
      <c r="Y616" s="182"/>
      <c r="Z616" s="182"/>
      <c r="AA616" s="182"/>
      <c r="AB616" s="182"/>
      <c r="AC616" s="182"/>
      <c r="AD616" s="182"/>
      <c r="AE616" s="182"/>
      <c r="AF616" s="182"/>
      <c r="AG616" s="182"/>
      <c r="AH616" s="182"/>
      <c r="AI616" s="182"/>
      <c r="AJ616" s="182"/>
      <c r="AK616" s="182"/>
      <c r="AL616" s="182"/>
      <c r="AM616" s="182"/>
      <c r="AN616" s="182"/>
      <c r="AO616" s="182"/>
      <c r="AP616" s="182"/>
      <c r="AQ616" s="185">
        <v>850</v>
      </c>
      <c r="AR616" s="182">
        <v>759.4</v>
      </c>
      <c r="AS616" s="182">
        <v>90.6</v>
      </c>
      <c r="AT616" s="182"/>
      <c r="AU616" s="182"/>
      <c r="AV616" s="182"/>
      <c r="AW616" s="182"/>
      <c r="AX616" s="182"/>
      <c r="AY616" s="182"/>
      <c r="AZ616" s="182"/>
      <c r="BA616" s="182"/>
      <c r="BB616" s="182"/>
      <c r="BC616" s="182"/>
      <c r="BD616" s="182"/>
      <c r="BE616" s="182"/>
      <c r="BF616" s="182"/>
      <c r="BG616" s="182"/>
      <c r="BH616" s="182"/>
      <c r="BI616" s="182"/>
      <c r="BJ616" s="182"/>
      <c r="BK616" s="182"/>
      <c r="BL616" s="182"/>
      <c r="BM616" s="182"/>
      <c r="BN616" s="182"/>
      <c r="BO616" s="182"/>
      <c r="BP616" s="182"/>
      <c r="BQ616" s="182"/>
      <c r="BR616" s="182"/>
      <c r="BS616" s="182"/>
      <c r="BT616" s="182"/>
      <c r="BU616" s="182"/>
      <c r="BV616" s="182"/>
      <c r="BW616" s="182"/>
      <c r="BX616" s="182"/>
      <c r="BY616" s="182"/>
      <c r="BZ616" s="182"/>
      <c r="CA616" s="182"/>
      <c r="CB616" s="185">
        <v>850</v>
      </c>
      <c r="CC616" s="185">
        <v>0</v>
      </c>
      <c r="CD616" s="185">
        <v>1969</v>
      </c>
      <c r="CE616" s="185"/>
    </row>
    <row r="617" spans="2:83" x14ac:dyDescent="0.3">
      <c r="B617" s="182">
        <v>3781</v>
      </c>
      <c r="C617" s="182">
        <v>1970</v>
      </c>
      <c r="D617" s="182" t="s">
        <v>78</v>
      </c>
      <c r="E617" s="181" t="s">
        <v>4268</v>
      </c>
      <c r="F617" s="182"/>
      <c r="G617" s="182">
        <v>1407</v>
      </c>
      <c r="H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2"/>
      <c r="X617" s="182"/>
      <c r="Y617" s="182"/>
      <c r="Z617" s="182"/>
      <c r="AA617" s="182"/>
      <c r="AB617" s="182"/>
      <c r="AC617" s="182"/>
      <c r="AD617" s="182"/>
      <c r="AE617" s="182"/>
      <c r="AF617" s="182"/>
      <c r="AG617" s="182"/>
      <c r="AH617" s="182"/>
      <c r="AI617" s="182"/>
      <c r="AJ617" s="182"/>
      <c r="AK617" s="182"/>
      <c r="AL617" s="182"/>
      <c r="AM617" s="182"/>
      <c r="AN617" s="182"/>
      <c r="AO617" s="182"/>
      <c r="AP617" s="182"/>
      <c r="AQ617" s="185">
        <v>1407</v>
      </c>
      <c r="AR617" s="182">
        <v>940.35</v>
      </c>
      <c r="AS617" s="182">
        <v>127.65</v>
      </c>
      <c r="AT617" s="182">
        <v>339</v>
      </c>
      <c r="AU617" s="182"/>
      <c r="AV617" s="182"/>
      <c r="AW617" s="182"/>
      <c r="AX617" s="182"/>
      <c r="AY617" s="182"/>
      <c r="AZ617" s="182"/>
      <c r="BA617" s="182"/>
      <c r="BB617" s="182"/>
      <c r="BC617" s="182"/>
      <c r="BD617" s="182"/>
      <c r="BE617" s="182"/>
      <c r="BF617" s="182"/>
      <c r="BG617" s="182"/>
      <c r="BH617" s="182"/>
      <c r="BI617" s="182"/>
      <c r="BJ617" s="182"/>
      <c r="BK617" s="182"/>
      <c r="BL617" s="182"/>
      <c r="BM617" s="182"/>
      <c r="BN617" s="182"/>
      <c r="BO617" s="182"/>
      <c r="BP617" s="182"/>
      <c r="BQ617" s="182"/>
      <c r="BR617" s="182"/>
      <c r="BS617" s="182"/>
      <c r="BT617" s="182"/>
      <c r="BU617" s="182"/>
      <c r="BV617" s="182"/>
      <c r="BW617" s="182"/>
      <c r="BX617" s="182"/>
      <c r="BY617" s="182"/>
      <c r="BZ617" s="182"/>
      <c r="CA617" s="182"/>
      <c r="CB617" s="185">
        <v>1407</v>
      </c>
      <c r="CC617" s="185">
        <v>0</v>
      </c>
      <c r="CD617" s="185">
        <v>1970</v>
      </c>
      <c r="CE617" s="185"/>
    </row>
    <row r="618" spans="2:83" x14ac:dyDescent="0.3">
      <c r="B618" s="182">
        <v>3780</v>
      </c>
      <c r="C618" s="182">
        <v>1971</v>
      </c>
      <c r="D618" s="182" t="s">
        <v>78</v>
      </c>
      <c r="E618" s="181" t="s">
        <v>4268</v>
      </c>
      <c r="F618" s="182"/>
      <c r="G618" s="182">
        <v>19815.2</v>
      </c>
      <c r="H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2"/>
      <c r="X618" s="182"/>
      <c r="Y618" s="182"/>
      <c r="Z618" s="182"/>
      <c r="AA618" s="182"/>
      <c r="AB618" s="182"/>
      <c r="AC618" s="182"/>
      <c r="AD618" s="182"/>
      <c r="AE618" s="182"/>
      <c r="AF618" s="182"/>
      <c r="AG618" s="182"/>
      <c r="AH618" s="182"/>
      <c r="AI618" s="182"/>
      <c r="AJ618" s="182"/>
      <c r="AK618" s="182"/>
      <c r="AL618" s="182"/>
      <c r="AM618" s="182"/>
      <c r="AN618" s="182"/>
      <c r="AO618" s="182"/>
      <c r="AP618" s="182"/>
      <c r="AQ618" s="185">
        <v>19815.2</v>
      </c>
      <c r="AR618" s="182">
        <v>13247.95</v>
      </c>
      <c r="AS618" s="182">
        <v>1793.05</v>
      </c>
      <c r="AT618" s="182">
        <v>4774.2</v>
      </c>
      <c r="AU618" s="182"/>
      <c r="AV618" s="182"/>
      <c r="AW618" s="182"/>
      <c r="AX618" s="182"/>
      <c r="AY618" s="182"/>
      <c r="AZ618" s="182"/>
      <c r="BA618" s="182"/>
      <c r="BB618" s="182"/>
      <c r="BC618" s="182"/>
      <c r="BD618" s="182"/>
      <c r="BE618" s="182"/>
      <c r="BF618" s="182"/>
      <c r="BG618" s="182"/>
      <c r="BH618" s="182"/>
      <c r="BI618" s="182"/>
      <c r="BJ618" s="182"/>
      <c r="BK618" s="182"/>
      <c r="BL618" s="182"/>
      <c r="BM618" s="182"/>
      <c r="BN618" s="182"/>
      <c r="BO618" s="182"/>
      <c r="BP618" s="182"/>
      <c r="BQ618" s="182"/>
      <c r="BR618" s="182"/>
      <c r="BS618" s="182"/>
      <c r="BT618" s="182"/>
      <c r="BU618" s="182"/>
      <c r="BV618" s="182"/>
      <c r="BW618" s="182"/>
      <c r="BX618" s="182"/>
      <c r="BY618" s="182"/>
      <c r="BZ618" s="182"/>
      <c r="CA618" s="182"/>
      <c r="CB618" s="185">
        <v>19815.2</v>
      </c>
      <c r="CC618" s="185">
        <v>0</v>
      </c>
      <c r="CD618" s="185">
        <v>1971</v>
      </c>
      <c r="CE618" s="185"/>
    </row>
    <row r="619" spans="2:83" x14ac:dyDescent="0.3">
      <c r="B619" s="182">
        <v>3779</v>
      </c>
      <c r="C619" s="182">
        <v>1972</v>
      </c>
      <c r="D619" s="182" t="s">
        <v>78</v>
      </c>
      <c r="E619" s="181" t="s">
        <v>4269</v>
      </c>
      <c r="F619" s="182"/>
      <c r="G619" s="182">
        <v>1289.75</v>
      </c>
      <c r="H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2"/>
      <c r="X619" s="182"/>
      <c r="Y619" s="182"/>
      <c r="Z619" s="182"/>
      <c r="AA619" s="182"/>
      <c r="AB619" s="182"/>
      <c r="AC619" s="182"/>
      <c r="AD619" s="182"/>
      <c r="AE619" s="182"/>
      <c r="AF619" s="182"/>
      <c r="AG619" s="182"/>
      <c r="AH619" s="182"/>
      <c r="AI619" s="182"/>
      <c r="AJ619" s="182"/>
      <c r="AK619" s="182"/>
      <c r="AL619" s="182"/>
      <c r="AM619" s="182"/>
      <c r="AN619" s="182"/>
      <c r="AO619" s="182"/>
      <c r="AP619" s="182"/>
      <c r="AQ619" s="185">
        <v>1289.75</v>
      </c>
      <c r="AR619" s="182">
        <v>862</v>
      </c>
      <c r="AS619" s="182">
        <v>117</v>
      </c>
      <c r="AT619" s="182">
        <v>310.75</v>
      </c>
      <c r="AU619" s="182"/>
      <c r="AV619" s="182"/>
      <c r="AW619" s="182"/>
      <c r="AX619" s="182"/>
      <c r="AY619" s="182"/>
      <c r="AZ619" s="182"/>
      <c r="BA619" s="182"/>
      <c r="BB619" s="182"/>
      <c r="BC619" s="182"/>
      <c r="BD619" s="182"/>
      <c r="BE619" s="182"/>
      <c r="BF619" s="182"/>
      <c r="BG619" s="182"/>
      <c r="BH619" s="182"/>
      <c r="BI619" s="182"/>
      <c r="BJ619" s="182"/>
      <c r="BK619" s="182"/>
      <c r="BL619" s="182"/>
      <c r="BM619" s="182"/>
      <c r="BN619" s="182"/>
      <c r="BO619" s="182"/>
      <c r="BP619" s="182"/>
      <c r="BQ619" s="182"/>
      <c r="BR619" s="182"/>
      <c r="BS619" s="182"/>
      <c r="BT619" s="182"/>
      <c r="BU619" s="182"/>
      <c r="BV619" s="182"/>
      <c r="BW619" s="182"/>
      <c r="BX619" s="182"/>
      <c r="BY619" s="182"/>
      <c r="BZ619" s="182"/>
      <c r="CA619" s="182"/>
      <c r="CB619" s="185">
        <v>1289.75</v>
      </c>
      <c r="CC619" s="185">
        <v>0</v>
      </c>
      <c r="CD619" s="185">
        <v>1972</v>
      </c>
      <c r="CE619" s="185"/>
    </row>
    <row r="620" spans="2:83" x14ac:dyDescent="0.3">
      <c r="B620" s="182">
        <v>3777</v>
      </c>
      <c r="C620" s="182">
        <v>1973</v>
      </c>
      <c r="D620" s="182" t="s">
        <v>78</v>
      </c>
      <c r="E620" s="181" t="s">
        <v>4258</v>
      </c>
      <c r="F620" s="182"/>
      <c r="G620" s="182">
        <v>1250</v>
      </c>
      <c r="H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2"/>
      <c r="X620" s="182"/>
      <c r="Y620" s="182"/>
      <c r="Z620" s="182"/>
      <c r="AA620" s="182"/>
      <c r="AB620" s="182"/>
      <c r="AC620" s="182"/>
      <c r="AD620" s="182"/>
      <c r="AE620" s="182"/>
      <c r="AF620" s="182"/>
      <c r="AG620" s="182"/>
      <c r="AH620" s="182"/>
      <c r="AI620" s="182"/>
      <c r="AJ620" s="182"/>
      <c r="AK620" s="182"/>
      <c r="AL620" s="182"/>
      <c r="AM620" s="182"/>
      <c r="AN620" s="182"/>
      <c r="AO620" s="182"/>
      <c r="AP620" s="182"/>
      <c r="AQ620" s="185">
        <v>1250</v>
      </c>
      <c r="AR620" s="182">
        <v>1116</v>
      </c>
      <c r="AS620" s="182">
        <v>134</v>
      </c>
      <c r="AT620" s="182"/>
      <c r="AU620" s="182"/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182"/>
      <c r="BK620" s="182"/>
      <c r="BL620" s="182"/>
      <c r="BM620" s="182"/>
      <c r="BN620" s="182"/>
      <c r="BO620" s="182"/>
      <c r="BP620" s="182"/>
      <c r="BQ620" s="182"/>
      <c r="BR620" s="182"/>
      <c r="BS620" s="182"/>
      <c r="BT620" s="182"/>
      <c r="BU620" s="182"/>
      <c r="BV620" s="182"/>
      <c r="BW620" s="182"/>
      <c r="BX620" s="182"/>
      <c r="BY620" s="182"/>
      <c r="BZ620" s="182"/>
      <c r="CA620" s="182"/>
      <c r="CB620" s="185">
        <v>1250</v>
      </c>
      <c r="CC620" s="185">
        <v>0</v>
      </c>
      <c r="CD620" s="185">
        <v>1973</v>
      </c>
      <c r="CE620" s="185"/>
    </row>
    <row r="621" spans="2:83" x14ac:dyDescent="0.3">
      <c r="B621" s="182">
        <v>3677</v>
      </c>
      <c r="C621" s="182">
        <v>1974</v>
      </c>
      <c r="D621" s="182" t="s">
        <v>78</v>
      </c>
      <c r="E621" s="181" t="s">
        <v>3381</v>
      </c>
      <c r="F621" s="182"/>
      <c r="G621" s="182">
        <v>703.5</v>
      </c>
      <c r="H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2"/>
      <c r="X621" s="182"/>
      <c r="Y621" s="182"/>
      <c r="Z621" s="182"/>
      <c r="AA621" s="182"/>
      <c r="AB621" s="182"/>
      <c r="AC621" s="182"/>
      <c r="AD621" s="182"/>
      <c r="AE621" s="182"/>
      <c r="AF621" s="182"/>
      <c r="AG621" s="182"/>
      <c r="AH621" s="182"/>
      <c r="AI621" s="182"/>
      <c r="AJ621" s="182"/>
      <c r="AK621" s="182"/>
      <c r="AL621" s="182"/>
      <c r="AM621" s="182"/>
      <c r="AN621" s="182"/>
      <c r="AO621" s="182"/>
      <c r="AP621" s="182"/>
      <c r="AQ621" s="185">
        <v>703.5</v>
      </c>
      <c r="AR621" s="182">
        <v>470.6</v>
      </c>
      <c r="AS621" s="182">
        <v>63.4</v>
      </c>
      <c r="AT621" s="182">
        <v>169.5</v>
      </c>
      <c r="AU621" s="182"/>
      <c r="AV621" s="182"/>
      <c r="AW621" s="182"/>
      <c r="AX621" s="182"/>
      <c r="AY621" s="182"/>
      <c r="AZ621" s="182"/>
      <c r="BA621" s="182"/>
      <c r="BB621" s="182"/>
      <c r="BC621" s="182"/>
      <c r="BD621" s="182"/>
      <c r="BE621" s="182"/>
      <c r="BF621" s="182"/>
      <c r="BG621" s="182"/>
      <c r="BH621" s="182"/>
      <c r="BI621" s="182"/>
      <c r="BJ621" s="182"/>
      <c r="BK621" s="182"/>
      <c r="BL621" s="182"/>
      <c r="BM621" s="182"/>
      <c r="BN621" s="182"/>
      <c r="BO621" s="182"/>
      <c r="BP621" s="182"/>
      <c r="BQ621" s="182"/>
      <c r="BR621" s="182"/>
      <c r="BS621" s="182"/>
      <c r="BT621" s="182"/>
      <c r="BU621" s="182"/>
      <c r="BV621" s="182"/>
      <c r="BW621" s="182"/>
      <c r="BX621" s="182"/>
      <c r="BY621" s="182"/>
      <c r="BZ621" s="182"/>
      <c r="CA621" s="182"/>
      <c r="CB621" s="185">
        <v>703.5</v>
      </c>
      <c r="CC621" s="185">
        <v>0</v>
      </c>
      <c r="CD621" s="185">
        <v>1974</v>
      </c>
      <c r="CE621" s="185"/>
    </row>
    <row r="622" spans="2:83" x14ac:dyDescent="0.3">
      <c r="B622" s="182">
        <v>3678</v>
      </c>
      <c r="C622" s="182">
        <v>1975</v>
      </c>
      <c r="D622" s="182" t="s">
        <v>78</v>
      </c>
      <c r="E622" s="181" t="s">
        <v>4270</v>
      </c>
      <c r="F622" s="182"/>
      <c r="G622" s="182">
        <v>586.25</v>
      </c>
      <c r="H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2"/>
      <c r="X622" s="182"/>
      <c r="Y622" s="182"/>
      <c r="Z622" s="182"/>
      <c r="AA622" s="182"/>
      <c r="AB622" s="182"/>
      <c r="AC622" s="182"/>
      <c r="AD622" s="182"/>
      <c r="AE622" s="182"/>
      <c r="AF622" s="182"/>
      <c r="AG622" s="182"/>
      <c r="AH622" s="182"/>
      <c r="AI622" s="182"/>
      <c r="AJ622" s="182"/>
      <c r="AK622" s="182"/>
      <c r="AL622" s="182"/>
      <c r="AM622" s="182"/>
      <c r="AN622" s="182"/>
      <c r="AO622" s="182"/>
      <c r="AP622" s="182"/>
      <c r="AQ622" s="185">
        <v>586.25</v>
      </c>
      <c r="AR622" s="182">
        <v>391.85</v>
      </c>
      <c r="AS622" s="182">
        <v>53.15</v>
      </c>
      <c r="AT622" s="182">
        <v>141.25</v>
      </c>
      <c r="AU622" s="182"/>
      <c r="AV622" s="182"/>
      <c r="AW622" s="182"/>
      <c r="AX622" s="182"/>
      <c r="AY622" s="182"/>
      <c r="AZ622" s="182"/>
      <c r="BA622" s="182"/>
      <c r="BB622" s="182"/>
      <c r="BC622" s="182"/>
      <c r="BD622" s="182"/>
      <c r="BE622" s="182"/>
      <c r="BF622" s="182"/>
      <c r="BG622" s="182"/>
      <c r="BH622" s="182"/>
      <c r="BI622" s="182"/>
      <c r="BJ622" s="182"/>
      <c r="BK622" s="182"/>
      <c r="BL622" s="182"/>
      <c r="BM622" s="182"/>
      <c r="BN622" s="182"/>
      <c r="BO622" s="182"/>
      <c r="BP622" s="182"/>
      <c r="BQ622" s="182"/>
      <c r="BR622" s="182"/>
      <c r="BS622" s="182"/>
      <c r="BT622" s="182"/>
      <c r="BU622" s="182"/>
      <c r="BV622" s="182"/>
      <c r="BW622" s="182"/>
      <c r="BX622" s="182"/>
      <c r="BY622" s="182"/>
      <c r="BZ622" s="182"/>
      <c r="CA622" s="182"/>
      <c r="CB622" s="185">
        <v>586.25</v>
      </c>
      <c r="CC622" s="185">
        <v>0</v>
      </c>
      <c r="CD622" s="185">
        <v>1975</v>
      </c>
      <c r="CE622" s="185"/>
    </row>
    <row r="623" spans="2:83" x14ac:dyDescent="0.3">
      <c r="B623" s="182">
        <v>3679</v>
      </c>
      <c r="C623" s="182">
        <v>1976</v>
      </c>
      <c r="D623" s="182" t="s">
        <v>78</v>
      </c>
      <c r="E623" s="181" t="s">
        <v>4270</v>
      </c>
      <c r="F623" s="182"/>
      <c r="G623" s="182">
        <v>586.25</v>
      </c>
      <c r="H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2"/>
      <c r="X623" s="182"/>
      <c r="Y623" s="182"/>
      <c r="Z623" s="182"/>
      <c r="AA623" s="182"/>
      <c r="AB623" s="182"/>
      <c r="AC623" s="182"/>
      <c r="AD623" s="182"/>
      <c r="AE623" s="182"/>
      <c r="AF623" s="182"/>
      <c r="AG623" s="182"/>
      <c r="AH623" s="182"/>
      <c r="AI623" s="182"/>
      <c r="AJ623" s="182"/>
      <c r="AK623" s="182"/>
      <c r="AL623" s="182"/>
      <c r="AM623" s="182"/>
      <c r="AN623" s="182"/>
      <c r="AO623" s="182"/>
      <c r="AP623" s="182"/>
      <c r="AQ623" s="185">
        <v>586.25</v>
      </c>
      <c r="AR623" s="182">
        <v>392.4</v>
      </c>
      <c r="AS623" s="182">
        <v>52.6</v>
      </c>
      <c r="AT623" s="182">
        <v>141.25</v>
      </c>
      <c r="AU623" s="182"/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182"/>
      <c r="BK623" s="182"/>
      <c r="BL623" s="182"/>
      <c r="BM623" s="182"/>
      <c r="BN623" s="182"/>
      <c r="BO623" s="182"/>
      <c r="BP623" s="182"/>
      <c r="BQ623" s="182"/>
      <c r="BR623" s="182"/>
      <c r="BS623" s="182"/>
      <c r="BT623" s="182"/>
      <c r="BU623" s="182"/>
      <c r="BV623" s="182"/>
      <c r="BW623" s="182"/>
      <c r="BX623" s="182"/>
      <c r="BY623" s="182"/>
      <c r="BZ623" s="182"/>
      <c r="CA623" s="182"/>
      <c r="CB623" s="185">
        <v>586.25</v>
      </c>
      <c r="CC623" s="185">
        <v>0</v>
      </c>
      <c r="CD623" s="185">
        <v>1976</v>
      </c>
      <c r="CE623" s="185"/>
    </row>
    <row r="624" spans="2:83" x14ac:dyDescent="0.3">
      <c r="B624" s="182">
        <v>3680</v>
      </c>
      <c r="C624" s="182">
        <v>1977</v>
      </c>
      <c r="D624" s="182" t="s">
        <v>78</v>
      </c>
      <c r="E624" s="181" t="s">
        <v>4270</v>
      </c>
      <c r="F624" s="182"/>
      <c r="G624" s="182">
        <v>2829.38</v>
      </c>
      <c r="H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2"/>
      <c r="X624" s="182"/>
      <c r="Y624" s="182"/>
      <c r="Z624" s="182"/>
      <c r="AA624" s="182"/>
      <c r="AB624" s="182"/>
      <c r="AC624" s="182"/>
      <c r="AD624" s="182"/>
      <c r="AE624" s="182"/>
      <c r="AF624" s="182"/>
      <c r="AG624" s="182"/>
      <c r="AH624" s="182"/>
      <c r="AI624" s="182"/>
      <c r="AJ624" s="182"/>
      <c r="AK624" s="182"/>
      <c r="AL624" s="182"/>
      <c r="AM624" s="182"/>
      <c r="AN624" s="182"/>
      <c r="AO624" s="182"/>
      <c r="AP624" s="182"/>
      <c r="AQ624" s="185">
        <v>2829.38</v>
      </c>
      <c r="AR624" s="182">
        <v>2330.5500000000002</v>
      </c>
      <c r="AS624" s="182">
        <v>286.95</v>
      </c>
      <c r="AT624" s="182">
        <v>211.88</v>
      </c>
      <c r="AU624" s="182"/>
      <c r="AV624" s="182"/>
      <c r="AW624" s="182"/>
      <c r="AX624" s="182"/>
      <c r="AY624" s="182"/>
      <c r="AZ624" s="182"/>
      <c r="BA624" s="182"/>
      <c r="BB624" s="182"/>
      <c r="BC624" s="182"/>
      <c r="BD624" s="182"/>
      <c r="BE624" s="182"/>
      <c r="BF624" s="182"/>
      <c r="BG624" s="182"/>
      <c r="BH624" s="182"/>
      <c r="BI624" s="182"/>
      <c r="BJ624" s="182"/>
      <c r="BK624" s="182"/>
      <c r="BL624" s="182"/>
      <c r="BM624" s="182"/>
      <c r="BN624" s="182"/>
      <c r="BO624" s="182"/>
      <c r="BP624" s="182"/>
      <c r="BQ624" s="182"/>
      <c r="BR624" s="182"/>
      <c r="BS624" s="182"/>
      <c r="BT624" s="182"/>
      <c r="BU624" s="182"/>
      <c r="BV624" s="182"/>
      <c r="BW624" s="182"/>
      <c r="BX624" s="182"/>
      <c r="BY624" s="182"/>
      <c r="BZ624" s="182"/>
      <c r="CA624" s="182"/>
      <c r="CB624" s="185">
        <v>2829.38</v>
      </c>
      <c r="CC624" s="185">
        <v>0</v>
      </c>
      <c r="CD624" s="185">
        <v>1977</v>
      </c>
      <c r="CE624" s="185"/>
    </row>
    <row r="625" spans="2:83" x14ac:dyDescent="0.3">
      <c r="B625" s="182">
        <v>3681</v>
      </c>
      <c r="C625" s="182">
        <v>1978</v>
      </c>
      <c r="D625" s="182" t="s">
        <v>78</v>
      </c>
      <c r="E625" s="181" t="s">
        <v>3317</v>
      </c>
      <c r="F625" s="182"/>
      <c r="G625" s="182">
        <v>1055.25</v>
      </c>
      <c r="H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2"/>
      <c r="X625" s="182"/>
      <c r="Y625" s="182"/>
      <c r="Z625" s="182"/>
      <c r="AA625" s="182"/>
      <c r="AB625" s="182"/>
      <c r="AC625" s="182"/>
      <c r="AD625" s="182"/>
      <c r="AE625" s="182"/>
      <c r="AF625" s="182"/>
      <c r="AG625" s="182"/>
      <c r="AH625" s="182"/>
      <c r="AI625" s="182"/>
      <c r="AJ625" s="182"/>
      <c r="AK625" s="182"/>
      <c r="AL625" s="182"/>
      <c r="AM625" s="182"/>
      <c r="AN625" s="182"/>
      <c r="AO625" s="182"/>
      <c r="AP625" s="182"/>
      <c r="AQ625" s="185">
        <v>1055.25</v>
      </c>
      <c r="AR625" s="182">
        <v>705.7</v>
      </c>
      <c r="AS625" s="182">
        <v>95.3</v>
      </c>
      <c r="AT625" s="182">
        <v>254.25</v>
      </c>
      <c r="AU625" s="182"/>
      <c r="AV625" s="182"/>
      <c r="AW625" s="182"/>
      <c r="AX625" s="182"/>
      <c r="AY625" s="182"/>
      <c r="AZ625" s="182"/>
      <c r="BA625" s="182"/>
      <c r="BB625" s="182"/>
      <c r="BC625" s="182"/>
      <c r="BD625" s="182"/>
      <c r="BE625" s="182"/>
      <c r="BF625" s="182"/>
      <c r="BG625" s="182"/>
      <c r="BH625" s="182"/>
      <c r="BI625" s="182"/>
      <c r="BJ625" s="182"/>
      <c r="BK625" s="182"/>
      <c r="BL625" s="182"/>
      <c r="BM625" s="182"/>
      <c r="BN625" s="182"/>
      <c r="BO625" s="182"/>
      <c r="BP625" s="182"/>
      <c r="BQ625" s="182"/>
      <c r="BR625" s="182"/>
      <c r="BS625" s="182"/>
      <c r="BT625" s="182"/>
      <c r="BU625" s="182"/>
      <c r="BV625" s="182"/>
      <c r="BW625" s="182"/>
      <c r="BX625" s="182"/>
      <c r="BY625" s="182"/>
      <c r="BZ625" s="182"/>
      <c r="CA625" s="182"/>
      <c r="CB625" s="185">
        <v>1055.25</v>
      </c>
      <c r="CC625" s="185">
        <v>0</v>
      </c>
      <c r="CD625" s="185">
        <v>1978</v>
      </c>
      <c r="CE625" s="185"/>
    </row>
    <row r="626" spans="2:83" x14ac:dyDescent="0.3">
      <c r="B626" s="182">
        <v>3682</v>
      </c>
      <c r="C626" s="182">
        <v>1979</v>
      </c>
      <c r="D626" s="182" t="s">
        <v>78</v>
      </c>
      <c r="E626" s="181" t="s">
        <v>4261</v>
      </c>
      <c r="F626" s="182"/>
      <c r="G626" s="182">
        <v>900</v>
      </c>
      <c r="H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2"/>
      <c r="X626" s="182"/>
      <c r="Y626" s="182"/>
      <c r="Z626" s="182"/>
      <c r="AA626" s="182"/>
      <c r="AB626" s="182"/>
      <c r="AC626" s="182"/>
      <c r="AD626" s="182"/>
      <c r="AE626" s="182"/>
      <c r="AF626" s="182"/>
      <c r="AG626" s="182"/>
      <c r="AH626" s="182"/>
      <c r="AI626" s="182"/>
      <c r="AJ626" s="182"/>
      <c r="AK626" s="182"/>
      <c r="AL626" s="182"/>
      <c r="AM626" s="182"/>
      <c r="AN626" s="182"/>
      <c r="AO626" s="182"/>
      <c r="AP626" s="182"/>
      <c r="AQ626" s="185">
        <v>900</v>
      </c>
      <c r="AR626" s="182">
        <v>804.05</v>
      </c>
      <c r="AS626" s="182">
        <v>95.95</v>
      </c>
      <c r="AT626" s="182"/>
      <c r="AU626" s="182"/>
      <c r="AV626" s="182"/>
      <c r="AW626" s="182"/>
      <c r="AX626" s="182"/>
      <c r="AY626" s="182"/>
      <c r="AZ626" s="182"/>
      <c r="BA626" s="182"/>
      <c r="BB626" s="182"/>
      <c r="BC626" s="182"/>
      <c r="BD626" s="182"/>
      <c r="BE626" s="182"/>
      <c r="BF626" s="182"/>
      <c r="BG626" s="182"/>
      <c r="BH626" s="182"/>
      <c r="BI626" s="182"/>
      <c r="BJ626" s="182"/>
      <c r="BK626" s="182"/>
      <c r="BL626" s="182"/>
      <c r="BM626" s="182"/>
      <c r="BN626" s="182"/>
      <c r="BO626" s="182"/>
      <c r="BP626" s="182"/>
      <c r="BQ626" s="182"/>
      <c r="BR626" s="182"/>
      <c r="BS626" s="182"/>
      <c r="BT626" s="182"/>
      <c r="BU626" s="182"/>
      <c r="BV626" s="182"/>
      <c r="BW626" s="182"/>
      <c r="BX626" s="182"/>
      <c r="BY626" s="182"/>
      <c r="BZ626" s="182"/>
      <c r="CA626" s="182"/>
      <c r="CB626" s="185">
        <v>900</v>
      </c>
      <c r="CC626" s="185">
        <v>0</v>
      </c>
      <c r="CD626" s="185">
        <v>1979</v>
      </c>
      <c r="CE626" s="185"/>
    </row>
    <row r="627" spans="2:83" x14ac:dyDescent="0.3">
      <c r="B627" s="182">
        <v>3683</v>
      </c>
      <c r="C627" s="182">
        <v>1980</v>
      </c>
      <c r="D627" s="182" t="s">
        <v>78</v>
      </c>
      <c r="E627" s="181" t="s">
        <v>4271</v>
      </c>
      <c r="F627" s="182"/>
      <c r="G627" s="182">
        <v>1200</v>
      </c>
      <c r="H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2"/>
      <c r="X627" s="182"/>
      <c r="Y627" s="182"/>
      <c r="Z627" s="182"/>
      <c r="AA627" s="182"/>
      <c r="AB627" s="182"/>
      <c r="AC627" s="182"/>
      <c r="AD627" s="182"/>
      <c r="AE627" s="182"/>
      <c r="AF627" s="182"/>
      <c r="AG627" s="182"/>
      <c r="AH627" s="182"/>
      <c r="AI627" s="182"/>
      <c r="AJ627" s="182"/>
      <c r="AK627" s="182"/>
      <c r="AL627" s="182"/>
      <c r="AM627" s="182"/>
      <c r="AN627" s="182"/>
      <c r="AO627" s="182"/>
      <c r="AP627" s="182"/>
      <c r="AQ627" s="185">
        <v>1200</v>
      </c>
      <c r="AR627" s="182">
        <v>1071.3499999999999</v>
      </c>
      <c r="AS627" s="182">
        <v>128.65</v>
      </c>
      <c r="AT627" s="182"/>
      <c r="AU627" s="182"/>
      <c r="AV627" s="182"/>
      <c r="AW627" s="182"/>
      <c r="AX627" s="182"/>
      <c r="AY627" s="182"/>
      <c r="AZ627" s="182"/>
      <c r="BA627" s="182"/>
      <c r="BB627" s="182"/>
      <c r="BC627" s="182"/>
      <c r="BD627" s="182"/>
      <c r="BE627" s="182"/>
      <c r="BF627" s="182"/>
      <c r="BG627" s="182"/>
      <c r="BH627" s="182"/>
      <c r="BI627" s="182"/>
      <c r="BJ627" s="182"/>
      <c r="BK627" s="182"/>
      <c r="BL627" s="182"/>
      <c r="BM627" s="182"/>
      <c r="BN627" s="182"/>
      <c r="BO627" s="182"/>
      <c r="BP627" s="182"/>
      <c r="BQ627" s="182"/>
      <c r="BR627" s="182"/>
      <c r="BS627" s="182"/>
      <c r="BT627" s="182"/>
      <c r="BU627" s="182"/>
      <c r="BV627" s="182"/>
      <c r="BW627" s="182"/>
      <c r="BX627" s="182"/>
      <c r="BY627" s="182"/>
      <c r="BZ627" s="182"/>
      <c r="CA627" s="182"/>
      <c r="CB627" s="185">
        <v>1200</v>
      </c>
      <c r="CC627" s="185">
        <v>0</v>
      </c>
      <c r="CD627" s="185">
        <v>1980</v>
      </c>
      <c r="CE627" s="185"/>
    </row>
    <row r="628" spans="2:83" x14ac:dyDescent="0.3">
      <c r="B628" s="182">
        <v>3684</v>
      </c>
      <c r="C628" s="182">
        <v>1981</v>
      </c>
      <c r="D628" s="182" t="s">
        <v>78</v>
      </c>
      <c r="E628" s="181" t="s">
        <v>4271</v>
      </c>
      <c r="F628" s="182"/>
      <c r="G628" s="182">
        <v>1812.12</v>
      </c>
      <c r="H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2"/>
      <c r="X628" s="182"/>
      <c r="Y628" s="182"/>
      <c r="Z628" s="182"/>
      <c r="AA628" s="182"/>
      <c r="AB628" s="182"/>
      <c r="AC628" s="182"/>
      <c r="AD628" s="182"/>
      <c r="AE628" s="182"/>
      <c r="AF628" s="182"/>
      <c r="AG628" s="182"/>
      <c r="AH628" s="182"/>
      <c r="AI628" s="182"/>
      <c r="AJ628" s="182"/>
      <c r="AK628" s="182"/>
      <c r="AL628" s="182"/>
      <c r="AM628" s="182"/>
      <c r="AN628" s="182"/>
      <c r="AO628" s="182"/>
      <c r="AP628" s="182"/>
      <c r="AQ628" s="185">
        <v>1812.12</v>
      </c>
      <c r="AR628" s="182">
        <v>1447.3</v>
      </c>
      <c r="AS628" s="182">
        <v>181.2</v>
      </c>
      <c r="AT628" s="182">
        <v>183.62</v>
      </c>
      <c r="AU628" s="182"/>
      <c r="AV628" s="182"/>
      <c r="AW628" s="182"/>
      <c r="AX628" s="182"/>
      <c r="AY628" s="182"/>
      <c r="AZ628" s="182"/>
      <c r="BA628" s="182"/>
      <c r="BB628" s="182"/>
      <c r="BC628" s="182"/>
      <c r="BD628" s="182"/>
      <c r="BE628" s="182"/>
      <c r="BF628" s="182"/>
      <c r="BG628" s="182"/>
      <c r="BH628" s="182"/>
      <c r="BI628" s="182"/>
      <c r="BJ628" s="182"/>
      <c r="BK628" s="182"/>
      <c r="BL628" s="182"/>
      <c r="BM628" s="182"/>
      <c r="BN628" s="182"/>
      <c r="BO628" s="182"/>
      <c r="BP628" s="182"/>
      <c r="BQ628" s="182"/>
      <c r="BR628" s="182"/>
      <c r="BS628" s="182"/>
      <c r="BT628" s="182"/>
      <c r="BU628" s="182"/>
      <c r="BV628" s="182"/>
      <c r="BW628" s="182"/>
      <c r="BX628" s="182"/>
      <c r="BY628" s="182"/>
      <c r="BZ628" s="182"/>
      <c r="CA628" s="182"/>
      <c r="CB628" s="185">
        <v>1812.12</v>
      </c>
      <c r="CC628" s="185">
        <v>0</v>
      </c>
      <c r="CD628" s="185">
        <v>1981</v>
      </c>
      <c r="CE628" s="185"/>
    </row>
    <row r="629" spans="2:83" x14ac:dyDescent="0.3">
      <c r="B629" s="182">
        <v>3685</v>
      </c>
      <c r="C629" s="182">
        <v>1982</v>
      </c>
      <c r="D629" s="182" t="s">
        <v>78</v>
      </c>
      <c r="E629" s="181" t="s">
        <v>2090</v>
      </c>
      <c r="F629" s="182"/>
      <c r="G629" s="182">
        <v>450</v>
      </c>
      <c r="H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2"/>
      <c r="X629" s="182"/>
      <c r="Y629" s="182"/>
      <c r="Z629" s="182"/>
      <c r="AA629" s="182"/>
      <c r="AB629" s="182"/>
      <c r="AC629" s="182"/>
      <c r="AD629" s="182"/>
      <c r="AE629" s="182"/>
      <c r="AF629" s="182"/>
      <c r="AG629" s="182"/>
      <c r="AH629" s="182"/>
      <c r="AI629" s="182"/>
      <c r="AJ629" s="182"/>
      <c r="AK629" s="182"/>
      <c r="AL629" s="182"/>
      <c r="AM629" s="182"/>
      <c r="AN629" s="182"/>
      <c r="AO629" s="182"/>
      <c r="AP629" s="182"/>
      <c r="AQ629" s="185">
        <v>450</v>
      </c>
      <c r="AR629" s="182">
        <v>402.4</v>
      </c>
      <c r="AS629" s="182">
        <v>47.6</v>
      </c>
      <c r="AT629" s="182"/>
      <c r="AU629" s="182"/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182"/>
      <c r="BK629" s="182"/>
      <c r="BL629" s="182"/>
      <c r="BM629" s="182"/>
      <c r="BN629" s="182"/>
      <c r="BO629" s="182"/>
      <c r="BP629" s="182"/>
      <c r="BQ629" s="182"/>
      <c r="BR629" s="182"/>
      <c r="BS629" s="182"/>
      <c r="BT629" s="182"/>
      <c r="BU629" s="182"/>
      <c r="BV629" s="182"/>
      <c r="BW629" s="182"/>
      <c r="BX629" s="182"/>
      <c r="BY629" s="182"/>
      <c r="BZ629" s="182"/>
      <c r="CA629" s="182"/>
      <c r="CB629" s="185">
        <v>450</v>
      </c>
      <c r="CC629" s="185">
        <v>0</v>
      </c>
      <c r="CD629" s="185">
        <v>1982</v>
      </c>
      <c r="CE629" s="185"/>
    </row>
    <row r="630" spans="2:83" x14ac:dyDescent="0.3">
      <c r="B630" s="182">
        <v>3686</v>
      </c>
      <c r="C630" s="182">
        <v>1983</v>
      </c>
      <c r="D630" s="182" t="s">
        <v>78</v>
      </c>
      <c r="E630" s="181" t="s">
        <v>4263</v>
      </c>
      <c r="F630" s="182"/>
      <c r="G630" s="182">
        <v>650</v>
      </c>
      <c r="H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2"/>
      <c r="X630" s="182"/>
      <c r="Y630" s="182"/>
      <c r="Z630" s="182"/>
      <c r="AA630" s="182"/>
      <c r="AB630" s="182"/>
      <c r="AC630" s="182"/>
      <c r="AD630" s="182"/>
      <c r="AE630" s="182"/>
      <c r="AF630" s="182"/>
      <c r="AG630" s="182"/>
      <c r="AH630" s="182"/>
      <c r="AI630" s="182"/>
      <c r="AJ630" s="182"/>
      <c r="AK630" s="182"/>
      <c r="AL630" s="182"/>
      <c r="AM630" s="182"/>
      <c r="AN630" s="182"/>
      <c r="AO630" s="182"/>
      <c r="AP630" s="182"/>
      <c r="AQ630" s="185">
        <v>650</v>
      </c>
      <c r="AR630" s="182">
        <v>580.79999999999995</v>
      </c>
      <c r="AS630" s="182">
        <v>69.2</v>
      </c>
      <c r="AT630" s="182"/>
      <c r="AU630" s="182"/>
      <c r="AV630" s="182"/>
      <c r="AW630" s="182"/>
      <c r="AX630" s="182"/>
      <c r="AY630" s="182"/>
      <c r="AZ630" s="182"/>
      <c r="BA630" s="182"/>
      <c r="BB630" s="182"/>
      <c r="BC630" s="182"/>
      <c r="BD630" s="182"/>
      <c r="BE630" s="182"/>
      <c r="BF630" s="182"/>
      <c r="BG630" s="182"/>
      <c r="BH630" s="182"/>
      <c r="BI630" s="182"/>
      <c r="BJ630" s="182"/>
      <c r="BK630" s="182"/>
      <c r="BL630" s="182"/>
      <c r="BM630" s="182"/>
      <c r="BN630" s="182"/>
      <c r="BO630" s="182"/>
      <c r="BP630" s="182"/>
      <c r="BQ630" s="182"/>
      <c r="BR630" s="182"/>
      <c r="BS630" s="182"/>
      <c r="BT630" s="182"/>
      <c r="BU630" s="182"/>
      <c r="BV630" s="182"/>
      <c r="BW630" s="182"/>
      <c r="BX630" s="182"/>
      <c r="BY630" s="182"/>
      <c r="BZ630" s="182"/>
      <c r="CA630" s="182"/>
      <c r="CB630" s="185">
        <v>650</v>
      </c>
      <c r="CC630" s="185">
        <v>0</v>
      </c>
      <c r="CD630" s="185">
        <v>1983</v>
      </c>
      <c r="CE630" s="185"/>
    </row>
    <row r="631" spans="2:83" x14ac:dyDescent="0.3">
      <c r="B631" s="182">
        <v>3687</v>
      </c>
      <c r="C631" s="182">
        <v>1984</v>
      </c>
      <c r="D631" s="182" t="s">
        <v>78</v>
      </c>
      <c r="E631" s="181" t="s">
        <v>4272</v>
      </c>
      <c r="F631" s="182"/>
      <c r="G631" s="182">
        <v>1000</v>
      </c>
      <c r="H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2"/>
      <c r="X631" s="182"/>
      <c r="Y631" s="182"/>
      <c r="Z631" s="182"/>
      <c r="AA631" s="182"/>
      <c r="AB631" s="182"/>
      <c r="AC631" s="182"/>
      <c r="AD631" s="182"/>
      <c r="AE631" s="182"/>
      <c r="AF631" s="182"/>
      <c r="AG631" s="182"/>
      <c r="AH631" s="182"/>
      <c r="AI631" s="182"/>
      <c r="AJ631" s="182"/>
      <c r="AK631" s="182"/>
      <c r="AL631" s="182"/>
      <c r="AM631" s="182"/>
      <c r="AN631" s="182"/>
      <c r="AO631" s="182"/>
      <c r="AP631" s="182"/>
      <c r="AQ631" s="185">
        <v>1000</v>
      </c>
      <c r="AR631" s="182">
        <v>893.35</v>
      </c>
      <c r="AS631" s="182">
        <v>106.65</v>
      </c>
      <c r="AT631" s="182"/>
      <c r="AU631" s="182"/>
      <c r="AV631" s="182"/>
      <c r="AW631" s="182"/>
      <c r="AX631" s="182"/>
      <c r="AY631" s="182"/>
      <c r="AZ631" s="182"/>
      <c r="BA631" s="182"/>
      <c r="BB631" s="182"/>
      <c r="BC631" s="182"/>
      <c r="BD631" s="182"/>
      <c r="BE631" s="182"/>
      <c r="BF631" s="182"/>
      <c r="BG631" s="182"/>
      <c r="BH631" s="182"/>
      <c r="BI631" s="182"/>
      <c r="BJ631" s="182"/>
      <c r="BK631" s="182"/>
      <c r="BL631" s="182"/>
      <c r="BM631" s="182"/>
      <c r="BN631" s="182"/>
      <c r="BO631" s="182"/>
      <c r="BP631" s="182"/>
      <c r="BQ631" s="182"/>
      <c r="BR631" s="182"/>
      <c r="BS631" s="182"/>
      <c r="BT631" s="182"/>
      <c r="BU631" s="182"/>
      <c r="BV631" s="182"/>
      <c r="BW631" s="182"/>
      <c r="BX631" s="182"/>
      <c r="BY631" s="182"/>
      <c r="BZ631" s="182"/>
      <c r="CA631" s="182"/>
      <c r="CB631" s="185">
        <v>1000</v>
      </c>
      <c r="CC631" s="185">
        <v>0</v>
      </c>
      <c r="CD631" s="185">
        <v>1984</v>
      </c>
      <c r="CE631" s="185"/>
    </row>
    <row r="632" spans="2:83" x14ac:dyDescent="0.3">
      <c r="B632" s="182">
        <v>3688</v>
      </c>
      <c r="C632" s="182">
        <v>1985</v>
      </c>
      <c r="D632" s="182" t="s">
        <v>78</v>
      </c>
      <c r="E632" s="181" t="s">
        <v>3595</v>
      </c>
      <c r="F632" s="182"/>
      <c r="G632" s="182">
        <v>281.39999999999998</v>
      </c>
      <c r="H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2"/>
      <c r="X632" s="182"/>
      <c r="Y632" s="182"/>
      <c r="Z632" s="182"/>
      <c r="AA632" s="182"/>
      <c r="AB632" s="182"/>
      <c r="AC632" s="182"/>
      <c r="AD632" s="182"/>
      <c r="AE632" s="182"/>
      <c r="AF632" s="182"/>
      <c r="AG632" s="182"/>
      <c r="AH632" s="182"/>
      <c r="AI632" s="182"/>
      <c r="AJ632" s="182"/>
      <c r="AK632" s="182"/>
      <c r="AL632" s="182"/>
      <c r="AM632" s="182"/>
      <c r="AN632" s="182"/>
      <c r="AO632" s="182"/>
      <c r="AP632" s="182"/>
      <c r="AQ632" s="185">
        <v>281.39999999999998</v>
      </c>
      <c r="AR632" s="182">
        <v>189.6</v>
      </c>
      <c r="AS632" s="182">
        <v>24</v>
      </c>
      <c r="AT632" s="182">
        <v>67.8</v>
      </c>
      <c r="AU632" s="182"/>
      <c r="AV632" s="182"/>
      <c r="AW632" s="182"/>
      <c r="AX632" s="182"/>
      <c r="AY632" s="182"/>
      <c r="AZ632" s="182"/>
      <c r="BA632" s="182"/>
      <c r="BB632" s="182"/>
      <c r="BC632" s="182"/>
      <c r="BD632" s="182"/>
      <c r="BE632" s="182"/>
      <c r="BF632" s="182"/>
      <c r="BG632" s="182"/>
      <c r="BH632" s="182"/>
      <c r="BI632" s="182"/>
      <c r="BJ632" s="182"/>
      <c r="BK632" s="182"/>
      <c r="BL632" s="182"/>
      <c r="BM632" s="182"/>
      <c r="BN632" s="182"/>
      <c r="BO632" s="182"/>
      <c r="BP632" s="182"/>
      <c r="BQ632" s="182"/>
      <c r="BR632" s="182"/>
      <c r="BS632" s="182"/>
      <c r="BT632" s="182"/>
      <c r="BU632" s="182"/>
      <c r="BV632" s="182"/>
      <c r="BW632" s="182"/>
      <c r="BX632" s="182"/>
      <c r="BY632" s="182"/>
      <c r="BZ632" s="182"/>
      <c r="CA632" s="182"/>
      <c r="CB632" s="185">
        <v>281.39999999999998</v>
      </c>
      <c r="CC632" s="185">
        <v>0</v>
      </c>
      <c r="CD632" s="185">
        <v>1985</v>
      </c>
      <c r="CE632" s="185"/>
    </row>
    <row r="633" spans="2:83" x14ac:dyDescent="0.3">
      <c r="B633" s="182">
        <v>3689</v>
      </c>
      <c r="C633" s="182">
        <v>1986</v>
      </c>
      <c r="D633" s="182" t="s">
        <v>78</v>
      </c>
      <c r="E633" s="181" t="s">
        <v>3595</v>
      </c>
      <c r="F633" s="182"/>
      <c r="G633" s="182">
        <v>40</v>
      </c>
      <c r="H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2"/>
      <c r="X633" s="182"/>
      <c r="Y633" s="182"/>
      <c r="Z633" s="182"/>
      <c r="AA633" s="182"/>
      <c r="AB633" s="182"/>
      <c r="AC633" s="182"/>
      <c r="AD633" s="182"/>
      <c r="AE633" s="182"/>
      <c r="AF633" s="182"/>
      <c r="AG633" s="182"/>
      <c r="AH633" s="182"/>
      <c r="AI633" s="182"/>
      <c r="AJ633" s="182"/>
      <c r="AK633" s="182"/>
      <c r="AL633" s="182"/>
      <c r="AM633" s="182"/>
      <c r="AN633" s="182"/>
      <c r="AO633" s="182"/>
      <c r="AP633" s="182"/>
      <c r="AQ633" s="185">
        <v>40</v>
      </c>
      <c r="AR633" s="182">
        <v>36</v>
      </c>
      <c r="AS633" s="182">
        <v>4</v>
      </c>
      <c r="AT633" s="182"/>
      <c r="AU633" s="182"/>
      <c r="AV633" s="182"/>
      <c r="AW633" s="182"/>
      <c r="AX633" s="182"/>
      <c r="AY633" s="182"/>
      <c r="AZ633" s="182"/>
      <c r="BA633" s="182"/>
      <c r="BB633" s="182"/>
      <c r="BC633" s="182"/>
      <c r="BD633" s="182"/>
      <c r="BE633" s="182"/>
      <c r="BF633" s="182"/>
      <c r="BG633" s="182"/>
      <c r="BH633" s="182"/>
      <c r="BI633" s="182"/>
      <c r="BJ633" s="182"/>
      <c r="BK633" s="182"/>
      <c r="BL633" s="182"/>
      <c r="BM633" s="182"/>
      <c r="BN633" s="182"/>
      <c r="BO633" s="182"/>
      <c r="BP633" s="182"/>
      <c r="BQ633" s="182"/>
      <c r="BR633" s="182"/>
      <c r="BS633" s="182"/>
      <c r="BT633" s="182"/>
      <c r="BU633" s="182"/>
      <c r="BV633" s="182"/>
      <c r="BW633" s="182"/>
      <c r="BX633" s="182"/>
      <c r="BY633" s="182"/>
      <c r="BZ633" s="182"/>
      <c r="CA633" s="182"/>
      <c r="CB633" s="185">
        <v>40</v>
      </c>
      <c r="CC633" s="185">
        <v>0</v>
      </c>
      <c r="CD633" s="185">
        <v>1986</v>
      </c>
      <c r="CE633" s="185"/>
    </row>
    <row r="634" spans="2:83" x14ac:dyDescent="0.3">
      <c r="B634" s="182">
        <v>3690</v>
      </c>
      <c r="C634" s="182">
        <v>1987</v>
      </c>
      <c r="D634" s="182" t="s">
        <v>78</v>
      </c>
      <c r="E634" s="181" t="s">
        <v>4273</v>
      </c>
      <c r="F634" s="182"/>
      <c r="G634" s="182">
        <v>5979.72</v>
      </c>
      <c r="H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2"/>
      <c r="X634" s="182"/>
      <c r="Y634" s="182"/>
      <c r="Z634" s="182"/>
      <c r="AA634" s="182"/>
      <c r="AB634" s="182"/>
      <c r="AC634" s="182"/>
      <c r="AD634" s="182"/>
      <c r="AE634" s="182"/>
      <c r="AF634" s="182"/>
      <c r="AG634" s="182"/>
      <c r="AH634" s="182"/>
      <c r="AI634" s="182"/>
      <c r="AJ634" s="182"/>
      <c r="AK634" s="182"/>
      <c r="AL634" s="182"/>
      <c r="AM634" s="182"/>
      <c r="AN634" s="182"/>
      <c r="AO634" s="182"/>
      <c r="AP634" s="182"/>
      <c r="AQ634" s="185">
        <v>5979.72</v>
      </c>
      <c r="AR634" s="182">
        <v>3999.3</v>
      </c>
      <c r="AS634" s="182">
        <v>539.70000000000005</v>
      </c>
      <c r="AT634" s="182">
        <v>1440.72</v>
      </c>
      <c r="AU634" s="182"/>
      <c r="AV634" s="182"/>
      <c r="AW634" s="182"/>
      <c r="AX634" s="182"/>
      <c r="AY634" s="182"/>
      <c r="AZ634" s="182"/>
      <c r="BA634" s="182"/>
      <c r="BB634" s="182"/>
      <c r="BC634" s="182"/>
      <c r="BD634" s="182"/>
      <c r="BE634" s="182"/>
      <c r="BF634" s="182"/>
      <c r="BG634" s="182"/>
      <c r="BH634" s="182"/>
      <c r="BI634" s="182"/>
      <c r="BJ634" s="182"/>
      <c r="BK634" s="182"/>
      <c r="BL634" s="182"/>
      <c r="BM634" s="182"/>
      <c r="BN634" s="182"/>
      <c r="BO634" s="182"/>
      <c r="BP634" s="182"/>
      <c r="BQ634" s="182"/>
      <c r="BR634" s="182"/>
      <c r="BS634" s="182"/>
      <c r="BT634" s="182"/>
      <c r="BU634" s="182"/>
      <c r="BV634" s="182"/>
      <c r="BW634" s="182"/>
      <c r="BX634" s="182"/>
      <c r="BY634" s="182"/>
      <c r="BZ634" s="182"/>
      <c r="CA634" s="182"/>
      <c r="CB634" s="185">
        <v>5979.72</v>
      </c>
      <c r="CC634" s="185">
        <v>0</v>
      </c>
      <c r="CD634" s="185">
        <v>1987</v>
      </c>
      <c r="CE634" s="185"/>
    </row>
    <row r="635" spans="2:83" x14ac:dyDescent="0.3">
      <c r="B635" s="182">
        <v>3691</v>
      </c>
      <c r="C635" s="182">
        <v>1988</v>
      </c>
      <c r="D635" s="182" t="s">
        <v>78</v>
      </c>
      <c r="E635" s="181" t="s">
        <v>4273</v>
      </c>
      <c r="F635" s="182"/>
      <c r="G635" s="182">
        <v>2723.26</v>
      </c>
      <c r="H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2"/>
      <c r="X635" s="182"/>
      <c r="Y635" s="182"/>
      <c r="Z635" s="182"/>
      <c r="AA635" s="182"/>
      <c r="AB635" s="182"/>
      <c r="AC635" s="182"/>
      <c r="AD635" s="182"/>
      <c r="AE635" s="182"/>
      <c r="AF635" s="182"/>
      <c r="AG635" s="182"/>
      <c r="AH635" s="182"/>
      <c r="AI635" s="182"/>
      <c r="AJ635" s="182"/>
      <c r="AK635" s="182"/>
      <c r="AL635" s="182"/>
      <c r="AM635" s="182"/>
      <c r="AN635" s="182"/>
      <c r="AO635" s="182"/>
      <c r="AP635" s="182"/>
      <c r="AQ635" s="185">
        <v>2723.26</v>
      </c>
      <c r="AR635" s="182">
        <v>2321.08</v>
      </c>
      <c r="AS635" s="182">
        <v>282.2</v>
      </c>
      <c r="AT635" s="182">
        <v>119.98</v>
      </c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182"/>
      <c r="BK635" s="182"/>
      <c r="BL635" s="182"/>
      <c r="BM635" s="182"/>
      <c r="BN635" s="182"/>
      <c r="BO635" s="182"/>
      <c r="BP635" s="182"/>
      <c r="BQ635" s="182"/>
      <c r="BR635" s="182"/>
      <c r="BS635" s="182"/>
      <c r="BT635" s="182"/>
      <c r="BU635" s="182"/>
      <c r="BV635" s="182"/>
      <c r="BW635" s="182"/>
      <c r="BX635" s="182"/>
      <c r="BY635" s="182"/>
      <c r="BZ635" s="182"/>
      <c r="CA635" s="182"/>
      <c r="CB635" s="185">
        <v>2723.2599999999998</v>
      </c>
      <c r="CC635" s="185">
        <v>0</v>
      </c>
      <c r="CD635" s="185">
        <v>1988</v>
      </c>
      <c r="CE635" s="185"/>
    </row>
    <row r="636" spans="2:83" x14ac:dyDescent="0.3">
      <c r="B636" s="182">
        <v>3692</v>
      </c>
      <c r="C636" s="182">
        <v>1989</v>
      </c>
      <c r="D636" s="182" t="s">
        <v>78</v>
      </c>
      <c r="E636" s="181" t="s">
        <v>4273</v>
      </c>
      <c r="F636" s="182"/>
      <c r="G636" s="182">
        <v>1100</v>
      </c>
      <c r="H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2"/>
      <c r="X636" s="182"/>
      <c r="Y636" s="182"/>
      <c r="Z636" s="182"/>
      <c r="AA636" s="182"/>
      <c r="AB636" s="182"/>
      <c r="AC636" s="182"/>
      <c r="AD636" s="182"/>
      <c r="AE636" s="182"/>
      <c r="AF636" s="182"/>
      <c r="AG636" s="182"/>
      <c r="AH636" s="182"/>
      <c r="AI636" s="182"/>
      <c r="AJ636" s="182"/>
      <c r="AK636" s="182"/>
      <c r="AL636" s="182"/>
      <c r="AM636" s="182"/>
      <c r="AN636" s="182"/>
      <c r="AO636" s="182"/>
      <c r="AP636" s="182"/>
      <c r="AQ636" s="185">
        <v>1100</v>
      </c>
      <c r="AR636" s="182">
        <v>983</v>
      </c>
      <c r="AS636" s="182">
        <v>117</v>
      </c>
      <c r="AT636" s="182"/>
      <c r="AU636" s="182"/>
      <c r="AV636" s="182"/>
      <c r="AW636" s="182"/>
      <c r="AX636" s="182"/>
      <c r="AY636" s="182"/>
      <c r="AZ636" s="182"/>
      <c r="BA636" s="182"/>
      <c r="BB636" s="182"/>
      <c r="BC636" s="182"/>
      <c r="BD636" s="182"/>
      <c r="BE636" s="182"/>
      <c r="BF636" s="182"/>
      <c r="BG636" s="182"/>
      <c r="BH636" s="182"/>
      <c r="BI636" s="182"/>
      <c r="BJ636" s="182"/>
      <c r="BK636" s="182"/>
      <c r="BL636" s="182"/>
      <c r="BM636" s="182"/>
      <c r="BN636" s="182"/>
      <c r="BO636" s="182"/>
      <c r="BP636" s="182"/>
      <c r="BQ636" s="182"/>
      <c r="BR636" s="182"/>
      <c r="BS636" s="182"/>
      <c r="BT636" s="182"/>
      <c r="BU636" s="182"/>
      <c r="BV636" s="182"/>
      <c r="BW636" s="182"/>
      <c r="BX636" s="182"/>
      <c r="BY636" s="182"/>
      <c r="BZ636" s="182"/>
      <c r="CA636" s="182"/>
      <c r="CB636" s="185">
        <v>1100</v>
      </c>
      <c r="CC636" s="185">
        <v>0</v>
      </c>
      <c r="CD636" s="185">
        <v>1989</v>
      </c>
      <c r="CE636" s="185"/>
    </row>
    <row r="637" spans="2:83" x14ac:dyDescent="0.3">
      <c r="B637" s="182">
        <v>3693</v>
      </c>
      <c r="C637" s="182">
        <v>1990</v>
      </c>
      <c r="D637" s="182" t="s">
        <v>78</v>
      </c>
      <c r="E637" s="181" t="s">
        <v>4268</v>
      </c>
      <c r="F637" s="182"/>
      <c r="G637" s="182">
        <v>27168.93</v>
      </c>
      <c r="H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2"/>
      <c r="X637" s="182"/>
      <c r="Y637" s="182"/>
      <c r="Z637" s="182"/>
      <c r="AA637" s="182"/>
      <c r="AB637" s="182"/>
      <c r="AC637" s="182"/>
      <c r="AD637" s="182"/>
      <c r="AE637" s="182"/>
      <c r="AF637" s="182"/>
      <c r="AG637" s="182"/>
      <c r="AH637" s="182"/>
      <c r="AI637" s="182"/>
      <c r="AJ637" s="182"/>
      <c r="AK637" s="182"/>
      <c r="AL637" s="182"/>
      <c r="AM637" s="182"/>
      <c r="AN637" s="182"/>
      <c r="AO637" s="182"/>
      <c r="AP637" s="182"/>
      <c r="AQ637" s="185">
        <v>27168.93</v>
      </c>
      <c r="AR637" s="182">
        <v>19419.45</v>
      </c>
      <c r="AS637" s="182">
        <v>2559.8000000000002</v>
      </c>
      <c r="AT637" s="182">
        <v>5189.68</v>
      </c>
      <c r="AU637" s="182"/>
      <c r="AV637" s="182"/>
      <c r="AW637" s="182"/>
      <c r="AX637" s="182"/>
      <c r="AY637" s="182"/>
      <c r="AZ637" s="182"/>
      <c r="BA637" s="182"/>
      <c r="BB637" s="182"/>
      <c r="BC637" s="182"/>
      <c r="BD637" s="182"/>
      <c r="BE637" s="182"/>
      <c r="BF637" s="182"/>
      <c r="BG637" s="182"/>
      <c r="BH637" s="182"/>
      <c r="BI637" s="182"/>
      <c r="BJ637" s="182"/>
      <c r="BK637" s="182"/>
      <c r="BL637" s="182"/>
      <c r="BM637" s="182"/>
      <c r="BN637" s="182"/>
      <c r="BO637" s="182"/>
      <c r="BP637" s="182"/>
      <c r="BQ637" s="182"/>
      <c r="BR637" s="182"/>
      <c r="BS637" s="182"/>
      <c r="BT637" s="182"/>
      <c r="BU637" s="182"/>
      <c r="BV637" s="182"/>
      <c r="BW637" s="182"/>
      <c r="BX637" s="182"/>
      <c r="BY637" s="182"/>
      <c r="BZ637" s="182"/>
      <c r="CA637" s="182"/>
      <c r="CB637" s="185">
        <v>27168.93</v>
      </c>
      <c r="CC637" s="185">
        <v>0</v>
      </c>
      <c r="CD637" s="185">
        <v>1990</v>
      </c>
      <c r="CE637" s="185"/>
    </row>
    <row r="638" spans="2:83" x14ac:dyDescent="0.3">
      <c r="B638" s="182">
        <v>3693</v>
      </c>
      <c r="C638" s="182">
        <v>1991</v>
      </c>
      <c r="D638" s="182" t="s">
        <v>78</v>
      </c>
      <c r="E638" s="181" t="s">
        <v>4268</v>
      </c>
      <c r="F638" s="182"/>
      <c r="G638" s="182">
        <v>1758.75</v>
      </c>
      <c r="H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2"/>
      <c r="X638" s="182"/>
      <c r="Y638" s="182"/>
      <c r="Z638" s="182"/>
      <c r="AA638" s="182"/>
      <c r="AB638" s="182"/>
      <c r="AC638" s="182"/>
      <c r="AD638" s="182"/>
      <c r="AE638" s="182"/>
      <c r="AF638" s="182"/>
      <c r="AG638" s="182"/>
      <c r="AH638" s="182"/>
      <c r="AI638" s="182"/>
      <c r="AJ638" s="182"/>
      <c r="AK638" s="182"/>
      <c r="AL638" s="182"/>
      <c r="AM638" s="182"/>
      <c r="AN638" s="182"/>
      <c r="AO638" s="182"/>
      <c r="AP638" s="182"/>
      <c r="AQ638" s="185">
        <v>1758.75</v>
      </c>
      <c r="AR638" s="182">
        <v>1175.3499999999999</v>
      </c>
      <c r="AS638" s="182">
        <v>159.65</v>
      </c>
      <c r="AT638" s="182">
        <v>423.75</v>
      </c>
      <c r="AU638" s="182"/>
      <c r="AV638" s="182"/>
      <c r="AW638" s="182"/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182"/>
      <c r="BK638" s="182"/>
      <c r="BL638" s="182"/>
      <c r="BM638" s="182"/>
      <c r="BN638" s="182"/>
      <c r="BO638" s="182"/>
      <c r="BP638" s="182"/>
      <c r="BQ638" s="182"/>
      <c r="BR638" s="182"/>
      <c r="BS638" s="182"/>
      <c r="BT638" s="182"/>
      <c r="BU638" s="182"/>
      <c r="BV638" s="182"/>
      <c r="BW638" s="182"/>
      <c r="BX638" s="182"/>
      <c r="BY638" s="182"/>
      <c r="BZ638" s="182"/>
      <c r="CA638" s="182"/>
      <c r="CB638" s="185">
        <v>1758.75</v>
      </c>
      <c r="CC638" s="185">
        <v>0</v>
      </c>
      <c r="CD638" s="185">
        <v>1991</v>
      </c>
      <c r="CE638" s="185"/>
    </row>
    <row r="639" spans="2:83" x14ac:dyDescent="0.3">
      <c r="B639" s="182">
        <v>3888</v>
      </c>
      <c r="C639" s="182">
        <v>1992</v>
      </c>
      <c r="D639" s="182" t="s">
        <v>78</v>
      </c>
      <c r="E639" s="181" t="s">
        <v>4268</v>
      </c>
      <c r="F639" s="182"/>
      <c r="G639" s="182">
        <v>2194.08</v>
      </c>
      <c r="H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2"/>
      <c r="X639" s="182"/>
      <c r="Y639" s="182"/>
      <c r="Z639" s="182"/>
      <c r="AA639" s="182"/>
      <c r="AB639" s="182"/>
      <c r="AC639" s="182"/>
      <c r="AD639" s="182"/>
      <c r="AE639" s="182"/>
      <c r="AF639" s="182"/>
      <c r="AG639" s="182"/>
      <c r="AH639" s="182"/>
      <c r="AI639" s="182"/>
      <c r="AJ639" s="182"/>
      <c r="AK639" s="182"/>
      <c r="AL639" s="182"/>
      <c r="AM639" s="182"/>
      <c r="AN639" s="182"/>
      <c r="AO639" s="182"/>
      <c r="AP639" s="182"/>
      <c r="AQ639" s="185">
        <v>2194.08</v>
      </c>
      <c r="AR639" s="182">
        <v>1662.54</v>
      </c>
      <c r="AS639" s="182">
        <v>213.7</v>
      </c>
      <c r="AT639" s="182">
        <v>317.83999999999997</v>
      </c>
      <c r="AU639" s="182"/>
      <c r="AV639" s="182"/>
      <c r="AW639" s="182"/>
      <c r="AX639" s="182"/>
      <c r="AY639" s="182"/>
      <c r="AZ639" s="182"/>
      <c r="BA639" s="182"/>
      <c r="BB639" s="182"/>
      <c r="BC639" s="182"/>
      <c r="BD639" s="182"/>
      <c r="BE639" s="182"/>
      <c r="BF639" s="182"/>
      <c r="BG639" s="182"/>
      <c r="BH639" s="182"/>
      <c r="BI639" s="182"/>
      <c r="BJ639" s="182"/>
      <c r="BK639" s="182"/>
      <c r="BL639" s="182"/>
      <c r="BM639" s="182"/>
      <c r="BN639" s="182"/>
      <c r="BO639" s="182"/>
      <c r="BP639" s="182"/>
      <c r="BQ639" s="182"/>
      <c r="BR639" s="182"/>
      <c r="BS639" s="182"/>
      <c r="BT639" s="182"/>
      <c r="BU639" s="182"/>
      <c r="BV639" s="182"/>
      <c r="BW639" s="182"/>
      <c r="BX639" s="182"/>
      <c r="BY639" s="182"/>
      <c r="BZ639" s="182"/>
      <c r="CA639" s="182"/>
      <c r="CB639" s="185">
        <v>2194.08</v>
      </c>
      <c r="CC639" s="185">
        <v>0</v>
      </c>
      <c r="CD639" s="185">
        <v>1992</v>
      </c>
      <c r="CE639" s="185"/>
    </row>
    <row r="640" spans="2:83" x14ac:dyDescent="0.3">
      <c r="B640" s="182">
        <v>3695</v>
      </c>
      <c r="C640" s="182">
        <v>1993</v>
      </c>
      <c r="D640" s="182" t="s">
        <v>78</v>
      </c>
      <c r="E640" s="181" t="s">
        <v>4259</v>
      </c>
      <c r="F640" s="182"/>
      <c r="G640" s="182">
        <v>8500</v>
      </c>
      <c r="H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2"/>
      <c r="X640" s="182"/>
      <c r="Y640" s="182"/>
      <c r="Z640" s="182"/>
      <c r="AA640" s="182"/>
      <c r="AB640" s="182"/>
      <c r="AC640" s="182"/>
      <c r="AD640" s="182"/>
      <c r="AE640" s="182"/>
      <c r="AF640" s="182"/>
      <c r="AG640" s="182"/>
      <c r="AH640" s="182"/>
      <c r="AI640" s="182"/>
      <c r="AJ640" s="182"/>
      <c r="AK640" s="182"/>
      <c r="AL640" s="182"/>
      <c r="AM640" s="182"/>
      <c r="AN640" s="182"/>
      <c r="AO640" s="182"/>
      <c r="AP640" s="182"/>
      <c r="AQ640" s="185">
        <v>8500</v>
      </c>
      <c r="AR640" s="182">
        <v>7587.65</v>
      </c>
      <c r="AS640" s="182">
        <v>912.35</v>
      </c>
      <c r="AT640" s="182"/>
      <c r="AU640" s="182"/>
      <c r="AV640" s="182"/>
      <c r="AW640" s="182"/>
      <c r="AX640" s="182"/>
      <c r="AY640" s="182"/>
      <c r="AZ640" s="182"/>
      <c r="BA640" s="182"/>
      <c r="BB640" s="182"/>
      <c r="BC640" s="182"/>
      <c r="BD640" s="182"/>
      <c r="BE640" s="182"/>
      <c r="BF640" s="182"/>
      <c r="BG640" s="182"/>
      <c r="BH640" s="182"/>
      <c r="BI640" s="182"/>
      <c r="BJ640" s="182"/>
      <c r="BK640" s="182"/>
      <c r="BL640" s="182"/>
      <c r="BM640" s="182"/>
      <c r="BN640" s="182"/>
      <c r="BO640" s="182"/>
      <c r="BP640" s="182"/>
      <c r="BQ640" s="182"/>
      <c r="BR640" s="182"/>
      <c r="BS640" s="182"/>
      <c r="BT640" s="182"/>
      <c r="BU640" s="182"/>
      <c r="BV640" s="182"/>
      <c r="BW640" s="182"/>
      <c r="BX640" s="182"/>
      <c r="BY640" s="182"/>
      <c r="BZ640" s="182"/>
      <c r="CA640" s="182"/>
      <c r="CB640" s="185">
        <v>8500</v>
      </c>
      <c r="CC640" s="185">
        <v>0</v>
      </c>
      <c r="CD640" s="185">
        <v>1993</v>
      </c>
      <c r="CE640" s="185"/>
    </row>
    <row r="641" spans="2:83" x14ac:dyDescent="0.3">
      <c r="B641" s="182">
        <v>3696</v>
      </c>
      <c r="C641" s="182">
        <v>1994</v>
      </c>
      <c r="D641" s="182" t="s">
        <v>78</v>
      </c>
      <c r="E641" s="181" t="s">
        <v>4259</v>
      </c>
      <c r="F641" s="182"/>
      <c r="G641" s="182">
        <v>351.75</v>
      </c>
      <c r="H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2"/>
      <c r="X641" s="182"/>
      <c r="Y641" s="182"/>
      <c r="Z641" s="182"/>
      <c r="AA641" s="182"/>
      <c r="AB641" s="182"/>
      <c r="AC641" s="182"/>
      <c r="AD641" s="182"/>
      <c r="AE641" s="182"/>
      <c r="AF641" s="182"/>
      <c r="AG641" s="182"/>
      <c r="AH641" s="182"/>
      <c r="AI641" s="182"/>
      <c r="AJ641" s="182"/>
      <c r="AK641" s="182"/>
      <c r="AL641" s="182"/>
      <c r="AM641" s="182"/>
      <c r="AN641" s="182"/>
      <c r="AO641" s="182"/>
      <c r="AP641" s="182"/>
      <c r="AQ641" s="185">
        <v>351.75</v>
      </c>
      <c r="AR641" s="182">
        <v>235.55</v>
      </c>
      <c r="AS641" s="182">
        <v>31.45</v>
      </c>
      <c r="AT641" s="182">
        <v>84.75</v>
      </c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182"/>
      <c r="BK641" s="182"/>
      <c r="BL641" s="182"/>
      <c r="BM641" s="182"/>
      <c r="BN641" s="182"/>
      <c r="BO641" s="182"/>
      <c r="BP641" s="182"/>
      <c r="BQ641" s="182"/>
      <c r="BR641" s="182"/>
      <c r="BS641" s="182"/>
      <c r="BT641" s="182"/>
      <c r="BU641" s="182"/>
      <c r="BV641" s="182"/>
      <c r="BW641" s="182"/>
      <c r="BX641" s="182"/>
      <c r="BY641" s="182"/>
      <c r="BZ641" s="182"/>
      <c r="CA641" s="182"/>
      <c r="CB641" s="185">
        <v>351.75</v>
      </c>
      <c r="CC641" s="185">
        <v>0</v>
      </c>
      <c r="CD641" s="185">
        <v>1994</v>
      </c>
      <c r="CE641" s="185"/>
    </row>
    <row r="642" spans="2:83" x14ac:dyDescent="0.3">
      <c r="B642" s="182">
        <v>2578</v>
      </c>
      <c r="C642" s="182">
        <v>1995</v>
      </c>
      <c r="D642" s="182" t="s">
        <v>78</v>
      </c>
      <c r="E642" s="181" t="s">
        <v>4274</v>
      </c>
      <c r="F642" s="182"/>
      <c r="G642" s="182">
        <v>351.75</v>
      </c>
      <c r="H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2"/>
      <c r="X642" s="182"/>
      <c r="Y642" s="182"/>
      <c r="Z642" s="182"/>
      <c r="AA642" s="182"/>
      <c r="AB642" s="182"/>
      <c r="AC642" s="182"/>
      <c r="AD642" s="182"/>
      <c r="AE642" s="182"/>
      <c r="AF642" s="182"/>
      <c r="AG642" s="182"/>
      <c r="AH642" s="182"/>
      <c r="AI642" s="182"/>
      <c r="AJ642" s="182"/>
      <c r="AK642" s="182"/>
      <c r="AL642" s="182"/>
      <c r="AM642" s="182"/>
      <c r="AN642" s="182"/>
      <c r="AO642" s="182"/>
      <c r="AP642" s="182"/>
      <c r="AQ642" s="185">
        <v>351.75</v>
      </c>
      <c r="AR642" s="182">
        <v>246.27</v>
      </c>
      <c r="AS642" s="182">
        <v>20.73</v>
      </c>
      <c r="AT642" s="182">
        <v>84.75</v>
      </c>
      <c r="AU642" s="182"/>
      <c r="AV642" s="182"/>
      <c r="AW642" s="182"/>
      <c r="AX642" s="182"/>
      <c r="AY642" s="182"/>
      <c r="AZ642" s="182"/>
      <c r="BA642" s="182"/>
      <c r="BB642" s="182"/>
      <c r="BC642" s="182"/>
      <c r="BD642" s="182"/>
      <c r="BE642" s="182"/>
      <c r="BF642" s="182"/>
      <c r="BG642" s="182"/>
      <c r="BH642" s="182"/>
      <c r="BI642" s="182"/>
      <c r="BJ642" s="182"/>
      <c r="BK642" s="182"/>
      <c r="BL642" s="182"/>
      <c r="BM642" s="182"/>
      <c r="BN642" s="182"/>
      <c r="BO642" s="182"/>
      <c r="BP642" s="182"/>
      <c r="BQ642" s="182"/>
      <c r="BR642" s="182"/>
      <c r="BS642" s="182"/>
      <c r="BT642" s="182"/>
      <c r="BU642" s="182"/>
      <c r="BV642" s="182"/>
      <c r="BW642" s="182"/>
      <c r="BX642" s="182"/>
      <c r="BY642" s="182"/>
      <c r="BZ642" s="182"/>
      <c r="CA642" s="182"/>
      <c r="CB642" s="185">
        <v>351.75</v>
      </c>
      <c r="CC642" s="185">
        <v>0</v>
      </c>
      <c r="CD642" s="185">
        <v>1995</v>
      </c>
      <c r="CE642" s="185"/>
    </row>
    <row r="643" spans="2:83" x14ac:dyDescent="0.3">
      <c r="B643" s="182">
        <v>2273</v>
      </c>
      <c r="C643" s="182">
        <v>1996</v>
      </c>
      <c r="D643" s="182" t="s">
        <v>78</v>
      </c>
      <c r="E643" s="181" t="s">
        <v>4275</v>
      </c>
      <c r="F643" s="182"/>
      <c r="G643" s="182">
        <v>175.86</v>
      </c>
      <c r="H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2"/>
      <c r="X643" s="182"/>
      <c r="Y643" s="182"/>
      <c r="Z643" s="182"/>
      <c r="AA643" s="182"/>
      <c r="AB643" s="182"/>
      <c r="AC643" s="182"/>
      <c r="AD643" s="182"/>
      <c r="AE643" s="182"/>
      <c r="AF643" s="182"/>
      <c r="AG643" s="182"/>
      <c r="AH643" s="182"/>
      <c r="AI643" s="182"/>
      <c r="AJ643" s="182"/>
      <c r="AK643" s="182"/>
      <c r="AL643" s="182"/>
      <c r="AM643" s="182"/>
      <c r="AN643" s="182"/>
      <c r="AO643" s="182"/>
      <c r="AP643" s="182"/>
      <c r="AQ643" s="185">
        <v>175.86</v>
      </c>
      <c r="AR643" s="182">
        <v>130.16999999999999</v>
      </c>
      <c r="AS643" s="182">
        <v>3.33</v>
      </c>
      <c r="AT643" s="182">
        <v>42.36</v>
      </c>
      <c r="AU643" s="182"/>
      <c r="AV643" s="182"/>
      <c r="AW643" s="182"/>
      <c r="AX643" s="182"/>
      <c r="AY643" s="182"/>
      <c r="AZ643" s="182"/>
      <c r="BA643" s="182"/>
      <c r="BB643" s="182"/>
      <c r="BC643" s="182"/>
      <c r="BD643" s="182"/>
      <c r="BE643" s="182"/>
      <c r="BF643" s="182"/>
      <c r="BG643" s="182"/>
      <c r="BH643" s="182"/>
      <c r="BI643" s="182"/>
      <c r="BJ643" s="182"/>
      <c r="BK643" s="182"/>
      <c r="BL643" s="182"/>
      <c r="BM643" s="182"/>
      <c r="BN643" s="182"/>
      <c r="BO643" s="182"/>
      <c r="BP643" s="182"/>
      <c r="BQ643" s="182"/>
      <c r="BR643" s="182"/>
      <c r="BS643" s="182"/>
      <c r="BT643" s="182"/>
      <c r="BU643" s="182"/>
      <c r="BV643" s="182"/>
      <c r="BW643" s="182"/>
      <c r="BX643" s="182"/>
      <c r="BY643" s="182"/>
      <c r="BZ643" s="182"/>
      <c r="CA643" s="182"/>
      <c r="CB643" s="185">
        <v>175.86</v>
      </c>
      <c r="CC643" s="185">
        <v>0</v>
      </c>
      <c r="CD643" s="185">
        <v>1996</v>
      </c>
      <c r="CE643" s="185"/>
    </row>
    <row r="644" spans="2:83" x14ac:dyDescent="0.3">
      <c r="B644" s="182">
        <v>3269</v>
      </c>
      <c r="C644" s="182">
        <v>1997</v>
      </c>
      <c r="D644" s="182" t="s">
        <v>78</v>
      </c>
      <c r="E644" s="181" t="s">
        <v>4276</v>
      </c>
      <c r="F644" s="182"/>
      <c r="G644" s="182">
        <v>351.75</v>
      </c>
      <c r="H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2"/>
      <c r="X644" s="182"/>
      <c r="Y644" s="182"/>
      <c r="Z644" s="182"/>
      <c r="AA644" s="182"/>
      <c r="AB644" s="182"/>
      <c r="AC644" s="182"/>
      <c r="AD644" s="182"/>
      <c r="AE644" s="182"/>
      <c r="AF644" s="182"/>
      <c r="AG644" s="182"/>
      <c r="AH644" s="182"/>
      <c r="AI644" s="182"/>
      <c r="AJ644" s="182"/>
      <c r="AK644" s="182"/>
      <c r="AL644" s="182"/>
      <c r="AM644" s="182"/>
      <c r="AN644" s="182"/>
      <c r="AO644" s="182"/>
      <c r="AP644" s="182"/>
      <c r="AQ644" s="185">
        <v>351.75</v>
      </c>
      <c r="AR644" s="182">
        <v>246.27</v>
      </c>
      <c r="AS644" s="182">
        <v>20.73</v>
      </c>
      <c r="AT644" s="182">
        <v>84.75</v>
      </c>
      <c r="AU644" s="182"/>
      <c r="AV644" s="182"/>
      <c r="AW644" s="182"/>
      <c r="AX644" s="182"/>
      <c r="AY644" s="182"/>
      <c r="AZ644" s="182"/>
      <c r="BA644" s="182"/>
      <c r="BB644" s="182"/>
      <c r="BC644" s="182"/>
      <c r="BD644" s="182"/>
      <c r="BE644" s="182"/>
      <c r="BF644" s="182"/>
      <c r="BG644" s="182"/>
      <c r="BH644" s="182"/>
      <c r="BI644" s="182"/>
      <c r="BJ644" s="182"/>
      <c r="BK644" s="182"/>
      <c r="BL644" s="182"/>
      <c r="BM644" s="182"/>
      <c r="BN644" s="182"/>
      <c r="BO644" s="182"/>
      <c r="BP644" s="182"/>
      <c r="BQ644" s="182"/>
      <c r="BR644" s="182"/>
      <c r="BS644" s="182"/>
      <c r="BT644" s="182"/>
      <c r="BU644" s="182"/>
      <c r="BV644" s="182"/>
      <c r="BW644" s="182"/>
      <c r="BX644" s="182"/>
      <c r="BY644" s="182"/>
      <c r="BZ644" s="182"/>
      <c r="CA644" s="182"/>
      <c r="CB644" s="185">
        <v>351.75</v>
      </c>
      <c r="CC644" s="185">
        <v>0</v>
      </c>
      <c r="CD644" s="185">
        <v>1997</v>
      </c>
      <c r="CE644" s="185"/>
    </row>
    <row r="645" spans="2:83" x14ac:dyDescent="0.3">
      <c r="B645" s="182">
        <v>2381</v>
      </c>
      <c r="C645" s="182">
        <v>1998</v>
      </c>
      <c r="D645" s="182" t="s">
        <v>78</v>
      </c>
      <c r="E645" s="181" t="s">
        <v>3382</v>
      </c>
      <c r="F645" s="182"/>
      <c r="G645" s="182">
        <v>175.86</v>
      </c>
      <c r="H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2"/>
      <c r="X645" s="182"/>
      <c r="Y645" s="182"/>
      <c r="Z645" s="182"/>
      <c r="AA645" s="182"/>
      <c r="AB645" s="182"/>
      <c r="AC645" s="182"/>
      <c r="AD645" s="182"/>
      <c r="AE645" s="182"/>
      <c r="AF645" s="182"/>
      <c r="AG645" s="182"/>
      <c r="AH645" s="182"/>
      <c r="AI645" s="182"/>
      <c r="AJ645" s="182"/>
      <c r="AK645" s="182"/>
      <c r="AL645" s="182"/>
      <c r="AM645" s="182"/>
      <c r="AN645" s="182"/>
      <c r="AO645" s="182"/>
      <c r="AP645" s="182"/>
      <c r="AQ645" s="185">
        <v>175.86</v>
      </c>
      <c r="AR645" s="182">
        <v>130.16999999999999</v>
      </c>
      <c r="AS645" s="182">
        <v>3.33</v>
      </c>
      <c r="AT645" s="182">
        <v>42.36</v>
      </c>
      <c r="AU645" s="182"/>
      <c r="AV645" s="182"/>
      <c r="AW645" s="182"/>
      <c r="AX645" s="182"/>
      <c r="AY645" s="182"/>
      <c r="AZ645" s="182"/>
      <c r="BA645" s="182"/>
      <c r="BB645" s="182"/>
      <c r="BC645" s="182"/>
      <c r="BD645" s="182"/>
      <c r="BE645" s="182"/>
      <c r="BF645" s="182"/>
      <c r="BG645" s="182"/>
      <c r="BH645" s="182"/>
      <c r="BI645" s="182"/>
      <c r="BJ645" s="182"/>
      <c r="BK645" s="182"/>
      <c r="BL645" s="182"/>
      <c r="BM645" s="182"/>
      <c r="BN645" s="182"/>
      <c r="BO645" s="182"/>
      <c r="BP645" s="182"/>
      <c r="BQ645" s="182"/>
      <c r="BR645" s="182"/>
      <c r="BS645" s="182"/>
      <c r="BT645" s="182"/>
      <c r="BU645" s="182"/>
      <c r="BV645" s="182"/>
      <c r="BW645" s="182"/>
      <c r="BX645" s="182"/>
      <c r="BY645" s="182"/>
      <c r="BZ645" s="182"/>
      <c r="CA645" s="182"/>
      <c r="CB645" s="185">
        <v>175.86</v>
      </c>
      <c r="CC645" s="185">
        <v>0</v>
      </c>
      <c r="CD645" s="185">
        <v>1998</v>
      </c>
      <c r="CE645" s="185"/>
    </row>
    <row r="646" spans="2:83" x14ac:dyDescent="0.3">
      <c r="B646" s="182">
        <v>2270</v>
      </c>
      <c r="C646" s="182">
        <v>1999</v>
      </c>
      <c r="D646" s="182" t="s">
        <v>78</v>
      </c>
      <c r="E646" s="181" t="s">
        <v>4277</v>
      </c>
      <c r="F646" s="182"/>
      <c r="G646" s="182">
        <v>175.86</v>
      </c>
      <c r="H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2"/>
      <c r="X646" s="182"/>
      <c r="Y646" s="182"/>
      <c r="Z646" s="182"/>
      <c r="AA646" s="182"/>
      <c r="AB646" s="182"/>
      <c r="AC646" s="182"/>
      <c r="AD646" s="182"/>
      <c r="AE646" s="182"/>
      <c r="AF646" s="182"/>
      <c r="AG646" s="182"/>
      <c r="AH646" s="182"/>
      <c r="AI646" s="182"/>
      <c r="AJ646" s="182"/>
      <c r="AK646" s="182"/>
      <c r="AL646" s="182"/>
      <c r="AM646" s="182"/>
      <c r="AN646" s="182"/>
      <c r="AO646" s="182"/>
      <c r="AP646" s="182"/>
      <c r="AQ646" s="185">
        <v>175.86</v>
      </c>
      <c r="AR646" s="182">
        <v>130.16999999999999</v>
      </c>
      <c r="AS646" s="182">
        <v>3.33</v>
      </c>
      <c r="AT646" s="182">
        <v>42.36</v>
      </c>
      <c r="AU646" s="182"/>
      <c r="AV646" s="182"/>
      <c r="AW646" s="182"/>
      <c r="AX646" s="182"/>
      <c r="AY646" s="182"/>
      <c r="AZ646" s="182"/>
      <c r="BA646" s="182"/>
      <c r="BB646" s="182"/>
      <c r="BC646" s="182"/>
      <c r="BD646" s="182"/>
      <c r="BE646" s="182"/>
      <c r="BF646" s="182"/>
      <c r="BG646" s="182"/>
      <c r="BH646" s="182"/>
      <c r="BI646" s="182"/>
      <c r="BJ646" s="182"/>
      <c r="BK646" s="182"/>
      <c r="BL646" s="182"/>
      <c r="BM646" s="182"/>
      <c r="BN646" s="182"/>
      <c r="BO646" s="182"/>
      <c r="BP646" s="182"/>
      <c r="BQ646" s="182"/>
      <c r="BR646" s="182"/>
      <c r="BS646" s="182"/>
      <c r="BT646" s="182"/>
      <c r="BU646" s="182"/>
      <c r="BV646" s="182"/>
      <c r="BW646" s="182"/>
      <c r="BX646" s="182"/>
      <c r="BY646" s="182"/>
      <c r="BZ646" s="182"/>
      <c r="CA646" s="182"/>
      <c r="CB646" s="185">
        <v>175.86</v>
      </c>
      <c r="CC646" s="185">
        <v>0</v>
      </c>
      <c r="CD646" s="185">
        <v>1999</v>
      </c>
      <c r="CE646" s="185"/>
    </row>
    <row r="647" spans="2:83" x14ac:dyDescent="0.3">
      <c r="B647" s="182">
        <v>2267</v>
      </c>
      <c r="C647" s="182">
        <v>2000</v>
      </c>
      <c r="D647" s="182" t="s">
        <v>78</v>
      </c>
      <c r="E647" s="181" t="s">
        <v>4278</v>
      </c>
      <c r="F647" s="182"/>
      <c r="G647" s="182">
        <v>175.86</v>
      </c>
      <c r="H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2"/>
      <c r="X647" s="182"/>
      <c r="Y647" s="182"/>
      <c r="Z647" s="182"/>
      <c r="AA647" s="182"/>
      <c r="AB647" s="182"/>
      <c r="AC647" s="182"/>
      <c r="AD647" s="182"/>
      <c r="AE647" s="182"/>
      <c r="AF647" s="182"/>
      <c r="AG647" s="182"/>
      <c r="AH647" s="182"/>
      <c r="AI647" s="182"/>
      <c r="AJ647" s="182"/>
      <c r="AK647" s="182"/>
      <c r="AL647" s="182"/>
      <c r="AM647" s="182"/>
      <c r="AN647" s="182"/>
      <c r="AO647" s="182"/>
      <c r="AP647" s="182"/>
      <c r="AQ647" s="185">
        <v>175.86</v>
      </c>
      <c r="AR647" s="182">
        <v>130.16999999999999</v>
      </c>
      <c r="AS647" s="182">
        <v>3.33</v>
      </c>
      <c r="AT647" s="182">
        <v>42.36</v>
      </c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182"/>
      <c r="BK647" s="182"/>
      <c r="BL647" s="182"/>
      <c r="BM647" s="182"/>
      <c r="BN647" s="182"/>
      <c r="BO647" s="182"/>
      <c r="BP647" s="182"/>
      <c r="BQ647" s="182"/>
      <c r="BR647" s="182"/>
      <c r="BS647" s="182"/>
      <c r="BT647" s="182"/>
      <c r="BU647" s="182"/>
      <c r="BV647" s="182"/>
      <c r="BW647" s="182"/>
      <c r="BX647" s="182"/>
      <c r="BY647" s="182"/>
      <c r="BZ647" s="182"/>
      <c r="CA647" s="182"/>
      <c r="CB647" s="185">
        <v>175.86</v>
      </c>
      <c r="CC647" s="185">
        <v>0</v>
      </c>
      <c r="CD647" s="185">
        <v>2000</v>
      </c>
      <c r="CE647" s="185"/>
    </row>
    <row r="648" spans="2:83" x14ac:dyDescent="0.3">
      <c r="B648" s="182">
        <v>2375</v>
      </c>
      <c r="C648" s="182">
        <v>2001</v>
      </c>
      <c r="D648" s="182" t="s">
        <v>78</v>
      </c>
      <c r="E648" s="181" t="s">
        <v>4279</v>
      </c>
      <c r="F648" s="182"/>
      <c r="G648" s="182">
        <v>175.86</v>
      </c>
      <c r="H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2"/>
      <c r="X648" s="182"/>
      <c r="Y648" s="182"/>
      <c r="Z648" s="182"/>
      <c r="AA648" s="182"/>
      <c r="AB648" s="182"/>
      <c r="AC648" s="182"/>
      <c r="AD648" s="182"/>
      <c r="AE648" s="182"/>
      <c r="AF648" s="182"/>
      <c r="AG648" s="182"/>
      <c r="AH648" s="182"/>
      <c r="AI648" s="182"/>
      <c r="AJ648" s="182"/>
      <c r="AK648" s="182"/>
      <c r="AL648" s="182"/>
      <c r="AM648" s="182"/>
      <c r="AN648" s="182"/>
      <c r="AO648" s="182"/>
      <c r="AP648" s="182"/>
      <c r="AQ648" s="185">
        <v>175.86</v>
      </c>
      <c r="AR648" s="182">
        <v>130.16999999999999</v>
      </c>
      <c r="AS648" s="182">
        <v>3.33</v>
      </c>
      <c r="AT648" s="182">
        <v>42.36</v>
      </c>
      <c r="AU648" s="182"/>
      <c r="AV648" s="182"/>
      <c r="AW648" s="182"/>
      <c r="AX648" s="182"/>
      <c r="AY648" s="182"/>
      <c r="AZ648" s="182"/>
      <c r="BA648" s="182"/>
      <c r="BB648" s="182"/>
      <c r="BC648" s="182"/>
      <c r="BD648" s="182"/>
      <c r="BE648" s="182"/>
      <c r="BF648" s="182"/>
      <c r="BG648" s="182"/>
      <c r="BH648" s="182"/>
      <c r="BI648" s="182"/>
      <c r="BJ648" s="182"/>
      <c r="BK648" s="182"/>
      <c r="BL648" s="182"/>
      <c r="BM648" s="182"/>
      <c r="BN648" s="182"/>
      <c r="BO648" s="182"/>
      <c r="BP648" s="182"/>
      <c r="BQ648" s="182"/>
      <c r="BR648" s="182"/>
      <c r="BS648" s="182"/>
      <c r="BT648" s="182"/>
      <c r="BU648" s="182"/>
      <c r="BV648" s="182"/>
      <c r="BW648" s="182"/>
      <c r="BX648" s="182"/>
      <c r="BY648" s="182"/>
      <c r="BZ648" s="182"/>
      <c r="CA648" s="182"/>
      <c r="CB648" s="185">
        <v>175.86</v>
      </c>
      <c r="CC648" s="185">
        <v>0</v>
      </c>
      <c r="CD648" s="185">
        <v>2001</v>
      </c>
      <c r="CE648" s="185"/>
    </row>
    <row r="649" spans="2:83" x14ac:dyDescent="0.3">
      <c r="B649" s="182">
        <v>3906</v>
      </c>
      <c r="C649" s="182">
        <v>2002</v>
      </c>
      <c r="D649" s="182" t="s">
        <v>78</v>
      </c>
      <c r="E649" s="181" t="s">
        <v>4280</v>
      </c>
      <c r="F649" s="182"/>
      <c r="G649" s="182">
        <v>175.86</v>
      </c>
      <c r="H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2"/>
      <c r="X649" s="182"/>
      <c r="Y649" s="182"/>
      <c r="Z649" s="182"/>
      <c r="AA649" s="182"/>
      <c r="AB649" s="182"/>
      <c r="AC649" s="182"/>
      <c r="AD649" s="182"/>
      <c r="AE649" s="182"/>
      <c r="AF649" s="182"/>
      <c r="AG649" s="182"/>
      <c r="AH649" s="182"/>
      <c r="AI649" s="182"/>
      <c r="AJ649" s="182"/>
      <c r="AK649" s="182"/>
      <c r="AL649" s="182"/>
      <c r="AM649" s="182"/>
      <c r="AN649" s="182"/>
      <c r="AO649" s="182"/>
      <c r="AP649" s="182"/>
      <c r="AQ649" s="185">
        <v>175.86</v>
      </c>
      <c r="AR649" s="182">
        <v>130.16999999999999</v>
      </c>
      <c r="AS649" s="182">
        <v>3.33</v>
      </c>
      <c r="AT649" s="182">
        <v>42.36</v>
      </c>
      <c r="AU649" s="182"/>
      <c r="AV649" s="182"/>
      <c r="AW649" s="182"/>
      <c r="AX649" s="182"/>
      <c r="AY649" s="182"/>
      <c r="AZ649" s="182"/>
      <c r="BA649" s="182"/>
      <c r="BB649" s="182"/>
      <c r="BC649" s="182"/>
      <c r="BD649" s="182"/>
      <c r="BE649" s="182"/>
      <c r="BF649" s="182"/>
      <c r="BG649" s="182"/>
      <c r="BH649" s="182"/>
      <c r="BI649" s="182"/>
      <c r="BJ649" s="182"/>
      <c r="BK649" s="182"/>
      <c r="BL649" s="182"/>
      <c r="BM649" s="182"/>
      <c r="BN649" s="182"/>
      <c r="BO649" s="182"/>
      <c r="BP649" s="182"/>
      <c r="BQ649" s="182"/>
      <c r="BR649" s="182"/>
      <c r="BS649" s="182"/>
      <c r="BT649" s="182"/>
      <c r="BU649" s="182"/>
      <c r="BV649" s="182"/>
      <c r="BW649" s="182"/>
      <c r="BX649" s="182"/>
      <c r="BY649" s="182"/>
      <c r="BZ649" s="182"/>
      <c r="CA649" s="182"/>
      <c r="CB649" s="185">
        <v>175.86</v>
      </c>
      <c r="CC649" s="185">
        <v>0</v>
      </c>
      <c r="CD649" s="185">
        <v>2002</v>
      </c>
      <c r="CE649" s="185"/>
    </row>
    <row r="650" spans="2:83" x14ac:dyDescent="0.3">
      <c r="B650" s="182">
        <v>2289</v>
      </c>
      <c r="C650" s="182">
        <v>2003</v>
      </c>
      <c r="D650" s="182" t="s">
        <v>78</v>
      </c>
      <c r="E650" s="181" t="s">
        <v>4177</v>
      </c>
      <c r="F650" s="182"/>
      <c r="G650" s="182">
        <v>9840</v>
      </c>
      <c r="H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2"/>
      <c r="X650" s="182"/>
      <c r="Y650" s="182"/>
      <c r="Z650" s="182"/>
      <c r="AA650" s="182"/>
      <c r="AB650" s="182"/>
      <c r="AC650" s="182"/>
      <c r="AD650" s="182"/>
      <c r="AE650" s="182"/>
      <c r="AF650" s="182"/>
      <c r="AG650" s="182"/>
      <c r="AH650" s="182"/>
      <c r="AI650" s="182"/>
      <c r="AJ650" s="182"/>
      <c r="AK650" s="182"/>
      <c r="AL650" s="182"/>
      <c r="AM650" s="182"/>
      <c r="AN650" s="182"/>
      <c r="AO650" s="182"/>
      <c r="AP650" s="182"/>
      <c r="AQ650" s="185">
        <v>9840</v>
      </c>
      <c r="AR650" s="182">
        <v>8780.35</v>
      </c>
      <c r="AS650" s="182">
        <v>1059.6500000000001</v>
      </c>
      <c r="AT650" s="182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182"/>
      <c r="BK650" s="182"/>
      <c r="BL650" s="182"/>
      <c r="BM650" s="182"/>
      <c r="BN650" s="182"/>
      <c r="BO650" s="182"/>
      <c r="BP650" s="182"/>
      <c r="BQ650" s="182"/>
      <c r="BR650" s="182"/>
      <c r="BS650" s="182"/>
      <c r="BT650" s="182"/>
      <c r="BU650" s="182"/>
      <c r="BV650" s="182"/>
      <c r="BW650" s="182"/>
      <c r="BX650" s="182"/>
      <c r="BY650" s="182"/>
      <c r="BZ650" s="182"/>
      <c r="CA650" s="182"/>
      <c r="CB650" s="185">
        <v>9840</v>
      </c>
      <c r="CC650" s="185">
        <v>0</v>
      </c>
      <c r="CD650" s="185">
        <v>2003</v>
      </c>
      <c r="CE650" s="185"/>
    </row>
    <row r="651" spans="2:83" x14ac:dyDescent="0.3">
      <c r="B651" s="182">
        <v>2298</v>
      </c>
      <c r="C651" s="182">
        <v>2004</v>
      </c>
      <c r="D651" s="182" t="s">
        <v>78</v>
      </c>
      <c r="E651" s="181" t="s">
        <v>4281</v>
      </c>
      <c r="F651" s="182"/>
      <c r="G651" s="182">
        <v>1166.6500000000001</v>
      </c>
      <c r="H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2"/>
      <c r="X651" s="182"/>
      <c r="Y651" s="182"/>
      <c r="Z651" s="182"/>
      <c r="AA651" s="182"/>
      <c r="AB651" s="182"/>
      <c r="AC651" s="182"/>
      <c r="AD651" s="182"/>
      <c r="AE651" s="182"/>
      <c r="AF651" s="182"/>
      <c r="AG651" s="182"/>
      <c r="AH651" s="182"/>
      <c r="AI651" s="182"/>
      <c r="AJ651" s="182"/>
      <c r="AK651" s="182"/>
      <c r="AL651" s="182"/>
      <c r="AM651" s="182"/>
      <c r="AN651" s="182"/>
      <c r="AO651" s="182"/>
      <c r="AP651" s="182"/>
      <c r="AQ651" s="185">
        <v>1166.6500000000001</v>
      </c>
      <c r="AR651" s="182">
        <v>909.4</v>
      </c>
      <c r="AS651" s="182">
        <v>115.35</v>
      </c>
      <c r="AT651" s="182">
        <v>141.9</v>
      </c>
      <c r="AU651" s="182"/>
      <c r="AV651" s="182"/>
      <c r="AW651" s="182"/>
      <c r="AX651" s="182"/>
      <c r="AY651" s="182"/>
      <c r="AZ651" s="182"/>
      <c r="BA651" s="182"/>
      <c r="BB651" s="182"/>
      <c r="BC651" s="182"/>
      <c r="BD651" s="182"/>
      <c r="BE651" s="182"/>
      <c r="BF651" s="182"/>
      <c r="BG651" s="182"/>
      <c r="BH651" s="182"/>
      <c r="BI651" s="182"/>
      <c r="BJ651" s="182"/>
      <c r="BK651" s="182"/>
      <c r="BL651" s="182"/>
      <c r="BM651" s="182"/>
      <c r="BN651" s="182"/>
      <c r="BO651" s="182"/>
      <c r="BP651" s="182"/>
      <c r="BQ651" s="182"/>
      <c r="BR651" s="182"/>
      <c r="BS651" s="182"/>
      <c r="BT651" s="182"/>
      <c r="BU651" s="182"/>
      <c r="BV651" s="182"/>
      <c r="BW651" s="182"/>
      <c r="BX651" s="182"/>
      <c r="BY651" s="182"/>
      <c r="BZ651" s="182"/>
      <c r="CA651" s="182"/>
      <c r="CB651" s="185">
        <v>1166.6500000000001</v>
      </c>
      <c r="CC651" s="185">
        <v>0</v>
      </c>
      <c r="CD651" s="185">
        <v>2004</v>
      </c>
      <c r="CE651" s="185"/>
    </row>
    <row r="652" spans="2:83" x14ac:dyDescent="0.3">
      <c r="B652" s="182">
        <v>2303</v>
      </c>
      <c r="C652" s="182">
        <v>2005</v>
      </c>
      <c r="D652" s="182" t="s">
        <v>78</v>
      </c>
      <c r="E652" s="181" t="s">
        <v>4282</v>
      </c>
      <c r="F652" s="182"/>
      <c r="G652" s="182">
        <v>4800</v>
      </c>
      <c r="H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2"/>
      <c r="X652" s="182"/>
      <c r="Y652" s="182"/>
      <c r="Z652" s="182"/>
      <c r="AA652" s="182"/>
      <c r="AB652" s="182"/>
      <c r="AC652" s="182"/>
      <c r="AD652" s="182"/>
      <c r="AE652" s="182"/>
      <c r="AF652" s="182"/>
      <c r="AG652" s="182"/>
      <c r="AH652" s="182"/>
      <c r="AI652" s="182"/>
      <c r="AJ652" s="182"/>
      <c r="AK652" s="182"/>
      <c r="AL652" s="182"/>
      <c r="AM652" s="182"/>
      <c r="AN652" s="182"/>
      <c r="AO652" s="182"/>
      <c r="AP652" s="182"/>
      <c r="AQ652" s="185">
        <v>4800</v>
      </c>
      <c r="AR652" s="182">
        <v>4286.6499999999996</v>
      </c>
      <c r="AS652" s="182">
        <v>513.35</v>
      </c>
      <c r="AT652" s="182"/>
      <c r="AU652" s="182"/>
      <c r="AV652" s="182"/>
      <c r="AW652" s="182"/>
      <c r="AX652" s="182"/>
      <c r="AY652" s="182"/>
      <c r="AZ652" s="182"/>
      <c r="BA652" s="182"/>
      <c r="BB652" s="182"/>
      <c r="BC652" s="182"/>
      <c r="BD652" s="182"/>
      <c r="BE652" s="182"/>
      <c r="BF652" s="182"/>
      <c r="BG652" s="182"/>
      <c r="BH652" s="182"/>
      <c r="BI652" s="182"/>
      <c r="BJ652" s="182"/>
      <c r="BK652" s="182"/>
      <c r="BL652" s="182"/>
      <c r="BM652" s="182"/>
      <c r="BN652" s="182"/>
      <c r="BO652" s="182"/>
      <c r="BP652" s="182"/>
      <c r="BQ652" s="182"/>
      <c r="BR652" s="182"/>
      <c r="BS652" s="182"/>
      <c r="BT652" s="182"/>
      <c r="BU652" s="182"/>
      <c r="BV652" s="182"/>
      <c r="BW652" s="182"/>
      <c r="BX652" s="182"/>
      <c r="BY652" s="182"/>
      <c r="BZ652" s="182"/>
      <c r="CA652" s="182"/>
      <c r="CB652" s="185">
        <v>4800</v>
      </c>
      <c r="CC652" s="185">
        <v>0</v>
      </c>
      <c r="CD652" s="185">
        <v>2005</v>
      </c>
      <c r="CE652" s="185"/>
    </row>
    <row r="653" spans="2:83" x14ac:dyDescent="0.3">
      <c r="B653" s="182">
        <v>2302</v>
      </c>
      <c r="C653" s="182">
        <v>2006</v>
      </c>
      <c r="D653" s="182" t="s">
        <v>78</v>
      </c>
      <c r="E653" s="181" t="s">
        <v>4283</v>
      </c>
      <c r="F653" s="182"/>
      <c r="G653" s="182">
        <v>35.18</v>
      </c>
      <c r="H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2"/>
      <c r="X653" s="182"/>
      <c r="Y653" s="182"/>
      <c r="Z653" s="182"/>
      <c r="AA653" s="182"/>
      <c r="AB653" s="182"/>
      <c r="AC653" s="182"/>
      <c r="AD653" s="182"/>
      <c r="AE653" s="182"/>
      <c r="AF653" s="182"/>
      <c r="AG653" s="182"/>
      <c r="AH653" s="182"/>
      <c r="AI653" s="182"/>
      <c r="AJ653" s="182"/>
      <c r="AK653" s="182"/>
      <c r="AL653" s="182"/>
      <c r="AM653" s="182"/>
      <c r="AN653" s="182"/>
      <c r="AO653" s="182"/>
      <c r="AP653" s="182"/>
      <c r="AQ653" s="185">
        <v>35.18</v>
      </c>
      <c r="AR653" s="182">
        <v>23.7</v>
      </c>
      <c r="AS653" s="182">
        <v>3</v>
      </c>
      <c r="AT653" s="182">
        <v>8.48</v>
      </c>
      <c r="AU653" s="182"/>
      <c r="AV653" s="182"/>
      <c r="AW653" s="182"/>
      <c r="AX653" s="182"/>
      <c r="AY653" s="182"/>
      <c r="AZ653" s="182"/>
      <c r="BA653" s="182"/>
      <c r="BB653" s="182"/>
      <c r="BC653" s="182"/>
      <c r="BD653" s="182"/>
      <c r="BE653" s="182"/>
      <c r="BF653" s="182"/>
      <c r="BG653" s="182"/>
      <c r="BH653" s="182"/>
      <c r="BI653" s="182"/>
      <c r="BJ653" s="182"/>
      <c r="BK653" s="182"/>
      <c r="BL653" s="182"/>
      <c r="BM653" s="182"/>
      <c r="BN653" s="182"/>
      <c r="BO653" s="182"/>
      <c r="BP653" s="182"/>
      <c r="BQ653" s="182"/>
      <c r="BR653" s="182"/>
      <c r="BS653" s="182"/>
      <c r="BT653" s="182"/>
      <c r="BU653" s="182"/>
      <c r="BV653" s="182"/>
      <c r="BW653" s="182"/>
      <c r="BX653" s="182"/>
      <c r="BY653" s="182"/>
      <c r="BZ653" s="182"/>
      <c r="CA653" s="182"/>
      <c r="CB653" s="185">
        <v>35.18</v>
      </c>
      <c r="CC653" s="185">
        <v>0</v>
      </c>
      <c r="CD653" s="185">
        <v>2006</v>
      </c>
      <c r="CE653" s="185"/>
    </row>
    <row r="654" spans="2:83" x14ac:dyDescent="0.3">
      <c r="B654" s="182">
        <v>2661</v>
      </c>
      <c r="C654" s="182">
        <v>2007</v>
      </c>
      <c r="D654" s="182" t="s">
        <v>78</v>
      </c>
      <c r="E654" s="181" t="s">
        <v>4284</v>
      </c>
      <c r="F654" s="182"/>
      <c r="G654" s="182">
        <v>13200</v>
      </c>
      <c r="H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2"/>
      <c r="X654" s="182"/>
      <c r="Y654" s="182"/>
      <c r="Z654" s="182"/>
      <c r="AA654" s="182"/>
      <c r="AB654" s="182"/>
      <c r="AC654" s="182"/>
      <c r="AD654" s="182"/>
      <c r="AE654" s="182"/>
      <c r="AF654" s="182"/>
      <c r="AG654" s="182"/>
      <c r="AH654" s="182"/>
      <c r="AI654" s="182"/>
      <c r="AJ654" s="182"/>
      <c r="AK654" s="182"/>
      <c r="AL654" s="182"/>
      <c r="AM654" s="182"/>
      <c r="AN654" s="182"/>
      <c r="AO654" s="182"/>
      <c r="AP654" s="182"/>
      <c r="AQ654" s="185">
        <v>13200</v>
      </c>
      <c r="AR654" s="182">
        <v>11791.3</v>
      </c>
      <c r="AS654" s="182">
        <v>1408.7</v>
      </c>
      <c r="AT654" s="182"/>
      <c r="AU654" s="182"/>
      <c r="AV654" s="182"/>
      <c r="AW654" s="182"/>
      <c r="AX654" s="182"/>
      <c r="AY654" s="182"/>
      <c r="AZ654" s="182"/>
      <c r="BA654" s="182"/>
      <c r="BB654" s="182"/>
      <c r="BC654" s="182"/>
      <c r="BD654" s="182"/>
      <c r="BE654" s="182"/>
      <c r="BF654" s="182"/>
      <c r="BG654" s="182"/>
      <c r="BH654" s="182"/>
      <c r="BI654" s="182"/>
      <c r="BJ654" s="182"/>
      <c r="BK654" s="182"/>
      <c r="BL654" s="182"/>
      <c r="BM654" s="182"/>
      <c r="BN654" s="182"/>
      <c r="BO654" s="182"/>
      <c r="BP654" s="182"/>
      <c r="BQ654" s="182"/>
      <c r="BR654" s="182"/>
      <c r="BS654" s="182"/>
      <c r="BT654" s="182"/>
      <c r="BU654" s="182"/>
      <c r="BV654" s="182"/>
      <c r="BW654" s="182"/>
      <c r="BX654" s="182"/>
      <c r="BY654" s="182"/>
      <c r="BZ654" s="182"/>
      <c r="CA654" s="182"/>
      <c r="CB654" s="185">
        <v>13200</v>
      </c>
      <c r="CC654" s="185">
        <v>0</v>
      </c>
      <c r="CD654" s="185">
        <v>2007</v>
      </c>
      <c r="CE654" s="185"/>
    </row>
    <row r="655" spans="2:83" x14ac:dyDescent="0.3">
      <c r="B655" s="182">
        <v>2662</v>
      </c>
      <c r="C655" s="182">
        <v>2008</v>
      </c>
      <c r="D655" s="182" t="s">
        <v>78</v>
      </c>
      <c r="E655" s="181" t="s">
        <v>4284</v>
      </c>
      <c r="F655" s="182"/>
      <c r="G655" s="182">
        <v>13200</v>
      </c>
      <c r="H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2"/>
      <c r="X655" s="182"/>
      <c r="Y655" s="182"/>
      <c r="Z655" s="182"/>
      <c r="AA655" s="182"/>
      <c r="AB655" s="182"/>
      <c r="AC655" s="182"/>
      <c r="AD655" s="182"/>
      <c r="AE655" s="182"/>
      <c r="AF655" s="182"/>
      <c r="AG655" s="182"/>
      <c r="AH655" s="182"/>
      <c r="AI655" s="182"/>
      <c r="AJ655" s="182"/>
      <c r="AK655" s="182"/>
      <c r="AL655" s="182"/>
      <c r="AM655" s="182"/>
      <c r="AN655" s="182"/>
      <c r="AO655" s="182"/>
      <c r="AP655" s="182"/>
      <c r="AQ655" s="185">
        <v>13200</v>
      </c>
      <c r="AR655" s="182">
        <v>11791.3</v>
      </c>
      <c r="AS655" s="182">
        <v>1408.7</v>
      </c>
      <c r="AT655" s="182"/>
      <c r="AU655" s="182"/>
      <c r="AV655" s="182"/>
      <c r="AW655" s="182"/>
      <c r="AX655" s="182"/>
      <c r="AY655" s="182"/>
      <c r="AZ655" s="182"/>
      <c r="BA655" s="182"/>
      <c r="BB655" s="182"/>
      <c r="BC655" s="182"/>
      <c r="BD655" s="182"/>
      <c r="BE655" s="182"/>
      <c r="BF655" s="182"/>
      <c r="BG655" s="182"/>
      <c r="BH655" s="182"/>
      <c r="BI655" s="182"/>
      <c r="BJ655" s="182"/>
      <c r="BK655" s="182"/>
      <c r="BL655" s="182"/>
      <c r="BM655" s="182"/>
      <c r="BN655" s="182"/>
      <c r="BO655" s="182"/>
      <c r="BP655" s="182"/>
      <c r="BQ655" s="182"/>
      <c r="BR655" s="182"/>
      <c r="BS655" s="182"/>
      <c r="BT655" s="182"/>
      <c r="BU655" s="182"/>
      <c r="BV655" s="182"/>
      <c r="BW655" s="182"/>
      <c r="BX655" s="182"/>
      <c r="BY655" s="182"/>
      <c r="BZ655" s="182"/>
      <c r="CA655" s="182"/>
      <c r="CB655" s="185">
        <v>13200</v>
      </c>
      <c r="CC655" s="185">
        <v>0</v>
      </c>
      <c r="CD655" s="185">
        <v>2008</v>
      </c>
      <c r="CE655" s="185"/>
    </row>
    <row r="656" spans="2:83" x14ac:dyDescent="0.3">
      <c r="B656" s="182">
        <v>2660</v>
      </c>
      <c r="C656" s="182">
        <v>2009</v>
      </c>
      <c r="D656" s="182" t="s">
        <v>78</v>
      </c>
      <c r="E656" s="181" t="s">
        <v>4285</v>
      </c>
      <c r="F656" s="182"/>
      <c r="G656" s="182">
        <v>2327.62</v>
      </c>
      <c r="H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2"/>
      <c r="X656" s="182"/>
      <c r="Y656" s="182"/>
      <c r="Z656" s="182"/>
      <c r="AA656" s="182"/>
      <c r="AB656" s="182"/>
      <c r="AC656" s="182"/>
      <c r="AD656" s="182"/>
      <c r="AE656" s="182"/>
      <c r="AF656" s="182"/>
      <c r="AG656" s="182"/>
      <c r="AH656" s="182"/>
      <c r="AI656" s="182"/>
      <c r="AJ656" s="182"/>
      <c r="AK656" s="182"/>
      <c r="AL656" s="182"/>
      <c r="AM656" s="182"/>
      <c r="AN656" s="182"/>
      <c r="AO656" s="182"/>
      <c r="AP656" s="182"/>
      <c r="AQ656" s="185">
        <v>2327.62</v>
      </c>
      <c r="AR656" s="182">
        <v>1577.99</v>
      </c>
      <c r="AS656" s="182">
        <v>213.1</v>
      </c>
      <c r="AT656" s="182">
        <v>536.53</v>
      </c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182"/>
      <c r="BK656" s="182"/>
      <c r="BL656" s="182"/>
      <c r="BM656" s="182"/>
      <c r="BN656" s="182"/>
      <c r="BO656" s="182"/>
      <c r="BP656" s="182"/>
      <c r="BQ656" s="182"/>
      <c r="BR656" s="182"/>
      <c r="BS656" s="182"/>
      <c r="BT656" s="182"/>
      <c r="BU656" s="182"/>
      <c r="BV656" s="182"/>
      <c r="BW656" s="182"/>
      <c r="BX656" s="182"/>
      <c r="BY656" s="182"/>
      <c r="BZ656" s="182"/>
      <c r="CA656" s="182"/>
      <c r="CB656" s="185">
        <v>2327.62</v>
      </c>
      <c r="CC656" s="185">
        <v>0</v>
      </c>
      <c r="CD656" s="185">
        <v>2009</v>
      </c>
      <c r="CE656" s="185"/>
    </row>
    <row r="657" spans="2:83" x14ac:dyDescent="0.3">
      <c r="B657" s="182">
        <v>2658</v>
      </c>
      <c r="C657" s="182">
        <v>2010</v>
      </c>
      <c r="D657" s="182" t="s">
        <v>78</v>
      </c>
      <c r="E657" s="181" t="s">
        <v>4285</v>
      </c>
      <c r="F657" s="182"/>
      <c r="G657" s="182">
        <v>8000</v>
      </c>
      <c r="H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2"/>
      <c r="X657" s="182"/>
      <c r="Y657" s="182"/>
      <c r="Z657" s="182"/>
      <c r="AA657" s="182"/>
      <c r="AB657" s="182"/>
      <c r="AC657" s="182"/>
      <c r="AD657" s="182"/>
      <c r="AE657" s="182"/>
      <c r="AF657" s="182"/>
      <c r="AG657" s="182"/>
      <c r="AH657" s="182"/>
      <c r="AI657" s="182"/>
      <c r="AJ657" s="182"/>
      <c r="AK657" s="182"/>
      <c r="AL657" s="182"/>
      <c r="AM657" s="182"/>
      <c r="AN657" s="182"/>
      <c r="AO657" s="182"/>
      <c r="AP657" s="182"/>
      <c r="AQ657" s="185">
        <v>8000</v>
      </c>
      <c r="AR657" s="182">
        <v>7141.4</v>
      </c>
      <c r="AS657" s="182">
        <v>858.6</v>
      </c>
      <c r="AT657" s="182"/>
      <c r="AU657" s="182"/>
      <c r="AV657" s="182"/>
      <c r="AW657" s="182"/>
      <c r="AX657" s="182"/>
      <c r="AY657" s="182"/>
      <c r="AZ657" s="182"/>
      <c r="BA657" s="182"/>
      <c r="BB657" s="182"/>
      <c r="BC657" s="182"/>
      <c r="BD657" s="182"/>
      <c r="BE657" s="182"/>
      <c r="BF657" s="182"/>
      <c r="BG657" s="182"/>
      <c r="BH657" s="182"/>
      <c r="BI657" s="182"/>
      <c r="BJ657" s="182"/>
      <c r="BK657" s="182"/>
      <c r="BL657" s="182"/>
      <c r="BM657" s="182"/>
      <c r="BN657" s="182"/>
      <c r="BO657" s="182"/>
      <c r="BP657" s="182"/>
      <c r="BQ657" s="182"/>
      <c r="BR657" s="182"/>
      <c r="BS657" s="182"/>
      <c r="BT657" s="182"/>
      <c r="BU657" s="182"/>
      <c r="BV657" s="182"/>
      <c r="BW657" s="182"/>
      <c r="BX657" s="182"/>
      <c r="BY657" s="182"/>
      <c r="BZ657" s="182"/>
      <c r="CA657" s="182"/>
      <c r="CB657" s="185">
        <v>8000</v>
      </c>
      <c r="CC657" s="185">
        <v>0</v>
      </c>
      <c r="CD657" s="185">
        <v>2010</v>
      </c>
      <c r="CE657" s="185"/>
    </row>
    <row r="658" spans="2:83" x14ac:dyDescent="0.3">
      <c r="B658" s="182">
        <v>2295</v>
      </c>
      <c r="C658" s="182">
        <v>2011</v>
      </c>
      <c r="D658" s="182" t="s">
        <v>78</v>
      </c>
      <c r="E658" s="181" t="s">
        <v>2024</v>
      </c>
      <c r="F658" s="182"/>
      <c r="G658" s="182">
        <v>20220</v>
      </c>
      <c r="H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2"/>
      <c r="X658" s="182"/>
      <c r="Y658" s="182"/>
      <c r="Z658" s="182"/>
      <c r="AA658" s="182"/>
      <c r="AB658" s="182"/>
      <c r="AC658" s="182"/>
      <c r="AD658" s="182"/>
      <c r="AE658" s="182"/>
      <c r="AF658" s="182"/>
      <c r="AG658" s="182"/>
      <c r="AH658" s="182"/>
      <c r="AI658" s="182"/>
      <c r="AJ658" s="182"/>
      <c r="AK658" s="182"/>
      <c r="AL658" s="182"/>
      <c r="AM658" s="182"/>
      <c r="AN658" s="182"/>
      <c r="AO658" s="182"/>
      <c r="AP658" s="182"/>
      <c r="AQ658" s="185">
        <v>20220</v>
      </c>
      <c r="AR658" s="182">
        <v>18045.2</v>
      </c>
      <c r="AS658" s="182">
        <v>2174.8000000000002</v>
      </c>
      <c r="AT658" s="182"/>
      <c r="AU658" s="182"/>
      <c r="AV658" s="182"/>
      <c r="AW658" s="182"/>
      <c r="AX658" s="182"/>
      <c r="AY658" s="182"/>
      <c r="AZ658" s="182"/>
      <c r="BA658" s="182"/>
      <c r="BB658" s="182"/>
      <c r="BC658" s="182"/>
      <c r="BD658" s="182"/>
      <c r="BE658" s="182"/>
      <c r="BF658" s="182"/>
      <c r="BG658" s="182"/>
      <c r="BH658" s="182"/>
      <c r="BI658" s="182"/>
      <c r="BJ658" s="182"/>
      <c r="BK658" s="182"/>
      <c r="BL658" s="182"/>
      <c r="BM658" s="182"/>
      <c r="BN658" s="182"/>
      <c r="BO658" s="182"/>
      <c r="BP658" s="182"/>
      <c r="BQ658" s="182"/>
      <c r="BR658" s="182"/>
      <c r="BS658" s="182"/>
      <c r="BT658" s="182"/>
      <c r="BU658" s="182"/>
      <c r="BV658" s="182"/>
      <c r="BW658" s="182"/>
      <c r="BX658" s="182"/>
      <c r="BY658" s="182"/>
      <c r="BZ658" s="182"/>
      <c r="CA658" s="182"/>
      <c r="CB658" s="185">
        <v>20220</v>
      </c>
      <c r="CC658" s="185">
        <v>0</v>
      </c>
      <c r="CD658" s="185">
        <v>2011</v>
      </c>
      <c r="CE658" s="185"/>
    </row>
    <row r="659" spans="2:83" x14ac:dyDescent="0.3">
      <c r="B659" s="182">
        <v>2294</v>
      </c>
      <c r="C659" s="182">
        <v>2012</v>
      </c>
      <c r="D659" s="182" t="s">
        <v>78</v>
      </c>
      <c r="E659" s="181" t="s">
        <v>2024</v>
      </c>
      <c r="F659" s="182"/>
      <c r="G659" s="182">
        <v>2940</v>
      </c>
      <c r="H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2"/>
      <c r="X659" s="182"/>
      <c r="Y659" s="182"/>
      <c r="Z659" s="182"/>
      <c r="AA659" s="182"/>
      <c r="AB659" s="182"/>
      <c r="AC659" s="182"/>
      <c r="AD659" s="182"/>
      <c r="AE659" s="182"/>
      <c r="AF659" s="182"/>
      <c r="AG659" s="182"/>
      <c r="AH659" s="182"/>
      <c r="AI659" s="182"/>
      <c r="AJ659" s="182"/>
      <c r="AK659" s="182"/>
      <c r="AL659" s="182"/>
      <c r="AM659" s="182"/>
      <c r="AN659" s="182"/>
      <c r="AO659" s="182"/>
      <c r="AP659" s="182"/>
      <c r="AQ659" s="185">
        <v>2940</v>
      </c>
      <c r="AR659" s="182">
        <v>2624.3</v>
      </c>
      <c r="AS659" s="182">
        <v>315.7</v>
      </c>
      <c r="AT659" s="182"/>
      <c r="AU659" s="182"/>
      <c r="AV659" s="182"/>
      <c r="AW659" s="182"/>
      <c r="AX659" s="182"/>
      <c r="AY659" s="182"/>
      <c r="AZ659" s="182"/>
      <c r="BA659" s="182"/>
      <c r="BB659" s="182"/>
      <c r="BC659" s="182"/>
      <c r="BD659" s="182"/>
      <c r="BE659" s="182"/>
      <c r="BF659" s="182"/>
      <c r="BG659" s="182"/>
      <c r="BH659" s="182"/>
      <c r="BI659" s="182"/>
      <c r="BJ659" s="182"/>
      <c r="BK659" s="182"/>
      <c r="BL659" s="182"/>
      <c r="BM659" s="182"/>
      <c r="BN659" s="182"/>
      <c r="BO659" s="182"/>
      <c r="BP659" s="182"/>
      <c r="BQ659" s="182"/>
      <c r="BR659" s="182"/>
      <c r="BS659" s="182"/>
      <c r="BT659" s="182"/>
      <c r="BU659" s="182"/>
      <c r="BV659" s="182"/>
      <c r="BW659" s="182"/>
      <c r="BX659" s="182"/>
      <c r="BY659" s="182"/>
      <c r="BZ659" s="182"/>
      <c r="CA659" s="182"/>
      <c r="CB659" s="185">
        <v>2940</v>
      </c>
      <c r="CC659" s="185">
        <v>0</v>
      </c>
      <c r="CD659" s="185">
        <v>2012</v>
      </c>
      <c r="CE659" s="185"/>
    </row>
    <row r="660" spans="2:83" x14ac:dyDescent="0.3">
      <c r="B660" s="182">
        <v>2293</v>
      </c>
      <c r="C660" s="182">
        <v>2013</v>
      </c>
      <c r="D660" s="182" t="s">
        <v>78</v>
      </c>
      <c r="E660" s="181" t="s">
        <v>2024</v>
      </c>
      <c r="F660" s="182"/>
      <c r="G660" s="182">
        <v>1143.19</v>
      </c>
      <c r="H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2"/>
      <c r="X660" s="182"/>
      <c r="Y660" s="182"/>
      <c r="Z660" s="182"/>
      <c r="AA660" s="182"/>
      <c r="AB660" s="182"/>
      <c r="AC660" s="182"/>
      <c r="AD660" s="182"/>
      <c r="AE660" s="182"/>
      <c r="AF660" s="182"/>
      <c r="AG660" s="182"/>
      <c r="AH660" s="182"/>
      <c r="AI660" s="182"/>
      <c r="AJ660" s="182"/>
      <c r="AK660" s="182"/>
      <c r="AL660" s="182"/>
      <c r="AM660" s="182"/>
      <c r="AN660" s="182"/>
      <c r="AO660" s="182"/>
      <c r="AP660" s="182"/>
      <c r="AQ660" s="185">
        <v>1143.19</v>
      </c>
      <c r="AR660" s="182">
        <v>764.95</v>
      </c>
      <c r="AS660" s="182">
        <v>102.8</v>
      </c>
      <c r="AT660" s="182">
        <v>275.44</v>
      </c>
      <c r="AU660" s="182"/>
      <c r="AV660" s="182"/>
      <c r="AW660" s="182"/>
      <c r="AX660" s="182"/>
      <c r="AY660" s="182"/>
      <c r="AZ660" s="182"/>
      <c r="BA660" s="182"/>
      <c r="BB660" s="182"/>
      <c r="BC660" s="182"/>
      <c r="BD660" s="182"/>
      <c r="BE660" s="182"/>
      <c r="BF660" s="182"/>
      <c r="BG660" s="182"/>
      <c r="BH660" s="182"/>
      <c r="BI660" s="182"/>
      <c r="BJ660" s="182"/>
      <c r="BK660" s="182"/>
      <c r="BL660" s="182"/>
      <c r="BM660" s="182"/>
      <c r="BN660" s="182"/>
      <c r="BO660" s="182"/>
      <c r="BP660" s="182"/>
      <c r="BQ660" s="182"/>
      <c r="BR660" s="182"/>
      <c r="BS660" s="182"/>
      <c r="BT660" s="182"/>
      <c r="BU660" s="182"/>
      <c r="BV660" s="182"/>
      <c r="BW660" s="182"/>
      <c r="BX660" s="182"/>
      <c r="BY660" s="182"/>
      <c r="BZ660" s="182"/>
      <c r="CA660" s="182"/>
      <c r="CB660" s="185">
        <v>1143.19</v>
      </c>
      <c r="CC660" s="185">
        <v>0</v>
      </c>
      <c r="CD660" s="185">
        <v>2013</v>
      </c>
      <c r="CE660" s="185"/>
    </row>
    <row r="661" spans="2:83" x14ac:dyDescent="0.3">
      <c r="B661" s="182">
        <v>2291</v>
      </c>
      <c r="C661" s="182">
        <v>2014</v>
      </c>
      <c r="D661" s="182" t="s">
        <v>78</v>
      </c>
      <c r="E661" s="181" t="s">
        <v>2024</v>
      </c>
      <c r="F661" s="182"/>
      <c r="G661" s="182">
        <v>17090.27</v>
      </c>
      <c r="H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2"/>
      <c r="X661" s="182"/>
      <c r="Y661" s="182"/>
      <c r="Z661" s="182"/>
      <c r="AA661" s="182"/>
      <c r="AB661" s="182"/>
      <c r="AC661" s="182"/>
      <c r="AD661" s="182"/>
      <c r="AE661" s="182"/>
      <c r="AF661" s="182"/>
      <c r="AG661" s="182"/>
      <c r="AH661" s="182"/>
      <c r="AI661" s="182"/>
      <c r="AJ661" s="182"/>
      <c r="AK661" s="182"/>
      <c r="AL661" s="182"/>
      <c r="AM661" s="182"/>
      <c r="AN661" s="182"/>
      <c r="AO661" s="182"/>
      <c r="AP661" s="182"/>
      <c r="AQ661" s="185">
        <v>17090.27</v>
      </c>
      <c r="AR661" s="182">
        <v>15102.44</v>
      </c>
      <c r="AS661" s="182">
        <v>1807.25</v>
      </c>
      <c r="AT661" s="182">
        <v>180.58</v>
      </c>
      <c r="AU661" s="182"/>
      <c r="AV661" s="182"/>
      <c r="AW661" s="182"/>
      <c r="AX661" s="182"/>
      <c r="AY661" s="182"/>
      <c r="AZ661" s="182"/>
      <c r="BA661" s="182"/>
      <c r="BB661" s="182"/>
      <c r="BC661" s="182"/>
      <c r="BD661" s="182"/>
      <c r="BE661" s="182"/>
      <c r="BF661" s="182"/>
      <c r="BG661" s="182"/>
      <c r="BH661" s="182"/>
      <c r="BI661" s="182"/>
      <c r="BJ661" s="182"/>
      <c r="BK661" s="182"/>
      <c r="BL661" s="182"/>
      <c r="BM661" s="182"/>
      <c r="BN661" s="182"/>
      <c r="BO661" s="182"/>
      <c r="BP661" s="182"/>
      <c r="BQ661" s="182"/>
      <c r="BR661" s="182"/>
      <c r="BS661" s="182"/>
      <c r="BT661" s="182"/>
      <c r="BU661" s="182"/>
      <c r="BV661" s="182"/>
      <c r="BW661" s="182"/>
      <c r="BX661" s="182"/>
      <c r="BY661" s="182"/>
      <c r="BZ661" s="182"/>
      <c r="CA661" s="182"/>
      <c r="CB661" s="185">
        <v>17090.270000000004</v>
      </c>
      <c r="CC661" s="185">
        <v>0</v>
      </c>
      <c r="CD661" s="185">
        <v>2014</v>
      </c>
      <c r="CE661" s="185"/>
    </row>
    <row r="662" spans="2:83" x14ac:dyDescent="0.3">
      <c r="B662" s="182">
        <v>2290</v>
      </c>
      <c r="C662" s="182">
        <v>2015</v>
      </c>
      <c r="D662" s="182" t="s">
        <v>78</v>
      </c>
      <c r="E662" s="181" t="s">
        <v>2024</v>
      </c>
      <c r="F662" s="182"/>
      <c r="G662" s="182">
        <v>246.22</v>
      </c>
      <c r="H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2"/>
      <c r="X662" s="182"/>
      <c r="Y662" s="182"/>
      <c r="Z662" s="182"/>
      <c r="AA662" s="182"/>
      <c r="AB662" s="182"/>
      <c r="AC662" s="182"/>
      <c r="AD662" s="182"/>
      <c r="AE662" s="182"/>
      <c r="AF662" s="182"/>
      <c r="AG662" s="182"/>
      <c r="AH662" s="182"/>
      <c r="AI662" s="182"/>
      <c r="AJ662" s="182"/>
      <c r="AK662" s="182"/>
      <c r="AL662" s="182"/>
      <c r="AM662" s="182"/>
      <c r="AN662" s="182"/>
      <c r="AO662" s="182"/>
      <c r="AP662" s="182"/>
      <c r="AQ662" s="185">
        <v>246.22</v>
      </c>
      <c r="AR662" s="182">
        <v>165.05</v>
      </c>
      <c r="AS662" s="182">
        <v>21.85</v>
      </c>
      <c r="AT662" s="182">
        <v>59.32</v>
      </c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182"/>
      <c r="BK662" s="182"/>
      <c r="BL662" s="182"/>
      <c r="BM662" s="182"/>
      <c r="BN662" s="182"/>
      <c r="BO662" s="182"/>
      <c r="BP662" s="182"/>
      <c r="BQ662" s="182"/>
      <c r="BR662" s="182"/>
      <c r="BS662" s="182"/>
      <c r="BT662" s="182"/>
      <c r="BU662" s="182"/>
      <c r="BV662" s="182"/>
      <c r="BW662" s="182"/>
      <c r="BX662" s="182"/>
      <c r="BY662" s="182"/>
      <c r="BZ662" s="182"/>
      <c r="CA662" s="182"/>
      <c r="CB662" s="185">
        <v>246.22</v>
      </c>
      <c r="CC662" s="185">
        <v>0</v>
      </c>
      <c r="CD662" s="185">
        <v>2015</v>
      </c>
      <c r="CE662" s="185"/>
    </row>
    <row r="663" spans="2:83" x14ac:dyDescent="0.3">
      <c r="B663" s="182">
        <v>2296</v>
      </c>
      <c r="C663" s="182">
        <v>2016</v>
      </c>
      <c r="D663" s="182" t="s">
        <v>78</v>
      </c>
      <c r="E663" s="181" t="s">
        <v>2024</v>
      </c>
      <c r="F663" s="182"/>
      <c r="G663" s="182">
        <v>844.2</v>
      </c>
      <c r="H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2"/>
      <c r="X663" s="182"/>
      <c r="Y663" s="182"/>
      <c r="Z663" s="182"/>
      <c r="AA663" s="182"/>
      <c r="AB663" s="182"/>
      <c r="AC663" s="182"/>
      <c r="AD663" s="182"/>
      <c r="AE663" s="182"/>
      <c r="AF663" s="182"/>
      <c r="AG663" s="182"/>
      <c r="AH663" s="182"/>
      <c r="AI663" s="182"/>
      <c r="AJ663" s="182"/>
      <c r="AK663" s="182"/>
      <c r="AL663" s="182"/>
      <c r="AM663" s="182"/>
      <c r="AN663" s="182"/>
      <c r="AO663" s="182"/>
      <c r="AP663" s="182"/>
      <c r="AQ663" s="185">
        <v>844.2</v>
      </c>
      <c r="AR663" s="182">
        <v>564.65</v>
      </c>
      <c r="AS663" s="182">
        <v>76.150000000000006</v>
      </c>
      <c r="AT663" s="182">
        <v>203.4</v>
      </c>
      <c r="AU663" s="182"/>
      <c r="AV663" s="182"/>
      <c r="AW663" s="182"/>
      <c r="AX663" s="182"/>
      <c r="AY663" s="182"/>
      <c r="AZ663" s="182"/>
      <c r="BA663" s="182"/>
      <c r="BB663" s="182"/>
      <c r="BC663" s="182"/>
      <c r="BD663" s="182"/>
      <c r="BE663" s="182"/>
      <c r="BF663" s="182"/>
      <c r="BG663" s="182"/>
      <c r="BH663" s="182"/>
      <c r="BI663" s="182"/>
      <c r="BJ663" s="182"/>
      <c r="BK663" s="182"/>
      <c r="BL663" s="182"/>
      <c r="BM663" s="182"/>
      <c r="BN663" s="182"/>
      <c r="BO663" s="182"/>
      <c r="BP663" s="182"/>
      <c r="BQ663" s="182"/>
      <c r="BR663" s="182"/>
      <c r="BS663" s="182"/>
      <c r="BT663" s="182"/>
      <c r="BU663" s="182"/>
      <c r="BV663" s="182"/>
      <c r="BW663" s="182"/>
      <c r="BX663" s="182"/>
      <c r="BY663" s="182"/>
      <c r="BZ663" s="182"/>
      <c r="CA663" s="182"/>
      <c r="CB663" s="185">
        <v>844.19999999999993</v>
      </c>
      <c r="CC663" s="185">
        <v>0</v>
      </c>
      <c r="CD663" s="185">
        <v>2016</v>
      </c>
      <c r="CE663" s="185"/>
    </row>
    <row r="664" spans="2:83" x14ac:dyDescent="0.3">
      <c r="B664" s="182">
        <v>2663</v>
      </c>
      <c r="C664" s="182">
        <v>2017</v>
      </c>
      <c r="D664" s="182" t="s">
        <v>78</v>
      </c>
      <c r="E664" s="181" t="s">
        <v>4286</v>
      </c>
      <c r="F664" s="182"/>
      <c r="G664" s="182">
        <v>1477.35</v>
      </c>
      <c r="H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2"/>
      <c r="X664" s="182"/>
      <c r="Y664" s="182"/>
      <c r="Z664" s="182"/>
      <c r="AA664" s="182"/>
      <c r="AB664" s="182"/>
      <c r="AC664" s="182"/>
      <c r="AD664" s="182"/>
      <c r="AE664" s="182"/>
      <c r="AF664" s="182"/>
      <c r="AG664" s="182"/>
      <c r="AH664" s="182"/>
      <c r="AI664" s="182"/>
      <c r="AJ664" s="182"/>
      <c r="AK664" s="182"/>
      <c r="AL664" s="182"/>
      <c r="AM664" s="182"/>
      <c r="AN664" s="182"/>
      <c r="AO664" s="182"/>
      <c r="AP664" s="182"/>
      <c r="AQ664" s="185">
        <v>1477.35</v>
      </c>
      <c r="AR664" s="182">
        <v>987.4</v>
      </c>
      <c r="AS664" s="182">
        <v>134</v>
      </c>
      <c r="AT664" s="182">
        <v>355.95</v>
      </c>
      <c r="AU664" s="182"/>
      <c r="AV664" s="182"/>
      <c r="AW664" s="182"/>
      <c r="AX664" s="182"/>
      <c r="AY664" s="182"/>
      <c r="AZ664" s="182"/>
      <c r="BA664" s="182"/>
      <c r="BB664" s="182"/>
      <c r="BC664" s="182"/>
      <c r="BD664" s="182"/>
      <c r="BE664" s="182"/>
      <c r="BF664" s="182"/>
      <c r="BG664" s="182"/>
      <c r="BH664" s="182"/>
      <c r="BI664" s="182"/>
      <c r="BJ664" s="182"/>
      <c r="BK664" s="182"/>
      <c r="BL664" s="182"/>
      <c r="BM664" s="182"/>
      <c r="BN664" s="182"/>
      <c r="BO664" s="182"/>
      <c r="BP664" s="182"/>
      <c r="BQ664" s="182"/>
      <c r="BR664" s="182"/>
      <c r="BS664" s="182"/>
      <c r="BT664" s="182"/>
      <c r="BU664" s="182"/>
      <c r="BV664" s="182"/>
      <c r="BW664" s="182"/>
      <c r="BX664" s="182"/>
      <c r="BY664" s="182"/>
      <c r="BZ664" s="182"/>
      <c r="CA664" s="182"/>
      <c r="CB664" s="185">
        <v>1477.3500000000001</v>
      </c>
      <c r="CC664" s="185">
        <v>0</v>
      </c>
      <c r="CD664" s="185">
        <v>2017</v>
      </c>
      <c r="CE664" s="185"/>
    </row>
    <row r="665" spans="2:83" x14ac:dyDescent="0.3">
      <c r="B665" s="182">
        <v>2664</v>
      </c>
      <c r="C665" s="182">
        <v>2018</v>
      </c>
      <c r="D665" s="182" t="s">
        <v>78</v>
      </c>
      <c r="E665" s="181" t="s">
        <v>4286</v>
      </c>
      <c r="F665" s="182"/>
      <c r="G665" s="182">
        <v>8427.66</v>
      </c>
      <c r="H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2"/>
      <c r="X665" s="182"/>
      <c r="Y665" s="182"/>
      <c r="Z665" s="182"/>
      <c r="AA665" s="182"/>
      <c r="AB665" s="182"/>
      <c r="AC665" s="182"/>
      <c r="AD665" s="182"/>
      <c r="AE665" s="182"/>
      <c r="AF665" s="182"/>
      <c r="AG665" s="182"/>
      <c r="AH665" s="182"/>
      <c r="AI665" s="182"/>
      <c r="AJ665" s="182"/>
      <c r="AK665" s="182"/>
      <c r="AL665" s="182"/>
      <c r="AM665" s="182"/>
      <c r="AN665" s="182"/>
      <c r="AO665" s="182"/>
      <c r="AP665" s="182"/>
      <c r="AQ665" s="185">
        <v>8427.66</v>
      </c>
      <c r="AR665" s="182">
        <v>7021.39</v>
      </c>
      <c r="AS665" s="182">
        <v>869.65</v>
      </c>
      <c r="AT665" s="182">
        <v>536.62</v>
      </c>
      <c r="AU665" s="182"/>
      <c r="AV665" s="182"/>
      <c r="AW665" s="182"/>
      <c r="AX665" s="182"/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/>
      <c r="BI665" s="182"/>
      <c r="BJ665" s="182"/>
      <c r="BK665" s="182"/>
      <c r="BL665" s="182"/>
      <c r="BM665" s="182"/>
      <c r="BN665" s="182"/>
      <c r="BO665" s="182"/>
      <c r="BP665" s="182"/>
      <c r="BQ665" s="182"/>
      <c r="BR665" s="182"/>
      <c r="BS665" s="182"/>
      <c r="BT665" s="182"/>
      <c r="BU665" s="182"/>
      <c r="BV665" s="182"/>
      <c r="BW665" s="182"/>
      <c r="BX665" s="182"/>
      <c r="BY665" s="182"/>
      <c r="BZ665" s="182"/>
      <c r="CA665" s="182"/>
      <c r="CB665" s="185">
        <v>8427.66</v>
      </c>
      <c r="CC665" s="185">
        <v>0</v>
      </c>
      <c r="CD665" s="185">
        <v>2018</v>
      </c>
      <c r="CE665" s="185"/>
    </row>
    <row r="666" spans="2:83" x14ac:dyDescent="0.3">
      <c r="B666" s="182">
        <v>2659</v>
      </c>
      <c r="C666" s="182">
        <v>2019</v>
      </c>
      <c r="D666" s="182" t="s">
        <v>78</v>
      </c>
      <c r="E666" s="181" t="s">
        <v>2765</v>
      </c>
      <c r="F666" s="182"/>
      <c r="G666" s="182">
        <v>1080</v>
      </c>
      <c r="H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2"/>
      <c r="X666" s="182"/>
      <c r="Y666" s="182"/>
      <c r="Z666" s="182"/>
      <c r="AA666" s="182"/>
      <c r="AB666" s="182"/>
      <c r="AC666" s="182"/>
      <c r="AD666" s="182"/>
      <c r="AE666" s="182"/>
      <c r="AF666" s="182"/>
      <c r="AG666" s="182"/>
      <c r="AH666" s="182"/>
      <c r="AI666" s="182"/>
      <c r="AJ666" s="182"/>
      <c r="AK666" s="182"/>
      <c r="AL666" s="182"/>
      <c r="AM666" s="182"/>
      <c r="AN666" s="182"/>
      <c r="AO666" s="182"/>
      <c r="AP666" s="182"/>
      <c r="AQ666" s="185">
        <v>1080</v>
      </c>
      <c r="AR666" s="182">
        <v>965.35</v>
      </c>
      <c r="AS666" s="182">
        <v>114.65</v>
      </c>
      <c r="AT666" s="182"/>
      <c r="AU666" s="182"/>
      <c r="AV666" s="182"/>
      <c r="AW666" s="182"/>
      <c r="AX666" s="182"/>
      <c r="AY666" s="182"/>
      <c r="AZ666" s="182"/>
      <c r="BA666" s="182"/>
      <c r="BB666" s="182"/>
      <c r="BC666" s="182"/>
      <c r="BD666" s="182"/>
      <c r="BE666" s="182"/>
      <c r="BF666" s="182"/>
      <c r="BG666" s="182"/>
      <c r="BH666" s="182"/>
      <c r="BI666" s="182"/>
      <c r="BJ666" s="182"/>
      <c r="BK666" s="182"/>
      <c r="BL666" s="182"/>
      <c r="BM666" s="182"/>
      <c r="BN666" s="182"/>
      <c r="BO666" s="182"/>
      <c r="BP666" s="182"/>
      <c r="BQ666" s="182"/>
      <c r="BR666" s="182"/>
      <c r="BS666" s="182"/>
      <c r="BT666" s="182"/>
      <c r="BU666" s="182"/>
      <c r="BV666" s="182"/>
      <c r="BW666" s="182"/>
      <c r="BX666" s="182"/>
      <c r="BY666" s="182"/>
      <c r="BZ666" s="182"/>
      <c r="CA666" s="182"/>
      <c r="CB666" s="185">
        <v>1080</v>
      </c>
      <c r="CC666" s="185">
        <v>0</v>
      </c>
      <c r="CD666" s="185">
        <v>2019</v>
      </c>
      <c r="CE666" s="185"/>
    </row>
    <row r="667" spans="2:83" x14ac:dyDescent="0.3">
      <c r="B667" s="182">
        <v>2304</v>
      </c>
      <c r="C667" s="182">
        <v>2020</v>
      </c>
      <c r="D667" s="182" t="s">
        <v>78</v>
      </c>
      <c r="E667" s="181" t="s">
        <v>4283</v>
      </c>
      <c r="F667" s="182"/>
      <c r="G667" s="182">
        <v>6622.8</v>
      </c>
      <c r="H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2"/>
      <c r="X667" s="182"/>
      <c r="Y667" s="182"/>
      <c r="Z667" s="182"/>
      <c r="AA667" s="182"/>
      <c r="AB667" s="182"/>
      <c r="AC667" s="182"/>
      <c r="AD667" s="182"/>
      <c r="AE667" s="182"/>
      <c r="AF667" s="182"/>
      <c r="AG667" s="182"/>
      <c r="AH667" s="182"/>
      <c r="AI667" s="182"/>
      <c r="AJ667" s="182"/>
      <c r="AK667" s="182"/>
      <c r="AL667" s="182"/>
      <c r="AM667" s="182"/>
      <c r="AN667" s="182"/>
      <c r="AO667" s="182"/>
      <c r="AP667" s="182"/>
      <c r="AQ667" s="185">
        <v>6622.8</v>
      </c>
      <c r="AR667" s="182">
        <v>5789.85</v>
      </c>
      <c r="AS667" s="182">
        <v>697.35</v>
      </c>
      <c r="AT667" s="182">
        <v>135.6</v>
      </c>
      <c r="AU667" s="182"/>
      <c r="AV667" s="182"/>
      <c r="AW667" s="182"/>
      <c r="AX667" s="182"/>
      <c r="AY667" s="182"/>
      <c r="AZ667" s="182"/>
      <c r="BA667" s="182"/>
      <c r="BB667" s="182"/>
      <c r="BC667" s="182"/>
      <c r="BD667" s="182"/>
      <c r="BE667" s="182"/>
      <c r="BF667" s="182"/>
      <c r="BG667" s="182"/>
      <c r="BH667" s="182"/>
      <c r="BI667" s="182"/>
      <c r="BJ667" s="182"/>
      <c r="BK667" s="182"/>
      <c r="BL667" s="182"/>
      <c r="BM667" s="182"/>
      <c r="BN667" s="182"/>
      <c r="BO667" s="182"/>
      <c r="BP667" s="182"/>
      <c r="BQ667" s="182"/>
      <c r="BR667" s="182"/>
      <c r="BS667" s="182"/>
      <c r="BT667" s="182"/>
      <c r="BU667" s="182"/>
      <c r="BV667" s="182"/>
      <c r="BW667" s="182"/>
      <c r="BX667" s="182"/>
      <c r="BY667" s="182"/>
      <c r="BZ667" s="182"/>
      <c r="CA667" s="182"/>
      <c r="CB667" s="185">
        <v>6622.8000000000011</v>
      </c>
      <c r="CC667" s="185">
        <v>0</v>
      </c>
      <c r="CD667" s="185">
        <v>2020</v>
      </c>
      <c r="CE667" s="185"/>
    </row>
    <row r="668" spans="2:83" x14ac:dyDescent="0.3">
      <c r="B668" s="182">
        <v>2299</v>
      </c>
      <c r="C668" s="182">
        <v>2021</v>
      </c>
      <c r="D668" s="182" t="s">
        <v>78</v>
      </c>
      <c r="E668" s="181" t="s">
        <v>4281</v>
      </c>
      <c r="F668" s="182"/>
      <c r="G668" s="182">
        <v>977.62</v>
      </c>
      <c r="H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2"/>
      <c r="X668" s="182"/>
      <c r="Y668" s="182"/>
      <c r="Z668" s="182"/>
      <c r="AA668" s="182"/>
      <c r="AB668" s="182"/>
      <c r="AC668" s="182"/>
      <c r="AD668" s="182"/>
      <c r="AE668" s="182"/>
      <c r="AF668" s="182"/>
      <c r="AG668" s="182"/>
      <c r="AH668" s="182"/>
      <c r="AI668" s="182"/>
      <c r="AJ668" s="182"/>
      <c r="AK668" s="182"/>
      <c r="AL668" s="182"/>
      <c r="AM668" s="182"/>
      <c r="AN668" s="182"/>
      <c r="AO668" s="182"/>
      <c r="AP668" s="182"/>
      <c r="AQ668" s="185">
        <v>977.62</v>
      </c>
      <c r="AR668" s="182">
        <v>755.6</v>
      </c>
      <c r="AS668" s="182">
        <v>94.9</v>
      </c>
      <c r="AT668" s="182">
        <v>127.12</v>
      </c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/>
      <c r="BF668" s="182"/>
      <c r="BG668" s="182"/>
      <c r="BH668" s="182"/>
      <c r="BI668" s="182"/>
      <c r="BJ668" s="182"/>
      <c r="BK668" s="182"/>
      <c r="BL668" s="182"/>
      <c r="BM668" s="182"/>
      <c r="BN668" s="182"/>
      <c r="BO668" s="182"/>
      <c r="BP668" s="182"/>
      <c r="BQ668" s="182"/>
      <c r="BR668" s="182"/>
      <c r="BS668" s="182"/>
      <c r="BT668" s="182"/>
      <c r="BU668" s="182"/>
      <c r="BV668" s="182"/>
      <c r="BW668" s="182"/>
      <c r="BX668" s="182"/>
      <c r="BY668" s="182"/>
      <c r="BZ668" s="182"/>
      <c r="CA668" s="182"/>
      <c r="CB668" s="185">
        <v>977.62</v>
      </c>
      <c r="CC668" s="185">
        <v>0</v>
      </c>
      <c r="CD668" s="185">
        <v>2021</v>
      </c>
      <c r="CE668" s="185"/>
    </row>
    <row r="669" spans="2:83" x14ac:dyDescent="0.3">
      <c r="B669" s="182">
        <v>2297</v>
      </c>
      <c r="C669" s="182">
        <v>2022</v>
      </c>
      <c r="D669" s="182" t="s">
        <v>78</v>
      </c>
      <c r="E669" s="181" t="s">
        <v>4281</v>
      </c>
      <c r="F669" s="182"/>
      <c r="G669" s="182">
        <v>7020</v>
      </c>
      <c r="H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2"/>
      <c r="X669" s="182"/>
      <c r="Y669" s="182"/>
      <c r="Z669" s="182"/>
      <c r="AA669" s="182"/>
      <c r="AB669" s="182"/>
      <c r="AC669" s="182"/>
      <c r="AD669" s="182"/>
      <c r="AE669" s="182"/>
      <c r="AF669" s="182"/>
      <c r="AG669" s="182"/>
      <c r="AH669" s="182"/>
      <c r="AI669" s="182"/>
      <c r="AJ669" s="182"/>
      <c r="AK669" s="182"/>
      <c r="AL669" s="182"/>
      <c r="AM669" s="182"/>
      <c r="AN669" s="182"/>
      <c r="AO669" s="182"/>
      <c r="AP669" s="182"/>
      <c r="AQ669" s="185">
        <v>7020</v>
      </c>
      <c r="AR669" s="182">
        <v>6273.1</v>
      </c>
      <c r="AS669" s="182">
        <v>746.9</v>
      </c>
      <c r="AT669" s="182"/>
      <c r="AU669" s="182"/>
      <c r="AV669" s="182"/>
      <c r="AW669" s="182"/>
      <c r="AX669" s="182"/>
      <c r="AY669" s="182"/>
      <c r="AZ669" s="182"/>
      <c r="BA669" s="182"/>
      <c r="BB669" s="182"/>
      <c r="BC669" s="182"/>
      <c r="BD669" s="182"/>
      <c r="BE669" s="182"/>
      <c r="BF669" s="182"/>
      <c r="BG669" s="182"/>
      <c r="BH669" s="182"/>
      <c r="BI669" s="182"/>
      <c r="BJ669" s="182"/>
      <c r="BK669" s="182"/>
      <c r="BL669" s="182"/>
      <c r="BM669" s="182"/>
      <c r="BN669" s="182"/>
      <c r="BO669" s="182"/>
      <c r="BP669" s="182"/>
      <c r="BQ669" s="182"/>
      <c r="BR669" s="182"/>
      <c r="BS669" s="182"/>
      <c r="BT669" s="182"/>
      <c r="BU669" s="182"/>
      <c r="BV669" s="182"/>
      <c r="BW669" s="182"/>
      <c r="BX669" s="182"/>
      <c r="BY669" s="182"/>
      <c r="BZ669" s="182"/>
      <c r="CA669" s="182"/>
      <c r="CB669" s="185">
        <v>7020</v>
      </c>
      <c r="CC669" s="185">
        <v>0</v>
      </c>
      <c r="CD669" s="185">
        <v>2022</v>
      </c>
      <c r="CE669" s="185"/>
    </row>
    <row r="670" spans="2:83" x14ac:dyDescent="0.3">
      <c r="B670" s="182">
        <v>2201</v>
      </c>
      <c r="C670" s="182">
        <v>2023</v>
      </c>
      <c r="D670" s="182" t="s">
        <v>78</v>
      </c>
      <c r="E670" s="181" t="s">
        <v>4283</v>
      </c>
      <c r="F670" s="182"/>
      <c r="G670" s="182">
        <v>17.59</v>
      </c>
      <c r="H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2"/>
      <c r="X670" s="182"/>
      <c r="Y670" s="182"/>
      <c r="Z670" s="182"/>
      <c r="AA670" s="182"/>
      <c r="AB670" s="182"/>
      <c r="AC670" s="182"/>
      <c r="AD670" s="182"/>
      <c r="AE670" s="182"/>
      <c r="AF670" s="182"/>
      <c r="AG670" s="182"/>
      <c r="AH670" s="182"/>
      <c r="AI670" s="182"/>
      <c r="AJ670" s="182"/>
      <c r="AK670" s="182"/>
      <c r="AL670" s="182"/>
      <c r="AM670" s="182"/>
      <c r="AN670" s="182"/>
      <c r="AO670" s="182"/>
      <c r="AP670" s="182"/>
      <c r="AQ670" s="185">
        <v>17.59</v>
      </c>
      <c r="AR670" s="182">
        <v>11.85</v>
      </c>
      <c r="AS670" s="182">
        <v>1.5</v>
      </c>
      <c r="AT670" s="182">
        <v>4.24</v>
      </c>
      <c r="AU670" s="182"/>
      <c r="AV670" s="182"/>
      <c r="AW670" s="182"/>
      <c r="AX670" s="182"/>
      <c r="AY670" s="182"/>
      <c r="AZ670" s="182"/>
      <c r="BA670" s="182"/>
      <c r="BB670" s="182"/>
      <c r="BC670" s="182"/>
      <c r="BD670" s="182"/>
      <c r="BE670" s="182"/>
      <c r="BF670" s="182"/>
      <c r="BG670" s="182"/>
      <c r="BH670" s="182"/>
      <c r="BI670" s="182"/>
      <c r="BJ670" s="182"/>
      <c r="BK670" s="182"/>
      <c r="BL670" s="182"/>
      <c r="BM670" s="182"/>
      <c r="BN670" s="182"/>
      <c r="BO670" s="182"/>
      <c r="BP670" s="182"/>
      <c r="BQ670" s="182"/>
      <c r="BR670" s="182"/>
      <c r="BS670" s="182"/>
      <c r="BT670" s="182"/>
      <c r="BU670" s="182"/>
      <c r="BV670" s="182"/>
      <c r="BW670" s="182"/>
      <c r="BX670" s="182"/>
      <c r="BY670" s="182"/>
      <c r="BZ670" s="182"/>
      <c r="CA670" s="182"/>
      <c r="CB670" s="185">
        <v>17.59</v>
      </c>
      <c r="CC670" s="185">
        <v>0</v>
      </c>
      <c r="CD670" s="185">
        <v>2023</v>
      </c>
      <c r="CE670" s="185"/>
    </row>
    <row r="671" spans="2:83" x14ac:dyDescent="0.3">
      <c r="B671" s="182">
        <v>3944</v>
      </c>
      <c r="C671" s="182">
        <v>2024</v>
      </c>
      <c r="D671" s="182" t="s">
        <v>121</v>
      </c>
      <c r="E671" s="181" t="s">
        <v>4287</v>
      </c>
      <c r="F671" s="182"/>
      <c r="G671" s="182">
        <v>5000</v>
      </c>
      <c r="H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2"/>
      <c r="X671" s="182"/>
      <c r="Y671" s="182"/>
      <c r="Z671" s="182"/>
      <c r="AA671" s="182"/>
      <c r="AB671" s="182"/>
      <c r="AC671" s="182"/>
      <c r="AD671" s="182"/>
      <c r="AE671" s="182"/>
      <c r="AF671" s="182"/>
      <c r="AG671" s="182"/>
      <c r="AH671" s="182"/>
      <c r="AI671" s="182"/>
      <c r="AJ671" s="182"/>
      <c r="AK671" s="182"/>
      <c r="AL671" s="182"/>
      <c r="AM671" s="182"/>
      <c r="AN671" s="182"/>
      <c r="AO671" s="182"/>
      <c r="AP671" s="182"/>
      <c r="AQ671" s="185">
        <v>5000</v>
      </c>
      <c r="AR671" s="182">
        <v>4463.25</v>
      </c>
      <c r="AS671" s="182">
        <v>536.75</v>
      </c>
      <c r="AT671" s="182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182"/>
      <c r="BK671" s="182"/>
      <c r="BL671" s="182"/>
      <c r="BM671" s="182"/>
      <c r="BN671" s="182"/>
      <c r="BO671" s="182"/>
      <c r="BP671" s="182"/>
      <c r="BQ671" s="182"/>
      <c r="BR671" s="182"/>
      <c r="BS671" s="182"/>
      <c r="BT671" s="182"/>
      <c r="BU671" s="182"/>
      <c r="BV671" s="182"/>
      <c r="BW671" s="182"/>
      <c r="BX671" s="182"/>
      <c r="BY671" s="182"/>
      <c r="BZ671" s="182"/>
      <c r="CA671" s="182"/>
      <c r="CB671" s="185">
        <v>5000</v>
      </c>
      <c r="CC671" s="185">
        <v>0</v>
      </c>
      <c r="CD671" s="185">
        <v>2024</v>
      </c>
      <c r="CE671" s="185"/>
    </row>
    <row r="672" spans="2:83" x14ac:dyDescent="0.3">
      <c r="B672" s="182">
        <v>3947</v>
      </c>
      <c r="C672" s="182">
        <v>2025</v>
      </c>
      <c r="D672" s="182" t="s">
        <v>121</v>
      </c>
      <c r="E672" s="181" t="s">
        <v>4288</v>
      </c>
      <c r="F672" s="182"/>
      <c r="G672" s="182">
        <v>13000</v>
      </c>
      <c r="H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2"/>
      <c r="X672" s="182"/>
      <c r="Y672" s="182"/>
      <c r="Z672" s="182"/>
      <c r="AA672" s="182"/>
      <c r="AB672" s="182"/>
      <c r="AC672" s="182"/>
      <c r="AD672" s="182"/>
      <c r="AE672" s="182"/>
      <c r="AF672" s="182"/>
      <c r="AG672" s="182"/>
      <c r="AH672" s="182"/>
      <c r="AI672" s="182"/>
      <c r="AJ672" s="182"/>
      <c r="AK672" s="182"/>
      <c r="AL672" s="182"/>
      <c r="AM672" s="182"/>
      <c r="AN672" s="182"/>
      <c r="AO672" s="182"/>
      <c r="AP672" s="182"/>
      <c r="AQ672" s="185">
        <v>13000</v>
      </c>
      <c r="AR672" s="182">
        <v>11603.55</v>
      </c>
      <c r="AS672" s="182">
        <v>1396.45</v>
      </c>
      <c r="AT672" s="182"/>
      <c r="AU672" s="182"/>
      <c r="AV672" s="182"/>
      <c r="AW672" s="182"/>
      <c r="AX672" s="182"/>
      <c r="AY672" s="182"/>
      <c r="AZ672" s="182"/>
      <c r="BA672" s="182"/>
      <c r="BB672" s="182"/>
      <c r="BC672" s="182"/>
      <c r="BD672" s="182"/>
      <c r="BE672" s="182"/>
      <c r="BF672" s="182"/>
      <c r="BG672" s="182"/>
      <c r="BH672" s="182"/>
      <c r="BI672" s="182"/>
      <c r="BJ672" s="182"/>
      <c r="BK672" s="182"/>
      <c r="BL672" s="182"/>
      <c r="BM672" s="182"/>
      <c r="BN672" s="182"/>
      <c r="BO672" s="182"/>
      <c r="BP672" s="182"/>
      <c r="BQ672" s="182"/>
      <c r="BR672" s="182"/>
      <c r="BS672" s="182"/>
      <c r="BT672" s="182"/>
      <c r="BU672" s="182"/>
      <c r="BV672" s="182"/>
      <c r="BW672" s="182"/>
      <c r="BX672" s="182"/>
      <c r="BY672" s="182"/>
      <c r="BZ672" s="182"/>
      <c r="CA672" s="182"/>
      <c r="CB672" s="185">
        <v>13000</v>
      </c>
      <c r="CC672" s="185">
        <v>0</v>
      </c>
      <c r="CD672" s="185">
        <v>2025</v>
      </c>
      <c r="CE672" s="185"/>
    </row>
    <row r="673" spans="2:83" x14ac:dyDescent="0.3">
      <c r="B673" s="182">
        <v>3948</v>
      </c>
      <c r="C673" s="182">
        <v>2026</v>
      </c>
      <c r="D673" s="182" t="s">
        <v>121</v>
      </c>
      <c r="E673" s="181" t="s">
        <v>4288</v>
      </c>
      <c r="F673" s="182"/>
      <c r="G673" s="182">
        <v>3730.45</v>
      </c>
      <c r="H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2"/>
      <c r="X673" s="182"/>
      <c r="Y673" s="182"/>
      <c r="Z673" s="182"/>
      <c r="AA673" s="182"/>
      <c r="AB673" s="182"/>
      <c r="AC673" s="182"/>
      <c r="AD673" s="182"/>
      <c r="AE673" s="182"/>
      <c r="AF673" s="182"/>
      <c r="AG673" s="182"/>
      <c r="AH673" s="182"/>
      <c r="AI673" s="182"/>
      <c r="AJ673" s="182"/>
      <c r="AK673" s="182"/>
      <c r="AL673" s="182"/>
      <c r="AM673" s="182"/>
      <c r="AN673" s="182"/>
      <c r="AO673" s="182"/>
      <c r="AP673" s="182"/>
      <c r="AQ673" s="185">
        <v>3730.45</v>
      </c>
      <c r="AR673" s="182">
        <v>2978.25</v>
      </c>
      <c r="AS673" s="182">
        <v>374.8</v>
      </c>
      <c r="AT673" s="182">
        <v>377.4</v>
      </c>
      <c r="AU673" s="182"/>
      <c r="AV673" s="182"/>
      <c r="AW673" s="182"/>
      <c r="AX673" s="182"/>
      <c r="AY673" s="182"/>
      <c r="AZ673" s="182"/>
      <c r="BA673" s="182"/>
      <c r="BB673" s="182"/>
      <c r="BC673" s="182"/>
      <c r="BD673" s="182"/>
      <c r="BE673" s="182"/>
      <c r="BF673" s="182"/>
      <c r="BG673" s="182"/>
      <c r="BH673" s="182"/>
      <c r="BI673" s="182"/>
      <c r="BJ673" s="182"/>
      <c r="BK673" s="182"/>
      <c r="BL673" s="182"/>
      <c r="BM673" s="182"/>
      <c r="BN673" s="182"/>
      <c r="BO673" s="182"/>
      <c r="BP673" s="182"/>
      <c r="BQ673" s="182"/>
      <c r="BR673" s="182"/>
      <c r="BS673" s="182"/>
      <c r="BT673" s="182"/>
      <c r="BU673" s="182"/>
      <c r="BV673" s="182"/>
      <c r="BW673" s="182"/>
      <c r="BX673" s="182"/>
      <c r="BY673" s="182"/>
      <c r="BZ673" s="182"/>
      <c r="CA673" s="182"/>
      <c r="CB673" s="185">
        <v>3730.4500000000003</v>
      </c>
      <c r="CC673" s="185">
        <v>0</v>
      </c>
      <c r="CD673" s="185">
        <v>2026</v>
      </c>
      <c r="CE673" s="185"/>
    </row>
    <row r="674" spans="2:83" x14ac:dyDescent="0.3">
      <c r="B674" s="182">
        <v>3958</v>
      </c>
      <c r="C674" s="182">
        <v>2027</v>
      </c>
      <c r="D674" s="182" t="s">
        <v>121</v>
      </c>
      <c r="E674" s="181" t="s">
        <v>4289</v>
      </c>
      <c r="F674" s="182"/>
      <c r="G674" s="182">
        <v>8500</v>
      </c>
      <c r="H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2"/>
      <c r="X674" s="182"/>
      <c r="Y674" s="182"/>
      <c r="Z674" s="182"/>
      <c r="AA674" s="182"/>
      <c r="AB674" s="182"/>
      <c r="AC674" s="182"/>
      <c r="AD674" s="182"/>
      <c r="AE674" s="182"/>
      <c r="AF674" s="182"/>
      <c r="AG674" s="182"/>
      <c r="AH674" s="182"/>
      <c r="AI674" s="182"/>
      <c r="AJ674" s="182"/>
      <c r="AK674" s="182"/>
      <c r="AL674" s="182"/>
      <c r="AM674" s="182"/>
      <c r="AN674" s="182"/>
      <c r="AO674" s="182"/>
      <c r="AP674" s="182"/>
      <c r="AQ674" s="185">
        <v>8500</v>
      </c>
      <c r="AR674" s="182">
        <v>7586.95</v>
      </c>
      <c r="AS674" s="182">
        <v>913.05</v>
      </c>
      <c r="AT674" s="182"/>
      <c r="AU674" s="182"/>
      <c r="AV674" s="182"/>
      <c r="AW674" s="182"/>
      <c r="AX674" s="182"/>
      <c r="AY674" s="182"/>
      <c r="AZ674" s="182"/>
      <c r="BA674" s="182"/>
      <c r="BB674" s="182"/>
      <c r="BC674" s="182"/>
      <c r="BD674" s="182"/>
      <c r="BE674" s="182"/>
      <c r="BF674" s="182"/>
      <c r="BG674" s="182"/>
      <c r="BH674" s="182"/>
      <c r="BI674" s="182"/>
      <c r="BJ674" s="182"/>
      <c r="BK674" s="182"/>
      <c r="BL674" s="182"/>
      <c r="BM674" s="182"/>
      <c r="BN674" s="182"/>
      <c r="BO674" s="182"/>
      <c r="BP674" s="182"/>
      <c r="BQ674" s="182"/>
      <c r="BR674" s="182"/>
      <c r="BS674" s="182"/>
      <c r="BT674" s="182"/>
      <c r="BU674" s="182"/>
      <c r="BV674" s="182"/>
      <c r="BW674" s="182"/>
      <c r="BX674" s="182"/>
      <c r="BY674" s="182"/>
      <c r="BZ674" s="182"/>
      <c r="CA674" s="182"/>
      <c r="CB674" s="185">
        <v>8500</v>
      </c>
      <c r="CC674" s="185">
        <v>0</v>
      </c>
      <c r="CD674" s="185">
        <v>2027</v>
      </c>
      <c r="CE674" s="185"/>
    </row>
    <row r="675" spans="2:83" x14ac:dyDescent="0.3">
      <c r="B675" s="182">
        <v>3959</v>
      </c>
      <c r="C675" s="182">
        <v>2028</v>
      </c>
      <c r="D675" s="182" t="s">
        <v>121</v>
      </c>
      <c r="E675" s="181" t="s">
        <v>4289</v>
      </c>
      <c r="F675" s="182"/>
      <c r="G675" s="182">
        <v>4500</v>
      </c>
      <c r="H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2"/>
      <c r="X675" s="182"/>
      <c r="Y675" s="182"/>
      <c r="Z675" s="182"/>
      <c r="AA675" s="182"/>
      <c r="AB675" s="182"/>
      <c r="AC675" s="182"/>
      <c r="AD675" s="182"/>
      <c r="AE675" s="182"/>
      <c r="AF675" s="182"/>
      <c r="AG675" s="182"/>
      <c r="AH675" s="182"/>
      <c r="AI675" s="182"/>
      <c r="AJ675" s="182"/>
      <c r="AK675" s="182"/>
      <c r="AL675" s="182"/>
      <c r="AM675" s="182"/>
      <c r="AN675" s="182"/>
      <c r="AO675" s="182"/>
      <c r="AP675" s="182"/>
      <c r="AQ675" s="185">
        <v>4500</v>
      </c>
      <c r="AR675" s="182">
        <v>4016.95</v>
      </c>
      <c r="AS675" s="182">
        <v>483.05</v>
      </c>
      <c r="AT675" s="182"/>
      <c r="AU675" s="182"/>
      <c r="AV675" s="182"/>
      <c r="AW675" s="182"/>
      <c r="AX675" s="182"/>
      <c r="AY675" s="182"/>
      <c r="AZ675" s="182"/>
      <c r="BA675" s="182"/>
      <c r="BB675" s="182"/>
      <c r="BC675" s="182"/>
      <c r="BD675" s="182"/>
      <c r="BE675" s="182"/>
      <c r="BF675" s="182"/>
      <c r="BG675" s="182"/>
      <c r="BH675" s="182"/>
      <c r="BI675" s="182"/>
      <c r="BJ675" s="182"/>
      <c r="BK675" s="182"/>
      <c r="BL675" s="182"/>
      <c r="BM675" s="182"/>
      <c r="BN675" s="182"/>
      <c r="BO675" s="182"/>
      <c r="BP675" s="182"/>
      <c r="BQ675" s="182"/>
      <c r="BR675" s="182"/>
      <c r="BS675" s="182"/>
      <c r="BT675" s="182"/>
      <c r="BU675" s="182"/>
      <c r="BV675" s="182"/>
      <c r="BW675" s="182"/>
      <c r="BX675" s="182"/>
      <c r="BY675" s="182"/>
      <c r="BZ675" s="182"/>
      <c r="CA675" s="182"/>
      <c r="CB675" s="185">
        <v>4500</v>
      </c>
      <c r="CC675" s="185">
        <v>0</v>
      </c>
      <c r="CD675" s="185">
        <v>2028</v>
      </c>
      <c r="CE675" s="185"/>
    </row>
    <row r="676" spans="2:83" x14ac:dyDescent="0.3">
      <c r="B676" s="182">
        <v>3960</v>
      </c>
      <c r="C676" s="182">
        <v>2029</v>
      </c>
      <c r="D676" s="182" t="s">
        <v>121</v>
      </c>
      <c r="E676" s="181" t="s">
        <v>4289</v>
      </c>
      <c r="F676" s="182"/>
      <c r="G676" s="182">
        <v>11000</v>
      </c>
      <c r="H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2"/>
      <c r="X676" s="182"/>
      <c r="Y676" s="182"/>
      <c r="Z676" s="182"/>
      <c r="AA676" s="182"/>
      <c r="AB676" s="182"/>
      <c r="AC676" s="182"/>
      <c r="AD676" s="182"/>
      <c r="AE676" s="182"/>
      <c r="AF676" s="182"/>
      <c r="AG676" s="182"/>
      <c r="AH676" s="182"/>
      <c r="AI676" s="182"/>
      <c r="AJ676" s="182"/>
      <c r="AK676" s="182"/>
      <c r="AL676" s="182"/>
      <c r="AM676" s="182"/>
      <c r="AN676" s="182"/>
      <c r="AO676" s="182"/>
      <c r="AP676" s="182"/>
      <c r="AQ676" s="185">
        <v>11000</v>
      </c>
      <c r="AR676" s="182">
        <v>9818.9</v>
      </c>
      <c r="AS676" s="182">
        <v>1181.0999999999999</v>
      </c>
      <c r="AT676" s="182"/>
      <c r="AU676" s="182"/>
      <c r="AV676" s="182"/>
      <c r="AW676" s="182"/>
      <c r="AX676" s="182"/>
      <c r="AY676" s="182"/>
      <c r="AZ676" s="182"/>
      <c r="BA676" s="182"/>
      <c r="BB676" s="182"/>
      <c r="BC676" s="182"/>
      <c r="BD676" s="182"/>
      <c r="BE676" s="182"/>
      <c r="BF676" s="182"/>
      <c r="BG676" s="182"/>
      <c r="BH676" s="182"/>
      <c r="BI676" s="182"/>
      <c r="BJ676" s="182"/>
      <c r="BK676" s="182"/>
      <c r="BL676" s="182"/>
      <c r="BM676" s="182"/>
      <c r="BN676" s="182"/>
      <c r="BO676" s="182"/>
      <c r="BP676" s="182"/>
      <c r="BQ676" s="182"/>
      <c r="BR676" s="182"/>
      <c r="BS676" s="182"/>
      <c r="BT676" s="182"/>
      <c r="BU676" s="182"/>
      <c r="BV676" s="182"/>
      <c r="BW676" s="182"/>
      <c r="BX676" s="182"/>
      <c r="BY676" s="182"/>
      <c r="BZ676" s="182"/>
      <c r="CA676" s="182"/>
      <c r="CB676" s="185">
        <v>11000</v>
      </c>
      <c r="CC676" s="185">
        <v>0</v>
      </c>
      <c r="CD676" s="185">
        <v>2029</v>
      </c>
      <c r="CE676" s="185"/>
    </row>
    <row r="677" spans="2:83" x14ac:dyDescent="0.3">
      <c r="B677" s="182">
        <v>3968</v>
      </c>
      <c r="C677" s="182">
        <v>2030</v>
      </c>
      <c r="D677" s="182" t="s">
        <v>121</v>
      </c>
      <c r="E677" s="181" t="s">
        <v>4290</v>
      </c>
      <c r="F677" s="182"/>
      <c r="G677" s="182">
        <v>12833.38</v>
      </c>
      <c r="H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2"/>
      <c r="X677" s="182"/>
      <c r="Y677" s="182"/>
      <c r="Z677" s="182"/>
      <c r="AA677" s="182"/>
      <c r="AB677" s="182"/>
      <c r="AC677" s="182"/>
      <c r="AD677" s="182"/>
      <c r="AE677" s="182"/>
      <c r="AF677" s="182"/>
      <c r="AG677" s="182"/>
      <c r="AH677" s="182"/>
      <c r="AI677" s="182"/>
      <c r="AJ677" s="182"/>
      <c r="AK677" s="182"/>
      <c r="AL677" s="182"/>
      <c r="AM677" s="182"/>
      <c r="AN677" s="182"/>
      <c r="AO677" s="182"/>
      <c r="AP677" s="182"/>
      <c r="AQ677" s="185">
        <v>12833.38</v>
      </c>
      <c r="AR677" s="182">
        <v>10183.94</v>
      </c>
      <c r="AS677" s="182">
        <v>1284.6500000000001</v>
      </c>
      <c r="AT677" s="182">
        <v>1364.79</v>
      </c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182"/>
      <c r="BK677" s="182"/>
      <c r="BL677" s="182"/>
      <c r="BM677" s="182"/>
      <c r="BN677" s="182"/>
      <c r="BO677" s="182"/>
      <c r="BP677" s="182"/>
      <c r="BQ677" s="182"/>
      <c r="BR677" s="182"/>
      <c r="BS677" s="182"/>
      <c r="BT677" s="182"/>
      <c r="BU677" s="182"/>
      <c r="BV677" s="182"/>
      <c r="BW677" s="182"/>
      <c r="BX677" s="182"/>
      <c r="BY677" s="182"/>
      <c r="BZ677" s="182"/>
      <c r="CA677" s="182"/>
      <c r="CB677" s="185">
        <v>12833.380000000001</v>
      </c>
      <c r="CC677" s="185">
        <v>0</v>
      </c>
      <c r="CD677" s="185">
        <v>2030</v>
      </c>
      <c r="CE677" s="185"/>
    </row>
    <row r="678" spans="2:83" x14ac:dyDescent="0.3">
      <c r="B678" s="182">
        <v>3969</v>
      </c>
      <c r="C678" s="182">
        <v>2031</v>
      </c>
      <c r="D678" s="182" t="s">
        <v>121</v>
      </c>
      <c r="E678" s="181" t="s">
        <v>4291</v>
      </c>
      <c r="F678" s="182"/>
      <c r="G678" s="182">
        <v>3500</v>
      </c>
      <c r="H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2"/>
      <c r="X678" s="182"/>
      <c r="Y678" s="182"/>
      <c r="Z678" s="182"/>
      <c r="AA678" s="182"/>
      <c r="AB678" s="182"/>
      <c r="AC678" s="182"/>
      <c r="AD678" s="182"/>
      <c r="AE678" s="182"/>
      <c r="AF678" s="182"/>
      <c r="AG678" s="182"/>
      <c r="AH678" s="182"/>
      <c r="AI678" s="182"/>
      <c r="AJ678" s="182"/>
      <c r="AK678" s="182"/>
      <c r="AL678" s="182"/>
      <c r="AM678" s="182"/>
      <c r="AN678" s="182"/>
      <c r="AO678" s="182"/>
      <c r="AP678" s="182"/>
      <c r="AQ678" s="185">
        <v>3500</v>
      </c>
      <c r="AR678" s="182">
        <v>3124.1</v>
      </c>
      <c r="AS678" s="182">
        <v>375.9</v>
      </c>
      <c r="AT678" s="182"/>
      <c r="AU678" s="182"/>
      <c r="AV678" s="182"/>
      <c r="AW678" s="182"/>
      <c r="AX678" s="182"/>
      <c r="AY678" s="182"/>
      <c r="AZ678" s="182"/>
      <c r="BA678" s="182"/>
      <c r="BB678" s="182"/>
      <c r="BC678" s="182"/>
      <c r="BD678" s="182"/>
      <c r="BE678" s="182"/>
      <c r="BF678" s="182"/>
      <c r="BG678" s="182"/>
      <c r="BH678" s="182"/>
      <c r="BI678" s="182"/>
      <c r="BJ678" s="182"/>
      <c r="BK678" s="182"/>
      <c r="BL678" s="182"/>
      <c r="BM678" s="182"/>
      <c r="BN678" s="182"/>
      <c r="BO678" s="182"/>
      <c r="BP678" s="182"/>
      <c r="BQ678" s="182"/>
      <c r="BR678" s="182"/>
      <c r="BS678" s="182"/>
      <c r="BT678" s="182"/>
      <c r="BU678" s="182"/>
      <c r="BV678" s="182"/>
      <c r="BW678" s="182"/>
      <c r="BX678" s="182"/>
      <c r="BY678" s="182"/>
      <c r="BZ678" s="182"/>
      <c r="CA678" s="182"/>
      <c r="CB678" s="185">
        <v>3500</v>
      </c>
      <c r="CC678" s="185">
        <v>0</v>
      </c>
      <c r="CD678" s="185">
        <v>2031</v>
      </c>
      <c r="CE678" s="185"/>
    </row>
    <row r="679" spans="2:83" x14ac:dyDescent="0.3">
      <c r="B679" s="182">
        <v>3970</v>
      </c>
      <c r="C679" s="182">
        <v>2032</v>
      </c>
      <c r="D679" s="182" t="s">
        <v>121</v>
      </c>
      <c r="E679" s="181" t="s">
        <v>4292</v>
      </c>
      <c r="F679" s="182"/>
      <c r="G679" s="182">
        <v>7000</v>
      </c>
      <c r="H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2"/>
      <c r="X679" s="182"/>
      <c r="Y679" s="182"/>
      <c r="Z679" s="182"/>
      <c r="AA679" s="182"/>
      <c r="AB679" s="182"/>
      <c r="AC679" s="182"/>
      <c r="AD679" s="182"/>
      <c r="AE679" s="182"/>
      <c r="AF679" s="182"/>
      <c r="AG679" s="182"/>
      <c r="AH679" s="182"/>
      <c r="AI679" s="182"/>
      <c r="AJ679" s="182"/>
      <c r="AK679" s="182"/>
      <c r="AL679" s="182"/>
      <c r="AM679" s="182"/>
      <c r="AN679" s="182"/>
      <c r="AO679" s="182"/>
      <c r="AP679" s="182"/>
      <c r="AQ679" s="185">
        <v>7000</v>
      </c>
      <c r="AR679" s="182">
        <v>6248.2</v>
      </c>
      <c r="AS679" s="182">
        <v>751.8</v>
      </c>
      <c r="AT679" s="182"/>
      <c r="AU679" s="182"/>
      <c r="AV679" s="182"/>
      <c r="AW679" s="182"/>
      <c r="AX679" s="182"/>
      <c r="AY679" s="182"/>
      <c r="AZ679" s="182"/>
      <c r="BA679" s="182"/>
      <c r="BB679" s="182"/>
      <c r="BC679" s="182"/>
      <c r="BD679" s="182"/>
      <c r="BE679" s="182"/>
      <c r="BF679" s="182"/>
      <c r="BG679" s="182"/>
      <c r="BH679" s="182"/>
      <c r="BI679" s="182"/>
      <c r="BJ679" s="182"/>
      <c r="BK679" s="182"/>
      <c r="BL679" s="182"/>
      <c r="BM679" s="182"/>
      <c r="BN679" s="182"/>
      <c r="BO679" s="182"/>
      <c r="BP679" s="182"/>
      <c r="BQ679" s="182"/>
      <c r="BR679" s="182"/>
      <c r="BS679" s="182"/>
      <c r="BT679" s="182"/>
      <c r="BU679" s="182"/>
      <c r="BV679" s="182"/>
      <c r="BW679" s="182"/>
      <c r="BX679" s="182"/>
      <c r="BY679" s="182"/>
      <c r="BZ679" s="182"/>
      <c r="CA679" s="182"/>
      <c r="CB679" s="185">
        <v>7000</v>
      </c>
      <c r="CC679" s="185">
        <v>0</v>
      </c>
      <c r="CD679" s="185">
        <v>2032</v>
      </c>
      <c r="CE679" s="185"/>
    </row>
    <row r="680" spans="2:83" x14ac:dyDescent="0.3">
      <c r="B680" s="182">
        <v>3971</v>
      </c>
      <c r="C680" s="182">
        <v>2033</v>
      </c>
      <c r="D680" s="182" t="s">
        <v>121</v>
      </c>
      <c r="E680" s="181" t="s">
        <v>4292</v>
      </c>
      <c r="F680" s="182"/>
      <c r="G680" s="182">
        <v>14000</v>
      </c>
      <c r="H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2"/>
      <c r="X680" s="182"/>
      <c r="Y680" s="182"/>
      <c r="Z680" s="182"/>
      <c r="AA680" s="182"/>
      <c r="AB680" s="182"/>
      <c r="AC680" s="182"/>
      <c r="AD680" s="182"/>
      <c r="AE680" s="182"/>
      <c r="AF680" s="182"/>
      <c r="AG680" s="182"/>
      <c r="AH680" s="182"/>
      <c r="AI680" s="182"/>
      <c r="AJ680" s="182"/>
      <c r="AK680" s="182"/>
      <c r="AL680" s="182"/>
      <c r="AM680" s="182"/>
      <c r="AN680" s="182"/>
      <c r="AO680" s="182"/>
      <c r="AP680" s="182"/>
      <c r="AQ680" s="185">
        <v>14000</v>
      </c>
      <c r="AR680" s="182">
        <v>12496.4</v>
      </c>
      <c r="AS680" s="182">
        <v>1503.6</v>
      </c>
      <c r="AT680" s="182"/>
      <c r="AU680" s="182"/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182"/>
      <c r="BK680" s="182"/>
      <c r="BL680" s="182"/>
      <c r="BM680" s="182"/>
      <c r="BN680" s="182"/>
      <c r="BO680" s="182"/>
      <c r="BP680" s="182"/>
      <c r="BQ680" s="182"/>
      <c r="BR680" s="182"/>
      <c r="BS680" s="182"/>
      <c r="BT680" s="182"/>
      <c r="BU680" s="182"/>
      <c r="BV680" s="182"/>
      <c r="BW680" s="182"/>
      <c r="BX680" s="182"/>
      <c r="BY680" s="182"/>
      <c r="BZ680" s="182"/>
      <c r="CA680" s="182"/>
      <c r="CB680" s="185">
        <v>14000</v>
      </c>
      <c r="CC680" s="185">
        <v>0</v>
      </c>
      <c r="CD680" s="185">
        <v>2033</v>
      </c>
      <c r="CE680" s="185"/>
    </row>
    <row r="681" spans="2:83" x14ac:dyDescent="0.3">
      <c r="B681" s="182">
        <v>3973</v>
      </c>
      <c r="C681" s="182">
        <v>2034</v>
      </c>
      <c r="D681" s="182" t="s">
        <v>121</v>
      </c>
      <c r="E681" s="181" t="s">
        <v>4293</v>
      </c>
      <c r="F681" s="182"/>
      <c r="G681" s="182">
        <v>17500.25</v>
      </c>
      <c r="H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2"/>
      <c r="X681" s="182"/>
      <c r="Y681" s="182"/>
      <c r="Z681" s="182"/>
      <c r="AA681" s="182"/>
      <c r="AB681" s="182"/>
      <c r="AC681" s="182"/>
      <c r="AD681" s="182"/>
      <c r="AE681" s="182"/>
      <c r="AF681" s="182"/>
      <c r="AG681" s="182"/>
      <c r="AH681" s="182"/>
      <c r="AI681" s="182"/>
      <c r="AJ681" s="182"/>
      <c r="AK681" s="182"/>
      <c r="AL681" s="182"/>
      <c r="AM681" s="182"/>
      <c r="AN681" s="182"/>
      <c r="AO681" s="182"/>
      <c r="AP681" s="182"/>
      <c r="AQ681" s="185">
        <v>17500.25</v>
      </c>
      <c r="AR681" s="182">
        <v>15620.85</v>
      </c>
      <c r="AS681" s="182">
        <v>1879</v>
      </c>
      <c r="AT681" s="182">
        <v>0.4</v>
      </c>
      <c r="AU681" s="182"/>
      <c r="AV681" s="182"/>
      <c r="AW681" s="182"/>
      <c r="AX681" s="182"/>
      <c r="AY681" s="182"/>
      <c r="AZ681" s="182"/>
      <c r="BA681" s="182"/>
      <c r="BB681" s="182"/>
      <c r="BC681" s="182"/>
      <c r="BD681" s="182"/>
      <c r="BE681" s="182"/>
      <c r="BF681" s="182"/>
      <c r="BG681" s="182"/>
      <c r="BH681" s="182"/>
      <c r="BI681" s="182"/>
      <c r="BJ681" s="182"/>
      <c r="BK681" s="182"/>
      <c r="BL681" s="182"/>
      <c r="BM681" s="182"/>
      <c r="BN681" s="182"/>
      <c r="BO681" s="182"/>
      <c r="BP681" s="182"/>
      <c r="BQ681" s="182"/>
      <c r="BR681" s="182"/>
      <c r="BS681" s="182"/>
      <c r="BT681" s="182"/>
      <c r="BU681" s="182"/>
      <c r="BV681" s="182"/>
      <c r="BW681" s="182"/>
      <c r="BX681" s="182"/>
      <c r="BY681" s="182"/>
      <c r="BZ681" s="182"/>
      <c r="CA681" s="182"/>
      <c r="CB681" s="185">
        <v>17500.25</v>
      </c>
      <c r="CC681" s="185">
        <v>0</v>
      </c>
      <c r="CD681" s="185">
        <v>2034</v>
      </c>
      <c r="CE681" s="185"/>
    </row>
    <row r="682" spans="2:83" x14ac:dyDescent="0.3">
      <c r="B682" s="182">
        <v>3975</v>
      </c>
      <c r="C682" s="182">
        <v>2035</v>
      </c>
      <c r="D682" s="182" t="s">
        <v>121</v>
      </c>
      <c r="E682" s="181" t="s">
        <v>4294</v>
      </c>
      <c r="F682" s="182"/>
      <c r="G682" s="182">
        <v>5000</v>
      </c>
      <c r="H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2"/>
      <c r="X682" s="182"/>
      <c r="Y682" s="182"/>
      <c r="Z682" s="182"/>
      <c r="AA682" s="182"/>
      <c r="AB682" s="182"/>
      <c r="AC682" s="182"/>
      <c r="AD682" s="182"/>
      <c r="AE682" s="182"/>
      <c r="AF682" s="182"/>
      <c r="AG682" s="182"/>
      <c r="AH682" s="182"/>
      <c r="AI682" s="182"/>
      <c r="AJ682" s="182"/>
      <c r="AK682" s="182"/>
      <c r="AL682" s="182"/>
      <c r="AM682" s="182"/>
      <c r="AN682" s="182"/>
      <c r="AO682" s="182"/>
      <c r="AP682" s="182"/>
      <c r="AQ682" s="185">
        <v>5000</v>
      </c>
      <c r="AR682" s="182">
        <v>4462.8500000000004</v>
      </c>
      <c r="AS682" s="182">
        <v>537.15</v>
      </c>
      <c r="AT682" s="182"/>
      <c r="AU682" s="182"/>
      <c r="AV682" s="182"/>
      <c r="AW682" s="182"/>
      <c r="AX682" s="182"/>
      <c r="AY682" s="182"/>
      <c r="AZ682" s="182"/>
      <c r="BA682" s="182"/>
      <c r="BB682" s="182"/>
      <c r="BC682" s="182"/>
      <c r="BD682" s="182"/>
      <c r="BE682" s="182"/>
      <c r="BF682" s="182"/>
      <c r="BG682" s="182"/>
      <c r="BH682" s="182"/>
      <c r="BI682" s="182"/>
      <c r="BJ682" s="182"/>
      <c r="BK682" s="182"/>
      <c r="BL682" s="182"/>
      <c r="BM682" s="182"/>
      <c r="BN682" s="182"/>
      <c r="BO682" s="182"/>
      <c r="BP682" s="182"/>
      <c r="BQ682" s="182"/>
      <c r="BR682" s="182"/>
      <c r="BS682" s="182"/>
      <c r="BT682" s="182"/>
      <c r="BU682" s="182"/>
      <c r="BV682" s="182"/>
      <c r="BW682" s="182"/>
      <c r="BX682" s="182"/>
      <c r="BY682" s="182"/>
      <c r="BZ682" s="182"/>
      <c r="CA682" s="182"/>
      <c r="CB682" s="185">
        <v>5000</v>
      </c>
      <c r="CC682" s="185">
        <v>0</v>
      </c>
      <c r="CD682" s="185">
        <v>2035</v>
      </c>
      <c r="CE682" s="185"/>
    </row>
    <row r="683" spans="2:83" x14ac:dyDescent="0.3">
      <c r="B683" s="182">
        <v>3974</v>
      </c>
      <c r="C683" s="182">
        <v>2036</v>
      </c>
      <c r="D683" s="182" t="s">
        <v>121</v>
      </c>
      <c r="E683" s="181" t="s">
        <v>4290</v>
      </c>
      <c r="F683" s="182"/>
      <c r="G683" s="182">
        <v>6017.5</v>
      </c>
      <c r="H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2"/>
      <c r="X683" s="182"/>
      <c r="Y683" s="182"/>
      <c r="Z683" s="182"/>
      <c r="AA683" s="182"/>
      <c r="AB683" s="182"/>
      <c r="AC683" s="182"/>
      <c r="AD683" s="182"/>
      <c r="AE683" s="182"/>
      <c r="AF683" s="182"/>
      <c r="AG683" s="182"/>
      <c r="AH683" s="182"/>
      <c r="AI683" s="182"/>
      <c r="AJ683" s="182"/>
      <c r="AK683" s="182"/>
      <c r="AL683" s="182"/>
      <c r="AM683" s="182"/>
      <c r="AN683" s="182"/>
      <c r="AO683" s="182"/>
      <c r="AP683" s="182"/>
      <c r="AQ683" s="185">
        <v>6017.5</v>
      </c>
      <c r="AR683" s="182">
        <v>4582.3500000000004</v>
      </c>
      <c r="AS683" s="182">
        <v>587.65</v>
      </c>
      <c r="AT683" s="182">
        <v>847.5</v>
      </c>
      <c r="AU683" s="182"/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182"/>
      <c r="BK683" s="182"/>
      <c r="BL683" s="182"/>
      <c r="BM683" s="182"/>
      <c r="BN683" s="182"/>
      <c r="BO683" s="182"/>
      <c r="BP683" s="182"/>
      <c r="BQ683" s="182"/>
      <c r="BR683" s="182"/>
      <c r="BS683" s="182"/>
      <c r="BT683" s="182"/>
      <c r="BU683" s="182"/>
      <c r="BV683" s="182"/>
      <c r="BW683" s="182"/>
      <c r="BX683" s="182"/>
      <c r="BY683" s="182"/>
      <c r="BZ683" s="182"/>
      <c r="CA683" s="182"/>
      <c r="CB683" s="185">
        <v>6017.5</v>
      </c>
      <c r="CC683" s="185">
        <v>0</v>
      </c>
      <c r="CD683" s="185">
        <v>2036</v>
      </c>
      <c r="CE683" s="185"/>
    </row>
    <row r="684" spans="2:83" x14ac:dyDescent="0.3">
      <c r="B684" s="182">
        <v>3981</v>
      </c>
      <c r="C684" s="182">
        <v>2037</v>
      </c>
      <c r="D684" s="182" t="s">
        <v>121</v>
      </c>
      <c r="E684" s="181" t="s">
        <v>4295</v>
      </c>
      <c r="F684" s="182"/>
      <c r="G684" s="182">
        <v>3209.83</v>
      </c>
      <c r="H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2"/>
      <c r="X684" s="182"/>
      <c r="Y684" s="182"/>
      <c r="Z684" s="182"/>
      <c r="AA684" s="182"/>
      <c r="AB684" s="182"/>
      <c r="AC684" s="182"/>
      <c r="AD684" s="182"/>
      <c r="AE684" s="182"/>
      <c r="AF684" s="182"/>
      <c r="AG684" s="182"/>
      <c r="AH684" s="182"/>
      <c r="AI684" s="182"/>
      <c r="AJ684" s="182"/>
      <c r="AK684" s="182"/>
      <c r="AL684" s="182"/>
      <c r="AM684" s="182"/>
      <c r="AN684" s="182"/>
      <c r="AO684" s="182"/>
      <c r="AP684" s="182"/>
      <c r="AQ684" s="185">
        <v>3209.83</v>
      </c>
      <c r="AR684" s="182">
        <v>2545.0500000000002</v>
      </c>
      <c r="AS684" s="182">
        <v>321.14999999999998</v>
      </c>
      <c r="AT684" s="182">
        <v>343.63</v>
      </c>
      <c r="AU684" s="182"/>
      <c r="AV684" s="182"/>
      <c r="AW684" s="182"/>
      <c r="AX684" s="182"/>
      <c r="AY684" s="182"/>
      <c r="AZ684" s="182"/>
      <c r="BA684" s="182"/>
      <c r="BB684" s="182"/>
      <c r="BC684" s="182"/>
      <c r="BD684" s="182"/>
      <c r="BE684" s="182"/>
      <c r="BF684" s="182"/>
      <c r="BG684" s="182"/>
      <c r="BH684" s="182"/>
      <c r="BI684" s="182"/>
      <c r="BJ684" s="182"/>
      <c r="BK684" s="182"/>
      <c r="BL684" s="182"/>
      <c r="BM684" s="182"/>
      <c r="BN684" s="182"/>
      <c r="BO684" s="182"/>
      <c r="BP684" s="182"/>
      <c r="BQ684" s="182"/>
      <c r="BR684" s="182"/>
      <c r="BS684" s="182"/>
      <c r="BT684" s="182"/>
      <c r="BU684" s="182"/>
      <c r="BV684" s="182"/>
      <c r="BW684" s="182"/>
      <c r="BX684" s="182"/>
      <c r="BY684" s="182"/>
      <c r="BZ684" s="182"/>
      <c r="CA684" s="182"/>
      <c r="CB684" s="185">
        <v>3209.8300000000004</v>
      </c>
      <c r="CC684" s="185">
        <v>0</v>
      </c>
      <c r="CD684" s="185">
        <v>2037</v>
      </c>
      <c r="CE684" s="185"/>
    </row>
    <row r="685" spans="2:83" x14ac:dyDescent="0.3">
      <c r="B685" s="182">
        <v>3976</v>
      </c>
      <c r="C685" s="182">
        <v>2038</v>
      </c>
      <c r="D685" s="182" t="s">
        <v>121</v>
      </c>
      <c r="E685" s="181" t="s">
        <v>4294</v>
      </c>
      <c r="F685" s="182"/>
      <c r="G685" s="182">
        <v>50000</v>
      </c>
      <c r="H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2"/>
      <c r="X685" s="182"/>
      <c r="Y685" s="182"/>
      <c r="Z685" s="182"/>
      <c r="AA685" s="182"/>
      <c r="AB685" s="182"/>
      <c r="AC685" s="182"/>
      <c r="AD685" s="182"/>
      <c r="AE685" s="182"/>
      <c r="AF685" s="182"/>
      <c r="AG685" s="182"/>
      <c r="AH685" s="182"/>
      <c r="AI685" s="182"/>
      <c r="AJ685" s="182"/>
      <c r="AK685" s="182"/>
      <c r="AL685" s="182"/>
      <c r="AM685" s="182"/>
      <c r="AN685" s="182"/>
      <c r="AO685" s="182"/>
      <c r="AP685" s="182"/>
      <c r="AQ685" s="185">
        <v>50000</v>
      </c>
      <c r="AR685" s="182">
        <v>44640.7</v>
      </c>
      <c r="AS685" s="182">
        <v>5359.3</v>
      </c>
      <c r="AT685" s="182"/>
      <c r="AU685" s="182"/>
      <c r="AV685" s="182"/>
      <c r="AW685" s="182"/>
      <c r="AX685" s="182"/>
      <c r="AY685" s="182"/>
      <c r="AZ685" s="182"/>
      <c r="BA685" s="182"/>
      <c r="BB685" s="182"/>
      <c r="BC685" s="182"/>
      <c r="BD685" s="182"/>
      <c r="BE685" s="182"/>
      <c r="BF685" s="182"/>
      <c r="BG685" s="182"/>
      <c r="BH685" s="182"/>
      <c r="BI685" s="182"/>
      <c r="BJ685" s="182"/>
      <c r="BK685" s="182"/>
      <c r="BL685" s="182"/>
      <c r="BM685" s="182"/>
      <c r="BN685" s="182"/>
      <c r="BO685" s="182"/>
      <c r="BP685" s="182"/>
      <c r="BQ685" s="182"/>
      <c r="BR685" s="182"/>
      <c r="BS685" s="182"/>
      <c r="BT685" s="182"/>
      <c r="BU685" s="182"/>
      <c r="BV685" s="182"/>
      <c r="BW685" s="182"/>
      <c r="BX685" s="182"/>
      <c r="BY685" s="182"/>
      <c r="BZ685" s="182"/>
      <c r="CA685" s="182"/>
      <c r="CB685" s="185">
        <v>50000</v>
      </c>
      <c r="CC685" s="185">
        <v>0</v>
      </c>
      <c r="CD685" s="185">
        <v>2038</v>
      </c>
      <c r="CE685" s="185"/>
    </row>
    <row r="686" spans="2:83" x14ac:dyDescent="0.3">
      <c r="B686" s="182">
        <v>3977</v>
      </c>
      <c r="C686" s="182">
        <v>2039</v>
      </c>
      <c r="D686" s="182" t="s">
        <v>121</v>
      </c>
      <c r="E686" s="181" t="s">
        <v>4287</v>
      </c>
      <c r="F686" s="182"/>
      <c r="G686" s="182">
        <v>9500</v>
      </c>
      <c r="H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2"/>
      <c r="X686" s="182"/>
      <c r="Y686" s="182"/>
      <c r="Z686" s="182"/>
      <c r="AA686" s="182"/>
      <c r="AB686" s="182"/>
      <c r="AC686" s="182"/>
      <c r="AD686" s="182"/>
      <c r="AE686" s="182"/>
      <c r="AF686" s="182"/>
      <c r="AG686" s="182"/>
      <c r="AH686" s="182"/>
      <c r="AI686" s="182"/>
      <c r="AJ686" s="182"/>
      <c r="AK686" s="182"/>
      <c r="AL686" s="182"/>
      <c r="AM686" s="182"/>
      <c r="AN686" s="182"/>
      <c r="AO686" s="182"/>
      <c r="AP686" s="182"/>
      <c r="AQ686" s="185">
        <v>9500</v>
      </c>
      <c r="AR686" s="182">
        <v>8479.85</v>
      </c>
      <c r="AS686" s="182">
        <v>1020.15</v>
      </c>
      <c r="AT686" s="182"/>
      <c r="AU686" s="182"/>
      <c r="AV686" s="182"/>
      <c r="AW686" s="182"/>
      <c r="AX686" s="182"/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/>
      <c r="BI686" s="182"/>
      <c r="BJ686" s="182"/>
      <c r="BK686" s="182"/>
      <c r="BL686" s="182"/>
      <c r="BM686" s="182"/>
      <c r="BN686" s="182"/>
      <c r="BO686" s="182"/>
      <c r="BP686" s="182"/>
      <c r="BQ686" s="182"/>
      <c r="BR686" s="182"/>
      <c r="BS686" s="182"/>
      <c r="BT686" s="182"/>
      <c r="BU686" s="182"/>
      <c r="BV686" s="182"/>
      <c r="BW686" s="182"/>
      <c r="BX686" s="182"/>
      <c r="BY686" s="182"/>
      <c r="BZ686" s="182"/>
      <c r="CA686" s="182"/>
      <c r="CB686" s="185">
        <v>9500</v>
      </c>
      <c r="CC686" s="185">
        <v>0</v>
      </c>
      <c r="CD686" s="185">
        <v>2039</v>
      </c>
      <c r="CE686" s="185"/>
    </row>
    <row r="687" spans="2:83" ht="37.5" x14ac:dyDescent="0.3">
      <c r="B687" s="182">
        <v>3979</v>
      </c>
      <c r="C687" s="182">
        <v>2040</v>
      </c>
      <c r="D687" s="182" t="s">
        <v>121</v>
      </c>
      <c r="E687" s="181" t="s">
        <v>4296</v>
      </c>
      <c r="F687" s="182"/>
      <c r="G687" s="182">
        <v>15000</v>
      </c>
      <c r="H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2"/>
      <c r="X687" s="182"/>
      <c r="Y687" s="182"/>
      <c r="Z687" s="182"/>
      <c r="AA687" s="182"/>
      <c r="AB687" s="182"/>
      <c r="AC687" s="182"/>
      <c r="AD687" s="182"/>
      <c r="AE687" s="182"/>
      <c r="AF687" s="182"/>
      <c r="AG687" s="182"/>
      <c r="AH687" s="182"/>
      <c r="AI687" s="182"/>
      <c r="AJ687" s="182"/>
      <c r="AK687" s="182"/>
      <c r="AL687" s="182"/>
      <c r="AM687" s="182"/>
      <c r="AN687" s="182"/>
      <c r="AO687" s="182"/>
      <c r="AP687" s="182"/>
      <c r="AQ687" s="185">
        <v>15000</v>
      </c>
      <c r="AR687" s="182">
        <v>13390.6</v>
      </c>
      <c r="AS687" s="182">
        <v>1609.4</v>
      </c>
      <c r="AT687" s="182"/>
      <c r="AU687" s="182"/>
      <c r="AV687" s="182"/>
      <c r="AW687" s="182"/>
      <c r="AX687" s="182"/>
      <c r="AY687" s="182"/>
      <c r="AZ687" s="182"/>
      <c r="BA687" s="182"/>
      <c r="BB687" s="182"/>
      <c r="BC687" s="182"/>
      <c r="BD687" s="182"/>
      <c r="BE687" s="182"/>
      <c r="BF687" s="182"/>
      <c r="BG687" s="182"/>
      <c r="BH687" s="182"/>
      <c r="BI687" s="182"/>
      <c r="BJ687" s="182"/>
      <c r="BK687" s="182"/>
      <c r="BL687" s="182"/>
      <c r="BM687" s="182"/>
      <c r="BN687" s="182"/>
      <c r="BO687" s="182"/>
      <c r="BP687" s="182"/>
      <c r="BQ687" s="182"/>
      <c r="BR687" s="182"/>
      <c r="BS687" s="182"/>
      <c r="BT687" s="182"/>
      <c r="BU687" s="182"/>
      <c r="BV687" s="182"/>
      <c r="BW687" s="182"/>
      <c r="BX687" s="182"/>
      <c r="BY687" s="182"/>
      <c r="BZ687" s="182"/>
      <c r="CA687" s="182"/>
      <c r="CB687" s="185">
        <v>15000</v>
      </c>
      <c r="CC687" s="185">
        <v>0</v>
      </c>
      <c r="CD687" s="185">
        <v>2040</v>
      </c>
      <c r="CE687" s="185"/>
    </row>
    <row r="688" spans="2:83" x14ac:dyDescent="0.3">
      <c r="B688" s="182">
        <v>3982</v>
      </c>
      <c r="C688" s="182">
        <v>2041</v>
      </c>
      <c r="D688" s="182" t="s">
        <v>121</v>
      </c>
      <c r="E688" s="181" t="s">
        <v>4297</v>
      </c>
      <c r="F688" s="182"/>
      <c r="G688" s="182">
        <v>15560.02</v>
      </c>
      <c r="H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2"/>
      <c r="X688" s="182"/>
      <c r="Y688" s="182"/>
      <c r="Z688" s="182"/>
      <c r="AA688" s="182"/>
      <c r="AB688" s="182"/>
      <c r="AC688" s="182"/>
      <c r="AD688" s="182"/>
      <c r="AE688" s="182"/>
      <c r="AF688" s="182"/>
      <c r="AG688" s="182"/>
      <c r="AH688" s="182"/>
      <c r="AI688" s="182"/>
      <c r="AJ688" s="182"/>
      <c r="AK688" s="182"/>
      <c r="AL688" s="182"/>
      <c r="AM688" s="182"/>
      <c r="AN688" s="182"/>
      <c r="AO688" s="182"/>
      <c r="AP688" s="182"/>
      <c r="AQ688" s="185">
        <v>15560.02</v>
      </c>
      <c r="AR688" s="182">
        <v>13797.18</v>
      </c>
      <c r="AS688" s="182">
        <v>1664.55</v>
      </c>
      <c r="AT688" s="182">
        <v>98.29</v>
      </c>
      <c r="AU688" s="182"/>
      <c r="AV688" s="182"/>
      <c r="AW688" s="182"/>
      <c r="AX688" s="182"/>
      <c r="AY688" s="182"/>
      <c r="AZ688" s="182"/>
      <c r="BA688" s="182"/>
      <c r="BB688" s="182"/>
      <c r="BC688" s="182"/>
      <c r="BD688" s="182"/>
      <c r="BE688" s="182"/>
      <c r="BF688" s="182"/>
      <c r="BG688" s="182"/>
      <c r="BH688" s="182"/>
      <c r="BI688" s="182"/>
      <c r="BJ688" s="182"/>
      <c r="BK688" s="182"/>
      <c r="BL688" s="182"/>
      <c r="BM688" s="182"/>
      <c r="BN688" s="182"/>
      <c r="BO688" s="182"/>
      <c r="BP688" s="182"/>
      <c r="BQ688" s="182"/>
      <c r="BR688" s="182"/>
      <c r="BS688" s="182"/>
      <c r="BT688" s="182"/>
      <c r="BU688" s="182"/>
      <c r="BV688" s="182"/>
      <c r="BW688" s="182"/>
      <c r="BX688" s="182"/>
      <c r="BY688" s="182"/>
      <c r="BZ688" s="182"/>
      <c r="CA688" s="182"/>
      <c r="CB688" s="185">
        <v>15560.02</v>
      </c>
      <c r="CC688" s="185">
        <v>0</v>
      </c>
      <c r="CD688" s="185">
        <v>2041</v>
      </c>
      <c r="CE688" s="185"/>
    </row>
    <row r="689" spans="2:83" x14ac:dyDescent="0.3">
      <c r="B689" s="182">
        <v>3983</v>
      </c>
      <c r="C689" s="182">
        <v>2042</v>
      </c>
      <c r="D689" s="182" t="s">
        <v>121</v>
      </c>
      <c r="E689" s="181" t="s">
        <v>4290</v>
      </c>
      <c r="F689" s="182"/>
      <c r="G689" s="182">
        <v>6000</v>
      </c>
      <c r="H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2"/>
      <c r="X689" s="182"/>
      <c r="Y689" s="182"/>
      <c r="Z689" s="182"/>
      <c r="AA689" s="182"/>
      <c r="AB689" s="182"/>
      <c r="AC689" s="182"/>
      <c r="AD689" s="182"/>
      <c r="AE689" s="182"/>
      <c r="AF689" s="182"/>
      <c r="AG689" s="182"/>
      <c r="AH689" s="182"/>
      <c r="AI689" s="182"/>
      <c r="AJ689" s="182"/>
      <c r="AK689" s="182"/>
      <c r="AL689" s="182"/>
      <c r="AM689" s="182"/>
      <c r="AN689" s="182"/>
      <c r="AO689" s="182"/>
      <c r="AP689" s="182"/>
      <c r="AQ689" s="185">
        <v>6000</v>
      </c>
      <c r="AR689" s="182">
        <v>5355.7</v>
      </c>
      <c r="AS689" s="182">
        <v>644.29999999999995</v>
      </c>
      <c r="AT689" s="182"/>
      <c r="AU689" s="182"/>
      <c r="AV689" s="182"/>
      <c r="AW689" s="182"/>
      <c r="AX689" s="182"/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/>
      <c r="BJ689" s="182"/>
      <c r="BK689" s="182"/>
      <c r="BL689" s="182"/>
      <c r="BM689" s="182"/>
      <c r="BN689" s="182"/>
      <c r="BO689" s="182"/>
      <c r="BP689" s="182"/>
      <c r="BQ689" s="182"/>
      <c r="BR689" s="182"/>
      <c r="BS689" s="182"/>
      <c r="BT689" s="182"/>
      <c r="BU689" s="182"/>
      <c r="BV689" s="182"/>
      <c r="BW689" s="182"/>
      <c r="BX689" s="182"/>
      <c r="BY689" s="182"/>
      <c r="BZ689" s="182"/>
      <c r="CA689" s="182"/>
      <c r="CB689" s="185">
        <v>6000</v>
      </c>
      <c r="CC689" s="185">
        <v>0</v>
      </c>
      <c r="CD689" s="185">
        <v>2042</v>
      </c>
      <c r="CE689" s="185"/>
    </row>
    <row r="690" spans="2:83" x14ac:dyDescent="0.3">
      <c r="B690" s="182">
        <v>3985</v>
      </c>
      <c r="C690" s="182">
        <v>2043</v>
      </c>
      <c r="D690" s="182" t="s">
        <v>121</v>
      </c>
      <c r="E690" s="181" t="s">
        <v>4297</v>
      </c>
      <c r="F690" s="182"/>
      <c r="G690" s="182">
        <v>13000</v>
      </c>
      <c r="H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2"/>
      <c r="X690" s="182"/>
      <c r="Y690" s="182"/>
      <c r="Z690" s="182"/>
      <c r="AA690" s="182"/>
      <c r="AB690" s="182"/>
      <c r="AC690" s="182"/>
      <c r="AD690" s="182"/>
      <c r="AE690" s="182"/>
      <c r="AF690" s="182"/>
      <c r="AG690" s="182"/>
      <c r="AH690" s="182"/>
      <c r="AI690" s="182"/>
      <c r="AJ690" s="182"/>
      <c r="AK690" s="182"/>
      <c r="AL690" s="182"/>
      <c r="AM690" s="182"/>
      <c r="AN690" s="182"/>
      <c r="AO690" s="182"/>
      <c r="AP690" s="182"/>
      <c r="AQ690" s="185">
        <v>13000</v>
      </c>
      <c r="AR690" s="182">
        <v>11603.9</v>
      </c>
      <c r="AS690" s="182">
        <v>1396.1</v>
      </c>
      <c r="AT690" s="182"/>
      <c r="AU690" s="182"/>
      <c r="AV690" s="182"/>
      <c r="AW690" s="182"/>
      <c r="AX690" s="182"/>
      <c r="AY690" s="182"/>
      <c r="AZ690" s="182"/>
      <c r="BA690" s="182"/>
      <c r="BB690" s="182"/>
      <c r="BC690" s="182"/>
      <c r="BD690" s="182"/>
      <c r="BE690" s="182"/>
      <c r="BF690" s="182"/>
      <c r="BG690" s="182"/>
      <c r="BH690" s="182"/>
      <c r="BI690" s="182"/>
      <c r="BJ690" s="182"/>
      <c r="BK690" s="182"/>
      <c r="BL690" s="182"/>
      <c r="BM690" s="182"/>
      <c r="BN690" s="182"/>
      <c r="BO690" s="182"/>
      <c r="BP690" s="182"/>
      <c r="BQ690" s="182"/>
      <c r="BR690" s="182"/>
      <c r="BS690" s="182"/>
      <c r="BT690" s="182"/>
      <c r="BU690" s="182"/>
      <c r="BV690" s="182"/>
      <c r="BW690" s="182"/>
      <c r="BX690" s="182"/>
      <c r="BY690" s="182"/>
      <c r="BZ690" s="182"/>
      <c r="CA690" s="182"/>
      <c r="CB690" s="185">
        <v>13000</v>
      </c>
      <c r="CC690" s="185">
        <v>0</v>
      </c>
      <c r="CD690" s="185">
        <v>2043</v>
      </c>
      <c r="CE690" s="185"/>
    </row>
    <row r="691" spans="2:83" x14ac:dyDescent="0.3">
      <c r="B691" s="182">
        <v>3984</v>
      </c>
      <c r="C691" s="182">
        <v>2044</v>
      </c>
      <c r="D691" s="182" t="s">
        <v>121</v>
      </c>
      <c r="E691" s="181" t="s">
        <v>4297</v>
      </c>
      <c r="F691" s="182"/>
      <c r="G691" s="182">
        <v>5500</v>
      </c>
      <c r="H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2"/>
      <c r="X691" s="182"/>
      <c r="Y691" s="182"/>
      <c r="Z691" s="182"/>
      <c r="AA691" s="182"/>
      <c r="AB691" s="182"/>
      <c r="AC691" s="182"/>
      <c r="AD691" s="182"/>
      <c r="AE691" s="182"/>
      <c r="AF691" s="182"/>
      <c r="AG691" s="182"/>
      <c r="AH691" s="182"/>
      <c r="AI691" s="182"/>
      <c r="AJ691" s="182"/>
      <c r="AK691" s="182"/>
      <c r="AL691" s="182"/>
      <c r="AM691" s="182"/>
      <c r="AN691" s="182"/>
      <c r="AO691" s="182"/>
      <c r="AP691" s="182"/>
      <c r="AQ691" s="185">
        <v>5500</v>
      </c>
      <c r="AR691" s="182">
        <v>4909.45</v>
      </c>
      <c r="AS691" s="182">
        <v>590.54999999999995</v>
      </c>
      <c r="AT691" s="182"/>
      <c r="AU691" s="182"/>
      <c r="AV691" s="182"/>
      <c r="AW691" s="182"/>
      <c r="AX691" s="182"/>
      <c r="AY691" s="182"/>
      <c r="AZ691" s="182"/>
      <c r="BA691" s="182"/>
      <c r="BB691" s="182"/>
      <c r="BC691" s="182"/>
      <c r="BD691" s="182"/>
      <c r="BE691" s="182"/>
      <c r="BF691" s="182"/>
      <c r="BG691" s="182"/>
      <c r="BH691" s="182"/>
      <c r="BI691" s="182"/>
      <c r="BJ691" s="182"/>
      <c r="BK691" s="182"/>
      <c r="BL691" s="182"/>
      <c r="BM691" s="182"/>
      <c r="BN691" s="182"/>
      <c r="BO691" s="182"/>
      <c r="BP691" s="182"/>
      <c r="BQ691" s="182"/>
      <c r="BR691" s="182"/>
      <c r="BS691" s="182"/>
      <c r="BT691" s="182"/>
      <c r="BU691" s="182"/>
      <c r="BV691" s="182"/>
      <c r="BW691" s="182"/>
      <c r="BX691" s="182"/>
      <c r="BY691" s="182"/>
      <c r="BZ691" s="182"/>
      <c r="CA691" s="182"/>
      <c r="CB691" s="185">
        <v>5500</v>
      </c>
      <c r="CC691" s="185">
        <v>0</v>
      </c>
      <c r="CD691" s="185">
        <v>2044</v>
      </c>
      <c r="CE691" s="185"/>
    </row>
    <row r="692" spans="2:83" x14ac:dyDescent="0.3">
      <c r="B692" s="182">
        <v>3996</v>
      </c>
      <c r="C692" s="182">
        <v>2045</v>
      </c>
      <c r="D692" s="182" t="s">
        <v>121</v>
      </c>
      <c r="E692" s="181" t="s">
        <v>4297</v>
      </c>
      <c r="F692" s="182"/>
      <c r="G692" s="182">
        <v>2345</v>
      </c>
      <c r="H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2"/>
      <c r="X692" s="182"/>
      <c r="Y692" s="182"/>
      <c r="Z692" s="182"/>
      <c r="AA692" s="182"/>
      <c r="AB692" s="182"/>
      <c r="AC692" s="182"/>
      <c r="AD692" s="182"/>
      <c r="AE692" s="182"/>
      <c r="AF692" s="182"/>
      <c r="AG692" s="182"/>
      <c r="AH692" s="182"/>
      <c r="AI692" s="182"/>
      <c r="AJ692" s="182"/>
      <c r="AK692" s="182"/>
      <c r="AL692" s="182"/>
      <c r="AM692" s="182"/>
      <c r="AN692" s="182"/>
      <c r="AO692" s="182"/>
      <c r="AP692" s="182"/>
      <c r="AQ692" s="185">
        <v>2345</v>
      </c>
      <c r="AR692" s="182">
        <v>1567</v>
      </c>
      <c r="AS692" s="182">
        <v>213</v>
      </c>
      <c r="AT692" s="182">
        <v>565</v>
      </c>
      <c r="AU692" s="182"/>
      <c r="AV692" s="182"/>
      <c r="AW692" s="182"/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/>
      <c r="BH692" s="182"/>
      <c r="BI692" s="182"/>
      <c r="BJ692" s="182"/>
      <c r="BK692" s="182"/>
      <c r="BL692" s="182"/>
      <c r="BM692" s="182"/>
      <c r="BN692" s="182"/>
      <c r="BO692" s="182"/>
      <c r="BP692" s="182"/>
      <c r="BQ692" s="182"/>
      <c r="BR692" s="182"/>
      <c r="BS692" s="182"/>
      <c r="BT692" s="182"/>
      <c r="BU692" s="182"/>
      <c r="BV692" s="182"/>
      <c r="BW692" s="182"/>
      <c r="BX692" s="182"/>
      <c r="BY692" s="182"/>
      <c r="BZ692" s="182"/>
      <c r="CA692" s="182"/>
      <c r="CB692" s="185">
        <v>2345</v>
      </c>
      <c r="CC692" s="185">
        <v>0</v>
      </c>
      <c r="CD692" s="185">
        <v>2045</v>
      </c>
      <c r="CE692" s="185"/>
    </row>
    <row r="693" spans="2:83" x14ac:dyDescent="0.3">
      <c r="B693" s="182">
        <v>3995</v>
      </c>
      <c r="C693" s="182">
        <v>2046</v>
      </c>
      <c r="D693" s="182" t="s">
        <v>121</v>
      </c>
      <c r="E693" s="181" t="s">
        <v>4298</v>
      </c>
      <c r="F693" s="182"/>
      <c r="G693" s="182">
        <v>4103.75</v>
      </c>
      <c r="H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2"/>
      <c r="X693" s="182"/>
      <c r="Y693" s="182"/>
      <c r="Z693" s="182"/>
      <c r="AA693" s="182"/>
      <c r="AB693" s="182"/>
      <c r="AC693" s="182"/>
      <c r="AD693" s="182"/>
      <c r="AE693" s="182"/>
      <c r="AF693" s="182"/>
      <c r="AG693" s="182"/>
      <c r="AH693" s="182"/>
      <c r="AI693" s="182"/>
      <c r="AJ693" s="182"/>
      <c r="AK693" s="182"/>
      <c r="AL693" s="182"/>
      <c r="AM693" s="182"/>
      <c r="AN693" s="182"/>
      <c r="AO693" s="182"/>
      <c r="AP693" s="182"/>
      <c r="AQ693" s="185">
        <v>4103.75</v>
      </c>
      <c r="AR693" s="182">
        <v>2742</v>
      </c>
      <c r="AS693" s="182">
        <v>373</v>
      </c>
      <c r="AT693" s="182">
        <v>988.75</v>
      </c>
      <c r="AU693" s="182"/>
      <c r="AV693" s="182"/>
      <c r="AW693" s="182"/>
      <c r="AX693" s="182"/>
      <c r="AY693" s="182"/>
      <c r="AZ693" s="182"/>
      <c r="BA693" s="182"/>
      <c r="BB693" s="182"/>
      <c r="BC693" s="182"/>
      <c r="BD693" s="182"/>
      <c r="BE693" s="182"/>
      <c r="BF693" s="182"/>
      <c r="BG693" s="182"/>
      <c r="BH693" s="182"/>
      <c r="BI693" s="182"/>
      <c r="BJ693" s="182"/>
      <c r="BK693" s="182"/>
      <c r="BL693" s="182"/>
      <c r="BM693" s="182"/>
      <c r="BN693" s="182"/>
      <c r="BO693" s="182"/>
      <c r="BP693" s="182"/>
      <c r="BQ693" s="182"/>
      <c r="BR693" s="182"/>
      <c r="BS693" s="182"/>
      <c r="BT693" s="182"/>
      <c r="BU693" s="182"/>
      <c r="BV693" s="182"/>
      <c r="BW693" s="182"/>
      <c r="BX693" s="182"/>
      <c r="BY693" s="182"/>
      <c r="BZ693" s="182"/>
      <c r="CA693" s="182"/>
      <c r="CB693" s="185">
        <v>4103.75</v>
      </c>
      <c r="CC693" s="185">
        <v>0</v>
      </c>
      <c r="CD693" s="185">
        <v>2046</v>
      </c>
      <c r="CE693" s="185"/>
    </row>
    <row r="694" spans="2:83" x14ac:dyDescent="0.3">
      <c r="B694" s="182">
        <v>3945</v>
      </c>
      <c r="C694" s="182">
        <v>2047</v>
      </c>
      <c r="D694" s="182" t="s">
        <v>121</v>
      </c>
      <c r="E694" s="181" t="s">
        <v>4299</v>
      </c>
      <c r="F694" s="182"/>
      <c r="G694" s="182">
        <v>3683.51</v>
      </c>
      <c r="H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2"/>
      <c r="X694" s="182"/>
      <c r="Y694" s="182"/>
      <c r="Z694" s="182"/>
      <c r="AA694" s="182"/>
      <c r="AB694" s="182"/>
      <c r="AC694" s="182"/>
      <c r="AD694" s="182"/>
      <c r="AE694" s="182"/>
      <c r="AF694" s="182"/>
      <c r="AG694" s="182"/>
      <c r="AH694" s="182"/>
      <c r="AI694" s="182"/>
      <c r="AJ694" s="182"/>
      <c r="AK694" s="182"/>
      <c r="AL694" s="182"/>
      <c r="AM694" s="182"/>
      <c r="AN694" s="182"/>
      <c r="AO694" s="182"/>
      <c r="AP694" s="182"/>
      <c r="AQ694" s="185">
        <v>3683.51</v>
      </c>
      <c r="AR694" s="182">
        <v>2476.4499999999998</v>
      </c>
      <c r="AS694" s="182">
        <v>333.35</v>
      </c>
      <c r="AT694" s="182">
        <v>873.71</v>
      </c>
      <c r="AU694" s="182"/>
      <c r="AV694" s="182"/>
      <c r="AW694" s="182"/>
      <c r="AX694" s="182"/>
      <c r="AY694" s="182"/>
      <c r="AZ694" s="182"/>
      <c r="BA694" s="182"/>
      <c r="BB694" s="182"/>
      <c r="BC694" s="182"/>
      <c r="BD694" s="182"/>
      <c r="BE694" s="182"/>
      <c r="BF694" s="182"/>
      <c r="BG694" s="182"/>
      <c r="BH694" s="182"/>
      <c r="BI694" s="182"/>
      <c r="BJ694" s="182"/>
      <c r="BK694" s="182"/>
      <c r="BL694" s="182"/>
      <c r="BM694" s="182"/>
      <c r="BN694" s="182"/>
      <c r="BO694" s="182"/>
      <c r="BP694" s="182"/>
      <c r="BQ694" s="182"/>
      <c r="BR694" s="182"/>
      <c r="BS694" s="182"/>
      <c r="BT694" s="182"/>
      <c r="BU694" s="182"/>
      <c r="BV694" s="182"/>
      <c r="BW694" s="182"/>
      <c r="BX694" s="182"/>
      <c r="BY694" s="182"/>
      <c r="BZ694" s="182"/>
      <c r="CA694" s="182"/>
      <c r="CB694" s="185">
        <v>3683.5099999999998</v>
      </c>
      <c r="CC694" s="185">
        <v>0</v>
      </c>
      <c r="CD694" s="185">
        <v>2047</v>
      </c>
      <c r="CE694" s="185"/>
    </row>
    <row r="695" spans="2:83" x14ac:dyDescent="0.3">
      <c r="B695" s="182">
        <v>3946</v>
      </c>
      <c r="C695" s="182">
        <v>2048</v>
      </c>
      <c r="D695" s="182" t="s">
        <v>121</v>
      </c>
      <c r="E695" s="181" t="s">
        <v>4300</v>
      </c>
      <c r="F695" s="182"/>
      <c r="G695" s="182">
        <v>2325.16</v>
      </c>
      <c r="H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2"/>
      <c r="X695" s="182"/>
      <c r="Y695" s="182"/>
      <c r="Z695" s="182"/>
      <c r="AA695" s="182"/>
      <c r="AB695" s="182"/>
      <c r="AC695" s="182"/>
      <c r="AD695" s="182"/>
      <c r="AE695" s="182"/>
      <c r="AF695" s="182"/>
      <c r="AG695" s="182"/>
      <c r="AH695" s="182"/>
      <c r="AI695" s="182"/>
      <c r="AJ695" s="182"/>
      <c r="AK695" s="182"/>
      <c r="AL695" s="182"/>
      <c r="AM695" s="182"/>
      <c r="AN695" s="182"/>
      <c r="AO695" s="182"/>
      <c r="AP695" s="182"/>
      <c r="AQ695" s="185">
        <v>2325.16</v>
      </c>
      <c r="AR695" s="182">
        <v>1582.55</v>
      </c>
      <c r="AS695" s="182">
        <v>210.1</v>
      </c>
      <c r="AT695" s="182">
        <v>532.51</v>
      </c>
      <c r="AU695" s="182"/>
      <c r="AV695" s="182"/>
      <c r="AW695" s="182"/>
      <c r="AX695" s="182"/>
      <c r="AY695" s="182"/>
      <c r="AZ695" s="182"/>
      <c r="BA695" s="182"/>
      <c r="BB695" s="182"/>
      <c r="BC695" s="182"/>
      <c r="BD695" s="182"/>
      <c r="BE695" s="182"/>
      <c r="BF695" s="182"/>
      <c r="BG695" s="182"/>
      <c r="BH695" s="182"/>
      <c r="BI695" s="182"/>
      <c r="BJ695" s="182"/>
      <c r="BK695" s="182"/>
      <c r="BL695" s="182"/>
      <c r="BM695" s="182"/>
      <c r="BN695" s="182"/>
      <c r="BO695" s="182"/>
      <c r="BP695" s="182"/>
      <c r="BQ695" s="182"/>
      <c r="BR695" s="182"/>
      <c r="BS695" s="182"/>
      <c r="BT695" s="182"/>
      <c r="BU695" s="182"/>
      <c r="BV695" s="182"/>
      <c r="BW695" s="182"/>
      <c r="BX695" s="182"/>
      <c r="BY695" s="182"/>
      <c r="BZ695" s="182"/>
      <c r="CA695" s="182"/>
      <c r="CB695" s="185">
        <v>2325.16</v>
      </c>
      <c r="CC695" s="185">
        <v>0</v>
      </c>
      <c r="CD695" s="185">
        <v>2048</v>
      </c>
      <c r="CE695" s="185"/>
    </row>
    <row r="696" spans="2:83" x14ac:dyDescent="0.3">
      <c r="B696" s="182">
        <v>3951</v>
      </c>
      <c r="C696" s="182">
        <v>2049</v>
      </c>
      <c r="D696" s="182" t="s">
        <v>121</v>
      </c>
      <c r="E696" s="181" t="s">
        <v>4301</v>
      </c>
      <c r="F696" s="182"/>
      <c r="G696" s="182">
        <v>4626.42</v>
      </c>
      <c r="H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2"/>
      <c r="X696" s="182"/>
      <c r="Y696" s="182"/>
      <c r="Z696" s="182"/>
      <c r="AA696" s="182"/>
      <c r="AB696" s="182"/>
      <c r="AC696" s="182"/>
      <c r="AD696" s="182"/>
      <c r="AE696" s="182"/>
      <c r="AF696" s="182"/>
      <c r="AG696" s="182"/>
      <c r="AH696" s="182"/>
      <c r="AI696" s="182"/>
      <c r="AJ696" s="182"/>
      <c r="AK696" s="182"/>
      <c r="AL696" s="182"/>
      <c r="AM696" s="182"/>
      <c r="AN696" s="182"/>
      <c r="AO696" s="182"/>
      <c r="AP696" s="182"/>
      <c r="AQ696" s="185">
        <v>4626.42</v>
      </c>
      <c r="AR696" s="182">
        <v>3939.08</v>
      </c>
      <c r="AS696" s="182">
        <v>480.3</v>
      </c>
      <c r="AT696" s="182">
        <v>207.04</v>
      </c>
      <c r="AU696" s="182"/>
      <c r="AV696" s="182"/>
      <c r="AW696" s="182"/>
      <c r="AX696" s="182"/>
      <c r="AY696" s="182"/>
      <c r="AZ696" s="182"/>
      <c r="BA696" s="182"/>
      <c r="BB696" s="182"/>
      <c r="BC696" s="182"/>
      <c r="BD696" s="182"/>
      <c r="BE696" s="182"/>
      <c r="BF696" s="182"/>
      <c r="BG696" s="182"/>
      <c r="BH696" s="182"/>
      <c r="BI696" s="182"/>
      <c r="BJ696" s="182"/>
      <c r="BK696" s="182"/>
      <c r="BL696" s="182"/>
      <c r="BM696" s="182"/>
      <c r="BN696" s="182"/>
      <c r="BO696" s="182"/>
      <c r="BP696" s="182"/>
      <c r="BQ696" s="182"/>
      <c r="BR696" s="182"/>
      <c r="BS696" s="182"/>
      <c r="BT696" s="182"/>
      <c r="BU696" s="182"/>
      <c r="BV696" s="182"/>
      <c r="BW696" s="182"/>
      <c r="BX696" s="182"/>
      <c r="BY696" s="182"/>
      <c r="BZ696" s="182"/>
      <c r="CA696" s="182"/>
      <c r="CB696" s="185">
        <v>4626.42</v>
      </c>
      <c r="CC696" s="185">
        <v>0</v>
      </c>
      <c r="CD696" s="185">
        <v>2049</v>
      </c>
      <c r="CE696" s="185"/>
    </row>
    <row r="697" spans="2:83" x14ac:dyDescent="0.3">
      <c r="B697" s="182">
        <v>3950</v>
      </c>
      <c r="C697" s="182">
        <v>2050</v>
      </c>
      <c r="D697" s="182" t="s">
        <v>121</v>
      </c>
      <c r="E697" s="181" t="s">
        <v>4302</v>
      </c>
      <c r="F697" s="182"/>
      <c r="G697" s="182">
        <v>9982.89</v>
      </c>
      <c r="H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2"/>
      <c r="X697" s="182"/>
      <c r="Y697" s="182"/>
      <c r="Z697" s="182"/>
      <c r="AA697" s="182"/>
      <c r="AB697" s="182"/>
      <c r="AC697" s="182"/>
      <c r="AD697" s="182"/>
      <c r="AE697" s="182"/>
      <c r="AF697" s="182"/>
      <c r="AG697" s="182"/>
      <c r="AH697" s="182"/>
      <c r="AI697" s="182"/>
      <c r="AJ697" s="182"/>
      <c r="AK697" s="182"/>
      <c r="AL697" s="182"/>
      <c r="AM697" s="182"/>
      <c r="AN697" s="182"/>
      <c r="AO697" s="182"/>
      <c r="AP697" s="182"/>
      <c r="AQ697" s="185">
        <v>9982.89</v>
      </c>
      <c r="AR697" s="182">
        <v>7946.21</v>
      </c>
      <c r="AS697" s="182">
        <v>1000.2</v>
      </c>
      <c r="AT697" s="182">
        <v>1036.48</v>
      </c>
      <c r="AU697" s="182"/>
      <c r="AV697" s="182"/>
      <c r="AW697" s="182"/>
      <c r="AX697" s="182"/>
      <c r="AY697" s="182"/>
      <c r="AZ697" s="182"/>
      <c r="BA697" s="182"/>
      <c r="BB697" s="182"/>
      <c r="BC697" s="182"/>
      <c r="BD697" s="182"/>
      <c r="BE697" s="182"/>
      <c r="BF697" s="182"/>
      <c r="BG697" s="182"/>
      <c r="BH697" s="182"/>
      <c r="BI697" s="182"/>
      <c r="BJ697" s="182"/>
      <c r="BK697" s="182"/>
      <c r="BL697" s="182"/>
      <c r="BM697" s="182"/>
      <c r="BN697" s="182"/>
      <c r="BO697" s="182"/>
      <c r="BP697" s="182"/>
      <c r="BQ697" s="182"/>
      <c r="BR697" s="182"/>
      <c r="BS697" s="182"/>
      <c r="BT697" s="182"/>
      <c r="BU697" s="182"/>
      <c r="BV697" s="182"/>
      <c r="BW697" s="182"/>
      <c r="BX697" s="182"/>
      <c r="BY697" s="182"/>
      <c r="BZ697" s="182"/>
      <c r="CA697" s="182"/>
      <c r="CB697" s="185">
        <v>9982.89</v>
      </c>
      <c r="CC697" s="185">
        <v>0</v>
      </c>
      <c r="CD697" s="185">
        <v>2050</v>
      </c>
      <c r="CE697" s="185"/>
    </row>
    <row r="698" spans="2:83" ht="37.5" x14ac:dyDescent="0.3">
      <c r="B698" s="182">
        <v>3953</v>
      </c>
      <c r="C698" s="182">
        <v>2051</v>
      </c>
      <c r="D698" s="182" t="s">
        <v>121</v>
      </c>
      <c r="E698" s="181" t="s">
        <v>4303</v>
      </c>
      <c r="F698" s="182"/>
      <c r="G698" s="182">
        <v>3989.29</v>
      </c>
      <c r="H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2"/>
      <c r="X698" s="182"/>
      <c r="Y698" s="182"/>
      <c r="Z698" s="182"/>
      <c r="AA698" s="182"/>
      <c r="AB698" s="182"/>
      <c r="AC698" s="182"/>
      <c r="AD698" s="182"/>
      <c r="AE698" s="182"/>
      <c r="AF698" s="182"/>
      <c r="AG698" s="182"/>
      <c r="AH698" s="182"/>
      <c r="AI698" s="182"/>
      <c r="AJ698" s="182"/>
      <c r="AK698" s="182"/>
      <c r="AL698" s="182"/>
      <c r="AM698" s="182"/>
      <c r="AN698" s="182"/>
      <c r="AO698" s="182"/>
      <c r="AP698" s="182"/>
      <c r="AQ698" s="185">
        <v>3989.29</v>
      </c>
      <c r="AR698" s="182">
        <v>2926.67</v>
      </c>
      <c r="AS698" s="182">
        <v>375.95</v>
      </c>
      <c r="AT698" s="182">
        <v>686.67</v>
      </c>
      <c r="AU698" s="182"/>
      <c r="AV698" s="182"/>
      <c r="AW698" s="182"/>
      <c r="AX698" s="182"/>
      <c r="AY698" s="182"/>
      <c r="AZ698" s="182"/>
      <c r="BA698" s="182"/>
      <c r="BB698" s="182"/>
      <c r="BC698" s="182"/>
      <c r="BD698" s="182"/>
      <c r="BE698" s="182"/>
      <c r="BF698" s="182"/>
      <c r="BG698" s="182"/>
      <c r="BH698" s="182"/>
      <c r="BI698" s="182"/>
      <c r="BJ698" s="182"/>
      <c r="BK698" s="182"/>
      <c r="BL698" s="182"/>
      <c r="BM698" s="182"/>
      <c r="BN698" s="182"/>
      <c r="BO698" s="182"/>
      <c r="BP698" s="182"/>
      <c r="BQ698" s="182"/>
      <c r="BR698" s="182"/>
      <c r="BS698" s="182"/>
      <c r="BT698" s="182"/>
      <c r="BU698" s="182"/>
      <c r="BV698" s="182"/>
      <c r="BW698" s="182"/>
      <c r="BX698" s="182"/>
      <c r="BY698" s="182"/>
      <c r="BZ698" s="182"/>
      <c r="CA698" s="182"/>
      <c r="CB698" s="185">
        <v>3989.29</v>
      </c>
      <c r="CC698" s="185">
        <v>0</v>
      </c>
      <c r="CD698" s="185">
        <v>2051</v>
      </c>
      <c r="CE698" s="185"/>
    </row>
    <row r="699" spans="2:83" x14ac:dyDescent="0.3">
      <c r="B699" s="182">
        <v>3954</v>
      </c>
      <c r="C699" s="182">
        <v>2052</v>
      </c>
      <c r="D699" s="182" t="s">
        <v>121</v>
      </c>
      <c r="E699" s="181" t="s">
        <v>4304</v>
      </c>
      <c r="F699" s="182"/>
      <c r="G699" s="182">
        <v>27651.759999999998</v>
      </c>
      <c r="H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2"/>
      <c r="X699" s="182"/>
      <c r="Y699" s="182"/>
      <c r="Z699" s="182"/>
      <c r="AA699" s="182"/>
      <c r="AB699" s="182"/>
      <c r="AC699" s="182"/>
      <c r="AD699" s="182"/>
      <c r="AE699" s="182"/>
      <c r="AF699" s="182"/>
      <c r="AG699" s="182"/>
      <c r="AH699" s="182"/>
      <c r="AI699" s="182"/>
      <c r="AJ699" s="182"/>
      <c r="AK699" s="182"/>
      <c r="AL699" s="182"/>
      <c r="AM699" s="182"/>
      <c r="AN699" s="182"/>
      <c r="AO699" s="182"/>
      <c r="AP699" s="182"/>
      <c r="AQ699" s="185">
        <v>27651.759999999998</v>
      </c>
      <c r="AR699" s="182">
        <v>23170.93</v>
      </c>
      <c r="AS699" s="182">
        <v>2856.65</v>
      </c>
      <c r="AT699" s="182">
        <v>1624.18</v>
      </c>
      <c r="AU699" s="182"/>
      <c r="AV699" s="182"/>
      <c r="AW699" s="182"/>
      <c r="AX699" s="182"/>
      <c r="AY699" s="182"/>
      <c r="AZ699" s="182"/>
      <c r="BA699" s="182"/>
      <c r="BB699" s="182"/>
      <c r="BC699" s="182"/>
      <c r="BD699" s="182"/>
      <c r="BE699" s="182"/>
      <c r="BF699" s="182"/>
      <c r="BG699" s="182"/>
      <c r="BH699" s="182"/>
      <c r="BI699" s="182"/>
      <c r="BJ699" s="182"/>
      <c r="BK699" s="182"/>
      <c r="BL699" s="182"/>
      <c r="BM699" s="182"/>
      <c r="BN699" s="182"/>
      <c r="BO699" s="182"/>
      <c r="BP699" s="182"/>
      <c r="BQ699" s="182"/>
      <c r="BR699" s="182"/>
      <c r="BS699" s="182"/>
      <c r="BT699" s="182"/>
      <c r="BU699" s="182"/>
      <c r="BV699" s="182"/>
      <c r="BW699" s="182"/>
      <c r="BX699" s="182"/>
      <c r="BY699" s="182"/>
      <c r="BZ699" s="182"/>
      <c r="CA699" s="182"/>
      <c r="CB699" s="185">
        <v>27651.760000000002</v>
      </c>
      <c r="CC699" s="185">
        <v>0</v>
      </c>
      <c r="CD699" s="185">
        <v>2052</v>
      </c>
      <c r="CE699" s="185"/>
    </row>
    <row r="700" spans="2:83" x14ac:dyDescent="0.3">
      <c r="B700" s="182">
        <v>3961</v>
      </c>
      <c r="C700" s="182">
        <v>2053</v>
      </c>
      <c r="D700" s="182" t="s">
        <v>121</v>
      </c>
      <c r="E700" s="181" t="s">
        <v>4305</v>
      </c>
      <c r="F700" s="182"/>
      <c r="G700" s="182">
        <v>4045.14</v>
      </c>
      <c r="H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2"/>
      <c r="X700" s="182"/>
      <c r="Y700" s="182"/>
      <c r="Z700" s="182"/>
      <c r="AA700" s="182"/>
      <c r="AB700" s="182"/>
      <c r="AC700" s="182"/>
      <c r="AD700" s="182"/>
      <c r="AE700" s="182"/>
      <c r="AF700" s="182"/>
      <c r="AG700" s="182"/>
      <c r="AH700" s="182"/>
      <c r="AI700" s="182"/>
      <c r="AJ700" s="182"/>
      <c r="AK700" s="182"/>
      <c r="AL700" s="182"/>
      <c r="AM700" s="182"/>
      <c r="AN700" s="182"/>
      <c r="AO700" s="182"/>
      <c r="AP700" s="182"/>
      <c r="AQ700" s="185">
        <v>4045.14</v>
      </c>
      <c r="AR700" s="182">
        <v>2708.4</v>
      </c>
      <c r="AS700" s="182">
        <v>362.1</v>
      </c>
      <c r="AT700" s="182">
        <v>974.64</v>
      </c>
      <c r="AU700" s="182"/>
      <c r="AV700" s="182"/>
      <c r="AW700" s="182"/>
      <c r="AX700" s="182"/>
      <c r="AY700" s="182"/>
      <c r="AZ700" s="182"/>
      <c r="BA700" s="182"/>
      <c r="BB700" s="182"/>
      <c r="BC700" s="182"/>
      <c r="BD700" s="182"/>
      <c r="BE700" s="182"/>
      <c r="BF700" s="182"/>
      <c r="BG700" s="182"/>
      <c r="BH700" s="182"/>
      <c r="BI700" s="182"/>
      <c r="BJ700" s="182"/>
      <c r="BK700" s="182"/>
      <c r="BL700" s="182"/>
      <c r="BM700" s="182"/>
      <c r="BN700" s="182"/>
      <c r="BO700" s="182"/>
      <c r="BP700" s="182"/>
      <c r="BQ700" s="182"/>
      <c r="BR700" s="182"/>
      <c r="BS700" s="182"/>
      <c r="BT700" s="182"/>
      <c r="BU700" s="182"/>
      <c r="BV700" s="182"/>
      <c r="BW700" s="182"/>
      <c r="BX700" s="182"/>
      <c r="BY700" s="182"/>
      <c r="BZ700" s="182"/>
      <c r="CA700" s="182"/>
      <c r="CB700" s="185">
        <v>4045.14</v>
      </c>
      <c r="CC700" s="185">
        <v>0</v>
      </c>
      <c r="CD700" s="185">
        <v>2053</v>
      </c>
      <c r="CE700" s="185"/>
    </row>
    <row r="701" spans="2:83" x14ac:dyDescent="0.3">
      <c r="B701" s="182">
        <v>3962</v>
      </c>
      <c r="C701" s="182">
        <v>2054</v>
      </c>
      <c r="D701" s="182" t="s">
        <v>121</v>
      </c>
      <c r="E701" s="181" t="s">
        <v>4305</v>
      </c>
      <c r="F701" s="182"/>
      <c r="G701" s="182">
        <v>820.76</v>
      </c>
      <c r="H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2"/>
      <c r="X701" s="182"/>
      <c r="Y701" s="182"/>
      <c r="Z701" s="182"/>
      <c r="AA701" s="182"/>
      <c r="AB701" s="182"/>
      <c r="AC701" s="182"/>
      <c r="AD701" s="182"/>
      <c r="AE701" s="182"/>
      <c r="AF701" s="182"/>
      <c r="AG701" s="182"/>
      <c r="AH701" s="182"/>
      <c r="AI701" s="182"/>
      <c r="AJ701" s="182"/>
      <c r="AK701" s="182"/>
      <c r="AL701" s="182"/>
      <c r="AM701" s="182"/>
      <c r="AN701" s="182"/>
      <c r="AO701" s="182"/>
      <c r="AP701" s="182"/>
      <c r="AQ701" s="185">
        <v>820.76</v>
      </c>
      <c r="AR701" s="182">
        <v>549.6</v>
      </c>
      <c r="AS701" s="182">
        <v>73.400000000000006</v>
      </c>
      <c r="AT701" s="182">
        <v>197.76</v>
      </c>
      <c r="AU701" s="182"/>
      <c r="AV701" s="182"/>
      <c r="AW701" s="182"/>
      <c r="AX701" s="182"/>
      <c r="AY701" s="182"/>
      <c r="AZ701" s="182"/>
      <c r="BA701" s="182"/>
      <c r="BB701" s="182"/>
      <c r="BC701" s="182"/>
      <c r="BD701" s="182"/>
      <c r="BE701" s="182"/>
      <c r="BF701" s="182"/>
      <c r="BG701" s="182"/>
      <c r="BH701" s="182"/>
      <c r="BI701" s="182"/>
      <c r="BJ701" s="182"/>
      <c r="BK701" s="182"/>
      <c r="BL701" s="182"/>
      <c r="BM701" s="182"/>
      <c r="BN701" s="182"/>
      <c r="BO701" s="182"/>
      <c r="BP701" s="182"/>
      <c r="BQ701" s="182"/>
      <c r="BR701" s="182"/>
      <c r="BS701" s="182"/>
      <c r="BT701" s="182"/>
      <c r="BU701" s="182"/>
      <c r="BV701" s="182"/>
      <c r="BW701" s="182"/>
      <c r="BX701" s="182"/>
      <c r="BY701" s="182"/>
      <c r="BZ701" s="182"/>
      <c r="CA701" s="182"/>
      <c r="CB701" s="185">
        <v>820.76</v>
      </c>
      <c r="CC701" s="185">
        <v>0</v>
      </c>
      <c r="CD701" s="185">
        <v>2054</v>
      </c>
      <c r="CE701" s="185"/>
    </row>
    <row r="702" spans="2:83" x14ac:dyDescent="0.3">
      <c r="B702" s="182">
        <v>3963</v>
      </c>
      <c r="C702" s="182">
        <v>2055</v>
      </c>
      <c r="D702" s="182" t="s">
        <v>121</v>
      </c>
      <c r="E702" s="181" t="s">
        <v>4305</v>
      </c>
      <c r="F702" s="182"/>
      <c r="G702" s="182">
        <v>2051.9</v>
      </c>
      <c r="H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2"/>
      <c r="X702" s="182"/>
      <c r="Y702" s="182"/>
      <c r="Z702" s="182"/>
      <c r="AA702" s="182"/>
      <c r="AB702" s="182"/>
      <c r="AC702" s="182"/>
      <c r="AD702" s="182"/>
      <c r="AE702" s="182"/>
      <c r="AF702" s="182"/>
      <c r="AG702" s="182"/>
      <c r="AH702" s="182"/>
      <c r="AI702" s="182"/>
      <c r="AJ702" s="182"/>
      <c r="AK702" s="182"/>
      <c r="AL702" s="182"/>
      <c r="AM702" s="182"/>
      <c r="AN702" s="182"/>
      <c r="AO702" s="182"/>
      <c r="AP702" s="182"/>
      <c r="AQ702" s="185">
        <v>2051.9</v>
      </c>
      <c r="AR702" s="182">
        <v>1374</v>
      </c>
      <c r="AS702" s="182">
        <v>183.5</v>
      </c>
      <c r="AT702" s="182">
        <v>494.4</v>
      </c>
      <c r="AU702" s="182"/>
      <c r="AV702" s="182"/>
      <c r="AW702" s="182"/>
      <c r="AX702" s="182"/>
      <c r="AY702" s="182"/>
      <c r="AZ702" s="182"/>
      <c r="BA702" s="182"/>
      <c r="BB702" s="182"/>
      <c r="BC702" s="182"/>
      <c r="BD702" s="182"/>
      <c r="BE702" s="182"/>
      <c r="BF702" s="182"/>
      <c r="BG702" s="182"/>
      <c r="BH702" s="182"/>
      <c r="BI702" s="182"/>
      <c r="BJ702" s="182"/>
      <c r="BK702" s="182"/>
      <c r="BL702" s="182"/>
      <c r="BM702" s="182"/>
      <c r="BN702" s="182"/>
      <c r="BO702" s="182"/>
      <c r="BP702" s="182"/>
      <c r="BQ702" s="182"/>
      <c r="BR702" s="182"/>
      <c r="BS702" s="182"/>
      <c r="BT702" s="182"/>
      <c r="BU702" s="182"/>
      <c r="BV702" s="182"/>
      <c r="BW702" s="182"/>
      <c r="BX702" s="182"/>
      <c r="BY702" s="182"/>
      <c r="BZ702" s="182"/>
      <c r="CA702" s="182"/>
      <c r="CB702" s="185">
        <v>2051.9</v>
      </c>
      <c r="CC702" s="185">
        <v>0</v>
      </c>
      <c r="CD702" s="185">
        <v>2055</v>
      </c>
      <c r="CE702" s="185"/>
    </row>
    <row r="703" spans="2:83" x14ac:dyDescent="0.3">
      <c r="B703" s="182">
        <v>3964</v>
      </c>
      <c r="C703" s="182">
        <v>2056</v>
      </c>
      <c r="D703" s="182" t="s">
        <v>121</v>
      </c>
      <c r="E703" s="181" t="s">
        <v>4306</v>
      </c>
      <c r="F703" s="182"/>
      <c r="G703" s="182">
        <v>10339.709999999999</v>
      </c>
      <c r="H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2"/>
      <c r="X703" s="182"/>
      <c r="Y703" s="182"/>
      <c r="Z703" s="182"/>
      <c r="AA703" s="182"/>
      <c r="AB703" s="182"/>
      <c r="AC703" s="182"/>
      <c r="AD703" s="182"/>
      <c r="AE703" s="182"/>
      <c r="AF703" s="182"/>
      <c r="AG703" s="182"/>
      <c r="AH703" s="182"/>
      <c r="AI703" s="182"/>
      <c r="AJ703" s="182"/>
      <c r="AK703" s="182"/>
      <c r="AL703" s="182"/>
      <c r="AM703" s="182"/>
      <c r="AN703" s="182"/>
      <c r="AO703" s="182"/>
      <c r="AP703" s="182"/>
      <c r="AQ703" s="185">
        <v>10339.709999999999</v>
      </c>
      <c r="AR703" s="182">
        <v>7948.73</v>
      </c>
      <c r="AS703" s="182">
        <v>1015.8</v>
      </c>
      <c r="AT703" s="182">
        <v>1375.18</v>
      </c>
      <c r="AU703" s="182"/>
      <c r="AV703" s="182"/>
      <c r="AW703" s="182"/>
      <c r="AX703" s="182"/>
      <c r="AY703" s="182"/>
      <c r="AZ703" s="182"/>
      <c r="BA703" s="182"/>
      <c r="BB703" s="182"/>
      <c r="BC703" s="182"/>
      <c r="BD703" s="182"/>
      <c r="BE703" s="182"/>
      <c r="BF703" s="182"/>
      <c r="BG703" s="182"/>
      <c r="BH703" s="182"/>
      <c r="BI703" s="182"/>
      <c r="BJ703" s="182"/>
      <c r="BK703" s="182"/>
      <c r="BL703" s="182"/>
      <c r="BM703" s="182"/>
      <c r="BN703" s="182"/>
      <c r="BO703" s="182"/>
      <c r="BP703" s="182"/>
      <c r="BQ703" s="182"/>
      <c r="BR703" s="182"/>
      <c r="BS703" s="182"/>
      <c r="BT703" s="182"/>
      <c r="BU703" s="182"/>
      <c r="BV703" s="182"/>
      <c r="BW703" s="182"/>
      <c r="BX703" s="182"/>
      <c r="BY703" s="182"/>
      <c r="BZ703" s="182"/>
      <c r="CA703" s="182"/>
      <c r="CB703" s="185">
        <v>10339.709999999999</v>
      </c>
      <c r="CC703" s="185">
        <v>0</v>
      </c>
      <c r="CD703" s="185">
        <v>2056</v>
      </c>
      <c r="CE703" s="185"/>
    </row>
    <row r="704" spans="2:83" x14ac:dyDescent="0.3">
      <c r="B704" s="182">
        <v>3965</v>
      </c>
      <c r="C704" s="182">
        <v>2057</v>
      </c>
      <c r="D704" s="182" t="s">
        <v>121</v>
      </c>
      <c r="E704" s="181" t="s">
        <v>4307</v>
      </c>
      <c r="F704" s="182"/>
      <c r="G704" s="182">
        <v>6172.5</v>
      </c>
      <c r="H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2"/>
      <c r="X704" s="182"/>
      <c r="Y704" s="182"/>
      <c r="Z704" s="182"/>
      <c r="AA704" s="182"/>
      <c r="AB704" s="182"/>
      <c r="AC704" s="182"/>
      <c r="AD704" s="182"/>
      <c r="AE704" s="182"/>
      <c r="AF704" s="182"/>
      <c r="AG704" s="182"/>
      <c r="AH704" s="182"/>
      <c r="AI704" s="182"/>
      <c r="AJ704" s="182"/>
      <c r="AK704" s="182"/>
      <c r="AL704" s="182"/>
      <c r="AM704" s="182"/>
      <c r="AN704" s="182"/>
      <c r="AO704" s="182"/>
      <c r="AP704" s="182"/>
      <c r="AQ704" s="185">
        <v>6172.5</v>
      </c>
      <c r="AR704" s="182">
        <v>5246.95</v>
      </c>
      <c r="AS704" s="182">
        <v>643.04999999999995</v>
      </c>
      <c r="AT704" s="182">
        <v>282.5</v>
      </c>
      <c r="AU704" s="182"/>
      <c r="AV704" s="182"/>
      <c r="AW704" s="182"/>
      <c r="AX704" s="182"/>
      <c r="AY704" s="182"/>
      <c r="AZ704" s="182"/>
      <c r="BA704" s="182"/>
      <c r="BB704" s="182"/>
      <c r="BC704" s="182"/>
      <c r="BD704" s="182"/>
      <c r="BE704" s="182"/>
      <c r="BF704" s="182"/>
      <c r="BG704" s="182"/>
      <c r="BH704" s="182"/>
      <c r="BI704" s="182"/>
      <c r="BJ704" s="182"/>
      <c r="BK704" s="182"/>
      <c r="BL704" s="182"/>
      <c r="BM704" s="182"/>
      <c r="BN704" s="182"/>
      <c r="BO704" s="182"/>
      <c r="BP704" s="182"/>
      <c r="BQ704" s="182"/>
      <c r="BR704" s="182"/>
      <c r="BS704" s="182"/>
      <c r="BT704" s="182"/>
      <c r="BU704" s="182"/>
      <c r="BV704" s="182"/>
      <c r="BW704" s="182"/>
      <c r="BX704" s="182"/>
      <c r="BY704" s="182"/>
      <c r="BZ704" s="182"/>
      <c r="CA704" s="182"/>
      <c r="CB704" s="185">
        <v>6172.5</v>
      </c>
      <c r="CC704" s="185">
        <v>0</v>
      </c>
      <c r="CD704" s="185">
        <v>2057</v>
      </c>
      <c r="CE704" s="185"/>
    </row>
    <row r="705" spans="2:83" x14ac:dyDescent="0.3">
      <c r="B705" s="182">
        <v>3967</v>
      </c>
      <c r="C705" s="182">
        <v>2058</v>
      </c>
      <c r="D705" s="182" t="s">
        <v>121</v>
      </c>
      <c r="E705" s="181" t="s">
        <v>4308</v>
      </c>
      <c r="F705" s="182"/>
      <c r="G705" s="182">
        <v>1172.5</v>
      </c>
      <c r="H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2"/>
      <c r="X705" s="182"/>
      <c r="Y705" s="182"/>
      <c r="Z705" s="182"/>
      <c r="AA705" s="182"/>
      <c r="AB705" s="182"/>
      <c r="AC705" s="182"/>
      <c r="AD705" s="182"/>
      <c r="AE705" s="182"/>
      <c r="AF705" s="182"/>
      <c r="AG705" s="182"/>
      <c r="AH705" s="182"/>
      <c r="AI705" s="182"/>
      <c r="AJ705" s="182"/>
      <c r="AK705" s="182"/>
      <c r="AL705" s="182"/>
      <c r="AM705" s="182"/>
      <c r="AN705" s="182"/>
      <c r="AO705" s="182"/>
      <c r="AP705" s="182"/>
      <c r="AQ705" s="185">
        <v>1172.5</v>
      </c>
      <c r="AR705" s="182">
        <v>784.1</v>
      </c>
      <c r="AS705" s="182">
        <v>105.9</v>
      </c>
      <c r="AT705" s="182">
        <v>282.5</v>
      </c>
      <c r="AU705" s="182"/>
      <c r="AV705" s="182"/>
      <c r="AW705" s="182"/>
      <c r="AX705" s="182"/>
      <c r="AY705" s="182"/>
      <c r="AZ705" s="182"/>
      <c r="BA705" s="182"/>
      <c r="BB705" s="182"/>
      <c r="BC705" s="182"/>
      <c r="BD705" s="182"/>
      <c r="BE705" s="182"/>
      <c r="BF705" s="182"/>
      <c r="BG705" s="182"/>
      <c r="BH705" s="182"/>
      <c r="BI705" s="182"/>
      <c r="BJ705" s="182"/>
      <c r="BK705" s="182"/>
      <c r="BL705" s="182"/>
      <c r="BM705" s="182"/>
      <c r="BN705" s="182"/>
      <c r="BO705" s="182"/>
      <c r="BP705" s="182"/>
      <c r="BQ705" s="182"/>
      <c r="BR705" s="182"/>
      <c r="BS705" s="182"/>
      <c r="BT705" s="182"/>
      <c r="BU705" s="182"/>
      <c r="BV705" s="182"/>
      <c r="BW705" s="182"/>
      <c r="BX705" s="182"/>
      <c r="BY705" s="182"/>
      <c r="BZ705" s="182"/>
      <c r="CA705" s="182"/>
      <c r="CB705" s="185">
        <v>1172.5</v>
      </c>
      <c r="CC705" s="185">
        <v>0</v>
      </c>
      <c r="CD705" s="185">
        <v>2058</v>
      </c>
      <c r="CE705" s="185"/>
    </row>
    <row r="706" spans="2:83" x14ac:dyDescent="0.3">
      <c r="B706" s="182">
        <v>3956</v>
      </c>
      <c r="C706" s="182">
        <v>2059</v>
      </c>
      <c r="D706" s="182" t="s">
        <v>121</v>
      </c>
      <c r="E706" s="181" t="s">
        <v>4309</v>
      </c>
      <c r="F706" s="182"/>
      <c r="G706" s="182">
        <v>29443.54</v>
      </c>
      <c r="H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2"/>
      <c r="X706" s="182"/>
      <c r="Y706" s="182"/>
      <c r="Z706" s="182"/>
      <c r="AA706" s="182"/>
      <c r="AB706" s="182"/>
      <c r="AC706" s="182"/>
      <c r="AD706" s="182"/>
      <c r="AE706" s="182"/>
      <c r="AF706" s="182"/>
      <c r="AG706" s="182"/>
      <c r="AH706" s="182"/>
      <c r="AI706" s="182"/>
      <c r="AJ706" s="182"/>
      <c r="AK706" s="182"/>
      <c r="AL706" s="182"/>
      <c r="AM706" s="182"/>
      <c r="AN706" s="182"/>
      <c r="AO706" s="182"/>
      <c r="AP706" s="182"/>
      <c r="AQ706" s="185">
        <v>29443.54</v>
      </c>
      <c r="AR706" s="182">
        <v>22875.67</v>
      </c>
      <c r="AS706" s="182">
        <v>2910.05</v>
      </c>
      <c r="AT706" s="182">
        <v>3657.82</v>
      </c>
      <c r="AU706" s="182"/>
      <c r="AV706" s="182"/>
      <c r="AW706" s="182"/>
      <c r="AX706" s="182"/>
      <c r="AY706" s="182"/>
      <c r="AZ706" s="182"/>
      <c r="BA706" s="182"/>
      <c r="BB706" s="182"/>
      <c r="BC706" s="182"/>
      <c r="BD706" s="182"/>
      <c r="BE706" s="182"/>
      <c r="BF706" s="182"/>
      <c r="BG706" s="182"/>
      <c r="BH706" s="182"/>
      <c r="BI706" s="182"/>
      <c r="BJ706" s="182"/>
      <c r="BK706" s="182"/>
      <c r="BL706" s="182"/>
      <c r="BM706" s="182"/>
      <c r="BN706" s="182"/>
      <c r="BO706" s="182"/>
      <c r="BP706" s="182"/>
      <c r="BQ706" s="182"/>
      <c r="BR706" s="182"/>
      <c r="BS706" s="182"/>
      <c r="BT706" s="182"/>
      <c r="BU706" s="182"/>
      <c r="BV706" s="182"/>
      <c r="BW706" s="182"/>
      <c r="BX706" s="182"/>
      <c r="BY706" s="182"/>
      <c r="BZ706" s="182"/>
      <c r="CA706" s="182"/>
      <c r="CB706" s="185">
        <v>29443.539999999997</v>
      </c>
      <c r="CC706" s="185">
        <v>0</v>
      </c>
      <c r="CD706" s="185">
        <v>2059</v>
      </c>
      <c r="CE706" s="185"/>
    </row>
    <row r="707" spans="2:83" x14ac:dyDescent="0.3">
      <c r="B707" s="182">
        <v>3980</v>
      </c>
      <c r="C707" s="182">
        <v>2060</v>
      </c>
      <c r="D707" s="182" t="s">
        <v>121</v>
      </c>
      <c r="E707" s="181" t="s">
        <v>4310</v>
      </c>
      <c r="F707" s="182"/>
      <c r="G707" s="182">
        <v>5000</v>
      </c>
      <c r="H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2"/>
      <c r="X707" s="182"/>
      <c r="Y707" s="182"/>
      <c r="Z707" s="182"/>
      <c r="AA707" s="182"/>
      <c r="AB707" s="182"/>
      <c r="AC707" s="182"/>
      <c r="AD707" s="182"/>
      <c r="AE707" s="182"/>
      <c r="AF707" s="182"/>
      <c r="AG707" s="182"/>
      <c r="AH707" s="182"/>
      <c r="AI707" s="182"/>
      <c r="AJ707" s="182"/>
      <c r="AK707" s="182"/>
      <c r="AL707" s="182"/>
      <c r="AM707" s="182"/>
      <c r="AN707" s="182"/>
      <c r="AO707" s="182"/>
      <c r="AP707" s="182"/>
      <c r="AQ707" s="185">
        <v>5000</v>
      </c>
      <c r="AR707" s="182">
        <v>4463.2</v>
      </c>
      <c r="AS707" s="182">
        <v>536.79999999999995</v>
      </c>
      <c r="AT707" s="182"/>
      <c r="AU707" s="182"/>
      <c r="AV707" s="182"/>
      <c r="AW707" s="182"/>
      <c r="AX707" s="182"/>
      <c r="AY707" s="182"/>
      <c r="AZ707" s="182"/>
      <c r="BA707" s="182"/>
      <c r="BB707" s="182"/>
      <c r="BC707" s="182"/>
      <c r="BD707" s="182"/>
      <c r="BE707" s="182"/>
      <c r="BF707" s="182"/>
      <c r="BG707" s="182"/>
      <c r="BH707" s="182"/>
      <c r="BI707" s="182"/>
      <c r="BJ707" s="182"/>
      <c r="BK707" s="182"/>
      <c r="BL707" s="182"/>
      <c r="BM707" s="182"/>
      <c r="BN707" s="182"/>
      <c r="BO707" s="182"/>
      <c r="BP707" s="182"/>
      <c r="BQ707" s="182"/>
      <c r="BR707" s="182"/>
      <c r="BS707" s="182"/>
      <c r="BT707" s="182"/>
      <c r="BU707" s="182"/>
      <c r="BV707" s="182"/>
      <c r="BW707" s="182"/>
      <c r="BX707" s="182"/>
      <c r="BY707" s="182"/>
      <c r="BZ707" s="182"/>
      <c r="CA707" s="182"/>
      <c r="CB707" s="185">
        <v>5000</v>
      </c>
      <c r="CC707" s="185">
        <v>0</v>
      </c>
      <c r="CD707" s="185">
        <v>2060</v>
      </c>
      <c r="CE707" s="185"/>
    </row>
    <row r="708" spans="2:83" x14ac:dyDescent="0.3">
      <c r="B708" s="182">
        <v>3987</v>
      </c>
      <c r="C708" s="182">
        <v>2061</v>
      </c>
      <c r="D708" s="182" t="s">
        <v>121</v>
      </c>
      <c r="E708" s="181" t="s">
        <v>4311</v>
      </c>
      <c r="F708" s="182"/>
      <c r="G708" s="182">
        <v>5049.4399999999996</v>
      </c>
      <c r="H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2"/>
      <c r="X708" s="182"/>
      <c r="Y708" s="182"/>
      <c r="Z708" s="182"/>
      <c r="AA708" s="182"/>
      <c r="AB708" s="182"/>
      <c r="AC708" s="182"/>
      <c r="AD708" s="182"/>
      <c r="AE708" s="182"/>
      <c r="AF708" s="182"/>
      <c r="AG708" s="182"/>
      <c r="AH708" s="182"/>
      <c r="AI708" s="182"/>
      <c r="AJ708" s="182"/>
      <c r="AK708" s="182"/>
      <c r="AL708" s="182"/>
      <c r="AM708" s="182"/>
      <c r="AN708" s="182"/>
      <c r="AO708" s="182"/>
      <c r="AP708" s="182"/>
      <c r="AQ708" s="185">
        <v>5049.4399999999996</v>
      </c>
      <c r="AR708" s="182">
        <v>3974.66</v>
      </c>
      <c r="AS708" s="182">
        <v>502.5</v>
      </c>
      <c r="AT708" s="182">
        <v>572.28</v>
      </c>
      <c r="AU708" s="182"/>
      <c r="AV708" s="182"/>
      <c r="AW708" s="182"/>
      <c r="AX708" s="182"/>
      <c r="AY708" s="182"/>
      <c r="AZ708" s="182"/>
      <c r="BA708" s="182"/>
      <c r="BB708" s="182"/>
      <c r="BC708" s="182"/>
      <c r="BD708" s="182"/>
      <c r="BE708" s="182"/>
      <c r="BF708" s="182"/>
      <c r="BG708" s="182"/>
      <c r="BH708" s="182"/>
      <c r="BI708" s="182"/>
      <c r="BJ708" s="182"/>
      <c r="BK708" s="182"/>
      <c r="BL708" s="182"/>
      <c r="BM708" s="182"/>
      <c r="BN708" s="182"/>
      <c r="BO708" s="182"/>
      <c r="BP708" s="182"/>
      <c r="BQ708" s="182"/>
      <c r="BR708" s="182"/>
      <c r="BS708" s="182"/>
      <c r="BT708" s="182"/>
      <c r="BU708" s="182"/>
      <c r="BV708" s="182"/>
      <c r="BW708" s="182"/>
      <c r="BX708" s="182"/>
      <c r="BY708" s="182"/>
      <c r="BZ708" s="182"/>
      <c r="CA708" s="182"/>
      <c r="CB708" s="185">
        <v>5049.4399999999996</v>
      </c>
      <c r="CC708" s="185">
        <v>0</v>
      </c>
      <c r="CD708" s="185">
        <v>2061</v>
      </c>
      <c r="CE708" s="185"/>
    </row>
    <row r="709" spans="2:83" x14ac:dyDescent="0.3">
      <c r="B709" s="182">
        <v>3989</v>
      </c>
      <c r="C709" s="182">
        <v>2062</v>
      </c>
      <c r="D709" s="182" t="s">
        <v>121</v>
      </c>
      <c r="E709" s="181" t="s">
        <v>4311</v>
      </c>
      <c r="F709" s="182"/>
      <c r="G709" s="182">
        <v>3500</v>
      </c>
      <c r="H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2"/>
      <c r="X709" s="182"/>
      <c r="Y709" s="182"/>
      <c r="Z709" s="182"/>
      <c r="AA709" s="182"/>
      <c r="AB709" s="182"/>
      <c r="AC709" s="182"/>
      <c r="AD709" s="182"/>
      <c r="AE709" s="182"/>
      <c r="AF709" s="182"/>
      <c r="AG709" s="182"/>
      <c r="AH709" s="182"/>
      <c r="AI709" s="182"/>
      <c r="AJ709" s="182"/>
      <c r="AK709" s="182"/>
      <c r="AL709" s="182"/>
      <c r="AM709" s="182"/>
      <c r="AN709" s="182"/>
      <c r="AO709" s="182"/>
      <c r="AP709" s="182"/>
      <c r="AQ709" s="185">
        <v>3500</v>
      </c>
      <c r="AR709" s="182">
        <v>3124.1</v>
      </c>
      <c r="AS709" s="182">
        <v>375.9</v>
      </c>
      <c r="AT709" s="182"/>
      <c r="AU709" s="182"/>
      <c r="AV709" s="182"/>
      <c r="AW709" s="182"/>
      <c r="AX709" s="182"/>
      <c r="AY709" s="182"/>
      <c r="AZ709" s="182"/>
      <c r="BA709" s="182"/>
      <c r="BB709" s="182"/>
      <c r="BC709" s="182"/>
      <c r="BD709" s="182"/>
      <c r="BE709" s="182"/>
      <c r="BF709" s="182"/>
      <c r="BG709" s="182"/>
      <c r="BH709" s="182"/>
      <c r="BI709" s="182"/>
      <c r="BJ709" s="182"/>
      <c r="BK709" s="182"/>
      <c r="BL709" s="182"/>
      <c r="BM709" s="182"/>
      <c r="BN709" s="182"/>
      <c r="BO709" s="182"/>
      <c r="BP709" s="182"/>
      <c r="BQ709" s="182"/>
      <c r="BR709" s="182"/>
      <c r="BS709" s="182"/>
      <c r="BT709" s="182"/>
      <c r="BU709" s="182"/>
      <c r="BV709" s="182"/>
      <c r="BW709" s="182"/>
      <c r="BX709" s="182"/>
      <c r="BY709" s="182"/>
      <c r="BZ709" s="182"/>
      <c r="CA709" s="182"/>
      <c r="CB709" s="185">
        <v>3500</v>
      </c>
      <c r="CC709" s="185">
        <v>0</v>
      </c>
      <c r="CD709" s="185">
        <v>2062</v>
      </c>
      <c r="CE709" s="185"/>
    </row>
    <row r="710" spans="2:83" x14ac:dyDescent="0.3">
      <c r="B710" s="182">
        <v>3991</v>
      </c>
      <c r="C710" s="182">
        <v>2063</v>
      </c>
      <c r="D710" s="182" t="s">
        <v>121</v>
      </c>
      <c r="E710" s="181" t="s">
        <v>4312</v>
      </c>
      <c r="F710" s="182"/>
      <c r="G710" s="182">
        <v>3834.29</v>
      </c>
      <c r="H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2"/>
      <c r="X710" s="182"/>
      <c r="Y710" s="182"/>
      <c r="Z710" s="182"/>
      <c r="AA710" s="182"/>
      <c r="AB710" s="182"/>
      <c r="AC710" s="182"/>
      <c r="AD710" s="182"/>
      <c r="AE710" s="182"/>
      <c r="AF710" s="182"/>
      <c r="AG710" s="182"/>
      <c r="AH710" s="182"/>
      <c r="AI710" s="182"/>
      <c r="AJ710" s="182"/>
      <c r="AK710" s="182"/>
      <c r="AL710" s="182"/>
      <c r="AM710" s="182"/>
      <c r="AN710" s="182"/>
      <c r="AO710" s="182"/>
      <c r="AP710" s="182"/>
      <c r="AQ710" s="185">
        <v>3834.29</v>
      </c>
      <c r="AR710" s="182">
        <v>2609.85</v>
      </c>
      <c r="AS710" s="182">
        <v>349.45</v>
      </c>
      <c r="AT710" s="182">
        <v>874.99</v>
      </c>
      <c r="AU710" s="182"/>
      <c r="AV710" s="182"/>
      <c r="AW710" s="182"/>
      <c r="AX710" s="182"/>
      <c r="AY710" s="182"/>
      <c r="AZ710" s="182"/>
      <c r="BA710" s="182"/>
      <c r="BB710" s="182"/>
      <c r="BC710" s="182"/>
      <c r="BD710" s="182"/>
      <c r="BE710" s="182"/>
      <c r="BF710" s="182"/>
      <c r="BG710" s="182"/>
      <c r="BH710" s="182"/>
      <c r="BI710" s="182"/>
      <c r="BJ710" s="182"/>
      <c r="BK710" s="182"/>
      <c r="BL710" s="182"/>
      <c r="BM710" s="182"/>
      <c r="BN710" s="182"/>
      <c r="BO710" s="182"/>
      <c r="BP710" s="182"/>
      <c r="BQ710" s="182"/>
      <c r="BR710" s="182"/>
      <c r="BS710" s="182"/>
      <c r="BT710" s="182"/>
      <c r="BU710" s="182"/>
      <c r="BV710" s="182"/>
      <c r="BW710" s="182"/>
      <c r="BX710" s="182"/>
      <c r="BY710" s="182"/>
      <c r="BZ710" s="182"/>
      <c r="CA710" s="182"/>
      <c r="CB710" s="185">
        <v>3834.29</v>
      </c>
      <c r="CC710" s="185">
        <v>0</v>
      </c>
      <c r="CD710" s="185">
        <v>2063</v>
      </c>
      <c r="CE710" s="185"/>
    </row>
    <row r="711" spans="2:83" x14ac:dyDescent="0.3">
      <c r="B711" s="182">
        <v>3997</v>
      </c>
      <c r="C711" s="182">
        <v>2064</v>
      </c>
      <c r="D711" s="182" t="s">
        <v>121</v>
      </c>
      <c r="E711" s="181" t="s">
        <v>4313</v>
      </c>
      <c r="F711" s="182"/>
      <c r="G711" s="182">
        <v>644.88</v>
      </c>
      <c r="H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2"/>
      <c r="X711" s="182"/>
      <c r="Y711" s="182"/>
      <c r="Z711" s="182"/>
      <c r="AA711" s="182"/>
      <c r="AB711" s="182"/>
      <c r="AC711" s="182"/>
      <c r="AD711" s="182"/>
      <c r="AE711" s="182"/>
      <c r="AF711" s="182"/>
      <c r="AG711" s="182"/>
      <c r="AH711" s="182"/>
      <c r="AI711" s="182"/>
      <c r="AJ711" s="182"/>
      <c r="AK711" s="182"/>
      <c r="AL711" s="182"/>
      <c r="AM711" s="182"/>
      <c r="AN711" s="182"/>
      <c r="AO711" s="182"/>
      <c r="AP711" s="182"/>
      <c r="AQ711" s="185">
        <v>644.88</v>
      </c>
      <c r="AR711" s="182">
        <v>431.4</v>
      </c>
      <c r="AS711" s="182">
        <v>58.1</v>
      </c>
      <c r="AT711" s="182">
        <v>155.38</v>
      </c>
      <c r="AU711" s="182"/>
      <c r="AV711" s="182"/>
      <c r="AW711" s="182"/>
      <c r="AX711" s="182"/>
      <c r="AY711" s="182"/>
      <c r="AZ711" s="182"/>
      <c r="BA711" s="182"/>
      <c r="BB711" s="182"/>
      <c r="BC711" s="182"/>
      <c r="BD711" s="182"/>
      <c r="BE711" s="182"/>
      <c r="BF711" s="182"/>
      <c r="BG711" s="182"/>
      <c r="BH711" s="182"/>
      <c r="BI711" s="182"/>
      <c r="BJ711" s="182"/>
      <c r="BK711" s="182"/>
      <c r="BL711" s="182"/>
      <c r="BM711" s="182"/>
      <c r="BN711" s="182"/>
      <c r="BO711" s="182"/>
      <c r="BP711" s="182"/>
      <c r="BQ711" s="182"/>
      <c r="BR711" s="182"/>
      <c r="BS711" s="182"/>
      <c r="BT711" s="182"/>
      <c r="BU711" s="182"/>
      <c r="BV711" s="182"/>
      <c r="BW711" s="182"/>
      <c r="BX711" s="182"/>
      <c r="BY711" s="182"/>
      <c r="BZ711" s="182"/>
      <c r="CA711" s="182"/>
      <c r="CB711" s="185">
        <v>644.88</v>
      </c>
      <c r="CC711" s="185">
        <v>0</v>
      </c>
      <c r="CD711" s="185">
        <v>2064</v>
      </c>
      <c r="CE711" s="185"/>
    </row>
    <row r="712" spans="2:83" x14ac:dyDescent="0.3">
      <c r="B712" s="182">
        <v>3986</v>
      </c>
      <c r="C712" s="182">
        <v>2065</v>
      </c>
      <c r="D712" s="182" t="s">
        <v>121</v>
      </c>
      <c r="E712" s="181" t="s">
        <v>4314</v>
      </c>
      <c r="F712" s="182"/>
      <c r="G712" s="182">
        <v>5500</v>
      </c>
      <c r="H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2"/>
      <c r="X712" s="182"/>
      <c r="Y712" s="182"/>
      <c r="Z712" s="182"/>
      <c r="AA712" s="182"/>
      <c r="AB712" s="182"/>
      <c r="AC712" s="182"/>
      <c r="AD712" s="182"/>
      <c r="AE712" s="182"/>
      <c r="AF712" s="182"/>
      <c r="AG712" s="182"/>
      <c r="AH712" s="182"/>
      <c r="AI712" s="182"/>
      <c r="AJ712" s="182"/>
      <c r="AK712" s="182"/>
      <c r="AL712" s="182"/>
      <c r="AM712" s="182"/>
      <c r="AN712" s="182"/>
      <c r="AO712" s="182"/>
      <c r="AP712" s="182"/>
      <c r="AQ712" s="185">
        <v>5500</v>
      </c>
      <c r="AR712" s="182">
        <v>4909.8</v>
      </c>
      <c r="AS712" s="182">
        <v>590.20000000000005</v>
      </c>
      <c r="AT712" s="182"/>
      <c r="AU712" s="182"/>
      <c r="AV712" s="182"/>
      <c r="AW712" s="182"/>
      <c r="AX712" s="182"/>
      <c r="AY712" s="182"/>
      <c r="AZ712" s="182"/>
      <c r="BA712" s="182"/>
      <c r="BB712" s="182"/>
      <c r="BC712" s="182"/>
      <c r="BD712" s="182"/>
      <c r="BE712" s="182"/>
      <c r="BF712" s="182"/>
      <c r="BG712" s="182"/>
      <c r="BH712" s="182"/>
      <c r="BI712" s="182"/>
      <c r="BJ712" s="182"/>
      <c r="BK712" s="182"/>
      <c r="BL712" s="182"/>
      <c r="BM712" s="182"/>
      <c r="BN712" s="182"/>
      <c r="BO712" s="182"/>
      <c r="BP712" s="182"/>
      <c r="BQ712" s="182"/>
      <c r="BR712" s="182"/>
      <c r="BS712" s="182"/>
      <c r="BT712" s="182"/>
      <c r="BU712" s="182"/>
      <c r="BV712" s="182"/>
      <c r="BW712" s="182"/>
      <c r="BX712" s="182"/>
      <c r="BY712" s="182"/>
      <c r="BZ712" s="182"/>
      <c r="CA712" s="182"/>
      <c r="CB712" s="185">
        <v>5500</v>
      </c>
      <c r="CC712" s="185">
        <v>0</v>
      </c>
      <c r="CD712" s="185">
        <v>2065</v>
      </c>
      <c r="CE712" s="185"/>
    </row>
    <row r="713" spans="2:83" x14ac:dyDescent="0.3">
      <c r="B713" s="182">
        <v>3978</v>
      </c>
      <c r="C713" s="182">
        <v>2066</v>
      </c>
      <c r="D713" s="182" t="s">
        <v>121</v>
      </c>
      <c r="E713" s="181" t="s">
        <v>4315</v>
      </c>
      <c r="F713" s="182"/>
      <c r="G713" s="182">
        <v>5071.08</v>
      </c>
      <c r="H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2"/>
      <c r="X713" s="182"/>
      <c r="Y713" s="182"/>
      <c r="Z713" s="182"/>
      <c r="AA713" s="182"/>
      <c r="AB713" s="182"/>
      <c r="AC713" s="182"/>
      <c r="AD713" s="182"/>
      <c r="AE713" s="182"/>
      <c r="AF713" s="182"/>
      <c r="AG713" s="182"/>
      <c r="AH713" s="182"/>
      <c r="AI713" s="182"/>
      <c r="AJ713" s="182"/>
      <c r="AK713" s="182"/>
      <c r="AL713" s="182"/>
      <c r="AM713" s="182"/>
      <c r="AN713" s="182"/>
      <c r="AO713" s="182"/>
      <c r="AP713" s="182"/>
      <c r="AQ713" s="185">
        <v>5071.08</v>
      </c>
      <c r="AR713" s="182">
        <v>4419.2700000000004</v>
      </c>
      <c r="AS713" s="182">
        <v>535.4</v>
      </c>
      <c r="AT713" s="182">
        <v>116.41</v>
      </c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182"/>
      <c r="BK713" s="182"/>
      <c r="BL713" s="182"/>
      <c r="BM713" s="182"/>
      <c r="BN713" s="182"/>
      <c r="BO713" s="182"/>
      <c r="BP713" s="182"/>
      <c r="BQ713" s="182"/>
      <c r="BR713" s="182"/>
      <c r="BS713" s="182"/>
      <c r="BT713" s="182"/>
      <c r="BU713" s="182"/>
      <c r="BV713" s="182"/>
      <c r="BW713" s="182"/>
      <c r="BX713" s="182"/>
      <c r="BY713" s="182"/>
      <c r="BZ713" s="182"/>
      <c r="CA713" s="182"/>
      <c r="CB713" s="185">
        <v>5071.08</v>
      </c>
      <c r="CC713" s="185">
        <v>0</v>
      </c>
      <c r="CD713" s="185">
        <v>2066</v>
      </c>
      <c r="CE713" s="185"/>
    </row>
    <row r="714" spans="2:83" x14ac:dyDescent="0.3">
      <c r="B714" s="182">
        <v>3972</v>
      </c>
      <c r="C714" s="182">
        <v>2067</v>
      </c>
      <c r="D714" s="182" t="s">
        <v>121</v>
      </c>
      <c r="E714" s="181" t="s">
        <v>4316</v>
      </c>
      <c r="F714" s="182"/>
      <c r="G714" s="182">
        <v>5243.83</v>
      </c>
      <c r="H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2"/>
      <c r="X714" s="182"/>
      <c r="Y714" s="182"/>
      <c r="Z714" s="182"/>
      <c r="AA714" s="182"/>
      <c r="AB714" s="182"/>
      <c r="AC714" s="182"/>
      <c r="AD714" s="182"/>
      <c r="AE714" s="182"/>
      <c r="AF714" s="182"/>
      <c r="AG714" s="182"/>
      <c r="AH714" s="182"/>
      <c r="AI714" s="182"/>
      <c r="AJ714" s="182"/>
      <c r="AK714" s="182"/>
      <c r="AL714" s="182"/>
      <c r="AM714" s="182"/>
      <c r="AN714" s="182"/>
      <c r="AO714" s="182"/>
      <c r="AP714" s="182"/>
      <c r="AQ714" s="185">
        <v>5243.83</v>
      </c>
      <c r="AR714" s="182">
        <v>3546.17</v>
      </c>
      <c r="AS714" s="182">
        <v>479.5</v>
      </c>
      <c r="AT714" s="182">
        <v>1218.1600000000001</v>
      </c>
      <c r="AU714" s="182"/>
      <c r="AV714" s="182"/>
      <c r="AW714" s="182"/>
      <c r="AX714" s="182"/>
      <c r="AY714" s="182"/>
      <c r="AZ714" s="182"/>
      <c r="BA714" s="182"/>
      <c r="BB714" s="182"/>
      <c r="BC714" s="182"/>
      <c r="BD714" s="182"/>
      <c r="BE714" s="182"/>
      <c r="BF714" s="182"/>
      <c r="BG714" s="182"/>
      <c r="BH714" s="182"/>
      <c r="BI714" s="182"/>
      <c r="BJ714" s="182"/>
      <c r="BK714" s="182"/>
      <c r="BL714" s="182"/>
      <c r="BM714" s="182"/>
      <c r="BN714" s="182"/>
      <c r="BO714" s="182"/>
      <c r="BP714" s="182"/>
      <c r="BQ714" s="182"/>
      <c r="BR714" s="182"/>
      <c r="BS714" s="182"/>
      <c r="BT714" s="182"/>
      <c r="BU714" s="182"/>
      <c r="BV714" s="182"/>
      <c r="BW714" s="182"/>
      <c r="BX714" s="182"/>
      <c r="BY714" s="182"/>
      <c r="BZ714" s="182"/>
      <c r="CA714" s="182"/>
      <c r="CB714" s="185">
        <v>5243.83</v>
      </c>
      <c r="CC714" s="185">
        <v>0</v>
      </c>
      <c r="CD714" s="185">
        <v>2067</v>
      </c>
      <c r="CE714" s="185"/>
    </row>
    <row r="715" spans="2:83" x14ac:dyDescent="0.3">
      <c r="B715" s="182">
        <v>3957</v>
      </c>
      <c r="C715" s="182">
        <v>2068</v>
      </c>
      <c r="D715" s="182" t="s">
        <v>121</v>
      </c>
      <c r="E715" s="181" t="s">
        <v>4317</v>
      </c>
      <c r="F715" s="182"/>
      <c r="G715" s="182">
        <v>24693.16</v>
      </c>
      <c r="H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2"/>
      <c r="X715" s="182"/>
      <c r="Y715" s="182"/>
      <c r="Z715" s="182"/>
      <c r="AA715" s="182"/>
      <c r="AB715" s="182"/>
      <c r="AC715" s="182"/>
      <c r="AD715" s="182"/>
      <c r="AE715" s="182"/>
      <c r="AF715" s="182"/>
      <c r="AG715" s="182"/>
      <c r="AH715" s="182"/>
      <c r="AI715" s="182"/>
      <c r="AJ715" s="182"/>
      <c r="AK715" s="182"/>
      <c r="AL715" s="182"/>
      <c r="AM715" s="182"/>
      <c r="AN715" s="182"/>
      <c r="AO715" s="182"/>
      <c r="AP715" s="182"/>
      <c r="AQ715" s="185">
        <v>24693.16</v>
      </c>
      <c r="AR715" s="182">
        <v>20467.22</v>
      </c>
      <c r="AS715" s="182">
        <v>2533.9499999999998</v>
      </c>
      <c r="AT715" s="182">
        <v>1691.99</v>
      </c>
      <c r="AU715" s="182"/>
      <c r="AV715" s="182"/>
      <c r="AW715" s="182"/>
      <c r="AX715" s="182"/>
      <c r="AY715" s="182"/>
      <c r="AZ715" s="182"/>
      <c r="BA715" s="182"/>
      <c r="BB715" s="182"/>
      <c r="BC715" s="182"/>
      <c r="BD715" s="182"/>
      <c r="BE715" s="182"/>
      <c r="BF715" s="182"/>
      <c r="BG715" s="182"/>
      <c r="BH715" s="182"/>
      <c r="BI715" s="182"/>
      <c r="BJ715" s="182"/>
      <c r="BK715" s="182"/>
      <c r="BL715" s="182"/>
      <c r="BM715" s="182"/>
      <c r="BN715" s="182"/>
      <c r="BO715" s="182"/>
      <c r="BP715" s="182"/>
      <c r="BQ715" s="182"/>
      <c r="BR715" s="182"/>
      <c r="BS715" s="182"/>
      <c r="BT715" s="182"/>
      <c r="BU715" s="182"/>
      <c r="BV715" s="182"/>
      <c r="BW715" s="182"/>
      <c r="BX715" s="182"/>
      <c r="BY715" s="182"/>
      <c r="BZ715" s="182"/>
      <c r="CA715" s="182"/>
      <c r="CB715" s="185">
        <v>24693.160000000003</v>
      </c>
      <c r="CC715" s="185">
        <v>0</v>
      </c>
      <c r="CD715" s="185">
        <v>2068</v>
      </c>
      <c r="CE715" s="185"/>
    </row>
    <row r="716" spans="2:83" x14ac:dyDescent="0.3">
      <c r="B716" s="182">
        <v>3966</v>
      </c>
      <c r="C716" s="182">
        <v>2069</v>
      </c>
      <c r="D716" s="182" t="s">
        <v>121</v>
      </c>
      <c r="E716" s="181" t="s">
        <v>4318</v>
      </c>
      <c r="F716" s="182"/>
      <c r="G716" s="182">
        <v>3500</v>
      </c>
      <c r="H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2"/>
      <c r="X716" s="182"/>
      <c r="Y716" s="182"/>
      <c r="Z716" s="182"/>
      <c r="AA716" s="182"/>
      <c r="AB716" s="182"/>
      <c r="AC716" s="182"/>
      <c r="AD716" s="182"/>
      <c r="AE716" s="182"/>
      <c r="AF716" s="182"/>
      <c r="AG716" s="182"/>
      <c r="AH716" s="182"/>
      <c r="AI716" s="182"/>
      <c r="AJ716" s="182"/>
      <c r="AK716" s="182"/>
      <c r="AL716" s="182"/>
      <c r="AM716" s="182"/>
      <c r="AN716" s="182"/>
      <c r="AO716" s="182"/>
      <c r="AP716" s="182"/>
      <c r="AQ716" s="185">
        <v>3500</v>
      </c>
      <c r="AR716" s="182">
        <v>3124.1</v>
      </c>
      <c r="AS716" s="182">
        <v>375.9</v>
      </c>
      <c r="AT716" s="182"/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182"/>
      <c r="BK716" s="182"/>
      <c r="BL716" s="182"/>
      <c r="BM716" s="182"/>
      <c r="BN716" s="182"/>
      <c r="BO716" s="182"/>
      <c r="BP716" s="182"/>
      <c r="BQ716" s="182"/>
      <c r="BR716" s="182"/>
      <c r="BS716" s="182"/>
      <c r="BT716" s="182"/>
      <c r="BU716" s="182"/>
      <c r="BV716" s="182"/>
      <c r="BW716" s="182"/>
      <c r="BX716" s="182"/>
      <c r="BY716" s="182"/>
      <c r="BZ716" s="182"/>
      <c r="CA716" s="182"/>
      <c r="CB716" s="185">
        <v>3500</v>
      </c>
      <c r="CC716" s="185">
        <v>0</v>
      </c>
      <c r="CD716" s="185">
        <v>2069</v>
      </c>
      <c r="CE716" s="185"/>
    </row>
    <row r="717" spans="2:83" x14ac:dyDescent="0.3">
      <c r="B717" s="182">
        <v>3950</v>
      </c>
      <c r="C717" s="182">
        <v>2070</v>
      </c>
      <c r="D717" s="182" t="s">
        <v>121</v>
      </c>
      <c r="E717" s="181" t="s">
        <v>4319</v>
      </c>
      <c r="F717" s="182"/>
      <c r="G717" s="182">
        <v>3500</v>
      </c>
      <c r="H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2"/>
      <c r="X717" s="182"/>
      <c r="Y717" s="182"/>
      <c r="Z717" s="182"/>
      <c r="AA717" s="182"/>
      <c r="AB717" s="182"/>
      <c r="AC717" s="182"/>
      <c r="AD717" s="182"/>
      <c r="AE717" s="182"/>
      <c r="AF717" s="182"/>
      <c r="AG717" s="182"/>
      <c r="AH717" s="182"/>
      <c r="AI717" s="182"/>
      <c r="AJ717" s="182"/>
      <c r="AK717" s="182"/>
      <c r="AL717" s="182"/>
      <c r="AM717" s="182"/>
      <c r="AN717" s="182"/>
      <c r="AO717" s="182"/>
      <c r="AP717" s="182"/>
      <c r="AQ717" s="185">
        <v>3500</v>
      </c>
      <c r="AR717" s="182">
        <v>3124.1</v>
      </c>
      <c r="AS717" s="182">
        <v>375.9</v>
      </c>
      <c r="AT717" s="182"/>
      <c r="AU717" s="182"/>
      <c r="AV717" s="182"/>
      <c r="AW717" s="182"/>
      <c r="AX717" s="182"/>
      <c r="AY717" s="182"/>
      <c r="AZ717" s="182"/>
      <c r="BA717" s="182"/>
      <c r="BB717" s="182"/>
      <c r="BC717" s="182"/>
      <c r="BD717" s="182"/>
      <c r="BE717" s="182"/>
      <c r="BF717" s="182"/>
      <c r="BG717" s="182"/>
      <c r="BH717" s="182"/>
      <c r="BI717" s="182"/>
      <c r="BJ717" s="182"/>
      <c r="BK717" s="182"/>
      <c r="BL717" s="182"/>
      <c r="BM717" s="182"/>
      <c r="BN717" s="182"/>
      <c r="BO717" s="182"/>
      <c r="BP717" s="182"/>
      <c r="BQ717" s="182"/>
      <c r="BR717" s="182"/>
      <c r="BS717" s="182"/>
      <c r="BT717" s="182"/>
      <c r="BU717" s="182"/>
      <c r="BV717" s="182"/>
      <c r="BW717" s="182"/>
      <c r="BX717" s="182"/>
      <c r="BY717" s="182"/>
      <c r="BZ717" s="182"/>
      <c r="CA717" s="182"/>
      <c r="CB717" s="185">
        <v>3500</v>
      </c>
      <c r="CC717" s="185">
        <v>0</v>
      </c>
      <c r="CD717" s="185">
        <v>2070</v>
      </c>
      <c r="CE717" s="185"/>
    </row>
    <row r="718" spans="2:83" x14ac:dyDescent="0.3">
      <c r="B718" s="182">
        <v>3955</v>
      </c>
      <c r="C718" s="182">
        <v>2071</v>
      </c>
      <c r="D718" s="182" t="s">
        <v>121</v>
      </c>
      <c r="E718" s="181" t="s">
        <v>4320</v>
      </c>
      <c r="F718" s="182"/>
      <c r="G718" s="182">
        <v>27224.51</v>
      </c>
      <c r="H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2"/>
      <c r="X718" s="182"/>
      <c r="Y718" s="182"/>
      <c r="Z718" s="182"/>
      <c r="AA718" s="182"/>
      <c r="AB718" s="182"/>
      <c r="AC718" s="182"/>
      <c r="AD718" s="182"/>
      <c r="AE718" s="182"/>
      <c r="AF718" s="182"/>
      <c r="AG718" s="182"/>
      <c r="AH718" s="182"/>
      <c r="AI718" s="182"/>
      <c r="AJ718" s="182"/>
      <c r="AK718" s="182"/>
      <c r="AL718" s="182"/>
      <c r="AM718" s="182"/>
      <c r="AN718" s="182"/>
      <c r="AO718" s="182"/>
      <c r="AP718" s="182"/>
      <c r="AQ718" s="185">
        <v>27224.51</v>
      </c>
      <c r="AR718" s="182">
        <v>19017.09</v>
      </c>
      <c r="AS718" s="182">
        <v>2533.65</v>
      </c>
      <c r="AT718" s="182">
        <v>5673.77</v>
      </c>
      <c r="AU718" s="182"/>
      <c r="AV718" s="182"/>
      <c r="AW718" s="182"/>
      <c r="AX718" s="182"/>
      <c r="AY718" s="182"/>
      <c r="AZ718" s="182"/>
      <c r="BA718" s="182"/>
      <c r="BB718" s="182"/>
      <c r="BC718" s="182"/>
      <c r="BD718" s="182"/>
      <c r="BE718" s="182"/>
      <c r="BF718" s="182"/>
      <c r="BG718" s="182"/>
      <c r="BH718" s="182"/>
      <c r="BI718" s="182"/>
      <c r="BJ718" s="182"/>
      <c r="BK718" s="182"/>
      <c r="BL718" s="182"/>
      <c r="BM718" s="182"/>
      <c r="BN718" s="182"/>
      <c r="BO718" s="182"/>
      <c r="BP718" s="182"/>
      <c r="BQ718" s="182"/>
      <c r="BR718" s="182"/>
      <c r="BS718" s="182"/>
      <c r="BT718" s="182"/>
      <c r="BU718" s="182"/>
      <c r="BV718" s="182"/>
      <c r="BW718" s="182"/>
      <c r="BX718" s="182"/>
      <c r="BY718" s="182"/>
      <c r="BZ718" s="182"/>
      <c r="CA718" s="182"/>
      <c r="CB718" s="185">
        <v>27224.510000000002</v>
      </c>
      <c r="CC718" s="185">
        <v>0</v>
      </c>
      <c r="CD718" s="185">
        <v>2071</v>
      </c>
      <c r="CE718" s="185"/>
    </row>
    <row r="719" spans="2:83" ht="37.5" x14ac:dyDescent="0.3">
      <c r="B719" s="182">
        <v>3952</v>
      </c>
      <c r="C719" s="182">
        <v>2072</v>
      </c>
      <c r="D719" s="182" t="s">
        <v>121</v>
      </c>
      <c r="E719" s="181" t="s">
        <v>4321</v>
      </c>
      <c r="F719" s="182"/>
      <c r="G719" s="182">
        <v>2133.94</v>
      </c>
      <c r="H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2"/>
      <c r="X719" s="182"/>
      <c r="Y719" s="182"/>
      <c r="Z719" s="182"/>
      <c r="AA719" s="182"/>
      <c r="AB719" s="182"/>
      <c r="AC719" s="182"/>
      <c r="AD719" s="182"/>
      <c r="AE719" s="182"/>
      <c r="AF719" s="182"/>
      <c r="AG719" s="182"/>
      <c r="AH719" s="182"/>
      <c r="AI719" s="182"/>
      <c r="AJ719" s="182"/>
      <c r="AK719" s="182"/>
      <c r="AL719" s="182"/>
      <c r="AM719" s="182"/>
      <c r="AN719" s="182"/>
      <c r="AO719" s="182"/>
      <c r="AP719" s="182"/>
      <c r="AQ719" s="185">
        <v>2133.94</v>
      </c>
      <c r="AR719" s="182">
        <v>1428.5</v>
      </c>
      <c r="AS719" s="182">
        <v>191.3</v>
      </c>
      <c r="AT719" s="182">
        <v>514.14</v>
      </c>
      <c r="AU719" s="182"/>
      <c r="AV719" s="182"/>
      <c r="AW719" s="182"/>
      <c r="AX719" s="182"/>
      <c r="AY719" s="182"/>
      <c r="AZ719" s="182"/>
      <c r="BA719" s="182"/>
      <c r="BB719" s="182"/>
      <c r="BC719" s="182"/>
      <c r="BD719" s="182"/>
      <c r="BE719" s="182"/>
      <c r="BF719" s="182"/>
      <c r="BG719" s="182"/>
      <c r="BH719" s="182"/>
      <c r="BI719" s="182"/>
      <c r="BJ719" s="182"/>
      <c r="BK719" s="182"/>
      <c r="BL719" s="182"/>
      <c r="BM719" s="182"/>
      <c r="BN719" s="182"/>
      <c r="BO719" s="182"/>
      <c r="BP719" s="182"/>
      <c r="BQ719" s="182"/>
      <c r="BR719" s="182"/>
      <c r="BS719" s="182"/>
      <c r="BT719" s="182"/>
      <c r="BU719" s="182"/>
      <c r="BV719" s="182"/>
      <c r="BW719" s="182"/>
      <c r="BX719" s="182"/>
      <c r="BY719" s="182"/>
      <c r="BZ719" s="182"/>
      <c r="CA719" s="182"/>
      <c r="CB719" s="185">
        <v>2133.94</v>
      </c>
      <c r="CC719" s="185">
        <v>0</v>
      </c>
      <c r="CD719" s="185">
        <v>2072</v>
      </c>
      <c r="CE719" s="185"/>
    </row>
    <row r="720" spans="2:83" x14ac:dyDescent="0.3">
      <c r="B720" s="182">
        <v>3988</v>
      </c>
      <c r="C720" s="182">
        <v>2073</v>
      </c>
      <c r="D720" s="182" t="s">
        <v>121</v>
      </c>
      <c r="E720" s="181" t="s">
        <v>4322</v>
      </c>
      <c r="F720" s="182"/>
      <c r="G720" s="182">
        <v>2770.18</v>
      </c>
      <c r="H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2"/>
      <c r="X720" s="182"/>
      <c r="Y720" s="182"/>
      <c r="Z720" s="182"/>
      <c r="AA720" s="182"/>
      <c r="AB720" s="182"/>
      <c r="AC720" s="182"/>
      <c r="AD720" s="182"/>
      <c r="AE720" s="182"/>
      <c r="AF720" s="182"/>
      <c r="AG720" s="182"/>
      <c r="AH720" s="182"/>
      <c r="AI720" s="182"/>
      <c r="AJ720" s="182"/>
      <c r="AK720" s="182"/>
      <c r="AL720" s="182"/>
      <c r="AM720" s="182"/>
      <c r="AN720" s="182"/>
      <c r="AO720" s="182"/>
      <c r="AP720" s="182"/>
      <c r="AQ720" s="185">
        <v>2770.18</v>
      </c>
      <c r="AR720" s="182">
        <v>2060.62</v>
      </c>
      <c r="AS720" s="182">
        <v>267.10000000000002</v>
      </c>
      <c r="AT720" s="182">
        <v>442.46</v>
      </c>
      <c r="AU720" s="182"/>
      <c r="AV720" s="182"/>
      <c r="AW720" s="182"/>
      <c r="AX720" s="182"/>
      <c r="AY720" s="182"/>
      <c r="AZ720" s="182"/>
      <c r="BA720" s="182"/>
      <c r="BB720" s="182"/>
      <c r="BC720" s="182"/>
      <c r="BD720" s="182"/>
      <c r="BE720" s="182"/>
      <c r="BF720" s="182"/>
      <c r="BG720" s="182"/>
      <c r="BH720" s="182"/>
      <c r="BI720" s="182"/>
      <c r="BJ720" s="182"/>
      <c r="BK720" s="182"/>
      <c r="BL720" s="182"/>
      <c r="BM720" s="182"/>
      <c r="BN720" s="182"/>
      <c r="BO720" s="182"/>
      <c r="BP720" s="182"/>
      <c r="BQ720" s="182"/>
      <c r="BR720" s="182"/>
      <c r="BS720" s="182"/>
      <c r="BT720" s="182"/>
      <c r="BU720" s="182"/>
      <c r="BV720" s="182"/>
      <c r="BW720" s="182"/>
      <c r="BX720" s="182"/>
      <c r="BY720" s="182"/>
      <c r="BZ720" s="182"/>
      <c r="CA720" s="182"/>
      <c r="CB720" s="185">
        <v>2770.18</v>
      </c>
      <c r="CC720" s="185">
        <v>0</v>
      </c>
      <c r="CD720" s="185">
        <v>2073</v>
      </c>
      <c r="CE720" s="185"/>
    </row>
    <row r="721" spans="2:83" x14ac:dyDescent="0.3">
      <c r="B721" s="182">
        <v>3990</v>
      </c>
      <c r="C721" s="182">
        <v>2074</v>
      </c>
      <c r="D721" s="182" t="s">
        <v>121</v>
      </c>
      <c r="E721" s="181" t="s">
        <v>4323</v>
      </c>
      <c r="F721" s="182"/>
      <c r="G721" s="182">
        <v>4338.25</v>
      </c>
      <c r="H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2"/>
      <c r="X721" s="182"/>
      <c r="Y721" s="182"/>
      <c r="Z721" s="182"/>
      <c r="AA721" s="182"/>
      <c r="AB721" s="182"/>
      <c r="AC721" s="182"/>
      <c r="AD721" s="182"/>
      <c r="AE721" s="182"/>
      <c r="AF721" s="182"/>
      <c r="AG721" s="182"/>
      <c r="AH721" s="182"/>
      <c r="AI721" s="182"/>
      <c r="AJ721" s="182"/>
      <c r="AK721" s="182"/>
      <c r="AL721" s="182"/>
      <c r="AM721" s="182"/>
      <c r="AN721" s="182"/>
      <c r="AO721" s="182"/>
      <c r="AP721" s="182"/>
      <c r="AQ721" s="185">
        <v>4338.25</v>
      </c>
      <c r="AR721" s="182">
        <v>2901.5</v>
      </c>
      <c r="AS721" s="182">
        <v>391.5</v>
      </c>
      <c r="AT721" s="182">
        <v>1045.25</v>
      </c>
      <c r="AU721" s="182"/>
      <c r="AV721" s="182"/>
      <c r="AW721" s="182"/>
      <c r="AX721" s="182"/>
      <c r="AY721" s="182"/>
      <c r="AZ721" s="182"/>
      <c r="BA721" s="182"/>
      <c r="BB721" s="182"/>
      <c r="BC721" s="182"/>
      <c r="BD721" s="182"/>
      <c r="BE721" s="182"/>
      <c r="BF721" s="182"/>
      <c r="BG721" s="182"/>
      <c r="BH721" s="182"/>
      <c r="BI721" s="182"/>
      <c r="BJ721" s="182"/>
      <c r="BK721" s="182"/>
      <c r="BL721" s="182"/>
      <c r="BM721" s="182"/>
      <c r="BN721" s="182"/>
      <c r="BO721" s="182"/>
      <c r="BP721" s="182"/>
      <c r="BQ721" s="182"/>
      <c r="BR721" s="182"/>
      <c r="BS721" s="182"/>
      <c r="BT721" s="182"/>
      <c r="BU721" s="182"/>
      <c r="BV721" s="182"/>
      <c r="BW721" s="182"/>
      <c r="BX721" s="182"/>
      <c r="BY721" s="182"/>
      <c r="BZ721" s="182"/>
      <c r="CA721" s="182"/>
      <c r="CB721" s="185">
        <v>4338.25</v>
      </c>
      <c r="CC721" s="185">
        <v>0</v>
      </c>
      <c r="CD721" s="185">
        <v>2074</v>
      </c>
      <c r="CE721" s="185"/>
    </row>
    <row r="722" spans="2:83" x14ac:dyDescent="0.3">
      <c r="B722" s="182">
        <v>3922</v>
      </c>
      <c r="C722" s="182">
        <v>2075</v>
      </c>
      <c r="D722" s="182" t="s">
        <v>121</v>
      </c>
      <c r="E722" s="181" t="s">
        <v>4324</v>
      </c>
      <c r="F722" s="182"/>
      <c r="G722" s="182">
        <v>6607.73</v>
      </c>
      <c r="H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2"/>
      <c r="X722" s="182"/>
      <c r="Y722" s="182"/>
      <c r="Z722" s="182"/>
      <c r="AA722" s="182"/>
      <c r="AB722" s="182"/>
      <c r="AC722" s="182"/>
      <c r="AD722" s="182"/>
      <c r="AE722" s="182"/>
      <c r="AF722" s="182"/>
      <c r="AG722" s="182"/>
      <c r="AH722" s="182"/>
      <c r="AI722" s="182"/>
      <c r="AJ722" s="182"/>
      <c r="AK722" s="182"/>
      <c r="AL722" s="182"/>
      <c r="AM722" s="182"/>
      <c r="AN722" s="182"/>
      <c r="AO722" s="182"/>
      <c r="AP722" s="182"/>
      <c r="AQ722" s="185">
        <v>6607.73</v>
      </c>
      <c r="AR722" s="182">
        <v>4428.8500000000004</v>
      </c>
      <c r="AS722" s="182">
        <v>586.88</v>
      </c>
      <c r="AT722" s="182">
        <v>1592</v>
      </c>
      <c r="AU722" s="182"/>
      <c r="AV722" s="182"/>
      <c r="AW722" s="182"/>
      <c r="AX722" s="182"/>
      <c r="AY722" s="182"/>
      <c r="AZ722" s="182"/>
      <c r="BA722" s="182"/>
      <c r="BB722" s="182"/>
      <c r="BC722" s="182"/>
      <c r="BD722" s="182"/>
      <c r="BE722" s="182"/>
      <c r="BF722" s="182"/>
      <c r="BG722" s="182"/>
      <c r="BH722" s="182"/>
      <c r="BI722" s="182"/>
      <c r="BJ722" s="182"/>
      <c r="BK722" s="182"/>
      <c r="BL722" s="182"/>
      <c r="BM722" s="182"/>
      <c r="BN722" s="182"/>
      <c r="BO722" s="182"/>
      <c r="BP722" s="182"/>
      <c r="BQ722" s="182"/>
      <c r="BR722" s="182"/>
      <c r="BS722" s="182"/>
      <c r="BT722" s="182"/>
      <c r="BU722" s="182"/>
      <c r="BV722" s="182"/>
      <c r="BW722" s="182"/>
      <c r="BX722" s="182"/>
      <c r="BY722" s="182"/>
      <c r="BZ722" s="182"/>
      <c r="CA722" s="182"/>
      <c r="CB722" s="185">
        <v>6607.7300000000005</v>
      </c>
      <c r="CC722" s="185">
        <v>0</v>
      </c>
      <c r="CD722" s="185">
        <v>2075</v>
      </c>
      <c r="CE722" s="185"/>
    </row>
    <row r="723" spans="2:83" x14ac:dyDescent="0.3">
      <c r="B723" s="182">
        <v>3926</v>
      </c>
      <c r="C723" s="182">
        <v>2076</v>
      </c>
      <c r="D723" s="182" t="s">
        <v>121</v>
      </c>
      <c r="E723" s="181" t="s">
        <v>4325</v>
      </c>
      <c r="F723" s="182"/>
      <c r="G723" s="182">
        <v>15054.02</v>
      </c>
      <c r="H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2"/>
      <c r="X723" s="182"/>
      <c r="Y723" s="182"/>
      <c r="Z723" s="182"/>
      <c r="AA723" s="182"/>
      <c r="AB723" s="182"/>
      <c r="AC723" s="182"/>
      <c r="AD723" s="182"/>
      <c r="AE723" s="182"/>
      <c r="AF723" s="182"/>
      <c r="AG723" s="182"/>
      <c r="AH723" s="182"/>
      <c r="AI723" s="182"/>
      <c r="AJ723" s="182"/>
      <c r="AK723" s="182"/>
      <c r="AL723" s="182"/>
      <c r="AM723" s="182"/>
      <c r="AN723" s="182"/>
      <c r="AO723" s="182"/>
      <c r="AP723" s="182"/>
      <c r="AQ723" s="185">
        <v>15054.02</v>
      </c>
      <c r="AR723" s="182">
        <v>10367.969999999999</v>
      </c>
      <c r="AS723" s="182">
        <v>1355.49</v>
      </c>
      <c r="AT723" s="182">
        <v>3330.56</v>
      </c>
      <c r="AU723" s="182"/>
      <c r="AV723" s="182"/>
      <c r="AW723" s="182"/>
      <c r="AX723" s="182"/>
      <c r="AY723" s="182"/>
      <c r="AZ723" s="182"/>
      <c r="BA723" s="182"/>
      <c r="BB723" s="182"/>
      <c r="BC723" s="182"/>
      <c r="BD723" s="182"/>
      <c r="BE723" s="182"/>
      <c r="BF723" s="182"/>
      <c r="BG723" s="182"/>
      <c r="BH723" s="182"/>
      <c r="BI723" s="182"/>
      <c r="BJ723" s="182"/>
      <c r="BK723" s="182"/>
      <c r="BL723" s="182"/>
      <c r="BM723" s="182"/>
      <c r="BN723" s="182"/>
      <c r="BO723" s="182"/>
      <c r="BP723" s="182"/>
      <c r="BQ723" s="182"/>
      <c r="BR723" s="182"/>
      <c r="BS723" s="182"/>
      <c r="BT723" s="182"/>
      <c r="BU723" s="182"/>
      <c r="BV723" s="182"/>
      <c r="BW723" s="182"/>
      <c r="BX723" s="182"/>
      <c r="BY723" s="182"/>
      <c r="BZ723" s="182"/>
      <c r="CA723" s="182"/>
      <c r="CB723" s="185">
        <v>15054.019999999999</v>
      </c>
      <c r="CC723" s="185">
        <v>0</v>
      </c>
      <c r="CD723" s="185">
        <v>2076</v>
      </c>
      <c r="CE723" s="185"/>
    </row>
    <row r="724" spans="2:83" x14ac:dyDescent="0.3">
      <c r="B724" s="182">
        <v>3925</v>
      </c>
      <c r="C724" s="182">
        <v>2077</v>
      </c>
      <c r="D724" s="182" t="s">
        <v>121</v>
      </c>
      <c r="E724" s="181" t="s">
        <v>4325</v>
      </c>
      <c r="F724" s="182"/>
      <c r="G724" s="182">
        <v>306.02</v>
      </c>
      <c r="H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2"/>
      <c r="X724" s="182"/>
      <c r="Y724" s="182"/>
      <c r="Z724" s="182"/>
      <c r="AA724" s="182"/>
      <c r="AB724" s="182"/>
      <c r="AC724" s="182"/>
      <c r="AD724" s="182"/>
      <c r="AE724" s="182"/>
      <c r="AF724" s="182"/>
      <c r="AG724" s="182"/>
      <c r="AH724" s="182"/>
      <c r="AI724" s="182"/>
      <c r="AJ724" s="182"/>
      <c r="AK724" s="182"/>
      <c r="AL724" s="182"/>
      <c r="AM724" s="182"/>
      <c r="AN724" s="182"/>
      <c r="AO724" s="182"/>
      <c r="AP724" s="182"/>
      <c r="AQ724" s="185">
        <v>306.02</v>
      </c>
      <c r="AR724" s="182">
        <v>204.99</v>
      </c>
      <c r="AS724" s="182">
        <v>27.3</v>
      </c>
      <c r="AT724" s="182">
        <v>73.73</v>
      </c>
      <c r="AU724" s="182"/>
      <c r="AV724" s="182"/>
      <c r="AW724" s="182"/>
      <c r="AX724" s="182"/>
      <c r="AY724" s="182"/>
      <c r="AZ724" s="182"/>
      <c r="BA724" s="182"/>
      <c r="BB724" s="182"/>
      <c r="BC724" s="182"/>
      <c r="BD724" s="182"/>
      <c r="BE724" s="182"/>
      <c r="BF724" s="182"/>
      <c r="BG724" s="182"/>
      <c r="BH724" s="182"/>
      <c r="BI724" s="182"/>
      <c r="BJ724" s="182"/>
      <c r="BK724" s="182"/>
      <c r="BL724" s="182"/>
      <c r="BM724" s="182"/>
      <c r="BN724" s="182"/>
      <c r="BO724" s="182"/>
      <c r="BP724" s="182"/>
      <c r="BQ724" s="182"/>
      <c r="BR724" s="182"/>
      <c r="BS724" s="182"/>
      <c r="BT724" s="182"/>
      <c r="BU724" s="182"/>
      <c r="BV724" s="182"/>
      <c r="BW724" s="182"/>
      <c r="BX724" s="182"/>
      <c r="BY724" s="182"/>
      <c r="BZ724" s="182"/>
      <c r="CA724" s="182"/>
      <c r="CB724" s="185">
        <v>306.02000000000004</v>
      </c>
      <c r="CC724" s="185">
        <v>0</v>
      </c>
      <c r="CD724" s="185">
        <v>2077</v>
      </c>
      <c r="CE724" s="185"/>
    </row>
    <row r="725" spans="2:83" x14ac:dyDescent="0.3">
      <c r="B725" s="182">
        <v>3923</v>
      </c>
      <c r="C725" s="182">
        <v>2078</v>
      </c>
      <c r="D725" s="182" t="s">
        <v>121</v>
      </c>
      <c r="E725" s="181" t="s">
        <v>4325</v>
      </c>
      <c r="F725" s="182"/>
      <c r="G725" s="182">
        <v>231.28</v>
      </c>
      <c r="H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2"/>
      <c r="X725" s="182"/>
      <c r="Y725" s="182"/>
      <c r="Z725" s="182"/>
      <c r="AA725" s="182"/>
      <c r="AB725" s="182"/>
      <c r="AC725" s="182"/>
      <c r="AD725" s="182"/>
      <c r="AE725" s="182"/>
      <c r="AF725" s="182"/>
      <c r="AG725" s="182"/>
      <c r="AH725" s="182"/>
      <c r="AI725" s="182"/>
      <c r="AJ725" s="182"/>
      <c r="AK725" s="182"/>
      <c r="AL725" s="182"/>
      <c r="AM725" s="182"/>
      <c r="AN725" s="182"/>
      <c r="AO725" s="182"/>
      <c r="AP725" s="182"/>
      <c r="AQ725" s="185">
        <v>231.28</v>
      </c>
      <c r="AR725" s="182">
        <v>155.08000000000001</v>
      </c>
      <c r="AS725" s="182">
        <v>20.48</v>
      </c>
      <c r="AT725" s="182">
        <v>55.72</v>
      </c>
      <c r="AU725" s="182"/>
      <c r="AV725" s="182"/>
      <c r="AW725" s="182"/>
      <c r="AX725" s="182"/>
      <c r="AY725" s="182"/>
      <c r="AZ725" s="182"/>
      <c r="BA725" s="182"/>
      <c r="BB725" s="182"/>
      <c r="BC725" s="182"/>
      <c r="BD725" s="182"/>
      <c r="BE725" s="182"/>
      <c r="BF725" s="182"/>
      <c r="BG725" s="182"/>
      <c r="BH725" s="182"/>
      <c r="BI725" s="182"/>
      <c r="BJ725" s="182"/>
      <c r="BK725" s="182"/>
      <c r="BL725" s="182"/>
      <c r="BM725" s="182"/>
      <c r="BN725" s="182"/>
      <c r="BO725" s="182"/>
      <c r="BP725" s="182"/>
      <c r="BQ725" s="182"/>
      <c r="BR725" s="182"/>
      <c r="BS725" s="182"/>
      <c r="BT725" s="182"/>
      <c r="BU725" s="182"/>
      <c r="BV725" s="182"/>
      <c r="BW725" s="182"/>
      <c r="BX725" s="182"/>
      <c r="BY725" s="182"/>
      <c r="BZ725" s="182"/>
      <c r="CA725" s="182"/>
      <c r="CB725" s="185">
        <v>231.28</v>
      </c>
      <c r="CC725" s="185">
        <v>0</v>
      </c>
      <c r="CD725" s="185">
        <v>2078</v>
      </c>
      <c r="CE725" s="185"/>
    </row>
    <row r="726" spans="2:83" x14ac:dyDescent="0.3">
      <c r="B726" s="182">
        <v>3924</v>
      </c>
      <c r="C726" s="182">
        <v>2079</v>
      </c>
      <c r="D726" s="182" t="s">
        <v>121</v>
      </c>
      <c r="E726" s="181" t="s">
        <v>4326</v>
      </c>
      <c r="F726" s="182"/>
      <c r="G726" s="182">
        <v>1156.4000000000001</v>
      </c>
      <c r="H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2"/>
      <c r="X726" s="182"/>
      <c r="Y726" s="182"/>
      <c r="Z726" s="182"/>
      <c r="AA726" s="182"/>
      <c r="AB726" s="182"/>
      <c r="AC726" s="182"/>
      <c r="AD726" s="182"/>
      <c r="AE726" s="182"/>
      <c r="AF726" s="182"/>
      <c r="AG726" s="182"/>
      <c r="AH726" s="182"/>
      <c r="AI726" s="182"/>
      <c r="AJ726" s="182"/>
      <c r="AK726" s="182"/>
      <c r="AL726" s="182"/>
      <c r="AM726" s="182"/>
      <c r="AN726" s="182"/>
      <c r="AO726" s="182"/>
      <c r="AP726" s="182"/>
      <c r="AQ726" s="185">
        <v>1156.4000000000001</v>
      </c>
      <c r="AR726" s="182">
        <v>775.4</v>
      </c>
      <c r="AS726" s="182">
        <v>102.4</v>
      </c>
      <c r="AT726" s="182">
        <v>278.60000000000002</v>
      </c>
      <c r="AU726" s="182"/>
      <c r="AV726" s="182"/>
      <c r="AW726" s="182"/>
      <c r="AX726" s="182"/>
      <c r="AY726" s="182"/>
      <c r="AZ726" s="182"/>
      <c r="BA726" s="182"/>
      <c r="BB726" s="182"/>
      <c r="BC726" s="182"/>
      <c r="BD726" s="182"/>
      <c r="BE726" s="182"/>
      <c r="BF726" s="182"/>
      <c r="BG726" s="182"/>
      <c r="BH726" s="182"/>
      <c r="BI726" s="182"/>
      <c r="BJ726" s="182"/>
      <c r="BK726" s="182"/>
      <c r="BL726" s="182"/>
      <c r="BM726" s="182"/>
      <c r="BN726" s="182"/>
      <c r="BO726" s="182"/>
      <c r="BP726" s="182"/>
      <c r="BQ726" s="182"/>
      <c r="BR726" s="182"/>
      <c r="BS726" s="182"/>
      <c r="BT726" s="182"/>
      <c r="BU726" s="182"/>
      <c r="BV726" s="182"/>
      <c r="BW726" s="182"/>
      <c r="BX726" s="182"/>
      <c r="BY726" s="182"/>
      <c r="BZ726" s="182"/>
      <c r="CA726" s="182"/>
      <c r="CB726" s="185">
        <v>1156.4000000000001</v>
      </c>
      <c r="CC726" s="185">
        <v>0</v>
      </c>
      <c r="CD726" s="185">
        <v>2079</v>
      </c>
      <c r="CE726" s="185"/>
    </row>
    <row r="727" spans="2:83" ht="37.5" x14ac:dyDescent="0.3">
      <c r="B727" s="182">
        <v>3994</v>
      </c>
      <c r="C727" s="182">
        <v>2080</v>
      </c>
      <c r="D727" s="182" t="s">
        <v>121</v>
      </c>
      <c r="E727" s="181" t="s">
        <v>4327</v>
      </c>
      <c r="F727" s="182"/>
      <c r="G727" s="182">
        <v>2051.88</v>
      </c>
      <c r="H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2"/>
      <c r="X727" s="182"/>
      <c r="Y727" s="182"/>
      <c r="Z727" s="182"/>
      <c r="AA727" s="182"/>
      <c r="AB727" s="182"/>
      <c r="AC727" s="182"/>
      <c r="AD727" s="182"/>
      <c r="AE727" s="182"/>
      <c r="AF727" s="182"/>
      <c r="AG727" s="182"/>
      <c r="AH727" s="182"/>
      <c r="AI727" s="182"/>
      <c r="AJ727" s="182"/>
      <c r="AK727" s="182"/>
      <c r="AL727" s="182"/>
      <c r="AM727" s="182"/>
      <c r="AN727" s="182"/>
      <c r="AO727" s="182"/>
      <c r="AP727" s="182"/>
      <c r="AQ727" s="185">
        <v>2051.88</v>
      </c>
      <c r="AR727" s="182">
        <v>1372.25</v>
      </c>
      <c r="AS727" s="182">
        <v>185.25</v>
      </c>
      <c r="AT727" s="182">
        <v>494.38</v>
      </c>
      <c r="AU727" s="182"/>
      <c r="AV727" s="182"/>
      <c r="AW727" s="182"/>
      <c r="AX727" s="182"/>
      <c r="AY727" s="182"/>
      <c r="AZ727" s="182"/>
      <c r="BA727" s="182"/>
      <c r="BB727" s="182"/>
      <c r="BC727" s="182"/>
      <c r="BD727" s="182"/>
      <c r="BE727" s="182"/>
      <c r="BF727" s="182"/>
      <c r="BG727" s="182"/>
      <c r="BH727" s="182"/>
      <c r="BI727" s="182"/>
      <c r="BJ727" s="182"/>
      <c r="BK727" s="182"/>
      <c r="BL727" s="182"/>
      <c r="BM727" s="182"/>
      <c r="BN727" s="182"/>
      <c r="BO727" s="182"/>
      <c r="BP727" s="182"/>
      <c r="BQ727" s="182"/>
      <c r="BR727" s="182"/>
      <c r="BS727" s="182"/>
      <c r="BT727" s="182"/>
      <c r="BU727" s="182"/>
      <c r="BV727" s="182"/>
      <c r="BW727" s="182"/>
      <c r="BX727" s="182"/>
      <c r="BY727" s="182"/>
      <c r="BZ727" s="182"/>
      <c r="CA727" s="182"/>
      <c r="CB727" s="185">
        <v>2051.88</v>
      </c>
      <c r="CC727" s="185">
        <v>0</v>
      </c>
      <c r="CD727" s="185">
        <v>2080</v>
      </c>
      <c r="CE727" s="185"/>
    </row>
    <row r="728" spans="2:83" ht="37.5" x14ac:dyDescent="0.3">
      <c r="B728" s="182">
        <v>3992</v>
      </c>
      <c r="C728" s="182">
        <v>2081</v>
      </c>
      <c r="D728" s="182" t="s">
        <v>121</v>
      </c>
      <c r="E728" s="181" t="s">
        <v>4328</v>
      </c>
      <c r="F728" s="182"/>
      <c r="G728" s="182">
        <v>21779.43</v>
      </c>
      <c r="H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2"/>
      <c r="X728" s="182"/>
      <c r="Y728" s="182"/>
      <c r="Z728" s="182"/>
      <c r="AA728" s="182"/>
      <c r="AB728" s="182"/>
      <c r="AC728" s="182"/>
      <c r="AD728" s="182"/>
      <c r="AE728" s="182"/>
      <c r="AF728" s="182"/>
      <c r="AG728" s="182"/>
      <c r="AH728" s="182"/>
      <c r="AI728" s="182"/>
      <c r="AJ728" s="182"/>
      <c r="AK728" s="182"/>
      <c r="AL728" s="182"/>
      <c r="AM728" s="182"/>
      <c r="AN728" s="182"/>
      <c r="AO728" s="182"/>
      <c r="AP728" s="182"/>
      <c r="AQ728" s="185">
        <v>21779.43</v>
      </c>
      <c r="AR728" s="182">
        <v>15125.13</v>
      </c>
      <c r="AS728" s="182">
        <v>2020.6</v>
      </c>
      <c r="AT728" s="182">
        <v>4633.7</v>
      </c>
      <c r="AU728" s="182"/>
      <c r="AV728" s="182"/>
      <c r="AW728" s="182"/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/>
      <c r="BH728" s="182"/>
      <c r="BI728" s="182"/>
      <c r="BJ728" s="182"/>
      <c r="BK728" s="182"/>
      <c r="BL728" s="182"/>
      <c r="BM728" s="182"/>
      <c r="BN728" s="182"/>
      <c r="BO728" s="182"/>
      <c r="BP728" s="182"/>
      <c r="BQ728" s="182"/>
      <c r="BR728" s="182"/>
      <c r="BS728" s="182"/>
      <c r="BT728" s="182"/>
      <c r="BU728" s="182"/>
      <c r="BV728" s="182"/>
      <c r="BW728" s="182"/>
      <c r="BX728" s="182"/>
      <c r="BY728" s="182"/>
      <c r="BZ728" s="182"/>
      <c r="CA728" s="182"/>
      <c r="CB728" s="185">
        <v>21779.43</v>
      </c>
      <c r="CC728" s="185">
        <v>0</v>
      </c>
      <c r="CD728" s="185">
        <v>2081</v>
      </c>
      <c r="CE728" s="185"/>
    </row>
    <row r="729" spans="2:83" ht="37.5" x14ac:dyDescent="0.3">
      <c r="B729" s="182">
        <v>3993</v>
      </c>
      <c r="C729" s="182">
        <v>2082</v>
      </c>
      <c r="D729" s="182" t="s">
        <v>121</v>
      </c>
      <c r="E729" s="181" t="s">
        <v>4329</v>
      </c>
      <c r="F729" s="182"/>
      <c r="G729" s="182">
        <v>6500</v>
      </c>
      <c r="H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2"/>
      <c r="X729" s="182"/>
      <c r="Y729" s="182"/>
      <c r="Z729" s="182"/>
      <c r="AA729" s="182"/>
      <c r="AB729" s="182"/>
      <c r="AC729" s="182"/>
      <c r="AD729" s="182"/>
      <c r="AE729" s="182"/>
      <c r="AF729" s="182"/>
      <c r="AG729" s="182"/>
      <c r="AH729" s="182"/>
      <c r="AI729" s="182"/>
      <c r="AJ729" s="182"/>
      <c r="AK729" s="182"/>
      <c r="AL729" s="182"/>
      <c r="AM729" s="182"/>
      <c r="AN729" s="182"/>
      <c r="AO729" s="182"/>
      <c r="AP729" s="182"/>
      <c r="AQ729" s="185">
        <v>6500</v>
      </c>
      <c r="AR729" s="182">
        <v>5802</v>
      </c>
      <c r="AS729" s="182">
        <v>698</v>
      </c>
      <c r="AT729" s="182"/>
      <c r="AU729" s="182"/>
      <c r="AV729" s="182"/>
      <c r="AW729" s="182"/>
      <c r="AX729" s="182"/>
      <c r="AY729" s="182"/>
      <c r="AZ729" s="182"/>
      <c r="BA729" s="182"/>
      <c r="BB729" s="182"/>
      <c r="BC729" s="182"/>
      <c r="BD729" s="182"/>
      <c r="BE729" s="182"/>
      <c r="BF729" s="182"/>
      <c r="BG729" s="182"/>
      <c r="BH729" s="182"/>
      <c r="BI729" s="182"/>
      <c r="BJ729" s="182"/>
      <c r="BK729" s="182"/>
      <c r="BL729" s="182"/>
      <c r="BM729" s="182"/>
      <c r="BN729" s="182"/>
      <c r="BO729" s="182"/>
      <c r="BP729" s="182"/>
      <c r="BQ729" s="182"/>
      <c r="BR729" s="182"/>
      <c r="BS729" s="182"/>
      <c r="BT729" s="182"/>
      <c r="BU729" s="182"/>
      <c r="BV729" s="182"/>
      <c r="BW729" s="182"/>
      <c r="BX729" s="182"/>
      <c r="BY729" s="182"/>
      <c r="BZ729" s="182"/>
      <c r="CA729" s="182"/>
      <c r="CB729" s="185">
        <v>6500</v>
      </c>
      <c r="CC729" s="185">
        <v>0</v>
      </c>
      <c r="CD729" s="185">
        <v>2082</v>
      </c>
      <c r="CE729" s="185"/>
    </row>
    <row r="730" spans="2:83" x14ac:dyDescent="0.3">
      <c r="B730" s="182">
        <v>3897</v>
      </c>
      <c r="C730" s="182">
        <v>2083</v>
      </c>
      <c r="D730" s="182" t="s">
        <v>78</v>
      </c>
      <c r="E730" s="181" t="s">
        <v>4330</v>
      </c>
      <c r="F730" s="182"/>
      <c r="G730" s="182">
        <v>16418.560000000001</v>
      </c>
      <c r="H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2"/>
      <c r="X730" s="182"/>
      <c r="Y730" s="182"/>
      <c r="Z730" s="182"/>
      <c r="AA730" s="182"/>
      <c r="AB730" s="182"/>
      <c r="AC730" s="182"/>
      <c r="AD730" s="182"/>
      <c r="AE730" s="182"/>
      <c r="AF730" s="182"/>
      <c r="AG730" s="182"/>
      <c r="AH730" s="182"/>
      <c r="AI730" s="182"/>
      <c r="AJ730" s="182"/>
      <c r="AK730" s="182"/>
      <c r="AL730" s="182"/>
      <c r="AM730" s="182"/>
      <c r="AN730" s="182"/>
      <c r="AO730" s="182"/>
      <c r="AP730" s="182"/>
      <c r="AQ730" s="185">
        <v>16418.560000000001</v>
      </c>
      <c r="AR730" s="182">
        <v>10974.34</v>
      </c>
      <c r="AS730" s="182">
        <v>1488.33</v>
      </c>
      <c r="AT730" s="182">
        <v>3955.89</v>
      </c>
      <c r="AU730" s="182"/>
      <c r="AV730" s="182"/>
      <c r="AW730" s="182"/>
      <c r="AX730" s="182"/>
      <c r="AY730" s="182"/>
      <c r="AZ730" s="182"/>
      <c r="BA730" s="182"/>
      <c r="BB730" s="182"/>
      <c r="BC730" s="182"/>
      <c r="BD730" s="182"/>
      <c r="BE730" s="182"/>
      <c r="BF730" s="182"/>
      <c r="BG730" s="182"/>
      <c r="BH730" s="182"/>
      <c r="BI730" s="182"/>
      <c r="BJ730" s="182"/>
      <c r="BK730" s="182"/>
      <c r="BL730" s="182"/>
      <c r="BM730" s="182"/>
      <c r="BN730" s="182"/>
      <c r="BO730" s="182"/>
      <c r="BP730" s="182"/>
      <c r="BQ730" s="182"/>
      <c r="BR730" s="182"/>
      <c r="BS730" s="182"/>
      <c r="BT730" s="182"/>
      <c r="BU730" s="182"/>
      <c r="BV730" s="182"/>
      <c r="BW730" s="182"/>
      <c r="BX730" s="182"/>
      <c r="BY730" s="182"/>
      <c r="BZ730" s="182"/>
      <c r="CA730" s="182"/>
      <c r="CB730" s="185">
        <v>16418.560000000001</v>
      </c>
      <c r="CC730" s="185">
        <v>0</v>
      </c>
      <c r="CD730" s="185">
        <v>2083</v>
      </c>
      <c r="CE730" s="185"/>
    </row>
    <row r="731" spans="2:83" x14ac:dyDescent="0.3">
      <c r="B731" s="182">
        <v>3776</v>
      </c>
      <c r="C731" s="182">
        <v>2084</v>
      </c>
      <c r="D731" s="182" t="s">
        <v>78</v>
      </c>
      <c r="E731" s="181" t="s">
        <v>4331</v>
      </c>
      <c r="F731" s="182"/>
      <c r="G731" s="182">
        <v>7998</v>
      </c>
      <c r="H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2"/>
      <c r="X731" s="182"/>
      <c r="Y731" s="182"/>
      <c r="Z731" s="182"/>
      <c r="AA731" s="182"/>
      <c r="AB731" s="182"/>
      <c r="AC731" s="182"/>
      <c r="AD731" s="182"/>
      <c r="AE731" s="182"/>
      <c r="AF731" s="182"/>
      <c r="AG731" s="182"/>
      <c r="AH731" s="182"/>
      <c r="AI731" s="182"/>
      <c r="AJ731" s="182"/>
      <c r="AK731" s="182"/>
      <c r="AL731" s="182"/>
      <c r="AM731" s="182"/>
      <c r="AN731" s="182"/>
      <c r="AO731" s="182"/>
      <c r="AP731" s="182"/>
      <c r="AQ731" s="185">
        <v>7998</v>
      </c>
      <c r="AR731" s="182">
        <v>7134.6</v>
      </c>
      <c r="AS731" s="182">
        <v>863.4</v>
      </c>
      <c r="AT731" s="182"/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/>
      <c r="BH731" s="182"/>
      <c r="BI731" s="182"/>
      <c r="BJ731" s="182"/>
      <c r="BK731" s="182"/>
      <c r="BL731" s="182"/>
      <c r="BM731" s="182"/>
      <c r="BN731" s="182"/>
      <c r="BO731" s="182"/>
      <c r="BP731" s="182"/>
      <c r="BQ731" s="182"/>
      <c r="BR731" s="182"/>
      <c r="BS731" s="182"/>
      <c r="BT731" s="182"/>
      <c r="BU731" s="182"/>
      <c r="BV731" s="182"/>
      <c r="BW731" s="182"/>
      <c r="BX731" s="182"/>
      <c r="BY731" s="182"/>
      <c r="BZ731" s="182"/>
      <c r="CA731" s="182"/>
      <c r="CB731" s="185">
        <v>7998</v>
      </c>
      <c r="CC731" s="185">
        <v>0</v>
      </c>
      <c r="CD731" s="185">
        <v>2084</v>
      </c>
      <c r="CE731" s="185"/>
    </row>
    <row r="732" spans="2:83" s="198" customFormat="1" x14ac:dyDescent="0.3">
      <c r="B732" s="190"/>
      <c r="C732" s="190"/>
      <c r="D732" s="190"/>
      <c r="E732" s="199" t="s">
        <v>4332</v>
      </c>
      <c r="F732" s="190"/>
      <c r="G732" s="190">
        <v>847928.00000000023</v>
      </c>
      <c r="H732" s="190">
        <v>0</v>
      </c>
      <c r="I732" s="190">
        <v>0</v>
      </c>
      <c r="J732" s="190">
        <v>0</v>
      </c>
      <c r="K732" s="190">
        <v>0</v>
      </c>
      <c r="L732" s="190">
        <v>0</v>
      </c>
      <c r="M732" s="190">
        <v>0</v>
      </c>
      <c r="N732" s="190">
        <v>0</v>
      </c>
      <c r="O732" s="190">
        <v>0</v>
      </c>
      <c r="P732" s="190">
        <v>0</v>
      </c>
      <c r="Q732" s="190">
        <v>0</v>
      </c>
      <c r="R732" s="190">
        <v>0</v>
      </c>
      <c r="S732" s="190">
        <v>0</v>
      </c>
      <c r="T732" s="190">
        <v>0</v>
      </c>
      <c r="U732" s="190">
        <v>0</v>
      </c>
      <c r="V732" s="190">
        <v>0</v>
      </c>
      <c r="W732" s="190">
        <v>0</v>
      </c>
      <c r="X732" s="190">
        <v>0</v>
      </c>
      <c r="Y732" s="190">
        <v>0</v>
      </c>
      <c r="Z732" s="190">
        <v>0</v>
      </c>
      <c r="AA732" s="190">
        <v>0</v>
      </c>
      <c r="AB732" s="190">
        <v>0</v>
      </c>
      <c r="AC732" s="190">
        <v>0</v>
      </c>
      <c r="AD732" s="190">
        <v>0</v>
      </c>
      <c r="AE732" s="190">
        <v>0</v>
      </c>
      <c r="AF732" s="190">
        <v>0</v>
      </c>
      <c r="AG732" s="190">
        <v>0</v>
      </c>
      <c r="AH732" s="190">
        <v>0</v>
      </c>
      <c r="AI732" s="190">
        <v>0</v>
      </c>
      <c r="AJ732" s="190">
        <v>0</v>
      </c>
      <c r="AK732" s="190">
        <v>0</v>
      </c>
      <c r="AL732" s="190">
        <v>0</v>
      </c>
      <c r="AM732" s="190">
        <v>0</v>
      </c>
      <c r="AN732" s="190">
        <v>0</v>
      </c>
      <c r="AO732" s="190">
        <v>0</v>
      </c>
      <c r="AP732" s="190">
        <v>0</v>
      </c>
      <c r="AQ732" s="190">
        <v>847928.00000000023</v>
      </c>
      <c r="AR732" s="190">
        <v>688957.63999999978</v>
      </c>
      <c r="AS732" s="190">
        <v>82154.050000000017</v>
      </c>
      <c r="AT732" s="190">
        <v>75966.310000000027</v>
      </c>
      <c r="AU732" s="190">
        <v>850</v>
      </c>
      <c r="AV732" s="190">
        <v>0</v>
      </c>
      <c r="AW732" s="190">
        <v>0</v>
      </c>
      <c r="AX732" s="190">
        <v>0</v>
      </c>
      <c r="AY732" s="190">
        <v>0</v>
      </c>
      <c r="AZ732" s="190">
        <v>0</v>
      </c>
      <c r="BA732" s="190">
        <v>0</v>
      </c>
      <c r="BB732" s="190">
        <v>0</v>
      </c>
      <c r="BC732" s="190">
        <v>0</v>
      </c>
      <c r="BD732" s="190">
        <v>0</v>
      </c>
      <c r="BE732" s="190">
        <v>0</v>
      </c>
      <c r="BF732" s="190">
        <v>0</v>
      </c>
      <c r="BG732" s="190">
        <v>0</v>
      </c>
      <c r="BH732" s="190">
        <v>0</v>
      </c>
      <c r="BI732" s="190">
        <v>0</v>
      </c>
      <c r="BJ732" s="190">
        <v>0</v>
      </c>
      <c r="BK732" s="190">
        <v>0</v>
      </c>
      <c r="BL732" s="190">
        <v>0</v>
      </c>
      <c r="BM732" s="190">
        <v>0</v>
      </c>
      <c r="BN732" s="190">
        <v>0</v>
      </c>
      <c r="BO732" s="190">
        <v>0</v>
      </c>
      <c r="BP732" s="190">
        <v>0</v>
      </c>
      <c r="BQ732" s="190">
        <v>0</v>
      </c>
      <c r="BR732" s="190">
        <v>0</v>
      </c>
      <c r="BS732" s="190">
        <v>0</v>
      </c>
      <c r="BT732" s="190">
        <v>0</v>
      </c>
      <c r="BU732" s="190">
        <v>0</v>
      </c>
      <c r="BV732" s="190">
        <v>0</v>
      </c>
      <c r="BW732" s="190">
        <v>0</v>
      </c>
      <c r="BX732" s="190">
        <v>0</v>
      </c>
      <c r="BY732" s="190">
        <v>0</v>
      </c>
      <c r="BZ732" s="190">
        <v>0</v>
      </c>
      <c r="CA732" s="190">
        <v>0</v>
      </c>
      <c r="CB732" s="190">
        <v>847928.00000000023</v>
      </c>
      <c r="CC732" s="190">
        <v>0</v>
      </c>
      <c r="CD732" s="190">
        <v>0</v>
      </c>
      <c r="CE732" s="190"/>
    </row>
    <row r="733" spans="2:83" x14ac:dyDescent="0.3">
      <c r="B733" s="182">
        <v>2347</v>
      </c>
      <c r="C733" s="182">
        <v>2085</v>
      </c>
      <c r="D733" s="182" t="s">
        <v>78</v>
      </c>
      <c r="E733" s="181" t="s">
        <v>4250</v>
      </c>
      <c r="F733" s="182" t="s">
        <v>220</v>
      </c>
      <c r="G733" s="182">
        <v>4371.74</v>
      </c>
      <c r="H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2"/>
      <c r="X733" s="182"/>
      <c r="Y733" s="182"/>
      <c r="Z733" s="182"/>
      <c r="AA733" s="182"/>
      <c r="AB733" s="182"/>
      <c r="AC733" s="182"/>
      <c r="AD733" s="182"/>
      <c r="AE733" s="182"/>
      <c r="AF733" s="182"/>
      <c r="AG733" s="182"/>
      <c r="AH733" s="182"/>
      <c r="AI733" s="182"/>
      <c r="AJ733" s="182"/>
      <c r="AK733" s="182"/>
      <c r="AL733" s="182"/>
      <c r="AM733" s="182"/>
      <c r="AN733" s="182"/>
      <c r="AO733" s="182"/>
      <c r="AP733" s="182"/>
      <c r="AQ733" s="185">
        <v>4371.74</v>
      </c>
      <c r="AR733" s="182">
        <v>3080.88</v>
      </c>
      <c r="AS733" s="182">
        <v>31.28</v>
      </c>
      <c r="AT733" s="182">
        <v>1252.7800000000002</v>
      </c>
      <c r="AU733" s="182">
        <v>6.8</v>
      </c>
      <c r="AV733" s="182"/>
      <c r="AW733" s="182"/>
      <c r="AX733" s="182"/>
      <c r="AY733" s="182"/>
      <c r="AZ733" s="182"/>
      <c r="BA733" s="182"/>
      <c r="BB733" s="182"/>
      <c r="BC733" s="182"/>
      <c r="BD733" s="182"/>
      <c r="BE733" s="182"/>
      <c r="BF733" s="182"/>
      <c r="BG733" s="182"/>
      <c r="BH733" s="182"/>
      <c r="BI733" s="182"/>
      <c r="BJ733" s="182"/>
      <c r="BK733" s="182"/>
      <c r="BL733" s="182"/>
      <c r="BM733" s="182"/>
      <c r="BN733" s="182"/>
      <c r="BO733" s="182"/>
      <c r="BP733" s="182"/>
      <c r="BQ733" s="182"/>
      <c r="BR733" s="182"/>
      <c r="BS733" s="182"/>
      <c r="BT733" s="182"/>
      <c r="BU733" s="182"/>
      <c r="BV733" s="182"/>
      <c r="BW733" s="182"/>
      <c r="BX733" s="182"/>
      <c r="BY733" s="182"/>
      <c r="BZ733" s="182"/>
      <c r="CA733" s="182"/>
      <c r="CB733" s="185">
        <v>4371.7400000000007</v>
      </c>
      <c r="CC733" s="185">
        <v>0</v>
      </c>
      <c r="CD733" s="185">
        <v>2085</v>
      </c>
      <c r="CE733" s="185"/>
    </row>
    <row r="734" spans="2:83" x14ac:dyDescent="0.3">
      <c r="B734" s="182">
        <v>2348</v>
      </c>
      <c r="C734" s="182">
        <v>2086</v>
      </c>
      <c r="D734" s="182" t="s">
        <v>78</v>
      </c>
      <c r="E734" s="181" t="s">
        <v>4250</v>
      </c>
      <c r="F734" s="182" t="s">
        <v>220</v>
      </c>
      <c r="G734" s="182">
        <v>3812.98</v>
      </c>
      <c r="H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2"/>
      <c r="X734" s="182"/>
      <c r="Y734" s="182"/>
      <c r="Z734" s="182"/>
      <c r="AA734" s="182"/>
      <c r="AB734" s="182"/>
      <c r="AC734" s="182"/>
      <c r="AD734" s="182"/>
      <c r="AE734" s="182"/>
      <c r="AF734" s="182"/>
      <c r="AG734" s="182"/>
      <c r="AH734" s="182"/>
      <c r="AI734" s="182"/>
      <c r="AJ734" s="182"/>
      <c r="AK734" s="182"/>
      <c r="AL734" s="182"/>
      <c r="AM734" s="182"/>
      <c r="AN734" s="182"/>
      <c r="AO734" s="182"/>
      <c r="AP734" s="182"/>
      <c r="AQ734" s="185">
        <v>3812.98</v>
      </c>
      <c r="AR734" s="182">
        <v>2624.96</v>
      </c>
      <c r="AS734" s="182">
        <v>26.51</v>
      </c>
      <c r="AT734" s="182">
        <v>918.69</v>
      </c>
      <c r="AU734" s="182">
        <v>49.63</v>
      </c>
      <c r="AV734" s="182"/>
      <c r="AW734" s="182">
        <v>193.19</v>
      </c>
      <c r="AX734" s="182"/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182"/>
      <c r="BK734" s="182"/>
      <c r="BL734" s="182"/>
      <c r="BM734" s="182"/>
      <c r="BN734" s="182"/>
      <c r="BO734" s="182"/>
      <c r="BP734" s="182"/>
      <c r="BQ734" s="182"/>
      <c r="BR734" s="182"/>
      <c r="BS734" s="182"/>
      <c r="BT734" s="182"/>
      <c r="BU734" s="182"/>
      <c r="BV734" s="182"/>
      <c r="BW734" s="182"/>
      <c r="BX734" s="182"/>
      <c r="BY734" s="182"/>
      <c r="BZ734" s="182"/>
      <c r="CA734" s="182"/>
      <c r="CB734" s="185">
        <v>3812.9800000000005</v>
      </c>
      <c r="CC734" s="185">
        <v>0</v>
      </c>
      <c r="CD734" s="185">
        <v>2086</v>
      </c>
      <c r="CE734" s="185"/>
    </row>
    <row r="735" spans="2:83" x14ac:dyDescent="0.3">
      <c r="B735" s="182">
        <v>2343</v>
      </c>
      <c r="C735" s="182">
        <v>2087</v>
      </c>
      <c r="D735" s="182"/>
      <c r="E735" s="181" t="s">
        <v>4071</v>
      </c>
      <c r="F735" s="182" t="s">
        <v>220</v>
      </c>
      <c r="G735" s="182"/>
      <c r="H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2"/>
      <c r="X735" s="182"/>
      <c r="Y735" s="182"/>
      <c r="Z735" s="182"/>
      <c r="AA735" s="182"/>
      <c r="AB735" s="182"/>
      <c r="AC735" s="182">
        <v>2</v>
      </c>
      <c r="AD735" s="182"/>
      <c r="AE735" s="182"/>
      <c r="AF735" s="182"/>
      <c r="AG735" s="182"/>
      <c r="AH735" s="182"/>
      <c r="AI735" s="182"/>
      <c r="AJ735" s="182"/>
      <c r="AK735" s="182"/>
      <c r="AL735" s="182"/>
      <c r="AM735" s="182"/>
      <c r="AN735" s="182"/>
      <c r="AO735" s="182"/>
      <c r="AP735" s="182"/>
      <c r="AQ735" s="185">
        <v>2</v>
      </c>
      <c r="AR735" s="182">
        <v>2</v>
      </c>
      <c r="AS735" s="182"/>
      <c r="AT735" s="182"/>
      <c r="AU735" s="182"/>
      <c r="AV735" s="182"/>
      <c r="AW735" s="182"/>
      <c r="AX735" s="182"/>
      <c r="AY735" s="182"/>
      <c r="AZ735" s="182"/>
      <c r="BA735" s="182"/>
      <c r="BB735" s="182"/>
      <c r="BC735" s="182"/>
      <c r="BD735" s="182"/>
      <c r="BE735" s="182"/>
      <c r="BF735" s="182"/>
      <c r="BG735" s="182"/>
      <c r="BH735" s="182"/>
      <c r="BI735" s="182"/>
      <c r="BJ735" s="182"/>
      <c r="BK735" s="182"/>
      <c r="BL735" s="182"/>
      <c r="BM735" s="182"/>
      <c r="BN735" s="182"/>
      <c r="BO735" s="182"/>
      <c r="BP735" s="182"/>
      <c r="BQ735" s="182"/>
      <c r="BR735" s="182"/>
      <c r="BS735" s="182"/>
      <c r="BT735" s="182"/>
      <c r="BU735" s="182"/>
      <c r="BV735" s="182"/>
      <c r="BW735" s="182"/>
      <c r="BX735" s="182"/>
      <c r="BY735" s="182"/>
      <c r="BZ735" s="182"/>
      <c r="CA735" s="182"/>
      <c r="CB735" s="185">
        <v>2</v>
      </c>
      <c r="CC735" s="185">
        <v>0</v>
      </c>
      <c r="CD735" s="185">
        <v>2087</v>
      </c>
      <c r="CE735" s="185"/>
    </row>
    <row r="736" spans="2:83" x14ac:dyDescent="0.3">
      <c r="B736" s="182">
        <v>2341</v>
      </c>
      <c r="C736" s="182">
        <v>2088</v>
      </c>
      <c r="D736" s="182"/>
      <c r="E736" s="181" t="s">
        <v>4072</v>
      </c>
      <c r="F736" s="182" t="s">
        <v>220</v>
      </c>
      <c r="G736" s="182"/>
      <c r="H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2"/>
      <c r="X736" s="182"/>
      <c r="Y736" s="182"/>
      <c r="Z736" s="182"/>
      <c r="AA736" s="182"/>
      <c r="AB736" s="182"/>
      <c r="AC736" s="182">
        <v>15</v>
      </c>
      <c r="AD736" s="182"/>
      <c r="AE736" s="182"/>
      <c r="AF736" s="182"/>
      <c r="AG736" s="182"/>
      <c r="AH736" s="182"/>
      <c r="AI736" s="182"/>
      <c r="AJ736" s="182"/>
      <c r="AK736" s="182"/>
      <c r="AL736" s="182"/>
      <c r="AM736" s="182"/>
      <c r="AN736" s="182"/>
      <c r="AO736" s="182"/>
      <c r="AP736" s="182"/>
      <c r="AQ736" s="185">
        <v>15</v>
      </c>
      <c r="AR736" s="182">
        <v>15</v>
      </c>
      <c r="AS736" s="182"/>
      <c r="AT736" s="182"/>
      <c r="AU736" s="182"/>
      <c r="AV736" s="182"/>
      <c r="AW736" s="182"/>
      <c r="AX736" s="182"/>
      <c r="AY736" s="182"/>
      <c r="AZ736" s="182"/>
      <c r="BA736" s="182"/>
      <c r="BB736" s="182"/>
      <c r="BC736" s="182"/>
      <c r="BD736" s="182"/>
      <c r="BE736" s="182"/>
      <c r="BF736" s="182"/>
      <c r="BG736" s="182"/>
      <c r="BH736" s="182"/>
      <c r="BI736" s="182"/>
      <c r="BJ736" s="182"/>
      <c r="BK736" s="182"/>
      <c r="BL736" s="182"/>
      <c r="BM736" s="182"/>
      <c r="BN736" s="182"/>
      <c r="BO736" s="182"/>
      <c r="BP736" s="182"/>
      <c r="BQ736" s="182"/>
      <c r="BR736" s="182"/>
      <c r="BS736" s="182"/>
      <c r="BT736" s="182"/>
      <c r="BU736" s="182"/>
      <c r="BV736" s="182"/>
      <c r="BW736" s="182"/>
      <c r="BX736" s="182"/>
      <c r="BY736" s="182"/>
      <c r="BZ736" s="182"/>
      <c r="CA736" s="182"/>
      <c r="CB736" s="185">
        <v>15</v>
      </c>
      <c r="CC736" s="185">
        <v>0</v>
      </c>
      <c r="CD736" s="185">
        <v>2088</v>
      </c>
      <c r="CE736" s="185"/>
    </row>
    <row r="737" spans="2:83" x14ac:dyDescent="0.3">
      <c r="B737" s="182">
        <v>2344</v>
      </c>
      <c r="C737" s="182">
        <v>2089</v>
      </c>
      <c r="D737" s="182"/>
      <c r="E737" s="181" t="s">
        <v>4333</v>
      </c>
      <c r="F737" s="182" t="s">
        <v>220</v>
      </c>
      <c r="G737" s="182"/>
      <c r="H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2"/>
      <c r="X737" s="182"/>
      <c r="Y737" s="182"/>
      <c r="Z737" s="182"/>
      <c r="AA737" s="182"/>
      <c r="AB737" s="182"/>
      <c r="AC737" s="182">
        <v>13</v>
      </c>
      <c r="AD737" s="182"/>
      <c r="AE737" s="182"/>
      <c r="AF737" s="182"/>
      <c r="AG737" s="182"/>
      <c r="AH737" s="182"/>
      <c r="AI737" s="182"/>
      <c r="AJ737" s="182"/>
      <c r="AK737" s="182"/>
      <c r="AL737" s="182"/>
      <c r="AM737" s="182"/>
      <c r="AN737" s="182"/>
      <c r="AO737" s="182"/>
      <c r="AP737" s="182"/>
      <c r="AQ737" s="185">
        <v>13</v>
      </c>
      <c r="AR737" s="182">
        <v>13</v>
      </c>
      <c r="AS737" s="182"/>
      <c r="AT737" s="182"/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182"/>
      <c r="BK737" s="182"/>
      <c r="BL737" s="182"/>
      <c r="BM737" s="182"/>
      <c r="BN737" s="182"/>
      <c r="BO737" s="182"/>
      <c r="BP737" s="182"/>
      <c r="BQ737" s="182"/>
      <c r="BR737" s="182"/>
      <c r="BS737" s="182"/>
      <c r="BT737" s="182"/>
      <c r="BU737" s="182"/>
      <c r="BV737" s="182"/>
      <c r="BW737" s="182"/>
      <c r="BX737" s="182"/>
      <c r="BY737" s="182"/>
      <c r="BZ737" s="182"/>
      <c r="CA737" s="182"/>
      <c r="CB737" s="185">
        <v>13</v>
      </c>
      <c r="CC737" s="185">
        <v>0</v>
      </c>
      <c r="CD737" s="185">
        <v>2089</v>
      </c>
      <c r="CE737" s="185"/>
    </row>
    <row r="738" spans="2:83" x14ac:dyDescent="0.3">
      <c r="B738" s="182">
        <v>2342</v>
      </c>
      <c r="C738" s="182">
        <v>2090</v>
      </c>
      <c r="D738" s="182" t="s">
        <v>121</v>
      </c>
      <c r="E738" s="181" t="s">
        <v>4066</v>
      </c>
      <c r="F738" s="182" t="s">
        <v>220</v>
      </c>
      <c r="G738" s="182"/>
      <c r="H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2">
        <v>2.1800000000000002</v>
      </c>
      <c r="X738" s="182"/>
      <c r="Y738" s="182"/>
      <c r="Z738" s="182"/>
      <c r="AA738" s="182"/>
      <c r="AB738" s="182"/>
      <c r="AC738" s="182"/>
      <c r="AD738" s="182"/>
      <c r="AE738" s="182"/>
      <c r="AF738" s="182"/>
      <c r="AG738" s="182"/>
      <c r="AH738" s="182"/>
      <c r="AI738" s="182"/>
      <c r="AJ738" s="182"/>
      <c r="AK738" s="182"/>
      <c r="AL738" s="182"/>
      <c r="AM738" s="182"/>
      <c r="AN738" s="182"/>
      <c r="AO738" s="182"/>
      <c r="AP738" s="182"/>
      <c r="AQ738" s="185">
        <v>2.1800000000000002</v>
      </c>
      <c r="AR738" s="182">
        <v>2.1800000000000002</v>
      </c>
      <c r="AS738" s="182"/>
      <c r="AT738" s="182"/>
      <c r="AU738" s="182"/>
      <c r="AV738" s="182"/>
      <c r="AW738" s="182"/>
      <c r="AX738" s="182"/>
      <c r="AY738" s="182"/>
      <c r="AZ738" s="182"/>
      <c r="BA738" s="182"/>
      <c r="BB738" s="182"/>
      <c r="BC738" s="182"/>
      <c r="BD738" s="182"/>
      <c r="BE738" s="182"/>
      <c r="BF738" s="182"/>
      <c r="BG738" s="182"/>
      <c r="BH738" s="182"/>
      <c r="BI738" s="182"/>
      <c r="BJ738" s="182"/>
      <c r="BK738" s="182"/>
      <c r="BL738" s="182"/>
      <c r="BM738" s="182"/>
      <c r="BN738" s="182"/>
      <c r="BO738" s="182"/>
      <c r="BP738" s="182"/>
      <c r="BQ738" s="182"/>
      <c r="BR738" s="182"/>
      <c r="BS738" s="182"/>
      <c r="BT738" s="182"/>
      <c r="BU738" s="182"/>
      <c r="BV738" s="182"/>
      <c r="BW738" s="182"/>
      <c r="BX738" s="182"/>
      <c r="BY738" s="182"/>
      <c r="BZ738" s="182"/>
      <c r="CA738" s="182"/>
      <c r="CB738" s="185">
        <v>2.1800000000000002</v>
      </c>
      <c r="CC738" s="185">
        <v>0</v>
      </c>
      <c r="CD738" s="185">
        <v>2090</v>
      </c>
      <c r="CE738" s="185"/>
    </row>
    <row r="739" spans="2:83" x14ac:dyDescent="0.3">
      <c r="B739" s="182">
        <v>2340</v>
      </c>
      <c r="C739" s="182">
        <v>2091</v>
      </c>
      <c r="D739" s="182"/>
      <c r="E739" s="181" t="s">
        <v>4334</v>
      </c>
      <c r="F739" s="182" t="s">
        <v>220</v>
      </c>
      <c r="G739" s="182"/>
      <c r="H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2"/>
      <c r="X739" s="182"/>
      <c r="Y739" s="182"/>
      <c r="Z739" s="182"/>
      <c r="AA739" s="182"/>
      <c r="AB739" s="182"/>
      <c r="AC739" s="182">
        <v>40</v>
      </c>
      <c r="AD739" s="182"/>
      <c r="AE739" s="182"/>
      <c r="AF739" s="182"/>
      <c r="AG739" s="182"/>
      <c r="AH739" s="182"/>
      <c r="AI739" s="182"/>
      <c r="AJ739" s="182"/>
      <c r="AK739" s="182"/>
      <c r="AL739" s="182"/>
      <c r="AM739" s="182"/>
      <c r="AN739" s="182"/>
      <c r="AO739" s="182"/>
      <c r="AP739" s="182"/>
      <c r="AQ739" s="185">
        <v>40</v>
      </c>
      <c r="AR739" s="182">
        <v>40</v>
      </c>
      <c r="AS739" s="182"/>
      <c r="AT739" s="182"/>
      <c r="AU739" s="182"/>
      <c r="AV739" s="182"/>
      <c r="AW739" s="182"/>
      <c r="AX739" s="182"/>
      <c r="AY739" s="182"/>
      <c r="AZ739" s="182"/>
      <c r="BA739" s="182"/>
      <c r="BB739" s="182"/>
      <c r="BC739" s="182"/>
      <c r="BD739" s="182"/>
      <c r="BE739" s="182"/>
      <c r="BF739" s="182"/>
      <c r="BG739" s="182"/>
      <c r="BH739" s="182"/>
      <c r="BI739" s="182"/>
      <c r="BJ739" s="182"/>
      <c r="BK739" s="182"/>
      <c r="BL739" s="182"/>
      <c r="BM739" s="182"/>
      <c r="BN739" s="182"/>
      <c r="BO739" s="182"/>
      <c r="BP739" s="182"/>
      <c r="BQ739" s="182"/>
      <c r="BR739" s="182"/>
      <c r="BS739" s="182"/>
      <c r="BT739" s="182"/>
      <c r="BU739" s="182"/>
      <c r="BV739" s="182"/>
      <c r="BW739" s="182"/>
      <c r="BX739" s="182"/>
      <c r="BY739" s="182"/>
      <c r="BZ739" s="182"/>
      <c r="CA739" s="182"/>
      <c r="CB739" s="185">
        <v>40</v>
      </c>
      <c r="CC739" s="185">
        <v>0</v>
      </c>
      <c r="CD739" s="185">
        <v>2091</v>
      </c>
      <c r="CE739" s="185"/>
    </row>
    <row r="740" spans="2:83" x14ac:dyDescent="0.3">
      <c r="B740" s="185"/>
      <c r="C740" s="185"/>
      <c r="D740" s="185"/>
      <c r="E740" s="184" t="s">
        <v>4335</v>
      </c>
      <c r="F740" s="185"/>
      <c r="G740" s="185">
        <v>8184.7199999999993</v>
      </c>
      <c r="H740" s="185">
        <v>0</v>
      </c>
      <c r="I740" s="185">
        <v>0</v>
      </c>
      <c r="J740" s="185">
        <v>0</v>
      </c>
      <c r="K740" s="185">
        <v>0</v>
      </c>
      <c r="L740" s="185">
        <v>0</v>
      </c>
      <c r="M740" s="185">
        <v>0</v>
      </c>
      <c r="N740" s="185">
        <v>0</v>
      </c>
      <c r="O740" s="185">
        <v>0</v>
      </c>
      <c r="P740" s="185">
        <v>0</v>
      </c>
      <c r="Q740" s="185">
        <v>0</v>
      </c>
      <c r="R740" s="185">
        <v>0</v>
      </c>
      <c r="S740" s="185">
        <v>0</v>
      </c>
      <c r="T740" s="185">
        <v>0</v>
      </c>
      <c r="U740" s="185">
        <v>0</v>
      </c>
      <c r="V740" s="185">
        <v>0</v>
      </c>
      <c r="W740" s="185">
        <v>2.1800000000000002</v>
      </c>
      <c r="X740" s="185">
        <v>0</v>
      </c>
      <c r="Y740" s="185">
        <v>0</v>
      </c>
      <c r="Z740" s="185">
        <v>0</v>
      </c>
      <c r="AA740" s="185">
        <v>0</v>
      </c>
      <c r="AB740" s="185">
        <v>0</v>
      </c>
      <c r="AC740" s="185">
        <v>70</v>
      </c>
      <c r="AD740" s="185">
        <v>0</v>
      </c>
      <c r="AE740" s="185">
        <v>0</v>
      </c>
      <c r="AF740" s="185">
        <v>0</v>
      </c>
      <c r="AG740" s="185">
        <v>0</v>
      </c>
      <c r="AH740" s="185">
        <v>0</v>
      </c>
      <c r="AI740" s="185">
        <v>0</v>
      </c>
      <c r="AJ740" s="185">
        <v>0</v>
      </c>
      <c r="AK740" s="185">
        <v>0</v>
      </c>
      <c r="AL740" s="185">
        <v>0</v>
      </c>
      <c r="AM740" s="185">
        <v>0</v>
      </c>
      <c r="AN740" s="185">
        <v>0</v>
      </c>
      <c r="AO740" s="185">
        <v>0</v>
      </c>
      <c r="AP740" s="185">
        <v>0</v>
      </c>
      <c r="AQ740" s="185">
        <v>8256.9</v>
      </c>
      <c r="AR740" s="185">
        <v>5778.02</v>
      </c>
      <c r="AS740" s="185">
        <v>57.790000000000006</v>
      </c>
      <c r="AT740" s="185">
        <v>2171.4700000000003</v>
      </c>
      <c r="AU740" s="185">
        <v>56.43</v>
      </c>
      <c r="AV740" s="185">
        <v>0</v>
      </c>
      <c r="AW740" s="185">
        <v>193.19</v>
      </c>
      <c r="AX740" s="185">
        <v>0</v>
      </c>
      <c r="AY740" s="185">
        <v>0</v>
      </c>
      <c r="AZ740" s="185">
        <v>0</v>
      </c>
      <c r="BA740" s="185">
        <v>0</v>
      </c>
      <c r="BB740" s="185">
        <v>0</v>
      </c>
      <c r="BC740" s="185">
        <v>0</v>
      </c>
      <c r="BD740" s="185">
        <v>0</v>
      </c>
      <c r="BE740" s="185">
        <v>0</v>
      </c>
      <c r="BF740" s="185">
        <v>0</v>
      </c>
      <c r="BG740" s="185">
        <v>0</v>
      </c>
      <c r="BH740" s="185">
        <v>0</v>
      </c>
      <c r="BI740" s="185">
        <v>0</v>
      </c>
      <c r="BJ740" s="185">
        <v>0</v>
      </c>
      <c r="BK740" s="185">
        <v>0</v>
      </c>
      <c r="BL740" s="185">
        <v>0</v>
      </c>
      <c r="BM740" s="185">
        <v>0</v>
      </c>
      <c r="BN740" s="185">
        <v>0</v>
      </c>
      <c r="BO740" s="185">
        <v>0</v>
      </c>
      <c r="BP740" s="185">
        <v>0</v>
      </c>
      <c r="BQ740" s="185">
        <v>0</v>
      </c>
      <c r="BR740" s="185">
        <v>0</v>
      </c>
      <c r="BS740" s="185">
        <v>0</v>
      </c>
      <c r="BT740" s="185">
        <v>0</v>
      </c>
      <c r="BU740" s="185">
        <v>0</v>
      </c>
      <c r="BV740" s="185">
        <v>0</v>
      </c>
      <c r="BW740" s="185">
        <v>0</v>
      </c>
      <c r="BX740" s="185">
        <v>0</v>
      </c>
      <c r="BY740" s="185">
        <v>0</v>
      </c>
      <c r="BZ740" s="185">
        <v>0</v>
      </c>
      <c r="CA740" s="185">
        <v>0</v>
      </c>
      <c r="CB740" s="185">
        <v>8256.9000000000015</v>
      </c>
      <c r="CC740" s="185">
        <v>0</v>
      </c>
      <c r="CD740" s="185">
        <v>0</v>
      </c>
      <c r="CE740" s="185"/>
    </row>
    <row r="741" spans="2:83" x14ac:dyDescent="0.3">
      <c r="B741" s="182"/>
      <c r="C741" s="182">
        <v>2092</v>
      </c>
      <c r="D741" s="182" t="s">
        <v>332</v>
      </c>
      <c r="E741" s="181" t="s">
        <v>4336</v>
      </c>
      <c r="F741" s="182"/>
      <c r="G741" s="182"/>
      <c r="H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2"/>
      <c r="X741" s="182"/>
      <c r="Y741" s="182"/>
      <c r="Z741" s="182"/>
      <c r="AA741" s="182"/>
      <c r="AB741" s="182"/>
      <c r="AC741" s="182"/>
      <c r="AD741" s="182"/>
      <c r="AE741" s="182"/>
      <c r="AF741" s="182"/>
      <c r="AG741" s="182"/>
      <c r="AH741" s="182"/>
      <c r="AI741" s="182"/>
      <c r="AJ741" s="182"/>
      <c r="AK741" s="182"/>
      <c r="AL741" s="182"/>
      <c r="AM741" s="182"/>
      <c r="AN741" s="182"/>
      <c r="AO741" s="182"/>
      <c r="AP741" s="182"/>
      <c r="AQ741" s="185">
        <v>0</v>
      </c>
      <c r="AR741" s="182"/>
      <c r="AS741" s="182"/>
      <c r="AT741" s="182"/>
      <c r="AU741" s="182"/>
      <c r="AV741" s="182"/>
      <c r="AW741" s="182"/>
      <c r="AX741" s="182"/>
      <c r="AY741" s="182"/>
      <c r="AZ741" s="182"/>
      <c r="BA741" s="182"/>
      <c r="BB741" s="182"/>
      <c r="BC741" s="182"/>
      <c r="BD741" s="182"/>
      <c r="BE741" s="182"/>
      <c r="BF741" s="182"/>
      <c r="BG741" s="182"/>
      <c r="BH741" s="182"/>
      <c r="BI741" s="182"/>
      <c r="BJ741" s="182"/>
      <c r="BK741" s="182"/>
      <c r="BL741" s="182"/>
      <c r="BM741" s="182"/>
      <c r="BN741" s="182"/>
      <c r="BO741" s="182"/>
      <c r="BP741" s="182"/>
      <c r="BQ741" s="182"/>
      <c r="BR741" s="182"/>
      <c r="BS741" s="182"/>
      <c r="BT741" s="182"/>
      <c r="BU741" s="182"/>
      <c r="BV741" s="182"/>
      <c r="BW741" s="182"/>
      <c r="BX741" s="182"/>
      <c r="BY741" s="182"/>
      <c r="BZ741" s="182"/>
      <c r="CA741" s="182"/>
      <c r="CB741" s="185">
        <v>0</v>
      </c>
      <c r="CC741" s="185">
        <v>0</v>
      </c>
      <c r="CD741" s="185">
        <v>2092</v>
      </c>
      <c r="CE741" s="185"/>
    </row>
    <row r="742" spans="2:83" x14ac:dyDescent="0.3">
      <c r="B742" s="182">
        <v>1312</v>
      </c>
      <c r="C742" s="182">
        <v>2093</v>
      </c>
      <c r="D742" s="182" t="s">
        <v>132</v>
      </c>
      <c r="E742" s="181" t="s">
        <v>4337</v>
      </c>
      <c r="F742" s="182"/>
      <c r="G742" s="182"/>
      <c r="H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2">
        <v>2450</v>
      </c>
      <c r="X742" s="182"/>
      <c r="Y742" s="182"/>
      <c r="Z742" s="182"/>
      <c r="AA742" s="182"/>
      <c r="AB742" s="182"/>
      <c r="AC742" s="182"/>
      <c r="AD742" s="182"/>
      <c r="AE742" s="182"/>
      <c r="AF742" s="182"/>
      <c r="AG742" s="182"/>
      <c r="AH742" s="182"/>
      <c r="AI742" s="182"/>
      <c r="AJ742" s="182"/>
      <c r="AK742" s="182"/>
      <c r="AL742" s="182"/>
      <c r="AM742" s="182"/>
      <c r="AN742" s="182"/>
      <c r="AO742" s="182"/>
      <c r="AP742" s="182"/>
      <c r="AQ742" s="185">
        <v>2450</v>
      </c>
      <c r="AR742" s="182">
        <v>2450</v>
      </c>
      <c r="AS742" s="182"/>
      <c r="AT742" s="182"/>
      <c r="AU742" s="182"/>
      <c r="AV742" s="182"/>
      <c r="AW742" s="182"/>
      <c r="AX742" s="182"/>
      <c r="AY742" s="182"/>
      <c r="AZ742" s="182"/>
      <c r="BA742" s="182"/>
      <c r="BB742" s="182"/>
      <c r="BC742" s="182"/>
      <c r="BD742" s="182"/>
      <c r="BE742" s="182"/>
      <c r="BF742" s="182"/>
      <c r="BG742" s="182"/>
      <c r="BH742" s="182"/>
      <c r="BI742" s="182"/>
      <c r="BJ742" s="182"/>
      <c r="BK742" s="182"/>
      <c r="BL742" s="182"/>
      <c r="BM742" s="182"/>
      <c r="BN742" s="182"/>
      <c r="BO742" s="182"/>
      <c r="BP742" s="182"/>
      <c r="BQ742" s="182"/>
      <c r="BR742" s="182"/>
      <c r="BS742" s="182"/>
      <c r="BT742" s="182"/>
      <c r="BU742" s="182"/>
      <c r="BV742" s="182"/>
      <c r="BW742" s="182"/>
      <c r="BX742" s="182"/>
      <c r="BY742" s="182"/>
      <c r="BZ742" s="182"/>
      <c r="CA742" s="182"/>
      <c r="CB742" s="185">
        <v>2450</v>
      </c>
      <c r="CC742" s="185">
        <v>0</v>
      </c>
      <c r="CD742" s="185">
        <v>2093</v>
      </c>
      <c r="CE742" s="185"/>
    </row>
    <row r="743" spans="2:83" x14ac:dyDescent="0.3">
      <c r="B743" s="182">
        <v>3880</v>
      </c>
      <c r="C743" s="182">
        <v>2094</v>
      </c>
      <c r="D743" s="182" t="s">
        <v>78</v>
      </c>
      <c r="E743" s="181" t="s">
        <v>4338</v>
      </c>
      <c r="F743" s="182"/>
      <c r="G743" s="182"/>
      <c r="H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2">
        <v>9150</v>
      </c>
      <c r="X743" s="182"/>
      <c r="Y743" s="182"/>
      <c r="Z743" s="182"/>
      <c r="AA743" s="182"/>
      <c r="AB743" s="182"/>
      <c r="AC743" s="182"/>
      <c r="AD743" s="182"/>
      <c r="AE743" s="182"/>
      <c r="AF743" s="182"/>
      <c r="AG743" s="182"/>
      <c r="AH743" s="182"/>
      <c r="AI743" s="182"/>
      <c r="AJ743" s="182"/>
      <c r="AK743" s="182"/>
      <c r="AL743" s="182"/>
      <c r="AM743" s="182"/>
      <c r="AN743" s="182"/>
      <c r="AO743" s="182"/>
      <c r="AP743" s="182"/>
      <c r="AQ743" s="185">
        <v>9150</v>
      </c>
      <c r="AR743" s="182">
        <v>9150</v>
      </c>
      <c r="AS743" s="182"/>
      <c r="AT743" s="182"/>
      <c r="AU743" s="182"/>
      <c r="AV743" s="182"/>
      <c r="AW743" s="182"/>
      <c r="AX743" s="182"/>
      <c r="AY743" s="182"/>
      <c r="AZ743" s="182"/>
      <c r="BA743" s="182"/>
      <c r="BB743" s="182"/>
      <c r="BC743" s="182"/>
      <c r="BD743" s="182"/>
      <c r="BE743" s="182"/>
      <c r="BF743" s="182"/>
      <c r="BG743" s="182"/>
      <c r="BH743" s="182"/>
      <c r="BI743" s="182"/>
      <c r="BJ743" s="182"/>
      <c r="BK743" s="182"/>
      <c r="BL743" s="182"/>
      <c r="BM743" s="182"/>
      <c r="BN743" s="182"/>
      <c r="BO743" s="182"/>
      <c r="BP743" s="182"/>
      <c r="BQ743" s="182"/>
      <c r="BR743" s="182"/>
      <c r="BS743" s="182"/>
      <c r="BT743" s="182"/>
      <c r="BU743" s="182"/>
      <c r="BV743" s="182"/>
      <c r="BW743" s="182"/>
      <c r="BX743" s="182"/>
      <c r="BY743" s="182"/>
      <c r="BZ743" s="182"/>
      <c r="CA743" s="182"/>
      <c r="CB743" s="185">
        <v>9150</v>
      </c>
      <c r="CC743" s="185">
        <v>0</v>
      </c>
      <c r="CD743" s="185">
        <v>2094</v>
      </c>
      <c r="CE743" s="185"/>
    </row>
    <row r="744" spans="2:83" x14ac:dyDescent="0.3">
      <c r="B744" s="182">
        <v>3863</v>
      </c>
      <c r="C744" s="182">
        <v>2095</v>
      </c>
      <c r="D744" s="182" t="s">
        <v>78</v>
      </c>
      <c r="E744" s="181" t="s">
        <v>2968</v>
      </c>
      <c r="F744" s="182"/>
      <c r="G744" s="182"/>
      <c r="H744" s="182">
        <v>1425</v>
      </c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2"/>
      <c r="X744" s="182"/>
      <c r="Y744" s="182"/>
      <c r="Z744" s="182"/>
      <c r="AA744" s="182"/>
      <c r="AB744" s="182"/>
      <c r="AC744" s="182"/>
      <c r="AD744" s="182"/>
      <c r="AE744" s="182"/>
      <c r="AF744" s="182"/>
      <c r="AG744" s="182"/>
      <c r="AH744" s="182"/>
      <c r="AI744" s="182"/>
      <c r="AJ744" s="182"/>
      <c r="AK744" s="182"/>
      <c r="AL744" s="182"/>
      <c r="AM744" s="182"/>
      <c r="AN744" s="182"/>
      <c r="AO744" s="182"/>
      <c r="AP744" s="182"/>
      <c r="AQ744" s="185">
        <v>1425</v>
      </c>
      <c r="AR744" s="182">
        <v>1295.5</v>
      </c>
      <c r="AS744" s="182">
        <v>74.7</v>
      </c>
      <c r="AT744" s="182"/>
      <c r="AU744" s="182"/>
      <c r="AV744" s="182"/>
      <c r="AW744" s="182"/>
      <c r="AX744" s="182"/>
      <c r="AY744" s="182"/>
      <c r="AZ744" s="182"/>
      <c r="BA744" s="182"/>
      <c r="BB744" s="182"/>
      <c r="BC744" s="182"/>
      <c r="BD744" s="182"/>
      <c r="BE744" s="182">
        <v>37.5</v>
      </c>
      <c r="BF744" s="182">
        <v>6</v>
      </c>
      <c r="BG744" s="182">
        <v>11.3</v>
      </c>
      <c r="BH744" s="182"/>
      <c r="BI744" s="182"/>
      <c r="BJ744" s="182"/>
      <c r="BK744" s="182"/>
      <c r="BL744" s="182"/>
      <c r="BM744" s="182"/>
      <c r="BN744" s="182"/>
      <c r="BO744" s="182"/>
      <c r="BP744" s="182"/>
      <c r="BQ744" s="182"/>
      <c r="BR744" s="182"/>
      <c r="BS744" s="182"/>
      <c r="BT744" s="182"/>
      <c r="BU744" s="182"/>
      <c r="BV744" s="182"/>
      <c r="BW744" s="182"/>
      <c r="BX744" s="182"/>
      <c r="BY744" s="182"/>
      <c r="BZ744" s="182"/>
      <c r="CA744" s="182"/>
      <c r="CB744" s="185">
        <v>1425</v>
      </c>
      <c r="CC744" s="185">
        <v>0</v>
      </c>
      <c r="CD744" s="185">
        <v>2095</v>
      </c>
      <c r="CE744" s="185"/>
    </row>
    <row r="745" spans="2:83" x14ac:dyDescent="0.3">
      <c r="B745" s="182">
        <v>3861</v>
      </c>
      <c r="C745" s="182">
        <v>2096</v>
      </c>
      <c r="D745" s="182" t="s">
        <v>130</v>
      </c>
      <c r="E745" s="181" t="s">
        <v>1116</v>
      </c>
      <c r="F745" s="182"/>
      <c r="G745" s="182"/>
      <c r="H745" s="182">
        <v>2950</v>
      </c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2"/>
      <c r="X745" s="182"/>
      <c r="Y745" s="182"/>
      <c r="Z745" s="182"/>
      <c r="AA745" s="182"/>
      <c r="AB745" s="182"/>
      <c r="AC745" s="182"/>
      <c r="AD745" s="182"/>
      <c r="AE745" s="182"/>
      <c r="AF745" s="182"/>
      <c r="AG745" s="182"/>
      <c r="AH745" s="182"/>
      <c r="AI745" s="182"/>
      <c r="AJ745" s="182"/>
      <c r="AK745" s="182"/>
      <c r="AL745" s="182"/>
      <c r="AM745" s="182"/>
      <c r="AN745" s="182"/>
      <c r="AO745" s="182"/>
      <c r="AP745" s="182"/>
      <c r="AQ745" s="185">
        <v>2950</v>
      </c>
      <c r="AR745" s="182">
        <v>2652.2</v>
      </c>
      <c r="AS745" s="182">
        <v>176.7</v>
      </c>
      <c r="AT745" s="182"/>
      <c r="AU745" s="182"/>
      <c r="AV745" s="182"/>
      <c r="AW745" s="182"/>
      <c r="AX745" s="182"/>
      <c r="AY745" s="182"/>
      <c r="AZ745" s="182"/>
      <c r="BA745" s="182"/>
      <c r="BB745" s="182"/>
      <c r="BC745" s="182"/>
      <c r="BD745" s="182"/>
      <c r="BE745" s="182">
        <v>88.5</v>
      </c>
      <c r="BF745" s="182">
        <v>6</v>
      </c>
      <c r="BG745" s="182">
        <v>26.6</v>
      </c>
      <c r="BH745" s="182"/>
      <c r="BI745" s="182"/>
      <c r="BJ745" s="182"/>
      <c r="BK745" s="182"/>
      <c r="BL745" s="182"/>
      <c r="BM745" s="182"/>
      <c r="BN745" s="182"/>
      <c r="BO745" s="182"/>
      <c r="BP745" s="182"/>
      <c r="BQ745" s="182"/>
      <c r="BR745" s="182"/>
      <c r="BS745" s="182"/>
      <c r="BT745" s="182"/>
      <c r="BU745" s="182"/>
      <c r="BV745" s="182"/>
      <c r="BW745" s="182"/>
      <c r="BX745" s="182"/>
      <c r="BY745" s="182"/>
      <c r="BZ745" s="182"/>
      <c r="CA745" s="182"/>
      <c r="CB745" s="185">
        <v>2949.9999999999995</v>
      </c>
      <c r="CC745" s="185">
        <v>0</v>
      </c>
      <c r="CD745" s="185">
        <v>2096</v>
      </c>
      <c r="CE745" s="185"/>
    </row>
    <row r="746" spans="2:83" x14ac:dyDescent="0.3">
      <c r="B746" s="182">
        <v>1308</v>
      </c>
      <c r="C746" s="182">
        <v>2097</v>
      </c>
      <c r="D746" s="182" t="s">
        <v>132</v>
      </c>
      <c r="E746" s="181" t="s">
        <v>4339</v>
      </c>
      <c r="F746" s="182"/>
      <c r="G746" s="182"/>
      <c r="H746" s="182">
        <v>59194.5</v>
      </c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2"/>
      <c r="X746" s="182"/>
      <c r="Y746" s="182"/>
      <c r="Z746" s="182"/>
      <c r="AA746" s="182"/>
      <c r="AB746" s="182"/>
      <c r="AC746" s="182"/>
      <c r="AD746" s="182"/>
      <c r="AE746" s="182"/>
      <c r="AF746" s="182"/>
      <c r="AG746" s="182"/>
      <c r="AH746" s="182"/>
      <c r="AI746" s="182"/>
      <c r="AJ746" s="182"/>
      <c r="AK746" s="182"/>
      <c r="AL746" s="182"/>
      <c r="AM746" s="182"/>
      <c r="AN746" s="182"/>
      <c r="AO746" s="182"/>
      <c r="AP746" s="182"/>
      <c r="AQ746" s="185">
        <v>59194.5</v>
      </c>
      <c r="AR746" s="182">
        <v>56963.55</v>
      </c>
      <c r="AS746" s="182">
        <v>1665.7</v>
      </c>
      <c r="AT746" s="182"/>
      <c r="AU746" s="182"/>
      <c r="AV746" s="182"/>
      <c r="AW746" s="182"/>
      <c r="AX746" s="182"/>
      <c r="AY746" s="182"/>
      <c r="AZ746" s="182"/>
      <c r="BA746" s="182"/>
      <c r="BB746" s="182"/>
      <c r="BC746" s="182"/>
      <c r="BD746" s="182"/>
      <c r="BE746" s="182">
        <v>519.25</v>
      </c>
      <c r="BF746" s="182">
        <v>46</v>
      </c>
      <c r="BG746" s="182"/>
      <c r="BH746" s="182"/>
      <c r="BI746" s="182"/>
      <c r="BJ746" s="182"/>
      <c r="BK746" s="182"/>
      <c r="BL746" s="182"/>
      <c r="BM746" s="182"/>
      <c r="BN746" s="182"/>
      <c r="BO746" s="182"/>
      <c r="BP746" s="182"/>
      <c r="BQ746" s="182"/>
      <c r="BR746" s="182"/>
      <c r="BS746" s="182"/>
      <c r="BT746" s="182"/>
      <c r="BU746" s="182"/>
      <c r="BV746" s="182"/>
      <c r="BW746" s="182"/>
      <c r="BX746" s="182"/>
      <c r="BY746" s="182"/>
      <c r="BZ746" s="182"/>
      <c r="CA746" s="182"/>
      <c r="CB746" s="185">
        <v>59194.5</v>
      </c>
      <c r="CC746" s="185">
        <v>0</v>
      </c>
      <c r="CD746" s="185">
        <v>2097</v>
      </c>
      <c r="CE746" s="185"/>
    </row>
    <row r="747" spans="2:83" x14ac:dyDescent="0.3">
      <c r="B747" s="182">
        <v>3382</v>
      </c>
      <c r="C747" s="182">
        <v>2098</v>
      </c>
      <c r="D747" s="182" t="s">
        <v>119</v>
      </c>
      <c r="E747" s="181" t="s">
        <v>4340</v>
      </c>
      <c r="F747" s="182"/>
      <c r="G747" s="182"/>
      <c r="H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2">
        <v>275000</v>
      </c>
      <c r="X747" s="182"/>
      <c r="Y747" s="182"/>
      <c r="Z747" s="182"/>
      <c r="AA747" s="182">
        <v>275000</v>
      </c>
      <c r="AB747" s="182"/>
      <c r="AC747" s="182"/>
      <c r="AD747" s="182"/>
      <c r="AE747" s="182"/>
      <c r="AF747" s="182"/>
      <c r="AG747" s="182"/>
      <c r="AH747" s="182"/>
      <c r="AI747" s="182"/>
      <c r="AJ747" s="182"/>
      <c r="AK747" s="182"/>
      <c r="AL747" s="182"/>
      <c r="AM747" s="182"/>
      <c r="AN747" s="182"/>
      <c r="AO747" s="182"/>
      <c r="AP747" s="182"/>
      <c r="AQ747" s="185">
        <v>550000</v>
      </c>
      <c r="AR747" s="182">
        <v>275000</v>
      </c>
      <c r="AS747" s="182"/>
      <c r="AT747" s="182"/>
      <c r="AU747" s="182"/>
      <c r="AV747" s="182"/>
      <c r="AW747" s="182"/>
      <c r="AX747" s="182"/>
      <c r="AY747" s="182"/>
      <c r="AZ747" s="182"/>
      <c r="BA747" s="182"/>
      <c r="BB747" s="182"/>
      <c r="BC747" s="182"/>
      <c r="BD747" s="182"/>
      <c r="BE747" s="182"/>
      <c r="BF747" s="182"/>
      <c r="BG747" s="182"/>
      <c r="BH747" s="182"/>
      <c r="BI747" s="182"/>
      <c r="BJ747" s="182"/>
      <c r="BK747" s="182"/>
      <c r="BL747" s="182"/>
      <c r="BM747" s="182"/>
      <c r="BN747" s="182"/>
      <c r="BO747" s="182"/>
      <c r="BP747" s="182">
        <v>275000</v>
      </c>
      <c r="BQ747" s="182"/>
      <c r="BR747" s="182"/>
      <c r="BS747" s="182"/>
      <c r="BT747" s="182"/>
      <c r="BU747" s="182"/>
      <c r="BV747" s="182"/>
      <c r="BW747" s="182"/>
      <c r="BX747" s="182"/>
      <c r="BY747" s="182"/>
      <c r="BZ747" s="182"/>
      <c r="CA747" s="182"/>
      <c r="CB747" s="185">
        <v>550000</v>
      </c>
      <c r="CC747" s="185">
        <v>0</v>
      </c>
      <c r="CD747" s="185">
        <v>2098</v>
      </c>
      <c r="CE747" s="185"/>
    </row>
    <row r="748" spans="2:83" x14ac:dyDescent="0.3">
      <c r="B748" s="182">
        <v>4398</v>
      </c>
      <c r="C748" s="182">
        <v>2099</v>
      </c>
      <c r="D748" s="182" t="s">
        <v>119</v>
      </c>
      <c r="E748" s="181" t="s">
        <v>4341</v>
      </c>
      <c r="F748" s="182"/>
      <c r="G748" s="182"/>
      <c r="H748" s="182"/>
      <c r="I748" s="182"/>
      <c r="J748" s="182"/>
      <c r="K748" s="182">
        <v>33630</v>
      </c>
      <c r="L748" s="182">
        <v>33630</v>
      </c>
      <c r="M748" s="182">
        <v>33630</v>
      </c>
      <c r="N748" s="182"/>
      <c r="O748" s="182"/>
      <c r="P748" s="182"/>
      <c r="Q748" s="182"/>
      <c r="R748" s="182"/>
      <c r="S748" s="182"/>
      <c r="T748" s="182"/>
      <c r="U748" s="182"/>
      <c r="V748" s="182"/>
      <c r="W748" s="182"/>
      <c r="X748" s="182"/>
      <c r="Y748" s="182"/>
      <c r="Z748" s="182"/>
      <c r="AA748" s="182"/>
      <c r="AB748" s="182"/>
      <c r="AC748" s="182"/>
      <c r="AD748" s="182"/>
      <c r="AE748" s="182"/>
      <c r="AF748" s="182"/>
      <c r="AG748" s="182"/>
      <c r="AH748" s="182"/>
      <c r="AI748" s="182"/>
      <c r="AJ748" s="182"/>
      <c r="AK748" s="182"/>
      <c r="AL748" s="182"/>
      <c r="AM748" s="182"/>
      <c r="AN748" s="182"/>
      <c r="AO748" s="182"/>
      <c r="AP748" s="182"/>
      <c r="AQ748" s="185">
        <v>100890</v>
      </c>
      <c r="AR748" s="182">
        <v>30518.2</v>
      </c>
      <c r="AS748" s="182">
        <v>1124.8</v>
      </c>
      <c r="AT748" s="182"/>
      <c r="AU748" s="182"/>
      <c r="AV748" s="182"/>
      <c r="AW748" s="182"/>
      <c r="AX748" s="182"/>
      <c r="AY748" s="182"/>
      <c r="AZ748" s="182"/>
      <c r="BA748" s="182"/>
      <c r="BB748" s="182"/>
      <c r="BC748" s="182"/>
      <c r="BD748" s="182"/>
      <c r="BE748" s="182"/>
      <c r="BF748" s="182">
        <v>40</v>
      </c>
      <c r="BG748" s="182">
        <v>265.5</v>
      </c>
      <c r="BH748" s="182">
        <v>1681.5</v>
      </c>
      <c r="BI748" s="182"/>
      <c r="BJ748" s="182">
        <v>33630</v>
      </c>
      <c r="BK748" s="182">
        <v>33630</v>
      </c>
      <c r="BL748" s="182"/>
      <c r="BM748" s="182"/>
      <c r="BN748" s="182"/>
      <c r="BO748" s="182"/>
      <c r="BP748" s="182"/>
      <c r="BQ748" s="182"/>
      <c r="BR748" s="182"/>
      <c r="BS748" s="182"/>
      <c r="BT748" s="182"/>
      <c r="BU748" s="182"/>
      <c r="BV748" s="182"/>
      <c r="BW748" s="182"/>
      <c r="BX748" s="182"/>
      <c r="BY748" s="182"/>
      <c r="BZ748" s="182"/>
      <c r="CA748" s="182"/>
      <c r="CB748" s="185">
        <v>100890</v>
      </c>
      <c r="CC748" s="185">
        <v>0</v>
      </c>
      <c r="CD748" s="185">
        <v>2099</v>
      </c>
      <c r="CE748" s="185"/>
    </row>
    <row r="749" spans="2:83" x14ac:dyDescent="0.3">
      <c r="B749" s="182">
        <v>4365</v>
      </c>
      <c r="C749" s="182">
        <v>2100</v>
      </c>
      <c r="D749" s="182" t="s">
        <v>119</v>
      </c>
      <c r="E749" s="181" t="s">
        <v>4342</v>
      </c>
      <c r="F749" s="182"/>
      <c r="G749" s="182"/>
      <c r="H749" s="182"/>
      <c r="I749" s="182"/>
      <c r="J749" s="182"/>
      <c r="K749" s="182">
        <v>149055</v>
      </c>
      <c r="L749" s="182">
        <v>149055</v>
      </c>
      <c r="M749" s="182">
        <v>149055</v>
      </c>
      <c r="N749" s="182"/>
      <c r="O749" s="182"/>
      <c r="P749" s="182"/>
      <c r="Q749" s="182"/>
      <c r="R749" s="182"/>
      <c r="S749" s="182"/>
      <c r="T749" s="182"/>
      <c r="U749" s="182"/>
      <c r="V749" s="182"/>
      <c r="W749" s="182"/>
      <c r="X749" s="182"/>
      <c r="Y749" s="182"/>
      <c r="Z749" s="182"/>
      <c r="AA749" s="182"/>
      <c r="AB749" s="182"/>
      <c r="AC749" s="182"/>
      <c r="AD749" s="182"/>
      <c r="AE749" s="182"/>
      <c r="AF749" s="182"/>
      <c r="AG749" s="182"/>
      <c r="AH749" s="182"/>
      <c r="AI749" s="182"/>
      <c r="AJ749" s="182"/>
      <c r="AK749" s="182"/>
      <c r="AL749" s="182"/>
      <c r="AM749" s="182"/>
      <c r="AN749" s="182"/>
      <c r="AO749" s="182"/>
      <c r="AP749" s="182"/>
      <c r="AQ749" s="185">
        <v>447165</v>
      </c>
      <c r="AR749" s="182">
        <v>135511.54999999999</v>
      </c>
      <c r="AS749" s="182">
        <v>3558.4</v>
      </c>
      <c r="AT749" s="182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>
        <v>1307.5</v>
      </c>
      <c r="BF749" s="182">
        <v>48</v>
      </c>
      <c r="BG749" s="182">
        <v>1176.8</v>
      </c>
      <c r="BH749" s="182">
        <v>7452.75</v>
      </c>
      <c r="BI749" s="182"/>
      <c r="BJ749" s="182">
        <v>149055</v>
      </c>
      <c r="BK749" s="182">
        <v>149055</v>
      </c>
      <c r="BL749" s="182"/>
      <c r="BM749" s="182"/>
      <c r="BN749" s="182"/>
      <c r="BO749" s="182"/>
      <c r="BP749" s="182"/>
      <c r="BQ749" s="182"/>
      <c r="BR749" s="182"/>
      <c r="BS749" s="182"/>
      <c r="BT749" s="182"/>
      <c r="BU749" s="182"/>
      <c r="BV749" s="182"/>
      <c r="BW749" s="182"/>
      <c r="BX749" s="182"/>
      <c r="BY749" s="182"/>
      <c r="BZ749" s="182"/>
      <c r="CA749" s="182"/>
      <c r="CB749" s="185">
        <v>447165</v>
      </c>
      <c r="CC749" s="185">
        <v>0</v>
      </c>
      <c r="CD749" s="185">
        <v>2100</v>
      </c>
      <c r="CE749" s="185"/>
    </row>
    <row r="750" spans="2:83" x14ac:dyDescent="0.3">
      <c r="B750" s="182">
        <v>4364</v>
      </c>
      <c r="C750" s="182">
        <v>2101</v>
      </c>
      <c r="D750" s="182" t="s">
        <v>119</v>
      </c>
      <c r="E750" s="181" t="s">
        <v>4343</v>
      </c>
      <c r="F750" s="182"/>
      <c r="G750" s="182"/>
      <c r="H750" s="182"/>
      <c r="I750" s="182"/>
      <c r="J750" s="182"/>
      <c r="K750" s="182">
        <v>35727.599999999999</v>
      </c>
      <c r="L750" s="182">
        <v>35727.599999999999</v>
      </c>
      <c r="M750" s="182">
        <v>35727.599999999999</v>
      </c>
      <c r="N750" s="182"/>
      <c r="O750" s="182"/>
      <c r="P750" s="182"/>
      <c r="Q750" s="182"/>
      <c r="R750" s="182"/>
      <c r="S750" s="182"/>
      <c r="T750" s="182"/>
      <c r="U750" s="182"/>
      <c r="V750" s="182"/>
      <c r="W750" s="182"/>
      <c r="X750" s="182"/>
      <c r="Y750" s="182"/>
      <c r="Z750" s="182"/>
      <c r="AA750" s="182"/>
      <c r="AB750" s="182"/>
      <c r="AC750" s="182"/>
      <c r="AD750" s="182"/>
      <c r="AE750" s="182"/>
      <c r="AF750" s="182"/>
      <c r="AG750" s="182"/>
      <c r="AH750" s="182"/>
      <c r="AI750" s="182"/>
      <c r="AJ750" s="182"/>
      <c r="AK750" s="182"/>
      <c r="AL750" s="182"/>
      <c r="AM750" s="182"/>
      <c r="AN750" s="182"/>
      <c r="AO750" s="182"/>
      <c r="AP750" s="182"/>
      <c r="AQ750" s="185">
        <v>107182.79999999999</v>
      </c>
      <c r="AR750" s="182">
        <v>32136.7</v>
      </c>
      <c r="AS750" s="182">
        <v>1169</v>
      </c>
      <c r="AT750" s="182"/>
      <c r="AU750" s="182"/>
      <c r="AV750" s="182"/>
      <c r="AW750" s="182"/>
      <c r="AX750" s="182"/>
      <c r="AY750" s="182"/>
      <c r="AZ750" s="182"/>
      <c r="BA750" s="182"/>
      <c r="BB750" s="182"/>
      <c r="BC750" s="182"/>
      <c r="BD750" s="182"/>
      <c r="BE750" s="182">
        <v>313.39999999999998</v>
      </c>
      <c r="BF750" s="182">
        <v>40</v>
      </c>
      <c r="BG750" s="182">
        <v>282.10000000000002</v>
      </c>
      <c r="BH750" s="182">
        <v>1786.4</v>
      </c>
      <c r="BI750" s="182"/>
      <c r="BJ750" s="182">
        <v>35727.599999999999</v>
      </c>
      <c r="BK750" s="182">
        <v>35727.599999999999</v>
      </c>
      <c r="BL750" s="182"/>
      <c r="BM750" s="182"/>
      <c r="BN750" s="182"/>
      <c r="BO750" s="182"/>
      <c r="BP750" s="182"/>
      <c r="BQ750" s="182"/>
      <c r="BR750" s="182"/>
      <c r="BS750" s="182"/>
      <c r="BT750" s="182"/>
      <c r="BU750" s="182"/>
      <c r="BV750" s="182"/>
      <c r="BW750" s="182"/>
      <c r="BX750" s="182"/>
      <c r="BY750" s="182"/>
      <c r="BZ750" s="182"/>
      <c r="CA750" s="182"/>
      <c r="CB750" s="185">
        <v>107182.79999999999</v>
      </c>
      <c r="CC750" s="185">
        <v>0</v>
      </c>
      <c r="CD750" s="185">
        <v>2101</v>
      </c>
      <c r="CE750" s="185"/>
    </row>
    <row r="751" spans="2:83" x14ac:dyDescent="0.3">
      <c r="B751" s="182">
        <v>4363</v>
      </c>
      <c r="C751" s="182">
        <v>2102</v>
      </c>
      <c r="D751" s="182" t="s">
        <v>119</v>
      </c>
      <c r="E751" s="181" t="s">
        <v>4343</v>
      </c>
      <c r="F751" s="182"/>
      <c r="G751" s="182"/>
      <c r="H751" s="182"/>
      <c r="I751" s="182"/>
      <c r="J751" s="182"/>
      <c r="K751" s="182">
        <v>48073.8</v>
      </c>
      <c r="L751" s="182">
        <v>48073.8</v>
      </c>
      <c r="M751" s="182">
        <v>48073.8</v>
      </c>
      <c r="N751" s="182"/>
      <c r="O751" s="182"/>
      <c r="P751" s="182"/>
      <c r="Q751" s="182"/>
      <c r="R751" s="182"/>
      <c r="S751" s="182"/>
      <c r="T751" s="182"/>
      <c r="U751" s="182"/>
      <c r="V751" s="182"/>
      <c r="W751" s="182"/>
      <c r="X751" s="182"/>
      <c r="Y751" s="182"/>
      <c r="Z751" s="182"/>
      <c r="AA751" s="182"/>
      <c r="AB751" s="182"/>
      <c r="AC751" s="182"/>
      <c r="AD751" s="182"/>
      <c r="AE751" s="182"/>
      <c r="AF751" s="182"/>
      <c r="AG751" s="182"/>
      <c r="AH751" s="182"/>
      <c r="AI751" s="182"/>
      <c r="AJ751" s="182"/>
      <c r="AK751" s="182"/>
      <c r="AL751" s="182"/>
      <c r="AM751" s="182"/>
      <c r="AN751" s="182"/>
      <c r="AO751" s="182"/>
      <c r="AP751" s="182"/>
      <c r="AQ751" s="185">
        <v>144221.40000000002</v>
      </c>
      <c r="AR751" s="182">
        <v>43399.8</v>
      </c>
      <c r="AS751" s="182">
        <v>1429</v>
      </c>
      <c r="AT751" s="182"/>
      <c r="AU751" s="182"/>
      <c r="AV751" s="182"/>
      <c r="AW751" s="182"/>
      <c r="AX751" s="182"/>
      <c r="AY751" s="182"/>
      <c r="AZ751" s="182"/>
      <c r="BA751" s="182"/>
      <c r="BB751" s="182"/>
      <c r="BC751" s="182"/>
      <c r="BD751" s="182"/>
      <c r="BE751" s="182">
        <v>421.7</v>
      </c>
      <c r="BF751" s="182">
        <v>40</v>
      </c>
      <c r="BG751" s="182">
        <v>379.6</v>
      </c>
      <c r="BH751" s="182">
        <v>2403.6999999999998</v>
      </c>
      <c r="BI751" s="182"/>
      <c r="BJ751" s="182">
        <v>48073.8</v>
      </c>
      <c r="BK751" s="182">
        <v>48073.8</v>
      </c>
      <c r="BL751" s="182"/>
      <c r="BM751" s="182"/>
      <c r="BN751" s="182"/>
      <c r="BO751" s="182"/>
      <c r="BP751" s="182"/>
      <c r="BQ751" s="182"/>
      <c r="BR751" s="182"/>
      <c r="BS751" s="182"/>
      <c r="BT751" s="182"/>
      <c r="BU751" s="182"/>
      <c r="BV751" s="182"/>
      <c r="BW751" s="182"/>
      <c r="BX751" s="182"/>
      <c r="BY751" s="182"/>
      <c r="BZ751" s="182"/>
      <c r="CA751" s="182"/>
      <c r="CB751" s="185">
        <v>144221.40000000002</v>
      </c>
      <c r="CC751" s="185">
        <v>0</v>
      </c>
      <c r="CD751" s="185">
        <v>2102</v>
      </c>
      <c r="CE751" s="185"/>
    </row>
    <row r="752" spans="2:83" x14ac:dyDescent="0.3">
      <c r="B752" s="182">
        <v>2386</v>
      </c>
      <c r="C752" s="182">
        <v>2103</v>
      </c>
      <c r="D752" s="182" t="s">
        <v>78</v>
      </c>
      <c r="E752" s="181" t="s">
        <v>4344</v>
      </c>
      <c r="F752" s="182"/>
      <c r="G752" s="182"/>
      <c r="H752" s="182"/>
      <c r="I752" s="182"/>
      <c r="J752" s="182"/>
      <c r="K752" s="182">
        <v>674314</v>
      </c>
      <c r="L752" s="182">
        <v>674314</v>
      </c>
      <c r="M752" s="182">
        <v>674314</v>
      </c>
      <c r="N752" s="182"/>
      <c r="O752" s="182"/>
      <c r="P752" s="182"/>
      <c r="Q752" s="182"/>
      <c r="R752" s="182"/>
      <c r="S752" s="182"/>
      <c r="T752" s="182"/>
      <c r="U752" s="182"/>
      <c r="V752" s="182"/>
      <c r="W752" s="182"/>
      <c r="X752" s="182"/>
      <c r="Y752" s="182"/>
      <c r="Z752" s="182"/>
      <c r="AA752" s="182"/>
      <c r="AB752" s="182"/>
      <c r="AC752" s="182"/>
      <c r="AD752" s="182"/>
      <c r="AE752" s="182"/>
      <c r="AF752" s="182"/>
      <c r="AG752" s="182"/>
      <c r="AH752" s="182"/>
      <c r="AI752" s="182"/>
      <c r="AJ752" s="182"/>
      <c r="AK752" s="182"/>
      <c r="AL752" s="182"/>
      <c r="AM752" s="182"/>
      <c r="AN752" s="182"/>
      <c r="AO752" s="182"/>
      <c r="AP752" s="182"/>
      <c r="AQ752" s="185">
        <v>2022942</v>
      </c>
      <c r="AR752" s="182">
        <v>619965.6</v>
      </c>
      <c r="AS752" s="182">
        <v>14632.65</v>
      </c>
      <c r="AT752" s="182"/>
      <c r="AU752" s="182">
        <v>5</v>
      </c>
      <c r="AV752" s="182"/>
      <c r="AW752" s="182"/>
      <c r="AX752" s="182"/>
      <c r="AY752" s="182"/>
      <c r="AZ752" s="182"/>
      <c r="BA752" s="182"/>
      <c r="BB752" s="182"/>
      <c r="BC752" s="182"/>
      <c r="BD752" s="182"/>
      <c r="BE752" s="182">
        <v>5915.05</v>
      </c>
      <c r="BF752" s="182">
        <v>80</v>
      </c>
      <c r="BG752" s="182"/>
      <c r="BH752" s="182">
        <v>33715.699999999997</v>
      </c>
      <c r="BI752" s="182"/>
      <c r="BJ752" s="182">
        <v>674314</v>
      </c>
      <c r="BK752" s="182">
        <v>674314</v>
      </c>
      <c r="BL752" s="182"/>
      <c r="BM752" s="182"/>
      <c r="BN752" s="182"/>
      <c r="BO752" s="182"/>
      <c r="BP752" s="182"/>
      <c r="BQ752" s="182"/>
      <c r="BR752" s="182"/>
      <c r="BS752" s="182"/>
      <c r="BT752" s="182"/>
      <c r="BU752" s="182"/>
      <c r="BV752" s="182"/>
      <c r="BW752" s="182"/>
      <c r="BX752" s="182"/>
      <c r="BY752" s="182"/>
      <c r="BZ752" s="182"/>
      <c r="CA752" s="182"/>
      <c r="CB752" s="185">
        <v>2022942</v>
      </c>
      <c r="CC752" s="185">
        <v>0</v>
      </c>
      <c r="CD752" s="185">
        <v>2103</v>
      </c>
      <c r="CE752" s="185"/>
    </row>
    <row r="753" spans="2:83" x14ac:dyDescent="0.3">
      <c r="B753" s="182">
        <v>4092</v>
      </c>
      <c r="C753" s="182">
        <v>2104</v>
      </c>
      <c r="D753" s="182" t="s">
        <v>78</v>
      </c>
      <c r="E753" s="181" t="s">
        <v>4345</v>
      </c>
      <c r="F753" s="182"/>
      <c r="G753" s="182">
        <v>57542.02</v>
      </c>
      <c r="H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2"/>
      <c r="X753" s="182"/>
      <c r="Y753" s="182"/>
      <c r="Z753" s="182"/>
      <c r="AA753" s="182"/>
      <c r="AB753" s="182"/>
      <c r="AC753" s="182"/>
      <c r="AD753" s="182"/>
      <c r="AE753" s="182"/>
      <c r="AF753" s="182"/>
      <c r="AG753" s="182"/>
      <c r="AH753" s="182"/>
      <c r="AI753" s="182"/>
      <c r="AJ753" s="182"/>
      <c r="AK753" s="182"/>
      <c r="AL753" s="182"/>
      <c r="AM753" s="182"/>
      <c r="AN753" s="182"/>
      <c r="AO753" s="182"/>
      <c r="AP753" s="182"/>
      <c r="AQ753" s="185">
        <v>57542.02</v>
      </c>
      <c r="AR753" s="182">
        <v>38407.870000000003</v>
      </c>
      <c r="AS753" s="182">
        <v>5270.0199999999995</v>
      </c>
      <c r="AT753" s="182">
        <v>13864.13</v>
      </c>
      <c r="AU753" s="182"/>
      <c r="AV753" s="182"/>
      <c r="AW753" s="182"/>
      <c r="AX753" s="182"/>
      <c r="AY753" s="182"/>
      <c r="AZ753" s="182"/>
      <c r="BA753" s="182"/>
      <c r="BB753" s="182"/>
      <c r="BC753" s="182"/>
      <c r="BD753" s="182"/>
      <c r="BE753" s="182"/>
      <c r="BF753" s="182"/>
      <c r="BG753" s="182"/>
      <c r="BH753" s="182"/>
      <c r="BI753" s="182"/>
      <c r="BJ753" s="182"/>
      <c r="BK753" s="182"/>
      <c r="BL753" s="182"/>
      <c r="BM753" s="182"/>
      <c r="BN753" s="182"/>
      <c r="BO753" s="182"/>
      <c r="BP753" s="182"/>
      <c r="BQ753" s="182"/>
      <c r="BR753" s="182"/>
      <c r="BS753" s="182"/>
      <c r="BT753" s="182"/>
      <c r="BU753" s="182"/>
      <c r="BV753" s="182"/>
      <c r="BW753" s="182"/>
      <c r="BX753" s="182"/>
      <c r="BY753" s="182"/>
      <c r="BZ753" s="182"/>
      <c r="CA753" s="182"/>
      <c r="CB753" s="185">
        <v>57542.02</v>
      </c>
      <c r="CC753" s="185">
        <v>0</v>
      </c>
      <c r="CD753" s="185">
        <v>2104</v>
      </c>
      <c r="CE753" s="185"/>
    </row>
    <row r="754" spans="2:83" x14ac:dyDescent="0.3">
      <c r="B754" s="182">
        <v>4091</v>
      </c>
      <c r="C754" s="182">
        <v>2105</v>
      </c>
      <c r="D754" s="182" t="s">
        <v>78</v>
      </c>
      <c r="E754" s="181" t="s">
        <v>4346</v>
      </c>
      <c r="F754" s="182"/>
      <c r="G754" s="182">
        <v>34500</v>
      </c>
      <c r="H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2"/>
      <c r="X754" s="182"/>
      <c r="Y754" s="182"/>
      <c r="Z754" s="182"/>
      <c r="AA754" s="182"/>
      <c r="AB754" s="182"/>
      <c r="AC754" s="182"/>
      <c r="AD754" s="182"/>
      <c r="AE754" s="182"/>
      <c r="AF754" s="182"/>
      <c r="AG754" s="182"/>
      <c r="AH754" s="182"/>
      <c r="AI754" s="182"/>
      <c r="AJ754" s="182"/>
      <c r="AK754" s="182"/>
      <c r="AL754" s="182"/>
      <c r="AM754" s="182"/>
      <c r="AN754" s="182"/>
      <c r="AO754" s="182"/>
      <c r="AP754" s="182"/>
      <c r="AQ754" s="185">
        <v>34500</v>
      </c>
      <c r="AR754" s="182">
        <v>30781.85</v>
      </c>
      <c r="AS754" s="182">
        <v>3718.15</v>
      </c>
      <c r="AT754" s="182"/>
      <c r="AU754" s="182"/>
      <c r="AV754" s="182"/>
      <c r="AW754" s="182"/>
      <c r="AX754" s="182"/>
      <c r="AY754" s="182"/>
      <c r="AZ754" s="182"/>
      <c r="BA754" s="182"/>
      <c r="BB754" s="182"/>
      <c r="BC754" s="182"/>
      <c r="BD754" s="182"/>
      <c r="BE754" s="182"/>
      <c r="BF754" s="182"/>
      <c r="BG754" s="182"/>
      <c r="BH754" s="182"/>
      <c r="BI754" s="182"/>
      <c r="BJ754" s="182"/>
      <c r="BK754" s="182"/>
      <c r="BL754" s="182"/>
      <c r="BM754" s="182"/>
      <c r="BN754" s="182"/>
      <c r="BO754" s="182"/>
      <c r="BP754" s="182"/>
      <c r="BQ754" s="182"/>
      <c r="BR754" s="182"/>
      <c r="BS754" s="182"/>
      <c r="BT754" s="182"/>
      <c r="BU754" s="182"/>
      <c r="BV754" s="182"/>
      <c r="BW754" s="182"/>
      <c r="BX754" s="182"/>
      <c r="BY754" s="182"/>
      <c r="BZ754" s="182"/>
      <c r="CA754" s="182"/>
      <c r="CB754" s="185">
        <v>34500</v>
      </c>
      <c r="CC754" s="185">
        <v>0</v>
      </c>
      <c r="CD754" s="185">
        <v>2105</v>
      </c>
      <c r="CE754" s="185"/>
    </row>
    <row r="755" spans="2:83" x14ac:dyDescent="0.3">
      <c r="B755" s="182">
        <v>4090</v>
      </c>
      <c r="C755" s="182">
        <v>2106</v>
      </c>
      <c r="D755" s="182" t="s">
        <v>78</v>
      </c>
      <c r="E755" s="181" t="s">
        <v>4347</v>
      </c>
      <c r="F755" s="182"/>
      <c r="G755" s="182">
        <v>66687.5</v>
      </c>
      <c r="H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2"/>
      <c r="X755" s="182"/>
      <c r="Y755" s="182"/>
      <c r="Z755" s="182"/>
      <c r="AA755" s="182"/>
      <c r="AB755" s="182"/>
      <c r="AC755" s="182"/>
      <c r="AD755" s="182"/>
      <c r="AE755" s="182"/>
      <c r="AF755" s="182"/>
      <c r="AG755" s="182"/>
      <c r="AH755" s="182"/>
      <c r="AI755" s="182"/>
      <c r="AJ755" s="182"/>
      <c r="AK755" s="182"/>
      <c r="AL755" s="182"/>
      <c r="AM755" s="182"/>
      <c r="AN755" s="182"/>
      <c r="AO755" s="182"/>
      <c r="AP755" s="182"/>
      <c r="AQ755" s="185">
        <v>66687.5</v>
      </c>
      <c r="AR755" s="182">
        <v>59503.55</v>
      </c>
      <c r="AS755" s="182">
        <v>7183.95</v>
      </c>
      <c r="AT755" s="182"/>
      <c r="AU755" s="182"/>
      <c r="AV755" s="182"/>
      <c r="AW755" s="182"/>
      <c r="AX755" s="182"/>
      <c r="AY755" s="182"/>
      <c r="AZ755" s="182"/>
      <c r="BA755" s="182"/>
      <c r="BB755" s="182"/>
      <c r="BC755" s="182"/>
      <c r="BD755" s="182"/>
      <c r="BE755" s="182"/>
      <c r="BF755" s="182"/>
      <c r="BG755" s="182"/>
      <c r="BH755" s="182"/>
      <c r="BI755" s="182"/>
      <c r="BJ755" s="182"/>
      <c r="BK755" s="182"/>
      <c r="BL755" s="182"/>
      <c r="BM755" s="182"/>
      <c r="BN755" s="182"/>
      <c r="BO755" s="182"/>
      <c r="BP755" s="182"/>
      <c r="BQ755" s="182"/>
      <c r="BR755" s="182"/>
      <c r="BS755" s="182"/>
      <c r="BT755" s="182"/>
      <c r="BU755" s="182"/>
      <c r="BV755" s="182"/>
      <c r="BW755" s="182"/>
      <c r="BX755" s="182"/>
      <c r="BY755" s="182"/>
      <c r="BZ755" s="182"/>
      <c r="CA755" s="182"/>
      <c r="CB755" s="185">
        <v>66687.5</v>
      </c>
      <c r="CC755" s="185">
        <v>0</v>
      </c>
      <c r="CD755" s="185">
        <v>2106</v>
      </c>
      <c r="CE755" s="185"/>
    </row>
    <row r="756" spans="2:83" x14ac:dyDescent="0.3">
      <c r="B756" s="182">
        <v>4089</v>
      </c>
      <c r="C756" s="182">
        <v>2107</v>
      </c>
      <c r="D756" s="182" t="s">
        <v>78</v>
      </c>
      <c r="E756" s="181" t="s">
        <v>4348</v>
      </c>
      <c r="F756" s="182"/>
      <c r="G756" s="182">
        <v>879.38</v>
      </c>
      <c r="H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2"/>
      <c r="X756" s="182"/>
      <c r="Y756" s="182"/>
      <c r="Z756" s="182"/>
      <c r="AA756" s="182"/>
      <c r="AB756" s="182"/>
      <c r="AC756" s="182"/>
      <c r="AD756" s="182"/>
      <c r="AE756" s="182"/>
      <c r="AF756" s="182"/>
      <c r="AG756" s="182"/>
      <c r="AH756" s="182"/>
      <c r="AI756" s="182"/>
      <c r="AJ756" s="182"/>
      <c r="AK756" s="182"/>
      <c r="AL756" s="182"/>
      <c r="AM756" s="182"/>
      <c r="AN756" s="182"/>
      <c r="AO756" s="182"/>
      <c r="AP756" s="182"/>
      <c r="AQ756" s="185">
        <v>879.38</v>
      </c>
      <c r="AR756" s="182">
        <v>588.15</v>
      </c>
      <c r="AS756" s="182">
        <v>79.349999999999994</v>
      </c>
      <c r="AT756" s="182">
        <v>211.88</v>
      </c>
      <c r="AU756" s="182"/>
      <c r="AV756" s="182"/>
      <c r="AW756" s="182"/>
      <c r="AX756" s="182"/>
      <c r="AY756" s="182"/>
      <c r="AZ756" s="182"/>
      <c r="BA756" s="182"/>
      <c r="BB756" s="182"/>
      <c r="BC756" s="182"/>
      <c r="BD756" s="182"/>
      <c r="BE756" s="182"/>
      <c r="BF756" s="182"/>
      <c r="BG756" s="182"/>
      <c r="BH756" s="182"/>
      <c r="BI756" s="182"/>
      <c r="BJ756" s="182"/>
      <c r="BK756" s="182"/>
      <c r="BL756" s="182"/>
      <c r="BM756" s="182"/>
      <c r="BN756" s="182"/>
      <c r="BO756" s="182"/>
      <c r="BP756" s="182"/>
      <c r="BQ756" s="182"/>
      <c r="BR756" s="182"/>
      <c r="BS756" s="182"/>
      <c r="BT756" s="182"/>
      <c r="BU756" s="182"/>
      <c r="BV756" s="182"/>
      <c r="BW756" s="182"/>
      <c r="BX756" s="182"/>
      <c r="BY756" s="182"/>
      <c r="BZ756" s="182"/>
      <c r="CA756" s="182"/>
      <c r="CB756" s="185">
        <v>879.38</v>
      </c>
      <c r="CC756" s="185">
        <v>0</v>
      </c>
      <c r="CD756" s="185">
        <v>2107</v>
      </c>
      <c r="CE756" s="185"/>
    </row>
    <row r="757" spans="2:83" x14ac:dyDescent="0.3">
      <c r="B757" s="182">
        <v>4088</v>
      </c>
      <c r="C757" s="182">
        <v>2108</v>
      </c>
      <c r="D757" s="182" t="s">
        <v>78</v>
      </c>
      <c r="E757" s="181" t="s">
        <v>4348</v>
      </c>
      <c r="F757" s="182"/>
      <c r="G757" s="182">
        <v>1245.78</v>
      </c>
      <c r="H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2"/>
      <c r="X757" s="182"/>
      <c r="Y757" s="182"/>
      <c r="Z757" s="182"/>
      <c r="AA757" s="182"/>
      <c r="AB757" s="182"/>
      <c r="AC757" s="182"/>
      <c r="AD757" s="182"/>
      <c r="AE757" s="182"/>
      <c r="AF757" s="182"/>
      <c r="AG757" s="182"/>
      <c r="AH757" s="182"/>
      <c r="AI757" s="182"/>
      <c r="AJ757" s="182"/>
      <c r="AK757" s="182"/>
      <c r="AL757" s="182"/>
      <c r="AM757" s="182"/>
      <c r="AN757" s="182"/>
      <c r="AO757" s="182"/>
      <c r="AP757" s="182"/>
      <c r="AQ757" s="185">
        <v>1245.78</v>
      </c>
      <c r="AR757" s="182">
        <v>832.64</v>
      </c>
      <c r="AS757" s="182">
        <v>113</v>
      </c>
      <c r="AT757" s="182">
        <v>300.14</v>
      </c>
      <c r="AU757" s="182"/>
      <c r="AV757" s="182"/>
      <c r="AW757" s="182"/>
      <c r="AX757" s="182"/>
      <c r="AY757" s="182"/>
      <c r="AZ757" s="182"/>
      <c r="BA757" s="182"/>
      <c r="BB757" s="182"/>
      <c r="BC757" s="182"/>
      <c r="BD757" s="182"/>
      <c r="BE757" s="182"/>
      <c r="BF757" s="182"/>
      <c r="BG757" s="182"/>
      <c r="BH757" s="182"/>
      <c r="BI757" s="182"/>
      <c r="BJ757" s="182"/>
      <c r="BK757" s="182"/>
      <c r="BL757" s="182"/>
      <c r="BM757" s="182"/>
      <c r="BN757" s="182"/>
      <c r="BO757" s="182"/>
      <c r="BP757" s="182"/>
      <c r="BQ757" s="182"/>
      <c r="BR757" s="182"/>
      <c r="BS757" s="182"/>
      <c r="BT757" s="182"/>
      <c r="BU757" s="182"/>
      <c r="BV757" s="182"/>
      <c r="BW757" s="182"/>
      <c r="BX757" s="182"/>
      <c r="BY757" s="182"/>
      <c r="BZ757" s="182"/>
      <c r="CA757" s="182"/>
      <c r="CB757" s="185">
        <v>1245.78</v>
      </c>
      <c r="CC757" s="185">
        <v>0</v>
      </c>
      <c r="CD757" s="185">
        <v>2108</v>
      </c>
      <c r="CE757" s="185"/>
    </row>
    <row r="758" spans="2:83" x14ac:dyDescent="0.3">
      <c r="B758" s="182">
        <v>4075</v>
      </c>
      <c r="C758" s="182">
        <v>2109</v>
      </c>
      <c r="D758" s="182" t="s">
        <v>78</v>
      </c>
      <c r="E758" s="181" t="s">
        <v>4349</v>
      </c>
      <c r="F758" s="182"/>
      <c r="G758" s="182">
        <v>540</v>
      </c>
      <c r="H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2"/>
      <c r="X758" s="182"/>
      <c r="Y758" s="182"/>
      <c r="Z758" s="182"/>
      <c r="AA758" s="182"/>
      <c r="AB758" s="182"/>
      <c r="AC758" s="182"/>
      <c r="AD758" s="182"/>
      <c r="AE758" s="182"/>
      <c r="AF758" s="182"/>
      <c r="AG758" s="182"/>
      <c r="AH758" s="182"/>
      <c r="AI758" s="182"/>
      <c r="AJ758" s="182"/>
      <c r="AK758" s="182"/>
      <c r="AL758" s="182"/>
      <c r="AM758" s="182"/>
      <c r="AN758" s="182"/>
      <c r="AO758" s="182"/>
      <c r="AP758" s="182"/>
      <c r="AQ758" s="185">
        <v>540</v>
      </c>
      <c r="AR758" s="182">
        <v>482.55</v>
      </c>
      <c r="AS758" s="182">
        <v>57.45</v>
      </c>
      <c r="AT758" s="182"/>
      <c r="AU758" s="182"/>
      <c r="AV758" s="182"/>
      <c r="AW758" s="182"/>
      <c r="AX758" s="182"/>
      <c r="AY758" s="182"/>
      <c r="AZ758" s="182"/>
      <c r="BA758" s="182"/>
      <c r="BB758" s="182"/>
      <c r="BC758" s="182"/>
      <c r="BD758" s="182"/>
      <c r="BE758" s="182"/>
      <c r="BF758" s="182"/>
      <c r="BG758" s="182"/>
      <c r="BH758" s="182"/>
      <c r="BI758" s="182"/>
      <c r="BJ758" s="182"/>
      <c r="BK758" s="182"/>
      <c r="BL758" s="182"/>
      <c r="BM758" s="182"/>
      <c r="BN758" s="182"/>
      <c r="BO758" s="182"/>
      <c r="BP758" s="182"/>
      <c r="BQ758" s="182"/>
      <c r="BR758" s="182"/>
      <c r="BS758" s="182"/>
      <c r="BT758" s="182"/>
      <c r="BU758" s="182"/>
      <c r="BV758" s="182"/>
      <c r="BW758" s="182"/>
      <c r="BX758" s="182"/>
      <c r="BY758" s="182"/>
      <c r="BZ758" s="182"/>
      <c r="CA758" s="182"/>
      <c r="CB758" s="185">
        <v>540</v>
      </c>
      <c r="CC758" s="185">
        <v>0</v>
      </c>
      <c r="CD758" s="185">
        <v>2109</v>
      </c>
      <c r="CE758" s="185"/>
    </row>
    <row r="759" spans="2:83" x14ac:dyDescent="0.3">
      <c r="B759" s="182">
        <v>4074</v>
      </c>
      <c r="C759" s="182">
        <v>2110</v>
      </c>
      <c r="D759" s="182" t="s">
        <v>78</v>
      </c>
      <c r="E759" s="181" t="s">
        <v>4349</v>
      </c>
      <c r="F759" s="182"/>
      <c r="G759" s="182">
        <v>600</v>
      </c>
      <c r="H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2"/>
      <c r="X759" s="182"/>
      <c r="Y759" s="182"/>
      <c r="Z759" s="182"/>
      <c r="AA759" s="182"/>
      <c r="AB759" s="182"/>
      <c r="AC759" s="182"/>
      <c r="AD759" s="182"/>
      <c r="AE759" s="182"/>
      <c r="AF759" s="182"/>
      <c r="AG759" s="182"/>
      <c r="AH759" s="182"/>
      <c r="AI759" s="182"/>
      <c r="AJ759" s="182"/>
      <c r="AK759" s="182"/>
      <c r="AL759" s="182"/>
      <c r="AM759" s="182"/>
      <c r="AN759" s="182"/>
      <c r="AO759" s="182"/>
      <c r="AP759" s="182"/>
      <c r="AQ759" s="185">
        <v>600</v>
      </c>
      <c r="AR759" s="182">
        <v>536.15</v>
      </c>
      <c r="AS759" s="182">
        <v>63.85</v>
      </c>
      <c r="AT759" s="182"/>
      <c r="AU759" s="182"/>
      <c r="AV759" s="182"/>
      <c r="AW759" s="182"/>
      <c r="AX759" s="182"/>
      <c r="AY759" s="182"/>
      <c r="AZ759" s="182"/>
      <c r="BA759" s="182"/>
      <c r="BB759" s="182"/>
      <c r="BC759" s="182"/>
      <c r="BD759" s="182"/>
      <c r="BE759" s="182"/>
      <c r="BF759" s="182"/>
      <c r="BG759" s="182"/>
      <c r="BH759" s="182"/>
      <c r="BI759" s="182"/>
      <c r="BJ759" s="182"/>
      <c r="BK759" s="182"/>
      <c r="BL759" s="182"/>
      <c r="BM759" s="182"/>
      <c r="BN759" s="182"/>
      <c r="BO759" s="182"/>
      <c r="BP759" s="182"/>
      <c r="BQ759" s="182"/>
      <c r="BR759" s="182"/>
      <c r="BS759" s="182"/>
      <c r="BT759" s="182"/>
      <c r="BU759" s="182"/>
      <c r="BV759" s="182"/>
      <c r="BW759" s="182"/>
      <c r="BX759" s="182"/>
      <c r="BY759" s="182"/>
      <c r="BZ759" s="182"/>
      <c r="CA759" s="182"/>
      <c r="CB759" s="185">
        <v>600</v>
      </c>
      <c r="CC759" s="185">
        <v>0</v>
      </c>
      <c r="CD759" s="185">
        <v>2110</v>
      </c>
      <c r="CE759" s="185"/>
    </row>
    <row r="760" spans="2:83" x14ac:dyDescent="0.3">
      <c r="B760" s="182">
        <v>2300</v>
      </c>
      <c r="C760" s="182">
        <v>2111</v>
      </c>
      <c r="D760" s="182" t="s">
        <v>78</v>
      </c>
      <c r="E760" s="181" t="s">
        <v>4283</v>
      </c>
      <c r="F760" s="182"/>
      <c r="G760" s="182">
        <v>9360</v>
      </c>
      <c r="H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2"/>
      <c r="X760" s="182"/>
      <c r="Y760" s="182"/>
      <c r="Z760" s="182"/>
      <c r="AA760" s="182"/>
      <c r="AB760" s="182"/>
      <c r="AC760" s="182"/>
      <c r="AD760" s="182"/>
      <c r="AE760" s="182"/>
      <c r="AF760" s="182"/>
      <c r="AG760" s="182"/>
      <c r="AH760" s="182"/>
      <c r="AI760" s="182"/>
      <c r="AJ760" s="182"/>
      <c r="AK760" s="182"/>
      <c r="AL760" s="182"/>
      <c r="AM760" s="182"/>
      <c r="AN760" s="182"/>
      <c r="AO760" s="182"/>
      <c r="AP760" s="182"/>
      <c r="AQ760" s="185">
        <v>9360</v>
      </c>
      <c r="AR760" s="182">
        <v>8361.4500000000007</v>
      </c>
      <c r="AS760" s="182">
        <v>998.55</v>
      </c>
      <c r="AT760" s="182"/>
      <c r="AU760" s="182"/>
      <c r="AV760" s="182"/>
      <c r="AW760" s="182"/>
      <c r="AX760" s="182"/>
      <c r="AY760" s="182"/>
      <c r="AZ760" s="182"/>
      <c r="BA760" s="182"/>
      <c r="BB760" s="182"/>
      <c r="BC760" s="182"/>
      <c r="BD760" s="182"/>
      <c r="BE760" s="182"/>
      <c r="BF760" s="182"/>
      <c r="BG760" s="182"/>
      <c r="BH760" s="182"/>
      <c r="BI760" s="182"/>
      <c r="BJ760" s="182"/>
      <c r="BK760" s="182"/>
      <c r="BL760" s="182"/>
      <c r="BM760" s="182"/>
      <c r="BN760" s="182"/>
      <c r="BO760" s="182"/>
      <c r="BP760" s="182"/>
      <c r="BQ760" s="182"/>
      <c r="BR760" s="182"/>
      <c r="BS760" s="182"/>
      <c r="BT760" s="182"/>
      <c r="BU760" s="182"/>
      <c r="BV760" s="182"/>
      <c r="BW760" s="182"/>
      <c r="BX760" s="182"/>
      <c r="BY760" s="182"/>
      <c r="BZ760" s="182"/>
      <c r="CA760" s="182"/>
      <c r="CB760" s="185">
        <v>9360</v>
      </c>
      <c r="CC760" s="185">
        <v>0</v>
      </c>
      <c r="CD760" s="185">
        <v>2111</v>
      </c>
      <c r="CE760" s="185"/>
    </row>
    <row r="761" spans="2:83" x14ac:dyDescent="0.3">
      <c r="B761" s="182">
        <v>4215</v>
      </c>
      <c r="C761" s="182">
        <v>2112</v>
      </c>
      <c r="D761" s="182" t="s">
        <v>123</v>
      </c>
      <c r="E761" s="181" t="s">
        <v>3703</v>
      </c>
      <c r="F761" s="182"/>
      <c r="G761" s="182">
        <v>46.9</v>
      </c>
      <c r="H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2"/>
      <c r="X761" s="182"/>
      <c r="Y761" s="182"/>
      <c r="Z761" s="182"/>
      <c r="AA761" s="182"/>
      <c r="AB761" s="182"/>
      <c r="AC761" s="182"/>
      <c r="AD761" s="182"/>
      <c r="AE761" s="182"/>
      <c r="AF761" s="182"/>
      <c r="AG761" s="182"/>
      <c r="AH761" s="182"/>
      <c r="AI761" s="182"/>
      <c r="AJ761" s="182"/>
      <c r="AK761" s="182"/>
      <c r="AL761" s="182"/>
      <c r="AM761" s="182"/>
      <c r="AN761" s="182"/>
      <c r="AO761" s="182"/>
      <c r="AP761" s="182"/>
      <c r="AQ761" s="185">
        <v>46.9</v>
      </c>
      <c r="AR761" s="182">
        <v>32.76</v>
      </c>
      <c r="AS761" s="182">
        <v>0.84</v>
      </c>
      <c r="AT761" s="182">
        <v>11.3</v>
      </c>
      <c r="AU761" s="182">
        <v>2</v>
      </c>
      <c r="AV761" s="182"/>
      <c r="AW761" s="182"/>
      <c r="AX761" s="182"/>
      <c r="AY761" s="182"/>
      <c r="AZ761" s="182"/>
      <c r="BA761" s="182"/>
      <c r="BB761" s="182"/>
      <c r="BC761" s="182"/>
      <c r="BD761" s="182"/>
      <c r="BE761" s="182"/>
      <c r="BF761" s="182"/>
      <c r="BG761" s="182"/>
      <c r="BH761" s="182"/>
      <c r="BI761" s="182"/>
      <c r="BJ761" s="182"/>
      <c r="BK761" s="182"/>
      <c r="BL761" s="182"/>
      <c r="BM761" s="182"/>
      <c r="BN761" s="182"/>
      <c r="BO761" s="182"/>
      <c r="BP761" s="182"/>
      <c r="BQ761" s="182"/>
      <c r="BR761" s="182"/>
      <c r="BS761" s="182"/>
      <c r="BT761" s="182"/>
      <c r="BU761" s="182"/>
      <c r="BV761" s="182"/>
      <c r="BW761" s="182"/>
      <c r="BX761" s="182"/>
      <c r="BY761" s="182"/>
      <c r="BZ761" s="182"/>
      <c r="CA761" s="182"/>
      <c r="CB761" s="185">
        <v>46.900000000000006</v>
      </c>
      <c r="CC761" s="185">
        <v>0</v>
      </c>
      <c r="CD761" s="185">
        <v>2112</v>
      </c>
      <c r="CE761" s="185"/>
    </row>
    <row r="762" spans="2:83" x14ac:dyDescent="0.3">
      <c r="B762" s="182">
        <v>4214</v>
      </c>
      <c r="C762" s="182">
        <v>2113</v>
      </c>
      <c r="D762" s="182" t="s">
        <v>123</v>
      </c>
      <c r="E762" s="181" t="s">
        <v>3703</v>
      </c>
      <c r="F762" s="182"/>
      <c r="G762" s="182">
        <v>75</v>
      </c>
      <c r="H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2"/>
      <c r="X762" s="182"/>
      <c r="Y762" s="182"/>
      <c r="Z762" s="182"/>
      <c r="AA762" s="182"/>
      <c r="AB762" s="182"/>
      <c r="AC762" s="182"/>
      <c r="AD762" s="182"/>
      <c r="AE762" s="182"/>
      <c r="AF762" s="182"/>
      <c r="AG762" s="182"/>
      <c r="AH762" s="182"/>
      <c r="AI762" s="182"/>
      <c r="AJ762" s="182"/>
      <c r="AK762" s="182"/>
      <c r="AL762" s="182"/>
      <c r="AM762" s="182"/>
      <c r="AN762" s="182"/>
      <c r="AO762" s="182"/>
      <c r="AP762" s="182"/>
      <c r="AQ762" s="185">
        <v>75</v>
      </c>
      <c r="AR762" s="182">
        <v>56.88</v>
      </c>
      <c r="AS762" s="182">
        <v>14.37</v>
      </c>
      <c r="AT762" s="182"/>
      <c r="AU762" s="182">
        <v>3.75</v>
      </c>
      <c r="AV762" s="182"/>
      <c r="AW762" s="182"/>
      <c r="AX762" s="182"/>
      <c r="AY762" s="182"/>
      <c r="AZ762" s="182"/>
      <c r="BA762" s="182"/>
      <c r="BB762" s="182"/>
      <c r="BC762" s="182"/>
      <c r="BD762" s="182"/>
      <c r="BE762" s="182"/>
      <c r="BF762" s="182"/>
      <c r="BG762" s="182"/>
      <c r="BH762" s="182"/>
      <c r="BI762" s="182"/>
      <c r="BJ762" s="182"/>
      <c r="BK762" s="182"/>
      <c r="BL762" s="182"/>
      <c r="BM762" s="182"/>
      <c r="BN762" s="182"/>
      <c r="BO762" s="182"/>
      <c r="BP762" s="182"/>
      <c r="BQ762" s="182"/>
      <c r="BR762" s="182"/>
      <c r="BS762" s="182"/>
      <c r="BT762" s="182"/>
      <c r="BU762" s="182"/>
      <c r="BV762" s="182"/>
      <c r="BW762" s="182"/>
      <c r="BX762" s="182"/>
      <c r="BY762" s="182"/>
      <c r="BZ762" s="182"/>
      <c r="CA762" s="182"/>
      <c r="CB762" s="185">
        <v>75</v>
      </c>
      <c r="CC762" s="185">
        <v>0</v>
      </c>
      <c r="CD762" s="185">
        <v>2113</v>
      </c>
      <c r="CE762" s="185"/>
    </row>
    <row r="763" spans="2:83" x14ac:dyDescent="0.3">
      <c r="B763" s="182">
        <v>4216</v>
      </c>
      <c r="C763" s="182">
        <v>2114</v>
      </c>
      <c r="D763" s="182" t="s">
        <v>123</v>
      </c>
      <c r="E763" s="181" t="s">
        <v>3703</v>
      </c>
      <c r="F763" s="182"/>
      <c r="G763" s="182">
        <v>274.5</v>
      </c>
      <c r="H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2"/>
      <c r="X763" s="182"/>
      <c r="Y763" s="182"/>
      <c r="Z763" s="182"/>
      <c r="AA763" s="182"/>
      <c r="AB763" s="182"/>
      <c r="AC763" s="182"/>
      <c r="AD763" s="182"/>
      <c r="AE763" s="182"/>
      <c r="AF763" s="182"/>
      <c r="AG763" s="182"/>
      <c r="AH763" s="182"/>
      <c r="AI763" s="182"/>
      <c r="AJ763" s="182"/>
      <c r="AK763" s="182"/>
      <c r="AL763" s="182"/>
      <c r="AM763" s="182"/>
      <c r="AN763" s="182"/>
      <c r="AO763" s="182"/>
      <c r="AP763" s="182"/>
      <c r="AQ763" s="185">
        <v>274.5</v>
      </c>
      <c r="AR763" s="182">
        <v>193.29</v>
      </c>
      <c r="AS763" s="182">
        <v>12.71</v>
      </c>
      <c r="AT763" s="182">
        <v>56.5</v>
      </c>
      <c r="AU763" s="182">
        <v>12</v>
      </c>
      <c r="AV763" s="182"/>
      <c r="AW763" s="182"/>
      <c r="AX763" s="182"/>
      <c r="AY763" s="182"/>
      <c r="AZ763" s="182"/>
      <c r="BA763" s="182"/>
      <c r="BB763" s="182"/>
      <c r="BC763" s="182"/>
      <c r="BD763" s="182"/>
      <c r="BE763" s="182"/>
      <c r="BF763" s="182"/>
      <c r="BG763" s="182"/>
      <c r="BH763" s="182"/>
      <c r="BI763" s="182"/>
      <c r="BJ763" s="182"/>
      <c r="BK763" s="182"/>
      <c r="BL763" s="182"/>
      <c r="BM763" s="182"/>
      <c r="BN763" s="182"/>
      <c r="BO763" s="182"/>
      <c r="BP763" s="182"/>
      <c r="BQ763" s="182"/>
      <c r="BR763" s="182"/>
      <c r="BS763" s="182"/>
      <c r="BT763" s="182"/>
      <c r="BU763" s="182"/>
      <c r="BV763" s="182"/>
      <c r="BW763" s="182"/>
      <c r="BX763" s="182"/>
      <c r="BY763" s="182"/>
      <c r="BZ763" s="182"/>
      <c r="CA763" s="182"/>
      <c r="CB763" s="185">
        <v>274.5</v>
      </c>
      <c r="CC763" s="185">
        <v>0</v>
      </c>
      <c r="CD763" s="185">
        <v>2114</v>
      </c>
      <c r="CE763" s="185"/>
    </row>
    <row r="764" spans="2:83" x14ac:dyDescent="0.3">
      <c r="B764" s="182">
        <v>4217</v>
      </c>
      <c r="C764" s="182">
        <v>2115</v>
      </c>
      <c r="D764" s="182" t="s">
        <v>123</v>
      </c>
      <c r="E764" s="181" t="s">
        <v>3703</v>
      </c>
      <c r="F764" s="182"/>
      <c r="G764" s="182">
        <v>39.630000000000003</v>
      </c>
      <c r="H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2"/>
      <c r="X764" s="182"/>
      <c r="Y764" s="182"/>
      <c r="Z764" s="182"/>
      <c r="AA764" s="182"/>
      <c r="AB764" s="182"/>
      <c r="AC764" s="182"/>
      <c r="AD764" s="182"/>
      <c r="AE764" s="182"/>
      <c r="AF764" s="182"/>
      <c r="AG764" s="182"/>
      <c r="AH764" s="182"/>
      <c r="AI764" s="182"/>
      <c r="AJ764" s="182"/>
      <c r="AK764" s="182"/>
      <c r="AL764" s="182"/>
      <c r="AM764" s="182"/>
      <c r="AN764" s="182"/>
      <c r="AO764" s="182"/>
      <c r="AP764" s="182"/>
      <c r="AQ764" s="185">
        <v>39.630000000000003</v>
      </c>
      <c r="AR764" s="182">
        <v>25.55</v>
      </c>
      <c r="AS764" s="182">
        <v>2.84</v>
      </c>
      <c r="AT764" s="182">
        <v>9.5500000000000007</v>
      </c>
      <c r="AU764" s="182">
        <v>1.69</v>
      </c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182"/>
      <c r="BK764" s="182"/>
      <c r="BL764" s="182"/>
      <c r="BM764" s="182"/>
      <c r="BN764" s="182"/>
      <c r="BO764" s="182"/>
      <c r="BP764" s="182"/>
      <c r="BQ764" s="182"/>
      <c r="BR764" s="182"/>
      <c r="BS764" s="182"/>
      <c r="BT764" s="182"/>
      <c r="BU764" s="182"/>
      <c r="BV764" s="182"/>
      <c r="BW764" s="182"/>
      <c r="BX764" s="182"/>
      <c r="BY764" s="182"/>
      <c r="BZ764" s="182"/>
      <c r="CA764" s="182"/>
      <c r="CB764" s="185">
        <v>39.629999999999995</v>
      </c>
      <c r="CC764" s="185">
        <v>0</v>
      </c>
      <c r="CD764" s="185">
        <v>2115</v>
      </c>
      <c r="CE764" s="185"/>
    </row>
    <row r="765" spans="2:83" x14ac:dyDescent="0.3">
      <c r="B765" s="182">
        <v>4218</v>
      </c>
      <c r="C765" s="182">
        <v>2116</v>
      </c>
      <c r="D765" s="182" t="s">
        <v>123</v>
      </c>
      <c r="E765" s="181" t="s">
        <v>3703</v>
      </c>
      <c r="F765" s="182"/>
      <c r="G765" s="182">
        <v>87.94</v>
      </c>
      <c r="H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2"/>
      <c r="X765" s="182"/>
      <c r="Y765" s="182"/>
      <c r="Z765" s="182"/>
      <c r="AA765" s="182"/>
      <c r="AB765" s="182"/>
      <c r="AC765" s="182"/>
      <c r="AD765" s="182"/>
      <c r="AE765" s="182"/>
      <c r="AF765" s="182"/>
      <c r="AG765" s="182"/>
      <c r="AH765" s="182"/>
      <c r="AI765" s="182"/>
      <c r="AJ765" s="182"/>
      <c r="AK765" s="182"/>
      <c r="AL765" s="182"/>
      <c r="AM765" s="182"/>
      <c r="AN765" s="182"/>
      <c r="AO765" s="182"/>
      <c r="AP765" s="182"/>
      <c r="AQ765" s="185">
        <v>87.94</v>
      </c>
      <c r="AR765" s="182">
        <v>56.61</v>
      </c>
      <c r="AS765" s="182">
        <v>6.39</v>
      </c>
      <c r="AT765" s="182">
        <v>21.19</v>
      </c>
      <c r="AU765" s="182">
        <v>3.75</v>
      </c>
      <c r="AV765" s="182"/>
      <c r="AW765" s="182"/>
      <c r="AX765" s="182"/>
      <c r="AY765" s="182"/>
      <c r="AZ765" s="182"/>
      <c r="BA765" s="182"/>
      <c r="BB765" s="182"/>
      <c r="BC765" s="182"/>
      <c r="BD765" s="182"/>
      <c r="BE765" s="182"/>
      <c r="BF765" s="182"/>
      <c r="BG765" s="182"/>
      <c r="BH765" s="182"/>
      <c r="BI765" s="182"/>
      <c r="BJ765" s="182"/>
      <c r="BK765" s="182"/>
      <c r="BL765" s="182"/>
      <c r="BM765" s="182"/>
      <c r="BN765" s="182"/>
      <c r="BO765" s="182"/>
      <c r="BP765" s="182"/>
      <c r="BQ765" s="182"/>
      <c r="BR765" s="182"/>
      <c r="BS765" s="182"/>
      <c r="BT765" s="182"/>
      <c r="BU765" s="182"/>
      <c r="BV765" s="182"/>
      <c r="BW765" s="182"/>
      <c r="BX765" s="182"/>
      <c r="BY765" s="182"/>
      <c r="BZ765" s="182"/>
      <c r="CA765" s="182"/>
      <c r="CB765" s="185">
        <v>87.94</v>
      </c>
      <c r="CC765" s="185">
        <v>0</v>
      </c>
      <c r="CD765" s="185">
        <v>2116</v>
      </c>
      <c r="CE765" s="185"/>
    </row>
    <row r="766" spans="2:83" x14ac:dyDescent="0.3">
      <c r="B766" s="182">
        <v>4213</v>
      </c>
      <c r="C766" s="182">
        <v>2117</v>
      </c>
      <c r="D766" s="182" t="s">
        <v>123</v>
      </c>
      <c r="E766" s="181" t="s">
        <v>3703</v>
      </c>
      <c r="F766" s="182"/>
      <c r="G766" s="182">
        <v>2913.05</v>
      </c>
      <c r="H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2"/>
      <c r="X766" s="182"/>
      <c r="Y766" s="182"/>
      <c r="Z766" s="182"/>
      <c r="AA766" s="182"/>
      <c r="AB766" s="182"/>
      <c r="AC766" s="182"/>
      <c r="AD766" s="182"/>
      <c r="AE766" s="182"/>
      <c r="AF766" s="182"/>
      <c r="AG766" s="182"/>
      <c r="AH766" s="182"/>
      <c r="AI766" s="182"/>
      <c r="AJ766" s="182"/>
      <c r="AK766" s="182"/>
      <c r="AL766" s="182"/>
      <c r="AM766" s="182"/>
      <c r="AN766" s="182"/>
      <c r="AO766" s="182"/>
      <c r="AP766" s="182"/>
      <c r="AQ766" s="185">
        <v>2913.05</v>
      </c>
      <c r="AR766" s="182">
        <v>2282.42</v>
      </c>
      <c r="AS766" s="182">
        <v>312.44</v>
      </c>
      <c r="AT766" s="182">
        <v>177.98</v>
      </c>
      <c r="AU766" s="182">
        <v>140.21</v>
      </c>
      <c r="AV766" s="182"/>
      <c r="AW766" s="182"/>
      <c r="AX766" s="182"/>
      <c r="AY766" s="182"/>
      <c r="AZ766" s="182"/>
      <c r="BA766" s="182"/>
      <c r="BB766" s="182"/>
      <c r="BC766" s="182"/>
      <c r="BD766" s="182"/>
      <c r="BE766" s="182"/>
      <c r="BF766" s="182"/>
      <c r="BG766" s="182"/>
      <c r="BH766" s="182"/>
      <c r="BI766" s="182"/>
      <c r="BJ766" s="182"/>
      <c r="BK766" s="182"/>
      <c r="BL766" s="182"/>
      <c r="BM766" s="182"/>
      <c r="BN766" s="182"/>
      <c r="BO766" s="182"/>
      <c r="BP766" s="182"/>
      <c r="BQ766" s="182"/>
      <c r="BR766" s="182"/>
      <c r="BS766" s="182"/>
      <c r="BT766" s="182"/>
      <c r="BU766" s="182"/>
      <c r="BV766" s="182"/>
      <c r="BW766" s="182"/>
      <c r="BX766" s="182"/>
      <c r="BY766" s="182"/>
      <c r="BZ766" s="182"/>
      <c r="CA766" s="182"/>
      <c r="CB766" s="185">
        <v>2913.05</v>
      </c>
      <c r="CC766" s="185">
        <v>0</v>
      </c>
      <c r="CD766" s="185">
        <v>2117</v>
      </c>
      <c r="CE766" s="185"/>
    </row>
    <row r="767" spans="2:83" x14ac:dyDescent="0.3">
      <c r="B767" s="182">
        <v>4001</v>
      </c>
      <c r="C767" s="182">
        <v>2118</v>
      </c>
      <c r="D767" s="182" t="s">
        <v>121</v>
      </c>
      <c r="E767" s="181" t="s">
        <v>4350</v>
      </c>
      <c r="F767" s="182"/>
      <c r="G767" s="182">
        <v>46756.75</v>
      </c>
      <c r="H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2"/>
      <c r="X767" s="182"/>
      <c r="Y767" s="182"/>
      <c r="Z767" s="182"/>
      <c r="AA767" s="182"/>
      <c r="AB767" s="182"/>
      <c r="AC767" s="182"/>
      <c r="AD767" s="182"/>
      <c r="AE767" s="182"/>
      <c r="AF767" s="182"/>
      <c r="AG767" s="182"/>
      <c r="AH767" s="182"/>
      <c r="AI767" s="182"/>
      <c r="AJ767" s="182"/>
      <c r="AK767" s="182"/>
      <c r="AL767" s="182"/>
      <c r="AM767" s="182"/>
      <c r="AN767" s="182"/>
      <c r="AO767" s="182"/>
      <c r="AP767" s="182"/>
      <c r="AQ767" s="185">
        <v>46756.75</v>
      </c>
      <c r="AR767" s="182">
        <v>31373.9</v>
      </c>
      <c r="AS767" s="182">
        <v>4169.07</v>
      </c>
      <c r="AT767" s="182">
        <v>11213.78</v>
      </c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182"/>
      <c r="BK767" s="182"/>
      <c r="BL767" s="182"/>
      <c r="BM767" s="182"/>
      <c r="BN767" s="182"/>
      <c r="BO767" s="182"/>
      <c r="BP767" s="182"/>
      <c r="BQ767" s="182"/>
      <c r="BR767" s="182"/>
      <c r="BS767" s="182"/>
      <c r="BT767" s="182"/>
      <c r="BU767" s="182"/>
      <c r="BV767" s="182"/>
      <c r="BW767" s="182"/>
      <c r="BX767" s="182"/>
      <c r="BY767" s="182"/>
      <c r="BZ767" s="182"/>
      <c r="CA767" s="182"/>
      <c r="CB767" s="185">
        <v>46756.75</v>
      </c>
      <c r="CC767" s="185">
        <v>0</v>
      </c>
      <c r="CD767" s="185">
        <v>2118</v>
      </c>
      <c r="CE767" s="185"/>
    </row>
    <row r="768" spans="2:83" x14ac:dyDescent="0.3">
      <c r="B768" s="182">
        <v>4002</v>
      </c>
      <c r="C768" s="182">
        <v>2119</v>
      </c>
      <c r="D768" s="182" t="s">
        <v>121</v>
      </c>
      <c r="E768" s="181" t="s">
        <v>4350</v>
      </c>
      <c r="F768" s="182"/>
      <c r="G768" s="182">
        <v>229.42</v>
      </c>
      <c r="H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2"/>
      <c r="X768" s="182"/>
      <c r="Y768" s="182"/>
      <c r="Z768" s="182"/>
      <c r="AA768" s="182"/>
      <c r="AB768" s="182"/>
      <c r="AC768" s="182"/>
      <c r="AD768" s="182"/>
      <c r="AE768" s="182"/>
      <c r="AF768" s="182"/>
      <c r="AG768" s="182"/>
      <c r="AH768" s="182"/>
      <c r="AI768" s="182"/>
      <c r="AJ768" s="182"/>
      <c r="AK768" s="182"/>
      <c r="AL768" s="182"/>
      <c r="AM768" s="182"/>
      <c r="AN768" s="182"/>
      <c r="AO768" s="182"/>
      <c r="AP768" s="182"/>
      <c r="AQ768" s="185">
        <v>229.42</v>
      </c>
      <c r="AR768" s="182">
        <v>153.81</v>
      </c>
      <c r="AS768" s="182">
        <v>20.32</v>
      </c>
      <c r="AT768" s="182">
        <v>55.29</v>
      </c>
      <c r="AU768" s="182"/>
      <c r="AV768" s="182"/>
      <c r="AW768" s="182"/>
      <c r="AX768" s="182"/>
      <c r="AY768" s="182"/>
      <c r="AZ768" s="182"/>
      <c r="BA768" s="182"/>
      <c r="BB768" s="182"/>
      <c r="BC768" s="182"/>
      <c r="BD768" s="182"/>
      <c r="BE768" s="182"/>
      <c r="BF768" s="182"/>
      <c r="BG768" s="182"/>
      <c r="BH768" s="182"/>
      <c r="BI768" s="182"/>
      <c r="BJ768" s="182"/>
      <c r="BK768" s="182"/>
      <c r="BL768" s="182"/>
      <c r="BM768" s="182"/>
      <c r="BN768" s="182"/>
      <c r="BO768" s="182"/>
      <c r="BP768" s="182"/>
      <c r="BQ768" s="182"/>
      <c r="BR768" s="182"/>
      <c r="BS768" s="182"/>
      <c r="BT768" s="182"/>
      <c r="BU768" s="182"/>
      <c r="BV768" s="182"/>
      <c r="BW768" s="182"/>
      <c r="BX768" s="182"/>
      <c r="BY768" s="182"/>
      <c r="BZ768" s="182"/>
      <c r="CA768" s="182"/>
      <c r="CB768" s="185">
        <v>229.42</v>
      </c>
      <c r="CC768" s="185">
        <v>0</v>
      </c>
      <c r="CD768" s="185">
        <v>2119</v>
      </c>
      <c r="CE768" s="185"/>
    </row>
    <row r="769" spans="2:83" x14ac:dyDescent="0.3">
      <c r="B769" s="182">
        <v>4007</v>
      </c>
      <c r="C769" s="182">
        <v>2120</v>
      </c>
      <c r="D769" s="182" t="s">
        <v>121</v>
      </c>
      <c r="E769" s="181" t="s">
        <v>4351</v>
      </c>
      <c r="F769" s="182"/>
      <c r="G769" s="182">
        <v>867.3</v>
      </c>
      <c r="H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2"/>
      <c r="X769" s="182"/>
      <c r="Y769" s="182"/>
      <c r="Z769" s="182"/>
      <c r="AA769" s="182"/>
      <c r="AB769" s="182"/>
      <c r="AC769" s="182"/>
      <c r="AD769" s="182"/>
      <c r="AE769" s="182"/>
      <c r="AF769" s="182"/>
      <c r="AG769" s="182"/>
      <c r="AH769" s="182"/>
      <c r="AI769" s="182"/>
      <c r="AJ769" s="182"/>
      <c r="AK769" s="182"/>
      <c r="AL769" s="182"/>
      <c r="AM769" s="182"/>
      <c r="AN769" s="182"/>
      <c r="AO769" s="182"/>
      <c r="AP769" s="182"/>
      <c r="AQ769" s="185">
        <v>867.3</v>
      </c>
      <c r="AR769" s="182">
        <v>581.9</v>
      </c>
      <c r="AS769" s="182">
        <v>76.45</v>
      </c>
      <c r="AT769" s="182">
        <v>208.95</v>
      </c>
      <c r="AU769" s="182"/>
      <c r="AV769" s="182"/>
      <c r="AW769" s="182"/>
      <c r="AX769" s="182"/>
      <c r="AY769" s="182"/>
      <c r="AZ769" s="182"/>
      <c r="BA769" s="182"/>
      <c r="BB769" s="182"/>
      <c r="BC769" s="182"/>
      <c r="BD769" s="182"/>
      <c r="BE769" s="182"/>
      <c r="BF769" s="182"/>
      <c r="BG769" s="182"/>
      <c r="BH769" s="182"/>
      <c r="BI769" s="182"/>
      <c r="BJ769" s="182"/>
      <c r="BK769" s="182"/>
      <c r="BL769" s="182"/>
      <c r="BM769" s="182"/>
      <c r="BN769" s="182"/>
      <c r="BO769" s="182"/>
      <c r="BP769" s="182"/>
      <c r="BQ769" s="182"/>
      <c r="BR769" s="182"/>
      <c r="BS769" s="182"/>
      <c r="BT769" s="182"/>
      <c r="BU769" s="182"/>
      <c r="BV769" s="182"/>
      <c r="BW769" s="182"/>
      <c r="BX769" s="182"/>
      <c r="BY769" s="182"/>
      <c r="BZ769" s="182"/>
      <c r="CA769" s="182"/>
      <c r="CB769" s="185">
        <v>867.3</v>
      </c>
      <c r="CC769" s="185">
        <v>0</v>
      </c>
      <c r="CD769" s="185">
        <v>2120</v>
      </c>
      <c r="CE769" s="185"/>
    </row>
    <row r="770" spans="2:83" x14ac:dyDescent="0.3">
      <c r="B770" s="182">
        <v>4006</v>
      </c>
      <c r="C770" s="182">
        <v>2121</v>
      </c>
      <c r="D770" s="182" t="s">
        <v>121</v>
      </c>
      <c r="E770" s="181" t="s">
        <v>4352</v>
      </c>
      <c r="F770" s="182"/>
      <c r="G770" s="182">
        <v>173.46</v>
      </c>
      <c r="H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2"/>
      <c r="X770" s="182"/>
      <c r="Y770" s="182"/>
      <c r="Z770" s="182"/>
      <c r="AA770" s="182"/>
      <c r="AB770" s="182"/>
      <c r="AC770" s="182"/>
      <c r="AD770" s="182"/>
      <c r="AE770" s="182"/>
      <c r="AF770" s="182"/>
      <c r="AG770" s="182"/>
      <c r="AH770" s="182"/>
      <c r="AI770" s="182"/>
      <c r="AJ770" s="182"/>
      <c r="AK770" s="182"/>
      <c r="AL770" s="182"/>
      <c r="AM770" s="182"/>
      <c r="AN770" s="182"/>
      <c r="AO770" s="182"/>
      <c r="AP770" s="182"/>
      <c r="AQ770" s="185">
        <v>173.46</v>
      </c>
      <c r="AR770" s="182">
        <v>116.38</v>
      </c>
      <c r="AS770" s="182">
        <v>15.29</v>
      </c>
      <c r="AT770" s="182">
        <v>41.79</v>
      </c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182"/>
      <c r="BK770" s="182"/>
      <c r="BL770" s="182"/>
      <c r="BM770" s="182"/>
      <c r="BN770" s="182"/>
      <c r="BO770" s="182"/>
      <c r="BP770" s="182"/>
      <c r="BQ770" s="182"/>
      <c r="BR770" s="182"/>
      <c r="BS770" s="182"/>
      <c r="BT770" s="182"/>
      <c r="BU770" s="182"/>
      <c r="BV770" s="182"/>
      <c r="BW770" s="182"/>
      <c r="BX770" s="182"/>
      <c r="BY770" s="182"/>
      <c r="BZ770" s="182"/>
      <c r="CA770" s="182"/>
      <c r="CB770" s="185">
        <v>173.45999999999998</v>
      </c>
      <c r="CC770" s="185">
        <v>0</v>
      </c>
      <c r="CD770" s="185">
        <v>2121</v>
      </c>
      <c r="CE770" s="185"/>
    </row>
    <row r="771" spans="2:83" x14ac:dyDescent="0.3">
      <c r="B771" s="182">
        <v>4005</v>
      </c>
      <c r="C771" s="182">
        <v>2122</v>
      </c>
      <c r="D771" s="182" t="s">
        <v>121</v>
      </c>
      <c r="E771" s="181" t="s">
        <v>4350</v>
      </c>
      <c r="F771" s="182"/>
      <c r="G771" s="182">
        <v>230.6</v>
      </c>
      <c r="H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2"/>
      <c r="X771" s="182"/>
      <c r="Y771" s="182"/>
      <c r="Z771" s="182"/>
      <c r="AA771" s="182"/>
      <c r="AB771" s="182"/>
      <c r="AC771" s="182"/>
      <c r="AD771" s="182"/>
      <c r="AE771" s="182"/>
      <c r="AF771" s="182"/>
      <c r="AG771" s="182"/>
      <c r="AH771" s="182"/>
      <c r="AI771" s="182"/>
      <c r="AJ771" s="182"/>
      <c r="AK771" s="182"/>
      <c r="AL771" s="182"/>
      <c r="AM771" s="182"/>
      <c r="AN771" s="182"/>
      <c r="AO771" s="182"/>
      <c r="AP771" s="182"/>
      <c r="AQ771" s="185">
        <v>230.6</v>
      </c>
      <c r="AR771" s="182">
        <v>154.61000000000001</v>
      </c>
      <c r="AS771" s="182">
        <v>20.420000000000002</v>
      </c>
      <c r="AT771" s="182">
        <v>55.57</v>
      </c>
      <c r="AU771" s="182"/>
      <c r="AV771" s="182"/>
      <c r="AW771" s="182"/>
      <c r="AX771" s="182"/>
      <c r="AY771" s="182"/>
      <c r="AZ771" s="182"/>
      <c r="BA771" s="182"/>
      <c r="BB771" s="182"/>
      <c r="BC771" s="182"/>
      <c r="BD771" s="182"/>
      <c r="BE771" s="182"/>
      <c r="BF771" s="182"/>
      <c r="BG771" s="182"/>
      <c r="BH771" s="182"/>
      <c r="BI771" s="182"/>
      <c r="BJ771" s="182"/>
      <c r="BK771" s="182"/>
      <c r="BL771" s="182"/>
      <c r="BM771" s="182"/>
      <c r="BN771" s="182"/>
      <c r="BO771" s="182"/>
      <c r="BP771" s="182"/>
      <c r="BQ771" s="182"/>
      <c r="BR771" s="182"/>
      <c r="BS771" s="182"/>
      <c r="BT771" s="182"/>
      <c r="BU771" s="182"/>
      <c r="BV771" s="182"/>
      <c r="BW771" s="182"/>
      <c r="BX771" s="182"/>
      <c r="BY771" s="182"/>
      <c r="BZ771" s="182"/>
      <c r="CA771" s="182"/>
      <c r="CB771" s="185">
        <v>230.60000000000002</v>
      </c>
      <c r="CC771" s="185">
        <v>0</v>
      </c>
      <c r="CD771" s="185">
        <v>2122</v>
      </c>
      <c r="CE771" s="185"/>
    </row>
    <row r="772" spans="2:83" x14ac:dyDescent="0.3">
      <c r="B772" s="182">
        <v>4004</v>
      </c>
      <c r="C772" s="182">
        <v>2123</v>
      </c>
      <c r="D772" s="182" t="s">
        <v>121</v>
      </c>
      <c r="E772" s="181" t="s">
        <v>4350</v>
      </c>
      <c r="F772" s="182"/>
      <c r="G772" s="182">
        <v>622.07000000000005</v>
      </c>
      <c r="H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2"/>
      <c r="X772" s="182"/>
      <c r="Y772" s="182"/>
      <c r="Z772" s="182"/>
      <c r="AA772" s="182"/>
      <c r="AB772" s="182"/>
      <c r="AC772" s="182"/>
      <c r="AD772" s="182"/>
      <c r="AE772" s="182"/>
      <c r="AF772" s="182"/>
      <c r="AG772" s="182"/>
      <c r="AH772" s="182"/>
      <c r="AI772" s="182"/>
      <c r="AJ772" s="182"/>
      <c r="AK772" s="182"/>
      <c r="AL772" s="182"/>
      <c r="AM772" s="182"/>
      <c r="AN772" s="182"/>
      <c r="AO772" s="182"/>
      <c r="AP772" s="182"/>
      <c r="AQ772" s="185">
        <v>622.07000000000005</v>
      </c>
      <c r="AR772" s="182">
        <v>416.77</v>
      </c>
      <c r="AS772" s="182">
        <v>55.46</v>
      </c>
      <c r="AT772" s="182">
        <v>149.84</v>
      </c>
      <c r="AU772" s="182"/>
      <c r="AV772" s="182"/>
      <c r="AW772" s="182"/>
      <c r="AX772" s="182"/>
      <c r="AY772" s="182"/>
      <c r="AZ772" s="182"/>
      <c r="BA772" s="182"/>
      <c r="BB772" s="182"/>
      <c r="BC772" s="182"/>
      <c r="BD772" s="182"/>
      <c r="BE772" s="182"/>
      <c r="BF772" s="182"/>
      <c r="BG772" s="182"/>
      <c r="BH772" s="182"/>
      <c r="BI772" s="182"/>
      <c r="BJ772" s="182"/>
      <c r="BK772" s="182"/>
      <c r="BL772" s="182"/>
      <c r="BM772" s="182"/>
      <c r="BN772" s="182"/>
      <c r="BO772" s="182"/>
      <c r="BP772" s="182"/>
      <c r="BQ772" s="182"/>
      <c r="BR772" s="182"/>
      <c r="BS772" s="182"/>
      <c r="BT772" s="182"/>
      <c r="BU772" s="182"/>
      <c r="BV772" s="182"/>
      <c r="BW772" s="182"/>
      <c r="BX772" s="182"/>
      <c r="BY772" s="182"/>
      <c r="BZ772" s="182"/>
      <c r="CA772" s="182"/>
      <c r="CB772" s="185">
        <v>622.06999999999994</v>
      </c>
      <c r="CC772" s="185">
        <v>0</v>
      </c>
      <c r="CD772" s="185">
        <v>2123</v>
      </c>
      <c r="CE772" s="185"/>
    </row>
    <row r="773" spans="2:83" x14ac:dyDescent="0.3">
      <c r="B773" s="182">
        <v>4008</v>
      </c>
      <c r="C773" s="182">
        <v>2124</v>
      </c>
      <c r="D773" s="182" t="s">
        <v>121</v>
      </c>
      <c r="E773" s="181" t="s">
        <v>4353</v>
      </c>
      <c r="F773" s="182"/>
      <c r="G773" s="182">
        <v>16634.95</v>
      </c>
      <c r="H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2"/>
      <c r="X773" s="182"/>
      <c r="Y773" s="182"/>
      <c r="Z773" s="182"/>
      <c r="AA773" s="182"/>
      <c r="AB773" s="182"/>
      <c r="AC773" s="182"/>
      <c r="AD773" s="182"/>
      <c r="AE773" s="182"/>
      <c r="AF773" s="182"/>
      <c r="AG773" s="182"/>
      <c r="AH773" s="182"/>
      <c r="AI773" s="182"/>
      <c r="AJ773" s="182"/>
      <c r="AK773" s="182"/>
      <c r="AL773" s="182"/>
      <c r="AM773" s="182"/>
      <c r="AN773" s="182"/>
      <c r="AO773" s="182"/>
      <c r="AP773" s="182"/>
      <c r="AQ773" s="185">
        <v>16634.95</v>
      </c>
      <c r="AR773" s="182">
        <v>11158.02</v>
      </c>
      <c r="AS773" s="182">
        <v>1469.71</v>
      </c>
      <c r="AT773" s="182">
        <v>4007.22</v>
      </c>
      <c r="AU773" s="182"/>
      <c r="AV773" s="182"/>
      <c r="AW773" s="182"/>
      <c r="AX773" s="182"/>
      <c r="AY773" s="182"/>
      <c r="AZ773" s="182"/>
      <c r="BA773" s="182"/>
      <c r="BB773" s="182"/>
      <c r="BC773" s="182"/>
      <c r="BD773" s="182"/>
      <c r="BE773" s="182"/>
      <c r="BF773" s="182"/>
      <c r="BG773" s="182"/>
      <c r="BH773" s="182"/>
      <c r="BI773" s="182"/>
      <c r="BJ773" s="182"/>
      <c r="BK773" s="182"/>
      <c r="BL773" s="182"/>
      <c r="BM773" s="182"/>
      <c r="BN773" s="182"/>
      <c r="BO773" s="182"/>
      <c r="BP773" s="182"/>
      <c r="BQ773" s="182"/>
      <c r="BR773" s="182"/>
      <c r="BS773" s="182"/>
      <c r="BT773" s="182"/>
      <c r="BU773" s="182"/>
      <c r="BV773" s="182"/>
      <c r="BW773" s="182"/>
      <c r="BX773" s="182"/>
      <c r="BY773" s="182"/>
      <c r="BZ773" s="182"/>
      <c r="CA773" s="182"/>
      <c r="CB773" s="185">
        <v>16634.95</v>
      </c>
      <c r="CC773" s="185">
        <v>0</v>
      </c>
      <c r="CD773" s="185">
        <v>2124</v>
      </c>
      <c r="CE773" s="185"/>
    </row>
    <row r="774" spans="2:83" x14ac:dyDescent="0.3">
      <c r="B774" s="182">
        <v>1989</v>
      </c>
      <c r="C774" s="182">
        <v>2125</v>
      </c>
      <c r="D774" s="182" t="s">
        <v>119</v>
      </c>
      <c r="E774" s="181" t="s">
        <v>4354</v>
      </c>
      <c r="F774" s="182"/>
      <c r="G774" s="182">
        <v>2900</v>
      </c>
      <c r="H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2"/>
      <c r="X774" s="182"/>
      <c r="Y774" s="182"/>
      <c r="Z774" s="182"/>
      <c r="AA774" s="182"/>
      <c r="AB774" s="182"/>
      <c r="AC774" s="182"/>
      <c r="AD774" s="182"/>
      <c r="AE774" s="182"/>
      <c r="AF774" s="182"/>
      <c r="AG774" s="182"/>
      <c r="AH774" s="182"/>
      <c r="AI774" s="182"/>
      <c r="AJ774" s="182"/>
      <c r="AK774" s="182"/>
      <c r="AL774" s="182"/>
      <c r="AM774" s="182"/>
      <c r="AN774" s="182"/>
      <c r="AO774" s="182"/>
      <c r="AP774" s="182"/>
      <c r="AQ774" s="185">
        <v>2900</v>
      </c>
      <c r="AR774" s="182">
        <v>2186.88</v>
      </c>
      <c r="AS774" s="182">
        <v>568.12</v>
      </c>
      <c r="AT774" s="182"/>
      <c r="AU774" s="182">
        <v>145</v>
      </c>
      <c r="AV774" s="182"/>
      <c r="AW774" s="182"/>
      <c r="AX774" s="182"/>
      <c r="AY774" s="182"/>
      <c r="AZ774" s="182"/>
      <c r="BA774" s="182"/>
      <c r="BB774" s="182"/>
      <c r="BC774" s="182"/>
      <c r="BD774" s="182"/>
      <c r="BE774" s="182"/>
      <c r="BF774" s="182"/>
      <c r="BG774" s="182"/>
      <c r="BH774" s="182"/>
      <c r="BI774" s="182"/>
      <c r="BJ774" s="182"/>
      <c r="BK774" s="182"/>
      <c r="BL774" s="182"/>
      <c r="BM774" s="182"/>
      <c r="BN774" s="182"/>
      <c r="BO774" s="182"/>
      <c r="BP774" s="182"/>
      <c r="BQ774" s="182"/>
      <c r="BR774" s="182"/>
      <c r="BS774" s="182"/>
      <c r="BT774" s="182"/>
      <c r="BU774" s="182"/>
      <c r="BV774" s="182"/>
      <c r="BW774" s="182"/>
      <c r="BX774" s="182"/>
      <c r="BY774" s="182"/>
      <c r="BZ774" s="182"/>
      <c r="CA774" s="182"/>
      <c r="CB774" s="185">
        <v>2900</v>
      </c>
      <c r="CC774" s="185">
        <v>0</v>
      </c>
      <c r="CD774" s="185">
        <v>2125</v>
      </c>
      <c r="CE774" s="185"/>
    </row>
    <row r="775" spans="2:83" x14ac:dyDescent="0.3">
      <c r="B775" s="182">
        <v>1326</v>
      </c>
      <c r="C775" s="182">
        <v>2126</v>
      </c>
      <c r="D775" s="182" t="s">
        <v>119</v>
      </c>
      <c r="E775" s="181" t="s">
        <v>4355</v>
      </c>
      <c r="F775" s="182"/>
      <c r="G775" s="182">
        <v>3360</v>
      </c>
      <c r="H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2"/>
      <c r="X775" s="182"/>
      <c r="Y775" s="182"/>
      <c r="Z775" s="182"/>
      <c r="AA775" s="182"/>
      <c r="AB775" s="182"/>
      <c r="AC775" s="182"/>
      <c r="AD775" s="182"/>
      <c r="AE775" s="182"/>
      <c r="AF775" s="182"/>
      <c r="AG775" s="182"/>
      <c r="AH775" s="182"/>
      <c r="AI775" s="182"/>
      <c r="AJ775" s="182"/>
      <c r="AK775" s="182"/>
      <c r="AL775" s="182"/>
      <c r="AM775" s="182"/>
      <c r="AN775" s="182"/>
      <c r="AO775" s="182"/>
      <c r="AP775" s="182"/>
      <c r="AQ775" s="185">
        <v>3360</v>
      </c>
      <c r="AR775" s="182">
        <v>2534</v>
      </c>
      <c r="AS775" s="182">
        <v>658</v>
      </c>
      <c r="AT775" s="182"/>
      <c r="AU775" s="182">
        <v>168</v>
      </c>
      <c r="AV775" s="182"/>
      <c r="AW775" s="182"/>
      <c r="AX775" s="182"/>
      <c r="AY775" s="182"/>
      <c r="AZ775" s="182"/>
      <c r="BA775" s="182"/>
      <c r="BB775" s="182"/>
      <c r="BC775" s="182"/>
      <c r="BD775" s="182"/>
      <c r="BE775" s="182"/>
      <c r="BF775" s="182"/>
      <c r="BG775" s="182"/>
      <c r="BH775" s="182"/>
      <c r="BI775" s="182"/>
      <c r="BJ775" s="182"/>
      <c r="BK775" s="182"/>
      <c r="BL775" s="182"/>
      <c r="BM775" s="182"/>
      <c r="BN775" s="182"/>
      <c r="BO775" s="182"/>
      <c r="BP775" s="182"/>
      <c r="BQ775" s="182"/>
      <c r="BR775" s="182"/>
      <c r="BS775" s="182"/>
      <c r="BT775" s="182"/>
      <c r="BU775" s="182"/>
      <c r="BV775" s="182"/>
      <c r="BW775" s="182"/>
      <c r="BX775" s="182"/>
      <c r="BY775" s="182"/>
      <c r="BZ775" s="182"/>
      <c r="CA775" s="182"/>
      <c r="CB775" s="185">
        <v>3360</v>
      </c>
      <c r="CC775" s="185">
        <v>0</v>
      </c>
      <c r="CD775" s="185">
        <v>2126</v>
      </c>
      <c r="CE775" s="185"/>
    </row>
    <row r="776" spans="2:83" x14ac:dyDescent="0.3">
      <c r="B776" s="182">
        <v>4493</v>
      </c>
      <c r="C776" s="182">
        <v>2127</v>
      </c>
      <c r="D776" s="182" t="s">
        <v>119</v>
      </c>
      <c r="E776" s="181" t="s">
        <v>4254</v>
      </c>
      <c r="F776" s="182"/>
      <c r="G776" s="182">
        <v>293.12</v>
      </c>
      <c r="H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2"/>
      <c r="X776" s="182"/>
      <c r="Y776" s="182"/>
      <c r="Z776" s="182"/>
      <c r="AA776" s="182"/>
      <c r="AB776" s="182"/>
      <c r="AC776" s="182"/>
      <c r="AD776" s="182"/>
      <c r="AE776" s="182"/>
      <c r="AF776" s="182"/>
      <c r="AG776" s="182"/>
      <c r="AH776" s="182"/>
      <c r="AI776" s="182"/>
      <c r="AJ776" s="182"/>
      <c r="AK776" s="182"/>
      <c r="AL776" s="182"/>
      <c r="AM776" s="182"/>
      <c r="AN776" s="182"/>
      <c r="AO776" s="182"/>
      <c r="AP776" s="182"/>
      <c r="AQ776" s="185">
        <v>293.12</v>
      </c>
      <c r="AR776" s="182">
        <v>177.61</v>
      </c>
      <c r="AS776" s="182">
        <v>32.39</v>
      </c>
      <c r="AT776" s="182">
        <v>70.62</v>
      </c>
      <c r="AU776" s="182">
        <v>12.5</v>
      </c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182"/>
      <c r="BK776" s="182"/>
      <c r="BL776" s="182"/>
      <c r="BM776" s="182"/>
      <c r="BN776" s="182"/>
      <c r="BO776" s="182"/>
      <c r="BP776" s="182"/>
      <c r="BQ776" s="182"/>
      <c r="BR776" s="182"/>
      <c r="BS776" s="182"/>
      <c r="BT776" s="182"/>
      <c r="BU776" s="182"/>
      <c r="BV776" s="182"/>
      <c r="BW776" s="182"/>
      <c r="BX776" s="182"/>
      <c r="BY776" s="182"/>
      <c r="BZ776" s="182"/>
      <c r="CA776" s="182"/>
      <c r="CB776" s="185">
        <v>293.12</v>
      </c>
      <c r="CC776" s="185">
        <v>0</v>
      </c>
      <c r="CD776" s="185">
        <v>2127</v>
      </c>
      <c r="CE776" s="185"/>
    </row>
    <row r="777" spans="2:83" x14ac:dyDescent="0.3">
      <c r="B777" s="182">
        <v>3882</v>
      </c>
      <c r="C777" s="182">
        <v>2128</v>
      </c>
      <c r="D777" s="182" t="s">
        <v>119</v>
      </c>
      <c r="E777" s="181" t="s">
        <v>4254</v>
      </c>
      <c r="F777" s="182"/>
      <c r="G777" s="182">
        <v>2557.91</v>
      </c>
      <c r="H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2"/>
      <c r="X777" s="182"/>
      <c r="Y777" s="182"/>
      <c r="Z777" s="182"/>
      <c r="AA777" s="182"/>
      <c r="AB777" s="182"/>
      <c r="AC777" s="182"/>
      <c r="AD777" s="182"/>
      <c r="AE777" s="182"/>
      <c r="AF777" s="182"/>
      <c r="AG777" s="182"/>
      <c r="AH777" s="182"/>
      <c r="AI777" s="182"/>
      <c r="AJ777" s="182"/>
      <c r="AK777" s="182"/>
      <c r="AL777" s="182"/>
      <c r="AM777" s="182"/>
      <c r="AN777" s="182"/>
      <c r="AO777" s="182"/>
      <c r="AP777" s="182"/>
      <c r="AQ777" s="185">
        <v>2557.91</v>
      </c>
      <c r="AR777" s="182">
        <v>1912.29</v>
      </c>
      <c r="AS777" s="182">
        <v>60.620000000000005</v>
      </c>
      <c r="AT777" s="182">
        <v>471.5</v>
      </c>
      <c r="AU777" s="182">
        <v>113.5</v>
      </c>
      <c r="AV777" s="182"/>
      <c r="AW777" s="182"/>
      <c r="AX777" s="182"/>
      <c r="AY777" s="182"/>
      <c r="AZ777" s="182"/>
      <c r="BA777" s="182"/>
      <c r="BB777" s="182"/>
      <c r="BC777" s="182"/>
      <c r="BD777" s="182"/>
      <c r="BE777" s="182"/>
      <c r="BF777" s="182"/>
      <c r="BG777" s="182"/>
      <c r="BH777" s="182"/>
      <c r="BI777" s="182"/>
      <c r="BJ777" s="182"/>
      <c r="BK777" s="182"/>
      <c r="BL777" s="182"/>
      <c r="BM777" s="182"/>
      <c r="BN777" s="182"/>
      <c r="BO777" s="182"/>
      <c r="BP777" s="182"/>
      <c r="BQ777" s="182"/>
      <c r="BR777" s="182"/>
      <c r="BS777" s="182"/>
      <c r="BT777" s="182"/>
      <c r="BU777" s="182"/>
      <c r="BV777" s="182"/>
      <c r="BW777" s="182"/>
      <c r="BX777" s="182"/>
      <c r="BY777" s="182"/>
      <c r="BZ777" s="182"/>
      <c r="CA777" s="182"/>
      <c r="CB777" s="185">
        <v>2557.91</v>
      </c>
      <c r="CC777" s="185">
        <v>0</v>
      </c>
      <c r="CD777" s="185">
        <v>2128</v>
      </c>
      <c r="CE777" s="185"/>
    </row>
    <row r="778" spans="2:83" x14ac:dyDescent="0.3">
      <c r="B778" s="182">
        <v>3884</v>
      </c>
      <c r="C778" s="182">
        <v>2129</v>
      </c>
      <c r="D778" s="182" t="s">
        <v>119</v>
      </c>
      <c r="E778" s="181" t="s">
        <v>4254</v>
      </c>
      <c r="F778" s="182"/>
      <c r="G778" s="182">
        <v>2927.88</v>
      </c>
      <c r="H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2"/>
      <c r="X778" s="182"/>
      <c r="Y778" s="182"/>
      <c r="Z778" s="182"/>
      <c r="AA778" s="182"/>
      <c r="AB778" s="182"/>
      <c r="AC778" s="182"/>
      <c r="AD778" s="182"/>
      <c r="AE778" s="182"/>
      <c r="AF778" s="182"/>
      <c r="AG778" s="182"/>
      <c r="AH778" s="182"/>
      <c r="AI778" s="182"/>
      <c r="AJ778" s="182"/>
      <c r="AK778" s="182"/>
      <c r="AL778" s="182"/>
      <c r="AM778" s="182"/>
      <c r="AN778" s="182"/>
      <c r="AO778" s="182"/>
      <c r="AP778" s="182"/>
      <c r="AQ778" s="185">
        <v>2927.88</v>
      </c>
      <c r="AR778" s="182">
        <v>1923.39</v>
      </c>
      <c r="AS778" s="182">
        <v>162.88999999999999</v>
      </c>
      <c r="AT778" s="182">
        <v>717.1</v>
      </c>
      <c r="AU778" s="182">
        <v>124.5</v>
      </c>
      <c r="AV778" s="182"/>
      <c r="AW778" s="182"/>
      <c r="AX778" s="182"/>
      <c r="AY778" s="182"/>
      <c r="AZ778" s="182"/>
      <c r="BA778" s="182"/>
      <c r="BB778" s="182"/>
      <c r="BC778" s="182"/>
      <c r="BD778" s="182"/>
      <c r="BE778" s="182"/>
      <c r="BF778" s="182"/>
      <c r="BG778" s="182"/>
      <c r="BH778" s="182"/>
      <c r="BI778" s="182"/>
      <c r="BJ778" s="182"/>
      <c r="BK778" s="182"/>
      <c r="BL778" s="182"/>
      <c r="BM778" s="182"/>
      <c r="BN778" s="182"/>
      <c r="BO778" s="182"/>
      <c r="BP778" s="182"/>
      <c r="BQ778" s="182"/>
      <c r="BR778" s="182"/>
      <c r="BS778" s="182"/>
      <c r="BT778" s="182"/>
      <c r="BU778" s="182"/>
      <c r="BV778" s="182"/>
      <c r="BW778" s="182"/>
      <c r="BX778" s="182"/>
      <c r="BY778" s="182"/>
      <c r="BZ778" s="182"/>
      <c r="CA778" s="182"/>
      <c r="CB778" s="185">
        <v>2927.88</v>
      </c>
      <c r="CC778" s="185">
        <v>0</v>
      </c>
      <c r="CD778" s="185">
        <v>2129</v>
      </c>
      <c r="CE778" s="185"/>
    </row>
    <row r="779" spans="2:83" x14ac:dyDescent="0.3">
      <c r="B779" s="182">
        <v>3883</v>
      </c>
      <c r="C779" s="182">
        <v>2130</v>
      </c>
      <c r="D779" s="182" t="s">
        <v>119</v>
      </c>
      <c r="E779" s="181" t="s">
        <v>4254</v>
      </c>
      <c r="F779" s="182"/>
      <c r="G779" s="182">
        <v>8408.83</v>
      </c>
      <c r="H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2"/>
      <c r="X779" s="182"/>
      <c r="Y779" s="182"/>
      <c r="Z779" s="182"/>
      <c r="AA779" s="182"/>
      <c r="AB779" s="182"/>
      <c r="AC779" s="182"/>
      <c r="AD779" s="182"/>
      <c r="AE779" s="182"/>
      <c r="AF779" s="182"/>
      <c r="AG779" s="182"/>
      <c r="AH779" s="182"/>
      <c r="AI779" s="182"/>
      <c r="AJ779" s="182"/>
      <c r="AK779" s="182"/>
      <c r="AL779" s="182"/>
      <c r="AM779" s="182"/>
      <c r="AN779" s="182"/>
      <c r="AO779" s="182"/>
      <c r="AP779" s="182"/>
      <c r="AQ779" s="185">
        <v>8408.83</v>
      </c>
      <c r="AR779" s="182">
        <v>5212.3999999999996</v>
      </c>
      <c r="AS779" s="182">
        <v>952</v>
      </c>
      <c r="AT779" s="182">
        <v>1881.43</v>
      </c>
      <c r="AU779" s="182">
        <v>363</v>
      </c>
      <c r="AV779" s="182"/>
      <c r="AW779" s="182"/>
      <c r="AX779" s="182"/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182"/>
      <c r="BK779" s="182"/>
      <c r="BL779" s="182"/>
      <c r="BM779" s="182"/>
      <c r="BN779" s="182"/>
      <c r="BO779" s="182"/>
      <c r="BP779" s="182"/>
      <c r="BQ779" s="182"/>
      <c r="BR779" s="182"/>
      <c r="BS779" s="182"/>
      <c r="BT779" s="182"/>
      <c r="BU779" s="182"/>
      <c r="BV779" s="182"/>
      <c r="BW779" s="182"/>
      <c r="BX779" s="182"/>
      <c r="BY779" s="182"/>
      <c r="BZ779" s="182"/>
      <c r="CA779" s="182"/>
      <c r="CB779" s="185">
        <v>8408.83</v>
      </c>
      <c r="CC779" s="185">
        <v>0</v>
      </c>
      <c r="CD779" s="185">
        <v>2130</v>
      </c>
      <c r="CE779" s="185"/>
    </row>
    <row r="780" spans="2:83" x14ac:dyDescent="0.3">
      <c r="B780" s="182">
        <v>3885</v>
      </c>
      <c r="C780" s="182">
        <v>2131</v>
      </c>
      <c r="D780" s="182" t="s">
        <v>119</v>
      </c>
      <c r="E780" s="181" t="s">
        <v>4254</v>
      </c>
      <c r="F780" s="182"/>
      <c r="G780" s="182">
        <v>492.45</v>
      </c>
      <c r="H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2"/>
      <c r="X780" s="182"/>
      <c r="Y780" s="182"/>
      <c r="Z780" s="182"/>
      <c r="AA780" s="182"/>
      <c r="AB780" s="182"/>
      <c r="AC780" s="182"/>
      <c r="AD780" s="182"/>
      <c r="AE780" s="182"/>
      <c r="AF780" s="182"/>
      <c r="AG780" s="182"/>
      <c r="AH780" s="182"/>
      <c r="AI780" s="182"/>
      <c r="AJ780" s="182"/>
      <c r="AK780" s="182"/>
      <c r="AL780" s="182"/>
      <c r="AM780" s="182"/>
      <c r="AN780" s="182"/>
      <c r="AO780" s="182"/>
      <c r="AP780" s="182"/>
      <c r="AQ780" s="185">
        <v>492.45</v>
      </c>
      <c r="AR780" s="182">
        <v>341.93</v>
      </c>
      <c r="AS780" s="182">
        <v>10.87</v>
      </c>
      <c r="AT780" s="182">
        <v>118.65</v>
      </c>
      <c r="AU780" s="182">
        <v>21</v>
      </c>
      <c r="AV780" s="182"/>
      <c r="AW780" s="182"/>
      <c r="AX780" s="182"/>
      <c r="AY780" s="182"/>
      <c r="AZ780" s="182"/>
      <c r="BA780" s="182"/>
      <c r="BB780" s="182"/>
      <c r="BC780" s="182"/>
      <c r="BD780" s="182"/>
      <c r="BE780" s="182"/>
      <c r="BF780" s="182"/>
      <c r="BG780" s="182"/>
      <c r="BH780" s="182"/>
      <c r="BI780" s="182"/>
      <c r="BJ780" s="182"/>
      <c r="BK780" s="182"/>
      <c r="BL780" s="182"/>
      <c r="BM780" s="182"/>
      <c r="BN780" s="182"/>
      <c r="BO780" s="182"/>
      <c r="BP780" s="182"/>
      <c r="BQ780" s="182"/>
      <c r="BR780" s="182"/>
      <c r="BS780" s="182"/>
      <c r="BT780" s="182"/>
      <c r="BU780" s="182"/>
      <c r="BV780" s="182"/>
      <c r="BW780" s="182"/>
      <c r="BX780" s="182"/>
      <c r="BY780" s="182"/>
      <c r="BZ780" s="182"/>
      <c r="CA780" s="182"/>
      <c r="CB780" s="185">
        <v>492.45000000000005</v>
      </c>
      <c r="CC780" s="185">
        <v>0</v>
      </c>
      <c r="CD780" s="185">
        <v>2131</v>
      </c>
      <c r="CE780" s="185"/>
    </row>
    <row r="781" spans="2:83" x14ac:dyDescent="0.3">
      <c r="B781" s="182">
        <v>3280</v>
      </c>
      <c r="C781" s="182">
        <v>2132</v>
      </c>
      <c r="D781" s="182" t="s">
        <v>119</v>
      </c>
      <c r="E781" s="181" t="s">
        <v>4356</v>
      </c>
      <c r="F781" s="182"/>
      <c r="G781" s="182">
        <v>12848.63</v>
      </c>
      <c r="H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2"/>
      <c r="X781" s="182"/>
      <c r="Y781" s="182"/>
      <c r="Z781" s="182"/>
      <c r="AA781" s="182"/>
      <c r="AB781" s="182"/>
      <c r="AC781" s="182"/>
      <c r="AD781" s="182"/>
      <c r="AE781" s="182"/>
      <c r="AF781" s="182"/>
      <c r="AG781" s="182"/>
      <c r="AH781" s="182"/>
      <c r="AI781" s="182"/>
      <c r="AJ781" s="182"/>
      <c r="AK781" s="182"/>
      <c r="AL781" s="182"/>
      <c r="AM781" s="182"/>
      <c r="AN781" s="182"/>
      <c r="AO781" s="182"/>
      <c r="AP781" s="182"/>
      <c r="AQ781" s="185">
        <v>12848.63</v>
      </c>
      <c r="AR781" s="182">
        <v>8976.67</v>
      </c>
      <c r="AS781" s="182">
        <v>2120.33</v>
      </c>
      <c r="AT781" s="182">
        <v>1144.1300000000001</v>
      </c>
      <c r="AU781" s="182">
        <v>607.5</v>
      </c>
      <c r="AV781" s="182"/>
      <c r="AW781" s="182"/>
      <c r="AX781" s="182"/>
      <c r="AY781" s="182"/>
      <c r="AZ781" s="182"/>
      <c r="BA781" s="182"/>
      <c r="BB781" s="182"/>
      <c r="BC781" s="182"/>
      <c r="BD781" s="182"/>
      <c r="BE781" s="182"/>
      <c r="BF781" s="182"/>
      <c r="BG781" s="182"/>
      <c r="BH781" s="182"/>
      <c r="BI781" s="182"/>
      <c r="BJ781" s="182"/>
      <c r="BK781" s="182"/>
      <c r="BL781" s="182"/>
      <c r="BM781" s="182"/>
      <c r="BN781" s="182"/>
      <c r="BO781" s="182"/>
      <c r="BP781" s="182"/>
      <c r="BQ781" s="182"/>
      <c r="BR781" s="182"/>
      <c r="BS781" s="182"/>
      <c r="BT781" s="182"/>
      <c r="BU781" s="182"/>
      <c r="BV781" s="182"/>
      <c r="BW781" s="182"/>
      <c r="BX781" s="182"/>
      <c r="BY781" s="182"/>
      <c r="BZ781" s="182"/>
      <c r="CA781" s="182"/>
      <c r="CB781" s="185">
        <v>12848.630000000001</v>
      </c>
      <c r="CC781" s="185">
        <v>0</v>
      </c>
      <c r="CD781" s="185">
        <v>2132</v>
      </c>
      <c r="CE781" s="185"/>
    </row>
    <row r="782" spans="2:83" x14ac:dyDescent="0.3">
      <c r="B782" s="182">
        <v>3568</v>
      </c>
      <c r="C782" s="182">
        <v>2133</v>
      </c>
      <c r="D782" s="182" t="s">
        <v>119</v>
      </c>
      <c r="E782" s="181" t="s">
        <v>4357</v>
      </c>
      <c r="F782" s="182"/>
      <c r="G782" s="182">
        <v>20000</v>
      </c>
      <c r="H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2"/>
      <c r="X782" s="182"/>
      <c r="Y782" s="182"/>
      <c r="Z782" s="182"/>
      <c r="AA782" s="182"/>
      <c r="AB782" s="182"/>
      <c r="AC782" s="182"/>
      <c r="AD782" s="182"/>
      <c r="AE782" s="182"/>
      <c r="AF782" s="182"/>
      <c r="AG782" s="182"/>
      <c r="AH782" s="182"/>
      <c r="AI782" s="182"/>
      <c r="AJ782" s="182"/>
      <c r="AK782" s="182"/>
      <c r="AL782" s="182"/>
      <c r="AM782" s="182"/>
      <c r="AN782" s="182"/>
      <c r="AO782" s="182"/>
      <c r="AP782" s="182"/>
      <c r="AQ782" s="185">
        <v>20000</v>
      </c>
      <c r="AR782" s="182">
        <v>15072.96</v>
      </c>
      <c r="AS782" s="182">
        <v>3927.04</v>
      </c>
      <c r="AT782" s="182"/>
      <c r="AU782" s="182">
        <v>1000</v>
      </c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/>
      <c r="BF782" s="182"/>
      <c r="BG782" s="182"/>
      <c r="BH782" s="182"/>
      <c r="BI782" s="182"/>
      <c r="BJ782" s="182"/>
      <c r="BK782" s="182"/>
      <c r="BL782" s="182"/>
      <c r="BM782" s="182"/>
      <c r="BN782" s="182"/>
      <c r="BO782" s="182"/>
      <c r="BP782" s="182"/>
      <c r="BQ782" s="182"/>
      <c r="BR782" s="182"/>
      <c r="BS782" s="182"/>
      <c r="BT782" s="182"/>
      <c r="BU782" s="182"/>
      <c r="BV782" s="182"/>
      <c r="BW782" s="182"/>
      <c r="BX782" s="182"/>
      <c r="BY782" s="182"/>
      <c r="BZ782" s="182"/>
      <c r="CA782" s="182"/>
      <c r="CB782" s="185">
        <v>20000</v>
      </c>
      <c r="CC782" s="185">
        <v>0</v>
      </c>
      <c r="CD782" s="185">
        <v>2133</v>
      </c>
      <c r="CE782" s="185"/>
    </row>
    <row r="783" spans="2:83" x14ac:dyDescent="0.3">
      <c r="B783" s="182">
        <v>3567</v>
      </c>
      <c r="C783" s="182">
        <v>2134</v>
      </c>
      <c r="D783" s="182" t="s">
        <v>119</v>
      </c>
      <c r="E783" s="181" t="s">
        <v>4357</v>
      </c>
      <c r="F783" s="182"/>
      <c r="G783" s="182">
        <v>6000</v>
      </c>
      <c r="H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2"/>
      <c r="X783" s="182"/>
      <c r="Y783" s="182"/>
      <c r="Z783" s="182"/>
      <c r="AA783" s="182"/>
      <c r="AB783" s="182"/>
      <c r="AC783" s="182"/>
      <c r="AD783" s="182"/>
      <c r="AE783" s="182"/>
      <c r="AF783" s="182"/>
      <c r="AG783" s="182"/>
      <c r="AH783" s="182"/>
      <c r="AI783" s="182"/>
      <c r="AJ783" s="182"/>
      <c r="AK783" s="182"/>
      <c r="AL783" s="182"/>
      <c r="AM783" s="182"/>
      <c r="AN783" s="182"/>
      <c r="AO783" s="182"/>
      <c r="AP783" s="182"/>
      <c r="AQ783" s="185">
        <v>6000</v>
      </c>
      <c r="AR783" s="182">
        <v>4521.92</v>
      </c>
      <c r="AS783" s="182">
        <v>1178.08</v>
      </c>
      <c r="AT783" s="182"/>
      <c r="AU783" s="182">
        <v>300</v>
      </c>
      <c r="AV783" s="182"/>
      <c r="AW783" s="182"/>
      <c r="AX783" s="182"/>
      <c r="AY783" s="182"/>
      <c r="AZ783" s="182"/>
      <c r="BA783" s="182"/>
      <c r="BB783" s="182"/>
      <c r="BC783" s="182"/>
      <c r="BD783" s="182"/>
      <c r="BE783" s="182"/>
      <c r="BF783" s="182"/>
      <c r="BG783" s="182"/>
      <c r="BH783" s="182"/>
      <c r="BI783" s="182"/>
      <c r="BJ783" s="182"/>
      <c r="BK783" s="182"/>
      <c r="BL783" s="182"/>
      <c r="BM783" s="182"/>
      <c r="BN783" s="182"/>
      <c r="BO783" s="182"/>
      <c r="BP783" s="182"/>
      <c r="BQ783" s="182"/>
      <c r="BR783" s="182"/>
      <c r="BS783" s="182"/>
      <c r="BT783" s="182"/>
      <c r="BU783" s="182"/>
      <c r="BV783" s="182"/>
      <c r="BW783" s="182"/>
      <c r="BX783" s="182"/>
      <c r="BY783" s="182"/>
      <c r="BZ783" s="182"/>
      <c r="CA783" s="182"/>
      <c r="CB783" s="185">
        <v>6000</v>
      </c>
      <c r="CC783" s="185">
        <v>0</v>
      </c>
      <c r="CD783" s="185">
        <v>2134</v>
      </c>
      <c r="CE783" s="185"/>
    </row>
    <row r="784" spans="2:83" x14ac:dyDescent="0.3">
      <c r="B784" s="182">
        <v>3556</v>
      </c>
      <c r="C784" s="182">
        <v>2135</v>
      </c>
      <c r="D784" s="182" t="s">
        <v>119</v>
      </c>
      <c r="E784" s="181" t="s">
        <v>4358</v>
      </c>
      <c r="F784" s="182"/>
      <c r="G784" s="182">
        <v>3360</v>
      </c>
      <c r="H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2"/>
      <c r="X784" s="182"/>
      <c r="Y784" s="182"/>
      <c r="Z784" s="182"/>
      <c r="AA784" s="182"/>
      <c r="AB784" s="182"/>
      <c r="AC784" s="182"/>
      <c r="AD784" s="182"/>
      <c r="AE784" s="182"/>
      <c r="AF784" s="182"/>
      <c r="AG784" s="182"/>
      <c r="AH784" s="182"/>
      <c r="AI784" s="182"/>
      <c r="AJ784" s="182"/>
      <c r="AK784" s="182"/>
      <c r="AL784" s="182"/>
      <c r="AM784" s="182"/>
      <c r="AN784" s="182"/>
      <c r="AO784" s="182"/>
      <c r="AP784" s="182"/>
      <c r="AQ784" s="185">
        <v>3360</v>
      </c>
      <c r="AR784" s="182">
        <v>2534</v>
      </c>
      <c r="AS784" s="182">
        <v>658</v>
      </c>
      <c r="AT784" s="182"/>
      <c r="AU784" s="182">
        <v>168</v>
      </c>
      <c r="AV784" s="182"/>
      <c r="AW784" s="182"/>
      <c r="AX784" s="182"/>
      <c r="AY784" s="182"/>
      <c r="AZ784" s="182"/>
      <c r="BA784" s="182"/>
      <c r="BB784" s="182"/>
      <c r="BC784" s="182"/>
      <c r="BD784" s="182"/>
      <c r="BE784" s="182"/>
      <c r="BF784" s="182"/>
      <c r="BG784" s="182"/>
      <c r="BH784" s="182"/>
      <c r="BI784" s="182"/>
      <c r="BJ784" s="182"/>
      <c r="BK784" s="182"/>
      <c r="BL784" s="182"/>
      <c r="BM784" s="182"/>
      <c r="BN784" s="182"/>
      <c r="BO784" s="182"/>
      <c r="BP784" s="182"/>
      <c r="BQ784" s="182"/>
      <c r="BR784" s="182"/>
      <c r="BS784" s="182"/>
      <c r="BT784" s="182"/>
      <c r="BU784" s="182"/>
      <c r="BV784" s="182"/>
      <c r="BW784" s="182"/>
      <c r="BX784" s="182"/>
      <c r="BY784" s="182"/>
      <c r="BZ784" s="182"/>
      <c r="CA784" s="182"/>
      <c r="CB784" s="185">
        <v>3360</v>
      </c>
      <c r="CC784" s="185">
        <v>0</v>
      </c>
      <c r="CD784" s="185">
        <v>2135</v>
      </c>
      <c r="CE784" s="185"/>
    </row>
    <row r="785" spans="2:83" ht="37.5" x14ac:dyDescent="0.3">
      <c r="B785" s="182">
        <v>1798</v>
      </c>
      <c r="C785" s="182">
        <v>2136</v>
      </c>
      <c r="D785" s="182" t="s">
        <v>119</v>
      </c>
      <c r="E785" s="181" t="s">
        <v>4359</v>
      </c>
      <c r="F785" s="182"/>
      <c r="G785" s="182">
        <v>7350</v>
      </c>
      <c r="H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2"/>
      <c r="X785" s="182"/>
      <c r="Y785" s="182"/>
      <c r="Z785" s="182"/>
      <c r="AA785" s="182"/>
      <c r="AB785" s="182"/>
      <c r="AC785" s="182"/>
      <c r="AD785" s="182"/>
      <c r="AE785" s="182"/>
      <c r="AF785" s="182"/>
      <c r="AG785" s="182"/>
      <c r="AH785" s="182"/>
      <c r="AI785" s="182"/>
      <c r="AJ785" s="182"/>
      <c r="AK785" s="182"/>
      <c r="AL785" s="182"/>
      <c r="AM785" s="182"/>
      <c r="AN785" s="182"/>
      <c r="AO785" s="182"/>
      <c r="AP785" s="182"/>
      <c r="AQ785" s="185">
        <v>7350</v>
      </c>
      <c r="AR785" s="182">
        <v>5542.48</v>
      </c>
      <c r="AS785" s="182">
        <v>1440.02</v>
      </c>
      <c r="AT785" s="182"/>
      <c r="AU785" s="182">
        <v>367.5</v>
      </c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/>
      <c r="BF785" s="182"/>
      <c r="BG785" s="182"/>
      <c r="BH785" s="182"/>
      <c r="BI785" s="182"/>
      <c r="BJ785" s="182"/>
      <c r="BK785" s="182"/>
      <c r="BL785" s="182"/>
      <c r="BM785" s="182"/>
      <c r="BN785" s="182"/>
      <c r="BO785" s="182"/>
      <c r="BP785" s="182"/>
      <c r="BQ785" s="182"/>
      <c r="BR785" s="182"/>
      <c r="BS785" s="182"/>
      <c r="BT785" s="182"/>
      <c r="BU785" s="182"/>
      <c r="BV785" s="182"/>
      <c r="BW785" s="182"/>
      <c r="BX785" s="182"/>
      <c r="BY785" s="182"/>
      <c r="BZ785" s="182"/>
      <c r="CA785" s="182"/>
      <c r="CB785" s="185">
        <v>7350</v>
      </c>
      <c r="CC785" s="185">
        <v>0</v>
      </c>
      <c r="CD785" s="185">
        <v>2136</v>
      </c>
      <c r="CE785" s="185"/>
    </row>
    <row r="786" spans="2:83" x14ac:dyDescent="0.3">
      <c r="B786" s="182">
        <v>1382</v>
      </c>
      <c r="C786" s="182">
        <v>2137</v>
      </c>
      <c r="D786" s="182" t="s">
        <v>119</v>
      </c>
      <c r="E786" s="181" t="s">
        <v>4360</v>
      </c>
      <c r="F786" s="182"/>
      <c r="G786" s="182">
        <v>8830.06</v>
      </c>
      <c r="H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2"/>
      <c r="X786" s="182"/>
      <c r="Y786" s="182"/>
      <c r="Z786" s="182"/>
      <c r="AA786" s="182"/>
      <c r="AB786" s="182"/>
      <c r="AC786" s="182"/>
      <c r="AD786" s="182"/>
      <c r="AE786" s="182"/>
      <c r="AF786" s="182"/>
      <c r="AG786" s="182"/>
      <c r="AH786" s="182"/>
      <c r="AI786" s="182"/>
      <c r="AJ786" s="182"/>
      <c r="AK786" s="182"/>
      <c r="AL786" s="182"/>
      <c r="AM786" s="182"/>
      <c r="AN786" s="182"/>
      <c r="AO786" s="182"/>
      <c r="AP786" s="182"/>
      <c r="AQ786" s="185">
        <v>8830.06</v>
      </c>
      <c r="AR786" s="182">
        <v>5419.4</v>
      </c>
      <c r="AS786" s="182">
        <v>960.65</v>
      </c>
      <c r="AT786" s="182">
        <v>2071.7600000000002</v>
      </c>
      <c r="AU786" s="182">
        <v>378.25</v>
      </c>
      <c r="AV786" s="182"/>
      <c r="AW786" s="182"/>
      <c r="AX786" s="182"/>
      <c r="AY786" s="182"/>
      <c r="AZ786" s="182"/>
      <c r="BA786" s="182"/>
      <c r="BB786" s="182"/>
      <c r="BC786" s="182"/>
      <c r="BD786" s="182"/>
      <c r="BE786" s="182"/>
      <c r="BF786" s="182"/>
      <c r="BG786" s="182"/>
      <c r="BH786" s="182"/>
      <c r="BI786" s="182"/>
      <c r="BJ786" s="182"/>
      <c r="BK786" s="182"/>
      <c r="BL786" s="182"/>
      <c r="BM786" s="182"/>
      <c r="BN786" s="182"/>
      <c r="BO786" s="182"/>
      <c r="BP786" s="182"/>
      <c r="BQ786" s="182"/>
      <c r="BR786" s="182"/>
      <c r="BS786" s="182"/>
      <c r="BT786" s="182"/>
      <c r="BU786" s="182"/>
      <c r="BV786" s="182"/>
      <c r="BW786" s="182"/>
      <c r="BX786" s="182"/>
      <c r="BY786" s="182"/>
      <c r="BZ786" s="182"/>
      <c r="CA786" s="182"/>
      <c r="CB786" s="185">
        <v>8830.06</v>
      </c>
      <c r="CC786" s="185">
        <v>0</v>
      </c>
      <c r="CD786" s="185">
        <v>2137</v>
      </c>
      <c r="CE786" s="185"/>
    </row>
    <row r="787" spans="2:83" x14ac:dyDescent="0.3">
      <c r="B787" s="182">
        <v>2256</v>
      </c>
      <c r="C787" s="182">
        <v>2138</v>
      </c>
      <c r="D787" s="182" t="s">
        <v>119</v>
      </c>
      <c r="E787" s="181" t="s">
        <v>4361</v>
      </c>
      <c r="F787" s="182"/>
      <c r="G787" s="182">
        <v>3900</v>
      </c>
      <c r="H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2"/>
      <c r="X787" s="182"/>
      <c r="Y787" s="182"/>
      <c r="Z787" s="182"/>
      <c r="AA787" s="182"/>
      <c r="AB787" s="182"/>
      <c r="AC787" s="182"/>
      <c r="AD787" s="182"/>
      <c r="AE787" s="182"/>
      <c r="AF787" s="182"/>
      <c r="AG787" s="182"/>
      <c r="AH787" s="182"/>
      <c r="AI787" s="182"/>
      <c r="AJ787" s="182"/>
      <c r="AK787" s="182"/>
      <c r="AL787" s="182"/>
      <c r="AM787" s="182"/>
      <c r="AN787" s="182"/>
      <c r="AO787" s="182"/>
      <c r="AP787" s="182"/>
      <c r="AQ787" s="185">
        <v>3900</v>
      </c>
      <c r="AR787" s="182">
        <v>2949.11</v>
      </c>
      <c r="AS787" s="182">
        <v>755.89</v>
      </c>
      <c r="AT787" s="182"/>
      <c r="AU787" s="182">
        <v>195</v>
      </c>
      <c r="AV787" s="182"/>
      <c r="AW787" s="182"/>
      <c r="AX787" s="182"/>
      <c r="AY787" s="182"/>
      <c r="AZ787" s="182"/>
      <c r="BA787" s="182"/>
      <c r="BB787" s="182"/>
      <c r="BC787" s="182"/>
      <c r="BD787" s="182"/>
      <c r="BE787" s="182"/>
      <c r="BF787" s="182"/>
      <c r="BG787" s="182"/>
      <c r="BH787" s="182"/>
      <c r="BI787" s="182"/>
      <c r="BJ787" s="182"/>
      <c r="BK787" s="182"/>
      <c r="BL787" s="182"/>
      <c r="BM787" s="182"/>
      <c r="BN787" s="182"/>
      <c r="BO787" s="182"/>
      <c r="BP787" s="182"/>
      <c r="BQ787" s="182"/>
      <c r="BR787" s="182"/>
      <c r="BS787" s="182"/>
      <c r="BT787" s="182"/>
      <c r="BU787" s="182"/>
      <c r="BV787" s="182"/>
      <c r="BW787" s="182"/>
      <c r="BX787" s="182"/>
      <c r="BY787" s="182"/>
      <c r="BZ787" s="182"/>
      <c r="CA787" s="182"/>
      <c r="CB787" s="185">
        <v>3900</v>
      </c>
      <c r="CC787" s="185">
        <v>0</v>
      </c>
      <c r="CD787" s="185">
        <v>2138</v>
      </c>
      <c r="CE787" s="185"/>
    </row>
    <row r="788" spans="2:83" x14ac:dyDescent="0.3">
      <c r="B788" s="182">
        <v>2250</v>
      </c>
      <c r="C788" s="182">
        <v>2139</v>
      </c>
      <c r="D788" s="182" t="s">
        <v>119</v>
      </c>
      <c r="E788" s="181" t="s">
        <v>4362</v>
      </c>
      <c r="F788" s="182"/>
      <c r="G788" s="182">
        <v>3360</v>
      </c>
      <c r="H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2"/>
      <c r="X788" s="182"/>
      <c r="Y788" s="182"/>
      <c r="Z788" s="182"/>
      <c r="AA788" s="182"/>
      <c r="AB788" s="182"/>
      <c r="AC788" s="182"/>
      <c r="AD788" s="182"/>
      <c r="AE788" s="182"/>
      <c r="AF788" s="182"/>
      <c r="AG788" s="182"/>
      <c r="AH788" s="182"/>
      <c r="AI788" s="182"/>
      <c r="AJ788" s="182"/>
      <c r="AK788" s="182"/>
      <c r="AL788" s="182"/>
      <c r="AM788" s="182"/>
      <c r="AN788" s="182"/>
      <c r="AO788" s="182"/>
      <c r="AP788" s="182"/>
      <c r="AQ788" s="185">
        <v>3360</v>
      </c>
      <c r="AR788" s="182">
        <v>2534</v>
      </c>
      <c r="AS788" s="182">
        <v>658</v>
      </c>
      <c r="AT788" s="182"/>
      <c r="AU788" s="182">
        <v>168</v>
      </c>
      <c r="AV788" s="182"/>
      <c r="AW788" s="182"/>
      <c r="AX788" s="182"/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/>
      <c r="BI788" s="182"/>
      <c r="BJ788" s="182"/>
      <c r="BK788" s="182"/>
      <c r="BL788" s="182"/>
      <c r="BM788" s="182"/>
      <c r="BN788" s="182"/>
      <c r="BO788" s="182"/>
      <c r="BP788" s="182"/>
      <c r="BQ788" s="182"/>
      <c r="BR788" s="182"/>
      <c r="BS788" s="182"/>
      <c r="BT788" s="182"/>
      <c r="BU788" s="182"/>
      <c r="BV788" s="182"/>
      <c r="BW788" s="182"/>
      <c r="BX788" s="182"/>
      <c r="BY788" s="182"/>
      <c r="BZ788" s="182"/>
      <c r="CA788" s="182"/>
      <c r="CB788" s="185">
        <v>3360</v>
      </c>
      <c r="CC788" s="185">
        <v>0</v>
      </c>
      <c r="CD788" s="185">
        <v>2139</v>
      </c>
      <c r="CE788" s="185"/>
    </row>
    <row r="789" spans="2:83" x14ac:dyDescent="0.3">
      <c r="B789" s="182">
        <v>2255</v>
      </c>
      <c r="C789" s="182">
        <v>2140</v>
      </c>
      <c r="D789" s="182" t="s">
        <v>119</v>
      </c>
      <c r="E789" s="181" t="s">
        <v>4363</v>
      </c>
      <c r="F789" s="182"/>
      <c r="G789" s="182">
        <v>8000</v>
      </c>
      <c r="H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2"/>
      <c r="X789" s="182"/>
      <c r="Y789" s="182"/>
      <c r="Z789" s="182"/>
      <c r="AA789" s="182"/>
      <c r="AB789" s="182"/>
      <c r="AC789" s="182"/>
      <c r="AD789" s="182"/>
      <c r="AE789" s="182"/>
      <c r="AF789" s="182"/>
      <c r="AG789" s="182"/>
      <c r="AH789" s="182"/>
      <c r="AI789" s="182"/>
      <c r="AJ789" s="182"/>
      <c r="AK789" s="182"/>
      <c r="AL789" s="182"/>
      <c r="AM789" s="182"/>
      <c r="AN789" s="182"/>
      <c r="AO789" s="182"/>
      <c r="AP789" s="182"/>
      <c r="AQ789" s="185">
        <v>8000</v>
      </c>
      <c r="AR789" s="182">
        <v>6033.16</v>
      </c>
      <c r="AS789" s="182">
        <v>1566.84</v>
      </c>
      <c r="AT789" s="182"/>
      <c r="AU789" s="182">
        <v>400</v>
      </c>
      <c r="AV789" s="182"/>
      <c r="AW789" s="182"/>
      <c r="AX789" s="182"/>
      <c r="AY789" s="182"/>
      <c r="AZ789" s="182"/>
      <c r="BA789" s="182"/>
      <c r="BB789" s="182"/>
      <c r="BC789" s="182"/>
      <c r="BD789" s="182"/>
      <c r="BE789" s="182"/>
      <c r="BF789" s="182"/>
      <c r="BG789" s="182"/>
      <c r="BH789" s="182"/>
      <c r="BI789" s="182"/>
      <c r="BJ789" s="182"/>
      <c r="BK789" s="182"/>
      <c r="BL789" s="182"/>
      <c r="BM789" s="182"/>
      <c r="BN789" s="182"/>
      <c r="BO789" s="182"/>
      <c r="BP789" s="182"/>
      <c r="BQ789" s="182"/>
      <c r="BR789" s="182"/>
      <c r="BS789" s="182"/>
      <c r="BT789" s="182"/>
      <c r="BU789" s="182"/>
      <c r="BV789" s="182"/>
      <c r="BW789" s="182"/>
      <c r="BX789" s="182"/>
      <c r="BY789" s="182"/>
      <c r="BZ789" s="182"/>
      <c r="CA789" s="182"/>
      <c r="CB789" s="185">
        <v>8000</v>
      </c>
      <c r="CC789" s="185">
        <v>0</v>
      </c>
      <c r="CD789" s="185">
        <v>2140</v>
      </c>
      <c r="CE789" s="185"/>
    </row>
    <row r="790" spans="2:83" x14ac:dyDescent="0.3">
      <c r="B790" s="182">
        <v>4072</v>
      </c>
      <c r="C790" s="182">
        <v>2141</v>
      </c>
      <c r="D790" s="182" t="s">
        <v>119</v>
      </c>
      <c r="E790" s="181" t="s">
        <v>4364</v>
      </c>
      <c r="F790" s="182"/>
      <c r="G790" s="182">
        <v>500</v>
      </c>
      <c r="H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2"/>
      <c r="X790" s="182"/>
      <c r="Y790" s="182"/>
      <c r="Z790" s="182"/>
      <c r="AA790" s="182"/>
      <c r="AB790" s="182"/>
      <c r="AC790" s="182"/>
      <c r="AD790" s="182"/>
      <c r="AE790" s="182"/>
      <c r="AF790" s="182"/>
      <c r="AG790" s="182"/>
      <c r="AH790" s="182"/>
      <c r="AI790" s="182"/>
      <c r="AJ790" s="182"/>
      <c r="AK790" s="182"/>
      <c r="AL790" s="182"/>
      <c r="AM790" s="182"/>
      <c r="AN790" s="182"/>
      <c r="AO790" s="182"/>
      <c r="AP790" s="182"/>
      <c r="AQ790" s="185">
        <v>500</v>
      </c>
      <c r="AR790" s="182">
        <v>447.05</v>
      </c>
      <c r="AS790" s="182">
        <v>52.95</v>
      </c>
      <c r="AT790" s="182"/>
      <c r="AU790" s="182"/>
      <c r="AV790" s="182"/>
      <c r="AW790" s="182"/>
      <c r="AX790" s="182"/>
      <c r="AY790" s="182"/>
      <c r="AZ790" s="182"/>
      <c r="BA790" s="182"/>
      <c r="BB790" s="182"/>
      <c r="BC790" s="182"/>
      <c r="BD790" s="182"/>
      <c r="BE790" s="182"/>
      <c r="BF790" s="182"/>
      <c r="BG790" s="182"/>
      <c r="BH790" s="182"/>
      <c r="BI790" s="182"/>
      <c r="BJ790" s="182"/>
      <c r="BK790" s="182"/>
      <c r="BL790" s="182"/>
      <c r="BM790" s="182"/>
      <c r="BN790" s="182"/>
      <c r="BO790" s="182"/>
      <c r="BP790" s="182"/>
      <c r="BQ790" s="182"/>
      <c r="BR790" s="182"/>
      <c r="BS790" s="182"/>
      <c r="BT790" s="182"/>
      <c r="BU790" s="182"/>
      <c r="BV790" s="182"/>
      <c r="BW790" s="182"/>
      <c r="BX790" s="182"/>
      <c r="BY790" s="182"/>
      <c r="BZ790" s="182"/>
      <c r="CA790" s="182"/>
      <c r="CB790" s="185">
        <v>500</v>
      </c>
      <c r="CC790" s="185">
        <v>0</v>
      </c>
      <c r="CD790" s="185">
        <v>2141</v>
      </c>
      <c r="CE790" s="185"/>
    </row>
    <row r="791" spans="2:83" x14ac:dyDescent="0.3">
      <c r="B791" s="182">
        <v>4073</v>
      </c>
      <c r="C791" s="182">
        <v>2142</v>
      </c>
      <c r="D791" s="182" t="s">
        <v>119</v>
      </c>
      <c r="E791" s="181" t="s">
        <v>4365</v>
      </c>
      <c r="F791" s="182"/>
      <c r="G791" s="182">
        <v>1000</v>
      </c>
      <c r="H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2"/>
      <c r="X791" s="182"/>
      <c r="Y791" s="182"/>
      <c r="Z791" s="182"/>
      <c r="AA791" s="182"/>
      <c r="AB791" s="182"/>
      <c r="AC791" s="182"/>
      <c r="AD791" s="182"/>
      <c r="AE791" s="182"/>
      <c r="AF791" s="182"/>
      <c r="AG791" s="182"/>
      <c r="AH791" s="182"/>
      <c r="AI791" s="182"/>
      <c r="AJ791" s="182"/>
      <c r="AK791" s="182"/>
      <c r="AL791" s="182"/>
      <c r="AM791" s="182"/>
      <c r="AN791" s="182"/>
      <c r="AO791" s="182"/>
      <c r="AP791" s="182"/>
      <c r="AQ791" s="185">
        <v>1000</v>
      </c>
      <c r="AR791" s="182">
        <v>893.35</v>
      </c>
      <c r="AS791" s="182">
        <v>106.65</v>
      </c>
      <c r="AT791" s="182"/>
      <c r="AU791" s="182"/>
      <c r="AV791" s="182"/>
      <c r="AW791" s="182"/>
      <c r="AX791" s="182"/>
      <c r="AY791" s="182"/>
      <c r="AZ791" s="182"/>
      <c r="BA791" s="182"/>
      <c r="BB791" s="182"/>
      <c r="BC791" s="182"/>
      <c r="BD791" s="182"/>
      <c r="BE791" s="182"/>
      <c r="BF791" s="182"/>
      <c r="BG791" s="182"/>
      <c r="BH791" s="182"/>
      <c r="BI791" s="182"/>
      <c r="BJ791" s="182"/>
      <c r="BK791" s="182"/>
      <c r="BL791" s="182"/>
      <c r="BM791" s="182"/>
      <c r="BN791" s="182"/>
      <c r="BO791" s="182"/>
      <c r="BP791" s="182"/>
      <c r="BQ791" s="182"/>
      <c r="BR791" s="182"/>
      <c r="BS791" s="182"/>
      <c r="BT791" s="182"/>
      <c r="BU791" s="182"/>
      <c r="BV791" s="182"/>
      <c r="BW791" s="182"/>
      <c r="BX791" s="182"/>
      <c r="BY791" s="182"/>
      <c r="BZ791" s="182"/>
      <c r="CA791" s="182"/>
      <c r="CB791" s="185">
        <v>1000</v>
      </c>
      <c r="CC791" s="185">
        <v>0</v>
      </c>
      <c r="CD791" s="185">
        <v>2142</v>
      </c>
      <c r="CE791" s="185"/>
    </row>
    <row r="792" spans="2:83" x14ac:dyDescent="0.3">
      <c r="B792" s="182">
        <v>1821</v>
      </c>
      <c r="C792" s="182">
        <v>2143</v>
      </c>
      <c r="D792" s="182" t="s">
        <v>119</v>
      </c>
      <c r="E792" s="181" t="s">
        <v>4366</v>
      </c>
      <c r="F792" s="182"/>
      <c r="G792" s="182">
        <v>586.25</v>
      </c>
      <c r="H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2"/>
      <c r="X792" s="182"/>
      <c r="Y792" s="182"/>
      <c r="Z792" s="182"/>
      <c r="AA792" s="182"/>
      <c r="AB792" s="182"/>
      <c r="AC792" s="182"/>
      <c r="AD792" s="182"/>
      <c r="AE792" s="182"/>
      <c r="AF792" s="182"/>
      <c r="AG792" s="182"/>
      <c r="AH792" s="182"/>
      <c r="AI792" s="182"/>
      <c r="AJ792" s="182"/>
      <c r="AK792" s="182"/>
      <c r="AL792" s="182"/>
      <c r="AM792" s="182"/>
      <c r="AN792" s="182"/>
      <c r="AO792" s="182"/>
      <c r="AP792" s="182"/>
      <c r="AQ792" s="185">
        <v>586.25</v>
      </c>
      <c r="AR792" s="182">
        <v>406.96</v>
      </c>
      <c r="AS792" s="182">
        <v>13.04</v>
      </c>
      <c r="AT792" s="182">
        <v>141.25</v>
      </c>
      <c r="AU792" s="182">
        <v>25</v>
      </c>
      <c r="AV792" s="182"/>
      <c r="AW792" s="182"/>
      <c r="AX792" s="182"/>
      <c r="AY792" s="182"/>
      <c r="AZ792" s="182"/>
      <c r="BA792" s="182"/>
      <c r="BB792" s="182"/>
      <c r="BC792" s="182"/>
      <c r="BD792" s="182"/>
      <c r="BE792" s="182"/>
      <c r="BF792" s="182"/>
      <c r="BG792" s="182"/>
      <c r="BH792" s="182"/>
      <c r="BI792" s="182"/>
      <c r="BJ792" s="182"/>
      <c r="BK792" s="182"/>
      <c r="BL792" s="182"/>
      <c r="BM792" s="182"/>
      <c r="BN792" s="182"/>
      <c r="BO792" s="182"/>
      <c r="BP792" s="182"/>
      <c r="BQ792" s="182"/>
      <c r="BR792" s="182"/>
      <c r="BS792" s="182"/>
      <c r="BT792" s="182"/>
      <c r="BU792" s="182"/>
      <c r="BV792" s="182"/>
      <c r="BW792" s="182"/>
      <c r="BX792" s="182"/>
      <c r="BY792" s="182"/>
      <c r="BZ792" s="182"/>
      <c r="CA792" s="182"/>
      <c r="CB792" s="185">
        <v>586.25</v>
      </c>
      <c r="CC792" s="185">
        <v>0</v>
      </c>
      <c r="CD792" s="185">
        <v>2143</v>
      </c>
      <c r="CE792" s="185"/>
    </row>
    <row r="793" spans="2:83" x14ac:dyDescent="0.3">
      <c r="B793" s="182">
        <v>1820</v>
      </c>
      <c r="C793" s="182">
        <v>2144</v>
      </c>
      <c r="D793" s="182" t="s">
        <v>119</v>
      </c>
      <c r="E793" s="181" t="s">
        <v>4367</v>
      </c>
      <c r="F793" s="182"/>
      <c r="G793" s="182">
        <v>2462.25</v>
      </c>
      <c r="H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2"/>
      <c r="X793" s="182"/>
      <c r="Y793" s="182"/>
      <c r="Z793" s="182"/>
      <c r="AA793" s="182"/>
      <c r="AB793" s="182"/>
      <c r="AC793" s="182"/>
      <c r="AD793" s="182"/>
      <c r="AE793" s="182"/>
      <c r="AF793" s="182"/>
      <c r="AG793" s="182"/>
      <c r="AH793" s="182"/>
      <c r="AI793" s="182"/>
      <c r="AJ793" s="182"/>
      <c r="AK793" s="182"/>
      <c r="AL793" s="182"/>
      <c r="AM793" s="182"/>
      <c r="AN793" s="182"/>
      <c r="AO793" s="182"/>
      <c r="AP793" s="182"/>
      <c r="AQ793" s="185">
        <v>2462.25</v>
      </c>
      <c r="AR793" s="182">
        <v>1662.72</v>
      </c>
      <c r="AS793" s="182">
        <v>56.28</v>
      </c>
      <c r="AT793" s="182">
        <v>593.25</v>
      </c>
      <c r="AU793" s="182">
        <v>150</v>
      </c>
      <c r="AV793" s="182"/>
      <c r="AW793" s="182"/>
      <c r="AX793" s="182"/>
      <c r="AY793" s="182"/>
      <c r="AZ793" s="182"/>
      <c r="BA793" s="182"/>
      <c r="BB793" s="182"/>
      <c r="BC793" s="182"/>
      <c r="BD793" s="182"/>
      <c r="BE793" s="182"/>
      <c r="BF793" s="182"/>
      <c r="BG793" s="182"/>
      <c r="BH793" s="182"/>
      <c r="BI793" s="182"/>
      <c r="BJ793" s="182"/>
      <c r="BK793" s="182"/>
      <c r="BL793" s="182"/>
      <c r="BM793" s="182"/>
      <c r="BN793" s="182"/>
      <c r="BO793" s="182"/>
      <c r="BP793" s="182"/>
      <c r="BQ793" s="182"/>
      <c r="BR793" s="182"/>
      <c r="BS793" s="182"/>
      <c r="BT793" s="182"/>
      <c r="BU793" s="182"/>
      <c r="BV793" s="182"/>
      <c r="BW793" s="182"/>
      <c r="BX793" s="182"/>
      <c r="BY793" s="182"/>
      <c r="BZ793" s="182"/>
      <c r="CA793" s="182"/>
      <c r="CB793" s="185">
        <v>2462.25</v>
      </c>
      <c r="CC793" s="185">
        <v>0</v>
      </c>
      <c r="CD793" s="185">
        <v>2144</v>
      </c>
      <c r="CE793" s="185"/>
    </row>
    <row r="794" spans="2:83" x14ac:dyDescent="0.3">
      <c r="B794" s="182">
        <v>1819</v>
      </c>
      <c r="C794" s="182">
        <v>2145</v>
      </c>
      <c r="D794" s="182" t="s">
        <v>119</v>
      </c>
      <c r="E794" s="181" t="s">
        <v>4368</v>
      </c>
      <c r="F794" s="182"/>
      <c r="G794" s="182">
        <v>351.75</v>
      </c>
      <c r="H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2"/>
      <c r="X794" s="182"/>
      <c r="Y794" s="182"/>
      <c r="Z794" s="182"/>
      <c r="AA794" s="182"/>
      <c r="AB794" s="182"/>
      <c r="AC794" s="182"/>
      <c r="AD794" s="182"/>
      <c r="AE794" s="182"/>
      <c r="AF794" s="182"/>
      <c r="AG794" s="182"/>
      <c r="AH794" s="182"/>
      <c r="AI794" s="182"/>
      <c r="AJ794" s="182"/>
      <c r="AK794" s="182"/>
      <c r="AL794" s="182"/>
      <c r="AM794" s="182"/>
      <c r="AN794" s="182"/>
      <c r="AO794" s="182"/>
      <c r="AP794" s="182"/>
      <c r="AQ794" s="185">
        <v>351.75</v>
      </c>
      <c r="AR794" s="182">
        <v>212.97</v>
      </c>
      <c r="AS794" s="182">
        <v>39.03</v>
      </c>
      <c r="AT794" s="182">
        <v>84.75</v>
      </c>
      <c r="AU794" s="182">
        <v>15</v>
      </c>
      <c r="AV794" s="182"/>
      <c r="AW794" s="182"/>
      <c r="AX794" s="182"/>
      <c r="AY794" s="182"/>
      <c r="AZ794" s="182"/>
      <c r="BA794" s="182"/>
      <c r="BB794" s="182"/>
      <c r="BC794" s="182"/>
      <c r="BD794" s="182"/>
      <c r="BE794" s="182"/>
      <c r="BF794" s="182"/>
      <c r="BG794" s="182"/>
      <c r="BH794" s="182"/>
      <c r="BI794" s="182"/>
      <c r="BJ794" s="182"/>
      <c r="BK794" s="182"/>
      <c r="BL794" s="182"/>
      <c r="BM794" s="182"/>
      <c r="BN794" s="182"/>
      <c r="BO794" s="182"/>
      <c r="BP794" s="182"/>
      <c r="BQ794" s="182"/>
      <c r="BR794" s="182"/>
      <c r="BS794" s="182"/>
      <c r="BT794" s="182"/>
      <c r="BU794" s="182"/>
      <c r="BV794" s="182"/>
      <c r="BW794" s="182"/>
      <c r="BX794" s="182"/>
      <c r="BY794" s="182"/>
      <c r="BZ794" s="182"/>
      <c r="CA794" s="182"/>
      <c r="CB794" s="185">
        <v>351.75</v>
      </c>
      <c r="CC794" s="185">
        <v>0</v>
      </c>
      <c r="CD794" s="185">
        <v>2145</v>
      </c>
      <c r="CE794" s="185"/>
    </row>
    <row r="795" spans="2:83" x14ac:dyDescent="0.3">
      <c r="B795" s="182">
        <v>1380</v>
      </c>
      <c r="C795" s="182">
        <v>2146</v>
      </c>
      <c r="D795" s="182" t="s">
        <v>119</v>
      </c>
      <c r="E795" s="181" t="s">
        <v>4360</v>
      </c>
      <c r="F795" s="182"/>
      <c r="G795" s="182">
        <v>510.04</v>
      </c>
      <c r="H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2"/>
      <c r="X795" s="182"/>
      <c r="Y795" s="182"/>
      <c r="Z795" s="182"/>
      <c r="AA795" s="182"/>
      <c r="AB795" s="182"/>
      <c r="AC795" s="182"/>
      <c r="AD795" s="182"/>
      <c r="AE795" s="182"/>
      <c r="AF795" s="182"/>
      <c r="AG795" s="182"/>
      <c r="AH795" s="182"/>
      <c r="AI795" s="182"/>
      <c r="AJ795" s="182"/>
      <c r="AK795" s="182"/>
      <c r="AL795" s="182"/>
      <c r="AM795" s="182"/>
      <c r="AN795" s="182"/>
      <c r="AO795" s="182"/>
      <c r="AP795" s="182"/>
      <c r="AQ795" s="185">
        <v>510.04</v>
      </c>
      <c r="AR795" s="182">
        <v>354.12</v>
      </c>
      <c r="AS795" s="182">
        <v>11.28</v>
      </c>
      <c r="AT795" s="182">
        <v>122.89</v>
      </c>
      <c r="AU795" s="182">
        <v>21.75</v>
      </c>
      <c r="AV795" s="182"/>
      <c r="AW795" s="182"/>
      <c r="AX795" s="182"/>
      <c r="AY795" s="182"/>
      <c r="AZ795" s="182"/>
      <c r="BA795" s="182"/>
      <c r="BB795" s="182"/>
      <c r="BC795" s="182"/>
      <c r="BD795" s="182"/>
      <c r="BE795" s="182"/>
      <c r="BF795" s="182"/>
      <c r="BG795" s="182"/>
      <c r="BH795" s="182"/>
      <c r="BI795" s="182"/>
      <c r="BJ795" s="182"/>
      <c r="BK795" s="182"/>
      <c r="BL795" s="182"/>
      <c r="BM795" s="182"/>
      <c r="BN795" s="182"/>
      <c r="BO795" s="182"/>
      <c r="BP795" s="182"/>
      <c r="BQ795" s="182"/>
      <c r="BR795" s="182"/>
      <c r="BS795" s="182"/>
      <c r="BT795" s="182"/>
      <c r="BU795" s="182"/>
      <c r="BV795" s="182"/>
      <c r="BW795" s="182"/>
      <c r="BX795" s="182"/>
      <c r="BY795" s="182"/>
      <c r="BZ795" s="182"/>
      <c r="CA795" s="182"/>
      <c r="CB795" s="185">
        <v>510.03999999999996</v>
      </c>
      <c r="CC795" s="185">
        <v>0</v>
      </c>
      <c r="CD795" s="185">
        <v>2146</v>
      </c>
      <c r="CE795" s="185"/>
    </row>
    <row r="796" spans="2:83" x14ac:dyDescent="0.3">
      <c r="B796" s="182">
        <v>1381</v>
      </c>
      <c r="C796" s="182">
        <v>2147</v>
      </c>
      <c r="D796" s="182" t="s">
        <v>119</v>
      </c>
      <c r="E796" s="181" t="s">
        <v>4360</v>
      </c>
      <c r="F796" s="182"/>
      <c r="G796" s="182">
        <v>2928.82</v>
      </c>
      <c r="H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2"/>
      <c r="X796" s="182"/>
      <c r="Y796" s="182"/>
      <c r="Z796" s="182"/>
      <c r="AA796" s="182"/>
      <c r="AB796" s="182"/>
      <c r="AC796" s="182"/>
      <c r="AD796" s="182"/>
      <c r="AE796" s="182"/>
      <c r="AF796" s="182"/>
      <c r="AG796" s="182"/>
      <c r="AH796" s="182"/>
      <c r="AI796" s="182"/>
      <c r="AJ796" s="182"/>
      <c r="AK796" s="182"/>
      <c r="AL796" s="182"/>
      <c r="AM796" s="182"/>
      <c r="AN796" s="182"/>
      <c r="AO796" s="182"/>
      <c r="AP796" s="182"/>
      <c r="AQ796" s="185">
        <v>2928.82</v>
      </c>
      <c r="AR796" s="182">
        <v>1981.71</v>
      </c>
      <c r="AS796" s="182">
        <v>103.96</v>
      </c>
      <c r="AT796" s="182">
        <v>718.65</v>
      </c>
      <c r="AU796" s="182">
        <v>124.5</v>
      </c>
      <c r="AV796" s="182"/>
      <c r="AW796" s="182"/>
      <c r="AX796" s="182"/>
      <c r="AY796" s="182"/>
      <c r="AZ796" s="182"/>
      <c r="BA796" s="182"/>
      <c r="BB796" s="182"/>
      <c r="BC796" s="182"/>
      <c r="BD796" s="182"/>
      <c r="BE796" s="182"/>
      <c r="BF796" s="182"/>
      <c r="BG796" s="182"/>
      <c r="BH796" s="182"/>
      <c r="BI796" s="182"/>
      <c r="BJ796" s="182"/>
      <c r="BK796" s="182"/>
      <c r="BL796" s="182"/>
      <c r="BM796" s="182"/>
      <c r="BN796" s="182"/>
      <c r="BO796" s="182"/>
      <c r="BP796" s="182"/>
      <c r="BQ796" s="182"/>
      <c r="BR796" s="182"/>
      <c r="BS796" s="182"/>
      <c r="BT796" s="182"/>
      <c r="BU796" s="182"/>
      <c r="BV796" s="182"/>
      <c r="BW796" s="182"/>
      <c r="BX796" s="182"/>
      <c r="BY796" s="182"/>
      <c r="BZ796" s="182"/>
      <c r="CA796" s="182"/>
      <c r="CB796" s="185">
        <v>2928.82</v>
      </c>
      <c r="CC796" s="185">
        <v>0</v>
      </c>
      <c r="CD796" s="185">
        <v>2147</v>
      </c>
      <c r="CE796" s="185"/>
    </row>
    <row r="797" spans="2:83" x14ac:dyDescent="0.3">
      <c r="B797" s="182">
        <v>1805</v>
      </c>
      <c r="C797" s="182">
        <v>2148</v>
      </c>
      <c r="D797" s="182" t="s">
        <v>119</v>
      </c>
      <c r="E797" s="181" t="s">
        <v>4360</v>
      </c>
      <c r="F797" s="182"/>
      <c r="G797" s="182">
        <v>293.12</v>
      </c>
      <c r="H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2"/>
      <c r="X797" s="182"/>
      <c r="Y797" s="182"/>
      <c r="Z797" s="182"/>
      <c r="AA797" s="182"/>
      <c r="AB797" s="182"/>
      <c r="AC797" s="182"/>
      <c r="AD797" s="182"/>
      <c r="AE797" s="182"/>
      <c r="AF797" s="182"/>
      <c r="AG797" s="182"/>
      <c r="AH797" s="182"/>
      <c r="AI797" s="182"/>
      <c r="AJ797" s="182"/>
      <c r="AK797" s="182"/>
      <c r="AL797" s="182"/>
      <c r="AM797" s="182"/>
      <c r="AN797" s="182"/>
      <c r="AO797" s="182"/>
      <c r="AP797" s="182"/>
      <c r="AQ797" s="185">
        <v>293.12</v>
      </c>
      <c r="AR797" s="182">
        <v>188.06</v>
      </c>
      <c r="AS797" s="182">
        <v>21.94</v>
      </c>
      <c r="AT797" s="182">
        <v>70.62</v>
      </c>
      <c r="AU797" s="182">
        <v>12.5</v>
      </c>
      <c r="AV797" s="182"/>
      <c r="AW797" s="182"/>
      <c r="AX797" s="182"/>
      <c r="AY797" s="182"/>
      <c r="AZ797" s="182"/>
      <c r="BA797" s="182"/>
      <c r="BB797" s="182"/>
      <c r="BC797" s="182"/>
      <c r="BD797" s="182"/>
      <c r="BE797" s="182"/>
      <c r="BF797" s="182"/>
      <c r="BG797" s="182"/>
      <c r="BH797" s="182"/>
      <c r="BI797" s="182"/>
      <c r="BJ797" s="182"/>
      <c r="BK797" s="182"/>
      <c r="BL797" s="182"/>
      <c r="BM797" s="182"/>
      <c r="BN797" s="182"/>
      <c r="BO797" s="182"/>
      <c r="BP797" s="182"/>
      <c r="BQ797" s="182"/>
      <c r="BR797" s="182"/>
      <c r="BS797" s="182"/>
      <c r="BT797" s="182"/>
      <c r="BU797" s="182"/>
      <c r="BV797" s="182"/>
      <c r="BW797" s="182"/>
      <c r="BX797" s="182"/>
      <c r="BY797" s="182"/>
      <c r="BZ797" s="182"/>
      <c r="CA797" s="182"/>
      <c r="CB797" s="185">
        <v>293.12</v>
      </c>
      <c r="CC797" s="185">
        <v>0</v>
      </c>
      <c r="CD797" s="185">
        <v>2148</v>
      </c>
      <c r="CE797" s="185"/>
    </row>
    <row r="798" spans="2:83" x14ac:dyDescent="0.3">
      <c r="B798" s="182">
        <v>1383</v>
      </c>
      <c r="C798" s="182">
        <v>2149</v>
      </c>
      <c r="D798" s="182" t="s">
        <v>119</v>
      </c>
      <c r="E798" s="181" t="s">
        <v>4360</v>
      </c>
      <c r="F798" s="182"/>
      <c r="G798" s="182">
        <v>2637.91</v>
      </c>
      <c r="H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2"/>
      <c r="X798" s="182"/>
      <c r="Y798" s="182"/>
      <c r="Z798" s="182"/>
      <c r="AA798" s="182"/>
      <c r="AB798" s="182"/>
      <c r="AC798" s="182"/>
      <c r="AD798" s="182"/>
      <c r="AE798" s="182"/>
      <c r="AF798" s="182"/>
      <c r="AG798" s="182"/>
      <c r="AH798" s="182"/>
      <c r="AI798" s="182"/>
      <c r="AJ798" s="182"/>
      <c r="AK798" s="182"/>
      <c r="AL798" s="182"/>
      <c r="AM798" s="182"/>
      <c r="AN798" s="182"/>
      <c r="AO798" s="182"/>
      <c r="AP798" s="182"/>
      <c r="AQ798" s="185">
        <v>2637.91</v>
      </c>
      <c r="AR798" s="182">
        <v>1985.89</v>
      </c>
      <c r="AS798" s="182">
        <v>63.02</v>
      </c>
      <c r="AT798" s="182">
        <v>471.5</v>
      </c>
      <c r="AU798" s="182">
        <v>117.5</v>
      </c>
      <c r="AV798" s="182"/>
      <c r="AW798" s="182"/>
      <c r="AX798" s="182"/>
      <c r="AY798" s="182"/>
      <c r="AZ798" s="182"/>
      <c r="BA798" s="182"/>
      <c r="BB798" s="182"/>
      <c r="BC798" s="182"/>
      <c r="BD798" s="182"/>
      <c r="BE798" s="182"/>
      <c r="BF798" s="182"/>
      <c r="BG798" s="182"/>
      <c r="BH798" s="182"/>
      <c r="BI798" s="182"/>
      <c r="BJ798" s="182"/>
      <c r="BK798" s="182"/>
      <c r="BL798" s="182"/>
      <c r="BM798" s="182"/>
      <c r="BN798" s="182"/>
      <c r="BO798" s="182"/>
      <c r="BP798" s="182"/>
      <c r="BQ798" s="182"/>
      <c r="BR798" s="182"/>
      <c r="BS798" s="182"/>
      <c r="BT798" s="182"/>
      <c r="BU798" s="182"/>
      <c r="BV798" s="182"/>
      <c r="BW798" s="182"/>
      <c r="BX798" s="182"/>
      <c r="BY798" s="182"/>
      <c r="BZ798" s="182"/>
      <c r="CA798" s="182"/>
      <c r="CB798" s="185">
        <v>2637.9100000000003</v>
      </c>
      <c r="CC798" s="185">
        <v>0</v>
      </c>
      <c r="CD798" s="185">
        <v>2149</v>
      </c>
      <c r="CE798" s="185"/>
    </row>
    <row r="799" spans="2:83" x14ac:dyDescent="0.3">
      <c r="B799" s="182">
        <v>4003</v>
      </c>
      <c r="C799" s="182">
        <v>2150</v>
      </c>
      <c r="D799" s="182" t="s">
        <v>132</v>
      </c>
      <c r="E799" s="181" t="s">
        <v>4369</v>
      </c>
      <c r="F799" s="182"/>
      <c r="G799" s="182">
        <v>36042.18</v>
      </c>
      <c r="H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2"/>
      <c r="X799" s="182"/>
      <c r="Y799" s="182"/>
      <c r="Z799" s="182"/>
      <c r="AA799" s="182"/>
      <c r="AB799" s="182"/>
      <c r="AC799" s="182"/>
      <c r="AD799" s="182"/>
      <c r="AE799" s="182"/>
      <c r="AF799" s="182"/>
      <c r="AG799" s="182"/>
      <c r="AH799" s="182"/>
      <c r="AI799" s="182"/>
      <c r="AJ799" s="182"/>
      <c r="AK799" s="182"/>
      <c r="AL799" s="182"/>
      <c r="AM799" s="182"/>
      <c r="AN799" s="182"/>
      <c r="AO799" s="182"/>
      <c r="AP799" s="182"/>
      <c r="AQ799" s="185">
        <v>36042.18</v>
      </c>
      <c r="AR799" s="182">
        <v>28707.54</v>
      </c>
      <c r="AS799" s="182">
        <v>7334.64</v>
      </c>
      <c r="AT799" s="182"/>
      <c r="AU799" s="182"/>
      <c r="AV799" s="182"/>
      <c r="AW799" s="182"/>
      <c r="AX799" s="182"/>
      <c r="AY799" s="182"/>
      <c r="AZ799" s="182"/>
      <c r="BA799" s="182"/>
      <c r="BB799" s="182"/>
      <c r="BC799" s="182"/>
      <c r="BD799" s="182"/>
      <c r="BE799" s="182"/>
      <c r="BF799" s="182"/>
      <c r="BG799" s="182"/>
      <c r="BH799" s="182"/>
      <c r="BI799" s="182"/>
      <c r="BJ799" s="182"/>
      <c r="BK799" s="182"/>
      <c r="BL799" s="182"/>
      <c r="BM799" s="182"/>
      <c r="BN799" s="182"/>
      <c r="BO799" s="182"/>
      <c r="BP799" s="182"/>
      <c r="BQ799" s="182"/>
      <c r="BR799" s="182"/>
      <c r="BS799" s="182"/>
      <c r="BT799" s="182"/>
      <c r="BU799" s="182"/>
      <c r="BV799" s="182"/>
      <c r="BW799" s="182"/>
      <c r="BX799" s="182"/>
      <c r="BY799" s="182"/>
      <c r="BZ799" s="182"/>
      <c r="CA799" s="182"/>
      <c r="CB799" s="185">
        <v>36042.18</v>
      </c>
      <c r="CC799" s="185">
        <v>0</v>
      </c>
      <c r="CD799" s="185">
        <v>2150</v>
      </c>
      <c r="CE799" s="185"/>
    </row>
    <row r="800" spans="2:83" x14ac:dyDescent="0.3">
      <c r="B800" s="182">
        <v>3998</v>
      </c>
      <c r="C800" s="182">
        <v>2151</v>
      </c>
      <c r="D800" s="182" t="s">
        <v>730</v>
      </c>
      <c r="E800" s="181" t="s">
        <v>4370</v>
      </c>
      <c r="F800" s="182"/>
      <c r="G800" s="182">
        <v>11249.1</v>
      </c>
      <c r="H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2"/>
      <c r="X800" s="182"/>
      <c r="Y800" s="182"/>
      <c r="Z800" s="182"/>
      <c r="AA800" s="182"/>
      <c r="AB800" s="182"/>
      <c r="AC800" s="182"/>
      <c r="AD800" s="182"/>
      <c r="AE800" s="182"/>
      <c r="AF800" s="182"/>
      <c r="AG800" s="182"/>
      <c r="AH800" s="182"/>
      <c r="AI800" s="182"/>
      <c r="AJ800" s="182"/>
      <c r="AK800" s="182"/>
      <c r="AL800" s="182"/>
      <c r="AM800" s="182"/>
      <c r="AN800" s="182"/>
      <c r="AO800" s="182"/>
      <c r="AP800" s="182"/>
      <c r="AQ800" s="185">
        <v>11249.1</v>
      </c>
      <c r="AR800" s="182">
        <v>10040.84</v>
      </c>
      <c r="AS800" s="182">
        <v>1208.26</v>
      </c>
      <c r="AT800" s="182"/>
      <c r="AU800" s="182"/>
      <c r="AV800" s="182"/>
      <c r="AW800" s="182"/>
      <c r="AX800" s="182"/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/>
      <c r="BI800" s="182"/>
      <c r="BJ800" s="182"/>
      <c r="BK800" s="182"/>
      <c r="BL800" s="182"/>
      <c r="BM800" s="182"/>
      <c r="BN800" s="182"/>
      <c r="BO800" s="182"/>
      <c r="BP800" s="182"/>
      <c r="BQ800" s="182"/>
      <c r="BR800" s="182"/>
      <c r="BS800" s="182"/>
      <c r="BT800" s="182"/>
      <c r="BU800" s="182"/>
      <c r="BV800" s="182"/>
      <c r="BW800" s="182"/>
      <c r="BX800" s="182"/>
      <c r="BY800" s="182"/>
      <c r="BZ800" s="182"/>
      <c r="CA800" s="182"/>
      <c r="CB800" s="185">
        <v>11249.1</v>
      </c>
      <c r="CC800" s="185">
        <v>0</v>
      </c>
      <c r="CD800" s="185">
        <v>2151</v>
      </c>
      <c r="CE800" s="185"/>
    </row>
    <row r="801" spans="2:83" x14ac:dyDescent="0.3">
      <c r="B801" s="182">
        <v>2871</v>
      </c>
      <c r="C801" s="182">
        <v>2152</v>
      </c>
      <c r="D801" s="182" t="s">
        <v>123</v>
      </c>
      <c r="E801" s="181" t="s">
        <v>4371</v>
      </c>
      <c r="F801" s="182"/>
      <c r="G801" s="182">
        <v>469</v>
      </c>
      <c r="H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2"/>
      <c r="X801" s="182"/>
      <c r="Y801" s="182"/>
      <c r="Z801" s="182"/>
      <c r="AA801" s="182"/>
      <c r="AB801" s="182"/>
      <c r="AC801" s="182"/>
      <c r="AD801" s="182"/>
      <c r="AE801" s="182"/>
      <c r="AF801" s="182"/>
      <c r="AG801" s="182"/>
      <c r="AH801" s="182"/>
      <c r="AI801" s="182"/>
      <c r="AJ801" s="182"/>
      <c r="AK801" s="182"/>
      <c r="AL801" s="182"/>
      <c r="AM801" s="182"/>
      <c r="AN801" s="182"/>
      <c r="AO801" s="182"/>
      <c r="AP801" s="182"/>
      <c r="AQ801" s="185">
        <v>469</v>
      </c>
      <c r="AR801" s="182">
        <v>313.7</v>
      </c>
      <c r="AS801" s="182">
        <v>42.3</v>
      </c>
      <c r="AT801" s="182">
        <v>113</v>
      </c>
      <c r="AU801" s="182"/>
      <c r="AV801" s="182"/>
      <c r="AW801" s="182"/>
      <c r="AX801" s="182"/>
      <c r="AY801" s="182"/>
      <c r="AZ801" s="182"/>
      <c r="BA801" s="182"/>
      <c r="BB801" s="182"/>
      <c r="BC801" s="182"/>
      <c r="BD801" s="182"/>
      <c r="BE801" s="182"/>
      <c r="BF801" s="182"/>
      <c r="BG801" s="182"/>
      <c r="BH801" s="182"/>
      <c r="BI801" s="182"/>
      <c r="BJ801" s="182"/>
      <c r="BK801" s="182"/>
      <c r="BL801" s="182"/>
      <c r="BM801" s="182"/>
      <c r="BN801" s="182"/>
      <c r="BO801" s="182"/>
      <c r="BP801" s="182"/>
      <c r="BQ801" s="182"/>
      <c r="BR801" s="182"/>
      <c r="BS801" s="182"/>
      <c r="BT801" s="182"/>
      <c r="BU801" s="182"/>
      <c r="BV801" s="182"/>
      <c r="BW801" s="182"/>
      <c r="BX801" s="182"/>
      <c r="BY801" s="182"/>
      <c r="BZ801" s="182"/>
      <c r="CA801" s="182"/>
      <c r="CB801" s="185">
        <v>469</v>
      </c>
      <c r="CC801" s="185">
        <v>0</v>
      </c>
      <c r="CD801" s="185">
        <v>2152</v>
      </c>
      <c r="CE801" s="185"/>
    </row>
    <row r="802" spans="2:83" x14ac:dyDescent="0.3">
      <c r="B802" s="182">
        <v>2880</v>
      </c>
      <c r="C802" s="182">
        <v>2153</v>
      </c>
      <c r="D802" s="182" t="s">
        <v>123</v>
      </c>
      <c r="E802" s="181" t="s">
        <v>4371</v>
      </c>
      <c r="F802" s="182"/>
      <c r="G802" s="182">
        <v>469</v>
      </c>
      <c r="H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2"/>
      <c r="X802" s="182"/>
      <c r="Y802" s="182"/>
      <c r="Z802" s="182"/>
      <c r="AA802" s="182"/>
      <c r="AB802" s="182"/>
      <c r="AC802" s="182"/>
      <c r="AD802" s="182"/>
      <c r="AE802" s="182"/>
      <c r="AF802" s="182"/>
      <c r="AG802" s="182"/>
      <c r="AH802" s="182"/>
      <c r="AI802" s="182"/>
      <c r="AJ802" s="182"/>
      <c r="AK802" s="182"/>
      <c r="AL802" s="182"/>
      <c r="AM802" s="182"/>
      <c r="AN802" s="182"/>
      <c r="AO802" s="182"/>
      <c r="AP802" s="182"/>
      <c r="AQ802" s="185">
        <v>469</v>
      </c>
      <c r="AR802" s="182">
        <v>313.7</v>
      </c>
      <c r="AS802" s="182">
        <v>42.3</v>
      </c>
      <c r="AT802" s="182">
        <v>113</v>
      </c>
      <c r="AU802" s="182"/>
      <c r="AV802" s="182"/>
      <c r="AW802" s="182"/>
      <c r="AX802" s="182"/>
      <c r="AY802" s="182"/>
      <c r="AZ802" s="182"/>
      <c r="BA802" s="182"/>
      <c r="BB802" s="182"/>
      <c r="BC802" s="182"/>
      <c r="BD802" s="182"/>
      <c r="BE802" s="182"/>
      <c r="BF802" s="182"/>
      <c r="BG802" s="182"/>
      <c r="BH802" s="182"/>
      <c r="BI802" s="182"/>
      <c r="BJ802" s="182"/>
      <c r="BK802" s="182"/>
      <c r="BL802" s="182"/>
      <c r="BM802" s="182"/>
      <c r="BN802" s="182"/>
      <c r="BO802" s="182"/>
      <c r="BP802" s="182"/>
      <c r="BQ802" s="182"/>
      <c r="BR802" s="182"/>
      <c r="BS802" s="182"/>
      <c r="BT802" s="182"/>
      <c r="BU802" s="182"/>
      <c r="BV802" s="182"/>
      <c r="BW802" s="182"/>
      <c r="BX802" s="182"/>
      <c r="BY802" s="182"/>
      <c r="BZ802" s="182"/>
      <c r="CA802" s="182"/>
      <c r="CB802" s="185">
        <v>469</v>
      </c>
      <c r="CC802" s="185">
        <v>0</v>
      </c>
      <c r="CD802" s="185">
        <v>2153</v>
      </c>
      <c r="CE802" s="185"/>
    </row>
    <row r="803" spans="2:83" x14ac:dyDescent="0.3">
      <c r="B803" s="182">
        <v>2752</v>
      </c>
      <c r="C803" s="182">
        <v>2154</v>
      </c>
      <c r="D803" s="182" t="s">
        <v>123</v>
      </c>
      <c r="E803" s="181" t="s">
        <v>4371</v>
      </c>
      <c r="F803" s="182"/>
      <c r="G803" s="182">
        <v>469</v>
      </c>
      <c r="H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2"/>
      <c r="X803" s="182"/>
      <c r="Y803" s="182"/>
      <c r="Z803" s="182"/>
      <c r="AA803" s="182"/>
      <c r="AB803" s="182"/>
      <c r="AC803" s="182"/>
      <c r="AD803" s="182"/>
      <c r="AE803" s="182"/>
      <c r="AF803" s="182"/>
      <c r="AG803" s="182"/>
      <c r="AH803" s="182"/>
      <c r="AI803" s="182"/>
      <c r="AJ803" s="182"/>
      <c r="AK803" s="182"/>
      <c r="AL803" s="182"/>
      <c r="AM803" s="182"/>
      <c r="AN803" s="182"/>
      <c r="AO803" s="182"/>
      <c r="AP803" s="182"/>
      <c r="AQ803" s="185">
        <v>469</v>
      </c>
      <c r="AR803" s="182">
        <v>313.7</v>
      </c>
      <c r="AS803" s="182">
        <v>42.3</v>
      </c>
      <c r="AT803" s="182">
        <v>113</v>
      </c>
      <c r="AU803" s="182"/>
      <c r="AV803" s="182"/>
      <c r="AW803" s="182"/>
      <c r="AX803" s="182"/>
      <c r="AY803" s="182"/>
      <c r="AZ803" s="182"/>
      <c r="BA803" s="182"/>
      <c r="BB803" s="182"/>
      <c r="BC803" s="182"/>
      <c r="BD803" s="182"/>
      <c r="BE803" s="182"/>
      <c r="BF803" s="182"/>
      <c r="BG803" s="182"/>
      <c r="BH803" s="182"/>
      <c r="BI803" s="182"/>
      <c r="BJ803" s="182"/>
      <c r="BK803" s="182"/>
      <c r="BL803" s="182"/>
      <c r="BM803" s="182"/>
      <c r="BN803" s="182"/>
      <c r="BO803" s="182"/>
      <c r="BP803" s="182"/>
      <c r="BQ803" s="182"/>
      <c r="BR803" s="182"/>
      <c r="BS803" s="182"/>
      <c r="BT803" s="182"/>
      <c r="BU803" s="182"/>
      <c r="BV803" s="182"/>
      <c r="BW803" s="182"/>
      <c r="BX803" s="182"/>
      <c r="BY803" s="182"/>
      <c r="BZ803" s="182"/>
      <c r="CA803" s="182"/>
      <c r="CB803" s="185">
        <v>469</v>
      </c>
      <c r="CC803" s="185">
        <v>0</v>
      </c>
      <c r="CD803" s="185">
        <v>2154</v>
      </c>
      <c r="CE803" s="185"/>
    </row>
    <row r="804" spans="2:83" x14ac:dyDescent="0.3">
      <c r="B804" s="182">
        <v>2873</v>
      </c>
      <c r="C804" s="182">
        <v>2155</v>
      </c>
      <c r="D804" s="182" t="s">
        <v>123</v>
      </c>
      <c r="E804" s="181" t="s">
        <v>4371</v>
      </c>
      <c r="F804" s="182"/>
      <c r="G804" s="182">
        <v>469</v>
      </c>
      <c r="H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2"/>
      <c r="X804" s="182"/>
      <c r="Y804" s="182"/>
      <c r="Z804" s="182"/>
      <c r="AA804" s="182"/>
      <c r="AB804" s="182"/>
      <c r="AC804" s="182"/>
      <c r="AD804" s="182"/>
      <c r="AE804" s="182"/>
      <c r="AF804" s="182"/>
      <c r="AG804" s="182"/>
      <c r="AH804" s="182"/>
      <c r="AI804" s="182"/>
      <c r="AJ804" s="182"/>
      <c r="AK804" s="182"/>
      <c r="AL804" s="182"/>
      <c r="AM804" s="182"/>
      <c r="AN804" s="182"/>
      <c r="AO804" s="182"/>
      <c r="AP804" s="182"/>
      <c r="AQ804" s="185">
        <v>469</v>
      </c>
      <c r="AR804" s="182">
        <v>313.7</v>
      </c>
      <c r="AS804" s="182">
        <v>42.3</v>
      </c>
      <c r="AT804" s="182">
        <v>113</v>
      </c>
      <c r="AU804" s="182"/>
      <c r="AV804" s="182"/>
      <c r="AW804" s="182"/>
      <c r="AX804" s="182"/>
      <c r="AY804" s="182"/>
      <c r="AZ804" s="182"/>
      <c r="BA804" s="182"/>
      <c r="BB804" s="182"/>
      <c r="BC804" s="182"/>
      <c r="BD804" s="182"/>
      <c r="BE804" s="182"/>
      <c r="BF804" s="182"/>
      <c r="BG804" s="182"/>
      <c r="BH804" s="182"/>
      <c r="BI804" s="182"/>
      <c r="BJ804" s="182"/>
      <c r="BK804" s="182"/>
      <c r="BL804" s="182"/>
      <c r="BM804" s="182"/>
      <c r="BN804" s="182"/>
      <c r="BO804" s="182"/>
      <c r="BP804" s="182"/>
      <c r="BQ804" s="182"/>
      <c r="BR804" s="182"/>
      <c r="BS804" s="182"/>
      <c r="BT804" s="182"/>
      <c r="BU804" s="182"/>
      <c r="BV804" s="182"/>
      <c r="BW804" s="182"/>
      <c r="BX804" s="182"/>
      <c r="BY804" s="182"/>
      <c r="BZ804" s="182"/>
      <c r="CA804" s="182"/>
      <c r="CB804" s="185">
        <v>469</v>
      </c>
      <c r="CC804" s="185">
        <v>0</v>
      </c>
      <c r="CD804" s="185">
        <v>2155</v>
      </c>
      <c r="CE804" s="185"/>
    </row>
    <row r="805" spans="2:83" x14ac:dyDescent="0.3">
      <c r="B805" s="182">
        <v>2856</v>
      </c>
      <c r="C805" s="182">
        <v>2156</v>
      </c>
      <c r="D805" s="182" t="s">
        <v>123</v>
      </c>
      <c r="E805" s="181" t="s">
        <v>4371</v>
      </c>
      <c r="F805" s="182"/>
      <c r="G805" s="182">
        <v>469</v>
      </c>
      <c r="H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2"/>
      <c r="X805" s="182"/>
      <c r="Y805" s="182"/>
      <c r="Z805" s="182"/>
      <c r="AA805" s="182"/>
      <c r="AB805" s="182"/>
      <c r="AC805" s="182"/>
      <c r="AD805" s="182"/>
      <c r="AE805" s="182"/>
      <c r="AF805" s="182"/>
      <c r="AG805" s="182"/>
      <c r="AH805" s="182"/>
      <c r="AI805" s="182"/>
      <c r="AJ805" s="182"/>
      <c r="AK805" s="182"/>
      <c r="AL805" s="182"/>
      <c r="AM805" s="182"/>
      <c r="AN805" s="182"/>
      <c r="AO805" s="182"/>
      <c r="AP805" s="182"/>
      <c r="AQ805" s="185">
        <v>469</v>
      </c>
      <c r="AR805" s="182">
        <v>313.7</v>
      </c>
      <c r="AS805" s="182">
        <v>42.3</v>
      </c>
      <c r="AT805" s="182">
        <v>113</v>
      </c>
      <c r="AU805" s="182"/>
      <c r="AV805" s="182"/>
      <c r="AW805" s="182"/>
      <c r="AX805" s="182"/>
      <c r="AY805" s="182"/>
      <c r="AZ805" s="182"/>
      <c r="BA805" s="182"/>
      <c r="BB805" s="182"/>
      <c r="BC805" s="182"/>
      <c r="BD805" s="182"/>
      <c r="BE805" s="182"/>
      <c r="BF805" s="182"/>
      <c r="BG805" s="182"/>
      <c r="BH805" s="182"/>
      <c r="BI805" s="182"/>
      <c r="BJ805" s="182"/>
      <c r="BK805" s="182"/>
      <c r="BL805" s="182"/>
      <c r="BM805" s="182"/>
      <c r="BN805" s="182"/>
      <c r="BO805" s="182"/>
      <c r="BP805" s="182"/>
      <c r="BQ805" s="182"/>
      <c r="BR805" s="182"/>
      <c r="BS805" s="182"/>
      <c r="BT805" s="182"/>
      <c r="BU805" s="182"/>
      <c r="BV805" s="182"/>
      <c r="BW805" s="182"/>
      <c r="BX805" s="182"/>
      <c r="BY805" s="182"/>
      <c r="BZ805" s="182"/>
      <c r="CA805" s="182"/>
      <c r="CB805" s="185">
        <v>469</v>
      </c>
      <c r="CC805" s="185">
        <v>0</v>
      </c>
      <c r="CD805" s="185">
        <v>2156</v>
      </c>
      <c r="CE805" s="185"/>
    </row>
    <row r="806" spans="2:83" x14ac:dyDescent="0.3">
      <c r="B806" s="182">
        <v>2831</v>
      </c>
      <c r="C806" s="182">
        <v>2157</v>
      </c>
      <c r="D806" s="182" t="s">
        <v>123</v>
      </c>
      <c r="E806" s="181" t="s">
        <v>4371</v>
      </c>
      <c r="F806" s="182"/>
      <c r="G806" s="182">
        <v>469</v>
      </c>
      <c r="H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2"/>
      <c r="X806" s="182"/>
      <c r="Y806" s="182"/>
      <c r="Z806" s="182"/>
      <c r="AA806" s="182"/>
      <c r="AB806" s="182"/>
      <c r="AC806" s="182"/>
      <c r="AD806" s="182"/>
      <c r="AE806" s="182"/>
      <c r="AF806" s="182"/>
      <c r="AG806" s="182"/>
      <c r="AH806" s="182"/>
      <c r="AI806" s="182"/>
      <c r="AJ806" s="182"/>
      <c r="AK806" s="182"/>
      <c r="AL806" s="182"/>
      <c r="AM806" s="182"/>
      <c r="AN806" s="182"/>
      <c r="AO806" s="182"/>
      <c r="AP806" s="182"/>
      <c r="AQ806" s="185">
        <v>469</v>
      </c>
      <c r="AR806" s="182">
        <v>313.7</v>
      </c>
      <c r="AS806" s="182">
        <v>42.3</v>
      </c>
      <c r="AT806" s="182">
        <v>113</v>
      </c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182"/>
      <c r="BK806" s="182"/>
      <c r="BL806" s="182"/>
      <c r="BM806" s="182"/>
      <c r="BN806" s="182"/>
      <c r="BO806" s="182"/>
      <c r="BP806" s="182"/>
      <c r="BQ806" s="182"/>
      <c r="BR806" s="182"/>
      <c r="BS806" s="182"/>
      <c r="BT806" s="182"/>
      <c r="BU806" s="182"/>
      <c r="BV806" s="182"/>
      <c r="BW806" s="182"/>
      <c r="BX806" s="182"/>
      <c r="BY806" s="182"/>
      <c r="BZ806" s="182"/>
      <c r="CA806" s="182"/>
      <c r="CB806" s="185">
        <v>469</v>
      </c>
      <c r="CC806" s="185">
        <v>0</v>
      </c>
      <c r="CD806" s="185">
        <v>2157</v>
      </c>
      <c r="CE806" s="185"/>
    </row>
    <row r="807" spans="2:83" x14ac:dyDescent="0.3">
      <c r="B807" s="182">
        <v>2828</v>
      </c>
      <c r="C807" s="182">
        <v>2158</v>
      </c>
      <c r="D807" s="182" t="s">
        <v>123</v>
      </c>
      <c r="E807" s="181" t="s">
        <v>4371</v>
      </c>
      <c r="F807" s="182"/>
      <c r="G807" s="182">
        <v>469</v>
      </c>
      <c r="H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2"/>
      <c r="X807" s="182"/>
      <c r="Y807" s="182"/>
      <c r="Z807" s="182"/>
      <c r="AA807" s="182"/>
      <c r="AB807" s="182"/>
      <c r="AC807" s="182"/>
      <c r="AD807" s="182"/>
      <c r="AE807" s="182"/>
      <c r="AF807" s="182"/>
      <c r="AG807" s="182"/>
      <c r="AH807" s="182"/>
      <c r="AI807" s="182"/>
      <c r="AJ807" s="182"/>
      <c r="AK807" s="182"/>
      <c r="AL807" s="182"/>
      <c r="AM807" s="182"/>
      <c r="AN807" s="182"/>
      <c r="AO807" s="182"/>
      <c r="AP807" s="182"/>
      <c r="AQ807" s="185">
        <v>469</v>
      </c>
      <c r="AR807" s="182">
        <v>313.7</v>
      </c>
      <c r="AS807" s="182">
        <v>42.3</v>
      </c>
      <c r="AT807" s="182">
        <v>113</v>
      </c>
      <c r="AU807" s="182"/>
      <c r="AV807" s="182"/>
      <c r="AW807" s="182"/>
      <c r="AX807" s="182"/>
      <c r="AY807" s="182"/>
      <c r="AZ807" s="182"/>
      <c r="BA807" s="182"/>
      <c r="BB807" s="182"/>
      <c r="BC807" s="182"/>
      <c r="BD807" s="182"/>
      <c r="BE807" s="182"/>
      <c r="BF807" s="182"/>
      <c r="BG807" s="182"/>
      <c r="BH807" s="182"/>
      <c r="BI807" s="182"/>
      <c r="BJ807" s="182"/>
      <c r="BK807" s="182"/>
      <c r="BL807" s="182"/>
      <c r="BM807" s="182"/>
      <c r="BN807" s="182"/>
      <c r="BO807" s="182"/>
      <c r="BP807" s="182"/>
      <c r="BQ807" s="182"/>
      <c r="BR807" s="182"/>
      <c r="BS807" s="182"/>
      <c r="BT807" s="182"/>
      <c r="BU807" s="182"/>
      <c r="BV807" s="182"/>
      <c r="BW807" s="182"/>
      <c r="BX807" s="182"/>
      <c r="BY807" s="182"/>
      <c r="BZ807" s="182"/>
      <c r="CA807" s="182"/>
      <c r="CB807" s="185">
        <v>469</v>
      </c>
      <c r="CC807" s="185">
        <v>0</v>
      </c>
      <c r="CD807" s="185">
        <v>2158</v>
      </c>
      <c r="CE807" s="185"/>
    </row>
    <row r="808" spans="2:83" x14ac:dyDescent="0.3">
      <c r="B808" s="182">
        <v>2847</v>
      </c>
      <c r="C808" s="182">
        <v>2159</v>
      </c>
      <c r="D808" s="182" t="s">
        <v>123</v>
      </c>
      <c r="E808" s="181" t="s">
        <v>4371</v>
      </c>
      <c r="F808" s="182"/>
      <c r="G808" s="182">
        <v>469</v>
      </c>
      <c r="H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2"/>
      <c r="X808" s="182"/>
      <c r="Y808" s="182"/>
      <c r="Z808" s="182"/>
      <c r="AA808" s="182"/>
      <c r="AB808" s="182"/>
      <c r="AC808" s="182"/>
      <c r="AD808" s="182"/>
      <c r="AE808" s="182"/>
      <c r="AF808" s="182"/>
      <c r="AG808" s="182"/>
      <c r="AH808" s="182"/>
      <c r="AI808" s="182"/>
      <c r="AJ808" s="182"/>
      <c r="AK808" s="182"/>
      <c r="AL808" s="182"/>
      <c r="AM808" s="182"/>
      <c r="AN808" s="182"/>
      <c r="AO808" s="182"/>
      <c r="AP808" s="182"/>
      <c r="AQ808" s="185">
        <v>469</v>
      </c>
      <c r="AR808" s="182">
        <v>313.7</v>
      </c>
      <c r="AS808" s="182">
        <v>42.3</v>
      </c>
      <c r="AT808" s="182">
        <v>113</v>
      </c>
      <c r="AU808" s="182"/>
      <c r="AV808" s="182"/>
      <c r="AW808" s="182"/>
      <c r="AX808" s="182"/>
      <c r="AY808" s="182"/>
      <c r="AZ808" s="182"/>
      <c r="BA808" s="182"/>
      <c r="BB808" s="182"/>
      <c r="BC808" s="182"/>
      <c r="BD808" s="182"/>
      <c r="BE808" s="182"/>
      <c r="BF808" s="182"/>
      <c r="BG808" s="182"/>
      <c r="BH808" s="182"/>
      <c r="BI808" s="182"/>
      <c r="BJ808" s="182"/>
      <c r="BK808" s="182"/>
      <c r="BL808" s="182"/>
      <c r="BM808" s="182"/>
      <c r="BN808" s="182"/>
      <c r="BO808" s="182"/>
      <c r="BP808" s="182"/>
      <c r="BQ808" s="182"/>
      <c r="BR808" s="182"/>
      <c r="BS808" s="182"/>
      <c r="BT808" s="182"/>
      <c r="BU808" s="182"/>
      <c r="BV808" s="182"/>
      <c r="BW808" s="182"/>
      <c r="BX808" s="182"/>
      <c r="BY808" s="182"/>
      <c r="BZ808" s="182"/>
      <c r="CA808" s="182"/>
      <c r="CB808" s="185">
        <v>469</v>
      </c>
      <c r="CC808" s="185">
        <v>0</v>
      </c>
      <c r="CD808" s="185">
        <v>2159</v>
      </c>
      <c r="CE808" s="185"/>
    </row>
    <row r="809" spans="2:83" x14ac:dyDescent="0.3">
      <c r="B809" s="182">
        <v>2914</v>
      </c>
      <c r="C809" s="182">
        <v>2160</v>
      </c>
      <c r="D809" s="182" t="s">
        <v>123</v>
      </c>
      <c r="E809" s="181" t="s">
        <v>4371</v>
      </c>
      <c r="F809" s="182"/>
      <c r="G809" s="182">
        <v>469</v>
      </c>
      <c r="H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2"/>
      <c r="X809" s="182"/>
      <c r="Y809" s="182"/>
      <c r="Z809" s="182"/>
      <c r="AA809" s="182"/>
      <c r="AB809" s="182"/>
      <c r="AC809" s="182"/>
      <c r="AD809" s="182"/>
      <c r="AE809" s="182"/>
      <c r="AF809" s="182"/>
      <c r="AG809" s="182"/>
      <c r="AH809" s="182"/>
      <c r="AI809" s="182"/>
      <c r="AJ809" s="182"/>
      <c r="AK809" s="182"/>
      <c r="AL809" s="182"/>
      <c r="AM809" s="182"/>
      <c r="AN809" s="182"/>
      <c r="AO809" s="182"/>
      <c r="AP809" s="182"/>
      <c r="AQ809" s="185">
        <v>469</v>
      </c>
      <c r="AR809" s="182">
        <v>313.7</v>
      </c>
      <c r="AS809" s="182">
        <v>42.3</v>
      </c>
      <c r="AT809" s="182">
        <v>113</v>
      </c>
      <c r="AU809" s="182"/>
      <c r="AV809" s="182"/>
      <c r="AW809" s="182"/>
      <c r="AX809" s="182"/>
      <c r="AY809" s="182"/>
      <c r="AZ809" s="182"/>
      <c r="BA809" s="182"/>
      <c r="BB809" s="182"/>
      <c r="BC809" s="182"/>
      <c r="BD809" s="182"/>
      <c r="BE809" s="182"/>
      <c r="BF809" s="182"/>
      <c r="BG809" s="182"/>
      <c r="BH809" s="182"/>
      <c r="BI809" s="182"/>
      <c r="BJ809" s="182"/>
      <c r="BK809" s="182"/>
      <c r="BL809" s="182"/>
      <c r="BM809" s="182"/>
      <c r="BN809" s="182"/>
      <c r="BO809" s="182"/>
      <c r="BP809" s="182"/>
      <c r="BQ809" s="182"/>
      <c r="BR809" s="182"/>
      <c r="BS809" s="182"/>
      <c r="BT809" s="182"/>
      <c r="BU809" s="182"/>
      <c r="BV809" s="182"/>
      <c r="BW809" s="182"/>
      <c r="BX809" s="182"/>
      <c r="BY809" s="182"/>
      <c r="BZ809" s="182"/>
      <c r="CA809" s="182"/>
      <c r="CB809" s="185">
        <v>469</v>
      </c>
      <c r="CC809" s="185">
        <v>0</v>
      </c>
      <c r="CD809" s="185">
        <v>2160</v>
      </c>
      <c r="CE809" s="185"/>
    </row>
    <row r="810" spans="2:83" x14ac:dyDescent="0.3">
      <c r="B810" s="182">
        <v>2909</v>
      </c>
      <c r="C810" s="182">
        <v>2161</v>
      </c>
      <c r="D810" s="182" t="s">
        <v>123</v>
      </c>
      <c r="E810" s="181" t="s">
        <v>4372</v>
      </c>
      <c r="F810" s="182"/>
      <c r="G810" s="182">
        <v>879.38</v>
      </c>
      <c r="H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2"/>
      <c r="X810" s="182"/>
      <c r="Y810" s="182"/>
      <c r="Z810" s="182"/>
      <c r="AA810" s="182"/>
      <c r="AB810" s="182"/>
      <c r="AC810" s="182"/>
      <c r="AD810" s="182"/>
      <c r="AE810" s="182"/>
      <c r="AF810" s="182"/>
      <c r="AG810" s="182"/>
      <c r="AH810" s="182"/>
      <c r="AI810" s="182"/>
      <c r="AJ810" s="182"/>
      <c r="AK810" s="182"/>
      <c r="AL810" s="182"/>
      <c r="AM810" s="182"/>
      <c r="AN810" s="182"/>
      <c r="AO810" s="182"/>
      <c r="AP810" s="182"/>
      <c r="AQ810" s="185">
        <v>879.38</v>
      </c>
      <c r="AR810" s="182">
        <v>587.6</v>
      </c>
      <c r="AS810" s="182">
        <v>79.900000000000006</v>
      </c>
      <c r="AT810" s="182">
        <v>211.88</v>
      </c>
      <c r="AU810" s="182"/>
      <c r="AV810" s="182"/>
      <c r="AW810" s="182"/>
      <c r="AX810" s="182"/>
      <c r="AY810" s="182"/>
      <c r="AZ810" s="182"/>
      <c r="BA810" s="182"/>
      <c r="BB810" s="182"/>
      <c r="BC810" s="182"/>
      <c r="BD810" s="182"/>
      <c r="BE810" s="182"/>
      <c r="BF810" s="182"/>
      <c r="BG810" s="182"/>
      <c r="BH810" s="182"/>
      <c r="BI810" s="182"/>
      <c r="BJ810" s="182"/>
      <c r="BK810" s="182"/>
      <c r="BL810" s="182"/>
      <c r="BM810" s="182"/>
      <c r="BN810" s="182"/>
      <c r="BO810" s="182"/>
      <c r="BP810" s="182"/>
      <c r="BQ810" s="182"/>
      <c r="BR810" s="182"/>
      <c r="BS810" s="182"/>
      <c r="BT810" s="182"/>
      <c r="BU810" s="182"/>
      <c r="BV810" s="182"/>
      <c r="BW810" s="182"/>
      <c r="BX810" s="182"/>
      <c r="BY810" s="182"/>
      <c r="BZ810" s="182"/>
      <c r="CA810" s="182"/>
      <c r="CB810" s="185">
        <v>879.38</v>
      </c>
      <c r="CC810" s="185">
        <v>0</v>
      </c>
      <c r="CD810" s="185">
        <v>2161</v>
      </c>
      <c r="CE810" s="185"/>
    </row>
    <row r="811" spans="2:83" x14ac:dyDescent="0.3">
      <c r="B811" s="182">
        <v>2906</v>
      </c>
      <c r="C811" s="182">
        <v>2162</v>
      </c>
      <c r="D811" s="182" t="s">
        <v>123</v>
      </c>
      <c r="E811" s="181" t="s">
        <v>4372</v>
      </c>
      <c r="F811" s="182"/>
      <c r="G811" s="182">
        <v>879.38</v>
      </c>
      <c r="H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2"/>
      <c r="X811" s="182"/>
      <c r="Y811" s="182"/>
      <c r="Z811" s="182"/>
      <c r="AA811" s="182"/>
      <c r="AB811" s="182"/>
      <c r="AC811" s="182"/>
      <c r="AD811" s="182"/>
      <c r="AE811" s="182"/>
      <c r="AF811" s="182"/>
      <c r="AG811" s="182"/>
      <c r="AH811" s="182"/>
      <c r="AI811" s="182"/>
      <c r="AJ811" s="182"/>
      <c r="AK811" s="182"/>
      <c r="AL811" s="182"/>
      <c r="AM811" s="182"/>
      <c r="AN811" s="182"/>
      <c r="AO811" s="182"/>
      <c r="AP811" s="182"/>
      <c r="AQ811" s="185">
        <v>879.38</v>
      </c>
      <c r="AR811" s="182">
        <v>587.6</v>
      </c>
      <c r="AS811" s="182">
        <v>79.900000000000006</v>
      </c>
      <c r="AT811" s="182">
        <v>211.88</v>
      </c>
      <c r="AU811" s="182"/>
      <c r="AV811" s="182"/>
      <c r="AW811" s="182"/>
      <c r="AX811" s="182"/>
      <c r="AY811" s="182"/>
      <c r="AZ811" s="182"/>
      <c r="BA811" s="182"/>
      <c r="BB811" s="182"/>
      <c r="BC811" s="182"/>
      <c r="BD811" s="182"/>
      <c r="BE811" s="182"/>
      <c r="BF811" s="182"/>
      <c r="BG811" s="182"/>
      <c r="BH811" s="182"/>
      <c r="BI811" s="182"/>
      <c r="BJ811" s="182"/>
      <c r="BK811" s="182"/>
      <c r="BL811" s="182"/>
      <c r="BM811" s="182"/>
      <c r="BN811" s="182"/>
      <c r="BO811" s="182"/>
      <c r="BP811" s="182"/>
      <c r="BQ811" s="182"/>
      <c r="BR811" s="182"/>
      <c r="BS811" s="182"/>
      <c r="BT811" s="182"/>
      <c r="BU811" s="182"/>
      <c r="BV811" s="182"/>
      <c r="BW811" s="182"/>
      <c r="BX811" s="182"/>
      <c r="BY811" s="182"/>
      <c r="BZ811" s="182"/>
      <c r="CA811" s="182"/>
      <c r="CB811" s="185">
        <v>879.38</v>
      </c>
      <c r="CC811" s="185">
        <v>0</v>
      </c>
      <c r="CD811" s="185">
        <v>2162</v>
      </c>
      <c r="CE811" s="185"/>
    </row>
    <row r="812" spans="2:83" x14ac:dyDescent="0.3">
      <c r="B812" s="182">
        <v>2905</v>
      </c>
      <c r="C812" s="182">
        <v>2163</v>
      </c>
      <c r="D812" s="182" t="s">
        <v>123</v>
      </c>
      <c r="E812" s="181" t="s">
        <v>4371</v>
      </c>
      <c r="F812" s="182"/>
      <c r="G812" s="182">
        <v>469</v>
      </c>
      <c r="H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2"/>
      <c r="X812" s="182"/>
      <c r="Y812" s="182"/>
      <c r="Z812" s="182"/>
      <c r="AA812" s="182"/>
      <c r="AB812" s="182"/>
      <c r="AC812" s="182"/>
      <c r="AD812" s="182"/>
      <c r="AE812" s="182"/>
      <c r="AF812" s="182"/>
      <c r="AG812" s="182"/>
      <c r="AH812" s="182"/>
      <c r="AI812" s="182"/>
      <c r="AJ812" s="182"/>
      <c r="AK812" s="182"/>
      <c r="AL812" s="182"/>
      <c r="AM812" s="182"/>
      <c r="AN812" s="182"/>
      <c r="AO812" s="182"/>
      <c r="AP812" s="182"/>
      <c r="AQ812" s="185">
        <v>469</v>
      </c>
      <c r="AR812" s="182">
        <v>313.7</v>
      </c>
      <c r="AS812" s="182">
        <v>42.3</v>
      </c>
      <c r="AT812" s="182">
        <v>113</v>
      </c>
      <c r="AU812" s="182"/>
      <c r="AV812" s="182"/>
      <c r="AW812" s="182"/>
      <c r="AX812" s="182"/>
      <c r="AY812" s="182"/>
      <c r="AZ812" s="182"/>
      <c r="BA812" s="182"/>
      <c r="BB812" s="182"/>
      <c r="BC812" s="182"/>
      <c r="BD812" s="182"/>
      <c r="BE812" s="182"/>
      <c r="BF812" s="182"/>
      <c r="BG812" s="182"/>
      <c r="BH812" s="182"/>
      <c r="BI812" s="182"/>
      <c r="BJ812" s="182"/>
      <c r="BK812" s="182"/>
      <c r="BL812" s="182"/>
      <c r="BM812" s="182"/>
      <c r="BN812" s="182"/>
      <c r="BO812" s="182"/>
      <c r="BP812" s="182"/>
      <c r="BQ812" s="182"/>
      <c r="BR812" s="182"/>
      <c r="BS812" s="182"/>
      <c r="BT812" s="182"/>
      <c r="BU812" s="182"/>
      <c r="BV812" s="182"/>
      <c r="BW812" s="182"/>
      <c r="BX812" s="182"/>
      <c r="BY812" s="182"/>
      <c r="BZ812" s="182"/>
      <c r="CA812" s="182"/>
      <c r="CB812" s="185">
        <v>469</v>
      </c>
      <c r="CC812" s="185">
        <v>0</v>
      </c>
      <c r="CD812" s="185">
        <v>2163</v>
      </c>
      <c r="CE812" s="185"/>
    </row>
    <row r="813" spans="2:83" x14ac:dyDescent="0.3">
      <c r="B813" s="182">
        <v>2902</v>
      </c>
      <c r="C813" s="182">
        <v>2164</v>
      </c>
      <c r="D813" s="182" t="s">
        <v>123</v>
      </c>
      <c r="E813" s="181" t="s">
        <v>4372</v>
      </c>
      <c r="F813" s="182"/>
      <c r="G813" s="182">
        <v>1465.63</v>
      </c>
      <c r="H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2"/>
      <c r="X813" s="182"/>
      <c r="Y813" s="182"/>
      <c r="Z813" s="182"/>
      <c r="AA813" s="182"/>
      <c r="AB813" s="182"/>
      <c r="AC813" s="182"/>
      <c r="AD813" s="182"/>
      <c r="AE813" s="182"/>
      <c r="AF813" s="182"/>
      <c r="AG813" s="182"/>
      <c r="AH813" s="182"/>
      <c r="AI813" s="182"/>
      <c r="AJ813" s="182"/>
      <c r="AK813" s="182"/>
      <c r="AL813" s="182"/>
      <c r="AM813" s="182"/>
      <c r="AN813" s="182"/>
      <c r="AO813" s="182"/>
      <c r="AP813" s="182"/>
      <c r="AQ813" s="185">
        <v>1465.63</v>
      </c>
      <c r="AR813" s="182">
        <v>979.45</v>
      </c>
      <c r="AS813" s="182">
        <v>133.05000000000001</v>
      </c>
      <c r="AT813" s="182">
        <v>353.13</v>
      </c>
      <c r="AU813" s="182"/>
      <c r="AV813" s="182"/>
      <c r="AW813" s="182"/>
      <c r="AX813" s="182"/>
      <c r="AY813" s="182"/>
      <c r="AZ813" s="182"/>
      <c r="BA813" s="182"/>
      <c r="BB813" s="182"/>
      <c r="BC813" s="182"/>
      <c r="BD813" s="182"/>
      <c r="BE813" s="182"/>
      <c r="BF813" s="182"/>
      <c r="BG813" s="182"/>
      <c r="BH813" s="182"/>
      <c r="BI813" s="182"/>
      <c r="BJ813" s="182"/>
      <c r="BK813" s="182"/>
      <c r="BL813" s="182"/>
      <c r="BM813" s="182"/>
      <c r="BN813" s="182"/>
      <c r="BO813" s="182"/>
      <c r="BP813" s="182"/>
      <c r="BQ813" s="182"/>
      <c r="BR813" s="182"/>
      <c r="BS813" s="182"/>
      <c r="BT813" s="182"/>
      <c r="BU813" s="182"/>
      <c r="BV813" s="182"/>
      <c r="BW813" s="182"/>
      <c r="BX813" s="182"/>
      <c r="BY813" s="182"/>
      <c r="BZ813" s="182"/>
      <c r="CA813" s="182"/>
      <c r="CB813" s="185">
        <v>1465.63</v>
      </c>
      <c r="CC813" s="185">
        <v>0</v>
      </c>
      <c r="CD813" s="185">
        <v>2164</v>
      </c>
      <c r="CE813" s="185"/>
    </row>
    <row r="814" spans="2:83" x14ac:dyDescent="0.3">
      <c r="B814" s="182">
        <v>2899</v>
      </c>
      <c r="C814" s="182">
        <v>2165</v>
      </c>
      <c r="D814" s="182" t="s">
        <v>123</v>
      </c>
      <c r="E814" s="181" t="s">
        <v>4371</v>
      </c>
      <c r="F814" s="182"/>
      <c r="G814" s="182">
        <v>469</v>
      </c>
      <c r="H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2"/>
      <c r="X814" s="182"/>
      <c r="Y814" s="182"/>
      <c r="Z814" s="182"/>
      <c r="AA814" s="182"/>
      <c r="AB814" s="182"/>
      <c r="AC814" s="182"/>
      <c r="AD814" s="182"/>
      <c r="AE814" s="182"/>
      <c r="AF814" s="182"/>
      <c r="AG814" s="182"/>
      <c r="AH814" s="182"/>
      <c r="AI814" s="182"/>
      <c r="AJ814" s="182"/>
      <c r="AK814" s="182"/>
      <c r="AL814" s="182"/>
      <c r="AM814" s="182"/>
      <c r="AN814" s="182"/>
      <c r="AO814" s="182"/>
      <c r="AP814" s="182"/>
      <c r="AQ814" s="185">
        <v>469</v>
      </c>
      <c r="AR814" s="182">
        <v>313.7</v>
      </c>
      <c r="AS814" s="182">
        <v>42.3</v>
      </c>
      <c r="AT814" s="182">
        <v>113</v>
      </c>
      <c r="AU814" s="182"/>
      <c r="AV814" s="182"/>
      <c r="AW814" s="182"/>
      <c r="AX814" s="182"/>
      <c r="AY814" s="182"/>
      <c r="AZ814" s="182"/>
      <c r="BA814" s="182"/>
      <c r="BB814" s="182"/>
      <c r="BC814" s="182"/>
      <c r="BD814" s="182"/>
      <c r="BE814" s="182"/>
      <c r="BF814" s="182"/>
      <c r="BG814" s="182"/>
      <c r="BH814" s="182"/>
      <c r="BI814" s="182"/>
      <c r="BJ814" s="182"/>
      <c r="BK814" s="182"/>
      <c r="BL814" s="182"/>
      <c r="BM814" s="182"/>
      <c r="BN814" s="182"/>
      <c r="BO814" s="182"/>
      <c r="BP814" s="182"/>
      <c r="BQ814" s="182"/>
      <c r="BR814" s="182"/>
      <c r="BS814" s="182"/>
      <c r="BT814" s="182"/>
      <c r="BU814" s="182"/>
      <c r="BV814" s="182"/>
      <c r="BW814" s="182"/>
      <c r="BX814" s="182"/>
      <c r="BY814" s="182"/>
      <c r="BZ814" s="182"/>
      <c r="CA814" s="182"/>
      <c r="CB814" s="185">
        <v>469</v>
      </c>
      <c r="CC814" s="185">
        <v>0</v>
      </c>
      <c r="CD814" s="185">
        <v>2165</v>
      </c>
      <c r="CE814" s="185"/>
    </row>
    <row r="815" spans="2:83" x14ac:dyDescent="0.3">
      <c r="B815" s="182">
        <v>2857</v>
      </c>
      <c r="C815" s="182">
        <v>2166</v>
      </c>
      <c r="D815" s="182" t="s">
        <v>123</v>
      </c>
      <c r="E815" s="181" t="s">
        <v>4371</v>
      </c>
      <c r="F815" s="182"/>
      <c r="G815" s="182">
        <v>898.91</v>
      </c>
      <c r="H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2"/>
      <c r="X815" s="182"/>
      <c r="Y815" s="182"/>
      <c r="Z815" s="182"/>
      <c r="AA815" s="182"/>
      <c r="AB815" s="182"/>
      <c r="AC815" s="182"/>
      <c r="AD815" s="182"/>
      <c r="AE815" s="182"/>
      <c r="AF815" s="182"/>
      <c r="AG815" s="182"/>
      <c r="AH815" s="182"/>
      <c r="AI815" s="182"/>
      <c r="AJ815" s="182"/>
      <c r="AK815" s="182"/>
      <c r="AL815" s="182"/>
      <c r="AM815" s="182"/>
      <c r="AN815" s="182"/>
      <c r="AO815" s="182"/>
      <c r="AP815" s="182"/>
      <c r="AQ815" s="185">
        <v>898.91</v>
      </c>
      <c r="AR815" s="182">
        <v>601.25</v>
      </c>
      <c r="AS815" s="182">
        <v>81.070000000000007</v>
      </c>
      <c r="AT815" s="182">
        <v>216.59</v>
      </c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182"/>
      <c r="BK815" s="182"/>
      <c r="BL815" s="182"/>
      <c r="BM815" s="182"/>
      <c r="BN815" s="182"/>
      <c r="BO815" s="182"/>
      <c r="BP815" s="182"/>
      <c r="BQ815" s="182"/>
      <c r="BR815" s="182"/>
      <c r="BS815" s="182"/>
      <c r="BT815" s="182"/>
      <c r="BU815" s="182"/>
      <c r="BV815" s="182"/>
      <c r="BW815" s="182"/>
      <c r="BX815" s="182"/>
      <c r="BY815" s="182"/>
      <c r="BZ815" s="182"/>
      <c r="CA815" s="182"/>
      <c r="CB815" s="185">
        <v>898.91000000000008</v>
      </c>
      <c r="CC815" s="185">
        <v>0</v>
      </c>
      <c r="CD815" s="185">
        <v>2166</v>
      </c>
      <c r="CE815" s="185"/>
    </row>
    <row r="816" spans="2:83" x14ac:dyDescent="0.3">
      <c r="B816" s="182">
        <v>2918</v>
      </c>
      <c r="C816" s="182">
        <v>2167</v>
      </c>
      <c r="D816" s="182" t="s">
        <v>123</v>
      </c>
      <c r="E816" s="181" t="s">
        <v>4371</v>
      </c>
      <c r="F816" s="182"/>
      <c r="G816" s="182">
        <v>791.44</v>
      </c>
      <c r="H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2"/>
      <c r="X816" s="182"/>
      <c r="Y816" s="182"/>
      <c r="Z816" s="182"/>
      <c r="AA816" s="182"/>
      <c r="AB816" s="182"/>
      <c r="AC816" s="182"/>
      <c r="AD816" s="182"/>
      <c r="AE816" s="182"/>
      <c r="AF816" s="182"/>
      <c r="AG816" s="182"/>
      <c r="AH816" s="182"/>
      <c r="AI816" s="182"/>
      <c r="AJ816" s="182"/>
      <c r="AK816" s="182"/>
      <c r="AL816" s="182"/>
      <c r="AM816" s="182"/>
      <c r="AN816" s="182"/>
      <c r="AO816" s="182"/>
      <c r="AP816" s="182"/>
      <c r="AQ816" s="185">
        <v>791.44</v>
      </c>
      <c r="AR816" s="182">
        <v>529.45000000000005</v>
      </c>
      <c r="AS816" s="182">
        <v>71.3</v>
      </c>
      <c r="AT816" s="182">
        <v>190.69</v>
      </c>
      <c r="AU816" s="182"/>
      <c r="AV816" s="182"/>
      <c r="AW816" s="182"/>
      <c r="AX816" s="182"/>
      <c r="AY816" s="182"/>
      <c r="AZ816" s="182"/>
      <c r="BA816" s="182"/>
      <c r="BB816" s="182"/>
      <c r="BC816" s="182"/>
      <c r="BD816" s="182"/>
      <c r="BE816" s="182"/>
      <c r="BF816" s="182"/>
      <c r="BG816" s="182"/>
      <c r="BH816" s="182"/>
      <c r="BI816" s="182"/>
      <c r="BJ816" s="182"/>
      <c r="BK816" s="182"/>
      <c r="BL816" s="182"/>
      <c r="BM816" s="182"/>
      <c r="BN816" s="182"/>
      <c r="BO816" s="182"/>
      <c r="BP816" s="182"/>
      <c r="BQ816" s="182"/>
      <c r="BR816" s="182"/>
      <c r="BS816" s="182"/>
      <c r="BT816" s="182"/>
      <c r="BU816" s="182"/>
      <c r="BV816" s="182"/>
      <c r="BW816" s="182"/>
      <c r="BX816" s="182"/>
      <c r="BY816" s="182"/>
      <c r="BZ816" s="182"/>
      <c r="CA816" s="182"/>
      <c r="CB816" s="185">
        <v>791.44</v>
      </c>
      <c r="CC816" s="185">
        <v>0</v>
      </c>
      <c r="CD816" s="185">
        <v>2167</v>
      </c>
      <c r="CE816" s="185"/>
    </row>
    <row r="817" spans="2:83" x14ac:dyDescent="0.3">
      <c r="B817" s="182">
        <v>2707</v>
      </c>
      <c r="C817" s="182">
        <v>2168</v>
      </c>
      <c r="D817" s="182" t="s">
        <v>123</v>
      </c>
      <c r="E817" s="181" t="s">
        <v>4371</v>
      </c>
      <c r="F817" s="182"/>
      <c r="G817" s="182">
        <v>469</v>
      </c>
      <c r="H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2"/>
      <c r="X817" s="182"/>
      <c r="Y817" s="182"/>
      <c r="Z817" s="182"/>
      <c r="AA817" s="182"/>
      <c r="AB817" s="182"/>
      <c r="AC817" s="182"/>
      <c r="AD817" s="182"/>
      <c r="AE817" s="182"/>
      <c r="AF817" s="182"/>
      <c r="AG817" s="182"/>
      <c r="AH817" s="182"/>
      <c r="AI817" s="182"/>
      <c r="AJ817" s="182"/>
      <c r="AK817" s="182"/>
      <c r="AL817" s="182"/>
      <c r="AM817" s="182"/>
      <c r="AN817" s="182"/>
      <c r="AO817" s="182"/>
      <c r="AP817" s="182"/>
      <c r="AQ817" s="185">
        <v>469</v>
      </c>
      <c r="AR817" s="182">
        <v>313.7</v>
      </c>
      <c r="AS817" s="182">
        <v>42.3</v>
      </c>
      <c r="AT817" s="182">
        <v>113</v>
      </c>
      <c r="AU817" s="182"/>
      <c r="AV817" s="182"/>
      <c r="AW817" s="182"/>
      <c r="AX817" s="182"/>
      <c r="AY817" s="182"/>
      <c r="AZ817" s="182"/>
      <c r="BA817" s="182"/>
      <c r="BB817" s="182"/>
      <c r="BC817" s="182"/>
      <c r="BD817" s="182"/>
      <c r="BE817" s="182"/>
      <c r="BF817" s="182"/>
      <c r="BG817" s="182"/>
      <c r="BH817" s="182"/>
      <c r="BI817" s="182"/>
      <c r="BJ817" s="182"/>
      <c r="BK817" s="182"/>
      <c r="BL817" s="182"/>
      <c r="BM817" s="182"/>
      <c r="BN817" s="182"/>
      <c r="BO817" s="182"/>
      <c r="BP817" s="182"/>
      <c r="BQ817" s="182"/>
      <c r="BR817" s="182"/>
      <c r="BS817" s="182"/>
      <c r="BT817" s="182"/>
      <c r="BU817" s="182"/>
      <c r="BV817" s="182"/>
      <c r="BW817" s="182"/>
      <c r="BX817" s="182"/>
      <c r="BY817" s="182"/>
      <c r="BZ817" s="182"/>
      <c r="CA817" s="182"/>
      <c r="CB817" s="185">
        <v>469</v>
      </c>
      <c r="CC817" s="185">
        <v>0</v>
      </c>
      <c r="CD817" s="185">
        <v>2168</v>
      </c>
      <c r="CE817" s="185"/>
    </row>
    <row r="818" spans="2:83" x14ac:dyDescent="0.3">
      <c r="B818" s="182">
        <v>2708</v>
      </c>
      <c r="C818" s="182">
        <v>2169</v>
      </c>
      <c r="D818" s="182" t="s">
        <v>123</v>
      </c>
      <c r="E818" s="181" t="s">
        <v>4371</v>
      </c>
      <c r="F818" s="182"/>
      <c r="G818" s="182">
        <v>469</v>
      </c>
      <c r="H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2"/>
      <c r="X818" s="182"/>
      <c r="Y818" s="182"/>
      <c r="Z818" s="182"/>
      <c r="AA818" s="182"/>
      <c r="AB818" s="182"/>
      <c r="AC818" s="182"/>
      <c r="AD818" s="182"/>
      <c r="AE818" s="182"/>
      <c r="AF818" s="182"/>
      <c r="AG818" s="182"/>
      <c r="AH818" s="182"/>
      <c r="AI818" s="182"/>
      <c r="AJ818" s="182"/>
      <c r="AK818" s="182"/>
      <c r="AL818" s="182"/>
      <c r="AM818" s="182"/>
      <c r="AN818" s="182"/>
      <c r="AO818" s="182"/>
      <c r="AP818" s="182"/>
      <c r="AQ818" s="185">
        <v>469</v>
      </c>
      <c r="AR818" s="182">
        <v>313.7</v>
      </c>
      <c r="AS818" s="182">
        <v>42.3</v>
      </c>
      <c r="AT818" s="182">
        <v>113</v>
      </c>
      <c r="AU818" s="182"/>
      <c r="AV818" s="182"/>
      <c r="AW818" s="182"/>
      <c r="AX818" s="182"/>
      <c r="AY818" s="182"/>
      <c r="AZ818" s="182"/>
      <c r="BA818" s="182"/>
      <c r="BB818" s="182"/>
      <c r="BC818" s="182"/>
      <c r="BD818" s="182"/>
      <c r="BE818" s="182"/>
      <c r="BF818" s="182"/>
      <c r="BG818" s="182"/>
      <c r="BH818" s="182"/>
      <c r="BI818" s="182"/>
      <c r="BJ818" s="182"/>
      <c r="BK818" s="182"/>
      <c r="BL818" s="182"/>
      <c r="BM818" s="182"/>
      <c r="BN818" s="182"/>
      <c r="BO818" s="182"/>
      <c r="BP818" s="182"/>
      <c r="BQ818" s="182"/>
      <c r="BR818" s="182"/>
      <c r="BS818" s="182"/>
      <c r="BT818" s="182"/>
      <c r="BU818" s="182"/>
      <c r="BV818" s="182"/>
      <c r="BW818" s="182"/>
      <c r="BX818" s="182"/>
      <c r="BY818" s="182"/>
      <c r="BZ818" s="182"/>
      <c r="CA818" s="182"/>
      <c r="CB818" s="185">
        <v>469</v>
      </c>
      <c r="CC818" s="185">
        <v>0</v>
      </c>
      <c r="CD818" s="185">
        <v>2169</v>
      </c>
      <c r="CE818" s="185"/>
    </row>
    <row r="819" spans="2:83" x14ac:dyDescent="0.3">
      <c r="B819" s="182">
        <v>2711</v>
      </c>
      <c r="C819" s="182">
        <v>2170</v>
      </c>
      <c r="D819" s="182" t="s">
        <v>123</v>
      </c>
      <c r="E819" s="181" t="s">
        <v>4371</v>
      </c>
      <c r="F819" s="182"/>
      <c r="G819" s="182">
        <v>469</v>
      </c>
      <c r="H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2"/>
      <c r="X819" s="182"/>
      <c r="Y819" s="182"/>
      <c r="Z819" s="182"/>
      <c r="AA819" s="182"/>
      <c r="AB819" s="182"/>
      <c r="AC819" s="182"/>
      <c r="AD819" s="182"/>
      <c r="AE819" s="182"/>
      <c r="AF819" s="182"/>
      <c r="AG819" s="182"/>
      <c r="AH819" s="182"/>
      <c r="AI819" s="182"/>
      <c r="AJ819" s="182"/>
      <c r="AK819" s="182"/>
      <c r="AL819" s="182"/>
      <c r="AM819" s="182"/>
      <c r="AN819" s="182"/>
      <c r="AO819" s="182"/>
      <c r="AP819" s="182"/>
      <c r="AQ819" s="185">
        <v>469</v>
      </c>
      <c r="AR819" s="182">
        <v>313.7</v>
      </c>
      <c r="AS819" s="182">
        <v>42.3</v>
      </c>
      <c r="AT819" s="182">
        <v>113</v>
      </c>
      <c r="AU819" s="182"/>
      <c r="AV819" s="182"/>
      <c r="AW819" s="182"/>
      <c r="AX819" s="182"/>
      <c r="AY819" s="182"/>
      <c r="AZ819" s="182"/>
      <c r="BA819" s="182"/>
      <c r="BB819" s="182"/>
      <c r="BC819" s="182"/>
      <c r="BD819" s="182"/>
      <c r="BE819" s="182"/>
      <c r="BF819" s="182"/>
      <c r="BG819" s="182"/>
      <c r="BH819" s="182"/>
      <c r="BI819" s="182"/>
      <c r="BJ819" s="182"/>
      <c r="BK819" s="182"/>
      <c r="BL819" s="182"/>
      <c r="BM819" s="182"/>
      <c r="BN819" s="182"/>
      <c r="BO819" s="182"/>
      <c r="BP819" s="182"/>
      <c r="BQ819" s="182"/>
      <c r="BR819" s="182"/>
      <c r="BS819" s="182"/>
      <c r="BT819" s="182"/>
      <c r="BU819" s="182"/>
      <c r="BV819" s="182"/>
      <c r="BW819" s="182"/>
      <c r="BX819" s="182"/>
      <c r="BY819" s="182"/>
      <c r="BZ819" s="182"/>
      <c r="CA819" s="182"/>
      <c r="CB819" s="185">
        <v>469</v>
      </c>
      <c r="CC819" s="185">
        <v>0</v>
      </c>
      <c r="CD819" s="185">
        <v>2170</v>
      </c>
      <c r="CE819" s="185"/>
    </row>
    <row r="820" spans="2:83" x14ac:dyDescent="0.3">
      <c r="B820" s="182">
        <v>2742</v>
      </c>
      <c r="C820" s="182">
        <v>2171</v>
      </c>
      <c r="D820" s="182" t="s">
        <v>123</v>
      </c>
      <c r="E820" s="181" t="s">
        <v>4371</v>
      </c>
      <c r="F820" s="182"/>
      <c r="G820" s="182">
        <v>1166.6600000000001</v>
      </c>
      <c r="H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2"/>
      <c r="X820" s="182"/>
      <c r="Y820" s="182"/>
      <c r="Z820" s="182"/>
      <c r="AA820" s="182"/>
      <c r="AB820" s="182"/>
      <c r="AC820" s="182"/>
      <c r="AD820" s="182"/>
      <c r="AE820" s="182"/>
      <c r="AF820" s="182"/>
      <c r="AG820" s="182"/>
      <c r="AH820" s="182"/>
      <c r="AI820" s="182"/>
      <c r="AJ820" s="182"/>
      <c r="AK820" s="182"/>
      <c r="AL820" s="182"/>
      <c r="AM820" s="182"/>
      <c r="AN820" s="182"/>
      <c r="AO820" s="182"/>
      <c r="AP820" s="182"/>
      <c r="AQ820" s="185">
        <v>1166.6600000000001</v>
      </c>
      <c r="AR820" s="182">
        <v>880.78</v>
      </c>
      <c r="AS820" s="182">
        <v>227.55</v>
      </c>
      <c r="AT820" s="182"/>
      <c r="AU820" s="182">
        <v>58.33</v>
      </c>
      <c r="AV820" s="182"/>
      <c r="AW820" s="182"/>
      <c r="AX820" s="182"/>
      <c r="AY820" s="182"/>
      <c r="AZ820" s="182"/>
      <c r="BA820" s="182"/>
      <c r="BB820" s="182"/>
      <c r="BC820" s="182"/>
      <c r="BD820" s="182"/>
      <c r="BE820" s="182"/>
      <c r="BF820" s="182"/>
      <c r="BG820" s="182"/>
      <c r="BH820" s="182"/>
      <c r="BI820" s="182"/>
      <c r="BJ820" s="182"/>
      <c r="BK820" s="182"/>
      <c r="BL820" s="182"/>
      <c r="BM820" s="182"/>
      <c r="BN820" s="182"/>
      <c r="BO820" s="182"/>
      <c r="BP820" s="182"/>
      <c r="BQ820" s="182"/>
      <c r="BR820" s="182"/>
      <c r="BS820" s="182"/>
      <c r="BT820" s="182"/>
      <c r="BU820" s="182"/>
      <c r="BV820" s="182"/>
      <c r="BW820" s="182"/>
      <c r="BX820" s="182"/>
      <c r="BY820" s="182"/>
      <c r="BZ820" s="182"/>
      <c r="CA820" s="182"/>
      <c r="CB820" s="185">
        <v>1166.6599999999999</v>
      </c>
      <c r="CC820" s="185">
        <v>0</v>
      </c>
      <c r="CD820" s="185">
        <v>2171</v>
      </c>
      <c r="CE820" s="185"/>
    </row>
    <row r="821" spans="2:83" x14ac:dyDescent="0.3">
      <c r="B821" s="182">
        <v>2740</v>
      </c>
      <c r="C821" s="182">
        <v>2172</v>
      </c>
      <c r="D821" s="182" t="s">
        <v>123</v>
      </c>
      <c r="E821" s="181" t="s">
        <v>4371</v>
      </c>
      <c r="F821" s="182"/>
      <c r="G821" s="182">
        <v>2833.32</v>
      </c>
      <c r="H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2"/>
      <c r="X821" s="182"/>
      <c r="Y821" s="182"/>
      <c r="Z821" s="182"/>
      <c r="AA821" s="182"/>
      <c r="AB821" s="182"/>
      <c r="AC821" s="182"/>
      <c r="AD821" s="182"/>
      <c r="AE821" s="182"/>
      <c r="AF821" s="182"/>
      <c r="AG821" s="182"/>
      <c r="AH821" s="182"/>
      <c r="AI821" s="182"/>
      <c r="AJ821" s="182"/>
      <c r="AK821" s="182"/>
      <c r="AL821" s="182"/>
      <c r="AM821" s="182"/>
      <c r="AN821" s="182"/>
      <c r="AO821" s="182"/>
      <c r="AP821" s="182"/>
      <c r="AQ821" s="185">
        <v>2833.32</v>
      </c>
      <c r="AR821" s="182">
        <v>2136.92</v>
      </c>
      <c r="AS821" s="182">
        <v>554.74</v>
      </c>
      <c r="AT821" s="182"/>
      <c r="AU821" s="182">
        <v>141.66</v>
      </c>
      <c r="AV821" s="182"/>
      <c r="AW821" s="182"/>
      <c r="AX821" s="182"/>
      <c r="AY821" s="182"/>
      <c r="AZ821" s="182"/>
      <c r="BA821" s="182"/>
      <c r="BB821" s="182"/>
      <c r="BC821" s="182"/>
      <c r="BD821" s="182"/>
      <c r="BE821" s="182"/>
      <c r="BF821" s="182"/>
      <c r="BG821" s="182"/>
      <c r="BH821" s="182"/>
      <c r="BI821" s="182"/>
      <c r="BJ821" s="182"/>
      <c r="BK821" s="182"/>
      <c r="BL821" s="182"/>
      <c r="BM821" s="182"/>
      <c r="BN821" s="182"/>
      <c r="BO821" s="182"/>
      <c r="BP821" s="182"/>
      <c r="BQ821" s="182"/>
      <c r="BR821" s="182"/>
      <c r="BS821" s="182"/>
      <c r="BT821" s="182"/>
      <c r="BU821" s="182"/>
      <c r="BV821" s="182"/>
      <c r="BW821" s="182"/>
      <c r="BX821" s="182"/>
      <c r="BY821" s="182"/>
      <c r="BZ821" s="182"/>
      <c r="CA821" s="182"/>
      <c r="CB821" s="185">
        <v>2833.3199999999997</v>
      </c>
      <c r="CC821" s="185">
        <v>0</v>
      </c>
      <c r="CD821" s="185">
        <v>2172</v>
      </c>
      <c r="CE821" s="185"/>
    </row>
    <row r="822" spans="2:83" x14ac:dyDescent="0.3">
      <c r="B822" s="182">
        <v>2705</v>
      </c>
      <c r="C822" s="182">
        <v>2173</v>
      </c>
      <c r="D822" s="182" t="s">
        <v>123</v>
      </c>
      <c r="E822" s="181" t="s">
        <v>4371</v>
      </c>
      <c r="F822" s="182"/>
      <c r="G822" s="182">
        <v>766.66</v>
      </c>
      <c r="H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2"/>
      <c r="X822" s="182"/>
      <c r="Y822" s="182"/>
      <c r="Z822" s="182"/>
      <c r="AA822" s="182"/>
      <c r="AB822" s="182"/>
      <c r="AC822" s="182"/>
      <c r="AD822" s="182"/>
      <c r="AE822" s="182"/>
      <c r="AF822" s="182"/>
      <c r="AG822" s="182"/>
      <c r="AH822" s="182"/>
      <c r="AI822" s="182"/>
      <c r="AJ822" s="182"/>
      <c r="AK822" s="182"/>
      <c r="AL822" s="182"/>
      <c r="AM822" s="182"/>
      <c r="AN822" s="182"/>
      <c r="AO822" s="182"/>
      <c r="AP822" s="182"/>
      <c r="AQ822" s="185">
        <v>766.66</v>
      </c>
      <c r="AR822" s="182">
        <v>578.62</v>
      </c>
      <c r="AS822" s="182">
        <v>149.71</v>
      </c>
      <c r="AT822" s="182"/>
      <c r="AU822" s="182">
        <v>38.33</v>
      </c>
      <c r="AV822" s="182"/>
      <c r="AW822" s="182"/>
      <c r="AX822" s="182"/>
      <c r="AY822" s="182"/>
      <c r="AZ822" s="182"/>
      <c r="BA822" s="182"/>
      <c r="BB822" s="182"/>
      <c r="BC822" s="182"/>
      <c r="BD822" s="182"/>
      <c r="BE822" s="182"/>
      <c r="BF822" s="182"/>
      <c r="BG822" s="182"/>
      <c r="BH822" s="182"/>
      <c r="BI822" s="182"/>
      <c r="BJ822" s="182"/>
      <c r="BK822" s="182"/>
      <c r="BL822" s="182"/>
      <c r="BM822" s="182"/>
      <c r="BN822" s="182"/>
      <c r="BO822" s="182"/>
      <c r="BP822" s="182"/>
      <c r="BQ822" s="182"/>
      <c r="BR822" s="182"/>
      <c r="BS822" s="182"/>
      <c r="BT822" s="182"/>
      <c r="BU822" s="182"/>
      <c r="BV822" s="182"/>
      <c r="BW822" s="182"/>
      <c r="BX822" s="182"/>
      <c r="BY822" s="182"/>
      <c r="BZ822" s="182"/>
      <c r="CA822" s="182"/>
      <c r="CB822" s="185">
        <v>766.66000000000008</v>
      </c>
      <c r="CC822" s="185">
        <v>0</v>
      </c>
      <c r="CD822" s="185">
        <v>2173</v>
      </c>
      <c r="CE822" s="185"/>
    </row>
    <row r="823" spans="2:83" x14ac:dyDescent="0.3">
      <c r="B823" s="182">
        <v>2709</v>
      </c>
      <c r="C823" s="182">
        <v>2174</v>
      </c>
      <c r="D823" s="182" t="s">
        <v>123</v>
      </c>
      <c r="E823" s="181" t="s">
        <v>4371</v>
      </c>
      <c r="F823" s="182"/>
      <c r="G823" s="182">
        <v>1900</v>
      </c>
      <c r="H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2"/>
      <c r="X823" s="182"/>
      <c r="Y823" s="182"/>
      <c r="Z823" s="182"/>
      <c r="AA823" s="182"/>
      <c r="AB823" s="182"/>
      <c r="AC823" s="182"/>
      <c r="AD823" s="182"/>
      <c r="AE823" s="182"/>
      <c r="AF823" s="182"/>
      <c r="AG823" s="182"/>
      <c r="AH823" s="182"/>
      <c r="AI823" s="182"/>
      <c r="AJ823" s="182"/>
      <c r="AK823" s="182"/>
      <c r="AL823" s="182"/>
      <c r="AM823" s="182"/>
      <c r="AN823" s="182"/>
      <c r="AO823" s="182"/>
      <c r="AP823" s="182"/>
      <c r="AQ823" s="185">
        <v>1900</v>
      </c>
      <c r="AR823" s="182">
        <v>1460.27</v>
      </c>
      <c r="AS823" s="182">
        <v>344.73</v>
      </c>
      <c r="AT823" s="182"/>
      <c r="AU823" s="182">
        <v>95</v>
      </c>
      <c r="AV823" s="182"/>
      <c r="AW823" s="182"/>
      <c r="AX823" s="182"/>
      <c r="AY823" s="182"/>
      <c r="AZ823" s="182"/>
      <c r="BA823" s="182"/>
      <c r="BB823" s="182"/>
      <c r="BC823" s="182"/>
      <c r="BD823" s="182"/>
      <c r="BE823" s="182"/>
      <c r="BF823" s="182"/>
      <c r="BG823" s="182"/>
      <c r="BH823" s="182"/>
      <c r="BI823" s="182"/>
      <c r="BJ823" s="182"/>
      <c r="BK823" s="182"/>
      <c r="BL823" s="182"/>
      <c r="BM823" s="182"/>
      <c r="BN823" s="182"/>
      <c r="BO823" s="182"/>
      <c r="BP823" s="182"/>
      <c r="BQ823" s="182"/>
      <c r="BR823" s="182"/>
      <c r="BS823" s="182"/>
      <c r="BT823" s="182"/>
      <c r="BU823" s="182"/>
      <c r="BV823" s="182"/>
      <c r="BW823" s="182"/>
      <c r="BX823" s="182"/>
      <c r="BY823" s="182"/>
      <c r="BZ823" s="182"/>
      <c r="CA823" s="182"/>
      <c r="CB823" s="185">
        <v>1900</v>
      </c>
      <c r="CC823" s="185">
        <v>0</v>
      </c>
      <c r="CD823" s="185">
        <v>2174</v>
      </c>
      <c r="CE823" s="185"/>
    </row>
    <row r="824" spans="2:83" x14ac:dyDescent="0.3">
      <c r="B824" s="182">
        <v>2710</v>
      </c>
      <c r="C824" s="182">
        <v>2175</v>
      </c>
      <c r="D824" s="182" t="s">
        <v>123</v>
      </c>
      <c r="E824" s="181" t="s">
        <v>4371</v>
      </c>
      <c r="F824" s="182"/>
      <c r="G824" s="182">
        <v>1166.6600000000001</v>
      </c>
      <c r="H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2"/>
      <c r="X824" s="182"/>
      <c r="Y824" s="182"/>
      <c r="Z824" s="182"/>
      <c r="AA824" s="182"/>
      <c r="AB824" s="182"/>
      <c r="AC824" s="182"/>
      <c r="AD824" s="182"/>
      <c r="AE824" s="182"/>
      <c r="AF824" s="182"/>
      <c r="AG824" s="182"/>
      <c r="AH824" s="182"/>
      <c r="AI824" s="182"/>
      <c r="AJ824" s="182"/>
      <c r="AK824" s="182"/>
      <c r="AL824" s="182"/>
      <c r="AM824" s="182"/>
      <c r="AN824" s="182"/>
      <c r="AO824" s="182"/>
      <c r="AP824" s="182"/>
      <c r="AQ824" s="185">
        <v>1166.6600000000001</v>
      </c>
      <c r="AR824" s="182">
        <v>880.78</v>
      </c>
      <c r="AS824" s="182">
        <v>227.55</v>
      </c>
      <c r="AT824" s="182"/>
      <c r="AU824" s="182">
        <v>58.33</v>
      </c>
      <c r="AV824" s="182"/>
      <c r="AW824" s="182"/>
      <c r="AX824" s="182"/>
      <c r="AY824" s="182"/>
      <c r="AZ824" s="182"/>
      <c r="BA824" s="182"/>
      <c r="BB824" s="182"/>
      <c r="BC824" s="182"/>
      <c r="BD824" s="182"/>
      <c r="BE824" s="182"/>
      <c r="BF824" s="182"/>
      <c r="BG824" s="182"/>
      <c r="BH824" s="182"/>
      <c r="BI824" s="182"/>
      <c r="BJ824" s="182"/>
      <c r="BK824" s="182"/>
      <c r="BL824" s="182"/>
      <c r="BM824" s="182"/>
      <c r="BN824" s="182"/>
      <c r="BO824" s="182"/>
      <c r="BP824" s="182"/>
      <c r="BQ824" s="182"/>
      <c r="BR824" s="182"/>
      <c r="BS824" s="182"/>
      <c r="BT824" s="182"/>
      <c r="BU824" s="182"/>
      <c r="BV824" s="182"/>
      <c r="BW824" s="182"/>
      <c r="BX824" s="182"/>
      <c r="BY824" s="182"/>
      <c r="BZ824" s="182"/>
      <c r="CA824" s="182"/>
      <c r="CB824" s="185">
        <v>1166.6599999999999</v>
      </c>
      <c r="CC824" s="185">
        <v>0</v>
      </c>
      <c r="CD824" s="185">
        <v>2175</v>
      </c>
      <c r="CE824" s="185"/>
    </row>
    <row r="825" spans="2:83" x14ac:dyDescent="0.3">
      <c r="B825" s="182">
        <v>2713</v>
      </c>
      <c r="C825" s="182">
        <v>2176</v>
      </c>
      <c r="D825" s="182" t="s">
        <v>123</v>
      </c>
      <c r="E825" s="181" t="s">
        <v>4371</v>
      </c>
      <c r="F825" s="182"/>
      <c r="G825" s="182">
        <v>950</v>
      </c>
      <c r="H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2"/>
      <c r="X825" s="182"/>
      <c r="Y825" s="182"/>
      <c r="Z825" s="182"/>
      <c r="AA825" s="182"/>
      <c r="AB825" s="182"/>
      <c r="AC825" s="182"/>
      <c r="AD825" s="182"/>
      <c r="AE825" s="182"/>
      <c r="AF825" s="182"/>
      <c r="AG825" s="182"/>
      <c r="AH825" s="182"/>
      <c r="AI825" s="182"/>
      <c r="AJ825" s="182"/>
      <c r="AK825" s="182"/>
      <c r="AL825" s="182"/>
      <c r="AM825" s="182"/>
      <c r="AN825" s="182"/>
      <c r="AO825" s="182"/>
      <c r="AP825" s="182"/>
      <c r="AQ825" s="185">
        <v>950</v>
      </c>
      <c r="AR825" s="182">
        <v>716.96</v>
      </c>
      <c r="AS825" s="182">
        <v>185.54</v>
      </c>
      <c r="AT825" s="182"/>
      <c r="AU825" s="182">
        <v>47.5</v>
      </c>
      <c r="AV825" s="182"/>
      <c r="AW825" s="182"/>
      <c r="AX825" s="182"/>
      <c r="AY825" s="182"/>
      <c r="AZ825" s="182"/>
      <c r="BA825" s="182"/>
      <c r="BB825" s="182"/>
      <c r="BC825" s="182"/>
      <c r="BD825" s="182"/>
      <c r="BE825" s="182"/>
      <c r="BF825" s="182"/>
      <c r="BG825" s="182"/>
      <c r="BH825" s="182"/>
      <c r="BI825" s="182"/>
      <c r="BJ825" s="182"/>
      <c r="BK825" s="182"/>
      <c r="BL825" s="182"/>
      <c r="BM825" s="182"/>
      <c r="BN825" s="182"/>
      <c r="BO825" s="182"/>
      <c r="BP825" s="182"/>
      <c r="BQ825" s="182"/>
      <c r="BR825" s="182"/>
      <c r="BS825" s="182"/>
      <c r="BT825" s="182"/>
      <c r="BU825" s="182"/>
      <c r="BV825" s="182"/>
      <c r="BW825" s="182"/>
      <c r="BX825" s="182"/>
      <c r="BY825" s="182"/>
      <c r="BZ825" s="182"/>
      <c r="CA825" s="182"/>
      <c r="CB825" s="185">
        <v>950</v>
      </c>
      <c r="CC825" s="185">
        <v>0</v>
      </c>
      <c r="CD825" s="185">
        <v>2176</v>
      </c>
      <c r="CE825" s="185"/>
    </row>
    <row r="826" spans="2:83" x14ac:dyDescent="0.3">
      <c r="B826" s="182">
        <v>2174</v>
      </c>
      <c r="C826" s="182">
        <v>2177</v>
      </c>
      <c r="D826" s="182" t="s">
        <v>123</v>
      </c>
      <c r="E826" s="181" t="s">
        <v>4371</v>
      </c>
      <c r="F826" s="182"/>
      <c r="G826" s="182">
        <v>1900</v>
      </c>
      <c r="H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2"/>
      <c r="X826" s="182"/>
      <c r="Y826" s="182"/>
      <c r="Z826" s="182"/>
      <c r="AA826" s="182"/>
      <c r="AB826" s="182"/>
      <c r="AC826" s="182"/>
      <c r="AD826" s="182"/>
      <c r="AE826" s="182"/>
      <c r="AF826" s="182"/>
      <c r="AG826" s="182"/>
      <c r="AH826" s="182"/>
      <c r="AI826" s="182"/>
      <c r="AJ826" s="182"/>
      <c r="AK826" s="182"/>
      <c r="AL826" s="182"/>
      <c r="AM826" s="182"/>
      <c r="AN826" s="182"/>
      <c r="AO826" s="182"/>
      <c r="AP826" s="182"/>
      <c r="AQ826" s="185">
        <v>1900</v>
      </c>
      <c r="AR826" s="182">
        <v>1460.27</v>
      </c>
      <c r="AS826" s="182">
        <v>344.73</v>
      </c>
      <c r="AT826" s="182"/>
      <c r="AU826" s="182">
        <v>95</v>
      </c>
      <c r="AV826" s="182"/>
      <c r="AW826" s="182"/>
      <c r="AX826" s="182"/>
      <c r="AY826" s="182"/>
      <c r="AZ826" s="182"/>
      <c r="BA826" s="182"/>
      <c r="BB826" s="182"/>
      <c r="BC826" s="182"/>
      <c r="BD826" s="182"/>
      <c r="BE826" s="182"/>
      <c r="BF826" s="182"/>
      <c r="BG826" s="182"/>
      <c r="BH826" s="182"/>
      <c r="BI826" s="182"/>
      <c r="BJ826" s="182"/>
      <c r="BK826" s="182"/>
      <c r="BL826" s="182"/>
      <c r="BM826" s="182"/>
      <c r="BN826" s="182"/>
      <c r="BO826" s="182"/>
      <c r="BP826" s="182"/>
      <c r="BQ826" s="182"/>
      <c r="BR826" s="182"/>
      <c r="BS826" s="182"/>
      <c r="BT826" s="182"/>
      <c r="BU826" s="182"/>
      <c r="BV826" s="182"/>
      <c r="BW826" s="182"/>
      <c r="BX826" s="182"/>
      <c r="BY826" s="182"/>
      <c r="BZ826" s="182"/>
      <c r="CA826" s="182"/>
      <c r="CB826" s="185">
        <v>1900</v>
      </c>
      <c r="CC826" s="185">
        <v>0</v>
      </c>
      <c r="CD826" s="185">
        <v>2177</v>
      </c>
      <c r="CE826" s="185"/>
    </row>
    <row r="827" spans="2:83" x14ac:dyDescent="0.3">
      <c r="B827" s="182">
        <v>2830</v>
      </c>
      <c r="C827" s="182">
        <v>2178</v>
      </c>
      <c r="D827" s="182" t="s">
        <v>123</v>
      </c>
      <c r="E827" s="181" t="s">
        <v>4371</v>
      </c>
      <c r="F827" s="182"/>
      <c r="G827" s="182">
        <v>950</v>
      </c>
      <c r="H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2"/>
      <c r="X827" s="182"/>
      <c r="Y827" s="182"/>
      <c r="Z827" s="182"/>
      <c r="AA827" s="182"/>
      <c r="AB827" s="182"/>
      <c r="AC827" s="182"/>
      <c r="AD827" s="182"/>
      <c r="AE827" s="182"/>
      <c r="AF827" s="182"/>
      <c r="AG827" s="182"/>
      <c r="AH827" s="182"/>
      <c r="AI827" s="182"/>
      <c r="AJ827" s="182"/>
      <c r="AK827" s="182"/>
      <c r="AL827" s="182"/>
      <c r="AM827" s="182"/>
      <c r="AN827" s="182"/>
      <c r="AO827" s="182"/>
      <c r="AP827" s="182"/>
      <c r="AQ827" s="185">
        <v>950</v>
      </c>
      <c r="AR827" s="182">
        <v>716.96</v>
      </c>
      <c r="AS827" s="182">
        <v>185.54</v>
      </c>
      <c r="AT827" s="182"/>
      <c r="AU827" s="182">
        <v>47.5</v>
      </c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/>
      <c r="BH827" s="182"/>
      <c r="BI827" s="182"/>
      <c r="BJ827" s="182"/>
      <c r="BK827" s="182"/>
      <c r="BL827" s="182"/>
      <c r="BM827" s="182"/>
      <c r="BN827" s="182"/>
      <c r="BO827" s="182"/>
      <c r="BP827" s="182"/>
      <c r="BQ827" s="182"/>
      <c r="BR827" s="182"/>
      <c r="BS827" s="182"/>
      <c r="BT827" s="182"/>
      <c r="BU827" s="182"/>
      <c r="BV827" s="182"/>
      <c r="BW827" s="182"/>
      <c r="BX827" s="182"/>
      <c r="BY827" s="182"/>
      <c r="BZ827" s="182"/>
      <c r="CA827" s="182"/>
      <c r="CB827" s="185">
        <v>950</v>
      </c>
      <c r="CC827" s="185">
        <v>0</v>
      </c>
      <c r="CD827" s="185">
        <v>2178</v>
      </c>
      <c r="CE827" s="185"/>
    </row>
    <row r="828" spans="2:83" x14ac:dyDescent="0.3">
      <c r="B828" s="182">
        <v>2829</v>
      </c>
      <c r="C828" s="182">
        <v>2179</v>
      </c>
      <c r="D828" s="182" t="s">
        <v>123</v>
      </c>
      <c r="E828" s="181" t="s">
        <v>4371</v>
      </c>
      <c r="F828" s="182"/>
      <c r="G828" s="182">
        <v>950</v>
      </c>
      <c r="H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2"/>
      <c r="X828" s="182"/>
      <c r="Y828" s="182"/>
      <c r="Z828" s="182"/>
      <c r="AA828" s="182"/>
      <c r="AB828" s="182"/>
      <c r="AC828" s="182"/>
      <c r="AD828" s="182"/>
      <c r="AE828" s="182"/>
      <c r="AF828" s="182"/>
      <c r="AG828" s="182"/>
      <c r="AH828" s="182"/>
      <c r="AI828" s="182"/>
      <c r="AJ828" s="182"/>
      <c r="AK828" s="182"/>
      <c r="AL828" s="182"/>
      <c r="AM828" s="182"/>
      <c r="AN828" s="182"/>
      <c r="AO828" s="182"/>
      <c r="AP828" s="182"/>
      <c r="AQ828" s="185">
        <v>950</v>
      </c>
      <c r="AR828" s="182">
        <v>743.31</v>
      </c>
      <c r="AS828" s="182">
        <v>159.19</v>
      </c>
      <c r="AT828" s="182"/>
      <c r="AU828" s="182">
        <v>47.5</v>
      </c>
      <c r="AV828" s="182"/>
      <c r="AW828" s="182"/>
      <c r="AX828" s="182"/>
      <c r="AY828" s="182"/>
      <c r="AZ828" s="182"/>
      <c r="BA828" s="182"/>
      <c r="BB828" s="182"/>
      <c r="BC828" s="182"/>
      <c r="BD828" s="182"/>
      <c r="BE828" s="182"/>
      <c r="BF828" s="182"/>
      <c r="BG828" s="182"/>
      <c r="BH828" s="182"/>
      <c r="BI828" s="182"/>
      <c r="BJ828" s="182"/>
      <c r="BK828" s="182"/>
      <c r="BL828" s="182"/>
      <c r="BM828" s="182"/>
      <c r="BN828" s="182"/>
      <c r="BO828" s="182"/>
      <c r="BP828" s="182"/>
      <c r="BQ828" s="182"/>
      <c r="BR828" s="182"/>
      <c r="BS828" s="182"/>
      <c r="BT828" s="182"/>
      <c r="BU828" s="182"/>
      <c r="BV828" s="182"/>
      <c r="BW828" s="182"/>
      <c r="BX828" s="182"/>
      <c r="BY828" s="182"/>
      <c r="BZ828" s="182"/>
      <c r="CA828" s="182"/>
      <c r="CB828" s="185">
        <v>950</v>
      </c>
      <c r="CC828" s="185">
        <v>0</v>
      </c>
      <c r="CD828" s="185">
        <v>2179</v>
      </c>
      <c r="CE828" s="185"/>
    </row>
    <row r="829" spans="2:83" x14ac:dyDescent="0.3">
      <c r="B829" s="182">
        <v>2827</v>
      </c>
      <c r="C829" s="182">
        <v>2180</v>
      </c>
      <c r="D829" s="182" t="s">
        <v>123</v>
      </c>
      <c r="E829" s="181" t="s">
        <v>4371</v>
      </c>
      <c r="F829" s="182"/>
      <c r="G829" s="182">
        <v>675</v>
      </c>
      <c r="H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2"/>
      <c r="X829" s="182"/>
      <c r="Y829" s="182"/>
      <c r="Z829" s="182"/>
      <c r="AA829" s="182"/>
      <c r="AB829" s="182"/>
      <c r="AC829" s="182"/>
      <c r="AD829" s="182"/>
      <c r="AE829" s="182"/>
      <c r="AF829" s="182"/>
      <c r="AG829" s="182"/>
      <c r="AH829" s="182"/>
      <c r="AI829" s="182"/>
      <c r="AJ829" s="182"/>
      <c r="AK829" s="182"/>
      <c r="AL829" s="182"/>
      <c r="AM829" s="182"/>
      <c r="AN829" s="182"/>
      <c r="AO829" s="182"/>
      <c r="AP829" s="182"/>
      <c r="AQ829" s="185">
        <v>675</v>
      </c>
      <c r="AR829" s="182">
        <v>509.96</v>
      </c>
      <c r="AS829" s="182">
        <v>131.29</v>
      </c>
      <c r="AT829" s="182"/>
      <c r="AU829" s="182">
        <v>33.75</v>
      </c>
      <c r="AV829" s="182"/>
      <c r="AW829" s="182"/>
      <c r="AX829" s="182"/>
      <c r="AY829" s="182"/>
      <c r="AZ829" s="182"/>
      <c r="BA829" s="182"/>
      <c r="BB829" s="182"/>
      <c r="BC829" s="182"/>
      <c r="BD829" s="182"/>
      <c r="BE829" s="182"/>
      <c r="BF829" s="182"/>
      <c r="BG829" s="182"/>
      <c r="BH829" s="182"/>
      <c r="BI829" s="182"/>
      <c r="BJ829" s="182"/>
      <c r="BK829" s="182"/>
      <c r="BL829" s="182"/>
      <c r="BM829" s="182"/>
      <c r="BN829" s="182"/>
      <c r="BO829" s="182"/>
      <c r="BP829" s="182"/>
      <c r="BQ829" s="182"/>
      <c r="BR829" s="182"/>
      <c r="BS829" s="182"/>
      <c r="BT829" s="182"/>
      <c r="BU829" s="182"/>
      <c r="BV829" s="182"/>
      <c r="BW829" s="182"/>
      <c r="BX829" s="182"/>
      <c r="BY829" s="182"/>
      <c r="BZ829" s="182"/>
      <c r="CA829" s="182"/>
      <c r="CB829" s="185">
        <v>675</v>
      </c>
      <c r="CC829" s="185">
        <v>0</v>
      </c>
      <c r="CD829" s="185">
        <v>2180</v>
      </c>
      <c r="CE829" s="185"/>
    </row>
    <row r="830" spans="2:83" x14ac:dyDescent="0.3">
      <c r="B830" s="182">
        <v>2903</v>
      </c>
      <c r="C830" s="182">
        <v>2181</v>
      </c>
      <c r="D830" s="182" t="s">
        <v>123</v>
      </c>
      <c r="E830" s="181" t="s">
        <v>4371</v>
      </c>
      <c r="F830" s="182"/>
      <c r="G830" s="182">
        <v>1750</v>
      </c>
      <c r="H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2"/>
      <c r="X830" s="182"/>
      <c r="Y830" s="182"/>
      <c r="Z830" s="182"/>
      <c r="AA830" s="182"/>
      <c r="AB830" s="182"/>
      <c r="AC830" s="182"/>
      <c r="AD830" s="182"/>
      <c r="AE830" s="182"/>
      <c r="AF830" s="182"/>
      <c r="AG830" s="182"/>
      <c r="AH830" s="182"/>
      <c r="AI830" s="182"/>
      <c r="AJ830" s="182"/>
      <c r="AK830" s="182"/>
      <c r="AL830" s="182"/>
      <c r="AM830" s="182"/>
      <c r="AN830" s="182"/>
      <c r="AO830" s="182"/>
      <c r="AP830" s="182"/>
      <c r="AQ830" s="185">
        <v>1750</v>
      </c>
      <c r="AR830" s="182">
        <v>1320.44</v>
      </c>
      <c r="AS830" s="182">
        <v>342.06</v>
      </c>
      <c r="AT830" s="182"/>
      <c r="AU830" s="182">
        <v>87.5</v>
      </c>
      <c r="AV830" s="182"/>
      <c r="AW830" s="182"/>
      <c r="AX830" s="182"/>
      <c r="AY830" s="182"/>
      <c r="AZ830" s="182"/>
      <c r="BA830" s="182"/>
      <c r="BB830" s="182"/>
      <c r="BC830" s="182"/>
      <c r="BD830" s="182"/>
      <c r="BE830" s="182"/>
      <c r="BF830" s="182"/>
      <c r="BG830" s="182"/>
      <c r="BH830" s="182"/>
      <c r="BI830" s="182"/>
      <c r="BJ830" s="182"/>
      <c r="BK830" s="182"/>
      <c r="BL830" s="182"/>
      <c r="BM830" s="182"/>
      <c r="BN830" s="182"/>
      <c r="BO830" s="182"/>
      <c r="BP830" s="182"/>
      <c r="BQ830" s="182"/>
      <c r="BR830" s="182"/>
      <c r="BS830" s="182"/>
      <c r="BT830" s="182"/>
      <c r="BU830" s="182"/>
      <c r="BV830" s="182"/>
      <c r="BW830" s="182"/>
      <c r="BX830" s="182"/>
      <c r="BY830" s="182"/>
      <c r="BZ830" s="182"/>
      <c r="CA830" s="182"/>
      <c r="CB830" s="185">
        <v>1750</v>
      </c>
      <c r="CC830" s="185">
        <v>0</v>
      </c>
      <c r="CD830" s="185">
        <v>2181</v>
      </c>
      <c r="CE830" s="185"/>
    </row>
    <row r="831" spans="2:83" x14ac:dyDescent="0.3">
      <c r="B831" s="182">
        <v>2904</v>
      </c>
      <c r="C831" s="182">
        <v>2182</v>
      </c>
      <c r="D831" s="182" t="s">
        <v>123</v>
      </c>
      <c r="E831" s="181" t="s">
        <v>4372</v>
      </c>
      <c r="F831" s="182"/>
      <c r="G831" s="182">
        <v>500</v>
      </c>
      <c r="H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2"/>
      <c r="X831" s="182"/>
      <c r="Y831" s="182"/>
      <c r="Z831" s="182"/>
      <c r="AA831" s="182"/>
      <c r="AB831" s="182"/>
      <c r="AC831" s="182"/>
      <c r="AD831" s="182"/>
      <c r="AE831" s="182"/>
      <c r="AF831" s="182"/>
      <c r="AG831" s="182"/>
      <c r="AH831" s="182"/>
      <c r="AI831" s="182"/>
      <c r="AJ831" s="182"/>
      <c r="AK831" s="182"/>
      <c r="AL831" s="182"/>
      <c r="AM831" s="182"/>
      <c r="AN831" s="182"/>
      <c r="AO831" s="182"/>
      <c r="AP831" s="182"/>
      <c r="AQ831" s="185">
        <v>500</v>
      </c>
      <c r="AR831" s="182">
        <v>377.64</v>
      </c>
      <c r="AS831" s="182">
        <v>97.36</v>
      </c>
      <c r="AT831" s="182"/>
      <c r="AU831" s="182">
        <v>25</v>
      </c>
      <c r="AV831" s="182"/>
      <c r="AW831" s="182"/>
      <c r="AX831" s="182"/>
      <c r="AY831" s="182"/>
      <c r="AZ831" s="182"/>
      <c r="BA831" s="182"/>
      <c r="BB831" s="182"/>
      <c r="BC831" s="182"/>
      <c r="BD831" s="182"/>
      <c r="BE831" s="182"/>
      <c r="BF831" s="182"/>
      <c r="BG831" s="182"/>
      <c r="BH831" s="182"/>
      <c r="BI831" s="182"/>
      <c r="BJ831" s="182"/>
      <c r="BK831" s="182"/>
      <c r="BL831" s="182"/>
      <c r="BM831" s="182"/>
      <c r="BN831" s="182"/>
      <c r="BO831" s="182"/>
      <c r="BP831" s="182"/>
      <c r="BQ831" s="182"/>
      <c r="BR831" s="182"/>
      <c r="BS831" s="182"/>
      <c r="BT831" s="182"/>
      <c r="BU831" s="182"/>
      <c r="BV831" s="182"/>
      <c r="BW831" s="182"/>
      <c r="BX831" s="182"/>
      <c r="BY831" s="182"/>
      <c r="BZ831" s="182"/>
      <c r="CA831" s="182"/>
      <c r="CB831" s="185">
        <v>500</v>
      </c>
      <c r="CC831" s="185">
        <v>0</v>
      </c>
      <c r="CD831" s="185">
        <v>2182</v>
      </c>
      <c r="CE831" s="185"/>
    </row>
    <row r="832" spans="2:83" x14ac:dyDescent="0.3">
      <c r="B832" s="182">
        <v>4155</v>
      </c>
      <c r="C832" s="182">
        <v>2183</v>
      </c>
      <c r="D832" s="182" t="s">
        <v>123</v>
      </c>
      <c r="E832" s="181" t="s">
        <v>4371</v>
      </c>
      <c r="F832" s="182"/>
      <c r="G832" s="182">
        <v>1500</v>
      </c>
      <c r="H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2"/>
      <c r="X832" s="182"/>
      <c r="Y832" s="182"/>
      <c r="Z832" s="182"/>
      <c r="AA832" s="182"/>
      <c r="AB832" s="182"/>
      <c r="AC832" s="182"/>
      <c r="AD832" s="182"/>
      <c r="AE832" s="182"/>
      <c r="AF832" s="182"/>
      <c r="AG832" s="182"/>
      <c r="AH832" s="182"/>
      <c r="AI832" s="182"/>
      <c r="AJ832" s="182"/>
      <c r="AK832" s="182"/>
      <c r="AL832" s="182"/>
      <c r="AM832" s="182"/>
      <c r="AN832" s="182"/>
      <c r="AO832" s="182"/>
      <c r="AP832" s="182"/>
      <c r="AQ832" s="185">
        <v>1500</v>
      </c>
      <c r="AR832" s="182">
        <v>1158.1099999999999</v>
      </c>
      <c r="AS832" s="182">
        <v>266.89</v>
      </c>
      <c r="AT832" s="182"/>
      <c r="AU832" s="182">
        <v>75</v>
      </c>
      <c r="AV832" s="182"/>
      <c r="AW832" s="182"/>
      <c r="AX832" s="182"/>
      <c r="AY832" s="182"/>
      <c r="AZ832" s="182"/>
      <c r="BA832" s="182"/>
      <c r="BB832" s="182"/>
      <c r="BC832" s="182"/>
      <c r="BD832" s="182"/>
      <c r="BE832" s="182"/>
      <c r="BF832" s="182"/>
      <c r="BG832" s="182"/>
      <c r="BH832" s="182"/>
      <c r="BI832" s="182"/>
      <c r="BJ832" s="182"/>
      <c r="BK832" s="182"/>
      <c r="BL832" s="182"/>
      <c r="BM832" s="182"/>
      <c r="BN832" s="182"/>
      <c r="BO832" s="182"/>
      <c r="BP832" s="182"/>
      <c r="BQ832" s="182"/>
      <c r="BR832" s="182"/>
      <c r="BS832" s="182"/>
      <c r="BT832" s="182"/>
      <c r="BU832" s="182"/>
      <c r="BV832" s="182"/>
      <c r="BW832" s="182"/>
      <c r="BX832" s="182"/>
      <c r="BY832" s="182"/>
      <c r="BZ832" s="182"/>
      <c r="CA832" s="182"/>
      <c r="CB832" s="185">
        <v>1500</v>
      </c>
      <c r="CC832" s="185">
        <v>0</v>
      </c>
      <c r="CD832" s="185">
        <v>2183</v>
      </c>
      <c r="CE832" s="185"/>
    </row>
    <row r="833" spans="2:83" x14ac:dyDescent="0.3">
      <c r="B833" s="182">
        <v>4157</v>
      </c>
      <c r="C833" s="182">
        <v>2184</v>
      </c>
      <c r="D833" s="182" t="s">
        <v>123</v>
      </c>
      <c r="E833" s="181" t="s">
        <v>4371</v>
      </c>
      <c r="F833" s="182"/>
      <c r="G833" s="182">
        <v>1900</v>
      </c>
      <c r="H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2"/>
      <c r="X833" s="182"/>
      <c r="Y833" s="182"/>
      <c r="Z833" s="182"/>
      <c r="AA833" s="182"/>
      <c r="AB833" s="182"/>
      <c r="AC833" s="182"/>
      <c r="AD833" s="182"/>
      <c r="AE833" s="182"/>
      <c r="AF833" s="182"/>
      <c r="AG833" s="182"/>
      <c r="AH833" s="182"/>
      <c r="AI833" s="182"/>
      <c r="AJ833" s="182"/>
      <c r="AK833" s="182"/>
      <c r="AL833" s="182"/>
      <c r="AM833" s="182"/>
      <c r="AN833" s="182"/>
      <c r="AO833" s="182"/>
      <c r="AP833" s="182"/>
      <c r="AQ833" s="185">
        <v>1900</v>
      </c>
      <c r="AR833" s="182">
        <v>1433.92</v>
      </c>
      <c r="AS833" s="182">
        <v>371.08</v>
      </c>
      <c r="AT833" s="182"/>
      <c r="AU833" s="182">
        <v>95</v>
      </c>
      <c r="AV833" s="182"/>
      <c r="AW833" s="182"/>
      <c r="AX833" s="182"/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182"/>
      <c r="BK833" s="182"/>
      <c r="BL833" s="182"/>
      <c r="BM833" s="182"/>
      <c r="BN833" s="182"/>
      <c r="BO833" s="182"/>
      <c r="BP833" s="182"/>
      <c r="BQ833" s="182"/>
      <c r="BR833" s="182"/>
      <c r="BS833" s="182"/>
      <c r="BT833" s="182"/>
      <c r="BU833" s="182"/>
      <c r="BV833" s="182"/>
      <c r="BW833" s="182"/>
      <c r="BX833" s="182"/>
      <c r="BY833" s="182"/>
      <c r="BZ833" s="182"/>
      <c r="CA833" s="182"/>
      <c r="CB833" s="185">
        <v>1900</v>
      </c>
      <c r="CC833" s="185">
        <v>0</v>
      </c>
      <c r="CD833" s="185">
        <v>2184</v>
      </c>
      <c r="CE833" s="185"/>
    </row>
    <row r="834" spans="2:83" x14ac:dyDescent="0.3">
      <c r="B834" s="182">
        <v>4159</v>
      </c>
      <c r="C834" s="182">
        <v>2185</v>
      </c>
      <c r="D834" s="182" t="s">
        <v>123</v>
      </c>
      <c r="E834" s="181" t="s">
        <v>4371</v>
      </c>
      <c r="F834" s="182"/>
      <c r="G834" s="182">
        <v>400</v>
      </c>
      <c r="H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2"/>
      <c r="X834" s="182"/>
      <c r="Y834" s="182"/>
      <c r="Z834" s="182"/>
      <c r="AA834" s="182"/>
      <c r="AB834" s="182"/>
      <c r="AC834" s="182"/>
      <c r="AD834" s="182"/>
      <c r="AE834" s="182"/>
      <c r="AF834" s="182"/>
      <c r="AG834" s="182"/>
      <c r="AH834" s="182"/>
      <c r="AI834" s="182"/>
      <c r="AJ834" s="182"/>
      <c r="AK834" s="182"/>
      <c r="AL834" s="182"/>
      <c r="AM834" s="182"/>
      <c r="AN834" s="182"/>
      <c r="AO834" s="182"/>
      <c r="AP834" s="182"/>
      <c r="AQ834" s="185">
        <v>400</v>
      </c>
      <c r="AR834" s="182">
        <v>302.16000000000003</v>
      </c>
      <c r="AS834" s="182">
        <v>77.84</v>
      </c>
      <c r="AT834" s="182"/>
      <c r="AU834" s="182">
        <v>20</v>
      </c>
      <c r="AV834" s="182"/>
      <c r="AW834" s="182"/>
      <c r="AX834" s="182"/>
      <c r="AY834" s="182"/>
      <c r="AZ834" s="182"/>
      <c r="BA834" s="182"/>
      <c r="BB834" s="182"/>
      <c r="BC834" s="182"/>
      <c r="BD834" s="182"/>
      <c r="BE834" s="182"/>
      <c r="BF834" s="182"/>
      <c r="BG834" s="182"/>
      <c r="BH834" s="182"/>
      <c r="BI834" s="182"/>
      <c r="BJ834" s="182"/>
      <c r="BK834" s="182"/>
      <c r="BL834" s="182"/>
      <c r="BM834" s="182"/>
      <c r="BN834" s="182"/>
      <c r="BO834" s="182"/>
      <c r="BP834" s="182"/>
      <c r="BQ834" s="182"/>
      <c r="BR834" s="182"/>
      <c r="BS834" s="182"/>
      <c r="BT834" s="182"/>
      <c r="BU834" s="182"/>
      <c r="BV834" s="182"/>
      <c r="BW834" s="182"/>
      <c r="BX834" s="182"/>
      <c r="BY834" s="182"/>
      <c r="BZ834" s="182"/>
      <c r="CA834" s="182"/>
      <c r="CB834" s="185">
        <v>400</v>
      </c>
      <c r="CC834" s="185">
        <v>0</v>
      </c>
      <c r="CD834" s="185">
        <v>2185</v>
      </c>
      <c r="CE834" s="185"/>
    </row>
    <row r="835" spans="2:83" x14ac:dyDescent="0.3">
      <c r="B835" s="182">
        <v>4162</v>
      </c>
      <c r="C835" s="182">
        <v>2186</v>
      </c>
      <c r="D835" s="182" t="s">
        <v>123</v>
      </c>
      <c r="E835" s="181" t="s">
        <v>4371</v>
      </c>
      <c r="F835" s="182"/>
      <c r="G835" s="182">
        <v>469</v>
      </c>
      <c r="H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2"/>
      <c r="X835" s="182"/>
      <c r="Y835" s="182"/>
      <c r="Z835" s="182"/>
      <c r="AA835" s="182"/>
      <c r="AB835" s="182"/>
      <c r="AC835" s="182"/>
      <c r="AD835" s="182"/>
      <c r="AE835" s="182"/>
      <c r="AF835" s="182"/>
      <c r="AG835" s="182"/>
      <c r="AH835" s="182"/>
      <c r="AI835" s="182"/>
      <c r="AJ835" s="182"/>
      <c r="AK835" s="182"/>
      <c r="AL835" s="182"/>
      <c r="AM835" s="182"/>
      <c r="AN835" s="182"/>
      <c r="AO835" s="182"/>
      <c r="AP835" s="182"/>
      <c r="AQ835" s="185">
        <v>469</v>
      </c>
      <c r="AR835" s="182">
        <v>313.7</v>
      </c>
      <c r="AS835" s="182">
        <v>42.3</v>
      </c>
      <c r="AT835" s="182">
        <v>113</v>
      </c>
      <c r="AU835" s="182"/>
      <c r="AV835" s="182"/>
      <c r="AW835" s="182"/>
      <c r="AX835" s="182"/>
      <c r="AY835" s="182"/>
      <c r="AZ835" s="182"/>
      <c r="BA835" s="182"/>
      <c r="BB835" s="182"/>
      <c r="BC835" s="182"/>
      <c r="BD835" s="182"/>
      <c r="BE835" s="182"/>
      <c r="BF835" s="182"/>
      <c r="BG835" s="182"/>
      <c r="BH835" s="182"/>
      <c r="BI835" s="182"/>
      <c r="BJ835" s="182"/>
      <c r="BK835" s="182"/>
      <c r="BL835" s="182"/>
      <c r="BM835" s="182"/>
      <c r="BN835" s="182"/>
      <c r="BO835" s="182"/>
      <c r="BP835" s="182"/>
      <c r="BQ835" s="182"/>
      <c r="BR835" s="182"/>
      <c r="BS835" s="182"/>
      <c r="BT835" s="182"/>
      <c r="BU835" s="182"/>
      <c r="BV835" s="182"/>
      <c r="BW835" s="182"/>
      <c r="BX835" s="182"/>
      <c r="BY835" s="182"/>
      <c r="BZ835" s="182"/>
      <c r="CA835" s="182"/>
      <c r="CB835" s="185">
        <v>469</v>
      </c>
      <c r="CC835" s="185">
        <v>0</v>
      </c>
      <c r="CD835" s="185">
        <v>2186</v>
      </c>
      <c r="CE835" s="185"/>
    </row>
    <row r="836" spans="2:83" x14ac:dyDescent="0.3">
      <c r="B836" s="182"/>
      <c r="C836" s="182">
        <v>2187</v>
      </c>
      <c r="D836" s="182"/>
      <c r="E836" s="181" t="s">
        <v>4373</v>
      </c>
      <c r="F836" s="182"/>
      <c r="G836" s="182"/>
      <c r="H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2"/>
      <c r="X836" s="182"/>
      <c r="Y836" s="182"/>
      <c r="Z836" s="182"/>
      <c r="AA836" s="182"/>
      <c r="AB836" s="182"/>
      <c r="AC836" s="182"/>
      <c r="AD836" s="182"/>
      <c r="AE836" s="182"/>
      <c r="AF836" s="182"/>
      <c r="AG836" s="182"/>
      <c r="AH836" s="182"/>
      <c r="AI836" s="182"/>
      <c r="AJ836" s="182"/>
      <c r="AK836" s="182"/>
      <c r="AL836" s="182"/>
      <c r="AM836" s="182"/>
      <c r="AN836" s="182"/>
      <c r="AO836" s="182"/>
      <c r="AP836" s="182"/>
      <c r="AQ836" s="185">
        <v>0</v>
      </c>
      <c r="AR836" s="182"/>
      <c r="AS836" s="182"/>
      <c r="AT836" s="182"/>
      <c r="AU836" s="182"/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182"/>
      <c r="BK836" s="182"/>
      <c r="BL836" s="182"/>
      <c r="BM836" s="182"/>
      <c r="BN836" s="182"/>
      <c r="BO836" s="182"/>
      <c r="BP836" s="182"/>
      <c r="BQ836" s="182"/>
      <c r="BR836" s="182"/>
      <c r="BS836" s="182"/>
      <c r="BT836" s="182"/>
      <c r="BU836" s="182"/>
      <c r="BV836" s="182"/>
      <c r="BW836" s="182"/>
      <c r="BX836" s="182"/>
      <c r="BY836" s="182"/>
      <c r="BZ836" s="182"/>
      <c r="CA836" s="182"/>
      <c r="CB836" s="185">
        <v>0</v>
      </c>
      <c r="CC836" s="185">
        <v>0</v>
      </c>
      <c r="CD836" s="185">
        <v>2187</v>
      </c>
      <c r="CE836" s="185"/>
    </row>
    <row r="837" spans="2:83" x14ac:dyDescent="0.3">
      <c r="B837" s="182">
        <v>2757</v>
      </c>
      <c r="C837" s="182">
        <v>2188</v>
      </c>
      <c r="D837" s="182" t="s">
        <v>123</v>
      </c>
      <c r="E837" s="181" t="s">
        <v>4371</v>
      </c>
      <c r="F837" s="182"/>
      <c r="G837" s="182">
        <v>469</v>
      </c>
      <c r="H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2"/>
      <c r="X837" s="182"/>
      <c r="Y837" s="182"/>
      <c r="Z837" s="182"/>
      <c r="AA837" s="182"/>
      <c r="AB837" s="182"/>
      <c r="AC837" s="182"/>
      <c r="AD837" s="182"/>
      <c r="AE837" s="182"/>
      <c r="AF837" s="182"/>
      <c r="AG837" s="182"/>
      <c r="AH837" s="182"/>
      <c r="AI837" s="182"/>
      <c r="AJ837" s="182"/>
      <c r="AK837" s="182"/>
      <c r="AL837" s="182"/>
      <c r="AM837" s="182"/>
      <c r="AN837" s="182"/>
      <c r="AO837" s="182"/>
      <c r="AP837" s="182"/>
      <c r="AQ837" s="185">
        <v>469</v>
      </c>
      <c r="AR837" s="182">
        <v>313.7</v>
      </c>
      <c r="AS837" s="182">
        <v>42.3</v>
      </c>
      <c r="AT837" s="182">
        <v>113</v>
      </c>
      <c r="AU837" s="182"/>
      <c r="AV837" s="182"/>
      <c r="AW837" s="182"/>
      <c r="AX837" s="182"/>
      <c r="AY837" s="182"/>
      <c r="AZ837" s="182"/>
      <c r="BA837" s="182"/>
      <c r="BB837" s="182"/>
      <c r="BC837" s="182"/>
      <c r="BD837" s="182"/>
      <c r="BE837" s="182"/>
      <c r="BF837" s="182"/>
      <c r="BG837" s="182"/>
      <c r="BH837" s="182"/>
      <c r="BI837" s="182"/>
      <c r="BJ837" s="182"/>
      <c r="BK837" s="182"/>
      <c r="BL837" s="182"/>
      <c r="BM837" s="182"/>
      <c r="BN837" s="182"/>
      <c r="BO837" s="182"/>
      <c r="BP837" s="182"/>
      <c r="BQ837" s="182"/>
      <c r="BR837" s="182"/>
      <c r="BS837" s="182"/>
      <c r="BT837" s="182"/>
      <c r="BU837" s="182"/>
      <c r="BV837" s="182"/>
      <c r="BW837" s="182"/>
      <c r="BX837" s="182"/>
      <c r="BY837" s="182"/>
      <c r="BZ837" s="182"/>
      <c r="CA837" s="182"/>
      <c r="CB837" s="185">
        <v>469</v>
      </c>
      <c r="CC837" s="185">
        <v>0</v>
      </c>
      <c r="CD837" s="185">
        <v>2188</v>
      </c>
      <c r="CE837" s="185"/>
    </row>
    <row r="838" spans="2:83" x14ac:dyDescent="0.3">
      <c r="B838" s="182">
        <v>2760</v>
      </c>
      <c r="C838" s="182">
        <v>2189</v>
      </c>
      <c r="D838" s="182" t="s">
        <v>123</v>
      </c>
      <c r="E838" s="181" t="s">
        <v>4371</v>
      </c>
      <c r="F838" s="182"/>
      <c r="G838" s="182">
        <v>469</v>
      </c>
      <c r="H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2"/>
      <c r="X838" s="182"/>
      <c r="Y838" s="182"/>
      <c r="Z838" s="182"/>
      <c r="AA838" s="182"/>
      <c r="AB838" s="182"/>
      <c r="AC838" s="182"/>
      <c r="AD838" s="182"/>
      <c r="AE838" s="182"/>
      <c r="AF838" s="182"/>
      <c r="AG838" s="182"/>
      <c r="AH838" s="182"/>
      <c r="AI838" s="182"/>
      <c r="AJ838" s="182"/>
      <c r="AK838" s="182"/>
      <c r="AL838" s="182"/>
      <c r="AM838" s="182"/>
      <c r="AN838" s="182"/>
      <c r="AO838" s="182"/>
      <c r="AP838" s="182"/>
      <c r="AQ838" s="185">
        <v>469</v>
      </c>
      <c r="AR838" s="182">
        <v>313.7</v>
      </c>
      <c r="AS838" s="182">
        <v>42.3</v>
      </c>
      <c r="AT838" s="182">
        <v>113</v>
      </c>
      <c r="AU838" s="182"/>
      <c r="AV838" s="182"/>
      <c r="AW838" s="182"/>
      <c r="AX838" s="182"/>
      <c r="AY838" s="182"/>
      <c r="AZ838" s="182"/>
      <c r="BA838" s="182"/>
      <c r="BB838" s="182"/>
      <c r="BC838" s="182"/>
      <c r="BD838" s="182"/>
      <c r="BE838" s="182"/>
      <c r="BF838" s="182"/>
      <c r="BG838" s="182"/>
      <c r="BH838" s="182"/>
      <c r="BI838" s="182"/>
      <c r="BJ838" s="182"/>
      <c r="BK838" s="182"/>
      <c r="BL838" s="182"/>
      <c r="BM838" s="182"/>
      <c r="BN838" s="182"/>
      <c r="BO838" s="182"/>
      <c r="BP838" s="182"/>
      <c r="BQ838" s="182"/>
      <c r="BR838" s="182"/>
      <c r="BS838" s="182"/>
      <c r="BT838" s="182"/>
      <c r="BU838" s="182"/>
      <c r="BV838" s="182"/>
      <c r="BW838" s="182"/>
      <c r="BX838" s="182"/>
      <c r="BY838" s="182"/>
      <c r="BZ838" s="182"/>
      <c r="CA838" s="182"/>
      <c r="CB838" s="185">
        <v>469</v>
      </c>
      <c r="CC838" s="185">
        <v>0</v>
      </c>
      <c r="CD838" s="185">
        <v>2189</v>
      </c>
      <c r="CE838" s="185"/>
    </row>
    <row r="839" spans="2:83" x14ac:dyDescent="0.3">
      <c r="B839" s="182">
        <v>2737</v>
      </c>
      <c r="C839" s="182">
        <v>2190</v>
      </c>
      <c r="D839" s="182" t="s">
        <v>123</v>
      </c>
      <c r="E839" s="181" t="s">
        <v>4371</v>
      </c>
      <c r="F839" s="182"/>
      <c r="G839" s="182">
        <v>469</v>
      </c>
      <c r="H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2"/>
      <c r="X839" s="182"/>
      <c r="Y839" s="182"/>
      <c r="Z839" s="182"/>
      <c r="AA839" s="182"/>
      <c r="AB839" s="182"/>
      <c r="AC839" s="182"/>
      <c r="AD839" s="182"/>
      <c r="AE839" s="182"/>
      <c r="AF839" s="182"/>
      <c r="AG839" s="182"/>
      <c r="AH839" s="182"/>
      <c r="AI839" s="182"/>
      <c r="AJ839" s="182"/>
      <c r="AK839" s="182"/>
      <c r="AL839" s="182"/>
      <c r="AM839" s="182"/>
      <c r="AN839" s="182"/>
      <c r="AO839" s="182"/>
      <c r="AP839" s="182"/>
      <c r="AQ839" s="185">
        <v>469</v>
      </c>
      <c r="AR839" s="182">
        <v>313.7</v>
      </c>
      <c r="AS839" s="182">
        <v>42.3</v>
      </c>
      <c r="AT839" s="182">
        <v>113</v>
      </c>
      <c r="AU839" s="182"/>
      <c r="AV839" s="182"/>
      <c r="AW839" s="182"/>
      <c r="AX839" s="182"/>
      <c r="AY839" s="182"/>
      <c r="AZ839" s="182"/>
      <c r="BA839" s="182"/>
      <c r="BB839" s="182"/>
      <c r="BC839" s="182"/>
      <c r="BD839" s="182"/>
      <c r="BE839" s="182"/>
      <c r="BF839" s="182"/>
      <c r="BG839" s="182"/>
      <c r="BH839" s="182"/>
      <c r="BI839" s="182"/>
      <c r="BJ839" s="182"/>
      <c r="BK839" s="182"/>
      <c r="BL839" s="182"/>
      <c r="BM839" s="182"/>
      <c r="BN839" s="182"/>
      <c r="BO839" s="182"/>
      <c r="BP839" s="182"/>
      <c r="BQ839" s="182"/>
      <c r="BR839" s="182"/>
      <c r="BS839" s="182"/>
      <c r="BT839" s="182"/>
      <c r="BU839" s="182"/>
      <c r="BV839" s="182"/>
      <c r="BW839" s="182"/>
      <c r="BX839" s="182"/>
      <c r="BY839" s="182"/>
      <c r="BZ839" s="182"/>
      <c r="CA839" s="182"/>
      <c r="CB839" s="185">
        <v>469</v>
      </c>
      <c r="CC839" s="185">
        <v>0</v>
      </c>
      <c r="CD839" s="185">
        <v>2190</v>
      </c>
      <c r="CE839" s="185"/>
    </row>
    <row r="840" spans="2:83" x14ac:dyDescent="0.3">
      <c r="B840" s="182">
        <v>2731</v>
      </c>
      <c r="C840" s="182">
        <v>2191</v>
      </c>
      <c r="D840" s="182" t="s">
        <v>123</v>
      </c>
      <c r="E840" s="181" t="s">
        <v>4371</v>
      </c>
      <c r="F840" s="182"/>
      <c r="G840" s="182">
        <v>469</v>
      </c>
      <c r="H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2"/>
      <c r="X840" s="182"/>
      <c r="Y840" s="182"/>
      <c r="Z840" s="182"/>
      <c r="AA840" s="182"/>
      <c r="AB840" s="182"/>
      <c r="AC840" s="182"/>
      <c r="AD840" s="182"/>
      <c r="AE840" s="182"/>
      <c r="AF840" s="182"/>
      <c r="AG840" s="182"/>
      <c r="AH840" s="182"/>
      <c r="AI840" s="182"/>
      <c r="AJ840" s="182"/>
      <c r="AK840" s="182"/>
      <c r="AL840" s="182"/>
      <c r="AM840" s="182"/>
      <c r="AN840" s="182"/>
      <c r="AO840" s="182"/>
      <c r="AP840" s="182"/>
      <c r="AQ840" s="185">
        <v>469</v>
      </c>
      <c r="AR840" s="182">
        <v>313.7</v>
      </c>
      <c r="AS840" s="182">
        <v>42.3</v>
      </c>
      <c r="AT840" s="182">
        <v>113</v>
      </c>
      <c r="AU840" s="182"/>
      <c r="AV840" s="182"/>
      <c r="AW840" s="182"/>
      <c r="AX840" s="182"/>
      <c r="AY840" s="182"/>
      <c r="AZ840" s="182"/>
      <c r="BA840" s="182"/>
      <c r="BB840" s="182"/>
      <c r="BC840" s="182"/>
      <c r="BD840" s="182"/>
      <c r="BE840" s="182"/>
      <c r="BF840" s="182"/>
      <c r="BG840" s="182"/>
      <c r="BH840" s="182"/>
      <c r="BI840" s="182"/>
      <c r="BJ840" s="182"/>
      <c r="BK840" s="182"/>
      <c r="BL840" s="182"/>
      <c r="BM840" s="182"/>
      <c r="BN840" s="182"/>
      <c r="BO840" s="182"/>
      <c r="BP840" s="182"/>
      <c r="BQ840" s="182"/>
      <c r="BR840" s="182"/>
      <c r="BS840" s="182"/>
      <c r="BT840" s="182"/>
      <c r="BU840" s="182"/>
      <c r="BV840" s="182"/>
      <c r="BW840" s="182"/>
      <c r="BX840" s="182"/>
      <c r="BY840" s="182"/>
      <c r="BZ840" s="182"/>
      <c r="CA840" s="182"/>
      <c r="CB840" s="185">
        <v>469</v>
      </c>
      <c r="CC840" s="185">
        <v>0</v>
      </c>
      <c r="CD840" s="185">
        <v>2191</v>
      </c>
      <c r="CE840" s="185"/>
    </row>
    <row r="841" spans="2:83" x14ac:dyDescent="0.3">
      <c r="B841" s="182">
        <v>2728</v>
      </c>
      <c r="C841" s="182">
        <v>2192</v>
      </c>
      <c r="D841" s="182" t="s">
        <v>123</v>
      </c>
      <c r="E841" s="181" t="s">
        <v>4371</v>
      </c>
      <c r="F841" s="182"/>
      <c r="G841" s="182">
        <v>791.44</v>
      </c>
      <c r="H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2"/>
      <c r="X841" s="182"/>
      <c r="Y841" s="182"/>
      <c r="Z841" s="182"/>
      <c r="AA841" s="182"/>
      <c r="AB841" s="182"/>
      <c r="AC841" s="182"/>
      <c r="AD841" s="182"/>
      <c r="AE841" s="182"/>
      <c r="AF841" s="182"/>
      <c r="AG841" s="182"/>
      <c r="AH841" s="182"/>
      <c r="AI841" s="182"/>
      <c r="AJ841" s="182"/>
      <c r="AK841" s="182"/>
      <c r="AL841" s="182"/>
      <c r="AM841" s="182"/>
      <c r="AN841" s="182"/>
      <c r="AO841" s="182"/>
      <c r="AP841" s="182"/>
      <c r="AQ841" s="185">
        <v>791.44</v>
      </c>
      <c r="AR841" s="182">
        <v>529.45000000000005</v>
      </c>
      <c r="AS841" s="182">
        <v>71.3</v>
      </c>
      <c r="AT841" s="182">
        <v>190.69</v>
      </c>
      <c r="AU841" s="182"/>
      <c r="AV841" s="182"/>
      <c r="AW841" s="182"/>
      <c r="AX841" s="182"/>
      <c r="AY841" s="182"/>
      <c r="AZ841" s="182"/>
      <c r="BA841" s="182"/>
      <c r="BB841" s="182"/>
      <c r="BC841" s="182"/>
      <c r="BD841" s="182"/>
      <c r="BE841" s="182"/>
      <c r="BF841" s="182"/>
      <c r="BG841" s="182"/>
      <c r="BH841" s="182"/>
      <c r="BI841" s="182"/>
      <c r="BJ841" s="182"/>
      <c r="BK841" s="182"/>
      <c r="BL841" s="182"/>
      <c r="BM841" s="182"/>
      <c r="BN841" s="182"/>
      <c r="BO841" s="182"/>
      <c r="BP841" s="182"/>
      <c r="BQ841" s="182"/>
      <c r="BR841" s="182"/>
      <c r="BS841" s="182"/>
      <c r="BT841" s="182"/>
      <c r="BU841" s="182"/>
      <c r="BV841" s="182"/>
      <c r="BW841" s="182"/>
      <c r="BX841" s="182"/>
      <c r="BY841" s="182"/>
      <c r="BZ841" s="182"/>
      <c r="CA841" s="182"/>
      <c r="CB841" s="185">
        <v>791.44</v>
      </c>
      <c r="CC841" s="185">
        <v>0</v>
      </c>
      <c r="CD841" s="185">
        <v>2192</v>
      </c>
      <c r="CE841" s="185"/>
    </row>
    <row r="842" spans="2:83" x14ac:dyDescent="0.3">
      <c r="B842" s="182">
        <v>2732</v>
      </c>
      <c r="C842" s="182">
        <v>2193</v>
      </c>
      <c r="D842" s="182" t="s">
        <v>123</v>
      </c>
      <c r="E842" s="181" t="s">
        <v>4371</v>
      </c>
      <c r="F842" s="182"/>
      <c r="G842" s="182">
        <v>469</v>
      </c>
      <c r="H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2"/>
      <c r="X842" s="182"/>
      <c r="Y842" s="182"/>
      <c r="Z842" s="182"/>
      <c r="AA842" s="182"/>
      <c r="AB842" s="182"/>
      <c r="AC842" s="182"/>
      <c r="AD842" s="182"/>
      <c r="AE842" s="182"/>
      <c r="AF842" s="182"/>
      <c r="AG842" s="182"/>
      <c r="AH842" s="182"/>
      <c r="AI842" s="182"/>
      <c r="AJ842" s="182"/>
      <c r="AK842" s="182"/>
      <c r="AL842" s="182"/>
      <c r="AM842" s="182"/>
      <c r="AN842" s="182"/>
      <c r="AO842" s="182"/>
      <c r="AP842" s="182"/>
      <c r="AQ842" s="185">
        <v>469</v>
      </c>
      <c r="AR842" s="182">
        <v>313.7</v>
      </c>
      <c r="AS842" s="182">
        <v>42.3</v>
      </c>
      <c r="AT842" s="182">
        <v>113</v>
      </c>
      <c r="AU842" s="182"/>
      <c r="AV842" s="182"/>
      <c r="AW842" s="182"/>
      <c r="AX842" s="182"/>
      <c r="AY842" s="182"/>
      <c r="AZ842" s="182"/>
      <c r="BA842" s="182"/>
      <c r="BB842" s="182"/>
      <c r="BC842" s="182"/>
      <c r="BD842" s="182"/>
      <c r="BE842" s="182"/>
      <c r="BF842" s="182"/>
      <c r="BG842" s="182"/>
      <c r="BH842" s="182"/>
      <c r="BI842" s="182"/>
      <c r="BJ842" s="182"/>
      <c r="BK842" s="182"/>
      <c r="BL842" s="182"/>
      <c r="BM842" s="182"/>
      <c r="BN842" s="182"/>
      <c r="BO842" s="182"/>
      <c r="BP842" s="182"/>
      <c r="BQ842" s="182"/>
      <c r="BR842" s="182"/>
      <c r="BS842" s="182"/>
      <c r="BT842" s="182"/>
      <c r="BU842" s="182"/>
      <c r="BV842" s="182"/>
      <c r="BW842" s="182"/>
      <c r="BX842" s="182"/>
      <c r="BY842" s="182"/>
      <c r="BZ842" s="182"/>
      <c r="CA842" s="182"/>
      <c r="CB842" s="185">
        <v>469</v>
      </c>
      <c r="CC842" s="185">
        <v>0</v>
      </c>
      <c r="CD842" s="185">
        <v>2193</v>
      </c>
      <c r="CE842" s="185"/>
    </row>
    <row r="843" spans="2:83" x14ac:dyDescent="0.3">
      <c r="B843" s="182">
        <v>2878</v>
      </c>
      <c r="C843" s="182">
        <v>2194</v>
      </c>
      <c r="D843" s="182" t="s">
        <v>123</v>
      </c>
      <c r="E843" s="181" t="s">
        <v>4372</v>
      </c>
      <c r="F843" s="182"/>
      <c r="G843" s="182">
        <v>879.38</v>
      </c>
      <c r="H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2"/>
      <c r="X843" s="182"/>
      <c r="Y843" s="182"/>
      <c r="Z843" s="182"/>
      <c r="AA843" s="182"/>
      <c r="AB843" s="182"/>
      <c r="AC843" s="182"/>
      <c r="AD843" s="182"/>
      <c r="AE843" s="182"/>
      <c r="AF843" s="182"/>
      <c r="AG843" s="182"/>
      <c r="AH843" s="182"/>
      <c r="AI843" s="182"/>
      <c r="AJ843" s="182"/>
      <c r="AK843" s="182"/>
      <c r="AL843" s="182"/>
      <c r="AM843" s="182"/>
      <c r="AN843" s="182"/>
      <c r="AO843" s="182"/>
      <c r="AP843" s="182"/>
      <c r="AQ843" s="185">
        <v>879.38</v>
      </c>
      <c r="AR843" s="182">
        <v>587.6</v>
      </c>
      <c r="AS843" s="182">
        <v>79.900000000000006</v>
      </c>
      <c r="AT843" s="182">
        <v>211.88</v>
      </c>
      <c r="AU843" s="182"/>
      <c r="AV843" s="182"/>
      <c r="AW843" s="182"/>
      <c r="AX843" s="182"/>
      <c r="AY843" s="182"/>
      <c r="AZ843" s="182"/>
      <c r="BA843" s="182"/>
      <c r="BB843" s="182"/>
      <c r="BC843" s="182"/>
      <c r="BD843" s="182"/>
      <c r="BE843" s="182"/>
      <c r="BF843" s="182"/>
      <c r="BG843" s="182"/>
      <c r="BH843" s="182"/>
      <c r="BI843" s="182"/>
      <c r="BJ843" s="182"/>
      <c r="BK843" s="182"/>
      <c r="BL843" s="182"/>
      <c r="BM843" s="182"/>
      <c r="BN843" s="182"/>
      <c r="BO843" s="182"/>
      <c r="BP843" s="182"/>
      <c r="BQ843" s="182"/>
      <c r="BR843" s="182"/>
      <c r="BS843" s="182"/>
      <c r="BT843" s="182"/>
      <c r="BU843" s="182"/>
      <c r="BV843" s="182"/>
      <c r="BW843" s="182"/>
      <c r="BX843" s="182"/>
      <c r="BY843" s="182"/>
      <c r="BZ843" s="182"/>
      <c r="CA843" s="182"/>
      <c r="CB843" s="185">
        <v>879.38</v>
      </c>
      <c r="CC843" s="185">
        <v>0</v>
      </c>
      <c r="CD843" s="185">
        <v>2194</v>
      </c>
      <c r="CE843" s="185"/>
    </row>
    <row r="844" spans="2:83" x14ac:dyDescent="0.3">
      <c r="B844" s="182">
        <v>2726</v>
      </c>
      <c r="C844" s="182">
        <v>2195</v>
      </c>
      <c r="D844" s="182" t="s">
        <v>123</v>
      </c>
      <c r="E844" s="181" t="s">
        <v>4371</v>
      </c>
      <c r="F844" s="182"/>
      <c r="G844" s="182">
        <v>469</v>
      </c>
      <c r="H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2"/>
      <c r="X844" s="182"/>
      <c r="Y844" s="182"/>
      <c r="Z844" s="182"/>
      <c r="AA844" s="182"/>
      <c r="AB844" s="182"/>
      <c r="AC844" s="182"/>
      <c r="AD844" s="182"/>
      <c r="AE844" s="182"/>
      <c r="AF844" s="182"/>
      <c r="AG844" s="182"/>
      <c r="AH844" s="182"/>
      <c r="AI844" s="182"/>
      <c r="AJ844" s="182"/>
      <c r="AK844" s="182"/>
      <c r="AL844" s="182"/>
      <c r="AM844" s="182"/>
      <c r="AN844" s="182"/>
      <c r="AO844" s="182"/>
      <c r="AP844" s="182"/>
      <c r="AQ844" s="185">
        <v>469</v>
      </c>
      <c r="AR844" s="182">
        <v>313.7</v>
      </c>
      <c r="AS844" s="182">
        <v>42.3</v>
      </c>
      <c r="AT844" s="182">
        <v>113</v>
      </c>
      <c r="AU844" s="182"/>
      <c r="AV844" s="182"/>
      <c r="AW844" s="182"/>
      <c r="AX844" s="182"/>
      <c r="AY844" s="182"/>
      <c r="AZ844" s="182"/>
      <c r="BA844" s="182"/>
      <c r="BB844" s="182"/>
      <c r="BC844" s="182"/>
      <c r="BD844" s="182"/>
      <c r="BE844" s="182"/>
      <c r="BF844" s="182"/>
      <c r="BG844" s="182"/>
      <c r="BH844" s="182"/>
      <c r="BI844" s="182"/>
      <c r="BJ844" s="182"/>
      <c r="BK844" s="182"/>
      <c r="BL844" s="182"/>
      <c r="BM844" s="182"/>
      <c r="BN844" s="182"/>
      <c r="BO844" s="182"/>
      <c r="BP844" s="182"/>
      <c r="BQ844" s="182"/>
      <c r="BR844" s="182"/>
      <c r="BS844" s="182"/>
      <c r="BT844" s="182"/>
      <c r="BU844" s="182"/>
      <c r="BV844" s="182"/>
      <c r="BW844" s="182"/>
      <c r="BX844" s="182"/>
      <c r="BY844" s="182"/>
      <c r="BZ844" s="182"/>
      <c r="CA844" s="182"/>
      <c r="CB844" s="185">
        <v>469</v>
      </c>
      <c r="CC844" s="185">
        <v>0</v>
      </c>
      <c r="CD844" s="185">
        <v>2195</v>
      </c>
      <c r="CE844" s="185"/>
    </row>
    <row r="845" spans="2:83" x14ac:dyDescent="0.3">
      <c r="B845" s="182">
        <v>2724</v>
      </c>
      <c r="C845" s="182">
        <v>2196</v>
      </c>
      <c r="D845" s="182" t="s">
        <v>123</v>
      </c>
      <c r="E845" s="181" t="s">
        <v>4371</v>
      </c>
      <c r="F845" s="182"/>
      <c r="G845" s="182">
        <v>469</v>
      </c>
      <c r="H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2"/>
      <c r="X845" s="182"/>
      <c r="Y845" s="182"/>
      <c r="Z845" s="182"/>
      <c r="AA845" s="182"/>
      <c r="AB845" s="182"/>
      <c r="AC845" s="182"/>
      <c r="AD845" s="182"/>
      <c r="AE845" s="182"/>
      <c r="AF845" s="182"/>
      <c r="AG845" s="182"/>
      <c r="AH845" s="182"/>
      <c r="AI845" s="182"/>
      <c r="AJ845" s="182"/>
      <c r="AK845" s="182"/>
      <c r="AL845" s="182"/>
      <c r="AM845" s="182"/>
      <c r="AN845" s="182"/>
      <c r="AO845" s="182"/>
      <c r="AP845" s="182"/>
      <c r="AQ845" s="185">
        <v>469</v>
      </c>
      <c r="AR845" s="182">
        <v>313.7</v>
      </c>
      <c r="AS845" s="182">
        <v>42.3</v>
      </c>
      <c r="AT845" s="182">
        <v>113</v>
      </c>
      <c r="AU845" s="182"/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182"/>
      <c r="BK845" s="182"/>
      <c r="BL845" s="182"/>
      <c r="BM845" s="182"/>
      <c r="BN845" s="182"/>
      <c r="BO845" s="182"/>
      <c r="BP845" s="182"/>
      <c r="BQ845" s="182"/>
      <c r="BR845" s="182"/>
      <c r="BS845" s="182"/>
      <c r="BT845" s="182"/>
      <c r="BU845" s="182"/>
      <c r="BV845" s="182"/>
      <c r="BW845" s="182"/>
      <c r="BX845" s="182"/>
      <c r="BY845" s="182"/>
      <c r="BZ845" s="182"/>
      <c r="CA845" s="182"/>
      <c r="CB845" s="185">
        <v>469</v>
      </c>
      <c r="CC845" s="185">
        <v>0</v>
      </c>
      <c r="CD845" s="185">
        <v>2196</v>
      </c>
      <c r="CE845" s="185"/>
    </row>
    <row r="846" spans="2:83" x14ac:dyDescent="0.3">
      <c r="B846" s="182">
        <v>2722</v>
      </c>
      <c r="C846" s="182">
        <v>2197</v>
      </c>
      <c r="D846" s="182" t="s">
        <v>123</v>
      </c>
      <c r="E846" s="181" t="s">
        <v>4371</v>
      </c>
      <c r="F846" s="182"/>
      <c r="G846" s="182">
        <v>469</v>
      </c>
      <c r="H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2"/>
      <c r="X846" s="182"/>
      <c r="Y846" s="182"/>
      <c r="Z846" s="182"/>
      <c r="AA846" s="182"/>
      <c r="AB846" s="182"/>
      <c r="AC846" s="182"/>
      <c r="AD846" s="182"/>
      <c r="AE846" s="182"/>
      <c r="AF846" s="182"/>
      <c r="AG846" s="182"/>
      <c r="AH846" s="182"/>
      <c r="AI846" s="182"/>
      <c r="AJ846" s="182"/>
      <c r="AK846" s="182"/>
      <c r="AL846" s="182"/>
      <c r="AM846" s="182"/>
      <c r="AN846" s="182"/>
      <c r="AO846" s="182"/>
      <c r="AP846" s="182"/>
      <c r="AQ846" s="185">
        <v>469</v>
      </c>
      <c r="AR846" s="182">
        <v>313.7</v>
      </c>
      <c r="AS846" s="182">
        <v>42.3</v>
      </c>
      <c r="AT846" s="182">
        <v>113</v>
      </c>
      <c r="AU846" s="182"/>
      <c r="AV846" s="182"/>
      <c r="AW846" s="182"/>
      <c r="AX846" s="182"/>
      <c r="AY846" s="182"/>
      <c r="AZ846" s="182"/>
      <c r="BA846" s="182"/>
      <c r="BB846" s="182"/>
      <c r="BC846" s="182"/>
      <c r="BD846" s="182"/>
      <c r="BE846" s="182"/>
      <c r="BF846" s="182"/>
      <c r="BG846" s="182"/>
      <c r="BH846" s="182"/>
      <c r="BI846" s="182"/>
      <c r="BJ846" s="182"/>
      <c r="BK846" s="182"/>
      <c r="BL846" s="182"/>
      <c r="BM846" s="182"/>
      <c r="BN846" s="182"/>
      <c r="BO846" s="182"/>
      <c r="BP846" s="182"/>
      <c r="BQ846" s="182"/>
      <c r="BR846" s="182"/>
      <c r="BS846" s="182"/>
      <c r="BT846" s="182"/>
      <c r="BU846" s="182"/>
      <c r="BV846" s="182"/>
      <c r="BW846" s="182"/>
      <c r="BX846" s="182"/>
      <c r="BY846" s="182"/>
      <c r="BZ846" s="182"/>
      <c r="CA846" s="182"/>
      <c r="CB846" s="185">
        <v>469</v>
      </c>
      <c r="CC846" s="185">
        <v>0</v>
      </c>
      <c r="CD846" s="185">
        <v>2197</v>
      </c>
      <c r="CE846" s="185"/>
    </row>
    <row r="847" spans="2:83" x14ac:dyDescent="0.3">
      <c r="B847" s="182">
        <v>2720</v>
      </c>
      <c r="C847" s="182">
        <v>2198</v>
      </c>
      <c r="D847" s="182" t="s">
        <v>123</v>
      </c>
      <c r="E847" s="181" t="s">
        <v>4371</v>
      </c>
      <c r="F847" s="182"/>
      <c r="G847" s="182">
        <v>469</v>
      </c>
      <c r="H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2"/>
      <c r="X847" s="182"/>
      <c r="Y847" s="182"/>
      <c r="Z847" s="182"/>
      <c r="AA847" s="182"/>
      <c r="AB847" s="182"/>
      <c r="AC847" s="182"/>
      <c r="AD847" s="182"/>
      <c r="AE847" s="182"/>
      <c r="AF847" s="182"/>
      <c r="AG847" s="182"/>
      <c r="AH847" s="182"/>
      <c r="AI847" s="182"/>
      <c r="AJ847" s="182"/>
      <c r="AK847" s="182"/>
      <c r="AL847" s="182"/>
      <c r="AM847" s="182"/>
      <c r="AN847" s="182"/>
      <c r="AO847" s="182"/>
      <c r="AP847" s="182"/>
      <c r="AQ847" s="185">
        <v>469</v>
      </c>
      <c r="AR847" s="182">
        <v>313.7</v>
      </c>
      <c r="AS847" s="182">
        <v>42.3</v>
      </c>
      <c r="AT847" s="182">
        <v>113</v>
      </c>
      <c r="AU847" s="182"/>
      <c r="AV847" s="182"/>
      <c r="AW847" s="182"/>
      <c r="AX847" s="182"/>
      <c r="AY847" s="182"/>
      <c r="AZ847" s="182"/>
      <c r="BA847" s="182"/>
      <c r="BB847" s="182"/>
      <c r="BC847" s="182"/>
      <c r="BD847" s="182"/>
      <c r="BE847" s="182"/>
      <c r="BF847" s="182"/>
      <c r="BG847" s="182"/>
      <c r="BH847" s="182"/>
      <c r="BI847" s="182"/>
      <c r="BJ847" s="182"/>
      <c r="BK847" s="182"/>
      <c r="BL847" s="182"/>
      <c r="BM847" s="182"/>
      <c r="BN847" s="182"/>
      <c r="BO847" s="182"/>
      <c r="BP847" s="182"/>
      <c r="BQ847" s="182"/>
      <c r="BR847" s="182"/>
      <c r="BS847" s="182"/>
      <c r="BT847" s="182"/>
      <c r="BU847" s="182"/>
      <c r="BV847" s="182"/>
      <c r="BW847" s="182"/>
      <c r="BX847" s="182"/>
      <c r="BY847" s="182"/>
      <c r="BZ847" s="182"/>
      <c r="CA847" s="182"/>
      <c r="CB847" s="185">
        <v>469</v>
      </c>
      <c r="CC847" s="185">
        <v>0</v>
      </c>
      <c r="CD847" s="185">
        <v>2198</v>
      </c>
      <c r="CE847" s="185"/>
    </row>
    <row r="848" spans="2:83" x14ac:dyDescent="0.3">
      <c r="B848" s="182"/>
      <c r="C848" s="182">
        <v>2199</v>
      </c>
      <c r="D848" s="182"/>
      <c r="E848" s="181" t="s">
        <v>4373</v>
      </c>
      <c r="F848" s="182"/>
      <c r="G848" s="182"/>
      <c r="H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2"/>
      <c r="X848" s="182"/>
      <c r="Y848" s="182"/>
      <c r="Z848" s="182"/>
      <c r="AA848" s="182"/>
      <c r="AB848" s="182"/>
      <c r="AC848" s="182"/>
      <c r="AD848" s="182"/>
      <c r="AE848" s="182"/>
      <c r="AF848" s="182"/>
      <c r="AG848" s="182"/>
      <c r="AH848" s="182"/>
      <c r="AI848" s="182"/>
      <c r="AJ848" s="182"/>
      <c r="AK848" s="182"/>
      <c r="AL848" s="182"/>
      <c r="AM848" s="182"/>
      <c r="AN848" s="182"/>
      <c r="AO848" s="182"/>
      <c r="AP848" s="182"/>
      <c r="AQ848" s="185">
        <v>0</v>
      </c>
      <c r="AR848" s="182"/>
      <c r="AS848" s="182"/>
      <c r="AT848" s="182"/>
      <c r="AU848" s="182"/>
      <c r="AV848" s="182"/>
      <c r="AW848" s="182"/>
      <c r="AX848" s="182"/>
      <c r="AY848" s="182"/>
      <c r="AZ848" s="182"/>
      <c r="BA848" s="182"/>
      <c r="BB848" s="182"/>
      <c r="BC848" s="182"/>
      <c r="BD848" s="182"/>
      <c r="BE848" s="182"/>
      <c r="BF848" s="182"/>
      <c r="BG848" s="182"/>
      <c r="BH848" s="182"/>
      <c r="BI848" s="182"/>
      <c r="BJ848" s="182"/>
      <c r="BK848" s="182"/>
      <c r="BL848" s="182"/>
      <c r="BM848" s="182"/>
      <c r="BN848" s="182"/>
      <c r="BO848" s="182"/>
      <c r="BP848" s="182"/>
      <c r="BQ848" s="182"/>
      <c r="BR848" s="182"/>
      <c r="BS848" s="182"/>
      <c r="BT848" s="182"/>
      <c r="BU848" s="182"/>
      <c r="BV848" s="182"/>
      <c r="BW848" s="182"/>
      <c r="BX848" s="182"/>
      <c r="BY848" s="182"/>
      <c r="BZ848" s="182"/>
      <c r="CA848" s="182"/>
      <c r="CB848" s="185">
        <v>0</v>
      </c>
      <c r="CC848" s="185">
        <v>0</v>
      </c>
      <c r="CD848" s="185">
        <v>2199</v>
      </c>
      <c r="CE848" s="185"/>
    </row>
    <row r="849" spans="2:83" x14ac:dyDescent="0.3">
      <c r="B849" s="182">
        <v>2698</v>
      </c>
      <c r="C849" s="182">
        <v>2200</v>
      </c>
      <c r="D849" s="182" t="s">
        <v>123</v>
      </c>
      <c r="E849" s="181" t="s">
        <v>4371</v>
      </c>
      <c r="F849" s="182"/>
      <c r="G849" s="182">
        <v>469</v>
      </c>
      <c r="H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2"/>
      <c r="X849" s="182"/>
      <c r="Y849" s="182"/>
      <c r="Z849" s="182"/>
      <c r="AA849" s="182"/>
      <c r="AB849" s="182"/>
      <c r="AC849" s="182"/>
      <c r="AD849" s="182"/>
      <c r="AE849" s="182"/>
      <c r="AF849" s="182"/>
      <c r="AG849" s="182"/>
      <c r="AH849" s="182"/>
      <c r="AI849" s="182"/>
      <c r="AJ849" s="182"/>
      <c r="AK849" s="182"/>
      <c r="AL849" s="182"/>
      <c r="AM849" s="182"/>
      <c r="AN849" s="182"/>
      <c r="AO849" s="182"/>
      <c r="AP849" s="182"/>
      <c r="AQ849" s="185">
        <v>469</v>
      </c>
      <c r="AR849" s="182">
        <v>313.7</v>
      </c>
      <c r="AS849" s="182">
        <v>42.3</v>
      </c>
      <c r="AT849" s="182">
        <v>113</v>
      </c>
      <c r="AU849" s="182"/>
      <c r="AV849" s="182"/>
      <c r="AW849" s="182"/>
      <c r="AX849" s="182"/>
      <c r="AY849" s="182"/>
      <c r="AZ849" s="182"/>
      <c r="BA849" s="182"/>
      <c r="BB849" s="182"/>
      <c r="BC849" s="182"/>
      <c r="BD849" s="182"/>
      <c r="BE849" s="182"/>
      <c r="BF849" s="182"/>
      <c r="BG849" s="182"/>
      <c r="BH849" s="182"/>
      <c r="BI849" s="182"/>
      <c r="BJ849" s="182"/>
      <c r="BK849" s="182"/>
      <c r="BL849" s="182"/>
      <c r="BM849" s="182"/>
      <c r="BN849" s="182"/>
      <c r="BO849" s="182"/>
      <c r="BP849" s="182"/>
      <c r="BQ849" s="182"/>
      <c r="BR849" s="182"/>
      <c r="BS849" s="182"/>
      <c r="BT849" s="182"/>
      <c r="BU849" s="182"/>
      <c r="BV849" s="182"/>
      <c r="BW849" s="182"/>
      <c r="BX849" s="182"/>
      <c r="BY849" s="182"/>
      <c r="BZ849" s="182"/>
      <c r="CA849" s="182"/>
      <c r="CB849" s="185">
        <v>469</v>
      </c>
      <c r="CC849" s="185">
        <v>0</v>
      </c>
      <c r="CD849" s="185">
        <v>2200</v>
      </c>
      <c r="CE849" s="185"/>
    </row>
    <row r="850" spans="2:83" x14ac:dyDescent="0.3">
      <c r="B850" s="182">
        <v>2684</v>
      </c>
      <c r="C850" s="182">
        <v>2201</v>
      </c>
      <c r="D850" s="182" t="s">
        <v>123</v>
      </c>
      <c r="E850" s="181" t="s">
        <v>4371</v>
      </c>
      <c r="F850" s="182"/>
      <c r="G850" s="182">
        <v>469</v>
      </c>
      <c r="H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2"/>
      <c r="X850" s="182"/>
      <c r="Y850" s="182"/>
      <c r="Z850" s="182"/>
      <c r="AA850" s="182"/>
      <c r="AB850" s="182"/>
      <c r="AC850" s="182"/>
      <c r="AD850" s="182"/>
      <c r="AE850" s="182"/>
      <c r="AF850" s="182"/>
      <c r="AG850" s="182"/>
      <c r="AH850" s="182"/>
      <c r="AI850" s="182"/>
      <c r="AJ850" s="182"/>
      <c r="AK850" s="182"/>
      <c r="AL850" s="182"/>
      <c r="AM850" s="182"/>
      <c r="AN850" s="182"/>
      <c r="AO850" s="182"/>
      <c r="AP850" s="182"/>
      <c r="AQ850" s="185">
        <v>469</v>
      </c>
      <c r="AR850" s="182">
        <v>313.7</v>
      </c>
      <c r="AS850" s="182">
        <v>42.3</v>
      </c>
      <c r="AT850" s="182">
        <v>113</v>
      </c>
      <c r="AU850" s="182"/>
      <c r="AV850" s="182"/>
      <c r="AW850" s="182"/>
      <c r="AX850" s="182"/>
      <c r="AY850" s="182"/>
      <c r="AZ850" s="182"/>
      <c r="BA850" s="182"/>
      <c r="BB850" s="182"/>
      <c r="BC850" s="182"/>
      <c r="BD850" s="182"/>
      <c r="BE850" s="182"/>
      <c r="BF850" s="182"/>
      <c r="BG850" s="182"/>
      <c r="BH850" s="182"/>
      <c r="BI850" s="182"/>
      <c r="BJ850" s="182"/>
      <c r="BK850" s="182"/>
      <c r="BL850" s="182"/>
      <c r="BM850" s="182"/>
      <c r="BN850" s="182"/>
      <c r="BO850" s="182"/>
      <c r="BP850" s="182"/>
      <c r="BQ850" s="182"/>
      <c r="BR850" s="182"/>
      <c r="BS850" s="182"/>
      <c r="BT850" s="182"/>
      <c r="BU850" s="182"/>
      <c r="BV850" s="182"/>
      <c r="BW850" s="182"/>
      <c r="BX850" s="182"/>
      <c r="BY850" s="182"/>
      <c r="BZ850" s="182"/>
      <c r="CA850" s="182"/>
      <c r="CB850" s="185">
        <v>469</v>
      </c>
      <c r="CC850" s="185">
        <v>0</v>
      </c>
      <c r="CD850" s="185">
        <v>2201</v>
      </c>
      <c r="CE850" s="185"/>
    </row>
    <row r="851" spans="2:83" x14ac:dyDescent="0.3">
      <c r="B851" s="182">
        <v>2749</v>
      </c>
      <c r="C851" s="182">
        <v>2202</v>
      </c>
      <c r="D851" s="182" t="s">
        <v>123</v>
      </c>
      <c r="E851" s="181" t="s">
        <v>4371</v>
      </c>
      <c r="F851" s="182"/>
      <c r="G851" s="182">
        <v>879.38</v>
      </c>
      <c r="H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2"/>
      <c r="X851" s="182"/>
      <c r="Y851" s="182"/>
      <c r="Z851" s="182"/>
      <c r="AA851" s="182"/>
      <c r="AB851" s="182"/>
      <c r="AC851" s="182"/>
      <c r="AD851" s="182"/>
      <c r="AE851" s="182"/>
      <c r="AF851" s="182"/>
      <c r="AG851" s="182"/>
      <c r="AH851" s="182"/>
      <c r="AI851" s="182"/>
      <c r="AJ851" s="182"/>
      <c r="AK851" s="182"/>
      <c r="AL851" s="182"/>
      <c r="AM851" s="182"/>
      <c r="AN851" s="182"/>
      <c r="AO851" s="182"/>
      <c r="AP851" s="182"/>
      <c r="AQ851" s="185">
        <v>879.38</v>
      </c>
      <c r="AR851" s="182">
        <v>587.6</v>
      </c>
      <c r="AS851" s="182">
        <v>79.900000000000006</v>
      </c>
      <c r="AT851" s="182">
        <v>211.88</v>
      </c>
      <c r="AU851" s="182"/>
      <c r="AV851" s="182"/>
      <c r="AW851" s="182"/>
      <c r="AX851" s="182"/>
      <c r="AY851" s="182"/>
      <c r="AZ851" s="182"/>
      <c r="BA851" s="182"/>
      <c r="BB851" s="182"/>
      <c r="BC851" s="182"/>
      <c r="BD851" s="182"/>
      <c r="BE851" s="182"/>
      <c r="BF851" s="182"/>
      <c r="BG851" s="182"/>
      <c r="BH851" s="182"/>
      <c r="BI851" s="182"/>
      <c r="BJ851" s="182"/>
      <c r="BK851" s="182"/>
      <c r="BL851" s="182"/>
      <c r="BM851" s="182"/>
      <c r="BN851" s="182"/>
      <c r="BO851" s="182"/>
      <c r="BP851" s="182"/>
      <c r="BQ851" s="182"/>
      <c r="BR851" s="182"/>
      <c r="BS851" s="182"/>
      <c r="BT851" s="182"/>
      <c r="BU851" s="182"/>
      <c r="BV851" s="182"/>
      <c r="BW851" s="182"/>
      <c r="BX851" s="182"/>
      <c r="BY851" s="182"/>
      <c r="BZ851" s="182"/>
      <c r="CA851" s="182"/>
      <c r="CB851" s="185">
        <v>879.38</v>
      </c>
      <c r="CC851" s="185">
        <v>0</v>
      </c>
      <c r="CD851" s="185">
        <v>2202</v>
      </c>
      <c r="CE851" s="185"/>
    </row>
    <row r="852" spans="2:83" x14ac:dyDescent="0.3">
      <c r="B852" s="182">
        <v>2746</v>
      </c>
      <c r="C852" s="182">
        <v>2203</v>
      </c>
      <c r="D852" s="182" t="s">
        <v>123</v>
      </c>
      <c r="E852" s="181" t="s">
        <v>4371</v>
      </c>
      <c r="F852" s="182"/>
      <c r="G852" s="182">
        <v>898.91</v>
      </c>
      <c r="H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2"/>
      <c r="X852" s="182"/>
      <c r="Y852" s="182"/>
      <c r="Z852" s="182"/>
      <c r="AA852" s="182"/>
      <c r="AB852" s="182"/>
      <c r="AC852" s="182"/>
      <c r="AD852" s="182"/>
      <c r="AE852" s="182"/>
      <c r="AF852" s="182"/>
      <c r="AG852" s="182"/>
      <c r="AH852" s="182"/>
      <c r="AI852" s="182"/>
      <c r="AJ852" s="182"/>
      <c r="AK852" s="182"/>
      <c r="AL852" s="182"/>
      <c r="AM852" s="182"/>
      <c r="AN852" s="182"/>
      <c r="AO852" s="182"/>
      <c r="AP852" s="182"/>
      <c r="AQ852" s="185">
        <v>898.91</v>
      </c>
      <c r="AR852" s="182">
        <v>601.25</v>
      </c>
      <c r="AS852" s="182">
        <v>81.070000000000007</v>
      </c>
      <c r="AT852" s="182">
        <v>216.59</v>
      </c>
      <c r="AU852" s="182"/>
      <c r="AV852" s="182"/>
      <c r="AW852" s="182"/>
      <c r="AX852" s="182"/>
      <c r="AY852" s="182"/>
      <c r="AZ852" s="182"/>
      <c r="BA852" s="182"/>
      <c r="BB852" s="182"/>
      <c r="BC852" s="182"/>
      <c r="BD852" s="182"/>
      <c r="BE852" s="182"/>
      <c r="BF852" s="182"/>
      <c r="BG852" s="182"/>
      <c r="BH852" s="182"/>
      <c r="BI852" s="182"/>
      <c r="BJ852" s="182"/>
      <c r="BK852" s="182"/>
      <c r="BL852" s="182"/>
      <c r="BM852" s="182"/>
      <c r="BN852" s="182"/>
      <c r="BO852" s="182"/>
      <c r="BP852" s="182"/>
      <c r="BQ852" s="182"/>
      <c r="BR852" s="182"/>
      <c r="BS852" s="182"/>
      <c r="BT852" s="182"/>
      <c r="BU852" s="182"/>
      <c r="BV852" s="182"/>
      <c r="BW852" s="182"/>
      <c r="BX852" s="182"/>
      <c r="BY852" s="182"/>
      <c r="BZ852" s="182"/>
      <c r="CA852" s="182"/>
      <c r="CB852" s="185">
        <v>898.91000000000008</v>
      </c>
      <c r="CC852" s="185">
        <v>0</v>
      </c>
      <c r="CD852" s="185">
        <v>2203</v>
      </c>
      <c r="CE852" s="185"/>
    </row>
    <row r="853" spans="2:83" x14ac:dyDescent="0.3">
      <c r="B853" s="182">
        <v>2744</v>
      </c>
      <c r="C853" s="182">
        <v>2204</v>
      </c>
      <c r="D853" s="182" t="s">
        <v>123</v>
      </c>
      <c r="E853" s="181" t="s">
        <v>4371</v>
      </c>
      <c r="F853" s="182"/>
      <c r="G853" s="182">
        <v>469</v>
      </c>
      <c r="H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2"/>
      <c r="X853" s="182"/>
      <c r="Y853" s="182"/>
      <c r="Z853" s="182"/>
      <c r="AA853" s="182"/>
      <c r="AB853" s="182"/>
      <c r="AC853" s="182"/>
      <c r="AD853" s="182"/>
      <c r="AE853" s="182"/>
      <c r="AF853" s="182"/>
      <c r="AG853" s="182"/>
      <c r="AH853" s="182"/>
      <c r="AI853" s="182"/>
      <c r="AJ853" s="182"/>
      <c r="AK853" s="182"/>
      <c r="AL853" s="182"/>
      <c r="AM853" s="182"/>
      <c r="AN853" s="182"/>
      <c r="AO853" s="182"/>
      <c r="AP853" s="182"/>
      <c r="AQ853" s="185">
        <v>469</v>
      </c>
      <c r="AR853" s="182">
        <v>313.7</v>
      </c>
      <c r="AS853" s="182">
        <v>42.3</v>
      </c>
      <c r="AT853" s="182">
        <v>113</v>
      </c>
      <c r="AU853" s="182"/>
      <c r="AV853" s="182"/>
      <c r="AW853" s="182"/>
      <c r="AX853" s="182"/>
      <c r="AY853" s="182"/>
      <c r="AZ853" s="182"/>
      <c r="BA853" s="182"/>
      <c r="BB853" s="182"/>
      <c r="BC853" s="182"/>
      <c r="BD853" s="182"/>
      <c r="BE853" s="182"/>
      <c r="BF853" s="182"/>
      <c r="BG853" s="182"/>
      <c r="BH853" s="182"/>
      <c r="BI853" s="182"/>
      <c r="BJ853" s="182"/>
      <c r="BK853" s="182"/>
      <c r="BL853" s="182"/>
      <c r="BM853" s="182"/>
      <c r="BN853" s="182"/>
      <c r="BO853" s="182"/>
      <c r="BP853" s="182"/>
      <c r="BQ853" s="182"/>
      <c r="BR853" s="182"/>
      <c r="BS853" s="182"/>
      <c r="BT853" s="182"/>
      <c r="BU853" s="182"/>
      <c r="BV853" s="182"/>
      <c r="BW853" s="182"/>
      <c r="BX853" s="182"/>
      <c r="BY853" s="182"/>
      <c r="BZ853" s="182"/>
      <c r="CA853" s="182"/>
      <c r="CB853" s="185">
        <v>469</v>
      </c>
      <c r="CC853" s="185">
        <v>0</v>
      </c>
      <c r="CD853" s="185">
        <v>2204</v>
      </c>
      <c r="CE853" s="185"/>
    </row>
    <row r="854" spans="2:83" x14ac:dyDescent="0.3">
      <c r="B854" s="182">
        <v>2741</v>
      </c>
      <c r="C854" s="182">
        <v>2205</v>
      </c>
      <c r="D854" s="182" t="s">
        <v>123</v>
      </c>
      <c r="E854" s="181" t="s">
        <v>4372</v>
      </c>
      <c r="F854" s="182"/>
      <c r="G854" s="182">
        <v>879.38</v>
      </c>
      <c r="H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2"/>
      <c r="X854" s="182"/>
      <c r="Y854" s="182"/>
      <c r="Z854" s="182"/>
      <c r="AA854" s="182"/>
      <c r="AB854" s="182"/>
      <c r="AC854" s="182"/>
      <c r="AD854" s="182"/>
      <c r="AE854" s="182"/>
      <c r="AF854" s="182"/>
      <c r="AG854" s="182"/>
      <c r="AH854" s="182"/>
      <c r="AI854" s="182"/>
      <c r="AJ854" s="182"/>
      <c r="AK854" s="182"/>
      <c r="AL854" s="182"/>
      <c r="AM854" s="182"/>
      <c r="AN854" s="182"/>
      <c r="AO854" s="182"/>
      <c r="AP854" s="182"/>
      <c r="AQ854" s="185">
        <v>879.38</v>
      </c>
      <c r="AR854" s="182">
        <v>587.6</v>
      </c>
      <c r="AS854" s="182">
        <v>79.900000000000006</v>
      </c>
      <c r="AT854" s="182">
        <v>211.88</v>
      </c>
      <c r="AU854" s="182"/>
      <c r="AV854" s="182"/>
      <c r="AW854" s="182"/>
      <c r="AX854" s="182"/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182"/>
      <c r="BK854" s="182"/>
      <c r="BL854" s="182"/>
      <c r="BM854" s="182"/>
      <c r="BN854" s="182"/>
      <c r="BO854" s="182"/>
      <c r="BP854" s="182"/>
      <c r="BQ854" s="182"/>
      <c r="BR854" s="182"/>
      <c r="BS854" s="182"/>
      <c r="BT854" s="182"/>
      <c r="BU854" s="182"/>
      <c r="BV854" s="182"/>
      <c r="BW854" s="182"/>
      <c r="BX854" s="182"/>
      <c r="BY854" s="182"/>
      <c r="BZ854" s="182"/>
      <c r="CA854" s="182"/>
      <c r="CB854" s="185">
        <v>879.38</v>
      </c>
      <c r="CC854" s="185">
        <v>0</v>
      </c>
      <c r="CD854" s="185">
        <v>2205</v>
      </c>
      <c r="CE854" s="185"/>
    </row>
    <row r="855" spans="2:83" x14ac:dyDescent="0.3">
      <c r="B855" s="182">
        <v>2706</v>
      </c>
      <c r="C855" s="182">
        <v>2206</v>
      </c>
      <c r="D855" s="182" t="s">
        <v>123</v>
      </c>
      <c r="E855" s="181" t="s">
        <v>4371</v>
      </c>
      <c r="F855" s="182"/>
      <c r="G855" s="182">
        <v>469</v>
      </c>
      <c r="H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2"/>
      <c r="X855" s="182"/>
      <c r="Y855" s="182"/>
      <c r="Z855" s="182"/>
      <c r="AA855" s="182"/>
      <c r="AB855" s="182"/>
      <c r="AC855" s="182"/>
      <c r="AD855" s="182"/>
      <c r="AE855" s="182"/>
      <c r="AF855" s="182"/>
      <c r="AG855" s="182"/>
      <c r="AH855" s="182"/>
      <c r="AI855" s="182"/>
      <c r="AJ855" s="182"/>
      <c r="AK855" s="182"/>
      <c r="AL855" s="182"/>
      <c r="AM855" s="182"/>
      <c r="AN855" s="182"/>
      <c r="AO855" s="182"/>
      <c r="AP855" s="182"/>
      <c r="AQ855" s="185">
        <v>469</v>
      </c>
      <c r="AR855" s="182">
        <v>313.7</v>
      </c>
      <c r="AS855" s="182">
        <v>42.3</v>
      </c>
      <c r="AT855" s="182">
        <v>113</v>
      </c>
      <c r="AU855" s="182"/>
      <c r="AV855" s="182"/>
      <c r="AW855" s="182"/>
      <c r="AX855" s="182"/>
      <c r="AY855" s="182"/>
      <c r="AZ855" s="182"/>
      <c r="BA855" s="182"/>
      <c r="BB855" s="182"/>
      <c r="BC855" s="182"/>
      <c r="BD855" s="182"/>
      <c r="BE855" s="182"/>
      <c r="BF855" s="182"/>
      <c r="BG855" s="182"/>
      <c r="BH855" s="182"/>
      <c r="BI855" s="182"/>
      <c r="BJ855" s="182"/>
      <c r="BK855" s="182"/>
      <c r="BL855" s="182"/>
      <c r="BM855" s="182"/>
      <c r="BN855" s="182"/>
      <c r="BO855" s="182"/>
      <c r="BP855" s="182"/>
      <c r="BQ855" s="182"/>
      <c r="BR855" s="182"/>
      <c r="BS855" s="182"/>
      <c r="BT855" s="182"/>
      <c r="BU855" s="182"/>
      <c r="BV855" s="182"/>
      <c r="BW855" s="182"/>
      <c r="BX855" s="182"/>
      <c r="BY855" s="182"/>
      <c r="BZ855" s="182"/>
      <c r="CA855" s="182"/>
      <c r="CB855" s="185">
        <v>469</v>
      </c>
      <c r="CC855" s="185">
        <v>0</v>
      </c>
      <c r="CD855" s="185">
        <v>2206</v>
      </c>
      <c r="CE855" s="185"/>
    </row>
    <row r="856" spans="2:83" x14ac:dyDescent="0.3">
      <c r="B856" s="182">
        <v>2712</v>
      </c>
      <c r="C856" s="182">
        <v>2207</v>
      </c>
      <c r="D856" s="182" t="s">
        <v>123</v>
      </c>
      <c r="E856" s="181" t="s">
        <v>4371</v>
      </c>
      <c r="F856" s="182"/>
      <c r="G856" s="182">
        <v>469</v>
      </c>
      <c r="H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2"/>
      <c r="X856" s="182"/>
      <c r="Y856" s="182"/>
      <c r="Z856" s="182"/>
      <c r="AA856" s="182"/>
      <c r="AB856" s="182"/>
      <c r="AC856" s="182"/>
      <c r="AD856" s="182"/>
      <c r="AE856" s="182"/>
      <c r="AF856" s="182"/>
      <c r="AG856" s="182"/>
      <c r="AH856" s="182"/>
      <c r="AI856" s="182"/>
      <c r="AJ856" s="182"/>
      <c r="AK856" s="182"/>
      <c r="AL856" s="182"/>
      <c r="AM856" s="182"/>
      <c r="AN856" s="182"/>
      <c r="AO856" s="182"/>
      <c r="AP856" s="182"/>
      <c r="AQ856" s="185">
        <v>469</v>
      </c>
      <c r="AR856" s="182">
        <v>313.7</v>
      </c>
      <c r="AS856" s="182">
        <v>42.3</v>
      </c>
      <c r="AT856" s="182">
        <v>113</v>
      </c>
      <c r="AU856" s="182"/>
      <c r="AV856" s="182"/>
      <c r="AW856" s="182"/>
      <c r="AX856" s="182"/>
      <c r="AY856" s="182"/>
      <c r="AZ856" s="182"/>
      <c r="BA856" s="182"/>
      <c r="BB856" s="182"/>
      <c r="BC856" s="182"/>
      <c r="BD856" s="182"/>
      <c r="BE856" s="182"/>
      <c r="BF856" s="182"/>
      <c r="BG856" s="182"/>
      <c r="BH856" s="182"/>
      <c r="BI856" s="182"/>
      <c r="BJ856" s="182"/>
      <c r="BK856" s="182"/>
      <c r="BL856" s="182"/>
      <c r="BM856" s="182"/>
      <c r="BN856" s="182"/>
      <c r="BO856" s="182"/>
      <c r="BP856" s="182"/>
      <c r="BQ856" s="182"/>
      <c r="BR856" s="182"/>
      <c r="BS856" s="182"/>
      <c r="BT856" s="182"/>
      <c r="BU856" s="182"/>
      <c r="BV856" s="182"/>
      <c r="BW856" s="182"/>
      <c r="BX856" s="182"/>
      <c r="BY856" s="182"/>
      <c r="BZ856" s="182"/>
      <c r="CA856" s="182"/>
      <c r="CB856" s="185">
        <v>469</v>
      </c>
      <c r="CC856" s="185">
        <v>0</v>
      </c>
      <c r="CD856" s="185">
        <v>2207</v>
      </c>
      <c r="CE856" s="185"/>
    </row>
    <row r="857" spans="2:83" x14ac:dyDescent="0.3">
      <c r="B857" s="182">
        <v>2721</v>
      </c>
      <c r="C857" s="182">
        <v>2208</v>
      </c>
      <c r="D857" s="182" t="s">
        <v>123</v>
      </c>
      <c r="E857" s="181" t="s">
        <v>4371</v>
      </c>
      <c r="F857" s="182"/>
      <c r="G857" s="182">
        <v>1940.38</v>
      </c>
      <c r="H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2"/>
      <c r="X857" s="182"/>
      <c r="Y857" s="182"/>
      <c r="Z857" s="182"/>
      <c r="AA857" s="182"/>
      <c r="AB857" s="182"/>
      <c r="AC857" s="182"/>
      <c r="AD857" s="182"/>
      <c r="AE857" s="182"/>
      <c r="AF857" s="182"/>
      <c r="AG857" s="182"/>
      <c r="AH857" s="182"/>
      <c r="AI857" s="182"/>
      <c r="AJ857" s="182"/>
      <c r="AK857" s="182"/>
      <c r="AL857" s="182"/>
      <c r="AM857" s="182"/>
      <c r="AN857" s="182"/>
      <c r="AO857" s="182"/>
      <c r="AP857" s="182"/>
      <c r="AQ857" s="185">
        <v>1940.38</v>
      </c>
      <c r="AR857" s="182">
        <v>1452.71</v>
      </c>
      <c r="AS857" s="182">
        <v>342.79</v>
      </c>
      <c r="AT857" s="182">
        <v>49.88</v>
      </c>
      <c r="AU857" s="182">
        <v>95</v>
      </c>
      <c r="AV857" s="182"/>
      <c r="AW857" s="182"/>
      <c r="AX857" s="182"/>
      <c r="AY857" s="182"/>
      <c r="AZ857" s="182"/>
      <c r="BA857" s="182"/>
      <c r="BB857" s="182"/>
      <c r="BC857" s="182"/>
      <c r="BD857" s="182"/>
      <c r="BE857" s="182"/>
      <c r="BF857" s="182"/>
      <c r="BG857" s="182"/>
      <c r="BH857" s="182"/>
      <c r="BI857" s="182"/>
      <c r="BJ857" s="182"/>
      <c r="BK857" s="182"/>
      <c r="BL857" s="182"/>
      <c r="BM857" s="182"/>
      <c r="BN857" s="182"/>
      <c r="BO857" s="182"/>
      <c r="BP857" s="182"/>
      <c r="BQ857" s="182"/>
      <c r="BR857" s="182"/>
      <c r="BS857" s="182"/>
      <c r="BT857" s="182"/>
      <c r="BU857" s="182"/>
      <c r="BV857" s="182"/>
      <c r="BW857" s="182"/>
      <c r="BX857" s="182"/>
      <c r="BY857" s="182"/>
      <c r="BZ857" s="182"/>
      <c r="CA857" s="182"/>
      <c r="CB857" s="185">
        <v>1940.38</v>
      </c>
      <c r="CC857" s="185">
        <v>0</v>
      </c>
      <c r="CD857" s="185">
        <v>2208</v>
      </c>
      <c r="CE857" s="185"/>
    </row>
    <row r="858" spans="2:83" x14ac:dyDescent="0.3">
      <c r="B858" s="182">
        <v>2723</v>
      </c>
      <c r="C858" s="182">
        <v>2209</v>
      </c>
      <c r="D858" s="182" t="s">
        <v>123</v>
      </c>
      <c r="E858" s="181" t="s">
        <v>4371</v>
      </c>
      <c r="F858" s="182"/>
      <c r="G858" s="182">
        <v>1940.38</v>
      </c>
      <c r="H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2"/>
      <c r="X858" s="182"/>
      <c r="Y858" s="182"/>
      <c r="Z858" s="182"/>
      <c r="AA858" s="182"/>
      <c r="AB858" s="182"/>
      <c r="AC858" s="182"/>
      <c r="AD858" s="182"/>
      <c r="AE858" s="182"/>
      <c r="AF858" s="182"/>
      <c r="AG858" s="182"/>
      <c r="AH858" s="182"/>
      <c r="AI858" s="182"/>
      <c r="AJ858" s="182"/>
      <c r="AK858" s="182"/>
      <c r="AL858" s="182"/>
      <c r="AM858" s="182"/>
      <c r="AN858" s="182"/>
      <c r="AO858" s="182"/>
      <c r="AP858" s="182"/>
      <c r="AQ858" s="185">
        <v>1940.38</v>
      </c>
      <c r="AR858" s="182">
        <v>1426.76</v>
      </c>
      <c r="AS858" s="182">
        <v>368.74</v>
      </c>
      <c r="AT858" s="182">
        <v>49.88</v>
      </c>
      <c r="AU858" s="182">
        <v>95</v>
      </c>
      <c r="AV858" s="182"/>
      <c r="AW858" s="182"/>
      <c r="AX858" s="182"/>
      <c r="AY858" s="182"/>
      <c r="AZ858" s="182"/>
      <c r="BA858" s="182"/>
      <c r="BB858" s="182"/>
      <c r="BC858" s="182"/>
      <c r="BD858" s="182"/>
      <c r="BE858" s="182"/>
      <c r="BF858" s="182"/>
      <c r="BG858" s="182"/>
      <c r="BH858" s="182"/>
      <c r="BI858" s="182"/>
      <c r="BJ858" s="182"/>
      <c r="BK858" s="182"/>
      <c r="BL858" s="182"/>
      <c r="BM858" s="182"/>
      <c r="BN858" s="182"/>
      <c r="BO858" s="182"/>
      <c r="BP858" s="182"/>
      <c r="BQ858" s="182"/>
      <c r="BR858" s="182"/>
      <c r="BS858" s="182"/>
      <c r="BT858" s="182"/>
      <c r="BU858" s="182"/>
      <c r="BV858" s="182"/>
      <c r="BW858" s="182"/>
      <c r="BX858" s="182"/>
      <c r="BY858" s="182"/>
      <c r="BZ858" s="182"/>
      <c r="CA858" s="182"/>
      <c r="CB858" s="185">
        <v>1940.38</v>
      </c>
      <c r="CC858" s="185">
        <v>0</v>
      </c>
      <c r="CD858" s="185">
        <v>2209</v>
      </c>
      <c r="CE858" s="185"/>
    </row>
    <row r="859" spans="2:83" x14ac:dyDescent="0.3">
      <c r="B859" s="182">
        <v>2719</v>
      </c>
      <c r="C859" s="182">
        <v>2210</v>
      </c>
      <c r="D859" s="182" t="s">
        <v>123</v>
      </c>
      <c r="E859" s="181" t="s">
        <v>4371</v>
      </c>
      <c r="F859" s="182"/>
      <c r="G859" s="182">
        <v>1900</v>
      </c>
      <c r="H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2"/>
      <c r="X859" s="182"/>
      <c r="Y859" s="182"/>
      <c r="Z859" s="182"/>
      <c r="AA859" s="182"/>
      <c r="AB859" s="182"/>
      <c r="AC859" s="182"/>
      <c r="AD859" s="182"/>
      <c r="AE859" s="182"/>
      <c r="AF859" s="182"/>
      <c r="AG859" s="182"/>
      <c r="AH859" s="182"/>
      <c r="AI859" s="182"/>
      <c r="AJ859" s="182"/>
      <c r="AK859" s="182"/>
      <c r="AL859" s="182"/>
      <c r="AM859" s="182"/>
      <c r="AN859" s="182"/>
      <c r="AO859" s="182"/>
      <c r="AP859" s="182"/>
      <c r="AQ859" s="185">
        <v>1900</v>
      </c>
      <c r="AR859" s="182">
        <v>1460.27</v>
      </c>
      <c r="AS859" s="182">
        <v>344.73</v>
      </c>
      <c r="AT859" s="182"/>
      <c r="AU859" s="182">
        <v>95</v>
      </c>
      <c r="AV859" s="182"/>
      <c r="AW859" s="182"/>
      <c r="AX859" s="182"/>
      <c r="AY859" s="182"/>
      <c r="AZ859" s="182"/>
      <c r="BA859" s="182"/>
      <c r="BB859" s="182"/>
      <c r="BC859" s="182"/>
      <c r="BD859" s="182"/>
      <c r="BE859" s="182"/>
      <c r="BF859" s="182"/>
      <c r="BG859" s="182"/>
      <c r="BH859" s="182"/>
      <c r="BI859" s="182"/>
      <c r="BJ859" s="182"/>
      <c r="BK859" s="182"/>
      <c r="BL859" s="182"/>
      <c r="BM859" s="182"/>
      <c r="BN859" s="182"/>
      <c r="BO859" s="182"/>
      <c r="BP859" s="182"/>
      <c r="BQ859" s="182"/>
      <c r="BR859" s="182"/>
      <c r="BS859" s="182"/>
      <c r="BT859" s="182"/>
      <c r="BU859" s="182"/>
      <c r="BV859" s="182"/>
      <c r="BW859" s="182"/>
      <c r="BX859" s="182"/>
      <c r="BY859" s="182"/>
      <c r="BZ859" s="182"/>
      <c r="CA859" s="182"/>
      <c r="CB859" s="185">
        <v>1900</v>
      </c>
      <c r="CC859" s="185">
        <v>0</v>
      </c>
      <c r="CD859" s="185">
        <v>2210</v>
      </c>
      <c r="CE859" s="185"/>
    </row>
    <row r="860" spans="2:83" x14ac:dyDescent="0.3">
      <c r="B860" s="182">
        <v>2727</v>
      </c>
      <c r="C860" s="182">
        <v>2211</v>
      </c>
      <c r="D860" s="182" t="s">
        <v>123</v>
      </c>
      <c r="E860" s="181" t="s">
        <v>4371</v>
      </c>
      <c r="F860" s="182"/>
      <c r="G860" s="182">
        <v>1932.56</v>
      </c>
      <c r="H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2"/>
      <c r="X860" s="182"/>
      <c r="Y860" s="182"/>
      <c r="Z860" s="182"/>
      <c r="AA860" s="182"/>
      <c r="AB860" s="182"/>
      <c r="AC860" s="182"/>
      <c r="AD860" s="182"/>
      <c r="AE860" s="182"/>
      <c r="AF860" s="182"/>
      <c r="AG860" s="182"/>
      <c r="AH860" s="182"/>
      <c r="AI860" s="182"/>
      <c r="AJ860" s="182"/>
      <c r="AK860" s="182"/>
      <c r="AL860" s="182"/>
      <c r="AM860" s="182"/>
      <c r="AN860" s="182"/>
      <c r="AO860" s="182"/>
      <c r="AP860" s="182"/>
      <c r="AQ860" s="185">
        <v>1932.56</v>
      </c>
      <c r="AR860" s="182">
        <v>1428.65</v>
      </c>
      <c r="AS860" s="182">
        <v>368.67</v>
      </c>
      <c r="AT860" s="182">
        <v>40.25</v>
      </c>
      <c r="AU860" s="182">
        <v>94.99</v>
      </c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/>
      <c r="BH860" s="182"/>
      <c r="BI860" s="182"/>
      <c r="BJ860" s="182"/>
      <c r="BK860" s="182"/>
      <c r="BL860" s="182"/>
      <c r="BM860" s="182"/>
      <c r="BN860" s="182"/>
      <c r="BO860" s="182"/>
      <c r="BP860" s="182"/>
      <c r="BQ860" s="182"/>
      <c r="BR860" s="182"/>
      <c r="BS860" s="182"/>
      <c r="BT860" s="182"/>
      <c r="BU860" s="182"/>
      <c r="BV860" s="182"/>
      <c r="BW860" s="182"/>
      <c r="BX860" s="182"/>
      <c r="BY860" s="182"/>
      <c r="BZ860" s="182"/>
      <c r="CA860" s="182"/>
      <c r="CB860" s="185">
        <v>1932.5600000000002</v>
      </c>
      <c r="CC860" s="185">
        <v>0</v>
      </c>
      <c r="CD860" s="185">
        <v>2211</v>
      </c>
      <c r="CE860" s="185"/>
    </row>
    <row r="861" spans="2:83" x14ac:dyDescent="0.3">
      <c r="B861" s="182">
        <v>2725</v>
      </c>
      <c r="C861" s="182">
        <v>2212</v>
      </c>
      <c r="D861" s="182" t="s">
        <v>123</v>
      </c>
      <c r="E861" s="181" t="s">
        <v>4371</v>
      </c>
      <c r="F861" s="182"/>
      <c r="G861" s="182">
        <v>1900</v>
      </c>
      <c r="H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2"/>
      <c r="X861" s="182"/>
      <c r="Y861" s="182"/>
      <c r="Z861" s="182"/>
      <c r="AA861" s="182"/>
      <c r="AB861" s="182"/>
      <c r="AC861" s="182"/>
      <c r="AD861" s="182"/>
      <c r="AE861" s="182"/>
      <c r="AF861" s="182"/>
      <c r="AG861" s="182"/>
      <c r="AH861" s="182"/>
      <c r="AI861" s="182"/>
      <c r="AJ861" s="182"/>
      <c r="AK861" s="182"/>
      <c r="AL861" s="182"/>
      <c r="AM861" s="182"/>
      <c r="AN861" s="182"/>
      <c r="AO861" s="182"/>
      <c r="AP861" s="182"/>
      <c r="AQ861" s="185">
        <v>1900</v>
      </c>
      <c r="AR861" s="182">
        <v>1460.27</v>
      </c>
      <c r="AS861" s="182">
        <v>344.73</v>
      </c>
      <c r="AT861" s="182"/>
      <c r="AU861" s="182">
        <v>95</v>
      </c>
      <c r="AV861" s="182"/>
      <c r="AW861" s="182"/>
      <c r="AX861" s="182"/>
      <c r="AY861" s="182"/>
      <c r="AZ861" s="182"/>
      <c r="BA861" s="182"/>
      <c r="BB861" s="182"/>
      <c r="BC861" s="182"/>
      <c r="BD861" s="182"/>
      <c r="BE861" s="182"/>
      <c r="BF861" s="182"/>
      <c r="BG861" s="182"/>
      <c r="BH861" s="182"/>
      <c r="BI861" s="182"/>
      <c r="BJ861" s="182"/>
      <c r="BK861" s="182"/>
      <c r="BL861" s="182"/>
      <c r="BM861" s="182"/>
      <c r="BN861" s="182"/>
      <c r="BO861" s="182"/>
      <c r="BP861" s="182"/>
      <c r="BQ861" s="182"/>
      <c r="BR861" s="182"/>
      <c r="BS861" s="182"/>
      <c r="BT861" s="182"/>
      <c r="BU861" s="182"/>
      <c r="BV861" s="182"/>
      <c r="BW861" s="182"/>
      <c r="BX861" s="182"/>
      <c r="BY861" s="182"/>
      <c r="BZ861" s="182"/>
      <c r="CA861" s="182"/>
      <c r="CB861" s="185">
        <v>1900</v>
      </c>
      <c r="CC861" s="185">
        <v>0</v>
      </c>
      <c r="CD861" s="185">
        <v>2212</v>
      </c>
      <c r="CE861" s="185"/>
    </row>
    <row r="862" spans="2:83" x14ac:dyDescent="0.3">
      <c r="B862" s="182">
        <v>2729</v>
      </c>
      <c r="C862" s="182">
        <v>2213</v>
      </c>
      <c r="D862" s="182" t="s">
        <v>123</v>
      </c>
      <c r="E862" s="181" t="s">
        <v>4371</v>
      </c>
      <c r="F862" s="182"/>
      <c r="G862" s="182">
        <v>1397.44</v>
      </c>
      <c r="H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2"/>
      <c r="X862" s="182"/>
      <c r="Y862" s="182"/>
      <c r="Z862" s="182"/>
      <c r="AA862" s="182"/>
      <c r="AB862" s="182"/>
      <c r="AC862" s="182"/>
      <c r="AD862" s="182"/>
      <c r="AE862" s="182"/>
      <c r="AF862" s="182"/>
      <c r="AG862" s="182"/>
      <c r="AH862" s="182"/>
      <c r="AI862" s="182"/>
      <c r="AJ862" s="182"/>
      <c r="AK862" s="182"/>
      <c r="AL862" s="182"/>
      <c r="AM862" s="182"/>
      <c r="AN862" s="182"/>
      <c r="AO862" s="182"/>
      <c r="AP862" s="182"/>
      <c r="AQ862" s="185">
        <v>1397.44</v>
      </c>
      <c r="AR862" s="182">
        <v>1006.88</v>
      </c>
      <c r="AS862" s="182">
        <v>245.37</v>
      </c>
      <c r="AT862" s="182">
        <v>77.69</v>
      </c>
      <c r="AU862" s="182">
        <v>67.5</v>
      </c>
      <c r="AV862" s="182"/>
      <c r="AW862" s="182"/>
      <c r="AX862" s="182"/>
      <c r="AY862" s="182"/>
      <c r="AZ862" s="182"/>
      <c r="BA862" s="182"/>
      <c r="BB862" s="182"/>
      <c r="BC862" s="182"/>
      <c r="BD862" s="182"/>
      <c r="BE862" s="182"/>
      <c r="BF862" s="182"/>
      <c r="BG862" s="182"/>
      <c r="BH862" s="182"/>
      <c r="BI862" s="182"/>
      <c r="BJ862" s="182"/>
      <c r="BK862" s="182"/>
      <c r="BL862" s="182"/>
      <c r="BM862" s="182"/>
      <c r="BN862" s="182"/>
      <c r="BO862" s="182"/>
      <c r="BP862" s="182"/>
      <c r="BQ862" s="182"/>
      <c r="BR862" s="182"/>
      <c r="BS862" s="182"/>
      <c r="BT862" s="182"/>
      <c r="BU862" s="182"/>
      <c r="BV862" s="182"/>
      <c r="BW862" s="182"/>
      <c r="BX862" s="182"/>
      <c r="BY862" s="182"/>
      <c r="BZ862" s="182"/>
      <c r="CA862" s="182"/>
      <c r="CB862" s="185">
        <v>1397.44</v>
      </c>
      <c r="CC862" s="185">
        <v>0</v>
      </c>
      <c r="CD862" s="185">
        <v>2213</v>
      </c>
      <c r="CE862" s="185"/>
    </row>
    <row r="863" spans="2:83" x14ac:dyDescent="0.3">
      <c r="B863" s="182">
        <v>2730</v>
      </c>
      <c r="C863" s="182">
        <v>2214</v>
      </c>
      <c r="D863" s="182" t="s">
        <v>123</v>
      </c>
      <c r="E863" s="181" t="s">
        <v>4371</v>
      </c>
      <c r="F863" s="182"/>
      <c r="G863" s="182">
        <v>275</v>
      </c>
      <c r="H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2"/>
      <c r="X863" s="182"/>
      <c r="Y863" s="182"/>
      <c r="Z863" s="182"/>
      <c r="AA863" s="182"/>
      <c r="AB863" s="182"/>
      <c r="AC863" s="182"/>
      <c r="AD863" s="182"/>
      <c r="AE863" s="182"/>
      <c r="AF863" s="182"/>
      <c r="AG863" s="182"/>
      <c r="AH863" s="182"/>
      <c r="AI863" s="182"/>
      <c r="AJ863" s="182"/>
      <c r="AK863" s="182"/>
      <c r="AL863" s="182"/>
      <c r="AM863" s="182"/>
      <c r="AN863" s="182"/>
      <c r="AO863" s="182"/>
      <c r="AP863" s="182"/>
      <c r="AQ863" s="185">
        <v>275</v>
      </c>
      <c r="AR863" s="182">
        <v>207.8</v>
      </c>
      <c r="AS863" s="182">
        <v>53.45</v>
      </c>
      <c r="AT863" s="182"/>
      <c r="AU863" s="182">
        <v>13.75</v>
      </c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182"/>
      <c r="BK863" s="182"/>
      <c r="BL863" s="182"/>
      <c r="BM863" s="182"/>
      <c r="BN863" s="182"/>
      <c r="BO863" s="182"/>
      <c r="BP863" s="182"/>
      <c r="BQ863" s="182"/>
      <c r="BR863" s="182"/>
      <c r="BS863" s="182"/>
      <c r="BT863" s="182"/>
      <c r="BU863" s="182"/>
      <c r="BV863" s="182"/>
      <c r="BW863" s="182"/>
      <c r="BX863" s="182"/>
      <c r="BY863" s="182"/>
      <c r="BZ863" s="182"/>
      <c r="CA863" s="182"/>
      <c r="CB863" s="185">
        <v>275</v>
      </c>
      <c r="CC863" s="185">
        <v>0</v>
      </c>
      <c r="CD863" s="185">
        <v>2214</v>
      </c>
      <c r="CE863" s="185"/>
    </row>
    <row r="864" spans="2:83" x14ac:dyDescent="0.3">
      <c r="B864" s="182">
        <v>2755</v>
      </c>
      <c r="C864" s="182">
        <v>2215</v>
      </c>
      <c r="D864" s="182" t="s">
        <v>123</v>
      </c>
      <c r="E864" s="181" t="s">
        <v>4371</v>
      </c>
      <c r="F864" s="182"/>
      <c r="G864" s="182">
        <v>733.32</v>
      </c>
      <c r="H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2"/>
      <c r="X864" s="182"/>
      <c r="Y864" s="182"/>
      <c r="Z864" s="182"/>
      <c r="AA864" s="182"/>
      <c r="AB864" s="182"/>
      <c r="AC864" s="182"/>
      <c r="AD864" s="182"/>
      <c r="AE864" s="182"/>
      <c r="AF864" s="182"/>
      <c r="AG864" s="182"/>
      <c r="AH864" s="182"/>
      <c r="AI864" s="182"/>
      <c r="AJ864" s="182"/>
      <c r="AK864" s="182"/>
      <c r="AL864" s="182"/>
      <c r="AM864" s="182"/>
      <c r="AN864" s="182"/>
      <c r="AO864" s="182"/>
      <c r="AP864" s="182"/>
      <c r="AQ864" s="185">
        <v>733.32</v>
      </c>
      <c r="AR864" s="182">
        <v>588.59</v>
      </c>
      <c r="AS864" s="182">
        <v>108.07</v>
      </c>
      <c r="AT864" s="182"/>
      <c r="AU864" s="182">
        <v>36.659999999999997</v>
      </c>
      <c r="AV864" s="182"/>
      <c r="AW864" s="182"/>
      <c r="AX864" s="182"/>
      <c r="AY864" s="182"/>
      <c r="AZ864" s="182"/>
      <c r="BA864" s="182"/>
      <c r="BB864" s="182"/>
      <c r="BC864" s="182"/>
      <c r="BD864" s="182"/>
      <c r="BE864" s="182"/>
      <c r="BF864" s="182"/>
      <c r="BG864" s="182"/>
      <c r="BH864" s="182"/>
      <c r="BI864" s="182"/>
      <c r="BJ864" s="182"/>
      <c r="BK864" s="182"/>
      <c r="BL864" s="182"/>
      <c r="BM864" s="182"/>
      <c r="BN864" s="182"/>
      <c r="BO864" s="182"/>
      <c r="BP864" s="182"/>
      <c r="BQ864" s="182"/>
      <c r="BR864" s="182"/>
      <c r="BS864" s="182"/>
      <c r="BT864" s="182"/>
      <c r="BU864" s="182"/>
      <c r="BV864" s="182"/>
      <c r="BW864" s="182"/>
      <c r="BX864" s="182"/>
      <c r="BY864" s="182"/>
      <c r="BZ864" s="182"/>
      <c r="CA864" s="182"/>
      <c r="CB864" s="185">
        <v>733.32</v>
      </c>
      <c r="CC864" s="185">
        <v>0</v>
      </c>
      <c r="CD864" s="185">
        <v>2215</v>
      </c>
      <c r="CE864" s="185"/>
    </row>
    <row r="865" spans="2:83" x14ac:dyDescent="0.3">
      <c r="B865" s="182">
        <v>2753</v>
      </c>
      <c r="C865" s="182">
        <v>2216</v>
      </c>
      <c r="D865" s="182" t="s">
        <v>123</v>
      </c>
      <c r="E865" s="181" t="s">
        <v>4371</v>
      </c>
      <c r="F865" s="182"/>
      <c r="G865" s="182">
        <v>950</v>
      </c>
      <c r="H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2"/>
      <c r="X865" s="182"/>
      <c r="Y865" s="182"/>
      <c r="Z865" s="182"/>
      <c r="AA865" s="182"/>
      <c r="AB865" s="182"/>
      <c r="AC865" s="182"/>
      <c r="AD865" s="182"/>
      <c r="AE865" s="182"/>
      <c r="AF865" s="182"/>
      <c r="AG865" s="182"/>
      <c r="AH865" s="182"/>
      <c r="AI865" s="182"/>
      <c r="AJ865" s="182"/>
      <c r="AK865" s="182"/>
      <c r="AL865" s="182"/>
      <c r="AM865" s="182"/>
      <c r="AN865" s="182"/>
      <c r="AO865" s="182"/>
      <c r="AP865" s="182"/>
      <c r="AQ865" s="185">
        <v>950</v>
      </c>
      <c r="AR865" s="182">
        <v>716.96</v>
      </c>
      <c r="AS865" s="182">
        <v>185.54</v>
      </c>
      <c r="AT865" s="182"/>
      <c r="AU865" s="182">
        <v>47.5</v>
      </c>
      <c r="AV865" s="182"/>
      <c r="AW865" s="182"/>
      <c r="AX865" s="182"/>
      <c r="AY865" s="182"/>
      <c r="AZ865" s="182"/>
      <c r="BA865" s="182"/>
      <c r="BB865" s="182"/>
      <c r="BC865" s="182"/>
      <c r="BD865" s="182"/>
      <c r="BE865" s="182"/>
      <c r="BF865" s="182"/>
      <c r="BG865" s="182"/>
      <c r="BH865" s="182"/>
      <c r="BI865" s="182"/>
      <c r="BJ865" s="182"/>
      <c r="BK865" s="182"/>
      <c r="BL865" s="182"/>
      <c r="BM865" s="182"/>
      <c r="BN865" s="182"/>
      <c r="BO865" s="182"/>
      <c r="BP865" s="182"/>
      <c r="BQ865" s="182"/>
      <c r="BR865" s="182"/>
      <c r="BS865" s="182"/>
      <c r="BT865" s="182"/>
      <c r="BU865" s="182"/>
      <c r="BV865" s="182"/>
      <c r="BW865" s="182"/>
      <c r="BX865" s="182"/>
      <c r="BY865" s="182"/>
      <c r="BZ865" s="182"/>
      <c r="CA865" s="182"/>
      <c r="CB865" s="185">
        <v>950</v>
      </c>
      <c r="CC865" s="185">
        <v>0</v>
      </c>
      <c r="CD865" s="185">
        <v>2216</v>
      </c>
      <c r="CE865" s="185"/>
    </row>
    <row r="866" spans="2:83" x14ac:dyDescent="0.3">
      <c r="B866" s="182">
        <v>2754</v>
      </c>
      <c r="C866" s="182">
        <v>2217</v>
      </c>
      <c r="D866" s="182" t="s">
        <v>123</v>
      </c>
      <c r="E866" s="181" t="s">
        <v>4371</v>
      </c>
      <c r="F866" s="182"/>
      <c r="G866" s="182">
        <v>967</v>
      </c>
      <c r="H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2"/>
      <c r="X866" s="182"/>
      <c r="Y866" s="182"/>
      <c r="Z866" s="182"/>
      <c r="AA866" s="182"/>
      <c r="AB866" s="182"/>
      <c r="AC866" s="182"/>
      <c r="AD866" s="182"/>
      <c r="AE866" s="182"/>
      <c r="AF866" s="182"/>
      <c r="AG866" s="182"/>
      <c r="AH866" s="182"/>
      <c r="AI866" s="182"/>
      <c r="AJ866" s="182"/>
      <c r="AK866" s="182"/>
      <c r="AL866" s="182"/>
      <c r="AM866" s="182"/>
      <c r="AN866" s="182"/>
      <c r="AO866" s="182"/>
      <c r="AP866" s="182"/>
      <c r="AQ866" s="185">
        <v>967</v>
      </c>
      <c r="AR866" s="182">
        <v>740.15</v>
      </c>
      <c r="AS866" s="182">
        <v>158.35</v>
      </c>
      <c r="AT866" s="182">
        <v>21</v>
      </c>
      <c r="AU866" s="182">
        <v>47.5</v>
      </c>
      <c r="AV866" s="182"/>
      <c r="AW866" s="182"/>
      <c r="AX866" s="182"/>
      <c r="AY866" s="182"/>
      <c r="AZ866" s="182"/>
      <c r="BA866" s="182"/>
      <c r="BB866" s="182"/>
      <c r="BC866" s="182"/>
      <c r="BD866" s="182"/>
      <c r="BE866" s="182"/>
      <c r="BF866" s="182"/>
      <c r="BG866" s="182"/>
      <c r="BH866" s="182"/>
      <c r="BI866" s="182"/>
      <c r="BJ866" s="182"/>
      <c r="BK866" s="182"/>
      <c r="BL866" s="182"/>
      <c r="BM866" s="182"/>
      <c r="BN866" s="182"/>
      <c r="BO866" s="182"/>
      <c r="BP866" s="182"/>
      <c r="BQ866" s="182"/>
      <c r="BR866" s="182"/>
      <c r="BS866" s="182"/>
      <c r="BT866" s="182"/>
      <c r="BU866" s="182"/>
      <c r="BV866" s="182"/>
      <c r="BW866" s="182"/>
      <c r="BX866" s="182"/>
      <c r="BY866" s="182"/>
      <c r="BZ866" s="182"/>
      <c r="CA866" s="182"/>
      <c r="CB866" s="185">
        <v>967</v>
      </c>
      <c r="CC866" s="185">
        <v>0</v>
      </c>
      <c r="CD866" s="185">
        <v>2217</v>
      </c>
      <c r="CE866" s="185"/>
    </row>
    <row r="867" spans="2:83" x14ac:dyDescent="0.3">
      <c r="B867" s="182">
        <v>2756</v>
      </c>
      <c r="C867" s="182">
        <v>2218</v>
      </c>
      <c r="D867" s="182" t="s">
        <v>123</v>
      </c>
      <c r="E867" s="181" t="s">
        <v>4371</v>
      </c>
      <c r="F867" s="182"/>
      <c r="G867" s="182">
        <v>1166.6600000000001</v>
      </c>
      <c r="H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2"/>
      <c r="X867" s="182"/>
      <c r="Y867" s="182"/>
      <c r="Z867" s="182"/>
      <c r="AA867" s="182"/>
      <c r="AB867" s="182"/>
      <c r="AC867" s="182"/>
      <c r="AD867" s="182"/>
      <c r="AE867" s="182"/>
      <c r="AF867" s="182"/>
      <c r="AG867" s="182"/>
      <c r="AH867" s="182"/>
      <c r="AI867" s="182"/>
      <c r="AJ867" s="182"/>
      <c r="AK867" s="182"/>
      <c r="AL867" s="182"/>
      <c r="AM867" s="182"/>
      <c r="AN867" s="182"/>
      <c r="AO867" s="182"/>
      <c r="AP867" s="182"/>
      <c r="AQ867" s="185">
        <v>1166.6600000000001</v>
      </c>
      <c r="AR867" s="182">
        <v>880.78</v>
      </c>
      <c r="AS867" s="182">
        <v>227.55</v>
      </c>
      <c r="AT867" s="182"/>
      <c r="AU867" s="182">
        <v>58.33</v>
      </c>
      <c r="AV867" s="182"/>
      <c r="AW867" s="182"/>
      <c r="AX867" s="182"/>
      <c r="AY867" s="182"/>
      <c r="AZ867" s="182"/>
      <c r="BA867" s="182"/>
      <c r="BB867" s="182"/>
      <c r="BC867" s="182"/>
      <c r="BD867" s="182"/>
      <c r="BE867" s="182"/>
      <c r="BF867" s="182"/>
      <c r="BG867" s="182"/>
      <c r="BH867" s="182"/>
      <c r="BI867" s="182"/>
      <c r="BJ867" s="182"/>
      <c r="BK867" s="182"/>
      <c r="BL867" s="182"/>
      <c r="BM867" s="182"/>
      <c r="BN867" s="182"/>
      <c r="BO867" s="182"/>
      <c r="BP867" s="182"/>
      <c r="BQ867" s="182"/>
      <c r="BR867" s="182"/>
      <c r="BS867" s="182"/>
      <c r="BT867" s="182"/>
      <c r="BU867" s="182"/>
      <c r="BV867" s="182"/>
      <c r="BW867" s="182"/>
      <c r="BX867" s="182"/>
      <c r="BY867" s="182"/>
      <c r="BZ867" s="182"/>
      <c r="CA867" s="182"/>
      <c r="CB867" s="185">
        <v>1166.6599999999999</v>
      </c>
      <c r="CC867" s="185">
        <v>0</v>
      </c>
      <c r="CD867" s="185">
        <v>2218</v>
      </c>
      <c r="CE867" s="185"/>
    </row>
    <row r="868" spans="2:83" x14ac:dyDescent="0.3">
      <c r="B868" s="182">
        <v>2682</v>
      </c>
      <c r="C868" s="182">
        <v>2219</v>
      </c>
      <c r="D868" s="182" t="s">
        <v>123</v>
      </c>
      <c r="E868" s="181" t="s">
        <v>4371</v>
      </c>
      <c r="F868" s="182"/>
      <c r="G868" s="182">
        <v>1350</v>
      </c>
      <c r="H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2"/>
      <c r="X868" s="182"/>
      <c r="Y868" s="182"/>
      <c r="Z868" s="182"/>
      <c r="AA868" s="182"/>
      <c r="AB868" s="182"/>
      <c r="AC868" s="182"/>
      <c r="AD868" s="182"/>
      <c r="AE868" s="182"/>
      <c r="AF868" s="182"/>
      <c r="AG868" s="182"/>
      <c r="AH868" s="182"/>
      <c r="AI868" s="182"/>
      <c r="AJ868" s="182"/>
      <c r="AK868" s="182"/>
      <c r="AL868" s="182"/>
      <c r="AM868" s="182"/>
      <c r="AN868" s="182"/>
      <c r="AO868" s="182"/>
      <c r="AP868" s="182"/>
      <c r="AQ868" s="185">
        <v>1350</v>
      </c>
      <c r="AR868" s="182">
        <v>1019.12</v>
      </c>
      <c r="AS868" s="182">
        <v>263.38</v>
      </c>
      <c r="AT868" s="182"/>
      <c r="AU868" s="182">
        <v>67.5</v>
      </c>
      <c r="AV868" s="182"/>
      <c r="AW868" s="182"/>
      <c r="AX868" s="182"/>
      <c r="AY868" s="182"/>
      <c r="AZ868" s="182"/>
      <c r="BA868" s="182"/>
      <c r="BB868" s="182"/>
      <c r="BC868" s="182"/>
      <c r="BD868" s="182"/>
      <c r="BE868" s="182"/>
      <c r="BF868" s="182"/>
      <c r="BG868" s="182"/>
      <c r="BH868" s="182"/>
      <c r="BI868" s="182"/>
      <c r="BJ868" s="182"/>
      <c r="BK868" s="182"/>
      <c r="BL868" s="182"/>
      <c r="BM868" s="182"/>
      <c r="BN868" s="182"/>
      <c r="BO868" s="182"/>
      <c r="BP868" s="182"/>
      <c r="BQ868" s="182"/>
      <c r="BR868" s="182"/>
      <c r="BS868" s="182"/>
      <c r="BT868" s="182"/>
      <c r="BU868" s="182"/>
      <c r="BV868" s="182"/>
      <c r="BW868" s="182"/>
      <c r="BX868" s="182"/>
      <c r="BY868" s="182"/>
      <c r="BZ868" s="182"/>
      <c r="CA868" s="182"/>
      <c r="CB868" s="185">
        <v>1350</v>
      </c>
      <c r="CC868" s="185">
        <v>0</v>
      </c>
      <c r="CD868" s="185">
        <v>2219</v>
      </c>
      <c r="CE868" s="185"/>
    </row>
    <row r="869" spans="2:83" x14ac:dyDescent="0.3">
      <c r="B869" s="182">
        <v>2855</v>
      </c>
      <c r="C869" s="182">
        <v>2220</v>
      </c>
      <c r="D869" s="182" t="s">
        <v>123</v>
      </c>
      <c r="E869" s="181" t="s">
        <v>4371</v>
      </c>
      <c r="F869" s="182"/>
      <c r="G869" s="182">
        <v>1350</v>
      </c>
      <c r="H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2"/>
      <c r="X869" s="182"/>
      <c r="Y869" s="182"/>
      <c r="Z869" s="182"/>
      <c r="AA869" s="182"/>
      <c r="AB869" s="182"/>
      <c r="AC869" s="182"/>
      <c r="AD869" s="182"/>
      <c r="AE869" s="182"/>
      <c r="AF869" s="182"/>
      <c r="AG869" s="182"/>
      <c r="AH869" s="182"/>
      <c r="AI869" s="182"/>
      <c r="AJ869" s="182"/>
      <c r="AK869" s="182"/>
      <c r="AL869" s="182"/>
      <c r="AM869" s="182"/>
      <c r="AN869" s="182"/>
      <c r="AO869" s="182"/>
      <c r="AP869" s="182"/>
      <c r="AQ869" s="185">
        <v>1350</v>
      </c>
      <c r="AR869" s="182">
        <v>1019.12</v>
      </c>
      <c r="AS869" s="182">
        <v>263.38</v>
      </c>
      <c r="AT869" s="182"/>
      <c r="AU869" s="182">
        <v>67.5</v>
      </c>
      <c r="AV869" s="182"/>
      <c r="AW869" s="182"/>
      <c r="AX869" s="182"/>
      <c r="AY869" s="182"/>
      <c r="AZ869" s="182"/>
      <c r="BA869" s="182"/>
      <c r="BB869" s="182"/>
      <c r="BC869" s="182"/>
      <c r="BD869" s="182"/>
      <c r="BE869" s="182"/>
      <c r="BF869" s="182"/>
      <c r="BG869" s="182"/>
      <c r="BH869" s="182"/>
      <c r="BI869" s="182"/>
      <c r="BJ869" s="182"/>
      <c r="BK869" s="182"/>
      <c r="BL869" s="182"/>
      <c r="BM869" s="182"/>
      <c r="BN869" s="182"/>
      <c r="BO869" s="182"/>
      <c r="BP869" s="182"/>
      <c r="BQ869" s="182"/>
      <c r="BR869" s="182"/>
      <c r="BS869" s="182"/>
      <c r="BT869" s="182"/>
      <c r="BU869" s="182"/>
      <c r="BV869" s="182"/>
      <c r="BW869" s="182"/>
      <c r="BX869" s="182"/>
      <c r="BY869" s="182"/>
      <c r="BZ869" s="182"/>
      <c r="CA869" s="182"/>
      <c r="CB869" s="185">
        <v>1350</v>
      </c>
      <c r="CC869" s="185">
        <v>0</v>
      </c>
      <c r="CD869" s="185">
        <v>2220</v>
      </c>
      <c r="CE869" s="185"/>
    </row>
    <row r="870" spans="2:83" x14ac:dyDescent="0.3">
      <c r="B870" s="182">
        <v>2683</v>
      </c>
      <c r="C870" s="182">
        <v>2221</v>
      </c>
      <c r="D870" s="182" t="s">
        <v>123</v>
      </c>
      <c r="E870" s="181" t="s">
        <v>4371</v>
      </c>
      <c r="F870" s="182"/>
      <c r="G870" s="182">
        <v>1166.6600000000001</v>
      </c>
      <c r="H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2"/>
      <c r="X870" s="182"/>
      <c r="Y870" s="182"/>
      <c r="Z870" s="182"/>
      <c r="AA870" s="182"/>
      <c r="AB870" s="182"/>
      <c r="AC870" s="182"/>
      <c r="AD870" s="182"/>
      <c r="AE870" s="182"/>
      <c r="AF870" s="182"/>
      <c r="AG870" s="182"/>
      <c r="AH870" s="182"/>
      <c r="AI870" s="182"/>
      <c r="AJ870" s="182"/>
      <c r="AK870" s="182"/>
      <c r="AL870" s="182"/>
      <c r="AM870" s="182"/>
      <c r="AN870" s="182"/>
      <c r="AO870" s="182"/>
      <c r="AP870" s="182"/>
      <c r="AQ870" s="185">
        <v>1166.6600000000001</v>
      </c>
      <c r="AR870" s="182">
        <v>880.78</v>
      </c>
      <c r="AS870" s="182">
        <v>227.55</v>
      </c>
      <c r="AT870" s="182"/>
      <c r="AU870" s="182">
        <v>58.33</v>
      </c>
      <c r="AV870" s="182"/>
      <c r="AW870" s="182"/>
      <c r="AX870" s="182"/>
      <c r="AY870" s="182"/>
      <c r="AZ870" s="182"/>
      <c r="BA870" s="182"/>
      <c r="BB870" s="182"/>
      <c r="BC870" s="182"/>
      <c r="BD870" s="182"/>
      <c r="BE870" s="182"/>
      <c r="BF870" s="182"/>
      <c r="BG870" s="182"/>
      <c r="BH870" s="182"/>
      <c r="BI870" s="182"/>
      <c r="BJ870" s="182"/>
      <c r="BK870" s="182"/>
      <c r="BL870" s="182"/>
      <c r="BM870" s="182"/>
      <c r="BN870" s="182"/>
      <c r="BO870" s="182"/>
      <c r="BP870" s="182"/>
      <c r="BQ870" s="182"/>
      <c r="BR870" s="182"/>
      <c r="BS870" s="182"/>
      <c r="BT870" s="182"/>
      <c r="BU870" s="182"/>
      <c r="BV870" s="182"/>
      <c r="BW870" s="182"/>
      <c r="BX870" s="182"/>
      <c r="BY870" s="182"/>
      <c r="BZ870" s="182"/>
      <c r="CA870" s="182"/>
      <c r="CB870" s="185">
        <v>1166.6599999999999</v>
      </c>
      <c r="CC870" s="185">
        <v>0</v>
      </c>
      <c r="CD870" s="185">
        <v>2221</v>
      </c>
      <c r="CE870" s="185"/>
    </row>
    <row r="871" spans="2:83" x14ac:dyDescent="0.3">
      <c r="B871" s="182">
        <v>2685</v>
      </c>
      <c r="C871" s="182">
        <v>2222</v>
      </c>
      <c r="D871" s="182" t="s">
        <v>123</v>
      </c>
      <c r="E871" s="181" t="s">
        <v>4371</v>
      </c>
      <c r="F871" s="182"/>
      <c r="G871" s="182">
        <v>400</v>
      </c>
      <c r="H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2"/>
      <c r="X871" s="182"/>
      <c r="Y871" s="182"/>
      <c r="Z871" s="182"/>
      <c r="AA871" s="182"/>
      <c r="AB871" s="182"/>
      <c r="AC871" s="182"/>
      <c r="AD871" s="182"/>
      <c r="AE871" s="182"/>
      <c r="AF871" s="182"/>
      <c r="AG871" s="182"/>
      <c r="AH871" s="182"/>
      <c r="AI871" s="182"/>
      <c r="AJ871" s="182"/>
      <c r="AK871" s="182"/>
      <c r="AL871" s="182"/>
      <c r="AM871" s="182"/>
      <c r="AN871" s="182"/>
      <c r="AO871" s="182"/>
      <c r="AP871" s="182"/>
      <c r="AQ871" s="185">
        <v>400</v>
      </c>
      <c r="AR871" s="182">
        <v>302.16000000000003</v>
      </c>
      <c r="AS871" s="182">
        <v>77.84</v>
      </c>
      <c r="AT871" s="182"/>
      <c r="AU871" s="182">
        <v>20</v>
      </c>
      <c r="AV871" s="182"/>
      <c r="AW871" s="182"/>
      <c r="AX871" s="182"/>
      <c r="AY871" s="182"/>
      <c r="AZ871" s="182"/>
      <c r="BA871" s="182"/>
      <c r="BB871" s="182"/>
      <c r="BC871" s="182"/>
      <c r="BD871" s="182"/>
      <c r="BE871" s="182"/>
      <c r="BF871" s="182"/>
      <c r="BG871" s="182"/>
      <c r="BH871" s="182"/>
      <c r="BI871" s="182"/>
      <c r="BJ871" s="182"/>
      <c r="BK871" s="182"/>
      <c r="BL871" s="182"/>
      <c r="BM871" s="182"/>
      <c r="BN871" s="182"/>
      <c r="BO871" s="182"/>
      <c r="BP871" s="182"/>
      <c r="BQ871" s="182"/>
      <c r="BR871" s="182"/>
      <c r="BS871" s="182"/>
      <c r="BT871" s="182"/>
      <c r="BU871" s="182"/>
      <c r="BV871" s="182"/>
      <c r="BW871" s="182"/>
      <c r="BX871" s="182"/>
      <c r="BY871" s="182"/>
      <c r="BZ871" s="182"/>
      <c r="CA871" s="182"/>
      <c r="CB871" s="185">
        <v>400</v>
      </c>
      <c r="CC871" s="185">
        <v>0</v>
      </c>
      <c r="CD871" s="185">
        <v>2222</v>
      </c>
      <c r="CE871" s="185"/>
    </row>
    <row r="872" spans="2:83" x14ac:dyDescent="0.3">
      <c r="B872" s="182">
        <v>2696</v>
      </c>
      <c r="C872" s="182">
        <v>2223</v>
      </c>
      <c r="D872" s="182" t="s">
        <v>123</v>
      </c>
      <c r="E872" s="181" t="s">
        <v>4371</v>
      </c>
      <c r="F872" s="182"/>
      <c r="G872" s="182">
        <v>766.66</v>
      </c>
      <c r="H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2"/>
      <c r="X872" s="182"/>
      <c r="Y872" s="182"/>
      <c r="Z872" s="182"/>
      <c r="AA872" s="182"/>
      <c r="AB872" s="182"/>
      <c r="AC872" s="182"/>
      <c r="AD872" s="182"/>
      <c r="AE872" s="182"/>
      <c r="AF872" s="182"/>
      <c r="AG872" s="182"/>
      <c r="AH872" s="182"/>
      <c r="AI872" s="182"/>
      <c r="AJ872" s="182"/>
      <c r="AK872" s="182"/>
      <c r="AL872" s="182"/>
      <c r="AM872" s="182"/>
      <c r="AN872" s="182"/>
      <c r="AO872" s="182"/>
      <c r="AP872" s="182"/>
      <c r="AQ872" s="185">
        <v>766.66</v>
      </c>
      <c r="AR872" s="182">
        <v>596.46</v>
      </c>
      <c r="AS872" s="182">
        <v>131.87</v>
      </c>
      <c r="AT872" s="182"/>
      <c r="AU872" s="182">
        <v>38.33</v>
      </c>
      <c r="AV872" s="182"/>
      <c r="AW872" s="182"/>
      <c r="AX872" s="182"/>
      <c r="AY872" s="182"/>
      <c r="AZ872" s="182"/>
      <c r="BA872" s="182"/>
      <c r="BB872" s="182"/>
      <c r="BC872" s="182"/>
      <c r="BD872" s="182"/>
      <c r="BE872" s="182"/>
      <c r="BF872" s="182"/>
      <c r="BG872" s="182"/>
      <c r="BH872" s="182"/>
      <c r="BI872" s="182"/>
      <c r="BJ872" s="182"/>
      <c r="BK872" s="182"/>
      <c r="BL872" s="182"/>
      <c r="BM872" s="182"/>
      <c r="BN872" s="182"/>
      <c r="BO872" s="182"/>
      <c r="BP872" s="182"/>
      <c r="BQ872" s="182"/>
      <c r="BR872" s="182"/>
      <c r="BS872" s="182"/>
      <c r="BT872" s="182"/>
      <c r="BU872" s="182"/>
      <c r="BV872" s="182"/>
      <c r="BW872" s="182"/>
      <c r="BX872" s="182"/>
      <c r="BY872" s="182"/>
      <c r="BZ872" s="182"/>
      <c r="CA872" s="182"/>
      <c r="CB872" s="185">
        <v>766.66000000000008</v>
      </c>
      <c r="CC872" s="185">
        <v>0</v>
      </c>
      <c r="CD872" s="185">
        <v>2223</v>
      </c>
      <c r="CE872" s="185"/>
    </row>
    <row r="873" spans="2:83" x14ac:dyDescent="0.3">
      <c r="B873" s="182">
        <v>2700</v>
      </c>
      <c r="C873" s="182">
        <v>2224</v>
      </c>
      <c r="D873" s="182" t="s">
        <v>123</v>
      </c>
      <c r="E873" s="181" t="s">
        <v>4371</v>
      </c>
      <c r="F873" s="182"/>
      <c r="G873" s="182">
        <v>1900</v>
      </c>
      <c r="H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2"/>
      <c r="X873" s="182"/>
      <c r="Y873" s="182"/>
      <c r="Z873" s="182"/>
      <c r="AA873" s="182"/>
      <c r="AB873" s="182"/>
      <c r="AC873" s="182"/>
      <c r="AD873" s="182"/>
      <c r="AE873" s="182"/>
      <c r="AF873" s="182"/>
      <c r="AG873" s="182"/>
      <c r="AH873" s="182"/>
      <c r="AI873" s="182"/>
      <c r="AJ873" s="182"/>
      <c r="AK873" s="182"/>
      <c r="AL873" s="182"/>
      <c r="AM873" s="182"/>
      <c r="AN873" s="182"/>
      <c r="AO873" s="182"/>
      <c r="AP873" s="182"/>
      <c r="AQ873" s="185">
        <v>1900</v>
      </c>
      <c r="AR873" s="182">
        <v>1434.32</v>
      </c>
      <c r="AS873" s="182">
        <v>370.68</v>
      </c>
      <c r="AT873" s="182"/>
      <c r="AU873" s="182">
        <v>95</v>
      </c>
      <c r="AV873" s="182"/>
      <c r="AW873" s="182"/>
      <c r="AX873" s="182"/>
      <c r="AY873" s="182"/>
      <c r="AZ873" s="182"/>
      <c r="BA873" s="182"/>
      <c r="BB873" s="182"/>
      <c r="BC873" s="182"/>
      <c r="BD873" s="182"/>
      <c r="BE873" s="182"/>
      <c r="BF873" s="182"/>
      <c r="BG873" s="182"/>
      <c r="BH873" s="182"/>
      <c r="BI873" s="182"/>
      <c r="BJ873" s="182"/>
      <c r="BK873" s="182"/>
      <c r="BL873" s="182"/>
      <c r="BM873" s="182"/>
      <c r="BN873" s="182"/>
      <c r="BO873" s="182"/>
      <c r="BP873" s="182"/>
      <c r="BQ873" s="182"/>
      <c r="BR873" s="182"/>
      <c r="BS873" s="182"/>
      <c r="BT873" s="182"/>
      <c r="BU873" s="182"/>
      <c r="BV873" s="182"/>
      <c r="BW873" s="182"/>
      <c r="BX873" s="182"/>
      <c r="BY873" s="182"/>
      <c r="BZ873" s="182"/>
      <c r="CA873" s="182"/>
      <c r="CB873" s="185">
        <v>1900</v>
      </c>
      <c r="CC873" s="185">
        <v>0</v>
      </c>
      <c r="CD873" s="185">
        <v>2224</v>
      </c>
      <c r="CE873" s="185"/>
    </row>
    <row r="874" spans="2:83" x14ac:dyDescent="0.3">
      <c r="B874" s="182">
        <v>2697</v>
      </c>
      <c r="C874" s="182">
        <v>2225</v>
      </c>
      <c r="D874" s="182" t="s">
        <v>123</v>
      </c>
      <c r="E874" s="181" t="s">
        <v>4371</v>
      </c>
      <c r="F874" s="182"/>
      <c r="G874" s="182">
        <v>766.66</v>
      </c>
      <c r="H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2"/>
      <c r="X874" s="182"/>
      <c r="Y874" s="182"/>
      <c r="Z874" s="182"/>
      <c r="AA874" s="182"/>
      <c r="AB874" s="182"/>
      <c r="AC874" s="182"/>
      <c r="AD874" s="182"/>
      <c r="AE874" s="182"/>
      <c r="AF874" s="182"/>
      <c r="AG874" s="182"/>
      <c r="AH874" s="182"/>
      <c r="AI874" s="182"/>
      <c r="AJ874" s="182"/>
      <c r="AK874" s="182"/>
      <c r="AL874" s="182"/>
      <c r="AM874" s="182"/>
      <c r="AN874" s="182"/>
      <c r="AO874" s="182"/>
      <c r="AP874" s="182"/>
      <c r="AQ874" s="185">
        <v>766.66</v>
      </c>
      <c r="AR874" s="182">
        <v>578.62</v>
      </c>
      <c r="AS874" s="182">
        <v>149.71</v>
      </c>
      <c r="AT874" s="182"/>
      <c r="AU874" s="182">
        <v>38.33</v>
      </c>
      <c r="AV874" s="182"/>
      <c r="AW874" s="182"/>
      <c r="AX874" s="182"/>
      <c r="AY874" s="182"/>
      <c r="AZ874" s="182"/>
      <c r="BA874" s="182"/>
      <c r="BB874" s="182"/>
      <c r="BC874" s="182"/>
      <c r="BD874" s="182"/>
      <c r="BE874" s="182"/>
      <c r="BF874" s="182"/>
      <c r="BG874" s="182"/>
      <c r="BH874" s="182"/>
      <c r="BI874" s="182"/>
      <c r="BJ874" s="182"/>
      <c r="BK874" s="182"/>
      <c r="BL874" s="182"/>
      <c r="BM874" s="182"/>
      <c r="BN874" s="182"/>
      <c r="BO874" s="182"/>
      <c r="BP874" s="182"/>
      <c r="BQ874" s="182"/>
      <c r="BR874" s="182"/>
      <c r="BS874" s="182"/>
      <c r="BT874" s="182"/>
      <c r="BU874" s="182"/>
      <c r="BV874" s="182"/>
      <c r="BW874" s="182"/>
      <c r="BX874" s="182"/>
      <c r="BY874" s="182"/>
      <c r="BZ874" s="182"/>
      <c r="CA874" s="182"/>
      <c r="CB874" s="185">
        <v>766.66000000000008</v>
      </c>
      <c r="CC874" s="185">
        <v>0</v>
      </c>
      <c r="CD874" s="185">
        <v>2225</v>
      </c>
      <c r="CE874" s="185"/>
    </row>
    <row r="875" spans="2:83" x14ac:dyDescent="0.3">
      <c r="B875" s="182">
        <v>2704</v>
      </c>
      <c r="C875" s="182">
        <v>2226</v>
      </c>
      <c r="D875" s="182" t="s">
        <v>123</v>
      </c>
      <c r="E875" s="181" t="s">
        <v>4371</v>
      </c>
      <c r="F875" s="182"/>
      <c r="G875" s="182">
        <v>1133.32</v>
      </c>
      <c r="H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2"/>
      <c r="X875" s="182"/>
      <c r="Y875" s="182"/>
      <c r="Z875" s="182"/>
      <c r="AA875" s="182"/>
      <c r="AB875" s="182"/>
      <c r="AC875" s="182"/>
      <c r="AD875" s="182"/>
      <c r="AE875" s="182"/>
      <c r="AF875" s="182"/>
      <c r="AG875" s="182"/>
      <c r="AH875" s="182"/>
      <c r="AI875" s="182"/>
      <c r="AJ875" s="182"/>
      <c r="AK875" s="182"/>
      <c r="AL875" s="182"/>
      <c r="AM875" s="182"/>
      <c r="AN875" s="182"/>
      <c r="AO875" s="182"/>
      <c r="AP875" s="182"/>
      <c r="AQ875" s="185">
        <v>1133.32</v>
      </c>
      <c r="AR875" s="182">
        <v>873.44</v>
      </c>
      <c r="AS875" s="182">
        <v>203.22</v>
      </c>
      <c r="AT875" s="182"/>
      <c r="AU875" s="182">
        <v>56.66</v>
      </c>
      <c r="AV875" s="182"/>
      <c r="AW875" s="182"/>
      <c r="AX875" s="182"/>
      <c r="AY875" s="182"/>
      <c r="AZ875" s="182"/>
      <c r="BA875" s="182"/>
      <c r="BB875" s="182"/>
      <c r="BC875" s="182"/>
      <c r="BD875" s="182"/>
      <c r="BE875" s="182"/>
      <c r="BF875" s="182"/>
      <c r="BG875" s="182"/>
      <c r="BH875" s="182"/>
      <c r="BI875" s="182"/>
      <c r="BJ875" s="182"/>
      <c r="BK875" s="182"/>
      <c r="BL875" s="182"/>
      <c r="BM875" s="182"/>
      <c r="BN875" s="182"/>
      <c r="BO875" s="182"/>
      <c r="BP875" s="182"/>
      <c r="BQ875" s="182"/>
      <c r="BR875" s="182"/>
      <c r="BS875" s="182"/>
      <c r="BT875" s="182"/>
      <c r="BU875" s="182"/>
      <c r="BV875" s="182"/>
      <c r="BW875" s="182"/>
      <c r="BX875" s="182"/>
      <c r="BY875" s="182"/>
      <c r="BZ875" s="182"/>
      <c r="CA875" s="182"/>
      <c r="CB875" s="185">
        <v>1133.3200000000002</v>
      </c>
      <c r="CC875" s="185">
        <v>0</v>
      </c>
      <c r="CD875" s="185">
        <v>2226</v>
      </c>
      <c r="CE875" s="185"/>
    </row>
    <row r="876" spans="2:83" x14ac:dyDescent="0.3">
      <c r="B876" s="182">
        <v>2738</v>
      </c>
      <c r="C876" s="182">
        <v>2227</v>
      </c>
      <c r="D876" s="182" t="s">
        <v>123</v>
      </c>
      <c r="E876" s="181" t="s">
        <v>4371</v>
      </c>
      <c r="F876" s="182"/>
      <c r="G876" s="182">
        <v>1901.74</v>
      </c>
      <c r="H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2"/>
      <c r="X876" s="182"/>
      <c r="Y876" s="182"/>
      <c r="Z876" s="182"/>
      <c r="AA876" s="182"/>
      <c r="AB876" s="182"/>
      <c r="AC876" s="182"/>
      <c r="AD876" s="182"/>
      <c r="AE876" s="182"/>
      <c r="AF876" s="182"/>
      <c r="AG876" s="182"/>
      <c r="AH876" s="182"/>
      <c r="AI876" s="182"/>
      <c r="AJ876" s="182"/>
      <c r="AK876" s="182"/>
      <c r="AL876" s="182"/>
      <c r="AM876" s="182"/>
      <c r="AN876" s="182"/>
      <c r="AO876" s="182"/>
      <c r="AP876" s="182"/>
      <c r="AQ876" s="185">
        <v>1901.74</v>
      </c>
      <c r="AR876" s="182">
        <v>1459.94</v>
      </c>
      <c r="AS876" s="182">
        <v>344.65</v>
      </c>
      <c r="AT876" s="182">
        <v>2.15</v>
      </c>
      <c r="AU876" s="182">
        <v>95</v>
      </c>
      <c r="AV876" s="182"/>
      <c r="AW876" s="182"/>
      <c r="AX876" s="182"/>
      <c r="AY876" s="182"/>
      <c r="AZ876" s="182"/>
      <c r="BA876" s="182"/>
      <c r="BB876" s="182"/>
      <c r="BC876" s="182"/>
      <c r="BD876" s="182"/>
      <c r="BE876" s="182"/>
      <c r="BF876" s="182"/>
      <c r="BG876" s="182"/>
      <c r="BH876" s="182"/>
      <c r="BI876" s="182"/>
      <c r="BJ876" s="182"/>
      <c r="BK876" s="182"/>
      <c r="BL876" s="182"/>
      <c r="BM876" s="182"/>
      <c r="BN876" s="182"/>
      <c r="BO876" s="182"/>
      <c r="BP876" s="182"/>
      <c r="BQ876" s="182"/>
      <c r="BR876" s="182"/>
      <c r="BS876" s="182"/>
      <c r="BT876" s="182"/>
      <c r="BU876" s="182"/>
      <c r="BV876" s="182"/>
      <c r="BW876" s="182"/>
      <c r="BX876" s="182"/>
      <c r="BY876" s="182"/>
      <c r="BZ876" s="182"/>
      <c r="CA876" s="182"/>
      <c r="CB876" s="185">
        <v>1901.7400000000002</v>
      </c>
      <c r="CC876" s="185">
        <v>0</v>
      </c>
      <c r="CD876" s="185">
        <v>2227</v>
      </c>
      <c r="CE876" s="185"/>
    </row>
    <row r="877" spans="2:83" x14ac:dyDescent="0.3">
      <c r="B877" s="182">
        <v>2739</v>
      </c>
      <c r="C877" s="182">
        <v>2228</v>
      </c>
      <c r="D877" s="182" t="s">
        <v>123</v>
      </c>
      <c r="E877" s="181" t="s">
        <v>4371</v>
      </c>
      <c r="F877" s="182"/>
      <c r="G877" s="182">
        <v>1933.32</v>
      </c>
      <c r="H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2"/>
      <c r="X877" s="182"/>
      <c r="Y877" s="182"/>
      <c r="Z877" s="182"/>
      <c r="AA877" s="182"/>
      <c r="AB877" s="182"/>
      <c r="AC877" s="182"/>
      <c r="AD877" s="182"/>
      <c r="AE877" s="182"/>
      <c r="AF877" s="182"/>
      <c r="AG877" s="182"/>
      <c r="AH877" s="182"/>
      <c r="AI877" s="182"/>
      <c r="AJ877" s="182"/>
      <c r="AK877" s="182"/>
      <c r="AL877" s="182"/>
      <c r="AM877" s="182"/>
      <c r="AN877" s="182"/>
      <c r="AO877" s="182"/>
      <c r="AP877" s="182"/>
      <c r="AQ877" s="185">
        <v>1933.32</v>
      </c>
      <c r="AR877" s="182">
        <v>1459.4</v>
      </c>
      <c r="AS877" s="182">
        <v>377.26</v>
      </c>
      <c r="AT877" s="182"/>
      <c r="AU877" s="182">
        <v>96.66</v>
      </c>
      <c r="AV877" s="182"/>
      <c r="AW877" s="182"/>
      <c r="AX877" s="182"/>
      <c r="AY877" s="182"/>
      <c r="AZ877" s="182"/>
      <c r="BA877" s="182"/>
      <c r="BB877" s="182"/>
      <c r="BC877" s="182"/>
      <c r="BD877" s="182"/>
      <c r="BE877" s="182"/>
      <c r="BF877" s="182"/>
      <c r="BG877" s="182"/>
      <c r="BH877" s="182"/>
      <c r="BI877" s="182"/>
      <c r="BJ877" s="182"/>
      <c r="BK877" s="182"/>
      <c r="BL877" s="182"/>
      <c r="BM877" s="182"/>
      <c r="BN877" s="182"/>
      <c r="BO877" s="182"/>
      <c r="BP877" s="182"/>
      <c r="BQ877" s="182"/>
      <c r="BR877" s="182"/>
      <c r="BS877" s="182"/>
      <c r="BT877" s="182"/>
      <c r="BU877" s="182"/>
      <c r="BV877" s="182"/>
      <c r="BW877" s="182"/>
      <c r="BX877" s="182"/>
      <c r="BY877" s="182"/>
      <c r="BZ877" s="182"/>
      <c r="CA877" s="182"/>
      <c r="CB877" s="185">
        <v>1933.3200000000002</v>
      </c>
      <c r="CC877" s="185">
        <v>0</v>
      </c>
      <c r="CD877" s="185">
        <v>2228</v>
      </c>
      <c r="CE877" s="185"/>
    </row>
    <row r="878" spans="2:83" x14ac:dyDescent="0.3">
      <c r="B878" s="182">
        <v>2695</v>
      </c>
      <c r="C878" s="182">
        <v>2229</v>
      </c>
      <c r="D878" s="182" t="s">
        <v>123</v>
      </c>
      <c r="E878" s="181" t="s">
        <v>4371</v>
      </c>
      <c r="F878" s="182"/>
      <c r="G878" s="182">
        <v>400</v>
      </c>
      <c r="H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2"/>
      <c r="X878" s="182"/>
      <c r="Y878" s="182"/>
      <c r="Z878" s="182"/>
      <c r="AA878" s="182"/>
      <c r="AB878" s="182"/>
      <c r="AC878" s="182"/>
      <c r="AD878" s="182"/>
      <c r="AE878" s="182"/>
      <c r="AF878" s="182"/>
      <c r="AG878" s="182"/>
      <c r="AH878" s="182"/>
      <c r="AI878" s="182"/>
      <c r="AJ878" s="182"/>
      <c r="AK878" s="182"/>
      <c r="AL878" s="182"/>
      <c r="AM878" s="182"/>
      <c r="AN878" s="182"/>
      <c r="AO878" s="182"/>
      <c r="AP878" s="182"/>
      <c r="AQ878" s="185">
        <v>400</v>
      </c>
      <c r="AR878" s="182">
        <v>302.16000000000003</v>
      </c>
      <c r="AS878" s="182">
        <v>77.84</v>
      </c>
      <c r="AT878" s="182"/>
      <c r="AU878" s="182">
        <v>20</v>
      </c>
      <c r="AV878" s="182"/>
      <c r="AW878" s="182"/>
      <c r="AX878" s="182"/>
      <c r="AY878" s="182"/>
      <c r="AZ878" s="182"/>
      <c r="BA878" s="182"/>
      <c r="BB878" s="182"/>
      <c r="BC878" s="182"/>
      <c r="BD878" s="182"/>
      <c r="BE878" s="182"/>
      <c r="BF878" s="182"/>
      <c r="BG878" s="182"/>
      <c r="BH878" s="182"/>
      <c r="BI878" s="182"/>
      <c r="BJ878" s="182"/>
      <c r="BK878" s="182"/>
      <c r="BL878" s="182"/>
      <c r="BM878" s="182"/>
      <c r="BN878" s="182"/>
      <c r="BO878" s="182"/>
      <c r="BP878" s="182"/>
      <c r="BQ878" s="182"/>
      <c r="BR878" s="182"/>
      <c r="BS878" s="182"/>
      <c r="BT878" s="182"/>
      <c r="BU878" s="182"/>
      <c r="BV878" s="182"/>
      <c r="BW878" s="182"/>
      <c r="BX878" s="182"/>
      <c r="BY878" s="182"/>
      <c r="BZ878" s="182"/>
      <c r="CA878" s="182"/>
      <c r="CB878" s="185">
        <v>400</v>
      </c>
      <c r="CC878" s="185">
        <v>0</v>
      </c>
      <c r="CD878" s="185">
        <v>2229</v>
      </c>
      <c r="CE878" s="185"/>
    </row>
    <row r="879" spans="2:83" x14ac:dyDescent="0.3">
      <c r="B879" s="182">
        <v>2693</v>
      </c>
      <c r="C879" s="182">
        <v>2230</v>
      </c>
      <c r="D879" s="182" t="s">
        <v>123</v>
      </c>
      <c r="E879" s="181" t="s">
        <v>4371</v>
      </c>
      <c r="F879" s="182"/>
      <c r="G879" s="182">
        <v>366.66</v>
      </c>
      <c r="H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2"/>
      <c r="X879" s="182"/>
      <c r="Y879" s="182"/>
      <c r="Z879" s="182"/>
      <c r="AA879" s="182"/>
      <c r="AB879" s="182"/>
      <c r="AC879" s="182"/>
      <c r="AD879" s="182"/>
      <c r="AE879" s="182"/>
      <c r="AF879" s="182"/>
      <c r="AG879" s="182"/>
      <c r="AH879" s="182"/>
      <c r="AI879" s="182"/>
      <c r="AJ879" s="182"/>
      <c r="AK879" s="182"/>
      <c r="AL879" s="182"/>
      <c r="AM879" s="182"/>
      <c r="AN879" s="182"/>
      <c r="AO879" s="182"/>
      <c r="AP879" s="182"/>
      <c r="AQ879" s="185">
        <v>366.66</v>
      </c>
      <c r="AR879" s="182">
        <v>294.3</v>
      </c>
      <c r="AS879" s="182">
        <v>54.03</v>
      </c>
      <c r="AT879" s="182"/>
      <c r="AU879" s="182">
        <v>18.329999999999998</v>
      </c>
      <c r="AV879" s="182"/>
      <c r="AW879" s="182"/>
      <c r="AX879" s="182"/>
      <c r="AY879" s="182"/>
      <c r="AZ879" s="182"/>
      <c r="BA879" s="182"/>
      <c r="BB879" s="182"/>
      <c r="BC879" s="182"/>
      <c r="BD879" s="182"/>
      <c r="BE879" s="182"/>
      <c r="BF879" s="182"/>
      <c r="BG879" s="182"/>
      <c r="BH879" s="182"/>
      <c r="BI879" s="182"/>
      <c r="BJ879" s="182"/>
      <c r="BK879" s="182"/>
      <c r="BL879" s="182"/>
      <c r="BM879" s="182"/>
      <c r="BN879" s="182"/>
      <c r="BO879" s="182"/>
      <c r="BP879" s="182"/>
      <c r="BQ879" s="182"/>
      <c r="BR879" s="182"/>
      <c r="BS879" s="182"/>
      <c r="BT879" s="182"/>
      <c r="BU879" s="182"/>
      <c r="BV879" s="182"/>
      <c r="BW879" s="182"/>
      <c r="BX879" s="182"/>
      <c r="BY879" s="182"/>
      <c r="BZ879" s="182"/>
      <c r="CA879" s="182"/>
      <c r="CB879" s="185">
        <v>366.66</v>
      </c>
      <c r="CC879" s="185">
        <v>0</v>
      </c>
      <c r="CD879" s="185">
        <v>2230</v>
      </c>
      <c r="CE879" s="185"/>
    </row>
    <row r="880" spans="2:83" x14ac:dyDescent="0.3">
      <c r="B880" s="182">
        <v>2686</v>
      </c>
      <c r="C880" s="182">
        <v>2231</v>
      </c>
      <c r="D880" s="182" t="s">
        <v>123</v>
      </c>
      <c r="E880" s="181" t="s">
        <v>4371</v>
      </c>
      <c r="F880" s="182"/>
      <c r="G880" s="182">
        <v>1499.98</v>
      </c>
      <c r="H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2"/>
      <c r="X880" s="182"/>
      <c r="Y880" s="182"/>
      <c r="Z880" s="182"/>
      <c r="AA880" s="182"/>
      <c r="AB880" s="182"/>
      <c r="AC880" s="182"/>
      <c r="AD880" s="182"/>
      <c r="AE880" s="182"/>
      <c r="AF880" s="182"/>
      <c r="AG880" s="182"/>
      <c r="AH880" s="182"/>
      <c r="AI880" s="182"/>
      <c r="AJ880" s="182"/>
      <c r="AK880" s="182"/>
      <c r="AL880" s="182"/>
      <c r="AM880" s="182"/>
      <c r="AN880" s="182"/>
      <c r="AO880" s="182"/>
      <c r="AP880" s="182"/>
      <c r="AQ880" s="185">
        <v>1499.98</v>
      </c>
      <c r="AR880" s="182">
        <v>1132.58</v>
      </c>
      <c r="AS880" s="182">
        <v>292.41000000000003</v>
      </c>
      <c r="AT880" s="182"/>
      <c r="AU880" s="182">
        <v>74.989999999999995</v>
      </c>
      <c r="AV880" s="182"/>
      <c r="AW880" s="182"/>
      <c r="AX880" s="182"/>
      <c r="AY880" s="182"/>
      <c r="AZ880" s="182"/>
      <c r="BA880" s="182"/>
      <c r="BB880" s="182"/>
      <c r="BC880" s="182"/>
      <c r="BD880" s="182"/>
      <c r="BE880" s="182"/>
      <c r="BF880" s="182"/>
      <c r="BG880" s="182"/>
      <c r="BH880" s="182"/>
      <c r="BI880" s="182"/>
      <c r="BJ880" s="182"/>
      <c r="BK880" s="182"/>
      <c r="BL880" s="182"/>
      <c r="BM880" s="182"/>
      <c r="BN880" s="182"/>
      <c r="BO880" s="182"/>
      <c r="BP880" s="182"/>
      <c r="BQ880" s="182"/>
      <c r="BR880" s="182"/>
      <c r="BS880" s="182"/>
      <c r="BT880" s="182"/>
      <c r="BU880" s="182"/>
      <c r="BV880" s="182"/>
      <c r="BW880" s="182"/>
      <c r="BX880" s="182"/>
      <c r="BY880" s="182"/>
      <c r="BZ880" s="182"/>
      <c r="CA880" s="182"/>
      <c r="CB880" s="185">
        <v>1499.98</v>
      </c>
      <c r="CC880" s="185">
        <v>0</v>
      </c>
      <c r="CD880" s="185">
        <v>2231</v>
      </c>
      <c r="CE880" s="185"/>
    </row>
    <row r="881" spans="2:83" x14ac:dyDescent="0.3">
      <c r="B881" s="182">
        <v>2688</v>
      </c>
      <c r="C881" s="182">
        <v>2232</v>
      </c>
      <c r="D881" s="182" t="s">
        <v>123</v>
      </c>
      <c r="E881" s="181" t="s">
        <v>4371</v>
      </c>
      <c r="F881" s="182"/>
      <c r="G881" s="182">
        <v>733.32</v>
      </c>
      <c r="H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2"/>
      <c r="X881" s="182"/>
      <c r="Y881" s="182"/>
      <c r="Z881" s="182"/>
      <c r="AA881" s="182"/>
      <c r="AB881" s="182"/>
      <c r="AC881" s="182"/>
      <c r="AD881" s="182"/>
      <c r="AE881" s="182"/>
      <c r="AF881" s="182"/>
      <c r="AG881" s="182"/>
      <c r="AH881" s="182"/>
      <c r="AI881" s="182"/>
      <c r="AJ881" s="182"/>
      <c r="AK881" s="182"/>
      <c r="AL881" s="182"/>
      <c r="AM881" s="182"/>
      <c r="AN881" s="182"/>
      <c r="AO881" s="182"/>
      <c r="AP881" s="182"/>
      <c r="AQ881" s="185">
        <v>733.32</v>
      </c>
      <c r="AR881" s="182">
        <v>571.28</v>
      </c>
      <c r="AS881" s="182">
        <v>125.38</v>
      </c>
      <c r="AT881" s="182"/>
      <c r="AU881" s="182">
        <v>36.659999999999997</v>
      </c>
      <c r="AV881" s="182"/>
      <c r="AW881" s="182"/>
      <c r="AX881" s="182"/>
      <c r="AY881" s="182"/>
      <c r="AZ881" s="182"/>
      <c r="BA881" s="182"/>
      <c r="BB881" s="182"/>
      <c r="BC881" s="182"/>
      <c r="BD881" s="182"/>
      <c r="BE881" s="182"/>
      <c r="BF881" s="182"/>
      <c r="BG881" s="182"/>
      <c r="BH881" s="182"/>
      <c r="BI881" s="182"/>
      <c r="BJ881" s="182"/>
      <c r="BK881" s="182"/>
      <c r="BL881" s="182"/>
      <c r="BM881" s="182"/>
      <c r="BN881" s="182"/>
      <c r="BO881" s="182"/>
      <c r="BP881" s="182"/>
      <c r="BQ881" s="182"/>
      <c r="BR881" s="182"/>
      <c r="BS881" s="182"/>
      <c r="BT881" s="182"/>
      <c r="BU881" s="182"/>
      <c r="BV881" s="182"/>
      <c r="BW881" s="182"/>
      <c r="BX881" s="182"/>
      <c r="BY881" s="182"/>
      <c r="BZ881" s="182"/>
      <c r="CA881" s="182"/>
      <c r="CB881" s="185">
        <v>733.31999999999994</v>
      </c>
      <c r="CC881" s="185">
        <v>0</v>
      </c>
      <c r="CD881" s="185">
        <v>2232</v>
      </c>
      <c r="CE881" s="185"/>
    </row>
    <row r="882" spans="2:83" x14ac:dyDescent="0.3">
      <c r="B882" s="182">
        <v>2689</v>
      </c>
      <c r="C882" s="182">
        <v>2233</v>
      </c>
      <c r="D882" s="182" t="s">
        <v>123</v>
      </c>
      <c r="E882" s="181" t="s">
        <v>4371</v>
      </c>
      <c r="F882" s="182"/>
      <c r="G882" s="182">
        <v>400</v>
      </c>
      <c r="H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2"/>
      <c r="X882" s="182"/>
      <c r="Y882" s="182"/>
      <c r="Z882" s="182"/>
      <c r="AA882" s="182"/>
      <c r="AB882" s="182"/>
      <c r="AC882" s="182"/>
      <c r="AD882" s="182"/>
      <c r="AE882" s="182"/>
      <c r="AF882" s="182"/>
      <c r="AG882" s="182"/>
      <c r="AH882" s="182"/>
      <c r="AI882" s="182"/>
      <c r="AJ882" s="182"/>
      <c r="AK882" s="182"/>
      <c r="AL882" s="182"/>
      <c r="AM882" s="182"/>
      <c r="AN882" s="182"/>
      <c r="AO882" s="182"/>
      <c r="AP882" s="182"/>
      <c r="AQ882" s="185">
        <v>400</v>
      </c>
      <c r="AR882" s="182">
        <v>302.16000000000003</v>
      </c>
      <c r="AS882" s="182">
        <v>77.84</v>
      </c>
      <c r="AT882" s="182"/>
      <c r="AU882" s="182">
        <v>20</v>
      </c>
      <c r="AV882" s="182"/>
      <c r="AW882" s="182"/>
      <c r="AX882" s="182"/>
      <c r="AY882" s="182"/>
      <c r="AZ882" s="182"/>
      <c r="BA882" s="182"/>
      <c r="BB882" s="182"/>
      <c r="BC882" s="182"/>
      <c r="BD882" s="182"/>
      <c r="BE882" s="182"/>
      <c r="BF882" s="182"/>
      <c r="BG882" s="182"/>
      <c r="BH882" s="182"/>
      <c r="BI882" s="182"/>
      <c r="BJ882" s="182"/>
      <c r="BK882" s="182"/>
      <c r="BL882" s="182"/>
      <c r="BM882" s="182"/>
      <c r="BN882" s="182"/>
      <c r="BO882" s="182"/>
      <c r="BP882" s="182"/>
      <c r="BQ882" s="182"/>
      <c r="BR882" s="182"/>
      <c r="BS882" s="182"/>
      <c r="BT882" s="182"/>
      <c r="BU882" s="182"/>
      <c r="BV882" s="182"/>
      <c r="BW882" s="182"/>
      <c r="BX882" s="182"/>
      <c r="BY882" s="182"/>
      <c r="BZ882" s="182"/>
      <c r="CA882" s="182"/>
      <c r="CB882" s="185">
        <v>400</v>
      </c>
      <c r="CC882" s="185">
        <v>0</v>
      </c>
      <c r="CD882" s="185">
        <v>2233</v>
      </c>
      <c r="CE882" s="185"/>
    </row>
    <row r="883" spans="2:83" x14ac:dyDescent="0.3">
      <c r="B883" s="182">
        <v>2690</v>
      </c>
      <c r="C883" s="182">
        <v>2234</v>
      </c>
      <c r="D883" s="182" t="s">
        <v>123</v>
      </c>
      <c r="E883" s="181" t="s">
        <v>4371</v>
      </c>
      <c r="F883" s="182"/>
      <c r="G883" s="182">
        <v>1900</v>
      </c>
      <c r="H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2"/>
      <c r="X883" s="182"/>
      <c r="Y883" s="182"/>
      <c r="Z883" s="182"/>
      <c r="AA883" s="182"/>
      <c r="AB883" s="182"/>
      <c r="AC883" s="182"/>
      <c r="AD883" s="182"/>
      <c r="AE883" s="182"/>
      <c r="AF883" s="182"/>
      <c r="AG883" s="182"/>
      <c r="AH883" s="182"/>
      <c r="AI883" s="182"/>
      <c r="AJ883" s="182"/>
      <c r="AK883" s="182"/>
      <c r="AL883" s="182"/>
      <c r="AM883" s="182"/>
      <c r="AN883" s="182"/>
      <c r="AO883" s="182"/>
      <c r="AP883" s="182"/>
      <c r="AQ883" s="185">
        <v>1900</v>
      </c>
      <c r="AR883" s="182">
        <v>1478.73</v>
      </c>
      <c r="AS883" s="182">
        <v>326.27</v>
      </c>
      <c r="AT883" s="182"/>
      <c r="AU883" s="182">
        <v>95</v>
      </c>
      <c r="AV883" s="182"/>
      <c r="AW883" s="182"/>
      <c r="AX883" s="182"/>
      <c r="AY883" s="182"/>
      <c r="AZ883" s="182"/>
      <c r="BA883" s="182"/>
      <c r="BB883" s="182"/>
      <c r="BC883" s="182"/>
      <c r="BD883" s="182"/>
      <c r="BE883" s="182"/>
      <c r="BF883" s="182"/>
      <c r="BG883" s="182"/>
      <c r="BH883" s="182"/>
      <c r="BI883" s="182"/>
      <c r="BJ883" s="182"/>
      <c r="BK883" s="182"/>
      <c r="BL883" s="182"/>
      <c r="BM883" s="182"/>
      <c r="BN883" s="182"/>
      <c r="BO883" s="182"/>
      <c r="BP883" s="182"/>
      <c r="BQ883" s="182"/>
      <c r="BR883" s="182"/>
      <c r="BS883" s="182"/>
      <c r="BT883" s="182"/>
      <c r="BU883" s="182"/>
      <c r="BV883" s="182"/>
      <c r="BW883" s="182"/>
      <c r="BX883" s="182"/>
      <c r="BY883" s="182"/>
      <c r="BZ883" s="182"/>
      <c r="CA883" s="182"/>
      <c r="CB883" s="185">
        <v>1900</v>
      </c>
      <c r="CC883" s="185">
        <v>0</v>
      </c>
      <c r="CD883" s="185">
        <v>2234</v>
      </c>
      <c r="CE883" s="185"/>
    </row>
    <row r="884" spans="2:83" x14ac:dyDescent="0.3">
      <c r="B884" s="182">
        <v>2691</v>
      </c>
      <c r="C884" s="182">
        <v>2235</v>
      </c>
      <c r="D884" s="182" t="s">
        <v>123</v>
      </c>
      <c r="E884" s="181" t="s">
        <v>4371</v>
      </c>
      <c r="F884" s="182"/>
      <c r="G884" s="182">
        <v>366.66</v>
      </c>
      <c r="H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2"/>
      <c r="X884" s="182"/>
      <c r="Y884" s="182"/>
      <c r="Z884" s="182"/>
      <c r="AA884" s="182"/>
      <c r="AB884" s="182"/>
      <c r="AC884" s="182"/>
      <c r="AD884" s="182"/>
      <c r="AE884" s="182"/>
      <c r="AF884" s="182"/>
      <c r="AG884" s="182"/>
      <c r="AH884" s="182"/>
      <c r="AI884" s="182"/>
      <c r="AJ884" s="182"/>
      <c r="AK884" s="182"/>
      <c r="AL884" s="182"/>
      <c r="AM884" s="182"/>
      <c r="AN884" s="182"/>
      <c r="AO884" s="182"/>
      <c r="AP884" s="182"/>
      <c r="AQ884" s="185">
        <v>366.66</v>
      </c>
      <c r="AR884" s="182">
        <v>294.3</v>
      </c>
      <c r="AS884" s="182">
        <v>54.03</v>
      </c>
      <c r="AT884" s="182"/>
      <c r="AU884" s="182">
        <v>18.329999999999998</v>
      </c>
      <c r="AV884" s="182"/>
      <c r="AW884" s="182"/>
      <c r="AX884" s="182"/>
      <c r="AY884" s="182"/>
      <c r="AZ884" s="182"/>
      <c r="BA884" s="182"/>
      <c r="BB884" s="182"/>
      <c r="BC884" s="182"/>
      <c r="BD884" s="182"/>
      <c r="BE884" s="182"/>
      <c r="BF884" s="182"/>
      <c r="BG884" s="182"/>
      <c r="BH884" s="182"/>
      <c r="BI884" s="182"/>
      <c r="BJ884" s="182"/>
      <c r="BK884" s="182"/>
      <c r="BL884" s="182"/>
      <c r="BM884" s="182"/>
      <c r="BN884" s="182"/>
      <c r="BO884" s="182"/>
      <c r="BP884" s="182"/>
      <c r="BQ884" s="182"/>
      <c r="BR884" s="182"/>
      <c r="BS884" s="182"/>
      <c r="BT884" s="182"/>
      <c r="BU884" s="182"/>
      <c r="BV884" s="182"/>
      <c r="BW884" s="182"/>
      <c r="BX884" s="182"/>
      <c r="BY884" s="182"/>
      <c r="BZ884" s="182"/>
      <c r="CA884" s="182"/>
      <c r="CB884" s="185">
        <v>366.66</v>
      </c>
      <c r="CC884" s="185">
        <v>0</v>
      </c>
      <c r="CD884" s="185">
        <v>2235</v>
      </c>
      <c r="CE884" s="185"/>
    </row>
    <row r="885" spans="2:83" x14ac:dyDescent="0.3">
      <c r="B885" s="182">
        <v>2673</v>
      </c>
      <c r="C885" s="182">
        <v>2236</v>
      </c>
      <c r="D885" s="182" t="s">
        <v>123</v>
      </c>
      <c r="E885" s="181" t="s">
        <v>4371</v>
      </c>
      <c r="F885" s="182"/>
      <c r="G885" s="182">
        <v>1133.32</v>
      </c>
      <c r="H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2"/>
      <c r="X885" s="182"/>
      <c r="Y885" s="182"/>
      <c r="Z885" s="182"/>
      <c r="AA885" s="182"/>
      <c r="AB885" s="182"/>
      <c r="AC885" s="182"/>
      <c r="AD885" s="182"/>
      <c r="AE885" s="182"/>
      <c r="AF885" s="182"/>
      <c r="AG885" s="182"/>
      <c r="AH885" s="182"/>
      <c r="AI885" s="182"/>
      <c r="AJ885" s="182"/>
      <c r="AK885" s="182"/>
      <c r="AL885" s="182"/>
      <c r="AM885" s="182"/>
      <c r="AN885" s="182"/>
      <c r="AO885" s="182"/>
      <c r="AP885" s="182"/>
      <c r="AQ885" s="185">
        <v>1133.32</v>
      </c>
      <c r="AR885" s="182">
        <v>855.6</v>
      </c>
      <c r="AS885" s="182">
        <v>221.06</v>
      </c>
      <c r="AT885" s="182"/>
      <c r="AU885" s="182">
        <v>56.66</v>
      </c>
      <c r="AV885" s="182"/>
      <c r="AW885" s="182"/>
      <c r="AX885" s="182"/>
      <c r="AY885" s="182"/>
      <c r="AZ885" s="182"/>
      <c r="BA885" s="182"/>
      <c r="BB885" s="182"/>
      <c r="BC885" s="182"/>
      <c r="BD885" s="182"/>
      <c r="BE885" s="182"/>
      <c r="BF885" s="182"/>
      <c r="BG885" s="182"/>
      <c r="BH885" s="182"/>
      <c r="BI885" s="182"/>
      <c r="BJ885" s="182"/>
      <c r="BK885" s="182"/>
      <c r="BL885" s="182"/>
      <c r="BM885" s="182"/>
      <c r="BN885" s="182"/>
      <c r="BO885" s="182"/>
      <c r="BP885" s="182"/>
      <c r="BQ885" s="182"/>
      <c r="BR885" s="182"/>
      <c r="BS885" s="182"/>
      <c r="BT885" s="182"/>
      <c r="BU885" s="182"/>
      <c r="BV885" s="182"/>
      <c r="BW885" s="182"/>
      <c r="BX885" s="182"/>
      <c r="BY885" s="182"/>
      <c r="BZ885" s="182"/>
      <c r="CA885" s="182"/>
      <c r="CB885" s="185">
        <v>1133.3200000000002</v>
      </c>
      <c r="CC885" s="185">
        <v>0</v>
      </c>
      <c r="CD885" s="185">
        <v>2236</v>
      </c>
      <c r="CE885" s="185"/>
    </row>
    <row r="886" spans="2:83" x14ac:dyDescent="0.3">
      <c r="B886" s="182">
        <v>2675</v>
      </c>
      <c r="C886" s="182">
        <v>2237</v>
      </c>
      <c r="D886" s="182" t="s">
        <v>123</v>
      </c>
      <c r="E886" s="181" t="s">
        <v>4371</v>
      </c>
      <c r="F886" s="182"/>
      <c r="G886" s="182">
        <v>400</v>
      </c>
      <c r="H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2"/>
      <c r="X886" s="182"/>
      <c r="Y886" s="182"/>
      <c r="Z886" s="182"/>
      <c r="AA886" s="182"/>
      <c r="AB886" s="182"/>
      <c r="AC886" s="182"/>
      <c r="AD886" s="182"/>
      <c r="AE886" s="182"/>
      <c r="AF886" s="182"/>
      <c r="AG886" s="182"/>
      <c r="AH886" s="182"/>
      <c r="AI886" s="182"/>
      <c r="AJ886" s="182"/>
      <c r="AK886" s="182"/>
      <c r="AL886" s="182"/>
      <c r="AM886" s="182"/>
      <c r="AN886" s="182"/>
      <c r="AO886" s="182"/>
      <c r="AP886" s="182"/>
      <c r="AQ886" s="185">
        <v>400</v>
      </c>
      <c r="AR886" s="182">
        <v>302.16000000000003</v>
      </c>
      <c r="AS886" s="182">
        <v>77.84</v>
      </c>
      <c r="AT886" s="182"/>
      <c r="AU886" s="182">
        <v>20</v>
      </c>
      <c r="AV886" s="182"/>
      <c r="AW886" s="182"/>
      <c r="AX886" s="182"/>
      <c r="AY886" s="182"/>
      <c r="AZ886" s="182"/>
      <c r="BA886" s="182"/>
      <c r="BB886" s="182"/>
      <c r="BC886" s="182"/>
      <c r="BD886" s="182"/>
      <c r="BE886" s="182"/>
      <c r="BF886" s="182"/>
      <c r="BG886" s="182"/>
      <c r="BH886" s="182"/>
      <c r="BI886" s="182"/>
      <c r="BJ886" s="182"/>
      <c r="BK886" s="182"/>
      <c r="BL886" s="182"/>
      <c r="BM886" s="182"/>
      <c r="BN886" s="182"/>
      <c r="BO886" s="182"/>
      <c r="BP886" s="182"/>
      <c r="BQ886" s="182"/>
      <c r="BR886" s="182"/>
      <c r="BS886" s="182"/>
      <c r="BT886" s="182"/>
      <c r="BU886" s="182"/>
      <c r="BV886" s="182"/>
      <c r="BW886" s="182"/>
      <c r="BX886" s="182"/>
      <c r="BY886" s="182"/>
      <c r="BZ886" s="182"/>
      <c r="CA886" s="182"/>
      <c r="CB886" s="185">
        <v>400</v>
      </c>
      <c r="CC886" s="185">
        <v>0</v>
      </c>
      <c r="CD886" s="185">
        <v>2237</v>
      </c>
      <c r="CE886" s="185"/>
    </row>
    <row r="887" spans="2:83" x14ac:dyDescent="0.3">
      <c r="B887" s="182">
        <v>2677</v>
      </c>
      <c r="C887" s="182">
        <v>2238</v>
      </c>
      <c r="D887" s="182" t="s">
        <v>123</v>
      </c>
      <c r="E887" s="181" t="s">
        <v>4371</v>
      </c>
      <c r="F887" s="182"/>
      <c r="G887" s="182">
        <v>1350</v>
      </c>
      <c r="H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2"/>
      <c r="X887" s="182"/>
      <c r="Y887" s="182"/>
      <c r="Z887" s="182"/>
      <c r="AA887" s="182"/>
      <c r="AB887" s="182"/>
      <c r="AC887" s="182"/>
      <c r="AD887" s="182"/>
      <c r="AE887" s="182"/>
      <c r="AF887" s="182"/>
      <c r="AG887" s="182"/>
      <c r="AH887" s="182"/>
      <c r="AI887" s="182"/>
      <c r="AJ887" s="182"/>
      <c r="AK887" s="182"/>
      <c r="AL887" s="182"/>
      <c r="AM887" s="182"/>
      <c r="AN887" s="182"/>
      <c r="AO887" s="182"/>
      <c r="AP887" s="182"/>
      <c r="AQ887" s="185">
        <v>1350</v>
      </c>
      <c r="AR887" s="182">
        <v>1019.12</v>
      </c>
      <c r="AS887" s="182">
        <v>263.38</v>
      </c>
      <c r="AT887" s="182"/>
      <c r="AU887" s="182">
        <v>67.5</v>
      </c>
      <c r="AV887" s="182"/>
      <c r="AW887" s="182"/>
      <c r="AX887" s="182"/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182"/>
      <c r="BK887" s="182"/>
      <c r="BL887" s="182"/>
      <c r="BM887" s="182"/>
      <c r="BN887" s="182"/>
      <c r="BO887" s="182"/>
      <c r="BP887" s="182"/>
      <c r="BQ887" s="182"/>
      <c r="BR887" s="182"/>
      <c r="BS887" s="182"/>
      <c r="BT887" s="182"/>
      <c r="BU887" s="182"/>
      <c r="BV887" s="182"/>
      <c r="BW887" s="182"/>
      <c r="BX887" s="182"/>
      <c r="BY887" s="182"/>
      <c r="BZ887" s="182"/>
      <c r="CA887" s="182"/>
      <c r="CB887" s="185">
        <v>1350</v>
      </c>
      <c r="CC887" s="185">
        <v>0</v>
      </c>
      <c r="CD887" s="185">
        <v>2238</v>
      </c>
      <c r="CE887" s="185"/>
    </row>
    <row r="888" spans="2:83" x14ac:dyDescent="0.3">
      <c r="B888" s="182">
        <v>2678</v>
      </c>
      <c r="C888" s="182">
        <v>2239</v>
      </c>
      <c r="D888" s="182" t="s">
        <v>123</v>
      </c>
      <c r="E888" s="181" t="s">
        <v>4371</v>
      </c>
      <c r="F888" s="182"/>
      <c r="G888" s="182">
        <v>275</v>
      </c>
      <c r="H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2"/>
      <c r="X888" s="182"/>
      <c r="Y888" s="182"/>
      <c r="Z888" s="182"/>
      <c r="AA888" s="182"/>
      <c r="AB888" s="182"/>
      <c r="AC888" s="182"/>
      <c r="AD888" s="182"/>
      <c r="AE888" s="182"/>
      <c r="AF888" s="182"/>
      <c r="AG888" s="182"/>
      <c r="AH888" s="182"/>
      <c r="AI888" s="182"/>
      <c r="AJ888" s="182"/>
      <c r="AK888" s="182"/>
      <c r="AL888" s="182"/>
      <c r="AM888" s="182"/>
      <c r="AN888" s="182"/>
      <c r="AO888" s="182"/>
      <c r="AP888" s="182"/>
      <c r="AQ888" s="185">
        <v>275</v>
      </c>
      <c r="AR888" s="182">
        <v>207.8</v>
      </c>
      <c r="AS888" s="182">
        <v>53.45</v>
      </c>
      <c r="AT888" s="182"/>
      <c r="AU888" s="182">
        <v>13.75</v>
      </c>
      <c r="AV888" s="182"/>
      <c r="AW888" s="182"/>
      <c r="AX888" s="182"/>
      <c r="AY888" s="182"/>
      <c r="AZ888" s="182"/>
      <c r="BA888" s="182"/>
      <c r="BB888" s="182"/>
      <c r="BC888" s="182"/>
      <c r="BD888" s="182"/>
      <c r="BE888" s="182"/>
      <c r="BF888" s="182"/>
      <c r="BG888" s="182"/>
      <c r="BH888" s="182"/>
      <c r="BI888" s="182"/>
      <c r="BJ888" s="182"/>
      <c r="BK888" s="182"/>
      <c r="BL888" s="182"/>
      <c r="BM888" s="182"/>
      <c r="BN888" s="182"/>
      <c r="BO888" s="182"/>
      <c r="BP888" s="182"/>
      <c r="BQ888" s="182"/>
      <c r="BR888" s="182"/>
      <c r="BS888" s="182"/>
      <c r="BT888" s="182"/>
      <c r="BU888" s="182"/>
      <c r="BV888" s="182"/>
      <c r="BW888" s="182"/>
      <c r="BX888" s="182"/>
      <c r="BY888" s="182"/>
      <c r="BZ888" s="182"/>
      <c r="CA888" s="182"/>
      <c r="CB888" s="185">
        <v>275</v>
      </c>
      <c r="CC888" s="185">
        <v>0</v>
      </c>
      <c r="CD888" s="185">
        <v>2239</v>
      </c>
      <c r="CE888" s="185"/>
    </row>
    <row r="889" spans="2:83" x14ac:dyDescent="0.3">
      <c r="B889" s="182">
        <v>2679</v>
      </c>
      <c r="C889" s="182">
        <v>2240</v>
      </c>
      <c r="D889" s="182" t="s">
        <v>123</v>
      </c>
      <c r="E889" s="181" t="s">
        <v>4371</v>
      </c>
      <c r="F889" s="182"/>
      <c r="G889" s="182">
        <v>1350</v>
      </c>
      <c r="H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2"/>
      <c r="X889" s="182"/>
      <c r="Y889" s="182"/>
      <c r="Z889" s="182"/>
      <c r="AA889" s="182"/>
      <c r="AB889" s="182"/>
      <c r="AC889" s="182"/>
      <c r="AD889" s="182"/>
      <c r="AE889" s="182"/>
      <c r="AF889" s="182"/>
      <c r="AG889" s="182"/>
      <c r="AH889" s="182"/>
      <c r="AI889" s="182"/>
      <c r="AJ889" s="182"/>
      <c r="AK889" s="182"/>
      <c r="AL889" s="182"/>
      <c r="AM889" s="182"/>
      <c r="AN889" s="182"/>
      <c r="AO889" s="182"/>
      <c r="AP889" s="182"/>
      <c r="AQ889" s="185">
        <v>1350</v>
      </c>
      <c r="AR889" s="182">
        <v>1019.12</v>
      </c>
      <c r="AS889" s="182">
        <v>263.38</v>
      </c>
      <c r="AT889" s="182"/>
      <c r="AU889" s="182">
        <v>67.5</v>
      </c>
      <c r="AV889" s="182"/>
      <c r="AW889" s="182"/>
      <c r="AX889" s="182"/>
      <c r="AY889" s="182"/>
      <c r="AZ889" s="182"/>
      <c r="BA889" s="182"/>
      <c r="BB889" s="182"/>
      <c r="BC889" s="182"/>
      <c r="BD889" s="182"/>
      <c r="BE889" s="182"/>
      <c r="BF889" s="182"/>
      <c r="BG889" s="182"/>
      <c r="BH889" s="182"/>
      <c r="BI889" s="182"/>
      <c r="BJ889" s="182"/>
      <c r="BK889" s="182"/>
      <c r="BL889" s="182"/>
      <c r="BM889" s="182"/>
      <c r="BN889" s="182"/>
      <c r="BO889" s="182"/>
      <c r="BP889" s="182"/>
      <c r="BQ889" s="182"/>
      <c r="BR889" s="182"/>
      <c r="BS889" s="182"/>
      <c r="BT889" s="182"/>
      <c r="BU889" s="182"/>
      <c r="BV889" s="182"/>
      <c r="BW889" s="182"/>
      <c r="BX889" s="182"/>
      <c r="BY889" s="182"/>
      <c r="BZ889" s="182"/>
      <c r="CA889" s="182"/>
      <c r="CB889" s="185">
        <v>1350</v>
      </c>
      <c r="CC889" s="185">
        <v>0</v>
      </c>
      <c r="CD889" s="185">
        <v>2240</v>
      </c>
      <c r="CE889" s="185"/>
    </row>
    <row r="890" spans="2:83" x14ac:dyDescent="0.3">
      <c r="B890" s="182">
        <v>2680</v>
      </c>
      <c r="C890" s="182">
        <v>2241</v>
      </c>
      <c r="D890" s="182" t="s">
        <v>123</v>
      </c>
      <c r="E890" s="181" t="s">
        <v>4371</v>
      </c>
      <c r="F890" s="182"/>
      <c r="G890" s="182">
        <v>550</v>
      </c>
      <c r="H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2"/>
      <c r="X890" s="182"/>
      <c r="Y890" s="182"/>
      <c r="Z890" s="182"/>
      <c r="AA890" s="182"/>
      <c r="AB890" s="182"/>
      <c r="AC890" s="182"/>
      <c r="AD890" s="182"/>
      <c r="AE890" s="182"/>
      <c r="AF890" s="182"/>
      <c r="AG890" s="182"/>
      <c r="AH890" s="182"/>
      <c r="AI890" s="182"/>
      <c r="AJ890" s="182"/>
      <c r="AK890" s="182"/>
      <c r="AL890" s="182"/>
      <c r="AM890" s="182"/>
      <c r="AN890" s="182"/>
      <c r="AO890" s="182"/>
      <c r="AP890" s="182"/>
      <c r="AQ890" s="185">
        <v>550</v>
      </c>
      <c r="AR890" s="182">
        <v>415.2</v>
      </c>
      <c r="AS890" s="182">
        <v>107.3</v>
      </c>
      <c r="AT890" s="182"/>
      <c r="AU890" s="182">
        <v>27.5</v>
      </c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182"/>
      <c r="BK890" s="182"/>
      <c r="BL890" s="182"/>
      <c r="BM890" s="182"/>
      <c r="BN890" s="182"/>
      <c r="BO890" s="182"/>
      <c r="BP890" s="182"/>
      <c r="BQ890" s="182"/>
      <c r="BR890" s="182"/>
      <c r="BS890" s="182"/>
      <c r="BT890" s="182"/>
      <c r="BU890" s="182"/>
      <c r="BV890" s="182"/>
      <c r="BW890" s="182"/>
      <c r="BX890" s="182"/>
      <c r="BY890" s="182"/>
      <c r="BZ890" s="182"/>
      <c r="CA890" s="182"/>
      <c r="CB890" s="185">
        <v>550</v>
      </c>
      <c r="CC890" s="185">
        <v>0</v>
      </c>
      <c r="CD890" s="185">
        <v>2241</v>
      </c>
      <c r="CE890" s="185"/>
    </row>
    <row r="891" spans="2:83" x14ac:dyDescent="0.3">
      <c r="B891" s="182">
        <v>2701</v>
      </c>
      <c r="C891" s="182">
        <v>2242</v>
      </c>
      <c r="D891" s="182" t="s">
        <v>123</v>
      </c>
      <c r="E891" s="181" t="s">
        <v>4371</v>
      </c>
      <c r="F891" s="182"/>
      <c r="G891" s="182">
        <v>1075</v>
      </c>
      <c r="H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2"/>
      <c r="X891" s="182"/>
      <c r="Y891" s="182"/>
      <c r="Z891" s="182"/>
      <c r="AA891" s="182"/>
      <c r="AB891" s="182"/>
      <c r="AC891" s="182"/>
      <c r="AD891" s="182"/>
      <c r="AE891" s="182"/>
      <c r="AF891" s="182"/>
      <c r="AG891" s="182"/>
      <c r="AH891" s="182"/>
      <c r="AI891" s="182"/>
      <c r="AJ891" s="182"/>
      <c r="AK891" s="182"/>
      <c r="AL891" s="182"/>
      <c r="AM891" s="182"/>
      <c r="AN891" s="182"/>
      <c r="AO891" s="182"/>
      <c r="AP891" s="182"/>
      <c r="AQ891" s="185">
        <v>1075</v>
      </c>
      <c r="AR891" s="182">
        <v>811.64</v>
      </c>
      <c r="AS891" s="182">
        <v>209.61</v>
      </c>
      <c r="AT891" s="182"/>
      <c r="AU891" s="182">
        <v>53.75</v>
      </c>
      <c r="AV891" s="182"/>
      <c r="AW891" s="182"/>
      <c r="AX891" s="182"/>
      <c r="AY891" s="182"/>
      <c r="AZ891" s="182"/>
      <c r="BA891" s="182"/>
      <c r="BB891" s="182"/>
      <c r="BC891" s="182"/>
      <c r="BD891" s="182"/>
      <c r="BE891" s="182"/>
      <c r="BF891" s="182"/>
      <c r="BG891" s="182"/>
      <c r="BH891" s="182"/>
      <c r="BI891" s="182"/>
      <c r="BJ891" s="182"/>
      <c r="BK891" s="182"/>
      <c r="BL891" s="182"/>
      <c r="BM891" s="182"/>
      <c r="BN891" s="182"/>
      <c r="BO891" s="182"/>
      <c r="BP891" s="182"/>
      <c r="BQ891" s="182"/>
      <c r="BR891" s="182"/>
      <c r="BS891" s="182"/>
      <c r="BT891" s="182"/>
      <c r="BU891" s="182"/>
      <c r="BV891" s="182"/>
      <c r="BW891" s="182"/>
      <c r="BX891" s="182"/>
      <c r="BY891" s="182"/>
      <c r="BZ891" s="182"/>
      <c r="CA891" s="182"/>
      <c r="CB891" s="185">
        <v>1075</v>
      </c>
      <c r="CC891" s="185">
        <v>0</v>
      </c>
      <c r="CD891" s="185">
        <v>2242</v>
      </c>
      <c r="CE891" s="185"/>
    </row>
    <row r="892" spans="2:83" x14ac:dyDescent="0.3">
      <c r="B892" s="182">
        <v>2702</v>
      </c>
      <c r="C892" s="182">
        <v>2243</v>
      </c>
      <c r="D892" s="182" t="s">
        <v>123</v>
      </c>
      <c r="E892" s="181" t="s">
        <v>4371</v>
      </c>
      <c r="F892" s="182"/>
      <c r="G892" s="182">
        <v>275</v>
      </c>
      <c r="H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2"/>
      <c r="X892" s="182"/>
      <c r="Y892" s="182"/>
      <c r="Z892" s="182"/>
      <c r="AA892" s="182"/>
      <c r="AB892" s="182"/>
      <c r="AC892" s="182"/>
      <c r="AD892" s="182"/>
      <c r="AE892" s="182"/>
      <c r="AF892" s="182"/>
      <c r="AG892" s="182"/>
      <c r="AH892" s="182"/>
      <c r="AI892" s="182"/>
      <c r="AJ892" s="182"/>
      <c r="AK892" s="182"/>
      <c r="AL892" s="182"/>
      <c r="AM892" s="182"/>
      <c r="AN892" s="182"/>
      <c r="AO892" s="182"/>
      <c r="AP892" s="182"/>
      <c r="AQ892" s="185">
        <v>275</v>
      </c>
      <c r="AR892" s="182">
        <v>207.8</v>
      </c>
      <c r="AS892" s="182">
        <v>53.45</v>
      </c>
      <c r="AT892" s="182"/>
      <c r="AU892" s="182">
        <v>13.75</v>
      </c>
      <c r="AV892" s="182"/>
      <c r="AW892" s="182"/>
      <c r="AX892" s="182"/>
      <c r="AY892" s="182"/>
      <c r="AZ892" s="182"/>
      <c r="BA892" s="182"/>
      <c r="BB892" s="182"/>
      <c r="BC892" s="182"/>
      <c r="BD892" s="182"/>
      <c r="BE892" s="182"/>
      <c r="BF892" s="182"/>
      <c r="BG892" s="182"/>
      <c r="BH892" s="182"/>
      <c r="BI892" s="182"/>
      <c r="BJ892" s="182"/>
      <c r="BK892" s="182"/>
      <c r="BL892" s="182"/>
      <c r="BM892" s="182"/>
      <c r="BN892" s="182"/>
      <c r="BO892" s="182"/>
      <c r="BP892" s="182"/>
      <c r="BQ892" s="182"/>
      <c r="BR892" s="182"/>
      <c r="BS892" s="182"/>
      <c r="BT892" s="182"/>
      <c r="BU892" s="182"/>
      <c r="BV892" s="182"/>
      <c r="BW892" s="182"/>
      <c r="BX892" s="182"/>
      <c r="BY892" s="182"/>
      <c r="BZ892" s="182"/>
      <c r="CA892" s="182"/>
      <c r="CB892" s="185">
        <v>275</v>
      </c>
      <c r="CC892" s="185">
        <v>0</v>
      </c>
      <c r="CD892" s="185">
        <v>2243</v>
      </c>
      <c r="CE892" s="185"/>
    </row>
    <row r="893" spans="2:83" x14ac:dyDescent="0.3">
      <c r="B893" s="182">
        <v>2703</v>
      </c>
      <c r="C893" s="182">
        <v>2244</v>
      </c>
      <c r="D893" s="182" t="s">
        <v>123</v>
      </c>
      <c r="E893" s="181" t="s">
        <v>4371</v>
      </c>
      <c r="F893" s="182"/>
      <c r="G893" s="182">
        <v>275</v>
      </c>
      <c r="H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2"/>
      <c r="X893" s="182"/>
      <c r="Y893" s="182"/>
      <c r="Z893" s="182"/>
      <c r="AA893" s="182"/>
      <c r="AB893" s="182"/>
      <c r="AC893" s="182"/>
      <c r="AD893" s="182"/>
      <c r="AE893" s="182"/>
      <c r="AF893" s="182"/>
      <c r="AG893" s="182"/>
      <c r="AH893" s="182"/>
      <c r="AI893" s="182"/>
      <c r="AJ893" s="182"/>
      <c r="AK893" s="182"/>
      <c r="AL893" s="182"/>
      <c r="AM893" s="182"/>
      <c r="AN893" s="182"/>
      <c r="AO893" s="182"/>
      <c r="AP893" s="182"/>
      <c r="AQ893" s="185">
        <v>275</v>
      </c>
      <c r="AR893" s="182">
        <v>207.8</v>
      </c>
      <c r="AS893" s="182">
        <v>53.45</v>
      </c>
      <c r="AT893" s="182"/>
      <c r="AU893" s="182">
        <v>13.75</v>
      </c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182"/>
      <c r="BK893" s="182"/>
      <c r="BL893" s="182"/>
      <c r="BM893" s="182"/>
      <c r="BN893" s="182"/>
      <c r="BO893" s="182"/>
      <c r="BP893" s="182"/>
      <c r="BQ893" s="182"/>
      <c r="BR893" s="182"/>
      <c r="BS893" s="182"/>
      <c r="BT893" s="182"/>
      <c r="BU893" s="182"/>
      <c r="BV893" s="182"/>
      <c r="BW893" s="182"/>
      <c r="BX893" s="182"/>
      <c r="BY893" s="182"/>
      <c r="BZ893" s="182"/>
      <c r="CA893" s="182"/>
      <c r="CB893" s="185">
        <v>275</v>
      </c>
      <c r="CC893" s="185">
        <v>0</v>
      </c>
      <c r="CD893" s="185">
        <v>2244</v>
      </c>
      <c r="CE893" s="185"/>
    </row>
    <row r="894" spans="2:83" x14ac:dyDescent="0.3">
      <c r="B894" s="182">
        <v>2694</v>
      </c>
      <c r="C894" s="182">
        <v>2245</v>
      </c>
      <c r="D894" s="182" t="s">
        <v>123</v>
      </c>
      <c r="E894" s="181" t="s">
        <v>4371</v>
      </c>
      <c r="F894" s="182"/>
      <c r="G894" s="182">
        <v>429.91</v>
      </c>
      <c r="H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2"/>
      <c r="X894" s="182"/>
      <c r="Y894" s="182"/>
      <c r="Z894" s="182"/>
      <c r="AA894" s="182"/>
      <c r="AB894" s="182"/>
      <c r="AC894" s="182"/>
      <c r="AD894" s="182"/>
      <c r="AE894" s="182"/>
      <c r="AF894" s="182"/>
      <c r="AG894" s="182"/>
      <c r="AH894" s="182"/>
      <c r="AI894" s="182"/>
      <c r="AJ894" s="182"/>
      <c r="AK894" s="182"/>
      <c r="AL894" s="182"/>
      <c r="AM894" s="182"/>
      <c r="AN894" s="182"/>
      <c r="AO894" s="182"/>
      <c r="AP894" s="182"/>
      <c r="AQ894" s="185">
        <v>429.91</v>
      </c>
      <c r="AR894" s="182">
        <v>287.55</v>
      </c>
      <c r="AS894" s="182">
        <v>38.770000000000003</v>
      </c>
      <c r="AT894" s="182">
        <v>103.59</v>
      </c>
      <c r="AU894" s="182"/>
      <c r="AV894" s="182"/>
      <c r="AW894" s="182"/>
      <c r="AX894" s="182"/>
      <c r="AY894" s="182"/>
      <c r="AZ894" s="182"/>
      <c r="BA894" s="182"/>
      <c r="BB894" s="182"/>
      <c r="BC894" s="182"/>
      <c r="BD894" s="182"/>
      <c r="BE894" s="182"/>
      <c r="BF894" s="182"/>
      <c r="BG894" s="182"/>
      <c r="BH894" s="182"/>
      <c r="BI894" s="182"/>
      <c r="BJ894" s="182"/>
      <c r="BK894" s="182"/>
      <c r="BL894" s="182"/>
      <c r="BM894" s="182"/>
      <c r="BN894" s="182"/>
      <c r="BO894" s="182"/>
      <c r="BP894" s="182"/>
      <c r="BQ894" s="182"/>
      <c r="BR894" s="182"/>
      <c r="BS894" s="182"/>
      <c r="BT894" s="182"/>
      <c r="BU894" s="182"/>
      <c r="BV894" s="182"/>
      <c r="BW894" s="182"/>
      <c r="BX894" s="182"/>
      <c r="BY894" s="182"/>
      <c r="BZ894" s="182"/>
      <c r="CA894" s="182"/>
      <c r="CB894" s="185">
        <v>429.90999999999997</v>
      </c>
      <c r="CC894" s="185">
        <v>0</v>
      </c>
      <c r="CD894" s="185">
        <v>2245</v>
      </c>
      <c r="CE894" s="185"/>
    </row>
    <row r="895" spans="2:83" x14ac:dyDescent="0.3">
      <c r="B895" s="182">
        <v>2759</v>
      </c>
      <c r="C895" s="182">
        <v>2246</v>
      </c>
      <c r="D895" s="182" t="s">
        <v>123</v>
      </c>
      <c r="E895" s="181" t="s">
        <v>4371</v>
      </c>
      <c r="F895" s="182"/>
      <c r="G895" s="182">
        <v>675</v>
      </c>
      <c r="H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2"/>
      <c r="X895" s="182"/>
      <c r="Y895" s="182"/>
      <c r="Z895" s="182"/>
      <c r="AA895" s="182"/>
      <c r="AB895" s="182"/>
      <c r="AC895" s="182"/>
      <c r="AD895" s="182"/>
      <c r="AE895" s="182"/>
      <c r="AF895" s="182"/>
      <c r="AG895" s="182"/>
      <c r="AH895" s="182"/>
      <c r="AI895" s="182"/>
      <c r="AJ895" s="182"/>
      <c r="AK895" s="182"/>
      <c r="AL895" s="182"/>
      <c r="AM895" s="182"/>
      <c r="AN895" s="182"/>
      <c r="AO895" s="182"/>
      <c r="AP895" s="182"/>
      <c r="AQ895" s="185">
        <v>675</v>
      </c>
      <c r="AR895" s="182">
        <v>509.48</v>
      </c>
      <c r="AS895" s="182">
        <v>131.77000000000001</v>
      </c>
      <c r="AT895" s="182"/>
      <c r="AU895" s="182">
        <v>33.75</v>
      </c>
      <c r="AV895" s="182"/>
      <c r="AW895" s="182"/>
      <c r="AX895" s="182"/>
      <c r="AY895" s="182"/>
      <c r="AZ895" s="182"/>
      <c r="BA895" s="182"/>
      <c r="BB895" s="182"/>
      <c r="BC895" s="182"/>
      <c r="BD895" s="182"/>
      <c r="BE895" s="182"/>
      <c r="BF895" s="182"/>
      <c r="BG895" s="182"/>
      <c r="BH895" s="182"/>
      <c r="BI895" s="182"/>
      <c r="BJ895" s="182"/>
      <c r="BK895" s="182"/>
      <c r="BL895" s="182"/>
      <c r="BM895" s="182"/>
      <c r="BN895" s="182"/>
      <c r="BO895" s="182"/>
      <c r="BP895" s="182"/>
      <c r="BQ895" s="182"/>
      <c r="BR895" s="182"/>
      <c r="BS895" s="182"/>
      <c r="BT895" s="182"/>
      <c r="BU895" s="182"/>
      <c r="BV895" s="182"/>
      <c r="BW895" s="182"/>
      <c r="BX895" s="182"/>
      <c r="BY895" s="182"/>
      <c r="BZ895" s="182"/>
      <c r="CA895" s="182"/>
      <c r="CB895" s="185">
        <v>675</v>
      </c>
      <c r="CC895" s="185">
        <v>0</v>
      </c>
      <c r="CD895" s="185">
        <v>2246</v>
      </c>
      <c r="CE895" s="185"/>
    </row>
    <row r="896" spans="2:83" x14ac:dyDescent="0.3">
      <c r="B896" s="182">
        <v>2758</v>
      </c>
      <c r="C896" s="182">
        <v>2247</v>
      </c>
      <c r="D896" s="182" t="s">
        <v>123</v>
      </c>
      <c r="E896" s="181" t="s">
        <v>4371</v>
      </c>
      <c r="F896" s="182"/>
      <c r="G896" s="182">
        <v>950</v>
      </c>
      <c r="H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2"/>
      <c r="X896" s="182"/>
      <c r="Y896" s="182"/>
      <c r="Z896" s="182"/>
      <c r="AA896" s="182"/>
      <c r="AB896" s="182"/>
      <c r="AC896" s="182"/>
      <c r="AD896" s="182"/>
      <c r="AE896" s="182"/>
      <c r="AF896" s="182"/>
      <c r="AG896" s="182"/>
      <c r="AH896" s="182"/>
      <c r="AI896" s="182"/>
      <c r="AJ896" s="182"/>
      <c r="AK896" s="182"/>
      <c r="AL896" s="182"/>
      <c r="AM896" s="182"/>
      <c r="AN896" s="182"/>
      <c r="AO896" s="182"/>
      <c r="AP896" s="182"/>
      <c r="AQ896" s="185">
        <v>950</v>
      </c>
      <c r="AR896" s="182">
        <v>756.72</v>
      </c>
      <c r="AS896" s="182">
        <v>145.78</v>
      </c>
      <c r="AT896" s="182"/>
      <c r="AU896" s="182">
        <v>47.5</v>
      </c>
      <c r="AV896" s="182"/>
      <c r="AW896" s="182"/>
      <c r="AX896" s="182"/>
      <c r="AY896" s="182"/>
      <c r="AZ896" s="182"/>
      <c r="BA896" s="182"/>
      <c r="BB896" s="182"/>
      <c r="BC896" s="182"/>
      <c r="BD896" s="182"/>
      <c r="BE896" s="182"/>
      <c r="BF896" s="182"/>
      <c r="BG896" s="182"/>
      <c r="BH896" s="182"/>
      <c r="BI896" s="182"/>
      <c r="BJ896" s="182"/>
      <c r="BK896" s="182"/>
      <c r="BL896" s="182"/>
      <c r="BM896" s="182"/>
      <c r="BN896" s="182"/>
      <c r="BO896" s="182"/>
      <c r="BP896" s="182"/>
      <c r="BQ896" s="182"/>
      <c r="BR896" s="182"/>
      <c r="BS896" s="182"/>
      <c r="BT896" s="182"/>
      <c r="BU896" s="182"/>
      <c r="BV896" s="182"/>
      <c r="BW896" s="182"/>
      <c r="BX896" s="182"/>
      <c r="BY896" s="182"/>
      <c r="BZ896" s="182"/>
      <c r="CA896" s="182"/>
      <c r="CB896" s="185">
        <v>950</v>
      </c>
      <c r="CC896" s="185">
        <v>0</v>
      </c>
      <c r="CD896" s="185">
        <v>2247</v>
      </c>
      <c r="CE896" s="185"/>
    </row>
    <row r="897" spans="2:83" x14ac:dyDescent="0.3">
      <c r="B897" s="182">
        <v>2681</v>
      </c>
      <c r="C897" s="182">
        <v>2248</v>
      </c>
      <c r="D897" s="182" t="s">
        <v>123</v>
      </c>
      <c r="E897" s="181" t="s">
        <v>4371</v>
      </c>
      <c r="F897" s="182"/>
      <c r="G897" s="182">
        <v>469</v>
      </c>
      <c r="H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2"/>
      <c r="X897" s="182"/>
      <c r="Y897" s="182"/>
      <c r="Z897" s="182"/>
      <c r="AA897" s="182"/>
      <c r="AB897" s="182"/>
      <c r="AC897" s="182"/>
      <c r="AD897" s="182"/>
      <c r="AE897" s="182"/>
      <c r="AF897" s="182"/>
      <c r="AG897" s="182"/>
      <c r="AH897" s="182"/>
      <c r="AI897" s="182"/>
      <c r="AJ897" s="182"/>
      <c r="AK897" s="182"/>
      <c r="AL897" s="182"/>
      <c r="AM897" s="182"/>
      <c r="AN897" s="182"/>
      <c r="AO897" s="182"/>
      <c r="AP897" s="182"/>
      <c r="AQ897" s="185">
        <v>469</v>
      </c>
      <c r="AR897" s="182">
        <v>313.7</v>
      </c>
      <c r="AS897" s="182">
        <v>42.3</v>
      </c>
      <c r="AT897" s="182">
        <v>113</v>
      </c>
      <c r="AU897" s="182"/>
      <c r="AV897" s="182"/>
      <c r="AW897" s="182"/>
      <c r="AX897" s="182"/>
      <c r="AY897" s="182"/>
      <c r="AZ897" s="182"/>
      <c r="BA897" s="182"/>
      <c r="BB897" s="182"/>
      <c r="BC897" s="182"/>
      <c r="BD897" s="182"/>
      <c r="BE897" s="182"/>
      <c r="BF897" s="182"/>
      <c r="BG897" s="182"/>
      <c r="BH897" s="182"/>
      <c r="BI897" s="182"/>
      <c r="BJ897" s="182"/>
      <c r="BK897" s="182"/>
      <c r="BL897" s="182"/>
      <c r="BM897" s="182"/>
      <c r="BN897" s="182"/>
      <c r="BO897" s="182"/>
      <c r="BP897" s="182"/>
      <c r="BQ897" s="182"/>
      <c r="BR897" s="182"/>
      <c r="BS897" s="182"/>
      <c r="BT897" s="182"/>
      <c r="BU897" s="182"/>
      <c r="BV897" s="182"/>
      <c r="BW897" s="182"/>
      <c r="BX897" s="182"/>
      <c r="BY897" s="182"/>
      <c r="BZ897" s="182"/>
      <c r="CA897" s="182"/>
      <c r="CB897" s="185">
        <v>469</v>
      </c>
      <c r="CC897" s="185">
        <v>0</v>
      </c>
      <c r="CD897" s="185">
        <v>2248</v>
      </c>
      <c r="CE897" s="185"/>
    </row>
    <row r="898" spans="2:83" x14ac:dyDescent="0.3">
      <c r="B898" s="182">
        <v>2671</v>
      </c>
      <c r="C898" s="182">
        <v>2249</v>
      </c>
      <c r="D898" s="182" t="s">
        <v>123</v>
      </c>
      <c r="E898" s="181" t="s">
        <v>4371</v>
      </c>
      <c r="F898" s="182"/>
      <c r="G898" s="182">
        <v>429.91</v>
      </c>
      <c r="H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2"/>
      <c r="X898" s="182"/>
      <c r="Y898" s="182"/>
      <c r="Z898" s="182"/>
      <c r="AA898" s="182"/>
      <c r="AB898" s="182"/>
      <c r="AC898" s="182"/>
      <c r="AD898" s="182"/>
      <c r="AE898" s="182"/>
      <c r="AF898" s="182"/>
      <c r="AG898" s="182"/>
      <c r="AH898" s="182"/>
      <c r="AI898" s="182"/>
      <c r="AJ898" s="182"/>
      <c r="AK898" s="182"/>
      <c r="AL898" s="182"/>
      <c r="AM898" s="182"/>
      <c r="AN898" s="182"/>
      <c r="AO898" s="182"/>
      <c r="AP898" s="182"/>
      <c r="AQ898" s="185">
        <v>429.91</v>
      </c>
      <c r="AR898" s="182">
        <v>287.55</v>
      </c>
      <c r="AS898" s="182">
        <v>38.770000000000003</v>
      </c>
      <c r="AT898" s="182">
        <v>103.59</v>
      </c>
      <c r="AU898" s="182"/>
      <c r="AV898" s="182"/>
      <c r="AW898" s="182"/>
      <c r="AX898" s="182"/>
      <c r="AY898" s="182"/>
      <c r="AZ898" s="182"/>
      <c r="BA898" s="182"/>
      <c r="BB898" s="182"/>
      <c r="BC898" s="182"/>
      <c r="BD898" s="182"/>
      <c r="BE898" s="182"/>
      <c r="BF898" s="182"/>
      <c r="BG898" s="182"/>
      <c r="BH898" s="182"/>
      <c r="BI898" s="182"/>
      <c r="BJ898" s="182"/>
      <c r="BK898" s="182"/>
      <c r="BL898" s="182"/>
      <c r="BM898" s="182"/>
      <c r="BN898" s="182"/>
      <c r="BO898" s="182"/>
      <c r="BP898" s="182"/>
      <c r="BQ898" s="182"/>
      <c r="BR898" s="182"/>
      <c r="BS898" s="182"/>
      <c r="BT898" s="182"/>
      <c r="BU898" s="182"/>
      <c r="BV898" s="182"/>
      <c r="BW898" s="182"/>
      <c r="BX898" s="182"/>
      <c r="BY898" s="182"/>
      <c r="BZ898" s="182"/>
      <c r="CA898" s="182"/>
      <c r="CB898" s="185">
        <v>429.90999999999997</v>
      </c>
      <c r="CC898" s="185">
        <v>0</v>
      </c>
      <c r="CD898" s="185">
        <v>2249</v>
      </c>
      <c r="CE898" s="185"/>
    </row>
    <row r="899" spans="2:83" x14ac:dyDescent="0.3">
      <c r="B899" s="182">
        <v>2687</v>
      </c>
      <c r="C899" s="182">
        <v>2250</v>
      </c>
      <c r="D899" s="182" t="s">
        <v>123</v>
      </c>
      <c r="E899" s="181" t="s">
        <v>4371</v>
      </c>
      <c r="F899" s="182"/>
      <c r="G899" s="182">
        <v>469</v>
      </c>
      <c r="H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2"/>
      <c r="X899" s="182"/>
      <c r="Y899" s="182"/>
      <c r="Z899" s="182"/>
      <c r="AA899" s="182"/>
      <c r="AB899" s="182"/>
      <c r="AC899" s="182"/>
      <c r="AD899" s="182"/>
      <c r="AE899" s="182"/>
      <c r="AF899" s="182"/>
      <c r="AG899" s="182"/>
      <c r="AH899" s="182"/>
      <c r="AI899" s="182"/>
      <c r="AJ899" s="182"/>
      <c r="AK899" s="182"/>
      <c r="AL899" s="182"/>
      <c r="AM899" s="182"/>
      <c r="AN899" s="182"/>
      <c r="AO899" s="182"/>
      <c r="AP899" s="182"/>
      <c r="AQ899" s="185">
        <v>469</v>
      </c>
      <c r="AR899" s="182">
        <v>313.7</v>
      </c>
      <c r="AS899" s="182">
        <v>42.3</v>
      </c>
      <c r="AT899" s="182">
        <v>113</v>
      </c>
      <c r="AU899" s="182"/>
      <c r="AV899" s="182"/>
      <c r="AW899" s="182"/>
      <c r="AX899" s="182"/>
      <c r="AY899" s="182"/>
      <c r="AZ899" s="182"/>
      <c r="BA899" s="182"/>
      <c r="BB899" s="182"/>
      <c r="BC899" s="182"/>
      <c r="BD899" s="182"/>
      <c r="BE899" s="182"/>
      <c r="BF899" s="182"/>
      <c r="BG899" s="182"/>
      <c r="BH899" s="182"/>
      <c r="BI899" s="182"/>
      <c r="BJ899" s="182"/>
      <c r="BK899" s="182"/>
      <c r="BL899" s="182"/>
      <c r="BM899" s="182"/>
      <c r="BN899" s="182"/>
      <c r="BO899" s="182"/>
      <c r="BP899" s="182"/>
      <c r="BQ899" s="182"/>
      <c r="BR899" s="182"/>
      <c r="BS899" s="182"/>
      <c r="BT899" s="182"/>
      <c r="BU899" s="182"/>
      <c r="BV899" s="182"/>
      <c r="BW899" s="182"/>
      <c r="BX899" s="182"/>
      <c r="BY899" s="182"/>
      <c r="BZ899" s="182"/>
      <c r="CA899" s="182"/>
      <c r="CB899" s="185">
        <v>469</v>
      </c>
      <c r="CC899" s="185">
        <v>0</v>
      </c>
      <c r="CD899" s="185">
        <v>2250</v>
      </c>
      <c r="CE899" s="185"/>
    </row>
    <row r="900" spans="2:83" x14ac:dyDescent="0.3">
      <c r="B900" s="182">
        <v>2692</v>
      </c>
      <c r="C900" s="182">
        <v>2251</v>
      </c>
      <c r="D900" s="182" t="s">
        <v>123</v>
      </c>
      <c r="E900" s="181" t="s">
        <v>4371</v>
      </c>
      <c r="F900" s="182"/>
      <c r="G900" s="182">
        <v>469</v>
      </c>
      <c r="H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2"/>
      <c r="X900" s="182"/>
      <c r="Y900" s="182"/>
      <c r="Z900" s="182"/>
      <c r="AA900" s="182"/>
      <c r="AB900" s="182"/>
      <c r="AC900" s="182"/>
      <c r="AD900" s="182"/>
      <c r="AE900" s="182"/>
      <c r="AF900" s="182"/>
      <c r="AG900" s="182"/>
      <c r="AH900" s="182"/>
      <c r="AI900" s="182"/>
      <c r="AJ900" s="182"/>
      <c r="AK900" s="182"/>
      <c r="AL900" s="182"/>
      <c r="AM900" s="182"/>
      <c r="AN900" s="182"/>
      <c r="AO900" s="182"/>
      <c r="AP900" s="182"/>
      <c r="AQ900" s="185">
        <v>469</v>
      </c>
      <c r="AR900" s="182">
        <v>313.7</v>
      </c>
      <c r="AS900" s="182">
        <v>42.3</v>
      </c>
      <c r="AT900" s="182">
        <v>113</v>
      </c>
      <c r="AU900" s="182"/>
      <c r="AV900" s="182"/>
      <c r="AW900" s="182"/>
      <c r="AX900" s="182"/>
      <c r="AY900" s="182"/>
      <c r="AZ900" s="182"/>
      <c r="BA900" s="182"/>
      <c r="BB900" s="182"/>
      <c r="BC900" s="182"/>
      <c r="BD900" s="182"/>
      <c r="BE900" s="182"/>
      <c r="BF900" s="182"/>
      <c r="BG900" s="182"/>
      <c r="BH900" s="182"/>
      <c r="BI900" s="182"/>
      <c r="BJ900" s="182"/>
      <c r="BK900" s="182"/>
      <c r="BL900" s="182"/>
      <c r="BM900" s="182"/>
      <c r="BN900" s="182"/>
      <c r="BO900" s="182"/>
      <c r="BP900" s="182"/>
      <c r="BQ900" s="182"/>
      <c r="BR900" s="182"/>
      <c r="BS900" s="182"/>
      <c r="BT900" s="182"/>
      <c r="BU900" s="182"/>
      <c r="BV900" s="182"/>
      <c r="BW900" s="182"/>
      <c r="BX900" s="182"/>
      <c r="BY900" s="182"/>
      <c r="BZ900" s="182"/>
      <c r="CA900" s="182"/>
      <c r="CB900" s="185">
        <v>469</v>
      </c>
      <c r="CC900" s="185">
        <v>0</v>
      </c>
      <c r="CD900" s="185">
        <v>2251</v>
      </c>
      <c r="CE900" s="185"/>
    </row>
    <row r="901" spans="2:83" x14ac:dyDescent="0.3">
      <c r="B901" s="182">
        <v>2761</v>
      </c>
      <c r="C901" s="182">
        <v>2252</v>
      </c>
      <c r="D901" s="182" t="s">
        <v>123</v>
      </c>
      <c r="E901" s="181" t="s">
        <v>4371</v>
      </c>
      <c r="F901" s="182"/>
      <c r="G901" s="182">
        <v>1932.56</v>
      </c>
      <c r="H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2"/>
      <c r="X901" s="182"/>
      <c r="Y901" s="182"/>
      <c r="Z901" s="182"/>
      <c r="AA901" s="182"/>
      <c r="AB901" s="182"/>
      <c r="AC901" s="182"/>
      <c r="AD901" s="182"/>
      <c r="AE901" s="182"/>
      <c r="AF901" s="182"/>
      <c r="AG901" s="182"/>
      <c r="AH901" s="182"/>
      <c r="AI901" s="182"/>
      <c r="AJ901" s="182"/>
      <c r="AK901" s="182"/>
      <c r="AL901" s="182"/>
      <c r="AM901" s="182"/>
      <c r="AN901" s="182"/>
      <c r="AO901" s="182"/>
      <c r="AP901" s="182"/>
      <c r="AQ901" s="185">
        <v>1932.56</v>
      </c>
      <c r="AR901" s="182">
        <v>1445.97</v>
      </c>
      <c r="AS901" s="182">
        <v>351.35</v>
      </c>
      <c r="AT901" s="182">
        <v>40.25</v>
      </c>
      <c r="AU901" s="182">
        <v>94.99</v>
      </c>
      <c r="AV901" s="182"/>
      <c r="AW901" s="182"/>
      <c r="AX901" s="182"/>
      <c r="AY901" s="182"/>
      <c r="AZ901" s="182"/>
      <c r="BA901" s="182"/>
      <c r="BB901" s="182"/>
      <c r="BC901" s="182"/>
      <c r="BD901" s="182"/>
      <c r="BE901" s="182"/>
      <c r="BF901" s="182"/>
      <c r="BG901" s="182"/>
      <c r="BH901" s="182"/>
      <c r="BI901" s="182"/>
      <c r="BJ901" s="182"/>
      <c r="BK901" s="182"/>
      <c r="BL901" s="182"/>
      <c r="BM901" s="182"/>
      <c r="BN901" s="182"/>
      <c r="BO901" s="182"/>
      <c r="BP901" s="182"/>
      <c r="BQ901" s="182"/>
      <c r="BR901" s="182"/>
      <c r="BS901" s="182"/>
      <c r="BT901" s="182"/>
      <c r="BU901" s="182"/>
      <c r="BV901" s="182"/>
      <c r="BW901" s="182"/>
      <c r="BX901" s="182"/>
      <c r="BY901" s="182"/>
      <c r="BZ901" s="182"/>
      <c r="CA901" s="182"/>
      <c r="CB901" s="185">
        <v>1932.5600000000002</v>
      </c>
      <c r="CC901" s="185">
        <v>0</v>
      </c>
      <c r="CD901" s="185">
        <v>2252</v>
      </c>
      <c r="CE901" s="185"/>
    </row>
    <row r="902" spans="2:83" x14ac:dyDescent="0.3">
      <c r="B902" s="182">
        <v>2762</v>
      </c>
      <c r="C902" s="182">
        <v>2253</v>
      </c>
      <c r="D902" s="182" t="s">
        <v>123</v>
      </c>
      <c r="E902" s="181" t="s">
        <v>4371</v>
      </c>
      <c r="F902" s="182"/>
      <c r="G902" s="182">
        <v>766.66</v>
      </c>
      <c r="H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2"/>
      <c r="X902" s="182"/>
      <c r="Y902" s="182"/>
      <c r="Z902" s="182"/>
      <c r="AA902" s="182"/>
      <c r="AB902" s="182"/>
      <c r="AC902" s="182"/>
      <c r="AD902" s="182"/>
      <c r="AE902" s="182"/>
      <c r="AF902" s="182"/>
      <c r="AG902" s="182"/>
      <c r="AH902" s="182"/>
      <c r="AI902" s="182"/>
      <c r="AJ902" s="182"/>
      <c r="AK902" s="182"/>
      <c r="AL902" s="182"/>
      <c r="AM902" s="182"/>
      <c r="AN902" s="182"/>
      <c r="AO902" s="182"/>
      <c r="AP902" s="182"/>
      <c r="AQ902" s="185">
        <v>766.66</v>
      </c>
      <c r="AR902" s="182">
        <v>613.77</v>
      </c>
      <c r="AS902" s="182">
        <v>114.56</v>
      </c>
      <c r="AT902" s="182"/>
      <c r="AU902" s="182">
        <v>38.33</v>
      </c>
      <c r="AV902" s="182"/>
      <c r="AW902" s="182"/>
      <c r="AX902" s="182"/>
      <c r="AY902" s="182"/>
      <c r="AZ902" s="182"/>
      <c r="BA902" s="182"/>
      <c r="BB902" s="182"/>
      <c r="BC902" s="182"/>
      <c r="BD902" s="182"/>
      <c r="BE902" s="182"/>
      <c r="BF902" s="182"/>
      <c r="BG902" s="182"/>
      <c r="BH902" s="182"/>
      <c r="BI902" s="182"/>
      <c r="BJ902" s="182"/>
      <c r="BK902" s="182"/>
      <c r="BL902" s="182"/>
      <c r="BM902" s="182"/>
      <c r="BN902" s="182"/>
      <c r="BO902" s="182"/>
      <c r="BP902" s="182"/>
      <c r="BQ902" s="182"/>
      <c r="BR902" s="182"/>
      <c r="BS902" s="182"/>
      <c r="BT902" s="182"/>
      <c r="BU902" s="182"/>
      <c r="BV902" s="182"/>
      <c r="BW902" s="182"/>
      <c r="BX902" s="182"/>
      <c r="BY902" s="182"/>
      <c r="BZ902" s="182"/>
      <c r="CA902" s="182"/>
      <c r="CB902" s="185">
        <v>766.66</v>
      </c>
      <c r="CC902" s="185">
        <v>0</v>
      </c>
      <c r="CD902" s="185">
        <v>2253</v>
      </c>
      <c r="CE902" s="185"/>
    </row>
    <row r="903" spans="2:83" x14ac:dyDescent="0.3">
      <c r="B903" s="182">
        <v>2735</v>
      </c>
      <c r="C903" s="182">
        <v>2254</v>
      </c>
      <c r="D903" s="182" t="s">
        <v>123</v>
      </c>
      <c r="E903" s="181" t="s">
        <v>4371</v>
      </c>
      <c r="F903" s="182"/>
      <c r="G903" s="182">
        <v>766.66</v>
      </c>
      <c r="H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2"/>
      <c r="X903" s="182"/>
      <c r="Y903" s="182"/>
      <c r="Z903" s="182"/>
      <c r="AA903" s="182"/>
      <c r="AB903" s="182"/>
      <c r="AC903" s="182"/>
      <c r="AD903" s="182"/>
      <c r="AE903" s="182"/>
      <c r="AF903" s="182"/>
      <c r="AG903" s="182"/>
      <c r="AH903" s="182"/>
      <c r="AI903" s="182"/>
      <c r="AJ903" s="182"/>
      <c r="AK903" s="182"/>
      <c r="AL903" s="182"/>
      <c r="AM903" s="182"/>
      <c r="AN903" s="182"/>
      <c r="AO903" s="182"/>
      <c r="AP903" s="182"/>
      <c r="AQ903" s="185">
        <v>766.66</v>
      </c>
      <c r="AR903" s="182">
        <v>578.62</v>
      </c>
      <c r="AS903" s="182">
        <v>149.71</v>
      </c>
      <c r="AT903" s="182"/>
      <c r="AU903" s="182">
        <v>38.33</v>
      </c>
      <c r="AV903" s="182"/>
      <c r="AW903" s="182"/>
      <c r="AX903" s="182"/>
      <c r="AY903" s="182"/>
      <c r="AZ903" s="182"/>
      <c r="BA903" s="182"/>
      <c r="BB903" s="182"/>
      <c r="BC903" s="182"/>
      <c r="BD903" s="182"/>
      <c r="BE903" s="182"/>
      <c r="BF903" s="182"/>
      <c r="BG903" s="182"/>
      <c r="BH903" s="182"/>
      <c r="BI903" s="182"/>
      <c r="BJ903" s="182"/>
      <c r="BK903" s="182"/>
      <c r="BL903" s="182"/>
      <c r="BM903" s="182"/>
      <c r="BN903" s="182"/>
      <c r="BO903" s="182"/>
      <c r="BP903" s="182"/>
      <c r="BQ903" s="182"/>
      <c r="BR903" s="182"/>
      <c r="BS903" s="182"/>
      <c r="BT903" s="182"/>
      <c r="BU903" s="182"/>
      <c r="BV903" s="182"/>
      <c r="BW903" s="182"/>
      <c r="BX903" s="182"/>
      <c r="BY903" s="182"/>
      <c r="BZ903" s="182"/>
      <c r="CA903" s="182"/>
      <c r="CB903" s="185">
        <v>766.66000000000008</v>
      </c>
      <c r="CC903" s="185">
        <v>0</v>
      </c>
      <c r="CD903" s="185">
        <v>2254</v>
      </c>
      <c r="CE903" s="185"/>
    </row>
    <row r="904" spans="2:83" x14ac:dyDescent="0.3">
      <c r="B904" s="182">
        <v>2736</v>
      </c>
      <c r="C904" s="182">
        <v>2255</v>
      </c>
      <c r="D904" s="182" t="s">
        <v>123</v>
      </c>
      <c r="E904" s="181" t="s">
        <v>4371</v>
      </c>
      <c r="F904" s="182"/>
      <c r="G904" s="182">
        <v>750</v>
      </c>
      <c r="H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2"/>
      <c r="X904" s="182"/>
      <c r="Y904" s="182"/>
      <c r="Z904" s="182"/>
      <c r="AA904" s="182"/>
      <c r="AB904" s="182"/>
      <c r="AC904" s="182"/>
      <c r="AD904" s="182"/>
      <c r="AE904" s="182"/>
      <c r="AF904" s="182"/>
      <c r="AG904" s="182"/>
      <c r="AH904" s="182"/>
      <c r="AI904" s="182"/>
      <c r="AJ904" s="182"/>
      <c r="AK904" s="182"/>
      <c r="AL904" s="182"/>
      <c r="AM904" s="182"/>
      <c r="AN904" s="182"/>
      <c r="AO904" s="182"/>
      <c r="AP904" s="182"/>
      <c r="AQ904" s="185">
        <v>750</v>
      </c>
      <c r="AR904" s="182">
        <v>566.08000000000004</v>
      </c>
      <c r="AS904" s="182">
        <v>146.41999999999999</v>
      </c>
      <c r="AT904" s="182"/>
      <c r="AU904" s="182">
        <v>37.5</v>
      </c>
      <c r="AV904" s="182"/>
      <c r="AW904" s="182"/>
      <c r="AX904" s="182"/>
      <c r="AY904" s="182"/>
      <c r="AZ904" s="182"/>
      <c r="BA904" s="182"/>
      <c r="BB904" s="182"/>
      <c r="BC904" s="182"/>
      <c r="BD904" s="182"/>
      <c r="BE904" s="182"/>
      <c r="BF904" s="182"/>
      <c r="BG904" s="182"/>
      <c r="BH904" s="182"/>
      <c r="BI904" s="182"/>
      <c r="BJ904" s="182"/>
      <c r="BK904" s="182"/>
      <c r="BL904" s="182"/>
      <c r="BM904" s="182"/>
      <c r="BN904" s="182"/>
      <c r="BO904" s="182"/>
      <c r="BP904" s="182"/>
      <c r="BQ904" s="182"/>
      <c r="BR904" s="182"/>
      <c r="BS904" s="182"/>
      <c r="BT904" s="182"/>
      <c r="BU904" s="182"/>
      <c r="BV904" s="182"/>
      <c r="BW904" s="182"/>
      <c r="BX904" s="182"/>
      <c r="BY904" s="182"/>
      <c r="BZ904" s="182"/>
      <c r="CA904" s="182"/>
      <c r="CB904" s="185">
        <v>750</v>
      </c>
      <c r="CC904" s="185">
        <v>0</v>
      </c>
      <c r="CD904" s="185">
        <v>2255</v>
      </c>
      <c r="CE904" s="185"/>
    </row>
    <row r="905" spans="2:83" x14ac:dyDescent="0.3">
      <c r="B905" s="182">
        <v>2834</v>
      </c>
      <c r="C905" s="182">
        <v>2256</v>
      </c>
      <c r="D905" s="182" t="s">
        <v>123</v>
      </c>
      <c r="E905" s="181" t="s">
        <v>4371</v>
      </c>
      <c r="F905" s="182"/>
      <c r="G905" s="182">
        <v>675</v>
      </c>
      <c r="H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2"/>
      <c r="X905" s="182"/>
      <c r="Y905" s="182"/>
      <c r="Z905" s="182"/>
      <c r="AA905" s="182"/>
      <c r="AB905" s="182"/>
      <c r="AC905" s="182"/>
      <c r="AD905" s="182"/>
      <c r="AE905" s="182"/>
      <c r="AF905" s="182"/>
      <c r="AG905" s="182"/>
      <c r="AH905" s="182"/>
      <c r="AI905" s="182"/>
      <c r="AJ905" s="182"/>
      <c r="AK905" s="182"/>
      <c r="AL905" s="182"/>
      <c r="AM905" s="182"/>
      <c r="AN905" s="182"/>
      <c r="AO905" s="182"/>
      <c r="AP905" s="182"/>
      <c r="AQ905" s="185">
        <v>675</v>
      </c>
      <c r="AR905" s="182">
        <v>509.48</v>
      </c>
      <c r="AS905" s="182">
        <v>131.77000000000001</v>
      </c>
      <c r="AT905" s="182"/>
      <c r="AU905" s="182">
        <v>33.75</v>
      </c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182"/>
      <c r="BK905" s="182"/>
      <c r="BL905" s="182"/>
      <c r="BM905" s="182"/>
      <c r="BN905" s="182"/>
      <c r="BO905" s="182"/>
      <c r="BP905" s="182"/>
      <c r="BQ905" s="182"/>
      <c r="BR905" s="182"/>
      <c r="BS905" s="182"/>
      <c r="BT905" s="182"/>
      <c r="BU905" s="182"/>
      <c r="BV905" s="182"/>
      <c r="BW905" s="182"/>
      <c r="BX905" s="182"/>
      <c r="BY905" s="182"/>
      <c r="BZ905" s="182"/>
      <c r="CA905" s="182"/>
      <c r="CB905" s="185">
        <v>675</v>
      </c>
      <c r="CC905" s="185">
        <v>0</v>
      </c>
      <c r="CD905" s="185">
        <v>2256</v>
      </c>
      <c r="CE905" s="185"/>
    </row>
    <row r="906" spans="2:83" x14ac:dyDescent="0.3">
      <c r="B906" s="182">
        <v>2832</v>
      </c>
      <c r="C906" s="182">
        <v>2257</v>
      </c>
      <c r="D906" s="182" t="s">
        <v>123</v>
      </c>
      <c r="E906" s="181" t="s">
        <v>4371</v>
      </c>
      <c r="F906" s="182"/>
      <c r="G906" s="182">
        <v>950</v>
      </c>
      <c r="H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2"/>
      <c r="X906" s="182"/>
      <c r="Y906" s="182"/>
      <c r="Z906" s="182"/>
      <c r="AA906" s="182"/>
      <c r="AB906" s="182"/>
      <c r="AC906" s="182"/>
      <c r="AD906" s="182"/>
      <c r="AE906" s="182"/>
      <c r="AF906" s="182"/>
      <c r="AG906" s="182"/>
      <c r="AH906" s="182"/>
      <c r="AI906" s="182"/>
      <c r="AJ906" s="182"/>
      <c r="AK906" s="182"/>
      <c r="AL906" s="182"/>
      <c r="AM906" s="182"/>
      <c r="AN906" s="182"/>
      <c r="AO906" s="182"/>
      <c r="AP906" s="182"/>
      <c r="AQ906" s="185">
        <v>950</v>
      </c>
      <c r="AR906" s="182">
        <v>716.96</v>
      </c>
      <c r="AS906" s="182">
        <v>185.54</v>
      </c>
      <c r="AT906" s="182"/>
      <c r="AU906" s="182">
        <v>47.5</v>
      </c>
      <c r="AV906" s="182"/>
      <c r="AW906" s="182"/>
      <c r="AX906" s="182"/>
      <c r="AY906" s="182"/>
      <c r="AZ906" s="182"/>
      <c r="BA906" s="182"/>
      <c r="BB906" s="182"/>
      <c r="BC906" s="182"/>
      <c r="BD906" s="182"/>
      <c r="BE906" s="182"/>
      <c r="BF906" s="182"/>
      <c r="BG906" s="182"/>
      <c r="BH906" s="182"/>
      <c r="BI906" s="182"/>
      <c r="BJ906" s="182"/>
      <c r="BK906" s="182"/>
      <c r="BL906" s="182"/>
      <c r="BM906" s="182"/>
      <c r="BN906" s="182"/>
      <c r="BO906" s="182"/>
      <c r="BP906" s="182"/>
      <c r="BQ906" s="182"/>
      <c r="BR906" s="182"/>
      <c r="BS906" s="182"/>
      <c r="BT906" s="182"/>
      <c r="BU906" s="182"/>
      <c r="BV906" s="182"/>
      <c r="BW906" s="182"/>
      <c r="BX906" s="182"/>
      <c r="BY906" s="182"/>
      <c r="BZ906" s="182"/>
      <c r="CA906" s="182"/>
      <c r="CB906" s="185">
        <v>950</v>
      </c>
      <c r="CC906" s="185">
        <v>0</v>
      </c>
      <c r="CD906" s="185">
        <v>2257</v>
      </c>
      <c r="CE906" s="185"/>
    </row>
    <row r="907" spans="2:83" x14ac:dyDescent="0.3">
      <c r="B907" s="182">
        <v>2869</v>
      </c>
      <c r="C907" s="182">
        <v>2258</v>
      </c>
      <c r="D907" s="182" t="s">
        <v>123</v>
      </c>
      <c r="E907" s="181" t="s">
        <v>4371</v>
      </c>
      <c r="F907" s="182"/>
      <c r="G907" s="182">
        <v>469</v>
      </c>
      <c r="H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2"/>
      <c r="X907" s="182"/>
      <c r="Y907" s="182"/>
      <c r="Z907" s="182"/>
      <c r="AA907" s="182"/>
      <c r="AB907" s="182"/>
      <c r="AC907" s="182"/>
      <c r="AD907" s="182"/>
      <c r="AE907" s="182"/>
      <c r="AF907" s="182"/>
      <c r="AG907" s="182"/>
      <c r="AH907" s="182"/>
      <c r="AI907" s="182"/>
      <c r="AJ907" s="182"/>
      <c r="AK907" s="182"/>
      <c r="AL907" s="182"/>
      <c r="AM907" s="182"/>
      <c r="AN907" s="182"/>
      <c r="AO907" s="182"/>
      <c r="AP907" s="182"/>
      <c r="AQ907" s="185">
        <v>469</v>
      </c>
      <c r="AR907" s="182">
        <v>313.7</v>
      </c>
      <c r="AS907" s="182">
        <v>42.3</v>
      </c>
      <c r="AT907" s="182">
        <v>113</v>
      </c>
      <c r="AU907" s="182"/>
      <c r="AV907" s="182"/>
      <c r="AW907" s="182"/>
      <c r="AX907" s="182"/>
      <c r="AY907" s="182"/>
      <c r="AZ907" s="182"/>
      <c r="BA907" s="182"/>
      <c r="BB907" s="182"/>
      <c r="BC907" s="182"/>
      <c r="BD907" s="182"/>
      <c r="BE907" s="182"/>
      <c r="BF907" s="182"/>
      <c r="BG907" s="182"/>
      <c r="BH907" s="182"/>
      <c r="BI907" s="182"/>
      <c r="BJ907" s="182"/>
      <c r="BK907" s="182"/>
      <c r="BL907" s="182"/>
      <c r="BM907" s="182"/>
      <c r="BN907" s="182"/>
      <c r="BO907" s="182"/>
      <c r="BP907" s="182"/>
      <c r="BQ907" s="182"/>
      <c r="BR907" s="182"/>
      <c r="BS907" s="182"/>
      <c r="BT907" s="182"/>
      <c r="BU907" s="182"/>
      <c r="BV907" s="182"/>
      <c r="BW907" s="182"/>
      <c r="BX907" s="182"/>
      <c r="BY907" s="182"/>
      <c r="BZ907" s="182"/>
      <c r="CA907" s="182"/>
      <c r="CB907" s="185">
        <v>469</v>
      </c>
      <c r="CC907" s="185">
        <v>0</v>
      </c>
      <c r="CD907" s="185">
        <v>2258</v>
      </c>
      <c r="CE907" s="185"/>
    </row>
    <row r="908" spans="2:83" x14ac:dyDescent="0.3">
      <c r="B908" s="182">
        <v>2669</v>
      </c>
      <c r="C908" s="182">
        <v>2259</v>
      </c>
      <c r="D908" s="182" t="s">
        <v>123</v>
      </c>
      <c r="E908" s="181" t="s">
        <v>4371</v>
      </c>
      <c r="F908" s="182"/>
      <c r="G908" s="182">
        <v>469</v>
      </c>
      <c r="H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2"/>
      <c r="X908" s="182"/>
      <c r="Y908" s="182"/>
      <c r="Z908" s="182"/>
      <c r="AA908" s="182"/>
      <c r="AB908" s="182"/>
      <c r="AC908" s="182"/>
      <c r="AD908" s="182"/>
      <c r="AE908" s="182"/>
      <c r="AF908" s="182"/>
      <c r="AG908" s="182"/>
      <c r="AH908" s="182"/>
      <c r="AI908" s="182"/>
      <c r="AJ908" s="182"/>
      <c r="AK908" s="182"/>
      <c r="AL908" s="182"/>
      <c r="AM908" s="182"/>
      <c r="AN908" s="182"/>
      <c r="AO908" s="182"/>
      <c r="AP908" s="182"/>
      <c r="AQ908" s="185">
        <v>469</v>
      </c>
      <c r="AR908" s="182">
        <v>293.7</v>
      </c>
      <c r="AS908" s="182">
        <v>42.3</v>
      </c>
      <c r="AT908" s="182">
        <v>113</v>
      </c>
      <c r="AU908" s="182">
        <v>20</v>
      </c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182"/>
      <c r="BK908" s="182"/>
      <c r="BL908" s="182"/>
      <c r="BM908" s="182"/>
      <c r="BN908" s="182"/>
      <c r="BO908" s="182"/>
      <c r="BP908" s="182"/>
      <c r="BQ908" s="182"/>
      <c r="BR908" s="182"/>
      <c r="BS908" s="182"/>
      <c r="BT908" s="182"/>
      <c r="BU908" s="182"/>
      <c r="BV908" s="182"/>
      <c r="BW908" s="182"/>
      <c r="BX908" s="182"/>
      <c r="BY908" s="182"/>
      <c r="BZ908" s="182"/>
      <c r="CA908" s="182"/>
      <c r="CB908" s="185">
        <v>469</v>
      </c>
      <c r="CC908" s="185">
        <v>0</v>
      </c>
      <c r="CD908" s="185">
        <v>2259</v>
      </c>
      <c r="CE908" s="185"/>
    </row>
    <row r="909" spans="2:83" x14ac:dyDescent="0.3">
      <c r="B909" s="182">
        <v>2870</v>
      </c>
      <c r="C909" s="182">
        <v>2260</v>
      </c>
      <c r="D909" s="182" t="s">
        <v>123</v>
      </c>
      <c r="E909" s="181" t="s">
        <v>4371</v>
      </c>
      <c r="F909" s="182"/>
      <c r="G909" s="182">
        <v>400</v>
      </c>
      <c r="H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2"/>
      <c r="X909" s="182"/>
      <c r="Y909" s="182"/>
      <c r="Z909" s="182"/>
      <c r="AA909" s="182"/>
      <c r="AB909" s="182"/>
      <c r="AC909" s="182"/>
      <c r="AD909" s="182"/>
      <c r="AE909" s="182"/>
      <c r="AF909" s="182"/>
      <c r="AG909" s="182"/>
      <c r="AH909" s="182"/>
      <c r="AI909" s="182"/>
      <c r="AJ909" s="182"/>
      <c r="AK909" s="182"/>
      <c r="AL909" s="182"/>
      <c r="AM909" s="182"/>
      <c r="AN909" s="182"/>
      <c r="AO909" s="182"/>
      <c r="AP909" s="182"/>
      <c r="AQ909" s="185">
        <v>400</v>
      </c>
      <c r="AR909" s="182">
        <v>302.16000000000003</v>
      </c>
      <c r="AS909" s="182">
        <v>77.84</v>
      </c>
      <c r="AT909" s="182"/>
      <c r="AU909" s="182">
        <v>20</v>
      </c>
      <c r="AV909" s="182"/>
      <c r="AW909" s="182"/>
      <c r="AX909" s="182"/>
      <c r="AY909" s="182"/>
      <c r="AZ909" s="182"/>
      <c r="BA909" s="182"/>
      <c r="BB909" s="182"/>
      <c r="BC909" s="182"/>
      <c r="BD909" s="182"/>
      <c r="BE909" s="182"/>
      <c r="BF909" s="182"/>
      <c r="BG909" s="182"/>
      <c r="BH909" s="182"/>
      <c r="BI909" s="182"/>
      <c r="BJ909" s="182"/>
      <c r="BK909" s="182"/>
      <c r="BL909" s="182"/>
      <c r="BM909" s="182"/>
      <c r="BN909" s="182"/>
      <c r="BO909" s="182"/>
      <c r="BP909" s="182"/>
      <c r="BQ909" s="182"/>
      <c r="BR909" s="182"/>
      <c r="BS909" s="182"/>
      <c r="BT909" s="182"/>
      <c r="BU909" s="182"/>
      <c r="BV909" s="182"/>
      <c r="BW909" s="182"/>
      <c r="BX909" s="182"/>
      <c r="BY909" s="182"/>
      <c r="BZ909" s="182"/>
      <c r="CA909" s="182"/>
      <c r="CB909" s="185">
        <v>400</v>
      </c>
      <c r="CC909" s="185">
        <v>0</v>
      </c>
      <c r="CD909" s="185">
        <v>2260</v>
      </c>
      <c r="CE909" s="185"/>
    </row>
    <row r="910" spans="2:83" x14ac:dyDescent="0.3">
      <c r="B910" s="182">
        <v>2872</v>
      </c>
      <c r="C910" s="182">
        <v>2261</v>
      </c>
      <c r="D910" s="182" t="s">
        <v>123</v>
      </c>
      <c r="E910" s="181" t="s">
        <v>4371</v>
      </c>
      <c r="F910" s="182"/>
      <c r="G910" s="182">
        <v>1900</v>
      </c>
      <c r="H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2"/>
      <c r="X910" s="182"/>
      <c r="Y910" s="182"/>
      <c r="Z910" s="182"/>
      <c r="AA910" s="182"/>
      <c r="AB910" s="182"/>
      <c r="AC910" s="182"/>
      <c r="AD910" s="182"/>
      <c r="AE910" s="182"/>
      <c r="AF910" s="182"/>
      <c r="AG910" s="182"/>
      <c r="AH910" s="182"/>
      <c r="AI910" s="182"/>
      <c r="AJ910" s="182"/>
      <c r="AK910" s="182"/>
      <c r="AL910" s="182"/>
      <c r="AM910" s="182"/>
      <c r="AN910" s="182"/>
      <c r="AO910" s="182"/>
      <c r="AP910" s="182"/>
      <c r="AQ910" s="185">
        <v>1900</v>
      </c>
      <c r="AR910" s="182">
        <v>1433.92</v>
      </c>
      <c r="AS910" s="182">
        <v>371.08</v>
      </c>
      <c r="AT910" s="182"/>
      <c r="AU910" s="182">
        <v>95</v>
      </c>
      <c r="AV910" s="182"/>
      <c r="AW910" s="182"/>
      <c r="AX910" s="182"/>
      <c r="AY910" s="182"/>
      <c r="AZ910" s="182"/>
      <c r="BA910" s="182"/>
      <c r="BB910" s="182"/>
      <c r="BC910" s="182"/>
      <c r="BD910" s="182"/>
      <c r="BE910" s="182"/>
      <c r="BF910" s="182"/>
      <c r="BG910" s="182"/>
      <c r="BH910" s="182"/>
      <c r="BI910" s="182"/>
      <c r="BJ910" s="182"/>
      <c r="BK910" s="182"/>
      <c r="BL910" s="182"/>
      <c r="BM910" s="182"/>
      <c r="BN910" s="182"/>
      <c r="BO910" s="182"/>
      <c r="BP910" s="182"/>
      <c r="BQ910" s="182"/>
      <c r="BR910" s="182"/>
      <c r="BS910" s="182"/>
      <c r="BT910" s="182"/>
      <c r="BU910" s="182"/>
      <c r="BV910" s="182"/>
      <c r="BW910" s="182"/>
      <c r="BX910" s="182"/>
      <c r="BY910" s="182"/>
      <c r="BZ910" s="182"/>
      <c r="CA910" s="182"/>
      <c r="CB910" s="185">
        <v>1900</v>
      </c>
      <c r="CC910" s="185">
        <v>0</v>
      </c>
      <c r="CD910" s="185">
        <v>2261</v>
      </c>
      <c r="CE910" s="185"/>
    </row>
    <row r="911" spans="2:83" x14ac:dyDescent="0.3">
      <c r="B911" s="182">
        <v>2859</v>
      </c>
      <c r="C911" s="182">
        <v>2262</v>
      </c>
      <c r="D911" s="182" t="s">
        <v>123</v>
      </c>
      <c r="E911" s="181" t="s">
        <v>4371</v>
      </c>
      <c r="F911" s="182"/>
      <c r="G911" s="182">
        <v>1499.98</v>
      </c>
      <c r="H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2"/>
      <c r="X911" s="182"/>
      <c r="Y911" s="182"/>
      <c r="Z911" s="182"/>
      <c r="AA911" s="182"/>
      <c r="AB911" s="182"/>
      <c r="AC911" s="182"/>
      <c r="AD911" s="182"/>
      <c r="AE911" s="182"/>
      <c r="AF911" s="182"/>
      <c r="AG911" s="182"/>
      <c r="AH911" s="182"/>
      <c r="AI911" s="182"/>
      <c r="AJ911" s="182"/>
      <c r="AK911" s="182"/>
      <c r="AL911" s="182"/>
      <c r="AM911" s="182"/>
      <c r="AN911" s="182"/>
      <c r="AO911" s="182"/>
      <c r="AP911" s="182"/>
      <c r="AQ911" s="185">
        <v>1499.98</v>
      </c>
      <c r="AR911" s="182">
        <v>1132.58</v>
      </c>
      <c r="AS911" s="182">
        <v>292.41000000000003</v>
      </c>
      <c r="AT911" s="182"/>
      <c r="AU911" s="182">
        <v>74.989999999999995</v>
      </c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182"/>
      <c r="BK911" s="182"/>
      <c r="BL911" s="182"/>
      <c r="BM911" s="182"/>
      <c r="BN911" s="182"/>
      <c r="BO911" s="182"/>
      <c r="BP911" s="182"/>
      <c r="BQ911" s="182"/>
      <c r="BR911" s="182"/>
      <c r="BS911" s="182"/>
      <c r="BT911" s="182"/>
      <c r="BU911" s="182"/>
      <c r="BV911" s="182"/>
      <c r="BW911" s="182"/>
      <c r="BX911" s="182"/>
      <c r="BY911" s="182"/>
      <c r="BZ911" s="182"/>
      <c r="CA911" s="182"/>
      <c r="CB911" s="185">
        <v>1499.98</v>
      </c>
      <c r="CC911" s="185">
        <v>0</v>
      </c>
      <c r="CD911" s="185">
        <v>2262</v>
      </c>
      <c r="CE911" s="185"/>
    </row>
    <row r="912" spans="2:83" x14ac:dyDescent="0.3">
      <c r="B912" s="182">
        <v>2874</v>
      </c>
      <c r="C912" s="182">
        <v>2263</v>
      </c>
      <c r="D912" s="182" t="s">
        <v>123</v>
      </c>
      <c r="E912" s="181" t="s">
        <v>4371</v>
      </c>
      <c r="F912" s="182"/>
      <c r="G912" s="182">
        <v>400</v>
      </c>
      <c r="H912" s="182"/>
      <c r="I912" s="182"/>
      <c r="J912" s="182"/>
      <c r="K912" s="182"/>
      <c r="L912" s="182"/>
      <c r="M912" s="182"/>
      <c r="N912" s="182"/>
      <c r="O912" s="182"/>
      <c r="P912" s="182"/>
      <c r="Q912" s="182"/>
      <c r="R912" s="182"/>
      <c r="S912" s="182"/>
      <c r="T912" s="182"/>
      <c r="U912" s="182"/>
      <c r="V912" s="182"/>
      <c r="W912" s="182"/>
      <c r="X912" s="182"/>
      <c r="Y912" s="182"/>
      <c r="Z912" s="182"/>
      <c r="AA912" s="182"/>
      <c r="AB912" s="182"/>
      <c r="AC912" s="182"/>
      <c r="AD912" s="182"/>
      <c r="AE912" s="182"/>
      <c r="AF912" s="182"/>
      <c r="AG912" s="182"/>
      <c r="AH912" s="182"/>
      <c r="AI912" s="182"/>
      <c r="AJ912" s="182"/>
      <c r="AK912" s="182"/>
      <c r="AL912" s="182"/>
      <c r="AM912" s="182"/>
      <c r="AN912" s="182"/>
      <c r="AO912" s="182"/>
      <c r="AP912" s="182"/>
      <c r="AQ912" s="185">
        <v>400</v>
      </c>
      <c r="AR912" s="182">
        <v>302.16000000000003</v>
      </c>
      <c r="AS912" s="182">
        <v>77.84</v>
      </c>
      <c r="AT912" s="182"/>
      <c r="AU912" s="182">
        <v>20</v>
      </c>
      <c r="AV912" s="182"/>
      <c r="AW912" s="182"/>
      <c r="AX912" s="182"/>
      <c r="AY912" s="182"/>
      <c r="AZ912" s="182"/>
      <c r="BA912" s="182"/>
      <c r="BB912" s="182"/>
      <c r="BC912" s="182"/>
      <c r="BD912" s="182"/>
      <c r="BE912" s="182"/>
      <c r="BF912" s="182"/>
      <c r="BG912" s="182"/>
      <c r="BH912" s="182"/>
      <c r="BI912" s="182"/>
      <c r="BJ912" s="182"/>
      <c r="BK912" s="182"/>
      <c r="BL912" s="182"/>
      <c r="BM912" s="182"/>
      <c r="BN912" s="182"/>
      <c r="BO912" s="182"/>
      <c r="BP912" s="182"/>
      <c r="BQ912" s="182"/>
      <c r="BR912" s="182"/>
      <c r="BS912" s="182"/>
      <c r="BT912" s="182"/>
      <c r="BU912" s="182"/>
      <c r="BV912" s="182"/>
      <c r="BW912" s="182"/>
      <c r="BX912" s="182"/>
      <c r="BY912" s="182"/>
      <c r="BZ912" s="182"/>
      <c r="CA912" s="182"/>
      <c r="CB912" s="185">
        <v>400</v>
      </c>
      <c r="CC912" s="185">
        <v>0</v>
      </c>
      <c r="CD912" s="185">
        <v>2263</v>
      </c>
      <c r="CE912" s="185"/>
    </row>
    <row r="913" spans="2:83" x14ac:dyDescent="0.3">
      <c r="B913" s="182">
        <v>2877</v>
      </c>
      <c r="C913" s="182">
        <v>2264</v>
      </c>
      <c r="D913" s="182" t="s">
        <v>123</v>
      </c>
      <c r="E913" s="181" t="s">
        <v>4372</v>
      </c>
      <c r="F913" s="182"/>
      <c r="G913" s="182">
        <v>500</v>
      </c>
      <c r="H913" s="182"/>
      <c r="I913" s="182"/>
      <c r="J913" s="182"/>
      <c r="K913" s="182"/>
      <c r="L913" s="182"/>
      <c r="M913" s="182"/>
      <c r="N913" s="182"/>
      <c r="O913" s="182"/>
      <c r="P913" s="182"/>
      <c r="Q913" s="182"/>
      <c r="R913" s="182"/>
      <c r="S913" s="182"/>
      <c r="T913" s="182"/>
      <c r="U913" s="182"/>
      <c r="V913" s="182"/>
      <c r="W913" s="182"/>
      <c r="X913" s="182"/>
      <c r="Y913" s="182"/>
      <c r="Z913" s="182"/>
      <c r="AA913" s="182"/>
      <c r="AB913" s="182"/>
      <c r="AC913" s="182"/>
      <c r="AD913" s="182"/>
      <c r="AE913" s="182"/>
      <c r="AF913" s="182"/>
      <c r="AG913" s="182"/>
      <c r="AH913" s="182"/>
      <c r="AI913" s="182"/>
      <c r="AJ913" s="182"/>
      <c r="AK913" s="182"/>
      <c r="AL913" s="182"/>
      <c r="AM913" s="182"/>
      <c r="AN913" s="182"/>
      <c r="AO913" s="182"/>
      <c r="AP913" s="182"/>
      <c r="AQ913" s="185">
        <v>500</v>
      </c>
      <c r="AR913" s="182">
        <v>377.64</v>
      </c>
      <c r="AS913" s="182">
        <v>97.36</v>
      </c>
      <c r="AT913" s="182"/>
      <c r="AU913" s="182">
        <v>25</v>
      </c>
      <c r="AV913" s="182"/>
      <c r="AW913" s="182"/>
      <c r="AX913" s="182"/>
      <c r="AY913" s="182"/>
      <c r="AZ913" s="182"/>
      <c r="BA913" s="182"/>
      <c r="BB913" s="182"/>
      <c r="BC913" s="182"/>
      <c r="BD913" s="182"/>
      <c r="BE913" s="182"/>
      <c r="BF913" s="182"/>
      <c r="BG913" s="182"/>
      <c r="BH913" s="182"/>
      <c r="BI913" s="182"/>
      <c r="BJ913" s="182"/>
      <c r="BK913" s="182"/>
      <c r="BL913" s="182"/>
      <c r="BM913" s="182"/>
      <c r="BN913" s="182"/>
      <c r="BO913" s="182"/>
      <c r="BP913" s="182"/>
      <c r="BQ913" s="182"/>
      <c r="BR913" s="182"/>
      <c r="BS913" s="182"/>
      <c r="BT913" s="182"/>
      <c r="BU913" s="182"/>
      <c r="BV913" s="182"/>
      <c r="BW913" s="182"/>
      <c r="BX913" s="182"/>
      <c r="BY913" s="182"/>
      <c r="BZ913" s="182"/>
      <c r="CA913" s="182"/>
      <c r="CB913" s="185">
        <v>500</v>
      </c>
      <c r="CC913" s="185">
        <v>0</v>
      </c>
      <c r="CD913" s="185">
        <v>2264</v>
      </c>
      <c r="CE913" s="185"/>
    </row>
    <row r="914" spans="2:83" x14ac:dyDescent="0.3">
      <c r="B914" s="182">
        <v>2866</v>
      </c>
      <c r="C914" s="182">
        <v>2265</v>
      </c>
      <c r="D914" s="182" t="s">
        <v>123</v>
      </c>
      <c r="E914" s="181" t="s">
        <v>4371</v>
      </c>
      <c r="F914" s="182"/>
      <c r="G914" s="182">
        <v>2072.44</v>
      </c>
      <c r="H914" s="182"/>
      <c r="I914" s="182"/>
      <c r="J914" s="182"/>
      <c r="K914" s="182"/>
      <c r="L914" s="182"/>
      <c r="M914" s="182"/>
      <c r="N914" s="182"/>
      <c r="O914" s="182"/>
      <c r="P914" s="182"/>
      <c r="Q914" s="182"/>
      <c r="R914" s="182"/>
      <c r="S914" s="182"/>
      <c r="T914" s="182"/>
      <c r="U914" s="182"/>
      <c r="V914" s="182"/>
      <c r="W914" s="182"/>
      <c r="X914" s="182"/>
      <c r="Y914" s="182"/>
      <c r="Z914" s="182"/>
      <c r="AA914" s="182"/>
      <c r="AB914" s="182"/>
      <c r="AC914" s="182"/>
      <c r="AD914" s="182"/>
      <c r="AE914" s="182"/>
      <c r="AF914" s="182"/>
      <c r="AG914" s="182"/>
      <c r="AH914" s="182"/>
      <c r="AI914" s="182"/>
      <c r="AJ914" s="182"/>
      <c r="AK914" s="182"/>
      <c r="AL914" s="182"/>
      <c r="AM914" s="182"/>
      <c r="AN914" s="182"/>
      <c r="AO914" s="182"/>
      <c r="AP914" s="182"/>
      <c r="AQ914" s="185">
        <v>2072.44</v>
      </c>
      <c r="AR914" s="182">
        <v>1516.36</v>
      </c>
      <c r="AS914" s="182">
        <v>377.14</v>
      </c>
      <c r="AT914" s="182">
        <v>77.69</v>
      </c>
      <c r="AU914" s="182">
        <v>101.25</v>
      </c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/>
      <c r="BH914" s="182"/>
      <c r="BI914" s="182"/>
      <c r="BJ914" s="182"/>
      <c r="BK914" s="182"/>
      <c r="BL914" s="182"/>
      <c r="BM914" s="182"/>
      <c r="BN914" s="182"/>
      <c r="BO914" s="182"/>
      <c r="BP914" s="182"/>
      <c r="BQ914" s="182"/>
      <c r="BR914" s="182"/>
      <c r="BS914" s="182"/>
      <c r="BT914" s="182"/>
      <c r="BU914" s="182"/>
      <c r="BV914" s="182"/>
      <c r="BW914" s="182"/>
      <c r="BX914" s="182"/>
      <c r="BY914" s="182"/>
      <c r="BZ914" s="182"/>
      <c r="CA914" s="182"/>
      <c r="CB914" s="185">
        <v>2072.44</v>
      </c>
      <c r="CC914" s="185">
        <v>0</v>
      </c>
      <c r="CD914" s="185">
        <v>2265</v>
      </c>
      <c r="CE914" s="185"/>
    </row>
    <row r="915" spans="2:83" x14ac:dyDescent="0.3">
      <c r="B915" s="182">
        <v>2879</v>
      </c>
      <c r="C915" s="182">
        <v>2266</v>
      </c>
      <c r="D915" s="182" t="s">
        <v>123</v>
      </c>
      <c r="E915" s="181" t="s">
        <v>4371</v>
      </c>
      <c r="F915" s="182"/>
      <c r="G915" s="182">
        <v>275</v>
      </c>
      <c r="H915" s="182"/>
      <c r="I915" s="182"/>
      <c r="J915" s="182"/>
      <c r="K915" s="182"/>
      <c r="L915" s="182"/>
      <c r="M915" s="182"/>
      <c r="N915" s="182"/>
      <c r="O915" s="182"/>
      <c r="P915" s="182"/>
      <c r="Q915" s="182"/>
      <c r="R915" s="182"/>
      <c r="S915" s="182"/>
      <c r="T915" s="182"/>
      <c r="U915" s="182"/>
      <c r="V915" s="182"/>
      <c r="W915" s="182"/>
      <c r="X915" s="182"/>
      <c r="Y915" s="182"/>
      <c r="Z915" s="182"/>
      <c r="AA915" s="182"/>
      <c r="AB915" s="182"/>
      <c r="AC915" s="182"/>
      <c r="AD915" s="182"/>
      <c r="AE915" s="182"/>
      <c r="AF915" s="182"/>
      <c r="AG915" s="182"/>
      <c r="AH915" s="182"/>
      <c r="AI915" s="182"/>
      <c r="AJ915" s="182"/>
      <c r="AK915" s="182"/>
      <c r="AL915" s="182"/>
      <c r="AM915" s="182"/>
      <c r="AN915" s="182"/>
      <c r="AO915" s="182"/>
      <c r="AP915" s="182"/>
      <c r="AQ915" s="185">
        <v>275</v>
      </c>
      <c r="AR915" s="182">
        <v>207.8</v>
      </c>
      <c r="AS915" s="182">
        <v>53.45</v>
      </c>
      <c r="AT915" s="182"/>
      <c r="AU915" s="182">
        <v>13.75</v>
      </c>
      <c r="AV915" s="182"/>
      <c r="AW915" s="182"/>
      <c r="AX915" s="182"/>
      <c r="AY915" s="182"/>
      <c r="AZ915" s="182"/>
      <c r="BA915" s="182"/>
      <c r="BB915" s="182"/>
      <c r="BC915" s="182"/>
      <c r="BD915" s="182"/>
      <c r="BE915" s="182"/>
      <c r="BF915" s="182"/>
      <c r="BG915" s="182"/>
      <c r="BH915" s="182"/>
      <c r="BI915" s="182"/>
      <c r="BJ915" s="182"/>
      <c r="BK915" s="182"/>
      <c r="BL915" s="182"/>
      <c r="BM915" s="182"/>
      <c r="BN915" s="182"/>
      <c r="BO915" s="182"/>
      <c r="BP915" s="182"/>
      <c r="BQ915" s="182"/>
      <c r="BR915" s="182"/>
      <c r="BS915" s="182"/>
      <c r="BT915" s="182"/>
      <c r="BU915" s="182"/>
      <c r="BV915" s="182"/>
      <c r="BW915" s="182"/>
      <c r="BX915" s="182"/>
      <c r="BY915" s="182"/>
      <c r="BZ915" s="182"/>
      <c r="CA915" s="182"/>
      <c r="CB915" s="185">
        <v>275</v>
      </c>
      <c r="CC915" s="185">
        <v>0</v>
      </c>
      <c r="CD915" s="185">
        <v>2266</v>
      </c>
      <c r="CE915" s="185"/>
    </row>
    <row r="916" spans="2:83" x14ac:dyDescent="0.3">
      <c r="B916" s="182">
        <v>2751</v>
      </c>
      <c r="C916" s="182">
        <v>2267</v>
      </c>
      <c r="D916" s="182" t="s">
        <v>123</v>
      </c>
      <c r="E916" s="181" t="s">
        <v>4371</v>
      </c>
      <c r="F916" s="182"/>
      <c r="G916" s="182">
        <v>1899.98</v>
      </c>
      <c r="H916" s="182"/>
      <c r="I916" s="182"/>
      <c r="J916" s="182"/>
      <c r="K916" s="182"/>
      <c r="L916" s="182"/>
      <c r="M916" s="182"/>
      <c r="N916" s="182"/>
      <c r="O916" s="182"/>
      <c r="P916" s="182"/>
      <c r="Q916" s="182"/>
      <c r="R916" s="182"/>
      <c r="S916" s="182"/>
      <c r="T916" s="182"/>
      <c r="U916" s="182"/>
      <c r="V916" s="182"/>
      <c r="W916" s="182"/>
      <c r="X916" s="182"/>
      <c r="Y916" s="182"/>
      <c r="Z916" s="182"/>
      <c r="AA916" s="182"/>
      <c r="AB916" s="182"/>
      <c r="AC916" s="182"/>
      <c r="AD916" s="182"/>
      <c r="AE916" s="182"/>
      <c r="AF916" s="182"/>
      <c r="AG916" s="182"/>
      <c r="AH916" s="182"/>
      <c r="AI916" s="182"/>
      <c r="AJ916" s="182"/>
      <c r="AK916" s="182"/>
      <c r="AL916" s="182"/>
      <c r="AM916" s="182"/>
      <c r="AN916" s="182"/>
      <c r="AO916" s="182"/>
      <c r="AP916" s="182"/>
      <c r="AQ916" s="185">
        <v>1899.98</v>
      </c>
      <c r="AR916" s="182">
        <v>1451.54</v>
      </c>
      <c r="AS916" s="182">
        <v>353.45</v>
      </c>
      <c r="AT916" s="182"/>
      <c r="AU916" s="182">
        <v>94.99</v>
      </c>
      <c r="AV916" s="182"/>
      <c r="AW916" s="182"/>
      <c r="AX916" s="182"/>
      <c r="AY916" s="182"/>
      <c r="AZ916" s="182"/>
      <c r="BA916" s="182"/>
      <c r="BB916" s="182"/>
      <c r="BC916" s="182"/>
      <c r="BD916" s="182"/>
      <c r="BE916" s="182"/>
      <c r="BF916" s="182"/>
      <c r="BG916" s="182"/>
      <c r="BH916" s="182"/>
      <c r="BI916" s="182"/>
      <c r="BJ916" s="182"/>
      <c r="BK916" s="182"/>
      <c r="BL916" s="182"/>
      <c r="BM916" s="182"/>
      <c r="BN916" s="182"/>
      <c r="BO916" s="182"/>
      <c r="BP916" s="182"/>
      <c r="BQ916" s="182"/>
      <c r="BR916" s="182"/>
      <c r="BS916" s="182"/>
      <c r="BT916" s="182"/>
      <c r="BU916" s="182"/>
      <c r="BV916" s="182"/>
      <c r="BW916" s="182"/>
      <c r="BX916" s="182"/>
      <c r="BY916" s="182"/>
      <c r="BZ916" s="182"/>
      <c r="CA916" s="182"/>
      <c r="CB916" s="185">
        <v>1899.98</v>
      </c>
      <c r="CC916" s="185">
        <v>0</v>
      </c>
      <c r="CD916" s="185">
        <v>2267</v>
      </c>
      <c r="CE916" s="185"/>
    </row>
    <row r="917" spans="2:83" x14ac:dyDescent="0.3">
      <c r="B917" s="182">
        <v>2750</v>
      </c>
      <c r="C917" s="182">
        <v>2268</v>
      </c>
      <c r="D917" s="182" t="s">
        <v>123</v>
      </c>
      <c r="E917" s="181" t="s">
        <v>4371</v>
      </c>
      <c r="F917" s="182"/>
      <c r="G917" s="182">
        <v>400</v>
      </c>
      <c r="H917" s="182"/>
      <c r="I917" s="182"/>
      <c r="J917" s="182"/>
      <c r="K917" s="182"/>
      <c r="L917" s="182"/>
      <c r="M917" s="182"/>
      <c r="N917" s="182"/>
      <c r="O917" s="182"/>
      <c r="P917" s="182"/>
      <c r="Q917" s="182"/>
      <c r="R917" s="182"/>
      <c r="S917" s="182"/>
      <c r="T917" s="182"/>
      <c r="U917" s="182"/>
      <c r="V917" s="182"/>
      <c r="W917" s="182"/>
      <c r="X917" s="182"/>
      <c r="Y917" s="182"/>
      <c r="Z917" s="182"/>
      <c r="AA917" s="182"/>
      <c r="AB917" s="182"/>
      <c r="AC917" s="182"/>
      <c r="AD917" s="182"/>
      <c r="AE917" s="182"/>
      <c r="AF917" s="182"/>
      <c r="AG917" s="182"/>
      <c r="AH917" s="182"/>
      <c r="AI917" s="182"/>
      <c r="AJ917" s="182"/>
      <c r="AK917" s="182"/>
      <c r="AL917" s="182"/>
      <c r="AM917" s="182"/>
      <c r="AN917" s="182"/>
      <c r="AO917" s="182"/>
      <c r="AP917" s="182"/>
      <c r="AQ917" s="185">
        <v>400</v>
      </c>
      <c r="AR917" s="182">
        <v>302.16000000000003</v>
      </c>
      <c r="AS917" s="182">
        <v>77.84</v>
      </c>
      <c r="AT917" s="182"/>
      <c r="AU917" s="182">
        <v>20</v>
      </c>
      <c r="AV917" s="182"/>
      <c r="AW917" s="182"/>
      <c r="AX917" s="182"/>
      <c r="AY917" s="182"/>
      <c r="AZ917" s="182"/>
      <c r="BA917" s="182"/>
      <c r="BB917" s="182"/>
      <c r="BC917" s="182"/>
      <c r="BD917" s="182"/>
      <c r="BE917" s="182"/>
      <c r="BF917" s="182"/>
      <c r="BG917" s="182"/>
      <c r="BH917" s="182"/>
      <c r="BI917" s="182"/>
      <c r="BJ917" s="182"/>
      <c r="BK917" s="182"/>
      <c r="BL917" s="182"/>
      <c r="BM917" s="182"/>
      <c r="BN917" s="182"/>
      <c r="BO917" s="182"/>
      <c r="BP917" s="182"/>
      <c r="BQ917" s="182"/>
      <c r="BR917" s="182"/>
      <c r="BS917" s="182"/>
      <c r="BT917" s="182"/>
      <c r="BU917" s="182"/>
      <c r="BV917" s="182"/>
      <c r="BW917" s="182"/>
      <c r="BX917" s="182"/>
      <c r="BY917" s="182"/>
      <c r="BZ917" s="182"/>
      <c r="CA917" s="182"/>
      <c r="CB917" s="185">
        <v>400</v>
      </c>
      <c r="CC917" s="185">
        <v>0</v>
      </c>
      <c r="CD917" s="185">
        <v>2268</v>
      </c>
      <c r="CE917" s="185"/>
    </row>
    <row r="918" spans="2:83" x14ac:dyDescent="0.3">
      <c r="B918" s="182">
        <v>2748</v>
      </c>
      <c r="C918" s="182">
        <v>2269</v>
      </c>
      <c r="D918" s="182" t="s">
        <v>123</v>
      </c>
      <c r="E918" s="181" t="s">
        <v>4372</v>
      </c>
      <c r="F918" s="182"/>
      <c r="G918" s="182">
        <v>2166.66</v>
      </c>
      <c r="H918" s="182"/>
      <c r="I918" s="182"/>
      <c r="J918" s="182"/>
      <c r="K918" s="182"/>
      <c r="L918" s="182"/>
      <c r="M918" s="182"/>
      <c r="N918" s="182"/>
      <c r="O918" s="182"/>
      <c r="P918" s="182"/>
      <c r="Q918" s="182"/>
      <c r="R918" s="182"/>
      <c r="S918" s="182"/>
      <c r="T918" s="182"/>
      <c r="U918" s="182"/>
      <c r="V918" s="182"/>
      <c r="W918" s="182"/>
      <c r="X918" s="182"/>
      <c r="Y918" s="182"/>
      <c r="Z918" s="182"/>
      <c r="AA918" s="182"/>
      <c r="AB918" s="182"/>
      <c r="AC918" s="182"/>
      <c r="AD918" s="182"/>
      <c r="AE918" s="182"/>
      <c r="AF918" s="182"/>
      <c r="AG918" s="182"/>
      <c r="AH918" s="182"/>
      <c r="AI918" s="182"/>
      <c r="AJ918" s="182"/>
      <c r="AK918" s="182"/>
      <c r="AL918" s="182"/>
      <c r="AM918" s="182"/>
      <c r="AN918" s="182"/>
      <c r="AO918" s="182"/>
      <c r="AP918" s="182"/>
      <c r="AQ918" s="185">
        <v>2166.66</v>
      </c>
      <c r="AR918" s="182">
        <v>1634.54</v>
      </c>
      <c r="AS918" s="182">
        <v>423.79</v>
      </c>
      <c r="AT918" s="182"/>
      <c r="AU918" s="182">
        <v>108.33</v>
      </c>
      <c r="AV918" s="182"/>
      <c r="AW918" s="182"/>
      <c r="AX918" s="182"/>
      <c r="AY918" s="182"/>
      <c r="AZ918" s="182"/>
      <c r="BA918" s="182"/>
      <c r="BB918" s="182"/>
      <c r="BC918" s="182"/>
      <c r="BD918" s="182"/>
      <c r="BE918" s="182"/>
      <c r="BF918" s="182"/>
      <c r="BG918" s="182"/>
      <c r="BH918" s="182"/>
      <c r="BI918" s="182"/>
      <c r="BJ918" s="182"/>
      <c r="BK918" s="182"/>
      <c r="BL918" s="182"/>
      <c r="BM918" s="182"/>
      <c r="BN918" s="182"/>
      <c r="BO918" s="182"/>
      <c r="BP918" s="182"/>
      <c r="BQ918" s="182"/>
      <c r="BR918" s="182"/>
      <c r="BS918" s="182"/>
      <c r="BT918" s="182"/>
      <c r="BU918" s="182"/>
      <c r="BV918" s="182"/>
      <c r="BW918" s="182"/>
      <c r="BX918" s="182"/>
      <c r="BY918" s="182"/>
      <c r="BZ918" s="182"/>
      <c r="CA918" s="182"/>
      <c r="CB918" s="185">
        <v>2166.66</v>
      </c>
      <c r="CC918" s="185">
        <v>0</v>
      </c>
      <c r="CD918" s="185">
        <v>2269</v>
      </c>
      <c r="CE918" s="185"/>
    </row>
    <row r="919" spans="2:83" x14ac:dyDescent="0.3">
      <c r="B919" s="182">
        <v>2747</v>
      </c>
      <c r="C919" s="182">
        <v>2270</v>
      </c>
      <c r="D919" s="182" t="s">
        <v>123</v>
      </c>
      <c r="E919" s="181" t="s">
        <v>4372</v>
      </c>
      <c r="F919" s="182"/>
      <c r="G919" s="182">
        <v>1361.65</v>
      </c>
      <c r="H919" s="182"/>
      <c r="I919" s="182"/>
      <c r="J919" s="182"/>
      <c r="K919" s="182"/>
      <c r="L919" s="182"/>
      <c r="M919" s="182"/>
      <c r="N919" s="182"/>
      <c r="O919" s="182"/>
      <c r="P919" s="182"/>
      <c r="Q919" s="182"/>
      <c r="R919" s="182"/>
      <c r="S919" s="182"/>
      <c r="T919" s="182"/>
      <c r="U919" s="182"/>
      <c r="V919" s="182"/>
      <c r="W919" s="182"/>
      <c r="X919" s="182"/>
      <c r="Y919" s="182"/>
      <c r="Z919" s="182"/>
      <c r="AA919" s="182"/>
      <c r="AB919" s="182"/>
      <c r="AC919" s="182"/>
      <c r="AD919" s="182"/>
      <c r="AE919" s="182"/>
      <c r="AF919" s="182"/>
      <c r="AG919" s="182"/>
      <c r="AH919" s="182"/>
      <c r="AI919" s="182"/>
      <c r="AJ919" s="182"/>
      <c r="AK919" s="182"/>
      <c r="AL919" s="182"/>
      <c r="AM919" s="182"/>
      <c r="AN919" s="182"/>
      <c r="AO919" s="182"/>
      <c r="AP919" s="182"/>
      <c r="AQ919" s="185">
        <v>1361.65</v>
      </c>
      <c r="AR919" s="182">
        <v>1001.07</v>
      </c>
      <c r="AS919" s="182">
        <v>258.92</v>
      </c>
      <c r="AT919" s="182">
        <v>35</v>
      </c>
      <c r="AU919" s="182">
        <v>66.66</v>
      </c>
      <c r="AV919" s="182"/>
      <c r="AW919" s="182"/>
      <c r="AX919" s="182"/>
      <c r="AY919" s="182"/>
      <c r="AZ919" s="182"/>
      <c r="BA919" s="182"/>
      <c r="BB919" s="182"/>
      <c r="BC919" s="182"/>
      <c r="BD919" s="182"/>
      <c r="BE919" s="182"/>
      <c r="BF919" s="182"/>
      <c r="BG919" s="182"/>
      <c r="BH919" s="182"/>
      <c r="BI919" s="182"/>
      <c r="BJ919" s="182"/>
      <c r="BK919" s="182"/>
      <c r="BL919" s="182"/>
      <c r="BM919" s="182"/>
      <c r="BN919" s="182"/>
      <c r="BO919" s="182"/>
      <c r="BP919" s="182"/>
      <c r="BQ919" s="182"/>
      <c r="BR919" s="182"/>
      <c r="BS919" s="182"/>
      <c r="BT919" s="182"/>
      <c r="BU919" s="182"/>
      <c r="BV919" s="182"/>
      <c r="BW919" s="182"/>
      <c r="BX919" s="182"/>
      <c r="BY919" s="182"/>
      <c r="BZ919" s="182"/>
      <c r="CA919" s="182"/>
      <c r="CB919" s="185">
        <v>1361.65</v>
      </c>
      <c r="CC919" s="185">
        <v>0</v>
      </c>
      <c r="CD919" s="185">
        <v>2270</v>
      </c>
      <c r="CE919" s="185"/>
    </row>
    <row r="920" spans="2:83" x14ac:dyDescent="0.3">
      <c r="B920" s="182">
        <v>2745</v>
      </c>
      <c r="C920" s="182">
        <v>2271</v>
      </c>
      <c r="D920" s="182" t="s">
        <v>123</v>
      </c>
      <c r="E920" s="181" t="s">
        <v>4371</v>
      </c>
      <c r="F920" s="182"/>
      <c r="G920" s="182">
        <v>766.66</v>
      </c>
      <c r="H920" s="182"/>
      <c r="I920" s="182"/>
      <c r="J920" s="182"/>
      <c r="K920" s="182"/>
      <c r="L920" s="182"/>
      <c r="M920" s="182"/>
      <c r="N920" s="182"/>
      <c r="O920" s="182"/>
      <c r="P920" s="182"/>
      <c r="Q920" s="182"/>
      <c r="R920" s="182"/>
      <c r="S920" s="182"/>
      <c r="T920" s="182"/>
      <c r="U920" s="182"/>
      <c r="V920" s="182"/>
      <c r="W920" s="182"/>
      <c r="X920" s="182"/>
      <c r="Y920" s="182"/>
      <c r="Z920" s="182"/>
      <c r="AA920" s="182"/>
      <c r="AB920" s="182"/>
      <c r="AC920" s="182"/>
      <c r="AD920" s="182"/>
      <c r="AE920" s="182"/>
      <c r="AF920" s="182"/>
      <c r="AG920" s="182"/>
      <c r="AH920" s="182"/>
      <c r="AI920" s="182"/>
      <c r="AJ920" s="182"/>
      <c r="AK920" s="182"/>
      <c r="AL920" s="182"/>
      <c r="AM920" s="182"/>
      <c r="AN920" s="182"/>
      <c r="AO920" s="182"/>
      <c r="AP920" s="182"/>
      <c r="AQ920" s="185">
        <v>766.66</v>
      </c>
      <c r="AR920" s="182">
        <v>596.46</v>
      </c>
      <c r="AS920" s="182">
        <v>131.87</v>
      </c>
      <c r="AT920" s="182"/>
      <c r="AU920" s="182">
        <v>38.33</v>
      </c>
      <c r="AV920" s="182"/>
      <c r="AW920" s="182"/>
      <c r="AX920" s="182"/>
      <c r="AY920" s="182"/>
      <c r="AZ920" s="182"/>
      <c r="BA920" s="182"/>
      <c r="BB920" s="182"/>
      <c r="BC920" s="182"/>
      <c r="BD920" s="182"/>
      <c r="BE920" s="182"/>
      <c r="BF920" s="182"/>
      <c r="BG920" s="182"/>
      <c r="BH920" s="182"/>
      <c r="BI920" s="182"/>
      <c r="BJ920" s="182"/>
      <c r="BK920" s="182"/>
      <c r="BL920" s="182"/>
      <c r="BM920" s="182"/>
      <c r="BN920" s="182"/>
      <c r="BO920" s="182"/>
      <c r="BP920" s="182"/>
      <c r="BQ920" s="182"/>
      <c r="BR920" s="182"/>
      <c r="BS920" s="182"/>
      <c r="BT920" s="182"/>
      <c r="BU920" s="182"/>
      <c r="BV920" s="182"/>
      <c r="BW920" s="182"/>
      <c r="BX920" s="182"/>
      <c r="BY920" s="182"/>
      <c r="BZ920" s="182"/>
      <c r="CA920" s="182"/>
      <c r="CB920" s="185">
        <v>766.66000000000008</v>
      </c>
      <c r="CC920" s="185">
        <v>0</v>
      </c>
      <c r="CD920" s="185">
        <v>2271</v>
      </c>
      <c r="CE920" s="185"/>
    </row>
    <row r="921" spans="2:83" x14ac:dyDescent="0.3">
      <c r="B921" s="182">
        <v>2743</v>
      </c>
      <c r="C921" s="182">
        <v>2272</v>
      </c>
      <c r="D921" s="182" t="s">
        <v>123</v>
      </c>
      <c r="E921" s="181" t="s">
        <v>4371</v>
      </c>
      <c r="F921" s="182"/>
      <c r="G921" s="182">
        <v>1133.32</v>
      </c>
      <c r="H921" s="182"/>
      <c r="I921" s="182"/>
      <c r="J921" s="182"/>
      <c r="K921" s="182"/>
      <c r="L921" s="182"/>
      <c r="M921" s="182"/>
      <c r="N921" s="182"/>
      <c r="O921" s="182"/>
      <c r="P921" s="182"/>
      <c r="Q921" s="182"/>
      <c r="R921" s="182"/>
      <c r="S921" s="182"/>
      <c r="T921" s="182"/>
      <c r="U921" s="182"/>
      <c r="V921" s="182"/>
      <c r="W921" s="182"/>
      <c r="X921" s="182"/>
      <c r="Y921" s="182"/>
      <c r="Z921" s="182"/>
      <c r="AA921" s="182"/>
      <c r="AB921" s="182"/>
      <c r="AC921" s="182"/>
      <c r="AD921" s="182"/>
      <c r="AE921" s="182"/>
      <c r="AF921" s="182"/>
      <c r="AG921" s="182"/>
      <c r="AH921" s="182"/>
      <c r="AI921" s="182"/>
      <c r="AJ921" s="182"/>
      <c r="AK921" s="182"/>
      <c r="AL921" s="182"/>
      <c r="AM921" s="182"/>
      <c r="AN921" s="182"/>
      <c r="AO921" s="182"/>
      <c r="AP921" s="182"/>
      <c r="AQ921" s="185">
        <v>1133.32</v>
      </c>
      <c r="AR921" s="182">
        <v>872.92</v>
      </c>
      <c r="AS921" s="182">
        <v>203.74</v>
      </c>
      <c r="AT921" s="182"/>
      <c r="AU921" s="182">
        <v>56.66</v>
      </c>
      <c r="AV921" s="182"/>
      <c r="AW921" s="182"/>
      <c r="AX921" s="182"/>
      <c r="AY921" s="182"/>
      <c r="AZ921" s="182"/>
      <c r="BA921" s="182"/>
      <c r="BB921" s="182"/>
      <c r="BC921" s="182"/>
      <c r="BD921" s="182"/>
      <c r="BE921" s="182"/>
      <c r="BF921" s="182"/>
      <c r="BG921" s="182"/>
      <c r="BH921" s="182"/>
      <c r="BI921" s="182"/>
      <c r="BJ921" s="182"/>
      <c r="BK921" s="182"/>
      <c r="BL921" s="182"/>
      <c r="BM921" s="182"/>
      <c r="BN921" s="182"/>
      <c r="BO921" s="182"/>
      <c r="BP921" s="182"/>
      <c r="BQ921" s="182"/>
      <c r="BR921" s="182"/>
      <c r="BS921" s="182"/>
      <c r="BT921" s="182"/>
      <c r="BU921" s="182"/>
      <c r="BV921" s="182"/>
      <c r="BW921" s="182"/>
      <c r="BX921" s="182"/>
      <c r="BY921" s="182"/>
      <c r="BZ921" s="182"/>
      <c r="CA921" s="182"/>
      <c r="CB921" s="185">
        <v>1133.32</v>
      </c>
      <c r="CC921" s="185">
        <v>0</v>
      </c>
      <c r="CD921" s="185">
        <v>2272</v>
      </c>
      <c r="CE921" s="185"/>
    </row>
    <row r="922" spans="2:83" x14ac:dyDescent="0.3">
      <c r="B922" s="182">
        <v>2860</v>
      </c>
      <c r="C922" s="182">
        <v>2273</v>
      </c>
      <c r="D922" s="182" t="s">
        <v>123</v>
      </c>
      <c r="E922" s="181" t="s">
        <v>4371</v>
      </c>
      <c r="F922" s="182"/>
      <c r="G922" s="182">
        <v>469</v>
      </c>
      <c r="H922" s="182"/>
      <c r="I922" s="182"/>
      <c r="J922" s="182"/>
      <c r="K922" s="182"/>
      <c r="L922" s="182"/>
      <c r="M922" s="182"/>
      <c r="N922" s="182"/>
      <c r="O922" s="182"/>
      <c r="P922" s="182"/>
      <c r="Q922" s="182"/>
      <c r="R922" s="182"/>
      <c r="S922" s="182"/>
      <c r="T922" s="182"/>
      <c r="U922" s="182"/>
      <c r="V922" s="182"/>
      <c r="W922" s="182"/>
      <c r="X922" s="182"/>
      <c r="Y922" s="182"/>
      <c r="Z922" s="182"/>
      <c r="AA922" s="182"/>
      <c r="AB922" s="182"/>
      <c r="AC922" s="182"/>
      <c r="AD922" s="182"/>
      <c r="AE922" s="182"/>
      <c r="AF922" s="182"/>
      <c r="AG922" s="182"/>
      <c r="AH922" s="182"/>
      <c r="AI922" s="182"/>
      <c r="AJ922" s="182"/>
      <c r="AK922" s="182"/>
      <c r="AL922" s="182"/>
      <c r="AM922" s="182"/>
      <c r="AN922" s="182"/>
      <c r="AO922" s="182"/>
      <c r="AP922" s="182"/>
      <c r="AQ922" s="185">
        <v>469</v>
      </c>
      <c r="AR922" s="182">
        <v>313.7</v>
      </c>
      <c r="AS922" s="182">
        <v>42.3</v>
      </c>
      <c r="AT922" s="182">
        <v>113</v>
      </c>
      <c r="AU922" s="182"/>
      <c r="AV922" s="182"/>
      <c r="AW922" s="182"/>
      <c r="AX922" s="182"/>
      <c r="AY922" s="182"/>
      <c r="AZ922" s="182"/>
      <c r="BA922" s="182"/>
      <c r="BB922" s="182"/>
      <c r="BC922" s="182"/>
      <c r="BD922" s="182"/>
      <c r="BE922" s="182"/>
      <c r="BF922" s="182"/>
      <c r="BG922" s="182"/>
      <c r="BH922" s="182"/>
      <c r="BI922" s="182"/>
      <c r="BJ922" s="182"/>
      <c r="BK922" s="182"/>
      <c r="BL922" s="182"/>
      <c r="BM922" s="182"/>
      <c r="BN922" s="182"/>
      <c r="BO922" s="182"/>
      <c r="BP922" s="182"/>
      <c r="BQ922" s="182"/>
      <c r="BR922" s="182"/>
      <c r="BS922" s="182"/>
      <c r="BT922" s="182"/>
      <c r="BU922" s="182"/>
      <c r="BV922" s="182"/>
      <c r="BW922" s="182"/>
      <c r="BX922" s="182"/>
      <c r="BY922" s="182"/>
      <c r="BZ922" s="182"/>
      <c r="CA922" s="182"/>
      <c r="CB922" s="185">
        <v>469</v>
      </c>
      <c r="CC922" s="185">
        <v>0</v>
      </c>
      <c r="CD922" s="185">
        <v>2273</v>
      </c>
      <c r="CE922" s="185"/>
    </row>
    <row r="923" spans="2:83" x14ac:dyDescent="0.3">
      <c r="B923" s="182">
        <v>2854</v>
      </c>
      <c r="C923" s="182">
        <v>2274</v>
      </c>
      <c r="D923" s="182" t="s">
        <v>123</v>
      </c>
      <c r="E923" s="181" t="s">
        <v>4371</v>
      </c>
      <c r="F923" s="182"/>
      <c r="G923" s="182">
        <v>469</v>
      </c>
      <c r="H923" s="182"/>
      <c r="I923" s="182"/>
      <c r="J923" s="182"/>
      <c r="K923" s="182"/>
      <c r="L923" s="182"/>
      <c r="M923" s="182"/>
      <c r="N923" s="182"/>
      <c r="O923" s="182"/>
      <c r="P923" s="182"/>
      <c r="Q923" s="182"/>
      <c r="R923" s="182"/>
      <c r="S923" s="182"/>
      <c r="T923" s="182"/>
      <c r="U923" s="182"/>
      <c r="V923" s="182"/>
      <c r="W923" s="182"/>
      <c r="X923" s="182"/>
      <c r="Y923" s="182"/>
      <c r="Z923" s="182"/>
      <c r="AA923" s="182"/>
      <c r="AB923" s="182"/>
      <c r="AC923" s="182"/>
      <c r="AD923" s="182"/>
      <c r="AE923" s="182"/>
      <c r="AF923" s="182"/>
      <c r="AG923" s="182"/>
      <c r="AH923" s="182"/>
      <c r="AI923" s="182"/>
      <c r="AJ923" s="182"/>
      <c r="AK923" s="182"/>
      <c r="AL923" s="182"/>
      <c r="AM923" s="182"/>
      <c r="AN923" s="182"/>
      <c r="AO923" s="182"/>
      <c r="AP923" s="182"/>
      <c r="AQ923" s="185">
        <v>469</v>
      </c>
      <c r="AR923" s="182">
        <v>313.7</v>
      </c>
      <c r="AS923" s="182">
        <v>42.3</v>
      </c>
      <c r="AT923" s="182">
        <v>113</v>
      </c>
      <c r="AU923" s="182"/>
      <c r="AV923" s="182"/>
      <c r="AW923" s="182"/>
      <c r="AX923" s="182"/>
      <c r="AY923" s="182"/>
      <c r="AZ923" s="182"/>
      <c r="BA923" s="182"/>
      <c r="BB923" s="182"/>
      <c r="BC923" s="182"/>
      <c r="BD923" s="182"/>
      <c r="BE923" s="182"/>
      <c r="BF923" s="182"/>
      <c r="BG923" s="182"/>
      <c r="BH923" s="182"/>
      <c r="BI923" s="182"/>
      <c r="BJ923" s="182"/>
      <c r="BK923" s="182"/>
      <c r="BL923" s="182"/>
      <c r="BM923" s="182"/>
      <c r="BN923" s="182"/>
      <c r="BO923" s="182"/>
      <c r="BP923" s="182"/>
      <c r="BQ923" s="182"/>
      <c r="BR923" s="182"/>
      <c r="BS923" s="182"/>
      <c r="BT923" s="182"/>
      <c r="BU923" s="182"/>
      <c r="BV923" s="182"/>
      <c r="BW923" s="182"/>
      <c r="BX923" s="182"/>
      <c r="BY923" s="182"/>
      <c r="BZ923" s="182"/>
      <c r="CA923" s="182"/>
      <c r="CB923" s="185">
        <v>469</v>
      </c>
      <c r="CC923" s="185">
        <v>0</v>
      </c>
      <c r="CD923" s="185">
        <v>2274</v>
      </c>
      <c r="CE923" s="185"/>
    </row>
    <row r="924" spans="2:83" x14ac:dyDescent="0.3">
      <c r="B924" s="182">
        <v>2838</v>
      </c>
      <c r="C924" s="182">
        <v>2275</v>
      </c>
      <c r="D924" s="182" t="s">
        <v>123</v>
      </c>
      <c r="E924" s="181" t="s">
        <v>4371</v>
      </c>
      <c r="F924" s="182"/>
      <c r="G924" s="182">
        <v>469</v>
      </c>
      <c r="H924" s="182"/>
      <c r="I924" s="182"/>
      <c r="J924" s="182"/>
      <c r="K924" s="182"/>
      <c r="L924" s="182"/>
      <c r="M924" s="182"/>
      <c r="N924" s="182"/>
      <c r="O924" s="182"/>
      <c r="P924" s="182"/>
      <c r="Q924" s="182"/>
      <c r="R924" s="182"/>
      <c r="S924" s="182"/>
      <c r="T924" s="182"/>
      <c r="U924" s="182"/>
      <c r="V924" s="182"/>
      <c r="W924" s="182"/>
      <c r="X924" s="182"/>
      <c r="Y924" s="182"/>
      <c r="Z924" s="182"/>
      <c r="AA924" s="182"/>
      <c r="AB924" s="182"/>
      <c r="AC924" s="182"/>
      <c r="AD924" s="182"/>
      <c r="AE924" s="182"/>
      <c r="AF924" s="182"/>
      <c r="AG924" s="182"/>
      <c r="AH924" s="182"/>
      <c r="AI924" s="182"/>
      <c r="AJ924" s="182"/>
      <c r="AK924" s="182"/>
      <c r="AL924" s="182"/>
      <c r="AM924" s="182"/>
      <c r="AN924" s="182"/>
      <c r="AO924" s="182"/>
      <c r="AP924" s="182"/>
      <c r="AQ924" s="185">
        <v>469</v>
      </c>
      <c r="AR924" s="182">
        <v>313.7</v>
      </c>
      <c r="AS924" s="182">
        <v>42.3</v>
      </c>
      <c r="AT924" s="182">
        <v>113</v>
      </c>
      <c r="AU924" s="182"/>
      <c r="AV924" s="182"/>
      <c r="AW924" s="182"/>
      <c r="AX924" s="182"/>
      <c r="AY924" s="182"/>
      <c r="AZ924" s="182"/>
      <c r="BA924" s="182"/>
      <c r="BB924" s="182"/>
      <c r="BC924" s="182"/>
      <c r="BD924" s="182"/>
      <c r="BE924" s="182"/>
      <c r="BF924" s="182"/>
      <c r="BG924" s="182"/>
      <c r="BH924" s="182"/>
      <c r="BI924" s="182"/>
      <c r="BJ924" s="182"/>
      <c r="BK924" s="182"/>
      <c r="BL924" s="182"/>
      <c r="BM924" s="182"/>
      <c r="BN924" s="182"/>
      <c r="BO924" s="182"/>
      <c r="BP924" s="182"/>
      <c r="BQ924" s="182"/>
      <c r="BR924" s="182"/>
      <c r="BS924" s="182"/>
      <c r="BT924" s="182"/>
      <c r="BU924" s="182"/>
      <c r="BV924" s="182"/>
      <c r="BW924" s="182"/>
      <c r="BX924" s="182"/>
      <c r="BY924" s="182"/>
      <c r="BZ924" s="182"/>
      <c r="CA924" s="182"/>
      <c r="CB924" s="185">
        <v>469</v>
      </c>
      <c r="CC924" s="185">
        <v>0</v>
      </c>
      <c r="CD924" s="185">
        <v>2275</v>
      </c>
      <c r="CE924" s="185"/>
    </row>
    <row r="925" spans="2:83" x14ac:dyDescent="0.3">
      <c r="B925" s="182">
        <v>2835</v>
      </c>
      <c r="C925" s="182">
        <v>2276</v>
      </c>
      <c r="D925" s="182" t="s">
        <v>123</v>
      </c>
      <c r="E925" s="181" t="s">
        <v>4371</v>
      </c>
      <c r="F925" s="182"/>
      <c r="G925" s="182">
        <v>469</v>
      </c>
      <c r="H925" s="182"/>
      <c r="I925" s="182"/>
      <c r="J925" s="182"/>
      <c r="K925" s="182"/>
      <c r="L925" s="182"/>
      <c r="M925" s="182"/>
      <c r="N925" s="182"/>
      <c r="O925" s="182"/>
      <c r="P925" s="182"/>
      <c r="Q925" s="182"/>
      <c r="R925" s="182"/>
      <c r="S925" s="182"/>
      <c r="T925" s="182"/>
      <c r="U925" s="182"/>
      <c r="V925" s="182"/>
      <c r="W925" s="182"/>
      <c r="X925" s="182"/>
      <c r="Y925" s="182"/>
      <c r="Z925" s="182"/>
      <c r="AA925" s="182"/>
      <c r="AB925" s="182"/>
      <c r="AC925" s="182"/>
      <c r="AD925" s="182"/>
      <c r="AE925" s="182"/>
      <c r="AF925" s="182"/>
      <c r="AG925" s="182"/>
      <c r="AH925" s="182"/>
      <c r="AI925" s="182"/>
      <c r="AJ925" s="182"/>
      <c r="AK925" s="182"/>
      <c r="AL925" s="182"/>
      <c r="AM925" s="182"/>
      <c r="AN925" s="182"/>
      <c r="AO925" s="182"/>
      <c r="AP925" s="182"/>
      <c r="AQ925" s="185">
        <v>469</v>
      </c>
      <c r="AR925" s="182">
        <v>313.7</v>
      </c>
      <c r="AS925" s="182">
        <v>42.3</v>
      </c>
      <c r="AT925" s="182">
        <v>113</v>
      </c>
      <c r="AU925" s="182"/>
      <c r="AV925" s="182"/>
      <c r="AW925" s="182"/>
      <c r="AX925" s="182"/>
      <c r="AY925" s="182"/>
      <c r="AZ925" s="182"/>
      <c r="BA925" s="182"/>
      <c r="BB925" s="182"/>
      <c r="BC925" s="182"/>
      <c r="BD925" s="182"/>
      <c r="BE925" s="182"/>
      <c r="BF925" s="182"/>
      <c r="BG925" s="182"/>
      <c r="BH925" s="182"/>
      <c r="BI925" s="182"/>
      <c r="BJ925" s="182"/>
      <c r="BK925" s="182"/>
      <c r="BL925" s="182"/>
      <c r="BM925" s="182"/>
      <c r="BN925" s="182"/>
      <c r="BO925" s="182"/>
      <c r="BP925" s="182"/>
      <c r="BQ925" s="182"/>
      <c r="BR925" s="182"/>
      <c r="BS925" s="182"/>
      <c r="BT925" s="182"/>
      <c r="BU925" s="182"/>
      <c r="BV925" s="182"/>
      <c r="BW925" s="182"/>
      <c r="BX925" s="182"/>
      <c r="BY925" s="182"/>
      <c r="BZ925" s="182"/>
      <c r="CA925" s="182"/>
      <c r="CB925" s="185">
        <v>469</v>
      </c>
      <c r="CC925" s="185">
        <v>0</v>
      </c>
      <c r="CD925" s="185">
        <v>2276</v>
      </c>
      <c r="CE925" s="185"/>
    </row>
    <row r="926" spans="2:83" x14ac:dyDescent="0.3">
      <c r="B926" s="182">
        <v>2907</v>
      </c>
      <c r="C926" s="182">
        <v>2277</v>
      </c>
      <c r="D926" s="182" t="s">
        <v>123</v>
      </c>
      <c r="E926" s="181" t="s">
        <v>4372</v>
      </c>
      <c r="F926" s="182"/>
      <c r="G926" s="182">
        <v>1750</v>
      </c>
      <c r="H926" s="182"/>
      <c r="I926" s="182"/>
      <c r="J926" s="182"/>
      <c r="K926" s="182"/>
      <c r="L926" s="182"/>
      <c r="M926" s="182"/>
      <c r="N926" s="182"/>
      <c r="O926" s="182"/>
      <c r="P926" s="182"/>
      <c r="Q926" s="182"/>
      <c r="R926" s="182"/>
      <c r="S926" s="182"/>
      <c r="T926" s="182"/>
      <c r="U926" s="182"/>
      <c r="V926" s="182"/>
      <c r="W926" s="182"/>
      <c r="X926" s="182"/>
      <c r="Y926" s="182"/>
      <c r="Z926" s="182"/>
      <c r="AA926" s="182"/>
      <c r="AB926" s="182"/>
      <c r="AC926" s="182"/>
      <c r="AD926" s="182"/>
      <c r="AE926" s="182"/>
      <c r="AF926" s="182"/>
      <c r="AG926" s="182"/>
      <c r="AH926" s="182"/>
      <c r="AI926" s="182"/>
      <c r="AJ926" s="182"/>
      <c r="AK926" s="182"/>
      <c r="AL926" s="182"/>
      <c r="AM926" s="182"/>
      <c r="AN926" s="182"/>
      <c r="AO926" s="182"/>
      <c r="AP926" s="182"/>
      <c r="AQ926" s="185">
        <v>1750</v>
      </c>
      <c r="AR926" s="182">
        <v>1320.76</v>
      </c>
      <c r="AS926" s="182">
        <v>341.74</v>
      </c>
      <c r="AT926" s="182"/>
      <c r="AU926" s="182">
        <v>87.5</v>
      </c>
      <c r="AV926" s="182"/>
      <c r="AW926" s="182"/>
      <c r="AX926" s="182"/>
      <c r="AY926" s="182"/>
      <c r="AZ926" s="182"/>
      <c r="BA926" s="182"/>
      <c r="BB926" s="182"/>
      <c r="BC926" s="182"/>
      <c r="BD926" s="182"/>
      <c r="BE926" s="182"/>
      <c r="BF926" s="182"/>
      <c r="BG926" s="182"/>
      <c r="BH926" s="182"/>
      <c r="BI926" s="182"/>
      <c r="BJ926" s="182"/>
      <c r="BK926" s="182"/>
      <c r="BL926" s="182"/>
      <c r="BM926" s="182"/>
      <c r="BN926" s="182"/>
      <c r="BO926" s="182"/>
      <c r="BP926" s="182"/>
      <c r="BQ926" s="182"/>
      <c r="BR926" s="182"/>
      <c r="BS926" s="182"/>
      <c r="BT926" s="182"/>
      <c r="BU926" s="182"/>
      <c r="BV926" s="182"/>
      <c r="BW926" s="182"/>
      <c r="BX926" s="182"/>
      <c r="BY926" s="182"/>
      <c r="BZ926" s="182"/>
      <c r="CA926" s="182"/>
      <c r="CB926" s="185">
        <v>1750</v>
      </c>
      <c r="CC926" s="185">
        <v>0</v>
      </c>
      <c r="CD926" s="185">
        <v>2277</v>
      </c>
      <c r="CE926" s="185"/>
    </row>
    <row r="927" spans="2:83" x14ac:dyDescent="0.3">
      <c r="B927" s="182">
        <v>2908</v>
      </c>
      <c r="C927" s="182">
        <v>2278</v>
      </c>
      <c r="D927" s="182" t="s">
        <v>123</v>
      </c>
      <c r="E927" s="181" t="s">
        <v>4372</v>
      </c>
      <c r="F927" s="182"/>
      <c r="G927" s="182">
        <v>1750</v>
      </c>
      <c r="H927" s="182"/>
      <c r="I927" s="182"/>
      <c r="J927" s="182"/>
      <c r="K927" s="182"/>
      <c r="L927" s="182"/>
      <c r="M927" s="182"/>
      <c r="N927" s="182"/>
      <c r="O927" s="182"/>
      <c r="P927" s="182"/>
      <c r="Q927" s="182"/>
      <c r="R927" s="182"/>
      <c r="S927" s="182"/>
      <c r="T927" s="182"/>
      <c r="U927" s="182"/>
      <c r="V927" s="182"/>
      <c r="W927" s="182"/>
      <c r="X927" s="182"/>
      <c r="Y927" s="182"/>
      <c r="Z927" s="182"/>
      <c r="AA927" s="182"/>
      <c r="AB927" s="182"/>
      <c r="AC927" s="182"/>
      <c r="AD927" s="182"/>
      <c r="AE927" s="182"/>
      <c r="AF927" s="182"/>
      <c r="AG927" s="182"/>
      <c r="AH927" s="182"/>
      <c r="AI927" s="182"/>
      <c r="AJ927" s="182"/>
      <c r="AK927" s="182"/>
      <c r="AL927" s="182"/>
      <c r="AM927" s="182"/>
      <c r="AN927" s="182"/>
      <c r="AO927" s="182"/>
      <c r="AP927" s="182"/>
      <c r="AQ927" s="185">
        <v>1750</v>
      </c>
      <c r="AR927" s="182">
        <v>1319.8</v>
      </c>
      <c r="AS927" s="182">
        <v>342.7</v>
      </c>
      <c r="AT927" s="182"/>
      <c r="AU927" s="182">
        <v>87.5</v>
      </c>
      <c r="AV927" s="182"/>
      <c r="AW927" s="182"/>
      <c r="AX927" s="182"/>
      <c r="AY927" s="182"/>
      <c r="AZ927" s="182"/>
      <c r="BA927" s="182"/>
      <c r="BB927" s="182"/>
      <c r="BC927" s="182"/>
      <c r="BD927" s="182"/>
      <c r="BE927" s="182"/>
      <c r="BF927" s="182"/>
      <c r="BG927" s="182"/>
      <c r="BH927" s="182"/>
      <c r="BI927" s="182"/>
      <c r="BJ927" s="182"/>
      <c r="BK927" s="182"/>
      <c r="BL927" s="182"/>
      <c r="BM927" s="182"/>
      <c r="BN927" s="182"/>
      <c r="BO927" s="182"/>
      <c r="BP927" s="182"/>
      <c r="BQ927" s="182"/>
      <c r="BR927" s="182"/>
      <c r="BS927" s="182"/>
      <c r="BT927" s="182"/>
      <c r="BU927" s="182"/>
      <c r="BV927" s="182"/>
      <c r="BW927" s="182"/>
      <c r="BX927" s="182"/>
      <c r="BY927" s="182"/>
      <c r="BZ927" s="182"/>
      <c r="CA927" s="182"/>
      <c r="CB927" s="185">
        <v>1750</v>
      </c>
      <c r="CC927" s="185">
        <v>0</v>
      </c>
      <c r="CD927" s="185">
        <v>2278</v>
      </c>
      <c r="CE927" s="185"/>
    </row>
    <row r="928" spans="2:83" x14ac:dyDescent="0.3">
      <c r="B928" s="182">
        <v>2910</v>
      </c>
      <c r="C928" s="182">
        <v>2279</v>
      </c>
      <c r="D928" s="182" t="s">
        <v>123</v>
      </c>
      <c r="E928" s="181" t="s">
        <v>4372</v>
      </c>
      <c r="F928" s="182"/>
      <c r="G928" s="182">
        <v>1750</v>
      </c>
      <c r="H928" s="182"/>
      <c r="I928" s="182"/>
      <c r="J928" s="182"/>
      <c r="K928" s="182"/>
      <c r="L928" s="182"/>
      <c r="M928" s="182"/>
      <c r="N928" s="182"/>
      <c r="O928" s="182"/>
      <c r="P928" s="182"/>
      <c r="Q928" s="182"/>
      <c r="R928" s="182"/>
      <c r="S928" s="182"/>
      <c r="T928" s="182"/>
      <c r="U928" s="182"/>
      <c r="V928" s="182"/>
      <c r="W928" s="182"/>
      <c r="X928" s="182"/>
      <c r="Y928" s="182"/>
      <c r="Z928" s="182"/>
      <c r="AA928" s="182"/>
      <c r="AB928" s="182"/>
      <c r="AC928" s="182"/>
      <c r="AD928" s="182"/>
      <c r="AE928" s="182"/>
      <c r="AF928" s="182"/>
      <c r="AG928" s="182"/>
      <c r="AH928" s="182"/>
      <c r="AI928" s="182"/>
      <c r="AJ928" s="182"/>
      <c r="AK928" s="182"/>
      <c r="AL928" s="182"/>
      <c r="AM928" s="182"/>
      <c r="AN928" s="182"/>
      <c r="AO928" s="182"/>
      <c r="AP928" s="182"/>
      <c r="AQ928" s="185">
        <v>1750</v>
      </c>
      <c r="AR928" s="182">
        <v>1319.8</v>
      </c>
      <c r="AS928" s="182">
        <v>342.7</v>
      </c>
      <c r="AT928" s="182"/>
      <c r="AU928" s="182">
        <v>87.5</v>
      </c>
      <c r="AV928" s="182"/>
      <c r="AW928" s="182"/>
      <c r="AX928" s="182"/>
      <c r="AY928" s="182"/>
      <c r="AZ928" s="182"/>
      <c r="BA928" s="182"/>
      <c r="BB928" s="182"/>
      <c r="BC928" s="182"/>
      <c r="BD928" s="182"/>
      <c r="BE928" s="182"/>
      <c r="BF928" s="182"/>
      <c r="BG928" s="182"/>
      <c r="BH928" s="182"/>
      <c r="BI928" s="182"/>
      <c r="BJ928" s="182"/>
      <c r="BK928" s="182"/>
      <c r="BL928" s="182"/>
      <c r="BM928" s="182"/>
      <c r="BN928" s="182"/>
      <c r="BO928" s="182"/>
      <c r="BP928" s="182"/>
      <c r="BQ928" s="182"/>
      <c r="BR928" s="182"/>
      <c r="BS928" s="182"/>
      <c r="BT928" s="182"/>
      <c r="BU928" s="182"/>
      <c r="BV928" s="182"/>
      <c r="BW928" s="182"/>
      <c r="BX928" s="182"/>
      <c r="BY928" s="182"/>
      <c r="BZ928" s="182"/>
      <c r="CA928" s="182"/>
      <c r="CB928" s="185">
        <v>1750</v>
      </c>
      <c r="CC928" s="185">
        <v>0</v>
      </c>
      <c r="CD928" s="185">
        <v>2279</v>
      </c>
      <c r="CE928" s="185"/>
    </row>
    <row r="929" spans="2:83" x14ac:dyDescent="0.3">
      <c r="B929" s="182">
        <v>2911</v>
      </c>
      <c r="C929" s="182">
        <v>2280</v>
      </c>
      <c r="D929" s="182" t="s">
        <v>123</v>
      </c>
      <c r="E929" s="181" t="s">
        <v>4372</v>
      </c>
      <c r="F929" s="182"/>
      <c r="G929" s="182">
        <v>1750</v>
      </c>
      <c r="H929" s="182"/>
      <c r="I929" s="182"/>
      <c r="J929" s="182"/>
      <c r="K929" s="182"/>
      <c r="L929" s="182"/>
      <c r="M929" s="182"/>
      <c r="N929" s="182"/>
      <c r="O929" s="182"/>
      <c r="P929" s="182"/>
      <c r="Q929" s="182"/>
      <c r="R929" s="182"/>
      <c r="S929" s="182"/>
      <c r="T929" s="182"/>
      <c r="U929" s="182"/>
      <c r="V929" s="182"/>
      <c r="W929" s="182"/>
      <c r="X929" s="182"/>
      <c r="Y929" s="182"/>
      <c r="Z929" s="182"/>
      <c r="AA929" s="182"/>
      <c r="AB929" s="182"/>
      <c r="AC929" s="182"/>
      <c r="AD929" s="182"/>
      <c r="AE929" s="182"/>
      <c r="AF929" s="182"/>
      <c r="AG929" s="182"/>
      <c r="AH929" s="182"/>
      <c r="AI929" s="182"/>
      <c r="AJ929" s="182"/>
      <c r="AK929" s="182"/>
      <c r="AL929" s="182"/>
      <c r="AM929" s="182"/>
      <c r="AN929" s="182"/>
      <c r="AO929" s="182"/>
      <c r="AP929" s="182"/>
      <c r="AQ929" s="185">
        <v>1750</v>
      </c>
      <c r="AR929" s="182">
        <v>1320.76</v>
      </c>
      <c r="AS929" s="182">
        <v>341.74</v>
      </c>
      <c r="AT929" s="182"/>
      <c r="AU929" s="182">
        <v>87.5</v>
      </c>
      <c r="AV929" s="182"/>
      <c r="AW929" s="182"/>
      <c r="AX929" s="182"/>
      <c r="AY929" s="182"/>
      <c r="AZ929" s="182"/>
      <c r="BA929" s="182"/>
      <c r="BB929" s="182"/>
      <c r="BC929" s="182"/>
      <c r="BD929" s="182"/>
      <c r="BE929" s="182"/>
      <c r="BF929" s="182"/>
      <c r="BG929" s="182"/>
      <c r="BH929" s="182"/>
      <c r="BI929" s="182"/>
      <c r="BJ929" s="182"/>
      <c r="BK929" s="182"/>
      <c r="BL929" s="182"/>
      <c r="BM929" s="182"/>
      <c r="BN929" s="182"/>
      <c r="BO929" s="182"/>
      <c r="BP929" s="182"/>
      <c r="BQ929" s="182"/>
      <c r="BR929" s="182"/>
      <c r="BS929" s="182"/>
      <c r="BT929" s="182"/>
      <c r="BU929" s="182"/>
      <c r="BV929" s="182"/>
      <c r="BW929" s="182"/>
      <c r="BX929" s="182"/>
      <c r="BY929" s="182"/>
      <c r="BZ929" s="182"/>
      <c r="CA929" s="182"/>
      <c r="CB929" s="185">
        <v>1750</v>
      </c>
      <c r="CC929" s="185">
        <v>0</v>
      </c>
      <c r="CD929" s="185">
        <v>2280</v>
      </c>
      <c r="CE929" s="185"/>
    </row>
    <row r="930" spans="2:83" x14ac:dyDescent="0.3">
      <c r="B930" s="182">
        <v>2912</v>
      </c>
      <c r="C930" s="182">
        <v>2281</v>
      </c>
      <c r="D930" s="182" t="s">
        <v>123</v>
      </c>
      <c r="E930" s="181" t="s">
        <v>4371</v>
      </c>
      <c r="F930" s="182"/>
      <c r="G930" s="182">
        <v>400</v>
      </c>
      <c r="H930" s="182"/>
      <c r="I930" s="182"/>
      <c r="J930" s="182"/>
      <c r="K930" s="182"/>
      <c r="L930" s="182"/>
      <c r="M930" s="182"/>
      <c r="N930" s="182"/>
      <c r="O930" s="182"/>
      <c r="P930" s="182"/>
      <c r="Q930" s="182"/>
      <c r="R930" s="182"/>
      <c r="S930" s="182"/>
      <c r="T930" s="182"/>
      <c r="U930" s="182"/>
      <c r="V930" s="182"/>
      <c r="W930" s="182"/>
      <c r="X930" s="182"/>
      <c r="Y930" s="182"/>
      <c r="Z930" s="182"/>
      <c r="AA930" s="182"/>
      <c r="AB930" s="182"/>
      <c r="AC930" s="182"/>
      <c r="AD930" s="182"/>
      <c r="AE930" s="182"/>
      <c r="AF930" s="182"/>
      <c r="AG930" s="182"/>
      <c r="AH930" s="182"/>
      <c r="AI930" s="182"/>
      <c r="AJ930" s="182"/>
      <c r="AK930" s="182"/>
      <c r="AL930" s="182"/>
      <c r="AM930" s="182"/>
      <c r="AN930" s="182"/>
      <c r="AO930" s="182"/>
      <c r="AP930" s="182"/>
      <c r="AQ930" s="185">
        <v>400</v>
      </c>
      <c r="AR930" s="182">
        <v>302.16000000000003</v>
      </c>
      <c r="AS930" s="182">
        <v>77.84</v>
      </c>
      <c r="AT930" s="182"/>
      <c r="AU930" s="182">
        <v>20</v>
      </c>
      <c r="AV930" s="182"/>
      <c r="AW930" s="182"/>
      <c r="AX930" s="182"/>
      <c r="AY930" s="182"/>
      <c r="AZ930" s="182"/>
      <c r="BA930" s="182"/>
      <c r="BB930" s="182"/>
      <c r="BC930" s="182"/>
      <c r="BD930" s="182"/>
      <c r="BE930" s="182"/>
      <c r="BF930" s="182"/>
      <c r="BG930" s="182"/>
      <c r="BH930" s="182"/>
      <c r="BI930" s="182"/>
      <c r="BJ930" s="182"/>
      <c r="BK930" s="182"/>
      <c r="BL930" s="182"/>
      <c r="BM930" s="182"/>
      <c r="BN930" s="182"/>
      <c r="BO930" s="182"/>
      <c r="BP930" s="182"/>
      <c r="BQ930" s="182"/>
      <c r="BR930" s="182"/>
      <c r="BS930" s="182"/>
      <c r="BT930" s="182"/>
      <c r="BU930" s="182"/>
      <c r="BV930" s="182"/>
      <c r="BW930" s="182"/>
      <c r="BX930" s="182"/>
      <c r="BY930" s="182"/>
      <c r="BZ930" s="182"/>
      <c r="CA930" s="182"/>
      <c r="CB930" s="185">
        <v>400</v>
      </c>
      <c r="CC930" s="185">
        <v>0</v>
      </c>
      <c r="CD930" s="185">
        <v>2281</v>
      </c>
      <c r="CE930" s="185"/>
    </row>
    <row r="931" spans="2:83" x14ac:dyDescent="0.3">
      <c r="B931" s="182">
        <v>2913</v>
      </c>
      <c r="C931" s="182">
        <v>2282</v>
      </c>
      <c r="D931" s="182" t="s">
        <v>123</v>
      </c>
      <c r="E931" s="181" t="s">
        <v>4371</v>
      </c>
      <c r="F931" s="182"/>
      <c r="G931" s="182">
        <v>1532.56</v>
      </c>
      <c r="H931" s="182"/>
      <c r="I931" s="182"/>
      <c r="J931" s="182"/>
      <c r="K931" s="182"/>
      <c r="L931" s="182"/>
      <c r="M931" s="182"/>
      <c r="N931" s="182"/>
      <c r="O931" s="182"/>
      <c r="P931" s="182"/>
      <c r="Q931" s="182"/>
      <c r="R931" s="182"/>
      <c r="S931" s="182"/>
      <c r="T931" s="182"/>
      <c r="U931" s="182"/>
      <c r="V931" s="182"/>
      <c r="W931" s="182"/>
      <c r="X931" s="182"/>
      <c r="Y931" s="182"/>
      <c r="Z931" s="182"/>
      <c r="AA931" s="182"/>
      <c r="AB931" s="182"/>
      <c r="AC931" s="182"/>
      <c r="AD931" s="182"/>
      <c r="AE931" s="182"/>
      <c r="AF931" s="182"/>
      <c r="AG931" s="182"/>
      <c r="AH931" s="182"/>
      <c r="AI931" s="182"/>
      <c r="AJ931" s="182"/>
      <c r="AK931" s="182"/>
      <c r="AL931" s="182"/>
      <c r="AM931" s="182"/>
      <c r="AN931" s="182"/>
      <c r="AO931" s="182"/>
      <c r="AP931" s="182"/>
      <c r="AQ931" s="185">
        <v>1532.56</v>
      </c>
      <c r="AR931" s="182">
        <v>1161.1300000000001</v>
      </c>
      <c r="AS931" s="182">
        <v>256.19</v>
      </c>
      <c r="AT931" s="182">
        <v>40.25</v>
      </c>
      <c r="AU931" s="182">
        <v>74.989999999999995</v>
      </c>
      <c r="AV931" s="182"/>
      <c r="AW931" s="182"/>
      <c r="AX931" s="182"/>
      <c r="AY931" s="182"/>
      <c r="AZ931" s="182"/>
      <c r="BA931" s="182"/>
      <c r="BB931" s="182"/>
      <c r="BC931" s="182"/>
      <c r="BD931" s="182"/>
      <c r="BE931" s="182"/>
      <c r="BF931" s="182"/>
      <c r="BG931" s="182"/>
      <c r="BH931" s="182"/>
      <c r="BI931" s="182"/>
      <c r="BJ931" s="182"/>
      <c r="BK931" s="182"/>
      <c r="BL931" s="182"/>
      <c r="BM931" s="182"/>
      <c r="BN931" s="182"/>
      <c r="BO931" s="182"/>
      <c r="BP931" s="182"/>
      <c r="BQ931" s="182"/>
      <c r="BR931" s="182"/>
      <c r="BS931" s="182"/>
      <c r="BT931" s="182"/>
      <c r="BU931" s="182"/>
      <c r="BV931" s="182"/>
      <c r="BW931" s="182"/>
      <c r="BX931" s="182"/>
      <c r="BY931" s="182"/>
      <c r="BZ931" s="182"/>
      <c r="CA931" s="182"/>
      <c r="CB931" s="185">
        <v>1532.5600000000002</v>
      </c>
      <c r="CC931" s="185">
        <v>0</v>
      </c>
      <c r="CD931" s="185">
        <v>2282</v>
      </c>
      <c r="CE931" s="185"/>
    </row>
    <row r="932" spans="2:83" x14ac:dyDescent="0.3">
      <c r="B932" s="182">
        <v>2915</v>
      </c>
      <c r="C932" s="182">
        <v>2283</v>
      </c>
      <c r="D932" s="182" t="s">
        <v>123</v>
      </c>
      <c r="E932" s="181" t="s">
        <v>4372</v>
      </c>
      <c r="F932" s="182"/>
      <c r="G932" s="182">
        <v>1250</v>
      </c>
      <c r="H932" s="182"/>
      <c r="I932" s="182"/>
      <c r="J932" s="182"/>
      <c r="K932" s="182"/>
      <c r="L932" s="182"/>
      <c r="M932" s="182"/>
      <c r="N932" s="182"/>
      <c r="O932" s="182"/>
      <c r="P932" s="182"/>
      <c r="Q932" s="182"/>
      <c r="R932" s="182"/>
      <c r="S932" s="182"/>
      <c r="T932" s="182"/>
      <c r="U932" s="182"/>
      <c r="V932" s="182"/>
      <c r="W932" s="182"/>
      <c r="X932" s="182"/>
      <c r="Y932" s="182"/>
      <c r="Z932" s="182"/>
      <c r="AA932" s="182"/>
      <c r="AB932" s="182"/>
      <c r="AC932" s="182"/>
      <c r="AD932" s="182"/>
      <c r="AE932" s="182"/>
      <c r="AF932" s="182"/>
      <c r="AG932" s="182"/>
      <c r="AH932" s="182"/>
      <c r="AI932" s="182"/>
      <c r="AJ932" s="182"/>
      <c r="AK932" s="182"/>
      <c r="AL932" s="182"/>
      <c r="AM932" s="182"/>
      <c r="AN932" s="182"/>
      <c r="AO932" s="182"/>
      <c r="AP932" s="182"/>
      <c r="AQ932" s="185">
        <v>1250</v>
      </c>
      <c r="AR932" s="182">
        <v>942.8</v>
      </c>
      <c r="AS932" s="182">
        <v>244.7</v>
      </c>
      <c r="AT932" s="182"/>
      <c r="AU932" s="182">
        <v>62.5</v>
      </c>
      <c r="AV932" s="182"/>
      <c r="AW932" s="182"/>
      <c r="AX932" s="182"/>
      <c r="AY932" s="182"/>
      <c r="AZ932" s="182"/>
      <c r="BA932" s="182"/>
      <c r="BB932" s="182"/>
      <c r="BC932" s="182"/>
      <c r="BD932" s="182"/>
      <c r="BE932" s="182"/>
      <c r="BF932" s="182"/>
      <c r="BG932" s="182"/>
      <c r="BH932" s="182"/>
      <c r="BI932" s="182"/>
      <c r="BJ932" s="182"/>
      <c r="BK932" s="182"/>
      <c r="BL932" s="182"/>
      <c r="BM932" s="182"/>
      <c r="BN932" s="182"/>
      <c r="BO932" s="182"/>
      <c r="BP932" s="182"/>
      <c r="BQ932" s="182"/>
      <c r="BR932" s="182"/>
      <c r="BS932" s="182"/>
      <c r="BT932" s="182"/>
      <c r="BU932" s="182"/>
      <c r="BV932" s="182"/>
      <c r="BW932" s="182"/>
      <c r="BX932" s="182"/>
      <c r="BY932" s="182"/>
      <c r="BZ932" s="182"/>
      <c r="CA932" s="182"/>
      <c r="CB932" s="185">
        <v>1250</v>
      </c>
      <c r="CC932" s="185">
        <v>0</v>
      </c>
      <c r="CD932" s="185">
        <v>2283</v>
      </c>
      <c r="CE932" s="185"/>
    </row>
    <row r="933" spans="2:83" x14ac:dyDescent="0.3">
      <c r="B933" s="182">
        <v>2900</v>
      </c>
      <c r="C933" s="182">
        <v>2284</v>
      </c>
      <c r="D933" s="182" t="s">
        <v>123</v>
      </c>
      <c r="E933" s="181" t="s">
        <v>4371</v>
      </c>
      <c r="F933" s="182"/>
      <c r="G933" s="182">
        <v>950</v>
      </c>
      <c r="H933" s="182"/>
      <c r="I933" s="182"/>
      <c r="J933" s="182"/>
      <c r="K933" s="182"/>
      <c r="L933" s="182"/>
      <c r="M933" s="182"/>
      <c r="N933" s="182"/>
      <c r="O933" s="182"/>
      <c r="P933" s="182"/>
      <c r="Q933" s="182"/>
      <c r="R933" s="182"/>
      <c r="S933" s="182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/>
      <c r="AL933" s="182"/>
      <c r="AM933" s="182"/>
      <c r="AN933" s="182"/>
      <c r="AO933" s="182"/>
      <c r="AP933" s="182"/>
      <c r="AQ933" s="185">
        <v>950</v>
      </c>
      <c r="AR933" s="182">
        <v>743.31</v>
      </c>
      <c r="AS933" s="182">
        <v>159.19</v>
      </c>
      <c r="AT933" s="182"/>
      <c r="AU933" s="182">
        <v>47.5</v>
      </c>
      <c r="AV933" s="182"/>
      <c r="AW933" s="182"/>
      <c r="AX933" s="182"/>
      <c r="AY933" s="182"/>
      <c r="AZ933" s="182"/>
      <c r="BA933" s="182"/>
      <c r="BB933" s="182"/>
      <c r="BC933" s="182"/>
      <c r="BD933" s="182"/>
      <c r="BE933" s="182"/>
      <c r="BF933" s="182"/>
      <c r="BG933" s="182"/>
      <c r="BH933" s="182"/>
      <c r="BI933" s="182"/>
      <c r="BJ933" s="182"/>
      <c r="BK933" s="182"/>
      <c r="BL933" s="182"/>
      <c r="BM933" s="182"/>
      <c r="BN933" s="182"/>
      <c r="BO933" s="182"/>
      <c r="BP933" s="182"/>
      <c r="BQ933" s="182"/>
      <c r="BR933" s="182"/>
      <c r="BS933" s="182"/>
      <c r="BT933" s="182"/>
      <c r="BU933" s="182"/>
      <c r="BV933" s="182"/>
      <c r="BW933" s="182"/>
      <c r="BX933" s="182"/>
      <c r="BY933" s="182"/>
      <c r="BZ933" s="182"/>
      <c r="CA933" s="182"/>
      <c r="CB933" s="185">
        <v>950</v>
      </c>
      <c r="CC933" s="185">
        <v>0</v>
      </c>
      <c r="CD933" s="185">
        <v>2284</v>
      </c>
      <c r="CE933" s="185"/>
    </row>
    <row r="934" spans="2:83" x14ac:dyDescent="0.3">
      <c r="B934" s="182">
        <v>2716</v>
      </c>
      <c r="C934" s="182">
        <v>2285</v>
      </c>
      <c r="D934" s="182" t="s">
        <v>123</v>
      </c>
      <c r="E934" s="181" t="s">
        <v>4371</v>
      </c>
      <c r="F934" s="182"/>
      <c r="G934" s="182">
        <v>1596.57</v>
      </c>
      <c r="H934" s="182"/>
      <c r="I934" s="182"/>
      <c r="J934" s="182"/>
      <c r="K934" s="182"/>
      <c r="L934" s="182"/>
      <c r="M934" s="182"/>
      <c r="N934" s="182"/>
      <c r="O934" s="182"/>
      <c r="P934" s="182"/>
      <c r="Q934" s="182"/>
      <c r="R934" s="182"/>
      <c r="S934" s="182"/>
      <c r="T934" s="182"/>
      <c r="U934" s="182"/>
      <c r="V934" s="182"/>
      <c r="W934" s="182"/>
      <c r="X934" s="182"/>
      <c r="Y934" s="182"/>
      <c r="Z934" s="182"/>
      <c r="AA934" s="182"/>
      <c r="AB934" s="182"/>
      <c r="AC934" s="182"/>
      <c r="AD934" s="182"/>
      <c r="AE934" s="182"/>
      <c r="AF934" s="182"/>
      <c r="AG934" s="182"/>
      <c r="AH934" s="182"/>
      <c r="AI934" s="182"/>
      <c r="AJ934" s="182"/>
      <c r="AK934" s="182"/>
      <c r="AL934" s="182"/>
      <c r="AM934" s="182"/>
      <c r="AN934" s="182"/>
      <c r="AO934" s="182"/>
      <c r="AP934" s="182"/>
      <c r="AQ934" s="185">
        <v>1596.57</v>
      </c>
      <c r="AR934" s="182">
        <v>1141.04</v>
      </c>
      <c r="AS934" s="182">
        <v>275.27999999999997</v>
      </c>
      <c r="AT934" s="182">
        <v>103.59</v>
      </c>
      <c r="AU934" s="182">
        <v>76.66</v>
      </c>
      <c r="AV934" s="182"/>
      <c r="AW934" s="182"/>
      <c r="AX934" s="182"/>
      <c r="AY934" s="182"/>
      <c r="AZ934" s="182"/>
      <c r="BA934" s="182"/>
      <c r="BB934" s="182"/>
      <c r="BC934" s="182"/>
      <c r="BD934" s="182"/>
      <c r="BE934" s="182"/>
      <c r="BF934" s="182"/>
      <c r="BG934" s="182"/>
      <c r="BH934" s="182"/>
      <c r="BI934" s="182"/>
      <c r="BJ934" s="182"/>
      <c r="BK934" s="182"/>
      <c r="BL934" s="182"/>
      <c r="BM934" s="182"/>
      <c r="BN934" s="182"/>
      <c r="BO934" s="182"/>
      <c r="BP934" s="182"/>
      <c r="BQ934" s="182"/>
      <c r="BR934" s="182"/>
      <c r="BS934" s="182"/>
      <c r="BT934" s="182"/>
      <c r="BU934" s="182"/>
      <c r="BV934" s="182"/>
      <c r="BW934" s="182"/>
      <c r="BX934" s="182"/>
      <c r="BY934" s="182"/>
      <c r="BZ934" s="182"/>
      <c r="CA934" s="182"/>
      <c r="CB934" s="185">
        <v>1596.57</v>
      </c>
      <c r="CC934" s="185">
        <v>0</v>
      </c>
      <c r="CD934" s="185">
        <v>2285</v>
      </c>
      <c r="CE934" s="185"/>
    </row>
    <row r="935" spans="2:83" x14ac:dyDescent="0.3">
      <c r="B935" s="182">
        <v>2853</v>
      </c>
      <c r="C935" s="182">
        <v>2286</v>
      </c>
      <c r="D935" s="182" t="s">
        <v>123</v>
      </c>
      <c r="E935" s="181" t="s">
        <v>4371</v>
      </c>
      <c r="F935" s="182"/>
      <c r="G935" s="182">
        <v>1899.98</v>
      </c>
      <c r="H935" s="182"/>
      <c r="I935" s="182"/>
      <c r="J935" s="182"/>
      <c r="K935" s="182"/>
      <c r="L935" s="182"/>
      <c r="M935" s="182"/>
      <c r="N935" s="182"/>
      <c r="O935" s="182"/>
      <c r="P935" s="182"/>
      <c r="Q935" s="182"/>
      <c r="R935" s="182"/>
      <c r="S935" s="182"/>
      <c r="T935" s="182"/>
      <c r="U935" s="182"/>
      <c r="V935" s="182"/>
      <c r="W935" s="182"/>
      <c r="X935" s="182"/>
      <c r="Y935" s="182"/>
      <c r="Z935" s="182"/>
      <c r="AA935" s="182"/>
      <c r="AB935" s="182"/>
      <c r="AC935" s="182"/>
      <c r="AD935" s="182"/>
      <c r="AE935" s="182"/>
      <c r="AF935" s="182"/>
      <c r="AG935" s="182"/>
      <c r="AH935" s="182"/>
      <c r="AI935" s="182"/>
      <c r="AJ935" s="182"/>
      <c r="AK935" s="182"/>
      <c r="AL935" s="182"/>
      <c r="AM935" s="182"/>
      <c r="AN935" s="182"/>
      <c r="AO935" s="182"/>
      <c r="AP935" s="182"/>
      <c r="AQ935" s="185">
        <v>1899.98</v>
      </c>
      <c r="AR935" s="182">
        <v>1452.06</v>
      </c>
      <c r="AS935" s="182">
        <v>352.93</v>
      </c>
      <c r="AT935" s="182"/>
      <c r="AU935" s="182">
        <v>94.99</v>
      </c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182"/>
      <c r="BK935" s="182"/>
      <c r="BL935" s="182"/>
      <c r="BM935" s="182"/>
      <c r="BN935" s="182"/>
      <c r="BO935" s="182"/>
      <c r="BP935" s="182"/>
      <c r="BQ935" s="182"/>
      <c r="BR935" s="182"/>
      <c r="BS935" s="182"/>
      <c r="BT935" s="182"/>
      <c r="BU935" s="182"/>
      <c r="BV935" s="182"/>
      <c r="BW935" s="182"/>
      <c r="BX935" s="182"/>
      <c r="BY935" s="182"/>
      <c r="BZ935" s="182"/>
      <c r="CA935" s="182"/>
      <c r="CB935" s="185">
        <v>1899.98</v>
      </c>
      <c r="CC935" s="185">
        <v>0</v>
      </c>
      <c r="CD935" s="185">
        <v>2286</v>
      </c>
      <c r="CE935" s="185"/>
    </row>
    <row r="936" spans="2:83" x14ac:dyDescent="0.3">
      <c r="B936" s="182">
        <v>2876</v>
      </c>
      <c r="C936" s="182">
        <v>2287</v>
      </c>
      <c r="D936" s="182" t="s">
        <v>123</v>
      </c>
      <c r="E936" s="181" t="s">
        <v>4372</v>
      </c>
      <c r="F936" s="182"/>
      <c r="G936" s="182">
        <v>1750</v>
      </c>
      <c r="H936" s="182"/>
      <c r="I936" s="182"/>
      <c r="J936" s="182"/>
      <c r="K936" s="182"/>
      <c r="L936" s="182"/>
      <c r="M936" s="182"/>
      <c r="N936" s="182"/>
      <c r="O936" s="182"/>
      <c r="P936" s="182"/>
      <c r="Q936" s="182"/>
      <c r="R936" s="182"/>
      <c r="S936" s="182"/>
      <c r="T936" s="182"/>
      <c r="U936" s="182"/>
      <c r="V936" s="182"/>
      <c r="W936" s="182"/>
      <c r="X936" s="182"/>
      <c r="Y936" s="182"/>
      <c r="Z936" s="182"/>
      <c r="AA936" s="182"/>
      <c r="AB936" s="182"/>
      <c r="AC936" s="182"/>
      <c r="AD936" s="182"/>
      <c r="AE936" s="182"/>
      <c r="AF936" s="182"/>
      <c r="AG936" s="182"/>
      <c r="AH936" s="182"/>
      <c r="AI936" s="182"/>
      <c r="AJ936" s="182"/>
      <c r="AK936" s="182"/>
      <c r="AL936" s="182"/>
      <c r="AM936" s="182"/>
      <c r="AN936" s="182"/>
      <c r="AO936" s="182"/>
      <c r="AP936" s="182"/>
      <c r="AQ936" s="185">
        <v>1750</v>
      </c>
      <c r="AR936" s="182">
        <v>1321.36</v>
      </c>
      <c r="AS936" s="182">
        <v>341.14</v>
      </c>
      <c r="AT936" s="182"/>
      <c r="AU936" s="182">
        <v>87.5</v>
      </c>
      <c r="AV936" s="182"/>
      <c r="AW936" s="182"/>
      <c r="AX936" s="182"/>
      <c r="AY936" s="182"/>
      <c r="AZ936" s="182"/>
      <c r="BA936" s="182"/>
      <c r="BB936" s="182"/>
      <c r="BC936" s="182"/>
      <c r="BD936" s="182"/>
      <c r="BE936" s="182"/>
      <c r="BF936" s="182"/>
      <c r="BG936" s="182"/>
      <c r="BH936" s="182"/>
      <c r="BI936" s="182"/>
      <c r="BJ936" s="182"/>
      <c r="BK936" s="182"/>
      <c r="BL936" s="182"/>
      <c r="BM936" s="182"/>
      <c r="BN936" s="182"/>
      <c r="BO936" s="182"/>
      <c r="BP936" s="182"/>
      <c r="BQ936" s="182"/>
      <c r="BR936" s="182"/>
      <c r="BS936" s="182"/>
      <c r="BT936" s="182"/>
      <c r="BU936" s="182"/>
      <c r="BV936" s="182"/>
      <c r="BW936" s="182"/>
      <c r="BX936" s="182"/>
      <c r="BY936" s="182"/>
      <c r="BZ936" s="182"/>
      <c r="CA936" s="182"/>
      <c r="CB936" s="185">
        <v>1750</v>
      </c>
      <c r="CC936" s="185">
        <v>0</v>
      </c>
      <c r="CD936" s="185">
        <v>2287</v>
      </c>
      <c r="CE936" s="185"/>
    </row>
    <row r="937" spans="2:83" x14ac:dyDescent="0.3">
      <c r="B937" s="182">
        <v>2875</v>
      </c>
      <c r="C937" s="182">
        <v>2288</v>
      </c>
      <c r="D937" s="182" t="s">
        <v>123</v>
      </c>
      <c r="E937" s="181" t="s">
        <v>4371</v>
      </c>
      <c r="F937" s="182"/>
      <c r="G937" s="182">
        <v>400</v>
      </c>
      <c r="H937" s="182"/>
      <c r="I937" s="182"/>
      <c r="J937" s="182"/>
      <c r="K937" s="182"/>
      <c r="L937" s="182"/>
      <c r="M937" s="182"/>
      <c r="N937" s="182"/>
      <c r="O937" s="182"/>
      <c r="P937" s="182"/>
      <c r="Q937" s="182"/>
      <c r="R937" s="182"/>
      <c r="S937" s="182"/>
      <c r="T937" s="182"/>
      <c r="U937" s="182"/>
      <c r="V937" s="182"/>
      <c r="W937" s="182"/>
      <c r="X937" s="182"/>
      <c r="Y937" s="182"/>
      <c r="Z937" s="182"/>
      <c r="AA937" s="182"/>
      <c r="AB937" s="182"/>
      <c r="AC937" s="182"/>
      <c r="AD937" s="182"/>
      <c r="AE937" s="182"/>
      <c r="AF937" s="182"/>
      <c r="AG937" s="182"/>
      <c r="AH937" s="182"/>
      <c r="AI937" s="182"/>
      <c r="AJ937" s="182"/>
      <c r="AK937" s="182"/>
      <c r="AL937" s="182"/>
      <c r="AM937" s="182"/>
      <c r="AN937" s="182"/>
      <c r="AO937" s="182"/>
      <c r="AP937" s="182"/>
      <c r="AQ937" s="185">
        <v>400</v>
      </c>
      <c r="AR937" s="182">
        <v>302.16000000000003</v>
      </c>
      <c r="AS937" s="182">
        <v>77.84</v>
      </c>
      <c r="AT937" s="182"/>
      <c r="AU937" s="182">
        <v>20</v>
      </c>
      <c r="AV937" s="182"/>
      <c r="AW937" s="182"/>
      <c r="AX937" s="182"/>
      <c r="AY937" s="182"/>
      <c r="AZ937" s="182"/>
      <c r="BA937" s="182"/>
      <c r="BB937" s="182"/>
      <c r="BC937" s="182"/>
      <c r="BD937" s="182"/>
      <c r="BE937" s="182"/>
      <c r="BF937" s="182"/>
      <c r="BG937" s="182"/>
      <c r="BH937" s="182"/>
      <c r="BI937" s="182"/>
      <c r="BJ937" s="182"/>
      <c r="BK937" s="182"/>
      <c r="BL937" s="182"/>
      <c r="BM937" s="182"/>
      <c r="BN937" s="182"/>
      <c r="BO937" s="182"/>
      <c r="BP937" s="182"/>
      <c r="BQ937" s="182"/>
      <c r="BR937" s="182"/>
      <c r="BS937" s="182"/>
      <c r="BT937" s="182"/>
      <c r="BU937" s="182"/>
      <c r="BV937" s="182"/>
      <c r="BW937" s="182"/>
      <c r="BX937" s="182"/>
      <c r="BY937" s="182"/>
      <c r="BZ937" s="182"/>
      <c r="CA937" s="182"/>
      <c r="CB937" s="185">
        <v>400</v>
      </c>
      <c r="CC937" s="185">
        <v>0</v>
      </c>
      <c r="CD937" s="185">
        <v>2288</v>
      </c>
      <c r="CE937" s="185"/>
    </row>
    <row r="938" spans="2:83" x14ac:dyDescent="0.3">
      <c r="B938" s="182">
        <v>2898</v>
      </c>
      <c r="C938" s="182">
        <v>2289</v>
      </c>
      <c r="D938" s="182" t="s">
        <v>123</v>
      </c>
      <c r="E938" s="181" t="s">
        <v>4371</v>
      </c>
      <c r="F938" s="182"/>
      <c r="G938" s="182">
        <v>275</v>
      </c>
      <c r="H938" s="182"/>
      <c r="I938" s="182"/>
      <c r="J938" s="182"/>
      <c r="K938" s="182"/>
      <c r="L938" s="182"/>
      <c r="M938" s="182"/>
      <c r="N938" s="182"/>
      <c r="O938" s="182"/>
      <c r="P938" s="182"/>
      <c r="Q938" s="182"/>
      <c r="R938" s="182"/>
      <c r="S938" s="182"/>
      <c r="T938" s="182"/>
      <c r="U938" s="182"/>
      <c r="V938" s="182"/>
      <c r="W938" s="182"/>
      <c r="X938" s="182"/>
      <c r="Y938" s="182"/>
      <c r="Z938" s="182"/>
      <c r="AA938" s="182"/>
      <c r="AB938" s="182"/>
      <c r="AC938" s="182"/>
      <c r="AD938" s="182"/>
      <c r="AE938" s="182"/>
      <c r="AF938" s="182"/>
      <c r="AG938" s="182"/>
      <c r="AH938" s="182"/>
      <c r="AI938" s="182"/>
      <c r="AJ938" s="182"/>
      <c r="AK938" s="182"/>
      <c r="AL938" s="182"/>
      <c r="AM938" s="182"/>
      <c r="AN938" s="182"/>
      <c r="AO938" s="182"/>
      <c r="AP938" s="182"/>
      <c r="AQ938" s="185">
        <v>275</v>
      </c>
      <c r="AR938" s="182">
        <v>220.79</v>
      </c>
      <c r="AS938" s="182">
        <v>40.46</v>
      </c>
      <c r="AT938" s="182"/>
      <c r="AU938" s="182">
        <v>13.75</v>
      </c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182"/>
      <c r="BK938" s="182"/>
      <c r="BL938" s="182"/>
      <c r="BM938" s="182"/>
      <c r="BN938" s="182"/>
      <c r="BO938" s="182"/>
      <c r="BP938" s="182"/>
      <c r="BQ938" s="182"/>
      <c r="BR938" s="182"/>
      <c r="BS938" s="182"/>
      <c r="BT938" s="182"/>
      <c r="BU938" s="182"/>
      <c r="BV938" s="182"/>
      <c r="BW938" s="182"/>
      <c r="BX938" s="182"/>
      <c r="BY938" s="182"/>
      <c r="BZ938" s="182"/>
      <c r="CA938" s="182"/>
      <c r="CB938" s="185">
        <v>275</v>
      </c>
      <c r="CC938" s="185">
        <v>0</v>
      </c>
      <c r="CD938" s="185">
        <v>2289</v>
      </c>
      <c r="CE938" s="185"/>
    </row>
    <row r="939" spans="2:83" x14ac:dyDescent="0.3">
      <c r="B939" s="182">
        <v>2833</v>
      </c>
      <c r="C939" s="182">
        <v>2290</v>
      </c>
      <c r="D939" s="182" t="s">
        <v>123</v>
      </c>
      <c r="E939" s="181" t="s">
        <v>4371</v>
      </c>
      <c r="F939" s="182"/>
      <c r="G939" s="182">
        <v>1899.98</v>
      </c>
      <c r="H939" s="182"/>
      <c r="I939" s="182"/>
      <c r="J939" s="182"/>
      <c r="K939" s="182"/>
      <c r="L939" s="182"/>
      <c r="M939" s="182"/>
      <c r="N939" s="182"/>
      <c r="O939" s="182"/>
      <c r="P939" s="182"/>
      <c r="Q939" s="182"/>
      <c r="R939" s="182"/>
      <c r="S939" s="182"/>
      <c r="T939" s="182"/>
      <c r="U939" s="182"/>
      <c r="V939" s="182"/>
      <c r="W939" s="182"/>
      <c r="X939" s="182"/>
      <c r="Y939" s="182"/>
      <c r="Z939" s="182"/>
      <c r="AA939" s="182"/>
      <c r="AB939" s="182"/>
      <c r="AC939" s="182"/>
      <c r="AD939" s="182"/>
      <c r="AE939" s="182"/>
      <c r="AF939" s="182"/>
      <c r="AG939" s="182"/>
      <c r="AH939" s="182"/>
      <c r="AI939" s="182"/>
      <c r="AJ939" s="182"/>
      <c r="AK939" s="182"/>
      <c r="AL939" s="182"/>
      <c r="AM939" s="182"/>
      <c r="AN939" s="182"/>
      <c r="AO939" s="182"/>
      <c r="AP939" s="182"/>
      <c r="AQ939" s="185">
        <v>1899.98</v>
      </c>
      <c r="AR939" s="182">
        <v>1452.06</v>
      </c>
      <c r="AS939" s="182">
        <v>352.93</v>
      </c>
      <c r="AT939" s="182"/>
      <c r="AU939" s="182">
        <v>94.99</v>
      </c>
      <c r="AV939" s="182"/>
      <c r="AW939" s="182"/>
      <c r="AX939" s="182"/>
      <c r="AY939" s="182"/>
      <c r="AZ939" s="182"/>
      <c r="BA939" s="182"/>
      <c r="BB939" s="182"/>
      <c r="BC939" s="182"/>
      <c r="BD939" s="182"/>
      <c r="BE939" s="182"/>
      <c r="BF939" s="182"/>
      <c r="BG939" s="182"/>
      <c r="BH939" s="182"/>
      <c r="BI939" s="182"/>
      <c r="BJ939" s="182"/>
      <c r="BK939" s="182"/>
      <c r="BL939" s="182"/>
      <c r="BM939" s="182"/>
      <c r="BN939" s="182"/>
      <c r="BO939" s="182"/>
      <c r="BP939" s="182"/>
      <c r="BQ939" s="182"/>
      <c r="BR939" s="182"/>
      <c r="BS939" s="182"/>
      <c r="BT939" s="182"/>
      <c r="BU939" s="182"/>
      <c r="BV939" s="182"/>
      <c r="BW939" s="182"/>
      <c r="BX939" s="182"/>
      <c r="BY939" s="182"/>
      <c r="BZ939" s="182"/>
      <c r="CA939" s="182"/>
      <c r="CB939" s="185">
        <v>1899.98</v>
      </c>
      <c r="CC939" s="185">
        <v>0</v>
      </c>
      <c r="CD939" s="185">
        <v>2290</v>
      </c>
      <c r="CE939" s="185"/>
    </row>
    <row r="940" spans="2:83" x14ac:dyDescent="0.3">
      <c r="B940" s="182">
        <v>2837</v>
      </c>
      <c r="C940" s="182">
        <v>2291</v>
      </c>
      <c r="D940" s="182" t="s">
        <v>123</v>
      </c>
      <c r="E940" s="181" t="s">
        <v>4371</v>
      </c>
      <c r="F940" s="182"/>
      <c r="G940" s="182">
        <v>1499.98</v>
      </c>
      <c r="H940" s="182"/>
      <c r="I940" s="182"/>
      <c r="J940" s="182"/>
      <c r="K940" s="182"/>
      <c r="L940" s="182"/>
      <c r="M940" s="182"/>
      <c r="N940" s="182"/>
      <c r="O940" s="182"/>
      <c r="P940" s="182"/>
      <c r="Q940" s="182"/>
      <c r="R940" s="182"/>
      <c r="S940" s="182"/>
      <c r="T940" s="182"/>
      <c r="U940" s="182"/>
      <c r="V940" s="182"/>
      <c r="W940" s="182"/>
      <c r="X940" s="182"/>
      <c r="Y940" s="182"/>
      <c r="Z940" s="182"/>
      <c r="AA940" s="182"/>
      <c r="AB940" s="182"/>
      <c r="AC940" s="182"/>
      <c r="AD940" s="182"/>
      <c r="AE940" s="182"/>
      <c r="AF940" s="182"/>
      <c r="AG940" s="182"/>
      <c r="AH940" s="182"/>
      <c r="AI940" s="182"/>
      <c r="AJ940" s="182"/>
      <c r="AK940" s="182"/>
      <c r="AL940" s="182"/>
      <c r="AM940" s="182"/>
      <c r="AN940" s="182"/>
      <c r="AO940" s="182"/>
      <c r="AP940" s="182"/>
      <c r="AQ940" s="185">
        <v>1499.98</v>
      </c>
      <c r="AR940" s="182">
        <v>1167.22</v>
      </c>
      <c r="AS940" s="182">
        <v>257.77</v>
      </c>
      <c r="AT940" s="182"/>
      <c r="AU940" s="182">
        <v>74.989999999999995</v>
      </c>
      <c r="AV940" s="182"/>
      <c r="AW940" s="182"/>
      <c r="AX940" s="182"/>
      <c r="AY940" s="182"/>
      <c r="AZ940" s="182"/>
      <c r="BA940" s="182"/>
      <c r="BB940" s="182"/>
      <c r="BC940" s="182"/>
      <c r="BD940" s="182"/>
      <c r="BE940" s="182"/>
      <c r="BF940" s="182"/>
      <c r="BG940" s="182"/>
      <c r="BH940" s="182"/>
      <c r="BI940" s="182"/>
      <c r="BJ940" s="182"/>
      <c r="BK940" s="182"/>
      <c r="BL940" s="182"/>
      <c r="BM940" s="182"/>
      <c r="BN940" s="182"/>
      <c r="BO940" s="182"/>
      <c r="BP940" s="182"/>
      <c r="BQ940" s="182"/>
      <c r="BR940" s="182"/>
      <c r="BS940" s="182"/>
      <c r="BT940" s="182"/>
      <c r="BU940" s="182"/>
      <c r="BV940" s="182"/>
      <c r="BW940" s="182"/>
      <c r="BX940" s="182"/>
      <c r="BY940" s="182"/>
      <c r="BZ940" s="182"/>
      <c r="CA940" s="182"/>
      <c r="CB940" s="185">
        <v>1499.98</v>
      </c>
      <c r="CC940" s="185">
        <v>0</v>
      </c>
      <c r="CD940" s="185">
        <v>2291</v>
      </c>
      <c r="CE940" s="185"/>
    </row>
    <row r="941" spans="2:83" x14ac:dyDescent="0.3">
      <c r="B941" s="182">
        <v>2836</v>
      </c>
      <c r="C941" s="182">
        <v>2292</v>
      </c>
      <c r="D941" s="182" t="s">
        <v>123</v>
      </c>
      <c r="E941" s="181" t="s">
        <v>4371</v>
      </c>
      <c r="F941" s="182"/>
      <c r="G941" s="182">
        <v>400</v>
      </c>
      <c r="H941" s="182"/>
      <c r="I941" s="182"/>
      <c r="J941" s="182"/>
      <c r="K941" s="182"/>
      <c r="L941" s="182"/>
      <c r="M941" s="182"/>
      <c r="N941" s="182"/>
      <c r="O941" s="182"/>
      <c r="P941" s="182"/>
      <c r="Q941" s="182"/>
      <c r="R941" s="182"/>
      <c r="S941" s="182"/>
      <c r="T941" s="182"/>
      <c r="U941" s="182"/>
      <c r="V941" s="182"/>
      <c r="W941" s="182"/>
      <c r="X941" s="182"/>
      <c r="Y941" s="182"/>
      <c r="Z941" s="182"/>
      <c r="AA941" s="182"/>
      <c r="AB941" s="182"/>
      <c r="AC941" s="182"/>
      <c r="AD941" s="182"/>
      <c r="AE941" s="182"/>
      <c r="AF941" s="182"/>
      <c r="AG941" s="182"/>
      <c r="AH941" s="182"/>
      <c r="AI941" s="182"/>
      <c r="AJ941" s="182"/>
      <c r="AK941" s="182"/>
      <c r="AL941" s="182"/>
      <c r="AM941" s="182"/>
      <c r="AN941" s="182"/>
      <c r="AO941" s="182"/>
      <c r="AP941" s="182"/>
      <c r="AQ941" s="185">
        <v>400</v>
      </c>
      <c r="AR941" s="182">
        <v>302.16000000000003</v>
      </c>
      <c r="AS941" s="182">
        <v>77.84</v>
      </c>
      <c r="AT941" s="182"/>
      <c r="AU941" s="182">
        <v>20</v>
      </c>
      <c r="AV941" s="182"/>
      <c r="AW941" s="182"/>
      <c r="AX941" s="182"/>
      <c r="AY941" s="182"/>
      <c r="AZ941" s="182"/>
      <c r="BA941" s="182"/>
      <c r="BB941" s="182"/>
      <c r="BC941" s="182"/>
      <c r="BD941" s="182"/>
      <c r="BE941" s="182"/>
      <c r="BF941" s="182"/>
      <c r="BG941" s="182"/>
      <c r="BH941" s="182"/>
      <c r="BI941" s="182"/>
      <c r="BJ941" s="182"/>
      <c r="BK941" s="182"/>
      <c r="BL941" s="182"/>
      <c r="BM941" s="182"/>
      <c r="BN941" s="182"/>
      <c r="BO941" s="182"/>
      <c r="BP941" s="182"/>
      <c r="BQ941" s="182"/>
      <c r="BR941" s="182"/>
      <c r="BS941" s="182"/>
      <c r="BT941" s="182"/>
      <c r="BU941" s="182"/>
      <c r="BV941" s="182"/>
      <c r="BW941" s="182"/>
      <c r="BX941" s="182"/>
      <c r="BY941" s="182"/>
      <c r="BZ941" s="182"/>
      <c r="CA941" s="182"/>
      <c r="CB941" s="185">
        <v>400</v>
      </c>
      <c r="CC941" s="185">
        <v>0</v>
      </c>
      <c r="CD941" s="185">
        <v>2292</v>
      </c>
      <c r="CE941" s="185"/>
    </row>
    <row r="942" spans="2:83" x14ac:dyDescent="0.3">
      <c r="B942" s="182">
        <v>2839</v>
      </c>
      <c r="C942" s="182">
        <v>2293</v>
      </c>
      <c r="D942" s="182" t="s">
        <v>123</v>
      </c>
      <c r="E942" s="181" t="s">
        <v>4371</v>
      </c>
      <c r="F942" s="182"/>
      <c r="G942" s="182">
        <v>550</v>
      </c>
      <c r="H942" s="182"/>
      <c r="I942" s="182"/>
      <c r="J942" s="182"/>
      <c r="K942" s="182"/>
      <c r="L942" s="182"/>
      <c r="M942" s="182"/>
      <c r="N942" s="182"/>
      <c r="O942" s="182"/>
      <c r="P942" s="182"/>
      <c r="Q942" s="182"/>
      <c r="R942" s="182"/>
      <c r="S942" s="182"/>
      <c r="T942" s="182"/>
      <c r="U942" s="182"/>
      <c r="V942" s="182"/>
      <c r="W942" s="182"/>
      <c r="X942" s="182"/>
      <c r="Y942" s="182"/>
      <c r="Z942" s="182"/>
      <c r="AA942" s="182"/>
      <c r="AB942" s="182"/>
      <c r="AC942" s="182"/>
      <c r="AD942" s="182"/>
      <c r="AE942" s="182"/>
      <c r="AF942" s="182"/>
      <c r="AG942" s="182"/>
      <c r="AH942" s="182"/>
      <c r="AI942" s="182"/>
      <c r="AJ942" s="182"/>
      <c r="AK942" s="182"/>
      <c r="AL942" s="182"/>
      <c r="AM942" s="182"/>
      <c r="AN942" s="182"/>
      <c r="AO942" s="182"/>
      <c r="AP942" s="182"/>
      <c r="AQ942" s="185">
        <v>550</v>
      </c>
      <c r="AR942" s="182">
        <v>415.2</v>
      </c>
      <c r="AS942" s="182">
        <v>107.3</v>
      </c>
      <c r="AT942" s="182"/>
      <c r="AU942" s="182">
        <v>27.5</v>
      </c>
      <c r="AV942" s="182"/>
      <c r="AW942" s="182"/>
      <c r="AX942" s="182"/>
      <c r="AY942" s="182"/>
      <c r="AZ942" s="182"/>
      <c r="BA942" s="182"/>
      <c r="BB942" s="182"/>
      <c r="BC942" s="182"/>
      <c r="BD942" s="182"/>
      <c r="BE942" s="182"/>
      <c r="BF942" s="182"/>
      <c r="BG942" s="182"/>
      <c r="BH942" s="182"/>
      <c r="BI942" s="182"/>
      <c r="BJ942" s="182"/>
      <c r="BK942" s="182"/>
      <c r="BL942" s="182"/>
      <c r="BM942" s="182"/>
      <c r="BN942" s="182"/>
      <c r="BO942" s="182"/>
      <c r="BP942" s="182"/>
      <c r="BQ942" s="182"/>
      <c r="BR942" s="182"/>
      <c r="BS942" s="182"/>
      <c r="BT942" s="182"/>
      <c r="BU942" s="182"/>
      <c r="BV942" s="182"/>
      <c r="BW942" s="182"/>
      <c r="BX942" s="182"/>
      <c r="BY942" s="182"/>
      <c r="BZ942" s="182"/>
      <c r="CA942" s="182"/>
      <c r="CB942" s="185">
        <v>550</v>
      </c>
      <c r="CC942" s="185">
        <v>0</v>
      </c>
      <c r="CD942" s="185">
        <v>2293</v>
      </c>
      <c r="CE942" s="185"/>
    </row>
    <row r="943" spans="2:83" x14ac:dyDescent="0.3">
      <c r="B943" s="182">
        <v>2852</v>
      </c>
      <c r="C943" s="182">
        <v>2294</v>
      </c>
      <c r="D943" s="182" t="s">
        <v>123</v>
      </c>
      <c r="E943" s="181" t="s">
        <v>4371</v>
      </c>
      <c r="F943" s="182"/>
      <c r="G943" s="182">
        <v>1499.98</v>
      </c>
      <c r="H943" s="182"/>
      <c r="I943" s="182"/>
      <c r="J943" s="182"/>
      <c r="K943" s="182"/>
      <c r="L943" s="182"/>
      <c r="M943" s="182"/>
      <c r="N943" s="182"/>
      <c r="O943" s="182"/>
      <c r="P943" s="182"/>
      <c r="Q943" s="182"/>
      <c r="R943" s="182"/>
      <c r="S943" s="182"/>
      <c r="T943" s="182"/>
      <c r="U943" s="182"/>
      <c r="V943" s="182"/>
      <c r="W943" s="182"/>
      <c r="X943" s="182"/>
      <c r="Y943" s="182"/>
      <c r="Z943" s="182"/>
      <c r="AA943" s="182"/>
      <c r="AB943" s="182"/>
      <c r="AC943" s="182"/>
      <c r="AD943" s="182"/>
      <c r="AE943" s="182"/>
      <c r="AF943" s="182"/>
      <c r="AG943" s="182"/>
      <c r="AH943" s="182"/>
      <c r="AI943" s="182"/>
      <c r="AJ943" s="182"/>
      <c r="AK943" s="182"/>
      <c r="AL943" s="182"/>
      <c r="AM943" s="182"/>
      <c r="AN943" s="182"/>
      <c r="AO943" s="182"/>
      <c r="AP943" s="182"/>
      <c r="AQ943" s="185">
        <v>1499.98</v>
      </c>
      <c r="AR943" s="182">
        <v>1167.22</v>
      </c>
      <c r="AS943" s="182">
        <v>257.77</v>
      </c>
      <c r="AT943" s="182"/>
      <c r="AU943" s="182">
        <v>74.989999999999995</v>
      </c>
      <c r="AV943" s="182"/>
      <c r="AW943" s="182"/>
      <c r="AX943" s="182"/>
      <c r="AY943" s="182"/>
      <c r="AZ943" s="182"/>
      <c r="BA943" s="182"/>
      <c r="BB943" s="182"/>
      <c r="BC943" s="182"/>
      <c r="BD943" s="182"/>
      <c r="BE943" s="182"/>
      <c r="BF943" s="182"/>
      <c r="BG943" s="182"/>
      <c r="BH943" s="182"/>
      <c r="BI943" s="182"/>
      <c r="BJ943" s="182"/>
      <c r="BK943" s="182"/>
      <c r="BL943" s="182"/>
      <c r="BM943" s="182"/>
      <c r="BN943" s="182"/>
      <c r="BO943" s="182"/>
      <c r="BP943" s="182"/>
      <c r="BQ943" s="182"/>
      <c r="BR943" s="182"/>
      <c r="BS943" s="182"/>
      <c r="BT943" s="182"/>
      <c r="BU943" s="182"/>
      <c r="BV943" s="182"/>
      <c r="BW943" s="182"/>
      <c r="BX943" s="182"/>
      <c r="BY943" s="182"/>
      <c r="BZ943" s="182"/>
      <c r="CA943" s="182"/>
      <c r="CB943" s="185">
        <v>1499.98</v>
      </c>
      <c r="CC943" s="185">
        <v>0</v>
      </c>
      <c r="CD943" s="185">
        <v>2294</v>
      </c>
      <c r="CE943" s="185"/>
    </row>
    <row r="944" spans="2:83" x14ac:dyDescent="0.3">
      <c r="B944" s="182">
        <v>2858</v>
      </c>
      <c r="C944" s="182">
        <v>2295</v>
      </c>
      <c r="D944" s="182" t="s">
        <v>123</v>
      </c>
      <c r="E944" s="181" t="s">
        <v>4371</v>
      </c>
      <c r="F944" s="182"/>
      <c r="G944" s="182">
        <v>766.66</v>
      </c>
      <c r="H944" s="182"/>
      <c r="I944" s="182"/>
      <c r="J944" s="182"/>
      <c r="K944" s="182"/>
      <c r="L944" s="182"/>
      <c r="M944" s="182"/>
      <c r="N944" s="182"/>
      <c r="O944" s="182"/>
      <c r="P944" s="182"/>
      <c r="Q944" s="182"/>
      <c r="R944" s="182"/>
      <c r="S944" s="182"/>
      <c r="T944" s="182"/>
      <c r="U944" s="182"/>
      <c r="V944" s="182"/>
      <c r="W944" s="182"/>
      <c r="X944" s="182"/>
      <c r="Y944" s="182"/>
      <c r="Z944" s="182"/>
      <c r="AA944" s="182"/>
      <c r="AB944" s="182"/>
      <c r="AC944" s="182"/>
      <c r="AD944" s="182"/>
      <c r="AE944" s="182"/>
      <c r="AF944" s="182"/>
      <c r="AG944" s="182"/>
      <c r="AH944" s="182"/>
      <c r="AI944" s="182"/>
      <c r="AJ944" s="182"/>
      <c r="AK944" s="182"/>
      <c r="AL944" s="182"/>
      <c r="AM944" s="182"/>
      <c r="AN944" s="182"/>
      <c r="AO944" s="182"/>
      <c r="AP944" s="182"/>
      <c r="AQ944" s="185">
        <v>766.66</v>
      </c>
      <c r="AR944" s="182">
        <v>578.62</v>
      </c>
      <c r="AS944" s="182">
        <v>149.71</v>
      </c>
      <c r="AT944" s="182"/>
      <c r="AU944" s="182">
        <v>38.33</v>
      </c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182"/>
      <c r="BK944" s="182"/>
      <c r="BL944" s="182"/>
      <c r="BM944" s="182"/>
      <c r="BN944" s="182"/>
      <c r="BO944" s="182"/>
      <c r="BP944" s="182"/>
      <c r="BQ944" s="182"/>
      <c r="BR944" s="182"/>
      <c r="BS944" s="182"/>
      <c r="BT944" s="182"/>
      <c r="BU944" s="182"/>
      <c r="BV944" s="182"/>
      <c r="BW944" s="182"/>
      <c r="BX944" s="182"/>
      <c r="BY944" s="182"/>
      <c r="BZ944" s="182"/>
      <c r="CA944" s="182"/>
      <c r="CB944" s="185">
        <v>766.66000000000008</v>
      </c>
      <c r="CC944" s="185">
        <v>0</v>
      </c>
      <c r="CD944" s="185">
        <v>2295</v>
      </c>
      <c r="CE944" s="185"/>
    </row>
    <row r="945" spans="2:83" x14ac:dyDescent="0.3">
      <c r="B945" s="182">
        <v>2862</v>
      </c>
      <c r="C945" s="182">
        <v>2296</v>
      </c>
      <c r="D945" s="182" t="s">
        <v>123</v>
      </c>
      <c r="E945" s="181" t="s">
        <v>4371</v>
      </c>
      <c r="F945" s="182"/>
      <c r="G945" s="182">
        <v>733.32</v>
      </c>
      <c r="H945" s="182"/>
      <c r="I945" s="182"/>
      <c r="J945" s="182"/>
      <c r="K945" s="182"/>
      <c r="L945" s="182"/>
      <c r="M945" s="182"/>
      <c r="N945" s="182"/>
      <c r="O945" s="182"/>
      <c r="P945" s="182"/>
      <c r="Q945" s="182"/>
      <c r="R945" s="182"/>
      <c r="S945" s="182"/>
      <c r="T945" s="182"/>
      <c r="U945" s="182"/>
      <c r="V945" s="182"/>
      <c r="W945" s="182"/>
      <c r="X945" s="182"/>
      <c r="Y945" s="182"/>
      <c r="Z945" s="182"/>
      <c r="AA945" s="182"/>
      <c r="AB945" s="182"/>
      <c r="AC945" s="182"/>
      <c r="AD945" s="182"/>
      <c r="AE945" s="182"/>
      <c r="AF945" s="182"/>
      <c r="AG945" s="182"/>
      <c r="AH945" s="182"/>
      <c r="AI945" s="182"/>
      <c r="AJ945" s="182"/>
      <c r="AK945" s="182"/>
      <c r="AL945" s="182"/>
      <c r="AM945" s="182"/>
      <c r="AN945" s="182"/>
      <c r="AO945" s="182"/>
      <c r="AP945" s="182"/>
      <c r="AQ945" s="185">
        <v>733.32</v>
      </c>
      <c r="AR945" s="182">
        <v>553.96</v>
      </c>
      <c r="AS945" s="182">
        <v>142.69999999999999</v>
      </c>
      <c r="AT945" s="182"/>
      <c r="AU945" s="182">
        <v>36.659999999999997</v>
      </c>
      <c r="AV945" s="182"/>
      <c r="AW945" s="182"/>
      <c r="AX945" s="182"/>
      <c r="AY945" s="182"/>
      <c r="AZ945" s="182"/>
      <c r="BA945" s="182"/>
      <c r="BB945" s="182"/>
      <c r="BC945" s="182"/>
      <c r="BD945" s="182"/>
      <c r="BE945" s="182"/>
      <c r="BF945" s="182"/>
      <c r="BG945" s="182"/>
      <c r="BH945" s="182"/>
      <c r="BI945" s="182"/>
      <c r="BJ945" s="182"/>
      <c r="BK945" s="182"/>
      <c r="BL945" s="182"/>
      <c r="BM945" s="182"/>
      <c r="BN945" s="182"/>
      <c r="BO945" s="182"/>
      <c r="BP945" s="182"/>
      <c r="BQ945" s="182"/>
      <c r="BR945" s="182"/>
      <c r="BS945" s="182"/>
      <c r="BT945" s="182"/>
      <c r="BU945" s="182"/>
      <c r="BV945" s="182"/>
      <c r="BW945" s="182"/>
      <c r="BX945" s="182"/>
      <c r="BY945" s="182"/>
      <c r="BZ945" s="182"/>
      <c r="CA945" s="182"/>
      <c r="CB945" s="185">
        <v>733.32</v>
      </c>
      <c r="CC945" s="185">
        <v>0</v>
      </c>
      <c r="CD945" s="185">
        <v>2296</v>
      </c>
      <c r="CE945" s="185"/>
    </row>
    <row r="946" spans="2:83" x14ac:dyDescent="0.3">
      <c r="B946" s="182">
        <v>2861</v>
      </c>
      <c r="C946" s="182">
        <v>2297</v>
      </c>
      <c r="D946" s="182" t="s">
        <v>123</v>
      </c>
      <c r="E946" s="181" t="s">
        <v>4371</v>
      </c>
      <c r="F946" s="182"/>
      <c r="G946" s="182">
        <v>1166.6600000000001</v>
      </c>
      <c r="H946" s="182"/>
      <c r="I946" s="182"/>
      <c r="J946" s="182"/>
      <c r="K946" s="182"/>
      <c r="L946" s="182"/>
      <c r="M946" s="182"/>
      <c r="N946" s="182"/>
      <c r="O946" s="182"/>
      <c r="P946" s="182"/>
      <c r="Q946" s="182"/>
      <c r="R946" s="182"/>
      <c r="S946" s="182"/>
      <c r="T946" s="182"/>
      <c r="U946" s="182"/>
      <c r="V946" s="182"/>
      <c r="W946" s="182"/>
      <c r="X946" s="182"/>
      <c r="Y946" s="182"/>
      <c r="Z946" s="182"/>
      <c r="AA946" s="182"/>
      <c r="AB946" s="182"/>
      <c r="AC946" s="182"/>
      <c r="AD946" s="182"/>
      <c r="AE946" s="182"/>
      <c r="AF946" s="182"/>
      <c r="AG946" s="182"/>
      <c r="AH946" s="182"/>
      <c r="AI946" s="182"/>
      <c r="AJ946" s="182"/>
      <c r="AK946" s="182"/>
      <c r="AL946" s="182"/>
      <c r="AM946" s="182"/>
      <c r="AN946" s="182"/>
      <c r="AO946" s="182"/>
      <c r="AP946" s="182"/>
      <c r="AQ946" s="185">
        <v>1166.6600000000001</v>
      </c>
      <c r="AR946" s="182">
        <v>880.78</v>
      </c>
      <c r="AS946" s="182">
        <v>227.55</v>
      </c>
      <c r="AT946" s="182"/>
      <c r="AU946" s="182">
        <v>58.33</v>
      </c>
      <c r="AV946" s="182"/>
      <c r="AW946" s="182"/>
      <c r="AX946" s="182"/>
      <c r="AY946" s="182"/>
      <c r="AZ946" s="182"/>
      <c r="BA946" s="182"/>
      <c r="BB946" s="182"/>
      <c r="BC946" s="182"/>
      <c r="BD946" s="182"/>
      <c r="BE946" s="182"/>
      <c r="BF946" s="182"/>
      <c r="BG946" s="182"/>
      <c r="BH946" s="182"/>
      <c r="BI946" s="182"/>
      <c r="BJ946" s="182"/>
      <c r="BK946" s="182"/>
      <c r="BL946" s="182"/>
      <c r="BM946" s="182"/>
      <c r="BN946" s="182"/>
      <c r="BO946" s="182"/>
      <c r="BP946" s="182"/>
      <c r="BQ946" s="182"/>
      <c r="BR946" s="182"/>
      <c r="BS946" s="182"/>
      <c r="BT946" s="182"/>
      <c r="BU946" s="182"/>
      <c r="BV946" s="182"/>
      <c r="BW946" s="182"/>
      <c r="BX946" s="182"/>
      <c r="BY946" s="182"/>
      <c r="BZ946" s="182"/>
      <c r="CA946" s="182"/>
      <c r="CB946" s="185">
        <v>1166.6599999999999</v>
      </c>
      <c r="CC946" s="185">
        <v>0</v>
      </c>
      <c r="CD946" s="185">
        <v>2297</v>
      </c>
      <c r="CE946" s="185"/>
    </row>
    <row r="947" spans="2:83" x14ac:dyDescent="0.3">
      <c r="B947" s="182">
        <v>2864</v>
      </c>
      <c r="C947" s="182">
        <v>2298</v>
      </c>
      <c r="D947" s="182" t="s">
        <v>123</v>
      </c>
      <c r="E947" s="181" t="s">
        <v>4371</v>
      </c>
      <c r="F947" s="182"/>
      <c r="G947" s="182">
        <v>2299.98</v>
      </c>
      <c r="H947" s="182"/>
      <c r="I947" s="182"/>
      <c r="J947" s="182"/>
      <c r="K947" s="182"/>
      <c r="L947" s="182"/>
      <c r="M947" s="182"/>
      <c r="N947" s="182"/>
      <c r="O947" s="182"/>
      <c r="P947" s="182"/>
      <c r="Q947" s="182"/>
      <c r="R947" s="182"/>
      <c r="S947" s="182"/>
      <c r="T947" s="182"/>
      <c r="U947" s="182"/>
      <c r="V947" s="182"/>
      <c r="W947" s="182"/>
      <c r="X947" s="182"/>
      <c r="Y947" s="182"/>
      <c r="Z947" s="182"/>
      <c r="AA947" s="182"/>
      <c r="AB947" s="182"/>
      <c r="AC947" s="182"/>
      <c r="AD947" s="182"/>
      <c r="AE947" s="182"/>
      <c r="AF947" s="182"/>
      <c r="AG947" s="182"/>
      <c r="AH947" s="182"/>
      <c r="AI947" s="182"/>
      <c r="AJ947" s="182"/>
      <c r="AK947" s="182"/>
      <c r="AL947" s="182"/>
      <c r="AM947" s="182"/>
      <c r="AN947" s="182"/>
      <c r="AO947" s="182"/>
      <c r="AP947" s="182"/>
      <c r="AQ947" s="185">
        <v>2299.98</v>
      </c>
      <c r="AR947" s="182">
        <v>1753.7</v>
      </c>
      <c r="AS947" s="182">
        <v>431.29</v>
      </c>
      <c r="AT947" s="182"/>
      <c r="AU947" s="182">
        <v>114.99</v>
      </c>
      <c r="AV947" s="182"/>
      <c r="AW947" s="182"/>
      <c r="AX947" s="182"/>
      <c r="AY947" s="182"/>
      <c r="AZ947" s="182"/>
      <c r="BA947" s="182"/>
      <c r="BB947" s="182"/>
      <c r="BC947" s="182"/>
      <c r="BD947" s="182"/>
      <c r="BE947" s="182"/>
      <c r="BF947" s="182"/>
      <c r="BG947" s="182"/>
      <c r="BH947" s="182"/>
      <c r="BI947" s="182"/>
      <c r="BJ947" s="182"/>
      <c r="BK947" s="182"/>
      <c r="BL947" s="182"/>
      <c r="BM947" s="182"/>
      <c r="BN947" s="182"/>
      <c r="BO947" s="182"/>
      <c r="BP947" s="182"/>
      <c r="BQ947" s="182"/>
      <c r="BR947" s="182"/>
      <c r="BS947" s="182"/>
      <c r="BT947" s="182"/>
      <c r="BU947" s="182"/>
      <c r="BV947" s="182"/>
      <c r="BW947" s="182"/>
      <c r="BX947" s="182"/>
      <c r="BY947" s="182"/>
      <c r="BZ947" s="182"/>
      <c r="CA947" s="182"/>
      <c r="CB947" s="185">
        <v>2299.98</v>
      </c>
      <c r="CC947" s="185">
        <v>0</v>
      </c>
      <c r="CD947" s="185">
        <v>2298</v>
      </c>
      <c r="CE947" s="185"/>
    </row>
    <row r="948" spans="2:83" x14ac:dyDescent="0.3">
      <c r="B948" s="182">
        <v>2867</v>
      </c>
      <c r="C948" s="182">
        <v>2299</v>
      </c>
      <c r="D948" s="182" t="s">
        <v>123</v>
      </c>
      <c r="E948" s="181" t="s">
        <v>4371</v>
      </c>
      <c r="F948" s="182"/>
      <c r="G948" s="182">
        <v>1500</v>
      </c>
      <c r="H948" s="182"/>
      <c r="I948" s="182"/>
      <c r="J948" s="182"/>
      <c r="K948" s="182"/>
      <c r="L948" s="182"/>
      <c r="M948" s="182"/>
      <c r="N948" s="182"/>
      <c r="O948" s="182"/>
      <c r="P948" s="182"/>
      <c r="Q948" s="182"/>
      <c r="R948" s="182"/>
      <c r="S948" s="182"/>
      <c r="T948" s="182"/>
      <c r="U948" s="182"/>
      <c r="V948" s="182"/>
      <c r="W948" s="182"/>
      <c r="X948" s="182"/>
      <c r="Y948" s="182"/>
      <c r="Z948" s="182"/>
      <c r="AA948" s="182"/>
      <c r="AB948" s="182"/>
      <c r="AC948" s="182"/>
      <c r="AD948" s="182"/>
      <c r="AE948" s="182"/>
      <c r="AF948" s="182"/>
      <c r="AG948" s="182"/>
      <c r="AH948" s="182"/>
      <c r="AI948" s="182"/>
      <c r="AJ948" s="182"/>
      <c r="AK948" s="182"/>
      <c r="AL948" s="182"/>
      <c r="AM948" s="182"/>
      <c r="AN948" s="182"/>
      <c r="AO948" s="182"/>
      <c r="AP948" s="182"/>
      <c r="AQ948" s="185">
        <v>1500</v>
      </c>
      <c r="AR948" s="182">
        <v>1158.1099999999999</v>
      </c>
      <c r="AS948" s="182">
        <v>266.89</v>
      </c>
      <c r="AT948" s="182"/>
      <c r="AU948" s="182">
        <v>75</v>
      </c>
      <c r="AV948" s="182"/>
      <c r="AW948" s="182"/>
      <c r="AX948" s="182"/>
      <c r="AY948" s="182"/>
      <c r="AZ948" s="182"/>
      <c r="BA948" s="182"/>
      <c r="BB948" s="182"/>
      <c r="BC948" s="182"/>
      <c r="BD948" s="182"/>
      <c r="BE948" s="182"/>
      <c r="BF948" s="182"/>
      <c r="BG948" s="182"/>
      <c r="BH948" s="182"/>
      <c r="BI948" s="182"/>
      <c r="BJ948" s="182"/>
      <c r="BK948" s="182"/>
      <c r="BL948" s="182"/>
      <c r="BM948" s="182"/>
      <c r="BN948" s="182"/>
      <c r="BO948" s="182"/>
      <c r="BP948" s="182"/>
      <c r="BQ948" s="182"/>
      <c r="BR948" s="182"/>
      <c r="BS948" s="182"/>
      <c r="BT948" s="182"/>
      <c r="BU948" s="182"/>
      <c r="BV948" s="182"/>
      <c r="BW948" s="182"/>
      <c r="BX948" s="182"/>
      <c r="BY948" s="182"/>
      <c r="BZ948" s="182"/>
      <c r="CA948" s="182"/>
      <c r="CB948" s="185">
        <v>1500</v>
      </c>
      <c r="CC948" s="185">
        <v>0</v>
      </c>
      <c r="CD948" s="185">
        <v>2299</v>
      </c>
      <c r="CE948" s="185"/>
    </row>
    <row r="949" spans="2:83" x14ac:dyDescent="0.3">
      <c r="B949" s="182">
        <v>2868</v>
      </c>
      <c r="C949" s="182">
        <v>2300</v>
      </c>
      <c r="D949" s="182" t="s">
        <v>123</v>
      </c>
      <c r="E949" s="181" t="s">
        <v>4371</v>
      </c>
      <c r="F949" s="182"/>
      <c r="G949" s="182">
        <v>550</v>
      </c>
      <c r="H949" s="182"/>
      <c r="I949" s="182"/>
      <c r="J949" s="182"/>
      <c r="K949" s="182"/>
      <c r="L949" s="182"/>
      <c r="M949" s="182"/>
      <c r="N949" s="182"/>
      <c r="O949" s="182"/>
      <c r="P949" s="182"/>
      <c r="Q949" s="182"/>
      <c r="R949" s="182"/>
      <c r="S949" s="182"/>
      <c r="T949" s="182"/>
      <c r="U949" s="182"/>
      <c r="V949" s="182"/>
      <c r="W949" s="182"/>
      <c r="X949" s="182"/>
      <c r="Y949" s="182"/>
      <c r="Z949" s="182"/>
      <c r="AA949" s="182"/>
      <c r="AB949" s="182"/>
      <c r="AC949" s="182"/>
      <c r="AD949" s="182"/>
      <c r="AE949" s="182"/>
      <c r="AF949" s="182"/>
      <c r="AG949" s="182"/>
      <c r="AH949" s="182"/>
      <c r="AI949" s="182"/>
      <c r="AJ949" s="182"/>
      <c r="AK949" s="182"/>
      <c r="AL949" s="182"/>
      <c r="AM949" s="182"/>
      <c r="AN949" s="182"/>
      <c r="AO949" s="182"/>
      <c r="AP949" s="182"/>
      <c r="AQ949" s="185">
        <v>550</v>
      </c>
      <c r="AR949" s="182">
        <v>415.2</v>
      </c>
      <c r="AS949" s="182">
        <v>107.3</v>
      </c>
      <c r="AT949" s="182"/>
      <c r="AU949" s="182">
        <v>27.5</v>
      </c>
      <c r="AV949" s="182"/>
      <c r="AW949" s="182"/>
      <c r="AX949" s="182"/>
      <c r="AY949" s="182"/>
      <c r="AZ949" s="182"/>
      <c r="BA949" s="182"/>
      <c r="BB949" s="182"/>
      <c r="BC949" s="182"/>
      <c r="BD949" s="182"/>
      <c r="BE949" s="182"/>
      <c r="BF949" s="182"/>
      <c r="BG949" s="182"/>
      <c r="BH949" s="182"/>
      <c r="BI949" s="182"/>
      <c r="BJ949" s="182"/>
      <c r="BK949" s="182"/>
      <c r="BL949" s="182"/>
      <c r="BM949" s="182"/>
      <c r="BN949" s="182"/>
      <c r="BO949" s="182"/>
      <c r="BP949" s="182"/>
      <c r="BQ949" s="182"/>
      <c r="BR949" s="182"/>
      <c r="BS949" s="182"/>
      <c r="BT949" s="182"/>
      <c r="BU949" s="182"/>
      <c r="BV949" s="182"/>
      <c r="BW949" s="182"/>
      <c r="BX949" s="182"/>
      <c r="BY949" s="182"/>
      <c r="BZ949" s="182"/>
      <c r="CA949" s="182"/>
      <c r="CB949" s="185">
        <v>550</v>
      </c>
      <c r="CC949" s="185">
        <v>0</v>
      </c>
      <c r="CD949" s="185">
        <v>2300</v>
      </c>
      <c r="CE949" s="185"/>
    </row>
    <row r="950" spans="2:83" x14ac:dyDescent="0.3">
      <c r="B950" s="182">
        <v>2865</v>
      </c>
      <c r="C950" s="182">
        <v>2301</v>
      </c>
      <c r="D950" s="182" t="s">
        <v>123</v>
      </c>
      <c r="E950" s="181" t="s">
        <v>4371</v>
      </c>
      <c r="F950" s="182"/>
      <c r="G950" s="182">
        <v>469</v>
      </c>
      <c r="H950" s="182"/>
      <c r="I950" s="182"/>
      <c r="J950" s="182"/>
      <c r="K950" s="182"/>
      <c r="L950" s="182"/>
      <c r="M950" s="182"/>
      <c r="N950" s="182"/>
      <c r="O950" s="182"/>
      <c r="P950" s="182"/>
      <c r="Q950" s="182"/>
      <c r="R950" s="182"/>
      <c r="S950" s="182"/>
      <c r="T950" s="182"/>
      <c r="U950" s="182"/>
      <c r="V950" s="182"/>
      <c r="W950" s="182"/>
      <c r="X950" s="182"/>
      <c r="Y950" s="182"/>
      <c r="Z950" s="182"/>
      <c r="AA950" s="182"/>
      <c r="AB950" s="182"/>
      <c r="AC950" s="182"/>
      <c r="AD950" s="182"/>
      <c r="AE950" s="182"/>
      <c r="AF950" s="182"/>
      <c r="AG950" s="182"/>
      <c r="AH950" s="182"/>
      <c r="AI950" s="182"/>
      <c r="AJ950" s="182"/>
      <c r="AK950" s="182"/>
      <c r="AL950" s="182"/>
      <c r="AM950" s="182"/>
      <c r="AN950" s="182"/>
      <c r="AO950" s="182"/>
      <c r="AP950" s="182"/>
      <c r="AQ950" s="185">
        <v>469</v>
      </c>
      <c r="AR950" s="182">
        <v>313.7</v>
      </c>
      <c r="AS950" s="182">
        <v>42.3</v>
      </c>
      <c r="AT950" s="182">
        <v>113</v>
      </c>
      <c r="AU950" s="182"/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/>
      <c r="BF950" s="182"/>
      <c r="BG950" s="182"/>
      <c r="BH950" s="182"/>
      <c r="BI950" s="182"/>
      <c r="BJ950" s="182"/>
      <c r="BK950" s="182"/>
      <c r="BL950" s="182"/>
      <c r="BM950" s="182"/>
      <c r="BN950" s="182"/>
      <c r="BO950" s="182"/>
      <c r="BP950" s="182"/>
      <c r="BQ950" s="182"/>
      <c r="BR950" s="182"/>
      <c r="BS950" s="182"/>
      <c r="BT950" s="182"/>
      <c r="BU950" s="182"/>
      <c r="BV950" s="182"/>
      <c r="BW950" s="182"/>
      <c r="BX950" s="182"/>
      <c r="BY950" s="182"/>
      <c r="BZ950" s="182"/>
      <c r="CA950" s="182"/>
      <c r="CB950" s="185">
        <v>469</v>
      </c>
      <c r="CC950" s="185">
        <v>0</v>
      </c>
      <c r="CD950" s="185">
        <v>2301</v>
      </c>
      <c r="CE950" s="185"/>
    </row>
    <row r="951" spans="2:83" x14ac:dyDescent="0.3">
      <c r="B951" s="182">
        <v>2863</v>
      </c>
      <c r="C951" s="182">
        <v>2302</v>
      </c>
      <c r="D951" s="182" t="s">
        <v>123</v>
      </c>
      <c r="E951" s="181" t="s">
        <v>4371</v>
      </c>
      <c r="F951" s="182"/>
      <c r="G951" s="182">
        <v>469</v>
      </c>
      <c r="H951" s="182"/>
      <c r="I951" s="182"/>
      <c r="J951" s="182"/>
      <c r="K951" s="182"/>
      <c r="L951" s="182"/>
      <c r="M951" s="182"/>
      <c r="N951" s="182"/>
      <c r="O951" s="182"/>
      <c r="P951" s="182"/>
      <c r="Q951" s="182"/>
      <c r="R951" s="182"/>
      <c r="S951" s="182"/>
      <c r="T951" s="182"/>
      <c r="U951" s="182"/>
      <c r="V951" s="182"/>
      <c r="W951" s="182"/>
      <c r="X951" s="182"/>
      <c r="Y951" s="182"/>
      <c r="Z951" s="182"/>
      <c r="AA951" s="182"/>
      <c r="AB951" s="182"/>
      <c r="AC951" s="182"/>
      <c r="AD951" s="182"/>
      <c r="AE951" s="182"/>
      <c r="AF951" s="182"/>
      <c r="AG951" s="182"/>
      <c r="AH951" s="182"/>
      <c r="AI951" s="182"/>
      <c r="AJ951" s="182"/>
      <c r="AK951" s="182"/>
      <c r="AL951" s="182"/>
      <c r="AM951" s="182"/>
      <c r="AN951" s="182"/>
      <c r="AO951" s="182"/>
      <c r="AP951" s="182"/>
      <c r="AQ951" s="185">
        <v>469</v>
      </c>
      <c r="AR951" s="182">
        <v>313.7</v>
      </c>
      <c r="AS951" s="182">
        <v>42.3</v>
      </c>
      <c r="AT951" s="182">
        <v>113</v>
      </c>
      <c r="AU951" s="182"/>
      <c r="AV951" s="182"/>
      <c r="AW951" s="182"/>
      <c r="AX951" s="182"/>
      <c r="AY951" s="182"/>
      <c r="AZ951" s="182"/>
      <c r="BA951" s="182"/>
      <c r="BB951" s="182"/>
      <c r="BC951" s="182"/>
      <c r="BD951" s="182"/>
      <c r="BE951" s="182"/>
      <c r="BF951" s="182"/>
      <c r="BG951" s="182"/>
      <c r="BH951" s="182"/>
      <c r="BI951" s="182"/>
      <c r="BJ951" s="182"/>
      <c r="BK951" s="182"/>
      <c r="BL951" s="182"/>
      <c r="BM951" s="182"/>
      <c r="BN951" s="182"/>
      <c r="BO951" s="182"/>
      <c r="BP951" s="182"/>
      <c r="BQ951" s="182"/>
      <c r="BR951" s="182"/>
      <c r="BS951" s="182"/>
      <c r="BT951" s="182"/>
      <c r="BU951" s="182"/>
      <c r="BV951" s="182"/>
      <c r="BW951" s="182"/>
      <c r="BX951" s="182"/>
      <c r="BY951" s="182"/>
      <c r="BZ951" s="182"/>
      <c r="CA951" s="182"/>
      <c r="CB951" s="185">
        <v>469</v>
      </c>
      <c r="CC951" s="185">
        <v>0</v>
      </c>
      <c r="CD951" s="185">
        <v>2302</v>
      </c>
      <c r="CE951" s="185"/>
    </row>
    <row r="952" spans="2:83" x14ac:dyDescent="0.3">
      <c r="B952" s="182">
        <v>4163</v>
      </c>
      <c r="C952" s="182">
        <v>2303</v>
      </c>
      <c r="D952" s="182" t="s">
        <v>123</v>
      </c>
      <c r="E952" s="181" t="s">
        <v>4371</v>
      </c>
      <c r="F952" s="182"/>
      <c r="G952" s="182">
        <v>1350</v>
      </c>
      <c r="H952" s="182"/>
      <c r="I952" s="182"/>
      <c r="J952" s="182"/>
      <c r="K952" s="182"/>
      <c r="L952" s="182"/>
      <c r="M952" s="182"/>
      <c r="N952" s="182"/>
      <c r="O952" s="182"/>
      <c r="P952" s="182"/>
      <c r="Q952" s="182"/>
      <c r="R952" s="182"/>
      <c r="S952" s="182"/>
      <c r="T952" s="182"/>
      <c r="U952" s="182"/>
      <c r="V952" s="182"/>
      <c r="W952" s="182"/>
      <c r="X952" s="182"/>
      <c r="Y952" s="182"/>
      <c r="Z952" s="182"/>
      <c r="AA952" s="182"/>
      <c r="AB952" s="182"/>
      <c r="AC952" s="182"/>
      <c r="AD952" s="182"/>
      <c r="AE952" s="182"/>
      <c r="AF952" s="182"/>
      <c r="AG952" s="182"/>
      <c r="AH952" s="182"/>
      <c r="AI952" s="182"/>
      <c r="AJ952" s="182"/>
      <c r="AK952" s="182"/>
      <c r="AL952" s="182"/>
      <c r="AM952" s="182"/>
      <c r="AN952" s="182"/>
      <c r="AO952" s="182"/>
      <c r="AP952" s="182"/>
      <c r="AQ952" s="185">
        <v>1350</v>
      </c>
      <c r="AR952" s="182">
        <v>1019.12</v>
      </c>
      <c r="AS952" s="182">
        <v>263.38</v>
      </c>
      <c r="AT952" s="182"/>
      <c r="AU952" s="182">
        <v>67.5</v>
      </c>
      <c r="AV952" s="182"/>
      <c r="AW952" s="182"/>
      <c r="AX952" s="182"/>
      <c r="AY952" s="182"/>
      <c r="AZ952" s="182"/>
      <c r="BA952" s="182"/>
      <c r="BB952" s="182"/>
      <c r="BC952" s="182"/>
      <c r="BD952" s="182"/>
      <c r="BE952" s="182"/>
      <c r="BF952" s="182"/>
      <c r="BG952" s="182"/>
      <c r="BH952" s="182"/>
      <c r="BI952" s="182"/>
      <c r="BJ952" s="182"/>
      <c r="BK952" s="182"/>
      <c r="BL952" s="182"/>
      <c r="BM952" s="182"/>
      <c r="BN952" s="182"/>
      <c r="BO952" s="182"/>
      <c r="BP952" s="182"/>
      <c r="BQ952" s="182"/>
      <c r="BR952" s="182"/>
      <c r="BS952" s="182"/>
      <c r="BT952" s="182"/>
      <c r="BU952" s="182"/>
      <c r="BV952" s="182"/>
      <c r="BW952" s="182"/>
      <c r="BX952" s="182"/>
      <c r="BY952" s="182"/>
      <c r="BZ952" s="182"/>
      <c r="CA952" s="182"/>
      <c r="CB952" s="185">
        <v>1350</v>
      </c>
      <c r="CC952" s="185">
        <v>0</v>
      </c>
      <c r="CD952" s="185">
        <v>2303</v>
      </c>
      <c r="CE952" s="185"/>
    </row>
    <row r="953" spans="2:83" x14ac:dyDescent="0.3">
      <c r="B953" s="182">
        <v>4166</v>
      </c>
      <c r="C953" s="182">
        <v>2304</v>
      </c>
      <c r="D953" s="182" t="s">
        <v>123</v>
      </c>
      <c r="E953" s="181" t="s">
        <v>4371</v>
      </c>
      <c r="F953" s="182"/>
      <c r="G953" s="182">
        <v>950</v>
      </c>
      <c r="H953" s="182"/>
      <c r="I953" s="182"/>
      <c r="J953" s="182"/>
      <c r="K953" s="182"/>
      <c r="L953" s="182"/>
      <c r="M953" s="182"/>
      <c r="N953" s="182"/>
      <c r="O953" s="182"/>
      <c r="P953" s="182"/>
      <c r="Q953" s="182"/>
      <c r="R953" s="182"/>
      <c r="S953" s="182"/>
      <c r="T953" s="182"/>
      <c r="U953" s="182"/>
      <c r="V953" s="182"/>
      <c r="W953" s="182"/>
      <c r="X953" s="182"/>
      <c r="Y953" s="182"/>
      <c r="Z953" s="182"/>
      <c r="AA953" s="182"/>
      <c r="AB953" s="182"/>
      <c r="AC953" s="182"/>
      <c r="AD953" s="182"/>
      <c r="AE953" s="182"/>
      <c r="AF953" s="182"/>
      <c r="AG953" s="182"/>
      <c r="AH953" s="182"/>
      <c r="AI953" s="182"/>
      <c r="AJ953" s="182"/>
      <c r="AK953" s="182"/>
      <c r="AL953" s="182"/>
      <c r="AM953" s="182"/>
      <c r="AN953" s="182"/>
      <c r="AO953" s="182"/>
      <c r="AP953" s="182"/>
      <c r="AQ953" s="185">
        <v>950</v>
      </c>
      <c r="AR953" s="182">
        <v>716.96</v>
      </c>
      <c r="AS953" s="182">
        <v>185.54</v>
      </c>
      <c r="AT953" s="182"/>
      <c r="AU953" s="182">
        <v>47.5</v>
      </c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182"/>
      <c r="BK953" s="182"/>
      <c r="BL953" s="182"/>
      <c r="BM953" s="182"/>
      <c r="BN953" s="182"/>
      <c r="BO953" s="182"/>
      <c r="BP953" s="182"/>
      <c r="BQ953" s="182"/>
      <c r="BR953" s="182"/>
      <c r="BS953" s="182"/>
      <c r="BT953" s="182"/>
      <c r="BU953" s="182"/>
      <c r="BV953" s="182"/>
      <c r="BW953" s="182"/>
      <c r="BX953" s="182"/>
      <c r="BY953" s="182"/>
      <c r="BZ953" s="182"/>
      <c r="CA953" s="182"/>
      <c r="CB953" s="185">
        <v>950</v>
      </c>
      <c r="CC953" s="185">
        <v>0</v>
      </c>
      <c r="CD953" s="185">
        <v>2304</v>
      </c>
      <c r="CE953" s="185"/>
    </row>
    <row r="954" spans="2:83" x14ac:dyDescent="0.3">
      <c r="B954" s="182"/>
      <c r="C954" s="182"/>
      <c r="D954" s="182"/>
      <c r="E954" s="181"/>
      <c r="F954" s="182"/>
      <c r="G954" s="182"/>
      <c r="H954" s="182"/>
      <c r="I954" s="182"/>
      <c r="J954" s="182"/>
      <c r="K954" s="182"/>
      <c r="L954" s="182"/>
      <c r="M954" s="182"/>
      <c r="N954" s="182"/>
      <c r="O954" s="182"/>
      <c r="P954" s="182"/>
      <c r="Q954" s="182"/>
      <c r="R954" s="182"/>
      <c r="S954" s="182"/>
      <c r="T954" s="182"/>
      <c r="U954" s="182"/>
      <c r="V954" s="182"/>
      <c r="W954" s="182"/>
      <c r="X954" s="182"/>
      <c r="Y954" s="182"/>
      <c r="Z954" s="182"/>
      <c r="AA954" s="182"/>
      <c r="AB954" s="182"/>
      <c r="AC954" s="182"/>
      <c r="AD954" s="182"/>
      <c r="AE954" s="182"/>
      <c r="AF954" s="182"/>
      <c r="AG954" s="182"/>
      <c r="AH954" s="182"/>
      <c r="AI954" s="182"/>
      <c r="AJ954" s="182"/>
      <c r="AK954" s="182"/>
      <c r="AL954" s="182"/>
      <c r="AM954" s="182"/>
      <c r="AN954" s="182"/>
      <c r="AO954" s="182"/>
      <c r="AP954" s="182"/>
      <c r="AQ954" s="185">
        <v>0</v>
      </c>
      <c r="AR954" s="182"/>
      <c r="AS954" s="182"/>
      <c r="AT954" s="182"/>
      <c r="AU954" s="182"/>
      <c r="AV954" s="182"/>
      <c r="AW954" s="182"/>
      <c r="AX954" s="182"/>
      <c r="AY954" s="182"/>
      <c r="AZ954" s="182"/>
      <c r="BA954" s="182"/>
      <c r="BB954" s="182"/>
      <c r="BC954" s="182"/>
      <c r="BD954" s="182"/>
      <c r="BE954" s="182"/>
      <c r="BF954" s="182"/>
      <c r="BG954" s="182"/>
      <c r="BH954" s="182"/>
      <c r="BI954" s="182"/>
      <c r="BJ954" s="182"/>
      <c r="BK954" s="182"/>
      <c r="BL954" s="182"/>
      <c r="BM954" s="182"/>
      <c r="BN954" s="182"/>
      <c r="BO954" s="182"/>
      <c r="BP954" s="182"/>
      <c r="BQ954" s="182"/>
      <c r="BR954" s="182"/>
      <c r="BS954" s="182"/>
      <c r="BT954" s="182"/>
      <c r="BU954" s="182"/>
      <c r="BV954" s="182"/>
      <c r="BW954" s="182"/>
      <c r="BX954" s="182"/>
      <c r="BY954" s="182"/>
      <c r="BZ954" s="182"/>
      <c r="CA954" s="182"/>
      <c r="CB954" s="185">
        <v>0</v>
      </c>
      <c r="CC954" s="185">
        <v>0</v>
      </c>
      <c r="CD954" s="185">
        <v>0</v>
      </c>
      <c r="CE954" s="185"/>
    </row>
    <row r="955" spans="2:83" x14ac:dyDescent="0.3">
      <c r="B955" s="182">
        <v>4170</v>
      </c>
      <c r="C955" s="182">
        <v>2306</v>
      </c>
      <c r="D955" s="182" t="s">
        <v>123</v>
      </c>
      <c r="E955" s="181" t="s">
        <v>4371</v>
      </c>
      <c r="F955" s="182"/>
      <c r="G955" s="182">
        <v>1350</v>
      </c>
      <c r="H955" s="182"/>
      <c r="I955" s="182"/>
      <c r="J955" s="182"/>
      <c r="K955" s="182"/>
      <c r="L955" s="182"/>
      <c r="M955" s="182"/>
      <c r="N955" s="182"/>
      <c r="O955" s="182"/>
      <c r="P955" s="182"/>
      <c r="Q955" s="182"/>
      <c r="R955" s="182"/>
      <c r="S955" s="182"/>
      <c r="T955" s="182"/>
      <c r="U955" s="182"/>
      <c r="V955" s="182"/>
      <c r="W955" s="182"/>
      <c r="X955" s="182"/>
      <c r="Y955" s="182"/>
      <c r="Z955" s="182"/>
      <c r="AA955" s="182"/>
      <c r="AB955" s="182"/>
      <c r="AC955" s="182"/>
      <c r="AD955" s="182"/>
      <c r="AE955" s="182"/>
      <c r="AF955" s="182"/>
      <c r="AG955" s="182"/>
      <c r="AH955" s="182"/>
      <c r="AI955" s="182"/>
      <c r="AJ955" s="182"/>
      <c r="AK955" s="182"/>
      <c r="AL955" s="182"/>
      <c r="AM955" s="182"/>
      <c r="AN955" s="182"/>
      <c r="AO955" s="182"/>
      <c r="AP955" s="182"/>
      <c r="AQ955" s="185">
        <v>1350</v>
      </c>
      <c r="AR955" s="182">
        <v>1019.12</v>
      </c>
      <c r="AS955" s="182">
        <v>263.38</v>
      </c>
      <c r="AT955" s="182"/>
      <c r="AU955" s="182">
        <v>67.5</v>
      </c>
      <c r="AV955" s="182"/>
      <c r="AW955" s="182"/>
      <c r="AX955" s="182"/>
      <c r="AY955" s="182"/>
      <c r="AZ955" s="182"/>
      <c r="BA955" s="182"/>
      <c r="BB955" s="182"/>
      <c r="BC955" s="182"/>
      <c r="BD955" s="182"/>
      <c r="BE955" s="182"/>
      <c r="BF955" s="182"/>
      <c r="BG955" s="182"/>
      <c r="BH955" s="182"/>
      <c r="BI955" s="182"/>
      <c r="BJ955" s="182"/>
      <c r="BK955" s="182"/>
      <c r="BL955" s="182"/>
      <c r="BM955" s="182"/>
      <c r="BN955" s="182"/>
      <c r="BO955" s="182"/>
      <c r="BP955" s="182"/>
      <c r="BQ955" s="182"/>
      <c r="BR955" s="182"/>
      <c r="BS955" s="182"/>
      <c r="BT955" s="182"/>
      <c r="BU955" s="182"/>
      <c r="BV955" s="182"/>
      <c r="BW955" s="182"/>
      <c r="BX955" s="182"/>
      <c r="BY955" s="182"/>
      <c r="BZ955" s="182"/>
      <c r="CA955" s="182"/>
      <c r="CB955" s="185">
        <v>1350</v>
      </c>
      <c r="CC955" s="185">
        <v>0</v>
      </c>
      <c r="CD955" s="185">
        <v>2306</v>
      </c>
      <c r="CE955" s="185"/>
    </row>
    <row r="956" spans="2:83" x14ac:dyDescent="0.3">
      <c r="B956" s="182">
        <v>4172</v>
      </c>
      <c r="C956" s="182">
        <v>2307</v>
      </c>
      <c r="D956" s="182" t="s">
        <v>123</v>
      </c>
      <c r="E956" s="181" t="s">
        <v>4371</v>
      </c>
      <c r="F956" s="182"/>
      <c r="G956" s="182">
        <v>550</v>
      </c>
      <c r="H956" s="182"/>
      <c r="I956" s="182"/>
      <c r="J956" s="182"/>
      <c r="K956" s="182"/>
      <c r="L956" s="182"/>
      <c r="M956" s="182"/>
      <c r="N956" s="182"/>
      <c r="O956" s="182"/>
      <c r="P956" s="182"/>
      <c r="Q956" s="182"/>
      <c r="R956" s="182"/>
      <c r="S956" s="182"/>
      <c r="T956" s="182"/>
      <c r="U956" s="182"/>
      <c r="V956" s="182"/>
      <c r="W956" s="182"/>
      <c r="X956" s="182"/>
      <c r="Y956" s="182"/>
      <c r="Z956" s="182"/>
      <c r="AA956" s="182"/>
      <c r="AB956" s="182"/>
      <c r="AC956" s="182"/>
      <c r="AD956" s="182"/>
      <c r="AE956" s="182"/>
      <c r="AF956" s="182"/>
      <c r="AG956" s="182"/>
      <c r="AH956" s="182"/>
      <c r="AI956" s="182"/>
      <c r="AJ956" s="182"/>
      <c r="AK956" s="182"/>
      <c r="AL956" s="182"/>
      <c r="AM956" s="182"/>
      <c r="AN956" s="182"/>
      <c r="AO956" s="182"/>
      <c r="AP956" s="182"/>
      <c r="AQ956" s="185">
        <v>550</v>
      </c>
      <c r="AR956" s="182">
        <v>441.15</v>
      </c>
      <c r="AS956" s="182">
        <v>81.349999999999994</v>
      </c>
      <c r="AT956" s="182"/>
      <c r="AU956" s="182">
        <v>27.5</v>
      </c>
      <c r="AV956" s="182"/>
      <c r="AW956" s="182"/>
      <c r="AX956" s="182"/>
      <c r="AY956" s="182"/>
      <c r="AZ956" s="182"/>
      <c r="BA956" s="182"/>
      <c r="BB956" s="182"/>
      <c r="BC956" s="182"/>
      <c r="BD956" s="182"/>
      <c r="BE956" s="182"/>
      <c r="BF956" s="182"/>
      <c r="BG956" s="182"/>
      <c r="BH956" s="182"/>
      <c r="BI956" s="182"/>
      <c r="BJ956" s="182"/>
      <c r="BK956" s="182"/>
      <c r="BL956" s="182"/>
      <c r="BM956" s="182"/>
      <c r="BN956" s="182"/>
      <c r="BO956" s="182"/>
      <c r="BP956" s="182"/>
      <c r="BQ956" s="182"/>
      <c r="BR956" s="182"/>
      <c r="BS956" s="182"/>
      <c r="BT956" s="182"/>
      <c r="BU956" s="182"/>
      <c r="BV956" s="182"/>
      <c r="BW956" s="182"/>
      <c r="BX956" s="182"/>
      <c r="BY956" s="182"/>
      <c r="BZ956" s="182"/>
      <c r="CA956" s="182"/>
      <c r="CB956" s="185">
        <v>550</v>
      </c>
      <c r="CC956" s="185">
        <v>0</v>
      </c>
      <c r="CD956" s="185">
        <v>2307</v>
      </c>
      <c r="CE956" s="185"/>
    </row>
    <row r="957" spans="2:83" x14ac:dyDescent="0.3">
      <c r="B957" s="182">
        <v>4173</v>
      </c>
      <c r="C957" s="182">
        <v>2308</v>
      </c>
      <c r="D957" s="182" t="s">
        <v>123</v>
      </c>
      <c r="E957" s="181" t="s">
        <v>4371</v>
      </c>
      <c r="F957" s="182"/>
      <c r="G957" s="182">
        <v>469</v>
      </c>
      <c r="H957" s="182"/>
      <c r="I957" s="182"/>
      <c r="J957" s="182"/>
      <c r="K957" s="182"/>
      <c r="L957" s="182"/>
      <c r="M957" s="182"/>
      <c r="N957" s="182"/>
      <c r="O957" s="182"/>
      <c r="P957" s="182"/>
      <c r="Q957" s="182"/>
      <c r="R957" s="182"/>
      <c r="S957" s="182"/>
      <c r="T957" s="182"/>
      <c r="U957" s="182"/>
      <c r="V957" s="182"/>
      <c r="W957" s="182"/>
      <c r="X957" s="182"/>
      <c r="Y957" s="182"/>
      <c r="Z957" s="182"/>
      <c r="AA957" s="182"/>
      <c r="AB957" s="182"/>
      <c r="AC957" s="182"/>
      <c r="AD957" s="182"/>
      <c r="AE957" s="182"/>
      <c r="AF957" s="182"/>
      <c r="AG957" s="182"/>
      <c r="AH957" s="182"/>
      <c r="AI957" s="182"/>
      <c r="AJ957" s="182"/>
      <c r="AK957" s="182"/>
      <c r="AL957" s="182"/>
      <c r="AM957" s="182"/>
      <c r="AN957" s="182"/>
      <c r="AO957" s="182"/>
      <c r="AP957" s="182"/>
      <c r="AQ957" s="185">
        <v>469</v>
      </c>
      <c r="AR957" s="182">
        <v>314</v>
      </c>
      <c r="AS957" s="182">
        <v>42</v>
      </c>
      <c r="AT957" s="182">
        <v>113</v>
      </c>
      <c r="AU957" s="182"/>
      <c r="AV957" s="182"/>
      <c r="AW957" s="182"/>
      <c r="AX957" s="182"/>
      <c r="AY957" s="182"/>
      <c r="AZ957" s="182"/>
      <c r="BA957" s="182"/>
      <c r="BB957" s="182"/>
      <c r="BC957" s="182"/>
      <c r="BD957" s="182"/>
      <c r="BE957" s="182"/>
      <c r="BF957" s="182"/>
      <c r="BG957" s="182"/>
      <c r="BH957" s="182"/>
      <c r="BI957" s="182"/>
      <c r="BJ957" s="182"/>
      <c r="BK957" s="182"/>
      <c r="BL957" s="182"/>
      <c r="BM957" s="182"/>
      <c r="BN957" s="182"/>
      <c r="BO957" s="182"/>
      <c r="BP957" s="182"/>
      <c r="BQ957" s="182"/>
      <c r="BR957" s="182"/>
      <c r="BS957" s="182"/>
      <c r="BT957" s="182"/>
      <c r="BU957" s="182"/>
      <c r="BV957" s="182"/>
      <c r="BW957" s="182"/>
      <c r="BX957" s="182"/>
      <c r="BY957" s="182"/>
      <c r="BZ957" s="182"/>
      <c r="CA957" s="182"/>
      <c r="CB957" s="185">
        <v>469</v>
      </c>
      <c r="CC957" s="185">
        <v>0</v>
      </c>
      <c r="CD957" s="185">
        <v>2308</v>
      </c>
      <c r="CE957" s="185"/>
    </row>
    <row r="958" spans="2:83" x14ac:dyDescent="0.3">
      <c r="B958" s="182">
        <v>4176</v>
      </c>
      <c r="C958" s="182">
        <v>2309</v>
      </c>
      <c r="D958" s="182" t="s">
        <v>123</v>
      </c>
      <c r="E958" s="181" t="s">
        <v>4371</v>
      </c>
      <c r="F958" s="182"/>
      <c r="G958" s="182">
        <v>1971.5</v>
      </c>
      <c r="H958" s="182"/>
      <c r="I958" s="182"/>
      <c r="J958" s="182"/>
      <c r="K958" s="182"/>
      <c r="L958" s="182"/>
      <c r="M958" s="182"/>
      <c r="N958" s="182"/>
      <c r="O958" s="182"/>
      <c r="P958" s="182"/>
      <c r="Q958" s="182"/>
      <c r="R958" s="182"/>
      <c r="S958" s="182"/>
      <c r="T958" s="182"/>
      <c r="U958" s="182"/>
      <c r="V958" s="182"/>
      <c r="W958" s="182"/>
      <c r="X958" s="182"/>
      <c r="Y958" s="182"/>
      <c r="Z958" s="182"/>
      <c r="AA958" s="182"/>
      <c r="AB958" s="182"/>
      <c r="AC958" s="182"/>
      <c r="AD958" s="182"/>
      <c r="AE958" s="182"/>
      <c r="AF958" s="182"/>
      <c r="AG958" s="182"/>
      <c r="AH958" s="182"/>
      <c r="AI958" s="182"/>
      <c r="AJ958" s="182"/>
      <c r="AK958" s="182"/>
      <c r="AL958" s="182"/>
      <c r="AM958" s="182"/>
      <c r="AN958" s="182"/>
      <c r="AO958" s="182"/>
      <c r="AP958" s="182"/>
      <c r="AQ958" s="185">
        <v>1971.5</v>
      </c>
      <c r="AR958" s="182">
        <v>1437.04</v>
      </c>
      <c r="AS958" s="182">
        <v>312.95999999999998</v>
      </c>
      <c r="AT958" s="182">
        <v>126.5</v>
      </c>
      <c r="AU958" s="182">
        <v>95</v>
      </c>
      <c r="AV958" s="182"/>
      <c r="AW958" s="182"/>
      <c r="AX958" s="182"/>
      <c r="AY958" s="182"/>
      <c r="AZ958" s="182"/>
      <c r="BA958" s="182"/>
      <c r="BB958" s="182"/>
      <c r="BC958" s="182"/>
      <c r="BD958" s="182"/>
      <c r="BE958" s="182"/>
      <c r="BF958" s="182"/>
      <c r="BG958" s="182"/>
      <c r="BH958" s="182"/>
      <c r="BI958" s="182"/>
      <c r="BJ958" s="182"/>
      <c r="BK958" s="182"/>
      <c r="BL958" s="182"/>
      <c r="BM958" s="182"/>
      <c r="BN958" s="182"/>
      <c r="BO958" s="182"/>
      <c r="BP958" s="182"/>
      <c r="BQ958" s="182"/>
      <c r="BR958" s="182"/>
      <c r="BS958" s="182"/>
      <c r="BT958" s="182"/>
      <c r="BU958" s="182"/>
      <c r="BV958" s="182"/>
      <c r="BW958" s="182"/>
      <c r="BX958" s="182"/>
      <c r="BY958" s="182"/>
      <c r="BZ958" s="182"/>
      <c r="CA958" s="182"/>
      <c r="CB958" s="185">
        <v>1971.5</v>
      </c>
      <c r="CC958" s="185">
        <v>0</v>
      </c>
      <c r="CD958" s="185">
        <v>2309</v>
      </c>
      <c r="CE958" s="185"/>
    </row>
    <row r="959" spans="2:83" x14ac:dyDescent="0.3">
      <c r="B959" s="182">
        <v>4177</v>
      </c>
      <c r="C959" s="182">
        <v>2310</v>
      </c>
      <c r="D959" s="182" t="s">
        <v>123</v>
      </c>
      <c r="E959" s="181" t="s">
        <v>4371</v>
      </c>
      <c r="F959" s="182"/>
      <c r="G959" s="182">
        <v>469</v>
      </c>
      <c r="H959" s="182"/>
      <c r="I959" s="182"/>
      <c r="J959" s="182"/>
      <c r="K959" s="182"/>
      <c r="L959" s="182"/>
      <c r="M959" s="182"/>
      <c r="N959" s="182"/>
      <c r="O959" s="182"/>
      <c r="P959" s="182"/>
      <c r="Q959" s="182"/>
      <c r="R959" s="182"/>
      <c r="S959" s="182"/>
      <c r="T959" s="182"/>
      <c r="U959" s="182"/>
      <c r="V959" s="182"/>
      <c r="W959" s="182"/>
      <c r="X959" s="182"/>
      <c r="Y959" s="182"/>
      <c r="Z959" s="182"/>
      <c r="AA959" s="182"/>
      <c r="AB959" s="182"/>
      <c r="AC959" s="182"/>
      <c r="AD959" s="182"/>
      <c r="AE959" s="182"/>
      <c r="AF959" s="182"/>
      <c r="AG959" s="182"/>
      <c r="AH959" s="182"/>
      <c r="AI959" s="182"/>
      <c r="AJ959" s="182"/>
      <c r="AK959" s="182"/>
      <c r="AL959" s="182"/>
      <c r="AM959" s="182"/>
      <c r="AN959" s="182"/>
      <c r="AO959" s="182"/>
      <c r="AP959" s="182"/>
      <c r="AQ959" s="185">
        <v>469</v>
      </c>
      <c r="AR959" s="182">
        <v>314</v>
      </c>
      <c r="AS959" s="182">
        <v>42</v>
      </c>
      <c r="AT959" s="182">
        <v>113</v>
      </c>
      <c r="AU959" s="182"/>
      <c r="AV959" s="182"/>
      <c r="AW959" s="182"/>
      <c r="AX959" s="182"/>
      <c r="AY959" s="182"/>
      <c r="AZ959" s="182"/>
      <c r="BA959" s="182"/>
      <c r="BB959" s="182"/>
      <c r="BC959" s="182"/>
      <c r="BD959" s="182"/>
      <c r="BE959" s="182"/>
      <c r="BF959" s="182"/>
      <c r="BG959" s="182"/>
      <c r="BH959" s="182"/>
      <c r="BI959" s="182"/>
      <c r="BJ959" s="182"/>
      <c r="BK959" s="182"/>
      <c r="BL959" s="182"/>
      <c r="BM959" s="182"/>
      <c r="BN959" s="182"/>
      <c r="BO959" s="182"/>
      <c r="BP959" s="182"/>
      <c r="BQ959" s="182"/>
      <c r="BR959" s="182"/>
      <c r="BS959" s="182"/>
      <c r="BT959" s="182"/>
      <c r="BU959" s="182"/>
      <c r="BV959" s="182"/>
      <c r="BW959" s="182"/>
      <c r="BX959" s="182"/>
      <c r="BY959" s="182"/>
      <c r="BZ959" s="182"/>
      <c r="CA959" s="182"/>
      <c r="CB959" s="185">
        <v>469</v>
      </c>
      <c r="CC959" s="185">
        <v>0</v>
      </c>
      <c r="CD959" s="185">
        <v>2310</v>
      </c>
      <c r="CE959" s="185"/>
    </row>
    <row r="960" spans="2:83" x14ac:dyDescent="0.3">
      <c r="B960" s="182">
        <v>4107</v>
      </c>
      <c r="C960" s="182">
        <v>2311</v>
      </c>
      <c r="D960" s="182" t="s">
        <v>123</v>
      </c>
      <c r="E960" s="181" t="s">
        <v>4372</v>
      </c>
      <c r="F960" s="182"/>
      <c r="G960" s="182">
        <v>1250</v>
      </c>
      <c r="H960" s="182"/>
      <c r="I960" s="182"/>
      <c r="J960" s="182"/>
      <c r="K960" s="182"/>
      <c r="L960" s="182"/>
      <c r="M960" s="182"/>
      <c r="N960" s="182"/>
      <c r="O960" s="182"/>
      <c r="P960" s="182"/>
      <c r="Q960" s="182"/>
      <c r="R960" s="182"/>
      <c r="S960" s="182"/>
      <c r="T960" s="182"/>
      <c r="U960" s="182"/>
      <c r="V960" s="182"/>
      <c r="W960" s="182"/>
      <c r="X960" s="182"/>
      <c r="Y960" s="182"/>
      <c r="Z960" s="182"/>
      <c r="AA960" s="182"/>
      <c r="AB960" s="182"/>
      <c r="AC960" s="182"/>
      <c r="AD960" s="182"/>
      <c r="AE960" s="182"/>
      <c r="AF960" s="182"/>
      <c r="AG960" s="182"/>
      <c r="AH960" s="182"/>
      <c r="AI960" s="182"/>
      <c r="AJ960" s="182"/>
      <c r="AK960" s="182"/>
      <c r="AL960" s="182"/>
      <c r="AM960" s="182"/>
      <c r="AN960" s="182"/>
      <c r="AO960" s="182"/>
      <c r="AP960" s="182"/>
      <c r="AQ960" s="185">
        <v>1250</v>
      </c>
      <c r="AR960" s="182">
        <v>942.8</v>
      </c>
      <c r="AS960" s="182">
        <v>244.7</v>
      </c>
      <c r="AT960" s="182"/>
      <c r="AU960" s="182">
        <v>62.5</v>
      </c>
      <c r="AV960" s="182"/>
      <c r="AW960" s="182"/>
      <c r="AX960" s="182"/>
      <c r="AY960" s="182"/>
      <c r="AZ960" s="182"/>
      <c r="BA960" s="182"/>
      <c r="BB960" s="182"/>
      <c r="BC960" s="182"/>
      <c r="BD960" s="182"/>
      <c r="BE960" s="182"/>
      <c r="BF960" s="182"/>
      <c r="BG960" s="182"/>
      <c r="BH960" s="182"/>
      <c r="BI960" s="182"/>
      <c r="BJ960" s="182"/>
      <c r="BK960" s="182"/>
      <c r="BL960" s="182"/>
      <c r="BM960" s="182"/>
      <c r="BN960" s="182"/>
      <c r="BO960" s="182"/>
      <c r="BP960" s="182"/>
      <c r="BQ960" s="182"/>
      <c r="BR960" s="182"/>
      <c r="BS960" s="182"/>
      <c r="BT960" s="182"/>
      <c r="BU960" s="182"/>
      <c r="BV960" s="182"/>
      <c r="BW960" s="182"/>
      <c r="BX960" s="182"/>
      <c r="BY960" s="182"/>
      <c r="BZ960" s="182"/>
      <c r="CA960" s="182"/>
      <c r="CB960" s="185">
        <v>1250</v>
      </c>
      <c r="CC960" s="185">
        <v>0</v>
      </c>
      <c r="CD960" s="185">
        <v>2311</v>
      </c>
      <c r="CE960" s="185"/>
    </row>
    <row r="961" spans="2:83" x14ac:dyDescent="0.3">
      <c r="B961" s="182">
        <v>4110</v>
      </c>
      <c r="C961" s="182">
        <v>2312</v>
      </c>
      <c r="D961" s="182" t="s">
        <v>123</v>
      </c>
      <c r="E961" s="181" t="s">
        <v>4372</v>
      </c>
      <c r="F961" s="182"/>
      <c r="G961" s="182">
        <v>2500</v>
      </c>
      <c r="H961" s="182"/>
      <c r="I961" s="182"/>
      <c r="J961" s="182"/>
      <c r="K961" s="182"/>
      <c r="L961" s="182"/>
      <c r="M961" s="182"/>
      <c r="N961" s="182"/>
      <c r="O961" s="182"/>
      <c r="P961" s="182"/>
      <c r="Q961" s="182"/>
      <c r="R961" s="182"/>
      <c r="S961" s="182"/>
      <c r="T961" s="182"/>
      <c r="U961" s="182"/>
      <c r="V961" s="182"/>
      <c r="W961" s="182"/>
      <c r="X961" s="182"/>
      <c r="Y961" s="182"/>
      <c r="Z961" s="182"/>
      <c r="AA961" s="182"/>
      <c r="AB961" s="182"/>
      <c r="AC961" s="182"/>
      <c r="AD961" s="182"/>
      <c r="AE961" s="182"/>
      <c r="AF961" s="182"/>
      <c r="AG961" s="182"/>
      <c r="AH961" s="182"/>
      <c r="AI961" s="182"/>
      <c r="AJ961" s="182"/>
      <c r="AK961" s="182"/>
      <c r="AL961" s="182"/>
      <c r="AM961" s="182"/>
      <c r="AN961" s="182"/>
      <c r="AO961" s="182"/>
      <c r="AP961" s="182"/>
      <c r="AQ961" s="185">
        <v>2500</v>
      </c>
      <c r="AR961" s="182">
        <v>1910.12</v>
      </c>
      <c r="AS961" s="182">
        <v>464.88</v>
      </c>
      <c r="AT961" s="182"/>
      <c r="AU961" s="182">
        <v>125</v>
      </c>
      <c r="AV961" s="182"/>
      <c r="AW961" s="182"/>
      <c r="AX961" s="182"/>
      <c r="AY961" s="182"/>
      <c r="AZ961" s="182"/>
      <c r="BA961" s="182"/>
      <c r="BB961" s="182"/>
      <c r="BC961" s="182"/>
      <c r="BD961" s="182"/>
      <c r="BE961" s="182"/>
      <c r="BF961" s="182"/>
      <c r="BG961" s="182"/>
      <c r="BH961" s="182"/>
      <c r="BI961" s="182"/>
      <c r="BJ961" s="182"/>
      <c r="BK961" s="182"/>
      <c r="BL961" s="182"/>
      <c r="BM961" s="182"/>
      <c r="BN961" s="182"/>
      <c r="BO961" s="182"/>
      <c r="BP961" s="182"/>
      <c r="BQ961" s="182"/>
      <c r="BR961" s="182"/>
      <c r="BS961" s="182"/>
      <c r="BT961" s="182"/>
      <c r="BU961" s="182"/>
      <c r="BV961" s="182"/>
      <c r="BW961" s="182"/>
      <c r="BX961" s="182"/>
      <c r="BY961" s="182"/>
      <c r="BZ961" s="182"/>
      <c r="CA961" s="182"/>
      <c r="CB961" s="185">
        <v>2500</v>
      </c>
      <c r="CC961" s="185">
        <v>0</v>
      </c>
      <c r="CD961" s="185">
        <v>2312</v>
      </c>
      <c r="CE961" s="185"/>
    </row>
    <row r="962" spans="2:83" x14ac:dyDescent="0.3">
      <c r="B962" s="182">
        <v>4112</v>
      </c>
      <c r="C962" s="182">
        <v>2313</v>
      </c>
      <c r="D962" s="182" t="s">
        <v>123</v>
      </c>
      <c r="E962" s="181" t="s">
        <v>4371</v>
      </c>
      <c r="F962" s="182"/>
      <c r="G962" s="182">
        <v>400</v>
      </c>
      <c r="H962" s="182"/>
      <c r="I962" s="182"/>
      <c r="J962" s="182"/>
      <c r="K962" s="182"/>
      <c r="L962" s="182"/>
      <c r="M962" s="182"/>
      <c r="N962" s="182"/>
      <c r="O962" s="182"/>
      <c r="P962" s="182"/>
      <c r="Q962" s="182"/>
      <c r="R962" s="182"/>
      <c r="S962" s="182"/>
      <c r="T962" s="182"/>
      <c r="U962" s="182"/>
      <c r="V962" s="182"/>
      <c r="W962" s="182"/>
      <c r="X962" s="182"/>
      <c r="Y962" s="182"/>
      <c r="Z962" s="182"/>
      <c r="AA962" s="182"/>
      <c r="AB962" s="182"/>
      <c r="AC962" s="182"/>
      <c r="AD962" s="182"/>
      <c r="AE962" s="182"/>
      <c r="AF962" s="182"/>
      <c r="AG962" s="182"/>
      <c r="AH962" s="182"/>
      <c r="AI962" s="182"/>
      <c r="AJ962" s="182"/>
      <c r="AK962" s="182"/>
      <c r="AL962" s="182"/>
      <c r="AM962" s="182"/>
      <c r="AN962" s="182"/>
      <c r="AO962" s="182"/>
      <c r="AP962" s="182"/>
      <c r="AQ962" s="185">
        <v>400</v>
      </c>
      <c r="AR962" s="182">
        <v>302.16000000000003</v>
      </c>
      <c r="AS962" s="182">
        <v>77.84</v>
      </c>
      <c r="AT962" s="182"/>
      <c r="AU962" s="182">
        <v>20</v>
      </c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182"/>
      <c r="BK962" s="182"/>
      <c r="BL962" s="182"/>
      <c r="BM962" s="182"/>
      <c r="BN962" s="182"/>
      <c r="BO962" s="182"/>
      <c r="BP962" s="182"/>
      <c r="BQ962" s="182"/>
      <c r="BR962" s="182"/>
      <c r="BS962" s="182"/>
      <c r="BT962" s="182"/>
      <c r="BU962" s="182"/>
      <c r="BV962" s="182"/>
      <c r="BW962" s="182"/>
      <c r="BX962" s="182"/>
      <c r="BY962" s="182"/>
      <c r="BZ962" s="182"/>
      <c r="CA962" s="182"/>
      <c r="CB962" s="185">
        <v>400</v>
      </c>
      <c r="CC962" s="185">
        <v>0</v>
      </c>
      <c r="CD962" s="185">
        <v>2313</v>
      </c>
      <c r="CE962" s="185"/>
    </row>
    <row r="963" spans="2:83" x14ac:dyDescent="0.3">
      <c r="B963" s="182">
        <v>4113</v>
      </c>
      <c r="C963" s="182">
        <v>2314</v>
      </c>
      <c r="D963" s="182" t="s">
        <v>123</v>
      </c>
      <c r="E963" s="181" t="s">
        <v>4371</v>
      </c>
      <c r="F963" s="182"/>
      <c r="G963" s="182">
        <v>1499.98</v>
      </c>
      <c r="H963" s="182"/>
      <c r="I963" s="182"/>
      <c r="J963" s="182"/>
      <c r="K963" s="182"/>
      <c r="L963" s="182"/>
      <c r="M963" s="182"/>
      <c r="N963" s="182"/>
      <c r="O963" s="182"/>
      <c r="P963" s="182"/>
      <c r="Q963" s="182"/>
      <c r="R963" s="182"/>
      <c r="S963" s="182"/>
      <c r="T963" s="182"/>
      <c r="U963" s="182"/>
      <c r="V963" s="182"/>
      <c r="W963" s="182"/>
      <c r="X963" s="182"/>
      <c r="Y963" s="182"/>
      <c r="Z963" s="182"/>
      <c r="AA963" s="182"/>
      <c r="AB963" s="182"/>
      <c r="AC963" s="182"/>
      <c r="AD963" s="182"/>
      <c r="AE963" s="182"/>
      <c r="AF963" s="182"/>
      <c r="AG963" s="182"/>
      <c r="AH963" s="182"/>
      <c r="AI963" s="182"/>
      <c r="AJ963" s="182"/>
      <c r="AK963" s="182"/>
      <c r="AL963" s="182"/>
      <c r="AM963" s="182"/>
      <c r="AN963" s="182"/>
      <c r="AO963" s="182"/>
      <c r="AP963" s="182"/>
      <c r="AQ963" s="185">
        <v>1499.98</v>
      </c>
      <c r="AR963" s="182">
        <v>1149.9000000000001</v>
      </c>
      <c r="AS963" s="182">
        <v>275.08999999999997</v>
      </c>
      <c r="AT963" s="182"/>
      <c r="AU963" s="182">
        <v>74.989999999999995</v>
      </c>
      <c r="AV963" s="182"/>
      <c r="AW963" s="182"/>
      <c r="AX963" s="182"/>
      <c r="AY963" s="182"/>
      <c r="AZ963" s="182"/>
      <c r="BA963" s="182"/>
      <c r="BB963" s="182"/>
      <c r="BC963" s="182"/>
      <c r="BD963" s="182"/>
      <c r="BE963" s="182"/>
      <c r="BF963" s="182"/>
      <c r="BG963" s="182"/>
      <c r="BH963" s="182"/>
      <c r="BI963" s="182"/>
      <c r="BJ963" s="182"/>
      <c r="BK963" s="182"/>
      <c r="BL963" s="182"/>
      <c r="BM963" s="182"/>
      <c r="BN963" s="182"/>
      <c r="BO963" s="182"/>
      <c r="BP963" s="182"/>
      <c r="BQ963" s="182"/>
      <c r="BR963" s="182"/>
      <c r="BS963" s="182"/>
      <c r="BT963" s="182"/>
      <c r="BU963" s="182"/>
      <c r="BV963" s="182"/>
      <c r="BW963" s="182"/>
      <c r="BX963" s="182"/>
      <c r="BY963" s="182"/>
      <c r="BZ963" s="182"/>
      <c r="CA963" s="182"/>
      <c r="CB963" s="185">
        <v>1499.98</v>
      </c>
      <c r="CC963" s="185">
        <v>0</v>
      </c>
      <c r="CD963" s="185">
        <v>2314</v>
      </c>
      <c r="CE963" s="185"/>
    </row>
    <row r="964" spans="2:83" x14ac:dyDescent="0.3">
      <c r="B964" s="182">
        <v>4117</v>
      </c>
      <c r="C964" s="182">
        <v>2315</v>
      </c>
      <c r="D964" s="182" t="s">
        <v>123</v>
      </c>
      <c r="E964" s="181" t="s">
        <v>4372</v>
      </c>
      <c r="F964" s="182"/>
      <c r="G964" s="182">
        <v>3250</v>
      </c>
      <c r="H964" s="182"/>
      <c r="I964" s="182"/>
      <c r="J964" s="182"/>
      <c r="K964" s="182"/>
      <c r="L964" s="182"/>
      <c r="M964" s="182"/>
      <c r="N964" s="182"/>
      <c r="O964" s="182"/>
      <c r="P964" s="182"/>
      <c r="Q964" s="182"/>
      <c r="R964" s="182"/>
      <c r="S964" s="182"/>
      <c r="T964" s="182"/>
      <c r="U964" s="182"/>
      <c r="V964" s="182"/>
      <c r="W964" s="182"/>
      <c r="X964" s="182"/>
      <c r="Y964" s="182"/>
      <c r="Z964" s="182"/>
      <c r="AA964" s="182"/>
      <c r="AB964" s="182"/>
      <c r="AC964" s="182"/>
      <c r="AD964" s="182"/>
      <c r="AE964" s="182"/>
      <c r="AF964" s="182"/>
      <c r="AG964" s="182"/>
      <c r="AH964" s="182"/>
      <c r="AI964" s="182"/>
      <c r="AJ964" s="182"/>
      <c r="AK964" s="182"/>
      <c r="AL964" s="182"/>
      <c r="AM964" s="182"/>
      <c r="AN964" s="182"/>
      <c r="AO964" s="182"/>
      <c r="AP964" s="182"/>
      <c r="AQ964" s="185">
        <v>3250</v>
      </c>
      <c r="AR964" s="182">
        <v>2451.6799999999998</v>
      </c>
      <c r="AS964" s="182">
        <v>635.82000000000005</v>
      </c>
      <c r="AT964" s="182"/>
      <c r="AU964" s="182">
        <v>162.5</v>
      </c>
      <c r="AV964" s="182"/>
      <c r="AW964" s="182"/>
      <c r="AX964" s="182"/>
      <c r="AY964" s="182"/>
      <c r="AZ964" s="182"/>
      <c r="BA964" s="182"/>
      <c r="BB964" s="182"/>
      <c r="BC964" s="182"/>
      <c r="BD964" s="182"/>
      <c r="BE964" s="182"/>
      <c r="BF964" s="182"/>
      <c r="BG964" s="182"/>
      <c r="BH964" s="182"/>
      <c r="BI964" s="182"/>
      <c r="BJ964" s="182"/>
      <c r="BK964" s="182"/>
      <c r="BL964" s="182"/>
      <c r="BM964" s="182"/>
      <c r="BN964" s="182"/>
      <c r="BO964" s="182"/>
      <c r="BP964" s="182"/>
      <c r="BQ964" s="182"/>
      <c r="BR964" s="182"/>
      <c r="BS964" s="182"/>
      <c r="BT964" s="182"/>
      <c r="BU964" s="182"/>
      <c r="BV964" s="182"/>
      <c r="BW964" s="182"/>
      <c r="BX964" s="182"/>
      <c r="BY964" s="182"/>
      <c r="BZ964" s="182"/>
      <c r="CA964" s="182"/>
      <c r="CB964" s="185">
        <v>3250</v>
      </c>
      <c r="CC964" s="185">
        <v>0</v>
      </c>
      <c r="CD964" s="185">
        <v>2315</v>
      </c>
      <c r="CE964" s="185"/>
    </row>
    <row r="965" spans="2:83" x14ac:dyDescent="0.3">
      <c r="B965" s="182">
        <v>4118</v>
      </c>
      <c r="C965" s="182">
        <v>2316</v>
      </c>
      <c r="D965" s="182" t="s">
        <v>123</v>
      </c>
      <c r="E965" s="181" t="s">
        <v>4372</v>
      </c>
      <c r="F965" s="182"/>
      <c r="G965" s="182">
        <v>1750</v>
      </c>
      <c r="H965" s="182"/>
      <c r="I965" s="182"/>
      <c r="J965" s="182"/>
      <c r="K965" s="182"/>
      <c r="L965" s="182"/>
      <c r="M965" s="182"/>
      <c r="N965" s="182"/>
      <c r="O965" s="182"/>
      <c r="P965" s="182"/>
      <c r="Q965" s="182"/>
      <c r="R965" s="182"/>
      <c r="S965" s="182"/>
      <c r="T965" s="182"/>
      <c r="U965" s="182"/>
      <c r="V965" s="182"/>
      <c r="W965" s="182"/>
      <c r="X965" s="182"/>
      <c r="Y965" s="182"/>
      <c r="Z965" s="182"/>
      <c r="AA965" s="182"/>
      <c r="AB965" s="182"/>
      <c r="AC965" s="182"/>
      <c r="AD965" s="182"/>
      <c r="AE965" s="182"/>
      <c r="AF965" s="182"/>
      <c r="AG965" s="182"/>
      <c r="AH965" s="182"/>
      <c r="AI965" s="182"/>
      <c r="AJ965" s="182"/>
      <c r="AK965" s="182"/>
      <c r="AL965" s="182"/>
      <c r="AM965" s="182"/>
      <c r="AN965" s="182"/>
      <c r="AO965" s="182"/>
      <c r="AP965" s="182"/>
      <c r="AQ965" s="185">
        <v>1750</v>
      </c>
      <c r="AR965" s="182">
        <v>1564.2</v>
      </c>
      <c r="AS965" s="182">
        <v>185.8</v>
      </c>
      <c r="AT965" s="182"/>
      <c r="AU965" s="182"/>
      <c r="AV965" s="182"/>
      <c r="AW965" s="182"/>
      <c r="AX965" s="182"/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/>
      <c r="BJ965" s="182"/>
      <c r="BK965" s="182"/>
      <c r="BL965" s="182"/>
      <c r="BM965" s="182"/>
      <c r="BN965" s="182"/>
      <c r="BO965" s="182"/>
      <c r="BP965" s="182"/>
      <c r="BQ965" s="182"/>
      <c r="BR965" s="182"/>
      <c r="BS965" s="182"/>
      <c r="BT965" s="182"/>
      <c r="BU965" s="182"/>
      <c r="BV965" s="182"/>
      <c r="BW965" s="182"/>
      <c r="BX965" s="182"/>
      <c r="BY965" s="182"/>
      <c r="BZ965" s="182"/>
      <c r="CA965" s="182"/>
      <c r="CB965" s="185">
        <v>1750</v>
      </c>
      <c r="CC965" s="185">
        <v>0</v>
      </c>
      <c r="CD965" s="185">
        <v>2316</v>
      </c>
      <c r="CE965" s="185"/>
    </row>
    <row r="966" spans="2:83" x14ac:dyDescent="0.3">
      <c r="B966" s="182">
        <v>4119</v>
      </c>
      <c r="C966" s="182">
        <v>2317</v>
      </c>
      <c r="D966" s="182" t="s">
        <v>123</v>
      </c>
      <c r="E966" s="181" t="s">
        <v>4372</v>
      </c>
      <c r="F966" s="182"/>
      <c r="G966" s="182">
        <v>1250</v>
      </c>
      <c r="H966" s="182"/>
      <c r="I966" s="182"/>
      <c r="J966" s="182"/>
      <c r="K966" s="182"/>
      <c r="L966" s="182"/>
      <c r="M966" s="182"/>
      <c r="N966" s="182"/>
      <c r="O966" s="182"/>
      <c r="P966" s="182"/>
      <c r="Q966" s="182"/>
      <c r="R966" s="182"/>
      <c r="S966" s="182"/>
      <c r="T966" s="182"/>
      <c r="U966" s="182"/>
      <c r="V966" s="182"/>
      <c r="W966" s="182"/>
      <c r="X966" s="182"/>
      <c r="Y966" s="182"/>
      <c r="Z966" s="182"/>
      <c r="AA966" s="182"/>
      <c r="AB966" s="182"/>
      <c r="AC966" s="182"/>
      <c r="AD966" s="182"/>
      <c r="AE966" s="182"/>
      <c r="AF966" s="182"/>
      <c r="AG966" s="182"/>
      <c r="AH966" s="182"/>
      <c r="AI966" s="182"/>
      <c r="AJ966" s="182"/>
      <c r="AK966" s="182"/>
      <c r="AL966" s="182"/>
      <c r="AM966" s="182"/>
      <c r="AN966" s="182"/>
      <c r="AO966" s="182"/>
      <c r="AP966" s="182"/>
      <c r="AQ966" s="185">
        <v>1250</v>
      </c>
      <c r="AR966" s="182">
        <v>1117.1500000000001</v>
      </c>
      <c r="AS966" s="182">
        <v>132.85</v>
      </c>
      <c r="AT966" s="182"/>
      <c r="AU966" s="182"/>
      <c r="AV966" s="182"/>
      <c r="AW966" s="182"/>
      <c r="AX966" s="182"/>
      <c r="AY966" s="182"/>
      <c r="AZ966" s="182"/>
      <c r="BA966" s="182"/>
      <c r="BB966" s="182"/>
      <c r="BC966" s="182"/>
      <c r="BD966" s="182"/>
      <c r="BE966" s="182"/>
      <c r="BF966" s="182"/>
      <c r="BG966" s="182"/>
      <c r="BH966" s="182"/>
      <c r="BI966" s="182"/>
      <c r="BJ966" s="182"/>
      <c r="BK966" s="182"/>
      <c r="BL966" s="182"/>
      <c r="BM966" s="182"/>
      <c r="BN966" s="182"/>
      <c r="BO966" s="182"/>
      <c r="BP966" s="182"/>
      <c r="BQ966" s="182"/>
      <c r="BR966" s="182"/>
      <c r="BS966" s="182"/>
      <c r="BT966" s="182"/>
      <c r="BU966" s="182"/>
      <c r="BV966" s="182"/>
      <c r="BW966" s="182"/>
      <c r="BX966" s="182"/>
      <c r="BY966" s="182"/>
      <c r="BZ966" s="182"/>
      <c r="CA966" s="182"/>
      <c r="CB966" s="185">
        <v>1250</v>
      </c>
      <c r="CC966" s="185">
        <v>0</v>
      </c>
      <c r="CD966" s="185">
        <v>2317</v>
      </c>
      <c r="CE966" s="185"/>
    </row>
    <row r="967" spans="2:83" x14ac:dyDescent="0.3">
      <c r="B967" s="182">
        <v>4152</v>
      </c>
      <c r="C967" s="182">
        <v>2318</v>
      </c>
      <c r="D967" s="182" t="s">
        <v>123</v>
      </c>
      <c r="E967" s="181" t="s">
        <v>4371</v>
      </c>
      <c r="F967" s="182"/>
      <c r="G967" s="182">
        <v>469</v>
      </c>
      <c r="H967" s="182"/>
      <c r="I967" s="182"/>
      <c r="J967" s="182"/>
      <c r="K967" s="182"/>
      <c r="L967" s="182"/>
      <c r="M967" s="182"/>
      <c r="N967" s="182"/>
      <c r="O967" s="182"/>
      <c r="P967" s="182"/>
      <c r="Q967" s="182"/>
      <c r="R967" s="182"/>
      <c r="S967" s="182"/>
      <c r="T967" s="182"/>
      <c r="U967" s="182"/>
      <c r="V967" s="182"/>
      <c r="W967" s="182"/>
      <c r="X967" s="182"/>
      <c r="Y967" s="182"/>
      <c r="Z967" s="182"/>
      <c r="AA967" s="182"/>
      <c r="AB967" s="182"/>
      <c r="AC967" s="182"/>
      <c r="AD967" s="182"/>
      <c r="AE967" s="182"/>
      <c r="AF967" s="182"/>
      <c r="AG967" s="182"/>
      <c r="AH967" s="182"/>
      <c r="AI967" s="182"/>
      <c r="AJ967" s="182"/>
      <c r="AK967" s="182"/>
      <c r="AL967" s="182"/>
      <c r="AM967" s="182"/>
      <c r="AN967" s="182"/>
      <c r="AO967" s="182"/>
      <c r="AP967" s="182"/>
      <c r="AQ967" s="185">
        <v>469</v>
      </c>
      <c r="AR967" s="182">
        <v>313.7</v>
      </c>
      <c r="AS967" s="182">
        <v>42.3</v>
      </c>
      <c r="AT967" s="182">
        <v>113</v>
      </c>
      <c r="AU967" s="182"/>
      <c r="AV967" s="182"/>
      <c r="AW967" s="182"/>
      <c r="AX967" s="182"/>
      <c r="AY967" s="182"/>
      <c r="AZ967" s="182"/>
      <c r="BA967" s="182"/>
      <c r="BB967" s="182"/>
      <c r="BC967" s="182"/>
      <c r="BD967" s="182"/>
      <c r="BE967" s="182"/>
      <c r="BF967" s="182"/>
      <c r="BG967" s="182"/>
      <c r="BH967" s="182"/>
      <c r="BI967" s="182"/>
      <c r="BJ967" s="182"/>
      <c r="BK967" s="182"/>
      <c r="BL967" s="182"/>
      <c r="BM967" s="182"/>
      <c r="BN967" s="182"/>
      <c r="BO967" s="182"/>
      <c r="BP967" s="182"/>
      <c r="BQ967" s="182"/>
      <c r="BR967" s="182"/>
      <c r="BS967" s="182"/>
      <c r="BT967" s="182"/>
      <c r="BU967" s="182"/>
      <c r="BV967" s="182"/>
      <c r="BW967" s="182"/>
      <c r="BX967" s="182"/>
      <c r="BY967" s="182"/>
      <c r="BZ967" s="182"/>
      <c r="CA967" s="182"/>
      <c r="CB967" s="185">
        <v>469</v>
      </c>
      <c r="CC967" s="185">
        <v>0</v>
      </c>
      <c r="CD967" s="185">
        <v>2318</v>
      </c>
      <c r="CE967" s="185"/>
    </row>
    <row r="968" spans="2:83" x14ac:dyDescent="0.3">
      <c r="B968" s="182">
        <v>4149</v>
      </c>
      <c r="C968" s="182">
        <v>2319</v>
      </c>
      <c r="D968" s="182" t="s">
        <v>123</v>
      </c>
      <c r="E968" s="181" t="s">
        <v>4371</v>
      </c>
      <c r="F968" s="182"/>
      <c r="G968" s="182">
        <v>469</v>
      </c>
      <c r="H968" s="182"/>
      <c r="I968" s="182"/>
      <c r="J968" s="182"/>
      <c r="K968" s="182"/>
      <c r="L968" s="182"/>
      <c r="M968" s="182"/>
      <c r="N968" s="182"/>
      <c r="O968" s="182"/>
      <c r="P968" s="182"/>
      <c r="Q968" s="182"/>
      <c r="R968" s="182"/>
      <c r="S968" s="182"/>
      <c r="T968" s="182"/>
      <c r="U968" s="182"/>
      <c r="V968" s="182"/>
      <c r="W968" s="182"/>
      <c r="X968" s="182"/>
      <c r="Y968" s="182"/>
      <c r="Z968" s="182"/>
      <c r="AA968" s="182"/>
      <c r="AB968" s="182"/>
      <c r="AC968" s="182"/>
      <c r="AD968" s="182"/>
      <c r="AE968" s="182"/>
      <c r="AF968" s="182"/>
      <c r="AG968" s="182"/>
      <c r="AH968" s="182"/>
      <c r="AI968" s="182"/>
      <c r="AJ968" s="182"/>
      <c r="AK968" s="182"/>
      <c r="AL968" s="182"/>
      <c r="AM968" s="182"/>
      <c r="AN968" s="182"/>
      <c r="AO968" s="182"/>
      <c r="AP968" s="182"/>
      <c r="AQ968" s="185">
        <v>469</v>
      </c>
      <c r="AR968" s="182">
        <v>313.7</v>
      </c>
      <c r="AS968" s="182">
        <v>42.3</v>
      </c>
      <c r="AT968" s="182">
        <v>113</v>
      </c>
      <c r="AU968" s="182"/>
      <c r="AV968" s="182"/>
      <c r="AW968" s="182"/>
      <c r="AX968" s="182"/>
      <c r="AY968" s="182"/>
      <c r="AZ968" s="182"/>
      <c r="BA968" s="182"/>
      <c r="BB968" s="182"/>
      <c r="BC968" s="182"/>
      <c r="BD968" s="182"/>
      <c r="BE968" s="182"/>
      <c r="BF968" s="182"/>
      <c r="BG968" s="182"/>
      <c r="BH968" s="182"/>
      <c r="BI968" s="182"/>
      <c r="BJ968" s="182"/>
      <c r="BK968" s="182"/>
      <c r="BL968" s="182"/>
      <c r="BM968" s="182"/>
      <c r="BN968" s="182"/>
      <c r="BO968" s="182"/>
      <c r="BP968" s="182"/>
      <c r="BQ968" s="182"/>
      <c r="BR968" s="182"/>
      <c r="BS968" s="182"/>
      <c r="BT968" s="182"/>
      <c r="BU968" s="182"/>
      <c r="BV968" s="182"/>
      <c r="BW968" s="182"/>
      <c r="BX968" s="182"/>
      <c r="BY968" s="182"/>
      <c r="BZ968" s="182"/>
      <c r="CA968" s="182"/>
      <c r="CB968" s="185">
        <v>469</v>
      </c>
      <c r="CC968" s="185">
        <v>0</v>
      </c>
      <c r="CD968" s="185">
        <v>2319</v>
      </c>
      <c r="CE968" s="185"/>
    </row>
    <row r="969" spans="2:83" x14ac:dyDescent="0.3">
      <c r="B969" s="182">
        <v>4123</v>
      </c>
      <c r="C969" s="182">
        <v>2320</v>
      </c>
      <c r="D969" s="182" t="s">
        <v>123</v>
      </c>
      <c r="E969" s="181" t="s">
        <v>4371</v>
      </c>
      <c r="F969" s="182"/>
      <c r="G969" s="182">
        <v>469</v>
      </c>
      <c r="H969" s="182"/>
      <c r="I969" s="182"/>
      <c r="J969" s="182"/>
      <c r="K969" s="182"/>
      <c r="L969" s="182"/>
      <c r="M969" s="182"/>
      <c r="N969" s="182"/>
      <c r="O969" s="182"/>
      <c r="P969" s="182"/>
      <c r="Q969" s="182"/>
      <c r="R969" s="182"/>
      <c r="S969" s="182"/>
      <c r="T969" s="182"/>
      <c r="U969" s="182"/>
      <c r="V969" s="182"/>
      <c r="W969" s="182"/>
      <c r="X969" s="182"/>
      <c r="Y969" s="182"/>
      <c r="Z969" s="182"/>
      <c r="AA969" s="182"/>
      <c r="AB969" s="182"/>
      <c r="AC969" s="182"/>
      <c r="AD969" s="182"/>
      <c r="AE969" s="182"/>
      <c r="AF969" s="182"/>
      <c r="AG969" s="182"/>
      <c r="AH969" s="182"/>
      <c r="AI969" s="182"/>
      <c r="AJ969" s="182"/>
      <c r="AK969" s="182"/>
      <c r="AL969" s="182"/>
      <c r="AM969" s="182"/>
      <c r="AN969" s="182"/>
      <c r="AO969" s="182"/>
      <c r="AP969" s="182"/>
      <c r="AQ969" s="185">
        <v>469</v>
      </c>
      <c r="AR969" s="182">
        <v>313.7</v>
      </c>
      <c r="AS969" s="182">
        <v>42.3</v>
      </c>
      <c r="AT969" s="182">
        <v>113</v>
      </c>
      <c r="AU969" s="182"/>
      <c r="AV969" s="182"/>
      <c r="AW969" s="182"/>
      <c r="AX969" s="182"/>
      <c r="AY969" s="182"/>
      <c r="AZ969" s="182"/>
      <c r="BA969" s="182"/>
      <c r="BB969" s="182"/>
      <c r="BC969" s="182"/>
      <c r="BD969" s="182"/>
      <c r="BE969" s="182"/>
      <c r="BF969" s="182"/>
      <c r="BG969" s="182"/>
      <c r="BH969" s="182"/>
      <c r="BI969" s="182"/>
      <c r="BJ969" s="182"/>
      <c r="BK969" s="182"/>
      <c r="BL969" s="182"/>
      <c r="BM969" s="182"/>
      <c r="BN969" s="182"/>
      <c r="BO969" s="182"/>
      <c r="BP969" s="182"/>
      <c r="BQ969" s="182"/>
      <c r="BR969" s="182"/>
      <c r="BS969" s="182"/>
      <c r="BT969" s="182"/>
      <c r="BU969" s="182"/>
      <c r="BV969" s="182"/>
      <c r="BW969" s="182"/>
      <c r="BX969" s="182"/>
      <c r="BY969" s="182"/>
      <c r="BZ969" s="182"/>
      <c r="CA969" s="182"/>
      <c r="CB969" s="185">
        <v>469</v>
      </c>
      <c r="CC969" s="185">
        <v>0</v>
      </c>
      <c r="CD969" s="185">
        <v>2320</v>
      </c>
      <c r="CE969" s="185"/>
    </row>
    <row r="970" spans="2:83" x14ac:dyDescent="0.3">
      <c r="B970" s="182">
        <v>4125</v>
      </c>
      <c r="C970" s="182">
        <v>2321</v>
      </c>
      <c r="D970" s="182" t="s">
        <v>123</v>
      </c>
      <c r="E970" s="181" t="s">
        <v>4371</v>
      </c>
      <c r="F970" s="182"/>
      <c r="G970" s="182">
        <v>1350</v>
      </c>
      <c r="H970" s="182"/>
      <c r="I970" s="182"/>
      <c r="J970" s="182"/>
      <c r="K970" s="182"/>
      <c r="L970" s="182"/>
      <c r="M970" s="182"/>
      <c r="N970" s="182"/>
      <c r="O970" s="182"/>
      <c r="P970" s="182"/>
      <c r="Q970" s="182"/>
      <c r="R970" s="182"/>
      <c r="S970" s="182"/>
      <c r="T970" s="182"/>
      <c r="U970" s="182"/>
      <c r="V970" s="182"/>
      <c r="W970" s="182"/>
      <c r="X970" s="182"/>
      <c r="Y970" s="182"/>
      <c r="Z970" s="182"/>
      <c r="AA970" s="182"/>
      <c r="AB970" s="182"/>
      <c r="AC970" s="182"/>
      <c r="AD970" s="182"/>
      <c r="AE970" s="182"/>
      <c r="AF970" s="182"/>
      <c r="AG970" s="182"/>
      <c r="AH970" s="182"/>
      <c r="AI970" s="182"/>
      <c r="AJ970" s="182"/>
      <c r="AK970" s="182"/>
      <c r="AL970" s="182"/>
      <c r="AM970" s="182"/>
      <c r="AN970" s="182"/>
      <c r="AO970" s="182"/>
      <c r="AP970" s="182"/>
      <c r="AQ970" s="185">
        <v>1350</v>
      </c>
      <c r="AR970" s="182">
        <v>1019.12</v>
      </c>
      <c r="AS970" s="182">
        <v>263.38</v>
      </c>
      <c r="AT970" s="182"/>
      <c r="AU970" s="182">
        <v>67.5</v>
      </c>
      <c r="AV970" s="182"/>
      <c r="AW970" s="182"/>
      <c r="AX970" s="182"/>
      <c r="AY970" s="182"/>
      <c r="AZ970" s="182"/>
      <c r="BA970" s="182"/>
      <c r="BB970" s="182"/>
      <c r="BC970" s="182"/>
      <c r="BD970" s="182"/>
      <c r="BE970" s="182"/>
      <c r="BF970" s="182"/>
      <c r="BG970" s="182"/>
      <c r="BH970" s="182"/>
      <c r="BI970" s="182"/>
      <c r="BJ970" s="182"/>
      <c r="BK970" s="182"/>
      <c r="BL970" s="182"/>
      <c r="BM970" s="182"/>
      <c r="BN970" s="182"/>
      <c r="BO970" s="182"/>
      <c r="BP970" s="182"/>
      <c r="BQ970" s="182"/>
      <c r="BR970" s="182"/>
      <c r="BS970" s="182"/>
      <c r="BT970" s="182"/>
      <c r="BU970" s="182"/>
      <c r="BV970" s="182"/>
      <c r="BW970" s="182"/>
      <c r="BX970" s="182"/>
      <c r="BY970" s="182"/>
      <c r="BZ970" s="182"/>
      <c r="CA970" s="182"/>
      <c r="CB970" s="185">
        <v>1350</v>
      </c>
      <c r="CC970" s="185">
        <v>0</v>
      </c>
      <c r="CD970" s="185">
        <v>2321</v>
      </c>
      <c r="CE970" s="185"/>
    </row>
    <row r="971" spans="2:83" x14ac:dyDescent="0.3">
      <c r="B971" s="182">
        <v>4126</v>
      </c>
      <c r="C971" s="182">
        <v>2322</v>
      </c>
      <c r="D971" s="182" t="s">
        <v>123</v>
      </c>
      <c r="E971" s="181" t="s">
        <v>4371</v>
      </c>
      <c r="F971" s="182"/>
      <c r="G971" s="182">
        <v>550</v>
      </c>
      <c r="H971" s="182"/>
      <c r="I971" s="182"/>
      <c r="J971" s="182"/>
      <c r="K971" s="182"/>
      <c r="L971" s="182"/>
      <c r="M971" s="182"/>
      <c r="N971" s="182"/>
      <c r="O971" s="182"/>
      <c r="P971" s="182"/>
      <c r="Q971" s="182"/>
      <c r="R971" s="182"/>
      <c r="S971" s="182"/>
      <c r="T971" s="182"/>
      <c r="U971" s="182"/>
      <c r="V971" s="182"/>
      <c r="W971" s="182"/>
      <c r="X971" s="182"/>
      <c r="Y971" s="182"/>
      <c r="Z971" s="182"/>
      <c r="AA971" s="182"/>
      <c r="AB971" s="182"/>
      <c r="AC971" s="182"/>
      <c r="AD971" s="182"/>
      <c r="AE971" s="182"/>
      <c r="AF971" s="182"/>
      <c r="AG971" s="182"/>
      <c r="AH971" s="182"/>
      <c r="AI971" s="182"/>
      <c r="AJ971" s="182"/>
      <c r="AK971" s="182"/>
      <c r="AL971" s="182"/>
      <c r="AM971" s="182"/>
      <c r="AN971" s="182"/>
      <c r="AO971" s="182"/>
      <c r="AP971" s="182"/>
      <c r="AQ971" s="185">
        <v>550</v>
      </c>
      <c r="AR971" s="182">
        <v>441.15</v>
      </c>
      <c r="AS971" s="182">
        <v>81.349999999999994</v>
      </c>
      <c r="AT971" s="182"/>
      <c r="AU971" s="182">
        <v>27.5</v>
      </c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182"/>
      <c r="BK971" s="182"/>
      <c r="BL971" s="182"/>
      <c r="BM971" s="182"/>
      <c r="BN971" s="182"/>
      <c r="BO971" s="182"/>
      <c r="BP971" s="182"/>
      <c r="BQ971" s="182"/>
      <c r="BR971" s="182"/>
      <c r="BS971" s="182"/>
      <c r="BT971" s="182"/>
      <c r="BU971" s="182"/>
      <c r="BV971" s="182"/>
      <c r="BW971" s="182"/>
      <c r="BX971" s="182"/>
      <c r="BY971" s="182"/>
      <c r="BZ971" s="182"/>
      <c r="CA971" s="182"/>
      <c r="CB971" s="185">
        <v>550</v>
      </c>
      <c r="CC971" s="185">
        <v>0</v>
      </c>
      <c r="CD971" s="185">
        <v>2322</v>
      </c>
      <c r="CE971" s="185"/>
    </row>
    <row r="972" spans="2:83" x14ac:dyDescent="0.3">
      <c r="B972" s="182">
        <v>4127</v>
      </c>
      <c r="C972" s="182">
        <v>2323</v>
      </c>
      <c r="D972" s="182" t="s">
        <v>123</v>
      </c>
      <c r="E972" s="181" t="s">
        <v>4371</v>
      </c>
      <c r="F972" s="182"/>
      <c r="G972" s="182">
        <v>469</v>
      </c>
      <c r="H972" s="182"/>
      <c r="I972" s="182"/>
      <c r="J972" s="182"/>
      <c r="K972" s="182"/>
      <c r="L972" s="182"/>
      <c r="M972" s="182"/>
      <c r="N972" s="182"/>
      <c r="O972" s="182"/>
      <c r="P972" s="182"/>
      <c r="Q972" s="182"/>
      <c r="R972" s="182"/>
      <c r="S972" s="182"/>
      <c r="T972" s="182"/>
      <c r="U972" s="182"/>
      <c r="V972" s="182"/>
      <c r="W972" s="182"/>
      <c r="X972" s="182"/>
      <c r="Y972" s="182"/>
      <c r="Z972" s="182"/>
      <c r="AA972" s="182"/>
      <c r="AB972" s="182"/>
      <c r="AC972" s="182"/>
      <c r="AD972" s="182"/>
      <c r="AE972" s="182"/>
      <c r="AF972" s="182"/>
      <c r="AG972" s="182"/>
      <c r="AH972" s="182"/>
      <c r="AI972" s="182"/>
      <c r="AJ972" s="182"/>
      <c r="AK972" s="182"/>
      <c r="AL972" s="182"/>
      <c r="AM972" s="182"/>
      <c r="AN972" s="182"/>
      <c r="AO972" s="182"/>
      <c r="AP972" s="182"/>
      <c r="AQ972" s="185">
        <v>469</v>
      </c>
      <c r="AR972" s="182">
        <v>313.7</v>
      </c>
      <c r="AS972" s="182">
        <v>42.3</v>
      </c>
      <c r="AT972" s="182">
        <v>113</v>
      </c>
      <c r="AU972" s="182"/>
      <c r="AV972" s="182"/>
      <c r="AW972" s="182"/>
      <c r="AX972" s="182"/>
      <c r="AY972" s="182"/>
      <c r="AZ972" s="182"/>
      <c r="BA972" s="182"/>
      <c r="BB972" s="182"/>
      <c r="BC972" s="182"/>
      <c r="BD972" s="182"/>
      <c r="BE972" s="182"/>
      <c r="BF972" s="182"/>
      <c r="BG972" s="182"/>
      <c r="BH972" s="182"/>
      <c r="BI972" s="182"/>
      <c r="BJ972" s="182"/>
      <c r="BK972" s="182"/>
      <c r="BL972" s="182"/>
      <c r="BM972" s="182"/>
      <c r="BN972" s="182"/>
      <c r="BO972" s="182"/>
      <c r="BP972" s="182"/>
      <c r="BQ972" s="182"/>
      <c r="BR972" s="182"/>
      <c r="BS972" s="182"/>
      <c r="BT972" s="182"/>
      <c r="BU972" s="182"/>
      <c r="BV972" s="182"/>
      <c r="BW972" s="182"/>
      <c r="BX972" s="182"/>
      <c r="BY972" s="182"/>
      <c r="BZ972" s="182"/>
      <c r="CA972" s="182"/>
      <c r="CB972" s="185">
        <v>469</v>
      </c>
      <c r="CC972" s="185">
        <v>0</v>
      </c>
      <c r="CD972" s="185">
        <v>2323</v>
      </c>
      <c r="CE972" s="185"/>
    </row>
    <row r="973" spans="2:83" x14ac:dyDescent="0.3">
      <c r="B973" s="182">
        <v>4130</v>
      </c>
      <c r="C973" s="182">
        <v>2324</v>
      </c>
      <c r="D973" s="182" t="s">
        <v>123</v>
      </c>
      <c r="E973" s="181" t="s">
        <v>4371</v>
      </c>
      <c r="F973" s="182"/>
      <c r="G973" s="182">
        <v>1900</v>
      </c>
      <c r="H973" s="182"/>
      <c r="I973" s="182"/>
      <c r="J973" s="182"/>
      <c r="K973" s="182"/>
      <c r="L973" s="182"/>
      <c r="M973" s="182"/>
      <c r="N973" s="182"/>
      <c r="O973" s="182"/>
      <c r="P973" s="182"/>
      <c r="Q973" s="182"/>
      <c r="R973" s="182"/>
      <c r="S973" s="182"/>
      <c r="T973" s="182"/>
      <c r="U973" s="182"/>
      <c r="V973" s="182"/>
      <c r="W973" s="182"/>
      <c r="X973" s="182"/>
      <c r="Y973" s="182"/>
      <c r="Z973" s="182"/>
      <c r="AA973" s="182"/>
      <c r="AB973" s="182"/>
      <c r="AC973" s="182"/>
      <c r="AD973" s="182"/>
      <c r="AE973" s="182"/>
      <c r="AF973" s="182"/>
      <c r="AG973" s="182"/>
      <c r="AH973" s="182"/>
      <c r="AI973" s="182"/>
      <c r="AJ973" s="182"/>
      <c r="AK973" s="182"/>
      <c r="AL973" s="182"/>
      <c r="AM973" s="182"/>
      <c r="AN973" s="182"/>
      <c r="AO973" s="182"/>
      <c r="AP973" s="182"/>
      <c r="AQ973" s="185">
        <v>1900</v>
      </c>
      <c r="AR973" s="182">
        <v>1460.27</v>
      </c>
      <c r="AS973" s="182">
        <v>344.73</v>
      </c>
      <c r="AT973" s="182"/>
      <c r="AU973" s="182">
        <v>95</v>
      </c>
      <c r="AV973" s="182"/>
      <c r="AW973" s="182"/>
      <c r="AX973" s="182"/>
      <c r="AY973" s="182"/>
      <c r="AZ973" s="182"/>
      <c r="BA973" s="182"/>
      <c r="BB973" s="182"/>
      <c r="BC973" s="182"/>
      <c r="BD973" s="182"/>
      <c r="BE973" s="182"/>
      <c r="BF973" s="182"/>
      <c r="BG973" s="182"/>
      <c r="BH973" s="182"/>
      <c r="BI973" s="182"/>
      <c r="BJ973" s="182"/>
      <c r="BK973" s="182"/>
      <c r="BL973" s="182"/>
      <c r="BM973" s="182"/>
      <c r="BN973" s="182"/>
      <c r="BO973" s="182"/>
      <c r="BP973" s="182"/>
      <c r="BQ973" s="182"/>
      <c r="BR973" s="182"/>
      <c r="BS973" s="182"/>
      <c r="BT973" s="182"/>
      <c r="BU973" s="182"/>
      <c r="BV973" s="182"/>
      <c r="BW973" s="182"/>
      <c r="BX973" s="182"/>
      <c r="BY973" s="182"/>
      <c r="BZ973" s="182"/>
      <c r="CA973" s="182"/>
      <c r="CB973" s="185">
        <v>1900</v>
      </c>
      <c r="CC973" s="185">
        <v>0</v>
      </c>
      <c r="CD973" s="185">
        <v>2324</v>
      </c>
      <c r="CE973" s="185"/>
    </row>
    <row r="974" spans="2:83" x14ac:dyDescent="0.3">
      <c r="B974" s="182">
        <v>4132</v>
      </c>
      <c r="C974" s="182">
        <v>2325</v>
      </c>
      <c r="D974" s="182" t="s">
        <v>123</v>
      </c>
      <c r="E974" s="181" t="s">
        <v>4371</v>
      </c>
      <c r="F974" s="182"/>
      <c r="G974" s="182">
        <v>469</v>
      </c>
      <c r="H974" s="182"/>
      <c r="I974" s="182"/>
      <c r="J974" s="182"/>
      <c r="K974" s="182"/>
      <c r="L974" s="182"/>
      <c r="M974" s="182"/>
      <c r="N974" s="182"/>
      <c r="O974" s="182"/>
      <c r="P974" s="182"/>
      <c r="Q974" s="182"/>
      <c r="R974" s="182"/>
      <c r="S974" s="182"/>
      <c r="T974" s="182"/>
      <c r="U974" s="182"/>
      <c r="V974" s="182"/>
      <c r="W974" s="182"/>
      <c r="X974" s="182"/>
      <c r="Y974" s="182"/>
      <c r="Z974" s="182"/>
      <c r="AA974" s="182"/>
      <c r="AB974" s="182"/>
      <c r="AC974" s="182"/>
      <c r="AD974" s="182"/>
      <c r="AE974" s="182"/>
      <c r="AF974" s="182"/>
      <c r="AG974" s="182"/>
      <c r="AH974" s="182"/>
      <c r="AI974" s="182"/>
      <c r="AJ974" s="182"/>
      <c r="AK974" s="182"/>
      <c r="AL974" s="182"/>
      <c r="AM974" s="182"/>
      <c r="AN974" s="182"/>
      <c r="AO974" s="182"/>
      <c r="AP974" s="182"/>
      <c r="AQ974" s="185">
        <v>469</v>
      </c>
      <c r="AR974" s="182">
        <v>313.7</v>
      </c>
      <c r="AS974" s="182">
        <v>42.3</v>
      </c>
      <c r="AT974" s="182">
        <v>113</v>
      </c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182"/>
      <c r="BK974" s="182"/>
      <c r="BL974" s="182"/>
      <c r="BM974" s="182"/>
      <c r="BN974" s="182"/>
      <c r="BO974" s="182"/>
      <c r="BP974" s="182"/>
      <c r="BQ974" s="182"/>
      <c r="BR974" s="182"/>
      <c r="BS974" s="182"/>
      <c r="BT974" s="182"/>
      <c r="BU974" s="182"/>
      <c r="BV974" s="182"/>
      <c r="BW974" s="182"/>
      <c r="BX974" s="182"/>
      <c r="BY974" s="182"/>
      <c r="BZ974" s="182"/>
      <c r="CA974" s="182"/>
      <c r="CB974" s="185">
        <v>469</v>
      </c>
      <c r="CC974" s="185">
        <v>0</v>
      </c>
      <c r="CD974" s="185">
        <v>2325</v>
      </c>
      <c r="CE974" s="185"/>
    </row>
    <row r="975" spans="2:83" x14ac:dyDescent="0.3">
      <c r="B975" s="182">
        <v>4134</v>
      </c>
      <c r="C975" s="182">
        <v>2326</v>
      </c>
      <c r="D975" s="182" t="s">
        <v>123</v>
      </c>
      <c r="E975" s="181" t="s">
        <v>4372</v>
      </c>
      <c r="F975" s="182"/>
      <c r="G975" s="182">
        <v>500</v>
      </c>
      <c r="H975" s="182"/>
      <c r="I975" s="182"/>
      <c r="J975" s="182"/>
      <c r="K975" s="182"/>
      <c r="L975" s="182"/>
      <c r="M975" s="182"/>
      <c r="N975" s="182"/>
      <c r="O975" s="182"/>
      <c r="P975" s="182"/>
      <c r="Q975" s="182"/>
      <c r="R975" s="182"/>
      <c r="S975" s="182"/>
      <c r="T975" s="182"/>
      <c r="U975" s="182"/>
      <c r="V975" s="182"/>
      <c r="W975" s="182"/>
      <c r="X975" s="182"/>
      <c r="Y975" s="182"/>
      <c r="Z975" s="182"/>
      <c r="AA975" s="182"/>
      <c r="AB975" s="182"/>
      <c r="AC975" s="182"/>
      <c r="AD975" s="182"/>
      <c r="AE975" s="182"/>
      <c r="AF975" s="182"/>
      <c r="AG975" s="182"/>
      <c r="AH975" s="182"/>
      <c r="AI975" s="182"/>
      <c r="AJ975" s="182"/>
      <c r="AK975" s="182"/>
      <c r="AL975" s="182"/>
      <c r="AM975" s="182"/>
      <c r="AN975" s="182"/>
      <c r="AO975" s="182"/>
      <c r="AP975" s="182"/>
      <c r="AQ975" s="185">
        <v>500</v>
      </c>
      <c r="AR975" s="182">
        <v>377.64</v>
      </c>
      <c r="AS975" s="182">
        <v>97.36</v>
      </c>
      <c r="AT975" s="182"/>
      <c r="AU975" s="182">
        <v>25</v>
      </c>
      <c r="AV975" s="182"/>
      <c r="AW975" s="182"/>
      <c r="AX975" s="182"/>
      <c r="AY975" s="182"/>
      <c r="AZ975" s="182"/>
      <c r="BA975" s="182"/>
      <c r="BB975" s="182"/>
      <c r="BC975" s="182"/>
      <c r="BD975" s="182"/>
      <c r="BE975" s="182"/>
      <c r="BF975" s="182"/>
      <c r="BG975" s="182"/>
      <c r="BH975" s="182"/>
      <c r="BI975" s="182"/>
      <c r="BJ975" s="182"/>
      <c r="BK975" s="182"/>
      <c r="BL975" s="182"/>
      <c r="BM975" s="182"/>
      <c r="BN975" s="182"/>
      <c r="BO975" s="182"/>
      <c r="BP975" s="182"/>
      <c r="BQ975" s="182"/>
      <c r="BR975" s="182"/>
      <c r="BS975" s="182"/>
      <c r="BT975" s="182"/>
      <c r="BU975" s="182"/>
      <c r="BV975" s="182"/>
      <c r="BW975" s="182"/>
      <c r="BX975" s="182"/>
      <c r="BY975" s="182"/>
      <c r="BZ975" s="182"/>
      <c r="CA975" s="182"/>
      <c r="CB975" s="185">
        <v>500</v>
      </c>
      <c r="CC975" s="185">
        <v>0</v>
      </c>
      <c r="CD975" s="185">
        <v>2326</v>
      </c>
      <c r="CE975" s="185"/>
    </row>
    <row r="976" spans="2:83" x14ac:dyDescent="0.3">
      <c r="B976" s="182">
        <v>4135</v>
      </c>
      <c r="C976" s="182">
        <v>2327</v>
      </c>
      <c r="D976" s="182" t="s">
        <v>123</v>
      </c>
      <c r="E976" s="181" t="s">
        <v>4372</v>
      </c>
      <c r="F976" s="182"/>
      <c r="G976" s="182">
        <v>500</v>
      </c>
      <c r="H976" s="182"/>
      <c r="I976" s="182"/>
      <c r="J976" s="182"/>
      <c r="K976" s="182"/>
      <c r="L976" s="182"/>
      <c r="M976" s="182"/>
      <c r="N976" s="182"/>
      <c r="O976" s="182"/>
      <c r="P976" s="182"/>
      <c r="Q976" s="182"/>
      <c r="R976" s="182"/>
      <c r="S976" s="182"/>
      <c r="T976" s="182"/>
      <c r="U976" s="182"/>
      <c r="V976" s="182"/>
      <c r="W976" s="182"/>
      <c r="X976" s="182"/>
      <c r="Y976" s="182"/>
      <c r="Z976" s="182"/>
      <c r="AA976" s="182"/>
      <c r="AB976" s="182"/>
      <c r="AC976" s="182"/>
      <c r="AD976" s="182"/>
      <c r="AE976" s="182"/>
      <c r="AF976" s="182"/>
      <c r="AG976" s="182"/>
      <c r="AH976" s="182"/>
      <c r="AI976" s="182"/>
      <c r="AJ976" s="182"/>
      <c r="AK976" s="182"/>
      <c r="AL976" s="182"/>
      <c r="AM976" s="182"/>
      <c r="AN976" s="182"/>
      <c r="AO976" s="182"/>
      <c r="AP976" s="182"/>
      <c r="AQ976" s="185">
        <v>500</v>
      </c>
      <c r="AR976" s="182">
        <v>401.24</v>
      </c>
      <c r="AS976" s="182">
        <v>73.760000000000005</v>
      </c>
      <c r="AT976" s="182"/>
      <c r="AU976" s="182">
        <v>25</v>
      </c>
      <c r="AV976" s="182"/>
      <c r="AW976" s="182"/>
      <c r="AX976" s="182"/>
      <c r="AY976" s="182"/>
      <c r="AZ976" s="182"/>
      <c r="BA976" s="182"/>
      <c r="BB976" s="182"/>
      <c r="BC976" s="182"/>
      <c r="BD976" s="182"/>
      <c r="BE976" s="182"/>
      <c r="BF976" s="182"/>
      <c r="BG976" s="182"/>
      <c r="BH976" s="182"/>
      <c r="BI976" s="182"/>
      <c r="BJ976" s="182"/>
      <c r="BK976" s="182"/>
      <c r="BL976" s="182"/>
      <c r="BM976" s="182"/>
      <c r="BN976" s="182"/>
      <c r="BO976" s="182"/>
      <c r="BP976" s="182"/>
      <c r="BQ976" s="182"/>
      <c r="BR976" s="182"/>
      <c r="BS976" s="182"/>
      <c r="BT976" s="182"/>
      <c r="BU976" s="182"/>
      <c r="BV976" s="182"/>
      <c r="BW976" s="182"/>
      <c r="BX976" s="182"/>
      <c r="BY976" s="182"/>
      <c r="BZ976" s="182"/>
      <c r="CA976" s="182"/>
      <c r="CB976" s="185">
        <v>500</v>
      </c>
      <c r="CC976" s="185">
        <v>0</v>
      </c>
      <c r="CD976" s="185">
        <v>2327</v>
      </c>
      <c r="CE976" s="185"/>
    </row>
    <row r="977" spans="2:83" x14ac:dyDescent="0.3">
      <c r="B977" s="182">
        <v>4137</v>
      </c>
      <c r="C977" s="182">
        <v>2328</v>
      </c>
      <c r="D977" s="182" t="s">
        <v>123</v>
      </c>
      <c r="E977" s="181" t="s">
        <v>4372</v>
      </c>
      <c r="F977" s="182"/>
      <c r="G977" s="182">
        <v>2000</v>
      </c>
      <c r="H977" s="182"/>
      <c r="I977" s="182"/>
      <c r="J977" s="182"/>
      <c r="K977" s="182"/>
      <c r="L977" s="182"/>
      <c r="M977" s="182"/>
      <c r="N977" s="182"/>
      <c r="O977" s="182"/>
      <c r="P977" s="182"/>
      <c r="Q977" s="182"/>
      <c r="R977" s="182"/>
      <c r="S977" s="182"/>
      <c r="T977" s="182"/>
      <c r="U977" s="182"/>
      <c r="V977" s="182"/>
      <c r="W977" s="182"/>
      <c r="X977" s="182"/>
      <c r="Y977" s="182"/>
      <c r="Z977" s="182"/>
      <c r="AA977" s="182"/>
      <c r="AB977" s="182"/>
      <c r="AC977" s="182"/>
      <c r="AD977" s="182"/>
      <c r="AE977" s="182"/>
      <c r="AF977" s="182"/>
      <c r="AG977" s="182"/>
      <c r="AH977" s="182"/>
      <c r="AI977" s="182"/>
      <c r="AJ977" s="182"/>
      <c r="AK977" s="182"/>
      <c r="AL977" s="182"/>
      <c r="AM977" s="182"/>
      <c r="AN977" s="182"/>
      <c r="AO977" s="182"/>
      <c r="AP977" s="182"/>
      <c r="AQ977" s="185">
        <v>2000</v>
      </c>
      <c r="AR977" s="182">
        <v>1508.88</v>
      </c>
      <c r="AS977" s="182">
        <v>391.12</v>
      </c>
      <c r="AT977" s="182"/>
      <c r="AU977" s="182">
        <v>100</v>
      </c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182"/>
      <c r="BK977" s="182"/>
      <c r="BL977" s="182"/>
      <c r="BM977" s="182"/>
      <c r="BN977" s="182"/>
      <c r="BO977" s="182"/>
      <c r="BP977" s="182"/>
      <c r="BQ977" s="182"/>
      <c r="BR977" s="182"/>
      <c r="BS977" s="182"/>
      <c r="BT977" s="182"/>
      <c r="BU977" s="182"/>
      <c r="BV977" s="182"/>
      <c r="BW977" s="182"/>
      <c r="BX977" s="182"/>
      <c r="BY977" s="182"/>
      <c r="BZ977" s="182"/>
      <c r="CA977" s="182"/>
      <c r="CB977" s="185">
        <v>2000</v>
      </c>
      <c r="CC977" s="185">
        <v>0</v>
      </c>
      <c r="CD977" s="185">
        <v>2328</v>
      </c>
      <c r="CE977" s="185"/>
    </row>
    <row r="978" spans="2:83" x14ac:dyDescent="0.3">
      <c r="B978" s="182">
        <v>4139</v>
      </c>
      <c r="C978" s="182">
        <v>2329</v>
      </c>
      <c r="D978" s="182" t="s">
        <v>123</v>
      </c>
      <c r="E978" s="181" t="s">
        <v>4372</v>
      </c>
      <c r="F978" s="182"/>
      <c r="G978" s="182">
        <v>1250</v>
      </c>
      <c r="H978" s="182"/>
      <c r="I978" s="182"/>
      <c r="J978" s="182"/>
      <c r="K978" s="182"/>
      <c r="L978" s="182"/>
      <c r="M978" s="182"/>
      <c r="N978" s="182"/>
      <c r="O978" s="182"/>
      <c r="P978" s="182"/>
      <c r="Q978" s="182"/>
      <c r="R978" s="182"/>
      <c r="S978" s="182"/>
      <c r="T978" s="182"/>
      <c r="U978" s="182"/>
      <c r="V978" s="182"/>
      <c r="W978" s="182"/>
      <c r="X978" s="182"/>
      <c r="Y978" s="182"/>
      <c r="Z978" s="182"/>
      <c r="AA978" s="182"/>
      <c r="AB978" s="182"/>
      <c r="AC978" s="182"/>
      <c r="AD978" s="182"/>
      <c r="AE978" s="182"/>
      <c r="AF978" s="182"/>
      <c r="AG978" s="182"/>
      <c r="AH978" s="182"/>
      <c r="AI978" s="182"/>
      <c r="AJ978" s="182"/>
      <c r="AK978" s="182"/>
      <c r="AL978" s="182"/>
      <c r="AM978" s="182"/>
      <c r="AN978" s="182"/>
      <c r="AO978" s="182"/>
      <c r="AP978" s="182"/>
      <c r="AQ978" s="185">
        <v>1250</v>
      </c>
      <c r="AR978" s="182">
        <v>942.8</v>
      </c>
      <c r="AS978" s="182">
        <v>244.7</v>
      </c>
      <c r="AT978" s="182"/>
      <c r="AU978" s="182">
        <v>62.5</v>
      </c>
      <c r="AV978" s="182"/>
      <c r="AW978" s="182"/>
      <c r="AX978" s="182"/>
      <c r="AY978" s="182"/>
      <c r="AZ978" s="182"/>
      <c r="BA978" s="182"/>
      <c r="BB978" s="182"/>
      <c r="BC978" s="182"/>
      <c r="BD978" s="182"/>
      <c r="BE978" s="182"/>
      <c r="BF978" s="182"/>
      <c r="BG978" s="182"/>
      <c r="BH978" s="182"/>
      <c r="BI978" s="182"/>
      <c r="BJ978" s="182"/>
      <c r="BK978" s="182"/>
      <c r="BL978" s="182"/>
      <c r="BM978" s="182"/>
      <c r="BN978" s="182"/>
      <c r="BO978" s="182"/>
      <c r="BP978" s="182"/>
      <c r="BQ978" s="182"/>
      <c r="BR978" s="182"/>
      <c r="BS978" s="182"/>
      <c r="BT978" s="182"/>
      <c r="BU978" s="182"/>
      <c r="BV978" s="182"/>
      <c r="BW978" s="182"/>
      <c r="BX978" s="182"/>
      <c r="BY978" s="182"/>
      <c r="BZ978" s="182"/>
      <c r="CA978" s="182"/>
      <c r="CB978" s="185">
        <v>1250</v>
      </c>
      <c r="CC978" s="185">
        <v>0</v>
      </c>
      <c r="CD978" s="185">
        <v>2329</v>
      </c>
      <c r="CE978" s="185"/>
    </row>
    <row r="979" spans="2:83" x14ac:dyDescent="0.3">
      <c r="B979" s="182">
        <v>4142</v>
      </c>
      <c r="C979" s="182">
        <v>2330</v>
      </c>
      <c r="D979" s="182" t="s">
        <v>123</v>
      </c>
      <c r="E979" s="181" t="s">
        <v>4372</v>
      </c>
      <c r="F979" s="182"/>
      <c r="G979" s="182">
        <v>879.38</v>
      </c>
      <c r="H979" s="182"/>
      <c r="I979" s="182"/>
      <c r="J979" s="182"/>
      <c r="K979" s="182"/>
      <c r="L979" s="182"/>
      <c r="M979" s="182"/>
      <c r="N979" s="182"/>
      <c r="O979" s="182"/>
      <c r="P979" s="182"/>
      <c r="Q979" s="182"/>
      <c r="R979" s="182"/>
      <c r="S979" s="182"/>
      <c r="T979" s="182"/>
      <c r="U979" s="182"/>
      <c r="V979" s="182"/>
      <c r="W979" s="182"/>
      <c r="X979" s="182"/>
      <c r="Y979" s="182"/>
      <c r="Z979" s="182"/>
      <c r="AA979" s="182"/>
      <c r="AB979" s="182"/>
      <c r="AC979" s="182"/>
      <c r="AD979" s="182"/>
      <c r="AE979" s="182"/>
      <c r="AF979" s="182"/>
      <c r="AG979" s="182"/>
      <c r="AH979" s="182"/>
      <c r="AI979" s="182"/>
      <c r="AJ979" s="182"/>
      <c r="AK979" s="182"/>
      <c r="AL979" s="182"/>
      <c r="AM979" s="182"/>
      <c r="AN979" s="182"/>
      <c r="AO979" s="182"/>
      <c r="AP979" s="182"/>
      <c r="AQ979" s="185">
        <v>879.38</v>
      </c>
      <c r="AR979" s="182">
        <v>587.6</v>
      </c>
      <c r="AS979" s="182">
        <v>79.900000000000006</v>
      </c>
      <c r="AT979" s="182">
        <v>211.88</v>
      </c>
      <c r="AU979" s="182"/>
      <c r="AV979" s="182"/>
      <c r="AW979" s="182"/>
      <c r="AX979" s="182"/>
      <c r="AY979" s="182"/>
      <c r="AZ979" s="182"/>
      <c r="BA979" s="182"/>
      <c r="BB979" s="182"/>
      <c r="BC979" s="182"/>
      <c r="BD979" s="182"/>
      <c r="BE979" s="182"/>
      <c r="BF979" s="182"/>
      <c r="BG979" s="182"/>
      <c r="BH979" s="182"/>
      <c r="BI979" s="182"/>
      <c r="BJ979" s="182"/>
      <c r="BK979" s="182"/>
      <c r="BL979" s="182"/>
      <c r="BM979" s="182"/>
      <c r="BN979" s="182"/>
      <c r="BO979" s="182"/>
      <c r="BP979" s="182"/>
      <c r="BQ979" s="182"/>
      <c r="BR979" s="182"/>
      <c r="BS979" s="182"/>
      <c r="BT979" s="182"/>
      <c r="BU979" s="182"/>
      <c r="BV979" s="182"/>
      <c r="BW979" s="182"/>
      <c r="BX979" s="182"/>
      <c r="BY979" s="182"/>
      <c r="BZ979" s="182"/>
      <c r="CA979" s="182"/>
      <c r="CB979" s="185">
        <v>879.38</v>
      </c>
      <c r="CC979" s="185">
        <v>0</v>
      </c>
      <c r="CD979" s="185">
        <v>2330</v>
      </c>
      <c r="CE979" s="185"/>
    </row>
    <row r="980" spans="2:83" x14ac:dyDescent="0.3">
      <c r="B980" s="182">
        <v>4143</v>
      </c>
      <c r="C980" s="182">
        <v>2331</v>
      </c>
      <c r="D980" s="182" t="s">
        <v>123</v>
      </c>
      <c r="E980" s="181" t="s">
        <v>4371</v>
      </c>
      <c r="F980" s="182"/>
      <c r="G980" s="182">
        <v>766.66</v>
      </c>
      <c r="H980" s="182"/>
      <c r="I980" s="182"/>
      <c r="J980" s="182"/>
      <c r="K980" s="182"/>
      <c r="L980" s="182"/>
      <c r="M980" s="182"/>
      <c r="N980" s="182"/>
      <c r="O980" s="182"/>
      <c r="P980" s="182"/>
      <c r="Q980" s="182"/>
      <c r="R980" s="182"/>
      <c r="S980" s="182"/>
      <c r="T980" s="182"/>
      <c r="U980" s="182"/>
      <c r="V980" s="182"/>
      <c r="W980" s="182"/>
      <c r="X980" s="182"/>
      <c r="Y980" s="182"/>
      <c r="Z980" s="182"/>
      <c r="AA980" s="182"/>
      <c r="AB980" s="182"/>
      <c r="AC980" s="182"/>
      <c r="AD980" s="182"/>
      <c r="AE980" s="182"/>
      <c r="AF980" s="182"/>
      <c r="AG980" s="182"/>
      <c r="AH980" s="182"/>
      <c r="AI980" s="182"/>
      <c r="AJ980" s="182"/>
      <c r="AK980" s="182"/>
      <c r="AL980" s="182"/>
      <c r="AM980" s="182"/>
      <c r="AN980" s="182"/>
      <c r="AO980" s="182"/>
      <c r="AP980" s="182"/>
      <c r="AQ980" s="185">
        <v>766.66</v>
      </c>
      <c r="AR980" s="182">
        <v>596.46</v>
      </c>
      <c r="AS980" s="182">
        <v>131.87</v>
      </c>
      <c r="AT980" s="182"/>
      <c r="AU980" s="182">
        <v>38.33</v>
      </c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182"/>
      <c r="BK980" s="182"/>
      <c r="BL980" s="182"/>
      <c r="BM980" s="182"/>
      <c r="BN980" s="182"/>
      <c r="BO980" s="182"/>
      <c r="BP980" s="182"/>
      <c r="BQ980" s="182"/>
      <c r="BR980" s="182"/>
      <c r="BS980" s="182"/>
      <c r="BT980" s="182"/>
      <c r="BU980" s="182"/>
      <c r="BV980" s="182"/>
      <c r="BW980" s="182"/>
      <c r="BX980" s="182"/>
      <c r="BY980" s="182"/>
      <c r="BZ980" s="182"/>
      <c r="CA980" s="182"/>
      <c r="CB980" s="185">
        <v>766.66000000000008</v>
      </c>
      <c r="CC980" s="185">
        <v>0</v>
      </c>
      <c r="CD980" s="185">
        <v>2331</v>
      </c>
      <c r="CE980" s="185"/>
    </row>
    <row r="981" spans="2:83" x14ac:dyDescent="0.3">
      <c r="B981" s="182">
        <v>4146</v>
      </c>
      <c r="C981" s="182">
        <v>2332</v>
      </c>
      <c r="D981" s="182" t="s">
        <v>123</v>
      </c>
      <c r="E981" s="181" t="s">
        <v>4371</v>
      </c>
      <c r="F981" s="182"/>
      <c r="G981" s="182">
        <v>366.66</v>
      </c>
      <c r="H981" s="182"/>
      <c r="I981" s="182"/>
      <c r="J981" s="182"/>
      <c r="K981" s="182"/>
      <c r="L981" s="182"/>
      <c r="M981" s="182"/>
      <c r="N981" s="182"/>
      <c r="O981" s="182"/>
      <c r="P981" s="182"/>
      <c r="Q981" s="182"/>
      <c r="R981" s="182"/>
      <c r="S981" s="182"/>
      <c r="T981" s="182"/>
      <c r="U981" s="182"/>
      <c r="V981" s="182"/>
      <c r="W981" s="182"/>
      <c r="X981" s="182"/>
      <c r="Y981" s="182"/>
      <c r="Z981" s="182"/>
      <c r="AA981" s="182"/>
      <c r="AB981" s="182"/>
      <c r="AC981" s="182"/>
      <c r="AD981" s="182"/>
      <c r="AE981" s="182"/>
      <c r="AF981" s="182"/>
      <c r="AG981" s="182"/>
      <c r="AH981" s="182"/>
      <c r="AI981" s="182"/>
      <c r="AJ981" s="182"/>
      <c r="AK981" s="182"/>
      <c r="AL981" s="182"/>
      <c r="AM981" s="182"/>
      <c r="AN981" s="182"/>
      <c r="AO981" s="182"/>
      <c r="AP981" s="182"/>
      <c r="AQ981" s="185">
        <v>366.66</v>
      </c>
      <c r="AR981" s="182">
        <v>276.98</v>
      </c>
      <c r="AS981" s="182">
        <v>71.349999999999994</v>
      </c>
      <c r="AT981" s="182"/>
      <c r="AU981" s="182">
        <v>18.329999999999998</v>
      </c>
      <c r="AV981" s="182"/>
      <c r="AW981" s="182"/>
      <c r="AX981" s="182"/>
      <c r="AY981" s="182"/>
      <c r="AZ981" s="182"/>
      <c r="BA981" s="182"/>
      <c r="BB981" s="182"/>
      <c r="BC981" s="182"/>
      <c r="BD981" s="182"/>
      <c r="BE981" s="182"/>
      <c r="BF981" s="182"/>
      <c r="BG981" s="182"/>
      <c r="BH981" s="182"/>
      <c r="BI981" s="182"/>
      <c r="BJ981" s="182"/>
      <c r="BK981" s="182"/>
      <c r="BL981" s="182"/>
      <c r="BM981" s="182"/>
      <c r="BN981" s="182"/>
      <c r="BO981" s="182"/>
      <c r="BP981" s="182"/>
      <c r="BQ981" s="182"/>
      <c r="BR981" s="182"/>
      <c r="BS981" s="182"/>
      <c r="BT981" s="182"/>
      <c r="BU981" s="182"/>
      <c r="BV981" s="182"/>
      <c r="BW981" s="182"/>
      <c r="BX981" s="182"/>
      <c r="BY981" s="182"/>
      <c r="BZ981" s="182"/>
      <c r="CA981" s="182"/>
      <c r="CB981" s="185">
        <v>366.66</v>
      </c>
      <c r="CC981" s="185">
        <v>0</v>
      </c>
      <c r="CD981" s="185">
        <v>2332</v>
      </c>
      <c r="CE981" s="185"/>
    </row>
    <row r="982" spans="2:83" x14ac:dyDescent="0.3">
      <c r="B982" s="182">
        <v>4148</v>
      </c>
      <c r="C982" s="182">
        <v>2333</v>
      </c>
      <c r="D982" s="182" t="s">
        <v>123</v>
      </c>
      <c r="E982" s="181" t="s">
        <v>4371</v>
      </c>
      <c r="F982" s="182"/>
      <c r="G982" s="182">
        <v>766.66</v>
      </c>
      <c r="H982" s="182"/>
      <c r="I982" s="182"/>
      <c r="J982" s="182"/>
      <c r="K982" s="182"/>
      <c r="L982" s="182"/>
      <c r="M982" s="182"/>
      <c r="N982" s="182"/>
      <c r="O982" s="182"/>
      <c r="P982" s="182"/>
      <c r="Q982" s="182"/>
      <c r="R982" s="182"/>
      <c r="S982" s="182"/>
      <c r="T982" s="182"/>
      <c r="U982" s="182"/>
      <c r="V982" s="182"/>
      <c r="W982" s="182"/>
      <c r="X982" s="182"/>
      <c r="Y982" s="182"/>
      <c r="Z982" s="182"/>
      <c r="AA982" s="182"/>
      <c r="AB982" s="182"/>
      <c r="AC982" s="182"/>
      <c r="AD982" s="182"/>
      <c r="AE982" s="182"/>
      <c r="AF982" s="182"/>
      <c r="AG982" s="182"/>
      <c r="AH982" s="182"/>
      <c r="AI982" s="182"/>
      <c r="AJ982" s="182"/>
      <c r="AK982" s="182"/>
      <c r="AL982" s="182"/>
      <c r="AM982" s="182"/>
      <c r="AN982" s="182"/>
      <c r="AO982" s="182"/>
      <c r="AP982" s="182"/>
      <c r="AQ982" s="185">
        <v>766.66</v>
      </c>
      <c r="AR982" s="182">
        <v>578.62</v>
      </c>
      <c r="AS982" s="182">
        <v>149.71</v>
      </c>
      <c r="AT982" s="182"/>
      <c r="AU982" s="182">
        <v>38.33</v>
      </c>
      <c r="AV982" s="182"/>
      <c r="AW982" s="182"/>
      <c r="AX982" s="182"/>
      <c r="AY982" s="182"/>
      <c r="AZ982" s="182"/>
      <c r="BA982" s="182"/>
      <c r="BB982" s="182"/>
      <c r="BC982" s="182"/>
      <c r="BD982" s="182"/>
      <c r="BE982" s="182"/>
      <c r="BF982" s="182"/>
      <c r="BG982" s="182"/>
      <c r="BH982" s="182"/>
      <c r="BI982" s="182"/>
      <c r="BJ982" s="182"/>
      <c r="BK982" s="182"/>
      <c r="BL982" s="182"/>
      <c r="BM982" s="182"/>
      <c r="BN982" s="182"/>
      <c r="BO982" s="182"/>
      <c r="BP982" s="182"/>
      <c r="BQ982" s="182"/>
      <c r="BR982" s="182"/>
      <c r="BS982" s="182"/>
      <c r="BT982" s="182"/>
      <c r="BU982" s="182"/>
      <c r="BV982" s="182"/>
      <c r="BW982" s="182"/>
      <c r="BX982" s="182"/>
      <c r="BY982" s="182"/>
      <c r="BZ982" s="182"/>
      <c r="CA982" s="182"/>
      <c r="CB982" s="185">
        <v>766.66000000000008</v>
      </c>
      <c r="CC982" s="185">
        <v>0</v>
      </c>
      <c r="CD982" s="185">
        <v>2333</v>
      </c>
      <c r="CE982" s="185"/>
    </row>
    <row r="983" spans="2:83" x14ac:dyDescent="0.3">
      <c r="B983" s="182">
        <v>4153</v>
      </c>
      <c r="C983" s="182">
        <v>2334</v>
      </c>
      <c r="D983" s="182" t="s">
        <v>123</v>
      </c>
      <c r="E983" s="181" t="s">
        <v>4371</v>
      </c>
      <c r="F983" s="182"/>
      <c r="G983" s="182">
        <v>400</v>
      </c>
      <c r="H983" s="182"/>
      <c r="I983" s="182"/>
      <c r="J983" s="182"/>
      <c r="K983" s="182"/>
      <c r="L983" s="182"/>
      <c r="M983" s="182"/>
      <c r="N983" s="182"/>
      <c r="O983" s="182"/>
      <c r="P983" s="182"/>
      <c r="Q983" s="182"/>
      <c r="R983" s="182"/>
      <c r="S983" s="182"/>
      <c r="T983" s="182"/>
      <c r="U983" s="182"/>
      <c r="V983" s="182"/>
      <c r="W983" s="182"/>
      <c r="X983" s="182"/>
      <c r="Y983" s="182"/>
      <c r="Z983" s="182"/>
      <c r="AA983" s="182"/>
      <c r="AB983" s="182"/>
      <c r="AC983" s="182"/>
      <c r="AD983" s="182"/>
      <c r="AE983" s="182"/>
      <c r="AF983" s="182"/>
      <c r="AG983" s="182"/>
      <c r="AH983" s="182"/>
      <c r="AI983" s="182"/>
      <c r="AJ983" s="182"/>
      <c r="AK983" s="182"/>
      <c r="AL983" s="182"/>
      <c r="AM983" s="182"/>
      <c r="AN983" s="182"/>
      <c r="AO983" s="182"/>
      <c r="AP983" s="182"/>
      <c r="AQ983" s="185">
        <v>400</v>
      </c>
      <c r="AR983" s="182">
        <v>302.16000000000003</v>
      </c>
      <c r="AS983" s="182">
        <v>77.84</v>
      </c>
      <c r="AT983" s="182"/>
      <c r="AU983" s="182">
        <v>20</v>
      </c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182"/>
      <c r="BK983" s="182"/>
      <c r="BL983" s="182"/>
      <c r="BM983" s="182"/>
      <c r="BN983" s="182"/>
      <c r="BO983" s="182"/>
      <c r="BP983" s="182"/>
      <c r="BQ983" s="182"/>
      <c r="BR983" s="182"/>
      <c r="BS983" s="182"/>
      <c r="BT983" s="182"/>
      <c r="BU983" s="182"/>
      <c r="BV983" s="182"/>
      <c r="BW983" s="182"/>
      <c r="BX983" s="182"/>
      <c r="BY983" s="182"/>
      <c r="BZ983" s="182"/>
      <c r="CA983" s="182"/>
      <c r="CB983" s="185">
        <v>400</v>
      </c>
      <c r="CC983" s="185">
        <v>0</v>
      </c>
      <c r="CD983" s="185">
        <v>2334</v>
      </c>
      <c r="CE983" s="185"/>
    </row>
    <row r="984" spans="2:83" x14ac:dyDescent="0.3">
      <c r="B984" s="182">
        <v>4212</v>
      </c>
      <c r="C984" s="182">
        <v>2335</v>
      </c>
      <c r="D984" s="182" t="s">
        <v>123</v>
      </c>
      <c r="E984" s="181" t="s">
        <v>4372</v>
      </c>
      <c r="F984" s="182"/>
      <c r="G984" s="182">
        <v>1250</v>
      </c>
      <c r="H984" s="182"/>
      <c r="I984" s="182"/>
      <c r="J984" s="182"/>
      <c r="K984" s="182"/>
      <c r="L984" s="182"/>
      <c r="M984" s="182"/>
      <c r="N984" s="182"/>
      <c r="O984" s="182"/>
      <c r="P984" s="182"/>
      <c r="Q984" s="182"/>
      <c r="R984" s="182"/>
      <c r="S984" s="182"/>
      <c r="T984" s="182"/>
      <c r="U984" s="182"/>
      <c r="V984" s="182"/>
      <c r="W984" s="182"/>
      <c r="X984" s="182"/>
      <c r="Y984" s="182"/>
      <c r="Z984" s="182"/>
      <c r="AA984" s="182"/>
      <c r="AB984" s="182"/>
      <c r="AC984" s="182"/>
      <c r="AD984" s="182"/>
      <c r="AE984" s="182"/>
      <c r="AF984" s="182"/>
      <c r="AG984" s="182"/>
      <c r="AH984" s="182"/>
      <c r="AI984" s="182"/>
      <c r="AJ984" s="182"/>
      <c r="AK984" s="182"/>
      <c r="AL984" s="182"/>
      <c r="AM984" s="182"/>
      <c r="AN984" s="182"/>
      <c r="AO984" s="182"/>
      <c r="AP984" s="182"/>
      <c r="AQ984" s="185">
        <v>1250</v>
      </c>
      <c r="AR984" s="182">
        <v>942.8</v>
      </c>
      <c r="AS984" s="182">
        <v>244.7</v>
      </c>
      <c r="AT984" s="182"/>
      <c r="AU984" s="182">
        <v>62.5</v>
      </c>
      <c r="AV984" s="182"/>
      <c r="AW984" s="182"/>
      <c r="AX984" s="182"/>
      <c r="AY984" s="182"/>
      <c r="AZ984" s="182"/>
      <c r="BA984" s="182"/>
      <c r="BB984" s="182"/>
      <c r="BC984" s="182"/>
      <c r="BD984" s="182"/>
      <c r="BE984" s="182"/>
      <c r="BF984" s="182"/>
      <c r="BG984" s="182"/>
      <c r="BH984" s="182"/>
      <c r="BI984" s="182"/>
      <c r="BJ984" s="182"/>
      <c r="BK984" s="182"/>
      <c r="BL984" s="182"/>
      <c r="BM984" s="182"/>
      <c r="BN984" s="182"/>
      <c r="BO984" s="182"/>
      <c r="BP984" s="182"/>
      <c r="BQ984" s="182"/>
      <c r="BR984" s="182"/>
      <c r="BS984" s="182"/>
      <c r="BT984" s="182"/>
      <c r="BU984" s="182"/>
      <c r="BV984" s="182"/>
      <c r="BW984" s="182"/>
      <c r="BX984" s="182"/>
      <c r="BY984" s="182"/>
      <c r="BZ984" s="182"/>
      <c r="CA984" s="182"/>
      <c r="CB984" s="185">
        <v>1250</v>
      </c>
      <c r="CC984" s="185">
        <v>0</v>
      </c>
      <c r="CD984" s="185">
        <v>2335</v>
      </c>
      <c r="CE984" s="185"/>
    </row>
    <row r="985" spans="2:83" x14ac:dyDescent="0.3">
      <c r="B985" s="182">
        <v>4210</v>
      </c>
      <c r="C985" s="182">
        <v>2336</v>
      </c>
      <c r="D985" s="182" t="s">
        <v>123</v>
      </c>
      <c r="E985" s="181" t="s">
        <v>4372</v>
      </c>
      <c r="F985" s="182"/>
      <c r="G985" s="182">
        <v>2500</v>
      </c>
      <c r="H985" s="182"/>
      <c r="I985" s="182"/>
      <c r="J985" s="182"/>
      <c r="K985" s="182"/>
      <c r="L985" s="182"/>
      <c r="M985" s="182"/>
      <c r="N985" s="182"/>
      <c r="O985" s="182"/>
      <c r="P985" s="182"/>
      <c r="Q985" s="182"/>
      <c r="R985" s="182"/>
      <c r="S985" s="182"/>
      <c r="T985" s="182"/>
      <c r="U985" s="182"/>
      <c r="V985" s="182"/>
      <c r="W985" s="182"/>
      <c r="X985" s="182"/>
      <c r="Y985" s="182"/>
      <c r="Z985" s="182"/>
      <c r="AA985" s="182"/>
      <c r="AB985" s="182"/>
      <c r="AC985" s="182"/>
      <c r="AD985" s="182"/>
      <c r="AE985" s="182"/>
      <c r="AF985" s="182"/>
      <c r="AG985" s="182"/>
      <c r="AH985" s="182"/>
      <c r="AI985" s="182"/>
      <c r="AJ985" s="182"/>
      <c r="AK985" s="182"/>
      <c r="AL985" s="182"/>
      <c r="AM985" s="182"/>
      <c r="AN985" s="182"/>
      <c r="AO985" s="182"/>
      <c r="AP985" s="182"/>
      <c r="AQ985" s="185">
        <v>2500</v>
      </c>
      <c r="AR985" s="182">
        <v>1886.52</v>
      </c>
      <c r="AS985" s="182">
        <v>488.48</v>
      </c>
      <c r="AT985" s="182"/>
      <c r="AU985" s="182">
        <v>125</v>
      </c>
      <c r="AV985" s="182"/>
      <c r="AW985" s="182"/>
      <c r="AX985" s="182"/>
      <c r="AY985" s="182"/>
      <c r="AZ985" s="182"/>
      <c r="BA985" s="182"/>
      <c r="BB985" s="182"/>
      <c r="BC985" s="182"/>
      <c r="BD985" s="182"/>
      <c r="BE985" s="182"/>
      <c r="BF985" s="182"/>
      <c r="BG985" s="182"/>
      <c r="BH985" s="182"/>
      <c r="BI985" s="182"/>
      <c r="BJ985" s="182"/>
      <c r="BK985" s="182"/>
      <c r="BL985" s="182"/>
      <c r="BM985" s="182"/>
      <c r="BN985" s="182"/>
      <c r="BO985" s="182"/>
      <c r="BP985" s="182"/>
      <c r="BQ985" s="182"/>
      <c r="BR985" s="182"/>
      <c r="BS985" s="182"/>
      <c r="BT985" s="182"/>
      <c r="BU985" s="182"/>
      <c r="BV985" s="182"/>
      <c r="BW985" s="182"/>
      <c r="BX985" s="182"/>
      <c r="BY985" s="182"/>
      <c r="BZ985" s="182"/>
      <c r="CA985" s="182"/>
      <c r="CB985" s="185">
        <v>2500</v>
      </c>
      <c r="CC985" s="185">
        <v>0</v>
      </c>
      <c r="CD985" s="185">
        <v>2336</v>
      </c>
      <c r="CE985" s="185"/>
    </row>
    <row r="986" spans="2:83" x14ac:dyDescent="0.3">
      <c r="B986" s="182">
        <v>4205</v>
      </c>
      <c r="C986" s="182">
        <v>2337</v>
      </c>
      <c r="D986" s="182" t="s">
        <v>123</v>
      </c>
      <c r="E986" s="181" t="s">
        <v>4372</v>
      </c>
      <c r="F986" s="182"/>
      <c r="G986" s="182">
        <v>879.38</v>
      </c>
      <c r="H986" s="182"/>
      <c r="I986" s="182"/>
      <c r="J986" s="182"/>
      <c r="K986" s="182"/>
      <c r="L986" s="182"/>
      <c r="M986" s="182"/>
      <c r="N986" s="182"/>
      <c r="O986" s="182"/>
      <c r="P986" s="182"/>
      <c r="Q986" s="182"/>
      <c r="R986" s="182"/>
      <c r="S986" s="182"/>
      <c r="T986" s="182"/>
      <c r="U986" s="182"/>
      <c r="V986" s="182"/>
      <c r="W986" s="182"/>
      <c r="X986" s="182"/>
      <c r="Y986" s="182"/>
      <c r="Z986" s="182"/>
      <c r="AA986" s="182"/>
      <c r="AB986" s="182"/>
      <c r="AC986" s="182"/>
      <c r="AD986" s="182"/>
      <c r="AE986" s="182"/>
      <c r="AF986" s="182"/>
      <c r="AG986" s="182"/>
      <c r="AH986" s="182"/>
      <c r="AI986" s="182"/>
      <c r="AJ986" s="182"/>
      <c r="AK986" s="182"/>
      <c r="AL986" s="182"/>
      <c r="AM986" s="182"/>
      <c r="AN986" s="182"/>
      <c r="AO986" s="182"/>
      <c r="AP986" s="182"/>
      <c r="AQ986" s="185">
        <v>879.38</v>
      </c>
      <c r="AR986" s="182">
        <v>587.6</v>
      </c>
      <c r="AS986" s="182">
        <v>79.900000000000006</v>
      </c>
      <c r="AT986" s="182">
        <v>211.88</v>
      </c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182"/>
      <c r="BK986" s="182"/>
      <c r="BL986" s="182"/>
      <c r="BM986" s="182"/>
      <c r="BN986" s="182"/>
      <c r="BO986" s="182"/>
      <c r="BP986" s="182"/>
      <c r="BQ986" s="182"/>
      <c r="BR986" s="182"/>
      <c r="BS986" s="182"/>
      <c r="BT986" s="182"/>
      <c r="BU986" s="182"/>
      <c r="BV986" s="182"/>
      <c r="BW986" s="182"/>
      <c r="BX986" s="182"/>
      <c r="BY986" s="182"/>
      <c r="BZ986" s="182"/>
      <c r="CA986" s="182"/>
      <c r="CB986" s="185">
        <v>879.38</v>
      </c>
      <c r="CC986" s="185">
        <v>0</v>
      </c>
      <c r="CD986" s="185">
        <v>2337</v>
      </c>
      <c r="CE986" s="185"/>
    </row>
    <row r="987" spans="2:83" x14ac:dyDescent="0.3">
      <c r="B987" s="182">
        <v>4203</v>
      </c>
      <c r="C987" s="182">
        <v>2338</v>
      </c>
      <c r="D987" s="182" t="s">
        <v>123</v>
      </c>
      <c r="E987" s="181" t="s">
        <v>4372</v>
      </c>
      <c r="F987" s="182"/>
      <c r="G987" s="182">
        <v>4249.9799999999996</v>
      </c>
      <c r="H987" s="182"/>
      <c r="I987" s="182"/>
      <c r="J987" s="182"/>
      <c r="K987" s="182"/>
      <c r="L987" s="182"/>
      <c r="M987" s="182"/>
      <c r="N987" s="182"/>
      <c r="O987" s="182"/>
      <c r="P987" s="182"/>
      <c r="Q987" s="182"/>
      <c r="R987" s="182"/>
      <c r="S987" s="182"/>
      <c r="T987" s="182"/>
      <c r="U987" s="182"/>
      <c r="V987" s="182"/>
      <c r="W987" s="182"/>
      <c r="X987" s="182"/>
      <c r="Y987" s="182"/>
      <c r="Z987" s="182"/>
      <c r="AA987" s="182"/>
      <c r="AB987" s="182"/>
      <c r="AC987" s="182"/>
      <c r="AD987" s="182"/>
      <c r="AE987" s="182"/>
      <c r="AF987" s="182"/>
      <c r="AG987" s="182"/>
      <c r="AH987" s="182"/>
      <c r="AI987" s="182"/>
      <c r="AJ987" s="182"/>
      <c r="AK987" s="182"/>
      <c r="AL987" s="182"/>
      <c r="AM987" s="182"/>
      <c r="AN987" s="182"/>
      <c r="AO987" s="182"/>
      <c r="AP987" s="182"/>
      <c r="AQ987" s="185">
        <v>4249.9799999999996</v>
      </c>
      <c r="AR987" s="182">
        <v>3206.18</v>
      </c>
      <c r="AS987" s="182">
        <v>831.31</v>
      </c>
      <c r="AT987" s="182"/>
      <c r="AU987" s="182">
        <v>212.49</v>
      </c>
      <c r="AV987" s="182"/>
      <c r="AW987" s="182"/>
      <c r="AX987" s="182"/>
      <c r="AY987" s="182"/>
      <c r="AZ987" s="182"/>
      <c r="BA987" s="182"/>
      <c r="BB987" s="182"/>
      <c r="BC987" s="182"/>
      <c r="BD987" s="182"/>
      <c r="BE987" s="182"/>
      <c r="BF987" s="182"/>
      <c r="BG987" s="182"/>
      <c r="BH987" s="182"/>
      <c r="BI987" s="182"/>
      <c r="BJ987" s="182"/>
      <c r="BK987" s="182"/>
      <c r="BL987" s="182"/>
      <c r="BM987" s="182"/>
      <c r="BN987" s="182"/>
      <c r="BO987" s="182"/>
      <c r="BP987" s="182"/>
      <c r="BQ987" s="182"/>
      <c r="BR987" s="182"/>
      <c r="BS987" s="182"/>
      <c r="BT987" s="182"/>
      <c r="BU987" s="182"/>
      <c r="BV987" s="182"/>
      <c r="BW987" s="182"/>
      <c r="BX987" s="182"/>
      <c r="BY987" s="182"/>
      <c r="BZ987" s="182"/>
      <c r="CA987" s="182"/>
      <c r="CB987" s="185">
        <v>4249.9799999999996</v>
      </c>
      <c r="CC987" s="185">
        <v>0</v>
      </c>
      <c r="CD987" s="185">
        <v>2338</v>
      </c>
      <c r="CE987" s="185"/>
    </row>
    <row r="988" spans="2:83" x14ac:dyDescent="0.3">
      <c r="B988" s="182">
        <v>4182</v>
      </c>
      <c r="C988" s="182">
        <v>2339</v>
      </c>
      <c r="D988" s="182" t="s">
        <v>123</v>
      </c>
      <c r="E988" s="181" t="s">
        <v>4371</v>
      </c>
      <c r="F988" s="182"/>
      <c r="G988" s="182">
        <v>950</v>
      </c>
      <c r="H988" s="182"/>
      <c r="I988" s="182"/>
      <c r="J988" s="182"/>
      <c r="K988" s="182"/>
      <c r="L988" s="182"/>
      <c r="M988" s="182"/>
      <c r="N988" s="182"/>
      <c r="O988" s="182"/>
      <c r="P988" s="182"/>
      <c r="Q988" s="182"/>
      <c r="R988" s="182"/>
      <c r="S988" s="182"/>
      <c r="T988" s="182"/>
      <c r="U988" s="182"/>
      <c r="V988" s="182"/>
      <c r="W988" s="182"/>
      <c r="X988" s="182"/>
      <c r="Y988" s="182"/>
      <c r="Z988" s="182"/>
      <c r="AA988" s="182"/>
      <c r="AB988" s="182"/>
      <c r="AC988" s="182"/>
      <c r="AD988" s="182"/>
      <c r="AE988" s="182"/>
      <c r="AF988" s="182"/>
      <c r="AG988" s="182"/>
      <c r="AH988" s="182"/>
      <c r="AI988" s="182"/>
      <c r="AJ988" s="182"/>
      <c r="AK988" s="182"/>
      <c r="AL988" s="182"/>
      <c r="AM988" s="182"/>
      <c r="AN988" s="182"/>
      <c r="AO988" s="182"/>
      <c r="AP988" s="182"/>
      <c r="AQ988" s="185">
        <v>950</v>
      </c>
      <c r="AR988" s="182">
        <v>716.96</v>
      </c>
      <c r="AS988" s="182">
        <v>185.54</v>
      </c>
      <c r="AT988" s="182"/>
      <c r="AU988" s="182">
        <v>47.5</v>
      </c>
      <c r="AV988" s="182"/>
      <c r="AW988" s="182"/>
      <c r="AX988" s="182"/>
      <c r="AY988" s="182"/>
      <c r="AZ988" s="182"/>
      <c r="BA988" s="182"/>
      <c r="BB988" s="182"/>
      <c r="BC988" s="182"/>
      <c r="BD988" s="182"/>
      <c r="BE988" s="182"/>
      <c r="BF988" s="182"/>
      <c r="BG988" s="182"/>
      <c r="BH988" s="182"/>
      <c r="BI988" s="182"/>
      <c r="BJ988" s="182"/>
      <c r="BK988" s="182"/>
      <c r="BL988" s="182"/>
      <c r="BM988" s="182"/>
      <c r="BN988" s="182"/>
      <c r="BO988" s="182"/>
      <c r="BP988" s="182"/>
      <c r="BQ988" s="182"/>
      <c r="BR988" s="182"/>
      <c r="BS988" s="182"/>
      <c r="BT988" s="182"/>
      <c r="BU988" s="182"/>
      <c r="BV988" s="182"/>
      <c r="BW988" s="182"/>
      <c r="BX988" s="182"/>
      <c r="BY988" s="182"/>
      <c r="BZ988" s="182"/>
      <c r="CA988" s="182"/>
      <c r="CB988" s="185">
        <v>950</v>
      </c>
      <c r="CC988" s="185">
        <v>0</v>
      </c>
      <c r="CD988" s="185">
        <v>2339</v>
      </c>
      <c r="CE988" s="185"/>
    </row>
    <row r="989" spans="2:83" x14ac:dyDescent="0.3">
      <c r="B989" s="182">
        <v>4184</v>
      </c>
      <c r="C989" s="182">
        <v>2340</v>
      </c>
      <c r="D989" s="182" t="s">
        <v>123</v>
      </c>
      <c r="E989" s="181" t="s">
        <v>4371</v>
      </c>
      <c r="F989" s="182"/>
      <c r="G989" s="182">
        <v>950</v>
      </c>
      <c r="H989" s="182"/>
      <c r="I989" s="182"/>
      <c r="J989" s="182"/>
      <c r="K989" s="182"/>
      <c r="L989" s="182"/>
      <c r="M989" s="182"/>
      <c r="N989" s="182"/>
      <c r="O989" s="182"/>
      <c r="P989" s="182"/>
      <c r="Q989" s="182"/>
      <c r="R989" s="182"/>
      <c r="S989" s="182"/>
      <c r="T989" s="182"/>
      <c r="U989" s="182"/>
      <c r="V989" s="182"/>
      <c r="W989" s="182"/>
      <c r="X989" s="182"/>
      <c r="Y989" s="182"/>
      <c r="Z989" s="182"/>
      <c r="AA989" s="182"/>
      <c r="AB989" s="182"/>
      <c r="AC989" s="182"/>
      <c r="AD989" s="182"/>
      <c r="AE989" s="182"/>
      <c r="AF989" s="182"/>
      <c r="AG989" s="182"/>
      <c r="AH989" s="182"/>
      <c r="AI989" s="182"/>
      <c r="AJ989" s="182"/>
      <c r="AK989" s="182"/>
      <c r="AL989" s="182"/>
      <c r="AM989" s="182"/>
      <c r="AN989" s="182"/>
      <c r="AO989" s="182"/>
      <c r="AP989" s="182"/>
      <c r="AQ989" s="185">
        <v>950</v>
      </c>
      <c r="AR989" s="182">
        <v>716.96</v>
      </c>
      <c r="AS989" s="182">
        <v>185.54</v>
      </c>
      <c r="AT989" s="182"/>
      <c r="AU989" s="182">
        <v>47.5</v>
      </c>
      <c r="AV989" s="182"/>
      <c r="AW989" s="182"/>
      <c r="AX989" s="182"/>
      <c r="AY989" s="182"/>
      <c r="AZ989" s="182"/>
      <c r="BA989" s="182"/>
      <c r="BB989" s="182"/>
      <c r="BC989" s="182"/>
      <c r="BD989" s="182"/>
      <c r="BE989" s="182"/>
      <c r="BF989" s="182"/>
      <c r="BG989" s="182"/>
      <c r="BH989" s="182"/>
      <c r="BI989" s="182"/>
      <c r="BJ989" s="182"/>
      <c r="BK989" s="182"/>
      <c r="BL989" s="182"/>
      <c r="BM989" s="182"/>
      <c r="BN989" s="182"/>
      <c r="BO989" s="182"/>
      <c r="BP989" s="182"/>
      <c r="BQ989" s="182"/>
      <c r="BR989" s="182"/>
      <c r="BS989" s="182"/>
      <c r="BT989" s="182"/>
      <c r="BU989" s="182"/>
      <c r="BV989" s="182"/>
      <c r="BW989" s="182"/>
      <c r="BX989" s="182"/>
      <c r="BY989" s="182"/>
      <c r="BZ989" s="182"/>
      <c r="CA989" s="182"/>
      <c r="CB989" s="185">
        <v>950</v>
      </c>
      <c r="CC989" s="185">
        <v>0</v>
      </c>
      <c r="CD989" s="185">
        <v>2340</v>
      </c>
      <c r="CE989" s="185"/>
    </row>
    <row r="990" spans="2:83" x14ac:dyDescent="0.3">
      <c r="B990" s="182">
        <v>4187</v>
      </c>
      <c r="C990" s="182">
        <v>2341</v>
      </c>
      <c r="D990" s="182" t="s">
        <v>123</v>
      </c>
      <c r="E990" s="181" t="s">
        <v>4371</v>
      </c>
      <c r="F990" s="182"/>
      <c r="G990" s="182">
        <v>400</v>
      </c>
      <c r="H990" s="182"/>
      <c r="I990" s="182"/>
      <c r="J990" s="182"/>
      <c r="K990" s="182"/>
      <c r="L990" s="182"/>
      <c r="M990" s="182"/>
      <c r="N990" s="182"/>
      <c r="O990" s="182"/>
      <c r="P990" s="182"/>
      <c r="Q990" s="182"/>
      <c r="R990" s="182"/>
      <c r="S990" s="182"/>
      <c r="T990" s="182"/>
      <c r="U990" s="182"/>
      <c r="V990" s="182"/>
      <c r="W990" s="182"/>
      <c r="X990" s="182"/>
      <c r="Y990" s="182"/>
      <c r="Z990" s="182"/>
      <c r="AA990" s="182"/>
      <c r="AB990" s="182"/>
      <c r="AC990" s="182"/>
      <c r="AD990" s="182"/>
      <c r="AE990" s="182"/>
      <c r="AF990" s="182"/>
      <c r="AG990" s="182"/>
      <c r="AH990" s="182"/>
      <c r="AI990" s="182"/>
      <c r="AJ990" s="182"/>
      <c r="AK990" s="182"/>
      <c r="AL990" s="182"/>
      <c r="AM990" s="182"/>
      <c r="AN990" s="182"/>
      <c r="AO990" s="182"/>
      <c r="AP990" s="182"/>
      <c r="AQ990" s="185">
        <v>400</v>
      </c>
      <c r="AR990" s="182">
        <v>302.16000000000003</v>
      </c>
      <c r="AS990" s="182">
        <v>77.84</v>
      </c>
      <c r="AT990" s="182"/>
      <c r="AU990" s="182">
        <v>20</v>
      </c>
      <c r="AV990" s="182"/>
      <c r="AW990" s="182"/>
      <c r="AX990" s="182"/>
      <c r="AY990" s="182"/>
      <c r="AZ990" s="182"/>
      <c r="BA990" s="182"/>
      <c r="BB990" s="182"/>
      <c r="BC990" s="182"/>
      <c r="BD990" s="182"/>
      <c r="BE990" s="182"/>
      <c r="BF990" s="182"/>
      <c r="BG990" s="182"/>
      <c r="BH990" s="182"/>
      <c r="BI990" s="182"/>
      <c r="BJ990" s="182"/>
      <c r="BK990" s="182"/>
      <c r="BL990" s="182"/>
      <c r="BM990" s="182"/>
      <c r="BN990" s="182"/>
      <c r="BO990" s="182"/>
      <c r="BP990" s="182"/>
      <c r="BQ990" s="182"/>
      <c r="BR990" s="182"/>
      <c r="BS990" s="182"/>
      <c r="BT990" s="182"/>
      <c r="BU990" s="182"/>
      <c r="BV990" s="182"/>
      <c r="BW990" s="182"/>
      <c r="BX990" s="182"/>
      <c r="BY990" s="182"/>
      <c r="BZ990" s="182"/>
      <c r="CA990" s="182"/>
      <c r="CB990" s="185">
        <v>400</v>
      </c>
      <c r="CC990" s="185">
        <v>0</v>
      </c>
      <c r="CD990" s="185">
        <v>2341</v>
      </c>
      <c r="CE990" s="185"/>
    </row>
    <row r="991" spans="2:83" x14ac:dyDescent="0.3">
      <c r="B991" s="182">
        <v>4188</v>
      </c>
      <c r="C991" s="182">
        <v>2342</v>
      </c>
      <c r="D991" s="182" t="s">
        <v>123</v>
      </c>
      <c r="E991" s="181" t="s">
        <v>4372</v>
      </c>
      <c r="F991" s="182"/>
      <c r="G991" s="182">
        <v>879.38</v>
      </c>
      <c r="H991" s="182"/>
      <c r="I991" s="182"/>
      <c r="J991" s="182"/>
      <c r="K991" s="182"/>
      <c r="L991" s="182"/>
      <c r="M991" s="182"/>
      <c r="N991" s="182"/>
      <c r="O991" s="182"/>
      <c r="P991" s="182"/>
      <c r="Q991" s="182"/>
      <c r="R991" s="182"/>
      <c r="S991" s="182"/>
      <c r="T991" s="182"/>
      <c r="U991" s="182"/>
      <c r="V991" s="182"/>
      <c r="W991" s="182"/>
      <c r="X991" s="182"/>
      <c r="Y991" s="182"/>
      <c r="Z991" s="182"/>
      <c r="AA991" s="182"/>
      <c r="AB991" s="182"/>
      <c r="AC991" s="182"/>
      <c r="AD991" s="182"/>
      <c r="AE991" s="182"/>
      <c r="AF991" s="182"/>
      <c r="AG991" s="182"/>
      <c r="AH991" s="182"/>
      <c r="AI991" s="182"/>
      <c r="AJ991" s="182"/>
      <c r="AK991" s="182"/>
      <c r="AL991" s="182"/>
      <c r="AM991" s="182"/>
      <c r="AN991" s="182"/>
      <c r="AO991" s="182"/>
      <c r="AP991" s="182"/>
      <c r="AQ991" s="185">
        <v>879.38</v>
      </c>
      <c r="AR991" s="182">
        <v>588.15</v>
      </c>
      <c r="AS991" s="182">
        <v>79.349999999999994</v>
      </c>
      <c r="AT991" s="182">
        <v>211.88</v>
      </c>
      <c r="AU991" s="182"/>
      <c r="AV991" s="182"/>
      <c r="AW991" s="182"/>
      <c r="AX991" s="182"/>
      <c r="AY991" s="182"/>
      <c r="AZ991" s="182"/>
      <c r="BA991" s="182"/>
      <c r="BB991" s="182"/>
      <c r="BC991" s="182"/>
      <c r="BD991" s="182"/>
      <c r="BE991" s="182"/>
      <c r="BF991" s="182"/>
      <c r="BG991" s="182"/>
      <c r="BH991" s="182"/>
      <c r="BI991" s="182"/>
      <c r="BJ991" s="182"/>
      <c r="BK991" s="182"/>
      <c r="BL991" s="182"/>
      <c r="BM991" s="182"/>
      <c r="BN991" s="182"/>
      <c r="BO991" s="182"/>
      <c r="BP991" s="182"/>
      <c r="BQ991" s="182"/>
      <c r="BR991" s="182"/>
      <c r="BS991" s="182"/>
      <c r="BT991" s="182"/>
      <c r="BU991" s="182"/>
      <c r="BV991" s="182"/>
      <c r="BW991" s="182"/>
      <c r="BX991" s="182"/>
      <c r="BY991" s="182"/>
      <c r="BZ991" s="182"/>
      <c r="CA991" s="182"/>
      <c r="CB991" s="185">
        <v>879.38</v>
      </c>
      <c r="CC991" s="185">
        <v>0</v>
      </c>
      <c r="CD991" s="185">
        <v>2342</v>
      </c>
      <c r="CE991" s="185"/>
    </row>
    <row r="992" spans="2:83" x14ac:dyDescent="0.3">
      <c r="B992" s="182">
        <v>4189</v>
      </c>
      <c r="C992" s="182">
        <v>2343</v>
      </c>
      <c r="D992" s="182" t="s">
        <v>123</v>
      </c>
      <c r="E992" s="181" t="s">
        <v>4372</v>
      </c>
      <c r="F992" s="182"/>
      <c r="G992" s="182">
        <v>2500</v>
      </c>
      <c r="H992" s="182"/>
      <c r="I992" s="182"/>
      <c r="J992" s="182"/>
      <c r="K992" s="182"/>
      <c r="L992" s="182"/>
      <c r="M992" s="182"/>
      <c r="N992" s="182"/>
      <c r="O992" s="182"/>
      <c r="P992" s="182"/>
      <c r="Q992" s="182"/>
      <c r="R992" s="182"/>
      <c r="S992" s="182"/>
      <c r="T992" s="182"/>
      <c r="U992" s="182"/>
      <c r="V992" s="182"/>
      <c r="W992" s="182"/>
      <c r="X992" s="182"/>
      <c r="Y992" s="182"/>
      <c r="Z992" s="182"/>
      <c r="AA992" s="182"/>
      <c r="AB992" s="182"/>
      <c r="AC992" s="182"/>
      <c r="AD992" s="182"/>
      <c r="AE992" s="182"/>
      <c r="AF992" s="182"/>
      <c r="AG992" s="182"/>
      <c r="AH992" s="182"/>
      <c r="AI992" s="182"/>
      <c r="AJ992" s="182"/>
      <c r="AK992" s="182"/>
      <c r="AL992" s="182"/>
      <c r="AM992" s="182"/>
      <c r="AN992" s="182"/>
      <c r="AO992" s="182"/>
      <c r="AP992" s="182"/>
      <c r="AQ992" s="185">
        <v>2500</v>
      </c>
      <c r="AR992" s="182">
        <v>1885.6</v>
      </c>
      <c r="AS992" s="182">
        <v>489.4</v>
      </c>
      <c r="AT992" s="182"/>
      <c r="AU992" s="182">
        <v>125</v>
      </c>
      <c r="AV992" s="182"/>
      <c r="AW992" s="182"/>
      <c r="AX992" s="182"/>
      <c r="AY992" s="182"/>
      <c r="AZ992" s="182"/>
      <c r="BA992" s="182"/>
      <c r="BB992" s="182"/>
      <c r="BC992" s="182"/>
      <c r="BD992" s="182"/>
      <c r="BE992" s="182"/>
      <c r="BF992" s="182"/>
      <c r="BG992" s="182"/>
      <c r="BH992" s="182"/>
      <c r="BI992" s="182"/>
      <c r="BJ992" s="182"/>
      <c r="BK992" s="182"/>
      <c r="BL992" s="182"/>
      <c r="BM992" s="182"/>
      <c r="BN992" s="182"/>
      <c r="BO992" s="182"/>
      <c r="BP992" s="182"/>
      <c r="BQ992" s="182"/>
      <c r="BR992" s="182"/>
      <c r="BS992" s="182"/>
      <c r="BT992" s="182"/>
      <c r="BU992" s="182"/>
      <c r="BV992" s="182"/>
      <c r="BW992" s="182"/>
      <c r="BX992" s="182"/>
      <c r="BY992" s="182"/>
      <c r="BZ992" s="182"/>
      <c r="CA992" s="182"/>
      <c r="CB992" s="185">
        <v>2500</v>
      </c>
      <c r="CC992" s="185">
        <v>0</v>
      </c>
      <c r="CD992" s="185">
        <v>2343</v>
      </c>
      <c r="CE992" s="185"/>
    </row>
    <row r="993" spans="2:83" x14ac:dyDescent="0.3">
      <c r="B993" s="182">
        <v>4192</v>
      </c>
      <c r="C993" s="182">
        <v>2344</v>
      </c>
      <c r="D993" s="182" t="s">
        <v>123</v>
      </c>
      <c r="E993" s="181" t="s">
        <v>4372</v>
      </c>
      <c r="F993" s="182"/>
      <c r="G993" s="182">
        <v>1250</v>
      </c>
      <c r="H993" s="182"/>
      <c r="I993" s="182"/>
      <c r="J993" s="182"/>
      <c r="K993" s="182"/>
      <c r="L993" s="182"/>
      <c r="M993" s="182"/>
      <c r="N993" s="182"/>
      <c r="O993" s="182"/>
      <c r="P993" s="182"/>
      <c r="Q993" s="182"/>
      <c r="R993" s="182"/>
      <c r="S993" s="182"/>
      <c r="T993" s="182"/>
      <c r="U993" s="182"/>
      <c r="V993" s="182"/>
      <c r="W993" s="182"/>
      <c r="X993" s="182"/>
      <c r="Y993" s="182"/>
      <c r="Z993" s="182"/>
      <c r="AA993" s="182"/>
      <c r="AB993" s="182"/>
      <c r="AC993" s="182"/>
      <c r="AD993" s="182"/>
      <c r="AE993" s="182"/>
      <c r="AF993" s="182"/>
      <c r="AG993" s="182"/>
      <c r="AH993" s="182"/>
      <c r="AI993" s="182"/>
      <c r="AJ993" s="182"/>
      <c r="AK993" s="182"/>
      <c r="AL993" s="182"/>
      <c r="AM993" s="182"/>
      <c r="AN993" s="182"/>
      <c r="AO993" s="182"/>
      <c r="AP993" s="182"/>
      <c r="AQ993" s="185">
        <v>1250</v>
      </c>
      <c r="AR993" s="182">
        <v>943.72</v>
      </c>
      <c r="AS993" s="182">
        <v>243.78</v>
      </c>
      <c r="AT993" s="182"/>
      <c r="AU993" s="182">
        <v>62.5</v>
      </c>
      <c r="AV993" s="182"/>
      <c r="AW993" s="182"/>
      <c r="AX993" s="182"/>
      <c r="AY993" s="182"/>
      <c r="AZ993" s="182"/>
      <c r="BA993" s="182"/>
      <c r="BB993" s="182"/>
      <c r="BC993" s="182"/>
      <c r="BD993" s="182"/>
      <c r="BE993" s="182"/>
      <c r="BF993" s="182"/>
      <c r="BG993" s="182"/>
      <c r="BH993" s="182"/>
      <c r="BI993" s="182"/>
      <c r="BJ993" s="182"/>
      <c r="BK993" s="182"/>
      <c r="BL993" s="182"/>
      <c r="BM993" s="182"/>
      <c r="BN993" s="182"/>
      <c r="BO993" s="182"/>
      <c r="BP993" s="182"/>
      <c r="BQ993" s="182"/>
      <c r="BR993" s="182"/>
      <c r="BS993" s="182"/>
      <c r="BT993" s="182"/>
      <c r="BU993" s="182"/>
      <c r="BV993" s="182"/>
      <c r="BW993" s="182"/>
      <c r="BX993" s="182"/>
      <c r="BY993" s="182"/>
      <c r="BZ993" s="182"/>
      <c r="CA993" s="182"/>
      <c r="CB993" s="185">
        <v>1250</v>
      </c>
      <c r="CC993" s="185">
        <v>0</v>
      </c>
      <c r="CD993" s="185">
        <v>2344</v>
      </c>
      <c r="CE993" s="185"/>
    </row>
    <row r="994" spans="2:83" x14ac:dyDescent="0.3">
      <c r="B994" s="182">
        <v>4193</v>
      </c>
      <c r="C994" s="182">
        <v>2345</v>
      </c>
      <c r="D994" s="182" t="s">
        <v>123</v>
      </c>
      <c r="E994" s="181" t="s">
        <v>4371</v>
      </c>
      <c r="F994" s="182"/>
      <c r="G994" s="182">
        <v>469</v>
      </c>
      <c r="H994" s="182"/>
      <c r="I994" s="182"/>
      <c r="J994" s="182"/>
      <c r="K994" s="182"/>
      <c r="L994" s="182"/>
      <c r="M994" s="182"/>
      <c r="N994" s="182"/>
      <c r="O994" s="182"/>
      <c r="P994" s="182"/>
      <c r="Q994" s="182"/>
      <c r="R994" s="182"/>
      <c r="S994" s="182"/>
      <c r="T994" s="182"/>
      <c r="U994" s="182"/>
      <c r="V994" s="182"/>
      <c r="W994" s="182"/>
      <c r="X994" s="182"/>
      <c r="Y994" s="182"/>
      <c r="Z994" s="182"/>
      <c r="AA994" s="182"/>
      <c r="AB994" s="182"/>
      <c r="AC994" s="182"/>
      <c r="AD994" s="182"/>
      <c r="AE994" s="182"/>
      <c r="AF994" s="182"/>
      <c r="AG994" s="182"/>
      <c r="AH994" s="182"/>
      <c r="AI994" s="182"/>
      <c r="AJ994" s="182"/>
      <c r="AK994" s="182"/>
      <c r="AL994" s="182"/>
      <c r="AM994" s="182"/>
      <c r="AN994" s="182"/>
      <c r="AO994" s="182"/>
      <c r="AP994" s="182"/>
      <c r="AQ994" s="185">
        <v>469</v>
      </c>
      <c r="AR994" s="182">
        <v>313.7</v>
      </c>
      <c r="AS994" s="182">
        <v>42.3</v>
      </c>
      <c r="AT994" s="182">
        <v>113</v>
      </c>
      <c r="AU994" s="182"/>
      <c r="AV994" s="182"/>
      <c r="AW994" s="182"/>
      <c r="AX994" s="182"/>
      <c r="AY994" s="182"/>
      <c r="AZ994" s="182"/>
      <c r="BA994" s="182"/>
      <c r="BB994" s="182"/>
      <c r="BC994" s="182"/>
      <c r="BD994" s="182"/>
      <c r="BE994" s="182"/>
      <c r="BF994" s="182"/>
      <c r="BG994" s="182"/>
      <c r="BH994" s="182"/>
      <c r="BI994" s="182"/>
      <c r="BJ994" s="182"/>
      <c r="BK994" s="182"/>
      <c r="BL994" s="182"/>
      <c r="BM994" s="182"/>
      <c r="BN994" s="182"/>
      <c r="BO994" s="182"/>
      <c r="BP994" s="182"/>
      <c r="BQ994" s="182"/>
      <c r="BR994" s="182"/>
      <c r="BS994" s="182"/>
      <c r="BT994" s="182"/>
      <c r="BU994" s="182"/>
      <c r="BV994" s="182"/>
      <c r="BW994" s="182"/>
      <c r="BX994" s="182"/>
      <c r="BY994" s="182"/>
      <c r="BZ994" s="182"/>
      <c r="CA994" s="182"/>
      <c r="CB994" s="185">
        <v>469</v>
      </c>
      <c r="CC994" s="185">
        <v>0</v>
      </c>
      <c r="CD994" s="185">
        <v>2345</v>
      </c>
      <c r="CE994" s="185"/>
    </row>
    <row r="995" spans="2:83" x14ac:dyDescent="0.3">
      <c r="B995" s="182">
        <v>4197</v>
      </c>
      <c r="C995" s="182">
        <v>2346</v>
      </c>
      <c r="D995" s="182" t="s">
        <v>123</v>
      </c>
      <c r="E995" s="181" t="s">
        <v>4371</v>
      </c>
      <c r="F995" s="182"/>
      <c r="G995" s="182">
        <v>469</v>
      </c>
      <c r="H995" s="182"/>
      <c r="I995" s="182"/>
      <c r="J995" s="182"/>
      <c r="K995" s="182"/>
      <c r="L995" s="182"/>
      <c r="M995" s="182"/>
      <c r="N995" s="182"/>
      <c r="O995" s="182"/>
      <c r="P995" s="182"/>
      <c r="Q995" s="182"/>
      <c r="R995" s="182"/>
      <c r="S995" s="182"/>
      <c r="T995" s="182"/>
      <c r="U995" s="182"/>
      <c r="V995" s="182"/>
      <c r="W995" s="182"/>
      <c r="X995" s="182"/>
      <c r="Y995" s="182"/>
      <c r="Z995" s="182"/>
      <c r="AA995" s="182"/>
      <c r="AB995" s="182"/>
      <c r="AC995" s="182"/>
      <c r="AD995" s="182"/>
      <c r="AE995" s="182"/>
      <c r="AF995" s="182"/>
      <c r="AG995" s="182"/>
      <c r="AH995" s="182"/>
      <c r="AI995" s="182"/>
      <c r="AJ995" s="182"/>
      <c r="AK995" s="182"/>
      <c r="AL995" s="182"/>
      <c r="AM995" s="182"/>
      <c r="AN995" s="182"/>
      <c r="AO995" s="182"/>
      <c r="AP995" s="182"/>
      <c r="AQ995" s="185">
        <v>469</v>
      </c>
      <c r="AR995" s="182">
        <v>313.7</v>
      </c>
      <c r="AS995" s="182">
        <v>42.3</v>
      </c>
      <c r="AT995" s="182">
        <v>113</v>
      </c>
      <c r="AU995" s="182"/>
      <c r="AV995" s="182"/>
      <c r="AW995" s="182"/>
      <c r="AX995" s="182"/>
      <c r="AY995" s="182"/>
      <c r="AZ995" s="182"/>
      <c r="BA995" s="182"/>
      <c r="BB995" s="182"/>
      <c r="BC995" s="182"/>
      <c r="BD995" s="182"/>
      <c r="BE995" s="182"/>
      <c r="BF995" s="182"/>
      <c r="BG995" s="182"/>
      <c r="BH995" s="182"/>
      <c r="BI995" s="182"/>
      <c r="BJ995" s="182"/>
      <c r="BK995" s="182"/>
      <c r="BL995" s="182"/>
      <c r="BM995" s="182"/>
      <c r="BN995" s="182"/>
      <c r="BO995" s="182"/>
      <c r="BP995" s="182"/>
      <c r="BQ995" s="182"/>
      <c r="BR995" s="182"/>
      <c r="BS995" s="182"/>
      <c r="BT995" s="182"/>
      <c r="BU995" s="182"/>
      <c r="BV995" s="182"/>
      <c r="BW995" s="182"/>
      <c r="BX995" s="182"/>
      <c r="BY995" s="182"/>
      <c r="BZ995" s="182"/>
      <c r="CA995" s="182"/>
      <c r="CB995" s="185">
        <v>469</v>
      </c>
      <c r="CC995" s="185">
        <v>0</v>
      </c>
      <c r="CD995" s="185">
        <v>2346</v>
      </c>
      <c r="CE995" s="185"/>
    </row>
    <row r="996" spans="2:83" x14ac:dyDescent="0.3">
      <c r="B996" s="182">
        <v>4180</v>
      </c>
      <c r="C996" s="182">
        <v>2347</v>
      </c>
      <c r="D996" s="182" t="s">
        <v>123</v>
      </c>
      <c r="E996" s="181" t="s">
        <v>4371</v>
      </c>
      <c r="F996" s="182"/>
      <c r="G996" s="182">
        <v>469</v>
      </c>
      <c r="H996" s="182"/>
      <c r="I996" s="182"/>
      <c r="J996" s="182"/>
      <c r="K996" s="182"/>
      <c r="L996" s="182"/>
      <c r="M996" s="182"/>
      <c r="N996" s="182"/>
      <c r="O996" s="182"/>
      <c r="P996" s="182"/>
      <c r="Q996" s="182"/>
      <c r="R996" s="182"/>
      <c r="S996" s="182"/>
      <c r="T996" s="182"/>
      <c r="U996" s="182"/>
      <c r="V996" s="182"/>
      <c r="W996" s="182"/>
      <c r="X996" s="182"/>
      <c r="Y996" s="182"/>
      <c r="Z996" s="182"/>
      <c r="AA996" s="182"/>
      <c r="AB996" s="182"/>
      <c r="AC996" s="182"/>
      <c r="AD996" s="182"/>
      <c r="AE996" s="182"/>
      <c r="AF996" s="182"/>
      <c r="AG996" s="182"/>
      <c r="AH996" s="182"/>
      <c r="AI996" s="182"/>
      <c r="AJ996" s="182"/>
      <c r="AK996" s="182"/>
      <c r="AL996" s="182"/>
      <c r="AM996" s="182"/>
      <c r="AN996" s="182"/>
      <c r="AO996" s="182"/>
      <c r="AP996" s="182"/>
      <c r="AQ996" s="185">
        <v>469</v>
      </c>
      <c r="AR996" s="182">
        <v>314</v>
      </c>
      <c r="AS996" s="182">
        <v>42</v>
      </c>
      <c r="AT996" s="182">
        <v>113</v>
      </c>
      <c r="AU996" s="182"/>
      <c r="AV996" s="182"/>
      <c r="AW996" s="182"/>
      <c r="AX996" s="182"/>
      <c r="AY996" s="182"/>
      <c r="AZ996" s="182"/>
      <c r="BA996" s="182"/>
      <c r="BB996" s="182"/>
      <c r="BC996" s="182"/>
      <c r="BD996" s="182"/>
      <c r="BE996" s="182"/>
      <c r="BF996" s="182"/>
      <c r="BG996" s="182"/>
      <c r="BH996" s="182"/>
      <c r="BI996" s="182"/>
      <c r="BJ996" s="182"/>
      <c r="BK996" s="182"/>
      <c r="BL996" s="182"/>
      <c r="BM996" s="182"/>
      <c r="BN996" s="182"/>
      <c r="BO996" s="182"/>
      <c r="BP996" s="182"/>
      <c r="BQ996" s="182"/>
      <c r="BR996" s="182"/>
      <c r="BS996" s="182"/>
      <c r="BT996" s="182"/>
      <c r="BU996" s="182"/>
      <c r="BV996" s="182"/>
      <c r="BW996" s="182"/>
      <c r="BX996" s="182"/>
      <c r="BY996" s="182"/>
      <c r="BZ996" s="182"/>
      <c r="CA996" s="182"/>
      <c r="CB996" s="185">
        <v>469</v>
      </c>
      <c r="CC996" s="185">
        <v>0</v>
      </c>
      <c r="CD996" s="185">
        <v>2347</v>
      </c>
      <c r="CE996" s="185"/>
    </row>
    <row r="997" spans="2:83" x14ac:dyDescent="0.3">
      <c r="B997" s="182">
        <v>4194</v>
      </c>
      <c r="C997" s="182">
        <v>2348</v>
      </c>
      <c r="D997" s="182" t="s">
        <v>123</v>
      </c>
      <c r="E997" s="181" t="s">
        <v>4371</v>
      </c>
      <c r="F997" s="182"/>
      <c r="G997" s="182">
        <v>1900</v>
      </c>
      <c r="H997" s="182"/>
      <c r="I997" s="182"/>
      <c r="J997" s="182"/>
      <c r="K997" s="182"/>
      <c r="L997" s="182"/>
      <c r="M997" s="182"/>
      <c r="N997" s="182"/>
      <c r="O997" s="182"/>
      <c r="P997" s="182"/>
      <c r="Q997" s="182"/>
      <c r="R997" s="182"/>
      <c r="S997" s="182"/>
      <c r="T997" s="182"/>
      <c r="U997" s="182"/>
      <c r="V997" s="182"/>
      <c r="W997" s="182"/>
      <c r="X997" s="182"/>
      <c r="Y997" s="182"/>
      <c r="Z997" s="182"/>
      <c r="AA997" s="182"/>
      <c r="AB997" s="182"/>
      <c r="AC997" s="182"/>
      <c r="AD997" s="182"/>
      <c r="AE997" s="182"/>
      <c r="AF997" s="182"/>
      <c r="AG997" s="182"/>
      <c r="AH997" s="182"/>
      <c r="AI997" s="182"/>
      <c r="AJ997" s="182"/>
      <c r="AK997" s="182"/>
      <c r="AL997" s="182"/>
      <c r="AM997" s="182"/>
      <c r="AN997" s="182"/>
      <c r="AO997" s="182"/>
      <c r="AP997" s="182"/>
      <c r="AQ997" s="185">
        <v>1900</v>
      </c>
      <c r="AR997" s="182">
        <v>1434.32</v>
      </c>
      <c r="AS997" s="182">
        <v>370.68</v>
      </c>
      <c r="AT997" s="182"/>
      <c r="AU997" s="182">
        <v>95</v>
      </c>
      <c r="AV997" s="182"/>
      <c r="AW997" s="182"/>
      <c r="AX997" s="182"/>
      <c r="AY997" s="182"/>
      <c r="AZ997" s="182"/>
      <c r="BA997" s="182"/>
      <c r="BB997" s="182"/>
      <c r="BC997" s="182"/>
      <c r="BD997" s="182"/>
      <c r="BE997" s="182"/>
      <c r="BF997" s="182"/>
      <c r="BG997" s="182"/>
      <c r="BH997" s="182"/>
      <c r="BI997" s="182"/>
      <c r="BJ997" s="182"/>
      <c r="BK997" s="182"/>
      <c r="BL997" s="182"/>
      <c r="BM997" s="182"/>
      <c r="BN997" s="182"/>
      <c r="BO997" s="182"/>
      <c r="BP997" s="182"/>
      <c r="BQ997" s="182"/>
      <c r="BR997" s="182"/>
      <c r="BS997" s="182"/>
      <c r="BT997" s="182"/>
      <c r="BU997" s="182"/>
      <c r="BV997" s="182"/>
      <c r="BW997" s="182"/>
      <c r="BX997" s="182"/>
      <c r="BY997" s="182"/>
      <c r="BZ997" s="182"/>
      <c r="CA997" s="182"/>
      <c r="CB997" s="185">
        <v>1900</v>
      </c>
      <c r="CC997" s="185">
        <v>0</v>
      </c>
      <c r="CD997" s="185">
        <v>2348</v>
      </c>
      <c r="CE997" s="185"/>
    </row>
    <row r="998" spans="2:83" x14ac:dyDescent="0.3">
      <c r="B998" s="182">
        <v>4200</v>
      </c>
      <c r="C998" s="182">
        <v>2349</v>
      </c>
      <c r="D998" s="182" t="s">
        <v>123</v>
      </c>
      <c r="E998" s="181" t="s">
        <v>4371</v>
      </c>
      <c r="F998" s="182"/>
      <c r="G998" s="182">
        <v>2299.98</v>
      </c>
      <c r="H998" s="182"/>
      <c r="I998" s="182"/>
      <c r="J998" s="182"/>
      <c r="K998" s="182"/>
      <c r="L998" s="182"/>
      <c r="M998" s="182"/>
      <c r="N998" s="182"/>
      <c r="O998" s="182"/>
      <c r="P998" s="182"/>
      <c r="Q998" s="182"/>
      <c r="R998" s="182"/>
      <c r="S998" s="182"/>
      <c r="T998" s="182"/>
      <c r="U998" s="182"/>
      <c r="V998" s="182"/>
      <c r="W998" s="182"/>
      <c r="X998" s="182"/>
      <c r="Y998" s="182"/>
      <c r="Z998" s="182"/>
      <c r="AA998" s="182"/>
      <c r="AB998" s="182"/>
      <c r="AC998" s="182"/>
      <c r="AD998" s="182"/>
      <c r="AE998" s="182"/>
      <c r="AF998" s="182"/>
      <c r="AG998" s="182"/>
      <c r="AH998" s="182"/>
      <c r="AI998" s="182"/>
      <c r="AJ998" s="182"/>
      <c r="AK998" s="182"/>
      <c r="AL998" s="182"/>
      <c r="AM998" s="182"/>
      <c r="AN998" s="182"/>
      <c r="AO998" s="182"/>
      <c r="AP998" s="182"/>
      <c r="AQ998" s="185">
        <v>2299.98</v>
      </c>
      <c r="AR998" s="182">
        <v>1736.38</v>
      </c>
      <c r="AS998" s="182">
        <v>448.61</v>
      </c>
      <c r="AT998" s="182"/>
      <c r="AU998" s="182">
        <v>114.99</v>
      </c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182"/>
      <c r="BK998" s="182"/>
      <c r="BL998" s="182"/>
      <c r="BM998" s="182"/>
      <c r="BN998" s="182"/>
      <c r="BO998" s="182"/>
      <c r="BP998" s="182"/>
      <c r="BQ998" s="182"/>
      <c r="BR998" s="182"/>
      <c r="BS998" s="182"/>
      <c r="BT998" s="182"/>
      <c r="BU998" s="182"/>
      <c r="BV998" s="182"/>
      <c r="BW998" s="182"/>
      <c r="BX998" s="182"/>
      <c r="BY998" s="182"/>
      <c r="BZ998" s="182"/>
      <c r="CA998" s="182"/>
      <c r="CB998" s="185">
        <v>2299.98</v>
      </c>
      <c r="CC998" s="185">
        <v>0</v>
      </c>
      <c r="CD998" s="185">
        <v>2349</v>
      </c>
      <c r="CE998" s="185"/>
    </row>
    <row r="999" spans="2:83" x14ac:dyDescent="0.3">
      <c r="B999" s="182">
        <v>4168</v>
      </c>
      <c r="C999" s="182">
        <v>2350</v>
      </c>
      <c r="D999" s="182" t="s">
        <v>123</v>
      </c>
      <c r="E999" s="181" t="s">
        <v>4371</v>
      </c>
      <c r="F999" s="182"/>
      <c r="G999" s="182">
        <v>469</v>
      </c>
      <c r="H999" s="182"/>
      <c r="I999" s="182"/>
      <c r="J999" s="182"/>
      <c r="K999" s="182"/>
      <c r="L999" s="182"/>
      <c r="M999" s="182"/>
      <c r="N999" s="182"/>
      <c r="O999" s="182"/>
      <c r="P999" s="182"/>
      <c r="Q999" s="182"/>
      <c r="R999" s="182"/>
      <c r="S999" s="182"/>
      <c r="T999" s="182"/>
      <c r="U999" s="182"/>
      <c r="V999" s="182"/>
      <c r="W999" s="182"/>
      <c r="X999" s="182"/>
      <c r="Y999" s="182"/>
      <c r="Z999" s="182"/>
      <c r="AA999" s="182"/>
      <c r="AB999" s="182"/>
      <c r="AC999" s="182"/>
      <c r="AD999" s="182"/>
      <c r="AE999" s="182"/>
      <c r="AF999" s="182"/>
      <c r="AG999" s="182"/>
      <c r="AH999" s="182"/>
      <c r="AI999" s="182"/>
      <c r="AJ999" s="182"/>
      <c r="AK999" s="182"/>
      <c r="AL999" s="182"/>
      <c r="AM999" s="182"/>
      <c r="AN999" s="182"/>
      <c r="AO999" s="182"/>
      <c r="AP999" s="182"/>
      <c r="AQ999" s="185">
        <v>469</v>
      </c>
      <c r="AR999" s="182">
        <v>313.7</v>
      </c>
      <c r="AS999" s="182">
        <v>42.3</v>
      </c>
      <c r="AT999" s="182">
        <v>113</v>
      </c>
      <c r="AU999" s="182"/>
      <c r="AV999" s="182"/>
      <c r="AW999" s="182"/>
      <c r="AX999" s="182"/>
      <c r="AY999" s="182"/>
      <c r="AZ999" s="182"/>
      <c r="BA999" s="182"/>
      <c r="BB999" s="182"/>
      <c r="BC999" s="182"/>
      <c r="BD999" s="182"/>
      <c r="BE999" s="182"/>
      <c r="BF999" s="182"/>
      <c r="BG999" s="182"/>
      <c r="BH999" s="182"/>
      <c r="BI999" s="182"/>
      <c r="BJ999" s="182"/>
      <c r="BK999" s="182"/>
      <c r="BL999" s="182"/>
      <c r="BM999" s="182"/>
      <c r="BN999" s="182"/>
      <c r="BO999" s="182"/>
      <c r="BP999" s="182"/>
      <c r="BQ999" s="182"/>
      <c r="BR999" s="182"/>
      <c r="BS999" s="182"/>
      <c r="BT999" s="182"/>
      <c r="BU999" s="182"/>
      <c r="BV999" s="182"/>
      <c r="BW999" s="182"/>
      <c r="BX999" s="182"/>
      <c r="BY999" s="182"/>
      <c r="BZ999" s="182"/>
      <c r="CA999" s="182"/>
      <c r="CB999" s="185">
        <v>469</v>
      </c>
      <c r="CC999" s="185">
        <v>0</v>
      </c>
      <c r="CD999" s="185">
        <v>2350</v>
      </c>
      <c r="CE999" s="185"/>
    </row>
    <row r="1000" spans="2:83" s="198" customFormat="1" x14ac:dyDescent="0.3">
      <c r="B1000" s="190"/>
      <c r="C1000" s="190"/>
      <c r="D1000" s="190"/>
      <c r="E1000" s="199" t="s">
        <v>4374</v>
      </c>
      <c r="F1000" s="190"/>
      <c r="G1000" s="190">
        <v>588379.73999999953</v>
      </c>
      <c r="H1000" s="190">
        <v>63569.5</v>
      </c>
      <c r="I1000" s="190">
        <v>0</v>
      </c>
      <c r="J1000" s="190">
        <v>0</v>
      </c>
      <c r="K1000" s="190">
        <v>940800.4</v>
      </c>
      <c r="L1000" s="190">
        <v>940800.4</v>
      </c>
      <c r="M1000" s="190">
        <v>940800.4</v>
      </c>
      <c r="N1000" s="190">
        <v>0</v>
      </c>
      <c r="O1000" s="190">
        <v>0</v>
      </c>
      <c r="P1000" s="190">
        <v>0</v>
      </c>
      <c r="Q1000" s="190">
        <v>0</v>
      </c>
      <c r="R1000" s="190">
        <v>0</v>
      </c>
      <c r="S1000" s="190">
        <v>0</v>
      </c>
      <c r="T1000" s="190">
        <v>0</v>
      </c>
      <c r="U1000" s="190">
        <v>0</v>
      </c>
      <c r="V1000" s="190">
        <v>0</v>
      </c>
      <c r="W1000" s="190">
        <v>286600</v>
      </c>
      <c r="X1000" s="190">
        <v>0</v>
      </c>
      <c r="Y1000" s="190">
        <v>0</v>
      </c>
      <c r="Z1000" s="190">
        <v>0</v>
      </c>
      <c r="AA1000" s="190">
        <v>275000</v>
      </c>
      <c r="AB1000" s="190">
        <v>0</v>
      </c>
      <c r="AC1000" s="190">
        <v>0</v>
      </c>
      <c r="AD1000" s="190">
        <v>0</v>
      </c>
      <c r="AE1000" s="190">
        <v>0</v>
      </c>
      <c r="AF1000" s="190">
        <v>0</v>
      </c>
      <c r="AG1000" s="190">
        <v>0</v>
      </c>
      <c r="AH1000" s="190">
        <v>0</v>
      </c>
      <c r="AI1000" s="190">
        <v>0</v>
      </c>
      <c r="AJ1000" s="190">
        <v>0</v>
      </c>
      <c r="AK1000" s="190">
        <v>0</v>
      </c>
      <c r="AL1000" s="190">
        <v>0</v>
      </c>
      <c r="AM1000" s="190">
        <v>0</v>
      </c>
      <c r="AN1000" s="190">
        <v>0</v>
      </c>
      <c r="AO1000" s="190">
        <v>0</v>
      </c>
      <c r="AP1000" s="190">
        <v>0</v>
      </c>
      <c r="AQ1000" s="190">
        <v>4035950.4400000004</v>
      </c>
      <c r="AR1000" s="190">
        <v>1654771.4199999976</v>
      </c>
      <c r="AS1000" s="190">
        <v>105000.57000000007</v>
      </c>
      <c r="AT1000" s="190">
        <v>48560.249999999964</v>
      </c>
      <c r="AU1000" s="190">
        <v>12926.549999999994</v>
      </c>
      <c r="AV1000" s="190">
        <v>0</v>
      </c>
      <c r="AW1000" s="190">
        <v>0</v>
      </c>
      <c r="AX1000" s="190">
        <v>0</v>
      </c>
      <c r="AY1000" s="190">
        <v>0</v>
      </c>
      <c r="AZ1000" s="190">
        <v>0</v>
      </c>
      <c r="BA1000" s="190">
        <v>0</v>
      </c>
      <c r="BB1000" s="190">
        <v>0</v>
      </c>
      <c r="BC1000" s="190">
        <v>0</v>
      </c>
      <c r="BD1000" s="190">
        <v>0</v>
      </c>
      <c r="BE1000" s="190">
        <v>8602.9</v>
      </c>
      <c r="BF1000" s="190">
        <v>306</v>
      </c>
      <c r="BG1000" s="190">
        <v>2141.8999999999996</v>
      </c>
      <c r="BH1000" s="190">
        <v>47040.049999999996</v>
      </c>
      <c r="BI1000" s="190">
        <v>0</v>
      </c>
      <c r="BJ1000" s="190">
        <v>940800.4</v>
      </c>
      <c r="BK1000" s="190">
        <v>940800.4</v>
      </c>
      <c r="BL1000" s="190">
        <v>0</v>
      </c>
      <c r="BM1000" s="190">
        <v>0</v>
      </c>
      <c r="BN1000" s="190">
        <v>0</v>
      </c>
      <c r="BO1000" s="190">
        <v>0</v>
      </c>
      <c r="BP1000" s="190">
        <v>275000</v>
      </c>
      <c r="BQ1000" s="190">
        <v>0</v>
      </c>
      <c r="BR1000" s="190">
        <v>0</v>
      </c>
      <c r="BS1000" s="190">
        <v>0</v>
      </c>
      <c r="BT1000" s="190">
        <v>0</v>
      </c>
      <c r="BU1000" s="190">
        <v>0</v>
      </c>
      <c r="BV1000" s="190">
        <v>0</v>
      </c>
      <c r="BW1000" s="190">
        <v>0</v>
      </c>
      <c r="BX1000" s="190">
        <v>0</v>
      </c>
      <c r="BY1000" s="190">
        <v>0</v>
      </c>
      <c r="BZ1000" s="190">
        <v>0</v>
      </c>
      <c r="CA1000" s="190">
        <v>0</v>
      </c>
      <c r="CB1000" s="190">
        <v>4035950.4400000004</v>
      </c>
      <c r="CC1000" s="190">
        <v>0</v>
      </c>
      <c r="CD1000" s="190"/>
      <c r="CE1000" s="190"/>
    </row>
    <row r="1001" spans="2:83" x14ac:dyDescent="0.3">
      <c r="B1001" s="182">
        <v>2365</v>
      </c>
      <c r="C1001" s="182">
        <v>2305</v>
      </c>
      <c r="D1001" s="182" t="s">
        <v>132</v>
      </c>
      <c r="E1001" s="181" t="s">
        <v>4375</v>
      </c>
      <c r="F1001" s="182" t="s">
        <v>220</v>
      </c>
      <c r="G1001" s="182">
        <v>12252.16</v>
      </c>
      <c r="H1001" s="182"/>
      <c r="I1001" s="182"/>
      <c r="J1001" s="182"/>
      <c r="K1001" s="182"/>
      <c r="L1001" s="182"/>
      <c r="M1001" s="182"/>
      <c r="N1001" s="182"/>
      <c r="O1001" s="182"/>
      <c r="P1001" s="182"/>
      <c r="Q1001" s="182"/>
      <c r="R1001" s="182"/>
      <c r="S1001" s="182"/>
      <c r="T1001" s="182"/>
      <c r="U1001" s="182"/>
      <c r="V1001" s="182"/>
      <c r="W1001" s="182"/>
      <c r="X1001" s="182"/>
      <c r="Y1001" s="182"/>
      <c r="Z1001" s="182"/>
      <c r="AA1001" s="182"/>
      <c r="AB1001" s="182"/>
      <c r="AC1001" s="182"/>
      <c r="AD1001" s="182"/>
      <c r="AE1001" s="182"/>
      <c r="AF1001" s="182"/>
      <c r="AG1001" s="182"/>
      <c r="AH1001" s="182"/>
      <c r="AI1001" s="182"/>
      <c r="AJ1001" s="182"/>
      <c r="AK1001" s="182"/>
      <c r="AL1001" s="182"/>
      <c r="AM1001" s="182"/>
      <c r="AN1001" s="182"/>
      <c r="AO1001" s="182"/>
      <c r="AP1001" s="182"/>
      <c r="AQ1001" s="185">
        <v>12252.16</v>
      </c>
      <c r="AR1001" s="182">
        <v>8554.59</v>
      </c>
      <c r="AS1001" s="182">
        <v>737.32999999999993</v>
      </c>
      <c r="AT1001" s="182">
        <v>2952.0200000000004</v>
      </c>
      <c r="AU1001" s="182">
        <v>8.2199999999999989</v>
      </c>
      <c r="AV1001" s="182"/>
      <c r="AW1001" s="182"/>
      <c r="AX1001" s="182"/>
      <c r="AY1001" s="182"/>
      <c r="AZ1001" s="182"/>
      <c r="BA1001" s="182"/>
      <c r="BB1001" s="182"/>
      <c r="BC1001" s="182"/>
      <c r="BD1001" s="182"/>
      <c r="BE1001" s="182"/>
      <c r="BF1001" s="182"/>
      <c r="BG1001" s="182"/>
      <c r="BH1001" s="182"/>
      <c r="BI1001" s="182"/>
      <c r="BJ1001" s="182"/>
      <c r="BK1001" s="182"/>
      <c r="BL1001" s="182"/>
      <c r="BM1001" s="182"/>
      <c r="BN1001" s="182"/>
      <c r="BO1001" s="182"/>
      <c r="BP1001" s="182"/>
      <c r="BQ1001" s="182"/>
      <c r="BR1001" s="182"/>
      <c r="BS1001" s="182"/>
      <c r="BT1001" s="182"/>
      <c r="BU1001" s="182"/>
      <c r="BV1001" s="182"/>
      <c r="BW1001" s="182"/>
      <c r="BX1001" s="182"/>
      <c r="BY1001" s="182"/>
      <c r="BZ1001" s="182"/>
      <c r="CA1001" s="182"/>
      <c r="CB1001" s="185">
        <v>12252.16</v>
      </c>
      <c r="CC1001" s="185">
        <v>0</v>
      </c>
      <c r="CD1001" s="185">
        <v>2305</v>
      </c>
      <c r="CE1001" s="185"/>
    </row>
    <row r="1002" spans="2:83" s="198" customFormat="1" x14ac:dyDescent="0.3">
      <c r="B1002" s="190"/>
      <c r="C1002" s="190"/>
      <c r="D1002" s="190"/>
      <c r="E1002" s="199" t="s">
        <v>4376</v>
      </c>
      <c r="F1002" s="190"/>
      <c r="G1002" s="190">
        <v>12252.16</v>
      </c>
      <c r="H1002" s="190">
        <v>0</v>
      </c>
      <c r="I1002" s="190">
        <v>0</v>
      </c>
      <c r="J1002" s="190">
        <v>0</v>
      </c>
      <c r="K1002" s="190">
        <v>0</v>
      </c>
      <c r="L1002" s="190">
        <v>0</v>
      </c>
      <c r="M1002" s="190">
        <v>0</v>
      </c>
      <c r="N1002" s="190">
        <v>0</v>
      </c>
      <c r="O1002" s="190">
        <v>0</v>
      </c>
      <c r="P1002" s="190">
        <v>0</v>
      </c>
      <c r="Q1002" s="190">
        <v>0</v>
      </c>
      <c r="R1002" s="190">
        <v>0</v>
      </c>
      <c r="S1002" s="190">
        <v>0</v>
      </c>
      <c r="T1002" s="190">
        <v>0</v>
      </c>
      <c r="U1002" s="190">
        <v>0</v>
      </c>
      <c r="V1002" s="190">
        <v>0</v>
      </c>
      <c r="W1002" s="190">
        <v>0</v>
      </c>
      <c r="X1002" s="190">
        <v>0</v>
      </c>
      <c r="Y1002" s="190">
        <v>0</v>
      </c>
      <c r="Z1002" s="190">
        <v>0</v>
      </c>
      <c r="AA1002" s="190">
        <v>0</v>
      </c>
      <c r="AB1002" s="190">
        <v>0</v>
      </c>
      <c r="AC1002" s="190">
        <v>0</v>
      </c>
      <c r="AD1002" s="190">
        <v>0</v>
      </c>
      <c r="AE1002" s="190">
        <v>0</v>
      </c>
      <c r="AF1002" s="190">
        <v>0</v>
      </c>
      <c r="AG1002" s="190">
        <v>0</v>
      </c>
      <c r="AH1002" s="190">
        <v>0</v>
      </c>
      <c r="AI1002" s="190">
        <v>0</v>
      </c>
      <c r="AJ1002" s="190">
        <v>0</v>
      </c>
      <c r="AK1002" s="190">
        <v>0</v>
      </c>
      <c r="AL1002" s="190">
        <v>0</v>
      </c>
      <c r="AM1002" s="190">
        <v>0</v>
      </c>
      <c r="AN1002" s="190">
        <v>0</v>
      </c>
      <c r="AO1002" s="190">
        <v>0</v>
      </c>
      <c r="AP1002" s="190">
        <v>0</v>
      </c>
      <c r="AQ1002" s="190">
        <v>12252.16</v>
      </c>
      <c r="AR1002" s="190">
        <v>8554.59</v>
      </c>
      <c r="AS1002" s="190">
        <v>737.32999999999993</v>
      </c>
      <c r="AT1002" s="190">
        <v>2952.0200000000004</v>
      </c>
      <c r="AU1002" s="190">
        <v>8.2199999999999989</v>
      </c>
      <c r="AV1002" s="190">
        <v>0</v>
      </c>
      <c r="AW1002" s="190">
        <v>0</v>
      </c>
      <c r="AX1002" s="190">
        <v>0</v>
      </c>
      <c r="AY1002" s="190">
        <v>0</v>
      </c>
      <c r="AZ1002" s="190">
        <v>0</v>
      </c>
      <c r="BA1002" s="190">
        <v>0</v>
      </c>
      <c r="BB1002" s="190">
        <v>0</v>
      </c>
      <c r="BC1002" s="190">
        <v>0</v>
      </c>
      <c r="BD1002" s="190">
        <v>0</v>
      </c>
      <c r="BE1002" s="190">
        <v>0</v>
      </c>
      <c r="BF1002" s="190">
        <v>0</v>
      </c>
      <c r="BG1002" s="190">
        <v>0</v>
      </c>
      <c r="BH1002" s="190">
        <v>0</v>
      </c>
      <c r="BI1002" s="190">
        <v>0</v>
      </c>
      <c r="BJ1002" s="190">
        <v>0</v>
      </c>
      <c r="BK1002" s="190">
        <v>0</v>
      </c>
      <c r="BL1002" s="190">
        <v>0</v>
      </c>
      <c r="BM1002" s="190">
        <v>0</v>
      </c>
      <c r="BN1002" s="190">
        <v>0</v>
      </c>
      <c r="BO1002" s="190">
        <v>0</v>
      </c>
      <c r="BP1002" s="190">
        <v>0</v>
      </c>
      <c r="BQ1002" s="190">
        <v>0</v>
      </c>
      <c r="BR1002" s="190">
        <v>0</v>
      </c>
      <c r="BS1002" s="190">
        <v>0</v>
      </c>
      <c r="BT1002" s="190">
        <v>0</v>
      </c>
      <c r="BU1002" s="190">
        <v>0</v>
      </c>
      <c r="BV1002" s="190">
        <v>0</v>
      </c>
      <c r="BW1002" s="190">
        <v>0</v>
      </c>
      <c r="BX1002" s="190">
        <v>0</v>
      </c>
      <c r="BY1002" s="190">
        <v>0</v>
      </c>
      <c r="BZ1002" s="190">
        <v>0</v>
      </c>
      <c r="CA1002" s="190">
        <v>0</v>
      </c>
      <c r="CB1002" s="190">
        <v>12252.16</v>
      </c>
      <c r="CC1002" s="190">
        <v>0</v>
      </c>
      <c r="CD1002" s="190"/>
      <c r="CE1002" s="190"/>
    </row>
    <row r="1003" spans="2:83" x14ac:dyDescent="0.3">
      <c r="B1003" s="182">
        <v>3421</v>
      </c>
      <c r="C1003" s="182">
        <v>2351</v>
      </c>
      <c r="D1003" s="182" t="s">
        <v>130</v>
      </c>
      <c r="E1003" s="181" t="s">
        <v>4377</v>
      </c>
      <c r="F1003" s="182"/>
      <c r="G1003" s="182"/>
      <c r="H1003" s="182"/>
      <c r="I1003" s="182"/>
      <c r="J1003" s="182"/>
      <c r="K1003" s="182"/>
      <c r="L1003" s="182"/>
      <c r="M1003" s="182"/>
      <c r="N1003" s="182"/>
      <c r="O1003" s="182"/>
      <c r="P1003" s="182"/>
      <c r="Q1003" s="182"/>
      <c r="R1003" s="182"/>
      <c r="S1003" s="182"/>
      <c r="T1003" s="182"/>
      <c r="U1003" s="182"/>
      <c r="V1003" s="182"/>
      <c r="W1003" s="182"/>
      <c r="X1003" s="182"/>
      <c r="Y1003" s="182"/>
      <c r="Z1003" s="182"/>
      <c r="AA1003" s="182"/>
      <c r="AB1003" s="182"/>
      <c r="AC1003" s="182">
        <v>843.75</v>
      </c>
      <c r="AD1003" s="182"/>
      <c r="AE1003" s="182"/>
      <c r="AF1003" s="182"/>
      <c r="AG1003" s="182"/>
      <c r="AH1003" s="182"/>
      <c r="AI1003" s="182"/>
      <c r="AJ1003" s="182"/>
      <c r="AK1003" s="182"/>
      <c r="AL1003" s="182"/>
      <c r="AM1003" s="182"/>
      <c r="AN1003" s="182"/>
      <c r="AO1003" s="182"/>
      <c r="AP1003" s="182"/>
      <c r="AQ1003" s="185">
        <v>843.75</v>
      </c>
      <c r="AR1003" s="182">
        <v>843.75</v>
      </c>
      <c r="AS1003" s="182"/>
      <c r="AT1003" s="182"/>
      <c r="AU1003" s="182"/>
      <c r="AV1003" s="182"/>
      <c r="AW1003" s="182"/>
      <c r="AX1003" s="182"/>
      <c r="AY1003" s="182"/>
      <c r="AZ1003" s="182"/>
      <c r="BA1003" s="182"/>
      <c r="BB1003" s="182"/>
      <c r="BC1003" s="182"/>
      <c r="BD1003" s="182"/>
      <c r="BE1003" s="182"/>
      <c r="BF1003" s="182"/>
      <c r="BG1003" s="182"/>
      <c r="BH1003" s="182"/>
      <c r="BI1003" s="182"/>
      <c r="BJ1003" s="182"/>
      <c r="BK1003" s="182"/>
      <c r="BL1003" s="182"/>
      <c r="BM1003" s="182"/>
      <c r="BN1003" s="182"/>
      <c r="BO1003" s="182"/>
      <c r="BP1003" s="182"/>
      <c r="BQ1003" s="182"/>
      <c r="BR1003" s="182"/>
      <c r="BS1003" s="182"/>
      <c r="BT1003" s="182"/>
      <c r="BU1003" s="182"/>
      <c r="BV1003" s="182"/>
      <c r="BW1003" s="182"/>
      <c r="BX1003" s="182"/>
      <c r="BY1003" s="182"/>
      <c r="BZ1003" s="182"/>
      <c r="CA1003" s="182"/>
      <c r="CB1003" s="185">
        <v>843.75</v>
      </c>
      <c r="CC1003" s="185">
        <v>0</v>
      </c>
      <c r="CD1003" s="185">
        <v>2351</v>
      </c>
      <c r="CE1003" s="185"/>
    </row>
    <row r="1004" spans="2:83" x14ac:dyDescent="0.3">
      <c r="B1004" s="182">
        <v>4513</v>
      </c>
      <c r="C1004" s="182">
        <v>2352</v>
      </c>
      <c r="D1004" s="182" t="s">
        <v>119</v>
      </c>
      <c r="E1004" s="181" t="s">
        <v>1848</v>
      </c>
      <c r="F1004" s="182"/>
      <c r="G1004" s="182"/>
      <c r="H1004" s="182"/>
      <c r="I1004" s="182"/>
      <c r="J1004" s="182"/>
      <c r="K1004" s="182"/>
      <c r="L1004" s="182"/>
      <c r="M1004" s="182"/>
      <c r="N1004" s="182"/>
      <c r="O1004" s="182"/>
      <c r="P1004" s="182"/>
      <c r="Q1004" s="182"/>
      <c r="R1004" s="182"/>
      <c r="S1004" s="182"/>
      <c r="T1004" s="182"/>
      <c r="U1004" s="182"/>
      <c r="V1004" s="182"/>
      <c r="W1004" s="182">
        <v>638.4</v>
      </c>
      <c r="X1004" s="182"/>
      <c r="Y1004" s="182"/>
      <c r="Z1004" s="182"/>
      <c r="AA1004" s="182"/>
      <c r="AB1004" s="182"/>
      <c r="AC1004" s="182"/>
      <c r="AD1004" s="182"/>
      <c r="AE1004" s="182"/>
      <c r="AF1004" s="182"/>
      <c r="AG1004" s="182"/>
      <c r="AH1004" s="182"/>
      <c r="AI1004" s="182"/>
      <c r="AJ1004" s="182"/>
      <c r="AK1004" s="182"/>
      <c r="AL1004" s="182"/>
      <c r="AM1004" s="182"/>
      <c r="AN1004" s="182"/>
      <c r="AO1004" s="182"/>
      <c r="AP1004" s="182"/>
      <c r="AQ1004" s="185">
        <v>638.4</v>
      </c>
      <c r="AR1004" s="182">
        <v>638.4</v>
      </c>
      <c r="AS1004" s="182"/>
      <c r="AT1004" s="182"/>
      <c r="AU1004" s="182"/>
      <c r="AV1004" s="182"/>
      <c r="AW1004" s="182"/>
      <c r="AX1004" s="182"/>
      <c r="AY1004" s="182"/>
      <c r="AZ1004" s="182"/>
      <c r="BA1004" s="182"/>
      <c r="BB1004" s="182"/>
      <c r="BC1004" s="182"/>
      <c r="BD1004" s="182"/>
      <c r="BE1004" s="182"/>
      <c r="BF1004" s="182"/>
      <c r="BG1004" s="182"/>
      <c r="BH1004" s="182"/>
      <c r="BI1004" s="182"/>
      <c r="BJ1004" s="182"/>
      <c r="BK1004" s="182"/>
      <c r="BL1004" s="182"/>
      <c r="BM1004" s="182"/>
      <c r="BN1004" s="182"/>
      <c r="BO1004" s="182"/>
      <c r="BP1004" s="182"/>
      <c r="BQ1004" s="182"/>
      <c r="BR1004" s="182"/>
      <c r="BS1004" s="182"/>
      <c r="BT1004" s="182"/>
      <c r="BU1004" s="182"/>
      <c r="BV1004" s="182"/>
      <c r="BW1004" s="182"/>
      <c r="BX1004" s="182"/>
      <c r="BY1004" s="182"/>
      <c r="BZ1004" s="182"/>
      <c r="CA1004" s="182"/>
      <c r="CB1004" s="185">
        <v>638.4</v>
      </c>
      <c r="CC1004" s="185">
        <v>0</v>
      </c>
      <c r="CD1004" s="185">
        <v>2352</v>
      </c>
      <c r="CE1004" s="185"/>
    </row>
    <row r="1005" spans="2:83" x14ac:dyDescent="0.3">
      <c r="B1005" s="182">
        <v>4516</v>
      </c>
      <c r="C1005" s="182">
        <v>2353</v>
      </c>
      <c r="D1005" s="182" t="s">
        <v>132</v>
      </c>
      <c r="E1005" s="181" t="s">
        <v>4378</v>
      </c>
      <c r="F1005" s="182"/>
      <c r="G1005" s="182"/>
      <c r="H1005" s="182"/>
      <c r="I1005" s="182"/>
      <c r="J1005" s="182"/>
      <c r="K1005" s="182"/>
      <c r="L1005" s="182"/>
      <c r="M1005" s="182"/>
      <c r="N1005" s="182"/>
      <c r="O1005" s="182"/>
      <c r="P1005" s="182"/>
      <c r="Q1005" s="182">
        <v>6069.5</v>
      </c>
      <c r="R1005" s="182"/>
      <c r="S1005" s="182"/>
      <c r="T1005" s="182"/>
      <c r="U1005" s="182"/>
      <c r="V1005" s="182"/>
      <c r="W1005" s="182"/>
      <c r="X1005" s="182"/>
      <c r="Y1005" s="182"/>
      <c r="Z1005" s="182"/>
      <c r="AA1005" s="182"/>
      <c r="AB1005" s="182"/>
      <c r="AC1005" s="182"/>
      <c r="AD1005" s="182"/>
      <c r="AE1005" s="182"/>
      <c r="AF1005" s="182"/>
      <c r="AG1005" s="182"/>
      <c r="AH1005" s="182"/>
      <c r="AI1005" s="182"/>
      <c r="AJ1005" s="182"/>
      <c r="AK1005" s="182"/>
      <c r="AL1005" s="182"/>
      <c r="AM1005" s="182"/>
      <c r="AN1005" s="182"/>
      <c r="AO1005" s="182"/>
      <c r="AP1005" s="182"/>
      <c r="AQ1005" s="185">
        <v>6069.5</v>
      </c>
      <c r="AR1005" s="182">
        <v>6069.5</v>
      </c>
      <c r="AS1005" s="182"/>
      <c r="AT1005" s="182"/>
      <c r="AU1005" s="182"/>
      <c r="AV1005" s="182"/>
      <c r="AW1005" s="182"/>
      <c r="AX1005" s="182"/>
      <c r="AY1005" s="182"/>
      <c r="AZ1005" s="182"/>
      <c r="BA1005" s="182"/>
      <c r="BB1005" s="182"/>
      <c r="BC1005" s="182"/>
      <c r="BD1005" s="182"/>
      <c r="BE1005" s="182"/>
      <c r="BF1005" s="182"/>
      <c r="BG1005" s="182"/>
      <c r="BH1005" s="182"/>
      <c r="BI1005" s="182"/>
      <c r="BJ1005" s="182"/>
      <c r="BK1005" s="182"/>
      <c r="BL1005" s="182"/>
      <c r="BM1005" s="182"/>
      <c r="BN1005" s="182"/>
      <c r="BO1005" s="182"/>
      <c r="BP1005" s="182"/>
      <c r="BQ1005" s="182"/>
      <c r="BR1005" s="182"/>
      <c r="BS1005" s="182"/>
      <c r="BT1005" s="182"/>
      <c r="BU1005" s="182"/>
      <c r="BV1005" s="182"/>
      <c r="BW1005" s="182"/>
      <c r="BX1005" s="182"/>
      <c r="BY1005" s="182"/>
      <c r="BZ1005" s="182"/>
      <c r="CA1005" s="182"/>
      <c r="CB1005" s="185">
        <v>6069.5</v>
      </c>
      <c r="CC1005" s="185">
        <v>0</v>
      </c>
      <c r="CD1005" s="185">
        <v>2353</v>
      </c>
      <c r="CE1005" s="185"/>
    </row>
    <row r="1006" spans="2:83" x14ac:dyDescent="0.3">
      <c r="B1006" s="182">
        <v>4510</v>
      </c>
      <c r="C1006" s="182">
        <v>2354</v>
      </c>
      <c r="D1006" s="182" t="s">
        <v>132</v>
      </c>
      <c r="E1006" s="181" t="s">
        <v>4379</v>
      </c>
      <c r="F1006" s="182"/>
      <c r="G1006" s="182"/>
      <c r="H1006" s="182">
        <v>4621.45</v>
      </c>
      <c r="I1006" s="182"/>
      <c r="J1006" s="182"/>
      <c r="K1006" s="182"/>
      <c r="L1006" s="182"/>
      <c r="M1006" s="182"/>
      <c r="N1006" s="182"/>
      <c r="O1006" s="182"/>
      <c r="P1006" s="182"/>
      <c r="Q1006" s="182"/>
      <c r="R1006" s="182"/>
      <c r="S1006" s="182"/>
      <c r="T1006" s="182"/>
      <c r="U1006" s="182"/>
      <c r="V1006" s="182"/>
      <c r="W1006" s="182"/>
      <c r="X1006" s="182"/>
      <c r="Y1006" s="182"/>
      <c r="Z1006" s="182"/>
      <c r="AA1006" s="182"/>
      <c r="AB1006" s="182"/>
      <c r="AC1006" s="182"/>
      <c r="AD1006" s="182"/>
      <c r="AE1006" s="182"/>
      <c r="AF1006" s="182"/>
      <c r="AG1006" s="182"/>
      <c r="AH1006" s="182"/>
      <c r="AI1006" s="182"/>
      <c r="AJ1006" s="182"/>
      <c r="AK1006" s="182"/>
      <c r="AL1006" s="182"/>
      <c r="AM1006" s="182"/>
      <c r="AN1006" s="182"/>
      <c r="AO1006" s="182"/>
      <c r="AP1006" s="182"/>
      <c r="AQ1006" s="185">
        <v>4621.45</v>
      </c>
      <c r="AR1006" s="182">
        <v>4621.45</v>
      </c>
      <c r="AS1006" s="182"/>
      <c r="AT1006" s="182"/>
      <c r="AU1006" s="182"/>
      <c r="AV1006" s="182"/>
      <c r="AW1006" s="182"/>
      <c r="AX1006" s="182"/>
      <c r="AY1006" s="182"/>
      <c r="AZ1006" s="182"/>
      <c r="BA1006" s="182"/>
      <c r="BB1006" s="182"/>
      <c r="BC1006" s="182"/>
      <c r="BD1006" s="182"/>
      <c r="BE1006" s="182"/>
      <c r="BF1006" s="182"/>
      <c r="BG1006" s="182"/>
      <c r="BH1006" s="182"/>
      <c r="BI1006" s="182"/>
      <c r="BJ1006" s="182"/>
      <c r="BK1006" s="182"/>
      <c r="BL1006" s="182"/>
      <c r="BM1006" s="182"/>
      <c r="BN1006" s="182"/>
      <c r="BO1006" s="182"/>
      <c r="BP1006" s="182"/>
      <c r="BQ1006" s="182"/>
      <c r="BR1006" s="182"/>
      <c r="BS1006" s="182"/>
      <c r="BT1006" s="182"/>
      <c r="BU1006" s="182"/>
      <c r="BV1006" s="182"/>
      <c r="BW1006" s="182"/>
      <c r="BX1006" s="182"/>
      <c r="BY1006" s="182"/>
      <c r="BZ1006" s="182"/>
      <c r="CA1006" s="182"/>
      <c r="CB1006" s="185">
        <v>4621.45</v>
      </c>
      <c r="CC1006" s="185">
        <v>0</v>
      </c>
      <c r="CD1006" s="185">
        <v>2354</v>
      </c>
      <c r="CE1006" s="185"/>
    </row>
    <row r="1007" spans="2:83" x14ac:dyDescent="0.3">
      <c r="B1007" s="182">
        <v>4507</v>
      </c>
      <c r="C1007" s="182">
        <v>2355</v>
      </c>
      <c r="D1007" s="182" t="s">
        <v>132</v>
      </c>
      <c r="E1007" s="181" t="s">
        <v>4380</v>
      </c>
      <c r="F1007" s="182"/>
      <c r="G1007" s="182"/>
      <c r="H1007" s="182">
        <v>408</v>
      </c>
      <c r="I1007" s="182"/>
      <c r="J1007" s="182"/>
      <c r="K1007" s="182"/>
      <c r="L1007" s="182"/>
      <c r="M1007" s="182"/>
      <c r="N1007" s="182"/>
      <c r="O1007" s="182"/>
      <c r="P1007" s="182"/>
      <c r="Q1007" s="182"/>
      <c r="R1007" s="182"/>
      <c r="S1007" s="182"/>
      <c r="T1007" s="182"/>
      <c r="U1007" s="182"/>
      <c r="V1007" s="182"/>
      <c r="W1007" s="182"/>
      <c r="X1007" s="182"/>
      <c r="Y1007" s="182"/>
      <c r="Z1007" s="182"/>
      <c r="AA1007" s="182"/>
      <c r="AB1007" s="182"/>
      <c r="AC1007" s="182"/>
      <c r="AD1007" s="182"/>
      <c r="AE1007" s="182"/>
      <c r="AF1007" s="182"/>
      <c r="AG1007" s="182"/>
      <c r="AH1007" s="182"/>
      <c r="AI1007" s="182"/>
      <c r="AJ1007" s="182"/>
      <c r="AK1007" s="182"/>
      <c r="AL1007" s="182"/>
      <c r="AM1007" s="182"/>
      <c r="AN1007" s="182"/>
      <c r="AO1007" s="182"/>
      <c r="AP1007" s="182"/>
      <c r="AQ1007" s="185">
        <v>408</v>
      </c>
      <c r="AR1007" s="182">
        <v>408</v>
      </c>
      <c r="AS1007" s="182"/>
      <c r="AT1007" s="182"/>
      <c r="AU1007" s="182"/>
      <c r="AV1007" s="182"/>
      <c r="AW1007" s="182"/>
      <c r="AX1007" s="182"/>
      <c r="AY1007" s="182"/>
      <c r="AZ1007" s="182"/>
      <c r="BA1007" s="182"/>
      <c r="BB1007" s="182"/>
      <c r="BC1007" s="182"/>
      <c r="BD1007" s="182"/>
      <c r="BE1007" s="182"/>
      <c r="BF1007" s="182"/>
      <c r="BG1007" s="182"/>
      <c r="BH1007" s="182"/>
      <c r="BI1007" s="182"/>
      <c r="BJ1007" s="182"/>
      <c r="BK1007" s="182"/>
      <c r="BL1007" s="182"/>
      <c r="BM1007" s="182"/>
      <c r="BN1007" s="182"/>
      <c r="BO1007" s="182"/>
      <c r="BP1007" s="182"/>
      <c r="BQ1007" s="182"/>
      <c r="BR1007" s="182"/>
      <c r="BS1007" s="182"/>
      <c r="BT1007" s="182"/>
      <c r="BU1007" s="182"/>
      <c r="BV1007" s="182"/>
      <c r="BW1007" s="182"/>
      <c r="BX1007" s="182"/>
      <c r="BY1007" s="182"/>
      <c r="BZ1007" s="182"/>
      <c r="CA1007" s="182"/>
      <c r="CB1007" s="185">
        <v>408</v>
      </c>
      <c r="CC1007" s="185">
        <v>0</v>
      </c>
      <c r="CD1007" s="185">
        <v>2355</v>
      </c>
      <c r="CE1007" s="185"/>
    </row>
    <row r="1008" spans="2:83" x14ac:dyDescent="0.3">
      <c r="B1008" s="182">
        <v>4512</v>
      </c>
      <c r="C1008" s="182">
        <v>2356</v>
      </c>
      <c r="D1008" s="182" t="s">
        <v>132</v>
      </c>
      <c r="E1008" s="181" t="s">
        <v>4379</v>
      </c>
      <c r="F1008" s="182"/>
      <c r="G1008" s="182"/>
      <c r="H1008" s="182">
        <v>1258</v>
      </c>
      <c r="I1008" s="182"/>
      <c r="J1008" s="182"/>
      <c r="K1008" s="182"/>
      <c r="L1008" s="182"/>
      <c r="M1008" s="182"/>
      <c r="N1008" s="182"/>
      <c r="O1008" s="182"/>
      <c r="P1008" s="182"/>
      <c r="Q1008" s="182"/>
      <c r="R1008" s="182"/>
      <c r="S1008" s="182"/>
      <c r="T1008" s="182"/>
      <c r="U1008" s="182"/>
      <c r="V1008" s="182"/>
      <c r="W1008" s="182"/>
      <c r="X1008" s="182"/>
      <c r="Y1008" s="182"/>
      <c r="Z1008" s="182"/>
      <c r="AA1008" s="182"/>
      <c r="AB1008" s="182"/>
      <c r="AC1008" s="182"/>
      <c r="AD1008" s="182"/>
      <c r="AE1008" s="182"/>
      <c r="AF1008" s="182"/>
      <c r="AG1008" s="182"/>
      <c r="AH1008" s="182"/>
      <c r="AI1008" s="182"/>
      <c r="AJ1008" s="182"/>
      <c r="AK1008" s="182"/>
      <c r="AL1008" s="182"/>
      <c r="AM1008" s="182"/>
      <c r="AN1008" s="182"/>
      <c r="AO1008" s="182"/>
      <c r="AP1008" s="182"/>
      <c r="AQ1008" s="185">
        <v>1258</v>
      </c>
      <c r="AR1008" s="182">
        <v>1258</v>
      </c>
      <c r="AS1008" s="182"/>
      <c r="AT1008" s="182"/>
      <c r="AU1008" s="182"/>
      <c r="AV1008" s="182"/>
      <c r="AW1008" s="182"/>
      <c r="AX1008" s="182"/>
      <c r="AY1008" s="182"/>
      <c r="AZ1008" s="182"/>
      <c r="BA1008" s="182"/>
      <c r="BB1008" s="182"/>
      <c r="BC1008" s="182"/>
      <c r="BD1008" s="182"/>
      <c r="BE1008" s="182"/>
      <c r="BF1008" s="182"/>
      <c r="BG1008" s="182"/>
      <c r="BH1008" s="182"/>
      <c r="BI1008" s="182"/>
      <c r="BJ1008" s="182"/>
      <c r="BK1008" s="182"/>
      <c r="BL1008" s="182"/>
      <c r="BM1008" s="182"/>
      <c r="BN1008" s="182"/>
      <c r="BO1008" s="182"/>
      <c r="BP1008" s="182"/>
      <c r="BQ1008" s="182"/>
      <c r="BR1008" s="182"/>
      <c r="BS1008" s="182"/>
      <c r="BT1008" s="182"/>
      <c r="BU1008" s="182"/>
      <c r="BV1008" s="182"/>
      <c r="BW1008" s="182"/>
      <c r="BX1008" s="182"/>
      <c r="BY1008" s="182"/>
      <c r="BZ1008" s="182"/>
      <c r="CA1008" s="182"/>
      <c r="CB1008" s="185">
        <v>1258</v>
      </c>
      <c r="CC1008" s="185">
        <v>0</v>
      </c>
      <c r="CD1008" s="185">
        <v>2352</v>
      </c>
      <c r="CE1008" s="185"/>
    </row>
    <row r="1009" spans="2:83" x14ac:dyDescent="0.3">
      <c r="B1009" s="182">
        <v>4511</v>
      </c>
      <c r="C1009" s="182">
        <v>2357</v>
      </c>
      <c r="D1009" s="182" t="s">
        <v>132</v>
      </c>
      <c r="E1009" s="181" t="s">
        <v>4078</v>
      </c>
      <c r="F1009" s="182"/>
      <c r="G1009" s="182"/>
      <c r="H1009" s="182">
        <v>2592.5</v>
      </c>
      <c r="I1009" s="182"/>
      <c r="J1009" s="182"/>
      <c r="K1009" s="182"/>
      <c r="L1009" s="182"/>
      <c r="M1009" s="182"/>
      <c r="N1009" s="182"/>
      <c r="O1009" s="182"/>
      <c r="P1009" s="182"/>
      <c r="Q1009" s="182"/>
      <c r="R1009" s="182"/>
      <c r="S1009" s="182"/>
      <c r="T1009" s="182"/>
      <c r="U1009" s="182"/>
      <c r="V1009" s="182"/>
      <c r="W1009" s="182"/>
      <c r="X1009" s="182"/>
      <c r="Y1009" s="182"/>
      <c r="Z1009" s="182"/>
      <c r="AA1009" s="182"/>
      <c r="AB1009" s="182"/>
      <c r="AC1009" s="182"/>
      <c r="AD1009" s="182"/>
      <c r="AE1009" s="182"/>
      <c r="AF1009" s="182"/>
      <c r="AG1009" s="182"/>
      <c r="AH1009" s="182"/>
      <c r="AI1009" s="182"/>
      <c r="AJ1009" s="182"/>
      <c r="AK1009" s="182"/>
      <c r="AL1009" s="182"/>
      <c r="AM1009" s="182"/>
      <c r="AN1009" s="182"/>
      <c r="AO1009" s="182"/>
      <c r="AP1009" s="182"/>
      <c r="AQ1009" s="185">
        <v>2592.5</v>
      </c>
      <c r="AR1009" s="182">
        <v>2592.5</v>
      </c>
      <c r="AS1009" s="182"/>
      <c r="AT1009" s="182"/>
      <c r="AU1009" s="182"/>
      <c r="AV1009" s="182"/>
      <c r="AW1009" s="182"/>
      <c r="AX1009" s="182"/>
      <c r="AY1009" s="182"/>
      <c r="AZ1009" s="182"/>
      <c r="BA1009" s="182"/>
      <c r="BB1009" s="182"/>
      <c r="BC1009" s="182"/>
      <c r="BD1009" s="182"/>
      <c r="BE1009" s="182"/>
      <c r="BF1009" s="182"/>
      <c r="BG1009" s="182"/>
      <c r="BH1009" s="182"/>
      <c r="BI1009" s="182"/>
      <c r="BJ1009" s="182"/>
      <c r="BK1009" s="182"/>
      <c r="BL1009" s="182"/>
      <c r="BM1009" s="182"/>
      <c r="BN1009" s="182"/>
      <c r="BO1009" s="182"/>
      <c r="BP1009" s="182"/>
      <c r="BQ1009" s="182"/>
      <c r="BR1009" s="182"/>
      <c r="BS1009" s="182"/>
      <c r="BT1009" s="182"/>
      <c r="BU1009" s="182"/>
      <c r="BV1009" s="182"/>
      <c r="BW1009" s="182"/>
      <c r="BX1009" s="182"/>
      <c r="BY1009" s="182"/>
      <c r="BZ1009" s="182"/>
      <c r="CA1009" s="182"/>
      <c r="CB1009" s="185">
        <v>2592.5</v>
      </c>
      <c r="CC1009" s="185">
        <v>0</v>
      </c>
      <c r="CD1009" s="185">
        <v>2357</v>
      </c>
      <c r="CE1009" s="185"/>
    </row>
    <row r="1010" spans="2:83" x14ac:dyDescent="0.3">
      <c r="B1010" s="182">
        <v>4509</v>
      </c>
      <c r="C1010" s="182">
        <v>2358</v>
      </c>
      <c r="D1010" s="182" t="s">
        <v>132</v>
      </c>
      <c r="E1010" s="181" t="s">
        <v>4077</v>
      </c>
      <c r="F1010" s="182"/>
      <c r="G1010" s="182"/>
      <c r="H1010" s="182">
        <v>2125</v>
      </c>
      <c r="I1010" s="182"/>
      <c r="J1010" s="182"/>
      <c r="K1010" s="182"/>
      <c r="L1010" s="182"/>
      <c r="M1010" s="182"/>
      <c r="N1010" s="182"/>
      <c r="O1010" s="182"/>
      <c r="P1010" s="182"/>
      <c r="Q1010" s="182"/>
      <c r="R1010" s="182"/>
      <c r="S1010" s="182"/>
      <c r="T1010" s="182"/>
      <c r="U1010" s="182"/>
      <c r="V1010" s="182"/>
      <c r="W1010" s="182"/>
      <c r="X1010" s="182"/>
      <c r="Y1010" s="182"/>
      <c r="Z1010" s="182"/>
      <c r="AA1010" s="182"/>
      <c r="AB1010" s="182"/>
      <c r="AC1010" s="182"/>
      <c r="AD1010" s="182"/>
      <c r="AE1010" s="182"/>
      <c r="AF1010" s="182"/>
      <c r="AG1010" s="182"/>
      <c r="AH1010" s="182"/>
      <c r="AI1010" s="182"/>
      <c r="AJ1010" s="182"/>
      <c r="AK1010" s="182"/>
      <c r="AL1010" s="182"/>
      <c r="AM1010" s="182"/>
      <c r="AN1010" s="182"/>
      <c r="AO1010" s="182"/>
      <c r="AP1010" s="182"/>
      <c r="AQ1010" s="185">
        <v>2125</v>
      </c>
      <c r="AR1010" s="182">
        <v>2125</v>
      </c>
      <c r="AS1010" s="182"/>
      <c r="AT1010" s="182"/>
      <c r="AU1010" s="182"/>
      <c r="AV1010" s="182"/>
      <c r="AW1010" s="182"/>
      <c r="AX1010" s="182"/>
      <c r="AY1010" s="182"/>
      <c r="AZ1010" s="182"/>
      <c r="BA1010" s="182"/>
      <c r="BB1010" s="182"/>
      <c r="BC1010" s="182"/>
      <c r="BD1010" s="182"/>
      <c r="BE1010" s="182"/>
      <c r="BF1010" s="182"/>
      <c r="BG1010" s="182"/>
      <c r="BH1010" s="182"/>
      <c r="BI1010" s="182"/>
      <c r="BJ1010" s="182"/>
      <c r="BK1010" s="182"/>
      <c r="BL1010" s="182"/>
      <c r="BM1010" s="182"/>
      <c r="BN1010" s="182"/>
      <c r="BO1010" s="182"/>
      <c r="BP1010" s="182"/>
      <c r="BQ1010" s="182"/>
      <c r="BR1010" s="182"/>
      <c r="BS1010" s="182"/>
      <c r="BT1010" s="182"/>
      <c r="BU1010" s="182"/>
      <c r="BV1010" s="182"/>
      <c r="BW1010" s="182"/>
      <c r="BX1010" s="182"/>
      <c r="BY1010" s="182"/>
      <c r="BZ1010" s="182"/>
      <c r="CA1010" s="182"/>
      <c r="CB1010" s="185">
        <v>2125</v>
      </c>
      <c r="CC1010" s="185">
        <v>0</v>
      </c>
      <c r="CD1010" s="185">
        <v>2358</v>
      </c>
      <c r="CE1010" s="185"/>
    </row>
    <row r="1011" spans="2:83" x14ac:dyDescent="0.3">
      <c r="B1011" s="182">
        <v>4508</v>
      </c>
      <c r="C1011" s="182">
        <v>2359</v>
      </c>
      <c r="D1011" s="182" t="s">
        <v>132</v>
      </c>
      <c r="E1011" s="181" t="s">
        <v>4381</v>
      </c>
      <c r="F1011" s="182"/>
      <c r="G1011" s="182"/>
      <c r="H1011" s="182">
        <v>1551.25</v>
      </c>
      <c r="I1011" s="182"/>
      <c r="J1011" s="182"/>
      <c r="K1011" s="182"/>
      <c r="L1011" s="182"/>
      <c r="M1011" s="182"/>
      <c r="N1011" s="182"/>
      <c r="O1011" s="182"/>
      <c r="P1011" s="182"/>
      <c r="Q1011" s="182"/>
      <c r="R1011" s="182"/>
      <c r="S1011" s="182"/>
      <c r="T1011" s="182"/>
      <c r="U1011" s="182"/>
      <c r="V1011" s="182"/>
      <c r="W1011" s="182"/>
      <c r="X1011" s="182"/>
      <c r="Y1011" s="182"/>
      <c r="Z1011" s="182"/>
      <c r="AA1011" s="182"/>
      <c r="AB1011" s="182"/>
      <c r="AC1011" s="182"/>
      <c r="AD1011" s="182"/>
      <c r="AE1011" s="182"/>
      <c r="AF1011" s="182"/>
      <c r="AG1011" s="182"/>
      <c r="AH1011" s="182"/>
      <c r="AI1011" s="182"/>
      <c r="AJ1011" s="182"/>
      <c r="AK1011" s="182"/>
      <c r="AL1011" s="182"/>
      <c r="AM1011" s="182"/>
      <c r="AN1011" s="182"/>
      <c r="AO1011" s="182"/>
      <c r="AP1011" s="182"/>
      <c r="AQ1011" s="185">
        <v>1551.25</v>
      </c>
      <c r="AR1011" s="182">
        <v>1551.25</v>
      </c>
      <c r="AS1011" s="182"/>
      <c r="AT1011" s="182"/>
      <c r="AU1011" s="182"/>
      <c r="AV1011" s="182"/>
      <c r="AW1011" s="182"/>
      <c r="AX1011" s="182"/>
      <c r="AY1011" s="182"/>
      <c r="AZ1011" s="182"/>
      <c r="BA1011" s="182"/>
      <c r="BB1011" s="182"/>
      <c r="BC1011" s="182"/>
      <c r="BD1011" s="182"/>
      <c r="BE1011" s="182"/>
      <c r="BF1011" s="182"/>
      <c r="BG1011" s="182"/>
      <c r="BH1011" s="182"/>
      <c r="BI1011" s="182"/>
      <c r="BJ1011" s="182"/>
      <c r="BK1011" s="182"/>
      <c r="BL1011" s="182"/>
      <c r="BM1011" s="182"/>
      <c r="BN1011" s="182"/>
      <c r="BO1011" s="182"/>
      <c r="BP1011" s="182"/>
      <c r="BQ1011" s="182"/>
      <c r="BR1011" s="182"/>
      <c r="BS1011" s="182"/>
      <c r="BT1011" s="182"/>
      <c r="BU1011" s="182"/>
      <c r="BV1011" s="182"/>
      <c r="BW1011" s="182"/>
      <c r="BX1011" s="182"/>
      <c r="BY1011" s="182"/>
      <c r="BZ1011" s="182"/>
      <c r="CA1011" s="182"/>
      <c r="CB1011" s="185">
        <v>1551.25</v>
      </c>
      <c r="CC1011" s="185">
        <v>0</v>
      </c>
      <c r="CD1011" s="185">
        <v>2359</v>
      </c>
      <c r="CE1011" s="185"/>
    </row>
    <row r="1012" spans="2:83" x14ac:dyDescent="0.3">
      <c r="B1012" s="182">
        <v>1307</v>
      </c>
      <c r="C1012" s="182">
        <v>2360</v>
      </c>
      <c r="D1012" s="182" t="s">
        <v>132</v>
      </c>
      <c r="E1012" s="181" t="s">
        <v>4382</v>
      </c>
      <c r="F1012" s="182"/>
      <c r="G1012" s="182"/>
      <c r="H1012" s="182">
        <v>1500</v>
      </c>
      <c r="I1012" s="182"/>
      <c r="J1012" s="182"/>
      <c r="K1012" s="182"/>
      <c r="L1012" s="182"/>
      <c r="M1012" s="182"/>
      <c r="N1012" s="182"/>
      <c r="O1012" s="182"/>
      <c r="P1012" s="182"/>
      <c r="Q1012" s="182"/>
      <c r="R1012" s="182"/>
      <c r="S1012" s="182"/>
      <c r="T1012" s="182"/>
      <c r="U1012" s="182"/>
      <c r="V1012" s="182"/>
      <c r="W1012" s="182"/>
      <c r="X1012" s="182"/>
      <c r="Y1012" s="182"/>
      <c r="Z1012" s="182"/>
      <c r="AA1012" s="182"/>
      <c r="AB1012" s="182"/>
      <c r="AC1012" s="182"/>
      <c r="AD1012" s="182"/>
      <c r="AE1012" s="182"/>
      <c r="AF1012" s="182"/>
      <c r="AG1012" s="182"/>
      <c r="AH1012" s="182"/>
      <c r="AI1012" s="182"/>
      <c r="AJ1012" s="182"/>
      <c r="AK1012" s="182"/>
      <c r="AL1012" s="182"/>
      <c r="AM1012" s="182"/>
      <c r="AN1012" s="182"/>
      <c r="AO1012" s="182"/>
      <c r="AP1012" s="182"/>
      <c r="AQ1012" s="185">
        <v>1500</v>
      </c>
      <c r="AR1012" s="182">
        <v>1340</v>
      </c>
      <c r="AS1012" s="182">
        <v>105</v>
      </c>
      <c r="AT1012" s="182"/>
      <c r="AU1012" s="182"/>
      <c r="AV1012" s="182"/>
      <c r="AW1012" s="182"/>
      <c r="AX1012" s="182"/>
      <c r="AY1012" s="182"/>
      <c r="AZ1012" s="182"/>
      <c r="BA1012" s="182"/>
      <c r="BB1012" s="182"/>
      <c r="BC1012" s="182"/>
      <c r="BD1012" s="182"/>
      <c r="BE1012" s="182">
        <v>15</v>
      </c>
      <c r="BF1012" s="182">
        <v>40</v>
      </c>
      <c r="BG1012" s="182"/>
      <c r="BH1012" s="182"/>
      <c r="BI1012" s="182"/>
      <c r="BJ1012" s="182"/>
      <c r="BK1012" s="182"/>
      <c r="BL1012" s="182"/>
      <c r="BM1012" s="182"/>
      <c r="BN1012" s="182"/>
      <c r="BO1012" s="182"/>
      <c r="BP1012" s="182"/>
      <c r="BQ1012" s="182"/>
      <c r="BR1012" s="182"/>
      <c r="BS1012" s="182"/>
      <c r="BT1012" s="182"/>
      <c r="BU1012" s="182"/>
      <c r="BV1012" s="182"/>
      <c r="BW1012" s="182"/>
      <c r="BX1012" s="182"/>
      <c r="BY1012" s="182"/>
      <c r="BZ1012" s="182"/>
      <c r="CA1012" s="182"/>
      <c r="CB1012" s="185">
        <v>1500</v>
      </c>
      <c r="CC1012" s="185">
        <v>0</v>
      </c>
      <c r="CD1012" s="185">
        <v>2360</v>
      </c>
      <c r="CE1012" s="185"/>
    </row>
    <row r="1013" spans="2:83" x14ac:dyDescent="0.3">
      <c r="B1013" s="182">
        <v>3848</v>
      </c>
      <c r="C1013" s="182">
        <v>2361</v>
      </c>
      <c r="D1013" s="182" t="s">
        <v>119</v>
      </c>
      <c r="E1013" s="181" t="s">
        <v>2700</v>
      </c>
      <c r="F1013" s="182"/>
      <c r="G1013" s="182">
        <v>122000</v>
      </c>
      <c r="H1013" s="182"/>
      <c r="I1013" s="182"/>
      <c r="J1013" s="182"/>
      <c r="K1013" s="182"/>
      <c r="L1013" s="182"/>
      <c r="M1013" s="182"/>
      <c r="N1013" s="182"/>
      <c r="O1013" s="182"/>
      <c r="P1013" s="182"/>
      <c r="Q1013" s="182"/>
      <c r="R1013" s="182"/>
      <c r="S1013" s="182"/>
      <c r="T1013" s="182"/>
      <c r="U1013" s="182"/>
      <c r="V1013" s="182"/>
      <c r="W1013" s="182"/>
      <c r="X1013" s="182"/>
      <c r="Y1013" s="182"/>
      <c r="Z1013" s="182"/>
      <c r="AA1013" s="182"/>
      <c r="AB1013" s="182"/>
      <c r="AC1013" s="182"/>
      <c r="AD1013" s="182"/>
      <c r="AE1013" s="182"/>
      <c r="AF1013" s="182"/>
      <c r="AG1013" s="182"/>
      <c r="AH1013" s="182"/>
      <c r="AI1013" s="182"/>
      <c r="AJ1013" s="182"/>
      <c r="AK1013" s="182"/>
      <c r="AL1013" s="182"/>
      <c r="AM1013" s="182"/>
      <c r="AN1013" s="182"/>
      <c r="AO1013" s="182"/>
      <c r="AP1013" s="182"/>
      <c r="AQ1013" s="185">
        <v>122000</v>
      </c>
      <c r="AR1013" s="182">
        <v>109091.8</v>
      </c>
      <c r="AS1013" s="182">
        <v>12908.2</v>
      </c>
      <c r="AT1013" s="182"/>
      <c r="AU1013" s="182"/>
      <c r="AV1013" s="182"/>
      <c r="AW1013" s="182"/>
      <c r="AX1013" s="182"/>
      <c r="AY1013" s="182"/>
      <c r="AZ1013" s="182"/>
      <c r="BA1013" s="182"/>
      <c r="BB1013" s="182"/>
      <c r="BC1013" s="182"/>
      <c r="BD1013" s="182"/>
      <c r="BE1013" s="182"/>
      <c r="BF1013" s="182"/>
      <c r="BG1013" s="182"/>
      <c r="BH1013" s="182"/>
      <c r="BI1013" s="182"/>
      <c r="BJ1013" s="182"/>
      <c r="BK1013" s="182"/>
      <c r="BL1013" s="182"/>
      <c r="BM1013" s="182"/>
      <c r="BN1013" s="182"/>
      <c r="BO1013" s="182"/>
      <c r="BP1013" s="182"/>
      <c r="BQ1013" s="182"/>
      <c r="BR1013" s="182"/>
      <c r="BS1013" s="182"/>
      <c r="BT1013" s="182"/>
      <c r="BU1013" s="182"/>
      <c r="BV1013" s="182"/>
      <c r="BW1013" s="182"/>
      <c r="BX1013" s="182"/>
      <c r="BY1013" s="182"/>
      <c r="BZ1013" s="182"/>
      <c r="CA1013" s="182"/>
      <c r="CB1013" s="185">
        <v>122000</v>
      </c>
      <c r="CC1013" s="185">
        <v>0</v>
      </c>
      <c r="CD1013" s="185">
        <v>2361</v>
      </c>
      <c r="CE1013" s="185"/>
    </row>
    <row r="1014" spans="2:83" x14ac:dyDescent="0.3">
      <c r="B1014" s="182">
        <v>3851</v>
      </c>
      <c r="C1014" s="182">
        <v>2362</v>
      </c>
      <c r="D1014" s="182" t="s">
        <v>119</v>
      </c>
      <c r="E1014" s="181" t="s">
        <v>2700</v>
      </c>
      <c r="F1014" s="182"/>
      <c r="G1014" s="182">
        <v>66000</v>
      </c>
      <c r="H1014" s="182"/>
      <c r="I1014" s="182"/>
      <c r="J1014" s="182"/>
      <c r="K1014" s="182"/>
      <c r="L1014" s="182"/>
      <c r="M1014" s="182"/>
      <c r="N1014" s="182"/>
      <c r="O1014" s="182"/>
      <c r="P1014" s="182"/>
      <c r="Q1014" s="182"/>
      <c r="R1014" s="182"/>
      <c r="S1014" s="182"/>
      <c r="T1014" s="182"/>
      <c r="U1014" s="182"/>
      <c r="V1014" s="182"/>
      <c r="W1014" s="182"/>
      <c r="X1014" s="182"/>
      <c r="Y1014" s="182"/>
      <c r="Z1014" s="182"/>
      <c r="AA1014" s="182"/>
      <c r="AB1014" s="182"/>
      <c r="AC1014" s="182"/>
      <c r="AD1014" s="182"/>
      <c r="AE1014" s="182"/>
      <c r="AF1014" s="182"/>
      <c r="AG1014" s="182"/>
      <c r="AH1014" s="182"/>
      <c r="AI1014" s="182"/>
      <c r="AJ1014" s="182"/>
      <c r="AK1014" s="182"/>
      <c r="AL1014" s="182"/>
      <c r="AM1014" s="182"/>
      <c r="AN1014" s="182"/>
      <c r="AO1014" s="182"/>
      <c r="AP1014" s="182"/>
      <c r="AQ1014" s="185">
        <v>66000</v>
      </c>
      <c r="AR1014" s="182">
        <v>59152.4</v>
      </c>
      <c r="AS1014" s="182">
        <v>6847.6</v>
      </c>
      <c r="AT1014" s="182"/>
      <c r="AU1014" s="182"/>
      <c r="AV1014" s="182"/>
      <c r="AW1014" s="182"/>
      <c r="AX1014" s="182"/>
      <c r="AY1014" s="182"/>
      <c r="AZ1014" s="182"/>
      <c r="BA1014" s="182"/>
      <c r="BB1014" s="182"/>
      <c r="BC1014" s="182"/>
      <c r="BD1014" s="182"/>
      <c r="BE1014" s="182"/>
      <c r="BF1014" s="182"/>
      <c r="BG1014" s="182"/>
      <c r="BH1014" s="182"/>
      <c r="BI1014" s="182"/>
      <c r="BJ1014" s="182"/>
      <c r="BK1014" s="182"/>
      <c r="BL1014" s="182"/>
      <c r="BM1014" s="182"/>
      <c r="BN1014" s="182"/>
      <c r="BO1014" s="182"/>
      <c r="BP1014" s="182"/>
      <c r="BQ1014" s="182"/>
      <c r="BR1014" s="182"/>
      <c r="BS1014" s="182"/>
      <c r="BT1014" s="182"/>
      <c r="BU1014" s="182"/>
      <c r="BV1014" s="182"/>
      <c r="BW1014" s="182"/>
      <c r="BX1014" s="182"/>
      <c r="BY1014" s="182"/>
      <c r="BZ1014" s="182"/>
      <c r="CA1014" s="182"/>
      <c r="CB1014" s="185">
        <v>66000</v>
      </c>
      <c r="CC1014" s="185">
        <v>0</v>
      </c>
      <c r="CD1014" s="185">
        <v>2362</v>
      </c>
      <c r="CE1014" s="185"/>
    </row>
    <row r="1015" spans="2:83" x14ac:dyDescent="0.3">
      <c r="B1015" s="182">
        <v>3852</v>
      </c>
      <c r="C1015" s="182">
        <v>2363</v>
      </c>
      <c r="D1015" s="182" t="s">
        <v>119</v>
      </c>
      <c r="E1015" s="181" t="s">
        <v>2700</v>
      </c>
      <c r="F1015" s="182"/>
      <c r="G1015" s="182">
        <v>83000</v>
      </c>
      <c r="H1015" s="182"/>
      <c r="I1015" s="182"/>
      <c r="J1015" s="182"/>
      <c r="K1015" s="182"/>
      <c r="L1015" s="182"/>
      <c r="M1015" s="182"/>
      <c r="N1015" s="182"/>
      <c r="O1015" s="182"/>
      <c r="P1015" s="182"/>
      <c r="Q1015" s="182"/>
      <c r="R1015" s="182"/>
      <c r="S1015" s="182"/>
      <c r="T1015" s="182"/>
      <c r="U1015" s="182"/>
      <c r="V1015" s="182"/>
      <c r="W1015" s="182"/>
      <c r="X1015" s="182"/>
      <c r="Y1015" s="182"/>
      <c r="Z1015" s="182"/>
      <c r="AA1015" s="182"/>
      <c r="AB1015" s="182"/>
      <c r="AC1015" s="182"/>
      <c r="AD1015" s="182"/>
      <c r="AE1015" s="182"/>
      <c r="AF1015" s="182"/>
      <c r="AG1015" s="182"/>
      <c r="AH1015" s="182"/>
      <c r="AI1015" s="182"/>
      <c r="AJ1015" s="182"/>
      <c r="AK1015" s="182"/>
      <c r="AL1015" s="182"/>
      <c r="AM1015" s="182"/>
      <c r="AN1015" s="182"/>
      <c r="AO1015" s="182"/>
      <c r="AP1015" s="182"/>
      <c r="AQ1015" s="185">
        <v>83000</v>
      </c>
      <c r="AR1015" s="182">
        <v>74171.25</v>
      </c>
      <c r="AS1015" s="182">
        <v>8828.75</v>
      </c>
      <c r="AT1015" s="182"/>
      <c r="AU1015" s="182"/>
      <c r="AV1015" s="182"/>
      <c r="AW1015" s="182"/>
      <c r="AX1015" s="182"/>
      <c r="AY1015" s="182"/>
      <c r="AZ1015" s="182"/>
      <c r="BA1015" s="182"/>
      <c r="BB1015" s="182"/>
      <c r="BC1015" s="182"/>
      <c r="BD1015" s="182"/>
      <c r="BE1015" s="182"/>
      <c r="BF1015" s="182"/>
      <c r="BG1015" s="182"/>
      <c r="BH1015" s="182"/>
      <c r="BI1015" s="182"/>
      <c r="BJ1015" s="182"/>
      <c r="BK1015" s="182"/>
      <c r="BL1015" s="182"/>
      <c r="BM1015" s="182"/>
      <c r="BN1015" s="182"/>
      <c r="BO1015" s="182"/>
      <c r="BP1015" s="182"/>
      <c r="BQ1015" s="182"/>
      <c r="BR1015" s="182"/>
      <c r="BS1015" s="182"/>
      <c r="BT1015" s="182"/>
      <c r="BU1015" s="182"/>
      <c r="BV1015" s="182"/>
      <c r="BW1015" s="182"/>
      <c r="BX1015" s="182"/>
      <c r="BY1015" s="182"/>
      <c r="BZ1015" s="182"/>
      <c r="CA1015" s="182"/>
      <c r="CB1015" s="185">
        <v>83000</v>
      </c>
      <c r="CC1015" s="185">
        <v>0</v>
      </c>
      <c r="CD1015" s="185">
        <v>2363</v>
      </c>
      <c r="CE1015" s="185"/>
    </row>
    <row r="1016" spans="2:83" x14ac:dyDescent="0.3">
      <c r="B1016" s="182">
        <v>3844</v>
      </c>
      <c r="C1016" s="182">
        <v>2364</v>
      </c>
      <c r="D1016" s="182" t="s">
        <v>119</v>
      </c>
      <c r="E1016" s="181" t="s">
        <v>2700</v>
      </c>
      <c r="F1016" s="182"/>
      <c r="G1016" s="182">
        <v>17000</v>
      </c>
      <c r="H1016" s="182"/>
      <c r="I1016" s="182"/>
      <c r="J1016" s="182"/>
      <c r="K1016" s="182"/>
      <c r="L1016" s="182"/>
      <c r="M1016" s="182"/>
      <c r="N1016" s="182"/>
      <c r="O1016" s="182"/>
      <c r="P1016" s="182"/>
      <c r="Q1016" s="182"/>
      <c r="R1016" s="182"/>
      <c r="S1016" s="182"/>
      <c r="T1016" s="182"/>
      <c r="U1016" s="182"/>
      <c r="V1016" s="182"/>
      <c r="W1016" s="182"/>
      <c r="X1016" s="182"/>
      <c r="Y1016" s="182"/>
      <c r="Z1016" s="182"/>
      <c r="AA1016" s="182"/>
      <c r="AB1016" s="182"/>
      <c r="AC1016" s="182"/>
      <c r="AD1016" s="182"/>
      <c r="AE1016" s="182"/>
      <c r="AF1016" s="182"/>
      <c r="AG1016" s="182"/>
      <c r="AH1016" s="182"/>
      <c r="AI1016" s="182"/>
      <c r="AJ1016" s="182"/>
      <c r="AK1016" s="182"/>
      <c r="AL1016" s="182"/>
      <c r="AM1016" s="182"/>
      <c r="AN1016" s="182"/>
      <c r="AO1016" s="182"/>
      <c r="AP1016" s="182"/>
      <c r="AQ1016" s="185">
        <v>17000</v>
      </c>
      <c r="AR1016" s="182">
        <v>15199.4</v>
      </c>
      <c r="AS1016" s="182">
        <v>1800.6</v>
      </c>
      <c r="AT1016" s="182"/>
      <c r="AU1016" s="182"/>
      <c r="AV1016" s="182"/>
      <c r="AW1016" s="182"/>
      <c r="AX1016" s="182"/>
      <c r="AY1016" s="182"/>
      <c r="AZ1016" s="182"/>
      <c r="BA1016" s="182"/>
      <c r="BB1016" s="182"/>
      <c r="BC1016" s="182"/>
      <c r="BD1016" s="182"/>
      <c r="BE1016" s="182"/>
      <c r="BF1016" s="182"/>
      <c r="BG1016" s="182"/>
      <c r="BH1016" s="182"/>
      <c r="BI1016" s="182"/>
      <c r="BJ1016" s="182"/>
      <c r="BK1016" s="182"/>
      <c r="BL1016" s="182"/>
      <c r="BM1016" s="182"/>
      <c r="BN1016" s="182"/>
      <c r="BO1016" s="182"/>
      <c r="BP1016" s="182"/>
      <c r="BQ1016" s="182"/>
      <c r="BR1016" s="182"/>
      <c r="BS1016" s="182"/>
      <c r="BT1016" s="182"/>
      <c r="BU1016" s="182"/>
      <c r="BV1016" s="182"/>
      <c r="BW1016" s="182"/>
      <c r="BX1016" s="182"/>
      <c r="BY1016" s="182"/>
      <c r="BZ1016" s="182"/>
      <c r="CA1016" s="182"/>
      <c r="CB1016" s="185">
        <v>17000</v>
      </c>
      <c r="CC1016" s="185">
        <v>0</v>
      </c>
      <c r="CD1016" s="185">
        <v>2364</v>
      </c>
      <c r="CE1016" s="185"/>
    </row>
    <row r="1017" spans="2:83" x14ac:dyDescent="0.3">
      <c r="B1017" s="182">
        <v>3845</v>
      </c>
      <c r="C1017" s="182">
        <v>2365</v>
      </c>
      <c r="D1017" s="182" t="s">
        <v>119</v>
      </c>
      <c r="E1017" s="181" t="s">
        <v>2700</v>
      </c>
      <c r="F1017" s="182"/>
      <c r="G1017" s="182">
        <v>59000</v>
      </c>
      <c r="H1017" s="182"/>
      <c r="I1017" s="182"/>
      <c r="J1017" s="182"/>
      <c r="K1017" s="182"/>
      <c r="L1017" s="182"/>
      <c r="M1017" s="182"/>
      <c r="N1017" s="182"/>
      <c r="O1017" s="182"/>
      <c r="P1017" s="182"/>
      <c r="Q1017" s="182"/>
      <c r="R1017" s="182"/>
      <c r="S1017" s="182"/>
      <c r="T1017" s="182"/>
      <c r="U1017" s="182"/>
      <c r="V1017" s="182"/>
      <c r="W1017" s="182"/>
      <c r="X1017" s="182"/>
      <c r="Y1017" s="182"/>
      <c r="Z1017" s="182"/>
      <c r="AA1017" s="182"/>
      <c r="AB1017" s="182"/>
      <c r="AC1017" s="182"/>
      <c r="AD1017" s="182"/>
      <c r="AE1017" s="182"/>
      <c r="AF1017" s="182"/>
      <c r="AG1017" s="182"/>
      <c r="AH1017" s="182"/>
      <c r="AI1017" s="182"/>
      <c r="AJ1017" s="182"/>
      <c r="AK1017" s="182"/>
      <c r="AL1017" s="182"/>
      <c r="AM1017" s="182"/>
      <c r="AN1017" s="182"/>
      <c r="AO1017" s="182"/>
      <c r="AP1017" s="182"/>
      <c r="AQ1017" s="185">
        <v>59000</v>
      </c>
      <c r="AR1017" s="182">
        <v>52823.8</v>
      </c>
      <c r="AS1017" s="182">
        <v>6176.2</v>
      </c>
      <c r="AT1017" s="182"/>
      <c r="AU1017" s="182"/>
      <c r="AV1017" s="182"/>
      <c r="AW1017" s="182"/>
      <c r="AX1017" s="182"/>
      <c r="AY1017" s="182"/>
      <c r="AZ1017" s="182"/>
      <c r="BA1017" s="182"/>
      <c r="BB1017" s="182"/>
      <c r="BC1017" s="182"/>
      <c r="BD1017" s="182"/>
      <c r="BE1017" s="182"/>
      <c r="BF1017" s="182"/>
      <c r="BG1017" s="182"/>
      <c r="BH1017" s="182"/>
      <c r="BI1017" s="182"/>
      <c r="BJ1017" s="182"/>
      <c r="BK1017" s="182"/>
      <c r="BL1017" s="182"/>
      <c r="BM1017" s="182"/>
      <c r="BN1017" s="182"/>
      <c r="BO1017" s="182"/>
      <c r="BP1017" s="182"/>
      <c r="BQ1017" s="182"/>
      <c r="BR1017" s="182"/>
      <c r="BS1017" s="182"/>
      <c r="BT1017" s="182"/>
      <c r="BU1017" s="182"/>
      <c r="BV1017" s="182"/>
      <c r="BW1017" s="182"/>
      <c r="BX1017" s="182"/>
      <c r="BY1017" s="182"/>
      <c r="BZ1017" s="182"/>
      <c r="CA1017" s="182"/>
      <c r="CB1017" s="185">
        <v>59000</v>
      </c>
      <c r="CC1017" s="185">
        <v>0</v>
      </c>
      <c r="CD1017" s="185">
        <v>2365</v>
      </c>
      <c r="CE1017" s="185"/>
    </row>
    <row r="1018" spans="2:83" x14ac:dyDescent="0.3">
      <c r="B1018" s="182">
        <v>3846</v>
      </c>
      <c r="C1018" s="182">
        <v>2366</v>
      </c>
      <c r="D1018" s="182" t="s">
        <v>119</v>
      </c>
      <c r="E1018" s="181" t="s">
        <v>2700</v>
      </c>
      <c r="F1018" s="182"/>
      <c r="G1018" s="182">
        <v>166500</v>
      </c>
      <c r="H1018" s="182"/>
      <c r="I1018" s="182"/>
      <c r="J1018" s="182"/>
      <c r="K1018" s="182"/>
      <c r="L1018" s="182"/>
      <c r="M1018" s="182"/>
      <c r="N1018" s="182"/>
      <c r="O1018" s="182"/>
      <c r="P1018" s="182"/>
      <c r="Q1018" s="182"/>
      <c r="R1018" s="182"/>
      <c r="S1018" s="182"/>
      <c r="T1018" s="182"/>
      <c r="U1018" s="182"/>
      <c r="V1018" s="182"/>
      <c r="W1018" s="182"/>
      <c r="X1018" s="182"/>
      <c r="Y1018" s="182"/>
      <c r="Z1018" s="182"/>
      <c r="AA1018" s="182"/>
      <c r="AB1018" s="182"/>
      <c r="AC1018" s="182"/>
      <c r="AD1018" s="182"/>
      <c r="AE1018" s="182"/>
      <c r="AF1018" s="182"/>
      <c r="AG1018" s="182"/>
      <c r="AH1018" s="182"/>
      <c r="AI1018" s="182"/>
      <c r="AJ1018" s="182"/>
      <c r="AK1018" s="182"/>
      <c r="AL1018" s="182"/>
      <c r="AM1018" s="182"/>
      <c r="AN1018" s="182"/>
      <c r="AO1018" s="182"/>
      <c r="AP1018" s="182"/>
      <c r="AQ1018" s="185">
        <v>166500</v>
      </c>
      <c r="AR1018" s="182">
        <v>149300.9</v>
      </c>
      <c r="AS1018" s="182">
        <v>17199.099999999999</v>
      </c>
      <c r="AT1018" s="182"/>
      <c r="AU1018" s="182"/>
      <c r="AV1018" s="182"/>
      <c r="AW1018" s="182"/>
      <c r="AX1018" s="182"/>
      <c r="AY1018" s="182"/>
      <c r="AZ1018" s="182"/>
      <c r="BA1018" s="182"/>
      <c r="BB1018" s="182"/>
      <c r="BC1018" s="182"/>
      <c r="BD1018" s="182"/>
      <c r="BE1018" s="182"/>
      <c r="BF1018" s="182"/>
      <c r="BG1018" s="182"/>
      <c r="BH1018" s="182"/>
      <c r="BI1018" s="182"/>
      <c r="BJ1018" s="182"/>
      <c r="BK1018" s="182"/>
      <c r="BL1018" s="182"/>
      <c r="BM1018" s="182"/>
      <c r="BN1018" s="182"/>
      <c r="BO1018" s="182"/>
      <c r="BP1018" s="182"/>
      <c r="BQ1018" s="182"/>
      <c r="BR1018" s="182"/>
      <c r="BS1018" s="182"/>
      <c r="BT1018" s="182"/>
      <c r="BU1018" s="182"/>
      <c r="BV1018" s="182"/>
      <c r="BW1018" s="182"/>
      <c r="BX1018" s="182"/>
      <c r="BY1018" s="182"/>
      <c r="BZ1018" s="182"/>
      <c r="CA1018" s="182"/>
      <c r="CB1018" s="185">
        <v>166500</v>
      </c>
      <c r="CC1018" s="185">
        <v>0</v>
      </c>
      <c r="CD1018" s="185">
        <v>2366</v>
      </c>
      <c r="CE1018" s="185"/>
    </row>
    <row r="1019" spans="2:83" x14ac:dyDescent="0.3">
      <c r="B1019" s="182">
        <v>3847</v>
      </c>
      <c r="C1019" s="182">
        <v>2367</v>
      </c>
      <c r="D1019" s="182" t="s">
        <v>119</v>
      </c>
      <c r="E1019" s="181" t="s">
        <v>2700</v>
      </c>
      <c r="F1019" s="182"/>
      <c r="G1019" s="182">
        <v>31275.75</v>
      </c>
      <c r="H1019" s="182"/>
      <c r="I1019" s="182"/>
      <c r="J1019" s="182"/>
      <c r="K1019" s="182"/>
      <c r="L1019" s="182"/>
      <c r="M1019" s="182"/>
      <c r="N1019" s="182"/>
      <c r="O1019" s="182"/>
      <c r="P1019" s="182"/>
      <c r="Q1019" s="182"/>
      <c r="R1019" s="182"/>
      <c r="S1019" s="182"/>
      <c r="T1019" s="182"/>
      <c r="U1019" s="182"/>
      <c r="V1019" s="182"/>
      <c r="W1019" s="182"/>
      <c r="X1019" s="182"/>
      <c r="Y1019" s="182"/>
      <c r="Z1019" s="182"/>
      <c r="AA1019" s="182"/>
      <c r="AB1019" s="182"/>
      <c r="AC1019" s="182"/>
      <c r="AD1019" s="182"/>
      <c r="AE1019" s="182"/>
      <c r="AF1019" s="182"/>
      <c r="AG1019" s="182"/>
      <c r="AH1019" s="182"/>
      <c r="AI1019" s="182"/>
      <c r="AJ1019" s="182"/>
      <c r="AK1019" s="182"/>
      <c r="AL1019" s="182"/>
      <c r="AM1019" s="182"/>
      <c r="AN1019" s="182"/>
      <c r="AO1019" s="182"/>
      <c r="AP1019" s="182"/>
      <c r="AQ1019" s="185">
        <v>31275.75</v>
      </c>
      <c r="AR1019" s="182">
        <v>31275.75</v>
      </c>
      <c r="AS1019" s="182"/>
      <c r="AT1019" s="182"/>
      <c r="AU1019" s="182"/>
      <c r="AV1019" s="182"/>
      <c r="AW1019" s="182"/>
      <c r="AX1019" s="182"/>
      <c r="AY1019" s="182"/>
      <c r="AZ1019" s="182"/>
      <c r="BA1019" s="182"/>
      <c r="BB1019" s="182"/>
      <c r="BC1019" s="182"/>
      <c r="BD1019" s="182"/>
      <c r="BE1019" s="182"/>
      <c r="BF1019" s="182"/>
      <c r="BG1019" s="182"/>
      <c r="BH1019" s="182"/>
      <c r="BI1019" s="182"/>
      <c r="BJ1019" s="182"/>
      <c r="BK1019" s="182"/>
      <c r="BL1019" s="182"/>
      <c r="BM1019" s="182"/>
      <c r="BN1019" s="182"/>
      <c r="BO1019" s="182"/>
      <c r="BP1019" s="182"/>
      <c r="BQ1019" s="182"/>
      <c r="BR1019" s="182"/>
      <c r="BS1019" s="182"/>
      <c r="BT1019" s="182"/>
      <c r="BU1019" s="182"/>
      <c r="BV1019" s="182"/>
      <c r="BW1019" s="182"/>
      <c r="BX1019" s="182"/>
      <c r="BY1019" s="182"/>
      <c r="BZ1019" s="182"/>
      <c r="CA1019" s="182"/>
      <c r="CB1019" s="185">
        <v>31275.75</v>
      </c>
      <c r="CC1019" s="185">
        <v>0</v>
      </c>
      <c r="CD1019" s="185">
        <v>2367</v>
      </c>
      <c r="CE1019" s="185"/>
    </row>
    <row r="1020" spans="2:83" x14ac:dyDescent="0.3">
      <c r="B1020" s="182">
        <v>3853</v>
      </c>
      <c r="C1020" s="182">
        <v>2368</v>
      </c>
      <c r="D1020" s="182" t="s">
        <v>119</v>
      </c>
      <c r="E1020" s="181" t="s">
        <v>2700</v>
      </c>
      <c r="F1020" s="182"/>
      <c r="G1020" s="182">
        <v>15432</v>
      </c>
      <c r="H1020" s="182"/>
      <c r="I1020" s="182"/>
      <c r="J1020" s="182"/>
      <c r="K1020" s="182"/>
      <c r="L1020" s="182"/>
      <c r="M1020" s="182"/>
      <c r="N1020" s="182"/>
      <c r="O1020" s="182"/>
      <c r="P1020" s="182"/>
      <c r="Q1020" s="182"/>
      <c r="R1020" s="182"/>
      <c r="S1020" s="182"/>
      <c r="T1020" s="182"/>
      <c r="U1020" s="182"/>
      <c r="V1020" s="182"/>
      <c r="W1020" s="182"/>
      <c r="X1020" s="182"/>
      <c r="Y1020" s="182"/>
      <c r="Z1020" s="182"/>
      <c r="AA1020" s="182"/>
      <c r="AB1020" s="182"/>
      <c r="AC1020" s="182"/>
      <c r="AD1020" s="182"/>
      <c r="AE1020" s="182"/>
      <c r="AF1020" s="182"/>
      <c r="AG1020" s="182"/>
      <c r="AH1020" s="182"/>
      <c r="AI1020" s="182"/>
      <c r="AJ1020" s="182"/>
      <c r="AK1020" s="182"/>
      <c r="AL1020" s="182"/>
      <c r="AM1020" s="182"/>
      <c r="AN1020" s="182"/>
      <c r="AO1020" s="182"/>
      <c r="AP1020" s="182"/>
      <c r="AQ1020" s="185">
        <v>15432</v>
      </c>
      <c r="AR1020" s="182">
        <v>15432</v>
      </c>
      <c r="AS1020" s="182"/>
      <c r="AT1020" s="182"/>
      <c r="AU1020" s="182"/>
      <c r="AV1020" s="182"/>
      <c r="AW1020" s="182"/>
      <c r="AX1020" s="182"/>
      <c r="AY1020" s="182"/>
      <c r="AZ1020" s="182"/>
      <c r="BA1020" s="182"/>
      <c r="BB1020" s="182"/>
      <c r="BC1020" s="182"/>
      <c r="BD1020" s="182"/>
      <c r="BE1020" s="182"/>
      <c r="BF1020" s="182"/>
      <c r="BG1020" s="182"/>
      <c r="BH1020" s="182"/>
      <c r="BI1020" s="182"/>
      <c r="BJ1020" s="182"/>
      <c r="BK1020" s="182"/>
      <c r="BL1020" s="182"/>
      <c r="BM1020" s="182"/>
      <c r="BN1020" s="182"/>
      <c r="BO1020" s="182"/>
      <c r="BP1020" s="182"/>
      <c r="BQ1020" s="182"/>
      <c r="BR1020" s="182"/>
      <c r="BS1020" s="182"/>
      <c r="BT1020" s="182"/>
      <c r="BU1020" s="182"/>
      <c r="BV1020" s="182"/>
      <c r="BW1020" s="182"/>
      <c r="BX1020" s="182"/>
      <c r="BY1020" s="182"/>
      <c r="BZ1020" s="182"/>
      <c r="CA1020" s="182"/>
      <c r="CB1020" s="185">
        <v>15432</v>
      </c>
      <c r="CC1020" s="185">
        <v>0</v>
      </c>
      <c r="CD1020" s="185">
        <v>2368</v>
      </c>
      <c r="CE1020" s="185"/>
    </row>
    <row r="1021" spans="2:83" x14ac:dyDescent="0.3">
      <c r="B1021" s="182">
        <v>3850</v>
      </c>
      <c r="C1021" s="182">
        <v>2369</v>
      </c>
      <c r="D1021" s="182" t="s">
        <v>119</v>
      </c>
      <c r="E1021" s="181" t="s">
        <v>2700</v>
      </c>
      <c r="F1021" s="182"/>
      <c r="G1021" s="182">
        <v>27152.400000000001</v>
      </c>
      <c r="H1021" s="182"/>
      <c r="I1021" s="182"/>
      <c r="J1021" s="182"/>
      <c r="K1021" s="182"/>
      <c r="L1021" s="182"/>
      <c r="M1021" s="182"/>
      <c r="N1021" s="182"/>
      <c r="O1021" s="182"/>
      <c r="P1021" s="182"/>
      <c r="Q1021" s="182"/>
      <c r="R1021" s="182"/>
      <c r="S1021" s="182"/>
      <c r="T1021" s="182"/>
      <c r="U1021" s="182"/>
      <c r="V1021" s="182"/>
      <c r="W1021" s="182"/>
      <c r="X1021" s="182"/>
      <c r="Y1021" s="182"/>
      <c r="Z1021" s="182"/>
      <c r="AA1021" s="182"/>
      <c r="AB1021" s="182"/>
      <c r="AC1021" s="182"/>
      <c r="AD1021" s="182"/>
      <c r="AE1021" s="182"/>
      <c r="AF1021" s="182"/>
      <c r="AG1021" s="182"/>
      <c r="AH1021" s="182"/>
      <c r="AI1021" s="182"/>
      <c r="AJ1021" s="182"/>
      <c r="AK1021" s="182"/>
      <c r="AL1021" s="182"/>
      <c r="AM1021" s="182"/>
      <c r="AN1021" s="182"/>
      <c r="AO1021" s="182"/>
      <c r="AP1021" s="182"/>
      <c r="AQ1021" s="185">
        <v>27152.400000000001</v>
      </c>
      <c r="AR1021" s="182">
        <v>27152.400000000001</v>
      </c>
      <c r="AS1021" s="182"/>
      <c r="AT1021" s="182"/>
      <c r="AU1021" s="182"/>
      <c r="AV1021" s="182"/>
      <c r="AW1021" s="182"/>
      <c r="AX1021" s="182"/>
      <c r="AY1021" s="182"/>
      <c r="AZ1021" s="182"/>
      <c r="BA1021" s="182"/>
      <c r="BB1021" s="182"/>
      <c r="BC1021" s="182"/>
      <c r="BD1021" s="182"/>
      <c r="BE1021" s="182"/>
      <c r="BF1021" s="182"/>
      <c r="BG1021" s="182"/>
      <c r="BH1021" s="182"/>
      <c r="BI1021" s="182"/>
      <c r="BJ1021" s="182"/>
      <c r="BK1021" s="182"/>
      <c r="BL1021" s="182"/>
      <c r="BM1021" s="182"/>
      <c r="BN1021" s="182"/>
      <c r="BO1021" s="182"/>
      <c r="BP1021" s="182"/>
      <c r="BQ1021" s="182"/>
      <c r="BR1021" s="182"/>
      <c r="BS1021" s="182"/>
      <c r="BT1021" s="182"/>
      <c r="BU1021" s="182"/>
      <c r="BV1021" s="182"/>
      <c r="BW1021" s="182"/>
      <c r="BX1021" s="182"/>
      <c r="BY1021" s="182"/>
      <c r="BZ1021" s="182"/>
      <c r="CA1021" s="182"/>
      <c r="CB1021" s="185">
        <v>27152.400000000001</v>
      </c>
      <c r="CC1021" s="185">
        <v>0</v>
      </c>
      <c r="CD1021" s="185">
        <v>2369</v>
      </c>
      <c r="CE1021" s="185"/>
    </row>
    <row r="1022" spans="2:83" x14ac:dyDescent="0.3">
      <c r="B1022" s="182">
        <v>3849</v>
      </c>
      <c r="C1022" s="182">
        <v>2370</v>
      </c>
      <c r="D1022" s="182" t="s">
        <v>119</v>
      </c>
      <c r="E1022" s="181" t="s">
        <v>2700</v>
      </c>
      <c r="F1022" s="182"/>
      <c r="G1022" s="182">
        <v>14638.75</v>
      </c>
      <c r="H1022" s="182"/>
      <c r="I1022" s="182"/>
      <c r="J1022" s="182"/>
      <c r="K1022" s="182"/>
      <c r="L1022" s="182"/>
      <c r="M1022" s="182"/>
      <c r="N1022" s="182"/>
      <c r="O1022" s="182"/>
      <c r="P1022" s="182"/>
      <c r="Q1022" s="182"/>
      <c r="R1022" s="182"/>
      <c r="S1022" s="182"/>
      <c r="T1022" s="182"/>
      <c r="U1022" s="182"/>
      <c r="V1022" s="182"/>
      <c r="W1022" s="182"/>
      <c r="X1022" s="182"/>
      <c r="Y1022" s="182"/>
      <c r="Z1022" s="182"/>
      <c r="AA1022" s="182"/>
      <c r="AB1022" s="182"/>
      <c r="AC1022" s="182"/>
      <c r="AD1022" s="182"/>
      <c r="AE1022" s="182"/>
      <c r="AF1022" s="182"/>
      <c r="AG1022" s="182"/>
      <c r="AH1022" s="182"/>
      <c r="AI1022" s="182"/>
      <c r="AJ1022" s="182"/>
      <c r="AK1022" s="182"/>
      <c r="AL1022" s="182"/>
      <c r="AM1022" s="182"/>
      <c r="AN1022" s="182"/>
      <c r="AO1022" s="182"/>
      <c r="AP1022" s="182"/>
      <c r="AQ1022" s="185">
        <v>14638.75</v>
      </c>
      <c r="AR1022" s="182">
        <v>14638.75</v>
      </c>
      <c r="AS1022" s="182"/>
      <c r="AT1022" s="182"/>
      <c r="AU1022" s="182"/>
      <c r="AV1022" s="182"/>
      <c r="AW1022" s="182"/>
      <c r="AX1022" s="182"/>
      <c r="AY1022" s="182"/>
      <c r="AZ1022" s="182"/>
      <c r="BA1022" s="182"/>
      <c r="BB1022" s="182"/>
      <c r="BC1022" s="182"/>
      <c r="BD1022" s="182"/>
      <c r="BE1022" s="182"/>
      <c r="BF1022" s="182"/>
      <c r="BG1022" s="182"/>
      <c r="BH1022" s="182"/>
      <c r="BI1022" s="182"/>
      <c r="BJ1022" s="182"/>
      <c r="BK1022" s="182"/>
      <c r="BL1022" s="182"/>
      <c r="BM1022" s="182"/>
      <c r="BN1022" s="182"/>
      <c r="BO1022" s="182"/>
      <c r="BP1022" s="182"/>
      <c r="BQ1022" s="182"/>
      <c r="BR1022" s="182"/>
      <c r="BS1022" s="182"/>
      <c r="BT1022" s="182"/>
      <c r="BU1022" s="182"/>
      <c r="BV1022" s="182"/>
      <c r="BW1022" s="182"/>
      <c r="BX1022" s="182"/>
      <c r="BY1022" s="182"/>
      <c r="BZ1022" s="182"/>
      <c r="CA1022" s="182"/>
      <c r="CB1022" s="185">
        <v>14638.75</v>
      </c>
      <c r="CC1022" s="185">
        <v>0</v>
      </c>
      <c r="CD1022" s="185">
        <v>2370</v>
      </c>
      <c r="CE1022" s="185"/>
    </row>
    <row r="1023" spans="2:83" x14ac:dyDescent="0.3">
      <c r="B1023" s="182">
        <v>4043</v>
      </c>
      <c r="C1023" s="182">
        <v>2371</v>
      </c>
      <c r="D1023" s="182" t="s">
        <v>128</v>
      </c>
      <c r="E1023" s="181" t="s">
        <v>4383</v>
      </c>
      <c r="F1023" s="182"/>
      <c r="G1023" s="182">
        <v>15749.03</v>
      </c>
      <c r="H1023" s="182"/>
      <c r="I1023" s="182"/>
      <c r="J1023" s="182"/>
      <c r="K1023" s="182"/>
      <c r="L1023" s="182"/>
      <c r="M1023" s="182"/>
      <c r="N1023" s="182"/>
      <c r="O1023" s="182"/>
      <c r="P1023" s="182"/>
      <c r="Q1023" s="182"/>
      <c r="R1023" s="182"/>
      <c r="S1023" s="182"/>
      <c r="T1023" s="182"/>
      <c r="U1023" s="182"/>
      <c r="V1023" s="182"/>
      <c r="W1023" s="182"/>
      <c r="X1023" s="182"/>
      <c r="Y1023" s="182"/>
      <c r="Z1023" s="182"/>
      <c r="AA1023" s="182"/>
      <c r="AB1023" s="182"/>
      <c r="AC1023" s="182"/>
      <c r="AD1023" s="182"/>
      <c r="AE1023" s="182"/>
      <c r="AF1023" s="182"/>
      <c r="AG1023" s="182"/>
      <c r="AH1023" s="182"/>
      <c r="AI1023" s="182"/>
      <c r="AJ1023" s="182"/>
      <c r="AK1023" s="182"/>
      <c r="AL1023" s="182"/>
      <c r="AM1023" s="182"/>
      <c r="AN1023" s="182"/>
      <c r="AO1023" s="182"/>
      <c r="AP1023" s="182"/>
      <c r="AQ1023" s="185">
        <v>15749.03</v>
      </c>
      <c r="AR1023" s="182">
        <v>10524.08</v>
      </c>
      <c r="AS1023" s="182">
        <v>1430.4</v>
      </c>
      <c r="AT1023" s="182">
        <v>3794.55</v>
      </c>
      <c r="AU1023" s="182"/>
      <c r="AV1023" s="182"/>
      <c r="AW1023" s="182"/>
      <c r="AX1023" s="182"/>
      <c r="AY1023" s="182"/>
      <c r="AZ1023" s="182"/>
      <c r="BA1023" s="182"/>
      <c r="BB1023" s="182"/>
      <c r="BC1023" s="182"/>
      <c r="BD1023" s="182"/>
      <c r="BE1023" s="182"/>
      <c r="BF1023" s="182"/>
      <c r="BG1023" s="182"/>
      <c r="BH1023" s="182"/>
      <c r="BI1023" s="182"/>
      <c r="BJ1023" s="182"/>
      <c r="BK1023" s="182"/>
      <c r="BL1023" s="182"/>
      <c r="BM1023" s="182"/>
      <c r="BN1023" s="182"/>
      <c r="BO1023" s="182"/>
      <c r="BP1023" s="182"/>
      <c r="BQ1023" s="182"/>
      <c r="BR1023" s="182"/>
      <c r="BS1023" s="182"/>
      <c r="BT1023" s="182"/>
      <c r="BU1023" s="182"/>
      <c r="BV1023" s="182"/>
      <c r="BW1023" s="182"/>
      <c r="BX1023" s="182"/>
      <c r="BY1023" s="182"/>
      <c r="BZ1023" s="182"/>
      <c r="CA1023" s="182"/>
      <c r="CB1023" s="185">
        <v>15749.029999999999</v>
      </c>
      <c r="CC1023" s="185">
        <v>0</v>
      </c>
      <c r="CD1023" s="185">
        <v>2371</v>
      </c>
      <c r="CE1023" s="185"/>
    </row>
    <row r="1024" spans="2:83" x14ac:dyDescent="0.3">
      <c r="B1024" s="182">
        <v>4044</v>
      </c>
      <c r="C1024" s="182">
        <v>2372</v>
      </c>
      <c r="D1024" s="182" t="s">
        <v>128</v>
      </c>
      <c r="E1024" s="181" t="s">
        <v>4383</v>
      </c>
      <c r="F1024" s="182"/>
      <c r="G1024" s="182">
        <v>1172.5</v>
      </c>
      <c r="H1024" s="182"/>
      <c r="I1024" s="182"/>
      <c r="J1024" s="182"/>
      <c r="K1024" s="182"/>
      <c r="L1024" s="182"/>
      <c r="M1024" s="182"/>
      <c r="N1024" s="182"/>
      <c r="O1024" s="182"/>
      <c r="P1024" s="182"/>
      <c r="Q1024" s="182"/>
      <c r="R1024" s="182"/>
      <c r="S1024" s="182"/>
      <c r="T1024" s="182"/>
      <c r="U1024" s="182"/>
      <c r="V1024" s="182"/>
      <c r="W1024" s="182"/>
      <c r="X1024" s="182"/>
      <c r="Y1024" s="182"/>
      <c r="Z1024" s="182"/>
      <c r="AA1024" s="182"/>
      <c r="AB1024" s="182"/>
      <c r="AC1024" s="182"/>
      <c r="AD1024" s="182"/>
      <c r="AE1024" s="182"/>
      <c r="AF1024" s="182"/>
      <c r="AG1024" s="182"/>
      <c r="AH1024" s="182"/>
      <c r="AI1024" s="182"/>
      <c r="AJ1024" s="182"/>
      <c r="AK1024" s="182"/>
      <c r="AL1024" s="182"/>
      <c r="AM1024" s="182"/>
      <c r="AN1024" s="182"/>
      <c r="AO1024" s="182"/>
      <c r="AP1024" s="182"/>
      <c r="AQ1024" s="185">
        <v>1172.5</v>
      </c>
      <c r="AR1024" s="182">
        <v>784.1</v>
      </c>
      <c r="AS1024" s="182">
        <v>105.9</v>
      </c>
      <c r="AT1024" s="182">
        <v>282.5</v>
      </c>
      <c r="AU1024" s="182"/>
      <c r="AV1024" s="182"/>
      <c r="AW1024" s="182"/>
      <c r="AX1024" s="182"/>
      <c r="AY1024" s="182"/>
      <c r="AZ1024" s="182"/>
      <c r="BA1024" s="182"/>
      <c r="BB1024" s="182"/>
      <c r="BC1024" s="182"/>
      <c r="BD1024" s="182"/>
      <c r="BE1024" s="182"/>
      <c r="BF1024" s="182"/>
      <c r="BG1024" s="182"/>
      <c r="BH1024" s="182"/>
      <c r="BI1024" s="182"/>
      <c r="BJ1024" s="182"/>
      <c r="BK1024" s="182"/>
      <c r="BL1024" s="182"/>
      <c r="BM1024" s="182"/>
      <c r="BN1024" s="182"/>
      <c r="BO1024" s="182"/>
      <c r="BP1024" s="182"/>
      <c r="BQ1024" s="182"/>
      <c r="BR1024" s="182"/>
      <c r="BS1024" s="182"/>
      <c r="BT1024" s="182"/>
      <c r="BU1024" s="182"/>
      <c r="BV1024" s="182"/>
      <c r="BW1024" s="182"/>
      <c r="BX1024" s="182"/>
      <c r="BY1024" s="182"/>
      <c r="BZ1024" s="182"/>
      <c r="CA1024" s="182"/>
      <c r="CB1024" s="185">
        <v>1172.5</v>
      </c>
      <c r="CC1024" s="185">
        <v>0</v>
      </c>
      <c r="CD1024" s="185">
        <v>2372</v>
      </c>
      <c r="CE1024" s="185"/>
    </row>
    <row r="1025" spans="2:83" x14ac:dyDescent="0.3">
      <c r="B1025" s="182">
        <v>4045</v>
      </c>
      <c r="C1025" s="182">
        <v>2373</v>
      </c>
      <c r="D1025" s="182" t="s">
        <v>128</v>
      </c>
      <c r="E1025" s="181" t="s">
        <v>4383</v>
      </c>
      <c r="F1025" s="182"/>
      <c r="G1025" s="182">
        <v>4979.62</v>
      </c>
      <c r="H1025" s="182"/>
      <c r="I1025" s="182"/>
      <c r="J1025" s="182"/>
      <c r="K1025" s="182"/>
      <c r="L1025" s="182"/>
      <c r="M1025" s="182"/>
      <c r="N1025" s="182"/>
      <c r="O1025" s="182"/>
      <c r="P1025" s="182"/>
      <c r="Q1025" s="182"/>
      <c r="R1025" s="182"/>
      <c r="S1025" s="182"/>
      <c r="T1025" s="182"/>
      <c r="U1025" s="182"/>
      <c r="V1025" s="182"/>
      <c r="W1025" s="182"/>
      <c r="X1025" s="182"/>
      <c r="Y1025" s="182"/>
      <c r="Z1025" s="182"/>
      <c r="AA1025" s="182"/>
      <c r="AB1025" s="182"/>
      <c r="AC1025" s="182"/>
      <c r="AD1025" s="182"/>
      <c r="AE1025" s="182"/>
      <c r="AF1025" s="182"/>
      <c r="AG1025" s="182"/>
      <c r="AH1025" s="182"/>
      <c r="AI1025" s="182"/>
      <c r="AJ1025" s="182"/>
      <c r="AK1025" s="182"/>
      <c r="AL1025" s="182"/>
      <c r="AM1025" s="182"/>
      <c r="AN1025" s="182"/>
      <c r="AO1025" s="182"/>
      <c r="AP1025" s="182"/>
      <c r="AQ1025" s="185">
        <v>4979.62</v>
      </c>
      <c r="AR1025" s="182">
        <v>3328.68</v>
      </c>
      <c r="AS1025" s="182">
        <v>451.15</v>
      </c>
      <c r="AT1025" s="182">
        <v>1199.79</v>
      </c>
      <c r="AU1025" s="182"/>
      <c r="AV1025" s="182"/>
      <c r="AW1025" s="182"/>
      <c r="AX1025" s="182"/>
      <c r="AY1025" s="182"/>
      <c r="AZ1025" s="182"/>
      <c r="BA1025" s="182"/>
      <c r="BB1025" s="182"/>
      <c r="BC1025" s="182"/>
      <c r="BD1025" s="182"/>
      <c r="BE1025" s="182"/>
      <c r="BF1025" s="182"/>
      <c r="BG1025" s="182"/>
      <c r="BH1025" s="182"/>
      <c r="BI1025" s="182"/>
      <c r="BJ1025" s="182"/>
      <c r="BK1025" s="182"/>
      <c r="BL1025" s="182"/>
      <c r="BM1025" s="182"/>
      <c r="BN1025" s="182"/>
      <c r="BO1025" s="182"/>
      <c r="BP1025" s="182"/>
      <c r="BQ1025" s="182"/>
      <c r="BR1025" s="182"/>
      <c r="BS1025" s="182"/>
      <c r="BT1025" s="182"/>
      <c r="BU1025" s="182"/>
      <c r="BV1025" s="182"/>
      <c r="BW1025" s="182"/>
      <c r="BX1025" s="182"/>
      <c r="BY1025" s="182"/>
      <c r="BZ1025" s="182"/>
      <c r="CA1025" s="182"/>
      <c r="CB1025" s="185">
        <v>4979.62</v>
      </c>
      <c r="CC1025" s="185">
        <v>0</v>
      </c>
      <c r="CD1025" s="185">
        <v>2373</v>
      </c>
      <c r="CE1025" s="185"/>
    </row>
    <row r="1026" spans="2:83" x14ac:dyDescent="0.3">
      <c r="B1026" s="182">
        <v>4042</v>
      </c>
      <c r="C1026" s="182">
        <v>2374</v>
      </c>
      <c r="D1026" s="182" t="s">
        <v>128</v>
      </c>
      <c r="E1026" s="181" t="s">
        <v>4383</v>
      </c>
      <c r="F1026" s="182"/>
      <c r="G1026" s="182">
        <v>1934.64</v>
      </c>
      <c r="H1026" s="182"/>
      <c r="I1026" s="182"/>
      <c r="J1026" s="182"/>
      <c r="K1026" s="182"/>
      <c r="L1026" s="182"/>
      <c r="M1026" s="182"/>
      <c r="N1026" s="182"/>
      <c r="O1026" s="182"/>
      <c r="P1026" s="182"/>
      <c r="Q1026" s="182"/>
      <c r="R1026" s="182"/>
      <c r="S1026" s="182"/>
      <c r="T1026" s="182"/>
      <c r="U1026" s="182"/>
      <c r="V1026" s="182"/>
      <c r="W1026" s="182"/>
      <c r="X1026" s="182"/>
      <c r="Y1026" s="182"/>
      <c r="Z1026" s="182"/>
      <c r="AA1026" s="182"/>
      <c r="AB1026" s="182"/>
      <c r="AC1026" s="182"/>
      <c r="AD1026" s="182"/>
      <c r="AE1026" s="182"/>
      <c r="AF1026" s="182"/>
      <c r="AG1026" s="182"/>
      <c r="AH1026" s="182"/>
      <c r="AI1026" s="182"/>
      <c r="AJ1026" s="182"/>
      <c r="AK1026" s="182"/>
      <c r="AL1026" s="182"/>
      <c r="AM1026" s="182"/>
      <c r="AN1026" s="182"/>
      <c r="AO1026" s="182"/>
      <c r="AP1026" s="182"/>
      <c r="AQ1026" s="185">
        <v>1934.64</v>
      </c>
      <c r="AR1026" s="182">
        <v>1295.6500000000001</v>
      </c>
      <c r="AS1026" s="182">
        <v>172.85</v>
      </c>
      <c r="AT1026" s="182">
        <v>466.14</v>
      </c>
      <c r="AU1026" s="182"/>
      <c r="AV1026" s="182"/>
      <c r="AW1026" s="182"/>
      <c r="AX1026" s="182"/>
      <c r="AY1026" s="182"/>
      <c r="AZ1026" s="182"/>
      <c r="BA1026" s="182"/>
      <c r="BB1026" s="182"/>
      <c r="BC1026" s="182"/>
      <c r="BD1026" s="182"/>
      <c r="BE1026" s="182"/>
      <c r="BF1026" s="182"/>
      <c r="BG1026" s="182"/>
      <c r="BH1026" s="182"/>
      <c r="BI1026" s="182"/>
      <c r="BJ1026" s="182"/>
      <c r="BK1026" s="182"/>
      <c r="BL1026" s="182"/>
      <c r="BM1026" s="182"/>
      <c r="BN1026" s="182"/>
      <c r="BO1026" s="182"/>
      <c r="BP1026" s="182"/>
      <c r="BQ1026" s="182"/>
      <c r="BR1026" s="182"/>
      <c r="BS1026" s="182"/>
      <c r="BT1026" s="182"/>
      <c r="BU1026" s="182"/>
      <c r="BV1026" s="182"/>
      <c r="BW1026" s="182"/>
      <c r="BX1026" s="182"/>
      <c r="BY1026" s="182"/>
      <c r="BZ1026" s="182"/>
      <c r="CA1026" s="182"/>
      <c r="CB1026" s="185">
        <v>1934.6399999999999</v>
      </c>
      <c r="CC1026" s="185">
        <v>0</v>
      </c>
      <c r="CD1026" s="185">
        <v>2374</v>
      </c>
      <c r="CE1026" s="185"/>
    </row>
    <row r="1027" spans="2:83" x14ac:dyDescent="0.3">
      <c r="B1027" s="182">
        <v>4818</v>
      </c>
      <c r="C1027" s="182">
        <v>2375</v>
      </c>
      <c r="D1027" s="182" t="s">
        <v>78</v>
      </c>
      <c r="E1027" s="181" t="s">
        <v>4384</v>
      </c>
      <c r="F1027" s="182"/>
      <c r="G1027" s="182">
        <v>271322.36</v>
      </c>
      <c r="H1027" s="182"/>
      <c r="I1027" s="182"/>
      <c r="J1027" s="182"/>
      <c r="K1027" s="182"/>
      <c r="L1027" s="182"/>
      <c r="M1027" s="182"/>
      <c r="N1027" s="182"/>
      <c r="O1027" s="182"/>
      <c r="P1027" s="182"/>
      <c r="Q1027" s="182"/>
      <c r="R1027" s="182"/>
      <c r="S1027" s="182"/>
      <c r="T1027" s="182"/>
      <c r="U1027" s="182"/>
      <c r="V1027" s="182"/>
      <c r="W1027" s="182"/>
      <c r="X1027" s="182"/>
      <c r="Y1027" s="182"/>
      <c r="Z1027" s="182"/>
      <c r="AA1027" s="182"/>
      <c r="AB1027" s="182"/>
      <c r="AC1027" s="182"/>
      <c r="AD1027" s="182"/>
      <c r="AE1027" s="182"/>
      <c r="AF1027" s="182"/>
      <c r="AG1027" s="182"/>
      <c r="AH1027" s="182"/>
      <c r="AI1027" s="182"/>
      <c r="AJ1027" s="182"/>
      <c r="AK1027" s="182"/>
      <c r="AL1027" s="182"/>
      <c r="AM1027" s="182"/>
      <c r="AN1027" s="182"/>
      <c r="AO1027" s="182"/>
      <c r="AP1027" s="182"/>
      <c r="AQ1027" s="185">
        <v>271322.36</v>
      </c>
      <c r="AR1027" s="182">
        <v>198156.44</v>
      </c>
      <c r="AS1027" s="182">
        <v>25653.41</v>
      </c>
      <c r="AT1027" s="182">
        <v>47512.51</v>
      </c>
      <c r="AU1027" s="182"/>
      <c r="AV1027" s="182"/>
      <c r="AW1027" s="182"/>
      <c r="AX1027" s="182"/>
      <c r="AY1027" s="182"/>
      <c r="AZ1027" s="182"/>
      <c r="BA1027" s="182"/>
      <c r="BB1027" s="182"/>
      <c r="BC1027" s="182"/>
      <c r="BD1027" s="182"/>
      <c r="BE1027" s="182"/>
      <c r="BF1027" s="182"/>
      <c r="BG1027" s="182"/>
      <c r="BH1027" s="182"/>
      <c r="BI1027" s="182"/>
      <c r="BJ1027" s="182"/>
      <c r="BK1027" s="182"/>
      <c r="BL1027" s="182"/>
      <c r="BM1027" s="182"/>
      <c r="BN1027" s="182"/>
      <c r="BO1027" s="182"/>
      <c r="BP1027" s="182"/>
      <c r="BQ1027" s="182"/>
      <c r="BR1027" s="182"/>
      <c r="BS1027" s="182"/>
      <c r="BT1027" s="182"/>
      <c r="BU1027" s="182"/>
      <c r="BV1027" s="182"/>
      <c r="BW1027" s="182"/>
      <c r="BX1027" s="182"/>
      <c r="BY1027" s="182"/>
      <c r="BZ1027" s="182"/>
      <c r="CA1027" s="182"/>
      <c r="CB1027" s="185">
        <v>271322.36</v>
      </c>
      <c r="CC1027" s="185">
        <v>0</v>
      </c>
      <c r="CD1027" s="185">
        <v>2375</v>
      </c>
      <c r="CE1027" s="185"/>
    </row>
    <row r="1028" spans="2:83" x14ac:dyDescent="0.3">
      <c r="B1028" s="182">
        <v>4827</v>
      </c>
      <c r="C1028" s="182">
        <v>2376</v>
      </c>
      <c r="D1028" s="182" t="s">
        <v>78</v>
      </c>
      <c r="E1028" s="181" t="s">
        <v>4384</v>
      </c>
      <c r="F1028" s="182"/>
      <c r="G1028" s="182">
        <v>15257.73</v>
      </c>
      <c r="H1028" s="182"/>
      <c r="I1028" s="182"/>
      <c r="J1028" s="182"/>
      <c r="K1028" s="182"/>
      <c r="L1028" s="182"/>
      <c r="M1028" s="182"/>
      <c r="N1028" s="182"/>
      <c r="O1028" s="182"/>
      <c r="P1028" s="182"/>
      <c r="Q1028" s="182"/>
      <c r="R1028" s="182"/>
      <c r="S1028" s="182"/>
      <c r="T1028" s="182"/>
      <c r="U1028" s="182"/>
      <c r="V1028" s="182"/>
      <c r="W1028" s="182"/>
      <c r="X1028" s="182"/>
      <c r="Y1028" s="182"/>
      <c r="Z1028" s="182"/>
      <c r="AA1028" s="182"/>
      <c r="AB1028" s="182"/>
      <c r="AC1028" s="182"/>
      <c r="AD1028" s="182"/>
      <c r="AE1028" s="182"/>
      <c r="AF1028" s="182"/>
      <c r="AG1028" s="182"/>
      <c r="AH1028" s="182"/>
      <c r="AI1028" s="182"/>
      <c r="AJ1028" s="182"/>
      <c r="AK1028" s="182"/>
      <c r="AL1028" s="182"/>
      <c r="AM1028" s="182"/>
      <c r="AN1028" s="182"/>
      <c r="AO1028" s="182"/>
      <c r="AP1028" s="182"/>
      <c r="AQ1028" s="185">
        <v>15257.73</v>
      </c>
      <c r="AR1028" s="182">
        <v>11736.63</v>
      </c>
      <c r="AS1028" s="182">
        <v>1496.81</v>
      </c>
      <c r="AT1028" s="182">
        <v>2024.29</v>
      </c>
      <c r="AU1028" s="182"/>
      <c r="AV1028" s="182"/>
      <c r="AW1028" s="182"/>
      <c r="AX1028" s="182"/>
      <c r="AY1028" s="182"/>
      <c r="AZ1028" s="182"/>
      <c r="BA1028" s="182"/>
      <c r="BB1028" s="182"/>
      <c r="BC1028" s="182"/>
      <c r="BD1028" s="182"/>
      <c r="BE1028" s="182"/>
      <c r="BF1028" s="182"/>
      <c r="BG1028" s="182"/>
      <c r="BH1028" s="182"/>
      <c r="BI1028" s="182"/>
      <c r="BJ1028" s="182"/>
      <c r="BK1028" s="182"/>
      <c r="BL1028" s="182"/>
      <c r="BM1028" s="182"/>
      <c r="BN1028" s="182"/>
      <c r="BO1028" s="182"/>
      <c r="BP1028" s="182"/>
      <c r="BQ1028" s="182"/>
      <c r="BR1028" s="182"/>
      <c r="BS1028" s="182"/>
      <c r="BT1028" s="182"/>
      <c r="BU1028" s="182"/>
      <c r="BV1028" s="182"/>
      <c r="BW1028" s="182"/>
      <c r="BX1028" s="182"/>
      <c r="BY1028" s="182"/>
      <c r="BZ1028" s="182"/>
      <c r="CA1028" s="182"/>
      <c r="CB1028" s="185">
        <v>15257.73</v>
      </c>
      <c r="CC1028" s="185">
        <v>0</v>
      </c>
      <c r="CD1028" s="185">
        <v>2376</v>
      </c>
      <c r="CE1028" s="185"/>
    </row>
    <row r="1029" spans="2:83" x14ac:dyDescent="0.3">
      <c r="B1029" s="182">
        <v>4828</v>
      </c>
      <c r="C1029" s="182">
        <v>2377</v>
      </c>
      <c r="D1029" s="182" t="s">
        <v>78</v>
      </c>
      <c r="E1029" s="181" t="s">
        <v>4384</v>
      </c>
      <c r="F1029" s="182"/>
      <c r="G1029" s="182">
        <v>1769.81</v>
      </c>
      <c r="H1029" s="182"/>
      <c r="I1029" s="182"/>
      <c r="J1029" s="182"/>
      <c r="K1029" s="182"/>
      <c r="L1029" s="182"/>
      <c r="M1029" s="182"/>
      <c r="N1029" s="182"/>
      <c r="O1029" s="182"/>
      <c r="P1029" s="182"/>
      <c r="Q1029" s="182"/>
      <c r="R1029" s="182"/>
      <c r="S1029" s="182"/>
      <c r="T1029" s="182"/>
      <c r="U1029" s="182"/>
      <c r="V1029" s="182"/>
      <c r="W1029" s="182"/>
      <c r="X1029" s="182"/>
      <c r="Y1029" s="182"/>
      <c r="Z1029" s="182"/>
      <c r="AA1029" s="182"/>
      <c r="AB1029" s="182"/>
      <c r="AC1029" s="182"/>
      <c r="AD1029" s="182"/>
      <c r="AE1029" s="182"/>
      <c r="AF1029" s="182"/>
      <c r="AG1029" s="182"/>
      <c r="AH1029" s="182"/>
      <c r="AI1029" s="182"/>
      <c r="AJ1029" s="182"/>
      <c r="AK1029" s="182"/>
      <c r="AL1029" s="182"/>
      <c r="AM1029" s="182"/>
      <c r="AN1029" s="182"/>
      <c r="AO1029" s="182"/>
      <c r="AP1029" s="182"/>
      <c r="AQ1029" s="185">
        <v>1769.81</v>
      </c>
      <c r="AR1029" s="182">
        <v>1473.43</v>
      </c>
      <c r="AS1029" s="182">
        <v>182.05</v>
      </c>
      <c r="AT1029" s="182">
        <v>114.33</v>
      </c>
      <c r="AU1029" s="182"/>
      <c r="AV1029" s="182"/>
      <c r="AW1029" s="182"/>
      <c r="AX1029" s="182"/>
      <c r="AY1029" s="182"/>
      <c r="AZ1029" s="182"/>
      <c r="BA1029" s="182"/>
      <c r="BB1029" s="182"/>
      <c r="BC1029" s="182"/>
      <c r="BD1029" s="182"/>
      <c r="BE1029" s="182"/>
      <c r="BF1029" s="182"/>
      <c r="BG1029" s="182"/>
      <c r="BH1029" s="182"/>
      <c r="BI1029" s="182"/>
      <c r="BJ1029" s="182"/>
      <c r="BK1029" s="182"/>
      <c r="BL1029" s="182"/>
      <c r="BM1029" s="182"/>
      <c r="BN1029" s="182"/>
      <c r="BO1029" s="182"/>
      <c r="BP1029" s="182"/>
      <c r="BQ1029" s="182"/>
      <c r="BR1029" s="182"/>
      <c r="BS1029" s="182"/>
      <c r="BT1029" s="182"/>
      <c r="BU1029" s="182"/>
      <c r="BV1029" s="182"/>
      <c r="BW1029" s="182"/>
      <c r="BX1029" s="182"/>
      <c r="BY1029" s="182"/>
      <c r="BZ1029" s="182"/>
      <c r="CA1029" s="182"/>
      <c r="CB1029" s="185">
        <v>1769.81</v>
      </c>
      <c r="CC1029" s="185">
        <v>0</v>
      </c>
      <c r="CD1029" s="185">
        <v>2377</v>
      </c>
      <c r="CE1029" s="185"/>
    </row>
    <row r="1030" spans="2:83" x14ac:dyDescent="0.3">
      <c r="B1030" s="182">
        <v>4829</v>
      </c>
      <c r="C1030" s="182">
        <v>2378</v>
      </c>
      <c r="D1030" s="182" t="s">
        <v>78</v>
      </c>
      <c r="E1030" s="181" t="s">
        <v>4384</v>
      </c>
      <c r="F1030" s="182"/>
      <c r="G1030" s="182">
        <v>2931.25</v>
      </c>
      <c r="H1030" s="182"/>
      <c r="I1030" s="182"/>
      <c r="J1030" s="182"/>
      <c r="K1030" s="182"/>
      <c r="L1030" s="182"/>
      <c r="M1030" s="182"/>
      <c r="N1030" s="182"/>
      <c r="O1030" s="182"/>
      <c r="P1030" s="182"/>
      <c r="Q1030" s="182"/>
      <c r="R1030" s="182"/>
      <c r="S1030" s="182"/>
      <c r="T1030" s="182"/>
      <c r="U1030" s="182"/>
      <c r="V1030" s="182"/>
      <c r="W1030" s="182"/>
      <c r="X1030" s="182"/>
      <c r="Y1030" s="182"/>
      <c r="Z1030" s="182"/>
      <c r="AA1030" s="182"/>
      <c r="AB1030" s="182"/>
      <c r="AC1030" s="182"/>
      <c r="AD1030" s="182"/>
      <c r="AE1030" s="182"/>
      <c r="AF1030" s="182"/>
      <c r="AG1030" s="182"/>
      <c r="AH1030" s="182"/>
      <c r="AI1030" s="182"/>
      <c r="AJ1030" s="182"/>
      <c r="AK1030" s="182"/>
      <c r="AL1030" s="182"/>
      <c r="AM1030" s="182"/>
      <c r="AN1030" s="182"/>
      <c r="AO1030" s="182"/>
      <c r="AP1030" s="182"/>
      <c r="AQ1030" s="185">
        <v>2931.25</v>
      </c>
      <c r="AR1030" s="182">
        <v>1958.65</v>
      </c>
      <c r="AS1030" s="182">
        <v>266.35000000000002</v>
      </c>
      <c r="AT1030" s="182">
        <v>706.25</v>
      </c>
      <c r="AU1030" s="182"/>
      <c r="AV1030" s="182"/>
      <c r="AW1030" s="182"/>
      <c r="AX1030" s="182"/>
      <c r="AY1030" s="182"/>
      <c r="AZ1030" s="182"/>
      <c r="BA1030" s="182"/>
      <c r="BB1030" s="182"/>
      <c r="BC1030" s="182"/>
      <c r="BD1030" s="182"/>
      <c r="BE1030" s="182"/>
      <c r="BF1030" s="182"/>
      <c r="BG1030" s="182"/>
      <c r="BH1030" s="182"/>
      <c r="BI1030" s="182"/>
      <c r="BJ1030" s="182"/>
      <c r="BK1030" s="182"/>
      <c r="BL1030" s="182"/>
      <c r="BM1030" s="182"/>
      <c r="BN1030" s="182"/>
      <c r="BO1030" s="182"/>
      <c r="BP1030" s="182"/>
      <c r="BQ1030" s="182"/>
      <c r="BR1030" s="182"/>
      <c r="BS1030" s="182"/>
      <c r="BT1030" s="182"/>
      <c r="BU1030" s="182"/>
      <c r="BV1030" s="182"/>
      <c r="BW1030" s="182"/>
      <c r="BX1030" s="182"/>
      <c r="BY1030" s="182"/>
      <c r="BZ1030" s="182"/>
      <c r="CA1030" s="182"/>
      <c r="CB1030" s="185">
        <v>2931.25</v>
      </c>
      <c r="CC1030" s="185">
        <v>0</v>
      </c>
      <c r="CD1030" s="185">
        <v>2378</v>
      </c>
      <c r="CE1030" s="185"/>
    </row>
    <row r="1031" spans="2:83" x14ac:dyDescent="0.3">
      <c r="B1031" s="182">
        <v>4830</v>
      </c>
      <c r="C1031" s="182">
        <v>2379</v>
      </c>
      <c r="D1031" s="182" t="s">
        <v>78</v>
      </c>
      <c r="E1031" s="181" t="s">
        <v>4384</v>
      </c>
      <c r="F1031" s="182"/>
      <c r="G1031" s="182">
        <v>105187.83</v>
      </c>
      <c r="H1031" s="182"/>
      <c r="I1031" s="182"/>
      <c r="J1031" s="182"/>
      <c r="K1031" s="182"/>
      <c r="L1031" s="182"/>
      <c r="M1031" s="182"/>
      <c r="N1031" s="182"/>
      <c r="O1031" s="182"/>
      <c r="P1031" s="182"/>
      <c r="Q1031" s="182"/>
      <c r="R1031" s="182"/>
      <c r="S1031" s="182"/>
      <c r="T1031" s="182"/>
      <c r="U1031" s="182"/>
      <c r="V1031" s="182"/>
      <c r="W1031" s="182"/>
      <c r="X1031" s="182"/>
      <c r="Y1031" s="182"/>
      <c r="Z1031" s="182"/>
      <c r="AA1031" s="182"/>
      <c r="AB1031" s="182"/>
      <c r="AC1031" s="182"/>
      <c r="AD1031" s="182"/>
      <c r="AE1031" s="182"/>
      <c r="AF1031" s="182"/>
      <c r="AG1031" s="182"/>
      <c r="AH1031" s="182"/>
      <c r="AI1031" s="182"/>
      <c r="AJ1031" s="182"/>
      <c r="AK1031" s="182"/>
      <c r="AL1031" s="182"/>
      <c r="AM1031" s="182"/>
      <c r="AN1031" s="182"/>
      <c r="AO1031" s="182"/>
      <c r="AP1031" s="182"/>
      <c r="AQ1031" s="185">
        <v>105187.83</v>
      </c>
      <c r="AR1031" s="182">
        <v>70665.39</v>
      </c>
      <c r="AS1031" s="182">
        <v>9577.98</v>
      </c>
      <c r="AT1031" s="182">
        <v>24944.46</v>
      </c>
      <c r="AU1031" s="182"/>
      <c r="AV1031" s="182"/>
      <c r="AW1031" s="182"/>
      <c r="AX1031" s="182"/>
      <c r="AY1031" s="182"/>
      <c r="AZ1031" s="182"/>
      <c r="BA1031" s="182"/>
      <c r="BB1031" s="182"/>
      <c r="BC1031" s="182"/>
      <c r="BD1031" s="182"/>
      <c r="BE1031" s="182"/>
      <c r="BF1031" s="182"/>
      <c r="BG1031" s="182"/>
      <c r="BH1031" s="182"/>
      <c r="BI1031" s="182"/>
      <c r="BJ1031" s="182"/>
      <c r="BK1031" s="182"/>
      <c r="BL1031" s="182"/>
      <c r="BM1031" s="182"/>
      <c r="BN1031" s="182"/>
      <c r="BO1031" s="182"/>
      <c r="BP1031" s="182"/>
      <c r="BQ1031" s="182"/>
      <c r="BR1031" s="182"/>
      <c r="BS1031" s="182"/>
      <c r="BT1031" s="182"/>
      <c r="BU1031" s="182"/>
      <c r="BV1031" s="182"/>
      <c r="BW1031" s="182"/>
      <c r="BX1031" s="182"/>
      <c r="BY1031" s="182"/>
      <c r="BZ1031" s="182"/>
      <c r="CA1031" s="182"/>
      <c r="CB1031" s="185">
        <v>105187.82999999999</v>
      </c>
      <c r="CC1031" s="185">
        <v>0</v>
      </c>
      <c r="CD1031" s="185">
        <v>2379</v>
      </c>
      <c r="CE1031" s="185"/>
    </row>
    <row r="1032" spans="2:83" x14ac:dyDescent="0.3">
      <c r="B1032" s="182">
        <v>4797</v>
      </c>
      <c r="C1032" s="182">
        <v>2380</v>
      </c>
      <c r="D1032" s="182" t="s">
        <v>78</v>
      </c>
      <c r="E1032" s="181" t="s">
        <v>4384</v>
      </c>
      <c r="F1032" s="182"/>
      <c r="G1032" s="182">
        <v>96554.240000000005</v>
      </c>
      <c r="H1032" s="182"/>
      <c r="I1032" s="182"/>
      <c r="J1032" s="182"/>
      <c r="K1032" s="182"/>
      <c r="L1032" s="182"/>
      <c r="M1032" s="182"/>
      <c r="N1032" s="182"/>
      <c r="O1032" s="182"/>
      <c r="P1032" s="182"/>
      <c r="Q1032" s="182"/>
      <c r="R1032" s="182"/>
      <c r="S1032" s="182"/>
      <c r="T1032" s="182"/>
      <c r="U1032" s="182"/>
      <c r="V1032" s="182"/>
      <c r="W1032" s="182"/>
      <c r="X1032" s="182"/>
      <c r="Y1032" s="182"/>
      <c r="Z1032" s="182"/>
      <c r="AA1032" s="182"/>
      <c r="AB1032" s="182"/>
      <c r="AC1032" s="182"/>
      <c r="AD1032" s="182"/>
      <c r="AE1032" s="182"/>
      <c r="AF1032" s="182"/>
      <c r="AG1032" s="182"/>
      <c r="AH1032" s="182"/>
      <c r="AI1032" s="182"/>
      <c r="AJ1032" s="182"/>
      <c r="AK1032" s="182"/>
      <c r="AL1032" s="182"/>
      <c r="AM1032" s="182"/>
      <c r="AN1032" s="182"/>
      <c r="AO1032" s="182"/>
      <c r="AP1032" s="182"/>
      <c r="AQ1032" s="185">
        <v>96554.240000000005</v>
      </c>
      <c r="AR1032" s="182">
        <v>64650.55</v>
      </c>
      <c r="AS1032" s="182">
        <v>8772.6</v>
      </c>
      <c r="AT1032" s="182">
        <v>23131.09</v>
      </c>
      <c r="AU1032" s="182"/>
      <c r="AV1032" s="182"/>
      <c r="AW1032" s="182"/>
      <c r="AX1032" s="182"/>
      <c r="AY1032" s="182"/>
      <c r="AZ1032" s="182"/>
      <c r="BA1032" s="182"/>
      <c r="BB1032" s="182"/>
      <c r="BC1032" s="182"/>
      <c r="BD1032" s="182"/>
      <c r="BE1032" s="182"/>
      <c r="BF1032" s="182"/>
      <c r="BG1032" s="182"/>
      <c r="BH1032" s="182"/>
      <c r="BI1032" s="182"/>
      <c r="BJ1032" s="182"/>
      <c r="BK1032" s="182"/>
      <c r="BL1032" s="182"/>
      <c r="BM1032" s="182"/>
      <c r="BN1032" s="182"/>
      <c r="BO1032" s="182"/>
      <c r="BP1032" s="182"/>
      <c r="BQ1032" s="182"/>
      <c r="BR1032" s="182"/>
      <c r="BS1032" s="182"/>
      <c r="BT1032" s="182"/>
      <c r="BU1032" s="182"/>
      <c r="BV1032" s="182"/>
      <c r="BW1032" s="182"/>
      <c r="BX1032" s="182"/>
      <c r="BY1032" s="182"/>
      <c r="BZ1032" s="182"/>
      <c r="CA1032" s="182"/>
      <c r="CB1032" s="185">
        <v>96554.240000000005</v>
      </c>
      <c r="CC1032" s="185">
        <v>0</v>
      </c>
      <c r="CD1032" s="185">
        <v>2380</v>
      </c>
      <c r="CE1032" s="185"/>
    </row>
    <row r="1033" spans="2:83" x14ac:dyDescent="0.3">
      <c r="B1033" s="182">
        <v>4798</v>
      </c>
      <c r="C1033" s="182">
        <v>2381</v>
      </c>
      <c r="D1033" s="182" t="s">
        <v>78</v>
      </c>
      <c r="E1033" s="181" t="s">
        <v>4384</v>
      </c>
      <c r="F1033" s="182"/>
      <c r="G1033" s="182">
        <v>105277.23</v>
      </c>
      <c r="H1033" s="182"/>
      <c r="I1033" s="182"/>
      <c r="J1033" s="182"/>
      <c r="K1033" s="182"/>
      <c r="L1033" s="182"/>
      <c r="M1033" s="182"/>
      <c r="N1033" s="182"/>
      <c r="O1033" s="182"/>
      <c r="P1033" s="182"/>
      <c r="Q1033" s="182"/>
      <c r="R1033" s="182"/>
      <c r="S1033" s="182"/>
      <c r="T1033" s="182"/>
      <c r="U1033" s="182"/>
      <c r="V1033" s="182"/>
      <c r="W1033" s="182"/>
      <c r="X1033" s="182"/>
      <c r="Y1033" s="182"/>
      <c r="Z1033" s="182"/>
      <c r="AA1033" s="182"/>
      <c r="AB1033" s="182"/>
      <c r="AC1033" s="182"/>
      <c r="AD1033" s="182"/>
      <c r="AE1033" s="182"/>
      <c r="AF1033" s="182"/>
      <c r="AG1033" s="182"/>
      <c r="AH1033" s="182"/>
      <c r="AI1033" s="182"/>
      <c r="AJ1033" s="182"/>
      <c r="AK1033" s="182"/>
      <c r="AL1033" s="182"/>
      <c r="AM1033" s="182"/>
      <c r="AN1033" s="182"/>
      <c r="AO1033" s="182"/>
      <c r="AP1033" s="182"/>
      <c r="AQ1033" s="185">
        <v>105277.23</v>
      </c>
      <c r="AR1033" s="182">
        <v>71974.720000000001</v>
      </c>
      <c r="AS1033" s="182">
        <v>9674.77</v>
      </c>
      <c r="AT1033" s="182">
        <v>23627.74</v>
      </c>
      <c r="AU1033" s="182"/>
      <c r="AV1033" s="182"/>
      <c r="AW1033" s="182"/>
      <c r="AX1033" s="182"/>
      <c r="AY1033" s="182"/>
      <c r="AZ1033" s="182"/>
      <c r="BA1033" s="182"/>
      <c r="BB1033" s="182"/>
      <c r="BC1033" s="182"/>
      <c r="BD1033" s="182"/>
      <c r="BE1033" s="182"/>
      <c r="BF1033" s="182"/>
      <c r="BG1033" s="182"/>
      <c r="BH1033" s="182"/>
      <c r="BI1033" s="182"/>
      <c r="BJ1033" s="182"/>
      <c r="BK1033" s="182"/>
      <c r="BL1033" s="182"/>
      <c r="BM1033" s="182"/>
      <c r="BN1033" s="182"/>
      <c r="BO1033" s="182"/>
      <c r="BP1033" s="182"/>
      <c r="BQ1033" s="182"/>
      <c r="BR1033" s="182"/>
      <c r="BS1033" s="182"/>
      <c r="BT1033" s="182"/>
      <c r="BU1033" s="182"/>
      <c r="BV1033" s="182"/>
      <c r="BW1033" s="182"/>
      <c r="BX1033" s="182"/>
      <c r="BY1033" s="182"/>
      <c r="BZ1033" s="182"/>
      <c r="CA1033" s="182"/>
      <c r="CB1033" s="185">
        <v>105277.23000000001</v>
      </c>
      <c r="CC1033" s="185">
        <v>0</v>
      </c>
      <c r="CD1033" s="185">
        <v>2381</v>
      </c>
      <c r="CE1033" s="185"/>
    </row>
    <row r="1034" spans="2:83" x14ac:dyDescent="0.3">
      <c r="B1034" s="182">
        <v>4799</v>
      </c>
      <c r="C1034" s="182">
        <v>2382</v>
      </c>
      <c r="D1034" s="182" t="s">
        <v>78</v>
      </c>
      <c r="E1034" s="181" t="s">
        <v>4384</v>
      </c>
      <c r="F1034" s="182"/>
      <c r="G1034" s="182">
        <v>85277.72</v>
      </c>
      <c r="H1034" s="182"/>
      <c r="I1034" s="182"/>
      <c r="J1034" s="182"/>
      <c r="K1034" s="182"/>
      <c r="L1034" s="182"/>
      <c r="M1034" s="182"/>
      <c r="N1034" s="182"/>
      <c r="O1034" s="182"/>
      <c r="P1034" s="182"/>
      <c r="Q1034" s="182"/>
      <c r="R1034" s="182"/>
      <c r="S1034" s="182"/>
      <c r="T1034" s="182"/>
      <c r="U1034" s="182"/>
      <c r="V1034" s="182"/>
      <c r="W1034" s="182"/>
      <c r="X1034" s="182"/>
      <c r="Y1034" s="182"/>
      <c r="Z1034" s="182"/>
      <c r="AA1034" s="182"/>
      <c r="AB1034" s="182"/>
      <c r="AC1034" s="182"/>
      <c r="AD1034" s="182"/>
      <c r="AE1034" s="182"/>
      <c r="AF1034" s="182"/>
      <c r="AG1034" s="182"/>
      <c r="AH1034" s="182"/>
      <c r="AI1034" s="182"/>
      <c r="AJ1034" s="182"/>
      <c r="AK1034" s="182"/>
      <c r="AL1034" s="182"/>
      <c r="AM1034" s="182"/>
      <c r="AN1034" s="182"/>
      <c r="AO1034" s="182"/>
      <c r="AP1034" s="182"/>
      <c r="AQ1034" s="185">
        <v>85277.72</v>
      </c>
      <c r="AR1034" s="182">
        <v>57854.49</v>
      </c>
      <c r="AS1034" s="182">
        <v>7807.55</v>
      </c>
      <c r="AT1034" s="182">
        <v>19615.68</v>
      </c>
      <c r="AU1034" s="182"/>
      <c r="AV1034" s="182"/>
      <c r="AW1034" s="182"/>
      <c r="AX1034" s="182"/>
      <c r="AY1034" s="182"/>
      <c r="AZ1034" s="182"/>
      <c r="BA1034" s="182"/>
      <c r="BB1034" s="182"/>
      <c r="BC1034" s="182"/>
      <c r="BD1034" s="182"/>
      <c r="BE1034" s="182"/>
      <c r="BF1034" s="182"/>
      <c r="BG1034" s="182"/>
      <c r="BH1034" s="182"/>
      <c r="BI1034" s="182"/>
      <c r="BJ1034" s="182"/>
      <c r="BK1034" s="182"/>
      <c r="BL1034" s="182"/>
      <c r="BM1034" s="182"/>
      <c r="BN1034" s="182"/>
      <c r="BO1034" s="182"/>
      <c r="BP1034" s="182"/>
      <c r="BQ1034" s="182"/>
      <c r="BR1034" s="182"/>
      <c r="BS1034" s="182"/>
      <c r="BT1034" s="182"/>
      <c r="BU1034" s="182"/>
      <c r="BV1034" s="182"/>
      <c r="BW1034" s="182"/>
      <c r="BX1034" s="182"/>
      <c r="BY1034" s="182"/>
      <c r="BZ1034" s="182"/>
      <c r="CA1034" s="182"/>
      <c r="CB1034" s="185">
        <v>85277.72</v>
      </c>
      <c r="CC1034" s="185">
        <v>0</v>
      </c>
      <c r="CD1034" s="185">
        <v>2382</v>
      </c>
      <c r="CE1034" s="185"/>
    </row>
    <row r="1035" spans="2:83" x14ac:dyDescent="0.3">
      <c r="B1035" s="182">
        <v>4800</v>
      </c>
      <c r="C1035" s="182">
        <v>2383</v>
      </c>
      <c r="D1035" s="182" t="s">
        <v>78</v>
      </c>
      <c r="E1035" s="181" t="s">
        <v>4384</v>
      </c>
      <c r="F1035" s="182"/>
      <c r="G1035" s="182">
        <v>92844.44</v>
      </c>
      <c r="H1035" s="182"/>
      <c r="I1035" s="182"/>
      <c r="J1035" s="182"/>
      <c r="K1035" s="182"/>
      <c r="L1035" s="182"/>
      <c r="M1035" s="182"/>
      <c r="N1035" s="182"/>
      <c r="O1035" s="182"/>
      <c r="P1035" s="182"/>
      <c r="Q1035" s="182"/>
      <c r="R1035" s="182"/>
      <c r="S1035" s="182"/>
      <c r="T1035" s="182"/>
      <c r="U1035" s="182"/>
      <c r="V1035" s="182"/>
      <c r="W1035" s="182"/>
      <c r="X1035" s="182"/>
      <c r="Y1035" s="182"/>
      <c r="Z1035" s="182"/>
      <c r="AA1035" s="182"/>
      <c r="AB1035" s="182"/>
      <c r="AC1035" s="182"/>
      <c r="AD1035" s="182"/>
      <c r="AE1035" s="182"/>
      <c r="AF1035" s="182"/>
      <c r="AG1035" s="182"/>
      <c r="AH1035" s="182"/>
      <c r="AI1035" s="182"/>
      <c r="AJ1035" s="182"/>
      <c r="AK1035" s="182"/>
      <c r="AL1035" s="182"/>
      <c r="AM1035" s="182"/>
      <c r="AN1035" s="182"/>
      <c r="AO1035" s="182"/>
      <c r="AP1035" s="182"/>
      <c r="AQ1035" s="185">
        <v>92844.44</v>
      </c>
      <c r="AR1035" s="182">
        <v>62058.91</v>
      </c>
      <c r="AS1035" s="182">
        <v>8415.7199999999993</v>
      </c>
      <c r="AT1035" s="182">
        <v>22369.81</v>
      </c>
      <c r="AU1035" s="182"/>
      <c r="AV1035" s="182"/>
      <c r="AW1035" s="182"/>
      <c r="AX1035" s="182"/>
      <c r="AY1035" s="182"/>
      <c r="AZ1035" s="182"/>
      <c r="BA1035" s="182"/>
      <c r="BB1035" s="182"/>
      <c r="BC1035" s="182"/>
      <c r="BD1035" s="182"/>
      <c r="BE1035" s="182"/>
      <c r="BF1035" s="182"/>
      <c r="BG1035" s="182"/>
      <c r="BH1035" s="182"/>
      <c r="BI1035" s="182"/>
      <c r="BJ1035" s="182"/>
      <c r="BK1035" s="182"/>
      <c r="BL1035" s="182"/>
      <c r="BM1035" s="182"/>
      <c r="BN1035" s="182"/>
      <c r="BO1035" s="182"/>
      <c r="BP1035" s="182"/>
      <c r="BQ1035" s="182"/>
      <c r="BR1035" s="182"/>
      <c r="BS1035" s="182"/>
      <c r="BT1035" s="182"/>
      <c r="BU1035" s="182"/>
      <c r="BV1035" s="182"/>
      <c r="BW1035" s="182"/>
      <c r="BX1035" s="182"/>
      <c r="BY1035" s="182"/>
      <c r="BZ1035" s="182"/>
      <c r="CA1035" s="182"/>
      <c r="CB1035" s="185">
        <v>92844.44</v>
      </c>
      <c r="CC1035" s="185">
        <v>0</v>
      </c>
      <c r="CD1035" s="185">
        <v>2383</v>
      </c>
      <c r="CE1035" s="185"/>
    </row>
    <row r="1036" spans="2:83" x14ac:dyDescent="0.3">
      <c r="B1036" s="182">
        <v>4801</v>
      </c>
      <c r="C1036" s="182">
        <v>2384</v>
      </c>
      <c r="D1036" s="182" t="s">
        <v>78</v>
      </c>
      <c r="E1036" s="181" t="s">
        <v>4384</v>
      </c>
      <c r="F1036" s="182"/>
      <c r="G1036" s="182">
        <v>2164.23</v>
      </c>
      <c r="H1036" s="182"/>
      <c r="I1036" s="182"/>
      <c r="J1036" s="182"/>
      <c r="K1036" s="182"/>
      <c r="L1036" s="182"/>
      <c r="M1036" s="182"/>
      <c r="N1036" s="182"/>
      <c r="O1036" s="182"/>
      <c r="P1036" s="182"/>
      <c r="Q1036" s="182"/>
      <c r="R1036" s="182"/>
      <c r="S1036" s="182"/>
      <c r="T1036" s="182"/>
      <c r="U1036" s="182"/>
      <c r="V1036" s="182"/>
      <c r="W1036" s="182"/>
      <c r="X1036" s="182"/>
      <c r="Y1036" s="182"/>
      <c r="Z1036" s="182"/>
      <c r="AA1036" s="182"/>
      <c r="AB1036" s="182"/>
      <c r="AC1036" s="182"/>
      <c r="AD1036" s="182"/>
      <c r="AE1036" s="182"/>
      <c r="AF1036" s="182"/>
      <c r="AG1036" s="182"/>
      <c r="AH1036" s="182"/>
      <c r="AI1036" s="182"/>
      <c r="AJ1036" s="182"/>
      <c r="AK1036" s="182"/>
      <c r="AL1036" s="182"/>
      <c r="AM1036" s="182"/>
      <c r="AN1036" s="182"/>
      <c r="AO1036" s="182"/>
      <c r="AP1036" s="182"/>
      <c r="AQ1036" s="185">
        <v>2164.23</v>
      </c>
      <c r="AR1036" s="182">
        <v>1447.36</v>
      </c>
      <c r="AS1036" s="182">
        <v>195.43</v>
      </c>
      <c r="AT1036" s="182">
        <v>521.44000000000005</v>
      </c>
      <c r="AU1036" s="182"/>
      <c r="AV1036" s="182"/>
      <c r="AW1036" s="182"/>
      <c r="AX1036" s="182"/>
      <c r="AY1036" s="182"/>
      <c r="AZ1036" s="182"/>
      <c r="BA1036" s="182"/>
      <c r="BB1036" s="182"/>
      <c r="BC1036" s="182"/>
      <c r="BD1036" s="182"/>
      <c r="BE1036" s="182"/>
      <c r="BF1036" s="182"/>
      <c r="BG1036" s="182"/>
      <c r="BH1036" s="182"/>
      <c r="BI1036" s="182"/>
      <c r="BJ1036" s="182"/>
      <c r="BK1036" s="182"/>
      <c r="BL1036" s="182"/>
      <c r="BM1036" s="182"/>
      <c r="BN1036" s="182"/>
      <c r="BO1036" s="182"/>
      <c r="BP1036" s="182"/>
      <c r="BQ1036" s="182"/>
      <c r="BR1036" s="182"/>
      <c r="BS1036" s="182"/>
      <c r="BT1036" s="182"/>
      <c r="BU1036" s="182"/>
      <c r="BV1036" s="182"/>
      <c r="BW1036" s="182"/>
      <c r="BX1036" s="182"/>
      <c r="BY1036" s="182"/>
      <c r="BZ1036" s="182"/>
      <c r="CA1036" s="182"/>
      <c r="CB1036" s="185">
        <v>2164.23</v>
      </c>
      <c r="CC1036" s="185">
        <v>0</v>
      </c>
      <c r="CD1036" s="185">
        <v>2384</v>
      </c>
      <c r="CE1036" s="185"/>
    </row>
    <row r="1037" spans="2:83" x14ac:dyDescent="0.3">
      <c r="B1037" s="182">
        <v>4802</v>
      </c>
      <c r="C1037" s="182">
        <v>2385</v>
      </c>
      <c r="D1037" s="182" t="s">
        <v>78</v>
      </c>
      <c r="E1037" s="181" t="s">
        <v>4384</v>
      </c>
      <c r="F1037" s="182"/>
      <c r="G1037" s="182">
        <v>1172.5</v>
      </c>
      <c r="H1037" s="182"/>
      <c r="I1037" s="182"/>
      <c r="J1037" s="182"/>
      <c r="K1037" s="182"/>
      <c r="L1037" s="182"/>
      <c r="M1037" s="182"/>
      <c r="N1037" s="182"/>
      <c r="O1037" s="182"/>
      <c r="P1037" s="182"/>
      <c r="Q1037" s="182"/>
      <c r="R1037" s="182"/>
      <c r="S1037" s="182"/>
      <c r="T1037" s="182"/>
      <c r="U1037" s="182"/>
      <c r="V1037" s="182"/>
      <c r="W1037" s="182"/>
      <c r="X1037" s="182"/>
      <c r="Y1037" s="182"/>
      <c r="Z1037" s="182"/>
      <c r="AA1037" s="182"/>
      <c r="AB1037" s="182"/>
      <c r="AC1037" s="182"/>
      <c r="AD1037" s="182"/>
      <c r="AE1037" s="182"/>
      <c r="AF1037" s="182"/>
      <c r="AG1037" s="182"/>
      <c r="AH1037" s="182"/>
      <c r="AI1037" s="182"/>
      <c r="AJ1037" s="182"/>
      <c r="AK1037" s="182"/>
      <c r="AL1037" s="182"/>
      <c r="AM1037" s="182"/>
      <c r="AN1037" s="182"/>
      <c r="AO1037" s="182"/>
      <c r="AP1037" s="182"/>
      <c r="AQ1037" s="185">
        <v>1172.5</v>
      </c>
      <c r="AR1037" s="182">
        <v>784.1</v>
      </c>
      <c r="AS1037" s="182">
        <v>105.9</v>
      </c>
      <c r="AT1037" s="182">
        <v>282.5</v>
      </c>
      <c r="AU1037" s="182"/>
      <c r="AV1037" s="182"/>
      <c r="AW1037" s="182"/>
      <c r="AX1037" s="182"/>
      <c r="AY1037" s="182"/>
      <c r="AZ1037" s="182"/>
      <c r="BA1037" s="182"/>
      <c r="BB1037" s="182"/>
      <c r="BC1037" s="182"/>
      <c r="BD1037" s="182"/>
      <c r="BE1037" s="182"/>
      <c r="BF1037" s="182"/>
      <c r="BG1037" s="182"/>
      <c r="BH1037" s="182"/>
      <c r="BI1037" s="182"/>
      <c r="BJ1037" s="182"/>
      <c r="BK1037" s="182"/>
      <c r="BL1037" s="182"/>
      <c r="BM1037" s="182"/>
      <c r="BN1037" s="182"/>
      <c r="BO1037" s="182"/>
      <c r="BP1037" s="182"/>
      <c r="BQ1037" s="182"/>
      <c r="BR1037" s="182"/>
      <c r="BS1037" s="182"/>
      <c r="BT1037" s="182"/>
      <c r="BU1037" s="182"/>
      <c r="BV1037" s="182"/>
      <c r="BW1037" s="182"/>
      <c r="BX1037" s="182"/>
      <c r="BY1037" s="182"/>
      <c r="BZ1037" s="182"/>
      <c r="CA1037" s="182"/>
      <c r="CB1037" s="185">
        <v>1172.5</v>
      </c>
      <c r="CC1037" s="185">
        <v>0</v>
      </c>
      <c r="CD1037" s="185">
        <v>2385</v>
      </c>
      <c r="CE1037" s="185"/>
    </row>
    <row r="1038" spans="2:83" x14ac:dyDescent="0.3">
      <c r="B1038" s="182">
        <v>4804</v>
      </c>
      <c r="C1038" s="182">
        <v>2386</v>
      </c>
      <c r="D1038" s="182" t="s">
        <v>78</v>
      </c>
      <c r="E1038" s="181" t="s">
        <v>4384</v>
      </c>
      <c r="F1038" s="182"/>
      <c r="G1038" s="182">
        <v>5000</v>
      </c>
      <c r="H1038" s="182"/>
      <c r="I1038" s="182"/>
      <c r="J1038" s="182"/>
      <c r="K1038" s="182"/>
      <c r="L1038" s="182"/>
      <c r="M1038" s="182"/>
      <c r="N1038" s="182"/>
      <c r="O1038" s="182"/>
      <c r="P1038" s="182"/>
      <c r="Q1038" s="182"/>
      <c r="R1038" s="182"/>
      <c r="S1038" s="182"/>
      <c r="T1038" s="182"/>
      <c r="U1038" s="182"/>
      <c r="V1038" s="182"/>
      <c r="W1038" s="182"/>
      <c r="X1038" s="182"/>
      <c r="Y1038" s="182"/>
      <c r="Z1038" s="182"/>
      <c r="AA1038" s="182"/>
      <c r="AB1038" s="182"/>
      <c r="AC1038" s="182"/>
      <c r="AD1038" s="182"/>
      <c r="AE1038" s="182"/>
      <c r="AF1038" s="182"/>
      <c r="AG1038" s="182"/>
      <c r="AH1038" s="182"/>
      <c r="AI1038" s="182"/>
      <c r="AJ1038" s="182"/>
      <c r="AK1038" s="182"/>
      <c r="AL1038" s="182"/>
      <c r="AM1038" s="182"/>
      <c r="AN1038" s="182"/>
      <c r="AO1038" s="182"/>
      <c r="AP1038" s="182"/>
      <c r="AQ1038" s="185">
        <v>5000</v>
      </c>
      <c r="AR1038" s="182">
        <v>4463.2</v>
      </c>
      <c r="AS1038" s="182">
        <v>536.79999999999995</v>
      </c>
      <c r="AT1038" s="182"/>
      <c r="AU1038" s="182"/>
      <c r="AV1038" s="182"/>
      <c r="AW1038" s="182"/>
      <c r="AX1038" s="182"/>
      <c r="AY1038" s="182"/>
      <c r="AZ1038" s="182"/>
      <c r="BA1038" s="182"/>
      <c r="BB1038" s="182"/>
      <c r="BC1038" s="182"/>
      <c r="BD1038" s="182"/>
      <c r="BE1038" s="182"/>
      <c r="BF1038" s="182"/>
      <c r="BG1038" s="182"/>
      <c r="BH1038" s="182"/>
      <c r="BI1038" s="182"/>
      <c r="BJ1038" s="182"/>
      <c r="BK1038" s="182"/>
      <c r="BL1038" s="182"/>
      <c r="BM1038" s="182"/>
      <c r="BN1038" s="182"/>
      <c r="BO1038" s="182"/>
      <c r="BP1038" s="182"/>
      <c r="BQ1038" s="182"/>
      <c r="BR1038" s="182"/>
      <c r="BS1038" s="182"/>
      <c r="BT1038" s="182"/>
      <c r="BU1038" s="182"/>
      <c r="BV1038" s="182"/>
      <c r="BW1038" s="182"/>
      <c r="BX1038" s="182"/>
      <c r="BY1038" s="182"/>
      <c r="BZ1038" s="182"/>
      <c r="CA1038" s="182"/>
      <c r="CB1038" s="185">
        <v>5000</v>
      </c>
      <c r="CC1038" s="185">
        <v>0</v>
      </c>
      <c r="CD1038" s="185">
        <v>2386</v>
      </c>
      <c r="CE1038" s="185"/>
    </row>
    <row r="1039" spans="2:83" x14ac:dyDescent="0.3">
      <c r="B1039" s="182">
        <v>4805</v>
      </c>
      <c r="C1039" s="182">
        <v>2387</v>
      </c>
      <c r="D1039" s="182" t="s">
        <v>78</v>
      </c>
      <c r="E1039" s="181" t="s">
        <v>4384</v>
      </c>
      <c r="F1039" s="182"/>
      <c r="G1039" s="182">
        <v>34786.400000000001</v>
      </c>
      <c r="H1039" s="182"/>
      <c r="I1039" s="182"/>
      <c r="J1039" s="182"/>
      <c r="K1039" s="182"/>
      <c r="L1039" s="182"/>
      <c r="M1039" s="182"/>
      <c r="N1039" s="182"/>
      <c r="O1039" s="182"/>
      <c r="P1039" s="182"/>
      <c r="Q1039" s="182"/>
      <c r="R1039" s="182"/>
      <c r="S1039" s="182"/>
      <c r="T1039" s="182"/>
      <c r="U1039" s="182"/>
      <c r="V1039" s="182"/>
      <c r="W1039" s="182"/>
      <c r="X1039" s="182"/>
      <c r="Y1039" s="182"/>
      <c r="Z1039" s="182"/>
      <c r="AA1039" s="182"/>
      <c r="AB1039" s="182"/>
      <c r="AC1039" s="182"/>
      <c r="AD1039" s="182"/>
      <c r="AE1039" s="182"/>
      <c r="AF1039" s="182"/>
      <c r="AG1039" s="182"/>
      <c r="AH1039" s="182"/>
      <c r="AI1039" s="182"/>
      <c r="AJ1039" s="182"/>
      <c r="AK1039" s="182"/>
      <c r="AL1039" s="182"/>
      <c r="AM1039" s="182"/>
      <c r="AN1039" s="182"/>
      <c r="AO1039" s="182"/>
      <c r="AP1039" s="182"/>
      <c r="AQ1039" s="185">
        <v>34786.400000000001</v>
      </c>
      <c r="AR1039" s="182">
        <v>27532.82</v>
      </c>
      <c r="AS1039" s="182">
        <v>3470.97</v>
      </c>
      <c r="AT1039" s="182">
        <v>3782.61</v>
      </c>
      <c r="AU1039" s="182"/>
      <c r="AV1039" s="182"/>
      <c r="AW1039" s="182"/>
      <c r="AX1039" s="182"/>
      <c r="AY1039" s="182"/>
      <c r="AZ1039" s="182"/>
      <c r="BA1039" s="182"/>
      <c r="BB1039" s="182"/>
      <c r="BC1039" s="182"/>
      <c r="BD1039" s="182"/>
      <c r="BE1039" s="182"/>
      <c r="BF1039" s="182"/>
      <c r="BG1039" s="182"/>
      <c r="BH1039" s="182"/>
      <c r="BI1039" s="182"/>
      <c r="BJ1039" s="182"/>
      <c r="BK1039" s="182"/>
      <c r="BL1039" s="182"/>
      <c r="BM1039" s="182"/>
      <c r="BN1039" s="182"/>
      <c r="BO1039" s="182"/>
      <c r="BP1039" s="182"/>
      <c r="BQ1039" s="182"/>
      <c r="BR1039" s="182"/>
      <c r="BS1039" s="182"/>
      <c r="BT1039" s="182"/>
      <c r="BU1039" s="182"/>
      <c r="BV1039" s="182"/>
      <c r="BW1039" s="182"/>
      <c r="BX1039" s="182"/>
      <c r="BY1039" s="182"/>
      <c r="BZ1039" s="182"/>
      <c r="CA1039" s="182"/>
      <c r="CB1039" s="185">
        <v>34786.400000000001</v>
      </c>
      <c r="CC1039" s="185">
        <v>0</v>
      </c>
      <c r="CD1039" s="185">
        <v>2387</v>
      </c>
      <c r="CE1039" s="185"/>
    </row>
    <row r="1040" spans="2:83" x14ac:dyDescent="0.3">
      <c r="B1040" s="182">
        <v>4806</v>
      </c>
      <c r="C1040" s="182">
        <v>2388</v>
      </c>
      <c r="D1040" s="182" t="s">
        <v>78</v>
      </c>
      <c r="E1040" s="181" t="s">
        <v>4384</v>
      </c>
      <c r="F1040" s="182"/>
      <c r="G1040" s="182">
        <v>1800</v>
      </c>
      <c r="H1040" s="182"/>
      <c r="I1040" s="182"/>
      <c r="J1040" s="182"/>
      <c r="K1040" s="182"/>
      <c r="L1040" s="182"/>
      <c r="M1040" s="182"/>
      <c r="N1040" s="182"/>
      <c r="O1040" s="182"/>
      <c r="P1040" s="182"/>
      <c r="Q1040" s="182"/>
      <c r="R1040" s="182"/>
      <c r="S1040" s="182"/>
      <c r="T1040" s="182"/>
      <c r="U1040" s="182"/>
      <c r="V1040" s="182"/>
      <c r="W1040" s="182"/>
      <c r="X1040" s="182"/>
      <c r="Y1040" s="182"/>
      <c r="Z1040" s="182"/>
      <c r="AA1040" s="182"/>
      <c r="AB1040" s="182"/>
      <c r="AC1040" s="182"/>
      <c r="AD1040" s="182"/>
      <c r="AE1040" s="182"/>
      <c r="AF1040" s="182"/>
      <c r="AG1040" s="182"/>
      <c r="AH1040" s="182"/>
      <c r="AI1040" s="182"/>
      <c r="AJ1040" s="182"/>
      <c r="AK1040" s="182"/>
      <c r="AL1040" s="182"/>
      <c r="AM1040" s="182"/>
      <c r="AN1040" s="182"/>
      <c r="AO1040" s="182"/>
      <c r="AP1040" s="182"/>
      <c r="AQ1040" s="185">
        <v>1800</v>
      </c>
      <c r="AR1040" s="182">
        <v>1606.85</v>
      </c>
      <c r="AS1040" s="182">
        <v>193.15</v>
      </c>
      <c r="AT1040" s="182"/>
      <c r="AU1040" s="182"/>
      <c r="AV1040" s="182"/>
      <c r="AW1040" s="182"/>
      <c r="AX1040" s="182"/>
      <c r="AY1040" s="182"/>
      <c r="AZ1040" s="182"/>
      <c r="BA1040" s="182"/>
      <c r="BB1040" s="182"/>
      <c r="BC1040" s="182"/>
      <c r="BD1040" s="182"/>
      <c r="BE1040" s="182"/>
      <c r="BF1040" s="182"/>
      <c r="BG1040" s="182"/>
      <c r="BH1040" s="182"/>
      <c r="BI1040" s="182"/>
      <c r="BJ1040" s="182"/>
      <c r="BK1040" s="182"/>
      <c r="BL1040" s="182"/>
      <c r="BM1040" s="182"/>
      <c r="BN1040" s="182"/>
      <c r="BO1040" s="182"/>
      <c r="BP1040" s="182"/>
      <c r="BQ1040" s="182"/>
      <c r="BR1040" s="182"/>
      <c r="BS1040" s="182"/>
      <c r="BT1040" s="182"/>
      <c r="BU1040" s="182"/>
      <c r="BV1040" s="182"/>
      <c r="BW1040" s="182"/>
      <c r="BX1040" s="182"/>
      <c r="BY1040" s="182"/>
      <c r="BZ1040" s="182"/>
      <c r="CA1040" s="182"/>
      <c r="CB1040" s="185">
        <v>1800</v>
      </c>
      <c r="CC1040" s="185">
        <v>0</v>
      </c>
      <c r="CD1040" s="185">
        <v>2388</v>
      </c>
      <c r="CE1040" s="185"/>
    </row>
    <row r="1041" spans="2:83" x14ac:dyDescent="0.3">
      <c r="B1041" s="182">
        <v>4807</v>
      </c>
      <c r="C1041" s="182">
        <v>2389</v>
      </c>
      <c r="D1041" s="182" t="s">
        <v>78</v>
      </c>
      <c r="E1041" s="181" t="s">
        <v>4384</v>
      </c>
      <c r="F1041" s="182"/>
      <c r="G1041" s="182">
        <v>5041.75</v>
      </c>
      <c r="H1041" s="182"/>
      <c r="I1041" s="182"/>
      <c r="J1041" s="182"/>
      <c r="K1041" s="182"/>
      <c r="L1041" s="182"/>
      <c r="M1041" s="182"/>
      <c r="N1041" s="182"/>
      <c r="O1041" s="182"/>
      <c r="P1041" s="182"/>
      <c r="Q1041" s="182"/>
      <c r="R1041" s="182"/>
      <c r="S1041" s="182"/>
      <c r="T1041" s="182"/>
      <c r="U1041" s="182"/>
      <c r="V1041" s="182"/>
      <c r="W1041" s="182"/>
      <c r="X1041" s="182"/>
      <c r="Y1041" s="182"/>
      <c r="Z1041" s="182"/>
      <c r="AA1041" s="182"/>
      <c r="AB1041" s="182"/>
      <c r="AC1041" s="182"/>
      <c r="AD1041" s="182"/>
      <c r="AE1041" s="182"/>
      <c r="AF1041" s="182"/>
      <c r="AG1041" s="182"/>
      <c r="AH1041" s="182"/>
      <c r="AI1041" s="182"/>
      <c r="AJ1041" s="182"/>
      <c r="AK1041" s="182"/>
      <c r="AL1041" s="182"/>
      <c r="AM1041" s="182"/>
      <c r="AN1041" s="182"/>
      <c r="AO1041" s="182"/>
      <c r="AP1041" s="182"/>
      <c r="AQ1041" s="185">
        <v>5041.75</v>
      </c>
      <c r="AR1041" s="182">
        <v>3369</v>
      </c>
      <c r="AS1041" s="182">
        <v>458</v>
      </c>
      <c r="AT1041" s="182">
        <v>1214.75</v>
      </c>
      <c r="AU1041" s="182"/>
      <c r="AV1041" s="182"/>
      <c r="AW1041" s="182"/>
      <c r="AX1041" s="182"/>
      <c r="AY1041" s="182"/>
      <c r="AZ1041" s="182"/>
      <c r="BA1041" s="182"/>
      <c r="BB1041" s="182"/>
      <c r="BC1041" s="182"/>
      <c r="BD1041" s="182"/>
      <c r="BE1041" s="182"/>
      <c r="BF1041" s="182"/>
      <c r="BG1041" s="182"/>
      <c r="BH1041" s="182"/>
      <c r="BI1041" s="182"/>
      <c r="BJ1041" s="182"/>
      <c r="BK1041" s="182"/>
      <c r="BL1041" s="182"/>
      <c r="BM1041" s="182"/>
      <c r="BN1041" s="182"/>
      <c r="BO1041" s="182"/>
      <c r="BP1041" s="182"/>
      <c r="BQ1041" s="182"/>
      <c r="BR1041" s="182"/>
      <c r="BS1041" s="182"/>
      <c r="BT1041" s="182"/>
      <c r="BU1041" s="182"/>
      <c r="BV1041" s="182"/>
      <c r="BW1041" s="182"/>
      <c r="BX1041" s="182"/>
      <c r="BY1041" s="182"/>
      <c r="BZ1041" s="182"/>
      <c r="CA1041" s="182"/>
      <c r="CB1041" s="185">
        <v>5041.75</v>
      </c>
      <c r="CC1041" s="185">
        <v>0</v>
      </c>
      <c r="CD1041" s="185">
        <v>2389</v>
      </c>
      <c r="CE1041" s="185"/>
    </row>
    <row r="1042" spans="2:83" x14ac:dyDescent="0.3">
      <c r="B1042" s="182">
        <v>4808</v>
      </c>
      <c r="C1042" s="182">
        <v>2390</v>
      </c>
      <c r="D1042" s="182" t="s">
        <v>78</v>
      </c>
      <c r="E1042" s="181" t="s">
        <v>4384</v>
      </c>
      <c r="F1042" s="182"/>
      <c r="G1042" s="182">
        <v>9229.4699999999993</v>
      </c>
      <c r="H1042" s="182"/>
      <c r="I1042" s="182"/>
      <c r="J1042" s="182"/>
      <c r="K1042" s="182"/>
      <c r="L1042" s="182"/>
      <c r="M1042" s="182"/>
      <c r="N1042" s="182"/>
      <c r="O1042" s="182"/>
      <c r="P1042" s="182"/>
      <c r="Q1042" s="182"/>
      <c r="R1042" s="182"/>
      <c r="S1042" s="182"/>
      <c r="T1042" s="182"/>
      <c r="U1042" s="182"/>
      <c r="V1042" s="182"/>
      <c r="W1042" s="182"/>
      <c r="X1042" s="182"/>
      <c r="Y1042" s="182"/>
      <c r="Z1042" s="182"/>
      <c r="AA1042" s="182"/>
      <c r="AB1042" s="182"/>
      <c r="AC1042" s="182"/>
      <c r="AD1042" s="182"/>
      <c r="AE1042" s="182"/>
      <c r="AF1042" s="182"/>
      <c r="AG1042" s="182"/>
      <c r="AH1042" s="182"/>
      <c r="AI1042" s="182"/>
      <c r="AJ1042" s="182"/>
      <c r="AK1042" s="182"/>
      <c r="AL1042" s="182"/>
      <c r="AM1042" s="182"/>
      <c r="AN1042" s="182"/>
      <c r="AO1042" s="182"/>
      <c r="AP1042" s="182"/>
      <c r="AQ1042" s="185">
        <v>9229.4699999999993</v>
      </c>
      <c r="AR1042" s="182">
        <v>7584.84</v>
      </c>
      <c r="AS1042" s="182">
        <v>941.3</v>
      </c>
      <c r="AT1042" s="182">
        <v>703.33</v>
      </c>
      <c r="AU1042" s="182"/>
      <c r="AV1042" s="182"/>
      <c r="AW1042" s="182"/>
      <c r="AX1042" s="182"/>
      <c r="AY1042" s="182"/>
      <c r="AZ1042" s="182"/>
      <c r="BA1042" s="182"/>
      <c r="BB1042" s="182"/>
      <c r="BC1042" s="182"/>
      <c r="BD1042" s="182"/>
      <c r="BE1042" s="182"/>
      <c r="BF1042" s="182"/>
      <c r="BG1042" s="182"/>
      <c r="BH1042" s="182"/>
      <c r="BI1042" s="182"/>
      <c r="BJ1042" s="182"/>
      <c r="BK1042" s="182"/>
      <c r="BL1042" s="182"/>
      <c r="BM1042" s="182"/>
      <c r="BN1042" s="182"/>
      <c r="BO1042" s="182"/>
      <c r="BP1042" s="182"/>
      <c r="BQ1042" s="182"/>
      <c r="BR1042" s="182"/>
      <c r="BS1042" s="182"/>
      <c r="BT1042" s="182"/>
      <c r="BU1042" s="182"/>
      <c r="BV1042" s="182"/>
      <c r="BW1042" s="182"/>
      <c r="BX1042" s="182"/>
      <c r="BY1042" s="182"/>
      <c r="BZ1042" s="182"/>
      <c r="CA1042" s="182"/>
      <c r="CB1042" s="185">
        <v>9229.4699999999993</v>
      </c>
      <c r="CC1042" s="185">
        <v>0</v>
      </c>
      <c r="CD1042" s="185">
        <v>2390</v>
      </c>
      <c r="CE1042" s="185"/>
    </row>
    <row r="1043" spans="2:83" x14ac:dyDescent="0.3">
      <c r="B1043" s="182">
        <v>4809</v>
      </c>
      <c r="C1043" s="182">
        <v>2391</v>
      </c>
      <c r="D1043" s="182" t="s">
        <v>78</v>
      </c>
      <c r="E1043" s="181" t="s">
        <v>4384</v>
      </c>
      <c r="F1043" s="182"/>
      <c r="G1043" s="182">
        <v>4300</v>
      </c>
      <c r="H1043" s="182"/>
      <c r="I1043" s="182"/>
      <c r="J1043" s="182"/>
      <c r="K1043" s="182"/>
      <c r="L1043" s="182"/>
      <c r="M1043" s="182"/>
      <c r="N1043" s="182"/>
      <c r="O1043" s="182"/>
      <c r="P1043" s="182"/>
      <c r="Q1043" s="182"/>
      <c r="R1043" s="182"/>
      <c r="S1043" s="182"/>
      <c r="T1043" s="182"/>
      <c r="U1043" s="182"/>
      <c r="V1043" s="182"/>
      <c r="W1043" s="182"/>
      <c r="X1043" s="182"/>
      <c r="Y1043" s="182"/>
      <c r="Z1043" s="182"/>
      <c r="AA1043" s="182"/>
      <c r="AB1043" s="182"/>
      <c r="AC1043" s="182"/>
      <c r="AD1043" s="182"/>
      <c r="AE1043" s="182"/>
      <c r="AF1043" s="182"/>
      <c r="AG1043" s="182"/>
      <c r="AH1043" s="182"/>
      <c r="AI1043" s="182"/>
      <c r="AJ1043" s="182"/>
      <c r="AK1043" s="182"/>
      <c r="AL1043" s="182"/>
      <c r="AM1043" s="182"/>
      <c r="AN1043" s="182"/>
      <c r="AO1043" s="182"/>
      <c r="AP1043" s="182"/>
      <c r="AQ1043" s="185">
        <v>4300</v>
      </c>
      <c r="AR1043" s="182">
        <v>3838.45</v>
      </c>
      <c r="AS1043" s="182">
        <v>461.55</v>
      </c>
      <c r="AT1043" s="182"/>
      <c r="AU1043" s="182"/>
      <c r="AV1043" s="182"/>
      <c r="AW1043" s="182"/>
      <c r="AX1043" s="182"/>
      <c r="AY1043" s="182"/>
      <c r="AZ1043" s="182"/>
      <c r="BA1043" s="182"/>
      <c r="BB1043" s="182"/>
      <c r="BC1043" s="182"/>
      <c r="BD1043" s="182"/>
      <c r="BE1043" s="182"/>
      <c r="BF1043" s="182"/>
      <c r="BG1043" s="182"/>
      <c r="BH1043" s="182"/>
      <c r="BI1043" s="182"/>
      <c r="BJ1043" s="182"/>
      <c r="BK1043" s="182"/>
      <c r="BL1043" s="182"/>
      <c r="BM1043" s="182"/>
      <c r="BN1043" s="182"/>
      <c r="BO1043" s="182"/>
      <c r="BP1043" s="182"/>
      <c r="BQ1043" s="182"/>
      <c r="BR1043" s="182"/>
      <c r="BS1043" s="182"/>
      <c r="BT1043" s="182"/>
      <c r="BU1043" s="182"/>
      <c r="BV1043" s="182"/>
      <c r="BW1043" s="182"/>
      <c r="BX1043" s="182"/>
      <c r="BY1043" s="182"/>
      <c r="BZ1043" s="182"/>
      <c r="CA1043" s="182"/>
      <c r="CB1043" s="185">
        <v>4300</v>
      </c>
      <c r="CC1043" s="185">
        <v>0</v>
      </c>
      <c r="CD1043" s="185">
        <v>2391</v>
      </c>
      <c r="CE1043" s="185"/>
    </row>
    <row r="1044" spans="2:83" x14ac:dyDescent="0.3">
      <c r="B1044" s="182">
        <v>4810</v>
      </c>
      <c r="C1044" s="182">
        <v>2392</v>
      </c>
      <c r="D1044" s="182" t="s">
        <v>78</v>
      </c>
      <c r="E1044" s="181" t="s">
        <v>4384</v>
      </c>
      <c r="F1044" s="182"/>
      <c r="G1044" s="182">
        <v>5856.88</v>
      </c>
      <c r="H1044" s="182"/>
      <c r="I1044" s="182"/>
      <c r="J1044" s="182"/>
      <c r="K1044" s="182"/>
      <c r="L1044" s="182"/>
      <c r="M1044" s="182"/>
      <c r="N1044" s="182"/>
      <c r="O1044" s="182"/>
      <c r="P1044" s="182"/>
      <c r="Q1044" s="182"/>
      <c r="R1044" s="182"/>
      <c r="S1044" s="182"/>
      <c r="T1044" s="182"/>
      <c r="U1044" s="182"/>
      <c r="V1044" s="182"/>
      <c r="W1044" s="182"/>
      <c r="X1044" s="182"/>
      <c r="Y1044" s="182"/>
      <c r="Z1044" s="182"/>
      <c r="AA1044" s="182"/>
      <c r="AB1044" s="182"/>
      <c r="AC1044" s="182"/>
      <c r="AD1044" s="182"/>
      <c r="AE1044" s="182"/>
      <c r="AF1044" s="182"/>
      <c r="AG1044" s="182"/>
      <c r="AH1044" s="182"/>
      <c r="AI1044" s="182"/>
      <c r="AJ1044" s="182"/>
      <c r="AK1044" s="182"/>
      <c r="AL1044" s="182"/>
      <c r="AM1044" s="182"/>
      <c r="AN1044" s="182"/>
      <c r="AO1044" s="182"/>
      <c r="AP1044" s="182"/>
      <c r="AQ1044" s="185">
        <v>5856.88</v>
      </c>
      <c r="AR1044" s="182">
        <v>4160.7</v>
      </c>
      <c r="AS1044" s="182">
        <v>549.47</v>
      </c>
      <c r="AT1044" s="182">
        <v>1146.71</v>
      </c>
      <c r="AU1044" s="182"/>
      <c r="AV1044" s="182"/>
      <c r="AW1044" s="182"/>
      <c r="AX1044" s="182"/>
      <c r="AY1044" s="182"/>
      <c r="AZ1044" s="182"/>
      <c r="BA1044" s="182"/>
      <c r="BB1044" s="182"/>
      <c r="BC1044" s="182"/>
      <c r="BD1044" s="182"/>
      <c r="BE1044" s="182"/>
      <c r="BF1044" s="182"/>
      <c r="BG1044" s="182"/>
      <c r="BH1044" s="182"/>
      <c r="BI1044" s="182"/>
      <c r="BJ1044" s="182"/>
      <c r="BK1044" s="182"/>
      <c r="BL1044" s="182"/>
      <c r="BM1044" s="182"/>
      <c r="BN1044" s="182"/>
      <c r="BO1044" s="182"/>
      <c r="BP1044" s="182"/>
      <c r="BQ1044" s="182"/>
      <c r="BR1044" s="182"/>
      <c r="BS1044" s="182"/>
      <c r="BT1044" s="182"/>
      <c r="BU1044" s="182"/>
      <c r="BV1044" s="182"/>
      <c r="BW1044" s="182"/>
      <c r="BX1044" s="182"/>
      <c r="BY1044" s="182"/>
      <c r="BZ1044" s="182"/>
      <c r="CA1044" s="182"/>
      <c r="CB1044" s="185">
        <v>5856.88</v>
      </c>
      <c r="CC1044" s="185">
        <v>0</v>
      </c>
      <c r="CD1044" s="185">
        <v>2392</v>
      </c>
      <c r="CE1044" s="185"/>
    </row>
    <row r="1045" spans="2:83" x14ac:dyDescent="0.3">
      <c r="B1045" s="182">
        <v>4811</v>
      </c>
      <c r="C1045" s="182">
        <v>2393</v>
      </c>
      <c r="D1045" s="182" t="s">
        <v>78</v>
      </c>
      <c r="E1045" s="181" t="s">
        <v>4384</v>
      </c>
      <c r="F1045" s="182"/>
      <c r="G1045" s="182">
        <v>6418.61</v>
      </c>
      <c r="H1045" s="182"/>
      <c r="I1045" s="182"/>
      <c r="J1045" s="182"/>
      <c r="K1045" s="182"/>
      <c r="L1045" s="182"/>
      <c r="M1045" s="182"/>
      <c r="N1045" s="182"/>
      <c r="O1045" s="182"/>
      <c r="P1045" s="182"/>
      <c r="Q1045" s="182"/>
      <c r="R1045" s="182"/>
      <c r="S1045" s="182"/>
      <c r="T1045" s="182"/>
      <c r="U1045" s="182"/>
      <c r="V1045" s="182"/>
      <c r="W1045" s="182"/>
      <c r="X1045" s="182"/>
      <c r="Y1045" s="182"/>
      <c r="Z1045" s="182"/>
      <c r="AA1045" s="182"/>
      <c r="AB1045" s="182"/>
      <c r="AC1045" s="182"/>
      <c r="AD1045" s="182"/>
      <c r="AE1045" s="182"/>
      <c r="AF1045" s="182"/>
      <c r="AG1045" s="182"/>
      <c r="AH1045" s="182"/>
      <c r="AI1045" s="182"/>
      <c r="AJ1045" s="182"/>
      <c r="AK1045" s="182"/>
      <c r="AL1045" s="182"/>
      <c r="AM1045" s="182"/>
      <c r="AN1045" s="182"/>
      <c r="AO1045" s="182"/>
      <c r="AP1045" s="182"/>
      <c r="AQ1045" s="185">
        <v>6418.61</v>
      </c>
      <c r="AR1045" s="182">
        <v>4635.91</v>
      </c>
      <c r="AS1045" s="182">
        <v>605.85</v>
      </c>
      <c r="AT1045" s="182">
        <v>1176.8499999999999</v>
      </c>
      <c r="AU1045" s="182"/>
      <c r="AV1045" s="182"/>
      <c r="AW1045" s="182"/>
      <c r="AX1045" s="182"/>
      <c r="AY1045" s="182"/>
      <c r="AZ1045" s="182"/>
      <c r="BA1045" s="182"/>
      <c r="BB1045" s="182"/>
      <c r="BC1045" s="182"/>
      <c r="BD1045" s="182"/>
      <c r="BE1045" s="182"/>
      <c r="BF1045" s="182"/>
      <c r="BG1045" s="182"/>
      <c r="BH1045" s="182"/>
      <c r="BI1045" s="182"/>
      <c r="BJ1045" s="182"/>
      <c r="BK1045" s="182"/>
      <c r="BL1045" s="182"/>
      <c r="BM1045" s="182"/>
      <c r="BN1045" s="182"/>
      <c r="BO1045" s="182"/>
      <c r="BP1045" s="182"/>
      <c r="BQ1045" s="182"/>
      <c r="BR1045" s="182"/>
      <c r="BS1045" s="182"/>
      <c r="BT1045" s="182"/>
      <c r="BU1045" s="182"/>
      <c r="BV1045" s="182"/>
      <c r="BW1045" s="182"/>
      <c r="BX1045" s="182"/>
      <c r="BY1045" s="182"/>
      <c r="BZ1045" s="182"/>
      <c r="CA1045" s="182"/>
      <c r="CB1045" s="185">
        <v>6418.6100000000006</v>
      </c>
      <c r="CC1045" s="185">
        <v>0</v>
      </c>
      <c r="CD1045" s="185">
        <v>2393</v>
      </c>
      <c r="CE1045" s="185"/>
    </row>
    <row r="1046" spans="2:83" x14ac:dyDescent="0.3">
      <c r="B1046" s="182">
        <v>4812</v>
      </c>
      <c r="C1046" s="182">
        <v>2394</v>
      </c>
      <c r="D1046" s="182" t="s">
        <v>78</v>
      </c>
      <c r="E1046" s="181" t="s">
        <v>4384</v>
      </c>
      <c r="F1046" s="182"/>
      <c r="G1046" s="182">
        <v>1705.15</v>
      </c>
      <c r="H1046" s="182"/>
      <c r="I1046" s="182"/>
      <c r="J1046" s="182"/>
      <c r="K1046" s="182"/>
      <c r="L1046" s="182"/>
      <c r="M1046" s="182"/>
      <c r="N1046" s="182"/>
      <c r="O1046" s="182"/>
      <c r="P1046" s="182"/>
      <c r="Q1046" s="182"/>
      <c r="R1046" s="182"/>
      <c r="S1046" s="182"/>
      <c r="T1046" s="182"/>
      <c r="U1046" s="182"/>
      <c r="V1046" s="182"/>
      <c r="W1046" s="182"/>
      <c r="X1046" s="182"/>
      <c r="Y1046" s="182"/>
      <c r="Z1046" s="182"/>
      <c r="AA1046" s="182"/>
      <c r="AB1046" s="182"/>
      <c r="AC1046" s="182"/>
      <c r="AD1046" s="182"/>
      <c r="AE1046" s="182"/>
      <c r="AF1046" s="182"/>
      <c r="AG1046" s="182"/>
      <c r="AH1046" s="182"/>
      <c r="AI1046" s="182"/>
      <c r="AJ1046" s="182"/>
      <c r="AK1046" s="182"/>
      <c r="AL1046" s="182"/>
      <c r="AM1046" s="182"/>
      <c r="AN1046" s="182"/>
      <c r="AO1046" s="182"/>
      <c r="AP1046" s="182"/>
      <c r="AQ1046" s="185">
        <v>1705.15</v>
      </c>
      <c r="AR1046" s="182">
        <v>1514.36</v>
      </c>
      <c r="AS1046" s="182">
        <v>182.35</v>
      </c>
      <c r="AT1046" s="182">
        <v>8.44</v>
      </c>
      <c r="AU1046" s="182"/>
      <c r="AV1046" s="182"/>
      <c r="AW1046" s="182"/>
      <c r="AX1046" s="182"/>
      <c r="AY1046" s="182"/>
      <c r="AZ1046" s="182"/>
      <c r="BA1046" s="182"/>
      <c r="BB1046" s="182"/>
      <c r="BC1046" s="182"/>
      <c r="BD1046" s="182"/>
      <c r="BE1046" s="182"/>
      <c r="BF1046" s="182"/>
      <c r="BG1046" s="182"/>
      <c r="BH1046" s="182"/>
      <c r="BI1046" s="182"/>
      <c r="BJ1046" s="182"/>
      <c r="BK1046" s="182"/>
      <c r="BL1046" s="182"/>
      <c r="BM1046" s="182"/>
      <c r="BN1046" s="182"/>
      <c r="BO1046" s="182"/>
      <c r="BP1046" s="182"/>
      <c r="BQ1046" s="182"/>
      <c r="BR1046" s="182"/>
      <c r="BS1046" s="182"/>
      <c r="BT1046" s="182"/>
      <c r="BU1046" s="182"/>
      <c r="BV1046" s="182"/>
      <c r="BW1046" s="182"/>
      <c r="BX1046" s="182"/>
      <c r="BY1046" s="182"/>
      <c r="BZ1046" s="182"/>
      <c r="CA1046" s="182"/>
      <c r="CB1046" s="185">
        <v>1705.1499999999999</v>
      </c>
      <c r="CC1046" s="185">
        <v>0</v>
      </c>
      <c r="CD1046" s="185">
        <v>2394</v>
      </c>
      <c r="CE1046" s="185"/>
    </row>
    <row r="1047" spans="2:83" x14ac:dyDescent="0.3">
      <c r="B1047" s="182">
        <v>4814</v>
      </c>
      <c r="C1047" s="182">
        <v>2395</v>
      </c>
      <c r="D1047" s="182" t="s">
        <v>78</v>
      </c>
      <c r="E1047" s="181" t="s">
        <v>4384</v>
      </c>
      <c r="F1047" s="182"/>
      <c r="G1047" s="182">
        <v>2500</v>
      </c>
      <c r="H1047" s="182"/>
      <c r="I1047" s="182"/>
      <c r="J1047" s="182"/>
      <c r="K1047" s="182"/>
      <c r="L1047" s="182"/>
      <c r="M1047" s="182"/>
      <c r="N1047" s="182"/>
      <c r="O1047" s="182"/>
      <c r="P1047" s="182"/>
      <c r="Q1047" s="182"/>
      <c r="R1047" s="182"/>
      <c r="S1047" s="182"/>
      <c r="T1047" s="182"/>
      <c r="U1047" s="182"/>
      <c r="V1047" s="182"/>
      <c r="W1047" s="182"/>
      <c r="X1047" s="182"/>
      <c r="Y1047" s="182"/>
      <c r="Z1047" s="182"/>
      <c r="AA1047" s="182"/>
      <c r="AB1047" s="182"/>
      <c r="AC1047" s="182"/>
      <c r="AD1047" s="182"/>
      <c r="AE1047" s="182"/>
      <c r="AF1047" s="182"/>
      <c r="AG1047" s="182"/>
      <c r="AH1047" s="182"/>
      <c r="AI1047" s="182"/>
      <c r="AJ1047" s="182"/>
      <c r="AK1047" s="182"/>
      <c r="AL1047" s="182"/>
      <c r="AM1047" s="182"/>
      <c r="AN1047" s="182"/>
      <c r="AO1047" s="182"/>
      <c r="AP1047" s="182"/>
      <c r="AQ1047" s="185">
        <v>2500</v>
      </c>
      <c r="AR1047" s="182">
        <v>2231.6</v>
      </c>
      <c r="AS1047" s="182">
        <v>268.39999999999998</v>
      </c>
      <c r="AT1047" s="182"/>
      <c r="AU1047" s="182"/>
      <c r="AV1047" s="182"/>
      <c r="AW1047" s="182"/>
      <c r="AX1047" s="182"/>
      <c r="AY1047" s="182"/>
      <c r="AZ1047" s="182"/>
      <c r="BA1047" s="182"/>
      <c r="BB1047" s="182"/>
      <c r="BC1047" s="182"/>
      <c r="BD1047" s="182"/>
      <c r="BE1047" s="182"/>
      <c r="BF1047" s="182"/>
      <c r="BG1047" s="182"/>
      <c r="BH1047" s="182"/>
      <c r="BI1047" s="182"/>
      <c r="BJ1047" s="182"/>
      <c r="BK1047" s="182"/>
      <c r="BL1047" s="182"/>
      <c r="BM1047" s="182"/>
      <c r="BN1047" s="182"/>
      <c r="BO1047" s="182"/>
      <c r="BP1047" s="182"/>
      <c r="BQ1047" s="182"/>
      <c r="BR1047" s="182"/>
      <c r="BS1047" s="182"/>
      <c r="BT1047" s="182"/>
      <c r="BU1047" s="182"/>
      <c r="BV1047" s="182"/>
      <c r="BW1047" s="182"/>
      <c r="BX1047" s="182"/>
      <c r="BY1047" s="182"/>
      <c r="BZ1047" s="182"/>
      <c r="CA1047" s="182"/>
      <c r="CB1047" s="185">
        <v>2500</v>
      </c>
      <c r="CC1047" s="185">
        <v>0</v>
      </c>
      <c r="CD1047" s="185">
        <v>2395</v>
      </c>
      <c r="CE1047" s="185"/>
    </row>
    <row r="1048" spans="2:83" x14ac:dyDescent="0.3">
      <c r="B1048" s="182">
        <v>4813</v>
      </c>
      <c r="C1048" s="182">
        <v>2396</v>
      </c>
      <c r="D1048" s="182" t="s">
        <v>78</v>
      </c>
      <c r="E1048" s="181" t="s">
        <v>4384</v>
      </c>
      <c r="F1048" s="182"/>
      <c r="G1048" s="182">
        <v>2110.5</v>
      </c>
      <c r="H1048" s="182"/>
      <c r="I1048" s="182"/>
      <c r="J1048" s="182"/>
      <c r="K1048" s="182"/>
      <c r="L1048" s="182"/>
      <c r="M1048" s="182"/>
      <c r="N1048" s="182"/>
      <c r="O1048" s="182"/>
      <c r="P1048" s="182"/>
      <c r="Q1048" s="182"/>
      <c r="R1048" s="182"/>
      <c r="S1048" s="182"/>
      <c r="T1048" s="182"/>
      <c r="U1048" s="182"/>
      <c r="V1048" s="182"/>
      <c r="W1048" s="182"/>
      <c r="X1048" s="182"/>
      <c r="Y1048" s="182"/>
      <c r="Z1048" s="182"/>
      <c r="AA1048" s="182"/>
      <c r="AB1048" s="182"/>
      <c r="AC1048" s="182"/>
      <c r="AD1048" s="182"/>
      <c r="AE1048" s="182"/>
      <c r="AF1048" s="182"/>
      <c r="AG1048" s="182"/>
      <c r="AH1048" s="182"/>
      <c r="AI1048" s="182"/>
      <c r="AJ1048" s="182"/>
      <c r="AK1048" s="182"/>
      <c r="AL1048" s="182"/>
      <c r="AM1048" s="182"/>
      <c r="AN1048" s="182"/>
      <c r="AO1048" s="182"/>
      <c r="AP1048" s="182"/>
      <c r="AQ1048" s="185">
        <v>2110.5</v>
      </c>
      <c r="AR1048" s="182">
        <v>1410.35</v>
      </c>
      <c r="AS1048" s="182">
        <v>191.65</v>
      </c>
      <c r="AT1048" s="182">
        <v>508.5</v>
      </c>
      <c r="AU1048" s="182"/>
      <c r="AV1048" s="182"/>
      <c r="AW1048" s="182"/>
      <c r="AX1048" s="182"/>
      <c r="AY1048" s="182"/>
      <c r="AZ1048" s="182"/>
      <c r="BA1048" s="182"/>
      <c r="BB1048" s="182"/>
      <c r="BC1048" s="182"/>
      <c r="BD1048" s="182"/>
      <c r="BE1048" s="182"/>
      <c r="BF1048" s="182"/>
      <c r="BG1048" s="182"/>
      <c r="BH1048" s="182"/>
      <c r="BI1048" s="182"/>
      <c r="BJ1048" s="182"/>
      <c r="BK1048" s="182"/>
      <c r="BL1048" s="182"/>
      <c r="BM1048" s="182"/>
      <c r="BN1048" s="182"/>
      <c r="BO1048" s="182"/>
      <c r="BP1048" s="182"/>
      <c r="BQ1048" s="182"/>
      <c r="BR1048" s="182"/>
      <c r="BS1048" s="182"/>
      <c r="BT1048" s="182"/>
      <c r="BU1048" s="182"/>
      <c r="BV1048" s="182"/>
      <c r="BW1048" s="182"/>
      <c r="BX1048" s="182"/>
      <c r="BY1048" s="182"/>
      <c r="BZ1048" s="182"/>
      <c r="CA1048" s="182"/>
      <c r="CB1048" s="185">
        <v>2110.5</v>
      </c>
      <c r="CC1048" s="185">
        <v>0</v>
      </c>
      <c r="CD1048" s="185">
        <v>2396</v>
      </c>
      <c r="CE1048" s="185"/>
    </row>
    <row r="1049" spans="2:83" x14ac:dyDescent="0.3">
      <c r="B1049" s="182">
        <v>4814</v>
      </c>
      <c r="C1049" s="182">
        <v>2397</v>
      </c>
      <c r="D1049" s="182" t="s">
        <v>78</v>
      </c>
      <c r="E1049" s="181" t="s">
        <v>4384</v>
      </c>
      <c r="F1049" s="182"/>
      <c r="G1049" s="182">
        <v>2000</v>
      </c>
      <c r="H1049" s="182"/>
      <c r="I1049" s="182"/>
      <c r="J1049" s="182"/>
      <c r="K1049" s="182"/>
      <c r="L1049" s="182"/>
      <c r="M1049" s="182"/>
      <c r="N1049" s="182"/>
      <c r="O1049" s="182"/>
      <c r="P1049" s="182"/>
      <c r="Q1049" s="182"/>
      <c r="R1049" s="182"/>
      <c r="S1049" s="182"/>
      <c r="T1049" s="182"/>
      <c r="U1049" s="182"/>
      <c r="V1049" s="182"/>
      <c r="W1049" s="182"/>
      <c r="X1049" s="182"/>
      <c r="Y1049" s="182"/>
      <c r="Z1049" s="182"/>
      <c r="AA1049" s="182"/>
      <c r="AB1049" s="182"/>
      <c r="AC1049" s="182"/>
      <c r="AD1049" s="182"/>
      <c r="AE1049" s="182"/>
      <c r="AF1049" s="182"/>
      <c r="AG1049" s="182"/>
      <c r="AH1049" s="182"/>
      <c r="AI1049" s="182"/>
      <c r="AJ1049" s="182"/>
      <c r="AK1049" s="182"/>
      <c r="AL1049" s="182"/>
      <c r="AM1049" s="182"/>
      <c r="AN1049" s="182"/>
      <c r="AO1049" s="182"/>
      <c r="AP1049" s="182"/>
      <c r="AQ1049" s="185">
        <v>2000</v>
      </c>
      <c r="AR1049" s="182">
        <v>1786.7</v>
      </c>
      <c r="AS1049" s="182">
        <v>213.3</v>
      </c>
      <c r="AT1049" s="182"/>
      <c r="AU1049" s="182"/>
      <c r="AV1049" s="182"/>
      <c r="AW1049" s="182"/>
      <c r="AX1049" s="182"/>
      <c r="AY1049" s="182"/>
      <c r="AZ1049" s="182"/>
      <c r="BA1049" s="182"/>
      <c r="BB1049" s="182"/>
      <c r="BC1049" s="182"/>
      <c r="BD1049" s="182"/>
      <c r="BE1049" s="182"/>
      <c r="BF1049" s="182"/>
      <c r="BG1049" s="182"/>
      <c r="BH1049" s="182"/>
      <c r="BI1049" s="182"/>
      <c r="BJ1049" s="182"/>
      <c r="BK1049" s="182"/>
      <c r="BL1049" s="182"/>
      <c r="BM1049" s="182"/>
      <c r="BN1049" s="182"/>
      <c r="BO1049" s="182"/>
      <c r="BP1049" s="182"/>
      <c r="BQ1049" s="182"/>
      <c r="BR1049" s="182"/>
      <c r="BS1049" s="182"/>
      <c r="BT1049" s="182"/>
      <c r="BU1049" s="182"/>
      <c r="BV1049" s="182"/>
      <c r="BW1049" s="182"/>
      <c r="BX1049" s="182"/>
      <c r="BY1049" s="182"/>
      <c r="BZ1049" s="182"/>
      <c r="CA1049" s="182"/>
      <c r="CB1049" s="185">
        <v>2000</v>
      </c>
      <c r="CC1049" s="185">
        <v>0</v>
      </c>
      <c r="CD1049" s="185">
        <v>2397</v>
      </c>
      <c r="CE1049" s="185"/>
    </row>
    <row r="1050" spans="2:83" x14ac:dyDescent="0.3">
      <c r="B1050" s="182">
        <v>4825</v>
      </c>
      <c r="C1050" s="182">
        <v>2398</v>
      </c>
      <c r="D1050" s="182" t="s">
        <v>78</v>
      </c>
      <c r="E1050" s="181" t="s">
        <v>4384</v>
      </c>
      <c r="F1050" s="182"/>
      <c r="G1050" s="182">
        <v>36778.47</v>
      </c>
      <c r="H1050" s="182"/>
      <c r="I1050" s="182"/>
      <c r="J1050" s="182"/>
      <c r="K1050" s="182"/>
      <c r="L1050" s="182"/>
      <c r="M1050" s="182"/>
      <c r="N1050" s="182"/>
      <c r="O1050" s="182"/>
      <c r="P1050" s="182"/>
      <c r="Q1050" s="182"/>
      <c r="R1050" s="182"/>
      <c r="S1050" s="182"/>
      <c r="T1050" s="182"/>
      <c r="U1050" s="182"/>
      <c r="V1050" s="182"/>
      <c r="W1050" s="182"/>
      <c r="X1050" s="182"/>
      <c r="Y1050" s="182"/>
      <c r="Z1050" s="182"/>
      <c r="AA1050" s="182"/>
      <c r="AB1050" s="182"/>
      <c r="AC1050" s="182"/>
      <c r="AD1050" s="182"/>
      <c r="AE1050" s="182"/>
      <c r="AF1050" s="182"/>
      <c r="AG1050" s="182"/>
      <c r="AH1050" s="182"/>
      <c r="AI1050" s="182"/>
      <c r="AJ1050" s="182"/>
      <c r="AK1050" s="182"/>
      <c r="AL1050" s="182"/>
      <c r="AM1050" s="182"/>
      <c r="AN1050" s="182"/>
      <c r="AO1050" s="182"/>
      <c r="AP1050" s="182"/>
      <c r="AQ1050" s="185">
        <v>36778.47</v>
      </c>
      <c r="AR1050" s="182">
        <v>32135.87</v>
      </c>
      <c r="AS1050" s="182">
        <v>3899.95</v>
      </c>
      <c r="AT1050" s="182">
        <v>742.65</v>
      </c>
      <c r="AU1050" s="182"/>
      <c r="AV1050" s="182"/>
      <c r="AW1050" s="182"/>
      <c r="AX1050" s="182"/>
      <c r="AY1050" s="182"/>
      <c r="AZ1050" s="182"/>
      <c r="BA1050" s="182"/>
      <c r="BB1050" s="182"/>
      <c r="BC1050" s="182"/>
      <c r="BD1050" s="182"/>
      <c r="BE1050" s="182"/>
      <c r="BF1050" s="182"/>
      <c r="BG1050" s="182"/>
      <c r="BH1050" s="182"/>
      <c r="BI1050" s="182"/>
      <c r="BJ1050" s="182"/>
      <c r="BK1050" s="182"/>
      <c r="BL1050" s="182"/>
      <c r="BM1050" s="182"/>
      <c r="BN1050" s="182"/>
      <c r="BO1050" s="182"/>
      <c r="BP1050" s="182"/>
      <c r="BQ1050" s="182"/>
      <c r="BR1050" s="182"/>
      <c r="BS1050" s="182"/>
      <c r="BT1050" s="182"/>
      <c r="BU1050" s="182"/>
      <c r="BV1050" s="182"/>
      <c r="BW1050" s="182"/>
      <c r="BX1050" s="182"/>
      <c r="BY1050" s="182"/>
      <c r="BZ1050" s="182"/>
      <c r="CA1050" s="182"/>
      <c r="CB1050" s="185">
        <v>36778.47</v>
      </c>
      <c r="CC1050" s="185">
        <v>0</v>
      </c>
      <c r="CD1050" s="185">
        <v>2398</v>
      </c>
      <c r="CE1050" s="185"/>
    </row>
    <row r="1051" spans="2:83" x14ac:dyDescent="0.3">
      <c r="B1051" s="182">
        <v>4824</v>
      </c>
      <c r="C1051" s="182">
        <v>2399</v>
      </c>
      <c r="D1051" s="182" t="s">
        <v>78</v>
      </c>
      <c r="E1051" s="181" t="s">
        <v>4385</v>
      </c>
      <c r="F1051" s="182"/>
      <c r="G1051" s="182">
        <v>79654.570000000007</v>
      </c>
      <c r="H1051" s="182"/>
      <c r="I1051" s="182"/>
      <c r="J1051" s="182"/>
      <c r="K1051" s="182"/>
      <c r="L1051" s="182"/>
      <c r="M1051" s="182"/>
      <c r="N1051" s="182"/>
      <c r="O1051" s="182"/>
      <c r="P1051" s="182"/>
      <c r="Q1051" s="182"/>
      <c r="R1051" s="182"/>
      <c r="S1051" s="182"/>
      <c r="T1051" s="182"/>
      <c r="U1051" s="182"/>
      <c r="V1051" s="182"/>
      <c r="W1051" s="182"/>
      <c r="X1051" s="182"/>
      <c r="Y1051" s="182"/>
      <c r="Z1051" s="182"/>
      <c r="AA1051" s="182"/>
      <c r="AB1051" s="182"/>
      <c r="AC1051" s="182"/>
      <c r="AD1051" s="182"/>
      <c r="AE1051" s="182"/>
      <c r="AF1051" s="182"/>
      <c r="AG1051" s="182"/>
      <c r="AH1051" s="182"/>
      <c r="AI1051" s="182"/>
      <c r="AJ1051" s="182"/>
      <c r="AK1051" s="182"/>
      <c r="AL1051" s="182"/>
      <c r="AM1051" s="182"/>
      <c r="AN1051" s="182"/>
      <c r="AO1051" s="182"/>
      <c r="AP1051" s="182"/>
      <c r="AQ1051" s="185">
        <v>79654.570000000007</v>
      </c>
      <c r="AR1051" s="182">
        <v>60493.279999999999</v>
      </c>
      <c r="AS1051" s="182">
        <v>7771.95</v>
      </c>
      <c r="AT1051" s="182">
        <v>11389.34</v>
      </c>
      <c r="AU1051" s="182"/>
      <c r="AV1051" s="182"/>
      <c r="AW1051" s="182"/>
      <c r="AX1051" s="182"/>
      <c r="AY1051" s="182"/>
      <c r="AZ1051" s="182"/>
      <c r="BA1051" s="182"/>
      <c r="BB1051" s="182"/>
      <c r="BC1051" s="182"/>
      <c r="BD1051" s="182"/>
      <c r="BE1051" s="182"/>
      <c r="BF1051" s="182"/>
      <c r="BG1051" s="182"/>
      <c r="BH1051" s="182"/>
      <c r="BI1051" s="182"/>
      <c r="BJ1051" s="182"/>
      <c r="BK1051" s="182"/>
      <c r="BL1051" s="182"/>
      <c r="BM1051" s="182"/>
      <c r="BN1051" s="182"/>
      <c r="BO1051" s="182"/>
      <c r="BP1051" s="182"/>
      <c r="BQ1051" s="182"/>
      <c r="BR1051" s="182"/>
      <c r="BS1051" s="182"/>
      <c r="BT1051" s="182"/>
      <c r="BU1051" s="182"/>
      <c r="BV1051" s="182"/>
      <c r="BW1051" s="182"/>
      <c r="BX1051" s="182"/>
      <c r="BY1051" s="182"/>
      <c r="BZ1051" s="182"/>
      <c r="CA1051" s="182"/>
      <c r="CB1051" s="185">
        <v>79654.569999999992</v>
      </c>
      <c r="CC1051" s="185">
        <v>0</v>
      </c>
      <c r="CD1051" s="185">
        <v>2399</v>
      </c>
      <c r="CE1051" s="185"/>
    </row>
    <row r="1052" spans="2:83" x14ac:dyDescent="0.3">
      <c r="B1052" s="182">
        <v>4823</v>
      </c>
      <c r="C1052" s="182">
        <v>2400</v>
      </c>
      <c r="D1052" s="182" t="s">
        <v>78</v>
      </c>
      <c r="E1052" s="181" t="s">
        <v>4385</v>
      </c>
      <c r="F1052" s="182"/>
      <c r="G1052" s="182">
        <v>10552.5</v>
      </c>
      <c r="H1052" s="182"/>
      <c r="I1052" s="182"/>
      <c r="J1052" s="182"/>
      <c r="K1052" s="182"/>
      <c r="L1052" s="182"/>
      <c r="M1052" s="182"/>
      <c r="N1052" s="182"/>
      <c r="O1052" s="182"/>
      <c r="P1052" s="182"/>
      <c r="Q1052" s="182"/>
      <c r="R1052" s="182"/>
      <c r="S1052" s="182"/>
      <c r="T1052" s="182"/>
      <c r="U1052" s="182"/>
      <c r="V1052" s="182"/>
      <c r="W1052" s="182"/>
      <c r="X1052" s="182"/>
      <c r="Y1052" s="182"/>
      <c r="Z1052" s="182"/>
      <c r="AA1052" s="182"/>
      <c r="AB1052" s="182"/>
      <c r="AC1052" s="182"/>
      <c r="AD1052" s="182"/>
      <c r="AE1052" s="182"/>
      <c r="AF1052" s="182"/>
      <c r="AG1052" s="182"/>
      <c r="AH1052" s="182"/>
      <c r="AI1052" s="182"/>
      <c r="AJ1052" s="182"/>
      <c r="AK1052" s="182"/>
      <c r="AL1052" s="182"/>
      <c r="AM1052" s="182"/>
      <c r="AN1052" s="182"/>
      <c r="AO1052" s="182"/>
      <c r="AP1052" s="182"/>
      <c r="AQ1052" s="185">
        <v>10552.5</v>
      </c>
      <c r="AR1052" s="182">
        <v>7043.55</v>
      </c>
      <c r="AS1052" s="182">
        <v>966.45</v>
      </c>
      <c r="AT1052" s="182">
        <v>2542.5</v>
      </c>
      <c r="AU1052" s="182"/>
      <c r="AV1052" s="182"/>
      <c r="AW1052" s="182"/>
      <c r="AX1052" s="182"/>
      <c r="AY1052" s="182"/>
      <c r="AZ1052" s="182"/>
      <c r="BA1052" s="182"/>
      <c r="BB1052" s="182"/>
      <c r="BC1052" s="182"/>
      <c r="BD1052" s="182"/>
      <c r="BE1052" s="182"/>
      <c r="BF1052" s="182"/>
      <c r="BG1052" s="182"/>
      <c r="BH1052" s="182"/>
      <c r="BI1052" s="182"/>
      <c r="BJ1052" s="182"/>
      <c r="BK1052" s="182"/>
      <c r="BL1052" s="182"/>
      <c r="BM1052" s="182"/>
      <c r="BN1052" s="182"/>
      <c r="BO1052" s="182"/>
      <c r="BP1052" s="182"/>
      <c r="BQ1052" s="182"/>
      <c r="BR1052" s="182"/>
      <c r="BS1052" s="182"/>
      <c r="BT1052" s="182"/>
      <c r="BU1052" s="182"/>
      <c r="BV1052" s="182"/>
      <c r="BW1052" s="182"/>
      <c r="BX1052" s="182"/>
      <c r="BY1052" s="182"/>
      <c r="BZ1052" s="182"/>
      <c r="CA1052" s="182"/>
      <c r="CB1052" s="185">
        <v>10552.5</v>
      </c>
      <c r="CC1052" s="185">
        <v>0</v>
      </c>
      <c r="CD1052" s="185">
        <v>2400</v>
      </c>
      <c r="CE1052" s="185"/>
    </row>
    <row r="1053" spans="2:83" x14ac:dyDescent="0.3">
      <c r="B1053" s="182">
        <v>4822</v>
      </c>
      <c r="C1053" s="182">
        <v>2401</v>
      </c>
      <c r="D1053" s="182" t="s">
        <v>78</v>
      </c>
      <c r="E1053" s="181" t="s">
        <v>4385</v>
      </c>
      <c r="F1053" s="182"/>
      <c r="G1053" s="182">
        <v>6000</v>
      </c>
      <c r="H1053" s="182"/>
      <c r="I1053" s="182"/>
      <c r="J1053" s="182"/>
      <c r="K1053" s="182"/>
      <c r="L1053" s="182"/>
      <c r="M1053" s="182"/>
      <c r="N1053" s="182"/>
      <c r="O1053" s="182"/>
      <c r="P1053" s="182"/>
      <c r="Q1053" s="182"/>
      <c r="R1053" s="182"/>
      <c r="S1053" s="182"/>
      <c r="T1053" s="182"/>
      <c r="U1053" s="182"/>
      <c r="V1053" s="182"/>
      <c r="W1053" s="182"/>
      <c r="X1053" s="182"/>
      <c r="Y1053" s="182"/>
      <c r="Z1053" s="182"/>
      <c r="AA1053" s="182"/>
      <c r="AB1053" s="182"/>
      <c r="AC1053" s="182"/>
      <c r="AD1053" s="182"/>
      <c r="AE1053" s="182"/>
      <c r="AF1053" s="182"/>
      <c r="AG1053" s="182"/>
      <c r="AH1053" s="182"/>
      <c r="AI1053" s="182"/>
      <c r="AJ1053" s="182"/>
      <c r="AK1053" s="182"/>
      <c r="AL1053" s="182"/>
      <c r="AM1053" s="182"/>
      <c r="AN1053" s="182"/>
      <c r="AO1053" s="182"/>
      <c r="AP1053" s="182"/>
      <c r="AQ1053" s="185">
        <v>6000</v>
      </c>
      <c r="AR1053" s="182">
        <v>5355.7</v>
      </c>
      <c r="AS1053" s="182">
        <v>644.29999999999995</v>
      </c>
      <c r="AT1053" s="182"/>
      <c r="AU1053" s="182"/>
      <c r="AV1053" s="182"/>
      <c r="AW1053" s="182"/>
      <c r="AX1053" s="182"/>
      <c r="AY1053" s="182"/>
      <c r="AZ1053" s="182"/>
      <c r="BA1053" s="182"/>
      <c r="BB1053" s="182"/>
      <c r="BC1053" s="182"/>
      <c r="BD1053" s="182"/>
      <c r="BE1053" s="182"/>
      <c r="BF1053" s="182"/>
      <c r="BG1053" s="182"/>
      <c r="BH1053" s="182"/>
      <c r="BI1053" s="182"/>
      <c r="BJ1053" s="182"/>
      <c r="BK1053" s="182"/>
      <c r="BL1053" s="182"/>
      <c r="BM1053" s="182"/>
      <c r="BN1053" s="182"/>
      <c r="BO1053" s="182"/>
      <c r="BP1053" s="182"/>
      <c r="BQ1053" s="182"/>
      <c r="BR1053" s="182"/>
      <c r="BS1053" s="182"/>
      <c r="BT1053" s="182"/>
      <c r="BU1053" s="182"/>
      <c r="BV1053" s="182"/>
      <c r="BW1053" s="182"/>
      <c r="BX1053" s="182"/>
      <c r="BY1053" s="182"/>
      <c r="BZ1053" s="182"/>
      <c r="CA1053" s="182"/>
      <c r="CB1053" s="185">
        <v>6000</v>
      </c>
      <c r="CC1053" s="185">
        <v>0</v>
      </c>
      <c r="CD1053" s="185">
        <v>2401</v>
      </c>
      <c r="CE1053" s="185"/>
    </row>
    <row r="1054" spans="2:83" x14ac:dyDescent="0.3">
      <c r="B1054" s="182">
        <v>4821</v>
      </c>
      <c r="C1054" s="182">
        <v>2402</v>
      </c>
      <c r="D1054" s="182" t="s">
        <v>78</v>
      </c>
      <c r="E1054" s="181" t="s">
        <v>4385</v>
      </c>
      <c r="F1054" s="182"/>
      <c r="G1054" s="182">
        <v>3000</v>
      </c>
      <c r="H1054" s="182"/>
      <c r="I1054" s="182"/>
      <c r="J1054" s="182"/>
      <c r="K1054" s="182"/>
      <c r="L1054" s="182"/>
      <c r="M1054" s="182"/>
      <c r="N1054" s="182"/>
      <c r="O1054" s="182"/>
      <c r="P1054" s="182"/>
      <c r="Q1054" s="182"/>
      <c r="R1054" s="182"/>
      <c r="S1054" s="182"/>
      <c r="T1054" s="182"/>
      <c r="U1054" s="182"/>
      <c r="V1054" s="182"/>
      <c r="W1054" s="182"/>
      <c r="X1054" s="182"/>
      <c r="Y1054" s="182"/>
      <c r="Z1054" s="182"/>
      <c r="AA1054" s="182"/>
      <c r="AB1054" s="182"/>
      <c r="AC1054" s="182"/>
      <c r="AD1054" s="182"/>
      <c r="AE1054" s="182"/>
      <c r="AF1054" s="182"/>
      <c r="AG1054" s="182"/>
      <c r="AH1054" s="182"/>
      <c r="AI1054" s="182"/>
      <c r="AJ1054" s="182"/>
      <c r="AK1054" s="182"/>
      <c r="AL1054" s="182"/>
      <c r="AM1054" s="182"/>
      <c r="AN1054" s="182"/>
      <c r="AO1054" s="182"/>
      <c r="AP1054" s="182"/>
      <c r="AQ1054" s="185">
        <v>3000</v>
      </c>
      <c r="AR1054" s="182">
        <v>2677.85</v>
      </c>
      <c r="AS1054" s="182">
        <v>322.14999999999998</v>
      </c>
      <c r="AT1054" s="182"/>
      <c r="AU1054" s="182"/>
      <c r="AV1054" s="182"/>
      <c r="AW1054" s="182"/>
      <c r="AX1054" s="182"/>
      <c r="AY1054" s="182"/>
      <c r="AZ1054" s="182"/>
      <c r="BA1054" s="182"/>
      <c r="BB1054" s="182"/>
      <c r="BC1054" s="182"/>
      <c r="BD1054" s="182"/>
      <c r="BE1054" s="182"/>
      <c r="BF1054" s="182"/>
      <c r="BG1054" s="182"/>
      <c r="BH1054" s="182"/>
      <c r="BI1054" s="182"/>
      <c r="BJ1054" s="182"/>
      <c r="BK1054" s="182"/>
      <c r="BL1054" s="182"/>
      <c r="BM1054" s="182"/>
      <c r="BN1054" s="182"/>
      <c r="BO1054" s="182"/>
      <c r="BP1054" s="182"/>
      <c r="BQ1054" s="182"/>
      <c r="BR1054" s="182"/>
      <c r="BS1054" s="182"/>
      <c r="BT1054" s="182"/>
      <c r="BU1054" s="182"/>
      <c r="BV1054" s="182"/>
      <c r="BW1054" s="182"/>
      <c r="BX1054" s="182"/>
      <c r="BY1054" s="182"/>
      <c r="BZ1054" s="182"/>
      <c r="CA1054" s="182"/>
      <c r="CB1054" s="185">
        <v>3000</v>
      </c>
      <c r="CC1054" s="185">
        <v>0</v>
      </c>
      <c r="CD1054" s="185">
        <v>2402</v>
      </c>
      <c r="CE1054" s="185"/>
    </row>
    <row r="1055" spans="2:83" x14ac:dyDescent="0.3">
      <c r="B1055" s="182">
        <v>4820</v>
      </c>
      <c r="C1055" s="182">
        <v>2403</v>
      </c>
      <c r="D1055" s="182" t="s">
        <v>78</v>
      </c>
      <c r="E1055" s="181" t="s">
        <v>4385</v>
      </c>
      <c r="F1055" s="182"/>
      <c r="G1055" s="182">
        <v>3517.5</v>
      </c>
      <c r="H1055" s="182"/>
      <c r="I1055" s="182"/>
      <c r="J1055" s="182"/>
      <c r="K1055" s="182"/>
      <c r="L1055" s="182"/>
      <c r="M1055" s="182"/>
      <c r="N1055" s="182"/>
      <c r="O1055" s="182"/>
      <c r="P1055" s="182"/>
      <c r="Q1055" s="182"/>
      <c r="R1055" s="182"/>
      <c r="S1055" s="182"/>
      <c r="T1055" s="182"/>
      <c r="U1055" s="182"/>
      <c r="V1055" s="182"/>
      <c r="W1055" s="182"/>
      <c r="X1055" s="182"/>
      <c r="Y1055" s="182"/>
      <c r="Z1055" s="182"/>
      <c r="AA1055" s="182"/>
      <c r="AB1055" s="182"/>
      <c r="AC1055" s="182"/>
      <c r="AD1055" s="182"/>
      <c r="AE1055" s="182"/>
      <c r="AF1055" s="182"/>
      <c r="AG1055" s="182"/>
      <c r="AH1055" s="182"/>
      <c r="AI1055" s="182"/>
      <c r="AJ1055" s="182"/>
      <c r="AK1055" s="182"/>
      <c r="AL1055" s="182"/>
      <c r="AM1055" s="182"/>
      <c r="AN1055" s="182"/>
      <c r="AO1055" s="182"/>
      <c r="AP1055" s="182"/>
      <c r="AQ1055" s="185">
        <v>3517.5</v>
      </c>
      <c r="AR1055" s="182">
        <v>2350.35</v>
      </c>
      <c r="AS1055" s="182">
        <v>319.64999999999998</v>
      </c>
      <c r="AT1055" s="182">
        <v>847.5</v>
      </c>
      <c r="AU1055" s="182"/>
      <c r="AV1055" s="182"/>
      <c r="AW1055" s="182"/>
      <c r="AX1055" s="182"/>
      <c r="AY1055" s="182"/>
      <c r="AZ1055" s="182"/>
      <c r="BA1055" s="182"/>
      <c r="BB1055" s="182"/>
      <c r="BC1055" s="182"/>
      <c r="BD1055" s="182"/>
      <c r="BE1055" s="182"/>
      <c r="BF1055" s="182"/>
      <c r="BG1055" s="182"/>
      <c r="BH1055" s="182"/>
      <c r="BI1055" s="182"/>
      <c r="BJ1055" s="182"/>
      <c r="BK1055" s="182"/>
      <c r="BL1055" s="182"/>
      <c r="BM1055" s="182"/>
      <c r="BN1055" s="182"/>
      <c r="BO1055" s="182"/>
      <c r="BP1055" s="182"/>
      <c r="BQ1055" s="182"/>
      <c r="BR1055" s="182"/>
      <c r="BS1055" s="182"/>
      <c r="BT1055" s="182"/>
      <c r="BU1055" s="182"/>
      <c r="BV1055" s="182"/>
      <c r="BW1055" s="182"/>
      <c r="BX1055" s="182"/>
      <c r="BY1055" s="182"/>
      <c r="BZ1055" s="182"/>
      <c r="CA1055" s="182"/>
      <c r="CB1055" s="185">
        <v>3517.5</v>
      </c>
      <c r="CC1055" s="185">
        <v>0</v>
      </c>
      <c r="CD1055" s="185">
        <v>2403</v>
      </c>
      <c r="CE1055" s="185"/>
    </row>
    <row r="1056" spans="2:83" x14ac:dyDescent="0.3">
      <c r="B1056" s="182">
        <v>4819</v>
      </c>
      <c r="C1056" s="182">
        <v>2404</v>
      </c>
      <c r="D1056" s="182" t="s">
        <v>78</v>
      </c>
      <c r="E1056" s="181" t="s">
        <v>4385</v>
      </c>
      <c r="F1056" s="182"/>
      <c r="G1056" s="182">
        <v>500</v>
      </c>
      <c r="H1056" s="182"/>
      <c r="I1056" s="182"/>
      <c r="J1056" s="182"/>
      <c r="K1056" s="182"/>
      <c r="L1056" s="182"/>
      <c r="M1056" s="182"/>
      <c r="N1056" s="182"/>
      <c r="O1056" s="182"/>
      <c r="P1056" s="182"/>
      <c r="Q1056" s="182"/>
      <c r="R1056" s="182"/>
      <c r="S1056" s="182"/>
      <c r="T1056" s="182"/>
      <c r="U1056" s="182"/>
      <c r="V1056" s="182"/>
      <c r="W1056" s="182"/>
      <c r="X1056" s="182"/>
      <c r="Y1056" s="182"/>
      <c r="Z1056" s="182"/>
      <c r="AA1056" s="182"/>
      <c r="AB1056" s="182"/>
      <c r="AC1056" s="182"/>
      <c r="AD1056" s="182"/>
      <c r="AE1056" s="182"/>
      <c r="AF1056" s="182"/>
      <c r="AG1056" s="182"/>
      <c r="AH1056" s="182"/>
      <c r="AI1056" s="182"/>
      <c r="AJ1056" s="182"/>
      <c r="AK1056" s="182"/>
      <c r="AL1056" s="182"/>
      <c r="AM1056" s="182"/>
      <c r="AN1056" s="182"/>
      <c r="AO1056" s="182"/>
      <c r="AP1056" s="182"/>
      <c r="AQ1056" s="185">
        <v>500</v>
      </c>
      <c r="AR1056" s="182">
        <v>447.05</v>
      </c>
      <c r="AS1056" s="182">
        <v>52.95</v>
      </c>
      <c r="AT1056" s="182"/>
      <c r="AU1056" s="182"/>
      <c r="AV1056" s="182"/>
      <c r="AW1056" s="182"/>
      <c r="AX1056" s="182"/>
      <c r="AY1056" s="182"/>
      <c r="AZ1056" s="182"/>
      <c r="BA1056" s="182"/>
      <c r="BB1056" s="182"/>
      <c r="BC1056" s="182"/>
      <c r="BD1056" s="182"/>
      <c r="BE1056" s="182"/>
      <c r="BF1056" s="182"/>
      <c r="BG1056" s="182"/>
      <c r="BH1056" s="182"/>
      <c r="BI1056" s="182"/>
      <c r="BJ1056" s="182"/>
      <c r="BK1056" s="182"/>
      <c r="BL1056" s="182"/>
      <c r="BM1056" s="182"/>
      <c r="BN1056" s="182"/>
      <c r="BO1056" s="182"/>
      <c r="BP1056" s="182"/>
      <c r="BQ1056" s="182"/>
      <c r="BR1056" s="182"/>
      <c r="BS1056" s="182"/>
      <c r="BT1056" s="182"/>
      <c r="BU1056" s="182"/>
      <c r="BV1056" s="182"/>
      <c r="BW1056" s="182"/>
      <c r="BX1056" s="182"/>
      <c r="BY1056" s="182"/>
      <c r="BZ1056" s="182"/>
      <c r="CA1056" s="182"/>
      <c r="CB1056" s="185">
        <v>500</v>
      </c>
      <c r="CC1056" s="185">
        <v>0</v>
      </c>
      <c r="CD1056" s="185">
        <v>2404</v>
      </c>
      <c r="CE1056" s="185"/>
    </row>
    <row r="1057" spans="2:83" x14ac:dyDescent="0.3">
      <c r="B1057" s="182">
        <v>4817</v>
      </c>
      <c r="C1057" s="182">
        <v>2405</v>
      </c>
      <c r="D1057" s="182" t="s">
        <v>78</v>
      </c>
      <c r="E1057" s="181" t="s">
        <v>4385</v>
      </c>
      <c r="F1057" s="182"/>
      <c r="G1057" s="182">
        <v>3000</v>
      </c>
      <c r="H1057" s="182"/>
      <c r="I1057" s="182"/>
      <c r="J1057" s="182"/>
      <c r="K1057" s="182"/>
      <c r="L1057" s="182"/>
      <c r="M1057" s="182"/>
      <c r="N1057" s="182"/>
      <c r="O1057" s="182"/>
      <c r="P1057" s="182"/>
      <c r="Q1057" s="182"/>
      <c r="R1057" s="182"/>
      <c r="S1057" s="182"/>
      <c r="T1057" s="182"/>
      <c r="U1057" s="182"/>
      <c r="V1057" s="182"/>
      <c r="W1057" s="182"/>
      <c r="X1057" s="182"/>
      <c r="Y1057" s="182"/>
      <c r="Z1057" s="182"/>
      <c r="AA1057" s="182"/>
      <c r="AB1057" s="182"/>
      <c r="AC1057" s="182"/>
      <c r="AD1057" s="182"/>
      <c r="AE1057" s="182"/>
      <c r="AF1057" s="182"/>
      <c r="AG1057" s="182"/>
      <c r="AH1057" s="182"/>
      <c r="AI1057" s="182"/>
      <c r="AJ1057" s="182"/>
      <c r="AK1057" s="182"/>
      <c r="AL1057" s="182"/>
      <c r="AM1057" s="182"/>
      <c r="AN1057" s="182"/>
      <c r="AO1057" s="182"/>
      <c r="AP1057" s="182"/>
      <c r="AQ1057" s="185">
        <v>3000</v>
      </c>
      <c r="AR1057" s="182">
        <v>2677.85</v>
      </c>
      <c r="AS1057" s="182">
        <v>322.14999999999998</v>
      </c>
      <c r="AT1057" s="182"/>
      <c r="AU1057" s="182"/>
      <c r="AV1057" s="182"/>
      <c r="AW1057" s="182"/>
      <c r="AX1057" s="182"/>
      <c r="AY1057" s="182"/>
      <c r="AZ1057" s="182"/>
      <c r="BA1057" s="182"/>
      <c r="BB1057" s="182"/>
      <c r="BC1057" s="182"/>
      <c r="BD1057" s="182"/>
      <c r="BE1057" s="182"/>
      <c r="BF1057" s="182"/>
      <c r="BG1057" s="182"/>
      <c r="BH1057" s="182"/>
      <c r="BI1057" s="182"/>
      <c r="BJ1057" s="182"/>
      <c r="BK1057" s="182"/>
      <c r="BL1057" s="182"/>
      <c r="BM1057" s="182"/>
      <c r="BN1057" s="182"/>
      <c r="BO1057" s="182"/>
      <c r="BP1057" s="182"/>
      <c r="BQ1057" s="182"/>
      <c r="BR1057" s="182"/>
      <c r="BS1057" s="182"/>
      <c r="BT1057" s="182"/>
      <c r="BU1057" s="182"/>
      <c r="BV1057" s="182"/>
      <c r="BW1057" s="182"/>
      <c r="BX1057" s="182"/>
      <c r="BY1057" s="182"/>
      <c r="BZ1057" s="182"/>
      <c r="CA1057" s="182"/>
      <c r="CB1057" s="185">
        <v>3000</v>
      </c>
      <c r="CC1057" s="185">
        <v>0</v>
      </c>
      <c r="CD1057" s="185">
        <v>2405</v>
      </c>
      <c r="CE1057" s="185"/>
    </row>
    <row r="1058" spans="2:83" x14ac:dyDescent="0.3">
      <c r="B1058" s="182">
        <v>4816</v>
      </c>
      <c r="C1058" s="182">
        <v>2406</v>
      </c>
      <c r="D1058" s="182" t="s">
        <v>78</v>
      </c>
      <c r="E1058" s="181" t="s">
        <v>4385</v>
      </c>
      <c r="F1058" s="182"/>
      <c r="G1058" s="182">
        <v>19722.580000000002</v>
      </c>
      <c r="H1058" s="182"/>
      <c r="I1058" s="182"/>
      <c r="J1058" s="182"/>
      <c r="K1058" s="182"/>
      <c r="L1058" s="182"/>
      <c r="M1058" s="182"/>
      <c r="N1058" s="182"/>
      <c r="O1058" s="182"/>
      <c r="P1058" s="182"/>
      <c r="Q1058" s="182"/>
      <c r="R1058" s="182"/>
      <c r="S1058" s="182"/>
      <c r="T1058" s="182"/>
      <c r="U1058" s="182"/>
      <c r="V1058" s="182"/>
      <c r="W1058" s="182"/>
      <c r="X1058" s="182"/>
      <c r="Y1058" s="182"/>
      <c r="Z1058" s="182"/>
      <c r="AA1058" s="182"/>
      <c r="AB1058" s="182"/>
      <c r="AC1058" s="182"/>
      <c r="AD1058" s="182"/>
      <c r="AE1058" s="182"/>
      <c r="AF1058" s="182"/>
      <c r="AG1058" s="182"/>
      <c r="AH1058" s="182"/>
      <c r="AI1058" s="182"/>
      <c r="AJ1058" s="182"/>
      <c r="AK1058" s="182"/>
      <c r="AL1058" s="182"/>
      <c r="AM1058" s="182"/>
      <c r="AN1058" s="182"/>
      <c r="AO1058" s="182"/>
      <c r="AP1058" s="182"/>
      <c r="AQ1058" s="185">
        <v>19722.580000000002</v>
      </c>
      <c r="AR1058" s="182">
        <v>17089.62</v>
      </c>
      <c r="AS1058" s="182">
        <v>2077.38</v>
      </c>
      <c r="AT1058" s="182">
        <v>555.58000000000004</v>
      </c>
      <c r="AU1058" s="182"/>
      <c r="AV1058" s="182"/>
      <c r="AW1058" s="182"/>
      <c r="AX1058" s="182"/>
      <c r="AY1058" s="182"/>
      <c r="AZ1058" s="182"/>
      <c r="BA1058" s="182"/>
      <c r="BB1058" s="182"/>
      <c r="BC1058" s="182"/>
      <c r="BD1058" s="182"/>
      <c r="BE1058" s="182"/>
      <c r="BF1058" s="182"/>
      <c r="BG1058" s="182"/>
      <c r="BH1058" s="182"/>
      <c r="BI1058" s="182"/>
      <c r="BJ1058" s="182"/>
      <c r="BK1058" s="182"/>
      <c r="BL1058" s="182"/>
      <c r="BM1058" s="182"/>
      <c r="BN1058" s="182"/>
      <c r="BO1058" s="182"/>
      <c r="BP1058" s="182"/>
      <c r="BQ1058" s="182"/>
      <c r="BR1058" s="182"/>
      <c r="BS1058" s="182"/>
      <c r="BT1058" s="182"/>
      <c r="BU1058" s="182"/>
      <c r="BV1058" s="182"/>
      <c r="BW1058" s="182"/>
      <c r="BX1058" s="182"/>
      <c r="BY1058" s="182"/>
      <c r="BZ1058" s="182"/>
      <c r="CA1058" s="182"/>
      <c r="CB1058" s="185">
        <v>19722.580000000002</v>
      </c>
      <c r="CC1058" s="185">
        <v>0</v>
      </c>
      <c r="CD1058" s="185">
        <v>2406</v>
      </c>
      <c r="CE1058" s="185"/>
    </row>
    <row r="1059" spans="2:83" x14ac:dyDescent="0.3">
      <c r="B1059" s="182">
        <v>4466</v>
      </c>
      <c r="C1059" s="182">
        <v>2407</v>
      </c>
      <c r="D1059" s="182" t="s">
        <v>78</v>
      </c>
      <c r="E1059" s="181" t="s">
        <v>4386</v>
      </c>
      <c r="F1059" s="182"/>
      <c r="G1059" s="182">
        <v>39029.14</v>
      </c>
      <c r="H1059" s="182"/>
      <c r="I1059" s="182"/>
      <c r="J1059" s="182"/>
      <c r="K1059" s="182"/>
      <c r="L1059" s="182"/>
      <c r="M1059" s="182"/>
      <c r="N1059" s="182"/>
      <c r="O1059" s="182"/>
      <c r="P1059" s="182"/>
      <c r="Q1059" s="182"/>
      <c r="R1059" s="182"/>
      <c r="S1059" s="182"/>
      <c r="T1059" s="182"/>
      <c r="U1059" s="182"/>
      <c r="V1059" s="182"/>
      <c r="W1059" s="182"/>
      <c r="X1059" s="182"/>
      <c r="Y1059" s="182"/>
      <c r="Z1059" s="182"/>
      <c r="AA1059" s="182"/>
      <c r="AB1059" s="182"/>
      <c r="AC1059" s="182"/>
      <c r="AD1059" s="182"/>
      <c r="AE1059" s="182"/>
      <c r="AF1059" s="182"/>
      <c r="AG1059" s="182"/>
      <c r="AH1059" s="182"/>
      <c r="AI1059" s="182"/>
      <c r="AJ1059" s="182"/>
      <c r="AK1059" s="182"/>
      <c r="AL1059" s="182"/>
      <c r="AM1059" s="182"/>
      <c r="AN1059" s="182"/>
      <c r="AO1059" s="182"/>
      <c r="AP1059" s="182"/>
      <c r="AQ1059" s="185">
        <v>39029.14</v>
      </c>
      <c r="AR1059" s="182">
        <v>33258.879999999997</v>
      </c>
      <c r="AS1059" s="182">
        <v>4070.05</v>
      </c>
      <c r="AT1059" s="182">
        <v>1700.21</v>
      </c>
      <c r="AU1059" s="182"/>
      <c r="AV1059" s="182"/>
      <c r="AW1059" s="182"/>
      <c r="AX1059" s="182"/>
      <c r="AY1059" s="182"/>
      <c r="AZ1059" s="182"/>
      <c r="BA1059" s="182"/>
      <c r="BB1059" s="182"/>
      <c r="BC1059" s="182"/>
      <c r="BD1059" s="182"/>
      <c r="BE1059" s="182"/>
      <c r="BF1059" s="182"/>
      <c r="BG1059" s="182"/>
      <c r="BH1059" s="182"/>
      <c r="BI1059" s="182"/>
      <c r="BJ1059" s="182"/>
      <c r="BK1059" s="182"/>
      <c r="BL1059" s="182"/>
      <c r="BM1059" s="182"/>
      <c r="BN1059" s="182"/>
      <c r="BO1059" s="182"/>
      <c r="BP1059" s="182"/>
      <c r="BQ1059" s="182"/>
      <c r="BR1059" s="182"/>
      <c r="BS1059" s="182"/>
      <c r="BT1059" s="182"/>
      <c r="BU1059" s="182"/>
      <c r="BV1059" s="182"/>
      <c r="BW1059" s="182"/>
      <c r="BX1059" s="182"/>
      <c r="BY1059" s="182"/>
      <c r="BZ1059" s="182"/>
      <c r="CA1059" s="182"/>
      <c r="CB1059" s="185">
        <v>39029.14</v>
      </c>
      <c r="CC1059" s="185">
        <v>0</v>
      </c>
      <c r="CD1059" s="185">
        <v>2407</v>
      </c>
      <c r="CE1059" s="185"/>
    </row>
    <row r="1060" spans="2:83" x14ac:dyDescent="0.3">
      <c r="B1060" s="182">
        <v>4465</v>
      </c>
      <c r="C1060" s="182">
        <v>2408</v>
      </c>
      <c r="D1060" s="182" t="s">
        <v>78</v>
      </c>
      <c r="E1060" s="181" t="s">
        <v>4386</v>
      </c>
      <c r="F1060" s="182"/>
      <c r="G1060" s="182">
        <v>649.59</v>
      </c>
      <c r="H1060" s="182"/>
      <c r="I1060" s="182"/>
      <c r="J1060" s="182"/>
      <c r="K1060" s="182"/>
      <c r="L1060" s="182"/>
      <c r="M1060" s="182"/>
      <c r="N1060" s="182"/>
      <c r="O1060" s="182"/>
      <c r="P1060" s="182"/>
      <c r="Q1060" s="182"/>
      <c r="R1060" s="182"/>
      <c r="S1060" s="182"/>
      <c r="T1060" s="182"/>
      <c r="U1060" s="182"/>
      <c r="V1060" s="182"/>
      <c r="W1060" s="182"/>
      <c r="X1060" s="182"/>
      <c r="Y1060" s="182"/>
      <c r="Z1060" s="182"/>
      <c r="AA1060" s="182"/>
      <c r="AB1060" s="182"/>
      <c r="AC1060" s="182"/>
      <c r="AD1060" s="182"/>
      <c r="AE1060" s="182"/>
      <c r="AF1060" s="182"/>
      <c r="AG1060" s="182"/>
      <c r="AH1060" s="182"/>
      <c r="AI1060" s="182"/>
      <c r="AJ1060" s="182"/>
      <c r="AK1060" s="182"/>
      <c r="AL1060" s="182"/>
      <c r="AM1060" s="182"/>
      <c r="AN1060" s="182"/>
      <c r="AO1060" s="182"/>
      <c r="AP1060" s="182"/>
      <c r="AQ1060" s="185">
        <v>649.59</v>
      </c>
      <c r="AR1060" s="182">
        <v>460.98</v>
      </c>
      <c r="AS1060" s="182">
        <v>84.85</v>
      </c>
      <c r="AT1060" s="182">
        <v>103.76</v>
      </c>
      <c r="AU1060" s="182"/>
      <c r="AV1060" s="182"/>
      <c r="AW1060" s="182"/>
      <c r="AX1060" s="182"/>
      <c r="AY1060" s="182"/>
      <c r="AZ1060" s="182"/>
      <c r="BA1060" s="182"/>
      <c r="BB1060" s="182"/>
      <c r="BC1060" s="182"/>
      <c r="BD1060" s="182"/>
      <c r="BE1060" s="182"/>
      <c r="BF1060" s="182"/>
      <c r="BG1060" s="182"/>
      <c r="BH1060" s="182"/>
      <c r="BI1060" s="182"/>
      <c r="BJ1060" s="182"/>
      <c r="BK1060" s="182"/>
      <c r="BL1060" s="182"/>
      <c r="BM1060" s="182"/>
      <c r="BN1060" s="182"/>
      <c r="BO1060" s="182"/>
      <c r="BP1060" s="182"/>
      <c r="BQ1060" s="182"/>
      <c r="BR1060" s="182"/>
      <c r="BS1060" s="182"/>
      <c r="BT1060" s="182"/>
      <c r="BU1060" s="182"/>
      <c r="BV1060" s="182"/>
      <c r="BW1060" s="182"/>
      <c r="BX1060" s="182"/>
      <c r="BY1060" s="182"/>
      <c r="BZ1060" s="182"/>
      <c r="CA1060" s="182"/>
      <c r="CB1060" s="185">
        <v>649.59</v>
      </c>
      <c r="CC1060" s="185">
        <v>0</v>
      </c>
      <c r="CD1060" s="185">
        <v>2408</v>
      </c>
      <c r="CE1060" s="185"/>
    </row>
    <row r="1061" spans="2:83" x14ac:dyDescent="0.3">
      <c r="B1061" s="182">
        <v>4467</v>
      </c>
      <c r="C1061" s="182">
        <v>2409</v>
      </c>
      <c r="D1061" s="182" t="s">
        <v>78</v>
      </c>
      <c r="E1061" s="181" t="s">
        <v>4386</v>
      </c>
      <c r="F1061" s="182"/>
      <c r="G1061" s="182">
        <v>14387.26</v>
      </c>
      <c r="H1061" s="182"/>
      <c r="I1061" s="182"/>
      <c r="J1061" s="182"/>
      <c r="K1061" s="182"/>
      <c r="L1061" s="182"/>
      <c r="M1061" s="182"/>
      <c r="N1061" s="182"/>
      <c r="O1061" s="182"/>
      <c r="P1061" s="182"/>
      <c r="Q1061" s="182"/>
      <c r="R1061" s="182"/>
      <c r="S1061" s="182"/>
      <c r="T1061" s="182"/>
      <c r="U1061" s="182"/>
      <c r="V1061" s="182"/>
      <c r="W1061" s="182"/>
      <c r="X1061" s="182"/>
      <c r="Y1061" s="182"/>
      <c r="Z1061" s="182"/>
      <c r="AA1061" s="182"/>
      <c r="AB1061" s="182"/>
      <c r="AC1061" s="182"/>
      <c r="AD1061" s="182"/>
      <c r="AE1061" s="182"/>
      <c r="AF1061" s="182"/>
      <c r="AG1061" s="182"/>
      <c r="AH1061" s="182"/>
      <c r="AI1061" s="182"/>
      <c r="AJ1061" s="182"/>
      <c r="AK1061" s="182"/>
      <c r="AL1061" s="182"/>
      <c r="AM1061" s="182"/>
      <c r="AN1061" s="182"/>
      <c r="AO1061" s="182"/>
      <c r="AP1061" s="182"/>
      <c r="AQ1061" s="185">
        <v>14387.26</v>
      </c>
      <c r="AR1061" s="182">
        <v>9626.58</v>
      </c>
      <c r="AS1061" s="182">
        <v>1294.28</v>
      </c>
      <c r="AT1061" s="182">
        <v>3466.4</v>
      </c>
      <c r="AU1061" s="182"/>
      <c r="AV1061" s="182"/>
      <c r="AW1061" s="182"/>
      <c r="AX1061" s="182"/>
      <c r="AY1061" s="182"/>
      <c r="AZ1061" s="182"/>
      <c r="BA1061" s="182"/>
      <c r="BB1061" s="182"/>
      <c r="BC1061" s="182"/>
      <c r="BD1061" s="182"/>
      <c r="BE1061" s="182"/>
      <c r="BF1061" s="182"/>
      <c r="BG1061" s="182"/>
      <c r="BH1061" s="182"/>
      <c r="BI1061" s="182"/>
      <c r="BJ1061" s="182"/>
      <c r="BK1061" s="182"/>
      <c r="BL1061" s="182"/>
      <c r="BM1061" s="182"/>
      <c r="BN1061" s="182"/>
      <c r="BO1061" s="182"/>
      <c r="BP1061" s="182"/>
      <c r="BQ1061" s="182"/>
      <c r="BR1061" s="182"/>
      <c r="BS1061" s="182"/>
      <c r="BT1061" s="182"/>
      <c r="BU1061" s="182"/>
      <c r="BV1061" s="182"/>
      <c r="BW1061" s="182"/>
      <c r="BX1061" s="182"/>
      <c r="BY1061" s="182"/>
      <c r="BZ1061" s="182"/>
      <c r="CA1061" s="182"/>
      <c r="CB1061" s="185">
        <v>14387.26</v>
      </c>
      <c r="CC1061" s="185">
        <v>0</v>
      </c>
      <c r="CD1061" s="185">
        <v>2409</v>
      </c>
      <c r="CE1061" s="185"/>
    </row>
    <row r="1062" spans="2:83" x14ac:dyDescent="0.3">
      <c r="B1062" s="182">
        <v>4468</v>
      </c>
      <c r="C1062" s="182">
        <v>2410</v>
      </c>
      <c r="D1062" s="182" t="s">
        <v>78</v>
      </c>
      <c r="E1062" s="181" t="s">
        <v>3220</v>
      </c>
      <c r="F1062" s="182"/>
      <c r="G1062" s="182">
        <v>2367.77</v>
      </c>
      <c r="H1062" s="182"/>
      <c r="I1062" s="182"/>
      <c r="J1062" s="182"/>
      <c r="K1062" s="182"/>
      <c r="L1062" s="182"/>
      <c r="M1062" s="182"/>
      <c r="N1062" s="182"/>
      <c r="O1062" s="182"/>
      <c r="P1062" s="182"/>
      <c r="Q1062" s="182"/>
      <c r="R1062" s="182"/>
      <c r="S1062" s="182"/>
      <c r="T1062" s="182"/>
      <c r="U1062" s="182"/>
      <c r="V1062" s="182"/>
      <c r="W1062" s="182"/>
      <c r="X1062" s="182"/>
      <c r="Y1062" s="182"/>
      <c r="Z1062" s="182"/>
      <c r="AA1062" s="182"/>
      <c r="AB1062" s="182"/>
      <c r="AC1062" s="182"/>
      <c r="AD1062" s="182"/>
      <c r="AE1062" s="182"/>
      <c r="AF1062" s="182"/>
      <c r="AG1062" s="182"/>
      <c r="AH1062" s="182"/>
      <c r="AI1062" s="182"/>
      <c r="AJ1062" s="182"/>
      <c r="AK1062" s="182"/>
      <c r="AL1062" s="182"/>
      <c r="AM1062" s="182"/>
      <c r="AN1062" s="182"/>
      <c r="AO1062" s="182"/>
      <c r="AP1062" s="182"/>
      <c r="AQ1062" s="185">
        <v>2367.77</v>
      </c>
      <c r="AR1062" s="182">
        <v>1584.47</v>
      </c>
      <c r="AS1062" s="182">
        <v>212.79</v>
      </c>
      <c r="AT1062" s="182">
        <v>570.51</v>
      </c>
      <c r="AU1062" s="182"/>
      <c r="AV1062" s="182"/>
      <c r="AW1062" s="182"/>
      <c r="AX1062" s="182"/>
      <c r="AY1062" s="182"/>
      <c r="AZ1062" s="182"/>
      <c r="BA1062" s="182"/>
      <c r="BB1062" s="182"/>
      <c r="BC1062" s="182"/>
      <c r="BD1062" s="182"/>
      <c r="BE1062" s="182"/>
      <c r="BF1062" s="182"/>
      <c r="BG1062" s="182"/>
      <c r="BH1062" s="182"/>
      <c r="BI1062" s="182"/>
      <c r="BJ1062" s="182"/>
      <c r="BK1062" s="182"/>
      <c r="BL1062" s="182"/>
      <c r="BM1062" s="182"/>
      <c r="BN1062" s="182"/>
      <c r="BO1062" s="182"/>
      <c r="BP1062" s="182"/>
      <c r="BQ1062" s="182"/>
      <c r="BR1062" s="182"/>
      <c r="BS1062" s="182"/>
      <c r="BT1062" s="182"/>
      <c r="BU1062" s="182"/>
      <c r="BV1062" s="182"/>
      <c r="BW1062" s="182"/>
      <c r="BX1062" s="182"/>
      <c r="BY1062" s="182"/>
      <c r="BZ1062" s="182"/>
      <c r="CA1062" s="182"/>
      <c r="CB1062" s="185">
        <v>2367.77</v>
      </c>
      <c r="CC1062" s="185">
        <v>0</v>
      </c>
      <c r="CD1062" s="185">
        <v>2410</v>
      </c>
      <c r="CE1062" s="185"/>
    </row>
    <row r="1063" spans="2:83" x14ac:dyDescent="0.3">
      <c r="B1063" s="182">
        <v>4826</v>
      </c>
      <c r="C1063" s="182">
        <v>2411</v>
      </c>
      <c r="D1063" s="182" t="s">
        <v>78</v>
      </c>
      <c r="E1063" s="181" t="s">
        <v>4387</v>
      </c>
      <c r="F1063" s="182"/>
      <c r="G1063" s="182">
        <v>6873.5</v>
      </c>
      <c r="H1063" s="182"/>
      <c r="I1063" s="182"/>
      <c r="J1063" s="182"/>
      <c r="K1063" s="182"/>
      <c r="L1063" s="182"/>
      <c r="M1063" s="182"/>
      <c r="N1063" s="182"/>
      <c r="O1063" s="182"/>
      <c r="P1063" s="182"/>
      <c r="Q1063" s="182"/>
      <c r="R1063" s="182"/>
      <c r="S1063" s="182"/>
      <c r="T1063" s="182"/>
      <c r="U1063" s="182"/>
      <c r="V1063" s="182"/>
      <c r="W1063" s="182"/>
      <c r="X1063" s="182"/>
      <c r="Y1063" s="182"/>
      <c r="Z1063" s="182"/>
      <c r="AA1063" s="182"/>
      <c r="AB1063" s="182"/>
      <c r="AC1063" s="182"/>
      <c r="AD1063" s="182"/>
      <c r="AE1063" s="182"/>
      <c r="AF1063" s="182"/>
      <c r="AG1063" s="182"/>
      <c r="AH1063" s="182"/>
      <c r="AI1063" s="182"/>
      <c r="AJ1063" s="182"/>
      <c r="AK1063" s="182"/>
      <c r="AL1063" s="182"/>
      <c r="AM1063" s="182"/>
      <c r="AN1063" s="182"/>
      <c r="AO1063" s="182"/>
      <c r="AP1063" s="182"/>
      <c r="AQ1063" s="185">
        <v>6873.5</v>
      </c>
      <c r="AR1063" s="182">
        <v>4592.3500000000004</v>
      </c>
      <c r="AS1063" s="182">
        <v>625.03</v>
      </c>
      <c r="AT1063" s="182">
        <v>1656.12</v>
      </c>
      <c r="AU1063" s="182"/>
      <c r="AV1063" s="182"/>
      <c r="AW1063" s="182"/>
      <c r="AX1063" s="182"/>
      <c r="AY1063" s="182"/>
      <c r="AZ1063" s="182"/>
      <c r="BA1063" s="182"/>
      <c r="BB1063" s="182"/>
      <c r="BC1063" s="182"/>
      <c r="BD1063" s="182"/>
      <c r="BE1063" s="182"/>
      <c r="BF1063" s="182"/>
      <c r="BG1063" s="182"/>
      <c r="BH1063" s="182"/>
      <c r="BI1063" s="182"/>
      <c r="BJ1063" s="182"/>
      <c r="BK1063" s="182"/>
      <c r="BL1063" s="182"/>
      <c r="BM1063" s="182"/>
      <c r="BN1063" s="182"/>
      <c r="BO1063" s="182"/>
      <c r="BP1063" s="182"/>
      <c r="BQ1063" s="182"/>
      <c r="BR1063" s="182"/>
      <c r="BS1063" s="182"/>
      <c r="BT1063" s="182"/>
      <c r="BU1063" s="182"/>
      <c r="BV1063" s="182"/>
      <c r="BW1063" s="182"/>
      <c r="BX1063" s="182"/>
      <c r="BY1063" s="182"/>
      <c r="BZ1063" s="182"/>
      <c r="CA1063" s="182"/>
      <c r="CB1063" s="185">
        <v>6873.5</v>
      </c>
      <c r="CC1063" s="185">
        <v>0</v>
      </c>
      <c r="CD1063" s="185">
        <v>2411</v>
      </c>
      <c r="CE1063" s="185"/>
    </row>
    <row r="1064" spans="2:83" x14ac:dyDescent="0.3">
      <c r="B1064" s="182">
        <v>4470</v>
      </c>
      <c r="C1064" s="182">
        <v>2412</v>
      </c>
      <c r="D1064" s="182" t="s">
        <v>78</v>
      </c>
      <c r="E1064" s="181" t="s">
        <v>4386</v>
      </c>
      <c r="F1064" s="182"/>
      <c r="G1064" s="182">
        <v>613.98</v>
      </c>
      <c r="H1064" s="182"/>
      <c r="I1064" s="182"/>
      <c r="J1064" s="182"/>
      <c r="K1064" s="182"/>
      <c r="L1064" s="182"/>
      <c r="M1064" s="182"/>
      <c r="N1064" s="182"/>
      <c r="O1064" s="182"/>
      <c r="P1064" s="182"/>
      <c r="Q1064" s="182"/>
      <c r="R1064" s="182"/>
      <c r="S1064" s="182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/>
      <c r="AN1064" s="182"/>
      <c r="AO1064" s="182"/>
      <c r="AP1064" s="182"/>
      <c r="AQ1064" s="185">
        <v>613.98</v>
      </c>
      <c r="AR1064" s="182">
        <v>410.72</v>
      </c>
      <c r="AS1064" s="182">
        <v>55.31</v>
      </c>
      <c r="AT1064" s="182">
        <v>147.94999999999999</v>
      </c>
      <c r="AU1064" s="182"/>
      <c r="AV1064" s="182"/>
      <c r="AW1064" s="182"/>
      <c r="AX1064" s="182"/>
      <c r="AY1064" s="182"/>
      <c r="AZ1064" s="182"/>
      <c r="BA1064" s="182"/>
      <c r="BB1064" s="182"/>
      <c r="BC1064" s="182"/>
      <c r="BD1064" s="182"/>
      <c r="BE1064" s="182"/>
      <c r="BF1064" s="182"/>
      <c r="BG1064" s="182"/>
      <c r="BH1064" s="182"/>
      <c r="BI1064" s="182"/>
      <c r="BJ1064" s="182"/>
      <c r="BK1064" s="182"/>
      <c r="BL1064" s="182"/>
      <c r="BM1064" s="182"/>
      <c r="BN1064" s="182"/>
      <c r="BO1064" s="182"/>
      <c r="BP1064" s="182"/>
      <c r="BQ1064" s="182"/>
      <c r="BR1064" s="182"/>
      <c r="BS1064" s="182"/>
      <c r="BT1064" s="182"/>
      <c r="BU1064" s="182"/>
      <c r="BV1064" s="182"/>
      <c r="BW1064" s="182"/>
      <c r="BX1064" s="182"/>
      <c r="BY1064" s="182"/>
      <c r="BZ1064" s="182"/>
      <c r="CA1064" s="182"/>
      <c r="CB1064" s="185">
        <v>613.98</v>
      </c>
      <c r="CC1064" s="185">
        <v>0</v>
      </c>
      <c r="CD1064" s="185">
        <v>2412</v>
      </c>
      <c r="CE1064" s="185"/>
    </row>
    <row r="1065" spans="2:83" x14ac:dyDescent="0.3">
      <c r="B1065" s="182">
        <v>4469</v>
      </c>
      <c r="C1065" s="182">
        <v>2413</v>
      </c>
      <c r="D1065" s="182" t="s">
        <v>78</v>
      </c>
      <c r="E1065" s="181" t="s">
        <v>4386</v>
      </c>
      <c r="F1065" s="182"/>
      <c r="G1065" s="182">
        <v>523.44000000000005</v>
      </c>
      <c r="H1065" s="182"/>
      <c r="I1065" s="182"/>
      <c r="J1065" s="182"/>
      <c r="K1065" s="182"/>
      <c r="L1065" s="182"/>
      <c r="M1065" s="182"/>
      <c r="N1065" s="182"/>
      <c r="O1065" s="182"/>
      <c r="P1065" s="182"/>
      <c r="Q1065" s="182"/>
      <c r="R1065" s="182"/>
      <c r="S1065" s="182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/>
      <c r="AN1065" s="182"/>
      <c r="AO1065" s="182"/>
      <c r="AP1065" s="182"/>
      <c r="AQ1065" s="185">
        <v>523.44000000000005</v>
      </c>
      <c r="AR1065" s="182">
        <v>467.75</v>
      </c>
      <c r="AS1065" s="182">
        <v>55.69</v>
      </c>
      <c r="AT1065" s="182"/>
      <c r="AU1065" s="182"/>
      <c r="AV1065" s="182"/>
      <c r="AW1065" s="182"/>
      <c r="AX1065" s="182"/>
      <c r="AY1065" s="182"/>
      <c r="AZ1065" s="182"/>
      <c r="BA1065" s="182"/>
      <c r="BB1065" s="182"/>
      <c r="BC1065" s="182"/>
      <c r="BD1065" s="182"/>
      <c r="BE1065" s="182"/>
      <c r="BF1065" s="182"/>
      <c r="BG1065" s="182"/>
      <c r="BH1065" s="182"/>
      <c r="BI1065" s="182"/>
      <c r="BJ1065" s="182"/>
      <c r="BK1065" s="182"/>
      <c r="BL1065" s="182"/>
      <c r="BM1065" s="182"/>
      <c r="BN1065" s="182"/>
      <c r="BO1065" s="182"/>
      <c r="BP1065" s="182"/>
      <c r="BQ1065" s="182"/>
      <c r="BR1065" s="182"/>
      <c r="BS1065" s="182"/>
      <c r="BT1065" s="182"/>
      <c r="BU1065" s="182"/>
      <c r="BV1065" s="182"/>
      <c r="BW1065" s="182"/>
      <c r="BX1065" s="182"/>
      <c r="BY1065" s="182"/>
      <c r="BZ1065" s="182"/>
      <c r="CA1065" s="182"/>
      <c r="CB1065" s="185">
        <v>523.44000000000005</v>
      </c>
      <c r="CC1065" s="185">
        <v>0</v>
      </c>
      <c r="CD1065" s="185">
        <v>2413</v>
      </c>
      <c r="CE1065" s="185"/>
    </row>
    <row r="1066" spans="2:83" x14ac:dyDescent="0.3">
      <c r="B1066" s="182">
        <v>4815</v>
      </c>
      <c r="C1066" s="182">
        <v>2414</v>
      </c>
      <c r="D1066" s="182" t="s">
        <v>78</v>
      </c>
      <c r="E1066" s="181" t="s">
        <v>4388</v>
      </c>
      <c r="F1066" s="182"/>
      <c r="G1066" s="182">
        <v>21250</v>
      </c>
      <c r="H1066" s="182"/>
      <c r="I1066" s="182"/>
      <c r="J1066" s="182"/>
      <c r="K1066" s="182"/>
      <c r="L1066" s="182"/>
      <c r="M1066" s="182"/>
      <c r="N1066" s="182"/>
      <c r="O1066" s="182"/>
      <c r="P1066" s="182"/>
      <c r="Q1066" s="182"/>
      <c r="R1066" s="182"/>
      <c r="S1066" s="182"/>
      <c r="T1066" s="182"/>
      <c r="U1066" s="182"/>
      <c r="V1066" s="182"/>
      <c r="W1066" s="182"/>
      <c r="X1066" s="182"/>
      <c r="Y1066" s="182"/>
      <c r="Z1066" s="182"/>
      <c r="AA1066" s="182"/>
      <c r="AB1066" s="182"/>
      <c r="AC1066" s="182"/>
      <c r="AD1066" s="182"/>
      <c r="AE1066" s="182"/>
      <c r="AF1066" s="182"/>
      <c r="AG1066" s="182"/>
      <c r="AH1066" s="182"/>
      <c r="AI1066" s="182"/>
      <c r="AJ1066" s="182"/>
      <c r="AK1066" s="182"/>
      <c r="AL1066" s="182"/>
      <c r="AM1066" s="182"/>
      <c r="AN1066" s="182"/>
      <c r="AO1066" s="182"/>
      <c r="AP1066" s="182"/>
      <c r="AQ1066" s="185">
        <v>21250</v>
      </c>
      <c r="AR1066" s="182">
        <v>18964.900000000001</v>
      </c>
      <c r="AS1066" s="182">
        <v>2285.1</v>
      </c>
      <c r="AT1066" s="182"/>
      <c r="AU1066" s="182"/>
      <c r="AV1066" s="182"/>
      <c r="AW1066" s="182"/>
      <c r="AX1066" s="182"/>
      <c r="AY1066" s="182"/>
      <c r="AZ1066" s="182"/>
      <c r="BA1066" s="182"/>
      <c r="BB1066" s="182"/>
      <c r="BC1066" s="182"/>
      <c r="BD1066" s="182"/>
      <c r="BE1066" s="182"/>
      <c r="BF1066" s="182"/>
      <c r="BG1066" s="182"/>
      <c r="BH1066" s="182"/>
      <c r="BI1066" s="182"/>
      <c r="BJ1066" s="182"/>
      <c r="BK1066" s="182"/>
      <c r="BL1066" s="182"/>
      <c r="BM1066" s="182"/>
      <c r="BN1066" s="182"/>
      <c r="BO1066" s="182"/>
      <c r="BP1066" s="182"/>
      <c r="BQ1066" s="182"/>
      <c r="BR1066" s="182"/>
      <c r="BS1066" s="182"/>
      <c r="BT1066" s="182"/>
      <c r="BU1066" s="182"/>
      <c r="BV1066" s="182"/>
      <c r="BW1066" s="182"/>
      <c r="BX1066" s="182"/>
      <c r="BY1066" s="182"/>
      <c r="BZ1066" s="182"/>
      <c r="CA1066" s="182"/>
      <c r="CB1066" s="185">
        <v>21250</v>
      </c>
      <c r="CC1066" s="185">
        <v>0</v>
      </c>
      <c r="CD1066" s="185">
        <v>2414</v>
      </c>
      <c r="CE1066" s="185"/>
    </row>
    <row r="1067" spans="2:83" x14ac:dyDescent="0.3">
      <c r="B1067" s="182">
        <v>4366</v>
      </c>
      <c r="C1067" s="182">
        <v>2415</v>
      </c>
      <c r="D1067" s="182" t="s">
        <v>78</v>
      </c>
      <c r="E1067" s="181" t="s">
        <v>4389</v>
      </c>
      <c r="F1067" s="182"/>
      <c r="G1067" s="182">
        <v>586.25</v>
      </c>
      <c r="H1067" s="182"/>
      <c r="I1067" s="182"/>
      <c r="J1067" s="182"/>
      <c r="K1067" s="182"/>
      <c r="L1067" s="182"/>
      <c r="M1067" s="182"/>
      <c r="N1067" s="182"/>
      <c r="O1067" s="182"/>
      <c r="P1067" s="182"/>
      <c r="Q1067" s="182"/>
      <c r="R1067" s="182"/>
      <c r="S1067" s="182"/>
      <c r="T1067" s="182"/>
      <c r="U1067" s="182"/>
      <c r="V1067" s="182"/>
      <c r="W1067" s="182"/>
      <c r="X1067" s="182"/>
      <c r="Y1067" s="182"/>
      <c r="Z1067" s="182"/>
      <c r="AA1067" s="182"/>
      <c r="AB1067" s="182"/>
      <c r="AC1067" s="182"/>
      <c r="AD1067" s="182"/>
      <c r="AE1067" s="182"/>
      <c r="AF1067" s="182"/>
      <c r="AG1067" s="182"/>
      <c r="AH1067" s="182"/>
      <c r="AI1067" s="182"/>
      <c r="AJ1067" s="182"/>
      <c r="AK1067" s="182"/>
      <c r="AL1067" s="182"/>
      <c r="AM1067" s="182"/>
      <c r="AN1067" s="182"/>
      <c r="AO1067" s="182"/>
      <c r="AP1067" s="182"/>
      <c r="AQ1067" s="185">
        <v>586.25</v>
      </c>
      <c r="AR1067" s="182">
        <v>392.4</v>
      </c>
      <c r="AS1067" s="182">
        <v>52.6</v>
      </c>
      <c r="AT1067" s="182">
        <v>141.25</v>
      </c>
      <c r="AU1067" s="182"/>
      <c r="AV1067" s="182"/>
      <c r="AW1067" s="182"/>
      <c r="AX1067" s="182"/>
      <c r="AY1067" s="182"/>
      <c r="AZ1067" s="182"/>
      <c r="BA1067" s="182"/>
      <c r="BB1067" s="182"/>
      <c r="BC1067" s="182"/>
      <c r="BD1067" s="182"/>
      <c r="BE1067" s="182"/>
      <c r="BF1067" s="182"/>
      <c r="BG1067" s="182"/>
      <c r="BH1067" s="182"/>
      <c r="BI1067" s="182"/>
      <c r="BJ1067" s="182"/>
      <c r="BK1067" s="182"/>
      <c r="BL1067" s="182"/>
      <c r="BM1067" s="182"/>
      <c r="BN1067" s="182"/>
      <c r="BO1067" s="182"/>
      <c r="BP1067" s="182"/>
      <c r="BQ1067" s="182"/>
      <c r="BR1067" s="182"/>
      <c r="BS1067" s="182"/>
      <c r="BT1067" s="182"/>
      <c r="BU1067" s="182"/>
      <c r="BV1067" s="182"/>
      <c r="BW1067" s="182"/>
      <c r="BX1067" s="182"/>
      <c r="BY1067" s="182"/>
      <c r="BZ1067" s="182"/>
      <c r="CA1067" s="182"/>
      <c r="CB1067" s="185">
        <v>586.25</v>
      </c>
      <c r="CC1067" s="185">
        <v>0</v>
      </c>
      <c r="CD1067" s="185">
        <v>2415</v>
      </c>
      <c r="CE1067" s="185"/>
    </row>
    <row r="1068" spans="2:83" x14ac:dyDescent="0.3">
      <c r="B1068" s="182">
        <v>4372</v>
      </c>
      <c r="C1068" s="182">
        <v>2416</v>
      </c>
      <c r="D1068" s="182" t="s">
        <v>78</v>
      </c>
      <c r="E1068" s="181" t="s">
        <v>1909</v>
      </c>
      <c r="F1068" s="182"/>
      <c r="G1068" s="182">
        <v>938</v>
      </c>
      <c r="H1068" s="182"/>
      <c r="I1068" s="182"/>
      <c r="J1068" s="182"/>
      <c r="K1068" s="182"/>
      <c r="L1068" s="182"/>
      <c r="M1068" s="182"/>
      <c r="N1068" s="182"/>
      <c r="O1068" s="182"/>
      <c r="P1068" s="182"/>
      <c r="Q1068" s="182"/>
      <c r="R1068" s="182"/>
      <c r="S1068" s="182"/>
      <c r="T1068" s="182"/>
      <c r="U1068" s="182"/>
      <c r="V1068" s="182"/>
      <c r="W1068" s="182"/>
      <c r="X1068" s="182"/>
      <c r="Y1068" s="182"/>
      <c r="Z1068" s="182"/>
      <c r="AA1068" s="182"/>
      <c r="AB1068" s="182"/>
      <c r="AC1068" s="182"/>
      <c r="AD1068" s="182"/>
      <c r="AE1068" s="182"/>
      <c r="AF1068" s="182"/>
      <c r="AG1068" s="182"/>
      <c r="AH1068" s="182"/>
      <c r="AI1068" s="182"/>
      <c r="AJ1068" s="182"/>
      <c r="AK1068" s="182"/>
      <c r="AL1068" s="182"/>
      <c r="AM1068" s="182"/>
      <c r="AN1068" s="182"/>
      <c r="AO1068" s="182"/>
      <c r="AP1068" s="182"/>
      <c r="AQ1068" s="185">
        <v>938</v>
      </c>
      <c r="AR1068" s="182">
        <v>627.35</v>
      </c>
      <c r="AS1068" s="182">
        <v>84.65</v>
      </c>
      <c r="AT1068" s="182">
        <v>226</v>
      </c>
      <c r="AU1068" s="182"/>
      <c r="AV1068" s="182"/>
      <c r="AW1068" s="182"/>
      <c r="AX1068" s="182"/>
      <c r="AY1068" s="182"/>
      <c r="AZ1068" s="182"/>
      <c r="BA1068" s="182"/>
      <c r="BB1068" s="182"/>
      <c r="BC1068" s="182"/>
      <c r="BD1068" s="182"/>
      <c r="BE1068" s="182"/>
      <c r="BF1068" s="182"/>
      <c r="BG1068" s="182"/>
      <c r="BH1068" s="182"/>
      <c r="BI1068" s="182"/>
      <c r="BJ1068" s="182"/>
      <c r="BK1068" s="182"/>
      <c r="BL1068" s="182"/>
      <c r="BM1068" s="182"/>
      <c r="BN1068" s="182"/>
      <c r="BO1068" s="182"/>
      <c r="BP1068" s="182"/>
      <c r="BQ1068" s="182"/>
      <c r="BR1068" s="182"/>
      <c r="BS1068" s="182"/>
      <c r="BT1068" s="182"/>
      <c r="BU1068" s="182"/>
      <c r="BV1068" s="182"/>
      <c r="BW1068" s="182"/>
      <c r="BX1068" s="182"/>
      <c r="BY1068" s="182"/>
      <c r="BZ1068" s="182"/>
      <c r="CA1068" s="182"/>
      <c r="CB1068" s="185">
        <v>938</v>
      </c>
      <c r="CC1068" s="185">
        <v>0</v>
      </c>
      <c r="CD1068" s="185">
        <v>2416</v>
      </c>
      <c r="CE1068" s="185"/>
    </row>
    <row r="1069" spans="2:83" x14ac:dyDescent="0.3">
      <c r="B1069" s="182">
        <v>4370</v>
      </c>
      <c r="C1069" s="182">
        <v>2417</v>
      </c>
      <c r="D1069" s="182" t="s">
        <v>78</v>
      </c>
      <c r="E1069" s="181" t="s">
        <v>4389</v>
      </c>
      <c r="F1069" s="182"/>
      <c r="G1069" s="182">
        <v>1500</v>
      </c>
      <c r="H1069" s="182"/>
      <c r="I1069" s="182"/>
      <c r="J1069" s="182"/>
      <c r="K1069" s="182"/>
      <c r="L1069" s="182"/>
      <c r="M1069" s="182"/>
      <c r="N1069" s="182"/>
      <c r="O1069" s="182"/>
      <c r="P1069" s="182"/>
      <c r="Q1069" s="182"/>
      <c r="R1069" s="182"/>
      <c r="S1069" s="182"/>
      <c r="T1069" s="182"/>
      <c r="U1069" s="182"/>
      <c r="V1069" s="182"/>
      <c r="W1069" s="182"/>
      <c r="X1069" s="182"/>
      <c r="Y1069" s="182"/>
      <c r="Z1069" s="182"/>
      <c r="AA1069" s="182"/>
      <c r="AB1069" s="182"/>
      <c r="AC1069" s="182"/>
      <c r="AD1069" s="182"/>
      <c r="AE1069" s="182"/>
      <c r="AF1069" s="182"/>
      <c r="AG1069" s="182"/>
      <c r="AH1069" s="182"/>
      <c r="AI1069" s="182"/>
      <c r="AJ1069" s="182"/>
      <c r="AK1069" s="182"/>
      <c r="AL1069" s="182"/>
      <c r="AM1069" s="182"/>
      <c r="AN1069" s="182"/>
      <c r="AO1069" s="182"/>
      <c r="AP1069" s="182"/>
      <c r="AQ1069" s="185">
        <v>1500</v>
      </c>
      <c r="AR1069" s="182">
        <v>1341.15</v>
      </c>
      <c r="AS1069" s="182">
        <v>158.85</v>
      </c>
      <c r="AT1069" s="182"/>
      <c r="AU1069" s="182"/>
      <c r="AV1069" s="182"/>
      <c r="AW1069" s="182"/>
      <c r="AX1069" s="182"/>
      <c r="AY1069" s="182"/>
      <c r="AZ1069" s="182"/>
      <c r="BA1069" s="182"/>
      <c r="BB1069" s="182"/>
      <c r="BC1069" s="182"/>
      <c r="BD1069" s="182"/>
      <c r="BE1069" s="182"/>
      <c r="BF1069" s="182"/>
      <c r="BG1069" s="182"/>
      <c r="BH1069" s="182"/>
      <c r="BI1069" s="182"/>
      <c r="BJ1069" s="182"/>
      <c r="BK1069" s="182"/>
      <c r="BL1069" s="182"/>
      <c r="BM1069" s="182"/>
      <c r="BN1069" s="182"/>
      <c r="BO1069" s="182"/>
      <c r="BP1069" s="182"/>
      <c r="BQ1069" s="182"/>
      <c r="BR1069" s="182"/>
      <c r="BS1069" s="182"/>
      <c r="BT1069" s="182"/>
      <c r="BU1069" s="182"/>
      <c r="BV1069" s="182"/>
      <c r="BW1069" s="182"/>
      <c r="BX1069" s="182"/>
      <c r="BY1069" s="182"/>
      <c r="BZ1069" s="182"/>
      <c r="CA1069" s="182"/>
      <c r="CB1069" s="185">
        <v>1500</v>
      </c>
      <c r="CC1069" s="185">
        <v>0</v>
      </c>
      <c r="CD1069" s="185">
        <v>2417</v>
      </c>
      <c r="CE1069" s="185"/>
    </row>
    <row r="1070" spans="2:83" x14ac:dyDescent="0.3">
      <c r="B1070" s="182">
        <v>4369</v>
      </c>
      <c r="C1070" s="182">
        <v>2418</v>
      </c>
      <c r="D1070" s="182" t="s">
        <v>78</v>
      </c>
      <c r="E1070" s="181" t="s">
        <v>4389</v>
      </c>
      <c r="F1070" s="182"/>
      <c r="G1070" s="182">
        <v>2000</v>
      </c>
      <c r="H1070" s="182"/>
      <c r="I1070" s="182"/>
      <c r="J1070" s="182"/>
      <c r="K1070" s="182"/>
      <c r="L1070" s="182"/>
      <c r="M1070" s="182"/>
      <c r="N1070" s="182"/>
      <c r="O1070" s="182"/>
      <c r="P1070" s="182"/>
      <c r="Q1070" s="182"/>
      <c r="R1070" s="182"/>
      <c r="S1070" s="182"/>
      <c r="T1070" s="182"/>
      <c r="U1070" s="182"/>
      <c r="V1070" s="182"/>
      <c r="W1070" s="182"/>
      <c r="X1070" s="182"/>
      <c r="Y1070" s="182"/>
      <c r="Z1070" s="182"/>
      <c r="AA1070" s="182"/>
      <c r="AB1070" s="182"/>
      <c r="AC1070" s="182"/>
      <c r="AD1070" s="182"/>
      <c r="AE1070" s="182"/>
      <c r="AF1070" s="182"/>
      <c r="AG1070" s="182"/>
      <c r="AH1070" s="182"/>
      <c r="AI1070" s="182"/>
      <c r="AJ1070" s="182"/>
      <c r="AK1070" s="182"/>
      <c r="AL1070" s="182"/>
      <c r="AM1070" s="182"/>
      <c r="AN1070" s="182"/>
      <c r="AO1070" s="182"/>
      <c r="AP1070" s="182"/>
      <c r="AQ1070" s="185">
        <v>2000</v>
      </c>
      <c r="AR1070" s="182">
        <v>1788.2</v>
      </c>
      <c r="AS1070" s="182">
        <v>211.8</v>
      </c>
      <c r="AT1070" s="182"/>
      <c r="AU1070" s="182"/>
      <c r="AV1070" s="182"/>
      <c r="AW1070" s="182"/>
      <c r="AX1070" s="182"/>
      <c r="AY1070" s="182"/>
      <c r="AZ1070" s="182"/>
      <c r="BA1070" s="182"/>
      <c r="BB1070" s="182"/>
      <c r="BC1070" s="182"/>
      <c r="BD1070" s="182"/>
      <c r="BE1070" s="182"/>
      <c r="BF1070" s="182"/>
      <c r="BG1070" s="182"/>
      <c r="BH1070" s="182"/>
      <c r="BI1070" s="182"/>
      <c r="BJ1070" s="182"/>
      <c r="BK1070" s="182"/>
      <c r="BL1070" s="182"/>
      <c r="BM1070" s="182"/>
      <c r="BN1070" s="182"/>
      <c r="BO1070" s="182"/>
      <c r="BP1070" s="182"/>
      <c r="BQ1070" s="182"/>
      <c r="BR1070" s="182"/>
      <c r="BS1070" s="182"/>
      <c r="BT1070" s="182"/>
      <c r="BU1070" s="182"/>
      <c r="BV1070" s="182"/>
      <c r="BW1070" s="182"/>
      <c r="BX1070" s="182"/>
      <c r="BY1070" s="182"/>
      <c r="BZ1070" s="182"/>
      <c r="CA1070" s="182"/>
      <c r="CB1070" s="185">
        <v>2000</v>
      </c>
      <c r="CC1070" s="185">
        <v>0</v>
      </c>
      <c r="CD1070" s="185">
        <v>2418</v>
      </c>
      <c r="CE1070" s="185"/>
    </row>
    <row r="1071" spans="2:83" x14ac:dyDescent="0.3">
      <c r="B1071" s="182">
        <v>4368</v>
      </c>
      <c r="C1071" s="182">
        <v>2419</v>
      </c>
      <c r="D1071" s="182" t="s">
        <v>78</v>
      </c>
      <c r="E1071" s="181" t="s">
        <v>4389</v>
      </c>
      <c r="F1071" s="182"/>
      <c r="G1071" s="182">
        <v>2000</v>
      </c>
      <c r="H1071" s="182"/>
      <c r="I1071" s="182"/>
      <c r="J1071" s="182"/>
      <c r="K1071" s="182"/>
      <c r="L1071" s="182"/>
      <c r="M1071" s="182"/>
      <c r="N1071" s="182"/>
      <c r="O1071" s="182"/>
      <c r="P1071" s="182"/>
      <c r="Q1071" s="182"/>
      <c r="R1071" s="182"/>
      <c r="S1071" s="182"/>
      <c r="T1071" s="182"/>
      <c r="U1071" s="182"/>
      <c r="V1071" s="182"/>
      <c r="W1071" s="182"/>
      <c r="X1071" s="182"/>
      <c r="Y1071" s="182"/>
      <c r="Z1071" s="182"/>
      <c r="AA1071" s="182"/>
      <c r="AB1071" s="182"/>
      <c r="AC1071" s="182"/>
      <c r="AD1071" s="182"/>
      <c r="AE1071" s="182"/>
      <c r="AF1071" s="182"/>
      <c r="AG1071" s="182"/>
      <c r="AH1071" s="182"/>
      <c r="AI1071" s="182"/>
      <c r="AJ1071" s="182"/>
      <c r="AK1071" s="182"/>
      <c r="AL1071" s="182"/>
      <c r="AM1071" s="182"/>
      <c r="AN1071" s="182"/>
      <c r="AO1071" s="182"/>
      <c r="AP1071" s="182"/>
      <c r="AQ1071" s="185">
        <v>2000</v>
      </c>
      <c r="AR1071" s="182">
        <v>1788.2</v>
      </c>
      <c r="AS1071" s="182">
        <v>211.8</v>
      </c>
      <c r="AT1071" s="182"/>
      <c r="AU1071" s="182"/>
      <c r="AV1071" s="182"/>
      <c r="AW1071" s="182"/>
      <c r="AX1071" s="182"/>
      <c r="AY1071" s="182"/>
      <c r="AZ1071" s="182"/>
      <c r="BA1071" s="182"/>
      <c r="BB1071" s="182"/>
      <c r="BC1071" s="182"/>
      <c r="BD1071" s="182"/>
      <c r="BE1071" s="182"/>
      <c r="BF1071" s="182"/>
      <c r="BG1071" s="182"/>
      <c r="BH1071" s="182"/>
      <c r="BI1071" s="182"/>
      <c r="BJ1071" s="182"/>
      <c r="BK1071" s="182"/>
      <c r="BL1071" s="182"/>
      <c r="BM1071" s="182"/>
      <c r="BN1071" s="182"/>
      <c r="BO1071" s="182"/>
      <c r="BP1071" s="182"/>
      <c r="BQ1071" s="182"/>
      <c r="BR1071" s="182"/>
      <c r="BS1071" s="182"/>
      <c r="BT1071" s="182"/>
      <c r="BU1071" s="182"/>
      <c r="BV1071" s="182"/>
      <c r="BW1071" s="182"/>
      <c r="BX1071" s="182"/>
      <c r="BY1071" s="182"/>
      <c r="BZ1071" s="182"/>
      <c r="CA1071" s="182"/>
      <c r="CB1071" s="185">
        <v>2000</v>
      </c>
      <c r="CC1071" s="185">
        <v>0</v>
      </c>
      <c r="CD1071" s="185">
        <v>2419</v>
      </c>
      <c r="CE1071" s="185"/>
    </row>
    <row r="1072" spans="2:83" x14ac:dyDescent="0.3">
      <c r="B1072" s="182">
        <v>4367</v>
      </c>
      <c r="C1072" s="182">
        <v>2420</v>
      </c>
      <c r="D1072" s="182" t="s">
        <v>78</v>
      </c>
      <c r="E1072" s="181" t="s">
        <v>4389</v>
      </c>
      <c r="F1072" s="182"/>
      <c r="G1072" s="182">
        <v>586.25</v>
      </c>
      <c r="H1072" s="182"/>
      <c r="I1072" s="182"/>
      <c r="J1072" s="182"/>
      <c r="K1072" s="182"/>
      <c r="L1072" s="182"/>
      <c r="M1072" s="182"/>
      <c r="N1072" s="182"/>
      <c r="O1072" s="182"/>
      <c r="P1072" s="182"/>
      <c r="Q1072" s="182"/>
      <c r="R1072" s="182"/>
      <c r="S1072" s="182"/>
      <c r="T1072" s="182"/>
      <c r="U1072" s="182"/>
      <c r="V1072" s="182"/>
      <c r="W1072" s="182"/>
      <c r="X1072" s="182"/>
      <c r="Y1072" s="182"/>
      <c r="Z1072" s="182"/>
      <c r="AA1072" s="182"/>
      <c r="AB1072" s="182"/>
      <c r="AC1072" s="182"/>
      <c r="AD1072" s="182"/>
      <c r="AE1072" s="182"/>
      <c r="AF1072" s="182"/>
      <c r="AG1072" s="182"/>
      <c r="AH1072" s="182"/>
      <c r="AI1072" s="182"/>
      <c r="AJ1072" s="182"/>
      <c r="AK1072" s="182"/>
      <c r="AL1072" s="182"/>
      <c r="AM1072" s="182"/>
      <c r="AN1072" s="182"/>
      <c r="AO1072" s="182"/>
      <c r="AP1072" s="182"/>
      <c r="AQ1072" s="185">
        <v>586.25</v>
      </c>
      <c r="AR1072" s="182">
        <v>392.4</v>
      </c>
      <c r="AS1072" s="182">
        <v>52.6</v>
      </c>
      <c r="AT1072" s="182">
        <v>141.25</v>
      </c>
      <c r="AU1072" s="182"/>
      <c r="AV1072" s="182"/>
      <c r="AW1072" s="182"/>
      <c r="AX1072" s="182"/>
      <c r="AY1072" s="182"/>
      <c r="AZ1072" s="182"/>
      <c r="BA1072" s="182"/>
      <c r="BB1072" s="182"/>
      <c r="BC1072" s="182"/>
      <c r="BD1072" s="182"/>
      <c r="BE1072" s="182"/>
      <c r="BF1072" s="182"/>
      <c r="BG1072" s="182"/>
      <c r="BH1072" s="182"/>
      <c r="BI1072" s="182"/>
      <c r="BJ1072" s="182"/>
      <c r="BK1072" s="182"/>
      <c r="BL1072" s="182"/>
      <c r="BM1072" s="182"/>
      <c r="BN1072" s="182"/>
      <c r="BO1072" s="182"/>
      <c r="BP1072" s="182"/>
      <c r="BQ1072" s="182"/>
      <c r="BR1072" s="182"/>
      <c r="BS1072" s="182"/>
      <c r="BT1072" s="182"/>
      <c r="BU1072" s="182"/>
      <c r="BV1072" s="182"/>
      <c r="BW1072" s="182"/>
      <c r="BX1072" s="182"/>
      <c r="BY1072" s="182"/>
      <c r="BZ1072" s="182"/>
      <c r="CA1072" s="182"/>
      <c r="CB1072" s="185">
        <v>586.25</v>
      </c>
      <c r="CC1072" s="185">
        <v>0</v>
      </c>
      <c r="CD1072" s="185">
        <v>2420</v>
      </c>
      <c r="CE1072" s="185"/>
    </row>
    <row r="1073" spans="2:83" x14ac:dyDescent="0.3">
      <c r="B1073" s="182">
        <v>4803</v>
      </c>
      <c r="C1073" s="182">
        <v>2421</v>
      </c>
      <c r="D1073" s="182" t="s">
        <v>78</v>
      </c>
      <c r="E1073" s="181" t="s">
        <v>4384</v>
      </c>
      <c r="F1073" s="182"/>
      <c r="G1073" s="182">
        <v>16221.7</v>
      </c>
      <c r="H1073" s="182"/>
      <c r="I1073" s="182"/>
      <c r="J1073" s="182"/>
      <c r="K1073" s="182"/>
      <c r="L1073" s="182"/>
      <c r="M1073" s="182"/>
      <c r="N1073" s="182"/>
      <c r="O1073" s="182"/>
      <c r="P1073" s="182"/>
      <c r="Q1073" s="182"/>
      <c r="R1073" s="182"/>
      <c r="S1073" s="182"/>
      <c r="T1073" s="182"/>
      <c r="U1073" s="182"/>
      <c r="V1073" s="182"/>
      <c r="W1073" s="182"/>
      <c r="X1073" s="182"/>
      <c r="Y1073" s="182"/>
      <c r="Z1073" s="182"/>
      <c r="AA1073" s="182"/>
      <c r="AB1073" s="182"/>
      <c r="AC1073" s="182"/>
      <c r="AD1073" s="182"/>
      <c r="AE1073" s="182"/>
      <c r="AF1073" s="182"/>
      <c r="AG1073" s="182"/>
      <c r="AH1073" s="182"/>
      <c r="AI1073" s="182"/>
      <c r="AJ1073" s="182"/>
      <c r="AK1073" s="182"/>
      <c r="AL1073" s="182"/>
      <c r="AM1073" s="182"/>
      <c r="AN1073" s="182"/>
      <c r="AO1073" s="182"/>
      <c r="AP1073" s="182"/>
      <c r="AQ1073" s="185">
        <v>16221.7</v>
      </c>
      <c r="AR1073" s="182">
        <v>10960.44</v>
      </c>
      <c r="AS1073" s="182">
        <v>1502.53</v>
      </c>
      <c r="AT1073" s="182">
        <v>3758.73</v>
      </c>
      <c r="AU1073" s="182"/>
      <c r="AV1073" s="182"/>
      <c r="AW1073" s="182"/>
      <c r="AX1073" s="182"/>
      <c r="AY1073" s="182"/>
      <c r="AZ1073" s="182"/>
      <c r="BA1073" s="182"/>
      <c r="BB1073" s="182"/>
      <c r="BC1073" s="182"/>
      <c r="BD1073" s="182"/>
      <c r="BE1073" s="182"/>
      <c r="BF1073" s="182"/>
      <c r="BG1073" s="182"/>
      <c r="BH1073" s="182"/>
      <c r="BI1073" s="182"/>
      <c r="BJ1073" s="182"/>
      <c r="BK1073" s="182"/>
      <c r="BL1073" s="182"/>
      <c r="BM1073" s="182"/>
      <c r="BN1073" s="182"/>
      <c r="BO1073" s="182"/>
      <c r="BP1073" s="182"/>
      <c r="BQ1073" s="182"/>
      <c r="BR1073" s="182"/>
      <c r="BS1073" s="182"/>
      <c r="BT1073" s="182"/>
      <c r="BU1073" s="182"/>
      <c r="BV1073" s="182"/>
      <c r="BW1073" s="182"/>
      <c r="BX1073" s="182"/>
      <c r="BY1073" s="182"/>
      <c r="BZ1073" s="182"/>
      <c r="CA1073" s="182"/>
      <c r="CB1073" s="185">
        <v>16221.7</v>
      </c>
      <c r="CC1073" s="185">
        <v>0</v>
      </c>
      <c r="CD1073" s="185">
        <v>2421</v>
      </c>
      <c r="CE1073" s="185"/>
    </row>
    <row r="1074" spans="2:83" x14ac:dyDescent="0.3">
      <c r="B1074" s="182">
        <v>3873</v>
      </c>
      <c r="C1074" s="182">
        <v>2422</v>
      </c>
      <c r="D1074" s="182" t="s">
        <v>78</v>
      </c>
      <c r="E1074" s="181" t="s">
        <v>4390</v>
      </c>
      <c r="F1074" s="182"/>
      <c r="G1074" s="182">
        <v>93.8</v>
      </c>
      <c r="H1074" s="182"/>
      <c r="I1074" s="182"/>
      <c r="J1074" s="182"/>
      <c r="K1074" s="182"/>
      <c r="L1074" s="182"/>
      <c r="M1074" s="182"/>
      <c r="N1074" s="182"/>
      <c r="O1074" s="182"/>
      <c r="P1074" s="182"/>
      <c r="Q1074" s="182"/>
      <c r="R1074" s="182"/>
      <c r="S1074" s="182"/>
      <c r="T1074" s="182"/>
      <c r="U1074" s="182"/>
      <c r="V1074" s="182"/>
      <c r="W1074" s="182"/>
      <c r="X1074" s="182"/>
      <c r="Y1074" s="182"/>
      <c r="Z1074" s="182"/>
      <c r="AA1074" s="182"/>
      <c r="AB1074" s="182"/>
      <c r="AC1074" s="182"/>
      <c r="AD1074" s="182"/>
      <c r="AE1074" s="182"/>
      <c r="AF1074" s="182"/>
      <c r="AG1074" s="182"/>
      <c r="AH1074" s="182"/>
      <c r="AI1074" s="182"/>
      <c r="AJ1074" s="182"/>
      <c r="AK1074" s="182"/>
      <c r="AL1074" s="182"/>
      <c r="AM1074" s="182"/>
      <c r="AN1074" s="182"/>
      <c r="AO1074" s="182"/>
      <c r="AP1074" s="182"/>
      <c r="AQ1074" s="185">
        <v>93.8</v>
      </c>
      <c r="AR1074" s="182">
        <v>66.75</v>
      </c>
      <c r="AS1074" s="182">
        <v>4.45</v>
      </c>
      <c r="AT1074" s="182">
        <v>22.6</v>
      </c>
      <c r="AU1074" s="182"/>
      <c r="AV1074" s="182"/>
      <c r="AW1074" s="182"/>
      <c r="AX1074" s="182"/>
      <c r="AY1074" s="182"/>
      <c r="AZ1074" s="182"/>
      <c r="BA1074" s="182"/>
      <c r="BB1074" s="182"/>
      <c r="BC1074" s="182"/>
      <c r="BD1074" s="182"/>
      <c r="BE1074" s="182"/>
      <c r="BF1074" s="182"/>
      <c r="BG1074" s="182"/>
      <c r="BH1074" s="182"/>
      <c r="BI1074" s="182"/>
      <c r="BJ1074" s="182"/>
      <c r="BK1074" s="182"/>
      <c r="BL1074" s="182"/>
      <c r="BM1074" s="182"/>
      <c r="BN1074" s="182"/>
      <c r="BO1074" s="182"/>
      <c r="BP1074" s="182"/>
      <c r="BQ1074" s="182"/>
      <c r="BR1074" s="182"/>
      <c r="BS1074" s="182"/>
      <c r="BT1074" s="182"/>
      <c r="BU1074" s="182"/>
      <c r="BV1074" s="182"/>
      <c r="BW1074" s="182"/>
      <c r="BX1074" s="182"/>
      <c r="BY1074" s="182"/>
      <c r="BZ1074" s="182"/>
      <c r="CA1074" s="182"/>
      <c r="CB1074" s="185">
        <v>93.800000000000011</v>
      </c>
      <c r="CC1074" s="185">
        <v>0</v>
      </c>
      <c r="CD1074" s="185">
        <v>2422</v>
      </c>
      <c r="CE1074" s="185"/>
    </row>
    <row r="1075" spans="2:83" x14ac:dyDescent="0.3">
      <c r="B1075" s="182">
        <v>3872</v>
      </c>
      <c r="C1075" s="182">
        <v>2423</v>
      </c>
      <c r="D1075" s="182" t="s">
        <v>78</v>
      </c>
      <c r="E1075" s="181" t="s">
        <v>4390</v>
      </c>
      <c r="F1075" s="182"/>
      <c r="G1075" s="182">
        <v>1407</v>
      </c>
      <c r="H1075" s="182"/>
      <c r="I1075" s="182"/>
      <c r="J1075" s="182"/>
      <c r="K1075" s="182"/>
      <c r="L1075" s="182"/>
      <c r="M1075" s="182"/>
      <c r="N1075" s="182"/>
      <c r="O1075" s="182"/>
      <c r="P1075" s="182"/>
      <c r="Q1075" s="182"/>
      <c r="R1075" s="182"/>
      <c r="S1075" s="182"/>
      <c r="T1075" s="182"/>
      <c r="U1075" s="182"/>
      <c r="V1075" s="182"/>
      <c r="W1075" s="182"/>
      <c r="X1075" s="182"/>
      <c r="Y1075" s="182"/>
      <c r="Z1075" s="182"/>
      <c r="AA1075" s="182"/>
      <c r="AB1075" s="182"/>
      <c r="AC1075" s="182"/>
      <c r="AD1075" s="182"/>
      <c r="AE1075" s="182"/>
      <c r="AF1075" s="182"/>
      <c r="AG1075" s="182"/>
      <c r="AH1075" s="182"/>
      <c r="AI1075" s="182"/>
      <c r="AJ1075" s="182"/>
      <c r="AK1075" s="182"/>
      <c r="AL1075" s="182"/>
      <c r="AM1075" s="182"/>
      <c r="AN1075" s="182"/>
      <c r="AO1075" s="182"/>
      <c r="AP1075" s="182"/>
      <c r="AQ1075" s="185">
        <v>1407</v>
      </c>
      <c r="AR1075" s="182">
        <v>1014.6</v>
      </c>
      <c r="AS1075" s="182">
        <v>53.4</v>
      </c>
      <c r="AT1075" s="182">
        <v>339</v>
      </c>
      <c r="AU1075" s="182"/>
      <c r="AV1075" s="182"/>
      <c r="AW1075" s="182"/>
      <c r="AX1075" s="182"/>
      <c r="AY1075" s="182"/>
      <c r="AZ1075" s="182"/>
      <c r="BA1075" s="182"/>
      <c r="BB1075" s="182"/>
      <c r="BC1075" s="182"/>
      <c r="BD1075" s="182"/>
      <c r="BE1075" s="182"/>
      <c r="BF1075" s="182"/>
      <c r="BG1075" s="182"/>
      <c r="BH1075" s="182"/>
      <c r="BI1075" s="182"/>
      <c r="BJ1075" s="182"/>
      <c r="BK1075" s="182"/>
      <c r="BL1075" s="182"/>
      <c r="BM1075" s="182"/>
      <c r="BN1075" s="182"/>
      <c r="BO1075" s="182"/>
      <c r="BP1075" s="182"/>
      <c r="BQ1075" s="182"/>
      <c r="BR1075" s="182"/>
      <c r="BS1075" s="182"/>
      <c r="BT1075" s="182"/>
      <c r="BU1075" s="182"/>
      <c r="BV1075" s="182"/>
      <c r="BW1075" s="182"/>
      <c r="BX1075" s="182"/>
      <c r="BY1075" s="182"/>
      <c r="BZ1075" s="182"/>
      <c r="CA1075" s="182"/>
      <c r="CB1075" s="185">
        <v>1407</v>
      </c>
      <c r="CC1075" s="185">
        <v>0</v>
      </c>
      <c r="CD1075" s="185">
        <v>2423</v>
      </c>
      <c r="CE1075" s="185"/>
    </row>
    <row r="1076" spans="2:83" x14ac:dyDescent="0.3">
      <c r="B1076" s="182">
        <v>3871</v>
      </c>
      <c r="C1076" s="182">
        <v>2424</v>
      </c>
      <c r="D1076" s="182" t="s">
        <v>78</v>
      </c>
      <c r="E1076" s="181" t="s">
        <v>4390</v>
      </c>
      <c r="F1076" s="182"/>
      <c r="G1076" s="182">
        <v>234.5</v>
      </c>
      <c r="H1076" s="182"/>
      <c r="I1076" s="182"/>
      <c r="J1076" s="182"/>
      <c r="K1076" s="182"/>
      <c r="L1076" s="182"/>
      <c r="M1076" s="182"/>
      <c r="N1076" s="182"/>
      <c r="O1076" s="182"/>
      <c r="P1076" s="182"/>
      <c r="Q1076" s="182"/>
      <c r="R1076" s="182"/>
      <c r="S1076" s="182"/>
      <c r="T1076" s="182"/>
      <c r="U1076" s="182"/>
      <c r="V1076" s="182"/>
      <c r="W1076" s="182"/>
      <c r="X1076" s="182"/>
      <c r="Y1076" s="182"/>
      <c r="Z1076" s="182"/>
      <c r="AA1076" s="182"/>
      <c r="AB1076" s="182"/>
      <c r="AC1076" s="182"/>
      <c r="AD1076" s="182"/>
      <c r="AE1076" s="182"/>
      <c r="AF1076" s="182"/>
      <c r="AG1076" s="182"/>
      <c r="AH1076" s="182"/>
      <c r="AI1076" s="182"/>
      <c r="AJ1076" s="182"/>
      <c r="AK1076" s="182"/>
      <c r="AL1076" s="182"/>
      <c r="AM1076" s="182"/>
      <c r="AN1076" s="182"/>
      <c r="AO1076" s="182"/>
      <c r="AP1076" s="182"/>
      <c r="AQ1076" s="185">
        <v>234.5</v>
      </c>
      <c r="AR1076" s="182">
        <v>168.21</v>
      </c>
      <c r="AS1076" s="182">
        <v>9.7899999999999991</v>
      </c>
      <c r="AT1076" s="182">
        <v>56.5</v>
      </c>
      <c r="AU1076" s="182"/>
      <c r="AV1076" s="182"/>
      <c r="AW1076" s="182"/>
      <c r="AX1076" s="182"/>
      <c r="AY1076" s="182"/>
      <c r="AZ1076" s="182"/>
      <c r="BA1076" s="182"/>
      <c r="BB1076" s="182"/>
      <c r="BC1076" s="182"/>
      <c r="BD1076" s="182"/>
      <c r="BE1076" s="182"/>
      <c r="BF1076" s="182"/>
      <c r="BG1076" s="182"/>
      <c r="BH1076" s="182"/>
      <c r="BI1076" s="182"/>
      <c r="BJ1076" s="182"/>
      <c r="BK1076" s="182"/>
      <c r="BL1076" s="182"/>
      <c r="BM1076" s="182"/>
      <c r="BN1076" s="182"/>
      <c r="BO1076" s="182"/>
      <c r="BP1076" s="182"/>
      <c r="BQ1076" s="182"/>
      <c r="BR1076" s="182"/>
      <c r="BS1076" s="182"/>
      <c r="BT1076" s="182"/>
      <c r="BU1076" s="182"/>
      <c r="BV1076" s="182"/>
      <c r="BW1076" s="182"/>
      <c r="BX1076" s="182"/>
      <c r="BY1076" s="182"/>
      <c r="BZ1076" s="182"/>
      <c r="CA1076" s="182"/>
      <c r="CB1076" s="185">
        <v>234.5</v>
      </c>
      <c r="CC1076" s="185">
        <v>0</v>
      </c>
      <c r="CD1076" s="185">
        <v>2424</v>
      </c>
      <c r="CE1076" s="185"/>
    </row>
    <row r="1077" spans="2:83" x14ac:dyDescent="0.3">
      <c r="B1077" s="182">
        <v>3869</v>
      </c>
      <c r="C1077" s="182">
        <v>2425</v>
      </c>
      <c r="D1077" s="182" t="s">
        <v>78</v>
      </c>
      <c r="E1077" s="181" t="s">
        <v>4390</v>
      </c>
      <c r="F1077" s="182"/>
      <c r="G1077" s="182">
        <v>602.79999999999995</v>
      </c>
      <c r="H1077" s="182"/>
      <c r="I1077" s="182"/>
      <c r="J1077" s="182"/>
      <c r="K1077" s="182"/>
      <c r="L1077" s="182"/>
      <c r="M1077" s="182"/>
      <c r="N1077" s="182"/>
      <c r="O1077" s="182"/>
      <c r="P1077" s="182"/>
      <c r="Q1077" s="182"/>
      <c r="R1077" s="182"/>
      <c r="S1077" s="182"/>
      <c r="T1077" s="182"/>
      <c r="U1077" s="182"/>
      <c r="V1077" s="182"/>
      <c r="W1077" s="182"/>
      <c r="X1077" s="182"/>
      <c r="Y1077" s="182"/>
      <c r="Z1077" s="182"/>
      <c r="AA1077" s="182"/>
      <c r="AB1077" s="182"/>
      <c r="AC1077" s="182"/>
      <c r="AD1077" s="182"/>
      <c r="AE1077" s="182"/>
      <c r="AF1077" s="182"/>
      <c r="AG1077" s="182"/>
      <c r="AH1077" s="182"/>
      <c r="AI1077" s="182"/>
      <c r="AJ1077" s="182"/>
      <c r="AK1077" s="182"/>
      <c r="AL1077" s="182"/>
      <c r="AM1077" s="182"/>
      <c r="AN1077" s="182"/>
      <c r="AO1077" s="182"/>
      <c r="AP1077" s="182"/>
      <c r="AQ1077" s="185">
        <v>602.79999999999995</v>
      </c>
      <c r="AR1077" s="182">
        <v>416.92</v>
      </c>
      <c r="AS1077" s="182">
        <v>50.28</v>
      </c>
      <c r="AT1077" s="182">
        <v>135.6</v>
      </c>
      <c r="AU1077" s="182"/>
      <c r="AV1077" s="182"/>
      <c r="AW1077" s="182"/>
      <c r="AX1077" s="182"/>
      <c r="AY1077" s="182"/>
      <c r="AZ1077" s="182"/>
      <c r="BA1077" s="182"/>
      <c r="BB1077" s="182"/>
      <c r="BC1077" s="182"/>
      <c r="BD1077" s="182"/>
      <c r="BE1077" s="182"/>
      <c r="BF1077" s="182"/>
      <c r="BG1077" s="182"/>
      <c r="BH1077" s="182"/>
      <c r="BI1077" s="182"/>
      <c r="BJ1077" s="182"/>
      <c r="BK1077" s="182"/>
      <c r="BL1077" s="182"/>
      <c r="BM1077" s="182"/>
      <c r="BN1077" s="182"/>
      <c r="BO1077" s="182"/>
      <c r="BP1077" s="182"/>
      <c r="BQ1077" s="182"/>
      <c r="BR1077" s="182"/>
      <c r="BS1077" s="182"/>
      <c r="BT1077" s="182"/>
      <c r="BU1077" s="182"/>
      <c r="BV1077" s="182"/>
      <c r="BW1077" s="182"/>
      <c r="BX1077" s="182"/>
      <c r="BY1077" s="182"/>
      <c r="BZ1077" s="182"/>
      <c r="CA1077" s="182"/>
      <c r="CB1077" s="185">
        <v>602.80000000000007</v>
      </c>
      <c r="CC1077" s="185">
        <v>0</v>
      </c>
      <c r="CD1077" s="185">
        <v>2425</v>
      </c>
      <c r="CE1077" s="185"/>
    </row>
    <row r="1078" spans="2:83" x14ac:dyDescent="0.3">
      <c r="B1078" s="182">
        <v>3868</v>
      </c>
      <c r="C1078" s="182">
        <v>2426</v>
      </c>
      <c r="D1078" s="182" t="s">
        <v>78</v>
      </c>
      <c r="E1078" s="181" t="s">
        <v>4390</v>
      </c>
      <c r="F1078" s="182"/>
      <c r="G1078" s="182">
        <v>93.8</v>
      </c>
      <c r="H1078" s="182"/>
      <c r="I1078" s="182"/>
      <c r="J1078" s="182"/>
      <c r="K1078" s="182"/>
      <c r="L1078" s="182"/>
      <c r="M1078" s="182"/>
      <c r="N1078" s="182"/>
      <c r="O1078" s="182"/>
      <c r="P1078" s="182"/>
      <c r="Q1078" s="182"/>
      <c r="R1078" s="182"/>
      <c r="S1078" s="182"/>
      <c r="T1078" s="182"/>
      <c r="U1078" s="182"/>
      <c r="V1078" s="182"/>
      <c r="W1078" s="182"/>
      <c r="X1078" s="182"/>
      <c r="Y1078" s="182"/>
      <c r="Z1078" s="182"/>
      <c r="AA1078" s="182"/>
      <c r="AB1078" s="182"/>
      <c r="AC1078" s="182"/>
      <c r="AD1078" s="182"/>
      <c r="AE1078" s="182"/>
      <c r="AF1078" s="182"/>
      <c r="AG1078" s="182"/>
      <c r="AH1078" s="182"/>
      <c r="AI1078" s="182"/>
      <c r="AJ1078" s="182"/>
      <c r="AK1078" s="182"/>
      <c r="AL1078" s="182"/>
      <c r="AM1078" s="182"/>
      <c r="AN1078" s="182"/>
      <c r="AO1078" s="182"/>
      <c r="AP1078" s="182"/>
      <c r="AQ1078" s="185">
        <v>93.8</v>
      </c>
      <c r="AR1078" s="182">
        <v>64.08</v>
      </c>
      <c r="AS1078" s="182">
        <v>7.12</v>
      </c>
      <c r="AT1078" s="182">
        <v>22.6</v>
      </c>
      <c r="AU1078" s="182"/>
      <c r="AV1078" s="182"/>
      <c r="AW1078" s="182"/>
      <c r="AX1078" s="182"/>
      <c r="AY1078" s="182"/>
      <c r="AZ1078" s="182"/>
      <c r="BA1078" s="182"/>
      <c r="BB1078" s="182"/>
      <c r="BC1078" s="182"/>
      <c r="BD1078" s="182"/>
      <c r="BE1078" s="182"/>
      <c r="BF1078" s="182"/>
      <c r="BG1078" s="182"/>
      <c r="BH1078" s="182"/>
      <c r="BI1078" s="182"/>
      <c r="BJ1078" s="182"/>
      <c r="BK1078" s="182"/>
      <c r="BL1078" s="182"/>
      <c r="BM1078" s="182"/>
      <c r="BN1078" s="182"/>
      <c r="BO1078" s="182"/>
      <c r="BP1078" s="182"/>
      <c r="BQ1078" s="182"/>
      <c r="BR1078" s="182"/>
      <c r="BS1078" s="182"/>
      <c r="BT1078" s="182"/>
      <c r="BU1078" s="182"/>
      <c r="BV1078" s="182"/>
      <c r="BW1078" s="182"/>
      <c r="BX1078" s="182"/>
      <c r="BY1078" s="182"/>
      <c r="BZ1078" s="182"/>
      <c r="CA1078" s="182"/>
      <c r="CB1078" s="185">
        <v>93.800000000000011</v>
      </c>
      <c r="CC1078" s="185">
        <v>0</v>
      </c>
      <c r="CD1078" s="185">
        <v>2426</v>
      </c>
      <c r="CE1078" s="185"/>
    </row>
    <row r="1079" spans="2:83" x14ac:dyDescent="0.3">
      <c r="B1079" s="182">
        <v>3867</v>
      </c>
      <c r="C1079" s="182">
        <v>2427</v>
      </c>
      <c r="D1079" s="182" t="s">
        <v>78</v>
      </c>
      <c r="E1079" s="181" t="s">
        <v>4390</v>
      </c>
      <c r="F1079" s="182"/>
      <c r="G1079" s="182">
        <v>140.69999999999999</v>
      </c>
      <c r="H1079" s="182"/>
      <c r="I1079" s="182"/>
      <c r="J1079" s="182"/>
      <c r="K1079" s="182"/>
      <c r="L1079" s="182"/>
      <c r="M1079" s="182"/>
      <c r="N1079" s="182"/>
      <c r="O1079" s="182"/>
      <c r="P1079" s="182"/>
      <c r="Q1079" s="182"/>
      <c r="R1079" s="182"/>
      <c r="S1079" s="182"/>
      <c r="T1079" s="182"/>
      <c r="U1079" s="182"/>
      <c r="V1079" s="182"/>
      <c r="W1079" s="182"/>
      <c r="X1079" s="182"/>
      <c r="Y1079" s="182"/>
      <c r="Z1079" s="182"/>
      <c r="AA1079" s="182"/>
      <c r="AB1079" s="182"/>
      <c r="AC1079" s="182"/>
      <c r="AD1079" s="182"/>
      <c r="AE1079" s="182"/>
      <c r="AF1079" s="182"/>
      <c r="AG1079" s="182"/>
      <c r="AH1079" s="182"/>
      <c r="AI1079" s="182"/>
      <c r="AJ1079" s="182"/>
      <c r="AK1079" s="182"/>
      <c r="AL1079" s="182"/>
      <c r="AM1079" s="182"/>
      <c r="AN1079" s="182"/>
      <c r="AO1079" s="182"/>
      <c r="AP1079" s="182"/>
      <c r="AQ1079" s="185">
        <v>140.69999999999999</v>
      </c>
      <c r="AR1079" s="182">
        <v>96.12</v>
      </c>
      <c r="AS1079" s="182">
        <v>10.68</v>
      </c>
      <c r="AT1079" s="182">
        <v>33.9</v>
      </c>
      <c r="AU1079" s="182"/>
      <c r="AV1079" s="182"/>
      <c r="AW1079" s="182"/>
      <c r="AX1079" s="182"/>
      <c r="AY1079" s="182"/>
      <c r="AZ1079" s="182"/>
      <c r="BA1079" s="182"/>
      <c r="BB1079" s="182"/>
      <c r="BC1079" s="182"/>
      <c r="BD1079" s="182"/>
      <c r="BE1079" s="182"/>
      <c r="BF1079" s="182"/>
      <c r="BG1079" s="182"/>
      <c r="BH1079" s="182"/>
      <c r="BI1079" s="182"/>
      <c r="BJ1079" s="182"/>
      <c r="BK1079" s="182"/>
      <c r="BL1079" s="182"/>
      <c r="BM1079" s="182"/>
      <c r="BN1079" s="182"/>
      <c r="BO1079" s="182"/>
      <c r="BP1079" s="182"/>
      <c r="BQ1079" s="182"/>
      <c r="BR1079" s="182"/>
      <c r="BS1079" s="182"/>
      <c r="BT1079" s="182"/>
      <c r="BU1079" s="182"/>
      <c r="BV1079" s="182"/>
      <c r="BW1079" s="182"/>
      <c r="BX1079" s="182"/>
      <c r="BY1079" s="182"/>
      <c r="BZ1079" s="182"/>
      <c r="CA1079" s="182"/>
      <c r="CB1079" s="185">
        <v>140.70000000000002</v>
      </c>
      <c r="CC1079" s="185">
        <v>0</v>
      </c>
      <c r="CD1079" s="185">
        <v>2427</v>
      </c>
      <c r="CE1079" s="185"/>
    </row>
    <row r="1080" spans="2:83" x14ac:dyDescent="0.3">
      <c r="B1080" s="182">
        <v>3866</v>
      </c>
      <c r="C1080" s="182">
        <v>2428</v>
      </c>
      <c r="D1080" s="182" t="s">
        <v>78</v>
      </c>
      <c r="E1080" s="181" t="s">
        <v>4390</v>
      </c>
      <c r="F1080" s="182"/>
      <c r="G1080" s="182">
        <v>703.5</v>
      </c>
      <c r="H1080" s="182"/>
      <c r="I1080" s="182"/>
      <c r="J1080" s="182"/>
      <c r="K1080" s="182"/>
      <c r="L1080" s="182"/>
      <c r="M1080" s="182"/>
      <c r="N1080" s="182"/>
      <c r="O1080" s="182"/>
      <c r="P1080" s="182"/>
      <c r="Q1080" s="182"/>
      <c r="R1080" s="182"/>
      <c r="S1080" s="182"/>
      <c r="T1080" s="182"/>
      <c r="U1080" s="182"/>
      <c r="V1080" s="182"/>
      <c r="W1080" s="182"/>
      <c r="X1080" s="182"/>
      <c r="Y1080" s="182"/>
      <c r="Z1080" s="182"/>
      <c r="AA1080" s="182"/>
      <c r="AB1080" s="182"/>
      <c r="AC1080" s="182"/>
      <c r="AD1080" s="182"/>
      <c r="AE1080" s="182"/>
      <c r="AF1080" s="182"/>
      <c r="AG1080" s="182"/>
      <c r="AH1080" s="182"/>
      <c r="AI1080" s="182"/>
      <c r="AJ1080" s="182"/>
      <c r="AK1080" s="182"/>
      <c r="AL1080" s="182"/>
      <c r="AM1080" s="182"/>
      <c r="AN1080" s="182"/>
      <c r="AO1080" s="182"/>
      <c r="AP1080" s="182"/>
      <c r="AQ1080" s="185">
        <v>703.5</v>
      </c>
      <c r="AR1080" s="182">
        <v>477.54</v>
      </c>
      <c r="AS1080" s="182">
        <v>56.46</v>
      </c>
      <c r="AT1080" s="182">
        <v>169.5</v>
      </c>
      <c r="AU1080" s="182"/>
      <c r="AV1080" s="182"/>
      <c r="AW1080" s="182"/>
      <c r="AX1080" s="182"/>
      <c r="AY1080" s="182"/>
      <c r="AZ1080" s="182"/>
      <c r="BA1080" s="182"/>
      <c r="BB1080" s="182"/>
      <c r="BC1080" s="182"/>
      <c r="BD1080" s="182"/>
      <c r="BE1080" s="182"/>
      <c r="BF1080" s="182"/>
      <c r="BG1080" s="182"/>
      <c r="BH1080" s="182"/>
      <c r="BI1080" s="182"/>
      <c r="BJ1080" s="182"/>
      <c r="BK1080" s="182"/>
      <c r="BL1080" s="182"/>
      <c r="BM1080" s="182"/>
      <c r="BN1080" s="182"/>
      <c r="BO1080" s="182"/>
      <c r="BP1080" s="182"/>
      <c r="BQ1080" s="182"/>
      <c r="BR1080" s="182"/>
      <c r="BS1080" s="182"/>
      <c r="BT1080" s="182"/>
      <c r="BU1080" s="182"/>
      <c r="BV1080" s="182"/>
      <c r="BW1080" s="182"/>
      <c r="BX1080" s="182"/>
      <c r="BY1080" s="182"/>
      <c r="BZ1080" s="182"/>
      <c r="CA1080" s="182"/>
      <c r="CB1080" s="185">
        <v>703.5</v>
      </c>
      <c r="CC1080" s="185">
        <v>0</v>
      </c>
      <c r="CD1080" s="185">
        <v>2428</v>
      </c>
      <c r="CE1080" s="185"/>
    </row>
    <row r="1081" spans="2:83" x14ac:dyDescent="0.3">
      <c r="B1081" s="182">
        <v>4339</v>
      </c>
      <c r="C1081" s="182">
        <v>2429</v>
      </c>
      <c r="D1081" s="182" t="s">
        <v>78</v>
      </c>
      <c r="E1081" s="181" t="s">
        <v>4391</v>
      </c>
      <c r="F1081" s="182"/>
      <c r="G1081" s="182">
        <v>4455.51</v>
      </c>
      <c r="H1081" s="182"/>
      <c r="I1081" s="182"/>
      <c r="J1081" s="182"/>
      <c r="K1081" s="182"/>
      <c r="L1081" s="182"/>
      <c r="M1081" s="182"/>
      <c r="N1081" s="182"/>
      <c r="O1081" s="182"/>
      <c r="P1081" s="182"/>
      <c r="Q1081" s="182"/>
      <c r="R1081" s="182"/>
      <c r="S1081" s="182"/>
      <c r="T1081" s="182"/>
      <c r="U1081" s="182"/>
      <c r="V1081" s="182"/>
      <c r="W1081" s="182"/>
      <c r="X1081" s="182"/>
      <c r="Y1081" s="182"/>
      <c r="Z1081" s="182"/>
      <c r="AA1081" s="182"/>
      <c r="AB1081" s="182"/>
      <c r="AC1081" s="182"/>
      <c r="AD1081" s="182"/>
      <c r="AE1081" s="182"/>
      <c r="AF1081" s="182"/>
      <c r="AG1081" s="182"/>
      <c r="AH1081" s="182"/>
      <c r="AI1081" s="182"/>
      <c r="AJ1081" s="182"/>
      <c r="AK1081" s="182"/>
      <c r="AL1081" s="182"/>
      <c r="AM1081" s="182"/>
      <c r="AN1081" s="182"/>
      <c r="AO1081" s="182"/>
      <c r="AP1081" s="182"/>
      <c r="AQ1081" s="185">
        <v>4455.51</v>
      </c>
      <c r="AR1081" s="182">
        <v>2979.5</v>
      </c>
      <c r="AS1081" s="182">
        <v>402.5</v>
      </c>
      <c r="AT1081" s="182">
        <v>1073.51</v>
      </c>
      <c r="AU1081" s="182"/>
      <c r="AV1081" s="182"/>
      <c r="AW1081" s="182"/>
      <c r="AX1081" s="182"/>
      <c r="AY1081" s="182"/>
      <c r="AZ1081" s="182"/>
      <c r="BA1081" s="182"/>
      <c r="BB1081" s="182"/>
      <c r="BC1081" s="182"/>
      <c r="BD1081" s="182"/>
      <c r="BE1081" s="182"/>
      <c r="BF1081" s="182"/>
      <c r="BG1081" s="182"/>
      <c r="BH1081" s="182"/>
      <c r="BI1081" s="182"/>
      <c r="BJ1081" s="182"/>
      <c r="BK1081" s="182"/>
      <c r="BL1081" s="182"/>
      <c r="BM1081" s="182"/>
      <c r="BN1081" s="182"/>
      <c r="BO1081" s="182"/>
      <c r="BP1081" s="182"/>
      <c r="BQ1081" s="182"/>
      <c r="BR1081" s="182"/>
      <c r="BS1081" s="182"/>
      <c r="BT1081" s="182"/>
      <c r="BU1081" s="182"/>
      <c r="BV1081" s="182"/>
      <c r="BW1081" s="182"/>
      <c r="BX1081" s="182"/>
      <c r="BY1081" s="182"/>
      <c r="BZ1081" s="182"/>
      <c r="CA1081" s="182"/>
      <c r="CB1081" s="185">
        <v>4455.51</v>
      </c>
      <c r="CC1081" s="185">
        <v>0</v>
      </c>
      <c r="CD1081" s="185">
        <v>2429</v>
      </c>
      <c r="CE1081" s="185"/>
    </row>
    <row r="1082" spans="2:83" x14ac:dyDescent="0.3">
      <c r="B1082" s="182">
        <v>4338</v>
      </c>
      <c r="C1082" s="182">
        <v>2430</v>
      </c>
      <c r="D1082" s="182" t="s">
        <v>78</v>
      </c>
      <c r="E1082" s="181" t="s">
        <v>4391</v>
      </c>
      <c r="F1082" s="182"/>
      <c r="G1082" s="182">
        <v>586.25</v>
      </c>
      <c r="H1082" s="182"/>
      <c r="I1082" s="182"/>
      <c r="J1082" s="182"/>
      <c r="K1082" s="182"/>
      <c r="L1082" s="182"/>
      <c r="M1082" s="182"/>
      <c r="N1082" s="182"/>
      <c r="O1082" s="182"/>
      <c r="P1082" s="182"/>
      <c r="Q1082" s="182"/>
      <c r="R1082" s="182"/>
      <c r="S1082" s="182"/>
      <c r="T1082" s="182"/>
      <c r="U1082" s="182"/>
      <c r="V1082" s="182"/>
      <c r="W1082" s="182"/>
      <c r="X1082" s="182"/>
      <c r="Y1082" s="182"/>
      <c r="Z1082" s="182"/>
      <c r="AA1082" s="182"/>
      <c r="AB1082" s="182"/>
      <c r="AC1082" s="182"/>
      <c r="AD1082" s="182"/>
      <c r="AE1082" s="182"/>
      <c r="AF1082" s="182"/>
      <c r="AG1082" s="182"/>
      <c r="AH1082" s="182"/>
      <c r="AI1082" s="182"/>
      <c r="AJ1082" s="182"/>
      <c r="AK1082" s="182"/>
      <c r="AL1082" s="182"/>
      <c r="AM1082" s="182"/>
      <c r="AN1082" s="182"/>
      <c r="AO1082" s="182"/>
      <c r="AP1082" s="182"/>
      <c r="AQ1082" s="185">
        <v>586.25</v>
      </c>
      <c r="AR1082" s="182">
        <v>392.4</v>
      </c>
      <c r="AS1082" s="182">
        <v>52.6</v>
      </c>
      <c r="AT1082" s="182">
        <v>141.25</v>
      </c>
      <c r="AU1082" s="182"/>
      <c r="AV1082" s="182"/>
      <c r="AW1082" s="182"/>
      <c r="AX1082" s="182"/>
      <c r="AY1082" s="182"/>
      <c r="AZ1082" s="182"/>
      <c r="BA1082" s="182"/>
      <c r="BB1082" s="182"/>
      <c r="BC1082" s="182"/>
      <c r="BD1082" s="182"/>
      <c r="BE1082" s="182"/>
      <c r="BF1082" s="182"/>
      <c r="BG1082" s="182"/>
      <c r="BH1082" s="182"/>
      <c r="BI1082" s="182"/>
      <c r="BJ1082" s="182"/>
      <c r="BK1082" s="182"/>
      <c r="BL1082" s="182"/>
      <c r="BM1082" s="182"/>
      <c r="BN1082" s="182"/>
      <c r="BO1082" s="182"/>
      <c r="BP1082" s="182"/>
      <c r="BQ1082" s="182"/>
      <c r="BR1082" s="182"/>
      <c r="BS1082" s="182"/>
      <c r="BT1082" s="182"/>
      <c r="BU1082" s="182"/>
      <c r="BV1082" s="182"/>
      <c r="BW1082" s="182"/>
      <c r="BX1082" s="182"/>
      <c r="BY1082" s="182"/>
      <c r="BZ1082" s="182"/>
      <c r="CA1082" s="182"/>
      <c r="CB1082" s="185">
        <v>586.25</v>
      </c>
      <c r="CC1082" s="185">
        <v>0</v>
      </c>
      <c r="CD1082" s="185">
        <v>2430</v>
      </c>
      <c r="CE1082" s="185"/>
    </row>
    <row r="1083" spans="2:83" x14ac:dyDescent="0.3">
      <c r="B1083" s="182">
        <v>4337</v>
      </c>
      <c r="C1083" s="182">
        <v>2431</v>
      </c>
      <c r="D1083" s="182" t="s">
        <v>78</v>
      </c>
      <c r="E1083" s="181" t="s">
        <v>4391</v>
      </c>
      <c r="F1083" s="182"/>
      <c r="G1083" s="182">
        <v>586.25</v>
      </c>
      <c r="H1083" s="182"/>
      <c r="I1083" s="182"/>
      <c r="J1083" s="182"/>
      <c r="K1083" s="182"/>
      <c r="L1083" s="182"/>
      <c r="M1083" s="182"/>
      <c r="N1083" s="182"/>
      <c r="O1083" s="182"/>
      <c r="P1083" s="182"/>
      <c r="Q1083" s="182"/>
      <c r="R1083" s="182"/>
      <c r="S1083" s="182"/>
      <c r="T1083" s="182"/>
      <c r="U1083" s="182"/>
      <c r="V1083" s="182"/>
      <c r="W1083" s="182"/>
      <c r="X1083" s="182"/>
      <c r="Y1083" s="182"/>
      <c r="Z1083" s="182"/>
      <c r="AA1083" s="182"/>
      <c r="AB1083" s="182"/>
      <c r="AC1083" s="182"/>
      <c r="AD1083" s="182"/>
      <c r="AE1083" s="182"/>
      <c r="AF1083" s="182"/>
      <c r="AG1083" s="182"/>
      <c r="AH1083" s="182"/>
      <c r="AI1083" s="182"/>
      <c r="AJ1083" s="182"/>
      <c r="AK1083" s="182"/>
      <c r="AL1083" s="182"/>
      <c r="AM1083" s="182"/>
      <c r="AN1083" s="182"/>
      <c r="AO1083" s="182"/>
      <c r="AP1083" s="182"/>
      <c r="AQ1083" s="185">
        <v>586.25</v>
      </c>
      <c r="AR1083" s="182">
        <v>392.4</v>
      </c>
      <c r="AS1083" s="182">
        <v>52.6</v>
      </c>
      <c r="AT1083" s="182">
        <v>141.25</v>
      </c>
      <c r="AU1083" s="182"/>
      <c r="AV1083" s="182"/>
      <c r="AW1083" s="182"/>
      <c r="AX1083" s="182"/>
      <c r="AY1083" s="182"/>
      <c r="AZ1083" s="182"/>
      <c r="BA1083" s="182"/>
      <c r="BB1083" s="182"/>
      <c r="BC1083" s="182"/>
      <c r="BD1083" s="182"/>
      <c r="BE1083" s="182"/>
      <c r="BF1083" s="182"/>
      <c r="BG1083" s="182"/>
      <c r="BH1083" s="182"/>
      <c r="BI1083" s="182"/>
      <c r="BJ1083" s="182"/>
      <c r="BK1083" s="182"/>
      <c r="BL1083" s="182"/>
      <c r="BM1083" s="182"/>
      <c r="BN1083" s="182"/>
      <c r="BO1083" s="182"/>
      <c r="BP1083" s="182"/>
      <c r="BQ1083" s="182"/>
      <c r="BR1083" s="182"/>
      <c r="BS1083" s="182"/>
      <c r="BT1083" s="182"/>
      <c r="BU1083" s="182"/>
      <c r="BV1083" s="182"/>
      <c r="BW1083" s="182"/>
      <c r="BX1083" s="182"/>
      <c r="BY1083" s="182"/>
      <c r="BZ1083" s="182"/>
      <c r="CA1083" s="182"/>
      <c r="CB1083" s="185">
        <v>586.25</v>
      </c>
      <c r="CC1083" s="185">
        <v>0</v>
      </c>
      <c r="CD1083" s="185">
        <v>2431</v>
      </c>
      <c r="CE1083" s="185"/>
    </row>
    <row r="1084" spans="2:83" x14ac:dyDescent="0.3">
      <c r="B1084" s="182">
        <v>4336</v>
      </c>
      <c r="C1084" s="182">
        <v>2432</v>
      </c>
      <c r="D1084" s="182" t="s">
        <v>78</v>
      </c>
      <c r="E1084" s="181" t="s">
        <v>4391</v>
      </c>
      <c r="F1084" s="182"/>
      <c r="G1084" s="182">
        <v>1700.12</v>
      </c>
      <c r="H1084" s="182"/>
      <c r="I1084" s="182"/>
      <c r="J1084" s="182"/>
      <c r="K1084" s="182"/>
      <c r="L1084" s="182"/>
      <c r="M1084" s="182"/>
      <c r="N1084" s="182"/>
      <c r="O1084" s="182"/>
      <c r="P1084" s="182"/>
      <c r="Q1084" s="182"/>
      <c r="R1084" s="182"/>
      <c r="S1084" s="182"/>
      <c r="T1084" s="182"/>
      <c r="U1084" s="182"/>
      <c r="V1084" s="182"/>
      <c r="W1084" s="182"/>
      <c r="X1084" s="182"/>
      <c r="Y1084" s="182"/>
      <c r="Z1084" s="182"/>
      <c r="AA1084" s="182"/>
      <c r="AB1084" s="182"/>
      <c r="AC1084" s="182"/>
      <c r="AD1084" s="182"/>
      <c r="AE1084" s="182"/>
      <c r="AF1084" s="182"/>
      <c r="AG1084" s="182"/>
      <c r="AH1084" s="182"/>
      <c r="AI1084" s="182"/>
      <c r="AJ1084" s="182"/>
      <c r="AK1084" s="182"/>
      <c r="AL1084" s="182"/>
      <c r="AM1084" s="182"/>
      <c r="AN1084" s="182"/>
      <c r="AO1084" s="182"/>
      <c r="AP1084" s="182"/>
      <c r="AQ1084" s="185">
        <v>1700.12</v>
      </c>
      <c r="AR1084" s="182">
        <v>1137.8</v>
      </c>
      <c r="AS1084" s="182">
        <v>152.69999999999999</v>
      </c>
      <c r="AT1084" s="182">
        <v>409.62</v>
      </c>
      <c r="AU1084" s="182"/>
      <c r="AV1084" s="182"/>
      <c r="AW1084" s="182"/>
      <c r="AX1084" s="182"/>
      <c r="AY1084" s="182"/>
      <c r="AZ1084" s="182"/>
      <c r="BA1084" s="182"/>
      <c r="BB1084" s="182"/>
      <c r="BC1084" s="182"/>
      <c r="BD1084" s="182"/>
      <c r="BE1084" s="182"/>
      <c r="BF1084" s="182"/>
      <c r="BG1084" s="182"/>
      <c r="BH1084" s="182"/>
      <c r="BI1084" s="182"/>
      <c r="BJ1084" s="182"/>
      <c r="BK1084" s="182"/>
      <c r="BL1084" s="182"/>
      <c r="BM1084" s="182"/>
      <c r="BN1084" s="182"/>
      <c r="BO1084" s="182"/>
      <c r="BP1084" s="182"/>
      <c r="BQ1084" s="182"/>
      <c r="BR1084" s="182"/>
      <c r="BS1084" s="182"/>
      <c r="BT1084" s="182"/>
      <c r="BU1084" s="182"/>
      <c r="BV1084" s="182"/>
      <c r="BW1084" s="182"/>
      <c r="BX1084" s="182"/>
      <c r="BY1084" s="182"/>
      <c r="BZ1084" s="182"/>
      <c r="CA1084" s="182"/>
      <c r="CB1084" s="185">
        <v>1700.12</v>
      </c>
      <c r="CC1084" s="185">
        <v>0</v>
      </c>
      <c r="CD1084" s="185">
        <v>2432</v>
      </c>
      <c r="CE1084" s="185"/>
    </row>
    <row r="1085" spans="2:83" x14ac:dyDescent="0.3">
      <c r="B1085" s="182">
        <v>4335</v>
      </c>
      <c r="C1085" s="182">
        <v>2433</v>
      </c>
      <c r="D1085" s="182" t="s">
        <v>78</v>
      </c>
      <c r="E1085" s="181" t="s">
        <v>4391</v>
      </c>
      <c r="F1085" s="182"/>
      <c r="G1085" s="182">
        <v>644.88</v>
      </c>
      <c r="H1085" s="182"/>
      <c r="I1085" s="182"/>
      <c r="J1085" s="182"/>
      <c r="K1085" s="182"/>
      <c r="L1085" s="182"/>
      <c r="M1085" s="182"/>
      <c r="N1085" s="182"/>
      <c r="O1085" s="182"/>
      <c r="P1085" s="182"/>
      <c r="Q1085" s="182"/>
      <c r="R1085" s="182"/>
      <c r="S1085" s="182"/>
      <c r="T1085" s="182"/>
      <c r="U1085" s="182"/>
      <c r="V1085" s="182"/>
      <c r="W1085" s="182"/>
      <c r="X1085" s="182"/>
      <c r="Y1085" s="182"/>
      <c r="Z1085" s="182"/>
      <c r="AA1085" s="182"/>
      <c r="AB1085" s="182"/>
      <c r="AC1085" s="182"/>
      <c r="AD1085" s="182"/>
      <c r="AE1085" s="182"/>
      <c r="AF1085" s="182"/>
      <c r="AG1085" s="182"/>
      <c r="AH1085" s="182"/>
      <c r="AI1085" s="182"/>
      <c r="AJ1085" s="182"/>
      <c r="AK1085" s="182"/>
      <c r="AL1085" s="182"/>
      <c r="AM1085" s="182"/>
      <c r="AN1085" s="182"/>
      <c r="AO1085" s="182"/>
      <c r="AP1085" s="182"/>
      <c r="AQ1085" s="185">
        <v>644.88</v>
      </c>
      <c r="AR1085" s="182">
        <v>431.4</v>
      </c>
      <c r="AS1085" s="182">
        <v>58.1</v>
      </c>
      <c r="AT1085" s="182">
        <v>155.38</v>
      </c>
      <c r="AU1085" s="182"/>
      <c r="AV1085" s="182"/>
      <c r="AW1085" s="182"/>
      <c r="AX1085" s="182"/>
      <c r="AY1085" s="182"/>
      <c r="AZ1085" s="182"/>
      <c r="BA1085" s="182"/>
      <c r="BB1085" s="182"/>
      <c r="BC1085" s="182"/>
      <c r="BD1085" s="182"/>
      <c r="BE1085" s="182"/>
      <c r="BF1085" s="182"/>
      <c r="BG1085" s="182"/>
      <c r="BH1085" s="182"/>
      <c r="BI1085" s="182"/>
      <c r="BJ1085" s="182"/>
      <c r="BK1085" s="182"/>
      <c r="BL1085" s="182"/>
      <c r="BM1085" s="182"/>
      <c r="BN1085" s="182"/>
      <c r="BO1085" s="182"/>
      <c r="BP1085" s="182"/>
      <c r="BQ1085" s="182"/>
      <c r="BR1085" s="182"/>
      <c r="BS1085" s="182"/>
      <c r="BT1085" s="182"/>
      <c r="BU1085" s="182"/>
      <c r="BV1085" s="182"/>
      <c r="BW1085" s="182"/>
      <c r="BX1085" s="182"/>
      <c r="BY1085" s="182"/>
      <c r="BZ1085" s="182"/>
      <c r="CA1085" s="182"/>
      <c r="CB1085" s="185">
        <v>644.88</v>
      </c>
      <c r="CC1085" s="185">
        <v>0</v>
      </c>
      <c r="CD1085" s="185">
        <v>2433</v>
      </c>
      <c r="CE1085" s="185"/>
    </row>
    <row r="1086" spans="2:83" x14ac:dyDescent="0.3">
      <c r="B1086" s="182">
        <v>4334</v>
      </c>
      <c r="C1086" s="182">
        <v>2434</v>
      </c>
      <c r="D1086" s="182" t="s">
        <v>78</v>
      </c>
      <c r="E1086" s="181" t="s">
        <v>4391</v>
      </c>
      <c r="F1086" s="182"/>
      <c r="G1086" s="182">
        <v>586.25</v>
      </c>
      <c r="H1086" s="182"/>
      <c r="I1086" s="182"/>
      <c r="J1086" s="182"/>
      <c r="K1086" s="182"/>
      <c r="L1086" s="182"/>
      <c r="M1086" s="182"/>
      <c r="N1086" s="182"/>
      <c r="O1086" s="182"/>
      <c r="P1086" s="182"/>
      <c r="Q1086" s="182"/>
      <c r="R1086" s="182"/>
      <c r="S1086" s="182"/>
      <c r="T1086" s="182"/>
      <c r="U1086" s="182"/>
      <c r="V1086" s="182"/>
      <c r="W1086" s="182"/>
      <c r="X1086" s="182"/>
      <c r="Y1086" s="182"/>
      <c r="Z1086" s="182"/>
      <c r="AA1086" s="182"/>
      <c r="AB1086" s="182"/>
      <c r="AC1086" s="182"/>
      <c r="AD1086" s="182"/>
      <c r="AE1086" s="182"/>
      <c r="AF1086" s="182"/>
      <c r="AG1086" s="182"/>
      <c r="AH1086" s="182"/>
      <c r="AI1086" s="182"/>
      <c r="AJ1086" s="182"/>
      <c r="AK1086" s="182"/>
      <c r="AL1086" s="182"/>
      <c r="AM1086" s="182"/>
      <c r="AN1086" s="182"/>
      <c r="AO1086" s="182"/>
      <c r="AP1086" s="182"/>
      <c r="AQ1086" s="185">
        <v>586.25</v>
      </c>
      <c r="AR1086" s="182">
        <v>392.4</v>
      </c>
      <c r="AS1086" s="182">
        <v>52.6</v>
      </c>
      <c r="AT1086" s="182">
        <v>141.25</v>
      </c>
      <c r="AU1086" s="182"/>
      <c r="AV1086" s="182"/>
      <c r="AW1086" s="182"/>
      <c r="AX1086" s="182"/>
      <c r="AY1086" s="182"/>
      <c r="AZ1086" s="182"/>
      <c r="BA1086" s="182"/>
      <c r="BB1086" s="182"/>
      <c r="BC1086" s="182"/>
      <c r="BD1086" s="182"/>
      <c r="BE1086" s="182"/>
      <c r="BF1086" s="182"/>
      <c r="BG1086" s="182"/>
      <c r="BH1086" s="182"/>
      <c r="BI1086" s="182"/>
      <c r="BJ1086" s="182"/>
      <c r="BK1086" s="182"/>
      <c r="BL1086" s="182"/>
      <c r="BM1086" s="182"/>
      <c r="BN1086" s="182"/>
      <c r="BO1086" s="182"/>
      <c r="BP1086" s="182"/>
      <c r="BQ1086" s="182"/>
      <c r="BR1086" s="182"/>
      <c r="BS1086" s="182"/>
      <c r="BT1086" s="182"/>
      <c r="BU1086" s="182"/>
      <c r="BV1086" s="182"/>
      <c r="BW1086" s="182"/>
      <c r="BX1086" s="182"/>
      <c r="BY1086" s="182"/>
      <c r="BZ1086" s="182"/>
      <c r="CA1086" s="182"/>
      <c r="CB1086" s="185">
        <v>586.25</v>
      </c>
      <c r="CC1086" s="185">
        <v>0</v>
      </c>
      <c r="CD1086" s="185">
        <v>2434</v>
      </c>
      <c r="CE1086" s="185"/>
    </row>
    <row r="1087" spans="2:83" x14ac:dyDescent="0.3">
      <c r="B1087" s="182">
        <v>4333</v>
      </c>
      <c r="C1087" s="182">
        <v>2435</v>
      </c>
      <c r="D1087" s="182" t="s">
        <v>78</v>
      </c>
      <c r="E1087" s="181" t="s">
        <v>4391</v>
      </c>
      <c r="F1087" s="182"/>
      <c r="G1087" s="182">
        <v>3458.86</v>
      </c>
      <c r="H1087" s="182"/>
      <c r="I1087" s="182"/>
      <c r="J1087" s="182"/>
      <c r="K1087" s="182"/>
      <c r="L1087" s="182"/>
      <c r="M1087" s="182"/>
      <c r="N1087" s="182"/>
      <c r="O1087" s="182"/>
      <c r="P1087" s="182"/>
      <c r="Q1087" s="182"/>
      <c r="R1087" s="182"/>
      <c r="S1087" s="182"/>
      <c r="T1087" s="182"/>
      <c r="U1087" s="182"/>
      <c r="V1087" s="182"/>
      <c r="W1087" s="182"/>
      <c r="X1087" s="182"/>
      <c r="Y1087" s="182"/>
      <c r="Z1087" s="182"/>
      <c r="AA1087" s="182"/>
      <c r="AB1087" s="182"/>
      <c r="AC1087" s="182"/>
      <c r="AD1087" s="182"/>
      <c r="AE1087" s="182"/>
      <c r="AF1087" s="182"/>
      <c r="AG1087" s="182"/>
      <c r="AH1087" s="182"/>
      <c r="AI1087" s="182"/>
      <c r="AJ1087" s="182"/>
      <c r="AK1087" s="182"/>
      <c r="AL1087" s="182"/>
      <c r="AM1087" s="182"/>
      <c r="AN1087" s="182"/>
      <c r="AO1087" s="182"/>
      <c r="AP1087" s="182"/>
      <c r="AQ1087" s="185">
        <v>3458.86</v>
      </c>
      <c r="AR1087" s="182">
        <v>2314.1</v>
      </c>
      <c r="AS1087" s="182">
        <v>311.39999999999998</v>
      </c>
      <c r="AT1087" s="182">
        <v>833.36</v>
      </c>
      <c r="AU1087" s="182"/>
      <c r="AV1087" s="182"/>
      <c r="AW1087" s="182"/>
      <c r="AX1087" s="182"/>
      <c r="AY1087" s="182"/>
      <c r="AZ1087" s="182"/>
      <c r="BA1087" s="182"/>
      <c r="BB1087" s="182"/>
      <c r="BC1087" s="182"/>
      <c r="BD1087" s="182"/>
      <c r="BE1087" s="182"/>
      <c r="BF1087" s="182"/>
      <c r="BG1087" s="182"/>
      <c r="BH1087" s="182"/>
      <c r="BI1087" s="182"/>
      <c r="BJ1087" s="182"/>
      <c r="BK1087" s="182"/>
      <c r="BL1087" s="182"/>
      <c r="BM1087" s="182"/>
      <c r="BN1087" s="182"/>
      <c r="BO1087" s="182"/>
      <c r="BP1087" s="182"/>
      <c r="BQ1087" s="182"/>
      <c r="BR1087" s="182"/>
      <c r="BS1087" s="182"/>
      <c r="BT1087" s="182"/>
      <c r="BU1087" s="182"/>
      <c r="BV1087" s="182"/>
      <c r="BW1087" s="182"/>
      <c r="BX1087" s="182"/>
      <c r="BY1087" s="182"/>
      <c r="BZ1087" s="182"/>
      <c r="CA1087" s="182"/>
      <c r="CB1087" s="185">
        <v>3458.86</v>
      </c>
      <c r="CC1087" s="185">
        <v>0</v>
      </c>
      <c r="CD1087" s="185">
        <v>2435</v>
      </c>
      <c r="CE1087" s="185"/>
    </row>
    <row r="1088" spans="2:83" x14ac:dyDescent="0.3">
      <c r="B1088" s="182">
        <v>4332</v>
      </c>
      <c r="C1088" s="182">
        <v>2436</v>
      </c>
      <c r="D1088" s="182" t="s">
        <v>78</v>
      </c>
      <c r="E1088" s="181" t="s">
        <v>4391</v>
      </c>
      <c r="F1088" s="182"/>
      <c r="G1088" s="182">
        <v>1700.12</v>
      </c>
      <c r="H1088" s="182"/>
      <c r="I1088" s="182"/>
      <c r="J1088" s="182"/>
      <c r="K1088" s="182"/>
      <c r="L1088" s="182"/>
      <c r="M1088" s="182"/>
      <c r="N1088" s="182"/>
      <c r="O1088" s="182"/>
      <c r="P1088" s="182"/>
      <c r="Q1088" s="182"/>
      <c r="R1088" s="182"/>
      <c r="S1088" s="182"/>
      <c r="T1088" s="182"/>
      <c r="U1088" s="182"/>
      <c r="V1088" s="182"/>
      <c r="W1088" s="182"/>
      <c r="X1088" s="182"/>
      <c r="Y1088" s="182"/>
      <c r="Z1088" s="182"/>
      <c r="AA1088" s="182"/>
      <c r="AB1088" s="182"/>
      <c r="AC1088" s="182"/>
      <c r="AD1088" s="182"/>
      <c r="AE1088" s="182"/>
      <c r="AF1088" s="182"/>
      <c r="AG1088" s="182"/>
      <c r="AH1088" s="182"/>
      <c r="AI1088" s="182"/>
      <c r="AJ1088" s="182"/>
      <c r="AK1088" s="182"/>
      <c r="AL1088" s="182"/>
      <c r="AM1088" s="182"/>
      <c r="AN1088" s="182"/>
      <c r="AO1088" s="182"/>
      <c r="AP1088" s="182"/>
      <c r="AQ1088" s="185">
        <v>1700.12</v>
      </c>
      <c r="AR1088" s="182">
        <v>1138</v>
      </c>
      <c r="AS1088" s="182">
        <v>152.5</v>
      </c>
      <c r="AT1088" s="182">
        <v>409.62</v>
      </c>
      <c r="AU1088" s="182"/>
      <c r="AV1088" s="182"/>
      <c r="AW1088" s="182"/>
      <c r="AX1088" s="182"/>
      <c r="AY1088" s="182"/>
      <c r="AZ1088" s="182"/>
      <c r="BA1088" s="182"/>
      <c r="BB1088" s="182"/>
      <c r="BC1088" s="182"/>
      <c r="BD1088" s="182"/>
      <c r="BE1088" s="182"/>
      <c r="BF1088" s="182"/>
      <c r="BG1088" s="182"/>
      <c r="BH1088" s="182"/>
      <c r="BI1088" s="182"/>
      <c r="BJ1088" s="182"/>
      <c r="BK1088" s="182"/>
      <c r="BL1088" s="182"/>
      <c r="BM1088" s="182"/>
      <c r="BN1088" s="182"/>
      <c r="BO1088" s="182"/>
      <c r="BP1088" s="182"/>
      <c r="BQ1088" s="182"/>
      <c r="BR1088" s="182"/>
      <c r="BS1088" s="182"/>
      <c r="BT1088" s="182"/>
      <c r="BU1088" s="182"/>
      <c r="BV1088" s="182"/>
      <c r="BW1088" s="182"/>
      <c r="BX1088" s="182"/>
      <c r="BY1088" s="182"/>
      <c r="BZ1088" s="182"/>
      <c r="CA1088" s="182"/>
      <c r="CB1088" s="185">
        <v>1700.12</v>
      </c>
      <c r="CC1088" s="185">
        <v>0</v>
      </c>
      <c r="CD1088" s="185">
        <v>2436</v>
      </c>
      <c r="CE1088" s="185"/>
    </row>
    <row r="1089" spans="2:83" x14ac:dyDescent="0.3">
      <c r="B1089" s="182">
        <v>4331</v>
      </c>
      <c r="C1089" s="182">
        <v>2437</v>
      </c>
      <c r="D1089" s="182" t="s">
        <v>78</v>
      </c>
      <c r="E1089" s="181" t="s">
        <v>4392</v>
      </c>
      <c r="F1089" s="182"/>
      <c r="G1089" s="182">
        <v>2286.36</v>
      </c>
      <c r="H1089" s="182"/>
      <c r="I1089" s="182"/>
      <c r="J1089" s="182"/>
      <c r="K1089" s="182"/>
      <c r="L1089" s="182"/>
      <c r="M1089" s="182"/>
      <c r="N1089" s="182"/>
      <c r="O1089" s="182"/>
      <c r="P1089" s="182"/>
      <c r="Q1089" s="182"/>
      <c r="R1089" s="182"/>
      <c r="S1089" s="182"/>
      <c r="T1089" s="182"/>
      <c r="U1089" s="182"/>
      <c r="V1089" s="182"/>
      <c r="W1089" s="182"/>
      <c r="X1089" s="182"/>
      <c r="Y1089" s="182"/>
      <c r="Z1089" s="182"/>
      <c r="AA1089" s="182"/>
      <c r="AB1089" s="182"/>
      <c r="AC1089" s="182"/>
      <c r="AD1089" s="182"/>
      <c r="AE1089" s="182"/>
      <c r="AF1089" s="182"/>
      <c r="AG1089" s="182"/>
      <c r="AH1089" s="182"/>
      <c r="AI1089" s="182"/>
      <c r="AJ1089" s="182"/>
      <c r="AK1089" s="182"/>
      <c r="AL1089" s="182"/>
      <c r="AM1089" s="182"/>
      <c r="AN1089" s="182"/>
      <c r="AO1089" s="182"/>
      <c r="AP1089" s="182"/>
      <c r="AQ1089" s="185">
        <v>2286.36</v>
      </c>
      <c r="AR1089" s="182">
        <v>1529.4</v>
      </c>
      <c r="AS1089" s="182">
        <v>206.1</v>
      </c>
      <c r="AT1089" s="182">
        <v>550.86</v>
      </c>
      <c r="AU1089" s="182"/>
      <c r="AV1089" s="182"/>
      <c r="AW1089" s="182"/>
      <c r="AX1089" s="182"/>
      <c r="AY1089" s="182"/>
      <c r="AZ1089" s="182"/>
      <c r="BA1089" s="182"/>
      <c r="BB1089" s="182"/>
      <c r="BC1089" s="182"/>
      <c r="BD1089" s="182"/>
      <c r="BE1089" s="182"/>
      <c r="BF1089" s="182"/>
      <c r="BG1089" s="182"/>
      <c r="BH1089" s="182"/>
      <c r="BI1089" s="182"/>
      <c r="BJ1089" s="182"/>
      <c r="BK1089" s="182"/>
      <c r="BL1089" s="182"/>
      <c r="BM1089" s="182"/>
      <c r="BN1089" s="182"/>
      <c r="BO1089" s="182"/>
      <c r="BP1089" s="182"/>
      <c r="BQ1089" s="182"/>
      <c r="BR1089" s="182"/>
      <c r="BS1089" s="182"/>
      <c r="BT1089" s="182"/>
      <c r="BU1089" s="182"/>
      <c r="BV1089" s="182"/>
      <c r="BW1089" s="182"/>
      <c r="BX1089" s="182"/>
      <c r="BY1089" s="182"/>
      <c r="BZ1089" s="182"/>
      <c r="CA1089" s="182"/>
      <c r="CB1089" s="185">
        <v>2286.36</v>
      </c>
      <c r="CC1089" s="185">
        <v>0</v>
      </c>
      <c r="CD1089" s="185">
        <v>2437</v>
      </c>
      <c r="CE1089" s="185"/>
    </row>
    <row r="1090" spans="2:83" x14ac:dyDescent="0.3">
      <c r="B1090" s="182">
        <v>4444</v>
      </c>
      <c r="C1090" s="182">
        <v>2438</v>
      </c>
      <c r="D1090" s="182" t="s">
        <v>78</v>
      </c>
      <c r="E1090" s="181" t="s">
        <v>1013</v>
      </c>
      <c r="F1090" s="182"/>
      <c r="G1090" s="182">
        <v>4741.79</v>
      </c>
      <c r="H1090" s="182"/>
      <c r="I1090" s="182"/>
      <c r="J1090" s="182"/>
      <c r="K1090" s="182"/>
      <c r="L1090" s="182"/>
      <c r="M1090" s="182"/>
      <c r="N1090" s="182"/>
      <c r="O1090" s="182"/>
      <c r="P1090" s="182"/>
      <c r="Q1090" s="182"/>
      <c r="R1090" s="182"/>
      <c r="S1090" s="182"/>
      <c r="T1090" s="182"/>
      <c r="U1090" s="182"/>
      <c r="V1090" s="182"/>
      <c r="W1090" s="182"/>
      <c r="X1090" s="182"/>
      <c r="Y1090" s="182"/>
      <c r="Z1090" s="182"/>
      <c r="AA1090" s="182"/>
      <c r="AB1090" s="182"/>
      <c r="AC1090" s="182"/>
      <c r="AD1090" s="182"/>
      <c r="AE1090" s="182"/>
      <c r="AF1090" s="182"/>
      <c r="AG1090" s="182"/>
      <c r="AH1090" s="182"/>
      <c r="AI1090" s="182"/>
      <c r="AJ1090" s="182"/>
      <c r="AK1090" s="182"/>
      <c r="AL1090" s="182"/>
      <c r="AM1090" s="182"/>
      <c r="AN1090" s="182"/>
      <c r="AO1090" s="182"/>
      <c r="AP1090" s="182"/>
      <c r="AQ1090" s="185">
        <v>4741.79</v>
      </c>
      <c r="AR1090" s="182">
        <v>3496.65</v>
      </c>
      <c r="AS1090" s="182">
        <v>454.82</v>
      </c>
      <c r="AT1090" s="182">
        <v>790.32</v>
      </c>
      <c r="AU1090" s="182"/>
      <c r="AV1090" s="182"/>
      <c r="AW1090" s="182"/>
      <c r="AX1090" s="182"/>
      <c r="AY1090" s="182"/>
      <c r="AZ1090" s="182"/>
      <c r="BA1090" s="182"/>
      <c r="BB1090" s="182"/>
      <c r="BC1090" s="182"/>
      <c r="BD1090" s="182"/>
      <c r="BE1090" s="182"/>
      <c r="BF1090" s="182"/>
      <c r="BG1090" s="182"/>
      <c r="BH1090" s="182"/>
      <c r="BI1090" s="182"/>
      <c r="BJ1090" s="182"/>
      <c r="BK1090" s="182"/>
      <c r="BL1090" s="182"/>
      <c r="BM1090" s="182"/>
      <c r="BN1090" s="182"/>
      <c r="BO1090" s="182"/>
      <c r="BP1090" s="182"/>
      <c r="BQ1090" s="182"/>
      <c r="BR1090" s="182"/>
      <c r="BS1090" s="182"/>
      <c r="BT1090" s="182"/>
      <c r="BU1090" s="182"/>
      <c r="BV1090" s="182"/>
      <c r="BW1090" s="182"/>
      <c r="BX1090" s="182"/>
      <c r="BY1090" s="182"/>
      <c r="BZ1090" s="182"/>
      <c r="CA1090" s="182"/>
      <c r="CB1090" s="185">
        <v>4741.79</v>
      </c>
      <c r="CC1090" s="185">
        <v>0</v>
      </c>
      <c r="CD1090" s="185">
        <v>2438</v>
      </c>
      <c r="CE1090" s="185"/>
    </row>
    <row r="1091" spans="2:83" x14ac:dyDescent="0.3">
      <c r="B1091" s="182">
        <v>4450</v>
      </c>
      <c r="C1091" s="182">
        <v>2439</v>
      </c>
      <c r="D1091" s="182" t="s">
        <v>78</v>
      </c>
      <c r="E1091" s="181" t="s">
        <v>4393</v>
      </c>
      <c r="F1091" s="182"/>
      <c r="G1091" s="182">
        <v>2600</v>
      </c>
      <c r="H1091" s="182"/>
      <c r="I1091" s="182"/>
      <c r="J1091" s="182"/>
      <c r="K1091" s="182"/>
      <c r="L1091" s="182"/>
      <c r="M1091" s="182"/>
      <c r="N1091" s="182"/>
      <c r="O1091" s="182"/>
      <c r="P1091" s="182"/>
      <c r="Q1091" s="182"/>
      <c r="R1091" s="182"/>
      <c r="S1091" s="182"/>
      <c r="T1091" s="182"/>
      <c r="U1091" s="182"/>
      <c r="V1091" s="182"/>
      <c r="W1091" s="182"/>
      <c r="X1091" s="182"/>
      <c r="Y1091" s="182"/>
      <c r="Z1091" s="182"/>
      <c r="AA1091" s="182"/>
      <c r="AB1091" s="182"/>
      <c r="AC1091" s="182"/>
      <c r="AD1091" s="182"/>
      <c r="AE1091" s="182"/>
      <c r="AF1091" s="182"/>
      <c r="AG1091" s="182"/>
      <c r="AH1091" s="182"/>
      <c r="AI1091" s="182"/>
      <c r="AJ1091" s="182"/>
      <c r="AK1091" s="182"/>
      <c r="AL1091" s="182"/>
      <c r="AM1091" s="182"/>
      <c r="AN1091" s="182"/>
      <c r="AO1091" s="182"/>
      <c r="AP1091" s="182"/>
      <c r="AQ1091" s="185">
        <v>2600</v>
      </c>
      <c r="AR1091" s="182">
        <v>2320.85</v>
      </c>
      <c r="AS1091" s="182">
        <v>279.14999999999998</v>
      </c>
      <c r="AT1091" s="182"/>
      <c r="AU1091" s="182"/>
      <c r="AV1091" s="182"/>
      <c r="AW1091" s="182"/>
      <c r="AX1091" s="182"/>
      <c r="AY1091" s="182"/>
      <c r="AZ1091" s="182"/>
      <c r="BA1091" s="182"/>
      <c r="BB1091" s="182"/>
      <c r="BC1091" s="182"/>
      <c r="BD1091" s="182"/>
      <c r="BE1091" s="182"/>
      <c r="BF1091" s="182"/>
      <c r="BG1091" s="182"/>
      <c r="BH1091" s="182"/>
      <c r="BI1091" s="182"/>
      <c r="BJ1091" s="182"/>
      <c r="BK1091" s="182"/>
      <c r="BL1091" s="182"/>
      <c r="BM1091" s="182"/>
      <c r="BN1091" s="182"/>
      <c r="BO1091" s="182"/>
      <c r="BP1091" s="182"/>
      <c r="BQ1091" s="182"/>
      <c r="BR1091" s="182"/>
      <c r="BS1091" s="182"/>
      <c r="BT1091" s="182"/>
      <c r="BU1091" s="182"/>
      <c r="BV1091" s="182"/>
      <c r="BW1091" s="182"/>
      <c r="BX1091" s="182"/>
      <c r="BY1091" s="182"/>
      <c r="BZ1091" s="182"/>
      <c r="CA1091" s="182"/>
      <c r="CB1091" s="185">
        <v>2600</v>
      </c>
      <c r="CC1091" s="185">
        <v>0</v>
      </c>
      <c r="CD1091" s="185">
        <v>2439</v>
      </c>
      <c r="CE1091" s="185"/>
    </row>
    <row r="1092" spans="2:83" x14ac:dyDescent="0.3">
      <c r="B1092" s="182">
        <v>4041</v>
      </c>
      <c r="C1092" s="182">
        <v>2440</v>
      </c>
      <c r="D1092" s="182" t="s">
        <v>78</v>
      </c>
      <c r="E1092" s="181" t="s">
        <v>4394</v>
      </c>
      <c r="F1092" s="182"/>
      <c r="G1092" s="182">
        <v>10951.15</v>
      </c>
      <c r="H1092" s="182"/>
      <c r="I1092" s="182"/>
      <c r="J1092" s="182"/>
      <c r="K1092" s="182"/>
      <c r="L1092" s="182"/>
      <c r="M1092" s="182"/>
      <c r="N1092" s="182"/>
      <c r="O1092" s="182"/>
      <c r="P1092" s="182"/>
      <c r="Q1092" s="182"/>
      <c r="R1092" s="182"/>
      <c r="S1092" s="182"/>
      <c r="T1092" s="182"/>
      <c r="U1092" s="182"/>
      <c r="V1092" s="182"/>
      <c r="W1092" s="182"/>
      <c r="X1092" s="182"/>
      <c r="Y1092" s="182"/>
      <c r="Z1092" s="182"/>
      <c r="AA1092" s="182"/>
      <c r="AB1092" s="182"/>
      <c r="AC1092" s="182"/>
      <c r="AD1092" s="182"/>
      <c r="AE1092" s="182"/>
      <c r="AF1092" s="182"/>
      <c r="AG1092" s="182"/>
      <c r="AH1092" s="182"/>
      <c r="AI1092" s="182"/>
      <c r="AJ1092" s="182"/>
      <c r="AK1092" s="182"/>
      <c r="AL1092" s="182"/>
      <c r="AM1092" s="182"/>
      <c r="AN1092" s="182"/>
      <c r="AO1092" s="182"/>
      <c r="AP1092" s="182"/>
      <c r="AQ1092" s="185">
        <v>10951.15</v>
      </c>
      <c r="AR1092" s="182">
        <v>7317.3</v>
      </c>
      <c r="AS1092" s="182">
        <v>995.3</v>
      </c>
      <c r="AT1092" s="182">
        <v>2638.55</v>
      </c>
      <c r="AU1092" s="182"/>
      <c r="AV1092" s="182"/>
      <c r="AW1092" s="182"/>
      <c r="AX1092" s="182"/>
      <c r="AY1092" s="182"/>
      <c r="AZ1092" s="182"/>
      <c r="BA1092" s="182"/>
      <c r="BB1092" s="182"/>
      <c r="BC1092" s="182"/>
      <c r="BD1092" s="182"/>
      <c r="BE1092" s="182"/>
      <c r="BF1092" s="182"/>
      <c r="BG1092" s="182"/>
      <c r="BH1092" s="182"/>
      <c r="BI1092" s="182"/>
      <c r="BJ1092" s="182"/>
      <c r="BK1092" s="182"/>
      <c r="BL1092" s="182"/>
      <c r="BM1092" s="182"/>
      <c r="BN1092" s="182"/>
      <c r="BO1092" s="182"/>
      <c r="BP1092" s="182"/>
      <c r="BQ1092" s="182"/>
      <c r="BR1092" s="182"/>
      <c r="BS1092" s="182"/>
      <c r="BT1092" s="182"/>
      <c r="BU1092" s="182"/>
      <c r="BV1092" s="182"/>
      <c r="BW1092" s="182"/>
      <c r="BX1092" s="182"/>
      <c r="BY1092" s="182"/>
      <c r="BZ1092" s="182"/>
      <c r="CA1092" s="182"/>
      <c r="CB1092" s="185">
        <v>10951.150000000001</v>
      </c>
      <c r="CC1092" s="185">
        <v>0</v>
      </c>
      <c r="CD1092" s="185">
        <v>2440</v>
      </c>
      <c r="CE1092" s="185"/>
    </row>
    <row r="1093" spans="2:83" x14ac:dyDescent="0.3">
      <c r="B1093" s="182">
        <v>3870</v>
      </c>
      <c r="C1093" s="182">
        <v>2441</v>
      </c>
      <c r="D1093" s="182" t="s">
        <v>78</v>
      </c>
      <c r="E1093" s="181" t="s">
        <v>4390</v>
      </c>
      <c r="F1093" s="182"/>
      <c r="G1093" s="182">
        <v>46.9</v>
      </c>
      <c r="H1093" s="182"/>
      <c r="I1093" s="182"/>
      <c r="J1093" s="182"/>
      <c r="K1093" s="182"/>
      <c r="L1093" s="182"/>
      <c r="M1093" s="182"/>
      <c r="N1093" s="182"/>
      <c r="O1093" s="182"/>
      <c r="P1093" s="182"/>
      <c r="Q1093" s="182"/>
      <c r="R1093" s="182"/>
      <c r="S1093" s="182"/>
      <c r="T1093" s="182"/>
      <c r="U1093" s="182"/>
      <c r="V1093" s="182"/>
      <c r="W1093" s="182"/>
      <c r="X1093" s="182"/>
      <c r="Y1093" s="182"/>
      <c r="Z1093" s="182"/>
      <c r="AA1093" s="182"/>
      <c r="AB1093" s="182"/>
      <c r="AC1093" s="182"/>
      <c r="AD1093" s="182"/>
      <c r="AE1093" s="182"/>
      <c r="AF1093" s="182"/>
      <c r="AG1093" s="182"/>
      <c r="AH1093" s="182"/>
      <c r="AI1093" s="182"/>
      <c r="AJ1093" s="182"/>
      <c r="AK1093" s="182"/>
      <c r="AL1093" s="182"/>
      <c r="AM1093" s="182"/>
      <c r="AN1093" s="182"/>
      <c r="AO1093" s="182"/>
      <c r="AP1093" s="182"/>
      <c r="AQ1093" s="185">
        <v>46.9</v>
      </c>
      <c r="AR1093" s="182">
        <v>32.04</v>
      </c>
      <c r="AS1093" s="182">
        <v>3.56</v>
      </c>
      <c r="AT1093" s="182">
        <v>11.3</v>
      </c>
      <c r="AU1093" s="182"/>
      <c r="AV1093" s="182"/>
      <c r="AW1093" s="182"/>
      <c r="AX1093" s="182"/>
      <c r="AY1093" s="182"/>
      <c r="AZ1093" s="182"/>
      <c r="BA1093" s="182"/>
      <c r="BB1093" s="182"/>
      <c r="BC1093" s="182"/>
      <c r="BD1093" s="182"/>
      <c r="BE1093" s="182"/>
      <c r="BF1093" s="182"/>
      <c r="BG1093" s="182"/>
      <c r="BH1093" s="182"/>
      <c r="BI1093" s="182"/>
      <c r="BJ1093" s="182"/>
      <c r="BK1093" s="182"/>
      <c r="BL1093" s="182"/>
      <c r="BM1093" s="182"/>
      <c r="BN1093" s="182"/>
      <c r="BO1093" s="182"/>
      <c r="BP1093" s="182"/>
      <c r="BQ1093" s="182"/>
      <c r="BR1093" s="182"/>
      <c r="BS1093" s="182"/>
      <c r="BT1093" s="182"/>
      <c r="BU1093" s="182"/>
      <c r="BV1093" s="182"/>
      <c r="BW1093" s="182"/>
      <c r="BX1093" s="182"/>
      <c r="BY1093" s="182"/>
      <c r="BZ1093" s="182"/>
      <c r="CA1093" s="182"/>
      <c r="CB1093" s="185">
        <v>46.900000000000006</v>
      </c>
      <c r="CC1093" s="185">
        <v>0</v>
      </c>
      <c r="CD1093" s="185">
        <v>2441</v>
      </c>
      <c r="CE1093" s="185"/>
    </row>
    <row r="1094" spans="2:83" x14ac:dyDescent="0.3">
      <c r="B1094" s="182">
        <v>4449</v>
      </c>
      <c r="C1094" s="182">
        <v>2442</v>
      </c>
      <c r="D1094" s="182" t="s">
        <v>78</v>
      </c>
      <c r="E1094" s="181" t="s">
        <v>4395</v>
      </c>
      <c r="F1094" s="182"/>
      <c r="G1094" s="182">
        <v>3986.5</v>
      </c>
      <c r="H1094" s="182"/>
      <c r="I1094" s="182"/>
      <c r="J1094" s="182"/>
      <c r="K1094" s="182"/>
      <c r="L1094" s="182"/>
      <c r="M1094" s="182"/>
      <c r="N1094" s="182"/>
      <c r="O1094" s="182"/>
      <c r="P1094" s="182"/>
      <c r="Q1094" s="182"/>
      <c r="R1094" s="182"/>
      <c r="S1094" s="182"/>
      <c r="T1094" s="182"/>
      <c r="U1094" s="182"/>
      <c r="V1094" s="182"/>
      <c r="W1094" s="182"/>
      <c r="X1094" s="182"/>
      <c r="Y1094" s="182"/>
      <c r="Z1094" s="182"/>
      <c r="AA1094" s="182"/>
      <c r="AB1094" s="182"/>
      <c r="AC1094" s="182"/>
      <c r="AD1094" s="182"/>
      <c r="AE1094" s="182"/>
      <c r="AF1094" s="182"/>
      <c r="AG1094" s="182"/>
      <c r="AH1094" s="182"/>
      <c r="AI1094" s="182"/>
      <c r="AJ1094" s="182"/>
      <c r="AK1094" s="182"/>
      <c r="AL1094" s="182"/>
      <c r="AM1094" s="182"/>
      <c r="AN1094" s="182"/>
      <c r="AO1094" s="182"/>
      <c r="AP1094" s="182"/>
      <c r="AQ1094" s="185">
        <v>3986.5</v>
      </c>
      <c r="AR1094" s="182">
        <v>2664.8</v>
      </c>
      <c r="AS1094" s="182">
        <v>361.2</v>
      </c>
      <c r="AT1094" s="182">
        <v>960.5</v>
      </c>
      <c r="AU1094" s="182"/>
      <c r="AV1094" s="182"/>
      <c r="AW1094" s="182"/>
      <c r="AX1094" s="182"/>
      <c r="AY1094" s="182"/>
      <c r="AZ1094" s="182"/>
      <c r="BA1094" s="182"/>
      <c r="BB1094" s="182"/>
      <c r="BC1094" s="182"/>
      <c r="BD1094" s="182"/>
      <c r="BE1094" s="182"/>
      <c r="BF1094" s="182"/>
      <c r="BG1094" s="182"/>
      <c r="BH1094" s="182"/>
      <c r="BI1094" s="182"/>
      <c r="BJ1094" s="182"/>
      <c r="BK1094" s="182"/>
      <c r="BL1094" s="182"/>
      <c r="BM1094" s="182"/>
      <c r="BN1094" s="182"/>
      <c r="BO1094" s="182"/>
      <c r="BP1094" s="182"/>
      <c r="BQ1094" s="182"/>
      <c r="BR1094" s="182"/>
      <c r="BS1094" s="182"/>
      <c r="BT1094" s="182"/>
      <c r="BU1094" s="182"/>
      <c r="BV1094" s="182"/>
      <c r="BW1094" s="182"/>
      <c r="BX1094" s="182"/>
      <c r="BY1094" s="182"/>
      <c r="BZ1094" s="182"/>
      <c r="CA1094" s="182"/>
      <c r="CB1094" s="185">
        <v>3986.5</v>
      </c>
      <c r="CC1094" s="185">
        <v>0</v>
      </c>
      <c r="CD1094" s="185">
        <v>2442</v>
      </c>
      <c r="CE1094" s="185"/>
    </row>
    <row r="1095" spans="2:83" x14ac:dyDescent="0.3">
      <c r="B1095" s="182">
        <v>4447</v>
      </c>
      <c r="C1095" s="182">
        <v>2443</v>
      </c>
      <c r="D1095" s="182" t="s">
        <v>78</v>
      </c>
      <c r="E1095" s="181" t="s">
        <v>4396</v>
      </c>
      <c r="F1095" s="182"/>
      <c r="G1095" s="182">
        <v>11179.56</v>
      </c>
      <c r="H1095" s="182"/>
      <c r="I1095" s="182"/>
      <c r="J1095" s="182"/>
      <c r="K1095" s="182"/>
      <c r="L1095" s="182"/>
      <c r="M1095" s="182"/>
      <c r="N1095" s="182"/>
      <c r="O1095" s="182"/>
      <c r="P1095" s="182"/>
      <c r="Q1095" s="182"/>
      <c r="R1095" s="182"/>
      <c r="S1095" s="182"/>
      <c r="T1095" s="182"/>
      <c r="U1095" s="182"/>
      <c r="V1095" s="182"/>
      <c r="W1095" s="182"/>
      <c r="X1095" s="182"/>
      <c r="Y1095" s="182"/>
      <c r="Z1095" s="182"/>
      <c r="AA1095" s="182"/>
      <c r="AB1095" s="182"/>
      <c r="AC1095" s="182"/>
      <c r="AD1095" s="182"/>
      <c r="AE1095" s="182"/>
      <c r="AF1095" s="182"/>
      <c r="AG1095" s="182"/>
      <c r="AH1095" s="182"/>
      <c r="AI1095" s="182"/>
      <c r="AJ1095" s="182"/>
      <c r="AK1095" s="182"/>
      <c r="AL1095" s="182"/>
      <c r="AM1095" s="182"/>
      <c r="AN1095" s="182"/>
      <c r="AO1095" s="182"/>
      <c r="AP1095" s="182"/>
      <c r="AQ1095" s="185">
        <v>11179.56</v>
      </c>
      <c r="AR1095" s="182">
        <v>7469.89</v>
      </c>
      <c r="AS1095" s="182">
        <v>1016.08</v>
      </c>
      <c r="AT1095" s="182">
        <v>2693.59</v>
      </c>
      <c r="AU1095" s="182"/>
      <c r="AV1095" s="182"/>
      <c r="AW1095" s="182"/>
      <c r="AX1095" s="182"/>
      <c r="AY1095" s="182"/>
      <c r="AZ1095" s="182"/>
      <c r="BA1095" s="182"/>
      <c r="BB1095" s="182"/>
      <c r="BC1095" s="182"/>
      <c r="BD1095" s="182"/>
      <c r="BE1095" s="182"/>
      <c r="BF1095" s="182"/>
      <c r="BG1095" s="182"/>
      <c r="BH1095" s="182"/>
      <c r="BI1095" s="182"/>
      <c r="BJ1095" s="182"/>
      <c r="BK1095" s="182"/>
      <c r="BL1095" s="182"/>
      <c r="BM1095" s="182"/>
      <c r="BN1095" s="182"/>
      <c r="BO1095" s="182"/>
      <c r="BP1095" s="182"/>
      <c r="BQ1095" s="182"/>
      <c r="BR1095" s="182"/>
      <c r="BS1095" s="182"/>
      <c r="BT1095" s="182"/>
      <c r="BU1095" s="182"/>
      <c r="BV1095" s="182"/>
      <c r="BW1095" s="182"/>
      <c r="BX1095" s="182"/>
      <c r="BY1095" s="182"/>
      <c r="BZ1095" s="182"/>
      <c r="CA1095" s="182"/>
      <c r="CB1095" s="185">
        <v>11179.560000000001</v>
      </c>
      <c r="CC1095" s="185">
        <v>0</v>
      </c>
      <c r="CD1095" s="185">
        <v>2443</v>
      </c>
      <c r="CE1095" s="185"/>
    </row>
    <row r="1096" spans="2:83" x14ac:dyDescent="0.3">
      <c r="B1096" s="182">
        <v>4445</v>
      </c>
      <c r="C1096" s="182">
        <v>2444</v>
      </c>
      <c r="D1096" s="182" t="s">
        <v>78</v>
      </c>
      <c r="E1096" s="181" t="s">
        <v>1013</v>
      </c>
      <c r="F1096" s="182"/>
      <c r="G1096" s="182">
        <v>9955.8799999999992</v>
      </c>
      <c r="H1096" s="182"/>
      <c r="I1096" s="182"/>
      <c r="J1096" s="182"/>
      <c r="K1096" s="182"/>
      <c r="L1096" s="182"/>
      <c r="M1096" s="182"/>
      <c r="N1096" s="182"/>
      <c r="O1096" s="182"/>
      <c r="P1096" s="182"/>
      <c r="Q1096" s="182"/>
      <c r="R1096" s="182"/>
      <c r="S1096" s="182"/>
      <c r="T1096" s="182"/>
      <c r="U1096" s="182"/>
      <c r="V1096" s="182"/>
      <c r="W1096" s="182"/>
      <c r="X1096" s="182"/>
      <c r="Y1096" s="182"/>
      <c r="Z1096" s="182"/>
      <c r="AA1096" s="182"/>
      <c r="AB1096" s="182"/>
      <c r="AC1096" s="182"/>
      <c r="AD1096" s="182"/>
      <c r="AE1096" s="182"/>
      <c r="AF1096" s="182"/>
      <c r="AG1096" s="182"/>
      <c r="AH1096" s="182"/>
      <c r="AI1096" s="182"/>
      <c r="AJ1096" s="182"/>
      <c r="AK1096" s="182"/>
      <c r="AL1096" s="182"/>
      <c r="AM1096" s="182"/>
      <c r="AN1096" s="182"/>
      <c r="AO1096" s="182"/>
      <c r="AP1096" s="182"/>
      <c r="AQ1096" s="185">
        <v>9955.8799999999992</v>
      </c>
      <c r="AR1096" s="182">
        <v>8881.0400000000009</v>
      </c>
      <c r="AS1096" s="182">
        <v>1074.8399999999999</v>
      </c>
      <c r="AT1096" s="182"/>
      <c r="AU1096" s="182"/>
      <c r="AV1096" s="182"/>
      <c r="AW1096" s="182"/>
      <c r="AX1096" s="182"/>
      <c r="AY1096" s="182"/>
      <c r="AZ1096" s="182"/>
      <c r="BA1096" s="182"/>
      <c r="BB1096" s="182"/>
      <c r="BC1096" s="182"/>
      <c r="BD1096" s="182"/>
      <c r="BE1096" s="182"/>
      <c r="BF1096" s="182"/>
      <c r="BG1096" s="182"/>
      <c r="BH1096" s="182"/>
      <c r="BI1096" s="182"/>
      <c r="BJ1096" s="182"/>
      <c r="BK1096" s="182"/>
      <c r="BL1096" s="182"/>
      <c r="BM1096" s="182"/>
      <c r="BN1096" s="182"/>
      <c r="BO1096" s="182"/>
      <c r="BP1096" s="182"/>
      <c r="BQ1096" s="182"/>
      <c r="BR1096" s="182"/>
      <c r="BS1096" s="182"/>
      <c r="BT1096" s="182"/>
      <c r="BU1096" s="182"/>
      <c r="BV1096" s="182"/>
      <c r="BW1096" s="182"/>
      <c r="BX1096" s="182"/>
      <c r="BY1096" s="182"/>
      <c r="BZ1096" s="182"/>
      <c r="CA1096" s="182"/>
      <c r="CB1096" s="185">
        <v>9955.880000000001</v>
      </c>
      <c r="CC1096" s="185">
        <v>0</v>
      </c>
      <c r="CD1096" s="185">
        <v>2444</v>
      </c>
      <c r="CE1096" s="185"/>
    </row>
    <row r="1097" spans="2:83" x14ac:dyDescent="0.3">
      <c r="B1097" s="182">
        <v>4446</v>
      </c>
      <c r="C1097" s="182">
        <v>2445</v>
      </c>
      <c r="D1097" s="182" t="s">
        <v>78</v>
      </c>
      <c r="E1097" s="181" t="s">
        <v>1013</v>
      </c>
      <c r="F1097" s="182"/>
      <c r="G1097" s="182">
        <v>3993</v>
      </c>
      <c r="H1097" s="182"/>
      <c r="I1097" s="182"/>
      <c r="J1097" s="182"/>
      <c r="K1097" s="182"/>
      <c r="L1097" s="182"/>
      <c r="M1097" s="182"/>
      <c r="N1097" s="182"/>
      <c r="O1097" s="182"/>
      <c r="P1097" s="182"/>
      <c r="Q1097" s="182"/>
      <c r="R1097" s="182"/>
      <c r="S1097" s="182"/>
      <c r="T1097" s="182"/>
      <c r="U1097" s="182"/>
      <c r="V1097" s="182"/>
      <c r="W1097" s="182"/>
      <c r="X1097" s="182"/>
      <c r="Y1097" s="182"/>
      <c r="Z1097" s="182"/>
      <c r="AA1097" s="182"/>
      <c r="AB1097" s="182"/>
      <c r="AC1097" s="182"/>
      <c r="AD1097" s="182"/>
      <c r="AE1097" s="182"/>
      <c r="AF1097" s="182"/>
      <c r="AG1097" s="182"/>
      <c r="AH1097" s="182"/>
      <c r="AI1097" s="182"/>
      <c r="AJ1097" s="182"/>
      <c r="AK1097" s="182"/>
      <c r="AL1097" s="182"/>
      <c r="AM1097" s="182"/>
      <c r="AN1097" s="182"/>
      <c r="AO1097" s="182"/>
      <c r="AP1097" s="182"/>
      <c r="AQ1097" s="185">
        <v>3993</v>
      </c>
      <c r="AR1097" s="182">
        <v>3564.1</v>
      </c>
      <c r="AS1097" s="182">
        <v>428.9</v>
      </c>
      <c r="AT1097" s="182"/>
      <c r="AU1097" s="182"/>
      <c r="AV1097" s="182"/>
      <c r="AW1097" s="182"/>
      <c r="AX1097" s="182"/>
      <c r="AY1097" s="182"/>
      <c r="AZ1097" s="182"/>
      <c r="BA1097" s="182"/>
      <c r="BB1097" s="182"/>
      <c r="BC1097" s="182"/>
      <c r="BD1097" s="182"/>
      <c r="BE1097" s="182"/>
      <c r="BF1097" s="182"/>
      <c r="BG1097" s="182"/>
      <c r="BH1097" s="182"/>
      <c r="BI1097" s="182"/>
      <c r="BJ1097" s="182"/>
      <c r="BK1097" s="182"/>
      <c r="BL1097" s="182"/>
      <c r="BM1097" s="182"/>
      <c r="BN1097" s="182"/>
      <c r="BO1097" s="182"/>
      <c r="BP1097" s="182"/>
      <c r="BQ1097" s="182"/>
      <c r="BR1097" s="182"/>
      <c r="BS1097" s="182"/>
      <c r="BT1097" s="182"/>
      <c r="BU1097" s="182"/>
      <c r="BV1097" s="182"/>
      <c r="BW1097" s="182"/>
      <c r="BX1097" s="182"/>
      <c r="BY1097" s="182"/>
      <c r="BZ1097" s="182"/>
      <c r="CA1097" s="182"/>
      <c r="CB1097" s="185">
        <v>3993</v>
      </c>
      <c r="CC1097" s="185">
        <v>0</v>
      </c>
      <c r="CD1097" s="185">
        <v>2445</v>
      </c>
      <c r="CE1097" s="185"/>
    </row>
    <row r="1098" spans="2:83" x14ac:dyDescent="0.3">
      <c r="B1098" s="182">
        <v>4492</v>
      </c>
      <c r="C1098" s="182">
        <v>2446</v>
      </c>
      <c r="D1098" s="182" t="s">
        <v>78</v>
      </c>
      <c r="E1098" s="181" t="s">
        <v>4397</v>
      </c>
      <c r="F1098" s="182"/>
      <c r="G1098" s="182">
        <v>485156.58</v>
      </c>
      <c r="H1098" s="182"/>
      <c r="I1098" s="182"/>
      <c r="J1098" s="182"/>
      <c r="K1098" s="182"/>
      <c r="L1098" s="182"/>
      <c r="M1098" s="182"/>
      <c r="N1098" s="182"/>
      <c r="O1098" s="182"/>
      <c r="P1098" s="182"/>
      <c r="Q1098" s="182"/>
      <c r="R1098" s="182"/>
      <c r="S1098" s="182"/>
      <c r="T1098" s="182"/>
      <c r="U1098" s="182"/>
      <c r="V1098" s="182"/>
      <c r="W1098" s="182"/>
      <c r="X1098" s="182"/>
      <c r="Y1098" s="182"/>
      <c r="Z1098" s="182"/>
      <c r="AA1098" s="182"/>
      <c r="AB1098" s="182"/>
      <c r="AC1098" s="182"/>
      <c r="AD1098" s="182"/>
      <c r="AE1098" s="182"/>
      <c r="AF1098" s="182"/>
      <c r="AG1098" s="182"/>
      <c r="AH1098" s="182"/>
      <c r="AI1098" s="182"/>
      <c r="AJ1098" s="182"/>
      <c r="AK1098" s="182"/>
      <c r="AL1098" s="182"/>
      <c r="AM1098" s="182"/>
      <c r="AN1098" s="182"/>
      <c r="AO1098" s="182"/>
      <c r="AP1098" s="182"/>
      <c r="AQ1098" s="185">
        <v>485156.58</v>
      </c>
      <c r="AR1098" s="182">
        <v>452070.12</v>
      </c>
      <c r="AS1098" s="182">
        <v>2577.15</v>
      </c>
      <c r="AT1098" s="182">
        <v>30509.31</v>
      </c>
      <c r="AU1098" s="182"/>
      <c r="AV1098" s="182"/>
      <c r="AW1098" s="182"/>
      <c r="AX1098" s="182"/>
      <c r="AY1098" s="182"/>
      <c r="AZ1098" s="182"/>
      <c r="BA1098" s="182"/>
      <c r="BB1098" s="182"/>
      <c r="BC1098" s="182"/>
      <c r="BD1098" s="182"/>
      <c r="BE1098" s="182"/>
      <c r="BF1098" s="182"/>
      <c r="BG1098" s="182"/>
      <c r="BH1098" s="182"/>
      <c r="BI1098" s="182"/>
      <c r="BJ1098" s="182"/>
      <c r="BK1098" s="182"/>
      <c r="BL1098" s="182"/>
      <c r="BM1098" s="182"/>
      <c r="BN1098" s="182"/>
      <c r="BO1098" s="182"/>
      <c r="BP1098" s="182"/>
      <c r="BQ1098" s="182"/>
      <c r="BR1098" s="182"/>
      <c r="BS1098" s="182"/>
      <c r="BT1098" s="182"/>
      <c r="BU1098" s="182"/>
      <c r="BV1098" s="182"/>
      <c r="BW1098" s="182"/>
      <c r="BX1098" s="182"/>
      <c r="BY1098" s="182"/>
      <c r="BZ1098" s="182"/>
      <c r="CA1098" s="182"/>
      <c r="CB1098" s="185">
        <v>485156.58</v>
      </c>
      <c r="CC1098" s="185">
        <v>0</v>
      </c>
      <c r="CD1098" s="185">
        <v>2446</v>
      </c>
      <c r="CE1098" s="185"/>
    </row>
    <row r="1099" spans="2:83" x14ac:dyDescent="0.3">
      <c r="B1099" s="182">
        <v>3199</v>
      </c>
      <c r="C1099" s="182">
        <v>2447</v>
      </c>
      <c r="D1099" s="182" t="s">
        <v>78</v>
      </c>
      <c r="E1099" s="181" t="s">
        <v>3245</v>
      </c>
      <c r="F1099" s="182"/>
      <c r="G1099" s="182">
        <v>180.43</v>
      </c>
      <c r="H1099" s="182"/>
      <c r="I1099" s="182"/>
      <c r="J1099" s="182"/>
      <c r="K1099" s="182"/>
      <c r="L1099" s="182"/>
      <c r="M1099" s="182"/>
      <c r="N1099" s="182"/>
      <c r="O1099" s="182"/>
      <c r="P1099" s="182"/>
      <c r="Q1099" s="182"/>
      <c r="R1099" s="182"/>
      <c r="S1099" s="182"/>
      <c r="T1099" s="182"/>
      <c r="U1099" s="182"/>
      <c r="V1099" s="182"/>
      <c r="W1099" s="182"/>
      <c r="X1099" s="182"/>
      <c r="Y1099" s="182"/>
      <c r="Z1099" s="182"/>
      <c r="AA1099" s="182"/>
      <c r="AB1099" s="182"/>
      <c r="AC1099" s="182"/>
      <c r="AD1099" s="182"/>
      <c r="AE1099" s="182"/>
      <c r="AF1099" s="182"/>
      <c r="AG1099" s="182"/>
      <c r="AH1099" s="182"/>
      <c r="AI1099" s="182"/>
      <c r="AJ1099" s="182"/>
      <c r="AK1099" s="182"/>
      <c r="AL1099" s="182"/>
      <c r="AM1099" s="182"/>
      <c r="AN1099" s="182"/>
      <c r="AO1099" s="182"/>
      <c r="AP1099" s="182"/>
      <c r="AQ1099" s="185">
        <v>180.43</v>
      </c>
      <c r="AR1099" s="182">
        <v>142.44999999999999</v>
      </c>
      <c r="AS1099" s="182"/>
      <c r="AT1099" s="182">
        <v>37.979999999999997</v>
      </c>
      <c r="AU1099" s="182"/>
      <c r="AV1099" s="182"/>
      <c r="AW1099" s="182"/>
      <c r="AX1099" s="182"/>
      <c r="AY1099" s="182"/>
      <c r="AZ1099" s="182"/>
      <c r="BA1099" s="182"/>
      <c r="BB1099" s="182"/>
      <c r="BC1099" s="182"/>
      <c r="BD1099" s="182"/>
      <c r="BE1099" s="182"/>
      <c r="BF1099" s="182"/>
      <c r="BG1099" s="182"/>
      <c r="BH1099" s="182"/>
      <c r="BI1099" s="182"/>
      <c r="BJ1099" s="182"/>
      <c r="BK1099" s="182"/>
      <c r="BL1099" s="182"/>
      <c r="BM1099" s="182"/>
      <c r="BN1099" s="182"/>
      <c r="BO1099" s="182"/>
      <c r="BP1099" s="182"/>
      <c r="BQ1099" s="182"/>
      <c r="BR1099" s="182"/>
      <c r="BS1099" s="182"/>
      <c r="BT1099" s="182"/>
      <c r="BU1099" s="182"/>
      <c r="BV1099" s="182"/>
      <c r="BW1099" s="182"/>
      <c r="BX1099" s="182"/>
      <c r="BY1099" s="182"/>
      <c r="BZ1099" s="182"/>
      <c r="CA1099" s="182"/>
      <c r="CB1099" s="185">
        <v>180.42999999999998</v>
      </c>
      <c r="CC1099" s="185">
        <v>0</v>
      </c>
      <c r="CD1099" s="185">
        <v>2447</v>
      </c>
      <c r="CE1099" s="185"/>
    </row>
    <row r="1100" spans="2:83" x14ac:dyDescent="0.3">
      <c r="B1100" s="182">
        <v>3917</v>
      </c>
      <c r="C1100" s="182">
        <v>2448</v>
      </c>
      <c r="D1100" s="182" t="s">
        <v>121</v>
      </c>
      <c r="E1100" s="181" t="s">
        <v>4398</v>
      </c>
      <c r="F1100" s="182"/>
      <c r="G1100" s="182">
        <v>4221</v>
      </c>
      <c r="H1100" s="182"/>
      <c r="I1100" s="182"/>
      <c r="J1100" s="182"/>
      <c r="K1100" s="182"/>
      <c r="L1100" s="182"/>
      <c r="M1100" s="182"/>
      <c r="N1100" s="182"/>
      <c r="O1100" s="182"/>
      <c r="P1100" s="182"/>
      <c r="Q1100" s="182"/>
      <c r="R1100" s="182"/>
      <c r="S1100" s="182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/>
      <c r="AI1100" s="182"/>
      <c r="AJ1100" s="182"/>
      <c r="AK1100" s="182"/>
      <c r="AL1100" s="182"/>
      <c r="AM1100" s="182"/>
      <c r="AN1100" s="182"/>
      <c r="AO1100" s="182"/>
      <c r="AP1100" s="182"/>
      <c r="AQ1100" s="185">
        <v>4221</v>
      </c>
      <c r="AR1100" s="182">
        <v>2820.7</v>
      </c>
      <c r="AS1100" s="182">
        <v>383.3</v>
      </c>
      <c r="AT1100" s="182">
        <v>1017</v>
      </c>
      <c r="AU1100" s="182"/>
      <c r="AV1100" s="182"/>
      <c r="AW1100" s="182"/>
      <c r="AX1100" s="182"/>
      <c r="AY1100" s="182"/>
      <c r="AZ1100" s="182"/>
      <c r="BA1100" s="182"/>
      <c r="BB1100" s="182"/>
      <c r="BC1100" s="182"/>
      <c r="BD1100" s="182"/>
      <c r="BE1100" s="182"/>
      <c r="BF1100" s="182"/>
      <c r="BG1100" s="182"/>
      <c r="BH1100" s="182"/>
      <c r="BI1100" s="182"/>
      <c r="BJ1100" s="182"/>
      <c r="BK1100" s="182"/>
      <c r="BL1100" s="182"/>
      <c r="BM1100" s="182"/>
      <c r="BN1100" s="182"/>
      <c r="BO1100" s="182"/>
      <c r="BP1100" s="182"/>
      <c r="BQ1100" s="182"/>
      <c r="BR1100" s="182"/>
      <c r="BS1100" s="182"/>
      <c r="BT1100" s="182"/>
      <c r="BU1100" s="182"/>
      <c r="BV1100" s="182"/>
      <c r="BW1100" s="182"/>
      <c r="BX1100" s="182"/>
      <c r="BY1100" s="182"/>
      <c r="BZ1100" s="182"/>
      <c r="CA1100" s="182"/>
      <c r="CB1100" s="185">
        <v>4221</v>
      </c>
      <c r="CC1100" s="185">
        <v>0</v>
      </c>
      <c r="CD1100" s="185">
        <v>2448</v>
      </c>
      <c r="CE1100" s="185"/>
    </row>
    <row r="1101" spans="2:83" x14ac:dyDescent="0.3">
      <c r="B1101" s="182">
        <v>4678</v>
      </c>
      <c r="C1101" s="182">
        <v>2449</v>
      </c>
      <c r="D1101" s="182" t="s">
        <v>121</v>
      </c>
      <c r="E1101" s="181" t="s">
        <v>4399</v>
      </c>
      <c r="F1101" s="182"/>
      <c r="G1101" s="182">
        <v>2500</v>
      </c>
      <c r="H1101" s="182"/>
      <c r="I1101" s="182"/>
      <c r="J1101" s="182"/>
      <c r="K1101" s="182"/>
      <c r="L1101" s="182"/>
      <c r="M1101" s="182"/>
      <c r="N1101" s="182"/>
      <c r="O1101" s="182"/>
      <c r="P1101" s="182"/>
      <c r="Q1101" s="182"/>
      <c r="R1101" s="182"/>
      <c r="S1101" s="182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/>
      <c r="AO1101" s="182"/>
      <c r="AP1101" s="182"/>
      <c r="AQ1101" s="185">
        <v>2500</v>
      </c>
      <c r="AR1101" s="182">
        <v>2231.6</v>
      </c>
      <c r="AS1101" s="182">
        <v>268.39999999999998</v>
      </c>
      <c r="AT1101" s="182"/>
      <c r="AU1101" s="182"/>
      <c r="AV1101" s="182"/>
      <c r="AW1101" s="182"/>
      <c r="AX1101" s="182"/>
      <c r="AY1101" s="182"/>
      <c r="AZ1101" s="182"/>
      <c r="BA1101" s="182"/>
      <c r="BB1101" s="182"/>
      <c r="BC1101" s="182"/>
      <c r="BD1101" s="182"/>
      <c r="BE1101" s="182"/>
      <c r="BF1101" s="182"/>
      <c r="BG1101" s="182"/>
      <c r="BH1101" s="182"/>
      <c r="BI1101" s="182"/>
      <c r="BJ1101" s="182"/>
      <c r="BK1101" s="182"/>
      <c r="BL1101" s="182"/>
      <c r="BM1101" s="182"/>
      <c r="BN1101" s="182"/>
      <c r="BO1101" s="182"/>
      <c r="BP1101" s="182"/>
      <c r="BQ1101" s="182"/>
      <c r="BR1101" s="182"/>
      <c r="BS1101" s="182"/>
      <c r="BT1101" s="182"/>
      <c r="BU1101" s="182"/>
      <c r="BV1101" s="182"/>
      <c r="BW1101" s="182"/>
      <c r="BX1101" s="182"/>
      <c r="BY1101" s="182"/>
      <c r="BZ1101" s="182"/>
      <c r="CA1101" s="182"/>
      <c r="CB1101" s="185">
        <v>2500</v>
      </c>
      <c r="CC1101" s="185">
        <v>0</v>
      </c>
      <c r="CD1101" s="185">
        <v>2449</v>
      </c>
      <c r="CE1101" s="185"/>
    </row>
    <row r="1102" spans="2:83" x14ac:dyDescent="0.3">
      <c r="B1102" s="182">
        <v>4679</v>
      </c>
      <c r="C1102" s="182">
        <v>2450</v>
      </c>
      <c r="D1102" s="182" t="s">
        <v>121</v>
      </c>
      <c r="E1102" s="181" t="s">
        <v>4399</v>
      </c>
      <c r="F1102" s="182"/>
      <c r="G1102" s="182">
        <v>2500</v>
      </c>
      <c r="H1102" s="182"/>
      <c r="I1102" s="182"/>
      <c r="J1102" s="182"/>
      <c r="K1102" s="182"/>
      <c r="L1102" s="182"/>
      <c r="M1102" s="182"/>
      <c r="N1102" s="182"/>
      <c r="O1102" s="182"/>
      <c r="P1102" s="182"/>
      <c r="Q1102" s="182"/>
      <c r="R1102" s="182"/>
      <c r="S1102" s="182"/>
      <c r="T1102" s="182"/>
      <c r="U1102" s="182"/>
      <c r="V1102" s="182"/>
      <c r="W1102" s="182"/>
      <c r="X1102" s="182"/>
      <c r="Y1102" s="182"/>
      <c r="Z1102" s="182"/>
      <c r="AA1102" s="182"/>
      <c r="AB1102" s="182"/>
      <c r="AC1102" s="182"/>
      <c r="AD1102" s="182"/>
      <c r="AE1102" s="182"/>
      <c r="AF1102" s="182"/>
      <c r="AG1102" s="182"/>
      <c r="AH1102" s="182"/>
      <c r="AI1102" s="182"/>
      <c r="AJ1102" s="182"/>
      <c r="AK1102" s="182"/>
      <c r="AL1102" s="182"/>
      <c r="AM1102" s="182"/>
      <c r="AN1102" s="182"/>
      <c r="AO1102" s="182"/>
      <c r="AP1102" s="182"/>
      <c r="AQ1102" s="185">
        <v>2500</v>
      </c>
      <c r="AR1102" s="182">
        <v>2231.6</v>
      </c>
      <c r="AS1102" s="182">
        <v>268.39999999999998</v>
      </c>
      <c r="AT1102" s="182"/>
      <c r="AU1102" s="182"/>
      <c r="AV1102" s="182"/>
      <c r="AW1102" s="182"/>
      <c r="AX1102" s="182"/>
      <c r="AY1102" s="182"/>
      <c r="AZ1102" s="182"/>
      <c r="BA1102" s="182"/>
      <c r="BB1102" s="182"/>
      <c r="BC1102" s="182"/>
      <c r="BD1102" s="182"/>
      <c r="BE1102" s="182"/>
      <c r="BF1102" s="182"/>
      <c r="BG1102" s="182"/>
      <c r="BH1102" s="182"/>
      <c r="BI1102" s="182"/>
      <c r="BJ1102" s="182"/>
      <c r="BK1102" s="182"/>
      <c r="BL1102" s="182"/>
      <c r="BM1102" s="182"/>
      <c r="BN1102" s="182"/>
      <c r="BO1102" s="182"/>
      <c r="BP1102" s="182"/>
      <c r="BQ1102" s="182"/>
      <c r="BR1102" s="182"/>
      <c r="BS1102" s="182"/>
      <c r="BT1102" s="182"/>
      <c r="BU1102" s="182"/>
      <c r="BV1102" s="182"/>
      <c r="BW1102" s="182"/>
      <c r="BX1102" s="182"/>
      <c r="BY1102" s="182"/>
      <c r="BZ1102" s="182"/>
      <c r="CA1102" s="182"/>
      <c r="CB1102" s="185">
        <v>2500</v>
      </c>
      <c r="CC1102" s="185">
        <v>0</v>
      </c>
      <c r="CD1102" s="185">
        <v>2450</v>
      </c>
      <c r="CE1102" s="185"/>
    </row>
    <row r="1103" spans="2:83" x14ac:dyDescent="0.3">
      <c r="B1103" s="182">
        <v>4680</v>
      </c>
      <c r="C1103" s="182">
        <v>2451</v>
      </c>
      <c r="D1103" s="182" t="s">
        <v>121</v>
      </c>
      <c r="E1103" s="181" t="s">
        <v>4399</v>
      </c>
      <c r="F1103" s="182"/>
      <c r="G1103" s="182">
        <v>10000</v>
      </c>
      <c r="H1103" s="182"/>
      <c r="I1103" s="182"/>
      <c r="J1103" s="182"/>
      <c r="K1103" s="182"/>
      <c r="L1103" s="182"/>
      <c r="M1103" s="182"/>
      <c r="N1103" s="182"/>
      <c r="O1103" s="182"/>
      <c r="P1103" s="182"/>
      <c r="Q1103" s="182"/>
      <c r="R1103" s="182"/>
      <c r="S1103" s="182"/>
      <c r="T1103" s="182"/>
      <c r="U1103" s="182"/>
      <c r="V1103" s="182"/>
      <c r="W1103" s="182"/>
      <c r="X1103" s="182"/>
      <c r="Y1103" s="182"/>
      <c r="Z1103" s="182"/>
      <c r="AA1103" s="182"/>
      <c r="AB1103" s="182"/>
      <c r="AC1103" s="182"/>
      <c r="AD1103" s="182"/>
      <c r="AE1103" s="182"/>
      <c r="AF1103" s="182"/>
      <c r="AG1103" s="182"/>
      <c r="AH1103" s="182"/>
      <c r="AI1103" s="182"/>
      <c r="AJ1103" s="182"/>
      <c r="AK1103" s="182"/>
      <c r="AL1103" s="182"/>
      <c r="AM1103" s="182"/>
      <c r="AN1103" s="182"/>
      <c r="AO1103" s="182"/>
      <c r="AP1103" s="182"/>
      <c r="AQ1103" s="185">
        <v>10000</v>
      </c>
      <c r="AR1103" s="182">
        <v>8926.4</v>
      </c>
      <c r="AS1103" s="182">
        <v>1073.5999999999999</v>
      </c>
      <c r="AT1103" s="182"/>
      <c r="AU1103" s="182"/>
      <c r="AV1103" s="182"/>
      <c r="AW1103" s="182"/>
      <c r="AX1103" s="182"/>
      <c r="AY1103" s="182"/>
      <c r="AZ1103" s="182"/>
      <c r="BA1103" s="182"/>
      <c r="BB1103" s="182"/>
      <c r="BC1103" s="182"/>
      <c r="BD1103" s="182"/>
      <c r="BE1103" s="182"/>
      <c r="BF1103" s="182"/>
      <c r="BG1103" s="182"/>
      <c r="BH1103" s="182"/>
      <c r="BI1103" s="182"/>
      <c r="BJ1103" s="182"/>
      <c r="BK1103" s="182"/>
      <c r="BL1103" s="182"/>
      <c r="BM1103" s="182"/>
      <c r="BN1103" s="182"/>
      <c r="BO1103" s="182"/>
      <c r="BP1103" s="182"/>
      <c r="BQ1103" s="182"/>
      <c r="BR1103" s="182"/>
      <c r="BS1103" s="182"/>
      <c r="BT1103" s="182"/>
      <c r="BU1103" s="182"/>
      <c r="BV1103" s="182"/>
      <c r="BW1103" s="182"/>
      <c r="BX1103" s="182"/>
      <c r="BY1103" s="182"/>
      <c r="BZ1103" s="182"/>
      <c r="CA1103" s="182"/>
      <c r="CB1103" s="185">
        <v>10000</v>
      </c>
      <c r="CC1103" s="185">
        <v>0</v>
      </c>
      <c r="CD1103" s="185">
        <v>2451</v>
      </c>
      <c r="CE1103" s="185"/>
    </row>
    <row r="1104" spans="2:83" x14ac:dyDescent="0.3">
      <c r="B1104" s="182">
        <v>4681</v>
      </c>
      <c r="C1104" s="182">
        <v>2452</v>
      </c>
      <c r="D1104" s="182" t="s">
        <v>121</v>
      </c>
      <c r="E1104" s="181" t="s">
        <v>4399</v>
      </c>
      <c r="F1104" s="182"/>
      <c r="G1104" s="182">
        <v>2500</v>
      </c>
      <c r="H1104" s="182"/>
      <c r="I1104" s="182"/>
      <c r="J1104" s="182"/>
      <c r="K1104" s="182"/>
      <c r="L1104" s="182"/>
      <c r="M1104" s="182"/>
      <c r="N1104" s="182"/>
      <c r="O1104" s="182"/>
      <c r="P1104" s="182"/>
      <c r="Q1104" s="182"/>
      <c r="R1104" s="182"/>
      <c r="S1104" s="182"/>
      <c r="T1104" s="182"/>
      <c r="U1104" s="182"/>
      <c r="V1104" s="182"/>
      <c r="W1104" s="182"/>
      <c r="X1104" s="182"/>
      <c r="Y1104" s="182"/>
      <c r="Z1104" s="182"/>
      <c r="AA1104" s="182"/>
      <c r="AB1104" s="182"/>
      <c r="AC1104" s="182"/>
      <c r="AD1104" s="182"/>
      <c r="AE1104" s="182"/>
      <c r="AF1104" s="182"/>
      <c r="AG1104" s="182"/>
      <c r="AH1104" s="182"/>
      <c r="AI1104" s="182"/>
      <c r="AJ1104" s="182"/>
      <c r="AK1104" s="182"/>
      <c r="AL1104" s="182"/>
      <c r="AM1104" s="182"/>
      <c r="AN1104" s="182"/>
      <c r="AO1104" s="182"/>
      <c r="AP1104" s="182"/>
      <c r="AQ1104" s="185">
        <v>2500</v>
      </c>
      <c r="AR1104" s="182">
        <v>2231.6</v>
      </c>
      <c r="AS1104" s="182">
        <v>268.39999999999998</v>
      </c>
      <c r="AT1104" s="182"/>
      <c r="AU1104" s="182"/>
      <c r="AV1104" s="182"/>
      <c r="AW1104" s="182"/>
      <c r="AX1104" s="182"/>
      <c r="AY1104" s="182"/>
      <c r="AZ1104" s="182"/>
      <c r="BA1104" s="182"/>
      <c r="BB1104" s="182"/>
      <c r="BC1104" s="182"/>
      <c r="BD1104" s="182"/>
      <c r="BE1104" s="182"/>
      <c r="BF1104" s="182"/>
      <c r="BG1104" s="182"/>
      <c r="BH1104" s="182"/>
      <c r="BI1104" s="182"/>
      <c r="BJ1104" s="182"/>
      <c r="BK1104" s="182"/>
      <c r="BL1104" s="182"/>
      <c r="BM1104" s="182"/>
      <c r="BN1104" s="182"/>
      <c r="BO1104" s="182"/>
      <c r="BP1104" s="182"/>
      <c r="BQ1104" s="182"/>
      <c r="BR1104" s="182"/>
      <c r="BS1104" s="182"/>
      <c r="BT1104" s="182"/>
      <c r="BU1104" s="182"/>
      <c r="BV1104" s="182"/>
      <c r="BW1104" s="182"/>
      <c r="BX1104" s="182"/>
      <c r="BY1104" s="182"/>
      <c r="BZ1104" s="182"/>
      <c r="CA1104" s="182"/>
      <c r="CB1104" s="185">
        <v>2500</v>
      </c>
      <c r="CC1104" s="185">
        <v>0</v>
      </c>
      <c r="CD1104" s="185">
        <v>2452</v>
      </c>
      <c r="CE1104" s="185"/>
    </row>
    <row r="1105" spans="2:83" x14ac:dyDescent="0.3">
      <c r="B1105" s="182">
        <v>4682</v>
      </c>
      <c r="C1105" s="182">
        <v>2453</v>
      </c>
      <c r="D1105" s="182" t="s">
        <v>121</v>
      </c>
      <c r="E1105" s="181" t="s">
        <v>4399</v>
      </c>
      <c r="F1105" s="182"/>
      <c r="G1105" s="182">
        <v>10000</v>
      </c>
      <c r="H1105" s="182"/>
      <c r="I1105" s="182"/>
      <c r="J1105" s="182"/>
      <c r="K1105" s="182"/>
      <c r="L1105" s="182"/>
      <c r="M1105" s="182"/>
      <c r="N1105" s="182"/>
      <c r="O1105" s="182"/>
      <c r="P1105" s="182"/>
      <c r="Q1105" s="182"/>
      <c r="R1105" s="182"/>
      <c r="S1105" s="182"/>
      <c r="T1105" s="182"/>
      <c r="U1105" s="182"/>
      <c r="V1105" s="182"/>
      <c r="W1105" s="182"/>
      <c r="X1105" s="182"/>
      <c r="Y1105" s="182"/>
      <c r="Z1105" s="182"/>
      <c r="AA1105" s="182"/>
      <c r="AB1105" s="182"/>
      <c r="AC1105" s="182"/>
      <c r="AD1105" s="182"/>
      <c r="AE1105" s="182"/>
      <c r="AF1105" s="182"/>
      <c r="AG1105" s="182"/>
      <c r="AH1105" s="182"/>
      <c r="AI1105" s="182"/>
      <c r="AJ1105" s="182"/>
      <c r="AK1105" s="182"/>
      <c r="AL1105" s="182"/>
      <c r="AM1105" s="182"/>
      <c r="AN1105" s="182"/>
      <c r="AO1105" s="182"/>
      <c r="AP1105" s="182"/>
      <c r="AQ1105" s="185">
        <v>10000</v>
      </c>
      <c r="AR1105" s="182">
        <v>8926.4</v>
      </c>
      <c r="AS1105" s="182">
        <v>1073.5999999999999</v>
      </c>
      <c r="AT1105" s="182"/>
      <c r="AU1105" s="182"/>
      <c r="AV1105" s="182"/>
      <c r="AW1105" s="182"/>
      <c r="AX1105" s="182"/>
      <c r="AY1105" s="182"/>
      <c r="AZ1105" s="182"/>
      <c r="BA1105" s="182"/>
      <c r="BB1105" s="182"/>
      <c r="BC1105" s="182"/>
      <c r="BD1105" s="182"/>
      <c r="BE1105" s="182"/>
      <c r="BF1105" s="182"/>
      <c r="BG1105" s="182"/>
      <c r="BH1105" s="182"/>
      <c r="BI1105" s="182"/>
      <c r="BJ1105" s="182"/>
      <c r="BK1105" s="182"/>
      <c r="BL1105" s="182"/>
      <c r="BM1105" s="182"/>
      <c r="BN1105" s="182"/>
      <c r="BO1105" s="182"/>
      <c r="BP1105" s="182"/>
      <c r="BQ1105" s="182"/>
      <c r="BR1105" s="182"/>
      <c r="BS1105" s="182"/>
      <c r="BT1105" s="182"/>
      <c r="BU1105" s="182"/>
      <c r="BV1105" s="182"/>
      <c r="BW1105" s="182"/>
      <c r="BX1105" s="182"/>
      <c r="BY1105" s="182"/>
      <c r="BZ1105" s="182"/>
      <c r="CA1105" s="182"/>
      <c r="CB1105" s="185">
        <v>10000</v>
      </c>
      <c r="CC1105" s="185">
        <v>0</v>
      </c>
      <c r="CD1105" s="185">
        <v>2453</v>
      </c>
      <c r="CE1105" s="185"/>
    </row>
    <row r="1106" spans="2:83" x14ac:dyDescent="0.3">
      <c r="B1106" s="182">
        <v>4684</v>
      </c>
      <c r="C1106" s="182">
        <v>2454</v>
      </c>
      <c r="D1106" s="182" t="s">
        <v>121</v>
      </c>
      <c r="E1106" s="181" t="s">
        <v>4399</v>
      </c>
      <c r="F1106" s="182"/>
      <c r="G1106" s="182">
        <v>7500</v>
      </c>
      <c r="H1106" s="182"/>
      <c r="I1106" s="182"/>
      <c r="J1106" s="182"/>
      <c r="K1106" s="182"/>
      <c r="L1106" s="182"/>
      <c r="M1106" s="182"/>
      <c r="N1106" s="182"/>
      <c r="O1106" s="182"/>
      <c r="P1106" s="182"/>
      <c r="Q1106" s="182"/>
      <c r="R1106" s="182"/>
      <c r="S1106" s="182"/>
      <c r="T1106" s="182"/>
      <c r="U1106" s="182"/>
      <c r="V1106" s="182"/>
      <c r="W1106" s="182"/>
      <c r="X1106" s="182"/>
      <c r="Y1106" s="182"/>
      <c r="Z1106" s="182"/>
      <c r="AA1106" s="182"/>
      <c r="AB1106" s="182"/>
      <c r="AC1106" s="182"/>
      <c r="AD1106" s="182"/>
      <c r="AE1106" s="182"/>
      <c r="AF1106" s="182"/>
      <c r="AG1106" s="182"/>
      <c r="AH1106" s="182"/>
      <c r="AI1106" s="182"/>
      <c r="AJ1106" s="182"/>
      <c r="AK1106" s="182"/>
      <c r="AL1106" s="182"/>
      <c r="AM1106" s="182"/>
      <c r="AN1106" s="182"/>
      <c r="AO1106" s="182"/>
      <c r="AP1106" s="182"/>
      <c r="AQ1106" s="185">
        <v>7500</v>
      </c>
      <c r="AR1106" s="182">
        <v>6694.8</v>
      </c>
      <c r="AS1106" s="182">
        <v>805.2</v>
      </c>
      <c r="AT1106" s="182"/>
      <c r="AU1106" s="182"/>
      <c r="AV1106" s="182"/>
      <c r="AW1106" s="182"/>
      <c r="AX1106" s="182"/>
      <c r="AY1106" s="182"/>
      <c r="AZ1106" s="182"/>
      <c r="BA1106" s="182"/>
      <c r="BB1106" s="182"/>
      <c r="BC1106" s="182"/>
      <c r="BD1106" s="182"/>
      <c r="BE1106" s="182"/>
      <c r="BF1106" s="182"/>
      <c r="BG1106" s="182"/>
      <c r="BH1106" s="182"/>
      <c r="BI1106" s="182"/>
      <c r="BJ1106" s="182"/>
      <c r="BK1106" s="182"/>
      <c r="BL1106" s="182"/>
      <c r="BM1106" s="182"/>
      <c r="BN1106" s="182"/>
      <c r="BO1106" s="182"/>
      <c r="BP1106" s="182"/>
      <c r="BQ1106" s="182"/>
      <c r="BR1106" s="182"/>
      <c r="BS1106" s="182"/>
      <c r="BT1106" s="182"/>
      <c r="BU1106" s="182"/>
      <c r="BV1106" s="182"/>
      <c r="BW1106" s="182"/>
      <c r="BX1106" s="182"/>
      <c r="BY1106" s="182"/>
      <c r="BZ1106" s="182"/>
      <c r="CA1106" s="182"/>
      <c r="CB1106" s="185">
        <v>7500</v>
      </c>
      <c r="CC1106" s="185">
        <v>0</v>
      </c>
      <c r="CD1106" s="185">
        <v>2454</v>
      </c>
      <c r="CE1106" s="185"/>
    </row>
    <row r="1107" spans="2:83" x14ac:dyDescent="0.3">
      <c r="B1107" s="182">
        <v>4683</v>
      </c>
      <c r="C1107" s="182">
        <v>2455</v>
      </c>
      <c r="D1107" s="182" t="s">
        <v>121</v>
      </c>
      <c r="E1107" s="181" t="s">
        <v>4399</v>
      </c>
      <c r="F1107" s="182"/>
      <c r="G1107" s="182">
        <v>2500</v>
      </c>
      <c r="H1107" s="182"/>
      <c r="I1107" s="182"/>
      <c r="J1107" s="182"/>
      <c r="K1107" s="182"/>
      <c r="L1107" s="182"/>
      <c r="M1107" s="182"/>
      <c r="N1107" s="182"/>
      <c r="O1107" s="182"/>
      <c r="P1107" s="182"/>
      <c r="Q1107" s="182"/>
      <c r="R1107" s="182"/>
      <c r="S1107" s="182"/>
      <c r="T1107" s="182"/>
      <c r="U1107" s="182"/>
      <c r="V1107" s="182"/>
      <c r="W1107" s="182"/>
      <c r="X1107" s="182"/>
      <c r="Y1107" s="182"/>
      <c r="Z1107" s="182"/>
      <c r="AA1107" s="182"/>
      <c r="AB1107" s="182"/>
      <c r="AC1107" s="182"/>
      <c r="AD1107" s="182"/>
      <c r="AE1107" s="182"/>
      <c r="AF1107" s="182"/>
      <c r="AG1107" s="182"/>
      <c r="AH1107" s="182"/>
      <c r="AI1107" s="182"/>
      <c r="AJ1107" s="182"/>
      <c r="AK1107" s="182"/>
      <c r="AL1107" s="182"/>
      <c r="AM1107" s="182"/>
      <c r="AN1107" s="182"/>
      <c r="AO1107" s="182"/>
      <c r="AP1107" s="182"/>
      <c r="AQ1107" s="185">
        <v>2500</v>
      </c>
      <c r="AR1107" s="182">
        <v>2231.6</v>
      </c>
      <c r="AS1107" s="182">
        <v>268.39999999999998</v>
      </c>
      <c r="AT1107" s="182"/>
      <c r="AU1107" s="182"/>
      <c r="AV1107" s="182"/>
      <c r="AW1107" s="182"/>
      <c r="AX1107" s="182"/>
      <c r="AY1107" s="182"/>
      <c r="AZ1107" s="182"/>
      <c r="BA1107" s="182"/>
      <c r="BB1107" s="182"/>
      <c r="BC1107" s="182"/>
      <c r="BD1107" s="182"/>
      <c r="BE1107" s="182"/>
      <c r="BF1107" s="182"/>
      <c r="BG1107" s="182"/>
      <c r="BH1107" s="182"/>
      <c r="BI1107" s="182"/>
      <c r="BJ1107" s="182"/>
      <c r="BK1107" s="182"/>
      <c r="BL1107" s="182"/>
      <c r="BM1107" s="182"/>
      <c r="BN1107" s="182"/>
      <c r="BO1107" s="182"/>
      <c r="BP1107" s="182"/>
      <c r="BQ1107" s="182"/>
      <c r="BR1107" s="182"/>
      <c r="BS1107" s="182"/>
      <c r="BT1107" s="182"/>
      <c r="BU1107" s="182"/>
      <c r="BV1107" s="182"/>
      <c r="BW1107" s="182"/>
      <c r="BX1107" s="182"/>
      <c r="BY1107" s="182"/>
      <c r="BZ1107" s="182"/>
      <c r="CA1107" s="182"/>
      <c r="CB1107" s="185">
        <v>2500</v>
      </c>
      <c r="CC1107" s="185">
        <v>0</v>
      </c>
      <c r="CD1107" s="185">
        <v>2455</v>
      </c>
      <c r="CE1107" s="185"/>
    </row>
    <row r="1108" spans="2:83" x14ac:dyDescent="0.3">
      <c r="B1108" s="182">
        <v>4682</v>
      </c>
      <c r="C1108" s="182">
        <v>2456</v>
      </c>
      <c r="D1108" s="182" t="s">
        <v>121</v>
      </c>
      <c r="E1108" s="181" t="s">
        <v>4400</v>
      </c>
      <c r="F1108" s="182"/>
      <c r="G1108" s="182">
        <v>10800</v>
      </c>
      <c r="H1108" s="182"/>
      <c r="I1108" s="182"/>
      <c r="J1108" s="182"/>
      <c r="K1108" s="182"/>
      <c r="L1108" s="182"/>
      <c r="M1108" s="182"/>
      <c r="N1108" s="182"/>
      <c r="O1108" s="182"/>
      <c r="P1108" s="182"/>
      <c r="Q1108" s="182"/>
      <c r="R1108" s="182"/>
      <c r="S1108" s="182"/>
      <c r="T1108" s="182"/>
      <c r="U1108" s="182"/>
      <c r="V1108" s="182"/>
      <c r="W1108" s="182"/>
      <c r="X1108" s="182"/>
      <c r="Y1108" s="182"/>
      <c r="Z1108" s="182"/>
      <c r="AA1108" s="182"/>
      <c r="AB1108" s="182"/>
      <c r="AC1108" s="182"/>
      <c r="AD1108" s="182"/>
      <c r="AE1108" s="182"/>
      <c r="AF1108" s="182"/>
      <c r="AG1108" s="182"/>
      <c r="AH1108" s="182"/>
      <c r="AI1108" s="182"/>
      <c r="AJ1108" s="182"/>
      <c r="AK1108" s="182"/>
      <c r="AL1108" s="182"/>
      <c r="AM1108" s="182"/>
      <c r="AN1108" s="182"/>
      <c r="AO1108" s="182"/>
      <c r="AP1108" s="182"/>
      <c r="AQ1108" s="185">
        <v>10800</v>
      </c>
      <c r="AR1108" s="182">
        <v>9642.1</v>
      </c>
      <c r="AS1108" s="182">
        <v>1157.9000000000001</v>
      </c>
      <c r="AT1108" s="182"/>
      <c r="AU1108" s="182"/>
      <c r="AV1108" s="182"/>
      <c r="AW1108" s="182"/>
      <c r="AX1108" s="182"/>
      <c r="AY1108" s="182"/>
      <c r="AZ1108" s="182"/>
      <c r="BA1108" s="182"/>
      <c r="BB1108" s="182"/>
      <c r="BC1108" s="182"/>
      <c r="BD1108" s="182"/>
      <c r="BE1108" s="182"/>
      <c r="BF1108" s="182"/>
      <c r="BG1108" s="182"/>
      <c r="BH1108" s="182"/>
      <c r="BI1108" s="182"/>
      <c r="BJ1108" s="182"/>
      <c r="BK1108" s="182"/>
      <c r="BL1108" s="182"/>
      <c r="BM1108" s="182"/>
      <c r="BN1108" s="182"/>
      <c r="BO1108" s="182"/>
      <c r="BP1108" s="182"/>
      <c r="BQ1108" s="182"/>
      <c r="BR1108" s="182"/>
      <c r="BS1108" s="182"/>
      <c r="BT1108" s="182"/>
      <c r="BU1108" s="182"/>
      <c r="BV1108" s="182"/>
      <c r="BW1108" s="182"/>
      <c r="BX1108" s="182"/>
      <c r="BY1108" s="182"/>
      <c r="BZ1108" s="182"/>
      <c r="CA1108" s="182"/>
      <c r="CB1108" s="185">
        <v>10800</v>
      </c>
      <c r="CC1108" s="185">
        <v>0</v>
      </c>
      <c r="CD1108" s="185">
        <v>2456</v>
      </c>
      <c r="CE1108" s="185"/>
    </row>
    <row r="1109" spans="2:83" x14ac:dyDescent="0.3">
      <c r="B1109" s="182">
        <v>4686</v>
      </c>
      <c r="C1109" s="182">
        <v>2457</v>
      </c>
      <c r="D1109" s="182" t="s">
        <v>121</v>
      </c>
      <c r="E1109" s="181" t="s">
        <v>4400</v>
      </c>
      <c r="F1109" s="182"/>
      <c r="G1109" s="182">
        <v>4000</v>
      </c>
      <c r="H1109" s="182"/>
      <c r="I1109" s="182"/>
      <c r="J1109" s="182"/>
      <c r="K1109" s="182"/>
      <c r="L1109" s="182"/>
      <c r="M1109" s="182"/>
      <c r="N1109" s="182"/>
      <c r="O1109" s="182"/>
      <c r="P1109" s="182"/>
      <c r="Q1109" s="182"/>
      <c r="R1109" s="182"/>
      <c r="S1109" s="182"/>
      <c r="T1109" s="182"/>
      <c r="U1109" s="182"/>
      <c r="V1109" s="182"/>
      <c r="W1109" s="182"/>
      <c r="X1109" s="182"/>
      <c r="Y1109" s="182"/>
      <c r="Z1109" s="182"/>
      <c r="AA1109" s="182"/>
      <c r="AB1109" s="182"/>
      <c r="AC1109" s="182"/>
      <c r="AD1109" s="182"/>
      <c r="AE1109" s="182"/>
      <c r="AF1109" s="182"/>
      <c r="AG1109" s="182"/>
      <c r="AH1109" s="182"/>
      <c r="AI1109" s="182"/>
      <c r="AJ1109" s="182"/>
      <c r="AK1109" s="182"/>
      <c r="AL1109" s="182"/>
      <c r="AM1109" s="182"/>
      <c r="AN1109" s="182"/>
      <c r="AO1109" s="182"/>
      <c r="AP1109" s="182"/>
      <c r="AQ1109" s="185">
        <v>4000</v>
      </c>
      <c r="AR1109" s="182">
        <v>3570.35</v>
      </c>
      <c r="AS1109" s="182">
        <v>429.65</v>
      </c>
      <c r="AT1109" s="182"/>
      <c r="AU1109" s="182"/>
      <c r="AV1109" s="182"/>
      <c r="AW1109" s="182"/>
      <c r="AX1109" s="182"/>
      <c r="AY1109" s="182"/>
      <c r="AZ1109" s="182"/>
      <c r="BA1109" s="182"/>
      <c r="BB1109" s="182"/>
      <c r="BC1109" s="182"/>
      <c r="BD1109" s="182"/>
      <c r="BE1109" s="182"/>
      <c r="BF1109" s="182"/>
      <c r="BG1109" s="182"/>
      <c r="BH1109" s="182"/>
      <c r="BI1109" s="182"/>
      <c r="BJ1109" s="182"/>
      <c r="BK1109" s="182"/>
      <c r="BL1109" s="182"/>
      <c r="BM1109" s="182"/>
      <c r="BN1109" s="182"/>
      <c r="BO1109" s="182"/>
      <c r="BP1109" s="182"/>
      <c r="BQ1109" s="182"/>
      <c r="BR1109" s="182"/>
      <c r="BS1109" s="182"/>
      <c r="BT1109" s="182"/>
      <c r="BU1109" s="182"/>
      <c r="BV1109" s="182"/>
      <c r="BW1109" s="182"/>
      <c r="BX1109" s="182"/>
      <c r="BY1109" s="182"/>
      <c r="BZ1109" s="182"/>
      <c r="CA1109" s="182"/>
      <c r="CB1109" s="185">
        <v>4000</v>
      </c>
      <c r="CC1109" s="185">
        <v>0</v>
      </c>
      <c r="CD1109" s="185">
        <v>2457</v>
      </c>
      <c r="CE1109" s="185"/>
    </row>
    <row r="1110" spans="2:83" x14ac:dyDescent="0.3">
      <c r="B1110" s="182">
        <v>4687</v>
      </c>
      <c r="C1110" s="182">
        <v>2458</v>
      </c>
      <c r="D1110" s="182" t="s">
        <v>121</v>
      </c>
      <c r="E1110" s="181" t="s">
        <v>4400</v>
      </c>
      <c r="F1110" s="182"/>
      <c r="G1110" s="182">
        <v>11200</v>
      </c>
      <c r="H1110" s="182"/>
      <c r="I1110" s="182"/>
      <c r="J1110" s="182"/>
      <c r="K1110" s="182"/>
      <c r="L1110" s="182"/>
      <c r="M1110" s="182"/>
      <c r="N1110" s="182"/>
      <c r="O1110" s="182"/>
      <c r="P1110" s="182"/>
      <c r="Q1110" s="182"/>
      <c r="R1110" s="182"/>
      <c r="S1110" s="182"/>
      <c r="T1110" s="182"/>
      <c r="U1110" s="182"/>
      <c r="V1110" s="182"/>
      <c r="W1110" s="182"/>
      <c r="X1110" s="182"/>
      <c r="Y1110" s="182"/>
      <c r="Z1110" s="182"/>
      <c r="AA1110" s="182"/>
      <c r="AB1110" s="182"/>
      <c r="AC1110" s="182"/>
      <c r="AD1110" s="182"/>
      <c r="AE1110" s="182"/>
      <c r="AF1110" s="182"/>
      <c r="AG1110" s="182"/>
      <c r="AH1110" s="182"/>
      <c r="AI1110" s="182"/>
      <c r="AJ1110" s="182"/>
      <c r="AK1110" s="182"/>
      <c r="AL1110" s="182"/>
      <c r="AM1110" s="182"/>
      <c r="AN1110" s="182"/>
      <c r="AO1110" s="182"/>
      <c r="AP1110" s="182"/>
      <c r="AQ1110" s="185">
        <v>11200</v>
      </c>
      <c r="AR1110" s="182">
        <v>9997.0499999999993</v>
      </c>
      <c r="AS1110" s="182">
        <v>1202.95</v>
      </c>
      <c r="AT1110" s="182"/>
      <c r="AU1110" s="182"/>
      <c r="AV1110" s="182"/>
      <c r="AW1110" s="182"/>
      <c r="AX1110" s="182"/>
      <c r="AY1110" s="182"/>
      <c r="AZ1110" s="182"/>
      <c r="BA1110" s="182"/>
      <c r="BB1110" s="182"/>
      <c r="BC1110" s="182"/>
      <c r="BD1110" s="182"/>
      <c r="BE1110" s="182"/>
      <c r="BF1110" s="182"/>
      <c r="BG1110" s="182"/>
      <c r="BH1110" s="182"/>
      <c r="BI1110" s="182"/>
      <c r="BJ1110" s="182"/>
      <c r="BK1110" s="182"/>
      <c r="BL1110" s="182"/>
      <c r="BM1110" s="182"/>
      <c r="BN1110" s="182"/>
      <c r="BO1110" s="182"/>
      <c r="BP1110" s="182"/>
      <c r="BQ1110" s="182"/>
      <c r="BR1110" s="182"/>
      <c r="BS1110" s="182"/>
      <c r="BT1110" s="182"/>
      <c r="BU1110" s="182"/>
      <c r="BV1110" s="182"/>
      <c r="BW1110" s="182"/>
      <c r="BX1110" s="182"/>
      <c r="BY1110" s="182"/>
      <c r="BZ1110" s="182"/>
      <c r="CA1110" s="182"/>
      <c r="CB1110" s="185">
        <v>11200</v>
      </c>
      <c r="CC1110" s="185">
        <v>0</v>
      </c>
      <c r="CD1110" s="185">
        <v>2458</v>
      </c>
      <c r="CE1110" s="185"/>
    </row>
    <row r="1111" spans="2:83" x14ac:dyDescent="0.3">
      <c r="B1111" s="182">
        <v>4689</v>
      </c>
      <c r="C1111" s="182">
        <v>2459</v>
      </c>
      <c r="D1111" s="182" t="s">
        <v>121</v>
      </c>
      <c r="E1111" s="181" t="s">
        <v>4400</v>
      </c>
      <c r="F1111" s="182"/>
      <c r="G1111" s="182">
        <v>4000</v>
      </c>
      <c r="H1111" s="182"/>
      <c r="I1111" s="182"/>
      <c r="J1111" s="182"/>
      <c r="K1111" s="182"/>
      <c r="L1111" s="182"/>
      <c r="M1111" s="182"/>
      <c r="N1111" s="182"/>
      <c r="O1111" s="182"/>
      <c r="P1111" s="182"/>
      <c r="Q1111" s="182"/>
      <c r="R1111" s="182"/>
      <c r="S1111" s="182"/>
      <c r="T1111" s="182"/>
      <c r="U1111" s="182"/>
      <c r="V1111" s="182"/>
      <c r="W1111" s="182"/>
      <c r="X1111" s="182"/>
      <c r="Y1111" s="182"/>
      <c r="Z1111" s="182"/>
      <c r="AA1111" s="182"/>
      <c r="AB1111" s="182"/>
      <c r="AC1111" s="182"/>
      <c r="AD1111" s="182"/>
      <c r="AE1111" s="182"/>
      <c r="AF1111" s="182"/>
      <c r="AG1111" s="182"/>
      <c r="AH1111" s="182"/>
      <c r="AI1111" s="182"/>
      <c r="AJ1111" s="182"/>
      <c r="AK1111" s="182"/>
      <c r="AL1111" s="182"/>
      <c r="AM1111" s="182"/>
      <c r="AN1111" s="182"/>
      <c r="AO1111" s="182"/>
      <c r="AP1111" s="182"/>
      <c r="AQ1111" s="185">
        <v>4000</v>
      </c>
      <c r="AR1111" s="182">
        <v>3570.35</v>
      </c>
      <c r="AS1111" s="182">
        <v>429.65</v>
      </c>
      <c r="AT1111" s="182"/>
      <c r="AU1111" s="182"/>
      <c r="AV1111" s="182"/>
      <c r="AW1111" s="182"/>
      <c r="AX1111" s="182"/>
      <c r="AY1111" s="182"/>
      <c r="AZ1111" s="182"/>
      <c r="BA1111" s="182"/>
      <c r="BB1111" s="182"/>
      <c r="BC1111" s="182"/>
      <c r="BD1111" s="182"/>
      <c r="BE1111" s="182"/>
      <c r="BF1111" s="182"/>
      <c r="BG1111" s="182"/>
      <c r="BH1111" s="182"/>
      <c r="BI1111" s="182"/>
      <c r="BJ1111" s="182"/>
      <c r="BK1111" s="182"/>
      <c r="BL1111" s="182"/>
      <c r="BM1111" s="182"/>
      <c r="BN1111" s="182"/>
      <c r="BO1111" s="182"/>
      <c r="BP1111" s="182"/>
      <c r="BQ1111" s="182"/>
      <c r="BR1111" s="182"/>
      <c r="BS1111" s="182"/>
      <c r="BT1111" s="182"/>
      <c r="BU1111" s="182"/>
      <c r="BV1111" s="182"/>
      <c r="BW1111" s="182"/>
      <c r="BX1111" s="182"/>
      <c r="BY1111" s="182"/>
      <c r="BZ1111" s="182"/>
      <c r="CA1111" s="182"/>
      <c r="CB1111" s="185">
        <v>4000</v>
      </c>
      <c r="CC1111" s="185">
        <v>0</v>
      </c>
      <c r="CD1111" s="185">
        <v>2459</v>
      </c>
      <c r="CE1111" s="185"/>
    </row>
    <row r="1112" spans="2:83" x14ac:dyDescent="0.3">
      <c r="B1112" s="182">
        <v>4690</v>
      </c>
      <c r="C1112" s="182">
        <v>2460</v>
      </c>
      <c r="D1112" s="182" t="s">
        <v>121</v>
      </c>
      <c r="E1112" s="181" t="s">
        <v>4400</v>
      </c>
      <c r="F1112" s="182"/>
      <c r="G1112" s="182">
        <v>8050</v>
      </c>
      <c r="H1112" s="182"/>
      <c r="I1112" s="182"/>
      <c r="J1112" s="182"/>
      <c r="K1112" s="182"/>
      <c r="L1112" s="182"/>
      <c r="M1112" s="182"/>
      <c r="N1112" s="182"/>
      <c r="O1112" s="182"/>
      <c r="P1112" s="182"/>
      <c r="Q1112" s="182"/>
      <c r="R1112" s="182"/>
      <c r="S1112" s="182"/>
      <c r="T1112" s="182"/>
      <c r="U1112" s="182"/>
      <c r="V1112" s="182"/>
      <c r="W1112" s="182"/>
      <c r="X1112" s="182"/>
      <c r="Y1112" s="182"/>
      <c r="Z1112" s="182"/>
      <c r="AA1112" s="182"/>
      <c r="AB1112" s="182"/>
      <c r="AC1112" s="182"/>
      <c r="AD1112" s="182"/>
      <c r="AE1112" s="182"/>
      <c r="AF1112" s="182"/>
      <c r="AG1112" s="182"/>
      <c r="AH1112" s="182"/>
      <c r="AI1112" s="182"/>
      <c r="AJ1112" s="182"/>
      <c r="AK1112" s="182"/>
      <c r="AL1112" s="182"/>
      <c r="AM1112" s="182"/>
      <c r="AN1112" s="182"/>
      <c r="AO1112" s="182"/>
      <c r="AP1112" s="182"/>
      <c r="AQ1112" s="185">
        <v>8050</v>
      </c>
      <c r="AR1112" s="182">
        <v>7185.75</v>
      </c>
      <c r="AS1112" s="182">
        <v>864.25</v>
      </c>
      <c r="AT1112" s="182"/>
      <c r="AU1112" s="182"/>
      <c r="AV1112" s="182"/>
      <c r="AW1112" s="182"/>
      <c r="AX1112" s="182"/>
      <c r="AY1112" s="182"/>
      <c r="AZ1112" s="182"/>
      <c r="BA1112" s="182"/>
      <c r="BB1112" s="182"/>
      <c r="BC1112" s="182"/>
      <c r="BD1112" s="182"/>
      <c r="BE1112" s="182"/>
      <c r="BF1112" s="182"/>
      <c r="BG1112" s="182"/>
      <c r="BH1112" s="182"/>
      <c r="BI1112" s="182"/>
      <c r="BJ1112" s="182"/>
      <c r="BK1112" s="182"/>
      <c r="BL1112" s="182"/>
      <c r="BM1112" s="182"/>
      <c r="BN1112" s="182"/>
      <c r="BO1112" s="182"/>
      <c r="BP1112" s="182"/>
      <c r="BQ1112" s="182"/>
      <c r="BR1112" s="182"/>
      <c r="BS1112" s="182"/>
      <c r="BT1112" s="182"/>
      <c r="BU1112" s="182"/>
      <c r="BV1112" s="182"/>
      <c r="BW1112" s="182"/>
      <c r="BX1112" s="182"/>
      <c r="BY1112" s="182"/>
      <c r="BZ1112" s="182"/>
      <c r="CA1112" s="182"/>
      <c r="CB1112" s="185">
        <v>8050</v>
      </c>
      <c r="CC1112" s="185">
        <v>0</v>
      </c>
      <c r="CD1112" s="185">
        <v>2460</v>
      </c>
      <c r="CE1112" s="185"/>
    </row>
    <row r="1113" spans="2:83" x14ac:dyDescent="0.3">
      <c r="B1113" s="182">
        <v>4688</v>
      </c>
      <c r="C1113" s="182">
        <v>2461</v>
      </c>
      <c r="D1113" s="182" t="s">
        <v>121</v>
      </c>
      <c r="E1113" s="181" t="s">
        <v>4400</v>
      </c>
      <c r="F1113" s="182"/>
      <c r="G1113" s="182">
        <v>4000</v>
      </c>
      <c r="H1113" s="182"/>
      <c r="I1113" s="182"/>
      <c r="J1113" s="182"/>
      <c r="K1113" s="182"/>
      <c r="L1113" s="182"/>
      <c r="M1113" s="182"/>
      <c r="N1113" s="182"/>
      <c r="O1113" s="182"/>
      <c r="P1113" s="182"/>
      <c r="Q1113" s="182"/>
      <c r="R1113" s="182"/>
      <c r="S1113" s="182"/>
      <c r="T1113" s="182"/>
      <c r="U1113" s="182"/>
      <c r="V1113" s="182"/>
      <c r="W1113" s="182"/>
      <c r="X1113" s="182"/>
      <c r="Y1113" s="182"/>
      <c r="Z1113" s="182"/>
      <c r="AA1113" s="182"/>
      <c r="AB1113" s="182"/>
      <c r="AC1113" s="182"/>
      <c r="AD1113" s="182"/>
      <c r="AE1113" s="182"/>
      <c r="AF1113" s="182"/>
      <c r="AG1113" s="182"/>
      <c r="AH1113" s="182"/>
      <c r="AI1113" s="182"/>
      <c r="AJ1113" s="182"/>
      <c r="AK1113" s="182"/>
      <c r="AL1113" s="182"/>
      <c r="AM1113" s="182"/>
      <c r="AN1113" s="182"/>
      <c r="AO1113" s="182"/>
      <c r="AP1113" s="182"/>
      <c r="AQ1113" s="185">
        <v>4000</v>
      </c>
      <c r="AR1113" s="182">
        <v>3570.35</v>
      </c>
      <c r="AS1113" s="182">
        <v>429.65</v>
      </c>
      <c r="AT1113" s="182"/>
      <c r="AU1113" s="182"/>
      <c r="AV1113" s="182"/>
      <c r="AW1113" s="182"/>
      <c r="AX1113" s="182"/>
      <c r="AY1113" s="182"/>
      <c r="AZ1113" s="182"/>
      <c r="BA1113" s="182"/>
      <c r="BB1113" s="182"/>
      <c r="BC1113" s="182"/>
      <c r="BD1113" s="182"/>
      <c r="BE1113" s="182"/>
      <c r="BF1113" s="182"/>
      <c r="BG1113" s="182"/>
      <c r="BH1113" s="182"/>
      <c r="BI1113" s="182"/>
      <c r="BJ1113" s="182"/>
      <c r="BK1113" s="182"/>
      <c r="BL1113" s="182"/>
      <c r="BM1113" s="182"/>
      <c r="BN1113" s="182"/>
      <c r="BO1113" s="182"/>
      <c r="BP1113" s="182"/>
      <c r="BQ1113" s="182"/>
      <c r="BR1113" s="182"/>
      <c r="BS1113" s="182"/>
      <c r="BT1113" s="182"/>
      <c r="BU1113" s="182"/>
      <c r="BV1113" s="182"/>
      <c r="BW1113" s="182"/>
      <c r="BX1113" s="182"/>
      <c r="BY1113" s="182"/>
      <c r="BZ1113" s="182"/>
      <c r="CA1113" s="182"/>
      <c r="CB1113" s="185">
        <v>4000</v>
      </c>
      <c r="CC1113" s="185">
        <v>0</v>
      </c>
      <c r="CD1113" s="185">
        <v>2461</v>
      </c>
      <c r="CE1113" s="185"/>
    </row>
    <row r="1114" spans="2:83" x14ac:dyDescent="0.3">
      <c r="B1114" s="182">
        <v>4691</v>
      </c>
      <c r="C1114" s="182">
        <v>2462</v>
      </c>
      <c r="D1114" s="182" t="s">
        <v>121</v>
      </c>
      <c r="E1114" s="181" t="s">
        <v>4400</v>
      </c>
      <c r="F1114" s="182"/>
      <c r="G1114" s="182">
        <v>11700</v>
      </c>
      <c r="H1114" s="182"/>
      <c r="I1114" s="182"/>
      <c r="J1114" s="182"/>
      <c r="K1114" s="182"/>
      <c r="L1114" s="182"/>
      <c r="M1114" s="182"/>
      <c r="N1114" s="182"/>
      <c r="O1114" s="182"/>
      <c r="P1114" s="182"/>
      <c r="Q1114" s="182"/>
      <c r="R1114" s="182"/>
      <c r="S1114" s="182"/>
      <c r="T1114" s="182"/>
      <c r="U1114" s="182"/>
      <c r="V1114" s="182"/>
      <c r="W1114" s="182"/>
      <c r="X1114" s="182"/>
      <c r="Y1114" s="182"/>
      <c r="Z1114" s="182"/>
      <c r="AA1114" s="182"/>
      <c r="AB1114" s="182"/>
      <c r="AC1114" s="182"/>
      <c r="AD1114" s="182"/>
      <c r="AE1114" s="182"/>
      <c r="AF1114" s="182"/>
      <c r="AG1114" s="182"/>
      <c r="AH1114" s="182"/>
      <c r="AI1114" s="182"/>
      <c r="AJ1114" s="182"/>
      <c r="AK1114" s="182"/>
      <c r="AL1114" s="182"/>
      <c r="AM1114" s="182"/>
      <c r="AN1114" s="182"/>
      <c r="AO1114" s="182"/>
      <c r="AP1114" s="182"/>
      <c r="AQ1114" s="185">
        <v>11700</v>
      </c>
      <c r="AR1114" s="182">
        <v>10440.35</v>
      </c>
      <c r="AS1114" s="182">
        <v>1259.6500000000001</v>
      </c>
      <c r="AT1114" s="182"/>
      <c r="AU1114" s="182"/>
      <c r="AV1114" s="182"/>
      <c r="AW1114" s="182"/>
      <c r="AX1114" s="182"/>
      <c r="AY1114" s="182"/>
      <c r="AZ1114" s="182"/>
      <c r="BA1114" s="182"/>
      <c r="BB1114" s="182"/>
      <c r="BC1114" s="182"/>
      <c r="BD1114" s="182"/>
      <c r="BE1114" s="182"/>
      <c r="BF1114" s="182"/>
      <c r="BG1114" s="182"/>
      <c r="BH1114" s="182"/>
      <c r="BI1114" s="182"/>
      <c r="BJ1114" s="182"/>
      <c r="BK1114" s="182"/>
      <c r="BL1114" s="182"/>
      <c r="BM1114" s="182"/>
      <c r="BN1114" s="182"/>
      <c r="BO1114" s="182"/>
      <c r="BP1114" s="182"/>
      <c r="BQ1114" s="182"/>
      <c r="BR1114" s="182"/>
      <c r="BS1114" s="182"/>
      <c r="BT1114" s="182"/>
      <c r="BU1114" s="182"/>
      <c r="BV1114" s="182"/>
      <c r="BW1114" s="182"/>
      <c r="BX1114" s="182"/>
      <c r="BY1114" s="182"/>
      <c r="BZ1114" s="182"/>
      <c r="CA1114" s="182"/>
      <c r="CB1114" s="185">
        <v>11700</v>
      </c>
      <c r="CC1114" s="185">
        <v>0</v>
      </c>
      <c r="CD1114" s="185">
        <v>2462</v>
      </c>
      <c r="CE1114" s="185"/>
    </row>
    <row r="1115" spans="2:83" x14ac:dyDescent="0.3">
      <c r="B1115" s="182">
        <v>4695</v>
      </c>
      <c r="C1115" s="182">
        <v>2463</v>
      </c>
      <c r="D1115" s="182" t="s">
        <v>121</v>
      </c>
      <c r="E1115" s="181" t="s">
        <v>4400</v>
      </c>
      <c r="F1115" s="182"/>
      <c r="G1115" s="182">
        <v>14700</v>
      </c>
      <c r="H1115" s="182"/>
      <c r="I1115" s="182"/>
      <c r="J1115" s="182"/>
      <c r="K1115" s="182"/>
      <c r="L1115" s="182"/>
      <c r="M1115" s="182"/>
      <c r="N1115" s="182"/>
      <c r="O1115" s="182"/>
      <c r="P1115" s="182"/>
      <c r="Q1115" s="182"/>
      <c r="R1115" s="182"/>
      <c r="S1115" s="182"/>
      <c r="T1115" s="182"/>
      <c r="U1115" s="182"/>
      <c r="V1115" s="182"/>
      <c r="W1115" s="182"/>
      <c r="X1115" s="182"/>
      <c r="Y1115" s="182"/>
      <c r="Z1115" s="182"/>
      <c r="AA1115" s="182"/>
      <c r="AB1115" s="182"/>
      <c r="AC1115" s="182"/>
      <c r="AD1115" s="182"/>
      <c r="AE1115" s="182"/>
      <c r="AF1115" s="182"/>
      <c r="AG1115" s="182"/>
      <c r="AH1115" s="182"/>
      <c r="AI1115" s="182"/>
      <c r="AJ1115" s="182"/>
      <c r="AK1115" s="182"/>
      <c r="AL1115" s="182"/>
      <c r="AM1115" s="182"/>
      <c r="AN1115" s="182"/>
      <c r="AO1115" s="182"/>
      <c r="AP1115" s="182"/>
      <c r="AQ1115" s="185">
        <v>14700</v>
      </c>
      <c r="AR1115" s="182">
        <v>13124.9</v>
      </c>
      <c r="AS1115" s="182">
        <v>1575.1</v>
      </c>
      <c r="AT1115" s="182"/>
      <c r="AU1115" s="182"/>
      <c r="AV1115" s="182"/>
      <c r="AW1115" s="182"/>
      <c r="AX1115" s="182"/>
      <c r="AY1115" s="182"/>
      <c r="AZ1115" s="182"/>
      <c r="BA1115" s="182"/>
      <c r="BB1115" s="182"/>
      <c r="BC1115" s="182"/>
      <c r="BD1115" s="182"/>
      <c r="BE1115" s="182"/>
      <c r="BF1115" s="182"/>
      <c r="BG1115" s="182"/>
      <c r="BH1115" s="182"/>
      <c r="BI1115" s="182"/>
      <c r="BJ1115" s="182"/>
      <c r="BK1115" s="182"/>
      <c r="BL1115" s="182"/>
      <c r="BM1115" s="182"/>
      <c r="BN1115" s="182"/>
      <c r="BO1115" s="182"/>
      <c r="BP1115" s="182"/>
      <c r="BQ1115" s="182"/>
      <c r="BR1115" s="182"/>
      <c r="BS1115" s="182"/>
      <c r="BT1115" s="182"/>
      <c r="BU1115" s="182"/>
      <c r="BV1115" s="182"/>
      <c r="BW1115" s="182"/>
      <c r="BX1115" s="182"/>
      <c r="BY1115" s="182"/>
      <c r="BZ1115" s="182"/>
      <c r="CA1115" s="182"/>
      <c r="CB1115" s="185">
        <v>14700</v>
      </c>
      <c r="CC1115" s="185">
        <v>0</v>
      </c>
      <c r="CD1115" s="185">
        <v>2463</v>
      </c>
      <c r="CE1115" s="185"/>
    </row>
    <row r="1116" spans="2:83" x14ac:dyDescent="0.3">
      <c r="B1116" s="182">
        <v>4694</v>
      </c>
      <c r="C1116" s="182">
        <v>2464</v>
      </c>
      <c r="D1116" s="182" t="s">
        <v>121</v>
      </c>
      <c r="E1116" s="181" t="s">
        <v>4400</v>
      </c>
      <c r="F1116" s="182"/>
      <c r="G1116" s="182">
        <v>1200</v>
      </c>
      <c r="H1116" s="182"/>
      <c r="I1116" s="182"/>
      <c r="J1116" s="182"/>
      <c r="K1116" s="182"/>
      <c r="L1116" s="182"/>
      <c r="M1116" s="182"/>
      <c r="N1116" s="182"/>
      <c r="O1116" s="182"/>
      <c r="P1116" s="182"/>
      <c r="Q1116" s="182"/>
      <c r="R1116" s="182"/>
      <c r="S1116" s="182"/>
      <c r="T1116" s="182"/>
      <c r="U1116" s="182"/>
      <c r="V1116" s="182"/>
      <c r="W1116" s="182"/>
      <c r="X1116" s="182"/>
      <c r="Y1116" s="182"/>
      <c r="Z1116" s="182"/>
      <c r="AA1116" s="182"/>
      <c r="AB1116" s="182"/>
      <c r="AC1116" s="182"/>
      <c r="AD1116" s="182"/>
      <c r="AE1116" s="182"/>
      <c r="AF1116" s="182"/>
      <c r="AG1116" s="182"/>
      <c r="AH1116" s="182"/>
      <c r="AI1116" s="182"/>
      <c r="AJ1116" s="182"/>
      <c r="AK1116" s="182"/>
      <c r="AL1116" s="182"/>
      <c r="AM1116" s="182"/>
      <c r="AN1116" s="182"/>
      <c r="AO1116" s="182"/>
      <c r="AP1116" s="182"/>
      <c r="AQ1116" s="185">
        <v>1200</v>
      </c>
      <c r="AR1116" s="182">
        <v>1072.5</v>
      </c>
      <c r="AS1116" s="182">
        <v>127.5</v>
      </c>
      <c r="AT1116" s="182"/>
      <c r="AU1116" s="182"/>
      <c r="AV1116" s="182"/>
      <c r="AW1116" s="182"/>
      <c r="AX1116" s="182"/>
      <c r="AY1116" s="182"/>
      <c r="AZ1116" s="182"/>
      <c r="BA1116" s="182"/>
      <c r="BB1116" s="182"/>
      <c r="BC1116" s="182"/>
      <c r="BD1116" s="182"/>
      <c r="BE1116" s="182"/>
      <c r="BF1116" s="182"/>
      <c r="BG1116" s="182"/>
      <c r="BH1116" s="182"/>
      <c r="BI1116" s="182"/>
      <c r="BJ1116" s="182"/>
      <c r="BK1116" s="182"/>
      <c r="BL1116" s="182"/>
      <c r="BM1116" s="182"/>
      <c r="BN1116" s="182"/>
      <c r="BO1116" s="182"/>
      <c r="BP1116" s="182"/>
      <c r="BQ1116" s="182"/>
      <c r="BR1116" s="182"/>
      <c r="BS1116" s="182"/>
      <c r="BT1116" s="182"/>
      <c r="BU1116" s="182"/>
      <c r="BV1116" s="182"/>
      <c r="BW1116" s="182"/>
      <c r="BX1116" s="182"/>
      <c r="BY1116" s="182"/>
      <c r="BZ1116" s="182"/>
      <c r="CA1116" s="182"/>
      <c r="CB1116" s="185">
        <v>1200</v>
      </c>
      <c r="CC1116" s="185">
        <v>0</v>
      </c>
      <c r="CD1116" s="185">
        <v>2464</v>
      </c>
      <c r="CE1116" s="185"/>
    </row>
    <row r="1117" spans="2:83" x14ac:dyDescent="0.3">
      <c r="B1117" s="182">
        <v>4693</v>
      </c>
      <c r="C1117" s="182">
        <v>2465</v>
      </c>
      <c r="D1117" s="182" t="s">
        <v>121</v>
      </c>
      <c r="E1117" s="181" t="s">
        <v>4400</v>
      </c>
      <c r="F1117" s="182"/>
      <c r="G1117" s="182">
        <v>8350</v>
      </c>
      <c r="H1117" s="182"/>
      <c r="I1117" s="182"/>
      <c r="J1117" s="182"/>
      <c r="K1117" s="182"/>
      <c r="L1117" s="182"/>
      <c r="M1117" s="182"/>
      <c r="N1117" s="182"/>
      <c r="O1117" s="182"/>
      <c r="P1117" s="182"/>
      <c r="Q1117" s="182"/>
      <c r="R1117" s="182"/>
      <c r="S1117" s="182"/>
      <c r="T1117" s="182"/>
      <c r="U1117" s="182"/>
      <c r="V1117" s="182"/>
      <c r="W1117" s="182"/>
      <c r="X1117" s="182"/>
      <c r="Y1117" s="182"/>
      <c r="Z1117" s="182"/>
      <c r="AA1117" s="182"/>
      <c r="AB1117" s="182"/>
      <c r="AC1117" s="182"/>
      <c r="AD1117" s="182"/>
      <c r="AE1117" s="182"/>
      <c r="AF1117" s="182"/>
      <c r="AG1117" s="182"/>
      <c r="AH1117" s="182"/>
      <c r="AI1117" s="182"/>
      <c r="AJ1117" s="182"/>
      <c r="AK1117" s="182"/>
      <c r="AL1117" s="182"/>
      <c r="AM1117" s="182"/>
      <c r="AN1117" s="182"/>
      <c r="AO1117" s="182"/>
      <c r="AP1117" s="182"/>
      <c r="AQ1117" s="185">
        <v>8350</v>
      </c>
      <c r="AR1117" s="182">
        <v>7458.7</v>
      </c>
      <c r="AS1117" s="182">
        <v>891.3</v>
      </c>
      <c r="AT1117" s="182"/>
      <c r="AU1117" s="182"/>
      <c r="AV1117" s="182"/>
      <c r="AW1117" s="182"/>
      <c r="AX1117" s="182"/>
      <c r="AY1117" s="182"/>
      <c r="AZ1117" s="182"/>
      <c r="BA1117" s="182"/>
      <c r="BB1117" s="182"/>
      <c r="BC1117" s="182"/>
      <c r="BD1117" s="182"/>
      <c r="BE1117" s="182"/>
      <c r="BF1117" s="182"/>
      <c r="BG1117" s="182"/>
      <c r="BH1117" s="182"/>
      <c r="BI1117" s="182"/>
      <c r="BJ1117" s="182"/>
      <c r="BK1117" s="182"/>
      <c r="BL1117" s="182"/>
      <c r="BM1117" s="182"/>
      <c r="BN1117" s="182"/>
      <c r="BO1117" s="182"/>
      <c r="BP1117" s="182"/>
      <c r="BQ1117" s="182"/>
      <c r="BR1117" s="182"/>
      <c r="BS1117" s="182"/>
      <c r="BT1117" s="182"/>
      <c r="BU1117" s="182"/>
      <c r="BV1117" s="182"/>
      <c r="BW1117" s="182"/>
      <c r="BX1117" s="182"/>
      <c r="BY1117" s="182"/>
      <c r="BZ1117" s="182"/>
      <c r="CA1117" s="182"/>
      <c r="CB1117" s="185">
        <v>8350</v>
      </c>
      <c r="CC1117" s="185">
        <v>0</v>
      </c>
      <c r="CD1117" s="185">
        <v>2465</v>
      </c>
      <c r="CE1117" s="185"/>
    </row>
    <row r="1118" spans="2:83" x14ac:dyDescent="0.3">
      <c r="B1118" s="182">
        <v>4695</v>
      </c>
      <c r="C1118" s="182">
        <v>2466</v>
      </c>
      <c r="D1118" s="182" t="s">
        <v>121</v>
      </c>
      <c r="E1118" s="181" t="s">
        <v>4400</v>
      </c>
      <c r="F1118" s="182"/>
      <c r="G1118" s="182">
        <v>4050</v>
      </c>
      <c r="H1118" s="182"/>
      <c r="I1118" s="182"/>
      <c r="J1118" s="182"/>
      <c r="K1118" s="182"/>
      <c r="L1118" s="182"/>
      <c r="M1118" s="182"/>
      <c r="N1118" s="182"/>
      <c r="O1118" s="182"/>
      <c r="P1118" s="182"/>
      <c r="Q1118" s="182"/>
      <c r="R1118" s="182"/>
      <c r="S1118" s="182"/>
      <c r="T1118" s="182"/>
      <c r="U1118" s="182"/>
      <c r="V1118" s="182"/>
      <c r="W1118" s="182"/>
      <c r="X1118" s="182"/>
      <c r="Y1118" s="182"/>
      <c r="Z1118" s="182"/>
      <c r="AA1118" s="182"/>
      <c r="AB1118" s="182"/>
      <c r="AC1118" s="182"/>
      <c r="AD1118" s="182"/>
      <c r="AE1118" s="182"/>
      <c r="AF1118" s="182"/>
      <c r="AG1118" s="182"/>
      <c r="AH1118" s="182"/>
      <c r="AI1118" s="182"/>
      <c r="AJ1118" s="182"/>
      <c r="AK1118" s="182"/>
      <c r="AL1118" s="182"/>
      <c r="AM1118" s="182"/>
      <c r="AN1118" s="182"/>
      <c r="AO1118" s="182"/>
      <c r="AP1118" s="182"/>
      <c r="AQ1118" s="185">
        <v>4050</v>
      </c>
      <c r="AR1118" s="182">
        <v>3615</v>
      </c>
      <c r="AS1118" s="182">
        <v>435</v>
      </c>
      <c r="AT1118" s="182"/>
      <c r="AU1118" s="182"/>
      <c r="AV1118" s="182"/>
      <c r="AW1118" s="182"/>
      <c r="AX1118" s="182"/>
      <c r="AY1118" s="182"/>
      <c r="AZ1118" s="182"/>
      <c r="BA1118" s="182"/>
      <c r="BB1118" s="182"/>
      <c r="BC1118" s="182"/>
      <c r="BD1118" s="182"/>
      <c r="BE1118" s="182"/>
      <c r="BF1118" s="182"/>
      <c r="BG1118" s="182"/>
      <c r="BH1118" s="182"/>
      <c r="BI1118" s="182"/>
      <c r="BJ1118" s="182"/>
      <c r="BK1118" s="182"/>
      <c r="BL1118" s="182"/>
      <c r="BM1118" s="182"/>
      <c r="BN1118" s="182"/>
      <c r="BO1118" s="182"/>
      <c r="BP1118" s="182"/>
      <c r="BQ1118" s="182"/>
      <c r="BR1118" s="182"/>
      <c r="BS1118" s="182"/>
      <c r="BT1118" s="182"/>
      <c r="BU1118" s="182"/>
      <c r="BV1118" s="182"/>
      <c r="BW1118" s="182"/>
      <c r="BX1118" s="182"/>
      <c r="BY1118" s="182"/>
      <c r="BZ1118" s="182"/>
      <c r="CA1118" s="182"/>
      <c r="CB1118" s="185">
        <v>4050</v>
      </c>
      <c r="CC1118" s="185">
        <v>0</v>
      </c>
      <c r="CD1118" s="185">
        <v>2466</v>
      </c>
      <c r="CE1118" s="185"/>
    </row>
    <row r="1119" spans="2:83" x14ac:dyDescent="0.3">
      <c r="B1119" s="182">
        <v>4696</v>
      </c>
      <c r="C1119" s="182">
        <v>2467</v>
      </c>
      <c r="D1119" s="182" t="s">
        <v>121</v>
      </c>
      <c r="E1119" s="181" t="s">
        <v>4400</v>
      </c>
      <c r="F1119" s="182"/>
      <c r="G1119" s="182">
        <v>5000</v>
      </c>
      <c r="H1119" s="182"/>
      <c r="I1119" s="182"/>
      <c r="J1119" s="182"/>
      <c r="K1119" s="182"/>
      <c r="L1119" s="182"/>
      <c r="M1119" s="182"/>
      <c r="N1119" s="182"/>
      <c r="O1119" s="182"/>
      <c r="P1119" s="182"/>
      <c r="Q1119" s="182"/>
      <c r="R1119" s="182"/>
      <c r="S1119" s="182"/>
      <c r="T1119" s="182"/>
      <c r="U1119" s="182"/>
      <c r="V1119" s="182"/>
      <c r="W1119" s="182"/>
      <c r="X1119" s="182"/>
      <c r="Y1119" s="182"/>
      <c r="Z1119" s="182"/>
      <c r="AA1119" s="182"/>
      <c r="AB1119" s="182"/>
      <c r="AC1119" s="182"/>
      <c r="AD1119" s="182"/>
      <c r="AE1119" s="182"/>
      <c r="AF1119" s="182"/>
      <c r="AG1119" s="182"/>
      <c r="AH1119" s="182"/>
      <c r="AI1119" s="182"/>
      <c r="AJ1119" s="182"/>
      <c r="AK1119" s="182"/>
      <c r="AL1119" s="182"/>
      <c r="AM1119" s="182"/>
      <c r="AN1119" s="182"/>
      <c r="AO1119" s="182"/>
      <c r="AP1119" s="182"/>
      <c r="AQ1119" s="185">
        <v>5000</v>
      </c>
      <c r="AR1119" s="182">
        <v>4462.8500000000004</v>
      </c>
      <c r="AS1119" s="182">
        <v>537.15</v>
      </c>
      <c r="AT1119" s="182"/>
      <c r="AU1119" s="182"/>
      <c r="AV1119" s="182"/>
      <c r="AW1119" s="182"/>
      <c r="AX1119" s="182"/>
      <c r="AY1119" s="182"/>
      <c r="AZ1119" s="182"/>
      <c r="BA1119" s="182"/>
      <c r="BB1119" s="182"/>
      <c r="BC1119" s="182"/>
      <c r="BD1119" s="182"/>
      <c r="BE1119" s="182"/>
      <c r="BF1119" s="182"/>
      <c r="BG1119" s="182"/>
      <c r="BH1119" s="182"/>
      <c r="BI1119" s="182"/>
      <c r="BJ1119" s="182"/>
      <c r="BK1119" s="182"/>
      <c r="BL1119" s="182"/>
      <c r="BM1119" s="182"/>
      <c r="BN1119" s="182"/>
      <c r="BO1119" s="182"/>
      <c r="BP1119" s="182"/>
      <c r="BQ1119" s="182"/>
      <c r="BR1119" s="182"/>
      <c r="BS1119" s="182"/>
      <c r="BT1119" s="182"/>
      <c r="BU1119" s="182"/>
      <c r="BV1119" s="182"/>
      <c r="BW1119" s="182"/>
      <c r="BX1119" s="182"/>
      <c r="BY1119" s="182"/>
      <c r="BZ1119" s="182"/>
      <c r="CA1119" s="182"/>
      <c r="CB1119" s="185">
        <v>5000</v>
      </c>
      <c r="CC1119" s="185">
        <v>0</v>
      </c>
      <c r="CD1119" s="185">
        <v>2467</v>
      </c>
      <c r="CE1119" s="185"/>
    </row>
    <row r="1120" spans="2:83" x14ac:dyDescent="0.3">
      <c r="B1120" s="182">
        <v>4697</v>
      </c>
      <c r="C1120" s="182">
        <v>2468</v>
      </c>
      <c r="D1120" s="182" t="s">
        <v>121</v>
      </c>
      <c r="E1120" s="181" t="s">
        <v>4400</v>
      </c>
      <c r="F1120" s="182"/>
      <c r="G1120" s="182">
        <v>5350</v>
      </c>
      <c r="H1120" s="182"/>
      <c r="I1120" s="182"/>
      <c r="J1120" s="182"/>
      <c r="K1120" s="182"/>
      <c r="L1120" s="182"/>
      <c r="M1120" s="182"/>
      <c r="N1120" s="182"/>
      <c r="O1120" s="182"/>
      <c r="P1120" s="182"/>
      <c r="Q1120" s="182"/>
      <c r="R1120" s="182"/>
      <c r="S1120" s="182"/>
      <c r="T1120" s="182"/>
      <c r="U1120" s="182"/>
      <c r="V1120" s="182"/>
      <c r="W1120" s="182"/>
      <c r="X1120" s="182"/>
      <c r="Y1120" s="182"/>
      <c r="Z1120" s="182"/>
      <c r="AA1120" s="182"/>
      <c r="AB1120" s="182"/>
      <c r="AC1120" s="182"/>
      <c r="AD1120" s="182"/>
      <c r="AE1120" s="182"/>
      <c r="AF1120" s="182"/>
      <c r="AG1120" s="182"/>
      <c r="AH1120" s="182"/>
      <c r="AI1120" s="182"/>
      <c r="AJ1120" s="182"/>
      <c r="AK1120" s="182"/>
      <c r="AL1120" s="182"/>
      <c r="AM1120" s="182"/>
      <c r="AN1120" s="182"/>
      <c r="AO1120" s="182"/>
      <c r="AP1120" s="182"/>
      <c r="AQ1120" s="185">
        <v>5350</v>
      </c>
      <c r="AR1120" s="182">
        <v>4775.6000000000004</v>
      </c>
      <c r="AS1120" s="182">
        <v>574.4</v>
      </c>
      <c r="AT1120" s="182"/>
      <c r="AU1120" s="182"/>
      <c r="AV1120" s="182"/>
      <c r="AW1120" s="182"/>
      <c r="AX1120" s="182"/>
      <c r="AY1120" s="182"/>
      <c r="AZ1120" s="182"/>
      <c r="BA1120" s="182"/>
      <c r="BB1120" s="182"/>
      <c r="BC1120" s="182"/>
      <c r="BD1120" s="182"/>
      <c r="BE1120" s="182"/>
      <c r="BF1120" s="182"/>
      <c r="BG1120" s="182"/>
      <c r="BH1120" s="182"/>
      <c r="BI1120" s="182"/>
      <c r="BJ1120" s="182"/>
      <c r="BK1120" s="182"/>
      <c r="BL1120" s="182"/>
      <c r="BM1120" s="182"/>
      <c r="BN1120" s="182"/>
      <c r="BO1120" s="182"/>
      <c r="BP1120" s="182"/>
      <c r="BQ1120" s="182"/>
      <c r="BR1120" s="182"/>
      <c r="BS1120" s="182"/>
      <c r="BT1120" s="182"/>
      <c r="BU1120" s="182"/>
      <c r="BV1120" s="182"/>
      <c r="BW1120" s="182"/>
      <c r="BX1120" s="182"/>
      <c r="BY1120" s="182"/>
      <c r="BZ1120" s="182"/>
      <c r="CA1120" s="182"/>
      <c r="CB1120" s="185">
        <v>5350</v>
      </c>
      <c r="CC1120" s="185">
        <v>0</v>
      </c>
      <c r="CD1120" s="185">
        <v>2468</v>
      </c>
      <c r="CE1120" s="185"/>
    </row>
    <row r="1121" spans="2:83" x14ac:dyDescent="0.3">
      <c r="B1121" s="182">
        <v>4698</v>
      </c>
      <c r="C1121" s="182">
        <v>2469</v>
      </c>
      <c r="D1121" s="182" t="s">
        <v>121</v>
      </c>
      <c r="E1121" s="181" t="s">
        <v>4400</v>
      </c>
      <c r="F1121" s="182"/>
      <c r="G1121" s="182">
        <v>8000</v>
      </c>
      <c r="H1121" s="182"/>
      <c r="I1121" s="182"/>
      <c r="J1121" s="182"/>
      <c r="K1121" s="182"/>
      <c r="L1121" s="182"/>
      <c r="M1121" s="182"/>
      <c r="N1121" s="182"/>
      <c r="O1121" s="182"/>
      <c r="P1121" s="182"/>
      <c r="Q1121" s="182"/>
      <c r="R1121" s="182"/>
      <c r="S1121" s="182"/>
      <c r="T1121" s="182"/>
      <c r="U1121" s="182"/>
      <c r="V1121" s="182"/>
      <c r="W1121" s="182"/>
      <c r="X1121" s="182"/>
      <c r="Y1121" s="182"/>
      <c r="Z1121" s="182"/>
      <c r="AA1121" s="182"/>
      <c r="AB1121" s="182"/>
      <c r="AC1121" s="182"/>
      <c r="AD1121" s="182"/>
      <c r="AE1121" s="182"/>
      <c r="AF1121" s="182"/>
      <c r="AG1121" s="182"/>
      <c r="AH1121" s="182"/>
      <c r="AI1121" s="182"/>
      <c r="AJ1121" s="182"/>
      <c r="AK1121" s="182"/>
      <c r="AL1121" s="182"/>
      <c r="AM1121" s="182"/>
      <c r="AN1121" s="182"/>
      <c r="AO1121" s="182"/>
      <c r="AP1121" s="182"/>
      <c r="AQ1121" s="185">
        <v>8000</v>
      </c>
      <c r="AR1121" s="182">
        <v>7136.4</v>
      </c>
      <c r="AS1121" s="182">
        <v>863.6</v>
      </c>
      <c r="AT1121" s="182"/>
      <c r="AU1121" s="182"/>
      <c r="AV1121" s="182"/>
      <c r="AW1121" s="182"/>
      <c r="AX1121" s="182"/>
      <c r="AY1121" s="182"/>
      <c r="AZ1121" s="182"/>
      <c r="BA1121" s="182"/>
      <c r="BB1121" s="182"/>
      <c r="BC1121" s="182"/>
      <c r="BD1121" s="182"/>
      <c r="BE1121" s="182"/>
      <c r="BF1121" s="182"/>
      <c r="BG1121" s="182"/>
      <c r="BH1121" s="182"/>
      <c r="BI1121" s="182"/>
      <c r="BJ1121" s="182"/>
      <c r="BK1121" s="182"/>
      <c r="BL1121" s="182"/>
      <c r="BM1121" s="182"/>
      <c r="BN1121" s="182"/>
      <c r="BO1121" s="182"/>
      <c r="BP1121" s="182"/>
      <c r="BQ1121" s="182"/>
      <c r="BR1121" s="182"/>
      <c r="BS1121" s="182"/>
      <c r="BT1121" s="182"/>
      <c r="BU1121" s="182"/>
      <c r="BV1121" s="182"/>
      <c r="BW1121" s="182"/>
      <c r="BX1121" s="182"/>
      <c r="BY1121" s="182"/>
      <c r="BZ1121" s="182"/>
      <c r="CA1121" s="182"/>
      <c r="CB1121" s="185">
        <v>8000</v>
      </c>
      <c r="CC1121" s="185">
        <v>0</v>
      </c>
      <c r="CD1121" s="185">
        <v>2469</v>
      </c>
      <c r="CE1121" s="185"/>
    </row>
    <row r="1122" spans="2:83" x14ac:dyDescent="0.3">
      <c r="B1122" s="182">
        <v>4707</v>
      </c>
      <c r="C1122" s="182">
        <v>2470</v>
      </c>
      <c r="D1122" s="182" t="s">
        <v>121</v>
      </c>
      <c r="E1122" s="181" t="s">
        <v>4400</v>
      </c>
      <c r="F1122" s="182"/>
      <c r="G1122" s="182">
        <v>14300</v>
      </c>
      <c r="H1122" s="182"/>
      <c r="I1122" s="182"/>
      <c r="J1122" s="182"/>
      <c r="K1122" s="182"/>
      <c r="L1122" s="182"/>
      <c r="M1122" s="182"/>
      <c r="N1122" s="182"/>
      <c r="O1122" s="182"/>
      <c r="P1122" s="182"/>
      <c r="Q1122" s="182"/>
      <c r="R1122" s="182"/>
      <c r="S1122" s="182"/>
      <c r="T1122" s="182"/>
      <c r="U1122" s="182"/>
      <c r="V1122" s="182"/>
      <c r="W1122" s="182"/>
      <c r="X1122" s="182"/>
      <c r="Y1122" s="182"/>
      <c r="Z1122" s="182"/>
      <c r="AA1122" s="182"/>
      <c r="AB1122" s="182"/>
      <c r="AC1122" s="182"/>
      <c r="AD1122" s="182"/>
      <c r="AE1122" s="182"/>
      <c r="AF1122" s="182"/>
      <c r="AG1122" s="182"/>
      <c r="AH1122" s="182"/>
      <c r="AI1122" s="182"/>
      <c r="AJ1122" s="182"/>
      <c r="AK1122" s="182"/>
      <c r="AL1122" s="182"/>
      <c r="AM1122" s="182"/>
      <c r="AN1122" s="182"/>
      <c r="AO1122" s="182"/>
      <c r="AP1122" s="182"/>
      <c r="AQ1122" s="185">
        <v>14300</v>
      </c>
      <c r="AR1122" s="182">
        <v>12756.4</v>
      </c>
      <c r="AS1122" s="182">
        <v>1543.6</v>
      </c>
      <c r="AT1122" s="182"/>
      <c r="AU1122" s="182"/>
      <c r="AV1122" s="182"/>
      <c r="AW1122" s="182"/>
      <c r="AX1122" s="182"/>
      <c r="AY1122" s="182"/>
      <c r="AZ1122" s="182"/>
      <c r="BA1122" s="182"/>
      <c r="BB1122" s="182"/>
      <c r="BC1122" s="182"/>
      <c r="BD1122" s="182"/>
      <c r="BE1122" s="182"/>
      <c r="BF1122" s="182"/>
      <c r="BG1122" s="182"/>
      <c r="BH1122" s="182"/>
      <c r="BI1122" s="182"/>
      <c r="BJ1122" s="182"/>
      <c r="BK1122" s="182"/>
      <c r="BL1122" s="182"/>
      <c r="BM1122" s="182"/>
      <c r="BN1122" s="182"/>
      <c r="BO1122" s="182"/>
      <c r="BP1122" s="182"/>
      <c r="BQ1122" s="182"/>
      <c r="BR1122" s="182"/>
      <c r="BS1122" s="182"/>
      <c r="BT1122" s="182"/>
      <c r="BU1122" s="182"/>
      <c r="BV1122" s="182"/>
      <c r="BW1122" s="182"/>
      <c r="BX1122" s="182"/>
      <c r="BY1122" s="182"/>
      <c r="BZ1122" s="182"/>
      <c r="CA1122" s="182"/>
      <c r="CB1122" s="185">
        <v>14300</v>
      </c>
      <c r="CC1122" s="185">
        <v>0</v>
      </c>
      <c r="CD1122" s="185">
        <v>2470</v>
      </c>
      <c r="CE1122" s="185"/>
    </row>
    <row r="1123" spans="2:83" x14ac:dyDescent="0.3">
      <c r="B1123" s="182">
        <v>4702</v>
      </c>
      <c r="C1123" s="182">
        <v>2471</v>
      </c>
      <c r="D1123" s="182" t="s">
        <v>121</v>
      </c>
      <c r="E1123" s="181" t="s">
        <v>4400</v>
      </c>
      <c r="F1123" s="182"/>
      <c r="G1123" s="182">
        <v>7200</v>
      </c>
      <c r="H1123" s="182"/>
      <c r="I1123" s="182"/>
      <c r="J1123" s="182"/>
      <c r="K1123" s="182"/>
      <c r="L1123" s="182"/>
      <c r="M1123" s="182"/>
      <c r="N1123" s="182"/>
      <c r="O1123" s="182"/>
      <c r="P1123" s="182"/>
      <c r="Q1123" s="182"/>
      <c r="R1123" s="182"/>
      <c r="S1123" s="182"/>
      <c r="T1123" s="182"/>
      <c r="U1123" s="182"/>
      <c r="V1123" s="182"/>
      <c r="W1123" s="182"/>
      <c r="X1123" s="182"/>
      <c r="Y1123" s="182"/>
      <c r="Z1123" s="182"/>
      <c r="AA1123" s="182"/>
      <c r="AB1123" s="182"/>
      <c r="AC1123" s="182"/>
      <c r="AD1123" s="182"/>
      <c r="AE1123" s="182"/>
      <c r="AF1123" s="182"/>
      <c r="AG1123" s="182"/>
      <c r="AH1123" s="182"/>
      <c r="AI1123" s="182"/>
      <c r="AJ1123" s="182"/>
      <c r="AK1123" s="182"/>
      <c r="AL1123" s="182"/>
      <c r="AM1123" s="182"/>
      <c r="AN1123" s="182"/>
      <c r="AO1123" s="182"/>
      <c r="AP1123" s="182"/>
      <c r="AQ1123" s="185">
        <v>7200</v>
      </c>
      <c r="AR1123" s="182">
        <v>6427.4</v>
      </c>
      <c r="AS1123" s="182">
        <v>772.6</v>
      </c>
      <c r="AT1123" s="182"/>
      <c r="AU1123" s="182"/>
      <c r="AV1123" s="182"/>
      <c r="AW1123" s="182"/>
      <c r="AX1123" s="182"/>
      <c r="AY1123" s="182"/>
      <c r="AZ1123" s="182"/>
      <c r="BA1123" s="182"/>
      <c r="BB1123" s="182"/>
      <c r="BC1123" s="182"/>
      <c r="BD1123" s="182"/>
      <c r="BE1123" s="182"/>
      <c r="BF1123" s="182"/>
      <c r="BG1123" s="182"/>
      <c r="BH1123" s="182"/>
      <c r="BI1123" s="182"/>
      <c r="BJ1123" s="182"/>
      <c r="BK1123" s="182"/>
      <c r="BL1123" s="182"/>
      <c r="BM1123" s="182"/>
      <c r="BN1123" s="182"/>
      <c r="BO1123" s="182"/>
      <c r="BP1123" s="182"/>
      <c r="BQ1123" s="182"/>
      <c r="BR1123" s="182"/>
      <c r="BS1123" s="182"/>
      <c r="BT1123" s="182"/>
      <c r="BU1123" s="182"/>
      <c r="BV1123" s="182"/>
      <c r="BW1123" s="182"/>
      <c r="BX1123" s="182"/>
      <c r="BY1123" s="182"/>
      <c r="BZ1123" s="182"/>
      <c r="CA1123" s="182"/>
      <c r="CB1123" s="185">
        <v>7200</v>
      </c>
      <c r="CC1123" s="185">
        <v>0</v>
      </c>
      <c r="CD1123" s="185">
        <v>2471</v>
      </c>
      <c r="CE1123" s="185"/>
    </row>
    <row r="1124" spans="2:83" x14ac:dyDescent="0.3">
      <c r="B1124" s="182">
        <v>4702</v>
      </c>
      <c r="C1124" s="182">
        <v>2472</v>
      </c>
      <c r="D1124" s="182" t="s">
        <v>121</v>
      </c>
      <c r="E1124" s="181" t="s">
        <v>4400</v>
      </c>
      <c r="F1124" s="182"/>
      <c r="G1124" s="182">
        <v>7000</v>
      </c>
      <c r="H1124" s="182"/>
      <c r="I1124" s="182"/>
      <c r="J1124" s="182"/>
      <c r="K1124" s="182"/>
      <c r="L1124" s="182"/>
      <c r="M1124" s="182"/>
      <c r="N1124" s="182"/>
      <c r="O1124" s="182"/>
      <c r="P1124" s="182"/>
      <c r="Q1124" s="182"/>
      <c r="R1124" s="182"/>
      <c r="S1124" s="182"/>
      <c r="T1124" s="182"/>
      <c r="U1124" s="182"/>
      <c r="V1124" s="182"/>
      <c r="W1124" s="182"/>
      <c r="X1124" s="182"/>
      <c r="Y1124" s="182"/>
      <c r="Z1124" s="182"/>
      <c r="AA1124" s="182"/>
      <c r="AB1124" s="182"/>
      <c r="AC1124" s="182"/>
      <c r="AD1124" s="182"/>
      <c r="AE1124" s="182"/>
      <c r="AF1124" s="182"/>
      <c r="AG1124" s="182"/>
      <c r="AH1124" s="182"/>
      <c r="AI1124" s="182"/>
      <c r="AJ1124" s="182"/>
      <c r="AK1124" s="182"/>
      <c r="AL1124" s="182"/>
      <c r="AM1124" s="182"/>
      <c r="AN1124" s="182"/>
      <c r="AO1124" s="182"/>
      <c r="AP1124" s="182"/>
      <c r="AQ1124" s="185">
        <v>7000</v>
      </c>
      <c r="AR1124" s="182">
        <v>6244.4</v>
      </c>
      <c r="AS1124" s="182">
        <v>755.6</v>
      </c>
      <c r="AT1124" s="182"/>
      <c r="AU1124" s="182"/>
      <c r="AV1124" s="182"/>
      <c r="AW1124" s="182"/>
      <c r="AX1124" s="182"/>
      <c r="AY1124" s="182"/>
      <c r="AZ1124" s="182"/>
      <c r="BA1124" s="182"/>
      <c r="BB1124" s="182"/>
      <c r="BC1124" s="182"/>
      <c r="BD1124" s="182"/>
      <c r="BE1124" s="182"/>
      <c r="BF1124" s="182"/>
      <c r="BG1124" s="182"/>
      <c r="BH1124" s="182"/>
      <c r="BI1124" s="182"/>
      <c r="BJ1124" s="182"/>
      <c r="BK1124" s="182"/>
      <c r="BL1124" s="182"/>
      <c r="BM1124" s="182"/>
      <c r="BN1124" s="182"/>
      <c r="BO1124" s="182"/>
      <c r="BP1124" s="182"/>
      <c r="BQ1124" s="182"/>
      <c r="BR1124" s="182"/>
      <c r="BS1124" s="182"/>
      <c r="BT1124" s="182"/>
      <c r="BU1124" s="182"/>
      <c r="BV1124" s="182"/>
      <c r="BW1124" s="182"/>
      <c r="BX1124" s="182"/>
      <c r="BY1124" s="182"/>
      <c r="BZ1124" s="182"/>
      <c r="CA1124" s="182"/>
      <c r="CB1124" s="185">
        <v>7000</v>
      </c>
      <c r="CC1124" s="185">
        <v>0</v>
      </c>
      <c r="CD1124" s="185">
        <v>2472</v>
      </c>
      <c r="CE1124" s="185"/>
    </row>
    <row r="1125" spans="2:83" x14ac:dyDescent="0.3">
      <c r="B1125" s="182">
        <v>4703</v>
      </c>
      <c r="C1125" s="182">
        <v>2473</v>
      </c>
      <c r="D1125" s="182" t="s">
        <v>121</v>
      </c>
      <c r="E1125" s="181" t="s">
        <v>4400</v>
      </c>
      <c r="F1125" s="182"/>
      <c r="G1125" s="182">
        <v>9250</v>
      </c>
      <c r="H1125" s="182"/>
      <c r="I1125" s="182"/>
      <c r="J1125" s="182"/>
      <c r="K1125" s="182"/>
      <c r="L1125" s="182"/>
      <c r="M1125" s="182"/>
      <c r="N1125" s="182"/>
      <c r="O1125" s="182"/>
      <c r="P1125" s="182"/>
      <c r="Q1125" s="182"/>
      <c r="R1125" s="182"/>
      <c r="S1125" s="182"/>
      <c r="T1125" s="182"/>
      <c r="U1125" s="182"/>
      <c r="V1125" s="182"/>
      <c r="W1125" s="182"/>
      <c r="X1125" s="182"/>
      <c r="Y1125" s="182"/>
      <c r="Z1125" s="182"/>
      <c r="AA1125" s="182"/>
      <c r="AB1125" s="182"/>
      <c r="AC1125" s="182"/>
      <c r="AD1125" s="182"/>
      <c r="AE1125" s="182"/>
      <c r="AF1125" s="182"/>
      <c r="AG1125" s="182"/>
      <c r="AH1125" s="182"/>
      <c r="AI1125" s="182"/>
      <c r="AJ1125" s="182"/>
      <c r="AK1125" s="182"/>
      <c r="AL1125" s="182"/>
      <c r="AM1125" s="182"/>
      <c r="AN1125" s="182"/>
      <c r="AO1125" s="182"/>
      <c r="AP1125" s="182"/>
      <c r="AQ1125" s="185">
        <v>9250</v>
      </c>
      <c r="AR1125" s="182">
        <v>8256.35</v>
      </c>
      <c r="AS1125" s="182">
        <v>993.65</v>
      </c>
      <c r="AT1125" s="182"/>
      <c r="AU1125" s="182"/>
      <c r="AV1125" s="182"/>
      <c r="AW1125" s="182"/>
      <c r="AX1125" s="182"/>
      <c r="AY1125" s="182"/>
      <c r="AZ1125" s="182"/>
      <c r="BA1125" s="182"/>
      <c r="BB1125" s="182"/>
      <c r="BC1125" s="182"/>
      <c r="BD1125" s="182"/>
      <c r="BE1125" s="182"/>
      <c r="BF1125" s="182"/>
      <c r="BG1125" s="182"/>
      <c r="BH1125" s="182"/>
      <c r="BI1125" s="182"/>
      <c r="BJ1125" s="182"/>
      <c r="BK1125" s="182"/>
      <c r="BL1125" s="182"/>
      <c r="BM1125" s="182"/>
      <c r="BN1125" s="182"/>
      <c r="BO1125" s="182"/>
      <c r="BP1125" s="182"/>
      <c r="BQ1125" s="182"/>
      <c r="BR1125" s="182"/>
      <c r="BS1125" s="182"/>
      <c r="BT1125" s="182"/>
      <c r="BU1125" s="182"/>
      <c r="BV1125" s="182"/>
      <c r="BW1125" s="182"/>
      <c r="BX1125" s="182"/>
      <c r="BY1125" s="182"/>
      <c r="BZ1125" s="182"/>
      <c r="CA1125" s="182"/>
      <c r="CB1125" s="185">
        <v>9250</v>
      </c>
      <c r="CC1125" s="185">
        <v>0</v>
      </c>
      <c r="CD1125" s="185">
        <v>2473</v>
      </c>
      <c r="CE1125" s="185"/>
    </row>
    <row r="1126" spans="2:83" x14ac:dyDescent="0.3">
      <c r="B1126" s="182">
        <v>4704</v>
      </c>
      <c r="C1126" s="182">
        <v>2474</v>
      </c>
      <c r="D1126" s="182" t="s">
        <v>121</v>
      </c>
      <c r="E1126" s="181" t="s">
        <v>4400</v>
      </c>
      <c r="F1126" s="182"/>
      <c r="G1126" s="182">
        <v>11000</v>
      </c>
      <c r="H1126" s="182"/>
      <c r="I1126" s="182"/>
      <c r="J1126" s="182"/>
      <c r="K1126" s="182"/>
      <c r="L1126" s="182"/>
      <c r="M1126" s="182"/>
      <c r="N1126" s="182"/>
      <c r="O1126" s="182"/>
      <c r="P1126" s="182"/>
      <c r="Q1126" s="182"/>
      <c r="R1126" s="182"/>
      <c r="S1126" s="182"/>
      <c r="T1126" s="182"/>
      <c r="U1126" s="182"/>
      <c r="V1126" s="182"/>
      <c r="W1126" s="182"/>
      <c r="X1126" s="182"/>
      <c r="Y1126" s="182"/>
      <c r="Z1126" s="182"/>
      <c r="AA1126" s="182"/>
      <c r="AB1126" s="182"/>
      <c r="AC1126" s="182"/>
      <c r="AD1126" s="182"/>
      <c r="AE1126" s="182"/>
      <c r="AF1126" s="182"/>
      <c r="AG1126" s="182"/>
      <c r="AH1126" s="182"/>
      <c r="AI1126" s="182"/>
      <c r="AJ1126" s="182"/>
      <c r="AK1126" s="182"/>
      <c r="AL1126" s="182"/>
      <c r="AM1126" s="182"/>
      <c r="AN1126" s="182"/>
      <c r="AO1126" s="182"/>
      <c r="AP1126" s="182"/>
      <c r="AQ1126" s="185">
        <v>11000</v>
      </c>
      <c r="AR1126" s="182">
        <v>9818.5499999999993</v>
      </c>
      <c r="AS1126" s="182">
        <v>1181.45</v>
      </c>
      <c r="AT1126" s="182"/>
      <c r="AU1126" s="182"/>
      <c r="AV1126" s="182"/>
      <c r="AW1126" s="182"/>
      <c r="AX1126" s="182"/>
      <c r="AY1126" s="182"/>
      <c r="AZ1126" s="182"/>
      <c r="BA1126" s="182"/>
      <c r="BB1126" s="182"/>
      <c r="BC1126" s="182"/>
      <c r="BD1126" s="182"/>
      <c r="BE1126" s="182"/>
      <c r="BF1126" s="182"/>
      <c r="BG1126" s="182"/>
      <c r="BH1126" s="182"/>
      <c r="BI1126" s="182"/>
      <c r="BJ1126" s="182"/>
      <c r="BK1126" s="182"/>
      <c r="BL1126" s="182"/>
      <c r="BM1126" s="182"/>
      <c r="BN1126" s="182"/>
      <c r="BO1126" s="182"/>
      <c r="BP1126" s="182"/>
      <c r="BQ1126" s="182"/>
      <c r="BR1126" s="182"/>
      <c r="BS1126" s="182"/>
      <c r="BT1126" s="182"/>
      <c r="BU1126" s="182"/>
      <c r="BV1126" s="182"/>
      <c r="BW1126" s="182"/>
      <c r="BX1126" s="182"/>
      <c r="BY1126" s="182"/>
      <c r="BZ1126" s="182"/>
      <c r="CA1126" s="182"/>
      <c r="CB1126" s="185">
        <v>11000</v>
      </c>
      <c r="CC1126" s="185">
        <v>0</v>
      </c>
      <c r="CD1126" s="185">
        <v>2474</v>
      </c>
      <c r="CE1126" s="185"/>
    </row>
    <row r="1127" spans="2:83" x14ac:dyDescent="0.3">
      <c r="B1127" s="182">
        <v>4706</v>
      </c>
      <c r="C1127" s="182">
        <v>2475</v>
      </c>
      <c r="D1127" s="182" t="s">
        <v>121</v>
      </c>
      <c r="E1127" s="181" t="s">
        <v>4400</v>
      </c>
      <c r="F1127" s="182"/>
      <c r="G1127" s="182">
        <v>1600</v>
      </c>
      <c r="H1127" s="182"/>
      <c r="I1127" s="182"/>
      <c r="J1127" s="182"/>
      <c r="K1127" s="182"/>
      <c r="L1127" s="182"/>
      <c r="M1127" s="182"/>
      <c r="N1127" s="182"/>
      <c r="O1127" s="182"/>
      <c r="P1127" s="182"/>
      <c r="Q1127" s="182"/>
      <c r="R1127" s="182"/>
      <c r="S1127" s="182"/>
      <c r="T1127" s="182"/>
      <c r="U1127" s="182"/>
      <c r="V1127" s="182"/>
      <c r="W1127" s="182"/>
      <c r="X1127" s="182"/>
      <c r="Y1127" s="182"/>
      <c r="Z1127" s="182"/>
      <c r="AA1127" s="182"/>
      <c r="AB1127" s="182"/>
      <c r="AC1127" s="182"/>
      <c r="AD1127" s="182"/>
      <c r="AE1127" s="182"/>
      <c r="AF1127" s="182"/>
      <c r="AG1127" s="182"/>
      <c r="AH1127" s="182"/>
      <c r="AI1127" s="182"/>
      <c r="AJ1127" s="182"/>
      <c r="AK1127" s="182"/>
      <c r="AL1127" s="182"/>
      <c r="AM1127" s="182"/>
      <c r="AN1127" s="182"/>
      <c r="AO1127" s="182"/>
      <c r="AP1127" s="182"/>
      <c r="AQ1127" s="185">
        <v>1600</v>
      </c>
      <c r="AR1127" s="182">
        <v>1428.35</v>
      </c>
      <c r="AS1127" s="182">
        <v>171.65</v>
      </c>
      <c r="AT1127" s="182"/>
      <c r="AU1127" s="182"/>
      <c r="AV1127" s="182"/>
      <c r="AW1127" s="182"/>
      <c r="AX1127" s="182"/>
      <c r="AY1127" s="182"/>
      <c r="AZ1127" s="182"/>
      <c r="BA1127" s="182"/>
      <c r="BB1127" s="182"/>
      <c r="BC1127" s="182"/>
      <c r="BD1127" s="182"/>
      <c r="BE1127" s="182"/>
      <c r="BF1127" s="182"/>
      <c r="BG1127" s="182"/>
      <c r="BH1127" s="182"/>
      <c r="BI1127" s="182"/>
      <c r="BJ1127" s="182"/>
      <c r="BK1127" s="182"/>
      <c r="BL1127" s="182"/>
      <c r="BM1127" s="182"/>
      <c r="BN1127" s="182"/>
      <c r="BO1127" s="182"/>
      <c r="BP1127" s="182"/>
      <c r="BQ1127" s="182"/>
      <c r="BR1127" s="182"/>
      <c r="BS1127" s="182"/>
      <c r="BT1127" s="182"/>
      <c r="BU1127" s="182"/>
      <c r="BV1127" s="182"/>
      <c r="BW1127" s="182"/>
      <c r="BX1127" s="182"/>
      <c r="BY1127" s="182"/>
      <c r="BZ1127" s="182"/>
      <c r="CA1127" s="182"/>
      <c r="CB1127" s="185">
        <v>1600</v>
      </c>
      <c r="CC1127" s="185">
        <v>0</v>
      </c>
      <c r="CD1127" s="185">
        <v>2475</v>
      </c>
      <c r="CE1127" s="185"/>
    </row>
    <row r="1128" spans="2:83" x14ac:dyDescent="0.3">
      <c r="B1128" s="182">
        <v>4705</v>
      </c>
      <c r="C1128" s="182">
        <v>2476</v>
      </c>
      <c r="D1128" s="182" t="s">
        <v>121</v>
      </c>
      <c r="E1128" s="181" t="s">
        <v>4400</v>
      </c>
      <c r="F1128" s="182"/>
      <c r="G1128" s="182">
        <v>2000</v>
      </c>
      <c r="H1128" s="182"/>
      <c r="I1128" s="182"/>
      <c r="J1128" s="182"/>
      <c r="K1128" s="182"/>
      <c r="L1128" s="182"/>
      <c r="M1128" s="182"/>
      <c r="N1128" s="182"/>
      <c r="O1128" s="182"/>
      <c r="P1128" s="182"/>
      <c r="Q1128" s="182"/>
      <c r="R1128" s="182"/>
      <c r="S1128" s="182"/>
      <c r="T1128" s="182"/>
      <c r="U1128" s="182"/>
      <c r="V1128" s="182"/>
      <c r="W1128" s="182"/>
      <c r="X1128" s="182"/>
      <c r="Y1128" s="182"/>
      <c r="Z1128" s="182"/>
      <c r="AA1128" s="182"/>
      <c r="AB1128" s="182"/>
      <c r="AC1128" s="182"/>
      <c r="AD1128" s="182"/>
      <c r="AE1128" s="182"/>
      <c r="AF1128" s="182"/>
      <c r="AG1128" s="182"/>
      <c r="AH1128" s="182"/>
      <c r="AI1128" s="182"/>
      <c r="AJ1128" s="182"/>
      <c r="AK1128" s="182"/>
      <c r="AL1128" s="182"/>
      <c r="AM1128" s="182"/>
      <c r="AN1128" s="182"/>
      <c r="AO1128" s="182"/>
      <c r="AP1128" s="182"/>
      <c r="AQ1128" s="185">
        <v>2000</v>
      </c>
      <c r="AR1128" s="182">
        <v>1785.35</v>
      </c>
      <c r="AS1128" s="182">
        <v>214.65</v>
      </c>
      <c r="AT1128" s="182"/>
      <c r="AU1128" s="182"/>
      <c r="AV1128" s="182"/>
      <c r="AW1128" s="182"/>
      <c r="AX1128" s="182"/>
      <c r="AY1128" s="182"/>
      <c r="AZ1128" s="182"/>
      <c r="BA1128" s="182"/>
      <c r="BB1128" s="182"/>
      <c r="BC1128" s="182"/>
      <c r="BD1128" s="182"/>
      <c r="BE1128" s="182"/>
      <c r="BF1128" s="182"/>
      <c r="BG1128" s="182"/>
      <c r="BH1128" s="182"/>
      <c r="BI1128" s="182"/>
      <c r="BJ1128" s="182"/>
      <c r="BK1128" s="182"/>
      <c r="BL1128" s="182"/>
      <c r="BM1128" s="182"/>
      <c r="BN1128" s="182"/>
      <c r="BO1128" s="182"/>
      <c r="BP1128" s="182"/>
      <c r="BQ1128" s="182"/>
      <c r="BR1128" s="182"/>
      <c r="BS1128" s="182"/>
      <c r="BT1128" s="182"/>
      <c r="BU1128" s="182"/>
      <c r="BV1128" s="182"/>
      <c r="BW1128" s="182"/>
      <c r="BX1128" s="182"/>
      <c r="BY1128" s="182"/>
      <c r="BZ1128" s="182"/>
      <c r="CA1128" s="182"/>
      <c r="CB1128" s="185">
        <v>2000</v>
      </c>
      <c r="CC1128" s="185">
        <v>0</v>
      </c>
      <c r="CD1128" s="185">
        <v>2476</v>
      </c>
      <c r="CE1128" s="185"/>
    </row>
    <row r="1129" spans="2:83" x14ac:dyDescent="0.3">
      <c r="B1129" s="182">
        <v>4707</v>
      </c>
      <c r="C1129" s="182">
        <v>2477</v>
      </c>
      <c r="D1129" s="182" t="s">
        <v>121</v>
      </c>
      <c r="E1129" s="181" t="s">
        <v>4400</v>
      </c>
      <c r="F1129" s="182"/>
      <c r="G1129" s="182">
        <v>6450</v>
      </c>
      <c r="H1129" s="182"/>
      <c r="I1129" s="182"/>
      <c r="J1129" s="182"/>
      <c r="K1129" s="182"/>
      <c r="L1129" s="182"/>
      <c r="M1129" s="182"/>
      <c r="N1129" s="182"/>
      <c r="O1129" s="182"/>
      <c r="P1129" s="182"/>
      <c r="Q1129" s="182"/>
      <c r="R1129" s="182"/>
      <c r="S1129" s="182"/>
      <c r="T1129" s="182"/>
      <c r="U1129" s="182"/>
      <c r="V1129" s="182"/>
      <c r="W1129" s="182"/>
      <c r="X1129" s="182"/>
      <c r="Y1129" s="182"/>
      <c r="Z1129" s="182"/>
      <c r="AA1129" s="182"/>
      <c r="AB1129" s="182"/>
      <c r="AC1129" s="182"/>
      <c r="AD1129" s="182"/>
      <c r="AE1129" s="182"/>
      <c r="AF1129" s="182"/>
      <c r="AG1129" s="182"/>
      <c r="AH1129" s="182"/>
      <c r="AI1129" s="182"/>
      <c r="AJ1129" s="182"/>
      <c r="AK1129" s="182"/>
      <c r="AL1129" s="182"/>
      <c r="AM1129" s="182"/>
      <c r="AN1129" s="182"/>
      <c r="AO1129" s="182"/>
      <c r="AP1129" s="182"/>
      <c r="AQ1129" s="185">
        <v>6450</v>
      </c>
      <c r="AR1129" s="182">
        <v>5757.35</v>
      </c>
      <c r="AS1129" s="182">
        <v>692.65</v>
      </c>
      <c r="AT1129" s="182"/>
      <c r="AU1129" s="182"/>
      <c r="AV1129" s="182"/>
      <c r="AW1129" s="182"/>
      <c r="AX1129" s="182"/>
      <c r="AY1129" s="182"/>
      <c r="AZ1129" s="182"/>
      <c r="BA1129" s="182"/>
      <c r="BB1129" s="182"/>
      <c r="BC1129" s="182"/>
      <c r="BD1129" s="182"/>
      <c r="BE1129" s="182"/>
      <c r="BF1129" s="182"/>
      <c r="BG1129" s="182"/>
      <c r="BH1129" s="182"/>
      <c r="BI1129" s="182"/>
      <c r="BJ1129" s="182"/>
      <c r="BK1129" s="182"/>
      <c r="BL1129" s="182"/>
      <c r="BM1129" s="182"/>
      <c r="BN1129" s="182"/>
      <c r="BO1129" s="182"/>
      <c r="BP1129" s="182"/>
      <c r="BQ1129" s="182"/>
      <c r="BR1129" s="182"/>
      <c r="BS1129" s="182"/>
      <c r="BT1129" s="182"/>
      <c r="BU1129" s="182"/>
      <c r="BV1129" s="182"/>
      <c r="BW1129" s="182"/>
      <c r="BX1129" s="182"/>
      <c r="BY1129" s="182"/>
      <c r="BZ1129" s="182"/>
      <c r="CA1129" s="182"/>
      <c r="CB1129" s="185">
        <v>6450</v>
      </c>
      <c r="CC1129" s="185">
        <v>0</v>
      </c>
      <c r="CD1129" s="185">
        <v>2477</v>
      </c>
      <c r="CE1129" s="185"/>
    </row>
    <row r="1130" spans="2:83" x14ac:dyDescent="0.3">
      <c r="B1130" s="182">
        <v>4708</v>
      </c>
      <c r="C1130" s="182">
        <v>2478</v>
      </c>
      <c r="D1130" s="182" t="s">
        <v>121</v>
      </c>
      <c r="E1130" s="181" t="s">
        <v>4400</v>
      </c>
      <c r="F1130" s="182"/>
      <c r="G1130" s="182">
        <v>7400</v>
      </c>
      <c r="H1130" s="182"/>
      <c r="I1130" s="182"/>
      <c r="J1130" s="182"/>
      <c r="K1130" s="182"/>
      <c r="L1130" s="182"/>
      <c r="M1130" s="182"/>
      <c r="N1130" s="182"/>
      <c r="O1130" s="182"/>
      <c r="P1130" s="182"/>
      <c r="Q1130" s="182"/>
      <c r="R1130" s="182"/>
      <c r="S1130" s="182"/>
      <c r="T1130" s="182"/>
      <c r="U1130" s="182"/>
      <c r="V1130" s="182"/>
      <c r="W1130" s="182"/>
      <c r="X1130" s="182"/>
      <c r="Y1130" s="182"/>
      <c r="Z1130" s="182"/>
      <c r="AA1130" s="182"/>
      <c r="AB1130" s="182"/>
      <c r="AC1130" s="182"/>
      <c r="AD1130" s="182"/>
      <c r="AE1130" s="182"/>
      <c r="AF1130" s="182"/>
      <c r="AG1130" s="182"/>
      <c r="AH1130" s="182"/>
      <c r="AI1130" s="182"/>
      <c r="AJ1130" s="182"/>
      <c r="AK1130" s="182"/>
      <c r="AL1130" s="182"/>
      <c r="AM1130" s="182"/>
      <c r="AN1130" s="182"/>
      <c r="AO1130" s="182"/>
      <c r="AP1130" s="182"/>
      <c r="AQ1130" s="185">
        <v>7400</v>
      </c>
      <c r="AR1130" s="182">
        <v>6605.2</v>
      </c>
      <c r="AS1130" s="182">
        <v>794.8</v>
      </c>
      <c r="AT1130" s="182"/>
      <c r="AU1130" s="182"/>
      <c r="AV1130" s="182"/>
      <c r="AW1130" s="182"/>
      <c r="AX1130" s="182"/>
      <c r="AY1130" s="182"/>
      <c r="AZ1130" s="182"/>
      <c r="BA1130" s="182"/>
      <c r="BB1130" s="182"/>
      <c r="BC1130" s="182"/>
      <c r="BD1130" s="182"/>
      <c r="BE1130" s="182"/>
      <c r="BF1130" s="182"/>
      <c r="BG1130" s="182"/>
      <c r="BH1130" s="182"/>
      <c r="BI1130" s="182"/>
      <c r="BJ1130" s="182"/>
      <c r="BK1130" s="182"/>
      <c r="BL1130" s="182"/>
      <c r="BM1130" s="182"/>
      <c r="BN1130" s="182"/>
      <c r="BO1130" s="182"/>
      <c r="BP1130" s="182"/>
      <c r="BQ1130" s="182"/>
      <c r="BR1130" s="182"/>
      <c r="BS1130" s="182"/>
      <c r="BT1130" s="182"/>
      <c r="BU1130" s="182"/>
      <c r="BV1130" s="182"/>
      <c r="BW1130" s="182"/>
      <c r="BX1130" s="182"/>
      <c r="BY1130" s="182"/>
      <c r="BZ1130" s="182"/>
      <c r="CA1130" s="182"/>
      <c r="CB1130" s="185">
        <v>7400</v>
      </c>
      <c r="CC1130" s="185">
        <v>0</v>
      </c>
      <c r="CD1130" s="185">
        <v>2478</v>
      </c>
      <c r="CE1130" s="185"/>
    </row>
    <row r="1131" spans="2:83" x14ac:dyDescent="0.3">
      <c r="B1131" s="182">
        <v>4709</v>
      </c>
      <c r="C1131" s="182">
        <v>2479</v>
      </c>
      <c r="D1131" s="182" t="s">
        <v>121</v>
      </c>
      <c r="E1131" s="181" t="s">
        <v>4400</v>
      </c>
      <c r="F1131" s="182"/>
      <c r="G1131" s="182">
        <v>3542.5</v>
      </c>
      <c r="H1131" s="182"/>
      <c r="I1131" s="182"/>
      <c r="J1131" s="182"/>
      <c r="K1131" s="182"/>
      <c r="L1131" s="182"/>
      <c r="M1131" s="182"/>
      <c r="N1131" s="182"/>
      <c r="O1131" s="182"/>
      <c r="P1131" s="182"/>
      <c r="Q1131" s="182"/>
      <c r="R1131" s="182"/>
      <c r="S1131" s="182"/>
      <c r="T1131" s="182"/>
      <c r="U1131" s="182"/>
      <c r="V1131" s="182"/>
      <c r="W1131" s="182"/>
      <c r="X1131" s="182"/>
      <c r="Y1131" s="182"/>
      <c r="Z1131" s="182"/>
      <c r="AA1131" s="182"/>
      <c r="AB1131" s="182"/>
      <c r="AC1131" s="182"/>
      <c r="AD1131" s="182"/>
      <c r="AE1131" s="182"/>
      <c r="AF1131" s="182"/>
      <c r="AG1131" s="182"/>
      <c r="AH1131" s="182"/>
      <c r="AI1131" s="182"/>
      <c r="AJ1131" s="182"/>
      <c r="AK1131" s="182"/>
      <c r="AL1131" s="182"/>
      <c r="AM1131" s="182"/>
      <c r="AN1131" s="182"/>
      <c r="AO1131" s="182"/>
      <c r="AP1131" s="182"/>
      <c r="AQ1131" s="185">
        <v>3542.5</v>
      </c>
      <c r="AR1131" s="182">
        <v>3115.85</v>
      </c>
      <c r="AS1131" s="182">
        <v>374.15</v>
      </c>
      <c r="AT1131" s="182">
        <v>52.5</v>
      </c>
      <c r="AU1131" s="182"/>
      <c r="AV1131" s="182"/>
      <c r="AW1131" s="182"/>
      <c r="AX1131" s="182"/>
      <c r="AY1131" s="182"/>
      <c r="AZ1131" s="182"/>
      <c r="BA1131" s="182"/>
      <c r="BB1131" s="182"/>
      <c r="BC1131" s="182"/>
      <c r="BD1131" s="182"/>
      <c r="BE1131" s="182"/>
      <c r="BF1131" s="182"/>
      <c r="BG1131" s="182"/>
      <c r="BH1131" s="182"/>
      <c r="BI1131" s="182"/>
      <c r="BJ1131" s="182"/>
      <c r="BK1131" s="182"/>
      <c r="BL1131" s="182"/>
      <c r="BM1131" s="182"/>
      <c r="BN1131" s="182"/>
      <c r="BO1131" s="182"/>
      <c r="BP1131" s="182"/>
      <c r="BQ1131" s="182"/>
      <c r="BR1131" s="182"/>
      <c r="BS1131" s="182"/>
      <c r="BT1131" s="182"/>
      <c r="BU1131" s="182"/>
      <c r="BV1131" s="182"/>
      <c r="BW1131" s="182"/>
      <c r="BX1131" s="182"/>
      <c r="BY1131" s="182"/>
      <c r="BZ1131" s="182"/>
      <c r="CA1131" s="182"/>
      <c r="CB1131" s="185">
        <v>3542.5</v>
      </c>
      <c r="CC1131" s="185">
        <v>0</v>
      </c>
      <c r="CD1131" s="185">
        <v>2479</v>
      </c>
      <c r="CE1131" s="185"/>
    </row>
    <row r="1132" spans="2:83" x14ac:dyDescent="0.3">
      <c r="B1132" s="182">
        <v>4710</v>
      </c>
      <c r="C1132" s="182">
        <v>2480</v>
      </c>
      <c r="D1132" s="182" t="s">
        <v>121</v>
      </c>
      <c r="E1132" s="181" t="s">
        <v>4400</v>
      </c>
      <c r="F1132" s="182"/>
      <c r="G1132" s="182">
        <v>7000</v>
      </c>
      <c r="H1132" s="182"/>
      <c r="I1132" s="182"/>
      <c r="J1132" s="182"/>
      <c r="K1132" s="182"/>
      <c r="L1132" s="182"/>
      <c r="M1132" s="182"/>
      <c r="N1132" s="182"/>
      <c r="O1132" s="182"/>
      <c r="P1132" s="182"/>
      <c r="Q1132" s="182"/>
      <c r="R1132" s="182"/>
      <c r="S1132" s="182"/>
      <c r="T1132" s="182"/>
      <c r="U1132" s="182"/>
      <c r="V1132" s="182"/>
      <c r="W1132" s="182"/>
      <c r="X1132" s="182"/>
      <c r="Y1132" s="182"/>
      <c r="Z1132" s="182"/>
      <c r="AA1132" s="182"/>
      <c r="AB1132" s="182"/>
      <c r="AC1132" s="182"/>
      <c r="AD1132" s="182"/>
      <c r="AE1132" s="182"/>
      <c r="AF1132" s="182"/>
      <c r="AG1132" s="182"/>
      <c r="AH1132" s="182"/>
      <c r="AI1132" s="182"/>
      <c r="AJ1132" s="182"/>
      <c r="AK1132" s="182"/>
      <c r="AL1132" s="182"/>
      <c r="AM1132" s="182"/>
      <c r="AN1132" s="182"/>
      <c r="AO1132" s="182"/>
      <c r="AP1132" s="182"/>
      <c r="AQ1132" s="185">
        <v>7000</v>
      </c>
      <c r="AR1132" s="182">
        <v>6248.55</v>
      </c>
      <c r="AS1132" s="182">
        <v>751.45</v>
      </c>
      <c r="AT1132" s="182"/>
      <c r="AU1132" s="182"/>
      <c r="AV1132" s="182"/>
      <c r="AW1132" s="182"/>
      <c r="AX1132" s="182"/>
      <c r="AY1132" s="182"/>
      <c r="AZ1132" s="182"/>
      <c r="BA1132" s="182"/>
      <c r="BB1132" s="182"/>
      <c r="BC1132" s="182"/>
      <c r="BD1132" s="182"/>
      <c r="BE1132" s="182"/>
      <c r="BF1132" s="182"/>
      <c r="BG1132" s="182"/>
      <c r="BH1132" s="182"/>
      <c r="BI1132" s="182"/>
      <c r="BJ1132" s="182"/>
      <c r="BK1132" s="182"/>
      <c r="BL1132" s="182"/>
      <c r="BM1132" s="182"/>
      <c r="BN1132" s="182"/>
      <c r="BO1132" s="182"/>
      <c r="BP1132" s="182"/>
      <c r="BQ1132" s="182"/>
      <c r="BR1132" s="182"/>
      <c r="BS1132" s="182"/>
      <c r="BT1132" s="182"/>
      <c r="BU1132" s="182"/>
      <c r="BV1132" s="182"/>
      <c r="BW1132" s="182"/>
      <c r="BX1132" s="182"/>
      <c r="BY1132" s="182"/>
      <c r="BZ1132" s="182"/>
      <c r="CA1132" s="182"/>
      <c r="CB1132" s="185">
        <v>7000</v>
      </c>
      <c r="CC1132" s="185">
        <v>0</v>
      </c>
      <c r="CD1132" s="185">
        <v>2480</v>
      </c>
      <c r="CE1132" s="185"/>
    </row>
    <row r="1133" spans="2:83" x14ac:dyDescent="0.3">
      <c r="B1133" s="182">
        <v>4712</v>
      </c>
      <c r="C1133" s="182">
        <v>2481</v>
      </c>
      <c r="D1133" s="182" t="s">
        <v>121</v>
      </c>
      <c r="E1133" s="181" t="s">
        <v>4400</v>
      </c>
      <c r="F1133" s="182"/>
      <c r="G1133" s="182">
        <v>3500</v>
      </c>
      <c r="H1133" s="182"/>
      <c r="I1133" s="182"/>
      <c r="J1133" s="182"/>
      <c r="K1133" s="182"/>
      <c r="L1133" s="182"/>
      <c r="M1133" s="182"/>
      <c r="N1133" s="182"/>
      <c r="O1133" s="182"/>
      <c r="P1133" s="182"/>
      <c r="Q1133" s="182"/>
      <c r="R1133" s="182"/>
      <c r="S1133" s="182"/>
      <c r="T1133" s="182"/>
      <c r="U1133" s="182"/>
      <c r="V1133" s="182"/>
      <c r="W1133" s="182"/>
      <c r="X1133" s="182"/>
      <c r="Y1133" s="182"/>
      <c r="Z1133" s="182"/>
      <c r="AA1133" s="182"/>
      <c r="AB1133" s="182"/>
      <c r="AC1133" s="182"/>
      <c r="AD1133" s="182"/>
      <c r="AE1133" s="182"/>
      <c r="AF1133" s="182"/>
      <c r="AG1133" s="182"/>
      <c r="AH1133" s="182"/>
      <c r="AI1133" s="182"/>
      <c r="AJ1133" s="182"/>
      <c r="AK1133" s="182"/>
      <c r="AL1133" s="182"/>
      <c r="AM1133" s="182"/>
      <c r="AN1133" s="182"/>
      <c r="AO1133" s="182"/>
      <c r="AP1133" s="182"/>
      <c r="AQ1133" s="185">
        <v>3500</v>
      </c>
      <c r="AR1133" s="182">
        <v>3124.1</v>
      </c>
      <c r="AS1133" s="182">
        <v>375.9</v>
      </c>
      <c r="AT1133" s="182"/>
      <c r="AU1133" s="182"/>
      <c r="AV1133" s="182"/>
      <c r="AW1133" s="182"/>
      <c r="AX1133" s="182"/>
      <c r="AY1133" s="182"/>
      <c r="AZ1133" s="182"/>
      <c r="BA1133" s="182"/>
      <c r="BB1133" s="182"/>
      <c r="BC1133" s="182"/>
      <c r="BD1133" s="182"/>
      <c r="BE1133" s="182"/>
      <c r="BF1133" s="182"/>
      <c r="BG1133" s="182"/>
      <c r="BH1133" s="182"/>
      <c r="BI1133" s="182"/>
      <c r="BJ1133" s="182"/>
      <c r="BK1133" s="182"/>
      <c r="BL1133" s="182"/>
      <c r="BM1133" s="182"/>
      <c r="BN1133" s="182"/>
      <c r="BO1133" s="182"/>
      <c r="BP1133" s="182"/>
      <c r="BQ1133" s="182"/>
      <c r="BR1133" s="182"/>
      <c r="BS1133" s="182"/>
      <c r="BT1133" s="182"/>
      <c r="BU1133" s="182"/>
      <c r="BV1133" s="182"/>
      <c r="BW1133" s="182"/>
      <c r="BX1133" s="182"/>
      <c r="BY1133" s="182"/>
      <c r="BZ1133" s="182"/>
      <c r="CA1133" s="182"/>
      <c r="CB1133" s="185">
        <v>3500</v>
      </c>
      <c r="CC1133" s="185">
        <v>0</v>
      </c>
      <c r="CD1133" s="185">
        <v>2481</v>
      </c>
      <c r="CE1133" s="185"/>
    </row>
    <row r="1134" spans="2:83" x14ac:dyDescent="0.3">
      <c r="B1134" s="182">
        <v>4711</v>
      </c>
      <c r="C1134" s="182">
        <v>2482</v>
      </c>
      <c r="D1134" s="182" t="s">
        <v>121</v>
      </c>
      <c r="E1134" s="181" t="s">
        <v>4400</v>
      </c>
      <c r="F1134" s="182"/>
      <c r="G1134" s="182">
        <v>3500</v>
      </c>
      <c r="H1134" s="182"/>
      <c r="I1134" s="182"/>
      <c r="J1134" s="182"/>
      <c r="K1134" s="182"/>
      <c r="L1134" s="182"/>
      <c r="M1134" s="182"/>
      <c r="N1134" s="182"/>
      <c r="O1134" s="182"/>
      <c r="P1134" s="182"/>
      <c r="Q1134" s="182"/>
      <c r="R1134" s="182"/>
      <c r="S1134" s="182"/>
      <c r="T1134" s="182"/>
      <c r="U1134" s="182"/>
      <c r="V1134" s="182"/>
      <c r="W1134" s="182"/>
      <c r="X1134" s="182"/>
      <c r="Y1134" s="182"/>
      <c r="Z1134" s="182"/>
      <c r="AA1134" s="182"/>
      <c r="AB1134" s="182"/>
      <c r="AC1134" s="182"/>
      <c r="AD1134" s="182"/>
      <c r="AE1134" s="182"/>
      <c r="AF1134" s="182"/>
      <c r="AG1134" s="182"/>
      <c r="AH1134" s="182"/>
      <c r="AI1134" s="182"/>
      <c r="AJ1134" s="182"/>
      <c r="AK1134" s="182"/>
      <c r="AL1134" s="182"/>
      <c r="AM1134" s="182"/>
      <c r="AN1134" s="182"/>
      <c r="AO1134" s="182"/>
      <c r="AP1134" s="182"/>
      <c r="AQ1134" s="185">
        <v>3500</v>
      </c>
      <c r="AR1134" s="182">
        <v>3124.1</v>
      </c>
      <c r="AS1134" s="182">
        <v>375.9</v>
      </c>
      <c r="AT1134" s="182"/>
      <c r="AU1134" s="182"/>
      <c r="AV1134" s="182"/>
      <c r="AW1134" s="182"/>
      <c r="AX1134" s="182"/>
      <c r="AY1134" s="182"/>
      <c r="AZ1134" s="182"/>
      <c r="BA1134" s="182"/>
      <c r="BB1134" s="182"/>
      <c r="BC1134" s="182"/>
      <c r="BD1134" s="182"/>
      <c r="BE1134" s="182"/>
      <c r="BF1134" s="182"/>
      <c r="BG1134" s="182"/>
      <c r="BH1134" s="182"/>
      <c r="BI1134" s="182"/>
      <c r="BJ1134" s="182"/>
      <c r="BK1134" s="182"/>
      <c r="BL1134" s="182"/>
      <c r="BM1134" s="182"/>
      <c r="BN1134" s="182"/>
      <c r="BO1134" s="182"/>
      <c r="BP1134" s="182"/>
      <c r="BQ1134" s="182"/>
      <c r="BR1134" s="182"/>
      <c r="BS1134" s="182"/>
      <c r="BT1134" s="182"/>
      <c r="BU1134" s="182"/>
      <c r="BV1134" s="182"/>
      <c r="BW1134" s="182"/>
      <c r="BX1134" s="182"/>
      <c r="BY1134" s="182"/>
      <c r="BZ1134" s="182"/>
      <c r="CA1134" s="182"/>
      <c r="CB1134" s="185">
        <v>3500</v>
      </c>
      <c r="CC1134" s="185">
        <v>0</v>
      </c>
      <c r="CD1134" s="185">
        <v>2482</v>
      </c>
      <c r="CE1134" s="185"/>
    </row>
    <row r="1135" spans="2:83" x14ac:dyDescent="0.3">
      <c r="B1135" s="182">
        <v>4700</v>
      </c>
      <c r="C1135" s="182">
        <v>2483</v>
      </c>
      <c r="D1135" s="182" t="s">
        <v>121</v>
      </c>
      <c r="E1135" s="181" t="s">
        <v>4400</v>
      </c>
      <c r="F1135" s="182"/>
      <c r="G1135" s="182">
        <v>2462.25</v>
      </c>
      <c r="H1135" s="182"/>
      <c r="I1135" s="182"/>
      <c r="J1135" s="182"/>
      <c r="K1135" s="182"/>
      <c r="L1135" s="182"/>
      <c r="M1135" s="182"/>
      <c r="N1135" s="182"/>
      <c r="O1135" s="182"/>
      <c r="P1135" s="182"/>
      <c r="Q1135" s="182"/>
      <c r="R1135" s="182"/>
      <c r="S1135" s="182"/>
      <c r="T1135" s="182"/>
      <c r="U1135" s="182"/>
      <c r="V1135" s="182"/>
      <c r="W1135" s="182"/>
      <c r="X1135" s="182"/>
      <c r="Y1135" s="182"/>
      <c r="Z1135" s="182"/>
      <c r="AA1135" s="182"/>
      <c r="AB1135" s="182"/>
      <c r="AC1135" s="182"/>
      <c r="AD1135" s="182"/>
      <c r="AE1135" s="182"/>
      <c r="AF1135" s="182"/>
      <c r="AG1135" s="182"/>
      <c r="AH1135" s="182"/>
      <c r="AI1135" s="182"/>
      <c r="AJ1135" s="182"/>
      <c r="AK1135" s="182"/>
      <c r="AL1135" s="182"/>
      <c r="AM1135" s="182"/>
      <c r="AN1135" s="182"/>
      <c r="AO1135" s="182"/>
      <c r="AP1135" s="182"/>
      <c r="AQ1135" s="185">
        <v>2462.25</v>
      </c>
      <c r="AR1135" s="182">
        <v>1643.6</v>
      </c>
      <c r="AS1135" s="182">
        <v>225.4</v>
      </c>
      <c r="AT1135" s="182">
        <v>593.25</v>
      </c>
      <c r="AU1135" s="182"/>
      <c r="AV1135" s="182"/>
      <c r="AW1135" s="182"/>
      <c r="AX1135" s="182"/>
      <c r="AY1135" s="182"/>
      <c r="AZ1135" s="182"/>
      <c r="BA1135" s="182"/>
      <c r="BB1135" s="182"/>
      <c r="BC1135" s="182"/>
      <c r="BD1135" s="182"/>
      <c r="BE1135" s="182"/>
      <c r="BF1135" s="182"/>
      <c r="BG1135" s="182"/>
      <c r="BH1135" s="182"/>
      <c r="BI1135" s="182"/>
      <c r="BJ1135" s="182"/>
      <c r="BK1135" s="182"/>
      <c r="BL1135" s="182"/>
      <c r="BM1135" s="182"/>
      <c r="BN1135" s="182"/>
      <c r="BO1135" s="182"/>
      <c r="BP1135" s="182"/>
      <c r="BQ1135" s="182"/>
      <c r="BR1135" s="182"/>
      <c r="BS1135" s="182"/>
      <c r="BT1135" s="182"/>
      <c r="BU1135" s="182"/>
      <c r="BV1135" s="182"/>
      <c r="BW1135" s="182"/>
      <c r="BX1135" s="182"/>
      <c r="BY1135" s="182"/>
      <c r="BZ1135" s="182"/>
      <c r="CA1135" s="182"/>
      <c r="CB1135" s="185">
        <v>2462.25</v>
      </c>
      <c r="CC1135" s="185">
        <v>0</v>
      </c>
      <c r="CD1135" s="185">
        <v>2483</v>
      </c>
      <c r="CE1135" s="185"/>
    </row>
    <row r="1136" spans="2:83" x14ac:dyDescent="0.3">
      <c r="B1136" s="182">
        <v>4699</v>
      </c>
      <c r="C1136" s="182">
        <v>2484</v>
      </c>
      <c r="D1136" s="182" t="s">
        <v>121</v>
      </c>
      <c r="E1136" s="181" t="s">
        <v>4400</v>
      </c>
      <c r="F1136" s="182"/>
      <c r="G1136" s="182">
        <v>2814</v>
      </c>
      <c r="H1136" s="182"/>
      <c r="I1136" s="182"/>
      <c r="J1136" s="182"/>
      <c r="K1136" s="182"/>
      <c r="L1136" s="182"/>
      <c r="M1136" s="182"/>
      <c r="N1136" s="182"/>
      <c r="O1136" s="182"/>
      <c r="P1136" s="182"/>
      <c r="Q1136" s="182"/>
      <c r="R1136" s="182"/>
      <c r="S1136" s="182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/>
      <c r="AH1136" s="182"/>
      <c r="AI1136" s="182"/>
      <c r="AJ1136" s="182"/>
      <c r="AK1136" s="182"/>
      <c r="AL1136" s="182"/>
      <c r="AM1136" s="182"/>
      <c r="AN1136" s="182"/>
      <c r="AO1136" s="182"/>
      <c r="AP1136" s="182"/>
      <c r="AQ1136" s="185">
        <v>2814</v>
      </c>
      <c r="AR1136" s="182">
        <v>1878.35</v>
      </c>
      <c r="AS1136" s="182">
        <v>257.64999999999998</v>
      </c>
      <c r="AT1136" s="182">
        <v>678</v>
      </c>
      <c r="AU1136" s="182"/>
      <c r="AV1136" s="182"/>
      <c r="AW1136" s="182"/>
      <c r="AX1136" s="182"/>
      <c r="AY1136" s="182"/>
      <c r="AZ1136" s="182"/>
      <c r="BA1136" s="182"/>
      <c r="BB1136" s="182"/>
      <c r="BC1136" s="182"/>
      <c r="BD1136" s="182"/>
      <c r="BE1136" s="182"/>
      <c r="BF1136" s="182"/>
      <c r="BG1136" s="182"/>
      <c r="BH1136" s="182"/>
      <c r="BI1136" s="182"/>
      <c r="BJ1136" s="182"/>
      <c r="BK1136" s="182"/>
      <c r="BL1136" s="182"/>
      <c r="BM1136" s="182"/>
      <c r="BN1136" s="182"/>
      <c r="BO1136" s="182"/>
      <c r="BP1136" s="182"/>
      <c r="BQ1136" s="182"/>
      <c r="BR1136" s="182"/>
      <c r="BS1136" s="182"/>
      <c r="BT1136" s="182"/>
      <c r="BU1136" s="182"/>
      <c r="BV1136" s="182"/>
      <c r="BW1136" s="182"/>
      <c r="BX1136" s="182"/>
      <c r="BY1136" s="182"/>
      <c r="BZ1136" s="182"/>
      <c r="CA1136" s="182"/>
      <c r="CB1136" s="185">
        <v>2814</v>
      </c>
      <c r="CC1136" s="185">
        <v>0</v>
      </c>
      <c r="CD1136" s="185">
        <v>2484</v>
      </c>
      <c r="CE1136" s="185"/>
    </row>
    <row r="1137" spans="2:83" x14ac:dyDescent="0.3">
      <c r="B1137" s="182">
        <v>4677</v>
      </c>
      <c r="C1137" s="182">
        <v>2485</v>
      </c>
      <c r="D1137" s="182" t="s">
        <v>121</v>
      </c>
      <c r="E1137" s="181" t="s">
        <v>4401</v>
      </c>
      <c r="F1137" s="182"/>
      <c r="G1137" s="182">
        <v>4000</v>
      </c>
      <c r="H1137" s="182"/>
      <c r="I1137" s="182"/>
      <c r="J1137" s="182"/>
      <c r="K1137" s="182"/>
      <c r="L1137" s="182"/>
      <c r="M1137" s="182"/>
      <c r="N1137" s="182"/>
      <c r="O1137" s="182"/>
      <c r="P1137" s="182"/>
      <c r="Q1137" s="182"/>
      <c r="R1137" s="182"/>
      <c r="S1137" s="182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/>
      <c r="AQ1137" s="185">
        <v>4000</v>
      </c>
      <c r="AR1137" s="182">
        <v>3570.35</v>
      </c>
      <c r="AS1137" s="182">
        <v>429.65</v>
      </c>
      <c r="AT1137" s="182"/>
      <c r="AU1137" s="182"/>
      <c r="AV1137" s="182"/>
      <c r="AW1137" s="182"/>
      <c r="AX1137" s="182"/>
      <c r="AY1137" s="182"/>
      <c r="AZ1137" s="182"/>
      <c r="BA1137" s="182"/>
      <c r="BB1137" s="182"/>
      <c r="BC1137" s="182"/>
      <c r="BD1137" s="182"/>
      <c r="BE1137" s="182"/>
      <c r="BF1137" s="182"/>
      <c r="BG1137" s="182"/>
      <c r="BH1137" s="182"/>
      <c r="BI1137" s="182"/>
      <c r="BJ1137" s="182"/>
      <c r="BK1137" s="182"/>
      <c r="BL1137" s="182"/>
      <c r="BM1137" s="182"/>
      <c r="BN1137" s="182"/>
      <c r="BO1137" s="182"/>
      <c r="BP1137" s="182"/>
      <c r="BQ1137" s="182"/>
      <c r="BR1137" s="182"/>
      <c r="BS1137" s="182"/>
      <c r="BT1137" s="182"/>
      <c r="BU1137" s="182"/>
      <c r="BV1137" s="182"/>
      <c r="BW1137" s="182"/>
      <c r="BX1137" s="182"/>
      <c r="BY1137" s="182"/>
      <c r="BZ1137" s="182"/>
      <c r="CA1137" s="182"/>
      <c r="CB1137" s="185">
        <v>4000</v>
      </c>
      <c r="CC1137" s="185">
        <v>0</v>
      </c>
      <c r="CD1137" s="185">
        <v>2485</v>
      </c>
      <c r="CE1137" s="185"/>
    </row>
    <row r="1138" spans="2:83" x14ac:dyDescent="0.3">
      <c r="B1138" s="182">
        <v>4675</v>
      </c>
      <c r="C1138" s="182">
        <v>2486</v>
      </c>
      <c r="D1138" s="182" t="s">
        <v>121</v>
      </c>
      <c r="E1138" s="181" t="s">
        <v>4401</v>
      </c>
      <c r="F1138" s="182"/>
      <c r="G1138" s="182">
        <v>4000</v>
      </c>
      <c r="H1138" s="182"/>
      <c r="I1138" s="182"/>
      <c r="J1138" s="182"/>
      <c r="K1138" s="182"/>
      <c r="L1138" s="182"/>
      <c r="M1138" s="182"/>
      <c r="N1138" s="182"/>
      <c r="O1138" s="182"/>
      <c r="P1138" s="182"/>
      <c r="Q1138" s="182"/>
      <c r="R1138" s="182"/>
      <c r="S1138" s="182"/>
      <c r="T1138" s="182"/>
      <c r="U1138" s="182"/>
      <c r="V1138" s="182"/>
      <c r="W1138" s="182"/>
      <c r="X1138" s="182"/>
      <c r="Y1138" s="182"/>
      <c r="Z1138" s="182"/>
      <c r="AA1138" s="182"/>
      <c r="AB1138" s="182"/>
      <c r="AC1138" s="182"/>
      <c r="AD1138" s="182"/>
      <c r="AE1138" s="182"/>
      <c r="AF1138" s="182"/>
      <c r="AG1138" s="182"/>
      <c r="AH1138" s="182"/>
      <c r="AI1138" s="182"/>
      <c r="AJ1138" s="182"/>
      <c r="AK1138" s="182"/>
      <c r="AL1138" s="182"/>
      <c r="AM1138" s="182"/>
      <c r="AN1138" s="182"/>
      <c r="AO1138" s="182"/>
      <c r="AP1138" s="182"/>
      <c r="AQ1138" s="185">
        <v>4000</v>
      </c>
      <c r="AR1138" s="182">
        <v>3570.35</v>
      </c>
      <c r="AS1138" s="182">
        <v>429.65</v>
      </c>
      <c r="AT1138" s="182"/>
      <c r="AU1138" s="182"/>
      <c r="AV1138" s="182"/>
      <c r="AW1138" s="182"/>
      <c r="AX1138" s="182"/>
      <c r="AY1138" s="182"/>
      <c r="AZ1138" s="182"/>
      <c r="BA1138" s="182"/>
      <c r="BB1138" s="182"/>
      <c r="BC1138" s="182"/>
      <c r="BD1138" s="182"/>
      <c r="BE1138" s="182"/>
      <c r="BF1138" s="182"/>
      <c r="BG1138" s="182"/>
      <c r="BH1138" s="182"/>
      <c r="BI1138" s="182"/>
      <c r="BJ1138" s="182"/>
      <c r="BK1138" s="182"/>
      <c r="BL1138" s="182"/>
      <c r="BM1138" s="182"/>
      <c r="BN1138" s="182"/>
      <c r="BO1138" s="182"/>
      <c r="BP1138" s="182"/>
      <c r="BQ1138" s="182"/>
      <c r="BR1138" s="182"/>
      <c r="BS1138" s="182"/>
      <c r="BT1138" s="182"/>
      <c r="BU1138" s="182"/>
      <c r="BV1138" s="182"/>
      <c r="BW1138" s="182"/>
      <c r="BX1138" s="182"/>
      <c r="BY1138" s="182"/>
      <c r="BZ1138" s="182"/>
      <c r="CA1138" s="182"/>
      <c r="CB1138" s="185">
        <v>4000</v>
      </c>
      <c r="CC1138" s="185">
        <v>0</v>
      </c>
      <c r="CD1138" s="185">
        <v>2486</v>
      </c>
      <c r="CE1138" s="185"/>
    </row>
    <row r="1139" spans="2:83" x14ac:dyDescent="0.3">
      <c r="B1139" s="182">
        <v>4674</v>
      </c>
      <c r="C1139" s="182">
        <v>2487</v>
      </c>
      <c r="D1139" s="182" t="s">
        <v>121</v>
      </c>
      <c r="E1139" s="181" t="s">
        <v>4401</v>
      </c>
      <c r="F1139" s="182"/>
      <c r="G1139" s="182">
        <v>7000</v>
      </c>
      <c r="H1139" s="182"/>
      <c r="I1139" s="182"/>
      <c r="J1139" s="182"/>
      <c r="K1139" s="182"/>
      <c r="L1139" s="182"/>
      <c r="M1139" s="182"/>
      <c r="N1139" s="182"/>
      <c r="O1139" s="182"/>
      <c r="P1139" s="182"/>
      <c r="Q1139" s="182"/>
      <c r="R1139" s="182"/>
      <c r="S1139" s="182"/>
      <c r="T1139" s="182"/>
      <c r="U1139" s="182"/>
      <c r="V1139" s="182"/>
      <c r="W1139" s="182"/>
      <c r="X1139" s="182"/>
      <c r="Y1139" s="182"/>
      <c r="Z1139" s="182"/>
      <c r="AA1139" s="182"/>
      <c r="AB1139" s="182"/>
      <c r="AC1139" s="182"/>
      <c r="AD1139" s="182"/>
      <c r="AE1139" s="182"/>
      <c r="AF1139" s="182"/>
      <c r="AG1139" s="182"/>
      <c r="AH1139" s="182"/>
      <c r="AI1139" s="182"/>
      <c r="AJ1139" s="182"/>
      <c r="AK1139" s="182"/>
      <c r="AL1139" s="182"/>
      <c r="AM1139" s="182"/>
      <c r="AN1139" s="182"/>
      <c r="AO1139" s="182"/>
      <c r="AP1139" s="182"/>
      <c r="AQ1139" s="185">
        <v>7000</v>
      </c>
      <c r="AR1139" s="182">
        <v>6244.4</v>
      </c>
      <c r="AS1139" s="182">
        <v>755.6</v>
      </c>
      <c r="AT1139" s="182"/>
      <c r="AU1139" s="182"/>
      <c r="AV1139" s="182"/>
      <c r="AW1139" s="182"/>
      <c r="AX1139" s="182"/>
      <c r="AY1139" s="182"/>
      <c r="AZ1139" s="182"/>
      <c r="BA1139" s="182"/>
      <c r="BB1139" s="182"/>
      <c r="BC1139" s="182"/>
      <c r="BD1139" s="182"/>
      <c r="BE1139" s="182"/>
      <c r="BF1139" s="182"/>
      <c r="BG1139" s="182"/>
      <c r="BH1139" s="182"/>
      <c r="BI1139" s="182"/>
      <c r="BJ1139" s="182"/>
      <c r="BK1139" s="182"/>
      <c r="BL1139" s="182"/>
      <c r="BM1139" s="182"/>
      <c r="BN1139" s="182"/>
      <c r="BO1139" s="182"/>
      <c r="BP1139" s="182"/>
      <c r="BQ1139" s="182"/>
      <c r="BR1139" s="182"/>
      <c r="BS1139" s="182"/>
      <c r="BT1139" s="182"/>
      <c r="BU1139" s="182"/>
      <c r="BV1139" s="182"/>
      <c r="BW1139" s="182"/>
      <c r="BX1139" s="182"/>
      <c r="BY1139" s="182"/>
      <c r="BZ1139" s="182"/>
      <c r="CA1139" s="182"/>
      <c r="CB1139" s="185">
        <v>7000</v>
      </c>
      <c r="CC1139" s="185">
        <v>0</v>
      </c>
      <c r="CD1139" s="185">
        <v>2487</v>
      </c>
      <c r="CE1139" s="185"/>
    </row>
    <row r="1140" spans="2:83" x14ac:dyDescent="0.3">
      <c r="B1140" s="182">
        <v>4676</v>
      </c>
      <c r="C1140" s="182">
        <v>2488</v>
      </c>
      <c r="D1140" s="182" t="s">
        <v>121</v>
      </c>
      <c r="E1140" s="181" t="s">
        <v>4401</v>
      </c>
      <c r="F1140" s="182"/>
      <c r="G1140" s="182">
        <v>4000</v>
      </c>
      <c r="H1140" s="182"/>
      <c r="I1140" s="182"/>
      <c r="J1140" s="182"/>
      <c r="K1140" s="182"/>
      <c r="L1140" s="182"/>
      <c r="M1140" s="182"/>
      <c r="N1140" s="182"/>
      <c r="O1140" s="182"/>
      <c r="P1140" s="182"/>
      <c r="Q1140" s="182"/>
      <c r="R1140" s="182"/>
      <c r="S1140" s="182"/>
      <c r="T1140" s="182"/>
      <c r="U1140" s="182"/>
      <c r="V1140" s="182"/>
      <c r="W1140" s="182"/>
      <c r="X1140" s="182"/>
      <c r="Y1140" s="182"/>
      <c r="Z1140" s="182"/>
      <c r="AA1140" s="182"/>
      <c r="AB1140" s="182"/>
      <c r="AC1140" s="182"/>
      <c r="AD1140" s="182"/>
      <c r="AE1140" s="182"/>
      <c r="AF1140" s="182"/>
      <c r="AG1140" s="182"/>
      <c r="AH1140" s="182"/>
      <c r="AI1140" s="182"/>
      <c r="AJ1140" s="182"/>
      <c r="AK1140" s="182"/>
      <c r="AL1140" s="182"/>
      <c r="AM1140" s="182"/>
      <c r="AN1140" s="182"/>
      <c r="AO1140" s="182"/>
      <c r="AP1140" s="182"/>
      <c r="AQ1140" s="185">
        <v>4000</v>
      </c>
      <c r="AR1140" s="182">
        <v>3570.35</v>
      </c>
      <c r="AS1140" s="182">
        <v>429.65</v>
      </c>
      <c r="AT1140" s="182"/>
      <c r="AU1140" s="182"/>
      <c r="AV1140" s="182"/>
      <c r="AW1140" s="182"/>
      <c r="AX1140" s="182"/>
      <c r="AY1140" s="182"/>
      <c r="AZ1140" s="182"/>
      <c r="BA1140" s="182"/>
      <c r="BB1140" s="182"/>
      <c r="BC1140" s="182"/>
      <c r="BD1140" s="182"/>
      <c r="BE1140" s="182"/>
      <c r="BF1140" s="182"/>
      <c r="BG1140" s="182"/>
      <c r="BH1140" s="182"/>
      <c r="BI1140" s="182"/>
      <c r="BJ1140" s="182"/>
      <c r="BK1140" s="182"/>
      <c r="BL1140" s="182"/>
      <c r="BM1140" s="182"/>
      <c r="BN1140" s="182"/>
      <c r="BO1140" s="182"/>
      <c r="BP1140" s="182"/>
      <c r="BQ1140" s="182"/>
      <c r="BR1140" s="182"/>
      <c r="BS1140" s="182"/>
      <c r="BT1140" s="182"/>
      <c r="BU1140" s="182"/>
      <c r="BV1140" s="182"/>
      <c r="BW1140" s="182"/>
      <c r="BX1140" s="182"/>
      <c r="BY1140" s="182"/>
      <c r="BZ1140" s="182"/>
      <c r="CA1140" s="182"/>
      <c r="CB1140" s="185">
        <v>4000</v>
      </c>
      <c r="CC1140" s="185">
        <v>0</v>
      </c>
      <c r="CD1140" s="185">
        <v>2488</v>
      </c>
      <c r="CE1140" s="185"/>
    </row>
    <row r="1141" spans="2:83" x14ac:dyDescent="0.3">
      <c r="B1141" s="182">
        <v>4673</v>
      </c>
      <c r="C1141" s="182">
        <v>2489</v>
      </c>
      <c r="D1141" s="182" t="s">
        <v>121</v>
      </c>
      <c r="E1141" s="181" t="s">
        <v>4401</v>
      </c>
      <c r="F1141" s="182"/>
      <c r="G1141" s="182">
        <v>13000</v>
      </c>
      <c r="H1141" s="182"/>
      <c r="I1141" s="182"/>
      <c r="J1141" s="182"/>
      <c r="K1141" s="182"/>
      <c r="L1141" s="182"/>
      <c r="M1141" s="182"/>
      <c r="N1141" s="182"/>
      <c r="O1141" s="182"/>
      <c r="P1141" s="182"/>
      <c r="Q1141" s="182"/>
      <c r="R1141" s="182"/>
      <c r="S1141" s="182"/>
      <c r="T1141" s="182"/>
      <c r="U1141" s="182"/>
      <c r="V1141" s="182"/>
      <c r="W1141" s="182"/>
      <c r="X1141" s="182"/>
      <c r="Y1141" s="182"/>
      <c r="Z1141" s="182"/>
      <c r="AA1141" s="182"/>
      <c r="AB1141" s="182"/>
      <c r="AC1141" s="182"/>
      <c r="AD1141" s="182"/>
      <c r="AE1141" s="182"/>
      <c r="AF1141" s="182"/>
      <c r="AG1141" s="182"/>
      <c r="AH1141" s="182"/>
      <c r="AI1141" s="182"/>
      <c r="AJ1141" s="182"/>
      <c r="AK1141" s="182"/>
      <c r="AL1141" s="182"/>
      <c r="AM1141" s="182"/>
      <c r="AN1141" s="182"/>
      <c r="AO1141" s="182"/>
      <c r="AP1141" s="182"/>
      <c r="AQ1141" s="185">
        <v>13000</v>
      </c>
      <c r="AR1141" s="182">
        <v>11611.4</v>
      </c>
      <c r="AS1141" s="182">
        <v>1388.6</v>
      </c>
      <c r="AT1141" s="182"/>
      <c r="AU1141" s="182"/>
      <c r="AV1141" s="182"/>
      <c r="AW1141" s="182"/>
      <c r="AX1141" s="182"/>
      <c r="AY1141" s="182"/>
      <c r="AZ1141" s="182"/>
      <c r="BA1141" s="182"/>
      <c r="BB1141" s="182"/>
      <c r="BC1141" s="182"/>
      <c r="BD1141" s="182"/>
      <c r="BE1141" s="182"/>
      <c r="BF1141" s="182"/>
      <c r="BG1141" s="182"/>
      <c r="BH1141" s="182"/>
      <c r="BI1141" s="182"/>
      <c r="BJ1141" s="182"/>
      <c r="BK1141" s="182"/>
      <c r="BL1141" s="182"/>
      <c r="BM1141" s="182"/>
      <c r="BN1141" s="182"/>
      <c r="BO1141" s="182"/>
      <c r="BP1141" s="182"/>
      <c r="BQ1141" s="182"/>
      <c r="BR1141" s="182"/>
      <c r="BS1141" s="182"/>
      <c r="BT1141" s="182"/>
      <c r="BU1141" s="182"/>
      <c r="BV1141" s="182"/>
      <c r="BW1141" s="182"/>
      <c r="BX1141" s="182"/>
      <c r="BY1141" s="182"/>
      <c r="BZ1141" s="182"/>
      <c r="CA1141" s="182"/>
      <c r="CB1141" s="185">
        <v>13000</v>
      </c>
      <c r="CC1141" s="185">
        <v>0</v>
      </c>
      <c r="CD1141" s="185">
        <v>2489</v>
      </c>
      <c r="CE1141" s="185"/>
    </row>
    <row r="1142" spans="2:83" x14ac:dyDescent="0.3">
      <c r="B1142" s="182">
        <v>4672</v>
      </c>
      <c r="C1142" s="182">
        <v>2490</v>
      </c>
      <c r="D1142" s="182" t="s">
        <v>121</v>
      </c>
      <c r="E1142" s="181" t="s">
        <v>4401</v>
      </c>
      <c r="F1142" s="182"/>
      <c r="G1142" s="182">
        <v>6650</v>
      </c>
      <c r="H1142" s="182"/>
      <c r="I1142" s="182"/>
      <c r="J1142" s="182"/>
      <c r="K1142" s="182"/>
      <c r="L1142" s="182"/>
      <c r="M1142" s="182"/>
      <c r="N1142" s="182"/>
      <c r="O1142" s="182"/>
      <c r="P1142" s="182"/>
      <c r="Q1142" s="182"/>
      <c r="R1142" s="182"/>
      <c r="S1142" s="182"/>
      <c r="T1142" s="182"/>
      <c r="U1142" s="182"/>
      <c r="V1142" s="182"/>
      <c r="W1142" s="182"/>
      <c r="X1142" s="182"/>
      <c r="Y1142" s="182"/>
      <c r="Z1142" s="182"/>
      <c r="AA1142" s="182"/>
      <c r="AB1142" s="182"/>
      <c r="AC1142" s="182"/>
      <c r="AD1142" s="182"/>
      <c r="AE1142" s="182"/>
      <c r="AF1142" s="182"/>
      <c r="AG1142" s="182"/>
      <c r="AH1142" s="182"/>
      <c r="AI1142" s="182"/>
      <c r="AJ1142" s="182"/>
      <c r="AK1142" s="182"/>
      <c r="AL1142" s="182"/>
      <c r="AM1142" s="182"/>
      <c r="AN1142" s="182"/>
      <c r="AO1142" s="182"/>
      <c r="AP1142" s="182"/>
      <c r="AQ1142" s="185">
        <v>6650</v>
      </c>
      <c r="AR1142" s="182">
        <v>5932.2</v>
      </c>
      <c r="AS1142" s="182">
        <v>717.8</v>
      </c>
      <c r="AT1142" s="182"/>
      <c r="AU1142" s="182"/>
      <c r="AV1142" s="182"/>
      <c r="AW1142" s="182"/>
      <c r="AX1142" s="182"/>
      <c r="AY1142" s="182"/>
      <c r="AZ1142" s="182"/>
      <c r="BA1142" s="182"/>
      <c r="BB1142" s="182"/>
      <c r="BC1142" s="182"/>
      <c r="BD1142" s="182"/>
      <c r="BE1142" s="182"/>
      <c r="BF1142" s="182"/>
      <c r="BG1142" s="182"/>
      <c r="BH1142" s="182"/>
      <c r="BI1142" s="182"/>
      <c r="BJ1142" s="182"/>
      <c r="BK1142" s="182"/>
      <c r="BL1142" s="182"/>
      <c r="BM1142" s="182"/>
      <c r="BN1142" s="182"/>
      <c r="BO1142" s="182"/>
      <c r="BP1142" s="182"/>
      <c r="BQ1142" s="182"/>
      <c r="BR1142" s="182"/>
      <c r="BS1142" s="182"/>
      <c r="BT1142" s="182"/>
      <c r="BU1142" s="182"/>
      <c r="BV1142" s="182"/>
      <c r="BW1142" s="182"/>
      <c r="BX1142" s="182"/>
      <c r="BY1142" s="182"/>
      <c r="BZ1142" s="182"/>
      <c r="CA1142" s="182"/>
      <c r="CB1142" s="185">
        <v>6650</v>
      </c>
      <c r="CC1142" s="185">
        <v>0</v>
      </c>
      <c r="CD1142" s="185">
        <v>2490</v>
      </c>
      <c r="CE1142" s="185"/>
    </row>
    <row r="1143" spans="2:83" x14ac:dyDescent="0.3">
      <c r="B1143" s="182">
        <v>4671</v>
      </c>
      <c r="C1143" s="182">
        <v>2491</v>
      </c>
      <c r="D1143" s="182" t="s">
        <v>121</v>
      </c>
      <c r="E1143" s="181" t="s">
        <v>4401</v>
      </c>
      <c r="F1143" s="182"/>
      <c r="G1143" s="182">
        <v>11700</v>
      </c>
      <c r="H1143" s="182"/>
      <c r="I1143" s="182"/>
      <c r="J1143" s="182"/>
      <c r="K1143" s="182"/>
      <c r="L1143" s="182"/>
      <c r="M1143" s="182"/>
      <c r="N1143" s="182"/>
      <c r="O1143" s="182"/>
      <c r="P1143" s="182"/>
      <c r="Q1143" s="182"/>
      <c r="R1143" s="182"/>
      <c r="S1143" s="182"/>
      <c r="T1143" s="182"/>
      <c r="U1143" s="182"/>
      <c r="V1143" s="182"/>
      <c r="W1143" s="182"/>
      <c r="X1143" s="182"/>
      <c r="Y1143" s="182"/>
      <c r="Z1143" s="182"/>
      <c r="AA1143" s="182"/>
      <c r="AB1143" s="182"/>
      <c r="AC1143" s="182"/>
      <c r="AD1143" s="182"/>
      <c r="AE1143" s="182"/>
      <c r="AF1143" s="182"/>
      <c r="AG1143" s="182"/>
      <c r="AH1143" s="182"/>
      <c r="AI1143" s="182"/>
      <c r="AJ1143" s="182"/>
      <c r="AK1143" s="182"/>
      <c r="AL1143" s="182"/>
      <c r="AM1143" s="182"/>
      <c r="AN1143" s="182"/>
      <c r="AO1143" s="182"/>
      <c r="AP1143" s="182"/>
      <c r="AQ1143" s="185">
        <v>11700</v>
      </c>
      <c r="AR1143" s="182">
        <v>10445.299999999999</v>
      </c>
      <c r="AS1143" s="182">
        <v>1254.7</v>
      </c>
      <c r="AT1143" s="182"/>
      <c r="AU1143" s="182"/>
      <c r="AV1143" s="182"/>
      <c r="AW1143" s="182"/>
      <c r="AX1143" s="182"/>
      <c r="AY1143" s="182"/>
      <c r="AZ1143" s="182"/>
      <c r="BA1143" s="182"/>
      <c r="BB1143" s="182"/>
      <c r="BC1143" s="182"/>
      <c r="BD1143" s="182"/>
      <c r="BE1143" s="182"/>
      <c r="BF1143" s="182"/>
      <c r="BG1143" s="182"/>
      <c r="BH1143" s="182"/>
      <c r="BI1143" s="182"/>
      <c r="BJ1143" s="182"/>
      <c r="BK1143" s="182"/>
      <c r="BL1143" s="182"/>
      <c r="BM1143" s="182"/>
      <c r="BN1143" s="182"/>
      <c r="BO1143" s="182"/>
      <c r="BP1143" s="182"/>
      <c r="BQ1143" s="182"/>
      <c r="BR1143" s="182"/>
      <c r="BS1143" s="182"/>
      <c r="BT1143" s="182"/>
      <c r="BU1143" s="182"/>
      <c r="BV1143" s="182"/>
      <c r="BW1143" s="182"/>
      <c r="BX1143" s="182"/>
      <c r="BY1143" s="182"/>
      <c r="BZ1143" s="182"/>
      <c r="CA1143" s="182"/>
      <c r="CB1143" s="185">
        <v>11700</v>
      </c>
      <c r="CC1143" s="185">
        <v>0</v>
      </c>
      <c r="CD1143" s="185">
        <v>2491</v>
      </c>
      <c r="CE1143" s="185"/>
    </row>
    <row r="1144" spans="2:83" x14ac:dyDescent="0.3">
      <c r="B1144" s="182">
        <v>4670</v>
      </c>
      <c r="C1144" s="182">
        <v>2492</v>
      </c>
      <c r="D1144" s="182" t="s">
        <v>121</v>
      </c>
      <c r="E1144" s="181" t="s">
        <v>4401</v>
      </c>
      <c r="F1144" s="182"/>
      <c r="G1144" s="182">
        <v>8550</v>
      </c>
      <c r="H1144" s="182"/>
      <c r="I1144" s="182"/>
      <c r="J1144" s="182"/>
      <c r="K1144" s="182"/>
      <c r="L1144" s="182"/>
      <c r="M1144" s="182"/>
      <c r="N1144" s="182"/>
      <c r="O1144" s="182"/>
      <c r="P1144" s="182"/>
      <c r="Q1144" s="182"/>
      <c r="R1144" s="182"/>
      <c r="S1144" s="182"/>
      <c r="T1144" s="182"/>
      <c r="U1144" s="182"/>
      <c r="V1144" s="182"/>
      <c r="W1144" s="182"/>
      <c r="X1144" s="182"/>
      <c r="Y1144" s="182"/>
      <c r="Z1144" s="182"/>
      <c r="AA1144" s="182"/>
      <c r="AB1144" s="182"/>
      <c r="AC1144" s="182"/>
      <c r="AD1144" s="182"/>
      <c r="AE1144" s="182"/>
      <c r="AF1144" s="182"/>
      <c r="AG1144" s="182"/>
      <c r="AH1144" s="182"/>
      <c r="AI1144" s="182"/>
      <c r="AJ1144" s="182"/>
      <c r="AK1144" s="182"/>
      <c r="AL1144" s="182"/>
      <c r="AM1144" s="182"/>
      <c r="AN1144" s="182"/>
      <c r="AO1144" s="182"/>
      <c r="AP1144" s="182"/>
      <c r="AQ1144" s="185">
        <v>8550</v>
      </c>
      <c r="AR1144" s="182">
        <v>7627</v>
      </c>
      <c r="AS1144" s="182">
        <v>923</v>
      </c>
      <c r="AT1144" s="182"/>
      <c r="AU1144" s="182"/>
      <c r="AV1144" s="182"/>
      <c r="AW1144" s="182"/>
      <c r="AX1144" s="182"/>
      <c r="AY1144" s="182"/>
      <c r="AZ1144" s="182"/>
      <c r="BA1144" s="182"/>
      <c r="BB1144" s="182"/>
      <c r="BC1144" s="182"/>
      <c r="BD1144" s="182"/>
      <c r="BE1144" s="182"/>
      <c r="BF1144" s="182"/>
      <c r="BG1144" s="182"/>
      <c r="BH1144" s="182"/>
      <c r="BI1144" s="182"/>
      <c r="BJ1144" s="182"/>
      <c r="BK1144" s="182"/>
      <c r="BL1144" s="182"/>
      <c r="BM1144" s="182"/>
      <c r="BN1144" s="182"/>
      <c r="BO1144" s="182"/>
      <c r="BP1144" s="182"/>
      <c r="BQ1144" s="182"/>
      <c r="BR1144" s="182"/>
      <c r="BS1144" s="182"/>
      <c r="BT1144" s="182"/>
      <c r="BU1144" s="182"/>
      <c r="BV1144" s="182"/>
      <c r="BW1144" s="182"/>
      <c r="BX1144" s="182"/>
      <c r="BY1144" s="182"/>
      <c r="BZ1144" s="182"/>
      <c r="CA1144" s="182"/>
      <c r="CB1144" s="185">
        <v>8550</v>
      </c>
      <c r="CC1144" s="185">
        <v>0</v>
      </c>
      <c r="CD1144" s="185">
        <v>2492</v>
      </c>
      <c r="CE1144" s="185"/>
    </row>
    <row r="1145" spans="2:83" x14ac:dyDescent="0.3">
      <c r="B1145" s="182">
        <v>4669</v>
      </c>
      <c r="C1145" s="182">
        <v>2493</v>
      </c>
      <c r="D1145" s="182" t="s">
        <v>121</v>
      </c>
      <c r="E1145" s="181" t="s">
        <v>4401</v>
      </c>
      <c r="F1145" s="182"/>
      <c r="G1145" s="182">
        <v>11600</v>
      </c>
      <c r="H1145" s="182"/>
      <c r="I1145" s="182"/>
      <c r="J1145" s="182"/>
      <c r="K1145" s="182"/>
      <c r="L1145" s="182"/>
      <c r="M1145" s="182"/>
      <c r="N1145" s="182"/>
      <c r="O1145" s="182"/>
      <c r="P1145" s="182"/>
      <c r="Q1145" s="182"/>
      <c r="R1145" s="182"/>
      <c r="S1145" s="182"/>
      <c r="T1145" s="182"/>
      <c r="U1145" s="182"/>
      <c r="V1145" s="182"/>
      <c r="W1145" s="182"/>
      <c r="X1145" s="182"/>
      <c r="Y1145" s="182"/>
      <c r="Z1145" s="182"/>
      <c r="AA1145" s="182"/>
      <c r="AB1145" s="182"/>
      <c r="AC1145" s="182"/>
      <c r="AD1145" s="182"/>
      <c r="AE1145" s="182"/>
      <c r="AF1145" s="182"/>
      <c r="AG1145" s="182"/>
      <c r="AH1145" s="182"/>
      <c r="AI1145" s="182"/>
      <c r="AJ1145" s="182"/>
      <c r="AK1145" s="182"/>
      <c r="AL1145" s="182"/>
      <c r="AM1145" s="182"/>
      <c r="AN1145" s="182"/>
      <c r="AO1145" s="182"/>
      <c r="AP1145" s="182"/>
      <c r="AQ1145" s="185">
        <v>11600</v>
      </c>
      <c r="AR1145" s="182">
        <v>10355.200000000001</v>
      </c>
      <c r="AS1145" s="182">
        <v>1244.8</v>
      </c>
      <c r="AT1145" s="182"/>
      <c r="AU1145" s="182"/>
      <c r="AV1145" s="182"/>
      <c r="AW1145" s="182"/>
      <c r="AX1145" s="182"/>
      <c r="AY1145" s="182"/>
      <c r="AZ1145" s="182"/>
      <c r="BA1145" s="182"/>
      <c r="BB1145" s="182"/>
      <c r="BC1145" s="182"/>
      <c r="BD1145" s="182"/>
      <c r="BE1145" s="182"/>
      <c r="BF1145" s="182"/>
      <c r="BG1145" s="182"/>
      <c r="BH1145" s="182"/>
      <c r="BI1145" s="182"/>
      <c r="BJ1145" s="182"/>
      <c r="BK1145" s="182"/>
      <c r="BL1145" s="182"/>
      <c r="BM1145" s="182"/>
      <c r="BN1145" s="182"/>
      <c r="BO1145" s="182"/>
      <c r="BP1145" s="182"/>
      <c r="BQ1145" s="182"/>
      <c r="BR1145" s="182"/>
      <c r="BS1145" s="182"/>
      <c r="BT1145" s="182"/>
      <c r="BU1145" s="182"/>
      <c r="BV1145" s="182"/>
      <c r="BW1145" s="182"/>
      <c r="BX1145" s="182"/>
      <c r="BY1145" s="182"/>
      <c r="BZ1145" s="182"/>
      <c r="CA1145" s="182"/>
      <c r="CB1145" s="185">
        <v>11600</v>
      </c>
      <c r="CC1145" s="185">
        <v>0</v>
      </c>
      <c r="CD1145" s="185">
        <v>2493</v>
      </c>
      <c r="CE1145" s="185"/>
    </row>
    <row r="1146" spans="2:83" x14ac:dyDescent="0.3">
      <c r="B1146" s="182">
        <v>4668</v>
      </c>
      <c r="C1146" s="182">
        <v>2494</v>
      </c>
      <c r="D1146" s="182" t="s">
        <v>121</v>
      </c>
      <c r="E1146" s="181" t="s">
        <v>4401</v>
      </c>
      <c r="F1146" s="182"/>
      <c r="G1146" s="182">
        <v>2000</v>
      </c>
      <c r="H1146" s="182"/>
      <c r="I1146" s="182"/>
      <c r="J1146" s="182"/>
      <c r="K1146" s="182"/>
      <c r="L1146" s="182"/>
      <c r="M1146" s="182"/>
      <c r="N1146" s="182"/>
      <c r="O1146" s="182"/>
      <c r="P1146" s="182"/>
      <c r="Q1146" s="182"/>
      <c r="R1146" s="182"/>
      <c r="S1146" s="182"/>
      <c r="T1146" s="182"/>
      <c r="U1146" s="182"/>
      <c r="V1146" s="182"/>
      <c r="W1146" s="182"/>
      <c r="X1146" s="182"/>
      <c r="Y1146" s="182"/>
      <c r="Z1146" s="182"/>
      <c r="AA1146" s="182"/>
      <c r="AB1146" s="182"/>
      <c r="AC1146" s="182"/>
      <c r="AD1146" s="182"/>
      <c r="AE1146" s="182"/>
      <c r="AF1146" s="182"/>
      <c r="AG1146" s="182"/>
      <c r="AH1146" s="182"/>
      <c r="AI1146" s="182"/>
      <c r="AJ1146" s="182"/>
      <c r="AK1146" s="182"/>
      <c r="AL1146" s="182"/>
      <c r="AM1146" s="182"/>
      <c r="AN1146" s="182"/>
      <c r="AO1146" s="182"/>
      <c r="AP1146" s="182"/>
      <c r="AQ1146" s="185">
        <v>2000</v>
      </c>
      <c r="AR1146" s="182">
        <v>1785.35</v>
      </c>
      <c r="AS1146" s="182">
        <v>214.65</v>
      </c>
      <c r="AT1146" s="182"/>
      <c r="AU1146" s="182"/>
      <c r="AV1146" s="182"/>
      <c r="AW1146" s="182"/>
      <c r="AX1146" s="182"/>
      <c r="AY1146" s="182"/>
      <c r="AZ1146" s="182"/>
      <c r="BA1146" s="182"/>
      <c r="BB1146" s="182"/>
      <c r="BC1146" s="182"/>
      <c r="BD1146" s="182"/>
      <c r="BE1146" s="182"/>
      <c r="BF1146" s="182"/>
      <c r="BG1146" s="182"/>
      <c r="BH1146" s="182"/>
      <c r="BI1146" s="182"/>
      <c r="BJ1146" s="182"/>
      <c r="BK1146" s="182"/>
      <c r="BL1146" s="182"/>
      <c r="BM1146" s="182"/>
      <c r="BN1146" s="182"/>
      <c r="BO1146" s="182"/>
      <c r="BP1146" s="182"/>
      <c r="BQ1146" s="182"/>
      <c r="BR1146" s="182"/>
      <c r="BS1146" s="182"/>
      <c r="BT1146" s="182"/>
      <c r="BU1146" s="182"/>
      <c r="BV1146" s="182"/>
      <c r="BW1146" s="182"/>
      <c r="BX1146" s="182"/>
      <c r="BY1146" s="182"/>
      <c r="BZ1146" s="182"/>
      <c r="CA1146" s="182"/>
      <c r="CB1146" s="185">
        <v>2000</v>
      </c>
      <c r="CC1146" s="185">
        <v>0</v>
      </c>
      <c r="CD1146" s="185">
        <v>2494</v>
      </c>
      <c r="CE1146" s="185"/>
    </row>
    <row r="1147" spans="2:83" x14ac:dyDescent="0.3">
      <c r="B1147" s="182">
        <v>4652</v>
      </c>
      <c r="C1147" s="182">
        <v>2495</v>
      </c>
      <c r="D1147" s="182" t="s">
        <v>121</v>
      </c>
      <c r="E1147" s="181" t="s">
        <v>4401</v>
      </c>
      <c r="F1147" s="182"/>
      <c r="G1147" s="182">
        <v>2500</v>
      </c>
      <c r="H1147" s="182"/>
      <c r="I1147" s="182"/>
      <c r="J1147" s="182"/>
      <c r="K1147" s="182"/>
      <c r="L1147" s="182"/>
      <c r="M1147" s="182"/>
      <c r="N1147" s="182"/>
      <c r="O1147" s="182"/>
      <c r="P1147" s="182"/>
      <c r="Q1147" s="182"/>
      <c r="R1147" s="182"/>
      <c r="S1147" s="182"/>
      <c r="T1147" s="182"/>
      <c r="U1147" s="182"/>
      <c r="V1147" s="182"/>
      <c r="W1147" s="182"/>
      <c r="X1147" s="182"/>
      <c r="Y1147" s="182"/>
      <c r="Z1147" s="182"/>
      <c r="AA1147" s="182"/>
      <c r="AB1147" s="182"/>
      <c r="AC1147" s="182"/>
      <c r="AD1147" s="182"/>
      <c r="AE1147" s="182"/>
      <c r="AF1147" s="182"/>
      <c r="AG1147" s="182"/>
      <c r="AH1147" s="182"/>
      <c r="AI1147" s="182"/>
      <c r="AJ1147" s="182"/>
      <c r="AK1147" s="182"/>
      <c r="AL1147" s="182"/>
      <c r="AM1147" s="182"/>
      <c r="AN1147" s="182"/>
      <c r="AO1147" s="182"/>
      <c r="AP1147" s="182"/>
      <c r="AQ1147" s="185">
        <v>2500</v>
      </c>
      <c r="AR1147" s="182">
        <v>2231.6</v>
      </c>
      <c r="AS1147" s="182">
        <v>268.39999999999998</v>
      </c>
      <c r="AT1147" s="182"/>
      <c r="AU1147" s="182"/>
      <c r="AV1147" s="182"/>
      <c r="AW1147" s="182"/>
      <c r="AX1147" s="182"/>
      <c r="AY1147" s="182"/>
      <c r="AZ1147" s="182"/>
      <c r="BA1147" s="182"/>
      <c r="BB1147" s="182"/>
      <c r="BC1147" s="182"/>
      <c r="BD1147" s="182"/>
      <c r="BE1147" s="182"/>
      <c r="BF1147" s="182"/>
      <c r="BG1147" s="182"/>
      <c r="BH1147" s="182"/>
      <c r="BI1147" s="182"/>
      <c r="BJ1147" s="182"/>
      <c r="BK1147" s="182"/>
      <c r="BL1147" s="182"/>
      <c r="BM1147" s="182"/>
      <c r="BN1147" s="182"/>
      <c r="BO1147" s="182"/>
      <c r="BP1147" s="182"/>
      <c r="BQ1147" s="182"/>
      <c r="BR1147" s="182"/>
      <c r="BS1147" s="182"/>
      <c r="BT1147" s="182"/>
      <c r="BU1147" s="182"/>
      <c r="BV1147" s="182"/>
      <c r="BW1147" s="182"/>
      <c r="BX1147" s="182"/>
      <c r="BY1147" s="182"/>
      <c r="BZ1147" s="182"/>
      <c r="CA1147" s="182"/>
      <c r="CB1147" s="185">
        <v>2500</v>
      </c>
      <c r="CC1147" s="185">
        <v>0</v>
      </c>
      <c r="CD1147" s="185">
        <v>2495</v>
      </c>
      <c r="CE1147" s="185"/>
    </row>
    <row r="1148" spans="2:83" x14ac:dyDescent="0.3">
      <c r="B1148" s="182">
        <v>4667</v>
      </c>
      <c r="C1148" s="182">
        <v>2496</v>
      </c>
      <c r="D1148" s="182" t="s">
        <v>121</v>
      </c>
      <c r="E1148" s="181" t="s">
        <v>4401</v>
      </c>
      <c r="F1148" s="182"/>
      <c r="G1148" s="182">
        <v>10700</v>
      </c>
      <c r="H1148" s="182"/>
      <c r="I1148" s="182"/>
      <c r="J1148" s="182"/>
      <c r="K1148" s="182"/>
      <c r="L1148" s="182"/>
      <c r="M1148" s="182"/>
      <c r="N1148" s="182"/>
      <c r="O1148" s="182"/>
      <c r="P1148" s="182"/>
      <c r="Q1148" s="182"/>
      <c r="R1148" s="182"/>
      <c r="S1148" s="182"/>
      <c r="T1148" s="182"/>
      <c r="U1148" s="182"/>
      <c r="V1148" s="182"/>
      <c r="W1148" s="182"/>
      <c r="X1148" s="182"/>
      <c r="Y1148" s="182"/>
      <c r="Z1148" s="182"/>
      <c r="AA1148" s="182"/>
      <c r="AB1148" s="182"/>
      <c r="AC1148" s="182"/>
      <c r="AD1148" s="182"/>
      <c r="AE1148" s="182"/>
      <c r="AF1148" s="182"/>
      <c r="AG1148" s="182"/>
      <c r="AH1148" s="182"/>
      <c r="AI1148" s="182"/>
      <c r="AJ1148" s="182"/>
      <c r="AK1148" s="182"/>
      <c r="AL1148" s="182"/>
      <c r="AM1148" s="182"/>
      <c r="AN1148" s="182"/>
      <c r="AO1148" s="182"/>
      <c r="AP1148" s="182"/>
      <c r="AQ1148" s="185">
        <v>10700</v>
      </c>
      <c r="AR1148" s="182">
        <v>9552</v>
      </c>
      <c r="AS1148" s="182">
        <v>1148</v>
      </c>
      <c r="AT1148" s="182"/>
      <c r="AU1148" s="182"/>
      <c r="AV1148" s="182"/>
      <c r="AW1148" s="182"/>
      <c r="AX1148" s="182"/>
      <c r="AY1148" s="182"/>
      <c r="AZ1148" s="182"/>
      <c r="BA1148" s="182"/>
      <c r="BB1148" s="182"/>
      <c r="BC1148" s="182"/>
      <c r="BD1148" s="182"/>
      <c r="BE1148" s="182"/>
      <c r="BF1148" s="182"/>
      <c r="BG1148" s="182"/>
      <c r="BH1148" s="182"/>
      <c r="BI1148" s="182"/>
      <c r="BJ1148" s="182"/>
      <c r="BK1148" s="182"/>
      <c r="BL1148" s="182"/>
      <c r="BM1148" s="182"/>
      <c r="BN1148" s="182"/>
      <c r="BO1148" s="182"/>
      <c r="BP1148" s="182"/>
      <c r="BQ1148" s="182"/>
      <c r="BR1148" s="182"/>
      <c r="BS1148" s="182"/>
      <c r="BT1148" s="182"/>
      <c r="BU1148" s="182"/>
      <c r="BV1148" s="182"/>
      <c r="BW1148" s="182"/>
      <c r="BX1148" s="182"/>
      <c r="BY1148" s="182"/>
      <c r="BZ1148" s="182"/>
      <c r="CA1148" s="182"/>
      <c r="CB1148" s="185">
        <v>10700</v>
      </c>
      <c r="CC1148" s="185">
        <v>0</v>
      </c>
      <c r="CD1148" s="185">
        <v>2496</v>
      </c>
      <c r="CE1148" s="185"/>
    </row>
    <row r="1149" spans="2:83" x14ac:dyDescent="0.3">
      <c r="B1149" s="182">
        <v>4666</v>
      </c>
      <c r="C1149" s="182">
        <v>2497</v>
      </c>
      <c r="D1149" s="182" t="s">
        <v>121</v>
      </c>
      <c r="E1149" s="181" t="s">
        <v>4401</v>
      </c>
      <c r="F1149" s="182"/>
      <c r="G1149" s="182">
        <v>8850</v>
      </c>
      <c r="H1149" s="182"/>
      <c r="I1149" s="182"/>
      <c r="J1149" s="182"/>
      <c r="K1149" s="182"/>
      <c r="L1149" s="182"/>
      <c r="M1149" s="182"/>
      <c r="N1149" s="182"/>
      <c r="O1149" s="182"/>
      <c r="P1149" s="182"/>
      <c r="Q1149" s="182"/>
      <c r="R1149" s="182"/>
      <c r="S1149" s="182"/>
      <c r="T1149" s="182"/>
      <c r="U1149" s="182"/>
      <c r="V1149" s="182"/>
      <c r="W1149" s="182"/>
      <c r="X1149" s="182"/>
      <c r="Y1149" s="182"/>
      <c r="Z1149" s="182"/>
      <c r="AA1149" s="182"/>
      <c r="AB1149" s="182"/>
      <c r="AC1149" s="182"/>
      <c r="AD1149" s="182"/>
      <c r="AE1149" s="182"/>
      <c r="AF1149" s="182"/>
      <c r="AG1149" s="182"/>
      <c r="AH1149" s="182"/>
      <c r="AI1149" s="182"/>
      <c r="AJ1149" s="182"/>
      <c r="AK1149" s="182"/>
      <c r="AL1149" s="182"/>
      <c r="AM1149" s="182"/>
      <c r="AN1149" s="182"/>
      <c r="AO1149" s="182"/>
      <c r="AP1149" s="182"/>
      <c r="AQ1149" s="185">
        <v>8850</v>
      </c>
      <c r="AR1149" s="182">
        <v>7904.05</v>
      </c>
      <c r="AS1149" s="182">
        <v>945.95</v>
      </c>
      <c r="AT1149" s="182"/>
      <c r="AU1149" s="182"/>
      <c r="AV1149" s="182"/>
      <c r="AW1149" s="182"/>
      <c r="AX1149" s="182"/>
      <c r="AY1149" s="182"/>
      <c r="AZ1149" s="182"/>
      <c r="BA1149" s="182"/>
      <c r="BB1149" s="182"/>
      <c r="BC1149" s="182"/>
      <c r="BD1149" s="182"/>
      <c r="BE1149" s="182"/>
      <c r="BF1149" s="182"/>
      <c r="BG1149" s="182"/>
      <c r="BH1149" s="182"/>
      <c r="BI1149" s="182"/>
      <c r="BJ1149" s="182"/>
      <c r="BK1149" s="182"/>
      <c r="BL1149" s="182"/>
      <c r="BM1149" s="182"/>
      <c r="BN1149" s="182"/>
      <c r="BO1149" s="182"/>
      <c r="BP1149" s="182"/>
      <c r="BQ1149" s="182"/>
      <c r="BR1149" s="182"/>
      <c r="BS1149" s="182"/>
      <c r="BT1149" s="182"/>
      <c r="BU1149" s="182"/>
      <c r="BV1149" s="182"/>
      <c r="BW1149" s="182"/>
      <c r="BX1149" s="182"/>
      <c r="BY1149" s="182"/>
      <c r="BZ1149" s="182"/>
      <c r="CA1149" s="182"/>
      <c r="CB1149" s="185">
        <v>8850</v>
      </c>
      <c r="CC1149" s="185">
        <v>0</v>
      </c>
      <c r="CD1149" s="185">
        <v>2497</v>
      </c>
      <c r="CE1149" s="185"/>
    </row>
    <row r="1150" spans="2:83" x14ac:dyDescent="0.3">
      <c r="B1150" s="182">
        <v>4665</v>
      </c>
      <c r="C1150" s="182">
        <v>2498</v>
      </c>
      <c r="D1150" s="182" t="s">
        <v>121</v>
      </c>
      <c r="E1150" s="181" t="s">
        <v>4401</v>
      </c>
      <c r="F1150" s="182"/>
      <c r="G1150" s="182">
        <v>850</v>
      </c>
      <c r="H1150" s="182"/>
      <c r="I1150" s="182"/>
      <c r="J1150" s="182"/>
      <c r="K1150" s="182"/>
      <c r="L1150" s="182"/>
      <c r="M1150" s="182"/>
      <c r="N1150" s="182"/>
      <c r="O1150" s="182"/>
      <c r="P1150" s="182"/>
      <c r="Q1150" s="182"/>
      <c r="R1150" s="182"/>
      <c r="S1150" s="182"/>
      <c r="T1150" s="182"/>
      <c r="U1150" s="182"/>
      <c r="V1150" s="182"/>
      <c r="W1150" s="182"/>
      <c r="X1150" s="182"/>
      <c r="Y1150" s="182"/>
      <c r="Z1150" s="182"/>
      <c r="AA1150" s="182"/>
      <c r="AB1150" s="182"/>
      <c r="AC1150" s="182"/>
      <c r="AD1150" s="182"/>
      <c r="AE1150" s="182"/>
      <c r="AF1150" s="182"/>
      <c r="AG1150" s="182"/>
      <c r="AH1150" s="182"/>
      <c r="AI1150" s="182"/>
      <c r="AJ1150" s="182"/>
      <c r="AK1150" s="182"/>
      <c r="AL1150" s="182"/>
      <c r="AM1150" s="182"/>
      <c r="AN1150" s="182"/>
      <c r="AO1150" s="182"/>
      <c r="AP1150" s="182"/>
      <c r="AQ1150" s="185">
        <v>850</v>
      </c>
      <c r="AR1150" s="182">
        <v>760.1</v>
      </c>
      <c r="AS1150" s="182">
        <v>89.9</v>
      </c>
      <c r="AT1150" s="182"/>
      <c r="AU1150" s="182"/>
      <c r="AV1150" s="182"/>
      <c r="AW1150" s="182"/>
      <c r="AX1150" s="182"/>
      <c r="AY1150" s="182"/>
      <c r="AZ1150" s="182"/>
      <c r="BA1150" s="182"/>
      <c r="BB1150" s="182"/>
      <c r="BC1150" s="182"/>
      <c r="BD1150" s="182"/>
      <c r="BE1150" s="182"/>
      <c r="BF1150" s="182"/>
      <c r="BG1150" s="182"/>
      <c r="BH1150" s="182"/>
      <c r="BI1150" s="182"/>
      <c r="BJ1150" s="182"/>
      <c r="BK1150" s="182"/>
      <c r="BL1150" s="182"/>
      <c r="BM1150" s="182"/>
      <c r="BN1150" s="182"/>
      <c r="BO1150" s="182"/>
      <c r="BP1150" s="182"/>
      <c r="BQ1150" s="182"/>
      <c r="BR1150" s="182"/>
      <c r="BS1150" s="182"/>
      <c r="BT1150" s="182"/>
      <c r="BU1150" s="182"/>
      <c r="BV1150" s="182"/>
      <c r="BW1150" s="182"/>
      <c r="BX1150" s="182"/>
      <c r="BY1150" s="182"/>
      <c r="BZ1150" s="182"/>
      <c r="CA1150" s="182"/>
      <c r="CB1150" s="185">
        <v>850</v>
      </c>
      <c r="CC1150" s="185">
        <v>0</v>
      </c>
      <c r="CD1150" s="185">
        <v>2498</v>
      </c>
      <c r="CE1150" s="185"/>
    </row>
    <row r="1151" spans="2:83" x14ac:dyDescent="0.3">
      <c r="B1151" s="182">
        <v>4664</v>
      </c>
      <c r="C1151" s="182">
        <v>2499</v>
      </c>
      <c r="D1151" s="182" t="s">
        <v>121</v>
      </c>
      <c r="E1151" s="181" t="s">
        <v>4401</v>
      </c>
      <c r="F1151" s="182"/>
      <c r="G1151" s="182">
        <v>8000</v>
      </c>
      <c r="H1151" s="182"/>
      <c r="I1151" s="182"/>
      <c r="J1151" s="182"/>
      <c r="K1151" s="182"/>
      <c r="L1151" s="182"/>
      <c r="M1151" s="182"/>
      <c r="N1151" s="182"/>
      <c r="O1151" s="182"/>
      <c r="P1151" s="182"/>
      <c r="Q1151" s="182"/>
      <c r="R1151" s="182"/>
      <c r="S1151" s="182"/>
      <c r="T1151" s="182"/>
      <c r="U1151" s="182"/>
      <c r="V1151" s="182"/>
      <c r="W1151" s="182"/>
      <c r="X1151" s="182"/>
      <c r="Y1151" s="182"/>
      <c r="Z1151" s="182"/>
      <c r="AA1151" s="182"/>
      <c r="AB1151" s="182"/>
      <c r="AC1151" s="182"/>
      <c r="AD1151" s="182"/>
      <c r="AE1151" s="182"/>
      <c r="AF1151" s="182"/>
      <c r="AG1151" s="182"/>
      <c r="AH1151" s="182"/>
      <c r="AI1151" s="182"/>
      <c r="AJ1151" s="182"/>
      <c r="AK1151" s="182"/>
      <c r="AL1151" s="182"/>
      <c r="AM1151" s="182"/>
      <c r="AN1151" s="182"/>
      <c r="AO1151" s="182"/>
      <c r="AP1151" s="182"/>
      <c r="AQ1151" s="185">
        <v>8000</v>
      </c>
      <c r="AR1151" s="182">
        <v>7136.4</v>
      </c>
      <c r="AS1151" s="182">
        <v>863.6</v>
      </c>
      <c r="AT1151" s="182"/>
      <c r="AU1151" s="182"/>
      <c r="AV1151" s="182"/>
      <c r="AW1151" s="182"/>
      <c r="AX1151" s="182"/>
      <c r="AY1151" s="182"/>
      <c r="AZ1151" s="182"/>
      <c r="BA1151" s="182"/>
      <c r="BB1151" s="182"/>
      <c r="BC1151" s="182"/>
      <c r="BD1151" s="182"/>
      <c r="BE1151" s="182"/>
      <c r="BF1151" s="182"/>
      <c r="BG1151" s="182"/>
      <c r="BH1151" s="182"/>
      <c r="BI1151" s="182"/>
      <c r="BJ1151" s="182"/>
      <c r="BK1151" s="182"/>
      <c r="BL1151" s="182"/>
      <c r="BM1151" s="182"/>
      <c r="BN1151" s="182"/>
      <c r="BO1151" s="182"/>
      <c r="BP1151" s="182"/>
      <c r="BQ1151" s="182"/>
      <c r="BR1151" s="182"/>
      <c r="BS1151" s="182"/>
      <c r="BT1151" s="182"/>
      <c r="BU1151" s="182"/>
      <c r="BV1151" s="182"/>
      <c r="BW1151" s="182"/>
      <c r="BX1151" s="182"/>
      <c r="BY1151" s="182"/>
      <c r="BZ1151" s="182"/>
      <c r="CA1151" s="182"/>
      <c r="CB1151" s="185">
        <v>8000</v>
      </c>
      <c r="CC1151" s="185">
        <v>0</v>
      </c>
      <c r="CD1151" s="185">
        <v>2499</v>
      </c>
      <c r="CE1151" s="185"/>
    </row>
    <row r="1152" spans="2:83" x14ac:dyDescent="0.3">
      <c r="B1152" s="182">
        <v>4663</v>
      </c>
      <c r="C1152" s="182">
        <v>2500</v>
      </c>
      <c r="D1152" s="182" t="s">
        <v>121</v>
      </c>
      <c r="E1152" s="181" t="s">
        <v>4401</v>
      </c>
      <c r="F1152" s="182"/>
      <c r="G1152" s="182">
        <v>13000</v>
      </c>
      <c r="H1152" s="182"/>
      <c r="I1152" s="182"/>
      <c r="J1152" s="182"/>
      <c r="K1152" s="182"/>
      <c r="L1152" s="182"/>
      <c r="M1152" s="182"/>
      <c r="N1152" s="182"/>
      <c r="O1152" s="182"/>
      <c r="P1152" s="182"/>
      <c r="Q1152" s="182"/>
      <c r="R1152" s="182"/>
      <c r="S1152" s="182"/>
      <c r="T1152" s="182"/>
      <c r="U1152" s="182"/>
      <c r="V1152" s="182"/>
      <c r="W1152" s="182"/>
      <c r="X1152" s="182"/>
      <c r="Y1152" s="182"/>
      <c r="Z1152" s="182"/>
      <c r="AA1152" s="182"/>
      <c r="AB1152" s="182"/>
      <c r="AC1152" s="182"/>
      <c r="AD1152" s="182"/>
      <c r="AE1152" s="182"/>
      <c r="AF1152" s="182"/>
      <c r="AG1152" s="182"/>
      <c r="AH1152" s="182"/>
      <c r="AI1152" s="182"/>
      <c r="AJ1152" s="182"/>
      <c r="AK1152" s="182"/>
      <c r="AL1152" s="182"/>
      <c r="AM1152" s="182"/>
      <c r="AN1152" s="182"/>
      <c r="AO1152" s="182"/>
      <c r="AP1152" s="182"/>
      <c r="AQ1152" s="185">
        <v>13000</v>
      </c>
      <c r="AR1152" s="182">
        <v>11611.4</v>
      </c>
      <c r="AS1152" s="182">
        <v>1388.6</v>
      </c>
      <c r="AT1152" s="182"/>
      <c r="AU1152" s="182"/>
      <c r="AV1152" s="182"/>
      <c r="AW1152" s="182"/>
      <c r="AX1152" s="182"/>
      <c r="AY1152" s="182"/>
      <c r="AZ1152" s="182"/>
      <c r="BA1152" s="182"/>
      <c r="BB1152" s="182"/>
      <c r="BC1152" s="182"/>
      <c r="BD1152" s="182"/>
      <c r="BE1152" s="182"/>
      <c r="BF1152" s="182"/>
      <c r="BG1152" s="182"/>
      <c r="BH1152" s="182"/>
      <c r="BI1152" s="182"/>
      <c r="BJ1152" s="182"/>
      <c r="BK1152" s="182"/>
      <c r="BL1152" s="182"/>
      <c r="BM1152" s="182"/>
      <c r="BN1152" s="182"/>
      <c r="BO1152" s="182"/>
      <c r="BP1152" s="182"/>
      <c r="BQ1152" s="182"/>
      <c r="BR1152" s="182"/>
      <c r="BS1152" s="182"/>
      <c r="BT1152" s="182"/>
      <c r="BU1152" s="182"/>
      <c r="BV1152" s="182"/>
      <c r="BW1152" s="182"/>
      <c r="BX1152" s="182"/>
      <c r="BY1152" s="182"/>
      <c r="BZ1152" s="182"/>
      <c r="CA1152" s="182"/>
      <c r="CB1152" s="185">
        <v>13000</v>
      </c>
      <c r="CC1152" s="185">
        <v>0</v>
      </c>
      <c r="CD1152" s="185">
        <v>2500</v>
      </c>
      <c r="CE1152" s="185"/>
    </row>
    <row r="1153" spans="2:83" x14ac:dyDescent="0.3">
      <c r="B1153" s="182">
        <v>4662</v>
      </c>
      <c r="C1153" s="182">
        <v>2501</v>
      </c>
      <c r="D1153" s="182" t="s">
        <v>121</v>
      </c>
      <c r="E1153" s="181" t="s">
        <v>4401</v>
      </c>
      <c r="F1153" s="182"/>
      <c r="G1153" s="182">
        <v>11200</v>
      </c>
      <c r="H1153" s="182"/>
      <c r="I1153" s="182"/>
      <c r="J1153" s="182"/>
      <c r="K1153" s="182"/>
      <c r="L1153" s="182"/>
      <c r="M1153" s="182"/>
      <c r="N1153" s="182"/>
      <c r="O1153" s="182"/>
      <c r="P1153" s="182"/>
      <c r="Q1153" s="182"/>
      <c r="R1153" s="182"/>
      <c r="S1153" s="182"/>
      <c r="T1153" s="182"/>
      <c r="U1153" s="182"/>
      <c r="V1153" s="182"/>
      <c r="W1153" s="182"/>
      <c r="X1153" s="182"/>
      <c r="Y1153" s="182"/>
      <c r="Z1153" s="182"/>
      <c r="AA1153" s="182"/>
      <c r="AB1153" s="182"/>
      <c r="AC1153" s="182"/>
      <c r="AD1153" s="182"/>
      <c r="AE1153" s="182"/>
      <c r="AF1153" s="182"/>
      <c r="AG1153" s="182"/>
      <c r="AH1153" s="182"/>
      <c r="AI1153" s="182"/>
      <c r="AJ1153" s="182"/>
      <c r="AK1153" s="182"/>
      <c r="AL1153" s="182"/>
      <c r="AM1153" s="182"/>
      <c r="AN1153" s="182"/>
      <c r="AO1153" s="182"/>
      <c r="AP1153" s="182"/>
      <c r="AQ1153" s="185">
        <v>11200</v>
      </c>
      <c r="AR1153" s="182">
        <v>9997.85</v>
      </c>
      <c r="AS1153" s="182">
        <v>1202.1500000000001</v>
      </c>
      <c r="AT1153" s="182"/>
      <c r="AU1153" s="182"/>
      <c r="AV1153" s="182"/>
      <c r="AW1153" s="182"/>
      <c r="AX1153" s="182"/>
      <c r="AY1153" s="182"/>
      <c r="AZ1153" s="182"/>
      <c r="BA1153" s="182"/>
      <c r="BB1153" s="182"/>
      <c r="BC1153" s="182"/>
      <c r="BD1153" s="182"/>
      <c r="BE1153" s="182"/>
      <c r="BF1153" s="182"/>
      <c r="BG1153" s="182"/>
      <c r="BH1153" s="182"/>
      <c r="BI1153" s="182"/>
      <c r="BJ1153" s="182"/>
      <c r="BK1153" s="182"/>
      <c r="BL1153" s="182"/>
      <c r="BM1153" s="182"/>
      <c r="BN1153" s="182"/>
      <c r="BO1153" s="182"/>
      <c r="BP1153" s="182"/>
      <c r="BQ1153" s="182"/>
      <c r="BR1153" s="182"/>
      <c r="BS1153" s="182"/>
      <c r="BT1153" s="182"/>
      <c r="BU1153" s="182"/>
      <c r="BV1153" s="182"/>
      <c r="BW1153" s="182"/>
      <c r="BX1153" s="182"/>
      <c r="BY1153" s="182"/>
      <c r="BZ1153" s="182"/>
      <c r="CA1153" s="182"/>
      <c r="CB1153" s="185">
        <v>11200</v>
      </c>
      <c r="CC1153" s="185">
        <v>0</v>
      </c>
      <c r="CD1153" s="185">
        <v>2501</v>
      </c>
      <c r="CE1153" s="185"/>
    </row>
    <row r="1154" spans="2:83" x14ac:dyDescent="0.3">
      <c r="B1154" s="182">
        <v>4661</v>
      </c>
      <c r="C1154" s="182">
        <v>2502</v>
      </c>
      <c r="D1154" s="182" t="s">
        <v>121</v>
      </c>
      <c r="E1154" s="181" t="s">
        <v>4401</v>
      </c>
      <c r="F1154" s="182"/>
      <c r="G1154" s="182">
        <v>24750</v>
      </c>
      <c r="H1154" s="182"/>
      <c r="I1154" s="182"/>
      <c r="J1154" s="182"/>
      <c r="K1154" s="182"/>
      <c r="L1154" s="182"/>
      <c r="M1154" s="182"/>
      <c r="N1154" s="182"/>
      <c r="O1154" s="182"/>
      <c r="P1154" s="182"/>
      <c r="Q1154" s="182"/>
      <c r="R1154" s="182"/>
      <c r="S1154" s="182"/>
      <c r="T1154" s="182"/>
      <c r="U1154" s="182"/>
      <c r="V1154" s="182"/>
      <c r="W1154" s="182"/>
      <c r="X1154" s="182"/>
      <c r="Y1154" s="182"/>
      <c r="Z1154" s="182"/>
      <c r="AA1154" s="182"/>
      <c r="AB1154" s="182"/>
      <c r="AC1154" s="182"/>
      <c r="AD1154" s="182"/>
      <c r="AE1154" s="182"/>
      <c r="AF1154" s="182"/>
      <c r="AG1154" s="182"/>
      <c r="AH1154" s="182"/>
      <c r="AI1154" s="182"/>
      <c r="AJ1154" s="182"/>
      <c r="AK1154" s="182"/>
      <c r="AL1154" s="182"/>
      <c r="AM1154" s="182"/>
      <c r="AN1154" s="182"/>
      <c r="AO1154" s="182"/>
      <c r="AP1154" s="182"/>
      <c r="AQ1154" s="185">
        <v>24750</v>
      </c>
      <c r="AR1154" s="182">
        <v>22078.6</v>
      </c>
      <c r="AS1154" s="182">
        <v>2671.4</v>
      </c>
      <c r="AT1154" s="182"/>
      <c r="AU1154" s="182"/>
      <c r="AV1154" s="182"/>
      <c r="AW1154" s="182"/>
      <c r="AX1154" s="182"/>
      <c r="AY1154" s="182"/>
      <c r="AZ1154" s="182"/>
      <c r="BA1154" s="182"/>
      <c r="BB1154" s="182"/>
      <c r="BC1154" s="182"/>
      <c r="BD1154" s="182"/>
      <c r="BE1154" s="182"/>
      <c r="BF1154" s="182"/>
      <c r="BG1154" s="182"/>
      <c r="BH1154" s="182"/>
      <c r="BI1154" s="182"/>
      <c r="BJ1154" s="182"/>
      <c r="BK1154" s="182"/>
      <c r="BL1154" s="182"/>
      <c r="BM1154" s="182"/>
      <c r="BN1154" s="182"/>
      <c r="BO1154" s="182"/>
      <c r="BP1154" s="182"/>
      <c r="BQ1154" s="182"/>
      <c r="BR1154" s="182"/>
      <c r="BS1154" s="182"/>
      <c r="BT1154" s="182"/>
      <c r="BU1154" s="182"/>
      <c r="BV1154" s="182"/>
      <c r="BW1154" s="182"/>
      <c r="BX1154" s="182"/>
      <c r="BY1154" s="182"/>
      <c r="BZ1154" s="182"/>
      <c r="CA1154" s="182"/>
      <c r="CB1154" s="185">
        <v>24750</v>
      </c>
      <c r="CC1154" s="185">
        <v>0</v>
      </c>
      <c r="CD1154" s="185">
        <v>2502</v>
      </c>
      <c r="CE1154" s="185"/>
    </row>
    <row r="1155" spans="2:83" x14ac:dyDescent="0.3">
      <c r="B1155" s="182">
        <v>4660</v>
      </c>
      <c r="C1155" s="182">
        <v>2503</v>
      </c>
      <c r="D1155" s="182" t="s">
        <v>121</v>
      </c>
      <c r="E1155" s="181" t="s">
        <v>4401</v>
      </c>
      <c r="F1155" s="182"/>
      <c r="G1155" s="182">
        <v>14900</v>
      </c>
      <c r="H1155" s="182"/>
      <c r="I1155" s="182"/>
      <c r="J1155" s="182"/>
      <c r="K1155" s="182"/>
      <c r="L1155" s="182"/>
      <c r="M1155" s="182"/>
      <c r="N1155" s="182"/>
      <c r="O1155" s="182"/>
      <c r="P1155" s="182"/>
      <c r="Q1155" s="182"/>
      <c r="R1155" s="182"/>
      <c r="S1155" s="182"/>
      <c r="T1155" s="182"/>
      <c r="U1155" s="182"/>
      <c r="V1155" s="182"/>
      <c r="W1155" s="182"/>
      <c r="X1155" s="182"/>
      <c r="Y1155" s="182"/>
      <c r="Z1155" s="182"/>
      <c r="AA1155" s="182"/>
      <c r="AB1155" s="182"/>
      <c r="AC1155" s="182"/>
      <c r="AD1155" s="182"/>
      <c r="AE1155" s="182"/>
      <c r="AF1155" s="182"/>
      <c r="AG1155" s="182"/>
      <c r="AH1155" s="182"/>
      <c r="AI1155" s="182"/>
      <c r="AJ1155" s="182"/>
      <c r="AK1155" s="182"/>
      <c r="AL1155" s="182"/>
      <c r="AM1155" s="182"/>
      <c r="AN1155" s="182"/>
      <c r="AO1155" s="182"/>
      <c r="AP1155" s="182"/>
      <c r="AQ1155" s="185">
        <v>14900</v>
      </c>
      <c r="AR1155" s="182">
        <v>13312.45</v>
      </c>
      <c r="AS1155" s="182">
        <v>1587.55</v>
      </c>
      <c r="AT1155" s="182"/>
      <c r="AU1155" s="182"/>
      <c r="AV1155" s="182"/>
      <c r="AW1155" s="182"/>
      <c r="AX1155" s="182"/>
      <c r="AY1155" s="182"/>
      <c r="AZ1155" s="182"/>
      <c r="BA1155" s="182"/>
      <c r="BB1155" s="182"/>
      <c r="BC1155" s="182"/>
      <c r="BD1155" s="182"/>
      <c r="BE1155" s="182"/>
      <c r="BF1155" s="182"/>
      <c r="BG1155" s="182"/>
      <c r="BH1155" s="182"/>
      <c r="BI1155" s="182"/>
      <c r="BJ1155" s="182"/>
      <c r="BK1155" s="182"/>
      <c r="BL1155" s="182"/>
      <c r="BM1155" s="182"/>
      <c r="BN1155" s="182"/>
      <c r="BO1155" s="182"/>
      <c r="BP1155" s="182"/>
      <c r="BQ1155" s="182"/>
      <c r="BR1155" s="182"/>
      <c r="BS1155" s="182"/>
      <c r="BT1155" s="182"/>
      <c r="BU1155" s="182"/>
      <c r="BV1155" s="182"/>
      <c r="BW1155" s="182"/>
      <c r="BX1155" s="182"/>
      <c r="BY1155" s="182"/>
      <c r="BZ1155" s="182"/>
      <c r="CA1155" s="182"/>
      <c r="CB1155" s="185">
        <v>14900</v>
      </c>
      <c r="CC1155" s="185">
        <v>0</v>
      </c>
      <c r="CD1155" s="185">
        <v>2503</v>
      </c>
      <c r="CE1155" s="185"/>
    </row>
    <row r="1156" spans="2:83" x14ac:dyDescent="0.3">
      <c r="B1156" s="182">
        <v>4659</v>
      </c>
      <c r="C1156" s="182">
        <v>2504</v>
      </c>
      <c r="D1156" s="182" t="s">
        <v>121</v>
      </c>
      <c r="E1156" s="181" t="s">
        <v>4401</v>
      </c>
      <c r="F1156" s="182"/>
      <c r="G1156" s="182">
        <v>10950</v>
      </c>
      <c r="H1156" s="182"/>
      <c r="I1156" s="182"/>
      <c r="J1156" s="182"/>
      <c r="K1156" s="182"/>
      <c r="L1156" s="182"/>
      <c r="M1156" s="182"/>
      <c r="N1156" s="182"/>
      <c r="O1156" s="182"/>
      <c r="P1156" s="182"/>
      <c r="Q1156" s="182"/>
      <c r="R1156" s="182"/>
      <c r="S1156" s="182"/>
      <c r="T1156" s="182"/>
      <c r="U1156" s="182"/>
      <c r="V1156" s="182"/>
      <c r="W1156" s="182"/>
      <c r="X1156" s="182"/>
      <c r="Y1156" s="182"/>
      <c r="Z1156" s="182"/>
      <c r="AA1156" s="182"/>
      <c r="AB1156" s="182"/>
      <c r="AC1156" s="182"/>
      <c r="AD1156" s="182"/>
      <c r="AE1156" s="182"/>
      <c r="AF1156" s="182"/>
      <c r="AG1156" s="182"/>
      <c r="AH1156" s="182"/>
      <c r="AI1156" s="182"/>
      <c r="AJ1156" s="182"/>
      <c r="AK1156" s="182"/>
      <c r="AL1156" s="182"/>
      <c r="AM1156" s="182"/>
      <c r="AN1156" s="182"/>
      <c r="AO1156" s="182"/>
      <c r="AP1156" s="182"/>
      <c r="AQ1156" s="185">
        <v>10950</v>
      </c>
      <c r="AR1156" s="182">
        <v>9774.2999999999993</v>
      </c>
      <c r="AS1156" s="182">
        <v>1175.7</v>
      </c>
      <c r="AT1156" s="182"/>
      <c r="AU1156" s="182"/>
      <c r="AV1156" s="182"/>
      <c r="AW1156" s="182"/>
      <c r="AX1156" s="182"/>
      <c r="AY1156" s="182"/>
      <c r="AZ1156" s="182"/>
      <c r="BA1156" s="182"/>
      <c r="BB1156" s="182"/>
      <c r="BC1156" s="182"/>
      <c r="BD1156" s="182"/>
      <c r="BE1156" s="182"/>
      <c r="BF1156" s="182"/>
      <c r="BG1156" s="182"/>
      <c r="BH1156" s="182"/>
      <c r="BI1156" s="182"/>
      <c r="BJ1156" s="182"/>
      <c r="BK1156" s="182"/>
      <c r="BL1156" s="182"/>
      <c r="BM1156" s="182"/>
      <c r="BN1156" s="182"/>
      <c r="BO1156" s="182"/>
      <c r="BP1156" s="182"/>
      <c r="BQ1156" s="182"/>
      <c r="BR1156" s="182"/>
      <c r="BS1156" s="182"/>
      <c r="BT1156" s="182"/>
      <c r="BU1156" s="182"/>
      <c r="BV1156" s="182"/>
      <c r="BW1156" s="182"/>
      <c r="BX1156" s="182"/>
      <c r="BY1156" s="182"/>
      <c r="BZ1156" s="182"/>
      <c r="CA1156" s="182"/>
      <c r="CB1156" s="185">
        <v>10950</v>
      </c>
      <c r="CC1156" s="185">
        <v>0</v>
      </c>
      <c r="CD1156" s="185">
        <v>2504</v>
      </c>
      <c r="CE1156" s="185"/>
    </row>
    <row r="1157" spans="2:83" x14ac:dyDescent="0.3">
      <c r="B1157" s="182">
        <v>4658</v>
      </c>
      <c r="C1157" s="182">
        <v>2505</v>
      </c>
      <c r="D1157" s="182" t="s">
        <v>121</v>
      </c>
      <c r="E1157" s="181" t="s">
        <v>4401</v>
      </c>
      <c r="F1157" s="182"/>
      <c r="G1157" s="182">
        <v>6000</v>
      </c>
      <c r="H1157" s="182"/>
      <c r="I1157" s="182"/>
      <c r="J1157" s="182"/>
      <c r="K1157" s="182"/>
      <c r="L1157" s="182"/>
      <c r="M1157" s="182"/>
      <c r="N1157" s="182"/>
      <c r="O1157" s="182"/>
      <c r="P1157" s="182"/>
      <c r="Q1157" s="182"/>
      <c r="R1157" s="182"/>
      <c r="S1157" s="182"/>
      <c r="T1157" s="182"/>
      <c r="U1157" s="182"/>
      <c r="V1157" s="182"/>
      <c r="W1157" s="182"/>
      <c r="X1157" s="182"/>
      <c r="Y1157" s="182"/>
      <c r="Z1157" s="182"/>
      <c r="AA1157" s="182"/>
      <c r="AB1157" s="182"/>
      <c r="AC1157" s="182"/>
      <c r="AD1157" s="182"/>
      <c r="AE1157" s="182"/>
      <c r="AF1157" s="182"/>
      <c r="AG1157" s="182"/>
      <c r="AH1157" s="182"/>
      <c r="AI1157" s="182"/>
      <c r="AJ1157" s="182"/>
      <c r="AK1157" s="182"/>
      <c r="AL1157" s="182"/>
      <c r="AM1157" s="182"/>
      <c r="AN1157" s="182"/>
      <c r="AO1157" s="182"/>
      <c r="AP1157" s="182"/>
      <c r="AQ1157" s="185">
        <v>6000</v>
      </c>
      <c r="AR1157" s="182">
        <v>4764.5600000000004</v>
      </c>
      <c r="AS1157" s="182">
        <v>1235.44</v>
      </c>
      <c r="AT1157" s="182"/>
      <c r="AU1157" s="182"/>
      <c r="AV1157" s="182"/>
      <c r="AW1157" s="182"/>
      <c r="AX1157" s="182"/>
      <c r="AY1157" s="182"/>
      <c r="AZ1157" s="182"/>
      <c r="BA1157" s="182"/>
      <c r="BB1157" s="182"/>
      <c r="BC1157" s="182"/>
      <c r="BD1157" s="182"/>
      <c r="BE1157" s="182"/>
      <c r="BF1157" s="182"/>
      <c r="BG1157" s="182"/>
      <c r="BH1157" s="182"/>
      <c r="BI1157" s="182"/>
      <c r="BJ1157" s="182"/>
      <c r="BK1157" s="182"/>
      <c r="BL1157" s="182"/>
      <c r="BM1157" s="182"/>
      <c r="BN1157" s="182"/>
      <c r="BO1157" s="182"/>
      <c r="BP1157" s="182"/>
      <c r="BQ1157" s="182"/>
      <c r="BR1157" s="182"/>
      <c r="BS1157" s="182"/>
      <c r="BT1157" s="182"/>
      <c r="BU1157" s="182"/>
      <c r="BV1157" s="182"/>
      <c r="BW1157" s="182"/>
      <c r="BX1157" s="182"/>
      <c r="BY1157" s="182"/>
      <c r="BZ1157" s="182"/>
      <c r="CA1157" s="182"/>
      <c r="CB1157" s="185">
        <v>6000</v>
      </c>
      <c r="CC1157" s="185">
        <v>0</v>
      </c>
      <c r="CD1157" s="185">
        <v>2505</v>
      </c>
      <c r="CE1157" s="185"/>
    </row>
    <row r="1158" spans="2:83" x14ac:dyDescent="0.3">
      <c r="B1158" s="182">
        <v>4657</v>
      </c>
      <c r="C1158" s="182">
        <v>2506</v>
      </c>
      <c r="D1158" s="182" t="s">
        <v>121</v>
      </c>
      <c r="E1158" s="181" t="s">
        <v>4401</v>
      </c>
      <c r="F1158" s="182"/>
      <c r="G1158" s="182">
        <v>7000</v>
      </c>
      <c r="H1158" s="182"/>
      <c r="I1158" s="182"/>
      <c r="J1158" s="182"/>
      <c r="K1158" s="182"/>
      <c r="L1158" s="182"/>
      <c r="M1158" s="182"/>
      <c r="N1158" s="182"/>
      <c r="O1158" s="182"/>
      <c r="P1158" s="182"/>
      <c r="Q1158" s="182"/>
      <c r="R1158" s="182"/>
      <c r="S1158" s="182"/>
      <c r="T1158" s="182"/>
      <c r="U1158" s="182"/>
      <c r="V1158" s="182"/>
      <c r="W1158" s="182"/>
      <c r="X1158" s="182"/>
      <c r="Y1158" s="182"/>
      <c r="Z1158" s="182"/>
      <c r="AA1158" s="182"/>
      <c r="AB1158" s="182"/>
      <c r="AC1158" s="182"/>
      <c r="AD1158" s="182"/>
      <c r="AE1158" s="182"/>
      <c r="AF1158" s="182"/>
      <c r="AG1158" s="182"/>
      <c r="AH1158" s="182"/>
      <c r="AI1158" s="182"/>
      <c r="AJ1158" s="182"/>
      <c r="AK1158" s="182"/>
      <c r="AL1158" s="182"/>
      <c r="AM1158" s="182"/>
      <c r="AN1158" s="182"/>
      <c r="AO1158" s="182"/>
      <c r="AP1158" s="182"/>
      <c r="AQ1158" s="185">
        <v>7000</v>
      </c>
      <c r="AR1158" s="182">
        <v>5555.52</v>
      </c>
      <c r="AS1158" s="182">
        <v>1444.48</v>
      </c>
      <c r="AT1158" s="182"/>
      <c r="AU1158" s="182"/>
      <c r="AV1158" s="182"/>
      <c r="AW1158" s="182"/>
      <c r="AX1158" s="182"/>
      <c r="AY1158" s="182"/>
      <c r="AZ1158" s="182"/>
      <c r="BA1158" s="182"/>
      <c r="BB1158" s="182"/>
      <c r="BC1158" s="182"/>
      <c r="BD1158" s="182"/>
      <c r="BE1158" s="182"/>
      <c r="BF1158" s="182"/>
      <c r="BG1158" s="182"/>
      <c r="BH1158" s="182"/>
      <c r="BI1158" s="182"/>
      <c r="BJ1158" s="182"/>
      <c r="BK1158" s="182"/>
      <c r="BL1158" s="182"/>
      <c r="BM1158" s="182"/>
      <c r="BN1158" s="182"/>
      <c r="BO1158" s="182"/>
      <c r="BP1158" s="182"/>
      <c r="BQ1158" s="182"/>
      <c r="BR1158" s="182"/>
      <c r="BS1158" s="182"/>
      <c r="BT1158" s="182"/>
      <c r="BU1158" s="182"/>
      <c r="BV1158" s="182"/>
      <c r="BW1158" s="182"/>
      <c r="BX1158" s="182"/>
      <c r="BY1158" s="182"/>
      <c r="BZ1158" s="182"/>
      <c r="CA1158" s="182"/>
      <c r="CB1158" s="185">
        <v>7000</v>
      </c>
      <c r="CC1158" s="185">
        <v>0</v>
      </c>
      <c r="CD1158" s="185">
        <v>2506</v>
      </c>
      <c r="CE1158" s="185"/>
    </row>
    <row r="1159" spans="2:83" x14ac:dyDescent="0.3">
      <c r="B1159" s="182">
        <v>4656</v>
      </c>
      <c r="C1159" s="182">
        <v>2507</v>
      </c>
      <c r="D1159" s="182" t="s">
        <v>121</v>
      </c>
      <c r="E1159" s="181" t="s">
        <v>4401</v>
      </c>
      <c r="F1159" s="182"/>
      <c r="G1159" s="182">
        <v>13250</v>
      </c>
      <c r="H1159" s="182"/>
      <c r="I1159" s="182"/>
      <c r="J1159" s="182"/>
      <c r="K1159" s="182"/>
      <c r="L1159" s="182"/>
      <c r="M1159" s="182"/>
      <c r="N1159" s="182"/>
      <c r="O1159" s="182"/>
      <c r="P1159" s="182"/>
      <c r="Q1159" s="182"/>
      <c r="R1159" s="182"/>
      <c r="S1159" s="182"/>
      <c r="T1159" s="182"/>
      <c r="U1159" s="182"/>
      <c r="V1159" s="182"/>
      <c r="W1159" s="182"/>
      <c r="X1159" s="182"/>
      <c r="Y1159" s="182"/>
      <c r="Z1159" s="182"/>
      <c r="AA1159" s="182"/>
      <c r="AB1159" s="182"/>
      <c r="AC1159" s="182"/>
      <c r="AD1159" s="182"/>
      <c r="AE1159" s="182"/>
      <c r="AF1159" s="182"/>
      <c r="AG1159" s="182"/>
      <c r="AH1159" s="182"/>
      <c r="AI1159" s="182"/>
      <c r="AJ1159" s="182"/>
      <c r="AK1159" s="182"/>
      <c r="AL1159" s="182"/>
      <c r="AM1159" s="182"/>
      <c r="AN1159" s="182"/>
      <c r="AO1159" s="182"/>
      <c r="AP1159" s="182"/>
      <c r="AQ1159" s="185">
        <v>13250</v>
      </c>
      <c r="AR1159" s="182">
        <v>11827.75</v>
      </c>
      <c r="AS1159" s="182">
        <v>1422.25</v>
      </c>
      <c r="AT1159" s="182"/>
      <c r="AU1159" s="182"/>
      <c r="AV1159" s="182"/>
      <c r="AW1159" s="182"/>
      <c r="AX1159" s="182"/>
      <c r="AY1159" s="182"/>
      <c r="AZ1159" s="182"/>
      <c r="BA1159" s="182"/>
      <c r="BB1159" s="182"/>
      <c r="BC1159" s="182"/>
      <c r="BD1159" s="182"/>
      <c r="BE1159" s="182"/>
      <c r="BF1159" s="182"/>
      <c r="BG1159" s="182"/>
      <c r="BH1159" s="182"/>
      <c r="BI1159" s="182"/>
      <c r="BJ1159" s="182"/>
      <c r="BK1159" s="182"/>
      <c r="BL1159" s="182"/>
      <c r="BM1159" s="182"/>
      <c r="BN1159" s="182"/>
      <c r="BO1159" s="182"/>
      <c r="BP1159" s="182"/>
      <c r="BQ1159" s="182"/>
      <c r="BR1159" s="182"/>
      <c r="BS1159" s="182"/>
      <c r="BT1159" s="182"/>
      <c r="BU1159" s="182"/>
      <c r="BV1159" s="182"/>
      <c r="BW1159" s="182"/>
      <c r="BX1159" s="182"/>
      <c r="BY1159" s="182"/>
      <c r="BZ1159" s="182"/>
      <c r="CA1159" s="182"/>
      <c r="CB1159" s="185">
        <v>13250</v>
      </c>
      <c r="CC1159" s="185">
        <v>0</v>
      </c>
      <c r="CD1159" s="185">
        <v>2507</v>
      </c>
      <c r="CE1159" s="185"/>
    </row>
    <row r="1160" spans="2:83" x14ac:dyDescent="0.3">
      <c r="B1160" s="182">
        <v>4654</v>
      </c>
      <c r="C1160" s="182">
        <v>2508</v>
      </c>
      <c r="D1160" s="182" t="s">
        <v>121</v>
      </c>
      <c r="E1160" s="181" t="s">
        <v>4401</v>
      </c>
      <c r="F1160" s="182"/>
      <c r="G1160" s="182">
        <v>6850</v>
      </c>
      <c r="H1160" s="182"/>
      <c r="I1160" s="182"/>
      <c r="J1160" s="182"/>
      <c r="K1160" s="182"/>
      <c r="L1160" s="182"/>
      <c r="M1160" s="182"/>
      <c r="N1160" s="182"/>
      <c r="O1160" s="182"/>
      <c r="P1160" s="182"/>
      <c r="Q1160" s="182"/>
      <c r="R1160" s="182"/>
      <c r="S1160" s="182"/>
      <c r="T1160" s="182"/>
      <c r="U1160" s="182"/>
      <c r="V1160" s="182"/>
      <c r="W1160" s="182"/>
      <c r="X1160" s="182"/>
      <c r="Y1160" s="182"/>
      <c r="Z1160" s="182"/>
      <c r="AA1160" s="182"/>
      <c r="AB1160" s="182"/>
      <c r="AC1160" s="182"/>
      <c r="AD1160" s="182"/>
      <c r="AE1160" s="182"/>
      <c r="AF1160" s="182"/>
      <c r="AG1160" s="182"/>
      <c r="AH1160" s="182"/>
      <c r="AI1160" s="182"/>
      <c r="AJ1160" s="182"/>
      <c r="AK1160" s="182"/>
      <c r="AL1160" s="182"/>
      <c r="AM1160" s="182"/>
      <c r="AN1160" s="182"/>
      <c r="AO1160" s="182"/>
      <c r="AP1160" s="182"/>
      <c r="AQ1160" s="185">
        <v>6850</v>
      </c>
      <c r="AR1160" s="182">
        <v>6114.35</v>
      </c>
      <c r="AS1160" s="182">
        <v>735.65</v>
      </c>
      <c r="AT1160" s="182"/>
      <c r="AU1160" s="182"/>
      <c r="AV1160" s="182"/>
      <c r="AW1160" s="182"/>
      <c r="AX1160" s="182"/>
      <c r="AY1160" s="182"/>
      <c r="AZ1160" s="182"/>
      <c r="BA1160" s="182"/>
      <c r="BB1160" s="182"/>
      <c r="BC1160" s="182"/>
      <c r="BD1160" s="182"/>
      <c r="BE1160" s="182"/>
      <c r="BF1160" s="182"/>
      <c r="BG1160" s="182"/>
      <c r="BH1160" s="182"/>
      <c r="BI1160" s="182"/>
      <c r="BJ1160" s="182"/>
      <c r="BK1160" s="182"/>
      <c r="BL1160" s="182"/>
      <c r="BM1160" s="182"/>
      <c r="BN1160" s="182"/>
      <c r="BO1160" s="182"/>
      <c r="BP1160" s="182"/>
      <c r="BQ1160" s="182"/>
      <c r="BR1160" s="182"/>
      <c r="BS1160" s="182"/>
      <c r="BT1160" s="182"/>
      <c r="BU1160" s="182"/>
      <c r="BV1160" s="182"/>
      <c r="BW1160" s="182"/>
      <c r="BX1160" s="182"/>
      <c r="BY1160" s="182"/>
      <c r="BZ1160" s="182"/>
      <c r="CA1160" s="182"/>
      <c r="CB1160" s="185">
        <v>6850</v>
      </c>
      <c r="CC1160" s="185">
        <v>0</v>
      </c>
      <c r="CD1160" s="185">
        <v>2508</v>
      </c>
      <c r="CE1160" s="185"/>
    </row>
    <row r="1161" spans="2:83" x14ac:dyDescent="0.3">
      <c r="B1161" s="182">
        <v>4655</v>
      </c>
      <c r="C1161" s="182">
        <v>2509</v>
      </c>
      <c r="D1161" s="182" t="s">
        <v>121</v>
      </c>
      <c r="E1161" s="181" t="s">
        <v>4401</v>
      </c>
      <c r="F1161" s="182"/>
      <c r="G1161" s="182">
        <v>22800</v>
      </c>
      <c r="H1161" s="182"/>
      <c r="I1161" s="182"/>
      <c r="J1161" s="182"/>
      <c r="K1161" s="182"/>
      <c r="L1161" s="182"/>
      <c r="M1161" s="182"/>
      <c r="N1161" s="182"/>
      <c r="O1161" s="182"/>
      <c r="P1161" s="182"/>
      <c r="Q1161" s="182"/>
      <c r="R1161" s="182"/>
      <c r="S1161" s="182"/>
      <c r="T1161" s="182"/>
      <c r="U1161" s="182"/>
      <c r="V1161" s="182"/>
      <c r="W1161" s="182"/>
      <c r="X1161" s="182"/>
      <c r="Y1161" s="182"/>
      <c r="Z1161" s="182"/>
      <c r="AA1161" s="182"/>
      <c r="AB1161" s="182"/>
      <c r="AC1161" s="182"/>
      <c r="AD1161" s="182"/>
      <c r="AE1161" s="182"/>
      <c r="AF1161" s="182"/>
      <c r="AG1161" s="182"/>
      <c r="AH1161" s="182"/>
      <c r="AI1161" s="182"/>
      <c r="AJ1161" s="182"/>
      <c r="AK1161" s="182"/>
      <c r="AL1161" s="182"/>
      <c r="AM1161" s="182"/>
      <c r="AN1161" s="182"/>
      <c r="AO1161" s="182"/>
      <c r="AP1161" s="182"/>
      <c r="AQ1161" s="185">
        <v>22800</v>
      </c>
      <c r="AR1161" s="182">
        <v>20341.099999999999</v>
      </c>
      <c r="AS1161" s="182">
        <v>2458.9</v>
      </c>
      <c r="AT1161" s="182"/>
      <c r="AU1161" s="182"/>
      <c r="AV1161" s="182"/>
      <c r="AW1161" s="182"/>
      <c r="AX1161" s="182"/>
      <c r="AY1161" s="182"/>
      <c r="AZ1161" s="182"/>
      <c r="BA1161" s="182"/>
      <c r="BB1161" s="182"/>
      <c r="BC1161" s="182"/>
      <c r="BD1161" s="182"/>
      <c r="BE1161" s="182"/>
      <c r="BF1161" s="182"/>
      <c r="BG1161" s="182"/>
      <c r="BH1161" s="182"/>
      <c r="BI1161" s="182"/>
      <c r="BJ1161" s="182"/>
      <c r="BK1161" s="182"/>
      <c r="BL1161" s="182"/>
      <c r="BM1161" s="182"/>
      <c r="BN1161" s="182"/>
      <c r="BO1161" s="182"/>
      <c r="BP1161" s="182"/>
      <c r="BQ1161" s="182"/>
      <c r="BR1161" s="182"/>
      <c r="BS1161" s="182"/>
      <c r="BT1161" s="182"/>
      <c r="BU1161" s="182"/>
      <c r="BV1161" s="182"/>
      <c r="BW1161" s="182"/>
      <c r="BX1161" s="182"/>
      <c r="BY1161" s="182"/>
      <c r="BZ1161" s="182"/>
      <c r="CA1161" s="182"/>
      <c r="CB1161" s="185">
        <v>22800</v>
      </c>
      <c r="CC1161" s="185">
        <v>0</v>
      </c>
      <c r="CD1161" s="185">
        <v>2509</v>
      </c>
      <c r="CE1161" s="185"/>
    </row>
    <row r="1162" spans="2:83" x14ac:dyDescent="0.3">
      <c r="B1162" s="182"/>
      <c r="C1162" s="182">
        <v>2510</v>
      </c>
      <c r="D1162" s="182" t="s">
        <v>332</v>
      </c>
      <c r="E1162" s="181"/>
      <c r="F1162" s="182"/>
      <c r="G1162" s="182"/>
      <c r="H1162" s="182"/>
      <c r="I1162" s="182"/>
      <c r="J1162" s="182"/>
      <c r="K1162" s="182"/>
      <c r="L1162" s="182"/>
      <c r="M1162" s="182"/>
      <c r="N1162" s="182"/>
      <c r="O1162" s="182"/>
      <c r="P1162" s="182"/>
      <c r="Q1162" s="182"/>
      <c r="R1162" s="182"/>
      <c r="S1162" s="182"/>
      <c r="T1162" s="182"/>
      <c r="U1162" s="182"/>
      <c r="V1162" s="182"/>
      <c r="W1162" s="182"/>
      <c r="X1162" s="182"/>
      <c r="Y1162" s="182"/>
      <c r="Z1162" s="182"/>
      <c r="AA1162" s="182"/>
      <c r="AB1162" s="182"/>
      <c r="AC1162" s="182"/>
      <c r="AD1162" s="182"/>
      <c r="AE1162" s="182"/>
      <c r="AF1162" s="182"/>
      <c r="AG1162" s="182"/>
      <c r="AH1162" s="182"/>
      <c r="AI1162" s="182"/>
      <c r="AJ1162" s="182"/>
      <c r="AK1162" s="182"/>
      <c r="AL1162" s="182"/>
      <c r="AM1162" s="182"/>
      <c r="AN1162" s="182"/>
      <c r="AO1162" s="182"/>
      <c r="AP1162" s="182"/>
      <c r="AQ1162" s="185">
        <v>0</v>
      </c>
      <c r="AR1162" s="182"/>
      <c r="AS1162" s="182"/>
      <c r="AT1162" s="182"/>
      <c r="AU1162" s="182"/>
      <c r="AV1162" s="182"/>
      <c r="AW1162" s="182"/>
      <c r="AX1162" s="182"/>
      <c r="AY1162" s="182"/>
      <c r="AZ1162" s="182"/>
      <c r="BA1162" s="182"/>
      <c r="BB1162" s="182"/>
      <c r="BC1162" s="182"/>
      <c r="BD1162" s="182"/>
      <c r="BE1162" s="182"/>
      <c r="BF1162" s="182"/>
      <c r="BG1162" s="182"/>
      <c r="BH1162" s="182"/>
      <c r="BI1162" s="182"/>
      <c r="BJ1162" s="182"/>
      <c r="BK1162" s="182"/>
      <c r="BL1162" s="182"/>
      <c r="BM1162" s="182"/>
      <c r="BN1162" s="182"/>
      <c r="BO1162" s="182"/>
      <c r="BP1162" s="182"/>
      <c r="BQ1162" s="182"/>
      <c r="BR1162" s="182"/>
      <c r="BS1162" s="182"/>
      <c r="BT1162" s="182"/>
      <c r="BU1162" s="182"/>
      <c r="BV1162" s="182"/>
      <c r="BW1162" s="182"/>
      <c r="BX1162" s="182"/>
      <c r="BY1162" s="182"/>
      <c r="BZ1162" s="182"/>
      <c r="CA1162" s="182"/>
      <c r="CB1162" s="185">
        <v>0</v>
      </c>
      <c r="CC1162" s="185">
        <v>0</v>
      </c>
      <c r="CD1162" s="185">
        <v>2510</v>
      </c>
      <c r="CE1162" s="185"/>
    </row>
    <row r="1163" spans="2:83" x14ac:dyDescent="0.3">
      <c r="B1163" s="182">
        <v>4651</v>
      </c>
      <c r="C1163" s="182">
        <v>2511</v>
      </c>
      <c r="D1163" s="182" t="s">
        <v>121</v>
      </c>
      <c r="E1163" s="181" t="s">
        <v>4402</v>
      </c>
      <c r="F1163" s="182"/>
      <c r="G1163" s="182">
        <v>2500</v>
      </c>
      <c r="H1163" s="182"/>
      <c r="I1163" s="182"/>
      <c r="J1163" s="182"/>
      <c r="K1163" s="182"/>
      <c r="L1163" s="182"/>
      <c r="M1163" s="182"/>
      <c r="N1163" s="182"/>
      <c r="O1163" s="182"/>
      <c r="P1163" s="182"/>
      <c r="Q1163" s="182"/>
      <c r="R1163" s="182"/>
      <c r="S1163" s="182"/>
      <c r="T1163" s="182"/>
      <c r="U1163" s="182"/>
      <c r="V1163" s="182"/>
      <c r="W1163" s="182"/>
      <c r="X1163" s="182"/>
      <c r="Y1163" s="182"/>
      <c r="Z1163" s="182"/>
      <c r="AA1163" s="182"/>
      <c r="AB1163" s="182"/>
      <c r="AC1163" s="182"/>
      <c r="AD1163" s="182"/>
      <c r="AE1163" s="182"/>
      <c r="AF1163" s="182"/>
      <c r="AG1163" s="182"/>
      <c r="AH1163" s="182"/>
      <c r="AI1163" s="182"/>
      <c r="AJ1163" s="182"/>
      <c r="AK1163" s="182"/>
      <c r="AL1163" s="182"/>
      <c r="AM1163" s="182"/>
      <c r="AN1163" s="182"/>
      <c r="AO1163" s="182"/>
      <c r="AP1163" s="182"/>
      <c r="AQ1163" s="185">
        <v>2500</v>
      </c>
      <c r="AR1163" s="182">
        <v>2231.6</v>
      </c>
      <c r="AS1163" s="182">
        <v>268.39999999999998</v>
      </c>
      <c r="AT1163" s="182"/>
      <c r="AU1163" s="182"/>
      <c r="AV1163" s="182"/>
      <c r="AW1163" s="182"/>
      <c r="AX1163" s="182"/>
      <c r="AY1163" s="182"/>
      <c r="AZ1163" s="182"/>
      <c r="BA1163" s="182"/>
      <c r="BB1163" s="182"/>
      <c r="BC1163" s="182"/>
      <c r="BD1163" s="182"/>
      <c r="BE1163" s="182"/>
      <c r="BF1163" s="182"/>
      <c r="BG1163" s="182"/>
      <c r="BH1163" s="182"/>
      <c r="BI1163" s="182"/>
      <c r="BJ1163" s="182"/>
      <c r="BK1163" s="182"/>
      <c r="BL1163" s="182"/>
      <c r="BM1163" s="182"/>
      <c r="BN1163" s="182"/>
      <c r="BO1163" s="182"/>
      <c r="BP1163" s="182"/>
      <c r="BQ1163" s="182"/>
      <c r="BR1163" s="182"/>
      <c r="BS1163" s="182"/>
      <c r="BT1163" s="182"/>
      <c r="BU1163" s="182"/>
      <c r="BV1163" s="182"/>
      <c r="BW1163" s="182"/>
      <c r="BX1163" s="182"/>
      <c r="BY1163" s="182"/>
      <c r="BZ1163" s="182"/>
      <c r="CA1163" s="182"/>
      <c r="CB1163" s="185">
        <v>2500</v>
      </c>
      <c r="CC1163" s="185">
        <v>0</v>
      </c>
      <c r="CD1163" s="185">
        <v>2511</v>
      </c>
      <c r="CE1163" s="185"/>
    </row>
    <row r="1164" spans="2:83" x14ac:dyDescent="0.3">
      <c r="B1164" s="182">
        <v>4650</v>
      </c>
      <c r="C1164" s="182">
        <v>2512</v>
      </c>
      <c r="D1164" s="182" t="s">
        <v>121</v>
      </c>
      <c r="E1164" s="181" t="s">
        <v>4402</v>
      </c>
      <c r="F1164" s="182"/>
      <c r="G1164" s="182">
        <v>7500</v>
      </c>
      <c r="H1164" s="182"/>
      <c r="I1164" s="182"/>
      <c r="J1164" s="182"/>
      <c r="K1164" s="182"/>
      <c r="L1164" s="182"/>
      <c r="M1164" s="182"/>
      <c r="N1164" s="182"/>
      <c r="O1164" s="182"/>
      <c r="P1164" s="182"/>
      <c r="Q1164" s="182"/>
      <c r="R1164" s="182"/>
      <c r="S1164" s="182"/>
      <c r="T1164" s="182"/>
      <c r="U1164" s="182"/>
      <c r="V1164" s="182"/>
      <c r="W1164" s="182"/>
      <c r="X1164" s="182"/>
      <c r="Y1164" s="182"/>
      <c r="Z1164" s="182"/>
      <c r="AA1164" s="182"/>
      <c r="AB1164" s="182"/>
      <c r="AC1164" s="182"/>
      <c r="AD1164" s="182"/>
      <c r="AE1164" s="182"/>
      <c r="AF1164" s="182"/>
      <c r="AG1164" s="182"/>
      <c r="AH1164" s="182"/>
      <c r="AI1164" s="182"/>
      <c r="AJ1164" s="182"/>
      <c r="AK1164" s="182"/>
      <c r="AL1164" s="182"/>
      <c r="AM1164" s="182"/>
      <c r="AN1164" s="182"/>
      <c r="AO1164" s="182"/>
      <c r="AP1164" s="182"/>
      <c r="AQ1164" s="185">
        <v>7500</v>
      </c>
      <c r="AR1164" s="182">
        <v>6694.8</v>
      </c>
      <c r="AS1164" s="182">
        <v>805.2</v>
      </c>
      <c r="AT1164" s="182"/>
      <c r="AU1164" s="182"/>
      <c r="AV1164" s="182"/>
      <c r="AW1164" s="182"/>
      <c r="AX1164" s="182"/>
      <c r="AY1164" s="182"/>
      <c r="AZ1164" s="182"/>
      <c r="BA1164" s="182"/>
      <c r="BB1164" s="182"/>
      <c r="BC1164" s="182"/>
      <c r="BD1164" s="182"/>
      <c r="BE1164" s="182"/>
      <c r="BF1164" s="182"/>
      <c r="BG1164" s="182"/>
      <c r="BH1164" s="182"/>
      <c r="BI1164" s="182"/>
      <c r="BJ1164" s="182"/>
      <c r="BK1164" s="182"/>
      <c r="BL1164" s="182"/>
      <c r="BM1164" s="182"/>
      <c r="BN1164" s="182"/>
      <c r="BO1164" s="182"/>
      <c r="BP1164" s="182"/>
      <c r="BQ1164" s="182"/>
      <c r="BR1164" s="182"/>
      <c r="BS1164" s="182"/>
      <c r="BT1164" s="182"/>
      <c r="BU1164" s="182"/>
      <c r="BV1164" s="182"/>
      <c r="BW1164" s="182"/>
      <c r="BX1164" s="182"/>
      <c r="BY1164" s="182"/>
      <c r="BZ1164" s="182"/>
      <c r="CA1164" s="182"/>
      <c r="CB1164" s="185">
        <v>7500</v>
      </c>
      <c r="CC1164" s="185">
        <v>0</v>
      </c>
      <c r="CD1164" s="185">
        <v>2512</v>
      </c>
      <c r="CE1164" s="185"/>
    </row>
    <row r="1165" spans="2:83" x14ac:dyDescent="0.3">
      <c r="B1165" s="182">
        <v>4649</v>
      </c>
      <c r="C1165" s="182">
        <v>2513</v>
      </c>
      <c r="D1165" s="182" t="s">
        <v>121</v>
      </c>
      <c r="E1165" s="181" t="s">
        <v>4402</v>
      </c>
      <c r="F1165" s="182"/>
      <c r="G1165" s="182">
        <v>2500</v>
      </c>
      <c r="H1165" s="182"/>
      <c r="I1165" s="182"/>
      <c r="J1165" s="182"/>
      <c r="K1165" s="182"/>
      <c r="L1165" s="182"/>
      <c r="M1165" s="182"/>
      <c r="N1165" s="182"/>
      <c r="O1165" s="182"/>
      <c r="P1165" s="182"/>
      <c r="Q1165" s="182"/>
      <c r="R1165" s="182"/>
      <c r="S1165" s="182"/>
      <c r="T1165" s="182"/>
      <c r="U1165" s="182"/>
      <c r="V1165" s="182"/>
      <c r="W1165" s="182"/>
      <c r="X1165" s="182"/>
      <c r="Y1165" s="182"/>
      <c r="Z1165" s="182"/>
      <c r="AA1165" s="182"/>
      <c r="AB1165" s="182"/>
      <c r="AC1165" s="182"/>
      <c r="AD1165" s="182"/>
      <c r="AE1165" s="182"/>
      <c r="AF1165" s="182"/>
      <c r="AG1165" s="182"/>
      <c r="AH1165" s="182"/>
      <c r="AI1165" s="182"/>
      <c r="AJ1165" s="182"/>
      <c r="AK1165" s="182"/>
      <c r="AL1165" s="182"/>
      <c r="AM1165" s="182"/>
      <c r="AN1165" s="182"/>
      <c r="AO1165" s="182"/>
      <c r="AP1165" s="182"/>
      <c r="AQ1165" s="185">
        <v>2500</v>
      </c>
      <c r="AR1165" s="182">
        <v>2231.6</v>
      </c>
      <c r="AS1165" s="182">
        <v>268.39999999999998</v>
      </c>
      <c r="AT1165" s="182"/>
      <c r="AU1165" s="182"/>
      <c r="AV1165" s="182"/>
      <c r="AW1165" s="182"/>
      <c r="AX1165" s="182"/>
      <c r="AY1165" s="182"/>
      <c r="AZ1165" s="182"/>
      <c r="BA1165" s="182"/>
      <c r="BB1165" s="182"/>
      <c r="BC1165" s="182"/>
      <c r="BD1165" s="182"/>
      <c r="BE1165" s="182"/>
      <c r="BF1165" s="182"/>
      <c r="BG1165" s="182"/>
      <c r="BH1165" s="182"/>
      <c r="BI1165" s="182"/>
      <c r="BJ1165" s="182"/>
      <c r="BK1165" s="182"/>
      <c r="BL1165" s="182"/>
      <c r="BM1165" s="182"/>
      <c r="BN1165" s="182"/>
      <c r="BO1165" s="182"/>
      <c r="BP1165" s="182"/>
      <c r="BQ1165" s="182"/>
      <c r="BR1165" s="182"/>
      <c r="BS1165" s="182"/>
      <c r="BT1165" s="182"/>
      <c r="BU1165" s="182"/>
      <c r="BV1165" s="182"/>
      <c r="BW1165" s="182"/>
      <c r="BX1165" s="182"/>
      <c r="BY1165" s="182"/>
      <c r="BZ1165" s="182"/>
      <c r="CA1165" s="182"/>
      <c r="CB1165" s="185">
        <v>2500</v>
      </c>
      <c r="CC1165" s="185">
        <v>0</v>
      </c>
      <c r="CD1165" s="185">
        <v>2513</v>
      </c>
      <c r="CE1165" s="185"/>
    </row>
    <row r="1166" spans="2:83" x14ac:dyDescent="0.3">
      <c r="B1166" s="182"/>
      <c r="C1166" s="182">
        <v>2514</v>
      </c>
      <c r="D1166" s="182" t="s">
        <v>332</v>
      </c>
      <c r="E1166" s="181"/>
      <c r="F1166" s="182"/>
      <c r="G1166" s="182"/>
      <c r="H1166" s="182"/>
      <c r="I1166" s="182"/>
      <c r="J1166" s="182"/>
      <c r="K1166" s="182"/>
      <c r="L1166" s="182"/>
      <c r="M1166" s="182"/>
      <c r="N1166" s="182"/>
      <c r="O1166" s="182"/>
      <c r="P1166" s="182"/>
      <c r="Q1166" s="182"/>
      <c r="R1166" s="182"/>
      <c r="S1166" s="182"/>
      <c r="T1166" s="182"/>
      <c r="U1166" s="182"/>
      <c r="V1166" s="182"/>
      <c r="W1166" s="182"/>
      <c r="X1166" s="182"/>
      <c r="Y1166" s="182"/>
      <c r="Z1166" s="182"/>
      <c r="AA1166" s="182"/>
      <c r="AB1166" s="182"/>
      <c r="AC1166" s="182"/>
      <c r="AD1166" s="182"/>
      <c r="AE1166" s="182"/>
      <c r="AF1166" s="182"/>
      <c r="AG1166" s="182"/>
      <c r="AH1166" s="182"/>
      <c r="AI1166" s="182"/>
      <c r="AJ1166" s="182"/>
      <c r="AK1166" s="182"/>
      <c r="AL1166" s="182"/>
      <c r="AM1166" s="182"/>
      <c r="AN1166" s="182"/>
      <c r="AO1166" s="182"/>
      <c r="AP1166" s="182"/>
      <c r="AQ1166" s="185">
        <v>0</v>
      </c>
      <c r="AR1166" s="182"/>
      <c r="AS1166" s="182"/>
      <c r="AT1166" s="182"/>
      <c r="AU1166" s="182"/>
      <c r="AV1166" s="182"/>
      <c r="AW1166" s="182"/>
      <c r="AX1166" s="182"/>
      <c r="AY1166" s="182"/>
      <c r="AZ1166" s="182"/>
      <c r="BA1166" s="182"/>
      <c r="BB1166" s="182"/>
      <c r="BC1166" s="182"/>
      <c r="BD1166" s="182"/>
      <c r="BE1166" s="182"/>
      <c r="BF1166" s="182"/>
      <c r="BG1166" s="182"/>
      <c r="BH1166" s="182"/>
      <c r="BI1166" s="182"/>
      <c r="BJ1166" s="182"/>
      <c r="BK1166" s="182"/>
      <c r="BL1166" s="182"/>
      <c r="BM1166" s="182"/>
      <c r="BN1166" s="182"/>
      <c r="BO1166" s="182"/>
      <c r="BP1166" s="182"/>
      <c r="BQ1166" s="182"/>
      <c r="BR1166" s="182"/>
      <c r="BS1166" s="182"/>
      <c r="BT1166" s="182"/>
      <c r="BU1166" s="182"/>
      <c r="BV1166" s="182"/>
      <c r="BW1166" s="182"/>
      <c r="BX1166" s="182"/>
      <c r="BY1166" s="182"/>
      <c r="BZ1166" s="182"/>
      <c r="CA1166" s="182"/>
      <c r="CB1166" s="185">
        <v>0</v>
      </c>
      <c r="CC1166" s="185">
        <v>0</v>
      </c>
      <c r="CD1166" s="185">
        <v>2514</v>
      </c>
      <c r="CE1166" s="185"/>
    </row>
    <row r="1167" spans="2:83" x14ac:dyDescent="0.3">
      <c r="B1167" s="182">
        <v>4647</v>
      </c>
      <c r="C1167" s="182">
        <v>2515</v>
      </c>
      <c r="D1167" s="182" t="s">
        <v>121</v>
      </c>
      <c r="E1167" s="181" t="s">
        <v>4402</v>
      </c>
      <c r="F1167" s="182"/>
      <c r="G1167" s="182">
        <v>2500</v>
      </c>
      <c r="H1167" s="182"/>
      <c r="I1167" s="182"/>
      <c r="J1167" s="182"/>
      <c r="K1167" s="182"/>
      <c r="L1167" s="182"/>
      <c r="M1167" s="182"/>
      <c r="N1167" s="182"/>
      <c r="O1167" s="182"/>
      <c r="P1167" s="182"/>
      <c r="Q1167" s="182"/>
      <c r="R1167" s="182"/>
      <c r="S1167" s="182"/>
      <c r="T1167" s="182"/>
      <c r="U1167" s="182"/>
      <c r="V1167" s="182"/>
      <c r="W1167" s="182"/>
      <c r="X1167" s="182"/>
      <c r="Y1167" s="182"/>
      <c r="Z1167" s="182"/>
      <c r="AA1167" s="182"/>
      <c r="AB1167" s="182"/>
      <c r="AC1167" s="182"/>
      <c r="AD1167" s="182"/>
      <c r="AE1167" s="182"/>
      <c r="AF1167" s="182"/>
      <c r="AG1167" s="182"/>
      <c r="AH1167" s="182"/>
      <c r="AI1167" s="182"/>
      <c r="AJ1167" s="182"/>
      <c r="AK1167" s="182"/>
      <c r="AL1167" s="182"/>
      <c r="AM1167" s="182"/>
      <c r="AN1167" s="182"/>
      <c r="AO1167" s="182"/>
      <c r="AP1167" s="182"/>
      <c r="AQ1167" s="185">
        <v>2500</v>
      </c>
      <c r="AR1167" s="182">
        <v>2231.6</v>
      </c>
      <c r="AS1167" s="182">
        <v>268.39999999999998</v>
      </c>
      <c r="AT1167" s="182"/>
      <c r="AU1167" s="182"/>
      <c r="AV1167" s="182"/>
      <c r="AW1167" s="182"/>
      <c r="AX1167" s="182"/>
      <c r="AY1167" s="182"/>
      <c r="AZ1167" s="182"/>
      <c r="BA1167" s="182"/>
      <c r="BB1167" s="182"/>
      <c r="BC1167" s="182"/>
      <c r="BD1167" s="182"/>
      <c r="BE1167" s="182"/>
      <c r="BF1167" s="182"/>
      <c r="BG1167" s="182"/>
      <c r="BH1167" s="182"/>
      <c r="BI1167" s="182"/>
      <c r="BJ1167" s="182"/>
      <c r="BK1167" s="182"/>
      <c r="BL1167" s="182"/>
      <c r="BM1167" s="182"/>
      <c r="BN1167" s="182"/>
      <c r="BO1167" s="182"/>
      <c r="BP1167" s="182"/>
      <c r="BQ1167" s="182"/>
      <c r="BR1167" s="182"/>
      <c r="BS1167" s="182"/>
      <c r="BT1167" s="182"/>
      <c r="BU1167" s="182"/>
      <c r="BV1167" s="182"/>
      <c r="BW1167" s="182"/>
      <c r="BX1167" s="182"/>
      <c r="BY1167" s="182"/>
      <c r="BZ1167" s="182"/>
      <c r="CA1167" s="182"/>
      <c r="CB1167" s="185">
        <v>2500</v>
      </c>
      <c r="CC1167" s="185">
        <v>0</v>
      </c>
      <c r="CD1167" s="185">
        <v>2515</v>
      </c>
      <c r="CE1167" s="185"/>
    </row>
    <row r="1168" spans="2:83" x14ac:dyDescent="0.3">
      <c r="B1168" s="182">
        <v>4646</v>
      </c>
      <c r="C1168" s="182">
        <v>2516</v>
      </c>
      <c r="D1168" s="182" t="s">
        <v>121</v>
      </c>
      <c r="E1168" s="181" t="s">
        <v>4402</v>
      </c>
      <c r="F1168" s="182"/>
      <c r="G1168" s="182">
        <v>2500</v>
      </c>
      <c r="H1168" s="182"/>
      <c r="I1168" s="182"/>
      <c r="J1168" s="182"/>
      <c r="K1168" s="182"/>
      <c r="L1168" s="182"/>
      <c r="M1168" s="182"/>
      <c r="N1168" s="182"/>
      <c r="O1168" s="182"/>
      <c r="P1168" s="182"/>
      <c r="Q1168" s="182"/>
      <c r="R1168" s="182"/>
      <c r="S1168" s="182"/>
      <c r="T1168" s="182"/>
      <c r="U1168" s="182"/>
      <c r="V1168" s="182"/>
      <c r="W1168" s="182"/>
      <c r="X1168" s="182"/>
      <c r="Y1168" s="182"/>
      <c r="Z1168" s="182"/>
      <c r="AA1168" s="182"/>
      <c r="AB1168" s="182"/>
      <c r="AC1168" s="182"/>
      <c r="AD1168" s="182"/>
      <c r="AE1168" s="182"/>
      <c r="AF1168" s="182"/>
      <c r="AG1168" s="182"/>
      <c r="AH1168" s="182"/>
      <c r="AI1168" s="182"/>
      <c r="AJ1168" s="182"/>
      <c r="AK1168" s="182"/>
      <c r="AL1168" s="182"/>
      <c r="AM1168" s="182"/>
      <c r="AN1168" s="182"/>
      <c r="AO1168" s="182"/>
      <c r="AP1168" s="182"/>
      <c r="AQ1168" s="185">
        <v>2500</v>
      </c>
      <c r="AR1168" s="182">
        <v>2231.6</v>
      </c>
      <c r="AS1168" s="182">
        <v>268.39999999999998</v>
      </c>
      <c r="AT1168" s="182"/>
      <c r="AU1168" s="182"/>
      <c r="AV1168" s="182"/>
      <c r="AW1168" s="182"/>
      <c r="AX1168" s="182"/>
      <c r="AY1168" s="182"/>
      <c r="AZ1168" s="182"/>
      <c r="BA1168" s="182"/>
      <c r="BB1168" s="182"/>
      <c r="BC1168" s="182"/>
      <c r="BD1168" s="182"/>
      <c r="BE1168" s="182"/>
      <c r="BF1168" s="182"/>
      <c r="BG1168" s="182"/>
      <c r="BH1168" s="182"/>
      <c r="BI1168" s="182"/>
      <c r="BJ1168" s="182"/>
      <c r="BK1168" s="182"/>
      <c r="BL1168" s="182"/>
      <c r="BM1168" s="182"/>
      <c r="BN1168" s="182"/>
      <c r="BO1168" s="182"/>
      <c r="BP1168" s="182"/>
      <c r="BQ1168" s="182"/>
      <c r="BR1168" s="182"/>
      <c r="BS1168" s="182"/>
      <c r="BT1168" s="182"/>
      <c r="BU1168" s="182"/>
      <c r="BV1168" s="182"/>
      <c r="BW1168" s="182"/>
      <c r="BX1168" s="182"/>
      <c r="BY1168" s="182"/>
      <c r="BZ1168" s="182"/>
      <c r="CA1168" s="182"/>
      <c r="CB1168" s="185">
        <v>2500</v>
      </c>
      <c r="CC1168" s="185">
        <v>0</v>
      </c>
      <c r="CD1168" s="185">
        <v>2516</v>
      </c>
      <c r="CE1168" s="185"/>
    </row>
    <row r="1169" spans="2:83" x14ac:dyDescent="0.3">
      <c r="B1169" s="182">
        <v>4534</v>
      </c>
      <c r="C1169" s="182">
        <v>2517</v>
      </c>
      <c r="D1169" s="182" t="s">
        <v>121</v>
      </c>
      <c r="E1169" s="181" t="s">
        <v>4403</v>
      </c>
      <c r="F1169" s="182"/>
      <c r="G1169" s="182">
        <v>2500</v>
      </c>
      <c r="H1169" s="182"/>
      <c r="I1169" s="182"/>
      <c r="J1169" s="182"/>
      <c r="K1169" s="182"/>
      <c r="L1169" s="182"/>
      <c r="M1169" s="182"/>
      <c r="N1169" s="182"/>
      <c r="O1169" s="182"/>
      <c r="P1169" s="182"/>
      <c r="Q1169" s="182"/>
      <c r="R1169" s="182"/>
      <c r="S1169" s="182"/>
      <c r="T1169" s="182"/>
      <c r="U1169" s="182"/>
      <c r="V1169" s="182"/>
      <c r="W1169" s="182"/>
      <c r="X1169" s="182"/>
      <c r="Y1169" s="182"/>
      <c r="Z1169" s="182"/>
      <c r="AA1169" s="182"/>
      <c r="AB1169" s="182"/>
      <c r="AC1169" s="182"/>
      <c r="AD1169" s="182"/>
      <c r="AE1169" s="182"/>
      <c r="AF1169" s="182"/>
      <c r="AG1169" s="182"/>
      <c r="AH1169" s="182"/>
      <c r="AI1169" s="182"/>
      <c r="AJ1169" s="182"/>
      <c r="AK1169" s="182"/>
      <c r="AL1169" s="182"/>
      <c r="AM1169" s="182"/>
      <c r="AN1169" s="182"/>
      <c r="AO1169" s="182"/>
      <c r="AP1169" s="182"/>
      <c r="AQ1169" s="185">
        <v>2500</v>
      </c>
      <c r="AR1169" s="182">
        <v>2231.6</v>
      </c>
      <c r="AS1169" s="182">
        <v>268.39999999999998</v>
      </c>
      <c r="AT1169" s="182"/>
      <c r="AU1169" s="182"/>
      <c r="AV1169" s="182"/>
      <c r="AW1169" s="182"/>
      <c r="AX1169" s="182"/>
      <c r="AY1169" s="182"/>
      <c r="AZ1169" s="182"/>
      <c r="BA1169" s="182"/>
      <c r="BB1169" s="182"/>
      <c r="BC1169" s="182"/>
      <c r="BD1169" s="182"/>
      <c r="BE1169" s="182"/>
      <c r="BF1169" s="182"/>
      <c r="BG1169" s="182"/>
      <c r="BH1169" s="182"/>
      <c r="BI1169" s="182"/>
      <c r="BJ1169" s="182"/>
      <c r="BK1169" s="182"/>
      <c r="BL1169" s="182"/>
      <c r="BM1169" s="182"/>
      <c r="BN1169" s="182"/>
      <c r="BO1169" s="182"/>
      <c r="BP1169" s="182"/>
      <c r="BQ1169" s="182"/>
      <c r="BR1169" s="182"/>
      <c r="BS1169" s="182"/>
      <c r="BT1169" s="182"/>
      <c r="BU1169" s="182"/>
      <c r="BV1169" s="182"/>
      <c r="BW1169" s="182"/>
      <c r="BX1169" s="182"/>
      <c r="BY1169" s="182"/>
      <c r="BZ1169" s="182"/>
      <c r="CA1169" s="182"/>
      <c r="CB1169" s="185">
        <v>2500</v>
      </c>
      <c r="CC1169" s="185">
        <v>0</v>
      </c>
      <c r="CD1169" s="185">
        <v>2517</v>
      </c>
      <c r="CE1169" s="185"/>
    </row>
    <row r="1170" spans="2:83" x14ac:dyDescent="0.3">
      <c r="B1170" s="182">
        <v>4536</v>
      </c>
      <c r="C1170" s="182">
        <v>2518</v>
      </c>
      <c r="D1170" s="182" t="s">
        <v>121</v>
      </c>
      <c r="E1170" s="181" t="s">
        <v>4404</v>
      </c>
      <c r="F1170" s="182"/>
      <c r="G1170" s="182">
        <v>17500</v>
      </c>
      <c r="H1170" s="182"/>
      <c r="I1170" s="182"/>
      <c r="J1170" s="182"/>
      <c r="K1170" s="182"/>
      <c r="L1170" s="182"/>
      <c r="M1170" s="182"/>
      <c r="N1170" s="182"/>
      <c r="O1170" s="182"/>
      <c r="P1170" s="182"/>
      <c r="Q1170" s="182"/>
      <c r="R1170" s="182"/>
      <c r="S1170" s="182"/>
      <c r="T1170" s="182"/>
      <c r="U1170" s="182"/>
      <c r="V1170" s="182"/>
      <c r="W1170" s="182"/>
      <c r="X1170" s="182"/>
      <c r="Y1170" s="182"/>
      <c r="Z1170" s="182"/>
      <c r="AA1170" s="182"/>
      <c r="AB1170" s="182"/>
      <c r="AC1170" s="182"/>
      <c r="AD1170" s="182"/>
      <c r="AE1170" s="182"/>
      <c r="AF1170" s="182"/>
      <c r="AG1170" s="182"/>
      <c r="AH1170" s="182"/>
      <c r="AI1170" s="182"/>
      <c r="AJ1170" s="182"/>
      <c r="AK1170" s="182"/>
      <c r="AL1170" s="182"/>
      <c r="AM1170" s="182"/>
      <c r="AN1170" s="182"/>
      <c r="AO1170" s="182"/>
      <c r="AP1170" s="182"/>
      <c r="AQ1170" s="185">
        <v>17500</v>
      </c>
      <c r="AR1170" s="182">
        <v>15621.2</v>
      </c>
      <c r="AS1170" s="182">
        <v>1878.8</v>
      </c>
      <c r="AT1170" s="182"/>
      <c r="AU1170" s="182"/>
      <c r="AV1170" s="182"/>
      <c r="AW1170" s="182"/>
      <c r="AX1170" s="182"/>
      <c r="AY1170" s="182"/>
      <c r="AZ1170" s="182"/>
      <c r="BA1170" s="182"/>
      <c r="BB1170" s="182"/>
      <c r="BC1170" s="182"/>
      <c r="BD1170" s="182"/>
      <c r="BE1170" s="182"/>
      <c r="BF1170" s="182"/>
      <c r="BG1170" s="182"/>
      <c r="BH1170" s="182"/>
      <c r="BI1170" s="182"/>
      <c r="BJ1170" s="182"/>
      <c r="BK1170" s="182"/>
      <c r="BL1170" s="182"/>
      <c r="BM1170" s="182"/>
      <c r="BN1170" s="182"/>
      <c r="BO1170" s="182"/>
      <c r="BP1170" s="182"/>
      <c r="BQ1170" s="182"/>
      <c r="BR1170" s="182"/>
      <c r="BS1170" s="182"/>
      <c r="BT1170" s="182"/>
      <c r="BU1170" s="182"/>
      <c r="BV1170" s="182"/>
      <c r="BW1170" s="182"/>
      <c r="BX1170" s="182"/>
      <c r="BY1170" s="182"/>
      <c r="BZ1170" s="182"/>
      <c r="CA1170" s="182"/>
      <c r="CB1170" s="185">
        <v>17500</v>
      </c>
      <c r="CC1170" s="185">
        <v>0</v>
      </c>
      <c r="CD1170" s="185">
        <v>2518</v>
      </c>
      <c r="CE1170" s="185"/>
    </row>
    <row r="1171" spans="2:83" x14ac:dyDescent="0.3">
      <c r="B1171" s="182">
        <v>4535</v>
      </c>
      <c r="C1171" s="182">
        <v>2519</v>
      </c>
      <c r="D1171" s="182" t="s">
        <v>121</v>
      </c>
      <c r="E1171" s="181" t="s">
        <v>4404</v>
      </c>
      <c r="F1171" s="182"/>
      <c r="G1171" s="182">
        <v>2500</v>
      </c>
      <c r="H1171" s="182"/>
      <c r="I1171" s="182"/>
      <c r="J1171" s="182"/>
      <c r="K1171" s="182"/>
      <c r="L1171" s="182"/>
      <c r="M1171" s="182"/>
      <c r="N1171" s="182"/>
      <c r="O1171" s="182"/>
      <c r="P1171" s="182"/>
      <c r="Q1171" s="182"/>
      <c r="R1171" s="182"/>
      <c r="S1171" s="182"/>
      <c r="T1171" s="182"/>
      <c r="U1171" s="182"/>
      <c r="V1171" s="182"/>
      <c r="W1171" s="182"/>
      <c r="X1171" s="182"/>
      <c r="Y1171" s="182"/>
      <c r="Z1171" s="182"/>
      <c r="AA1171" s="182"/>
      <c r="AB1171" s="182"/>
      <c r="AC1171" s="182"/>
      <c r="AD1171" s="182"/>
      <c r="AE1171" s="182"/>
      <c r="AF1171" s="182"/>
      <c r="AG1171" s="182"/>
      <c r="AH1171" s="182"/>
      <c r="AI1171" s="182"/>
      <c r="AJ1171" s="182"/>
      <c r="AK1171" s="182"/>
      <c r="AL1171" s="182"/>
      <c r="AM1171" s="182"/>
      <c r="AN1171" s="182"/>
      <c r="AO1171" s="182"/>
      <c r="AP1171" s="182"/>
      <c r="AQ1171" s="185">
        <v>2500</v>
      </c>
      <c r="AR1171" s="182">
        <v>2231.6</v>
      </c>
      <c r="AS1171" s="182">
        <v>268.39999999999998</v>
      </c>
      <c r="AT1171" s="182"/>
      <c r="AU1171" s="182"/>
      <c r="AV1171" s="182"/>
      <c r="AW1171" s="182"/>
      <c r="AX1171" s="182"/>
      <c r="AY1171" s="182"/>
      <c r="AZ1171" s="182"/>
      <c r="BA1171" s="182"/>
      <c r="BB1171" s="182"/>
      <c r="BC1171" s="182"/>
      <c r="BD1171" s="182"/>
      <c r="BE1171" s="182"/>
      <c r="BF1171" s="182"/>
      <c r="BG1171" s="182"/>
      <c r="BH1171" s="182"/>
      <c r="BI1171" s="182"/>
      <c r="BJ1171" s="182"/>
      <c r="BK1171" s="182"/>
      <c r="BL1171" s="182"/>
      <c r="BM1171" s="182"/>
      <c r="BN1171" s="182"/>
      <c r="BO1171" s="182"/>
      <c r="BP1171" s="182"/>
      <c r="BQ1171" s="182"/>
      <c r="BR1171" s="182"/>
      <c r="BS1171" s="182"/>
      <c r="BT1171" s="182"/>
      <c r="BU1171" s="182"/>
      <c r="BV1171" s="182"/>
      <c r="BW1171" s="182"/>
      <c r="BX1171" s="182"/>
      <c r="BY1171" s="182"/>
      <c r="BZ1171" s="182"/>
      <c r="CA1171" s="182"/>
      <c r="CB1171" s="185">
        <v>2500</v>
      </c>
      <c r="CC1171" s="185">
        <v>0</v>
      </c>
      <c r="CD1171" s="185">
        <v>2519</v>
      </c>
      <c r="CE1171" s="185"/>
    </row>
    <row r="1172" spans="2:83" x14ac:dyDescent="0.3">
      <c r="B1172" s="182">
        <v>4537</v>
      </c>
      <c r="C1172" s="182">
        <v>2520</v>
      </c>
      <c r="D1172" s="182" t="s">
        <v>121</v>
      </c>
      <c r="E1172" s="181" t="s">
        <v>4403</v>
      </c>
      <c r="F1172" s="182"/>
      <c r="G1172" s="182">
        <v>13500</v>
      </c>
      <c r="H1172" s="182"/>
      <c r="I1172" s="182"/>
      <c r="J1172" s="182"/>
      <c r="K1172" s="182"/>
      <c r="L1172" s="182"/>
      <c r="M1172" s="182"/>
      <c r="N1172" s="182"/>
      <c r="O1172" s="182"/>
      <c r="P1172" s="182"/>
      <c r="Q1172" s="182"/>
      <c r="R1172" s="182"/>
      <c r="S1172" s="182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/>
      <c r="AE1172" s="182"/>
      <c r="AF1172" s="182"/>
      <c r="AG1172" s="182"/>
      <c r="AH1172" s="182"/>
      <c r="AI1172" s="182"/>
      <c r="AJ1172" s="182"/>
      <c r="AK1172" s="182"/>
      <c r="AL1172" s="182"/>
      <c r="AM1172" s="182"/>
      <c r="AN1172" s="182"/>
      <c r="AO1172" s="182"/>
      <c r="AP1172" s="182"/>
      <c r="AQ1172" s="185">
        <v>13500</v>
      </c>
      <c r="AR1172" s="182">
        <v>12050.5</v>
      </c>
      <c r="AS1172" s="182">
        <v>1449.5</v>
      </c>
      <c r="AT1172" s="182"/>
      <c r="AU1172" s="182"/>
      <c r="AV1172" s="182"/>
      <c r="AW1172" s="182"/>
      <c r="AX1172" s="182"/>
      <c r="AY1172" s="182"/>
      <c r="AZ1172" s="182"/>
      <c r="BA1172" s="182"/>
      <c r="BB1172" s="182"/>
      <c r="BC1172" s="182"/>
      <c r="BD1172" s="182"/>
      <c r="BE1172" s="182"/>
      <c r="BF1172" s="182"/>
      <c r="BG1172" s="182"/>
      <c r="BH1172" s="182"/>
      <c r="BI1172" s="182"/>
      <c r="BJ1172" s="182"/>
      <c r="BK1172" s="182"/>
      <c r="BL1172" s="182"/>
      <c r="BM1172" s="182"/>
      <c r="BN1172" s="182"/>
      <c r="BO1172" s="182"/>
      <c r="BP1172" s="182"/>
      <c r="BQ1172" s="182"/>
      <c r="BR1172" s="182"/>
      <c r="BS1172" s="182"/>
      <c r="BT1172" s="182"/>
      <c r="BU1172" s="182"/>
      <c r="BV1172" s="182"/>
      <c r="BW1172" s="182"/>
      <c r="BX1172" s="182"/>
      <c r="BY1172" s="182"/>
      <c r="BZ1172" s="182"/>
      <c r="CA1172" s="182"/>
      <c r="CB1172" s="185">
        <v>13500</v>
      </c>
      <c r="CC1172" s="185">
        <v>0</v>
      </c>
      <c r="CD1172" s="185">
        <v>2520</v>
      </c>
      <c r="CE1172" s="185"/>
    </row>
    <row r="1173" spans="2:83" x14ac:dyDescent="0.3">
      <c r="B1173" s="182">
        <v>4538</v>
      </c>
      <c r="C1173" s="182">
        <v>2521</v>
      </c>
      <c r="D1173" s="182" t="s">
        <v>121</v>
      </c>
      <c r="E1173" s="181" t="s">
        <v>4403</v>
      </c>
      <c r="F1173" s="182"/>
      <c r="G1173" s="182">
        <v>24400</v>
      </c>
      <c r="H1173" s="182"/>
      <c r="I1173" s="182"/>
      <c r="J1173" s="182"/>
      <c r="K1173" s="182"/>
      <c r="L1173" s="182"/>
      <c r="M1173" s="182"/>
      <c r="N1173" s="182"/>
      <c r="O1173" s="182"/>
      <c r="P1173" s="182"/>
      <c r="Q1173" s="182"/>
      <c r="R1173" s="182"/>
      <c r="S1173" s="182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/>
      <c r="AQ1173" s="185">
        <v>24400</v>
      </c>
      <c r="AR1173" s="182">
        <v>21771.35</v>
      </c>
      <c r="AS1173" s="182">
        <v>2628.65</v>
      </c>
      <c r="AT1173" s="182"/>
      <c r="AU1173" s="182"/>
      <c r="AV1173" s="182"/>
      <c r="AW1173" s="182"/>
      <c r="AX1173" s="182"/>
      <c r="AY1173" s="182"/>
      <c r="AZ1173" s="182"/>
      <c r="BA1173" s="182"/>
      <c r="BB1173" s="182"/>
      <c r="BC1173" s="182"/>
      <c r="BD1173" s="182"/>
      <c r="BE1173" s="182"/>
      <c r="BF1173" s="182"/>
      <c r="BG1173" s="182"/>
      <c r="BH1173" s="182"/>
      <c r="BI1173" s="182"/>
      <c r="BJ1173" s="182"/>
      <c r="BK1173" s="182"/>
      <c r="BL1173" s="182"/>
      <c r="BM1173" s="182"/>
      <c r="BN1173" s="182"/>
      <c r="BO1173" s="182"/>
      <c r="BP1173" s="182"/>
      <c r="BQ1173" s="182"/>
      <c r="BR1173" s="182"/>
      <c r="BS1173" s="182"/>
      <c r="BT1173" s="182"/>
      <c r="BU1173" s="182"/>
      <c r="BV1173" s="182"/>
      <c r="BW1173" s="182"/>
      <c r="BX1173" s="182"/>
      <c r="BY1173" s="182"/>
      <c r="BZ1173" s="182"/>
      <c r="CA1173" s="182"/>
      <c r="CB1173" s="185">
        <v>24400</v>
      </c>
      <c r="CC1173" s="185">
        <v>0</v>
      </c>
      <c r="CD1173" s="185">
        <v>2521</v>
      </c>
      <c r="CE1173" s="185"/>
    </row>
    <row r="1174" spans="2:83" x14ac:dyDescent="0.3">
      <c r="B1174" s="182">
        <v>4539</v>
      </c>
      <c r="C1174" s="182">
        <v>2522</v>
      </c>
      <c r="D1174" s="182" t="s">
        <v>121</v>
      </c>
      <c r="E1174" s="181" t="s">
        <v>4403</v>
      </c>
      <c r="F1174" s="182"/>
      <c r="G1174" s="182">
        <v>3000</v>
      </c>
      <c r="H1174" s="182"/>
      <c r="I1174" s="182"/>
      <c r="J1174" s="182"/>
      <c r="K1174" s="182"/>
      <c r="L1174" s="182"/>
      <c r="M1174" s="182"/>
      <c r="N1174" s="182"/>
      <c r="O1174" s="182"/>
      <c r="P1174" s="182"/>
      <c r="Q1174" s="182"/>
      <c r="R1174" s="182"/>
      <c r="S1174" s="182"/>
      <c r="T1174" s="182"/>
      <c r="U1174" s="182"/>
      <c r="V1174" s="182"/>
      <c r="W1174" s="182"/>
      <c r="X1174" s="182"/>
      <c r="Y1174" s="182"/>
      <c r="Z1174" s="182"/>
      <c r="AA1174" s="182"/>
      <c r="AB1174" s="182"/>
      <c r="AC1174" s="182"/>
      <c r="AD1174" s="182"/>
      <c r="AE1174" s="182"/>
      <c r="AF1174" s="182"/>
      <c r="AG1174" s="182"/>
      <c r="AH1174" s="182"/>
      <c r="AI1174" s="182"/>
      <c r="AJ1174" s="182"/>
      <c r="AK1174" s="182"/>
      <c r="AL1174" s="182"/>
      <c r="AM1174" s="182"/>
      <c r="AN1174" s="182"/>
      <c r="AO1174" s="182"/>
      <c r="AP1174" s="182"/>
      <c r="AQ1174" s="185">
        <v>3000</v>
      </c>
      <c r="AR1174" s="182">
        <v>2677.85</v>
      </c>
      <c r="AS1174" s="182">
        <v>322.14999999999998</v>
      </c>
      <c r="AT1174" s="182"/>
      <c r="AU1174" s="182"/>
      <c r="AV1174" s="182"/>
      <c r="AW1174" s="182"/>
      <c r="AX1174" s="182"/>
      <c r="AY1174" s="182"/>
      <c r="AZ1174" s="182"/>
      <c r="BA1174" s="182"/>
      <c r="BB1174" s="182"/>
      <c r="BC1174" s="182"/>
      <c r="BD1174" s="182"/>
      <c r="BE1174" s="182"/>
      <c r="BF1174" s="182"/>
      <c r="BG1174" s="182"/>
      <c r="BH1174" s="182"/>
      <c r="BI1174" s="182"/>
      <c r="BJ1174" s="182"/>
      <c r="BK1174" s="182"/>
      <c r="BL1174" s="182"/>
      <c r="BM1174" s="182"/>
      <c r="BN1174" s="182"/>
      <c r="BO1174" s="182"/>
      <c r="BP1174" s="182"/>
      <c r="BQ1174" s="182"/>
      <c r="BR1174" s="182"/>
      <c r="BS1174" s="182"/>
      <c r="BT1174" s="182"/>
      <c r="BU1174" s="182"/>
      <c r="BV1174" s="182"/>
      <c r="BW1174" s="182"/>
      <c r="BX1174" s="182"/>
      <c r="BY1174" s="182"/>
      <c r="BZ1174" s="182"/>
      <c r="CA1174" s="182"/>
      <c r="CB1174" s="185">
        <v>3000</v>
      </c>
      <c r="CC1174" s="185">
        <v>0</v>
      </c>
      <c r="CD1174" s="185">
        <v>2522</v>
      </c>
      <c r="CE1174" s="185"/>
    </row>
    <row r="1175" spans="2:83" x14ac:dyDescent="0.3">
      <c r="B1175" s="182">
        <v>4540</v>
      </c>
      <c r="C1175" s="182">
        <v>2523</v>
      </c>
      <c r="D1175" s="182" t="s">
        <v>121</v>
      </c>
      <c r="E1175" s="181" t="s">
        <v>4403</v>
      </c>
      <c r="F1175" s="182"/>
      <c r="G1175" s="182">
        <v>2700</v>
      </c>
      <c r="H1175" s="182"/>
      <c r="I1175" s="182"/>
      <c r="J1175" s="182"/>
      <c r="K1175" s="182"/>
      <c r="L1175" s="182"/>
      <c r="M1175" s="182"/>
      <c r="N1175" s="182"/>
      <c r="O1175" s="182"/>
      <c r="P1175" s="182"/>
      <c r="Q1175" s="182"/>
      <c r="R1175" s="182"/>
      <c r="S1175" s="182"/>
      <c r="T1175" s="182"/>
      <c r="U1175" s="182"/>
      <c r="V1175" s="182"/>
      <c r="W1175" s="182"/>
      <c r="X1175" s="182"/>
      <c r="Y1175" s="182"/>
      <c r="Z1175" s="182"/>
      <c r="AA1175" s="182"/>
      <c r="AB1175" s="182"/>
      <c r="AC1175" s="182"/>
      <c r="AD1175" s="182"/>
      <c r="AE1175" s="182"/>
      <c r="AF1175" s="182"/>
      <c r="AG1175" s="182"/>
      <c r="AH1175" s="182"/>
      <c r="AI1175" s="182"/>
      <c r="AJ1175" s="182"/>
      <c r="AK1175" s="182"/>
      <c r="AL1175" s="182"/>
      <c r="AM1175" s="182"/>
      <c r="AN1175" s="182"/>
      <c r="AO1175" s="182"/>
      <c r="AP1175" s="182"/>
      <c r="AQ1175" s="185">
        <v>2700</v>
      </c>
      <c r="AR1175" s="182">
        <v>2410.5</v>
      </c>
      <c r="AS1175" s="182">
        <v>289.5</v>
      </c>
      <c r="AT1175" s="182"/>
      <c r="AU1175" s="182"/>
      <c r="AV1175" s="182"/>
      <c r="AW1175" s="182"/>
      <c r="AX1175" s="182"/>
      <c r="AY1175" s="182"/>
      <c r="AZ1175" s="182"/>
      <c r="BA1175" s="182"/>
      <c r="BB1175" s="182"/>
      <c r="BC1175" s="182"/>
      <c r="BD1175" s="182"/>
      <c r="BE1175" s="182"/>
      <c r="BF1175" s="182"/>
      <c r="BG1175" s="182"/>
      <c r="BH1175" s="182"/>
      <c r="BI1175" s="182"/>
      <c r="BJ1175" s="182"/>
      <c r="BK1175" s="182"/>
      <c r="BL1175" s="182"/>
      <c r="BM1175" s="182"/>
      <c r="BN1175" s="182"/>
      <c r="BO1175" s="182"/>
      <c r="BP1175" s="182"/>
      <c r="BQ1175" s="182"/>
      <c r="BR1175" s="182"/>
      <c r="BS1175" s="182"/>
      <c r="BT1175" s="182"/>
      <c r="BU1175" s="182"/>
      <c r="BV1175" s="182"/>
      <c r="BW1175" s="182"/>
      <c r="BX1175" s="182"/>
      <c r="BY1175" s="182"/>
      <c r="BZ1175" s="182"/>
      <c r="CA1175" s="182"/>
      <c r="CB1175" s="185">
        <v>2700</v>
      </c>
      <c r="CC1175" s="185">
        <v>0</v>
      </c>
      <c r="CD1175" s="185">
        <v>2523</v>
      </c>
      <c r="CE1175" s="185"/>
    </row>
    <row r="1176" spans="2:83" x14ac:dyDescent="0.3">
      <c r="B1176" s="182">
        <v>4541</v>
      </c>
      <c r="C1176" s="182">
        <v>2524</v>
      </c>
      <c r="D1176" s="182" t="s">
        <v>121</v>
      </c>
      <c r="E1176" s="181" t="s">
        <v>4403</v>
      </c>
      <c r="F1176" s="182"/>
      <c r="G1176" s="182">
        <v>6400</v>
      </c>
      <c r="H1176" s="182"/>
      <c r="I1176" s="182"/>
      <c r="J1176" s="182"/>
      <c r="K1176" s="182"/>
      <c r="L1176" s="182"/>
      <c r="M1176" s="182"/>
      <c r="N1176" s="182"/>
      <c r="O1176" s="182"/>
      <c r="P1176" s="182"/>
      <c r="Q1176" s="182"/>
      <c r="R1176" s="182"/>
      <c r="S1176" s="182"/>
      <c r="T1176" s="182"/>
      <c r="U1176" s="182"/>
      <c r="V1176" s="182"/>
      <c r="W1176" s="182"/>
      <c r="X1176" s="182"/>
      <c r="Y1176" s="182"/>
      <c r="Z1176" s="182"/>
      <c r="AA1176" s="182"/>
      <c r="AB1176" s="182"/>
      <c r="AC1176" s="182"/>
      <c r="AD1176" s="182"/>
      <c r="AE1176" s="182"/>
      <c r="AF1176" s="182"/>
      <c r="AG1176" s="182"/>
      <c r="AH1176" s="182"/>
      <c r="AI1176" s="182"/>
      <c r="AJ1176" s="182"/>
      <c r="AK1176" s="182"/>
      <c r="AL1176" s="182"/>
      <c r="AM1176" s="182"/>
      <c r="AN1176" s="182"/>
      <c r="AO1176" s="182"/>
      <c r="AP1176" s="182"/>
      <c r="AQ1176" s="185">
        <v>6400</v>
      </c>
      <c r="AR1176" s="182">
        <v>5713.05</v>
      </c>
      <c r="AS1176" s="182">
        <v>686.95</v>
      </c>
      <c r="AT1176" s="182"/>
      <c r="AU1176" s="182"/>
      <c r="AV1176" s="182"/>
      <c r="AW1176" s="182"/>
      <c r="AX1176" s="182"/>
      <c r="AY1176" s="182"/>
      <c r="AZ1176" s="182"/>
      <c r="BA1176" s="182"/>
      <c r="BB1176" s="182"/>
      <c r="BC1176" s="182"/>
      <c r="BD1176" s="182"/>
      <c r="BE1176" s="182"/>
      <c r="BF1176" s="182"/>
      <c r="BG1176" s="182"/>
      <c r="BH1176" s="182"/>
      <c r="BI1176" s="182"/>
      <c r="BJ1176" s="182"/>
      <c r="BK1176" s="182"/>
      <c r="BL1176" s="182"/>
      <c r="BM1176" s="182"/>
      <c r="BN1176" s="182"/>
      <c r="BO1176" s="182"/>
      <c r="BP1176" s="182"/>
      <c r="BQ1176" s="182"/>
      <c r="BR1176" s="182"/>
      <c r="BS1176" s="182"/>
      <c r="BT1176" s="182"/>
      <c r="BU1176" s="182"/>
      <c r="BV1176" s="182"/>
      <c r="BW1176" s="182"/>
      <c r="BX1176" s="182"/>
      <c r="BY1176" s="182"/>
      <c r="BZ1176" s="182"/>
      <c r="CA1176" s="182"/>
      <c r="CB1176" s="185">
        <v>6400</v>
      </c>
      <c r="CC1176" s="185">
        <v>0</v>
      </c>
      <c r="CD1176" s="185">
        <v>2524</v>
      </c>
      <c r="CE1176" s="185"/>
    </row>
    <row r="1177" spans="2:83" x14ac:dyDescent="0.3">
      <c r="B1177" s="182">
        <v>4542</v>
      </c>
      <c r="C1177" s="182">
        <v>2525</v>
      </c>
      <c r="D1177" s="182" t="s">
        <v>121</v>
      </c>
      <c r="E1177" s="181" t="s">
        <v>4403</v>
      </c>
      <c r="F1177" s="182"/>
      <c r="G1177" s="182">
        <v>4000</v>
      </c>
      <c r="H1177" s="182"/>
      <c r="I1177" s="182"/>
      <c r="J1177" s="182"/>
      <c r="K1177" s="182"/>
      <c r="L1177" s="182"/>
      <c r="M1177" s="182"/>
      <c r="N1177" s="182"/>
      <c r="O1177" s="182"/>
      <c r="P1177" s="182"/>
      <c r="Q1177" s="182"/>
      <c r="R1177" s="182"/>
      <c r="S1177" s="182"/>
      <c r="T1177" s="182"/>
      <c r="U1177" s="182"/>
      <c r="V1177" s="182"/>
      <c r="W1177" s="182"/>
      <c r="X1177" s="182"/>
      <c r="Y1177" s="182"/>
      <c r="Z1177" s="182"/>
      <c r="AA1177" s="182"/>
      <c r="AB1177" s="182"/>
      <c r="AC1177" s="182"/>
      <c r="AD1177" s="182"/>
      <c r="AE1177" s="182"/>
      <c r="AF1177" s="182"/>
      <c r="AG1177" s="182"/>
      <c r="AH1177" s="182"/>
      <c r="AI1177" s="182"/>
      <c r="AJ1177" s="182"/>
      <c r="AK1177" s="182"/>
      <c r="AL1177" s="182"/>
      <c r="AM1177" s="182"/>
      <c r="AN1177" s="182"/>
      <c r="AO1177" s="182"/>
      <c r="AP1177" s="182"/>
      <c r="AQ1177" s="185">
        <v>4000</v>
      </c>
      <c r="AR1177" s="182">
        <v>3570.35</v>
      </c>
      <c r="AS1177" s="182">
        <v>429.65</v>
      </c>
      <c r="AT1177" s="182"/>
      <c r="AU1177" s="182"/>
      <c r="AV1177" s="182"/>
      <c r="AW1177" s="182"/>
      <c r="AX1177" s="182"/>
      <c r="AY1177" s="182"/>
      <c r="AZ1177" s="182"/>
      <c r="BA1177" s="182"/>
      <c r="BB1177" s="182"/>
      <c r="BC1177" s="182"/>
      <c r="BD1177" s="182"/>
      <c r="BE1177" s="182"/>
      <c r="BF1177" s="182"/>
      <c r="BG1177" s="182"/>
      <c r="BH1177" s="182"/>
      <c r="BI1177" s="182"/>
      <c r="BJ1177" s="182"/>
      <c r="BK1177" s="182"/>
      <c r="BL1177" s="182"/>
      <c r="BM1177" s="182"/>
      <c r="BN1177" s="182"/>
      <c r="BO1177" s="182"/>
      <c r="BP1177" s="182"/>
      <c r="BQ1177" s="182"/>
      <c r="BR1177" s="182"/>
      <c r="BS1177" s="182"/>
      <c r="BT1177" s="182"/>
      <c r="BU1177" s="182"/>
      <c r="BV1177" s="182"/>
      <c r="BW1177" s="182"/>
      <c r="BX1177" s="182"/>
      <c r="BY1177" s="182"/>
      <c r="BZ1177" s="182"/>
      <c r="CA1177" s="182"/>
      <c r="CB1177" s="185">
        <v>4000</v>
      </c>
      <c r="CC1177" s="185">
        <v>0</v>
      </c>
      <c r="CD1177" s="185">
        <v>2525</v>
      </c>
      <c r="CE1177" s="185"/>
    </row>
    <row r="1178" spans="2:83" x14ac:dyDescent="0.3">
      <c r="B1178" s="182">
        <v>4543</v>
      </c>
      <c r="C1178" s="182">
        <v>2526</v>
      </c>
      <c r="D1178" s="182" t="s">
        <v>121</v>
      </c>
      <c r="E1178" s="181" t="s">
        <v>4403</v>
      </c>
      <c r="F1178" s="182"/>
      <c r="G1178" s="182">
        <v>5525</v>
      </c>
      <c r="H1178" s="182"/>
      <c r="I1178" s="182"/>
      <c r="J1178" s="182"/>
      <c r="K1178" s="182"/>
      <c r="L1178" s="182"/>
      <c r="M1178" s="182"/>
      <c r="N1178" s="182"/>
      <c r="O1178" s="182"/>
      <c r="P1178" s="182"/>
      <c r="Q1178" s="182"/>
      <c r="R1178" s="182"/>
      <c r="S1178" s="182"/>
      <c r="T1178" s="182"/>
      <c r="U1178" s="182"/>
      <c r="V1178" s="182"/>
      <c r="W1178" s="182"/>
      <c r="X1178" s="182"/>
      <c r="Y1178" s="182"/>
      <c r="Z1178" s="182"/>
      <c r="AA1178" s="182"/>
      <c r="AB1178" s="182"/>
      <c r="AC1178" s="182"/>
      <c r="AD1178" s="182"/>
      <c r="AE1178" s="182"/>
      <c r="AF1178" s="182"/>
      <c r="AG1178" s="182"/>
      <c r="AH1178" s="182"/>
      <c r="AI1178" s="182"/>
      <c r="AJ1178" s="182"/>
      <c r="AK1178" s="182"/>
      <c r="AL1178" s="182"/>
      <c r="AM1178" s="182"/>
      <c r="AN1178" s="182"/>
      <c r="AO1178" s="182"/>
      <c r="AP1178" s="182"/>
      <c r="AQ1178" s="185">
        <v>5525</v>
      </c>
      <c r="AR1178" s="182">
        <v>4934.2</v>
      </c>
      <c r="AS1178" s="182">
        <v>590.79999999999995</v>
      </c>
      <c r="AT1178" s="182"/>
      <c r="AU1178" s="182"/>
      <c r="AV1178" s="182"/>
      <c r="AW1178" s="182"/>
      <c r="AX1178" s="182"/>
      <c r="AY1178" s="182"/>
      <c r="AZ1178" s="182"/>
      <c r="BA1178" s="182"/>
      <c r="BB1178" s="182"/>
      <c r="BC1178" s="182"/>
      <c r="BD1178" s="182"/>
      <c r="BE1178" s="182"/>
      <c r="BF1178" s="182"/>
      <c r="BG1178" s="182"/>
      <c r="BH1178" s="182"/>
      <c r="BI1178" s="182"/>
      <c r="BJ1178" s="182"/>
      <c r="BK1178" s="182"/>
      <c r="BL1178" s="182"/>
      <c r="BM1178" s="182"/>
      <c r="BN1178" s="182"/>
      <c r="BO1178" s="182"/>
      <c r="BP1178" s="182"/>
      <c r="BQ1178" s="182"/>
      <c r="BR1178" s="182"/>
      <c r="BS1178" s="182"/>
      <c r="BT1178" s="182"/>
      <c r="BU1178" s="182"/>
      <c r="BV1178" s="182"/>
      <c r="BW1178" s="182"/>
      <c r="BX1178" s="182"/>
      <c r="BY1178" s="182"/>
      <c r="BZ1178" s="182"/>
      <c r="CA1178" s="182"/>
      <c r="CB1178" s="185">
        <v>5525</v>
      </c>
      <c r="CC1178" s="185">
        <v>0</v>
      </c>
      <c r="CD1178" s="185">
        <v>2526</v>
      </c>
      <c r="CE1178" s="185"/>
    </row>
    <row r="1179" spans="2:83" x14ac:dyDescent="0.3">
      <c r="B1179" s="182">
        <v>4544</v>
      </c>
      <c r="C1179" s="182">
        <v>2527</v>
      </c>
      <c r="D1179" s="182" t="s">
        <v>121</v>
      </c>
      <c r="E1179" s="181" t="s">
        <v>4403</v>
      </c>
      <c r="F1179" s="182"/>
      <c r="G1179" s="182">
        <v>13600</v>
      </c>
      <c r="H1179" s="182"/>
      <c r="I1179" s="182"/>
      <c r="J1179" s="182"/>
      <c r="K1179" s="182"/>
      <c r="L1179" s="182"/>
      <c r="M1179" s="182"/>
      <c r="N1179" s="182"/>
      <c r="O1179" s="182"/>
      <c r="P1179" s="182"/>
      <c r="Q1179" s="182"/>
      <c r="R1179" s="182"/>
      <c r="S1179" s="182"/>
      <c r="T1179" s="182"/>
      <c r="U1179" s="182"/>
      <c r="V1179" s="182"/>
      <c r="W1179" s="182"/>
      <c r="X1179" s="182"/>
      <c r="Y1179" s="182"/>
      <c r="Z1179" s="182"/>
      <c r="AA1179" s="182"/>
      <c r="AB1179" s="182"/>
      <c r="AC1179" s="182"/>
      <c r="AD1179" s="182"/>
      <c r="AE1179" s="182"/>
      <c r="AF1179" s="182"/>
      <c r="AG1179" s="182"/>
      <c r="AH1179" s="182"/>
      <c r="AI1179" s="182"/>
      <c r="AJ1179" s="182"/>
      <c r="AK1179" s="182"/>
      <c r="AL1179" s="182"/>
      <c r="AM1179" s="182"/>
      <c r="AN1179" s="182"/>
      <c r="AO1179" s="182"/>
      <c r="AP1179" s="182"/>
      <c r="AQ1179" s="185">
        <v>13600</v>
      </c>
      <c r="AR1179" s="182">
        <v>12132.9</v>
      </c>
      <c r="AS1179" s="182">
        <v>1467.1</v>
      </c>
      <c r="AT1179" s="182"/>
      <c r="AU1179" s="182"/>
      <c r="AV1179" s="182"/>
      <c r="AW1179" s="182"/>
      <c r="AX1179" s="182"/>
      <c r="AY1179" s="182"/>
      <c r="AZ1179" s="182"/>
      <c r="BA1179" s="182"/>
      <c r="BB1179" s="182"/>
      <c r="BC1179" s="182"/>
      <c r="BD1179" s="182"/>
      <c r="BE1179" s="182"/>
      <c r="BF1179" s="182"/>
      <c r="BG1179" s="182"/>
      <c r="BH1179" s="182"/>
      <c r="BI1179" s="182"/>
      <c r="BJ1179" s="182"/>
      <c r="BK1179" s="182"/>
      <c r="BL1179" s="182"/>
      <c r="BM1179" s="182"/>
      <c r="BN1179" s="182"/>
      <c r="BO1179" s="182"/>
      <c r="BP1179" s="182"/>
      <c r="BQ1179" s="182"/>
      <c r="BR1179" s="182"/>
      <c r="BS1179" s="182"/>
      <c r="BT1179" s="182"/>
      <c r="BU1179" s="182"/>
      <c r="BV1179" s="182"/>
      <c r="BW1179" s="182"/>
      <c r="BX1179" s="182"/>
      <c r="BY1179" s="182"/>
      <c r="BZ1179" s="182"/>
      <c r="CA1179" s="182"/>
      <c r="CB1179" s="185">
        <v>13600</v>
      </c>
      <c r="CC1179" s="185">
        <v>0</v>
      </c>
      <c r="CD1179" s="185">
        <v>2527</v>
      </c>
      <c r="CE1179" s="185"/>
    </row>
    <row r="1180" spans="2:83" x14ac:dyDescent="0.3">
      <c r="B1180" s="182">
        <v>4545</v>
      </c>
      <c r="C1180" s="182">
        <v>2528</v>
      </c>
      <c r="D1180" s="182" t="s">
        <v>121</v>
      </c>
      <c r="E1180" s="181" t="s">
        <v>4403</v>
      </c>
      <c r="F1180" s="182"/>
      <c r="G1180" s="182">
        <v>8817</v>
      </c>
      <c r="H1180" s="182"/>
      <c r="I1180" s="182"/>
      <c r="J1180" s="182"/>
      <c r="K1180" s="182"/>
      <c r="L1180" s="182"/>
      <c r="M1180" s="182"/>
      <c r="N1180" s="182"/>
      <c r="O1180" s="182"/>
      <c r="P1180" s="182"/>
      <c r="Q1180" s="182"/>
      <c r="R1180" s="182"/>
      <c r="S1180" s="182"/>
      <c r="T1180" s="182"/>
      <c r="U1180" s="182"/>
      <c r="V1180" s="182"/>
      <c r="W1180" s="182"/>
      <c r="X1180" s="182"/>
      <c r="Y1180" s="182"/>
      <c r="Z1180" s="182"/>
      <c r="AA1180" s="182"/>
      <c r="AB1180" s="182"/>
      <c r="AC1180" s="182"/>
      <c r="AD1180" s="182"/>
      <c r="AE1180" s="182"/>
      <c r="AF1180" s="182"/>
      <c r="AG1180" s="182"/>
      <c r="AH1180" s="182"/>
      <c r="AI1180" s="182"/>
      <c r="AJ1180" s="182"/>
      <c r="AK1180" s="182"/>
      <c r="AL1180" s="182"/>
      <c r="AM1180" s="182"/>
      <c r="AN1180" s="182"/>
      <c r="AO1180" s="182"/>
      <c r="AP1180" s="182"/>
      <c r="AQ1180" s="185">
        <v>8817</v>
      </c>
      <c r="AR1180" s="182">
        <v>7680.15</v>
      </c>
      <c r="AS1180" s="182">
        <v>929.85</v>
      </c>
      <c r="AT1180" s="182">
        <v>207</v>
      </c>
      <c r="AU1180" s="182"/>
      <c r="AV1180" s="182"/>
      <c r="AW1180" s="182"/>
      <c r="AX1180" s="182"/>
      <c r="AY1180" s="182"/>
      <c r="AZ1180" s="182"/>
      <c r="BA1180" s="182"/>
      <c r="BB1180" s="182"/>
      <c r="BC1180" s="182"/>
      <c r="BD1180" s="182"/>
      <c r="BE1180" s="182"/>
      <c r="BF1180" s="182"/>
      <c r="BG1180" s="182"/>
      <c r="BH1180" s="182"/>
      <c r="BI1180" s="182"/>
      <c r="BJ1180" s="182"/>
      <c r="BK1180" s="182"/>
      <c r="BL1180" s="182"/>
      <c r="BM1180" s="182"/>
      <c r="BN1180" s="182"/>
      <c r="BO1180" s="182"/>
      <c r="BP1180" s="182"/>
      <c r="BQ1180" s="182"/>
      <c r="BR1180" s="182"/>
      <c r="BS1180" s="182"/>
      <c r="BT1180" s="182"/>
      <c r="BU1180" s="182"/>
      <c r="BV1180" s="182"/>
      <c r="BW1180" s="182"/>
      <c r="BX1180" s="182"/>
      <c r="BY1180" s="182"/>
      <c r="BZ1180" s="182"/>
      <c r="CA1180" s="182"/>
      <c r="CB1180" s="185">
        <v>8817</v>
      </c>
      <c r="CC1180" s="185">
        <v>0</v>
      </c>
      <c r="CD1180" s="185">
        <v>2528</v>
      </c>
      <c r="CE1180" s="185"/>
    </row>
    <row r="1181" spans="2:83" x14ac:dyDescent="0.3">
      <c r="B1181" s="182">
        <v>4546</v>
      </c>
      <c r="C1181" s="182">
        <v>2529</v>
      </c>
      <c r="D1181" s="182" t="s">
        <v>121</v>
      </c>
      <c r="E1181" s="181" t="s">
        <v>4403</v>
      </c>
      <c r="F1181" s="182"/>
      <c r="G1181" s="182">
        <v>3000</v>
      </c>
      <c r="H1181" s="182"/>
      <c r="I1181" s="182"/>
      <c r="J1181" s="182"/>
      <c r="K1181" s="182"/>
      <c r="L1181" s="182"/>
      <c r="M1181" s="182"/>
      <c r="N1181" s="182"/>
      <c r="O1181" s="182"/>
      <c r="P1181" s="182"/>
      <c r="Q1181" s="182"/>
      <c r="R1181" s="182"/>
      <c r="S1181" s="182"/>
      <c r="T1181" s="182"/>
      <c r="U1181" s="182"/>
      <c r="V1181" s="182"/>
      <c r="W1181" s="182"/>
      <c r="X1181" s="182"/>
      <c r="Y1181" s="182"/>
      <c r="Z1181" s="182"/>
      <c r="AA1181" s="182"/>
      <c r="AB1181" s="182"/>
      <c r="AC1181" s="182"/>
      <c r="AD1181" s="182"/>
      <c r="AE1181" s="182"/>
      <c r="AF1181" s="182"/>
      <c r="AG1181" s="182"/>
      <c r="AH1181" s="182"/>
      <c r="AI1181" s="182"/>
      <c r="AJ1181" s="182"/>
      <c r="AK1181" s="182"/>
      <c r="AL1181" s="182"/>
      <c r="AM1181" s="182"/>
      <c r="AN1181" s="182"/>
      <c r="AO1181" s="182"/>
      <c r="AP1181" s="182"/>
      <c r="AQ1181" s="185">
        <v>3000</v>
      </c>
      <c r="AR1181" s="182">
        <v>2677.85</v>
      </c>
      <c r="AS1181" s="182">
        <v>322.14999999999998</v>
      </c>
      <c r="AT1181" s="182"/>
      <c r="AU1181" s="182"/>
      <c r="AV1181" s="182"/>
      <c r="AW1181" s="182"/>
      <c r="AX1181" s="182"/>
      <c r="AY1181" s="182"/>
      <c r="AZ1181" s="182"/>
      <c r="BA1181" s="182"/>
      <c r="BB1181" s="182"/>
      <c r="BC1181" s="182"/>
      <c r="BD1181" s="182"/>
      <c r="BE1181" s="182"/>
      <c r="BF1181" s="182"/>
      <c r="BG1181" s="182"/>
      <c r="BH1181" s="182"/>
      <c r="BI1181" s="182"/>
      <c r="BJ1181" s="182"/>
      <c r="BK1181" s="182"/>
      <c r="BL1181" s="182"/>
      <c r="BM1181" s="182"/>
      <c r="BN1181" s="182"/>
      <c r="BO1181" s="182"/>
      <c r="BP1181" s="182"/>
      <c r="BQ1181" s="182"/>
      <c r="BR1181" s="182"/>
      <c r="BS1181" s="182"/>
      <c r="BT1181" s="182"/>
      <c r="BU1181" s="182"/>
      <c r="BV1181" s="182"/>
      <c r="BW1181" s="182"/>
      <c r="BX1181" s="182"/>
      <c r="BY1181" s="182"/>
      <c r="BZ1181" s="182"/>
      <c r="CA1181" s="182"/>
      <c r="CB1181" s="185">
        <v>3000</v>
      </c>
      <c r="CC1181" s="185">
        <v>0</v>
      </c>
      <c r="CD1181" s="185">
        <v>2529</v>
      </c>
      <c r="CE1181" s="185"/>
    </row>
    <row r="1182" spans="2:83" x14ac:dyDescent="0.3">
      <c r="B1182" s="182">
        <v>4547</v>
      </c>
      <c r="C1182" s="182">
        <v>2530</v>
      </c>
      <c r="D1182" s="182" t="s">
        <v>121</v>
      </c>
      <c r="E1182" s="181" t="s">
        <v>4403</v>
      </c>
      <c r="F1182" s="182"/>
      <c r="G1182" s="182">
        <v>5850</v>
      </c>
      <c r="H1182" s="182"/>
      <c r="I1182" s="182"/>
      <c r="J1182" s="182"/>
      <c r="K1182" s="182"/>
      <c r="L1182" s="182"/>
      <c r="M1182" s="182"/>
      <c r="N1182" s="182"/>
      <c r="O1182" s="182"/>
      <c r="P1182" s="182"/>
      <c r="Q1182" s="182"/>
      <c r="R1182" s="182"/>
      <c r="S1182" s="182"/>
      <c r="T1182" s="182"/>
      <c r="U1182" s="182"/>
      <c r="V1182" s="182"/>
      <c r="W1182" s="182"/>
      <c r="X1182" s="182"/>
      <c r="Y1182" s="182"/>
      <c r="Z1182" s="182"/>
      <c r="AA1182" s="182"/>
      <c r="AB1182" s="182"/>
      <c r="AC1182" s="182"/>
      <c r="AD1182" s="182"/>
      <c r="AE1182" s="182"/>
      <c r="AF1182" s="182"/>
      <c r="AG1182" s="182"/>
      <c r="AH1182" s="182"/>
      <c r="AI1182" s="182"/>
      <c r="AJ1182" s="182"/>
      <c r="AK1182" s="182"/>
      <c r="AL1182" s="182"/>
      <c r="AM1182" s="182"/>
      <c r="AN1182" s="182"/>
      <c r="AO1182" s="182"/>
      <c r="AP1182" s="182"/>
      <c r="AQ1182" s="185">
        <v>5850</v>
      </c>
      <c r="AR1182" s="182">
        <v>5222.6000000000004</v>
      </c>
      <c r="AS1182" s="182">
        <v>627.4</v>
      </c>
      <c r="AT1182" s="182"/>
      <c r="AU1182" s="182"/>
      <c r="AV1182" s="182"/>
      <c r="AW1182" s="182"/>
      <c r="AX1182" s="182"/>
      <c r="AY1182" s="182"/>
      <c r="AZ1182" s="182"/>
      <c r="BA1182" s="182"/>
      <c r="BB1182" s="182"/>
      <c r="BC1182" s="182"/>
      <c r="BD1182" s="182"/>
      <c r="BE1182" s="182"/>
      <c r="BF1182" s="182"/>
      <c r="BG1182" s="182"/>
      <c r="BH1182" s="182"/>
      <c r="BI1182" s="182"/>
      <c r="BJ1182" s="182"/>
      <c r="BK1182" s="182"/>
      <c r="BL1182" s="182"/>
      <c r="BM1182" s="182"/>
      <c r="BN1182" s="182"/>
      <c r="BO1182" s="182"/>
      <c r="BP1182" s="182"/>
      <c r="BQ1182" s="182"/>
      <c r="BR1182" s="182"/>
      <c r="BS1182" s="182"/>
      <c r="BT1182" s="182"/>
      <c r="BU1182" s="182"/>
      <c r="BV1182" s="182"/>
      <c r="BW1182" s="182"/>
      <c r="BX1182" s="182"/>
      <c r="BY1182" s="182"/>
      <c r="BZ1182" s="182"/>
      <c r="CA1182" s="182"/>
      <c r="CB1182" s="185">
        <v>5850</v>
      </c>
      <c r="CC1182" s="185">
        <v>0</v>
      </c>
      <c r="CD1182" s="185">
        <v>2530</v>
      </c>
      <c r="CE1182" s="185"/>
    </row>
    <row r="1183" spans="2:83" x14ac:dyDescent="0.3">
      <c r="B1183" s="182">
        <v>4548</v>
      </c>
      <c r="C1183" s="182">
        <v>2531</v>
      </c>
      <c r="D1183" s="182" t="s">
        <v>121</v>
      </c>
      <c r="E1183" s="181" t="s">
        <v>4403</v>
      </c>
      <c r="F1183" s="182"/>
      <c r="G1183" s="182">
        <v>14400</v>
      </c>
      <c r="H1183" s="182"/>
      <c r="I1183" s="182"/>
      <c r="J1183" s="182"/>
      <c r="K1183" s="182"/>
      <c r="L1183" s="182"/>
      <c r="M1183" s="182"/>
      <c r="N1183" s="182"/>
      <c r="O1183" s="182"/>
      <c r="P1183" s="182"/>
      <c r="Q1183" s="182"/>
      <c r="R1183" s="182"/>
      <c r="S1183" s="182"/>
      <c r="T1183" s="182"/>
      <c r="U1183" s="182"/>
      <c r="V1183" s="182"/>
      <c r="W1183" s="182"/>
      <c r="X1183" s="182"/>
      <c r="Y1183" s="182"/>
      <c r="Z1183" s="182"/>
      <c r="AA1183" s="182"/>
      <c r="AB1183" s="182"/>
      <c r="AC1183" s="182"/>
      <c r="AD1183" s="182"/>
      <c r="AE1183" s="182"/>
      <c r="AF1183" s="182"/>
      <c r="AG1183" s="182"/>
      <c r="AH1183" s="182"/>
      <c r="AI1183" s="182"/>
      <c r="AJ1183" s="182"/>
      <c r="AK1183" s="182"/>
      <c r="AL1183" s="182"/>
      <c r="AM1183" s="182"/>
      <c r="AN1183" s="182"/>
      <c r="AO1183" s="182"/>
      <c r="AP1183" s="182"/>
      <c r="AQ1183" s="185">
        <v>14400</v>
      </c>
      <c r="AR1183" s="182">
        <v>12854.1</v>
      </c>
      <c r="AS1183" s="182">
        <v>1545.9</v>
      </c>
      <c r="AT1183" s="182"/>
      <c r="AU1183" s="182"/>
      <c r="AV1183" s="182"/>
      <c r="AW1183" s="182"/>
      <c r="AX1183" s="182"/>
      <c r="AY1183" s="182"/>
      <c r="AZ1183" s="182"/>
      <c r="BA1183" s="182"/>
      <c r="BB1183" s="182"/>
      <c r="BC1183" s="182"/>
      <c r="BD1183" s="182"/>
      <c r="BE1183" s="182"/>
      <c r="BF1183" s="182"/>
      <c r="BG1183" s="182"/>
      <c r="BH1183" s="182"/>
      <c r="BI1183" s="182"/>
      <c r="BJ1183" s="182"/>
      <c r="BK1183" s="182"/>
      <c r="BL1183" s="182"/>
      <c r="BM1183" s="182"/>
      <c r="BN1183" s="182"/>
      <c r="BO1183" s="182"/>
      <c r="BP1183" s="182"/>
      <c r="BQ1183" s="182"/>
      <c r="BR1183" s="182"/>
      <c r="BS1183" s="182"/>
      <c r="BT1183" s="182"/>
      <c r="BU1183" s="182"/>
      <c r="BV1183" s="182"/>
      <c r="BW1183" s="182"/>
      <c r="BX1183" s="182"/>
      <c r="BY1183" s="182"/>
      <c r="BZ1183" s="182"/>
      <c r="CA1183" s="182"/>
      <c r="CB1183" s="185">
        <v>14400</v>
      </c>
      <c r="CC1183" s="185">
        <v>0</v>
      </c>
      <c r="CD1183" s="185">
        <v>2531</v>
      </c>
      <c r="CE1183" s="185"/>
    </row>
    <row r="1184" spans="2:83" x14ac:dyDescent="0.3">
      <c r="B1184" s="182">
        <v>4549</v>
      </c>
      <c r="C1184" s="182">
        <v>2532</v>
      </c>
      <c r="D1184" s="182" t="s">
        <v>121</v>
      </c>
      <c r="E1184" s="181" t="s">
        <v>4403</v>
      </c>
      <c r="F1184" s="182"/>
      <c r="G1184" s="182">
        <v>6500</v>
      </c>
      <c r="H1184" s="182"/>
      <c r="I1184" s="182"/>
      <c r="J1184" s="182"/>
      <c r="K1184" s="182"/>
      <c r="L1184" s="182"/>
      <c r="M1184" s="182"/>
      <c r="N1184" s="182"/>
      <c r="O1184" s="182"/>
      <c r="P1184" s="182"/>
      <c r="Q1184" s="182"/>
      <c r="R1184" s="182"/>
      <c r="S1184" s="182"/>
      <c r="T1184" s="182"/>
      <c r="U1184" s="182"/>
      <c r="V1184" s="182"/>
      <c r="W1184" s="182"/>
      <c r="X1184" s="182"/>
      <c r="Y1184" s="182"/>
      <c r="Z1184" s="182"/>
      <c r="AA1184" s="182"/>
      <c r="AB1184" s="182"/>
      <c r="AC1184" s="182"/>
      <c r="AD1184" s="182"/>
      <c r="AE1184" s="182"/>
      <c r="AF1184" s="182"/>
      <c r="AG1184" s="182"/>
      <c r="AH1184" s="182"/>
      <c r="AI1184" s="182"/>
      <c r="AJ1184" s="182"/>
      <c r="AK1184" s="182"/>
      <c r="AL1184" s="182"/>
      <c r="AM1184" s="182"/>
      <c r="AN1184" s="182"/>
      <c r="AO1184" s="182"/>
      <c r="AP1184" s="182"/>
      <c r="AQ1184" s="185">
        <v>6500</v>
      </c>
      <c r="AR1184" s="182">
        <v>5803.95</v>
      </c>
      <c r="AS1184" s="182">
        <v>696.05</v>
      </c>
      <c r="AT1184" s="182"/>
      <c r="AU1184" s="182"/>
      <c r="AV1184" s="182"/>
      <c r="AW1184" s="182"/>
      <c r="AX1184" s="182"/>
      <c r="AY1184" s="182"/>
      <c r="AZ1184" s="182"/>
      <c r="BA1184" s="182"/>
      <c r="BB1184" s="182"/>
      <c r="BC1184" s="182"/>
      <c r="BD1184" s="182"/>
      <c r="BE1184" s="182"/>
      <c r="BF1184" s="182"/>
      <c r="BG1184" s="182"/>
      <c r="BH1184" s="182"/>
      <c r="BI1184" s="182"/>
      <c r="BJ1184" s="182"/>
      <c r="BK1184" s="182"/>
      <c r="BL1184" s="182"/>
      <c r="BM1184" s="182"/>
      <c r="BN1184" s="182"/>
      <c r="BO1184" s="182"/>
      <c r="BP1184" s="182"/>
      <c r="BQ1184" s="182"/>
      <c r="BR1184" s="182"/>
      <c r="BS1184" s="182"/>
      <c r="BT1184" s="182"/>
      <c r="BU1184" s="182"/>
      <c r="BV1184" s="182"/>
      <c r="BW1184" s="182"/>
      <c r="BX1184" s="182"/>
      <c r="BY1184" s="182"/>
      <c r="BZ1184" s="182"/>
      <c r="CA1184" s="182"/>
      <c r="CB1184" s="185">
        <v>6500</v>
      </c>
      <c r="CC1184" s="185">
        <v>0</v>
      </c>
      <c r="CD1184" s="185">
        <v>2532</v>
      </c>
      <c r="CE1184" s="185"/>
    </row>
    <row r="1185" spans="2:83" x14ac:dyDescent="0.3">
      <c r="B1185" s="182">
        <v>4550</v>
      </c>
      <c r="C1185" s="182">
        <v>2533</v>
      </c>
      <c r="D1185" s="182" t="s">
        <v>121</v>
      </c>
      <c r="E1185" s="181" t="s">
        <v>4403</v>
      </c>
      <c r="F1185" s="182"/>
      <c r="G1185" s="182">
        <v>5600</v>
      </c>
      <c r="H1185" s="182"/>
      <c r="I1185" s="182"/>
      <c r="J1185" s="182"/>
      <c r="K1185" s="182"/>
      <c r="L1185" s="182"/>
      <c r="M1185" s="182"/>
      <c r="N1185" s="182"/>
      <c r="O1185" s="182"/>
      <c r="P1185" s="182"/>
      <c r="Q1185" s="182"/>
      <c r="R1185" s="182"/>
      <c r="S1185" s="182"/>
      <c r="T1185" s="182"/>
      <c r="U1185" s="182"/>
      <c r="V1185" s="182"/>
      <c r="W1185" s="182"/>
      <c r="X1185" s="182"/>
      <c r="Y1185" s="182"/>
      <c r="Z1185" s="182"/>
      <c r="AA1185" s="182"/>
      <c r="AB1185" s="182"/>
      <c r="AC1185" s="182"/>
      <c r="AD1185" s="182"/>
      <c r="AE1185" s="182"/>
      <c r="AF1185" s="182"/>
      <c r="AG1185" s="182"/>
      <c r="AH1185" s="182"/>
      <c r="AI1185" s="182"/>
      <c r="AJ1185" s="182"/>
      <c r="AK1185" s="182"/>
      <c r="AL1185" s="182"/>
      <c r="AM1185" s="182"/>
      <c r="AN1185" s="182"/>
      <c r="AO1185" s="182"/>
      <c r="AP1185" s="182"/>
      <c r="AQ1185" s="185">
        <v>5600</v>
      </c>
      <c r="AR1185" s="182">
        <v>5002.6499999999996</v>
      </c>
      <c r="AS1185" s="182">
        <v>597.35</v>
      </c>
      <c r="AT1185" s="182"/>
      <c r="AU1185" s="182"/>
      <c r="AV1185" s="182"/>
      <c r="AW1185" s="182"/>
      <c r="AX1185" s="182"/>
      <c r="AY1185" s="182"/>
      <c r="AZ1185" s="182"/>
      <c r="BA1185" s="182"/>
      <c r="BB1185" s="182"/>
      <c r="BC1185" s="182"/>
      <c r="BD1185" s="182"/>
      <c r="BE1185" s="182"/>
      <c r="BF1185" s="182"/>
      <c r="BG1185" s="182"/>
      <c r="BH1185" s="182"/>
      <c r="BI1185" s="182"/>
      <c r="BJ1185" s="182"/>
      <c r="BK1185" s="182"/>
      <c r="BL1185" s="182"/>
      <c r="BM1185" s="182"/>
      <c r="BN1185" s="182"/>
      <c r="BO1185" s="182"/>
      <c r="BP1185" s="182"/>
      <c r="BQ1185" s="182"/>
      <c r="BR1185" s="182"/>
      <c r="BS1185" s="182"/>
      <c r="BT1185" s="182"/>
      <c r="BU1185" s="182"/>
      <c r="BV1185" s="182"/>
      <c r="BW1185" s="182"/>
      <c r="BX1185" s="182"/>
      <c r="BY1185" s="182"/>
      <c r="BZ1185" s="182"/>
      <c r="CA1185" s="182"/>
      <c r="CB1185" s="185">
        <v>5600</v>
      </c>
      <c r="CC1185" s="185">
        <v>0</v>
      </c>
      <c r="CD1185" s="185">
        <v>2533</v>
      </c>
      <c r="CE1185" s="185"/>
    </row>
    <row r="1186" spans="2:83" x14ac:dyDescent="0.3">
      <c r="B1186" s="182">
        <v>4551</v>
      </c>
      <c r="C1186" s="182">
        <v>2534</v>
      </c>
      <c r="D1186" s="182" t="s">
        <v>121</v>
      </c>
      <c r="E1186" s="181" t="s">
        <v>4403</v>
      </c>
      <c r="F1186" s="182"/>
      <c r="G1186" s="182">
        <v>5600</v>
      </c>
      <c r="H1186" s="182"/>
      <c r="I1186" s="182"/>
      <c r="J1186" s="182"/>
      <c r="K1186" s="182"/>
      <c r="L1186" s="182"/>
      <c r="M1186" s="182"/>
      <c r="N1186" s="182"/>
      <c r="O1186" s="182"/>
      <c r="P1186" s="182"/>
      <c r="Q1186" s="182"/>
      <c r="R1186" s="182"/>
      <c r="S1186" s="182"/>
      <c r="T1186" s="182"/>
      <c r="U1186" s="182"/>
      <c r="V1186" s="182"/>
      <c r="W1186" s="182"/>
      <c r="X1186" s="182"/>
      <c r="Y1186" s="182"/>
      <c r="Z1186" s="182"/>
      <c r="AA1186" s="182"/>
      <c r="AB1186" s="182"/>
      <c r="AC1186" s="182"/>
      <c r="AD1186" s="182"/>
      <c r="AE1186" s="182"/>
      <c r="AF1186" s="182"/>
      <c r="AG1186" s="182"/>
      <c r="AH1186" s="182"/>
      <c r="AI1186" s="182"/>
      <c r="AJ1186" s="182"/>
      <c r="AK1186" s="182"/>
      <c r="AL1186" s="182"/>
      <c r="AM1186" s="182"/>
      <c r="AN1186" s="182"/>
      <c r="AO1186" s="182"/>
      <c r="AP1186" s="182"/>
      <c r="AQ1186" s="185">
        <v>5600</v>
      </c>
      <c r="AR1186" s="182">
        <v>5000.8500000000004</v>
      </c>
      <c r="AS1186" s="182">
        <v>599.15</v>
      </c>
      <c r="AT1186" s="182"/>
      <c r="AU1186" s="182"/>
      <c r="AV1186" s="182"/>
      <c r="AW1186" s="182"/>
      <c r="AX1186" s="182"/>
      <c r="AY1186" s="182"/>
      <c r="AZ1186" s="182"/>
      <c r="BA1186" s="182"/>
      <c r="BB1186" s="182"/>
      <c r="BC1186" s="182"/>
      <c r="BD1186" s="182"/>
      <c r="BE1186" s="182"/>
      <c r="BF1186" s="182"/>
      <c r="BG1186" s="182"/>
      <c r="BH1186" s="182"/>
      <c r="BI1186" s="182"/>
      <c r="BJ1186" s="182"/>
      <c r="BK1186" s="182"/>
      <c r="BL1186" s="182"/>
      <c r="BM1186" s="182"/>
      <c r="BN1186" s="182"/>
      <c r="BO1186" s="182"/>
      <c r="BP1186" s="182"/>
      <c r="BQ1186" s="182"/>
      <c r="BR1186" s="182"/>
      <c r="BS1186" s="182"/>
      <c r="BT1186" s="182"/>
      <c r="BU1186" s="182"/>
      <c r="BV1186" s="182"/>
      <c r="BW1186" s="182"/>
      <c r="BX1186" s="182"/>
      <c r="BY1186" s="182"/>
      <c r="BZ1186" s="182"/>
      <c r="CA1186" s="182"/>
      <c r="CB1186" s="185">
        <v>5600</v>
      </c>
      <c r="CC1186" s="185">
        <v>0</v>
      </c>
      <c r="CD1186" s="185">
        <v>2534</v>
      </c>
      <c r="CE1186" s="185"/>
    </row>
    <row r="1187" spans="2:83" x14ac:dyDescent="0.3">
      <c r="B1187" s="182">
        <v>4552</v>
      </c>
      <c r="C1187" s="182">
        <v>2535</v>
      </c>
      <c r="D1187" s="182" t="s">
        <v>121</v>
      </c>
      <c r="E1187" s="181" t="s">
        <v>4403</v>
      </c>
      <c r="F1187" s="182"/>
      <c r="G1187" s="182">
        <v>950</v>
      </c>
      <c r="H1187" s="182"/>
      <c r="I1187" s="182"/>
      <c r="J1187" s="182"/>
      <c r="K1187" s="182"/>
      <c r="L1187" s="182"/>
      <c r="M1187" s="182"/>
      <c r="N1187" s="182"/>
      <c r="O1187" s="182"/>
      <c r="P1187" s="182"/>
      <c r="Q1187" s="182"/>
      <c r="R1187" s="182"/>
      <c r="S1187" s="182"/>
      <c r="T1187" s="182"/>
      <c r="U1187" s="182"/>
      <c r="V1187" s="182"/>
      <c r="W1187" s="182"/>
      <c r="X1187" s="182"/>
      <c r="Y1187" s="182"/>
      <c r="Z1187" s="182"/>
      <c r="AA1187" s="182"/>
      <c r="AB1187" s="182"/>
      <c r="AC1187" s="182"/>
      <c r="AD1187" s="182"/>
      <c r="AE1187" s="182"/>
      <c r="AF1187" s="182"/>
      <c r="AG1187" s="182"/>
      <c r="AH1187" s="182"/>
      <c r="AI1187" s="182"/>
      <c r="AJ1187" s="182"/>
      <c r="AK1187" s="182"/>
      <c r="AL1187" s="182"/>
      <c r="AM1187" s="182"/>
      <c r="AN1187" s="182"/>
      <c r="AO1187" s="182"/>
      <c r="AP1187" s="182"/>
      <c r="AQ1187" s="185">
        <v>950</v>
      </c>
      <c r="AR1187" s="182">
        <v>848.7</v>
      </c>
      <c r="AS1187" s="182">
        <v>101.3</v>
      </c>
      <c r="AT1187" s="182"/>
      <c r="AU1187" s="182"/>
      <c r="AV1187" s="182"/>
      <c r="AW1187" s="182"/>
      <c r="AX1187" s="182"/>
      <c r="AY1187" s="182"/>
      <c r="AZ1187" s="182"/>
      <c r="BA1187" s="182"/>
      <c r="BB1187" s="182"/>
      <c r="BC1187" s="182"/>
      <c r="BD1187" s="182"/>
      <c r="BE1187" s="182"/>
      <c r="BF1187" s="182"/>
      <c r="BG1187" s="182"/>
      <c r="BH1187" s="182"/>
      <c r="BI1187" s="182"/>
      <c r="BJ1187" s="182"/>
      <c r="BK1187" s="182"/>
      <c r="BL1187" s="182"/>
      <c r="BM1187" s="182"/>
      <c r="BN1187" s="182"/>
      <c r="BO1187" s="182"/>
      <c r="BP1187" s="182"/>
      <c r="BQ1187" s="182"/>
      <c r="BR1187" s="182"/>
      <c r="BS1187" s="182"/>
      <c r="BT1187" s="182"/>
      <c r="BU1187" s="182"/>
      <c r="BV1187" s="182"/>
      <c r="BW1187" s="182"/>
      <c r="BX1187" s="182"/>
      <c r="BY1187" s="182"/>
      <c r="BZ1187" s="182"/>
      <c r="CA1187" s="182"/>
      <c r="CB1187" s="185">
        <v>950</v>
      </c>
      <c r="CC1187" s="185">
        <v>0</v>
      </c>
      <c r="CD1187" s="185">
        <v>2535</v>
      </c>
      <c r="CE1187" s="185"/>
    </row>
    <row r="1188" spans="2:83" x14ac:dyDescent="0.3">
      <c r="B1188" s="182">
        <v>4553</v>
      </c>
      <c r="C1188" s="182">
        <v>2536</v>
      </c>
      <c r="D1188" s="182" t="s">
        <v>121</v>
      </c>
      <c r="E1188" s="181" t="s">
        <v>4403</v>
      </c>
      <c r="F1188" s="182"/>
      <c r="G1188" s="182">
        <v>4975</v>
      </c>
      <c r="H1188" s="182"/>
      <c r="I1188" s="182"/>
      <c r="J1188" s="182"/>
      <c r="K1188" s="182"/>
      <c r="L1188" s="182"/>
      <c r="M1188" s="182"/>
      <c r="N1188" s="182"/>
      <c r="O1188" s="182"/>
      <c r="P1188" s="182"/>
      <c r="Q1188" s="182"/>
      <c r="R1188" s="182"/>
      <c r="S1188" s="182"/>
      <c r="T1188" s="182"/>
      <c r="U1188" s="182"/>
      <c r="V1188" s="182"/>
      <c r="W1188" s="182"/>
      <c r="X1188" s="182"/>
      <c r="Y1188" s="182"/>
      <c r="Z1188" s="182"/>
      <c r="AA1188" s="182"/>
      <c r="AB1188" s="182"/>
      <c r="AC1188" s="182"/>
      <c r="AD1188" s="182"/>
      <c r="AE1188" s="182"/>
      <c r="AF1188" s="182"/>
      <c r="AG1188" s="182"/>
      <c r="AH1188" s="182"/>
      <c r="AI1188" s="182"/>
      <c r="AJ1188" s="182"/>
      <c r="AK1188" s="182"/>
      <c r="AL1188" s="182"/>
      <c r="AM1188" s="182"/>
      <c r="AN1188" s="182"/>
      <c r="AO1188" s="182"/>
      <c r="AP1188" s="182"/>
      <c r="AQ1188" s="185">
        <v>4975</v>
      </c>
      <c r="AR1188" s="182">
        <v>4442.5</v>
      </c>
      <c r="AS1188" s="182">
        <v>532.5</v>
      </c>
      <c r="AT1188" s="182"/>
      <c r="AU1188" s="182"/>
      <c r="AV1188" s="182"/>
      <c r="AW1188" s="182"/>
      <c r="AX1188" s="182"/>
      <c r="AY1188" s="182"/>
      <c r="AZ1188" s="182"/>
      <c r="BA1188" s="182"/>
      <c r="BB1188" s="182"/>
      <c r="BC1188" s="182"/>
      <c r="BD1188" s="182"/>
      <c r="BE1188" s="182"/>
      <c r="BF1188" s="182"/>
      <c r="BG1188" s="182"/>
      <c r="BH1188" s="182"/>
      <c r="BI1188" s="182"/>
      <c r="BJ1188" s="182"/>
      <c r="BK1188" s="182"/>
      <c r="BL1188" s="182"/>
      <c r="BM1188" s="182"/>
      <c r="BN1188" s="182"/>
      <c r="BO1188" s="182"/>
      <c r="BP1188" s="182"/>
      <c r="BQ1188" s="182"/>
      <c r="BR1188" s="182"/>
      <c r="BS1188" s="182"/>
      <c r="BT1188" s="182"/>
      <c r="BU1188" s="182"/>
      <c r="BV1188" s="182"/>
      <c r="BW1188" s="182"/>
      <c r="BX1188" s="182"/>
      <c r="BY1188" s="182"/>
      <c r="BZ1188" s="182"/>
      <c r="CA1188" s="182"/>
      <c r="CB1188" s="185">
        <v>4975</v>
      </c>
      <c r="CC1188" s="185">
        <v>0</v>
      </c>
      <c r="CD1188" s="185">
        <v>2536</v>
      </c>
      <c r="CE1188" s="185"/>
    </row>
    <row r="1189" spans="2:83" x14ac:dyDescent="0.3">
      <c r="B1189" s="182">
        <v>4554</v>
      </c>
      <c r="C1189" s="182">
        <v>2537</v>
      </c>
      <c r="D1189" s="182" t="s">
        <v>121</v>
      </c>
      <c r="E1189" s="181" t="s">
        <v>4403</v>
      </c>
      <c r="F1189" s="182"/>
      <c r="G1189" s="182">
        <v>1000</v>
      </c>
      <c r="H1189" s="182"/>
      <c r="I1189" s="182"/>
      <c r="J1189" s="182"/>
      <c r="K1189" s="182"/>
      <c r="L1189" s="182"/>
      <c r="M1189" s="182"/>
      <c r="N1189" s="182"/>
      <c r="O1189" s="182"/>
      <c r="P1189" s="182"/>
      <c r="Q1189" s="182"/>
      <c r="R1189" s="182"/>
      <c r="S1189" s="182"/>
      <c r="T1189" s="182"/>
      <c r="U1189" s="182"/>
      <c r="V1189" s="182"/>
      <c r="W1189" s="182"/>
      <c r="X1189" s="182"/>
      <c r="Y1189" s="182"/>
      <c r="Z1189" s="182"/>
      <c r="AA1189" s="182"/>
      <c r="AB1189" s="182"/>
      <c r="AC1189" s="182"/>
      <c r="AD1189" s="182"/>
      <c r="AE1189" s="182"/>
      <c r="AF1189" s="182"/>
      <c r="AG1189" s="182"/>
      <c r="AH1189" s="182"/>
      <c r="AI1189" s="182"/>
      <c r="AJ1189" s="182"/>
      <c r="AK1189" s="182"/>
      <c r="AL1189" s="182"/>
      <c r="AM1189" s="182"/>
      <c r="AN1189" s="182"/>
      <c r="AO1189" s="182"/>
      <c r="AP1189" s="182"/>
      <c r="AQ1189" s="185">
        <v>1000</v>
      </c>
      <c r="AR1189" s="182">
        <v>893.35</v>
      </c>
      <c r="AS1189" s="182">
        <v>106.65</v>
      </c>
      <c r="AT1189" s="182"/>
      <c r="AU1189" s="182"/>
      <c r="AV1189" s="182"/>
      <c r="AW1189" s="182"/>
      <c r="AX1189" s="182"/>
      <c r="AY1189" s="182"/>
      <c r="AZ1189" s="182"/>
      <c r="BA1189" s="182"/>
      <c r="BB1189" s="182"/>
      <c r="BC1189" s="182"/>
      <c r="BD1189" s="182"/>
      <c r="BE1189" s="182"/>
      <c r="BF1189" s="182"/>
      <c r="BG1189" s="182"/>
      <c r="BH1189" s="182"/>
      <c r="BI1189" s="182"/>
      <c r="BJ1189" s="182"/>
      <c r="BK1189" s="182"/>
      <c r="BL1189" s="182"/>
      <c r="BM1189" s="182"/>
      <c r="BN1189" s="182"/>
      <c r="BO1189" s="182"/>
      <c r="BP1189" s="182"/>
      <c r="BQ1189" s="182"/>
      <c r="BR1189" s="182"/>
      <c r="BS1189" s="182"/>
      <c r="BT1189" s="182"/>
      <c r="BU1189" s="182"/>
      <c r="BV1189" s="182"/>
      <c r="BW1189" s="182"/>
      <c r="BX1189" s="182"/>
      <c r="BY1189" s="182"/>
      <c r="BZ1189" s="182"/>
      <c r="CA1189" s="182"/>
      <c r="CB1189" s="185">
        <v>1000</v>
      </c>
      <c r="CC1189" s="185">
        <v>0</v>
      </c>
      <c r="CD1189" s="185">
        <v>2537</v>
      </c>
      <c r="CE1189" s="185"/>
    </row>
    <row r="1190" spans="2:83" x14ac:dyDescent="0.3">
      <c r="B1190" s="182">
        <v>4556</v>
      </c>
      <c r="C1190" s="182">
        <v>2538</v>
      </c>
      <c r="D1190" s="182" t="s">
        <v>121</v>
      </c>
      <c r="E1190" s="181" t="s">
        <v>4403</v>
      </c>
      <c r="F1190" s="182"/>
      <c r="G1190" s="182">
        <v>5850</v>
      </c>
      <c r="H1190" s="182"/>
      <c r="I1190" s="182"/>
      <c r="J1190" s="182"/>
      <c r="K1190" s="182"/>
      <c r="L1190" s="182"/>
      <c r="M1190" s="182"/>
      <c r="N1190" s="182"/>
      <c r="O1190" s="182"/>
      <c r="P1190" s="182"/>
      <c r="Q1190" s="182"/>
      <c r="R1190" s="182"/>
      <c r="S1190" s="182"/>
      <c r="T1190" s="182"/>
      <c r="U1190" s="182"/>
      <c r="V1190" s="182"/>
      <c r="W1190" s="182"/>
      <c r="X1190" s="182"/>
      <c r="Y1190" s="182"/>
      <c r="Z1190" s="182"/>
      <c r="AA1190" s="182"/>
      <c r="AB1190" s="182"/>
      <c r="AC1190" s="182"/>
      <c r="AD1190" s="182"/>
      <c r="AE1190" s="182"/>
      <c r="AF1190" s="182"/>
      <c r="AG1190" s="182"/>
      <c r="AH1190" s="182"/>
      <c r="AI1190" s="182"/>
      <c r="AJ1190" s="182"/>
      <c r="AK1190" s="182"/>
      <c r="AL1190" s="182"/>
      <c r="AM1190" s="182"/>
      <c r="AN1190" s="182"/>
      <c r="AO1190" s="182"/>
      <c r="AP1190" s="182"/>
      <c r="AQ1190" s="185">
        <v>5850</v>
      </c>
      <c r="AR1190" s="182">
        <v>5224.8</v>
      </c>
      <c r="AS1190" s="182">
        <v>625.20000000000005</v>
      </c>
      <c r="AT1190" s="182"/>
      <c r="AU1190" s="182"/>
      <c r="AV1190" s="182"/>
      <c r="AW1190" s="182"/>
      <c r="AX1190" s="182"/>
      <c r="AY1190" s="182"/>
      <c r="AZ1190" s="182"/>
      <c r="BA1190" s="182"/>
      <c r="BB1190" s="182"/>
      <c r="BC1190" s="182"/>
      <c r="BD1190" s="182"/>
      <c r="BE1190" s="182"/>
      <c r="BF1190" s="182"/>
      <c r="BG1190" s="182"/>
      <c r="BH1190" s="182"/>
      <c r="BI1190" s="182"/>
      <c r="BJ1190" s="182"/>
      <c r="BK1190" s="182"/>
      <c r="BL1190" s="182"/>
      <c r="BM1190" s="182"/>
      <c r="BN1190" s="182"/>
      <c r="BO1190" s="182"/>
      <c r="BP1190" s="182"/>
      <c r="BQ1190" s="182"/>
      <c r="BR1190" s="182"/>
      <c r="BS1190" s="182"/>
      <c r="BT1190" s="182"/>
      <c r="BU1190" s="182"/>
      <c r="BV1190" s="182"/>
      <c r="BW1190" s="182"/>
      <c r="BX1190" s="182"/>
      <c r="BY1190" s="182"/>
      <c r="BZ1190" s="182"/>
      <c r="CA1190" s="182"/>
      <c r="CB1190" s="185">
        <v>5850</v>
      </c>
      <c r="CC1190" s="185">
        <v>0</v>
      </c>
      <c r="CD1190" s="185">
        <v>2538</v>
      </c>
      <c r="CE1190" s="185"/>
    </row>
    <row r="1191" spans="2:83" x14ac:dyDescent="0.3">
      <c r="B1191" s="182">
        <v>4555</v>
      </c>
      <c r="C1191" s="182">
        <v>2539</v>
      </c>
      <c r="D1191" s="182" t="s">
        <v>121</v>
      </c>
      <c r="E1191" s="181" t="s">
        <v>4403</v>
      </c>
      <c r="F1191" s="182"/>
      <c r="G1191" s="182">
        <v>7400</v>
      </c>
      <c r="H1191" s="182"/>
      <c r="I1191" s="182"/>
      <c r="J1191" s="182"/>
      <c r="K1191" s="182"/>
      <c r="L1191" s="182"/>
      <c r="M1191" s="182"/>
      <c r="N1191" s="182"/>
      <c r="O1191" s="182"/>
      <c r="P1191" s="182"/>
      <c r="Q1191" s="182"/>
      <c r="R1191" s="182"/>
      <c r="S1191" s="182"/>
      <c r="T1191" s="182"/>
      <c r="U1191" s="182"/>
      <c r="V1191" s="182"/>
      <c r="W1191" s="182"/>
      <c r="X1191" s="182"/>
      <c r="Y1191" s="182"/>
      <c r="Z1191" s="182"/>
      <c r="AA1191" s="182"/>
      <c r="AB1191" s="182"/>
      <c r="AC1191" s="182"/>
      <c r="AD1191" s="182"/>
      <c r="AE1191" s="182"/>
      <c r="AF1191" s="182"/>
      <c r="AG1191" s="182"/>
      <c r="AH1191" s="182"/>
      <c r="AI1191" s="182"/>
      <c r="AJ1191" s="182"/>
      <c r="AK1191" s="182"/>
      <c r="AL1191" s="182"/>
      <c r="AM1191" s="182"/>
      <c r="AN1191" s="182"/>
      <c r="AO1191" s="182"/>
      <c r="AP1191" s="182"/>
      <c r="AQ1191" s="185">
        <v>7400</v>
      </c>
      <c r="AR1191" s="182">
        <v>6605.2</v>
      </c>
      <c r="AS1191" s="182">
        <v>794.8</v>
      </c>
      <c r="AT1191" s="182"/>
      <c r="AU1191" s="182"/>
      <c r="AV1191" s="182"/>
      <c r="AW1191" s="182"/>
      <c r="AX1191" s="182"/>
      <c r="AY1191" s="182"/>
      <c r="AZ1191" s="182"/>
      <c r="BA1191" s="182"/>
      <c r="BB1191" s="182"/>
      <c r="BC1191" s="182"/>
      <c r="BD1191" s="182"/>
      <c r="BE1191" s="182"/>
      <c r="BF1191" s="182"/>
      <c r="BG1191" s="182"/>
      <c r="BH1191" s="182"/>
      <c r="BI1191" s="182"/>
      <c r="BJ1191" s="182"/>
      <c r="BK1191" s="182"/>
      <c r="BL1191" s="182"/>
      <c r="BM1191" s="182"/>
      <c r="BN1191" s="182"/>
      <c r="BO1191" s="182"/>
      <c r="BP1191" s="182"/>
      <c r="BQ1191" s="182"/>
      <c r="BR1191" s="182"/>
      <c r="BS1191" s="182"/>
      <c r="BT1191" s="182"/>
      <c r="BU1191" s="182"/>
      <c r="BV1191" s="182"/>
      <c r="BW1191" s="182"/>
      <c r="BX1191" s="182"/>
      <c r="BY1191" s="182"/>
      <c r="BZ1191" s="182"/>
      <c r="CA1191" s="182"/>
      <c r="CB1191" s="185">
        <v>7400</v>
      </c>
      <c r="CC1191" s="185">
        <v>0</v>
      </c>
      <c r="CD1191" s="185">
        <v>2539</v>
      </c>
      <c r="CE1191" s="185"/>
    </row>
    <row r="1192" spans="2:83" x14ac:dyDescent="0.3">
      <c r="B1192" s="182">
        <v>4557</v>
      </c>
      <c r="C1192" s="182">
        <v>2540</v>
      </c>
      <c r="D1192" s="182" t="s">
        <v>121</v>
      </c>
      <c r="E1192" s="181" t="s">
        <v>4403</v>
      </c>
      <c r="F1192" s="182"/>
      <c r="G1192" s="182">
        <v>18775</v>
      </c>
      <c r="H1192" s="182"/>
      <c r="I1192" s="182"/>
      <c r="J1192" s="182"/>
      <c r="K1192" s="182"/>
      <c r="L1192" s="182"/>
      <c r="M1192" s="182"/>
      <c r="N1192" s="182"/>
      <c r="O1192" s="182"/>
      <c r="P1192" s="182"/>
      <c r="Q1192" s="182"/>
      <c r="R1192" s="182"/>
      <c r="S1192" s="182"/>
      <c r="T1192" s="182"/>
      <c r="U1192" s="182"/>
      <c r="V1192" s="182"/>
      <c r="W1192" s="182"/>
      <c r="X1192" s="182"/>
      <c r="Y1192" s="182"/>
      <c r="Z1192" s="182"/>
      <c r="AA1192" s="182"/>
      <c r="AB1192" s="182"/>
      <c r="AC1192" s="182"/>
      <c r="AD1192" s="182"/>
      <c r="AE1192" s="182"/>
      <c r="AF1192" s="182"/>
      <c r="AG1192" s="182"/>
      <c r="AH1192" s="182"/>
      <c r="AI1192" s="182"/>
      <c r="AJ1192" s="182"/>
      <c r="AK1192" s="182"/>
      <c r="AL1192" s="182"/>
      <c r="AM1192" s="182"/>
      <c r="AN1192" s="182"/>
      <c r="AO1192" s="182"/>
      <c r="AP1192" s="182"/>
      <c r="AQ1192" s="185">
        <v>18775</v>
      </c>
      <c r="AR1192" s="182">
        <v>16751.3</v>
      </c>
      <c r="AS1192" s="182">
        <v>2023.7</v>
      </c>
      <c r="AT1192" s="182"/>
      <c r="AU1192" s="182"/>
      <c r="AV1192" s="182"/>
      <c r="AW1192" s="182"/>
      <c r="AX1192" s="182"/>
      <c r="AY1192" s="182"/>
      <c r="AZ1192" s="182"/>
      <c r="BA1192" s="182"/>
      <c r="BB1192" s="182"/>
      <c r="BC1192" s="182"/>
      <c r="BD1192" s="182"/>
      <c r="BE1192" s="182"/>
      <c r="BF1192" s="182"/>
      <c r="BG1192" s="182"/>
      <c r="BH1192" s="182"/>
      <c r="BI1192" s="182"/>
      <c r="BJ1192" s="182"/>
      <c r="BK1192" s="182"/>
      <c r="BL1192" s="182"/>
      <c r="BM1192" s="182"/>
      <c r="BN1192" s="182"/>
      <c r="BO1192" s="182"/>
      <c r="BP1192" s="182"/>
      <c r="BQ1192" s="182"/>
      <c r="BR1192" s="182"/>
      <c r="BS1192" s="182"/>
      <c r="BT1192" s="182"/>
      <c r="BU1192" s="182"/>
      <c r="BV1192" s="182"/>
      <c r="BW1192" s="182"/>
      <c r="BX1192" s="182"/>
      <c r="BY1192" s="182"/>
      <c r="BZ1192" s="182"/>
      <c r="CA1192" s="182"/>
      <c r="CB1192" s="185">
        <v>18775</v>
      </c>
      <c r="CC1192" s="185">
        <v>0</v>
      </c>
      <c r="CD1192" s="185">
        <v>2540</v>
      </c>
      <c r="CE1192" s="185"/>
    </row>
    <row r="1193" spans="2:83" x14ac:dyDescent="0.3">
      <c r="B1193" s="182">
        <v>4645</v>
      </c>
      <c r="C1193" s="182">
        <v>2541</v>
      </c>
      <c r="D1193" s="182" t="s">
        <v>121</v>
      </c>
      <c r="E1193" s="181" t="s">
        <v>4405</v>
      </c>
      <c r="F1193" s="182"/>
      <c r="G1193" s="182">
        <v>5685.38</v>
      </c>
      <c r="H1193" s="182"/>
      <c r="I1193" s="182"/>
      <c r="J1193" s="182"/>
      <c r="K1193" s="182"/>
      <c r="L1193" s="182"/>
      <c r="M1193" s="182"/>
      <c r="N1193" s="182"/>
      <c r="O1193" s="182"/>
      <c r="P1193" s="182"/>
      <c r="Q1193" s="182"/>
      <c r="R1193" s="182"/>
      <c r="S1193" s="182"/>
      <c r="T1193" s="182"/>
      <c r="U1193" s="182"/>
      <c r="V1193" s="182"/>
      <c r="W1193" s="182"/>
      <c r="X1193" s="182"/>
      <c r="Y1193" s="182"/>
      <c r="Z1193" s="182"/>
      <c r="AA1193" s="182"/>
      <c r="AB1193" s="182"/>
      <c r="AC1193" s="182"/>
      <c r="AD1193" s="182"/>
      <c r="AE1193" s="182"/>
      <c r="AF1193" s="182"/>
      <c r="AG1193" s="182"/>
      <c r="AH1193" s="182"/>
      <c r="AI1193" s="182"/>
      <c r="AJ1193" s="182"/>
      <c r="AK1193" s="182"/>
      <c r="AL1193" s="182"/>
      <c r="AM1193" s="182"/>
      <c r="AN1193" s="182"/>
      <c r="AO1193" s="182"/>
      <c r="AP1193" s="182"/>
      <c r="AQ1193" s="185">
        <v>5685.38</v>
      </c>
      <c r="AR1193" s="182">
        <v>4990</v>
      </c>
      <c r="AS1193" s="182">
        <v>596.5</v>
      </c>
      <c r="AT1193" s="182">
        <v>98.88</v>
      </c>
      <c r="AU1193" s="182"/>
      <c r="AV1193" s="182"/>
      <c r="AW1193" s="182"/>
      <c r="AX1193" s="182"/>
      <c r="AY1193" s="182"/>
      <c r="AZ1193" s="182"/>
      <c r="BA1193" s="182"/>
      <c r="BB1193" s="182"/>
      <c r="BC1193" s="182"/>
      <c r="BD1193" s="182"/>
      <c r="BE1193" s="182"/>
      <c r="BF1193" s="182"/>
      <c r="BG1193" s="182"/>
      <c r="BH1193" s="182"/>
      <c r="BI1193" s="182"/>
      <c r="BJ1193" s="182"/>
      <c r="BK1193" s="182"/>
      <c r="BL1193" s="182"/>
      <c r="BM1193" s="182"/>
      <c r="BN1193" s="182"/>
      <c r="BO1193" s="182"/>
      <c r="BP1193" s="182"/>
      <c r="BQ1193" s="182"/>
      <c r="BR1193" s="182"/>
      <c r="BS1193" s="182"/>
      <c r="BT1193" s="182"/>
      <c r="BU1193" s="182"/>
      <c r="BV1193" s="182"/>
      <c r="BW1193" s="182"/>
      <c r="BX1193" s="182"/>
      <c r="BY1193" s="182"/>
      <c r="BZ1193" s="182"/>
      <c r="CA1193" s="182"/>
      <c r="CB1193" s="185">
        <v>5685.38</v>
      </c>
      <c r="CC1193" s="185">
        <v>0</v>
      </c>
      <c r="CD1193" s="185">
        <v>2541</v>
      </c>
      <c r="CE1193" s="185"/>
    </row>
    <row r="1194" spans="2:83" x14ac:dyDescent="0.3">
      <c r="B1194" s="182">
        <v>4644</v>
      </c>
      <c r="C1194" s="182">
        <v>2542</v>
      </c>
      <c r="D1194" s="182" t="s">
        <v>121</v>
      </c>
      <c r="E1194" s="181" t="s">
        <v>4405</v>
      </c>
      <c r="F1194" s="182"/>
      <c r="G1194" s="182">
        <v>1500</v>
      </c>
      <c r="H1194" s="182"/>
      <c r="I1194" s="182"/>
      <c r="J1194" s="182"/>
      <c r="K1194" s="182"/>
      <c r="L1194" s="182"/>
      <c r="M1194" s="182"/>
      <c r="N1194" s="182"/>
      <c r="O1194" s="182"/>
      <c r="P1194" s="182"/>
      <c r="Q1194" s="182"/>
      <c r="R1194" s="182"/>
      <c r="S1194" s="182"/>
      <c r="T1194" s="182"/>
      <c r="U1194" s="182"/>
      <c r="V1194" s="182"/>
      <c r="W1194" s="182"/>
      <c r="X1194" s="182"/>
      <c r="Y1194" s="182"/>
      <c r="Z1194" s="182"/>
      <c r="AA1194" s="182"/>
      <c r="AB1194" s="182"/>
      <c r="AC1194" s="182"/>
      <c r="AD1194" s="182"/>
      <c r="AE1194" s="182"/>
      <c r="AF1194" s="182"/>
      <c r="AG1194" s="182"/>
      <c r="AH1194" s="182"/>
      <c r="AI1194" s="182"/>
      <c r="AJ1194" s="182"/>
      <c r="AK1194" s="182"/>
      <c r="AL1194" s="182"/>
      <c r="AM1194" s="182"/>
      <c r="AN1194" s="182"/>
      <c r="AO1194" s="182"/>
      <c r="AP1194" s="182"/>
      <c r="AQ1194" s="185">
        <v>1500</v>
      </c>
      <c r="AR1194" s="182">
        <v>1340.4</v>
      </c>
      <c r="AS1194" s="182">
        <v>159.6</v>
      </c>
      <c r="AT1194" s="182"/>
      <c r="AU1194" s="182"/>
      <c r="AV1194" s="182"/>
      <c r="AW1194" s="182"/>
      <c r="AX1194" s="182"/>
      <c r="AY1194" s="182"/>
      <c r="AZ1194" s="182"/>
      <c r="BA1194" s="182"/>
      <c r="BB1194" s="182"/>
      <c r="BC1194" s="182"/>
      <c r="BD1194" s="182"/>
      <c r="BE1194" s="182"/>
      <c r="BF1194" s="182"/>
      <c r="BG1194" s="182"/>
      <c r="BH1194" s="182"/>
      <c r="BI1194" s="182"/>
      <c r="BJ1194" s="182"/>
      <c r="BK1194" s="182"/>
      <c r="BL1194" s="182"/>
      <c r="BM1194" s="182"/>
      <c r="BN1194" s="182"/>
      <c r="BO1194" s="182"/>
      <c r="BP1194" s="182"/>
      <c r="BQ1194" s="182"/>
      <c r="BR1194" s="182"/>
      <c r="BS1194" s="182"/>
      <c r="BT1194" s="182"/>
      <c r="BU1194" s="182"/>
      <c r="BV1194" s="182"/>
      <c r="BW1194" s="182"/>
      <c r="BX1194" s="182"/>
      <c r="BY1194" s="182"/>
      <c r="BZ1194" s="182"/>
      <c r="CA1194" s="182"/>
      <c r="CB1194" s="185">
        <v>1500</v>
      </c>
      <c r="CC1194" s="185">
        <v>0</v>
      </c>
      <c r="CD1194" s="185">
        <v>2542</v>
      </c>
      <c r="CE1194" s="185"/>
    </row>
    <row r="1195" spans="2:83" x14ac:dyDescent="0.3">
      <c r="B1195" s="182">
        <v>4641</v>
      </c>
      <c r="C1195" s="182">
        <v>2543</v>
      </c>
      <c r="D1195" s="182" t="s">
        <v>121</v>
      </c>
      <c r="E1195" s="181" t="s">
        <v>4405</v>
      </c>
      <c r="F1195" s="182"/>
      <c r="G1195" s="182">
        <v>3000</v>
      </c>
      <c r="H1195" s="182"/>
      <c r="I1195" s="182"/>
      <c r="J1195" s="182"/>
      <c r="K1195" s="182"/>
      <c r="L1195" s="182"/>
      <c r="M1195" s="182"/>
      <c r="N1195" s="182"/>
      <c r="O1195" s="182"/>
      <c r="P1195" s="182"/>
      <c r="Q1195" s="182"/>
      <c r="R1195" s="182"/>
      <c r="S1195" s="182"/>
      <c r="T1195" s="182"/>
      <c r="U1195" s="182"/>
      <c r="V1195" s="182"/>
      <c r="W1195" s="182"/>
      <c r="X1195" s="182"/>
      <c r="Y1195" s="182"/>
      <c r="Z1195" s="182"/>
      <c r="AA1195" s="182"/>
      <c r="AB1195" s="182"/>
      <c r="AC1195" s="182"/>
      <c r="AD1195" s="182"/>
      <c r="AE1195" s="182"/>
      <c r="AF1195" s="182"/>
      <c r="AG1195" s="182"/>
      <c r="AH1195" s="182"/>
      <c r="AI1195" s="182"/>
      <c r="AJ1195" s="182"/>
      <c r="AK1195" s="182"/>
      <c r="AL1195" s="182"/>
      <c r="AM1195" s="182"/>
      <c r="AN1195" s="182"/>
      <c r="AO1195" s="182"/>
      <c r="AP1195" s="182"/>
      <c r="AQ1195" s="185">
        <v>3000</v>
      </c>
      <c r="AR1195" s="182">
        <v>2678.2</v>
      </c>
      <c r="AS1195" s="182">
        <v>321.8</v>
      </c>
      <c r="AT1195" s="182"/>
      <c r="AU1195" s="182"/>
      <c r="AV1195" s="182"/>
      <c r="AW1195" s="182"/>
      <c r="AX1195" s="182"/>
      <c r="AY1195" s="182"/>
      <c r="AZ1195" s="182"/>
      <c r="BA1195" s="182"/>
      <c r="BB1195" s="182"/>
      <c r="BC1195" s="182"/>
      <c r="BD1195" s="182"/>
      <c r="BE1195" s="182"/>
      <c r="BF1195" s="182"/>
      <c r="BG1195" s="182"/>
      <c r="BH1195" s="182"/>
      <c r="BI1195" s="182"/>
      <c r="BJ1195" s="182"/>
      <c r="BK1195" s="182"/>
      <c r="BL1195" s="182"/>
      <c r="BM1195" s="182"/>
      <c r="BN1195" s="182"/>
      <c r="BO1195" s="182"/>
      <c r="BP1195" s="182"/>
      <c r="BQ1195" s="182"/>
      <c r="BR1195" s="182"/>
      <c r="BS1195" s="182"/>
      <c r="BT1195" s="182"/>
      <c r="BU1195" s="182"/>
      <c r="BV1195" s="182"/>
      <c r="BW1195" s="182"/>
      <c r="BX1195" s="182"/>
      <c r="BY1195" s="182"/>
      <c r="BZ1195" s="182"/>
      <c r="CA1195" s="182"/>
      <c r="CB1195" s="185">
        <v>3000</v>
      </c>
      <c r="CC1195" s="185">
        <v>0</v>
      </c>
      <c r="CD1195" s="185">
        <v>2543</v>
      </c>
      <c r="CE1195" s="185"/>
    </row>
    <row r="1196" spans="2:83" x14ac:dyDescent="0.3">
      <c r="B1196" s="182">
        <v>4643</v>
      </c>
      <c r="C1196" s="182">
        <v>2544</v>
      </c>
      <c r="D1196" s="182" t="s">
        <v>121</v>
      </c>
      <c r="E1196" s="181" t="s">
        <v>4405</v>
      </c>
      <c r="F1196" s="182"/>
      <c r="G1196" s="182">
        <v>475</v>
      </c>
      <c r="H1196" s="182"/>
      <c r="I1196" s="182"/>
      <c r="J1196" s="182"/>
      <c r="K1196" s="182"/>
      <c r="L1196" s="182"/>
      <c r="M1196" s="182"/>
      <c r="N1196" s="182"/>
      <c r="O1196" s="182"/>
      <c r="P1196" s="182"/>
      <c r="Q1196" s="182"/>
      <c r="R1196" s="182"/>
      <c r="S1196" s="182"/>
      <c r="T1196" s="182"/>
      <c r="U1196" s="182"/>
      <c r="V1196" s="182"/>
      <c r="W1196" s="182"/>
      <c r="X1196" s="182"/>
      <c r="Y1196" s="182"/>
      <c r="Z1196" s="182"/>
      <c r="AA1196" s="182"/>
      <c r="AB1196" s="182"/>
      <c r="AC1196" s="182"/>
      <c r="AD1196" s="182"/>
      <c r="AE1196" s="182"/>
      <c r="AF1196" s="182"/>
      <c r="AG1196" s="182"/>
      <c r="AH1196" s="182"/>
      <c r="AI1196" s="182"/>
      <c r="AJ1196" s="182"/>
      <c r="AK1196" s="182"/>
      <c r="AL1196" s="182"/>
      <c r="AM1196" s="182"/>
      <c r="AN1196" s="182"/>
      <c r="AO1196" s="182"/>
      <c r="AP1196" s="182"/>
      <c r="AQ1196" s="185">
        <v>475</v>
      </c>
      <c r="AR1196" s="182">
        <v>424.7</v>
      </c>
      <c r="AS1196" s="182">
        <v>50.3</v>
      </c>
      <c r="AT1196" s="182"/>
      <c r="AU1196" s="182"/>
      <c r="AV1196" s="182"/>
      <c r="AW1196" s="182"/>
      <c r="AX1196" s="182"/>
      <c r="AY1196" s="182"/>
      <c r="AZ1196" s="182"/>
      <c r="BA1196" s="182"/>
      <c r="BB1196" s="182"/>
      <c r="BC1196" s="182"/>
      <c r="BD1196" s="182"/>
      <c r="BE1196" s="182"/>
      <c r="BF1196" s="182"/>
      <c r="BG1196" s="182"/>
      <c r="BH1196" s="182"/>
      <c r="BI1196" s="182"/>
      <c r="BJ1196" s="182"/>
      <c r="BK1196" s="182"/>
      <c r="BL1196" s="182"/>
      <c r="BM1196" s="182"/>
      <c r="BN1196" s="182"/>
      <c r="BO1196" s="182"/>
      <c r="BP1196" s="182"/>
      <c r="BQ1196" s="182"/>
      <c r="BR1196" s="182"/>
      <c r="BS1196" s="182"/>
      <c r="BT1196" s="182"/>
      <c r="BU1196" s="182"/>
      <c r="BV1196" s="182"/>
      <c r="BW1196" s="182"/>
      <c r="BX1196" s="182"/>
      <c r="BY1196" s="182"/>
      <c r="BZ1196" s="182"/>
      <c r="CA1196" s="182"/>
      <c r="CB1196" s="185">
        <v>475</v>
      </c>
      <c r="CC1196" s="185">
        <v>0</v>
      </c>
      <c r="CD1196" s="185">
        <v>2544</v>
      </c>
      <c r="CE1196" s="185"/>
    </row>
    <row r="1197" spans="2:83" x14ac:dyDescent="0.3">
      <c r="B1197" s="182">
        <v>4642</v>
      </c>
      <c r="C1197" s="182">
        <v>2545</v>
      </c>
      <c r="D1197" s="182" t="s">
        <v>121</v>
      </c>
      <c r="E1197" s="181" t="s">
        <v>4405</v>
      </c>
      <c r="F1197" s="182"/>
      <c r="G1197" s="182">
        <v>2925</v>
      </c>
      <c r="H1197" s="182"/>
      <c r="I1197" s="182"/>
      <c r="J1197" s="182"/>
      <c r="K1197" s="182"/>
      <c r="L1197" s="182"/>
      <c r="M1197" s="182"/>
      <c r="N1197" s="182"/>
      <c r="O1197" s="182"/>
      <c r="P1197" s="182"/>
      <c r="Q1197" s="182"/>
      <c r="R1197" s="182"/>
      <c r="S1197" s="182"/>
      <c r="T1197" s="182"/>
      <c r="U1197" s="182"/>
      <c r="V1197" s="182"/>
      <c r="W1197" s="182"/>
      <c r="X1197" s="182"/>
      <c r="Y1197" s="182"/>
      <c r="Z1197" s="182"/>
      <c r="AA1197" s="182"/>
      <c r="AB1197" s="182"/>
      <c r="AC1197" s="182"/>
      <c r="AD1197" s="182"/>
      <c r="AE1197" s="182"/>
      <c r="AF1197" s="182"/>
      <c r="AG1197" s="182"/>
      <c r="AH1197" s="182"/>
      <c r="AI1197" s="182"/>
      <c r="AJ1197" s="182"/>
      <c r="AK1197" s="182"/>
      <c r="AL1197" s="182"/>
      <c r="AM1197" s="182"/>
      <c r="AN1197" s="182"/>
      <c r="AO1197" s="182"/>
      <c r="AP1197" s="182"/>
      <c r="AQ1197" s="185">
        <v>2925</v>
      </c>
      <c r="AR1197" s="182">
        <v>2612.5</v>
      </c>
      <c r="AS1197" s="182">
        <v>312.5</v>
      </c>
      <c r="AT1197" s="182"/>
      <c r="AU1197" s="182"/>
      <c r="AV1197" s="182"/>
      <c r="AW1197" s="182"/>
      <c r="AX1197" s="182"/>
      <c r="AY1197" s="182"/>
      <c r="AZ1197" s="182"/>
      <c r="BA1197" s="182"/>
      <c r="BB1197" s="182"/>
      <c r="BC1197" s="182"/>
      <c r="BD1197" s="182"/>
      <c r="BE1197" s="182"/>
      <c r="BF1197" s="182"/>
      <c r="BG1197" s="182"/>
      <c r="BH1197" s="182"/>
      <c r="BI1197" s="182"/>
      <c r="BJ1197" s="182"/>
      <c r="BK1197" s="182"/>
      <c r="BL1197" s="182"/>
      <c r="BM1197" s="182"/>
      <c r="BN1197" s="182"/>
      <c r="BO1197" s="182"/>
      <c r="BP1197" s="182"/>
      <c r="BQ1197" s="182"/>
      <c r="BR1197" s="182"/>
      <c r="BS1197" s="182"/>
      <c r="BT1197" s="182"/>
      <c r="BU1197" s="182"/>
      <c r="BV1197" s="182"/>
      <c r="BW1197" s="182"/>
      <c r="BX1197" s="182"/>
      <c r="BY1197" s="182"/>
      <c r="BZ1197" s="182"/>
      <c r="CA1197" s="182"/>
      <c r="CB1197" s="185">
        <v>2925</v>
      </c>
      <c r="CC1197" s="185">
        <v>0</v>
      </c>
      <c r="CD1197" s="185">
        <v>2545</v>
      </c>
      <c r="CE1197" s="185"/>
    </row>
    <row r="1198" spans="2:83" x14ac:dyDescent="0.3">
      <c r="B1198" s="182">
        <v>4640</v>
      </c>
      <c r="C1198" s="182">
        <v>2546</v>
      </c>
      <c r="D1198" s="182" t="s">
        <v>121</v>
      </c>
      <c r="E1198" s="181" t="s">
        <v>4405</v>
      </c>
      <c r="F1198" s="182"/>
      <c r="G1198" s="182">
        <v>14600</v>
      </c>
      <c r="H1198" s="182"/>
      <c r="I1198" s="182"/>
      <c r="J1198" s="182"/>
      <c r="K1198" s="182"/>
      <c r="L1198" s="182"/>
      <c r="M1198" s="182"/>
      <c r="N1198" s="182"/>
      <c r="O1198" s="182"/>
      <c r="P1198" s="182"/>
      <c r="Q1198" s="182"/>
      <c r="R1198" s="182"/>
      <c r="S1198" s="182"/>
      <c r="T1198" s="182"/>
      <c r="U1198" s="182"/>
      <c r="V1198" s="182"/>
      <c r="W1198" s="182"/>
      <c r="X1198" s="182"/>
      <c r="Y1198" s="182"/>
      <c r="Z1198" s="182"/>
      <c r="AA1198" s="182"/>
      <c r="AB1198" s="182"/>
      <c r="AC1198" s="182"/>
      <c r="AD1198" s="182"/>
      <c r="AE1198" s="182"/>
      <c r="AF1198" s="182"/>
      <c r="AG1198" s="182"/>
      <c r="AH1198" s="182"/>
      <c r="AI1198" s="182"/>
      <c r="AJ1198" s="182"/>
      <c r="AK1198" s="182"/>
      <c r="AL1198" s="182"/>
      <c r="AM1198" s="182"/>
      <c r="AN1198" s="182"/>
      <c r="AO1198" s="182"/>
      <c r="AP1198" s="182"/>
      <c r="AQ1198" s="185">
        <v>14600</v>
      </c>
      <c r="AR1198" s="182">
        <v>13031.95</v>
      </c>
      <c r="AS1198" s="182">
        <v>1568.05</v>
      </c>
      <c r="AT1198" s="182"/>
      <c r="AU1198" s="182"/>
      <c r="AV1198" s="182"/>
      <c r="AW1198" s="182"/>
      <c r="AX1198" s="182"/>
      <c r="AY1198" s="182"/>
      <c r="AZ1198" s="182"/>
      <c r="BA1198" s="182"/>
      <c r="BB1198" s="182"/>
      <c r="BC1198" s="182"/>
      <c r="BD1198" s="182"/>
      <c r="BE1198" s="182"/>
      <c r="BF1198" s="182"/>
      <c r="BG1198" s="182"/>
      <c r="BH1198" s="182"/>
      <c r="BI1198" s="182"/>
      <c r="BJ1198" s="182"/>
      <c r="BK1198" s="182"/>
      <c r="BL1198" s="182"/>
      <c r="BM1198" s="182"/>
      <c r="BN1198" s="182"/>
      <c r="BO1198" s="182"/>
      <c r="BP1198" s="182"/>
      <c r="BQ1198" s="182"/>
      <c r="BR1198" s="182"/>
      <c r="BS1198" s="182"/>
      <c r="BT1198" s="182"/>
      <c r="BU1198" s="182"/>
      <c r="BV1198" s="182"/>
      <c r="BW1198" s="182"/>
      <c r="BX1198" s="182"/>
      <c r="BY1198" s="182"/>
      <c r="BZ1198" s="182"/>
      <c r="CA1198" s="182"/>
      <c r="CB1198" s="185">
        <v>14600</v>
      </c>
      <c r="CC1198" s="185">
        <v>0</v>
      </c>
      <c r="CD1198" s="185">
        <v>2546</v>
      </c>
      <c r="CE1198" s="185"/>
    </row>
    <row r="1199" spans="2:83" x14ac:dyDescent="0.3">
      <c r="B1199" s="182">
        <v>4639</v>
      </c>
      <c r="C1199" s="182">
        <v>2547</v>
      </c>
      <c r="D1199" s="182" t="s">
        <v>121</v>
      </c>
      <c r="E1199" s="181" t="s">
        <v>4405</v>
      </c>
      <c r="F1199" s="182"/>
      <c r="G1199" s="182">
        <v>4125</v>
      </c>
      <c r="H1199" s="182"/>
      <c r="I1199" s="182"/>
      <c r="J1199" s="182"/>
      <c r="K1199" s="182"/>
      <c r="L1199" s="182"/>
      <c r="M1199" s="182"/>
      <c r="N1199" s="182"/>
      <c r="O1199" s="182"/>
      <c r="P1199" s="182"/>
      <c r="Q1199" s="182"/>
      <c r="R1199" s="182"/>
      <c r="S1199" s="182"/>
      <c r="T1199" s="182"/>
      <c r="U1199" s="182"/>
      <c r="V1199" s="182"/>
      <c r="W1199" s="182"/>
      <c r="X1199" s="182"/>
      <c r="Y1199" s="182"/>
      <c r="Z1199" s="182"/>
      <c r="AA1199" s="182"/>
      <c r="AB1199" s="182"/>
      <c r="AC1199" s="182"/>
      <c r="AD1199" s="182"/>
      <c r="AE1199" s="182"/>
      <c r="AF1199" s="182"/>
      <c r="AG1199" s="182"/>
      <c r="AH1199" s="182"/>
      <c r="AI1199" s="182"/>
      <c r="AJ1199" s="182"/>
      <c r="AK1199" s="182"/>
      <c r="AL1199" s="182"/>
      <c r="AM1199" s="182"/>
      <c r="AN1199" s="182"/>
      <c r="AO1199" s="182"/>
      <c r="AP1199" s="182"/>
      <c r="AQ1199" s="185">
        <v>4125</v>
      </c>
      <c r="AR1199" s="182">
        <v>3682.65</v>
      </c>
      <c r="AS1199" s="182">
        <v>442.35</v>
      </c>
      <c r="AT1199" s="182"/>
      <c r="AU1199" s="182"/>
      <c r="AV1199" s="182"/>
      <c r="AW1199" s="182"/>
      <c r="AX1199" s="182"/>
      <c r="AY1199" s="182"/>
      <c r="AZ1199" s="182"/>
      <c r="BA1199" s="182"/>
      <c r="BB1199" s="182"/>
      <c r="BC1199" s="182"/>
      <c r="BD1199" s="182"/>
      <c r="BE1199" s="182"/>
      <c r="BF1199" s="182"/>
      <c r="BG1199" s="182"/>
      <c r="BH1199" s="182"/>
      <c r="BI1199" s="182"/>
      <c r="BJ1199" s="182"/>
      <c r="BK1199" s="182"/>
      <c r="BL1199" s="182"/>
      <c r="BM1199" s="182"/>
      <c r="BN1199" s="182"/>
      <c r="BO1199" s="182"/>
      <c r="BP1199" s="182"/>
      <c r="BQ1199" s="182"/>
      <c r="BR1199" s="182"/>
      <c r="BS1199" s="182"/>
      <c r="BT1199" s="182"/>
      <c r="BU1199" s="182"/>
      <c r="BV1199" s="182"/>
      <c r="BW1199" s="182"/>
      <c r="BX1199" s="182"/>
      <c r="BY1199" s="182"/>
      <c r="BZ1199" s="182"/>
      <c r="CA1199" s="182"/>
      <c r="CB1199" s="185">
        <v>4125</v>
      </c>
      <c r="CC1199" s="185">
        <v>0</v>
      </c>
      <c r="CD1199" s="185">
        <v>2547</v>
      </c>
      <c r="CE1199" s="185"/>
    </row>
    <row r="1200" spans="2:83" x14ac:dyDescent="0.3">
      <c r="B1200" s="182">
        <v>4638</v>
      </c>
      <c r="C1200" s="182">
        <v>2548</v>
      </c>
      <c r="D1200" s="182" t="s">
        <v>121</v>
      </c>
      <c r="E1200" s="181" t="s">
        <v>4405</v>
      </c>
      <c r="F1200" s="182"/>
      <c r="G1200" s="182">
        <v>20675</v>
      </c>
      <c r="H1200" s="182"/>
      <c r="I1200" s="182"/>
      <c r="J1200" s="182"/>
      <c r="K1200" s="182"/>
      <c r="L1200" s="182"/>
      <c r="M1200" s="182"/>
      <c r="N1200" s="182"/>
      <c r="O1200" s="182"/>
      <c r="P1200" s="182"/>
      <c r="Q1200" s="182"/>
      <c r="R1200" s="182"/>
      <c r="S1200" s="182"/>
      <c r="T1200" s="182"/>
      <c r="U1200" s="182"/>
      <c r="V1200" s="182"/>
      <c r="W1200" s="182"/>
      <c r="X1200" s="182"/>
      <c r="Y1200" s="182"/>
      <c r="Z1200" s="182"/>
      <c r="AA1200" s="182"/>
      <c r="AB1200" s="182"/>
      <c r="AC1200" s="182"/>
      <c r="AD1200" s="182"/>
      <c r="AE1200" s="182"/>
      <c r="AF1200" s="182"/>
      <c r="AG1200" s="182"/>
      <c r="AH1200" s="182"/>
      <c r="AI1200" s="182"/>
      <c r="AJ1200" s="182"/>
      <c r="AK1200" s="182"/>
      <c r="AL1200" s="182"/>
      <c r="AM1200" s="182"/>
      <c r="AN1200" s="182"/>
      <c r="AO1200" s="182"/>
      <c r="AP1200" s="182"/>
      <c r="AQ1200" s="185">
        <v>20675</v>
      </c>
      <c r="AR1200" s="182">
        <v>18448.2</v>
      </c>
      <c r="AS1200" s="182">
        <v>2226.8000000000002</v>
      </c>
      <c r="AT1200" s="182"/>
      <c r="AU1200" s="182"/>
      <c r="AV1200" s="182"/>
      <c r="AW1200" s="182"/>
      <c r="AX1200" s="182"/>
      <c r="AY1200" s="182"/>
      <c r="AZ1200" s="182"/>
      <c r="BA1200" s="182"/>
      <c r="BB1200" s="182"/>
      <c r="BC1200" s="182"/>
      <c r="BD1200" s="182"/>
      <c r="BE1200" s="182"/>
      <c r="BF1200" s="182"/>
      <c r="BG1200" s="182"/>
      <c r="BH1200" s="182"/>
      <c r="BI1200" s="182"/>
      <c r="BJ1200" s="182"/>
      <c r="BK1200" s="182"/>
      <c r="BL1200" s="182"/>
      <c r="BM1200" s="182"/>
      <c r="BN1200" s="182"/>
      <c r="BO1200" s="182"/>
      <c r="BP1200" s="182"/>
      <c r="BQ1200" s="182"/>
      <c r="BR1200" s="182"/>
      <c r="BS1200" s="182"/>
      <c r="BT1200" s="182"/>
      <c r="BU1200" s="182"/>
      <c r="BV1200" s="182"/>
      <c r="BW1200" s="182"/>
      <c r="BX1200" s="182"/>
      <c r="BY1200" s="182"/>
      <c r="BZ1200" s="182"/>
      <c r="CA1200" s="182"/>
      <c r="CB1200" s="185">
        <v>20675</v>
      </c>
      <c r="CC1200" s="185">
        <v>0</v>
      </c>
      <c r="CD1200" s="185">
        <v>2548</v>
      </c>
      <c r="CE1200" s="185"/>
    </row>
    <row r="1201" spans="2:83" x14ac:dyDescent="0.3">
      <c r="B1201" s="182">
        <v>4637</v>
      </c>
      <c r="C1201" s="182">
        <v>2549</v>
      </c>
      <c r="D1201" s="182" t="s">
        <v>121</v>
      </c>
      <c r="E1201" s="181" t="s">
        <v>4405</v>
      </c>
      <c r="F1201" s="182"/>
      <c r="G1201" s="182">
        <v>3600</v>
      </c>
      <c r="H1201" s="182"/>
      <c r="I1201" s="182"/>
      <c r="J1201" s="182"/>
      <c r="K1201" s="182"/>
      <c r="L1201" s="182"/>
      <c r="M1201" s="182"/>
      <c r="N1201" s="182"/>
      <c r="O1201" s="182"/>
      <c r="P1201" s="182"/>
      <c r="Q1201" s="182"/>
      <c r="R1201" s="182"/>
      <c r="S1201" s="182"/>
      <c r="T1201" s="182"/>
      <c r="U1201" s="182"/>
      <c r="V1201" s="182"/>
      <c r="W1201" s="182"/>
      <c r="X1201" s="182"/>
      <c r="Y1201" s="182"/>
      <c r="Z1201" s="182"/>
      <c r="AA1201" s="182"/>
      <c r="AB1201" s="182"/>
      <c r="AC1201" s="182"/>
      <c r="AD1201" s="182"/>
      <c r="AE1201" s="182"/>
      <c r="AF1201" s="182"/>
      <c r="AG1201" s="182"/>
      <c r="AH1201" s="182"/>
      <c r="AI1201" s="182"/>
      <c r="AJ1201" s="182"/>
      <c r="AK1201" s="182"/>
      <c r="AL1201" s="182"/>
      <c r="AM1201" s="182"/>
      <c r="AN1201" s="182"/>
      <c r="AO1201" s="182"/>
      <c r="AP1201" s="182"/>
      <c r="AQ1201" s="185">
        <v>3600</v>
      </c>
      <c r="AR1201" s="182">
        <v>3213.35</v>
      </c>
      <c r="AS1201" s="182">
        <v>386.65</v>
      </c>
      <c r="AT1201" s="182"/>
      <c r="AU1201" s="182"/>
      <c r="AV1201" s="182"/>
      <c r="AW1201" s="182"/>
      <c r="AX1201" s="182"/>
      <c r="AY1201" s="182"/>
      <c r="AZ1201" s="182"/>
      <c r="BA1201" s="182"/>
      <c r="BB1201" s="182"/>
      <c r="BC1201" s="182"/>
      <c r="BD1201" s="182"/>
      <c r="BE1201" s="182"/>
      <c r="BF1201" s="182"/>
      <c r="BG1201" s="182"/>
      <c r="BH1201" s="182"/>
      <c r="BI1201" s="182"/>
      <c r="BJ1201" s="182"/>
      <c r="BK1201" s="182"/>
      <c r="BL1201" s="182"/>
      <c r="BM1201" s="182"/>
      <c r="BN1201" s="182"/>
      <c r="BO1201" s="182"/>
      <c r="BP1201" s="182"/>
      <c r="BQ1201" s="182"/>
      <c r="BR1201" s="182"/>
      <c r="BS1201" s="182"/>
      <c r="BT1201" s="182"/>
      <c r="BU1201" s="182"/>
      <c r="BV1201" s="182"/>
      <c r="BW1201" s="182"/>
      <c r="BX1201" s="182"/>
      <c r="BY1201" s="182"/>
      <c r="BZ1201" s="182"/>
      <c r="CA1201" s="182"/>
      <c r="CB1201" s="185">
        <v>3600</v>
      </c>
      <c r="CC1201" s="185">
        <v>0</v>
      </c>
      <c r="CD1201" s="185">
        <v>2549</v>
      </c>
      <c r="CE1201" s="185"/>
    </row>
    <row r="1202" spans="2:83" x14ac:dyDescent="0.3">
      <c r="B1202" s="182">
        <v>4636</v>
      </c>
      <c r="C1202" s="182">
        <v>2550</v>
      </c>
      <c r="D1202" s="182" t="s">
        <v>121</v>
      </c>
      <c r="E1202" s="181" t="s">
        <v>4405</v>
      </c>
      <c r="F1202" s="182"/>
      <c r="G1202" s="182">
        <v>9850</v>
      </c>
      <c r="H1202" s="182"/>
      <c r="I1202" s="182"/>
      <c r="J1202" s="182"/>
      <c r="K1202" s="182"/>
      <c r="L1202" s="182"/>
      <c r="M1202" s="182"/>
      <c r="N1202" s="182"/>
      <c r="O1202" s="182"/>
      <c r="P1202" s="182"/>
      <c r="Q1202" s="182"/>
      <c r="R1202" s="182"/>
      <c r="S1202" s="182"/>
      <c r="T1202" s="182"/>
      <c r="U1202" s="182"/>
      <c r="V1202" s="182"/>
      <c r="W1202" s="182"/>
      <c r="X1202" s="182"/>
      <c r="Y1202" s="182"/>
      <c r="Z1202" s="182"/>
      <c r="AA1202" s="182"/>
      <c r="AB1202" s="182"/>
      <c r="AC1202" s="182"/>
      <c r="AD1202" s="182"/>
      <c r="AE1202" s="182"/>
      <c r="AF1202" s="182"/>
      <c r="AG1202" s="182"/>
      <c r="AH1202" s="182"/>
      <c r="AI1202" s="182"/>
      <c r="AJ1202" s="182"/>
      <c r="AK1202" s="182"/>
      <c r="AL1202" s="182"/>
      <c r="AM1202" s="182"/>
      <c r="AN1202" s="182"/>
      <c r="AO1202" s="182"/>
      <c r="AP1202" s="182"/>
      <c r="AQ1202" s="185">
        <v>9850</v>
      </c>
      <c r="AR1202" s="182">
        <v>8796.0499999999993</v>
      </c>
      <c r="AS1202" s="182">
        <v>1053.95</v>
      </c>
      <c r="AT1202" s="182"/>
      <c r="AU1202" s="182"/>
      <c r="AV1202" s="182"/>
      <c r="AW1202" s="182"/>
      <c r="AX1202" s="182"/>
      <c r="AY1202" s="182"/>
      <c r="AZ1202" s="182"/>
      <c r="BA1202" s="182"/>
      <c r="BB1202" s="182"/>
      <c r="BC1202" s="182"/>
      <c r="BD1202" s="182"/>
      <c r="BE1202" s="182"/>
      <c r="BF1202" s="182"/>
      <c r="BG1202" s="182"/>
      <c r="BH1202" s="182"/>
      <c r="BI1202" s="182"/>
      <c r="BJ1202" s="182"/>
      <c r="BK1202" s="182"/>
      <c r="BL1202" s="182"/>
      <c r="BM1202" s="182"/>
      <c r="BN1202" s="182"/>
      <c r="BO1202" s="182"/>
      <c r="BP1202" s="182"/>
      <c r="BQ1202" s="182"/>
      <c r="BR1202" s="182"/>
      <c r="BS1202" s="182"/>
      <c r="BT1202" s="182"/>
      <c r="BU1202" s="182"/>
      <c r="BV1202" s="182"/>
      <c r="BW1202" s="182"/>
      <c r="BX1202" s="182"/>
      <c r="BY1202" s="182"/>
      <c r="BZ1202" s="182"/>
      <c r="CA1202" s="182"/>
      <c r="CB1202" s="185">
        <v>9850</v>
      </c>
      <c r="CC1202" s="185">
        <v>0</v>
      </c>
      <c r="CD1202" s="185">
        <v>2550</v>
      </c>
      <c r="CE1202" s="185"/>
    </row>
    <row r="1203" spans="2:83" x14ac:dyDescent="0.3">
      <c r="B1203" s="182">
        <v>4635</v>
      </c>
      <c r="C1203" s="182">
        <v>2551</v>
      </c>
      <c r="D1203" s="182" t="s">
        <v>121</v>
      </c>
      <c r="E1203" s="181" t="s">
        <v>4405</v>
      </c>
      <c r="F1203" s="182"/>
      <c r="G1203" s="182">
        <v>5850</v>
      </c>
      <c r="H1203" s="182"/>
      <c r="I1203" s="182"/>
      <c r="J1203" s="182"/>
      <c r="K1203" s="182"/>
      <c r="L1203" s="182"/>
      <c r="M1203" s="182"/>
      <c r="N1203" s="182"/>
      <c r="O1203" s="182"/>
      <c r="P1203" s="182"/>
      <c r="Q1203" s="182"/>
      <c r="R1203" s="182"/>
      <c r="S1203" s="182"/>
      <c r="T1203" s="182"/>
      <c r="U1203" s="182"/>
      <c r="V1203" s="182"/>
      <c r="W1203" s="182"/>
      <c r="X1203" s="182"/>
      <c r="Y1203" s="182"/>
      <c r="Z1203" s="182"/>
      <c r="AA1203" s="182"/>
      <c r="AB1203" s="182"/>
      <c r="AC1203" s="182"/>
      <c r="AD1203" s="182"/>
      <c r="AE1203" s="182"/>
      <c r="AF1203" s="182"/>
      <c r="AG1203" s="182"/>
      <c r="AH1203" s="182"/>
      <c r="AI1203" s="182"/>
      <c r="AJ1203" s="182"/>
      <c r="AK1203" s="182"/>
      <c r="AL1203" s="182"/>
      <c r="AM1203" s="182"/>
      <c r="AN1203" s="182"/>
      <c r="AO1203" s="182"/>
      <c r="AP1203" s="182"/>
      <c r="AQ1203" s="185">
        <v>5850</v>
      </c>
      <c r="AR1203" s="182">
        <v>5222.55</v>
      </c>
      <c r="AS1203" s="182">
        <v>627.45000000000005</v>
      </c>
      <c r="AT1203" s="182"/>
      <c r="AU1203" s="182"/>
      <c r="AV1203" s="182"/>
      <c r="AW1203" s="182"/>
      <c r="AX1203" s="182"/>
      <c r="AY1203" s="182"/>
      <c r="AZ1203" s="182"/>
      <c r="BA1203" s="182"/>
      <c r="BB1203" s="182"/>
      <c r="BC1203" s="182"/>
      <c r="BD1203" s="182"/>
      <c r="BE1203" s="182"/>
      <c r="BF1203" s="182"/>
      <c r="BG1203" s="182"/>
      <c r="BH1203" s="182"/>
      <c r="BI1203" s="182"/>
      <c r="BJ1203" s="182"/>
      <c r="BK1203" s="182"/>
      <c r="BL1203" s="182"/>
      <c r="BM1203" s="182"/>
      <c r="BN1203" s="182"/>
      <c r="BO1203" s="182"/>
      <c r="BP1203" s="182"/>
      <c r="BQ1203" s="182"/>
      <c r="BR1203" s="182"/>
      <c r="BS1203" s="182"/>
      <c r="BT1203" s="182"/>
      <c r="BU1203" s="182"/>
      <c r="BV1203" s="182"/>
      <c r="BW1203" s="182"/>
      <c r="BX1203" s="182"/>
      <c r="BY1203" s="182"/>
      <c r="BZ1203" s="182"/>
      <c r="CA1203" s="182"/>
      <c r="CB1203" s="185">
        <v>5850</v>
      </c>
      <c r="CC1203" s="185">
        <v>0</v>
      </c>
      <c r="CD1203" s="185">
        <v>2551</v>
      </c>
      <c r="CE1203" s="185"/>
    </row>
    <row r="1204" spans="2:83" x14ac:dyDescent="0.3">
      <c r="B1204" s="182">
        <v>4634</v>
      </c>
      <c r="C1204" s="182">
        <v>2552</v>
      </c>
      <c r="D1204" s="182" t="s">
        <v>121</v>
      </c>
      <c r="E1204" s="181" t="s">
        <v>4405</v>
      </c>
      <c r="F1204" s="182"/>
      <c r="G1204" s="182">
        <v>35700</v>
      </c>
      <c r="H1204" s="182"/>
      <c r="I1204" s="182"/>
      <c r="J1204" s="182"/>
      <c r="K1204" s="182"/>
      <c r="L1204" s="182"/>
      <c r="M1204" s="182"/>
      <c r="N1204" s="182"/>
      <c r="O1204" s="182"/>
      <c r="P1204" s="182"/>
      <c r="Q1204" s="182"/>
      <c r="R1204" s="182"/>
      <c r="S1204" s="182"/>
      <c r="T1204" s="182"/>
      <c r="U1204" s="182"/>
      <c r="V1204" s="182"/>
      <c r="W1204" s="182"/>
      <c r="X1204" s="182"/>
      <c r="Y1204" s="182"/>
      <c r="Z1204" s="182"/>
      <c r="AA1204" s="182"/>
      <c r="AB1204" s="182"/>
      <c r="AC1204" s="182"/>
      <c r="AD1204" s="182"/>
      <c r="AE1204" s="182"/>
      <c r="AF1204" s="182"/>
      <c r="AG1204" s="182"/>
      <c r="AH1204" s="182"/>
      <c r="AI1204" s="182"/>
      <c r="AJ1204" s="182"/>
      <c r="AK1204" s="182"/>
      <c r="AL1204" s="182"/>
      <c r="AM1204" s="182"/>
      <c r="AN1204" s="182"/>
      <c r="AO1204" s="182"/>
      <c r="AP1204" s="182"/>
      <c r="AQ1204" s="185">
        <v>35700</v>
      </c>
      <c r="AR1204" s="182">
        <v>31853.8</v>
      </c>
      <c r="AS1204" s="182">
        <v>3846.2</v>
      </c>
      <c r="AT1204" s="182"/>
      <c r="AU1204" s="182"/>
      <c r="AV1204" s="182"/>
      <c r="AW1204" s="182"/>
      <c r="AX1204" s="182"/>
      <c r="AY1204" s="182"/>
      <c r="AZ1204" s="182"/>
      <c r="BA1204" s="182"/>
      <c r="BB1204" s="182"/>
      <c r="BC1204" s="182"/>
      <c r="BD1204" s="182"/>
      <c r="BE1204" s="182"/>
      <c r="BF1204" s="182"/>
      <c r="BG1204" s="182"/>
      <c r="BH1204" s="182"/>
      <c r="BI1204" s="182"/>
      <c r="BJ1204" s="182"/>
      <c r="BK1204" s="182"/>
      <c r="BL1204" s="182"/>
      <c r="BM1204" s="182"/>
      <c r="BN1204" s="182"/>
      <c r="BO1204" s="182"/>
      <c r="BP1204" s="182"/>
      <c r="BQ1204" s="182"/>
      <c r="BR1204" s="182"/>
      <c r="BS1204" s="182"/>
      <c r="BT1204" s="182"/>
      <c r="BU1204" s="182"/>
      <c r="BV1204" s="182"/>
      <c r="BW1204" s="182"/>
      <c r="BX1204" s="182"/>
      <c r="BY1204" s="182"/>
      <c r="BZ1204" s="182"/>
      <c r="CA1204" s="182"/>
      <c r="CB1204" s="185">
        <v>35700</v>
      </c>
      <c r="CC1204" s="185">
        <v>0</v>
      </c>
      <c r="CD1204" s="185">
        <v>2552</v>
      </c>
      <c r="CE1204" s="185"/>
    </row>
    <row r="1205" spans="2:83" x14ac:dyDescent="0.3">
      <c r="B1205" s="182">
        <v>4633</v>
      </c>
      <c r="C1205" s="182">
        <v>2553</v>
      </c>
      <c r="D1205" s="182" t="s">
        <v>121</v>
      </c>
      <c r="E1205" s="181" t="s">
        <v>4405</v>
      </c>
      <c r="F1205" s="182"/>
      <c r="G1205" s="182">
        <v>7400</v>
      </c>
      <c r="H1205" s="182"/>
      <c r="I1205" s="182"/>
      <c r="J1205" s="182"/>
      <c r="K1205" s="182"/>
      <c r="L1205" s="182"/>
      <c r="M1205" s="182"/>
      <c r="N1205" s="182"/>
      <c r="O1205" s="182"/>
      <c r="P1205" s="182"/>
      <c r="Q1205" s="182"/>
      <c r="R1205" s="182"/>
      <c r="S1205" s="182"/>
      <c r="T1205" s="182"/>
      <c r="U1205" s="182"/>
      <c r="V1205" s="182"/>
      <c r="W1205" s="182"/>
      <c r="X1205" s="182"/>
      <c r="Y1205" s="182"/>
      <c r="Z1205" s="182"/>
      <c r="AA1205" s="182"/>
      <c r="AB1205" s="182"/>
      <c r="AC1205" s="182"/>
      <c r="AD1205" s="182"/>
      <c r="AE1205" s="182"/>
      <c r="AF1205" s="182"/>
      <c r="AG1205" s="182"/>
      <c r="AH1205" s="182"/>
      <c r="AI1205" s="182"/>
      <c r="AJ1205" s="182"/>
      <c r="AK1205" s="182"/>
      <c r="AL1205" s="182"/>
      <c r="AM1205" s="182"/>
      <c r="AN1205" s="182"/>
      <c r="AO1205" s="182"/>
      <c r="AP1205" s="182"/>
      <c r="AQ1205" s="185">
        <v>7400</v>
      </c>
      <c r="AR1205" s="182">
        <v>6602.5</v>
      </c>
      <c r="AS1205" s="182">
        <v>797.5</v>
      </c>
      <c r="AT1205" s="182"/>
      <c r="AU1205" s="182"/>
      <c r="AV1205" s="182"/>
      <c r="AW1205" s="182"/>
      <c r="AX1205" s="182"/>
      <c r="AY1205" s="182"/>
      <c r="AZ1205" s="182"/>
      <c r="BA1205" s="182"/>
      <c r="BB1205" s="182"/>
      <c r="BC1205" s="182"/>
      <c r="BD1205" s="182"/>
      <c r="BE1205" s="182"/>
      <c r="BF1205" s="182"/>
      <c r="BG1205" s="182"/>
      <c r="BH1205" s="182"/>
      <c r="BI1205" s="182"/>
      <c r="BJ1205" s="182"/>
      <c r="BK1205" s="182"/>
      <c r="BL1205" s="182"/>
      <c r="BM1205" s="182"/>
      <c r="BN1205" s="182"/>
      <c r="BO1205" s="182"/>
      <c r="BP1205" s="182"/>
      <c r="BQ1205" s="182"/>
      <c r="BR1205" s="182"/>
      <c r="BS1205" s="182"/>
      <c r="BT1205" s="182"/>
      <c r="BU1205" s="182"/>
      <c r="BV1205" s="182"/>
      <c r="BW1205" s="182"/>
      <c r="BX1205" s="182"/>
      <c r="BY1205" s="182"/>
      <c r="BZ1205" s="182"/>
      <c r="CA1205" s="182"/>
      <c r="CB1205" s="185">
        <v>7400</v>
      </c>
      <c r="CC1205" s="185">
        <v>0</v>
      </c>
      <c r="CD1205" s="185">
        <v>2553</v>
      </c>
      <c r="CE1205" s="185"/>
    </row>
    <row r="1206" spans="2:83" x14ac:dyDescent="0.3">
      <c r="B1206" s="182">
        <v>4632</v>
      </c>
      <c r="C1206" s="182">
        <v>2554</v>
      </c>
      <c r="D1206" s="182" t="s">
        <v>121</v>
      </c>
      <c r="E1206" s="181" t="s">
        <v>4405</v>
      </c>
      <c r="F1206" s="182"/>
      <c r="G1206" s="182">
        <v>5400</v>
      </c>
      <c r="H1206" s="182"/>
      <c r="I1206" s="182"/>
      <c r="J1206" s="182"/>
      <c r="K1206" s="182"/>
      <c r="L1206" s="182"/>
      <c r="M1206" s="182"/>
      <c r="N1206" s="182"/>
      <c r="O1206" s="182"/>
      <c r="P1206" s="182"/>
      <c r="Q1206" s="182"/>
      <c r="R1206" s="182"/>
      <c r="S1206" s="182"/>
      <c r="T1206" s="182"/>
      <c r="U1206" s="182"/>
      <c r="V1206" s="182"/>
      <c r="W1206" s="182"/>
      <c r="X1206" s="182"/>
      <c r="Y1206" s="182"/>
      <c r="Z1206" s="182"/>
      <c r="AA1206" s="182"/>
      <c r="AB1206" s="182"/>
      <c r="AC1206" s="182"/>
      <c r="AD1206" s="182"/>
      <c r="AE1206" s="182"/>
      <c r="AF1206" s="182"/>
      <c r="AG1206" s="182"/>
      <c r="AH1206" s="182"/>
      <c r="AI1206" s="182"/>
      <c r="AJ1206" s="182"/>
      <c r="AK1206" s="182"/>
      <c r="AL1206" s="182"/>
      <c r="AM1206" s="182"/>
      <c r="AN1206" s="182"/>
      <c r="AO1206" s="182"/>
      <c r="AP1206" s="182"/>
      <c r="AQ1206" s="185">
        <v>5400</v>
      </c>
      <c r="AR1206" s="182">
        <v>4821.8500000000004</v>
      </c>
      <c r="AS1206" s="182">
        <v>578.15</v>
      </c>
      <c r="AT1206" s="182"/>
      <c r="AU1206" s="182"/>
      <c r="AV1206" s="182"/>
      <c r="AW1206" s="182"/>
      <c r="AX1206" s="182"/>
      <c r="AY1206" s="182"/>
      <c r="AZ1206" s="182"/>
      <c r="BA1206" s="182"/>
      <c r="BB1206" s="182"/>
      <c r="BC1206" s="182"/>
      <c r="BD1206" s="182"/>
      <c r="BE1206" s="182"/>
      <c r="BF1206" s="182"/>
      <c r="BG1206" s="182"/>
      <c r="BH1206" s="182"/>
      <c r="BI1206" s="182"/>
      <c r="BJ1206" s="182"/>
      <c r="BK1206" s="182"/>
      <c r="BL1206" s="182"/>
      <c r="BM1206" s="182"/>
      <c r="BN1206" s="182"/>
      <c r="BO1206" s="182"/>
      <c r="BP1206" s="182"/>
      <c r="BQ1206" s="182"/>
      <c r="BR1206" s="182"/>
      <c r="BS1206" s="182"/>
      <c r="BT1206" s="182"/>
      <c r="BU1206" s="182"/>
      <c r="BV1206" s="182"/>
      <c r="BW1206" s="182"/>
      <c r="BX1206" s="182"/>
      <c r="BY1206" s="182"/>
      <c r="BZ1206" s="182"/>
      <c r="CA1206" s="182"/>
      <c r="CB1206" s="185">
        <v>5400</v>
      </c>
      <c r="CC1206" s="185">
        <v>0</v>
      </c>
      <c r="CD1206" s="185">
        <v>2554</v>
      </c>
      <c r="CE1206" s="185"/>
    </row>
    <row r="1207" spans="2:83" x14ac:dyDescent="0.3">
      <c r="B1207" s="182">
        <v>4630</v>
      </c>
      <c r="C1207" s="182">
        <v>2555</v>
      </c>
      <c r="D1207" s="182" t="s">
        <v>121</v>
      </c>
      <c r="E1207" s="181" t="s">
        <v>4406</v>
      </c>
      <c r="F1207" s="182"/>
      <c r="G1207" s="182">
        <v>62750</v>
      </c>
      <c r="H1207" s="182"/>
      <c r="I1207" s="182"/>
      <c r="J1207" s="182"/>
      <c r="K1207" s="182"/>
      <c r="L1207" s="182"/>
      <c r="M1207" s="182"/>
      <c r="N1207" s="182"/>
      <c r="O1207" s="182"/>
      <c r="P1207" s="182"/>
      <c r="Q1207" s="182"/>
      <c r="R1207" s="182"/>
      <c r="S1207" s="182"/>
      <c r="T1207" s="182"/>
      <c r="U1207" s="182"/>
      <c r="V1207" s="182"/>
      <c r="W1207" s="182"/>
      <c r="X1207" s="182"/>
      <c r="Y1207" s="182"/>
      <c r="Z1207" s="182"/>
      <c r="AA1207" s="182"/>
      <c r="AB1207" s="182"/>
      <c r="AC1207" s="182"/>
      <c r="AD1207" s="182"/>
      <c r="AE1207" s="182"/>
      <c r="AF1207" s="182"/>
      <c r="AG1207" s="182"/>
      <c r="AH1207" s="182"/>
      <c r="AI1207" s="182"/>
      <c r="AJ1207" s="182"/>
      <c r="AK1207" s="182"/>
      <c r="AL1207" s="182"/>
      <c r="AM1207" s="182"/>
      <c r="AN1207" s="182"/>
      <c r="AO1207" s="182"/>
      <c r="AP1207" s="182"/>
      <c r="AQ1207" s="185">
        <v>62750</v>
      </c>
      <c r="AR1207" s="182">
        <v>56035.5</v>
      </c>
      <c r="AS1207" s="182">
        <v>6714.5</v>
      </c>
      <c r="AT1207" s="182"/>
      <c r="AU1207" s="182"/>
      <c r="AV1207" s="182"/>
      <c r="AW1207" s="182"/>
      <c r="AX1207" s="182"/>
      <c r="AY1207" s="182"/>
      <c r="AZ1207" s="182"/>
      <c r="BA1207" s="182"/>
      <c r="BB1207" s="182"/>
      <c r="BC1207" s="182"/>
      <c r="BD1207" s="182"/>
      <c r="BE1207" s="182"/>
      <c r="BF1207" s="182"/>
      <c r="BG1207" s="182"/>
      <c r="BH1207" s="182"/>
      <c r="BI1207" s="182"/>
      <c r="BJ1207" s="182"/>
      <c r="BK1207" s="182"/>
      <c r="BL1207" s="182"/>
      <c r="BM1207" s="182"/>
      <c r="BN1207" s="182"/>
      <c r="BO1207" s="182"/>
      <c r="BP1207" s="182"/>
      <c r="BQ1207" s="182"/>
      <c r="BR1207" s="182"/>
      <c r="BS1207" s="182"/>
      <c r="BT1207" s="182"/>
      <c r="BU1207" s="182"/>
      <c r="BV1207" s="182"/>
      <c r="BW1207" s="182"/>
      <c r="BX1207" s="182"/>
      <c r="BY1207" s="182"/>
      <c r="BZ1207" s="182"/>
      <c r="CA1207" s="182"/>
      <c r="CB1207" s="185">
        <v>62750</v>
      </c>
      <c r="CC1207" s="185">
        <v>0</v>
      </c>
      <c r="CD1207" s="185">
        <v>2555</v>
      </c>
      <c r="CE1207" s="185"/>
    </row>
    <row r="1208" spans="2:83" x14ac:dyDescent="0.3">
      <c r="B1208" s="182">
        <v>4631</v>
      </c>
      <c r="C1208" s="182">
        <v>2556</v>
      </c>
      <c r="D1208" s="182" t="s">
        <v>121</v>
      </c>
      <c r="E1208" s="181" t="s">
        <v>4406</v>
      </c>
      <c r="F1208" s="182"/>
      <c r="G1208" s="182">
        <v>10000</v>
      </c>
      <c r="H1208" s="182"/>
      <c r="I1208" s="182"/>
      <c r="J1208" s="182"/>
      <c r="K1208" s="182"/>
      <c r="L1208" s="182"/>
      <c r="M1208" s="182"/>
      <c r="N1208" s="182"/>
      <c r="O1208" s="182"/>
      <c r="P1208" s="182"/>
      <c r="Q1208" s="182"/>
      <c r="R1208" s="182"/>
      <c r="S1208" s="182"/>
      <c r="T1208" s="182"/>
      <c r="U1208" s="182"/>
      <c r="V1208" s="182"/>
      <c r="W1208" s="182"/>
      <c r="X1208" s="182"/>
      <c r="Y1208" s="182"/>
      <c r="Z1208" s="182"/>
      <c r="AA1208" s="182"/>
      <c r="AB1208" s="182"/>
      <c r="AC1208" s="182"/>
      <c r="AD1208" s="182"/>
      <c r="AE1208" s="182"/>
      <c r="AF1208" s="182"/>
      <c r="AG1208" s="182"/>
      <c r="AH1208" s="182"/>
      <c r="AI1208" s="182"/>
      <c r="AJ1208" s="182"/>
      <c r="AK1208" s="182"/>
      <c r="AL1208" s="182"/>
      <c r="AM1208" s="182"/>
      <c r="AN1208" s="182"/>
      <c r="AO1208" s="182"/>
      <c r="AP1208" s="182"/>
      <c r="AQ1208" s="185">
        <v>10000</v>
      </c>
      <c r="AR1208" s="182">
        <v>8920.4</v>
      </c>
      <c r="AS1208" s="182">
        <v>1079.5999999999999</v>
      </c>
      <c r="AT1208" s="182"/>
      <c r="AU1208" s="182"/>
      <c r="AV1208" s="182"/>
      <c r="AW1208" s="182"/>
      <c r="AX1208" s="182"/>
      <c r="AY1208" s="182"/>
      <c r="AZ1208" s="182"/>
      <c r="BA1208" s="182"/>
      <c r="BB1208" s="182"/>
      <c r="BC1208" s="182"/>
      <c r="BD1208" s="182"/>
      <c r="BE1208" s="182"/>
      <c r="BF1208" s="182"/>
      <c r="BG1208" s="182"/>
      <c r="BH1208" s="182"/>
      <c r="BI1208" s="182"/>
      <c r="BJ1208" s="182"/>
      <c r="BK1208" s="182"/>
      <c r="BL1208" s="182"/>
      <c r="BM1208" s="182"/>
      <c r="BN1208" s="182"/>
      <c r="BO1208" s="182"/>
      <c r="BP1208" s="182"/>
      <c r="BQ1208" s="182"/>
      <c r="BR1208" s="182"/>
      <c r="BS1208" s="182"/>
      <c r="BT1208" s="182"/>
      <c r="BU1208" s="182"/>
      <c r="BV1208" s="182"/>
      <c r="BW1208" s="182"/>
      <c r="BX1208" s="182"/>
      <c r="BY1208" s="182"/>
      <c r="BZ1208" s="182"/>
      <c r="CA1208" s="182"/>
      <c r="CB1208" s="185">
        <v>10000</v>
      </c>
      <c r="CC1208" s="185">
        <v>0</v>
      </c>
      <c r="CD1208" s="185">
        <v>2556</v>
      </c>
      <c r="CE1208" s="185"/>
    </row>
    <row r="1209" spans="2:83" x14ac:dyDescent="0.3">
      <c r="B1209" s="182">
        <v>4628</v>
      </c>
      <c r="C1209" s="182">
        <v>2557</v>
      </c>
      <c r="D1209" s="182" t="s">
        <v>121</v>
      </c>
      <c r="E1209" s="181" t="s">
        <v>4407</v>
      </c>
      <c r="F1209" s="182"/>
      <c r="G1209" s="182">
        <v>6566</v>
      </c>
      <c r="H1209" s="182"/>
      <c r="I1209" s="182"/>
      <c r="J1209" s="182"/>
      <c r="K1209" s="182"/>
      <c r="L1209" s="182"/>
      <c r="M1209" s="182"/>
      <c r="N1209" s="182"/>
      <c r="O1209" s="182"/>
      <c r="P1209" s="182"/>
      <c r="Q1209" s="182"/>
      <c r="R1209" s="182"/>
      <c r="S1209" s="182"/>
      <c r="T1209" s="182"/>
      <c r="U1209" s="182"/>
      <c r="V1209" s="182"/>
      <c r="W1209" s="182"/>
      <c r="X1209" s="182"/>
      <c r="Y1209" s="182"/>
      <c r="Z1209" s="182"/>
      <c r="AA1209" s="182"/>
      <c r="AB1209" s="182"/>
      <c r="AC1209" s="182"/>
      <c r="AD1209" s="182"/>
      <c r="AE1209" s="182"/>
      <c r="AF1209" s="182"/>
      <c r="AG1209" s="182"/>
      <c r="AH1209" s="182"/>
      <c r="AI1209" s="182"/>
      <c r="AJ1209" s="182"/>
      <c r="AK1209" s="182"/>
      <c r="AL1209" s="182"/>
      <c r="AM1209" s="182"/>
      <c r="AN1209" s="182"/>
      <c r="AO1209" s="182"/>
      <c r="AP1209" s="182"/>
      <c r="AQ1209" s="185">
        <v>6566</v>
      </c>
      <c r="AR1209" s="182">
        <v>4382.7</v>
      </c>
      <c r="AS1209" s="182">
        <v>601.29999999999995</v>
      </c>
      <c r="AT1209" s="182">
        <v>1582.0000000000002</v>
      </c>
      <c r="AU1209" s="182"/>
      <c r="AV1209" s="182"/>
      <c r="AW1209" s="182"/>
      <c r="AX1209" s="182"/>
      <c r="AY1209" s="182"/>
      <c r="AZ1209" s="182"/>
      <c r="BA1209" s="182"/>
      <c r="BB1209" s="182"/>
      <c r="BC1209" s="182"/>
      <c r="BD1209" s="182"/>
      <c r="BE1209" s="182"/>
      <c r="BF1209" s="182"/>
      <c r="BG1209" s="182"/>
      <c r="BH1209" s="182"/>
      <c r="BI1209" s="182"/>
      <c r="BJ1209" s="182"/>
      <c r="BK1209" s="182"/>
      <c r="BL1209" s="182"/>
      <c r="BM1209" s="182"/>
      <c r="BN1209" s="182"/>
      <c r="BO1209" s="182"/>
      <c r="BP1209" s="182"/>
      <c r="BQ1209" s="182"/>
      <c r="BR1209" s="182"/>
      <c r="BS1209" s="182"/>
      <c r="BT1209" s="182"/>
      <c r="BU1209" s="182"/>
      <c r="BV1209" s="182"/>
      <c r="BW1209" s="182"/>
      <c r="BX1209" s="182"/>
      <c r="BY1209" s="182"/>
      <c r="BZ1209" s="182"/>
      <c r="CA1209" s="182"/>
      <c r="CB1209" s="185">
        <v>6566</v>
      </c>
      <c r="CC1209" s="185">
        <v>0</v>
      </c>
      <c r="CD1209" s="185">
        <v>2557</v>
      </c>
      <c r="CE1209" s="185"/>
    </row>
    <row r="1210" spans="2:83" x14ac:dyDescent="0.3">
      <c r="B1210" s="182">
        <v>4629</v>
      </c>
      <c r="C1210" s="182">
        <v>2558</v>
      </c>
      <c r="D1210" s="182" t="s">
        <v>121</v>
      </c>
      <c r="E1210" s="181" t="s">
        <v>4407</v>
      </c>
      <c r="F1210" s="182"/>
      <c r="G1210" s="182">
        <v>40900</v>
      </c>
      <c r="H1210" s="182"/>
      <c r="I1210" s="182"/>
      <c r="J1210" s="182"/>
      <c r="K1210" s="182"/>
      <c r="L1210" s="182"/>
      <c r="M1210" s="182"/>
      <c r="N1210" s="182"/>
      <c r="O1210" s="182"/>
      <c r="P1210" s="182"/>
      <c r="Q1210" s="182"/>
      <c r="R1210" s="182"/>
      <c r="S1210" s="182"/>
      <c r="T1210" s="182"/>
      <c r="U1210" s="182"/>
      <c r="V1210" s="182"/>
      <c r="W1210" s="182"/>
      <c r="X1210" s="182"/>
      <c r="Y1210" s="182"/>
      <c r="Z1210" s="182"/>
      <c r="AA1210" s="182"/>
      <c r="AB1210" s="182"/>
      <c r="AC1210" s="182"/>
      <c r="AD1210" s="182"/>
      <c r="AE1210" s="182"/>
      <c r="AF1210" s="182"/>
      <c r="AG1210" s="182"/>
      <c r="AH1210" s="182"/>
      <c r="AI1210" s="182"/>
      <c r="AJ1210" s="182"/>
      <c r="AK1210" s="182"/>
      <c r="AL1210" s="182"/>
      <c r="AM1210" s="182"/>
      <c r="AN1210" s="182"/>
      <c r="AO1210" s="182"/>
      <c r="AP1210" s="182"/>
      <c r="AQ1210" s="185">
        <v>40900</v>
      </c>
      <c r="AR1210" s="182">
        <v>36498.400000000001</v>
      </c>
      <c r="AS1210" s="182">
        <v>4401.6000000000004</v>
      </c>
      <c r="AT1210" s="182"/>
      <c r="AU1210" s="182"/>
      <c r="AV1210" s="182"/>
      <c r="AW1210" s="182"/>
      <c r="AX1210" s="182"/>
      <c r="AY1210" s="182"/>
      <c r="AZ1210" s="182"/>
      <c r="BA1210" s="182"/>
      <c r="BB1210" s="182"/>
      <c r="BC1210" s="182"/>
      <c r="BD1210" s="182"/>
      <c r="BE1210" s="182"/>
      <c r="BF1210" s="182"/>
      <c r="BG1210" s="182"/>
      <c r="BH1210" s="182"/>
      <c r="BI1210" s="182"/>
      <c r="BJ1210" s="182"/>
      <c r="BK1210" s="182"/>
      <c r="BL1210" s="182"/>
      <c r="BM1210" s="182"/>
      <c r="BN1210" s="182"/>
      <c r="BO1210" s="182"/>
      <c r="BP1210" s="182"/>
      <c r="BQ1210" s="182"/>
      <c r="BR1210" s="182"/>
      <c r="BS1210" s="182"/>
      <c r="BT1210" s="182"/>
      <c r="BU1210" s="182"/>
      <c r="BV1210" s="182"/>
      <c r="BW1210" s="182"/>
      <c r="BX1210" s="182"/>
      <c r="BY1210" s="182"/>
      <c r="BZ1210" s="182"/>
      <c r="CA1210" s="182"/>
      <c r="CB1210" s="185">
        <v>40900</v>
      </c>
      <c r="CC1210" s="185">
        <v>0</v>
      </c>
      <c r="CD1210" s="185">
        <v>2558</v>
      </c>
      <c r="CE1210" s="185"/>
    </row>
    <row r="1211" spans="2:83" x14ac:dyDescent="0.3">
      <c r="B1211" s="182">
        <v>4623</v>
      </c>
      <c r="C1211" s="182">
        <v>2559</v>
      </c>
      <c r="D1211" s="182" t="s">
        <v>121</v>
      </c>
      <c r="E1211" s="181" t="s">
        <v>4408</v>
      </c>
      <c r="F1211" s="182"/>
      <c r="G1211" s="182">
        <v>2500</v>
      </c>
      <c r="H1211" s="182"/>
      <c r="I1211" s="182"/>
      <c r="J1211" s="182"/>
      <c r="K1211" s="182"/>
      <c r="L1211" s="182"/>
      <c r="M1211" s="182"/>
      <c r="N1211" s="182"/>
      <c r="O1211" s="182"/>
      <c r="P1211" s="182"/>
      <c r="Q1211" s="182"/>
      <c r="R1211" s="182"/>
      <c r="S1211" s="182"/>
      <c r="T1211" s="182"/>
      <c r="U1211" s="182"/>
      <c r="V1211" s="182"/>
      <c r="W1211" s="182"/>
      <c r="X1211" s="182"/>
      <c r="Y1211" s="182"/>
      <c r="Z1211" s="182"/>
      <c r="AA1211" s="182"/>
      <c r="AB1211" s="182"/>
      <c r="AC1211" s="182"/>
      <c r="AD1211" s="182"/>
      <c r="AE1211" s="182"/>
      <c r="AF1211" s="182"/>
      <c r="AG1211" s="182"/>
      <c r="AH1211" s="182"/>
      <c r="AI1211" s="182"/>
      <c r="AJ1211" s="182"/>
      <c r="AK1211" s="182"/>
      <c r="AL1211" s="182"/>
      <c r="AM1211" s="182"/>
      <c r="AN1211" s="182"/>
      <c r="AO1211" s="182"/>
      <c r="AP1211" s="182"/>
      <c r="AQ1211" s="185">
        <v>2500</v>
      </c>
      <c r="AR1211" s="182">
        <v>2231.6</v>
      </c>
      <c r="AS1211" s="182">
        <v>268.39999999999998</v>
      </c>
      <c r="AT1211" s="182"/>
      <c r="AU1211" s="182"/>
      <c r="AV1211" s="182"/>
      <c r="AW1211" s="182"/>
      <c r="AX1211" s="182"/>
      <c r="AY1211" s="182"/>
      <c r="AZ1211" s="182"/>
      <c r="BA1211" s="182"/>
      <c r="BB1211" s="182"/>
      <c r="BC1211" s="182"/>
      <c r="BD1211" s="182"/>
      <c r="BE1211" s="182"/>
      <c r="BF1211" s="182"/>
      <c r="BG1211" s="182"/>
      <c r="BH1211" s="182"/>
      <c r="BI1211" s="182"/>
      <c r="BJ1211" s="182"/>
      <c r="BK1211" s="182"/>
      <c r="BL1211" s="182"/>
      <c r="BM1211" s="182"/>
      <c r="BN1211" s="182"/>
      <c r="BO1211" s="182"/>
      <c r="BP1211" s="182"/>
      <c r="BQ1211" s="182"/>
      <c r="BR1211" s="182"/>
      <c r="BS1211" s="182"/>
      <c r="BT1211" s="182"/>
      <c r="BU1211" s="182"/>
      <c r="BV1211" s="182"/>
      <c r="BW1211" s="182"/>
      <c r="BX1211" s="182"/>
      <c r="BY1211" s="182"/>
      <c r="BZ1211" s="182"/>
      <c r="CA1211" s="182"/>
      <c r="CB1211" s="185">
        <v>2500</v>
      </c>
      <c r="CC1211" s="185">
        <v>0</v>
      </c>
      <c r="CD1211" s="185">
        <v>2559</v>
      </c>
      <c r="CE1211" s="185"/>
    </row>
    <row r="1212" spans="2:83" x14ac:dyDescent="0.3">
      <c r="B1212" s="182">
        <v>4627</v>
      </c>
      <c r="C1212" s="182">
        <v>2560</v>
      </c>
      <c r="D1212" s="182" t="s">
        <v>121</v>
      </c>
      <c r="E1212" s="181" t="s">
        <v>4408</v>
      </c>
      <c r="F1212" s="182"/>
      <c r="G1212" s="182">
        <v>5000</v>
      </c>
      <c r="H1212" s="182"/>
      <c r="I1212" s="182"/>
      <c r="J1212" s="182"/>
      <c r="K1212" s="182"/>
      <c r="L1212" s="182"/>
      <c r="M1212" s="182"/>
      <c r="N1212" s="182"/>
      <c r="O1212" s="182"/>
      <c r="P1212" s="182"/>
      <c r="Q1212" s="182"/>
      <c r="R1212" s="182"/>
      <c r="S1212" s="182"/>
      <c r="T1212" s="182"/>
      <c r="U1212" s="182"/>
      <c r="V1212" s="182"/>
      <c r="W1212" s="182"/>
      <c r="X1212" s="182"/>
      <c r="Y1212" s="182"/>
      <c r="Z1212" s="182"/>
      <c r="AA1212" s="182"/>
      <c r="AB1212" s="182"/>
      <c r="AC1212" s="182"/>
      <c r="AD1212" s="182"/>
      <c r="AE1212" s="182"/>
      <c r="AF1212" s="182"/>
      <c r="AG1212" s="182"/>
      <c r="AH1212" s="182"/>
      <c r="AI1212" s="182"/>
      <c r="AJ1212" s="182"/>
      <c r="AK1212" s="182"/>
      <c r="AL1212" s="182"/>
      <c r="AM1212" s="182"/>
      <c r="AN1212" s="182"/>
      <c r="AO1212" s="182"/>
      <c r="AP1212" s="182"/>
      <c r="AQ1212" s="185">
        <v>5000</v>
      </c>
      <c r="AR1212" s="182">
        <v>4463.2</v>
      </c>
      <c r="AS1212" s="182">
        <v>536.79999999999995</v>
      </c>
      <c r="AT1212" s="182"/>
      <c r="AU1212" s="182"/>
      <c r="AV1212" s="182"/>
      <c r="AW1212" s="182"/>
      <c r="AX1212" s="182"/>
      <c r="AY1212" s="182"/>
      <c r="AZ1212" s="182"/>
      <c r="BA1212" s="182"/>
      <c r="BB1212" s="182"/>
      <c r="BC1212" s="182"/>
      <c r="BD1212" s="182"/>
      <c r="BE1212" s="182"/>
      <c r="BF1212" s="182"/>
      <c r="BG1212" s="182"/>
      <c r="BH1212" s="182"/>
      <c r="BI1212" s="182"/>
      <c r="BJ1212" s="182"/>
      <c r="BK1212" s="182"/>
      <c r="BL1212" s="182"/>
      <c r="BM1212" s="182"/>
      <c r="BN1212" s="182"/>
      <c r="BO1212" s="182"/>
      <c r="BP1212" s="182"/>
      <c r="BQ1212" s="182"/>
      <c r="BR1212" s="182"/>
      <c r="BS1212" s="182"/>
      <c r="BT1212" s="182"/>
      <c r="BU1212" s="182"/>
      <c r="BV1212" s="182"/>
      <c r="BW1212" s="182"/>
      <c r="BX1212" s="182"/>
      <c r="BY1212" s="182"/>
      <c r="BZ1212" s="182"/>
      <c r="CA1212" s="182"/>
      <c r="CB1212" s="185">
        <v>5000</v>
      </c>
      <c r="CC1212" s="185">
        <v>0</v>
      </c>
      <c r="CD1212" s="185">
        <v>2560</v>
      </c>
      <c r="CE1212" s="185"/>
    </row>
    <row r="1213" spans="2:83" x14ac:dyDescent="0.3">
      <c r="B1213" s="182">
        <v>4625</v>
      </c>
      <c r="C1213" s="182">
        <v>2561</v>
      </c>
      <c r="D1213" s="182" t="s">
        <v>121</v>
      </c>
      <c r="E1213" s="181" t="s">
        <v>4405</v>
      </c>
      <c r="F1213" s="182"/>
      <c r="G1213" s="182">
        <v>5400</v>
      </c>
      <c r="H1213" s="182"/>
      <c r="I1213" s="182"/>
      <c r="J1213" s="182"/>
      <c r="K1213" s="182"/>
      <c r="L1213" s="182"/>
      <c r="M1213" s="182"/>
      <c r="N1213" s="182"/>
      <c r="O1213" s="182"/>
      <c r="P1213" s="182"/>
      <c r="Q1213" s="182"/>
      <c r="R1213" s="182"/>
      <c r="S1213" s="182"/>
      <c r="T1213" s="182"/>
      <c r="U1213" s="182"/>
      <c r="V1213" s="182"/>
      <c r="W1213" s="182"/>
      <c r="X1213" s="182"/>
      <c r="Y1213" s="182"/>
      <c r="Z1213" s="182"/>
      <c r="AA1213" s="182"/>
      <c r="AB1213" s="182"/>
      <c r="AC1213" s="182"/>
      <c r="AD1213" s="182"/>
      <c r="AE1213" s="182"/>
      <c r="AF1213" s="182"/>
      <c r="AG1213" s="182"/>
      <c r="AH1213" s="182"/>
      <c r="AI1213" s="182"/>
      <c r="AJ1213" s="182"/>
      <c r="AK1213" s="182"/>
      <c r="AL1213" s="182"/>
      <c r="AM1213" s="182"/>
      <c r="AN1213" s="182"/>
      <c r="AO1213" s="182"/>
      <c r="AP1213" s="182"/>
      <c r="AQ1213" s="185">
        <v>5400</v>
      </c>
      <c r="AR1213" s="182">
        <v>4821</v>
      </c>
      <c r="AS1213" s="182">
        <v>579</v>
      </c>
      <c r="AT1213" s="182"/>
      <c r="AU1213" s="182"/>
      <c r="AV1213" s="182"/>
      <c r="AW1213" s="182"/>
      <c r="AX1213" s="182"/>
      <c r="AY1213" s="182"/>
      <c r="AZ1213" s="182"/>
      <c r="BA1213" s="182"/>
      <c r="BB1213" s="182"/>
      <c r="BC1213" s="182"/>
      <c r="BD1213" s="182"/>
      <c r="BE1213" s="182"/>
      <c r="BF1213" s="182"/>
      <c r="BG1213" s="182"/>
      <c r="BH1213" s="182"/>
      <c r="BI1213" s="182"/>
      <c r="BJ1213" s="182"/>
      <c r="BK1213" s="182"/>
      <c r="BL1213" s="182"/>
      <c r="BM1213" s="182"/>
      <c r="BN1213" s="182"/>
      <c r="BO1213" s="182"/>
      <c r="BP1213" s="182"/>
      <c r="BQ1213" s="182"/>
      <c r="BR1213" s="182"/>
      <c r="BS1213" s="182"/>
      <c r="BT1213" s="182"/>
      <c r="BU1213" s="182"/>
      <c r="BV1213" s="182"/>
      <c r="BW1213" s="182"/>
      <c r="BX1213" s="182"/>
      <c r="BY1213" s="182"/>
      <c r="BZ1213" s="182"/>
      <c r="CA1213" s="182"/>
      <c r="CB1213" s="185">
        <v>5400</v>
      </c>
      <c r="CC1213" s="185">
        <v>0</v>
      </c>
      <c r="CD1213" s="185">
        <v>2561</v>
      </c>
      <c r="CE1213" s="185"/>
    </row>
    <row r="1214" spans="2:83" x14ac:dyDescent="0.3">
      <c r="B1214" s="182">
        <v>4626</v>
      </c>
      <c r="C1214" s="182">
        <v>2562</v>
      </c>
      <c r="D1214" s="182" t="s">
        <v>121</v>
      </c>
      <c r="E1214" s="181" t="s">
        <v>4405</v>
      </c>
      <c r="F1214" s="182"/>
      <c r="G1214" s="182">
        <v>950</v>
      </c>
      <c r="H1214" s="182"/>
      <c r="I1214" s="182"/>
      <c r="J1214" s="182"/>
      <c r="K1214" s="182"/>
      <c r="L1214" s="182"/>
      <c r="M1214" s="182"/>
      <c r="N1214" s="182"/>
      <c r="O1214" s="182"/>
      <c r="P1214" s="182"/>
      <c r="Q1214" s="182"/>
      <c r="R1214" s="182"/>
      <c r="S1214" s="182"/>
      <c r="T1214" s="182"/>
      <c r="U1214" s="182"/>
      <c r="V1214" s="182"/>
      <c r="W1214" s="182"/>
      <c r="X1214" s="182"/>
      <c r="Y1214" s="182"/>
      <c r="Z1214" s="182"/>
      <c r="AA1214" s="182"/>
      <c r="AB1214" s="182"/>
      <c r="AC1214" s="182"/>
      <c r="AD1214" s="182"/>
      <c r="AE1214" s="182"/>
      <c r="AF1214" s="182"/>
      <c r="AG1214" s="182"/>
      <c r="AH1214" s="182"/>
      <c r="AI1214" s="182"/>
      <c r="AJ1214" s="182"/>
      <c r="AK1214" s="182"/>
      <c r="AL1214" s="182"/>
      <c r="AM1214" s="182"/>
      <c r="AN1214" s="182"/>
      <c r="AO1214" s="182"/>
      <c r="AP1214" s="182"/>
      <c r="AQ1214" s="185">
        <v>950</v>
      </c>
      <c r="AR1214" s="182">
        <v>848.7</v>
      </c>
      <c r="AS1214" s="182">
        <v>101.3</v>
      </c>
      <c r="AT1214" s="182"/>
      <c r="AU1214" s="182"/>
      <c r="AV1214" s="182"/>
      <c r="AW1214" s="182"/>
      <c r="AX1214" s="182"/>
      <c r="AY1214" s="182"/>
      <c r="AZ1214" s="182"/>
      <c r="BA1214" s="182"/>
      <c r="BB1214" s="182"/>
      <c r="BC1214" s="182"/>
      <c r="BD1214" s="182"/>
      <c r="BE1214" s="182"/>
      <c r="BF1214" s="182"/>
      <c r="BG1214" s="182"/>
      <c r="BH1214" s="182"/>
      <c r="BI1214" s="182"/>
      <c r="BJ1214" s="182"/>
      <c r="BK1214" s="182"/>
      <c r="BL1214" s="182"/>
      <c r="BM1214" s="182"/>
      <c r="BN1214" s="182"/>
      <c r="BO1214" s="182"/>
      <c r="BP1214" s="182"/>
      <c r="BQ1214" s="182"/>
      <c r="BR1214" s="182"/>
      <c r="BS1214" s="182"/>
      <c r="BT1214" s="182"/>
      <c r="BU1214" s="182"/>
      <c r="BV1214" s="182"/>
      <c r="BW1214" s="182"/>
      <c r="BX1214" s="182"/>
      <c r="BY1214" s="182"/>
      <c r="BZ1214" s="182"/>
      <c r="CA1214" s="182"/>
      <c r="CB1214" s="185">
        <v>950</v>
      </c>
      <c r="CC1214" s="185">
        <v>0</v>
      </c>
      <c r="CD1214" s="185">
        <v>2562</v>
      </c>
      <c r="CE1214" s="185"/>
    </row>
    <row r="1215" spans="2:83" x14ac:dyDescent="0.3">
      <c r="B1215" s="182">
        <v>4624</v>
      </c>
      <c r="C1215" s="182">
        <v>2563</v>
      </c>
      <c r="D1215" s="182" t="s">
        <v>121</v>
      </c>
      <c r="E1215" s="181" t="s">
        <v>4405</v>
      </c>
      <c r="F1215" s="182"/>
      <c r="G1215" s="182">
        <v>7800</v>
      </c>
      <c r="H1215" s="182"/>
      <c r="I1215" s="182"/>
      <c r="J1215" s="182"/>
      <c r="K1215" s="182"/>
      <c r="L1215" s="182"/>
      <c r="M1215" s="182"/>
      <c r="N1215" s="182"/>
      <c r="O1215" s="182"/>
      <c r="P1215" s="182"/>
      <c r="Q1215" s="182"/>
      <c r="R1215" s="182"/>
      <c r="S1215" s="182"/>
      <c r="T1215" s="182"/>
      <c r="U1215" s="182"/>
      <c r="V1215" s="182"/>
      <c r="W1215" s="182"/>
      <c r="X1215" s="182"/>
      <c r="Y1215" s="182"/>
      <c r="Z1215" s="182"/>
      <c r="AA1215" s="182"/>
      <c r="AB1215" s="182"/>
      <c r="AC1215" s="182"/>
      <c r="AD1215" s="182"/>
      <c r="AE1215" s="182"/>
      <c r="AF1215" s="182"/>
      <c r="AG1215" s="182"/>
      <c r="AH1215" s="182"/>
      <c r="AI1215" s="182"/>
      <c r="AJ1215" s="182"/>
      <c r="AK1215" s="182"/>
      <c r="AL1215" s="182"/>
      <c r="AM1215" s="182"/>
      <c r="AN1215" s="182"/>
      <c r="AO1215" s="182"/>
      <c r="AP1215" s="182"/>
      <c r="AQ1215" s="185">
        <v>7800</v>
      </c>
      <c r="AR1215" s="182">
        <v>6963.25</v>
      </c>
      <c r="AS1215" s="182">
        <v>836.75</v>
      </c>
      <c r="AT1215" s="182"/>
      <c r="AU1215" s="182"/>
      <c r="AV1215" s="182"/>
      <c r="AW1215" s="182"/>
      <c r="AX1215" s="182"/>
      <c r="AY1215" s="182"/>
      <c r="AZ1215" s="182"/>
      <c r="BA1215" s="182"/>
      <c r="BB1215" s="182"/>
      <c r="BC1215" s="182"/>
      <c r="BD1215" s="182"/>
      <c r="BE1215" s="182"/>
      <c r="BF1215" s="182"/>
      <c r="BG1215" s="182"/>
      <c r="BH1215" s="182"/>
      <c r="BI1215" s="182"/>
      <c r="BJ1215" s="182"/>
      <c r="BK1215" s="182"/>
      <c r="BL1215" s="182"/>
      <c r="BM1215" s="182"/>
      <c r="BN1215" s="182"/>
      <c r="BO1215" s="182"/>
      <c r="BP1215" s="182"/>
      <c r="BQ1215" s="182"/>
      <c r="BR1215" s="182"/>
      <c r="BS1215" s="182"/>
      <c r="BT1215" s="182"/>
      <c r="BU1215" s="182"/>
      <c r="BV1215" s="182"/>
      <c r="BW1215" s="182"/>
      <c r="BX1215" s="182"/>
      <c r="BY1215" s="182"/>
      <c r="BZ1215" s="182"/>
      <c r="CA1215" s="182"/>
      <c r="CB1215" s="185">
        <v>7800</v>
      </c>
      <c r="CC1215" s="185">
        <v>0</v>
      </c>
      <c r="CD1215" s="185">
        <v>2563</v>
      </c>
      <c r="CE1215" s="185"/>
    </row>
    <row r="1216" spans="2:83" x14ac:dyDescent="0.3">
      <c r="B1216" s="182">
        <v>4622</v>
      </c>
      <c r="C1216" s="182">
        <v>2564</v>
      </c>
      <c r="D1216" s="182" t="s">
        <v>121</v>
      </c>
      <c r="E1216" s="181" t="s">
        <v>4409</v>
      </c>
      <c r="F1216" s="182"/>
      <c r="G1216" s="182">
        <v>2500</v>
      </c>
      <c r="H1216" s="182"/>
      <c r="I1216" s="182"/>
      <c r="J1216" s="182"/>
      <c r="K1216" s="182"/>
      <c r="L1216" s="182"/>
      <c r="M1216" s="182"/>
      <c r="N1216" s="182"/>
      <c r="O1216" s="182"/>
      <c r="P1216" s="182"/>
      <c r="Q1216" s="182"/>
      <c r="R1216" s="182"/>
      <c r="S1216" s="182"/>
      <c r="T1216" s="182"/>
      <c r="U1216" s="182"/>
      <c r="V1216" s="182"/>
      <c r="W1216" s="182"/>
      <c r="X1216" s="182"/>
      <c r="Y1216" s="182"/>
      <c r="Z1216" s="182"/>
      <c r="AA1216" s="182"/>
      <c r="AB1216" s="182"/>
      <c r="AC1216" s="182"/>
      <c r="AD1216" s="182"/>
      <c r="AE1216" s="182"/>
      <c r="AF1216" s="182"/>
      <c r="AG1216" s="182"/>
      <c r="AH1216" s="182"/>
      <c r="AI1216" s="182"/>
      <c r="AJ1216" s="182"/>
      <c r="AK1216" s="182"/>
      <c r="AL1216" s="182"/>
      <c r="AM1216" s="182"/>
      <c r="AN1216" s="182"/>
      <c r="AO1216" s="182"/>
      <c r="AP1216" s="182"/>
      <c r="AQ1216" s="185">
        <v>2500</v>
      </c>
      <c r="AR1216" s="182">
        <v>2231.6</v>
      </c>
      <c r="AS1216" s="182">
        <v>268.39999999999998</v>
      </c>
      <c r="AT1216" s="182"/>
      <c r="AU1216" s="182"/>
      <c r="AV1216" s="182"/>
      <c r="AW1216" s="182"/>
      <c r="AX1216" s="182"/>
      <c r="AY1216" s="182"/>
      <c r="AZ1216" s="182"/>
      <c r="BA1216" s="182"/>
      <c r="BB1216" s="182"/>
      <c r="BC1216" s="182"/>
      <c r="BD1216" s="182"/>
      <c r="BE1216" s="182"/>
      <c r="BF1216" s="182"/>
      <c r="BG1216" s="182"/>
      <c r="BH1216" s="182"/>
      <c r="BI1216" s="182"/>
      <c r="BJ1216" s="182"/>
      <c r="BK1216" s="182"/>
      <c r="BL1216" s="182"/>
      <c r="BM1216" s="182"/>
      <c r="BN1216" s="182"/>
      <c r="BO1216" s="182"/>
      <c r="BP1216" s="182"/>
      <c r="BQ1216" s="182"/>
      <c r="BR1216" s="182"/>
      <c r="BS1216" s="182"/>
      <c r="BT1216" s="182"/>
      <c r="BU1216" s="182"/>
      <c r="BV1216" s="182"/>
      <c r="BW1216" s="182"/>
      <c r="BX1216" s="182"/>
      <c r="BY1216" s="182"/>
      <c r="BZ1216" s="182"/>
      <c r="CA1216" s="182"/>
      <c r="CB1216" s="185">
        <v>2500</v>
      </c>
      <c r="CC1216" s="185">
        <v>0</v>
      </c>
      <c r="CD1216" s="185">
        <v>2564</v>
      </c>
      <c r="CE1216" s="185"/>
    </row>
    <row r="1217" spans="2:83" x14ac:dyDescent="0.3">
      <c r="B1217" s="182">
        <v>4621</v>
      </c>
      <c r="C1217" s="182">
        <v>2565</v>
      </c>
      <c r="D1217" s="182" t="s">
        <v>121</v>
      </c>
      <c r="E1217" s="181" t="s">
        <v>4409</v>
      </c>
      <c r="F1217" s="182"/>
      <c r="G1217" s="182">
        <v>15000</v>
      </c>
      <c r="H1217" s="182"/>
      <c r="I1217" s="182"/>
      <c r="J1217" s="182"/>
      <c r="K1217" s="182"/>
      <c r="L1217" s="182"/>
      <c r="M1217" s="182"/>
      <c r="N1217" s="182"/>
      <c r="O1217" s="182"/>
      <c r="P1217" s="182"/>
      <c r="Q1217" s="182"/>
      <c r="R1217" s="182"/>
      <c r="S1217" s="182"/>
      <c r="T1217" s="182"/>
      <c r="U1217" s="182"/>
      <c r="V1217" s="182"/>
      <c r="W1217" s="182"/>
      <c r="X1217" s="182"/>
      <c r="Y1217" s="182"/>
      <c r="Z1217" s="182"/>
      <c r="AA1217" s="182"/>
      <c r="AB1217" s="182"/>
      <c r="AC1217" s="182"/>
      <c r="AD1217" s="182"/>
      <c r="AE1217" s="182"/>
      <c r="AF1217" s="182"/>
      <c r="AG1217" s="182"/>
      <c r="AH1217" s="182"/>
      <c r="AI1217" s="182"/>
      <c r="AJ1217" s="182"/>
      <c r="AK1217" s="182"/>
      <c r="AL1217" s="182"/>
      <c r="AM1217" s="182"/>
      <c r="AN1217" s="182"/>
      <c r="AO1217" s="182"/>
      <c r="AP1217" s="182"/>
      <c r="AQ1217" s="185">
        <v>15000</v>
      </c>
      <c r="AR1217" s="182">
        <v>13389.6</v>
      </c>
      <c r="AS1217" s="182">
        <v>1610.4</v>
      </c>
      <c r="AT1217" s="182"/>
      <c r="AU1217" s="182"/>
      <c r="AV1217" s="182"/>
      <c r="AW1217" s="182"/>
      <c r="AX1217" s="182"/>
      <c r="AY1217" s="182"/>
      <c r="AZ1217" s="182"/>
      <c r="BA1217" s="182"/>
      <c r="BB1217" s="182"/>
      <c r="BC1217" s="182"/>
      <c r="BD1217" s="182"/>
      <c r="BE1217" s="182"/>
      <c r="BF1217" s="182"/>
      <c r="BG1217" s="182"/>
      <c r="BH1217" s="182"/>
      <c r="BI1217" s="182"/>
      <c r="BJ1217" s="182"/>
      <c r="BK1217" s="182"/>
      <c r="BL1217" s="182"/>
      <c r="BM1217" s="182"/>
      <c r="BN1217" s="182"/>
      <c r="BO1217" s="182"/>
      <c r="BP1217" s="182"/>
      <c r="BQ1217" s="182"/>
      <c r="BR1217" s="182"/>
      <c r="BS1217" s="182"/>
      <c r="BT1217" s="182"/>
      <c r="BU1217" s="182"/>
      <c r="BV1217" s="182"/>
      <c r="BW1217" s="182"/>
      <c r="BX1217" s="182"/>
      <c r="BY1217" s="182"/>
      <c r="BZ1217" s="182"/>
      <c r="CA1217" s="182"/>
      <c r="CB1217" s="185">
        <v>15000</v>
      </c>
      <c r="CC1217" s="185">
        <v>0</v>
      </c>
      <c r="CD1217" s="185">
        <v>2565</v>
      </c>
      <c r="CE1217" s="185"/>
    </row>
    <row r="1218" spans="2:83" x14ac:dyDescent="0.3">
      <c r="B1218" s="182">
        <v>4566</v>
      </c>
      <c r="C1218" s="182">
        <v>2566</v>
      </c>
      <c r="D1218" s="182" t="s">
        <v>121</v>
      </c>
      <c r="E1218" s="181" t="s">
        <v>4410</v>
      </c>
      <c r="F1218" s="182"/>
      <c r="G1218" s="182">
        <v>1000</v>
      </c>
      <c r="H1218" s="182"/>
      <c r="I1218" s="182"/>
      <c r="J1218" s="182"/>
      <c r="K1218" s="182"/>
      <c r="L1218" s="182"/>
      <c r="M1218" s="182"/>
      <c r="N1218" s="182"/>
      <c r="O1218" s="182"/>
      <c r="P1218" s="182"/>
      <c r="Q1218" s="182"/>
      <c r="R1218" s="182"/>
      <c r="S1218" s="182"/>
      <c r="T1218" s="182"/>
      <c r="U1218" s="182"/>
      <c r="V1218" s="182"/>
      <c r="W1218" s="182"/>
      <c r="X1218" s="182"/>
      <c r="Y1218" s="182"/>
      <c r="Z1218" s="182"/>
      <c r="AA1218" s="182"/>
      <c r="AB1218" s="182"/>
      <c r="AC1218" s="182"/>
      <c r="AD1218" s="182"/>
      <c r="AE1218" s="182"/>
      <c r="AF1218" s="182"/>
      <c r="AG1218" s="182"/>
      <c r="AH1218" s="182"/>
      <c r="AI1218" s="182"/>
      <c r="AJ1218" s="182"/>
      <c r="AK1218" s="182"/>
      <c r="AL1218" s="182"/>
      <c r="AM1218" s="182"/>
      <c r="AN1218" s="182"/>
      <c r="AO1218" s="182"/>
      <c r="AP1218" s="182"/>
      <c r="AQ1218" s="185">
        <v>1000</v>
      </c>
      <c r="AR1218" s="182">
        <v>894.1</v>
      </c>
      <c r="AS1218" s="182">
        <v>105.9</v>
      </c>
      <c r="AT1218" s="182"/>
      <c r="AU1218" s="182"/>
      <c r="AV1218" s="182"/>
      <c r="AW1218" s="182"/>
      <c r="AX1218" s="182"/>
      <c r="AY1218" s="182"/>
      <c r="AZ1218" s="182"/>
      <c r="BA1218" s="182"/>
      <c r="BB1218" s="182"/>
      <c r="BC1218" s="182"/>
      <c r="BD1218" s="182"/>
      <c r="BE1218" s="182"/>
      <c r="BF1218" s="182"/>
      <c r="BG1218" s="182"/>
      <c r="BH1218" s="182"/>
      <c r="BI1218" s="182"/>
      <c r="BJ1218" s="182"/>
      <c r="BK1218" s="182"/>
      <c r="BL1218" s="182"/>
      <c r="BM1218" s="182"/>
      <c r="BN1218" s="182"/>
      <c r="BO1218" s="182"/>
      <c r="BP1218" s="182"/>
      <c r="BQ1218" s="182"/>
      <c r="BR1218" s="182"/>
      <c r="BS1218" s="182"/>
      <c r="BT1218" s="182"/>
      <c r="BU1218" s="182"/>
      <c r="BV1218" s="182"/>
      <c r="BW1218" s="182"/>
      <c r="BX1218" s="182"/>
      <c r="BY1218" s="182"/>
      <c r="BZ1218" s="182"/>
      <c r="CA1218" s="182"/>
      <c r="CB1218" s="185">
        <v>1000</v>
      </c>
      <c r="CC1218" s="185">
        <v>0</v>
      </c>
      <c r="CD1218" s="185">
        <v>2566</v>
      </c>
      <c r="CE1218" s="185"/>
    </row>
    <row r="1219" spans="2:83" x14ac:dyDescent="0.3">
      <c r="B1219" s="182">
        <v>4565</v>
      </c>
      <c r="C1219" s="182">
        <v>2567</v>
      </c>
      <c r="D1219" s="182" t="s">
        <v>121</v>
      </c>
      <c r="E1219" s="181" t="s">
        <v>4410</v>
      </c>
      <c r="F1219" s="182"/>
      <c r="G1219" s="182">
        <v>2500</v>
      </c>
      <c r="H1219" s="182"/>
      <c r="I1219" s="182"/>
      <c r="J1219" s="182"/>
      <c r="K1219" s="182"/>
      <c r="L1219" s="182"/>
      <c r="M1219" s="182"/>
      <c r="N1219" s="182"/>
      <c r="O1219" s="182"/>
      <c r="P1219" s="182"/>
      <c r="Q1219" s="182"/>
      <c r="R1219" s="182"/>
      <c r="S1219" s="182"/>
      <c r="T1219" s="182"/>
      <c r="U1219" s="182"/>
      <c r="V1219" s="182"/>
      <c r="W1219" s="182"/>
      <c r="X1219" s="182"/>
      <c r="Y1219" s="182"/>
      <c r="Z1219" s="182"/>
      <c r="AA1219" s="182"/>
      <c r="AB1219" s="182"/>
      <c r="AC1219" s="182"/>
      <c r="AD1219" s="182"/>
      <c r="AE1219" s="182"/>
      <c r="AF1219" s="182"/>
      <c r="AG1219" s="182"/>
      <c r="AH1219" s="182"/>
      <c r="AI1219" s="182"/>
      <c r="AJ1219" s="182"/>
      <c r="AK1219" s="182"/>
      <c r="AL1219" s="182"/>
      <c r="AM1219" s="182"/>
      <c r="AN1219" s="182"/>
      <c r="AO1219" s="182"/>
      <c r="AP1219" s="182"/>
      <c r="AQ1219" s="185">
        <v>2500</v>
      </c>
      <c r="AR1219" s="182">
        <v>2235.25</v>
      </c>
      <c r="AS1219" s="182">
        <v>264.75</v>
      </c>
      <c r="AT1219" s="182"/>
      <c r="AU1219" s="182"/>
      <c r="AV1219" s="182"/>
      <c r="AW1219" s="182"/>
      <c r="AX1219" s="182"/>
      <c r="AY1219" s="182"/>
      <c r="AZ1219" s="182"/>
      <c r="BA1219" s="182"/>
      <c r="BB1219" s="182"/>
      <c r="BC1219" s="182"/>
      <c r="BD1219" s="182"/>
      <c r="BE1219" s="182"/>
      <c r="BF1219" s="182"/>
      <c r="BG1219" s="182"/>
      <c r="BH1219" s="182"/>
      <c r="BI1219" s="182"/>
      <c r="BJ1219" s="182"/>
      <c r="BK1219" s="182"/>
      <c r="BL1219" s="182"/>
      <c r="BM1219" s="182"/>
      <c r="BN1219" s="182"/>
      <c r="BO1219" s="182"/>
      <c r="BP1219" s="182"/>
      <c r="BQ1219" s="182"/>
      <c r="BR1219" s="182"/>
      <c r="BS1219" s="182"/>
      <c r="BT1219" s="182"/>
      <c r="BU1219" s="182"/>
      <c r="BV1219" s="182"/>
      <c r="BW1219" s="182"/>
      <c r="BX1219" s="182"/>
      <c r="BY1219" s="182"/>
      <c r="BZ1219" s="182"/>
      <c r="CA1219" s="182"/>
      <c r="CB1219" s="185">
        <v>2500</v>
      </c>
      <c r="CC1219" s="185">
        <v>0</v>
      </c>
      <c r="CD1219" s="185">
        <v>2567</v>
      </c>
      <c r="CE1219" s="185"/>
    </row>
    <row r="1220" spans="2:83" x14ac:dyDescent="0.3">
      <c r="B1220" s="182">
        <v>4564</v>
      </c>
      <c r="C1220" s="182">
        <v>2568</v>
      </c>
      <c r="D1220" s="182" t="s">
        <v>121</v>
      </c>
      <c r="E1220" s="181" t="s">
        <v>4411</v>
      </c>
      <c r="F1220" s="182"/>
      <c r="G1220" s="182">
        <v>13850</v>
      </c>
      <c r="H1220" s="182"/>
      <c r="I1220" s="182"/>
      <c r="J1220" s="182"/>
      <c r="K1220" s="182"/>
      <c r="L1220" s="182"/>
      <c r="M1220" s="182"/>
      <c r="N1220" s="182"/>
      <c r="O1220" s="182"/>
      <c r="P1220" s="182"/>
      <c r="Q1220" s="182"/>
      <c r="R1220" s="182"/>
      <c r="S1220" s="182"/>
      <c r="T1220" s="182"/>
      <c r="U1220" s="182"/>
      <c r="V1220" s="182"/>
      <c r="W1220" s="182"/>
      <c r="X1220" s="182"/>
      <c r="Y1220" s="182"/>
      <c r="Z1220" s="182"/>
      <c r="AA1220" s="182"/>
      <c r="AB1220" s="182"/>
      <c r="AC1220" s="182"/>
      <c r="AD1220" s="182"/>
      <c r="AE1220" s="182"/>
      <c r="AF1220" s="182"/>
      <c r="AG1220" s="182"/>
      <c r="AH1220" s="182"/>
      <c r="AI1220" s="182"/>
      <c r="AJ1220" s="182"/>
      <c r="AK1220" s="182"/>
      <c r="AL1220" s="182"/>
      <c r="AM1220" s="182"/>
      <c r="AN1220" s="182"/>
      <c r="AO1220" s="182"/>
      <c r="AP1220" s="182"/>
      <c r="AQ1220" s="185">
        <v>13850</v>
      </c>
      <c r="AR1220" s="182">
        <v>12362.55</v>
      </c>
      <c r="AS1220" s="182">
        <v>1487.45</v>
      </c>
      <c r="AT1220" s="182"/>
      <c r="AU1220" s="182"/>
      <c r="AV1220" s="182"/>
      <c r="AW1220" s="182"/>
      <c r="AX1220" s="182"/>
      <c r="AY1220" s="182"/>
      <c r="AZ1220" s="182"/>
      <c r="BA1220" s="182"/>
      <c r="BB1220" s="182"/>
      <c r="BC1220" s="182"/>
      <c r="BD1220" s="182"/>
      <c r="BE1220" s="182"/>
      <c r="BF1220" s="182"/>
      <c r="BG1220" s="182"/>
      <c r="BH1220" s="182"/>
      <c r="BI1220" s="182"/>
      <c r="BJ1220" s="182"/>
      <c r="BK1220" s="182"/>
      <c r="BL1220" s="182"/>
      <c r="BM1220" s="182"/>
      <c r="BN1220" s="182"/>
      <c r="BO1220" s="182"/>
      <c r="BP1220" s="182"/>
      <c r="BQ1220" s="182"/>
      <c r="BR1220" s="182"/>
      <c r="BS1220" s="182"/>
      <c r="BT1220" s="182"/>
      <c r="BU1220" s="182"/>
      <c r="BV1220" s="182"/>
      <c r="BW1220" s="182"/>
      <c r="BX1220" s="182"/>
      <c r="BY1220" s="182"/>
      <c r="BZ1220" s="182"/>
      <c r="CA1220" s="182"/>
      <c r="CB1220" s="185">
        <v>13850</v>
      </c>
      <c r="CC1220" s="185">
        <v>0</v>
      </c>
      <c r="CD1220" s="185">
        <v>2568</v>
      </c>
      <c r="CE1220" s="185"/>
    </row>
    <row r="1221" spans="2:83" x14ac:dyDescent="0.3">
      <c r="B1221" s="182">
        <v>4563</v>
      </c>
      <c r="C1221" s="182">
        <v>2569</v>
      </c>
      <c r="D1221" s="182" t="s">
        <v>121</v>
      </c>
      <c r="E1221" s="181" t="s">
        <v>4411</v>
      </c>
      <c r="F1221" s="182"/>
      <c r="G1221" s="182">
        <v>7050</v>
      </c>
      <c r="H1221" s="182"/>
      <c r="I1221" s="182"/>
      <c r="J1221" s="182"/>
      <c r="K1221" s="182"/>
      <c r="L1221" s="182"/>
      <c r="M1221" s="182"/>
      <c r="N1221" s="182"/>
      <c r="O1221" s="182"/>
      <c r="P1221" s="182"/>
      <c r="Q1221" s="182"/>
      <c r="R1221" s="182"/>
      <c r="S1221" s="182"/>
      <c r="T1221" s="182"/>
      <c r="U1221" s="182"/>
      <c r="V1221" s="182"/>
      <c r="W1221" s="182"/>
      <c r="X1221" s="182"/>
      <c r="Y1221" s="182"/>
      <c r="Z1221" s="182"/>
      <c r="AA1221" s="182"/>
      <c r="AB1221" s="182"/>
      <c r="AC1221" s="182"/>
      <c r="AD1221" s="182"/>
      <c r="AE1221" s="182"/>
      <c r="AF1221" s="182"/>
      <c r="AG1221" s="182"/>
      <c r="AH1221" s="182"/>
      <c r="AI1221" s="182"/>
      <c r="AJ1221" s="182"/>
      <c r="AK1221" s="182"/>
      <c r="AL1221" s="182"/>
      <c r="AM1221" s="182"/>
      <c r="AN1221" s="182"/>
      <c r="AO1221" s="182"/>
      <c r="AP1221" s="182"/>
      <c r="AQ1221" s="185">
        <v>7050</v>
      </c>
      <c r="AR1221" s="182">
        <v>6292.85</v>
      </c>
      <c r="AS1221" s="182">
        <v>757.15</v>
      </c>
      <c r="AT1221" s="182"/>
      <c r="AU1221" s="182"/>
      <c r="AV1221" s="182"/>
      <c r="AW1221" s="182"/>
      <c r="AX1221" s="182"/>
      <c r="AY1221" s="182"/>
      <c r="AZ1221" s="182"/>
      <c r="BA1221" s="182"/>
      <c r="BB1221" s="182"/>
      <c r="BC1221" s="182"/>
      <c r="BD1221" s="182"/>
      <c r="BE1221" s="182"/>
      <c r="BF1221" s="182"/>
      <c r="BG1221" s="182"/>
      <c r="BH1221" s="182"/>
      <c r="BI1221" s="182"/>
      <c r="BJ1221" s="182"/>
      <c r="BK1221" s="182"/>
      <c r="BL1221" s="182"/>
      <c r="BM1221" s="182"/>
      <c r="BN1221" s="182"/>
      <c r="BO1221" s="182"/>
      <c r="BP1221" s="182"/>
      <c r="BQ1221" s="182"/>
      <c r="BR1221" s="182"/>
      <c r="BS1221" s="182"/>
      <c r="BT1221" s="182"/>
      <c r="BU1221" s="182"/>
      <c r="BV1221" s="182"/>
      <c r="BW1221" s="182"/>
      <c r="BX1221" s="182"/>
      <c r="BY1221" s="182"/>
      <c r="BZ1221" s="182"/>
      <c r="CA1221" s="182"/>
      <c r="CB1221" s="185">
        <v>7050</v>
      </c>
      <c r="CC1221" s="185">
        <v>0</v>
      </c>
      <c r="CD1221" s="185">
        <v>2569</v>
      </c>
      <c r="CE1221" s="185"/>
    </row>
    <row r="1222" spans="2:83" x14ac:dyDescent="0.3">
      <c r="B1222" s="182"/>
      <c r="C1222" s="182">
        <v>2570</v>
      </c>
      <c r="D1222" s="182" t="s">
        <v>332</v>
      </c>
      <c r="E1222" s="181" t="s">
        <v>4412</v>
      </c>
      <c r="F1222" s="182"/>
      <c r="G1222" s="182"/>
      <c r="H1222" s="182"/>
      <c r="I1222" s="182"/>
      <c r="J1222" s="182"/>
      <c r="K1222" s="182"/>
      <c r="L1222" s="182"/>
      <c r="M1222" s="182"/>
      <c r="N1222" s="182"/>
      <c r="O1222" s="182"/>
      <c r="P1222" s="182"/>
      <c r="Q1222" s="182"/>
      <c r="R1222" s="182"/>
      <c r="S1222" s="182"/>
      <c r="T1222" s="182"/>
      <c r="U1222" s="182"/>
      <c r="V1222" s="182"/>
      <c r="W1222" s="182"/>
      <c r="X1222" s="182"/>
      <c r="Y1222" s="182"/>
      <c r="Z1222" s="182"/>
      <c r="AA1222" s="182"/>
      <c r="AB1222" s="182"/>
      <c r="AC1222" s="182"/>
      <c r="AD1222" s="182"/>
      <c r="AE1222" s="182"/>
      <c r="AF1222" s="182"/>
      <c r="AG1222" s="182"/>
      <c r="AH1222" s="182"/>
      <c r="AI1222" s="182"/>
      <c r="AJ1222" s="182"/>
      <c r="AK1222" s="182"/>
      <c r="AL1222" s="182"/>
      <c r="AM1222" s="182"/>
      <c r="AN1222" s="182"/>
      <c r="AO1222" s="182"/>
      <c r="AP1222" s="182"/>
      <c r="AQ1222" s="185">
        <v>0</v>
      </c>
      <c r="AR1222" s="182"/>
      <c r="AS1222" s="182"/>
      <c r="AT1222" s="182"/>
      <c r="AU1222" s="182"/>
      <c r="AV1222" s="182"/>
      <c r="AW1222" s="182"/>
      <c r="AX1222" s="182"/>
      <c r="AY1222" s="182"/>
      <c r="AZ1222" s="182"/>
      <c r="BA1222" s="182"/>
      <c r="BB1222" s="182"/>
      <c r="BC1222" s="182"/>
      <c r="BD1222" s="182"/>
      <c r="BE1222" s="182"/>
      <c r="BF1222" s="182"/>
      <c r="BG1222" s="182"/>
      <c r="BH1222" s="182"/>
      <c r="BI1222" s="182"/>
      <c r="BJ1222" s="182"/>
      <c r="BK1222" s="182"/>
      <c r="BL1222" s="182"/>
      <c r="BM1222" s="182"/>
      <c r="BN1222" s="182"/>
      <c r="BO1222" s="182"/>
      <c r="BP1222" s="182"/>
      <c r="BQ1222" s="182"/>
      <c r="BR1222" s="182"/>
      <c r="BS1222" s="182"/>
      <c r="BT1222" s="182"/>
      <c r="BU1222" s="182"/>
      <c r="BV1222" s="182"/>
      <c r="BW1222" s="182"/>
      <c r="BX1222" s="182"/>
      <c r="BY1222" s="182"/>
      <c r="BZ1222" s="182"/>
      <c r="CA1222" s="182"/>
      <c r="CB1222" s="185">
        <v>0</v>
      </c>
      <c r="CC1222" s="185">
        <v>0</v>
      </c>
      <c r="CD1222" s="185">
        <v>2570</v>
      </c>
      <c r="CE1222" s="185"/>
    </row>
    <row r="1223" spans="2:83" x14ac:dyDescent="0.3">
      <c r="B1223" s="182"/>
      <c r="C1223" s="182">
        <v>2571</v>
      </c>
      <c r="D1223" s="182" t="s">
        <v>332</v>
      </c>
      <c r="E1223" s="181" t="s">
        <v>4412</v>
      </c>
      <c r="F1223" s="182"/>
      <c r="G1223" s="182"/>
      <c r="H1223" s="182"/>
      <c r="I1223" s="182"/>
      <c r="J1223" s="182"/>
      <c r="K1223" s="182"/>
      <c r="L1223" s="182"/>
      <c r="M1223" s="182"/>
      <c r="N1223" s="182"/>
      <c r="O1223" s="182"/>
      <c r="P1223" s="182"/>
      <c r="Q1223" s="182"/>
      <c r="R1223" s="182"/>
      <c r="S1223" s="182"/>
      <c r="T1223" s="182"/>
      <c r="U1223" s="182"/>
      <c r="V1223" s="182"/>
      <c r="W1223" s="182"/>
      <c r="X1223" s="182"/>
      <c r="Y1223" s="182"/>
      <c r="Z1223" s="182"/>
      <c r="AA1223" s="182"/>
      <c r="AB1223" s="182"/>
      <c r="AC1223" s="182"/>
      <c r="AD1223" s="182"/>
      <c r="AE1223" s="182"/>
      <c r="AF1223" s="182"/>
      <c r="AG1223" s="182"/>
      <c r="AH1223" s="182"/>
      <c r="AI1223" s="182"/>
      <c r="AJ1223" s="182"/>
      <c r="AK1223" s="182"/>
      <c r="AL1223" s="182"/>
      <c r="AM1223" s="182"/>
      <c r="AN1223" s="182"/>
      <c r="AO1223" s="182"/>
      <c r="AP1223" s="182"/>
      <c r="AQ1223" s="185">
        <v>0</v>
      </c>
      <c r="AR1223" s="182"/>
      <c r="AS1223" s="182"/>
      <c r="AT1223" s="182"/>
      <c r="AU1223" s="182"/>
      <c r="AV1223" s="182"/>
      <c r="AW1223" s="182"/>
      <c r="AX1223" s="182"/>
      <c r="AY1223" s="182"/>
      <c r="AZ1223" s="182"/>
      <c r="BA1223" s="182"/>
      <c r="BB1223" s="182"/>
      <c r="BC1223" s="182"/>
      <c r="BD1223" s="182"/>
      <c r="BE1223" s="182"/>
      <c r="BF1223" s="182"/>
      <c r="BG1223" s="182"/>
      <c r="BH1223" s="182"/>
      <c r="BI1223" s="182"/>
      <c r="BJ1223" s="182"/>
      <c r="BK1223" s="182"/>
      <c r="BL1223" s="182"/>
      <c r="BM1223" s="182"/>
      <c r="BN1223" s="182"/>
      <c r="BO1223" s="182"/>
      <c r="BP1223" s="182"/>
      <c r="BQ1223" s="182"/>
      <c r="BR1223" s="182"/>
      <c r="BS1223" s="182"/>
      <c r="BT1223" s="182"/>
      <c r="BU1223" s="182"/>
      <c r="BV1223" s="182"/>
      <c r="BW1223" s="182"/>
      <c r="BX1223" s="182"/>
      <c r="BY1223" s="182"/>
      <c r="BZ1223" s="182"/>
      <c r="CA1223" s="182"/>
      <c r="CB1223" s="185">
        <v>0</v>
      </c>
      <c r="CC1223" s="185">
        <v>0</v>
      </c>
      <c r="CD1223" s="185">
        <v>2571</v>
      </c>
      <c r="CE1223" s="185"/>
    </row>
    <row r="1224" spans="2:83" x14ac:dyDescent="0.3">
      <c r="B1224" s="182">
        <v>4562</v>
      </c>
      <c r="C1224" s="182">
        <v>2572</v>
      </c>
      <c r="D1224" s="182" t="s">
        <v>121</v>
      </c>
      <c r="E1224" s="181" t="s">
        <v>4413</v>
      </c>
      <c r="F1224" s="182"/>
      <c r="G1224" s="182">
        <v>3500</v>
      </c>
      <c r="H1224" s="182"/>
      <c r="I1224" s="182"/>
      <c r="J1224" s="182"/>
      <c r="K1224" s="182"/>
      <c r="L1224" s="182"/>
      <c r="M1224" s="182"/>
      <c r="N1224" s="182"/>
      <c r="O1224" s="182"/>
      <c r="P1224" s="182"/>
      <c r="Q1224" s="182"/>
      <c r="R1224" s="182"/>
      <c r="S1224" s="182"/>
      <c r="T1224" s="182"/>
      <c r="U1224" s="182"/>
      <c r="V1224" s="182"/>
      <c r="W1224" s="182"/>
      <c r="X1224" s="182"/>
      <c r="Y1224" s="182"/>
      <c r="Z1224" s="182"/>
      <c r="AA1224" s="182"/>
      <c r="AB1224" s="182"/>
      <c r="AC1224" s="182"/>
      <c r="AD1224" s="182"/>
      <c r="AE1224" s="182"/>
      <c r="AF1224" s="182"/>
      <c r="AG1224" s="182"/>
      <c r="AH1224" s="182"/>
      <c r="AI1224" s="182"/>
      <c r="AJ1224" s="182"/>
      <c r="AK1224" s="182"/>
      <c r="AL1224" s="182"/>
      <c r="AM1224" s="182"/>
      <c r="AN1224" s="182"/>
      <c r="AO1224" s="182"/>
      <c r="AP1224" s="182"/>
      <c r="AQ1224" s="185">
        <v>3500</v>
      </c>
      <c r="AR1224" s="182">
        <v>3124.1</v>
      </c>
      <c r="AS1224" s="182">
        <v>375.9</v>
      </c>
      <c r="AT1224" s="182"/>
      <c r="AU1224" s="182"/>
      <c r="AV1224" s="182"/>
      <c r="AW1224" s="182"/>
      <c r="AX1224" s="182"/>
      <c r="AY1224" s="182"/>
      <c r="AZ1224" s="182"/>
      <c r="BA1224" s="182"/>
      <c r="BB1224" s="182"/>
      <c r="BC1224" s="182"/>
      <c r="BD1224" s="182"/>
      <c r="BE1224" s="182"/>
      <c r="BF1224" s="182"/>
      <c r="BG1224" s="182"/>
      <c r="BH1224" s="182"/>
      <c r="BI1224" s="182"/>
      <c r="BJ1224" s="182"/>
      <c r="BK1224" s="182"/>
      <c r="BL1224" s="182"/>
      <c r="BM1224" s="182"/>
      <c r="BN1224" s="182"/>
      <c r="BO1224" s="182"/>
      <c r="BP1224" s="182"/>
      <c r="BQ1224" s="182"/>
      <c r="BR1224" s="182"/>
      <c r="BS1224" s="182"/>
      <c r="BT1224" s="182"/>
      <c r="BU1224" s="182"/>
      <c r="BV1224" s="182"/>
      <c r="BW1224" s="182"/>
      <c r="BX1224" s="182"/>
      <c r="BY1224" s="182"/>
      <c r="BZ1224" s="182"/>
      <c r="CA1224" s="182"/>
      <c r="CB1224" s="185">
        <v>3500</v>
      </c>
      <c r="CC1224" s="185">
        <v>0</v>
      </c>
      <c r="CD1224" s="185">
        <v>2572</v>
      </c>
      <c r="CE1224" s="185"/>
    </row>
    <row r="1225" spans="2:83" x14ac:dyDescent="0.3">
      <c r="B1225" s="182">
        <v>4568</v>
      </c>
      <c r="C1225" s="182">
        <v>2573</v>
      </c>
      <c r="D1225" s="182" t="s">
        <v>121</v>
      </c>
      <c r="E1225" s="181" t="s">
        <v>4414</v>
      </c>
      <c r="F1225" s="182"/>
      <c r="G1225" s="182">
        <v>12000</v>
      </c>
      <c r="H1225" s="182"/>
      <c r="I1225" s="182"/>
      <c r="J1225" s="182"/>
      <c r="K1225" s="182"/>
      <c r="L1225" s="182"/>
      <c r="M1225" s="182"/>
      <c r="N1225" s="182"/>
      <c r="O1225" s="182"/>
      <c r="P1225" s="182"/>
      <c r="Q1225" s="182"/>
      <c r="R1225" s="182"/>
      <c r="S1225" s="182"/>
      <c r="T1225" s="182"/>
      <c r="U1225" s="182"/>
      <c r="V1225" s="182"/>
      <c r="W1225" s="182"/>
      <c r="X1225" s="182"/>
      <c r="Y1225" s="182"/>
      <c r="Z1225" s="182"/>
      <c r="AA1225" s="182"/>
      <c r="AB1225" s="182"/>
      <c r="AC1225" s="182"/>
      <c r="AD1225" s="182"/>
      <c r="AE1225" s="182"/>
      <c r="AF1225" s="182"/>
      <c r="AG1225" s="182"/>
      <c r="AH1225" s="182"/>
      <c r="AI1225" s="182"/>
      <c r="AJ1225" s="182"/>
      <c r="AK1225" s="182"/>
      <c r="AL1225" s="182"/>
      <c r="AM1225" s="182"/>
      <c r="AN1225" s="182"/>
      <c r="AO1225" s="182"/>
      <c r="AP1225" s="182"/>
      <c r="AQ1225" s="185">
        <v>12000</v>
      </c>
      <c r="AR1225" s="182">
        <v>10711.05</v>
      </c>
      <c r="AS1225" s="182">
        <v>1288.95</v>
      </c>
      <c r="AT1225" s="182"/>
      <c r="AU1225" s="182"/>
      <c r="AV1225" s="182"/>
      <c r="AW1225" s="182"/>
      <c r="AX1225" s="182"/>
      <c r="AY1225" s="182"/>
      <c r="AZ1225" s="182"/>
      <c r="BA1225" s="182"/>
      <c r="BB1225" s="182"/>
      <c r="BC1225" s="182"/>
      <c r="BD1225" s="182"/>
      <c r="BE1225" s="182"/>
      <c r="BF1225" s="182"/>
      <c r="BG1225" s="182"/>
      <c r="BH1225" s="182"/>
      <c r="BI1225" s="182"/>
      <c r="BJ1225" s="182"/>
      <c r="BK1225" s="182"/>
      <c r="BL1225" s="182"/>
      <c r="BM1225" s="182"/>
      <c r="BN1225" s="182"/>
      <c r="BO1225" s="182"/>
      <c r="BP1225" s="182"/>
      <c r="BQ1225" s="182"/>
      <c r="BR1225" s="182"/>
      <c r="BS1225" s="182"/>
      <c r="BT1225" s="182"/>
      <c r="BU1225" s="182"/>
      <c r="BV1225" s="182"/>
      <c r="BW1225" s="182"/>
      <c r="BX1225" s="182"/>
      <c r="BY1225" s="182"/>
      <c r="BZ1225" s="182"/>
      <c r="CA1225" s="182"/>
      <c r="CB1225" s="185">
        <v>12000</v>
      </c>
      <c r="CC1225" s="185">
        <v>0</v>
      </c>
      <c r="CD1225" s="185">
        <v>2573</v>
      </c>
      <c r="CE1225" s="185"/>
    </row>
    <row r="1226" spans="2:83" x14ac:dyDescent="0.3">
      <c r="B1226" s="182">
        <v>4567</v>
      </c>
      <c r="C1226" s="182">
        <v>2574</v>
      </c>
      <c r="D1226" s="182" t="s">
        <v>121</v>
      </c>
      <c r="E1226" s="181" t="s">
        <v>4414</v>
      </c>
      <c r="F1226" s="182"/>
      <c r="G1226" s="182">
        <v>18500</v>
      </c>
      <c r="H1226" s="182"/>
      <c r="I1226" s="182"/>
      <c r="J1226" s="182"/>
      <c r="K1226" s="182"/>
      <c r="L1226" s="182"/>
      <c r="M1226" s="182"/>
      <c r="N1226" s="182"/>
      <c r="O1226" s="182"/>
      <c r="P1226" s="182"/>
      <c r="Q1226" s="182"/>
      <c r="R1226" s="182"/>
      <c r="S1226" s="182"/>
      <c r="T1226" s="182"/>
      <c r="U1226" s="182"/>
      <c r="V1226" s="182"/>
      <c r="W1226" s="182"/>
      <c r="X1226" s="182"/>
      <c r="Y1226" s="182"/>
      <c r="Z1226" s="182"/>
      <c r="AA1226" s="182"/>
      <c r="AB1226" s="182"/>
      <c r="AC1226" s="182"/>
      <c r="AD1226" s="182"/>
      <c r="AE1226" s="182"/>
      <c r="AF1226" s="182"/>
      <c r="AG1226" s="182"/>
      <c r="AH1226" s="182"/>
      <c r="AI1226" s="182"/>
      <c r="AJ1226" s="182"/>
      <c r="AK1226" s="182"/>
      <c r="AL1226" s="182"/>
      <c r="AM1226" s="182"/>
      <c r="AN1226" s="182"/>
      <c r="AO1226" s="182"/>
      <c r="AP1226" s="182"/>
      <c r="AQ1226" s="185">
        <v>18500</v>
      </c>
      <c r="AR1226" s="182">
        <v>16513</v>
      </c>
      <c r="AS1226" s="182">
        <v>1987</v>
      </c>
      <c r="AT1226" s="182"/>
      <c r="AU1226" s="182"/>
      <c r="AV1226" s="182"/>
      <c r="AW1226" s="182"/>
      <c r="AX1226" s="182"/>
      <c r="AY1226" s="182"/>
      <c r="AZ1226" s="182"/>
      <c r="BA1226" s="182"/>
      <c r="BB1226" s="182"/>
      <c r="BC1226" s="182"/>
      <c r="BD1226" s="182"/>
      <c r="BE1226" s="182"/>
      <c r="BF1226" s="182"/>
      <c r="BG1226" s="182"/>
      <c r="BH1226" s="182"/>
      <c r="BI1226" s="182"/>
      <c r="BJ1226" s="182"/>
      <c r="BK1226" s="182"/>
      <c r="BL1226" s="182"/>
      <c r="BM1226" s="182"/>
      <c r="BN1226" s="182"/>
      <c r="BO1226" s="182"/>
      <c r="BP1226" s="182"/>
      <c r="BQ1226" s="182"/>
      <c r="BR1226" s="182"/>
      <c r="BS1226" s="182"/>
      <c r="BT1226" s="182"/>
      <c r="BU1226" s="182"/>
      <c r="BV1226" s="182"/>
      <c r="BW1226" s="182"/>
      <c r="BX1226" s="182"/>
      <c r="BY1226" s="182"/>
      <c r="BZ1226" s="182"/>
      <c r="CA1226" s="182"/>
      <c r="CB1226" s="185">
        <v>18500</v>
      </c>
      <c r="CC1226" s="185">
        <v>0</v>
      </c>
      <c r="CD1226" s="185">
        <v>2574</v>
      </c>
      <c r="CE1226" s="185"/>
    </row>
    <row r="1227" spans="2:83" x14ac:dyDescent="0.3">
      <c r="B1227" s="182">
        <v>4572</v>
      </c>
      <c r="C1227" s="182">
        <v>2575</v>
      </c>
      <c r="D1227" s="182" t="s">
        <v>121</v>
      </c>
      <c r="E1227" s="181" t="s">
        <v>4415</v>
      </c>
      <c r="F1227" s="182"/>
      <c r="G1227" s="182">
        <v>2931.25</v>
      </c>
      <c r="H1227" s="182"/>
      <c r="I1227" s="182"/>
      <c r="J1227" s="182"/>
      <c r="K1227" s="182"/>
      <c r="L1227" s="182"/>
      <c r="M1227" s="182"/>
      <c r="N1227" s="182"/>
      <c r="O1227" s="182"/>
      <c r="P1227" s="182"/>
      <c r="Q1227" s="182"/>
      <c r="R1227" s="182"/>
      <c r="S1227" s="182"/>
      <c r="T1227" s="182"/>
      <c r="U1227" s="182"/>
      <c r="V1227" s="182"/>
      <c r="W1227" s="182"/>
      <c r="X1227" s="182"/>
      <c r="Y1227" s="182"/>
      <c r="Z1227" s="182"/>
      <c r="AA1227" s="182"/>
      <c r="AB1227" s="182"/>
      <c r="AC1227" s="182"/>
      <c r="AD1227" s="182"/>
      <c r="AE1227" s="182"/>
      <c r="AF1227" s="182"/>
      <c r="AG1227" s="182"/>
      <c r="AH1227" s="182"/>
      <c r="AI1227" s="182"/>
      <c r="AJ1227" s="182"/>
      <c r="AK1227" s="182"/>
      <c r="AL1227" s="182"/>
      <c r="AM1227" s="182"/>
      <c r="AN1227" s="182"/>
      <c r="AO1227" s="182"/>
      <c r="AP1227" s="182"/>
      <c r="AQ1227" s="185">
        <v>2931.25</v>
      </c>
      <c r="AR1227" s="182">
        <v>1958.65</v>
      </c>
      <c r="AS1227" s="182">
        <v>266.35000000000002</v>
      </c>
      <c r="AT1227" s="182">
        <v>706.25</v>
      </c>
      <c r="AU1227" s="182"/>
      <c r="AV1227" s="182"/>
      <c r="AW1227" s="182"/>
      <c r="AX1227" s="182"/>
      <c r="AY1227" s="182"/>
      <c r="AZ1227" s="182"/>
      <c r="BA1227" s="182"/>
      <c r="BB1227" s="182"/>
      <c r="BC1227" s="182"/>
      <c r="BD1227" s="182"/>
      <c r="BE1227" s="182"/>
      <c r="BF1227" s="182"/>
      <c r="BG1227" s="182"/>
      <c r="BH1227" s="182"/>
      <c r="BI1227" s="182"/>
      <c r="BJ1227" s="182"/>
      <c r="BK1227" s="182"/>
      <c r="BL1227" s="182"/>
      <c r="BM1227" s="182"/>
      <c r="BN1227" s="182"/>
      <c r="BO1227" s="182"/>
      <c r="BP1227" s="182"/>
      <c r="BQ1227" s="182"/>
      <c r="BR1227" s="182"/>
      <c r="BS1227" s="182"/>
      <c r="BT1227" s="182"/>
      <c r="BU1227" s="182"/>
      <c r="BV1227" s="182"/>
      <c r="BW1227" s="182"/>
      <c r="BX1227" s="182"/>
      <c r="BY1227" s="182"/>
      <c r="BZ1227" s="182"/>
      <c r="CA1227" s="182"/>
      <c r="CB1227" s="185">
        <v>2931.25</v>
      </c>
      <c r="CC1227" s="185">
        <v>0</v>
      </c>
      <c r="CD1227" s="185">
        <v>2575</v>
      </c>
      <c r="CE1227" s="185"/>
    </row>
    <row r="1228" spans="2:83" x14ac:dyDescent="0.3">
      <c r="B1228" s="182">
        <v>4574</v>
      </c>
      <c r="C1228" s="182">
        <v>2576</v>
      </c>
      <c r="D1228" s="182" t="s">
        <v>121</v>
      </c>
      <c r="E1228" s="181" t="s">
        <v>4415</v>
      </c>
      <c r="F1228" s="182"/>
      <c r="G1228" s="182">
        <v>5500</v>
      </c>
      <c r="H1228" s="182"/>
      <c r="I1228" s="182"/>
      <c r="J1228" s="182"/>
      <c r="K1228" s="182"/>
      <c r="L1228" s="182"/>
      <c r="M1228" s="182"/>
      <c r="N1228" s="182"/>
      <c r="O1228" s="182"/>
      <c r="P1228" s="182"/>
      <c r="Q1228" s="182"/>
      <c r="R1228" s="182"/>
      <c r="S1228" s="182"/>
      <c r="T1228" s="182"/>
      <c r="U1228" s="182"/>
      <c r="V1228" s="182"/>
      <c r="W1228" s="182"/>
      <c r="X1228" s="182"/>
      <c r="Y1228" s="182"/>
      <c r="Z1228" s="182"/>
      <c r="AA1228" s="182"/>
      <c r="AB1228" s="182"/>
      <c r="AC1228" s="182"/>
      <c r="AD1228" s="182"/>
      <c r="AE1228" s="182"/>
      <c r="AF1228" s="182"/>
      <c r="AG1228" s="182"/>
      <c r="AH1228" s="182"/>
      <c r="AI1228" s="182"/>
      <c r="AJ1228" s="182"/>
      <c r="AK1228" s="182"/>
      <c r="AL1228" s="182"/>
      <c r="AM1228" s="182"/>
      <c r="AN1228" s="182"/>
      <c r="AO1228" s="182"/>
      <c r="AP1228" s="182"/>
      <c r="AQ1228" s="185">
        <v>5500</v>
      </c>
      <c r="AR1228" s="182">
        <v>4909.45</v>
      </c>
      <c r="AS1228" s="182">
        <v>590.54999999999995</v>
      </c>
      <c r="AT1228" s="182"/>
      <c r="AU1228" s="182"/>
      <c r="AV1228" s="182"/>
      <c r="AW1228" s="182"/>
      <c r="AX1228" s="182"/>
      <c r="AY1228" s="182"/>
      <c r="AZ1228" s="182"/>
      <c r="BA1228" s="182"/>
      <c r="BB1228" s="182"/>
      <c r="BC1228" s="182"/>
      <c r="BD1228" s="182"/>
      <c r="BE1228" s="182"/>
      <c r="BF1228" s="182"/>
      <c r="BG1228" s="182"/>
      <c r="BH1228" s="182"/>
      <c r="BI1228" s="182"/>
      <c r="BJ1228" s="182"/>
      <c r="BK1228" s="182"/>
      <c r="BL1228" s="182"/>
      <c r="BM1228" s="182"/>
      <c r="BN1228" s="182"/>
      <c r="BO1228" s="182"/>
      <c r="BP1228" s="182"/>
      <c r="BQ1228" s="182"/>
      <c r="BR1228" s="182"/>
      <c r="BS1228" s="182"/>
      <c r="BT1228" s="182"/>
      <c r="BU1228" s="182"/>
      <c r="BV1228" s="182"/>
      <c r="BW1228" s="182"/>
      <c r="BX1228" s="182"/>
      <c r="BY1228" s="182"/>
      <c r="BZ1228" s="182"/>
      <c r="CA1228" s="182"/>
      <c r="CB1228" s="185">
        <v>5500</v>
      </c>
      <c r="CC1228" s="185">
        <v>0</v>
      </c>
      <c r="CD1228" s="185">
        <v>2576</v>
      </c>
      <c r="CE1228" s="185"/>
    </row>
    <row r="1229" spans="2:83" x14ac:dyDescent="0.3">
      <c r="B1229" s="182">
        <v>4573</v>
      </c>
      <c r="C1229" s="182">
        <v>2577</v>
      </c>
      <c r="D1229" s="182" t="s">
        <v>121</v>
      </c>
      <c r="E1229" s="181" t="s">
        <v>4415</v>
      </c>
      <c r="F1229" s="182"/>
      <c r="G1229" s="182">
        <v>4500</v>
      </c>
      <c r="H1229" s="182"/>
      <c r="I1229" s="182"/>
      <c r="J1229" s="182"/>
      <c r="K1229" s="182"/>
      <c r="L1229" s="182"/>
      <c r="M1229" s="182"/>
      <c r="N1229" s="182"/>
      <c r="O1229" s="182"/>
      <c r="P1229" s="182"/>
      <c r="Q1229" s="182"/>
      <c r="R1229" s="182"/>
      <c r="S1229" s="182"/>
      <c r="T1229" s="182"/>
      <c r="U1229" s="182"/>
      <c r="V1229" s="182"/>
      <c r="W1229" s="182"/>
      <c r="X1229" s="182"/>
      <c r="Y1229" s="182"/>
      <c r="Z1229" s="182"/>
      <c r="AA1229" s="182"/>
      <c r="AB1229" s="182"/>
      <c r="AC1229" s="182"/>
      <c r="AD1229" s="182"/>
      <c r="AE1229" s="182"/>
      <c r="AF1229" s="182"/>
      <c r="AG1229" s="182"/>
      <c r="AH1229" s="182"/>
      <c r="AI1229" s="182"/>
      <c r="AJ1229" s="182"/>
      <c r="AK1229" s="182"/>
      <c r="AL1229" s="182"/>
      <c r="AM1229" s="182"/>
      <c r="AN1229" s="182"/>
      <c r="AO1229" s="182"/>
      <c r="AP1229" s="182"/>
      <c r="AQ1229" s="185">
        <v>4500</v>
      </c>
      <c r="AR1229" s="182">
        <v>4016.6</v>
      </c>
      <c r="AS1229" s="182">
        <v>483.4</v>
      </c>
      <c r="AT1229" s="182"/>
      <c r="AU1229" s="182"/>
      <c r="AV1229" s="182"/>
      <c r="AW1229" s="182"/>
      <c r="AX1229" s="182"/>
      <c r="AY1229" s="182"/>
      <c r="AZ1229" s="182"/>
      <c r="BA1229" s="182"/>
      <c r="BB1229" s="182"/>
      <c r="BC1229" s="182"/>
      <c r="BD1229" s="182"/>
      <c r="BE1229" s="182"/>
      <c r="BF1229" s="182"/>
      <c r="BG1229" s="182"/>
      <c r="BH1229" s="182"/>
      <c r="BI1229" s="182"/>
      <c r="BJ1229" s="182"/>
      <c r="BK1229" s="182"/>
      <c r="BL1229" s="182"/>
      <c r="BM1229" s="182"/>
      <c r="BN1229" s="182"/>
      <c r="BO1229" s="182"/>
      <c r="BP1229" s="182"/>
      <c r="BQ1229" s="182"/>
      <c r="BR1229" s="182"/>
      <c r="BS1229" s="182"/>
      <c r="BT1229" s="182"/>
      <c r="BU1229" s="182"/>
      <c r="BV1229" s="182"/>
      <c r="BW1229" s="182"/>
      <c r="BX1229" s="182"/>
      <c r="BY1229" s="182"/>
      <c r="BZ1229" s="182"/>
      <c r="CA1229" s="182"/>
      <c r="CB1229" s="185">
        <v>4500</v>
      </c>
      <c r="CC1229" s="185">
        <v>0</v>
      </c>
      <c r="CD1229" s="185">
        <v>2577</v>
      </c>
      <c r="CE1229" s="185"/>
    </row>
    <row r="1230" spans="2:83" x14ac:dyDescent="0.3">
      <c r="B1230" s="182">
        <v>4575</v>
      </c>
      <c r="C1230" s="182">
        <v>2578</v>
      </c>
      <c r="D1230" s="182" t="s">
        <v>121</v>
      </c>
      <c r="E1230" s="181" t="s">
        <v>4415</v>
      </c>
      <c r="F1230" s="182"/>
      <c r="G1230" s="182">
        <v>13000</v>
      </c>
      <c r="H1230" s="182"/>
      <c r="I1230" s="182"/>
      <c r="J1230" s="182"/>
      <c r="K1230" s="182"/>
      <c r="L1230" s="182"/>
      <c r="M1230" s="182"/>
      <c r="N1230" s="182"/>
      <c r="O1230" s="182"/>
      <c r="P1230" s="182"/>
      <c r="Q1230" s="182"/>
      <c r="R1230" s="182"/>
      <c r="S1230" s="182"/>
      <c r="T1230" s="182"/>
      <c r="U1230" s="182"/>
      <c r="V1230" s="182"/>
      <c r="W1230" s="182"/>
      <c r="X1230" s="182"/>
      <c r="Y1230" s="182"/>
      <c r="Z1230" s="182"/>
      <c r="AA1230" s="182"/>
      <c r="AB1230" s="182"/>
      <c r="AC1230" s="182"/>
      <c r="AD1230" s="182"/>
      <c r="AE1230" s="182"/>
      <c r="AF1230" s="182"/>
      <c r="AG1230" s="182"/>
      <c r="AH1230" s="182"/>
      <c r="AI1230" s="182"/>
      <c r="AJ1230" s="182"/>
      <c r="AK1230" s="182"/>
      <c r="AL1230" s="182"/>
      <c r="AM1230" s="182"/>
      <c r="AN1230" s="182"/>
      <c r="AO1230" s="182"/>
      <c r="AP1230" s="182"/>
      <c r="AQ1230" s="185">
        <v>13000</v>
      </c>
      <c r="AR1230" s="182">
        <v>11603.9</v>
      </c>
      <c r="AS1230" s="182">
        <v>1396.1</v>
      </c>
      <c r="AT1230" s="182"/>
      <c r="AU1230" s="182"/>
      <c r="AV1230" s="182"/>
      <c r="AW1230" s="182"/>
      <c r="AX1230" s="182"/>
      <c r="AY1230" s="182"/>
      <c r="AZ1230" s="182"/>
      <c r="BA1230" s="182"/>
      <c r="BB1230" s="182"/>
      <c r="BC1230" s="182"/>
      <c r="BD1230" s="182"/>
      <c r="BE1230" s="182"/>
      <c r="BF1230" s="182"/>
      <c r="BG1230" s="182"/>
      <c r="BH1230" s="182"/>
      <c r="BI1230" s="182"/>
      <c r="BJ1230" s="182"/>
      <c r="BK1230" s="182"/>
      <c r="BL1230" s="182"/>
      <c r="BM1230" s="182"/>
      <c r="BN1230" s="182"/>
      <c r="BO1230" s="182"/>
      <c r="BP1230" s="182"/>
      <c r="BQ1230" s="182"/>
      <c r="BR1230" s="182"/>
      <c r="BS1230" s="182"/>
      <c r="BT1230" s="182"/>
      <c r="BU1230" s="182"/>
      <c r="BV1230" s="182"/>
      <c r="BW1230" s="182"/>
      <c r="BX1230" s="182"/>
      <c r="BY1230" s="182"/>
      <c r="BZ1230" s="182"/>
      <c r="CA1230" s="182"/>
      <c r="CB1230" s="185">
        <v>13000</v>
      </c>
      <c r="CC1230" s="185">
        <v>0</v>
      </c>
      <c r="CD1230" s="185">
        <v>2578</v>
      </c>
      <c r="CE1230" s="185"/>
    </row>
    <row r="1231" spans="2:83" x14ac:dyDescent="0.3">
      <c r="B1231" s="182">
        <v>4571</v>
      </c>
      <c r="C1231" s="182">
        <v>2579</v>
      </c>
      <c r="D1231" s="182" t="s">
        <v>121</v>
      </c>
      <c r="E1231" s="181" t="s">
        <v>4415</v>
      </c>
      <c r="F1231" s="182"/>
      <c r="G1231" s="182">
        <v>22000</v>
      </c>
      <c r="H1231" s="182"/>
      <c r="I1231" s="182"/>
      <c r="J1231" s="182"/>
      <c r="K1231" s="182"/>
      <c r="L1231" s="182"/>
      <c r="M1231" s="182"/>
      <c r="N1231" s="182"/>
      <c r="O1231" s="182"/>
      <c r="P1231" s="182"/>
      <c r="Q1231" s="182"/>
      <c r="R1231" s="182"/>
      <c r="S1231" s="182"/>
      <c r="T1231" s="182"/>
      <c r="U1231" s="182"/>
      <c r="V1231" s="182"/>
      <c r="W1231" s="182"/>
      <c r="X1231" s="182"/>
      <c r="Y1231" s="182"/>
      <c r="Z1231" s="182"/>
      <c r="AA1231" s="182"/>
      <c r="AB1231" s="182"/>
      <c r="AC1231" s="182"/>
      <c r="AD1231" s="182"/>
      <c r="AE1231" s="182"/>
      <c r="AF1231" s="182"/>
      <c r="AG1231" s="182"/>
      <c r="AH1231" s="182"/>
      <c r="AI1231" s="182"/>
      <c r="AJ1231" s="182"/>
      <c r="AK1231" s="182"/>
      <c r="AL1231" s="182"/>
      <c r="AM1231" s="182"/>
      <c r="AN1231" s="182"/>
      <c r="AO1231" s="182"/>
      <c r="AP1231" s="182"/>
      <c r="AQ1231" s="185">
        <v>22000</v>
      </c>
      <c r="AR1231" s="182">
        <v>19634.150000000001</v>
      </c>
      <c r="AS1231" s="182">
        <v>2365.85</v>
      </c>
      <c r="AT1231" s="182"/>
      <c r="AU1231" s="182"/>
      <c r="AV1231" s="182"/>
      <c r="AW1231" s="182"/>
      <c r="AX1231" s="182"/>
      <c r="AY1231" s="182"/>
      <c r="AZ1231" s="182"/>
      <c r="BA1231" s="182"/>
      <c r="BB1231" s="182"/>
      <c r="BC1231" s="182"/>
      <c r="BD1231" s="182"/>
      <c r="BE1231" s="182"/>
      <c r="BF1231" s="182"/>
      <c r="BG1231" s="182"/>
      <c r="BH1231" s="182"/>
      <c r="BI1231" s="182"/>
      <c r="BJ1231" s="182"/>
      <c r="BK1231" s="182"/>
      <c r="BL1231" s="182"/>
      <c r="BM1231" s="182"/>
      <c r="BN1231" s="182"/>
      <c r="BO1231" s="182"/>
      <c r="BP1231" s="182"/>
      <c r="BQ1231" s="182"/>
      <c r="BR1231" s="182"/>
      <c r="BS1231" s="182"/>
      <c r="BT1231" s="182"/>
      <c r="BU1231" s="182"/>
      <c r="BV1231" s="182"/>
      <c r="BW1231" s="182"/>
      <c r="BX1231" s="182"/>
      <c r="BY1231" s="182"/>
      <c r="BZ1231" s="182"/>
      <c r="CA1231" s="182"/>
      <c r="CB1231" s="185">
        <v>22000</v>
      </c>
      <c r="CC1231" s="185">
        <v>0</v>
      </c>
      <c r="CD1231" s="185">
        <v>2579</v>
      </c>
      <c r="CE1231" s="185"/>
    </row>
    <row r="1232" spans="2:83" x14ac:dyDescent="0.3">
      <c r="B1232" s="182">
        <v>4593</v>
      </c>
      <c r="C1232" s="182">
        <v>2580</v>
      </c>
      <c r="D1232" s="182" t="s">
        <v>121</v>
      </c>
      <c r="E1232" s="181" t="s">
        <v>4416</v>
      </c>
      <c r="F1232" s="182"/>
      <c r="G1232" s="182">
        <v>6240</v>
      </c>
      <c r="H1232" s="182"/>
      <c r="I1232" s="182"/>
      <c r="J1232" s="182"/>
      <c r="K1232" s="182"/>
      <c r="L1232" s="182"/>
      <c r="M1232" s="182"/>
      <c r="N1232" s="182"/>
      <c r="O1232" s="182"/>
      <c r="P1232" s="182"/>
      <c r="Q1232" s="182"/>
      <c r="R1232" s="182"/>
      <c r="S1232" s="182"/>
      <c r="T1232" s="182"/>
      <c r="U1232" s="182"/>
      <c r="V1232" s="182"/>
      <c r="W1232" s="182"/>
      <c r="X1232" s="182"/>
      <c r="Y1232" s="182"/>
      <c r="Z1232" s="182"/>
      <c r="AA1232" s="182"/>
      <c r="AB1232" s="182"/>
      <c r="AC1232" s="182"/>
      <c r="AD1232" s="182"/>
      <c r="AE1232" s="182"/>
      <c r="AF1232" s="182"/>
      <c r="AG1232" s="182"/>
      <c r="AH1232" s="182"/>
      <c r="AI1232" s="182"/>
      <c r="AJ1232" s="182"/>
      <c r="AK1232" s="182"/>
      <c r="AL1232" s="182"/>
      <c r="AM1232" s="182"/>
      <c r="AN1232" s="182"/>
      <c r="AO1232" s="182"/>
      <c r="AP1232" s="182"/>
      <c r="AQ1232" s="185">
        <v>6240</v>
      </c>
      <c r="AR1232" s="182">
        <v>5570.6</v>
      </c>
      <c r="AS1232" s="182">
        <v>669.4</v>
      </c>
      <c r="AT1232" s="182"/>
      <c r="AU1232" s="182"/>
      <c r="AV1232" s="182"/>
      <c r="AW1232" s="182"/>
      <c r="AX1232" s="182"/>
      <c r="AY1232" s="182"/>
      <c r="AZ1232" s="182"/>
      <c r="BA1232" s="182"/>
      <c r="BB1232" s="182"/>
      <c r="BC1232" s="182"/>
      <c r="BD1232" s="182"/>
      <c r="BE1232" s="182"/>
      <c r="BF1232" s="182"/>
      <c r="BG1232" s="182"/>
      <c r="BH1232" s="182"/>
      <c r="BI1232" s="182"/>
      <c r="BJ1232" s="182"/>
      <c r="BK1232" s="182"/>
      <c r="BL1232" s="182"/>
      <c r="BM1232" s="182"/>
      <c r="BN1232" s="182"/>
      <c r="BO1232" s="182"/>
      <c r="BP1232" s="182"/>
      <c r="BQ1232" s="182"/>
      <c r="BR1232" s="182"/>
      <c r="BS1232" s="182"/>
      <c r="BT1232" s="182"/>
      <c r="BU1232" s="182"/>
      <c r="BV1232" s="182"/>
      <c r="BW1232" s="182"/>
      <c r="BX1232" s="182"/>
      <c r="BY1232" s="182"/>
      <c r="BZ1232" s="182"/>
      <c r="CA1232" s="182"/>
      <c r="CB1232" s="185">
        <v>6240</v>
      </c>
      <c r="CC1232" s="185">
        <v>0</v>
      </c>
      <c r="CD1232" s="185">
        <v>2580</v>
      </c>
      <c r="CE1232" s="185"/>
    </row>
    <row r="1233" spans="2:83" x14ac:dyDescent="0.3">
      <c r="B1233" s="182">
        <v>4604</v>
      </c>
      <c r="C1233" s="182">
        <v>2581</v>
      </c>
      <c r="D1233" s="182" t="s">
        <v>121</v>
      </c>
      <c r="E1233" s="181" t="s">
        <v>4416</v>
      </c>
      <c r="F1233" s="182"/>
      <c r="G1233" s="182">
        <v>7800</v>
      </c>
      <c r="H1233" s="182"/>
      <c r="I1233" s="182"/>
      <c r="J1233" s="182"/>
      <c r="K1233" s="182"/>
      <c r="L1233" s="182"/>
      <c r="M1233" s="182"/>
      <c r="N1233" s="182"/>
      <c r="O1233" s="182"/>
      <c r="P1233" s="182"/>
      <c r="Q1233" s="182"/>
      <c r="R1233" s="182"/>
      <c r="S1233" s="182"/>
      <c r="T1233" s="182"/>
      <c r="U1233" s="182"/>
      <c r="V1233" s="182"/>
      <c r="W1233" s="182"/>
      <c r="X1233" s="182"/>
      <c r="Y1233" s="182"/>
      <c r="Z1233" s="182"/>
      <c r="AA1233" s="182"/>
      <c r="AB1233" s="182"/>
      <c r="AC1233" s="182"/>
      <c r="AD1233" s="182"/>
      <c r="AE1233" s="182"/>
      <c r="AF1233" s="182"/>
      <c r="AG1233" s="182"/>
      <c r="AH1233" s="182"/>
      <c r="AI1233" s="182"/>
      <c r="AJ1233" s="182"/>
      <c r="AK1233" s="182"/>
      <c r="AL1233" s="182"/>
      <c r="AM1233" s="182"/>
      <c r="AN1233" s="182"/>
      <c r="AO1233" s="182"/>
      <c r="AP1233" s="182"/>
      <c r="AQ1233" s="185">
        <v>7800</v>
      </c>
      <c r="AR1233" s="182">
        <v>6962.9</v>
      </c>
      <c r="AS1233" s="182">
        <v>837.1</v>
      </c>
      <c r="AT1233" s="182"/>
      <c r="AU1233" s="182"/>
      <c r="AV1233" s="182"/>
      <c r="AW1233" s="182"/>
      <c r="AX1233" s="182"/>
      <c r="AY1233" s="182"/>
      <c r="AZ1233" s="182"/>
      <c r="BA1233" s="182"/>
      <c r="BB1233" s="182"/>
      <c r="BC1233" s="182"/>
      <c r="BD1233" s="182"/>
      <c r="BE1233" s="182"/>
      <c r="BF1233" s="182"/>
      <c r="BG1233" s="182"/>
      <c r="BH1233" s="182"/>
      <c r="BI1233" s="182"/>
      <c r="BJ1233" s="182"/>
      <c r="BK1233" s="182"/>
      <c r="BL1233" s="182"/>
      <c r="BM1233" s="182"/>
      <c r="BN1233" s="182"/>
      <c r="BO1233" s="182"/>
      <c r="BP1233" s="182"/>
      <c r="BQ1233" s="182"/>
      <c r="BR1233" s="182"/>
      <c r="BS1233" s="182"/>
      <c r="BT1233" s="182"/>
      <c r="BU1233" s="182"/>
      <c r="BV1233" s="182"/>
      <c r="BW1233" s="182"/>
      <c r="BX1233" s="182"/>
      <c r="BY1233" s="182"/>
      <c r="BZ1233" s="182"/>
      <c r="CA1233" s="182"/>
      <c r="CB1233" s="185">
        <v>7800</v>
      </c>
      <c r="CC1233" s="185">
        <v>0</v>
      </c>
      <c r="CD1233" s="185">
        <v>2581</v>
      </c>
      <c r="CE1233" s="185"/>
    </row>
    <row r="1234" spans="2:83" x14ac:dyDescent="0.3">
      <c r="B1234" s="182">
        <v>4592</v>
      </c>
      <c r="C1234" s="182">
        <v>2582</v>
      </c>
      <c r="D1234" s="182" t="s">
        <v>121</v>
      </c>
      <c r="E1234" s="181" t="s">
        <v>4416</v>
      </c>
      <c r="F1234" s="182"/>
      <c r="G1234" s="182">
        <v>3420</v>
      </c>
      <c r="H1234" s="182"/>
      <c r="I1234" s="182"/>
      <c r="J1234" s="182"/>
      <c r="K1234" s="182"/>
      <c r="L1234" s="182"/>
      <c r="M1234" s="182"/>
      <c r="N1234" s="182"/>
      <c r="O1234" s="182"/>
      <c r="P1234" s="182"/>
      <c r="Q1234" s="182"/>
      <c r="R1234" s="182"/>
      <c r="S1234" s="182"/>
      <c r="T1234" s="182"/>
      <c r="U1234" s="182"/>
      <c r="V1234" s="182"/>
      <c r="W1234" s="182"/>
      <c r="X1234" s="182"/>
      <c r="Y1234" s="182"/>
      <c r="Z1234" s="182"/>
      <c r="AA1234" s="182"/>
      <c r="AB1234" s="182"/>
      <c r="AC1234" s="182"/>
      <c r="AD1234" s="182"/>
      <c r="AE1234" s="182"/>
      <c r="AF1234" s="182"/>
      <c r="AG1234" s="182"/>
      <c r="AH1234" s="182"/>
      <c r="AI1234" s="182"/>
      <c r="AJ1234" s="182"/>
      <c r="AK1234" s="182"/>
      <c r="AL1234" s="182"/>
      <c r="AM1234" s="182"/>
      <c r="AN1234" s="182"/>
      <c r="AO1234" s="182"/>
      <c r="AP1234" s="182"/>
      <c r="AQ1234" s="185">
        <v>3420</v>
      </c>
      <c r="AR1234" s="182">
        <v>3053.05</v>
      </c>
      <c r="AS1234" s="182">
        <v>366.95</v>
      </c>
      <c r="AT1234" s="182"/>
      <c r="AU1234" s="182"/>
      <c r="AV1234" s="182"/>
      <c r="AW1234" s="182"/>
      <c r="AX1234" s="182"/>
      <c r="AY1234" s="182"/>
      <c r="AZ1234" s="182"/>
      <c r="BA1234" s="182"/>
      <c r="BB1234" s="182"/>
      <c r="BC1234" s="182"/>
      <c r="BD1234" s="182"/>
      <c r="BE1234" s="182"/>
      <c r="BF1234" s="182"/>
      <c r="BG1234" s="182"/>
      <c r="BH1234" s="182"/>
      <c r="BI1234" s="182"/>
      <c r="BJ1234" s="182"/>
      <c r="BK1234" s="182"/>
      <c r="BL1234" s="182"/>
      <c r="BM1234" s="182"/>
      <c r="BN1234" s="182"/>
      <c r="BO1234" s="182"/>
      <c r="BP1234" s="182"/>
      <c r="BQ1234" s="182"/>
      <c r="BR1234" s="182"/>
      <c r="BS1234" s="182"/>
      <c r="BT1234" s="182"/>
      <c r="BU1234" s="182"/>
      <c r="BV1234" s="182"/>
      <c r="BW1234" s="182"/>
      <c r="BX1234" s="182"/>
      <c r="BY1234" s="182"/>
      <c r="BZ1234" s="182"/>
      <c r="CA1234" s="182"/>
      <c r="CB1234" s="185">
        <v>3420</v>
      </c>
      <c r="CC1234" s="185">
        <v>0</v>
      </c>
      <c r="CD1234" s="185">
        <v>2582</v>
      </c>
      <c r="CE1234" s="185"/>
    </row>
    <row r="1235" spans="2:83" x14ac:dyDescent="0.3">
      <c r="B1235" s="182">
        <v>4599</v>
      </c>
      <c r="C1235" s="182">
        <v>2583</v>
      </c>
      <c r="D1235" s="182" t="s">
        <v>121</v>
      </c>
      <c r="E1235" s="181" t="s">
        <v>4416</v>
      </c>
      <c r="F1235" s="182"/>
      <c r="G1235" s="182">
        <v>4980</v>
      </c>
      <c r="H1235" s="182"/>
      <c r="I1235" s="182"/>
      <c r="J1235" s="182"/>
      <c r="K1235" s="182"/>
      <c r="L1235" s="182"/>
      <c r="M1235" s="182"/>
      <c r="N1235" s="182"/>
      <c r="O1235" s="182"/>
      <c r="P1235" s="182"/>
      <c r="Q1235" s="182"/>
      <c r="R1235" s="182"/>
      <c r="S1235" s="182"/>
      <c r="T1235" s="182"/>
      <c r="U1235" s="182"/>
      <c r="V1235" s="182"/>
      <c r="W1235" s="182"/>
      <c r="X1235" s="182"/>
      <c r="Y1235" s="182"/>
      <c r="Z1235" s="182"/>
      <c r="AA1235" s="182"/>
      <c r="AB1235" s="182"/>
      <c r="AC1235" s="182"/>
      <c r="AD1235" s="182"/>
      <c r="AE1235" s="182"/>
      <c r="AF1235" s="182"/>
      <c r="AG1235" s="182"/>
      <c r="AH1235" s="182"/>
      <c r="AI1235" s="182"/>
      <c r="AJ1235" s="182"/>
      <c r="AK1235" s="182"/>
      <c r="AL1235" s="182"/>
      <c r="AM1235" s="182"/>
      <c r="AN1235" s="182"/>
      <c r="AO1235" s="182"/>
      <c r="AP1235" s="182"/>
      <c r="AQ1235" s="185">
        <v>4980</v>
      </c>
      <c r="AR1235" s="182">
        <v>4445.3500000000004</v>
      </c>
      <c r="AS1235" s="182">
        <v>534.65</v>
      </c>
      <c r="AT1235" s="182"/>
      <c r="AU1235" s="182"/>
      <c r="AV1235" s="182"/>
      <c r="AW1235" s="182"/>
      <c r="AX1235" s="182"/>
      <c r="AY1235" s="182"/>
      <c r="AZ1235" s="182"/>
      <c r="BA1235" s="182"/>
      <c r="BB1235" s="182"/>
      <c r="BC1235" s="182"/>
      <c r="BD1235" s="182"/>
      <c r="BE1235" s="182"/>
      <c r="BF1235" s="182"/>
      <c r="BG1235" s="182"/>
      <c r="BH1235" s="182"/>
      <c r="BI1235" s="182"/>
      <c r="BJ1235" s="182"/>
      <c r="BK1235" s="182"/>
      <c r="BL1235" s="182"/>
      <c r="BM1235" s="182"/>
      <c r="BN1235" s="182"/>
      <c r="BO1235" s="182"/>
      <c r="BP1235" s="182"/>
      <c r="BQ1235" s="182"/>
      <c r="BR1235" s="182"/>
      <c r="BS1235" s="182"/>
      <c r="BT1235" s="182"/>
      <c r="BU1235" s="182"/>
      <c r="BV1235" s="182"/>
      <c r="BW1235" s="182"/>
      <c r="BX1235" s="182"/>
      <c r="BY1235" s="182"/>
      <c r="BZ1235" s="182"/>
      <c r="CA1235" s="182"/>
      <c r="CB1235" s="185">
        <v>4980</v>
      </c>
      <c r="CC1235" s="185">
        <v>0</v>
      </c>
      <c r="CD1235" s="185">
        <v>2583</v>
      </c>
      <c r="CE1235" s="185"/>
    </row>
    <row r="1236" spans="2:83" x14ac:dyDescent="0.3">
      <c r="B1236" s="182">
        <v>4605</v>
      </c>
      <c r="C1236" s="182">
        <v>2584</v>
      </c>
      <c r="D1236" s="182" t="s">
        <v>121</v>
      </c>
      <c r="E1236" s="181" t="s">
        <v>4417</v>
      </c>
      <c r="F1236" s="182"/>
      <c r="G1236" s="182">
        <v>4000</v>
      </c>
      <c r="H1236" s="182"/>
      <c r="I1236" s="182"/>
      <c r="J1236" s="182"/>
      <c r="K1236" s="182"/>
      <c r="L1236" s="182"/>
      <c r="M1236" s="182"/>
      <c r="N1236" s="182"/>
      <c r="O1236" s="182"/>
      <c r="P1236" s="182"/>
      <c r="Q1236" s="182"/>
      <c r="R1236" s="182"/>
      <c r="S1236" s="182"/>
      <c r="T1236" s="182"/>
      <c r="U1236" s="182"/>
      <c r="V1236" s="182"/>
      <c r="W1236" s="182"/>
      <c r="X1236" s="182"/>
      <c r="Y1236" s="182"/>
      <c r="Z1236" s="182"/>
      <c r="AA1236" s="182"/>
      <c r="AB1236" s="182"/>
      <c r="AC1236" s="182"/>
      <c r="AD1236" s="182"/>
      <c r="AE1236" s="182"/>
      <c r="AF1236" s="182"/>
      <c r="AG1236" s="182"/>
      <c r="AH1236" s="182"/>
      <c r="AI1236" s="182"/>
      <c r="AJ1236" s="182"/>
      <c r="AK1236" s="182"/>
      <c r="AL1236" s="182"/>
      <c r="AM1236" s="182"/>
      <c r="AN1236" s="182"/>
      <c r="AO1236" s="182"/>
      <c r="AP1236" s="182"/>
      <c r="AQ1236" s="185">
        <v>4000</v>
      </c>
      <c r="AR1236" s="182">
        <v>3570.35</v>
      </c>
      <c r="AS1236" s="182">
        <v>429.65</v>
      </c>
      <c r="AT1236" s="182"/>
      <c r="AU1236" s="182"/>
      <c r="AV1236" s="182"/>
      <c r="AW1236" s="182"/>
      <c r="AX1236" s="182"/>
      <c r="AY1236" s="182"/>
      <c r="AZ1236" s="182"/>
      <c r="BA1236" s="182"/>
      <c r="BB1236" s="182"/>
      <c r="BC1236" s="182"/>
      <c r="BD1236" s="182"/>
      <c r="BE1236" s="182"/>
      <c r="BF1236" s="182"/>
      <c r="BG1236" s="182"/>
      <c r="BH1236" s="182"/>
      <c r="BI1236" s="182"/>
      <c r="BJ1236" s="182"/>
      <c r="BK1236" s="182"/>
      <c r="BL1236" s="182"/>
      <c r="BM1236" s="182"/>
      <c r="BN1236" s="182"/>
      <c r="BO1236" s="182"/>
      <c r="BP1236" s="182"/>
      <c r="BQ1236" s="182"/>
      <c r="BR1236" s="182"/>
      <c r="BS1236" s="182"/>
      <c r="BT1236" s="182"/>
      <c r="BU1236" s="182"/>
      <c r="BV1236" s="182"/>
      <c r="BW1236" s="182"/>
      <c r="BX1236" s="182"/>
      <c r="BY1236" s="182"/>
      <c r="BZ1236" s="182"/>
      <c r="CA1236" s="182"/>
      <c r="CB1236" s="185">
        <v>4000</v>
      </c>
      <c r="CC1236" s="185">
        <v>0</v>
      </c>
      <c r="CD1236" s="185">
        <v>2584</v>
      </c>
      <c r="CE1236" s="185"/>
    </row>
    <row r="1237" spans="2:83" x14ac:dyDescent="0.3">
      <c r="B1237" s="182">
        <v>4602</v>
      </c>
      <c r="C1237" s="182">
        <v>2585</v>
      </c>
      <c r="D1237" s="182" t="s">
        <v>121</v>
      </c>
      <c r="E1237" s="181" t="s">
        <v>4418</v>
      </c>
      <c r="F1237" s="182"/>
      <c r="G1237" s="182">
        <v>5000</v>
      </c>
      <c r="H1237" s="182"/>
      <c r="I1237" s="182"/>
      <c r="J1237" s="182"/>
      <c r="K1237" s="182"/>
      <c r="L1237" s="182"/>
      <c r="M1237" s="182"/>
      <c r="N1237" s="182"/>
      <c r="O1237" s="182"/>
      <c r="P1237" s="182"/>
      <c r="Q1237" s="182"/>
      <c r="R1237" s="182"/>
      <c r="S1237" s="182"/>
      <c r="T1237" s="182"/>
      <c r="U1237" s="182"/>
      <c r="V1237" s="182"/>
      <c r="W1237" s="182"/>
      <c r="X1237" s="182"/>
      <c r="Y1237" s="182"/>
      <c r="Z1237" s="182"/>
      <c r="AA1237" s="182"/>
      <c r="AB1237" s="182"/>
      <c r="AC1237" s="182"/>
      <c r="AD1237" s="182"/>
      <c r="AE1237" s="182"/>
      <c r="AF1237" s="182"/>
      <c r="AG1237" s="182"/>
      <c r="AH1237" s="182"/>
      <c r="AI1237" s="182"/>
      <c r="AJ1237" s="182"/>
      <c r="AK1237" s="182"/>
      <c r="AL1237" s="182"/>
      <c r="AM1237" s="182"/>
      <c r="AN1237" s="182"/>
      <c r="AO1237" s="182"/>
      <c r="AP1237" s="182"/>
      <c r="AQ1237" s="185">
        <v>5000</v>
      </c>
      <c r="AR1237" s="182">
        <v>4462.8500000000004</v>
      </c>
      <c r="AS1237" s="182">
        <v>537.15</v>
      </c>
      <c r="AT1237" s="182"/>
      <c r="AU1237" s="182"/>
      <c r="AV1237" s="182"/>
      <c r="AW1237" s="182"/>
      <c r="AX1237" s="182"/>
      <c r="AY1237" s="182"/>
      <c r="AZ1237" s="182"/>
      <c r="BA1237" s="182"/>
      <c r="BB1237" s="182"/>
      <c r="BC1237" s="182"/>
      <c r="BD1237" s="182"/>
      <c r="BE1237" s="182"/>
      <c r="BF1237" s="182"/>
      <c r="BG1237" s="182"/>
      <c r="BH1237" s="182"/>
      <c r="BI1237" s="182"/>
      <c r="BJ1237" s="182"/>
      <c r="BK1237" s="182"/>
      <c r="BL1237" s="182"/>
      <c r="BM1237" s="182"/>
      <c r="BN1237" s="182"/>
      <c r="BO1237" s="182"/>
      <c r="BP1237" s="182"/>
      <c r="BQ1237" s="182"/>
      <c r="BR1237" s="182"/>
      <c r="BS1237" s="182"/>
      <c r="BT1237" s="182"/>
      <c r="BU1237" s="182"/>
      <c r="BV1237" s="182"/>
      <c r="BW1237" s="182"/>
      <c r="BX1237" s="182"/>
      <c r="BY1237" s="182"/>
      <c r="BZ1237" s="182"/>
      <c r="CA1237" s="182"/>
      <c r="CB1237" s="185">
        <v>5000</v>
      </c>
      <c r="CC1237" s="185">
        <v>0</v>
      </c>
      <c r="CD1237" s="185">
        <v>2585</v>
      </c>
      <c r="CE1237" s="185"/>
    </row>
    <row r="1238" spans="2:83" x14ac:dyDescent="0.3">
      <c r="B1238" s="182">
        <v>4601</v>
      </c>
      <c r="C1238" s="182">
        <v>2586</v>
      </c>
      <c r="D1238" s="182" t="s">
        <v>121</v>
      </c>
      <c r="E1238" s="181" t="s">
        <v>4418</v>
      </c>
      <c r="F1238" s="182"/>
      <c r="G1238" s="182">
        <v>30500</v>
      </c>
      <c r="H1238" s="182"/>
      <c r="I1238" s="182"/>
      <c r="J1238" s="182"/>
      <c r="K1238" s="182"/>
      <c r="L1238" s="182"/>
      <c r="M1238" s="182"/>
      <c r="N1238" s="182"/>
      <c r="O1238" s="182"/>
      <c r="P1238" s="182"/>
      <c r="Q1238" s="182"/>
      <c r="R1238" s="182"/>
      <c r="S1238" s="182"/>
      <c r="T1238" s="182"/>
      <c r="U1238" s="182"/>
      <c r="V1238" s="182"/>
      <c r="W1238" s="182"/>
      <c r="X1238" s="182"/>
      <c r="Y1238" s="182"/>
      <c r="Z1238" s="182"/>
      <c r="AA1238" s="182"/>
      <c r="AB1238" s="182"/>
      <c r="AC1238" s="182"/>
      <c r="AD1238" s="182"/>
      <c r="AE1238" s="182"/>
      <c r="AF1238" s="182"/>
      <c r="AG1238" s="182"/>
      <c r="AH1238" s="182"/>
      <c r="AI1238" s="182"/>
      <c r="AJ1238" s="182"/>
      <c r="AK1238" s="182"/>
      <c r="AL1238" s="182"/>
      <c r="AM1238" s="182"/>
      <c r="AN1238" s="182"/>
      <c r="AO1238" s="182"/>
      <c r="AP1238" s="182"/>
      <c r="AQ1238" s="185">
        <v>30500</v>
      </c>
      <c r="AR1238" s="182">
        <v>27216.95</v>
      </c>
      <c r="AS1238" s="182">
        <v>3283.05</v>
      </c>
      <c r="AT1238" s="182"/>
      <c r="AU1238" s="182"/>
      <c r="AV1238" s="182"/>
      <c r="AW1238" s="182"/>
      <c r="AX1238" s="182"/>
      <c r="AY1238" s="182"/>
      <c r="AZ1238" s="182"/>
      <c r="BA1238" s="182"/>
      <c r="BB1238" s="182"/>
      <c r="BC1238" s="182"/>
      <c r="BD1238" s="182"/>
      <c r="BE1238" s="182"/>
      <c r="BF1238" s="182"/>
      <c r="BG1238" s="182"/>
      <c r="BH1238" s="182"/>
      <c r="BI1238" s="182"/>
      <c r="BJ1238" s="182"/>
      <c r="BK1238" s="182"/>
      <c r="BL1238" s="182"/>
      <c r="BM1238" s="182"/>
      <c r="BN1238" s="182"/>
      <c r="BO1238" s="182"/>
      <c r="BP1238" s="182"/>
      <c r="BQ1238" s="182"/>
      <c r="BR1238" s="182"/>
      <c r="BS1238" s="182"/>
      <c r="BT1238" s="182"/>
      <c r="BU1238" s="182"/>
      <c r="BV1238" s="182"/>
      <c r="BW1238" s="182"/>
      <c r="BX1238" s="182"/>
      <c r="BY1238" s="182"/>
      <c r="BZ1238" s="182"/>
      <c r="CA1238" s="182"/>
      <c r="CB1238" s="185">
        <v>30500</v>
      </c>
      <c r="CC1238" s="185">
        <v>0</v>
      </c>
      <c r="CD1238" s="185">
        <v>2586</v>
      </c>
      <c r="CE1238" s="185"/>
    </row>
    <row r="1239" spans="2:83" x14ac:dyDescent="0.3">
      <c r="B1239" s="182">
        <v>4589</v>
      </c>
      <c r="C1239" s="182">
        <v>2587</v>
      </c>
      <c r="D1239" s="182" t="s">
        <v>121</v>
      </c>
      <c r="E1239" s="181" t="s">
        <v>4419</v>
      </c>
      <c r="F1239" s="182"/>
      <c r="G1239" s="182">
        <v>12500</v>
      </c>
      <c r="H1239" s="182"/>
      <c r="I1239" s="182"/>
      <c r="J1239" s="182"/>
      <c r="K1239" s="182"/>
      <c r="L1239" s="182"/>
      <c r="M1239" s="182"/>
      <c r="N1239" s="182"/>
      <c r="O1239" s="182"/>
      <c r="P1239" s="182"/>
      <c r="Q1239" s="182"/>
      <c r="R1239" s="182"/>
      <c r="S1239" s="182"/>
      <c r="T1239" s="182"/>
      <c r="U1239" s="182"/>
      <c r="V1239" s="182"/>
      <c r="W1239" s="182"/>
      <c r="X1239" s="182"/>
      <c r="Y1239" s="182"/>
      <c r="Z1239" s="182"/>
      <c r="AA1239" s="182"/>
      <c r="AB1239" s="182"/>
      <c r="AC1239" s="182"/>
      <c r="AD1239" s="182"/>
      <c r="AE1239" s="182"/>
      <c r="AF1239" s="182"/>
      <c r="AG1239" s="182"/>
      <c r="AH1239" s="182"/>
      <c r="AI1239" s="182"/>
      <c r="AJ1239" s="182"/>
      <c r="AK1239" s="182"/>
      <c r="AL1239" s="182"/>
      <c r="AM1239" s="182"/>
      <c r="AN1239" s="182"/>
      <c r="AO1239" s="182"/>
      <c r="AP1239" s="182"/>
      <c r="AQ1239" s="185">
        <v>12500</v>
      </c>
      <c r="AR1239" s="182">
        <v>11157.65</v>
      </c>
      <c r="AS1239" s="182">
        <v>1342.35</v>
      </c>
      <c r="AT1239" s="182"/>
      <c r="AU1239" s="182"/>
      <c r="AV1239" s="182"/>
      <c r="AW1239" s="182"/>
      <c r="AX1239" s="182"/>
      <c r="AY1239" s="182"/>
      <c r="AZ1239" s="182"/>
      <c r="BA1239" s="182"/>
      <c r="BB1239" s="182"/>
      <c r="BC1239" s="182"/>
      <c r="BD1239" s="182"/>
      <c r="BE1239" s="182"/>
      <c r="BF1239" s="182"/>
      <c r="BG1239" s="182"/>
      <c r="BH1239" s="182"/>
      <c r="BI1239" s="182"/>
      <c r="BJ1239" s="182"/>
      <c r="BK1239" s="182"/>
      <c r="BL1239" s="182"/>
      <c r="BM1239" s="182"/>
      <c r="BN1239" s="182"/>
      <c r="BO1239" s="182"/>
      <c r="BP1239" s="182"/>
      <c r="BQ1239" s="182"/>
      <c r="BR1239" s="182"/>
      <c r="BS1239" s="182"/>
      <c r="BT1239" s="182"/>
      <c r="BU1239" s="182"/>
      <c r="BV1239" s="182"/>
      <c r="BW1239" s="182"/>
      <c r="BX1239" s="182"/>
      <c r="BY1239" s="182"/>
      <c r="BZ1239" s="182"/>
      <c r="CA1239" s="182"/>
      <c r="CB1239" s="185">
        <v>12500</v>
      </c>
      <c r="CC1239" s="185">
        <v>0</v>
      </c>
      <c r="CD1239" s="185">
        <v>2587</v>
      </c>
      <c r="CE1239" s="185"/>
    </row>
    <row r="1240" spans="2:83" x14ac:dyDescent="0.3">
      <c r="B1240" s="182">
        <v>4588</v>
      </c>
      <c r="C1240" s="182">
        <v>2588</v>
      </c>
      <c r="D1240" s="182" t="s">
        <v>121</v>
      </c>
      <c r="E1240" s="181" t="s">
        <v>4419</v>
      </c>
      <c r="F1240" s="182"/>
      <c r="G1240" s="182">
        <v>5000</v>
      </c>
      <c r="H1240" s="182"/>
      <c r="I1240" s="182"/>
      <c r="J1240" s="182"/>
      <c r="K1240" s="182"/>
      <c r="L1240" s="182"/>
      <c r="M1240" s="182"/>
      <c r="N1240" s="182"/>
      <c r="O1240" s="182"/>
      <c r="P1240" s="182"/>
      <c r="Q1240" s="182"/>
      <c r="R1240" s="182"/>
      <c r="S1240" s="182"/>
      <c r="T1240" s="182"/>
      <c r="U1240" s="182"/>
      <c r="V1240" s="182"/>
      <c r="W1240" s="182"/>
      <c r="X1240" s="182"/>
      <c r="Y1240" s="182"/>
      <c r="Z1240" s="182"/>
      <c r="AA1240" s="182"/>
      <c r="AB1240" s="182"/>
      <c r="AC1240" s="182"/>
      <c r="AD1240" s="182"/>
      <c r="AE1240" s="182"/>
      <c r="AF1240" s="182"/>
      <c r="AG1240" s="182"/>
      <c r="AH1240" s="182"/>
      <c r="AI1240" s="182"/>
      <c r="AJ1240" s="182"/>
      <c r="AK1240" s="182"/>
      <c r="AL1240" s="182"/>
      <c r="AM1240" s="182"/>
      <c r="AN1240" s="182"/>
      <c r="AO1240" s="182"/>
      <c r="AP1240" s="182"/>
      <c r="AQ1240" s="185">
        <v>5000</v>
      </c>
      <c r="AR1240" s="182">
        <v>4463.2</v>
      </c>
      <c r="AS1240" s="182">
        <v>536.79999999999995</v>
      </c>
      <c r="AT1240" s="182"/>
      <c r="AU1240" s="182"/>
      <c r="AV1240" s="182"/>
      <c r="AW1240" s="182"/>
      <c r="AX1240" s="182"/>
      <c r="AY1240" s="182"/>
      <c r="AZ1240" s="182"/>
      <c r="BA1240" s="182"/>
      <c r="BB1240" s="182"/>
      <c r="BC1240" s="182"/>
      <c r="BD1240" s="182"/>
      <c r="BE1240" s="182"/>
      <c r="BF1240" s="182"/>
      <c r="BG1240" s="182"/>
      <c r="BH1240" s="182"/>
      <c r="BI1240" s="182"/>
      <c r="BJ1240" s="182"/>
      <c r="BK1240" s="182"/>
      <c r="BL1240" s="182"/>
      <c r="BM1240" s="182"/>
      <c r="BN1240" s="182"/>
      <c r="BO1240" s="182"/>
      <c r="BP1240" s="182"/>
      <c r="BQ1240" s="182"/>
      <c r="BR1240" s="182"/>
      <c r="BS1240" s="182"/>
      <c r="BT1240" s="182"/>
      <c r="BU1240" s="182"/>
      <c r="BV1240" s="182"/>
      <c r="BW1240" s="182"/>
      <c r="BX1240" s="182"/>
      <c r="BY1240" s="182"/>
      <c r="BZ1240" s="182"/>
      <c r="CA1240" s="182"/>
      <c r="CB1240" s="185">
        <v>5000</v>
      </c>
      <c r="CC1240" s="185">
        <v>0</v>
      </c>
      <c r="CD1240" s="185">
        <v>2588</v>
      </c>
      <c r="CE1240" s="185"/>
    </row>
    <row r="1241" spans="2:83" x14ac:dyDescent="0.3">
      <c r="B1241" s="182">
        <v>4585</v>
      </c>
      <c r="C1241" s="182">
        <v>2589</v>
      </c>
      <c r="D1241" s="182" t="s">
        <v>121</v>
      </c>
      <c r="E1241" s="181" t="s">
        <v>4420</v>
      </c>
      <c r="F1241" s="182"/>
      <c r="G1241" s="182">
        <v>16500</v>
      </c>
      <c r="H1241" s="182"/>
      <c r="I1241" s="182"/>
      <c r="J1241" s="182"/>
      <c r="K1241" s="182"/>
      <c r="L1241" s="182"/>
      <c r="M1241" s="182"/>
      <c r="N1241" s="182"/>
      <c r="O1241" s="182"/>
      <c r="P1241" s="182"/>
      <c r="Q1241" s="182"/>
      <c r="R1241" s="182"/>
      <c r="S1241" s="182"/>
      <c r="T1241" s="182"/>
      <c r="U1241" s="182"/>
      <c r="V1241" s="182"/>
      <c r="W1241" s="182"/>
      <c r="X1241" s="182"/>
      <c r="Y1241" s="182"/>
      <c r="Z1241" s="182"/>
      <c r="AA1241" s="182"/>
      <c r="AB1241" s="182"/>
      <c r="AC1241" s="182"/>
      <c r="AD1241" s="182"/>
      <c r="AE1241" s="182"/>
      <c r="AF1241" s="182"/>
      <c r="AG1241" s="182"/>
      <c r="AH1241" s="182"/>
      <c r="AI1241" s="182"/>
      <c r="AJ1241" s="182"/>
      <c r="AK1241" s="182"/>
      <c r="AL1241" s="182"/>
      <c r="AM1241" s="182"/>
      <c r="AN1241" s="182"/>
      <c r="AO1241" s="182"/>
      <c r="AP1241" s="182"/>
      <c r="AQ1241" s="185">
        <v>16500</v>
      </c>
      <c r="AR1241" s="182">
        <v>14721.65</v>
      </c>
      <c r="AS1241" s="182">
        <v>1778.35</v>
      </c>
      <c r="AT1241" s="182"/>
      <c r="AU1241" s="182"/>
      <c r="AV1241" s="182"/>
      <c r="AW1241" s="182"/>
      <c r="AX1241" s="182"/>
      <c r="AY1241" s="182"/>
      <c r="AZ1241" s="182"/>
      <c r="BA1241" s="182"/>
      <c r="BB1241" s="182"/>
      <c r="BC1241" s="182"/>
      <c r="BD1241" s="182"/>
      <c r="BE1241" s="182"/>
      <c r="BF1241" s="182"/>
      <c r="BG1241" s="182"/>
      <c r="BH1241" s="182"/>
      <c r="BI1241" s="182"/>
      <c r="BJ1241" s="182"/>
      <c r="BK1241" s="182"/>
      <c r="BL1241" s="182"/>
      <c r="BM1241" s="182"/>
      <c r="BN1241" s="182"/>
      <c r="BO1241" s="182"/>
      <c r="BP1241" s="182"/>
      <c r="BQ1241" s="182"/>
      <c r="BR1241" s="182"/>
      <c r="BS1241" s="182"/>
      <c r="BT1241" s="182"/>
      <c r="BU1241" s="182"/>
      <c r="BV1241" s="182"/>
      <c r="BW1241" s="182"/>
      <c r="BX1241" s="182"/>
      <c r="BY1241" s="182"/>
      <c r="BZ1241" s="182"/>
      <c r="CA1241" s="182"/>
      <c r="CB1241" s="185">
        <v>16500</v>
      </c>
      <c r="CC1241" s="185">
        <v>0</v>
      </c>
      <c r="CD1241" s="185">
        <v>2589</v>
      </c>
      <c r="CE1241" s="185"/>
    </row>
    <row r="1242" spans="2:83" x14ac:dyDescent="0.3">
      <c r="B1242" s="182">
        <v>4529</v>
      </c>
      <c r="C1242" s="182">
        <v>2590</v>
      </c>
      <c r="D1242" s="182" t="s">
        <v>121</v>
      </c>
      <c r="E1242" s="181" t="s">
        <v>4421</v>
      </c>
      <c r="F1242" s="182"/>
      <c r="G1242" s="182">
        <v>5500</v>
      </c>
      <c r="H1242" s="182"/>
      <c r="I1242" s="182"/>
      <c r="J1242" s="182"/>
      <c r="K1242" s="182"/>
      <c r="L1242" s="182"/>
      <c r="M1242" s="182"/>
      <c r="N1242" s="182"/>
      <c r="O1242" s="182"/>
      <c r="P1242" s="182"/>
      <c r="Q1242" s="182"/>
      <c r="R1242" s="182"/>
      <c r="S1242" s="182"/>
      <c r="T1242" s="182"/>
      <c r="U1242" s="182"/>
      <c r="V1242" s="182"/>
      <c r="W1242" s="182"/>
      <c r="X1242" s="182"/>
      <c r="Y1242" s="182"/>
      <c r="Z1242" s="182"/>
      <c r="AA1242" s="182"/>
      <c r="AB1242" s="182"/>
      <c r="AC1242" s="182"/>
      <c r="AD1242" s="182"/>
      <c r="AE1242" s="182"/>
      <c r="AF1242" s="182"/>
      <c r="AG1242" s="182"/>
      <c r="AH1242" s="182"/>
      <c r="AI1242" s="182"/>
      <c r="AJ1242" s="182"/>
      <c r="AK1242" s="182"/>
      <c r="AL1242" s="182"/>
      <c r="AM1242" s="182"/>
      <c r="AN1242" s="182"/>
      <c r="AO1242" s="182"/>
      <c r="AP1242" s="182"/>
      <c r="AQ1242" s="185">
        <v>5500</v>
      </c>
      <c r="AR1242" s="182">
        <v>4909.45</v>
      </c>
      <c r="AS1242" s="182">
        <v>590.54999999999995</v>
      </c>
      <c r="AT1242" s="182"/>
      <c r="AU1242" s="182"/>
      <c r="AV1242" s="182"/>
      <c r="AW1242" s="182"/>
      <c r="AX1242" s="182"/>
      <c r="AY1242" s="182"/>
      <c r="AZ1242" s="182"/>
      <c r="BA1242" s="182"/>
      <c r="BB1242" s="182"/>
      <c r="BC1242" s="182"/>
      <c r="BD1242" s="182"/>
      <c r="BE1242" s="182"/>
      <c r="BF1242" s="182"/>
      <c r="BG1242" s="182"/>
      <c r="BH1242" s="182"/>
      <c r="BI1242" s="182"/>
      <c r="BJ1242" s="182"/>
      <c r="BK1242" s="182"/>
      <c r="BL1242" s="182"/>
      <c r="BM1242" s="182"/>
      <c r="BN1242" s="182"/>
      <c r="BO1242" s="182"/>
      <c r="BP1242" s="182"/>
      <c r="BQ1242" s="182"/>
      <c r="BR1242" s="182"/>
      <c r="BS1242" s="182"/>
      <c r="BT1242" s="182"/>
      <c r="BU1242" s="182"/>
      <c r="BV1242" s="182"/>
      <c r="BW1242" s="182"/>
      <c r="BX1242" s="182"/>
      <c r="BY1242" s="182"/>
      <c r="BZ1242" s="182"/>
      <c r="CA1242" s="182"/>
      <c r="CB1242" s="185">
        <v>5500</v>
      </c>
      <c r="CC1242" s="185">
        <v>0</v>
      </c>
      <c r="CD1242" s="185">
        <v>2590</v>
      </c>
      <c r="CE1242" s="185"/>
    </row>
    <row r="1243" spans="2:83" x14ac:dyDescent="0.3">
      <c r="B1243" s="182">
        <v>4531</v>
      </c>
      <c r="C1243" s="182">
        <v>2591</v>
      </c>
      <c r="D1243" s="182" t="s">
        <v>121</v>
      </c>
      <c r="E1243" s="181" t="s">
        <v>4421</v>
      </c>
      <c r="F1243" s="182"/>
      <c r="G1243" s="182">
        <v>6000</v>
      </c>
      <c r="H1243" s="182"/>
      <c r="I1243" s="182"/>
      <c r="J1243" s="182"/>
      <c r="K1243" s="182"/>
      <c r="L1243" s="182"/>
      <c r="M1243" s="182"/>
      <c r="N1243" s="182"/>
      <c r="O1243" s="182"/>
      <c r="P1243" s="182"/>
      <c r="Q1243" s="182"/>
      <c r="R1243" s="182"/>
      <c r="S1243" s="182"/>
      <c r="T1243" s="182"/>
      <c r="U1243" s="182"/>
      <c r="V1243" s="182"/>
      <c r="W1243" s="182"/>
      <c r="X1243" s="182"/>
      <c r="Y1243" s="182"/>
      <c r="Z1243" s="182"/>
      <c r="AA1243" s="182"/>
      <c r="AB1243" s="182"/>
      <c r="AC1243" s="182"/>
      <c r="AD1243" s="182"/>
      <c r="AE1243" s="182"/>
      <c r="AF1243" s="182"/>
      <c r="AG1243" s="182"/>
      <c r="AH1243" s="182"/>
      <c r="AI1243" s="182"/>
      <c r="AJ1243" s="182"/>
      <c r="AK1243" s="182"/>
      <c r="AL1243" s="182"/>
      <c r="AM1243" s="182"/>
      <c r="AN1243" s="182"/>
      <c r="AO1243" s="182"/>
      <c r="AP1243" s="182"/>
      <c r="AQ1243" s="185">
        <v>6000</v>
      </c>
      <c r="AR1243" s="182">
        <v>5355.7</v>
      </c>
      <c r="AS1243" s="182">
        <v>644.29999999999995</v>
      </c>
      <c r="AT1243" s="182"/>
      <c r="AU1243" s="182"/>
      <c r="AV1243" s="182"/>
      <c r="AW1243" s="182"/>
      <c r="AX1243" s="182"/>
      <c r="AY1243" s="182"/>
      <c r="AZ1243" s="182"/>
      <c r="BA1243" s="182"/>
      <c r="BB1243" s="182"/>
      <c r="BC1243" s="182"/>
      <c r="BD1243" s="182"/>
      <c r="BE1243" s="182"/>
      <c r="BF1243" s="182"/>
      <c r="BG1243" s="182"/>
      <c r="BH1243" s="182"/>
      <c r="BI1243" s="182"/>
      <c r="BJ1243" s="182"/>
      <c r="BK1243" s="182"/>
      <c r="BL1243" s="182"/>
      <c r="BM1243" s="182"/>
      <c r="BN1243" s="182"/>
      <c r="BO1243" s="182"/>
      <c r="BP1243" s="182"/>
      <c r="BQ1243" s="182"/>
      <c r="BR1243" s="182"/>
      <c r="BS1243" s="182"/>
      <c r="BT1243" s="182"/>
      <c r="BU1243" s="182"/>
      <c r="BV1243" s="182"/>
      <c r="BW1243" s="182"/>
      <c r="BX1243" s="182"/>
      <c r="BY1243" s="182"/>
      <c r="BZ1243" s="182"/>
      <c r="CA1243" s="182"/>
      <c r="CB1243" s="185">
        <v>6000</v>
      </c>
      <c r="CC1243" s="185">
        <v>0</v>
      </c>
      <c r="CD1243" s="185">
        <v>2591</v>
      </c>
      <c r="CE1243" s="185"/>
    </row>
    <row r="1244" spans="2:83" x14ac:dyDescent="0.3">
      <c r="B1244" s="182">
        <v>4530</v>
      </c>
      <c r="C1244" s="182">
        <v>2592</v>
      </c>
      <c r="D1244" s="182" t="s">
        <v>121</v>
      </c>
      <c r="E1244" s="181" t="s">
        <v>4421</v>
      </c>
      <c r="F1244" s="182"/>
      <c r="G1244" s="182">
        <v>12000</v>
      </c>
      <c r="H1244" s="182"/>
      <c r="I1244" s="182"/>
      <c r="J1244" s="182"/>
      <c r="K1244" s="182"/>
      <c r="L1244" s="182"/>
      <c r="M1244" s="182"/>
      <c r="N1244" s="182"/>
      <c r="O1244" s="182"/>
      <c r="P1244" s="182"/>
      <c r="Q1244" s="182"/>
      <c r="R1244" s="182"/>
      <c r="S1244" s="182"/>
      <c r="T1244" s="182"/>
      <c r="U1244" s="182"/>
      <c r="V1244" s="182"/>
      <c r="W1244" s="182"/>
      <c r="X1244" s="182"/>
      <c r="Y1244" s="182"/>
      <c r="Z1244" s="182"/>
      <c r="AA1244" s="182"/>
      <c r="AB1244" s="182"/>
      <c r="AC1244" s="182"/>
      <c r="AD1244" s="182"/>
      <c r="AE1244" s="182"/>
      <c r="AF1244" s="182"/>
      <c r="AG1244" s="182"/>
      <c r="AH1244" s="182"/>
      <c r="AI1244" s="182"/>
      <c r="AJ1244" s="182"/>
      <c r="AK1244" s="182"/>
      <c r="AL1244" s="182"/>
      <c r="AM1244" s="182"/>
      <c r="AN1244" s="182"/>
      <c r="AO1244" s="182"/>
      <c r="AP1244" s="182"/>
      <c r="AQ1244" s="185">
        <v>12000</v>
      </c>
      <c r="AR1244" s="182">
        <v>10711.4</v>
      </c>
      <c r="AS1244" s="182">
        <v>1288.5999999999999</v>
      </c>
      <c r="AT1244" s="182"/>
      <c r="AU1244" s="182"/>
      <c r="AV1244" s="182"/>
      <c r="AW1244" s="182"/>
      <c r="AX1244" s="182"/>
      <c r="AY1244" s="182"/>
      <c r="AZ1244" s="182"/>
      <c r="BA1244" s="182"/>
      <c r="BB1244" s="182"/>
      <c r="BC1244" s="182"/>
      <c r="BD1244" s="182"/>
      <c r="BE1244" s="182"/>
      <c r="BF1244" s="182"/>
      <c r="BG1244" s="182"/>
      <c r="BH1244" s="182"/>
      <c r="BI1244" s="182"/>
      <c r="BJ1244" s="182"/>
      <c r="BK1244" s="182"/>
      <c r="BL1244" s="182"/>
      <c r="BM1244" s="182"/>
      <c r="BN1244" s="182"/>
      <c r="BO1244" s="182"/>
      <c r="BP1244" s="182"/>
      <c r="BQ1244" s="182"/>
      <c r="BR1244" s="182"/>
      <c r="BS1244" s="182"/>
      <c r="BT1244" s="182"/>
      <c r="BU1244" s="182"/>
      <c r="BV1244" s="182"/>
      <c r="BW1244" s="182"/>
      <c r="BX1244" s="182"/>
      <c r="BY1244" s="182"/>
      <c r="BZ1244" s="182"/>
      <c r="CA1244" s="182"/>
      <c r="CB1244" s="185">
        <v>12000</v>
      </c>
      <c r="CC1244" s="185">
        <v>0</v>
      </c>
      <c r="CD1244" s="185">
        <v>2592</v>
      </c>
      <c r="CE1244" s="185"/>
    </row>
    <row r="1245" spans="2:83" x14ac:dyDescent="0.3">
      <c r="B1245" s="182">
        <v>4527</v>
      </c>
      <c r="C1245" s="182">
        <v>2593</v>
      </c>
      <c r="D1245" s="182" t="s">
        <v>121</v>
      </c>
      <c r="E1245" s="181" t="s">
        <v>4421</v>
      </c>
      <c r="F1245" s="182"/>
      <c r="G1245" s="182">
        <v>47500</v>
      </c>
      <c r="H1245" s="182"/>
      <c r="I1245" s="182"/>
      <c r="J1245" s="182"/>
      <c r="K1245" s="182"/>
      <c r="L1245" s="182"/>
      <c r="M1245" s="182"/>
      <c r="N1245" s="182"/>
      <c r="O1245" s="182"/>
      <c r="P1245" s="182"/>
      <c r="Q1245" s="182"/>
      <c r="R1245" s="182"/>
      <c r="S1245" s="182"/>
      <c r="T1245" s="182"/>
      <c r="U1245" s="182"/>
      <c r="V1245" s="182"/>
      <c r="W1245" s="182"/>
      <c r="X1245" s="182"/>
      <c r="Y1245" s="182"/>
      <c r="Z1245" s="182"/>
      <c r="AA1245" s="182"/>
      <c r="AB1245" s="182"/>
      <c r="AC1245" s="182"/>
      <c r="AD1245" s="182"/>
      <c r="AE1245" s="182"/>
      <c r="AF1245" s="182"/>
      <c r="AG1245" s="182"/>
      <c r="AH1245" s="182"/>
      <c r="AI1245" s="182"/>
      <c r="AJ1245" s="182"/>
      <c r="AK1245" s="182"/>
      <c r="AL1245" s="182"/>
      <c r="AM1245" s="182"/>
      <c r="AN1245" s="182"/>
      <c r="AO1245" s="182"/>
      <c r="AP1245" s="182"/>
      <c r="AQ1245" s="185">
        <v>47500</v>
      </c>
      <c r="AR1245" s="182">
        <v>42409.1</v>
      </c>
      <c r="AS1245" s="182">
        <v>5090.8999999999996</v>
      </c>
      <c r="AT1245" s="182"/>
      <c r="AU1245" s="182"/>
      <c r="AV1245" s="182"/>
      <c r="AW1245" s="182"/>
      <c r="AX1245" s="182"/>
      <c r="AY1245" s="182"/>
      <c r="AZ1245" s="182"/>
      <c r="BA1245" s="182"/>
      <c r="BB1245" s="182"/>
      <c r="BC1245" s="182"/>
      <c r="BD1245" s="182"/>
      <c r="BE1245" s="182"/>
      <c r="BF1245" s="182"/>
      <c r="BG1245" s="182"/>
      <c r="BH1245" s="182"/>
      <c r="BI1245" s="182"/>
      <c r="BJ1245" s="182"/>
      <c r="BK1245" s="182"/>
      <c r="BL1245" s="182"/>
      <c r="BM1245" s="182"/>
      <c r="BN1245" s="182"/>
      <c r="BO1245" s="182"/>
      <c r="BP1245" s="182"/>
      <c r="BQ1245" s="182"/>
      <c r="BR1245" s="182"/>
      <c r="BS1245" s="182"/>
      <c r="BT1245" s="182"/>
      <c r="BU1245" s="182"/>
      <c r="BV1245" s="182"/>
      <c r="BW1245" s="182"/>
      <c r="BX1245" s="182"/>
      <c r="BY1245" s="182"/>
      <c r="BZ1245" s="182"/>
      <c r="CA1245" s="182"/>
      <c r="CB1245" s="185">
        <v>47500</v>
      </c>
      <c r="CC1245" s="185">
        <v>0</v>
      </c>
      <c r="CD1245" s="185">
        <v>2593</v>
      </c>
      <c r="CE1245" s="185"/>
    </row>
    <row r="1246" spans="2:83" x14ac:dyDescent="0.3">
      <c r="B1246" s="182">
        <v>4528</v>
      </c>
      <c r="C1246" s="182">
        <v>2594</v>
      </c>
      <c r="D1246" s="182" t="s">
        <v>121</v>
      </c>
      <c r="E1246" s="181" t="s">
        <v>4421</v>
      </c>
      <c r="F1246" s="182"/>
      <c r="G1246" s="182">
        <v>5000</v>
      </c>
      <c r="H1246" s="182"/>
      <c r="I1246" s="182"/>
      <c r="J1246" s="182"/>
      <c r="K1246" s="182"/>
      <c r="L1246" s="182"/>
      <c r="M1246" s="182"/>
      <c r="N1246" s="182"/>
      <c r="O1246" s="182"/>
      <c r="P1246" s="182"/>
      <c r="Q1246" s="182"/>
      <c r="R1246" s="182"/>
      <c r="S1246" s="182"/>
      <c r="T1246" s="182"/>
      <c r="U1246" s="182"/>
      <c r="V1246" s="182"/>
      <c r="W1246" s="182"/>
      <c r="X1246" s="182"/>
      <c r="Y1246" s="182"/>
      <c r="Z1246" s="182"/>
      <c r="AA1246" s="182"/>
      <c r="AB1246" s="182"/>
      <c r="AC1246" s="182"/>
      <c r="AD1246" s="182"/>
      <c r="AE1246" s="182"/>
      <c r="AF1246" s="182"/>
      <c r="AG1246" s="182"/>
      <c r="AH1246" s="182"/>
      <c r="AI1246" s="182"/>
      <c r="AJ1246" s="182"/>
      <c r="AK1246" s="182"/>
      <c r="AL1246" s="182"/>
      <c r="AM1246" s="182"/>
      <c r="AN1246" s="182"/>
      <c r="AO1246" s="182"/>
      <c r="AP1246" s="182"/>
      <c r="AQ1246" s="185">
        <v>5000</v>
      </c>
      <c r="AR1246" s="182">
        <v>4462.8500000000004</v>
      </c>
      <c r="AS1246" s="182">
        <v>537.15</v>
      </c>
      <c r="AT1246" s="182"/>
      <c r="AU1246" s="182"/>
      <c r="AV1246" s="182"/>
      <c r="AW1246" s="182"/>
      <c r="AX1246" s="182"/>
      <c r="AY1246" s="182"/>
      <c r="AZ1246" s="182"/>
      <c r="BA1246" s="182"/>
      <c r="BB1246" s="182"/>
      <c r="BC1246" s="182"/>
      <c r="BD1246" s="182"/>
      <c r="BE1246" s="182"/>
      <c r="BF1246" s="182"/>
      <c r="BG1246" s="182"/>
      <c r="BH1246" s="182"/>
      <c r="BI1246" s="182"/>
      <c r="BJ1246" s="182"/>
      <c r="BK1246" s="182"/>
      <c r="BL1246" s="182"/>
      <c r="BM1246" s="182"/>
      <c r="BN1246" s="182"/>
      <c r="BO1246" s="182"/>
      <c r="BP1246" s="182"/>
      <c r="BQ1246" s="182"/>
      <c r="BR1246" s="182"/>
      <c r="BS1246" s="182"/>
      <c r="BT1246" s="182"/>
      <c r="BU1246" s="182"/>
      <c r="BV1246" s="182"/>
      <c r="BW1246" s="182"/>
      <c r="BX1246" s="182"/>
      <c r="BY1246" s="182"/>
      <c r="BZ1246" s="182"/>
      <c r="CA1246" s="182"/>
      <c r="CB1246" s="185">
        <v>5000</v>
      </c>
      <c r="CC1246" s="185">
        <v>0</v>
      </c>
      <c r="CD1246" s="185">
        <v>2594</v>
      </c>
      <c r="CE1246" s="185"/>
    </row>
    <row r="1247" spans="2:83" x14ac:dyDescent="0.3">
      <c r="B1247" s="182">
        <v>4559</v>
      </c>
      <c r="C1247" s="182">
        <v>2595</v>
      </c>
      <c r="D1247" s="182" t="s">
        <v>121</v>
      </c>
      <c r="E1247" s="181" t="s">
        <v>4422</v>
      </c>
      <c r="F1247" s="182"/>
      <c r="G1247" s="182">
        <v>28130</v>
      </c>
      <c r="H1247" s="182"/>
      <c r="I1247" s="182"/>
      <c r="J1247" s="182"/>
      <c r="K1247" s="182"/>
      <c r="L1247" s="182"/>
      <c r="M1247" s="182"/>
      <c r="N1247" s="182"/>
      <c r="O1247" s="182"/>
      <c r="P1247" s="182"/>
      <c r="Q1247" s="182"/>
      <c r="R1247" s="182"/>
      <c r="S1247" s="182"/>
      <c r="T1247" s="182"/>
      <c r="U1247" s="182"/>
      <c r="V1247" s="182"/>
      <c r="W1247" s="182"/>
      <c r="X1247" s="182"/>
      <c r="Y1247" s="182"/>
      <c r="Z1247" s="182"/>
      <c r="AA1247" s="182"/>
      <c r="AB1247" s="182"/>
      <c r="AC1247" s="182"/>
      <c r="AD1247" s="182"/>
      <c r="AE1247" s="182"/>
      <c r="AF1247" s="182"/>
      <c r="AG1247" s="182"/>
      <c r="AH1247" s="182"/>
      <c r="AI1247" s="182"/>
      <c r="AJ1247" s="182"/>
      <c r="AK1247" s="182"/>
      <c r="AL1247" s="182"/>
      <c r="AM1247" s="182"/>
      <c r="AN1247" s="182"/>
      <c r="AO1247" s="182"/>
      <c r="AP1247" s="182"/>
      <c r="AQ1247" s="185">
        <v>28130</v>
      </c>
      <c r="AR1247" s="182">
        <v>25110.799999999999</v>
      </c>
      <c r="AS1247" s="182">
        <v>3019.2</v>
      </c>
      <c r="AT1247" s="182"/>
      <c r="AU1247" s="182"/>
      <c r="AV1247" s="182"/>
      <c r="AW1247" s="182"/>
      <c r="AX1247" s="182"/>
      <c r="AY1247" s="182"/>
      <c r="AZ1247" s="182"/>
      <c r="BA1247" s="182"/>
      <c r="BB1247" s="182"/>
      <c r="BC1247" s="182"/>
      <c r="BD1247" s="182"/>
      <c r="BE1247" s="182"/>
      <c r="BF1247" s="182"/>
      <c r="BG1247" s="182"/>
      <c r="BH1247" s="182"/>
      <c r="BI1247" s="182"/>
      <c r="BJ1247" s="182"/>
      <c r="BK1247" s="182"/>
      <c r="BL1247" s="182"/>
      <c r="BM1247" s="182"/>
      <c r="BN1247" s="182"/>
      <c r="BO1247" s="182"/>
      <c r="BP1247" s="182"/>
      <c r="BQ1247" s="182"/>
      <c r="BR1247" s="182"/>
      <c r="BS1247" s="182"/>
      <c r="BT1247" s="182"/>
      <c r="BU1247" s="182"/>
      <c r="BV1247" s="182"/>
      <c r="BW1247" s="182"/>
      <c r="BX1247" s="182"/>
      <c r="BY1247" s="182"/>
      <c r="BZ1247" s="182"/>
      <c r="CA1247" s="182"/>
      <c r="CB1247" s="185">
        <v>28130</v>
      </c>
      <c r="CC1247" s="185">
        <v>0</v>
      </c>
      <c r="CD1247" s="185">
        <v>2595</v>
      </c>
      <c r="CE1247" s="185"/>
    </row>
    <row r="1248" spans="2:83" x14ac:dyDescent="0.3">
      <c r="B1248" s="182">
        <v>4582</v>
      </c>
      <c r="C1248" s="182">
        <v>2596</v>
      </c>
      <c r="D1248" s="182" t="s">
        <v>121</v>
      </c>
      <c r="E1248" s="181" t="s">
        <v>4423</v>
      </c>
      <c r="F1248" s="182"/>
      <c r="G1248" s="182">
        <v>19913.62</v>
      </c>
      <c r="H1248" s="182"/>
      <c r="I1248" s="182"/>
      <c r="J1248" s="182"/>
      <c r="K1248" s="182"/>
      <c r="L1248" s="182"/>
      <c r="M1248" s="182"/>
      <c r="N1248" s="182"/>
      <c r="O1248" s="182"/>
      <c r="P1248" s="182"/>
      <c r="Q1248" s="182"/>
      <c r="R1248" s="182"/>
      <c r="S1248" s="182"/>
      <c r="T1248" s="182"/>
      <c r="U1248" s="182"/>
      <c r="V1248" s="182"/>
      <c r="W1248" s="182"/>
      <c r="X1248" s="182"/>
      <c r="Y1248" s="182"/>
      <c r="Z1248" s="182"/>
      <c r="AA1248" s="182"/>
      <c r="AB1248" s="182"/>
      <c r="AC1248" s="182"/>
      <c r="AD1248" s="182"/>
      <c r="AE1248" s="182"/>
      <c r="AF1248" s="182"/>
      <c r="AG1248" s="182"/>
      <c r="AH1248" s="182"/>
      <c r="AI1248" s="182"/>
      <c r="AJ1248" s="182"/>
      <c r="AK1248" s="182"/>
      <c r="AL1248" s="182"/>
      <c r="AM1248" s="182"/>
      <c r="AN1248" s="182"/>
      <c r="AO1248" s="182"/>
      <c r="AP1248" s="182"/>
      <c r="AQ1248" s="185">
        <v>19913.62</v>
      </c>
      <c r="AR1248" s="182">
        <v>17452.38</v>
      </c>
      <c r="AS1248" s="182">
        <v>2111.4</v>
      </c>
      <c r="AT1248" s="182">
        <v>349.84</v>
      </c>
      <c r="AU1248" s="182"/>
      <c r="AV1248" s="182"/>
      <c r="AW1248" s="182"/>
      <c r="AX1248" s="182"/>
      <c r="AY1248" s="182"/>
      <c r="AZ1248" s="182"/>
      <c r="BA1248" s="182"/>
      <c r="BB1248" s="182"/>
      <c r="BC1248" s="182"/>
      <c r="BD1248" s="182"/>
      <c r="BE1248" s="182"/>
      <c r="BF1248" s="182"/>
      <c r="BG1248" s="182"/>
      <c r="BH1248" s="182"/>
      <c r="BI1248" s="182"/>
      <c r="BJ1248" s="182"/>
      <c r="BK1248" s="182"/>
      <c r="BL1248" s="182"/>
      <c r="BM1248" s="182"/>
      <c r="BN1248" s="182"/>
      <c r="BO1248" s="182"/>
      <c r="BP1248" s="182"/>
      <c r="BQ1248" s="182"/>
      <c r="BR1248" s="182"/>
      <c r="BS1248" s="182"/>
      <c r="BT1248" s="182"/>
      <c r="BU1248" s="182"/>
      <c r="BV1248" s="182"/>
      <c r="BW1248" s="182"/>
      <c r="BX1248" s="182"/>
      <c r="BY1248" s="182"/>
      <c r="BZ1248" s="182"/>
      <c r="CA1248" s="182"/>
      <c r="CB1248" s="185">
        <v>19913.620000000003</v>
      </c>
      <c r="CC1248" s="185">
        <v>0</v>
      </c>
      <c r="CD1248" s="185">
        <v>2596</v>
      </c>
      <c r="CE1248" s="185"/>
    </row>
    <row r="1249" spans="2:83" x14ac:dyDescent="0.3">
      <c r="B1249" s="182">
        <v>4570</v>
      </c>
      <c r="C1249" s="182">
        <v>2597</v>
      </c>
      <c r="D1249" s="182" t="s">
        <v>121</v>
      </c>
      <c r="E1249" s="181" t="s">
        <v>4424</v>
      </c>
      <c r="F1249" s="182"/>
      <c r="G1249" s="182">
        <v>879.38</v>
      </c>
      <c r="H1249" s="182"/>
      <c r="I1249" s="182"/>
      <c r="J1249" s="182"/>
      <c r="K1249" s="182"/>
      <c r="L1249" s="182"/>
      <c r="M1249" s="182"/>
      <c r="N1249" s="182"/>
      <c r="O1249" s="182"/>
      <c r="P1249" s="182"/>
      <c r="Q1249" s="182"/>
      <c r="R1249" s="182"/>
      <c r="S1249" s="182"/>
      <c r="T1249" s="182"/>
      <c r="U1249" s="182"/>
      <c r="V1249" s="182"/>
      <c r="W1249" s="182"/>
      <c r="X1249" s="182"/>
      <c r="Y1249" s="182"/>
      <c r="Z1249" s="182"/>
      <c r="AA1249" s="182"/>
      <c r="AB1249" s="182"/>
      <c r="AC1249" s="182"/>
      <c r="AD1249" s="182"/>
      <c r="AE1249" s="182"/>
      <c r="AF1249" s="182"/>
      <c r="AG1249" s="182"/>
      <c r="AH1249" s="182"/>
      <c r="AI1249" s="182"/>
      <c r="AJ1249" s="182"/>
      <c r="AK1249" s="182"/>
      <c r="AL1249" s="182"/>
      <c r="AM1249" s="182"/>
      <c r="AN1249" s="182"/>
      <c r="AO1249" s="182"/>
      <c r="AP1249" s="182"/>
      <c r="AQ1249" s="185">
        <v>879.38</v>
      </c>
      <c r="AR1249" s="182">
        <v>588.15</v>
      </c>
      <c r="AS1249" s="182">
        <v>79.349999999999994</v>
      </c>
      <c r="AT1249" s="182">
        <v>211.88</v>
      </c>
      <c r="AU1249" s="182"/>
      <c r="AV1249" s="182"/>
      <c r="AW1249" s="182"/>
      <c r="AX1249" s="182"/>
      <c r="AY1249" s="182"/>
      <c r="AZ1249" s="182"/>
      <c r="BA1249" s="182"/>
      <c r="BB1249" s="182"/>
      <c r="BC1249" s="182"/>
      <c r="BD1249" s="182"/>
      <c r="BE1249" s="182"/>
      <c r="BF1249" s="182"/>
      <c r="BG1249" s="182"/>
      <c r="BH1249" s="182"/>
      <c r="BI1249" s="182"/>
      <c r="BJ1249" s="182"/>
      <c r="BK1249" s="182"/>
      <c r="BL1249" s="182"/>
      <c r="BM1249" s="182"/>
      <c r="BN1249" s="182"/>
      <c r="BO1249" s="182"/>
      <c r="BP1249" s="182"/>
      <c r="BQ1249" s="182"/>
      <c r="BR1249" s="182"/>
      <c r="BS1249" s="182"/>
      <c r="BT1249" s="182"/>
      <c r="BU1249" s="182"/>
      <c r="BV1249" s="182"/>
      <c r="BW1249" s="182"/>
      <c r="BX1249" s="182"/>
      <c r="BY1249" s="182"/>
      <c r="BZ1249" s="182"/>
      <c r="CA1249" s="182"/>
      <c r="CB1249" s="185">
        <v>879.38</v>
      </c>
      <c r="CC1249" s="185">
        <v>0</v>
      </c>
      <c r="CD1249" s="185">
        <v>2597</v>
      </c>
      <c r="CE1249" s="185"/>
    </row>
    <row r="1250" spans="2:83" x14ac:dyDescent="0.3">
      <c r="B1250" s="182">
        <v>4577</v>
      </c>
      <c r="C1250" s="182">
        <v>2598</v>
      </c>
      <c r="D1250" s="182" t="s">
        <v>121</v>
      </c>
      <c r="E1250" s="181" t="s">
        <v>4425</v>
      </c>
      <c r="F1250" s="182"/>
      <c r="G1250" s="182">
        <v>1500</v>
      </c>
      <c r="H1250" s="182"/>
      <c r="I1250" s="182"/>
      <c r="J1250" s="182"/>
      <c r="K1250" s="182"/>
      <c r="L1250" s="182"/>
      <c r="M1250" s="182"/>
      <c r="N1250" s="182"/>
      <c r="O1250" s="182"/>
      <c r="P1250" s="182"/>
      <c r="Q1250" s="182"/>
      <c r="R1250" s="182"/>
      <c r="S1250" s="182"/>
      <c r="T1250" s="182"/>
      <c r="U1250" s="182"/>
      <c r="V1250" s="182"/>
      <c r="W1250" s="182"/>
      <c r="X1250" s="182"/>
      <c r="Y1250" s="182"/>
      <c r="Z1250" s="182"/>
      <c r="AA1250" s="182"/>
      <c r="AB1250" s="182"/>
      <c r="AC1250" s="182"/>
      <c r="AD1250" s="182"/>
      <c r="AE1250" s="182"/>
      <c r="AF1250" s="182"/>
      <c r="AG1250" s="182"/>
      <c r="AH1250" s="182"/>
      <c r="AI1250" s="182"/>
      <c r="AJ1250" s="182"/>
      <c r="AK1250" s="182"/>
      <c r="AL1250" s="182"/>
      <c r="AM1250" s="182"/>
      <c r="AN1250" s="182"/>
      <c r="AO1250" s="182"/>
      <c r="AP1250" s="182"/>
      <c r="AQ1250" s="185">
        <v>1500</v>
      </c>
      <c r="AR1250" s="182">
        <v>1339.1</v>
      </c>
      <c r="AS1250" s="182">
        <v>160.9</v>
      </c>
      <c r="AT1250" s="182"/>
      <c r="AU1250" s="182"/>
      <c r="AV1250" s="182"/>
      <c r="AW1250" s="182"/>
      <c r="AX1250" s="182"/>
      <c r="AY1250" s="182"/>
      <c r="AZ1250" s="182"/>
      <c r="BA1250" s="182"/>
      <c r="BB1250" s="182"/>
      <c r="BC1250" s="182"/>
      <c r="BD1250" s="182"/>
      <c r="BE1250" s="182"/>
      <c r="BF1250" s="182"/>
      <c r="BG1250" s="182"/>
      <c r="BH1250" s="182"/>
      <c r="BI1250" s="182"/>
      <c r="BJ1250" s="182"/>
      <c r="BK1250" s="182"/>
      <c r="BL1250" s="182"/>
      <c r="BM1250" s="182"/>
      <c r="BN1250" s="182"/>
      <c r="BO1250" s="182"/>
      <c r="BP1250" s="182"/>
      <c r="BQ1250" s="182"/>
      <c r="BR1250" s="182"/>
      <c r="BS1250" s="182"/>
      <c r="BT1250" s="182"/>
      <c r="BU1250" s="182"/>
      <c r="BV1250" s="182"/>
      <c r="BW1250" s="182"/>
      <c r="BX1250" s="182"/>
      <c r="BY1250" s="182"/>
      <c r="BZ1250" s="182"/>
      <c r="CA1250" s="182"/>
      <c r="CB1250" s="185">
        <v>1500</v>
      </c>
      <c r="CC1250" s="185">
        <v>0</v>
      </c>
      <c r="CD1250" s="185">
        <v>2598</v>
      </c>
      <c r="CE1250" s="185"/>
    </row>
    <row r="1251" spans="2:83" x14ac:dyDescent="0.3">
      <c r="B1251" s="182">
        <v>4580</v>
      </c>
      <c r="C1251" s="182">
        <v>2599</v>
      </c>
      <c r="D1251" s="182" t="s">
        <v>121</v>
      </c>
      <c r="E1251" s="181" t="s">
        <v>4426</v>
      </c>
      <c r="F1251" s="182"/>
      <c r="G1251" s="182">
        <v>7172.5</v>
      </c>
      <c r="H1251" s="182"/>
      <c r="I1251" s="182"/>
      <c r="J1251" s="182"/>
      <c r="K1251" s="182"/>
      <c r="L1251" s="182"/>
      <c r="M1251" s="182"/>
      <c r="N1251" s="182"/>
      <c r="O1251" s="182"/>
      <c r="P1251" s="182"/>
      <c r="Q1251" s="182"/>
      <c r="R1251" s="182"/>
      <c r="S1251" s="182"/>
      <c r="T1251" s="182"/>
      <c r="U1251" s="182"/>
      <c r="V1251" s="182"/>
      <c r="W1251" s="182"/>
      <c r="X1251" s="182"/>
      <c r="Y1251" s="182"/>
      <c r="Z1251" s="182"/>
      <c r="AA1251" s="182"/>
      <c r="AB1251" s="182"/>
      <c r="AC1251" s="182"/>
      <c r="AD1251" s="182"/>
      <c r="AE1251" s="182"/>
      <c r="AF1251" s="182"/>
      <c r="AG1251" s="182"/>
      <c r="AH1251" s="182"/>
      <c r="AI1251" s="182"/>
      <c r="AJ1251" s="182"/>
      <c r="AK1251" s="182"/>
      <c r="AL1251" s="182"/>
      <c r="AM1251" s="182"/>
      <c r="AN1251" s="182"/>
      <c r="AO1251" s="182"/>
      <c r="AP1251" s="182"/>
      <c r="AQ1251" s="185">
        <v>7172.5</v>
      </c>
      <c r="AR1251" s="182">
        <v>6139.8</v>
      </c>
      <c r="AS1251" s="182">
        <v>750.2</v>
      </c>
      <c r="AT1251" s="182">
        <v>282.5</v>
      </c>
      <c r="AU1251" s="182"/>
      <c r="AV1251" s="182"/>
      <c r="AW1251" s="182"/>
      <c r="AX1251" s="182"/>
      <c r="AY1251" s="182"/>
      <c r="AZ1251" s="182"/>
      <c r="BA1251" s="182"/>
      <c r="BB1251" s="182"/>
      <c r="BC1251" s="182"/>
      <c r="BD1251" s="182"/>
      <c r="BE1251" s="182"/>
      <c r="BF1251" s="182"/>
      <c r="BG1251" s="182"/>
      <c r="BH1251" s="182"/>
      <c r="BI1251" s="182"/>
      <c r="BJ1251" s="182"/>
      <c r="BK1251" s="182"/>
      <c r="BL1251" s="182"/>
      <c r="BM1251" s="182"/>
      <c r="BN1251" s="182"/>
      <c r="BO1251" s="182"/>
      <c r="BP1251" s="182"/>
      <c r="BQ1251" s="182"/>
      <c r="BR1251" s="182"/>
      <c r="BS1251" s="182"/>
      <c r="BT1251" s="182"/>
      <c r="BU1251" s="182"/>
      <c r="BV1251" s="182"/>
      <c r="BW1251" s="182"/>
      <c r="BX1251" s="182"/>
      <c r="BY1251" s="182"/>
      <c r="BZ1251" s="182"/>
      <c r="CA1251" s="182"/>
      <c r="CB1251" s="185">
        <v>7172.5</v>
      </c>
      <c r="CC1251" s="185">
        <v>0</v>
      </c>
      <c r="CD1251" s="185">
        <v>2599</v>
      </c>
      <c r="CE1251" s="185"/>
    </row>
    <row r="1252" spans="2:83" x14ac:dyDescent="0.3">
      <c r="B1252" s="182">
        <v>4583</v>
      </c>
      <c r="C1252" s="182">
        <v>2600</v>
      </c>
      <c r="D1252" s="182" t="s">
        <v>121</v>
      </c>
      <c r="E1252" s="181" t="s">
        <v>4427</v>
      </c>
      <c r="F1252" s="182"/>
      <c r="G1252" s="182">
        <v>879.4</v>
      </c>
      <c r="H1252" s="182"/>
      <c r="I1252" s="182"/>
      <c r="J1252" s="182"/>
      <c r="K1252" s="182"/>
      <c r="L1252" s="182"/>
      <c r="M1252" s="182"/>
      <c r="N1252" s="182"/>
      <c r="O1252" s="182"/>
      <c r="P1252" s="182"/>
      <c r="Q1252" s="182"/>
      <c r="R1252" s="182"/>
      <c r="S1252" s="182"/>
      <c r="T1252" s="182"/>
      <c r="U1252" s="182"/>
      <c r="V1252" s="182"/>
      <c r="W1252" s="182"/>
      <c r="X1252" s="182"/>
      <c r="Y1252" s="182"/>
      <c r="Z1252" s="182"/>
      <c r="AA1252" s="182"/>
      <c r="AB1252" s="182"/>
      <c r="AC1252" s="182"/>
      <c r="AD1252" s="182"/>
      <c r="AE1252" s="182"/>
      <c r="AF1252" s="182"/>
      <c r="AG1252" s="182"/>
      <c r="AH1252" s="182"/>
      <c r="AI1252" s="182"/>
      <c r="AJ1252" s="182"/>
      <c r="AK1252" s="182"/>
      <c r="AL1252" s="182"/>
      <c r="AM1252" s="182"/>
      <c r="AN1252" s="182"/>
      <c r="AO1252" s="182"/>
      <c r="AP1252" s="182"/>
      <c r="AQ1252" s="185">
        <v>879.4</v>
      </c>
      <c r="AR1252" s="182">
        <v>590</v>
      </c>
      <c r="AS1252" s="182">
        <v>77.5</v>
      </c>
      <c r="AT1252" s="182">
        <v>211.9</v>
      </c>
      <c r="AU1252" s="182"/>
      <c r="AV1252" s="182"/>
      <c r="AW1252" s="182"/>
      <c r="AX1252" s="182"/>
      <c r="AY1252" s="182"/>
      <c r="AZ1252" s="182"/>
      <c r="BA1252" s="182"/>
      <c r="BB1252" s="182"/>
      <c r="BC1252" s="182"/>
      <c r="BD1252" s="182"/>
      <c r="BE1252" s="182"/>
      <c r="BF1252" s="182"/>
      <c r="BG1252" s="182"/>
      <c r="BH1252" s="182"/>
      <c r="BI1252" s="182"/>
      <c r="BJ1252" s="182"/>
      <c r="BK1252" s="182"/>
      <c r="BL1252" s="182"/>
      <c r="BM1252" s="182"/>
      <c r="BN1252" s="182"/>
      <c r="BO1252" s="182"/>
      <c r="BP1252" s="182"/>
      <c r="BQ1252" s="182"/>
      <c r="BR1252" s="182"/>
      <c r="BS1252" s="182"/>
      <c r="BT1252" s="182"/>
      <c r="BU1252" s="182"/>
      <c r="BV1252" s="182"/>
      <c r="BW1252" s="182"/>
      <c r="BX1252" s="182"/>
      <c r="BY1252" s="182"/>
      <c r="BZ1252" s="182"/>
      <c r="CA1252" s="182"/>
      <c r="CB1252" s="185">
        <v>879.4</v>
      </c>
      <c r="CC1252" s="185">
        <v>0</v>
      </c>
      <c r="CD1252" s="185">
        <v>2600</v>
      </c>
      <c r="CE1252" s="185"/>
    </row>
    <row r="1253" spans="2:83" x14ac:dyDescent="0.3">
      <c r="B1253" s="182">
        <v>4584</v>
      </c>
      <c r="C1253" s="182">
        <v>2601</v>
      </c>
      <c r="D1253" s="182" t="s">
        <v>121</v>
      </c>
      <c r="E1253" s="181" t="s">
        <v>4427</v>
      </c>
      <c r="F1253" s="182"/>
      <c r="G1253" s="182">
        <v>351.76</v>
      </c>
      <c r="H1253" s="182"/>
      <c r="I1253" s="182"/>
      <c r="J1253" s="182"/>
      <c r="K1253" s="182"/>
      <c r="L1253" s="182"/>
      <c r="M1253" s="182"/>
      <c r="N1253" s="182"/>
      <c r="O1253" s="182"/>
      <c r="P1253" s="182"/>
      <c r="Q1253" s="182"/>
      <c r="R1253" s="182"/>
      <c r="S1253" s="182"/>
      <c r="T1253" s="182"/>
      <c r="U1253" s="182"/>
      <c r="V1253" s="182"/>
      <c r="W1253" s="182"/>
      <c r="X1253" s="182"/>
      <c r="Y1253" s="182"/>
      <c r="Z1253" s="182"/>
      <c r="AA1253" s="182"/>
      <c r="AB1253" s="182"/>
      <c r="AC1253" s="182"/>
      <c r="AD1253" s="182"/>
      <c r="AE1253" s="182"/>
      <c r="AF1253" s="182"/>
      <c r="AG1253" s="182"/>
      <c r="AH1253" s="182"/>
      <c r="AI1253" s="182"/>
      <c r="AJ1253" s="182"/>
      <c r="AK1253" s="182"/>
      <c r="AL1253" s="182"/>
      <c r="AM1253" s="182"/>
      <c r="AN1253" s="182"/>
      <c r="AO1253" s="182"/>
      <c r="AP1253" s="182"/>
      <c r="AQ1253" s="185">
        <v>351.76</v>
      </c>
      <c r="AR1253" s="182">
        <v>236</v>
      </c>
      <c r="AS1253" s="182">
        <v>31</v>
      </c>
      <c r="AT1253" s="182">
        <v>84.76</v>
      </c>
      <c r="AU1253" s="182"/>
      <c r="AV1253" s="182"/>
      <c r="AW1253" s="182"/>
      <c r="AX1253" s="182"/>
      <c r="AY1253" s="182"/>
      <c r="AZ1253" s="182"/>
      <c r="BA1253" s="182"/>
      <c r="BB1253" s="182"/>
      <c r="BC1253" s="182"/>
      <c r="BD1253" s="182"/>
      <c r="BE1253" s="182"/>
      <c r="BF1253" s="182"/>
      <c r="BG1253" s="182"/>
      <c r="BH1253" s="182"/>
      <c r="BI1253" s="182"/>
      <c r="BJ1253" s="182"/>
      <c r="BK1253" s="182"/>
      <c r="BL1253" s="182"/>
      <c r="BM1253" s="182"/>
      <c r="BN1253" s="182"/>
      <c r="BO1253" s="182"/>
      <c r="BP1253" s="182"/>
      <c r="BQ1253" s="182"/>
      <c r="BR1253" s="182"/>
      <c r="BS1253" s="182"/>
      <c r="BT1253" s="182"/>
      <c r="BU1253" s="182"/>
      <c r="BV1253" s="182"/>
      <c r="BW1253" s="182"/>
      <c r="BX1253" s="182"/>
      <c r="BY1253" s="182"/>
      <c r="BZ1253" s="182"/>
      <c r="CA1253" s="182"/>
      <c r="CB1253" s="185">
        <v>351.76</v>
      </c>
      <c r="CC1253" s="185">
        <v>0</v>
      </c>
      <c r="CD1253" s="185">
        <v>2601</v>
      </c>
      <c r="CE1253" s="185"/>
    </row>
    <row r="1254" spans="2:83" x14ac:dyDescent="0.3">
      <c r="B1254" s="182">
        <v>4587</v>
      </c>
      <c r="C1254" s="182">
        <v>2602</v>
      </c>
      <c r="D1254" s="182" t="s">
        <v>121</v>
      </c>
      <c r="E1254" s="181" t="s">
        <v>4428</v>
      </c>
      <c r="F1254" s="182"/>
      <c r="G1254" s="182">
        <v>9300</v>
      </c>
      <c r="H1254" s="182"/>
      <c r="I1254" s="182"/>
      <c r="J1254" s="182"/>
      <c r="K1254" s="182"/>
      <c r="L1254" s="182"/>
      <c r="M1254" s="182"/>
      <c r="N1254" s="182"/>
      <c r="O1254" s="182"/>
      <c r="P1254" s="182"/>
      <c r="Q1254" s="182"/>
      <c r="R1254" s="182"/>
      <c r="S1254" s="182"/>
      <c r="T1254" s="182"/>
      <c r="U1254" s="182"/>
      <c r="V1254" s="182"/>
      <c r="W1254" s="182"/>
      <c r="X1254" s="182"/>
      <c r="Y1254" s="182"/>
      <c r="Z1254" s="182"/>
      <c r="AA1254" s="182"/>
      <c r="AB1254" s="182"/>
      <c r="AC1254" s="182"/>
      <c r="AD1254" s="182"/>
      <c r="AE1254" s="182"/>
      <c r="AF1254" s="182"/>
      <c r="AG1254" s="182"/>
      <c r="AH1254" s="182"/>
      <c r="AI1254" s="182"/>
      <c r="AJ1254" s="182"/>
      <c r="AK1254" s="182"/>
      <c r="AL1254" s="182"/>
      <c r="AM1254" s="182"/>
      <c r="AN1254" s="182"/>
      <c r="AO1254" s="182"/>
      <c r="AP1254" s="182"/>
      <c r="AQ1254" s="185">
        <v>9300</v>
      </c>
      <c r="AR1254" s="182">
        <v>8301.7000000000007</v>
      </c>
      <c r="AS1254" s="182">
        <v>998.3</v>
      </c>
      <c r="AT1254" s="182"/>
      <c r="AU1254" s="182"/>
      <c r="AV1254" s="182"/>
      <c r="AW1254" s="182"/>
      <c r="AX1254" s="182"/>
      <c r="AY1254" s="182"/>
      <c r="AZ1254" s="182"/>
      <c r="BA1254" s="182"/>
      <c r="BB1254" s="182"/>
      <c r="BC1254" s="182"/>
      <c r="BD1254" s="182"/>
      <c r="BE1254" s="182"/>
      <c r="BF1254" s="182"/>
      <c r="BG1254" s="182"/>
      <c r="BH1254" s="182"/>
      <c r="BI1254" s="182"/>
      <c r="BJ1254" s="182"/>
      <c r="BK1254" s="182"/>
      <c r="BL1254" s="182"/>
      <c r="BM1254" s="182"/>
      <c r="BN1254" s="182"/>
      <c r="BO1254" s="182"/>
      <c r="BP1254" s="182"/>
      <c r="BQ1254" s="182"/>
      <c r="BR1254" s="182"/>
      <c r="BS1254" s="182"/>
      <c r="BT1254" s="182"/>
      <c r="BU1254" s="182"/>
      <c r="BV1254" s="182"/>
      <c r="BW1254" s="182"/>
      <c r="BX1254" s="182"/>
      <c r="BY1254" s="182"/>
      <c r="BZ1254" s="182"/>
      <c r="CA1254" s="182"/>
      <c r="CB1254" s="185">
        <v>9300</v>
      </c>
      <c r="CC1254" s="185">
        <v>0</v>
      </c>
      <c r="CD1254" s="185">
        <v>2602</v>
      </c>
      <c r="CE1254" s="185"/>
    </row>
    <row r="1255" spans="2:83" x14ac:dyDescent="0.3">
      <c r="B1255" s="182">
        <v>4597</v>
      </c>
      <c r="C1255" s="182">
        <v>2603</v>
      </c>
      <c r="D1255" s="182" t="s">
        <v>121</v>
      </c>
      <c r="E1255" s="181" t="s">
        <v>4429</v>
      </c>
      <c r="F1255" s="182"/>
      <c r="G1255" s="182">
        <v>1260</v>
      </c>
      <c r="H1255" s="182"/>
      <c r="I1255" s="182"/>
      <c r="J1255" s="182"/>
      <c r="K1255" s="182"/>
      <c r="L1255" s="182"/>
      <c r="M1255" s="182"/>
      <c r="N1255" s="182"/>
      <c r="O1255" s="182"/>
      <c r="P1255" s="182"/>
      <c r="Q1255" s="182"/>
      <c r="R1255" s="182"/>
      <c r="S1255" s="182"/>
      <c r="T1255" s="182"/>
      <c r="U1255" s="182"/>
      <c r="V1255" s="182"/>
      <c r="W1255" s="182"/>
      <c r="X1255" s="182"/>
      <c r="Y1255" s="182"/>
      <c r="Z1255" s="182"/>
      <c r="AA1255" s="182"/>
      <c r="AB1255" s="182"/>
      <c r="AC1255" s="182"/>
      <c r="AD1255" s="182"/>
      <c r="AE1255" s="182"/>
      <c r="AF1255" s="182"/>
      <c r="AG1255" s="182"/>
      <c r="AH1255" s="182"/>
      <c r="AI1255" s="182"/>
      <c r="AJ1255" s="182"/>
      <c r="AK1255" s="182"/>
      <c r="AL1255" s="182"/>
      <c r="AM1255" s="182"/>
      <c r="AN1255" s="182"/>
      <c r="AO1255" s="182"/>
      <c r="AP1255" s="182"/>
      <c r="AQ1255" s="185">
        <v>1260</v>
      </c>
      <c r="AR1255" s="182">
        <v>1124.9000000000001</v>
      </c>
      <c r="AS1255" s="182">
        <v>135.1</v>
      </c>
      <c r="AT1255" s="182"/>
      <c r="AU1255" s="182"/>
      <c r="AV1255" s="182"/>
      <c r="AW1255" s="182"/>
      <c r="AX1255" s="182"/>
      <c r="AY1255" s="182"/>
      <c r="AZ1255" s="182"/>
      <c r="BA1255" s="182"/>
      <c r="BB1255" s="182"/>
      <c r="BC1255" s="182"/>
      <c r="BD1255" s="182"/>
      <c r="BE1255" s="182"/>
      <c r="BF1255" s="182"/>
      <c r="BG1255" s="182"/>
      <c r="BH1255" s="182"/>
      <c r="BI1255" s="182"/>
      <c r="BJ1255" s="182"/>
      <c r="BK1255" s="182"/>
      <c r="BL1255" s="182"/>
      <c r="BM1255" s="182"/>
      <c r="BN1255" s="182"/>
      <c r="BO1255" s="182"/>
      <c r="BP1255" s="182"/>
      <c r="BQ1255" s="182"/>
      <c r="BR1255" s="182"/>
      <c r="BS1255" s="182"/>
      <c r="BT1255" s="182"/>
      <c r="BU1255" s="182"/>
      <c r="BV1255" s="182"/>
      <c r="BW1255" s="182"/>
      <c r="BX1255" s="182"/>
      <c r="BY1255" s="182"/>
      <c r="BZ1255" s="182"/>
      <c r="CA1255" s="182"/>
      <c r="CB1255" s="185">
        <v>1260</v>
      </c>
      <c r="CC1255" s="185">
        <v>0</v>
      </c>
      <c r="CD1255" s="185">
        <v>2603</v>
      </c>
      <c r="CE1255" s="185"/>
    </row>
    <row r="1256" spans="2:83" x14ac:dyDescent="0.3">
      <c r="B1256" s="182">
        <v>4590</v>
      </c>
      <c r="C1256" s="182">
        <v>2604</v>
      </c>
      <c r="D1256" s="182" t="s">
        <v>121</v>
      </c>
      <c r="E1256" s="181" t="s">
        <v>4430</v>
      </c>
      <c r="F1256" s="182"/>
      <c r="G1256" s="182">
        <v>4000</v>
      </c>
      <c r="H1256" s="182"/>
      <c r="I1256" s="182"/>
      <c r="J1256" s="182"/>
      <c r="K1256" s="182"/>
      <c r="L1256" s="182"/>
      <c r="M1256" s="182"/>
      <c r="N1256" s="182"/>
      <c r="O1256" s="182"/>
      <c r="P1256" s="182"/>
      <c r="Q1256" s="182"/>
      <c r="R1256" s="182"/>
      <c r="S1256" s="182"/>
      <c r="T1256" s="182"/>
      <c r="U1256" s="182"/>
      <c r="V1256" s="182"/>
      <c r="W1256" s="182"/>
      <c r="X1256" s="182"/>
      <c r="Y1256" s="182"/>
      <c r="Z1256" s="182"/>
      <c r="AA1256" s="182"/>
      <c r="AB1256" s="182"/>
      <c r="AC1256" s="182"/>
      <c r="AD1256" s="182"/>
      <c r="AE1256" s="182"/>
      <c r="AF1256" s="182"/>
      <c r="AG1256" s="182"/>
      <c r="AH1256" s="182"/>
      <c r="AI1256" s="182"/>
      <c r="AJ1256" s="182"/>
      <c r="AK1256" s="182"/>
      <c r="AL1256" s="182"/>
      <c r="AM1256" s="182"/>
      <c r="AN1256" s="182"/>
      <c r="AO1256" s="182"/>
      <c r="AP1256" s="182"/>
      <c r="AQ1256" s="185">
        <v>4000</v>
      </c>
      <c r="AR1256" s="182">
        <v>3570.35</v>
      </c>
      <c r="AS1256" s="182">
        <v>429.65</v>
      </c>
      <c r="AT1256" s="182"/>
      <c r="AU1256" s="182"/>
      <c r="AV1256" s="182"/>
      <c r="AW1256" s="182"/>
      <c r="AX1256" s="182"/>
      <c r="AY1256" s="182"/>
      <c r="AZ1256" s="182"/>
      <c r="BA1256" s="182"/>
      <c r="BB1256" s="182"/>
      <c r="BC1256" s="182"/>
      <c r="BD1256" s="182"/>
      <c r="BE1256" s="182"/>
      <c r="BF1256" s="182"/>
      <c r="BG1256" s="182"/>
      <c r="BH1256" s="182"/>
      <c r="BI1256" s="182"/>
      <c r="BJ1256" s="182"/>
      <c r="BK1256" s="182"/>
      <c r="BL1256" s="182"/>
      <c r="BM1256" s="182"/>
      <c r="BN1256" s="182"/>
      <c r="BO1256" s="182"/>
      <c r="BP1256" s="182"/>
      <c r="BQ1256" s="182"/>
      <c r="BR1256" s="182"/>
      <c r="BS1256" s="182"/>
      <c r="BT1256" s="182"/>
      <c r="BU1256" s="182"/>
      <c r="BV1256" s="182"/>
      <c r="BW1256" s="182"/>
      <c r="BX1256" s="182"/>
      <c r="BY1256" s="182"/>
      <c r="BZ1256" s="182"/>
      <c r="CA1256" s="182"/>
      <c r="CB1256" s="185">
        <v>4000</v>
      </c>
      <c r="CC1256" s="185">
        <v>0</v>
      </c>
      <c r="CD1256" s="185">
        <v>2604</v>
      </c>
      <c r="CE1256" s="185"/>
    </row>
    <row r="1257" spans="2:83" x14ac:dyDescent="0.3">
      <c r="B1257" s="182">
        <v>4606</v>
      </c>
      <c r="C1257" s="182">
        <v>2605</v>
      </c>
      <c r="D1257" s="182" t="s">
        <v>121</v>
      </c>
      <c r="E1257" s="181" t="s">
        <v>4431</v>
      </c>
      <c r="F1257" s="182"/>
      <c r="G1257" s="182">
        <v>12900</v>
      </c>
      <c r="H1257" s="182"/>
      <c r="I1257" s="182"/>
      <c r="J1257" s="182"/>
      <c r="K1257" s="182"/>
      <c r="L1257" s="182"/>
      <c r="M1257" s="182"/>
      <c r="N1257" s="182"/>
      <c r="O1257" s="182"/>
      <c r="P1257" s="182"/>
      <c r="Q1257" s="182"/>
      <c r="R1257" s="182"/>
      <c r="S1257" s="182"/>
      <c r="T1257" s="182"/>
      <c r="U1257" s="182"/>
      <c r="V1257" s="182"/>
      <c r="W1257" s="182"/>
      <c r="X1257" s="182"/>
      <c r="Y1257" s="182"/>
      <c r="Z1257" s="182"/>
      <c r="AA1257" s="182"/>
      <c r="AB1257" s="182"/>
      <c r="AC1257" s="182"/>
      <c r="AD1257" s="182"/>
      <c r="AE1257" s="182"/>
      <c r="AF1257" s="182"/>
      <c r="AG1257" s="182"/>
      <c r="AH1257" s="182"/>
      <c r="AI1257" s="182"/>
      <c r="AJ1257" s="182"/>
      <c r="AK1257" s="182"/>
      <c r="AL1257" s="182"/>
      <c r="AM1257" s="182"/>
      <c r="AN1257" s="182"/>
      <c r="AO1257" s="182"/>
      <c r="AP1257" s="182"/>
      <c r="AQ1257" s="185">
        <v>12900</v>
      </c>
      <c r="AR1257" s="182">
        <v>11514.65</v>
      </c>
      <c r="AS1257" s="182">
        <v>1385.35</v>
      </c>
      <c r="AT1257" s="182"/>
      <c r="AU1257" s="182"/>
      <c r="AV1257" s="182"/>
      <c r="AW1257" s="182"/>
      <c r="AX1257" s="182"/>
      <c r="AY1257" s="182"/>
      <c r="AZ1257" s="182"/>
      <c r="BA1257" s="182"/>
      <c r="BB1257" s="182"/>
      <c r="BC1257" s="182"/>
      <c r="BD1257" s="182"/>
      <c r="BE1257" s="182"/>
      <c r="BF1257" s="182"/>
      <c r="BG1257" s="182"/>
      <c r="BH1257" s="182"/>
      <c r="BI1257" s="182"/>
      <c r="BJ1257" s="182"/>
      <c r="BK1257" s="182"/>
      <c r="BL1257" s="182"/>
      <c r="BM1257" s="182"/>
      <c r="BN1257" s="182"/>
      <c r="BO1257" s="182"/>
      <c r="BP1257" s="182"/>
      <c r="BQ1257" s="182"/>
      <c r="BR1257" s="182"/>
      <c r="BS1257" s="182"/>
      <c r="BT1257" s="182"/>
      <c r="BU1257" s="182"/>
      <c r="BV1257" s="182"/>
      <c r="BW1257" s="182"/>
      <c r="BX1257" s="182"/>
      <c r="BY1257" s="182"/>
      <c r="BZ1257" s="182"/>
      <c r="CA1257" s="182"/>
      <c r="CB1257" s="185">
        <v>12900</v>
      </c>
      <c r="CC1257" s="185">
        <v>0</v>
      </c>
      <c r="CD1257" s="185">
        <v>2605</v>
      </c>
      <c r="CE1257" s="185"/>
    </row>
    <row r="1258" spans="2:83" x14ac:dyDescent="0.3">
      <c r="B1258" s="182">
        <v>4608</v>
      </c>
      <c r="C1258" s="182">
        <v>2606</v>
      </c>
      <c r="D1258" s="182" t="s">
        <v>121</v>
      </c>
      <c r="E1258" s="181" t="s">
        <v>4432</v>
      </c>
      <c r="F1258" s="182"/>
      <c r="G1258" s="182">
        <v>9700</v>
      </c>
      <c r="H1258" s="182"/>
      <c r="I1258" s="182"/>
      <c r="J1258" s="182"/>
      <c r="K1258" s="182"/>
      <c r="L1258" s="182"/>
      <c r="M1258" s="182"/>
      <c r="N1258" s="182"/>
      <c r="O1258" s="182"/>
      <c r="P1258" s="182"/>
      <c r="Q1258" s="182"/>
      <c r="R1258" s="182"/>
      <c r="S1258" s="182"/>
      <c r="T1258" s="182"/>
      <c r="U1258" s="182"/>
      <c r="V1258" s="182"/>
      <c r="W1258" s="182"/>
      <c r="X1258" s="182"/>
      <c r="Y1258" s="182"/>
      <c r="Z1258" s="182"/>
      <c r="AA1258" s="182"/>
      <c r="AB1258" s="182"/>
      <c r="AC1258" s="182"/>
      <c r="AD1258" s="182"/>
      <c r="AE1258" s="182"/>
      <c r="AF1258" s="182"/>
      <c r="AG1258" s="182"/>
      <c r="AH1258" s="182"/>
      <c r="AI1258" s="182"/>
      <c r="AJ1258" s="182"/>
      <c r="AK1258" s="182"/>
      <c r="AL1258" s="182"/>
      <c r="AM1258" s="182"/>
      <c r="AN1258" s="182"/>
      <c r="AO1258" s="182"/>
      <c r="AP1258" s="182"/>
      <c r="AQ1258" s="185">
        <v>9700</v>
      </c>
      <c r="AR1258" s="182">
        <v>8659.0499999999993</v>
      </c>
      <c r="AS1258" s="182">
        <v>1040.95</v>
      </c>
      <c r="AT1258" s="182"/>
      <c r="AU1258" s="182"/>
      <c r="AV1258" s="182"/>
      <c r="AW1258" s="182"/>
      <c r="AX1258" s="182"/>
      <c r="AY1258" s="182"/>
      <c r="AZ1258" s="182"/>
      <c r="BA1258" s="182"/>
      <c r="BB1258" s="182"/>
      <c r="BC1258" s="182"/>
      <c r="BD1258" s="182"/>
      <c r="BE1258" s="182"/>
      <c r="BF1258" s="182"/>
      <c r="BG1258" s="182"/>
      <c r="BH1258" s="182"/>
      <c r="BI1258" s="182"/>
      <c r="BJ1258" s="182"/>
      <c r="BK1258" s="182"/>
      <c r="BL1258" s="182"/>
      <c r="BM1258" s="182"/>
      <c r="BN1258" s="182"/>
      <c r="BO1258" s="182"/>
      <c r="BP1258" s="182"/>
      <c r="BQ1258" s="182"/>
      <c r="BR1258" s="182"/>
      <c r="BS1258" s="182"/>
      <c r="BT1258" s="182"/>
      <c r="BU1258" s="182"/>
      <c r="BV1258" s="182"/>
      <c r="BW1258" s="182"/>
      <c r="BX1258" s="182"/>
      <c r="BY1258" s="182"/>
      <c r="BZ1258" s="182"/>
      <c r="CA1258" s="182"/>
      <c r="CB1258" s="185">
        <v>9700</v>
      </c>
      <c r="CC1258" s="185">
        <v>0</v>
      </c>
      <c r="CD1258" s="185">
        <v>2606</v>
      </c>
      <c r="CE1258" s="185"/>
    </row>
    <row r="1259" spans="2:83" x14ac:dyDescent="0.3">
      <c r="B1259" s="182">
        <v>4610</v>
      </c>
      <c r="C1259" s="182">
        <v>2607</v>
      </c>
      <c r="D1259" s="182" t="s">
        <v>121</v>
      </c>
      <c r="E1259" s="181" t="s">
        <v>4433</v>
      </c>
      <c r="F1259" s="182"/>
      <c r="G1259" s="182">
        <v>1582.88</v>
      </c>
      <c r="H1259" s="182"/>
      <c r="I1259" s="182"/>
      <c r="J1259" s="182"/>
      <c r="K1259" s="182"/>
      <c r="L1259" s="182"/>
      <c r="M1259" s="182"/>
      <c r="N1259" s="182"/>
      <c r="O1259" s="182"/>
      <c r="P1259" s="182"/>
      <c r="Q1259" s="182"/>
      <c r="R1259" s="182"/>
      <c r="S1259" s="182"/>
      <c r="T1259" s="182"/>
      <c r="U1259" s="182"/>
      <c r="V1259" s="182"/>
      <c r="W1259" s="182"/>
      <c r="X1259" s="182"/>
      <c r="Y1259" s="182"/>
      <c r="Z1259" s="182"/>
      <c r="AA1259" s="182"/>
      <c r="AB1259" s="182"/>
      <c r="AC1259" s="182"/>
      <c r="AD1259" s="182"/>
      <c r="AE1259" s="182"/>
      <c r="AF1259" s="182"/>
      <c r="AG1259" s="182"/>
      <c r="AH1259" s="182"/>
      <c r="AI1259" s="182"/>
      <c r="AJ1259" s="182"/>
      <c r="AK1259" s="182"/>
      <c r="AL1259" s="182"/>
      <c r="AM1259" s="182"/>
      <c r="AN1259" s="182"/>
      <c r="AO1259" s="182"/>
      <c r="AP1259" s="182"/>
      <c r="AQ1259" s="185">
        <v>1582.88</v>
      </c>
      <c r="AR1259" s="182">
        <v>1059.4000000000001</v>
      </c>
      <c r="AS1259" s="182">
        <v>142.1</v>
      </c>
      <c r="AT1259" s="182">
        <v>381.38</v>
      </c>
      <c r="AU1259" s="182"/>
      <c r="AV1259" s="182"/>
      <c r="AW1259" s="182"/>
      <c r="AX1259" s="182"/>
      <c r="AY1259" s="182"/>
      <c r="AZ1259" s="182"/>
      <c r="BA1259" s="182"/>
      <c r="BB1259" s="182"/>
      <c r="BC1259" s="182"/>
      <c r="BD1259" s="182"/>
      <c r="BE1259" s="182"/>
      <c r="BF1259" s="182"/>
      <c r="BG1259" s="182"/>
      <c r="BH1259" s="182"/>
      <c r="BI1259" s="182"/>
      <c r="BJ1259" s="182"/>
      <c r="BK1259" s="182"/>
      <c r="BL1259" s="182"/>
      <c r="BM1259" s="182"/>
      <c r="BN1259" s="182"/>
      <c r="BO1259" s="182"/>
      <c r="BP1259" s="182"/>
      <c r="BQ1259" s="182"/>
      <c r="BR1259" s="182"/>
      <c r="BS1259" s="182"/>
      <c r="BT1259" s="182"/>
      <c r="BU1259" s="182"/>
      <c r="BV1259" s="182"/>
      <c r="BW1259" s="182"/>
      <c r="BX1259" s="182"/>
      <c r="BY1259" s="182"/>
      <c r="BZ1259" s="182"/>
      <c r="CA1259" s="182"/>
      <c r="CB1259" s="185">
        <v>1582.88</v>
      </c>
      <c r="CC1259" s="185">
        <v>0</v>
      </c>
      <c r="CD1259" s="185">
        <v>2607</v>
      </c>
      <c r="CE1259" s="185"/>
    </row>
    <row r="1260" spans="2:83" x14ac:dyDescent="0.3">
      <c r="B1260" s="182">
        <v>4609</v>
      </c>
      <c r="C1260" s="182">
        <v>2608</v>
      </c>
      <c r="D1260" s="182" t="s">
        <v>121</v>
      </c>
      <c r="E1260" s="181" t="s">
        <v>4433</v>
      </c>
      <c r="F1260" s="182"/>
      <c r="G1260" s="182">
        <v>2682.69</v>
      </c>
      <c r="H1260" s="182"/>
      <c r="I1260" s="182"/>
      <c r="J1260" s="182"/>
      <c r="K1260" s="182"/>
      <c r="L1260" s="182"/>
      <c r="M1260" s="182"/>
      <c r="N1260" s="182"/>
      <c r="O1260" s="182"/>
      <c r="P1260" s="182"/>
      <c r="Q1260" s="182"/>
      <c r="R1260" s="182"/>
      <c r="S1260" s="182"/>
      <c r="T1260" s="182"/>
      <c r="U1260" s="182"/>
      <c r="V1260" s="182"/>
      <c r="W1260" s="182"/>
      <c r="X1260" s="182"/>
      <c r="Y1260" s="182"/>
      <c r="Z1260" s="182"/>
      <c r="AA1260" s="182"/>
      <c r="AB1260" s="182"/>
      <c r="AC1260" s="182"/>
      <c r="AD1260" s="182"/>
      <c r="AE1260" s="182"/>
      <c r="AF1260" s="182"/>
      <c r="AG1260" s="182"/>
      <c r="AH1260" s="182"/>
      <c r="AI1260" s="182"/>
      <c r="AJ1260" s="182"/>
      <c r="AK1260" s="182"/>
      <c r="AL1260" s="182"/>
      <c r="AM1260" s="182"/>
      <c r="AN1260" s="182"/>
      <c r="AO1260" s="182"/>
      <c r="AP1260" s="182"/>
      <c r="AQ1260" s="185">
        <v>2682.69</v>
      </c>
      <c r="AR1260" s="182">
        <v>1967.07</v>
      </c>
      <c r="AS1260" s="182">
        <v>252.65</v>
      </c>
      <c r="AT1260" s="182">
        <v>462.97</v>
      </c>
      <c r="AU1260" s="182"/>
      <c r="AV1260" s="182"/>
      <c r="AW1260" s="182"/>
      <c r="AX1260" s="182"/>
      <c r="AY1260" s="182"/>
      <c r="AZ1260" s="182"/>
      <c r="BA1260" s="182"/>
      <c r="BB1260" s="182"/>
      <c r="BC1260" s="182"/>
      <c r="BD1260" s="182"/>
      <c r="BE1260" s="182"/>
      <c r="BF1260" s="182"/>
      <c r="BG1260" s="182"/>
      <c r="BH1260" s="182"/>
      <c r="BI1260" s="182"/>
      <c r="BJ1260" s="182"/>
      <c r="BK1260" s="182"/>
      <c r="BL1260" s="182"/>
      <c r="BM1260" s="182"/>
      <c r="BN1260" s="182"/>
      <c r="BO1260" s="182"/>
      <c r="BP1260" s="182"/>
      <c r="BQ1260" s="182"/>
      <c r="BR1260" s="182"/>
      <c r="BS1260" s="182"/>
      <c r="BT1260" s="182"/>
      <c r="BU1260" s="182"/>
      <c r="BV1260" s="182"/>
      <c r="BW1260" s="182"/>
      <c r="BX1260" s="182"/>
      <c r="BY1260" s="182"/>
      <c r="BZ1260" s="182"/>
      <c r="CA1260" s="182"/>
      <c r="CB1260" s="185">
        <v>2682.6899999999996</v>
      </c>
      <c r="CC1260" s="185">
        <v>0</v>
      </c>
      <c r="CD1260" s="185">
        <v>2608</v>
      </c>
      <c r="CE1260" s="185"/>
    </row>
    <row r="1261" spans="2:83" x14ac:dyDescent="0.3">
      <c r="B1261" s="182">
        <v>4612</v>
      </c>
      <c r="C1261" s="182">
        <v>2609</v>
      </c>
      <c r="D1261" s="182" t="s">
        <v>121</v>
      </c>
      <c r="E1261" s="181" t="s">
        <v>4434</v>
      </c>
      <c r="F1261" s="182"/>
      <c r="G1261" s="182">
        <v>2286.36</v>
      </c>
      <c r="H1261" s="182"/>
      <c r="I1261" s="182"/>
      <c r="J1261" s="182"/>
      <c r="K1261" s="182"/>
      <c r="L1261" s="182"/>
      <c r="M1261" s="182"/>
      <c r="N1261" s="182"/>
      <c r="O1261" s="182"/>
      <c r="P1261" s="182"/>
      <c r="Q1261" s="182"/>
      <c r="R1261" s="182"/>
      <c r="S1261" s="182"/>
      <c r="T1261" s="182"/>
      <c r="U1261" s="182"/>
      <c r="V1261" s="182"/>
      <c r="W1261" s="182"/>
      <c r="X1261" s="182"/>
      <c r="Y1261" s="182"/>
      <c r="Z1261" s="182"/>
      <c r="AA1261" s="182"/>
      <c r="AB1261" s="182"/>
      <c r="AC1261" s="182"/>
      <c r="AD1261" s="182"/>
      <c r="AE1261" s="182"/>
      <c r="AF1261" s="182"/>
      <c r="AG1261" s="182"/>
      <c r="AH1261" s="182"/>
      <c r="AI1261" s="182"/>
      <c r="AJ1261" s="182"/>
      <c r="AK1261" s="182"/>
      <c r="AL1261" s="182"/>
      <c r="AM1261" s="182"/>
      <c r="AN1261" s="182"/>
      <c r="AO1261" s="182"/>
      <c r="AP1261" s="182"/>
      <c r="AQ1261" s="185">
        <v>2286.36</v>
      </c>
      <c r="AR1261" s="182">
        <v>1529.4</v>
      </c>
      <c r="AS1261" s="182">
        <v>206.1</v>
      </c>
      <c r="AT1261" s="182">
        <v>550.86</v>
      </c>
      <c r="AU1261" s="182"/>
      <c r="AV1261" s="182"/>
      <c r="AW1261" s="182"/>
      <c r="AX1261" s="182"/>
      <c r="AY1261" s="182"/>
      <c r="AZ1261" s="182"/>
      <c r="BA1261" s="182"/>
      <c r="BB1261" s="182"/>
      <c r="BC1261" s="182"/>
      <c r="BD1261" s="182"/>
      <c r="BE1261" s="182"/>
      <c r="BF1261" s="182"/>
      <c r="BG1261" s="182"/>
      <c r="BH1261" s="182"/>
      <c r="BI1261" s="182"/>
      <c r="BJ1261" s="182"/>
      <c r="BK1261" s="182"/>
      <c r="BL1261" s="182"/>
      <c r="BM1261" s="182"/>
      <c r="BN1261" s="182"/>
      <c r="BO1261" s="182"/>
      <c r="BP1261" s="182"/>
      <c r="BQ1261" s="182"/>
      <c r="BR1261" s="182"/>
      <c r="BS1261" s="182"/>
      <c r="BT1261" s="182"/>
      <c r="BU1261" s="182"/>
      <c r="BV1261" s="182"/>
      <c r="BW1261" s="182"/>
      <c r="BX1261" s="182"/>
      <c r="BY1261" s="182"/>
      <c r="BZ1261" s="182"/>
      <c r="CA1261" s="182"/>
      <c r="CB1261" s="185">
        <v>2286.36</v>
      </c>
      <c r="CC1261" s="185">
        <v>0</v>
      </c>
      <c r="CD1261" s="185">
        <v>2609</v>
      </c>
      <c r="CE1261" s="185"/>
    </row>
    <row r="1262" spans="2:83" x14ac:dyDescent="0.3">
      <c r="B1262" s="182">
        <v>4611</v>
      </c>
      <c r="C1262" s="182">
        <v>2610</v>
      </c>
      <c r="D1262" s="182" t="s">
        <v>121</v>
      </c>
      <c r="E1262" s="181" t="s">
        <v>4434</v>
      </c>
      <c r="F1262" s="182"/>
      <c r="G1262" s="182">
        <v>8407.1200000000008</v>
      </c>
      <c r="H1262" s="182"/>
      <c r="I1262" s="182"/>
      <c r="J1262" s="182"/>
      <c r="K1262" s="182"/>
      <c r="L1262" s="182"/>
      <c r="M1262" s="182"/>
      <c r="N1262" s="182"/>
      <c r="O1262" s="182"/>
      <c r="P1262" s="182"/>
      <c r="Q1262" s="182"/>
      <c r="R1262" s="182"/>
      <c r="S1262" s="182"/>
      <c r="T1262" s="182"/>
      <c r="U1262" s="182"/>
      <c r="V1262" s="182"/>
      <c r="W1262" s="182"/>
      <c r="X1262" s="182"/>
      <c r="Y1262" s="182"/>
      <c r="Z1262" s="182"/>
      <c r="AA1262" s="182"/>
      <c r="AB1262" s="182"/>
      <c r="AC1262" s="182"/>
      <c r="AD1262" s="182"/>
      <c r="AE1262" s="182"/>
      <c r="AF1262" s="182"/>
      <c r="AG1262" s="182"/>
      <c r="AH1262" s="182"/>
      <c r="AI1262" s="182"/>
      <c r="AJ1262" s="182"/>
      <c r="AK1262" s="182"/>
      <c r="AL1262" s="182"/>
      <c r="AM1262" s="182"/>
      <c r="AN1262" s="182"/>
      <c r="AO1262" s="182"/>
      <c r="AP1262" s="182"/>
      <c r="AQ1262" s="185">
        <v>8407.1200000000008</v>
      </c>
      <c r="AR1262" s="182">
        <v>6809.65</v>
      </c>
      <c r="AS1262" s="182">
        <v>848.85</v>
      </c>
      <c r="AT1262" s="182">
        <v>748.62</v>
      </c>
      <c r="AU1262" s="182"/>
      <c r="AV1262" s="182"/>
      <c r="AW1262" s="182"/>
      <c r="AX1262" s="182"/>
      <c r="AY1262" s="182"/>
      <c r="AZ1262" s="182"/>
      <c r="BA1262" s="182"/>
      <c r="BB1262" s="182"/>
      <c r="BC1262" s="182"/>
      <c r="BD1262" s="182"/>
      <c r="BE1262" s="182"/>
      <c r="BF1262" s="182"/>
      <c r="BG1262" s="182"/>
      <c r="BH1262" s="182"/>
      <c r="BI1262" s="182"/>
      <c r="BJ1262" s="182"/>
      <c r="BK1262" s="182"/>
      <c r="BL1262" s="182"/>
      <c r="BM1262" s="182"/>
      <c r="BN1262" s="182"/>
      <c r="BO1262" s="182"/>
      <c r="BP1262" s="182"/>
      <c r="BQ1262" s="182"/>
      <c r="BR1262" s="182"/>
      <c r="BS1262" s="182"/>
      <c r="BT1262" s="182"/>
      <c r="BU1262" s="182"/>
      <c r="BV1262" s="182"/>
      <c r="BW1262" s="182"/>
      <c r="BX1262" s="182"/>
      <c r="BY1262" s="182"/>
      <c r="BZ1262" s="182"/>
      <c r="CA1262" s="182"/>
      <c r="CB1262" s="185">
        <v>8407.1200000000008</v>
      </c>
      <c r="CC1262" s="185">
        <v>0</v>
      </c>
      <c r="CD1262" s="185">
        <v>2610</v>
      </c>
      <c r="CE1262" s="185"/>
    </row>
    <row r="1263" spans="2:83" x14ac:dyDescent="0.3">
      <c r="B1263" s="182">
        <v>4616</v>
      </c>
      <c r="C1263" s="182">
        <v>2611</v>
      </c>
      <c r="D1263" s="182" t="s">
        <v>121</v>
      </c>
      <c r="E1263" s="181" t="s">
        <v>4435</v>
      </c>
      <c r="F1263" s="182"/>
      <c r="G1263" s="182">
        <v>5276.25</v>
      </c>
      <c r="H1263" s="182"/>
      <c r="I1263" s="182"/>
      <c r="J1263" s="182"/>
      <c r="K1263" s="182"/>
      <c r="L1263" s="182"/>
      <c r="M1263" s="182"/>
      <c r="N1263" s="182"/>
      <c r="O1263" s="182"/>
      <c r="P1263" s="182"/>
      <c r="Q1263" s="182"/>
      <c r="R1263" s="182"/>
      <c r="S1263" s="182"/>
      <c r="T1263" s="182"/>
      <c r="U1263" s="182"/>
      <c r="V1263" s="182"/>
      <c r="W1263" s="182"/>
      <c r="X1263" s="182"/>
      <c r="Y1263" s="182"/>
      <c r="Z1263" s="182"/>
      <c r="AA1263" s="182"/>
      <c r="AB1263" s="182"/>
      <c r="AC1263" s="182"/>
      <c r="AD1263" s="182"/>
      <c r="AE1263" s="182"/>
      <c r="AF1263" s="182"/>
      <c r="AG1263" s="182"/>
      <c r="AH1263" s="182"/>
      <c r="AI1263" s="182"/>
      <c r="AJ1263" s="182"/>
      <c r="AK1263" s="182"/>
      <c r="AL1263" s="182"/>
      <c r="AM1263" s="182"/>
      <c r="AN1263" s="182"/>
      <c r="AO1263" s="182"/>
      <c r="AP1263" s="182"/>
      <c r="AQ1263" s="185">
        <v>5276.25</v>
      </c>
      <c r="AR1263" s="182">
        <v>3528.5</v>
      </c>
      <c r="AS1263" s="182">
        <v>476.5</v>
      </c>
      <c r="AT1263" s="182">
        <v>1271.25</v>
      </c>
      <c r="AU1263" s="182"/>
      <c r="AV1263" s="182"/>
      <c r="AW1263" s="182"/>
      <c r="AX1263" s="182"/>
      <c r="AY1263" s="182"/>
      <c r="AZ1263" s="182"/>
      <c r="BA1263" s="182"/>
      <c r="BB1263" s="182"/>
      <c r="BC1263" s="182"/>
      <c r="BD1263" s="182"/>
      <c r="BE1263" s="182"/>
      <c r="BF1263" s="182"/>
      <c r="BG1263" s="182"/>
      <c r="BH1263" s="182"/>
      <c r="BI1263" s="182"/>
      <c r="BJ1263" s="182"/>
      <c r="BK1263" s="182"/>
      <c r="BL1263" s="182"/>
      <c r="BM1263" s="182"/>
      <c r="BN1263" s="182"/>
      <c r="BO1263" s="182"/>
      <c r="BP1263" s="182"/>
      <c r="BQ1263" s="182"/>
      <c r="BR1263" s="182"/>
      <c r="BS1263" s="182"/>
      <c r="BT1263" s="182"/>
      <c r="BU1263" s="182"/>
      <c r="BV1263" s="182"/>
      <c r="BW1263" s="182"/>
      <c r="BX1263" s="182"/>
      <c r="BY1263" s="182"/>
      <c r="BZ1263" s="182"/>
      <c r="CA1263" s="182"/>
      <c r="CB1263" s="185">
        <v>5276.25</v>
      </c>
      <c r="CC1263" s="185">
        <v>0</v>
      </c>
      <c r="CD1263" s="185">
        <v>2611</v>
      </c>
      <c r="CE1263" s="185"/>
    </row>
    <row r="1264" spans="2:83" x14ac:dyDescent="0.3">
      <c r="B1264" s="182">
        <v>4615</v>
      </c>
      <c r="C1264" s="182">
        <v>2612</v>
      </c>
      <c r="D1264" s="182" t="s">
        <v>121</v>
      </c>
      <c r="E1264" s="181" t="s">
        <v>4435</v>
      </c>
      <c r="F1264" s="182"/>
      <c r="G1264" s="182">
        <v>1250</v>
      </c>
      <c r="H1264" s="182"/>
      <c r="I1264" s="182"/>
      <c r="J1264" s="182"/>
      <c r="K1264" s="182"/>
      <c r="L1264" s="182"/>
      <c r="M1264" s="182"/>
      <c r="N1264" s="182"/>
      <c r="O1264" s="182"/>
      <c r="P1264" s="182"/>
      <c r="Q1264" s="182"/>
      <c r="R1264" s="182"/>
      <c r="S1264" s="182"/>
      <c r="T1264" s="182"/>
      <c r="U1264" s="182"/>
      <c r="V1264" s="182"/>
      <c r="W1264" s="182"/>
      <c r="X1264" s="182"/>
      <c r="Y1264" s="182"/>
      <c r="Z1264" s="182"/>
      <c r="AA1264" s="182"/>
      <c r="AB1264" s="182"/>
      <c r="AC1264" s="182"/>
      <c r="AD1264" s="182"/>
      <c r="AE1264" s="182"/>
      <c r="AF1264" s="182"/>
      <c r="AG1264" s="182"/>
      <c r="AH1264" s="182"/>
      <c r="AI1264" s="182"/>
      <c r="AJ1264" s="182"/>
      <c r="AK1264" s="182"/>
      <c r="AL1264" s="182"/>
      <c r="AM1264" s="182"/>
      <c r="AN1264" s="182"/>
      <c r="AO1264" s="182"/>
      <c r="AP1264" s="182"/>
      <c r="AQ1264" s="185">
        <v>1250</v>
      </c>
      <c r="AR1264" s="182">
        <v>1116</v>
      </c>
      <c r="AS1264" s="182">
        <v>134</v>
      </c>
      <c r="AT1264" s="182"/>
      <c r="AU1264" s="182"/>
      <c r="AV1264" s="182"/>
      <c r="AW1264" s="182"/>
      <c r="AX1264" s="182"/>
      <c r="AY1264" s="182"/>
      <c r="AZ1264" s="182"/>
      <c r="BA1264" s="182"/>
      <c r="BB1264" s="182"/>
      <c r="BC1264" s="182"/>
      <c r="BD1264" s="182"/>
      <c r="BE1264" s="182"/>
      <c r="BF1264" s="182"/>
      <c r="BG1264" s="182"/>
      <c r="BH1264" s="182"/>
      <c r="BI1264" s="182"/>
      <c r="BJ1264" s="182"/>
      <c r="BK1264" s="182"/>
      <c r="BL1264" s="182"/>
      <c r="BM1264" s="182"/>
      <c r="BN1264" s="182"/>
      <c r="BO1264" s="182"/>
      <c r="BP1264" s="182"/>
      <c r="BQ1264" s="182"/>
      <c r="BR1264" s="182"/>
      <c r="BS1264" s="182"/>
      <c r="BT1264" s="182"/>
      <c r="BU1264" s="182"/>
      <c r="BV1264" s="182"/>
      <c r="BW1264" s="182"/>
      <c r="BX1264" s="182"/>
      <c r="BY1264" s="182"/>
      <c r="BZ1264" s="182"/>
      <c r="CA1264" s="182"/>
      <c r="CB1264" s="185">
        <v>1250</v>
      </c>
      <c r="CC1264" s="185">
        <v>0</v>
      </c>
      <c r="CD1264" s="185">
        <v>2612</v>
      </c>
      <c r="CE1264" s="185"/>
    </row>
    <row r="1265" spans="2:83" x14ac:dyDescent="0.3">
      <c r="B1265" s="182">
        <v>4617</v>
      </c>
      <c r="C1265" s="182">
        <v>2613</v>
      </c>
      <c r="D1265" s="182" t="s">
        <v>121</v>
      </c>
      <c r="E1265" s="181" t="s">
        <v>4435</v>
      </c>
      <c r="F1265" s="182"/>
      <c r="G1265" s="182">
        <v>2110.5</v>
      </c>
      <c r="H1265" s="182"/>
      <c r="I1265" s="182"/>
      <c r="J1265" s="182"/>
      <c r="K1265" s="182"/>
      <c r="L1265" s="182"/>
      <c r="M1265" s="182"/>
      <c r="N1265" s="182"/>
      <c r="O1265" s="182"/>
      <c r="P1265" s="182"/>
      <c r="Q1265" s="182"/>
      <c r="R1265" s="182"/>
      <c r="S1265" s="182"/>
      <c r="T1265" s="182"/>
      <c r="U1265" s="182"/>
      <c r="V1265" s="182"/>
      <c r="W1265" s="182"/>
      <c r="X1265" s="182"/>
      <c r="Y1265" s="182"/>
      <c r="Z1265" s="182"/>
      <c r="AA1265" s="182"/>
      <c r="AB1265" s="182"/>
      <c r="AC1265" s="182"/>
      <c r="AD1265" s="182"/>
      <c r="AE1265" s="182"/>
      <c r="AF1265" s="182"/>
      <c r="AG1265" s="182"/>
      <c r="AH1265" s="182"/>
      <c r="AI1265" s="182"/>
      <c r="AJ1265" s="182"/>
      <c r="AK1265" s="182"/>
      <c r="AL1265" s="182"/>
      <c r="AM1265" s="182"/>
      <c r="AN1265" s="182"/>
      <c r="AO1265" s="182"/>
      <c r="AP1265" s="182"/>
      <c r="AQ1265" s="185">
        <v>2110.5</v>
      </c>
      <c r="AR1265" s="182">
        <v>1411.4</v>
      </c>
      <c r="AS1265" s="182">
        <v>190.6</v>
      </c>
      <c r="AT1265" s="182">
        <v>508.5</v>
      </c>
      <c r="AU1265" s="182"/>
      <c r="AV1265" s="182"/>
      <c r="AW1265" s="182"/>
      <c r="AX1265" s="182"/>
      <c r="AY1265" s="182"/>
      <c r="AZ1265" s="182"/>
      <c r="BA1265" s="182"/>
      <c r="BB1265" s="182"/>
      <c r="BC1265" s="182"/>
      <c r="BD1265" s="182"/>
      <c r="BE1265" s="182"/>
      <c r="BF1265" s="182"/>
      <c r="BG1265" s="182"/>
      <c r="BH1265" s="182"/>
      <c r="BI1265" s="182"/>
      <c r="BJ1265" s="182"/>
      <c r="BK1265" s="182"/>
      <c r="BL1265" s="182"/>
      <c r="BM1265" s="182"/>
      <c r="BN1265" s="182"/>
      <c r="BO1265" s="182"/>
      <c r="BP1265" s="182"/>
      <c r="BQ1265" s="182"/>
      <c r="BR1265" s="182"/>
      <c r="BS1265" s="182"/>
      <c r="BT1265" s="182"/>
      <c r="BU1265" s="182"/>
      <c r="BV1265" s="182"/>
      <c r="BW1265" s="182"/>
      <c r="BX1265" s="182"/>
      <c r="BY1265" s="182"/>
      <c r="BZ1265" s="182"/>
      <c r="CA1265" s="182"/>
      <c r="CB1265" s="185">
        <v>2110.5</v>
      </c>
      <c r="CC1265" s="185">
        <v>0</v>
      </c>
      <c r="CD1265" s="185">
        <v>2613</v>
      </c>
      <c r="CE1265" s="185"/>
    </row>
    <row r="1266" spans="2:83" x14ac:dyDescent="0.3">
      <c r="B1266" s="182">
        <v>4614</v>
      </c>
      <c r="C1266" s="182">
        <v>2614</v>
      </c>
      <c r="D1266" s="182" t="s">
        <v>121</v>
      </c>
      <c r="E1266" s="181" t="s">
        <v>4435</v>
      </c>
      <c r="F1266" s="182"/>
      <c r="G1266" s="182">
        <v>13031.6</v>
      </c>
      <c r="H1266" s="182"/>
      <c r="I1266" s="182"/>
      <c r="J1266" s="182"/>
      <c r="K1266" s="182"/>
      <c r="L1266" s="182"/>
      <c r="M1266" s="182"/>
      <c r="N1266" s="182"/>
      <c r="O1266" s="182"/>
      <c r="P1266" s="182"/>
      <c r="Q1266" s="182"/>
      <c r="R1266" s="182"/>
      <c r="S1266" s="182"/>
      <c r="T1266" s="182"/>
      <c r="U1266" s="182"/>
      <c r="V1266" s="182"/>
      <c r="W1266" s="182"/>
      <c r="X1266" s="182"/>
      <c r="Y1266" s="182"/>
      <c r="Z1266" s="182"/>
      <c r="AA1266" s="182"/>
      <c r="AB1266" s="182"/>
      <c r="AC1266" s="182"/>
      <c r="AD1266" s="182"/>
      <c r="AE1266" s="182"/>
      <c r="AF1266" s="182"/>
      <c r="AG1266" s="182"/>
      <c r="AH1266" s="182"/>
      <c r="AI1266" s="182"/>
      <c r="AJ1266" s="182"/>
      <c r="AK1266" s="182"/>
      <c r="AL1266" s="182"/>
      <c r="AM1266" s="182"/>
      <c r="AN1266" s="182"/>
      <c r="AO1266" s="182"/>
      <c r="AP1266" s="182"/>
      <c r="AQ1266" s="185">
        <v>13031.6</v>
      </c>
      <c r="AR1266" s="182">
        <v>9148.9599999999991</v>
      </c>
      <c r="AS1266" s="182">
        <v>1210.5999999999999</v>
      </c>
      <c r="AT1266" s="182">
        <v>2672.04</v>
      </c>
      <c r="AU1266" s="182"/>
      <c r="AV1266" s="182"/>
      <c r="AW1266" s="182"/>
      <c r="AX1266" s="182"/>
      <c r="AY1266" s="182"/>
      <c r="AZ1266" s="182"/>
      <c r="BA1266" s="182"/>
      <c r="BB1266" s="182"/>
      <c r="BC1266" s="182"/>
      <c r="BD1266" s="182"/>
      <c r="BE1266" s="182"/>
      <c r="BF1266" s="182"/>
      <c r="BG1266" s="182"/>
      <c r="BH1266" s="182"/>
      <c r="BI1266" s="182"/>
      <c r="BJ1266" s="182"/>
      <c r="BK1266" s="182"/>
      <c r="BL1266" s="182"/>
      <c r="BM1266" s="182"/>
      <c r="BN1266" s="182"/>
      <c r="BO1266" s="182"/>
      <c r="BP1266" s="182"/>
      <c r="BQ1266" s="182"/>
      <c r="BR1266" s="182"/>
      <c r="BS1266" s="182"/>
      <c r="BT1266" s="182"/>
      <c r="BU1266" s="182"/>
      <c r="BV1266" s="182"/>
      <c r="BW1266" s="182"/>
      <c r="BX1266" s="182"/>
      <c r="BY1266" s="182"/>
      <c r="BZ1266" s="182"/>
      <c r="CA1266" s="182"/>
      <c r="CB1266" s="185">
        <v>13031.599999999999</v>
      </c>
      <c r="CC1266" s="185">
        <v>0</v>
      </c>
      <c r="CD1266" s="185">
        <v>2614</v>
      </c>
      <c r="CE1266" s="185"/>
    </row>
    <row r="1267" spans="2:83" x14ac:dyDescent="0.3">
      <c r="B1267" s="182">
        <v>4618</v>
      </c>
      <c r="C1267" s="182">
        <v>2615</v>
      </c>
      <c r="D1267" s="182" t="s">
        <v>121</v>
      </c>
      <c r="E1267" s="181" t="s">
        <v>4436</v>
      </c>
      <c r="F1267" s="182"/>
      <c r="G1267" s="182">
        <v>2696.34</v>
      </c>
      <c r="H1267" s="182"/>
      <c r="I1267" s="182"/>
      <c r="J1267" s="182"/>
      <c r="K1267" s="182"/>
      <c r="L1267" s="182"/>
      <c r="M1267" s="182"/>
      <c r="N1267" s="182"/>
      <c r="O1267" s="182"/>
      <c r="P1267" s="182"/>
      <c r="Q1267" s="182"/>
      <c r="R1267" s="182"/>
      <c r="S1267" s="182"/>
      <c r="T1267" s="182"/>
      <c r="U1267" s="182"/>
      <c r="V1267" s="182"/>
      <c r="W1267" s="182"/>
      <c r="X1267" s="182"/>
      <c r="Y1267" s="182"/>
      <c r="Z1267" s="182"/>
      <c r="AA1267" s="182"/>
      <c r="AB1267" s="182"/>
      <c r="AC1267" s="182"/>
      <c r="AD1267" s="182"/>
      <c r="AE1267" s="182"/>
      <c r="AF1267" s="182"/>
      <c r="AG1267" s="182"/>
      <c r="AH1267" s="182"/>
      <c r="AI1267" s="182"/>
      <c r="AJ1267" s="182"/>
      <c r="AK1267" s="182"/>
      <c r="AL1267" s="182"/>
      <c r="AM1267" s="182"/>
      <c r="AN1267" s="182"/>
      <c r="AO1267" s="182"/>
      <c r="AP1267" s="182"/>
      <c r="AQ1267" s="185">
        <v>2696.34</v>
      </c>
      <c r="AR1267" s="182">
        <v>2184.9899999999998</v>
      </c>
      <c r="AS1267" s="182">
        <v>271.7</v>
      </c>
      <c r="AT1267" s="182">
        <v>239.65</v>
      </c>
      <c r="AU1267" s="182"/>
      <c r="AV1267" s="182"/>
      <c r="AW1267" s="182"/>
      <c r="AX1267" s="182"/>
      <c r="AY1267" s="182"/>
      <c r="AZ1267" s="182"/>
      <c r="BA1267" s="182"/>
      <c r="BB1267" s="182"/>
      <c r="BC1267" s="182"/>
      <c r="BD1267" s="182"/>
      <c r="BE1267" s="182"/>
      <c r="BF1267" s="182"/>
      <c r="BG1267" s="182"/>
      <c r="BH1267" s="182"/>
      <c r="BI1267" s="182"/>
      <c r="BJ1267" s="182"/>
      <c r="BK1267" s="182"/>
      <c r="BL1267" s="182"/>
      <c r="BM1267" s="182"/>
      <c r="BN1267" s="182"/>
      <c r="BO1267" s="182"/>
      <c r="BP1267" s="182"/>
      <c r="BQ1267" s="182"/>
      <c r="BR1267" s="182"/>
      <c r="BS1267" s="182"/>
      <c r="BT1267" s="182"/>
      <c r="BU1267" s="182"/>
      <c r="BV1267" s="182"/>
      <c r="BW1267" s="182"/>
      <c r="BX1267" s="182"/>
      <c r="BY1267" s="182"/>
      <c r="BZ1267" s="182"/>
      <c r="CA1267" s="182"/>
      <c r="CB1267" s="185">
        <v>2696.3399999999997</v>
      </c>
      <c r="CC1267" s="185">
        <v>0</v>
      </c>
      <c r="CD1267" s="185">
        <v>2615</v>
      </c>
      <c r="CE1267" s="185"/>
    </row>
    <row r="1268" spans="2:83" x14ac:dyDescent="0.3">
      <c r="B1268" s="182">
        <v>4620</v>
      </c>
      <c r="C1268" s="182">
        <v>2616</v>
      </c>
      <c r="D1268" s="182" t="s">
        <v>121</v>
      </c>
      <c r="E1268" s="181" t="s">
        <v>4437</v>
      </c>
      <c r="F1268" s="182"/>
      <c r="G1268" s="182">
        <v>675</v>
      </c>
      <c r="H1268" s="182"/>
      <c r="I1268" s="182"/>
      <c r="J1268" s="182"/>
      <c r="K1268" s="182"/>
      <c r="L1268" s="182"/>
      <c r="M1268" s="182"/>
      <c r="N1268" s="182"/>
      <c r="O1268" s="182"/>
      <c r="P1268" s="182"/>
      <c r="Q1268" s="182"/>
      <c r="R1268" s="182"/>
      <c r="S1268" s="182"/>
      <c r="T1268" s="182"/>
      <c r="U1268" s="182"/>
      <c r="V1268" s="182"/>
      <c r="W1268" s="182"/>
      <c r="X1268" s="182"/>
      <c r="Y1268" s="182"/>
      <c r="Z1268" s="182"/>
      <c r="AA1268" s="182"/>
      <c r="AB1268" s="182"/>
      <c r="AC1268" s="182"/>
      <c r="AD1268" s="182"/>
      <c r="AE1268" s="182"/>
      <c r="AF1268" s="182"/>
      <c r="AG1268" s="182"/>
      <c r="AH1268" s="182"/>
      <c r="AI1268" s="182"/>
      <c r="AJ1268" s="182"/>
      <c r="AK1268" s="182"/>
      <c r="AL1268" s="182"/>
      <c r="AM1268" s="182"/>
      <c r="AN1268" s="182"/>
      <c r="AO1268" s="182"/>
      <c r="AP1268" s="182"/>
      <c r="AQ1268" s="185">
        <v>675</v>
      </c>
      <c r="AR1268" s="182">
        <v>603.1</v>
      </c>
      <c r="AS1268" s="182">
        <v>71.900000000000006</v>
      </c>
      <c r="AT1268" s="182"/>
      <c r="AU1268" s="182"/>
      <c r="AV1268" s="182"/>
      <c r="AW1268" s="182"/>
      <c r="AX1268" s="182"/>
      <c r="AY1268" s="182"/>
      <c r="AZ1268" s="182"/>
      <c r="BA1268" s="182"/>
      <c r="BB1268" s="182"/>
      <c r="BC1268" s="182"/>
      <c r="BD1268" s="182"/>
      <c r="BE1268" s="182"/>
      <c r="BF1268" s="182"/>
      <c r="BG1268" s="182"/>
      <c r="BH1268" s="182"/>
      <c r="BI1268" s="182"/>
      <c r="BJ1268" s="182"/>
      <c r="BK1268" s="182"/>
      <c r="BL1268" s="182"/>
      <c r="BM1268" s="182"/>
      <c r="BN1268" s="182"/>
      <c r="BO1268" s="182"/>
      <c r="BP1268" s="182"/>
      <c r="BQ1268" s="182"/>
      <c r="BR1268" s="182"/>
      <c r="BS1268" s="182"/>
      <c r="BT1268" s="182"/>
      <c r="BU1268" s="182"/>
      <c r="BV1268" s="182"/>
      <c r="BW1268" s="182"/>
      <c r="BX1268" s="182"/>
      <c r="BY1268" s="182"/>
      <c r="BZ1268" s="182"/>
      <c r="CA1268" s="182"/>
      <c r="CB1268" s="185">
        <v>675</v>
      </c>
      <c r="CC1268" s="185">
        <v>0</v>
      </c>
      <c r="CD1268" s="185">
        <v>2616</v>
      </c>
      <c r="CE1268" s="185"/>
    </row>
    <row r="1269" spans="2:83" x14ac:dyDescent="0.3">
      <c r="B1269" s="182">
        <v>4596</v>
      </c>
      <c r="C1269" s="182">
        <v>2617</v>
      </c>
      <c r="D1269" s="182" t="s">
        <v>121</v>
      </c>
      <c r="E1269" s="181" t="s">
        <v>4438</v>
      </c>
      <c r="F1269" s="182"/>
      <c r="G1269" s="182">
        <v>57457.33</v>
      </c>
      <c r="H1269" s="182"/>
      <c r="I1269" s="182"/>
      <c r="J1269" s="182"/>
      <c r="K1269" s="182"/>
      <c r="L1269" s="182"/>
      <c r="M1269" s="182"/>
      <c r="N1269" s="182"/>
      <c r="O1269" s="182"/>
      <c r="P1269" s="182"/>
      <c r="Q1269" s="182"/>
      <c r="R1269" s="182"/>
      <c r="S1269" s="182"/>
      <c r="T1269" s="182"/>
      <c r="U1269" s="182"/>
      <c r="V1269" s="182"/>
      <c r="W1269" s="182"/>
      <c r="X1269" s="182"/>
      <c r="Y1269" s="182"/>
      <c r="Z1269" s="182"/>
      <c r="AA1269" s="182"/>
      <c r="AB1269" s="182"/>
      <c r="AC1269" s="182"/>
      <c r="AD1269" s="182"/>
      <c r="AE1269" s="182"/>
      <c r="AF1269" s="182"/>
      <c r="AG1269" s="182"/>
      <c r="AH1269" s="182"/>
      <c r="AI1269" s="182"/>
      <c r="AJ1269" s="182"/>
      <c r="AK1269" s="182"/>
      <c r="AL1269" s="182"/>
      <c r="AM1269" s="182"/>
      <c r="AN1269" s="182"/>
      <c r="AO1269" s="182"/>
      <c r="AP1269" s="182"/>
      <c r="AQ1269" s="185">
        <v>57457.33</v>
      </c>
      <c r="AR1269" s="182">
        <v>46238.83</v>
      </c>
      <c r="AS1269" s="182">
        <v>5785.75</v>
      </c>
      <c r="AT1269" s="182">
        <v>5432.75</v>
      </c>
      <c r="AU1269" s="182"/>
      <c r="AV1269" s="182"/>
      <c r="AW1269" s="182"/>
      <c r="AX1269" s="182"/>
      <c r="AY1269" s="182"/>
      <c r="AZ1269" s="182"/>
      <c r="BA1269" s="182"/>
      <c r="BB1269" s="182"/>
      <c r="BC1269" s="182"/>
      <c r="BD1269" s="182"/>
      <c r="BE1269" s="182"/>
      <c r="BF1269" s="182"/>
      <c r="BG1269" s="182"/>
      <c r="BH1269" s="182"/>
      <c r="BI1269" s="182"/>
      <c r="BJ1269" s="182"/>
      <c r="BK1269" s="182"/>
      <c r="BL1269" s="182"/>
      <c r="BM1269" s="182"/>
      <c r="BN1269" s="182"/>
      <c r="BO1269" s="182"/>
      <c r="BP1269" s="182"/>
      <c r="BQ1269" s="182"/>
      <c r="BR1269" s="182"/>
      <c r="BS1269" s="182"/>
      <c r="BT1269" s="182"/>
      <c r="BU1269" s="182"/>
      <c r="BV1269" s="182"/>
      <c r="BW1269" s="182"/>
      <c r="BX1269" s="182"/>
      <c r="BY1269" s="182"/>
      <c r="BZ1269" s="182"/>
      <c r="CA1269" s="182"/>
      <c r="CB1269" s="185">
        <v>57457.33</v>
      </c>
      <c r="CC1269" s="185">
        <v>0</v>
      </c>
      <c r="CD1269" s="185">
        <v>2617</v>
      </c>
      <c r="CE1269" s="185"/>
    </row>
    <row r="1270" spans="2:83" x14ac:dyDescent="0.3">
      <c r="B1270" s="182">
        <v>4598</v>
      </c>
      <c r="C1270" s="182">
        <v>2618</v>
      </c>
      <c r="D1270" s="182" t="s">
        <v>121</v>
      </c>
      <c r="E1270" s="181" t="s">
        <v>4438</v>
      </c>
      <c r="F1270" s="182"/>
      <c r="G1270" s="182">
        <v>51999.46</v>
      </c>
      <c r="H1270" s="182"/>
      <c r="I1270" s="182"/>
      <c r="J1270" s="182"/>
      <c r="K1270" s="182"/>
      <c r="L1270" s="182"/>
      <c r="M1270" s="182"/>
      <c r="N1270" s="182"/>
      <c r="O1270" s="182"/>
      <c r="P1270" s="182"/>
      <c r="Q1270" s="182"/>
      <c r="R1270" s="182"/>
      <c r="S1270" s="182"/>
      <c r="T1270" s="182"/>
      <c r="U1270" s="182"/>
      <c r="V1270" s="182"/>
      <c r="W1270" s="182"/>
      <c r="X1270" s="182"/>
      <c r="Y1270" s="182"/>
      <c r="Z1270" s="182"/>
      <c r="AA1270" s="182"/>
      <c r="AB1270" s="182"/>
      <c r="AC1270" s="182"/>
      <c r="AD1270" s="182"/>
      <c r="AE1270" s="182"/>
      <c r="AF1270" s="182"/>
      <c r="AG1270" s="182"/>
      <c r="AH1270" s="182"/>
      <c r="AI1270" s="182"/>
      <c r="AJ1270" s="182"/>
      <c r="AK1270" s="182"/>
      <c r="AL1270" s="182"/>
      <c r="AM1270" s="182"/>
      <c r="AN1270" s="182"/>
      <c r="AO1270" s="182"/>
      <c r="AP1270" s="182"/>
      <c r="AQ1270" s="185">
        <v>51999.46</v>
      </c>
      <c r="AR1270" s="182">
        <v>45026.080000000002</v>
      </c>
      <c r="AS1270" s="182">
        <v>5467.6</v>
      </c>
      <c r="AT1270" s="182">
        <v>1505.78</v>
      </c>
      <c r="AU1270" s="182"/>
      <c r="AV1270" s="182"/>
      <c r="AW1270" s="182"/>
      <c r="AX1270" s="182"/>
      <c r="AY1270" s="182"/>
      <c r="AZ1270" s="182"/>
      <c r="BA1270" s="182"/>
      <c r="BB1270" s="182"/>
      <c r="BC1270" s="182"/>
      <c r="BD1270" s="182"/>
      <c r="BE1270" s="182"/>
      <c r="BF1270" s="182"/>
      <c r="BG1270" s="182"/>
      <c r="BH1270" s="182"/>
      <c r="BI1270" s="182"/>
      <c r="BJ1270" s="182"/>
      <c r="BK1270" s="182"/>
      <c r="BL1270" s="182"/>
      <c r="BM1270" s="182"/>
      <c r="BN1270" s="182"/>
      <c r="BO1270" s="182"/>
      <c r="BP1270" s="182"/>
      <c r="BQ1270" s="182"/>
      <c r="BR1270" s="182"/>
      <c r="BS1270" s="182"/>
      <c r="BT1270" s="182"/>
      <c r="BU1270" s="182"/>
      <c r="BV1270" s="182"/>
      <c r="BW1270" s="182"/>
      <c r="BX1270" s="182"/>
      <c r="BY1270" s="182"/>
      <c r="BZ1270" s="182"/>
      <c r="CA1270" s="182"/>
      <c r="CB1270" s="185">
        <v>51999.46</v>
      </c>
      <c r="CC1270" s="185">
        <v>0</v>
      </c>
      <c r="CD1270" s="185">
        <v>2618</v>
      </c>
      <c r="CE1270" s="185"/>
    </row>
    <row r="1271" spans="2:83" x14ac:dyDescent="0.3">
      <c r="B1271" s="182">
        <v>4594</v>
      </c>
      <c r="C1271" s="182">
        <v>2619</v>
      </c>
      <c r="D1271" s="182" t="s">
        <v>121</v>
      </c>
      <c r="E1271" s="181" t="s">
        <v>4438</v>
      </c>
      <c r="F1271" s="182"/>
      <c r="G1271" s="182">
        <v>2079.37</v>
      </c>
      <c r="H1271" s="182"/>
      <c r="I1271" s="182"/>
      <c r="J1271" s="182"/>
      <c r="K1271" s="182"/>
      <c r="L1271" s="182"/>
      <c r="M1271" s="182"/>
      <c r="N1271" s="182"/>
      <c r="O1271" s="182"/>
      <c r="P1271" s="182"/>
      <c r="Q1271" s="182"/>
      <c r="R1271" s="182"/>
      <c r="S1271" s="182"/>
      <c r="T1271" s="182"/>
      <c r="U1271" s="182"/>
      <c r="V1271" s="182"/>
      <c r="W1271" s="182"/>
      <c r="X1271" s="182"/>
      <c r="Y1271" s="182"/>
      <c r="Z1271" s="182"/>
      <c r="AA1271" s="182"/>
      <c r="AB1271" s="182"/>
      <c r="AC1271" s="182"/>
      <c r="AD1271" s="182"/>
      <c r="AE1271" s="182"/>
      <c r="AF1271" s="182"/>
      <c r="AG1271" s="182"/>
      <c r="AH1271" s="182"/>
      <c r="AI1271" s="182"/>
      <c r="AJ1271" s="182"/>
      <c r="AK1271" s="182"/>
      <c r="AL1271" s="182"/>
      <c r="AM1271" s="182"/>
      <c r="AN1271" s="182"/>
      <c r="AO1271" s="182"/>
      <c r="AP1271" s="182"/>
      <c r="AQ1271" s="185">
        <v>2079.37</v>
      </c>
      <c r="AR1271" s="182">
        <v>1430.04</v>
      </c>
      <c r="AS1271" s="182">
        <v>191.8</v>
      </c>
      <c r="AT1271" s="182">
        <v>457.53</v>
      </c>
      <c r="AU1271" s="182"/>
      <c r="AV1271" s="182"/>
      <c r="AW1271" s="182"/>
      <c r="AX1271" s="182"/>
      <c r="AY1271" s="182"/>
      <c r="AZ1271" s="182"/>
      <c r="BA1271" s="182"/>
      <c r="BB1271" s="182"/>
      <c r="BC1271" s="182"/>
      <c r="BD1271" s="182"/>
      <c r="BE1271" s="182"/>
      <c r="BF1271" s="182"/>
      <c r="BG1271" s="182"/>
      <c r="BH1271" s="182"/>
      <c r="BI1271" s="182"/>
      <c r="BJ1271" s="182"/>
      <c r="BK1271" s="182"/>
      <c r="BL1271" s="182"/>
      <c r="BM1271" s="182"/>
      <c r="BN1271" s="182"/>
      <c r="BO1271" s="182"/>
      <c r="BP1271" s="182"/>
      <c r="BQ1271" s="182"/>
      <c r="BR1271" s="182"/>
      <c r="BS1271" s="182"/>
      <c r="BT1271" s="182"/>
      <c r="BU1271" s="182"/>
      <c r="BV1271" s="182"/>
      <c r="BW1271" s="182"/>
      <c r="BX1271" s="182"/>
      <c r="BY1271" s="182"/>
      <c r="BZ1271" s="182"/>
      <c r="CA1271" s="182"/>
      <c r="CB1271" s="185">
        <v>2079.37</v>
      </c>
      <c r="CC1271" s="185">
        <v>0</v>
      </c>
      <c r="CD1271" s="185">
        <v>2619</v>
      </c>
      <c r="CE1271" s="185"/>
    </row>
    <row r="1272" spans="2:83" x14ac:dyDescent="0.3">
      <c r="B1272" s="182">
        <v>4824</v>
      </c>
      <c r="C1272" s="182">
        <v>2620</v>
      </c>
      <c r="D1272" s="182" t="s">
        <v>121</v>
      </c>
      <c r="E1272" s="181" t="s">
        <v>4439</v>
      </c>
      <c r="F1272" s="182"/>
      <c r="G1272" s="182">
        <v>56771.93</v>
      </c>
      <c r="H1272" s="182"/>
      <c r="I1272" s="182"/>
      <c r="J1272" s="182"/>
      <c r="K1272" s="182"/>
      <c r="L1272" s="182"/>
      <c r="M1272" s="182"/>
      <c r="N1272" s="182"/>
      <c r="O1272" s="182"/>
      <c r="P1272" s="182"/>
      <c r="Q1272" s="182"/>
      <c r="R1272" s="182"/>
      <c r="S1272" s="182"/>
      <c r="T1272" s="182"/>
      <c r="U1272" s="182"/>
      <c r="V1272" s="182"/>
      <c r="W1272" s="182"/>
      <c r="X1272" s="182"/>
      <c r="Y1272" s="182"/>
      <c r="Z1272" s="182"/>
      <c r="AA1272" s="182"/>
      <c r="AB1272" s="182"/>
      <c r="AC1272" s="182"/>
      <c r="AD1272" s="182"/>
      <c r="AE1272" s="182"/>
      <c r="AF1272" s="182"/>
      <c r="AG1272" s="182"/>
      <c r="AH1272" s="182"/>
      <c r="AI1272" s="182"/>
      <c r="AJ1272" s="182"/>
      <c r="AK1272" s="182"/>
      <c r="AL1272" s="182"/>
      <c r="AM1272" s="182"/>
      <c r="AN1272" s="182"/>
      <c r="AO1272" s="182"/>
      <c r="AP1272" s="182"/>
      <c r="AQ1272" s="185">
        <v>56771.93</v>
      </c>
      <c r="AR1272" s="182">
        <v>43490.26</v>
      </c>
      <c r="AS1272" s="182">
        <v>5548.7</v>
      </c>
      <c r="AT1272" s="182">
        <v>7732.97</v>
      </c>
      <c r="AU1272" s="182"/>
      <c r="AV1272" s="182"/>
      <c r="AW1272" s="182"/>
      <c r="AX1272" s="182"/>
      <c r="AY1272" s="182"/>
      <c r="AZ1272" s="182"/>
      <c r="BA1272" s="182"/>
      <c r="BB1272" s="182"/>
      <c r="BC1272" s="182"/>
      <c r="BD1272" s="182"/>
      <c r="BE1272" s="182"/>
      <c r="BF1272" s="182"/>
      <c r="BG1272" s="182"/>
      <c r="BH1272" s="182"/>
      <c r="BI1272" s="182"/>
      <c r="BJ1272" s="182"/>
      <c r="BK1272" s="182"/>
      <c r="BL1272" s="182"/>
      <c r="BM1272" s="182"/>
      <c r="BN1272" s="182"/>
      <c r="BO1272" s="182"/>
      <c r="BP1272" s="182"/>
      <c r="BQ1272" s="182"/>
      <c r="BR1272" s="182"/>
      <c r="BS1272" s="182"/>
      <c r="BT1272" s="182"/>
      <c r="BU1272" s="182"/>
      <c r="BV1272" s="182"/>
      <c r="BW1272" s="182"/>
      <c r="BX1272" s="182"/>
      <c r="BY1272" s="182"/>
      <c r="BZ1272" s="182"/>
      <c r="CA1272" s="182"/>
      <c r="CB1272" s="185">
        <v>56771.93</v>
      </c>
      <c r="CC1272" s="185">
        <v>0</v>
      </c>
      <c r="CD1272" s="185">
        <v>2620</v>
      </c>
      <c r="CE1272" s="185"/>
    </row>
    <row r="1273" spans="2:83" x14ac:dyDescent="0.3">
      <c r="B1273" s="182">
        <v>4825</v>
      </c>
      <c r="C1273" s="182">
        <v>2621</v>
      </c>
      <c r="D1273" s="182" t="s">
        <v>121</v>
      </c>
      <c r="E1273" s="181" t="s">
        <v>4439</v>
      </c>
      <c r="F1273" s="182"/>
      <c r="G1273" s="182">
        <v>16444.32</v>
      </c>
      <c r="H1273" s="182"/>
      <c r="I1273" s="182"/>
      <c r="J1273" s="182"/>
      <c r="K1273" s="182"/>
      <c r="L1273" s="182"/>
      <c r="M1273" s="182"/>
      <c r="N1273" s="182"/>
      <c r="O1273" s="182"/>
      <c r="P1273" s="182"/>
      <c r="Q1273" s="182"/>
      <c r="R1273" s="182"/>
      <c r="S1273" s="182"/>
      <c r="T1273" s="182"/>
      <c r="U1273" s="182"/>
      <c r="V1273" s="182"/>
      <c r="W1273" s="182"/>
      <c r="X1273" s="182"/>
      <c r="Y1273" s="182"/>
      <c r="Z1273" s="182"/>
      <c r="AA1273" s="182"/>
      <c r="AB1273" s="182"/>
      <c r="AC1273" s="182"/>
      <c r="AD1273" s="182"/>
      <c r="AE1273" s="182"/>
      <c r="AF1273" s="182"/>
      <c r="AG1273" s="182"/>
      <c r="AH1273" s="182"/>
      <c r="AI1273" s="182"/>
      <c r="AJ1273" s="182"/>
      <c r="AK1273" s="182"/>
      <c r="AL1273" s="182"/>
      <c r="AM1273" s="182"/>
      <c r="AN1273" s="182"/>
      <c r="AO1273" s="182"/>
      <c r="AP1273" s="182"/>
      <c r="AQ1273" s="185">
        <v>16444.32</v>
      </c>
      <c r="AR1273" s="182">
        <v>11641.31</v>
      </c>
      <c r="AS1273" s="182">
        <v>1536.95</v>
      </c>
      <c r="AT1273" s="182">
        <v>3266.06</v>
      </c>
      <c r="AU1273" s="182"/>
      <c r="AV1273" s="182"/>
      <c r="AW1273" s="182"/>
      <c r="AX1273" s="182"/>
      <c r="AY1273" s="182"/>
      <c r="AZ1273" s="182"/>
      <c r="BA1273" s="182"/>
      <c r="BB1273" s="182"/>
      <c r="BC1273" s="182"/>
      <c r="BD1273" s="182"/>
      <c r="BE1273" s="182"/>
      <c r="BF1273" s="182"/>
      <c r="BG1273" s="182"/>
      <c r="BH1273" s="182"/>
      <c r="BI1273" s="182"/>
      <c r="BJ1273" s="182"/>
      <c r="BK1273" s="182"/>
      <c r="BL1273" s="182"/>
      <c r="BM1273" s="182"/>
      <c r="BN1273" s="182"/>
      <c r="BO1273" s="182"/>
      <c r="BP1273" s="182"/>
      <c r="BQ1273" s="182"/>
      <c r="BR1273" s="182"/>
      <c r="BS1273" s="182"/>
      <c r="BT1273" s="182"/>
      <c r="BU1273" s="182"/>
      <c r="BV1273" s="182"/>
      <c r="BW1273" s="182"/>
      <c r="BX1273" s="182"/>
      <c r="BY1273" s="182"/>
      <c r="BZ1273" s="182"/>
      <c r="CA1273" s="182"/>
      <c r="CB1273" s="185">
        <v>16444.32</v>
      </c>
      <c r="CC1273" s="185">
        <v>0</v>
      </c>
      <c r="CD1273" s="185">
        <v>2621</v>
      </c>
      <c r="CE1273" s="185"/>
    </row>
    <row r="1274" spans="2:83" x14ac:dyDescent="0.3">
      <c r="B1274" s="182">
        <v>4532</v>
      </c>
      <c r="C1274" s="182">
        <v>2622</v>
      </c>
      <c r="D1274" s="182" t="s">
        <v>121</v>
      </c>
      <c r="E1274" s="181" t="s">
        <v>4440</v>
      </c>
      <c r="F1274" s="182"/>
      <c r="G1274" s="182">
        <v>27210</v>
      </c>
      <c r="H1274" s="182"/>
      <c r="I1274" s="182"/>
      <c r="J1274" s="182"/>
      <c r="K1274" s="182"/>
      <c r="L1274" s="182"/>
      <c r="M1274" s="182"/>
      <c r="N1274" s="182"/>
      <c r="O1274" s="182"/>
      <c r="P1274" s="182"/>
      <c r="Q1274" s="182"/>
      <c r="R1274" s="182"/>
      <c r="S1274" s="182"/>
      <c r="T1274" s="182"/>
      <c r="U1274" s="182"/>
      <c r="V1274" s="182"/>
      <c r="W1274" s="182"/>
      <c r="X1274" s="182"/>
      <c r="Y1274" s="182"/>
      <c r="Z1274" s="182"/>
      <c r="AA1274" s="182"/>
      <c r="AB1274" s="182"/>
      <c r="AC1274" s="182"/>
      <c r="AD1274" s="182"/>
      <c r="AE1274" s="182"/>
      <c r="AF1274" s="182"/>
      <c r="AG1274" s="182"/>
      <c r="AH1274" s="182"/>
      <c r="AI1274" s="182"/>
      <c r="AJ1274" s="182"/>
      <c r="AK1274" s="182"/>
      <c r="AL1274" s="182"/>
      <c r="AM1274" s="182"/>
      <c r="AN1274" s="182"/>
      <c r="AO1274" s="182"/>
      <c r="AP1274" s="182"/>
      <c r="AQ1274" s="185">
        <v>27210</v>
      </c>
      <c r="AR1274" s="182">
        <v>24289.200000000001</v>
      </c>
      <c r="AS1274" s="182">
        <v>2920.8</v>
      </c>
      <c r="AT1274" s="182"/>
      <c r="AU1274" s="182"/>
      <c r="AV1274" s="182"/>
      <c r="AW1274" s="182"/>
      <c r="AX1274" s="182"/>
      <c r="AY1274" s="182"/>
      <c r="AZ1274" s="182"/>
      <c r="BA1274" s="182"/>
      <c r="BB1274" s="182"/>
      <c r="BC1274" s="182"/>
      <c r="BD1274" s="182"/>
      <c r="BE1274" s="182"/>
      <c r="BF1274" s="182"/>
      <c r="BG1274" s="182"/>
      <c r="BH1274" s="182"/>
      <c r="BI1274" s="182"/>
      <c r="BJ1274" s="182"/>
      <c r="BK1274" s="182"/>
      <c r="BL1274" s="182"/>
      <c r="BM1274" s="182"/>
      <c r="BN1274" s="182"/>
      <c r="BO1274" s="182"/>
      <c r="BP1274" s="182"/>
      <c r="BQ1274" s="182"/>
      <c r="BR1274" s="182"/>
      <c r="BS1274" s="182"/>
      <c r="BT1274" s="182"/>
      <c r="BU1274" s="182"/>
      <c r="BV1274" s="182"/>
      <c r="BW1274" s="182"/>
      <c r="BX1274" s="182"/>
      <c r="BY1274" s="182"/>
      <c r="BZ1274" s="182"/>
      <c r="CA1274" s="182"/>
      <c r="CB1274" s="185">
        <v>27210</v>
      </c>
      <c r="CC1274" s="185">
        <v>0</v>
      </c>
      <c r="CD1274" s="185">
        <v>2622</v>
      </c>
      <c r="CE1274" s="185"/>
    </row>
    <row r="1275" spans="2:83" x14ac:dyDescent="0.3">
      <c r="B1275" s="182">
        <v>4613</v>
      </c>
      <c r="C1275" s="182">
        <v>2623</v>
      </c>
      <c r="D1275" s="182" t="s">
        <v>121</v>
      </c>
      <c r="E1275" s="181" t="s">
        <v>4441</v>
      </c>
      <c r="F1275" s="182"/>
      <c r="G1275" s="182">
        <v>2286.36</v>
      </c>
      <c r="H1275" s="182"/>
      <c r="I1275" s="182"/>
      <c r="J1275" s="182"/>
      <c r="K1275" s="182"/>
      <c r="L1275" s="182"/>
      <c r="M1275" s="182"/>
      <c r="N1275" s="182"/>
      <c r="O1275" s="182"/>
      <c r="P1275" s="182"/>
      <c r="Q1275" s="182"/>
      <c r="R1275" s="182"/>
      <c r="S1275" s="182"/>
      <c r="T1275" s="182"/>
      <c r="U1275" s="182"/>
      <c r="V1275" s="182"/>
      <c r="W1275" s="182"/>
      <c r="X1275" s="182"/>
      <c r="Y1275" s="182"/>
      <c r="Z1275" s="182"/>
      <c r="AA1275" s="182"/>
      <c r="AB1275" s="182"/>
      <c r="AC1275" s="182"/>
      <c r="AD1275" s="182"/>
      <c r="AE1275" s="182"/>
      <c r="AF1275" s="182"/>
      <c r="AG1275" s="182"/>
      <c r="AH1275" s="182"/>
      <c r="AI1275" s="182"/>
      <c r="AJ1275" s="182"/>
      <c r="AK1275" s="182"/>
      <c r="AL1275" s="182"/>
      <c r="AM1275" s="182"/>
      <c r="AN1275" s="182"/>
      <c r="AO1275" s="182"/>
      <c r="AP1275" s="182"/>
      <c r="AQ1275" s="185">
        <v>2286.36</v>
      </c>
      <c r="AR1275" s="182">
        <v>1529.4</v>
      </c>
      <c r="AS1275" s="182">
        <v>206.1</v>
      </c>
      <c r="AT1275" s="182">
        <v>550.86</v>
      </c>
      <c r="AU1275" s="182"/>
      <c r="AV1275" s="182"/>
      <c r="AW1275" s="182"/>
      <c r="AX1275" s="182"/>
      <c r="AY1275" s="182"/>
      <c r="AZ1275" s="182"/>
      <c r="BA1275" s="182"/>
      <c r="BB1275" s="182"/>
      <c r="BC1275" s="182"/>
      <c r="BD1275" s="182"/>
      <c r="BE1275" s="182"/>
      <c r="BF1275" s="182"/>
      <c r="BG1275" s="182"/>
      <c r="BH1275" s="182"/>
      <c r="BI1275" s="182"/>
      <c r="BJ1275" s="182"/>
      <c r="BK1275" s="182"/>
      <c r="BL1275" s="182"/>
      <c r="BM1275" s="182"/>
      <c r="BN1275" s="182"/>
      <c r="BO1275" s="182"/>
      <c r="BP1275" s="182"/>
      <c r="BQ1275" s="182"/>
      <c r="BR1275" s="182"/>
      <c r="BS1275" s="182"/>
      <c r="BT1275" s="182"/>
      <c r="BU1275" s="182"/>
      <c r="BV1275" s="182"/>
      <c r="BW1275" s="182"/>
      <c r="BX1275" s="182"/>
      <c r="BY1275" s="182"/>
      <c r="BZ1275" s="182"/>
      <c r="CA1275" s="182"/>
      <c r="CB1275" s="185">
        <v>2286.36</v>
      </c>
      <c r="CC1275" s="185">
        <v>0</v>
      </c>
      <c r="CD1275" s="185">
        <v>2623</v>
      </c>
      <c r="CE1275" s="185"/>
    </row>
    <row r="1276" spans="2:83" x14ac:dyDescent="0.3">
      <c r="B1276" s="182">
        <v>4581</v>
      </c>
      <c r="C1276" s="182">
        <v>2624</v>
      </c>
      <c r="D1276" s="182" t="s">
        <v>121</v>
      </c>
      <c r="E1276" s="181" t="s">
        <v>4442</v>
      </c>
      <c r="F1276" s="182"/>
      <c r="G1276" s="182">
        <v>6038.19</v>
      </c>
      <c r="H1276" s="182"/>
      <c r="I1276" s="182"/>
      <c r="J1276" s="182"/>
      <c r="K1276" s="182"/>
      <c r="L1276" s="182"/>
      <c r="M1276" s="182"/>
      <c r="N1276" s="182"/>
      <c r="O1276" s="182"/>
      <c r="P1276" s="182"/>
      <c r="Q1276" s="182"/>
      <c r="R1276" s="182"/>
      <c r="S1276" s="182"/>
      <c r="T1276" s="182"/>
      <c r="U1276" s="182"/>
      <c r="V1276" s="182"/>
      <c r="W1276" s="182"/>
      <c r="X1276" s="182"/>
      <c r="Y1276" s="182"/>
      <c r="Z1276" s="182"/>
      <c r="AA1276" s="182"/>
      <c r="AB1276" s="182"/>
      <c r="AC1276" s="182"/>
      <c r="AD1276" s="182"/>
      <c r="AE1276" s="182"/>
      <c r="AF1276" s="182"/>
      <c r="AG1276" s="182"/>
      <c r="AH1276" s="182"/>
      <c r="AI1276" s="182"/>
      <c r="AJ1276" s="182"/>
      <c r="AK1276" s="182"/>
      <c r="AL1276" s="182"/>
      <c r="AM1276" s="182"/>
      <c r="AN1276" s="182"/>
      <c r="AO1276" s="182"/>
      <c r="AP1276" s="182"/>
      <c r="AQ1276" s="185">
        <v>6038.19</v>
      </c>
      <c r="AR1276" s="182">
        <v>4570.3999999999996</v>
      </c>
      <c r="AS1276" s="182">
        <v>586.4</v>
      </c>
      <c r="AT1276" s="182">
        <v>881.39</v>
      </c>
      <c r="AU1276" s="182"/>
      <c r="AV1276" s="182"/>
      <c r="AW1276" s="182"/>
      <c r="AX1276" s="182"/>
      <c r="AY1276" s="182"/>
      <c r="AZ1276" s="182"/>
      <c r="BA1276" s="182"/>
      <c r="BB1276" s="182"/>
      <c r="BC1276" s="182"/>
      <c r="BD1276" s="182"/>
      <c r="BE1276" s="182"/>
      <c r="BF1276" s="182"/>
      <c r="BG1276" s="182"/>
      <c r="BH1276" s="182"/>
      <c r="BI1276" s="182"/>
      <c r="BJ1276" s="182"/>
      <c r="BK1276" s="182"/>
      <c r="BL1276" s="182"/>
      <c r="BM1276" s="182"/>
      <c r="BN1276" s="182"/>
      <c r="BO1276" s="182"/>
      <c r="BP1276" s="182"/>
      <c r="BQ1276" s="182"/>
      <c r="BR1276" s="182"/>
      <c r="BS1276" s="182"/>
      <c r="BT1276" s="182"/>
      <c r="BU1276" s="182"/>
      <c r="BV1276" s="182"/>
      <c r="BW1276" s="182"/>
      <c r="BX1276" s="182"/>
      <c r="BY1276" s="182"/>
      <c r="BZ1276" s="182"/>
      <c r="CA1276" s="182"/>
      <c r="CB1276" s="185">
        <v>6038.19</v>
      </c>
      <c r="CC1276" s="185">
        <v>0</v>
      </c>
      <c r="CD1276" s="185">
        <v>2624</v>
      </c>
      <c r="CE1276" s="185"/>
    </row>
    <row r="1277" spans="2:83" x14ac:dyDescent="0.3">
      <c r="B1277" s="182">
        <v>4569</v>
      </c>
      <c r="C1277" s="182">
        <v>2625</v>
      </c>
      <c r="D1277" s="182" t="s">
        <v>121</v>
      </c>
      <c r="E1277" s="181" t="s">
        <v>4443</v>
      </c>
      <c r="F1277" s="182"/>
      <c r="G1277" s="182">
        <v>2931.26</v>
      </c>
      <c r="H1277" s="182"/>
      <c r="I1277" s="182"/>
      <c r="J1277" s="182"/>
      <c r="K1277" s="182"/>
      <c r="L1277" s="182"/>
      <c r="M1277" s="182"/>
      <c r="N1277" s="182"/>
      <c r="O1277" s="182"/>
      <c r="P1277" s="182"/>
      <c r="Q1277" s="182"/>
      <c r="R1277" s="182"/>
      <c r="S1277" s="182"/>
      <c r="T1277" s="182"/>
      <c r="U1277" s="182"/>
      <c r="V1277" s="182"/>
      <c r="W1277" s="182"/>
      <c r="X1277" s="182"/>
      <c r="Y1277" s="182"/>
      <c r="Z1277" s="182"/>
      <c r="AA1277" s="182"/>
      <c r="AB1277" s="182"/>
      <c r="AC1277" s="182"/>
      <c r="AD1277" s="182"/>
      <c r="AE1277" s="182"/>
      <c r="AF1277" s="182"/>
      <c r="AG1277" s="182"/>
      <c r="AH1277" s="182"/>
      <c r="AI1277" s="182"/>
      <c r="AJ1277" s="182"/>
      <c r="AK1277" s="182"/>
      <c r="AL1277" s="182"/>
      <c r="AM1277" s="182"/>
      <c r="AN1277" s="182"/>
      <c r="AO1277" s="182"/>
      <c r="AP1277" s="182"/>
      <c r="AQ1277" s="185">
        <v>2931.26</v>
      </c>
      <c r="AR1277" s="182">
        <v>1959.3</v>
      </c>
      <c r="AS1277" s="182">
        <v>265.7</v>
      </c>
      <c r="AT1277" s="182">
        <v>706.26</v>
      </c>
      <c r="AU1277" s="182"/>
      <c r="AV1277" s="182"/>
      <c r="AW1277" s="182"/>
      <c r="AX1277" s="182"/>
      <c r="AY1277" s="182"/>
      <c r="AZ1277" s="182"/>
      <c r="BA1277" s="182"/>
      <c r="BB1277" s="182"/>
      <c r="BC1277" s="182"/>
      <c r="BD1277" s="182"/>
      <c r="BE1277" s="182"/>
      <c r="BF1277" s="182"/>
      <c r="BG1277" s="182"/>
      <c r="BH1277" s="182"/>
      <c r="BI1277" s="182"/>
      <c r="BJ1277" s="182"/>
      <c r="BK1277" s="182"/>
      <c r="BL1277" s="182"/>
      <c r="BM1277" s="182"/>
      <c r="BN1277" s="182"/>
      <c r="BO1277" s="182"/>
      <c r="BP1277" s="182"/>
      <c r="BQ1277" s="182"/>
      <c r="BR1277" s="182"/>
      <c r="BS1277" s="182"/>
      <c r="BT1277" s="182"/>
      <c r="BU1277" s="182"/>
      <c r="BV1277" s="182"/>
      <c r="BW1277" s="182"/>
      <c r="BX1277" s="182"/>
      <c r="BY1277" s="182"/>
      <c r="BZ1277" s="182"/>
      <c r="CA1277" s="182"/>
      <c r="CB1277" s="185">
        <v>2931.26</v>
      </c>
      <c r="CC1277" s="185">
        <v>0</v>
      </c>
      <c r="CD1277" s="185">
        <v>2625</v>
      </c>
      <c r="CE1277" s="185"/>
    </row>
    <row r="1278" spans="2:83" x14ac:dyDescent="0.3">
      <c r="B1278" s="182">
        <v>4576</v>
      </c>
      <c r="C1278" s="182">
        <v>2626</v>
      </c>
      <c r="D1278" s="182" t="s">
        <v>121</v>
      </c>
      <c r="E1278" s="181" t="s">
        <v>4444</v>
      </c>
      <c r="F1278" s="182"/>
      <c r="G1278" s="182">
        <v>6500</v>
      </c>
      <c r="H1278" s="182"/>
      <c r="I1278" s="182"/>
      <c r="J1278" s="182"/>
      <c r="K1278" s="182"/>
      <c r="L1278" s="182"/>
      <c r="M1278" s="182"/>
      <c r="N1278" s="182"/>
      <c r="O1278" s="182"/>
      <c r="P1278" s="182"/>
      <c r="Q1278" s="182"/>
      <c r="R1278" s="182"/>
      <c r="S1278" s="182"/>
      <c r="T1278" s="182"/>
      <c r="U1278" s="182"/>
      <c r="V1278" s="182"/>
      <c r="W1278" s="182"/>
      <c r="X1278" s="182"/>
      <c r="Y1278" s="182"/>
      <c r="Z1278" s="182"/>
      <c r="AA1278" s="182"/>
      <c r="AB1278" s="182"/>
      <c r="AC1278" s="182"/>
      <c r="AD1278" s="182"/>
      <c r="AE1278" s="182"/>
      <c r="AF1278" s="182"/>
      <c r="AG1278" s="182"/>
      <c r="AH1278" s="182"/>
      <c r="AI1278" s="182"/>
      <c r="AJ1278" s="182"/>
      <c r="AK1278" s="182"/>
      <c r="AL1278" s="182"/>
      <c r="AM1278" s="182"/>
      <c r="AN1278" s="182"/>
      <c r="AO1278" s="182"/>
      <c r="AP1278" s="182"/>
      <c r="AQ1278" s="185">
        <v>6500</v>
      </c>
      <c r="AR1278" s="182">
        <v>5802.3</v>
      </c>
      <c r="AS1278" s="182">
        <v>697.7</v>
      </c>
      <c r="AT1278" s="182"/>
      <c r="AU1278" s="182"/>
      <c r="AV1278" s="182"/>
      <c r="AW1278" s="182"/>
      <c r="AX1278" s="182"/>
      <c r="AY1278" s="182"/>
      <c r="AZ1278" s="182"/>
      <c r="BA1278" s="182"/>
      <c r="BB1278" s="182"/>
      <c r="BC1278" s="182"/>
      <c r="BD1278" s="182"/>
      <c r="BE1278" s="182"/>
      <c r="BF1278" s="182"/>
      <c r="BG1278" s="182"/>
      <c r="BH1278" s="182"/>
      <c r="BI1278" s="182"/>
      <c r="BJ1278" s="182"/>
      <c r="BK1278" s="182"/>
      <c r="BL1278" s="182"/>
      <c r="BM1278" s="182"/>
      <c r="BN1278" s="182"/>
      <c r="BO1278" s="182"/>
      <c r="BP1278" s="182"/>
      <c r="BQ1278" s="182"/>
      <c r="BR1278" s="182"/>
      <c r="BS1278" s="182"/>
      <c r="BT1278" s="182"/>
      <c r="BU1278" s="182"/>
      <c r="BV1278" s="182"/>
      <c r="BW1278" s="182"/>
      <c r="BX1278" s="182"/>
      <c r="BY1278" s="182"/>
      <c r="BZ1278" s="182"/>
      <c r="CA1278" s="182"/>
      <c r="CB1278" s="185">
        <v>6500</v>
      </c>
      <c r="CC1278" s="185">
        <v>0</v>
      </c>
      <c r="CD1278" s="185">
        <v>2626</v>
      </c>
      <c r="CE1278" s="185"/>
    </row>
    <row r="1279" spans="2:83" x14ac:dyDescent="0.3">
      <c r="B1279" s="182">
        <v>4826</v>
      </c>
      <c r="C1279" s="182">
        <v>2627</v>
      </c>
      <c r="D1279" s="182" t="s">
        <v>121</v>
      </c>
      <c r="E1279" s="181" t="s">
        <v>4445</v>
      </c>
      <c r="F1279" s="182"/>
      <c r="G1279" s="182">
        <v>750</v>
      </c>
      <c r="H1279" s="182"/>
      <c r="I1279" s="182"/>
      <c r="J1279" s="182"/>
      <c r="K1279" s="182"/>
      <c r="L1279" s="182"/>
      <c r="M1279" s="182"/>
      <c r="N1279" s="182"/>
      <c r="O1279" s="182"/>
      <c r="P1279" s="182"/>
      <c r="Q1279" s="182"/>
      <c r="R1279" s="182"/>
      <c r="S1279" s="182"/>
      <c r="T1279" s="182"/>
      <c r="U1279" s="182"/>
      <c r="V1279" s="182"/>
      <c r="W1279" s="182"/>
      <c r="X1279" s="182"/>
      <c r="Y1279" s="182"/>
      <c r="Z1279" s="182"/>
      <c r="AA1279" s="182"/>
      <c r="AB1279" s="182"/>
      <c r="AC1279" s="182"/>
      <c r="AD1279" s="182"/>
      <c r="AE1279" s="182"/>
      <c r="AF1279" s="182"/>
      <c r="AG1279" s="182"/>
      <c r="AH1279" s="182"/>
      <c r="AI1279" s="182"/>
      <c r="AJ1279" s="182"/>
      <c r="AK1279" s="182"/>
      <c r="AL1279" s="182"/>
      <c r="AM1279" s="182"/>
      <c r="AN1279" s="182"/>
      <c r="AO1279" s="182"/>
      <c r="AP1279" s="182"/>
      <c r="AQ1279" s="185">
        <v>750</v>
      </c>
      <c r="AR1279" s="182">
        <v>670.1</v>
      </c>
      <c r="AS1279" s="182">
        <v>79.900000000000006</v>
      </c>
      <c r="AT1279" s="182"/>
      <c r="AU1279" s="182"/>
      <c r="AV1279" s="182"/>
      <c r="AW1279" s="182"/>
      <c r="AX1279" s="182"/>
      <c r="AY1279" s="182"/>
      <c r="AZ1279" s="182"/>
      <c r="BA1279" s="182"/>
      <c r="BB1279" s="182"/>
      <c r="BC1279" s="182"/>
      <c r="BD1279" s="182"/>
      <c r="BE1279" s="182"/>
      <c r="BF1279" s="182"/>
      <c r="BG1279" s="182"/>
      <c r="BH1279" s="182"/>
      <c r="BI1279" s="182"/>
      <c r="BJ1279" s="182"/>
      <c r="BK1279" s="182"/>
      <c r="BL1279" s="182"/>
      <c r="BM1279" s="182"/>
      <c r="BN1279" s="182"/>
      <c r="BO1279" s="182"/>
      <c r="BP1279" s="182"/>
      <c r="BQ1279" s="182"/>
      <c r="BR1279" s="182"/>
      <c r="BS1279" s="182"/>
      <c r="BT1279" s="182"/>
      <c r="BU1279" s="182"/>
      <c r="BV1279" s="182"/>
      <c r="BW1279" s="182"/>
      <c r="BX1279" s="182"/>
      <c r="BY1279" s="182"/>
      <c r="BZ1279" s="182"/>
      <c r="CA1279" s="182"/>
      <c r="CB1279" s="185">
        <v>750</v>
      </c>
      <c r="CC1279" s="185">
        <v>0</v>
      </c>
      <c r="CD1279" s="185">
        <v>2627</v>
      </c>
      <c r="CE1279" s="185"/>
    </row>
    <row r="1280" spans="2:83" x14ac:dyDescent="0.3">
      <c r="B1280" s="182">
        <v>4600</v>
      </c>
      <c r="C1280" s="182">
        <v>2628</v>
      </c>
      <c r="D1280" s="182" t="s">
        <v>121</v>
      </c>
      <c r="E1280" s="181" t="s">
        <v>4446</v>
      </c>
      <c r="F1280" s="182"/>
      <c r="G1280" s="182">
        <v>34121.47</v>
      </c>
      <c r="H1280" s="182"/>
      <c r="I1280" s="182"/>
      <c r="J1280" s="182"/>
      <c r="K1280" s="182"/>
      <c r="L1280" s="182"/>
      <c r="M1280" s="182"/>
      <c r="N1280" s="182"/>
      <c r="O1280" s="182"/>
      <c r="P1280" s="182"/>
      <c r="Q1280" s="182"/>
      <c r="R1280" s="182"/>
      <c r="S1280" s="182"/>
      <c r="T1280" s="182"/>
      <c r="U1280" s="182"/>
      <c r="V1280" s="182"/>
      <c r="W1280" s="182"/>
      <c r="X1280" s="182"/>
      <c r="Y1280" s="182"/>
      <c r="Z1280" s="182"/>
      <c r="AA1280" s="182"/>
      <c r="AB1280" s="182"/>
      <c r="AC1280" s="182"/>
      <c r="AD1280" s="182"/>
      <c r="AE1280" s="182"/>
      <c r="AF1280" s="182"/>
      <c r="AG1280" s="182"/>
      <c r="AH1280" s="182"/>
      <c r="AI1280" s="182"/>
      <c r="AJ1280" s="182"/>
      <c r="AK1280" s="182"/>
      <c r="AL1280" s="182"/>
      <c r="AM1280" s="182"/>
      <c r="AN1280" s="182"/>
      <c r="AO1280" s="182"/>
      <c r="AP1280" s="182"/>
      <c r="AQ1280" s="185">
        <v>34121.47</v>
      </c>
      <c r="AR1280" s="182">
        <v>28266.09</v>
      </c>
      <c r="AS1280" s="182">
        <v>3494.7</v>
      </c>
      <c r="AT1280" s="182">
        <v>2360.6799999999998</v>
      </c>
      <c r="AU1280" s="182"/>
      <c r="AV1280" s="182"/>
      <c r="AW1280" s="182"/>
      <c r="AX1280" s="182"/>
      <c r="AY1280" s="182"/>
      <c r="AZ1280" s="182"/>
      <c r="BA1280" s="182"/>
      <c r="BB1280" s="182"/>
      <c r="BC1280" s="182"/>
      <c r="BD1280" s="182"/>
      <c r="BE1280" s="182"/>
      <c r="BF1280" s="182"/>
      <c r="BG1280" s="182"/>
      <c r="BH1280" s="182"/>
      <c r="BI1280" s="182"/>
      <c r="BJ1280" s="182"/>
      <c r="BK1280" s="182"/>
      <c r="BL1280" s="182"/>
      <c r="BM1280" s="182"/>
      <c r="BN1280" s="182"/>
      <c r="BO1280" s="182"/>
      <c r="BP1280" s="182"/>
      <c r="BQ1280" s="182"/>
      <c r="BR1280" s="182"/>
      <c r="BS1280" s="182"/>
      <c r="BT1280" s="182"/>
      <c r="BU1280" s="182"/>
      <c r="BV1280" s="182"/>
      <c r="BW1280" s="182"/>
      <c r="BX1280" s="182"/>
      <c r="BY1280" s="182"/>
      <c r="BZ1280" s="182"/>
      <c r="CA1280" s="182"/>
      <c r="CB1280" s="185">
        <v>34121.47</v>
      </c>
      <c r="CC1280" s="185">
        <v>0</v>
      </c>
      <c r="CD1280" s="185">
        <v>2628</v>
      </c>
      <c r="CE1280" s="185"/>
    </row>
    <row r="1281" spans="2:83" x14ac:dyDescent="0.3">
      <c r="B1281" s="182">
        <v>4595</v>
      </c>
      <c r="C1281" s="182">
        <v>2629</v>
      </c>
      <c r="D1281" s="182" t="s">
        <v>121</v>
      </c>
      <c r="E1281" s="181" t="s">
        <v>4446</v>
      </c>
      <c r="F1281" s="182"/>
      <c r="G1281" s="182">
        <v>37882</v>
      </c>
      <c r="H1281" s="182"/>
      <c r="I1281" s="182"/>
      <c r="J1281" s="182"/>
      <c r="K1281" s="182"/>
      <c r="L1281" s="182"/>
      <c r="M1281" s="182"/>
      <c r="N1281" s="182"/>
      <c r="O1281" s="182"/>
      <c r="P1281" s="182"/>
      <c r="Q1281" s="182"/>
      <c r="R1281" s="182"/>
      <c r="S1281" s="182"/>
      <c r="T1281" s="182"/>
      <c r="U1281" s="182"/>
      <c r="V1281" s="182"/>
      <c r="W1281" s="182"/>
      <c r="X1281" s="182"/>
      <c r="Y1281" s="182"/>
      <c r="Z1281" s="182"/>
      <c r="AA1281" s="182"/>
      <c r="AB1281" s="182"/>
      <c r="AC1281" s="182"/>
      <c r="AD1281" s="182"/>
      <c r="AE1281" s="182"/>
      <c r="AF1281" s="182"/>
      <c r="AG1281" s="182"/>
      <c r="AH1281" s="182"/>
      <c r="AI1281" s="182"/>
      <c r="AJ1281" s="182"/>
      <c r="AK1281" s="182"/>
      <c r="AL1281" s="182"/>
      <c r="AM1281" s="182"/>
      <c r="AN1281" s="182"/>
      <c r="AO1281" s="182"/>
      <c r="AP1281" s="182"/>
      <c r="AQ1281" s="185">
        <v>37882</v>
      </c>
      <c r="AR1281" s="182">
        <v>29088.21</v>
      </c>
      <c r="AS1281" s="182">
        <v>3713.7</v>
      </c>
      <c r="AT1281" s="182">
        <v>5080.09</v>
      </c>
      <c r="AU1281" s="182"/>
      <c r="AV1281" s="182"/>
      <c r="AW1281" s="182"/>
      <c r="AX1281" s="182"/>
      <c r="AY1281" s="182"/>
      <c r="AZ1281" s="182"/>
      <c r="BA1281" s="182"/>
      <c r="BB1281" s="182"/>
      <c r="BC1281" s="182"/>
      <c r="BD1281" s="182"/>
      <c r="BE1281" s="182"/>
      <c r="BF1281" s="182"/>
      <c r="BG1281" s="182"/>
      <c r="BH1281" s="182"/>
      <c r="BI1281" s="182"/>
      <c r="BJ1281" s="182"/>
      <c r="BK1281" s="182"/>
      <c r="BL1281" s="182"/>
      <c r="BM1281" s="182"/>
      <c r="BN1281" s="182"/>
      <c r="BO1281" s="182"/>
      <c r="BP1281" s="182"/>
      <c r="BQ1281" s="182"/>
      <c r="BR1281" s="182"/>
      <c r="BS1281" s="182"/>
      <c r="BT1281" s="182"/>
      <c r="BU1281" s="182"/>
      <c r="BV1281" s="182"/>
      <c r="BW1281" s="182"/>
      <c r="BX1281" s="182"/>
      <c r="BY1281" s="182"/>
      <c r="BZ1281" s="182"/>
      <c r="CA1281" s="182"/>
      <c r="CB1281" s="185">
        <v>37882</v>
      </c>
      <c r="CC1281" s="185">
        <v>0</v>
      </c>
      <c r="CD1281" s="185">
        <v>2629</v>
      </c>
      <c r="CE1281" s="185"/>
    </row>
    <row r="1282" spans="2:83" x14ac:dyDescent="0.3">
      <c r="B1282" s="182">
        <v>4619</v>
      </c>
      <c r="C1282" s="182">
        <v>2630</v>
      </c>
      <c r="D1282" s="182" t="s">
        <v>121</v>
      </c>
      <c r="E1282" s="181" t="s">
        <v>4447</v>
      </c>
      <c r="F1282" s="182"/>
      <c r="G1282" s="182">
        <v>1670.54</v>
      </c>
      <c r="H1282" s="182"/>
      <c r="I1282" s="182"/>
      <c r="J1282" s="182"/>
      <c r="K1282" s="182"/>
      <c r="L1282" s="182"/>
      <c r="M1282" s="182"/>
      <c r="N1282" s="182"/>
      <c r="O1282" s="182"/>
      <c r="P1282" s="182"/>
      <c r="Q1282" s="182"/>
      <c r="R1282" s="182"/>
      <c r="S1282" s="182"/>
      <c r="T1282" s="182"/>
      <c r="U1282" s="182"/>
      <c r="V1282" s="182"/>
      <c r="W1282" s="182"/>
      <c r="X1282" s="182"/>
      <c r="Y1282" s="182"/>
      <c r="Z1282" s="182"/>
      <c r="AA1282" s="182"/>
      <c r="AB1282" s="182"/>
      <c r="AC1282" s="182"/>
      <c r="AD1282" s="182"/>
      <c r="AE1282" s="182"/>
      <c r="AF1282" s="182"/>
      <c r="AG1282" s="182"/>
      <c r="AH1282" s="182"/>
      <c r="AI1282" s="182"/>
      <c r="AJ1282" s="182"/>
      <c r="AK1282" s="182"/>
      <c r="AL1282" s="182"/>
      <c r="AM1282" s="182"/>
      <c r="AN1282" s="182"/>
      <c r="AO1282" s="182"/>
      <c r="AP1282" s="182"/>
      <c r="AQ1282" s="185">
        <v>1670.54</v>
      </c>
      <c r="AR1282" s="182">
        <v>1232.1500000000001</v>
      </c>
      <c r="AS1282" s="182">
        <v>159.1</v>
      </c>
      <c r="AT1282" s="182">
        <v>279.29000000000002</v>
      </c>
      <c r="AU1282" s="182"/>
      <c r="AV1282" s="182"/>
      <c r="AW1282" s="182"/>
      <c r="AX1282" s="182"/>
      <c r="AY1282" s="182"/>
      <c r="AZ1282" s="182"/>
      <c r="BA1282" s="182"/>
      <c r="BB1282" s="182"/>
      <c r="BC1282" s="182"/>
      <c r="BD1282" s="182"/>
      <c r="BE1282" s="182"/>
      <c r="BF1282" s="182"/>
      <c r="BG1282" s="182"/>
      <c r="BH1282" s="182"/>
      <c r="BI1282" s="182"/>
      <c r="BJ1282" s="182"/>
      <c r="BK1282" s="182"/>
      <c r="BL1282" s="182"/>
      <c r="BM1282" s="182"/>
      <c r="BN1282" s="182"/>
      <c r="BO1282" s="182"/>
      <c r="BP1282" s="182"/>
      <c r="BQ1282" s="182"/>
      <c r="BR1282" s="182"/>
      <c r="BS1282" s="182"/>
      <c r="BT1282" s="182"/>
      <c r="BU1282" s="182"/>
      <c r="BV1282" s="182"/>
      <c r="BW1282" s="182"/>
      <c r="BX1282" s="182"/>
      <c r="BY1282" s="182"/>
      <c r="BZ1282" s="182"/>
      <c r="CA1282" s="182"/>
      <c r="CB1282" s="185">
        <v>1670.54</v>
      </c>
      <c r="CC1282" s="185">
        <v>0</v>
      </c>
      <c r="CD1282" s="185">
        <v>2630</v>
      </c>
      <c r="CE1282" s="185"/>
    </row>
    <row r="1283" spans="2:83" x14ac:dyDescent="0.3">
      <c r="B1283" s="182">
        <v>4607</v>
      </c>
      <c r="C1283" s="182">
        <v>2631</v>
      </c>
      <c r="D1283" s="182" t="s">
        <v>121</v>
      </c>
      <c r="E1283" s="181" t="s">
        <v>4448</v>
      </c>
      <c r="F1283" s="182"/>
      <c r="G1283" s="182">
        <v>4000</v>
      </c>
      <c r="H1283" s="182"/>
      <c r="I1283" s="182"/>
      <c r="J1283" s="182"/>
      <c r="K1283" s="182"/>
      <c r="L1283" s="182"/>
      <c r="M1283" s="182"/>
      <c r="N1283" s="182"/>
      <c r="O1283" s="182"/>
      <c r="P1283" s="182"/>
      <c r="Q1283" s="182"/>
      <c r="R1283" s="182"/>
      <c r="S1283" s="182"/>
      <c r="T1283" s="182"/>
      <c r="U1283" s="182"/>
      <c r="V1283" s="182"/>
      <c r="W1283" s="182"/>
      <c r="X1283" s="182"/>
      <c r="Y1283" s="182"/>
      <c r="Z1283" s="182"/>
      <c r="AA1283" s="182"/>
      <c r="AB1283" s="182"/>
      <c r="AC1283" s="182"/>
      <c r="AD1283" s="182"/>
      <c r="AE1283" s="182"/>
      <c r="AF1283" s="182"/>
      <c r="AG1283" s="182"/>
      <c r="AH1283" s="182"/>
      <c r="AI1283" s="182"/>
      <c r="AJ1283" s="182"/>
      <c r="AK1283" s="182"/>
      <c r="AL1283" s="182"/>
      <c r="AM1283" s="182"/>
      <c r="AN1283" s="182"/>
      <c r="AO1283" s="182"/>
      <c r="AP1283" s="182"/>
      <c r="AQ1283" s="185">
        <v>4000</v>
      </c>
      <c r="AR1283" s="182">
        <v>3571.55</v>
      </c>
      <c r="AS1283" s="182">
        <v>428.45</v>
      </c>
      <c r="AT1283" s="182"/>
      <c r="AU1283" s="182"/>
      <c r="AV1283" s="182"/>
      <c r="AW1283" s="182"/>
      <c r="AX1283" s="182"/>
      <c r="AY1283" s="182"/>
      <c r="AZ1283" s="182"/>
      <c r="BA1283" s="182"/>
      <c r="BB1283" s="182"/>
      <c r="BC1283" s="182"/>
      <c r="BD1283" s="182"/>
      <c r="BE1283" s="182"/>
      <c r="BF1283" s="182"/>
      <c r="BG1283" s="182"/>
      <c r="BH1283" s="182"/>
      <c r="BI1283" s="182"/>
      <c r="BJ1283" s="182"/>
      <c r="BK1283" s="182"/>
      <c r="BL1283" s="182"/>
      <c r="BM1283" s="182"/>
      <c r="BN1283" s="182"/>
      <c r="BO1283" s="182"/>
      <c r="BP1283" s="182"/>
      <c r="BQ1283" s="182"/>
      <c r="BR1283" s="182"/>
      <c r="BS1283" s="182"/>
      <c r="BT1283" s="182"/>
      <c r="BU1283" s="182"/>
      <c r="BV1283" s="182"/>
      <c r="BW1283" s="182"/>
      <c r="BX1283" s="182"/>
      <c r="BY1283" s="182"/>
      <c r="BZ1283" s="182"/>
      <c r="CA1283" s="182"/>
      <c r="CB1283" s="185">
        <v>4000</v>
      </c>
      <c r="CC1283" s="185">
        <v>0</v>
      </c>
      <c r="CD1283" s="185">
        <v>2631</v>
      </c>
      <c r="CE1283" s="185"/>
    </row>
    <row r="1284" spans="2:83" x14ac:dyDescent="0.3">
      <c r="B1284" s="182">
        <v>4603</v>
      </c>
      <c r="C1284" s="182">
        <v>2632</v>
      </c>
      <c r="D1284" s="182" t="s">
        <v>121</v>
      </c>
      <c r="E1284" s="181" t="s">
        <v>4448</v>
      </c>
      <c r="F1284" s="182"/>
      <c r="G1284" s="182">
        <v>7500</v>
      </c>
      <c r="H1284" s="182"/>
      <c r="I1284" s="182"/>
      <c r="J1284" s="182"/>
      <c r="K1284" s="182"/>
      <c r="L1284" s="182"/>
      <c r="M1284" s="182"/>
      <c r="N1284" s="182"/>
      <c r="O1284" s="182"/>
      <c r="P1284" s="182"/>
      <c r="Q1284" s="182"/>
      <c r="R1284" s="182"/>
      <c r="S1284" s="182"/>
      <c r="T1284" s="182"/>
      <c r="U1284" s="182"/>
      <c r="V1284" s="182"/>
      <c r="W1284" s="182"/>
      <c r="X1284" s="182"/>
      <c r="Y1284" s="182"/>
      <c r="Z1284" s="182"/>
      <c r="AA1284" s="182"/>
      <c r="AB1284" s="182"/>
      <c r="AC1284" s="182"/>
      <c r="AD1284" s="182"/>
      <c r="AE1284" s="182"/>
      <c r="AF1284" s="182"/>
      <c r="AG1284" s="182"/>
      <c r="AH1284" s="182"/>
      <c r="AI1284" s="182"/>
      <c r="AJ1284" s="182"/>
      <c r="AK1284" s="182"/>
      <c r="AL1284" s="182"/>
      <c r="AM1284" s="182"/>
      <c r="AN1284" s="182"/>
      <c r="AO1284" s="182"/>
      <c r="AP1284" s="182"/>
      <c r="AQ1284" s="185">
        <v>7500</v>
      </c>
      <c r="AR1284" s="182">
        <v>6694.8</v>
      </c>
      <c r="AS1284" s="182">
        <v>805.2</v>
      </c>
      <c r="AT1284" s="182"/>
      <c r="AU1284" s="182"/>
      <c r="AV1284" s="182"/>
      <c r="AW1284" s="182"/>
      <c r="AX1284" s="182"/>
      <c r="AY1284" s="182"/>
      <c r="AZ1284" s="182"/>
      <c r="BA1284" s="182"/>
      <c r="BB1284" s="182"/>
      <c r="BC1284" s="182"/>
      <c r="BD1284" s="182"/>
      <c r="BE1284" s="182"/>
      <c r="BF1284" s="182"/>
      <c r="BG1284" s="182"/>
      <c r="BH1284" s="182"/>
      <c r="BI1284" s="182"/>
      <c r="BJ1284" s="182"/>
      <c r="BK1284" s="182"/>
      <c r="BL1284" s="182"/>
      <c r="BM1284" s="182"/>
      <c r="BN1284" s="182"/>
      <c r="BO1284" s="182"/>
      <c r="BP1284" s="182"/>
      <c r="BQ1284" s="182"/>
      <c r="BR1284" s="182"/>
      <c r="BS1284" s="182"/>
      <c r="BT1284" s="182"/>
      <c r="BU1284" s="182"/>
      <c r="BV1284" s="182"/>
      <c r="BW1284" s="182"/>
      <c r="BX1284" s="182"/>
      <c r="BY1284" s="182"/>
      <c r="BZ1284" s="182"/>
      <c r="CA1284" s="182"/>
      <c r="CB1284" s="185">
        <v>7500</v>
      </c>
      <c r="CC1284" s="185">
        <v>0</v>
      </c>
      <c r="CD1284" s="185">
        <v>2632</v>
      </c>
      <c r="CE1284" s="185"/>
    </row>
    <row r="1285" spans="2:83" x14ac:dyDescent="0.3">
      <c r="B1285" s="182">
        <v>4591</v>
      </c>
      <c r="C1285" s="182">
        <v>2633</v>
      </c>
      <c r="D1285" s="182" t="s">
        <v>121</v>
      </c>
      <c r="E1285" s="181" t="s">
        <v>4449</v>
      </c>
      <c r="F1285" s="182"/>
      <c r="G1285" s="182">
        <v>6500</v>
      </c>
      <c r="H1285" s="182"/>
      <c r="I1285" s="182"/>
      <c r="J1285" s="182"/>
      <c r="K1285" s="182"/>
      <c r="L1285" s="182"/>
      <c r="M1285" s="182"/>
      <c r="N1285" s="182"/>
      <c r="O1285" s="182"/>
      <c r="P1285" s="182"/>
      <c r="Q1285" s="182"/>
      <c r="R1285" s="182"/>
      <c r="S1285" s="182"/>
      <c r="T1285" s="182"/>
      <c r="U1285" s="182"/>
      <c r="V1285" s="182"/>
      <c r="W1285" s="182"/>
      <c r="X1285" s="182"/>
      <c r="Y1285" s="182"/>
      <c r="Z1285" s="182"/>
      <c r="AA1285" s="182"/>
      <c r="AB1285" s="182"/>
      <c r="AC1285" s="182"/>
      <c r="AD1285" s="182"/>
      <c r="AE1285" s="182"/>
      <c r="AF1285" s="182"/>
      <c r="AG1285" s="182"/>
      <c r="AH1285" s="182"/>
      <c r="AI1285" s="182"/>
      <c r="AJ1285" s="182"/>
      <c r="AK1285" s="182"/>
      <c r="AL1285" s="182"/>
      <c r="AM1285" s="182"/>
      <c r="AN1285" s="182"/>
      <c r="AO1285" s="182"/>
      <c r="AP1285" s="182"/>
      <c r="AQ1285" s="185">
        <v>6500</v>
      </c>
      <c r="AR1285" s="182">
        <v>5802.3</v>
      </c>
      <c r="AS1285" s="182">
        <v>697.7</v>
      </c>
      <c r="AT1285" s="182"/>
      <c r="AU1285" s="182"/>
      <c r="AV1285" s="182"/>
      <c r="AW1285" s="182"/>
      <c r="AX1285" s="182"/>
      <c r="AY1285" s="182"/>
      <c r="AZ1285" s="182"/>
      <c r="BA1285" s="182"/>
      <c r="BB1285" s="182"/>
      <c r="BC1285" s="182"/>
      <c r="BD1285" s="182"/>
      <c r="BE1285" s="182"/>
      <c r="BF1285" s="182"/>
      <c r="BG1285" s="182"/>
      <c r="BH1285" s="182"/>
      <c r="BI1285" s="182"/>
      <c r="BJ1285" s="182"/>
      <c r="BK1285" s="182"/>
      <c r="BL1285" s="182"/>
      <c r="BM1285" s="182"/>
      <c r="BN1285" s="182"/>
      <c r="BO1285" s="182"/>
      <c r="BP1285" s="182"/>
      <c r="BQ1285" s="182"/>
      <c r="BR1285" s="182"/>
      <c r="BS1285" s="182"/>
      <c r="BT1285" s="182"/>
      <c r="BU1285" s="182"/>
      <c r="BV1285" s="182"/>
      <c r="BW1285" s="182"/>
      <c r="BX1285" s="182"/>
      <c r="BY1285" s="182"/>
      <c r="BZ1285" s="182"/>
      <c r="CA1285" s="182"/>
      <c r="CB1285" s="185">
        <v>6500</v>
      </c>
      <c r="CC1285" s="185">
        <v>0</v>
      </c>
      <c r="CD1285" s="185">
        <v>2633</v>
      </c>
      <c r="CE1285" s="185"/>
    </row>
    <row r="1286" spans="2:83" x14ac:dyDescent="0.3">
      <c r="B1286" s="182">
        <v>4586</v>
      </c>
      <c r="C1286" s="182">
        <v>2634</v>
      </c>
      <c r="D1286" s="182" t="s">
        <v>121</v>
      </c>
      <c r="E1286" s="181" t="s">
        <v>4450</v>
      </c>
      <c r="F1286" s="182"/>
      <c r="G1286" s="182">
        <v>3500</v>
      </c>
      <c r="H1286" s="182"/>
      <c r="I1286" s="182"/>
      <c r="J1286" s="182"/>
      <c r="K1286" s="182"/>
      <c r="L1286" s="182"/>
      <c r="M1286" s="182"/>
      <c r="N1286" s="182"/>
      <c r="O1286" s="182"/>
      <c r="P1286" s="182"/>
      <c r="Q1286" s="182"/>
      <c r="R1286" s="182"/>
      <c r="S1286" s="182"/>
      <c r="T1286" s="182"/>
      <c r="U1286" s="182"/>
      <c r="V1286" s="182"/>
      <c r="W1286" s="182"/>
      <c r="X1286" s="182"/>
      <c r="Y1286" s="182"/>
      <c r="Z1286" s="182"/>
      <c r="AA1286" s="182"/>
      <c r="AB1286" s="182"/>
      <c r="AC1286" s="182"/>
      <c r="AD1286" s="182"/>
      <c r="AE1286" s="182"/>
      <c r="AF1286" s="182"/>
      <c r="AG1286" s="182"/>
      <c r="AH1286" s="182"/>
      <c r="AI1286" s="182"/>
      <c r="AJ1286" s="182"/>
      <c r="AK1286" s="182"/>
      <c r="AL1286" s="182"/>
      <c r="AM1286" s="182"/>
      <c r="AN1286" s="182"/>
      <c r="AO1286" s="182"/>
      <c r="AP1286" s="182"/>
      <c r="AQ1286" s="185">
        <v>3500</v>
      </c>
      <c r="AR1286" s="182">
        <v>3124.95</v>
      </c>
      <c r="AS1286" s="182">
        <v>375.05</v>
      </c>
      <c r="AT1286" s="182"/>
      <c r="AU1286" s="182"/>
      <c r="AV1286" s="182"/>
      <c r="AW1286" s="182"/>
      <c r="AX1286" s="182"/>
      <c r="AY1286" s="182"/>
      <c r="AZ1286" s="182"/>
      <c r="BA1286" s="182"/>
      <c r="BB1286" s="182"/>
      <c r="BC1286" s="182"/>
      <c r="BD1286" s="182"/>
      <c r="BE1286" s="182"/>
      <c r="BF1286" s="182"/>
      <c r="BG1286" s="182"/>
      <c r="BH1286" s="182"/>
      <c r="BI1286" s="182"/>
      <c r="BJ1286" s="182"/>
      <c r="BK1286" s="182"/>
      <c r="BL1286" s="182"/>
      <c r="BM1286" s="182"/>
      <c r="BN1286" s="182"/>
      <c r="BO1286" s="182"/>
      <c r="BP1286" s="182"/>
      <c r="BQ1286" s="182"/>
      <c r="BR1286" s="182"/>
      <c r="BS1286" s="182"/>
      <c r="BT1286" s="182"/>
      <c r="BU1286" s="182"/>
      <c r="BV1286" s="182"/>
      <c r="BW1286" s="182"/>
      <c r="BX1286" s="182"/>
      <c r="BY1286" s="182"/>
      <c r="BZ1286" s="182"/>
      <c r="CA1286" s="182"/>
      <c r="CB1286" s="185">
        <v>3500</v>
      </c>
      <c r="CC1286" s="185">
        <v>0</v>
      </c>
      <c r="CD1286" s="185">
        <v>2634</v>
      </c>
      <c r="CE1286" s="185"/>
    </row>
    <row r="1287" spans="2:83" x14ac:dyDescent="0.3">
      <c r="B1287" s="182">
        <v>4579</v>
      </c>
      <c r="C1287" s="182">
        <v>2635</v>
      </c>
      <c r="D1287" s="182" t="s">
        <v>121</v>
      </c>
      <c r="E1287" s="181" t="s">
        <v>4451</v>
      </c>
      <c r="F1287" s="182"/>
      <c r="G1287" s="182">
        <v>2638.13</v>
      </c>
      <c r="H1287" s="182"/>
      <c r="I1287" s="182"/>
      <c r="J1287" s="182"/>
      <c r="K1287" s="182"/>
      <c r="L1287" s="182"/>
      <c r="M1287" s="182"/>
      <c r="N1287" s="182"/>
      <c r="O1287" s="182"/>
      <c r="P1287" s="182"/>
      <c r="Q1287" s="182"/>
      <c r="R1287" s="182"/>
      <c r="S1287" s="182"/>
      <c r="T1287" s="182"/>
      <c r="U1287" s="182"/>
      <c r="V1287" s="182"/>
      <c r="W1287" s="182"/>
      <c r="X1287" s="182"/>
      <c r="Y1287" s="182"/>
      <c r="Z1287" s="182"/>
      <c r="AA1287" s="182"/>
      <c r="AB1287" s="182"/>
      <c r="AC1287" s="182"/>
      <c r="AD1287" s="182"/>
      <c r="AE1287" s="182"/>
      <c r="AF1287" s="182"/>
      <c r="AG1287" s="182"/>
      <c r="AH1287" s="182"/>
      <c r="AI1287" s="182"/>
      <c r="AJ1287" s="182"/>
      <c r="AK1287" s="182"/>
      <c r="AL1287" s="182"/>
      <c r="AM1287" s="182"/>
      <c r="AN1287" s="182"/>
      <c r="AO1287" s="182"/>
      <c r="AP1287" s="182"/>
      <c r="AQ1287" s="185">
        <v>2638.13</v>
      </c>
      <c r="AR1287" s="182">
        <v>1763.5</v>
      </c>
      <c r="AS1287" s="182">
        <v>239</v>
      </c>
      <c r="AT1287" s="182">
        <v>635.63</v>
      </c>
      <c r="AU1287" s="182"/>
      <c r="AV1287" s="182"/>
      <c r="AW1287" s="182"/>
      <c r="AX1287" s="182"/>
      <c r="AY1287" s="182"/>
      <c r="AZ1287" s="182"/>
      <c r="BA1287" s="182"/>
      <c r="BB1287" s="182"/>
      <c r="BC1287" s="182"/>
      <c r="BD1287" s="182"/>
      <c r="BE1287" s="182"/>
      <c r="BF1287" s="182"/>
      <c r="BG1287" s="182"/>
      <c r="BH1287" s="182"/>
      <c r="BI1287" s="182"/>
      <c r="BJ1287" s="182"/>
      <c r="BK1287" s="182"/>
      <c r="BL1287" s="182"/>
      <c r="BM1287" s="182"/>
      <c r="BN1287" s="182"/>
      <c r="BO1287" s="182"/>
      <c r="BP1287" s="182"/>
      <c r="BQ1287" s="182"/>
      <c r="BR1287" s="182"/>
      <c r="BS1287" s="182"/>
      <c r="BT1287" s="182"/>
      <c r="BU1287" s="182"/>
      <c r="BV1287" s="182"/>
      <c r="BW1287" s="182"/>
      <c r="BX1287" s="182"/>
      <c r="BY1287" s="182"/>
      <c r="BZ1287" s="182"/>
      <c r="CA1287" s="182"/>
      <c r="CB1287" s="185">
        <v>2638.13</v>
      </c>
      <c r="CC1287" s="185">
        <v>0</v>
      </c>
      <c r="CD1287" s="185">
        <v>2635</v>
      </c>
      <c r="CE1287" s="185"/>
    </row>
    <row r="1288" spans="2:83" x14ac:dyDescent="0.3">
      <c r="B1288" s="182">
        <v>4578</v>
      </c>
      <c r="C1288" s="182">
        <v>2636</v>
      </c>
      <c r="D1288" s="182" t="s">
        <v>121</v>
      </c>
      <c r="E1288" s="181" t="s">
        <v>4451</v>
      </c>
      <c r="F1288" s="182"/>
      <c r="G1288" s="182">
        <v>703.5</v>
      </c>
      <c r="H1288" s="182"/>
      <c r="I1288" s="182"/>
      <c r="J1288" s="182"/>
      <c r="K1288" s="182"/>
      <c r="L1288" s="182"/>
      <c r="M1288" s="182"/>
      <c r="N1288" s="182"/>
      <c r="O1288" s="182"/>
      <c r="P1288" s="182"/>
      <c r="Q1288" s="182"/>
      <c r="R1288" s="182"/>
      <c r="S1288" s="182"/>
      <c r="T1288" s="182"/>
      <c r="U1288" s="182"/>
      <c r="V1288" s="182"/>
      <c r="W1288" s="182"/>
      <c r="X1288" s="182"/>
      <c r="Y1288" s="182"/>
      <c r="Z1288" s="182"/>
      <c r="AA1288" s="182"/>
      <c r="AB1288" s="182"/>
      <c r="AC1288" s="182"/>
      <c r="AD1288" s="182"/>
      <c r="AE1288" s="182"/>
      <c r="AF1288" s="182"/>
      <c r="AG1288" s="182"/>
      <c r="AH1288" s="182"/>
      <c r="AI1288" s="182"/>
      <c r="AJ1288" s="182"/>
      <c r="AK1288" s="182"/>
      <c r="AL1288" s="182"/>
      <c r="AM1288" s="182"/>
      <c r="AN1288" s="182"/>
      <c r="AO1288" s="182"/>
      <c r="AP1288" s="182"/>
      <c r="AQ1288" s="185">
        <v>703.5</v>
      </c>
      <c r="AR1288" s="182">
        <v>470.6</v>
      </c>
      <c r="AS1288" s="182">
        <v>63.4</v>
      </c>
      <c r="AT1288" s="182">
        <v>169.5</v>
      </c>
      <c r="AU1288" s="182"/>
      <c r="AV1288" s="182"/>
      <c r="AW1288" s="182"/>
      <c r="AX1288" s="182"/>
      <c r="AY1288" s="182"/>
      <c r="AZ1288" s="182"/>
      <c r="BA1288" s="182"/>
      <c r="BB1288" s="182"/>
      <c r="BC1288" s="182"/>
      <c r="BD1288" s="182"/>
      <c r="BE1288" s="182"/>
      <c r="BF1288" s="182"/>
      <c r="BG1288" s="182"/>
      <c r="BH1288" s="182"/>
      <c r="BI1288" s="182"/>
      <c r="BJ1288" s="182"/>
      <c r="BK1288" s="182"/>
      <c r="BL1288" s="182"/>
      <c r="BM1288" s="182"/>
      <c r="BN1288" s="182"/>
      <c r="BO1288" s="182"/>
      <c r="BP1288" s="182"/>
      <c r="BQ1288" s="182"/>
      <c r="BR1288" s="182"/>
      <c r="BS1288" s="182"/>
      <c r="BT1288" s="182"/>
      <c r="BU1288" s="182"/>
      <c r="BV1288" s="182"/>
      <c r="BW1288" s="182"/>
      <c r="BX1288" s="182"/>
      <c r="BY1288" s="182"/>
      <c r="BZ1288" s="182"/>
      <c r="CA1288" s="182"/>
      <c r="CB1288" s="185">
        <v>703.5</v>
      </c>
      <c r="CC1288" s="185">
        <v>0</v>
      </c>
      <c r="CD1288" s="185">
        <v>2636</v>
      </c>
      <c r="CE1288" s="185"/>
    </row>
    <row r="1289" spans="2:83" x14ac:dyDescent="0.3">
      <c r="B1289" s="182">
        <v>4533</v>
      </c>
      <c r="C1289" s="182">
        <v>2637</v>
      </c>
      <c r="D1289" s="182" t="s">
        <v>121</v>
      </c>
      <c r="E1289" s="181" t="s">
        <v>4452</v>
      </c>
      <c r="F1289" s="182"/>
      <c r="G1289" s="182">
        <v>23760</v>
      </c>
      <c r="H1289" s="182"/>
      <c r="I1289" s="182"/>
      <c r="J1289" s="182"/>
      <c r="K1289" s="182"/>
      <c r="L1289" s="182"/>
      <c r="M1289" s="182"/>
      <c r="N1289" s="182"/>
      <c r="O1289" s="182"/>
      <c r="P1289" s="182"/>
      <c r="Q1289" s="182"/>
      <c r="R1289" s="182"/>
      <c r="S1289" s="182"/>
      <c r="T1289" s="182"/>
      <c r="U1289" s="182"/>
      <c r="V1289" s="182"/>
      <c r="W1289" s="182"/>
      <c r="X1289" s="182"/>
      <c r="Y1289" s="182"/>
      <c r="Z1289" s="182"/>
      <c r="AA1289" s="182"/>
      <c r="AB1289" s="182"/>
      <c r="AC1289" s="182"/>
      <c r="AD1289" s="182"/>
      <c r="AE1289" s="182"/>
      <c r="AF1289" s="182"/>
      <c r="AG1289" s="182"/>
      <c r="AH1289" s="182"/>
      <c r="AI1289" s="182"/>
      <c r="AJ1289" s="182"/>
      <c r="AK1289" s="182"/>
      <c r="AL1289" s="182"/>
      <c r="AM1289" s="182"/>
      <c r="AN1289" s="182"/>
      <c r="AO1289" s="182"/>
      <c r="AP1289" s="182"/>
      <c r="AQ1289" s="185">
        <v>23760</v>
      </c>
      <c r="AR1289" s="182">
        <v>21209.7</v>
      </c>
      <c r="AS1289" s="182">
        <v>2550.3000000000002</v>
      </c>
      <c r="AT1289" s="182"/>
      <c r="AU1289" s="182"/>
      <c r="AV1289" s="182"/>
      <c r="AW1289" s="182"/>
      <c r="AX1289" s="182"/>
      <c r="AY1289" s="182"/>
      <c r="AZ1289" s="182"/>
      <c r="BA1289" s="182"/>
      <c r="BB1289" s="182"/>
      <c r="BC1289" s="182"/>
      <c r="BD1289" s="182"/>
      <c r="BE1289" s="182"/>
      <c r="BF1289" s="182"/>
      <c r="BG1289" s="182"/>
      <c r="BH1289" s="182"/>
      <c r="BI1289" s="182"/>
      <c r="BJ1289" s="182"/>
      <c r="BK1289" s="182"/>
      <c r="BL1289" s="182"/>
      <c r="BM1289" s="182"/>
      <c r="BN1289" s="182"/>
      <c r="BO1289" s="182"/>
      <c r="BP1289" s="182"/>
      <c r="BQ1289" s="182"/>
      <c r="BR1289" s="182"/>
      <c r="BS1289" s="182"/>
      <c r="BT1289" s="182"/>
      <c r="BU1289" s="182"/>
      <c r="BV1289" s="182"/>
      <c r="BW1289" s="182"/>
      <c r="BX1289" s="182"/>
      <c r="BY1289" s="182"/>
      <c r="BZ1289" s="182"/>
      <c r="CA1289" s="182"/>
      <c r="CB1289" s="185">
        <v>23760</v>
      </c>
      <c r="CC1289" s="185">
        <v>0</v>
      </c>
      <c r="CD1289" s="185">
        <v>2637</v>
      </c>
      <c r="CE1289" s="185"/>
    </row>
    <row r="1290" spans="2:83" x14ac:dyDescent="0.3">
      <c r="B1290" s="182">
        <v>4561</v>
      </c>
      <c r="C1290" s="182">
        <v>2638</v>
      </c>
      <c r="D1290" s="182" t="s">
        <v>121</v>
      </c>
      <c r="E1290" s="181" t="s">
        <v>4453</v>
      </c>
      <c r="F1290" s="182"/>
      <c r="G1290" s="182">
        <v>25630</v>
      </c>
      <c r="H1290" s="182"/>
      <c r="I1290" s="182"/>
      <c r="J1290" s="182"/>
      <c r="K1290" s="182"/>
      <c r="L1290" s="182"/>
      <c r="M1290" s="182"/>
      <c r="N1290" s="182"/>
      <c r="O1290" s="182"/>
      <c r="P1290" s="182"/>
      <c r="Q1290" s="182"/>
      <c r="R1290" s="182"/>
      <c r="S1290" s="182"/>
      <c r="T1290" s="182"/>
      <c r="U1290" s="182"/>
      <c r="V1290" s="182"/>
      <c r="W1290" s="182"/>
      <c r="X1290" s="182"/>
      <c r="Y1290" s="182"/>
      <c r="Z1290" s="182"/>
      <c r="AA1290" s="182"/>
      <c r="AB1290" s="182"/>
      <c r="AC1290" s="182"/>
      <c r="AD1290" s="182"/>
      <c r="AE1290" s="182"/>
      <c r="AF1290" s="182"/>
      <c r="AG1290" s="182"/>
      <c r="AH1290" s="182"/>
      <c r="AI1290" s="182"/>
      <c r="AJ1290" s="182"/>
      <c r="AK1290" s="182"/>
      <c r="AL1290" s="182"/>
      <c r="AM1290" s="182"/>
      <c r="AN1290" s="182"/>
      <c r="AO1290" s="182"/>
      <c r="AP1290" s="182"/>
      <c r="AQ1290" s="185">
        <v>25630</v>
      </c>
      <c r="AR1290" s="182">
        <v>22879.7</v>
      </c>
      <c r="AS1290" s="182">
        <v>2750.3</v>
      </c>
      <c r="AT1290" s="182"/>
      <c r="AU1290" s="182"/>
      <c r="AV1290" s="182"/>
      <c r="AW1290" s="182"/>
      <c r="AX1290" s="182"/>
      <c r="AY1290" s="182"/>
      <c r="AZ1290" s="182"/>
      <c r="BA1290" s="182"/>
      <c r="BB1290" s="182"/>
      <c r="BC1290" s="182"/>
      <c r="BD1290" s="182"/>
      <c r="BE1290" s="182"/>
      <c r="BF1290" s="182"/>
      <c r="BG1290" s="182"/>
      <c r="BH1290" s="182"/>
      <c r="BI1290" s="182"/>
      <c r="BJ1290" s="182"/>
      <c r="BK1290" s="182"/>
      <c r="BL1290" s="182"/>
      <c r="BM1290" s="182"/>
      <c r="BN1290" s="182"/>
      <c r="BO1290" s="182"/>
      <c r="BP1290" s="182"/>
      <c r="BQ1290" s="182"/>
      <c r="BR1290" s="182"/>
      <c r="BS1290" s="182"/>
      <c r="BT1290" s="182"/>
      <c r="BU1290" s="182"/>
      <c r="BV1290" s="182"/>
      <c r="BW1290" s="182"/>
      <c r="BX1290" s="182"/>
      <c r="BY1290" s="182"/>
      <c r="BZ1290" s="182"/>
      <c r="CA1290" s="182"/>
      <c r="CB1290" s="185">
        <v>25630</v>
      </c>
      <c r="CC1290" s="185">
        <v>0</v>
      </c>
      <c r="CD1290" s="185">
        <v>2638</v>
      </c>
      <c r="CE1290" s="185"/>
    </row>
    <row r="1291" spans="2:83" x14ac:dyDescent="0.3">
      <c r="B1291" s="182">
        <v>4560</v>
      </c>
      <c r="C1291" s="182">
        <v>2639</v>
      </c>
      <c r="D1291" s="182" t="s">
        <v>121</v>
      </c>
      <c r="E1291" s="181" t="s">
        <v>4453</v>
      </c>
      <c r="F1291" s="182"/>
      <c r="G1291" s="182">
        <v>150</v>
      </c>
      <c r="H1291" s="182"/>
      <c r="I1291" s="182"/>
      <c r="J1291" s="182"/>
      <c r="K1291" s="182"/>
      <c r="L1291" s="182"/>
      <c r="M1291" s="182"/>
      <c r="N1291" s="182"/>
      <c r="O1291" s="182"/>
      <c r="P1291" s="182"/>
      <c r="Q1291" s="182"/>
      <c r="R1291" s="182"/>
      <c r="S1291" s="182"/>
      <c r="T1291" s="182"/>
      <c r="U1291" s="182"/>
      <c r="V1291" s="182"/>
      <c r="W1291" s="182"/>
      <c r="X1291" s="182"/>
      <c r="Y1291" s="182"/>
      <c r="Z1291" s="182"/>
      <c r="AA1291" s="182"/>
      <c r="AB1291" s="182"/>
      <c r="AC1291" s="182"/>
      <c r="AD1291" s="182"/>
      <c r="AE1291" s="182"/>
      <c r="AF1291" s="182"/>
      <c r="AG1291" s="182"/>
      <c r="AH1291" s="182"/>
      <c r="AI1291" s="182"/>
      <c r="AJ1291" s="182"/>
      <c r="AK1291" s="182"/>
      <c r="AL1291" s="182"/>
      <c r="AM1291" s="182"/>
      <c r="AN1291" s="182"/>
      <c r="AO1291" s="182"/>
      <c r="AP1291" s="182"/>
      <c r="AQ1291" s="185">
        <v>150</v>
      </c>
      <c r="AR1291" s="182">
        <v>134.4</v>
      </c>
      <c r="AS1291" s="182">
        <v>15.6</v>
      </c>
      <c r="AT1291" s="182"/>
      <c r="AU1291" s="182"/>
      <c r="AV1291" s="182"/>
      <c r="AW1291" s="182"/>
      <c r="AX1291" s="182"/>
      <c r="AY1291" s="182"/>
      <c r="AZ1291" s="182"/>
      <c r="BA1291" s="182"/>
      <c r="BB1291" s="182"/>
      <c r="BC1291" s="182"/>
      <c r="BD1291" s="182"/>
      <c r="BE1291" s="182"/>
      <c r="BF1291" s="182"/>
      <c r="BG1291" s="182"/>
      <c r="BH1291" s="182"/>
      <c r="BI1291" s="182"/>
      <c r="BJ1291" s="182"/>
      <c r="BK1291" s="182"/>
      <c r="BL1291" s="182"/>
      <c r="BM1291" s="182"/>
      <c r="BN1291" s="182"/>
      <c r="BO1291" s="182"/>
      <c r="BP1291" s="182"/>
      <c r="BQ1291" s="182"/>
      <c r="BR1291" s="182"/>
      <c r="BS1291" s="182"/>
      <c r="BT1291" s="182"/>
      <c r="BU1291" s="182"/>
      <c r="BV1291" s="182"/>
      <c r="BW1291" s="182"/>
      <c r="BX1291" s="182"/>
      <c r="BY1291" s="182"/>
      <c r="BZ1291" s="182"/>
      <c r="CA1291" s="182"/>
      <c r="CB1291" s="185">
        <v>150</v>
      </c>
      <c r="CC1291" s="185">
        <v>0</v>
      </c>
      <c r="CD1291" s="185">
        <v>2639</v>
      </c>
      <c r="CE1291" s="185"/>
    </row>
    <row r="1292" spans="2:83" x14ac:dyDescent="0.3">
      <c r="B1292" s="182">
        <v>4523</v>
      </c>
      <c r="C1292" s="182">
        <v>2640</v>
      </c>
      <c r="D1292" s="182" t="s">
        <v>123</v>
      </c>
      <c r="E1292" s="181" t="s">
        <v>4454</v>
      </c>
      <c r="F1292" s="182"/>
      <c r="G1292" s="182">
        <v>43000</v>
      </c>
      <c r="H1292" s="182"/>
      <c r="I1292" s="182"/>
      <c r="J1292" s="182"/>
      <c r="K1292" s="182"/>
      <c r="L1292" s="182"/>
      <c r="M1292" s="182"/>
      <c r="N1292" s="182"/>
      <c r="O1292" s="182"/>
      <c r="P1292" s="182"/>
      <c r="Q1292" s="182"/>
      <c r="R1292" s="182"/>
      <c r="S1292" s="182"/>
      <c r="T1292" s="182"/>
      <c r="U1292" s="182"/>
      <c r="V1292" s="182"/>
      <c r="W1292" s="182"/>
      <c r="X1292" s="182"/>
      <c r="Y1292" s="182"/>
      <c r="Z1292" s="182"/>
      <c r="AA1292" s="182"/>
      <c r="AB1292" s="182"/>
      <c r="AC1292" s="182"/>
      <c r="AD1292" s="182"/>
      <c r="AE1292" s="182"/>
      <c r="AF1292" s="182"/>
      <c r="AG1292" s="182"/>
      <c r="AH1292" s="182"/>
      <c r="AI1292" s="182"/>
      <c r="AJ1292" s="182"/>
      <c r="AK1292" s="182"/>
      <c r="AL1292" s="182"/>
      <c r="AM1292" s="182"/>
      <c r="AN1292" s="182"/>
      <c r="AO1292" s="182"/>
      <c r="AP1292" s="182"/>
      <c r="AQ1292" s="185">
        <v>43000</v>
      </c>
      <c r="AR1292" s="182">
        <v>36218</v>
      </c>
      <c r="AS1292" s="182">
        <v>4632</v>
      </c>
      <c r="AT1292" s="182"/>
      <c r="AU1292" s="182">
        <v>2150</v>
      </c>
      <c r="AV1292" s="182"/>
      <c r="AW1292" s="182"/>
      <c r="AX1292" s="182"/>
      <c r="AY1292" s="182"/>
      <c r="AZ1292" s="182"/>
      <c r="BA1292" s="182"/>
      <c r="BB1292" s="182"/>
      <c r="BC1292" s="182"/>
      <c r="BD1292" s="182"/>
      <c r="BE1292" s="182"/>
      <c r="BF1292" s="182"/>
      <c r="BG1292" s="182"/>
      <c r="BH1292" s="182"/>
      <c r="BI1292" s="182"/>
      <c r="BJ1292" s="182"/>
      <c r="BK1292" s="182"/>
      <c r="BL1292" s="182"/>
      <c r="BM1292" s="182"/>
      <c r="BN1292" s="182"/>
      <c r="BO1292" s="182"/>
      <c r="BP1292" s="182"/>
      <c r="BQ1292" s="182"/>
      <c r="BR1292" s="182"/>
      <c r="BS1292" s="182"/>
      <c r="BT1292" s="182"/>
      <c r="BU1292" s="182"/>
      <c r="BV1292" s="182"/>
      <c r="BW1292" s="182"/>
      <c r="BX1292" s="182"/>
      <c r="BY1292" s="182"/>
      <c r="BZ1292" s="182"/>
      <c r="CA1292" s="182"/>
      <c r="CB1292" s="185">
        <v>43000</v>
      </c>
      <c r="CC1292" s="185">
        <v>0</v>
      </c>
      <c r="CD1292" s="185">
        <v>2640</v>
      </c>
      <c r="CE1292" s="185"/>
    </row>
    <row r="1293" spans="2:83" x14ac:dyDescent="0.3">
      <c r="B1293" s="182">
        <v>4524</v>
      </c>
      <c r="C1293" s="182">
        <v>2641</v>
      </c>
      <c r="D1293" s="182" t="s">
        <v>123</v>
      </c>
      <c r="E1293" s="181" t="s">
        <v>2228</v>
      </c>
      <c r="F1293" s="182"/>
      <c r="G1293" s="182">
        <v>27102.02</v>
      </c>
      <c r="H1293" s="182"/>
      <c r="I1293" s="182"/>
      <c r="J1293" s="182"/>
      <c r="K1293" s="182"/>
      <c r="L1293" s="182"/>
      <c r="M1293" s="182"/>
      <c r="N1293" s="182"/>
      <c r="O1293" s="182"/>
      <c r="P1293" s="182"/>
      <c r="Q1293" s="182"/>
      <c r="R1293" s="182"/>
      <c r="S1293" s="182"/>
      <c r="T1293" s="182"/>
      <c r="U1293" s="182"/>
      <c r="V1293" s="182"/>
      <c r="W1293" s="182"/>
      <c r="X1293" s="182"/>
      <c r="Y1293" s="182"/>
      <c r="Z1293" s="182"/>
      <c r="AA1293" s="182"/>
      <c r="AB1293" s="182"/>
      <c r="AC1293" s="182"/>
      <c r="AD1293" s="182"/>
      <c r="AE1293" s="182"/>
      <c r="AF1293" s="182"/>
      <c r="AG1293" s="182"/>
      <c r="AH1293" s="182"/>
      <c r="AI1293" s="182"/>
      <c r="AJ1293" s="182"/>
      <c r="AK1293" s="182"/>
      <c r="AL1293" s="182"/>
      <c r="AM1293" s="182"/>
      <c r="AN1293" s="182"/>
      <c r="AO1293" s="182"/>
      <c r="AP1293" s="182"/>
      <c r="AQ1293" s="185">
        <v>27102.02</v>
      </c>
      <c r="AR1293" s="182">
        <v>18259.25</v>
      </c>
      <c r="AS1293" s="182">
        <v>2562.65</v>
      </c>
      <c r="AT1293" s="182">
        <v>5080.12</v>
      </c>
      <c r="AU1293" s="182">
        <v>1200</v>
      </c>
      <c r="AV1293" s="182"/>
      <c r="AW1293" s="182"/>
      <c r="AX1293" s="182"/>
      <c r="AY1293" s="182"/>
      <c r="AZ1293" s="182"/>
      <c r="BA1293" s="182"/>
      <c r="BB1293" s="182"/>
      <c r="BC1293" s="182"/>
      <c r="BD1293" s="182"/>
      <c r="BE1293" s="182"/>
      <c r="BF1293" s="182"/>
      <c r="BG1293" s="182"/>
      <c r="BH1293" s="182"/>
      <c r="BI1293" s="182"/>
      <c r="BJ1293" s="182"/>
      <c r="BK1293" s="182"/>
      <c r="BL1293" s="182"/>
      <c r="BM1293" s="182"/>
      <c r="BN1293" s="182"/>
      <c r="BO1293" s="182"/>
      <c r="BP1293" s="182"/>
      <c r="BQ1293" s="182"/>
      <c r="BR1293" s="182"/>
      <c r="BS1293" s="182"/>
      <c r="BT1293" s="182"/>
      <c r="BU1293" s="182"/>
      <c r="BV1293" s="182"/>
      <c r="BW1293" s="182"/>
      <c r="BX1293" s="182"/>
      <c r="BY1293" s="182"/>
      <c r="BZ1293" s="182"/>
      <c r="CA1293" s="182"/>
      <c r="CB1293" s="185">
        <v>27102.02</v>
      </c>
      <c r="CC1293" s="185">
        <v>0</v>
      </c>
      <c r="CD1293" s="185">
        <v>2641</v>
      </c>
      <c r="CE1293" s="185"/>
    </row>
    <row r="1294" spans="2:83" x14ac:dyDescent="0.3">
      <c r="B1294" s="182">
        <v>4525</v>
      </c>
      <c r="C1294" s="182">
        <v>2642</v>
      </c>
      <c r="D1294" s="182" t="s">
        <v>123</v>
      </c>
      <c r="E1294" s="181" t="s">
        <v>2228</v>
      </c>
      <c r="F1294" s="182"/>
      <c r="G1294" s="182">
        <v>22632.06</v>
      </c>
      <c r="H1294" s="182"/>
      <c r="I1294" s="182"/>
      <c r="J1294" s="182"/>
      <c r="K1294" s="182"/>
      <c r="L1294" s="182"/>
      <c r="M1294" s="182"/>
      <c r="N1294" s="182"/>
      <c r="O1294" s="182"/>
      <c r="P1294" s="182"/>
      <c r="Q1294" s="182"/>
      <c r="R1294" s="182"/>
      <c r="S1294" s="182"/>
      <c r="T1294" s="182"/>
      <c r="U1294" s="182"/>
      <c r="V1294" s="182"/>
      <c r="W1294" s="182"/>
      <c r="X1294" s="182"/>
      <c r="Y1294" s="182"/>
      <c r="Z1294" s="182"/>
      <c r="AA1294" s="182"/>
      <c r="AB1294" s="182"/>
      <c r="AC1294" s="182"/>
      <c r="AD1294" s="182"/>
      <c r="AE1294" s="182"/>
      <c r="AF1294" s="182"/>
      <c r="AG1294" s="182"/>
      <c r="AH1294" s="182"/>
      <c r="AI1294" s="182"/>
      <c r="AJ1294" s="182"/>
      <c r="AK1294" s="182"/>
      <c r="AL1294" s="182"/>
      <c r="AM1294" s="182"/>
      <c r="AN1294" s="182"/>
      <c r="AO1294" s="182"/>
      <c r="AP1294" s="182"/>
      <c r="AQ1294" s="185">
        <v>22632.06</v>
      </c>
      <c r="AR1294" s="182">
        <v>16219.06</v>
      </c>
      <c r="AS1294" s="182">
        <v>2213.9</v>
      </c>
      <c r="AT1294" s="182">
        <v>3164.1</v>
      </c>
      <c r="AU1294" s="182">
        <v>1035</v>
      </c>
      <c r="AV1294" s="182"/>
      <c r="AW1294" s="182"/>
      <c r="AX1294" s="182"/>
      <c r="AY1294" s="182"/>
      <c r="AZ1294" s="182"/>
      <c r="BA1294" s="182"/>
      <c r="BB1294" s="182"/>
      <c r="BC1294" s="182"/>
      <c r="BD1294" s="182"/>
      <c r="BE1294" s="182"/>
      <c r="BF1294" s="182"/>
      <c r="BG1294" s="182"/>
      <c r="BH1294" s="182"/>
      <c r="BI1294" s="182"/>
      <c r="BJ1294" s="182"/>
      <c r="BK1294" s="182"/>
      <c r="BL1294" s="182"/>
      <c r="BM1294" s="182"/>
      <c r="BN1294" s="182"/>
      <c r="BO1294" s="182"/>
      <c r="BP1294" s="182"/>
      <c r="BQ1294" s="182"/>
      <c r="BR1294" s="182"/>
      <c r="BS1294" s="182"/>
      <c r="BT1294" s="182"/>
      <c r="BU1294" s="182"/>
      <c r="BV1294" s="182"/>
      <c r="BW1294" s="182"/>
      <c r="BX1294" s="182"/>
      <c r="BY1294" s="182"/>
      <c r="BZ1294" s="182"/>
      <c r="CA1294" s="182"/>
      <c r="CB1294" s="185">
        <v>22632.059999999998</v>
      </c>
      <c r="CC1294" s="185">
        <v>0</v>
      </c>
      <c r="CD1294" s="185">
        <v>2642</v>
      </c>
      <c r="CE1294" s="185"/>
    </row>
    <row r="1295" spans="2:83" x14ac:dyDescent="0.3">
      <c r="B1295" s="182">
        <v>4526</v>
      </c>
      <c r="C1295" s="182">
        <v>2643</v>
      </c>
      <c r="D1295" s="182" t="s">
        <v>123</v>
      </c>
      <c r="E1295" s="181" t="s">
        <v>2228</v>
      </c>
      <c r="F1295" s="182"/>
      <c r="G1295" s="182">
        <v>4000</v>
      </c>
      <c r="H1295" s="182"/>
      <c r="I1295" s="182"/>
      <c r="J1295" s="182"/>
      <c r="K1295" s="182"/>
      <c r="L1295" s="182"/>
      <c r="M1295" s="182"/>
      <c r="N1295" s="182"/>
      <c r="O1295" s="182"/>
      <c r="P1295" s="182"/>
      <c r="Q1295" s="182"/>
      <c r="R1295" s="182"/>
      <c r="S1295" s="182"/>
      <c r="T1295" s="182"/>
      <c r="U1295" s="182"/>
      <c r="V1295" s="182"/>
      <c r="W1295" s="182"/>
      <c r="X1295" s="182"/>
      <c r="Y1295" s="182"/>
      <c r="Z1295" s="182"/>
      <c r="AA1295" s="182"/>
      <c r="AB1295" s="182"/>
      <c r="AC1295" s="182"/>
      <c r="AD1295" s="182"/>
      <c r="AE1295" s="182"/>
      <c r="AF1295" s="182"/>
      <c r="AG1295" s="182"/>
      <c r="AH1295" s="182"/>
      <c r="AI1295" s="182"/>
      <c r="AJ1295" s="182"/>
      <c r="AK1295" s="182"/>
      <c r="AL1295" s="182"/>
      <c r="AM1295" s="182"/>
      <c r="AN1295" s="182"/>
      <c r="AO1295" s="182"/>
      <c r="AP1295" s="182"/>
      <c r="AQ1295" s="185">
        <v>4000</v>
      </c>
      <c r="AR1295" s="182">
        <v>3370.35</v>
      </c>
      <c r="AS1295" s="182">
        <v>429.65</v>
      </c>
      <c r="AT1295" s="182"/>
      <c r="AU1295" s="182">
        <v>200</v>
      </c>
      <c r="AV1295" s="182"/>
      <c r="AW1295" s="182"/>
      <c r="AX1295" s="182"/>
      <c r="AY1295" s="182"/>
      <c r="AZ1295" s="182"/>
      <c r="BA1295" s="182"/>
      <c r="BB1295" s="182"/>
      <c r="BC1295" s="182"/>
      <c r="BD1295" s="182"/>
      <c r="BE1295" s="182"/>
      <c r="BF1295" s="182"/>
      <c r="BG1295" s="182"/>
      <c r="BH1295" s="182"/>
      <c r="BI1295" s="182"/>
      <c r="BJ1295" s="182"/>
      <c r="BK1295" s="182"/>
      <c r="BL1295" s="182"/>
      <c r="BM1295" s="182"/>
      <c r="BN1295" s="182"/>
      <c r="BO1295" s="182"/>
      <c r="BP1295" s="182"/>
      <c r="BQ1295" s="182"/>
      <c r="BR1295" s="182"/>
      <c r="BS1295" s="182"/>
      <c r="BT1295" s="182"/>
      <c r="BU1295" s="182"/>
      <c r="BV1295" s="182"/>
      <c r="BW1295" s="182"/>
      <c r="BX1295" s="182"/>
      <c r="BY1295" s="182"/>
      <c r="BZ1295" s="182"/>
      <c r="CA1295" s="182"/>
      <c r="CB1295" s="185">
        <v>4000</v>
      </c>
      <c r="CC1295" s="185">
        <v>0</v>
      </c>
      <c r="CD1295" s="185">
        <v>2643</v>
      </c>
      <c r="CE1295" s="185"/>
    </row>
    <row r="1296" spans="2:83" x14ac:dyDescent="0.3">
      <c r="B1296" s="182">
        <v>4474</v>
      </c>
      <c r="C1296" s="182">
        <v>2644</v>
      </c>
      <c r="D1296" s="182" t="s">
        <v>116</v>
      </c>
      <c r="E1296" s="181" t="s">
        <v>4455</v>
      </c>
      <c r="F1296" s="182"/>
      <c r="G1296" s="182">
        <v>527.62</v>
      </c>
      <c r="H1296" s="182"/>
      <c r="I1296" s="182"/>
      <c r="J1296" s="182"/>
      <c r="K1296" s="182"/>
      <c r="L1296" s="182"/>
      <c r="M1296" s="182"/>
      <c r="N1296" s="182"/>
      <c r="O1296" s="182"/>
      <c r="P1296" s="182"/>
      <c r="Q1296" s="182"/>
      <c r="R1296" s="182"/>
      <c r="S1296" s="182"/>
      <c r="T1296" s="182"/>
      <c r="U1296" s="182"/>
      <c r="V1296" s="182"/>
      <c r="W1296" s="182"/>
      <c r="X1296" s="182"/>
      <c r="Y1296" s="182"/>
      <c r="Z1296" s="182"/>
      <c r="AA1296" s="182"/>
      <c r="AB1296" s="182"/>
      <c r="AC1296" s="182"/>
      <c r="AD1296" s="182"/>
      <c r="AE1296" s="182"/>
      <c r="AF1296" s="182"/>
      <c r="AG1296" s="182"/>
      <c r="AH1296" s="182"/>
      <c r="AI1296" s="182"/>
      <c r="AJ1296" s="182"/>
      <c r="AK1296" s="182"/>
      <c r="AL1296" s="182"/>
      <c r="AM1296" s="182"/>
      <c r="AN1296" s="182"/>
      <c r="AO1296" s="182"/>
      <c r="AP1296" s="182"/>
      <c r="AQ1296" s="185">
        <v>527.62</v>
      </c>
      <c r="AR1296" s="182">
        <v>353.2</v>
      </c>
      <c r="AS1296" s="182">
        <v>47.3</v>
      </c>
      <c r="AT1296" s="182">
        <v>127.12</v>
      </c>
      <c r="AU1296" s="182"/>
      <c r="AV1296" s="182"/>
      <c r="AW1296" s="182"/>
      <c r="AX1296" s="182"/>
      <c r="AY1296" s="182"/>
      <c r="AZ1296" s="182"/>
      <c r="BA1296" s="182"/>
      <c r="BB1296" s="182"/>
      <c r="BC1296" s="182"/>
      <c r="BD1296" s="182"/>
      <c r="BE1296" s="182"/>
      <c r="BF1296" s="182"/>
      <c r="BG1296" s="182"/>
      <c r="BH1296" s="182"/>
      <c r="BI1296" s="182"/>
      <c r="BJ1296" s="182"/>
      <c r="BK1296" s="182"/>
      <c r="BL1296" s="182"/>
      <c r="BM1296" s="182"/>
      <c r="BN1296" s="182"/>
      <c r="BO1296" s="182"/>
      <c r="BP1296" s="182"/>
      <c r="BQ1296" s="182"/>
      <c r="BR1296" s="182"/>
      <c r="BS1296" s="182"/>
      <c r="BT1296" s="182"/>
      <c r="BU1296" s="182"/>
      <c r="BV1296" s="182"/>
      <c r="BW1296" s="182"/>
      <c r="BX1296" s="182"/>
      <c r="BY1296" s="182"/>
      <c r="BZ1296" s="182"/>
      <c r="CA1296" s="182"/>
      <c r="CB1296" s="185">
        <v>527.62</v>
      </c>
      <c r="CC1296" s="185">
        <v>0</v>
      </c>
      <c r="CD1296" s="185">
        <v>2644</v>
      </c>
      <c r="CE1296" s="185"/>
    </row>
    <row r="1297" spans="2:83" x14ac:dyDescent="0.3">
      <c r="B1297" s="182">
        <v>4484</v>
      </c>
      <c r="C1297" s="182">
        <v>2645</v>
      </c>
      <c r="D1297" s="182" t="s">
        <v>132</v>
      </c>
      <c r="E1297" s="181" t="s">
        <v>4456</v>
      </c>
      <c r="F1297" s="182"/>
      <c r="G1297" s="182">
        <v>8271.02</v>
      </c>
      <c r="H1297" s="182"/>
      <c r="I1297" s="182"/>
      <c r="J1297" s="182"/>
      <c r="K1297" s="182"/>
      <c r="L1297" s="182"/>
      <c r="M1297" s="182"/>
      <c r="N1297" s="182"/>
      <c r="O1297" s="182"/>
      <c r="P1297" s="182"/>
      <c r="Q1297" s="182"/>
      <c r="R1297" s="182"/>
      <c r="S1297" s="182"/>
      <c r="T1297" s="182"/>
      <c r="U1297" s="182"/>
      <c r="V1297" s="182"/>
      <c r="W1297" s="182"/>
      <c r="X1297" s="182"/>
      <c r="Y1297" s="182"/>
      <c r="Z1297" s="182"/>
      <c r="AA1297" s="182"/>
      <c r="AB1297" s="182"/>
      <c r="AC1297" s="182"/>
      <c r="AD1297" s="182"/>
      <c r="AE1297" s="182"/>
      <c r="AF1297" s="182"/>
      <c r="AG1297" s="182"/>
      <c r="AH1297" s="182"/>
      <c r="AI1297" s="182"/>
      <c r="AJ1297" s="182"/>
      <c r="AK1297" s="182"/>
      <c r="AL1297" s="182"/>
      <c r="AM1297" s="182"/>
      <c r="AN1297" s="182"/>
      <c r="AO1297" s="182"/>
      <c r="AP1297" s="182"/>
      <c r="AQ1297" s="185">
        <v>8271.02</v>
      </c>
      <c r="AR1297" s="182">
        <v>6846.03</v>
      </c>
      <c r="AS1297" s="182">
        <v>407.97</v>
      </c>
      <c r="AT1297" s="182">
        <v>1017.02</v>
      </c>
      <c r="AU1297" s="182"/>
      <c r="AV1297" s="182"/>
      <c r="AW1297" s="182"/>
      <c r="AX1297" s="182"/>
      <c r="AY1297" s="182"/>
      <c r="AZ1297" s="182"/>
      <c r="BA1297" s="182"/>
      <c r="BB1297" s="182"/>
      <c r="BC1297" s="182"/>
      <c r="BD1297" s="182"/>
      <c r="BE1297" s="182"/>
      <c r="BF1297" s="182"/>
      <c r="BG1297" s="182"/>
      <c r="BH1297" s="182"/>
      <c r="BI1297" s="182"/>
      <c r="BJ1297" s="182"/>
      <c r="BK1297" s="182"/>
      <c r="BL1297" s="182"/>
      <c r="BM1297" s="182"/>
      <c r="BN1297" s="182"/>
      <c r="BO1297" s="182"/>
      <c r="BP1297" s="182"/>
      <c r="BQ1297" s="182"/>
      <c r="BR1297" s="182"/>
      <c r="BS1297" s="182"/>
      <c r="BT1297" s="182"/>
      <c r="BU1297" s="182"/>
      <c r="BV1297" s="182"/>
      <c r="BW1297" s="182"/>
      <c r="BX1297" s="182"/>
      <c r="BY1297" s="182"/>
      <c r="BZ1297" s="182"/>
      <c r="CA1297" s="182"/>
      <c r="CB1297" s="185">
        <v>8271.02</v>
      </c>
      <c r="CC1297" s="185">
        <v>0</v>
      </c>
      <c r="CD1297" s="185">
        <v>2645</v>
      </c>
      <c r="CE1297" s="185"/>
    </row>
    <row r="1298" spans="2:83" x14ac:dyDescent="0.3">
      <c r="B1298" s="182">
        <v>4488</v>
      </c>
      <c r="C1298" s="182">
        <v>2646</v>
      </c>
      <c r="D1298" s="182" t="s">
        <v>132</v>
      </c>
      <c r="E1298" s="181" t="s">
        <v>4456</v>
      </c>
      <c r="F1298" s="182"/>
      <c r="G1298" s="182">
        <v>1876</v>
      </c>
      <c r="H1298" s="182"/>
      <c r="I1298" s="182"/>
      <c r="J1298" s="182"/>
      <c r="K1298" s="182"/>
      <c r="L1298" s="182"/>
      <c r="M1298" s="182"/>
      <c r="N1298" s="182"/>
      <c r="O1298" s="182"/>
      <c r="P1298" s="182"/>
      <c r="Q1298" s="182"/>
      <c r="R1298" s="182"/>
      <c r="S1298" s="182"/>
      <c r="T1298" s="182"/>
      <c r="U1298" s="182"/>
      <c r="V1298" s="182"/>
      <c r="W1298" s="182"/>
      <c r="X1298" s="182"/>
      <c r="Y1298" s="182"/>
      <c r="Z1298" s="182"/>
      <c r="AA1298" s="182"/>
      <c r="AB1298" s="182"/>
      <c r="AC1298" s="182"/>
      <c r="AD1298" s="182"/>
      <c r="AE1298" s="182"/>
      <c r="AF1298" s="182"/>
      <c r="AG1298" s="182"/>
      <c r="AH1298" s="182"/>
      <c r="AI1298" s="182"/>
      <c r="AJ1298" s="182"/>
      <c r="AK1298" s="182"/>
      <c r="AL1298" s="182"/>
      <c r="AM1298" s="182"/>
      <c r="AN1298" s="182"/>
      <c r="AO1298" s="182"/>
      <c r="AP1298" s="182"/>
      <c r="AQ1298" s="185">
        <v>1876</v>
      </c>
      <c r="AR1298" s="182">
        <v>1255.3499999999999</v>
      </c>
      <c r="AS1298" s="182">
        <v>168.65</v>
      </c>
      <c r="AT1298" s="182">
        <v>452</v>
      </c>
      <c r="AU1298" s="182"/>
      <c r="AV1298" s="182"/>
      <c r="AW1298" s="182"/>
      <c r="AX1298" s="182"/>
      <c r="AY1298" s="182"/>
      <c r="AZ1298" s="182"/>
      <c r="BA1298" s="182"/>
      <c r="BB1298" s="182"/>
      <c r="BC1298" s="182"/>
      <c r="BD1298" s="182"/>
      <c r="BE1298" s="182"/>
      <c r="BF1298" s="182"/>
      <c r="BG1298" s="182"/>
      <c r="BH1298" s="182"/>
      <c r="BI1298" s="182"/>
      <c r="BJ1298" s="182"/>
      <c r="BK1298" s="182"/>
      <c r="BL1298" s="182"/>
      <c r="BM1298" s="182"/>
      <c r="BN1298" s="182"/>
      <c r="BO1298" s="182"/>
      <c r="BP1298" s="182"/>
      <c r="BQ1298" s="182"/>
      <c r="BR1298" s="182"/>
      <c r="BS1298" s="182"/>
      <c r="BT1298" s="182"/>
      <c r="BU1298" s="182"/>
      <c r="BV1298" s="182"/>
      <c r="BW1298" s="182"/>
      <c r="BX1298" s="182"/>
      <c r="BY1298" s="182"/>
      <c r="BZ1298" s="182"/>
      <c r="CA1298" s="182"/>
      <c r="CB1298" s="185">
        <v>1876</v>
      </c>
      <c r="CC1298" s="185">
        <v>0</v>
      </c>
      <c r="CD1298" s="185">
        <v>2646</v>
      </c>
      <c r="CE1298" s="185"/>
    </row>
    <row r="1299" spans="2:83" x14ac:dyDescent="0.3">
      <c r="B1299" s="182">
        <v>4487</v>
      </c>
      <c r="C1299" s="182">
        <v>2647</v>
      </c>
      <c r="D1299" s="182" t="s">
        <v>132</v>
      </c>
      <c r="E1299" s="181" t="s">
        <v>4456</v>
      </c>
      <c r="F1299" s="182"/>
      <c r="G1299" s="182">
        <v>586.25</v>
      </c>
      <c r="H1299" s="182"/>
      <c r="I1299" s="182"/>
      <c r="J1299" s="182"/>
      <c r="K1299" s="182"/>
      <c r="L1299" s="182"/>
      <c r="M1299" s="182"/>
      <c r="N1299" s="182"/>
      <c r="O1299" s="182"/>
      <c r="P1299" s="182"/>
      <c r="Q1299" s="182"/>
      <c r="R1299" s="182"/>
      <c r="S1299" s="182"/>
      <c r="T1299" s="182"/>
      <c r="U1299" s="182"/>
      <c r="V1299" s="182"/>
      <c r="W1299" s="182"/>
      <c r="X1299" s="182"/>
      <c r="Y1299" s="182"/>
      <c r="Z1299" s="182"/>
      <c r="AA1299" s="182"/>
      <c r="AB1299" s="182"/>
      <c r="AC1299" s="182"/>
      <c r="AD1299" s="182"/>
      <c r="AE1299" s="182"/>
      <c r="AF1299" s="182"/>
      <c r="AG1299" s="182"/>
      <c r="AH1299" s="182"/>
      <c r="AI1299" s="182"/>
      <c r="AJ1299" s="182"/>
      <c r="AK1299" s="182"/>
      <c r="AL1299" s="182"/>
      <c r="AM1299" s="182"/>
      <c r="AN1299" s="182"/>
      <c r="AO1299" s="182"/>
      <c r="AP1299" s="182"/>
      <c r="AQ1299" s="185">
        <v>586.25</v>
      </c>
      <c r="AR1299" s="182">
        <v>392.4</v>
      </c>
      <c r="AS1299" s="182">
        <v>52.6</v>
      </c>
      <c r="AT1299" s="182">
        <v>141.25</v>
      </c>
      <c r="AU1299" s="182"/>
      <c r="AV1299" s="182"/>
      <c r="AW1299" s="182"/>
      <c r="AX1299" s="182"/>
      <c r="AY1299" s="182"/>
      <c r="AZ1299" s="182"/>
      <c r="BA1299" s="182"/>
      <c r="BB1299" s="182"/>
      <c r="BC1299" s="182"/>
      <c r="BD1299" s="182"/>
      <c r="BE1299" s="182"/>
      <c r="BF1299" s="182"/>
      <c r="BG1299" s="182"/>
      <c r="BH1299" s="182"/>
      <c r="BI1299" s="182"/>
      <c r="BJ1299" s="182"/>
      <c r="BK1299" s="182"/>
      <c r="BL1299" s="182"/>
      <c r="BM1299" s="182"/>
      <c r="BN1299" s="182"/>
      <c r="BO1299" s="182"/>
      <c r="BP1299" s="182"/>
      <c r="BQ1299" s="182"/>
      <c r="BR1299" s="182"/>
      <c r="BS1299" s="182"/>
      <c r="BT1299" s="182"/>
      <c r="BU1299" s="182"/>
      <c r="BV1299" s="182"/>
      <c r="BW1299" s="182"/>
      <c r="BX1299" s="182"/>
      <c r="BY1299" s="182"/>
      <c r="BZ1299" s="182"/>
      <c r="CA1299" s="182"/>
      <c r="CB1299" s="185">
        <v>586.25</v>
      </c>
      <c r="CC1299" s="185">
        <v>0</v>
      </c>
      <c r="CD1299" s="185">
        <v>2647</v>
      </c>
      <c r="CE1299" s="185"/>
    </row>
    <row r="1300" spans="2:83" x14ac:dyDescent="0.3">
      <c r="B1300" s="182">
        <v>4485</v>
      </c>
      <c r="C1300" s="182">
        <v>2648</v>
      </c>
      <c r="D1300" s="182" t="s">
        <v>132</v>
      </c>
      <c r="E1300" s="181" t="s">
        <v>4456</v>
      </c>
      <c r="F1300" s="182"/>
      <c r="G1300" s="182">
        <v>7963.65</v>
      </c>
      <c r="H1300" s="182"/>
      <c r="I1300" s="182"/>
      <c r="J1300" s="182"/>
      <c r="K1300" s="182"/>
      <c r="L1300" s="182"/>
      <c r="M1300" s="182"/>
      <c r="N1300" s="182"/>
      <c r="O1300" s="182"/>
      <c r="P1300" s="182"/>
      <c r="Q1300" s="182"/>
      <c r="R1300" s="182"/>
      <c r="S1300" s="182"/>
      <c r="T1300" s="182"/>
      <c r="U1300" s="182"/>
      <c r="V1300" s="182"/>
      <c r="W1300" s="182"/>
      <c r="X1300" s="182"/>
      <c r="Y1300" s="182"/>
      <c r="Z1300" s="182"/>
      <c r="AA1300" s="182"/>
      <c r="AB1300" s="182"/>
      <c r="AC1300" s="182"/>
      <c r="AD1300" s="182"/>
      <c r="AE1300" s="182"/>
      <c r="AF1300" s="182"/>
      <c r="AG1300" s="182"/>
      <c r="AH1300" s="182"/>
      <c r="AI1300" s="182"/>
      <c r="AJ1300" s="182"/>
      <c r="AK1300" s="182"/>
      <c r="AL1300" s="182"/>
      <c r="AM1300" s="182"/>
      <c r="AN1300" s="182"/>
      <c r="AO1300" s="182"/>
      <c r="AP1300" s="182"/>
      <c r="AQ1300" s="185">
        <v>7963.65</v>
      </c>
      <c r="AR1300" s="182">
        <v>5494.92</v>
      </c>
      <c r="AS1300" s="182">
        <v>726.8</v>
      </c>
      <c r="AT1300" s="182">
        <v>1741.93</v>
      </c>
      <c r="AU1300" s="182"/>
      <c r="AV1300" s="182"/>
      <c r="AW1300" s="182"/>
      <c r="AX1300" s="182"/>
      <c r="AY1300" s="182"/>
      <c r="AZ1300" s="182"/>
      <c r="BA1300" s="182"/>
      <c r="BB1300" s="182"/>
      <c r="BC1300" s="182"/>
      <c r="BD1300" s="182"/>
      <c r="BE1300" s="182"/>
      <c r="BF1300" s="182"/>
      <c r="BG1300" s="182"/>
      <c r="BH1300" s="182"/>
      <c r="BI1300" s="182"/>
      <c r="BJ1300" s="182"/>
      <c r="BK1300" s="182"/>
      <c r="BL1300" s="182"/>
      <c r="BM1300" s="182"/>
      <c r="BN1300" s="182"/>
      <c r="BO1300" s="182"/>
      <c r="BP1300" s="182"/>
      <c r="BQ1300" s="182"/>
      <c r="BR1300" s="182"/>
      <c r="BS1300" s="182"/>
      <c r="BT1300" s="182"/>
      <c r="BU1300" s="182"/>
      <c r="BV1300" s="182"/>
      <c r="BW1300" s="182"/>
      <c r="BX1300" s="182"/>
      <c r="BY1300" s="182"/>
      <c r="BZ1300" s="182"/>
      <c r="CA1300" s="182"/>
      <c r="CB1300" s="185">
        <v>7963.6500000000005</v>
      </c>
      <c r="CC1300" s="185">
        <v>0</v>
      </c>
      <c r="CD1300" s="185">
        <v>2648</v>
      </c>
      <c r="CE1300" s="185"/>
    </row>
    <row r="1301" spans="2:83" x14ac:dyDescent="0.3">
      <c r="B1301" s="182">
        <v>4486</v>
      </c>
      <c r="C1301" s="182">
        <v>2649</v>
      </c>
      <c r="D1301" s="182" t="s">
        <v>132</v>
      </c>
      <c r="E1301" s="181" t="s">
        <v>4456</v>
      </c>
      <c r="F1301" s="182"/>
      <c r="G1301" s="182">
        <v>586.25</v>
      </c>
      <c r="H1301" s="182"/>
      <c r="I1301" s="182"/>
      <c r="J1301" s="182"/>
      <c r="K1301" s="182"/>
      <c r="L1301" s="182"/>
      <c r="M1301" s="182"/>
      <c r="N1301" s="182"/>
      <c r="O1301" s="182"/>
      <c r="P1301" s="182"/>
      <c r="Q1301" s="182"/>
      <c r="R1301" s="182"/>
      <c r="S1301" s="182"/>
      <c r="T1301" s="182"/>
      <c r="U1301" s="182"/>
      <c r="V1301" s="182"/>
      <c r="W1301" s="182"/>
      <c r="X1301" s="182"/>
      <c r="Y1301" s="182"/>
      <c r="Z1301" s="182"/>
      <c r="AA1301" s="182"/>
      <c r="AB1301" s="182"/>
      <c r="AC1301" s="182"/>
      <c r="AD1301" s="182"/>
      <c r="AE1301" s="182"/>
      <c r="AF1301" s="182"/>
      <c r="AG1301" s="182"/>
      <c r="AH1301" s="182"/>
      <c r="AI1301" s="182"/>
      <c r="AJ1301" s="182"/>
      <c r="AK1301" s="182"/>
      <c r="AL1301" s="182"/>
      <c r="AM1301" s="182"/>
      <c r="AN1301" s="182"/>
      <c r="AO1301" s="182"/>
      <c r="AP1301" s="182"/>
      <c r="AQ1301" s="185">
        <v>586.25</v>
      </c>
      <c r="AR1301" s="182">
        <v>392.4</v>
      </c>
      <c r="AS1301" s="182">
        <v>52.6</v>
      </c>
      <c r="AT1301" s="182">
        <v>141.25</v>
      </c>
      <c r="AU1301" s="182"/>
      <c r="AV1301" s="182"/>
      <c r="AW1301" s="182"/>
      <c r="AX1301" s="182"/>
      <c r="AY1301" s="182"/>
      <c r="AZ1301" s="182"/>
      <c r="BA1301" s="182"/>
      <c r="BB1301" s="182"/>
      <c r="BC1301" s="182"/>
      <c r="BD1301" s="182"/>
      <c r="BE1301" s="182"/>
      <c r="BF1301" s="182"/>
      <c r="BG1301" s="182"/>
      <c r="BH1301" s="182"/>
      <c r="BI1301" s="182"/>
      <c r="BJ1301" s="182"/>
      <c r="BK1301" s="182"/>
      <c r="BL1301" s="182"/>
      <c r="BM1301" s="182"/>
      <c r="BN1301" s="182"/>
      <c r="BO1301" s="182"/>
      <c r="BP1301" s="182"/>
      <c r="BQ1301" s="182"/>
      <c r="BR1301" s="182"/>
      <c r="BS1301" s="182"/>
      <c r="BT1301" s="182"/>
      <c r="BU1301" s="182"/>
      <c r="BV1301" s="182"/>
      <c r="BW1301" s="182"/>
      <c r="BX1301" s="182"/>
      <c r="BY1301" s="182"/>
      <c r="BZ1301" s="182"/>
      <c r="CA1301" s="182"/>
      <c r="CB1301" s="185">
        <v>586.25</v>
      </c>
      <c r="CC1301" s="185">
        <v>0</v>
      </c>
      <c r="CD1301" s="185">
        <v>2649</v>
      </c>
      <c r="CE1301" s="185"/>
    </row>
    <row r="1302" spans="2:83" x14ac:dyDescent="0.3">
      <c r="B1302" s="182">
        <v>4984</v>
      </c>
      <c r="C1302" s="182">
        <v>2650</v>
      </c>
      <c r="D1302" s="182" t="s">
        <v>78</v>
      </c>
      <c r="E1302" s="181" t="s">
        <v>4457</v>
      </c>
      <c r="F1302" s="182"/>
      <c r="G1302" s="182">
        <v>117.25</v>
      </c>
      <c r="H1302" s="182"/>
      <c r="I1302" s="182"/>
      <c r="J1302" s="182"/>
      <c r="K1302" s="182"/>
      <c r="L1302" s="182"/>
      <c r="M1302" s="182"/>
      <c r="N1302" s="182"/>
      <c r="O1302" s="182"/>
      <c r="P1302" s="182"/>
      <c r="Q1302" s="182"/>
      <c r="R1302" s="182"/>
      <c r="S1302" s="182"/>
      <c r="T1302" s="182"/>
      <c r="U1302" s="182"/>
      <c r="V1302" s="182"/>
      <c r="W1302" s="182"/>
      <c r="X1302" s="182"/>
      <c r="Y1302" s="182"/>
      <c r="Z1302" s="182"/>
      <c r="AA1302" s="182"/>
      <c r="AB1302" s="182"/>
      <c r="AC1302" s="182"/>
      <c r="AD1302" s="182"/>
      <c r="AE1302" s="182"/>
      <c r="AF1302" s="182"/>
      <c r="AG1302" s="182"/>
      <c r="AH1302" s="182"/>
      <c r="AI1302" s="182"/>
      <c r="AJ1302" s="182"/>
      <c r="AK1302" s="182"/>
      <c r="AL1302" s="182"/>
      <c r="AM1302" s="182"/>
      <c r="AN1302" s="182"/>
      <c r="AO1302" s="182"/>
      <c r="AP1302" s="182"/>
      <c r="AQ1302" s="185">
        <v>117.25</v>
      </c>
      <c r="AR1302" s="182">
        <v>78.75</v>
      </c>
      <c r="AS1302" s="182">
        <v>10.25</v>
      </c>
      <c r="AT1302" s="182">
        <v>28.25</v>
      </c>
      <c r="AU1302" s="182"/>
      <c r="AV1302" s="182"/>
      <c r="AW1302" s="182"/>
      <c r="AX1302" s="182"/>
      <c r="AY1302" s="182"/>
      <c r="AZ1302" s="182"/>
      <c r="BA1302" s="182"/>
      <c r="BB1302" s="182"/>
      <c r="BC1302" s="182"/>
      <c r="BD1302" s="182"/>
      <c r="BE1302" s="182"/>
      <c r="BF1302" s="182"/>
      <c r="BG1302" s="182"/>
      <c r="BH1302" s="182"/>
      <c r="BI1302" s="182"/>
      <c r="BJ1302" s="182"/>
      <c r="BK1302" s="182"/>
      <c r="BL1302" s="182"/>
      <c r="BM1302" s="182"/>
      <c r="BN1302" s="182"/>
      <c r="BO1302" s="182"/>
      <c r="BP1302" s="182"/>
      <c r="BQ1302" s="182"/>
      <c r="BR1302" s="182"/>
      <c r="BS1302" s="182"/>
      <c r="BT1302" s="182"/>
      <c r="BU1302" s="182"/>
      <c r="BV1302" s="182"/>
      <c r="BW1302" s="182"/>
      <c r="BX1302" s="182"/>
      <c r="BY1302" s="182"/>
      <c r="BZ1302" s="182"/>
      <c r="CA1302" s="182"/>
      <c r="CB1302" s="185">
        <v>117.25</v>
      </c>
      <c r="CC1302" s="185">
        <v>0</v>
      </c>
      <c r="CD1302" s="185">
        <v>2650</v>
      </c>
      <c r="CE1302" s="185"/>
    </row>
    <row r="1303" spans="2:83" x14ac:dyDescent="0.3">
      <c r="B1303" s="182">
        <v>3778</v>
      </c>
      <c r="C1303" s="182">
        <v>2651</v>
      </c>
      <c r="D1303" s="182" t="s">
        <v>78</v>
      </c>
      <c r="E1303" s="181" t="s">
        <v>4458</v>
      </c>
      <c r="F1303" s="182"/>
      <c r="G1303" s="182">
        <v>800</v>
      </c>
      <c r="H1303" s="182"/>
      <c r="I1303" s="182"/>
      <c r="J1303" s="182"/>
      <c r="K1303" s="182"/>
      <c r="L1303" s="182"/>
      <c r="M1303" s="182"/>
      <c r="N1303" s="182"/>
      <c r="O1303" s="182"/>
      <c r="P1303" s="182"/>
      <c r="Q1303" s="182"/>
      <c r="R1303" s="182"/>
      <c r="S1303" s="182"/>
      <c r="T1303" s="182"/>
      <c r="U1303" s="182"/>
      <c r="V1303" s="182"/>
      <c r="W1303" s="182"/>
      <c r="X1303" s="182"/>
      <c r="Y1303" s="182"/>
      <c r="Z1303" s="182"/>
      <c r="AA1303" s="182"/>
      <c r="AB1303" s="182"/>
      <c r="AC1303" s="182"/>
      <c r="AD1303" s="182"/>
      <c r="AE1303" s="182"/>
      <c r="AF1303" s="182"/>
      <c r="AG1303" s="182"/>
      <c r="AH1303" s="182"/>
      <c r="AI1303" s="182"/>
      <c r="AJ1303" s="182"/>
      <c r="AK1303" s="182"/>
      <c r="AL1303" s="182"/>
      <c r="AM1303" s="182"/>
      <c r="AN1303" s="182"/>
      <c r="AO1303" s="182"/>
      <c r="AP1303" s="182"/>
      <c r="AQ1303" s="185">
        <v>800</v>
      </c>
      <c r="AR1303" s="182">
        <v>714.75</v>
      </c>
      <c r="AS1303" s="182">
        <v>85.25</v>
      </c>
      <c r="AT1303" s="182"/>
      <c r="AU1303" s="182"/>
      <c r="AV1303" s="182"/>
      <c r="AW1303" s="182"/>
      <c r="AX1303" s="182"/>
      <c r="AY1303" s="182"/>
      <c r="AZ1303" s="182"/>
      <c r="BA1303" s="182"/>
      <c r="BB1303" s="182"/>
      <c r="BC1303" s="182"/>
      <c r="BD1303" s="182"/>
      <c r="BE1303" s="182"/>
      <c r="BF1303" s="182"/>
      <c r="BG1303" s="182"/>
      <c r="BH1303" s="182"/>
      <c r="BI1303" s="182"/>
      <c r="BJ1303" s="182"/>
      <c r="BK1303" s="182"/>
      <c r="BL1303" s="182"/>
      <c r="BM1303" s="182"/>
      <c r="BN1303" s="182"/>
      <c r="BO1303" s="182"/>
      <c r="BP1303" s="182"/>
      <c r="BQ1303" s="182"/>
      <c r="BR1303" s="182"/>
      <c r="BS1303" s="182"/>
      <c r="BT1303" s="182"/>
      <c r="BU1303" s="182"/>
      <c r="BV1303" s="182"/>
      <c r="BW1303" s="182"/>
      <c r="BX1303" s="182"/>
      <c r="BY1303" s="182"/>
      <c r="BZ1303" s="182"/>
      <c r="CA1303" s="182"/>
      <c r="CB1303" s="185">
        <v>800</v>
      </c>
      <c r="CC1303" s="185">
        <v>0</v>
      </c>
      <c r="CD1303" s="185">
        <v>2651</v>
      </c>
      <c r="CE1303" s="185"/>
    </row>
    <row r="1304" spans="2:83" x14ac:dyDescent="0.3">
      <c r="B1304" s="182">
        <v>4982</v>
      </c>
      <c r="C1304" s="182">
        <v>2652</v>
      </c>
      <c r="D1304" s="182" t="s">
        <v>78</v>
      </c>
      <c r="E1304" s="181" t="s">
        <v>4459</v>
      </c>
      <c r="F1304" s="182"/>
      <c r="G1304" s="182">
        <v>586.26</v>
      </c>
      <c r="H1304" s="182"/>
      <c r="I1304" s="182"/>
      <c r="J1304" s="182"/>
      <c r="K1304" s="182"/>
      <c r="L1304" s="182"/>
      <c r="M1304" s="182"/>
      <c r="N1304" s="182"/>
      <c r="O1304" s="182"/>
      <c r="P1304" s="182"/>
      <c r="Q1304" s="182"/>
      <c r="R1304" s="182"/>
      <c r="S1304" s="182"/>
      <c r="T1304" s="182"/>
      <c r="U1304" s="182"/>
      <c r="V1304" s="182"/>
      <c r="W1304" s="182"/>
      <c r="X1304" s="182"/>
      <c r="Y1304" s="182"/>
      <c r="Z1304" s="182"/>
      <c r="AA1304" s="182"/>
      <c r="AB1304" s="182"/>
      <c r="AC1304" s="182"/>
      <c r="AD1304" s="182"/>
      <c r="AE1304" s="182"/>
      <c r="AF1304" s="182"/>
      <c r="AG1304" s="182"/>
      <c r="AH1304" s="182"/>
      <c r="AI1304" s="182"/>
      <c r="AJ1304" s="182"/>
      <c r="AK1304" s="182"/>
      <c r="AL1304" s="182"/>
      <c r="AM1304" s="182"/>
      <c r="AN1304" s="182"/>
      <c r="AO1304" s="182"/>
      <c r="AP1304" s="182"/>
      <c r="AQ1304" s="185">
        <v>586.26</v>
      </c>
      <c r="AR1304" s="182">
        <v>392.4</v>
      </c>
      <c r="AS1304" s="182">
        <v>52.6</v>
      </c>
      <c r="AT1304" s="182">
        <v>141.26</v>
      </c>
      <c r="AU1304" s="182"/>
      <c r="AV1304" s="182"/>
      <c r="AW1304" s="182"/>
      <c r="AX1304" s="182"/>
      <c r="AY1304" s="182"/>
      <c r="AZ1304" s="182"/>
      <c r="BA1304" s="182"/>
      <c r="BB1304" s="182"/>
      <c r="BC1304" s="182"/>
      <c r="BD1304" s="182"/>
      <c r="BE1304" s="182"/>
      <c r="BF1304" s="182"/>
      <c r="BG1304" s="182"/>
      <c r="BH1304" s="182"/>
      <c r="BI1304" s="182"/>
      <c r="BJ1304" s="182"/>
      <c r="BK1304" s="182"/>
      <c r="BL1304" s="182"/>
      <c r="BM1304" s="182"/>
      <c r="BN1304" s="182"/>
      <c r="BO1304" s="182"/>
      <c r="BP1304" s="182"/>
      <c r="BQ1304" s="182"/>
      <c r="BR1304" s="182"/>
      <c r="BS1304" s="182"/>
      <c r="BT1304" s="182"/>
      <c r="BU1304" s="182"/>
      <c r="BV1304" s="182"/>
      <c r="BW1304" s="182"/>
      <c r="BX1304" s="182"/>
      <c r="BY1304" s="182"/>
      <c r="BZ1304" s="182"/>
      <c r="CA1304" s="182"/>
      <c r="CB1304" s="185">
        <v>586.26</v>
      </c>
      <c r="CC1304" s="185">
        <v>0</v>
      </c>
      <c r="CD1304" s="185">
        <v>2652</v>
      </c>
      <c r="CE1304" s="185"/>
    </row>
    <row r="1305" spans="2:83" x14ac:dyDescent="0.3">
      <c r="B1305" s="182">
        <v>4451</v>
      </c>
      <c r="C1305" s="182">
        <v>2653</v>
      </c>
      <c r="D1305" s="182" t="s">
        <v>78</v>
      </c>
      <c r="E1305" s="181" t="s">
        <v>1909</v>
      </c>
      <c r="F1305" s="182"/>
      <c r="G1305" s="182">
        <v>13339.24</v>
      </c>
      <c r="H1305" s="182"/>
      <c r="I1305" s="182"/>
      <c r="J1305" s="182"/>
      <c r="K1305" s="182"/>
      <c r="L1305" s="182"/>
      <c r="M1305" s="182"/>
      <c r="N1305" s="182"/>
      <c r="O1305" s="182"/>
      <c r="P1305" s="182"/>
      <c r="Q1305" s="182"/>
      <c r="R1305" s="182"/>
      <c r="S1305" s="182"/>
      <c r="T1305" s="182"/>
      <c r="U1305" s="182"/>
      <c r="V1305" s="182"/>
      <c r="W1305" s="182"/>
      <c r="X1305" s="182"/>
      <c r="Y1305" s="182"/>
      <c r="Z1305" s="182"/>
      <c r="AA1305" s="182"/>
      <c r="AB1305" s="182"/>
      <c r="AC1305" s="182"/>
      <c r="AD1305" s="182"/>
      <c r="AE1305" s="182"/>
      <c r="AF1305" s="182"/>
      <c r="AG1305" s="182"/>
      <c r="AH1305" s="182"/>
      <c r="AI1305" s="182"/>
      <c r="AJ1305" s="182"/>
      <c r="AK1305" s="182"/>
      <c r="AL1305" s="182"/>
      <c r="AM1305" s="182"/>
      <c r="AN1305" s="182"/>
      <c r="AO1305" s="182"/>
      <c r="AP1305" s="182"/>
      <c r="AQ1305" s="185">
        <v>13339.24</v>
      </c>
      <c r="AR1305" s="182">
        <v>8727.39</v>
      </c>
      <c r="AS1305" s="182">
        <v>1190.3499999999999</v>
      </c>
      <c r="AT1305" s="182">
        <v>3421.5</v>
      </c>
      <c r="AU1305" s="182"/>
      <c r="AV1305" s="182"/>
      <c r="AW1305" s="182"/>
      <c r="AX1305" s="182"/>
      <c r="AY1305" s="182"/>
      <c r="AZ1305" s="182"/>
      <c r="BA1305" s="182"/>
      <c r="BB1305" s="182"/>
      <c r="BC1305" s="182"/>
      <c r="BD1305" s="182"/>
      <c r="BE1305" s="182"/>
      <c r="BF1305" s="182"/>
      <c r="BG1305" s="182"/>
      <c r="BH1305" s="182"/>
      <c r="BI1305" s="182"/>
      <c r="BJ1305" s="182"/>
      <c r="BK1305" s="182"/>
      <c r="BL1305" s="182"/>
      <c r="BM1305" s="182"/>
      <c r="BN1305" s="182"/>
      <c r="BO1305" s="182"/>
      <c r="BP1305" s="182"/>
      <c r="BQ1305" s="182"/>
      <c r="BR1305" s="182"/>
      <c r="BS1305" s="182"/>
      <c r="BT1305" s="182"/>
      <c r="BU1305" s="182"/>
      <c r="BV1305" s="182"/>
      <c r="BW1305" s="182"/>
      <c r="BX1305" s="182"/>
      <c r="BY1305" s="182"/>
      <c r="BZ1305" s="182"/>
      <c r="CA1305" s="182"/>
      <c r="CB1305" s="185">
        <v>13339.24</v>
      </c>
      <c r="CC1305" s="185">
        <v>0</v>
      </c>
      <c r="CD1305" s="185">
        <v>2653</v>
      </c>
      <c r="CE1305" s="185"/>
    </row>
    <row r="1306" spans="2:83" x14ac:dyDescent="0.3">
      <c r="B1306" s="182">
        <v>4457</v>
      </c>
      <c r="C1306" s="182">
        <v>2654</v>
      </c>
      <c r="D1306" s="182" t="s">
        <v>78</v>
      </c>
      <c r="E1306" s="181" t="s">
        <v>1909</v>
      </c>
      <c r="F1306" s="182"/>
      <c r="G1306" s="182">
        <v>1993.24</v>
      </c>
      <c r="H1306" s="182"/>
      <c r="I1306" s="182"/>
      <c r="J1306" s="182"/>
      <c r="K1306" s="182"/>
      <c r="L1306" s="182"/>
      <c r="M1306" s="182"/>
      <c r="N1306" s="182"/>
      <c r="O1306" s="182"/>
      <c r="P1306" s="182"/>
      <c r="Q1306" s="182"/>
      <c r="R1306" s="182"/>
      <c r="S1306" s="182"/>
      <c r="T1306" s="182"/>
      <c r="U1306" s="182"/>
      <c r="V1306" s="182"/>
      <c r="W1306" s="182"/>
      <c r="X1306" s="182"/>
      <c r="Y1306" s="182"/>
      <c r="Z1306" s="182"/>
      <c r="AA1306" s="182"/>
      <c r="AB1306" s="182"/>
      <c r="AC1306" s="182"/>
      <c r="AD1306" s="182"/>
      <c r="AE1306" s="182"/>
      <c r="AF1306" s="182"/>
      <c r="AG1306" s="182"/>
      <c r="AH1306" s="182"/>
      <c r="AI1306" s="182"/>
      <c r="AJ1306" s="182"/>
      <c r="AK1306" s="182"/>
      <c r="AL1306" s="182"/>
      <c r="AM1306" s="182"/>
      <c r="AN1306" s="182"/>
      <c r="AO1306" s="182"/>
      <c r="AP1306" s="182"/>
      <c r="AQ1306" s="185">
        <v>1993.24</v>
      </c>
      <c r="AR1306" s="182">
        <v>1333.1</v>
      </c>
      <c r="AS1306" s="182">
        <v>179.9</v>
      </c>
      <c r="AT1306" s="182">
        <v>480.24</v>
      </c>
      <c r="AU1306" s="182"/>
      <c r="AV1306" s="182"/>
      <c r="AW1306" s="182"/>
      <c r="AX1306" s="182"/>
      <c r="AY1306" s="182"/>
      <c r="AZ1306" s="182"/>
      <c r="BA1306" s="182"/>
      <c r="BB1306" s="182"/>
      <c r="BC1306" s="182"/>
      <c r="BD1306" s="182"/>
      <c r="BE1306" s="182"/>
      <c r="BF1306" s="182"/>
      <c r="BG1306" s="182"/>
      <c r="BH1306" s="182"/>
      <c r="BI1306" s="182"/>
      <c r="BJ1306" s="182"/>
      <c r="BK1306" s="182"/>
      <c r="BL1306" s="182"/>
      <c r="BM1306" s="182"/>
      <c r="BN1306" s="182"/>
      <c r="BO1306" s="182"/>
      <c r="BP1306" s="182"/>
      <c r="BQ1306" s="182"/>
      <c r="BR1306" s="182"/>
      <c r="BS1306" s="182"/>
      <c r="BT1306" s="182"/>
      <c r="BU1306" s="182"/>
      <c r="BV1306" s="182"/>
      <c r="BW1306" s="182"/>
      <c r="BX1306" s="182"/>
      <c r="BY1306" s="182"/>
      <c r="BZ1306" s="182"/>
      <c r="CA1306" s="182"/>
      <c r="CB1306" s="185">
        <v>1993.24</v>
      </c>
      <c r="CC1306" s="185">
        <v>0</v>
      </c>
      <c r="CD1306" s="185">
        <v>2654</v>
      </c>
      <c r="CE1306" s="185"/>
    </row>
    <row r="1307" spans="2:83" x14ac:dyDescent="0.3">
      <c r="B1307" s="182">
        <v>4464</v>
      </c>
      <c r="C1307" s="182">
        <v>2655</v>
      </c>
      <c r="D1307" s="182" t="s">
        <v>78</v>
      </c>
      <c r="E1307" s="181" t="s">
        <v>1909</v>
      </c>
      <c r="F1307" s="182"/>
      <c r="G1307" s="182">
        <v>3793.04</v>
      </c>
      <c r="H1307" s="182"/>
      <c r="I1307" s="182"/>
      <c r="J1307" s="182"/>
      <c r="K1307" s="182"/>
      <c r="L1307" s="182"/>
      <c r="M1307" s="182"/>
      <c r="N1307" s="182"/>
      <c r="O1307" s="182"/>
      <c r="P1307" s="182"/>
      <c r="Q1307" s="182"/>
      <c r="R1307" s="182"/>
      <c r="S1307" s="182"/>
      <c r="T1307" s="182"/>
      <c r="U1307" s="182"/>
      <c r="V1307" s="182"/>
      <c r="W1307" s="182"/>
      <c r="X1307" s="182"/>
      <c r="Y1307" s="182"/>
      <c r="Z1307" s="182"/>
      <c r="AA1307" s="182"/>
      <c r="AB1307" s="182"/>
      <c r="AC1307" s="182"/>
      <c r="AD1307" s="182"/>
      <c r="AE1307" s="182"/>
      <c r="AF1307" s="182"/>
      <c r="AG1307" s="182"/>
      <c r="AH1307" s="182"/>
      <c r="AI1307" s="182"/>
      <c r="AJ1307" s="182"/>
      <c r="AK1307" s="182"/>
      <c r="AL1307" s="182"/>
      <c r="AM1307" s="182"/>
      <c r="AN1307" s="182"/>
      <c r="AO1307" s="182"/>
      <c r="AP1307" s="182"/>
      <c r="AQ1307" s="185">
        <v>3793.04</v>
      </c>
      <c r="AR1307" s="182">
        <v>2538</v>
      </c>
      <c r="AS1307" s="182">
        <v>341.15</v>
      </c>
      <c r="AT1307" s="182">
        <v>913.89</v>
      </c>
      <c r="AU1307" s="182"/>
      <c r="AV1307" s="182"/>
      <c r="AW1307" s="182"/>
      <c r="AX1307" s="182"/>
      <c r="AY1307" s="182"/>
      <c r="AZ1307" s="182"/>
      <c r="BA1307" s="182"/>
      <c r="BB1307" s="182"/>
      <c r="BC1307" s="182"/>
      <c r="BD1307" s="182"/>
      <c r="BE1307" s="182"/>
      <c r="BF1307" s="182"/>
      <c r="BG1307" s="182"/>
      <c r="BH1307" s="182"/>
      <c r="BI1307" s="182"/>
      <c r="BJ1307" s="182"/>
      <c r="BK1307" s="182"/>
      <c r="BL1307" s="182"/>
      <c r="BM1307" s="182"/>
      <c r="BN1307" s="182"/>
      <c r="BO1307" s="182"/>
      <c r="BP1307" s="182"/>
      <c r="BQ1307" s="182"/>
      <c r="BR1307" s="182"/>
      <c r="BS1307" s="182"/>
      <c r="BT1307" s="182"/>
      <c r="BU1307" s="182"/>
      <c r="BV1307" s="182"/>
      <c r="BW1307" s="182"/>
      <c r="BX1307" s="182"/>
      <c r="BY1307" s="182"/>
      <c r="BZ1307" s="182"/>
      <c r="CA1307" s="182"/>
      <c r="CB1307" s="185">
        <v>3793.04</v>
      </c>
      <c r="CC1307" s="185">
        <v>0</v>
      </c>
      <c r="CD1307" s="185">
        <v>2655</v>
      </c>
      <c r="CE1307" s="185"/>
    </row>
    <row r="1308" spans="2:83" x14ac:dyDescent="0.3">
      <c r="B1308" s="182">
        <v>4458</v>
      </c>
      <c r="C1308" s="182">
        <v>2656</v>
      </c>
      <c r="D1308" s="182" t="s">
        <v>78</v>
      </c>
      <c r="E1308" s="181" t="s">
        <v>1909</v>
      </c>
      <c r="F1308" s="182"/>
      <c r="G1308" s="182">
        <v>1641.5</v>
      </c>
      <c r="H1308" s="182"/>
      <c r="I1308" s="182"/>
      <c r="J1308" s="182"/>
      <c r="K1308" s="182"/>
      <c r="L1308" s="182"/>
      <c r="M1308" s="182"/>
      <c r="N1308" s="182"/>
      <c r="O1308" s="182"/>
      <c r="P1308" s="182"/>
      <c r="Q1308" s="182"/>
      <c r="R1308" s="182"/>
      <c r="S1308" s="182"/>
      <c r="T1308" s="182"/>
      <c r="U1308" s="182"/>
      <c r="V1308" s="182"/>
      <c r="W1308" s="182"/>
      <c r="X1308" s="182"/>
      <c r="Y1308" s="182"/>
      <c r="Z1308" s="182"/>
      <c r="AA1308" s="182"/>
      <c r="AB1308" s="182"/>
      <c r="AC1308" s="182"/>
      <c r="AD1308" s="182"/>
      <c r="AE1308" s="182"/>
      <c r="AF1308" s="182"/>
      <c r="AG1308" s="182"/>
      <c r="AH1308" s="182"/>
      <c r="AI1308" s="182"/>
      <c r="AJ1308" s="182"/>
      <c r="AK1308" s="182"/>
      <c r="AL1308" s="182"/>
      <c r="AM1308" s="182"/>
      <c r="AN1308" s="182"/>
      <c r="AO1308" s="182"/>
      <c r="AP1308" s="182"/>
      <c r="AQ1308" s="185">
        <v>1641.5</v>
      </c>
      <c r="AR1308" s="182">
        <v>1098.45</v>
      </c>
      <c r="AS1308" s="182">
        <v>147.55000000000001</v>
      </c>
      <c r="AT1308" s="182">
        <v>395.5</v>
      </c>
      <c r="AU1308" s="182"/>
      <c r="AV1308" s="182"/>
      <c r="AW1308" s="182"/>
      <c r="AX1308" s="182"/>
      <c r="AY1308" s="182"/>
      <c r="AZ1308" s="182"/>
      <c r="BA1308" s="182"/>
      <c r="BB1308" s="182"/>
      <c r="BC1308" s="182"/>
      <c r="BD1308" s="182"/>
      <c r="BE1308" s="182"/>
      <c r="BF1308" s="182"/>
      <c r="BG1308" s="182"/>
      <c r="BH1308" s="182"/>
      <c r="BI1308" s="182"/>
      <c r="BJ1308" s="182"/>
      <c r="BK1308" s="182"/>
      <c r="BL1308" s="182"/>
      <c r="BM1308" s="182"/>
      <c r="BN1308" s="182"/>
      <c r="BO1308" s="182"/>
      <c r="BP1308" s="182"/>
      <c r="BQ1308" s="182"/>
      <c r="BR1308" s="182"/>
      <c r="BS1308" s="182"/>
      <c r="BT1308" s="182"/>
      <c r="BU1308" s="182"/>
      <c r="BV1308" s="182"/>
      <c r="BW1308" s="182"/>
      <c r="BX1308" s="182"/>
      <c r="BY1308" s="182"/>
      <c r="BZ1308" s="182"/>
      <c r="CA1308" s="182"/>
      <c r="CB1308" s="185">
        <v>1641.5</v>
      </c>
      <c r="CC1308" s="185">
        <v>0</v>
      </c>
      <c r="CD1308" s="185">
        <v>2656</v>
      </c>
      <c r="CE1308" s="185"/>
    </row>
    <row r="1309" spans="2:83" x14ac:dyDescent="0.3">
      <c r="B1309" s="182">
        <v>4459</v>
      </c>
      <c r="C1309" s="182">
        <v>2657</v>
      </c>
      <c r="D1309" s="182" t="s">
        <v>78</v>
      </c>
      <c r="E1309" s="181" t="s">
        <v>1909</v>
      </c>
      <c r="F1309" s="182"/>
      <c r="G1309" s="182">
        <v>703.5</v>
      </c>
      <c r="H1309" s="182"/>
      <c r="I1309" s="182"/>
      <c r="J1309" s="182"/>
      <c r="K1309" s="182"/>
      <c r="L1309" s="182"/>
      <c r="M1309" s="182"/>
      <c r="N1309" s="182"/>
      <c r="O1309" s="182"/>
      <c r="P1309" s="182"/>
      <c r="Q1309" s="182"/>
      <c r="R1309" s="182"/>
      <c r="S1309" s="182"/>
      <c r="T1309" s="182"/>
      <c r="U1309" s="182"/>
      <c r="V1309" s="182"/>
      <c r="W1309" s="182"/>
      <c r="X1309" s="182"/>
      <c r="Y1309" s="182"/>
      <c r="Z1309" s="182"/>
      <c r="AA1309" s="182"/>
      <c r="AB1309" s="182"/>
      <c r="AC1309" s="182"/>
      <c r="AD1309" s="182"/>
      <c r="AE1309" s="182"/>
      <c r="AF1309" s="182"/>
      <c r="AG1309" s="182"/>
      <c r="AH1309" s="182"/>
      <c r="AI1309" s="182"/>
      <c r="AJ1309" s="182"/>
      <c r="AK1309" s="182"/>
      <c r="AL1309" s="182"/>
      <c r="AM1309" s="182"/>
      <c r="AN1309" s="182"/>
      <c r="AO1309" s="182"/>
      <c r="AP1309" s="182"/>
      <c r="AQ1309" s="185">
        <v>703.5</v>
      </c>
      <c r="AR1309" s="182">
        <v>470.6</v>
      </c>
      <c r="AS1309" s="182">
        <v>63.4</v>
      </c>
      <c r="AT1309" s="182">
        <v>169.5</v>
      </c>
      <c r="AU1309" s="182"/>
      <c r="AV1309" s="182"/>
      <c r="AW1309" s="182"/>
      <c r="AX1309" s="182"/>
      <c r="AY1309" s="182"/>
      <c r="AZ1309" s="182"/>
      <c r="BA1309" s="182"/>
      <c r="BB1309" s="182"/>
      <c r="BC1309" s="182"/>
      <c r="BD1309" s="182"/>
      <c r="BE1309" s="182"/>
      <c r="BF1309" s="182"/>
      <c r="BG1309" s="182"/>
      <c r="BH1309" s="182"/>
      <c r="BI1309" s="182"/>
      <c r="BJ1309" s="182"/>
      <c r="BK1309" s="182"/>
      <c r="BL1309" s="182"/>
      <c r="BM1309" s="182"/>
      <c r="BN1309" s="182"/>
      <c r="BO1309" s="182"/>
      <c r="BP1309" s="182"/>
      <c r="BQ1309" s="182"/>
      <c r="BR1309" s="182"/>
      <c r="BS1309" s="182"/>
      <c r="BT1309" s="182"/>
      <c r="BU1309" s="182"/>
      <c r="BV1309" s="182"/>
      <c r="BW1309" s="182"/>
      <c r="BX1309" s="182"/>
      <c r="BY1309" s="182"/>
      <c r="BZ1309" s="182"/>
      <c r="CA1309" s="182"/>
      <c r="CB1309" s="185">
        <v>703.5</v>
      </c>
      <c r="CC1309" s="185">
        <v>0</v>
      </c>
      <c r="CD1309" s="185">
        <v>2657</v>
      </c>
      <c r="CE1309" s="185"/>
    </row>
    <row r="1310" spans="2:83" x14ac:dyDescent="0.3">
      <c r="B1310" s="182">
        <v>4460</v>
      </c>
      <c r="C1310" s="182">
        <v>2658</v>
      </c>
      <c r="D1310" s="182" t="s">
        <v>78</v>
      </c>
      <c r="E1310" s="181" t="s">
        <v>1909</v>
      </c>
      <c r="F1310" s="182"/>
      <c r="G1310" s="182">
        <v>820.75</v>
      </c>
      <c r="H1310" s="182"/>
      <c r="I1310" s="182"/>
      <c r="J1310" s="182"/>
      <c r="K1310" s="182"/>
      <c r="L1310" s="182"/>
      <c r="M1310" s="182"/>
      <c r="N1310" s="182"/>
      <c r="O1310" s="182"/>
      <c r="P1310" s="182"/>
      <c r="Q1310" s="182"/>
      <c r="R1310" s="182"/>
      <c r="S1310" s="182"/>
      <c r="T1310" s="182"/>
      <c r="U1310" s="182"/>
      <c r="V1310" s="182"/>
      <c r="W1310" s="182"/>
      <c r="X1310" s="182"/>
      <c r="Y1310" s="182"/>
      <c r="Z1310" s="182"/>
      <c r="AA1310" s="182"/>
      <c r="AB1310" s="182"/>
      <c r="AC1310" s="182"/>
      <c r="AD1310" s="182"/>
      <c r="AE1310" s="182"/>
      <c r="AF1310" s="182"/>
      <c r="AG1310" s="182"/>
      <c r="AH1310" s="182"/>
      <c r="AI1310" s="182"/>
      <c r="AJ1310" s="182"/>
      <c r="AK1310" s="182"/>
      <c r="AL1310" s="182"/>
      <c r="AM1310" s="182"/>
      <c r="AN1310" s="182"/>
      <c r="AO1310" s="182"/>
      <c r="AP1310" s="182"/>
      <c r="AQ1310" s="185">
        <v>820.75</v>
      </c>
      <c r="AR1310" s="182">
        <v>548.95000000000005</v>
      </c>
      <c r="AS1310" s="182">
        <v>74.05</v>
      </c>
      <c r="AT1310" s="182">
        <v>197.75</v>
      </c>
      <c r="AU1310" s="182"/>
      <c r="AV1310" s="182"/>
      <c r="AW1310" s="182"/>
      <c r="AX1310" s="182"/>
      <c r="AY1310" s="182"/>
      <c r="AZ1310" s="182"/>
      <c r="BA1310" s="182"/>
      <c r="BB1310" s="182"/>
      <c r="BC1310" s="182"/>
      <c r="BD1310" s="182"/>
      <c r="BE1310" s="182"/>
      <c r="BF1310" s="182"/>
      <c r="BG1310" s="182"/>
      <c r="BH1310" s="182"/>
      <c r="BI1310" s="182"/>
      <c r="BJ1310" s="182"/>
      <c r="BK1310" s="182"/>
      <c r="BL1310" s="182"/>
      <c r="BM1310" s="182"/>
      <c r="BN1310" s="182"/>
      <c r="BO1310" s="182"/>
      <c r="BP1310" s="182"/>
      <c r="BQ1310" s="182"/>
      <c r="BR1310" s="182"/>
      <c r="BS1310" s="182"/>
      <c r="BT1310" s="182"/>
      <c r="BU1310" s="182"/>
      <c r="BV1310" s="182"/>
      <c r="BW1310" s="182"/>
      <c r="BX1310" s="182"/>
      <c r="BY1310" s="182"/>
      <c r="BZ1310" s="182"/>
      <c r="CA1310" s="182"/>
      <c r="CB1310" s="185">
        <v>820.75</v>
      </c>
      <c r="CC1310" s="185">
        <v>0</v>
      </c>
      <c r="CD1310" s="185">
        <v>2658</v>
      </c>
      <c r="CE1310" s="185"/>
    </row>
    <row r="1311" spans="2:83" x14ac:dyDescent="0.3">
      <c r="B1311" s="182">
        <v>4461</v>
      </c>
      <c r="C1311" s="182">
        <v>2659</v>
      </c>
      <c r="D1311" s="182" t="s">
        <v>78</v>
      </c>
      <c r="E1311" s="181" t="s">
        <v>1909</v>
      </c>
      <c r="F1311" s="182"/>
      <c r="G1311" s="182">
        <v>469</v>
      </c>
      <c r="H1311" s="182"/>
      <c r="I1311" s="182"/>
      <c r="J1311" s="182"/>
      <c r="K1311" s="182"/>
      <c r="L1311" s="182"/>
      <c r="M1311" s="182"/>
      <c r="N1311" s="182"/>
      <c r="O1311" s="182"/>
      <c r="P1311" s="182"/>
      <c r="Q1311" s="182"/>
      <c r="R1311" s="182"/>
      <c r="S1311" s="182"/>
      <c r="T1311" s="182"/>
      <c r="U1311" s="182"/>
      <c r="V1311" s="182"/>
      <c r="W1311" s="182"/>
      <c r="X1311" s="182"/>
      <c r="Y1311" s="182"/>
      <c r="Z1311" s="182"/>
      <c r="AA1311" s="182"/>
      <c r="AB1311" s="182"/>
      <c r="AC1311" s="182"/>
      <c r="AD1311" s="182"/>
      <c r="AE1311" s="182"/>
      <c r="AF1311" s="182"/>
      <c r="AG1311" s="182"/>
      <c r="AH1311" s="182"/>
      <c r="AI1311" s="182"/>
      <c r="AJ1311" s="182"/>
      <c r="AK1311" s="182"/>
      <c r="AL1311" s="182"/>
      <c r="AM1311" s="182"/>
      <c r="AN1311" s="182"/>
      <c r="AO1311" s="182"/>
      <c r="AP1311" s="182"/>
      <c r="AQ1311" s="185">
        <v>469</v>
      </c>
      <c r="AR1311" s="182">
        <v>314.39999999999998</v>
      </c>
      <c r="AS1311" s="182">
        <v>41.6</v>
      </c>
      <c r="AT1311" s="182">
        <v>113</v>
      </c>
      <c r="AU1311" s="182"/>
      <c r="AV1311" s="182"/>
      <c r="AW1311" s="182"/>
      <c r="AX1311" s="182"/>
      <c r="AY1311" s="182"/>
      <c r="AZ1311" s="182"/>
      <c r="BA1311" s="182"/>
      <c r="BB1311" s="182"/>
      <c r="BC1311" s="182"/>
      <c r="BD1311" s="182"/>
      <c r="BE1311" s="182"/>
      <c r="BF1311" s="182"/>
      <c r="BG1311" s="182"/>
      <c r="BH1311" s="182"/>
      <c r="BI1311" s="182"/>
      <c r="BJ1311" s="182"/>
      <c r="BK1311" s="182"/>
      <c r="BL1311" s="182"/>
      <c r="BM1311" s="182"/>
      <c r="BN1311" s="182"/>
      <c r="BO1311" s="182"/>
      <c r="BP1311" s="182"/>
      <c r="BQ1311" s="182"/>
      <c r="BR1311" s="182"/>
      <c r="BS1311" s="182"/>
      <c r="BT1311" s="182"/>
      <c r="BU1311" s="182"/>
      <c r="BV1311" s="182"/>
      <c r="BW1311" s="182"/>
      <c r="BX1311" s="182"/>
      <c r="BY1311" s="182"/>
      <c r="BZ1311" s="182"/>
      <c r="CA1311" s="182"/>
      <c r="CB1311" s="185">
        <v>469</v>
      </c>
      <c r="CC1311" s="185">
        <v>0</v>
      </c>
      <c r="CD1311" s="185">
        <v>2659</v>
      </c>
      <c r="CE1311" s="185"/>
    </row>
    <row r="1312" spans="2:83" x14ac:dyDescent="0.3">
      <c r="B1312" s="182">
        <v>4463</v>
      </c>
      <c r="C1312" s="182">
        <v>2660</v>
      </c>
      <c r="D1312" s="182" t="s">
        <v>78</v>
      </c>
      <c r="E1312" s="181" t="s">
        <v>1909</v>
      </c>
      <c r="F1312" s="182"/>
      <c r="G1312" s="182">
        <v>2327.92</v>
      </c>
      <c r="H1312" s="182"/>
      <c r="I1312" s="182"/>
      <c r="J1312" s="182"/>
      <c r="K1312" s="182"/>
      <c r="L1312" s="182"/>
      <c r="M1312" s="182"/>
      <c r="N1312" s="182"/>
      <c r="O1312" s="182"/>
      <c r="P1312" s="182"/>
      <c r="Q1312" s="182"/>
      <c r="R1312" s="182"/>
      <c r="S1312" s="182"/>
      <c r="T1312" s="182"/>
      <c r="U1312" s="182"/>
      <c r="V1312" s="182"/>
      <c r="W1312" s="182"/>
      <c r="X1312" s="182"/>
      <c r="Y1312" s="182"/>
      <c r="Z1312" s="182"/>
      <c r="AA1312" s="182"/>
      <c r="AB1312" s="182"/>
      <c r="AC1312" s="182"/>
      <c r="AD1312" s="182"/>
      <c r="AE1312" s="182"/>
      <c r="AF1312" s="182"/>
      <c r="AG1312" s="182"/>
      <c r="AH1312" s="182"/>
      <c r="AI1312" s="182"/>
      <c r="AJ1312" s="182"/>
      <c r="AK1312" s="182"/>
      <c r="AL1312" s="182"/>
      <c r="AM1312" s="182"/>
      <c r="AN1312" s="182"/>
      <c r="AO1312" s="182"/>
      <c r="AP1312" s="182"/>
      <c r="AQ1312" s="185">
        <v>2327.92</v>
      </c>
      <c r="AR1312" s="182">
        <v>1731.02</v>
      </c>
      <c r="AS1312" s="182">
        <v>223.65</v>
      </c>
      <c r="AT1312" s="182">
        <v>373.25</v>
      </c>
      <c r="AU1312" s="182"/>
      <c r="AV1312" s="182"/>
      <c r="AW1312" s="182"/>
      <c r="AX1312" s="182"/>
      <c r="AY1312" s="182"/>
      <c r="AZ1312" s="182"/>
      <c r="BA1312" s="182"/>
      <c r="BB1312" s="182"/>
      <c r="BC1312" s="182"/>
      <c r="BD1312" s="182"/>
      <c r="BE1312" s="182"/>
      <c r="BF1312" s="182"/>
      <c r="BG1312" s="182"/>
      <c r="BH1312" s="182"/>
      <c r="BI1312" s="182"/>
      <c r="BJ1312" s="182"/>
      <c r="BK1312" s="182"/>
      <c r="BL1312" s="182"/>
      <c r="BM1312" s="182"/>
      <c r="BN1312" s="182"/>
      <c r="BO1312" s="182"/>
      <c r="BP1312" s="182"/>
      <c r="BQ1312" s="182"/>
      <c r="BR1312" s="182"/>
      <c r="BS1312" s="182"/>
      <c r="BT1312" s="182"/>
      <c r="BU1312" s="182"/>
      <c r="BV1312" s="182"/>
      <c r="BW1312" s="182"/>
      <c r="BX1312" s="182"/>
      <c r="BY1312" s="182"/>
      <c r="BZ1312" s="182"/>
      <c r="CA1312" s="182"/>
      <c r="CB1312" s="185">
        <v>2327.92</v>
      </c>
      <c r="CC1312" s="185">
        <v>0</v>
      </c>
      <c r="CD1312" s="185">
        <v>2660</v>
      </c>
      <c r="CE1312" s="185"/>
    </row>
    <row r="1313" spans="2:83" x14ac:dyDescent="0.3">
      <c r="B1313" s="182">
        <v>4462</v>
      </c>
      <c r="C1313" s="182">
        <v>2661</v>
      </c>
      <c r="D1313" s="182" t="s">
        <v>78</v>
      </c>
      <c r="E1313" s="181" t="s">
        <v>1909</v>
      </c>
      <c r="F1313" s="182"/>
      <c r="G1313" s="182">
        <v>250</v>
      </c>
      <c r="H1313" s="182"/>
      <c r="I1313" s="182"/>
      <c r="J1313" s="182"/>
      <c r="K1313" s="182"/>
      <c r="L1313" s="182"/>
      <c r="M1313" s="182"/>
      <c r="N1313" s="182"/>
      <c r="O1313" s="182"/>
      <c r="P1313" s="182"/>
      <c r="Q1313" s="182"/>
      <c r="R1313" s="182"/>
      <c r="S1313" s="182"/>
      <c r="T1313" s="182"/>
      <c r="U1313" s="182"/>
      <c r="V1313" s="182"/>
      <c r="W1313" s="182"/>
      <c r="X1313" s="182"/>
      <c r="Y1313" s="182"/>
      <c r="Z1313" s="182"/>
      <c r="AA1313" s="182"/>
      <c r="AB1313" s="182"/>
      <c r="AC1313" s="182"/>
      <c r="AD1313" s="182"/>
      <c r="AE1313" s="182"/>
      <c r="AF1313" s="182"/>
      <c r="AG1313" s="182"/>
      <c r="AH1313" s="182"/>
      <c r="AI1313" s="182"/>
      <c r="AJ1313" s="182"/>
      <c r="AK1313" s="182"/>
      <c r="AL1313" s="182"/>
      <c r="AM1313" s="182"/>
      <c r="AN1313" s="182"/>
      <c r="AO1313" s="182"/>
      <c r="AP1313" s="182"/>
      <c r="AQ1313" s="185">
        <v>250</v>
      </c>
      <c r="AR1313" s="182">
        <v>223.8</v>
      </c>
      <c r="AS1313" s="182">
        <v>26.2</v>
      </c>
      <c r="AT1313" s="182"/>
      <c r="AU1313" s="182"/>
      <c r="AV1313" s="182"/>
      <c r="AW1313" s="182"/>
      <c r="AX1313" s="182"/>
      <c r="AY1313" s="182"/>
      <c r="AZ1313" s="182"/>
      <c r="BA1313" s="182"/>
      <c r="BB1313" s="182"/>
      <c r="BC1313" s="182"/>
      <c r="BD1313" s="182"/>
      <c r="BE1313" s="182"/>
      <c r="BF1313" s="182"/>
      <c r="BG1313" s="182"/>
      <c r="BH1313" s="182"/>
      <c r="BI1313" s="182"/>
      <c r="BJ1313" s="182"/>
      <c r="BK1313" s="182"/>
      <c r="BL1313" s="182"/>
      <c r="BM1313" s="182"/>
      <c r="BN1313" s="182"/>
      <c r="BO1313" s="182"/>
      <c r="BP1313" s="182"/>
      <c r="BQ1313" s="182"/>
      <c r="BR1313" s="182"/>
      <c r="BS1313" s="182"/>
      <c r="BT1313" s="182"/>
      <c r="BU1313" s="182"/>
      <c r="BV1313" s="182"/>
      <c r="BW1313" s="182"/>
      <c r="BX1313" s="182"/>
      <c r="BY1313" s="182"/>
      <c r="BZ1313" s="182"/>
      <c r="CA1313" s="182"/>
      <c r="CB1313" s="185">
        <v>250</v>
      </c>
      <c r="CC1313" s="185">
        <v>0</v>
      </c>
      <c r="CD1313" s="185">
        <v>2661</v>
      </c>
      <c r="CE1313" s="185"/>
    </row>
    <row r="1314" spans="2:83" x14ac:dyDescent="0.3">
      <c r="B1314" s="182">
        <v>4371</v>
      </c>
      <c r="C1314" s="182">
        <v>2662</v>
      </c>
      <c r="D1314" s="182" t="s">
        <v>78</v>
      </c>
      <c r="E1314" s="181" t="s">
        <v>1909</v>
      </c>
      <c r="F1314" s="182"/>
      <c r="G1314" s="182">
        <v>3752</v>
      </c>
      <c r="H1314" s="182"/>
      <c r="I1314" s="182"/>
      <c r="J1314" s="182"/>
      <c r="K1314" s="182"/>
      <c r="L1314" s="182"/>
      <c r="M1314" s="182"/>
      <c r="N1314" s="182"/>
      <c r="O1314" s="182"/>
      <c r="P1314" s="182"/>
      <c r="Q1314" s="182"/>
      <c r="R1314" s="182"/>
      <c r="S1314" s="182"/>
      <c r="T1314" s="182"/>
      <c r="U1314" s="182"/>
      <c r="V1314" s="182"/>
      <c r="W1314" s="182"/>
      <c r="X1314" s="182"/>
      <c r="Y1314" s="182"/>
      <c r="Z1314" s="182"/>
      <c r="AA1314" s="182"/>
      <c r="AB1314" s="182"/>
      <c r="AC1314" s="182"/>
      <c r="AD1314" s="182"/>
      <c r="AE1314" s="182"/>
      <c r="AF1314" s="182"/>
      <c r="AG1314" s="182"/>
      <c r="AH1314" s="182"/>
      <c r="AI1314" s="182"/>
      <c r="AJ1314" s="182"/>
      <c r="AK1314" s="182"/>
      <c r="AL1314" s="182"/>
      <c r="AM1314" s="182"/>
      <c r="AN1314" s="182"/>
      <c r="AO1314" s="182"/>
      <c r="AP1314" s="182"/>
      <c r="AQ1314" s="185">
        <v>3752</v>
      </c>
      <c r="AR1314" s="182">
        <v>2511.4</v>
      </c>
      <c r="AS1314" s="182">
        <v>336.6</v>
      </c>
      <c r="AT1314" s="182">
        <v>904</v>
      </c>
      <c r="AU1314" s="182"/>
      <c r="AV1314" s="182"/>
      <c r="AW1314" s="182"/>
      <c r="AX1314" s="182"/>
      <c r="AY1314" s="182"/>
      <c r="AZ1314" s="182"/>
      <c r="BA1314" s="182"/>
      <c r="BB1314" s="182"/>
      <c r="BC1314" s="182"/>
      <c r="BD1314" s="182"/>
      <c r="BE1314" s="182"/>
      <c r="BF1314" s="182"/>
      <c r="BG1314" s="182"/>
      <c r="BH1314" s="182"/>
      <c r="BI1314" s="182"/>
      <c r="BJ1314" s="182"/>
      <c r="BK1314" s="182"/>
      <c r="BL1314" s="182"/>
      <c r="BM1314" s="182"/>
      <c r="BN1314" s="182"/>
      <c r="BO1314" s="182"/>
      <c r="BP1314" s="182"/>
      <c r="BQ1314" s="182"/>
      <c r="BR1314" s="182"/>
      <c r="BS1314" s="182"/>
      <c r="BT1314" s="182"/>
      <c r="BU1314" s="182"/>
      <c r="BV1314" s="182"/>
      <c r="BW1314" s="182"/>
      <c r="BX1314" s="182"/>
      <c r="BY1314" s="182"/>
      <c r="BZ1314" s="182"/>
      <c r="CA1314" s="182"/>
      <c r="CB1314" s="185">
        <v>3752</v>
      </c>
      <c r="CC1314" s="185">
        <v>0</v>
      </c>
      <c r="CD1314" s="185">
        <v>2662</v>
      </c>
      <c r="CE1314" s="185"/>
    </row>
    <row r="1315" spans="2:83" x14ac:dyDescent="0.3">
      <c r="B1315" s="182"/>
      <c r="C1315" s="182">
        <v>2663</v>
      </c>
      <c r="D1315" s="182" t="s">
        <v>332</v>
      </c>
      <c r="E1315" s="181" t="s">
        <v>4460</v>
      </c>
      <c r="F1315" s="182"/>
      <c r="G1315" s="182"/>
      <c r="H1315" s="182"/>
      <c r="I1315" s="182"/>
      <c r="J1315" s="182"/>
      <c r="K1315" s="182"/>
      <c r="L1315" s="182"/>
      <c r="M1315" s="182"/>
      <c r="N1315" s="182"/>
      <c r="O1315" s="182"/>
      <c r="P1315" s="182"/>
      <c r="Q1315" s="182"/>
      <c r="R1315" s="182"/>
      <c r="S1315" s="182"/>
      <c r="T1315" s="182"/>
      <c r="U1315" s="182"/>
      <c r="V1315" s="182"/>
      <c r="W1315" s="182"/>
      <c r="X1315" s="182"/>
      <c r="Y1315" s="182"/>
      <c r="Z1315" s="182"/>
      <c r="AA1315" s="182"/>
      <c r="AB1315" s="182"/>
      <c r="AC1315" s="182"/>
      <c r="AD1315" s="182"/>
      <c r="AE1315" s="182"/>
      <c r="AF1315" s="182"/>
      <c r="AG1315" s="182"/>
      <c r="AH1315" s="182"/>
      <c r="AI1315" s="182"/>
      <c r="AJ1315" s="182"/>
      <c r="AK1315" s="182"/>
      <c r="AL1315" s="182"/>
      <c r="AM1315" s="182"/>
      <c r="AN1315" s="182"/>
      <c r="AO1315" s="182"/>
      <c r="AP1315" s="182"/>
      <c r="AQ1315" s="185">
        <v>0</v>
      </c>
      <c r="AR1315" s="182"/>
      <c r="AS1315" s="182"/>
      <c r="AT1315" s="182"/>
      <c r="AU1315" s="182"/>
      <c r="AV1315" s="182"/>
      <c r="AW1315" s="182"/>
      <c r="AX1315" s="182"/>
      <c r="AY1315" s="182"/>
      <c r="AZ1315" s="182"/>
      <c r="BA1315" s="182"/>
      <c r="BB1315" s="182"/>
      <c r="BC1315" s="182"/>
      <c r="BD1315" s="182"/>
      <c r="BE1315" s="182"/>
      <c r="BF1315" s="182"/>
      <c r="BG1315" s="182"/>
      <c r="BH1315" s="182"/>
      <c r="BI1315" s="182"/>
      <c r="BJ1315" s="182"/>
      <c r="BK1315" s="182"/>
      <c r="BL1315" s="182"/>
      <c r="BM1315" s="182"/>
      <c r="BN1315" s="182"/>
      <c r="BO1315" s="182"/>
      <c r="BP1315" s="182"/>
      <c r="BQ1315" s="182"/>
      <c r="BR1315" s="182"/>
      <c r="BS1315" s="182"/>
      <c r="BT1315" s="182"/>
      <c r="BU1315" s="182"/>
      <c r="BV1315" s="182"/>
      <c r="BW1315" s="182"/>
      <c r="BX1315" s="182"/>
      <c r="BY1315" s="182"/>
      <c r="BZ1315" s="182"/>
      <c r="CA1315" s="182"/>
      <c r="CB1315" s="185">
        <v>0</v>
      </c>
      <c r="CC1315" s="185">
        <v>0</v>
      </c>
      <c r="CD1315" s="185">
        <v>2663</v>
      </c>
      <c r="CE1315" s="185"/>
    </row>
    <row r="1316" spans="2:83" x14ac:dyDescent="0.3">
      <c r="B1316" s="182"/>
      <c r="C1316" s="182">
        <v>2664</v>
      </c>
      <c r="D1316" s="182" t="s">
        <v>332</v>
      </c>
      <c r="E1316" s="181" t="s">
        <v>4461</v>
      </c>
      <c r="F1316" s="182"/>
      <c r="G1316" s="182"/>
      <c r="H1316" s="182"/>
      <c r="I1316" s="182"/>
      <c r="J1316" s="182"/>
      <c r="K1316" s="182"/>
      <c r="L1316" s="182"/>
      <c r="M1316" s="182"/>
      <c r="N1316" s="182"/>
      <c r="O1316" s="182"/>
      <c r="P1316" s="182"/>
      <c r="Q1316" s="182"/>
      <c r="R1316" s="182"/>
      <c r="S1316" s="182"/>
      <c r="T1316" s="182"/>
      <c r="U1316" s="182"/>
      <c r="V1316" s="182"/>
      <c r="W1316" s="182"/>
      <c r="X1316" s="182"/>
      <c r="Y1316" s="182"/>
      <c r="Z1316" s="182"/>
      <c r="AA1316" s="182"/>
      <c r="AB1316" s="182"/>
      <c r="AC1316" s="182"/>
      <c r="AD1316" s="182"/>
      <c r="AE1316" s="182"/>
      <c r="AF1316" s="182"/>
      <c r="AG1316" s="182"/>
      <c r="AH1316" s="182"/>
      <c r="AI1316" s="182"/>
      <c r="AJ1316" s="182"/>
      <c r="AK1316" s="182"/>
      <c r="AL1316" s="182"/>
      <c r="AM1316" s="182"/>
      <c r="AN1316" s="182"/>
      <c r="AO1316" s="182"/>
      <c r="AP1316" s="182"/>
      <c r="AQ1316" s="185">
        <v>0</v>
      </c>
      <c r="AR1316" s="182"/>
      <c r="AS1316" s="182"/>
      <c r="AT1316" s="182"/>
      <c r="AU1316" s="182"/>
      <c r="AV1316" s="182"/>
      <c r="AW1316" s="182"/>
      <c r="AX1316" s="182"/>
      <c r="AY1316" s="182"/>
      <c r="AZ1316" s="182"/>
      <c r="BA1316" s="182"/>
      <c r="BB1316" s="182"/>
      <c r="BC1316" s="182"/>
      <c r="BD1316" s="182"/>
      <c r="BE1316" s="182"/>
      <c r="BF1316" s="182"/>
      <c r="BG1316" s="182"/>
      <c r="BH1316" s="182"/>
      <c r="BI1316" s="182"/>
      <c r="BJ1316" s="182"/>
      <c r="BK1316" s="182"/>
      <c r="BL1316" s="182"/>
      <c r="BM1316" s="182"/>
      <c r="BN1316" s="182"/>
      <c r="BO1316" s="182"/>
      <c r="BP1316" s="182"/>
      <c r="BQ1316" s="182"/>
      <c r="BR1316" s="182"/>
      <c r="BS1316" s="182"/>
      <c r="BT1316" s="182"/>
      <c r="BU1316" s="182"/>
      <c r="BV1316" s="182"/>
      <c r="BW1316" s="182"/>
      <c r="BX1316" s="182"/>
      <c r="BY1316" s="182"/>
      <c r="BZ1316" s="182"/>
      <c r="CA1316" s="182"/>
      <c r="CB1316" s="185">
        <v>0</v>
      </c>
      <c r="CC1316" s="185">
        <v>0</v>
      </c>
      <c r="CD1316" s="185">
        <v>2664</v>
      </c>
      <c r="CE1316" s="185"/>
    </row>
    <row r="1317" spans="2:83" x14ac:dyDescent="0.3">
      <c r="B1317" s="182">
        <v>4653</v>
      </c>
      <c r="C1317" s="182">
        <v>2665</v>
      </c>
      <c r="D1317" s="182" t="s">
        <v>121</v>
      </c>
      <c r="E1317" s="181" t="s">
        <v>4402</v>
      </c>
      <c r="F1317" s="182"/>
      <c r="G1317" s="182">
        <v>2500</v>
      </c>
      <c r="H1317" s="182"/>
      <c r="I1317" s="182"/>
      <c r="J1317" s="182"/>
      <c r="K1317" s="182"/>
      <c r="L1317" s="182"/>
      <c r="M1317" s="182"/>
      <c r="N1317" s="182"/>
      <c r="O1317" s="182"/>
      <c r="P1317" s="182"/>
      <c r="Q1317" s="182"/>
      <c r="R1317" s="182"/>
      <c r="S1317" s="182"/>
      <c r="T1317" s="182"/>
      <c r="U1317" s="182"/>
      <c r="V1317" s="182"/>
      <c r="W1317" s="182"/>
      <c r="X1317" s="182"/>
      <c r="Y1317" s="182"/>
      <c r="Z1317" s="182"/>
      <c r="AA1317" s="182"/>
      <c r="AB1317" s="182"/>
      <c r="AC1317" s="182"/>
      <c r="AD1317" s="182"/>
      <c r="AE1317" s="182"/>
      <c r="AF1317" s="182"/>
      <c r="AG1317" s="182"/>
      <c r="AH1317" s="182"/>
      <c r="AI1317" s="182"/>
      <c r="AJ1317" s="182"/>
      <c r="AK1317" s="182"/>
      <c r="AL1317" s="182"/>
      <c r="AM1317" s="182"/>
      <c r="AN1317" s="182"/>
      <c r="AO1317" s="182"/>
      <c r="AP1317" s="182"/>
      <c r="AQ1317" s="185">
        <v>2500</v>
      </c>
      <c r="AR1317" s="182">
        <v>2231.6</v>
      </c>
      <c r="AS1317" s="182">
        <v>268.39999999999998</v>
      </c>
      <c r="AT1317" s="182"/>
      <c r="AU1317" s="182"/>
      <c r="AV1317" s="182"/>
      <c r="AW1317" s="182"/>
      <c r="AX1317" s="182"/>
      <c r="AY1317" s="182"/>
      <c r="AZ1317" s="182"/>
      <c r="BA1317" s="182"/>
      <c r="BB1317" s="182"/>
      <c r="BC1317" s="182"/>
      <c r="BD1317" s="182"/>
      <c r="BE1317" s="182"/>
      <c r="BF1317" s="182"/>
      <c r="BG1317" s="182"/>
      <c r="BH1317" s="182"/>
      <c r="BI1317" s="182"/>
      <c r="BJ1317" s="182"/>
      <c r="BK1317" s="182"/>
      <c r="BL1317" s="182"/>
      <c r="BM1317" s="182"/>
      <c r="BN1317" s="182"/>
      <c r="BO1317" s="182"/>
      <c r="BP1317" s="182"/>
      <c r="BQ1317" s="182"/>
      <c r="BR1317" s="182"/>
      <c r="BS1317" s="182"/>
      <c r="BT1317" s="182"/>
      <c r="BU1317" s="182"/>
      <c r="BV1317" s="182"/>
      <c r="BW1317" s="182"/>
      <c r="BX1317" s="182"/>
      <c r="BY1317" s="182"/>
      <c r="BZ1317" s="182"/>
      <c r="CA1317" s="182"/>
      <c r="CB1317" s="185">
        <v>2500</v>
      </c>
      <c r="CC1317" s="185">
        <v>0</v>
      </c>
      <c r="CD1317" s="185">
        <v>2665</v>
      </c>
      <c r="CE1317" s="185"/>
    </row>
    <row r="1318" spans="2:83" x14ac:dyDescent="0.3">
      <c r="B1318" s="182">
        <v>4648</v>
      </c>
      <c r="C1318" s="182">
        <v>2666</v>
      </c>
      <c r="D1318" s="182" t="s">
        <v>121</v>
      </c>
      <c r="E1318" s="181" t="s">
        <v>4402</v>
      </c>
      <c r="F1318" s="182"/>
      <c r="G1318" s="182">
        <v>15000</v>
      </c>
      <c r="H1318" s="182"/>
      <c r="I1318" s="182"/>
      <c r="J1318" s="182"/>
      <c r="K1318" s="182"/>
      <c r="L1318" s="182"/>
      <c r="M1318" s="182"/>
      <c r="N1318" s="182"/>
      <c r="O1318" s="182"/>
      <c r="P1318" s="182"/>
      <c r="Q1318" s="182"/>
      <c r="R1318" s="182"/>
      <c r="S1318" s="182"/>
      <c r="T1318" s="182"/>
      <c r="U1318" s="182"/>
      <c r="V1318" s="182"/>
      <c r="W1318" s="182"/>
      <c r="X1318" s="182"/>
      <c r="Y1318" s="182"/>
      <c r="Z1318" s="182"/>
      <c r="AA1318" s="182"/>
      <c r="AB1318" s="182"/>
      <c r="AC1318" s="182"/>
      <c r="AD1318" s="182"/>
      <c r="AE1318" s="182"/>
      <c r="AF1318" s="182"/>
      <c r="AG1318" s="182"/>
      <c r="AH1318" s="182"/>
      <c r="AI1318" s="182"/>
      <c r="AJ1318" s="182"/>
      <c r="AK1318" s="182"/>
      <c r="AL1318" s="182"/>
      <c r="AM1318" s="182"/>
      <c r="AN1318" s="182"/>
      <c r="AO1318" s="182"/>
      <c r="AP1318" s="182"/>
      <c r="AQ1318" s="185">
        <v>15000</v>
      </c>
      <c r="AR1318" s="182">
        <v>13389.6</v>
      </c>
      <c r="AS1318" s="182">
        <v>1610.4</v>
      </c>
      <c r="AT1318" s="182"/>
      <c r="AU1318" s="182"/>
      <c r="AV1318" s="182"/>
      <c r="AW1318" s="182"/>
      <c r="AX1318" s="182"/>
      <c r="AY1318" s="182"/>
      <c r="AZ1318" s="182"/>
      <c r="BA1318" s="182"/>
      <c r="BB1318" s="182"/>
      <c r="BC1318" s="182"/>
      <c r="BD1318" s="182"/>
      <c r="BE1318" s="182"/>
      <c r="BF1318" s="182"/>
      <c r="BG1318" s="182"/>
      <c r="BH1318" s="182"/>
      <c r="BI1318" s="182"/>
      <c r="BJ1318" s="182"/>
      <c r="BK1318" s="182"/>
      <c r="BL1318" s="182"/>
      <c r="BM1318" s="182"/>
      <c r="BN1318" s="182"/>
      <c r="BO1318" s="182"/>
      <c r="BP1318" s="182"/>
      <c r="BQ1318" s="182"/>
      <c r="BR1318" s="182"/>
      <c r="BS1318" s="182"/>
      <c r="BT1318" s="182"/>
      <c r="BU1318" s="182"/>
      <c r="BV1318" s="182"/>
      <c r="BW1318" s="182"/>
      <c r="BX1318" s="182"/>
      <c r="BY1318" s="182"/>
      <c r="BZ1318" s="182"/>
      <c r="CA1318" s="182"/>
      <c r="CB1318" s="185">
        <v>15000</v>
      </c>
      <c r="CC1318" s="185">
        <v>0</v>
      </c>
      <c r="CD1318" s="185">
        <v>2666</v>
      </c>
      <c r="CE1318" s="185"/>
    </row>
    <row r="1319" spans="2:83" x14ac:dyDescent="0.3">
      <c r="B1319" s="182">
        <v>5025</v>
      </c>
      <c r="C1319" s="182">
        <v>2667</v>
      </c>
      <c r="D1319" s="182" t="s">
        <v>130</v>
      </c>
      <c r="E1319" s="181" t="s">
        <v>4462</v>
      </c>
      <c r="F1319" s="182"/>
      <c r="G1319" s="182"/>
      <c r="H1319" s="182">
        <v>43673.4</v>
      </c>
      <c r="I1319" s="182"/>
      <c r="J1319" s="182"/>
      <c r="K1319" s="182"/>
      <c r="L1319" s="182"/>
      <c r="M1319" s="182"/>
      <c r="N1319" s="182"/>
      <c r="O1319" s="182"/>
      <c r="P1319" s="182"/>
      <c r="Q1319" s="182"/>
      <c r="R1319" s="182"/>
      <c r="S1319" s="182"/>
      <c r="T1319" s="182"/>
      <c r="U1319" s="182"/>
      <c r="V1319" s="182"/>
      <c r="W1319" s="182"/>
      <c r="X1319" s="182"/>
      <c r="Y1319" s="182"/>
      <c r="Z1319" s="182"/>
      <c r="AA1319" s="182">
        <v>43673.4</v>
      </c>
      <c r="AB1319" s="182"/>
      <c r="AC1319" s="182"/>
      <c r="AD1319" s="182"/>
      <c r="AE1319" s="182"/>
      <c r="AF1319" s="182"/>
      <c r="AG1319" s="182"/>
      <c r="AH1319" s="182"/>
      <c r="AI1319" s="182"/>
      <c r="AJ1319" s="182"/>
      <c r="AK1319" s="182"/>
      <c r="AL1319" s="182"/>
      <c r="AM1319" s="182"/>
      <c r="AN1319" s="182"/>
      <c r="AO1319" s="182"/>
      <c r="AP1319" s="182"/>
      <c r="AQ1319" s="185">
        <v>87346.8</v>
      </c>
      <c r="AR1319" s="182">
        <v>43673.4</v>
      </c>
      <c r="AS1319" s="182"/>
      <c r="AT1319" s="182"/>
      <c r="AU1319" s="182"/>
      <c r="AV1319" s="182"/>
      <c r="AW1319" s="182"/>
      <c r="AX1319" s="182"/>
      <c r="AY1319" s="182"/>
      <c r="AZ1319" s="182"/>
      <c r="BA1319" s="182"/>
      <c r="BB1319" s="182"/>
      <c r="BC1319" s="182"/>
      <c r="BD1319" s="182"/>
      <c r="BE1319" s="182"/>
      <c r="BF1319" s="182"/>
      <c r="BG1319" s="182"/>
      <c r="BH1319" s="182"/>
      <c r="BI1319" s="182"/>
      <c r="BJ1319" s="182"/>
      <c r="BK1319" s="182"/>
      <c r="BL1319" s="182"/>
      <c r="BM1319" s="182"/>
      <c r="BN1319" s="182"/>
      <c r="BO1319" s="182"/>
      <c r="BP1319" s="182">
        <v>43673.4</v>
      </c>
      <c r="BQ1319" s="182"/>
      <c r="BR1319" s="182"/>
      <c r="BS1319" s="182"/>
      <c r="BT1319" s="182"/>
      <c r="BU1319" s="182"/>
      <c r="BV1319" s="182"/>
      <c r="BW1319" s="182"/>
      <c r="BX1319" s="182"/>
      <c r="BY1319" s="182"/>
      <c r="BZ1319" s="182"/>
      <c r="CA1319" s="182"/>
      <c r="CB1319" s="185">
        <v>87346.8</v>
      </c>
      <c r="CC1319" s="185">
        <v>0</v>
      </c>
      <c r="CD1319" s="185">
        <v>2667</v>
      </c>
      <c r="CE1319" s="185"/>
    </row>
    <row r="1320" spans="2:83" x14ac:dyDescent="0.3">
      <c r="B1320" s="182">
        <v>4483</v>
      </c>
      <c r="C1320" s="182">
        <v>2668</v>
      </c>
      <c r="D1320" s="182" t="s">
        <v>121</v>
      </c>
      <c r="E1320" s="181" t="s">
        <v>4463</v>
      </c>
      <c r="F1320" s="182"/>
      <c r="G1320" s="182"/>
      <c r="H1320" s="182"/>
      <c r="I1320" s="182"/>
      <c r="J1320" s="182"/>
      <c r="K1320" s="182"/>
      <c r="L1320" s="182"/>
      <c r="M1320" s="182"/>
      <c r="N1320" s="182"/>
      <c r="O1320" s="182"/>
      <c r="P1320" s="182"/>
      <c r="Q1320" s="182"/>
      <c r="R1320" s="182"/>
      <c r="S1320" s="182"/>
      <c r="T1320" s="182"/>
      <c r="U1320" s="182"/>
      <c r="V1320" s="182"/>
      <c r="W1320" s="182">
        <v>950</v>
      </c>
      <c r="X1320" s="182"/>
      <c r="Y1320" s="182"/>
      <c r="Z1320" s="182"/>
      <c r="AA1320" s="182"/>
      <c r="AB1320" s="182"/>
      <c r="AC1320" s="182"/>
      <c r="AD1320" s="182"/>
      <c r="AE1320" s="182"/>
      <c r="AF1320" s="182"/>
      <c r="AG1320" s="182"/>
      <c r="AH1320" s="182"/>
      <c r="AI1320" s="182"/>
      <c r="AJ1320" s="182"/>
      <c r="AK1320" s="182"/>
      <c r="AL1320" s="182"/>
      <c r="AM1320" s="182"/>
      <c r="AN1320" s="182"/>
      <c r="AO1320" s="182"/>
      <c r="AP1320" s="182"/>
      <c r="AQ1320" s="185">
        <v>950</v>
      </c>
      <c r="AR1320" s="182">
        <v>950</v>
      </c>
      <c r="AS1320" s="182"/>
      <c r="AT1320" s="182"/>
      <c r="AU1320" s="182"/>
      <c r="AV1320" s="182"/>
      <c r="AW1320" s="182"/>
      <c r="AX1320" s="182"/>
      <c r="AY1320" s="182"/>
      <c r="AZ1320" s="182"/>
      <c r="BA1320" s="182"/>
      <c r="BB1320" s="182"/>
      <c r="BC1320" s="182"/>
      <c r="BD1320" s="182"/>
      <c r="BE1320" s="182"/>
      <c r="BF1320" s="182"/>
      <c r="BG1320" s="182"/>
      <c r="BH1320" s="182"/>
      <c r="BI1320" s="182"/>
      <c r="BJ1320" s="182"/>
      <c r="BK1320" s="182"/>
      <c r="BL1320" s="182"/>
      <c r="BM1320" s="182"/>
      <c r="BN1320" s="182"/>
      <c r="BO1320" s="182"/>
      <c r="BP1320" s="182"/>
      <c r="BQ1320" s="182"/>
      <c r="BR1320" s="182"/>
      <c r="BS1320" s="182"/>
      <c r="BT1320" s="182"/>
      <c r="BU1320" s="182"/>
      <c r="BV1320" s="182"/>
      <c r="BW1320" s="182"/>
      <c r="BX1320" s="182"/>
      <c r="BY1320" s="182"/>
      <c r="BZ1320" s="182"/>
      <c r="CA1320" s="182"/>
      <c r="CB1320" s="185">
        <v>950</v>
      </c>
      <c r="CC1320" s="185">
        <v>0</v>
      </c>
      <c r="CD1320" s="185">
        <v>2668</v>
      </c>
      <c r="CE1320" s="185"/>
    </row>
    <row r="1321" spans="2:83" x14ac:dyDescent="0.3">
      <c r="B1321" s="182">
        <v>4358</v>
      </c>
      <c r="C1321" s="182">
        <v>2669</v>
      </c>
      <c r="D1321" s="182" t="s">
        <v>121</v>
      </c>
      <c r="E1321" s="181" t="s">
        <v>4464</v>
      </c>
      <c r="F1321" s="182"/>
      <c r="G1321" s="182"/>
      <c r="H1321" s="182"/>
      <c r="I1321" s="182"/>
      <c r="J1321" s="182"/>
      <c r="K1321" s="182"/>
      <c r="L1321" s="182"/>
      <c r="M1321" s="182"/>
      <c r="N1321" s="182"/>
      <c r="O1321" s="182"/>
      <c r="P1321" s="182"/>
      <c r="Q1321" s="182"/>
      <c r="R1321" s="182"/>
      <c r="S1321" s="182"/>
      <c r="T1321" s="182"/>
      <c r="U1321" s="182"/>
      <c r="V1321" s="182"/>
      <c r="W1321" s="182">
        <v>4856.25</v>
      </c>
      <c r="X1321" s="182"/>
      <c r="Y1321" s="182"/>
      <c r="Z1321" s="182"/>
      <c r="AA1321" s="182"/>
      <c r="AB1321" s="182"/>
      <c r="AC1321" s="182"/>
      <c r="AD1321" s="182"/>
      <c r="AE1321" s="182"/>
      <c r="AF1321" s="182"/>
      <c r="AG1321" s="182"/>
      <c r="AH1321" s="182"/>
      <c r="AI1321" s="182"/>
      <c r="AJ1321" s="182"/>
      <c r="AK1321" s="182"/>
      <c r="AL1321" s="182"/>
      <c r="AM1321" s="182"/>
      <c r="AN1321" s="182"/>
      <c r="AO1321" s="182"/>
      <c r="AP1321" s="182"/>
      <c r="AQ1321" s="185">
        <v>4856.25</v>
      </c>
      <c r="AR1321" s="182">
        <v>4856.25</v>
      </c>
      <c r="AS1321" s="182"/>
      <c r="AT1321" s="182"/>
      <c r="AU1321" s="182"/>
      <c r="AV1321" s="182"/>
      <c r="AW1321" s="182"/>
      <c r="AX1321" s="182"/>
      <c r="AY1321" s="182"/>
      <c r="AZ1321" s="182"/>
      <c r="BA1321" s="182"/>
      <c r="BB1321" s="182"/>
      <c r="BC1321" s="182"/>
      <c r="BD1321" s="182"/>
      <c r="BE1321" s="182"/>
      <c r="BF1321" s="182"/>
      <c r="BG1321" s="182"/>
      <c r="BH1321" s="182"/>
      <c r="BI1321" s="182"/>
      <c r="BJ1321" s="182"/>
      <c r="BK1321" s="182"/>
      <c r="BL1321" s="182"/>
      <c r="BM1321" s="182"/>
      <c r="BN1321" s="182"/>
      <c r="BO1321" s="182"/>
      <c r="BP1321" s="182"/>
      <c r="BQ1321" s="182"/>
      <c r="BR1321" s="182"/>
      <c r="BS1321" s="182"/>
      <c r="BT1321" s="182"/>
      <c r="BU1321" s="182"/>
      <c r="BV1321" s="182"/>
      <c r="BW1321" s="182"/>
      <c r="BX1321" s="182"/>
      <c r="BY1321" s="182"/>
      <c r="BZ1321" s="182"/>
      <c r="CA1321" s="182"/>
      <c r="CB1321" s="185">
        <v>4856.25</v>
      </c>
      <c r="CC1321" s="185">
        <v>0</v>
      </c>
      <c r="CD1321" s="185">
        <v>2669</v>
      </c>
      <c r="CE1321" s="185"/>
    </row>
    <row r="1322" spans="2:83" x14ac:dyDescent="0.3">
      <c r="B1322" s="182">
        <v>4478</v>
      </c>
      <c r="C1322" s="182">
        <v>2670</v>
      </c>
      <c r="D1322" s="182" t="s">
        <v>121</v>
      </c>
      <c r="E1322" s="181" t="s">
        <v>4465</v>
      </c>
      <c r="F1322" s="182"/>
      <c r="G1322" s="182"/>
      <c r="H1322" s="182"/>
      <c r="I1322" s="182"/>
      <c r="J1322" s="182"/>
      <c r="K1322" s="182"/>
      <c r="L1322" s="182"/>
      <c r="M1322" s="182"/>
      <c r="N1322" s="182"/>
      <c r="O1322" s="182"/>
      <c r="P1322" s="182"/>
      <c r="Q1322" s="182">
        <v>3590</v>
      </c>
      <c r="R1322" s="182"/>
      <c r="S1322" s="182"/>
      <c r="T1322" s="182"/>
      <c r="U1322" s="182"/>
      <c r="V1322" s="182"/>
      <c r="W1322" s="182"/>
      <c r="X1322" s="182"/>
      <c r="Y1322" s="182"/>
      <c r="Z1322" s="182"/>
      <c r="AA1322" s="182"/>
      <c r="AB1322" s="182"/>
      <c r="AC1322" s="182"/>
      <c r="AD1322" s="182"/>
      <c r="AE1322" s="182"/>
      <c r="AF1322" s="182"/>
      <c r="AG1322" s="182"/>
      <c r="AH1322" s="182"/>
      <c r="AI1322" s="182"/>
      <c r="AJ1322" s="182"/>
      <c r="AK1322" s="182"/>
      <c r="AL1322" s="182"/>
      <c r="AM1322" s="182"/>
      <c r="AN1322" s="182"/>
      <c r="AO1322" s="182"/>
      <c r="AP1322" s="182"/>
      <c r="AQ1322" s="185">
        <v>3590</v>
      </c>
      <c r="AR1322" s="182">
        <v>3590</v>
      </c>
      <c r="AS1322" s="182"/>
      <c r="AT1322" s="182"/>
      <c r="AU1322" s="182"/>
      <c r="AV1322" s="182"/>
      <c r="AW1322" s="182"/>
      <c r="AX1322" s="182"/>
      <c r="AY1322" s="182"/>
      <c r="AZ1322" s="182"/>
      <c r="BA1322" s="182"/>
      <c r="BB1322" s="182"/>
      <c r="BC1322" s="182"/>
      <c r="BD1322" s="182"/>
      <c r="BE1322" s="182"/>
      <c r="BF1322" s="182"/>
      <c r="BG1322" s="182"/>
      <c r="BH1322" s="182"/>
      <c r="BI1322" s="182"/>
      <c r="BJ1322" s="182"/>
      <c r="BK1322" s="182"/>
      <c r="BL1322" s="182"/>
      <c r="BM1322" s="182"/>
      <c r="BN1322" s="182"/>
      <c r="BO1322" s="182"/>
      <c r="BP1322" s="182"/>
      <c r="BQ1322" s="182"/>
      <c r="BR1322" s="182"/>
      <c r="BS1322" s="182"/>
      <c r="BT1322" s="182"/>
      <c r="BU1322" s="182"/>
      <c r="BV1322" s="182"/>
      <c r="BW1322" s="182"/>
      <c r="BX1322" s="182"/>
      <c r="BY1322" s="182"/>
      <c r="BZ1322" s="182"/>
      <c r="CA1322" s="182"/>
      <c r="CB1322" s="185">
        <v>3590</v>
      </c>
      <c r="CC1322" s="185">
        <v>0</v>
      </c>
      <c r="CD1322" s="185">
        <v>2670</v>
      </c>
      <c r="CE1322" s="185"/>
    </row>
    <row r="1323" spans="2:83" x14ac:dyDescent="0.3">
      <c r="B1323" s="182">
        <v>4479</v>
      </c>
      <c r="C1323" s="182">
        <v>2671</v>
      </c>
      <c r="D1323" s="182" t="s">
        <v>121</v>
      </c>
      <c r="E1323" s="181" t="s">
        <v>4466</v>
      </c>
      <c r="F1323" s="182"/>
      <c r="G1323" s="182"/>
      <c r="H1323" s="182"/>
      <c r="I1323" s="182"/>
      <c r="J1323" s="182"/>
      <c r="K1323" s="182"/>
      <c r="L1323" s="182"/>
      <c r="M1323" s="182"/>
      <c r="N1323" s="182"/>
      <c r="O1323" s="182"/>
      <c r="P1323" s="182"/>
      <c r="Q1323" s="182">
        <v>3562.5</v>
      </c>
      <c r="R1323" s="182"/>
      <c r="S1323" s="182"/>
      <c r="T1323" s="182"/>
      <c r="U1323" s="182"/>
      <c r="V1323" s="182"/>
      <c r="W1323" s="182"/>
      <c r="X1323" s="182"/>
      <c r="Y1323" s="182"/>
      <c r="Z1323" s="182"/>
      <c r="AA1323" s="182"/>
      <c r="AB1323" s="182"/>
      <c r="AC1323" s="182"/>
      <c r="AD1323" s="182"/>
      <c r="AE1323" s="182"/>
      <c r="AF1323" s="182"/>
      <c r="AG1323" s="182"/>
      <c r="AH1323" s="182"/>
      <c r="AI1323" s="182"/>
      <c r="AJ1323" s="182"/>
      <c r="AK1323" s="182"/>
      <c r="AL1323" s="182"/>
      <c r="AM1323" s="182"/>
      <c r="AN1323" s="182"/>
      <c r="AO1323" s="182"/>
      <c r="AP1323" s="182"/>
      <c r="AQ1323" s="185">
        <v>3562.5</v>
      </c>
      <c r="AR1323" s="182">
        <v>3562.5</v>
      </c>
      <c r="AS1323" s="182"/>
      <c r="AT1323" s="182"/>
      <c r="AU1323" s="182"/>
      <c r="AV1323" s="182"/>
      <c r="AW1323" s="182"/>
      <c r="AX1323" s="182"/>
      <c r="AY1323" s="182"/>
      <c r="AZ1323" s="182"/>
      <c r="BA1323" s="182"/>
      <c r="BB1323" s="182"/>
      <c r="BC1323" s="182"/>
      <c r="BD1323" s="182"/>
      <c r="BE1323" s="182"/>
      <c r="BF1323" s="182"/>
      <c r="BG1323" s="182"/>
      <c r="BH1323" s="182"/>
      <c r="BI1323" s="182"/>
      <c r="BJ1323" s="182"/>
      <c r="BK1323" s="182"/>
      <c r="BL1323" s="182"/>
      <c r="BM1323" s="182"/>
      <c r="BN1323" s="182"/>
      <c r="BO1323" s="182"/>
      <c r="BP1323" s="182"/>
      <c r="BQ1323" s="182"/>
      <c r="BR1323" s="182"/>
      <c r="BS1323" s="182"/>
      <c r="BT1323" s="182"/>
      <c r="BU1323" s="182"/>
      <c r="BV1323" s="182"/>
      <c r="BW1323" s="182"/>
      <c r="BX1323" s="182"/>
      <c r="BY1323" s="182"/>
      <c r="BZ1323" s="182"/>
      <c r="CA1323" s="182"/>
      <c r="CB1323" s="185">
        <v>3562.5</v>
      </c>
      <c r="CC1323" s="185">
        <v>0</v>
      </c>
      <c r="CD1323" s="185">
        <v>2671</v>
      </c>
      <c r="CE1323" s="185"/>
    </row>
    <row r="1324" spans="2:83" x14ac:dyDescent="0.3">
      <c r="B1324" s="182">
        <v>4482</v>
      </c>
      <c r="C1324" s="182">
        <v>2672</v>
      </c>
      <c r="D1324" s="182" t="s">
        <v>121</v>
      </c>
      <c r="E1324" s="181" t="s">
        <v>4467</v>
      </c>
      <c r="F1324" s="182"/>
      <c r="G1324" s="182"/>
      <c r="H1324" s="182">
        <v>5400</v>
      </c>
      <c r="I1324" s="182"/>
      <c r="J1324" s="182"/>
      <c r="K1324" s="182"/>
      <c r="L1324" s="182"/>
      <c r="M1324" s="182"/>
      <c r="N1324" s="182"/>
      <c r="O1324" s="182"/>
      <c r="P1324" s="182"/>
      <c r="Q1324" s="182"/>
      <c r="R1324" s="182"/>
      <c r="S1324" s="182"/>
      <c r="T1324" s="182"/>
      <c r="U1324" s="182"/>
      <c r="V1324" s="182"/>
      <c r="W1324" s="182"/>
      <c r="X1324" s="182"/>
      <c r="Y1324" s="182"/>
      <c r="Z1324" s="182"/>
      <c r="AA1324" s="182"/>
      <c r="AB1324" s="182"/>
      <c r="AC1324" s="182"/>
      <c r="AD1324" s="182"/>
      <c r="AE1324" s="182"/>
      <c r="AF1324" s="182"/>
      <c r="AG1324" s="182"/>
      <c r="AH1324" s="182"/>
      <c r="AI1324" s="182"/>
      <c r="AJ1324" s="182"/>
      <c r="AK1324" s="182"/>
      <c r="AL1324" s="182"/>
      <c r="AM1324" s="182"/>
      <c r="AN1324" s="182"/>
      <c r="AO1324" s="182"/>
      <c r="AP1324" s="182"/>
      <c r="AQ1324" s="185">
        <v>5400</v>
      </c>
      <c r="AR1324" s="182">
        <v>5400</v>
      </c>
      <c r="AS1324" s="182"/>
      <c r="AT1324" s="182"/>
      <c r="AU1324" s="182"/>
      <c r="AV1324" s="182"/>
      <c r="AW1324" s="182"/>
      <c r="AX1324" s="182"/>
      <c r="AY1324" s="182"/>
      <c r="AZ1324" s="182"/>
      <c r="BA1324" s="182"/>
      <c r="BB1324" s="182"/>
      <c r="BC1324" s="182"/>
      <c r="BD1324" s="182"/>
      <c r="BE1324" s="182"/>
      <c r="BF1324" s="182"/>
      <c r="BG1324" s="182"/>
      <c r="BH1324" s="182"/>
      <c r="BI1324" s="182"/>
      <c r="BJ1324" s="182"/>
      <c r="BK1324" s="182"/>
      <c r="BL1324" s="182"/>
      <c r="BM1324" s="182"/>
      <c r="BN1324" s="182"/>
      <c r="BO1324" s="182"/>
      <c r="BP1324" s="182"/>
      <c r="BQ1324" s="182"/>
      <c r="BR1324" s="182"/>
      <c r="BS1324" s="182"/>
      <c r="BT1324" s="182"/>
      <c r="BU1324" s="182"/>
      <c r="BV1324" s="182"/>
      <c r="BW1324" s="182"/>
      <c r="BX1324" s="182"/>
      <c r="BY1324" s="182"/>
      <c r="BZ1324" s="182"/>
      <c r="CA1324" s="182"/>
      <c r="CB1324" s="185">
        <v>5400</v>
      </c>
      <c r="CC1324" s="185">
        <v>0</v>
      </c>
      <c r="CD1324" s="185">
        <v>2672</v>
      </c>
      <c r="CE1324" s="185"/>
    </row>
    <row r="1325" spans="2:83" x14ac:dyDescent="0.3">
      <c r="B1325" s="182">
        <v>4480</v>
      </c>
      <c r="C1325" s="182">
        <v>2673</v>
      </c>
      <c r="D1325" s="182" t="s">
        <v>121</v>
      </c>
      <c r="E1325" s="181" t="s">
        <v>4468</v>
      </c>
      <c r="F1325" s="182"/>
      <c r="G1325" s="182"/>
      <c r="H1325" s="182"/>
      <c r="I1325" s="182"/>
      <c r="J1325" s="182"/>
      <c r="K1325" s="182"/>
      <c r="L1325" s="182"/>
      <c r="M1325" s="182"/>
      <c r="N1325" s="182"/>
      <c r="O1325" s="182"/>
      <c r="P1325" s="182"/>
      <c r="Q1325" s="182"/>
      <c r="R1325" s="182"/>
      <c r="S1325" s="182"/>
      <c r="T1325" s="182"/>
      <c r="U1325" s="182"/>
      <c r="V1325" s="182"/>
      <c r="W1325" s="182"/>
      <c r="X1325" s="182"/>
      <c r="Y1325" s="182"/>
      <c r="Z1325" s="182"/>
      <c r="AA1325" s="182"/>
      <c r="AB1325" s="182"/>
      <c r="AC1325" s="182"/>
      <c r="AD1325" s="182"/>
      <c r="AE1325" s="182"/>
      <c r="AF1325" s="182"/>
      <c r="AG1325" s="182"/>
      <c r="AH1325" s="182"/>
      <c r="AI1325" s="182"/>
      <c r="AJ1325" s="182"/>
      <c r="AK1325" s="182"/>
      <c r="AL1325" s="182"/>
      <c r="AM1325" s="182"/>
      <c r="AN1325" s="182"/>
      <c r="AO1325" s="182">
        <v>1000</v>
      </c>
      <c r="AP1325" s="182"/>
      <c r="AQ1325" s="185">
        <v>1000</v>
      </c>
      <c r="AR1325" s="182">
        <v>1000</v>
      </c>
      <c r="AS1325" s="182"/>
      <c r="AT1325" s="182"/>
      <c r="AU1325" s="182"/>
      <c r="AV1325" s="182"/>
      <c r="AW1325" s="182"/>
      <c r="AX1325" s="182"/>
      <c r="AY1325" s="182"/>
      <c r="AZ1325" s="182"/>
      <c r="BA1325" s="182"/>
      <c r="BB1325" s="182"/>
      <c r="BC1325" s="182"/>
      <c r="BD1325" s="182"/>
      <c r="BE1325" s="182"/>
      <c r="BF1325" s="182"/>
      <c r="BG1325" s="182"/>
      <c r="BH1325" s="182"/>
      <c r="BI1325" s="182"/>
      <c r="BJ1325" s="182"/>
      <c r="BK1325" s="182"/>
      <c r="BL1325" s="182"/>
      <c r="BM1325" s="182"/>
      <c r="BN1325" s="182"/>
      <c r="BO1325" s="182"/>
      <c r="BP1325" s="182"/>
      <c r="BQ1325" s="182"/>
      <c r="BR1325" s="182"/>
      <c r="BS1325" s="182"/>
      <c r="BT1325" s="182"/>
      <c r="BU1325" s="182"/>
      <c r="BV1325" s="182"/>
      <c r="BW1325" s="182"/>
      <c r="BX1325" s="182"/>
      <c r="BY1325" s="182"/>
      <c r="BZ1325" s="182"/>
      <c r="CA1325" s="182"/>
      <c r="CB1325" s="185">
        <v>1000</v>
      </c>
      <c r="CC1325" s="185">
        <v>0</v>
      </c>
      <c r="CD1325" s="185">
        <v>2673</v>
      </c>
      <c r="CE1325" s="185"/>
    </row>
    <row r="1326" spans="2:83" x14ac:dyDescent="0.3">
      <c r="B1326" s="182">
        <v>4795</v>
      </c>
      <c r="C1326" s="182">
        <v>2674</v>
      </c>
      <c r="D1326" s="182" t="s">
        <v>119</v>
      </c>
      <c r="E1326" s="181" t="s">
        <v>4256</v>
      </c>
      <c r="F1326" s="182"/>
      <c r="G1326" s="182">
        <v>2462.25</v>
      </c>
      <c r="H1326" s="182"/>
      <c r="I1326" s="182"/>
      <c r="J1326" s="182"/>
      <c r="K1326" s="182"/>
      <c r="L1326" s="182"/>
      <c r="M1326" s="182"/>
      <c r="N1326" s="182"/>
      <c r="O1326" s="182"/>
      <c r="P1326" s="182"/>
      <c r="Q1326" s="182"/>
      <c r="R1326" s="182"/>
      <c r="S1326" s="182"/>
      <c r="T1326" s="182"/>
      <c r="U1326" s="182"/>
      <c r="V1326" s="182"/>
      <c r="W1326" s="182"/>
      <c r="X1326" s="182"/>
      <c r="Y1326" s="182"/>
      <c r="Z1326" s="182"/>
      <c r="AA1326" s="182"/>
      <c r="AB1326" s="182"/>
      <c r="AC1326" s="182"/>
      <c r="AD1326" s="182"/>
      <c r="AE1326" s="182"/>
      <c r="AF1326" s="182"/>
      <c r="AG1326" s="182"/>
      <c r="AH1326" s="182"/>
      <c r="AI1326" s="182"/>
      <c r="AJ1326" s="182"/>
      <c r="AK1326" s="182"/>
      <c r="AL1326" s="182"/>
      <c r="AM1326" s="182"/>
      <c r="AN1326" s="182"/>
      <c r="AO1326" s="182"/>
      <c r="AP1326" s="182"/>
      <c r="AQ1326" s="185">
        <v>2462.25</v>
      </c>
      <c r="AR1326" s="182">
        <v>1662.72</v>
      </c>
      <c r="AS1326" s="182">
        <v>56.28</v>
      </c>
      <c r="AT1326" s="182">
        <v>593.25</v>
      </c>
      <c r="AU1326" s="182">
        <v>150</v>
      </c>
      <c r="AV1326" s="182"/>
      <c r="AW1326" s="182"/>
      <c r="AX1326" s="182"/>
      <c r="AY1326" s="182"/>
      <c r="AZ1326" s="182"/>
      <c r="BA1326" s="182"/>
      <c r="BB1326" s="182"/>
      <c r="BC1326" s="182"/>
      <c r="BD1326" s="182"/>
      <c r="BE1326" s="182"/>
      <c r="BF1326" s="182"/>
      <c r="BG1326" s="182"/>
      <c r="BH1326" s="182"/>
      <c r="BI1326" s="182"/>
      <c r="BJ1326" s="182"/>
      <c r="BK1326" s="182"/>
      <c r="BL1326" s="182"/>
      <c r="BM1326" s="182"/>
      <c r="BN1326" s="182"/>
      <c r="BO1326" s="182"/>
      <c r="BP1326" s="182"/>
      <c r="BQ1326" s="182"/>
      <c r="BR1326" s="182"/>
      <c r="BS1326" s="182"/>
      <c r="BT1326" s="182"/>
      <c r="BU1326" s="182"/>
      <c r="BV1326" s="182"/>
      <c r="BW1326" s="182"/>
      <c r="BX1326" s="182"/>
      <c r="BY1326" s="182"/>
      <c r="BZ1326" s="182"/>
      <c r="CA1326" s="182"/>
      <c r="CB1326" s="185">
        <v>2462.25</v>
      </c>
      <c r="CC1326" s="185">
        <v>0</v>
      </c>
      <c r="CD1326" s="185">
        <v>2674</v>
      </c>
      <c r="CE1326" s="185"/>
    </row>
    <row r="1327" spans="2:83" s="198" customFormat="1" x14ac:dyDescent="0.3">
      <c r="B1327" s="190"/>
      <c r="C1327" s="190"/>
      <c r="D1327" s="190"/>
      <c r="E1327" s="199" t="s">
        <v>4469</v>
      </c>
      <c r="F1327" s="190"/>
      <c r="G1327" s="190">
        <v>4217782.24</v>
      </c>
      <c r="H1327" s="190">
        <v>63129.600000000006</v>
      </c>
      <c r="I1327" s="190">
        <v>0</v>
      </c>
      <c r="J1327" s="190">
        <v>0</v>
      </c>
      <c r="K1327" s="190">
        <v>0</v>
      </c>
      <c r="L1327" s="190">
        <v>0</v>
      </c>
      <c r="M1327" s="190">
        <v>0</v>
      </c>
      <c r="N1327" s="190">
        <v>0</v>
      </c>
      <c r="O1327" s="190">
        <v>0</v>
      </c>
      <c r="P1327" s="190">
        <v>0</v>
      </c>
      <c r="Q1327" s="190">
        <v>13222</v>
      </c>
      <c r="R1327" s="190">
        <v>0</v>
      </c>
      <c r="S1327" s="190">
        <v>0</v>
      </c>
      <c r="T1327" s="190">
        <v>0</v>
      </c>
      <c r="U1327" s="190">
        <v>0</v>
      </c>
      <c r="V1327" s="190">
        <v>0</v>
      </c>
      <c r="W1327" s="190">
        <v>6444.65</v>
      </c>
      <c r="X1327" s="190">
        <v>0</v>
      </c>
      <c r="Y1327" s="190">
        <v>0</v>
      </c>
      <c r="Z1327" s="190">
        <v>0</v>
      </c>
      <c r="AA1327" s="190">
        <v>43673.4</v>
      </c>
      <c r="AB1327" s="190">
        <v>0</v>
      </c>
      <c r="AC1327" s="190">
        <v>843.75</v>
      </c>
      <c r="AD1327" s="190">
        <v>0</v>
      </c>
      <c r="AE1327" s="190">
        <v>0</v>
      </c>
      <c r="AF1327" s="190">
        <v>0</v>
      </c>
      <c r="AG1327" s="190">
        <v>0</v>
      </c>
      <c r="AH1327" s="190">
        <v>0</v>
      </c>
      <c r="AI1327" s="190">
        <v>0</v>
      </c>
      <c r="AJ1327" s="190">
        <v>0</v>
      </c>
      <c r="AK1327" s="190">
        <v>0</v>
      </c>
      <c r="AL1327" s="190">
        <v>0</v>
      </c>
      <c r="AM1327" s="190">
        <v>0</v>
      </c>
      <c r="AN1327" s="190">
        <v>0</v>
      </c>
      <c r="AO1327" s="190">
        <v>1000</v>
      </c>
      <c r="AP1327" s="190">
        <v>0</v>
      </c>
      <c r="AQ1327" s="190">
        <v>4346095.6399999987</v>
      </c>
      <c r="AR1327" s="190">
        <v>3613096.0000000037</v>
      </c>
      <c r="AS1327" s="190">
        <v>373568.86999999988</v>
      </c>
      <c r="AT1327" s="190">
        <v>310967.37</v>
      </c>
      <c r="AU1327" s="190">
        <v>4735</v>
      </c>
      <c r="AV1327" s="190">
        <v>0</v>
      </c>
      <c r="AW1327" s="190">
        <v>0</v>
      </c>
      <c r="AX1327" s="190">
        <v>0</v>
      </c>
      <c r="AY1327" s="190">
        <v>0</v>
      </c>
      <c r="AZ1327" s="190">
        <v>0</v>
      </c>
      <c r="BA1327" s="190">
        <v>0</v>
      </c>
      <c r="BB1327" s="190">
        <v>0</v>
      </c>
      <c r="BC1327" s="190">
        <v>0</v>
      </c>
      <c r="BD1327" s="190">
        <v>0</v>
      </c>
      <c r="BE1327" s="190">
        <v>15</v>
      </c>
      <c r="BF1327" s="190">
        <v>40</v>
      </c>
      <c r="BG1327" s="190">
        <v>0</v>
      </c>
      <c r="BH1327" s="190">
        <v>0</v>
      </c>
      <c r="BI1327" s="190">
        <v>0</v>
      </c>
      <c r="BJ1327" s="190">
        <v>0</v>
      </c>
      <c r="BK1327" s="190">
        <v>0</v>
      </c>
      <c r="BL1327" s="190">
        <v>0</v>
      </c>
      <c r="BM1327" s="190">
        <v>0</v>
      </c>
      <c r="BN1327" s="190">
        <v>0</v>
      </c>
      <c r="BO1327" s="190">
        <v>0</v>
      </c>
      <c r="BP1327" s="190">
        <v>43673.4</v>
      </c>
      <c r="BQ1327" s="190">
        <v>0</v>
      </c>
      <c r="BR1327" s="190">
        <v>0</v>
      </c>
      <c r="BS1327" s="190">
        <v>0</v>
      </c>
      <c r="BT1327" s="190">
        <v>0</v>
      </c>
      <c r="BU1327" s="190">
        <v>0</v>
      </c>
      <c r="BV1327" s="190">
        <v>0</v>
      </c>
      <c r="BW1327" s="190">
        <v>0</v>
      </c>
      <c r="BX1327" s="190">
        <v>0</v>
      </c>
      <c r="BY1327" s="190">
        <v>0</v>
      </c>
      <c r="BZ1327" s="190">
        <v>0</v>
      </c>
      <c r="CA1327" s="190">
        <v>0</v>
      </c>
      <c r="CB1327" s="190">
        <v>4346095.6399999987</v>
      </c>
      <c r="CC1327" s="190">
        <v>0</v>
      </c>
      <c r="CD1327" s="190"/>
      <c r="CE1327" s="190"/>
    </row>
    <row r="1328" spans="2:83" x14ac:dyDescent="0.3">
      <c r="B1328" s="182">
        <v>2407</v>
      </c>
      <c r="C1328" s="182">
        <v>2675</v>
      </c>
      <c r="D1328" s="182" t="s">
        <v>121</v>
      </c>
      <c r="E1328" s="181" t="s">
        <v>4470</v>
      </c>
      <c r="F1328" s="182" t="s">
        <v>220</v>
      </c>
      <c r="G1328" s="182"/>
      <c r="H1328" s="182"/>
      <c r="I1328" s="182"/>
      <c r="J1328" s="182"/>
      <c r="K1328" s="182"/>
      <c r="L1328" s="182"/>
      <c r="M1328" s="182"/>
      <c r="N1328" s="182"/>
      <c r="O1328" s="182"/>
      <c r="P1328" s="182"/>
      <c r="Q1328" s="182"/>
      <c r="R1328" s="182"/>
      <c r="S1328" s="182"/>
      <c r="T1328" s="182"/>
      <c r="U1328" s="182"/>
      <c r="V1328" s="182"/>
      <c r="W1328" s="182"/>
      <c r="X1328" s="182"/>
      <c r="Y1328" s="182"/>
      <c r="Z1328" s="182"/>
      <c r="AA1328" s="182"/>
      <c r="AB1328" s="182"/>
      <c r="AC1328" s="182">
        <v>2268.17</v>
      </c>
      <c r="AD1328" s="182"/>
      <c r="AE1328" s="182"/>
      <c r="AF1328" s="182"/>
      <c r="AG1328" s="182"/>
      <c r="AH1328" s="182"/>
      <c r="AI1328" s="182"/>
      <c r="AJ1328" s="182"/>
      <c r="AK1328" s="182"/>
      <c r="AL1328" s="182"/>
      <c r="AM1328" s="182"/>
      <c r="AN1328" s="182"/>
      <c r="AO1328" s="182"/>
      <c r="AP1328" s="182"/>
      <c r="AQ1328" s="185">
        <v>2268.17</v>
      </c>
      <c r="AR1328" s="182">
        <v>2268.17</v>
      </c>
      <c r="AS1328" s="182"/>
      <c r="AT1328" s="182"/>
      <c r="AU1328" s="182"/>
      <c r="AV1328" s="182"/>
      <c r="AW1328" s="182"/>
      <c r="AX1328" s="182"/>
      <c r="AY1328" s="182"/>
      <c r="AZ1328" s="182"/>
      <c r="BA1328" s="182"/>
      <c r="BB1328" s="182"/>
      <c r="BC1328" s="182"/>
      <c r="BD1328" s="182"/>
      <c r="BE1328" s="182"/>
      <c r="BF1328" s="182"/>
      <c r="BG1328" s="182"/>
      <c r="BH1328" s="182"/>
      <c r="BI1328" s="182"/>
      <c r="BJ1328" s="182"/>
      <c r="BK1328" s="182"/>
      <c r="BL1328" s="182"/>
      <c r="BM1328" s="182"/>
      <c r="BN1328" s="182"/>
      <c r="BO1328" s="182"/>
      <c r="BP1328" s="182"/>
      <c r="BQ1328" s="182"/>
      <c r="BR1328" s="182"/>
      <c r="BS1328" s="182"/>
      <c r="BT1328" s="182"/>
      <c r="BU1328" s="182"/>
      <c r="BV1328" s="182"/>
      <c r="BW1328" s="182"/>
      <c r="BX1328" s="182"/>
      <c r="BY1328" s="182"/>
      <c r="BZ1328" s="182"/>
      <c r="CA1328" s="182"/>
      <c r="CB1328" s="185">
        <v>2268.17</v>
      </c>
      <c r="CC1328" s="185">
        <v>2268.17</v>
      </c>
      <c r="CD1328" s="185">
        <v>2675</v>
      </c>
      <c r="CE1328" s="185"/>
    </row>
    <row r="1329" spans="2:83" s="198" customFormat="1" x14ac:dyDescent="0.3">
      <c r="B1329" s="190"/>
      <c r="C1329" s="190"/>
      <c r="D1329" s="190"/>
      <c r="E1329" s="199" t="s">
        <v>4471</v>
      </c>
      <c r="F1329" s="190"/>
      <c r="G1329" s="190"/>
      <c r="H1329" s="190"/>
      <c r="I1329" s="190"/>
      <c r="J1329" s="190"/>
      <c r="K1329" s="190"/>
      <c r="L1329" s="190"/>
      <c r="M1329" s="190"/>
      <c r="N1329" s="190"/>
      <c r="O1329" s="190"/>
      <c r="P1329" s="190"/>
      <c r="Q1329" s="190"/>
      <c r="R1329" s="190"/>
      <c r="S1329" s="190"/>
      <c r="T1329" s="190"/>
      <c r="U1329" s="190"/>
      <c r="V1329" s="190"/>
      <c r="W1329" s="190"/>
      <c r="X1329" s="190"/>
      <c r="Y1329" s="190"/>
      <c r="Z1329" s="190"/>
      <c r="AA1329" s="190"/>
      <c r="AB1329" s="190"/>
      <c r="AC1329" s="190">
        <v>2268.17</v>
      </c>
      <c r="AD1329" s="190">
        <v>0</v>
      </c>
      <c r="AE1329" s="190">
        <v>0</v>
      </c>
      <c r="AF1329" s="190">
        <v>0</v>
      </c>
      <c r="AG1329" s="190">
        <v>0</v>
      </c>
      <c r="AH1329" s="190">
        <v>0</v>
      </c>
      <c r="AI1329" s="190">
        <v>0</v>
      </c>
      <c r="AJ1329" s="190">
        <v>0</v>
      </c>
      <c r="AK1329" s="190">
        <v>0</v>
      </c>
      <c r="AL1329" s="190">
        <v>0</v>
      </c>
      <c r="AM1329" s="190">
        <v>0</v>
      </c>
      <c r="AN1329" s="190">
        <v>0</v>
      </c>
      <c r="AO1329" s="190">
        <v>0</v>
      </c>
      <c r="AP1329" s="190">
        <v>0</v>
      </c>
      <c r="AQ1329" s="190">
        <v>2268.17</v>
      </c>
      <c r="AR1329" s="190">
        <v>2268.17</v>
      </c>
      <c r="AS1329" s="190">
        <v>0</v>
      </c>
      <c r="AT1329" s="190">
        <v>0</v>
      </c>
      <c r="AU1329" s="190">
        <v>0</v>
      </c>
      <c r="AV1329" s="190">
        <v>0</v>
      </c>
      <c r="AW1329" s="190">
        <v>0</v>
      </c>
      <c r="AX1329" s="190">
        <v>0</v>
      </c>
      <c r="AY1329" s="190">
        <v>0</v>
      </c>
      <c r="AZ1329" s="190">
        <v>0</v>
      </c>
      <c r="BA1329" s="190">
        <v>0</v>
      </c>
      <c r="BB1329" s="190">
        <v>0</v>
      </c>
      <c r="BC1329" s="190">
        <v>0</v>
      </c>
      <c r="BD1329" s="190">
        <v>0</v>
      </c>
      <c r="BE1329" s="190">
        <v>0</v>
      </c>
      <c r="BF1329" s="190">
        <v>0</v>
      </c>
      <c r="BG1329" s="190">
        <v>0</v>
      </c>
      <c r="BH1329" s="190">
        <v>0</v>
      </c>
      <c r="BI1329" s="190">
        <v>0</v>
      </c>
      <c r="BJ1329" s="190">
        <v>0</v>
      </c>
      <c r="BK1329" s="190">
        <v>0</v>
      </c>
      <c r="BL1329" s="190">
        <v>0</v>
      </c>
      <c r="BM1329" s="190">
        <v>0</v>
      </c>
      <c r="BN1329" s="190">
        <v>0</v>
      </c>
      <c r="BO1329" s="190">
        <v>0</v>
      </c>
      <c r="BP1329" s="190">
        <v>0</v>
      </c>
      <c r="BQ1329" s="190">
        <v>0</v>
      </c>
      <c r="BR1329" s="190">
        <v>0</v>
      </c>
      <c r="BS1329" s="190">
        <v>0</v>
      </c>
      <c r="BT1329" s="190">
        <v>0</v>
      </c>
      <c r="BU1329" s="190">
        <v>0</v>
      </c>
      <c r="BV1329" s="190">
        <v>0</v>
      </c>
      <c r="BW1329" s="190">
        <v>0</v>
      </c>
      <c r="BX1329" s="190">
        <v>0</v>
      </c>
      <c r="BY1329" s="190">
        <v>0</v>
      </c>
      <c r="BZ1329" s="190">
        <v>0</v>
      </c>
      <c r="CA1329" s="190">
        <v>0</v>
      </c>
      <c r="CB1329" s="190">
        <v>2268.17</v>
      </c>
      <c r="CC1329" s="190">
        <v>2268.17</v>
      </c>
      <c r="CD1329" s="190"/>
      <c r="CE1329" s="190"/>
    </row>
    <row r="1330" spans="2:83" x14ac:dyDescent="0.3">
      <c r="B1330" s="182"/>
      <c r="C1330" s="182">
        <v>2676</v>
      </c>
      <c r="D1330" s="182" t="s">
        <v>332</v>
      </c>
      <c r="E1330" s="181" t="s">
        <v>4472</v>
      </c>
      <c r="F1330" s="182"/>
      <c r="G1330" s="182"/>
      <c r="H1330" s="182"/>
      <c r="I1330" s="182"/>
      <c r="J1330" s="182"/>
      <c r="K1330" s="182"/>
      <c r="L1330" s="182"/>
      <c r="M1330" s="182"/>
      <c r="N1330" s="182"/>
      <c r="O1330" s="182"/>
      <c r="P1330" s="182"/>
      <c r="Q1330" s="182"/>
      <c r="R1330" s="182"/>
      <c r="S1330" s="182"/>
      <c r="T1330" s="182"/>
      <c r="U1330" s="182"/>
      <c r="V1330" s="182"/>
      <c r="W1330" s="182"/>
      <c r="X1330" s="182"/>
      <c r="Y1330" s="182"/>
      <c r="Z1330" s="182"/>
      <c r="AA1330" s="182"/>
      <c r="AB1330" s="182"/>
      <c r="AC1330" s="182"/>
      <c r="AD1330" s="182"/>
      <c r="AE1330" s="182"/>
      <c r="AF1330" s="182"/>
      <c r="AG1330" s="182"/>
      <c r="AH1330" s="182"/>
      <c r="AI1330" s="182"/>
      <c r="AJ1330" s="182"/>
      <c r="AK1330" s="182"/>
      <c r="AL1330" s="182"/>
      <c r="AM1330" s="182"/>
      <c r="AN1330" s="182"/>
      <c r="AO1330" s="182"/>
      <c r="AP1330" s="182"/>
      <c r="AQ1330" s="185">
        <v>0</v>
      </c>
      <c r="AR1330" s="182">
        <v>0</v>
      </c>
      <c r="AS1330" s="182"/>
      <c r="AT1330" s="182"/>
      <c r="AU1330" s="182"/>
      <c r="AV1330" s="182"/>
      <c r="AW1330" s="182"/>
      <c r="AX1330" s="182"/>
      <c r="AY1330" s="182"/>
      <c r="AZ1330" s="182"/>
      <c r="BA1330" s="182"/>
      <c r="BB1330" s="182"/>
      <c r="BC1330" s="182"/>
      <c r="BD1330" s="182"/>
      <c r="BE1330" s="182"/>
      <c r="BF1330" s="182"/>
      <c r="BG1330" s="182"/>
      <c r="BH1330" s="182"/>
      <c r="BI1330" s="182"/>
      <c r="BJ1330" s="182"/>
      <c r="BK1330" s="182"/>
      <c r="BL1330" s="182"/>
      <c r="BM1330" s="182"/>
      <c r="BN1330" s="182"/>
      <c r="BO1330" s="182"/>
      <c r="BP1330" s="182"/>
      <c r="BQ1330" s="182"/>
      <c r="BR1330" s="182"/>
      <c r="BS1330" s="182"/>
      <c r="BT1330" s="182"/>
      <c r="BU1330" s="182"/>
      <c r="BV1330" s="182"/>
      <c r="BW1330" s="182"/>
      <c r="BX1330" s="182"/>
      <c r="BY1330" s="182"/>
      <c r="BZ1330" s="182"/>
      <c r="CA1330" s="182"/>
      <c r="CB1330" s="185">
        <v>0</v>
      </c>
      <c r="CC1330" s="185">
        <v>0</v>
      </c>
      <c r="CD1330" s="185">
        <v>2676</v>
      </c>
      <c r="CE1330" s="185"/>
    </row>
    <row r="1331" spans="2:83" x14ac:dyDescent="0.3">
      <c r="B1331" s="182">
        <v>2733</v>
      </c>
      <c r="C1331" s="182">
        <v>2677</v>
      </c>
      <c r="D1331" s="182" t="s">
        <v>123</v>
      </c>
      <c r="E1331" s="181" t="s">
        <v>4371</v>
      </c>
      <c r="F1331" s="182"/>
      <c r="G1331" s="182">
        <v>429.91</v>
      </c>
      <c r="H1331" s="182"/>
      <c r="I1331" s="182"/>
      <c r="J1331" s="182"/>
      <c r="K1331" s="182"/>
      <c r="L1331" s="182"/>
      <c r="M1331" s="182"/>
      <c r="N1331" s="182"/>
      <c r="O1331" s="182"/>
      <c r="P1331" s="182"/>
      <c r="Q1331" s="182"/>
      <c r="R1331" s="182"/>
      <c r="S1331" s="182"/>
      <c r="T1331" s="182"/>
      <c r="U1331" s="182"/>
      <c r="V1331" s="182"/>
      <c r="W1331" s="182"/>
      <c r="X1331" s="182"/>
      <c r="Y1331" s="182"/>
      <c r="Z1331" s="182"/>
      <c r="AA1331" s="182"/>
      <c r="AB1331" s="182"/>
      <c r="AC1331" s="182"/>
      <c r="AD1331" s="182"/>
      <c r="AE1331" s="182"/>
      <c r="AF1331" s="182"/>
      <c r="AG1331" s="182"/>
      <c r="AH1331" s="182"/>
      <c r="AI1331" s="182"/>
      <c r="AJ1331" s="182"/>
      <c r="AK1331" s="182"/>
      <c r="AL1331" s="182"/>
      <c r="AM1331" s="182"/>
      <c r="AN1331" s="182"/>
      <c r="AO1331" s="182"/>
      <c r="AP1331" s="182"/>
      <c r="AQ1331" s="185">
        <v>429.91</v>
      </c>
      <c r="AR1331" s="182"/>
      <c r="AS1331" s="182">
        <v>38.770000000000003</v>
      </c>
      <c r="AT1331" s="182">
        <v>103.59</v>
      </c>
      <c r="AU1331" s="182"/>
      <c r="AV1331" s="182"/>
      <c r="AW1331" s="182"/>
      <c r="AX1331" s="182"/>
      <c r="AY1331" s="182"/>
      <c r="AZ1331" s="182"/>
      <c r="BA1331" s="182"/>
      <c r="BB1331" s="182"/>
      <c r="BC1331" s="182"/>
      <c r="BD1331" s="182">
        <v>287.55</v>
      </c>
      <c r="BE1331" s="182"/>
      <c r="BF1331" s="182"/>
      <c r="BG1331" s="182"/>
      <c r="BH1331" s="182"/>
      <c r="BI1331" s="182"/>
      <c r="BJ1331" s="182"/>
      <c r="BK1331" s="182"/>
      <c r="BL1331" s="182"/>
      <c r="BM1331" s="182"/>
      <c r="BN1331" s="182"/>
      <c r="BO1331" s="182"/>
      <c r="BP1331" s="182"/>
      <c r="BQ1331" s="182"/>
      <c r="BR1331" s="182"/>
      <c r="BS1331" s="182"/>
      <c r="BT1331" s="182"/>
      <c r="BU1331" s="182"/>
      <c r="BV1331" s="182"/>
      <c r="BW1331" s="182"/>
      <c r="BX1331" s="182"/>
      <c r="BY1331" s="182"/>
      <c r="BZ1331" s="182"/>
      <c r="CA1331" s="182"/>
      <c r="CB1331" s="185">
        <v>429.91</v>
      </c>
      <c r="CC1331" s="185">
        <v>0</v>
      </c>
      <c r="CD1331" s="185">
        <v>2677</v>
      </c>
      <c r="CE1331" s="185"/>
    </row>
    <row r="1332" spans="2:83" x14ac:dyDescent="0.3">
      <c r="B1332" s="182"/>
      <c r="C1332" s="182">
        <v>2678</v>
      </c>
      <c r="D1332" s="182" t="s">
        <v>332</v>
      </c>
      <c r="E1332" s="181" t="s">
        <v>4473</v>
      </c>
      <c r="F1332" s="182"/>
      <c r="G1332" s="182"/>
      <c r="H1332" s="182"/>
      <c r="I1332" s="182"/>
      <c r="J1332" s="182"/>
      <c r="K1332" s="182"/>
      <c r="L1332" s="182"/>
      <c r="M1332" s="182"/>
      <c r="N1332" s="182"/>
      <c r="O1332" s="182"/>
      <c r="P1332" s="182"/>
      <c r="Q1332" s="182"/>
      <c r="R1332" s="182"/>
      <c r="S1332" s="182"/>
      <c r="T1332" s="182"/>
      <c r="U1332" s="182"/>
      <c r="V1332" s="182"/>
      <c r="W1332" s="182"/>
      <c r="X1332" s="182"/>
      <c r="Y1332" s="182"/>
      <c r="Z1332" s="182"/>
      <c r="AA1332" s="182"/>
      <c r="AB1332" s="182"/>
      <c r="AC1332" s="182"/>
      <c r="AD1332" s="182"/>
      <c r="AE1332" s="182"/>
      <c r="AF1332" s="182"/>
      <c r="AG1332" s="182"/>
      <c r="AH1332" s="182"/>
      <c r="AI1332" s="182"/>
      <c r="AJ1332" s="182"/>
      <c r="AK1332" s="182"/>
      <c r="AL1332" s="182"/>
      <c r="AM1332" s="182"/>
      <c r="AN1332" s="182"/>
      <c r="AO1332" s="182"/>
      <c r="AP1332" s="182"/>
      <c r="AQ1332" s="185">
        <v>0</v>
      </c>
      <c r="AR1332" s="182">
        <v>0</v>
      </c>
      <c r="AS1332" s="182"/>
      <c r="AT1332" s="182"/>
      <c r="AU1332" s="182"/>
      <c r="AV1332" s="182"/>
      <c r="AW1332" s="182"/>
      <c r="AX1332" s="182"/>
      <c r="AY1332" s="182"/>
      <c r="AZ1332" s="182"/>
      <c r="BA1332" s="182"/>
      <c r="BB1332" s="182"/>
      <c r="BC1332" s="182"/>
      <c r="BD1332" s="182"/>
      <c r="BE1332" s="182"/>
      <c r="BF1332" s="182"/>
      <c r="BG1332" s="182"/>
      <c r="BH1332" s="182"/>
      <c r="BI1332" s="182"/>
      <c r="BJ1332" s="182"/>
      <c r="BK1332" s="182"/>
      <c r="BL1332" s="182"/>
      <c r="BM1332" s="182"/>
      <c r="BN1332" s="182"/>
      <c r="BO1332" s="182"/>
      <c r="BP1332" s="182"/>
      <c r="BQ1332" s="182"/>
      <c r="BR1332" s="182"/>
      <c r="BS1332" s="182"/>
      <c r="BT1332" s="182"/>
      <c r="BU1332" s="182"/>
      <c r="BV1332" s="182"/>
      <c r="BW1332" s="182"/>
      <c r="BX1332" s="182"/>
      <c r="BY1332" s="182"/>
      <c r="BZ1332" s="182"/>
      <c r="CA1332" s="182"/>
      <c r="CB1332" s="185">
        <v>0</v>
      </c>
      <c r="CC1332" s="185">
        <v>0</v>
      </c>
      <c r="CD1332" s="185">
        <v>2678</v>
      </c>
      <c r="CE1332" s="185"/>
    </row>
    <row r="1333" spans="2:83" x14ac:dyDescent="0.3">
      <c r="B1333" s="182">
        <v>2718</v>
      </c>
      <c r="C1333" s="182">
        <v>2679</v>
      </c>
      <c r="D1333" s="182" t="s">
        <v>123</v>
      </c>
      <c r="E1333" s="181" t="s">
        <v>4371</v>
      </c>
      <c r="F1333" s="182"/>
      <c r="G1333" s="182">
        <v>469</v>
      </c>
      <c r="H1333" s="182"/>
      <c r="I1333" s="182"/>
      <c r="J1333" s="182"/>
      <c r="K1333" s="182"/>
      <c r="L1333" s="182"/>
      <c r="M1333" s="182"/>
      <c r="N1333" s="182"/>
      <c r="O1333" s="182"/>
      <c r="P1333" s="182"/>
      <c r="Q1333" s="182"/>
      <c r="R1333" s="182"/>
      <c r="S1333" s="182"/>
      <c r="T1333" s="182"/>
      <c r="U1333" s="182"/>
      <c r="V1333" s="182"/>
      <c r="W1333" s="182"/>
      <c r="X1333" s="182"/>
      <c r="Y1333" s="182"/>
      <c r="Z1333" s="182"/>
      <c r="AA1333" s="182"/>
      <c r="AB1333" s="182"/>
      <c r="AC1333" s="182"/>
      <c r="AD1333" s="182"/>
      <c r="AE1333" s="182"/>
      <c r="AF1333" s="182"/>
      <c r="AG1333" s="182"/>
      <c r="AH1333" s="182"/>
      <c r="AI1333" s="182"/>
      <c r="AJ1333" s="182"/>
      <c r="AK1333" s="182"/>
      <c r="AL1333" s="182"/>
      <c r="AM1333" s="182"/>
      <c r="AN1333" s="182"/>
      <c r="AO1333" s="182"/>
      <c r="AP1333" s="182"/>
      <c r="AQ1333" s="185">
        <v>469</v>
      </c>
      <c r="AR1333" s="182"/>
      <c r="AS1333" s="182">
        <v>42.3</v>
      </c>
      <c r="AT1333" s="182">
        <v>113</v>
      </c>
      <c r="AU1333" s="182"/>
      <c r="AV1333" s="182"/>
      <c r="AW1333" s="182"/>
      <c r="AX1333" s="182"/>
      <c r="AY1333" s="182"/>
      <c r="AZ1333" s="182"/>
      <c r="BA1333" s="182"/>
      <c r="BB1333" s="182"/>
      <c r="BC1333" s="182"/>
      <c r="BD1333" s="182">
        <v>313.7</v>
      </c>
      <c r="BE1333" s="182"/>
      <c r="BF1333" s="182"/>
      <c r="BG1333" s="182"/>
      <c r="BH1333" s="182"/>
      <c r="BI1333" s="182"/>
      <c r="BJ1333" s="182"/>
      <c r="BK1333" s="182"/>
      <c r="BL1333" s="182"/>
      <c r="BM1333" s="182"/>
      <c r="BN1333" s="182"/>
      <c r="BO1333" s="182"/>
      <c r="BP1333" s="182"/>
      <c r="BQ1333" s="182"/>
      <c r="BR1333" s="182"/>
      <c r="BS1333" s="182"/>
      <c r="BT1333" s="182"/>
      <c r="BU1333" s="182"/>
      <c r="BV1333" s="182"/>
      <c r="BW1333" s="182"/>
      <c r="BX1333" s="182"/>
      <c r="BY1333" s="182"/>
      <c r="BZ1333" s="182"/>
      <c r="CA1333" s="182"/>
      <c r="CB1333" s="185">
        <v>469</v>
      </c>
      <c r="CC1333" s="185">
        <v>0</v>
      </c>
      <c r="CD1333" s="185">
        <v>2679</v>
      </c>
      <c r="CE1333" s="185"/>
    </row>
    <row r="1334" spans="2:83" x14ac:dyDescent="0.3">
      <c r="B1334" s="182">
        <v>5079</v>
      </c>
      <c r="C1334" s="182">
        <v>2680</v>
      </c>
      <c r="D1334" s="182" t="s">
        <v>78</v>
      </c>
      <c r="E1334" s="181" t="s">
        <v>4474</v>
      </c>
      <c r="F1334" s="182"/>
      <c r="G1334" s="182">
        <v>15573.75</v>
      </c>
      <c r="H1334" s="182"/>
      <c r="I1334" s="182"/>
      <c r="J1334" s="182"/>
      <c r="K1334" s="182"/>
      <c r="L1334" s="182"/>
      <c r="M1334" s="182"/>
      <c r="N1334" s="182"/>
      <c r="O1334" s="182"/>
      <c r="P1334" s="182"/>
      <c r="Q1334" s="182"/>
      <c r="R1334" s="182"/>
      <c r="S1334" s="182"/>
      <c r="T1334" s="182"/>
      <c r="U1334" s="182"/>
      <c r="V1334" s="182"/>
      <c r="W1334" s="182"/>
      <c r="X1334" s="182"/>
      <c r="Y1334" s="182"/>
      <c r="Z1334" s="182"/>
      <c r="AA1334" s="182"/>
      <c r="AB1334" s="182"/>
      <c r="AC1334" s="182"/>
      <c r="AD1334" s="182"/>
      <c r="AE1334" s="182"/>
      <c r="AF1334" s="182"/>
      <c r="AG1334" s="182"/>
      <c r="AH1334" s="182"/>
      <c r="AI1334" s="182"/>
      <c r="AJ1334" s="182"/>
      <c r="AK1334" s="182"/>
      <c r="AL1334" s="182"/>
      <c r="AM1334" s="182"/>
      <c r="AN1334" s="182"/>
      <c r="AO1334" s="182"/>
      <c r="AP1334" s="182"/>
      <c r="AQ1334" s="185">
        <v>15573.75</v>
      </c>
      <c r="AR1334" s="182">
        <v>13895.36</v>
      </c>
      <c r="AS1334" s="182">
        <v>1678.39</v>
      </c>
      <c r="AT1334" s="182"/>
      <c r="AU1334" s="182"/>
      <c r="AV1334" s="182"/>
      <c r="AW1334" s="182"/>
      <c r="AX1334" s="182"/>
      <c r="AY1334" s="182"/>
      <c r="AZ1334" s="182"/>
      <c r="BA1334" s="182"/>
      <c r="BB1334" s="182"/>
      <c r="BC1334" s="182"/>
      <c r="BD1334" s="182"/>
      <c r="BE1334" s="182"/>
      <c r="BF1334" s="182"/>
      <c r="BG1334" s="182"/>
      <c r="BH1334" s="182"/>
      <c r="BI1334" s="182"/>
      <c r="BJ1334" s="182"/>
      <c r="BK1334" s="182"/>
      <c r="BL1334" s="182"/>
      <c r="BM1334" s="182"/>
      <c r="BN1334" s="182"/>
      <c r="BO1334" s="182"/>
      <c r="BP1334" s="182"/>
      <c r="BQ1334" s="182"/>
      <c r="BR1334" s="182"/>
      <c r="BS1334" s="182"/>
      <c r="BT1334" s="182"/>
      <c r="BU1334" s="182"/>
      <c r="BV1334" s="182"/>
      <c r="BW1334" s="182"/>
      <c r="BX1334" s="182"/>
      <c r="BY1334" s="182"/>
      <c r="BZ1334" s="182"/>
      <c r="CA1334" s="182"/>
      <c r="CB1334" s="185">
        <v>15573.75</v>
      </c>
      <c r="CC1334" s="185">
        <v>0</v>
      </c>
      <c r="CD1334" s="185">
        <v>2680</v>
      </c>
      <c r="CE1334" s="185"/>
    </row>
    <row r="1335" spans="2:83" x14ac:dyDescent="0.3">
      <c r="B1335" s="182">
        <v>5080</v>
      </c>
      <c r="C1335" s="182">
        <v>2681</v>
      </c>
      <c r="D1335" s="182" t="s">
        <v>78</v>
      </c>
      <c r="E1335" s="181" t="s">
        <v>4474</v>
      </c>
      <c r="F1335" s="182"/>
      <c r="G1335" s="182">
        <v>5245.96</v>
      </c>
      <c r="H1335" s="182"/>
      <c r="I1335" s="182"/>
      <c r="J1335" s="182"/>
      <c r="K1335" s="182"/>
      <c r="L1335" s="182"/>
      <c r="M1335" s="182"/>
      <c r="N1335" s="182"/>
      <c r="O1335" s="182"/>
      <c r="P1335" s="182"/>
      <c r="Q1335" s="182"/>
      <c r="R1335" s="182"/>
      <c r="S1335" s="182"/>
      <c r="T1335" s="182"/>
      <c r="U1335" s="182"/>
      <c r="V1335" s="182"/>
      <c r="W1335" s="182"/>
      <c r="X1335" s="182"/>
      <c r="Y1335" s="182"/>
      <c r="Z1335" s="182"/>
      <c r="AA1335" s="182"/>
      <c r="AB1335" s="182"/>
      <c r="AC1335" s="182"/>
      <c r="AD1335" s="182"/>
      <c r="AE1335" s="182"/>
      <c r="AF1335" s="182"/>
      <c r="AG1335" s="182"/>
      <c r="AH1335" s="182"/>
      <c r="AI1335" s="182"/>
      <c r="AJ1335" s="182"/>
      <c r="AK1335" s="182"/>
      <c r="AL1335" s="182"/>
      <c r="AM1335" s="182"/>
      <c r="AN1335" s="182"/>
      <c r="AO1335" s="182"/>
      <c r="AP1335" s="182"/>
      <c r="AQ1335" s="185">
        <v>5245.96</v>
      </c>
      <c r="AR1335" s="182">
        <v>4293.84</v>
      </c>
      <c r="AS1335" s="182">
        <v>534.98</v>
      </c>
      <c r="AT1335" s="182">
        <v>417.14</v>
      </c>
      <c r="AU1335" s="182"/>
      <c r="AV1335" s="182"/>
      <c r="AW1335" s="182"/>
      <c r="AX1335" s="182"/>
      <c r="AY1335" s="182"/>
      <c r="AZ1335" s="182"/>
      <c r="BA1335" s="182"/>
      <c r="BB1335" s="182"/>
      <c r="BC1335" s="182"/>
      <c r="BD1335" s="182"/>
      <c r="BE1335" s="182"/>
      <c r="BF1335" s="182"/>
      <c r="BG1335" s="182"/>
      <c r="BH1335" s="182"/>
      <c r="BI1335" s="182"/>
      <c r="BJ1335" s="182"/>
      <c r="BK1335" s="182"/>
      <c r="BL1335" s="182"/>
      <c r="BM1335" s="182"/>
      <c r="BN1335" s="182"/>
      <c r="BO1335" s="182"/>
      <c r="BP1335" s="182"/>
      <c r="BQ1335" s="182"/>
      <c r="BR1335" s="182"/>
      <c r="BS1335" s="182"/>
      <c r="BT1335" s="182"/>
      <c r="BU1335" s="182"/>
      <c r="BV1335" s="182"/>
      <c r="BW1335" s="182"/>
      <c r="BX1335" s="182"/>
      <c r="BY1335" s="182"/>
      <c r="BZ1335" s="182"/>
      <c r="CA1335" s="182"/>
      <c r="CB1335" s="185">
        <v>5245.96</v>
      </c>
      <c r="CC1335" s="185">
        <v>0</v>
      </c>
      <c r="CD1335" s="185">
        <v>2681</v>
      </c>
      <c r="CE1335" s="185"/>
    </row>
    <row r="1336" spans="2:83" x14ac:dyDescent="0.3">
      <c r="B1336" s="182">
        <v>5081</v>
      </c>
      <c r="C1336" s="182">
        <v>2682</v>
      </c>
      <c r="D1336" s="182" t="s">
        <v>78</v>
      </c>
      <c r="E1336" s="181" t="s">
        <v>4474</v>
      </c>
      <c r="F1336" s="182"/>
      <c r="G1336" s="182">
        <v>55793.04</v>
      </c>
      <c r="H1336" s="182"/>
      <c r="I1336" s="182"/>
      <c r="J1336" s="182"/>
      <c r="K1336" s="182"/>
      <c r="L1336" s="182"/>
      <c r="M1336" s="182"/>
      <c r="N1336" s="182"/>
      <c r="O1336" s="182"/>
      <c r="P1336" s="182"/>
      <c r="Q1336" s="182"/>
      <c r="R1336" s="182"/>
      <c r="S1336" s="182"/>
      <c r="T1336" s="182"/>
      <c r="U1336" s="182"/>
      <c r="V1336" s="182"/>
      <c r="W1336" s="182"/>
      <c r="X1336" s="182"/>
      <c r="Y1336" s="182"/>
      <c r="Z1336" s="182"/>
      <c r="AA1336" s="182"/>
      <c r="AB1336" s="182"/>
      <c r="AC1336" s="182"/>
      <c r="AD1336" s="182"/>
      <c r="AE1336" s="182"/>
      <c r="AF1336" s="182"/>
      <c r="AG1336" s="182"/>
      <c r="AH1336" s="182"/>
      <c r="AI1336" s="182"/>
      <c r="AJ1336" s="182"/>
      <c r="AK1336" s="182"/>
      <c r="AL1336" s="182"/>
      <c r="AM1336" s="182"/>
      <c r="AN1336" s="182"/>
      <c r="AO1336" s="182"/>
      <c r="AP1336" s="182"/>
      <c r="AQ1336" s="185">
        <v>55793.04</v>
      </c>
      <c r="AR1336" s="182">
        <v>41210.230000000003</v>
      </c>
      <c r="AS1336" s="182">
        <v>5370.31</v>
      </c>
      <c r="AT1336" s="182">
        <v>9212.5</v>
      </c>
      <c r="AU1336" s="182"/>
      <c r="AV1336" s="182"/>
      <c r="AW1336" s="182"/>
      <c r="AX1336" s="182"/>
      <c r="AY1336" s="182"/>
      <c r="AZ1336" s="182"/>
      <c r="BA1336" s="182"/>
      <c r="BB1336" s="182"/>
      <c r="BC1336" s="182"/>
      <c r="BD1336" s="182"/>
      <c r="BE1336" s="182"/>
      <c r="BF1336" s="182"/>
      <c r="BG1336" s="182"/>
      <c r="BH1336" s="182"/>
      <c r="BI1336" s="182"/>
      <c r="BJ1336" s="182"/>
      <c r="BK1336" s="182"/>
      <c r="BL1336" s="182"/>
      <c r="BM1336" s="182"/>
      <c r="BN1336" s="182"/>
      <c r="BO1336" s="182"/>
      <c r="BP1336" s="182"/>
      <c r="BQ1336" s="182"/>
      <c r="BR1336" s="182"/>
      <c r="BS1336" s="182"/>
      <c r="BT1336" s="182"/>
      <c r="BU1336" s="182"/>
      <c r="BV1336" s="182"/>
      <c r="BW1336" s="182"/>
      <c r="BX1336" s="182"/>
      <c r="BY1336" s="182"/>
      <c r="BZ1336" s="182"/>
      <c r="CA1336" s="182"/>
      <c r="CB1336" s="185">
        <v>55793.04</v>
      </c>
      <c r="CC1336" s="185">
        <v>0</v>
      </c>
      <c r="CD1336" s="185">
        <v>2682</v>
      </c>
      <c r="CE1336" s="185"/>
    </row>
    <row r="1337" spans="2:83" x14ac:dyDescent="0.3">
      <c r="B1337" s="182">
        <v>5082</v>
      </c>
      <c r="C1337" s="182">
        <v>2683</v>
      </c>
      <c r="D1337" s="182" t="s">
        <v>78</v>
      </c>
      <c r="E1337" s="181" t="s">
        <v>4474</v>
      </c>
      <c r="F1337" s="182"/>
      <c r="G1337" s="182">
        <v>6155</v>
      </c>
      <c r="H1337" s="182"/>
      <c r="I1337" s="182"/>
      <c r="J1337" s="182"/>
      <c r="K1337" s="182"/>
      <c r="L1337" s="182"/>
      <c r="M1337" s="182"/>
      <c r="N1337" s="182"/>
      <c r="O1337" s="182"/>
      <c r="P1337" s="182"/>
      <c r="Q1337" s="182"/>
      <c r="R1337" s="182"/>
      <c r="S1337" s="182"/>
      <c r="T1337" s="182"/>
      <c r="U1337" s="182"/>
      <c r="V1337" s="182"/>
      <c r="W1337" s="182"/>
      <c r="X1337" s="182"/>
      <c r="Y1337" s="182"/>
      <c r="Z1337" s="182"/>
      <c r="AA1337" s="182"/>
      <c r="AB1337" s="182"/>
      <c r="AC1337" s="182"/>
      <c r="AD1337" s="182"/>
      <c r="AE1337" s="182"/>
      <c r="AF1337" s="182"/>
      <c r="AG1337" s="182"/>
      <c r="AH1337" s="182"/>
      <c r="AI1337" s="182"/>
      <c r="AJ1337" s="182"/>
      <c r="AK1337" s="182"/>
      <c r="AL1337" s="182"/>
      <c r="AM1337" s="182"/>
      <c r="AN1337" s="182"/>
      <c r="AO1337" s="182"/>
      <c r="AP1337" s="182"/>
      <c r="AQ1337" s="185">
        <v>6155</v>
      </c>
      <c r="AR1337" s="182">
        <v>5490.65</v>
      </c>
      <c r="AS1337" s="182">
        <v>664.35</v>
      </c>
      <c r="AT1337" s="182"/>
      <c r="AU1337" s="182"/>
      <c r="AV1337" s="182"/>
      <c r="AW1337" s="182"/>
      <c r="AX1337" s="182"/>
      <c r="AY1337" s="182"/>
      <c r="AZ1337" s="182"/>
      <c r="BA1337" s="182"/>
      <c r="BB1337" s="182"/>
      <c r="BC1337" s="182"/>
      <c r="BD1337" s="182"/>
      <c r="BE1337" s="182"/>
      <c r="BF1337" s="182"/>
      <c r="BG1337" s="182"/>
      <c r="BH1337" s="182"/>
      <c r="BI1337" s="182"/>
      <c r="BJ1337" s="182"/>
      <c r="BK1337" s="182"/>
      <c r="BL1337" s="182"/>
      <c r="BM1337" s="182"/>
      <c r="BN1337" s="182"/>
      <c r="BO1337" s="182"/>
      <c r="BP1337" s="182"/>
      <c r="BQ1337" s="182"/>
      <c r="BR1337" s="182"/>
      <c r="BS1337" s="182"/>
      <c r="BT1337" s="182"/>
      <c r="BU1337" s="182"/>
      <c r="BV1337" s="182"/>
      <c r="BW1337" s="182"/>
      <c r="BX1337" s="182"/>
      <c r="BY1337" s="182"/>
      <c r="BZ1337" s="182"/>
      <c r="CA1337" s="182"/>
      <c r="CB1337" s="185">
        <v>6155</v>
      </c>
      <c r="CC1337" s="185">
        <v>0</v>
      </c>
      <c r="CD1337" s="185">
        <v>2683</v>
      </c>
      <c r="CE1337" s="185"/>
    </row>
    <row r="1338" spans="2:83" x14ac:dyDescent="0.3">
      <c r="B1338" s="182">
        <v>5073</v>
      </c>
      <c r="C1338" s="182">
        <v>2684</v>
      </c>
      <c r="D1338" s="182" t="s">
        <v>132</v>
      </c>
      <c r="E1338" s="181" t="s">
        <v>4474</v>
      </c>
      <c r="F1338" s="182"/>
      <c r="G1338" s="182">
        <v>4791.6000000000004</v>
      </c>
      <c r="H1338" s="182"/>
      <c r="I1338" s="182"/>
      <c r="J1338" s="182"/>
      <c r="K1338" s="182"/>
      <c r="L1338" s="182"/>
      <c r="M1338" s="182"/>
      <c r="N1338" s="182"/>
      <c r="O1338" s="182"/>
      <c r="P1338" s="182"/>
      <c r="Q1338" s="182"/>
      <c r="R1338" s="182"/>
      <c r="S1338" s="182"/>
      <c r="T1338" s="182"/>
      <c r="U1338" s="182"/>
      <c r="V1338" s="182"/>
      <c r="W1338" s="182"/>
      <c r="X1338" s="182"/>
      <c r="Y1338" s="182"/>
      <c r="Z1338" s="182"/>
      <c r="AA1338" s="182"/>
      <c r="AB1338" s="182"/>
      <c r="AC1338" s="182"/>
      <c r="AD1338" s="182"/>
      <c r="AE1338" s="182"/>
      <c r="AF1338" s="182"/>
      <c r="AG1338" s="182"/>
      <c r="AH1338" s="182"/>
      <c r="AI1338" s="182"/>
      <c r="AJ1338" s="182"/>
      <c r="AK1338" s="182"/>
      <c r="AL1338" s="182"/>
      <c r="AM1338" s="182"/>
      <c r="AN1338" s="182"/>
      <c r="AO1338" s="182"/>
      <c r="AP1338" s="182"/>
      <c r="AQ1338" s="185">
        <v>4791.6000000000004</v>
      </c>
      <c r="AR1338" s="182">
        <v>4276.84</v>
      </c>
      <c r="AS1338" s="182">
        <v>514.76</v>
      </c>
      <c r="AT1338" s="182"/>
      <c r="AU1338" s="182"/>
      <c r="AV1338" s="182"/>
      <c r="AW1338" s="182"/>
      <c r="AX1338" s="182"/>
      <c r="AY1338" s="182"/>
      <c r="AZ1338" s="182"/>
      <c r="BA1338" s="182"/>
      <c r="BB1338" s="182"/>
      <c r="BC1338" s="182"/>
      <c r="BD1338" s="182"/>
      <c r="BE1338" s="182"/>
      <c r="BF1338" s="182"/>
      <c r="BG1338" s="182"/>
      <c r="BH1338" s="182"/>
      <c r="BI1338" s="182"/>
      <c r="BJ1338" s="182"/>
      <c r="BK1338" s="182"/>
      <c r="BL1338" s="182"/>
      <c r="BM1338" s="182"/>
      <c r="BN1338" s="182"/>
      <c r="BO1338" s="182"/>
      <c r="BP1338" s="182"/>
      <c r="BQ1338" s="182"/>
      <c r="BR1338" s="182"/>
      <c r="BS1338" s="182"/>
      <c r="BT1338" s="182"/>
      <c r="BU1338" s="182"/>
      <c r="BV1338" s="182"/>
      <c r="BW1338" s="182"/>
      <c r="BX1338" s="182"/>
      <c r="BY1338" s="182"/>
      <c r="BZ1338" s="182"/>
      <c r="CA1338" s="182"/>
      <c r="CB1338" s="185">
        <v>4791.6000000000004</v>
      </c>
      <c r="CC1338" s="185">
        <v>0</v>
      </c>
      <c r="CD1338" s="185">
        <v>2684</v>
      </c>
      <c r="CE1338" s="185"/>
    </row>
    <row r="1339" spans="2:83" x14ac:dyDescent="0.3">
      <c r="B1339" s="182">
        <v>5074</v>
      </c>
      <c r="C1339" s="182">
        <v>2685</v>
      </c>
      <c r="D1339" s="182" t="s">
        <v>132</v>
      </c>
      <c r="E1339" s="181" t="s">
        <v>4474</v>
      </c>
      <c r="F1339" s="182"/>
      <c r="G1339" s="182">
        <v>17509.62</v>
      </c>
      <c r="H1339" s="182"/>
      <c r="I1339" s="182"/>
      <c r="J1339" s="182"/>
      <c r="K1339" s="182"/>
      <c r="L1339" s="182"/>
      <c r="M1339" s="182"/>
      <c r="N1339" s="182"/>
      <c r="O1339" s="182"/>
      <c r="P1339" s="182"/>
      <c r="Q1339" s="182"/>
      <c r="R1339" s="182"/>
      <c r="S1339" s="182"/>
      <c r="T1339" s="182"/>
      <c r="U1339" s="182"/>
      <c r="V1339" s="182"/>
      <c r="W1339" s="182"/>
      <c r="X1339" s="182"/>
      <c r="Y1339" s="182"/>
      <c r="Z1339" s="182"/>
      <c r="AA1339" s="182"/>
      <c r="AB1339" s="182"/>
      <c r="AC1339" s="182"/>
      <c r="AD1339" s="182"/>
      <c r="AE1339" s="182"/>
      <c r="AF1339" s="182"/>
      <c r="AG1339" s="182"/>
      <c r="AH1339" s="182"/>
      <c r="AI1339" s="182"/>
      <c r="AJ1339" s="182"/>
      <c r="AK1339" s="182"/>
      <c r="AL1339" s="182"/>
      <c r="AM1339" s="182"/>
      <c r="AN1339" s="182"/>
      <c r="AO1339" s="182"/>
      <c r="AP1339" s="182"/>
      <c r="AQ1339" s="185">
        <v>17509.62</v>
      </c>
      <c r="AR1339" s="182">
        <v>14208.71</v>
      </c>
      <c r="AS1339" s="182">
        <v>1776.38</v>
      </c>
      <c r="AT1339" s="182">
        <v>1524.53</v>
      </c>
      <c r="AU1339" s="182"/>
      <c r="AV1339" s="182"/>
      <c r="AW1339" s="182"/>
      <c r="AX1339" s="182"/>
      <c r="AY1339" s="182"/>
      <c r="AZ1339" s="182"/>
      <c r="BA1339" s="182"/>
      <c r="BB1339" s="182"/>
      <c r="BC1339" s="182"/>
      <c r="BD1339" s="182"/>
      <c r="BE1339" s="182"/>
      <c r="BF1339" s="182"/>
      <c r="BG1339" s="182"/>
      <c r="BH1339" s="182"/>
      <c r="BI1339" s="182"/>
      <c r="BJ1339" s="182"/>
      <c r="BK1339" s="182"/>
      <c r="BL1339" s="182"/>
      <c r="BM1339" s="182"/>
      <c r="BN1339" s="182"/>
      <c r="BO1339" s="182"/>
      <c r="BP1339" s="182"/>
      <c r="BQ1339" s="182"/>
      <c r="BR1339" s="182"/>
      <c r="BS1339" s="182"/>
      <c r="BT1339" s="182"/>
      <c r="BU1339" s="182"/>
      <c r="BV1339" s="182"/>
      <c r="BW1339" s="182"/>
      <c r="BX1339" s="182"/>
      <c r="BY1339" s="182"/>
      <c r="BZ1339" s="182"/>
      <c r="CA1339" s="182"/>
      <c r="CB1339" s="185">
        <v>17509.62</v>
      </c>
      <c r="CC1339" s="185">
        <v>0</v>
      </c>
      <c r="CD1339" s="185">
        <v>2685</v>
      </c>
      <c r="CE1339" s="185"/>
    </row>
    <row r="1340" spans="2:83" x14ac:dyDescent="0.3">
      <c r="B1340" s="182">
        <v>5075</v>
      </c>
      <c r="C1340" s="182">
        <v>2686</v>
      </c>
      <c r="D1340" s="182" t="s">
        <v>78</v>
      </c>
      <c r="E1340" s="181" t="s">
        <v>4474</v>
      </c>
      <c r="F1340" s="182"/>
      <c r="G1340" s="182">
        <v>4991.25</v>
      </c>
      <c r="H1340" s="182"/>
      <c r="I1340" s="182"/>
      <c r="J1340" s="182"/>
      <c r="K1340" s="182"/>
      <c r="L1340" s="182"/>
      <c r="M1340" s="182"/>
      <c r="N1340" s="182"/>
      <c r="O1340" s="182"/>
      <c r="P1340" s="182"/>
      <c r="Q1340" s="182"/>
      <c r="R1340" s="182"/>
      <c r="S1340" s="182"/>
      <c r="T1340" s="182"/>
      <c r="U1340" s="182"/>
      <c r="V1340" s="182"/>
      <c r="W1340" s="182"/>
      <c r="X1340" s="182"/>
      <c r="Y1340" s="182"/>
      <c r="Z1340" s="182"/>
      <c r="AA1340" s="182"/>
      <c r="AB1340" s="182"/>
      <c r="AC1340" s="182"/>
      <c r="AD1340" s="182"/>
      <c r="AE1340" s="182"/>
      <c r="AF1340" s="182"/>
      <c r="AG1340" s="182"/>
      <c r="AH1340" s="182"/>
      <c r="AI1340" s="182"/>
      <c r="AJ1340" s="182"/>
      <c r="AK1340" s="182"/>
      <c r="AL1340" s="182"/>
      <c r="AM1340" s="182"/>
      <c r="AN1340" s="182"/>
      <c r="AO1340" s="182"/>
      <c r="AP1340" s="182"/>
      <c r="AQ1340" s="185">
        <v>4991.25</v>
      </c>
      <c r="AR1340" s="182">
        <v>4455.0200000000004</v>
      </c>
      <c r="AS1340" s="182">
        <v>536.23</v>
      </c>
      <c r="AT1340" s="182"/>
      <c r="AU1340" s="182"/>
      <c r="AV1340" s="182"/>
      <c r="AW1340" s="182"/>
      <c r="AX1340" s="182"/>
      <c r="AY1340" s="182"/>
      <c r="AZ1340" s="182"/>
      <c r="BA1340" s="182"/>
      <c r="BB1340" s="182"/>
      <c r="BC1340" s="182"/>
      <c r="BD1340" s="182"/>
      <c r="BE1340" s="182"/>
      <c r="BF1340" s="182"/>
      <c r="BG1340" s="182"/>
      <c r="BH1340" s="182"/>
      <c r="BI1340" s="182"/>
      <c r="BJ1340" s="182"/>
      <c r="BK1340" s="182"/>
      <c r="BL1340" s="182"/>
      <c r="BM1340" s="182"/>
      <c r="BN1340" s="182"/>
      <c r="BO1340" s="182"/>
      <c r="BP1340" s="182"/>
      <c r="BQ1340" s="182"/>
      <c r="BR1340" s="182"/>
      <c r="BS1340" s="182"/>
      <c r="BT1340" s="182"/>
      <c r="BU1340" s="182"/>
      <c r="BV1340" s="182"/>
      <c r="BW1340" s="182"/>
      <c r="BX1340" s="182"/>
      <c r="BY1340" s="182"/>
      <c r="BZ1340" s="182"/>
      <c r="CA1340" s="182"/>
      <c r="CB1340" s="185">
        <v>4991.25</v>
      </c>
      <c r="CC1340" s="185">
        <v>0</v>
      </c>
      <c r="CD1340" s="185">
        <v>2686</v>
      </c>
      <c r="CE1340" s="185"/>
    </row>
    <row r="1341" spans="2:83" x14ac:dyDescent="0.3">
      <c r="B1341" s="182">
        <v>5076</v>
      </c>
      <c r="C1341" s="182">
        <v>2687</v>
      </c>
      <c r="D1341" s="182" t="s">
        <v>121</v>
      </c>
      <c r="E1341" s="181" t="s">
        <v>4474</v>
      </c>
      <c r="F1341" s="182"/>
      <c r="G1341" s="182">
        <v>20993.5</v>
      </c>
      <c r="H1341" s="182"/>
      <c r="I1341" s="182"/>
      <c r="J1341" s="182"/>
      <c r="K1341" s="182"/>
      <c r="L1341" s="182"/>
      <c r="M1341" s="182"/>
      <c r="N1341" s="182"/>
      <c r="O1341" s="182"/>
      <c r="P1341" s="182"/>
      <c r="Q1341" s="182"/>
      <c r="R1341" s="182"/>
      <c r="S1341" s="182"/>
      <c r="T1341" s="182"/>
      <c r="U1341" s="182"/>
      <c r="V1341" s="182"/>
      <c r="W1341" s="182"/>
      <c r="X1341" s="182"/>
      <c r="Y1341" s="182"/>
      <c r="Z1341" s="182"/>
      <c r="AA1341" s="182"/>
      <c r="AB1341" s="182"/>
      <c r="AC1341" s="182"/>
      <c r="AD1341" s="182"/>
      <c r="AE1341" s="182"/>
      <c r="AF1341" s="182"/>
      <c r="AG1341" s="182"/>
      <c r="AH1341" s="182"/>
      <c r="AI1341" s="182"/>
      <c r="AJ1341" s="182"/>
      <c r="AK1341" s="182"/>
      <c r="AL1341" s="182"/>
      <c r="AM1341" s="182"/>
      <c r="AN1341" s="182"/>
      <c r="AO1341" s="182"/>
      <c r="AP1341" s="182"/>
      <c r="AQ1341" s="185">
        <v>20993.5</v>
      </c>
      <c r="AR1341" s="182">
        <v>16915.150000000001</v>
      </c>
      <c r="AS1341" s="182">
        <v>2123.9299999999998</v>
      </c>
      <c r="AT1341" s="182">
        <v>1954.42</v>
      </c>
      <c r="AU1341" s="182"/>
      <c r="AV1341" s="182"/>
      <c r="AW1341" s="182"/>
      <c r="AX1341" s="182"/>
      <c r="AY1341" s="182"/>
      <c r="AZ1341" s="182"/>
      <c r="BA1341" s="182"/>
      <c r="BB1341" s="182"/>
      <c r="BC1341" s="182"/>
      <c r="BD1341" s="182"/>
      <c r="BE1341" s="182"/>
      <c r="BF1341" s="182"/>
      <c r="BG1341" s="182"/>
      <c r="BH1341" s="182"/>
      <c r="BI1341" s="182"/>
      <c r="BJ1341" s="182"/>
      <c r="BK1341" s="182"/>
      <c r="BL1341" s="182"/>
      <c r="BM1341" s="182"/>
      <c r="BN1341" s="182"/>
      <c r="BO1341" s="182"/>
      <c r="BP1341" s="182"/>
      <c r="BQ1341" s="182"/>
      <c r="BR1341" s="182"/>
      <c r="BS1341" s="182"/>
      <c r="BT1341" s="182"/>
      <c r="BU1341" s="182"/>
      <c r="BV1341" s="182"/>
      <c r="BW1341" s="182"/>
      <c r="BX1341" s="182"/>
      <c r="BY1341" s="182"/>
      <c r="BZ1341" s="182"/>
      <c r="CA1341" s="182"/>
      <c r="CB1341" s="185">
        <v>20993.5</v>
      </c>
      <c r="CC1341" s="185">
        <v>0</v>
      </c>
      <c r="CD1341" s="185">
        <v>2687</v>
      </c>
      <c r="CE1341" s="185"/>
    </row>
    <row r="1342" spans="2:83" x14ac:dyDescent="0.3">
      <c r="B1342" s="182">
        <v>5077</v>
      </c>
      <c r="C1342" s="182">
        <v>2688</v>
      </c>
      <c r="D1342" s="182" t="s">
        <v>121</v>
      </c>
      <c r="E1342" s="181" t="s">
        <v>4474</v>
      </c>
      <c r="F1342" s="182"/>
      <c r="G1342" s="182">
        <v>5769.43</v>
      </c>
      <c r="H1342" s="182"/>
      <c r="I1342" s="182"/>
      <c r="J1342" s="182"/>
      <c r="K1342" s="182"/>
      <c r="L1342" s="182"/>
      <c r="M1342" s="182"/>
      <c r="N1342" s="182"/>
      <c r="O1342" s="182"/>
      <c r="P1342" s="182"/>
      <c r="Q1342" s="182"/>
      <c r="R1342" s="182"/>
      <c r="S1342" s="182"/>
      <c r="T1342" s="182"/>
      <c r="U1342" s="182"/>
      <c r="V1342" s="182"/>
      <c r="W1342" s="182"/>
      <c r="X1342" s="182"/>
      <c r="Y1342" s="182"/>
      <c r="Z1342" s="182"/>
      <c r="AA1342" s="182"/>
      <c r="AB1342" s="182"/>
      <c r="AC1342" s="182"/>
      <c r="AD1342" s="182"/>
      <c r="AE1342" s="182"/>
      <c r="AF1342" s="182"/>
      <c r="AG1342" s="182"/>
      <c r="AH1342" s="182"/>
      <c r="AI1342" s="182"/>
      <c r="AJ1342" s="182"/>
      <c r="AK1342" s="182"/>
      <c r="AL1342" s="182"/>
      <c r="AM1342" s="182"/>
      <c r="AN1342" s="182"/>
      <c r="AO1342" s="182"/>
      <c r="AP1342" s="182"/>
      <c r="AQ1342" s="185">
        <v>5769.43</v>
      </c>
      <c r="AR1342" s="182">
        <v>4417.6899999999996</v>
      </c>
      <c r="AS1342" s="182">
        <v>568.63</v>
      </c>
      <c r="AT1342" s="182">
        <v>783.11</v>
      </c>
      <c r="AU1342" s="182"/>
      <c r="AV1342" s="182"/>
      <c r="AW1342" s="182"/>
      <c r="AX1342" s="182"/>
      <c r="AY1342" s="182"/>
      <c r="AZ1342" s="182"/>
      <c r="BA1342" s="182"/>
      <c r="BB1342" s="182"/>
      <c r="BC1342" s="182"/>
      <c r="BD1342" s="182"/>
      <c r="BE1342" s="182"/>
      <c r="BF1342" s="182"/>
      <c r="BG1342" s="182"/>
      <c r="BH1342" s="182"/>
      <c r="BI1342" s="182"/>
      <c r="BJ1342" s="182"/>
      <c r="BK1342" s="182"/>
      <c r="BL1342" s="182"/>
      <c r="BM1342" s="182"/>
      <c r="BN1342" s="182"/>
      <c r="BO1342" s="182"/>
      <c r="BP1342" s="182"/>
      <c r="BQ1342" s="182"/>
      <c r="BR1342" s="182"/>
      <c r="BS1342" s="182"/>
      <c r="BT1342" s="182"/>
      <c r="BU1342" s="182"/>
      <c r="BV1342" s="182"/>
      <c r="BW1342" s="182"/>
      <c r="BX1342" s="182"/>
      <c r="BY1342" s="182"/>
      <c r="BZ1342" s="182"/>
      <c r="CA1342" s="182"/>
      <c r="CB1342" s="185">
        <v>5769.4299999999994</v>
      </c>
      <c r="CC1342" s="185">
        <v>0</v>
      </c>
      <c r="CD1342" s="185">
        <v>2688</v>
      </c>
      <c r="CE1342" s="185"/>
    </row>
    <row r="1343" spans="2:83" x14ac:dyDescent="0.3">
      <c r="B1343" s="182">
        <v>5078</v>
      </c>
      <c r="C1343" s="182">
        <v>2689</v>
      </c>
      <c r="D1343" s="182" t="s">
        <v>78</v>
      </c>
      <c r="E1343" s="181" t="s">
        <v>4474</v>
      </c>
      <c r="F1343" s="182"/>
      <c r="G1343" s="182">
        <v>42537.1</v>
      </c>
      <c r="H1343" s="182"/>
      <c r="I1343" s="182"/>
      <c r="J1343" s="182"/>
      <c r="K1343" s="182"/>
      <c r="L1343" s="182"/>
      <c r="M1343" s="182"/>
      <c r="N1343" s="182"/>
      <c r="O1343" s="182"/>
      <c r="P1343" s="182"/>
      <c r="Q1343" s="182"/>
      <c r="R1343" s="182"/>
      <c r="S1343" s="182"/>
      <c r="T1343" s="182"/>
      <c r="U1343" s="182"/>
      <c r="V1343" s="182"/>
      <c r="W1343" s="182"/>
      <c r="X1343" s="182"/>
      <c r="Y1343" s="182"/>
      <c r="Z1343" s="182"/>
      <c r="AA1343" s="182"/>
      <c r="AB1343" s="182"/>
      <c r="AC1343" s="182"/>
      <c r="AD1343" s="182"/>
      <c r="AE1343" s="182"/>
      <c r="AF1343" s="182"/>
      <c r="AG1343" s="182"/>
      <c r="AH1343" s="182"/>
      <c r="AI1343" s="182"/>
      <c r="AJ1343" s="182"/>
      <c r="AK1343" s="182"/>
      <c r="AL1343" s="182"/>
      <c r="AM1343" s="182"/>
      <c r="AN1343" s="182"/>
      <c r="AO1343" s="182"/>
      <c r="AP1343" s="182"/>
      <c r="AQ1343" s="185">
        <v>42537.1</v>
      </c>
      <c r="AR1343" s="182">
        <v>36182.53</v>
      </c>
      <c r="AS1343" s="182">
        <v>4447.55</v>
      </c>
      <c r="AT1343" s="182">
        <v>1907.02</v>
      </c>
      <c r="AU1343" s="182"/>
      <c r="AV1343" s="182"/>
      <c r="AW1343" s="182"/>
      <c r="AX1343" s="182"/>
      <c r="AY1343" s="182"/>
      <c r="AZ1343" s="182"/>
      <c r="BA1343" s="182"/>
      <c r="BB1343" s="182"/>
      <c r="BC1343" s="182"/>
      <c r="BD1343" s="182"/>
      <c r="BE1343" s="182"/>
      <c r="BF1343" s="182"/>
      <c r="BG1343" s="182"/>
      <c r="BH1343" s="182"/>
      <c r="BI1343" s="182"/>
      <c r="BJ1343" s="182"/>
      <c r="BK1343" s="182"/>
      <c r="BL1343" s="182"/>
      <c r="BM1343" s="182"/>
      <c r="BN1343" s="182"/>
      <c r="BO1343" s="182"/>
      <c r="BP1343" s="182"/>
      <c r="BQ1343" s="182"/>
      <c r="BR1343" s="182"/>
      <c r="BS1343" s="182"/>
      <c r="BT1343" s="182"/>
      <c r="BU1343" s="182"/>
      <c r="BV1343" s="182"/>
      <c r="BW1343" s="182"/>
      <c r="BX1343" s="182"/>
      <c r="BY1343" s="182"/>
      <c r="BZ1343" s="182"/>
      <c r="CA1343" s="182"/>
      <c r="CB1343" s="185">
        <v>42537.1</v>
      </c>
      <c r="CC1343" s="185">
        <v>0</v>
      </c>
      <c r="CD1343" s="185">
        <v>2689</v>
      </c>
      <c r="CE1343" s="185"/>
    </row>
    <row r="1344" spans="2:83" x14ac:dyDescent="0.3">
      <c r="B1344" s="182">
        <v>5121</v>
      </c>
      <c r="C1344" s="182">
        <v>2690</v>
      </c>
      <c r="D1344" s="182" t="s">
        <v>78</v>
      </c>
      <c r="E1344" s="181" t="s">
        <v>4474</v>
      </c>
      <c r="F1344" s="182"/>
      <c r="G1344" s="182">
        <v>1048.4100000000001</v>
      </c>
      <c r="H1344" s="182"/>
      <c r="I1344" s="182"/>
      <c r="J1344" s="182"/>
      <c r="K1344" s="182"/>
      <c r="L1344" s="182"/>
      <c r="M1344" s="182"/>
      <c r="N1344" s="182"/>
      <c r="O1344" s="182"/>
      <c r="P1344" s="182"/>
      <c r="Q1344" s="182"/>
      <c r="R1344" s="182"/>
      <c r="S1344" s="182"/>
      <c r="T1344" s="182"/>
      <c r="U1344" s="182"/>
      <c r="V1344" s="182"/>
      <c r="W1344" s="182"/>
      <c r="X1344" s="182"/>
      <c r="Y1344" s="182"/>
      <c r="Z1344" s="182"/>
      <c r="AA1344" s="182"/>
      <c r="AB1344" s="182"/>
      <c r="AC1344" s="182"/>
      <c r="AD1344" s="182"/>
      <c r="AE1344" s="182"/>
      <c r="AF1344" s="182"/>
      <c r="AG1344" s="182"/>
      <c r="AH1344" s="182"/>
      <c r="AI1344" s="182"/>
      <c r="AJ1344" s="182"/>
      <c r="AK1344" s="182"/>
      <c r="AL1344" s="182"/>
      <c r="AM1344" s="182"/>
      <c r="AN1344" s="182"/>
      <c r="AO1344" s="182"/>
      <c r="AP1344" s="182"/>
      <c r="AQ1344" s="185">
        <v>1048.4100000000001</v>
      </c>
      <c r="AR1344" s="182">
        <v>862.67</v>
      </c>
      <c r="AS1344" s="182">
        <v>106.45</v>
      </c>
      <c r="AT1344" s="182">
        <v>79.290000000000006</v>
      </c>
      <c r="AU1344" s="182"/>
      <c r="AV1344" s="182"/>
      <c r="AW1344" s="182"/>
      <c r="AX1344" s="182"/>
      <c r="AY1344" s="182"/>
      <c r="AZ1344" s="182"/>
      <c r="BA1344" s="182"/>
      <c r="BB1344" s="182"/>
      <c r="BC1344" s="182"/>
      <c r="BD1344" s="182"/>
      <c r="BE1344" s="182"/>
      <c r="BF1344" s="182"/>
      <c r="BG1344" s="182"/>
      <c r="BH1344" s="182"/>
      <c r="BI1344" s="182"/>
      <c r="BJ1344" s="182"/>
      <c r="BK1344" s="182"/>
      <c r="BL1344" s="182"/>
      <c r="BM1344" s="182"/>
      <c r="BN1344" s="182"/>
      <c r="BO1344" s="182"/>
      <c r="BP1344" s="182"/>
      <c r="BQ1344" s="182"/>
      <c r="BR1344" s="182"/>
      <c r="BS1344" s="182"/>
      <c r="BT1344" s="182"/>
      <c r="BU1344" s="182"/>
      <c r="BV1344" s="182"/>
      <c r="BW1344" s="182"/>
      <c r="BX1344" s="182"/>
      <c r="BY1344" s="182"/>
      <c r="BZ1344" s="182"/>
      <c r="CA1344" s="182"/>
      <c r="CB1344" s="185">
        <v>1048.4100000000001</v>
      </c>
      <c r="CC1344" s="185">
        <v>0</v>
      </c>
      <c r="CD1344" s="185">
        <v>2690</v>
      </c>
      <c r="CE1344" s="185"/>
    </row>
    <row r="1345" spans="2:83" s="198" customFormat="1" x14ac:dyDescent="0.3">
      <c r="B1345" s="190"/>
      <c r="C1345" s="190"/>
      <c r="D1345" s="190"/>
      <c r="E1345" s="199" t="s">
        <v>4475</v>
      </c>
      <c r="F1345" s="190"/>
      <c r="G1345" s="190">
        <v>181307.57</v>
      </c>
      <c r="H1345" s="190">
        <v>0</v>
      </c>
      <c r="I1345" s="190">
        <v>0</v>
      </c>
      <c r="J1345" s="190">
        <v>0</v>
      </c>
      <c r="K1345" s="190">
        <v>0</v>
      </c>
      <c r="L1345" s="190">
        <v>0</v>
      </c>
      <c r="M1345" s="190">
        <v>0</v>
      </c>
      <c r="N1345" s="190">
        <v>0</v>
      </c>
      <c r="O1345" s="190">
        <v>0</v>
      </c>
      <c r="P1345" s="190">
        <v>0</v>
      </c>
      <c r="Q1345" s="190">
        <v>0</v>
      </c>
      <c r="R1345" s="190">
        <v>0</v>
      </c>
      <c r="S1345" s="190">
        <v>0</v>
      </c>
      <c r="T1345" s="190">
        <v>0</v>
      </c>
      <c r="U1345" s="190">
        <v>0</v>
      </c>
      <c r="V1345" s="190">
        <v>0</v>
      </c>
      <c r="W1345" s="190">
        <v>0</v>
      </c>
      <c r="X1345" s="190">
        <v>0</v>
      </c>
      <c r="Y1345" s="190">
        <v>0</v>
      </c>
      <c r="Z1345" s="190">
        <v>0</v>
      </c>
      <c r="AA1345" s="190">
        <v>0</v>
      </c>
      <c r="AB1345" s="190">
        <v>0</v>
      </c>
      <c r="AC1345" s="190">
        <v>0</v>
      </c>
      <c r="AD1345" s="190">
        <v>0</v>
      </c>
      <c r="AE1345" s="190">
        <v>0</v>
      </c>
      <c r="AF1345" s="190">
        <v>0</v>
      </c>
      <c r="AG1345" s="190">
        <v>0</v>
      </c>
      <c r="AH1345" s="190">
        <v>0</v>
      </c>
      <c r="AI1345" s="190">
        <v>0</v>
      </c>
      <c r="AJ1345" s="190">
        <v>0</v>
      </c>
      <c r="AK1345" s="190">
        <v>0</v>
      </c>
      <c r="AL1345" s="190">
        <v>0</v>
      </c>
      <c r="AM1345" s="190">
        <v>0</v>
      </c>
      <c r="AN1345" s="190">
        <v>0</v>
      </c>
      <c r="AO1345" s="190">
        <v>0</v>
      </c>
      <c r="AP1345" s="190">
        <v>0</v>
      </c>
      <c r="AQ1345" s="190">
        <v>181307.57</v>
      </c>
      <c r="AR1345" s="190">
        <v>146208.69000000003</v>
      </c>
      <c r="AS1345" s="190">
        <v>18403.030000000002</v>
      </c>
      <c r="AT1345" s="190">
        <v>16094.600000000002</v>
      </c>
      <c r="AU1345" s="190">
        <v>0</v>
      </c>
      <c r="AV1345" s="190">
        <v>0</v>
      </c>
      <c r="AW1345" s="190">
        <v>0</v>
      </c>
      <c r="AX1345" s="190">
        <v>0</v>
      </c>
      <c r="AY1345" s="190">
        <v>0</v>
      </c>
      <c r="AZ1345" s="190">
        <v>0</v>
      </c>
      <c r="BA1345" s="190">
        <v>0</v>
      </c>
      <c r="BB1345" s="190">
        <v>0</v>
      </c>
      <c r="BC1345" s="190">
        <v>0</v>
      </c>
      <c r="BD1345" s="190">
        <v>601.25</v>
      </c>
      <c r="BE1345" s="190">
        <v>0</v>
      </c>
      <c r="BF1345" s="190">
        <v>0</v>
      </c>
      <c r="BG1345" s="190">
        <v>0</v>
      </c>
      <c r="BH1345" s="190">
        <v>0</v>
      </c>
      <c r="BI1345" s="190">
        <v>0</v>
      </c>
      <c r="BJ1345" s="190">
        <v>0</v>
      </c>
      <c r="BK1345" s="190">
        <v>0</v>
      </c>
      <c r="BL1345" s="190">
        <v>0</v>
      </c>
      <c r="BM1345" s="190">
        <v>0</v>
      </c>
      <c r="BN1345" s="190">
        <v>0</v>
      </c>
      <c r="BO1345" s="190">
        <v>0</v>
      </c>
      <c r="BP1345" s="190">
        <v>0</v>
      </c>
      <c r="BQ1345" s="190">
        <v>0</v>
      </c>
      <c r="BR1345" s="190">
        <v>0</v>
      </c>
      <c r="BS1345" s="190">
        <v>0</v>
      </c>
      <c r="BT1345" s="190">
        <v>0</v>
      </c>
      <c r="BU1345" s="190">
        <v>0</v>
      </c>
      <c r="BV1345" s="190">
        <v>0</v>
      </c>
      <c r="BW1345" s="190">
        <v>0</v>
      </c>
      <c r="BX1345" s="190">
        <v>0</v>
      </c>
      <c r="BY1345" s="190">
        <v>0</v>
      </c>
      <c r="BZ1345" s="190">
        <v>0</v>
      </c>
      <c r="CA1345" s="190">
        <v>0</v>
      </c>
      <c r="CB1345" s="190">
        <v>181307.57</v>
      </c>
      <c r="CC1345" s="190">
        <v>0</v>
      </c>
      <c r="CD1345" s="190"/>
      <c r="CE1345" s="190"/>
    </row>
    <row r="1346" spans="2:83" ht="56.25" x14ac:dyDescent="0.3">
      <c r="B1346" s="182"/>
      <c r="C1346" s="182">
        <v>38</v>
      </c>
      <c r="D1346" s="182" t="s">
        <v>332</v>
      </c>
      <c r="E1346" s="181" t="s">
        <v>4476</v>
      </c>
      <c r="F1346" s="182"/>
      <c r="G1346" s="182"/>
      <c r="H1346" s="182"/>
      <c r="I1346" s="182"/>
      <c r="J1346" s="182"/>
      <c r="K1346" s="182"/>
      <c r="L1346" s="182"/>
      <c r="M1346" s="182"/>
      <c r="N1346" s="182"/>
      <c r="O1346" s="182"/>
      <c r="P1346" s="182"/>
      <c r="Q1346" s="182"/>
      <c r="R1346" s="182"/>
      <c r="S1346" s="182"/>
      <c r="T1346" s="182"/>
      <c r="U1346" s="182"/>
      <c r="V1346" s="182"/>
      <c r="W1346" s="182"/>
      <c r="X1346" s="182"/>
      <c r="Y1346" s="182"/>
      <c r="Z1346" s="182"/>
      <c r="AA1346" s="182"/>
      <c r="AB1346" s="182"/>
      <c r="AC1346" s="182"/>
      <c r="AD1346" s="182"/>
      <c r="AE1346" s="182"/>
      <c r="AF1346" s="182"/>
      <c r="AG1346" s="182"/>
      <c r="AH1346" s="182"/>
      <c r="AI1346" s="182"/>
      <c r="AJ1346" s="182"/>
      <c r="AK1346" s="182"/>
      <c r="AL1346" s="182"/>
      <c r="AM1346" s="182"/>
      <c r="AN1346" s="182"/>
      <c r="AO1346" s="182"/>
      <c r="AP1346" s="182"/>
      <c r="AQ1346" s="185"/>
      <c r="AR1346" s="182"/>
      <c r="AS1346" s="182"/>
      <c r="AT1346" s="182"/>
      <c r="AU1346" s="182"/>
      <c r="AV1346" s="182"/>
      <c r="AW1346" s="182"/>
      <c r="AX1346" s="182"/>
      <c r="AY1346" s="182"/>
      <c r="AZ1346" s="182"/>
      <c r="BA1346" s="182"/>
      <c r="BB1346" s="182"/>
      <c r="BC1346" s="182"/>
      <c r="BD1346" s="182"/>
      <c r="BE1346" s="182"/>
      <c r="BF1346" s="182"/>
      <c r="BG1346" s="182"/>
      <c r="BH1346" s="182"/>
      <c r="BI1346" s="182"/>
      <c r="BJ1346" s="182"/>
      <c r="BK1346" s="182"/>
      <c r="BL1346" s="182"/>
      <c r="BM1346" s="182"/>
      <c r="BN1346" s="182"/>
      <c r="BO1346" s="182"/>
      <c r="BP1346" s="182"/>
      <c r="BQ1346" s="182"/>
      <c r="BR1346" s="182"/>
      <c r="BS1346" s="182"/>
      <c r="BT1346" s="182"/>
      <c r="BU1346" s="182"/>
      <c r="BV1346" s="182"/>
      <c r="BW1346" s="182"/>
      <c r="BX1346" s="182"/>
      <c r="BY1346" s="182"/>
      <c r="BZ1346" s="182"/>
      <c r="CA1346" s="182"/>
      <c r="CB1346" s="185"/>
      <c r="CC1346" s="185"/>
      <c r="CD1346" s="185"/>
      <c r="CE1346" s="185"/>
    </row>
    <row r="1347" spans="2:83" x14ac:dyDescent="0.3">
      <c r="B1347" s="185"/>
      <c r="C1347" s="185"/>
      <c r="D1347" s="185"/>
      <c r="E1347" s="184" t="s">
        <v>4477</v>
      </c>
      <c r="F1347" s="185"/>
      <c r="G1347" s="185"/>
      <c r="H1347" s="185"/>
      <c r="I1347" s="185"/>
      <c r="J1347" s="185"/>
      <c r="K1347" s="185"/>
      <c r="L1347" s="185"/>
      <c r="M1347" s="185"/>
      <c r="N1347" s="185"/>
      <c r="O1347" s="185"/>
      <c r="P1347" s="185"/>
      <c r="Q1347" s="185"/>
      <c r="R1347" s="185"/>
      <c r="S1347" s="185"/>
      <c r="T1347" s="185"/>
      <c r="U1347" s="185"/>
      <c r="V1347" s="185"/>
      <c r="W1347" s="185"/>
      <c r="X1347" s="185"/>
      <c r="Y1347" s="185"/>
      <c r="Z1347" s="185"/>
      <c r="AA1347" s="185"/>
      <c r="AB1347" s="185"/>
      <c r="AC1347" s="185"/>
      <c r="AD1347" s="185"/>
      <c r="AE1347" s="185"/>
      <c r="AF1347" s="185"/>
      <c r="AG1347" s="185"/>
      <c r="AH1347" s="185"/>
      <c r="AI1347" s="185"/>
      <c r="AJ1347" s="185"/>
      <c r="AK1347" s="185"/>
      <c r="AL1347" s="185"/>
      <c r="AM1347" s="185"/>
      <c r="AN1347" s="185"/>
      <c r="AO1347" s="185"/>
      <c r="AP1347" s="185"/>
      <c r="AQ1347" s="185"/>
      <c r="AR1347" s="185"/>
      <c r="AS1347" s="185"/>
      <c r="AT1347" s="185"/>
      <c r="AU1347" s="185"/>
      <c r="AV1347" s="185"/>
      <c r="AW1347" s="185"/>
      <c r="AX1347" s="185"/>
      <c r="AY1347" s="185"/>
      <c r="AZ1347" s="185"/>
      <c r="BA1347" s="185"/>
      <c r="BB1347" s="185"/>
      <c r="BC1347" s="185"/>
      <c r="BD1347" s="185"/>
      <c r="BE1347" s="185"/>
      <c r="BF1347" s="185"/>
      <c r="BG1347" s="185"/>
      <c r="BH1347" s="185"/>
      <c r="BI1347" s="185"/>
      <c r="BJ1347" s="185"/>
      <c r="BK1347" s="185"/>
      <c r="BL1347" s="185"/>
      <c r="BM1347" s="185"/>
      <c r="BN1347" s="185"/>
      <c r="BO1347" s="185"/>
      <c r="BP1347" s="185"/>
      <c r="BQ1347" s="185"/>
      <c r="BR1347" s="185"/>
      <c r="BS1347" s="185"/>
      <c r="BT1347" s="185"/>
      <c r="BU1347" s="185"/>
      <c r="BV1347" s="185"/>
      <c r="BW1347" s="185"/>
      <c r="BX1347" s="185"/>
      <c r="BY1347" s="185"/>
      <c r="BZ1347" s="185"/>
      <c r="CA1347" s="185"/>
      <c r="CB1347" s="185"/>
      <c r="CC1347" s="185"/>
      <c r="CD1347" s="185"/>
      <c r="CE1347" s="185"/>
    </row>
    <row r="1348" spans="2:83" x14ac:dyDescent="0.3">
      <c r="B1348" s="182"/>
      <c r="C1348" s="182">
        <v>39</v>
      </c>
      <c r="D1348" s="182" t="s">
        <v>325</v>
      </c>
      <c r="E1348" s="181" t="s">
        <v>4478</v>
      </c>
      <c r="F1348" s="182"/>
      <c r="G1348" s="182"/>
      <c r="H1348" s="182"/>
      <c r="I1348" s="182"/>
      <c r="J1348" s="182"/>
      <c r="K1348" s="182">
        <v>6643547.9900000002</v>
      </c>
      <c r="L1348" s="182">
        <v>6643547.9900000002</v>
      </c>
      <c r="M1348" s="182">
        <v>6643547.9900000002</v>
      </c>
      <c r="N1348" s="182"/>
      <c r="O1348" s="182"/>
      <c r="P1348" s="182"/>
      <c r="Q1348" s="182"/>
      <c r="R1348" s="182"/>
      <c r="S1348" s="182"/>
      <c r="T1348" s="182"/>
      <c r="U1348" s="182"/>
      <c r="V1348" s="182"/>
      <c r="W1348" s="182"/>
      <c r="X1348" s="182"/>
      <c r="Y1348" s="182"/>
      <c r="Z1348" s="182"/>
      <c r="AA1348" s="182"/>
      <c r="AB1348" s="182"/>
      <c r="AC1348" s="182"/>
      <c r="AD1348" s="182"/>
      <c r="AE1348" s="182"/>
      <c r="AF1348" s="182"/>
      <c r="AG1348" s="182"/>
      <c r="AH1348" s="182"/>
      <c r="AI1348" s="182"/>
      <c r="AJ1348" s="182"/>
      <c r="AK1348" s="182"/>
      <c r="AL1348" s="182"/>
      <c r="AM1348" s="182"/>
      <c r="AN1348" s="182"/>
      <c r="AO1348" s="182"/>
      <c r="AP1348" s="182"/>
      <c r="AQ1348" s="185">
        <v>19930643.969999999</v>
      </c>
      <c r="AR1348" s="182"/>
      <c r="AS1348" s="182"/>
      <c r="AT1348" s="182"/>
      <c r="AU1348" s="182"/>
      <c r="AV1348" s="182"/>
      <c r="AW1348" s="182"/>
      <c r="AX1348" s="182"/>
      <c r="AY1348" s="182"/>
      <c r="AZ1348" s="182"/>
      <c r="BA1348" s="182"/>
      <c r="BB1348" s="182"/>
      <c r="BC1348" s="182"/>
      <c r="BD1348" s="182"/>
      <c r="BE1348" s="182"/>
      <c r="BF1348" s="182"/>
      <c r="BG1348" s="182"/>
      <c r="BH1348" s="182"/>
      <c r="BI1348" s="182"/>
      <c r="BJ1348" s="182">
        <v>6643547.9900000002</v>
      </c>
      <c r="BK1348" s="182">
        <v>6643547.9900000002</v>
      </c>
      <c r="BL1348" s="182"/>
      <c r="BM1348" s="182"/>
      <c r="BN1348" s="182"/>
      <c r="BO1348" s="182"/>
      <c r="BP1348" s="182"/>
      <c r="BQ1348" s="182"/>
      <c r="BR1348" s="182"/>
      <c r="BS1348" s="182"/>
      <c r="BT1348" s="182"/>
      <c r="BU1348" s="182"/>
      <c r="BV1348" s="182"/>
      <c r="BW1348" s="182"/>
      <c r="BX1348" s="182"/>
      <c r="BY1348" s="182"/>
      <c r="BZ1348" s="182"/>
      <c r="CA1348" s="182">
        <v>6643547.9900000002</v>
      </c>
      <c r="CB1348" s="185">
        <v>19930643.969999999</v>
      </c>
      <c r="CC1348" s="185">
        <v>0</v>
      </c>
      <c r="CD1348" s="185">
        <v>39</v>
      </c>
      <c r="CE1348" s="185"/>
    </row>
    <row r="1349" spans="2:83" x14ac:dyDescent="0.3">
      <c r="B1349" s="182"/>
      <c r="C1349" s="182">
        <v>40</v>
      </c>
      <c r="D1349" s="182"/>
      <c r="E1349" s="181" t="s">
        <v>4479</v>
      </c>
      <c r="F1349" s="182"/>
      <c r="G1349" s="182"/>
      <c r="H1349" s="182"/>
      <c r="I1349" s="182"/>
      <c r="J1349" s="182"/>
      <c r="K1349" s="182"/>
      <c r="L1349" s="182"/>
      <c r="M1349" s="182"/>
      <c r="N1349" s="182"/>
      <c r="O1349" s="182"/>
      <c r="P1349" s="182">
        <v>10000</v>
      </c>
      <c r="Q1349" s="182"/>
      <c r="R1349" s="182"/>
      <c r="S1349" s="182"/>
      <c r="T1349" s="182"/>
      <c r="U1349" s="182"/>
      <c r="V1349" s="182"/>
      <c r="W1349" s="182"/>
      <c r="X1349" s="182"/>
      <c r="Y1349" s="182"/>
      <c r="Z1349" s="182"/>
      <c r="AA1349" s="182"/>
      <c r="AB1349" s="182"/>
      <c r="AC1349" s="182"/>
      <c r="AD1349" s="182"/>
      <c r="AE1349" s="182"/>
      <c r="AF1349" s="182"/>
      <c r="AG1349" s="182"/>
      <c r="AH1349" s="182"/>
      <c r="AI1349" s="182"/>
      <c r="AJ1349" s="182"/>
      <c r="AK1349" s="182"/>
      <c r="AL1349" s="182"/>
      <c r="AM1349" s="182"/>
      <c r="AN1349" s="182"/>
      <c r="AO1349" s="182"/>
      <c r="AP1349" s="182"/>
      <c r="AQ1349" s="185">
        <v>10000</v>
      </c>
      <c r="AR1349" s="182"/>
      <c r="AS1349" s="182"/>
      <c r="AT1349" s="182"/>
      <c r="AU1349" s="182"/>
      <c r="AV1349" s="182"/>
      <c r="AW1349" s="182"/>
      <c r="AX1349" s="182"/>
      <c r="AY1349" s="182"/>
      <c r="AZ1349" s="182"/>
      <c r="BA1349" s="182"/>
      <c r="BB1349" s="182"/>
      <c r="BC1349" s="182"/>
      <c r="BD1349" s="182"/>
      <c r="BE1349" s="182"/>
      <c r="BF1349" s="182"/>
      <c r="BG1349" s="182"/>
      <c r="BH1349" s="182"/>
      <c r="BI1349" s="182"/>
      <c r="BJ1349" s="182"/>
      <c r="BK1349" s="182"/>
      <c r="BL1349" s="182"/>
      <c r="BM1349" s="182"/>
      <c r="BN1349" s="182">
        <v>10000</v>
      </c>
      <c r="BO1349" s="182"/>
      <c r="BP1349" s="182"/>
      <c r="BQ1349" s="182"/>
      <c r="BR1349" s="182"/>
      <c r="BS1349" s="182"/>
      <c r="BT1349" s="182"/>
      <c r="BU1349" s="182"/>
      <c r="BV1349" s="182"/>
      <c r="BW1349" s="182"/>
      <c r="BX1349" s="182"/>
      <c r="BY1349" s="182"/>
      <c r="BZ1349" s="182"/>
      <c r="CA1349" s="182"/>
      <c r="CB1349" s="185">
        <v>10000</v>
      </c>
      <c r="CC1349" s="185">
        <v>0</v>
      </c>
      <c r="CD1349" s="185">
        <v>40</v>
      </c>
      <c r="CE1349" s="185"/>
    </row>
    <row r="1350" spans="2:83" x14ac:dyDescent="0.3">
      <c r="B1350" s="182"/>
      <c r="C1350" s="182">
        <v>41</v>
      </c>
      <c r="D1350" s="182"/>
      <c r="E1350" s="181" t="s">
        <v>4480</v>
      </c>
      <c r="F1350" s="182"/>
      <c r="G1350" s="182"/>
      <c r="H1350" s="182"/>
      <c r="I1350" s="182"/>
      <c r="J1350" s="182"/>
      <c r="K1350" s="182"/>
      <c r="L1350" s="182"/>
      <c r="M1350" s="182"/>
      <c r="N1350" s="182"/>
      <c r="O1350" s="182"/>
      <c r="P1350" s="182">
        <v>15000</v>
      </c>
      <c r="Q1350" s="182"/>
      <c r="R1350" s="182"/>
      <c r="S1350" s="182"/>
      <c r="T1350" s="182"/>
      <c r="U1350" s="182"/>
      <c r="V1350" s="182"/>
      <c r="W1350" s="182"/>
      <c r="X1350" s="182"/>
      <c r="Y1350" s="182"/>
      <c r="Z1350" s="182"/>
      <c r="AA1350" s="182"/>
      <c r="AB1350" s="182"/>
      <c r="AC1350" s="182"/>
      <c r="AD1350" s="182"/>
      <c r="AE1350" s="182"/>
      <c r="AF1350" s="182"/>
      <c r="AG1350" s="182"/>
      <c r="AH1350" s="182"/>
      <c r="AI1350" s="182"/>
      <c r="AJ1350" s="182"/>
      <c r="AK1350" s="182"/>
      <c r="AL1350" s="182"/>
      <c r="AM1350" s="182"/>
      <c r="AN1350" s="182"/>
      <c r="AO1350" s="182"/>
      <c r="AP1350" s="182"/>
      <c r="AQ1350" s="185">
        <v>15000</v>
      </c>
      <c r="AR1350" s="182"/>
      <c r="AS1350" s="182"/>
      <c r="AT1350" s="182"/>
      <c r="AU1350" s="182"/>
      <c r="AV1350" s="182"/>
      <c r="AW1350" s="182"/>
      <c r="AX1350" s="182"/>
      <c r="AY1350" s="182"/>
      <c r="AZ1350" s="182"/>
      <c r="BA1350" s="182"/>
      <c r="BB1350" s="182"/>
      <c r="BC1350" s="182"/>
      <c r="BD1350" s="182"/>
      <c r="BE1350" s="182"/>
      <c r="BF1350" s="182"/>
      <c r="BG1350" s="182"/>
      <c r="BH1350" s="182"/>
      <c r="BI1350" s="182"/>
      <c r="BJ1350" s="182"/>
      <c r="BK1350" s="182"/>
      <c r="BL1350" s="182"/>
      <c r="BM1350" s="182"/>
      <c r="BN1350" s="182">
        <v>15000</v>
      </c>
      <c r="BO1350" s="182"/>
      <c r="BP1350" s="182"/>
      <c r="BQ1350" s="182"/>
      <c r="BR1350" s="182"/>
      <c r="BS1350" s="182"/>
      <c r="BT1350" s="182"/>
      <c r="BU1350" s="182"/>
      <c r="BV1350" s="182"/>
      <c r="BW1350" s="182"/>
      <c r="BX1350" s="182"/>
      <c r="BY1350" s="182"/>
      <c r="BZ1350" s="182"/>
      <c r="CA1350" s="182"/>
      <c r="CB1350" s="185">
        <v>15000</v>
      </c>
      <c r="CC1350" s="185">
        <v>0</v>
      </c>
      <c r="CD1350" s="185">
        <v>41</v>
      </c>
      <c r="CE1350" s="185"/>
    </row>
    <row r="1351" spans="2:83" x14ac:dyDescent="0.3">
      <c r="B1351" s="182"/>
      <c r="C1351" s="182">
        <v>42</v>
      </c>
      <c r="D1351" s="182"/>
      <c r="E1351" s="181" t="s">
        <v>4481</v>
      </c>
      <c r="F1351" s="182"/>
      <c r="G1351" s="182"/>
      <c r="H1351" s="182"/>
      <c r="I1351" s="182"/>
      <c r="J1351" s="182"/>
      <c r="K1351" s="182"/>
      <c r="L1351" s="182"/>
      <c r="M1351" s="182"/>
      <c r="N1351" s="182"/>
      <c r="O1351" s="182"/>
      <c r="P1351" s="182">
        <v>11250</v>
      </c>
      <c r="Q1351" s="182"/>
      <c r="R1351" s="182"/>
      <c r="S1351" s="182"/>
      <c r="T1351" s="182"/>
      <c r="U1351" s="182"/>
      <c r="V1351" s="182"/>
      <c r="W1351" s="182"/>
      <c r="X1351" s="182"/>
      <c r="Y1351" s="182"/>
      <c r="Z1351" s="182"/>
      <c r="AA1351" s="182"/>
      <c r="AB1351" s="182"/>
      <c r="AC1351" s="182"/>
      <c r="AD1351" s="182"/>
      <c r="AE1351" s="182"/>
      <c r="AF1351" s="182"/>
      <c r="AG1351" s="182"/>
      <c r="AH1351" s="182"/>
      <c r="AI1351" s="182"/>
      <c r="AJ1351" s="182"/>
      <c r="AK1351" s="182"/>
      <c r="AL1351" s="182"/>
      <c r="AM1351" s="182"/>
      <c r="AN1351" s="182"/>
      <c r="AO1351" s="182"/>
      <c r="AP1351" s="182"/>
      <c r="AQ1351" s="185">
        <v>11250</v>
      </c>
      <c r="AR1351" s="182"/>
      <c r="AS1351" s="182"/>
      <c r="AT1351" s="182"/>
      <c r="AU1351" s="182"/>
      <c r="AV1351" s="182"/>
      <c r="AW1351" s="182"/>
      <c r="AX1351" s="182"/>
      <c r="AY1351" s="182"/>
      <c r="AZ1351" s="182"/>
      <c r="BA1351" s="182"/>
      <c r="BB1351" s="182"/>
      <c r="BC1351" s="182"/>
      <c r="BD1351" s="182"/>
      <c r="BE1351" s="182"/>
      <c r="BF1351" s="182"/>
      <c r="BG1351" s="182"/>
      <c r="BH1351" s="182"/>
      <c r="BI1351" s="182"/>
      <c r="BJ1351" s="182"/>
      <c r="BK1351" s="182"/>
      <c r="BL1351" s="182"/>
      <c r="BM1351" s="182"/>
      <c r="BN1351" s="182">
        <v>11250</v>
      </c>
      <c r="BO1351" s="182"/>
      <c r="BP1351" s="182"/>
      <c r="BQ1351" s="182"/>
      <c r="BR1351" s="182"/>
      <c r="BS1351" s="182"/>
      <c r="BT1351" s="182"/>
      <c r="BU1351" s="182"/>
      <c r="BV1351" s="182"/>
      <c r="BW1351" s="182"/>
      <c r="BX1351" s="182"/>
      <c r="BY1351" s="182"/>
      <c r="BZ1351" s="182"/>
      <c r="CA1351" s="182"/>
      <c r="CB1351" s="185">
        <v>11250</v>
      </c>
      <c r="CC1351" s="185">
        <v>0</v>
      </c>
      <c r="CD1351" s="185">
        <v>42</v>
      </c>
      <c r="CE1351" s="185"/>
    </row>
    <row r="1352" spans="2:83" x14ac:dyDescent="0.3">
      <c r="B1352" s="182"/>
      <c r="C1352" s="182">
        <v>43</v>
      </c>
      <c r="D1352" s="182"/>
      <c r="E1352" s="181" t="s">
        <v>4482</v>
      </c>
      <c r="F1352" s="182"/>
      <c r="G1352" s="182"/>
      <c r="H1352" s="182"/>
      <c r="I1352" s="182"/>
      <c r="J1352" s="182"/>
      <c r="K1352" s="182"/>
      <c r="L1352" s="182"/>
      <c r="M1352" s="182"/>
      <c r="N1352" s="182"/>
      <c r="O1352" s="182"/>
      <c r="P1352" s="182">
        <v>5250</v>
      </c>
      <c r="Q1352" s="182"/>
      <c r="R1352" s="182"/>
      <c r="S1352" s="182"/>
      <c r="T1352" s="182"/>
      <c r="U1352" s="182"/>
      <c r="V1352" s="182"/>
      <c r="W1352" s="182"/>
      <c r="X1352" s="182"/>
      <c r="Y1352" s="182"/>
      <c r="Z1352" s="182"/>
      <c r="AA1352" s="182"/>
      <c r="AB1352" s="182"/>
      <c r="AC1352" s="182"/>
      <c r="AD1352" s="182"/>
      <c r="AE1352" s="182"/>
      <c r="AF1352" s="182"/>
      <c r="AG1352" s="182"/>
      <c r="AH1352" s="182"/>
      <c r="AI1352" s="182"/>
      <c r="AJ1352" s="182"/>
      <c r="AK1352" s="182"/>
      <c r="AL1352" s="182"/>
      <c r="AM1352" s="182"/>
      <c r="AN1352" s="182"/>
      <c r="AO1352" s="182"/>
      <c r="AP1352" s="182"/>
      <c r="AQ1352" s="185">
        <v>5250</v>
      </c>
      <c r="AR1352" s="182"/>
      <c r="AS1352" s="182"/>
      <c r="AT1352" s="182"/>
      <c r="AU1352" s="182"/>
      <c r="AV1352" s="182"/>
      <c r="AW1352" s="182"/>
      <c r="AX1352" s="182"/>
      <c r="AY1352" s="182"/>
      <c r="AZ1352" s="182"/>
      <c r="BA1352" s="182"/>
      <c r="BB1352" s="182"/>
      <c r="BC1352" s="182"/>
      <c r="BD1352" s="182"/>
      <c r="BE1352" s="182"/>
      <c r="BF1352" s="182"/>
      <c r="BG1352" s="182"/>
      <c r="BH1352" s="182"/>
      <c r="BI1352" s="182"/>
      <c r="BJ1352" s="182"/>
      <c r="BK1352" s="182"/>
      <c r="BL1352" s="182"/>
      <c r="BM1352" s="182"/>
      <c r="BN1352" s="182">
        <v>5250</v>
      </c>
      <c r="BO1352" s="182"/>
      <c r="BP1352" s="182"/>
      <c r="BQ1352" s="182"/>
      <c r="BR1352" s="182"/>
      <c r="BS1352" s="182"/>
      <c r="BT1352" s="182"/>
      <c r="BU1352" s="182"/>
      <c r="BV1352" s="182"/>
      <c r="BW1352" s="182"/>
      <c r="BX1352" s="182"/>
      <c r="BY1352" s="182"/>
      <c r="BZ1352" s="182"/>
      <c r="CA1352" s="182"/>
      <c r="CB1352" s="185">
        <v>5250</v>
      </c>
      <c r="CC1352" s="185">
        <v>0</v>
      </c>
      <c r="CD1352" s="185">
        <v>43</v>
      </c>
      <c r="CE1352" s="185"/>
    </row>
    <row r="1353" spans="2:83" x14ac:dyDescent="0.3">
      <c r="B1353" s="182"/>
      <c r="C1353" s="182">
        <v>44</v>
      </c>
      <c r="D1353" s="182"/>
      <c r="E1353" s="181" t="s">
        <v>4483</v>
      </c>
      <c r="F1353" s="182"/>
      <c r="G1353" s="182"/>
      <c r="H1353" s="182"/>
      <c r="I1353" s="182"/>
      <c r="J1353" s="182"/>
      <c r="K1353" s="182"/>
      <c r="L1353" s="182"/>
      <c r="M1353" s="182"/>
      <c r="N1353" s="182"/>
      <c r="O1353" s="182"/>
      <c r="P1353" s="182"/>
      <c r="Q1353" s="182"/>
      <c r="R1353" s="182"/>
      <c r="S1353" s="182"/>
      <c r="T1353" s="182"/>
      <c r="U1353" s="182"/>
      <c r="V1353" s="182"/>
      <c r="W1353" s="182"/>
      <c r="X1353" s="182"/>
      <c r="Y1353" s="182"/>
      <c r="Z1353" s="182"/>
      <c r="AA1353" s="182"/>
      <c r="AB1353" s="182">
        <v>3100</v>
      </c>
      <c r="AC1353" s="182"/>
      <c r="AD1353" s="182"/>
      <c r="AE1353" s="182"/>
      <c r="AF1353" s="182"/>
      <c r="AG1353" s="182"/>
      <c r="AH1353" s="182"/>
      <c r="AI1353" s="182"/>
      <c r="AJ1353" s="182"/>
      <c r="AK1353" s="182"/>
      <c r="AL1353" s="182"/>
      <c r="AM1353" s="182"/>
      <c r="AN1353" s="182"/>
      <c r="AO1353" s="182"/>
      <c r="AP1353" s="182"/>
      <c r="AQ1353" s="185">
        <v>3100</v>
      </c>
      <c r="AR1353" s="182"/>
      <c r="AS1353" s="182"/>
      <c r="AT1353" s="182"/>
      <c r="AU1353" s="182"/>
      <c r="AV1353" s="182"/>
      <c r="AW1353" s="182"/>
      <c r="AX1353" s="182"/>
      <c r="AY1353" s="182"/>
      <c r="AZ1353" s="182"/>
      <c r="BA1353" s="182"/>
      <c r="BB1353" s="182"/>
      <c r="BC1353" s="182"/>
      <c r="BD1353" s="182"/>
      <c r="BE1353" s="182"/>
      <c r="BF1353" s="182"/>
      <c r="BG1353" s="182"/>
      <c r="BH1353" s="182"/>
      <c r="BI1353" s="182"/>
      <c r="BJ1353" s="182"/>
      <c r="BK1353" s="182"/>
      <c r="BL1353" s="182"/>
      <c r="BM1353" s="182"/>
      <c r="BN1353" s="182"/>
      <c r="BO1353" s="182">
        <v>3100</v>
      </c>
      <c r="BP1353" s="182"/>
      <c r="BQ1353" s="182"/>
      <c r="BR1353" s="182"/>
      <c r="BS1353" s="182"/>
      <c r="BT1353" s="182"/>
      <c r="BU1353" s="182"/>
      <c r="BV1353" s="182"/>
      <c r="BW1353" s="182"/>
      <c r="BX1353" s="182"/>
      <c r="BY1353" s="182"/>
      <c r="BZ1353" s="182"/>
      <c r="CA1353" s="182"/>
      <c r="CB1353" s="185">
        <v>3100</v>
      </c>
      <c r="CC1353" s="185">
        <v>0</v>
      </c>
      <c r="CD1353" s="185">
        <v>44</v>
      </c>
      <c r="CE1353" s="185"/>
    </row>
    <row r="1354" spans="2:83" x14ac:dyDescent="0.3">
      <c r="B1354" s="182"/>
      <c r="C1354" s="182">
        <v>45</v>
      </c>
      <c r="D1354" s="182"/>
      <c r="E1354" s="181" t="s">
        <v>4484</v>
      </c>
      <c r="F1354" s="182"/>
      <c r="G1354" s="182"/>
      <c r="H1354" s="182"/>
      <c r="I1354" s="182"/>
      <c r="J1354" s="182"/>
      <c r="K1354" s="182"/>
      <c r="L1354" s="182"/>
      <c r="M1354" s="182"/>
      <c r="N1354" s="182"/>
      <c r="O1354" s="182"/>
      <c r="P1354" s="182"/>
      <c r="Q1354" s="182"/>
      <c r="R1354" s="182"/>
      <c r="S1354" s="182"/>
      <c r="T1354" s="182"/>
      <c r="U1354" s="182"/>
      <c r="V1354" s="182"/>
      <c r="W1354" s="182"/>
      <c r="X1354" s="182"/>
      <c r="Y1354" s="182"/>
      <c r="Z1354" s="182"/>
      <c r="AA1354" s="182"/>
      <c r="AB1354" s="182">
        <v>201105.79</v>
      </c>
      <c r="AC1354" s="182"/>
      <c r="AD1354" s="182"/>
      <c r="AE1354" s="182"/>
      <c r="AF1354" s="182"/>
      <c r="AG1354" s="182"/>
      <c r="AH1354" s="182"/>
      <c r="AI1354" s="182"/>
      <c r="AJ1354" s="182"/>
      <c r="AK1354" s="182"/>
      <c r="AL1354" s="182"/>
      <c r="AM1354" s="182"/>
      <c r="AN1354" s="182"/>
      <c r="AO1354" s="182"/>
      <c r="AP1354" s="182"/>
      <c r="AQ1354" s="185">
        <v>201105.79</v>
      </c>
      <c r="AR1354" s="182"/>
      <c r="AS1354" s="182"/>
      <c r="AT1354" s="182"/>
      <c r="AU1354" s="182"/>
      <c r="AV1354" s="182"/>
      <c r="AW1354" s="182"/>
      <c r="AX1354" s="182"/>
      <c r="AY1354" s="182"/>
      <c r="AZ1354" s="182"/>
      <c r="BA1354" s="182"/>
      <c r="BB1354" s="182"/>
      <c r="BC1354" s="182"/>
      <c r="BD1354" s="182"/>
      <c r="BE1354" s="182"/>
      <c r="BF1354" s="182"/>
      <c r="BG1354" s="182"/>
      <c r="BH1354" s="182"/>
      <c r="BI1354" s="182"/>
      <c r="BJ1354" s="182"/>
      <c r="BK1354" s="182"/>
      <c r="BL1354" s="182"/>
      <c r="BM1354" s="182"/>
      <c r="BN1354" s="182"/>
      <c r="BO1354" s="182">
        <v>201105.79</v>
      </c>
      <c r="BP1354" s="182"/>
      <c r="BQ1354" s="182"/>
      <c r="BR1354" s="182"/>
      <c r="BS1354" s="182"/>
      <c r="BT1354" s="182"/>
      <c r="BU1354" s="182"/>
      <c r="BV1354" s="182"/>
      <c r="BW1354" s="182"/>
      <c r="BX1354" s="182"/>
      <c r="BY1354" s="182"/>
      <c r="BZ1354" s="182"/>
      <c r="CA1354" s="182"/>
      <c r="CB1354" s="185">
        <v>201105.79</v>
      </c>
      <c r="CC1354" s="185">
        <v>0</v>
      </c>
      <c r="CD1354" s="185">
        <v>45</v>
      </c>
      <c r="CE1354" s="185"/>
    </row>
    <row r="1355" spans="2:83" x14ac:dyDescent="0.3">
      <c r="B1355" s="182"/>
      <c r="C1355" s="182">
        <v>46</v>
      </c>
      <c r="D1355" s="182"/>
      <c r="E1355" s="181" t="s">
        <v>4485</v>
      </c>
      <c r="F1355" s="182"/>
      <c r="G1355" s="182"/>
      <c r="H1355" s="182"/>
      <c r="I1355" s="182"/>
      <c r="J1355" s="182"/>
      <c r="K1355" s="182"/>
      <c r="L1355" s="182"/>
      <c r="M1355" s="182"/>
      <c r="N1355" s="182"/>
      <c r="O1355" s="182"/>
      <c r="P1355" s="182"/>
      <c r="Q1355" s="182"/>
      <c r="R1355" s="182"/>
      <c r="S1355" s="182"/>
      <c r="T1355" s="182"/>
      <c r="U1355" s="182"/>
      <c r="V1355" s="182"/>
      <c r="W1355" s="182"/>
      <c r="X1355" s="182"/>
      <c r="Y1355" s="182"/>
      <c r="Z1355" s="182"/>
      <c r="AA1355" s="182">
        <v>2010000</v>
      </c>
      <c r="AB1355" s="182"/>
      <c r="AC1355" s="182"/>
      <c r="AD1355" s="182"/>
      <c r="AE1355" s="182"/>
      <c r="AF1355" s="182"/>
      <c r="AG1355" s="182"/>
      <c r="AH1355" s="182"/>
      <c r="AI1355" s="182"/>
      <c r="AJ1355" s="182"/>
      <c r="AK1355" s="182"/>
      <c r="AL1355" s="182"/>
      <c r="AM1355" s="182"/>
      <c r="AN1355" s="182"/>
      <c r="AO1355" s="182"/>
      <c r="AP1355" s="182"/>
      <c r="AQ1355" s="185">
        <v>2010000</v>
      </c>
      <c r="AR1355" s="182"/>
      <c r="AS1355" s="182"/>
      <c r="AT1355" s="182"/>
      <c r="AU1355" s="182"/>
      <c r="AV1355" s="182"/>
      <c r="AW1355" s="182"/>
      <c r="AX1355" s="182"/>
      <c r="AY1355" s="182"/>
      <c r="AZ1355" s="182"/>
      <c r="BA1355" s="182"/>
      <c r="BB1355" s="182"/>
      <c r="BC1355" s="182"/>
      <c r="BD1355" s="182"/>
      <c r="BE1355" s="182"/>
      <c r="BF1355" s="182"/>
      <c r="BG1355" s="182"/>
      <c r="BH1355" s="182"/>
      <c r="BI1355" s="182"/>
      <c r="BJ1355" s="182"/>
      <c r="BK1355" s="182"/>
      <c r="BL1355" s="182"/>
      <c r="BM1355" s="182"/>
      <c r="BN1355" s="182"/>
      <c r="BO1355" s="182"/>
      <c r="BP1355" s="182">
        <v>2010000</v>
      </c>
      <c r="BQ1355" s="182"/>
      <c r="BR1355" s="182"/>
      <c r="BS1355" s="182"/>
      <c r="BT1355" s="182"/>
      <c r="BU1355" s="182"/>
      <c r="BV1355" s="182"/>
      <c r="BW1355" s="182"/>
      <c r="BX1355" s="182"/>
      <c r="BY1355" s="182"/>
      <c r="BZ1355" s="182"/>
      <c r="CA1355" s="182"/>
      <c r="CB1355" s="185">
        <v>2010000</v>
      </c>
      <c r="CC1355" s="185">
        <v>0</v>
      </c>
      <c r="CD1355" s="185">
        <v>46</v>
      </c>
      <c r="CE1355" s="185"/>
    </row>
    <row r="1356" spans="2:83" x14ac:dyDescent="0.3">
      <c r="B1356" s="182"/>
      <c r="C1356" s="182">
        <v>47</v>
      </c>
      <c r="D1356" s="182"/>
      <c r="E1356" s="181" t="s">
        <v>4485</v>
      </c>
      <c r="F1356" s="182"/>
      <c r="G1356" s="182"/>
      <c r="H1356" s="182"/>
      <c r="I1356" s="182"/>
      <c r="J1356" s="182"/>
      <c r="K1356" s="182"/>
      <c r="L1356" s="182"/>
      <c r="M1356" s="182"/>
      <c r="N1356" s="182"/>
      <c r="O1356" s="182"/>
      <c r="P1356" s="182"/>
      <c r="Q1356" s="182"/>
      <c r="R1356" s="182"/>
      <c r="S1356" s="182"/>
      <c r="T1356" s="182"/>
      <c r="U1356" s="182"/>
      <c r="V1356" s="182"/>
      <c r="W1356" s="182"/>
      <c r="X1356" s="182"/>
      <c r="Y1356" s="182"/>
      <c r="Z1356" s="182"/>
      <c r="AA1356" s="182">
        <v>740000</v>
      </c>
      <c r="AB1356" s="182"/>
      <c r="AC1356" s="182"/>
      <c r="AD1356" s="182"/>
      <c r="AE1356" s="182"/>
      <c r="AF1356" s="182"/>
      <c r="AG1356" s="182"/>
      <c r="AH1356" s="182"/>
      <c r="AI1356" s="182"/>
      <c r="AJ1356" s="182"/>
      <c r="AK1356" s="182"/>
      <c r="AL1356" s="182"/>
      <c r="AM1356" s="182"/>
      <c r="AN1356" s="182"/>
      <c r="AO1356" s="182"/>
      <c r="AP1356" s="182"/>
      <c r="AQ1356" s="185">
        <v>740000</v>
      </c>
      <c r="AR1356" s="182"/>
      <c r="AS1356" s="182"/>
      <c r="AT1356" s="182"/>
      <c r="AU1356" s="182"/>
      <c r="AV1356" s="182"/>
      <c r="AW1356" s="182"/>
      <c r="AX1356" s="182"/>
      <c r="AY1356" s="182"/>
      <c r="AZ1356" s="182"/>
      <c r="BA1356" s="182"/>
      <c r="BB1356" s="182"/>
      <c r="BC1356" s="182"/>
      <c r="BD1356" s="182"/>
      <c r="BE1356" s="182"/>
      <c r="BF1356" s="182"/>
      <c r="BG1356" s="182"/>
      <c r="BH1356" s="182"/>
      <c r="BI1356" s="182"/>
      <c r="BJ1356" s="182"/>
      <c r="BK1356" s="182"/>
      <c r="BL1356" s="182"/>
      <c r="BM1356" s="182"/>
      <c r="BN1356" s="182"/>
      <c r="BO1356" s="182"/>
      <c r="BP1356" s="182">
        <v>740000</v>
      </c>
      <c r="BQ1356" s="182"/>
      <c r="BR1356" s="182"/>
      <c r="BS1356" s="182"/>
      <c r="BT1356" s="182"/>
      <c r="BU1356" s="182"/>
      <c r="BV1356" s="182"/>
      <c r="BW1356" s="182"/>
      <c r="BX1356" s="182"/>
      <c r="BY1356" s="182"/>
      <c r="BZ1356" s="182"/>
      <c r="CA1356" s="182"/>
      <c r="CB1356" s="185">
        <v>740000</v>
      </c>
      <c r="CC1356" s="185">
        <v>0</v>
      </c>
      <c r="CD1356" s="185">
        <v>47</v>
      </c>
      <c r="CE1356" s="185"/>
    </row>
    <row r="1357" spans="2:83" x14ac:dyDescent="0.3">
      <c r="B1357" s="185"/>
      <c r="C1357" s="185"/>
      <c r="D1357" s="185"/>
      <c r="E1357" s="184" t="s">
        <v>4486</v>
      </c>
      <c r="F1357" s="185"/>
      <c r="G1357" s="185"/>
      <c r="H1357" s="185"/>
      <c r="I1357" s="185"/>
      <c r="J1357" s="185"/>
      <c r="K1357" s="185">
        <v>6643547.9900000002</v>
      </c>
      <c r="L1357" s="185">
        <v>6643547.9900000002</v>
      </c>
      <c r="M1357" s="185">
        <v>6643547.9900000002</v>
      </c>
      <c r="N1357" s="185">
        <v>0</v>
      </c>
      <c r="O1357" s="185">
        <v>0</v>
      </c>
      <c r="P1357" s="185">
        <v>41500</v>
      </c>
      <c r="Q1357" s="185">
        <v>0</v>
      </c>
      <c r="R1357" s="185">
        <v>0</v>
      </c>
      <c r="S1357" s="185">
        <v>0</v>
      </c>
      <c r="T1357" s="185">
        <v>0</v>
      </c>
      <c r="U1357" s="185">
        <v>0</v>
      </c>
      <c r="V1357" s="185">
        <v>0</v>
      </c>
      <c r="W1357" s="185">
        <v>0</v>
      </c>
      <c r="X1357" s="185">
        <v>0</v>
      </c>
      <c r="Y1357" s="185">
        <v>0</v>
      </c>
      <c r="Z1357" s="185">
        <v>0</v>
      </c>
      <c r="AA1357" s="185">
        <v>2750000</v>
      </c>
      <c r="AB1357" s="185">
        <v>204205.79</v>
      </c>
      <c r="AC1357" s="185">
        <v>0</v>
      </c>
      <c r="AD1357" s="185">
        <v>0</v>
      </c>
      <c r="AE1357" s="185">
        <v>0</v>
      </c>
      <c r="AF1357" s="185">
        <v>0</v>
      </c>
      <c r="AG1357" s="185">
        <v>0</v>
      </c>
      <c r="AH1357" s="185">
        <v>0</v>
      </c>
      <c r="AI1357" s="185">
        <v>0</v>
      </c>
      <c r="AJ1357" s="185">
        <v>0</v>
      </c>
      <c r="AK1357" s="185">
        <v>0</v>
      </c>
      <c r="AL1357" s="185">
        <v>0</v>
      </c>
      <c r="AM1357" s="185">
        <v>0</v>
      </c>
      <c r="AN1357" s="185">
        <v>0</v>
      </c>
      <c r="AO1357" s="185">
        <v>0</v>
      </c>
      <c r="AP1357" s="185">
        <v>0</v>
      </c>
      <c r="AQ1357" s="185">
        <v>22926349.759999998</v>
      </c>
      <c r="AR1357" s="185">
        <v>0</v>
      </c>
      <c r="AS1357" s="185">
        <v>0</v>
      </c>
      <c r="AT1357" s="185">
        <v>0</v>
      </c>
      <c r="AU1357" s="185">
        <v>0</v>
      </c>
      <c r="AV1357" s="185">
        <v>0</v>
      </c>
      <c r="AW1357" s="185">
        <v>0</v>
      </c>
      <c r="AX1357" s="185">
        <v>0</v>
      </c>
      <c r="AY1357" s="185">
        <v>0</v>
      </c>
      <c r="AZ1357" s="185">
        <v>0</v>
      </c>
      <c r="BA1357" s="185">
        <v>0</v>
      </c>
      <c r="BB1357" s="185">
        <v>0</v>
      </c>
      <c r="BC1357" s="185">
        <v>0</v>
      </c>
      <c r="BD1357" s="185">
        <v>0</v>
      </c>
      <c r="BE1357" s="185">
        <v>0</v>
      </c>
      <c r="BF1357" s="185">
        <v>0</v>
      </c>
      <c r="BG1357" s="185">
        <v>0</v>
      </c>
      <c r="BH1357" s="185">
        <v>0</v>
      </c>
      <c r="BI1357" s="185">
        <v>0</v>
      </c>
      <c r="BJ1357" s="185">
        <v>6643547.9900000002</v>
      </c>
      <c r="BK1357" s="185">
        <v>6643547.9900000002</v>
      </c>
      <c r="BL1357" s="185">
        <v>0</v>
      </c>
      <c r="BM1357" s="185">
        <v>0</v>
      </c>
      <c r="BN1357" s="185">
        <v>41500</v>
      </c>
      <c r="BO1357" s="185">
        <v>204205.79</v>
      </c>
      <c r="BP1357" s="185">
        <v>2750000</v>
      </c>
      <c r="BQ1357" s="185">
        <v>0</v>
      </c>
      <c r="BR1357" s="185">
        <v>0</v>
      </c>
      <c r="BS1357" s="185">
        <v>0</v>
      </c>
      <c r="BT1357" s="185">
        <v>0</v>
      </c>
      <c r="BU1357" s="185">
        <v>0</v>
      </c>
      <c r="BV1357" s="185">
        <v>0</v>
      </c>
      <c r="BW1357" s="185">
        <v>0</v>
      </c>
      <c r="BX1357" s="185">
        <v>0</v>
      </c>
      <c r="BY1357" s="185">
        <v>0</v>
      </c>
      <c r="BZ1357" s="185">
        <v>0</v>
      </c>
      <c r="CA1357" s="185">
        <v>6643547.9900000002</v>
      </c>
      <c r="CB1357" s="185">
        <v>22926349.759999998</v>
      </c>
      <c r="CC1357" s="185">
        <v>0</v>
      </c>
      <c r="CD1357" s="185"/>
      <c r="CE1357" s="185"/>
    </row>
    <row r="1358" spans="2:83" x14ac:dyDescent="0.3">
      <c r="B1358" s="182"/>
      <c r="C1358" s="182">
        <v>48</v>
      </c>
      <c r="D1358" s="182"/>
      <c r="E1358" s="181" t="s">
        <v>4487</v>
      </c>
      <c r="F1358" s="182"/>
      <c r="G1358" s="182"/>
      <c r="H1358" s="182"/>
      <c r="I1358" s="182"/>
      <c r="J1358" s="182"/>
      <c r="K1358" s="182"/>
      <c r="L1358" s="182"/>
      <c r="M1358" s="182"/>
      <c r="N1358" s="182"/>
      <c r="O1358" s="182"/>
      <c r="P1358" s="182"/>
      <c r="Q1358" s="182"/>
      <c r="R1358" s="182"/>
      <c r="S1358" s="182"/>
      <c r="T1358" s="182"/>
      <c r="U1358" s="182"/>
      <c r="V1358" s="182"/>
      <c r="W1358" s="182"/>
      <c r="X1358" s="182"/>
      <c r="Y1358" s="182"/>
      <c r="Z1358" s="182"/>
      <c r="AA1358" s="182"/>
      <c r="AB1358" s="182"/>
      <c r="AC1358" s="182"/>
      <c r="AD1358" s="182"/>
      <c r="AE1358" s="182"/>
      <c r="AF1358" s="182"/>
      <c r="AG1358" s="182"/>
      <c r="AH1358" s="182"/>
      <c r="AI1358" s="182">
        <v>27500</v>
      </c>
      <c r="AJ1358" s="182"/>
      <c r="AK1358" s="182"/>
      <c r="AL1358" s="182"/>
      <c r="AM1358" s="182"/>
      <c r="AN1358" s="182"/>
      <c r="AO1358" s="182"/>
      <c r="AP1358" s="182"/>
      <c r="AQ1358" s="185">
        <v>27500</v>
      </c>
      <c r="AR1358" s="182"/>
      <c r="AS1358" s="182"/>
      <c r="AT1358" s="182"/>
      <c r="AU1358" s="182"/>
      <c r="AV1358" s="182"/>
      <c r="AW1358" s="182"/>
      <c r="AX1358" s="182"/>
      <c r="AY1358" s="182"/>
      <c r="AZ1358" s="182"/>
      <c r="BA1358" s="182"/>
      <c r="BB1358" s="182"/>
      <c r="BC1358" s="182"/>
      <c r="BD1358" s="182"/>
      <c r="BE1358" s="182"/>
      <c r="BF1358" s="182"/>
      <c r="BG1358" s="182"/>
      <c r="BH1358" s="182"/>
      <c r="BI1358" s="182"/>
      <c r="BJ1358" s="182"/>
      <c r="BK1358" s="182"/>
      <c r="BL1358" s="182"/>
      <c r="BM1358" s="182"/>
      <c r="BN1358" s="182"/>
      <c r="BO1358" s="182"/>
      <c r="BP1358" s="182"/>
      <c r="BQ1358" s="182"/>
      <c r="BR1358" s="182"/>
      <c r="BS1358" s="182">
        <v>27500</v>
      </c>
      <c r="BT1358" s="182"/>
      <c r="BU1358" s="182"/>
      <c r="BV1358" s="182"/>
      <c r="BW1358" s="182"/>
      <c r="BX1358" s="182"/>
      <c r="BY1358" s="182"/>
      <c r="BZ1358" s="182"/>
      <c r="CA1358" s="182"/>
      <c r="CB1358" s="185">
        <v>27500</v>
      </c>
      <c r="CC1358" s="185">
        <v>0</v>
      </c>
      <c r="CD1358" s="185">
        <v>48</v>
      </c>
      <c r="CE1358" s="185"/>
    </row>
    <row r="1359" spans="2:83" x14ac:dyDescent="0.3">
      <c r="B1359" s="182"/>
      <c r="C1359" s="182">
        <v>49</v>
      </c>
      <c r="D1359" s="182" t="s">
        <v>249</v>
      </c>
      <c r="E1359" s="181" t="s">
        <v>4488</v>
      </c>
      <c r="F1359" s="182"/>
      <c r="G1359" s="182"/>
      <c r="H1359" s="182"/>
      <c r="I1359" s="182"/>
      <c r="J1359" s="182"/>
      <c r="K1359" s="182"/>
      <c r="L1359" s="182"/>
      <c r="M1359" s="182"/>
      <c r="N1359" s="182"/>
      <c r="O1359" s="182"/>
      <c r="P1359" s="182"/>
      <c r="Q1359" s="182"/>
      <c r="R1359" s="182"/>
      <c r="S1359" s="182"/>
      <c r="T1359" s="182"/>
      <c r="U1359" s="182"/>
      <c r="V1359" s="182"/>
      <c r="W1359" s="182"/>
      <c r="X1359" s="182"/>
      <c r="Y1359" s="182"/>
      <c r="Z1359" s="182"/>
      <c r="AA1359" s="182"/>
      <c r="AB1359" s="182"/>
      <c r="AC1359" s="182"/>
      <c r="AD1359" s="182"/>
      <c r="AE1359" s="182"/>
      <c r="AF1359" s="182"/>
      <c r="AG1359" s="182"/>
      <c r="AH1359" s="182"/>
      <c r="AI1359" s="182"/>
      <c r="AJ1359" s="182"/>
      <c r="AK1359" s="182"/>
      <c r="AL1359" s="182"/>
      <c r="AM1359" s="182"/>
      <c r="AN1359" s="182"/>
      <c r="AO1359" s="182"/>
      <c r="AP1359" s="182">
        <v>4010</v>
      </c>
      <c r="AQ1359" s="185">
        <v>4010</v>
      </c>
      <c r="AR1359" s="182"/>
      <c r="AS1359" s="182"/>
      <c r="AT1359" s="182"/>
      <c r="AU1359" s="182"/>
      <c r="AV1359" s="182"/>
      <c r="AW1359" s="182"/>
      <c r="AX1359" s="182"/>
      <c r="AY1359" s="182"/>
      <c r="AZ1359" s="182"/>
      <c r="BA1359" s="182"/>
      <c r="BB1359" s="182"/>
      <c r="BC1359" s="182"/>
      <c r="BD1359" s="182"/>
      <c r="BE1359" s="182"/>
      <c r="BF1359" s="182"/>
      <c r="BG1359" s="182"/>
      <c r="BH1359" s="182"/>
      <c r="BI1359" s="182"/>
      <c r="BJ1359" s="182"/>
      <c r="BK1359" s="182"/>
      <c r="BL1359" s="182"/>
      <c r="BM1359" s="182"/>
      <c r="BN1359" s="182"/>
      <c r="BO1359" s="182"/>
      <c r="BP1359" s="182"/>
      <c r="BQ1359" s="182"/>
      <c r="BR1359" s="182"/>
      <c r="BS1359" s="182"/>
      <c r="BT1359" s="182"/>
      <c r="BU1359" s="182"/>
      <c r="BV1359" s="182"/>
      <c r="BW1359" s="182"/>
      <c r="BX1359" s="182"/>
      <c r="BY1359" s="182"/>
      <c r="BZ1359" s="182"/>
      <c r="CA1359" s="182">
        <v>4010</v>
      </c>
      <c r="CB1359" s="185">
        <v>4010</v>
      </c>
      <c r="CC1359" s="185">
        <v>0</v>
      </c>
      <c r="CD1359" s="185">
        <v>49</v>
      </c>
      <c r="CE1359" s="185"/>
    </row>
    <row r="1360" spans="2:83" x14ac:dyDescent="0.3">
      <c r="B1360" s="182"/>
      <c r="C1360" s="182">
        <v>50</v>
      </c>
      <c r="D1360" s="182" t="s">
        <v>249</v>
      </c>
      <c r="E1360" s="181" t="s">
        <v>4489</v>
      </c>
      <c r="F1360" s="182"/>
      <c r="G1360" s="182"/>
      <c r="H1360" s="182"/>
      <c r="I1360" s="182"/>
      <c r="J1360" s="182"/>
      <c r="K1360" s="182"/>
      <c r="L1360" s="182"/>
      <c r="M1360" s="182"/>
      <c r="N1360" s="182"/>
      <c r="O1360" s="182"/>
      <c r="P1360" s="182"/>
      <c r="Q1360" s="182"/>
      <c r="R1360" s="182"/>
      <c r="S1360" s="182"/>
      <c r="T1360" s="182"/>
      <c r="U1360" s="182"/>
      <c r="V1360" s="182"/>
      <c r="W1360" s="182"/>
      <c r="X1360" s="182"/>
      <c r="Y1360" s="182"/>
      <c r="Z1360" s="182"/>
      <c r="AA1360" s="182"/>
      <c r="AB1360" s="182"/>
      <c r="AC1360" s="182"/>
      <c r="AD1360" s="182"/>
      <c r="AE1360" s="182"/>
      <c r="AF1360" s="182"/>
      <c r="AG1360" s="182"/>
      <c r="AH1360" s="182"/>
      <c r="AI1360" s="182"/>
      <c r="AJ1360" s="182"/>
      <c r="AK1360" s="182"/>
      <c r="AL1360" s="182"/>
      <c r="AM1360" s="182"/>
      <c r="AN1360" s="182"/>
      <c r="AO1360" s="182"/>
      <c r="AP1360" s="182">
        <v>4425</v>
      </c>
      <c r="AQ1360" s="185">
        <v>4425</v>
      </c>
      <c r="AR1360" s="182"/>
      <c r="AS1360" s="182"/>
      <c r="AT1360" s="182"/>
      <c r="AU1360" s="182"/>
      <c r="AV1360" s="182"/>
      <c r="AW1360" s="182"/>
      <c r="AX1360" s="182"/>
      <c r="AY1360" s="182"/>
      <c r="AZ1360" s="182"/>
      <c r="BA1360" s="182"/>
      <c r="BB1360" s="182"/>
      <c r="BC1360" s="182"/>
      <c r="BD1360" s="182"/>
      <c r="BE1360" s="182"/>
      <c r="BF1360" s="182"/>
      <c r="BG1360" s="182"/>
      <c r="BH1360" s="182"/>
      <c r="BI1360" s="182"/>
      <c r="BJ1360" s="182"/>
      <c r="BK1360" s="182"/>
      <c r="BL1360" s="182"/>
      <c r="BM1360" s="182"/>
      <c r="BN1360" s="182"/>
      <c r="BO1360" s="182"/>
      <c r="BP1360" s="182"/>
      <c r="BQ1360" s="182"/>
      <c r="BR1360" s="182"/>
      <c r="BS1360" s="182"/>
      <c r="BT1360" s="182"/>
      <c r="BU1360" s="182"/>
      <c r="BV1360" s="182"/>
      <c r="BW1360" s="182"/>
      <c r="BX1360" s="182"/>
      <c r="BY1360" s="182"/>
      <c r="BZ1360" s="182"/>
      <c r="CA1360" s="182">
        <v>4425</v>
      </c>
      <c r="CB1360" s="185">
        <v>4425</v>
      </c>
      <c r="CC1360" s="185">
        <v>0</v>
      </c>
      <c r="CD1360" s="185">
        <v>50</v>
      </c>
      <c r="CE1360" s="185"/>
    </row>
    <row r="1361" spans="2:83" x14ac:dyDescent="0.3">
      <c r="B1361" s="182"/>
      <c r="C1361" s="182">
        <v>51</v>
      </c>
      <c r="D1361" s="182" t="s">
        <v>249</v>
      </c>
      <c r="E1361" s="181" t="s">
        <v>4490</v>
      </c>
      <c r="F1361" s="182"/>
      <c r="G1361" s="182"/>
      <c r="H1361" s="182"/>
      <c r="I1361" s="182"/>
      <c r="J1361" s="182"/>
      <c r="K1361" s="182"/>
      <c r="L1361" s="182"/>
      <c r="M1361" s="182"/>
      <c r="N1361" s="182"/>
      <c r="O1361" s="182"/>
      <c r="P1361" s="182"/>
      <c r="Q1361" s="182"/>
      <c r="R1361" s="182"/>
      <c r="S1361" s="182"/>
      <c r="T1361" s="182"/>
      <c r="U1361" s="182"/>
      <c r="V1361" s="182"/>
      <c r="W1361" s="182"/>
      <c r="X1361" s="182"/>
      <c r="Y1361" s="182"/>
      <c r="Z1361" s="182"/>
      <c r="AA1361" s="182"/>
      <c r="AB1361" s="182"/>
      <c r="AC1361" s="182"/>
      <c r="AD1361" s="182"/>
      <c r="AE1361" s="182"/>
      <c r="AF1361" s="182"/>
      <c r="AG1361" s="182"/>
      <c r="AH1361" s="182"/>
      <c r="AI1361" s="182"/>
      <c r="AJ1361" s="182"/>
      <c r="AK1361" s="182"/>
      <c r="AL1361" s="182"/>
      <c r="AM1361" s="182"/>
      <c r="AN1361" s="182"/>
      <c r="AO1361" s="182"/>
      <c r="AP1361" s="182">
        <v>4385</v>
      </c>
      <c r="AQ1361" s="185">
        <v>4385</v>
      </c>
      <c r="AR1361" s="182"/>
      <c r="AS1361" s="182"/>
      <c r="AT1361" s="182"/>
      <c r="AU1361" s="182"/>
      <c r="AV1361" s="182"/>
      <c r="AW1361" s="182"/>
      <c r="AX1361" s="182"/>
      <c r="AY1361" s="182"/>
      <c r="AZ1361" s="182"/>
      <c r="BA1361" s="182"/>
      <c r="BB1361" s="182"/>
      <c r="BC1361" s="182"/>
      <c r="BD1361" s="182"/>
      <c r="BE1361" s="182"/>
      <c r="BF1361" s="182"/>
      <c r="BG1361" s="182"/>
      <c r="BH1361" s="182"/>
      <c r="BI1361" s="182"/>
      <c r="BJ1361" s="182"/>
      <c r="BK1361" s="182"/>
      <c r="BL1361" s="182"/>
      <c r="BM1361" s="182"/>
      <c r="BN1361" s="182"/>
      <c r="BO1361" s="182"/>
      <c r="BP1361" s="182"/>
      <c r="BQ1361" s="182"/>
      <c r="BR1361" s="182"/>
      <c r="BS1361" s="182"/>
      <c r="BT1361" s="182"/>
      <c r="BU1361" s="182"/>
      <c r="BV1361" s="182"/>
      <c r="BW1361" s="182"/>
      <c r="BX1361" s="182"/>
      <c r="BY1361" s="182"/>
      <c r="BZ1361" s="182"/>
      <c r="CA1361" s="182">
        <v>4385</v>
      </c>
      <c r="CB1361" s="185">
        <v>4385</v>
      </c>
      <c r="CC1361" s="185">
        <v>0</v>
      </c>
      <c r="CD1361" s="185">
        <v>51</v>
      </c>
      <c r="CE1361" s="185"/>
    </row>
    <row r="1362" spans="2:83" x14ac:dyDescent="0.3">
      <c r="B1362" s="182"/>
      <c r="C1362" s="182">
        <v>52</v>
      </c>
      <c r="D1362" s="182" t="s">
        <v>249</v>
      </c>
      <c r="E1362" s="181" t="s">
        <v>4491</v>
      </c>
      <c r="F1362" s="182"/>
      <c r="G1362" s="182"/>
      <c r="H1362" s="182"/>
      <c r="I1362" s="182"/>
      <c r="J1362" s="182"/>
      <c r="K1362" s="182"/>
      <c r="L1362" s="182"/>
      <c r="M1362" s="182"/>
      <c r="N1362" s="182"/>
      <c r="O1362" s="182"/>
      <c r="P1362" s="182"/>
      <c r="Q1362" s="182"/>
      <c r="R1362" s="182"/>
      <c r="S1362" s="182"/>
      <c r="T1362" s="182"/>
      <c r="U1362" s="182"/>
      <c r="V1362" s="182"/>
      <c r="W1362" s="182"/>
      <c r="X1362" s="182"/>
      <c r="Y1362" s="182"/>
      <c r="Z1362" s="182"/>
      <c r="AA1362" s="182"/>
      <c r="AB1362" s="182"/>
      <c r="AC1362" s="182"/>
      <c r="AD1362" s="182"/>
      <c r="AE1362" s="182"/>
      <c r="AF1362" s="182"/>
      <c r="AG1362" s="182"/>
      <c r="AH1362" s="182"/>
      <c r="AI1362" s="182"/>
      <c r="AJ1362" s="182"/>
      <c r="AK1362" s="182"/>
      <c r="AL1362" s="182"/>
      <c r="AM1362" s="182"/>
      <c r="AN1362" s="182"/>
      <c r="AO1362" s="182"/>
      <c r="AP1362" s="182">
        <v>5435</v>
      </c>
      <c r="AQ1362" s="185">
        <v>5435</v>
      </c>
      <c r="AR1362" s="182"/>
      <c r="AS1362" s="182"/>
      <c r="AT1362" s="182"/>
      <c r="AU1362" s="182"/>
      <c r="AV1362" s="182"/>
      <c r="AW1362" s="182"/>
      <c r="AX1362" s="182"/>
      <c r="AY1362" s="182"/>
      <c r="AZ1362" s="182"/>
      <c r="BA1362" s="182"/>
      <c r="BB1362" s="182"/>
      <c r="BC1362" s="182"/>
      <c r="BD1362" s="182"/>
      <c r="BE1362" s="182"/>
      <c r="BF1362" s="182"/>
      <c r="BG1362" s="182"/>
      <c r="BH1362" s="182"/>
      <c r="BI1362" s="182"/>
      <c r="BJ1362" s="182"/>
      <c r="BK1362" s="182"/>
      <c r="BL1362" s="182"/>
      <c r="BM1362" s="182"/>
      <c r="BN1362" s="182"/>
      <c r="BO1362" s="182"/>
      <c r="BP1362" s="182"/>
      <c r="BQ1362" s="182"/>
      <c r="BR1362" s="182"/>
      <c r="BS1362" s="182"/>
      <c r="BT1362" s="182"/>
      <c r="BU1362" s="182"/>
      <c r="BV1362" s="182"/>
      <c r="BW1362" s="182"/>
      <c r="BX1362" s="182"/>
      <c r="BY1362" s="182"/>
      <c r="BZ1362" s="182"/>
      <c r="CA1362" s="182">
        <v>5435</v>
      </c>
      <c r="CB1362" s="185">
        <v>5435</v>
      </c>
      <c r="CC1362" s="185">
        <v>0</v>
      </c>
      <c r="CD1362" s="185">
        <v>52</v>
      </c>
      <c r="CE1362" s="185"/>
    </row>
    <row r="1363" spans="2:83" x14ac:dyDescent="0.3">
      <c r="B1363" s="182"/>
      <c r="C1363" s="182">
        <v>53</v>
      </c>
      <c r="D1363" s="182" t="s">
        <v>249</v>
      </c>
      <c r="E1363" s="181" t="s">
        <v>4492</v>
      </c>
      <c r="F1363" s="182"/>
      <c r="G1363" s="182"/>
      <c r="H1363" s="182"/>
      <c r="I1363" s="182"/>
      <c r="J1363" s="182"/>
      <c r="K1363" s="182"/>
      <c r="L1363" s="182"/>
      <c r="M1363" s="182"/>
      <c r="N1363" s="182"/>
      <c r="O1363" s="182"/>
      <c r="P1363" s="182"/>
      <c r="Q1363" s="182"/>
      <c r="R1363" s="182"/>
      <c r="S1363" s="182"/>
      <c r="T1363" s="182"/>
      <c r="U1363" s="182"/>
      <c r="V1363" s="182"/>
      <c r="W1363" s="182"/>
      <c r="X1363" s="182"/>
      <c r="Y1363" s="182"/>
      <c r="Z1363" s="182"/>
      <c r="AA1363" s="182"/>
      <c r="AB1363" s="182"/>
      <c r="AC1363" s="182"/>
      <c r="AD1363" s="182"/>
      <c r="AE1363" s="182"/>
      <c r="AF1363" s="182"/>
      <c r="AG1363" s="182"/>
      <c r="AH1363" s="182"/>
      <c r="AI1363" s="182"/>
      <c r="AJ1363" s="182"/>
      <c r="AK1363" s="182"/>
      <c r="AL1363" s="182"/>
      <c r="AM1363" s="182"/>
      <c r="AN1363" s="182"/>
      <c r="AO1363" s="182"/>
      <c r="AP1363" s="182">
        <v>1880</v>
      </c>
      <c r="AQ1363" s="185">
        <v>1880</v>
      </c>
      <c r="AR1363" s="182"/>
      <c r="AS1363" s="182"/>
      <c r="AT1363" s="182"/>
      <c r="AU1363" s="182"/>
      <c r="AV1363" s="182"/>
      <c r="AW1363" s="182"/>
      <c r="AX1363" s="182"/>
      <c r="AY1363" s="182"/>
      <c r="AZ1363" s="182"/>
      <c r="BA1363" s="182"/>
      <c r="BB1363" s="182"/>
      <c r="BC1363" s="182"/>
      <c r="BD1363" s="182"/>
      <c r="BE1363" s="182"/>
      <c r="BF1363" s="182"/>
      <c r="BG1363" s="182"/>
      <c r="BH1363" s="182"/>
      <c r="BI1363" s="182"/>
      <c r="BJ1363" s="182"/>
      <c r="BK1363" s="182"/>
      <c r="BL1363" s="182"/>
      <c r="BM1363" s="182"/>
      <c r="BN1363" s="182"/>
      <c r="BO1363" s="182"/>
      <c r="BP1363" s="182"/>
      <c r="BQ1363" s="182"/>
      <c r="BR1363" s="182"/>
      <c r="BS1363" s="182"/>
      <c r="BT1363" s="182"/>
      <c r="BU1363" s="182"/>
      <c r="BV1363" s="182"/>
      <c r="BW1363" s="182"/>
      <c r="BX1363" s="182"/>
      <c r="BY1363" s="182"/>
      <c r="BZ1363" s="182"/>
      <c r="CA1363" s="182">
        <v>1880</v>
      </c>
      <c r="CB1363" s="185">
        <v>1880</v>
      </c>
      <c r="CC1363" s="185">
        <v>0</v>
      </c>
      <c r="CD1363" s="185">
        <v>53</v>
      </c>
      <c r="CE1363" s="185"/>
    </row>
    <row r="1364" spans="2:83" x14ac:dyDescent="0.3">
      <c r="B1364" s="182"/>
      <c r="C1364" s="182">
        <v>54</v>
      </c>
      <c r="D1364" s="182" t="s">
        <v>249</v>
      </c>
      <c r="E1364" s="181" t="s">
        <v>4493</v>
      </c>
      <c r="F1364" s="182"/>
      <c r="G1364" s="182"/>
      <c r="H1364" s="182"/>
      <c r="I1364" s="182"/>
      <c r="J1364" s="182"/>
      <c r="K1364" s="182"/>
      <c r="L1364" s="182"/>
      <c r="M1364" s="182"/>
      <c r="N1364" s="182"/>
      <c r="O1364" s="182"/>
      <c r="P1364" s="182"/>
      <c r="Q1364" s="182"/>
      <c r="R1364" s="182"/>
      <c r="S1364" s="182"/>
      <c r="T1364" s="182"/>
      <c r="U1364" s="182"/>
      <c r="V1364" s="182"/>
      <c r="W1364" s="182"/>
      <c r="X1364" s="182"/>
      <c r="Y1364" s="182"/>
      <c r="Z1364" s="182"/>
      <c r="AA1364" s="182"/>
      <c r="AB1364" s="182"/>
      <c r="AC1364" s="182"/>
      <c r="AD1364" s="182"/>
      <c r="AE1364" s="182"/>
      <c r="AF1364" s="182"/>
      <c r="AG1364" s="182"/>
      <c r="AH1364" s="182"/>
      <c r="AI1364" s="182"/>
      <c r="AJ1364" s="182"/>
      <c r="AK1364" s="182"/>
      <c r="AL1364" s="182"/>
      <c r="AM1364" s="182"/>
      <c r="AN1364" s="182"/>
      <c r="AO1364" s="182"/>
      <c r="AP1364" s="182">
        <v>6485</v>
      </c>
      <c r="AQ1364" s="185">
        <v>6485</v>
      </c>
      <c r="AR1364" s="182"/>
      <c r="AS1364" s="182"/>
      <c r="AT1364" s="182"/>
      <c r="AU1364" s="182"/>
      <c r="AV1364" s="182"/>
      <c r="AW1364" s="182"/>
      <c r="AX1364" s="182"/>
      <c r="AY1364" s="182"/>
      <c r="AZ1364" s="182"/>
      <c r="BA1364" s="182"/>
      <c r="BB1364" s="182"/>
      <c r="BC1364" s="182"/>
      <c r="BD1364" s="182"/>
      <c r="BE1364" s="182"/>
      <c r="BF1364" s="182"/>
      <c r="BG1364" s="182"/>
      <c r="BH1364" s="182"/>
      <c r="BI1364" s="182"/>
      <c r="BJ1364" s="182"/>
      <c r="BK1364" s="182"/>
      <c r="BL1364" s="182"/>
      <c r="BM1364" s="182"/>
      <c r="BN1364" s="182"/>
      <c r="BO1364" s="182"/>
      <c r="BP1364" s="182"/>
      <c r="BQ1364" s="182"/>
      <c r="BR1364" s="182"/>
      <c r="BS1364" s="182"/>
      <c r="BT1364" s="182"/>
      <c r="BU1364" s="182"/>
      <c r="BV1364" s="182"/>
      <c r="BW1364" s="182"/>
      <c r="BX1364" s="182"/>
      <c r="BY1364" s="182"/>
      <c r="BZ1364" s="182"/>
      <c r="CA1364" s="182">
        <v>6485</v>
      </c>
      <c r="CB1364" s="185">
        <v>6485</v>
      </c>
      <c r="CC1364" s="185">
        <v>0</v>
      </c>
      <c r="CD1364" s="185">
        <v>54</v>
      </c>
      <c r="CE1364" s="185"/>
    </row>
    <row r="1365" spans="2:83" x14ac:dyDescent="0.3">
      <c r="B1365" s="182"/>
      <c r="C1365" s="182">
        <v>55</v>
      </c>
      <c r="D1365" s="182" t="s">
        <v>249</v>
      </c>
      <c r="E1365" s="181" t="s">
        <v>4494</v>
      </c>
      <c r="F1365" s="182"/>
      <c r="G1365" s="182"/>
      <c r="H1365" s="182"/>
      <c r="I1365" s="182"/>
      <c r="J1365" s="182"/>
      <c r="K1365" s="182"/>
      <c r="L1365" s="182"/>
      <c r="M1365" s="182"/>
      <c r="N1365" s="182"/>
      <c r="O1365" s="182"/>
      <c r="P1365" s="182"/>
      <c r="Q1365" s="182"/>
      <c r="R1365" s="182"/>
      <c r="S1365" s="182"/>
      <c r="T1365" s="182"/>
      <c r="U1365" s="182"/>
      <c r="V1365" s="182"/>
      <c r="W1365" s="182"/>
      <c r="X1365" s="182"/>
      <c r="Y1365" s="182"/>
      <c r="Z1365" s="182"/>
      <c r="AA1365" s="182"/>
      <c r="AB1365" s="182"/>
      <c r="AC1365" s="182"/>
      <c r="AD1365" s="182"/>
      <c r="AE1365" s="182"/>
      <c r="AF1365" s="182"/>
      <c r="AG1365" s="182"/>
      <c r="AH1365" s="182"/>
      <c r="AI1365" s="182"/>
      <c r="AJ1365" s="182"/>
      <c r="AK1365" s="182"/>
      <c r="AL1365" s="182"/>
      <c r="AM1365" s="182"/>
      <c r="AN1365" s="182"/>
      <c r="AO1365" s="182"/>
      <c r="AP1365" s="182">
        <v>10855</v>
      </c>
      <c r="AQ1365" s="185">
        <v>10855</v>
      </c>
      <c r="AR1365" s="182"/>
      <c r="AS1365" s="182"/>
      <c r="AT1365" s="182"/>
      <c r="AU1365" s="182"/>
      <c r="AV1365" s="182"/>
      <c r="AW1365" s="182"/>
      <c r="AX1365" s="182"/>
      <c r="AY1365" s="182"/>
      <c r="AZ1365" s="182"/>
      <c r="BA1365" s="182"/>
      <c r="BB1365" s="182"/>
      <c r="BC1365" s="182"/>
      <c r="BD1365" s="182"/>
      <c r="BE1365" s="182"/>
      <c r="BF1365" s="182"/>
      <c r="BG1365" s="182"/>
      <c r="BH1365" s="182"/>
      <c r="BI1365" s="182"/>
      <c r="BJ1365" s="182"/>
      <c r="BK1365" s="182"/>
      <c r="BL1365" s="182"/>
      <c r="BM1365" s="182"/>
      <c r="BN1365" s="182"/>
      <c r="BO1365" s="182"/>
      <c r="BP1365" s="182"/>
      <c r="BQ1365" s="182"/>
      <c r="BR1365" s="182"/>
      <c r="BS1365" s="182"/>
      <c r="BT1365" s="182"/>
      <c r="BU1365" s="182"/>
      <c r="BV1365" s="182"/>
      <c r="BW1365" s="182"/>
      <c r="BX1365" s="182"/>
      <c r="BY1365" s="182"/>
      <c r="BZ1365" s="182"/>
      <c r="CA1365" s="182">
        <v>10855</v>
      </c>
      <c r="CB1365" s="185">
        <v>10855</v>
      </c>
      <c r="CC1365" s="185">
        <v>0</v>
      </c>
      <c r="CD1365" s="185">
        <v>55</v>
      </c>
      <c r="CE1365" s="185"/>
    </row>
    <row r="1366" spans="2:83" x14ac:dyDescent="0.3">
      <c r="B1366" s="182"/>
      <c r="C1366" s="182">
        <v>56</v>
      </c>
      <c r="D1366" s="182" t="s">
        <v>249</v>
      </c>
      <c r="E1366" s="181" t="s">
        <v>4495</v>
      </c>
      <c r="F1366" s="182"/>
      <c r="G1366" s="182"/>
      <c r="H1366" s="182"/>
      <c r="I1366" s="182"/>
      <c r="J1366" s="182"/>
      <c r="K1366" s="182"/>
      <c r="L1366" s="182"/>
      <c r="M1366" s="182"/>
      <c r="N1366" s="182"/>
      <c r="O1366" s="182"/>
      <c r="P1366" s="182"/>
      <c r="Q1366" s="182"/>
      <c r="R1366" s="182"/>
      <c r="S1366" s="182"/>
      <c r="T1366" s="182"/>
      <c r="U1366" s="182"/>
      <c r="V1366" s="182"/>
      <c r="W1366" s="182"/>
      <c r="X1366" s="182"/>
      <c r="Y1366" s="182"/>
      <c r="Z1366" s="182"/>
      <c r="AA1366" s="182"/>
      <c r="AB1366" s="182"/>
      <c r="AC1366" s="182"/>
      <c r="AD1366" s="182"/>
      <c r="AE1366" s="182"/>
      <c r="AF1366" s="182"/>
      <c r="AG1366" s="182"/>
      <c r="AH1366" s="182"/>
      <c r="AI1366" s="182"/>
      <c r="AJ1366" s="182"/>
      <c r="AK1366" s="182"/>
      <c r="AL1366" s="182"/>
      <c r="AM1366" s="182"/>
      <c r="AN1366" s="182"/>
      <c r="AO1366" s="182"/>
      <c r="AP1366" s="182">
        <v>4905</v>
      </c>
      <c r="AQ1366" s="185">
        <v>4905</v>
      </c>
      <c r="AR1366" s="182"/>
      <c r="AS1366" s="182"/>
      <c r="AT1366" s="182"/>
      <c r="AU1366" s="182"/>
      <c r="AV1366" s="182"/>
      <c r="AW1366" s="182"/>
      <c r="AX1366" s="182"/>
      <c r="AY1366" s="182"/>
      <c r="AZ1366" s="182"/>
      <c r="BA1366" s="182"/>
      <c r="BB1366" s="182"/>
      <c r="BC1366" s="182"/>
      <c r="BD1366" s="182"/>
      <c r="BE1366" s="182"/>
      <c r="BF1366" s="182"/>
      <c r="BG1366" s="182"/>
      <c r="BH1366" s="182"/>
      <c r="BI1366" s="182"/>
      <c r="BJ1366" s="182"/>
      <c r="BK1366" s="182"/>
      <c r="BL1366" s="182"/>
      <c r="BM1366" s="182"/>
      <c r="BN1366" s="182"/>
      <c r="BO1366" s="182"/>
      <c r="BP1366" s="182"/>
      <c r="BQ1366" s="182"/>
      <c r="BR1366" s="182"/>
      <c r="BS1366" s="182"/>
      <c r="BT1366" s="182"/>
      <c r="BU1366" s="182"/>
      <c r="BV1366" s="182"/>
      <c r="BW1366" s="182"/>
      <c r="BX1366" s="182"/>
      <c r="BY1366" s="182"/>
      <c r="BZ1366" s="182"/>
      <c r="CA1366" s="182">
        <v>4905</v>
      </c>
      <c r="CB1366" s="185">
        <v>4905</v>
      </c>
      <c r="CC1366" s="185">
        <v>0</v>
      </c>
      <c r="CD1366" s="185">
        <v>56</v>
      </c>
      <c r="CE1366" s="185"/>
    </row>
    <row r="1367" spans="2:83" x14ac:dyDescent="0.3">
      <c r="B1367" s="182"/>
      <c r="C1367" s="182">
        <v>57</v>
      </c>
      <c r="D1367" s="182" t="s">
        <v>249</v>
      </c>
      <c r="E1367" s="181" t="s">
        <v>4496</v>
      </c>
      <c r="F1367" s="182"/>
      <c r="G1367" s="182"/>
      <c r="H1367" s="182"/>
      <c r="I1367" s="182"/>
      <c r="J1367" s="182"/>
      <c r="K1367" s="182"/>
      <c r="L1367" s="182"/>
      <c r="M1367" s="182"/>
      <c r="N1367" s="182"/>
      <c r="O1367" s="182"/>
      <c r="P1367" s="182"/>
      <c r="Q1367" s="182"/>
      <c r="R1367" s="182"/>
      <c r="S1367" s="182"/>
      <c r="T1367" s="182"/>
      <c r="U1367" s="182"/>
      <c r="V1367" s="182"/>
      <c r="W1367" s="182"/>
      <c r="X1367" s="182"/>
      <c r="Y1367" s="182"/>
      <c r="Z1367" s="182"/>
      <c r="AA1367" s="182"/>
      <c r="AB1367" s="182"/>
      <c r="AC1367" s="182"/>
      <c r="AD1367" s="182"/>
      <c r="AE1367" s="182"/>
      <c r="AF1367" s="182"/>
      <c r="AG1367" s="182"/>
      <c r="AH1367" s="182"/>
      <c r="AI1367" s="182"/>
      <c r="AJ1367" s="182"/>
      <c r="AK1367" s="182"/>
      <c r="AL1367" s="182"/>
      <c r="AM1367" s="182"/>
      <c r="AN1367" s="182"/>
      <c r="AO1367" s="182"/>
      <c r="AP1367" s="182">
        <v>6830</v>
      </c>
      <c r="AQ1367" s="185">
        <v>6830</v>
      </c>
      <c r="AR1367" s="182"/>
      <c r="AS1367" s="182"/>
      <c r="AT1367" s="182"/>
      <c r="AU1367" s="182"/>
      <c r="AV1367" s="182"/>
      <c r="AW1367" s="182"/>
      <c r="AX1367" s="182"/>
      <c r="AY1367" s="182"/>
      <c r="AZ1367" s="182"/>
      <c r="BA1367" s="182"/>
      <c r="BB1367" s="182"/>
      <c r="BC1367" s="182"/>
      <c r="BD1367" s="182"/>
      <c r="BE1367" s="182"/>
      <c r="BF1367" s="182"/>
      <c r="BG1367" s="182"/>
      <c r="BH1367" s="182"/>
      <c r="BI1367" s="182"/>
      <c r="BJ1367" s="182"/>
      <c r="BK1367" s="182"/>
      <c r="BL1367" s="182"/>
      <c r="BM1367" s="182"/>
      <c r="BN1367" s="182"/>
      <c r="BO1367" s="182"/>
      <c r="BP1367" s="182"/>
      <c r="BQ1367" s="182"/>
      <c r="BR1367" s="182"/>
      <c r="BS1367" s="182"/>
      <c r="BT1367" s="182"/>
      <c r="BU1367" s="182"/>
      <c r="BV1367" s="182"/>
      <c r="BW1367" s="182"/>
      <c r="BX1367" s="182"/>
      <c r="BY1367" s="182"/>
      <c r="BZ1367" s="182"/>
      <c r="CA1367" s="182">
        <v>6830</v>
      </c>
      <c r="CB1367" s="185">
        <v>6830</v>
      </c>
      <c r="CC1367" s="185">
        <v>0</v>
      </c>
      <c r="CD1367" s="185">
        <v>57</v>
      </c>
      <c r="CE1367" s="185"/>
    </row>
    <row r="1368" spans="2:83" x14ac:dyDescent="0.3">
      <c r="B1368" s="182"/>
      <c r="C1368" s="182">
        <v>58</v>
      </c>
      <c r="D1368" s="182" t="s">
        <v>249</v>
      </c>
      <c r="E1368" s="181" t="s">
        <v>4497</v>
      </c>
      <c r="F1368" s="182"/>
      <c r="G1368" s="182"/>
      <c r="H1368" s="182"/>
      <c r="I1368" s="182"/>
      <c r="J1368" s="182"/>
      <c r="K1368" s="182"/>
      <c r="L1368" s="182"/>
      <c r="M1368" s="182"/>
      <c r="N1368" s="182"/>
      <c r="O1368" s="182"/>
      <c r="P1368" s="182"/>
      <c r="Q1368" s="182"/>
      <c r="R1368" s="182"/>
      <c r="S1368" s="182"/>
      <c r="T1368" s="182"/>
      <c r="U1368" s="182"/>
      <c r="V1368" s="182"/>
      <c r="W1368" s="182"/>
      <c r="X1368" s="182"/>
      <c r="Y1368" s="182"/>
      <c r="Z1368" s="182"/>
      <c r="AA1368" s="182"/>
      <c r="AB1368" s="182"/>
      <c r="AC1368" s="182"/>
      <c r="AD1368" s="182"/>
      <c r="AE1368" s="182"/>
      <c r="AF1368" s="182"/>
      <c r="AG1368" s="182"/>
      <c r="AH1368" s="182"/>
      <c r="AI1368" s="182"/>
      <c r="AJ1368" s="182"/>
      <c r="AK1368" s="182"/>
      <c r="AL1368" s="182"/>
      <c r="AM1368" s="182"/>
      <c r="AN1368" s="182"/>
      <c r="AO1368" s="182"/>
      <c r="AP1368" s="182">
        <v>2570</v>
      </c>
      <c r="AQ1368" s="185">
        <v>2570</v>
      </c>
      <c r="AR1368" s="182"/>
      <c r="AS1368" s="182"/>
      <c r="AT1368" s="182"/>
      <c r="AU1368" s="182"/>
      <c r="AV1368" s="182"/>
      <c r="AW1368" s="182"/>
      <c r="AX1368" s="182"/>
      <c r="AY1368" s="182"/>
      <c r="AZ1368" s="182"/>
      <c r="BA1368" s="182"/>
      <c r="BB1368" s="182"/>
      <c r="BC1368" s="182"/>
      <c r="BD1368" s="182"/>
      <c r="BE1368" s="182"/>
      <c r="BF1368" s="182"/>
      <c r="BG1368" s="182"/>
      <c r="BH1368" s="182"/>
      <c r="BI1368" s="182"/>
      <c r="BJ1368" s="182"/>
      <c r="BK1368" s="182"/>
      <c r="BL1368" s="182"/>
      <c r="BM1368" s="182"/>
      <c r="BN1368" s="182"/>
      <c r="BO1368" s="182"/>
      <c r="BP1368" s="182"/>
      <c r="BQ1368" s="182"/>
      <c r="BR1368" s="182"/>
      <c r="BS1368" s="182"/>
      <c r="BT1368" s="182"/>
      <c r="BU1368" s="182"/>
      <c r="BV1368" s="182"/>
      <c r="BW1368" s="182"/>
      <c r="BX1368" s="182"/>
      <c r="BY1368" s="182"/>
      <c r="BZ1368" s="182"/>
      <c r="CA1368" s="182">
        <v>2570</v>
      </c>
      <c r="CB1368" s="185">
        <v>2570</v>
      </c>
      <c r="CC1368" s="185">
        <v>0</v>
      </c>
      <c r="CD1368" s="185">
        <v>58</v>
      </c>
      <c r="CE1368" s="185"/>
    </row>
    <row r="1369" spans="2:83" x14ac:dyDescent="0.3">
      <c r="B1369" s="182"/>
      <c r="C1369" s="182">
        <v>59</v>
      </c>
      <c r="D1369" s="182" t="s">
        <v>249</v>
      </c>
      <c r="E1369" s="181" t="s">
        <v>4498</v>
      </c>
      <c r="F1369" s="182"/>
      <c r="G1369" s="182"/>
      <c r="H1369" s="182"/>
      <c r="I1369" s="182"/>
      <c r="J1369" s="182"/>
      <c r="K1369" s="182"/>
      <c r="L1369" s="182"/>
      <c r="M1369" s="182"/>
      <c r="N1369" s="182"/>
      <c r="O1369" s="182"/>
      <c r="P1369" s="182"/>
      <c r="Q1369" s="182"/>
      <c r="R1369" s="182"/>
      <c r="S1369" s="182"/>
      <c r="T1369" s="182"/>
      <c r="U1369" s="182"/>
      <c r="V1369" s="182"/>
      <c r="W1369" s="182"/>
      <c r="X1369" s="182"/>
      <c r="Y1369" s="182"/>
      <c r="Z1369" s="182"/>
      <c r="AA1369" s="182"/>
      <c r="AB1369" s="182"/>
      <c r="AC1369" s="182"/>
      <c r="AD1369" s="182"/>
      <c r="AE1369" s="182"/>
      <c r="AF1369" s="182"/>
      <c r="AG1369" s="182"/>
      <c r="AH1369" s="182"/>
      <c r="AI1369" s="182"/>
      <c r="AJ1369" s="182"/>
      <c r="AK1369" s="182"/>
      <c r="AL1369" s="182"/>
      <c r="AM1369" s="182"/>
      <c r="AN1369" s="182"/>
      <c r="AO1369" s="182"/>
      <c r="AP1369" s="182">
        <v>3480</v>
      </c>
      <c r="AQ1369" s="185">
        <v>3480</v>
      </c>
      <c r="AR1369" s="182"/>
      <c r="AS1369" s="182"/>
      <c r="AT1369" s="182"/>
      <c r="AU1369" s="182"/>
      <c r="AV1369" s="182"/>
      <c r="AW1369" s="182"/>
      <c r="AX1369" s="182"/>
      <c r="AY1369" s="182"/>
      <c r="AZ1369" s="182"/>
      <c r="BA1369" s="182"/>
      <c r="BB1369" s="182"/>
      <c r="BC1369" s="182"/>
      <c r="BD1369" s="182"/>
      <c r="BE1369" s="182"/>
      <c r="BF1369" s="182"/>
      <c r="BG1369" s="182"/>
      <c r="BH1369" s="182"/>
      <c r="BI1369" s="182"/>
      <c r="BJ1369" s="182"/>
      <c r="BK1369" s="182"/>
      <c r="BL1369" s="182"/>
      <c r="BM1369" s="182"/>
      <c r="BN1369" s="182"/>
      <c r="BO1369" s="182"/>
      <c r="BP1369" s="182"/>
      <c r="BQ1369" s="182"/>
      <c r="BR1369" s="182"/>
      <c r="BS1369" s="182"/>
      <c r="BT1369" s="182"/>
      <c r="BU1369" s="182"/>
      <c r="BV1369" s="182"/>
      <c r="BW1369" s="182"/>
      <c r="BX1369" s="182"/>
      <c r="BY1369" s="182"/>
      <c r="BZ1369" s="182"/>
      <c r="CA1369" s="182">
        <v>3480</v>
      </c>
      <c r="CB1369" s="185">
        <v>3480</v>
      </c>
      <c r="CC1369" s="185">
        <v>0</v>
      </c>
      <c r="CD1369" s="185">
        <v>59</v>
      </c>
      <c r="CE1369" s="185"/>
    </row>
    <row r="1370" spans="2:83" x14ac:dyDescent="0.3">
      <c r="B1370" s="182"/>
      <c r="C1370" s="182">
        <v>60</v>
      </c>
      <c r="D1370" s="182" t="s">
        <v>249</v>
      </c>
      <c r="E1370" s="181" t="s">
        <v>4499</v>
      </c>
      <c r="F1370" s="182"/>
      <c r="G1370" s="182"/>
      <c r="H1370" s="182"/>
      <c r="I1370" s="182"/>
      <c r="J1370" s="182"/>
      <c r="K1370" s="182"/>
      <c r="L1370" s="182"/>
      <c r="M1370" s="182"/>
      <c r="N1370" s="182"/>
      <c r="O1370" s="182"/>
      <c r="P1370" s="182"/>
      <c r="Q1370" s="182"/>
      <c r="R1370" s="182"/>
      <c r="S1370" s="182"/>
      <c r="T1370" s="182"/>
      <c r="U1370" s="182"/>
      <c r="V1370" s="182"/>
      <c r="W1370" s="182"/>
      <c r="X1370" s="182"/>
      <c r="Y1370" s="182"/>
      <c r="Z1370" s="182"/>
      <c r="AA1370" s="182"/>
      <c r="AB1370" s="182"/>
      <c r="AC1370" s="182"/>
      <c r="AD1370" s="182"/>
      <c r="AE1370" s="182"/>
      <c r="AF1370" s="182"/>
      <c r="AG1370" s="182"/>
      <c r="AH1370" s="182"/>
      <c r="AI1370" s="182"/>
      <c r="AJ1370" s="182"/>
      <c r="AK1370" s="182"/>
      <c r="AL1370" s="182"/>
      <c r="AM1370" s="182"/>
      <c r="AN1370" s="182"/>
      <c r="AO1370" s="182"/>
      <c r="AP1370" s="182">
        <v>3265</v>
      </c>
      <c r="AQ1370" s="185">
        <v>3265</v>
      </c>
      <c r="AR1370" s="182"/>
      <c r="AS1370" s="182"/>
      <c r="AT1370" s="182"/>
      <c r="AU1370" s="182"/>
      <c r="AV1370" s="182"/>
      <c r="AW1370" s="182"/>
      <c r="AX1370" s="182"/>
      <c r="AY1370" s="182"/>
      <c r="AZ1370" s="182"/>
      <c r="BA1370" s="182"/>
      <c r="BB1370" s="182"/>
      <c r="BC1370" s="182"/>
      <c r="BD1370" s="182"/>
      <c r="BE1370" s="182"/>
      <c r="BF1370" s="182"/>
      <c r="BG1370" s="182"/>
      <c r="BH1370" s="182"/>
      <c r="BI1370" s="182"/>
      <c r="BJ1370" s="182"/>
      <c r="BK1370" s="182"/>
      <c r="BL1370" s="182"/>
      <c r="BM1370" s="182"/>
      <c r="BN1370" s="182"/>
      <c r="BO1370" s="182"/>
      <c r="BP1370" s="182"/>
      <c r="BQ1370" s="182"/>
      <c r="BR1370" s="182"/>
      <c r="BS1370" s="182"/>
      <c r="BT1370" s="182"/>
      <c r="BU1370" s="182"/>
      <c r="BV1370" s="182"/>
      <c r="BW1370" s="182"/>
      <c r="BX1370" s="182"/>
      <c r="BY1370" s="182"/>
      <c r="BZ1370" s="182"/>
      <c r="CA1370" s="182">
        <v>3265</v>
      </c>
      <c r="CB1370" s="185">
        <v>3265</v>
      </c>
      <c r="CC1370" s="185">
        <v>0</v>
      </c>
      <c r="CD1370" s="185">
        <v>60</v>
      </c>
      <c r="CE1370" s="185"/>
    </row>
    <row r="1371" spans="2:83" x14ac:dyDescent="0.3">
      <c r="B1371" s="182"/>
      <c r="C1371" s="182">
        <v>61</v>
      </c>
      <c r="D1371" s="182" t="s">
        <v>249</v>
      </c>
      <c r="E1371" s="181" t="s">
        <v>4500</v>
      </c>
      <c r="F1371" s="182"/>
      <c r="G1371" s="182"/>
      <c r="H1371" s="182"/>
      <c r="I1371" s="182"/>
      <c r="J1371" s="182"/>
      <c r="K1371" s="182"/>
      <c r="L1371" s="182"/>
      <c r="M1371" s="182"/>
      <c r="N1371" s="182"/>
      <c r="O1371" s="182"/>
      <c r="P1371" s="182"/>
      <c r="Q1371" s="182"/>
      <c r="R1371" s="182"/>
      <c r="S1371" s="182"/>
      <c r="T1371" s="182"/>
      <c r="U1371" s="182"/>
      <c r="V1371" s="182"/>
      <c r="W1371" s="182"/>
      <c r="X1371" s="182"/>
      <c r="Y1371" s="182"/>
      <c r="Z1371" s="182"/>
      <c r="AA1371" s="182"/>
      <c r="AB1371" s="182"/>
      <c r="AC1371" s="182"/>
      <c r="AD1371" s="182"/>
      <c r="AE1371" s="182"/>
      <c r="AF1371" s="182"/>
      <c r="AG1371" s="182"/>
      <c r="AH1371" s="182"/>
      <c r="AI1371" s="182"/>
      <c r="AJ1371" s="182"/>
      <c r="AK1371" s="182"/>
      <c r="AL1371" s="182"/>
      <c r="AM1371" s="182"/>
      <c r="AN1371" s="182"/>
      <c r="AO1371" s="182"/>
      <c r="AP1371" s="182">
        <v>6435</v>
      </c>
      <c r="AQ1371" s="185">
        <v>6435</v>
      </c>
      <c r="AR1371" s="182"/>
      <c r="AS1371" s="182"/>
      <c r="AT1371" s="182"/>
      <c r="AU1371" s="182"/>
      <c r="AV1371" s="182"/>
      <c r="AW1371" s="182"/>
      <c r="AX1371" s="182"/>
      <c r="AY1371" s="182"/>
      <c r="AZ1371" s="182"/>
      <c r="BA1371" s="182"/>
      <c r="BB1371" s="182"/>
      <c r="BC1371" s="182"/>
      <c r="BD1371" s="182"/>
      <c r="BE1371" s="182"/>
      <c r="BF1371" s="182"/>
      <c r="BG1371" s="182"/>
      <c r="BH1371" s="182"/>
      <c r="BI1371" s="182"/>
      <c r="BJ1371" s="182"/>
      <c r="BK1371" s="182"/>
      <c r="BL1371" s="182"/>
      <c r="BM1371" s="182"/>
      <c r="BN1371" s="182"/>
      <c r="BO1371" s="182"/>
      <c r="BP1371" s="182"/>
      <c r="BQ1371" s="182"/>
      <c r="BR1371" s="182"/>
      <c r="BS1371" s="182"/>
      <c r="BT1371" s="182"/>
      <c r="BU1371" s="182"/>
      <c r="BV1371" s="182"/>
      <c r="BW1371" s="182"/>
      <c r="BX1371" s="182"/>
      <c r="BY1371" s="182"/>
      <c r="BZ1371" s="182"/>
      <c r="CA1371" s="182">
        <v>6435</v>
      </c>
      <c r="CB1371" s="185">
        <v>6435</v>
      </c>
      <c r="CC1371" s="185">
        <v>0</v>
      </c>
      <c r="CD1371" s="185">
        <v>61</v>
      </c>
      <c r="CE1371" s="185"/>
    </row>
    <row r="1372" spans="2:83" x14ac:dyDescent="0.3">
      <c r="B1372" s="182"/>
      <c r="C1372" s="182">
        <v>62</v>
      </c>
      <c r="D1372" s="182" t="s">
        <v>249</v>
      </c>
      <c r="E1372" s="181" t="s">
        <v>4501</v>
      </c>
      <c r="F1372" s="182"/>
      <c r="G1372" s="182"/>
      <c r="H1372" s="182"/>
      <c r="I1372" s="182"/>
      <c r="J1372" s="182"/>
      <c r="K1372" s="182"/>
      <c r="L1372" s="182"/>
      <c r="M1372" s="182"/>
      <c r="N1372" s="182"/>
      <c r="O1372" s="182"/>
      <c r="P1372" s="182"/>
      <c r="Q1372" s="182"/>
      <c r="R1372" s="182"/>
      <c r="S1372" s="182"/>
      <c r="T1372" s="182"/>
      <c r="U1372" s="182"/>
      <c r="V1372" s="182"/>
      <c r="W1372" s="182"/>
      <c r="X1372" s="182"/>
      <c r="Y1372" s="182"/>
      <c r="Z1372" s="182"/>
      <c r="AA1372" s="182"/>
      <c r="AB1372" s="182"/>
      <c r="AC1372" s="182"/>
      <c r="AD1372" s="182"/>
      <c r="AE1372" s="182"/>
      <c r="AF1372" s="182"/>
      <c r="AG1372" s="182"/>
      <c r="AH1372" s="182"/>
      <c r="AI1372" s="182"/>
      <c r="AJ1372" s="182"/>
      <c r="AK1372" s="182"/>
      <c r="AL1372" s="182"/>
      <c r="AM1372" s="182"/>
      <c r="AN1372" s="182"/>
      <c r="AO1372" s="182"/>
      <c r="AP1372" s="182">
        <v>6560</v>
      </c>
      <c r="AQ1372" s="185">
        <v>6560</v>
      </c>
      <c r="AR1372" s="182"/>
      <c r="AS1372" s="182"/>
      <c r="AT1372" s="182"/>
      <c r="AU1372" s="182"/>
      <c r="AV1372" s="182"/>
      <c r="AW1372" s="182"/>
      <c r="AX1372" s="182"/>
      <c r="AY1372" s="182"/>
      <c r="AZ1372" s="182"/>
      <c r="BA1372" s="182"/>
      <c r="BB1372" s="182"/>
      <c r="BC1372" s="182"/>
      <c r="BD1372" s="182"/>
      <c r="BE1372" s="182"/>
      <c r="BF1372" s="182"/>
      <c r="BG1372" s="182"/>
      <c r="BH1372" s="182"/>
      <c r="BI1372" s="182"/>
      <c r="BJ1372" s="182"/>
      <c r="BK1372" s="182"/>
      <c r="BL1372" s="182"/>
      <c r="BM1372" s="182"/>
      <c r="BN1372" s="182"/>
      <c r="BO1372" s="182"/>
      <c r="BP1372" s="182"/>
      <c r="BQ1372" s="182"/>
      <c r="BR1372" s="182"/>
      <c r="BS1372" s="182"/>
      <c r="BT1372" s="182"/>
      <c r="BU1372" s="182"/>
      <c r="BV1372" s="182"/>
      <c r="BW1372" s="182"/>
      <c r="BX1372" s="182"/>
      <c r="BY1372" s="182"/>
      <c r="BZ1372" s="182"/>
      <c r="CA1372" s="182">
        <v>6560</v>
      </c>
      <c r="CB1372" s="185">
        <v>6560</v>
      </c>
      <c r="CC1372" s="185">
        <v>0</v>
      </c>
      <c r="CD1372" s="185">
        <v>62</v>
      </c>
      <c r="CE1372" s="185"/>
    </row>
    <row r="1373" spans="2:83" x14ac:dyDescent="0.3">
      <c r="B1373" s="182"/>
      <c r="C1373" s="182">
        <v>63</v>
      </c>
      <c r="D1373" s="182" t="s">
        <v>249</v>
      </c>
      <c r="E1373" s="181" t="s">
        <v>4502</v>
      </c>
      <c r="F1373" s="182"/>
      <c r="G1373" s="182"/>
      <c r="H1373" s="182"/>
      <c r="I1373" s="182"/>
      <c r="J1373" s="182"/>
      <c r="K1373" s="182"/>
      <c r="L1373" s="182"/>
      <c r="M1373" s="182"/>
      <c r="N1373" s="182"/>
      <c r="O1373" s="182"/>
      <c r="P1373" s="182"/>
      <c r="Q1373" s="182"/>
      <c r="R1373" s="182"/>
      <c r="S1373" s="182"/>
      <c r="T1373" s="182"/>
      <c r="U1373" s="182"/>
      <c r="V1373" s="182"/>
      <c r="W1373" s="182"/>
      <c r="X1373" s="182"/>
      <c r="Y1373" s="182"/>
      <c r="Z1373" s="182"/>
      <c r="AA1373" s="182"/>
      <c r="AB1373" s="182"/>
      <c r="AC1373" s="182"/>
      <c r="AD1373" s="182"/>
      <c r="AE1373" s="182"/>
      <c r="AF1373" s="182"/>
      <c r="AG1373" s="182"/>
      <c r="AH1373" s="182"/>
      <c r="AI1373" s="182"/>
      <c r="AJ1373" s="182"/>
      <c r="AK1373" s="182"/>
      <c r="AL1373" s="182"/>
      <c r="AM1373" s="182"/>
      <c r="AN1373" s="182"/>
      <c r="AO1373" s="182"/>
      <c r="AP1373" s="182">
        <v>5470</v>
      </c>
      <c r="AQ1373" s="185">
        <v>5470</v>
      </c>
      <c r="AR1373" s="182"/>
      <c r="AS1373" s="182"/>
      <c r="AT1373" s="182"/>
      <c r="AU1373" s="182"/>
      <c r="AV1373" s="182"/>
      <c r="AW1373" s="182"/>
      <c r="AX1373" s="182"/>
      <c r="AY1373" s="182"/>
      <c r="AZ1373" s="182"/>
      <c r="BA1373" s="182"/>
      <c r="BB1373" s="182"/>
      <c r="BC1373" s="182"/>
      <c r="BD1373" s="182"/>
      <c r="BE1373" s="182"/>
      <c r="BF1373" s="182"/>
      <c r="BG1373" s="182"/>
      <c r="BH1373" s="182"/>
      <c r="BI1373" s="182"/>
      <c r="BJ1373" s="182"/>
      <c r="BK1373" s="182"/>
      <c r="BL1373" s="182"/>
      <c r="BM1373" s="182"/>
      <c r="BN1373" s="182"/>
      <c r="BO1373" s="182"/>
      <c r="BP1373" s="182"/>
      <c r="BQ1373" s="182"/>
      <c r="BR1373" s="182"/>
      <c r="BS1373" s="182"/>
      <c r="BT1373" s="182"/>
      <c r="BU1373" s="182"/>
      <c r="BV1373" s="182"/>
      <c r="BW1373" s="182"/>
      <c r="BX1373" s="182"/>
      <c r="BY1373" s="182"/>
      <c r="BZ1373" s="182"/>
      <c r="CA1373" s="182">
        <v>5470</v>
      </c>
      <c r="CB1373" s="185">
        <v>5470</v>
      </c>
      <c r="CC1373" s="185">
        <v>0</v>
      </c>
      <c r="CD1373" s="185">
        <v>63</v>
      </c>
      <c r="CE1373" s="185"/>
    </row>
    <row r="1374" spans="2:83" x14ac:dyDescent="0.3">
      <c r="B1374" s="182"/>
      <c r="C1374" s="182">
        <v>64</v>
      </c>
      <c r="D1374" s="182" t="s">
        <v>122</v>
      </c>
      <c r="E1374" s="181" t="s">
        <v>4503</v>
      </c>
      <c r="F1374" s="182"/>
      <c r="G1374" s="182"/>
      <c r="H1374" s="182"/>
      <c r="I1374" s="182"/>
      <c r="J1374" s="182"/>
      <c r="K1374" s="182"/>
      <c r="L1374" s="182"/>
      <c r="M1374" s="182"/>
      <c r="N1374" s="182"/>
      <c r="O1374" s="182"/>
      <c r="P1374" s="182"/>
      <c r="Q1374" s="182"/>
      <c r="R1374" s="182"/>
      <c r="S1374" s="182"/>
      <c r="T1374" s="182"/>
      <c r="U1374" s="182"/>
      <c r="V1374" s="182"/>
      <c r="W1374" s="182"/>
      <c r="X1374" s="182"/>
      <c r="Y1374" s="182"/>
      <c r="Z1374" s="182"/>
      <c r="AA1374" s="182"/>
      <c r="AB1374" s="182"/>
      <c r="AC1374" s="182"/>
      <c r="AD1374" s="182"/>
      <c r="AE1374" s="182"/>
      <c r="AF1374" s="182"/>
      <c r="AG1374" s="182"/>
      <c r="AH1374" s="182"/>
      <c r="AI1374" s="182"/>
      <c r="AJ1374" s="182"/>
      <c r="AK1374" s="182"/>
      <c r="AL1374" s="182"/>
      <c r="AM1374" s="182"/>
      <c r="AN1374" s="182"/>
      <c r="AO1374" s="182"/>
      <c r="AP1374" s="182">
        <v>100</v>
      </c>
      <c r="AQ1374" s="185">
        <v>100</v>
      </c>
      <c r="AR1374" s="182"/>
      <c r="AS1374" s="182"/>
      <c r="AT1374" s="182"/>
      <c r="AU1374" s="182"/>
      <c r="AV1374" s="182"/>
      <c r="AW1374" s="182"/>
      <c r="AX1374" s="182"/>
      <c r="AY1374" s="182"/>
      <c r="AZ1374" s="182"/>
      <c r="BA1374" s="182"/>
      <c r="BB1374" s="182"/>
      <c r="BC1374" s="182"/>
      <c r="BD1374" s="182"/>
      <c r="BE1374" s="182"/>
      <c r="BF1374" s="182"/>
      <c r="BG1374" s="182"/>
      <c r="BH1374" s="182"/>
      <c r="BI1374" s="182"/>
      <c r="BJ1374" s="182"/>
      <c r="BK1374" s="182"/>
      <c r="BL1374" s="182"/>
      <c r="BM1374" s="182"/>
      <c r="BN1374" s="182"/>
      <c r="BO1374" s="182"/>
      <c r="BP1374" s="182"/>
      <c r="BQ1374" s="182"/>
      <c r="BR1374" s="182"/>
      <c r="BS1374" s="182"/>
      <c r="BT1374" s="182"/>
      <c r="BU1374" s="182"/>
      <c r="BV1374" s="182"/>
      <c r="BW1374" s="182"/>
      <c r="BX1374" s="182"/>
      <c r="BY1374" s="182"/>
      <c r="BZ1374" s="182"/>
      <c r="CA1374" s="182">
        <v>100</v>
      </c>
      <c r="CB1374" s="185">
        <v>100</v>
      </c>
      <c r="CC1374" s="185">
        <v>0</v>
      </c>
      <c r="CD1374" s="185">
        <v>64</v>
      </c>
      <c r="CE1374" s="185"/>
    </row>
    <row r="1375" spans="2:83" x14ac:dyDescent="0.3">
      <c r="B1375" s="182"/>
      <c r="C1375" s="182">
        <v>65</v>
      </c>
      <c r="D1375" s="182" t="s">
        <v>122</v>
      </c>
      <c r="E1375" s="181" t="s">
        <v>4504</v>
      </c>
      <c r="F1375" s="182"/>
      <c r="G1375" s="182"/>
      <c r="H1375" s="182"/>
      <c r="I1375" s="182"/>
      <c r="J1375" s="182"/>
      <c r="K1375" s="182"/>
      <c r="L1375" s="182"/>
      <c r="M1375" s="182"/>
      <c r="N1375" s="182"/>
      <c r="O1375" s="182"/>
      <c r="P1375" s="182"/>
      <c r="Q1375" s="182"/>
      <c r="R1375" s="182"/>
      <c r="S1375" s="182"/>
      <c r="T1375" s="182"/>
      <c r="U1375" s="182"/>
      <c r="V1375" s="182"/>
      <c r="W1375" s="182"/>
      <c r="X1375" s="182"/>
      <c r="Y1375" s="182"/>
      <c r="Z1375" s="182"/>
      <c r="AA1375" s="182"/>
      <c r="AB1375" s="182"/>
      <c r="AC1375" s="182"/>
      <c r="AD1375" s="182"/>
      <c r="AE1375" s="182"/>
      <c r="AF1375" s="182"/>
      <c r="AG1375" s="182"/>
      <c r="AH1375" s="182"/>
      <c r="AI1375" s="182"/>
      <c r="AJ1375" s="182"/>
      <c r="AK1375" s="182"/>
      <c r="AL1375" s="182"/>
      <c r="AM1375" s="182"/>
      <c r="AN1375" s="182"/>
      <c r="AO1375" s="182"/>
      <c r="AP1375" s="182">
        <v>200</v>
      </c>
      <c r="AQ1375" s="185">
        <v>200</v>
      </c>
      <c r="AR1375" s="182"/>
      <c r="AS1375" s="182"/>
      <c r="AT1375" s="182"/>
      <c r="AU1375" s="182"/>
      <c r="AV1375" s="182"/>
      <c r="AW1375" s="182"/>
      <c r="AX1375" s="182"/>
      <c r="AY1375" s="182"/>
      <c r="AZ1375" s="182"/>
      <c r="BA1375" s="182"/>
      <c r="BB1375" s="182"/>
      <c r="BC1375" s="182"/>
      <c r="BD1375" s="182"/>
      <c r="BE1375" s="182"/>
      <c r="BF1375" s="182"/>
      <c r="BG1375" s="182"/>
      <c r="BH1375" s="182"/>
      <c r="BI1375" s="182"/>
      <c r="BJ1375" s="182"/>
      <c r="BK1375" s="182"/>
      <c r="BL1375" s="182"/>
      <c r="BM1375" s="182"/>
      <c r="BN1375" s="182"/>
      <c r="BO1375" s="182"/>
      <c r="BP1375" s="182"/>
      <c r="BQ1375" s="182"/>
      <c r="BR1375" s="182"/>
      <c r="BS1375" s="182"/>
      <c r="BT1375" s="182"/>
      <c r="BU1375" s="182"/>
      <c r="BV1375" s="182"/>
      <c r="BW1375" s="182"/>
      <c r="BX1375" s="182"/>
      <c r="BY1375" s="182"/>
      <c r="BZ1375" s="182"/>
      <c r="CA1375" s="182">
        <v>200</v>
      </c>
      <c r="CB1375" s="185">
        <v>200</v>
      </c>
      <c r="CC1375" s="185">
        <v>0</v>
      </c>
      <c r="CD1375" s="185">
        <v>65</v>
      </c>
      <c r="CE1375" s="185"/>
    </row>
    <row r="1376" spans="2:83" x14ac:dyDescent="0.3">
      <c r="B1376" s="182"/>
      <c r="C1376" s="182">
        <v>66</v>
      </c>
      <c r="D1376" s="182" t="s">
        <v>122</v>
      </c>
      <c r="E1376" s="181" t="s">
        <v>4505</v>
      </c>
      <c r="F1376" s="182"/>
      <c r="G1376" s="182"/>
      <c r="H1376" s="182"/>
      <c r="I1376" s="182"/>
      <c r="J1376" s="182"/>
      <c r="K1376" s="182"/>
      <c r="L1376" s="182"/>
      <c r="M1376" s="182"/>
      <c r="N1376" s="182"/>
      <c r="O1376" s="182"/>
      <c r="P1376" s="182"/>
      <c r="Q1376" s="182"/>
      <c r="R1376" s="182"/>
      <c r="S1376" s="182"/>
      <c r="T1376" s="182"/>
      <c r="U1376" s="182"/>
      <c r="V1376" s="182"/>
      <c r="W1376" s="182"/>
      <c r="X1376" s="182"/>
      <c r="Y1376" s="182"/>
      <c r="Z1376" s="182"/>
      <c r="AA1376" s="182"/>
      <c r="AB1376" s="182"/>
      <c r="AC1376" s="182"/>
      <c r="AD1376" s="182"/>
      <c r="AE1376" s="182"/>
      <c r="AF1376" s="182"/>
      <c r="AG1376" s="182"/>
      <c r="AH1376" s="182"/>
      <c r="AI1376" s="182"/>
      <c r="AJ1376" s="182"/>
      <c r="AK1376" s="182"/>
      <c r="AL1376" s="182"/>
      <c r="AM1376" s="182"/>
      <c r="AN1376" s="182"/>
      <c r="AO1376" s="182"/>
      <c r="AP1376" s="182">
        <v>150</v>
      </c>
      <c r="AQ1376" s="185">
        <v>150</v>
      </c>
      <c r="AR1376" s="182"/>
      <c r="AS1376" s="182"/>
      <c r="AT1376" s="182"/>
      <c r="AU1376" s="182"/>
      <c r="AV1376" s="182"/>
      <c r="AW1376" s="182"/>
      <c r="AX1376" s="182"/>
      <c r="AY1376" s="182"/>
      <c r="AZ1376" s="182"/>
      <c r="BA1376" s="182"/>
      <c r="BB1376" s="182"/>
      <c r="BC1376" s="182"/>
      <c r="BD1376" s="182"/>
      <c r="BE1376" s="182"/>
      <c r="BF1376" s="182"/>
      <c r="BG1376" s="182"/>
      <c r="BH1376" s="182"/>
      <c r="BI1376" s="182"/>
      <c r="BJ1376" s="182"/>
      <c r="BK1376" s="182"/>
      <c r="BL1376" s="182"/>
      <c r="BM1376" s="182"/>
      <c r="BN1376" s="182"/>
      <c r="BO1376" s="182"/>
      <c r="BP1376" s="182"/>
      <c r="BQ1376" s="182"/>
      <c r="BR1376" s="182"/>
      <c r="BS1376" s="182"/>
      <c r="BT1376" s="182"/>
      <c r="BU1376" s="182"/>
      <c r="BV1376" s="182"/>
      <c r="BW1376" s="182"/>
      <c r="BX1376" s="182"/>
      <c r="BY1376" s="182"/>
      <c r="BZ1376" s="182"/>
      <c r="CA1376" s="182">
        <v>150</v>
      </c>
      <c r="CB1376" s="185">
        <v>150</v>
      </c>
      <c r="CC1376" s="185">
        <v>0</v>
      </c>
      <c r="CD1376" s="185">
        <v>66</v>
      </c>
      <c r="CE1376" s="185"/>
    </row>
    <row r="1377" spans="2:83" x14ac:dyDescent="0.3">
      <c r="B1377" s="182"/>
      <c r="C1377" s="182">
        <v>67</v>
      </c>
      <c r="D1377" s="182" t="s">
        <v>122</v>
      </c>
      <c r="E1377" s="181" t="s">
        <v>4506</v>
      </c>
      <c r="F1377" s="182"/>
      <c r="G1377" s="182"/>
      <c r="H1377" s="182"/>
      <c r="I1377" s="182"/>
      <c r="J1377" s="182"/>
      <c r="K1377" s="182"/>
      <c r="L1377" s="182"/>
      <c r="M1377" s="182"/>
      <c r="N1377" s="182"/>
      <c r="O1377" s="182"/>
      <c r="P1377" s="182"/>
      <c r="Q1377" s="182"/>
      <c r="R1377" s="182"/>
      <c r="S1377" s="182"/>
      <c r="T1377" s="182"/>
      <c r="U1377" s="182"/>
      <c r="V1377" s="182"/>
      <c r="W1377" s="182"/>
      <c r="X1377" s="182"/>
      <c r="Y1377" s="182"/>
      <c r="Z1377" s="182"/>
      <c r="AA1377" s="182"/>
      <c r="AB1377" s="182"/>
      <c r="AC1377" s="182"/>
      <c r="AD1377" s="182"/>
      <c r="AE1377" s="182"/>
      <c r="AF1377" s="182"/>
      <c r="AG1377" s="182"/>
      <c r="AH1377" s="182"/>
      <c r="AI1377" s="182"/>
      <c r="AJ1377" s="182"/>
      <c r="AK1377" s="182"/>
      <c r="AL1377" s="182"/>
      <c r="AM1377" s="182"/>
      <c r="AN1377" s="182"/>
      <c r="AO1377" s="182"/>
      <c r="AP1377" s="182">
        <v>150</v>
      </c>
      <c r="AQ1377" s="185">
        <v>150</v>
      </c>
      <c r="AR1377" s="182"/>
      <c r="AS1377" s="182"/>
      <c r="AT1377" s="182"/>
      <c r="AU1377" s="182"/>
      <c r="AV1377" s="182"/>
      <c r="AW1377" s="182"/>
      <c r="AX1377" s="182"/>
      <c r="AY1377" s="182"/>
      <c r="AZ1377" s="182"/>
      <c r="BA1377" s="182"/>
      <c r="BB1377" s="182"/>
      <c r="BC1377" s="182"/>
      <c r="BD1377" s="182"/>
      <c r="BE1377" s="182"/>
      <c r="BF1377" s="182"/>
      <c r="BG1377" s="182"/>
      <c r="BH1377" s="182"/>
      <c r="BI1377" s="182"/>
      <c r="BJ1377" s="182"/>
      <c r="BK1377" s="182"/>
      <c r="BL1377" s="182"/>
      <c r="BM1377" s="182"/>
      <c r="BN1377" s="182"/>
      <c r="BO1377" s="182"/>
      <c r="BP1377" s="182"/>
      <c r="BQ1377" s="182"/>
      <c r="BR1377" s="182"/>
      <c r="BS1377" s="182"/>
      <c r="BT1377" s="182"/>
      <c r="BU1377" s="182"/>
      <c r="BV1377" s="182"/>
      <c r="BW1377" s="182"/>
      <c r="BX1377" s="182"/>
      <c r="BY1377" s="182"/>
      <c r="BZ1377" s="182"/>
      <c r="CA1377" s="182">
        <v>150</v>
      </c>
      <c r="CB1377" s="185">
        <v>150</v>
      </c>
      <c r="CC1377" s="185">
        <v>0</v>
      </c>
      <c r="CD1377" s="185">
        <v>67</v>
      </c>
      <c r="CE1377" s="185"/>
    </row>
    <row r="1378" spans="2:83" x14ac:dyDescent="0.3">
      <c r="B1378" s="182"/>
      <c r="C1378" s="182">
        <v>68</v>
      </c>
      <c r="D1378" s="182" t="s">
        <v>122</v>
      </c>
      <c r="E1378" s="181" t="s">
        <v>4507</v>
      </c>
      <c r="F1378" s="182"/>
      <c r="G1378" s="182"/>
      <c r="H1378" s="182"/>
      <c r="I1378" s="182"/>
      <c r="J1378" s="182"/>
      <c r="K1378" s="182"/>
      <c r="L1378" s="182"/>
      <c r="M1378" s="182"/>
      <c r="N1378" s="182"/>
      <c r="O1378" s="182"/>
      <c r="P1378" s="182"/>
      <c r="Q1378" s="182"/>
      <c r="R1378" s="182"/>
      <c r="S1378" s="182"/>
      <c r="T1378" s="182"/>
      <c r="U1378" s="182"/>
      <c r="V1378" s="182"/>
      <c r="W1378" s="182"/>
      <c r="X1378" s="182"/>
      <c r="Y1378" s="182"/>
      <c r="Z1378" s="182"/>
      <c r="AA1378" s="182"/>
      <c r="AB1378" s="182"/>
      <c r="AC1378" s="182"/>
      <c r="AD1378" s="182"/>
      <c r="AE1378" s="182"/>
      <c r="AF1378" s="182"/>
      <c r="AG1378" s="182"/>
      <c r="AH1378" s="182"/>
      <c r="AI1378" s="182"/>
      <c r="AJ1378" s="182"/>
      <c r="AK1378" s="182"/>
      <c r="AL1378" s="182"/>
      <c r="AM1378" s="182"/>
      <c r="AN1378" s="182"/>
      <c r="AO1378" s="182"/>
      <c r="AP1378" s="182">
        <v>350</v>
      </c>
      <c r="AQ1378" s="185">
        <v>350</v>
      </c>
      <c r="AR1378" s="182"/>
      <c r="AS1378" s="182"/>
      <c r="AT1378" s="182"/>
      <c r="AU1378" s="182"/>
      <c r="AV1378" s="182"/>
      <c r="AW1378" s="182"/>
      <c r="AX1378" s="182"/>
      <c r="AY1378" s="182"/>
      <c r="AZ1378" s="182"/>
      <c r="BA1378" s="182"/>
      <c r="BB1378" s="182"/>
      <c r="BC1378" s="182"/>
      <c r="BD1378" s="182"/>
      <c r="BE1378" s="182"/>
      <c r="BF1378" s="182"/>
      <c r="BG1378" s="182"/>
      <c r="BH1378" s="182"/>
      <c r="BI1378" s="182"/>
      <c r="BJ1378" s="182"/>
      <c r="BK1378" s="182"/>
      <c r="BL1378" s="182"/>
      <c r="BM1378" s="182"/>
      <c r="BN1378" s="182"/>
      <c r="BO1378" s="182"/>
      <c r="BP1378" s="182"/>
      <c r="BQ1378" s="182"/>
      <c r="BR1378" s="182"/>
      <c r="BS1378" s="182"/>
      <c r="BT1378" s="182"/>
      <c r="BU1378" s="182"/>
      <c r="BV1378" s="182"/>
      <c r="BW1378" s="182"/>
      <c r="BX1378" s="182"/>
      <c r="BY1378" s="182"/>
      <c r="BZ1378" s="182"/>
      <c r="CA1378" s="182">
        <v>350</v>
      </c>
      <c r="CB1378" s="185">
        <v>350</v>
      </c>
      <c r="CC1378" s="185">
        <v>0</v>
      </c>
      <c r="CD1378" s="185">
        <v>68</v>
      </c>
      <c r="CE1378" s="185"/>
    </row>
    <row r="1379" spans="2:83" x14ac:dyDescent="0.3">
      <c r="B1379" s="182"/>
      <c r="C1379" s="182">
        <v>69</v>
      </c>
      <c r="D1379" s="182" t="s">
        <v>122</v>
      </c>
      <c r="E1379" s="181" t="s">
        <v>4508</v>
      </c>
      <c r="F1379" s="182"/>
      <c r="G1379" s="182"/>
      <c r="H1379" s="182"/>
      <c r="I1379" s="182"/>
      <c r="J1379" s="182"/>
      <c r="K1379" s="182"/>
      <c r="L1379" s="182"/>
      <c r="M1379" s="182"/>
      <c r="N1379" s="182"/>
      <c r="O1379" s="182"/>
      <c r="P1379" s="182"/>
      <c r="Q1379" s="182"/>
      <c r="R1379" s="182"/>
      <c r="S1379" s="182"/>
      <c r="T1379" s="182"/>
      <c r="U1379" s="182"/>
      <c r="V1379" s="182"/>
      <c r="W1379" s="182"/>
      <c r="X1379" s="182"/>
      <c r="Y1379" s="182"/>
      <c r="Z1379" s="182"/>
      <c r="AA1379" s="182"/>
      <c r="AB1379" s="182"/>
      <c r="AC1379" s="182"/>
      <c r="AD1379" s="182"/>
      <c r="AE1379" s="182"/>
      <c r="AF1379" s="182"/>
      <c r="AG1379" s="182"/>
      <c r="AH1379" s="182"/>
      <c r="AI1379" s="182"/>
      <c r="AJ1379" s="182"/>
      <c r="AK1379" s="182"/>
      <c r="AL1379" s="182"/>
      <c r="AM1379" s="182"/>
      <c r="AN1379" s="182"/>
      <c r="AO1379" s="182"/>
      <c r="AP1379" s="182">
        <v>450</v>
      </c>
      <c r="AQ1379" s="185">
        <v>450</v>
      </c>
      <c r="AR1379" s="182"/>
      <c r="AS1379" s="182"/>
      <c r="AT1379" s="182"/>
      <c r="AU1379" s="182"/>
      <c r="AV1379" s="182"/>
      <c r="AW1379" s="182"/>
      <c r="AX1379" s="182"/>
      <c r="AY1379" s="182"/>
      <c r="AZ1379" s="182"/>
      <c r="BA1379" s="182"/>
      <c r="BB1379" s="182"/>
      <c r="BC1379" s="182"/>
      <c r="BD1379" s="182"/>
      <c r="BE1379" s="182"/>
      <c r="BF1379" s="182"/>
      <c r="BG1379" s="182"/>
      <c r="BH1379" s="182"/>
      <c r="BI1379" s="182"/>
      <c r="BJ1379" s="182"/>
      <c r="BK1379" s="182"/>
      <c r="BL1379" s="182"/>
      <c r="BM1379" s="182"/>
      <c r="BN1379" s="182"/>
      <c r="BO1379" s="182"/>
      <c r="BP1379" s="182"/>
      <c r="BQ1379" s="182"/>
      <c r="BR1379" s="182"/>
      <c r="BS1379" s="182"/>
      <c r="BT1379" s="182"/>
      <c r="BU1379" s="182"/>
      <c r="BV1379" s="182"/>
      <c r="BW1379" s="182"/>
      <c r="BX1379" s="182"/>
      <c r="BY1379" s="182"/>
      <c r="BZ1379" s="182"/>
      <c r="CA1379" s="182">
        <v>450</v>
      </c>
      <c r="CB1379" s="185">
        <v>450</v>
      </c>
      <c r="CC1379" s="185">
        <v>0</v>
      </c>
      <c r="CD1379" s="185">
        <v>69</v>
      </c>
      <c r="CE1379" s="185"/>
    </row>
    <row r="1380" spans="2:83" x14ac:dyDescent="0.3">
      <c r="B1380" s="182"/>
      <c r="C1380" s="182">
        <v>70</v>
      </c>
      <c r="D1380" s="182" t="s">
        <v>122</v>
      </c>
      <c r="E1380" s="181" t="s">
        <v>4509</v>
      </c>
      <c r="F1380" s="182"/>
      <c r="G1380" s="182"/>
      <c r="H1380" s="182"/>
      <c r="I1380" s="182"/>
      <c r="J1380" s="182"/>
      <c r="K1380" s="182"/>
      <c r="L1380" s="182"/>
      <c r="M1380" s="182"/>
      <c r="N1380" s="182"/>
      <c r="O1380" s="182"/>
      <c r="P1380" s="182"/>
      <c r="Q1380" s="182"/>
      <c r="R1380" s="182"/>
      <c r="S1380" s="182"/>
      <c r="T1380" s="182"/>
      <c r="U1380" s="182"/>
      <c r="V1380" s="182"/>
      <c r="W1380" s="182"/>
      <c r="X1380" s="182"/>
      <c r="Y1380" s="182"/>
      <c r="Z1380" s="182"/>
      <c r="AA1380" s="182"/>
      <c r="AB1380" s="182"/>
      <c r="AC1380" s="182"/>
      <c r="AD1380" s="182"/>
      <c r="AE1380" s="182"/>
      <c r="AF1380" s="182"/>
      <c r="AG1380" s="182"/>
      <c r="AH1380" s="182"/>
      <c r="AI1380" s="182"/>
      <c r="AJ1380" s="182"/>
      <c r="AK1380" s="182"/>
      <c r="AL1380" s="182"/>
      <c r="AM1380" s="182"/>
      <c r="AN1380" s="182"/>
      <c r="AO1380" s="182"/>
      <c r="AP1380" s="182">
        <v>250</v>
      </c>
      <c r="AQ1380" s="185">
        <v>250</v>
      </c>
      <c r="AR1380" s="182"/>
      <c r="AS1380" s="182"/>
      <c r="AT1380" s="182"/>
      <c r="AU1380" s="182"/>
      <c r="AV1380" s="182"/>
      <c r="AW1380" s="182"/>
      <c r="AX1380" s="182"/>
      <c r="AY1380" s="182"/>
      <c r="AZ1380" s="182"/>
      <c r="BA1380" s="182"/>
      <c r="BB1380" s="182"/>
      <c r="BC1380" s="182"/>
      <c r="BD1380" s="182"/>
      <c r="BE1380" s="182"/>
      <c r="BF1380" s="182"/>
      <c r="BG1380" s="182"/>
      <c r="BH1380" s="182"/>
      <c r="BI1380" s="182"/>
      <c r="BJ1380" s="182"/>
      <c r="BK1380" s="182"/>
      <c r="BL1380" s="182"/>
      <c r="BM1380" s="182"/>
      <c r="BN1380" s="182"/>
      <c r="BO1380" s="182"/>
      <c r="BP1380" s="182"/>
      <c r="BQ1380" s="182"/>
      <c r="BR1380" s="182"/>
      <c r="BS1380" s="182"/>
      <c r="BT1380" s="182"/>
      <c r="BU1380" s="182"/>
      <c r="BV1380" s="182"/>
      <c r="BW1380" s="182"/>
      <c r="BX1380" s="182"/>
      <c r="BY1380" s="182"/>
      <c r="BZ1380" s="182"/>
      <c r="CA1380" s="182">
        <v>250</v>
      </c>
      <c r="CB1380" s="185">
        <v>250</v>
      </c>
      <c r="CC1380" s="185">
        <v>0</v>
      </c>
      <c r="CD1380" s="185">
        <v>70</v>
      </c>
      <c r="CE1380" s="185"/>
    </row>
    <row r="1381" spans="2:83" x14ac:dyDescent="0.3">
      <c r="B1381" s="182"/>
      <c r="C1381" s="182">
        <v>71</v>
      </c>
      <c r="D1381" s="182" t="s">
        <v>122</v>
      </c>
      <c r="E1381" s="181" t="s">
        <v>4510</v>
      </c>
      <c r="F1381" s="182"/>
      <c r="G1381" s="182"/>
      <c r="H1381" s="182"/>
      <c r="I1381" s="182"/>
      <c r="J1381" s="182"/>
      <c r="K1381" s="182"/>
      <c r="L1381" s="182"/>
      <c r="M1381" s="182"/>
      <c r="N1381" s="182"/>
      <c r="O1381" s="182"/>
      <c r="P1381" s="182"/>
      <c r="Q1381" s="182"/>
      <c r="R1381" s="182"/>
      <c r="S1381" s="182"/>
      <c r="T1381" s="182"/>
      <c r="U1381" s="182"/>
      <c r="V1381" s="182"/>
      <c r="W1381" s="182"/>
      <c r="X1381" s="182"/>
      <c r="Y1381" s="182"/>
      <c r="Z1381" s="182"/>
      <c r="AA1381" s="182"/>
      <c r="AB1381" s="182"/>
      <c r="AC1381" s="182"/>
      <c r="AD1381" s="182"/>
      <c r="AE1381" s="182"/>
      <c r="AF1381" s="182"/>
      <c r="AG1381" s="182"/>
      <c r="AH1381" s="182"/>
      <c r="AI1381" s="182"/>
      <c r="AJ1381" s="182"/>
      <c r="AK1381" s="182"/>
      <c r="AL1381" s="182"/>
      <c r="AM1381" s="182"/>
      <c r="AN1381" s="182"/>
      <c r="AO1381" s="182"/>
      <c r="AP1381" s="182">
        <v>50</v>
      </c>
      <c r="AQ1381" s="185">
        <v>50</v>
      </c>
      <c r="AR1381" s="182"/>
      <c r="AS1381" s="182"/>
      <c r="AT1381" s="182"/>
      <c r="AU1381" s="182"/>
      <c r="AV1381" s="182"/>
      <c r="AW1381" s="182"/>
      <c r="AX1381" s="182"/>
      <c r="AY1381" s="182"/>
      <c r="AZ1381" s="182"/>
      <c r="BA1381" s="182"/>
      <c r="BB1381" s="182"/>
      <c r="BC1381" s="182"/>
      <c r="BD1381" s="182"/>
      <c r="BE1381" s="182"/>
      <c r="BF1381" s="182"/>
      <c r="BG1381" s="182"/>
      <c r="BH1381" s="182"/>
      <c r="BI1381" s="182"/>
      <c r="BJ1381" s="182"/>
      <c r="BK1381" s="182"/>
      <c r="BL1381" s="182"/>
      <c r="BM1381" s="182"/>
      <c r="BN1381" s="182"/>
      <c r="BO1381" s="182"/>
      <c r="BP1381" s="182"/>
      <c r="BQ1381" s="182"/>
      <c r="BR1381" s="182"/>
      <c r="BS1381" s="182"/>
      <c r="BT1381" s="182"/>
      <c r="BU1381" s="182"/>
      <c r="BV1381" s="182"/>
      <c r="BW1381" s="182"/>
      <c r="BX1381" s="182"/>
      <c r="BY1381" s="182"/>
      <c r="BZ1381" s="182"/>
      <c r="CA1381" s="182">
        <v>50</v>
      </c>
      <c r="CB1381" s="185">
        <v>50</v>
      </c>
      <c r="CC1381" s="185">
        <v>0</v>
      </c>
      <c r="CD1381" s="185">
        <v>71</v>
      </c>
      <c r="CE1381" s="185"/>
    </row>
    <row r="1382" spans="2:83" x14ac:dyDescent="0.3">
      <c r="B1382" s="182"/>
      <c r="C1382" s="182">
        <v>72</v>
      </c>
      <c r="D1382" s="182" t="s">
        <v>122</v>
      </c>
      <c r="E1382" s="181" t="s">
        <v>4511</v>
      </c>
      <c r="F1382" s="182"/>
      <c r="G1382" s="182"/>
      <c r="H1382" s="182"/>
      <c r="I1382" s="182"/>
      <c r="J1382" s="182"/>
      <c r="K1382" s="182"/>
      <c r="L1382" s="182"/>
      <c r="M1382" s="182"/>
      <c r="N1382" s="182"/>
      <c r="O1382" s="182"/>
      <c r="P1382" s="182"/>
      <c r="Q1382" s="182"/>
      <c r="R1382" s="182"/>
      <c r="S1382" s="182"/>
      <c r="T1382" s="182"/>
      <c r="U1382" s="182"/>
      <c r="V1382" s="182"/>
      <c r="W1382" s="182"/>
      <c r="X1382" s="182"/>
      <c r="Y1382" s="182"/>
      <c r="Z1382" s="182"/>
      <c r="AA1382" s="182"/>
      <c r="AB1382" s="182"/>
      <c r="AC1382" s="182"/>
      <c r="AD1382" s="182"/>
      <c r="AE1382" s="182"/>
      <c r="AF1382" s="182"/>
      <c r="AG1382" s="182"/>
      <c r="AH1382" s="182"/>
      <c r="AI1382" s="182"/>
      <c r="AJ1382" s="182"/>
      <c r="AK1382" s="182"/>
      <c r="AL1382" s="182"/>
      <c r="AM1382" s="182"/>
      <c r="AN1382" s="182"/>
      <c r="AO1382" s="182"/>
      <c r="AP1382" s="182">
        <v>250</v>
      </c>
      <c r="AQ1382" s="185">
        <v>250</v>
      </c>
      <c r="AR1382" s="182"/>
      <c r="AS1382" s="182"/>
      <c r="AT1382" s="182"/>
      <c r="AU1382" s="182"/>
      <c r="AV1382" s="182"/>
      <c r="AW1382" s="182"/>
      <c r="AX1382" s="182"/>
      <c r="AY1382" s="182"/>
      <c r="AZ1382" s="182"/>
      <c r="BA1382" s="182"/>
      <c r="BB1382" s="182"/>
      <c r="BC1382" s="182"/>
      <c r="BD1382" s="182"/>
      <c r="BE1382" s="182"/>
      <c r="BF1382" s="182"/>
      <c r="BG1382" s="182"/>
      <c r="BH1382" s="182"/>
      <c r="BI1382" s="182"/>
      <c r="BJ1382" s="182"/>
      <c r="BK1382" s="182"/>
      <c r="BL1382" s="182"/>
      <c r="BM1382" s="182"/>
      <c r="BN1382" s="182"/>
      <c r="BO1382" s="182"/>
      <c r="BP1382" s="182"/>
      <c r="BQ1382" s="182"/>
      <c r="BR1382" s="182"/>
      <c r="BS1382" s="182"/>
      <c r="BT1382" s="182"/>
      <c r="BU1382" s="182"/>
      <c r="BV1382" s="182"/>
      <c r="BW1382" s="182"/>
      <c r="BX1382" s="182"/>
      <c r="BY1382" s="182"/>
      <c r="BZ1382" s="182"/>
      <c r="CA1382" s="182">
        <v>250</v>
      </c>
      <c r="CB1382" s="185">
        <v>250</v>
      </c>
      <c r="CC1382" s="185">
        <v>0</v>
      </c>
      <c r="CD1382" s="185">
        <v>72</v>
      </c>
      <c r="CE1382" s="185"/>
    </row>
    <row r="1383" spans="2:83" x14ac:dyDescent="0.3">
      <c r="B1383" s="182"/>
      <c r="C1383" s="182">
        <v>73</v>
      </c>
      <c r="D1383" s="182" t="s">
        <v>122</v>
      </c>
      <c r="E1383" s="181" t="s">
        <v>4512</v>
      </c>
      <c r="F1383" s="182"/>
      <c r="G1383" s="182"/>
      <c r="H1383" s="182"/>
      <c r="I1383" s="182"/>
      <c r="J1383" s="182"/>
      <c r="K1383" s="182"/>
      <c r="L1383" s="182"/>
      <c r="M1383" s="182"/>
      <c r="N1383" s="182"/>
      <c r="O1383" s="182"/>
      <c r="P1383" s="182"/>
      <c r="Q1383" s="182"/>
      <c r="R1383" s="182"/>
      <c r="S1383" s="182"/>
      <c r="T1383" s="182"/>
      <c r="U1383" s="182"/>
      <c r="V1383" s="182"/>
      <c r="W1383" s="182"/>
      <c r="X1383" s="182"/>
      <c r="Y1383" s="182"/>
      <c r="Z1383" s="182"/>
      <c r="AA1383" s="182"/>
      <c r="AB1383" s="182"/>
      <c r="AC1383" s="182"/>
      <c r="AD1383" s="182"/>
      <c r="AE1383" s="182"/>
      <c r="AF1383" s="182"/>
      <c r="AG1383" s="182"/>
      <c r="AH1383" s="182"/>
      <c r="AI1383" s="182"/>
      <c r="AJ1383" s="182"/>
      <c r="AK1383" s="182"/>
      <c r="AL1383" s="182"/>
      <c r="AM1383" s="182"/>
      <c r="AN1383" s="182"/>
      <c r="AO1383" s="182"/>
      <c r="AP1383" s="182">
        <v>150</v>
      </c>
      <c r="AQ1383" s="185">
        <v>150</v>
      </c>
      <c r="AR1383" s="182"/>
      <c r="AS1383" s="182"/>
      <c r="AT1383" s="182"/>
      <c r="AU1383" s="182"/>
      <c r="AV1383" s="182"/>
      <c r="AW1383" s="182"/>
      <c r="AX1383" s="182"/>
      <c r="AY1383" s="182"/>
      <c r="AZ1383" s="182"/>
      <c r="BA1383" s="182"/>
      <c r="BB1383" s="182"/>
      <c r="BC1383" s="182"/>
      <c r="BD1383" s="182"/>
      <c r="BE1383" s="182"/>
      <c r="BF1383" s="182"/>
      <c r="BG1383" s="182"/>
      <c r="BH1383" s="182"/>
      <c r="BI1383" s="182"/>
      <c r="BJ1383" s="182"/>
      <c r="BK1383" s="182"/>
      <c r="BL1383" s="182"/>
      <c r="BM1383" s="182"/>
      <c r="BN1383" s="182"/>
      <c r="BO1383" s="182"/>
      <c r="BP1383" s="182"/>
      <c r="BQ1383" s="182"/>
      <c r="BR1383" s="182"/>
      <c r="BS1383" s="182"/>
      <c r="BT1383" s="182"/>
      <c r="BU1383" s="182"/>
      <c r="BV1383" s="182"/>
      <c r="BW1383" s="182"/>
      <c r="BX1383" s="182"/>
      <c r="BY1383" s="182"/>
      <c r="BZ1383" s="182"/>
      <c r="CA1383" s="182">
        <v>150</v>
      </c>
      <c r="CB1383" s="185">
        <v>150</v>
      </c>
      <c r="CC1383" s="185">
        <v>0</v>
      </c>
      <c r="CD1383" s="185">
        <v>73</v>
      </c>
      <c r="CE1383" s="185"/>
    </row>
    <row r="1384" spans="2:83" x14ac:dyDescent="0.3">
      <c r="B1384" s="182"/>
      <c r="C1384" s="182">
        <v>74</v>
      </c>
      <c r="D1384" s="182" t="s">
        <v>122</v>
      </c>
      <c r="E1384" s="181" t="s">
        <v>4513</v>
      </c>
      <c r="F1384" s="182"/>
      <c r="G1384" s="182"/>
      <c r="H1384" s="182"/>
      <c r="I1384" s="182"/>
      <c r="J1384" s="182"/>
      <c r="K1384" s="182"/>
      <c r="L1384" s="182"/>
      <c r="M1384" s="182"/>
      <c r="N1384" s="182"/>
      <c r="O1384" s="182"/>
      <c r="P1384" s="182"/>
      <c r="Q1384" s="182"/>
      <c r="R1384" s="182"/>
      <c r="S1384" s="182"/>
      <c r="T1384" s="182"/>
      <c r="U1384" s="182"/>
      <c r="V1384" s="182"/>
      <c r="W1384" s="182"/>
      <c r="X1384" s="182"/>
      <c r="Y1384" s="182"/>
      <c r="Z1384" s="182"/>
      <c r="AA1384" s="182"/>
      <c r="AB1384" s="182"/>
      <c r="AC1384" s="182"/>
      <c r="AD1384" s="182"/>
      <c r="AE1384" s="182"/>
      <c r="AF1384" s="182"/>
      <c r="AG1384" s="182"/>
      <c r="AH1384" s="182"/>
      <c r="AI1384" s="182"/>
      <c r="AJ1384" s="182"/>
      <c r="AK1384" s="182"/>
      <c r="AL1384" s="182"/>
      <c r="AM1384" s="182"/>
      <c r="AN1384" s="182"/>
      <c r="AO1384" s="182"/>
      <c r="AP1384" s="182">
        <v>50</v>
      </c>
      <c r="AQ1384" s="185">
        <v>50</v>
      </c>
      <c r="AR1384" s="182"/>
      <c r="AS1384" s="182"/>
      <c r="AT1384" s="182"/>
      <c r="AU1384" s="182"/>
      <c r="AV1384" s="182"/>
      <c r="AW1384" s="182"/>
      <c r="AX1384" s="182"/>
      <c r="AY1384" s="182"/>
      <c r="AZ1384" s="182"/>
      <c r="BA1384" s="182"/>
      <c r="BB1384" s="182"/>
      <c r="BC1384" s="182"/>
      <c r="BD1384" s="182"/>
      <c r="BE1384" s="182"/>
      <c r="BF1384" s="182"/>
      <c r="BG1384" s="182"/>
      <c r="BH1384" s="182"/>
      <c r="BI1384" s="182"/>
      <c r="BJ1384" s="182"/>
      <c r="BK1384" s="182"/>
      <c r="BL1384" s="182"/>
      <c r="BM1384" s="182"/>
      <c r="BN1384" s="182"/>
      <c r="BO1384" s="182"/>
      <c r="BP1384" s="182"/>
      <c r="BQ1384" s="182"/>
      <c r="BR1384" s="182"/>
      <c r="BS1384" s="182"/>
      <c r="BT1384" s="182"/>
      <c r="BU1384" s="182"/>
      <c r="BV1384" s="182"/>
      <c r="BW1384" s="182"/>
      <c r="BX1384" s="182"/>
      <c r="BY1384" s="182"/>
      <c r="BZ1384" s="182"/>
      <c r="CA1384" s="182">
        <v>50</v>
      </c>
      <c r="CB1384" s="185">
        <v>50</v>
      </c>
      <c r="CC1384" s="185">
        <v>0</v>
      </c>
      <c r="CD1384" s="185">
        <v>74</v>
      </c>
      <c r="CE1384" s="185"/>
    </row>
    <row r="1385" spans="2:83" x14ac:dyDescent="0.3">
      <c r="B1385" s="182"/>
      <c r="C1385" s="182">
        <v>75</v>
      </c>
      <c r="D1385" s="182" t="s">
        <v>122</v>
      </c>
      <c r="E1385" s="181" t="s">
        <v>4514</v>
      </c>
      <c r="F1385" s="182"/>
      <c r="G1385" s="182"/>
      <c r="H1385" s="182"/>
      <c r="I1385" s="182"/>
      <c r="J1385" s="182"/>
      <c r="K1385" s="182"/>
      <c r="L1385" s="182"/>
      <c r="M1385" s="182"/>
      <c r="N1385" s="182"/>
      <c r="O1385" s="182"/>
      <c r="P1385" s="182"/>
      <c r="Q1385" s="182"/>
      <c r="R1385" s="182"/>
      <c r="S1385" s="182"/>
      <c r="T1385" s="182"/>
      <c r="U1385" s="182"/>
      <c r="V1385" s="182"/>
      <c r="W1385" s="182"/>
      <c r="X1385" s="182"/>
      <c r="Y1385" s="182"/>
      <c r="Z1385" s="182"/>
      <c r="AA1385" s="182"/>
      <c r="AB1385" s="182"/>
      <c r="AC1385" s="182"/>
      <c r="AD1385" s="182"/>
      <c r="AE1385" s="182"/>
      <c r="AF1385" s="182"/>
      <c r="AG1385" s="182"/>
      <c r="AH1385" s="182"/>
      <c r="AI1385" s="182"/>
      <c r="AJ1385" s="182"/>
      <c r="AK1385" s="182"/>
      <c r="AL1385" s="182"/>
      <c r="AM1385" s="182"/>
      <c r="AN1385" s="182"/>
      <c r="AO1385" s="182"/>
      <c r="AP1385" s="182">
        <v>50</v>
      </c>
      <c r="AQ1385" s="185">
        <v>50</v>
      </c>
      <c r="AR1385" s="182"/>
      <c r="AS1385" s="182"/>
      <c r="AT1385" s="182"/>
      <c r="AU1385" s="182"/>
      <c r="AV1385" s="182"/>
      <c r="AW1385" s="182"/>
      <c r="AX1385" s="182"/>
      <c r="AY1385" s="182"/>
      <c r="AZ1385" s="182"/>
      <c r="BA1385" s="182"/>
      <c r="BB1385" s="182"/>
      <c r="BC1385" s="182"/>
      <c r="BD1385" s="182"/>
      <c r="BE1385" s="182"/>
      <c r="BF1385" s="182"/>
      <c r="BG1385" s="182"/>
      <c r="BH1385" s="182"/>
      <c r="BI1385" s="182"/>
      <c r="BJ1385" s="182"/>
      <c r="BK1385" s="182"/>
      <c r="BL1385" s="182"/>
      <c r="BM1385" s="182"/>
      <c r="BN1385" s="182"/>
      <c r="BO1385" s="182"/>
      <c r="BP1385" s="182"/>
      <c r="BQ1385" s="182"/>
      <c r="BR1385" s="182"/>
      <c r="BS1385" s="182"/>
      <c r="BT1385" s="182"/>
      <c r="BU1385" s="182"/>
      <c r="BV1385" s="182"/>
      <c r="BW1385" s="182"/>
      <c r="BX1385" s="182"/>
      <c r="BY1385" s="182"/>
      <c r="BZ1385" s="182"/>
      <c r="CA1385" s="182">
        <v>50</v>
      </c>
      <c r="CB1385" s="185">
        <v>50</v>
      </c>
      <c r="CC1385" s="185">
        <v>0</v>
      </c>
      <c r="CD1385" s="185">
        <v>75</v>
      </c>
      <c r="CE1385" s="185"/>
    </row>
    <row r="1386" spans="2:83" x14ac:dyDescent="0.3">
      <c r="B1386" s="182"/>
      <c r="C1386" s="182">
        <v>76</v>
      </c>
      <c r="D1386" s="182" t="s">
        <v>122</v>
      </c>
      <c r="E1386" s="181" t="s">
        <v>4515</v>
      </c>
      <c r="F1386" s="182"/>
      <c r="G1386" s="182"/>
      <c r="H1386" s="182"/>
      <c r="I1386" s="182"/>
      <c r="J1386" s="182"/>
      <c r="K1386" s="182"/>
      <c r="L1386" s="182"/>
      <c r="M1386" s="182"/>
      <c r="N1386" s="182"/>
      <c r="O1386" s="182"/>
      <c r="P1386" s="182"/>
      <c r="Q1386" s="182"/>
      <c r="R1386" s="182"/>
      <c r="S1386" s="182"/>
      <c r="T1386" s="182"/>
      <c r="U1386" s="182"/>
      <c r="V1386" s="182"/>
      <c r="W1386" s="182"/>
      <c r="X1386" s="182"/>
      <c r="Y1386" s="182"/>
      <c r="Z1386" s="182"/>
      <c r="AA1386" s="182"/>
      <c r="AB1386" s="182"/>
      <c r="AC1386" s="182"/>
      <c r="AD1386" s="182"/>
      <c r="AE1386" s="182"/>
      <c r="AF1386" s="182"/>
      <c r="AG1386" s="182"/>
      <c r="AH1386" s="182"/>
      <c r="AI1386" s="182"/>
      <c r="AJ1386" s="182"/>
      <c r="AK1386" s="182"/>
      <c r="AL1386" s="182"/>
      <c r="AM1386" s="182"/>
      <c r="AN1386" s="182">
        <v>1600</v>
      </c>
      <c r="AO1386" s="182"/>
      <c r="AP1386" s="182"/>
      <c r="AQ1386" s="185">
        <v>1600</v>
      </c>
      <c r="AR1386" s="182"/>
      <c r="AS1386" s="182"/>
      <c r="AT1386" s="182"/>
      <c r="AU1386" s="182"/>
      <c r="AV1386" s="182"/>
      <c r="AW1386" s="182"/>
      <c r="AX1386" s="182"/>
      <c r="AY1386" s="182"/>
      <c r="AZ1386" s="182"/>
      <c r="BA1386" s="182"/>
      <c r="BB1386" s="182"/>
      <c r="BC1386" s="182"/>
      <c r="BD1386" s="182"/>
      <c r="BE1386" s="182"/>
      <c r="BF1386" s="182"/>
      <c r="BG1386" s="182"/>
      <c r="BH1386" s="182"/>
      <c r="BI1386" s="182"/>
      <c r="BJ1386" s="182"/>
      <c r="BK1386" s="182"/>
      <c r="BL1386" s="182"/>
      <c r="BM1386" s="182"/>
      <c r="BN1386" s="182"/>
      <c r="BO1386" s="182"/>
      <c r="BP1386" s="182"/>
      <c r="BQ1386" s="182"/>
      <c r="BR1386" s="182"/>
      <c r="BS1386" s="182"/>
      <c r="BT1386" s="182"/>
      <c r="BU1386" s="182"/>
      <c r="BV1386" s="182"/>
      <c r="BW1386" s="182"/>
      <c r="BX1386" s="182"/>
      <c r="BY1386" s="182"/>
      <c r="BZ1386" s="182">
        <v>1600</v>
      </c>
      <c r="CA1386" s="182"/>
      <c r="CB1386" s="185">
        <v>1600</v>
      </c>
      <c r="CC1386" s="185">
        <v>0</v>
      </c>
      <c r="CD1386" s="185">
        <v>76</v>
      </c>
      <c r="CE1386" s="185"/>
    </row>
    <row r="1387" spans="2:83" x14ac:dyDescent="0.3">
      <c r="B1387" s="182"/>
      <c r="C1387" s="182">
        <v>77</v>
      </c>
      <c r="D1387" s="182" t="s">
        <v>249</v>
      </c>
      <c r="E1387" s="181" t="s">
        <v>4515</v>
      </c>
      <c r="F1387" s="182"/>
      <c r="G1387" s="182"/>
      <c r="H1387" s="182"/>
      <c r="I1387" s="182"/>
      <c r="J1387" s="182"/>
      <c r="K1387" s="182"/>
      <c r="L1387" s="182"/>
      <c r="M1387" s="182"/>
      <c r="N1387" s="182"/>
      <c r="O1387" s="182"/>
      <c r="P1387" s="182"/>
      <c r="Q1387" s="182"/>
      <c r="R1387" s="182"/>
      <c r="S1387" s="182"/>
      <c r="T1387" s="182"/>
      <c r="U1387" s="182"/>
      <c r="V1387" s="182"/>
      <c r="W1387" s="182"/>
      <c r="X1387" s="182"/>
      <c r="Y1387" s="182"/>
      <c r="Z1387" s="182"/>
      <c r="AA1387" s="182"/>
      <c r="AB1387" s="182"/>
      <c r="AC1387" s="182"/>
      <c r="AD1387" s="182"/>
      <c r="AE1387" s="182"/>
      <c r="AF1387" s="182"/>
      <c r="AG1387" s="182"/>
      <c r="AH1387" s="182"/>
      <c r="AI1387" s="182"/>
      <c r="AJ1387" s="182"/>
      <c r="AK1387" s="182"/>
      <c r="AL1387" s="182"/>
      <c r="AM1387" s="182"/>
      <c r="AN1387" s="182">
        <v>35130</v>
      </c>
      <c r="AO1387" s="182"/>
      <c r="AP1387" s="182"/>
      <c r="AQ1387" s="185">
        <v>35130</v>
      </c>
      <c r="AR1387" s="182"/>
      <c r="AS1387" s="182"/>
      <c r="AT1387" s="182"/>
      <c r="AU1387" s="182"/>
      <c r="AV1387" s="182"/>
      <c r="AW1387" s="182"/>
      <c r="AX1387" s="182"/>
      <c r="AY1387" s="182"/>
      <c r="AZ1387" s="182"/>
      <c r="BA1387" s="182"/>
      <c r="BB1387" s="182"/>
      <c r="BC1387" s="182"/>
      <c r="BD1387" s="182"/>
      <c r="BE1387" s="182"/>
      <c r="BF1387" s="182"/>
      <c r="BG1387" s="182"/>
      <c r="BH1387" s="182"/>
      <c r="BI1387" s="182"/>
      <c r="BJ1387" s="182"/>
      <c r="BK1387" s="182"/>
      <c r="BL1387" s="182"/>
      <c r="BM1387" s="182"/>
      <c r="BN1387" s="182"/>
      <c r="BO1387" s="182"/>
      <c r="BP1387" s="182"/>
      <c r="BQ1387" s="182"/>
      <c r="BR1387" s="182"/>
      <c r="BS1387" s="182"/>
      <c r="BT1387" s="182"/>
      <c r="BU1387" s="182"/>
      <c r="BV1387" s="182"/>
      <c r="BW1387" s="182"/>
      <c r="BX1387" s="182"/>
      <c r="BY1387" s="182"/>
      <c r="BZ1387" s="182">
        <v>35130</v>
      </c>
      <c r="CA1387" s="182"/>
      <c r="CB1387" s="185">
        <v>35130</v>
      </c>
      <c r="CC1387" s="185">
        <v>0</v>
      </c>
      <c r="CD1387" s="185">
        <v>77</v>
      </c>
      <c r="CE1387" s="185"/>
    </row>
    <row r="1388" spans="2:83" x14ac:dyDescent="0.3">
      <c r="B1388" s="185"/>
      <c r="C1388" s="185"/>
      <c r="D1388" s="185"/>
      <c r="E1388" s="184" t="s">
        <v>4516</v>
      </c>
      <c r="F1388" s="185"/>
      <c r="G1388" s="185"/>
      <c r="H1388" s="185"/>
      <c r="I1388" s="185"/>
      <c r="J1388" s="185"/>
      <c r="K1388" s="185"/>
      <c r="L1388" s="185"/>
      <c r="M1388" s="185"/>
      <c r="N1388" s="185"/>
      <c r="O1388" s="185"/>
      <c r="P1388" s="185"/>
      <c r="Q1388" s="185"/>
      <c r="R1388" s="185"/>
      <c r="S1388" s="185"/>
      <c r="T1388" s="185"/>
      <c r="U1388" s="185"/>
      <c r="V1388" s="185"/>
      <c r="W1388" s="185"/>
      <c r="X1388" s="185"/>
      <c r="Y1388" s="185"/>
      <c r="Z1388" s="185"/>
      <c r="AA1388" s="185"/>
      <c r="AB1388" s="185"/>
      <c r="AC1388" s="185"/>
      <c r="AD1388" s="185"/>
      <c r="AE1388" s="185"/>
      <c r="AF1388" s="185"/>
      <c r="AG1388" s="185"/>
      <c r="AH1388" s="185"/>
      <c r="AI1388" s="185">
        <v>27500</v>
      </c>
      <c r="AJ1388" s="185">
        <v>0</v>
      </c>
      <c r="AK1388" s="185">
        <v>0</v>
      </c>
      <c r="AL1388" s="185">
        <v>0</v>
      </c>
      <c r="AM1388" s="185">
        <v>0</v>
      </c>
      <c r="AN1388" s="185">
        <v>36730</v>
      </c>
      <c r="AO1388" s="185">
        <v>0</v>
      </c>
      <c r="AP1388" s="185">
        <v>79190</v>
      </c>
      <c r="AQ1388" s="185">
        <v>143420</v>
      </c>
      <c r="AR1388" s="185">
        <v>0</v>
      </c>
      <c r="AS1388" s="185">
        <v>0</v>
      </c>
      <c r="AT1388" s="185">
        <v>0</v>
      </c>
      <c r="AU1388" s="185">
        <v>0</v>
      </c>
      <c r="AV1388" s="185">
        <v>0</v>
      </c>
      <c r="AW1388" s="185">
        <v>0</v>
      </c>
      <c r="AX1388" s="185">
        <v>0</v>
      </c>
      <c r="AY1388" s="185">
        <v>0</v>
      </c>
      <c r="AZ1388" s="185">
        <v>0</v>
      </c>
      <c r="BA1388" s="185">
        <v>0</v>
      </c>
      <c r="BB1388" s="185">
        <v>0</v>
      </c>
      <c r="BC1388" s="185">
        <v>0</v>
      </c>
      <c r="BD1388" s="185">
        <v>0</v>
      </c>
      <c r="BE1388" s="185">
        <v>0</v>
      </c>
      <c r="BF1388" s="185">
        <v>0</v>
      </c>
      <c r="BG1388" s="185">
        <v>0</v>
      </c>
      <c r="BH1388" s="185">
        <v>0</v>
      </c>
      <c r="BI1388" s="185">
        <v>0</v>
      </c>
      <c r="BJ1388" s="185">
        <v>0</v>
      </c>
      <c r="BK1388" s="185">
        <v>0</v>
      </c>
      <c r="BL1388" s="185">
        <v>0</v>
      </c>
      <c r="BM1388" s="185">
        <v>0</v>
      </c>
      <c r="BN1388" s="185">
        <v>0</v>
      </c>
      <c r="BO1388" s="185">
        <v>0</v>
      </c>
      <c r="BP1388" s="185">
        <v>0</v>
      </c>
      <c r="BQ1388" s="185">
        <v>0</v>
      </c>
      <c r="BR1388" s="185">
        <v>0</v>
      </c>
      <c r="BS1388" s="185">
        <v>27500</v>
      </c>
      <c r="BT1388" s="185">
        <v>0</v>
      </c>
      <c r="BU1388" s="185">
        <v>0</v>
      </c>
      <c r="BV1388" s="185">
        <v>0</v>
      </c>
      <c r="BW1388" s="185">
        <v>0</v>
      </c>
      <c r="BX1388" s="185">
        <v>0</v>
      </c>
      <c r="BY1388" s="185">
        <v>0</v>
      </c>
      <c r="BZ1388" s="185">
        <v>36730</v>
      </c>
      <c r="CA1388" s="185">
        <v>79190</v>
      </c>
      <c r="CB1388" s="185">
        <v>143420</v>
      </c>
      <c r="CC1388" s="185">
        <v>0</v>
      </c>
      <c r="CD1388" s="185"/>
      <c r="CE1388" s="185"/>
    </row>
    <row r="1389" spans="2:83" x14ac:dyDescent="0.3">
      <c r="B1389" s="182"/>
      <c r="C1389" s="182">
        <v>78</v>
      </c>
      <c r="D1389" s="182"/>
      <c r="E1389" s="181" t="s">
        <v>4517</v>
      </c>
      <c r="F1389" s="182"/>
      <c r="G1389" s="182">
        <v>7937783.9699999997</v>
      </c>
      <c r="H1389" s="182"/>
      <c r="I1389" s="182"/>
      <c r="J1389" s="182"/>
      <c r="K1389" s="182"/>
      <c r="L1389" s="182"/>
      <c r="M1389" s="182"/>
      <c r="N1389" s="182"/>
      <c r="O1389" s="182"/>
      <c r="P1389" s="182"/>
      <c r="Q1389" s="182"/>
      <c r="R1389" s="182"/>
      <c r="S1389" s="182"/>
      <c r="T1389" s="182"/>
      <c r="U1389" s="182"/>
      <c r="V1389" s="182"/>
      <c r="W1389" s="182"/>
      <c r="X1389" s="182"/>
      <c r="Y1389" s="182"/>
      <c r="Z1389" s="182"/>
      <c r="AA1389" s="182"/>
      <c r="AB1389" s="182"/>
      <c r="AC1389" s="182"/>
      <c r="AD1389" s="182"/>
      <c r="AE1389" s="182"/>
      <c r="AF1389" s="182"/>
      <c r="AG1389" s="182"/>
      <c r="AH1389" s="182"/>
      <c r="AI1389" s="182"/>
      <c r="AJ1389" s="182"/>
      <c r="AK1389" s="182"/>
      <c r="AL1389" s="182"/>
      <c r="AM1389" s="182"/>
      <c r="AN1389" s="182"/>
      <c r="AO1389" s="182"/>
      <c r="AP1389" s="182"/>
      <c r="AQ1389" s="185">
        <v>7937783.9699999997</v>
      </c>
      <c r="AR1389" s="182"/>
      <c r="AS1389" s="182"/>
      <c r="AT1389" s="182"/>
      <c r="AU1389" s="182"/>
      <c r="AV1389" s="182"/>
      <c r="AW1389" s="182"/>
      <c r="AX1389" s="182"/>
      <c r="AY1389" s="182"/>
      <c r="AZ1389" s="182"/>
      <c r="BA1389" s="182"/>
      <c r="BB1389" s="182"/>
      <c r="BC1389" s="182"/>
      <c r="BD1389" s="182"/>
      <c r="BE1389" s="182"/>
      <c r="BF1389" s="182"/>
      <c r="BG1389" s="182"/>
      <c r="BH1389" s="182"/>
      <c r="BI1389" s="182"/>
      <c r="BJ1389" s="182"/>
      <c r="BK1389" s="182"/>
      <c r="BL1389" s="182"/>
      <c r="BM1389" s="182"/>
      <c r="BN1389" s="182"/>
      <c r="BO1389" s="182"/>
      <c r="BP1389" s="182"/>
      <c r="BQ1389" s="182"/>
      <c r="BR1389" s="182"/>
      <c r="BS1389" s="182"/>
      <c r="BT1389" s="182"/>
      <c r="BU1389" s="182"/>
      <c r="BV1389" s="182"/>
      <c r="BW1389" s="182"/>
      <c r="BX1389" s="182"/>
      <c r="BY1389" s="182"/>
      <c r="BZ1389" s="182"/>
      <c r="CA1389" s="182">
        <v>7937783.9699999997</v>
      </c>
      <c r="CB1389" s="185">
        <v>7937783.9699999997</v>
      </c>
      <c r="CC1389" s="185">
        <v>0</v>
      </c>
      <c r="CD1389" s="185">
        <v>78</v>
      </c>
      <c r="CE1389" s="185"/>
    </row>
    <row r="1390" spans="2:83" x14ac:dyDescent="0.3">
      <c r="B1390" s="182"/>
      <c r="C1390" s="182">
        <v>79</v>
      </c>
      <c r="D1390" s="182"/>
      <c r="E1390" s="181" t="s">
        <v>4518</v>
      </c>
      <c r="F1390" s="182"/>
      <c r="G1390" s="182">
        <v>7649529.25</v>
      </c>
      <c r="H1390" s="182"/>
      <c r="I1390" s="182"/>
      <c r="J1390" s="182"/>
      <c r="K1390" s="182"/>
      <c r="L1390" s="182"/>
      <c r="M1390" s="182"/>
      <c r="N1390" s="182"/>
      <c r="O1390" s="182"/>
      <c r="P1390" s="182"/>
      <c r="Q1390" s="182"/>
      <c r="R1390" s="182"/>
      <c r="S1390" s="182"/>
      <c r="T1390" s="182"/>
      <c r="U1390" s="182"/>
      <c r="V1390" s="182"/>
      <c r="W1390" s="182"/>
      <c r="X1390" s="182"/>
      <c r="Y1390" s="182"/>
      <c r="Z1390" s="182"/>
      <c r="AA1390" s="182"/>
      <c r="AB1390" s="182"/>
      <c r="AC1390" s="182"/>
      <c r="AD1390" s="182"/>
      <c r="AE1390" s="182"/>
      <c r="AF1390" s="182"/>
      <c r="AG1390" s="182"/>
      <c r="AH1390" s="182"/>
      <c r="AI1390" s="182"/>
      <c r="AJ1390" s="182"/>
      <c r="AK1390" s="182"/>
      <c r="AL1390" s="182"/>
      <c r="AM1390" s="182"/>
      <c r="AN1390" s="182"/>
      <c r="AO1390" s="182"/>
      <c r="AP1390" s="182"/>
      <c r="AQ1390" s="185">
        <v>7649529.25</v>
      </c>
      <c r="AR1390" s="182"/>
      <c r="AS1390" s="182"/>
      <c r="AT1390" s="182"/>
      <c r="AU1390" s="182"/>
      <c r="AV1390" s="182"/>
      <c r="AW1390" s="182"/>
      <c r="AX1390" s="182"/>
      <c r="AY1390" s="182"/>
      <c r="AZ1390" s="182"/>
      <c r="BA1390" s="182"/>
      <c r="BB1390" s="182"/>
      <c r="BC1390" s="182"/>
      <c r="BD1390" s="182"/>
      <c r="BE1390" s="182"/>
      <c r="BF1390" s="182"/>
      <c r="BG1390" s="182"/>
      <c r="BH1390" s="182"/>
      <c r="BI1390" s="182"/>
      <c r="BJ1390" s="182"/>
      <c r="BK1390" s="182"/>
      <c r="BL1390" s="182"/>
      <c r="BM1390" s="182"/>
      <c r="BN1390" s="182"/>
      <c r="BO1390" s="182"/>
      <c r="BP1390" s="182"/>
      <c r="BQ1390" s="182"/>
      <c r="BR1390" s="182"/>
      <c r="BS1390" s="182"/>
      <c r="BT1390" s="182"/>
      <c r="BU1390" s="182"/>
      <c r="BV1390" s="182"/>
      <c r="BW1390" s="182"/>
      <c r="BX1390" s="182"/>
      <c r="BY1390" s="182"/>
      <c r="BZ1390" s="182"/>
      <c r="CA1390" s="182">
        <v>7649529.25</v>
      </c>
      <c r="CB1390" s="185">
        <v>7649529.25</v>
      </c>
      <c r="CC1390" s="185">
        <v>0</v>
      </c>
      <c r="CD1390" s="185">
        <v>79</v>
      </c>
      <c r="CE1390" s="185"/>
    </row>
    <row r="1391" spans="2:83" x14ac:dyDescent="0.3">
      <c r="B1391" s="182"/>
      <c r="C1391" s="182">
        <v>80</v>
      </c>
      <c r="D1391" s="182"/>
      <c r="E1391" s="181" t="s">
        <v>4519</v>
      </c>
      <c r="F1391" s="182"/>
      <c r="G1391" s="182">
        <v>584054.69999999995</v>
      </c>
      <c r="H1391" s="182"/>
      <c r="I1391" s="182"/>
      <c r="J1391" s="182"/>
      <c r="K1391" s="182"/>
      <c r="L1391" s="182"/>
      <c r="M1391" s="182"/>
      <c r="N1391" s="182"/>
      <c r="O1391" s="182"/>
      <c r="P1391" s="182"/>
      <c r="Q1391" s="182"/>
      <c r="R1391" s="182"/>
      <c r="S1391" s="182"/>
      <c r="T1391" s="182"/>
      <c r="U1391" s="182"/>
      <c r="V1391" s="182"/>
      <c r="W1391" s="182"/>
      <c r="X1391" s="182"/>
      <c r="Y1391" s="182"/>
      <c r="Z1391" s="182"/>
      <c r="AA1391" s="182"/>
      <c r="AB1391" s="182"/>
      <c r="AC1391" s="182"/>
      <c r="AD1391" s="182"/>
      <c r="AE1391" s="182"/>
      <c r="AF1391" s="182"/>
      <c r="AG1391" s="182"/>
      <c r="AH1391" s="182"/>
      <c r="AI1391" s="182"/>
      <c r="AJ1391" s="182"/>
      <c r="AK1391" s="182"/>
      <c r="AL1391" s="182"/>
      <c r="AM1391" s="182"/>
      <c r="AN1391" s="182"/>
      <c r="AO1391" s="182"/>
      <c r="AP1391" s="182"/>
      <c r="AQ1391" s="185">
        <v>584054.69999999995</v>
      </c>
      <c r="AR1391" s="182"/>
      <c r="AS1391" s="182"/>
      <c r="AT1391" s="182"/>
      <c r="AU1391" s="182"/>
      <c r="AV1391" s="182"/>
      <c r="AW1391" s="182"/>
      <c r="AX1391" s="182"/>
      <c r="AY1391" s="182"/>
      <c r="AZ1391" s="182"/>
      <c r="BA1391" s="182"/>
      <c r="BB1391" s="182"/>
      <c r="BC1391" s="182"/>
      <c r="BD1391" s="182"/>
      <c r="BE1391" s="182"/>
      <c r="BF1391" s="182"/>
      <c r="BG1391" s="182"/>
      <c r="BH1391" s="182"/>
      <c r="BI1391" s="182"/>
      <c r="BJ1391" s="182"/>
      <c r="BK1391" s="182"/>
      <c r="BL1391" s="182"/>
      <c r="BM1391" s="182"/>
      <c r="BN1391" s="182"/>
      <c r="BO1391" s="182"/>
      <c r="BP1391" s="182"/>
      <c r="BQ1391" s="182"/>
      <c r="BR1391" s="182"/>
      <c r="BS1391" s="182"/>
      <c r="BT1391" s="182"/>
      <c r="BU1391" s="182"/>
      <c r="BV1391" s="182"/>
      <c r="BW1391" s="182"/>
      <c r="BX1391" s="182"/>
      <c r="BY1391" s="182"/>
      <c r="BZ1391" s="182"/>
      <c r="CA1391" s="182">
        <v>584054.69999999995</v>
      </c>
      <c r="CB1391" s="185">
        <v>584054.69999999995</v>
      </c>
      <c r="CC1391" s="185">
        <v>0</v>
      </c>
      <c r="CD1391" s="185">
        <v>80</v>
      </c>
      <c r="CE1391" s="185"/>
    </row>
    <row r="1392" spans="2:83" x14ac:dyDescent="0.3">
      <c r="B1392" s="182"/>
      <c r="C1392" s="182">
        <v>81</v>
      </c>
      <c r="D1392" s="182"/>
      <c r="E1392" s="181" t="s">
        <v>4520</v>
      </c>
      <c r="F1392" s="182"/>
      <c r="G1392" s="182">
        <v>579710.25</v>
      </c>
      <c r="H1392" s="182"/>
      <c r="I1392" s="182"/>
      <c r="J1392" s="182"/>
      <c r="K1392" s="182"/>
      <c r="L1392" s="182"/>
      <c r="M1392" s="182"/>
      <c r="N1392" s="182"/>
      <c r="O1392" s="182"/>
      <c r="P1392" s="182"/>
      <c r="Q1392" s="182"/>
      <c r="R1392" s="182"/>
      <c r="S1392" s="182"/>
      <c r="T1392" s="182"/>
      <c r="U1392" s="182"/>
      <c r="V1392" s="182"/>
      <c r="W1392" s="182"/>
      <c r="X1392" s="182"/>
      <c r="Y1392" s="182"/>
      <c r="Z1392" s="182"/>
      <c r="AA1392" s="182"/>
      <c r="AB1392" s="182"/>
      <c r="AC1392" s="182"/>
      <c r="AD1392" s="182"/>
      <c r="AE1392" s="182"/>
      <c r="AF1392" s="182"/>
      <c r="AG1392" s="182"/>
      <c r="AH1392" s="182"/>
      <c r="AI1392" s="182"/>
      <c r="AJ1392" s="182"/>
      <c r="AK1392" s="182"/>
      <c r="AL1392" s="182"/>
      <c r="AM1392" s="182"/>
      <c r="AN1392" s="182"/>
      <c r="AO1392" s="182"/>
      <c r="AP1392" s="182"/>
      <c r="AQ1392" s="185">
        <v>579710.25</v>
      </c>
      <c r="AR1392" s="182"/>
      <c r="AS1392" s="182"/>
      <c r="AT1392" s="182"/>
      <c r="AU1392" s="182"/>
      <c r="AV1392" s="182"/>
      <c r="AW1392" s="182"/>
      <c r="AX1392" s="182"/>
      <c r="AY1392" s="182"/>
      <c r="AZ1392" s="182"/>
      <c r="BA1392" s="182"/>
      <c r="BB1392" s="182"/>
      <c r="BC1392" s="182"/>
      <c r="BD1392" s="182"/>
      <c r="BE1392" s="182"/>
      <c r="BF1392" s="182"/>
      <c r="BG1392" s="182"/>
      <c r="BH1392" s="182"/>
      <c r="BI1392" s="182"/>
      <c r="BJ1392" s="182"/>
      <c r="BK1392" s="182"/>
      <c r="BL1392" s="182"/>
      <c r="BM1392" s="182"/>
      <c r="BN1392" s="182"/>
      <c r="BO1392" s="182"/>
      <c r="BP1392" s="182"/>
      <c r="BQ1392" s="182"/>
      <c r="BR1392" s="182"/>
      <c r="BS1392" s="182"/>
      <c r="BT1392" s="182"/>
      <c r="BU1392" s="182"/>
      <c r="BV1392" s="182"/>
      <c r="BW1392" s="182"/>
      <c r="BX1392" s="182"/>
      <c r="BY1392" s="182"/>
      <c r="BZ1392" s="182"/>
      <c r="CA1392" s="182">
        <v>579710.25</v>
      </c>
      <c r="CB1392" s="185">
        <v>579710.25</v>
      </c>
      <c r="CC1392" s="185">
        <v>0</v>
      </c>
      <c r="CD1392" s="185">
        <v>81</v>
      </c>
      <c r="CE1392" s="185"/>
    </row>
    <row r="1393" spans="2:83" ht="37.5" x14ac:dyDescent="0.3">
      <c r="B1393" s="182"/>
      <c r="C1393" s="182">
        <v>82</v>
      </c>
      <c r="D1393" s="182"/>
      <c r="E1393" s="181" t="s">
        <v>4521</v>
      </c>
      <c r="F1393" s="182"/>
      <c r="G1393" s="182">
        <v>1000000</v>
      </c>
      <c r="H1393" s="182"/>
      <c r="I1393" s="182"/>
      <c r="J1393" s="182"/>
      <c r="K1393" s="182"/>
      <c r="L1393" s="182"/>
      <c r="M1393" s="182"/>
      <c r="N1393" s="182"/>
      <c r="O1393" s="182"/>
      <c r="P1393" s="182"/>
      <c r="Q1393" s="182"/>
      <c r="R1393" s="182"/>
      <c r="S1393" s="182"/>
      <c r="T1393" s="182"/>
      <c r="U1393" s="182"/>
      <c r="V1393" s="182"/>
      <c r="W1393" s="182"/>
      <c r="X1393" s="182"/>
      <c r="Y1393" s="182"/>
      <c r="Z1393" s="182"/>
      <c r="AA1393" s="182"/>
      <c r="AB1393" s="182"/>
      <c r="AC1393" s="182"/>
      <c r="AD1393" s="182"/>
      <c r="AE1393" s="182"/>
      <c r="AF1393" s="182"/>
      <c r="AG1393" s="182"/>
      <c r="AH1393" s="182"/>
      <c r="AI1393" s="182"/>
      <c r="AJ1393" s="182"/>
      <c r="AK1393" s="182"/>
      <c r="AL1393" s="182"/>
      <c r="AM1393" s="182"/>
      <c r="AN1393" s="182"/>
      <c r="AO1393" s="182"/>
      <c r="AP1393" s="182"/>
      <c r="AQ1393" s="185">
        <v>1000000</v>
      </c>
      <c r="AR1393" s="182"/>
      <c r="AS1393" s="182"/>
      <c r="AT1393" s="182"/>
      <c r="AU1393" s="182"/>
      <c r="AV1393" s="182"/>
      <c r="AW1393" s="182"/>
      <c r="AX1393" s="182"/>
      <c r="AY1393" s="182"/>
      <c r="AZ1393" s="182"/>
      <c r="BA1393" s="182"/>
      <c r="BB1393" s="182"/>
      <c r="BC1393" s="182"/>
      <c r="BD1393" s="182"/>
      <c r="BE1393" s="182"/>
      <c r="BF1393" s="182"/>
      <c r="BG1393" s="182"/>
      <c r="BH1393" s="182"/>
      <c r="BI1393" s="182"/>
      <c r="BJ1393" s="182"/>
      <c r="BK1393" s="182"/>
      <c r="BL1393" s="182"/>
      <c r="BM1393" s="182"/>
      <c r="BN1393" s="182"/>
      <c r="BO1393" s="182"/>
      <c r="BP1393" s="182"/>
      <c r="BQ1393" s="182"/>
      <c r="BR1393" s="182"/>
      <c r="BS1393" s="182"/>
      <c r="BT1393" s="182"/>
      <c r="BU1393" s="182"/>
      <c r="BV1393" s="182"/>
      <c r="BW1393" s="182"/>
      <c r="BX1393" s="182"/>
      <c r="BY1393" s="182"/>
      <c r="BZ1393" s="182"/>
      <c r="CA1393" s="182">
        <v>1000000</v>
      </c>
      <c r="CB1393" s="185">
        <v>1000000</v>
      </c>
      <c r="CC1393" s="185">
        <v>0</v>
      </c>
      <c r="CD1393" s="185">
        <v>82</v>
      </c>
      <c r="CE1393" s="185"/>
    </row>
    <row r="1394" spans="2:83" x14ac:dyDescent="0.3">
      <c r="B1394" s="182"/>
      <c r="C1394" s="182">
        <v>83</v>
      </c>
      <c r="D1394" s="182"/>
      <c r="E1394" s="181" t="s">
        <v>4522</v>
      </c>
      <c r="F1394" s="182"/>
      <c r="G1394" s="182">
        <v>593891.56000000006</v>
      </c>
      <c r="H1394" s="182"/>
      <c r="I1394" s="182"/>
      <c r="J1394" s="182"/>
      <c r="K1394" s="182"/>
      <c r="L1394" s="182"/>
      <c r="M1394" s="182"/>
      <c r="N1394" s="182"/>
      <c r="O1394" s="182"/>
      <c r="P1394" s="182"/>
      <c r="Q1394" s="182"/>
      <c r="R1394" s="182"/>
      <c r="S1394" s="182"/>
      <c r="T1394" s="182"/>
      <c r="U1394" s="182"/>
      <c r="V1394" s="182"/>
      <c r="W1394" s="182"/>
      <c r="X1394" s="182"/>
      <c r="Y1394" s="182"/>
      <c r="Z1394" s="182"/>
      <c r="AA1394" s="182"/>
      <c r="AB1394" s="182"/>
      <c r="AC1394" s="182"/>
      <c r="AD1394" s="182"/>
      <c r="AE1394" s="182"/>
      <c r="AF1394" s="182"/>
      <c r="AG1394" s="182"/>
      <c r="AH1394" s="182"/>
      <c r="AI1394" s="182"/>
      <c r="AJ1394" s="182"/>
      <c r="AK1394" s="182"/>
      <c r="AL1394" s="182"/>
      <c r="AM1394" s="182"/>
      <c r="AN1394" s="182"/>
      <c r="AO1394" s="182"/>
      <c r="AP1394" s="182"/>
      <c r="AQ1394" s="185">
        <v>593891.56000000006</v>
      </c>
      <c r="AR1394" s="182"/>
      <c r="AS1394" s="182"/>
      <c r="AT1394" s="182"/>
      <c r="AU1394" s="182"/>
      <c r="AV1394" s="182"/>
      <c r="AW1394" s="182"/>
      <c r="AX1394" s="182"/>
      <c r="AY1394" s="182"/>
      <c r="AZ1394" s="182"/>
      <c r="BA1394" s="182"/>
      <c r="BB1394" s="182"/>
      <c r="BC1394" s="182"/>
      <c r="BD1394" s="182"/>
      <c r="BE1394" s="182"/>
      <c r="BF1394" s="182"/>
      <c r="BG1394" s="182"/>
      <c r="BH1394" s="182"/>
      <c r="BI1394" s="182"/>
      <c r="BJ1394" s="182"/>
      <c r="BK1394" s="182"/>
      <c r="BL1394" s="182"/>
      <c r="BM1394" s="182"/>
      <c r="BN1394" s="182"/>
      <c r="BO1394" s="182"/>
      <c r="BP1394" s="182"/>
      <c r="BQ1394" s="182"/>
      <c r="BR1394" s="182"/>
      <c r="BS1394" s="182"/>
      <c r="BT1394" s="182"/>
      <c r="BU1394" s="182"/>
      <c r="BV1394" s="182"/>
      <c r="BW1394" s="182"/>
      <c r="BX1394" s="182"/>
      <c r="BY1394" s="182"/>
      <c r="BZ1394" s="182"/>
      <c r="CA1394" s="182">
        <v>593891.56000000006</v>
      </c>
      <c r="CB1394" s="185">
        <v>593891.56000000006</v>
      </c>
      <c r="CC1394" s="185">
        <v>0</v>
      </c>
      <c r="CD1394" s="185">
        <v>83</v>
      </c>
      <c r="CE1394" s="185"/>
    </row>
    <row r="1395" spans="2:83" x14ac:dyDescent="0.3">
      <c r="B1395" s="182"/>
      <c r="C1395" s="182">
        <v>84</v>
      </c>
      <c r="D1395" s="182"/>
      <c r="E1395" s="181" t="s">
        <v>4485</v>
      </c>
      <c r="F1395" s="182"/>
      <c r="G1395" s="182"/>
      <c r="H1395" s="182"/>
      <c r="I1395" s="182"/>
      <c r="J1395" s="182"/>
      <c r="K1395" s="182"/>
      <c r="L1395" s="182"/>
      <c r="M1395" s="182"/>
      <c r="N1395" s="182"/>
      <c r="O1395" s="182"/>
      <c r="P1395" s="182"/>
      <c r="Q1395" s="182"/>
      <c r="R1395" s="182"/>
      <c r="S1395" s="182"/>
      <c r="T1395" s="182"/>
      <c r="U1395" s="182"/>
      <c r="V1395" s="182"/>
      <c r="W1395" s="182"/>
      <c r="X1395" s="182"/>
      <c r="Y1395" s="182"/>
      <c r="Z1395" s="182"/>
      <c r="AA1395" s="182"/>
      <c r="AB1395" s="182">
        <v>731802.96</v>
      </c>
      <c r="AC1395" s="182"/>
      <c r="AD1395" s="182"/>
      <c r="AE1395" s="182"/>
      <c r="AF1395" s="182"/>
      <c r="AG1395" s="182"/>
      <c r="AH1395" s="182"/>
      <c r="AI1395" s="182"/>
      <c r="AJ1395" s="182"/>
      <c r="AK1395" s="182"/>
      <c r="AL1395" s="182"/>
      <c r="AM1395" s="182"/>
      <c r="AN1395" s="182"/>
      <c r="AO1395" s="182"/>
      <c r="AP1395" s="182"/>
      <c r="AQ1395" s="185">
        <v>731802.96</v>
      </c>
      <c r="AR1395" s="182"/>
      <c r="AS1395" s="182"/>
      <c r="AT1395" s="182"/>
      <c r="AU1395" s="182"/>
      <c r="AV1395" s="182"/>
      <c r="AW1395" s="182"/>
      <c r="AX1395" s="182"/>
      <c r="AY1395" s="182"/>
      <c r="AZ1395" s="182"/>
      <c r="BA1395" s="182"/>
      <c r="BB1395" s="182"/>
      <c r="BC1395" s="182"/>
      <c r="BD1395" s="182"/>
      <c r="BE1395" s="182"/>
      <c r="BF1395" s="182"/>
      <c r="BG1395" s="182"/>
      <c r="BH1395" s="182"/>
      <c r="BI1395" s="182"/>
      <c r="BJ1395" s="182"/>
      <c r="BK1395" s="182"/>
      <c r="BL1395" s="182"/>
      <c r="BM1395" s="182"/>
      <c r="BN1395" s="182"/>
      <c r="BO1395" s="182">
        <v>731802.96</v>
      </c>
      <c r="BP1395" s="182"/>
      <c r="BQ1395" s="182"/>
      <c r="BR1395" s="182"/>
      <c r="BS1395" s="182"/>
      <c r="BT1395" s="182"/>
      <c r="BU1395" s="182"/>
      <c r="BV1395" s="182"/>
      <c r="BW1395" s="182"/>
      <c r="BX1395" s="182"/>
      <c r="BY1395" s="182"/>
      <c r="BZ1395" s="182"/>
      <c r="CA1395" s="182"/>
      <c r="CB1395" s="185">
        <v>731802.96</v>
      </c>
      <c r="CC1395" s="185">
        <v>0</v>
      </c>
      <c r="CD1395" s="185">
        <v>84</v>
      </c>
      <c r="CE1395" s="185"/>
    </row>
    <row r="1396" spans="2:83" x14ac:dyDescent="0.3">
      <c r="B1396" s="182"/>
      <c r="C1396" s="182">
        <v>85</v>
      </c>
      <c r="D1396" s="182"/>
      <c r="E1396" s="181" t="s">
        <v>4485</v>
      </c>
      <c r="F1396" s="182"/>
      <c r="G1396" s="182"/>
      <c r="H1396" s="182"/>
      <c r="I1396" s="182"/>
      <c r="J1396" s="182"/>
      <c r="K1396" s="182"/>
      <c r="L1396" s="182"/>
      <c r="M1396" s="182"/>
      <c r="N1396" s="182"/>
      <c r="O1396" s="182"/>
      <c r="P1396" s="182"/>
      <c r="Q1396" s="182"/>
      <c r="R1396" s="182"/>
      <c r="S1396" s="182"/>
      <c r="T1396" s="182"/>
      <c r="U1396" s="182"/>
      <c r="V1396" s="182"/>
      <c r="W1396" s="182"/>
      <c r="X1396" s="182"/>
      <c r="Y1396" s="182"/>
      <c r="Z1396" s="182"/>
      <c r="AA1396" s="182"/>
      <c r="AB1396" s="182">
        <v>1031592</v>
      </c>
      <c r="AC1396" s="182"/>
      <c r="AD1396" s="182"/>
      <c r="AE1396" s="182"/>
      <c r="AF1396" s="182"/>
      <c r="AG1396" s="182"/>
      <c r="AH1396" s="182"/>
      <c r="AI1396" s="182"/>
      <c r="AJ1396" s="182"/>
      <c r="AK1396" s="182"/>
      <c r="AL1396" s="182"/>
      <c r="AM1396" s="182"/>
      <c r="AN1396" s="182"/>
      <c r="AO1396" s="182"/>
      <c r="AP1396" s="182"/>
      <c r="AQ1396" s="185">
        <v>1031592</v>
      </c>
      <c r="AR1396" s="182"/>
      <c r="AS1396" s="182"/>
      <c r="AT1396" s="182"/>
      <c r="AU1396" s="182"/>
      <c r="AV1396" s="182"/>
      <c r="AW1396" s="182"/>
      <c r="AX1396" s="182"/>
      <c r="AY1396" s="182"/>
      <c r="AZ1396" s="182"/>
      <c r="BA1396" s="182"/>
      <c r="BB1396" s="182"/>
      <c r="BC1396" s="182"/>
      <c r="BD1396" s="182"/>
      <c r="BE1396" s="182"/>
      <c r="BF1396" s="182"/>
      <c r="BG1396" s="182"/>
      <c r="BH1396" s="182"/>
      <c r="BI1396" s="182"/>
      <c r="BJ1396" s="182"/>
      <c r="BK1396" s="182"/>
      <c r="BL1396" s="182"/>
      <c r="BM1396" s="182"/>
      <c r="BN1396" s="182"/>
      <c r="BO1396" s="182">
        <v>1031592</v>
      </c>
      <c r="BP1396" s="182"/>
      <c r="BQ1396" s="182"/>
      <c r="BR1396" s="182"/>
      <c r="BS1396" s="182"/>
      <c r="BT1396" s="182"/>
      <c r="BU1396" s="182"/>
      <c r="BV1396" s="182"/>
      <c r="BW1396" s="182"/>
      <c r="BX1396" s="182"/>
      <c r="BY1396" s="182"/>
      <c r="BZ1396" s="182"/>
      <c r="CA1396" s="182"/>
      <c r="CB1396" s="185">
        <v>1031592</v>
      </c>
      <c r="CC1396" s="185">
        <v>0</v>
      </c>
      <c r="CD1396" s="185">
        <v>85</v>
      </c>
      <c r="CE1396" s="185"/>
    </row>
    <row r="1397" spans="2:83" x14ac:dyDescent="0.3">
      <c r="B1397" s="185"/>
      <c r="C1397" s="185"/>
      <c r="D1397" s="185"/>
      <c r="E1397" s="184" t="s">
        <v>4523</v>
      </c>
      <c r="F1397" s="185"/>
      <c r="G1397" s="185">
        <v>18344969.729999997</v>
      </c>
      <c r="H1397" s="185">
        <v>0</v>
      </c>
      <c r="I1397" s="185">
        <v>0</v>
      </c>
      <c r="J1397" s="185">
        <v>0</v>
      </c>
      <c r="K1397" s="185">
        <v>0</v>
      </c>
      <c r="L1397" s="185">
        <v>0</v>
      </c>
      <c r="M1397" s="185">
        <v>0</v>
      </c>
      <c r="N1397" s="185">
        <v>0</v>
      </c>
      <c r="O1397" s="185">
        <v>0</v>
      </c>
      <c r="P1397" s="185">
        <v>0</v>
      </c>
      <c r="Q1397" s="185">
        <v>0</v>
      </c>
      <c r="R1397" s="185">
        <v>0</v>
      </c>
      <c r="S1397" s="185">
        <v>0</v>
      </c>
      <c r="T1397" s="185">
        <v>0</v>
      </c>
      <c r="U1397" s="185">
        <v>0</v>
      </c>
      <c r="V1397" s="185">
        <v>0</v>
      </c>
      <c r="W1397" s="185">
        <v>0</v>
      </c>
      <c r="X1397" s="185">
        <v>0</v>
      </c>
      <c r="Y1397" s="185">
        <v>0</v>
      </c>
      <c r="Z1397" s="185">
        <v>0</v>
      </c>
      <c r="AA1397" s="185">
        <v>0</v>
      </c>
      <c r="AB1397" s="185">
        <v>1763394.96</v>
      </c>
      <c r="AC1397" s="185">
        <v>0</v>
      </c>
      <c r="AD1397" s="185">
        <v>0</v>
      </c>
      <c r="AE1397" s="185">
        <v>0</v>
      </c>
      <c r="AF1397" s="185">
        <v>0</v>
      </c>
      <c r="AG1397" s="185">
        <v>0</v>
      </c>
      <c r="AH1397" s="185">
        <v>0</v>
      </c>
      <c r="AI1397" s="185">
        <v>0</v>
      </c>
      <c r="AJ1397" s="185">
        <v>0</v>
      </c>
      <c r="AK1397" s="185">
        <v>0</v>
      </c>
      <c r="AL1397" s="185">
        <v>0</v>
      </c>
      <c r="AM1397" s="185">
        <v>0</v>
      </c>
      <c r="AN1397" s="185">
        <v>0</v>
      </c>
      <c r="AO1397" s="185">
        <v>0</v>
      </c>
      <c r="AP1397" s="185">
        <v>0</v>
      </c>
      <c r="AQ1397" s="185">
        <v>20108364.689999998</v>
      </c>
      <c r="AR1397" s="185">
        <v>0</v>
      </c>
      <c r="AS1397" s="185">
        <v>0</v>
      </c>
      <c r="AT1397" s="185">
        <v>0</v>
      </c>
      <c r="AU1397" s="185">
        <v>0</v>
      </c>
      <c r="AV1397" s="185">
        <v>0</v>
      </c>
      <c r="AW1397" s="185">
        <v>0</v>
      </c>
      <c r="AX1397" s="185">
        <v>0</v>
      </c>
      <c r="AY1397" s="185">
        <v>0</v>
      </c>
      <c r="AZ1397" s="185">
        <v>0</v>
      </c>
      <c r="BA1397" s="185">
        <v>0</v>
      </c>
      <c r="BB1397" s="185">
        <v>0</v>
      </c>
      <c r="BC1397" s="185">
        <v>0</v>
      </c>
      <c r="BD1397" s="185">
        <v>0</v>
      </c>
      <c r="BE1397" s="185">
        <v>0</v>
      </c>
      <c r="BF1397" s="185">
        <v>0</v>
      </c>
      <c r="BG1397" s="185">
        <v>0</v>
      </c>
      <c r="BH1397" s="185">
        <v>0</v>
      </c>
      <c r="BI1397" s="185">
        <v>0</v>
      </c>
      <c r="BJ1397" s="185">
        <v>0</v>
      </c>
      <c r="BK1397" s="185">
        <v>0</v>
      </c>
      <c r="BL1397" s="185">
        <v>0</v>
      </c>
      <c r="BM1397" s="185">
        <v>0</v>
      </c>
      <c r="BN1397" s="185">
        <v>0</v>
      </c>
      <c r="BO1397" s="185">
        <v>1763394.96</v>
      </c>
      <c r="BP1397" s="185">
        <v>0</v>
      </c>
      <c r="BQ1397" s="185">
        <v>0</v>
      </c>
      <c r="BR1397" s="185">
        <v>0</v>
      </c>
      <c r="BS1397" s="185">
        <v>0</v>
      </c>
      <c r="BT1397" s="185">
        <v>0</v>
      </c>
      <c r="BU1397" s="185">
        <v>0</v>
      </c>
      <c r="BV1397" s="185">
        <v>0</v>
      </c>
      <c r="BW1397" s="185">
        <v>0</v>
      </c>
      <c r="BX1397" s="185">
        <v>0</v>
      </c>
      <c r="BY1397" s="185">
        <v>0</v>
      </c>
      <c r="BZ1397" s="185">
        <v>0</v>
      </c>
      <c r="CA1397" s="185">
        <v>18344969.729999997</v>
      </c>
      <c r="CB1397" s="185">
        <v>20108364.689999998</v>
      </c>
      <c r="CC1397" s="185">
        <v>0</v>
      </c>
      <c r="CD1397" s="185"/>
      <c r="CE1397" s="185"/>
    </row>
    <row r="1398" spans="2:83" x14ac:dyDescent="0.3">
      <c r="B1398" s="182"/>
      <c r="C1398" s="182">
        <v>86</v>
      </c>
      <c r="D1398" s="182" t="s">
        <v>4524</v>
      </c>
      <c r="E1398" s="181" t="s">
        <v>4525</v>
      </c>
      <c r="F1398" s="182"/>
      <c r="G1398" s="182">
        <v>210564.64</v>
      </c>
      <c r="H1398" s="182"/>
      <c r="I1398" s="182"/>
      <c r="J1398" s="182"/>
      <c r="K1398" s="182"/>
      <c r="L1398" s="182"/>
      <c r="M1398" s="182"/>
      <c r="N1398" s="182"/>
      <c r="O1398" s="182"/>
      <c r="P1398" s="182"/>
      <c r="Q1398" s="182"/>
      <c r="R1398" s="182"/>
      <c r="S1398" s="182"/>
      <c r="T1398" s="182"/>
      <c r="U1398" s="182"/>
      <c r="V1398" s="182"/>
      <c r="W1398" s="182"/>
      <c r="X1398" s="182"/>
      <c r="Y1398" s="182"/>
      <c r="Z1398" s="182"/>
      <c r="AA1398" s="182"/>
      <c r="AB1398" s="182"/>
      <c r="AC1398" s="182"/>
      <c r="AD1398" s="182"/>
      <c r="AE1398" s="182"/>
      <c r="AF1398" s="182"/>
      <c r="AG1398" s="182"/>
      <c r="AH1398" s="182"/>
      <c r="AI1398" s="182"/>
      <c r="AJ1398" s="182"/>
      <c r="AK1398" s="182"/>
      <c r="AL1398" s="182"/>
      <c r="AM1398" s="182"/>
      <c r="AN1398" s="182"/>
      <c r="AO1398" s="182"/>
      <c r="AP1398" s="182"/>
      <c r="AQ1398" s="185">
        <v>210564.64</v>
      </c>
      <c r="AR1398" s="182"/>
      <c r="AS1398" s="182"/>
      <c r="AT1398" s="182"/>
      <c r="AU1398" s="182"/>
      <c r="AV1398" s="182"/>
      <c r="AW1398" s="182"/>
      <c r="AX1398" s="182"/>
      <c r="AY1398" s="182"/>
      <c r="AZ1398" s="182"/>
      <c r="BA1398" s="182"/>
      <c r="BB1398" s="182"/>
      <c r="BC1398" s="182"/>
      <c r="BD1398" s="182"/>
      <c r="BE1398" s="182"/>
      <c r="BF1398" s="182"/>
      <c r="BG1398" s="182"/>
      <c r="BH1398" s="182"/>
      <c r="BI1398" s="182"/>
      <c r="BJ1398" s="182"/>
      <c r="BK1398" s="182"/>
      <c r="BL1398" s="182"/>
      <c r="BM1398" s="182"/>
      <c r="BN1398" s="182"/>
      <c r="BO1398" s="182"/>
      <c r="BP1398" s="182"/>
      <c r="BQ1398" s="182"/>
      <c r="BR1398" s="182"/>
      <c r="BS1398" s="182"/>
      <c r="BT1398" s="182"/>
      <c r="BU1398" s="182"/>
      <c r="BV1398" s="182"/>
      <c r="BW1398" s="182"/>
      <c r="BX1398" s="182"/>
      <c r="BY1398" s="182"/>
      <c r="BZ1398" s="182"/>
      <c r="CA1398" s="182">
        <v>210564.64</v>
      </c>
      <c r="CB1398" s="185">
        <v>210564.64</v>
      </c>
      <c r="CC1398" s="185">
        <v>0</v>
      </c>
      <c r="CD1398" s="185">
        <v>86</v>
      </c>
      <c r="CE1398" s="185"/>
    </row>
    <row r="1399" spans="2:83" x14ac:dyDescent="0.3">
      <c r="B1399" s="182"/>
      <c r="C1399" s="182">
        <v>87</v>
      </c>
      <c r="D1399" s="182" t="s">
        <v>325</v>
      </c>
      <c r="E1399" s="181" t="s">
        <v>4526</v>
      </c>
      <c r="F1399" s="182"/>
      <c r="G1399" s="182"/>
      <c r="H1399" s="182"/>
      <c r="I1399" s="182"/>
      <c r="J1399" s="182"/>
      <c r="K1399" s="182"/>
      <c r="L1399" s="182"/>
      <c r="M1399" s="182"/>
      <c r="N1399" s="182"/>
      <c r="O1399" s="182"/>
      <c r="P1399" s="182">
        <v>7000</v>
      </c>
      <c r="Q1399" s="182"/>
      <c r="R1399" s="182"/>
      <c r="S1399" s="182"/>
      <c r="T1399" s="182"/>
      <c r="U1399" s="182"/>
      <c r="V1399" s="182"/>
      <c r="W1399" s="182"/>
      <c r="X1399" s="182"/>
      <c r="Y1399" s="182"/>
      <c r="Z1399" s="182"/>
      <c r="AA1399" s="182"/>
      <c r="AB1399" s="182"/>
      <c r="AC1399" s="182"/>
      <c r="AD1399" s="182"/>
      <c r="AE1399" s="182"/>
      <c r="AF1399" s="182"/>
      <c r="AG1399" s="182"/>
      <c r="AH1399" s="182"/>
      <c r="AI1399" s="182"/>
      <c r="AJ1399" s="182"/>
      <c r="AK1399" s="182"/>
      <c r="AL1399" s="182"/>
      <c r="AM1399" s="182"/>
      <c r="AN1399" s="182"/>
      <c r="AO1399" s="182"/>
      <c r="AP1399" s="182"/>
      <c r="AQ1399" s="185">
        <v>7000</v>
      </c>
      <c r="AR1399" s="182"/>
      <c r="AS1399" s="182"/>
      <c r="AT1399" s="182"/>
      <c r="AU1399" s="182"/>
      <c r="AV1399" s="182"/>
      <c r="AW1399" s="182"/>
      <c r="AX1399" s="182"/>
      <c r="AY1399" s="182"/>
      <c r="AZ1399" s="182"/>
      <c r="BA1399" s="182"/>
      <c r="BB1399" s="182"/>
      <c r="BC1399" s="182"/>
      <c r="BD1399" s="182"/>
      <c r="BE1399" s="182"/>
      <c r="BF1399" s="182"/>
      <c r="BG1399" s="182"/>
      <c r="BH1399" s="182"/>
      <c r="BI1399" s="182"/>
      <c r="BJ1399" s="182"/>
      <c r="BK1399" s="182"/>
      <c r="BL1399" s="182"/>
      <c r="BM1399" s="182"/>
      <c r="BN1399" s="182">
        <v>7000</v>
      </c>
      <c r="BO1399" s="182"/>
      <c r="BP1399" s="182"/>
      <c r="BQ1399" s="182"/>
      <c r="BR1399" s="182"/>
      <c r="BS1399" s="182"/>
      <c r="BT1399" s="182"/>
      <c r="BU1399" s="182"/>
      <c r="BV1399" s="182"/>
      <c r="BW1399" s="182"/>
      <c r="BX1399" s="182"/>
      <c r="BY1399" s="182"/>
      <c r="BZ1399" s="182"/>
      <c r="CA1399" s="182"/>
      <c r="CB1399" s="185">
        <v>7000</v>
      </c>
      <c r="CC1399" s="185">
        <v>0</v>
      </c>
      <c r="CD1399" s="185">
        <v>87</v>
      </c>
      <c r="CE1399" s="185"/>
    </row>
    <row r="1400" spans="2:83" x14ac:dyDescent="0.3">
      <c r="B1400" s="182"/>
      <c r="C1400" s="182">
        <v>88</v>
      </c>
      <c r="D1400" s="182" t="s">
        <v>122</v>
      </c>
      <c r="E1400" s="181" t="s">
        <v>4527</v>
      </c>
      <c r="F1400" s="182"/>
      <c r="G1400" s="182"/>
      <c r="H1400" s="182"/>
      <c r="I1400" s="182"/>
      <c r="J1400" s="182"/>
      <c r="K1400" s="182"/>
      <c r="L1400" s="182"/>
      <c r="M1400" s="182"/>
      <c r="N1400" s="182"/>
      <c r="O1400" s="182"/>
      <c r="P1400" s="182"/>
      <c r="Q1400" s="182"/>
      <c r="R1400" s="182"/>
      <c r="S1400" s="182"/>
      <c r="T1400" s="182"/>
      <c r="U1400" s="182"/>
      <c r="V1400" s="182"/>
      <c r="W1400" s="182"/>
      <c r="X1400" s="182"/>
      <c r="Y1400" s="182"/>
      <c r="Z1400" s="182"/>
      <c r="AA1400" s="182"/>
      <c r="AB1400" s="182"/>
      <c r="AC1400" s="182"/>
      <c r="AD1400" s="182"/>
      <c r="AE1400" s="182"/>
      <c r="AF1400" s="182"/>
      <c r="AG1400" s="182"/>
      <c r="AH1400" s="182"/>
      <c r="AI1400" s="182"/>
      <c r="AJ1400" s="182"/>
      <c r="AK1400" s="182"/>
      <c r="AL1400" s="182"/>
      <c r="AM1400" s="182"/>
      <c r="AN1400" s="182"/>
      <c r="AO1400" s="182"/>
      <c r="AP1400" s="182">
        <v>150</v>
      </c>
      <c r="AQ1400" s="185">
        <v>150</v>
      </c>
      <c r="AR1400" s="182"/>
      <c r="AS1400" s="182"/>
      <c r="AT1400" s="182"/>
      <c r="AU1400" s="182"/>
      <c r="AV1400" s="182"/>
      <c r="AW1400" s="182"/>
      <c r="AX1400" s="182"/>
      <c r="AY1400" s="182"/>
      <c r="AZ1400" s="182"/>
      <c r="BA1400" s="182"/>
      <c r="BB1400" s="182"/>
      <c r="BC1400" s="182"/>
      <c r="BD1400" s="182"/>
      <c r="BE1400" s="182"/>
      <c r="BF1400" s="182"/>
      <c r="BG1400" s="182"/>
      <c r="BH1400" s="182"/>
      <c r="BI1400" s="182"/>
      <c r="BJ1400" s="182"/>
      <c r="BK1400" s="182"/>
      <c r="BL1400" s="182"/>
      <c r="BM1400" s="182"/>
      <c r="BN1400" s="182"/>
      <c r="BO1400" s="182"/>
      <c r="BP1400" s="182"/>
      <c r="BQ1400" s="182"/>
      <c r="BR1400" s="182"/>
      <c r="BS1400" s="182"/>
      <c r="BT1400" s="182"/>
      <c r="BU1400" s="182"/>
      <c r="BV1400" s="182"/>
      <c r="BW1400" s="182"/>
      <c r="BX1400" s="182"/>
      <c r="BY1400" s="182"/>
      <c r="BZ1400" s="182"/>
      <c r="CA1400" s="182">
        <v>150</v>
      </c>
      <c r="CB1400" s="185">
        <v>150</v>
      </c>
      <c r="CC1400" s="185">
        <v>0</v>
      </c>
      <c r="CD1400" s="185">
        <v>88</v>
      </c>
      <c r="CE1400" s="185"/>
    </row>
    <row r="1401" spans="2:83" x14ac:dyDescent="0.3">
      <c r="B1401" s="182"/>
      <c r="C1401" s="182">
        <v>89</v>
      </c>
      <c r="D1401" s="182" t="s">
        <v>249</v>
      </c>
      <c r="E1401" s="181" t="s">
        <v>4528</v>
      </c>
      <c r="F1401" s="182"/>
      <c r="G1401" s="182"/>
      <c r="H1401" s="182"/>
      <c r="I1401" s="182"/>
      <c r="J1401" s="182"/>
      <c r="K1401" s="182"/>
      <c r="L1401" s="182"/>
      <c r="M1401" s="182"/>
      <c r="N1401" s="182"/>
      <c r="O1401" s="182"/>
      <c r="P1401" s="182"/>
      <c r="Q1401" s="182"/>
      <c r="R1401" s="182"/>
      <c r="S1401" s="182"/>
      <c r="T1401" s="182"/>
      <c r="U1401" s="182"/>
      <c r="V1401" s="182"/>
      <c r="W1401" s="182"/>
      <c r="X1401" s="182"/>
      <c r="Y1401" s="182"/>
      <c r="Z1401" s="182"/>
      <c r="AA1401" s="182"/>
      <c r="AB1401" s="182"/>
      <c r="AC1401" s="182"/>
      <c r="AD1401" s="182"/>
      <c r="AE1401" s="182"/>
      <c r="AF1401" s="182"/>
      <c r="AG1401" s="182"/>
      <c r="AH1401" s="182"/>
      <c r="AI1401" s="182"/>
      <c r="AJ1401" s="182"/>
      <c r="AK1401" s="182"/>
      <c r="AL1401" s="182"/>
      <c r="AM1401" s="182"/>
      <c r="AN1401" s="182"/>
      <c r="AO1401" s="182"/>
      <c r="AP1401" s="182">
        <v>7855</v>
      </c>
      <c r="AQ1401" s="185">
        <v>7855</v>
      </c>
      <c r="AR1401" s="182"/>
      <c r="AS1401" s="182"/>
      <c r="AT1401" s="182"/>
      <c r="AU1401" s="182"/>
      <c r="AV1401" s="182"/>
      <c r="AW1401" s="182"/>
      <c r="AX1401" s="182"/>
      <c r="AY1401" s="182"/>
      <c r="AZ1401" s="182"/>
      <c r="BA1401" s="182"/>
      <c r="BB1401" s="182"/>
      <c r="BC1401" s="182"/>
      <c r="BD1401" s="182"/>
      <c r="BE1401" s="182"/>
      <c r="BF1401" s="182"/>
      <c r="BG1401" s="182"/>
      <c r="BH1401" s="182"/>
      <c r="BI1401" s="182"/>
      <c r="BJ1401" s="182"/>
      <c r="BK1401" s="182"/>
      <c r="BL1401" s="182"/>
      <c r="BM1401" s="182"/>
      <c r="BN1401" s="182"/>
      <c r="BO1401" s="182"/>
      <c r="BP1401" s="182"/>
      <c r="BQ1401" s="182"/>
      <c r="BR1401" s="182"/>
      <c r="BS1401" s="182"/>
      <c r="BT1401" s="182"/>
      <c r="BU1401" s="182"/>
      <c r="BV1401" s="182"/>
      <c r="BW1401" s="182"/>
      <c r="BX1401" s="182"/>
      <c r="BY1401" s="182"/>
      <c r="BZ1401" s="182"/>
      <c r="CA1401" s="182">
        <v>7855</v>
      </c>
      <c r="CB1401" s="185">
        <v>7855</v>
      </c>
      <c r="CC1401" s="185">
        <v>0</v>
      </c>
      <c r="CD1401" s="185">
        <v>89</v>
      </c>
      <c r="CE1401" s="185"/>
    </row>
    <row r="1402" spans="2:83" x14ac:dyDescent="0.3">
      <c r="B1402" s="182"/>
      <c r="C1402" s="182">
        <v>90</v>
      </c>
      <c r="D1402" s="182" t="s">
        <v>249</v>
      </c>
      <c r="E1402" s="181" t="s">
        <v>4529</v>
      </c>
      <c r="F1402" s="182"/>
      <c r="G1402" s="182"/>
      <c r="H1402" s="182"/>
      <c r="I1402" s="182"/>
      <c r="J1402" s="182">
        <v>9276.75</v>
      </c>
      <c r="K1402" s="182"/>
      <c r="L1402" s="182"/>
      <c r="M1402" s="182"/>
      <c r="N1402" s="182"/>
      <c r="O1402" s="182"/>
      <c r="P1402" s="182"/>
      <c r="Q1402" s="182"/>
      <c r="R1402" s="182"/>
      <c r="S1402" s="182"/>
      <c r="T1402" s="182"/>
      <c r="U1402" s="182"/>
      <c r="V1402" s="182"/>
      <c r="W1402" s="182"/>
      <c r="X1402" s="182"/>
      <c r="Y1402" s="182"/>
      <c r="Z1402" s="182"/>
      <c r="AA1402" s="182"/>
      <c r="AB1402" s="182"/>
      <c r="AC1402" s="182"/>
      <c r="AD1402" s="182"/>
      <c r="AE1402" s="182"/>
      <c r="AF1402" s="182"/>
      <c r="AG1402" s="182"/>
      <c r="AH1402" s="182"/>
      <c r="AI1402" s="182"/>
      <c r="AJ1402" s="182"/>
      <c r="AK1402" s="182"/>
      <c r="AL1402" s="182"/>
      <c r="AM1402" s="182"/>
      <c r="AN1402" s="182">
        <v>52720</v>
      </c>
      <c r="AO1402" s="182"/>
      <c r="AP1402" s="182"/>
      <c r="AQ1402" s="185">
        <v>61996.75</v>
      </c>
      <c r="AR1402" s="182"/>
      <c r="AS1402" s="182"/>
      <c r="AT1402" s="182"/>
      <c r="AU1402" s="182"/>
      <c r="AV1402" s="182"/>
      <c r="AW1402" s="182"/>
      <c r="AX1402" s="182"/>
      <c r="AY1402" s="182"/>
      <c r="AZ1402" s="182"/>
      <c r="BA1402" s="182"/>
      <c r="BB1402" s="182"/>
      <c r="BC1402" s="182"/>
      <c r="BD1402" s="182"/>
      <c r="BE1402" s="182"/>
      <c r="BF1402" s="182"/>
      <c r="BG1402" s="182"/>
      <c r="BH1402" s="182"/>
      <c r="BI1402" s="182"/>
      <c r="BJ1402" s="182"/>
      <c r="BK1402" s="182"/>
      <c r="BL1402" s="182"/>
      <c r="BM1402" s="182"/>
      <c r="BN1402" s="182"/>
      <c r="BO1402" s="182"/>
      <c r="BP1402" s="182"/>
      <c r="BQ1402" s="182"/>
      <c r="BR1402" s="182"/>
      <c r="BS1402" s="182"/>
      <c r="BT1402" s="182"/>
      <c r="BU1402" s="182"/>
      <c r="BV1402" s="182"/>
      <c r="BW1402" s="182"/>
      <c r="BX1402" s="182">
        <v>9276.75</v>
      </c>
      <c r="BY1402" s="182"/>
      <c r="BZ1402" s="182">
        <v>42680</v>
      </c>
      <c r="CA1402" s="182">
        <v>10040</v>
      </c>
      <c r="CB1402" s="185">
        <v>61996.75</v>
      </c>
      <c r="CC1402" s="185">
        <v>0</v>
      </c>
      <c r="CD1402" s="185">
        <v>90</v>
      </c>
      <c r="CE1402" s="185"/>
    </row>
    <row r="1403" spans="2:83" x14ac:dyDescent="0.3">
      <c r="B1403" s="182"/>
      <c r="C1403" s="182">
        <v>91</v>
      </c>
      <c r="D1403" s="182" t="s">
        <v>122</v>
      </c>
      <c r="E1403" s="181" t="s">
        <v>4529</v>
      </c>
      <c r="F1403" s="182"/>
      <c r="G1403" s="182"/>
      <c r="H1403" s="182"/>
      <c r="I1403" s="182"/>
      <c r="J1403" s="182">
        <v>345</v>
      </c>
      <c r="K1403" s="182"/>
      <c r="L1403" s="182"/>
      <c r="M1403" s="182"/>
      <c r="N1403" s="182"/>
      <c r="O1403" s="182"/>
      <c r="P1403" s="182"/>
      <c r="Q1403" s="182"/>
      <c r="R1403" s="182"/>
      <c r="S1403" s="182"/>
      <c r="T1403" s="182"/>
      <c r="U1403" s="182"/>
      <c r="V1403" s="182"/>
      <c r="W1403" s="182"/>
      <c r="X1403" s="182"/>
      <c r="Y1403" s="182"/>
      <c r="Z1403" s="182"/>
      <c r="AA1403" s="182"/>
      <c r="AB1403" s="182"/>
      <c r="AC1403" s="182"/>
      <c r="AD1403" s="182"/>
      <c r="AE1403" s="182"/>
      <c r="AF1403" s="182"/>
      <c r="AG1403" s="182"/>
      <c r="AH1403" s="182"/>
      <c r="AI1403" s="182"/>
      <c r="AJ1403" s="182"/>
      <c r="AK1403" s="182"/>
      <c r="AL1403" s="182"/>
      <c r="AM1403" s="182"/>
      <c r="AN1403" s="182">
        <v>1650</v>
      </c>
      <c r="AO1403" s="182"/>
      <c r="AP1403" s="182"/>
      <c r="AQ1403" s="185">
        <v>1995</v>
      </c>
      <c r="AR1403" s="182"/>
      <c r="AS1403" s="182"/>
      <c r="AT1403" s="182"/>
      <c r="AU1403" s="182"/>
      <c r="AV1403" s="182"/>
      <c r="AW1403" s="182"/>
      <c r="AX1403" s="182"/>
      <c r="AY1403" s="182"/>
      <c r="AZ1403" s="182"/>
      <c r="BA1403" s="182"/>
      <c r="BB1403" s="182"/>
      <c r="BC1403" s="182"/>
      <c r="BD1403" s="182"/>
      <c r="BE1403" s="182"/>
      <c r="BF1403" s="182"/>
      <c r="BG1403" s="182"/>
      <c r="BH1403" s="182"/>
      <c r="BI1403" s="182"/>
      <c r="BJ1403" s="182"/>
      <c r="BK1403" s="182"/>
      <c r="BL1403" s="182"/>
      <c r="BM1403" s="182"/>
      <c r="BN1403" s="182"/>
      <c r="BO1403" s="182"/>
      <c r="BP1403" s="182"/>
      <c r="BQ1403" s="182"/>
      <c r="BR1403" s="182"/>
      <c r="BS1403" s="182"/>
      <c r="BT1403" s="182"/>
      <c r="BU1403" s="182"/>
      <c r="BV1403" s="182"/>
      <c r="BW1403" s="182"/>
      <c r="BX1403" s="182">
        <v>345</v>
      </c>
      <c r="BY1403" s="182"/>
      <c r="BZ1403" s="182">
        <v>1650</v>
      </c>
      <c r="CA1403" s="182"/>
      <c r="CB1403" s="185">
        <v>1995</v>
      </c>
      <c r="CC1403" s="185">
        <v>0</v>
      </c>
      <c r="CD1403" s="185">
        <v>91</v>
      </c>
      <c r="CE1403" s="185"/>
    </row>
    <row r="1404" spans="2:83" x14ac:dyDescent="0.3">
      <c r="B1404" s="182"/>
      <c r="C1404" s="182">
        <v>92</v>
      </c>
      <c r="D1404" s="182" t="s">
        <v>1174</v>
      </c>
      <c r="E1404" s="181" t="s">
        <v>4530</v>
      </c>
      <c r="F1404" s="182"/>
      <c r="G1404" s="182"/>
      <c r="H1404" s="182"/>
      <c r="I1404" s="182"/>
      <c r="J1404" s="182"/>
      <c r="K1404" s="182"/>
      <c r="L1404" s="182"/>
      <c r="M1404" s="182"/>
      <c r="N1404" s="182"/>
      <c r="O1404" s="182"/>
      <c r="P1404" s="182"/>
      <c r="Q1404" s="182"/>
      <c r="R1404" s="182"/>
      <c r="S1404" s="182"/>
      <c r="T1404" s="182"/>
      <c r="U1404" s="182"/>
      <c r="V1404" s="182"/>
      <c r="W1404" s="182"/>
      <c r="X1404" s="182"/>
      <c r="Y1404" s="182"/>
      <c r="Z1404" s="182"/>
      <c r="AA1404" s="182"/>
      <c r="AB1404" s="182"/>
      <c r="AC1404" s="182"/>
      <c r="AD1404" s="182"/>
      <c r="AE1404" s="182"/>
      <c r="AF1404" s="182"/>
      <c r="AG1404" s="182">
        <v>13704551.85</v>
      </c>
      <c r="AH1404" s="182"/>
      <c r="AI1404" s="182"/>
      <c r="AJ1404" s="182"/>
      <c r="AK1404" s="182"/>
      <c r="AL1404" s="182"/>
      <c r="AM1404" s="182"/>
      <c r="AN1404" s="182"/>
      <c r="AO1404" s="182"/>
      <c r="AP1404" s="182"/>
      <c r="AQ1404" s="185">
        <v>13704551.85</v>
      </c>
      <c r="AR1404" s="182">
        <v>158624.73000000001</v>
      </c>
      <c r="AS1404" s="182"/>
      <c r="AT1404" s="182"/>
      <c r="AU1404" s="182"/>
      <c r="AV1404" s="182"/>
      <c r="AW1404" s="182"/>
      <c r="AX1404" s="182"/>
      <c r="AY1404" s="182">
        <v>13545927.119999999</v>
      </c>
      <c r="AZ1404" s="182"/>
      <c r="BA1404" s="182"/>
      <c r="BB1404" s="182"/>
      <c r="BC1404" s="182"/>
      <c r="BD1404" s="182"/>
      <c r="BE1404" s="182"/>
      <c r="BF1404" s="182"/>
      <c r="BG1404" s="182"/>
      <c r="BH1404" s="182"/>
      <c r="BI1404" s="182"/>
      <c r="BJ1404" s="182"/>
      <c r="BK1404" s="182"/>
      <c r="BL1404" s="182"/>
      <c r="BM1404" s="182"/>
      <c r="BN1404" s="182"/>
      <c r="BO1404" s="182"/>
      <c r="BP1404" s="182"/>
      <c r="BQ1404" s="182"/>
      <c r="BR1404" s="182"/>
      <c r="BS1404" s="182"/>
      <c r="BT1404" s="182"/>
      <c r="BU1404" s="182"/>
      <c r="BV1404" s="182"/>
      <c r="BW1404" s="182"/>
      <c r="BX1404" s="182"/>
      <c r="BY1404" s="182"/>
      <c r="BZ1404" s="182"/>
      <c r="CA1404" s="182"/>
      <c r="CB1404" s="185">
        <v>13704551.85</v>
      </c>
      <c r="CC1404" s="185">
        <v>0</v>
      </c>
      <c r="CD1404" s="185">
        <v>92</v>
      </c>
      <c r="CE1404" s="185"/>
    </row>
    <row r="1405" spans="2:83" x14ac:dyDescent="0.3">
      <c r="B1405" s="182"/>
      <c r="C1405" s="182">
        <v>93</v>
      </c>
      <c r="D1405" s="182" t="s">
        <v>332</v>
      </c>
      <c r="E1405" s="181" t="s">
        <v>4531</v>
      </c>
      <c r="F1405" s="182"/>
      <c r="G1405" s="182"/>
      <c r="H1405" s="182"/>
      <c r="I1405" s="182"/>
      <c r="J1405" s="182"/>
      <c r="K1405" s="182"/>
      <c r="L1405" s="182"/>
      <c r="M1405" s="182"/>
      <c r="N1405" s="182"/>
      <c r="O1405" s="182"/>
      <c r="P1405" s="182"/>
      <c r="Q1405" s="182"/>
      <c r="R1405" s="182"/>
      <c r="S1405" s="182"/>
      <c r="T1405" s="182"/>
      <c r="U1405" s="182"/>
      <c r="V1405" s="182"/>
      <c r="W1405" s="182"/>
      <c r="X1405" s="182"/>
      <c r="Y1405" s="182"/>
      <c r="Z1405" s="182"/>
      <c r="AA1405" s="182"/>
      <c r="AB1405" s="182"/>
      <c r="AC1405" s="182"/>
      <c r="AD1405" s="182"/>
      <c r="AE1405" s="182"/>
      <c r="AF1405" s="182"/>
      <c r="AG1405" s="182"/>
      <c r="AH1405" s="182"/>
      <c r="AI1405" s="182"/>
      <c r="AJ1405" s="182"/>
      <c r="AK1405" s="182"/>
      <c r="AL1405" s="182"/>
      <c r="AM1405" s="182"/>
      <c r="AN1405" s="182"/>
      <c r="AO1405" s="182"/>
      <c r="AP1405" s="182"/>
      <c r="AQ1405" s="185">
        <v>0</v>
      </c>
      <c r="AR1405" s="182"/>
      <c r="AS1405" s="182"/>
      <c r="AT1405" s="182"/>
      <c r="AU1405" s="182"/>
      <c r="AV1405" s="182"/>
      <c r="AW1405" s="182"/>
      <c r="AX1405" s="182"/>
      <c r="AY1405" s="182"/>
      <c r="AZ1405" s="182"/>
      <c r="BA1405" s="182"/>
      <c r="BB1405" s="182"/>
      <c r="BC1405" s="182"/>
      <c r="BD1405" s="182"/>
      <c r="BE1405" s="182"/>
      <c r="BF1405" s="182"/>
      <c r="BG1405" s="182"/>
      <c r="BH1405" s="182"/>
      <c r="BI1405" s="182"/>
      <c r="BJ1405" s="182"/>
      <c r="BK1405" s="182"/>
      <c r="BL1405" s="182"/>
      <c r="BM1405" s="182"/>
      <c r="BN1405" s="182"/>
      <c r="BO1405" s="182"/>
      <c r="BP1405" s="182"/>
      <c r="BQ1405" s="182"/>
      <c r="BR1405" s="182"/>
      <c r="BS1405" s="182"/>
      <c r="BT1405" s="182"/>
      <c r="BU1405" s="182"/>
      <c r="BV1405" s="182"/>
      <c r="BW1405" s="182"/>
      <c r="BX1405" s="182"/>
      <c r="BY1405" s="182"/>
      <c r="BZ1405" s="182"/>
      <c r="CA1405" s="182"/>
      <c r="CB1405" s="185">
        <v>0</v>
      </c>
      <c r="CC1405" s="185">
        <v>0</v>
      </c>
      <c r="CD1405" s="185">
        <v>93</v>
      </c>
      <c r="CE1405" s="185"/>
    </row>
    <row r="1406" spans="2:83" x14ac:dyDescent="0.3">
      <c r="B1406" s="182"/>
      <c r="C1406" s="182">
        <v>94</v>
      </c>
      <c r="D1406" s="182" t="s">
        <v>1174</v>
      </c>
      <c r="E1406" s="181" t="s">
        <v>4532</v>
      </c>
      <c r="F1406" s="182"/>
      <c r="G1406" s="182"/>
      <c r="H1406" s="182"/>
      <c r="I1406" s="182"/>
      <c r="J1406" s="182">
        <v>2549980.5699999998</v>
      </c>
      <c r="K1406" s="182"/>
      <c r="L1406" s="182"/>
      <c r="M1406" s="182"/>
      <c r="N1406" s="182"/>
      <c r="O1406" s="182"/>
      <c r="P1406" s="182"/>
      <c r="Q1406" s="182"/>
      <c r="R1406" s="182"/>
      <c r="S1406" s="182"/>
      <c r="T1406" s="182"/>
      <c r="U1406" s="182"/>
      <c r="V1406" s="182"/>
      <c r="W1406" s="182"/>
      <c r="X1406" s="182"/>
      <c r="Y1406" s="182"/>
      <c r="Z1406" s="182"/>
      <c r="AA1406" s="182"/>
      <c r="AB1406" s="182"/>
      <c r="AC1406" s="182"/>
      <c r="AD1406" s="182">
        <v>13704551.85</v>
      </c>
      <c r="AE1406" s="182">
        <v>41981143.009999998</v>
      </c>
      <c r="AF1406" s="182"/>
      <c r="AG1406" s="182"/>
      <c r="AH1406" s="182"/>
      <c r="AI1406" s="182"/>
      <c r="AJ1406" s="182"/>
      <c r="AK1406" s="182"/>
      <c r="AL1406" s="182"/>
      <c r="AM1406" s="182"/>
      <c r="AN1406" s="182"/>
      <c r="AO1406" s="182"/>
      <c r="AP1406" s="182"/>
      <c r="AQ1406" s="185">
        <v>58235675.43</v>
      </c>
      <c r="AR1406" s="182"/>
      <c r="AS1406" s="182"/>
      <c r="AT1406" s="182"/>
      <c r="AU1406" s="182"/>
      <c r="AV1406" s="182"/>
      <c r="AW1406" s="182"/>
      <c r="AX1406" s="182">
        <v>16254532.42</v>
      </c>
      <c r="AY1406" s="182"/>
      <c r="AZ1406" s="182"/>
      <c r="BA1406" s="182"/>
      <c r="BB1406" s="182"/>
      <c r="BC1406" s="182"/>
      <c r="BD1406" s="182"/>
      <c r="BE1406" s="182"/>
      <c r="BF1406" s="182"/>
      <c r="BG1406" s="182"/>
      <c r="BH1406" s="182"/>
      <c r="BI1406" s="182"/>
      <c r="BJ1406" s="182"/>
      <c r="BK1406" s="182"/>
      <c r="BL1406" s="182"/>
      <c r="BM1406" s="182"/>
      <c r="BN1406" s="182"/>
      <c r="BO1406" s="182"/>
      <c r="BP1406" s="182"/>
      <c r="BQ1406" s="182"/>
      <c r="BR1406" s="182"/>
      <c r="BS1406" s="182"/>
      <c r="BT1406" s="182"/>
      <c r="BU1406" s="182"/>
      <c r="BV1406" s="182"/>
      <c r="BW1406" s="182"/>
      <c r="BX1406" s="182">
        <v>1200000.01</v>
      </c>
      <c r="BY1406" s="182"/>
      <c r="BZ1406" s="182"/>
      <c r="CA1406" s="182">
        <v>40781143</v>
      </c>
      <c r="CB1406" s="185">
        <v>58235675.43</v>
      </c>
      <c r="CC1406" s="185">
        <v>0</v>
      </c>
      <c r="CD1406" s="185">
        <v>94</v>
      </c>
      <c r="CE1406" s="185"/>
    </row>
    <row r="1407" spans="2:83" x14ac:dyDescent="0.3">
      <c r="B1407" s="182"/>
      <c r="C1407" s="182">
        <v>95</v>
      </c>
      <c r="D1407" s="182" t="s">
        <v>332</v>
      </c>
      <c r="E1407" s="181" t="s">
        <v>4533</v>
      </c>
      <c r="F1407" s="182"/>
      <c r="G1407" s="182"/>
      <c r="H1407" s="182"/>
      <c r="I1407" s="182"/>
      <c r="J1407" s="182"/>
      <c r="K1407" s="182"/>
      <c r="L1407" s="182"/>
      <c r="M1407" s="182"/>
      <c r="N1407" s="182"/>
      <c r="O1407" s="182"/>
      <c r="P1407" s="182"/>
      <c r="Q1407" s="182"/>
      <c r="R1407" s="182"/>
      <c r="S1407" s="182"/>
      <c r="T1407" s="182"/>
      <c r="U1407" s="182"/>
      <c r="V1407" s="182"/>
      <c r="W1407" s="182"/>
      <c r="X1407" s="182"/>
      <c r="Y1407" s="182"/>
      <c r="Z1407" s="182"/>
      <c r="AA1407" s="182"/>
      <c r="AB1407" s="182"/>
      <c r="AC1407" s="182"/>
      <c r="AD1407" s="182"/>
      <c r="AE1407" s="182"/>
      <c r="AF1407" s="182"/>
      <c r="AG1407" s="182"/>
      <c r="AH1407" s="182"/>
      <c r="AI1407" s="182"/>
      <c r="AJ1407" s="182"/>
      <c r="AK1407" s="182"/>
      <c r="AL1407" s="182"/>
      <c r="AM1407" s="182"/>
      <c r="AN1407" s="182"/>
      <c r="AO1407" s="182"/>
      <c r="AP1407" s="182"/>
      <c r="AQ1407" s="185">
        <v>0</v>
      </c>
      <c r="AR1407" s="182"/>
      <c r="AS1407" s="182"/>
      <c r="AT1407" s="182"/>
      <c r="AU1407" s="182"/>
      <c r="AV1407" s="182"/>
      <c r="AW1407" s="182"/>
      <c r="AX1407" s="182"/>
      <c r="AY1407" s="182"/>
      <c r="AZ1407" s="182"/>
      <c r="BA1407" s="182"/>
      <c r="BB1407" s="182"/>
      <c r="BC1407" s="182"/>
      <c r="BD1407" s="182"/>
      <c r="BE1407" s="182"/>
      <c r="BF1407" s="182"/>
      <c r="BG1407" s="182"/>
      <c r="BH1407" s="182"/>
      <c r="BI1407" s="182"/>
      <c r="BJ1407" s="182"/>
      <c r="BK1407" s="182"/>
      <c r="BL1407" s="182"/>
      <c r="BM1407" s="182"/>
      <c r="BN1407" s="182"/>
      <c r="BO1407" s="182"/>
      <c r="BP1407" s="182"/>
      <c r="BQ1407" s="182"/>
      <c r="BR1407" s="182"/>
      <c r="BS1407" s="182"/>
      <c r="BT1407" s="182"/>
      <c r="BU1407" s="182"/>
      <c r="BV1407" s="182"/>
      <c r="BW1407" s="182"/>
      <c r="BX1407" s="182"/>
      <c r="BY1407" s="182"/>
      <c r="BZ1407" s="182"/>
      <c r="CA1407" s="182"/>
      <c r="CB1407" s="185">
        <v>0</v>
      </c>
      <c r="CC1407" s="185">
        <v>0</v>
      </c>
      <c r="CD1407" s="185">
        <v>95</v>
      </c>
      <c r="CE1407" s="185"/>
    </row>
    <row r="1408" spans="2:83" x14ac:dyDescent="0.3">
      <c r="B1408" s="182"/>
      <c r="C1408" s="182">
        <v>96</v>
      </c>
      <c r="D1408" s="182" t="s">
        <v>332</v>
      </c>
      <c r="E1408" s="181" t="s">
        <v>1764</v>
      </c>
      <c r="F1408" s="182"/>
      <c r="G1408" s="182"/>
      <c r="H1408" s="182"/>
      <c r="I1408" s="182"/>
      <c r="J1408" s="182"/>
      <c r="K1408" s="182"/>
      <c r="L1408" s="182"/>
      <c r="M1408" s="182"/>
      <c r="N1408" s="182"/>
      <c r="O1408" s="182"/>
      <c r="P1408" s="182"/>
      <c r="Q1408" s="182"/>
      <c r="R1408" s="182"/>
      <c r="S1408" s="182"/>
      <c r="T1408" s="182"/>
      <c r="U1408" s="182"/>
      <c r="V1408" s="182"/>
      <c r="W1408" s="182"/>
      <c r="X1408" s="182"/>
      <c r="Y1408" s="182"/>
      <c r="Z1408" s="182"/>
      <c r="AA1408" s="182"/>
      <c r="AB1408" s="182"/>
      <c r="AC1408" s="182"/>
      <c r="AD1408" s="182"/>
      <c r="AE1408" s="182"/>
      <c r="AF1408" s="182"/>
      <c r="AG1408" s="182"/>
      <c r="AH1408" s="182"/>
      <c r="AI1408" s="182"/>
      <c r="AJ1408" s="182"/>
      <c r="AK1408" s="182"/>
      <c r="AL1408" s="182"/>
      <c r="AM1408" s="182"/>
      <c r="AN1408" s="182"/>
      <c r="AO1408" s="182"/>
      <c r="AP1408" s="182"/>
      <c r="AQ1408" s="185">
        <v>0</v>
      </c>
      <c r="AR1408" s="182"/>
      <c r="AS1408" s="182"/>
      <c r="AT1408" s="182"/>
      <c r="AU1408" s="182"/>
      <c r="AV1408" s="182"/>
      <c r="AW1408" s="182"/>
      <c r="AX1408" s="182"/>
      <c r="AY1408" s="182"/>
      <c r="AZ1408" s="182"/>
      <c r="BA1408" s="182"/>
      <c r="BB1408" s="182"/>
      <c r="BC1408" s="182"/>
      <c r="BD1408" s="182"/>
      <c r="BE1408" s="182"/>
      <c r="BF1408" s="182"/>
      <c r="BG1408" s="182"/>
      <c r="BH1408" s="182"/>
      <c r="BI1408" s="182"/>
      <c r="BJ1408" s="182"/>
      <c r="BK1408" s="182"/>
      <c r="BL1408" s="182"/>
      <c r="BM1408" s="182"/>
      <c r="BN1408" s="182"/>
      <c r="BO1408" s="182"/>
      <c r="BP1408" s="182"/>
      <c r="BQ1408" s="182"/>
      <c r="BR1408" s="182"/>
      <c r="BS1408" s="182"/>
      <c r="BT1408" s="182"/>
      <c r="BU1408" s="182"/>
      <c r="BV1408" s="182"/>
      <c r="BW1408" s="182"/>
      <c r="BX1408" s="182"/>
      <c r="BY1408" s="182"/>
      <c r="BZ1408" s="182"/>
      <c r="CA1408" s="182"/>
      <c r="CB1408" s="185">
        <v>0</v>
      </c>
      <c r="CC1408" s="185">
        <v>0</v>
      </c>
      <c r="CD1408" s="185">
        <v>96</v>
      </c>
      <c r="CE1408" s="185"/>
    </row>
    <row r="1409" spans="2:83" x14ac:dyDescent="0.3">
      <c r="B1409" s="182"/>
      <c r="C1409" s="182">
        <v>97</v>
      </c>
      <c r="D1409" s="182" t="s">
        <v>332</v>
      </c>
      <c r="E1409" s="181" t="s">
        <v>1764</v>
      </c>
      <c r="F1409" s="182"/>
      <c r="G1409" s="182"/>
      <c r="H1409" s="182"/>
      <c r="I1409" s="182"/>
      <c r="J1409" s="182"/>
      <c r="K1409" s="182"/>
      <c r="L1409" s="182"/>
      <c r="M1409" s="182"/>
      <c r="N1409" s="182"/>
      <c r="O1409" s="182"/>
      <c r="P1409" s="182"/>
      <c r="Q1409" s="182"/>
      <c r="R1409" s="182"/>
      <c r="S1409" s="182"/>
      <c r="T1409" s="182"/>
      <c r="U1409" s="182"/>
      <c r="V1409" s="182"/>
      <c r="W1409" s="182"/>
      <c r="X1409" s="182"/>
      <c r="Y1409" s="182"/>
      <c r="Z1409" s="182"/>
      <c r="AA1409" s="182"/>
      <c r="AB1409" s="182"/>
      <c r="AC1409" s="182"/>
      <c r="AD1409" s="182"/>
      <c r="AE1409" s="182"/>
      <c r="AF1409" s="182"/>
      <c r="AG1409" s="182"/>
      <c r="AH1409" s="182"/>
      <c r="AI1409" s="182"/>
      <c r="AJ1409" s="182"/>
      <c r="AK1409" s="182"/>
      <c r="AL1409" s="182"/>
      <c r="AM1409" s="182"/>
      <c r="AN1409" s="182"/>
      <c r="AO1409" s="182"/>
      <c r="AP1409" s="182"/>
      <c r="AQ1409" s="185">
        <v>0</v>
      </c>
      <c r="AR1409" s="182"/>
      <c r="AS1409" s="182"/>
      <c r="AT1409" s="182"/>
      <c r="AU1409" s="182"/>
      <c r="AV1409" s="182"/>
      <c r="AW1409" s="182"/>
      <c r="AX1409" s="182"/>
      <c r="AY1409" s="182"/>
      <c r="AZ1409" s="182"/>
      <c r="BA1409" s="182"/>
      <c r="BB1409" s="182"/>
      <c r="BC1409" s="182"/>
      <c r="BD1409" s="182"/>
      <c r="BE1409" s="182"/>
      <c r="BF1409" s="182"/>
      <c r="BG1409" s="182"/>
      <c r="BH1409" s="182"/>
      <c r="BI1409" s="182"/>
      <c r="BJ1409" s="182"/>
      <c r="BK1409" s="182"/>
      <c r="BL1409" s="182"/>
      <c r="BM1409" s="182"/>
      <c r="BN1409" s="182"/>
      <c r="BO1409" s="182"/>
      <c r="BP1409" s="182"/>
      <c r="BQ1409" s="182"/>
      <c r="BR1409" s="182"/>
      <c r="BS1409" s="182"/>
      <c r="BT1409" s="182"/>
      <c r="BU1409" s="182"/>
      <c r="BV1409" s="182"/>
      <c r="BW1409" s="182"/>
      <c r="BX1409" s="182"/>
      <c r="BY1409" s="182"/>
      <c r="BZ1409" s="182"/>
      <c r="CA1409" s="182"/>
      <c r="CB1409" s="185">
        <v>0</v>
      </c>
      <c r="CC1409" s="185">
        <v>0</v>
      </c>
      <c r="CD1409" s="185">
        <v>97</v>
      </c>
      <c r="CE1409" s="185"/>
    </row>
    <row r="1410" spans="2:83" x14ac:dyDescent="0.3">
      <c r="B1410" s="182"/>
      <c r="C1410" s="182">
        <v>98</v>
      </c>
      <c r="D1410" s="182" t="s">
        <v>332</v>
      </c>
      <c r="E1410" s="181" t="s">
        <v>3078</v>
      </c>
      <c r="F1410" s="182"/>
      <c r="G1410" s="182"/>
      <c r="H1410" s="182"/>
      <c r="I1410" s="182"/>
      <c r="J1410" s="182"/>
      <c r="K1410" s="182"/>
      <c r="L1410" s="182"/>
      <c r="M1410" s="182"/>
      <c r="N1410" s="182"/>
      <c r="O1410" s="182"/>
      <c r="P1410" s="182"/>
      <c r="Q1410" s="182"/>
      <c r="R1410" s="182"/>
      <c r="S1410" s="182"/>
      <c r="T1410" s="182"/>
      <c r="U1410" s="182"/>
      <c r="V1410" s="182"/>
      <c r="W1410" s="182"/>
      <c r="X1410" s="182"/>
      <c r="Y1410" s="182"/>
      <c r="Z1410" s="182"/>
      <c r="AA1410" s="182"/>
      <c r="AB1410" s="182"/>
      <c r="AC1410" s="182"/>
      <c r="AD1410" s="182"/>
      <c r="AE1410" s="182"/>
      <c r="AF1410" s="182"/>
      <c r="AG1410" s="182"/>
      <c r="AH1410" s="182"/>
      <c r="AI1410" s="182"/>
      <c r="AJ1410" s="182"/>
      <c r="AK1410" s="182"/>
      <c r="AL1410" s="182"/>
      <c r="AM1410" s="182"/>
      <c r="AN1410" s="182"/>
      <c r="AO1410" s="182"/>
      <c r="AP1410" s="182"/>
      <c r="AQ1410" s="185">
        <v>0</v>
      </c>
      <c r="AR1410" s="182"/>
      <c r="AS1410" s="182"/>
      <c r="AT1410" s="182"/>
      <c r="AU1410" s="182"/>
      <c r="AV1410" s="182"/>
      <c r="AW1410" s="182"/>
      <c r="AX1410" s="182"/>
      <c r="AY1410" s="182"/>
      <c r="AZ1410" s="182"/>
      <c r="BA1410" s="182"/>
      <c r="BB1410" s="182"/>
      <c r="BC1410" s="182"/>
      <c r="BD1410" s="182"/>
      <c r="BE1410" s="182"/>
      <c r="BF1410" s="182"/>
      <c r="BG1410" s="182"/>
      <c r="BH1410" s="182"/>
      <c r="BI1410" s="182"/>
      <c r="BJ1410" s="182"/>
      <c r="BK1410" s="182"/>
      <c r="BL1410" s="182"/>
      <c r="BM1410" s="182"/>
      <c r="BN1410" s="182"/>
      <c r="BO1410" s="182"/>
      <c r="BP1410" s="182"/>
      <c r="BQ1410" s="182"/>
      <c r="BR1410" s="182"/>
      <c r="BS1410" s="182"/>
      <c r="BT1410" s="182"/>
      <c r="BU1410" s="182"/>
      <c r="BV1410" s="182"/>
      <c r="BW1410" s="182"/>
      <c r="BX1410" s="182"/>
      <c r="BY1410" s="182"/>
      <c r="BZ1410" s="182"/>
      <c r="CA1410" s="182"/>
      <c r="CB1410" s="185">
        <v>0</v>
      </c>
      <c r="CC1410" s="185">
        <v>0</v>
      </c>
      <c r="CD1410" s="185">
        <v>98</v>
      </c>
      <c r="CE1410" s="185"/>
    </row>
    <row r="1411" spans="2:83" x14ac:dyDescent="0.3">
      <c r="B1411" s="182"/>
      <c r="C1411" s="182">
        <v>99</v>
      </c>
      <c r="D1411" s="182" t="s">
        <v>332</v>
      </c>
      <c r="E1411" s="181" t="s">
        <v>3078</v>
      </c>
      <c r="F1411" s="182"/>
      <c r="G1411" s="182"/>
      <c r="H1411" s="182"/>
      <c r="I1411" s="182"/>
      <c r="J1411" s="182"/>
      <c r="K1411" s="182"/>
      <c r="L1411" s="182"/>
      <c r="M1411" s="182"/>
      <c r="N1411" s="182"/>
      <c r="O1411" s="182"/>
      <c r="P1411" s="182"/>
      <c r="Q1411" s="182"/>
      <c r="R1411" s="182"/>
      <c r="S1411" s="182"/>
      <c r="T1411" s="182"/>
      <c r="U1411" s="182"/>
      <c r="V1411" s="182"/>
      <c r="W1411" s="182"/>
      <c r="X1411" s="182"/>
      <c r="Y1411" s="182"/>
      <c r="Z1411" s="182"/>
      <c r="AA1411" s="182"/>
      <c r="AB1411" s="182"/>
      <c r="AC1411" s="182"/>
      <c r="AD1411" s="182"/>
      <c r="AE1411" s="182"/>
      <c r="AF1411" s="182"/>
      <c r="AG1411" s="182"/>
      <c r="AH1411" s="182"/>
      <c r="AI1411" s="182"/>
      <c r="AJ1411" s="182"/>
      <c r="AK1411" s="182"/>
      <c r="AL1411" s="182"/>
      <c r="AM1411" s="182"/>
      <c r="AN1411" s="182"/>
      <c r="AO1411" s="182"/>
      <c r="AP1411" s="182"/>
      <c r="AQ1411" s="185">
        <v>0</v>
      </c>
      <c r="AR1411" s="182"/>
      <c r="AS1411" s="182"/>
      <c r="AT1411" s="182"/>
      <c r="AU1411" s="182"/>
      <c r="AV1411" s="182"/>
      <c r="AW1411" s="182"/>
      <c r="AX1411" s="182"/>
      <c r="AY1411" s="182"/>
      <c r="AZ1411" s="182"/>
      <c r="BA1411" s="182"/>
      <c r="BB1411" s="182"/>
      <c r="BC1411" s="182"/>
      <c r="BD1411" s="182"/>
      <c r="BE1411" s="182"/>
      <c r="BF1411" s="182"/>
      <c r="BG1411" s="182"/>
      <c r="BH1411" s="182"/>
      <c r="BI1411" s="182"/>
      <c r="BJ1411" s="182"/>
      <c r="BK1411" s="182"/>
      <c r="BL1411" s="182"/>
      <c r="BM1411" s="182"/>
      <c r="BN1411" s="182"/>
      <c r="BO1411" s="182"/>
      <c r="BP1411" s="182"/>
      <c r="BQ1411" s="182"/>
      <c r="BR1411" s="182"/>
      <c r="BS1411" s="182"/>
      <c r="BT1411" s="182"/>
      <c r="BU1411" s="182"/>
      <c r="BV1411" s="182"/>
      <c r="BW1411" s="182"/>
      <c r="BX1411" s="182"/>
      <c r="BY1411" s="182"/>
      <c r="BZ1411" s="182"/>
      <c r="CA1411" s="182"/>
      <c r="CB1411" s="185">
        <v>0</v>
      </c>
      <c r="CC1411" s="185">
        <v>0</v>
      </c>
      <c r="CD1411" s="185">
        <v>99</v>
      </c>
      <c r="CE1411" s="185"/>
    </row>
    <row r="1412" spans="2:83" x14ac:dyDescent="0.3">
      <c r="B1412" s="182"/>
      <c r="C1412" s="182">
        <v>100</v>
      </c>
      <c r="D1412" s="182" t="s">
        <v>332</v>
      </c>
      <c r="E1412" s="181" t="s">
        <v>3078</v>
      </c>
      <c r="F1412" s="182"/>
      <c r="G1412" s="182"/>
      <c r="H1412" s="182"/>
      <c r="I1412" s="182"/>
      <c r="J1412" s="182"/>
      <c r="K1412" s="182"/>
      <c r="L1412" s="182"/>
      <c r="M1412" s="182"/>
      <c r="N1412" s="182"/>
      <c r="O1412" s="182"/>
      <c r="P1412" s="182"/>
      <c r="Q1412" s="182"/>
      <c r="R1412" s="182"/>
      <c r="S1412" s="182"/>
      <c r="T1412" s="182"/>
      <c r="U1412" s="182"/>
      <c r="V1412" s="182"/>
      <c r="W1412" s="182"/>
      <c r="X1412" s="182"/>
      <c r="Y1412" s="182"/>
      <c r="Z1412" s="182"/>
      <c r="AA1412" s="182"/>
      <c r="AB1412" s="182"/>
      <c r="AC1412" s="182"/>
      <c r="AD1412" s="182"/>
      <c r="AE1412" s="182"/>
      <c r="AF1412" s="182"/>
      <c r="AG1412" s="182"/>
      <c r="AH1412" s="182"/>
      <c r="AI1412" s="182"/>
      <c r="AJ1412" s="182"/>
      <c r="AK1412" s="182"/>
      <c r="AL1412" s="182"/>
      <c r="AM1412" s="182"/>
      <c r="AN1412" s="182"/>
      <c r="AO1412" s="182"/>
      <c r="AP1412" s="182"/>
      <c r="AQ1412" s="185">
        <v>0</v>
      </c>
      <c r="AR1412" s="182"/>
      <c r="AS1412" s="182"/>
      <c r="AT1412" s="182"/>
      <c r="AU1412" s="182"/>
      <c r="AV1412" s="182"/>
      <c r="AW1412" s="182"/>
      <c r="AX1412" s="182"/>
      <c r="AY1412" s="182"/>
      <c r="AZ1412" s="182"/>
      <c r="BA1412" s="182"/>
      <c r="BB1412" s="182"/>
      <c r="BC1412" s="182"/>
      <c r="BD1412" s="182"/>
      <c r="BE1412" s="182"/>
      <c r="BF1412" s="182"/>
      <c r="BG1412" s="182"/>
      <c r="BH1412" s="182"/>
      <c r="BI1412" s="182"/>
      <c r="BJ1412" s="182"/>
      <c r="BK1412" s="182"/>
      <c r="BL1412" s="182"/>
      <c r="BM1412" s="182"/>
      <c r="BN1412" s="182"/>
      <c r="BO1412" s="182"/>
      <c r="BP1412" s="182"/>
      <c r="BQ1412" s="182"/>
      <c r="BR1412" s="182"/>
      <c r="BS1412" s="182"/>
      <c r="BT1412" s="182"/>
      <c r="BU1412" s="182"/>
      <c r="BV1412" s="182"/>
      <c r="BW1412" s="182"/>
      <c r="BX1412" s="182"/>
      <c r="BY1412" s="182"/>
      <c r="BZ1412" s="182"/>
      <c r="CA1412" s="182"/>
      <c r="CB1412" s="185">
        <v>0</v>
      </c>
      <c r="CC1412" s="185">
        <v>0</v>
      </c>
      <c r="CD1412" s="185">
        <v>100</v>
      </c>
      <c r="CE1412" s="185"/>
    </row>
    <row r="1413" spans="2:83" x14ac:dyDescent="0.3">
      <c r="B1413" s="182"/>
      <c r="C1413" s="182">
        <v>101</v>
      </c>
      <c r="D1413" s="182" t="s">
        <v>332</v>
      </c>
      <c r="E1413" s="181" t="s">
        <v>3078</v>
      </c>
      <c r="F1413" s="182"/>
      <c r="G1413" s="182"/>
      <c r="H1413" s="182"/>
      <c r="I1413" s="182"/>
      <c r="J1413" s="182"/>
      <c r="K1413" s="182"/>
      <c r="L1413" s="182"/>
      <c r="M1413" s="182"/>
      <c r="N1413" s="182"/>
      <c r="O1413" s="182"/>
      <c r="P1413" s="182"/>
      <c r="Q1413" s="182"/>
      <c r="R1413" s="182"/>
      <c r="S1413" s="182"/>
      <c r="T1413" s="182"/>
      <c r="U1413" s="182"/>
      <c r="V1413" s="182"/>
      <c r="W1413" s="182"/>
      <c r="X1413" s="182"/>
      <c r="Y1413" s="182"/>
      <c r="Z1413" s="182"/>
      <c r="AA1413" s="182"/>
      <c r="AB1413" s="182"/>
      <c r="AC1413" s="182"/>
      <c r="AD1413" s="182"/>
      <c r="AE1413" s="182"/>
      <c r="AF1413" s="182"/>
      <c r="AG1413" s="182"/>
      <c r="AH1413" s="182"/>
      <c r="AI1413" s="182"/>
      <c r="AJ1413" s="182"/>
      <c r="AK1413" s="182"/>
      <c r="AL1413" s="182"/>
      <c r="AM1413" s="182"/>
      <c r="AN1413" s="182"/>
      <c r="AO1413" s="182"/>
      <c r="AP1413" s="182"/>
      <c r="AQ1413" s="185">
        <v>0</v>
      </c>
      <c r="AR1413" s="182"/>
      <c r="AS1413" s="182"/>
      <c r="AT1413" s="182"/>
      <c r="AU1413" s="182"/>
      <c r="AV1413" s="182"/>
      <c r="AW1413" s="182"/>
      <c r="AX1413" s="182"/>
      <c r="AY1413" s="182"/>
      <c r="AZ1413" s="182"/>
      <c r="BA1413" s="182"/>
      <c r="BB1413" s="182"/>
      <c r="BC1413" s="182"/>
      <c r="BD1413" s="182"/>
      <c r="BE1413" s="182"/>
      <c r="BF1413" s="182"/>
      <c r="BG1413" s="182"/>
      <c r="BH1413" s="182"/>
      <c r="BI1413" s="182"/>
      <c r="BJ1413" s="182"/>
      <c r="BK1413" s="182"/>
      <c r="BL1413" s="182"/>
      <c r="BM1413" s="182"/>
      <c r="BN1413" s="182"/>
      <c r="BO1413" s="182"/>
      <c r="BP1413" s="182"/>
      <c r="BQ1413" s="182"/>
      <c r="BR1413" s="182"/>
      <c r="BS1413" s="182"/>
      <c r="BT1413" s="182"/>
      <c r="BU1413" s="182"/>
      <c r="BV1413" s="182"/>
      <c r="BW1413" s="182"/>
      <c r="BX1413" s="182"/>
      <c r="BY1413" s="182"/>
      <c r="BZ1413" s="182"/>
      <c r="CA1413" s="182"/>
      <c r="CB1413" s="185">
        <v>0</v>
      </c>
      <c r="CC1413" s="185">
        <v>0</v>
      </c>
      <c r="CD1413" s="185">
        <v>101</v>
      </c>
      <c r="CE1413" s="185"/>
    </row>
    <row r="1414" spans="2:83" x14ac:dyDescent="0.3">
      <c r="B1414" s="182"/>
      <c r="C1414" s="182">
        <v>102</v>
      </c>
      <c r="D1414" s="182" t="s">
        <v>332</v>
      </c>
      <c r="E1414" s="181" t="s">
        <v>3078</v>
      </c>
      <c r="F1414" s="182"/>
      <c r="G1414" s="182"/>
      <c r="H1414" s="182"/>
      <c r="I1414" s="182"/>
      <c r="J1414" s="182"/>
      <c r="K1414" s="182"/>
      <c r="L1414" s="182"/>
      <c r="M1414" s="182"/>
      <c r="N1414" s="182"/>
      <c r="O1414" s="182"/>
      <c r="P1414" s="182"/>
      <c r="Q1414" s="182"/>
      <c r="R1414" s="182"/>
      <c r="S1414" s="182"/>
      <c r="T1414" s="182"/>
      <c r="U1414" s="182"/>
      <c r="V1414" s="182"/>
      <c r="W1414" s="182"/>
      <c r="X1414" s="182"/>
      <c r="Y1414" s="182"/>
      <c r="Z1414" s="182"/>
      <c r="AA1414" s="182"/>
      <c r="AB1414" s="182"/>
      <c r="AC1414" s="182"/>
      <c r="AD1414" s="182"/>
      <c r="AE1414" s="182"/>
      <c r="AF1414" s="182"/>
      <c r="AG1414" s="182"/>
      <c r="AH1414" s="182"/>
      <c r="AI1414" s="182"/>
      <c r="AJ1414" s="182"/>
      <c r="AK1414" s="182"/>
      <c r="AL1414" s="182"/>
      <c r="AM1414" s="182"/>
      <c r="AN1414" s="182"/>
      <c r="AO1414" s="182"/>
      <c r="AP1414" s="182"/>
      <c r="AQ1414" s="185">
        <v>0</v>
      </c>
      <c r="AR1414" s="182"/>
      <c r="AS1414" s="182"/>
      <c r="AT1414" s="182"/>
      <c r="AU1414" s="182"/>
      <c r="AV1414" s="182"/>
      <c r="AW1414" s="182"/>
      <c r="AX1414" s="182"/>
      <c r="AY1414" s="182"/>
      <c r="AZ1414" s="182"/>
      <c r="BA1414" s="182"/>
      <c r="BB1414" s="182"/>
      <c r="BC1414" s="182"/>
      <c r="BD1414" s="182"/>
      <c r="BE1414" s="182"/>
      <c r="BF1414" s="182"/>
      <c r="BG1414" s="182"/>
      <c r="BH1414" s="182"/>
      <c r="BI1414" s="182"/>
      <c r="BJ1414" s="182"/>
      <c r="BK1414" s="182"/>
      <c r="BL1414" s="182"/>
      <c r="BM1414" s="182"/>
      <c r="BN1414" s="182"/>
      <c r="BO1414" s="182"/>
      <c r="BP1414" s="182"/>
      <c r="BQ1414" s="182"/>
      <c r="BR1414" s="182"/>
      <c r="BS1414" s="182"/>
      <c r="BT1414" s="182"/>
      <c r="BU1414" s="182"/>
      <c r="BV1414" s="182"/>
      <c r="BW1414" s="182"/>
      <c r="BX1414" s="182"/>
      <c r="BY1414" s="182"/>
      <c r="BZ1414" s="182"/>
      <c r="CA1414" s="182"/>
      <c r="CB1414" s="185">
        <v>0</v>
      </c>
      <c r="CC1414" s="185">
        <v>0</v>
      </c>
      <c r="CD1414" s="185">
        <v>102</v>
      </c>
      <c r="CE1414" s="185"/>
    </row>
    <row r="1415" spans="2:83" x14ac:dyDescent="0.3">
      <c r="B1415" s="185"/>
      <c r="C1415" s="185"/>
      <c r="D1415" s="185"/>
      <c r="E1415" s="184" t="s">
        <v>4534</v>
      </c>
      <c r="F1415" s="185"/>
      <c r="G1415" s="185">
        <v>210564.64</v>
      </c>
      <c r="H1415" s="185">
        <v>0</v>
      </c>
      <c r="I1415" s="185">
        <v>0</v>
      </c>
      <c r="J1415" s="185">
        <v>2559602.3199999998</v>
      </c>
      <c r="K1415" s="185">
        <v>0</v>
      </c>
      <c r="L1415" s="185">
        <v>0</v>
      </c>
      <c r="M1415" s="185">
        <v>0</v>
      </c>
      <c r="N1415" s="185">
        <v>0</v>
      </c>
      <c r="O1415" s="185">
        <v>0</v>
      </c>
      <c r="P1415" s="185">
        <v>7000</v>
      </c>
      <c r="Q1415" s="185">
        <v>0</v>
      </c>
      <c r="R1415" s="185">
        <v>0</v>
      </c>
      <c r="S1415" s="185">
        <v>0</v>
      </c>
      <c r="T1415" s="185">
        <v>0</v>
      </c>
      <c r="U1415" s="185">
        <v>0</v>
      </c>
      <c r="V1415" s="185">
        <v>0</v>
      </c>
      <c r="W1415" s="185">
        <v>0</v>
      </c>
      <c r="X1415" s="185">
        <v>0</v>
      </c>
      <c r="Y1415" s="185">
        <v>0</v>
      </c>
      <c r="Z1415" s="185">
        <v>0</v>
      </c>
      <c r="AA1415" s="185">
        <v>0</v>
      </c>
      <c r="AB1415" s="185">
        <v>0</v>
      </c>
      <c r="AC1415" s="185">
        <v>0</v>
      </c>
      <c r="AD1415" s="185">
        <v>13704551.85</v>
      </c>
      <c r="AE1415" s="185">
        <v>41981143.009999998</v>
      </c>
      <c r="AF1415" s="185">
        <v>0</v>
      </c>
      <c r="AG1415" s="185">
        <v>13704551.85</v>
      </c>
      <c r="AH1415" s="185">
        <v>0</v>
      </c>
      <c r="AI1415" s="185">
        <v>0</v>
      </c>
      <c r="AJ1415" s="185">
        <v>0</v>
      </c>
      <c r="AK1415" s="185">
        <v>0</v>
      </c>
      <c r="AL1415" s="185">
        <v>0</v>
      </c>
      <c r="AM1415" s="185">
        <v>0</v>
      </c>
      <c r="AN1415" s="185">
        <v>54370</v>
      </c>
      <c r="AO1415" s="185">
        <v>0</v>
      </c>
      <c r="AP1415" s="185">
        <v>8005</v>
      </c>
      <c r="AQ1415" s="185">
        <v>72229788.670000002</v>
      </c>
      <c r="AR1415" s="185">
        <v>158624.73000000001</v>
      </c>
      <c r="AS1415" s="185">
        <v>0</v>
      </c>
      <c r="AT1415" s="185">
        <v>0</v>
      </c>
      <c r="AU1415" s="185">
        <v>0</v>
      </c>
      <c r="AV1415" s="185">
        <v>0</v>
      </c>
      <c r="AW1415" s="185">
        <v>0</v>
      </c>
      <c r="AX1415" s="185">
        <v>16254532.42</v>
      </c>
      <c r="AY1415" s="185">
        <v>13545927.119999999</v>
      </c>
      <c r="AZ1415" s="185">
        <v>0</v>
      </c>
      <c r="BA1415" s="185">
        <v>0</v>
      </c>
      <c r="BB1415" s="185">
        <v>0</v>
      </c>
      <c r="BC1415" s="185">
        <v>0</v>
      </c>
      <c r="BD1415" s="185">
        <v>0</v>
      </c>
      <c r="BE1415" s="185">
        <v>0</v>
      </c>
      <c r="BF1415" s="185">
        <v>0</v>
      </c>
      <c r="BG1415" s="185">
        <v>0</v>
      </c>
      <c r="BH1415" s="185">
        <v>0</v>
      </c>
      <c r="BI1415" s="185">
        <v>0</v>
      </c>
      <c r="BJ1415" s="185">
        <v>0</v>
      </c>
      <c r="BK1415" s="185">
        <v>0</v>
      </c>
      <c r="BL1415" s="185">
        <v>0</v>
      </c>
      <c r="BM1415" s="185">
        <v>0</v>
      </c>
      <c r="BN1415" s="185">
        <v>7000</v>
      </c>
      <c r="BO1415" s="185">
        <v>0</v>
      </c>
      <c r="BP1415" s="185">
        <v>0</v>
      </c>
      <c r="BQ1415" s="185">
        <v>0</v>
      </c>
      <c r="BR1415" s="185">
        <v>0</v>
      </c>
      <c r="BS1415" s="185">
        <v>0</v>
      </c>
      <c r="BT1415" s="185">
        <v>0</v>
      </c>
      <c r="BU1415" s="185">
        <v>0</v>
      </c>
      <c r="BV1415" s="185">
        <v>0</v>
      </c>
      <c r="BW1415" s="185">
        <v>0</v>
      </c>
      <c r="BX1415" s="185">
        <v>1209621.76</v>
      </c>
      <c r="BY1415" s="185">
        <v>0</v>
      </c>
      <c r="BZ1415" s="185">
        <v>44330</v>
      </c>
      <c r="CA1415" s="185">
        <v>41009752.640000001</v>
      </c>
      <c r="CB1415" s="185">
        <v>72229788.670000002</v>
      </c>
      <c r="CC1415" s="185">
        <v>0</v>
      </c>
      <c r="CD1415" s="185"/>
      <c r="CE1415" s="185"/>
    </row>
  </sheetData>
  <autoFilter ref="D1:D1415" xr:uid="{4F3CD50C-2C68-473C-B64B-F3710C5085BB}"/>
  <pageMargins left="0.7" right="0.7" top="0.75" bottom="0.75" header="0.3" footer="0.3"/>
  <pageSetup scale="85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A765F-B0F3-4779-B64E-75E6D440CAB8}">
  <dimension ref="A2:CT1311"/>
  <sheetViews>
    <sheetView rightToLeft="1" topLeftCell="H1" workbookViewId="0">
      <selection activeCell="Q794" sqref="Q794"/>
    </sheetView>
  </sheetViews>
  <sheetFormatPr defaultColWidth="20.7109375" defaultRowHeight="18" x14ac:dyDescent="0.25"/>
  <cols>
    <col min="1" max="1" width="20.7109375" style="69"/>
    <col min="2" max="2" width="14.140625" style="75" customWidth="1"/>
    <col min="3" max="3" width="13.7109375" style="75" customWidth="1"/>
    <col min="4" max="4" width="16.140625" style="69" customWidth="1"/>
    <col min="5" max="5" width="38.28515625" style="107" customWidth="1"/>
    <col min="6" max="6" width="17.7109375" style="63" customWidth="1"/>
    <col min="7" max="7" width="17" style="69" customWidth="1"/>
    <col min="8" max="8" width="16" style="69" customWidth="1"/>
    <col min="9" max="9" width="20.7109375" style="69"/>
    <col min="10" max="10" width="10" style="69" customWidth="1"/>
    <col min="11" max="14" width="20.7109375" style="69"/>
    <col min="15" max="15" width="12" style="69" customWidth="1"/>
    <col min="16" max="16" width="12.5703125" style="69" customWidth="1"/>
    <col min="17" max="17" width="14" style="69" customWidth="1"/>
    <col min="18" max="18" width="14.5703125" style="69" customWidth="1"/>
    <col min="19" max="19" width="11.7109375" style="69" customWidth="1"/>
    <col min="20" max="20" width="17" style="52" customWidth="1"/>
    <col min="21" max="21" width="20.7109375" style="52"/>
    <col min="22" max="22" width="11.7109375" style="69" customWidth="1"/>
    <col min="23" max="23" width="10" style="69" customWidth="1"/>
    <col min="24" max="26" width="20.7109375" style="69"/>
    <col min="27" max="27" width="13.7109375" style="69" customWidth="1"/>
    <col min="28" max="28" width="15" style="69" customWidth="1"/>
    <col min="29" max="29" width="13.42578125" style="69" customWidth="1"/>
    <col min="30" max="30" width="10.5703125" style="69" customWidth="1"/>
    <col min="31" max="31" width="16.85546875" style="69" customWidth="1"/>
    <col min="32" max="32" width="12.140625" style="69" customWidth="1"/>
    <col min="33" max="33" width="20.7109375" style="69"/>
    <col min="34" max="34" width="15.85546875" style="69" customWidth="1"/>
    <col min="35" max="36" width="20.7109375" style="69"/>
    <col min="37" max="37" width="17" style="69" customWidth="1"/>
    <col min="38" max="40" width="20.7109375" style="69"/>
    <col min="41" max="41" width="12.7109375" style="69" customWidth="1"/>
    <col min="42" max="42" width="13.28515625" style="69" customWidth="1"/>
    <col min="43" max="43" width="10.28515625" style="69" customWidth="1"/>
    <col min="44" max="44" width="13.28515625" style="91" customWidth="1"/>
    <col min="45" max="45" width="20.7109375" style="69"/>
    <col min="46" max="46" width="15.85546875" style="52" customWidth="1"/>
    <col min="47" max="47" width="15.28515625" style="69" customWidth="1"/>
    <col min="48" max="48" width="12.42578125" style="69" customWidth="1"/>
    <col min="49" max="49" width="16.7109375" style="69" customWidth="1"/>
    <col min="50" max="50" width="20.7109375" style="69"/>
    <col min="51" max="51" width="13.28515625" style="69" customWidth="1"/>
    <col min="52" max="54" width="20.7109375" style="69"/>
    <col min="55" max="55" width="20.7109375" style="57"/>
    <col min="56" max="56" width="15.7109375" style="57" customWidth="1"/>
    <col min="57" max="57" width="20.7109375" style="69"/>
    <col min="58" max="58" width="14.5703125" style="69" customWidth="1"/>
    <col min="59" max="59" width="9.28515625" style="69" customWidth="1"/>
    <col min="60" max="60" width="10.85546875" style="69" customWidth="1"/>
    <col min="61" max="61" width="16.5703125" style="69" customWidth="1"/>
    <col min="62" max="65" width="20.7109375" style="69"/>
    <col min="66" max="66" width="15.28515625" style="69" customWidth="1"/>
    <col min="67" max="67" width="14.140625" style="69" customWidth="1"/>
    <col min="68" max="68" width="16.7109375" style="69" customWidth="1"/>
    <col min="69" max="69" width="12.140625" style="69" customWidth="1"/>
    <col min="70" max="70" width="16" style="69" customWidth="1"/>
    <col min="71" max="71" width="13.5703125" style="69" customWidth="1"/>
    <col min="72" max="76" width="20.7109375" style="69"/>
    <col min="77" max="77" width="17" style="69" customWidth="1"/>
    <col min="78" max="78" width="20.7109375" style="69"/>
    <col min="79" max="79" width="14.140625" style="69" customWidth="1"/>
    <col min="80" max="80" width="18" style="69" customWidth="1"/>
    <col min="81" max="81" width="17.140625" style="91" customWidth="1"/>
    <col min="82" max="82" width="13.85546875" style="69" hidden="1" customWidth="1"/>
    <col min="83" max="83" width="12.7109375" style="75" customWidth="1"/>
    <col min="84" max="84" width="15.42578125" style="69" customWidth="1"/>
    <col min="85" max="16384" width="20.7109375" style="69"/>
  </cols>
  <sheetData>
    <row r="2" spans="1:83" s="52" customFormat="1" ht="36" customHeight="1" x14ac:dyDescent="0.25">
      <c r="E2" s="100"/>
      <c r="F2" s="53"/>
      <c r="G2" s="54" t="s">
        <v>1</v>
      </c>
      <c r="H2" s="54" t="s">
        <v>2</v>
      </c>
      <c r="I2" s="54" t="s">
        <v>3</v>
      </c>
      <c r="J2" s="54" t="s">
        <v>4</v>
      </c>
      <c r="K2" s="54" t="s">
        <v>5</v>
      </c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90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6"/>
      <c r="BD2" s="56"/>
      <c r="BN2" s="52" t="s">
        <v>6</v>
      </c>
      <c r="CC2" s="91"/>
      <c r="CE2" s="58"/>
    </row>
    <row r="3" spans="1:83" s="56" customFormat="1" ht="72" customHeight="1" x14ac:dyDescent="0.25">
      <c r="A3" s="52" t="s">
        <v>7</v>
      </c>
      <c r="B3" s="59" t="s">
        <v>8</v>
      </c>
      <c r="C3" s="59" t="s">
        <v>9</v>
      </c>
      <c r="D3" s="54" t="s">
        <v>10</v>
      </c>
      <c r="E3" s="170" t="s">
        <v>11</v>
      </c>
      <c r="F3" s="53" t="s">
        <v>12</v>
      </c>
      <c r="G3" s="54" t="s">
        <v>13</v>
      </c>
      <c r="H3" s="54" t="s">
        <v>14</v>
      </c>
      <c r="I3" s="54" t="s">
        <v>15</v>
      </c>
      <c r="J3" s="54" t="s">
        <v>16</v>
      </c>
      <c r="K3" s="54" t="s">
        <v>17</v>
      </c>
      <c r="L3" s="54" t="s">
        <v>18</v>
      </c>
      <c r="M3" s="54" t="s">
        <v>19</v>
      </c>
      <c r="N3" s="54" t="s">
        <v>20</v>
      </c>
      <c r="O3" s="54" t="s">
        <v>21</v>
      </c>
      <c r="P3" s="54" t="s">
        <v>22</v>
      </c>
      <c r="Q3" s="54" t="s">
        <v>23</v>
      </c>
      <c r="R3" s="54" t="s">
        <v>24</v>
      </c>
      <c r="S3" s="54" t="s">
        <v>25</v>
      </c>
      <c r="T3" s="54" t="s">
        <v>26</v>
      </c>
      <c r="U3" s="54" t="s">
        <v>27</v>
      </c>
      <c r="V3" s="54" t="s">
        <v>28</v>
      </c>
      <c r="W3" s="54" t="s">
        <v>29</v>
      </c>
      <c r="X3" s="54" t="s">
        <v>30</v>
      </c>
      <c r="Y3" s="54" t="s">
        <v>31</v>
      </c>
      <c r="Z3" s="54" t="s">
        <v>32</v>
      </c>
      <c r="AA3" s="54" t="s">
        <v>33</v>
      </c>
      <c r="AB3" s="54" t="s">
        <v>34</v>
      </c>
      <c r="AC3" s="54" t="s">
        <v>35</v>
      </c>
      <c r="AD3" s="54" t="s">
        <v>36</v>
      </c>
      <c r="AE3" s="54" t="s">
        <v>37</v>
      </c>
      <c r="AF3" s="54" t="s">
        <v>38</v>
      </c>
      <c r="AG3" s="54" t="s">
        <v>39</v>
      </c>
      <c r="AH3" s="54" t="s">
        <v>40</v>
      </c>
      <c r="AI3" s="54" t="s">
        <v>41</v>
      </c>
      <c r="AJ3" s="54" t="s">
        <v>42</v>
      </c>
      <c r="AK3" s="54" t="s">
        <v>43</v>
      </c>
      <c r="AL3" s="54" t="s">
        <v>44</v>
      </c>
      <c r="AM3" s="54" t="s">
        <v>45</v>
      </c>
      <c r="AN3" s="54" t="s">
        <v>55</v>
      </c>
      <c r="AO3" s="54" t="s">
        <v>46</v>
      </c>
      <c r="AP3" s="54" t="s">
        <v>47</v>
      </c>
      <c r="AQ3" s="54" t="s">
        <v>48</v>
      </c>
      <c r="AR3" s="90" t="s">
        <v>50</v>
      </c>
      <c r="AS3" s="54" t="s">
        <v>51</v>
      </c>
      <c r="AT3" s="54" t="s">
        <v>52</v>
      </c>
      <c r="AU3" s="54" t="s">
        <v>25</v>
      </c>
      <c r="AV3" s="54" t="s">
        <v>53</v>
      </c>
      <c r="AW3" s="54" t="s">
        <v>54</v>
      </c>
      <c r="AX3" s="54" t="s">
        <v>55</v>
      </c>
      <c r="AY3" s="54" t="s">
        <v>37</v>
      </c>
      <c r="AZ3" s="54" t="s">
        <v>39</v>
      </c>
      <c r="BA3" s="54" t="s">
        <v>56</v>
      </c>
      <c r="BB3" s="54" t="s">
        <v>57</v>
      </c>
      <c r="BC3" s="56" t="s">
        <v>58</v>
      </c>
      <c r="BD3" s="56" t="s">
        <v>59</v>
      </c>
      <c r="BE3" s="56" t="s">
        <v>31</v>
      </c>
      <c r="BF3" s="56" t="s">
        <v>60</v>
      </c>
      <c r="BG3" s="56" t="s">
        <v>27</v>
      </c>
      <c r="BH3" s="56" t="s">
        <v>61</v>
      </c>
      <c r="BI3" s="56" t="s">
        <v>62</v>
      </c>
      <c r="BJ3" s="56" t="s">
        <v>24</v>
      </c>
      <c r="BK3" s="56" t="s">
        <v>63</v>
      </c>
      <c r="BL3" s="56" t="s">
        <v>64</v>
      </c>
      <c r="BM3" s="56" t="s">
        <v>18</v>
      </c>
      <c r="BN3" s="56" t="s">
        <v>65</v>
      </c>
      <c r="BO3" s="56" t="s">
        <v>21</v>
      </c>
      <c r="BP3" s="56" t="s">
        <v>66</v>
      </c>
      <c r="BQ3" s="56" t="s">
        <v>67</v>
      </c>
      <c r="BR3" s="56" t="s">
        <v>40</v>
      </c>
      <c r="BS3" s="56" t="s">
        <v>68</v>
      </c>
      <c r="BT3" s="56" t="s">
        <v>69</v>
      </c>
      <c r="BU3" s="56" t="s">
        <v>41</v>
      </c>
      <c r="BV3" s="56" t="s">
        <v>70</v>
      </c>
      <c r="BW3" s="56" t="s">
        <v>71</v>
      </c>
      <c r="BX3" s="56" t="s">
        <v>72</v>
      </c>
      <c r="BY3" s="56" t="s">
        <v>46</v>
      </c>
      <c r="BZ3" s="56" t="s">
        <v>73</v>
      </c>
      <c r="CA3" s="56" t="s">
        <v>74</v>
      </c>
      <c r="CB3" s="56" t="s">
        <v>75</v>
      </c>
      <c r="CC3" s="92" t="s">
        <v>76</v>
      </c>
      <c r="CD3" s="56" t="s">
        <v>77</v>
      </c>
      <c r="CE3" s="62"/>
    </row>
    <row r="4" spans="1:83" s="63" customFormat="1" ht="15" customHeight="1" x14ac:dyDescent="0.25">
      <c r="B4" s="64"/>
      <c r="C4" s="64"/>
      <c r="D4" s="63" t="s">
        <v>78</v>
      </c>
      <c r="E4" s="102"/>
      <c r="AR4" s="91"/>
      <c r="AT4" s="52"/>
      <c r="BC4" s="57"/>
      <c r="BD4" s="57"/>
      <c r="CC4" s="91"/>
      <c r="CE4" s="64"/>
    </row>
    <row r="5" spans="1:83" s="63" customFormat="1" x14ac:dyDescent="0.25">
      <c r="B5" s="64"/>
      <c r="C5" s="64"/>
      <c r="D5" s="63" t="s">
        <v>128</v>
      </c>
      <c r="E5" s="102"/>
      <c r="AR5" s="91"/>
      <c r="AT5" s="52"/>
      <c r="BC5" s="57"/>
      <c r="BD5" s="57"/>
      <c r="CC5" s="91"/>
      <c r="CE5" s="64"/>
    </row>
    <row r="6" spans="1:83" s="63" customFormat="1" x14ac:dyDescent="0.25">
      <c r="B6" s="64"/>
      <c r="C6" s="64"/>
      <c r="D6" s="63" t="s">
        <v>130</v>
      </c>
      <c r="E6" s="102"/>
      <c r="AR6" s="91"/>
      <c r="AT6" s="52"/>
      <c r="BC6" s="57"/>
      <c r="BD6" s="57"/>
      <c r="CC6" s="91"/>
      <c r="CE6" s="64"/>
    </row>
    <row r="7" spans="1:83" s="63" customFormat="1" x14ac:dyDescent="0.25">
      <c r="B7" s="64"/>
      <c r="C7" s="64"/>
      <c r="D7" s="63" t="s">
        <v>724</v>
      </c>
      <c r="E7" s="102"/>
      <c r="AR7" s="91"/>
      <c r="AT7" s="52"/>
      <c r="BC7" s="57"/>
      <c r="BD7" s="57"/>
      <c r="CC7" s="91"/>
      <c r="CE7" s="64"/>
    </row>
    <row r="8" spans="1:83" s="63" customFormat="1" x14ac:dyDescent="0.25">
      <c r="B8" s="64"/>
      <c r="C8" s="64"/>
      <c r="D8" s="63" t="s">
        <v>725</v>
      </c>
      <c r="E8" s="102"/>
      <c r="AR8" s="91"/>
      <c r="AT8" s="52"/>
      <c r="BC8" s="57"/>
      <c r="BD8" s="57"/>
      <c r="CC8" s="91"/>
      <c r="CE8" s="64"/>
    </row>
    <row r="9" spans="1:83" s="63" customFormat="1" x14ac:dyDescent="0.25">
      <c r="B9" s="64"/>
      <c r="C9" s="64"/>
      <c r="D9" s="63" t="s">
        <v>726</v>
      </c>
      <c r="E9" s="102"/>
      <c r="AR9" s="91"/>
      <c r="AT9" s="52"/>
      <c r="BC9" s="57"/>
      <c r="BD9" s="57"/>
      <c r="CC9" s="91"/>
      <c r="CE9" s="64"/>
    </row>
    <row r="10" spans="1:83" s="63" customFormat="1" x14ac:dyDescent="0.25">
      <c r="B10" s="64"/>
      <c r="C10" s="64"/>
      <c r="D10" s="63" t="s">
        <v>121</v>
      </c>
      <c r="E10" s="102"/>
      <c r="AR10" s="91"/>
      <c r="AT10" s="52"/>
      <c r="BC10" s="57"/>
      <c r="BD10" s="57"/>
      <c r="CC10" s="91"/>
      <c r="CE10" s="64"/>
    </row>
    <row r="11" spans="1:83" s="63" customFormat="1" x14ac:dyDescent="0.25">
      <c r="B11" s="64"/>
      <c r="C11" s="64"/>
      <c r="D11" s="63" t="s">
        <v>123</v>
      </c>
      <c r="E11" s="102"/>
      <c r="AR11" s="91"/>
      <c r="AT11" s="52"/>
      <c r="BC11" s="57"/>
      <c r="BD11" s="57"/>
      <c r="CC11" s="91"/>
      <c r="CE11" s="64"/>
    </row>
    <row r="12" spans="1:83" s="63" customFormat="1" x14ac:dyDescent="0.25">
      <c r="B12" s="64"/>
      <c r="C12" s="64"/>
      <c r="D12" s="63" t="s">
        <v>122</v>
      </c>
      <c r="E12" s="102"/>
      <c r="AR12" s="91"/>
      <c r="AT12" s="52"/>
      <c r="BC12" s="57"/>
      <c r="BD12" s="57"/>
      <c r="CC12" s="91"/>
      <c r="CE12" s="64"/>
    </row>
    <row r="13" spans="1:83" s="63" customFormat="1" x14ac:dyDescent="0.25">
      <c r="B13" s="64"/>
      <c r="C13" s="64"/>
      <c r="D13" s="63" t="s">
        <v>137</v>
      </c>
      <c r="E13" s="102"/>
      <c r="AR13" s="91"/>
      <c r="AT13" s="52"/>
      <c r="BC13" s="57"/>
      <c r="BD13" s="57"/>
      <c r="CC13" s="91"/>
      <c r="CE13" s="64"/>
    </row>
    <row r="14" spans="1:83" s="63" customFormat="1" x14ac:dyDescent="0.25">
      <c r="B14" s="64"/>
      <c r="C14" s="64"/>
      <c r="D14" s="63" t="s">
        <v>125</v>
      </c>
      <c r="E14" s="102"/>
      <c r="AR14" s="91"/>
      <c r="AT14" s="52"/>
      <c r="BC14" s="57"/>
      <c r="BD14" s="57"/>
      <c r="CC14" s="91"/>
      <c r="CE14" s="64"/>
    </row>
    <row r="15" spans="1:83" s="63" customFormat="1" x14ac:dyDescent="0.25">
      <c r="B15" s="64"/>
      <c r="C15" s="64"/>
      <c r="D15" s="63" t="s">
        <v>727</v>
      </c>
      <c r="E15" s="102"/>
      <c r="AR15" s="91"/>
      <c r="AT15" s="52"/>
      <c r="BC15" s="57"/>
      <c r="BD15" s="57"/>
      <c r="CC15" s="91"/>
      <c r="CE15" s="64"/>
    </row>
    <row r="16" spans="1:83" s="63" customFormat="1" x14ac:dyDescent="0.25">
      <c r="B16" s="64"/>
      <c r="C16" s="64"/>
      <c r="D16" s="63" t="s">
        <v>728</v>
      </c>
      <c r="E16" s="102"/>
      <c r="AR16" s="91"/>
      <c r="AT16" s="52"/>
      <c r="BC16" s="57"/>
      <c r="BD16" s="57"/>
      <c r="CC16" s="91"/>
      <c r="CE16" s="64"/>
    </row>
    <row r="17" spans="2:83" s="63" customFormat="1" x14ac:dyDescent="0.25">
      <c r="B17" s="64"/>
      <c r="C17" s="64"/>
      <c r="D17" s="63" t="s">
        <v>124</v>
      </c>
      <c r="E17" s="102"/>
      <c r="AR17" s="91"/>
      <c r="AT17" s="52"/>
      <c r="BC17" s="57"/>
      <c r="BD17" s="57"/>
      <c r="CC17" s="91"/>
      <c r="CE17" s="64"/>
    </row>
    <row r="18" spans="2:83" s="63" customFormat="1" x14ac:dyDescent="0.25">
      <c r="B18" s="64"/>
      <c r="C18" s="64"/>
      <c r="D18" s="63" t="s">
        <v>132</v>
      </c>
      <c r="E18" s="102"/>
      <c r="AR18" s="91"/>
      <c r="AT18" s="52"/>
      <c r="BC18" s="57"/>
      <c r="BD18" s="57"/>
      <c r="CC18" s="91"/>
      <c r="CE18" s="64"/>
    </row>
    <row r="19" spans="2:83" s="63" customFormat="1" x14ac:dyDescent="0.25">
      <c r="B19" s="64"/>
      <c r="C19" s="64"/>
      <c r="D19" s="63" t="s">
        <v>119</v>
      </c>
      <c r="E19" s="102"/>
      <c r="AR19" s="91"/>
      <c r="AT19" s="52"/>
      <c r="BC19" s="57"/>
      <c r="BD19" s="57"/>
      <c r="CC19" s="91"/>
      <c r="CE19" s="64"/>
    </row>
    <row r="20" spans="2:83" s="63" customFormat="1" x14ac:dyDescent="0.25">
      <c r="B20" s="64"/>
      <c r="C20" s="64"/>
      <c r="D20" s="63" t="s">
        <v>729</v>
      </c>
      <c r="E20" s="102"/>
      <c r="AR20" s="91"/>
      <c r="AT20" s="52"/>
      <c r="BC20" s="57"/>
      <c r="BD20" s="57"/>
      <c r="CC20" s="91"/>
      <c r="CE20" s="64"/>
    </row>
    <row r="21" spans="2:83" s="63" customFormat="1" x14ac:dyDescent="0.25">
      <c r="B21" s="64"/>
      <c r="C21" s="64"/>
      <c r="D21" s="63" t="s">
        <v>730</v>
      </c>
      <c r="E21" s="102"/>
      <c r="AR21" s="91"/>
      <c r="AT21" s="52"/>
      <c r="BC21" s="57"/>
      <c r="BD21" s="57"/>
      <c r="CC21" s="91"/>
      <c r="CE21" s="64"/>
    </row>
    <row r="22" spans="2:83" s="63" customFormat="1" x14ac:dyDescent="0.25">
      <c r="B22" s="64"/>
      <c r="C22" s="64"/>
      <c r="D22" s="63" t="s">
        <v>731</v>
      </c>
      <c r="E22" s="102"/>
      <c r="AR22" s="91"/>
      <c r="AT22" s="52"/>
      <c r="BC22" s="57"/>
      <c r="BD22" s="57"/>
      <c r="CC22" s="91"/>
      <c r="CE22" s="64"/>
    </row>
    <row r="23" spans="2:83" s="63" customFormat="1" x14ac:dyDescent="0.25">
      <c r="B23" s="64"/>
      <c r="C23" s="64"/>
      <c r="D23" s="63" t="s">
        <v>116</v>
      </c>
      <c r="E23" s="102"/>
      <c r="AR23" s="91"/>
      <c r="AT23" s="52"/>
      <c r="BC23" s="57"/>
      <c r="BD23" s="57"/>
      <c r="CC23" s="91"/>
      <c r="CE23" s="64"/>
    </row>
    <row r="24" spans="2:83" s="63" customFormat="1" x14ac:dyDescent="0.25">
      <c r="B24" s="64"/>
      <c r="C24" s="64"/>
      <c r="D24" s="63" t="s">
        <v>732</v>
      </c>
      <c r="E24" s="102"/>
      <c r="AR24" s="91"/>
      <c r="AT24" s="52"/>
      <c r="BC24" s="57"/>
      <c r="BD24" s="57"/>
      <c r="CC24" s="91"/>
      <c r="CE24" s="64"/>
    </row>
    <row r="25" spans="2:83" s="63" customFormat="1" x14ac:dyDescent="0.25">
      <c r="B25" s="64"/>
      <c r="C25" s="64"/>
      <c r="D25" s="63" t="s">
        <v>733</v>
      </c>
      <c r="E25" s="102"/>
      <c r="AR25" s="91"/>
      <c r="AT25" s="52"/>
      <c r="BC25" s="57"/>
      <c r="BD25" s="57"/>
      <c r="CC25" s="91"/>
      <c r="CE25" s="64"/>
    </row>
    <row r="26" spans="2:83" ht="18.75" x14ac:dyDescent="0.25">
      <c r="B26" s="70">
        <v>2401</v>
      </c>
      <c r="C26" s="70">
        <v>2691</v>
      </c>
      <c r="D26" s="71">
        <v>0</v>
      </c>
      <c r="E26" s="171" t="s">
        <v>3536</v>
      </c>
      <c r="F26" s="63" t="s">
        <v>220</v>
      </c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>
        <v>4671</v>
      </c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94">
        <f t="shared" ref="AR26:AR97" si="0">SUM(G26:AQ26)</f>
        <v>4671</v>
      </c>
      <c r="AS26" s="73">
        <v>4671</v>
      </c>
      <c r="AT26" s="73"/>
      <c r="AU26" s="73"/>
      <c r="AV26" s="73"/>
      <c r="AW26" s="73"/>
      <c r="AX26" s="73"/>
      <c r="AY26" s="73"/>
      <c r="AZ26" s="73"/>
      <c r="BA26" s="73"/>
      <c r="BB26" s="73"/>
      <c r="BC26" s="69"/>
      <c r="BD26" s="69"/>
      <c r="CC26" s="94">
        <f>SUM(AS26:CB26)</f>
        <v>4671</v>
      </c>
      <c r="CD26" s="73">
        <f>+CC26-AR26</f>
        <v>0</v>
      </c>
      <c r="CE26" s="75">
        <f t="shared" ref="CE26:CE43" si="1">+C26</f>
        <v>2691</v>
      </c>
    </row>
    <row r="27" spans="2:83" ht="18.75" x14ac:dyDescent="0.25">
      <c r="B27" s="70">
        <v>2369</v>
      </c>
      <c r="C27" s="70">
        <v>2692</v>
      </c>
      <c r="D27" s="71">
        <v>0</v>
      </c>
      <c r="E27" s="171" t="s">
        <v>3537</v>
      </c>
      <c r="F27" s="63" t="s">
        <v>220</v>
      </c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>
        <v>633.20000000000005</v>
      </c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94">
        <f t="shared" si="0"/>
        <v>633.20000000000005</v>
      </c>
      <c r="AS27" s="73">
        <v>633.20000000000005</v>
      </c>
      <c r="AT27" s="73"/>
      <c r="AU27" s="73"/>
      <c r="AV27" s="73"/>
      <c r="AW27" s="73"/>
      <c r="AX27" s="73"/>
      <c r="AY27" s="73"/>
      <c r="AZ27" s="73"/>
      <c r="BA27" s="73"/>
      <c r="BB27" s="73"/>
      <c r="BC27" s="69"/>
      <c r="BD27" s="69"/>
      <c r="CC27" s="94">
        <f t="shared" ref="CC27:CC99" si="2">SUM(AS27:CB27)</f>
        <v>633.20000000000005</v>
      </c>
      <c r="CD27" s="73">
        <f t="shared" ref="CD27:CD99" si="3">+CC27-AR27</f>
        <v>0</v>
      </c>
      <c r="CE27" s="75">
        <f t="shared" si="1"/>
        <v>2692</v>
      </c>
    </row>
    <row r="28" spans="2:83" ht="18.75" x14ac:dyDescent="0.25">
      <c r="B28" s="70">
        <v>2388</v>
      </c>
      <c r="C28" s="70">
        <v>2693</v>
      </c>
      <c r="D28" s="71">
        <v>0</v>
      </c>
      <c r="E28" s="171" t="s">
        <v>3538</v>
      </c>
      <c r="F28" s="63" t="s">
        <v>220</v>
      </c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>
        <v>1388.14</v>
      </c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94">
        <f t="shared" si="0"/>
        <v>1388.14</v>
      </c>
      <c r="AS28" s="73">
        <v>1388.14</v>
      </c>
      <c r="AT28" s="73"/>
      <c r="AU28" s="73"/>
      <c r="AV28" s="73"/>
      <c r="AW28" s="73"/>
      <c r="AX28" s="73"/>
      <c r="AY28" s="73"/>
      <c r="AZ28" s="73"/>
      <c r="BA28" s="73"/>
      <c r="BB28" s="73"/>
      <c r="BC28" s="69"/>
      <c r="BD28" s="69"/>
      <c r="CC28" s="94">
        <f t="shared" si="2"/>
        <v>1388.14</v>
      </c>
      <c r="CD28" s="73">
        <f t="shared" si="3"/>
        <v>0</v>
      </c>
      <c r="CE28" s="75">
        <f t="shared" si="1"/>
        <v>2693</v>
      </c>
    </row>
    <row r="29" spans="2:83" ht="18.75" x14ac:dyDescent="0.25">
      <c r="B29" s="70">
        <v>2381</v>
      </c>
      <c r="C29" s="70">
        <v>2694</v>
      </c>
      <c r="D29" s="71">
        <v>0</v>
      </c>
      <c r="E29" s="171" t="str">
        <f>+E27</f>
        <v>استقطاع النفقه الالكترونيه سبتمبر</v>
      </c>
      <c r="F29" s="63" t="s">
        <v>220</v>
      </c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>
        <v>800</v>
      </c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94">
        <f t="shared" si="0"/>
        <v>800</v>
      </c>
      <c r="AS29" s="73">
        <v>800</v>
      </c>
      <c r="AT29" s="73"/>
      <c r="AU29" s="73"/>
      <c r="AV29" s="73"/>
      <c r="AW29" s="73"/>
      <c r="AX29" s="73"/>
      <c r="AY29" s="73"/>
      <c r="AZ29" s="73"/>
      <c r="BA29" s="73"/>
      <c r="BB29" s="73"/>
      <c r="BC29" s="69"/>
      <c r="BD29" s="69"/>
      <c r="CC29" s="94">
        <f t="shared" si="2"/>
        <v>800</v>
      </c>
      <c r="CD29" s="73">
        <f t="shared" si="3"/>
        <v>0</v>
      </c>
      <c r="CE29" s="75">
        <f t="shared" si="1"/>
        <v>2694</v>
      </c>
    </row>
    <row r="30" spans="2:83" ht="18.75" x14ac:dyDescent="0.25">
      <c r="B30" s="70">
        <v>2394</v>
      </c>
      <c r="C30" s="70">
        <v>2695</v>
      </c>
      <c r="D30" s="71">
        <v>0</v>
      </c>
      <c r="E30" s="171" t="s">
        <v>3539</v>
      </c>
      <c r="F30" s="63" t="s">
        <v>220</v>
      </c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>
        <v>85</v>
      </c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94">
        <f t="shared" si="0"/>
        <v>85</v>
      </c>
      <c r="AS30" s="73">
        <v>85</v>
      </c>
      <c r="AT30" s="73"/>
      <c r="AU30" s="73"/>
      <c r="AV30" s="73"/>
      <c r="AW30" s="73"/>
      <c r="AX30" s="73"/>
      <c r="AY30" s="73"/>
      <c r="AZ30" s="73"/>
      <c r="BA30" s="73"/>
      <c r="BB30" s="73"/>
      <c r="BC30" s="69"/>
      <c r="BD30" s="69"/>
      <c r="CC30" s="94">
        <f t="shared" si="2"/>
        <v>85</v>
      </c>
      <c r="CD30" s="73">
        <f t="shared" si="3"/>
        <v>0</v>
      </c>
      <c r="CE30" s="75">
        <f t="shared" si="1"/>
        <v>2695</v>
      </c>
    </row>
    <row r="31" spans="2:83" ht="18.75" x14ac:dyDescent="0.25">
      <c r="B31" s="70">
        <v>2415</v>
      </c>
      <c r="C31" s="70">
        <v>2696</v>
      </c>
      <c r="D31" s="71">
        <v>0</v>
      </c>
      <c r="E31" s="171" t="s">
        <v>3540</v>
      </c>
      <c r="F31" s="63" t="s">
        <v>220</v>
      </c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>
        <v>2</v>
      </c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94">
        <f t="shared" si="0"/>
        <v>2</v>
      </c>
      <c r="AS31" s="73">
        <v>2</v>
      </c>
      <c r="AT31" s="73"/>
      <c r="AU31" s="73"/>
      <c r="AV31" s="73"/>
      <c r="AW31" s="73"/>
      <c r="AX31" s="73"/>
      <c r="AY31" s="73"/>
      <c r="AZ31" s="73"/>
      <c r="BA31" s="73"/>
      <c r="BB31" s="73"/>
      <c r="BC31" s="69"/>
      <c r="BD31" s="69"/>
      <c r="CC31" s="94">
        <f t="shared" si="2"/>
        <v>2</v>
      </c>
      <c r="CD31" s="73">
        <f t="shared" si="3"/>
        <v>0</v>
      </c>
      <c r="CE31" s="75">
        <f t="shared" si="1"/>
        <v>2696</v>
      </c>
    </row>
    <row r="32" spans="2:83" ht="18.75" x14ac:dyDescent="0.25">
      <c r="B32" s="70">
        <v>2425</v>
      </c>
      <c r="C32" s="70">
        <v>2697</v>
      </c>
      <c r="D32" s="71">
        <v>0</v>
      </c>
      <c r="E32" s="171" t="s">
        <v>3541</v>
      </c>
      <c r="F32" s="63" t="s">
        <v>220</v>
      </c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>
        <v>479562.43</v>
      </c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94">
        <f t="shared" si="0"/>
        <v>479562.43</v>
      </c>
      <c r="AS32" s="73">
        <v>479562.43</v>
      </c>
      <c r="AT32" s="73"/>
      <c r="AU32" s="73"/>
      <c r="AV32" s="73"/>
      <c r="AW32" s="73"/>
      <c r="AX32" s="73"/>
      <c r="AY32" s="73"/>
      <c r="AZ32" s="73"/>
      <c r="BA32" s="73"/>
      <c r="BB32" s="73"/>
      <c r="BC32" s="69"/>
      <c r="BD32" s="69"/>
      <c r="CC32" s="94">
        <f t="shared" si="2"/>
        <v>479562.43</v>
      </c>
      <c r="CD32" s="73">
        <f t="shared" si="3"/>
        <v>0</v>
      </c>
      <c r="CE32" s="75">
        <f t="shared" si="1"/>
        <v>2697</v>
      </c>
    </row>
    <row r="33" spans="1:93" ht="18.75" x14ac:dyDescent="0.25">
      <c r="B33" s="70">
        <v>2397</v>
      </c>
      <c r="C33" s="70">
        <v>2698</v>
      </c>
      <c r="D33" s="71">
        <v>0</v>
      </c>
      <c r="E33" s="171" t="str">
        <f>+E31</f>
        <v>استقطاع اللجنه النقابيه سبتمبر</v>
      </c>
      <c r="F33" s="63" t="s">
        <v>220</v>
      </c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>
        <v>2</v>
      </c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94">
        <f t="shared" si="0"/>
        <v>2</v>
      </c>
      <c r="AS33" s="73">
        <v>2</v>
      </c>
      <c r="AT33" s="73"/>
      <c r="AU33" s="73"/>
      <c r="AV33" s="73"/>
      <c r="AW33" s="73"/>
      <c r="AX33" s="73"/>
      <c r="AY33" s="73"/>
      <c r="AZ33" s="73"/>
      <c r="BA33" s="73"/>
      <c r="BB33" s="73"/>
      <c r="BC33" s="69"/>
      <c r="BD33" s="69"/>
      <c r="CC33" s="94">
        <f t="shared" si="2"/>
        <v>2</v>
      </c>
      <c r="CD33" s="73">
        <f t="shared" si="3"/>
        <v>0</v>
      </c>
      <c r="CE33" s="75">
        <f t="shared" si="1"/>
        <v>2698</v>
      </c>
    </row>
    <row r="34" spans="1:93" ht="18.75" x14ac:dyDescent="0.25">
      <c r="B34" s="70">
        <v>2399</v>
      </c>
      <c r="C34" s="70">
        <v>2699</v>
      </c>
      <c r="D34" s="71">
        <v>0</v>
      </c>
      <c r="E34" s="171" t="s">
        <v>3542</v>
      </c>
      <c r="F34" s="63" t="s">
        <v>220</v>
      </c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>
        <v>1039.76</v>
      </c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94">
        <f t="shared" si="0"/>
        <v>1039.76</v>
      </c>
      <c r="AS34" s="73">
        <v>1039.76</v>
      </c>
      <c r="AT34" s="73"/>
      <c r="AU34" s="73"/>
      <c r="AV34" s="73"/>
      <c r="AW34" s="73"/>
      <c r="AX34" s="73"/>
      <c r="AY34" s="73"/>
      <c r="AZ34" s="73"/>
      <c r="BA34" s="73"/>
      <c r="BB34" s="73"/>
      <c r="BC34" s="69"/>
      <c r="BD34" s="69"/>
      <c r="CC34" s="94">
        <f t="shared" si="2"/>
        <v>1039.76</v>
      </c>
      <c r="CD34" s="73">
        <f t="shared" si="3"/>
        <v>0</v>
      </c>
      <c r="CE34" s="75">
        <f t="shared" si="1"/>
        <v>2699</v>
      </c>
    </row>
    <row r="35" spans="1:93" ht="18.75" x14ac:dyDescent="0.25">
      <c r="B35" s="70">
        <v>2398</v>
      </c>
      <c r="C35" s="70">
        <v>2700</v>
      </c>
      <c r="D35" s="71">
        <v>0</v>
      </c>
      <c r="E35" s="171" t="s">
        <v>3543</v>
      </c>
      <c r="F35" s="63" t="s">
        <v>220</v>
      </c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>
        <v>700</v>
      </c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94">
        <f t="shared" si="0"/>
        <v>700</v>
      </c>
      <c r="AS35" s="73">
        <v>700</v>
      </c>
      <c r="AT35" s="73"/>
      <c r="AU35" s="73"/>
      <c r="AV35" s="73"/>
      <c r="AW35" s="73"/>
      <c r="AX35" s="73"/>
      <c r="AY35" s="73"/>
      <c r="AZ35" s="73"/>
      <c r="BA35" s="73"/>
      <c r="BB35" s="73"/>
      <c r="BC35" s="69"/>
      <c r="BD35" s="69"/>
      <c r="CC35" s="94">
        <f t="shared" si="2"/>
        <v>700</v>
      </c>
      <c r="CD35" s="73">
        <f t="shared" si="3"/>
        <v>0</v>
      </c>
      <c r="CE35" s="75">
        <f t="shared" si="1"/>
        <v>2700</v>
      </c>
    </row>
    <row r="36" spans="1:93" ht="18.75" x14ac:dyDescent="0.25">
      <c r="B36" s="70">
        <v>2403</v>
      </c>
      <c r="C36" s="70">
        <v>2701</v>
      </c>
      <c r="D36" s="71">
        <v>0</v>
      </c>
      <c r="E36" s="171" t="s">
        <v>3544</v>
      </c>
      <c r="F36" s="63" t="s">
        <v>220</v>
      </c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>
        <v>1275</v>
      </c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94">
        <f t="shared" si="0"/>
        <v>1275</v>
      </c>
      <c r="AS36" s="73">
        <v>1275</v>
      </c>
      <c r="AT36" s="73"/>
      <c r="AU36" s="73"/>
      <c r="AV36" s="73"/>
      <c r="AW36" s="73"/>
      <c r="AX36" s="73"/>
      <c r="AY36" s="73"/>
      <c r="AZ36" s="73"/>
      <c r="BA36" s="73"/>
      <c r="BB36" s="73"/>
      <c r="BC36" s="69"/>
      <c r="BD36" s="69"/>
      <c r="CC36" s="94">
        <f t="shared" si="2"/>
        <v>1275</v>
      </c>
      <c r="CD36" s="73">
        <f t="shared" si="3"/>
        <v>0</v>
      </c>
      <c r="CE36" s="75">
        <f t="shared" si="1"/>
        <v>2701</v>
      </c>
    </row>
    <row r="37" spans="1:93" ht="18.75" x14ac:dyDescent="0.25">
      <c r="B37" s="70">
        <v>2396</v>
      </c>
      <c r="C37" s="70">
        <v>2702</v>
      </c>
      <c r="D37" s="71" t="s">
        <v>121</v>
      </c>
      <c r="E37" s="171" t="s">
        <v>3545</v>
      </c>
      <c r="F37" s="63" t="s">
        <v>220</v>
      </c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>
        <v>41.31</v>
      </c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94">
        <f t="shared" si="0"/>
        <v>41.31</v>
      </c>
      <c r="AS37" s="73">
        <v>41.31</v>
      </c>
      <c r="AT37" s="73"/>
      <c r="AU37" s="73"/>
      <c r="AV37" s="73"/>
      <c r="AW37" s="73"/>
      <c r="AX37" s="73"/>
      <c r="AY37" s="73"/>
      <c r="AZ37" s="73"/>
      <c r="BA37" s="73"/>
      <c r="BB37" s="73"/>
      <c r="BC37" s="69"/>
      <c r="BD37" s="69"/>
      <c r="CC37" s="94">
        <f t="shared" si="2"/>
        <v>41.31</v>
      </c>
      <c r="CD37" s="73">
        <f t="shared" si="3"/>
        <v>0</v>
      </c>
      <c r="CE37" s="75">
        <f t="shared" si="1"/>
        <v>2702</v>
      </c>
    </row>
    <row r="38" spans="1:93" ht="18.75" x14ac:dyDescent="0.25">
      <c r="B38" s="70">
        <v>2390</v>
      </c>
      <c r="C38" s="70">
        <v>2703</v>
      </c>
      <c r="D38" s="71">
        <v>0</v>
      </c>
      <c r="E38" s="171" t="s">
        <v>3546</v>
      </c>
      <c r="F38" s="63" t="s">
        <v>220</v>
      </c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>
        <v>946.52</v>
      </c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94">
        <f t="shared" si="0"/>
        <v>946.52</v>
      </c>
      <c r="AS38" s="73">
        <v>946.52</v>
      </c>
      <c r="AT38" s="73"/>
      <c r="AU38" s="73"/>
      <c r="AV38" s="73"/>
      <c r="AW38" s="73"/>
      <c r="AX38" s="73"/>
      <c r="AY38" s="73"/>
      <c r="AZ38" s="73"/>
      <c r="BA38" s="73"/>
      <c r="BB38" s="73"/>
      <c r="BC38" s="69"/>
      <c r="BD38" s="69"/>
      <c r="CC38" s="94">
        <f t="shared" si="2"/>
        <v>946.52</v>
      </c>
      <c r="CD38" s="73">
        <f t="shared" si="3"/>
        <v>0</v>
      </c>
      <c r="CE38" s="75">
        <f t="shared" si="1"/>
        <v>2703</v>
      </c>
    </row>
    <row r="39" spans="1:93" ht="18.75" x14ac:dyDescent="0.25">
      <c r="B39" s="70">
        <v>2434</v>
      </c>
      <c r="C39" s="70">
        <v>2704</v>
      </c>
      <c r="D39" s="71">
        <v>0</v>
      </c>
      <c r="E39" s="171" t="s">
        <v>3547</v>
      </c>
      <c r="F39" s="63" t="s">
        <v>220</v>
      </c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>
        <v>11015.9</v>
      </c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94">
        <f t="shared" si="0"/>
        <v>11015.9</v>
      </c>
      <c r="AS39" s="73">
        <v>11015.9</v>
      </c>
      <c r="AT39" s="73"/>
      <c r="AU39" s="73"/>
      <c r="AV39" s="73"/>
      <c r="AW39" s="73"/>
      <c r="AX39" s="73"/>
      <c r="AY39" s="73"/>
      <c r="AZ39" s="73"/>
      <c r="BA39" s="73"/>
      <c r="BB39" s="73"/>
      <c r="BC39" s="69"/>
      <c r="BD39" s="69"/>
      <c r="CC39" s="94">
        <f t="shared" si="2"/>
        <v>11015.9</v>
      </c>
      <c r="CD39" s="73">
        <f t="shared" si="3"/>
        <v>0</v>
      </c>
      <c r="CE39" s="75">
        <f t="shared" si="1"/>
        <v>2704</v>
      </c>
    </row>
    <row r="40" spans="1:93" ht="18.75" x14ac:dyDescent="0.25">
      <c r="B40" s="70">
        <v>2411</v>
      </c>
      <c r="C40" s="70">
        <v>2705</v>
      </c>
      <c r="D40" s="71">
        <v>0</v>
      </c>
      <c r="E40" s="171" t="s">
        <v>3548</v>
      </c>
      <c r="F40" s="63" t="s">
        <v>220</v>
      </c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>
        <v>832.33</v>
      </c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94">
        <f t="shared" si="0"/>
        <v>832.33</v>
      </c>
      <c r="AS40" s="73">
        <v>832.33</v>
      </c>
      <c r="AT40" s="73"/>
      <c r="AU40" s="73"/>
      <c r="AV40" s="73"/>
      <c r="AW40" s="73"/>
      <c r="AX40" s="73"/>
      <c r="AY40" s="73"/>
      <c r="AZ40" s="73"/>
      <c r="BA40" s="73"/>
      <c r="BB40" s="73"/>
      <c r="BC40" s="69"/>
      <c r="BD40" s="69"/>
      <c r="CC40" s="94">
        <f t="shared" si="2"/>
        <v>832.33</v>
      </c>
      <c r="CD40" s="73">
        <f t="shared" si="3"/>
        <v>0</v>
      </c>
      <c r="CE40" s="75">
        <f t="shared" si="1"/>
        <v>2705</v>
      </c>
    </row>
    <row r="41" spans="1:93" ht="18.75" x14ac:dyDescent="0.25">
      <c r="B41" s="70">
        <v>2417</v>
      </c>
      <c r="C41" s="70">
        <v>2706</v>
      </c>
      <c r="D41" s="71">
        <v>0</v>
      </c>
      <c r="E41" s="171" t="s">
        <v>3549</v>
      </c>
      <c r="F41" s="63" t="s">
        <v>220</v>
      </c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>
        <v>1199</v>
      </c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94">
        <f t="shared" si="0"/>
        <v>1199</v>
      </c>
      <c r="AS41" s="73">
        <v>1199</v>
      </c>
      <c r="AT41" s="73"/>
      <c r="AU41" s="73"/>
      <c r="AV41" s="73"/>
      <c r="AW41" s="73"/>
      <c r="AX41" s="73"/>
      <c r="AY41" s="73"/>
      <c r="AZ41" s="73"/>
      <c r="BA41" s="73"/>
      <c r="BB41" s="73"/>
      <c r="BC41" s="69"/>
      <c r="BD41" s="69"/>
      <c r="CC41" s="94">
        <f t="shared" si="2"/>
        <v>1199</v>
      </c>
      <c r="CD41" s="73">
        <f t="shared" si="3"/>
        <v>0</v>
      </c>
      <c r="CE41" s="75">
        <f t="shared" si="1"/>
        <v>2706</v>
      </c>
    </row>
    <row r="42" spans="1:93" ht="18.75" x14ac:dyDescent="0.25">
      <c r="B42" s="70">
        <v>2408</v>
      </c>
      <c r="C42" s="70">
        <v>2707</v>
      </c>
      <c r="D42" s="71">
        <v>0</v>
      </c>
      <c r="E42" s="171" t="s">
        <v>3550</v>
      </c>
      <c r="F42" s="63" t="s">
        <v>220</v>
      </c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>
        <v>100</v>
      </c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94">
        <f t="shared" si="0"/>
        <v>100</v>
      </c>
      <c r="AS42" s="73">
        <v>100</v>
      </c>
      <c r="AT42" s="73"/>
      <c r="AU42" s="73"/>
      <c r="AV42" s="73"/>
      <c r="AW42" s="73"/>
      <c r="AX42" s="73"/>
      <c r="AY42" s="73"/>
      <c r="AZ42" s="73"/>
      <c r="BA42" s="73"/>
      <c r="BB42" s="73"/>
      <c r="BC42" s="69"/>
      <c r="BD42" s="69"/>
      <c r="CC42" s="94">
        <f t="shared" si="2"/>
        <v>100</v>
      </c>
      <c r="CD42" s="73">
        <f t="shared" si="3"/>
        <v>0</v>
      </c>
      <c r="CE42" s="75">
        <f t="shared" si="1"/>
        <v>2707</v>
      </c>
    </row>
    <row r="43" spans="1:93" ht="108" x14ac:dyDescent="0.25">
      <c r="A43" s="77"/>
      <c r="B43" s="70" t="s">
        <v>3551</v>
      </c>
      <c r="C43" s="70">
        <v>2708</v>
      </c>
      <c r="D43" s="71">
        <v>0</v>
      </c>
      <c r="E43" s="171" t="s">
        <v>3552</v>
      </c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94">
        <f t="shared" si="0"/>
        <v>0</v>
      </c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69"/>
      <c r="BD43" s="69"/>
      <c r="CC43" s="94">
        <f t="shared" si="2"/>
        <v>0</v>
      </c>
      <c r="CD43" s="73">
        <f t="shared" si="3"/>
        <v>0</v>
      </c>
      <c r="CE43" s="75">
        <f t="shared" si="1"/>
        <v>2708</v>
      </c>
    </row>
    <row r="44" spans="1:93" s="68" customFormat="1" ht="18.75" x14ac:dyDescent="0.25">
      <c r="B44" s="84"/>
      <c r="C44" s="84"/>
      <c r="D44" s="85">
        <v>0</v>
      </c>
      <c r="E44" s="172" t="s">
        <v>3553</v>
      </c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>
        <f>SUM(S26:S43)</f>
        <v>479562.43</v>
      </c>
      <c r="T44" s="106">
        <f t="shared" ref="T44:CF44" si="4">SUM(T26:T43)</f>
        <v>11015.9</v>
      </c>
      <c r="U44" s="106">
        <f t="shared" si="4"/>
        <v>0</v>
      </c>
      <c r="V44" s="106">
        <f t="shared" si="4"/>
        <v>0</v>
      </c>
      <c r="W44" s="106">
        <f t="shared" si="4"/>
        <v>41.31</v>
      </c>
      <c r="X44" s="106">
        <f t="shared" si="4"/>
        <v>0</v>
      </c>
      <c r="Y44" s="106">
        <f t="shared" si="4"/>
        <v>0</v>
      </c>
      <c r="Z44" s="106">
        <f t="shared" si="4"/>
        <v>0</v>
      </c>
      <c r="AA44" s="106">
        <f t="shared" si="4"/>
        <v>0</v>
      </c>
      <c r="AB44" s="106">
        <f t="shared" si="4"/>
        <v>0</v>
      </c>
      <c r="AC44" s="106">
        <f t="shared" si="4"/>
        <v>13673.95</v>
      </c>
      <c r="AD44" s="106">
        <f t="shared" si="4"/>
        <v>0</v>
      </c>
      <c r="AE44" s="106">
        <f t="shared" si="4"/>
        <v>0</v>
      </c>
      <c r="AF44" s="106">
        <f t="shared" si="4"/>
        <v>0</v>
      </c>
      <c r="AG44" s="106">
        <f t="shared" si="4"/>
        <v>0</v>
      </c>
      <c r="AH44" s="106">
        <f t="shared" si="4"/>
        <v>0</v>
      </c>
      <c r="AI44" s="106">
        <f t="shared" si="4"/>
        <v>0</v>
      </c>
      <c r="AJ44" s="106">
        <f t="shared" si="4"/>
        <v>0</v>
      </c>
      <c r="AK44" s="106">
        <f t="shared" si="4"/>
        <v>0</v>
      </c>
      <c r="AL44" s="106">
        <f t="shared" si="4"/>
        <v>0</v>
      </c>
      <c r="AM44" s="106">
        <f t="shared" si="4"/>
        <v>0</v>
      </c>
      <c r="AN44" s="106"/>
      <c r="AO44" s="106">
        <f t="shared" si="4"/>
        <v>0</v>
      </c>
      <c r="AP44" s="106">
        <f t="shared" si="4"/>
        <v>0</v>
      </c>
      <c r="AQ44" s="106">
        <f t="shared" si="4"/>
        <v>0</v>
      </c>
      <c r="AR44" s="94">
        <f t="shared" si="4"/>
        <v>504293.59000000008</v>
      </c>
      <c r="AS44" s="106">
        <f t="shared" si="4"/>
        <v>504293.59000000008</v>
      </c>
      <c r="AT44" s="106">
        <f t="shared" si="4"/>
        <v>0</v>
      </c>
      <c r="AU44" s="106">
        <f t="shared" si="4"/>
        <v>0</v>
      </c>
      <c r="AV44" s="106">
        <f t="shared" si="4"/>
        <v>0</v>
      </c>
      <c r="AW44" s="106">
        <f t="shared" si="4"/>
        <v>0</v>
      </c>
      <c r="AX44" s="106">
        <f t="shared" si="4"/>
        <v>0</v>
      </c>
      <c r="AY44" s="106">
        <f t="shared" si="4"/>
        <v>0</v>
      </c>
      <c r="AZ44" s="106">
        <f t="shared" si="4"/>
        <v>0</v>
      </c>
      <c r="BA44" s="106">
        <f t="shared" si="4"/>
        <v>0</v>
      </c>
      <c r="BB44" s="106">
        <f t="shared" si="4"/>
        <v>0</v>
      </c>
      <c r="BC44" s="106">
        <f t="shared" si="4"/>
        <v>0</v>
      </c>
      <c r="BD44" s="106">
        <f t="shared" si="4"/>
        <v>0</v>
      </c>
      <c r="BE44" s="106">
        <f t="shared" si="4"/>
        <v>0</v>
      </c>
      <c r="BF44" s="106">
        <f t="shared" si="4"/>
        <v>0</v>
      </c>
      <c r="BG44" s="106">
        <f t="shared" si="4"/>
        <v>0</v>
      </c>
      <c r="BH44" s="106">
        <f t="shared" si="4"/>
        <v>0</v>
      </c>
      <c r="BI44" s="106">
        <f t="shared" si="4"/>
        <v>0</v>
      </c>
      <c r="BJ44" s="106">
        <f t="shared" si="4"/>
        <v>0</v>
      </c>
      <c r="BK44" s="106">
        <f t="shared" si="4"/>
        <v>0</v>
      </c>
      <c r="BL44" s="106">
        <f t="shared" si="4"/>
        <v>0</v>
      </c>
      <c r="BM44" s="106">
        <f t="shared" si="4"/>
        <v>0</v>
      </c>
      <c r="BN44" s="106">
        <f t="shared" si="4"/>
        <v>0</v>
      </c>
      <c r="BO44" s="106">
        <f t="shared" si="4"/>
        <v>0</v>
      </c>
      <c r="BP44" s="106">
        <f t="shared" si="4"/>
        <v>0</v>
      </c>
      <c r="BQ44" s="106">
        <f t="shared" si="4"/>
        <v>0</v>
      </c>
      <c r="BR44" s="106">
        <f t="shared" si="4"/>
        <v>0</v>
      </c>
      <c r="BS44" s="106">
        <f t="shared" si="4"/>
        <v>0</v>
      </c>
      <c r="BT44" s="106">
        <f t="shared" si="4"/>
        <v>0</v>
      </c>
      <c r="BU44" s="106">
        <f t="shared" si="4"/>
        <v>0</v>
      </c>
      <c r="BV44" s="106">
        <f t="shared" si="4"/>
        <v>0</v>
      </c>
      <c r="BW44" s="106">
        <f t="shared" si="4"/>
        <v>0</v>
      </c>
      <c r="BX44" s="106">
        <f t="shared" si="4"/>
        <v>0</v>
      </c>
      <c r="BY44" s="106">
        <f t="shared" si="4"/>
        <v>0</v>
      </c>
      <c r="BZ44" s="106">
        <f t="shared" si="4"/>
        <v>0</v>
      </c>
      <c r="CA44" s="106">
        <f t="shared" si="4"/>
        <v>0</v>
      </c>
      <c r="CB44" s="106">
        <f t="shared" si="4"/>
        <v>0</v>
      </c>
      <c r="CC44" s="94">
        <f t="shared" si="4"/>
        <v>504293.59000000008</v>
      </c>
      <c r="CD44" s="106">
        <f t="shared" si="4"/>
        <v>0</v>
      </c>
      <c r="CE44" s="67"/>
      <c r="CF44" s="106">
        <f t="shared" si="4"/>
        <v>0</v>
      </c>
      <c r="CG44" s="106">
        <f t="shared" ref="CG44:CO44" si="5">SUM(CG26:CG43)</f>
        <v>0</v>
      </c>
      <c r="CH44" s="106">
        <f t="shared" si="5"/>
        <v>0</v>
      </c>
      <c r="CI44" s="106">
        <f t="shared" si="5"/>
        <v>0</v>
      </c>
      <c r="CJ44" s="106">
        <f t="shared" si="5"/>
        <v>0</v>
      </c>
      <c r="CK44" s="106">
        <f t="shared" si="5"/>
        <v>0</v>
      </c>
      <c r="CL44" s="106">
        <f t="shared" si="5"/>
        <v>0</v>
      </c>
      <c r="CM44" s="106">
        <f t="shared" si="5"/>
        <v>0</v>
      </c>
      <c r="CN44" s="106">
        <f t="shared" si="5"/>
        <v>0</v>
      </c>
      <c r="CO44" s="106">
        <f t="shared" si="5"/>
        <v>0</v>
      </c>
    </row>
    <row r="45" spans="1:93" ht="18.75" x14ac:dyDescent="0.25">
      <c r="B45" s="70">
        <v>2079</v>
      </c>
      <c r="C45" s="70">
        <v>2709</v>
      </c>
      <c r="D45" s="71" t="s">
        <v>249</v>
      </c>
      <c r="E45" s="171" t="s">
        <v>3554</v>
      </c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>
        <v>12750</v>
      </c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94">
        <f t="shared" si="0"/>
        <v>12750</v>
      </c>
      <c r="AS45" s="73">
        <v>12750</v>
      </c>
      <c r="AT45" s="73"/>
      <c r="AU45" s="73"/>
      <c r="AV45" s="73"/>
      <c r="AW45" s="73"/>
      <c r="AX45" s="73"/>
      <c r="AY45" s="73"/>
      <c r="AZ45" s="73"/>
      <c r="BA45" s="73"/>
      <c r="BB45" s="73"/>
      <c r="BC45" s="69"/>
      <c r="BD45" s="69"/>
      <c r="CC45" s="94">
        <f t="shared" si="2"/>
        <v>12750</v>
      </c>
      <c r="CD45" s="73">
        <f t="shared" si="3"/>
        <v>0</v>
      </c>
      <c r="CE45" s="75">
        <f t="shared" ref="CE45:CF108" si="6">+C45</f>
        <v>2709</v>
      </c>
      <c r="CF45" s="69" t="str">
        <f t="shared" si="6"/>
        <v>خدمة عامة</v>
      </c>
    </row>
    <row r="46" spans="1:93" ht="18.75" x14ac:dyDescent="0.25">
      <c r="B46" s="70">
        <v>5038</v>
      </c>
      <c r="C46" s="70">
        <v>2710</v>
      </c>
      <c r="D46" s="71" t="s">
        <v>249</v>
      </c>
      <c r="E46" s="171" t="s">
        <v>3555</v>
      </c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>
        <v>12750</v>
      </c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94">
        <f t="shared" si="0"/>
        <v>12750</v>
      </c>
      <c r="AS46" s="73">
        <v>12750</v>
      </c>
      <c r="AT46" s="73"/>
      <c r="AU46" s="73"/>
      <c r="AV46" s="73"/>
      <c r="AW46" s="73"/>
      <c r="AX46" s="73"/>
      <c r="AY46" s="73"/>
      <c r="AZ46" s="73"/>
      <c r="BA46" s="73"/>
      <c r="BB46" s="73"/>
      <c r="BC46" s="69"/>
      <c r="BD46" s="69"/>
      <c r="CC46" s="94">
        <f t="shared" si="2"/>
        <v>12750</v>
      </c>
      <c r="CD46" s="73">
        <f t="shared" si="3"/>
        <v>0</v>
      </c>
      <c r="CE46" s="75">
        <f t="shared" si="6"/>
        <v>2710</v>
      </c>
      <c r="CF46" s="69" t="str">
        <f t="shared" si="6"/>
        <v>خدمة عامة</v>
      </c>
    </row>
    <row r="47" spans="1:93" ht="18.75" x14ac:dyDescent="0.25">
      <c r="B47" s="70">
        <v>5047</v>
      </c>
      <c r="C47" s="70">
        <v>2711</v>
      </c>
      <c r="D47" s="71" t="s">
        <v>78</v>
      </c>
      <c r="E47" s="171" t="s">
        <v>3556</v>
      </c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>
        <v>825</v>
      </c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94">
        <f t="shared" si="0"/>
        <v>825</v>
      </c>
      <c r="AS47" s="73">
        <v>825</v>
      </c>
      <c r="AT47" s="73"/>
      <c r="AU47" s="73"/>
      <c r="AV47" s="73"/>
      <c r="AW47" s="73"/>
      <c r="AX47" s="73"/>
      <c r="AY47" s="73"/>
      <c r="AZ47" s="73"/>
      <c r="BA47" s="73"/>
      <c r="BB47" s="73"/>
      <c r="BC47" s="69"/>
      <c r="BD47" s="69"/>
      <c r="CC47" s="94">
        <f t="shared" si="2"/>
        <v>825</v>
      </c>
      <c r="CD47" s="73">
        <f t="shared" si="3"/>
        <v>0</v>
      </c>
      <c r="CE47" s="75">
        <f t="shared" si="6"/>
        <v>2711</v>
      </c>
      <c r="CF47" s="69" t="str">
        <f t="shared" si="6"/>
        <v>برنامج دولى</v>
      </c>
    </row>
    <row r="48" spans="1:93" ht="18.75" x14ac:dyDescent="0.25">
      <c r="B48" s="70">
        <v>4071</v>
      </c>
      <c r="C48" s="70">
        <v>2712</v>
      </c>
      <c r="D48" s="71" t="s">
        <v>78</v>
      </c>
      <c r="E48" s="171" t="s">
        <v>3557</v>
      </c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>
        <v>669.75</v>
      </c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94">
        <f t="shared" si="0"/>
        <v>669.75</v>
      </c>
      <c r="AS48" s="73">
        <v>669.75</v>
      </c>
      <c r="AT48" s="73"/>
      <c r="AU48" s="73"/>
      <c r="AV48" s="73"/>
      <c r="AW48" s="73"/>
      <c r="AX48" s="73"/>
      <c r="AY48" s="73"/>
      <c r="AZ48" s="73"/>
      <c r="BA48" s="73"/>
      <c r="BB48" s="73"/>
      <c r="BC48" s="69"/>
      <c r="BD48" s="69"/>
      <c r="CC48" s="94">
        <f t="shared" si="2"/>
        <v>669.75</v>
      </c>
      <c r="CD48" s="73">
        <f t="shared" si="3"/>
        <v>0</v>
      </c>
      <c r="CE48" s="75">
        <f t="shared" si="6"/>
        <v>2712</v>
      </c>
      <c r="CF48" s="69" t="str">
        <f t="shared" si="6"/>
        <v>برنامج دولى</v>
      </c>
    </row>
    <row r="49" spans="1:84" ht="18.75" x14ac:dyDescent="0.25">
      <c r="B49" s="70">
        <v>19616</v>
      </c>
      <c r="C49" s="70">
        <v>2713</v>
      </c>
      <c r="D49" s="71" t="s">
        <v>78</v>
      </c>
      <c r="E49" s="171" t="s">
        <v>3558</v>
      </c>
      <c r="G49" s="73"/>
      <c r="H49" s="73">
        <v>28704</v>
      </c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94">
        <f t="shared" si="0"/>
        <v>28704</v>
      </c>
      <c r="AS49" s="73">
        <v>28704</v>
      </c>
      <c r="AT49" s="73"/>
      <c r="AU49" s="73"/>
      <c r="AV49" s="73"/>
      <c r="AW49" s="73"/>
      <c r="AX49" s="73"/>
      <c r="AY49" s="73"/>
      <c r="AZ49" s="73"/>
      <c r="BA49" s="73"/>
      <c r="BB49" s="73"/>
      <c r="BC49" s="69"/>
      <c r="BD49" s="69"/>
      <c r="CC49" s="94">
        <f t="shared" si="2"/>
        <v>28704</v>
      </c>
      <c r="CD49" s="73">
        <f t="shared" si="3"/>
        <v>0</v>
      </c>
      <c r="CE49" s="75">
        <f t="shared" si="6"/>
        <v>2713</v>
      </c>
      <c r="CF49" s="69" t="str">
        <f t="shared" si="6"/>
        <v>برنامج دولى</v>
      </c>
    </row>
    <row r="50" spans="1:84" ht="18.75" x14ac:dyDescent="0.25">
      <c r="B50" s="70">
        <v>5485</v>
      </c>
      <c r="C50" s="70">
        <v>2714</v>
      </c>
      <c r="D50" s="71" t="s">
        <v>78</v>
      </c>
      <c r="E50" s="171" t="s">
        <v>3558</v>
      </c>
      <c r="G50" s="73"/>
      <c r="H50" s="73">
        <v>30139.200000000001</v>
      </c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94">
        <f t="shared" si="0"/>
        <v>30139.200000000001</v>
      </c>
      <c r="AS50" s="73">
        <v>30139.200000000001</v>
      </c>
      <c r="AT50" s="73"/>
      <c r="AU50" s="73"/>
      <c r="AV50" s="73"/>
      <c r="AW50" s="73"/>
      <c r="AX50" s="73"/>
      <c r="AY50" s="73"/>
      <c r="AZ50" s="73"/>
      <c r="BA50" s="73"/>
      <c r="BB50" s="73"/>
      <c r="BC50" s="69"/>
      <c r="BD50" s="69"/>
      <c r="CC50" s="94">
        <f t="shared" si="2"/>
        <v>30139.200000000001</v>
      </c>
      <c r="CD50" s="73">
        <f t="shared" si="3"/>
        <v>0</v>
      </c>
      <c r="CE50" s="75">
        <f t="shared" si="6"/>
        <v>2714</v>
      </c>
      <c r="CF50" s="69" t="str">
        <f t="shared" si="6"/>
        <v>برنامج دولى</v>
      </c>
    </row>
    <row r="51" spans="1:84" ht="18.75" x14ac:dyDescent="0.25">
      <c r="B51" s="70">
        <v>5365</v>
      </c>
      <c r="C51" s="70">
        <v>2715</v>
      </c>
      <c r="D51" s="71" t="s">
        <v>78</v>
      </c>
      <c r="E51" s="171" t="s">
        <v>3559</v>
      </c>
      <c r="G51" s="73"/>
      <c r="H51" s="73">
        <v>430</v>
      </c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94">
        <f t="shared" si="0"/>
        <v>430</v>
      </c>
      <c r="AS51" s="73">
        <v>430</v>
      </c>
      <c r="AT51" s="73"/>
      <c r="AU51" s="73"/>
      <c r="AV51" s="73"/>
      <c r="AW51" s="73"/>
      <c r="AX51" s="73"/>
      <c r="AY51" s="73"/>
      <c r="AZ51" s="73"/>
      <c r="BA51" s="73"/>
      <c r="BB51" s="73"/>
      <c r="BC51" s="69"/>
      <c r="BD51" s="69"/>
      <c r="CC51" s="94">
        <f t="shared" si="2"/>
        <v>430</v>
      </c>
      <c r="CD51" s="73">
        <f t="shared" si="3"/>
        <v>0</v>
      </c>
      <c r="CE51" s="75">
        <f t="shared" si="6"/>
        <v>2715</v>
      </c>
      <c r="CF51" s="69" t="str">
        <f t="shared" si="6"/>
        <v>برنامج دولى</v>
      </c>
    </row>
    <row r="52" spans="1:84" ht="18.75" x14ac:dyDescent="0.25">
      <c r="B52" s="70">
        <v>5119</v>
      </c>
      <c r="C52" s="70">
        <v>2716</v>
      </c>
      <c r="D52" s="71" t="s">
        <v>78</v>
      </c>
      <c r="E52" s="171" t="s">
        <v>3560</v>
      </c>
      <c r="G52" s="73"/>
      <c r="H52" s="73">
        <v>69171.02</v>
      </c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94">
        <f t="shared" si="0"/>
        <v>69171.02</v>
      </c>
      <c r="AS52" s="73">
        <v>69171.02</v>
      </c>
      <c r="AT52" s="73"/>
      <c r="AU52" s="73"/>
      <c r="AV52" s="73"/>
      <c r="AW52" s="73"/>
      <c r="AX52" s="73"/>
      <c r="AY52" s="73"/>
      <c r="AZ52" s="73"/>
      <c r="BA52" s="73"/>
      <c r="BB52" s="73"/>
      <c r="BC52" s="69"/>
      <c r="BD52" s="69"/>
      <c r="CC52" s="94">
        <f t="shared" si="2"/>
        <v>69171.02</v>
      </c>
      <c r="CD52" s="73">
        <f t="shared" si="3"/>
        <v>0</v>
      </c>
      <c r="CE52" s="75">
        <f t="shared" si="6"/>
        <v>2716</v>
      </c>
      <c r="CF52" s="69" t="str">
        <f t="shared" si="6"/>
        <v>برنامج دولى</v>
      </c>
    </row>
    <row r="53" spans="1:84" ht="18.75" x14ac:dyDescent="0.25">
      <c r="B53" s="70">
        <v>5120</v>
      </c>
      <c r="C53" s="70">
        <v>2717</v>
      </c>
      <c r="D53" s="71" t="s">
        <v>78</v>
      </c>
      <c r="E53" s="171" t="s">
        <v>3561</v>
      </c>
      <c r="G53" s="73"/>
      <c r="H53" s="73">
        <v>69171.02</v>
      </c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94">
        <f t="shared" si="0"/>
        <v>69171.02</v>
      </c>
      <c r="AS53" s="73">
        <v>69171.02</v>
      </c>
      <c r="AT53" s="73"/>
      <c r="AU53" s="73"/>
      <c r="AV53" s="73"/>
      <c r="AW53" s="73"/>
      <c r="AX53" s="73"/>
      <c r="AY53" s="73"/>
      <c r="AZ53" s="73"/>
      <c r="BA53" s="73"/>
      <c r="BB53" s="73"/>
      <c r="BC53" s="69"/>
      <c r="BD53" s="69"/>
      <c r="CC53" s="94">
        <f t="shared" si="2"/>
        <v>69171.02</v>
      </c>
      <c r="CD53" s="73">
        <f t="shared" si="3"/>
        <v>0</v>
      </c>
      <c r="CE53" s="75">
        <f t="shared" si="6"/>
        <v>2717</v>
      </c>
      <c r="CF53" s="69" t="str">
        <f t="shared" si="6"/>
        <v>برنامج دولى</v>
      </c>
    </row>
    <row r="54" spans="1:84" ht="18.75" x14ac:dyDescent="0.25">
      <c r="B54" s="70">
        <v>5142</v>
      </c>
      <c r="C54" s="70">
        <v>2718</v>
      </c>
      <c r="D54" s="71" t="s">
        <v>78</v>
      </c>
      <c r="E54" s="171" t="s">
        <v>3562</v>
      </c>
      <c r="G54" s="73"/>
      <c r="H54" s="73">
        <v>454500</v>
      </c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94">
        <f t="shared" si="0"/>
        <v>454500</v>
      </c>
      <c r="AS54" s="73">
        <v>438526</v>
      </c>
      <c r="AT54" s="73">
        <v>11344</v>
      </c>
      <c r="AU54" s="73"/>
      <c r="AV54" s="73">
        <v>5</v>
      </c>
      <c r="AW54" s="73"/>
      <c r="AX54" s="73"/>
      <c r="AY54" s="73"/>
      <c r="AZ54" s="73"/>
      <c r="BA54" s="73"/>
      <c r="BB54" s="73"/>
      <c r="BC54" s="69"/>
      <c r="BD54" s="69"/>
      <c r="BF54" s="69">
        <v>4545</v>
      </c>
      <c r="BG54" s="69">
        <v>80</v>
      </c>
      <c r="CC54" s="94">
        <f t="shared" si="2"/>
        <v>454500</v>
      </c>
      <c r="CD54" s="73">
        <f t="shared" si="3"/>
        <v>0</v>
      </c>
      <c r="CE54" s="75">
        <f t="shared" si="6"/>
        <v>2718</v>
      </c>
      <c r="CF54" s="69" t="str">
        <f t="shared" si="6"/>
        <v>برنامج دولى</v>
      </c>
    </row>
    <row r="55" spans="1:84" ht="18.75" x14ac:dyDescent="0.25">
      <c r="B55" s="70">
        <v>4477</v>
      </c>
      <c r="C55" s="70">
        <v>2719</v>
      </c>
      <c r="D55" s="71" t="s">
        <v>78</v>
      </c>
      <c r="E55" s="171" t="s">
        <v>3563</v>
      </c>
      <c r="G55" s="73"/>
      <c r="H55" s="73">
        <v>615.6</v>
      </c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94">
        <f t="shared" si="0"/>
        <v>615.6</v>
      </c>
      <c r="AS55" s="73">
        <v>537.79999999999995</v>
      </c>
      <c r="AT55" s="73">
        <f>6.9+20.7+9</f>
        <v>36.6</v>
      </c>
      <c r="AU55" s="73"/>
      <c r="AV55" s="73"/>
      <c r="AW55" s="73"/>
      <c r="AX55" s="73"/>
      <c r="AY55" s="73"/>
      <c r="AZ55" s="73"/>
      <c r="BA55" s="73"/>
      <c r="BB55" s="73"/>
      <c r="BC55" s="69"/>
      <c r="BD55" s="69"/>
      <c r="BF55" s="69">
        <v>16.2</v>
      </c>
      <c r="BG55" s="69">
        <v>20</v>
      </c>
      <c r="BH55" s="69">
        <f>2.5*2</f>
        <v>5</v>
      </c>
      <c r="CC55" s="94">
        <f t="shared" si="2"/>
        <v>615.6</v>
      </c>
      <c r="CD55" s="73">
        <f t="shared" si="3"/>
        <v>0</v>
      </c>
      <c r="CE55" s="75">
        <f t="shared" si="6"/>
        <v>2719</v>
      </c>
      <c r="CF55" s="69" t="str">
        <f t="shared" si="6"/>
        <v>برنامج دولى</v>
      </c>
    </row>
    <row r="56" spans="1:84" ht="18.75" x14ac:dyDescent="0.25">
      <c r="B56" s="70">
        <v>5362</v>
      </c>
      <c r="C56" s="70">
        <v>2720</v>
      </c>
      <c r="D56" s="71" t="s">
        <v>130</v>
      </c>
      <c r="E56" s="171" t="s">
        <v>3564</v>
      </c>
      <c r="G56" s="73"/>
      <c r="H56" s="73">
        <v>8800</v>
      </c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94">
        <f t="shared" si="0"/>
        <v>8800</v>
      </c>
      <c r="AS56" s="73">
        <v>8800</v>
      </c>
      <c r="AT56" s="73"/>
      <c r="AU56" s="73"/>
      <c r="AV56" s="73"/>
      <c r="AW56" s="73"/>
      <c r="AX56" s="73"/>
      <c r="AY56" s="73"/>
      <c r="AZ56" s="73"/>
      <c r="BA56" s="73"/>
      <c r="BB56" s="73"/>
      <c r="BC56" s="69"/>
      <c r="BD56" s="69"/>
      <c r="CC56" s="94">
        <f t="shared" si="2"/>
        <v>8800</v>
      </c>
      <c r="CD56" s="73">
        <f t="shared" si="3"/>
        <v>0</v>
      </c>
      <c r="CE56" s="75">
        <f t="shared" si="6"/>
        <v>2720</v>
      </c>
      <c r="CF56" s="69" t="str">
        <f t="shared" si="6"/>
        <v>خ ت طب</v>
      </c>
    </row>
    <row r="57" spans="1:84" ht="18.75" x14ac:dyDescent="0.25">
      <c r="B57" s="70">
        <v>5361</v>
      </c>
      <c r="C57" s="70">
        <v>2721</v>
      </c>
      <c r="D57" s="71" t="s">
        <v>130</v>
      </c>
      <c r="E57" s="171" t="s">
        <v>3564</v>
      </c>
      <c r="G57" s="73"/>
      <c r="H57" s="73">
        <v>49435</v>
      </c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94">
        <f t="shared" si="0"/>
        <v>49435</v>
      </c>
      <c r="AS57" s="73">
        <v>49435</v>
      </c>
      <c r="AT57" s="73"/>
      <c r="AU57" s="73"/>
      <c r="AV57" s="73"/>
      <c r="AW57" s="73"/>
      <c r="AX57" s="73"/>
      <c r="AY57" s="73"/>
      <c r="AZ57" s="73"/>
      <c r="BA57" s="73"/>
      <c r="BB57" s="73"/>
      <c r="BC57" s="69"/>
      <c r="BD57" s="69"/>
      <c r="CC57" s="94">
        <f t="shared" si="2"/>
        <v>49435</v>
      </c>
      <c r="CD57" s="73">
        <f t="shared" si="3"/>
        <v>0</v>
      </c>
      <c r="CE57" s="75">
        <f t="shared" si="6"/>
        <v>2721</v>
      </c>
      <c r="CF57" s="69" t="str">
        <f t="shared" si="6"/>
        <v>خ ت طب</v>
      </c>
    </row>
    <row r="58" spans="1:84" ht="18.75" x14ac:dyDescent="0.25">
      <c r="B58" s="70">
        <v>5140</v>
      </c>
      <c r="C58" s="70">
        <v>2722</v>
      </c>
      <c r="D58" s="71" t="s">
        <v>130</v>
      </c>
      <c r="E58" s="171" t="s">
        <v>3565</v>
      </c>
      <c r="G58" s="73"/>
      <c r="H58" s="73">
        <v>2194.41</v>
      </c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94">
        <f t="shared" si="0"/>
        <v>2194.41</v>
      </c>
      <c r="AS58" s="73">
        <v>2055.71</v>
      </c>
      <c r="AT58" s="73">
        <v>115.3</v>
      </c>
      <c r="AU58" s="73"/>
      <c r="AV58" s="73"/>
      <c r="AW58" s="73"/>
      <c r="AX58" s="73"/>
      <c r="AY58" s="73"/>
      <c r="AZ58" s="73"/>
      <c r="BA58" s="73"/>
      <c r="BB58" s="73"/>
      <c r="BC58" s="69"/>
      <c r="BD58" s="69"/>
      <c r="BG58" s="69">
        <v>6</v>
      </c>
      <c r="BH58" s="69">
        <f>8.7*2</f>
        <v>17.399999999999999</v>
      </c>
      <c r="CC58" s="94">
        <f t="shared" si="2"/>
        <v>2194.4100000000003</v>
      </c>
      <c r="CD58" s="73">
        <f t="shared" si="3"/>
        <v>0</v>
      </c>
      <c r="CE58" s="75">
        <f t="shared" si="6"/>
        <v>2722</v>
      </c>
      <c r="CF58" s="69" t="str">
        <f t="shared" si="6"/>
        <v>خ ت طب</v>
      </c>
    </row>
    <row r="59" spans="1:84" ht="18.75" x14ac:dyDescent="0.25">
      <c r="B59" s="70">
        <v>5363</v>
      </c>
      <c r="C59" s="70">
        <v>2723</v>
      </c>
      <c r="D59" s="71" t="s">
        <v>130</v>
      </c>
      <c r="E59" s="171" t="s">
        <v>3566</v>
      </c>
      <c r="G59" s="73"/>
      <c r="H59" s="73">
        <v>9667.2000000000007</v>
      </c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94">
        <f t="shared" si="0"/>
        <v>9667.2000000000007</v>
      </c>
      <c r="AS59" s="73">
        <v>8864.5</v>
      </c>
      <c r="AT59" s="73">
        <v>542.29999999999995</v>
      </c>
      <c r="AU59" s="73"/>
      <c r="AV59" s="73"/>
      <c r="AW59" s="73"/>
      <c r="AX59" s="73"/>
      <c r="AY59" s="73"/>
      <c r="AZ59" s="73"/>
      <c r="BA59" s="73"/>
      <c r="BB59" s="73"/>
      <c r="BC59" s="69"/>
      <c r="BD59" s="69"/>
      <c r="BF59" s="69">
        <v>254.4</v>
      </c>
      <c r="BG59" s="69">
        <v>6</v>
      </c>
      <c r="CC59" s="94">
        <f t="shared" si="2"/>
        <v>9667.1999999999989</v>
      </c>
      <c r="CD59" s="73">
        <f t="shared" si="3"/>
        <v>0</v>
      </c>
      <c r="CE59" s="75">
        <f t="shared" si="6"/>
        <v>2723</v>
      </c>
      <c r="CF59" s="69" t="str">
        <f t="shared" si="6"/>
        <v>خ ت طب</v>
      </c>
    </row>
    <row r="60" spans="1:84" ht="18.75" x14ac:dyDescent="0.25">
      <c r="A60" s="77"/>
      <c r="B60" s="78">
        <v>5052</v>
      </c>
      <c r="C60" s="70">
        <v>2724</v>
      </c>
      <c r="D60" s="71" t="s">
        <v>119</v>
      </c>
      <c r="E60" s="173" t="s">
        <v>3567</v>
      </c>
      <c r="G60" s="73"/>
      <c r="H60" s="73">
        <v>4250</v>
      </c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94">
        <f t="shared" si="0"/>
        <v>4250</v>
      </c>
      <c r="AS60" s="73">
        <v>4250</v>
      </c>
      <c r="AT60" s="73"/>
      <c r="AU60" s="73"/>
      <c r="AV60" s="73"/>
      <c r="AW60" s="73"/>
      <c r="AX60" s="73"/>
      <c r="AY60" s="73"/>
      <c r="AZ60" s="73"/>
      <c r="BA60" s="73"/>
      <c r="BB60" s="73"/>
      <c r="BC60" s="69"/>
      <c r="BD60" s="69"/>
      <c r="CC60" s="94">
        <f t="shared" si="2"/>
        <v>4250</v>
      </c>
      <c r="CD60" s="73">
        <f t="shared" si="3"/>
        <v>0</v>
      </c>
      <c r="CE60" s="75">
        <f t="shared" si="6"/>
        <v>2724</v>
      </c>
      <c r="CF60" s="69" t="str">
        <f t="shared" si="6"/>
        <v>خ ت صيدلة</v>
      </c>
    </row>
    <row r="61" spans="1:84" ht="18.75" x14ac:dyDescent="0.25">
      <c r="B61" s="70">
        <v>5059</v>
      </c>
      <c r="C61" s="70">
        <v>2725</v>
      </c>
      <c r="D61" s="71" t="s">
        <v>132</v>
      </c>
      <c r="E61" s="171" t="s">
        <v>3568</v>
      </c>
      <c r="G61" s="73"/>
      <c r="H61" s="73">
        <v>1882.75</v>
      </c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94">
        <f t="shared" si="0"/>
        <v>1882.75</v>
      </c>
      <c r="AS61" s="73">
        <v>1882.75</v>
      </c>
      <c r="AT61" s="73"/>
      <c r="AU61" s="73"/>
      <c r="AV61" s="73"/>
      <c r="AW61" s="73"/>
      <c r="AX61" s="73"/>
      <c r="AY61" s="73"/>
      <c r="AZ61" s="73"/>
      <c r="BA61" s="73"/>
      <c r="BB61" s="73"/>
      <c r="BC61" s="69"/>
      <c r="BD61" s="69"/>
      <c r="CC61" s="94">
        <f t="shared" si="2"/>
        <v>1882.75</v>
      </c>
      <c r="CD61" s="73">
        <f t="shared" si="3"/>
        <v>0</v>
      </c>
      <c r="CE61" s="75">
        <f t="shared" si="6"/>
        <v>2725</v>
      </c>
      <c r="CF61" s="69" t="str">
        <f t="shared" si="6"/>
        <v>صيدلة اكلينيكى</v>
      </c>
    </row>
    <row r="62" spans="1:84" ht="18.75" x14ac:dyDescent="0.25">
      <c r="B62" s="70">
        <v>5058</v>
      </c>
      <c r="C62" s="70">
        <v>2726</v>
      </c>
      <c r="D62" s="71" t="s">
        <v>132</v>
      </c>
      <c r="E62" s="171" t="s">
        <v>3569</v>
      </c>
      <c r="G62" s="73"/>
      <c r="H62" s="73">
        <v>5000</v>
      </c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94">
        <f t="shared" si="0"/>
        <v>5000</v>
      </c>
      <c r="AS62" s="73">
        <v>5000</v>
      </c>
      <c r="AT62" s="73"/>
      <c r="AU62" s="73"/>
      <c r="AV62" s="73"/>
      <c r="AW62" s="73"/>
      <c r="AX62" s="73"/>
      <c r="AY62" s="73"/>
      <c r="AZ62" s="73"/>
      <c r="BA62" s="73"/>
      <c r="BB62" s="73"/>
      <c r="BC62" s="69"/>
      <c r="BD62" s="69"/>
      <c r="CC62" s="94">
        <f t="shared" si="2"/>
        <v>5000</v>
      </c>
      <c r="CD62" s="73">
        <f t="shared" si="3"/>
        <v>0</v>
      </c>
      <c r="CE62" s="75">
        <f t="shared" si="6"/>
        <v>2726</v>
      </c>
      <c r="CF62" s="69" t="str">
        <f t="shared" si="6"/>
        <v>صيدلة اكلينيكى</v>
      </c>
    </row>
    <row r="63" spans="1:84" ht="18.75" x14ac:dyDescent="0.25">
      <c r="B63" s="70">
        <v>5051</v>
      </c>
      <c r="C63" s="70">
        <v>2727</v>
      </c>
      <c r="D63" s="71" t="s">
        <v>132</v>
      </c>
      <c r="E63" s="171" t="s">
        <v>3570</v>
      </c>
      <c r="G63" s="73"/>
      <c r="H63" s="73">
        <v>3000</v>
      </c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94">
        <f t="shared" si="0"/>
        <v>3000</v>
      </c>
      <c r="AS63" s="73">
        <v>3000</v>
      </c>
      <c r="AT63" s="73"/>
      <c r="AU63" s="73"/>
      <c r="AV63" s="73"/>
      <c r="AW63" s="73"/>
      <c r="AX63" s="73"/>
      <c r="AY63" s="73"/>
      <c r="AZ63" s="73"/>
      <c r="BA63" s="73"/>
      <c r="BB63" s="73"/>
      <c r="BC63" s="69"/>
      <c r="BD63" s="69"/>
      <c r="CC63" s="94">
        <f t="shared" si="2"/>
        <v>3000</v>
      </c>
      <c r="CD63" s="73">
        <f t="shared" si="3"/>
        <v>0</v>
      </c>
      <c r="CE63" s="75">
        <f t="shared" si="6"/>
        <v>2727</v>
      </c>
      <c r="CF63" s="69" t="str">
        <f t="shared" si="6"/>
        <v>صيدلة اكلينيكى</v>
      </c>
    </row>
    <row r="64" spans="1:84" ht="18.75" x14ac:dyDescent="0.25">
      <c r="B64" s="70">
        <v>4813</v>
      </c>
      <c r="C64" s="70">
        <v>2728</v>
      </c>
      <c r="D64" s="71" t="s">
        <v>132</v>
      </c>
      <c r="E64" s="171" t="s">
        <v>3245</v>
      </c>
      <c r="G64" s="73">
        <v>10499.81</v>
      </c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94">
        <f t="shared" si="0"/>
        <v>10499.81</v>
      </c>
      <c r="AS64" s="73">
        <v>8027.2</v>
      </c>
      <c r="AT64" s="73">
        <v>45.2</v>
      </c>
      <c r="AU64" s="73">
        <v>2427.41</v>
      </c>
      <c r="AV64" s="73"/>
      <c r="AW64" s="73"/>
      <c r="AX64" s="73"/>
      <c r="AY64" s="73"/>
      <c r="AZ64" s="73"/>
      <c r="BA64" s="73"/>
      <c r="BB64" s="73"/>
      <c r="BC64" s="69"/>
      <c r="BD64" s="69"/>
      <c r="CC64" s="94">
        <f t="shared" si="2"/>
        <v>10499.81</v>
      </c>
      <c r="CD64" s="73">
        <f t="shared" si="3"/>
        <v>0</v>
      </c>
      <c r="CE64" s="75">
        <f t="shared" si="6"/>
        <v>2728</v>
      </c>
      <c r="CF64" s="69" t="str">
        <f t="shared" si="6"/>
        <v>صيدلة اكلينيكى</v>
      </c>
    </row>
    <row r="65" spans="2:84" ht="18.75" x14ac:dyDescent="0.25">
      <c r="B65" s="70">
        <v>4811</v>
      </c>
      <c r="C65" s="70">
        <v>2729</v>
      </c>
      <c r="D65" s="71" t="s">
        <v>132</v>
      </c>
      <c r="E65" s="171" t="s">
        <v>3245</v>
      </c>
      <c r="G65" s="73">
        <v>26731.54</v>
      </c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94">
        <f t="shared" si="0"/>
        <v>26731.54</v>
      </c>
      <c r="AS65" s="73">
        <v>22296.38</v>
      </c>
      <c r="AT65" s="73">
        <v>135.9</v>
      </c>
      <c r="AU65" s="73">
        <v>4299.26</v>
      </c>
      <c r="AV65" s="73"/>
      <c r="AW65" s="73"/>
      <c r="AX65" s="73"/>
      <c r="AY65" s="73"/>
      <c r="AZ65" s="73"/>
      <c r="BA65" s="73"/>
      <c r="BB65" s="73"/>
      <c r="BC65" s="69"/>
      <c r="BD65" s="69"/>
      <c r="CC65" s="94">
        <f t="shared" si="2"/>
        <v>26731.54</v>
      </c>
      <c r="CD65" s="73">
        <f t="shared" si="3"/>
        <v>0</v>
      </c>
      <c r="CE65" s="75">
        <f t="shared" si="6"/>
        <v>2729</v>
      </c>
      <c r="CF65" s="69" t="str">
        <f t="shared" si="6"/>
        <v>صيدلة اكلينيكى</v>
      </c>
    </row>
    <row r="66" spans="2:84" ht="18.75" x14ac:dyDescent="0.25">
      <c r="B66" s="70">
        <v>4812</v>
      </c>
      <c r="C66" s="70">
        <v>2730</v>
      </c>
      <c r="D66" s="71" t="s">
        <v>132</v>
      </c>
      <c r="E66" s="171" t="s">
        <v>3245</v>
      </c>
      <c r="G66" s="73">
        <v>29790.19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94">
        <f t="shared" si="0"/>
        <v>29790.19</v>
      </c>
      <c r="AS66" s="73">
        <v>22936.74</v>
      </c>
      <c r="AT66" s="73">
        <v>128.6</v>
      </c>
      <c r="AU66" s="73">
        <v>6724.85</v>
      </c>
      <c r="AV66" s="73"/>
      <c r="AW66" s="73"/>
      <c r="AX66" s="73"/>
      <c r="AY66" s="73"/>
      <c r="AZ66" s="73"/>
      <c r="BA66" s="73"/>
      <c r="BB66" s="73"/>
      <c r="BC66" s="69"/>
      <c r="BD66" s="69"/>
      <c r="CC66" s="94">
        <f t="shared" si="2"/>
        <v>29790.190000000002</v>
      </c>
      <c r="CD66" s="73">
        <f t="shared" si="3"/>
        <v>0</v>
      </c>
      <c r="CE66" s="75">
        <f t="shared" si="6"/>
        <v>2730</v>
      </c>
      <c r="CF66" s="69" t="str">
        <f t="shared" si="6"/>
        <v>صيدلة اكلينيكى</v>
      </c>
    </row>
    <row r="67" spans="2:84" ht="18.75" x14ac:dyDescent="0.25">
      <c r="B67" s="70">
        <v>5148</v>
      </c>
      <c r="C67" s="70">
        <v>2731</v>
      </c>
      <c r="D67" s="71" t="s">
        <v>132</v>
      </c>
      <c r="E67" s="171" t="s">
        <v>3571</v>
      </c>
      <c r="G67" s="73">
        <v>1758.75</v>
      </c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94">
        <f t="shared" si="0"/>
        <v>1758.75</v>
      </c>
      <c r="AS67" s="73">
        <v>1174.1199999999999</v>
      </c>
      <c r="AT67" s="73">
        <f>150+10.88</f>
        <v>160.88</v>
      </c>
      <c r="AU67" s="73">
        <v>423.75</v>
      </c>
      <c r="AV67" s="73"/>
      <c r="AW67" s="73"/>
      <c r="AX67" s="73"/>
      <c r="AY67" s="73"/>
      <c r="AZ67" s="73"/>
      <c r="BA67" s="73"/>
      <c r="BB67" s="73"/>
      <c r="BC67" s="69"/>
      <c r="BD67" s="69"/>
      <c r="CC67" s="94">
        <f t="shared" si="2"/>
        <v>1758.75</v>
      </c>
      <c r="CD67" s="73">
        <f t="shared" si="3"/>
        <v>0</v>
      </c>
      <c r="CE67" s="75">
        <f t="shared" si="6"/>
        <v>2731</v>
      </c>
      <c r="CF67" s="69" t="str">
        <f t="shared" si="6"/>
        <v>صيدلة اكلينيكى</v>
      </c>
    </row>
    <row r="68" spans="2:84" ht="18.75" x14ac:dyDescent="0.25">
      <c r="B68" s="70">
        <v>4810</v>
      </c>
      <c r="C68" s="70">
        <v>2732</v>
      </c>
      <c r="D68" s="71" t="s">
        <v>132</v>
      </c>
      <c r="E68" s="171" t="s">
        <v>3572</v>
      </c>
      <c r="G68" s="73">
        <v>1632.58</v>
      </c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94">
        <f t="shared" si="0"/>
        <v>1632.58</v>
      </c>
      <c r="AS68" s="73">
        <v>1238.1099999999999</v>
      </c>
      <c r="AT68" s="73">
        <v>37.4</v>
      </c>
      <c r="AU68" s="73">
        <v>357.07</v>
      </c>
      <c r="AV68" s="73"/>
      <c r="AW68" s="73"/>
      <c r="AX68" s="73"/>
      <c r="AY68" s="73"/>
      <c r="AZ68" s="73"/>
      <c r="BA68" s="73"/>
      <c r="BB68" s="73"/>
      <c r="BC68" s="69"/>
      <c r="BD68" s="69"/>
      <c r="CC68" s="94">
        <f t="shared" si="2"/>
        <v>1632.58</v>
      </c>
      <c r="CD68" s="73">
        <f t="shared" si="3"/>
        <v>0</v>
      </c>
      <c r="CE68" s="75">
        <f t="shared" si="6"/>
        <v>2732</v>
      </c>
      <c r="CF68" s="69" t="str">
        <f t="shared" si="6"/>
        <v>صيدلة اكلينيكى</v>
      </c>
    </row>
    <row r="69" spans="2:84" ht="18.75" x14ac:dyDescent="0.25">
      <c r="B69" s="70">
        <v>2715</v>
      </c>
      <c r="C69" s="70">
        <v>2733</v>
      </c>
      <c r="D69" s="71" t="s">
        <v>123</v>
      </c>
      <c r="E69" s="171" t="s">
        <v>1562</v>
      </c>
      <c r="G69" s="73">
        <v>400</v>
      </c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94">
        <f t="shared" si="0"/>
        <v>400</v>
      </c>
      <c r="AS69" s="73">
        <v>302.16000000000003</v>
      </c>
      <c r="AT69" s="73">
        <v>77.84</v>
      </c>
      <c r="AU69" s="73"/>
      <c r="AV69" s="73">
        <v>20</v>
      </c>
      <c r="AW69" s="73"/>
      <c r="AX69" s="73"/>
      <c r="AY69" s="73"/>
      <c r="AZ69" s="73"/>
      <c r="BA69" s="73"/>
      <c r="BB69" s="73"/>
      <c r="BC69" s="69"/>
      <c r="BD69" s="69"/>
      <c r="CC69" s="94">
        <f t="shared" si="2"/>
        <v>400</v>
      </c>
      <c r="CD69" s="73">
        <f t="shared" si="3"/>
        <v>0</v>
      </c>
      <c r="CE69" s="75">
        <f t="shared" si="6"/>
        <v>2733</v>
      </c>
      <c r="CF69" s="69" t="str">
        <f t="shared" si="6"/>
        <v>خ ت اسنان</v>
      </c>
    </row>
    <row r="70" spans="2:84" ht="18.75" x14ac:dyDescent="0.25">
      <c r="B70" s="70">
        <v>4208</v>
      </c>
      <c r="C70" s="70">
        <v>2734</v>
      </c>
      <c r="D70" s="71" t="s">
        <v>123</v>
      </c>
      <c r="E70" s="171" t="s">
        <v>425</v>
      </c>
      <c r="G70" s="73">
        <v>500</v>
      </c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94">
        <f t="shared" si="0"/>
        <v>500</v>
      </c>
      <c r="AS70" s="73">
        <v>377.64</v>
      </c>
      <c r="AT70" s="73">
        <v>97.36</v>
      </c>
      <c r="AU70" s="73"/>
      <c r="AV70" s="73">
        <v>25</v>
      </c>
      <c r="AW70" s="73"/>
      <c r="AX70" s="73"/>
      <c r="AY70" s="73"/>
      <c r="AZ70" s="73"/>
      <c r="BA70" s="73"/>
      <c r="BB70" s="73"/>
      <c r="BC70" s="69"/>
      <c r="BD70" s="69"/>
      <c r="CC70" s="94">
        <f t="shared" si="2"/>
        <v>500</v>
      </c>
      <c r="CD70" s="73">
        <f t="shared" si="3"/>
        <v>0</v>
      </c>
      <c r="CE70" s="75">
        <f t="shared" si="6"/>
        <v>2734</v>
      </c>
      <c r="CF70" s="69" t="str">
        <f t="shared" si="6"/>
        <v>خ ت اسنان</v>
      </c>
    </row>
    <row r="71" spans="2:84" ht="18.75" x14ac:dyDescent="0.25">
      <c r="B71" s="70">
        <v>2717</v>
      </c>
      <c r="C71" s="70">
        <v>2735</v>
      </c>
      <c r="D71" s="71" t="s">
        <v>123</v>
      </c>
      <c r="E71" s="171" t="str">
        <f>+E69</f>
        <v>مكافاه مناقشه ماجستير</v>
      </c>
      <c r="G71" s="73">
        <v>366.66</v>
      </c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94">
        <f t="shared" si="0"/>
        <v>366.66</v>
      </c>
      <c r="AS71" s="73">
        <v>276.98</v>
      </c>
      <c r="AT71" s="73">
        <v>71.349999999999994</v>
      </c>
      <c r="AU71" s="73"/>
      <c r="AV71" s="73">
        <v>18.329999999999998</v>
      </c>
      <c r="AW71" s="73"/>
      <c r="AX71" s="73"/>
      <c r="AY71" s="73"/>
      <c r="AZ71" s="73"/>
      <c r="BA71" s="73"/>
      <c r="BB71" s="73"/>
      <c r="BC71" s="69"/>
      <c r="BD71" s="69"/>
      <c r="CC71" s="94">
        <f t="shared" si="2"/>
        <v>366.66</v>
      </c>
      <c r="CD71" s="73">
        <f t="shared" si="3"/>
        <v>0</v>
      </c>
      <c r="CE71" s="75">
        <f t="shared" si="6"/>
        <v>2735</v>
      </c>
      <c r="CF71" s="69" t="str">
        <f t="shared" si="6"/>
        <v>خ ت اسنان</v>
      </c>
    </row>
    <row r="72" spans="2:84" ht="18.75" x14ac:dyDescent="0.25">
      <c r="B72" s="70">
        <v>2734</v>
      </c>
      <c r="C72" s="70">
        <v>2736</v>
      </c>
      <c r="D72" s="71" t="s">
        <v>123</v>
      </c>
      <c r="E72" s="171" t="s">
        <v>1562</v>
      </c>
      <c r="G72" s="73">
        <v>400</v>
      </c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94">
        <f t="shared" si="0"/>
        <v>400</v>
      </c>
      <c r="AS72" s="73">
        <v>302.16000000000003</v>
      </c>
      <c r="AT72" s="73">
        <v>77.84</v>
      </c>
      <c r="AU72" s="73"/>
      <c r="AV72" s="73">
        <v>20</v>
      </c>
      <c r="AW72" s="73"/>
      <c r="AX72" s="73"/>
      <c r="AY72" s="73"/>
      <c r="AZ72" s="73"/>
      <c r="BA72" s="73"/>
      <c r="BB72" s="73"/>
      <c r="BC72" s="69"/>
      <c r="BD72" s="69"/>
      <c r="CC72" s="94">
        <f t="shared" si="2"/>
        <v>400</v>
      </c>
      <c r="CD72" s="73">
        <f t="shared" si="3"/>
        <v>0</v>
      </c>
      <c r="CE72" s="75">
        <f t="shared" si="6"/>
        <v>2736</v>
      </c>
      <c r="CF72" s="69" t="str">
        <f t="shared" si="6"/>
        <v>خ ت اسنان</v>
      </c>
    </row>
    <row r="73" spans="2:84" ht="18.75" x14ac:dyDescent="0.25">
      <c r="B73" s="78" t="s">
        <v>3573</v>
      </c>
      <c r="C73" s="70">
        <v>2737</v>
      </c>
      <c r="D73" s="71" t="s">
        <v>123</v>
      </c>
      <c r="E73" s="173" t="s">
        <v>3574</v>
      </c>
      <c r="G73" s="73">
        <v>300</v>
      </c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94">
        <f t="shared" si="0"/>
        <v>300</v>
      </c>
      <c r="AS73" s="73">
        <v>254.1</v>
      </c>
      <c r="AT73" s="73">
        <v>30.9</v>
      </c>
      <c r="AU73" s="73"/>
      <c r="AV73" s="73">
        <v>15</v>
      </c>
      <c r="AW73" s="73"/>
      <c r="AX73" s="73"/>
      <c r="AY73" s="73"/>
      <c r="AZ73" s="73"/>
      <c r="BA73" s="73"/>
      <c r="BB73" s="73"/>
      <c r="BC73" s="69"/>
      <c r="BD73" s="69"/>
      <c r="CC73" s="94">
        <f t="shared" si="2"/>
        <v>300</v>
      </c>
      <c r="CD73" s="73">
        <f t="shared" si="3"/>
        <v>0</v>
      </c>
      <c r="CE73" s="75">
        <f t="shared" si="6"/>
        <v>2737</v>
      </c>
      <c r="CF73" s="69" t="str">
        <f t="shared" si="6"/>
        <v>خ ت اسنان</v>
      </c>
    </row>
    <row r="74" spans="2:84" ht="18.75" x14ac:dyDescent="0.25">
      <c r="B74" s="78">
        <v>5026</v>
      </c>
      <c r="C74" s="70">
        <v>2738</v>
      </c>
      <c r="D74" s="71" t="s">
        <v>123</v>
      </c>
      <c r="E74" s="173" t="s">
        <v>3575</v>
      </c>
      <c r="G74" s="73">
        <v>900</v>
      </c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94">
        <f t="shared" si="0"/>
        <v>900</v>
      </c>
      <c r="AS74" s="73">
        <v>759.8</v>
      </c>
      <c r="AT74" s="73">
        <v>95.2</v>
      </c>
      <c r="AU74" s="73"/>
      <c r="AV74" s="73">
        <v>45</v>
      </c>
      <c r="AW74" s="73"/>
      <c r="AX74" s="73"/>
      <c r="AY74" s="73"/>
      <c r="AZ74" s="73"/>
      <c r="BA74" s="73"/>
      <c r="BB74" s="73"/>
      <c r="BC74" s="69"/>
      <c r="BD74" s="69"/>
      <c r="CC74" s="94">
        <f t="shared" si="2"/>
        <v>900</v>
      </c>
      <c r="CD74" s="73">
        <f t="shared" si="3"/>
        <v>0</v>
      </c>
      <c r="CE74" s="75">
        <f t="shared" si="6"/>
        <v>2738</v>
      </c>
      <c r="CF74" s="69" t="str">
        <f t="shared" si="6"/>
        <v>خ ت اسنان</v>
      </c>
    </row>
    <row r="75" spans="2:84" ht="18.75" x14ac:dyDescent="0.25">
      <c r="B75" s="78">
        <v>5083</v>
      </c>
      <c r="C75" s="70">
        <v>2739</v>
      </c>
      <c r="D75" s="71" t="s">
        <v>332</v>
      </c>
      <c r="E75" s="173" t="s">
        <v>899</v>
      </c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94">
        <f t="shared" si="0"/>
        <v>0</v>
      </c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69"/>
      <c r="BD75" s="69"/>
      <c r="CC75" s="94">
        <f t="shared" si="2"/>
        <v>0</v>
      </c>
      <c r="CD75" s="73">
        <f t="shared" si="3"/>
        <v>0</v>
      </c>
      <c r="CE75" s="75">
        <f t="shared" si="6"/>
        <v>2739</v>
      </c>
      <c r="CF75" s="69" t="str">
        <f t="shared" si="6"/>
        <v xml:space="preserve">لاب فقط </v>
      </c>
    </row>
    <row r="76" spans="2:84" ht="18.75" x14ac:dyDescent="0.25">
      <c r="B76" s="78">
        <v>5072</v>
      </c>
      <c r="C76" s="70">
        <v>2740</v>
      </c>
      <c r="D76" s="71" t="s">
        <v>123</v>
      </c>
      <c r="E76" s="173" t="s">
        <v>3576</v>
      </c>
      <c r="G76" s="73">
        <v>20000</v>
      </c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94">
        <f t="shared" si="0"/>
        <v>20000</v>
      </c>
      <c r="AS76" s="73">
        <v>16841.2</v>
      </c>
      <c r="AT76" s="73">
        <v>2158.8000000000002</v>
      </c>
      <c r="AU76" s="73"/>
      <c r="AV76" s="73">
        <v>1000</v>
      </c>
      <c r="AW76" s="73"/>
      <c r="AX76" s="73"/>
      <c r="AY76" s="73"/>
      <c r="AZ76" s="73"/>
      <c r="BA76" s="73"/>
      <c r="BB76" s="73"/>
      <c r="BC76" s="69"/>
      <c r="BD76" s="69"/>
      <c r="CC76" s="94">
        <f t="shared" si="2"/>
        <v>20000</v>
      </c>
      <c r="CD76" s="73">
        <f t="shared" si="3"/>
        <v>0</v>
      </c>
      <c r="CE76" s="75">
        <f t="shared" si="6"/>
        <v>2740</v>
      </c>
      <c r="CF76" s="69" t="str">
        <f t="shared" si="6"/>
        <v>خ ت اسنان</v>
      </c>
    </row>
    <row r="77" spans="2:84" ht="18.75" x14ac:dyDescent="0.25">
      <c r="B77" s="78">
        <v>5071</v>
      </c>
      <c r="C77" s="70">
        <v>2741</v>
      </c>
      <c r="D77" s="71" t="s">
        <v>123</v>
      </c>
      <c r="E77" s="173" t="s">
        <v>3577</v>
      </c>
      <c r="G77" s="73">
        <v>401.22</v>
      </c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94">
        <f t="shared" si="0"/>
        <v>401.22</v>
      </c>
      <c r="AS77" s="73">
        <v>339.79</v>
      </c>
      <c r="AT77" s="73">
        <v>41.37</v>
      </c>
      <c r="AU77" s="73"/>
      <c r="AV77" s="73">
        <v>20.059999999999999</v>
      </c>
      <c r="AW77" s="73"/>
      <c r="AX77" s="73"/>
      <c r="AY77" s="73"/>
      <c r="AZ77" s="73"/>
      <c r="BA77" s="73"/>
      <c r="BB77" s="73"/>
      <c r="BC77" s="69"/>
      <c r="BD77" s="69"/>
      <c r="CC77" s="94">
        <f t="shared" si="2"/>
        <v>401.22</v>
      </c>
      <c r="CD77" s="73">
        <f t="shared" si="3"/>
        <v>0</v>
      </c>
      <c r="CE77" s="75">
        <f t="shared" si="6"/>
        <v>2741</v>
      </c>
      <c r="CF77" s="69" t="str">
        <f t="shared" si="6"/>
        <v>خ ت اسنان</v>
      </c>
    </row>
    <row r="78" spans="2:84" ht="18.75" x14ac:dyDescent="0.25">
      <c r="B78" s="78">
        <v>508</v>
      </c>
      <c r="C78" s="70">
        <v>2742</v>
      </c>
      <c r="D78" s="71" t="s">
        <v>123</v>
      </c>
      <c r="E78" s="173" t="s">
        <v>3578</v>
      </c>
      <c r="G78" s="73">
        <v>1000</v>
      </c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94">
        <f t="shared" si="0"/>
        <v>1000</v>
      </c>
      <c r="AS78" s="73">
        <v>844.1</v>
      </c>
      <c r="AT78" s="73">
        <v>105.9</v>
      </c>
      <c r="AU78" s="73"/>
      <c r="AV78" s="73">
        <v>50</v>
      </c>
      <c r="AW78" s="73"/>
      <c r="AX78" s="73"/>
      <c r="AY78" s="73"/>
      <c r="AZ78" s="73"/>
      <c r="BA78" s="73"/>
      <c r="BB78" s="73"/>
      <c r="BC78" s="69"/>
      <c r="BD78" s="69"/>
      <c r="CC78" s="94">
        <f t="shared" si="2"/>
        <v>1000</v>
      </c>
      <c r="CD78" s="73">
        <f t="shared" si="3"/>
        <v>0</v>
      </c>
      <c r="CE78" s="75">
        <f t="shared" si="6"/>
        <v>2742</v>
      </c>
      <c r="CF78" s="69" t="str">
        <f t="shared" si="6"/>
        <v>خ ت اسنان</v>
      </c>
    </row>
    <row r="79" spans="2:84" ht="18.75" x14ac:dyDescent="0.25">
      <c r="B79" s="78">
        <v>5087</v>
      </c>
      <c r="C79" s="70">
        <v>2743</v>
      </c>
      <c r="D79" s="71" t="s">
        <v>123</v>
      </c>
      <c r="E79" s="173" t="s">
        <v>3578</v>
      </c>
      <c r="G79" s="73">
        <v>4172.5</v>
      </c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94">
        <f t="shared" si="0"/>
        <v>4172.5</v>
      </c>
      <c r="AS79" s="73">
        <v>3267.1</v>
      </c>
      <c r="AT79" s="73">
        <v>422.9</v>
      </c>
      <c r="AU79" s="73">
        <v>282.5</v>
      </c>
      <c r="AV79" s="73">
        <v>200</v>
      </c>
      <c r="AW79" s="73"/>
      <c r="AX79" s="73"/>
      <c r="AY79" s="73"/>
      <c r="AZ79" s="73"/>
      <c r="BA79" s="73"/>
      <c r="BB79" s="73"/>
      <c r="BC79" s="69"/>
      <c r="BD79" s="69"/>
      <c r="CC79" s="94">
        <f>SUM(AS79:CB79)</f>
        <v>4172.5</v>
      </c>
      <c r="CD79" s="73">
        <f t="shared" si="3"/>
        <v>0</v>
      </c>
      <c r="CE79" s="75">
        <f t="shared" si="6"/>
        <v>2743</v>
      </c>
      <c r="CF79" s="69" t="str">
        <f t="shared" si="6"/>
        <v>خ ت اسنان</v>
      </c>
    </row>
    <row r="80" spans="2:84" ht="18.75" x14ac:dyDescent="0.25">
      <c r="B80" s="78">
        <v>5089</v>
      </c>
      <c r="C80" s="70">
        <v>2744</v>
      </c>
      <c r="D80" s="71" t="s">
        <v>123</v>
      </c>
      <c r="E80" s="173" t="s">
        <v>3579</v>
      </c>
      <c r="G80" s="73">
        <v>300</v>
      </c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94">
        <f t="shared" si="0"/>
        <v>300</v>
      </c>
      <c r="AS80" s="73">
        <v>253.35</v>
      </c>
      <c r="AT80" s="73">
        <v>31.65</v>
      </c>
      <c r="AU80" s="73"/>
      <c r="AV80" s="73">
        <v>15</v>
      </c>
      <c r="AW80" s="73"/>
      <c r="AX80" s="73"/>
      <c r="AY80" s="73"/>
      <c r="AZ80" s="73"/>
      <c r="BA80" s="73"/>
      <c r="BB80" s="73"/>
      <c r="BC80" s="69"/>
      <c r="BD80" s="69"/>
      <c r="CC80" s="94">
        <f t="shared" si="2"/>
        <v>300</v>
      </c>
      <c r="CD80" s="73">
        <f t="shared" si="3"/>
        <v>0</v>
      </c>
      <c r="CE80" s="75">
        <f t="shared" si="6"/>
        <v>2744</v>
      </c>
      <c r="CF80" s="69" t="str">
        <f t="shared" si="6"/>
        <v>خ ت اسنان</v>
      </c>
    </row>
    <row r="81" spans="2:84" ht="18.75" x14ac:dyDescent="0.25">
      <c r="B81" s="78">
        <v>5095</v>
      </c>
      <c r="C81" s="70">
        <v>2745</v>
      </c>
      <c r="D81" s="71" t="s">
        <v>123</v>
      </c>
      <c r="E81" s="173" t="s">
        <v>3580</v>
      </c>
      <c r="G81" s="73">
        <v>2655.44</v>
      </c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94">
        <f t="shared" si="0"/>
        <v>2655.44</v>
      </c>
      <c r="AS81" s="73">
        <v>2008.23</v>
      </c>
      <c r="AT81" s="73">
        <v>267.64999999999998</v>
      </c>
      <c r="AU81" s="73">
        <v>254.56</v>
      </c>
      <c r="AV81" s="73">
        <v>125</v>
      </c>
      <c r="AW81" s="73"/>
      <c r="AX81" s="73"/>
      <c r="AY81" s="73"/>
      <c r="AZ81" s="73"/>
      <c r="BA81" s="73"/>
      <c r="BB81" s="73"/>
      <c r="BC81" s="69"/>
      <c r="BD81" s="69"/>
      <c r="CC81" s="94">
        <f t="shared" si="2"/>
        <v>2655.44</v>
      </c>
      <c r="CD81" s="73">
        <f t="shared" si="3"/>
        <v>0</v>
      </c>
      <c r="CE81" s="75">
        <f t="shared" si="6"/>
        <v>2745</v>
      </c>
      <c r="CF81" s="69" t="str">
        <f t="shared" si="6"/>
        <v>خ ت اسنان</v>
      </c>
    </row>
    <row r="82" spans="2:84" ht="18.75" x14ac:dyDescent="0.25">
      <c r="B82" s="78">
        <v>5094</v>
      </c>
      <c r="C82" s="70">
        <v>2746</v>
      </c>
      <c r="D82" s="71" t="s">
        <v>123</v>
      </c>
      <c r="E82" s="173" t="s">
        <v>3580</v>
      </c>
      <c r="G82" s="73">
        <v>6332.12</v>
      </c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94">
        <f t="shared" si="0"/>
        <v>6332.12</v>
      </c>
      <c r="AS82" s="73">
        <v>4845.5200000000004</v>
      </c>
      <c r="AT82" s="73">
        <v>642.70000000000005</v>
      </c>
      <c r="AU82" s="73">
        <v>543.9</v>
      </c>
      <c r="AV82" s="73">
        <v>300</v>
      </c>
      <c r="AW82" s="73"/>
      <c r="AX82" s="73"/>
      <c r="AY82" s="73"/>
      <c r="AZ82" s="73"/>
      <c r="BA82" s="73"/>
      <c r="BB82" s="73"/>
      <c r="BC82" s="69"/>
      <c r="BD82" s="69"/>
      <c r="CC82" s="94">
        <f t="shared" si="2"/>
        <v>6332.12</v>
      </c>
      <c r="CD82" s="73">
        <f t="shared" si="3"/>
        <v>0</v>
      </c>
      <c r="CE82" s="75">
        <f t="shared" si="6"/>
        <v>2746</v>
      </c>
      <c r="CF82" s="69" t="str">
        <f t="shared" si="6"/>
        <v>خ ت اسنان</v>
      </c>
    </row>
    <row r="83" spans="2:84" ht="18.75" x14ac:dyDescent="0.25">
      <c r="B83" s="78">
        <v>5097</v>
      </c>
      <c r="C83" s="70">
        <v>2747</v>
      </c>
      <c r="D83" s="71" t="s">
        <v>123</v>
      </c>
      <c r="E83" s="173" t="s">
        <v>3580</v>
      </c>
      <c r="G83" s="73">
        <v>2716.09</v>
      </c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94">
        <f t="shared" si="0"/>
        <v>2716.09</v>
      </c>
      <c r="AS83" s="73">
        <v>1969.85</v>
      </c>
      <c r="AT83" s="73">
        <v>267.35000000000002</v>
      </c>
      <c r="AU83" s="73">
        <v>353.89</v>
      </c>
      <c r="AV83" s="73">
        <v>125</v>
      </c>
      <c r="AW83" s="73"/>
      <c r="AX83" s="73"/>
      <c r="AY83" s="73"/>
      <c r="AZ83" s="73"/>
      <c r="BA83" s="73"/>
      <c r="BB83" s="73"/>
      <c r="BC83" s="69"/>
      <c r="BD83" s="69"/>
      <c r="CC83" s="94">
        <f t="shared" si="2"/>
        <v>2716.0899999999997</v>
      </c>
      <c r="CD83" s="73">
        <f t="shared" si="3"/>
        <v>0</v>
      </c>
      <c r="CE83" s="75">
        <f t="shared" si="6"/>
        <v>2747</v>
      </c>
      <c r="CF83" s="69" t="str">
        <f t="shared" si="6"/>
        <v>خ ت اسنان</v>
      </c>
    </row>
    <row r="84" spans="2:84" ht="18.75" x14ac:dyDescent="0.25">
      <c r="B84" s="78">
        <v>5096</v>
      </c>
      <c r="C84" s="70">
        <v>2748</v>
      </c>
      <c r="D84" s="71" t="s">
        <v>123</v>
      </c>
      <c r="E84" s="173" t="s">
        <v>3580</v>
      </c>
      <c r="G84" s="73">
        <v>3763.91</v>
      </c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94">
        <f t="shared" si="0"/>
        <v>3763.91</v>
      </c>
      <c r="AS84" s="73">
        <v>2782.06</v>
      </c>
      <c r="AT84" s="73">
        <v>374.65</v>
      </c>
      <c r="AU84" s="73">
        <v>432.2</v>
      </c>
      <c r="AV84" s="73">
        <v>175</v>
      </c>
      <c r="AW84" s="73"/>
      <c r="AX84" s="73"/>
      <c r="AY84" s="73"/>
      <c r="AZ84" s="73"/>
      <c r="BA84" s="73"/>
      <c r="BB84" s="73"/>
      <c r="BC84" s="69"/>
      <c r="BD84" s="69"/>
      <c r="CC84" s="94">
        <f t="shared" si="2"/>
        <v>3763.91</v>
      </c>
      <c r="CD84" s="73">
        <f t="shared" si="3"/>
        <v>0</v>
      </c>
      <c r="CE84" s="75">
        <f t="shared" si="6"/>
        <v>2748</v>
      </c>
      <c r="CF84" s="69" t="str">
        <f t="shared" si="6"/>
        <v>خ ت اسنان</v>
      </c>
    </row>
    <row r="85" spans="2:84" ht="18.75" x14ac:dyDescent="0.25">
      <c r="B85" s="78">
        <v>5091</v>
      </c>
      <c r="C85" s="70">
        <v>2749</v>
      </c>
      <c r="D85" s="71" t="s">
        <v>123</v>
      </c>
      <c r="E85" s="173" t="s">
        <v>3581</v>
      </c>
      <c r="G85" s="73">
        <v>762.1</v>
      </c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94">
        <f t="shared" si="0"/>
        <v>762.1</v>
      </c>
      <c r="AS85" s="73">
        <v>575.78</v>
      </c>
      <c r="AT85" s="73">
        <v>71.53</v>
      </c>
      <c r="AU85" s="73">
        <v>79.099999999999994</v>
      </c>
      <c r="AV85" s="73">
        <v>35.69</v>
      </c>
      <c r="AW85" s="73"/>
      <c r="AX85" s="73"/>
      <c r="AY85" s="73"/>
      <c r="AZ85" s="73"/>
      <c r="BA85" s="73"/>
      <c r="BB85" s="73"/>
      <c r="BC85" s="69"/>
      <c r="BD85" s="69"/>
      <c r="CC85" s="94">
        <f t="shared" si="2"/>
        <v>762.09999999999991</v>
      </c>
      <c r="CD85" s="73">
        <f t="shared" si="3"/>
        <v>0</v>
      </c>
      <c r="CE85" s="75">
        <f t="shared" si="6"/>
        <v>2749</v>
      </c>
      <c r="CF85" s="69" t="str">
        <f t="shared" si="6"/>
        <v>خ ت اسنان</v>
      </c>
    </row>
    <row r="86" spans="2:84" ht="18.75" x14ac:dyDescent="0.25">
      <c r="B86" s="78">
        <v>5090</v>
      </c>
      <c r="C86" s="70">
        <v>2750</v>
      </c>
      <c r="D86" s="71" t="s">
        <v>123</v>
      </c>
      <c r="E86" s="173" t="s">
        <v>3581</v>
      </c>
      <c r="G86" s="73">
        <v>3145.66</v>
      </c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94">
        <f t="shared" si="0"/>
        <v>3145.66</v>
      </c>
      <c r="AS86" s="73">
        <v>2450.1799999999998</v>
      </c>
      <c r="AT86" s="73">
        <v>305.95</v>
      </c>
      <c r="AU86" s="73">
        <v>239.57</v>
      </c>
      <c r="AV86" s="73">
        <v>149.96</v>
      </c>
      <c r="AW86" s="73"/>
      <c r="AX86" s="73"/>
      <c r="AY86" s="73"/>
      <c r="AZ86" s="73"/>
      <c r="BA86" s="73"/>
      <c r="BB86" s="73"/>
      <c r="BC86" s="69"/>
      <c r="BD86" s="69"/>
      <c r="CC86" s="94">
        <f t="shared" si="2"/>
        <v>3145.66</v>
      </c>
      <c r="CD86" s="73">
        <f t="shared" si="3"/>
        <v>0</v>
      </c>
      <c r="CE86" s="75">
        <f t="shared" si="6"/>
        <v>2750</v>
      </c>
      <c r="CF86" s="69" t="str">
        <f t="shared" si="6"/>
        <v>خ ت اسنان</v>
      </c>
    </row>
    <row r="87" spans="2:84" ht="18.75" x14ac:dyDescent="0.25">
      <c r="B87" s="78">
        <v>5098</v>
      </c>
      <c r="C87" s="70">
        <v>2751</v>
      </c>
      <c r="D87" s="71" t="s">
        <v>123</v>
      </c>
      <c r="E87" s="173" t="s">
        <v>3582</v>
      </c>
      <c r="G87" s="73">
        <v>13018.92</v>
      </c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94">
        <f t="shared" si="0"/>
        <v>13018.92</v>
      </c>
      <c r="AS87" s="73">
        <v>10207.59</v>
      </c>
      <c r="AT87" s="73">
        <v>1336.5</v>
      </c>
      <c r="AU87" s="73">
        <v>849.83</v>
      </c>
      <c r="AV87" s="73">
        <v>625</v>
      </c>
      <c r="AW87" s="73"/>
      <c r="AX87" s="73"/>
      <c r="AY87" s="73"/>
      <c r="AZ87" s="73"/>
      <c r="BA87" s="73"/>
      <c r="BB87" s="73"/>
      <c r="BC87" s="69"/>
      <c r="BD87" s="69"/>
      <c r="CC87" s="94">
        <f t="shared" si="2"/>
        <v>13018.92</v>
      </c>
      <c r="CD87" s="73">
        <f t="shared" si="3"/>
        <v>0</v>
      </c>
      <c r="CE87" s="75">
        <f t="shared" si="6"/>
        <v>2751</v>
      </c>
      <c r="CF87" s="69" t="str">
        <f t="shared" si="6"/>
        <v>خ ت اسنان</v>
      </c>
    </row>
    <row r="88" spans="2:84" ht="18.75" x14ac:dyDescent="0.25">
      <c r="B88" s="78">
        <v>5099</v>
      </c>
      <c r="C88" s="70">
        <v>2752</v>
      </c>
      <c r="D88" s="71" t="s">
        <v>123</v>
      </c>
      <c r="E88" s="173" t="s">
        <v>3582</v>
      </c>
      <c r="G88" s="73">
        <v>12452.25</v>
      </c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94">
        <f t="shared" si="0"/>
        <v>12452.25</v>
      </c>
      <c r="AS88" s="73">
        <v>8060.04</v>
      </c>
      <c r="AT88" s="73">
        <v>1146.3499999999999</v>
      </c>
      <c r="AU88" s="73">
        <v>2705.86</v>
      </c>
      <c r="AV88" s="73">
        <v>540</v>
      </c>
      <c r="AW88" s="73"/>
      <c r="AX88" s="73"/>
      <c r="AY88" s="73"/>
      <c r="AZ88" s="73"/>
      <c r="BA88" s="73"/>
      <c r="BB88" s="73"/>
      <c r="BC88" s="69"/>
      <c r="BD88" s="69"/>
      <c r="CC88" s="94">
        <f t="shared" si="2"/>
        <v>12452.25</v>
      </c>
      <c r="CD88" s="73">
        <f t="shared" si="3"/>
        <v>0</v>
      </c>
      <c r="CE88" s="75">
        <f t="shared" si="6"/>
        <v>2752</v>
      </c>
      <c r="CF88" s="69" t="str">
        <f t="shared" si="6"/>
        <v>خ ت اسنان</v>
      </c>
    </row>
    <row r="89" spans="2:84" ht="18.75" x14ac:dyDescent="0.25">
      <c r="B89" s="78">
        <v>5100</v>
      </c>
      <c r="C89" s="70">
        <v>2753</v>
      </c>
      <c r="D89" s="71" t="s">
        <v>123</v>
      </c>
      <c r="E89" s="173" t="s">
        <v>3582</v>
      </c>
      <c r="G89" s="73">
        <v>938</v>
      </c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94">
        <f t="shared" si="0"/>
        <v>938</v>
      </c>
      <c r="AS89" s="73">
        <v>587.35</v>
      </c>
      <c r="AT89" s="73">
        <v>84.65</v>
      </c>
      <c r="AU89" s="73">
        <v>226</v>
      </c>
      <c r="AV89" s="73">
        <v>40</v>
      </c>
      <c r="AW89" s="73"/>
      <c r="AX89" s="73"/>
      <c r="AY89" s="73"/>
      <c r="AZ89" s="73"/>
      <c r="BA89" s="73"/>
      <c r="BB89" s="73"/>
      <c r="BC89" s="69"/>
      <c r="BD89" s="69"/>
      <c r="CC89" s="94">
        <f t="shared" si="2"/>
        <v>938</v>
      </c>
      <c r="CD89" s="73">
        <f t="shared" si="3"/>
        <v>0</v>
      </c>
      <c r="CE89" s="75">
        <f t="shared" si="6"/>
        <v>2753</v>
      </c>
      <c r="CF89" s="69" t="str">
        <f t="shared" si="6"/>
        <v>خ ت اسنان</v>
      </c>
    </row>
    <row r="90" spans="2:84" ht="18.75" x14ac:dyDescent="0.25">
      <c r="B90" s="78">
        <v>5101</v>
      </c>
      <c r="C90" s="70">
        <v>2754</v>
      </c>
      <c r="D90" s="71" t="s">
        <v>123</v>
      </c>
      <c r="E90" s="173" t="s">
        <v>3582</v>
      </c>
      <c r="G90" s="73">
        <v>46299.58</v>
      </c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94">
        <f t="shared" si="0"/>
        <v>46299.58</v>
      </c>
      <c r="AS90" s="73">
        <v>34886.33</v>
      </c>
      <c r="AT90" s="73">
        <v>4662.3999999999996</v>
      </c>
      <c r="AU90" s="73">
        <v>4575.59</v>
      </c>
      <c r="AV90" s="73">
        <v>2175.2600000000002</v>
      </c>
      <c r="AW90" s="73"/>
      <c r="AX90" s="73"/>
      <c r="AY90" s="73"/>
      <c r="AZ90" s="73"/>
      <c r="BA90" s="73"/>
      <c r="BB90" s="73"/>
      <c r="BC90" s="69"/>
      <c r="BD90" s="69"/>
      <c r="CC90" s="94">
        <f t="shared" si="2"/>
        <v>46299.580000000009</v>
      </c>
      <c r="CD90" s="73">
        <f t="shared" si="3"/>
        <v>0</v>
      </c>
      <c r="CE90" s="75">
        <f t="shared" si="6"/>
        <v>2754</v>
      </c>
      <c r="CF90" s="69" t="str">
        <f t="shared" si="6"/>
        <v>خ ت اسنان</v>
      </c>
    </row>
    <row r="91" spans="2:84" ht="18.75" x14ac:dyDescent="0.25">
      <c r="B91" s="78">
        <v>5104</v>
      </c>
      <c r="C91" s="70">
        <v>2755</v>
      </c>
      <c r="D91" s="71" t="s">
        <v>123</v>
      </c>
      <c r="E91" s="173" t="s">
        <v>3582</v>
      </c>
      <c r="G91" s="73">
        <v>24528.25</v>
      </c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94">
        <f t="shared" si="0"/>
        <v>24528.25</v>
      </c>
      <c r="AS91" s="73">
        <v>16191.3</v>
      </c>
      <c r="AT91" s="73">
        <v>2293.6799999999998</v>
      </c>
      <c r="AU91" s="73">
        <v>4968.54</v>
      </c>
      <c r="AV91" s="73">
        <v>1074.73</v>
      </c>
      <c r="AW91" s="73"/>
      <c r="AX91" s="73"/>
      <c r="AY91" s="73"/>
      <c r="AZ91" s="73"/>
      <c r="BA91" s="73"/>
      <c r="BB91" s="73"/>
      <c r="BC91" s="69"/>
      <c r="BD91" s="69"/>
      <c r="CC91" s="94">
        <f t="shared" si="2"/>
        <v>24528.25</v>
      </c>
      <c r="CD91" s="73">
        <f t="shared" si="3"/>
        <v>0</v>
      </c>
      <c r="CE91" s="75">
        <f t="shared" si="6"/>
        <v>2755</v>
      </c>
      <c r="CF91" s="69" t="str">
        <f t="shared" si="6"/>
        <v>خ ت اسنان</v>
      </c>
    </row>
    <row r="92" spans="2:84" ht="18.75" x14ac:dyDescent="0.25">
      <c r="B92" s="78">
        <v>5092</v>
      </c>
      <c r="C92" s="70">
        <v>2756</v>
      </c>
      <c r="D92" s="71" t="s">
        <v>123</v>
      </c>
      <c r="E92" s="173" t="str">
        <f>+E85</f>
        <v>مكافاه خ ت اغسطس</v>
      </c>
      <c r="G92" s="73">
        <v>75</v>
      </c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94">
        <f t="shared" si="0"/>
        <v>75</v>
      </c>
      <c r="AS92" s="73">
        <v>63.6</v>
      </c>
      <c r="AT92" s="73">
        <v>7.65</v>
      </c>
      <c r="AU92" s="73"/>
      <c r="AV92" s="73">
        <v>3.75</v>
      </c>
      <c r="AW92" s="73"/>
      <c r="AX92" s="73"/>
      <c r="AY92" s="73"/>
      <c r="AZ92" s="73"/>
      <c r="BA92" s="73"/>
      <c r="BB92" s="73"/>
      <c r="BC92" s="69"/>
      <c r="BD92" s="69"/>
      <c r="CC92" s="94">
        <f t="shared" si="2"/>
        <v>75</v>
      </c>
      <c r="CD92" s="73">
        <f t="shared" si="3"/>
        <v>0</v>
      </c>
      <c r="CE92" s="75">
        <f t="shared" si="6"/>
        <v>2756</v>
      </c>
      <c r="CF92" s="69" t="str">
        <f t="shared" si="6"/>
        <v>خ ت اسنان</v>
      </c>
    </row>
    <row r="93" spans="2:84" ht="18.75" x14ac:dyDescent="0.25">
      <c r="B93" s="78">
        <v>5084</v>
      </c>
      <c r="C93" s="70">
        <v>2757</v>
      </c>
      <c r="D93" s="71" t="s">
        <v>123</v>
      </c>
      <c r="E93" s="173" t="s">
        <v>3583</v>
      </c>
      <c r="G93" s="73">
        <v>1172.5</v>
      </c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94">
        <f t="shared" si="0"/>
        <v>1172.5</v>
      </c>
      <c r="AS93" s="73">
        <v>734.1</v>
      </c>
      <c r="AT93" s="73">
        <v>105.9</v>
      </c>
      <c r="AU93" s="73">
        <v>282.5</v>
      </c>
      <c r="AV93" s="73">
        <v>50</v>
      </c>
      <c r="AW93" s="73"/>
      <c r="AX93" s="73"/>
      <c r="AY93" s="73"/>
      <c r="AZ93" s="73"/>
      <c r="BA93" s="73"/>
      <c r="BB93" s="73"/>
      <c r="BC93" s="69"/>
      <c r="BD93" s="69"/>
      <c r="CC93" s="94">
        <f t="shared" si="2"/>
        <v>1172.5</v>
      </c>
      <c r="CD93" s="73">
        <f t="shared" si="3"/>
        <v>0</v>
      </c>
      <c r="CE93" s="75">
        <f t="shared" si="6"/>
        <v>2757</v>
      </c>
      <c r="CF93" s="69" t="str">
        <f t="shared" si="6"/>
        <v>خ ت اسنان</v>
      </c>
    </row>
    <row r="94" spans="2:84" x14ac:dyDescent="0.25">
      <c r="B94" s="78">
        <v>5070</v>
      </c>
      <c r="C94" s="70">
        <v>2758</v>
      </c>
      <c r="D94" s="69" t="s">
        <v>124</v>
      </c>
      <c r="E94" s="173" t="s">
        <v>3584</v>
      </c>
      <c r="G94" s="73">
        <v>470.55</v>
      </c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94">
        <f t="shared" si="0"/>
        <v>470.55</v>
      </c>
      <c r="AS94" s="73">
        <v>398.02</v>
      </c>
      <c r="AT94" s="73">
        <v>49</v>
      </c>
      <c r="AU94" s="73"/>
      <c r="AV94" s="73">
        <v>23.53</v>
      </c>
      <c r="AW94" s="73"/>
      <c r="AX94" s="73"/>
      <c r="AY94" s="73"/>
      <c r="AZ94" s="73"/>
      <c r="BA94" s="73"/>
      <c r="BB94" s="73"/>
      <c r="BC94" s="69"/>
      <c r="BD94" s="69"/>
      <c r="CC94" s="94">
        <f t="shared" si="2"/>
        <v>470.54999999999995</v>
      </c>
      <c r="CD94" s="73">
        <f t="shared" si="3"/>
        <v>0</v>
      </c>
      <c r="CE94" s="75">
        <f t="shared" si="6"/>
        <v>2758</v>
      </c>
      <c r="CF94" s="69" t="str">
        <f t="shared" si="6"/>
        <v>تكافل اسنان</v>
      </c>
    </row>
    <row r="95" spans="2:84" x14ac:dyDescent="0.25">
      <c r="B95" s="78">
        <v>3182</v>
      </c>
      <c r="C95" s="70">
        <v>2759</v>
      </c>
      <c r="D95" s="69" t="s">
        <v>249</v>
      </c>
      <c r="E95" s="173" t="s">
        <v>3585</v>
      </c>
      <c r="G95" s="73">
        <v>8325.5</v>
      </c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94">
        <f t="shared" si="0"/>
        <v>8325.5</v>
      </c>
      <c r="AS95" s="73">
        <v>6338.09</v>
      </c>
      <c r="AT95" s="73">
        <v>1571.14</v>
      </c>
      <c r="AU95" s="73"/>
      <c r="AV95" s="73">
        <v>416.27</v>
      </c>
      <c r="AW95" s="73"/>
      <c r="AX95" s="73"/>
      <c r="AY95" s="73"/>
      <c r="AZ95" s="73"/>
      <c r="BA95" s="73"/>
      <c r="BB95" s="73"/>
      <c r="BC95" s="69"/>
      <c r="BD95" s="69"/>
      <c r="CC95" s="94">
        <f t="shared" si="2"/>
        <v>8325.5</v>
      </c>
      <c r="CD95" s="73">
        <f t="shared" si="3"/>
        <v>0</v>
      </c>
      <c r="CE95" s="75">
        <f t="shared" si="6"/>
        <v>2759</v>
      </c>
      <c r="CF95" s="69" t="str">
        <f t="shared" si="6"/>
        <v>خدمة عامة</v>
      </c>
    </row>
    <row r="96" spans="2:84" x14ac:dyDescent="0.25">
      <c r="B96" s="78">
        <v>5023</v>
      </c>
      <c r="C96" s="70">
        <v>2760</v>
      </c>
      <c r="D96" s="69" t="s">
        <v>78</v>
      </c>
      <c r="E96" s="173" t="s">
        <v>1229</v>
      </c>
      <c r="G96" s="73">
        <v>815.64</v>
      </c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94">
        <f t="shared" si="0"/>
        <v>815.64</v>
      </c>
      <c r="AS96" s="73">
        <v>552.21</v>
      </c>
      <c r="AT96" s="73">
        <v>74.05</v>
      </c>
      <c r="AU96" s="73">
        <v>189.38</v>
      </c>
      <c r="AV96" s="73"/>
      <c r="AW96" s="73"/>
      <c r="AX96" s="73"/>
      <c r="AY96" s="73"/>
      <c r="AZ96" s="73"/>
      <c r="BA96" s="73"/>
      <c r="BB96" s="73"/>
      <c r="BC96" s="69"/>
      <c r="BD96" s="69"/>
      <c r="CC96" s="94">
        <f t="shared" si="2"/>
        <v>815.64</v>
      </c>
      <c r="CD96" s="73">
        <f t="shared" si="3"/>
        <v>0</v>
      </c>
      <c r="CE96" s="75">
        <f t="shared" si="6"/>
        <v>2760</v>
      </c>
      <c r="CF96" s="69" t="str">
        <f t="shared" si="6"/>
        <v>برنامج دولى</v>
      </c>
    </row>
    <row r="97" spans="2:84" x14ac:dyDescent="0.25">
      <c r="B97" s="78">
        <v>5022</v>
      </c>
      <c r="C97" s="70">
        <v>2761</v>
      </c>
      <c r="D97" s="69" t="s">
        <v>78</v>
      </c>
      <c r="E97" s="173" t="s">
        <v>1229</v>
      </c>
      <c r="G97" s="73">
        <v>1450</v>
      </c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94">
        <f t="shared" si="0"/>
        <v>1450</v>
      </c>
      <c r="AS97" s="73">
        <v>1295.55</v>
      </c>
      <c r="AT97" s="73">
        <v>154.44999999999999</v>
      </c>
      <c r="AU97" s="73"/>
      <c r="AV97" s="73"/>
      <c r="AW97" s="73"/>
      <c r="AX97" s="73"/>
      <c r="AY97" s="73"/>
      <c r="AZ97" s="73"/>
      <c r="BA97" s="73"/>
      <c r="BB97" s="73"/>
      <c r="BC97" s="69"/>
      <c r="BD97" s="69"/>
      <c r="CC97" s="94">
        <f t="shared" si="2"/>
        <v>1450</v>
      </c>
      <c r="CD97" s="73">
        <f t="shared" si="3"/>
        <v>0</v>
      </c>
      <c r="CE97" s="75">
        <f t="shared" si="6"/>
        <v>2761</v>
      </c>
      <c r="CF97" s="69" t="str">
        <f t="shared" si="6"/>
        <v>برنامج دولى</v>
      </c>
    </row>
    <row r="98" spans="2:84" x14ac:dyDescent="0.25">
      <c r="B98" s="78">
        <v>5021</v>
      </c>
      <c r="C98" s="70">
        <v>2762</v>
      </c>
      <c r="D98" s="69" t="s">
        <v>78</v>
      </c>
      <c r="E98" s="173" t="s">
        <v>3586</v>
      </c>
      <c r="G98" s="73">
        <v>450</v>
      </c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94">
        <f t="shared" ref="AR98:AR161" si="7">SUM(G98:AQ98)</f>
        <v>450</v>
      </c>
      <c r="AS98" s="73">
        <v>402.4</v>
      </c>
      <c r="AT98" s="73">
        <v>47.6</v>
      </c>
      <c r="AU98" s="73"/>
      <c r="AV98" s="73"/>
      <c r="AW98" s="73"/>
      <c r="AX98" s="73"/>
      <c r="AY98" s="73"/>
      <c r="AZ98" s="73"/>
      <c r="BA98" s="73"/>
      <c r="BB98" s="73"/>
      <c r="BC98" s="69"/>
      <c r="BD98" s="69"/>
      <c r="CC98" s="94">
        <f t="shared" si="2"/>
        <v>450</v>
      </c>
      <c r="CD98" s="73">
        <f t="shared" si="3"/>
        <v>0</v>
      </c>
      <c r="CE98" s="75">
        <f t="shared" si="6"/>
        <v>2762</v>
      </c>
      <c r="CF98" s="69" t="str">
        <f t="shared" si="6"/>
        <v>برنامج دولى</v>
      </c>
    </row>
    <row r="99" spans="2:84" x14ac:dyDescent="0.25">
      <c r="B99" s="78">
        <v>5020</v>
      </c>
      <c r="C99" s="70">
        <v>2763</v>
      </c>
      <c r="D99" s="69" t="s">
        <v>78</v>
      </c>
      <c r="E99" s="173" t="s">
        <v>3587</v>
      </c>
      <c r="G99" s="73">
        <v>300</v>
      </c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94">
        <f t="shared" si="7"/>
        <v>300</v>
      </c>
      <c r="AS99" s="73">
        <v>268.35000000000002</v>
      </c>
      <c r="AT99" s="73">
        <v>31.65</v>
      </c>
      <c r="AU99" s="73"/>
      <c r="AV99" s="73"/>
      <c r="AW99" s="73"/>
      <c r="AX99" s="73"/>
      <c r="AY99" s="73"/>
      <c r="AZ99" s="73"/>
      <c r="BA99" s="73"/>
      <c r="BB99" s="73"/>
      <c r="BC99" s="69"/>
      <c r="BD99" s="69"/>
      <c r="CC99" s="94">
        <f t="shared" si="2"/>
        <v>300</v>
      </c>
      <c r="CD99" s="73">
        <f t="shared" si="3"/>
        <v>0</v>
      </c>
      <c r="CE99" s="75">
        <f t="shared" si="6"/>
        <v>2763</v>
      </c>
      <c r="CF99" s="69" t="str">
        <f t="shared" si="6"/>
        <v>برنامج دولى</v>
      </c>
    </row>
    <row r="100" spans="2:84" x14ac:dyDescent="0.25">
      <c r="B100" s="78">
        <v>5019</v>
      </c>
      <c r="C100" s="70">
        <v>2764</v>
      </c>
      <c r="D100" s="69" t="s">
        <v>78</v>
      </c>
      <c r="E100" s="173" t="s">
        <v>3588</v>
      </c>
      <c r="G100" s="73">
        <v>1170.6199999999999</v>
      </c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94">
        <f t="shared" si="7"/>
        <v>1170.6199999999999</v>
      </c>
      <c r="AS100" s="73">
        <v>937.42</v>
      </c>
      <c r="AT100" s="73">
        <v>117.55</v>
      </c>
      <c r="AU100" s="73">
        <v>115.65</v>
      </c>
      <c r="AV100" s="73"/>
      <c r="AW100" s="73"/>
      <c r="AX100" s="73"/>
      <c r="AY100" s="73"/>
      <c r="AZ100" s="73"/>
      <c r="BA100" s="73"/>
      <c r="BB100" s="73"/>
      <c r="BC100" s="69"/>
      <c r="BD100" s="69"/>
      <c r="CC100" s="94">
        <f t="shared" ref="CC100:CC163" si="8">SUM(AS100:CB100)</f>
        <v>1170.6200000000001</v>
      </c>
      <c r="CD100" s="73">
        <f t="shared" ref="CD100:CD163" si="9">+CC100-AR100</f>
        <v>0</v>
      </c>
      <c r="CE100" s="75">
        <f t="shared" si="6"/>
        <v>2764</v>
      </c>
      <c r="CF100" s="69" t="str">
        <f t="shared" si="6"/>
        <v>برنامج دولى</v>
      </c>
    </row>
    <row r="101" spans="2:84" x14ac:dyDescent="0.25">
      <c r="B101" s="78">
        <v>5018</v>
      </c>
      <c r="C101" s="70">
        <v>2765</v>
      </c>
      <c r="D101" s="69" t="s">
        <v>78</v>
      </c>
      <c r="E101" s="173" t="s">
        <v>3588</v>
      </c>
      <c r="G101" s="73">
        <v>2382.54</v>
      </c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94">
        <f t="shared" si="7"/>
        <v>2382.54</v>
      </c>
      <c r="AS101" s="73">
        <v>1848.65</v>
      </c>
      <c r="AT101" s="73">
        <v>234.95</v>
      </c>
      <c r="AU101" s="73">
        <v>298.94</v>
      </c>
      <c r="AV101" s="73"/>
      <c r="AW101" s="73"/>
      <c r="AX101" s="73"/>
      <c r="AY101" s="73"/>
      <c r="AZ101" s="73"/>
      <c r="BA101" s="73"/>
      <c r="BB101" s="73"/>
      <c r="BC101" s="69"/>
      <c r="BD101" s="69"/>
      <c r="CC101" s="94">
        <f t="shared" si="8"/>
        <v>2382.54</v>
      </c>
      <c r="CD101" s="73">
        <f t="shared" si="9"/>
        <v>0</v>
      </c>
      <c r="CE101" s="75">
        <f t="shared" si="6"/>
        <v>2765</v>
      </c>
      <c r="CF101" s="69" t="str">
        <f t="shared" si="6"/>
        <v>برنامج دولى</v>
      </c>
    </row>
    <row r="102" spans="2:84" x14ac:dyDescent="0.25">
      <c r="B102" s="78">
        <v>5017</v>
      </c>
      <c r="C102" s="70">
        <v>2766</v>
      </c>
      <c r="D102" s="69" t="s">
        <v>78</v>
      </c>
      <c r="E102" s="173" t="s">
        <v>1650</v>
      </c>
      <c r="G102" s="73">
        <v>300</v>
      </c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94">
        <f t="shared" si="7"/>
        <v>300</v>
      </c>
      <c r="AS102" s="73">
        <v>268.35000000000002</v>
      </c>
      <c r="AT102" s="73">
        <v>31.65</v>
      </c>
      <c r="AU102" s="73"/>
      <c r="AV102" s="73"/>
      <c r="AW102" s="73"/>
      <c r="AX102" s="73"/>
      <c r="AY102" s="73"/>
      <c r="AZ102" s="73"/>
      <c r="BA102" s="73"/>
      <c r="BB102" s="73"/>
      <c r="BC102" s="69"/>
      <c r="BD102" s="69"/>
      <c r="CC102" s="94">
        <f t="shared" si="8"/>
        <v>300</v>
      </c>
      <c r="CD102" s="73">
        <f t="shared" si="9"/>
        <v>0</v>
      </c>
      <c r="CE102" s="75">
        <f t="shared" si="6"/>
        <v>2766</v>
      </c>
      <c r="CF102" s="69" t="str">
        <f t="shared" si="6"/>
        <v>برنامج دولى</v>
      </c>
    </row>
    <row r="103" spans="2:84" x14ac:dyDescent="0.25">
      <c r="B103" s="78">
        <v>5016</v>
      </c>
      <c r="C103" s="70">
        <v>2767</v>
      </c>
      <c r="D103" s="69" t="s">
        <v>78</v>
      </c>
      <c r="E103" s="173" t="s">
        <v>1654</v>
      </c>
      <c r="G103" s="73">
        <v>35000</v>
      </c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94">
        <f t="shared" si="7"/>
        <v>35000</v>
      </c>
      <c r="AS103" s="73">
        <v>31237</v>
      </c>
      <c r="AT103" s="73">
        <v>3763</v>
      </c>
      <c r="AU103" s="73"/>
      <c r="AV103" s="73"/>
      <c r="AW103" s="73"/>
      <c r="AX103" s="73"/>
      <c r="AY103" s="73"/>
      <c r="AZ103" s="73"/>
      <c r="BA103" s="73"/>
      <c r="BB103" s="73"/>
      <c r="BC103" s="69"/>
      <c r="BD103" s="69"/>
      <c r="CC103" s="94">
        <f t="shared" si="8"/>
        <v>35000</v>
      </c>
      <c r="CD103" s="73">
        <f t="shared" si="9"/>
        <v>0</v>
      </c>
      <c r="CE103" s="75">
        <f t="shared" si="6"/>
        <v>2767</v>
      </c>
      <c r="CF103" s="69" t="str">
        <f t="shared" si="6"/>
        <v>برنامج دولى</v>
      </c>
    </row>
    <row r="104" spans="2:84" x14ac:dyDescent="0.25">
      <c r="B104" s="78">
        <v>5014</v>
      </c>
      <c r="C104" s="70">
        <v>2768</v>
      </c>
      <c r="D104" s="69" t="s">
        <v>78</v>
      </c>
      <c r="E104" s="173" t="s">
        <v>3589</v>
      </c>
      <c r="G104" s="73">
        <v>3000</v>
      </c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94">
        <f t="shared" si="7"/>
        <v>3000</v>
      </c>
      <c r="AS104" s="73">
        <v>2680.05</v>
      </c>
      <c r="AT104" s="73">
        <v>319.95</v>
      </c>
      <c r="AU104" s="73"/>
      <c r="AV104" s="73"/>
      <c r="AW104" s="73"/>
      <c r="AX104" s="73"/>
      <c r="AY104" s="73"/>
      <c r="AZ104" s="73"/>
      <c r="BA104" s="73"/>
      <c r="BB104" s="73"/>
      <c r="BC104" s="69"/>
      <c r="BD104" s="69"/>
      <c r="CC104" s="94">
        <f t="shared" si="8"/>
        <v>3000</v>
      </c>
      <c r="CD104" s="73">
        <f t="shared" si="9"/>
        <v>0</v>
      </c>
      <c r="CE104" s="75">
        <f t="shared" si="6"/>
        <v>2768</v>
      </c>
      <c r="CF104" s="69" t="str">
        <f t="shared" si="6"/>
        <v>برنامج دولى</v>
      </c>
    </row>
    <row r="105" spans="2:84" x14ac:dyDescent="0.25">
      <c r="B105" s="78">
        <v>5015</v>
      </c>
      <c r="C105" s="70">
        <v>2769</v>
      </c>
      <c r="D105" s="69" t="s">
        <v>78</v>
      </c>
      <c r="E105" s="173" t="s">
        <v>3589</v>
      </c>
      <c r="G105" s="73">
        <v>1000</v>
      </c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94">
        <f t="shared" si="7"/>
        <v>1000</v>
      </c>
      <c r="AS105" s="73">
        <v>893.35</v>
      </c>
      <c r="AT105" s="73">
        <v>106.65</v>
      </c>
      <c r="AU105" s="73"/>
      <c r="AV105" s="73"/>
      <c r="AW105" s="73"/>
      <c r="AX105" s="73"/>
      <c r="AY105" s="73"/>
      <c r="AZ105" s="73"/>
      <c r="BA105" s="73"/>
      <c r="BB105" s="73"/>
      <c r="BC105" s="69"/>
      <c r="BD105" s="69"/>
      <c r="CC105" s="94">
        <f t="shared" si="8"/>
        <v>1000</v>
      </c>
      <c r="CD105" s="73">
        <f t="shared" si="9"/>
        <v>0</v>
      </c>
      <c r="CE105" s="75">
        <f t="shared" si="6"/>
        <v>2769</v>
      </c>
      <c r="CF105" s="69" t="str">
        <f t="shared" si="6"/>
        <v>برنامج دولى</v>
      </c>
    </row>
    <row r="106" spans="2:84" x14ac:dyDescent="0.25">
      <c r="B106" s="78">
        <v>5013</v>
      </c>
      <c r="C106" s="70">
        <v>2770</v>
      </c>
      <c r="D106" s="69" t="s">
        <v>78</v>
      </c>
      <c r="E106" s="173" t="str">
        <f>+E102</f>
        <v>مكافاه ماموريات محمد سعيد</v>
      </c>
      <c r="G106" s="73">
        <v>300</v>
      </c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94">
        <f t="shared" si="7"/>
        <v>300</v>
      </c>
      <c r="AS106" s="73">
        <v>268.35000000000002</v>
      </c>
      <c r="AT106" s="73">
        <v>31.65</v>
      </c>
      <c r="AU106" s="73"/>
      <c r="AV106" s="73"/>
      <c r="AW106" s="73"/>
      <c r="AX106" s="73"/>
      <c r="AY106" s="73"/>
      <c r="AZ106" s="73"/>
      <c r="BA106" s="73"/>
      <c r="BB106" s="73"/>
      <c r="BC106" s="69"/>
      <c r="BD106" s="69"/>
      <c r="CC106" s="94">
        <f t="shared" si="8"/>
        <v>300</v>
      </c>
      <c r="CD106" s="73">
        <f t="shared" si="9"/>
        <v>0</v>
      </c>
      <c r="CE106" s="75">
        <f t="shared" si="6"/>
        <v>2770</v>
      </c>
      <c r="CF106" s="69" t="str">
        <f t="shared" si="6"/>
        <v>برنامج دولى</v>
      </c>
    </row>
    <row r="107" spans="2:84" x14ac:dyDescent="0.25">
      <c r="B107" s="78">
        <v>5012</v>
      </c>
      <c r="C107" s="70">
        <v>2771</v>
      </c>
      <c r="D107" s="69" t="s">
        <v>78</v>
      </c>
      <c r="E107" s="173" t="s">
        <v>823</v>
      </c>
      <c r="G107" s="73">
        <v>300</v>
      </c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94">
        <f t="shared" si="7"/>
        <v>300</v>
      </c>
      <c r="AS107" s="73">
        <v>268.35000000000002</v>
      </c>
      <c r="AT107" s="73">
        <v>31.65</v>
      </c>
      <c r="AU107" s="73"/>
      <c r="AV107" s="73"/>
      <c r="AW107" s="73"/>
      <c r="AX107" s="73"/>
      <c r="AY107" s="73"/>
      <c r="AZ107" s="73"/>
      <c r="BA107" s="73"/>
      <c r="BB107" s="73"/>
      <c r="BC107" s="69"/>
      <c r="BD107" s="69"/>
      <c r="CC107" s="94">
        <f t="shared" si="8"/>
        <v>300</v>
      </c>
      <c r="CD107" s="73">
        <f t="shared" si="9"/>
        <v>0</v>
      </c>
      <c r="CE107" s="75">
        <f t="shared" si="6"/>
        <v>2771</v>
      </c>
      <c r="CF107" s="69" t="str">
        <f t="shared" si="6"/>
        <v>برنامج دولى</v>
      </c>
    </row>
    <row r="108" spans="2:84" x14ac:dyDescent="0.25">
      <c r="B108" s="78">
        <v>5011</v>
      </c>
      <c r="C108" s="70">
        <v>2772</v>
      </c>
      <c r="D108" s="69" t="s">
        <v>78</v>
      </c>
      <c r="E108" s="173" t="s">
        <v>3590</v>
      </c>
      <c r="G108" s="73">
        <v>360</v>
      </c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94">
        <f t="shared" si="7"/>
        <v>360</v>
      </c>
      <c r="AS108" s="73">
        <v>321.95</v>
      </c>
      <c r="AT108" s="73">
        <v>38.049999999999997</v>
      </c>
      <c r="AU108" s="73"/>
      <c r="AV108" s="73"/>
      <c r="AW108" s="73"/>
      <c r="AX108" s="73"/>
      <c r="AY108" s="73"/>
      <c r="AZ108" s="73"/>
      <c r="BA108" s="73"/>
      <c r="BB108" s="73"/>
      <c r="BC108" s="69"/>
      <c r="BD108" s="69"/>
      <c r="CC108" s="94">
        <f t="shared" si="8"/>
        <v>360</v>
      </c>
      <c r="CD108" s="73">
        <f t="shared" si="9"/>
        <v>0</v>
      </c>
      <c r="CE108" s="75">
        <f t="shared" si="6"/>
        <v>2772</v>
      </c>
      <c r="CF108" s="69" t="str">
        <f t="shared" si="6"/>
        <v>برنامج دولى</v>
      </c>
    </row>
    <row r="109" spans="2:84" x14ac:dyDescent="0.25">
      <c r="B109" s="78">
        <v>5010</v>
      </c>
      <c r="C109" s="70">
        <v>2773</v>
      </c>
      <c r="D109" s="69" t="s">
        <v>78</v>
      </c>
      <c r="E109" s="173" t="s">
        <v>3590</v>
      </c>
      <c r="G109" s="73">
        <v>550.35</v>
      </c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94">
        <f t="shared" si="7"/>
        <v>550.35</v>
      </c>
      <c r="AS109" s="73">
        <v>477.05</v>
      </c>
      <c r="AT109" s="73">
        <v>56.35</v>
      </c>
      <c r="AU109" s="73">
        <v>16.95</v>
      </c>
      <c r="AV109" s="73"/>
      <c r="AW109" s="73"/>
      <c r="AX109" s="73"/>
      <c r="AY109" s="73"/>
      <c r="AZ109" s="73"/>
      <c r="BA109" s="73"/>
      <c r="BB109" s="73"/>
      <c r="BC109" s="69"/>
      <c r="BD109" s="69"/>
      <c r="CC109" s="94">
        <f t="shared" si="8"/>
        <v>550.35</v>
      </c>
      <c r="CD109" s="73">
        <f t="shared" si="9"/>
        <v>0</v>
      </c>
      <c r="CE109" s="75">
        <f t="shared" ref="CE109:CF172" si="10">+C109</f>
        <v>2773</v>
      </c>
      <c r="CF109" s="69" t="str">
        <f t="shared" si="10"/>
        <v>برنامج دولى</v>
      </c>
    </row>
    <row r="110" spans="2:84" x14ac:dyDescent="0.25">
      <c r="B110" s="78">
        <v>5008</v>
      </c>
      <c r="C110" s="70">
        <v>2774</v>
      </c>
      <c r="D110" s="69" t="s">
        <v>78</v>
      </c>
      <c r="E110" s="173" t="s">
        <v>3590</v>
      </c>
      <c r="G110" s="73">
        <v>570</v>
      </c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94">
        <f t="shared" si="7"/>
        <v>570</v>
      </c>
      <c r="AS110" s="73">
        <v>509.35</v>
      </c>
      <c r="AT110" s="73">
        <v>60.65</v>
      </c>
      <c r="AU110" s="73"/>
      <c r="AV110" s="73"/>
      <c r="AW110" s="73"/>
      <c r="AX110" s="73"/>
      <c r="AY110" s="73"/>
      <c r="AZ110" s="73"/>
      <c r="BA110" s="73"/>
      <c r="BB110" s="73"/>
      <c r="BC110" s="69"/>
      <c r="BD110" s="69"/>
      <c r="CC110" s="94">
        <f t="shared" si="8"/>
        <v>570</v>
      </c>
      <c r="CD110" s="73">
        <f t="shared" si="9"/>
        <v>0</v>
      </c>
      <c r="CE110" s="75">
        <f t="shared" si="10"/>
        <v>2774</v>
      </c>
      <c r="CF110" s="69" t="str">
        <f t="shared" si="10"/>
        <v>برنامج دولى</v>
      </c>
    </row>
    <row r="111" spans="2:84" x14ac:dyDescent="0.25">
      <c r="B111" s="78">
        <v>5007</v>
      </c>
      <c r="C111" s="70">
        <v>2775</v>
      </c>
      <c r="D111" s="69" t="s">
        <v>78</v>
      </c>
      <c r="E111" s="173" t="s">
        <v>3591</v>
      </c>
      <c r="G111" s="73">
        <v>750</v>
      </c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94">
        <f t="shared" si="7"/>
        <v>750</v>
      </c>
      <c r="AS111" s="73">
        <v>670.1</v>
      </c>
      <c r="AT111" s="73">
        <v>79.900000000000006</v>
      </c>
      <c r="AU111" s="73"/>
      <c r="AV111" s="73"/>
      <c r="AW111" s="73"/>
      <c r="AX111" s="73"/>
      <c r="AY111" s="73"/>
      <c r="AZ111" s="73"/>
      <c r="BA111" s="73"/>
      <c r="BB111" s="73"/>
      <c r="BC111" s="69"/>
      <c r="BD111" s="69"/>
      <c r="CC111" s="94">
        <f t="shared" si="8"/>
        <v>750</v>
      </c>
      <c r="CD111" s="73">
        <f t="shared" si="9"/>
        <v>0</v>
      </c>
      <c r="CE111" s="75">
        <f t="shared" si="10"/>
        <v>2775</v>
      </c>
      <c r="CF111" s="69" t="str">
        <f t="shared" si="10"/>
        <v>برنامج دولى</v>
      </c>
    </row>
    <row r="112" spans="2:84" x14ac:dyDescent="0.25">
      <c r="B112" s="78">
        <v>5009</v>
      </c>
      <c r="C112" s="70">
        <v>2776</v>
      </c>
      <c r="D112" s="69" t="s">
        <v>78</v>
      </c>
      <c r="E112" s="173" t="s">
        <v>3592</v>
      </c>
      <c r="G112" s="73">
        <v>678.91</v>
      </c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94">
        <f t="shared" si="7"/>
        <v>678.91</v>
      </c>
      <c r="AS112" s="73">
        <v>524.89</v>
      </c>
      <c r="AT112" s="73">
        <v>65.75</v>
      </c>
      <c r="AU112" s="73">
        <v>88.27</v>
      </c>
      <c r="AV112" s="73"/>
      <c r="AW112" s="73"/>
      <c r="AX112" s="73"/>
      <c r="AY112" s="73"/>
      <c r="AZ112" s="73"/>
      <c r="BA112" s="73"/>
      <c r="BB112" s="73"/>
      <c r="BC112" s="69"/>
      <c r="BD112" s="69"/>
      <c r="CC112" s="94">
        <f t="shared" si="8"/>
        <v>678.91</v>
      </c>
      <c r="CD112" s="73">
        <f t="shared" si="9"/>
        <v>0</v>
      </c>
      <c r="CE112" s="75">
        <f t="shared" si="10"/>
        <v>2776</v>
      </c>
      <c r="CF112" s="69" t="str">
        <f t="shared" si="10"/>
        <v>برنامج دولى</v>
      </c>
    </row>
    <row r="113" spans="2:84" x14ac:dyDescent="0.25">
      <c r="B113" s="78">
        <v>5006</v>
      </c>
      <c r="C113" s="70">
        <v>2777</v>
      </c>
      <c r="D113" s="69" t="s">
        <v>78</v>
      </c>
      <c r="E113" s="173" t="s">
        <v>3592</v>
      </c>
      <c r="G113" s="73">
        <v>312.5</v>
      </c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94">
        <f t="shared" si="7"/>
        <v>312.5</v>
      </c>
      <c r="AS113" s="73">
        <v>279.5</v>
      </c>
      <c r="AT113" s="73">
        <v>33</v>
      </c>
      <c r="AU113" s="73"/>
      <c r="AV113" s="73"/>
      <c r="AW113" s="73"/>
      <c r="AX113" s="73"/>
      <c r="AY113" s="73"/>
      <c r="AZ113" s="73"/>
      <c r="BA113" s="73"/>
      <c r="BB113" s="73"/>
      <c r="BC113" s="69"/>
      <c r="BD113" s="69"/>
      <c r="CC113" s="94">
        <f t="shared" si="8"/>
        <v>312.5</v>
      </c>
      <c r="CD113" s="73">
        <f t="shared" si="9"/>
        <v>0</v>
      </c>
      <c r="CE113" s="75">
        <f t="shared" si="10"/>
        <v>2777</v>
      </c>
      <c r="CF113" s="69" t="str">
        <f t="shared" si="10"/>
        <v>برنامج دولى</v>
      </c>
    </row>
    <row r="114" spans="2:84" x14ac:dyDescent="0.25">
      <c r="B114" s="78">
        <v>5005</v>
      </c>
      <c r="C114" s="70">
        <v>2778</v>
      </c>
      <c r="D114" s="69" t="s">
        <v>78</v>
      </c>
      <c r="E114" s="173" t="s">
        <v>3592</v>
      </c>
      <c r="G114" s="73">
        <v>312.5</v>
      </c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94">
        <f t="shared" si="7"/>
        <v>312.5</v>
      </c>
      <c r="AS114" s="73">
        <v>279.5</v>
      </c>
      <c r="AT114" s="73">
        <v>33</v>
      </c>
      <c r="AU114" s="73"/>
      <c r="AV114" s="73"/>
      <c r="AW114" s="73"/>
      <c r="AX114" s="73"/>
      <c r="AY114" s="73"/>
      <c r="AZ114" s="73"/>
      <c r="BA114" s="73"/>
      <c r="BB114" s="73"/>
      <c r="BC114" s="69"/>
      <c r="BD114" s="69"/>
      <c r="CC114" s="94">
        <f t="shared" si="8"/>
        <v>312.5</v>
      </c>
      <c r="CD114" s="73">
        <f t="shared" si="9"/>
        <v>0</v>
      </c>
      <c r="CE114" s="75">
        <f t="shared" si="10"/>
        <v>2778</v>
      </c>
      <c r="CF114" s="69" t="str">
        <f t="shared" si="10"/>
        <v>برنامج دولى</v>
      </c>
    </row>
    <row r="115" spans="2:84" x14ac:dyDescent="0.25">
      <c r="B115" s="78">
        <v>5004</v>
      </c>
      <c r="C115" s="70">
        <v>2779</v>
      </c>
      <c r="D115" s="69" t="s">
        <v>78</v>
      </c>
      <c r="E115" s="173" t="s">
        <v>3592</v>
      </c>
      <c r="G115" s="73">
        <v>678.91</v>
      </c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94">
        <f t="shared" si="7"/>
        <v>678.91</v>
      </c>
      <c r="AS115" s="73">
        <v>524.89</v>
      </c>
      <c r="AT115" s="73">
        <v>65.75</v>
      </c>
      <c r="AU115" s="73">
        <v>88.27</v>
      </c>
      <c r="AV115" s="73"/>
      <c r="AW115" s="73"/>
      <c r="AX115" s="73"/>
      <c r="AY115" s="73"/>
      <c r="AZ115" s="73"/>
      <c r="BA115" s="73"/>
      <c r="BB115" s="73"/>
      <c r="BC115" s="69"/>
      <c r="BD115" s="69"/>
      <c r="CC115" s="94">
        <f t="shared" si="8"/>
        <v>678.91</v>
      </c>
      <c r="CD115" s="73">
        <f t="shared" si="9"/>
        <v>0</v>
      </c>
      <c r="CE115" s="75">
        <f t="shared" si="10"/>
        <v>2779</v>
      </c>
      <c r="CF115" s="69" t="str">
        <f t="shared" si="10"/>
        <v>برنامج دولى</v>
      </c>
    </row>
    <row r="116" spans="2:84" x14ac:dyDescent="0.25">
      <c r="B116" s="78">
        <v>5003</v>
      </c>
      <c r="C116" s="70">
        <v>2780</v>
      </c>
      <c r="D116" s="69" t="s">
        <v>78</v>
      </c>
      <c r="E116" s="173" t="s">
        <v>3593</v>
      </c>
      <c r="G116" s="69">
        <v>984.9</v>
      </c>
      <c r="T116" s="69"/>
      <c r="U116" s="69"/>
      <c r="AR116" s="94">
        <f t="shared" si="7"/>
        <v>984.9</v>
      </c>
      <c r="AS116" s="69">
        <v>658.05</v>
      </c>
      <c r="AT116" s="69">
        <f>84+5.55</f>
        <v>89.55</v>
      </c>
      <c r="AU116" s="69">
        <v>237.3</v>
      </c>
      <c r="BC116" s="69"/>
      <c r="BD116" s="69"/>
      <c r="CC116" s="94">
        <f t="shared" si="8"/>
        <v>984.89999999999986</v>
      </c>
      <c r="CD116" s="73">
        <f t="shared" si="9"/>
        <v>0</v>
      </c>
      <c r="CE116" s="75">
        <f t="shared" si="10"/>
        <v>2780</v>
      </c>
      <c r="CF116" s="69" t="str">
        <f t="shared" si="10"/>
        <v>برنامج دولى</v>
      </c>
    </row>
    <row r="117" spans="2:84" x14ac:dyDescent="0.25">
      <c r="B117" s="78">
        <v>5001</v>
      </c>
      <c r="C117" s="70">
        <v>2781</v>
      </c>
      <c r="D117" s="69" t="s">
        <v>78</v>
      </c>
      <c r="E117" s="173" t="s">
        <v>3594</v>
      </c>
      <c r="G117" s="69">
        <v>10552.5</v>
      </c>
      <c r="T117" s="69"/>
      <c r="U117" s="69"/>
      <c r="AR117" s="94">
        <f t="shared" si="7"/>
        <v>10552.5</v>
      </c>
      <c r="AS117" s="69">
        <v>7043.61</v>
      </c>
      <c r="AT117" s="69">
        <f>900+66.39</f>
        <v>966.39</v>
      </c>
      <c r="AU117" s="69">
        <v>2542.5</v>
      </c>
      <c r="BC117" s="69"/>
      <c r="BD117" s="69"/>
      <c r="CC117" s="94">
        <f t="shared" si="8"/>
        <v>10552.5</v>
      </c>
      <c r="CD117" s="73">
        <f t="shared" si="9"/>
        <v>0</v>
      </c>
      <c r="CE117" s="75">
        <f t="shared" si="10"/>
        <v>2781</v>
      </c>
      <c r="CF117" s="69" t="str">
        <f t="shared" si="10"/>
        <v>برنامج دولى</v>
      </c>
    </row>
    <row r="118" spans="2:84" x14ac:dyDescent="0.25">
      <c r="B118" s="78">
        <v>5000</v>
      </c>
      <c r="C118" s="70">
        <v>2782</v>
      </c>
      <c r="D118" s="69" t="s">
        <v>78</v>
      </c>
      <c r="E118" s="173" t="s">
        <v>3595</v>
      </c>
      <c r="G118" s="69">
        <v>40</v>
      </c>
      <c r="T118" s="69"/>
      <c r="U118" s="69"/>
      <c r="AR118" s="94">
        <f t="shared" si="7"/>
        <v>40</v>
      </c>
      <c r="AS118" s="69">
        <v>36</v>
      </c>
      <c r="AT118" s="69">
        <v>4</v>
      </c>
      <c r="BC118" s="69"/>
      <c r="BD118" s="69"/>
      <c r="CC118" s="94">
        <f t="shared" si="8"/>
        <v>40</v>
      </c>
      <c r="CD118" s="73">
        <f t="shared" si="9"/>
        <v>0</v>
      </c>
      <c r="CE118" s="75">
        <f t="shared" si="10"/>
        <v>2782</v>
      </c>
      <c r="CF118" s="69" t="str">
        <f t="shared" si="10"/>
        <v>برنامج دولى</v>
      </c>
    </row>
    <row r="119" spans="2:84" x14ac:dyDescent="0.25">
      <c r="B119" s="78">
        <v>4999</v>
      </c>
      <c r="C119" s="70">
        <v>2783</v>
      </c>
      <c r="D119" s="69" t="s">
        <v>78</v>
      </c>
      <c r="E119" s="173" t="s">
        <v>3595</v>
      </c>
      <c r="G119" s="69">
        <v>281.39999999999998</v>
      </c>
      <c r="T119" s="69"/>
      <c r="U119" s="69"/>
      <c r="AR119" s="94">
        <f t="shared" si="7"/>
        <v>281.39999999999998</v>
      </c>
      <c r="AS119" s="69">
        <v>189.6</v>
      </c>
      <c r="AT119" s="69">
        <v>24</v>
      </c>
      <c r="AU119" s="69">
        <v>67.8</v>
      </c>
      <c r="BC119" s="69"/>
      <c r="BD119" s="69"/>
      <c r="CC119" s="94">
        <f t="shared" si="8"/>
        <v>281.39999999999998</v>
      </c>
      <c r="CD119" s="73">
        <f t="shared" si="9"/>
        <v>0</v>
      </c>
      <c r="CE119" s="75">
        <f t="shared" si="10"/>
        <v>2783</v>
      </c>
      <c r="CF119" s="69" t="str">
        <f t="shared" si="10"/>
        <v>برنامج دولى</v>
      </c>
    </row>
    <row r="120" spans="2:84" x14ac:dyDescent="0.25">
      <c r="B120" s="78">
        <v>4997</v>
      </c>
      <c r="C120" s="70">
        <v>2784</v>
      </c>
      <c r="D120" s="69" t="s">
        <v>78</v>
      </c>
      <c r="E120" s="173" t="s">
        <v>3596</v>
      </c>
      <c r="G120" s="69">
        <v>2051.88</v>
      </c>
      <c r="T120" s="69"/>
      <c r="U120" s="69"/>
      <c r="AR120" s="94">
        <f t="shared" si="7"/>
        <v>2051.88</v>
      </c>
      <c r="AS120" s="69">
        <v>1372.25</v>
      </c>
      <c r="AT120" s="69">
        <v>185.25</v>
      </c>
      <c r="AU120" s="69">
        <v>494.38</v>
      </c>
      <c r="BC120" s="69"/>
      <c r="BD120" s="69"/>
      <c r="CC120" s="94">
        <f t="shared" si="8"/>
        <v>2051.88</v>
      </c>
      <c r="CD120" s="73">
        <f t="shared" si="9"/>
        <v>0</v>
      </c>
      <c r="CE120" s="75">
        <f t="shared" si="10"/>
        <v>2784</v>
      </c>
      <c r="CF120" s="69" t="str">
        <f t="shared" si="10"/>
        <v>برنامج دولى</v>
      </c>
    </row>
    <row r="121" spans="2:84" x14ac:dyDescent="0.25">
      <c r="B121" s="78">
        <v>4998</v>
      </c>
      <c r="C121" s="70">
        <v>2785</v>
      </c>
      <c r="D121" s="69" t="s">
        <v>78</v>
      </c>
      <c r="E121" s="173" t="s">
        <v>3597</v>
      </c>
      <c r="G121" s="69">
        <v>528.04999999999995</v>
      </c>
      <c r="T121" s="69"/>
      <c r="U121" s="69"/>
      <c r="AR121" s="94">
        <f t="shared" si="7"/>
        <v>528.04999999999995</v>
      </c>
      <c r="AS121" s="69">
        <v>429.26</v>
      </c>
      <c r="AT121" s="69">
        <v>52.85</v>
      </c>
      <c r="AU121" s="69">
        <v>45.94</v>
      </c>
      <c r="BC121" s="69"/>
      <c r="BD121" s="69"/>
      <c r="CC121" s="94">
        <f t="shared" si="8"/>
        <v>528.04999999999995</v>
      </c>
      <c r="CD121" s="73">
        <f t="shared" si="9"/>
        <v>0</v>
      </c>
      <c r="CE121" s="75">
        <f t="shared" si="10"/>
        <v>2785</v>
      </c>
      <c r="CF121" s="69" t="str">
        <f t="shared" si="10"/>
        <v>برنامج دولى</v>
      </c>
    </row>
    <row r="122" spans="2:84" x14ac:dyDescent="0.25">
      <c r="B122" s="78">
        <v>4996</v>
      </c>
      <c r="C122" s="70">
        <v>2786</v>
      </c>
      <c r="D122" s="69" t="s">
        <v>78</v>
      </c>
      <c r="E122" s="173" t="s">
        <v>1916</v>
      </c>
      <c r="G122" s="69">
        <v>652.22</v>
      </c>
      <c r="T122" s="69"/>
      <c r="U122" s="69"/>
      <c r="AR122" s="94">
        <f t="shared" si="7"/>
        <v>652.22</v>
      </c>
      <c r="AS122" s="69">
        <v>503.04</v>
      </c>
      <c r="AT122" s="69">
        <v>63.65</v>
      </c>
      <c r="AU122" s="69">
        <v>85.53</v>
      </c>
      <c r="BC122" s="69"/>
      <c r="BD122" s="69"/>
      <c r="CC122" s="94">
        <f t="shared" si="8"/>
        <v>652.22</v>
      </c>
      <c r="CD122" s="73">
        <f t="shared" si="9"/>
        <v>0</v>
      </c>
      <c r="CE122" s="75">
        <f t="shared" si="10"/>
        <v>2786</v>
      </c>
      <c r="CF122" s="69" t="str">
        <f t="shared" si="10"/>
        <v>برنامج دولى</v>
      </c>
    </row>
    <row r="123" spans="2:84" x14ac:dyDescent="0.25">
      <c r="B123" s="78">
        <v>4995</v>
      </c>
      <c r="C123" s="70">
        <v>2787</v>
      </c>
      <c r="D123" s="69" t="s">
        <v>78</v>
      </c>
      <c r="E123" s="173" t="s">
        <v>1916</v>
      </c>
      <c r="G123" s="69">
        <v>600</v>
      </c>
      <c r="T123" s="69"/>
      <c r="U123" s="69"/>
      <c r="AR123" s="94">
        <f t="shared" si="7"/>
        <v>600</v>
      </c>
      <c r="AS123" s="69">
        <v>536.15</v>
      </c>
      <c r="AT123" s="69">
        <v>63.85</v>
      </c>
      <c r="BC123" s="69"/>
      <c r="BD123" s="69"/>
      <c r="CC123" s="94">
        <f t="shared" si="8"/>
        <v>600</v>
      </c>
      <c r="CD123" s="73">
        <f t="shared" si="9"/>
        <v>0</v>
      </c>
      <c r="CE123" s="75">
        <f t="shared" si="10"/>
        <v>2787</v>
      </c>
      <c r="CF123" s="69" t="str">
        <f t="shared" si="10"/>
        <v>برنامج دولى</v>
      </c>
    </row>
    <row r="124" spans="2:84" x14ac:dyDescent="0.25">
      <c r="B124" s="78">
        <v>4994</v>
      </c>
      <c r="C124" s="70">
        <v>2788</v>
      </c>
      <c r="D124" s="69" t="s">
        <v>78</v>
      </c>
      <c r="E124" s="173" t="s">
        <v>1916</v>
      </c>
      <c r="G124" s="69">
        <v>600</v>
      </c>
      <c r="T124" s="69"/>
      <c r="U124" s="69"/>
      <c r="AR124" s="94">
        <f t="shared" si="7"/>
        <v>600</v>
      </c>
      <c r="AS124" s="69">
        <v>536.15</v>
      </c>
      <c r="AT124" s="69">
        <v>63.85</v>
      </c>
      <c r="BC124" s="69"/>
      <c r="BD124" s="69"/>
      <c r="CC124" s="94">
        <f t="shared" si="8"/>
        <v>600</v>
      </c>
      <c r="CD124" s="73">
        <f t="shared" si="9"/>
        <v>0</v>
      </c>
      <c r="CE124" s="75">
        <f t="shared" si="10"/>
        <v>2788</v>
      </c>
      <c r="CF124" s="69" t="str">
        <f t="shared" si="10"/>
        <v>برنامج دولى</v>
      </c>
    </row>
    <row r="125" spans="2:84" x14ac:dyDescent="0.25">
      <c r="B125" s="78">
        <v>4993</v>
      </c>
      <c r="C125" s="70">
        <v>2789</v>
      </c>
      <c r="D125" s="69" t="s">
        <v>78</v>
      </c>
      <c r="E125" s="173" t="s">
        <v>1916</v>
      </c>
      <c r="G125" s="69">
        <v>1200</v>
      </c>
      <c r="T125" s="69"/>
      <c r="U125" s="69"/>
      <c r="AR125" s="94">
        <f t="shared" si="7"/>
        <v>1200</v>
      </c>
      <c r="AS125" s="69">
        <v>1072.3</v>
      </c>
      <c r="AT125" s="69">
        <v>127.7</v>
      </c>
      <c r="BC125" s="69"/>
      <c r="BD125" s="69"/>
      <c r="CC125" s="94">
        <f t="shared" si="8"/>
        <v>1200</v>
      </c>
      <c r="CD125" s="73">
        <f t="shared" si="9"/>
        <v>0</v>
      </c>
      <c r="CE125" s="75">
        <f t="shared" si="10"/>
        <v>2789</v>
      </c>
      <c r="CF125" s="69" t="str">
        <f t="shared" si="10"/>
        <v>برنامج دولى</v>
      </c>
    </row>
    <row r="126" spans="2:84" x14ac:dyDescent="0.25">
      <c r="B126" s="78">
        <v>5492</v>
      </c>
      <c r="C126" s="70">
        <v>2790</v>
      </c>
      <c r="D126" s="69" t="s">
        <v>78</v>
      </c>
      <c r="E126" s="173" t="s">
        <v>3598</v>
      </c>
      <c r="G126" s="69">
        <v>15781.78</v>
      </c>
      <c r="T126" s="69"/>
      <c r="U126" s="69"/>
      <c r="AR126" s="94">
        <f t="shared" si="7"/>
        <v>15781.78</v>
      </c>
      <c r="AS126" s="69">
        <v>12612.05</v>
      </c>
      <c r="AT126" s="69">
        <v>1575.54</v>
      </c>
      <c r="AU126" s="69">
        <v>1594.19</v>
      </c>
      <c r="BC126" s="69"/>
      <c r="BD126" s="69"/>
      <c r="CC126" s="94">
        <f t="shared" si="8"/>
        <v>15781.78</v>
      </c>
      <c r="CD126" s="73">
        <f t="shared" si="9"/>
        <v>0</v>
      </c>
      <c r="CE126" s="75">
        <f t="shared" si="10"/>
        <v>2790</v>
      </c>
      <c r="CF126" s="69" t="str">
        <f t="shared" si="10"/>
        <v>برنامج دولى</v>
      </c>
    </row>
    <row r="127" spans="2:84" x14ac:dyDescent="0.25">
      <c r="B127" s="78">
        <v>5493</v>
      </c>
      <c r="C127" s="70">
        <v>2791</v>
      </c>
      <c r="D127" s="69" t="s">
        <v>78</v>
      </c>
      <c r="E127" s="173" t="s">
        <v>3598</v>
      </c>
      <c r="G127" s="69">
        <v>2310.9699999999998</v>
      </c>
      <c r="T127" s="69"/>
      <c r="U127" s="69"/>
      <c r="AR127" s="94">
        <f t="shared" si="7"/>
        <v>2310.9699999999998</v>
      </c>
      <c r="AS127" s="69">
        <v>1917.65</v>
      </c>
      <c r="AT127" s="69">
        <v>236.15</v>
      </c>
      <c r="AU127" s="69">
        <v>157.16999999999999</v>
      </c>
      <c r="BC127" s="69"/>
      <c r="BD127" s="69"/>
      <c r="CC127" s="94">
        <f t="shared" si="8"/>
        <v>2310.9700000000003</v>
      </c>
      <c r="CD127" s="73">
        <f t="shared" si="9"/>
        <v>0</v>
      </c>
      <c r="CE127" s="75">
        <f t="shared" si="10"/>
        <v>2791</v>
      </c>
      <c r="CF127" s="69" t="str">
        <f t="shared" si="10"/>
        <v>برنامج دولى</v>
      </c>
    </row>
    <row r="128" spans="2:84" x14ac:dyDescent="0.25">
      <c r="B128" s="78">
        <v>5490</v>
      </c>
      <c r="C128" s="70">
        <v>2792</v>
      </c>
      <c r="D128" s="69" t="s">
        <v>78</v>
      </c>
      <c r="E128" s="173" t="s">
        <v>3598</v>
      </c>
      <c r="G128" s="69">
        <v>19938.97</v>
      </c>
      <c r="T128" s="69"/>
      <c r="U128" s="69"/>
      <c r="AR128" s="94">
        <f t="shared" si="7"/>
        <v>19938.97</v>
      </c>
      <c r="AS128" s="69">
        <v>13424.16</v>
      </c>
      <c r="AT128" s="69">
        <v>1808.15</v>
      </c>
      <c r="AU128" s="69">
        <v>4706.66</v>
      </c>
      <c r="BC128" s="69"/>
      <c r="BD128" s="69"/>
      <c r="CC128" s="94">
        <f t="shared" si="8"/>
        <v>19938.97</v>
      </c>
      <c r="CD128" s="73">
        <f t="shared" si="9"/>
        <v>0</v>
      </c>
      <c r="CE128" s="75">
        <f t="shared" si="10"/>
        <v>2792</v>
      </c>
      <c r="CF128" s="69" t="str">
        <f t="shared" si="10"/>
        <v>برنامج دولى</v>
      </c>
    </row>
    <row r="129" spans="2:84" x14ac:dyDescent="0.25">
      <c r="B129" s="78">
        <v>5491</v>
      </c>
      <c r="C129" s="70">
        <v>2793</v>
      </c>
      <c r="D129" s="69" t="s">
        <v>78</v>
      </c>
      <c r="E129" s="173" t="s">
        <v>3598</v>
      </c>
      <c r="G129" s="69">
        <v>1050.3599999999999</v>
      </c>
      <c r="T129" s="69"/>
      <c r="U129" s="69"/>
      <c r="AR129" s="94">
        <f t="shared" si="7"/>
        <v>1050.3599999999999</v>
      </c>
      <c r="AS129" s="69">
        <v>702.81</v>
      </c>
      <c r="AT129" s="69">
        <v>94.48</v>
      </c>
      <c r="AU129" s="69">
        <v>253.07</v>
      </c>
      <c r="BC129" s="69"/>
      <c r="BD129" s="69"/>
      <c r="CC129" s="94">
        <f t="shared" si="8"/>
        <v>1050.3599999999999</v>
      </c>
      <c r="CD129" s="73">
        <f t="shared" si="9"/>
        <v>0</v>
      </c>
      <c r="CE129" s="75">
        <f t="shared" si="10"/>
        <v>2793</v>
      </c>
      <c r="CF129" s="69" t="str">
        <f t="shared" si="10"/>
        <v>برنامج دولى</v>
      </c>
    </row>
    <row r="130" spans="2:84" x14ac:dyDescent="0.25">
      <c r="B130" s="78">
        <v>5208</v>
      </c>
      <c r="C130" s="70">
        <v>2794</v>
      </c>
      <c r="D130" s="69" t="s">
        <v>78</v>
      </c>
      <c r="E130" s="173" t="s">
        <v>3599</v>
      </c>
      <c r="G130" s="69">
        <v>94386.25</v>
      </c>
      <c r="T130" s="69"/>
      <c r="U130" s="69"/>
      <c r="AR130" s="94">
        <f t="shared" si="7"/>
        <v>94386.25</v>
      </c>
      <c r="AS130" s="69">
        <v>62999.3</v>
      </c>
      <c r="AT130" s="69">
        <f>595.7+8050</f>
        <v>8645.7000000000007</v>
      </c>
      <c r="AU130" s="69">
        <v>22741.25</v>
      </c>
      <c r="BC130" s="69"/>
      <c r="BD130" s="69"/>
      <c r="CC130" s="94">
        <f t="shared" si="8"/>
        <v>94386.25</v>
      </c>
      <c r="CD130" s="73">
        <f t="shared" si="9"/>
        <v>0</v>
      </c>
      <c r="CE130" s="75">
        <f t="shared" si="10"/>
        <v>2794</v>
      </c>
      <c r="CF130" s="69" t="str">
        <f t="shared" si="10"/>
        <v>برنامج دولى</v>
      </c>
    </row>
    <row r="131" spans="2:84" x14ac:dyDescent="0.25">
      <c r="B131" s="78">
        <v>4950</v>
      </c>
      <c r="C131" s="70">
        <v>2795</v>
      </c>
      <c r="D131" s="69" t="s">
        <v>78</v>
      </c>
      <c r="E131" s="173" t="s">
        <v>3600</v>
      </c>
      <c r="G131" s="69">
        <v>3283</v>
      </c>
      <c r="T131" s="69"/>
      <c r="U131" s="69"/>
      <c r="AR131" s="94">
        <f t="shared" si="7"/>
        <v>3283</v>
      </c>
      <c r="AS131" s="69">
        <v>2195.9</v>
      </c>
      <c r="AT131" s="69">
        <v>296.10000000000002</v>
      </c>
      <c r="AU131" s="69">
        <v>791</v>
      </c>
      <c r="BC131" s="69"/>
      <c r="BD131" s="69"/>
      <c r="CC131" s="94">
        <f t="shared" si="8"/>
        <v>3283</v>
      </c>
      <c r="CD131" s="73">
        <f t="shared" si="9"/>
        <v>0</v>
      </c>
      <c r="CE131" s="75">
        <f t="shared" si="10"/>
        <v>2795</v>
      </c>
      <c r="CF131" s="69" t="str">
        <f t="shared" si="10"/>
        <v>برنامج دولى</v>
      </c>
    </row>
    <row r="132" spans="2:84" x14ac:dyDescent="0.25">
      <c r="B132" s="78">
        <v>4949</v>
      </c>
      <c r="C132" s="70">
        <v>2796</v>
      </c>
      <c r="D132" s="69" t="s">
        <v>78</v>
      </c>
      <c r="E132" s="173" t="s">
        <v>3600</v>
      </c>
      <c r="G132" s="69">
        <v>2714.42</v>
      </c>
      <c r="T132" s="69"/>
      <c r="U132" s="69"/>
      <c r="AR132" s="94">
        <f t="shared" si="7"/>
        <v>2714.42</v>
      </c>
      <c r="AS132" s="69">
        <v>2250.3200000000002</v>
      </c>
      <c r="AT132" s="69">
        <v>276.7</v>
      </c>
      <c r="AU132" s="69">
        <v>187.4</v>
      </c>
      <c r="BC132" s="69"/>
      <c r="BD132" s="69"/>
      <c r="CC132" s="94">
        <f t="shared" si="8"/>
        <v>2714.42</v>
      </c>
      <c r="CD132" s="73">
        <f t="shared" si="9"/>
        <v>0</v>
      </c>
      <c r="CE132" s="75">
        <f t="shared" si="10"/>
        <v>2796</v>
      </c>
      <c r="CF132" s="69" t="str">
        <f t="shared" si="10"/>
        <v>برنامج دولى</v>
      </c>
    </row>
    <row r="133" spans="2:84" x14ac:dyDescent="0.25">
      <c r="B133" s="78">
        <v>4948</v>
      </c>
      <c r="C133" s="70">
        <v>2797</v>
      </c>
      <c r="D133" s="69" t="s">
        <v>78</v>
      </c>
      <c r="E133" s="173" t="s">
        <v>3600</v>
      </c>
      <c r="G133" s="69">
        <v>703.5</v>
      </c>
      <c r="T133" s="69"/>
      <c r="U133" s="69"/>
      <c r="AR133" s="94">
        <f t="shared" si="7"/>
        <v>703.5</v>
      </c>
      <c r="AS133" s="69">
        <v>470.6</v>
      </c>
      <c r="AT133" s="69">
        <v>63.4</v>
      </c>
      <c r="AU133" s="69">
        <v>169.5</v>
      </c>
      <c r="BC133" s="69"/>
      <c r="BD133" s="69"/>
      <c r="CC133" s="94">
        <f t="shared" si="8"/>
        <v>703.5</v>
      </c>
      <c r="CD133" s="73">
        <f t="shared" si="9"/>
        <v>0</v>
      </c>
      <c r="CE133" s="75">
        <f t="shared" si="10"/>
        <v>2797</v>
      </c>
      <c r="CF133" s="69" t="str">
        <f t="shared" si="10"/>
        <v>برنامج دولى</v>
      </c>
    </row>
    <row r="134" spans="2:84" x14ac:dyDescent="0.25">
      <c r="B134" s="78">
        <v>4947</v>
      </c>
      <c r="C134" s="70">
        <v>2798</v>
      </c>
      <c r="D134" s="69" t="s">
        <v>78</v>
      </c>
      <c r="E134" s="173" t="s">
        <v>3600</v>
      </c>
      <c r="G134" s="69">
        <v>703.5</v>
      </c>
      <c r="T134" s="69"/>
      <c r="U134" s="69"/>
      <c r="AR134" s="94">
        <f t="shared" si="7"/>
        <v>703.5</v>
      </c>
      <c r="AS134" s="69">
        <v>470.6</v>
      </c>
      <c r="AT134" s="69">
        <v>63.4</v>
      </c>
      <c r="AU134" s="69">
        <v>169.5</v>
      </c>
      <c r="BC134" s="69"/>
      <c r="BD134" s="69"/>
      <c r="CC134" s="94">
        <f t="shared" si="8"/>
        <v>703.5</v>
      </c>
      <c r="CD134" s="73">
        <f t="shared" si="9"/>
        <v>0</v>
      </c>
      <c r="CE134" s="75">
        <f t="shared" si="10"/>
        <v>2798</v>
      </c>
      <c r="CF134" s="69" t="str">
        <f t="shared" si="10"/>
        <v>برنامج دولى</v>
      </c>
    </row>
    <row r="135" spans="2:84" x14ac:dyDescent="0.25">
      <c r="B135" s="78">
        <v>4946</v>
      </c>
      <c r="C135" s="70">
        <v>2799</v>
      </c>
      <c r="D135" s="69" t="s">
        <v>78</v>
      </c>
      <c r="E135" s="173" t="s">
        <v>3601</v>
      </c>
      <c r="G135" s="69">
        <v>938</v>
      </c>
      <c r="T135" s="69"/>
      <c r="U135" s="69"/>
      <c r="AR135" s="94">
        <f t="shared" si="7"/>
        <v>938</v>
      </c>
      <c r="AS135" s="69">
        <v>627.35</v>
      </c>
      <c r="AT135" s="69">
        <f>4.65+80</f>
        <v>84.65</v>
      </c>
      <c r="AU135" s="69">
        <v>226</v>
      </c>
      <c r="BC135" s="69"/>
      <c r="BD135" s="69"/>
      <c r="CC135" s="94">
        <f t="shared" si="8"/>
        <v>938</v>
      </c>
      <c r="CD135" s="73">
        <f t="shared" si="9"/>
        <v>0</v>
      </c>
      <c r="CE135" s="75">
        <f t="shared" si="10"/>
        <v>2799</v>
      </c>
      <c r="CF135" s="69" t="str">
        <f t="shared" si="10"/>
        <v>برنامج دولى</v>
      </c>
    </row>
    <row r="136" spans="2:84" x14ac:dyDescent="0.25">
      <c r="B136" s="78">
        <v>4945</v>
      </c>
      <c r="C136" s="70">
        <v>2800</v>
      </c>
      <c r="D136" s="69" t="s">
        <v>78</v>
      </c>
      <c r="E136" s="173" t="s">
        <v>3602</v>
      </c>
      <c r="G136" s="69">
        <v>1200</v>
      </c>
      <c r="T136" s="69"/>
      <c r="U136" s="69"/>
      <c r="AR136" s="94">
        <f t="shared" si="7"/>
        <v>1200</v>
      </c>
      <c r="AS136" s="69">
        <v>1071.3499999999999</v>
      </c>
      <c r="AT136" s="69">
        <v>128.65</v>
      </c>
      <c r="BC136" s="69"/>
      <c r="BD136" s="69"/>
      <c r="CC136" s="94">
        <f t="shared" si="8"/>
        <v>1200</v>
      </c>
      <c r="CD136" s="73">
        <f t="shared" si="9"/>
        <v>0</v>
      </c>
      <c r="CE136" s="75">
        <f t="shared" si="10"/>
        <v>2800</v>
      </c>
      <c r="CF136" s="69" t="str">
        <f t="shared" si="10"/>
        <v>برنامج دولى</v>
      </c>
    </row>
    <row r="137" spans="2:84" x14ac:dyDescent="0.25">
      <c r="B137" s="78">
        <v>4944</v>
      </c>
      <c r="C137" s="70">
        <v>2801</v>
      </c>
      <c r="D137" s="69" t="s">
        <v>78</v>
      </c>
      <c r="E137" s="173" t="s">
        <v>3602</v>
      </c>
      <c r="G137" s="69">
        <v>938</v>
      </c>
      <c r="T137" s="69"/>
      <c r="U137" s="69"/>
      <c r="AR137" s="94">
        <f t="shared" si="7"/>
        <v>938</v>
      </c>
      <c r="AS137" s="69">
        <v>627.35</v>
      </c>
      <c r="AT137" s="69">
        <v>84.65</v>
      </c>
      <c r="AU137" s="69">
        <v>226</v>
      </c>
      <c r="BC137" s="69"/>
      <c r="BD137" s="69"/>
      <c r="CC137" s="94">
        <f t="shared" si="8"/>
        <v>938</v>
      </c>
      <c r="CD137" s="73">
        <f t="shared" si="9"/>
        <v>0</v>
      </c>
      <c r="CE137" s="75">
        <f t="shared" si="10"/>
        <v>2801</v>
      </c>
      <c r="CF137" s="69" t="str">
        <f t="shared" si="10"/>
        <v>برنامج دولى</v>
      </c>
    </row>
    <row r="138" spans="2:84" x14ac:dyDescent="0.25">
      <c r="B138" s="78">
        <v>4943</v>
      </c>
      <c r="C138" s="70">
        <v>2802</v>
      </c>
      <c r="D138" s="69" t="s">
        <v>78</v>
      </c>
      <c r="E138" s="173" t="s">
        <v>3602</v>
      </c>
      <c r="G138" s="69">
        <v>2872.62</v>
      </c>
      <c r="T138" s="69"/>
      <c r="U138" s="69"/>
      <c r="AR138" s="94">
        <f t="shared" si="7"/>
        <v>2872.62</v>
      </c>
      <c r="AS138" s="69">
        <v>1921.25</v>
      </c>
      <c r="AT138" s="69">
        <v>259.25</v>
      </c>
      <c r="AU138" s="69">
        <v>692.12</v>
      </c>
      <c r="BC138" s="69"/>
      <c r="BD138" s="69"/>
      <c r="CC138" s="94">
        <f t="shared" si="8"/>
        <v>2872.62</v>
      </c>
      <c r="CD138" s="73">
        <f t="shared" si="9"/>
        <v>0</v>
      </c>
      <c r="CE138" s="75">
        <f t="shared" si="10"/>
        <v>2802</v>
      </c>
      <c r="CF138" s="69" t="str">
        <f t="shared" si="10"/>
        <v>برنامج دولى</v>
      </c>
    </row>
    <row r="139" spans="2:84" x14ac:dyDescent="0.25">
      <c r="B139" s="78">
        <v>4942</v>
      </c>
      <c r="C139" s="70">
        <v>2803</v>
      </c>
      <c r="D139" s="69" t="s">
        <v>78</v>
      </c>
      <c r="E139" s="173" t="s">
        <v>3602</v>
      </c>
      <c r="G139" s="69">
        <v>14159.49</v>
      </c>
      <c r="T139" s="69"/>
      <c r="U139" s="69"/>
      <c r="AR139" s="94">
        <f t="shared" si="7"/>
        <v>14159.49</v>
      </c>
      <c r="AS139" s="69">
        <v>9506.19</v>
      </c>
      <c r="AT139" s="69">
        <v>1280.5</v>
      </c>
      <c r="AU139" s="69">
        <v>3372.8</v>
      </c>
      <c r="BC139" s="69"/>
      <c r="BD139" s="69"/>
      <c r="CC139" s="94">
        <f t="shared" si="8"/>
        <v>14159.490000000002</v>
      </c>
      <c r="CD139" s="73">
        <f t="shared" si="9"/>
        <v>0</v>
      </c>
      <c r="CE139" s="75">
        <f t="shared" si="10"/>
        <v>2803</v>
      </c>
      <c r="CF139" s="69" t="str">
        <f t="shared" si="10"/>
        <v>برنامج دولى</v>
      </c>
    </row>
    <row r="140" spans="2:84" x14ac:dyDescent="0.25">
      <c r="B140" s="78">
        <v>4941</v>
      </c>
      <c r="C140" s="70">
        <v>2804</v>
      </c>
      <c r="D140" s="69" t="s">
        <v>78</v>
      </c>
      <c r="E140" s="173" t="str">
        <f>+E106</f>
        <v>مكافاه ماموريات محمد سعيد</v>
      </c>
      <c r="G140" s="69">
        <v>1407</v>
      </c>
      <c r="T140" s="69"/>
      <c r="U140" s="69"/>
      <c r="AR140" s="94">
        <f t="shared" si="7"/>
        <v>1407</v>
      </c>
      <c r="AS140" s="69">
        <v>940.35</v>
      </c>
      <c r="AT140" s="69">
        <v>127.65</v>
      </c>
      <c r="AU140" s="69">
        <v>339</v>
      </c>
      <c r="BC140" s="69"/>
      <c r="BD140" s="69"/>
      <c r="CC140" s="94">
        <f t="shared" si="8"/>
        <v>1407</v>
      </c>
      <c r="CD140" s="73">
        <f t="shared" si="9"/>
        <v>0</v>
      </c>
      <c r="CE140" s="75">
        <f t="shared" si="10"/>
        <v>2804</v>
      </c>
      <c r="CF140" s="69" t="str">
        <f t="shared" si="10"/>
        <v>برنامج دولى</v>
      </c>
    </row>
    <row r="141" spans="2:84" x14ac:dyDescent="0.25">
      <c r="B141" s="78">
        <v>4940</v>
      </c>
      <c r="C141" s="70">
        <v>2805</v>
      </c>
      <c r="D141" s="69" t="s">
        <v>78</v>
      </c>
      <c r="E141" s="173" t="s">
        <v>3603</v>
      </c>
      <c r="G141" s="69">
        <v>3960</v>
      </c>
      <c r="T141" s="69"/>
      <c r="U141" s="69"/>
      <c r="AR141" s="94">
        <f t="shared" si="7"/>
        <v>3960</v>
      </c>
      <c r="AS141" s="69">
        <v>3535.3</v>
      </c>
      <c r="AT141" s="69">
        <v>424.7</v>
      </c>
      <c r="BC141" s="69"/>
      <c r="BD141" s="69"/>
      <c r="CC141" s="94">
        <f t="shared" si="8"/>
        <v>3960</v>
      </c>
      <c r="CD141" s="73">
        <f t="shared" si="9"/>
        <v>0</v>
      </c>
      <c r="CE141" s="75">
        <f t="shared" si="10"/>
        <v>2805</v>
      </c>
      <c r="CF141" s="69" t="str">
        <f t="shared" si="10"/>
        <v>برنامج دولى</v>
      </c>
    </row>
    <row r="142" spans="2:84" x14ac:dyDescent="0.25">
      <c r="B142" s="78">
        <v>4939</v>
      </c>
      <c r="C142" s="70">
        <v>2806</v>
      </c>
      <c r="D142" s="69" t="s">
        <v>78</v>
      </c>
      <c r="E142" s="173" t="s">
        <v>3603</v>
      </c>
      <c r="G142" s="69">
        <v>2160</v>
      </c>
      <c r="T142" s="69"/>
      <c r="U142" s="69"/>
      <c r="AR142" s="94">
        <f t="shared" si="7"/>
        <v>2160</v>
      </c>
      <c r="AS142" s="69">
        <v>1928.15</v>
      </c>
      <c r="AT142" s="69">
        <v>231.85</v>
      </c>
      <c r="BC142" s="69"/>
      <c r="BD142" s="69"/>
      <c r="CC142" s="94">
        <f t="shared" si="8"/>
        <v>2160</v>
      </c>
      <c r="CD142" s="73">
        <f t="shared" si="9"/>
        <v>0</v>
      </c>
      <c r="CE142" s="75">
        <f t="shared" si="10"/>
        <v>2806</v>
      </c>
      <c r="CF142" s="69" t="str">
        <f t="shared" si="10"/>
        <v>برنامج دولى</v>
      </c>
    </row>
    <row r="143" spans="2:84" x14ac:dyDescent="0.25">
      <c r="B143" s="78">
        <v>4938</v>
      </c>
      <c r="C143" s="70">
        <v>2807</v>
      </c>
      <c r="D143" s="69" t="s">
        <v>78</v>
      </c>
      <c r="E143" s="173" t="s">
        <v>3603</v>
      </c>
      <c r="G143" s="69">
        <v>840</v>
      </c>
      <c r="T143" s="69"/>
      <c r="U143" s="69"/>
      <c r="AR143" s="94">
        <f t="shared" si="7"/>
        <v>840</v>
      </c>
      <c r="AS143" s="69">
        <v>750.45</v>
      </c>
      <c r="AT143" s="69">
        <v>89.55</v>
      </c>
      <c r="BC143" s="69"/>
      <c r="BD143" s="69"/>
      <c r="CC143" s="94">
        <f t="shared" si="8"/>
        <v>840</v>
      </c>
      <c r="CD143" s="73">
        <f t="shared" si="9"/>
        <v>0</v>
      </c>
      <c r="CE143" s="75">
        <f t="shared" si="10"/>
        <v>2807</v>
      </c>
      <c r="CF143" s="69" t="str">
        <f t="shared" si="10"/>
        <v>برنامج دولى</v>
      </c>
    </row>
    <row r="144" spans="2:84" x14ac:dyDescent="0.25">
      <c r="B144" s="78">
        <v>4937</v>
      </c>
      <c r="C144" s="70">
        <v>2808</v>
      </c>
      <c r="D144" s="69" t="s">
        <v>78</v>
      </c>
      <c r="E144" s="173" t="s">
        <v>3603</v>
      </c>
      <c r="G144" s="69">
        <v>1612.18</v>
      </c>
      <c r="T144" s="69"/>
      <c r="U144" s="69"/>
      <c r="AR144" s="94">
        <f t="shared" si="7"/>
        <v>1612.18</v>
      </c>
      <c r="AS144" s="69">
        <v>1439.21</v>
      </c>
      <c r="AT144" s="69">
        <v>172.97</v>
      </c>
      <c r="BC144" s="69"/>
      <c r="BD144" s="69"/>
      <c r="CC144" s="94">
        <f t="shared" si="8"/>
        <v>1612.18</v>
      </c>
      <c r="CD144" s="73">
        <f t="shared" si="9"/>
        <v>0</v>
      </c>
      <c r="CE144" s="75">
        <f t="shared" si="10"/>
        <v>2808</v>
      </c>
      <c r="CF144" s="69" t="str">
        <f t="shared" si="10"/>
        <v>برنامج دولى</v>
      </c>
    </row>
    <row r="145" spans="2:84" x14ac:dyDescent="0.25">
      <c r="B145" s="78">
        <v>4936</v>
      </c>
      <c r="C145" s="70">
        <v>2809</v>
      </c>
      <c r="D145" s="69" t="s">
        <v>78</v>
      </c>
      <c r="E145" s="173" t="s">
        <v>3603</v>
      </c>
      <c r="G145" s="69">
        <v>3761.77</v>
      </c>
      <c r="T145" s="69"/>
      <c r="U145" s="69"/>
      <c r="AR145" s="94">
        <f t="shared" si="7"/>
        <v>3761.77</v>
      </c>
      <c r="AS145" s="69">
        <v>3357.74</v>
      </c>
      <c r="AT145" s="69">
        <v>404.03</v>
      </c>
      <c r="BC145" s="69"/>
      <c r="BD145" s="69"/>
      <c r="CC145" s="94">
        <f t="shared" si="8"/>
        <v>3761.7699999999995</v>
      </c>
      <c r="CD145" s="73">
        <f t="shared" si="9"/>
        <v>0</v>
      </c>
      <c r="CE145" s="75">
        <f t="shared" si="10"/>
        <v>2809</v>
      </c>
      <c r="CF145" s="69" t="str">
        <f t="shared" si="10"/>
        <v>برنامج دولى</v>
      </c>
    </row>
    <row r="146" spans="2:84" x14ac:dyDescent="0.25">
      <c r="B146" s="78">
        <v>4935</v>
      </c>
      <c r="C146" s="70">
        <v>2810</v>
      </c>
      <c r="D146" s="69" t="s">
        <v>78</v>
      </c>
      <c r="E146" s="173" t="s">
        <v>3603</v>
      </c>
      <c r="G146" s="69">
        <v>29712.23</v>
      </c>
      <c r="T146" s="69"/>
      <c r="U146" s="69"/>
      <c r="AR146" s="94">
        <f t="shared" si="7"/>
        <v>29712.23</v>
      </c>
      <c r="AS146" s="69">
        <v>26602.26</v>
      </c>
      <c r="AT146" s="69">
        <v>3109.97</v>
      </c>
      <c r="BC146" s="69"/>
      <c r="BD146" s="69"/>
      <c r="CC146" s="94">
        <f t="shared" si="8"/>
        <v>29712.23</v>
      </c>
      <c r="CD146" s="73">
        <f t="shared" si="9"/>
        <v>0</v>
      </c>
      <c r="CE146" s="75">
        <f t="shared" si="10"/>
        <v>2810</v>
      </c>
      <c r="CF146" s="69" t="str">
        <f t="shared" si="10"/>
        <v>برنامج دولى</v>
      </c>
    </row>
    <row r="147" spans="2:84" x14ac:dyDescent="0.25">
      <c r="B147" s="78">
        <v>4934</v>
      </c>
      <c r="C147" s="70">
        <v>2811</v>
      </c>
      <c r="D147" s="69" t="s">
        <v>78</v>
      </c>
      <c r="E147" s="173" t="s">
        <v>3603</v>
      </c>
      <c r="G147" s="69">
        <v>9600</v>
      </c>
      <c r="T147" s="69"/>
      <c r="U147" s="69"/>
      <c r="AR147" s="94">
        <f t="shared" si="7"/>
        <v>9600</v>
      </c>
      <c r="AS147" s="69">
        <v>8563.6</v>
      </c>
      <c r="AT147" s="69">
        <v>1036.4000000000001</v>
      </c>
      <c r="BC147" s="69"/>
      <c r="BD147" s="69"/>
      <c r="CC147" s="94">
        <f t="shared" si="8"/>
        <v>9600</v>
      </c>
      <c r="CD147" s="73">
        <f t="shared" si="9"/>
        <v>0</v>
      </c>
      <c r="CE147" s="75">
        <f t="shared" si="10"/>
        <v>2811</v>
      </c>
      <c r="CF147" s="69" t="str">
        <f t="shared" si="10"/>
        <v>برنامج دولى</v>
      </c>
    </row>
    <row r="148" spans="2:84" x14ac:dyDescent="0.25">
      <c r="B148" s="78">
        <v>4933</v>
      </c>
      <c r="C148" s="70">
        <v>2812</v>
      </c>
      <c r="D148" s="69" t="s">
        <v>78</v>
      </c>
      <c r="E148" s="173" t="s">
        <v>3603</v>
      </c>
      <c r="G148" s="69">
        <v>3574.74</v>
      </c>
      <c r="T148" s="69"/>
      <c r="U148" s="69"/>
      <c r="AR148" s="94">
        <f t="shared" si="7"/>
        <v>3574.74</v>
      </c>
      <c r="AS148" s="69">
        <v>3190.82</v>
      </c>
      <c r="AT148" s="69">
        <v>383.92</v>
      </c>
      <c r="BC148" s="69"/>
      <c r="BD148" s="69"/>
      <c r="CC148" s="94">
        <f t="shared" si="8"/>
        <v>3574.7400000000002</v>
      </c>
      <c r="CD148" s="73">
        <f t="shared" si="9"/>
        <v>0</v>
      </c>
      <c r="CE148" s="75">
        <f t="shared" si="10"/>
        <v>2812</v>
      </c>
      <c r="CF148" s="69" t="str">
        <f t="shared" si="10"/>
        <v>برنامج دولى</v>
      </c>
    </row>
    <row r="149" spans="2:84" x14ac:dyDescent="0.25">
      <c r="B149" s="78">
        <v>4932</v>
      </c>
      <c r="C149" s="70">
        <v>2813</v>
      </c>
      <c r="D149" s="69" t="s">
        <v>78</v>
      </c>
      <c r="E149" s="173" t="s">
        <v>3603</v>
      </c>
      <c r="G149" s="69">
        <v>9268.7199999999993</v>
      </c>
      <c r="T149" s="69"/>
      <c r="U149" s="69"/>
      <c r="AR149" s="94">
        <f t="shared" si="7"/>
        <v>9268.7199999999993</v>
      </c>
      <c r="AS149" s="69">
        <v>8268.1</v>
      </c>
      <c r="AT149" s="69">
        <v>1000.62</v>
      </c>
      <c r="BC149" s="69"/>
      <c r="BD149" s="69"/>
      <c r="CC149" s="94">
        <f t="shared" si="8"/>
        <v>9268.7200000000012</v>
      </c>
      <c r="CD149" s="73">
        <f t="shared" si="9"/>
        <v>0</v>
      </c>
      <c r="CE149" s="75">
        <f t="shared" si="10"/>
        <v>2813</v>
      </c>
      <c r="CF149" s="69" t="str">
        <f t="shared" si="10"/>
        <v>برنامج دولى</v>
      </c>
    </row>
    <row r="150" spans="2:84" x14ac:dyDescent="0.25">
      <c r="B150" s="78">
        <v>4931</v>
      </c>
      <c r="C150" s="70">
        <v>2814</v>
      </c>
      <c r="D150" s="69" t="s">
        <v>78</v>
      </c>
      <c r="E150" s="173" t="s">
        <v>1515</v>
      </c>
      <c r="G150" s="69">
        <v>22083</v>
      </c>
      <c r="T150" s="69"/>
      <c r="U150" s="69"/>
      <c r="AR150" s="94">
        <f t="shared" si="7"/>
        <v>22083</v>
      </c>
      <c r="AS150" s="69">
        <v>19712.25</v>
      </c>
      <c r="AT150" s="69">
        <v>2370.75</v>
      </c>
      <c r="BC150" s="69"/>
      <c r="BD150" s="69"/>
      <c r="CC150" s="94">
        <f t="shared" si="8"/>
        <v>22083</v>
      </c>
      <c r="CD150" s="73">
        <f t="shared" si="9"/>
        <v>0</v>
      </c>
      <c r="CE150" s="75">
        <f t="shared" si="10"/>
        <v>2814</v>
      </c>
      <c r="CF150" s="69" t="str">
        <f t="shared" si="10"/>
        <v>برنامج دولى</v>
      </c>
    </row>
    <row r="151" spans="2:84" x14ac:dyDescent="0.25">
      <c r="B151" s="78">
        <v>4930</v>
      </c>
      <c r="C151" s="70">
        <v>2815</v>
      </c>
      <c r="D151" s="69" t="s">
        <v>78</v>
      </c>
      <c r="E151" s="173" t="s">
        <v>790</v>
      </c>
      <c r="G151" s="69">
        <v>1000</v>
      </c>
      <c r="T151" s="69"/>
      <c r="U151" s="69"/>
      <c r="AR151" s="94">
        <f t="shared" si="7"/>
        <v>1000</v>
      </c>
      <c r="AS151" s="69">
        <v>893.35</v>
      </c>
      <c r="AT151" s="69">
        <v>106.65</v>
      </c>
      <c r="BC151" s="69"/>
      <c r="BD151" s="69"/>
      <c r="CC151" s="94">
        <f t="shared" si="8"/>
        <v>1000</v>
      </c>
      <c r="CD151" s="73">
        <f t="shared" si="9"/>
        <v>0</v>
      </c>
      <c r="CE151" s="75">
        <f t="shared" si="10"/>
        <v>2815</v>
      </c>
      <c r="CF151" s="69" t="str">
        <f t="shared" si="10"/>
        <v>برنامج دولى</v>
      </c>
    </row>
    <row r="152" spans="2:84" x14ac:dyDescent="0.25">
      <c r="B152" s="78">
        <v>4929</v>
      </c>
      <c r="C152" s="70">
        <v>2816</v>
      </c>
      <c r="D152" s="69" t="s">
        <v>78</v>
      </c>
      <c r="E152" s="173" t="s">
        <v>790</v>
      </c>
      <c r="G152" s="69">
        <v>16808.75</v>
      </c>
      <c r="T152" s="69"/>
      <c r="U152" s="69"/>
      <c r="AR152" s="94">
        <f t="shared" si="7"/>
        <v>16808.75</v>
      </c>
      <c r="AS152" s="69">
        <v>14614.35</v>
      </c>
      <c r="AT152" s="69">
        <v>1770.65</v>
      </c>
      <c r="AU152" s="69">
        <v>423.75</v>
      </c>
      <c r="BC152" s="69"/>
      <c r="BD152" s="69"/>
      <c r="CC152" s="94">
        <f t="shared" si="8"/>
        <v>16808.75</v>
      </c>
      <c r="CD152" s="73">
        <f t="shared" si="9"/>
        <v>0</v>
      </c>
      <c r="CE152" s="75">
        <f t="shared" si="10"/>
        <v>2816</v>
      </c>
      <c r="CF152" s="69" t="str">
        <f t="shared" si="10"/>
        <v>برنامج دولى</v>
      </c>
    </row>
    <row r="153" spans="2:84" x14ac:dyDescent="0.25">
      <c r="B153" s="78">
        <v>4928</v>
      </c>
      <c r="C153" s="70">
        <v>2817</v>
      </c>
      <c r="D153" s="69" t="s">
        <v>78</v>
      </c>
      <c r="E153" s="173" t="s">
        <v>2092</v>
      </c>
      <c r="G153" s="69">
        <v>1172.5</v>
      </c>
      <c r="T153" s="69"/>
      <c r="U153" s="69"/>
      <c r="AR153" s="94">
        <f t="shared" si="7"/>
        <v>1172.5</v>
      </c>
      <c r="AS153" s="69">
        <v>784.1</v>
      </c>
      <c r="AT153" s="69">
        <v>105.9</v>
      </c>
      <c r="AU153" s="69">
        <v>282.5</v>
      </c>
      <c r="BC153" s="69"/>
      <c r="BD153" s="69"/>
      <c r="CC153" s="94">
        <f t="shared" si="8"/>
        <v>1172.5</v>
      </c>
      <c r="CD153" s="73">
        <f t="shared" si="9"/>
        <v>0</v>
      </c>
      <c r="CE153" s="75">
        <f t="shared" si="10"/>
        <v>2817</v>
      </c>
      <c r="CF153" s="69" t="str">
        <f t="shared" si="10"/>
        <v>برنامج دولى</v>
      </c>
    </row>
    <row r="154" spans="2:84" x14ac:dyDescent="0.25">
      <c r="B154" s="78">
        <v>4927</v>
      </c>
      <c r="C154" s="70">
        <v>2818</v>
      </c>
      <c r="D154" s="69" t="s">
        <v>78</v>
      </c>
      <c r="E154" s="173" t="s">
        <v>3604</v>
      </c>
      <c r="G154" s="69">
        <v>1172.5</v>
      </c>
      <c r="T154" s="69"/>
      <c r="U154" s="69"/>
      <c r="AR154" s="94">
        <f t="shared" si="7"/>
        <v>1172.5</v>
      </c>
      <c r="AS154" s="69">
        <v>784.6</v>
      </c>
      <c r="AT154" s="69">
        <v>105.4</v>
      </c>
      <c r="AU154" s="69">
        <v>282.5</v>
      </c>
      <c r="BC154" s="69"/>
      <c r="BD154" s="69"/>
      <c r="CC154" s="94">
        <f t="shared" si="8"/>
        <v>1172.5</v>
      </c>
      <c r="CD154" s="73">
        <f t="shared" si="9"/>
        <v>0</v>
      </c>
      <c r="CE154" s="75">
        <f t="shared" si="10"/>
        <v>2818</v>
      </c>
      <c r="CF154" s="69" t="str">
        <f t="shared" si="10"/>
        <v>برنامج دولى</v>
      </c>
    </row>
    <row r="155" spans="2:84" x14ac:dyDescent="0.25">
      <c r="B155" s="78">
        <v>4926</v>
      </c>
      <c r="C155" s="70">
        <v>2819</v>
      </c>
      <c r="D155" s="69" t="s">
        <v>78</v>
      </c>
      <c r="E155" s="173" t="s">
        <v>3605</v>
      </c>
      <c r="G155" s="69">
        <v>820.75</v>
      </c>
      <c r="T155" s="69"/>
      <c r="U155" s="69"/>
      <c r="AR155" s="94">
        <f t="shared" si="7"/>
        <v>820.75</v>
      </c>
      <c r="AS155" s="69">
        <v>548.95000000000005</v>
      </c>
      <c r="AT155" s="69">
        <v>74.05</v>
      </c>
      <c r="AU155" s="69">
        <v>197.75</v>
      </c>
      <c r="BC155" s="69"/>
      <c r="BD155" s="69"/>
      <c r="CC155" s="94">
        <f t="shared" si="8"/>
        <v>820.75</v>
      </c>
      <c r="CD155" s="73">
        <f t="shared" si="9"/>
        <v>0</v>
      </c>
      <c r="CE155" s="75">
        <f t="shared" si="10"/>
        <v>2819</v>
      </c>
      <c r="CF155" s="69" t="str">
        <f t="shared" si="10"/>
        <v>برنامج دولى</v>
      </c>
    </row>
    <row r="156" spans="2:84" x14ac:dyDescent="0.25">
      <c r="B156" s="78">
        <v>4925</v>
      </c>
      <c r="C156" s="70">
        <v>2820</v>
      </c>
      <c r="D156" s="69" t="s">
        <v>78</v>
      </c>
      <c r="E156" s="173" t="s">
        <v>3606</v>
      </c>
      <c r="G156" s="69">
        <v>293.12</v>
      </c>
      <c r="T156" s="69"/>
      <c r="U156" s="69"/>
      <c r="AR156" s="94">
        <f t="shared" si="7"/>
        <v>293.12</v>
      </c>
      <c r="AS156" s="69">
        <v>196.45</v>
      </c>
      <c r="AT156" s="69">
        <v>26.05</v>
      </c>
      <c r="AU156" s="69">
        <v>70.62</v>
      </c>
      <c r="BC156" s="69"/>
      <c r="BD156" s="69"/>
      <c r="CC156" s="94">
        <f t="shared" si="8"/>
        <v>293.12</v>
      </c>
      <c r="CD156" s="73">
        <f t="shared" si="9"/>
        <v>0</v>
      </c>
      <c r="CE156" s="75">
        <f t="shared" si="10"/>
        <v>2820</v>
      </c>
      <c r="CF156" s="69" t="str">
        <f t="shared" si="10"/>
        <v>برنامج دولى</v>
      </c>
    </row>
    <row r="157" spans="2:84" x14ac:dyDescent="0.25">
      <c r="B157" s="78">
        <v>4924</v>
      </c>
      <c r="C157" s="70">
        <v>2821</v>
      </c>
      <c r="D157" s="69" t="s">
        <v>78</v>
      </c>
      <c r="E157" s="173" t="s">
        <v>3607</v>
      </c>
      <c r="G157" s="69">
        <v>1758.76</v>
      </c>
      <c r="T157" s="69"/>
      <c r="U157" s="69"/>
      <c r="AR157" s="94">
        <f t="shared" si="7"/>
        <v>1758.76</v>
      </c>
      <c r="AS157" s="69">
        <v>1176.3</v>
      </c>
      <c r="AT157" s="69">
        <v>158.69999999999999</v>
      </c>
      <c r="AU157" s="69">
        <v>423.76</v>
      </c>
      <c r="BC157" s="69"/>
      <c r="BD157" s="69"/>
      <c r="CC157" s="94">
        <f t="shared" si="8"/>
        <v>1758.76</v>
      </c>
      <c r="CD157" s="73">
        <f t="shared" si="9"/>
        <v>0</v>
      </c>
      <c r="CE157" s="75">
        <f t="shared" si="10"/>
        <v>2821</v>
      </c>
      <c r="CF157" s="69" t="str">
        <f t="shared" si="10"/>
        <v>برنامج دولى</v>
      </c>
    </row>
    <row r="158" spans="2:84" x14ac:dyDescent="0.25">
      <c r="B158" s="78">
        <v>4923</v>
      </c>
      <c r="C158" s="70">
        <v>2822</v>
      </c>
      <c r="D158" s="69" t="s">
        <v>78</v>
      </c>
      <c r="E158" s="173" t="s">
        <v>3607</v>
      </c>
      <c r="G158" s="69">
        <v>2000</v>
      </c>
      <c r="T158" s="69"/>
      <c r="U158" s="69"/>
      <c r="AR158" s="94">
        <f t="shared" si="7"/>
        <v>2000</v>
      </c>
      <c r="AS158" s="69">
        <v>1786.7</v>
      </c>
      <c r="AT158" s="69">
        <v>213.3</v>
      </c>
      <c r="BC158" s="69"/>
      <c r="BD158" s="69"/>
      <c r="CC158" s="94">
        <f t="shared" si="8"/>
        <v>2000</v>
      </c>
      <c r="CD158" s="73">
        <f t="shared" si="9"/>
        <v>0</v>
      </c>
      <c r="CE158" s="75">
        <f t="shared" si="10"/>
        <v>2822</v>
      </c>
      <c r="CF158" s="69" t="str">
        <f t="shared" si="10"/>
        <v>برنامج دولى</v>
      </c>
    </row>
    <row r="159" spans="2:84" x14ac:dyDescent="0.25">
      <c r="B159" s="78">
        <v>4922</v>
      </c>
      <c r="C159" s="70">
        <v>2823</v>
      </c>
      <c r="D159" s="69" t="s">
        <v>78</v>
      </c>
      <c r="E159" s="173" t="s">
        <v>2828</v>
      </c>
      <c r="G159" s="69">
        <v>9400</v>
      </c>
      <c r="T159" s="69"/>
      <c r="U159" s="69"/>
      <c r="AR159" s="94">
        <f t="shared" si="7"/>
        <v>9400</v>
      </c>
      <c r="AS159" s="69">
        <v>8390.5499999999993</v>
      </c>
      <c r="AT159" s="69">
        <v>1009.45</v>
      </c>
      <c r="BC159" s="69"/>
      <c r="BD159" s="69"/>
      <c r="CC159" s="94">
        <f t="shared" si="8"/>
        <v>9400</v>
      </c>
      <c r="CD159" s="73">
        <f t="shared" si="9"/>
        <v>0</v>
      </c>
      <c r="CE159" s="75">
        <f t="shared" si="10"/>
        <v>2823</v>
      </c>
      <c r="CF159" s="69" t="str">
        <f t="shared" si="10"/>
        <v>برنامج دولى</v>
      </c>
    </row>
    <row r="160" spans="2:84" x14ac:dyDescent="0.25">
      <c r="B160" s="78">
        <v>4921</v>
      </c>
      <c r="C160" s="70">
        <v>2824</v>
      </c>
      <c r="D160" s="69" t="s">
        <v>78</v>
      </c>
      <c r="E160" s="173" t="s">
        <v>2828</v>
      </c>
      <c r="G160" s="69">
        <v>14090.6</v>
      </c>
      <c r="T160" s="69"/>
      <c r="U160" s="69"/>
      <c r="AR160" s="94">
        <f t="shared" si="7"/>
        <v>14090.6</v>
      </c>
      <c r="AS160" s="69">
        <v>11676.7</v>
      </c>
      <c r="AT160" s="69">
        <v>1446.7</v>
      </c>
      <c r="AU160" s="69">
        <v>967.2</v>
      </c>
      <c r="BC160" s="69"/>
      <c r="BD160" s="69"/>
      <c r="CC160" s="94">
        <f t="shared" si="8"/>
        <v>14090.600000000002</v>
      </c>
      <c r="CD160" s="73">
        <f t="shared" si="9"/>
        <v>0</v>
      </c>
      <c r="CE160" s="75">
        <f t="shared" si="10"/>
        <v>2824</v>
      </c>
      <c r="CF160" s="69" t="str">
        <f t="shared" si="10"/>
        <v>برنامج دولى</v>
      </c>
    </row>
    <row r="161" spans="2:84" x14ac:dyDescent="0.25">
      <c r="B161" s="78">
        <v>4920</v>
      </c>
      <c r="C161" s="70">
        <v>2825</v>
      </c>
      <c r="D161" s="69" t="s">
        <v>78</v>
      </c>
      <c r="E161" s="173" t="s">
        <v>3608</v>
      </c>
      <c r="G161" s="69">
        <v>1407</v>
      </c>
      <c r="T161" s="69"/>
      <c r="U161" s="69"/>
      <c r="AR161" s="94">
        <f t="shared" si="7"/>
        <v>1407</v>
      </c>
      <c r="AS161" s="69">
        <v>940.35</v>
      </c>
      <c r="AT161" s="69">
        <f>7.65+120</f>
        <v>127.65</v>
      </c>
      <c r="AU161" s="69">
        <v>339</v>
      </c>
      <c r="BC161" s="69"/>
      <c r="BD161" s="69"/>
      <c r="CC161" s="94">
        <f t="shared" si="8"/>
        <v>1407</v>
      </c>
      <c r="CD161" s="73">
        <f t="shared" si="9"/>
        <v>0</v>
      </c>
      <c r="CE161" s="75">
        <f t="shared" si="10"/>
        <v>2825</v>
      </c>
      <c r="CF161" s="69" t="str">
        <f t="shared" si="10"/>
        <v>برنامج دولى</v>
      </c>
    </row>
    <row r="162" spans="2:84" x14ac:dyDescent="0.25">
      <c r="B162" s="78">
        <v>4919</v>
      </c>
      <c r="C162" s="70">
        <v>2826</v>
      </c>
      <c r="D162" s="69" t="s">
        <v>78</v>
      </c>
      <c r="E162" s="173" t="s">
        <v>823</v>
      </c>
      <c r="G162" s="69">
        <v>351.75</v>
      </c>
      <c r="T162" s="69"/>
      <c r="U162" s="69"/>
      <c r="AR162" s="94">
        <f t="shared" ref="AR162:AR225" si="11">SUM(G162:AQ162)</f>
        <v>351.75</v>
      </c>
      <c r="AS162" s="69">
        <v>235.55</v>
      </c>
      <c r="AT162" s="69">
        <v>31.45</v>
      </c>
      <c r="AU162" s="69">
        <v>84.75</v>
      </c>
      <c r="BC162" s="69"/>
      <c r="BD162" s="69"/>
      <c r="CC162" s="94">
        <f t="shared" si="8"/>
        <v>351.75</v>
      </c>
      <c r="CD162" s="73">
        <f t="shared" si="9"/>
        <v>0</v>
      </c>
      <c r="CE162" s="75">
        <f t="shared" si="10"/>
        <v>2826</v>
      </c>
      <c r="CF162" s="69" t="str">
        <f t="shared" si="10"/>
        <v>برنامج دولى</v>
      </c>
    </row>
    <row r="163" spans="2:84" x14ac:dyDescent="0.25">
      <c r="B163" s="78">
        <v>4918</v>
      </c>
      <c r="C163" s="70">
        <v>2827</v>
      </c>
      <c r="D163" s="69" t="s">
        <v>78</v>
      </c>
      <c r="E163" s="173" t="s">
        <v>3333</v>
      </c>
      <c r="G163" s="69">
        <v>3273.78</v>
      </c>
      <c r="T163" s="69"/>
      <c r="U163" s="69"/>
      <c r="AR163" s="94">
        <f t="shared" si="11"/>
        <v>3273.78</v>
      </c>
      <c r="AS163" s="69">
        <v>2504.5700000000002</v>
      </c>
      <c r="AT163" s="69">
        <v>320.85000000000002</v>
      </c>
      <c r="AU163" s="69">
        <v>448.36</v>
      </c>
      <c r="BC163" s="69"/>
      <c r="BD163" s="69"/>
      <c r="CC163" s="94">
        <f t="shared" si="8"/>
        <v>3273.78</v>
      </c>
      <c r="CD163" s="73">
        <f t="shared" si="9"/>
        <v>0</v>
      </c>
      <c r="CE163" s="75">
        <f t="shared" si="10"/>
        <v>2827</v>
      </c>
      <c r="CF163" s="69" t="str">
        <f t="shared" si="10"/>
        <v>برنامج دولى</v>
      </c>
    </row>
    <row r="164" spans="2:84" x14ac:dyDescent="0.25">
      <c r="B164" s="78">
        <v>4917</v>
      </c>
      <c r="C164" s="70">
        <v>2828</v>
      </c>
      <c r="D164" s="69" t="s">
        <v>78</v>
      </c>
      <c r="E164" s="173" t="s">
        <v>3333</v>
      </c>
      <c r="G164" s="69">
        <v>12760.71</v>
      </c>
      <c r="T164" s="69"/>
      <c r="U164" s="69"/>
      <c r="AR164" s="94">
        <f t="shared" si="11"/>
        <v>12760.71</v>
      </c>
      <c r="AS164" s="69">
        <v>10060.41</v>
      </c>
      <c r="AT164" s="69">
        <v>963.2</v>
      </c>
      <c r="AU164" s="69">
        <v>1737.1</v>
      </c>
      <c r="BC164" s="69"/>
      <c r="BD164" s="69"/>
      <c r="CC164" s="94">
        <f t="shared" ref="CC164:CC227" si="12">SUM(AS164:CB164)</f>
        <v>12760.710000000001</v>
      </c>
      <c r="CD164" s="73">
        <f t="shared" ref="CD164:CD227" si="13">+CC164-AR164</f>
        <v>0</v>
      </c>
      <c r="CE164" s="75">
        <f t="shared" si="10"/>
        <v>2828</v>
      </c>
      <c r="CF164" s="69" t="str">
        <f t="shared" si="10"/>
        <v>برنامج دولى</v>
      </c>
    </row>
    <row r="165" spans="2:84" x14ac:dyDescent="0.25">
      <c r="B165" s="78">
        <v>4916</v>
      </c>
      <c r="C165" s="70">
        <v>2829</v>
      </c>
      <c r="D165" s="69" t="s">
        <v>78</v>
      </c>
      <c r="E165" s="173" t="s">
        <v>2096</v>
      </c>
      <c r="G165" s="69">
        <v>1200</v>
      </c>
      <c r="T165" s="69"/>
      <c r="U165" s="69"/>
      <c r="AR165" s="94">
        <f t="shared" si="11"/>
        <v>1200</v>
      </c>
      <c r="AS165" s="69">
        <v>1071.3499999999999</v>
      </c>
      <c r="AT165" s="69">
        <v>128.65</v>
      </c>
      <c r="BC165" s="69"/>
      <c r="BD165" s="69"/>
      <c r="CC165" s="94">
        <f t="shared" si="12"/>
        <v>1200</v>
      </c>
      <c r="CD165" s="73">
        <f t="shared" si="13"/>
        <v>0</v>
      </c>
      <c r="CE165" s="75">
        <f t="shared" si="10"/>
        <v>2829</v>
      </c>
      <c r="CF165" s="69" t="str">
        <f t="shared" si="10"/>
        <v>برنامج دولى</v>
      </c>
    </row>
    <row r="166" spans="2:84" x14ac:dyDescent="0.25">
      <c r="B166" s="78">
        <v>4915</v>
      </c>
      <c r="C166" s="70">
        <v>2830</v>
      </c>
      <c r="D166" s="69" t="s">
        <v>78</v>
      </c>
      <c r="E166" s="173" t="s">
        <v>2096</v>
      </c>
      <c r="G166" s="69">
        <v>1200</v>
      </c>
      <c r="T166" s="69"/>
      <c r="U166" s="69"/>
      <c r="AR166" s="94">
        <f t="shared" si="11"/>
        <v>1200</v>
      </c>
      <c r="AS166" s="69">
        <v>1071.3499999999999</v>
      </c>
      <c r="AT166" s="69">
        <v>128.65</v>
      </c>
      <c r="BC166" s="69"/>
      <c r="BD166" s="69"/>
      <c r="CC166" s="94">
        <f t="shared" si="12"/>
        <v>1200</v>
      </c>
      <c r="CD166" s="73">
        <f t="shared" si="13"/>
        <v>0</v>
      </c>
      <c r="CE166" s="75">
        <f t="shared" si="10"/>
        <v>2830</v>
      </c>
      <c r="CF166" s="69" t="str">
        <f t="shared" si="10"/>
        <v>برنامج دولى</v>
      </c>
    </row>
    <row r="167" spans="2:84" x14ac:dyDescent="0.25">
      <c r="B167" s="78">
        <v>4394</v>
      </c>
      <c r="C167" s="70">
        <v>2831</v>
      </c>
      <c r="D167" s="69" t="s">
        <v>78</v>
      </c>
      <c r="E167" s="173" t="s">
        <v>3587</v>
      </c>
      <c r="G167" s="69">
        <v>410.38</v>
      </c>
      <c r="T167" s="69"/>
      <c r="U167" s="69"/>
      <c r="AR167" s="94">
        <f t="shared" si="11"/>
        <v>410.38</v>
      </c>
      <c r="AS167" s="69">
        <v>274.8</v>
      </c>
      <c r="AT167" s="69">
        <v>36.700000000000003</v>
      </c>
      <c r="AU167" s="69">
        <v>98.88</v>
      </c>
      <c r="BC167" s="69"/>
      <c r="BD167" s="69"/>
      <c r="CC167" s="94">
        <f t="shared" si="12"/>
        <v>410.38</v>
      </c>
      <c r="CD167" s="73">
        <f t="shared" si="13"/>
        <v>0</v>
      </c>
      <c r="CE167" s="75">
        <f t="shared" si="10"/>
        <v>2831</v>
      </c>
      <c r="CF167" s="69" t="str">
        <f t="shared" si="10"/>
        <v>برنامج دولى</v>
      </c>
    </row>
    <row r="168" spans="2:84" x14ac:dyDescent="0.25">
      <c r="B168" s="78">
        <v>5472</v>
      </c>
      <c r="C168" s="70">
        <v>2832</v>
      </c>
      <c r="D168" s="69" t="s">
        <v>78</v>
      </c>
      <c r="E168" s="173" t="s">
        <v>3609</v>
      </c>
      <c r="G168" s="69">
        <v>187.6</v>
      </c>
      <c r="T168" s="69"/>
      <c r="U168" s="69"/>
      <c r="AR168" s="94">
        <f t="shared" si="11"/>
        <v>187.6</v>
      </c>
      <c r="AS168" s="69">
        <v>125.85</v>
      </c>
      <c r="AT168" s="69">
        <v>16.55</v>
      </c>
      <c r="AU168" s="69">
        <v>45.2</v>
      </c>
      <c r="BC168" s="69"/>
      <c r="BD168" s="69"/>
      <c r="CC168" s="94">
        <f t="shared" si="12"/>
        <v>187.60000000000002</v>
      </c>
      <c r="CD168" s="73">
        <f t="shared" si="13"/>
        <v>0</v>
      </c>
      <c r="CE168" s="75">
        <f t="shared" si="10"/>
        <v>2832</v>
      </c>
      <c r="CF168" s="69" t="str">
        <f t="shared" si="10"/>
        <v>برنامج دولى</v>
      </c>
    </row>
    <row r="169" spans="2:84" x14ac:dyDescent="0.25">
      <c r="B169" s="78">
        <v>5134</v>
      </c>
      <c r="C169" s="70">
        <v>2833</v>
      </c>
      <c r="D169" s="69" t="s">
        <v>78</v>
      </c>
      <c r="E169" s="173" t="s">
        <v>3610</v>
      </c>
      <c r="G169" s="69">
        <v>21711.71</v>
      </c>
      <c r="T169" s="69"/>
      <c r="U169" s="69"/>
      <c r="AR169" s="94">
        <f t="shared" si="11"/>
        <v>21711.71</v>
      </c>
      <c r="AS169" s="69">
        <v>16582.77</v>
      </c>
      <c r="AT169" s="69">
        <v>2121</v>
      </c>
      <c r="AU169" s="69">
        <v>3007.94</v>
      </c>
      <c r="BC169" s="69"/>
      <c r="BD169" s="69"/>
      <c r="CC169" s="94">
        <f t="shared" si="12"/>
        <v>21711.71</v>
      </c>
      <c r="CD169" s="73">
        <f t="shared" si="13"/>
        <v>0</v>
      </c>
      <c r="CE169" s="75">
        <f t="shared" si="10"/>
        <v>2833</v>
      </c>
      <c r="CF169" s="69" t="str">
        <f t="shared" si="10"/>
        <v>برنامج دولى</v>
      </c>
    </row>
    <row r="170" spans="2:84" x14ac:dyDescent="0.25">
      <c r="B170" s="78">
        <v>5133</v>
      </c>
      <c r="C170" s="70">
        <v>2834</v>
      </c>
      <c r="D170" s="69" t="s">
        <v>78</v>
      </c>
      <c r="E170" s="173" t="s">
        <v>3610</v>
      </c>
      <c r="G170" s="69">
        <v>7058.75</v>
      </c>
      <c r="T170" s="69"/>
      <c r="U170" s="69"/>
      <c r="AR170" s="94">
        <f t="shared" si="11"/>
        <v>7058.75</v>
      </c>
      <c r="AS170" s="69">
        <v>5907.4</v>
      </c>
      <c r="AT170" s="69">
        <v>727.6</v>
      </c>
      <c r="AU170" s="69">
        <v>423.75</v>
      </c>
      <c r="BC170" s="69"/>
      <c r="BD170" s="69"/>
      <c r="CC170" s="94">
        <f t="shared" si="12"/>
        <v>7058.75</v>
      </c>
      <c r="CD170" s="73">
        <f t="shared" si="13"/>
        <v>0</v>
      </c>
      <c r="CE170" s="75">
        <f t="shared" si="10"/>
        <v>2834</v>
      </c>
      <c r="CF170" s="69" t="str">
        <f t="shared" si="10"/>
        <v>برنامج دولى</v>
      </c>
    </row>
    <row r="171" spans="2:84" x14ac:dyDescent="0.25">
      <c r="B171" s="78">
        <v>5132</v>
      </c>
      <c r="C171" s="70">
        <v>2835</v>
      </c>
      <c r="D171" s="69" t="s">
        <v>78</v>
      </c>
      <c r="E171" s="173" t="s">
        <v>3610</v>
      </c>
      <c r="G171" s="69">
        <v>1758.75</v>
      </c>
      <c r="T171" s="69"/>
      <c r="U171" s="69"/>
      <c r="AR171" s="94">
        <f t="shared" si="11"/>
        <v>1758.75</v>
      </c>
      <c r="AS171" s="69">
        <v>1174.0999999999999</v>
      </c>
      <c r="AT171" s="69">
        <f>10.9+150</f>
        <v>160.9</v>
      </c>
      <c r="AU171" s="69">
        <f>584.65-AT171</f>
        <v>423.75</v>
      </c>
      <c r="BC171" s="69"/>
      <c r="BD171" s="69"/>
      <c r="CC171" s="94">
        <f t="shared" si="12"/>
        <v>1758.75</v>
      </c>
      <c r="CD171" s="73">
        <f t="shared" si="13"/>
        <v>0</v>
      </c>
      <c r="CE171" s="75">
        <f t="shared" si="10"/>
        <v>2835</v>
      </c>
      <c r="CF171" s="69" t="str">
        <f t="shared" si="10"/>
        <v>برنامج دولى</v>
      </c>
    </row>
    <row r="172" spans="2:84" x14ac:dyDescent="0.25">
      <c r="B172" s="78">
        <v>4952</v>
      </c>
      <c r="C172" s="70">
        <v>2836</v>
      </c>
      <c r="D172" s="69" t="s">
        <v>78</v>
      </c>
      <c r="E172" s="173" t="s">
        <v>3611</v>
      </c>
      <c r="G172" s="69">
        <v>234.5</v>
      </c>
      <c r="T172" s="69"/>
      <c r="U172" s="69"/>
      <c r="AR172" s="94">
        <f t="shared" si="11"/>
        <v>234.5</v>
      </c>
      <c r="AS172" s="69">
        <v>157.19999999999999</v>
      </c>
      <c r="AT172" s="69">
        <v>20.8</v>
      </c>
      <c r="AU172" s="69">
        <v>56.5</v>
      </c>
      <c r="BC172" s="69"/>
      <c r="BD172" s="69"/>
      <c r="CC172" s="94">
        <f t="shared" si="12"/>
        <v>234.5</v>
      </c>
      <c r="CD172" s="73">
        <f t="shared" si="13"/>
        <v>0</v>
      </c>
      <c r="CE172" s="75">
        <f t="shared" si="10"/>
        <v>2836</v>
      </c>
      <c r="CF172" s="69" t="str">
        <f t="shared" si="10"/>
        <v>برنامج دولى</v>
      </c>
    </row>
    <row r="173" spans="2:84" x14ac:dyDescent="0.25">
      <c r="B173" s="78">
        <v>4953</v>
      </c>
      <c r="C173" s="70">
        <v>2837</v>
      </c>
      <c r="D173" s="69" t="s">
        <v>78</v>
      </c>
      <c r="E173" s="173" t="s">
        <v>3611</v>
      </c>
      <c r="G173" s="69">
        <v>8599.76</v>
      </c>
      <c r="T173" s="69"/>
      <c r="U173" s="69"/>
      <c r="AR173" s="94">
        <f t="shared" si="11"/>
        <v>8599.76</v>
      </c>
      <c r="AS173" s="69">
        <v>5747.96</v>
      </c>
      <c r="AT173" s="69">
        <v>764.15</v>
      </c>
      <c r="AU173" s="69">
        <v>2087.65</v>
      </c>
      <c r="BC173" s="69"/>
      <c r="BD173" s="69"/>
      <c r="CC173" s="94">
        <f t="shared" si="12"/>
        <v>8599.76</v>
      </c>
      <c r="CD173" s="73">
        <f t="shared" si="13"/>
        <v>0</v>
      </c>
      <c r="CE173" s="75">
        <f t="shared" ref="CE173:CF236" si="14">+C173</f>
        <v>2837</v>
      </c>
      <c r="CF173" s="69" t="str">
        <f t="shared" si="14"/>
        <v>برنامج دولى</v>
      </c>
    </row>
    <row r="174" spans="2:84" x14ac:dyDescent="0.25">
      <c r="B174" s="78">
        <v>4954</v>
      </c>
      <c r="C174" s="70">
        <v>2838</v>
      </c>
      <c r="D174" s="69" t="s">
        <v>78</v>
      </c>
      <c r="E174" s="173" t="s">
        <v>3611</v>
      </c>
      <c r="G174" s="69">
        <v>234.5</v>
      </c>
      <c r="T174" s="69"/>
      <c r="U174" s="69"/>
      <c r="AR174" s="94">
        <f t="shared" si="11"/>
        <v>234.5</v>
      </c>
      <c r="AS174" s="69">
        <v>157.19999999999999</v>
      </c>
      <c r="AT174" s="69">
        <v>20.8</v>
      </c>
      <c r="AU174" s="69">
        <v>56.5</v>
      </c>
      <c r="BC174" s="69"/>
      <c r="BD174" s="69"/>
      <c r="CC174" s="94">
        <f t="shared" si="12"/>
        <v>234.5</v>
      </c>
      <c r="CD174" s="73">
        <f t="shared" si="13"/>
        <v>0</v>
      </c>
      <c r="CE174" s="75">
        <f t="shared" si="14"/>
        <v>2838</v>
      </c>
      <c r="CF174" s="69" t="str">
        <f t="shared" si="14"/>
        <v>برنامج دولى</v>
      </c>
    </row>
    <row r="175" spans="2:84" x14ac:dyDescent="0.25">
      <c r="B175" s="78">
        <v>4956</v>
      </c>
      <c r="C175" s="70">
        <v>2839</v>
      </c>
      <c r="D175" s="69" t="s">
        <v>78</v>
      </c>
      <c r="E175" s="173" t="s">
        <v>3611</v>
      </c>
      <c r="G175" s="69">
        <v>234.5</v>
      </c>
      <c r="T175" s="69"/>
      <c r="U175" s="69"/>
      <c r="AR175" s="94">
        <f t="shared" si="11"/>
        <v>234.5</v>
      </c>
      <c r="AS175" s="69">
        <v>157.19999999999999</v>
      </c>
      <c r="AT175" s="69">
        <v>20.8</v>
      </c>
      <c r="AU175" s="69">
        <v>56.5</v>
      </c>
      <c r="BC175" s="69"/>
      <c r="BD175" s="69"/>
      <c r="CC175" s="94">
        <f t="shared" si="12"/>
        <v>234.5</v>
      </c>
      <c r="CD175" s="73">
        <f t="shared" si="13"/>
        <v>0</v>
      </c>
      <c r="CE175" s="75">
        <f t="shared" si="14"/>
        <v>2839</v>
      </c>
      <c r="CF175" s="69" t="str">
        <f t="shared" si="14"/>
        <v>برنامج دولى</v>
      </c>
    </row>
    <row r="176" spans="2:84" x14ac:dyDescent="0.25">
      <c r="B176" s="78">
        <v>4955</v>
      </c>
      <c r="C176" s="70">
        <v>2840</v>
      </c>
      <c r="D176" s="69" t="s">
        <v>78</v>
      </c>
      <c r="E176" s="173" t="s">
        <v>3611</v>
      </c>
      <c r="G176" s="69">
        <v>8600.17</v>
      </c>
      <c r="T176" s="69"/>
      <c r="U176" s="69"/>
      <c r="AR176" s="94">
        <f t="shared" si="11"/>
        <v>8600.17</v>
      </c>
      <c r="AS176" s="69">
        <v>5747.7</v>
      </c>
      <c r="AT176" s="69">
        <v>764.15</v>
      </c>
      <c r="AU176" s="69">
        <v>2088.3200000000002</v>
      </c>
      <c r="BC176" s="69"/>
      <c r="BD176" s="69"/>
      <c r="CC176" s="94">
        <f t="shared" si="12"/>
        <v>8600.17</v>
      </c>
      <c r="CD176" s="73">
        <f t="shared" si="13"/>
        <v>0</v>
      </c>
      <c r="CE176" s="75">
        <f t="shared" si="14"/>
        <v>2840</v>
      </c>
      <c r="CF176" s="69" t="str">
        <f t="shared" si="14"/>
        <v>برنامج دولى</v>
      </c>
    </row>
    <row r="177" spans="1:84" x14ac:dyDescent="0.25">
      <c r="B177" s="78">
        <v>4951</v>
      </c>
      <c r="C177" s="70">
        <v>2841</v>
      </c>
      <c r="D177" s="69" t="s">
        <v>78</v>
      </c>
      <c r="E177" s="173" t="s">
        <v>3611</v>
      </c>
      <c r="G177" s="69">
        <v>8196.67</v>
      </c>
      <c r="T177" s="69"/>
      <c r="U177" s="69"/>
      <c r="AR177" s="94">
        <f t="shared" si="11"/>
        <v>8196.67</v>
      </c>
      <c r="AS177" s="69">
        <v>5544.95</v>
      </c>
      <c r="AT177" s="69">
        <v>732.9</v>
      </c>
      <c r="AU177" s="69">
        <v>1918.82</v>
      </c>
      <c r="BC177" s="69"/>
      <c r="BD177" s="69"/>
      <c r="CC177" s="94">
        <f t="shared" si="12"/>
        <v>8196.67</v>
      </c>
      <c r="CD177" s="73">
        <f t="shared" si="13"/>
        <v>0</v>
      </c>
      <c r="CE177" s="75">
        <f t="shared" si="14"/>
        <v>2841</v>
      </c>
      <c r="CF177" s="69" t="str">
        <f t="shared" si="14"/>
        <v>برنامج دولى</v>
      </c>
    </row>
    <row r="178" spans="1:84" x14ac:dyDescent="0.25">
      <c r="B178" s="78">
        <v>4340</v>
      </c>
      <c r="C178" s="70">
        <v>2842</v>
      </c>
      <c r="D178" s="69" t="s">
        <v>78</v>
      </c>
      <c r="E178" s="173" t="s">
        <v>3612</v>
      </c>
      <c r="G178" s="69">
        <v>1700.12</v>
      </c>
      <c r="T178" s="69"/>
      <c r="U178" s="69"/>
      <c r="AR178" s="94">
        <f t="shared" si="11"/>
        <v>1700.12</v>
      </c>
      <c r="AS178" s="69">
        <v>1138</v>
      </c>
      <c r="AT178" s="69">
        <v>152.5</v>
      </c>
      <c r="AU178" s="69">
        <v>409.62</v>
      </c>
      <c r="BC178" s="69"/>
      <c r="BD178" s="69"/>
      <c r="CC178" s="94">
        <f t="shared" si="12"/>
        <v>1700.12</v>
      </c>
      <c r="CD178" s="73">
        <f t="shared" si="13"/>
        <v>0</v>
      </c>
      <c r="CE178" s="75">
        <f t="shared" si="14"/>
        <v>2842</v>
      </c>
      <c r="CF178" s="69" t="str">
        <f t="shared" si="14"/>
        <v>برنامج دولى</v>
      </c>
    </row>
    <row r="179" spans="1:84" x14ac:dyDescent="0.25">
      <c r="B179" s="78">
        <v>4341</v>
      </c>
      <c r="C179" s="70">
        <v>2843</v>
      </c>
      <c r="D179" s="69" t="s">
        <v>78</v>
      </c>
      <c r="E179" s="173" t="s">
        <v>3612</v>
      </c>
      <c r="G179" s="69">
        <v>644.88</v>
      </c>
      <c r="T179" s="69"/>
      <c r="U179" s="69"/>
      <c r="AR179" s="94">
        <f t="shared" si="11"/>
        <v>644.88</v>
      </c>
      <c r="AS179" s="69">
        <v>431.4</v>
      </c>
      <c r="AT179" s="69">
        <v>58.1</v>
      </c>
      <c r="AU179" s="69">
        <v>155.38</v>
      </c>
      <c r="BC179" s="69"/>
      <c r="BD179" s="69"/>
      <c r="CC179" s="94">
        <f t="shared" si="12"/>
        <v>644.88</v>
      </c>
      <c r="CD179" s="73">
        <f t="shared" si="13"/>
        <v>0</v>
      </c>
      <c r="CE179" s="75">
        <f t="shared" si="14"/>
        <v>2843</v>
      </c>
      <c r="CF179" s="69" t="str">
        <f t="shared" si="14"/>
        <v>برنامج دولى</v>
      </c>
    </row>
    <row r="180" spans="1:84" x14ac:dyDescent="0.25">
      <c r="B180" s="78">
        <v>4342</v>
      </c>
      <c r="C180" s="70">
        <v>2844</v>
      </c>
      <c r="D180" s="69" t="s">
        <v>78</v>
      </c>
      <c r="E180" s="173" t="s">
        <v>3612</v>
      </c>
      <c r="G180" s="69">
        <v>703.5</v>
      </c>
      <c r="T180" s="69"/>
      <c r="U180" s="69"/>
      <c r="AR180" s="94">
        <f t="shared" si="11"/>
        <v>703.5</v>
      </c>
      <c r="AS180" s="69">
        <v>470.6</v>
      </c>
      <c r="AT180" s="69">
        <v>63.4</v>
      </c>
      <c r="AU180" s="69">
        <v>169.5</v>
      </c>
      <c r="BC180" s="69"/>
      <c r="BD180" s="69"/>
      <c r="CC180" s="94">
        <f t="shared" si="12"/>
        <v>703.5</v>
      </c>
      <c r="CD180" s="73">
        <f t="shared" si="13"/>
        <v>0</v>
      </c>
      <c r="CE180" s="75">
        <f t="shared" si="14"/>
        <v>2844</v>
      </c>
      <c r="CF180" s="69" t="str">
        <f t="shared" si="14"/>
        <v>برنامج دولى</v>
      </c>
    </row>
    <row r="181" spans="1:84" x14ac:dyDescent="0.25">
      <c r="B181" s="78">
        <v>4343</v>
      </c>
      <c r="C181" s="70">
        <v>2845</v>
      </c>
      <c r="D181" s="69" t="s">
        <v>78</v>
      </c>
      <c r="E181" s="173" t="s">
        <v>3612</v>
      </c>
      <c r="G181" s="69">
        <v>3986.49</v>
      </c>
      <c r="T181" s="69"/>
      <c r="U181" s="69"/>
      <c r="AR181" s="94">
        <f t="shared" si="11"/>
        <v>3986.49</v>
      </c>
      <c r="AS181" s="69">
        <v>2666.7</v>
      </c>
      <c r="AT181" s="69">
        <v>359.3</v>
      </c>
      <c r="AU181" s="69">
        <v>960.49</v>
      </c>
      <c r="BC181" s="69"/>
      <c r="BD181" s="69"/>
      <c r="CC181" s="94">
        <f t="shared" si="12"/>
        <v>3986.49</v>
      </c>
      <c r="CD181" s="73">
        <f t="shared" si="13"/>
        <v>0</v>
      </c>
      <c r="CE181" s="75">
        <f t="shared" si="14"/>
        <v>2845</v>
      </c>
      <c r="CF181" s="69" t="str">
        <f t="shared" si="14"/>
        <v>برنامج دولى</v>
      </c>
    </row>
    <row r="182" spans="1:84" x14ac:dyDescent="0.25">
      <c r="B182" s="78">
        <v>5002</v>
      </c>
      <c r="C182" s="70">
        <v>2846</v>
      </c>
      <c r="D182" s="69" t="s">
        <v>78</v>
      </c>
      <c r="E182" s="173" t="s">
        <v>3613</v>
      </c>
      <c r="G182" s="69">
        <v>2600</v>
      </c>
      <c r="T182" s="69"/>
      <c r="U182" s="69"/>
      <c r="AR182" s="94">
        <f t="shared" si="11"/>
        <v>2600</v>
      </c>
      <c r="AS182" s="69">
        <v>2320.87</v>
      </c>
      <c r="AT182" s="69">
        <f>260+19.13</f>
        <v>279.13</v>
      </c>
      <c r="BC182" s="69"/>
      <c r="BD182" s="69"/>
      <c r="CC182" s="94">
        <f t="shared" si="12"/>
        <v>2600</v>
      </c>
      <c r="CD182" s="73">
        <f t="shared" si="13"/>
        <v>0</v>
      </c>
      <c r="CE182" s="75">
        <f t="shared" si="14"/>
        <v>2846</v>
      </c>
      <c r="CF182" s="69" t="str">
        <f t="shared" si="14"/>
        <v>برنامج دولى</v>
      </c>
    </row>
    <row r="183" spans="1:84" x14ac:dyDescent="0.25">
      <c r="B183" s="78">
        <v>4504</v>
      </c>
      <c r="C183" s="70">
        <v>2847</v>
      </c>
      <c r="D183" s="69" t="s">
        <v>78</v>
      </c>
      <c r="E183" s="173" t="s">
        <v>3614</v>
      </c>
      <c r="G183" s="69">
        <v>1562.5</v>
      </c>
      <c r="T183" s="69"/>
      <c r="U183" s="69"/>
      <c r="AR183" s="94">
        <f t="shared" si="11"/>
        <v>1562.5</v>
      </c>
      <c r="AS183" s="69">
        <v>1394.9</v>
      </c>
      <c r="AT183" s="69">
        <v>167.6</v>
      </c>
      <c r="BC183" s="69"/>
      <c r="BD183" s="69"/>
      <c r="CC183" s="94">
        <f t="shared" si="12"/>
        <v>1562.5</v>
      </c>
      <c r="CD183" s="73">
        <f t="shared" si="13"/>
        <v>0</v>
      </c>
      <c r="CE183" s="75">
        <f t="shared" si="14"/>
        <v>2847</v>
      </c>
      <c r="CF183" s="69" t="str">
        <f t="shared" si="14"/>
        <v>برنامج دولى</v>
      </c>
    </row>
    <row r="184" spans="1:84" x14ac:dyDescent="0.25">
      <c r="B184" s="78">
        <v>5320</v>
      </c>
      <c r="C184" s="70">
        <v>2848</v>
      </c>
      <c r="D184" s="69" t="s">
        <v>78</v>
      </c>
      <c r="E184" s="173" t="s">
        <v>665</v>
      </c>
      <c r="G184" s="69">
        <v>350</v>
      </c>
      <c r="T184" s="69"/>
      <c r="U184" s="69"/>
      <c r="AR184" s="94">
        <f t="shared" si="11"/>
        <v>350</v>
      </c>
      <c r="AS184" s="69">
        <v>313.05</v>
      </c>
      <c r="AT184" s="69">
        <v>36.950000000000003</v>
      </c>
      <c r="BC184" s="69"/>
      <c r="BD184" s="69"/>
      <c r="CC184" s="94">
        <f t="shared" si="12"/>
        <v>350</v>
      </c>
      <c r="CD184" s="73">
        <f t="shared" si="13"/>
        <v>0</v>
      </c>
      <c r="CE184" s="75">
        <f t="shared" si="14"/>
        <v>2848</v>
      </c>
      <c r="CF184" s="69" t="str">
        <f t="shared" si="14"/>
        <v>برنامج دولى</v>
      </c>
    </row>
    <row r="185" spans="1:84" x14ac:dyDescent="0.25">
      <c r="B185" s="78">
        <v>5296</v>
      </c>
      <c r="C185" s="70">
        <v>2849</v>
      </c>
      <c r="D185" s="69" t="s">
        <v>78</v>
      </c>
      <c r="E185" s="173" t="s">
        <v>3615</v>
      </c>
      <c r="G185" s="69">
        <v>2345</v>
      </c>
      <c r="T185" s="69"/>
      <c r="U185" s="69"/>
      <c r="AR185" s="94">
        <f t="shared" si="11"/>
        <v>2345</v>
      </c>
      <c r="AS185" s="69">
        <v>1567</v>
      </c>
      <c r="AT185" s="69">
        <f>13+200</f>
        <v>213</v>
      </c>
      <c r="AU185" s="69">
        <v>565</v>
      </c>
      <c r="BC185" s="69"/>
      <c r="BD185" s="69"/>
      <c r="CC185" s="94">
        <f t="shared" si="12"/>
        <v>2345</v>
      </c>
      <c r="CD185" s="73">
        <f t="shared" si="13"/>
        <v>0</v>
      </c>
      <c r="CE185" s="75">
        <f t="shared" si="14"/>
        <v>2849</v>
      </c>
      <c r="CF185" s="69" t="str">
        <f t="shared" si="14"/>
        <v>برنامج دولى</v>
      </c>
    </row>
    <row r="186" spans="1:84" x14ac:dyDescent="0.25">
      <c r="B186" s="78">
        <v>5295</v>
      </c>
      <c r="C186" s="70">
        <v>2850</v>
      </c>
      <c r="D186" s="69" t="s">
        <v>78</v>
      </c>
      <c r="E186" s="173" t="s">
        <v>3615</v>
      </c>
      <c r="G186" s="69">
        <v>1392.93</v>
      </c>
      <c r="T186" s="69"/>
      <c r="U186" s="69"/>
      <c r="AR186" s="94">
        <f t="shared" si="11"/>
        <v>1392.93</v>
      </c>
      <c r="AS186" s="69">
        <v>931.37</v>
      </c>
      <c r="AT186" s="69">
        <f>7.15+118.8</f>
        <v>125.95</v>
      </c>
      <c r="AU186" s="69">
        <v>335.61</v>
      </c>
      <c r="BC186" s="69"/>
      <c r="BD186" s="69"/>
      <c r="CC186" s="94">
        <f t="shared" si="12"/>
        <v>1392.9299999999998</v>
      </c>
      <c r="CD186" s="73">
        <f t="shared" si="13"/>
        <v>0</v>
      </c>
      <c r="CE186" s="75">
        <f t="shared" si="14"/>
        <v>2850</v>
      </c>
      <c r="CF186" s="69" t="str">
        <f t="shared" si="14"/>
        <v>برنامج دولى</v>
      </c>
    </row>
    <row r="187" spans="1:84" x14ac:dyDescent="0.25">
      <c r="B187" s="78">
        <v>5294</v>
      </c>
      <c r="C187" s="70">
        <v>2851</v>
      </c>
      <c r="D187" s="69" t="s">
        <v>78</v>
      </c>
      <c r="E187" s="173" t="s">
        <v>3615</v>
      </c>
      <c r="G187" s="69">
        <v>252</v>
      </c>
      <c r="T187" s="69"/>
      <c r="U187" s="69"/>
      <c r="AR187" s="94">
        <f t="shared" si="11"/>
        <v>252</v>
      </c>
      <c r="AS187" s="69">
        <v>225.45</v>
      </c>
      <c r="AT187" s="69">
        <v>26.55</v>
      </c>
      <c r="BC187" s="69"/>
      <c r="BD187" s="69"/>
      <c r="CC187" s="94">
        <f t="shared" si="12"/>
        <v>252</v>
      </c>
      <c r="CD187" s="73">
        <f t="shared" si="13"/>
        <v>0</v>
      </c>
      <c r="CE187" s="75">
        <f t="shared" si="14"/>
        <v>2851</v>
      </c>
      <c r="CF187" s="69" t="str">
        <f t="shared" si="14"/>
        <v>برنامج دولى</v>
      </c>
    </row>
    <row r="188" spans="1:84" x14ac:dyDescent="0.25">
      <c r="B188" s="78">
        <v>5293</v>
      </c>
      <c r="C188" s="70">
        <v>2852</v>
      </c>
      <c r="D188" s="69" t="s">
        <v>78</v>
      </c>
      <c r="E188" s="173" t="s">
        <v>3615</v>
      </c>
      <c r="G188" s="69">
        <v>1335.76</v>
      </c>
      <c r="T188" s="69"/>
      <c r="U188" s="69"/>
      <c r="AR188" s="94">
        <f t="shared" si="11"/>
        <v>1335.76</v>
      </c>
      <c r="AS188" s="69">
        <v>1168.5</v>
      </c>
      <c r="AT188" s="69">
        <v>141.44999999999999</v>
      </c>
      <c r="AU188" s="69">
        <v>25.81</v>
      </c>
      <c r="BC188" s="69"/>
      <c r="BD188" s="69"/>
      <c r="CC188" s="94">
        <f t="shared" si="12"/>
        <v>1335.76</v>
      </c>
      <c r="CD188" s="73">
        <f t="shared" si="13"/>
        <v>0</v>
      </c>
      <c r="CE188" s="75">
        <f t="shared" si="14"/>
        <v>2852</v>
      </c>
      <c r="CF188" s="69" t="str">
        <f t="shared" si="14"/>
        <v>برنامج دولى</v>
      </c>
    </row>
    <row r="189" spans="1:84" ht="27" customHeight="1" x14ac:dyDescent="0.25">
      <c r="B189" s="78">
        <v>5292</v>
      </c>
      <c r="C189" s="70">
        <v>2853</v>
      </c>
      <c r="D189" s="69" t="s">
        <v>78</v>
      </c>
      <c r="E189" s="173" t="s">
        <v>3615</v>
      </c>
      <c r="G189" s="69">
        <v>540.28</v>
      </c>
      <c r="T189" s="69"/>
      <c r="U189" s="69"/>
      <c r="AR189" s="94">
        <f t="shared" si="11"/>
        <v>540.28</v>
      </c>
      <c r="AS189" s="69">
        <v>482.8</v>
      </c>
      <c r="AT189" s="69">
        <v>57.48</v>
      </c>
      <c r="BC189" s="69"/>
      <c r="BD189" s="69"/>
      <c r="CC189" s="94">
        <f t="shared" si="12"/>
        <v>540.28</v>
      </c>
      <c r="CD189" s="73">
        <f t="shared" si="13"/>
        <v>0</v>
      </c>
      <c r="CE189" s="75">
        <f t="shared" si="14"/>
        <v>2853</v>
      </c>
      <c r="CF189" s="69" t="str">
        <f t="shared" si="14"/>
        <v>برنامج دولى</v>
      </c>
    </row>
    <row r="190" spans="1:84" x14ac:dyDescent="0.25">
      <c r="B190" s="78">
        <v>5291</v>
      </c>
      <c r="C190" s="70">
        <v>2854</v>
      </c>
      <c r="D190" s="69" t="s">
        <v>78</v>
      </c>
      <c r="E190" s="173" t="s">
        <v>3615</v>
      </c>
      <c r="G190" s="69">
        <v>1030.9000000000001</v>
      </c>
      <c r="T190" s="69"/>
      <c r="U190" s="69"/>
      <c r="AR190" s="94">
        <f t="shared" si="11"/>
        <v>1030.9000000000001</v>
      </c>
      <c r="AS190" s="69">
        <v>920.41</v>
      </c>
      <c r="AT190" s="69">
        <v>110.49</v>
      </c>
      <c r="BC190" s="69"/>
      <c r="BD190" s="69"/>
      <c r="CC190" s="94">
        <f t="shared" si="12"/>
        <v>1030.8999999999999</v>
      </c>
      <c r="CD190" s="73">
        <f t="shared" si="13"/>
        <v>0</v>
      </c>
      <c r="CE190" s="75">
        <f t="shared" si="14"/>
        <v>2854</v>
      </c>
      <c r="CF190" s="69" t="str">
        <f t="shared" si="14"/>
        <v>برنامج دولى</v>
      </c>
    </row>
    <row r="191" spans="1:84" x14ac:dyDescent="0.25">
      <c r="A191" s="77"/>
      <c r="B191" s="78">
        <v>4455</v>
      </c>
      <c r="C191" s="70">
        <v>2855</v>
      </c>
      <c r="D191" s="69" t="s">
        <v>78</v>
      </c>
      <c r="E191" s="173" t="str">
        <f>+E162</f>
        <v>مكافاه ماموريه منصور بشير</v>
      </c>
      <c r="G191" s="69">
        <v>703.5</v>
      </c>
      <c r="T191" s="69"/>
      <c r="U191" s="69"/>
      <c r="AR191" s="94">
        <f t="shared" si="11"/>
        <v>703.5</v>
      </c>
      <c r="AS191" s="69">
        <v>470.6</v>
      </c>
      <c r="AT191" s="69">
        <v>63.4</v>
      </c>
      <c r="AU191" s="69">
        <v>169.5</v>
      </c>
      <c r="BC191" s="69"/>
      <c r="BD191" s="69"/>
      <c r="CC191" s="94">
        <f t="shared" si="12"/>
        <v>703.5</v>
      </c>
      <c r="CD191" s="73">
        <f t="shared" si="13"/>
        <v>0</v>
      </c>
      <c r="CE191" s="75">
        <f t="shared" si="14"/>
        <v>2855</v>
      </c>
      <c r="CF191" s="69" t="str">
        <f t="shared" si="14"/>
        <v>برنامج دولى</v>
      </c>
    </row>
    <row r="192" spans="1:84" x14ac:dyDescent="0.25">
      <c r="B192" s="78">
        <v>4448</v>
      </c>
      <c r="C192" s="70">
        <v>2856</v>
      </c>
      <c r="D192" s="69" t="s">
        <v>78</v>
      </c>
      <c r="E192" s="173" t="str">
        <f>+E184</f>
        <v>مكافاه ماموريه محمد سعيد</v>
      </c>
      <c r="G192" s="69">
        <v>175.88</v>
      </c>
      <c r="T192" s="69"/>
      <c r="U192" s="69"/>
      <c r="AR192" s="94">
        <f t="shared" si="11"/>
        <v>175.88</v>
      </c>
      <c r="AS192" s="69">
        <v>118</v>
      </c>
      <c r="AT192" s="69">
        <v>15.5</v>
      </c>
      <c r="AU192" s="69">
        <v>42.38</v>
      </c>
      <c r="BC192" s="69"/>
      <c r="BD192" s="69"/>
      <c r="CC192" s="94">
        <f t="shared" si="12"/>
        <v>175.88</v>
      </c>
      <c r="CD192" s="73">
        <f t="shared" si="13"/>
        <v>0</v>
      </c>
      <c r="CE192" s="75">
        <f t="shared" si="14"/>
        <v>2856</v>
      </c>
      <c r="CF192" s="69" t="str">
        <f t="shared" si="14"/>
        <v>برنامج دولى</v>
      </c>
    </row>
    <row r="193" spans="2:84" x14ac:dyDescent="0.25">
      <c r="B193" s="78">
        <v>4381</v>
      </c>
      <c r="C193" s="70">
        <v>2857</v>
      </c>
      <c r="D193" s="69" t="s">
        <v>78</v>
      </c>
      <c r="E193" s="173" t="s">
        <v>3616</v>
      </c>
      <c r="G193" s="69">
        <v>4555.38</v>
      </c>
      <c r="T193" s="69"/>
      <c r="U193" s="69"/>
      <c r="AR193" s="94">
        <f t="shared" si="11"/>
        <v>4555.38</v>
      </c>
      <c r="AS193" s="69">
        <v>2608.6799999999998</v>
      </c>
      <c r="AT193" s="69">
        <v>382.1</v>
      </c>
      <c r="AU193" s="69">
        <v>1564.6</v>
      </c>
      <c r="BC193" s="69"/>
      <c r="BD193" s="69"/>
      <c r="CC193" s="94">
        <f t="shared" si="12"/>
        <v>4555.3799999999992</v>
      </c>
      <c r="CD193" s="73">
        <f t="shared" si="13"/>
        <v>0</v>
      </c>
      <c r="CE193" s="75">
        <f t="shared" si="14"/>
        <v>2857</v>
      </c>
      <c r="CF193" s="69" t="str">
        <f t="shared" si="14"/>
        <v>برنامج دولى</v>
      </c>
    </row>
    <row r="194" spans="2:84" x14ac:dyDescent="0.25">
      <c r="B194" s="78">
        <v>4473</v>
      </c>
      <c r="C194" s="70">
        <v>2858</v>
      </c>
      <c r="D194" s="69" t="s">
        <v>78</v>
      </c>
      <c r="E194" s="173" t="s">
        <v>1233</v>
      </c>
      <c r="G194" s="69">
        <v>9450</v>
      </c>
      <c r="T194" s="69"/>
      <c r="U194" s="69"/>
      <c r="AR194" s="94">
        <f t="shared" si="11"/>
        <v>9450</v>
      </c>
      <c r="AS194" s="69">
        <v>8430.75</v>
      </c>
      <c r="AT194" s="69">
        <v>1019.25</v>
      </c>
      <c r="BC194" s="69"/>
      <c r="BD194" s="69"/>
      <c r="CC194" s="94">
        <f t="shared" si="12"/>
        <v>9450</v>
      </c>
      <c r="CD194" s="73">
        <f t="shared" si="13"/>
        <v>0</v>
      </c>
      <c r="CE194" s="75">
        <f t="shared" si="14"/>
        <v>2858</v>
      </c>
      <c r="CF194" s="69" t="str">
        <f t="shared" si="14"/>
        <v>برنامج دولى</v>
      </c>
    </row>
    <row r="195" spans="2:84" x14ac:dyDescent="0.25">
      <c r="B195" s="82">
        <v>4503</v>
      </c>
      <c r="C195" s="70">
        <v>2859</v>
      </c>
      <c r="D195" s="69" t="s">
        <v>78</v>
      </c>
      <c r="E195" s="107" t="str">
        <f>+E183</f>
        <v>مكافاه منسقين اكاديمى</v>
      </c>
      <c r="G195" s="69">
        <v>46050.76</v>
      </c>
      <c r="T195" s="69"/>
      <c r="U195" s="69"/>
      <c r="AR195" s="94">
        <f t="shared" si="11"/>
        <v>46050.76</v>
      </c>
      <c r="AS195" s="69">
        <v>40700.65</v>
      </c>
      <c r="AT195" s="69">
        <v>4908.72</v>
      </c>
      <c r="AU195" s="69">
        <v>441.39</v>
      </c>
      <c r="BC195" s="69"/>
      <c r="BD195" s="69"/>
      <c r="CC195" s="94">
        <f t="shared" si="12"/>
        <v>46050.76</v>
      </c>
      <c r="CD195" s="73">
        <f t="shared" si="13"/>
        <v>0</v>
      </c>
      <c r="CE195" s="75">
        <f t="shared" si="14"/>
        <v>2859</v>
      </c>
      <c r="CF195" s="69" t="str">
        <f t="shared" si="14"/>
        <v>برنامج دولى</v>
      </c>
    </row>
    <row r="196" spans="2:84" x14ac:dyDescent="0.25">
      <c r="B196" s="82">
        <v>4393</v>
      </c>
      <c r="C196" s="70">
        <v>2860</v>
      </c>
      <c r="D196" s="69" t="s">
        <v>78</v>
      </c>
      <c r="E196" s="107" t="s">
        <v>1909</v>
      </c>
      <c r="G196" s="69">
        <v>10318</v>
      </c>
      <c r="T196" s="69"/>
      <c r="U196" s="69"/>
      <c r="AR196" s="94">
        <f t="shared" si="11"/>
        <v>10318</v>
      </c>
      <c r="AS196" s="69">
        <v>6894</v>
      </c>
      <c r="AT196" s="69">
        <v>938</v>
      </c>
      <c r="AU196" s="69">
        <v>2486</v>
      </c>
      <c r="BC196" s="69"/>
      <c r="BD196" s="69"/>
      <c r="CC196" s="94">
        <f t="shared" si="12"/>
        <v>10318</v>
      </c>
      <c r="CD196" s="73">
        <f t="shared" si="13"/>
        <v>0</v>
      </c>
      <c r="CE196" s="75">
        <f t="shared" si="14"/>
        <v>2860</v>
      </c>
      <c r="CF196" s="69" t="str">
        <f t="shared" si="14"/>
        <v>برنامج دولى</v>
      </c>
    </row>
    <row r="197" spans="2:84" x14ac:dyDescent="0.25">
      <c r="B197" s="82">
        <v>4392</v>
      </c>
      <c r="C197" s="70">
        <v>2861</v>
      </c>
      <c r="D197" s="69" t="s">
        <v>78</v>
      </c>
      <c r="E197" s="107" t="s">
        <v>1909</v>
      </c>
      <c r="G197" s="69">
        <v>5159</v>
      </c>
      <c r="T197" s="69"/>
      <c r="U197" s="69"/>
      <c r="AR197" s="94">
        <f t="shared" si="11"/>
        <v>5159</v>
      </c>
      <c r="AS197" s="69">
        <v>3447</v>
      </c>
      <c r="AT197" s="69">
        <v>469</v>
      </c>
      <c r="AU197" s="69">
        <v>1243</v>
      </c>
      <c r="BC197" s="69"/>
      <c r="BD197" s="69"/>
      <c r="CC197" s="94">
        <f t="shared" si="12"/>
        <v>5159</v>
      </c>
      <c r="CD197" s="73">
        <f t="shared" si="13"/>
        <v>0</v>
      </c>
      <c r="CE197" s="75">
        <f t="shared" si="14"/>
        <v>2861</v>
      </c>
      <c r="CF197" s="69" t="str">
        <f t="shared" si="14"/>
        <v>برنامج دولى</v>
      </c>
    </row>
    <row r="198" spans="2:84" x14ac:dyDescent="0.25">
      <c r="B198" s="82">
        <v>4384</v>
      </c>
      <c r="C198" s="70">
        <v>2862</v>
      </c>
      <c r="D198" s="69" t="s">
        <v>78</v>
      </c>
      <c r="E198" s="107" t="s">
        <v>3617</v>
      </c>
      <c r="G198" s="69">
        <v>29423.96</v>
      </c>
      <c r="T198" s="69"/>
      <c r="U198" s="69"/>
      <c r="AR198" s="94">
        <f t="shared" si="11"/>
        <v>29423.96</v>
      </c>
      <c r="AS198" s="69">
        <v>19517.48</v>
      </c>
      <c r="AT198" s="69">
        <v>2661.45</v>
      </c>
      <c r="AU198" s="69">
        <v>7245.03</v>
      </c>
      <c r="BC198" s="69"/>
      <c r="BD198" s="69"/>
      <c r="CC198" s="94">
        <f t="shared" si="12"/>
        <v>29423.96</v>
      </c>
      <c r="CD198" s="73">
        <f t="shared" si="13"/>
        <v>0</v>
      </c>
      <c r="CE198" s="75">
        <f t="shared" si="14"/>
        <v>2862</v>
      </c>
      <c r="CF198" s="69" t="str">
        <f t="shared" si="14"/>
        <v>برنامج دولى</v>
      </c>
    </row>
    <row r="199" spans="2:84" x14ac:dyDescent="0.25">
      <c r="B199" s="82">
        <v>4385</v>
      </c>
      <c r="C199" s="70">
        <v>2863</v>
      </c>
      <c r="D199" s="69" t="s">
        <v>78</v>
      </c>
      <c r="E199" s="107" t="s">
        <v>3617</v>
      </c>
      <c r="G199" s="69">
        <v>9497.25</v>
      </c>
      <c r="T199" s="69"/>
      <c r="U199" s="69"/>
      <c r="AR199" s="94">
        <f t="shared" si="11"/>
        <v>9497.25</v>
      </c>
      <c r="AS199" s="69">
        <v>6347.55</v>
      </c>
      <c r="AT199" s="69">
        <v>861.45</v>
      </c>
      <c r="AU199" s="69">
        <v>2288.25</v>
      </c>
      <c r="BC199" s="69"/>
      <c r="BD199" s="69"/>
      <c r="CC199" s="94">
        <f t="shared" si="12"/>
        <v>9497.25</v>
      </c>
      <c r="CD199" s="73">
        <f t="shared" si="13"/>
        <v>0</v>
      </c>
      <c r="CE199" s="75">
        <f t="shared" si="14"/>
        <v>2863</v>
      </c>
      <c r="CF199" s="69" t="str">
        <f t="shared" si="14"/>
        <v>برنامج دولى</v>
      </c>
    </row>
    <row r="200" spans="2:84" x14ac:dyDescent="0.25">
      <c r="B200" s="82">
        <v>4386</v>
      </c>
      <c r="C200" s="70">
        <v>2864</v>
      </c>
      <c r="D200" s="69" t="s">
        <v>78</v>
      </c>
      <c r="E200" s="107" t="s">
        <v>3617</v>
      </c>
      <c r="G200" s="69">
        <v>1758.75</v>
      </c>
      <c r="T200" s="69"/>
      <c r="U200" s="69"/>
      <c r="AR200" s="94">
        <f t="shared" si="11"/>
        <v>1758.75</v>
      </c>
      <c r="AS200" s="69">
        <v>1175.3499999999999</v>
      </c>
      <c r="AT200" s="69">
        <v>159.65</v>
      </c>
      <c r="AU200" s="69">
        <v>423.75</v>
      </c>
      <c r="BC200" s="69"/>
      <c r="BD200" s="69"/>
      <c r="CC200" s="94">
        <f t="shared" si="12"/>
        <v>1758.75</v>
      </c>
      <c r="CD200" s="73">
        <f t="shared" si="13"/>
        <v>0</v>
      </c>
      <c r="CE200" s="75">
        <f t="shared" si="14"/>
        <v>2864</v>
      </c>
      <c r="CF200" s="69" t="str">
        <f t="shared" si="14"/>
        <v>برنامج دولى</v>
      </c>
    </row>
    <row r="201" spans="2:84" x14ac:dyDescent="0.25">
      <c r="B201" s="82">
        <v>4387</v>
      </c>
      <c r="C201" s="70">
        <v>2865</v>
      </c>
      <c r="D201" s="69" t="s">
        <v>78</v>
      </c>
      <c r="E201" s="107" t="s">
        <v>3617</v>
      </c>
      <c r="G201" s="69">
        <v>3517.5</v>
      </c>
      <c r="T201" s="69"/>
      <c r="U201" s="69"/>
      <c r="AR201" s="94">
        <f t="shared" si="11"/>
        <v>3517.5</v>
      </c>
      <c r="AS201" s="69">
        <v>2350.35</v>
      </c>
      <c r="AT201" s="69">
        <v>319.64999999999998</v>
      </c>
      <c r="AU201" s="69">
        <v>847.5</v>
      </c>
      <c r="BC201" s="69"/>
      <c r="BD201" s="69"/>
      <c r="CC201" s="94">
        <f t="shared" si="12"/>
        <v>3517.5</v>
      </c>
      <c r="CD201" s="73">
        <f t="shared" si="13"/>
        <v>0</v>
      </c>
      <c r="CE201" s="75">
        <f t="shared" si="14"/>
        <v>2865</v>
      </c>
      <c r="CF201" s="69" t="str">
        <f t="shared" si="14"/>
        <v>برنامج دولى</v>
      </c>
    </row>
    <row r="202" spans="2:84" x14ac:dyDescent="0.25">
      <c r="B202" s="82">
        <v>4389</v>
      </c>
      <c r="C202" s="70">
        <v>2866</v>
      </c>
      <c r="D202" s="69" t="s">
        <v>78</v>
      </c>
      <c r="E202" s="107" t="s">
        <v>3618</v>
      </c>
      <c r="G202" s="69">
        <v>1407</v>
      </c>
      <c r="T202" s="69"/>
      <c r="U202" s="69"/>
      <c r="AR202" s="94">
        <f t="shared" si="11"/>
        <v>1407</v>
      </c>
      <c r="AS202" s="69">
        <v>940.35</v>
      </c>
      <c r="AT202" s="69">
        <v>127.65</v>
      </c>
      <c r="AU202" s="69">
        <v>339</v>
      </c>
      <c r="BC202" s="69"/>
      <c r="BD202" s="69"/>
      <c r="CC202" s="94">
        <f t="shared" si="12"/>
        <v>1407</v>
      </c>
      <c r="CD202" s="73">
        <f t="shared" si="13"/>
        <v>0</v>
      </c>
      <c r="CE202" s="75">
        <f t="shared" si="14"/>
        <v>2866</v>
      </c>
      <c r="CF202" s="69" t="str">
        <f t="shared" si="14"/>
        <v>برنامج دولى</v>
      </c>
    </row>
    <row r="203" spans="2:84" x14ac:dyDescent="0.25">
      <c r="B203" s="82">
        <v>4388</v>
      </c>
      <c r="C203" s="70">
        <v>2867</v>
      </c>
      <c r="D203" s="69" t="s">
        <v>78</v>
      </c>
      <c r="E203" s="107" t="str">
        <f>+E201</f>
        <v>مكافاه جرد سنوى مخازن</v>
      </c>
      <c r="G203" s="69">
        <v>3517.5</v>
      </c>
      <c r="T203" s="69"/>
      <c r="U203" s="69"/>
      <c r="AR203" s="94">
        <f t="shared" si="11"/>
        <v>3517.5</v>
      </c>
      <c r="AS203" s="69">
        <v>2350.35</v>
      </c>
      <c r="AT203" s="69">
        <v>319.64999999999998</v>
      </c>
      <c r="AU203" s="69">
        <v>847.5</v>
      </c>
      <c r="BC203" s="69"/>
      <c r="BD203" s="69"/>
      <c r="CC203" s="94">
        <f t="shared" si="12"/>
        <v>3517.5</v>
      </c>
      <c r="CD203" s="73">
        <f t="shared" si="13"/>
        <v>0</v>
      </c>
      <c r="CE203" s="75">
        <f t="shared" si="14"/>
        <v>2867</v>
      </c>
      <c r="CF203" s="69" t="str">
        <f t="shared" si="14"/>
        <v>برنامج دولى</v>
      </c>
    </row>
    <row r="204" spans="2:84" x14ac:dyDescent="0.25">
      <c r="B204" s="82">
        <v>4390</v>
      </c>
      <c r="C204" s="70">
        <v>2868</v>
      </c>
      <c r="D204" s="69" t="s">
        <v>78</v>
      </c>
      <c r="E204" s="107" t="str">
        <f>+E202</f>
        <v>مكافاه تعاقدات لجان توريدات</v>
      </c>
      <c r="G204" s="69">
        <v>1395.15</v>
      </c>
      <c r="T204" s="69"/>
      <c r="U204" s="69"/>
      <c r="AR204" s="94">
        <f t="shared" si="11"/>
        <v>1395.15</v>
      </c>
      <c r="AS204" s="69">
        <v>947.86</v>
      </c>
      <c r="AT204" s="69">
        <v>127.7</v>
      </c>
      <c r="AU204" s="69">
        <v>319.58999999999997</v>
      </c>
      <c r="BC204" s="69"/>
      <c r="BD204" s="69"/>
      <c r="CC204" s="94">
        <f t="shared" si="12"/>
        <v>1395.1499999999999</v>
      </c>
      <c r="CD204" s="73">
        <f t="shared" si="13"/>
        <v>0</v>
      </c>
      <c r="CE204" s="75">
        <f t="shared" si="14"/>
        <v>2868</v>
      </c>
      <c r="CF204" s="69" t="str">
        <f t="shared" si="14"/>
        <v>برنامج دولى</v>
      </c>
    </row>
    <row r="205" spans="2:84" x14ac:dyDescent="0.25">
      <c r="B205" s="82">
        <v>4391</v>
      </c>
      <c r="C205" s="70">
        <v>2869</v>
      </c>
      <c r="D205" s="69" t="s">
        <v>78</v>
      </c>
      <c r="E205" s="107" t="str">
        <f>+E204</f>
        <v>مكافاه تعاقدات لجان توريدات</v>
      </c>
      <c r="G205" s="69">
        <v>975.15</v>
      </c>
      <c r="T205" s="69"/>
      <c r="U205" s="69"/>
      <c r="AR205" s="94">
        <f t="shared" si="11"/>
        <v>975.15</v>
      </c>
      <c r="AS205" s="69">
        <v>604.47</v>
      </c>
      <c r="AT205" s="69">
        <v>83.85</v>
      </c>
      <c r="AU205" s="69">
        <v>286.83</v>
      </c>
      <c r="BC205" s="69"/>
      <c r="BD205" s="69"/>
      <c r="CC205" s="94">
        <f t="shared" si="12"/>
        <v>975.15000000000009</v>
      </c>
      <c r="CD205" s="73">
        <f t="shared" si="13"/>
        <v>0</v>
      </c>
      <c r="CE205" s="75">
        <f t="shared" si="14"/>
        <v>2869</v>
      </c>
      <c r="CF205" s="69" t="str">
        <f t="shared" si="14"/>
        <v>برنامج دولى</v>
      </c>
    </row>
    <row r="206" spans="2:84" x14ac:dyDescent="0.25">
      <c r="B206" s="82">
        <v>4382</v>
      </c>
      <c r="C206" s="70">
        <v>2870</v>
      </c>
      <c r="D206" s="69" t="s">
        <v>78</v>
      </c>
      <c r="E206" s="107" t="s">
        <v>3184</v>
      </c>
      <c r="G206" s="69">
        <v>586.25</v>
      </c>
      <c r="T206" s="69"/>
      <c r="U206" s="69"/>
      <c r="AR206" s="94">
        <f t="shared" si="11"/>
        <v>586.25</v>
      </c>
      <c r="AS206" s="69">
        <v>392.4</v>
      </c>
      <c r="AT206" s="69">
        <v>52.6</v>
      </c>
      <c r="AU206" s="69">
        <v>141.25</v>
      </c>
      <c r="BC206" s="69"/>
      <c r="BD206" s="69"/>
      <c r="CC206" s="94">
        <f t="shared" si="12"/>
        <v>586.25</v>
      </c>
      <c r="CD206" s="73">
        <f t="shared" si="13"/>
        <v>0</v>
      </c>
      <c r="CE206" s="75">
        <f t="shared" si="14"/>
        <v>2870</v>
      </c>
      <c r="CF206" s="69" t="str">
        <f t="shared" si="14"/>
        <v>برنامج دولى</v>
      </c>
    </row>
    <row r="207" spans="2:84" x14ac:dyDescent="0.25">
      <c r="B207" s="82">
        <v>4383</v>
      </c>
      <c r="C207" s="70">
        <v>2871</v>
      </c>
      <c r="D207" s="69" t="s">
        <v>78</v>
      </c>
      <c r="E207" s="107" t="s">
        <v>3184</v>
      </c>
      <c r="G207" s="69">
        <v>586.25</v>
      </c>
      <c r="T207" s="69"/>
      <c r="U207" s="69"/>
      <c r="AR207" s="94">
        <f t="shared" si="11"/>
        <v>586.25</v>
      </c>
      <c r="AS207" s="69">
        <v>392.4</v>
      </c>
      <c r="AT207" s="69">
        <v>52.6</v>
      </c>
      <c r="AU207" s="69">
        <v>141.25</v>
      </c>
      <c r="BC207" s="69"/>
      <c r="BD207" s="69"/>
      <c r="CC207" s="94">
        <f t="shared" si="12"/>
        <v>586.25</v>
      </c>
      <c r="CD207" s="73">
        <f t="shared" si="13"/>
        <v>0</v>
      </c>
      <c r="CE207" s="75">
        <f t="shared" si="14"/>
        <v>2871</v>
      </c>
      <c r="CF207" s="69" t="str">
        <f t="shared" si="14"/>
        <v>برنامج دولى</v>
      </c>
    </row>
    <row r="208" spans="2:84" x14ac:dyDescent="0.25">
      <c r="B208" s="82">
        <v>4451</v>
      </c>
      <c r="C208" s="70">
        <v>2872</v>
      </c>
      <c r="D208" s="69" t="s">
        <v>78</v>
      </c>
      <c r="E208" s="107" t="s">
        <v>3619</v>
      </c>
      <c r="G208" s="69">
        <v>3672.5</v>
      </c>
      <c r="T208" s="69"/>
      <c r="U208" s="69"/>
      <c r="AR208" s="94">
        <f t="shared" si="11"/>
        <v>3672.5</v>
      </c>
      <c r="AS208" s="69">
        <v>3018.35</v>
      </c>
      <c r="AT208" s="69">
        <v>371.65</v>
      </c>
      <c r="AU208" s="69">
        <v>282.5</v>
      </c>
      <c r="BC208" s="69"/>
      <c r="BD208" s="69"/>
      <c r="CC208" s="94">
        <f t="shared" si="12"/>
        <v>3672.5</v>
      </c>
      <c r="CD208" s="73">
        <f t="shared" si="13"/>
        <v>0</v>
      </c>
      <c r="CE208" s="75">
        <f t="shared" si="14"/>
        <v>2872</v>
      </c>
      <c r="CF208" s="69" t="str">
        <f t="shared" si="14"/>
        <v>برنامج دولى</v>
      </c>
    </row>
    <row r="209" spans="2:84" x14ac:dyDescent="0.25">
      <c r="B209" s="82">
        <v>4452</v>
      </c>
      <c r="C209" s="70">
        <v>2873</v>
      </c>
      <c r="D209" s="69" t="s">
        <v>78</v>
      </c>
      <c r="E209" s="107" t="s">
        <v>3619</v>
      </c>
      <c r="G209" s="69">
        <v>1172.5</v>
      </c>
      <c r="T209" s="69"/>
      <c r="U209" s="69"/>
      <c r="AR209" s="94">
        <f t="shared" si="11"/>
        <v>1172.5</v>
      </c>
      <c r="AS209" s="69">
        <v>784.8</v>
      </c>
      <c r="AT209" s="69">
        <v>105.2</v>
      </c>
      <c r="AU209" s="69">
        <v>282.5</v>
      </c>
      <c r="BC209" s="69"/>
      <c r="BD209" s="69"/>
      <c r="CC209" s="94">
        <f t="shared" si="12"/>
        <v>1172.5</v>
      </c>
      <c r="CD209" s="73">
        <f t="shared" si="13"/>
        <v>0</v>
      </c>
      <c r="CE209" s="75">
        <f t="shared" si="14"/>
        <v>2873</v>
      </c>
      <c r="CF209" s="69" t="str">
        <f t="shared" si="14"/>
        <v>برنامج دولى</v>
      </c>
    </row>
    <row r="210" spans="2:84" x14ac:dyDescent="0.25">
      <c r="B210" s="82">
        <v>4453</v>
      </c>
      <c r="C210" s="70">
        <v>2874</v>
      </c>
      <c r="D210" s="69" t="s">
        <v>78</v>
      </c>
      <c r="E210" s="107" t="s">
        <v>3619</v>
      </c>
      <c r="G210" s="69">
        <v>586.25</v>
      </c>
      <c r="T210" s="69"/>
      <c r="U210" s="69"/>
      <c r="AR210" s="94">
        <f t="shared" si="11"/>
        <v>586.25</v>
      </c>
      <c r="AS210" s="69">
        <v>392.4</v>
      </c>
      <c r="AT210" s="69">
        <v>52.6</v>
      </c>
      <c r="AU210" s="69">
        <v>141.25</v>
      </c>
      <c r="BC210" s="69"/>
      <c r="BD210" s="69"/>
      <c r="CC210" s="94">
        <f t="shared" si="12"/>
        <v>586.25</v>
      </c>
      <c r="CD210" s="73">
        <f t="shared" si="13"/>
        <v>0</v>
      </c>
      <c r="CE210" s="75">
        <f t="shared" si="14"/>
        <v>2874</v>
      </c>
      <c r="CF210" s="69" t="str">
        <f t="shared" si="14"/>
        <v>برنامج دولى</v>
      </c>
    </row>
    <row r="211" spans="2:84" x14ac:dyDescent="0.25">
      <c r="B211" s="82">
        <v>4454</v>
      </c>
      <c r="C211" s="78">
        <v>2875</v>
      </c>
      <c r="D211" s="69" t="s">
        <v>78</v>
      </c>
      <c r="E211" s="107" t="s">
        <v>3619</v>
      </c>
      <c r="G211" s="69">
        <v>1172.5</v>
      </c>
      <c r="T211" s="69"/>
      <c r="U211" s="69"/>
      <c r="AR211" s="94">
        <f t="shared" si="11"/>
        <v>1172.5</v>
      </c>
      <c r="AS211" s="69">
        <v>784.8</v>
      </c>
      <c r="AT211" s="69">
        <f>5.2+100</f>
        <v>105.2</v>
      </c>
      <c r="AU211" s="69">
        <v>282.5</v>
      </c>
      <c r="BC211" s="69"/>
      <c r="BD211" s="69"/>
      <c r="CC211" s="94">
        <f t="shared" si="12"/>
        <v>1172.5</v>
      </c>
      <c r="CD211" s="73">
        <f t="shared" si="13"/>
        <v>0</v>
      </c>
      <c r="CE211" s="75">
        <f t="shared" si="14"/>
        <v>2875</v>
      </c>
      <c r="CF211" s="69" t="str">
        <f t="shared" si="14"/>
        <v>برنامج دولى</v>
      </c>
    </row>
    <row r="212" spans="2:84" x14ac:dyDescent="0.25">
      <c r="B212" s="82">
        <v>4379</v>
      </c>
      <c r="C212" s="70">
        <v>2876</v>
      </c>
      <c r="D212" s="69" t="s">
        <v>78</v>
      </c>
      <c r="E212" s="107" t="s">
        <v>2377</v>
      </c>
      <c r="G212" s="69">
        <v>30426.37</v>
      </c>
      <c r="T212" s="69"/>
      <c r="U212" s="69"/>
      <c r="AR212" s="94">
        <f t="shared" si="11"/>
        <v>30426.37</v>
      </c>
      <c r="AS212" s="69">
        <v>20332.7</v>
      </c>
      <c r="AT212" s="69">
        <v>2762.8</v>
      </c>
      <c r="AU212" s="69">
        <v>7330.87</v>
      </c>
      <c r="BC212" s="69"/>
      <c r="BD212" s="69"/>
      <c r="CC212" s="94">
        <f t="shared" si="12"/>
        <v>30426.37</v>
      </c>
      <c r="CD212" s="73">
        <f t="shared" si="13"/>
        <v>0</v>
      </c>
      <c r="CE212" s="75">
        <f t="shared" si="14"/>
        <v>2876</v>
      </c>
      <c r="CF212" s="69" t="str">
        <f t="shared" si="14"/>
        <v>برنامج دولى</v>
      </c>
    </row>
    <row r="213" spans="2:84" x14ac:dyDescent="0.25">
      <c r="B213" s="82">
        <v>4380</v>
      </c>
      <c r="C213" s="70">
        <v>2877</v>
      </c>
      <c r="D213" s="69" t="s">
        <v>78</v>
      </c>
      <c r="E213" s="107" t="s">
        <v>2377</v>
      </c>
      <c r="G213" s="69">
        <v>1758.75</v>
      </c>
      <c r="T213" s="69"/>
      <c r="U213" s="69"/>
      <c r="AR213" s="94">
        <f t="shared" si="11"/>
        <v>1758.75</v>
      </c>
      <c r="AS213" s="69">
        <v>1175.3499999999999</v>
      </c>
      <c r="AT213" s="69">
        <v>159.65</v>
      </c>
      <c r="AU213" s="69">
        <v>423.75</v>
      </c>
      <c r="BC213" s="69"/>
      <c r="BD213" s="69"/>
      <c r="CC213" s="94">
        <f t="shared" si="12"/>
        <v>1758.75</v>
      </c>
      <c r="CD213" s="73">
        <f t="shared" si="13"/>
        <v>0</v>
      </c>
      <c r="CE213" s="75">
        <f t="shared" si="14"/>
        <v>2877</v>
      </c>
      <c r="CF213" s="69" t="str">
        <f t="shared" si="14"/>
        <v>برنامج دولى</v>
      </c>
    </row>
    <row r="214" spans="2:84" x14ac:dyDescent="0.25">
      <c r="B214" s="82">
        <v>4395</v>
      </c>
      <c r="C214" s="70">
        <v>2878</v>
      </c>
      <c r="D214" s="69" t="s">
        <v>78</v>
      </c>
      <c r="E214" s="107" t="s">
        <v>3620</v>
      </c>
      <c r="G214" s="69">
        <v>750</v>
      </c>
      <c r="T214" s="69"/>
      <c r="U214" s="69"/>
      <c r="AR214" s="94">
        <f t="shared" si="11"/>
        <v>750</v>
      </c>
      <c r="AS214" s="69">
        <v>670.1</v>
      </c>
      <c r="AT214" s="69">
        <v>79.900000000000006</v>
      </c>
      <c r="BC214" s="69"/>
      <c r="BD214" s="69"/>
      <c r="CC214" s="94">
        <f t="shared" si="12"/>
        <v>750</v>
      </c>
      <c r="CD214" s="73">
        <f t="shared" si="13"/>
        <v>0</v>
      </c>
      <c r="CE214" s="75">
        <f t="shared" si="14"/>
        <v>2878</v>
      </c>
      <c r="CF214" s="69" t="str">
        <f t="shared" si="14"/>
        <v>برنامج دولى</v>
      </c>
    </row>
    <row r="215" spans="2:84" x14ac:dyDescent="0.25">
      <c r="B215" s="82">
        <v>4396</v>
      </c>
      <c r="C215" s="70">
        <v>2879</v>
      </c>
      <c r="D215" s="69" t="s">
        <v>78</v>
      </c>
      <c r="E215" s="107" t="s">
        <v>3621</v>
      </c>
      <c r="G215" s="69">
        <v>820.75</v>
      </c>
      <c r="T215" s="69"/>
      <c r="U215" s="69"/>
      <c r="AR215" s="94">
        <f t="shared" si="11"/>
        <v>820.75</v>
      </c>
      <c r="AS215" s="69">
        <v>548.95000000000005</v>
      </c>
      <c r="AT215" s="69">
        <v>74.05</v>
      </c>
      <c r="AU215" s="69">
        <v>197.75</v>
      </c>
      <c r="BC215" s="69"/>
      <c r="BD215" s="69"/>
      <c r="CC215" s="94">
        <f t="shared" si="12"/>
        <v>820.75</v>
      </c>
      <c r="CD215" s="73">
        <f t="shared" si="13"/>
        <v>0</v>
      </c>
      <c r="CE215" s="75">
        <f t="shared" si="14"/>
        <v>2879</v>
      </c>
      <c r="CF215" s="69" t="str">
        <f t="shared" si="14"/>
        <v>برنامج دولى</v>
      </c>
    </row>
    <row r="216" spans="2:84" x14ac:dyDescent="0.25">
      <c r="B216" s="82">
        <v>4378</v>
      </c>
      <c r="C216" s="70">
        <v>2880</v>
      </c>
      <c r="D216" s="69" t="s">
        <v>78</v>
      </c>
      <c r="E216" s="107" t="str">
        <f>+E213</f>
        <v>مكافاه اداره هندسيه</v>
      </c>
      <c r="G216" s="69">
        <v>996.62</v>
      </c>
      <c r="T216" s="69"/>
      <c r="U216" s="69"/>
      <c r="AR216" s="94">
        <f t="shared" si="11"/>
        <v>996.62</v>
      </c>
      <c r="AS216" s="69">
        <v>666.55</v>
      </c>
      <c r="AT216" s="69">
        <v>89.95</v>
      </c>
      <c r="AU216" s="69">
        <v>240.12</v>
      </c>
      <c r="BC216" s="69"/>
      <c r="BD216" s="69"/>
      <c r="CC216" s="94">
        <f t="shared" si="12"/>
        <v>996.62</v>
      </c>
      <c r="CD216" s="73">
        <f t="shared" si="13"/>
        <v>0</v>
      </c>
      <c r="CE216" s="75">
        <f t="shared" si="14"/>
        <v>2880</v>
      </c>
      <c r="CF216" s="69" t="str">
        <f t="shared" si="14"/>
        <v>برنامج دولى</v>
      </c>
    </row>
    <row r="217" spans="2:84" x14ac:dyDescent="0.25">
      <c r="B217" s="82">
        <v>4373</v>
      </c>
      <c r="C217" s="70">
        <v>2881</v>
      </c>
      <c r="D217" s="69" t="s">
        <v>78</v>
      </c>
      <c r="E217" s="107" t="s">
        <v>3622</v>
      </c>
      <c r="G217" s="69">
        <v>1172.5</v>
      </c>
      <c r="T217" s="69"/>
      <c r="U217" s="69"/>
      <c r="AR217" s="94">
        <f t="shared" si="11"/>
        <v>1172.5</v>
      </c>
      <c r="AS217" s="69">
        <v>784.1</v>
      </c>
      <c r="AT217" s="69">
        <v>105.9</v>
      </c>
      <c r="AU217" s="69">
        <v>282.5</v>
      </c>
      <c r="BC217" s="69"/>
      <c r="BD217" s="69"/>
      <c r="CC217" s="94">
        <f t="shared" si="12"/>
        <v>1172.5</v>
      </c>
      <c r="CD217" s="73">
        <f t="shared" si="13"/>
        <v>0</v>
      </c>
      <c r="CE217" s="75">
        <f t="shared" si="14"/>
        <v>2881</v>
      </c>
      <c r="CF217" s="69" t="str">
        <f t="shared" si="14"/>
        <v>برنامج دولى</v>
      </c>
    </row>
    <row r="218" spans="2:84" x14ac:dyDescent="0.25">
      <c r="B218" s="82">
        <v>4374</v>
      </c>
      <c r="C218" s="70">
        <v>2882</v>
      </c>
      <c r="D218" s="69" t="s">
        <v>78</v>
      </c>
      <c r="E218" s="107" t="str">
        <f>+E213</f>
        <v>مكافاه اداره هندسيه</v>
      </c>
      <c r="G218" s="69">
        <v>16801.88</v>
      </c>
      <c r="T218" s="69"/>
      <c r="U218" s="69"/>
      <c r="AR218" s="94">
        <f t="shared" si="11"/>
        <v>16801.88</v>
      </c>
      <c r="AS218" s="69">
        <v>11234</v>
      </c>
      <c r="AT218" s="69">
        <v>1519.7</v>
      </c>
      <c r="AU218" s="69">
        <v>4048.18</v>
      </c>
      <c r="BC218" s="69"/>
      <c r="BD218" s="69"/>
      <c r="CC218" s="94">
        <f t="shared" si="12"/>
        <v>16801.88</v>
      </c>
      <c r="CD218" s="73">
        <f t="shared" si="13"/>
        <v>0</v>
      </c>
      <c r="CE218" s="75">
        <f t="shared" si="14"/>
        <v>2882</v>
      </c>
      <c r="CF218" s="69" t="str">
        <f t="shared" si="14"/>
        <v>برنامج دولى</v>
      </c>
    </row>
    <row r="219" spans="2:84" x14ac:dyDescent="0.25">
      <c r="B219" s="82">
        <v>4375</v>
      </c>
      <c r="C219" s="70">
        <v>2883</v>
      </c>
      <c r="D219" s="69" t="s">
        <v>78</v>
      </c>
      <c r="E219" s="107" t="s">
        <v>2377</v>
      </c>
      <c r="G219" s="69">
        <v>1407</v>
      </c>
      <c r="T219" s="69"/>
      <c r="U219" s="69"/>
      <c r="AR219" s="94">
        <f t="shared" si="11"/>
        <v>1407</v>
      </c>
      <c r="AS219" s="69">
        <v>940.35</v>
      </c>
      <c r="AT219" s="69">
        <v>127.65</v>
      </c>
      <c r="AU219" s="69">
        <v>339</v>
      </c>
      <c r="BC219" s="69"/>
      <c r="BD219" s="69"/>
      <c r="CC219" s="94">
        <f t="shared" si="12"/>
        <v>1407</v>
      </c>
      <c r="CD219" s="73">
        <f t="shared" si="13"/>
        <v>0</v>
      </c>
      <c r="CE219" s="75">
        <f t="shared" si="14"/>
        <v>2883</v>
      </c>
      <c r="CF219" s="69" t="str">
        <f t="shared" si="14"/>
        <v>برنامج دولى</v>
      </c>
    </row>
    <row r="220" spans="2:84" x14ac:dyDescent="0.25">
      <c r="B220" s="82">
        <v>4376</v>
      </c>
      <c r="C220" s="70">
        <v>2884</v>
      </c>
      <c r="D220" s="69" t="s">
        <v>78</v>
      </c>
      <c r="E220" s="107" t="s">
        <v>2377</v>
      </c>
      <c r="G220" s="69">
        <v>1407</v>
      </c>
      <c r="T220" s="69"/>
      <c r="U220" s="69"/>
      <c r="AR220" s="94">
        <f t="shared" si="11"/>
        <v>1407</v>
      </c>
      <c r="AS220" s="69">
        <v>940.35</v>
      </c>
      <c r="AT220" s="69">
        <v>127.65</v>
      </c>
      <c r="AU220" s="69">
        <v>339</v>
      </c>
      <c r="BC220" s="69"/>
      <c r="BD220" s="69"/>
      <c r="CC220" s="94">
        <f t="shared" si="12"/>
        <v>1407</v>
      </c>
      <c r="CD220" s="73">
        <f t="shared" si="13"/>
        <v>0</v>
      </c>
      <c r="CE220" s="75">
        <f t="shared" si="14"/>
        <v>2884</v>
      </c>
      <c r="CF220" s="69" t="str">
        <f t="shared" si="14"/>
        <v>برنامج دولى</v>
      </c>
    </row>
    <row r="221" spans="2:84" x14ac:dyDescent="0.25">
      <c r="B221" s="82">
        <v>4376</v>
      </c>
      <c r="C221" s="70">
        <v>2885</v>
      </c>
      <c r="D221" s="69" t="s">
        <v>78</v>
      </c>
      <c r="E221" s="107" t="s">
        <v>2377</v>
      </c>
      <c r="G221" s="69">
        <v>1313.2</v>
      </c>
      <c r="T221" s="69"/>
      <c r="U221" s="69"/>
      <c r="AR221" s="94">
        <f t="shared" si="11"/>
        <v>1313.2</v>
      </c>
      <c r="AS221" s="69">
        <v>877.7</v>
      </c>
      <c r="AT221" s="69">
        <v>119.1</v>
      </c>
      <c r="AU221" s="69">
        <v>316.39999999999998</v>
      </c>
      <c r="BC221" s="69"/>
      <c r="BD221" s="69"/>
      <c r="CC221" s="94">
        <f t="shared" si="12"/>
        <v>1313.2</v>
      </c>
      <c r="CD221" s="73">
        <f t="shared" si="13"/>
        <v>0</v>
      </c>
      <c r="CE221" s="75">
        <f t="shared" si="14"/>
        <v>2885</v>
      </c>
      <c r="CF221" s="69" t="str">
        <f t="shared" si="14"/>
        <v>برنامج دولى</v>
      </c>
    </row>
    <row r="222" spans="2:84" x14ac:dyDescent="0.25">
      <c r="B222" s="82">
        <v>4377</v>
      </c>
      <c r="C222" s="70">
        <v>2886</v>
      </c>
      <c r="D222" s="69" t="s">
        <v>78</v>
      </c>
      <c r="E222" s="107" t="s">
        <v>2377</v>
      </c>
      <c r="G222" s="69">
        <v>929.79</v>
      </c>
      <c r="T222" s="69"/>
      <c r="U222" s="69"/>
      <c r="AR222" s="94">
        <f t="shared" si="11"/>
        <v>929.79</v>
      </c>
      <c r="AS222" s="69">
        <v>621.87</v>
      </c>
      <c r="AT222" s="69">
        <v>83.9</v>
      </c>
      <c r="AU222" s="69">
        <v>224.02</v>
      </c>
      <c r="BC222" s="69"/>
      <c r="BD222" s="69"/>
      <c r="CC222" s="94">
        <f t="shared" si="12"/>
        <v>929.79</v>
      </c>
      <c r="CD222" s="73">
        <f t="shared" si="13"/>
        <v>0</v>
      </c>
      <c r="CE222" s="75">
        <f t="shared" si="14"/>
        <v>2886</v>
      </c>
      <c r="CF222" s="69" t="str">
        <f t="shared" si="14"/>
        <v>برنامج دولى</v>
      </c>
    </row>
    <row r="223" spans="2:84" x14ac:dyDescent="0.25">
      <c r="B223" s="82">
        <v>5312</v>
      </c>
      <c r="C223" s="70">
        <v>2887</v>
      </c>
      <c r="D223" s="69" t="s">
        <v>78</v>
      </c>
      <c r="E223" s="107" t="s">
        <v>1866</v>
      </c>
      <c r="G223" s="69">
        <v>600</v>
      </c>
      <c r="T223" s="69"/>
      <c r="U223" s="69"/>
      <c r="AR223" s="94">
        <f t="shared" si="11"/>
        <v>600</v>
      </c>
      <c r="AS223" s="69">
        <v>536.15</v>
      </c>
      <c r="AT223" s="69">
        <v>63.85</v>
      </c>
      <c r="BC223" s="69"/>
      <c r="BD223" s="69"/>
      <c r="CC223" s="94">
        <f t="shared" si="12"/>
        <v>600</v>
      </c>
      <c r="CD223" s="73">
        <f t="shared" si="13"/>
        <v>0</v>
      </c>
      <c r="CE223" s="75">
        <f t="shared" si="14"/>
        <v>2887</v>
      </c>
      <c r="CF223" s="69" t="str">
        <f t="shared" si="14"/>
        <v>برنامج دولى</v>
      </c>
    </row>
    <row r="224" spans="2:84" x14ac:dyDescent="0.25">
      <c r="B224" s="82">
        <v>5312</v>
      </c>
      <c r="C224" s="70">
        <v>2888</v>
      </c>
      <c r="D224" s="69" t="s">
        <v>78</v>
      </c>
      <c r="E224" s="107" t="s">
        <v>1866</v>
      </c>
      <c r="G224" s="69">
        <v>469</v>
      </c>
      <c r="T224" s="69"/>
      <c r="U224" s="69"/>
      <c r="AR224" s="94">
        <f t="shared" si="11"/>
        <v>469</v>
      </c>
      <c r="AS224" s="69">
        <v>314</v>
      </c>
      <c r="AT224" s="69">
        <v>42</v>
      </c>
      <c r="AU224" s="69">
        <v>113</v>
      </c>
      <c r="BC224" s="69"/>
      <c r="BD224" s="69"/>
      <c r="CC224" s="94">
        <f t="shared" si="12"/>
        <v>469</v>
      </c>
      <c r="CD224" s="73">
        <f t="shared" si="13"/>
        <v>0</v>
      </c>
      <c r="CE224" s="75">
        <f t="shared" si="14"/>
        <v>2888</v>
      </c>
      <c r="CF224" s="69" t="str">
        <f t="shared" si="14"/>
        <v>برنامج دولى</v>
      </c>
    </row>
    <row r="225" spans="2:84" x14ac:dyDescent="0.25">
      <c r="B225" s="82">
        <v>5314</v>
      </c>
      <c r="C225" s="70">
        <v>2889</v>
      </c>
      <c r="D225" s="69" t="s">
        <v>78</v>
      </c>
      <c r="E225" s="107" t="s">
        <v>1866</v>
      </c>
      <c r="G225" s="69">
        <v>1600</v>
      </c>
      <c r="T225" s="69"/>
      <c r="U225" s="69"/>
      <c r="AR225" s="94">
        <f t="shared" si="11"/>
        <v>1600</v>
      </c>
      <c r="AS225" s="69">
        <v>1429.5</v>
      </c>
      <c r="AT225" s="69">
        <v>170.5</v>
      </c>
      <c r="BC225" s="69"/>
      <c r="BD225" s="69"/>
      <c r="CC225" s="94">
        <f t="shared" si="12"/>
        <v>1600</v>
      </c>
      <c r="CD225" s="73">
        <f t="shared" si="13"/>
        <v>0</v>
      </c>
      <c r="CE225" s="75">
        <f t="shared" si="14"/>
        <v>2889</v>
      </c>
      <c r="CF225" s="69" t="str">
        <f t="shared" si="14"/>
        <v>برنامج دولى</v>
      </c>
    </row>
    <row r="226" spans="2:84" x14ac:dyDescent="0.25">
      <c r="B226" s="82">
        <v>5315</v>
      </c>
      <c r="C226" s="70">
        <v>2890</v>
      </c>
      <c r="D226" s="69" t="s">
        <v>78</v>
      </c>
      <c r="E226" s="107" t="s">
        <v>1866</v>
      </c>
      <c r="G226" s="69">
        <v>234.5</v>
      </c>
      <c r="T226" s="69"/>
      <c r="U226" s="69"/>
      <c r="AR226" s="94">
        <f t="shared" ref="AR226:AR290" si="15">SUM(G226:AQ226)</f>
        <v>234.5</v>
      </c>
      <c r="AS226" s="69">
        <v>157.19999999999999</v>
      </c>
      <c r="AT226" s="69">
        <v>20.8</v>
      </c>
      <c r="AU226" s="69">
        <v>56.5</v>
      </c>
      <c r="BC226" s="69"/>
      <c r="BD226" s="69"/>
      <c r="CC226" s="94">
        <f t="shared" si="12"/>
        <v>234.5</v>
      </c>
      <c r="CD226" s="73">
        <f t="shared" si="13"/>
        <v>0</v>
      </c>
      <c r="CE226" s="75">
        <f t="shared" si="14"/>
        <v>2890</v>
      </c>
      <c r="CF226" s="69" t="str">
        <f t="shared" si="14"/>
        <v>برنامج دولى</v>
      </c>
    </row>
    <row r="227" spans="2:84" x14ac:dyDescent="0.25">
      <c r="B227" s="82">
        <v>5316</v>
      </c>
      <c r="C227" s="70">
        <v>2891</v>
      </c>
      <c r="D227" s="69" t="s">
        <v>78</v>
      </c>
      <c r="E227" s="107" t="s">
        <v>1866</v>
      </c>
      <c r="G227" s="69">
        <v>600</v>
      </c>
      <c r="T227" s="69"/>
      <c r="U227" s="69"/>
      <c r="AR227" s="94">
        <f t="shared" si="15"/>
        <v>600</v>
      </c>
      <c r="AS227" s="69">
        <v>537.29999999999995</v>
      </c>
      <c r="AT227" s="69">
        <v>62.7</v>
      </c>
      <c r="BC227" s="69"/>
      <c r="BD227" s="69"/>
      <c r="CC227" s="94">
        <f t="shared" si="12"/>
        <v>600</v>
      </c>
      <c r="CD227" s="73">
        <f t="shared" si="13"/>
        <v>0</v>
      </c>
      <c r="CE227" s="75">
        <f t="shared" si="14"/>
        <v>2891</v>
      </c>
      <c r="CF227" s="69" t="str">
        <f t="shared" si="14"/>
        <v>برنامج دولى</v>
      </c>
    </row>
    <row r="228" spans="2:84" x14ac:dyDescent="0.25">
      <c r="B228" s="82">
        <v>5317</v>
      </c>
      <c r="C228" s="70">
        <v>2892</v>
      </c>
      <c r="D228" s="69" t="s">
        <v>78</v>
      </c>
      <c r="E228" s="107" t="s">
        <v>1866</v>
      </c>
      <c r="G228" s="69">
        <v>234.5</v>
      </c>
      <c r="T228" s="69"/>
      <c r="U228" s="69"/>
      <c r="AR228" s="94">
        <f t="shared" si="15"/>
        <v>234.5</v>
      </c>
      <c r="AS228" s="69">
        <v>157.19999999999999</v>
      </c>
      <c r="AT228" s="69">
        <v>20.8</v>
      </c>
      <c r="AU228" s="69">
        <v>56.5</v>
      </c>
      <c r="BC228" s="69"/>
      <c r="BD228" s="69"/>
      <c r="CC228" s="94">
        <f t="shared" ref="CC228:CC676" si="16">SUM(AS228:CB228)</f>
        <v>234.5</v>
      </c>
      <c r="CD228" s="73">
        <f t="shared" ref="CD228:CD292" si="17">+CC228-AR228</f>
        <v>0</v>
      </c>
      <c r="CE228" s="75">
        <f t="shared" si="14"/>
        <v>2892</v>
      </c>
      <c r="CF228" s="69" t="str">
        <f t="shared" si="14"/>
        <v>برنامج دولى</v>
      </c>
    </row>
    <row r="229" spans="2:84" x14ac:dyDescent="0.25">
      <c r="B229" s="82">
        <v>5318</v>
      </c>
      <c r="C229" s="70">
        <v>2893</v>
      </c>
      <c r="D229" s="69" t="s">
        <v>78</v>
      </c>
      <c r="E229" s="107" t="s">
        <v>1866</v>
      </c>
      <c r="G229" s="69">
        <v>469</v>
      </c>
      <c r="T229" s="69"/>
      <c r="U229" s="69"/>
      <c r="AR229" s="94">
        <f t="shared" si="15"/>
        <v>469</v>
      </c>
      <c r="AS229" s="69">
        <v>314</v>
      </c>
      <c r="AT229" s="69">
        <v>42</v>
      </c>
      <c r="AU229" s="69">
        <v>113</v>
      </c>
      <c r="BC229" s="69"/>
      <c r="BD229" s="69"/>
      <c r="CC229" s="94">
        <f t="shared" si="16"/>
        <v>469</v>
      </c>
      <c r="CD229" s="73">
        <f t="shared" si="17"/>
        <v>0</v>
      </c>
      <c r="CE229" s="75">
        <f t="shared" si="14"/>
        <v>2893</v>
      </c>
      <c r="CF229" s="69" t="str">
        <f t="shared" si="14"/>
        <v>برنامج دولى</v>
      </c>
    </row>
    <row r="230" spans="2:84" x14ac:dyDescent="0.25">
      <c r="B230" s="82">
        <v>5319</v>
      </c>
      <c r="C230" s="70">
        <v>2894</v>
      </c>
      <c r="D230" s="69" t="s">
        <v>78</v>
      </c>
      <c r="E230" s="107" t="s">
        <v>1866</v>
      </c>
      <c r="G230" s="69">
        <v>600</v>
      </c>
      <c r="T230" s="69"/>
      <c r="U230" s="69"/>
      <c r="AR230" s="94">
        <f t="shared" si="15"/>
        <v>600</v>
      </c>
      <c r="AS230" s="69">
        <v>537.29999999999995</v>
      </c>
      <c r="AT230" s="69">
        <v>62.7</v>
      </c>
      <c r="BC230" s="69"/>
      <c r="BD230" s="69"/>
      <c r="CC230" s="94">
        <f t="shared" si="16"/>
        <v>600</v>
      </c>
      <c r="CD230" s="73">
        <f t="shared" si="17"/>
        <v>0</v>
      </c>
      <c r="CE230" s="75">
        <f t="shared" si="14"/>
        <v>2894</v>
      </c>
      <c r="CF230" s="69" t="str">
        <f t="shared" si="14"/>
        <v>برنامج دولى</v>
      </c>
    </row>
    <row r="231" spans="2:84" x14ac:dyDescent="0.25">
      <c r="B231" s="82">
        <v>5297</v>
      </c>
      <c r="C231" s="70">
        <v>2895</v>
      </c>
      <c r="D231" s="69" t="s">
        <v>78</v>
      </c>
      <c r="E231" s="107" t="s">
        <v>3623</v>
      </c>
      <c r="G231" s="69">
        <v>5176.09</v>
      </c>
      <c r="T231" s="69"/>
      <c r="U231" s="69"/>
      <c r="AR231" s="94">
        <f t="shared" si="15"/>
        <v>5176.09</v>
      </c>
      <c r="AS231" s="69">
        <v>3592.07</v>
      </c>
      <c r="AT231" s="69">
        <v>476.8</v>
      </c>
      <c r="AU231" s="69">
        <v>1107.22</v>
      </c>
      <c r="BC231" s="69"/>
      <c r="BD231" s="69"/>
      <c r="CC231" s="94">
        <f t="shared" si="16"/>
        <v>5176.09</v>
      </c>
      <c r="CD231" s="73">
        <f t="shared" si="17"/>
        <v>0</v>
      </c>
      <c r="CE231" s="75">
        <f t="shared" si="14"/>
        <v>2895</v>
      </c>
      <c r="CF231" s="69" t="str">
        <f t="shared" si="14"/>
        <v>برنامج دولى</v>
      </c>
    </row>
    <row r="232" spans="2:84" x14ac:dyDescent="0.25">
      <c r="B232" s="82">
        <v>5298</v>
      </c>
      <c r="C232" s="70">
        <v>2896</v>
      </c>
      <c r="D232" s="69" t="s">
        <v>78</v>
      </c>
      <c r="E232" s="107" t="s">
        <v>3623</v>
      </c>
      <c r="G232" s="69">
        <v>600</v>
      </c>
      <c r="T232" s="69"/>
      <c r="U232" s="69"/>
      <c r="AR232" s="94">
        <f t="shared" si="15"/>
        <v>600</v>
      </c>
      <c r="AS232" s="69">
        <v>536.15</v>
      </c>
      <c r="AT232" s="69">
        <v>63.85</v>
      </c>
      <c r="BC232" s="69"/>
      <c r="BD232" s="69"/>
      <c r="CC232" s="94">
        <f t="shared" si="16"/>
        <v>600</v>
      </c>
      <c r="CD232" s="73">
        <f t="shared" si="17"/>
        <v>0</v>
      </c>
      <c r="CE232" s="75">
        <f t="shared" si="14"/>
        <v>2896</v>
      </c>
      <c r="CF232" s="69" t="str">
        <f t="shared" si="14"/>
        <v>برنامج دولى</v>
      </c>
    </row>
    <row r="233" spans="2:84" x14ac:dyDescent="0.25">
      <c r="B233" s="82">
        <v>5299</v>
      </c>
      <c r="C233" s="70">
        <v>2897</v>
      </c>
      <c r="D233" s="69" t="s">
        <v>78</v>
      </c>
      <c r="E233" s="107" t="s">
        <v>3623</v>
      </c>
      <c r="G233" s="69">
        <v>600</v>
      </c>
      <c r="T233" s="69"/>
      <c r="U233" s="69"/>
      <c r="AR233" s="94">
        <f t="shared" si="15"/>
        <v>600</v>
      </c>
      <c r="AS233" s="69">
        <v>536.15</v>
      </c>
      <c r="AT233" s="69">
        <v>63.85</v>
      </c>
      <c r="BC233" s="69"/>
      <c r="BD233" s="69"/>
      <c r="CC233" s="94">
        <f t="shared" si="16"/>
        <v>600</v>
      </c>
      <c r="CD233" s="73">
        <f t="shared" si="17"/>
        <v>0</v>
      </c>
      <c r="CE233" s="75">
        <f t="shared" si="14"/>
        <v>2897</v>
      </c>
      <c r="CF233" s="69" t="str">
        <f t="shared" si="14"/>
        <v>برنامج دولى</v>
      </c>
    </row>
    <row r="234" spans="2:84" x14ac:dyDescent="0.25">
      <c r="B234" s="82">
        <v>5300</v>
      </c>
      <c r="C234" s="70">
        <v>2898</v>
      </c>
      <c r="D234" s="69" t="s">
        <v>78</v>
      </c>
      <c r="E234" s="107" t="s">
        <v>3623</v>
      </c>
      <c r="G234" s="69">
        <v>703.5</v>
      </c>
      <c r="T234" s="69"/>
      <c r="U234" s="69"/>
      <c r="AR234" s="94">
        <f t="shared" si="15"/>
        <v>703.5</v>
      </c>
      <c r="AS234" s="69">
        <v>470.6</v>
      </c>
      <c r="AT234" s="69">
        <v>63.4</v>
      </c>
      <c r="AU234" s="69">
        <v>169.5</v>
      </c>
      <c r="BC234" s="69"/>
      <c r="BD234" s="69"/>
      <c r="CC234" s="94">
        <f t="shared" si="16"/>
        <v>703.5</v>
      </c>
      <c r="CD234" s="73">
        <f t="shared" si="17"/>
        <v>0</v>
      </c>
      <c r="CE234" s="75">
        <f t="shared" si="14"/>
        <v>2898</v>
      </c>
      <c r="CF234" s="69" t="str">
        <f t="shared" si="14"/>
        <v>برنامج دولى</v>
      </c>
    </row>
    <row r="235" spans="2:84" x14ac:dyDescent="0.25">
      <c r="B235" s="82">
        <v>5301</v>
      </c>
      <c r="C235" s="70">
        <v>2899</v>
      </c>
      <c r="D235" s="69" t="s">
        <v>78</v>
      </c>
      <c r="E235" s="107" t="s">
        <v>3623</v>
      </c>
      <c r="G235" s="69">
        <v>615.21</v>
      </c>
      <c r="T235" s="69"/>
      <c r="U235" s="69"/>
      <c r="AR235" s="94">
        <f t="shared" si="15"/>
        <v>615.21</v>
      </c>
      <c r="AS235" s="69">
        <v>526.5</v>
      </c>
      <c r="AT235" s="69">
        <v>63.8</v>
      </c>
      <c r="AU235" s="69">
        <v>24.91</v>
      </c>
      <c r="BC235" s="69"/>
      <c r="BD235" s="69"/>
      <c r="CC235" s="94">
        <f t="shared" si="16"/>
        <v>615.20999999999992</v>
      </c>
      <c r="CD235" s="73">
        <f t="shared" si="17"/>
        <v>0</v>
      </c>
      <c r="CE235" s="75">
        <f t="shared" si="14"/>
        <v>2899</v>
      </c>
      <c r="CF235" s="69" t="str">
        <f t="shared" si="14"/>
        <v>برنامج دولى</v>
      </c>
    </row>
    <row r="236" spans="2:84" x14ac:dyDescent="0.25">
      <c r="B236" s="82">
        <v>5302</v>
      </c>
      <c r="C236" s="70">
        <v>2900</v>
      </c>
      <c r="D236" s="69" t="s">
        <v>78</v>
      </c>
      <c r="E236" s="107" t="s">
        <v>3623</v>
      </c>
      <c r="G236" s="69">
        <v>3283</v>
      </c>
      <c r="T236" s="69"/>
      <c r="U236" s="69"/>
      <c r="AR236" s="94">
        <f t="shared" si="15"/>
        <v>3283</v>
      </c>
      <c r="AS236" s="69">
        <v>2196.9</v>
      </c>
      <c r="AT236" s="69">
        <f>15.1+280</f>
        <v>295.10000000000002</v>
      </c>
      <c r="AU236" s="69">
        <v>791</v>
      </c>
      <c r="BC236" s="69"/>
      <c r="BD236" s="69"/>
      <c r="CC236" s="94">
        <f t="shared" si="16"/>
        <v>3283</v>
      </c>
      <c r="CD236" s="73">
        <f t="shared" si="17"/>
        <v>0</v>
      </c>
      <c r="CE236" s="75">
        <f t="shared" si="14"/>
        <v>2900</v>
      </c>
      <c r="CF236" s="69" t="str">
        <f t="shared" si="14"/>
        <v>برنامج دولى</v>
      </c>
    </row>
    <row r="237" spans="2:84" x14ac:dyDescent="0.25">
      <c r="B237" s="82">
        <v>5303</v>
      </c>
      <c r="C237" s="70">
        <v>2901</v>
      </c>
      <c r="D237" s="69" t="s">
        <v>78</v>
      </c>
      <c r="E237" s="107" t="s">
        <v>3314</v>
      </c>
      <c r="G237" s="69">
        <v>351.75</v>
      </c>
      <c r="T237" s="69"/>
      <c r="U237" s="69"/>
      <c r="AR237" s="94">
        <f t="shared" si="15"/>
        <v>351.75</v>
      </c>
      <c r="AS237" s="69">
        <v>235.55</v>
      </c>
      <c r="AT237" s="69">
        <v>31.45</v>
      </c>
      <c r="AU237" s="69">
        <v>84.75</v>
      </c>
      <c r="BC237" s="69"/>
      <c r="BD237" s="69"/>
      <c r="CC237" s="94">
        <f t="shared" si="16"/>
        <v>351.75</v>
      </c>
      <c r="CD237" s="73">
        <f t="shared" si="17"/>
        <v>0</v>
      </c>
      <c r="CE237" s="75">
        <f t="shared" ref="CE237:CF300" si="18">+C237</f>
        <v>2901</v>
      </c>
      <c r="CF237" s="69" t="str">
        <f t="shared" si="18"/>
        <v>برنامج دولى</v>
      </c>
    </row>
    <row r="238" spans="2:84" x14ac:dyDescent="0.25">
      <c r="B238" s="82">
        <v>5304</v>
      </c>
      <c r="C238" s="70">
        <v>2902</v>
      </c>
      <c r="D238" s="69" t="s">
        <v>78</v>
      </c>
      <c r="E238" s="107" t="s">
        <v>3314</v>
      </c>
      <c r="G238" s="69">
        <v>351.75</v>
      </c>
      <c r="T238" s="69"/>
      <c r="U238" s="69"/>
      <c r="AR238" s="94">
        <f t="shared" si="15"/>
        <v>351.75</v>
      </c>
      <c r="AS238" s="69">
        <v>235.55</v>
      </c>
      <c r="AT238" s="69">
        <v>31.45</v>
      </c>
      <c r="AU238" s="69">
        <v>84.75</v>
      </c>
      <c r="BC238" s="69"/>
      <c r="BD238" s="69"/>
      <c r="CC238" s="94">
        <f t="shared" si="16"/>
        <v>351.75</v>
      </c>
      <c r="CD238" s="73">
        <f t="shared" si="17"/>
        <v>0</v>
      </c>
      <c r="CE238" s="75">
        <f t="shared" si="18"/>
        <v>2902</v>
      </c>
      <c r="CF238" s="69" t="str">
        <f t="shared" si="18"/>
        <v>برنامج دولى</v>
      </c>
    </row>
    <row r="239" spans="2:84" x14ac:dyDescent="0.25">
      <c r="B239" s="82">
        <v>5305</v>
      </c>
      <c r="C239" s="70">
        <v>2903</v>
      </c>
      <c r="D239" s="69" t="s">
        <v>78</v>
      </c>
      <c r="E239" s="107" t="s">
        <v>3314</v>
      </c>
      <c r="G239" s="69">
        <v>336.69</v>
      </c>
      <c r="T239" s="69"/>
      <c r="U239" s="69"/>
      <c r="AR239" s="94">
        <f t="shared" si="15"/>
        <v>336.69</v>
      </c>
      <c r="AS239" s="69">
        <v>245.1</v>
      </c>
      <c r="AT239" s="69">
        <v>31.5</v>
      </c>
      <c r="AU239" s="69">
        <v>60.09</v>
      </c>
      <c r="BC239" s="69"/>
      <c r="BD239" s="69"/>
      <c r="CC239" s="94">
        <f t="shared" si="16"/>
        <v>336.69000000000005</v>
      </c>
      <c r="CD239" s="73">
        <f t="shared" si="17"/>
        <v>0</v>
      </c>
      <c r="CE239" s="75">
        <f t="shared" si="18"/>
        <v>2903</v>
      </c>
      <c r="CF239" s="69" t="str">
        <f t="shared" si="18"/>
        <v>برنامج دولى</v>
      </c>
    </row>
    <row r="240" spans="2:84" x14ac:dyDescent="0.25">
      <c r="B240" s="82">
        <v>5306</v>
      </c>
      <c r="C240" s="70">
        <v>2904</v>
      </c>
      <c r="D240" s="69" t="s">
        <v>78</v>
      </c>
      <c r="E240" s="107" t="s">
        <v>3624</v>
      </c>
      <c r="G240" s="69">
        <v>5900</v>
      </c>
      <c r="T240" s="69"/>
      <c r="U240" s="69"/>
      <c r="AR240" s="94">
        <f t="shared" si="15"/>
        <v>5900</v>
      </c>
      <c r="AS240" s="69">
        <v>5266.8</v>
      </c>
      <c r="AT240" s="69">
        <v>633.20000000000005</v>
      </c>
      <c r="BC240" s="69"/>
      <c r="BD240" s="69"/>
      <c r="CC240" s="94">
        <f t="shared" si="16"/>
        <v>5900</v>
      </c>
      <c r="CD240" s="73">
        <f t="shared" si="17"/>
        <v>0</v>
      </c>
      <c r="CE240" s="75">
        <f t="shared" si="18"/>
        <v>2904</v>
      </c>
      <c r="CF240" s="69" t="str">
        <f t="shared" si="18"/>
        <v>برنامج دولى</v>
      </c>
    </row>
    <row r="241" spans="1:84" x14ac:dyDescent="0.25">
      <c r="B241" s="82">
        <v>5307</v>
      </c>
      <c r="C241" s="70">
        <v>2905</v>
      </c>
      <c r="D241" s="69" t="s">
        <v>78</v>
      </c>
      <c r="E241" s="107" t="s">
        <v>3624</v>
      </c>
      <c r="G241" s="69">
        <v>2300</v>
      </c>
      <c r="T241" s="69"/>
      <c r="U241" s="69"/>
      <c r="AR241" s="94">
        <f t="shared" si="15"/>
        <v>2300</v>
      </c>
      <c r="AS241" s="69">
        <v>2053.1</v>
      </c>
      <c r="AT241" s="69">
        <v>246.9</v>
      </c>
      <c r="BC241" s="69"/>
      <c r="BD241" s="69"/>
      <c r="CC241" s="94">
        <f t="shared" si="16"/>
        <v>2300</v>
      </c>
      <c r="CD241" s="73">
        <f t="shared" si="17"/>
        <v>0</v>
      </c>
      <c r="CE241" s="75">
        <f t="shared" si="18"/>
        <v>2905</v>
      </c>
      <c r="CF241" s="69" t="str">
        <f t="shared" si="18"/>
        <v>برنامج دولى</v>
      </c>
    </row>
    <row r="242" spans="1:84" x14ac:dyDescent="0.25">
      <c r="B242" s="82">
        <v>5308</v>
      </c>
      <c r="C242" s="70">
        <v>2906</v>
      </c>
      <c r="D242" s="69" t="s">
        <v>78</v>
      </c>
      <c r="E242" s="107" t="s">
        <v>3624</v>
      </c>
      <c r="G242" s="69">
        <v>2345</v>
      </c>
      <c r="T242" s="69"/>
      <c r="U242" s="69"/>
      <c r="AR242" s="94">
        <f t="shared" si="15"/>
        <v>2345</v>
      </c>
      <c r="AS242" s="69">
        <v>1567</v>
      </c>
      <c r="AT242" s="69">
        <v>213</v>
      </c>
      <c r="AU242" s="69">
        <v>565</v>
      </c>
      <c r="BC242" s="69"/>
      <c r="BD242" s="69"/>
      <c r="CC242" s="94">
        <f t="shared" si="16"/>
        <v>2345</v>
      </c>
      <c r="CD242" s="73">
        <f t="shared" si="17"/>
        <v>0</v>
      </c>
      <c r="CE242" s="75">
        <f t="shared" si="18"/>
        <v>2906</v>
      </c>
      <c r="CF242" s="69" t="str">
        <f t="shared" si="18"/>
        <v>برنامج دولى</v>
      </c>
    </row>
    <row r="243" spans="1:84" x14ac:dyDescent="0.25">
      <c r="B243" s="82">
        <v>5309</v>
      </c>
      <c r="C243" s="70">
        <v>2907</v>
      </c>
      <c r="D243" s="69" t="s">
        <v>78</v>
      </c>
      <c r="E243" s="107" t="s">
        <v>3624</v>
      </c>
      <c r="G243" s="69">
        <v>5603.58</v>
      </c>
      <c r="T243" s="69"/>
      <c r="U243" s="69"/>
      <c r="AR243" s="94">
        <f t="shared" si="15"/>
        <v>5603.58</v>
      </c>
      <c r="AS243" s="69">
        <v>4393.88</v>
      </c>
      <c r="AT243" s="69">
        <v>548.75</v>
      </c>
      <c r="AU243" s="69">
        <v>660.95</v>
      </c>
      <c r="BC243" s="69"/>
      <c r="BD243" s="69"/>
      <c r="CC243" s="94">
        <f t="shared" si="16"/>
        <v>5603.58</v>
      </c>
      <c r="CD243" s="73">
        <f t="shared" si="17"/>
        <v>0</v>
      </c>
      <c r="CE243" s="75">
        <f t="shared" si="18"/>
        <v>2907</v>
      </c>
      <c r="CF243" s="69" t="str">
        <f t="shared" si="18"/>
        <v>برنامج دولى</v>
      </c>
    </row>
    <row r="244" spans="1:84" x14ac:dyDescent="0.25">
      <c r="B244" s="82">
        <v>5310</v>
      </c>
      <c r="C244" s="70">
        <v>2908</v>
      </c>
      <c r="D244" s="69" t="s">
        <v>78</v>
      </c>
      <c r="E244" s="107" t="s">
        <v>3624</v>
      </c>
      <c r="G244" s="69">
        <v>1800</v>
      </c>
      <c r="T244" s="69"/>
      <c r="U244" s="69"/>
      <c r="AR244" s="94">
        <f t="shared" si="15"/>
        <v>1800</v>
      </c>
      <c r="AS244" s="69">
        <v>1609.5</v>
      </c>
      <c r="AT244" s="69">
        <v>190.5</v>
      </c>
      <c r="BC244" s="69"/>
      <c r="BD244" s="69"/>
      <c r="CC244" s="94">
        <f t="shared" si="16"/>
        <v>1800</v>
      </c>
      <c r="CD244" s="73">
        <f t="shared" si="17"/>
        <v>0</v>
      </c>
      <c r="CE244" s="75">
        <f t="shared" si="18"/>
        <v>2908</v>
      </c>
      <c r="CF244" s="69" t="str">
        <f t="shared" si="18"/>
        <v>برنامج دولى</v>
      </c>
    </row>
    <row r="245" spans="1:84" x14ac:dyDescent="0.25">
      <c r="B245" s="82">
        <v>5311</v>
      </c>
      <c r="C245" s="70">
        <v>2909</v>
      </c>
      <c r="D245" s="69" t="s">
        <v>78</v>
      </c>
      <c r="E245" s="107" t="s">
        <v>3624</v>
      </c>
      <c r="G245" s="69">
        <v>400</v>
      </c>
      <c r="T245" s="69"/>
      <c r="U245" s="69"/>
      <c r="AR245" s="94">
        <f t="shared" si="15"/>
        <v>400</v>
      </c>
      <c r="AS245" s="69">
        <v>357.7</v>
      </c>
      <c r="AT245" s="69">
        <v>42.3</v>
      </c>
      <c r="BC245" s="69"/>
      <c r="BD245" s="69"/>
      <c r="CC245" s="94">
        <f t="shared" si="16"/>
        <v>400</v>
      </c>
      <c r="CD245" s="73">
        <f t="shared" si="17"/>
        <v>0</v>
      </c>
      <c r="CE245" s="75">
        <f t="shared" si="18"/>
        <v>2909</v>
      </c>
      <c r="CF245" s="69" t="str">
        <f t="shared" si="18"/>
        <v>برنامج دولى</v>
      </c>
    </row>
    <row r="246" spans="1:84" ht="18.75" x14ac:dyDescent="0.25">
      <c r="A246" s="69" t="s">
        <v>599</v>
      </c>
      <c r="B246" s="82">
        <v>5027</v>
      </c>
      <c r="C246" s="70">
        <v>2910</v>
      </c>
      <c r="D246" s="71" t="s">
        <v>121</v>
      </c>
      <c r="E246" s="107" t="s">
        <v>3625</v>
      </c>
      <c r="G246" s="69">
        <v>16500</v>
      </c>
      <c r="T246" s="69"/>
      <c r="U246" s="69"/>
      <c r="AR246" s="94">
        <f t="shared" si="15"/>
        <v>16500</v>
      </c>
      <c r="AS246" s="69">
        <v>14718.8</v>
      </c>
      <c r="AT246" s="69">
        <v>1781.2</v>
      </c>
      <c r="BC246" s="69"/>
      <c r="BD246" s="69"/>
      <c r="CC246" s="94">
        <f t="shared" si="16"/>
        <v>16500</v>
      </c>
      <c r="CD246" s="73">
        <f t="shared" si="17"/>
        <v>0</v>
      </c>
      <c r="CE246" s="75">
        <f t="shared" si="18"/>
        <v>2910</v>
      </c>
      <c r="CF246" s="69" t="str">
        <f t="shared" si="18"/>
        <v>ماليزى اسنان</v>
      </c>
    </row>
    <row r="247" spans="1:84" ht="18.75" x14ac:dyDescent="0.25">
      <c r="B247" s="82">
        <v>5102</v>
      </c>
      <c r="C247" s="70">
        <v>2911</v>
      </c>
      <c r="D247" s="71" t="s">
        <v>121</v>
      </c>
      <c r="E247" s="107" t="s">
        <v>3626</v>
      </c>
      <c r="G247" s="69">
        <v>20000</v>
      </c>
      <c r="T247" s="69"/>
      <c r="U247" s="69"/>
      <c r="AR247" s="94">
        <f t="shared" si="15"/>
        <v>20000</v>
      </c>
      <c r="AS247" s="69">
        <v>17890.400000000001</v>
      </c>
      <c r="AT247" s="69">
        <v>2109.6</v>
      </c>
      <c r="BC247" s="69"/>
      <c r="BD247" s="69"/>
      <c r="CC247" s="94">
        <f t="shared" si="16"/>
        <v>20000</v>
      </c>
      <c r="CD247" s="73">
        <f t="shared" si="17"/>
        <v>0</v>
      </c>
      <c r="CE247" s="75">
        <f t="shared" si="18"/>
        <v>2911</v>
      </c>
      <c r="CF247" s="69" t="str">
        <f t="shared" si="18"/>
        <v>ماليزى اسنان</v>
      </c>
    </row>
    <row r="248" spans="1:84" ht="18.75" x14ac:dyDescent="0.25">
      <c r="B248" s="82">
        <v>5435</v>
      </c>
      <c r="C248" s="70">
        <v>2912</v>
      </c>
      <c r="D248" s="71" t="s">
        <v>121</v>
      </c>
      <c r="E248" s="107" t="s">
        <v>3627</v>
      </c>
      <c r="G248" s="69">
        <v>6600</v>
      </c>
      <c r="T248" s="69"/>
      <c r="U248" s="69"/>
      <c r="AR248" s="94">
        <f t="shared" si="15"/>
        <v>6600</v>
      </c>
      <c r="AS248" s="69">
        <v>5891.2</v>
      </c>
      <c r="AT248" s="69">
        <v>708.8</v>
      </c>
      <c r="BC248" s="69"/>
      <c r="BD248" s="69"/>
      <c r="CC248" s="94">
        <f t="shared" si="16"/>
        <v>6600</v>
      </c>
      <c r="CD248" s="73">
        <f t="shared" si="17"/>
        <v>0</v>
      </c>
      <c r="CE248" s="75">
        <f t="shared" si="18"/>
        <v>2912</v>
      </c>
      <c r="CF248" s="69" t="str">
        <f t="shared" si="18"/>
        <v>ماليزى اسنان</v>
      </c>
    </row>
    <row r="249" spans="1:84" ht="18.75" x14ac:dyDescent="0.25">
      <c r="B249" s="82">
        <v>5496</v>
      </c>
      <c r="C249" s="70">
        <v>2913</v>
      </c>
      <c r="D249" s="71" t="s">
        <v>121</v>
      </c>
      <c r="E249" s="107" t="s">
        <v>3628</v>
      </c>
      <c r="G249" s="69">
        <v>1000</v>
      </c>
      <c r="T249" s="69"/>
      <c r="U249" s="69"/>
      <c r="AR249" s="94">
        <f t="shared" si="15"/>
        <v>1000</v>
      </c>
      <c r="AS249" s="69">
        <v>893.35</v>
      </c>
      <c r="AT249" s="69">
        <v>106.65</v>
      </c>
      <c r="BC249" s="69"/>
      <c r="BD249" s="69"/>
      <c r="CC249" s="94">
        <f t="shared" si="16"/>
        <v>1000</v>
      </c>
      <c r="CD249" s="73">
        <f t="shared" si="17"/>
        <v>0</v>
      </c>
      <c r="CE249" s="75">
        <f t="shared" si="18"/>
        <v>2913</v>
      </c>
      <c r="CF249" s="69" t="str">
        <f t="shared" si="18"/>
        <v>ماليزى اسنان</v>
      </c>
    </row>
    <row r="250" spans="1:84" ht="18.75" x14ac:dyDescent="0.25">
      <c r="B250" s="82">
        <v>5467</v>
      </c>
      <c r="C250" s="70">
        <v>2914</v>
      </c>
      <c r="D250" s="71" t="s">
        <v>121</v>
      </c>
      <c r="E250" s="107" t="s">
        <v>3629</v>
      </c>
      <c r="G250" s="69">
        <v>2696.75</v>
      </c>
      <c r="T250" s="69"/>
      <c r="U250" s="69"/>
      <c r="AR250" s="94">
        <f t="shared" si="15"/>
        <v>2696.75</v>
      </c>
      <c r="AS250" s="69">
        <v>1802</v>
      </c>
      <c r="AT250" s="69">
        <v>245</v>
      </c>
      <c r="AU250" s="69">
        <v>649.75</v>
      </c>
      <c r="BC250" s="69"/>
      <c r="BD250" s="69"/>
      <c r="CC250" s="94">
        <f t="shared" si="16"/>
        <v>2696.75</v>
      </c>
      <c r="CD250" s="73">
        <f t="shared" si="17"/>
        <v>0</v>
      </c>
      <c r="CE250" s="75">
        <f t="shared" si="18"/>
        <v>2914</v>
      </c>
      <c r="CF250" s="69" t="str">
        <f t="shared" si="18"/>
        <v>ماليزى اسنان</v>
      </c>
    </row>
    <row r="251" spans="1:84" ht="18.75" x14ac:dyDescent="0.25">
      <c r="B251" s="82">
        <v>5465</v>
      </c>
      <c r="C251" s="70">
        <v>2915</v>
      </c>
      <c r="D251" s="71" t="s">
        <v>121</v>
      </c>
      <c r="E251" s="107" t="s">
        <v>3629</v>
      </c>
      <c r="G251" s="69">
        <v>16200</v>
      </c>
      <c r="T251" s="69"/>
      <c r="U251" s="69"/>
      <c r="AR251" s="94">
        <f t="shared" si="15"/>
        <v>16200</v>
      </c>
      <c r="AS251" s="69">
        <v>14461.3</v>
      </c>
      <c r="AT251" s="69">
        <v>1738.7</v>
      </c>
      <c r="BC251" s="69"/>
      <c r="BD251" s="69"/>
      <c r="CC251" s="94">
        <f t="shared" si="16"/>
        <v>16200</v>
      </c>
      <c r="CD251" s="73">
        <f t="shared" si="17"/>
        <v>0</v>
      </c>
      <c r="CE251" s="75">
        <f t="shared" si="18"/>
        <v>2915</v>
      </c>
      <c r="CF251" s="69" t="str">
        <f t="shared" si="18"/>
        <v>ماليزى اسنان</v>
      </c>
    </row>
    <row r="252" spans="1:84" ht="18.75" x14ac:dyDescent="0.25">
      <c r="B252" s="82">
        <v>5466</v>
      </c>
      <c r="C252" s="70">
        <v>2916</v>
      </c>
      <c r="D252" s="71" t="s">
        <v>121</v>
      </c>
      <c r="E252" s="107" t="s">
        <v>3629</v>
      </c>
      <c r="G252" s="69">
        <v>1800</v>
      </c>
      <c r="T252" s="69"/>
      <c r="U252" s="69"/>
      <c r="AR252" s="94">
        <f t="shared" si="15"/>
        <v>1800</v>
      </c>
      <c r="AS252" s="69">
        <v>1606.85</v>
      </c>
      <c r="AT252" s="69">
        <v>193.15</v>
      </c>
      <c r="BC252" s="69"/>
      <c r="BD252" s="69"/>
      <c r="CC252" s="94">
        <f t="shared" si="16"/>
        <v>1800</v>
      </c>
      <c r="CD252" s="73">
        <f t="shared" si="17"/>
        <v>0</v>
      </c>
      <c r="CE252" s="75">
        <f t="shared" si="18"/>
        <v>2916</v>
      </c>
      <c r="CF252" s="69" t="str">
        <f t="shared" si="18"/>
        <v>ماليزى اسنان</v>
      </c>
    </row>
    <row r="253" spans="1:84" ht="18.75" x14ac:dyDescent="0.25">
      <c r="B253" s="82">
        <v>5455</v>
      </c>
      <c r="C253" s="70">
        <v>2917</v>
      </c>
      <c r="D253" s="71" t="s">
        <v>121</v>
      </c>
      <c r="E253" s="107" t="s">
        <v>3630</v>
      </c>
      <c r="G253" s="69">
        <v>3420.75</v>
      </c>
      <c r="T253" s="69"/>
      <c r="U253" s="69"/>
      <c r="AR253" s="94">
        <f t="shared" si="15"/>
        <v>3420.75</v>
      </c>
      <c r="AS253" s="69">
        <v>2871.8</v>
      </c>
      <c r="AT253" s="69">
        <v>351.2</v>
      </c>
      <c r="AU253" s="69">
        <v>197.75</v>
      </c>
      <c r="BC253" s="69"/>
      <c r="BD253" s="69"/>
      <c r="CC253" s="94">
        <f t="shared" si="16"/>
        <v>3420.75</v>
      </c>
      <c r="CD253" s="73">
        <f t="shared" si="17"/>
        <v>0</v>
      </c>
      <c r="CE253" s="75">
        <f t="shared" si="18"/>
        <v>2917</v>
      </c>
      <c r="CF253" s="69" t="str">
        <f t="shared" si="18"/>
        <v>ماليزى اسنان</v>
      </c>
    </row>
    <row r="254" spans="1:84" ht="18.75" x14ac:dyDescent="0.25">
      <c r="B254" s="82">
        <v>5461</v>
      </c>
      <c r="C254" s="70">
        <v>2918</v>
      </c>
      <c r="D254" s="71" t="s">
        <v>121</v>
      </c>
      <c r="E254" s="107" t="s">
        <v>3631</v>
      </c>
      <c r="G254" s="69">
        <v>3334.96</v>
      </c>
      <c r="T254" s="69"/>
      <c r="U254" s="69"/>
      <c r="AR254" s="94">
        <f t="shared" si="15"/>
        <v>3334.96</v>
      </c>
      <c r="AS254" s="69">
        <v>2773.29</v>
      </c>
      <c r="AT254" s="69">
        <v>340.65</v>
      </c>
      <c r="AU254" s="69">
        <v>221.02</v>
      </c>
      <c r="BC254" s="69"/>
      <c r="BD254" s="69"/>
      <c r="CC254" s="94">
        <f t="shared" si="16"/>
        <v>3334.96</v>
      </c>
      <c r="CD254" s="73">
        <f t="shared" si="17"/>
        <v>0</v>
      </c>
      <c r="CE254" s="75">
        <f t="shared" si="18"/>
        <v>2918</v>
      </c>
      <c r="CF254" s="69" t="str">
        <f t="shared" si="18"/>
        <v>ماليزى اسنان</v>
      </c>
    </row>
    <row r="255" spans="1:84" ht="18.75" x14ac:dyDescent="0.25">
      <c r="B255" s="82">
        <v>5495</v>
      </c>
      <c r="C255" s="70">
        <v>2919</v>
      </c>
      <c r="D255" s="71" t="s">
        <v>121</v>
      </c>
      <c r="E255" s="107" t="s">
        <v>3632</v>
      </c>
      <c r="G255" s="69">
        <v>3603.7</v>
      </c>
      <c r="T255" s="69"/>
      <c r="U255" s="69"/>
      <c r="AR255" s="94">
        <f t="shared" si="15"/>
        <v>3603.7</v>
      </c>
      <c r="AS255" s="69">
        <v>3060.02</v>
      </c>
      <c r="AT255" s="69">
        <v>373.85</v>
      </c>
      <c r="AU255" s="69">
        <v>169.83</v>
      </c>
      <c r="BC255" s="69"/>
      <c r="BD255" s="69"/>
      <c r="CC255" s="94">
        <f t="shared" si="16"/>
        <v>3603.7</v>
      </c>
      <c r="CD255" s="73">
        <f t="shared" si="17"/>
        <v>0</v>
      </c>
      <c r="CE255" s="75">
        <f t="shared" si="18"/>
        <v>2919</v>
      </c>
      <c r="CF255" s="69" t="str">
        <f t="shared" si="18"/>
        <v>ماليزى اسنان</v>
      </c>
    </row>
    <row r="256" spans="1:84" ht="18.75" x14ac:dyDescent="0.25">
      <c r="B256" s="82">
        <v>5463</v>
      </c>
      <c r="C256" s="70">
        <v>2920</v>
      </c>
      <c r="D256" s="71" t="s">
        <v>121</v>
      </c>
      <c r="E256" s="107" t="s">
        <v>3633</v>
      </c>
      <c r="G256" s="69">
        <v>34800</v>
      </c>
      <c r="T256" s="69"/>
      <c r="U256" s="69"/>
      <c r="AR256" s="94">
        <f t="shared" si="15"/>
        <v>34800</v>
      </c>
      <c r="AS256" s="69">
        <v>31068.05</v>
      </c>
      <c r="AT256" s="69">
        <v>3731.95</v>
      </c>
      <c r="BC256" s="69"/>
      <c r="BD256" s="69"/>
      <c r="CC256" s="94">
        <f t="shared" si="16"/>
        <v>34800</v>
      </c>
      <c r="CD256" s="73">
        <f t="shared" si="17"/>
        <v>0</v>
      </c>
      <c r="CE256" s="75">
        <f t="shared" si="18"/>
        <v>2920</v>
      </c>
      <c r="CF256" s="69" t="str">
        <f t="shared" si="18"/>
        <v>ماليزى اسنان</v>
      </c>
    </row>
    <row r="257" spans="2:84" ht="18.75" x14ac:dyDescent="0.25">
      <c r="B257" s="82">
        <v>5437</v>
      </c>
      <c r="C257" s="70">
        <v>2921</v>
      </c>
      <c r="D257" s="71" t="s">
        <v>121</v>
      </c>
      <c r="E257" s="107" t="s">
        <v>3634</v>
      </c>
      <c r="G257" s="69">
        <v>1524.26</v>
      </c>
      <c r="T257" s="69"/>
      <c r="U257" s="69"/>
      <c r="AR257" s="94">
        <f t="shared" si="15"/>
        <v>1524.26</v>
      </c>
      <c r="AS257" s="69">
        <v>1019.55</v>
      </c>
      <c r="AT257" s="69">
        <v>137.44999999999999</v>
      </c>
      <c r="AU257" s="69">
        <v>367.26</v>
      </c>
      <c r="BC257" s="69"/>
      <c r="BD257" s="69"/>
      <c r="CC257" s="94">
        <f t="shared" si="16"/>
        <v>1524.26</v>
      </c>
      <c r="CD257" s="73">
        <f t="shared" si="17"/>
        <v>0</v>
      </c>
      <c r="CE257" s="75">
        <f t="shared" si="18"/>
        <v>2921</v>
      </c>
      <c r="CF257" s="69" t="str">
        <f t="shared" si="18"/>
        <v>ماليزى اسنان</v>
      </c>
    </row>
    <row r="258" spans="2:84" ht="18.75" x14ac:dyDescent="0.25">
      <c r="B258" s="82">
        <v>5436</v>
      </c>
      <c r="C258" s="70">
        <v>2922</v>
      </c>
      <c r="D258" s="71" t="s">
        <v>121</v>
      </c>
      <c r="E258" s="107" t="s">
        <v>3635</v>
      </c>
      <c r="G258" s="69">
        <v>2822.2</v>
      </c>
      <c r="T258" s="69"/>
      <c r="U258" s="69"/>
      <c r="AR258" s="94">
        <f t="shared" si="15"/>
        <v>2822.2</v>
      </c>
      <c r="AS258" s="69">
        <v>2332.7800000000002</v>
      </c>
      <c r="AT258" s="69">
        <v>289.3</v>
      </c>
      <c r="AU258" s="69">
        <v>200.12</v>
      </c>
      <c r="BC258" s="69"/>
      <c r="BD258" s="69"/>
      <c r="CC258" s="94">
        <f t="shared" si="16"/>
        <v>2822.2000000000003</v>
      </c>
      <c r="CD258" s="73">
        <f t="shared" si="17"/>
        <v>0</v>
      </c>
      <c r="CE258" s="75">
        <f t="shared" si="18"/>
        <v>2922</v>
      </c>
      <c r="CF258" s="69" t="str">
        <f t="shared" si="18"/>
        <v>ماليزى اسنان</v>
      </c>
    </row>
    <row r="259" spans="2:84" ht="18.75" x14ac:dyDescent="0.25">
      <c r="B259" s="82">
        <v>5441</v>
      </c>
      <c r="C259" s="70">
        <v>2923</v>
      </c>
      <c r="D259" s="71" t="s">
        <v>121</v>
      </c>
      <c r="E259" s="107" t="s">
        <v>3636</v>
      </c>
      <c r="G259" s="69">
        <v>820.76</v>
      </c>
      <c r="T259" s="69"/>
      <c r="U259" s="69"/>
      <c r="AR259" s="94">
        <f t="shared" si="15"/>
        <v>820.76</v>
      </c>
      <c r="AS259" s="69">
        <v>549.6</v>
      </c>
      <c r="AT259" s="69">
        <v>73.400000000000006</v>
      </c>
      <c r="AU259" s="69">
        <v>197.76</v>
      </c>
      <c r="BC259" s="69"/>
      <c r="BD259" s="69"/>
      <c r="CC259" s="94">
        <f t="shared" si="16"/>
        <v>820.76</v>
      </c>
      <c r="CD259" s="73">
        <f t="shared" si="17"/>
        <v>0</v>
      </c>
      <c r="CE259" s="75">
        <f t="shared" si="18"/>
        <v>2923</v>
      </c>
      <c r="CF259" s="69" t="str">
        <f t="shared" si="18"/>
        <v>ماليزى اسنان</v>
      </c>
    </row>
    <row r="260" spans="2:84" ht="18.75" x14ac:dyDescent="0.25">
      <c r="B260" s="82">
        <v>5442</v>
      </c>
      <c r="C260" s="70">
        <v>2924</v>
      </c>
      <c r="D260" s="71" t="s">
        <v>121</v>
      </c>
      <c r="E260" s="107" t="s">
        <v>3636</v>
      </c>
      <c r="G260" s="69">
        <v>2051.9</v>
      </c>
      <c r="T260" s="69"/>
      <c r="U260" s="69"/>
      <c r="AR260" s="94">
        <f t="shared" si="15"/>
        <v>2051.9</v>
      </c>
      <c r="AS260" s="69">
        <v>1374</v>
      </c>
      <c r="AT260" s="69">
        <v>183.5</v>
      </c>
      <c r="AU260" s="69">
        <v>494.4</v>
      </c>
      <c r="BC260" s="69"/>
      <c r="BD260" s="69"/>
      <c r="CC260" s="94">
        <f t="shared" si="16"/>
        <v>2051.9</v>
      </c>
      <c r="CD260" s="73">
        <f t="shared" si="17"/>
        <v>0</v>
      </c>
      <c r="CE260" s="75">
        <f t="shared" si="18"/>
        <v>2924</v>
      </c>
      <c r="CF260" s="69" t="str">
        <f t="shared" si="18"/>
        <v>ماليزى اسنان</v>
      </c>
    </row>
    <row r="261" spans="2:84" ht="18.75" x14ac:dyDescent="0.25">
      <c r="B261" s="82">
        <v>5440</v>
      </c>
      <c r="C261" s="70">
        <v>2925</v>
      </c>
      <c r="D261" s="71" t="s">
        <v>121</v>
      </c>
      <c r="E261" s="107" t="s">
        <v>3636</v>
      </c>
      <c r="G261" s="69">
        <v>3574.65</v>
      </c>
      <c r="T261" s="69"/>
      <c r="U261" s="69"/>
      <c r="AR261" s="94">
        <f t="shared" si="15"/>
        <v>3574.65</v>
      </c>
      <c r="AS261" s="69">
        <v>3006.47</v>
      </c>
      <c r="AT261" s="69">
        <v>364.05</v>
      </c>
      <c r="AU261" s="69">
        <v>204.13</v>
      </c>
      <c r="BC261" s="69"/>
      <c r="BD261" s="69"/>
      <c r="CC261" s="94">
        <f t="shared" si="16"/>
        <v>3574.65</v>
      </c>
      <c r="CD261" s="73">
        <f t="shared" si="17"/>
        <v>0</v>
      </c>
      <c r="CE261" s="75">
        <f t="shared" si="18"/>
        <v>2925</v>
      </c>
      <c r="CF261" s="69" t="str">
        <f t="shared" si="18"/>
        <v>ماليزى اسنان</v>
      </c>
    </row>
    <row r="262" spans="2:84" ht="18.75" x14ac:dyDescent="0.25">
      <c r="B262" s="82">
        <v>5444</v>
      </c>
      <c r="C262" s="70">
        <v>2926</v>
      </c>
      <c r="D262" s="71" t="s">
        <v>121</v>
      </c>
      <c r="E262" s="107" t="s">
        <v>3637</v>
      </c>
      <c r="G262" s="69">
        <v>3620</v>
      </c>
      <c r="T262" s="69"/>
      <c r="U262" s="69"/>
      <c r="AR262" s="94">
        <f t="shared" si="15"/>
        <v>3620</v>
      </c>
      <c r="AS262" s="69">
        <v>3236.95</v>
      </c>
      <c r="AT262" s="69">
        <v>383.05</v>
      </c>
      <c r="BC262" s="69"/>
      <c r="BD262" s="69"/>
      <c r="CC262" s="94">
        <f t="shared" si="16"/>
        <v>3620</v>
      </c>
      <c r="CD262" s="73">
        <f t="shared" si="17"/>
        <v>0</v>
      </c>
      <c r="CE262" s="75">
        <f t="shared" si="18"/>
        <v>2926</v>
      </c>
      <c r="CF262" s="69" t="str">
        <f t="shared" si="18"/>
        <v>ماليزى اسنان</v>
      </c>
    </row>
    <row r="263" spans="2:84" ht="18.75" x14ac:dyDescent="0.25">
      <c r="B263" s="82">
        <v>5443</v>
      </c>
      <c r="C263" s="70">
        <v>2927</v>
      </c>
      <c r="D263" s="71" t="s">
        <v>121</v>
      </c>
      <c r="E263" s="107" t="s">
        <v>3638</v>
      </c>
      <c r="G263" s="69">
        <v>5150.04</v>
      </c>
      <c r="T263" s="69"/>
      <c r="U263" s="69"/>
      <c r="AR263" s="94">
        <f t="shared" si="15"/>
        <v>5150.04</v>
      </c>
      <c r="AS263" s="69">
        <v>4521.1400000000003</v>
      </c>
      <c r="AT263" s="69">
        <v>546.95000000000005</v>
      </c>
      <c r="AU263" s="69">
        <v>81.95</v>
      </c>
      <c r="BC263" s="69"/>
      <c r="BD263" s="69"/>
      <c r="CC263" s="94">
        <f t="shared" si="16"/>
        <v>5150.04</v>
      </c>
      <c r="CD263" s="73">
        <f t="shared" si="17"/>
        <v>0</v>
      </c>
      <c r="CE263" s="75">
        <f t="shared" si="18"/>
        <v>2927</v>
      </c>
      <c r="CF263" s="69" t="str">
        <f t="shared" si="18"/>
        <v>ماليزى اسنان</v>
      </c>
    </row>
    <row r="264" spans="2:84" ht="18.75" x14ac:dyDescent="0.25">
      <c r="B264" s="82">
        <v>5450</v>
      </c>
      <c r="C264" s="70">
        <v>2928</v>
      </c>
      <c r="D264" s="71" t="s">
        <v>121</v>
      </c>
      <c r="E264" s="107" t="s">
        <v>3639</v>
      </c>
      <c r="G264" s="69">
        <v>4700</v>
      </c>
      <c r="T264" s="69"/>
      <c r="U264" s="69"/>
      <c r="AR264" s="94">
        <f t="shared" si="15"/>
        <v>4700</v>
      </c>
      <c r="AS264" s="69">
        <v>4195.8</v>
      </c>
      <c r="AT264" s="69">
        <v>504.2</v>
      </c>
      <c r="BC264" s="69"/>
      <c r="BD264" s="69"/>
      <c r="CC264" s="94">
        <f t="shared" si="16"/>
        <v>4700</v>
      </c>
      <c r="CD264" s="73">
        <f t="shared" si="17"/>
        <v>0</v>
      </c>
      <c r="CE264" s="75">
        <f t="shared" si="18"/>
        <v>2928</v>
      </c>
      <c r="CF264" s="69" t="str">
        <f t="shared" si="18"/>
        <v>ماليزى اسنان</v>
      </c>
    </row>
    <row r="265" spans="2:84" ht="18.75" x14ac:dyDescent="0.25">
      <c r="B265" s="82">
        <v>5446</v>
      </c>
      <c r="C265" s="70">
        <v>2929</v>
      </c>
      <c r="D265" s="71" t="s">
        <v>121</v>
      </c>
      <c r="E265" s="107" t="s">
        <v>3639</v>
      </c>
      <c r="G265" s="69">
        <v>4400</v>
      </c>
      <c r="T265" s="69"/>
      <c r="U265" s="69"/>
      <c r="AR265" s="94">
        <f t="shared" si="15"/>
        <v>4400</v>
      </c>
      <c r="AS265" s="69">
        <v>3927.35</v>
      </c>
      <c r="AT265" s="69">
        <v>472.65</v>
      </c>
      <c r="BC265" s="69"/>
      <c r="BD265" s="69"/>
      <c r="CC265" s="94">
        <f t="shared" si="16"/>
        <v>4400</v>
      </c>
      <c r="CD265" s="73">
        <f t="shared" si="17"/>
        <v>0</v>
      </c>
      <c r="CE265" s="75">
        <f t="shared" si="18"/>
        <v>2929</v>
      </c>
      <c r="CF265" s="69" t="str">
        <f t="shared" si="18"/>
        <v>ماليزى اسنان</v>
      </c>
    </row>
    <row r="266" spans="2:84" ht="18.75" x14ac:dyDescent="0.25">
      <c r="B266" s="82">
        <v>5447</v>
      </c>
      <c r="C266" s="70">
        <v>2930</v>
      </c>
      <c r="D266" s="71" t="s">
        <v>121</v>
      </c>
      <c r="E266" s="107" t="s">
        <v>3640</v>
      </c>
      <c r="G266" s="69">
        <v>8637.25</v>
      </c>
      <c r="T266" s="69"/>
      <c r="U266" s="69"/>
      <c r="AR266" s="94">
        <f t="shared" si="15"/>
        <v>8637.25</v>
      </c>
      <c r="AS266" s="69">
        <v>7503.58</v>
      </c>
      <c r="AT266" s="69">
        <v>908.9</v>
      </c>
      <c r="AU266" s="69">
        <v>224.77</v>
      </c>
      <c r="BC266" s="69"/>
      <c r="BD266" s="69"/>
      <c r="CC266" s="94">
        <f t="shared" si="16"/>
        <v>8637.25</v>
      </c>
      <c r="CD266" s="73">
        <f t="shared" si="17"/>
        <v>0</v>
      </c>
      <c r="CE266" s="75">
        <f t="shared" si="18"/>
        <v>2930</v>
      </c>
      <c r="CF266" s="69" t="str">
        <f t="shared" si="18"/>
        <v>ماليزى اسنان</v>
      </c>
    </row>
    <row r="267" spans="2:84" ht="18.75" x14ac:dyDescent="0.25">
      <c r="B267" s="82">
        <v>5439</v>
      </c>
      <c r="C267" s="70">
        <v>2931</v>
      </c>
      <c r="D267" s="71" t="s">
        <v>121</v>
      </c>
      <c r="E267" s="107" t="s">
        <v>3641</v>
      </c>
      <c r="G267" s="69">
        <v>644.88</v>
      </c>
      <c r="T267" s="69"/>
      <c r="U267" s="69"/>
      <c r="AR267" s="94">
        <f t="shared" si="15"/>
        <v>644.88</v>
      </c>
      <c r="AS267" s="69">
        <v>431</v>
      </c>
      <c r="AT267" s="69">
        <f>55+3.5</f>
        <v>58.5</v>
      </c>
      <c r="AU267" s="69">
        <f>213.88-AT267</f>
        <v>155.38</v>
      </c>
      <c r="BC267" s="69"/>
      <c r="BD267" s="69"/>
      <c r="CC267" s="94">
        <f t="shared" si="16"/>
        <v>644.88</v>
      </c>
      <c r="CD267" s="73">
        <f t="shared" si="17"/>
        <v>0</v>
      </c>
      <c r="CE267" s="75">
        <f t="shared" si="18"/>
        <v>2931</v>
      </c>
      <c r="CF267" s="69" t="str">
        <f t="shared" si="18"/>
        <v>ماليزى اسنان</v>
      </c>
    </row>
    <row r="268" spans="2:84" ht="18.75" x14ac:dyDescent="0.25">
      <c r="B268" s="82">
        <v>5438</v>
      </c>
      <c r="C268" s="70">
        <v>2932</v>
      </c>
      <c r="D268" s="71" t="s">
        <v>121</v>
      </c>
      <c r="E268" s="107" t="s">
        <v>3642</v>
      </c>
      <c r="G268" s="69">
        <v>703.5</v>
      </c>
      <c r="T268" s="69"/>
      <c r="U268" s="69"/>
      <c r="AR268" s="94">
        <f t="shared" si="15"/>
        <v>703.5</v>
      </c>
      <c r="AS268" s="69">
        <v>470.6</v>
      </c>
      <c r="AT268" s="69">
        <v>63.4</v>
      </c>
      <c r="AU268" s="69">
        <v>169.5</v>
      </c>
      <c r="BC268" s="69"/>
      <c r="BD268" s="69"/>
      <c r="CC268" s="94">
        <f t="shared" si="16"/>
        <v>703.5</v>
      </c>
      <c r="CD268" s="73">
        <f t="shared" si="17"/>
        <v>0</v>
      </c>
      <c r="CE268" s="75">
        <f t="shared" si="18"/>
        <v>2932</v>
      </c>
      <c r="CF268" s="69" t="str">
        <f t="shared" si="18"/>
        <v>ماليزى اسنان</v>
      </c>
    </row>
    <row r="269" spans="2:84" ht="18.75" x14ac:dyDescent="0.25">
      <c r="B269" s="82">
        <v>5453</v>
      </c>
      <c r="C269" s="70">
        <v>2933</v>
      </c>
      <c r="D269" s="71" t="s">
        <v>121</v>
      </c>
      <c r="E269" s="107" t="s">
        <v>3643</v>
      </c>
      <c r="G269" s="69">
        <v>7850</v>
      </c>
      <c r="T269" s="69"/>
      <c r="U269" s="69"/>
      <c r="AR269" s="94">
        <f t="shared" si="15"/>
        <v>7850</v>
      </c>
      <c r="AS269" s="69">
        <v>7006.8</v>
      </c>
      <c r="AT269" s="69">
        <v>843.2</v>
      </c>
      <c r="BC269" s="69"/>
      <c r="BD269" s="69"/>
      <c r="CC269" s="94">
        <f t="shared" si="16"/>
        <v>7850</v>
      </c>
      <c r="CD269" s="73">
        <f t="shared" si="17"/>
        <v>0</v>
      </c>
      <c r="CE269" s="75">
        <f t="shared" si="18"/>
        <v>2933</v>
      </c>
      <c r="CF269" s="69" t="str">
        <f t="shared" si="18"/>
        <v>ماليزى اسنان</v>
      </c>
    </row>
    <row r="270" spans="2:84" ht="18.75" x14ac:dyDescent="0.25">
      <c r="B270" s="82">
        <v>5452</v>
      </c>
      <c r="C270" s="70">
        <v>2934</v>
      </c>
      <c r="D270" s="71" t="s">
        <v>121</v>
      </c>
      <c r="E270" s="107" t="s">
        <v>3644</v>
      </c>
      <c r="G270" s="69">
        <v>2009.58</v>
      </c>
      <c r="T270" s="69"/>
      <c r="U270" s="69"/>
      <c r="AR270" s="94">
        <f t="shared" si="15"/>
        <v>2009.58</v>
      </c>
      <c r="AS270" s="69">
        <v>1782.43</v>
      </c>
      <c r="AT270" s="69">
        <v>211.45</v>
      </c>
      <c r="AU270" s="69">
        <v>15.7</v>
      </c>
      <c r="BC270" s="69"/>
      <c r="BD270" s="69"/>
      <c r="CC270" s="94">
        <f t="shared" si="16"/>
        <v>2009.5800000000002</v>
      </c>
      <c r="CD270" s="73">
        <f t="shared" si="17"/>
        <v>0</v>
      </c>
      <c r="CE270" s="75">
        <f t="shared" si="18"/>
        <v>2934</v>
      </c>
      <c r="CF270" s="69" t="str">
        <f t="shared" si="18"/>
        <v>ماليزى اسنان</v>
      </c>
    </row>
    <row r="271" spans="2:84" ht="18.75" x14ac:dyDescent="0.25">
      <c r="B271" s="82">
        <v>5451</v>
      </c>
      <c r="C271" s="70">
        <v>2935</v>
      </c>
      <c r="D271" s="71" t="s">
        <v>121</v>
      </c>
      <c r="E271" s="107" t="s">
        <v>3645</v>
      </c>
      <c r="G271" s="69">
        <v>3968.24</v>
      </c>
      <c r="T271" s="69"/>
      <c r="U271" s="69"/>
      <c r="AR271" s="94">
        <f t="shared" si="15"/>
        <v>3968.24</v>
      </c>
      <c r="AS271" s="69">
        <v>3135.6</v>
      </c>
      <c r="AT271" s="69">
        <v>393.35</v>
      </c>
      <c r="AU271" s="69">
        <v>439.29</v>
      </c>
      <c r="BC271" s="69"/>
      <c r="BD271" s="69"/>
      <c r="CC271" s="94">
        <f t="shared" si="16"/>
        <v>3968.24</v>
      </c>
      <c r="CD271" s="73">
        <f t="shared" si="17"/>
        <v>0</v>
      </c>
      <c r="CE271" s="75">
        <f t="shared" si="18"/>
        <v>2935</v>
      </c>
      <c r="CF271" s="69" t="str">
        <f t="shared" si="18"/>
        <v>ماليزى اسنان</v>
      </c>
    </row>
    <row r="272" spans="2:84" ht="18.75" x14ac:dyDescent="0.25">
      <c r="B272" s="82">
        <v>5460</v>
      </c>
      <c r="C272" s="70">
        <v>2936</v>
      </c>
      <c r="D272" s="71" t="s">
        <v>121</v>
      </c>
      <c r="E272" s="107" t="s">
        <v>3646</v>
      </c>
      <c r="G272" s="69">
        <v>2086.25</v>
      </c>
      <c r="T272" s="69"/>
      <c r="U272" s="69"/>
      <c r="AR272" s="94">
        <f t="shared" si="15"/>
        <v>2086.25</v>
      </c>
      <c r="AS272" s="69">
        <v>1731.5</v>
      </c>
      <c r="AT272" s="69">
        <v>213.5</v>
      </c>
      <c r="AU272" s="69">
        <v>141.25</v>
      </c>
      <c r="BC272" s="69"/>
      <c r="BD272" s="69"/>
      <c r="CC272" s="94">
        <f t="shared" si="16"/>
        <v>2086.25</v>
      </c>
      <c r="CD272" s="73">
        <f t="shared" si="17"/>
        <v>0</v>
      </c>
      <c r="CE272" s="75">
        <f t="shared" si="18"/>
        <v>2936</v>
      </c>
      <c r="CF272" s="69" t="str">
        <f t="shared" si="18"/>
        <v>ماليزى اسنان</v>
      </c>
    </row>
    <row r="273" spans="1:84" ht="18.75" x14ac:dyDescent="0.25">
      <c r="B273" s="82">
        <v>5467</v>
      </c>
      <c r="C273" s="70">
        <v>2937</v>
      </c>
      <c r="D273" s="71" t="s">
        <v>121</v>
      </c>
      <c r="E273" s="107" t="s">
        <v>3647</v>
      </c>
      <c r="G273" s="69">
        <v>500</v>
      </c>
      <c r="T273" s="69"/>
      <c r="U273" s="69"/>
      <c r="AR273" s="94">
        <f t="shared" si="15"/>
        <v>500</v>
      </c>
      <c r="AS273" s="69">
        <v>447.05</v>
      </c>
      <c r="AT273" s="69">
        <v>52.95</v>
      </c>
      <c r="BC273" s="69"/>
      <c r="BD273" s="69"/>
      <c r="CC273" s="94">
        <f t="shared" si="16"/>
        <v>500</v>
      </c>
      <c r="CD273" s="73">
        <f t="shared" si="17"/>
        <v>0</v>
      </c>
      <c r="CE273" s="75">
        <f t="shared" si="18"/>
        <v>2937</v>
      </c>
      <c r="CF273" s="69" t="str">
        <f t="shared" si="18"/>
        <v>ماليزى اسنان</v>
      </c>
    </row>
    <row r="274" spans="1:84" ht="18.75" x14ac:dyDescent="0.25">
      <c r="B274" s="82">
        <v>5463</v>
      </c>
      <c r="C274" s="70">
        <v>2938</v>
      </c>
      <c r="D274" s="71" t="s">
        <v>121</v>
      </c>
      <c r="E274" s="107" t="s">
        <v>2420</v>
      </c>
      <c r="G274" s="69">
        <v>1800</v>
      </c>
      <c r="T274" s="69"/>
      <c r="U274" s="69"/>
      <c r="AR274" s="94">
        <f t="shared" si="15"/>
        <v>1800</v>
      </c>
      <c r="AS274" s="69">
        <v>1608.1</v>
      </c>
      <c r="AT274" s="69">
        <v>191.9</v>
      </c>
      <c r="BC274" s="69"/>
      <c r="BD274" s="69"/>
      <c r="CC274" s="94">
        <f t="shared" si="16"/>
        <v>1800</v>
      </c>
      <c r="CD274" s="73">
        <f t="shared" si="17"/>
        <v>0</v>
      </c>
      <c r="CE274" s="75">
        <f t="shared" si="18"/>
        <v>2938</v>
      </c>
      <c r="CF274" s="69" t="str">
        <f t="shared" si="18"/>
        <v>ماليزى اسنان</v>
      </c>
    </row>
    <row r="275" spans="1:84" ht="18.75" x14ac:dyDescent="0.25">
      <c r="B275" s="82">
        <v>5457</v>
      </c>
      <c r="C275" s="70">
        <v>2939</v>
      </c>
      <c r="D275" s="71" t="s">
        <v>121</v>
      </c>
      <c r="E275" s="107" t="s">
        <v>3648</v>
      </c>
      <c r="G275" s="69">
        <v>4096.75</v>
      </c>
      <c r="T275" s="69"/>
      <c r="U275" s="69"/>
      <c r="AR275" s="94">
        <f t="shared" si="15"/>
        <v>4096.75</v>
      </c>
      <c r="AS275" s="69">
        <v>3054.5</v>
      </c>
      <c r="AT275" s="69">
        <v>392.5</v>
      </c>
      <c r="AU275" s="69">
        <v>649.75</v>
      </c>
      <c r="BC275" s="69"/>
      <c r="BD275" s="69"/>
      <c r="CC275" s="94">
        <f t="shared" si="16"/>
        <v>4096.75</v>
      </c>
      <c r="CD275" s="73">
        <f t="shared" si="17"/>
        <v>0</v>
      </c>
      <c r="CE275" s="75">
        <f t="shared" si="18"/>
        <v>2939</v>
      </c>
      <c r="CF275" s="69" t="str">
        <f t="shared" si="18"/>
        <v>ماليزى اسنان</v>
      </c>
    </row>
    <row r="276" spans="1:84" ht="18.75" x14ac:dyDescent="0.25">
      <c r="B276" s="82">
        <v>5445</v>
      </c>
      <c r="C276" s="70">
        <v>2940</v>
      </c>
      <c r="D276" s="71" t="s">
        <v>121</v>
      </c>
      <c r="E276" s="107" t="s">
        <v>3649</v>
      </c>
      <c r="G276" s="69">
        <v>2042.87</v>
      </c>
      <c r="T276" s="69"/>
      <c r="U276" s="69"/>
      <c r="AR276" s="94">
        <f t="shared" si="15"/>
        <v>2042.87</v>
      </c>
      <c r="AS276" s="69">
        <v>1470.9</v>
      </c>
      <c r="AT276" s="69">
        <v>190.6</v>
      </c>
      <c r="AU276" s="69">
        <v>381.37</v>
      </c>
      <c r="BC276" s="69"/>
      <c r="BD276" s="69"/>
      <c r="CC276" s="94">
        <f t="shared" si="16"/>
        <v>2042.87</v>
      </c>
      <c r="CD276" s="73">
        <f t="shared" si="17"/>
        <v>0</v>
      </c>
      <c r="CE276" s="75">
        <f t="shared" si="18"/>
        <v>2940</v>
      </c>
      <c r="CF276" s="69" t="str">
        <f t="shared" si="18"/>
        <v>ماليزى اسنان</v>
      </c>
    </row>
    <row r="277" spans="1:84" ht="18.75" x14ac:dyDescent="0.25">
      <c r="B277" s="82">
        <v>5449</v>
      </c>
      <c r="C277" s="70">
        <v>2941</v>
      </c>
      <c r="D277" s="71" t="s">
        <v>121</v>
      </c>
      <c r="E277" s="107" t="s">
        <v>3650</v>
      </c>
      <c r="G277" s="69">
        <v>2500</v>
      </c>
      <c r="T277" s="69"/>
      <c r="U277" s="69"/>
      <c r="AR277" s="94">
        <f t="shared" si="15"/>
        <v>2500</v>
      </c>
      <c r="AS277" s="69">
        <v>2231.6</v>
      </c>
      <c r="AT277" s="69">
        <v>268.39999999999998</v>
      </c>
      <c r="BC277" s="69"/>
      <c r="BD277" s="69"/>
      <c r="CC277" s="94">
        <f t="shared" si="16"/>
        <v>2500</v>
      </c>
      <c r="CD277" s="73">
        <f t="shared" si="17"/>
        <v>0</v>
      </c>
      <c r="CE277" s="75">
        <f t="shared" si="18"/>
        <v>2941</v>
      </c>
      <c r="CF277" s="69" t="str">
        <f t="shared" si="18"/>
        <v>ماليزى اسنان</v>
      </c>
    </row>
    <row r="278" spans="1:84" ht="18.75" x14ac:dyDescent="0.25">
      <c r="B278" s="82">
        <v>5448</v>
      </c>
      <c r="C278" s="70">
        <v>2942</v>
      </c>
      <c r="D278" s="71" t="s">
        <v>121</v>
      </c>
      <c r="E278" s="107" t="s">
        <v>3647</v>
      </c>
      <c r="G278" s="69">
        <v>5685.35</v>
      </c>
      <c r="T278" s="69"/>
      <c r="U278" s="69"/>
      <c r="AR278" s="94">
        <f t="shared" si="15"/>
        <v>5685.35</v>
      </c>
      <c r="AS278" s="69">
        <v>4871.9399999999996</v>
      </c>
      <c r="AT278" s="69">
        <v>591.75</v>
      </c>
      <c r="AU278" s="69">
        <v>221.66</v>
      </c>
      <c r="BC278" s="69"/>
      <c r="BD278" s="69"/>
      <c r="CC278" s="94">
        <f t="shared" si="16"/>
        <v>5685.3499999999995</v>
      </c>
      <c r="CD278" s="73">
        <f t="shared" si="17"/>
        <v>0</v>
      </c>
      <c r="CE278" s="75">
        <f t="shared" si="18"/>
        <v>2942</v>
      </c>
      <c r="CF278" s="69" t="str">
        <f t="shared" si="18"/>
        <v>ماليزى اسنان</v>
      </c>
    </row>
    <row r="279" spans="1:84" ht="18.75" x14ac:dyDescent="0.25">
      <c r="B279" s="82">
        <v>5454</v>
      </c>
      <c r="C279" s="70">
        <v>2943</v>
      </c>
      <c r="D279" s="71" t="s">
        <v>121</v>
      </c>
      <c r="E279" s="107" t="s">
        <v>3651</v>
      </c>
      <c r="G279" s="69">
        <v>500</v>
      </c>
      <c r="T279" s="69"/>
      <c r="U279" s="69"/>
      <c r="AR279" s="94">
        <f t="shared" si="15"/>
        <v>500</v>
      </c>
      <c r="AS279" s="69">
        <v>447.05</v>
      </c>
      <c r="AT279" s="69">
        <v>52.95</v>
      </c>
      <c r="BC279" s="69"/>
      <c r="BD279" s="69"/>
      <c r="CC279" s="94">
        <f t="shared" si="16"/>
        <v>500</v>
      </c>
      <c r="CD279" s="73">
        <f t="shared" si="17"/>
        <v>0</v>
      </c>
      <c r="CE279" s="75">
        <f t="shared" si="18"/>
        <v>2943</v>
      </c>
      <c r="CF279" s="69" t="str">
        <f t="shared" si="18"/>
        <v>ماليزى اسنان</v>
      </c>
    </row>
    <row r="280" spans="1:84" ht="18.75" x14ac:dyDescent="0.25">
      <c r="A280" s="69" t="s">
        <v>599</v>
      </c>
      <c r="B280" s="82">
        <v>5462</v>
      </c>
      <c r="C280" s="70">
        <v>2944</v>
      </c>
      <c r="D280" s="71" t="s">
        <v>121</v>
      </c>
      <c r="E280" s="107" t="s">
        <v>3652</v>
      </c>
      <c r="G280" s="69">
        <v>6500</v>
      </c>
      <c r="T280" s="69"/>
      <c r="U280" s="69"/>
      <c r="AR280" s="94">
        <f t="shared" si="15"/>
        <v>6500</v>
      </c>
      <c r="AS280" s="69">
        <v>5802</v>
      </c>
      <c r="AT280" s="69">
        <v>698</v>
      </c>
      <c r="BC280" s="69"/>
      <c r="BD280" s="69"/>
      <c r="CC280" s="94">
        <f t="shared" si="16"/>
        <v>6500</v>
      </c>
      <c r="CD280" s="73">
        <f t="shared" si="17"/>
        <v>0</v>
      </c>
      <c r="CE280" s="75">
        <f t="shared" si="18"/>
        <v>2944</v>
      </c>
      <c r="CF280" s="69" t="str">
        <f t="shared" si="18"/>
        <v>ماليزى اسنان</v>
      </c>
    </row>
    <row r="281" spans="1:84" ht="18.75" x14ac:dyDescent="0.25">
      <c r="A281" s="69" t="s">
        <v>599</v>
      </c>
      <c r="B281" s="82">
        <v>5458</v>
      </c>
      <c r="C281" s="70">
        <v>2945</v>
      </c>
      <c r="D281" s="71" t="s">
        <v>121</v>
      </c>
      <c r="E281" s="107" t="s">
        <v>3653</v>
      </c>
      <c r="G281" s="69">
        <v>18950</v>
      </c>
      <c r="T281" s="69"/>
      <c r="U281" s="69"/>
      <c r="AR281" s="94">
        <f t="shared" si="15"/>
        <v>18950</v>
      </c>
      <c r="AS281" s="69">
        <v>16916.05</v>
      </c>
      <c r="AT281" s="69">
        <v>2033.95</v>
      </c>
      <c r="BC281" s="69"/>
      <c r="BD281" s="69"/>
      <c r="CC281" s="94">
        <f t="shared" si="16"/>
        <v>18950</v>
      </c>
      <c r="CD281" s="73">
        <f t="shared" si="17"/>
        <v>0</v>
      </c>
      <c r="CE281" s="75">
        <f t="shared" si="18"/>
        <v>2945</v>
      </c>
      <c r="CF281" s="69" t="str">
        <f t="shared" si="18"/>
        <v>ماليزى اسنان</v>
      </c>
    </row>
    <row r="282" spans="1:84" ht="18.75" x14ac:dyDescent="0.25">
      <c r="A282" s="69" t="s">
        <v>599</v>
      </c>
      <c r="B282" s="82">
        <v>5459</v>
      </c>
      <c r="C282" s="70">
        <v>2946</v>
      </c>
      <c r="D282" s="71" t="s">
        <v>121</v>
      </c>
      <c r="E282" s="107" t="s">
        <v>3654</v>
      </c>
      <c r="G282" s="69">
        <v>1986.55</v>
      </c>
      <c r="T282" s="69"/>
      <c r="U282" s="69"/>
      <c r="AR282" s="94">
        <f t="shared" si="15"/>
        <v>1986.55</v>
      </c>
      <c r="AS282" s="69">
        <v>1413.61</v>
      </c>
      <c r="AT282" s="69">
        <v>185.55</v>
      </c>
      <c r="AU282" s="69">
        <v>387.39</v>
      </c>
      <c r="BC282" s="69"/>
      <c r="BD282" s="69"/>
      <c r="CC282" s="94">
        <f t="shared" si="16"/>
        <v>1986.5499999999997</v>
      </c>
      <c r="CD282" s="73">
        <f t="shared" si="17"/>
        <v>0</v>
      </c>
      <c r="CE282" s="75">
        <f t="shared" si="18"/>
        <v>2946</v>
      </c>
      <c r="CF282" s="69" t="str">
        <f t="shared" si="18"/>
        <v>ماليزى اسنان</v>
      </c>
    </row>
    <row r="283" spans="1:84" ht="18.75" x14ac:dyDescent="0.25">
      <c r="A283" s="68"/>
      <c r="B283" s="83"/>
      <c r="C283" s="84"/>
      <c r="D283" s="85"/>
      <c r="E283" s="108" t="s">
        <v>3655</v>
      </c>
      <c r="F283" s="68"/>
      <c r="G283" s="68">
        <f>SUM(G45:G282)</f>
        <v>1125044.06</v>
      </c>
      <c r="H283" s="68">
        <f t="shared" ref="H283:AV283" si="19">SUM(H45:H282)</f>
        <v>736960.2</v>
      </c>
      <c r="I283" s="68">
        <f t="shared" si="19"/>
        <v>0</v>
      </c>
      <c r="J283" s="68">
        <f t="shared" si="19"/>
        <v>0</v>
      </c>
      <c r="K283" s="68">
        <f t="shared" si="19"/>
        <v>0</v>
      </c>
      <c r="L283" s="68">
        <f t="shared" si="19"/>
        <v>0</v>
      </c>
      <c r="M283" s="68">
        <f t="shared" si="19"/>
        <v>0</v>
      </c>
      <c r="N283" s="68">
        <f t="shared" si="19"/>
        <v>0</v>
      </c>
      <c r="O283" s="68">
        <f t="shared" si="19"/>
        <v>0</v>
      </c>
      <c r="P283" s="68">
        <f t="shared" si="19"/>
        <v>0</v>
      </c>
      <c r="Q283" s="68">
        <f t="shared" si="19"/>
        <v>669.75</v>
      </c>
      <c r="R283" s="68">
        <f t="shared" si="19"/>
        <v>0</v>
      </c>
      <c r="S283" s="68">
        <f t="shared" si="19"/>
        <v>0</v>
      </c>
      <c r="T283" s="68">
        <f t="shared" si="19"/>
        <v>0</v>
      </c>
      <c r="U283" s="68">
        <f t="shared" si="19"/>
        <v>0</v>
      </c>
      <c r="V283" s="68">
        <f t="shared" si="19"/>
        <v>0</v>
      </c>
      <c r="W283" s="68">
        <f t="shared" si="19"/>
        <v>26325</v>
      </c>
      <c r="X283" s="68">
        <f t="shared" si="19"/>
        <v>0</v>
      </c>
      <c r="Y283" s="68">
        <f t="shared" si="19"/>
        <v>0</v>
      </c>
      <c r="Z283" s="68">
        <f t="shared" si="19"/>
        <v>0</v>
      </c>
      <c r="AA283" s="68">
        <f t="shared" si="19"/>
        <v>0</v>
      </c>
      <c r="AB283" s="68">
        <f t="shared" si="19"/>
        <v>0</v>
      </c>
      <c r="AC283" s="68">
        <f t="shared" si="19"/>
        <v>0</v>
      </c>
      <c r="AD283" s="68">
        <f t="shared" si="19"/>
        <v>0</v>
      </c>
      <c r="AE283" s="68">
        <f t="shared" si="19"/>
        <v>0</v>
      </c>
      <c r="AF283" s="68">
        <f t="shared" si="19"/>
        <v>0</v>
      </c>
      <c r="AG283" s="68">
        <f t="shared" si="19"/>
        <v>0</v>
      </c>
      <c r="AH283" s="68">
        <f t="shared" si="19"/>
        <v>0</v>
      </c>
      <c r="AI283" s="68">
        <f t="shared" si="19"/>
        <v>0</v>
      </c>
      <c r="AJ283" s="68">
        <f t="shared" si="19"/>
        <v>0</v>
      </c>
      <c r="AK283" s="68">
        <f t="shared" si="19"/>
        <v>0</v>
      </c>
      <c r="AL283" s="68">
        <f t="shared" si="19"/>
        <v>0</v>
      </c>
      <c r="AM283" s="68">
        <f t="shared" si="19"/>
        <v>0</v>
      </c>
      <c r="AN283" s="68"/>
      <c r="AO283" s="68">
        <f t="shared" si="19"/>
        <v>0</v>
      </c>
      <c r="AP283" s="68">
        <f t="shared" si="19"/>
        <v>0</v>
      </c>
      <c r="AQ283" s="68">
        <f t="shared" si="19"/>
        <v>0</v>
      </c>
      <c r="AR283" s="91">
        <f t="shared" si="19"/>
        <v>1888999.0099999993</v>
      </c>
      <c r="AS283" s="68">
        <f t="shared" si="19"/>
        <v>1627654.1300000031</v>
      </c>
      <c r="AT283" s="68">
        <f t="shared" si="19"/>
        <v>118022.47999999992</v>
      </c>
      <c r="AU283" s="68">
        <f t="shared" si="19"/>
        <v>131079.82</v>
      </c>
      <c r="AV283" s="68">
        <f t="shared" si="19"/>
        <v>7292.58</v>
      </c>
      <c r="BC283" s="69"/>
      <c r="BD283" s="69"/>
      <c r="CC283" s="94">
        <f t="shared" si="16"/>
        <v>1884049.0100000033</v>
      </c>
      <c r="CD283" s="68">
        <f t="shared" ref="CD283" si="20">SUM(CD45:CD282)</f>
        <v>0</v>
      </c>
      <c r="CE283" s="75">
        <f t="shared" si="18"/>
        <v>0</v>
      </c>
      <c r="CF283" s="69">
        <f t="shared" si="18"/>
        <v>0</v>
      </c>
    </row>
    <row r="284" spans="1:84" ht="18.75" x14ac:dyDescent="0.25">
      <c r="B284" s="82">
        <v>5566</v>
      </c>
      <c r="C284" s="70">
        <v>2947</v>
      </c>
      <c r="D284" s="71" t="s">
        <v>121</v>
      </c>
      <c r="E284" s="107" t="s">
        <v>3541</v>
      </c>
      <c r="S284" s="69">
        <v>127114.82</v>
      </c>
      <c r="T284" s="69"/>
      <c r="U284" s="69"/>
      <c r="AR284" s="94">
        <f t="shared" si="15"/>
        <v>127114.82</v>
      </c>
      <c r="AS284" s="69">
        <v>127114.82</v>
      </c>
      <c r="AT284" s="69"/>
      <c r="BC284" s="69"/>
      <c r="BD284" s="69"/>
      <c r="CC284" s="94">
        <f t="shared" si="16"/>
        <v>127114.82</v>
      </c>
      <c r="CD284" s="73">
        <f t="shared" si="17"/>
        <v>0</v>
      </c>
      <c r="CE284" s="75">
        <f t="shared" si="18"/>
        <v>2947</v>
      </c>
      <c r="CF284" s="69" t="str">
        <f t="shared" si="18"/>
        <v>ماليزى اسنان</v>
      </c>
    </row>
    <row r="285" spans="1:84" ht="18.75" x14ac:dyDescent="0.25">
      <c r="B285" s="82">
        <v>5567</v>
      </c>
      <c r="C285" s="70">
        <v>2948</v>
      </c>
      <c r="D285" s="71" t="s">
        <v>123</v>
      </c>
      <c r="E285" s="107" t="s">
        <v>3541</v>
      </c>
      <c r="S285" s="69">
        <v>21319.69</v>
      </c>
      <c r="T285" s="69"/>
      <c r="U285" s="69"/>
      <c r="AR285" s="94">
        <f t="shared" si="15"/>
        <v>21319.69</v>
      </c>
      <c r="AS285" s="69">
        <v>21319.69</v>
      </c>
      <c r="AT285" s="69"/>
      <c r="BC285" s="69"/>
      <c r="BD285" s="69"/>
      <c r="CC285" s="94">
        <f t="shared" si="16"/>
        <v>21319.69</v>
      </c>
      <c r="CD285" s="73">
        <f t="shared" si="17"/>
        <v>0</v>
      </c>
      <c r="CE285" s="75">
        <f t="shared" si="18"/>
        <v>2948</v>
      </c>
      <c r="CF285" s="69" t="str">
        <f t="shared" si="18"/>
        <v>خ ت اسنان</v>
      </c>
    </row>
    <row r="286" spans="1:84" ht="18.75" x14ac:dyDescent="0.25">
      <c r="B286" s="82">
        <v>5568</v>
      </c>
      <c r="C286" s="70">
        <v>2949</v>
      </c>
      <c r="D286" s="71" t="s">
        <v>122</v>
      </c>
      <c r="E286" s="107" t="s">
        <v>3541</v>
      </c>
      <c r="S286" s="69">
        <v>2469.59</v>
      </c>
      <c r="T286" s="69"/>
      <c r="U286" s="69"/>
      <c r="AR286" s="94">
        <f t="shared" si="15"/>
        <v>2469.59</v>
      </c>
      <c r="AS286" s="69">
        <v>2469.59</v>
      </c>
      <c r="AT286" s="69"/>
      <c r="BC286" s="69"/>
      <c r="BD286" s="69"/>
      <c r="CC286" s="94">
        <f t="shared" si="16"/>
        <v>2469.59</v>
      </c>
      <c r="CD286" s="73">
        <f t="shared" si="17"/>
        <v>0</v>
      </c>
      <c r="CE286" s="75">
        <f t="shared" si="18"/>
        <v>2949</v>
      </c>
      <c r="CF286" s="69" t="str">
        <f t="shared" si="18"/>
        <v>علاج تخصصى</v>
      </c>
    </row>
    <row r="287" spans="1:84" ht="18.75" x14ac:dyDescent="0.25">
      <c r="B287" s="82">
        <v>5569</v>
      </c>
      <c r="C287" s="70">
        <v>2950</v>
      </c>
      <c r="D287" s="71" t="s">
        <v>249</v>
      </c>
      <c r="E287" s="107" t="s">
        <v>3541</v>
      </c>
      <c r="S287" s="69">
        <v>5329.02</v>
      </c>
      <c r="T287" s="69"/>
      <c r="U287" s="69"/>
      <c r="AR287" s="94">
        <f t="shared" si="15"/>
        <v>5329.02</v>
      </c>
      <c r="AS287" s="69">
        <v>5329.02</v>
      </c>
      <c r="AT287" s="69"/>
      <c r="BC287" s="69"/>
      <c r="BD287" s="69"/>
      <c r="CC287" s="94">
        <f t="shared" si="16"/>
        <v>5329.02</v>
      </c>
      <c r="CD287" s="73">
        <f t="shared" si="17"/>
        <v>0</v>
      </c>
      <c r="CE287" s="75">
        <f t="shared" si="18"/>
        <v>2950</v>
      </c>
      <c r="CF287" s="69" t="str">
        <f t="shared" si="18"/>
        <v>خدمة عامة</v>
      </c>
    </row>
    <row r="288" spans="1:84" ht="18.75" x14ac:dyDescent="0.25">
      <c r="B288" s="82">
        <v>5570</v>
      </c>
      <c r="C288" s="70">
        <v>2951</v>
      </c>
      <c r="D288" s="71" t="s">
        <v>124</v>
      </c>
      <c r="E288" s="107" t="s">
        <v>3541</v>
      </c>
      <c r="S288" s="69">
        <v>132.93</v>
      </c>
      <c r="T288" s="69"/>
      <c r="U288" s="69"/>
      <c r="AR288" s="94">
        <f t="shared" si="15"/>
        <v>132.93</v>
      </c>
      <c r="AS288" s="69">
        <v>132.93</v>
      </c>
      <c r="AT288" s="69"/>
      <c r="BC288" s="69"/>
      <c r="BD288" s="69"/>
      <c r="CC288" s="94">
        <f t="shared" si="16"/>
        <v>132.93</v>
      </c>
      <c r="CD288" s="73">
        <f t="shared" si="17"/>
        <v>0</v>
      </c>
      <c r="CE288" s="75">
        <f t="shared" si="18"/>
        <v>2951</v>
      </c>
      <c r="CF288" s="69" t="str">
        <f t="shared" si="18"/>
        <v>تكافل اسنان</v>
      </c>
    </row>
    <row r="289" spans="2:84" ht="18.75" x14ac:dyDescent="0.25">
      <c r="B289" s="82">
        <v>5560</v>
      </c>
      <c r="C289" s="70">
        <v>2952</v>
      </c>
      <c r="D289" s="71" t="s">
        <v>78</v>
      </c>
      <c r="E289" s="107" t="s">
        <v>3541</v>
      </c>
      <c r="S289" s="69">
        <v>462976.85</v>
      </c>
      <c r="T289" s="69"/>
      <c r="U289" s="69"/>
      <c r="AR289" s="94">
        <f t="shared" si="15"/>
        <v>462976.85</v>
      </c>
      <c r="AS289" s="69">
        <v>462976.85</v>
      </c>
      <c r="AT289" s="69"/>
      <c r="BC289" s="69"/>
      <c r="BD289" s="69"/>
      <c r="CC289" s="94">
        <f t="shared" si="16"/>
        <v>462976.85</v>
      </c>
      <c r="CD289" s="73">
        <f t="shared" si="17"/>
        <v>0</v>
      </c>
      <c r="CE289" s="75">
        <f t="shared" si="18"/>
        <v>2952</v>
      </c>
      <c r="CF289" s="69" t="str">
        <f t="shared" si="18"/>
        <v>برنامج دولى</v>
      </c>
    </row>
    <row r="290" spans="2:84" ht="18.75" x14ac:dyDescent="0.25">
      <c r="B290" s="82">
        <v>5561</v>
      </c>
      <c r="C290" s="70">
        <v>2953</v>
      </c>
      <c r="D290" s="71" t="s">
        <v>128</v>
      </c>
      <c r="E290" s="107" t="s">
        <v>3541</v>
      </c>
      <c r="S290" s="69">
        <v>13579.41</v>
      </c>
      <c r="T290" s="69"/>
      <c r="U290" s="69"/>
      <c r="AR290" s="94">
        <f t="shared" si="15"/>
        <v>13579.41</v>
      </c>
      <c r="AS290" s="69">
        <v>13579.41</v>
      </c>
      <c r="AT290" s="69"/>
      <c r="BC290" s="69"/>
      <c r="BD290" s="69"/>
      <c r="CC290" s="94">
        <f t="shared" si="16"/>
        <v>13579.41</v>
      </c>
      <c r="CD290" s="73">
        <f t="shared" si="17"/>
        <v>0</v>
      </c>
      <c r="CE290" s="75">
        <f t="shared" si="18"/>
        <v>2953</v>
      </c>
      <c r="CF290" s="69" t="str">
        <f t="shared" si="18"/>
        <v>مركز مؤتمرات</v>
      </c>
    </row>
    <row r="291" spans="2:84" ht="18.75" x14ac:dyDescent="0.25">
      <c r="B291" s="82">
        <v>5562</v>
      </c>
      <c r="C291" s="70">
        <v>2954</v>
      </c>
      <c r="D291" s="71" t="s">
        <v>130</v>
      </c>
      <c r="E291" s="107" t="s">
        <v>3541</v>
      </c>
      <c r="S291" s="69">
        <v>2196.48</v>
      </c>
      <c r="T291" s="69"/>
      <c r="U291" s="69"/>
      <c r="AR291" s="94">
        <f t="shared" ref="AR291:AR355" si="21">SUM(G291:AQ291)</f>
        <v>2196.48</v>
      </c>
      <c r="AS291" s="69">
        <v>2196.48</v>
      </c>
      <c r="AT291" s="69"/>
      <c r="BC291" s="69"/>
      <c r="BD291" s="69"/>
      <c r="CC291" s="94">
        <f t="shared" si="16"/>
        <v>2196.48</v>
      </c>
      <c r="CD291" s="73">
        <f t="shared" si="17"/>
        <v>0</v>
      </c>
      <c r="CE291" s="75">
        <f t="shared" si="18"/>
        <v>2954</v>
      </c>
      <c r="CF291" s="69" t="str">
        <f t="shared" si="18"/>
        <v>خ ت طب</v>
      </c>
    </row>
    <row r="292" spans="2:84" ht="18.75" x14ac:dyDescent="0.25">
      <c r="B292" s="82">
        <v>5563</v>
      </c>
      <c r="C292" s="70">
        <v>2955</v>
      </c>
      <c r="D292" s="71" t="s">
        <v>132</v>
      </c>
      <c r="E292" s="107" t="s">
        <v>3541</v>
      </c>
      <c r="S292" s="69">
        <v>27119.81</v>
      </c>
      <c r="T292" s="69"/>
      <c r="U292" s="69"/>
      <c r="AR292" s="94">
        <f t="shared" si="21"/>
        <v>27119.81</v>
      </c>
      <c r="AS292" s="69">
        <v>27119.81</v>
      </c>
      <c r="AT292" s="69"/>
      <c r="BC292" s="69"/>
      <c r="BD292" s="69"/>
      <c r="CC292" s="94">
        <f t="shared" si="16"/>
        <v>27119.81</v>
      </c>
      <c r="CD292" s="73">
        <f t="shared" si="17"/>
        <v>0</v>
      </c>
      <c r="CE292" s="75">
        <f t="shared" si="18"/>
        <v>2955</v>
      </c>
      <c r="CF292" s="69" t="str">
        <f t="shared" si="18"/>
        <v>صيدلة اكلينيكى</v>
      </c>
    </row>
    <row r="293" spans="2:84" ht="18.75" x14ac:dyDescent="0.25">
      <c r="B293" s="82">
        <v>5564</v>
      </c>
      <c r="C293" s="70">
        <v>2956</v>
      </c>
      <c r="D293" s="71" t="s">
        <v>119</v>
      </c>
      <c r="E293" s="107" t="s">
        <v>3541</v>
      </c>
      <c r="S293" s="69">
        <v>9271.35</v>
      </c>
      <c r="T293" s="69"/>
      <c r="U293" s="69"/>
      <c r="AR293" s="94">
        <f t="shared" si="21"/>
        <v>9271.35</v>
      </c>
      <c r="AS293" s="69">
        <v>9271.35</v>
      </c>
      <c r="AT293" s="69"/>
      <c r="BC293" s="69"/>
      <c r="BD293" s="69"/>
      <c r="CC293" s="94">
        <f t="shared" si="16"/>
        <v>9271.35</v>
      </c>
      <c r="CD293" s="73">
        <f t="shared" ref="CD293:CD357" si="22">+CC293-AR293</f>
        <v>0</v>
      </c>
      <c r="CE293" s="75">
        <f t="shared" si="18"/>
        <v>2956</v>
      </c>
      <c r="CF293" s="69" t="str">
        <f t="shared" si="18"/>
        <v>خ ت صيدلة</v>
      </c>
    </row>
    <row r="294" spans="2:84" ht="18.75" x14ac:dyDescent="0.25">
      <c r="B294" s="82">
        <v>5565</v>
      </c>
      <c r="C294" s="70">
        <v>2957</v>
      </c>
      <c r="D294" s="71" t="s">
        <v>116</v>
      </c>
      <c r="E294" s="107" t="s">
        <v>3541</v>
      </c>
      <c r="S294" s="69">
        <v>127.12</v>
      </c>
      <c r="T294" s="69"/>
      <c r="U294" s="69"/>
      <c r="AR294" s="94">
        <f t="shared" si="21"/>
        <v>127.12</v>
      </c>
      <c r="AS294" s="69">
        <v>127.12</v>
      </c>
      <c r="AT294" s="69"/>
      <c r="BC294" s="69"/>
      <c r="BD294" s="69"/>
      <c r="CC294" s="94">
        <f t="shared" si="16"/>
        <v>127.12</v>
      </c>
      <c r="CD294" s="73">
        <f t="shared" si="22"/>
        <v>0</v>
      </c>
      <c r="CE294" s="75">
        <f t="shared" si="18"/>
        <v>2957</v>
      </c>
      <c r="CF294" s="69" t="str">
        <f t="shared" si="18"/>
        <v>اتحاد صيدلة</v>
      </c>
    </row>
    <row r="295" spans="2:84" ht="18.75" x14ac:dyDescent="0.25">
      <c r="B295" s="82">
        <v>5083</v>
      </c>
      <c r="C295" s="70">
        <v>2958</v>
      </c>
      <c r="D295" s="71" t="s">
        <v>123</v>
      </c>
      <c r="E295" s="107" t="s">
        <v>3656</v>
      </c>
      <c r="G295" s="69">
        <v>250</v>
      </c>
      <c r="T295" s="69"/>
      <c r="U295" s="69"/>
      <c r="AR295" s="94">
        <f t="shared" si="21"/>
        <v>250</v>
      </c>
      <c r="AS295" s="69">
        <v>211.3</v>
      </c>
      <c r="AT295" s="69">
        <v>26.2</v>
      </c>
      <c r="AV295" s="69">
        <v>12.5</v>
      </c>
      <c r="BC295" s="69"/>
      <c r="BD295" s="69"/>
      <c r="CC295" s="94">
        <f t="shared" si="16"/>
        <v>250</v>
      </c>
      <c r="CD295" s="73">
        <f t="shared" si="22"/>
        <v>0</v>
      </c>
      <c r="CE295" s="75">
        <f t="shared" si="18"/>
        <v>2958</v>
      </c>
      <c r="CF295" s="69" t="str">
        <f t="shared" si="18"/>
        <v>خ ت اسنان</v>
      </c>
    </row>
    <row r="296" spans="2:84" ht="18.75" x14ac:dyDescent="0.25">
      <c r="B296" s="82">
        <v>5741</v>
      </c>
      <c r="C296" s="70">
        <v>2959</v>
      </c>
      <c r="D296" s="71" t="s">
        <v>123</v>
      </c>
      <c r="E296" s="107" t="s">
        <v>3657</v>
      </c>
      <c r="G296" s="69">
        <v>11490.5</v>
      </c>
      <c r="T296" s="69"/>
      <c r="U296" s="69"/>
      <c r="AR296" s="94">
        <f t="shared" si="21"/>
        <v>11490.5</v>
      </c>
      <c r="AS296" s="69">
        <v>7189</v>
      </c>
      <c r="AT296" s="69">
        <f>63+980</f>
        <v>1043</v>
      </c>
      <c r="AU296" s="69">
        <f>4301.5-AT296-490</f>
        <v>2768.5</v>
      </c>
      <c r="AV296" s="69">
        <v>490</v>
      </c>
      <c r="BC296" s="69"/>
      <c r="BD296" s="69"/>
      <c r="CC296" s="94">
        <f t="shared" si="16"/>
        <v>11490.5</v>
      </c>
      <c r="CD296" s="73">
        <f t="shared" si="22"/>
        <v>0</v>
      </c>
      <c r="CE296" s="75">
        <f t="shared" si="18"/>
        <v>2959</v>
      </c>
      <c r="CF296" s="69" t="str">
        <f t="shared" si="18"/>
        <v>خ ت اسنان</v>
      </c>
    </row>
    <row r="297" spans="2:84" ht="18.75" x14ac:dyDescent="0.25">
      <c r="B297" s="82">
        <v>5476</v>
      </c>
      <c r="C297" s="70">
        <v>2960</v>
      </c>
      <c r="D297" s="71" t="s">
        <v>123</v>
      </c>
      <c r="E297" s="107" t="s">
        <v>3657</v>
      </c>
      <c r="G297" s="69">
        <v>11490.5</v>
      </c>
      <c r="T297" s="69"/>
      <c r="U297" s="69"/>
      <c r="AR297" s="94">
        <f t="shared" si="21"/>
        <v>11490.5</v>
      </c>
      <c r="AS297" s="69">
        <v>7189</v>
      </c>
      <c r="AT297" s="69">
        <f>63+980</f>
        <v>1043</v>
      </c>
      <c r="AU297" s="69">
        <v>2768.5</v>
      </c>
      <c r="AV297" s="69">
        <v>490</v>
      </c>
      <c r="BC297" s="69"/>
      <c r="BD297" s="69"/>
      <c r="CC297" s="94">
        <f t="shared" si="16"/>
        <v>11490.5</v>
      </c>
      <c r="CD297" s="73">
        <f t="shared" si="22"/>
        <v>0</v>
      </c>
      <c r="CE297" s="75">
        <f t="shared" si="18"/>
        <v>2960</v>
      </c>
      <c r="CF297" s="69" t="str">
        <f t="shared" si="18"/>
        <v>خ ت اسنان</v>
      </c>
    </row>
    <row r="298" spans="2:84" ht="18.75" x14ac:dyDescent="0.25">
      <c r="B298" s="82">
        <v>5470</v>
      </c>
      <c r="C298" s="70">
        <v>2961</v>
      </c>
      <c r="D298" s="71" t="s">
        <v>123</v>
      </c>
      <c r="E298" s="107" t="s">
        <v>3658</v>
      </c>
      <c r="G298" s="69">
        <v>13317.38</v>
      </c>
      <c r="T298" s="69"/>
      <c r="U298" s="69"/>
      <c r="AR298" s="94">
        <f t="shared" si="21"/>
        <v>13317.38</v>
      </c>
      <c r="AS298" s="69">
        <v>10828.3</v>
      </c>
      <c r="AT298" s="69">
        <v>1398.7</v>
      </c>
      <c r="AU298" s="69">
        <v>437.88</v>
      </c>
      <c r="AV298" s="69">
        <v>652.5</v>
      </c>
      <c r="BC298" s="69"/>
      <c r="BD298" s="69"/>
      <c r="CC298" s="94">
        <f t="shared" si="16"/>
        <v>13317.38</v>
      </c>
      <c r="CD298" s="73">
        <f t="shared" si="22"/>
        <v>0</v>
      </c>
      <c r="CE298" s="75">
        <f t="shared" si="18"/>
        <v>2961</v>
      </c>
      <c r="CF298" s="69" t="str">
        <f t="shared" si="18"/>
        <v>خ ت اسنان</v>
      </c>
    </row>
    <row r="299" spans="2:84" ht="18.75" x14ac:dyDescent="0.25">
      <c r="B299" s="82">
        <v>5469</v>
      </c>
      <c r="C299" s="70">
        <v>2962</v>
      </c>
      <c r="D299" s="71" t="s">
        <v>123</v>
      </c>
      <c r="E299" s="107" t="s">
        <v>3658</v>
      </c>
      <c r="G299" s="69">
        <v>22534.81</v>
      </c>
      <c r="T299" s="69"/>
      <c r="U299" s="69"/>
      <c r="AR299" s="94">
        <f t="shared" si="21"/>
        <v>22534.81</v>
      </c>
      <c r="AS299" s="69">
        <v>18923.32</v>
      </c>
      <c r="AT299" s="69">
        <v>2413.6</v>
      </c>
      <c r="AU299" s="69">
        <v>73.39</v>
      </c>
      <c r="AV299" s="69">
        <v>1124.5</v>
      </c>
      <c r="BC299" s="69"/>
      <c r="BD299" s="69"/>
      <c r="CC299" s="94">
        <f t="shared" si="16"/>
        <v>22534.809999999998</v>
      </c>
      <c r="CD299" s="73">
        <f t="shared" si="22"/>
        <v>0</v>
      </c>
      <c r="CE299" s="75">
        <f t="shared" si="18"/>
        <v>2962</v>
      </c>
      <c r="CF299" s="69" t="str">
        <f t="shared" si="18"/>
        <v>خ ت اسنان</v>
      </c>
    </row>
    <row r="300" spans="2:84" ht="18.75" x14ac:dyDescent="0.25">
      <c r="B300" s="82">
        <v>5489</v>
      </c>
      <c r="C300" s="70">
        <v>2963</v>
      </c>
      <c r="D300" s="71" t="s">
        <v>123</v>
      </c>
      <c r="E300" s="107" t="s">
        <v>3658</v>
      </c>
      <c r="G300" s="69">
        <v>5700</v>
      </c>
      <c r="T300" s="69"/>
      <c r="U300" s="69"/>
      <c r="AR300" s="94">
        <f t="shared" si="21"/>
        <v>5700</v>
      </c>
      <c r="AS300" s="69">
        <v>4803.3</v>
      </c>
      <c r="AT300" s="69">
        <v>611.70000000000005</v>
      </c>
      <c r="AV300" s="69">
        <v>285</v>
      </c>
      <c r="BC300" s="69"/>
      <c r="BD300" s="69"/>
      <c r="CC300" s="94">
        <f t="shared" si="16"/>
        <v>5700</v>
      </c>
      <c r="CD300" s="73">
        <f t="shared" si="22"/>
        <v>0</v>
      </c>
      <c r="CE300" s="75">
        <f t="shared" si="18"/>
        <v>2963</v>
      </c>
      <c r="CF300" s="69" t="str">
        <f t="shared" si="18"/>
        <v>خ ت اسنان</v>
      </c>
    </row>
    <row r="301" spans="2:84" ht="18.75" x14ac:dyDescent="0.25">
      <c r="B301" s="82">
        <v>5468</v>
      </c>
      <c r="C301" s="70">
        <v>2964</v>
      </c>
      <c r="D301" s="71" t="s">
        <v>123</v>
      </c>
      <c r="E301" s="107" t="s">
        <v>3658</v>
      </c>
      <c r="G301" s="69">
        <v>6750</v>
      </c>
      <c r="T301" s="69"/>
      <c r="U301" s="69"/>
      <c r="AR301" s="94">
        <f t="shared" si="21"/>
        <v>6750</v>
      </c>
      <c r="AS301" s="69">
        <v>5687.95</v>
      </c>
      <c r="AT301" s="69">
        <v>724.55</v>
      </c>
      <c r="AV301" s="69">
        <v>337.5</v>
      </c>
      <c r="BC301" s="69"/>
      <c r="BD301" s="69"/>
      <c r="CC301" s="94">
        <f t="shared" si="16"/>
        <v>6750</v>
      </c>
      <c r="CD301" s="73">
        <f t="shared" si="22"/>
        <v>0</v>
      </c>
      <c r="CE301" s="75">
        <f t="shared" ref="CE301:CF346" si="23">+C301</f>
        <v>2964</v>
      </c>
      <c r="CF301" s="69" t="str">
        <f t="shared" si="23"/>
        <v>خ ت اسنان</v>
      </c>
    </row>
    <row r="302" spans="2:84" ht="18.75" x14ac:dyDescent="0.25">
      <c r="B302" s="82">
        <v>5482</v>
      </c>
      <c r="C302" s="70">
        <v>2965</v>
      </c>
      <c r="D302" s="71" t="s">
        <v>123</v>
      </c>
      <c r="E302" s="107" t="s">
        <v>3658</v>
      </c>
      <c r="G302" s="69">
        <v>26287.7</v>
      </c>
      <c r="T302" s="69"/>
      <c r="U302" s="69"/>
      <c r="AR302" s="94">
        <f t="shared" si="21"/>
        <v>26287.7</v>
      </c>
      <c r="AS302" s="69">
        <v>21949.5</v>
      </c>
      <c r="AT302" s="69">
        <v>2805.2</v>
      </c>
      <c r="AU302" s="69">
        <v>225.5</v>
      </c>
      <c r="AV302" s="69">
        <v>1307.5</v>
      </c>
      <c r="BC302" s="69"/>
      <c r="BD302" s="69"/>
      <c r="CC302" s="94">
        <f t="shared" si="16"/>
        <v>26287.7</v>
      </c>
      <c r="CD302" s="73">
        <f t="shared" si="22"/>
        <v>0</v>
      </c>
      <c r="CE302" s="75">
        <f t="shared" si="23"/>
        <v>2965</v>
      </c>
      <c r="CF302" s="69" t="str">
        <f t="shared" si="23"/>
        <v>خ ت اسنان</v>
      </c>
    </row>
    <row r="303" spans="2:84" ht="18.75" x14ac:dyDescent="0.25">
      <c r="B303" s="82">
        <v>5483</v>
      </c>
      <c r="C303" s="70">
        <v>2966</v>
      </c>
      <c r="D303" s="71" t="s">
        <v>123</v>
      </c>
      <c r="E303" s="107" t="s">
        <v>3658</v>
      </c>
      <c r="G303" s="69">
        <v>5400</v>
      </c>
      <c r="T303" s="69"/>
      <c r="U303" s="69"/>
      <c r="AR303" s="94">
        <f t="shared" si="21"/>
        <v>5400</v>
      </c>
      <c r="AS303" s="69">
        <v>4550.6000000000004</v>
      </c>
      <c r="AT303" s="69">
        <v>579.4</v>
      </c>
      <c r="AV303" s="69">
        <v>270</v>
      </c>
      <c r="BC303" s="69"/>
      <c r="BD303" s="69"/>
      <c r="CC303" s="94">
        <f t="shared" si="16"/>
        <v>5400</v>
      </c>
      <c r="CD303" s="73">
        <f t="shared" si="22"/>
        <v>0</v>
      </c>
      <c r="CE303" s="75">
        <f t="shared" si="23"/>
        <v>2966</v>
      </c>
      <c r="CF303" s="69" t="str">
        <f t="shared" si="23"/>
        <v>خ ت اسنان</v>
      </c>
    </row>
    <row r="304" spans="2:84" ht="18.75" x14ac:dyDescent="0.25">
      <c r="B304" s="82">
        <v>5484</v>
      </c>
      <c r="C304" s="70">
        <v>2967</v>
      </c>
      <c r="D304" s="71" t="s">
        <v>123</v>
      </c>
      <c r="E304" s="107" t="str">
        <f t="shared" ref="E304:E311" si="24">+E296</f>
        <v xml:space="preserve">مكافاه الساده الاطباء </v>
      </c>
      <c r="G304" s="69">
        <v>11390.5</v>
      </c>
      <c r="T304" s="69"/>
      <c r="U304" s="69"/>
      <c r="AR304" s="94">
        <f t="shared" si="21"/>
        <v>11390.5</v>
      </c>
      <c r="AS304" s="69">
        <v>7104.75</v>
      </c>
      <c r="AT304" s="69">
        <f>62.25+970</f>
        <v>1032.25</v>
      </c>
      <c r="AU304" s="69">
        <v>2768.5</v>
      </c>
      <c r="AV304" s="69">
        <v>485</v>
      </c>
      <c r="BC304" s="69"/>
      <c r="BD304" s="69"/>
      <c r="CC304" s="94">
        <f t="shared" si="16"/>
        <v>11390.5</v>
      </c>
      <c r="CD304" s="73">
        <f t="shared" si="22"/>
        <v>0</v>
      </c>
      <c r="CE304" s="75">
        <f t="shared" si="23"/>
        <v>2967</v>
      </c>
      <c r="CF304" s="69" t="str">
        <f t="shared" si="23"/>
        <v>خ ت اسنان</v>
      </c>
    </row>
    <row r="305" spans="2:84" ht="18.75" x14ac:dyDescent="0.25">
      <c r="B305" s="82">
        <v>5480</v>
      </c>
      <c r="C305" s="70">
        <v>2968</v>
      </c>
      <c r="D305" s="71" t="s">
        <v>123</v>
      </c>
      <c r="E305" s="107" t="str">
        <f t="shared" si="24"/>
        <v xml:space="preserve">مكافاه الساده الاطباء </v>
      </c>
      <c r="G305" s="69">
        <v>9749</v>
      </c>
      <c r="T305" s="69"/>
      <c r="U305" s="69"/>
      <c r="AR305" s="94">
        <f t="shared" si="21"/>
        <v>9749</v>
      </c>
      <c r="AS305" s="69">
        <v>6077.75</v>
      </c>
      <c r="AT305" s="69">
        <f>53.25+830</f>
        <v>883.25</v>
      </c>
      <c r="AU305" s="69">
        <v>2373</v>
      </c>
      <c r="AV305" s="69">
        <v>415</v>
      </c>
      <c r="BC305" s="69"/>
      <c r="BD305" s="69"/>
      <c r="CC305" s="94">
        <f t="shared" si="16"/>
        <v>9749</v>
      </c>
      <c r="CD305" s="73">
        <f t="shared" si="22"/>
        <v>0</v>
      </c>
      <c r="CE305" s="75">
        <f t="shared" si="23"/>
        <v>2968</v>
      </c>
      <c r="CF305" s="69" t="str">
        <f t="shared" si="23"/>
        <v>خ ت اسنان</v>
      </c>
    </row>
    <row r="306" spans="2:84" ht="18.75" x14ac:dyDescent="0.25">
      <c r="B306" s="82">
        <v>5475</v>
      </c>
      <c r="C306" s="70">
        <v>2969</v>
      </c>
      <c r="D306" s="71" t="s">
        <v>123</v>
      </c>
      <c r="E306" s="107" t="str">
        <f t="shared" si="24"/>
        <v xml:space="preserve">مكافاه مشاركه تعليميه </v>
      </c>
      <c r="G306" s="69">
        <v>8508.75</v>
      </c>
      <c r="T306" s="69"/>
      <c r="U306" s="69"/>
      <c r="AR306" s="94">
        <f t="shared" si="21"/>
        <v>8508.75</v>
      </c>
      <c r="AS306" s="69">
        <v>6788.7</v>
      </c>
      <c r="AT306" s="69">
        <v>883.8</v>
      </c>
      <c r="AU306" s="69">
        <v>423.75</v>
      </c>
      <c r="AV306" s="69">
        <v>412.5</v>
      </c>
      <c r="BC306" s="69"/>
      <c r="BD306" s="69"/>
      <c r="CC306" s="94">
        <f t="shared" si="16"/>
        <v>8508.75</v>
      </c>
      <c r="CD306" s="73">
        <f t="shared" si="22"/>
        <v>0</v>
      </c>
      <c r="CE306" s="75">
        <f t="shared" si="23"/>
        <v>2969</v>
      </c>
      <c r="CF306" s="69" t="str">
        <f t="shared" si="23"/>
        <v>خ ت اسنان</v>
      </c>
    </row>
    <row r="307" spans="2:84" ht="18.75" x14ac:dyDescent="0.25">
      <c r="B307" s="82">
        <v>5474</v>
      </c>
      <c r="C307" s="70">
        <v>2970</v>
      </c>
      <c r="D307" s="71" t="s">
        <v>123</v>
      </c>
      <c r="E307" s="107" t="str">
        <f t="shared" si="24"/>
        <v xml:space="preserve">مكافاه مشاركه تعليميه </v>
      </c>
      <c r="G307" s="69">
        <v>21300</v>
      </c>
      <c r="T307" s="69"/>
      <c r="U307" s="69"/>
      <c r="AR307" s="94">
        <f t="shared" si="21"/>
        <v>21300</v>
      </c>
      <c r="AS307" s="69">
        <v>17949.099999999999</v>
      </c>
      <c r="AT307" s="69">
        <v>2285.9</v>
      </c>
      <c r="AV307" s="69">
        <v>1065</v>
      </c>
      <c r="BC307" s="69"/>
      <c r="BD307" s="69"/>
      <c r="CC307" s="94">
        <f t="shared" si="16"/>
        <v>21300</v>
      </c>
      <c r="CD307" s="73">
        <f t="shared" si="22"/>
        <v>0</v>
      </c>
      <c r="CE307" s="75">
        <f t="shared" si="23"/>
        <v>2970</v>
      </c>
      <c r="CF307" s="69" t="str">
        <f t="shared" si="23"/>
        <v>خ ت اسنان</v>
      </c>
    </row>
    <row r="308" spans="2:84" ht="18.75" x14ac:dyDescent="0.25">
      <c r="B308" s="82">
        <v>5473</v>
      </c>
      <c r="C308" s="70">
        <v>2971</v>
      </c>
      <c r="D308" s="71" t="s">
        <v>123</v>
      </c>
      <c r="E308" s="107" t="str">
        <f t="shared" si="24"/>
        <v xml:space="preserve">مكافاه مشاركه تعليميه </v>
      </c>
      <c r="G308" s="69">
        <v>6600</v>
      </c>
      <c r="T308" s="69"/>
      <c r="U308" s="69"/>
      <c r="AR308" s="94">
        <f t="shared" si="21"/>
        <v>6600</v>
      </c>
      <c r="AS308" s="69">
        <v>5561.55</v>
      </c>
      <c r="AT308" s="69">
        <v>708.45</v>
      </c>
      <c r="AV308" s="69">
        <v>330</v>
      </c>
      <c r="BC308" s="69"/>
      <c r="BD308" s="69"/>
      <c r="CC308" s="94">
        <f t="shared" si="16"/>
        <v>6600</v>
      </c>
      <c r="CD308" s="73">
        <f t="shared" si="22"/>
        <v>0</v>
      </c>
      <c r="CE308" s="75">
        <f t="shared" si="23"/>
        <v>2971</v>
      </c>
      <c r="CF308" s="69" t="str">
        <f t="shared" si="23"/>
        <v>خ ت اسنان</v>
      </c>
    </row>
    <row r="309" spans="2:84" ht="18.75" x14ac:dyDescent="0.25">
      <c r="B309" s="82">
        <v>5478</v>
      </c>
      <c r="C309" s="70">
        <v>2972</v>
      </c>
      <c r="D309" s="71" t="s">
        <v>123</v>
      </c>
      <c r="E309" s="107" t="str">
        <f t="shared" si="24"/>
        <v xml:space="preserve">مكافاه مشاركه تعليميه </v>
      </c>
      <c r="G309" s="69">
        <v>3450</v>
      </c>
      <c r="T309" s="69"/>
      <c r="U309" s="69"/>
      <c r="AR309" s="94">
        <f t="shared" si="21"/>
        <v>3450</v>
      </c>
      <c r="AS309" s="69">
        <v>2907.35</v>
      </c>
      <c r="AT309" s="69">
        <v>370.15</v>
      </c>
      <c r="AV309" s="69">
        <v>172.5</v>
      </c>
      <c r="BC309" s="69"/>
      <c r="BD309" s="69"/>
      <c r="CC309" s="94">
        <f t="shared" si="16"/>
        <v>3450</v>
      </c>
      <c r="CD309" s="73">
        <f t="shared" si="22"/>
        <v>0</v>
      </c>
      <c r="CE309" s="75">
        <f t="shared" si="23"/>
        <v>2972</v>
      </c>
      <c r="CF309" s="69" t="str">
        <f t="shared" si="23"/>
        <v>خ ت اسنان</v>
      </c>
    </row>
    <row r="310" spans="2:84" ht="18.75" x14ac:dyDescent="0.25">
      <c r="B310" s="82">
        <v>5479</v>
      </c>
      <c r="C310" s="70">
        <v>2973</v>
      </c>
      <c r="D310" s="71" t="s">
        <v>123</v>
      </c>
      <c r="E310" s="107" t="str">
        <f t="shared" si="24"/>
        <v xml:space="preserve">مكافاه مشاركه تعليميه </v>
      </c>
      <c r="G310" s="69">
        <v>20800</v>
      </c>
      <c r="T310" s="69"/>
      <c r="U310" s="69"/>
      <c r="AR310" s="94">
        <f t="shared" si="21"/>
        <v>20800</v>
      </c>
      <c r="AS310" s="69">
        <v>17527.849999999999</v>
      </c>
      <c r="AT310" s="69">
        <v>2232.15</v>
      </c>
      <c r="AV310" s="69">
        <v>1040</v>
      </c>
      <c r="BC310" s="69"/>
      <c r="BD310" s="69"/>
      <c r="CC310" s="94">
        <f t="shared" si="16"/>
        <v>20800</v>
      </c>
      <c r="CD310" s="73">
        <f t="shared" si="22"/>
        <v>0</v>
      </c>
      <c r="CE310" s="75">
        <f t="shared" si="23"/>
        <v>2973</v>
      </c>
      <c r="CF310" s="69" t="str">
        <f t="shared" si="23"/>
        <v>خ ت اسنان</v>
      </c>
    </row>
    <row r="311" spans="2:84" ht="18.75" x14ac:dyDescent="0.25">
      <c r="B311" s="82">
        <v>5477</v>
      </c>
      <c r="C311" s="70">
        <v>2974</v>
      </c>
      <c r="D311" s="71" t="s">
        <v>123</v>
      </c>
      <c r="E311" s="107" t="str">
        <f t="shared" si="24"/>
        <v xml:space="preserve">مكافاه مشاركه تعليميه </v>
      </c>
      <c r="G311" s="69">
        <v>6250</v>
      </c>
      <c r="T311" s="69"/>
      <c r="U311" s="69"/>
      <c r="AR311" s="94">
        <f t="shared" si="21"/>
        <v>6250</v>
      </c>
      <c r="AS311" s="69">
        <v>5266.7</v>
      </c>
      <c r="AT311" s="69">
        <v>670.8</v>
      </c>
      <c r="AV311" s="69">
        <v>312.5</v>
      </c>
      <c r="BC311" s="69"/>
      <c r="BD311" s="69"/>
      <c r="CC311" s="94">
        <f t="shared" si="16"/>
        <v>6250</v>
      </c>
      <c r="CD311" s="73">
        <f t="shared" si="22"/>
        <v>0</v>
      </c>
      <c r="CE311" s="75">
        <f t="shared" si="23"/>
        <v>2974</v>
      </c>
      <c r="CF311" s="69" t="str">
        <f t="shared" si="23"/>
        <v>خ ت اسنان</v>
      </c>
    </row>
    <row r="312" spans="2:84" ht="18.75" x14ac:dyDescent="0.25">
      <c r="B312" s="82">
        <v>13009</v>
      </c>
      <c r="C312" s="70">
        <v>2975</v>
      </c>
      <c r="D312" s="71" t="s">
        <v>123</v>
      </c>
      <c r="E312" s="107" t="s">
        <v>3659</v>
      </c>
      <c r="G312" s="69">
        <v>586.25</v>
      </c>
      <c r="T312" s="69"/>
      <c r="U312" s="69"/>
      <c r="AR312" s="94">
        <f t="shared" si="21"/>
        <v>586.25</v>
      </c>
      <c r="AS312" s="69">
        <v>392.4</v>
      </c>
      <c r="AT312" s="69">
        <f>2.6+50</f>
        <v>52.6</v>
      </c>
      <c r="AU312" s="69">
        <v>141.25</v>
      </c>
      <c r="BC312" s="69"/>
      <c r="BD312" s="69"/>
      <c r="CC312" s="94">
        <f t="shared" si="16"/>
        <v>586.25</v>
      </c>
      <c r="CD312" s="73">
        <f t="shared" si="22"/>
        <v>0</v>
      </c>
      <c r="CE312" s="75">
        <f t="shared" si="23"/>
        <v>2975</v>
      </c>
      <c r="CF312" s="69" t="str">
        <f t="shared" si="23"/>
        <v>خ ت اسنان</v>
      </c>
    </row>
    <row r="313" spans="2:84" ht="18.75" x14ac:dyDescent="0.25">
      <c r="B313" s="82">
        <v>13011</v>
      </c>
      <c r="C313" s="70">
        <v>2976</v>
      </c>
      <c r="D313" s="71" t="s">
        <v>123</v>
      </c>
      <c r="E313" s="107" t="s">
        <v>3660</v>
      </c>
      <c r="G313" s="69">
        <v>781.66</v>
      </c>
      <c r="T313" s="69"/>
      <c r="U313" s="69"/>
      <c r="AR313" s="94">
        <f t="shared" si="21"/>
        <v>781.66</v>
      </c>
      <c r="AS313" s="69">
        <v>522.79999999999995</v>
      </c>
      <c r="AT313" s="69">
        <f>3.85+66.67</f>
        <v>70.52</v>
      </c>
      <c r="AU313" s="69">
        <v>188.34</v>
      </c>
      <c r="BC313" s="69"/>
      <c r="BD313" s="69"/>
      <c r="CC313" s="94">
        <f t="shared" si="16"/>
        <v>781.66</v>
      </c>
      <c r="CD313" s="73">
        <f t="shared" si="22"/>
        <v>0</v>
      </c>
      <c r="CE313" s="75">
        <f t="shared" si="23"/>
        <v>2976</v>
      </c>
      <c r="CF313" s="69" t="str">
        <f t="shared" si="23"/>
        <v>خ ت اسنان</v>
      </c>
    </row>
    <row r="314" spans="2:84" ht="18.75" x14ac:dyDescent="0.25">
      <c r="B314" s="82">
        <v>13016</v>
      </c>
      <c r="C314" s="70">
        <v>2977</v>
      </c>
      <c r="D314" s="71" t="s">
        <v>123</v>
      </c>
      <c r="E314" s="107" t="s">
        <v>3661</v>
      </c>
      <c r="G314" s="69">
        <v>469</v>
      </c>
      <c r="T314" s="69"/>
      <c r="U314" s="69"/>
      <c r="AR314" s="94">
        <f t="shared" si="21"/>
        <v>469</v>
      </c>
      <c r="AS314" s="69">
        <v>313.7</v>
      </c>
      <c r="AT314" s="69">
        <v>42.3</v>
      </c>
      <c r="AU314" s="69">
        <v>113</v>
      </c>
      <c r="BC314" s="69"/>
      <c r="BD314" s="69"/>
      <c r="CC314" s="94">
        <f t="shared" si="16"/>
        <v>469</v>
      </c>
      <c r="CD314" s="73">
        <f t="shared" si="22"/>
        <v>0</v>
      </c>
      <c r="CE314" s="75">
        <f t="shared" si="23"/>
        <v>2977</v>
      </c>
      <c r="CF314" s="69" t="str">
        <f t="shared" si="23"/>
        <v>خ ت اسنان</v>
      </c>
    </row>
    <row r="315" spans="2:84" ht="18.75" x14ac:dyDescent="0.25">
      <c r="B315" s="82">
        <v>5211</v>
      </c>
      <c r="C315" s="70">
        <v>2978</v>
      </c>
      <c r="D315" s="71" t="s">
        <v>123</v>
      </c>
      <c r="E315" s="107" t="s">
        <v>3662</v>
      </c>
      <c r="G315" s="69">
        <v>469</v>
      </c>
      <c r="T315" s="69"/>
      <c r="U315" s="69"/>
      <c r="AR315" s="94">
        <f t="shared" si="21"/>
        <v>469</v>
      </c>
      <c r="AS315" s="69">
        <v>314</v>
      </c>
      <c r="AT315" s="69">
        <v>42</v>
      </c>
      <c r="AU315" s="69">
        <v>113</v>
      </c>
      <c r="BC315" s="69"/>
      <c r="BD315" s="69"/>
      <c r="CC315" s="94">
        <f t="shared" si="16"/>
        <v>469</v>
      </c>
      <c r="CD315" s="73">
        <f t="shared" si="22"/>
        <v>0</v>
      </c>
      <c r="CE315" s="75">
        <f t="shared" si="23"/>
        <v>2978</v>
      </c>
      <c r="CF315" s="69" t="str">
        <f t="shared" si="23"/>
        <v>خ ت اسنان</v>
      </c>
    </row>
    <row r="316" spans="2:84" ht="18.75" x14ac:dyDescent="0.25">
      <c r="B316" s="82">
        <v>5212</v>
      </c>
      <c r="C316" s="70">
        <v>2979</v>
      </c>
      <c r="D316" s="71" t="s">
        <v>123</v>
      </c>
      <c r="E316" s="107" t="s">
        <v>3663</v>
      </c>
      <c r="G316" s="69">
        <v>469</v>
      </c>
      <c r="T316" s="69"/>
      <c r="U316" s="69"/>
      <c r="AR316" s="94">
        <f t="shared" si="21"/>
        <v>469</v>
      </c>
      <c r="AS316" s="69">
        <v>314</v>
      </c>
      <c r="AT316" s="69">
        <v>42</v>
      </c>
      <c r="AU316" s="69">
        <v>113</v>
      </c>
      <c r="BC316" s="69"/>
      <c r="BD316" s="69"/>
      <c r="CC316" s="94">
        <f t="shared" si="16"/>
        <v>469</v>
      </c>
      <c r="CD316" s="73">
        <f t="shared" si="22"/>
        <v>0</v>
      </c>
      <c r="CE316" s="75">
        <f t="shared" si="23"/>
        <v>2979</v>
      </c>
      <c r="CF316" s="69" t="str">
        <f t="shared" si="23"/>
        <v>خ ت اسنان</v>
      </c>
    </row>
    <row r="317" spans="2:84" ht="18.75" x14ac:dyDescent="0.25">
      <c r="B317" s="82">
        <v>5214</v>
      </c>
      <c r="C317" s="70">
        <v>2980</v>
      </c>
      <c r="D317" s="71" t="s">
        <v>123</v>
      </c>
      <c r="E317" s="107" t="s">
        <v>3664</v>
      </c>
      <c r="G317" s="69">
        <v>469</v>
      </c>
      <c r="T317" s="69"/>
      <c r="U317" s="69"/>
      <c r="AR317" s="94">
        <f t="shared" si="21"/>
        <v>469</v>
      </c>
      <c r="AS317" s="69">
        <v>314</v>
      </c>
      <c r="AT317" s="69">
        <v>42</v>
      </c>
      <c r="AU317" s="69">
        <v>113</v>
      </c>
      <c r="BC317" s="69"/>
      <c r="BD317" s="69"/>
      <c r="CC317" s="94">
        <f t="shared" si="16"/>
        <v>469</v>
      </c>
      <c r="CD317" s="73">
        <f t="shared" si="22"/>
        <v>0</v>
      </c>
      <c r="CE317" s="75">
        <f t="shared" si="23"/>
        <v>2980</v>
      </c>
      <c r="CF317" s="69" t="str">
        <f t="shared" si="23"/>
        <v>خ ت اسنان</v>
      </c>
    </row>
    <row r="318" spans="2:84" ht="18.75" x14ac:dyDescent="0.25">
      <c r="B318" s="82">
        <v>5216</v>
      </c>
      <c r="C318" s="70">
        <v>2981</v>
      </c>
      <c r="D318" s="71" t="s">
        <v>123</v>
      </c>
      <c r="E318" s="107" t="s">
        <v>3665</v>
      </c>
      <c r="G318" s="69">
        <v>469</v>
      </c>
      <c r="T318" s="69"/>
      <c r="U318" s="69"/>
      <c r="AR318" s="94">
        <f t="shared" si="21"/>
        <v>469</v>
      </c>
      <c r="AS318" s="69">
        <v>314</v>
      </c>
      <c r="AT318" s="69">
        <v>42</v>
      </c>
      <c r="AU318" s="69">
        <v>113</v>
      </c>
      <c r="BC318" s="69"/>
      <c r="BD318" s="69"/>
      <c r="CC318" s="94">
        <f t="shared" si="16"/>
        <v>469</v>
      </c>
      <c r="CD318" s="73">
        <f t="shared" si="22"/>
        <v>0</v>
      </c>
      <c r="CE318" s="75">
        <f t="shared" si="23"/>
        <v>2981</v>
      </c>
      <c r="CF318" s="69" t="str">
        <f t="shared" si="23"/>
        <v>خ ت اسنان</v>
      </c>
    </row>
    <row r="319" spans="2:84" ht="18.75" x14ac:dyDescent="0.25">
      <c r="B319" s="82">
        <v>5224</v>
      </c>
      <c r="C319" s="70">
        <v>2982</v>
      </c>
      <c r="D319" s="71" t="s">
        <v>123</v>
      </c>
      <c r="E319" s="107" t="s">
        <v>3666</v>
      </c>
      <c r="G319" s="69">
        <v>469</v>
      </c>
      <c r="T319" s="69"/>
      <c r="U319" s="69"/>
      <c r="AR319" s="94">
        <f t="shared" si="21"/>
        <v>469</v>
      </c>
      <c r="AS319" s="69">
        <v>314</v>
      </c>
      <c r="AT319" s="69">
        <v>42</v>
      </c>
      <c r="AU319" s="69">
        <v>113</v>
      </c>
      <c r="BC319" s="69"/>
      <c r="BD319" s="69"/>
      <c r="CC319" s="94">
        <f t="shared" si="16"/>
        <v>469</v>
      </c>
      <c r="CD319" s="73">
        <f t="shared" si="22"/>
        <v>0</v>
      </c>
      <c r="CE319" s="75">
        <f t="shared" si="23"/>
        <v>2982</v>
      </c>
      <c r="CF319" s="69" t="str">
        <f t="shared" si="23"/>
        <v>خ ت اسنان</v>
      </c>
    </row>
    <row r="320" spans="2:84" ht="18.75" x14ac:dyDescent="0.25">
      <c r="B320" s="82">
        <v>5225</v>
      </c>
      <c r="C320" s="70">
        <v>2983</v>
      </c>
      <c r="D320" s="71" t="s">
        <v>123</v>
      </c>
      <c r="E320" s="107" t="s">
        <v>3667</v>
      </c>
      <c r="G320" s="69">
        <v>469</v>
      </c>
      <c r="T320" s="69"/>
      <c r="U320" s="69"/>
      <c r="AR320" s="94">
        <f t="shared" si="21"/>
        <v>469</v>
      </c>
      <c r="AS320" s="69">
        <v>314</v>
      </c>
      <c r="AT320" s="69">
        <v>42</v>
      </c>
      <c r="AU320" s="69">
        <v>113</v>
      </c>
      <c r="BC320" s="69"/>
      <c r="BD320" s="69"/>
      <c r="CC320" s="94">
        <f t="shared" si="16"/>
        <v>469</v>
      </c>
      <c r="CD320" s="73">
        <f t="shared" si="22"/>
        <v>0</v>
      </c>
      <c r="CE320" s="75">
        <f t="shared" si="23"/>
        <v>2983</v>
      </c>
      <c r="CF320" s="69" t="str">
        <f t="shared" si="23"/>
        <v>خ ت اسنان</v>
      </c>
    </row>
    <row r="321" spans="1:84" ht="18.75" x14ac:dyDescent="0.25">
      <c r="B321" s="82">
        <v>13110</v>
      </c>
      <c r="C321" s="70">
        <v>2984</v>
      </c>
      <c r="D321" s="71" t="s">
        <v>123</v>
      </c>
      <c r="E321" s="107" t="s">
        <v>3668</v>
      </c>
      <c r="G321" s="69">
        <v>586.25</v>
      </c>
      <c r="T321" s="69"/>
      <c r="U321" s="69"/>
      <c r="AR321" s="94">
        <f t="shared" si="21"/>
        <v>586.25</v>
      </c>
      <c r="AS321" s="69">
        <v>367.4</v>
      </c>
      <c r="AT321" s="69">
        <f>2.6+50</f>
        <v>52.6</v>
      </c>
      <c r="AU321" s="69">
        <v>141.25</v>
      </c>
      <c r="AV321" s="69">
        <v>25</v>
      </c>
      <c r="BC321" s="69"/>
      <c r="BD321" s="69"/>
      <c r="CC321" s="94">
        <f t="shared" si="16"/>
        <v>586.25</v>
      </c>
      <c r="CD321" s="73">
        <f t="shared" si="22"/>
        <v>0</v>
      </c>
      <c r="CE321" s="75">
        <f t="shared" si="23"/>
        <v>2984</v>
      </c>
      <c r="CF321" s="69" t="str">
        <f t="shared" si="23"/>
        <v>خ ت اسنان</v>
      </c>
    </row>
    <row r="322" spans="1:84" ht="18.75" x14ac:dyDescent="0.25">
      <c r="B322" s="82">
        <v>5246</v>
      </c>
      <c r="C322" s="70">
        <v>2985</v>
      </c>
      <c r="D322" s="71" t="s">
        <v>123</v>
      </c>
      <c r="E322" s="107" t="s">
        <v>3669</v>
      </c>
      <c r="G322" s="69">
        <v>469</v>
      </c>
      <c r="T322" s="69"/>
      <c r="U322" s="69"/>
      <c r="AR322" s="94">
        <f t="shared" si="21"/>
        <v>469</v>
      </c>
      <c r="AS322" s="69">
        <v>314</v>
      </c>
      <c r="AT322" s="69">
        <v>42</v>
      </c>
      <c r="AU322" s="69">
        <v>113</v>
      </c>
      <c r="BC322" s="69"/>
      <c r="BD322" s="69"/>
      <c r="CC322" s="94">
        <f t="shared" si="16"/>
        <v>469</v>
      </c>
      <c r="CD322" s="73">
        <f t="shared" si="22"/>
        <v>0</v>
      </c>
      <c r="CE322" s="75">
        <f t="shared" si="23"/>
        <v>2985</v>
      </c>
      <c r="CF322" s="69" t="str">
        <f t="shared" si="23"/>
        <v>خ ت اسنان</v>
      </c>
    </row>
    <row r="323" spans="1:84" ht="18.75" x14ac:dyDescent="0.25">
      <c r="B323" s="82">
        <v>5233</v>
      </c>
      <c r="C323" s="70">
        <v>2986</v>
      </c>
      <c r="D323" s="71" t="s">
        <v>123</v>
      </c>
      <c r="E323" s="107" t="s">
        <v>3662</v>
      </c>
      <c r="G323" s="69">
        <v>400</v>
      </c>
      <c r="T323" s="69"/>
      <c r="U323" s="69"/>
      <c r="AR323" s="94">
        <f t="shared" si="21"/>
        <v>400</v>
      </c>
      <c r="AS323" s="69">
        <v>302.16000000000003</v>
      </c>
      <c r="AT323" s="69">
        <v>77.84</v>
      </c>
      <c r="AV323" s="69">
        <v>20</v>
      </c>
      <c r="BC323" s="69"/>
      <c r="BD323" s="69"/>
      <c r="CC323" s="94">
        <f t="shared" si="16"/>
        <v>400</v>
      </c>
      <c r="CD323" s="73">
        <f t="shared" si="22"/>
        <v>0</v>
      </c>
      <c r="CE323" s="75">
        <f t="shared" si="23"/>
        <v>2986</v>
      </c>
      <c r="CF323" s="69" t="str">
        <f t="shared" si="23"/>
        <v>خ ت اسنان</v>
      </c>
    </row>
    <row r="324" spans="1:84" ht="18.75" x14ac:dyDescent="0.25">
      <c r="A324" s="77"/>
      <c r="B324" s="82">
        <v>5234</v>
      </c>
      <c r="C324" s="70">
        <v>2987</v>
      </c>
      <c r="D324" s="71" t="s">
        <v>123</v>
      </c>
      <c r="E324" s="107" t="s">
        <v>3662</v>
      </c>
      <c r="G324" s="69">
        <v>1500</v>
      </c>
      <c r="T324" s="69"/>
      <c r="U324" s="69"/>
      <c r="AR324" s="94">
        <f t="shared" si="21"/>
        <v>1500</v>
      </c>
      <c r="AS324" s="69">
        <v>1132.1600000000001</v>
      </c>
      <c r="AT324" s="69">
        <v>292.83999999999997</v>
      </c>
      <c r="AV324" s="69">
        <v>75</v>
      </c>
      <c r="BC324" s="69"/>
      <c r="BD324" s="69"/>
      <c r="CC324" s="94">
        <f t="shared" si="16"/>
        <v>1500</v>
      </c>
      <c r="CD324" s="73">
        <f t="shared" si="22"/>
        <v>0</v>
      </c>
      <c r="CE324" s="75">
        <f t="shared" si="23"/>
        <v>2987</v>
      </c>
      <c r="CF324" s="69" t="str">
        <f t="shared" si="23"/>
        <v>خ ت اسنان</v>
      </c>
    </row>
    <row r="325" spans="1:84" ht="18.75" x14ac:dyDescent="0.25">
      <c r="B325" s="82">
        <v>5209</v>
      </c>
      <c r="C325" s="70">
        <v>2988</v>
      </c>
      <c r="D325" s="71" t="s">
        <v>123</v>
      </c>
      <c r="E325" s="107" t="s">
        <v>3667</v>
      </c>
      <c r="G325" s="69">
        <v>766.66</v>
      </c>
      <c r="T325" s="69"/>
      <c r="U325" s="69"/>
      <c r="AR325" s="94">
        <f t="shared" si="21"/>
        <v>766.66</v>
      </c>
      <c r="AS325" s="69">
        <v>578.62</v>
      </c>
      <c r="AT325" s="69">
        <v>149.71</v>
      </c>
      <c r="AV325" s="69">
        <v>38.33</v>
      </c>
      <c r="BC325" s="69"/>
      <c r="BD325" s="69"/>
      <c r="CC325" s="94">
        <f t="shared" si="16"/>
        <v>766.66000000000008</v>
      </c>
      <c r="CD325" s="73">
        <f t="shared" si="22"/>
        <v>0</v>
      </c>
      <c r="CE325" s="75">
        <f t="shared" si="23"/>
        <v>2988</v>
      </c>
      <c r="CF325" s="69" t="str">
        <f t="shared" si="23"/>
        <v>خ ت اسنان</v>
      </c>
    </row>
    <row r="326" spans="1:84" ht="18.75" x14ac:dyDescent="0.25">
      <c r="B326" s="82">
        <v>5247</v>
      </c>
      <c r="C326" s="70">
        <v>2989</v>
      </c>
      <c r="D326" s="71" t="s">
        <v>123</v>
      </c>
      <c r="E326" s="107" t="s">
        <v>3669</v>
      </c>
      <c r="G326" s="69">
        <v>1499.98</v>
      </c>
      <c r="T326" s="69"/>
      <c r="U326" s="69"/>
      <c r="AR326" s="94">
        <f t="shared" si="21"/>
        <v>1499.98</v>
      </c>
      <c r="AS326" s="69">
        <v>1132.58</v>
      </c>
      <c r="AT326" s="69">
        <v>292.41000000000003</v>
      </c>
      <c r="AV326" s="69">
        <v>74.989999999999995</v>
      </c>
      <c r="BC326" s="69"/>
      <c r="BD326" s="69"/>
      <c r="CC326" s="94">
        <f t="shared" si="16"/>
        <v>1499.98</v>
      </c>
      <c r="CD326" s="73">
        <f t="shared" si="22"/>
        <v>0</v>
      </c>
      <c r="CE326" s="75">
        <f t="shared" si="23"/>
        <v>2989</v>
      </c>
      <c r="CF326" s="69" t="str">
        <f t="shared" si="23"/>
        <v>خ ت اسنان</v>
      </c>
    </row>
    <row r="327" spans="1:84" ht="18.75" x14ac:dyDescent="0.25">
      <c r="B327" s="82">
        <v>5244</v>
      </c>
      <c r="C327" s="70">
        <v>2990</v>
      </c>
      <c r="D327" s="71" t="s">
        <v>123</v>
      </c>
      <c r="E327" s="107" t="s">
        <v>3669</v>
      </c>
      <c r="G327" s="69">
        <v>400</v>
      </c>
      <c r="T327" s="69"/>
      <c r="U327" s="69"/>
      <c r="AR327" s="94">
        <f t="shared" si="21"/>
        <v>400</v>
      </c>
      <c r="AS327" s="69">
        <v>302.16000000000003</v>
      </c>
      <c r="AT327" s="69">
        <v>77.84</v>
      </c>
      <c r="AV327" s="69">
        <v>20</v>
      </c>
      <c r="BC327" s="69"/>
      <c r="BD327" s="69"/>
      <c r="CC327" s="94">
        <f t="shared" si="16"/>
        <v>400</v>
      </c>
      <c r="CD327" s="73">
        <f t="shared" si="22"/>
        <v>0</v>
      </c>
      <c r="CE327" s="75">
        <f t="shared" si="23"/>
        <v>2990</v>
      </c>
      <c r="CF327" s="69" t="str">
        <f t="shared" si="23"/>
        <v>خ ت اسنان</v>
      </c>
    </row>
    <row r="328" spans="1:84" ht="18.75" x14ac:dyDescent="0.25">
      <c r="B328" s="82">
        <v>5227</v>
      </c>
      <c r="C328" s="70">
        <v>2991</v>
      </c>
      <c r="D328" s="71" t="s">
        <v>123</v>
      </c>
      <c r="E328" s="107" t="s">
        <v>3665</v>
      </c>
      <c r="G328" s="69">
        <v>950</v>
      </c>
      <c r="T328" s="69"/>
      <c r="U328" s="69"/>
      <c r="AR328" s="94">
        <f t="shared" si="21"/>
        <v>950</v>
      </c>
      <c r="AS328" s="69">
        <v>716.96</v>
      </c>
      <c r="AT328" s="69">
        <v>185.54</v>
      </c>
      <c r="AV328" s="69">
        <v>47.5</v>
      </c>
      <c r="BC328" s="69"/>
      <c r="BD328" s="69"/>
      <c r="CC328" s="94">
        <f t="shared" si="16"/>
        <v>950</v>
      </c>
      <c r="CD328" s="73">
        <f t="shared" si="22"/>
        <v>0</v>
      </c>
      <c r="CE328" s="75">
        <f t="shared" si="23"/>
        <v>2991</v>
      </c>
      <c r="CF328" s="69" t="str">
        <f t="shared" si="23"/>
        <v>خ ت اسنان</v>
      </c>
    </row>
    <row r="329" spans="1:84" ht="18.75" x14ac:dyDescent="0.25">
      <c r="B329" s="82">
        <v>5210</v>
      </c>
      <c r="C329" s="70">
        <v>2992</v>
      </c>
      <c r="D329" s="71" t="s">
        <v>123</v>
      </c>
      <c r="E329" s="107" t="str">
        <f>+E325</f>
        <v>مناقشه ماجستير خلود ممدوح</v>
      </c>
      <c r="G329" s="69">
        <v>366.66</v>
      </c>
      <c r="T329" s="69"/>
      <c r="U329" s="69"/>
      <c r="AR329" s="94">
        <f t="shared" si="21"/>
        <v>366.66</v>
      </c>
      <c r="AS329" s="69">
        <v>276.98</v>
      </c>
      <c r="AT329" s="69">
        <v>71.349999999999994</v>
      </c>
      <c r="AV329" s="69">
        <v>18.329999999999998</v>
      </c>
      <c r="BC329" s="69"/>
      <c r="BD329" s="69"/>
      <c r="CC329" s="94">
        <f t="shared" si="16"/>
        <v>366.66</v>
      </c>
      <c r="CD329" s="73">
        <f t="shared" si="22"/>
        <v>0</v>
      </c>
      <c r="CE329" s="75">
        <f t="shared" si="23"/>
        <v>2992</v>
      </c>
      <c r="CF329" s="69" t="str">
        <f t="shared" si="23"/>
        <v>خ ت اسنان</v>
      </c>
    </row>
    <row r="330" spans="1:84" ht="18.75" x14ac:dyDescent="0.25">
      <c r="B330" s="82">
        <v>5228</v>
      </c>
      <c r="C330" s="70">
        <v>2993</v>
      </c>
      <c r="D330" s="71" t="s">
        <v>123</v>
      </c>
      <c r="E330" s="107" t="str">
        <f>+E328</f>
        <v>مناقشه ماجستير احمد ابراهيم</v>
      </c>
      <c r="G330" s="69">
        <v>1044.8800000000001</v>
      </c>
      <c r="T330" s="69"/>
      <c r="U330" s="69"/>
      <c r="AR330" s="94">
        <f t="shared" si="21"/>
        <v>1044.8800000000001</v>
      </c>
      <c r="AS330" s="69">
        <v>692.22</v>
      </c>
      <c r="AT330" s="69">
        <v>149.78</v>
      </c>
      <c r="AU330" s="69">
        <v>155.38</v>
      </c>
      <c r="AV330" s="69">
        <v>47.5</v>
      </c>
      <c r="BC330" s="69"/>
      <c r="BD330" s="69"/>
      <c r="CC330" s="94">
        <f t="shared" si="16"/>
        <v>1044.8800000000001</v>
      </c>
      <c r="CD330" s="73">
        <f t="shared" si="22"/>
        <v>0</v>
      </c>
      <c r="CE330" s="75">
        <f t="shared" si="23"/>
        <v>2993</v>
      </c>
      <c r="CF330" s="69" t="str">
        <f t="shared" si="23"/>
        <v>خ ت اسنان</v>
      </c>
    </row>
    <row r="331" spans="1:84" ht="18.75" x14ac:dyDescent="0.25">
      <c r="B331" s="82">
        <v>5242</v>
      </c>
      <c r="C331" s="70">
        <v>2994</v>
      </c>
      <c r="D331" s="71" t="s">
        <v>123</v>
      </c>
      <c r="E331" s="107" t="str">
        <f>+E316</f>
        <v>مناقشه ماجستير مصطفى عصمت</v>
      </c>
      <c r="G331" s="69">
        <v>1044.8800000000001</v>
      </c>
      <c r="T331" s="69"/>
      <c r="U331" s="69"/>
      <c r="AR331" s="94">
        <f t="shared" si="21"/>
        <v>1044.8800000000001</v>
      </c>
      <c r="AS331" s="69">
        <v>692.22</v>
      </c>
      <c r="AT331" s="69">
        <v>149.78</v>
      </c>
      <c r="AU331" s="69">
        <v>155.38</v>
      </c>
      <c r="AV331" s="69">
        <v>47.5</v>
      </c>
      <c r="BC331" s="69"/>
      <c r="BD331" s="69"/>
      <c r="CC331" s="94">
        <f t="shared" si="16"/>
        <v>1044.8800000000001</v>
      </c>
      <c r="CD331" s="73">
        <f t="shared" si="22"/>
        <v>0</v>
      </c>
      <c r="CE331" s="75">
        <f t="shared" si="23"/>
        <v>2994</v>
      </c>
      <c r="CF331" s="69" t="str">
        <f t="shared" si="23"/>
        <v>خ ت اسنان</v>
      </c>
    </row>
    <row r="332" spans="1:84" ht="18.75" x14ac:dyDescent="0.25">
      <c r="B332" s="82">
        <v>5232</v>
      </c>
      <c r="C332" s="70">
        <v>2995</v>
      </c>
      <c r="D332" s="71" t="s">
        <v>123</v>
      </c>
      <c r="E332" s="107" t="str">
        <f>+E319</f>
        <v>مناقشه ماجستير فاتن محمد</v>
      </c>
      <c r="G332" s="69">
        <v>1900</v>
      </c>
      <c r="T332" s="69"/>
      <c r="U332" s="69"/>
      <c r="AR332" s="94">
        <f t="shared" si="21"/>
        <v>1900</v>
      </c>
      <c r="AS332" s="69">
        <v>1434.32</v>
      </c>
      <c r="AT332" s="69">
        <v>370.68</v>
      </c>
      <c r="AV332" s="69">
        <v>95</v>
      </c>
      <c r="BC332" s="69"/>
      <c r="BD332" s="69"/>
      <c r="CC332" s="94">
        <f t="shared" si="16"/>
        <v>1900</v>
      </c>
      <c r="CD332" s="73">
        <f t="shared" si="22"/>
        <v>0</v>
      </c>
      <c r="CE332" s="75">
        <f t="shared" si="23"/>
        <v>2995</v>
      </c>
      <c r="CF332" s="69" t="str">
        <f t="shared" si="23"/>
        <v>خ ت اسنان</v>
      </c>
    </row>
    <row r="333" spans="1:84" ht="18.75" x14ac:dyDescent="0.25">
      <c r="B333" s="82">
        <v>5238</v>
      </c>
      <c r="C333" s="70">
        <v>2996</v>
      </c>
      <c r="D333" s="71" t="s">
        <v>123</v>
      </c>
      <c r="E333" s="107" t="str">
        <f>+E317</f>
        <v>مناقشه ماجستير نورهان هشام</v>
      </c>
      <c r="G333" s="69">
        <v>1899.98</v>
      </c>
      <c r="T333" s="69"/>
      <c r="U333" s="69"/>
      <c r="AR333" s="94">
        <f t="shared" si="21"/>
        <v>1899.98</v>
      </c>
      <c r="AS333" s="69">
        <v>1452.06</v>
      </c>
      <c r="AT333" s="69">
        <v>352.93</v>
      </c>
      <c r="AV333" s="69">
        <v>94.99</v>
      </c>
      <c r="BC333" s="69"/>
      <c r="BD333" s="69"/>
      <c r="CC333" s="94">
        <f t="shared" si="16"/>
        <v>1899.98</v>
      </c>
      <c r="CD333" s="73">
        <f t="shared" si="22"/>
        <v>0</v>
      </c>
      <c r="CE333" s="75">
        <f t="shared" si="23"/>
        <v>2996</v>
      </c>
      <c r="CF333" s="69" t="str">
        <f t="shared" si="23"/>
        <v>خ ت اسنان</v>
      </c>
    </row>
    <row r="334" spans="1:84" ht="18.75" x14ac:dyDescent="0.25">
      <c r="B334" s="82">
        <v>5226</v>
      </c>
      <c r="C334" s="70">
        <v>2997</v>
      </c>
      <c r="D334" s="71" t="s">
        <v>123</v>
      </c>
      <c r="E334" s="107" t="str">
        <f>+E329</f>
        <v>مناقشه ماجستير خلود ممدوح</v>
      </c>
      <c r="G334" s="69">
        <v>766.66</v>
      </c>
      <c r="T334" s="69"/>
      <c r="U334" s="69"/>
      <c r="AR334" s="94">
        <f t="shared" si="21"/>
        <v>766.66</v>
      </c>
      <c r="AS334" s="69">
        <v>579.14</v>
      </c>
      <c r="AT334" s="69">
        <v>149.19</v>
      </c>
      <c r="AV334" s="69">
        <v>38.33</v>
      </c>
      <c r="BC334" s="69"/>
      <c r="BD334" s="69"/>
      <c r="CC334" s="94">
        <f t="shared" si="16"/>
        <v>766.66</v>
      </c>
      <c r="CD334" s="73">
        <f t="shared" si="22"/>
        <v>0</v>
      </c>
      <c r="CE334" s="75">
        <f t="shared" si="23"/>
        <v>2997</v>
      </c>
      <c r="CF334" s="69" t="str">
        <f t="shared" si="23"/>
        <v>خ ت اسنان</v>
      </c>
    </row>
    <row r="335" spans="1:84" ht="18.75" x14ac:dyDescent="0.25">
      <c r="B335" s="82">
        <v>5584</v>
      </c>
      <c r="C335" s="70">
        <v>2998</v>
      </c>
      <c r="D335" s="71" t="s">
        <v>123</v>
      </c>
      <c r="E335" s="107" t="s">
        <v>3670</v>
      </c>
      <c r="G335" s="69">
        <v>1166.6600000000001</v>
      </c>
      <c r="T335" s="69"/>
      <c r="U335" s="69"/>
      <c r="AR335" s="94">
        <f t="shared" si="21"/>
        <v>1166.6600000000001</v>
      </c>
      <c r="AS335" s="69">
        <v>880.78</v>
      </c>
      <c r="AT335" s="69">
        <v>227.55</v>
      </c>
      <c r="AV335" s="69">
        <v>58.33</v>
      </c>
      <c r="BC335" s="69"/>
      <c r="BD335" s="69"/>
      <c r="CC335" s="94">
        <f t="shared" si="16"/>
        <v>1166.6599999999999</v>
      </c>
      <c r="CD335" s="73">
        <f t="shared" si="22"/>
        <v>0</v>
      </c>
      <c r="CE335" s="75">
        <f t="shared" si="23"/>
        <v>2998</v>
      </c>
      <c r="CF335" s="69" t="str">
        <f t="shared" si="23"/>
        <v>خ ت اسنان</v>
      </c>
    </row>
    <row r="336" spans="1:84" ht="18.75" x14ac:dyDescent="0.25">
      <c r="B336" s="82">
        <v>5583</v>
      </c>
      <c r="C336" s="70">
        <v>2999</v>
      </c>
      <c r="D336" s="71" t="s">
        <v>123</v>
      </c>
      <c r="E336" s="107" t="s">
        <v>3670</v>
      </c>
      <c r="G336" s="69">
        <v>766.66</v>
      </c>
      <c r="T336" s="69"/>
      <c r="U336" s="69"/>
      <c r="AR336" s="94">
        <f t="shared" si="21"/>
        <v>766.66</v>
      </c>
      <c r="AS336" s="69">
        <v>578.62</v>
      </c>
      <c r="AT336" s="69">
        <v>149.71</v>
      </c>
      <c r="AV336" s="69">
        <v>38.33</v>
      </c>
      <c r="BC336" s="69"/>
      <c r="BD336" s="69"/>
      <c r="CC336" s="94">
        <f t="shared" si="16"/>
        <v>766.66000000000008</v>
      </c>
      <c r="CD336" s="73">
        <f t="shared" si="22"/>
        <v>0</v>
      </c>
      <c r="CE336" s="75">
        <f t="shared" si="23"/>
        <v>2999</v>
      </c>
      <c r="CF336" s="69" t="str">
        <f t="shared" si="23"/>
        <v>خ ت اسنان</v>
      </c>
    </row>
    <row r="337" spans="1:84" ht="18.75" x14ac:dyDescent="0.25">
      <c r="B337" s="82">
        <v>5680</v>
      </c>
      <c r="C337" s="70">
        <v>3000</v>
      </c>
      <c r="D337" s="71" t="s">
        <v>123</v>
      </c>
      <c r="E337" s="107" t="s">
        <v>3671</v>
      </c>
      <c r="G337" s="69">
        <v>1465.63</v>
      </c>
      <c r="T337" s="69"/>
      <c r="U337" s="69"/>
      <c r="AR337" s="94">
        <f t="shared" si="21"/>
        <v>1465.63</v>
      </c>
      <c r="AS337" s="69">
        <v>979.45</v>
      </c>
      <c r="AT337" s="69">
        <f>8.05+125</f>
        <v>133.05000000000001</v>
      </c>
      <c r="AU337" s="69">
        <f>150+15.63+12.5+37.5+12.5+112.5+12.5</f>
        <v>353.13</v>
      </c>
      <c r="BC337" s="69"/>
      <c r="BD337" s="69"/>
      <c r="CC337" s="94">
        <f t="shared" si="16"/>
        <v>1465.63</v>
      </c>
      <c r="CD337" s="73">
        <f t="shared" si="22"/>
        <v>0</v>
      </c>
      <c r="CE337" s="75">
        <f t="shared" si="23"/>
        <v>3000</v>
      </c>
      <c r="CF337" s="69" t="str">
        <f t="shared" si="23"/>
        <v>خ ت اسنان</v>
      </c>
    </row>
    <row r="338" spans="1:84" ht="18.75" x14ac:dyDescent="0.25">
      <c r="B338" s="82">
        <v>5241</v>
      </c>
      <c r="C338" s="70">
        <v>3001</v>
      </c>
      <c r="D338" s="71" t="s">
        <v>123</v>
      </c>
      <c r="E338" s="107" t="str">
        <f>+E331</f>
        <v>مناقشه ماجستير مصطفى عصمت</v>
      </c>
      <c r="G338" s="69">
        <v>1113.8800000000001</v>
      </c>
      <c r="T338" s="69"/>
      <c r="U338" s="69"/>
      <c r="AR338" s="94">
        <f t="shared" si="21"/>
        <v>1113.8800000000001</v>
      </c>
      <c r="AS338" s="69">
        <v>633.91999999999996</v>
      </c>
      <c r="AT338" s="69">
        <v>164.08</v>
      </c>
      <c r="AU338" s="69">
        <v>268.38</v>
      </c>
      <c r="AV338" s="69">
        <v>47.5</v>
      </c>
      <c r="BC338" s="69"/>
      <c r="BD338" s="69"/>
      <c r="CC338" s="94">
        <f t="shared" si="16"/>
        <v>1113.8800000000001</v>
      </c>
      <c r="CD338" s="73">
        <f t="shared" si="22"/>
        <v>0</v>
      </c>
      <c r="CE338" s="75">
        <f t="shared" si="23"/>
        <v>3001</v>
      </c>
      <c r="CF338" s="69" t="str">
        <f t="shared" si="23"/>
        <v>خ ت اسنان</v>
      </c>
    </row>
    <row r="339" spans="1:84" ht="18.75" x14ac:dyDescent="0.25">
      <c r="B339" s="82">
        <v>5498</v>
      </c>
      <c r="C339" s="70">
        <v>3002</v>
      </c>
      <c r="D339" s="71" t="s">
        <v>123</v>
      </c>
      <c r="E339" s="107" t="s">
        <v>3672</v>
      </c>
      <c r="G339" s="69">
        <v>3200</v>
      </c>
      <c r="T339" s="69"/>
      <c r="U339" s="69"/>
      <c r="AR339" s="94">
        <f t="shared" si="21"/>
        <v>3200</v>
      </c>
      <c r="AS339" s="69">
        <v>2702.2</v>
      </c>
      <c r="AT339" s="69">
        <v>337.8</v>
      </c>
      <c r="AV339" s="69">
        <v>160</v>
      </c>
      <c r="BC339" s="69"/>
      <c r="BD339" s="69"/>
      <c r="CC339" s="94">
        <f t="shared" si="16"/>
        <v>3200</v>
      </c>
      <c r="CD339" s="73">
        <f t="shared" si="22"/>
        <v>0</v>
      </c>
      <c r="CE339" s="75">
        <f t="shared" si="23"/>
        <v>3002</v>
      </c>
      <c r="CF339" s="69" t="str">
        <f t="shared" si="23"/>
        <v>خ ت اسنان</v>
      </c>
    </row>
    <row r="340" spans="1:84" ht="18.75" x14ac:dyDescent="0.25">
      <c r="B340" s="82">
        <v>5501</v>
      </c>
      <c r="C340" s="70">
        <v>3003</v>
      </c>
      <c r="D340" s="71" t="s">
        <v>123</v>
      </c>
      <c r="E340" s="107" t="s">
        <v>3672</v>
      </c>
      <c r="G340" s="69">
        <v>614.22</v>
      </c>
      <c r="T340" s="69"/>
      <c r="U340" s="69"/>
      <c r="AR340" s="94">
        <f t="shared" si="21"/>
        <v>614.22</v>
      </c>
      <c r="AS340" s="69">
        <v>497.69</v>
      </c>
      <c r="AT340" s="69">
        <v>63.25</v>
      </c>
      <c r="AU340" s="69">
        <v>23.28</v>
      </c>
      <c r="AV340" s="69">
        <v>30</v>
      </c>
      <c r="BC340" s="69"/>
      <c r="BD340" s="69"/>
      <c r="CC340" s="94">
        <f t="shared" si="16"/>
        <v>614.22</v>
      </c>
      <c r="CD340" s="73">
        <f t="shared" si="22"/>
        <v>0</v>
      </c>
      <c r="CE340" s="75">
        <f t="shared" si="23"/>
        <v>3003</v>
      </c>
      <c r="CF340" s="69" t="str">
        <f t="shared" si="23"/>
        <v>خ ت اسنان</v>
      </c>
    </row>
    <row r="341" spans="1:84" ht="18.75" x14ac:dyDescent="0.25">
      <c r="B341" s="82">
        <v>5542</v>
      </c>
      <c r="C341" s="70">
        <v>3004</v>
      </c>
      <c r="D341" s="71" t="s">
        <v>249</v>
      </c>
      <c r="E341" s="107" t="s">
        <v>3673</v>
      </c>
      <c r="G341" s="69">
        <v>149457.12</v>
      </c>
      <c r="T341" s="69"/>
      <c r="U341" s="69"/>
      <c r="AR341" s="94">
        <f t="shared" si="21"/>
        <v>149457.12</v>
      </c>
      <c r="AS341" s="69">
        <v>122791.47</v>
      </c>
      <c r="AT341" s="69">
        <v>15815.6</v>
      </c>
      <c r="AU341" s="69">
        <v>3483.55</v>
      </c>
      <c r="AV341" s="69">
        <v>7366.5</v>
      </c>
      <c r="BC341" s="69"/>
      <c r="BD341" s="69"/>
      <c r="CC341" s="94">
        <f t="shared" si="16"/>
        <v>149457.12</v>
      </c>
      <c r="CD341" s="73">
        <f t="shared" si="22"/>
        <v>0</v>
      </c>
      <c r="CE341" s="75">
        <f t="shared" si="23"/>
        <v>3004</v>
      </c>
      <c r="CF341" s="69" t="str">
        <f t="shared" si="23"/>
        <v>خدمة عامة</v>
      </c>
    </row>
    <row r="342" spans="1:84" ht="18.75" x14ac:dyDescent="0.25">
      <c r="B342" s="82">
        <v>5541</v>
      </c>
      <c r="C342" s="70">
        <v>3005</v>
      </c>
      <c r="D342" s="71" t="s">
        <v>249</v>
      </c>
      <c r="E342" s="107" t="s">
        <v>3673</v>
      </c>
      <c r="G342" s="69">
        <v>6176.25</v>
      </c>
      <c r="T342" s="69"/>
      <c r="U342" s="69"/>
      <c r="AR342" s="94">
        <f t="shared" si="21"/>
        <v>6176.25</v>
      </c>
      <c r="AS342" s="69">
        <v>4062.55</v>
      </c>
      <c r="AT342" s="69">
        <v>572.45000000000005</v>
      </c>
      <c r="AU342" s="69">
        <v>1271.25</v>
      </c>
      <c r="AV342" s="69">
        <v>270</v>
      </c>
      <c r="BC342" s="69"/>
      <c r="BD342" s="69"/>
      <c r="CC342" s="94">
        <f t="shared" si="16"/>
        <v>6176.25</v>
      </c>
      <c r="CD342" s="73">
        <f t="shared" si="22"/>
        <v>0</v>
      </c>
      <c r="CE342" s="75">
        <f t="shared" si="23"/>
        <v>3005</v>
      </c>
      <c r="CF342" s="69" t="str">
        <f t="shared" si="23"/>
        <v>خدمة عامة</v>
      </c>
    </row>
    <row r="343" spans="1:84" ht="18.75" x14ac:dyDescent="0.25">
      <c r="B343" s="82">
        <v>5538</v>
      </c>
      <c r="C343" s="70">
        <v>3006</v>
      </c>
      <c r="D343" s="71" t="s">
        <v>249</v>
      </c>
      <c r="E343" s="107" t="s">
        <v>3673</v>
      </c>
      <c r="G343" s="69">
        <v>1055.25</v>
      </c>
      <c r="T343" s="69"/>
      <c r="U343" s="69"/>
      <c r="AR343" s="94">
        <f t="shared" si="21"/>
        <v>1055.25</v>
      </c>
      <c r="AS343" s="69">
        <v>660.7</v>
      </c>
      <c r="AT343" s="69">
        <v>95.3</v>
      </c>
      <c r="AU343" s="69">
        <v>254.25</v>
      </c>
      <c r="AV343" s="69">
        <v>45</v>
      </c>
      <c r="BC343" s="69"/>
      <c r="BD343" s="69"/>
      <c r="CC343" s="94">
        <f t="shared" si="16"/>
        <v>1055.25</v>
      </c>
      <c r="CD343" s="73">
        <f t="shared" si="22"/>
        <v>0</v>
      </c>
      <c r="CE343" s="75">
        <f t="shared" si="23"/>
        <v>3006</v>
      </c>
      <c r="CF343" s="69" t="str">
        <f t="shared" si="23"/>
        <v>خدمة عامة</v>
      </c>
    </row>
    <row r="344" spans="1:84" ht="18.75" x14ac:dyDescent="0.25">
      <c r="B344" s="82">
        <v>5540</v>
      </c>
      <c r="C344" s="70">
        <v>3007</v>
      </c>
      <c r="D344" s="71" t="s">
        <v>249</v>
      </c>
      <c r="E344" s="107" t="s">
        <v>3673</v>
      </c>
      <c r="G344" s="69">
        <v>1856.41</v>
      </c>
      <c r="T344" s="69"/>
      <c r="U344" s="69"/>
      <c r="AR344" s="94">
        <f t="shared" si="21"/>
        <v>1856.41</v>
      </c>
      <c r="AS344" s="69">
        <v>1482.38</v>
      </c>
      <c r="AT344" s="69">
        <v>191.65</v>
      </c>
      <c r="AU344" s="69">
        <v>92.38</v>
      </c>
      <c r="AV344" s="69">
        <v>90</v>
      </c>
      <c r="BC344" s="69"/>
      <c r="BD344" s="69"/>
      <c r="CC344" s="94">
        <f t="shared" si="16"/>
        <v>1856.4100000000003</v>
      </c>
      <c r="CD344" s="73">
        <f t="shared" si="22"/>
        <v>0</v>
      </c>
      <c r="CE344" s="75">
        <f t="shared" si="23"/>
        <v>3007</v>
      </c>
      <c r="CF344" s="69" t="str">
        <f t="shared" si="23"/>
        <v>خدمة عامة</v>
      </c>
    </row>
    <row r="345" spans="1:84" ht="18.75" x14ac:dyDescent="0.25">
      <c r="B345" s="82">
        <v>5539</v>
      </c>
      <c r="C345" s="70">
        <v>3008</v>
      </c>
      <c r="D345" s="71" t="s">
        <v>249</v>
      </c>
      <c r="E345" s="107" t="s">
        <v>3673</v>
      </c>
      <c r="G345" s="69">
        <v>17550</v>
      </c>
      <c r="T345" s="69"/>
      <c r="U345" s="69"/>
      <c r="AR345" s="94">
        <f t="shared" si="21"/>
        <v>17550</v>
      </c>
      <c r="AS345" s="69">
        <v>14778.3</v>
      </c>
      <c r="AT345" s="69">
        <v>1894.2</v>
      </c>
      <c r="AV345" s="69">
        <v>877.5</v>
      </c>
      <c r="BC345" s="69"/>
      <c r="BD345" s="69"/>
      <c r="CC345" s="94">
        <f t="shared" si="16"/>
        <v>17550</v>
      </c>
      <c r="CD345" s="73">
        <f t="shared" si="22"/>
        <v>0</v>
      </c>
      <c r="CE345" s="75">
        <f t="shared" si="23"/>
        <v>3008</v>
      </c>
      <c r="CF345" s="69" t="str">
        <f t="shared" si="23"/>
        <v>خدمة عامة</v>
      </c>
    </row>
    <row r="346" spans="1:84" ht="18.75" x14ac:dyDescent="0.25">
      <c r="B346" s="82">
        <v>5698</v>
      </c>
      <c r="C346" s="70">
        <v>3009</v>
      </c>
      <c r="D346" s="71" t="s">
        <v>78</v>
      </c>
      <c r="E346" s="107" t="s">
        <v>3674</v>
      </c>
      <c r="G346" s="69">
        <v>3515.94</v>
      </c>
      <c r="T346" s="69"/>
      <c r="U346" s="69"/>
      <c r="AR346" s="94">
        <f t="shared" si="21"/>
        <v>3515.94</v>
      </c>
      <c r="AS346" s="69">
        <v>2346.79</v>
      </c>
      <c r="AT346" s="69">
        <f>22.15+299.87</f>
        <v>322.02</v>
      </c>
      <c r="AU346" s="69">
        <v>847.13</v>
      </c>
      <c r="BC346" s="69"/>
      <c r="BD346" s="69"/>
      <c r="CC346" s="94">
        <f t="shared" si="16"/>
        <v>3515.94</v>
      </c>
      <c r="CD346" s="73">
        <f t="shared" si="22"/>
        <v>0</v>
      </c>
      <c r="CE346" s="75">
        <f t="shared" si="23"/>
        <v>3009</v>
      </c>
      <c r="CF346" s="69" t="str">
        <f t="shared" si="23"/>
        <v>برنامج دولى</v>
      </c>
    </row>
    <row r="347" spans="1:84" ht="18.75" x14ac:dyDescent="0.25">
      <c r="A347" s="68"/>
      <c r="B347" s="83"/>
      <c r="C347" s="84"/>
      <c r="D347" s="85"/>
      <c r="E347" s="108" t="s">
        <v>3675</v>
      </c>
      <c r="F347" s="68"/>
      <c r="G347" s="68">
        <f>SUM(G284:G346)</f>
        <v>397453.02</v>
      </c>
      <c r="H347" s="68">
        <f t="shared" ref="H347:AV347" si="25">SUM(H284:H346)</f>
        <v>0</v>
      </c>
      <c r="I347" s="68">
        <f t="shared" si="25"/>
        <v>0</v>
      </c>
      <c r="J347" s="68">
        <f t="shared" si="25"/>
        <v>0</v>
      </c>
      <c r="K347" s="68">
        <f t="shared" si="25"/>
        <v>0</v>
      </c>
      <c r="L347" s="68">
        <f t="shared" si="25"/>
        <v>0</v>
      </c>
      <c r="M347" s="68">
        <f t="shared" si="25"/>
        <v>0</v>
      </c>
      <c r="N347" s="68">
        <f t="shared" si="25"/>
        <v>0</v>
      </c>
      <c r="O347" s="68">
        <f t="shared" si="25"/>
        <v>0</v>
      </c>
      <c r="P347" s="68">
        <f t="shared" si="25"/>
        <v>0</v>
      </c>
      <c r="Q347" s="68">
        <f t="shared" si="25"/>
        <v>0</v>
      </c>
      <c r="R347" s="68">
        <f t="shared" si="25"/>
        <v>0</v>
      </c>
      <c r="S347" s="68">
        <f t="shared" si="25"/>
        <v>671637.07</v>
      </c>
      <c r="T347" s="68">
        <f t="shared" si="25"/>
        <v>0</v>
      </c>
      <c r="U347" s="68">
        <f t="shared" si="25"/>
        <v>0</v>
      </c>
      <c r="V347" s="68">
        <f t="shared" si="25"/>
        <v>0</v>
      </c>
      <c r="W347" s="68">
        <f t="shared" si="25"/>
        <v>0</v>
      </c>
      <c r="X347" s="68">
        <f t="shared" si="25"/>
        <v>0</v>
      </c>
      <c r="Y347" s="68">
        <f t="shared" si="25"/>
        <v>0</v>
      </c>
      <c r="Z347" s="68">
        <f t="shared" si="25"/>
        <v>0</v>
      </c>
      <c r="AA347" s="68">
        <f t="shared" si="25"/>
        <v>0</v>
      </c>
      <c r="AB347" s="68">
        <f t="shared" si="25"/>
        <v>0</v>
      </c>
      <c r="AC347" s="68">
        <f t="shared" si="25"/>
        <v>0</v>
      </c>
      <c r="AD347" s="68">
        <f t="shared" si="25"/>
        <v>0</v>
      </c>
      <c r="AE347" s="68">
        <f t="shared" si="25"/>
        <v>0</v>
      </c>
      <c r="AF347" s="68">
        <f t="shared" si="25"/>
        <v>0</v>
      </c>
      <c r="AG347" s="68">
        <f t="shared" si="25"/>
        <v>0</v>
      </c>
      <c r="AH347" s="68">
        <f t="shared" si="25"/>
        <v>0</v>
      </c>
      <c r="AI347" s="68">
        <f t="shared" si="25"/>
        <v>0</v>
      </c>
      <c r="AJ347" s="68">
        <f t="shared" si="25"/>
        <v>0</v>
      </c>
      <c r="AK347" s="68">
        <f t="shared" si="25"/>
        <v>0</v>
      </c>
      <c r="AL347" s="68">
        <f t="shared" si="25"/>
        <v>0</v>
      </c>
      <c r="AM347" s="68">
        <f t="shared" si="25"/>
        <v>0</v>
      </c>
      <c r="AN347" s="68"/>
      <c r="AO347" s="68">
        <f t="shared" si="25"/>
        <v>0</v>
      </c>
      <c r="AP347" s="68">
        <f t="shared" si="25"/>
        <v>0</v>
      </c>
      <c r="AQ347" s="68">
        <f t="shared" si="25"/>
        <v>0</v>
      </c>
      <c r="AR347" s="91">
        <f t="shared" si="25"/>
        <v>1069090.0900000001</v>
      </c>
      <c r="AS347" s="68">
        <f t="shared" si="25"/>
        <v>987633.81999999983</v>
      </c>
      <c r="AT347" s="68">
        <f t="shared" si="25"/>
        <v>42510.669999999991</v>
      </c>
      <c r="AU347" s="68">
        <f t="shared" si="25"/>
        <v>20117.97</v>
      </c>
      <c r="AV347" s="68">
        <f t="shared" si="25"/>
        <v>18827.629999999997</v>
      </c>
      <c r="BC347" s="69"/>
      <c r="BD347" s="69"/>
      <c r="CC347" s="94">
        <f t="shared" si="16"/>
        <v>1069090.0899999999</v>
      </c>
      <c r="CD347" s="68"/>
      <c r="CE347" s="67"/>
      <c r="CF347" s="68"/>
    </row>
    <row r="348" spans="1:84" ht="18.75" x14ac:dyDescent="0.25">
      <c r="B348" s="82">
        <v>5251</v>
      </c>
      <c r="C348" s="70">
        <v>3010</v>
      </c>
      <c r="D348" s="71" t="s">
        <v>130</v>
      </c>
      <c r="E348" s="107" t="s">
        <v>3676</v>
      </c>
      <c r="G348" s="69">
        <v>873.35</v>
      </c>
      <c r="T348" s="69"/>
      <c r="U348" s="69"/>
      <c r="AR348" s="94">
        <f t="shared" si="21"/>
        <v>873.35</v>
      </c>
      <c r="AS348" s="69">
        <v>708.4</v>
      </c>
      <c r="AT348" s="69">
        <v>84.21</v>
      </c>
      <c r="AU348" s="69">
        <v>38.24</v>
      </c>
      <c r="AV348" s="69">
        <v>42.5</v>
      </c>
      <c r="BC348" s="69"/>
      <c r="BD348" s="69"/>
      <c r="CC348" s="94">
        <f t="shared" si="16"/>
        <v>873.35</v>
      </c>
      <c r="CD348" s="73">
        <f t="shared" si="22"/>
        <v>0</v>
      </c>
      <c r="CE348" s="75">
        <f t="shared" ref="CE348:CF379" si="26">+C348</f>
        <v>3010</v>
      </c>
      <c r="CF348" s="69" t="str">
        <f t="shared" si="26"/>
        <v>خ ت طب</v>
      </c>
    </row>
    <row r="349" spans="1:84" ht="18.75" x14ac:dyDescent="0.25">
      <c r="B349" s="82">
        <v>5249</v>
      </c>
      <c r="C349" s="70">
        <v>3011</v>
      </c>
      <c r="D349" s="71" t="s">
        <v>130</v>
      </c>
      <c r="E349" s="107" t="s">
        <v>3677</v>
      </c>
      <c r="G349" s="69">
        <v>2050</v>
      </c>
      <c r="T349" s="69"/>
      <c r="U349" s="69"/>
      <c r="AR349" s="94">
        <f t="shared" si="21"/>
        <v>2050</v>
      </c>
      <c r="AS349" s="69">
        <v>1644.06</v>
      </c>
      <c r="AT349" s="69">
        <v>303.44</v>
      </c>
      <c r="AV349" s="69">
        <v>102.5</v>
      </c>
      <c r="BC349" s="69"/>
      <c r="BD349" s="69"/>
      <c r="CC349" s="94">
        <f t="shared" si="16"/>
        <v>2050</v>
      </c>
      <c r="CD349" s="73">
        <f t="shared" si="22"/>
        <v>0</v>
      </c>
      <c r="CE349" s="75">
        <f t="shared" si="26"/>
        <v>3011</v>
      </c>
      <c r="CF349" s="69" t="str">
        <f t="shared" si="26"/>
        <v>خ ت طب</v>
      </c>
    </row>
    <row r="350" spans="1:84" ht="18.75" x14ac:dyDescent="0.25">
      <c r="B350" s="82">
        <v>5250</v>
      </c>
      <c r="C350" s="70">
        <v>3012</v>
      </c>
      <c r="D350" s="71" t="s">
        <v>130</v>
      </c>
      <c r="E350" s="107" t="s">
        <v>3678</v>
      </c>
      <c r="G350" s="69">
        <v>5803.84</v>
      </c>
      <c r="T350" s="69"/>
      <c r="U350" s="69"/>
      <c r="AR350" s="94">
        <f t="shared" si="21"/>
        <v>5803.84</v>
      </c>
      <c r="AS350" s="69">
        <v>3782.81</v>
      </c>
      <c r="AT350" s="69">
        <v>375.19</v>
      </c>
      <c r="AU350" s="69">
        <v>1398.34</v>
      </c>
      <c r="AV350" s="69">
        <v>247.5</v>
      </c>
      <c r="BC350" s="69"/>
      <c r="BD350" s="69"/>
      <c r="CC350" s="94">
        <f t="shared" si="16"/>
        <v>5803.84</v>
      </c>
      <c r="CD350" s="73">
        <f t="shared" si="22"/>
        <v>0</v>
      </c>
      <c r="CE350" s="75">
        <f t="shared" si="26"/>
        <v>3012</v>
      </c>
      <c r="CF350" s="69" t="str">
        <f t="shared" si="26"/>
        <v>خ ت طب</v>
      </c>
    </row>
    <row r="351" spans="1:84" ht="18.75" x14ac:dyDescent="0.25">
      <c r="B351" s="82">
        <v>5252</v>
      </c>
      <c r="C351" s="70">
        <v>3013</v>
      </c>
      <c r="D351" s="71" t="s">
        <v>130</v>
      </c>
      <c r="E351" s="107" t="s">
        <v>3679</v>
      </c>
      <c r="G351" s="69">
        <v>50</v>
      </c>
      <c r="T351" s="69"/>
      <c r="U351" s="69"/>
      <c r="AR351" s="94">
        <f t="shared" si="21"/>
        <v>50</v>
      </c>
      <c r="AS351" s="69">
        <v>42.28</v>
      </c>
      <c r="AT351" s="69">
        <v>5.22</v>
      </c>
      <c r="AV351" s="69">
        <v>2.5</v>
      </c>
      <c r="BC351" s="69"/>
      <c r="BD351" s="69"/>
      <c r="CC351" s="94">
        <f t="shared" si="16"/>
        <v>50</v>
      </c>
      <c r="CD351" s="73">
        <f t="shared" si="22"/>
        <v>0</v>
      </c>
      <c r="CE351" s="75">
        <f t="shared" si="26"/>
        <v>3013</v>
      </c>
      <c r="CF351" s="69" t="str">
        <f t="shared" si="26"/>
        <v>خ ت طب</v>
      </c>
    </row>
    <row r="352" spans="1:84" ht="18.75" x14ac:dyDescent="0.25">
      <c r="B352" s="82">
        <v>5253</v>
      </c>
      <c r="C352" s="70">
        <v>3014</v>
      </c>
      <c r="D352" s="71" t="s">
        <v>130</v>
      </c>
      <c r="E352" s="107" t="s">
        <v>3680</v>
      </c>
      <c r="G352" s="69">
        <v>86.9</v>
      </c>
      <c r="T352" s="69"/>
      <c r="U352" s="69"/>
      <c r="AR352" s="94">
        <f t="shared" si="21"/>
        <v>86.9</v>
      </c>
      <c r="AS352" s="69">
        <v>62.54</v>
      </c>
      <c r="AT352" s="69">
        <v>9.06</v>
      </c>
      <c r="AU352" s="69">
        <v>11.3</v>
      </c>
      <c r="AV352" s="69">
        <v>4</v>
      </c>
      <c r="BC352" s="69"/>
      <c r="BD352" s="69"/>
      <c r="CC352" s="94">
        <f t="shared" si="16"/>
        <v>86.899999999999991</v>
      </c>
      <c r="CD352" s="73">
        <f t="shared" si="22"/>
        <v>0</v>
      </c>
      <c r="CE352" s="75">
        <f t="shared" si="26"/>
        <v>3014</v>
      </c>
      <c r="CF352" s="69" t="str">
        <f t="shared" si="26"/>
        <v>خ ت طب</v>
      </c>
    </row>
    <row r="353" spans="2:84" ht="18.75" x14ac:dyDescent="0.25">
      <c r="B353" s="82">
        <v>5254</v>
      </c>
      <c r="C353" s="70">
        <v>3015</v>
      </c>
      <c r="D353" s="71" t="s">
        <v>130</v>
      </c>
      <c r="E353" s="107" t="s">
        <v>500</v>
      </c>
      <c r="G353" s="69">
        <v>175.88</v>
      </c>
      <c r="T353" s="69"/>
      <c r="U353" s="69"/>
      <c r="AR353" s="94">
        <f t="shared" si="21"/>
        <v>175.88</v>
      </c>
      <c r="AS353" s="69">
        <v>112.95</v>
      </c>
      <c r="AT353" s="69">
        <v>13.05</v>
      </c>
      <c r="AU353" s="69">
        <v>42.38</v>
      </c>
      <c r="AV353" s="69">
        <v>7.5</v>
      </c>
      <c r="BC353" s="69"/>
      <c r="BD353" s="69"/>
      <c r="CC353" s="94">
        <f t="shared" si="16"/>
        <v>175.88</v>
      </c>
      <c r="CD353" s="73">
        <f t="shared" si="22"/>
        <v>0</v>
      </c>
      <c r="CE353" s="75">
        <f t="shared" si="26"/>
        <v>3015</v>
      </c>
      <c r="CF353" s="69" t="str">
        <f t="shared" si="26"/>
        <v>خ ت طب</v>
      </c>
    </row>
    <row r="354" spans="2:84" ht="18.75" x14ac:dyDescent="0.25">
      <c r="B354" s="82">
        <v>5255</v>
      </c>
      <c r="C354" s="70">
        <v>3016</v>
      </c>
      <c r="D354" s="71" t="s">
        <v>130</v>
      </c>
      <c r="E354" s="107" t="s">
        <v>3681</v>
      </c>
      <c r="G354" s="69">
        <v>150</v>
      </c>
      <c r="T354" s="69"/>
      <c r="U354" s="69"/>
      <c r="AR354" s="94">
        <f t="shared" si="21"/>
        <v>150</v>
      </c>
      <c r="AS354" s="69">
        <v>120.62</v>
      </c>
      <c r="AT354" s="69">
        <v>21.88</v>
      </c>
      <c r="AV354" s="69">
        <v>7.5</v>
      </c>
      <c r="BC354" s="69"/>
      <c r="BD354" s="69"/>
      <c r="CC354" s="94">
        <f t="shared" si="16"/>
        <v>150</v>
      </c>
      <c r="CD354" s="73">
        <f t="shared" si="22"/>
        <v>0</v>
      </c>
      <c r="CE354" s="75">
        <f t="shared" si="26"/>
        <v>3016</v>
      </c>
      <c r="CF354" s="69" t="str">
        <f t="shared" si="26"/>
        <v>خ ت طب</v>
      </c>
    </row>
    <row r="355" spans="2:84" ht="18.75" x14ac:dyDescent="0.25">
      <c r="B355" s="82">
        <v>5256</v>
      </c>
      <c r="C355" s="70">
        <v>3017</v>
      </c>
      <c r="D355" s="71" t="s">
        <v>130</v>
      </c>
      <c r="E355" s="107" t="s">
        <v>3682</v>
      </c>
      <c r="G355" s="69">
        <v>135</v>
      </c>
      <c r="T355" s="69"/>
      <c r="U355" s="69"/>
      <c r="AR355" s="94">
        <f t="shared" si="21"/>
        <v>135</v>
      </c>
      <c r="AS355" s="69">
        <v>108.09</v>
      </c>
      <c r="AT355" s="69">
        <v>20.16</v>
      </c>
      <c r="AV355" s="69">
        <v>6.75</v>
      </c>
      <c r="BC355" s="69"/>
      <c r="BD355" s="69"/>
      <c r="CC355" s="94">
        <f t="shared" si="16"/>
        <v>135</v>
      </c>
      <c r="CD355" s="73">
        <f t="shared" si="22"/>
        <v>0</v>
      </c>
      <c r="CE355" s="75">
        <f t="shared" si="26"/>
        <v>3017</v>
      </c>
      <c r="CF355" s="69" t="str">
        <f t="shared" si="26"/>
        <v>خ ت طب</v>
      </c>
    </row>
    <row r="356" spans="2:84" ht="18.75" x14ac:dyDescent="0.25">
      <c r="B356" s="82">
        <v>5257</v>
      </c>
      <c r="C356" s="70">
        <v>3018</v>
      </c>
      <c r="D356" s="71" t="s">
        <v>130</v>
      </c>
      <c r="E356" s="107" t="s">
        <v>3683</v>
      </c>
      <c r="G356" s="69">
        <v>75</v>
      </c>
      <c r="T356" s="69"/>
      <c r="U356" s="69"/>
      <c r="AR356" s="94">
        <f t="shared" ref="AR356:AR401" si="27">SUM(G356:AQ356)</f>
        <v>75</v>
      </c>
      <c r="AS356" s="69">
        <v>60.44</v>
      </c>
      <c r="AT356" s="69">
        <v>10.81</v>
      </c>
      <c r="AV356" s="69">
        <v>3.75</v>
      </c>
      <c r="BC356" s="69"/>
      <c r="BD356" s="69"/>
      <c r="CC356" s="94">
        <f t="shared" si="16"/>
        <v>75</v>
      </c>
      <c r="CD356" s="73">
        <f t="shared" si="22"/>
        <v>0</v>
      </c>
      <c r="CE356" s="75">
        <f t="shared" si="26"/>
        <v>3018</v>
      </c>
      <c r="CF356" s="69" t="str">
        <f t="shared" si="26"/>
        <v>خ ت طب</v>
      </c>
    </row>
    <row r="357" spans="2:84" ht="18.75" x14ac:dyDescent="0.25">
      <c r="B357" s="82">
        <v>5258</v>
      </c>
      <c r="C357" s="70">
        <v>3019</v>
      </c>
      <c r="D357" s="71" t="s">
        <v>130</v>
      </c>
      <c r="E357" s="107" t="s">
        <v>3684</v>
      </c>
      <c r="G357" s="69">
        <v>2000</v>
      </c>
      <c r="T357" s="69"/>
      <c r="U357" s="69"/>
      <c r="AR357" s="94">
        <f t="shared" si="27"/>
        <v>2000</v>
      </c>
      <c r="AS357" s="69">
        <v>1686.7</v>
      </c>
      <c r="AT357" s="69">
        <v>213.3</v>
      </c>
      <c r="AV357" s="69">
        <v>100</v>
      </c>
      <c r="BC357" s="69"/>
      <c r="BD357" s="69"/>
      <c r="CC357" s="94">
        <f t="shared" si="16"/>
        <v>2000</v>
      </c>
      <c r="CD357" s="73">
        <f t="shared" si="22"/>
        <v>0</v>
      </c>
      <c r="CE357" s="75">
        <f t="shared" si="26"/>
        <v>3019</v>
      </c>
      <c r="CF357" s="69" t="str">
        <f t="shared" si="26"/>
        <v>خ ت طب</v>
      </c>
    </row>
    <row r="358" spans="2:84" ht="18.75" x14ac:dyDescent="0.25">
      <c r="B358" s="82">
        <v>5259</v>
      </c>
      <c r="C358" s="70">
        <v>3020</v>
      </c>
      <c r="D358" s="71" t="s">
        <v>130</v>
      </c>
      <c r="E358" s="107" t="s">
        <v>3685</v>
      </c>
      <c r="G358" s="69">
        <v>125.18</v>
      </c>
      <c r="T358" s="69"/>
      <c r="U358" s="69"/>
      <c r="AR358" s="94">
        <f t="shared" si="27"/>
        <v>125.18</v>
      </c>
      <c r="AS358" s="69">
        <v>102.17</v>
      </c>
      <c r="AT358" s="69">
        <v>8.5299999999999994</v>
      </c>
      <c r="AU358" s="69">
        <v>8.48</v>
      </c>
      <c r="AV358" s="69">
        <v>6</v>
      </c>
      <c r="BC358" s="69"/>
      <c r="BD358" s="69"/>
      <c r="CC358" s="94">
        <f t="shared" si="16"/>
        <v>125.18</v>
      </c>
      <c r="CD358" s="73">
        <f t="shared" ref="CD358:CD402" si="28">+CC358-AR358</f>
        <v>0</v>
      </c>
      <c r="CE358" s="75">
        <f t="shared" si="26"/>
        <v>3020</v>
      </c>
      <c r="CF358" s="69" t="str">
        <f t="shared" si="26"/>
        <v>خ ت طب</v>
      </c>
    </row>
    <row r="359" spans="2:84" ht="18.75" x14ac:dyDescent="0.25">
      <c r="B359" s="82">
        <v>5260</v>
      </c>
      <c r="C359" s="70">
        <v>3021</v>
      </c>
      <c r="D359" s="71" t="s">
        <v>130</v>
      </c>
      <c r="E359" s="107" t="s">
        <v>3686</v>
      </c>
      <c r="G359" s="69">
        <v>312.89999999999998</v>
      </c>
      <c r="T359" s="69"/>
      <c r="U359" s="69"/>
      <c r="AR359" s="94">
        <f t="shared" si="27"/>
        <v>312.89999999999998</v>
      </c>
      <c r="AS359" s="69">
        <v>267.74</v>
      </c>
      <c r="AT359" s="69">
        <v>18.559999999999999</v>
      </c>
      <c r="AU359" s="69">
        <v>11.3</v>
      </c>
      <c r="AV359" s="69">
        <v>15.3</v>
      </c>
      <c r="BC359" s="69"/>
      <c r="BD359" s="69"/>
      <c r="CC359" s="94">
        <f t="shared" si="16"/>
        <v>312.90000000000003</v>
      </c>
      <c r="CD359" s="73">
        <f t="shared" si="28"/>
        <v>0</v>
      </c>
      <c r="CE359" s="75">
        <f t="shared" si="26"/>
        <v>3021</v>
      </c>
      <c r="CF359" s="69" t="str">
        <f t="shared" si="26"/>
        <v>خ ت طب</v>
      </c>
    </row>
    <row r="360" spans="2:84" ht="18.75" x14ac:dyDescent="0.25">
      <c r="B360" s="82">
        <v>5261</v>
      </c>
      <c r="C360" s="70">
        <v>3022</v>
      </c>
      <c r="D360" s="71" t="s">
        <v>130</v>
      </c>
      <c r="E360" s="107" t="s">
        <v>3687</v>
      </c>
      <c r="G360" s="69">
        <v>270.47000000000003</v>
      </c>
      <c r="T360" s="69"/>
      <c r="U360" s="69"/>
      <c r="AR360" s="94">
        <f t="shared" si="27"/>
        <v>270.47000000000003</v>
      </c>
      <c r="AS360" s="69">
        <v>217.93</v>
      </c>
      <c r="AT360" s="69">
        <v>30.87</v>
      </c>
      <c r="AU360" s="69">
        <v>8.39</v>
      </c>
      <c r="AV360" s="69">
        <v>13.28</v>
      </c>
      <c r="BC360" s="69"/>
      <c r="BD360" s="69"/>
      <c r="CC360" s="94">
        <f t="shared" si="16"/>
        <v>270.46999999999997</v>
      </c>
      <c r="CD360" s="73">
        <f t="shared" si="28"/>
        <v>0</v>
      </c>
      <c r="CE360" s="75">
        <f t="shared" si="26"/>
        <v>3022</v>
      </c>
      <c r="CF360" s="69" t="str">
        <f t="shared" si="26"/>
        <v>خ ت طب</v>
      </c>
    </row>
    <row r="361" spans="2:84" ht="18.75" x14ac:dyDescent="0.25">
      <c r="B361" s="82">
        <v>5262</v>
      </c>
      <c r="C361" s="70">
        <v>3023</v>
      </c>
      <c r="D361" s="71" t="s">
        <v>130</v>
      </c>
      <c r="E361" s="107" t="s">
        <v>3688</v>
      </c>
      <c r="G361" s="69">
        <v>431.86</v>
      </c>
      <c r="T361" s="69"/>
      <c r="U361" s="69"/>
      <c r="AR361" s="94">
        <f t="shared" si="27"/>
        <v>431.86</v>
      </c>
      <c r="AS361" s="69">
        <v>319.64999999999998</v>
      </c>
      <c r="AT361" s="69">
        <v>47.97</v>
      </c>
      <c r="AU361" s="69">
        <v>43.99</v>
      </c>
      <c r="AV361" s="69">
        <v>20.25</v>
      </c>
      <c r="BC361" s="69"/>
      <c r="BD361" s="69"/>
      <c r="CC361" s="94">
        <f t="shared" si="16"/>
        <v>431.86</v>
      </c>
      <c r="CD361" s="73">
        <f t="shared" si="28"/>
        <v>0</v>
      </c>
      <c r="CE361" s="75">
        <f t="shared" si="26"/>
        <v>3023</v>
      </c>
      <c r="CF361" s="69" t="str">
        <f t="shared" si="26"/>
        <v>خ ت طب</v>
      </c>
    </row>
    <row r="362" spans="2:84" ht="18.75" x14ac:dyDescent="0.25">
      <c r="B362" s="82">
        <v>5263</v>
      </c>
      <c r="C362" s="70">
        <v>3024</v>
      </c>
      <c r="D362" s="71" t="s">
        <v>130</v>
      </c>
      <c r="E362" s="107" t="s">
        <v>3688</v>
      </c>
      <c r="G362" s="69">
        <v>469</v>
      </c>
      <c r="T362" s="69"/>
      <c r="U362" s="69"/>
      <c r="AR362" s="94">
        <f t="shared" si="27"/>
        <v>469</v>
      </c>
      <c r="AS362" s="69">
        <v>317.52</v>
      </c>
      <c r="AT362" s="69">
        <v>18.48</v>
      </c>
      <c r="AU362" s="69">
        <v>113</v>
      </c>
      <c r="AV362" s="69">
        <v>20</v>
      </c>
      <c r="BC362" s="69"/>
      <c r="BD362" s="69"/>
      <c r="CC362" s="94">
        <f t="shared" si="16"/>
        <v>469</v>
      </c>
      <c r="CD362" s="73">
        <f t="shared" si="28"/>
        <v>0</v>
      </c>
      <c r="CE362" s="75">
        <f t="shared" si="26"/>
        <v>3024</v>
      </c>
      <c r="CF362" s="69" t="str">
        <f t="shared" si="26"/>
        <v>خ ت طب</v>
      </c>
    </row>
    <row r="363" spans="2:84" ht="18.75" x14ac:dyDescent="0.25">
      <c r="B363" s="82">
        <v>5264</v>
      </c>
      <c r="C363" s="70">
        <v>3025</v>
      </c>
      <c r="D363" s="71" t="s">
        <v>130</v>
      </c>
      <c r="E363" s="107" t="s">
        <v>3689</v>
      </c>
      <c r="G363" s="69">
        <v>996.09</v>
      </c>
      <c r="T363" s="69"/>
      <c r="U363" s="69"/>
      <c r="AR363" s="94">
        <f t="shared" si="27"/>
        <v>996.09</v>
      </c>
      <c r="AS363" s="69">
        <v>793.15</v>
      </c>
      <c r="AT363" s="69">
        <v>129.6</v>
      </c>
      <c r="AU363" s="69">
        <v>24.27</v>
      </c>
      <c r="AV363" s="69">
        <v>49.07</v>
      </c>
      <c r="BC363" s="69"/>
      <c r="BD363" s="69"/>
      <c r="CC363" s="94">
        <f t="shared" si="16"/>
        <v>996.09</v>
      </c>
      <c r="CD363" s="73">
        <f t="shared" si="28"/>
        <v>0</v>
      </c>
      <c r="CE363" s="75">
        <f t="shared" si="26"/>
        <v>3025</v>
      </c>
      <c r="CF363" s="69" t="str">
        <f t="shared" si="26"/>
        <v>خ ت طب</v>
      </c>
    </row>
    <row r="364" spans="2:84" ht="18.75" x14ac:dyDescent="0.25">
      <c r="B364" s="82">
        <v>5265</v>
      </c>
      <c r="C364" s="70">
        <v>3026</v>
      </c>
      <c r="D364" s="71" t="s">
        <v>130</v>
      </c>
      <c r="E364" s="107" t="s">
        <v>3689</v>
      </c>
      <c r="G364" s="69">
        <v>401.62</v>
      </c>
      <c r="T364" s="69"/>
      <c r="U364" s="69"/>
      <c r="AR364" s="94">
        <f t="shared" si="27"/>
        <v>401.62</v>
      </c>
      <c r="AS364" s="69">
        <v>318.10000000000002</v>
      </c>
      <c r="AT364" s="69">
        <v>17.21</v>
      </c>
      <c r="AU364" s="69">
        <v>47.69</v>
      </c>
      <c r="AV364" s="69">
        <v>18.62</v>
      </c>
      <c r="BC364" s="69"/>
      <c r="BD364" s="69"/>
      <c r="CC364" s="94">
        <f t="shared" si="16"/>
        <v>401.62</v>
      </c>
      <c r="CD364" s="73">
        <f t="shared" si="28"/>
        <v>0</v>
      </c>
      <c r="CE364" s="75">
        <f t="shared" si="26"/>
        <v>3026</v>
      </c>
      <c r="CF364" s="69" t="str">
        <f t="shared" si="26"/>
        <v>خ ت طب</v>
      </c>
    </row>
    <row r="365" spans="2:84" ht="18.75" x14ac:dyDescent="0.25">
      <c r="B365" s="82">
        <v>5266</v>
      </c>
      <c r="C365" s="70">
        <v>3027</v>
      </c>
      <c r="D365" s="71" t="s">
        <v>130</v>
      </c>
      <c r="E365" s="107" t="s">
        <v>3690</v>
      </c>
      <c r="G365" s="69">
        <v>406.74</v>
      </c>
      <c r="T365" s="69"/>
      <c r="U365" s="69"/>
      <c r="AR365" s="94">
        <f t="shared" si="27"/>
        <v>406.74</v>
      </c>
      <c r="AS365" s="69">
        <v>301.95999999999998</v>
      </c>
      <c r="AT365" s="69">
        <v>41.99</v>
      </c>
      <c r="AU365" s="69">
        <v>43.79</v>
      </c>
      <c r="AV365" s="69">
        <v>19</v>
      </c>
      <c r="BC365" s="69"/>
      <c r="BD365" s="69"/>
      <c r="CC365" s="94">
        <f t="shared" si="16"/>
        <v>406.74</v>
      </c>
      <c r="CD365" s="73">
        <f t="shared" si="28"/>
        <v>0</v>
      </c>
      <c r="CE365" s="75">
        <f t="shared" si="26"/>
        <v>3027</v>
      </c>
      <c r="CF365" s="69" t="str">
        <f t="shared" si="26"/>
        <v>خ ت طب</v>
      </c>
    </row>
    <row r="366" spans="2:84" ht="18.75" x14ac:dyDescent="0.25">
      <c r="B366" s="82">
        <v>5267</v>
      </c>
      <c r="C366" s="70">
        <v>3028</v>
      </c>
      <c r="D366" s="71" t="s">
        <v>130</v>
      </c>
      <c r="E366" s="107" t="s">
        <v>3690</v>
      </c>
      <c r="G366" s="69">
        <v>495.2</v>
      </c>
      <c r="T366" s="69"/>
      <c r="U366" s="69"/>
      <c r="AR366" s="94">
        <f t="shared" si="27"/>
        <v>495.2</v>
      </c>
      <c r="AS366" s="69">
        <v>355.26</v>
      </c>
      <c r="AT366" s="69">
        <v>27.54</v>
      </c>
      <c r="AU366" s="69">
        <v>90.4</v>
      </c>
      <c r="AV366" s="69">
        <v>22</v>
      </c>
      <c r="BC366" s="69"/>
      <c r="BD366" s="69"/>
      <c r="CC366" s="94">
        <f t="shared" si="16"/>
        <v>495.20000000000005</v>
      </c>
      <c r="CD366" s="73">
        <f t="shared" si="28"/>
        <v>0</v>
      </c>
      <c r="CE366" s="75">
        <f t="shared" si="26"/>
        <v>3028</v>
      </c>
      <c r="CF366" s="69" t="str">
        <f t="shared" si="26"/>
        <v>خ ت طب</v>
      </c>
    </row>
    <row r="367" spans="2:84" ht="18.75" x14ac:dyDescent="0.25">
      <c r="B367" s="82">
        <v>5268</v>
      </c>
      <c r="C367" s="70">
        <v>3029</v>
      </c>
      <c r="D367" s="71" t="s">
        <v>130</v>
      </c>
      <c r="E367" s="107" t="s">
        <v>3691</v>
      </c>
      <c r="G367" s="69">
        <v>515.9</v>
      </c>
      <c r="T367" s="69"/>
      <c r="U367" s="69"/>
      <c r="AR367" s="94">
        <f t="shared" si="27"/>
        <v>515.9</v>
      </c>
      <c r="AS367" s="69">
        <v>345.24</v>
      </c>
      <c r="AT367" s="69">
        <v>24.36</v>
      </c>
      <c r="AU367" s="69">
        <v>124.3</v>
      </c>
      <c r="AV367" s="69">
        <v>22</v>
      </c>
      <c r="BC367" s="69"/>
      <c r="BD367" s="69"/>
      <c r="CC367" s="94">
        <f t="shared" si="16"/>
        <v>515.90000000000009</v>
      </c>
      <c r="CD367" s="73">
        <f t="shared" si="28"/>
        <v>0</v>
      </c>
      <c r="CE367" s="75">
        <f t="shared" si="26"/>
        <v>3029</v>
      </c>
      <c r="CF367" s="69" t="str">
        <f t="shared" si="26"/>
        <v>خ ت طب</v>
      </c>
    </row>
    <row r="368" spans="2:84" ht="18.75" x14ac:dyDescent="0.25">
      <c r="B368" s="82">
        <v>5269</v>
      </c>
      <c r="C368" s="70">
        <v>3030</v>
      </c>
      <c r="D368" s="71" t="s">
        <v>130</v>
      </c>
      <c r="E368" s="107" t="s">
        <v>3691</v>
      </c>
      <c r="G368" s="69">
        <v>115</v>
      </c>
      <c r="T368" s="69"/>
      <c r="U368" s="69"/>
      <c r="AR368" s="94">
        <f t="shared" si="27"/>
        <v>115</v>
      </c>
      <c r="AS368" s="69">
        <v>94.64</v>
      </c>
      <c r="AT368" s="69">
        <v>14.61</v>
      </c>
      <c r="AV368" s="69">
        <v>5.75</v>
      </c>
      <c r="BC368" s="69"/>
      <c r="BD368" s="69"/>
      <c r="CC368" s="94">
        <f t="shared" si="16"/>
        <v>115</v>
      </c>
      <c r="CD368" s="73">
        <f t="shared" si="28"/>
        <v>0</v>
      </c>
      <c r="CE368" s="75">
        <f t="shared" si="26"/>
        <v>3030</v>
      </c>
      <c r="CF368" s="69" t="str">
        <f t="shared" si="26"/>
        <v>خ ت طب</v>
      </c>
    </row>
    <row r="369" spans="2:84" ht="18.75" x14ac:dyDescent="0.25">
      <c r="B369" s="82">
        <v>5270</v>
      </c>
      <c r="C369" s="70">
        <v>3031</v>
      </c>
      <c r="D369" s="71" t="s">
        <v>130</v>
      </c>
      <c r="E369" s="107" t="s">
        <v>3692</v>
      </c>
      <c r="G369" s="69">
        <v>250</v>
      </c>
      <c r="T369" s="69"/>
      <c r="U369" s="69"/>
      <c r="AR369" s="94">
        <f t="shared" si="27"/>
        <v>250</v>
      </c>
      <c r="AS369" s="69">
        <v>212.67</v>
      </c>
      <c r="AT369" s="69">
        <v>24.83</v>
      </c>
      <c r="AV369" s="69">
        <v>12.5</v>
      </c>
      <c r="BC369" s="69"/>
      <c r="BD369" s="69"/>
      <c r="CC369" s="94">
        <f t="shared" si="16"/>
        <v>250</v>
      </c>
      <c r="CD369" s="73">
        <f t="shared" si="28"/>
        <v>0</v>
      </c>
      <c r="CE369" s="75">
        <f t="shared" si="26"/>
        <v>3031</v>
      </c>
      <c r="CF369" s="69" t="str">
        <f t="shared" si="26"/>
        <v>خ ت طب</v>
      </c>
    </row>
    <row r="370" spans="2:84" ht="18.75" x14ac:dyDescent="0.25">
      <c r="B370" s="82">
        <v>5271</v>
      </c>
      <c r="C370" s="70">
        <v>3032</v>
      </c>
      <c r="D370" s="71" t="s">
        <v>130</v>
      </c>
      <c r="E370" s="107" t="s">
        <v>3692</v>
      </c>
      <c r="G370" s="69">
        <v>762.12</v>
      </c>
      <c r="T370" s="69"/>
      <c r="U370" s="69"/>
      <c r="AR370" s="94">
        <f t="shared" si="27"/>
        <v>762.12</v>
      </c>
      <c r="AS370" s="69">
        <v>517.23</v>
      </c>
      <c r="AT370" s="69">
        <v>28.77</v>
      </c>
      <c r="AU370" s="69">
        <v>183.62</v>
      </c>
      <c r="AV370" s="69">
        <v>32.5</v>
      </c>
      <c r="BC370" s="69"/>
      <c r="BD370" s="69"/>
      <c r="CC370" s="94">
        <f t="shared" si="16"/>
        <v>762.12</v>
      </c>
      <c r="CD370" s="73">
        <f t="shared" si="28"/>
        <v>0</v>
      </c>
      <c r="CE370" s="75">
        <f t="shared" si="26"/>
        <v>3032</v>
      </c>
      <c r="CF370" s="69" t="str">
        <f t="shared" si="26"/>
        <v>خ ت طب</v>
      </c>
    </row>
    <row r="371" spans="2:84" ht="18.75" x14ac:dyDescent="0.25">
      <c r="B371" s="82">
        <v>5272</v>
      </c>
      <c r="C371" s="70">
        <v>3033</v>
      </c>
      <c r="D371" s="71" t="s">
        <v>130</v>
      </c>
      <c r="E371" s="107" t="s">
        <v>3693</v>
      </c>
      <c r="G371" s="69">
        <v>650</v>
      </c>
      <c r="T371" s="69"/>
      <c r="U371" s="69"/>
      <c r="AR371" s="94">
        <f t="shared" si="27"/>
        <v>650</v>
      </c>
      <c r="AS371" s="69">
        <v>515.4</v>
      </c>
      <c r="AT371" s="69">
        <v>102.1</v>
      </c>
      <c r="AV371" s="69">
        <v>32.5</v>
      </c>
      <c r="BC371" s="69"/>
      <c r="BD371" s="69"/>
      <c r="CC371" s="94">
        <f t="shared" si="16"/>
        <v>650</v>
      </c>
      <c r="CD371" s="73">
        <f t="shared" si="28"/>
        <v>0</v>
      </c>
      <c r="CE371" s="75">
        <f t="shared" si="26"/>
        <v>3033</v>
      </c>
      <c r="CF371" s="69" t="str">
        <f t="shared" si="26"/>
        <v>خ ت طب</v>
      </c>
    </row>
    <row r="372" spans="2:84" ht="18.75" x14ac:dyDescent="0.25">
      <c r="B372" s="82">
        <v>5273</v>
      </c>
      <c r="C372" s="70">
        <v>3034</v>
      </c>
      <c r="D372" s="71" t="s">
        <v>130</v>
      </c>
      <c r="E372" s="107" t="s">
        <v>3694</v>
      </c>
      <c r="G372" s="69">
        <v>50</v>
      </c>
      <c r="T372" s="69"/>
      <c r="U372" s="69"/>
      <c r="AR372" s="94">
        <f t="shared" si="27"/>
        <v>50</v>
      </c>
      <c r="AS372" s="69">
        <v>38</v>
      </c>
      <c r="AT372" s="69">
        <v>9.5</v>
      </c>
      <c r="AV372" s="69">
        <v>2.5</v>
      </c>
      <c r="BC372" s="69"/>
      <c r="BD372" s="69"/>
      <c r="CC372" s="94">
        <f t="shared" si="16"/>
        <v>50</v>
      </c>
      <c r="CD372" s="73">
        <f t="shared" si="28"/>
        <v>0</v>
      </c>
      <c r="CE372" s="75">
        <f t="shared" si="26"/>
        <v>3034</v>
      </c>
      <c r="CF372" s="69" t="str">
        <f t="shared" si="26"/>
        <v>خ ت طب</v>
      </c>
    </row>
    <row r="373" spans="2:84" ht="18.75" x14ac:dyDescent="0.25">
      <c r="B373" s="82">
        <v>5274</v>
      </c>
      <c r="C373" s="70">
        <v>3035</v>
      </c>
      <c r="D373" s="71" t="s">
        <v>130</v>
      </c>
      <c r="E373" s="107" t="str">
        <f>+E371</f>
        <v>مكافاه رؤساء الاقسام اغسطس</v>
      </c>
      <c r="G373" s="69">
        <v>175.86</v>
      </c>
      <c r="T373" s="69"/>
      <c r="U373" s="69"/>
      <c r="AR373" s="94">
        <f t="shared" si="27"/>
        <v>175.86</v>
      </c>
      <c r="AS373" s="69">
        <v>113.4</v>
      </c>
      <c r="AT373" s="69">
        <v>12.6</v>
      </c>
      <c r="AU373" s="69">
        <v>42.36</v>
      </c>
      <c r="AV373" s="69">
        <v>7.5</v>
      </c>
      <c r="BC373" s="69"/>
      <c r="BD373" s="69"/>
      <c r="CC373" s="94">
        <f t="shared" si="16"/>
        <v>175.86</v>
      </c>
      <c r="CD373" s="73">
        <f t="shared" si="28"/>
        <v>0</v>
      </c>
      <c r="CE373" s="75">
        <f t="shared" si="26"/>
        <v>3035</v>
      </c>
      <c r="CF373" s="69" t="str">
        <f t="shared" si="26"/>
        <v>خ ت طب</v>
      </c>
    </row>
    <row r="374" spans="2:84" ht="18.75" x14ac:dyDescent="0.25">
      <c r="B374" s="82">
        <v>5275</v>
      </c>
      <c r="C374" s="70">
        <v>3036</v>
      </c>
      <c r="D374" s="71" t="s">
        <v>130</v>
      </c>
      <c r="E374" s="107" t="s">
        <v>3695</v>
      </c>
      <c r="G374" s="69">
        <v>120</v>
      </c>
      <c r="T374" s="69"/>
      <c r="U374" s="69"/>
      <c r="AR374" s="94">
        <f t="shared" si="27"/>
        <v>120</v>
      </c>
      <c r="AS374" s="69">
        <v>102.6</v>
      </c>
      <c r="AT374" s="69">
        <v>11.4</v>
      </c>
      <c r="AV374" s="69">
        <v>6</v>
      </c>
      <c r="BC374" s="69"/>
      <c r="BD374" s="69"/>
      <c r="CC374" s="94">
        <f t="shared" si="16"/>
        <v>120</v>
      </c>
      <c r="CD374" s="73">
        <f t="shared" si="28"/>
        <v>0</v>
      </c>
      <c r="CE374" s="75">
        <f t="shared" si="26"/>
        <v>3036</v>
      </c>
      <c r="CF374" s="69" t="str">
        <f t="shared" si="26"/>
        <v>خ ت طب</v>
      </c>
    </row>
    <row r="375" spans="2:84" ht="18.75" x14ac:dyDescent="0.25">
      <c r="B375" s="82">
        <v>5276</v>
      </c>
      <c r="C375" s="70">
        <v>3037</v>
      </c>
      <c r="D375" s="71" t="s">
        <v>130</v>
      </c>
      <c r="E375" s="107" t="s">
        <v>3695</v>
      </c>
      <c r="G375" s="69">
        <v>46.9</v>
      </c>
      <c r="T375" s="69"/>
      <c r="U375" s="69"/>
      <c r="AR375" s="94">
        <f t="shared" si="27"/>
        <v>46.9</v>
      </c>
      <c r="AS375" s="69">
        <v>32.76</v>
      </c>
      <c r="AT375" s="69">
        <v>0.84</v>
      </c>
      <c r="AU375" s="69">
        <v>11.3</v>
      </c>
      <c r="AV375" s="69">
        <v>2</v>
      </c>
      <c r="BC375" s="69"/>
      <c r="BD375" s="69"/>
      <c r="CC375" s="94">
        <f t="shared" si="16"/>
        <v>46.900000000000006</v>
      </c>
      <c r="CD375" s="73">
        <f t="shared" si="28"/>
        <v>0</v>
      </c>
      <c r="CE375" s="75">
        <f t="shared" si="26"/>
        <v>3037</v>
      </c>
      <c r="CF375" s="69" t="str">
        <f t="shared" si="26"/>
        <v>خ ت طب</v>
      </c>
    </row>
    <row r="376" spans="2:84" ht="18.75" x14ac:dyDescent="0.25">
      <c r="B376" s="82">
        <v>5277</v>
      </c>
      <c r="C376" s="70">
        <v>3038</v>
      </c>
      <c r="D376" s="71" t="s">
        <v>130</v>
      </c>
      <c r="E376" s="107" t="s">
        <v>3695</v>
      </c>
      <c r="G376" s="69">
        <v>200</v>
      </c>
      <c r="T376" s="69"/>
      <c r="U376" s="69"/>
      <c r="AR376" s="94">
        <f t="shared" si="27"/>
        <v>200</v>
      </c>
      <c r="AS376" s="69">
        <v>176.7</v>
      </c>
      <c r="AT376" s="69">
        <v>13.3</v>
      </c>
      <c r="AV376" s="69">
        <v>10</v>
      </c>
      <c r="BC376" s="69"/>
      <c r="BD376" s="69"/>
      <c r="CC376" s="94">
        <f t="shared" si="16"/>
        <v>200</v>
      </c>
      <c r="CD376" s="73">
        <f t="shared" si="28"/>
        <v>0</v>
      </c>
      <c r="CE376" s="75">
        <f t="shared" si="26"/>
        <v>3038</v>
      </c>
      <c r="CF376" s="69" t="str">
        <f t="shared" si="26"/>
        <v>خ ت طب</v>
      </c>
    </row>
    <row r="377" spans="2:84" ht="18.75" x14ac:dyDescent="0.25">
      <c r="B377" s="82">
        <v>5278</v>
      </c>
      <c r="C377" s="70">
        <v>3039</v>
      </c>
      <c r="D377" s="71" t="s">
        <v>130</v>
      </c>
      <c r="E377" s="107" t="s">
        <v>3696</v>
      </c>
      <c r="G377" s="69">
        <v>126.9</v>
      </c>
      <c r="T377" s="69"/>
      <c r="U377" s="69"/>
      <c r="AR377" s="94">
        <f t="shared" si="27"/>
        <v>126.9</v>
      </c>
      <c r="AS377" s="69">
        <v>96.74</v>
      </c>
      <c r="AT377" s="69">
        <v>12.86</v>
      </c>
      <c r="AU377" s="69">
        <v>11.3</v>
      </c>
      <c r="AV377" s="69">
        <v>6</v>
      </c>
      <c r="BC377" s="69"/>
      <c r="BD377" s="69"/>
      <c r="CC377" s="94">
        <f t="shared" si="16"/>
        <v>126.89999999999999</v>
      </c>
      <c r="CD377" s="73">
        <f t="shared" si="28"/>
        <v>0</v>
      </c>
      <c r="CE377" s="75">
        <f t="shared" si="26"/>
        <v>3039</v>
      </c>
      <c r="CF377" s="69" t="str">
        <f t="shared" si="26"/>
        <v>خ ت طب</v>
      </c>
    </row>
    <row r="378" spans="2:84" ht="18.75" x14ac:dyDescent="0.25">
      <c r="B378" s="82">
        <v>5279</v>
      </c>
      <c r="C378" s="70">
        <v>3040</v>
      </c>
      <c r="D378" s="71" t="s">
        <v>130</v>
      </c>
      <c r="E378" s="107" t="s">
        <v>3697</v>
      </c>
      <c r="G378" s="69">
        <v>286.89999999999998</v>
      </c>
      <c r="T378" s="69"/>
      <c r="U378" s="69"/>
      <c r="AR378" s="94">
        <f t="shared" si="27"/>
        <v>286.89999999999998</v>
      </c>
      <c r="AS378" s="69">
        <v>240.81</v>
      </c>
      <c r="AT378" s="69">
        <v>20.79</v>
      </c>
      <c r="AU378" s="69">
        <v>11.3</v>
      </c>
      <c r="AV378" s="69">
        <v>14</v>
      </c>
      <c r="BC378" s="69"/>
      <c r="BD378" s="69"/>
      <c r="CC378" s="94">
        <f t="shared" si="16"/>
        <v>286.90000000000003</v>
      </c>
      <c r="CD378" s="73">
        <f t="shared" si="28"/>
        <v>0</v>
      </c>
      <c r="CE378" s="75">
        <f t="shared" si="26"/>
        <v>3040</v>
      </c>
      <c r="CF378" s="69" t="str">
        <f t="shared" si="26"/>
        <v>خ ت طب</v>
      </c>
    </row>
    <row r="379" spans="2:84" ht="18.75" x14ac:dyDescent="0.25">
      <c r="B379" s="82">
        <v>5280</v>
      </c>
      <c r="C379" s="70">
        <v>3041</v>
      </c>
      <c r="D379" s="71" t="s">
        <v>130</v>
      </c>
      <c r="E379" s="107" t="s">
        <v>3698</v>
      </c>
      <c r="G379" s="69">
        <v>536.79999999999995</v>
      </c>
      <c r="T379" s="69"/>
      <c r="U379" s="69"/>
      <c r="AR379" s="94">
        <f t="shared" si="27"/>
        <v>536.79999999999995</v>
      </c>
      <c r="AS379" s="69">
        <v>398.67</v>
      </c>
      <c r="AT379" s="69">
        <v>76.680000000000007</v>
      </c>
      <c r="AU379" s="69">
        <v>35.700000000000003</v>
      </c>
      <c r="AV379" s="69">
        <v>25.75</v>
      </c>
      <c r="BC379" s="69"/>
      <c r="BD379" s="69"/>
      <c r="CC379" s="94">
        <f t="shared" si="16"/>
        <v>536.79999999999995</v>
      </c>
      <c r="CD379" s="73">
        <f t="shared" si="28"/>
        <v>0</v>
      </c>
      <c r="CE379" s="75">
        <f t="shared" si="26"/>
        <v>3041</v>
      </c>
      <c r="CF379" s="69" t="str">
        <f t="shared" si="26"/>
        <v>خ ت طب</v>
      </c>
    </row>
    <row r="380" spans="2:84" ht="18.75" x14ac:dyDescent="0.25">
      <c r="B380" s="82">
        <v>5281</v>
      </c>
      <c r="C380" s="70">
        <v>3042</v>
      </c>
      <c r="D380" s="71" t="s">
        <v>130</v>
      </c>
      <c r="E380" s="107" t="s">
        <v>3698</v>
      </c>
      <c r="G380" s="69">
        <v>682.6</v>
      </c>
      <c r="T380" s="69"/>
      <c r="U380" s="69"/>
      <c r="AR380" s="94">
        <f t="shared" si="27"/>
        <v>682.6</v>
      </c>
      <c r="AS380" s="69">
        <v>465.08</v>
      </c>
      <c r="AT380" s="69">
        <v>30.02</v>
      </c>
      <c r="AU380" s="69">
        <v>158.19999999999999</v>
      </c>
      <c r="AV380" s="69">
        <v>29.3</v>
      </c>
      <c r="BC380" s="69"/>
      <c r="BD380" s="69"/>
      <c r="CC380" s="94">
        <f t="shared" si="16"/>
        <v>682.59999999999991</v>
      </c>
      <c r="CD380" s="73">
        <f t="shared" si="28"/>
        <v>0</v>
      </c>
      <c r="CE380" s="75">
        <f t="shared" ref="CE380:CF403" si="29">+C380</f>
        <v>3042</v>
      </c>
      <c r="CF380" s="69" t="str">
        <f t="shared" si="29"/>
        <v>خ ت طب</v>
      </c>
    </row>
    <row r="381" spans="2:84" ht="18.75" x14ac:dyDescent="0.25">
      <c r="B381" s="82">
        <v>5282</v>
      </c>
      <c r="C381" s="70">
        <v>3043</v>
      </c>
      <c r="D381" s="71" t="s">
        <v>130</v>
      </c>
      <c r="E381" s="107" t="s">
        <v>3699</v>
      </c>
      <c r="G381" s="69">
        <v>193.8</v>
      </c>
      <c r="T381" s="69"/>
      <c r="U381" s="69"/>
      <c r="AR381" s="94">
        <f t="shared" si="27"/>
        <v>193.8</v>
      </c>
      <c r="AS381" s="69">
        <v>141.13999999999999</v>
      </c>
      <c r="AT381" s="69">
        <v>21.06</v>
      </c>
      <c r="AU381" s="69">
        <v>22.6</v>
      </c>
      <c r="AV381" s="69">
        <v>9</v>
      </c>
      <c r="BC381" s="69"/>
      <c r="BD381" s="69"/>
      <c r="CC381" s="94">
        <f t="shared" si="16"/>
        <v>193.79999999999998</v>
      </c>
      <c r="CD381" s="73">
        <f t="shared" si="28"/>
        <v>0</v>
      </c>
      <c r="CE381" s="75">
        <f t="shared" si="29"/>
        <v>3043</v>
      </c>
      <c r="CF381" s="69" t="str">
        <f t="shared" si="29"/>
        <v>خ ت طب</v>
      </c>
    </row>
    <row r="382" spans="2:84" ht="18.75" x14ac:dyDescent="0.25">
      <c r="B382" s="82">
        <v>5283</v>
      </c>
      <c r="C382" s="70">
        <v>3044</v>
      </c>
      <c r="D382" s="71" t="s">
        <v>130</v>
      </c>
      <c r="E382" s="107" t="s">
        <v>3699</v>
      </c>
      <c r="G382" s="69">
        <v>40</v>
      </c>
      <c r="T382" s="69"/>
      <c r="U382" s="69"/>
      <c r="AR382" s="94">
        <f t="shared" si="27"/>
        <v>40</v>
      </c>
      <c r="AS382" s="69">
        <v>37.049999999999997</v>
      </c>
      <c r="AT382" s="69">
        <v>0.95</v>
      </c>
      <c r="AV382" s="69">
        <v>2</v>
      </c>
      <c r="BC382" s="69"/>
      <c r="BD382" s="69"/>
      <c r="CC382" s="94">
        <f t="shared" si="16"/>
        <v>40</v>
      </c>
      <c r="CD382" s="73">
        <f t="shared" si="28"/>
        <v>0</v>
      </c>
      <c r="CE382" s="75">
        <f t="shared" si="29"/>
        <v>3044</v>
      </c>
      <c r="CF382" s="69" t="str">
        <f t="shared" si="29"/>
        <v>خ ت طب</v>
      </c>
    </row>
    <row r="383" spans="2:84" ht="18.75" x14ac:dyDescent="0.25">
      <c r="B383" s="82">
        <v>5284</v>
      </c>
      <c r="C383" s="70">
        <v>3045</v>
      </c>
      <c r="D383" s="71" t="s">
        <v>130</v>
      </c>
      <c r="E383" s="107" t="s">
        <v>3700</v>
      </c>
      <c r="G383" s="69">
        <v>976.12</v>
      </c>
      <c r="T383" s="69"/>
      <c r="U383" s="69"/>
      <c r="AR383" s="94">
        <f t="shared" si="27"/>
        <v>976.12</v>
      </c>
      <c r="AS383" s="69">
        <v>670.86</v>
      </c>
      <c r="AT383" s="69">
        <v>129.1</v>
      </c>
      <c r="AU383" s="69">
        <v>131.37</v>
      </c>
      <c r="AV383" s="69">
        <v>44.79</v>
      </c>
      <c r="BC383" s="69"/>
      <c r="BD383" s="69"/>
      <c r="CC383" s="94">
        <f t="shared" si="16"/>
        <v>976.12</v>
      </c>
      <c r="CD383" s="73">
        <f t="shared" si="28"/>
        <v>0</v>
      </c>
      <c r="CE383" s="75">
        <f t="shared" si="29"/>
        <v>3045</v>
      </c>
      <c r="CF383" s="69" t="str">
        <f t="shared" si="29"/>
        <v>خ ت طب</v>
      </c>
    </row>
    <row r="384" spans="2:84" ht="18.75" x14ac:dyDescent="0.25">
      <c r="B384" s="82">
        <v>5285</v>
      </c>
      <c r="C384" s="70">
        <v>3046</v>
      </c>
      <c r="D384" s="71" t="s">
        <v>130</v>
      </c>
      <c r="E384" s="107" t="s">
        <v>3700</v>
      </c>
      <c r="G384" s="69">
        <v>515.9</v>
      </c>
      <c r="T384" s="69"/>
      <c r="U384" s="69"/>
      <c r="AR384" s="94">
        <f t="shared" si="27"/>
        <v>515.9</v>
      </c>
      <c r="AS384" s="69">
        <v>342.72</v>
      </c>
      <c r="AT384" s="69">
        <v>26.88</v>
      </c>
      <c r="AU384" s="69">
        <v>124.3</v>
      </c>
      <c r="AV384" s="69">
        <v>22</v>
      </c>
      <c r="BC384" s="69"/>
      <c r="BD384" s="69"/>
      <c r="CC384" s="94">
        <f t="shared" si="16"/>
        <v>515.90000000000009</v>
      </c>
      <c r="CD384" s="73">
        <f t="shared" si="28"/>
        <v>0</v>
      </c>
      <c r="CE384" s="75">
        <f t="shared" si="29"/>
        <v>3046</v>
      </c>
      <c r="CF384" s="69" t="str">
        <f t="shared" si="29"/>
        <v>خ ت طب</v>
      </c>
    </row>
    <row r="385" spans="2:84" ht="18.75" x14ac:dyDescent="0.25">
      <c r="B385" s="82">
        <v>5286</v>
      </c>
      <c r="C385" s="70">
        <v>3047</v>
      </c>
      <c r="D385" s="71" t="s">
        <v>130</v>
      </c>
      <c r="E385" s="107" t="s">
        <v>3700</v>
      </c>
      <c r="G385" s="69">
        <v>140</v>
      </c>
      <c r="T385" s="69"/>
      <c r="U385" s="69"/>
      <c r="AR385" s="94">
        <f t="shared" si="27"/>
        <v>140</v>
      </c>
      <c r="AS385" s="69">
        <v>116.76</v>
      </c>
      <c r="AT385" s="69">
        <v>16.239999999999998</v>
      </c>
      <c r="AV385" s="69">
        <v>7</v>
      </c>
      <c r="BC385" s="69"/>
      <c r="BD385" s="69"/>
      <c r="CC385" s="94">
        <f t="shared" si="16"/>
        <v>140</v>
      </c>
      <c r="CD385" s="73">
        <f t="shared" si="28"/>
        <v>0</v>
      </c>
      <c r="CE385" s="75">
        <f t="shared" si="29"/>
        <v>3047</v>
      </c>
      <c r="CF385" s="69" t="str">
        <f t="shared" si="29"/>
        <v>خ ت طب</v>
      </c>
    </row>
    <row r="386" spans="2:84" ht="18.75" x14ac:dyDescent="0.25">
      <c r="B386" s="82">
        <v>4754</v>
      </c>
      <c r="C386" s="70">
        <v>3048</v>
      </c>
      <c r="D386" s="71" t="s">
        <v>119</v>
      </c>
      <c r="E386" s="107" t="s">
        <v>3701</v>
      </c>
      <c r="G386" s="69">
        <v>769.36</v>
      </c>
      <c r="T386" s="69"/>
      <c r="U386" s="69"/>
      <c r="AR386" s="94">
        <f t="shared" si="27"/>
        <v>769.36</v>
      </c>
      <c r="AS386" s="69">
        <v>567.16</v>
      </c>
      <c r="AT386" s="69">
        <f>69+3.24</f>
        <v>72.239999999999995</v>
      </c>
      <c r="AU386" s="69">
        <v>129.96</v>
      </c>
      <c r="BC386" s="69"/>
      <c r="BD386" s="69"/>
      <c r="CC386" s="94">
        <f t="shared" si="16"/>
        <v>769.36</v>
      </c>
      <c r="CD386" s="73">
        <f t="shared" si="28"/>
        <v>0</v>
      </c>
      <c r="CE386" s="75">
        <f t="shared" si="29"/>
        <v>3048</v>
      </c>
      <c r="CF386" s="69" t="str">
        <f t="shared" si="29"/>
        <v>خ ت صيدلة</v>
      </c>
    </row>
    <row r="387" spans="2:84" ht="18.75" x14ac:dyDescent="0.25">
      <c r="B387" s="82">
        <v>4755</v>
      </c>
      <c r="C387" s="70">
        <v>3049</v>
      </c>
      <c r="D387" s="71" t="s">
        <v>119</v>
      </c>
      <c r="E387" s="107" t="s">
        <v>3701</v>
      </c>
      <c r="G387" s="69">
        <v>1308.72</v>
      </c>
      <c r="T387" s="69"/>
      <c r="U387" s="69"/>
      <c r="AR387" s="94">
        <f t="shared" si="27"/>
        <v>1308.72</v>
      </c>
      <c r="AS387" s="69">
        <v>837.17</v>
      </c>
      <c r="AT387" s="69">
        <v>154.13</v>
      </c>
      <c r="AU387" s="69">
        <v>259.92</v>
      </c>
      <c r="AV387" s="69">
        <v>57.5</v>
      </c>
      <c r="BC387" s="69"/>
      <c r="BD387" s="69"/>
      <c r="CC387" s="94">
        <f t="shared" si="16"/>
        <v>1308.72</v>
      </c>
      <c r="CD387" s="73">
        <f t="shared" si="28"/>
        <v>0</v>
      </c>
      <c r="CE387" s="75">
        <f t="shared" si="29"/>
        <v>3049</v>
      </c>
      <c r="CF387" s="69" t="str">
        <f t="shared" si="29"/>
        <v>خ ت صيدلة</v>
      </c>
    </row>
    <row r="388" spans="2:84" ht="18.75" x14ac:dyDescent="0.25">
      <c r="B388" s="82">
        <v>4756</v>
      </c>
      <c r="C388" s="70">
        <v>3050</v>
      </c>
      <c r="D388" s="71" t="s">
        <v>119</v>
      </c>
      <c r="E388" s="107" t="s">
        <v>3701</v>
      </c>
      <c r="G388" s="69">
        <v>269.68</v>
      </c>
      <c r="T388" s="69"/>
      <c r="U388" s="69"/>
      <c r="AR388" s="94">
        <f t="shared" si="27"/>
        <v>269.68</v>
      </c>
      <c r="AS388" s="69">
        <v>173.02</v>
      </c>
      <c r="AT388" s="69">
        <v>20.18</v>
      </c>
      <c r="AU388" s="69">
        <v>64.98</v>
      </c>
      <c r="AV388" s="69">
        <v>11.5</v>
      </c>
      <c r="BC388" s="69"/>
      <c r="BD388" s="69"/>
      <c r="CC388" s="94">
        <f t="shared" si="16"/>
        <v>269.68</v>
      </c>
      <c r="CD388" s="73">
        <f t="shared" si="28"/>
        <v>0</v>
      </c>
      <c r="CE388" s="75">
        <f t="shared" si="29"/>
        <v>3050</v>
      </c>
      <c r="CF388" s="69" t="str">
        <f t="shared" si="29"/>
        <v>خ ت صيدلة</v>
      </c>
    </row>
    <row r="389" spans="2:84" ht="18.75" x14ac:dyDescent="0.25">
      <c r="B389" s="82">
        <v>4796</v>
      </c>
      <c r="C389" s="70">
        <v>3051</v>
      </c>
      <c r="D389" s="71" t="s">
        <v>119</v>
      </c>
      <c r="E389" s="107" t="s">
        <v>3702</v>
      </c>
      <c r="G389" s="69">
        <v>412.43</v>
      </c>
      <c r="T389" s="69"/>
      <c r="U389" s="69"/>
      <c r="AR389" s="94">
        <f t="shared" si="27"/>
        <v>412.43</v>
      </c>
      <c r="AS389" s="69">
        <v>361.26</v>
      </c>
      <c r="AT389" s="69">
        <f>13+1.44</f>
        <v>14.44</v>
      </c>
      <c r="AU389" s="69">
        <v>36.729999999999997</v>
      </c>
      <c r="BC389" s="69"/>
      <c r="BD389" s="69"/>
      <c r="CC389" s="94">
        <f t="shared" si="16"/>
        <v>412.43</v>
      </c>
      <c r="CD389" s="73">
        <f t="shared" si="28"/>
        <v>0</v>
      </c>
      <c r="CE389" s="75">
        <f t="shared" si="29"/>
        <v>3051</v>
      </c>
      <c r="CF389" s="69" t="str">
        <f t="shared" si="29"/>
        <v>خ ت صيدلة</v>
      </c>
    </row>
    <row r="390" spans="2:84" ht="18.75" x14ac:dyDescent="0.25">
      <c r="B390" s="82">
        <v>4797</v>
      </c>
      <c r="C390" s="70">
        <v>3052</v>
      </c>
      <c r="D390" s="71" t="s">
        <v>119</v>
      </c>
      <c r="E390" s="107" t="s">
        <v>3702</v>
      </c>
      <c r="G390" s="69">
        <v>785.56</v>
      </c>
      <c r="T390" s="69"/>
      <c r="U390" s="69"/>
      <c r="AR390" s="94">
        <f t="shared" si="27"/>
        <v>785.56</v>
      </c>
      <c r="AS390" s="69">
        <v>497.47</v>
      </c>
      <c r="AT390" s="69">
        <v>65.33</v>
      </c>
      <c r="AU390" s="69">
        <v>189.26</v>
      </c>
      <c r="AV390" s="69">
        <v>33.5</v>
      </c>
      <c r="BC390" s="69"/>
      <c r="BD390" s="69"/>
      <c r="CC390" s="94">
        <f t="shared" si="16"/>
        <v>785.56000000000006</v>
      </c>
      <c r="CD390" s="73">
        <f t="shared" si="28"/>
        <v>0</v>
      </c>
      <c r="CE390" s="75">
        <f t="shared" si="29"/>
        <v>3052</v>
      </c>
      <c r="CF390" s="69" t="str">
        <f t="shared" si="29"/>
        <v>خ ت صيدلة</v>
      </c>
    </row>
    <row r="391" spans="2:84" ht="18.75" x14ac:dyDescent="0.25">
      <c r="B391" s="82">
        <v>4798</v>
      </c>
      <c r="C391" s="70">
        <v>3053</v>
      </c>
      <c r="D391" s="71" t="s">
        <v>119</v>
      </c>
      <c r="E391" s="107" t="s">
        <v>3702</v>
      </c>
      <c r="G391" s="69">
        <v>304.83999999999997</v>
      </c>
      <c r="T391" s="69"/>
      <c r="U391" s="69"/>
      <c r="AR391" s="94">
        <f t="shared" si="27"/>
        <v>304.83999999999997</v>
      </c>
      <c r="AS391" s="69">
        <v>195.84</v>
      </c>
      <c r="AT391" s="69">
        <v>22.56</v>
      </c>
      <c r="AU391" s="69">
        <v>73.44</v>
      </c>
      <c r="AV391" s="69">
        <v>13</v>
      </c>
      <c r="BC391" s="69"/>
      <c r="BD391" s="69"/>
      <c r="CC391" s="94">
        <f t="shared" si="16"/>
        <v>304.84000000000003</v>
      </c>
      <c r="CD391" s="73">
        <f t="shared" si="28"/>
        <v>0</v>
      </c>
      <c r="CE391" s="75">
        <f t="shared" si="29"/>
        <v>3053</v>
      </c>
      <c r="CF391" s="69" t="str">
        <f t="shared" si="29"/>
        <v>خ ت صيدلة</v>
      </c>
    </row>
    <row r="392" spans="2:84" ht="18.75" x14ac:dyDescent="0.25">
      <c r="B392" s="82">
        <v>4801</v>
      </c>
      <c r="C392" s="70">
        <v>3054</v>
      </c>
      <c r="D392" s="71" t="s">
        <v>119</v>
      </c>
      <c r="E392" s="107" t="s">
        <v>3703</v>
      </c>
      <c r="G392" s="69">
        <v>46.9</v>
      </c>
      <c r="T392" s="69"/>
      <c r="U392" s="69"/>
      <c r="AR392" s="94">
        <f t="shared" si="27"/>
        <v>46.9</v>
      </c>
      <c r="AS392" s="69">
        <v>28.56</v>
      </c>
      <c r="AT392" s="69">
        <v>5.04</v>
      </c>
      <c r="AU392" s="69">
        <v>11.3</v>
      </c>
      <c r="AV392" s="69">
        <v>2</v>
      </c>
      <c r="BC392" s="69"/>
      <c r="BD392" s="69"/>
      <c r="CC392" s="94">
        <f t="shared" si="16"/>
        <v>46.900000000000006</v>
      </c>
      <c r="CD392" s="73">
        <f t="shared" si="28"/>
        <v>0</v>
      </c>
      <c r="CE392" s="75">
        <f t="shared" si="29"/>
        <v>3054</v>
      </c>
      <c r="CF392" s="69" t="str">
        <f t="shared" si="29"/>
        <v>خ ت صيدلة</v>
      </c>
    </row>
    <row r="393" spans="2:84" ht="18.75" x14ac:dyDescent="0.25">
      <c r="B393" s="82">
        <v>4802</v>
      </c>
      <c r="C393" s="70">
        <v>3055</v>
      </c>
      <c r="D393" s="71" t="s">
        <v>119</v>
      </c>
      <c r="E393" s="107" t="s">
        <v>3703</v>
      </c>
      <c r="G393" s="69">
        <v>46.9</v>
      </c>
      <c r="T393" s="69"/>
      <c r="U393" s="69"/>
      <c r="AR393" s="94">
        <f t="shared" si="27"/>
        <v>46.9</v>
      </c>
      <c r="AS393" s="69">
        <v>30.24</v>
      </c>
      <c r="AT393" s="69">
        <v>3.36</v>
      </c>
      <c r="AU393" s="69">
        <v>11.3</v>
      </c>
      <c r="AV393" s="69">
        <v>2</v>
      </c>
      <c r="BC393" s="69"/>
      <c r="BD393" s="69"/>
      <c r="CC393" s="94">
        <f t="shared" si="16"/>
        <v>46.900000000000006</v>
      </c>
      <c r="CD393" s="73">
        <f t="shared" si="28"/>
        <v>0</v>
      </c>
      <c r="CE393" s="75">
        <f t="shared" si="29"/>
        <v>3055</v>
      </c>
      <c r="CF393" s="69" t="str">
        <f t="shared" si="29"/>
        <v>خ ت صيدلة</v>
      </c>
    </row>
    <row r="394" spans="2:84" ht="18.75" x14ac:dyDescent="0.25">
      <c r="B394" s="82">
        <v>4803</v>
      </c>
      <c r="C394" s="70">
        <v>3056</v>
      </c>
      <c r="D394" s="71" t="s">
        <v>119</v>
      </c>
      <c r="E394" s="107" t="s">
        <v>3703</v>
      </c>
      <c r="G394" s="69">
        <v>5478.08</v>
      </c>
      <c r="T394" s="69"/>
      <c r="U394" s="69"/>
      <c r="AR394" s="94">
        <f t="shared" si="27"/>
        <v>5478.08</v>
      </c>
      <c r="AS394" s="69">
        <v>3450.4</v>
      </c>
      <c r="AT394" s="69">
        <v>577.46</v>
      </c>
      <c r="AU394" s="69">
        <v>1213.3599999999999</v>
      </c>
      <c r="AV394" s="69">
        <v>236.86</v>
      </c>
      <c r="BC394" s="69"/>
      <c r="BD394" s="69"/>
      <c r="CC394" s="94">
        <f t="shared" si="16"/>
        <v>5478.08</v>
      </c>
      <c r="CD394" s="73">
        <f t="shared" si="28"/>
        <v>0</v>
      </c>
      <c r="CE394" s="75">
        <f t="shared" si="29"/>
        <v>3056</v>
      </c>
      <c r="CF394" s="69" t="str">
        <f t="shared" si="29"/>
        <v>خ ت صيدلة</v>
      </c>
    </row>
    <row r="395" spans="2:84" ht="18.75" x14ac:dyDescent="0.25">
      <c r="B395" s="82">
        <v>4804</v>
      </c>
      <c r="C395" s="70">
        <v>3057</v>
      </c>
      <c r="D395" s="71" t="s">
        <v>119</v>
      </c>
      <c r="E395" s="107" t="s">
        <v>3703</v>
      </c>
      <c r="G395" s="69">
        <v>811.61</v>
      </c>
      <c r="T395" s="69"/>
      <c r="U395" s="69"/>
      <c r="AR395" s="94">
        <f t="shared" si="27"/>
        <v>811.61</v>
      </c>
      <c r="AS395" s="69">
        <v>547.09</v>
      </c>
      <c r="AT395" s="69">
        <v>102.31</v>
      </c>
      <c r="AU395" s="69">
        <v>125.46</v>
      </c>
      <c r="AV395" s="69">
        <v>36.75</v>
      </c>
      <c r="BC395" s="69"/>
      <c r="BD395" s="69"/>
      <c r="CC395" s="94">
        <f t="shared" si="16"/>
        <v>811.61000000000013</v>
      </c>
      <c r="CD395" s="73">
        <f t="shared" si="28"/>
        <v>0</v>
      </c>
      <c r="CE395" s="75">
        <f t="shared" si="29"/>
        <v>3057</v>
      </c>
      <c r="CF395" s="69" t="str">
        <f t="shared" si="29"/>
        <v>خ ت صيدلة</v>
      </c>
    </row>
    <row r="396" spans="2:84" ht="18.75" x14ac:dyDescent="0.25">
      <c r="B396" s="82">
        <v>4806</v>
      </c>
      <c r="C396" s="70">
        <v>3058</v>
      </c>
      <c r="D396" s="71" t="s">
        <v>119</v>
      </c>
      <c r="E396" s="107" t="s">
        <v>3703</v>
      </c>
      <c r="G396" s="69">
        <v>46.9</v>
      </c>
      <c r="T396" s="69"/>
      <c r="U396" s="69"/>
      <c r="AR396" s="94">
        <f t="shared" si="27"/>
        <v>46.9</v>
      </c>
      <c r="AS396" s="69">
        <v>30.24</v>
      </c>
      <c r="AT396" s="69">
        <v>3.36</v>
      </c>
      <c r="AU396" s="69">
        <v>11.3</v>
      </c>
      <c r="AV396" s="69">
        <v>2</v>
      </c>
      <c r="BC396" s="69"/>
      <c r="BD396" s="69"/>
      <c r="CC396" s="94">
        <f t="shared" si="16"/>
        <v>46.900000000000006</v>
      </c>
      <c r="CD396" s="73">
        <f t="shared" si="28"/>
        <v>0</v>
      </c>
      <c r="CE396" s="75">
        <f t="shared" si="29"/>
        <v>3058</v>
      </c>
      <c r="CF396" s="69" t="str">
        <f t="shared" si="29"/>
        <v>خ ت صيدلة</v>
      </c>
    </row>
    <row r="397" spans="2:84" ht="18.75" x14ac:dyDescent="0.25">
      <c r="B397" s="82">
        <v>4807</v>
      </c>
      <c r="C397" s="70">
        <v>3059</v>
      </c>
      <c r="D397" s="71" t="s">
        <v>119</v>
      </c>
      <c r="E397" s="107" t="s">
        <v>3704</v>
      </c>
      <c r="G397" s="69">
        <v>387.77</v>
      </c>
      <c r="T397" s="69"/>
      <c r="U397" s="69"/>
      <c r="AR397" s="94">
        <f t="shared" si="27"/>
        <v>387.77</v>
      </c>
      <c r="AS397" s="69">
        <v>224.91</v>
      </c>
      <c r="AT397" s="69">
        <v>52.92</v>
      </c>
      <c r="AU397" s="69">
        <v>93.41</v>
      </c>
      <c r="AV397" s="69">
        <v>16.53</v>
      </c>
      <c r="BC397" s="69"/>
      <c r="BD397" s="69"/>
      <c r="CC397" s="94">
        <f t="shared" si="16"/>
        <v>387.77</v>
      </c>
      <c r="CD397" s="73">
        <f t="shared" si="28"/>
        <v>0</v>
      </c>
      <c r="CE397" s="75">
        <f t="shared" si="29"/>
        <v>3059</v>
      </c>
      <c r="CF397" s="69" t="str">
        <f t="shared" si="29"/>
        <v>خ ت صيدلة</v>
      </c>
    </row>
    <row r="398" spans="2:84" ht="18.75" x14ac:dyDescent="0.25">
      <c r="B398" s="82">
        <v>4808</v>
      </c>
      <c r="C398" s="70">
        <v>3060</v>
      </c>
      <c r="D398" s="71" t="s">
        <v>119</v>
      </c>
      <c r="E398" s="107" t="s">
        <v>3705</v>
      </c>
      <c r="G398" s="69">
        <v>400</v>
      </c>
      <c r="T398" s="69"/>
      <c r="U398" s="69"/>
      <c r="AR398" s="94">
        <f t="shared" si="27"/>
        <v>400</v>
      </c>
      <c r="AS398" s="69">
        <v>302.16000000000003</v>
      </c>
      <c r="AT398" s="69">
        <v>77.84</v>
      </c>
      <c r="AV398" s="69">
        <v>20</v>
      </c>
      <c r="BC398" s="69"/>
      <c r="BD398" s="69"/>
      <c r="CC398" s="94">
        <f t="shared" si="16"/>
        <v>400</v>
      </c>
      <c r="CD398" s="73">
        <f t="shared" si="28"/>
        <v>0</v>
      </c>
      <c r="CE398" s="75">
        <f t="shared" si="29"/>
        <v>3060</v>
      </c>
      <c r="CF398" s="69" t="str">
        <f t="shared" si="29"/>
        <v>خ ت صيدلة</v>
      </c>
    </row>
    <row r="399" spans="2:84" ht="18.75" x14ac:dyDescent="0.25">
      <c r="B399" s="82">
        <v>4809</v>
      </c>
      <c r="C399" s="70">
        <v>3061</v>
      </c>
      <c r="D399" s="71" t="s">
        <v>119</v>
      </c>
      <c r="E399" s="107" t="s">
        <v>3706</v>
      </c>
      <c r="G399" s="69">
        <v>351.75</v>
      </c>
      <c r="T399" s="69"/>
      <c r="U399" s="69"/>
      <c r="AR399" s="94">
        <f t="shared" si="27"/>
        <v>351.75</v>
      </c>
      <c r="AS399" s="69">
        <v>200.44</v>
      </c>
      <c r="AT399" s="69">
        <v>51.56</v>
      </c>
      <c r="AU399" s="69">
        <v>84.75</v>
      </c>
      <c r="AV399" s="69">
        <v>15</v>
      </c>
      <c r="BC399" s="69"/>
      <c r="BD399" s="69"/>
      <c r="CC399" s="94">
        <f t="shared" si="16"/>
        <v>351.75</v>
      </c>
      <c r="CD399" s="73">
        <f t="shared" si="28"/>
        <v>0</v>
      </c>
      <c r="CE399" s="75">
        <f t="shared" si="29"/>
        <v>3061</v>
      </c>
      <c r="CF399" s="69" t="str">
        <f t="shared" si="29"/>
        <v>خ ت صيدلة</v>
      </c>
    </row>
    <row r="400" spans="2:84" ht="18.75" x14ac:dyDescent="0.25">
      <c r="B400" s="82">
        <v>4814</v>
      </c>
      <c r="C400" s="70">
        <v>3062</v>
      </c>
      <c r="D400" s="71" t="s">
        <v>119</v>
      </c>
      <c r="E400" s="107" t="str">
        <f>+E395</f>
        <v>مكافاه خ ت يوليو</v>
      </c>
      <c r="G400" s="69">
        <v>140.69999999999999</v>
      </c>
      <c r="T400" s="69"/>
      <c r="U400" s="69"/>
      <c r="AR400" s="94">
        <f t="shared" si="27"/>
        <v>140.69999999999999</v>
      </c>
      <c r="AS400" s="69">
        <v>98.28</v>
      </c>
      <c r="AT400" s="69">
        <v>2.52</v>
      </c>
      <c r="AU400" s="69">
        <v>33.9</v>
      </c>
      <c r="AV400" s="69">
        <v>6</v>
      </c>
      <c r="BC400" s="69"/>
      <c r="BD400" s="69"/>
      <c r="CC400" s="94">
        <f t="shared" si="16"/>
        <v>140.69999999999999</v>
      </c>
      <c r="CD400" s="73">
        <f t="shared" si="28"/>
        <v>0</v>
      </c>
      <c r="CE400" s="75">
        <f t="shared" si="29"/>
        <v>3062</v>
      </c>
      <c r="CF400" s="69" t="str">
        <f t="shared" si="29"/>
        <v>خ ت صيدلة</v>
      </c>
    </row>
    <row r="401" spans="1:84" ht="18.75" x14ac:dyDescent="0.25">
      <c r="B401" s="82">
        <v>4815</v>
      </c>
      <c r="C401" s="70">
        <v>3063</v>
      </c>
      <c r="D401" s="71" t="s">
        <v>119</v>
      </c>
      <c r="E401" s="107" t="str">
        <f>+E396</f>
        <v>مكافاه خ ت يوليو</v>
      </c>
      <c r="G401" s="69">
        <v>736.4</v>
      </c>
      <c r="T401" s="69"/>
      <c r="U401" s="69"/>
      <c r="AR401" s="94">
        <f t="shared" si="27"/>
        <v>736.4</v>
      </c>
      <c r="AS401" s="69">
        <v>499.59</v>
      </c>
      <c r="AT401" s="69">
        <v>24.71</v>
      </c>
      <c r="AU401" s="69">
        <v>180.8</v>
      </c>
      <c r="AV401" s="69">
        <v>31.3</v>
      </c>
      <c r="BC401" s="69"/>
      <c r="BD401" s="69"/>
      <c r="CC401" s="94">
        <f t="shared" si="16"/>
        <v>736.39999999999986</v>
      </c>
      <c r="CD401" s="73">
        <f t="shared" si="28"/>
        <v>0</v>
      </c>
      <c r="CE401" s="75">
        <f t="shared" si="29"/>
        <v>3063</v>
      </c>
      <c r="CF401" s="69" t="str">
        <f t="shared" si="29"/>
        <v>خ ت صيدلة</v>
      </c>
    </row>
    <row r="402" spans="1:84" s="68" customFormat="1" ht="18.75" x14ac:dyDescent="0.25">
      <c r="B402" s="83"/>
      <c r="C402" s="84"/>
      <c r="D402" s="85"/>
      <c r="E402" s="108" t="s">
        <v>3707</v>
      </c>
      <c r="G402" s="68">
        <f t="shared" ref="G402:AV402" si="30">SUM(G348:G401)</f>
        <v>33991.430000000015</v>
      </c>
      <c r="H402" s="68">
        <f t="shared" si="30"/>
        <v>0</v>
      </c>
      <c r="I402" s="68">
        <f t="shared" si="30"/>
        <v>0</v>
      </c>
      <c r="J402" s="68">
        <f t="shared" si="30"/>
        <v>0</v>
      </c>
      <c r="K402" s="68">
        <f t="shared" si="30"/>
        <v>0</v>
      </c>
      <c r="L402" s="68">
        <f t="shared" si="30"/>
        <v>0</v>
      </c>
      <c r="M402" s="68">
        <f t="shared" si="30"/>
        <v>0</v>
      </c>
      <c r="N402" s="68">
        <f t="shared" si="30"/>
        <v>0</v>
      </c>
      <c r="O402" s="68">
        <f t="shared" si="30"/>
        <v>0</v>
      </c>
      <c r="P402" s="68">
        <f t="shared" si="30"/>
        <v>0</v>
      </c>
      <c r="Q402" s="68">
        <f t="shared" si="30"/>
        <v>0</v>
      </c>
      <c r="R402" s="68">
        <f t="shared" si="30"/>
        <v>0</v>
      </c>
      <c r="S402" s="68">
        <f t="shared" si="30"/>
        <v>0</v>
      </c>
      <c r="T402" s="68">
        <f t="shared" si="30"/>
        <v>0</v>
      </c>
      <c r="U402" s="68">
        <f t="shared" si="30"/>
        <v>0</v>
      </c>
      <c r="V402" s="68">
        <f t="shared" si="30"/>
        <v>0</v>
      </c>
      <c r="W402" s="68">
        <f t="shared" si="30"/>
        <v>0</v>
      </c>
      <c r="X402" s="68">
        <f t="shared" si="30"/>
        <v>0</v>
      </c>
      <c r="Y402" s="68">
        <f t="shared" si="30"/>
        <v>0</v>
      </c>
      <c r="Z402" s="68">
        <f t="shared" si="30"/>
        <v>0</v>
      </c>
      <c r="AA402" s="68">
        <f t="shared" si="30"/>
        <v>0</v>
      </c>
      <c r="AB402" s="68">
        <f t="shared" si="30"/>
        <v>0</v>
      </c>
      <c r="AC402" s="68">
        <f t="shared" si="30"/>
        <v>0</v>
      </c>
      <c r="AD402" s="68">
        <f t="shared" si="30"/>
        <v>0</v>
      </c>
      <c r="AE402" s="68">
        <f t="shared" si="30"/>
        <v>0</v>
      </c>
      <c r="AF402" s="68">
        <f t="shared" si="30"/>
        <v>0</v>
      </c>
      <c r="AG402" s="68">
        <f t="shared" si="30"/>
        <v>0</v>
      </c>
      <c r="AH402" s="68">
        <f t="shared" si="30"/>
        <v>0</v>
      </c>
      <c r="AI402" s="68">
        <f t="shared" si="30"/>
        <v>0</v>
      </c>
      <c r="AJ402" s="68">
        <f t="shared" si="30"/>
        <v>0</v>
      </c>
      <c r="AK402" s="68">
        <f t="shared" si="30"/>
        <v>0</v>
      </c>
      <c r="AL402" s="68">
        <f t="shared" si="30"/>
        <v>0</v>
      </c>
      <c r="AM402" s="68">
        <f t="shared" si="30"/>
        <v>0</v>
      </c>
      <c r="AO402" s="68">
        <f t="shared" si="30"/>
        <v>0</v>
      </c>
      <c r="AP402" s="68">
        <f t="shared" si="30"/>
        <v>0</v>
      </c>
      <c r="AQ402" s="68">
        <f t="shared" si="30"/>
        <v>0</v>
      </c>
      <c r="AR402" s="91">
        <f t="shared" si="30"/>
        <v>33991.430000000015</v>
      </c>
      <c r="AS402" s="68">
        <f t="shared" si="30"/>
        <v>24024.67</v>
      </c>
      <c r="AT402" s="68">
        <f t="shared" si="30"/>
        <v>3223.9199999999992</v>
      </c>
      <c r="AU402" s="68">
        <f t="shared" si="30"/>
        <v>5257.7900000000009</v>
      </c>
      <c r="AV402" s="68">
        <f t="shared" si="30"/>
        <v>1485.0499999999997</v>
      </c>
      <c r="CC402" s="94">
        <f t="shared" si="16"/>
        <v>33991.43</v>
      </c>
      <c r="CD402" s="106">
        <f t="shared" si="28"/>
        <v>0</v>
      </c>
      <c r="CE402" s="67">
        <f t="shared" si="29"/>
        <v>0</v>
      </c>
      <c r="CF402" s="68">
        <f t="shared" si="29"/>
        <v>0</v>
      </c>
    </row>
    <row r="403" spans="1:84" ht="18.75" x14ac:dyDescent="0.25">
      <c r="B403" s="82">
        <v>5647</v>
      </c>
      <c r="C403" s="78">
        <v>3064</v>
      </c>
      <c r="D403" s="71" t="s">
        <v>121</v>
      </c>
      <c r="E403" s="107" t="s">
        <v>3708</v>
      </c>
      <c r="F403" s="69"/>
      <c r="H403" s="69">
        <v>49590.49</v>
      </c>
      <c r="T403" s="69"/>
      <c r="U403" s="69"/>
      <c r="AA403" s="69">
        <v>49590.49</v>
      </c>
      <c r="AR403" s="91">
        <f>SUM(G403:AQ403)</f>
        <v>99180.98</v>
      </c>
      <c r="AS403" s="69">
        <v>49590.49</v>
      </c>
      <c r="AT403" s="69"/>
      <c r="BC403" s="69"/>
      <c r="BD403" s="69"/>
      <c r="BQ403" s="69">
        <v>49590.49</v>
      </c>
      <c r="CC403" s="94">
        <f>SUM(AS403:CB403)</f>
        <v>99180.98</v>
      </c>
      <c r="CD403" s="73">
        <f>+CC403-AR403</f>
        <v>0</v>
      </c>
      <c r="CE403" s="75">
        <f t="shared" si="29"/>
        <v>3064</v>
      </c>
      <c r="CF403" s="69" t="str">
        <f t="shared" si="29"/>
        <v>ماليزى اسنان</v>
      </c>
    </row>
    <row r="404" spans="1:84" ht="18.75" x14ac:dyDescent="0.25">
      <c r="A404" s="69" t="s">
        <v>374</v>
      </c>
      <c r="B404" s="82">
        <v>3919</v>
      </c>
      <c r="C404" s="78">
        <v>3065</v>
      </c>
      <c r="D404" s="71" t="s">
        <v>78</v>
      </c>
      <c r="E404" s="107" t="s">
        <v>3709</v>
      </c>
      <c r="F404" s="69"/>
      <c r="H404" s="69">
        <v>13850</v>
      </c>
      <c r="T404" s="69"/>
      <c r="U404" s="69"/>
      <c r="AR404" s="91">
        <f t="shared" ref="AR404:AR467" si="31">SUM(G404:AQ404)</f>
        <v>13850</v>
      </c>
      <c r="AS404" s="69">
        <v>12965.4</v>
      </c>
      <c r="AT404" s="69">
        <f>183.1+549.3+2.7</f>
        <v>735.1</v>
      </c>
      <c r="AV404" s="69">
        <v>5</v>
      </c>
      <c r="BC404" s="69"/>
      <c r="BD404" s="69"/>
      <c r="BF404" s="69">
        <v>138.5</v>
      </c>
      <c r="BG404" s="69">
        <v>6</v>
      </c>
      <c r="CC404" s="94">
        <f t="shared" ref="CC404:CC467" si="32">SUM(AS404:CB404)</f>
        <v>13850</v>
      </c>
      <c r="CD404" s="73">
        <f t="shared" ref="CD404:CD467" si="33">+CC404-AR404</f>
        <v>0</v>
      </c>
      <c r="CE404" s="75">
        <f t="shared" ref="CE404:CF467" si="34">+C404</f>
        <v>3065</v>
      </c>
      <c r="CF404" s="69" t="str">
        <f t="shared" si="34"/>
        <v>برنامج دولى</v>
      </c>
    </row>
    <row r="405" spans="1:84" ht="18.75" x14ac:dyDescent="0.25">
      <c r="B405" s="82">
        <v>5887</v>
      </c>
      <c r="C405" s="78">
        <v>3066</v>
      </c>
      <c r="D405" s="71" t="s">
        <v>78</v>
      </c>
      <c r="E405" s="107" t="s">
        <v>3710</v>
      </c>
      <c r="F405" s="69"/>
      <c r="K405" s="69">
        <v>294000.02</v>
      </c>
      <c r="L405" s="69">
        <v>294000.02</v>
      </c>
      <c r="M405" s="69">
        <v>294000.02</v>
      </c>
      <c r="T405" s="69"/>
      <c r="U405" s="69"/>
      <c r="AR405" s="91">
        <f t="shared" si="31"/>
        <v>882000.06</v>
      </c>
      <c r="AS405" s="69">
        <v>279300.02</v>
      </c>
      <c r="AT405" s="69"/>
      <c r="BC405" s="69"/>
      <c r="BD405" s="69"/>
      <c r="BI405" s="69">
        <v>14700</v>
      </c>
      <c r="BK405" s="69">
        <v>294000.02</v>
      </c>
      <c r="BL405" s="69">
        <v>294000.02</v>
      </c>
      <c r="CC405" s="94">
        <f t="shared" si="32"/>
        <v>882000.06</v>
      </c>
      <c r="CD405" s="73">
        <f t="shared" si="33"/>
        <v>0</v>
      </c>
      <c r="CE405" s="75">
        <f t="shared" si="34"/>
        <v>3066</v>
      </c>
      <c r="CF405" s="69" t="str">
        <f t="shared" si="34"/>
        <v>برنامج دولى</v>
      </c>
    </row>
    <row r="406" spans="1:84" ht="18.75" x14ac:dyDescent="0.25">
      <c r="B406" s="82">
        <v>5888</v>
      </c>
      <c r="C406" s="78">
        <v>3067</v>
      </c>
      <c r="D406" s="71" t="s">
        <v>78</v>
      </c>
      <c r="E406" s="107" t="s">
        <v>3710</v>
      </c>
      <c r="F406" s="69"/>
      <c r="K406" s="69">
        <v>1666000.14</v>
      </c>
      <c r="L406" s="69">
        <v>1666000.14</v>
      </c>
      <c r="M406" s="69">
        <v>1666000.14</v>
      </c>
      <c r="T406" s="69"/>
      <c r="U406" s="69"/>
      <c r="AR406" s="91">
        <f t="shared" si="31"/>
        <v>4998000.42</v>
      </c>
      <c r="AS406" s="69">
        <v>1582700.14</v>
      </c>
      <c r="AT406" s="69"/>
      <c r="BC406" s="69"/>
      <c r="BD406" s="69"/>
      <c r="BI406" s="69">
        <v>83300</v>
      </c>
      <c r="BK406" s="69">
        <v>1666000.14</v>
      </c>
      <c r="BL406" s="69">
        <v>1666000.14</v>
      </c>
      <c r="CC406" s="94">
        <f t="shared" si="32"/>
        <v>4998000.42</v>
      </c>
      <c r="CD406" s="73">
        <f t="shared" si="33"/>
        <v>0</v>
      </c>
      <c r="CE406" s="75">
        <f t="shared" si="34"/>
        <v>3067</v>
      </c>
      <c r="CF406" s="69" t="str">
        <f t="shared" si="34"/>
        <v>برنامج دولى</v>
      </c>
    </row>
    <row r="407" spans="1:84" ht="18.75" x14ac:dyDescent="0.25">
      <c r="B407" s="82">
        <v>2577</v>
      </c>
      <c r="C407" s="78">
        <v>3068</v>
      </c>
      <c r="D407" s="71" t="s">
        <v>125</v>
      </c>
      <c r="E407" s="107" t="s">
        <v>3711</v>
      </c>
      <c r="F407" s="69"/>
      <c r="G407" s="69">
        <v>3066.38</v>
      </c>
      <c r="T407" s="69"/>
      <c r="U407" s="69"/>
      <c r="AR407" s="91">
        <f t="shared" si="31"/>
        <v>3066.38</v>
      </c>
      <c r="AS407" s="69">
        <v>1920.39</v>
      </c>
      <c r="AT407" s="69">
        <v>276.43</v>
      </c>
      <c r="AU407" s="69">
        <v>738.8</v>
      </c>
      <c r="AV407" s="69">
        <v>130.76</v>
      </c>
      <c r="BC407" s="69"/>
      <c r="BD407" s="69"/>
      <c r="CC407" s="94">
        <f t="shared" si="32"/>
        <v>3066.38</v>
      </c>
      <c r="CD407" s="73">
        <f t="shared" si="33"/>
        <v>0</v>
      </c>
      <c r="CE407" s="75">
        <f t="shared" si="34"/>
        <v>3068</v>
      </c>
      <c r="CF407" s="69" t="str">
        <f t="shared" si="34"/>
        <v>اختبار مواد</v>
      </c>
    </row>
    <row r="408" spans="1:84" ht="18.75" x14ac:dyDescent="0.25">
      <c r="B408" s="82">
        <v>5432</v>
      </c>
      <c r="C408" s="78">
        <v>3069</v>
      </c>
      <c r="D408" s="71" t="s">
        <v>249</v>
      </c>
      <c r="E408" s="107" t="s">
        <v>3712</v>
      </c>
      <c r="F408" s="69"/>
      <c r="G408" s="69">
        <v>1231.1400000000001</v>
      </c>
      <c r="T408" s="69"/>
      <c r="U408" s="69"/>
      <c r="AR408" s="91">
        <f t="shared" si="31"/>
        <v>1231.1400000000001</v>
      </c>
      <c r="AS408" s="69">
        <v>771.9</v>
      </c>
      <c r="AT408" s="69">
        <v>110.1</v>
      </c>
      <c r="AU408" s="69">
        <v>296.64</v>
      </c>
      <c r="AV408" s="69">
        <v>52.5</v>
      </c>
      <c r="BC408" s="69"/>
      <c r="BD408" s="69"/>
      <c r="CC408" s="94">
        <f t="shared" si="32"/>
        <v>1231.1399999999999</v>
      </c>
      <c r="CD408" s="73">
        <f t="shared" si="33"/>
        <v>0</v>
      </c>
      <c r="CE408" s="75">
        <f t="shared" si="34"/>
        <v>3069</v>
      </c>
      <c r="CF408" s="69" t="str">
        <f t="shared" si="34"/>
        <v>خدمة عامة</v>
      </c>
    </row>
    <row r="409" spans="1:84" ht="18.75" x14ac:dyDescent="0.25">
      <c r="B409" s="82">
        <v>2579</v>
      </c>
      <c r="C409" s="78">
        <v>3070</v>
      </c>
      <c r="D409" s="71" t="s">
        <v>249</v>
      </c>
      <c r="E409" s="107" t="s">
        <v>3713</v>
      </c>
      <c r="F409" s="69"/>
      <c r="G409" s="69">
        <v>4338.25</v>
      </c>
      <c r="T409" s="69"/>
      <c r="U409" s="69"/>
      <c r="AR409" s="91">
        <f t="shared" si="31"/>
        <v>4338.25</v>
      </c>
      <c r="AS409" s="69">
        <v>2715.4</v>
      </c>
      <c r="AT409" s="69">
        <v>392.6</v>
      </c>
      <c r="AU409" s="69">
        <v>1045.25</v>
      </c>
      <c r="AV409" s="69">
        <v>185</v>
      </c>
      <c r="BC409" s="69"/>
      <c r="BD409" s="69"/>
      <c r="CC409" s="94">
        <f t="shared" si="32"/>
        <v>4338.25</v>
      </c>
      <c r="CD409" s="73">
        <f t="shared" si="33"/>
        <v>0</v>
      </c>
      <c r="CE409" s="75">
        <f t="shared" si="34"/>
        <v>3070</v>
      </c>
      <c r="CF409" s="69" t="str">
        <f t="shared" si="34"/>
        <v>خدمة عامة</v>
      </c>
    </row>
    <row r="410" spans="1:84" ht="18.75" x14ac:dyDescent="0.25">
      <c r="B410" s="82">
        <v>2578</v>
      </c>
      <c r="C410" s="78">
        <v>3071</v>
      </c>
      <c r="D410" s="71" t="s">
        <v>249</v>
      </c>
      <c r="E410" s="107" t="s">
        <v>3713</v>
      </c>
      <c r="F410" s="69"/>
      <c r="G410" s="69">
        <v>4045.12</v>
      </c>
      <c r="T410" s="69"/>
      <c r="U410" s="69"/>
      <c r="AR410" s="91">
        <f t="shared" si="31"/>
        <v>4045.12</v>
      </c>
      <c r="AS410" s="69">
        <v>2534.5</v>
      </c>
      <c r="AT410" s="69">
        <v>363.5</v>
      </c>
      <c r="AU410" s="69">
        <v>974.62</v>
      </c>
      <c r="AV410" s="69">
        <v>172.5</v>
      </c>
      <c r="BC410" s="69"/>
      <c r="BD410" s="69"/>
      <c r="CC410" s="94">
        <f t="shared" si="32"/>
        <v>4045.12</v>
      </c>
      <c r="CD410" s="73">
        <f t="shared" si="33"/>
        <v>0</v>
      </c>
      <c r="CE410" s="75">
        <f t="shared" si="34"/>
        <v>3071</v>
      </c>
      <c r="CF410" s="69" t="str">
        <f t="shared" si="34"/>
        <v>خدمة عامة</v>
      </c>
    </row>
    <row r="411" spans="1:84" ht="18.75" x14ac:dyDescent="0.25">
      <c r="B411" s="82">
        <v>5086</v>
      </c>
      <c r="C411" s="78">
        <v>3072</v>
      </c>
      <c r="D411" s="71" t="s">
        <v>249</v>
      </c>
      <c r="E411" s="107" t="s">
        <v>3714</v>
      </c>
      <c r="F411" s="69"/>
      <c r="G411" s="69">
        <v>4183</v>
      </c>
      <c r="T411" s="69"/>
      <c r="U411" s="69"/>
      <c r="AR411" s="91">
        <f t="shared" si="31"/>
        <v>4183</v>
      </c>
      <c r="AS411" s="69">
        <v>2813.75</v>
      </c>
      <c r="AT411" s="69">
        <v>393.25</v>
      </c>
      <c r="AU411" s="69">
        <v>791</v>
      </c>
      <c r="AV411" s="69">
        <v>185</v>
      </c>
      <c r="BC411" s="69"/>
      <c r="BD411" s="69"/>
      <c r="CC411" s="94">
        <f t="shared" si="32"/>
        <v>4183</v>
      </c>
      <c r="CD411" s="73">
        <f t="shared" si="33"/>
        <v>0</v>
      </c>
      <c r="CE411" s="75">
        <f t="shared" si="34"/>
        <v>3072</v>
      </c>
      <c r="CF411" s="69" t="str">
        <f t="shared" si="34"/>
        <v>خدمة عامة</v>
      </c>
    </row>
    <row r="412" spans="1:84" ht="18.75" x14ac:dyDescent="0.25">
      <c r="B412" s="82">
        <v>5085</v>
      </c>
      <c r="C412" s="78">
        <v>3073</v>
      </c>
      <c r="D412" s="71" t="s">
        <v>249</v>
      </c>
      <c r="E412" s="107" t="s">
        <v>3714</v>
      </c>
      <c r="F412" s="69"/>
      <c r="G412" s="69">
        <v>3519</v>
      </c>
      <c r="T412" s="69"/>
      <c r="U412" s="69"/>
      <c r="AR412" s="91">
        <f t="shared" si="31"/>
        <v>3519</v>
      </c>
      <c r="AS412" s="69">
        <v>2867.7</v>
      </c>
      <c r="AT412" s="69">
        <v>365.8</v>
      </c>
      <c r="AU412" s="69">
        <v>113</v>
      </c>
      <c r="AV412" s="69">
        <v>172.5</v>
      </c>
      <c r="BC412" s="69"/>
      <c r="BD412" s="69"/>
      <c r="CC412" s="94">
        <f t="shared" si="32"/>
        <v>3519</v>
      </c>
      <c r="CD412" s="73">
        <f t="shared" si="33"/>
        <v>0</v>
      </c>
      <c r="CE412" s="75">
        <f t="shared" si="34"/>
        <v>3073</v>
      </c>
      <c r="CF412" s="69" t="str">
        <f t="shared" si="34"/>
        <v>خدمة عامة</v>
      </c>
    </row>
    <row r="413" spans="1:84" ht="18.75" x14ac:dyDescent="0.25">
      <c r="B413" s="82">
        <v>2592</v>
      </c>
      <c r="C413" s="78">
        <v>3074</v>
      </c>
      <c r="D413" s="71" t="s">
        <v>249</v>
      </c>
      <c r="E413" s="107" t="s">
        <v>3715</v>
      </c>
      <c r="F413" s="69"/>
      <c r="G413" s="69">
        <v>3283</v>
      </c>
      <c r="T413" s="69"/>
      <c r="U413" s="69"/>
      <c r="AR413" s="91">
        <f t="shared" si="31"/>
        <v>3283</v>
      </c>
      <c r="AS413" s="69">
        <v>2051.35</v>
      </c>
      <c r="AT413" s="69">
        <f>20.65+280</f>
        <v>300.64999999999998</v>
      </c>
      <c r="AU413" s="69">
        <v>791</v>
      </c>
      <c r="AV413" s="69">
        <v>140</v>
      </c>
      <c r="BC413" s="69"/>
      <c r="BD413" s="69"/>
      <c r="CC413" s="94">
        <f t="shared" si="32"/>
        <v>3283</v>
      </c>
      <c r="CD413" s="73">
        <f t="shared" si="33"/>
        <v>0</v>
      </c>
      <c r="CE413" s="75">
        <f t="shared" si="34"/>
        <v>3074</v>
      </c>
      <c r="CF413" s="69" t="str">
        <f t="shared" si="34"/>
        <v>خدمة عامة</v>
      </c>
    </row>
    <row r="414" spans="1:84" ht="18.75" x14ac:dyDescent="0.25">
      <c r="B414" s="82">
        <v>5093</v>
      </c>
      <c r="C414" s="78">
        <v>3075</v>
      </c>
      <c r="D414" s="71" t="s">
        <v>249</v>
      </c>
      <c r="E414" s="107" t="s">
        <v>3716</v>
      </c>
      <c r="F414" s="69"/>
      <c r="G414" s="69">
        <v>3283</v>
      </c>
      <c r="T414" s="69"/>
      <c r="U414" s="69"/>
      <c r="AR414" s="91">
        <f t="shared" si="31"/>
        <v>3283</v>
      </c>
      <c r="AS414" s="69">
        <v>2193.65</v>
      </c>
      <c r="AT414" s="69">
        <f>18.35+280</f>
        <v>298.35000000000002</v>
      </c>
      <c r="AU414" s="69">
        <v>791</v>
      </c>
      <c r="BC414" s="69"/>
      <c r="BD414" s="69"/>
      <c r="CC414" s="94">
        <f t="shared" si="32"/>
        <v>3283</v>
      </c>
      <c r="CD414" s="73">
        <f t="shared" si="33"/>
        <v>0</v>
      </c>
      <c r="CE414" s="75">
        <f t="shared" si="34"/>
        <v>3075</v>
      </c>
      <c r="CF414" s="69" t="str">
        <f t="shared" si="34"/>
        <v>خدمة عامة</v>
      </c>
    </row>
    <row r="415" spans="1:84" ht="18.75" x14ac:dyDescent="0.25">
      <c r="B415" s="82">
        <v>3643</v>
      </c>
      <c r="C415" s="78">
        <v>3076</v>
      </c>
      <c r="D415" s="71" t="s">
        <v>249</v>
      </c>
      <c r="E415" s="107" t="s">
        <v>3717</v>
      </c>
      <c r="F415" s="69"/>
      <c r="G415" s="69">
        <v>850</v>
      </c>
      <c r="T415" s="69"/>
      <c r="U415" s="69"/>
      <c r="AR415" s="91">
        <f t="shared" si="31"/>
        <v>850</v>
      </c>
      <c r="AS415" s="69">
        <v>716.9</v>
      </c>
      <c r="AT415" s="69">
        <v>90.6</v>
      </c>
      <c r="AV415" s="69">
        <v>42.5</v>
      </c>
      <c r="BC415" s="69"/>
      <c r="BD415" s="69"/>
      <c r="CC415" s="94">
        <f t="shared" si="32"/>
        <v>850</v>
      </c>
      <c r="CD415" s="73">
        <f t="shared" si="33"/>
        <v>0</v>
      </c>
      <c r="CE415" s="75">
        <f t="shared" si="34"/>
        <v>3076</v>
      </c>
      <c r="CF415" s="69" t="str">
        <f t="shared" si="34"/>
        <v>خدمة عامة</v>
      </c>
    </row>
    <row r="416" spans="1:84" ht="18.75" x14ac:dyDescent="0.25">
      <c r="B416" s="82">
        <v>3647</v>
      </c>
      <c r="C416" s="78">
        <v>3077</v>
      </c>
      <c r="D416" s="71" t="s">
        <v>249</v>
      </c>
      <c r="E416" s="107" t="s">
        <v>3717</v>
      </c>
      <c r="F416" s="69"/>
      <c r="G416" s="69">
        <v>15041.74</v>
      </c>
      <c r="T416" s="69"/>
      <c r="U416" s="69"/>
      <c r="AR416" s="91">
        <f t="shared" si="31"/>
        <v>15041.74</v>
      </c>
      <c r="AS416" s="69">
        <v>9524.1</v>
      </c>
      <c r="AT416" s="69">
        <v>1365.15</v>
      </c>
      <c r="AU416" s="69">
        <v>3507.49</v>
      </c>
      <c r="AV416" s="69">
        <v>645</v>
      </c>
      <c r="BC416" s="69"/>
      <c r="BD416" s="69"/>
      <c r="CC416" s="94">
        <f t="shared" si="32"/>
        <v>15041.74</v>
      </c>
      <c r="CD416" s="73">
        <f t="shared" si="33"/>
        <v>0</v>
      </c>
      <c r="CE416" s="75">
        <f t="shared" si="34"/>
        <v>3077</v>
      </c>
      <c r="CF416" s="69" t="str">
        <f t="shared" si="34"/>
        <v>خدمة عامة</v>
      </c>
    </row>
    <row r="417" spans="2:84" ht="18.75" x14ac:dyDescent="0.25">
      <c r="B417" s="82">
        <v>3641</v>
      </c>
      <c r="C417" s="78">
        <v>3078</v>
      </c>
      <c r="D417" s="71" t="s">
        <v>249</v>
      </c>
      <c r="E417" s="107" t="s">
        <v>3717</v>
      </c>
      <c r="F417" s="69"/>
      <c r="G417" s="69">
        <v>58303.35</v>
      </c>
      <c r="T417" s="69"/>
      <c r="U417" s="69"/>
      <c r="AR417" s="91">
        <f t="shared" si="31"/>
        <v>58303.35</v>
      </c>
      <c r="AS417" s="69">
        <v>42074.68</v>
      </c>
      <c r="AT417" s="69">
        <v>5687.3</v>
      </c>
      <c r="AU417" s="69">
        <v>7866.37</v>
      </c>
      <c r="AV417" s="69">
        <v>2675</v>
      </c>
      <c r="BC417" s="69"/>
      <c r="BD417" s="69"/>
      <c r="CC417" s="94">
        <f t="shared" si="32"/>
        <v>58303.350000000006</v>
      </c>
      <c r="CD417" s="73">
        <f t="shared" si="33"/>
        <v>0</v>
      </c>
      <c r="CE417" s="75">
        <f t="shared" si="34"/>
        <v>3078</v>
      </c>
      <c r="CF417" s="69" t="str">
        <f t="shared" si="34"/>
        <v>خدمة عامة</v>
      </c>
    </row>
    <row r="418" spans="2:84" ht="18.75" x14ac:dyDescent="0.25">
      <c r="B418" s="82">
        <v>3646</v>
      </c>
      <c r="C418" s="78">
        <v>3079</v>
      </c>
      <c r="D418" s="71" t="s">
        <v>249</v>
      </c>
      <c r="E418" s="107" t="s">
        <v>3717</v>
      </c>
      <c r="F418" s="69"/>
      <c r="G418" s="69">
        <v>703.5</v>
      </c>
      <c r="T418" s="69"/>
      <c r="U418" s="69"/>
      <c r="AR418" s="91">
        <f t="shared" si="31"/>
        <v>703.5</v>
      </c>
      <c r="AS418" s="69">
        <v>440.6</v>
      </c>
      <c r="AT418" s="69">
        <v>63.4</v>
      </c>
      <c r="AU418" s="69">
        <v>169.5</v>
      </c>
      <c r="AV418" s="69">
        <v>30</v>
      </c>
      <c r="BC418" s="69"/>
      <c r="BD418" s="69"/>
      <c r="CC418" s="94">
        <f t="shared" si="32"/>
        <v>703.5</v>
      </c>
      <c r="CD418" s="73">
        <f t="shared" si="33"/>
        <v>0</v>
      </c>
      <c r="CE418" s="75">
        <f t="shared" si="34"/>
        <v>3079</v>
      </c>
      <c r="CF418" s="69" t="str">
        <f t="shared" si="34"/>
        <v>خدمة عامة</v>
      </c>
    </row>
    <row r="419" spans="2:84" ht="18.75" x14ac:dyDescent="0.25">
      <c r="B419" s="82">
        <v>3645</v>
      </c>
      <c r="C419" s="78">
        <v>3080</v>
      </c>
      <c r="D419" s="71" t="s">
        <v>249</v>
      </c>
      <c r="E419" s="107" t="s">
        <v>3717</v>
      </c>
      <c r="F419" s="69"/>
      <c r="G419" s="69">
        <v>1407</v>
      </c>
      <c r="T419" s="69"/>
      <c r="U419" s="69"/>
      <c r="AR419" s="91">
        <f t="shared" si="31"/>
        <v>1407</v>
      </c>
      <c r="AS419" s="69">
        <v>881.2</v>
      </c>
      <c r="AT419" s="69">
        <v>126.8</v>
      </c>
      <c r="AU419" s="69">
        <v>339</v>
      </c>
      <c r="AV419" s="69">
        <v>60</v>
      </c>
      <c r="BC419" s="69"/>
      <c r="BD419" s="69"/>
      <c r="CC419" s="94">
        <f t="shared" si="32"/>
        <v>1407</v>
      </c>
      <c r="CD419" s="73">
        <f t="shared" si="33"/>
        <v>0</v>
      </c>
      <c r="CE419" s="75">
        <f t="shared" si="34"/>
        <v>3080</v>
      </c>
      <c r="CF419" s="69" t="str">
        <f t="shared" si="34"/>
        <v>خدمة عامة</v>
      </c>
    </row>
    <row r="420" spans="2:84" ht="18.75" x14ac:dyDescent="0.25">
      <c r="B420" s="82">
        <v>3642</v>
      </c>
      <c r="C420" s="78">
        <v>3081</v>
      </c>
      <c r="D420" s="71" t="s">
        <v>249</v>
      </c>
      <c r="E420" s="107" t="s">
        <v>3717</v>
      </c>
      <c r="F420" s="69"/>
      <c r="G420" s="69">
        <v>1720.75</v>
      </c>
      <c r="T420" s="69"/>
      <c r="U420" s="69"/>
      <c r="AR420" s="91">
        <f t="shared" si="31"/>
        <v>1720.75</v>
      </c>
      <c r="AS420" s="69">
        <v>1273</v>
      </c>
      <c r="AT420" s="69">
        <v>170</v>
      </c>
      <c r="AU420" s="69">
        <v>197.75</v>
      </c>
      <c r="AV420" s="69">
        <v>80</v>
      </c>
      <c r="BC420" s="69"/>
      <c r="BD420" s="69"/>
      <c r="CC420" s="94">
        <f t="shared" si="32"/>
        <v>1720.75</v>
      </c>
      <c r="CD420" s="73">
        <f t="shared" si="33"/>
        <v>0</v>
      </c>
      <c r="CE420" s="75">
        <f t="shared" si="34"/>
        <v>3081</v>
      </c>
      <c r="CF420" s="69" t="str">
        <f t="shared" si="34"/>
        <v>خدمة عامة</v>
      </c>
    </row>
    <row r="421" spans="2:84" ht="18.75" x14ac:dyDescent="0.25">
      <c r="B421" s="82">
        <v>3644</v>
      </c>
      <c r="C421" s="78">
        <v>3082</v>
      </c>
      <c r="D421" s="71" t="s">
        <v>249</v>
      </c>
      <c r="E421" s="107" t="s">
        <v>3717</v>
      </c>
      <c r="F421" s="69"/>
      <c r="G421" s="69">
        <v>820.75</v>
      </c>
      <c r="T421" s="69"/>
      <c r="U421" s="69"/>
      <c r="AR421" s="91">
        <f t="shared" si="31"/>
        <v>820.75</v>
      </c>
      <c r="AS421" s="69">
        <v>513.95000000000005</v>
      </c>
      <c r="AT421" s="69">
        <v>74.05</v>
      </c>
      <c r="AU421" s="69">
        <v>197.75</v>
      </c>
      <c r="AV421" s="69">
        <v>35</v>
      </c>
      <c r="BC421" s="69"/>
      <c r="BD421" s="69"/>
      <c r="CC421" s="94">
        <f t="shared" si="32"/>
        <v>820.75</v>
      </c>
      <c r="CD421" s="73">
        <f t="shared" si="33"/>
        <v>0</v>
      </c>
      <c r="CE421" s="75">
        <f t="shared" si="34"/>
        <v>3082</v>
      </c>
      <c r="CF421" s="69" t="str">
        <f t="shared" si="34"/>
        <v>خدمة عامة</v>
      </c>
    </row>
    <row r="422" spans="2:84" ht="18.75" x14ac:dyDescent="0.25">
      <c r="B422" s="82">
        <v>5426</v>
      </c>
      <c r="C422" s="78">
        <v>3083</v>
      </c>
      <c r="D422" s="71" t="s">
        <v>249</v>
      </c>
      <c r="E422" s="107" t="s">
        <v>3718</v>
      </c>
      <c r="F422" s="69"/>
      <c r="G422" s="69">
        <v>19110.8</v>
      </c>
      <c r="T422" s="69"/>
      <c r="U422" s="69"/>
      <c r="AR422" s="91">
        <f t="shared" si="31"/>
        <v>19110.8</v>
      </c>
      <c r="AS422" s="69">
        <v>14861.03</v>
      </c>
      <c r="AT422" s="69">
        <v>1940.25</v>
      </c>
      <c r="AU422" s="69">
        <v>1396.62</v>
      </c>
      <c r="AV422" s="69">
        <v>912.9</v>
      </c>
      <c r="BC422" s="69"/>
      <c r="BD422" s="69"/>
      <c r="CC422" s="94">
        <f t="shared" si="32"/>
        <v>19110.8</v>
      </c>
      <c r="CD422" s="73">
        <f t="shared" si="33"/>
        <v>0</v>
      </c>
      <c r="CE422" s="75">
        <f t="shared" si="34"/>
        <v>3083</v>
      </c>
      <c r="CF422" s="69" t="str">
        <f t="shared" si="34"/>
        <v>خدمة عامة</v>
      </c>
    </row>
    <row r="423" spans="2:84" ht="18.75" x14ac:dyDescent="0.25">
      <c r="B423" s="82">
        <v>5433</v>
      </c>
      <c r="C423" s="78">
        <v>3084</v>
      </c>
      <c r="D423" s="71" t="s">
        <v>249</v>
      </c>
      <c r="E423" s="107" t="s">
        <v>3718</v>
      </c>
      <c r="F423" s="69"/>
      <c r="G423" s="69">
        <v>2761.59</v>
      </c>
      <c r="T423" s="69"/>
      <c r="U423" s="69"/>
      <c r="AR423" s="91">
        <f t="shared" si="31"/>
        <v>2761.59</v>
      </c>
      <c r="AS423" s="69">
        <v>1729.83</v>
      </c>
      <c r="AT423" s="69">
        <v>248.63</v>
      </c>
      <c r="AU423" s="69">
        <v>665.37</v>
      </c>
      <c r="AV423" s="69">
        <v>117.76</v>
      </c>
      <c r="BC423" s="69"/>
      <c r="BD423" s="69"/>
      <c r="CC423" s="94">
        <f t="shared" si="32"/>
        <v>2761.59</v>
      </c>
      <c r="CD423" s="73">
        <f t="shared" si="33"/>
        <v>0</v>
      </c>
      <c r="CE423" s="75">
        <f t="shared" si="34"/>
        <v>3084</v>
      </c>
      <c r="CF423" s="69" t="str">
        <f t="shared" si="34"/>
        <v>خدمة عامة</v>
      </c>
    </row>
    <row r="424" spans="2:84" ht="18.75" x14ac:dyDescent="0.25">
      <c r="B424" s="82">
        <v>5428</v>
      </c>
      <c r="C424" s="78">
        <v>3085</v>
      </c>
      <c r="D424" s="71" t="s">
        <v>249</v>
      </c>
      <c r="E424" s="107" t="s">
        <v>3719</v>
      </c>
      <c r="F424" s="69"/>
      <c r="G424" s="69">
        <v>4075.97</v>
      </c>
      <c r="T424" s="69"/>
      <c r="U424" s="69"/>
      <c r="AR424" s="91">
        <f t="shared" si="31"/>
        <v>4075.97</v>
      </c>
      <c r="AS424" s="69">
        <v>2646.68</v>
      </c>
      <c r="AT424" s="69">
        <v>375.03</v>
      </c>
      <c r="AU424" s="69">
        <v>877.25</v>
      </c>
      <c r="AV424" s="69">
        <v>177.01</v>
      </c>
      <c r="BC424" s="69"/>
      <c r="BD424" s="69"/>
      <c r="CC424" s="94">
        <f t="shared" si="32"/>
        <v>4075.9700000000003</v>
      </c>
      <c r="CD424" s="73">
        <f t="shared" si="33"/>
        <v>0</v>
      </c>
      <c r="CE424" s="75">
        <f t="shared" si="34"/>
        <v>3085</v>
      </c>
      <c r="CF424" s="69" t="str">
        <f t="shared" si="34"/>
        <v>خدمة عامة</v>
      </c>
    </row>
    <row r="425" spans="2:84" ht="18.75" x14ac:dyDescent="0.25">
      <c r="B425" s="82">
        <v>5427</v>
      </c>
      <c r="C425" s="78">
        <v>3086</v>
      </c>
      <c r="D425" s="71" t="s">
        <v>249</v>
      </c>
      <c r="E425" s="107" t="s">
        <v>3719</v>
      </c>
      <c r="F425" s="69"/>
      <c r="G425" s="69">
        <v>23070.84</v>
      </c>
      <c r="T425" s="69"/>
      <c r="U425" s="69"/>
      <c r="AR425" s="91">
        <f t="shared" si="31"/>
        <v>23070.84</v>
      </c>
      <c r="AS425" s="69">
        <v>18751.05</v>
      </c>
      <c r="AT425" s="69">
        <v>2411.87</v>
      </c>
      <c r="AU425" s="69">
        <v>778.14</v>
      </c>
      <c r="AV425" s="69">
        <v>1129.78</v>
      </c>
      <c r="BC425" s="69"/>
      <c r="BD425" s="69"/>
      <c r="CC425" s="94">
        <f t="shared" si="32"/>
        <v>23070.839999999997</v>
      </c>
      <c r="CD425" s="73">
        <f t="shared" si="33"/>
        <v>0</v>
      </c>
      <c r="CE425" s="75">
        <f t="shared" si="34"/>
        <v>3086</v>
      </c>
      <c r="CF425" s="69" t="str">
        <f t="shared" si="34"/>
        <v>خدمة عامة</v>
      </c>
    </row>
    <row r="426" spans="2:84" ht="18.75" x14ac:dyDescent="0.25">
      <c r="B426" s="82">
        <v>5430</v>
      </c>
      <c r="C426" s="78">
        <v>3087</v>
      </c>
      <c r="D426" s="71" t="s">
        <v>249</v>
      </c>
      <c r="E426" s="107" t="s">
        <v>3720</v>
      </c>
      <c r="F426" s="69"/>
      <c r="G426" s="69">
        <v>630.79999999999995</v>
      </c>
      <c r="T426" s="69"/>
      <c r="U426" s="69"/>
      <c r="AR426" s="91">
        <f t="shared" si="31"/>
        <v>630.79999999999995</v>
      </c>
      <c r="AS426" s="69">
        <v>395.12</v>
      </c>
      <c r="AT426" s="69">
        <v>56.8</v>
      </c>
      <c r="AU426" s="69">
        <v>151.97999999999999</v>
      </c>
      <c r="AV426" s="69">
        <v>26.9</v>
      </c>
      <c r="BC426" s="69"/>
      <c r="BD426" s="69"/>
      <c r="CC426" s="94">
        <f t="shared" si="32"/>
        <v>630.79999999999995</v>
      </c>
      <c r="CD426" s="73">
        <f t="shared" si="33"/>
        <v>0</v>
      </c>
      <c r="CE426" s="75">
        <f t="shared" si="34"/>
        <v>3087</v>
      </c>
      <c r="CF426" s="69" t="str">
        <f t="shared" si="34"/>
        <v>خدمة عامة</v>
      </c>
    </row>
    <row r="427" spans="2:84" ht="18.75" x14ac:dyDescent="0.25">
      <c r="B427" s="82">
        <v>5429</v>
      </c>
      <c r="C427" s="78">
        <v>3088</v>
      </c>
      <c r="D427" s="71" t="s">
        <v>249</v>
      </c>
      <c r="E427" s="107" t="s">
        <v>3720</v>
      </c>
      <c r="F427" s="69"/>
      <c r="G427" s="69">
        <v>5330.67</v>
      </c>
      <c r="T427" s="69"/>
      <c r="U427" s="69"/>
      <c r="AR427" s="91">
        <f t="shared" si="31"/>
        <v>5330.67</v>
      </c>
      <c r="AS427" s="69">
        <v>3479.58</v>
      </c>
      <c r="AT427" s="69">
        <v>493.23</v>
      </c>
      <c r="AU427" s="69">
        <v>1125.69</v>
      </c>
      <c r="AV427" s="69">
        <v>232.17</v>
      </c>
      <c r="BC427" s="69"/>
      <c r="BD427" s="69"/>
      <c r="CC427" s="94">
        <f t="shared" si="32"/>
        <v>5330.67</v>
      </c>
      <c r="CD427" s="73">
        <f t="shared" si="33"/>
        <v>0</v>
      </c>
      <c r="CE427" s="75">
        <f t="shared" si="34"/>
        <v>3088</v>
      </c>
      <c r="CF427" s="69" t="str">
        <f t="shared" si="34"/>
        <v>خدمة عامة</v>
      </c>
    </row>
    <row r="428" spans="2:84" ht="18.75" x14ac:dyDescent="0.25">
      <c r="B428" s="82">
        <v>5431</v>
      </c>
      <c r="C428" s="78">
        <v>3089</v>
      </c>
      <c r="D428" s="71" t="s">
        <v>249</v>
      </c>
      <c r="E428" s="107" t="s">
        <v>3720</v>
      </c>
      <c r="F428" s="69"/>
      <c r="G428" s="69">
        <v>27100.5</v>
      </c>
      <c r="T428" s="69"/>
      <c r="U428" s="69"/>
      <c r="AR428" s="91">
        <f t="shared" si="31"/>
        <v>27100.5</v>
      </c>
      <c r="AS428" s="69">
        <v>22842.67</v>
      </c>
      <c r="AT428" s="69">
        <v>2902.81</v>
      </c>
      <c r="AV428" s="69">
        <v>1355.02</v>
      </c>
      <c r="BC428" s="69"/>
      <c r="BD428" s="69"/>
      <c r="CC428" s="94">
        <f t="shared" si="32"/>
        <v>27100.5</v>
      </c>
      <c r="CD428" s="73">
        <f t="shared" si="33"/>
        <v>0</v>
      </c>
      <c r="CE428" s="75">
        <f t="shared" si="34"/>
        <v>3089</v>
      </c>
      <c r="CF428" s="69" t="str">
        <f t="shared" si="34"/>
        <v>خدمة عامة</v>
      </c>
    </row>
    <row r="429" spans="2:84" ht="18.75" x14ac:dyDescent="0.25">
      <c r="B429" s="82">
        <v>2597</v>
      </c>
      <c r="C429" s="78">
        <v>3090</v>
      </c>
      <c r="D429" s="71" t="s">
        <v>249</v>
      </c>
      <c r="E429" s="107" t="s">
        <v>3721</v>
      </c>
      <c r="F429" s="69"/>
      <c r="G429" s="69">
        <v>1231.1400000000001</v>
      </c>
      <c r="T429" s="69"/>
      <c r="U429" s="69"/>
      <c r="AR429" s="91">
        <f t="shared" si="31"/>
        <v>1231.1400000000001</v>
      </c>
      <c r="AS429" s="69">
        <v>771.9</v>
      </c>
      <c r="AT429" s="69">
        <v>110.1</v>
      </c>
      <c r="AU429" s="69">
        <v>296.64</v>
      </c>
      <c r="AV429" s="69">
        <v>52.5</v>
      </c>
      <c r="BC429" s="69"/>
      <c r="BD429" s="69"/>
      <c r="CC429" s="94">
        <f t="shared" si="32"/>
        <v>1231.1399999999999</v>
      </c>
      <c r="CD429" s="73">
        <f t="shared" si="33"/>
        <v>0</v>
      </c>
      <c r="CE429" s="75">
        <f t="shared" si="34"/>
        <v>3090</v>
      </c>
      <c r="CF429" s="69" t="str">
        <f t="shared" si="34"/>
        <v>خدمة عامة</v>
      </c>
    </row>
    <row r="430" spans="2:84" ht="18.75" x14ac:dyDescent="0.25">
      <c r="B430" s="82">
        <v>5407</v>
      </c>
      <c r="C430" s="78">
        <v>3091</v>
      </c>
      <c r="D430" s="71" t="s">
        <v>122</v>
      </c>
      <c r="E430" s="107" t="s">
        <v>3722</v>
      </c>
      <c r="F430" s="69"/>
      <c r="G430" s="69">
        <v>2544.88</v>
      </c>
      <c r="T430" s="69"/>
      <c r="U430" s="69"/>
      <c r="AR430" s="91">
        <f t="shared" si="31"/>
        <v>2544.88</v>
      </c>
      <c r="AS430" s="69">
        <v>2025.18</v>
      </c>
      <c r="AT430" s="69">
        <v>257.7</v>
      </c>
      <c r="AU430" s="69">
        <v>139</v>
      </c>
      <c r="AV430" s="69">
        <v>123</v>
      </c>
      <c r="BC430" s="69"/>
      <c r="BD430" s="69"/>
      <c r="CC430" s="94">
        <f t="shared" si="32"/>
        <v>2544.88</v>
      </c>
      <c r="CD430" s="73">
        <f t="shared" si="33"/>
        <v>0</v>
      </c>
      <c r="CE430" s="75">
        <f t="shared" si="34"/>
        <v>3091</v>
      </c>
      <c r="CF430" s="69" t="str">
        <f t="shared" si="34"/>
        <v>علاج تخصصى</v>
      </c>
    </row>
    <row r="431" spans="2:84" ht="18.75" x14ac:dyDescent="0.25">
      <c r="B431" s="82">
        <v>5408</v>
      </c>
      <c r="C431" s="78">
        <v>3092</v>
      </c>
      <c r="D431" s="71" t="s">
        <v>122</v>
      </c>
      <c r="E431" s="107" t="s">
        <v>3722</v>
      </c>
      <c r="F431" s="69"/>
      <c r="G431" s="69">
        <v>288.44</v>
      </c>
      <c r="T431" s="69"/>
      <c r="U431" s="69"/>
      <c r="AR431" s="91">
        <f t="shared" si="31"/>
        <v>288.44</v>
      </c>
      <c r="AS431" s="69">
        <v>180.99</v>
      </c>
      <c r="AT431" s="69">
        <v>25.65</v>
      </c>
      <c r="AU431" s="69">
        <v>69.5</v>
      </c>
      <c r="AV431" s="69">
        <v>12.3</v>
      </c>
      <c r="BC431" s="69"/>
      <c r="BD431" s="69"/>
      <c r="CC431" s="94">
        <f t="shared" si="32"/>
        <v>288.44</v>
      </c>
      <c r="CD431" s="73">
        <f t="shared" si="33"/>
        <v>0</v>
      </c>
      <c r="CE431" s="75">
        <f t="shared" si="34"/>
        <v>3092</v>
      </c>
      <c r="CF431" s="69" t="str">
        <f t="shared" si="34"/>
        <v>علاج تخصصى</v>
      </c>
    </row>
    <row r="432" spans="2:84" ht="18.75" x14ac:dyDescent="0.25">
      <c r="B432" s="82">
        <v>5406</v>
      </c>
      <c r="C432" s="78">
        <v>3093</v>
      </c>
      <c r="D432" s="71" t="s">
        <v>122</v>
      </c>
      <c r="E432" s="107" t="s">
        <v>3723</v>
      </c>
      <c r="F432" s="69"/>
      <c r="G432" s="69">
        <v>239.74</v>
      </c>
      <c r="T432" s="69"/>
      <c r="U432" s="69"/>
      <c r="AR432" s="91">
        <f t="shared" si="31"/>
        <v>239.74</v>
      </c>
      <c r="AS432" s="69">
        <v>171.98</v>
      </c>
      <c r="AT432" s="69">
        <v>22.85</v>
      </c>
      <c r="AU432" s="69">
        <v>33.96</v>
      </c>
      <c r="AV432" s="69">
        <v>10.95</v>
      </c>
      <c r="BC432" s="69"/>
      <c r="BD432" s="69"/>
      <c r="CC432" s="94">
        <f t="shared" si="32"/>
        <v>239.73999999999998</v>
      </c>
      <c r="CD432" s="73">
        <f t="shared" si="33"/>
        <v>0</v>
      </c>
      <c r="CE432" s="75">
        <f t="shared" si="34"/>
        <v>3093</v>
      </c>
      <c r="CF432" s="69" t="str">
        <f t="shared" si="34"/>
        <v>علاج تخصصى</v>
      </c>
    </row>
    <row r="433" spans="2:84" ht="18.75" x14ac:dyDescent="0.25">
      <c r="B433" s="82">
        <v>5405</v>
      </c>
      <c r="C433" s="78">
        <v>3094</v>
      </c>
      <c r="D433" s="71" t="s">
        <v>122</v>
      </c>
      <c r="E433" s="107" t="s">
        <v>3723</v>
      </c>
      <c r="F433" s="69"/>
      <c r="G433" s="69">
        <v>2269.75</v>
      </c>
      <c r="T433" s="69"/>
      <c r="U433" s="69"/>
      <c r="AR433" s="91">
        <f t="shared" si="31"/>
        <v>2269.75</v>
      </c>
      <c r="AS433" s="69">
        <v>1800.5</v>
      </c>
      <c r="AT433" s="69">
        <v>229.15</v>
      </c>
      <c r="AU433" s="69">
        <v>130.6</v>
      </c>
      <c r="AV433" s="69">
        <v>109.5</v>
      </c>
      <c r="BC433" s="69"/>
      <c r="BD433" s="69"/>
      <c r="CC433" s="94">
        <f t="shared" si="32"/>
        <v>2269.75</v>
      </c>
      <c r="CD433" s="73">
        <f t="shared" si="33"/>
        <v>0</v>
      </c>
      <c r="CE433" s="75">
        <f t="shared" si="34"/>
        <v>3094</v>
      </c>
      <c r="CF433" s="69" t="str">
        <f t="shared" si="34"/>
        <v>علاج تخصصى</v>
      </c>
    </row>
    <row r="434" spans="2:84" ht="18.75" x14ac:dyDescent="0.25">
      <c r="B434" s="82">
        <v>5407</v>
      </c>
      <c r="C434" s="78">
        <v>3095</v>
      </c>
      <c r="D434" s="71" t="s">
        <v>122</v>
      </c>
      <c r="E434" s="107" t="s">
        <v>3724</v>
      </c>
      <c r="F434" s="69"/>
      <c r="G434" s="69">
        <v>3872.49</v>
      </c>
      <c r="T434" s="69"/>
      <c r="U434" s="69"/>
      <c r="AR434" s="91">
        <f t="shared" si="31"/>
        <v>3872.49</v>
      </c>
      <c r="AS434" s="69">
        <v>3044.36</v>
      </c>
      <c r="AT434" s="69">
        <v>392.4</v>
      </c>
      <c r="AU434" s="69">
        <v>249.73</v>
      </c>
      <c r="AV434" s="69">
        <v>186</v>
      </c>
      <c r="BC434" s="69"/>
      <c r="BD434" s="69"/>
      <c r="CC434" s="94">
        <f t="shared" si="32"/>
        <v>3872.4900000000002</v>
      </c>
      <c r="CD434" s="73">
        <f t="shared" si="33"/>
        <v>0</v>
      </c>
      <c r="CE434" s="75">
        <f t="shared" si="34"/>
        <v>3095</v>
      </c>
      <c r="CF434" s="69" t="str">
        <f t="shared" si="34"/>
        <v>علاج تخصصى</v>
      </c>
    </row>
    <row r="435" spans="2:84" ht="18.75" x14ac:dyDescent="0.25">
      <c r="B435" s="82">
        <v>5408</v>
      </c>
      <c r="C435" s="78">
        <v>3096</v>
      </c>
      <c r="D435" s="71" t="s">
        <v>122</v>
      </c>
      <c r="E435" s="107" t="s">
        <v>3724</v>
      </c>
      <c r="F435" s="69"/>
      <c r="G435" s="69">
        <v>372</v>
      </c>
      <c r="T435" s="69"/>
      <c r="U435" s="69"/>
      <c r="AR435" s="91">
        <f t="shared" si="31"/>
        <v>372</v>
      </c>
      <c r="AS435" s="69">
        <v>314.10000000000002</v>
      </c>
      <c r="AT435" s="69">
        <v>39.299999999999997</v>
      </c>
      <c r="AV435" s="69">
        <v>18.600000000000001</v>
      </c>
      <c r="BC435" s="69"/>
      <c r="BD435" s="69"/>
      <c r="CC435" s="94">
        <f t="shared" si="32"/>
        <v>372.00000000000006</v>
      </c>
      <c r="CD435" s="73">
        <f t="shared" si="33"/>
        <v>0</v>
      </c>
      <c r="CE435" s="75">
        <f t="shared" si="34"/>
        <v>3096</v>
      </c>
      <c r="CF435" s="69" t="str">
        <f t="shared" si="34"/>
        <v>علاج تخصصى</v>
      </c>
    </row>
    <row r="436" spans="2:84" ht="18.75" x14ac:dyDescent="0.25">
      <c r="B436" s="82">
        <v>5410</v>
      </c>
      <c r="C436" s="78">
        <v>3097</v>
      </c>
      <c r="D436" s="71" t="s">
        <v>122</v>
      </c>
      <c r="E436" s="107" t="s">
        <v>3725</v>
      </c>
      <c r="F436" s="69"/>
      <c r="G436" s="69">
        <v>96</v>
      </c>
      <c r="T436" s="69"/>
      <c r="U436" s="69"/>
      <c r="AR436" s="91">
        <f t="shared" si="31"/>
        <v>96</v>
      </c>
      <c r="AS436" s="69">
        <v>81.3</v>
      </c>
      <c r="AT436" s="69">
        <v>9.9</v>
      </c>
      <c r="AV436" s="69">
        <v>4.8</v>
      </c>
      <c r="BC436" s="69"/>
      <c r="BD436" s="69"/>
      <c r="CC436" s="94">
        <f t="shared" si="32"/>
        <v>96</v>
      </c>
      <c r="CD436" s="73">
        <f t="shared" si="33"/>
        <v>0</v>
      </c>
      <c r="CE436" s="75">
        <f t="shared" si="34"/>
        <v>3097</v>
      </c>
      <c r="CF436" s="69" t="str">
        <f t="shared" si="34"/>
        <v>علاج تخصصى</v>
      </c>
    </row>
    <row r="437" spans="2:84" ht="18.75" x14ac:dyDescent="0.25">
      <c r="B437" s="82">
        <v>5409</v>
      </c>
      <c r="C437" s="78">
        <v>3098</v>
      </c>
      <c r="D437" s="71" t="s">
        <v>122</v>
      </c>
      <c r="E437" s="107" t="s">
        <v>3725</v>
      </c>
      <c r="F437" s="69"/>
      <c r="G437" s="69">
        <v>976.56</v>
      </c>
      <c r="T437" s="69"/>
      <c r="U437" s="69"/>
      <c r="AR437" s="91">
        <f t="shared" si="31"/>
        <v>976.56</v>
      </c>
      <c r="AS437" s="69">
        <v>802.49</v>
      </c>
      <c r="AT437" s="69">
        <v>98.95</v>
      </c>
      <c r="AU437" s="69">
        <v>27.12</v>
      </c>
      <c r="AV437" s="69">
        <v>48</v>
      </c>
      <c r="BC437" s="69"/>
      <c r="BD437" s="69"/>
      <c r="CC437" s="94">
        <f t="shared" si="32"/>
        <v>976.56000000000006</v>
      </c>
      <c r="CD437" s="73">
        <f t="shared" si="33"/>
        <v>0</v>
      </c>
      <c r="CE437" s="75">
        <f t="shared" si="34"/>
        <v>3098</v>
      </c>
      <c r="CF437" s="69" t="str">
        <f t="shared" si="34"/>
        <v>علاج تخصصى</v>
      </c>
    </row>
    <row r="438" spans="2:84" ht="18.75" x14ac:dyDescent="0.25">
      <c r="B438" s="82">
        <v>5411</v>
      </c>
      <c r="C438" s="78">
        <v>3099</v>
      </c>
      <c r="D438" s="71" t="s">
        <v>122</v>
      </c>
      <c r="E438" s="107" t="s">
        <v>720</v>
      </c>
      <c r="F438" s="69"/>
      <c r="G438" s="69">
        <v>2258.3000000000002</v>
      </c>
      <c r="T438" s="69"/>
      <c r="U438" s="69"/>
      <c r="AR438" s="91">
        <f t="shared" si="31"/>
        <v>2258.3000000000002</v>
      </c>
      <c r="AS438" s="69">
        <v>1852.23</v>
      </c>
      <c r="AT438" s="69">
        <v>232.35</v>
      </c>
      <c r="AU438" s="69">
        <v>62.72</v>
      </c>
      <c r="AV438" s="69">
        <v>111</v>
      </c>
      <c r="BC438" s="69"/>
      <c r="BD438" s="69"/>
      <c r="CC438" s="94">
        <f t="shared" si="32"/>
        <v>2258.2999999999997</v>
      </c>
      <c r="CD438" s="73">
        <f t="shared" si="33"/>
        <v>0</v>
      </c>
      <c r="CE438" s="75">
        <f t="shared" si="34"/>
        <v>3099</v>
      </c>
      <c r="CF438" s="69" t="str">
        <f t="shared" si="34"/>
        <v>علاج تخصصى</v>
      </c>
    </row>
    <row r="439" spans="2:84" ht="18.75" x14ac:dyDescent="0.25">
      <c r="B439" s="82">
        <v>5412</v>
      </c>
      <c r="C439" s="78">
        <v>3100</v>
      </c>
      <c r="D439" s="71" t="s">
        <v>122</v>
      </c>
      <c r="E439" s="107" t="s">
        <v>720</v>
      </c>
      <c r="F439" s="69"/>
      <c r="G439" s="69">
        <v>222</v>
      </c>
      <c r="T439" s="69"/>
      <c r="U439" s="69"/>
      <c r="AR439" s="91">
        <f t="shared" si="31"/>
        <v>222</v>
      </c>
      <c r="AS439" s="69">
        <v>187.65</v>
      </c>
      <c r="AT439" s="69">
        <v>23.25</v>
      </c>
      <c r="AV439" s="69">
        <v>11.1</v>
      </c>
      <c r="BC439" s="69"/>
      <c r="BD439" s="69"/>
      <c r="CC439" s="94">
        <f t="shared" si="32"/>
        <v>222</v>
      </c>
      <c r="CD439" s="73">
        <f t="shared" si="33"/>
        <v>0</v>
      </c>
      <c r="CE439" s="75">
        <f t="shared" si="34"/>
        <v>3100</v>
      </c>
      <c r="CF439" s="69" t="str">
        <f t="shared" si="34"/>
        <v>علاج تخصصى</v>
      </c>
    </row>
    <row r="440" spans="2:84" ht="18.75" x14ac:dyDescent="0.25">
      <c r="B440" s="82">
        <v>5413</v>
      </c>
      <c r="C440" s="78">
        <v>3101</v>
      </c>
      <c r="D440" s="71" t="s">
        <v>122</v>
      </c>
      <c r="E440" s="107" t="s">
        <v>3726</v>
      </c>
      <c r="F440" s="69"/>
      <c r="G440" s="69">
        <v>1908.26</v>
      </c>
      <c r="T440" s="69"/>
      <c r="U440" s="69"/>
      <c r="AR440" s="91">
        <f t="shared" si="31"/>
        <v>1908.26</v>
      </c>
      <c r="AS440" s="69">
        <v>1541.97</v>
      </c>
      <c r="AT440" s="69">
        <v>194.25</v>
      </c>
      <c r="AU440" s="69">
        <v>79.040000000000006</v>
      </c>
      <c r="AV440" s="69">
        <v>93</v>
      </c>
      <c r="BC440" s="69"/>
      <c r="BD440" s="69"/>
      <c r="CC440" s="94">
        <f t="shared" si="32"/>
        <v>1908.26</v>
      </c>
      <c r="CD440" s="73">
        <f t="shared" si="33"/>
        <v>0</v>
      </c>
      <c r="CE440" s="75">
        <f t="shared" si="34"/>
        <v>3101</v>
      </c>
      <c r="CF440" s="69" t="str">
        <f t="shared" si="34"/>
        <v>علاج تخصصى</v>
      </c>
    </row>
    <row r="441" spans="2:84" ht="18.75" x14ac:dyDescent="0.25">
      <c r="B441" s="82">
        <v>5414</v>
      </c>
      <c r="C441" s="78">
        <v>3102</v>
      </c>
      <c r="D441" s="71" t="s">
        <v>122</v>
      </c>
      <c r="E441" s="107" t="s">
        <v>3726</v>
      </c>
      <c r="F441" s="69"/>
      <c r="G441" s="69">
        <v>186</v>
      </c>
      <c r="T441" s="69"/>
      <c r="U441" s="69"/>
      <c r="AR441" s="91">
        <f t="shared" si="31"/>
        <v>186</v>
      </c>
      <c r="AS441" s="69">
        <v>157.25</v>
      </c>
      <c r="AT441" s="69">
        <v>19.45</v>
      </c>
      <c r="AV441" s="69">
        <v>9.3000000000000007</v>
      </c>
      <c r="BC441" s="69"/>
      <c r="BD441" s="69"/>
      <c r="CC441" s="94">
        <f t="shared" si="32"/>
        <v>186</v>
      </c>
      <c r="CD441" s="73">
        <f t="shared" si="33"/>
        <v>0</v>
      </c>
      <c r="CE441" s="75">
        <f t="shared" si="34"/>
        <v>3102</v>
      </c>
      <c r="CF441" s="69" t="str">
        <f t="shared" si="34"/>
        <v>علاج تخصصى</v>
      </c>
    </row>
    <row r="442" spans="2:84" ht="18.75" x14ac:dyDescent="0.25">
      <c r="B442" s="82">
        <v>5415</v>
      </c>
      <c r="C442" s="78">
        <v>3103</v>
      </c>
      <c r="D442" s="71" t="s">
        <v>122</v>
      </c>
      <c r="E442" s="107" t="s">
        <v>3727</v>
      </c>
      <c r="F442" s="69"/>
      <c r="G442" s="69">
        <v>2880</v>
      </c>
      <c r="T442" s="69"/>
      <c r="U442" s="69"/>
      <c r="AR442" s="91">
        <f t="shared" si="31"/>
        <v>2880</v>
      </c>
      <c r="AS442" s="69">
        <v>2432.5</v>
      </c>
      <c r="AT442" s="69">
        <v>303.5</v>
      </c>
      <c r="AV442" s="69">
        <v>144</v>
      </c>
      <c r="BC442" s="69"/>
      <c r="BD442" s="69"/>
      <c r="CC442" s="94">
        <f t="shared" si="32"/>
        <v>2880</v>
      </c>
      <c r="CD442" s="73">
        <f t="shared" si="33"/>
        <v>0</v>
      </c>
      <c r="CE442" s="75">
        <f t="shared" si="34"/>
        <v>3103</v>
      </c>
      <c r="CF442" s="69" t="str">
        <f t="shared" si="34"/>
        <v>علاج تخصصى</v>
      </c>
    </row>
    <row r="443" spans="2:84" ht="18.75" x14ac:dyDescent="0.25">
      <c r="B443" s="82">
        <v>5416</v>
      </c>
      <c r="C443" s="78">
        <v>3104</v>
      </c>
      <c r="D443" s="71" t="s">
        <v>122</v>
      </c>
      <c r="E443" s="107" t="s">
        <v>3727</v>
      </c>
      <c r="F443" s="69"/>
      <c r="G443" s="69">
        <v>288</v>
      </c>
      <c r="T443" s="69"/>
      <c r="U443" s="69"/>
      <c r="AR443" s="91">
        <f t="shared" si="31"/>
        <v>288</v>
      </c>
      <c r="AS443" s="69">
        <v>243.25</v>
      </c>
      <c r="AT443" s="69">
        <v>30.35</v>
      </c>
      <c r="AV443" s="69">
        <v>14.4</v>
      </c>
      <c r="BC443" s="69"/>
      <c r="BD443" s="69"/>
      <c r="CC443" s="94">
        <f t="shared" si="32"/>
        <v>288</v>
      </c>
      <c r="CD443" s="73">
        <f t="shared" si="33"/>
        <v>0</v>
      </c>
      <c r="CE443" s="75">
        <f t="shared" si="34"/>
        <v>3104</v>
      </c>
      <c r="CF443" s="69" t="str">
        <f t="shared" si="34"/>
        <v>علاج تخصصى</v>
      </c>
    </row>
    <row r="444" spans="2:84" ht="18.75" x14ac:dyDescent="0.25">
      <c r="B444" s="82">
        <v>5418</v>
      </c>
      <c r="C444" s="78">
        <v>3105</v>
      </c>
      <c r="D444" s="71" t="s">
        <v>122</v>
      </c>
      <c r="E444" s="107" t="s">
        <v>3728</v>
      </c>
      <c r="F444" s="69"/>
      <c r="G444" s="69">
        <v>224</v>
      </c>
      <c r="T444" s="69"/>
      <c r="U444" s="69"/>
      <c r="AR444" s="91">
        <f t="shared" si="31"/>
        <v>224</v>
      </c>
      <c r="AS444" s="69">
        <v>189.35</v>
      </c>
      <c r="AT444" s="69">
        <v>23.45</v>
      </c>
      <c r="AV444" s="69">
        <v>11.2</v>
      </c>
      <c r="BC444" s="69"/>
      <c r="BD444" s="69"/>
      <c r="CC444" s="94">
        <f t="shared" si="32"/>
        <v>223.99999999999997</v>
      </c>
      <c r="CD444" s="73">
        <f t="shared" si="33"/>
        <v>0</v>
      </c>
      <c r="CE444" s="75">
        <f t="shared" si="34"/>
        <v>3105</v>
      </c>
      <c r="CF444" s="69" t="str">
        <f t="shared" si="34"/>
        <v>علاج تخصصى</v>
      </c>
    </row>
    <row r="445" spans="2:84" ht="18.75" x14ac:dyDescent="0.25">
      <c r="B445" s="82">
        <v>5417</v>
      </c>
      <c r="C445" s="78">
        <v>3106</v>
      </c>
      <c r="D445" s="71" t="s">
        <v>122</v>
      </c>
      <c r="E445" s="107" t="s">
        <v>3728</v>
      </c>
      <c r="F445" s="69"/>
      <c r="G445" s="69">
        <v>2240</v>
      </c>
      <c r="T445" s="69"/>
      <c r="U445" s="69"/>
      <c r="AR445" s="91">
        <f t="shared" si="31"/>
        <v>2240</v>
      </c>
      <c r="AS445" s="69">
        <v>1893.5</v>
      </c>
      <c r="AT445" s="69">
        <v>234.5</v>
      </c>
      <c r="AV445" s="69">
        <v>112</v>
      </c>
      <c r="BC445" s="69"/>
      <c r="BD445" s="69"/>
      <c r="CC445" s="94">
        <f t="shared" si="32"/>
        <v>2240</v>
      </c>
      <c r="CD445" s="73">
        <f t="shared" si="33"/>
        <v>0</v>
      </c>
      <c r="CE445" s="75">
        <f t="shared" si="34"/>
        <v>3106</v>
      </c>
      <c r="CF445" s="69" t="str">
        <f t="shared" si="34"/>
        <v>علاج تخصصى</v>
      </c>
    </row>
    <row r="446" spans="2:84" ht="18.75" x14ac:dyDescent="0.25">
      <c r="B446" s="82">
        <v>4890</v>
      </c>
      <c r="C446" s="78">
        <v>3107</v>
      </c>
      <c r="D446" s="71" t="s">
        <v>119</v>
      </c>
      <c r="E446" s="107" t="s">
        <v>3729</v>
      </c>
      <c r="F446" s="69"/>
      <c r="G446" s="69">
        <v>253.59</v>
      </c>
      <c r="T446" s="69"/>
      <c r="U446" s="69"/>
      <c r="AR446" s="91">
        <f t="shared" si="31"/>
        <v>253.59</v>
      </c>
      <c r="AS446" s="69">
        <v>153.28</v>
      </c>
      <c r="AT446" s="69">
        <v>39.22</v>
      </c>
      <c r="AU446" s="69">
        <v>61.09</v>
      </c>
      <c r="BC446" s="69"/>
      <c r="BD446" s="69"/>
      <c r="CC446" s="94">
        <f t="shared" si="32"/>
        <v>253.59</v>
      </c>
      <c r="CD446" s="73">
        <f t="shared" si="33"/>
        <v>0</v>
      </c>
      <c r="CE446" s="75">
        <f t="shared" si="34"/>
        <v>3107</v>
      </c>
      <c r="CF446" s="69" t="str">
        <f t="shared" si="34"/>
        <v>خ ت صيدلة</v>
      </c>
    </row>
    <row r="447" spans="2:84" ht="18.75" x14ac:dyDescent="0.25">
      <c r="B447" s="82">
        <v>4891</v>
      </c>
      <c r="C447" s="78">
        <v>3108</v>
      </c>
      <c r="D447" s="71" t="s">
        <v>119</v>
      </c>
      <c r="E447" s="107" t="s">
        <v>3730</v>
      </c>
      <c r="F447" s="69"/>
      <c r="G447" s="69">
        <v>122.71</v>
      </c>
      <c r="T447" s="69"/>
      <c r="U447" s="69"/>
      <c r="AR447" s="91">
        <f t="shared" si="31"/>
        <v>122.71</v>
      </c>
      <c r="AS447" s="69">
        <v>74.260000000000005</v>
      </c>
      <c r="AT447" s="69">
        <v>18.87</v>
      </c>
      <c r="AU447" s="69">
        <v>29.58</v>
      </c>
      <c r="BC447" s="69"/>
      <c r="BD447" s="69"/>
      <c r="CC447" s="94">
        <f t="shared" si="32"/>
        <v>122.71000000000001</v>
      </c>
      <c r="CD447" s="73">
        <f t="shared" si="33"/>
        <v>0</v>
      </c>
      <c r="CE447" s="75">
        <f t="shared" si="34"/>
        <v>3108</v>
      </c>
      <c r="CF447" s="69" t="str">
        <f t="shared" si="34"/>
        <v>خ ت صيدلة</v>
      </c>
    </row>
    <row r="448" spans="2:84" ht="18.75" x14ac:dyDescent="0.25">
      <c r="B448" s="82">
        <v>5321</v>
      </c>
      <c r="C448" s="78">
        <v>3109</v>
      </c>
      <c r="D448" s="71" t="s">
        <v>132</v>
      </c>
      <c r="E448" s="107" t="s">
        <v>3731</v>
      </c>
      <c r="F448" s="69"/>
      <c r="G448" s="69">
        <v>1688.4</v>
      </c>
      <c r="T448" s="69"/>
      <c r="U448" s="69"/>
      <c r="AR448" s="91">
        <f t="shared" si="31"/>
        <v>1688.4</v>
      </c>
      <c r="AS448" s="69">
        <v>1127.17</v>
      </c>
      <c r="AT448" s="69">
        <f>144+10.43</f>
        <v>154.43</v>
      </c>
      <c r="AU448" s="69">
        <v>406.8</v>
      </c>
      <c r="BC448" s="69"/>
      <c r="BD448" s="69"/>
      <c r="CC448" s="94">
        <f t="shared" si="32"/>
        <v>1688.4</v>
      </c>
      <c r="CD448" s="73">
        <f t="shared" si="33"/>
        <v>0</v>
      </c>
      <c r="CE448" s="75">
        <f t="shared" si="34"/>
        <v>3109</v>
      </c>
      <c r="CF448" s="69" t="str">
        <f t="shared" si="34"/>
        <v>صيدلة اكلينيكى</v>
      </c>
    </row>
    <row r="449" spans="2:84" ht="18.75" x14ac:dyDescent="0.25">
      <c r="B449" s="82">
        <v>5322</v>
      </c>
      <c r="C449" s="78">
        <v>3110</v>
      </c>
      <c r="D449" s="71" t="s">
        <v>132</v>
      </c>
      <c r="E449" s="107" t="s">
        <v>3732</v>
      </c>
      <c r="F449" s="69"/>
      <c r="G449" s="69">
        <v>25589.73</v>
      </c>
      <c r="T449" s="69"/>
      <c r="U449" s="69"/>
      <c r="AR449" s="91">
        <f t="shared" si="31"/>
        <v>25589.73</v>
      </c>
      <c r="AS449" s="69">
        <v>17775.099999999999</v>
      </c>
      <c r="AT449" s="69">
        <v>2361.6</v>
      </c>
      <c r="AU449" s="69">
        <v>5453.03</v>
      </c>
      <c r="BC449" s="69"/>
      <c r="BD449" s="69"/>
      <c r="CC449" s="94">
        <f t="shared" si="32"/>
        <v>25589.729999999996</v>
      </c>
      <c r="CD449" s="73">
        <f t="shared" si="33"/>
        <v>0</v>
      </c>
      <c r="CE449" s="75">
        <f t="shared" si="34"/>
        <v>3110</v>
      </c>
      <c r="CF449" s="69" t="str">
        <f t="shared" si="34"/>
        <v>صيدلة اكلينيكى</v>
      </c>
    </row>
    <row r="450" spans="2:84" ht="18.75" x14ac:dyDescent="0.25">
      <c r="B450" s="82">
        <v>5323</v>
      </c>
      <c r="C450" s="78">
        <v>3111</v>
      </c>
      <c r="D450" s="71" t="s">
        <v>132</v>
      </c>
      <c r="E450" s="107" t="s">
        <v>3732</v>
      </c>
      <c r="F450" s="69"/>
      <c r="G450" s="69">
        <v>5909.39</v>
      </c>
      <c r="T450" s="69"/>
      <c r="U450" s="69"/>
      <c r="AR450" s="91">
        <f t="shared" si="31"/>
        <v>5909.39</v>
      </c>
      <c r="AS450" s="69">
        <v>3949.75</v>
      </c>
      <c r="AT450" s="69">
        <v>535.85</v>
      </c>
      <c r="AU450" s="69">
        <v>1423.79</v>
      </c>
      <c r="BC450" s="69"/>
      <c r="BD450" s="69"/>
      <c r="CC450" s="94">
        <f t="shared" si="32"/>
        <v>5909.39</v>
      </c>
      <c r="CD450" s="73">
        <f t="shared" si="33"/>
        <v>0</v>
      </c>
      <c r="CE450" s="75">
        <f t="shared" si="34"/>
        <v>3111</v>
      </c>
      <c r="CF450" s="69" t="str">
        <f t="shared" si="34"/>
        <v>صيدلة اكلينيكى</v>
      </c>
    </row>
    <row r="451" spans="2:84" ht="18.75" x14ac:dyDescent="0.25">
      <c r="B451" s="82">
        <v>5324</v>
      </c>
      <c r="C451" s="78">
        <v>3112</v>
      </c>
      <c r="D451" s="71" t="s">
        <v>132</v>
      </c>
      <c r="E451" s="107" t="s">
        <v>3732</v>
      </c>
      <c r="F451" s="69"/>
      <c r="G451" s="69">
        <v>4692.6000000000004</v>
      </c>
      <c r="T451" s="69"/>
      <c r="U451" s="69"/>
      <c r="AR451" s="91">
        <f t="shared" si="31"/>
        <v>4692.6000000000004</v>
      </c>
      <c r="AS451" s="69">
        <v>3620.5</v>
      </c>
      <c r="AT451" s="69">
        <v>461.9</v>
      </c>
      <c r="AU451" s="69">
        <v>610.20000000000005</v>
      </c>
      <c r="BC451" s="69"/>
      <c r="BD451" s="69"/>
      <c r="CC451" s="94">
        <f t="shared" si="32"/>
        <v>4692.6000000000004</v>
      </c>
      <c r="CD451" s="73">
        <f t="shared" si="33"/>
        <v>0</v>
      </c>
      <c r="CE451" s="75">
        <f t="shared" si="34"/>
        <v>3112</v>
      </c>
      <c r="CF451" s="69" t="str">
        <f t="shared" si="34"/>
        <v>صيدلة اكلينيكى</v>
      </c>
    </row>
    <row r="452" spans="2:84" ht="18.75" x14ac:dyDescent="0.25">
      <c r="B452" s="82">
        <v>5325</v>
      </c>
      <c r="C452" s="78">
        <v>3113</v>
      </c>
      <c r="D452" s="71" t="s">
        <v>132</v>
      </c>
      <c r="E452" s="107" t="s">
        <v>3733</v>
      </c>
      <c r="F452" s="69"/>
      <c r="G452" s="69">
        <v>5071.0600000000004</v>
      </c>
      <c r="T452" s="69"/>
      <c r="U452" s="69"/>
      <c r="AR452" s="91">
        <f t="shared" si="31"/>
        <v>5071.0600000000004</v>
      </c>
      <c r="AS452" s="69">
        <v>3386.36</v>
      </c>
      <c r="AT452" s="69">
        <f>432.5+30.39</f>
        <v>462.89</v>
      </c>
      <c r="AU452" s="69">
        <v>1221.81</v>
      </c>
      <c r="BC452" s="69"/>
      <c r="BD452" s="69"/>
      <c r="CC452" s="94">
        <f t="shared" si="32"/>
        <v>5071.0599999999995</v>
      </c>
      <c r="CD452" s="73">
        <f t="shared" si="33"/>
        <v>0</v>
      </c>
      <c r="CE452" s="75">
        <f t="shared" si="34"/>
        <v>3113</v>
      </c>
      <c r="CF452" s="69" t="str">
        <f t="shared" si="34"/>
        <v>صيدلة اكلينيكى</v>
      </c>
    </row>
    <row r="453" spans="2:84" ht="18.75" x14ac:dyDescent="0.25">
      <c r="B453" s="82">
        <v>5326</v>
      </c>
      <c r="C453" s="78">
        <v>3114</v>
      </c>
      <c r="D453" s="71" t="s">
        <v>132</v>
      </c>
      <c r="E453" s="107" t="s">
        <v>3733</v>
      </c>
      <c r="F453" s="69"/>
      <c r="G453" s="69">
        <v>18226.439999999999</v>
      </c>
      <c r="T453" s="69"/>
      <c r="U453" s="69"/>
      <c r="AR453" s="91">
        <f t="shared" si="31"/>
        <v>18226.439999999999</v>
      </c>
      <c r="AS453" s="69">
        <v>12458.53</v>
      </c>
      <c r="AT453" s="69">
        <v>1671.35</v>
      </c>
      <c r="AU453" s="69">
        <v>4096.5600000000004</v>
      </c>
      <c r="BC453" s="69"/>
      <c r="BD453" s="69"/>
      <c r="CC453" s="94">
        <f t="shared" si="32"/>
        <v>18226.440000000002</v>
      </c>
      <c r="CD453" s="73">
        <f t="shared" si="33"/>
        <v>0</v>
      </c>
      <c r="CE453" s="75">
        <f t="shared" si="34"/>
        <v>3114</v>
      </c>
      <c r="CF453" s="69" t="str">
        <f t="shared" si="34"/>
        <v>صيدلة اكلينيكى</v>
      </c>
    </row>
    <row r="454" spans="2:84" ht="18.75" x14ac:dyDescent="0.25">
      <c r="B454" s="82">
        <v>5327</v>
      </c>
      <c r="C454" s="78">
        <v>3115</v>
      </c>
      <c r="D454" s="71" t="s">
        <v>132</v>
      </c>
      <c r="E454" s="107" t="s">
        <v>3733</v>
      </c>
      <c r="F454" s="69"/>
      <c r="G454" s="69">
        <v>9363.2999999999993</v>
      </c>
      <c r="T454" s="69"/>
      <c r="U454" s="69"/>
      <c r="AR454" s="91">
        <f t="shared" si="31"/>
        <v>9363.2999999999993</v>
      </c>
      <c r="AS454" s="69">
        <v>6357.94</v>
      </c>
      <c r="AT454" s="69">
        <v>854.6</v>
      </c>
      <c r="AU454" s="69">
        <v>2150.7600000000002</v>
      </c>
      <c r="BC454" s="69"/>
      <c r="BD454" s="69"/>
      <c r="CC454" s="94">
        <f t="shared" si="32"/>
        <v>9363.2999999999993</v>
      </c>
      <c r="CD454" s="73">
        <f t="shared" si="33"/>
        <v>0</v>
      </c>
      <c r="CE454" s="75">
        <f t="shared" si="34"/>
        <v>3115</v>
      </c>
      <c r="CF454" s="69" t="str">
        <f t="shared" si="34"/>
        <v>صيدلة اكلينيكى</v>
      </c>
    </row>
    <row r="455" spans="2:84" ht="18.75" x14ac:dyDescent="0.25">
      <c r="B455" s="82">
        <v>5328</v>
      </c>
      <c r="C455" s="78">
        <v>3116</v>
      </c>
      <c r="D455" s="71" t="s">
        <v>132</v>
      </c>
      <c r="E455" s="107" t="s">
        <v>3733</v>
      </c>
      <c r="F455" s="69"/>
      <c r="G455" s="69">
        <v>2051.86</v>
      </c>
      <c r="T455" s="69"/>
      <c r="U455" s="69"/>
      <c r="AR455" s="91">
        <f t="shared" si="31"/>
        <v>2051.86</v>
      </c>
      <c r="AS455" s="69">
        <v>1372.15</v>
      </c>
      <c r="AT455" s="69">
        <v>185.35</v>
      </c>
      <c r="AU455" s="69">
        <v>494.36</v>
      </c>
      <c r="BC455" s="69"/>
      <c r="BD455" s="69"/>
      <c r="CC455" s="94">
        <f t="shared" si="32"/>
        <v>2051.86</v>
      </c>
      <c r="CD455" s="73">
        <f t="shared" si="33"/>
        <v>0</v>
      </c>
      <c r="CE455" s="75">
        <f t="shared" si="34"/>
        <v>3116</v>
      </c>
      <c r="CF455" s="69" t="str">
        <f t="shared" si="34"/>
        <v>صيدلة اكلينيكى</v>
      </c>
    </row>
    <row r="456" spans="2:84" ht="18.75" x14ac:dyDescent="0.25">
      <c r="B456" s="82">
        <v>5329</v>
      </c>
      <c r="C456" s="78">
        <v>3117</v>
      </c>
      <c r="D456" s="71" t="s">
        <v>132</v>
      </c>
      <c r="E456" s="107" t="s">
        <v>3734</v>
      </c>
      <c r="F456" s="69"/>
      <c r="G456" s="69">
        <v>2350</v>
      </c>
      <c r="T456" s="69"/>
      <c r="U456" s="69"/>
      <c r="AR456" s="91">
        <f t="shared" si="31"/>
        <v>2350</v>
      </c>
      <c r="AS456" s="69">
        <v>2104.5</v>
      </c>
      <c r="AT456" s="69">
        <v>245.5</v>
      </c>
      <c r="BC456" s="69"/>
      <c r="BD456" s="69"/>
      <c r="CC456" s="94">
        <f t="shared" si="32"/>
        <v>2350</v>
      </c>
      <c r="CD456" s="73">
        <f t="shared" si="33"/>
        <v>0</v>
      </c>
      <c r="CE456" s="75">
        <f t="shared" si="34"/>
        <v>3117</v>
      </c>
      <c r="CF456" s="69" t="str">
        <f t="shared" si="34"/>
        <v>صيدلة اكلينيكى</v>
      </c>
    </row>
    <row r="457" spans="2:84" ht="18.75" x14ac:dyDescent="0.25">
      <c r="B457" s="82">
        <v>5330</v>
      </c>
      <c r="C457" s="78">
        <v>3118</v>
      </c>
      <c r="D457" s="71" t="s">
        <v>132</v>
      </c>
      <c r="E457" s="107" t="s">
        <v>3735</v>
      </c>
      <c r="F457" s="69"/>
      <c r="G457" s="69">
        <v>17910</v>
      </c>
      <c r="T457" s="69"/>
      <c r="U457" s="69"/>
      <c r="AR457" s="91">
        <f t="shared" si="31"/>
        <v>17910</v>
      </c>
      <c r="AS457" s="69">
        <v>15984.95</v>
      </c>
      <c r="AT457" s="69">
        <v>1925.05</v>
      </c>
      <c r="BC457" s="69"/>
      <c r="BD457" s="69"/>
      <c r="CC457" s="94">
        <f t="shared" si="32"/>
        <v>17910</v>
      </c>
      <c r="CD457" s="73">
        <f t="shared" si="33"/>
        <v>0</v>
      </c>
      <c r="CE457" s="75">
        <f t="shared" si="34"/>
        <v>3118</v>
      </c>
      <c r="CF457" s="69" t="str">
        <f t="shared" si="34"/>
        <v>صيدلة اكلينيكى</v>
      </c>
    </row>
    <row r="458" spans="2:84" ht="18.75" x14ac:dyDescent="0.25">
      <c r="B458" s="82">
        <v>5331</v>
      </c>
      <c r="C458" s="78">
        <v>3119</v>
      </c>
      <c r="D458" s="71" t="s">
        <v>132</v>
      </c>
      <c r="E458" s="107" t="s">
        <v>3736</v>
      </c>
      <c r="F458" s="69"/>
      <c r="G458" s="69">
        <v>293.12</v>
      </c>
      <c r="T458" s="69"/>
      <c r="U458" s="69"/>
      <c r="AR458" s="91">
        <f t="shared" si="31"/>
        <v>293.12</v>
      </c>
      <c r="AS458" s="69">
        <v>196.45</v>
      </c>
      <c r="AT458" s="69">
        <v>26.05</v>
      </c>
      <c r="AU458" s="69">
        <v>70.62</v>
      </c>
      <c r="BC458" s="69"/>
      <c r="BD458" s="69"/>
      <c r="CC458" s="94">
        <f t="shared" si="32"/>
        <v>293.12</v>
      </c>
      <c r="CD458" s="73">
        <f t="shared" si="33"/>
        <v>0</v>
      </c>
      <c r="CE458" s="75">
        <f t="shared" si="34"/>
        <v>3119</v>
      </c>
      <c r="CF458" s="69" t="str">
        <f t="shared" si="34"/>
        <v>صيدلة اكلينيكى</v>
      </c>
    </row>
    <row r="459" spans="2:84" ht="18.75" x14ac:dyDescent="0.25">
      <c r="B459" s="82">
        <v>5332</v>
      </c>
      <c r="C459" s="78">
        <v>3120</v>
      </c>
      <c r="D459" s="71" t="s">
        <v>132</v>
      </c>
      <c r="E459" s="107" t="s">
        <v>3737</v>
      </c>
      <c r="F459" s="69"/>
      <c r="G459" s="69">
        <v>5789.3</v>
      </c>
      <c r="T459" s="69"/>
      <c r="U459" s="69"/>
      <c r="AR459" s="91">
        <f t="shared" si="31"/>
        <v>5789.3</v>
      </c>
      <c r="AS459" s="69">
        <v>3965.09</v>
      </c>
      <c r="AT459" s="69">
        <v>531.6</v>
      </c>
      <c r="AU459" s="69">
        <v>1292.6099999999999</v>
      </c>
      <c r="BC459" s="69"/>
      <c r="BD459" s="69"/>
      <c r="CC459" s="94">
        <f t="shared" si="32"/>
        <v>5789.3</v>
      </c>
      <c r="CD459" s="73">
        <f t="shared" si="33"/>
        <v>0</v>
      </c>
      <c r="CE459" s="75">
        <f t="shared" si="34"/>
        <v>3120</v>
      </c>
      <c r="CF459" s="69" t="str">
        <f t="shared" si="34"/>
        <v>صيدلة اكلينيكى</v>
      </c>
    </row>
    <row r="460" spans="2:84" ht="18.75" x14ac:dyDescent="0.25">
      <c r="B460" s="82">
        <v>5333</v>
      </c>
      <c r="C460" s="78">
        <v>3121</v>
      </c>
      <c r="D460" s="71" t="s">
        <v>132</v>
      </c>
      <c r="E460" s="107" t="s">
        <v>3737</v>
      </c>
      <c r="F460" s="69"/>
      <c r="G460" s="69">
        <v>1765.63</v>
      </c>
      <c r="T460" s="69"/>
      <c r="U460" s="69"/>
      <c r="AR460" s="91">
        <f t="shared" si="31"/>
        <v>1765.63</v>
      </c>
      <c r="AS460" s="69">
        <v>1249.3</v>
      </c>
      <c r="AT460" s="69">
        <v>163.19999999999999</v>
      </c>
      <c r="AU460" s="69">
        <v>353.13</v>
      </c>
      <c r="BC460" s="69"/>
      <c r="BD460" s="69"/>
      <c r="CC460" s="94">
        <f t="shared" si="32"/>
        <v>1765.63</v>
      </c>
      <c r="CD460" s="73">
        <f t="shared" si="33"/>
        <v>0</v>
      </c>
      <c r="CE460" s="75">
        <f t="shared" si="34"/>
        <v>3121</v>
      </c>
      <c r="CF460" s="69" t="str">
        <f t="shared" si="34"/>
        <v>صيدلة اكلينيكى</v>
      </c>
    </row>
    <row r="461" spans="2:84" ht="18.75" x14ac:dyDescent="0.25">
      <c r="B461" s="82">
        <v>5334</v>
      </c>
      <c r="C461" s="78">
        <v>3122</v>
      </c>
      <c r="D461" s="71" t="s">
        <v>132</v>
      </c>
      <c r="E461" s="107" t="s">
        <v>3737</v>
      </c>
      <c r="F461" s="69"/>
      <c r="G461" s="69">
        <v>762.12</v>
      </c>
      <c r="T461" s="69"/>
      <c r="U461" s="69"/>
      <c r="AR461" s="91">
        <f t="shared" si="31"/>
        <v>762.12</v>
      </c>
      <c r="AS461" s="69">
        <v>509.8</v>
      </c>
      <c r="AT461" s="69">
        <v>68.7</v>
      </c>
      <c r="AU461" s="69">
        <v>183.62</v>
      </c>
      <c r="BC461" s="69"/>
      <c r="BD461" s="69"/>
      <c r="CC461" s="94">
        <f t="shared" si="32"/>
        <v>762.12</v>
      </c>
      <c r="CD461" s="73">
        <f t="shared" si="33"/>
        <v>0</v>
      </c>
      <c r="CE461" s="75">
        <f t="shared" si="34"/>
        <v>3122</v>
      </c>
      <c r="CF461" s="69" t="str">
        <f t="shared" si="34"/>
        <v>صيدلة اكلينيكى</v>
      </c>
    </row>
    <row r="462" spans="2:84" ht="18.75" x14ac:dyDescent="0.25">
      <c r="B462" s="82">
        <v>5336</v>
      </c>
      <c r="C462" s="78">
        <v>3123</v>
      </c>
      <c r="D462" s="71" t="s">
        <v>132</v>
      </c>
      <c r="E462" s="107" t="s">
        <v>3738</v>
      </c>
      <c r="F462" s="69"/>
      <c r="G462" s="69">
        <v>586.25</v>
      </c>
      <c r="T462" s="69"/>
      <c r="U462" s="69"/>
      <c r="AR462" s="91">
        <f t="shared" si="31"/>
        <v>586.25</v>
      </c>
      <c r="AS462" s="69">
        <v>393.45</v>
      </c>
      <c r="AT462" s="69">
        <v>51.55</v>
      </c>
      <c r="AU462" s="69">
        <v>141.25</v>
      </c>
      <c r="BC462" s="69"/>
      <c r="BD462" s="69"/>
      <c r="CC462" s="94">
        <f t="shared" si="32"/>
        <v>586.25</v>
      </c>
      <c r="CD462" s="73">
        <f t="shared" si="33"/>
        <v>0</v>
      </c>
      <c r="CE462" s="75">
        <f t="shared" si="34"/>
        <v>3123</v>
      </c>
      <c r="CF462" s="69" t="str">
        <f t="shared" si="34"/>
        <v>صيدلة اكلينيكى</v>
      </c>
    </row>
    <row r="463" spans="2:84" ht="18.75" x14ac:dyDescent="0.25">
      <c r="B463" s="82">
        <v>5337</v>
      </c>
      <c r="C463" s="78">
        <v>3124</v>
      </c>
      <c r="D463" s="71" t="s">
        <v>132</v>
      </c>
      <c r="E463" s="107" t="s">
        <v>3738</v>
      </c>
      <c r="F463" s="69"/>
      <c r="G463" s="69">
        <v>410.38</v>
      </c>
      <c r="T463" s="69"/>
      <c r="U463" s="69"/>
      <c r="AR463" s="91">
        <f t="shared" si="31"/>
        <v>410.38</v>
      </c>
      <c r="AS463" s="69">
        <v>275.2</v>
      </c>
      <c r="AT463" s="69">
        <v>36.299999999999997</v>
      </c>
      <c r="AU463" s="69">
        <v>98.88</v>
      </c>
      <c r="BC463" s="69"/>
      <c r="BD463" s="69"/>
      <c r="CC463" s="94">
        <f t="shared" si="32"/>
        <v>410.38</v>
      </c>
      <c r="CD463" s="73">
        <f t="shared" si="33"/>
        <v>0</v>
      </c>
      <c r="CE463" s="75">
        <f t="shared" si="34"/>
        <v>3124</v>
      </c>
      <c r="CF463" s="69" t="str">
        <f t="shared" si="34"/>
        <v>صيدلة اكلينيكى</v>
      </c>
    </row>
    <row r="464" spans="2:84" ht="18.75" x14ac:dyDescent="0.25">
      <c r="B464" s="82">
        <v>5335</v>
      </c>
      <c r="C464" s="78">
        <v>3125</v>
      </c>
      <c r="D464" s="71" t="s">
        <v>132</v>
      </c>
      <c r="E464" s="107" t="str">
        <f>+E461</f>
        <v>مكافاه اعمال امتحانات صيف</v>
      </c>
      <c r="F464" s="69"/>
      <c r="G464" s="69">
        <v>3895.87</v>
      </c>
      <c r="T464" s="69"/>
      <c r="U464" s="69"/>
      <c r="AR464" s="91">
        <f t="shared" si="31"/>
        <v>3895.87</v>
      </c>
      <c r="AS464" s="69">
        <v>2914.55</v>
      </c>
      <c r="AT464" s="69">
        <v>373.95</v>
      </c>
      <c r="AU464" s="69">
        <v>607.37</v>
      </c>
      <c r="BC464" s="69"/>
      <c r="BD464" s="69"/>
      <c r="CC464" s="94">
        <f t="shared" si="32"/>
        <v>3895.87</v>
      </c>
      <c r="CD464" s="73">
        <f t="shared" si="33"/>
        <v>0</v>
      </c>
      <c r="CE464" s="75">
        <f t="shared" si="34"/>
        <v>3125</v>
      </c>
      <c r="CF464" s="69" t="str">
        <f t="shared" si="34"/>
        <v>صيدلة اكلينيكى</v>
      </c>
    </row>
    <row r="465" spans="2:84" ht="18.75" x14ac:dyDescent="0.25">
      <c r="B465" s="82">
        <v>5338</v>
      </c>
      <c r="C465" s="78">
        <v>3126</v>
      </c>
      <c r="D465" s="71" t="s">
        <v>132</v>
      </c>
      <c r="E465" s="107" t="str">
        <f>+E462</f>
        <v>مكافاه لجان مراقبه وملاحظه</v>
      </c>
      <c r="F465" s="69"/>
      <c r="G465" s="69">
        <v>1866.51</v>
      </c>
      <c r="T465" s="69"/>
      <c r="U465" s="69"/>
      <c r="AR465" s="91">
        <f t="shared" si="31"/>
        <v>1866.51</v>
      </c>
      <c r="AS465" s="69">
        <v>1303.4000000000001</v>
      </c>
      <c r="AT465" s="69">
        <v>167.6</v>
      </c>
      <c r="AU465" s="69">
        <v>395.51</v>
      </c>
      <c r="BC465" s="69"/>
      <c r="BD465" s="69"/>
      <c r="CC465" s="94">
        <f t="shared" si="32"/>
        <v>1866.51</v>
      </c>
      <c r="CD465" s="73">
        <f t="shared" si="33"/>
        <v>0</v>
      </c>
      <c r="CE465" s="75">
        <f t="shared" si="34"/>
        <v>3126</v>
      </c>
      <c r="CF465" s="69" t="str">
        <f t="shared" si="34"/>
        <v>صيدلة اكلينيكى</v>
      </c>
    </row>
    <row r="466" spans="2:84" ht="18.75" x14ac:dyDescent="0.25">
      <c r="B466" s="82">
        <v>5339</v>
      </c>
      <c r="C466" s="78">
        <v>3127</v>
      </c>
      <c r="D466" s="71" t="s">
        <v>132</v>
      </c>
      <c r="E466" s="107" t="s">
        <v>1858</v>
      </c>
      <c r="F466" s="69"/>
      <c r="G466" s="69">
        <v>10300</v>
      </c>
      <c r="T466" s="69"/>
      <c r="U466" s="69"/>
      <c r="AR466" s="91">
        <f t="shared" si="31"/>
        <v>10300</v>
      </c>
      <c r="AS466" s="69">
        <v>9194.9500000000007</v>
      </c>
      <c r="AT466" s="69">
        <v>1105.05</v>
      </c>
      <c r="BC466" s="69"/>
      <c r="BD466" s="69"/>
      <c r="CC466" s="94">
        <f t="shared" si="32"/>
        <v>10300</v>
      </c>
      <c r="CD466" s="73">
        <f t="shared" si="33"/>
        <v>0</v>
      </c>
      <c r="CE466" s="75">
        <f t="shared" si="34"/>
        <v>3127</v>
      </c>
      <c r="CF466" s="69" t="str">
        <f t="shared" si="34"/>
        <v>صيدلة اكلينيكى</v>
      </c>
    </row>
    <row r="467" spans="2:84" ht="18.75" x14ac:dyDescent="0.25">
      <c r="B467" s="82">
        <v>5340</v>
      </c>
      <c r="C467" s="78">
        <v>3128</v>
      </c>
      <c r="D467" s="71" t="s">
        <v>132</v>
      </c>
      <c r="E467" s="107" t="s">
        <v>1858</v>
      </c>
      <c r="F467" s="69"/>
      <c r="G467" s="69">
        <v>433068.32</v>
      </c>
      <c r="T467" s="69"/>
      <c r="U467" s="69"/>
      <c r="AR467" s="91">
        <f t="shared" si="31"/>
        <v>433068.32</v>
      </c>
      <c r="AS467" s="69">
        <v>385977.54</v>
      </c>
      <c r="AT467" s="69">
        <v>46372.95</v>
      </c>
      <c r="AU467" s="69">
        <v>717.83</v>
      </c>
      <c r="BC467" s="69"/>
      <c r="BD467" s="69"/>
      <c r="CC467" s="94">
        <f t="shared" si="32"/>
        <v>433068.32</v>
      </c>
      <c r="CD467" s="73">
        <f t="shared" si="33"/>
        <v>0</v>
      </c>
      <c r="CE467" s="75">
        <f t="shared" si="34"/>
        <v>3128</v>
      </c>
      <c r="CF467" s="69" t="str">
        <f t="shared" si="34"/>
        <v>صيدلة اكلينيكى</v>
      </c>
    </row>
    <row r="468" spans="2:84" ht="18.75" x14ac:dyDescent="0.25">
      <c r="B468" s="82">
        <v>5341</v>
      </c>
      <c r="C468" s="78">
        <v>3129</v>
      </c>
      <c r="D468" s="71" t="s">
        <v>132</v>
      </c>
      <c r="E468" s="107" t="s">
        <v>3739</v>
      </c>
      <c r="F468" s="69"/>
      <c r="G468" s="69">
        <v>1906.99</v>
      </c>
      <c r="T468" s="69"/>
      <c r="U468" s="69"/>
      <c r="AR468" s="91">
        <f t="shared" ref="AR468:AR531" si="35">SUM(G468:AQ468)</f>
        <v>1906.99</v>
      </c>
      <c r="AS468" s="69">
        <v>1569.63</v>
      </c>
      <c r="AT468" s="69">
        <v>194.9</v>
      </c>
      <c r="AU468" s="69">
        <v>142.46</v>
      </c>
      <c r="BC468" s="69"/>
      <c r="BD468" s="69"/>
      <c r="CC468" s="94">
        <f t="shared" ref="CC468:CC531" si="36">SUM(AS468:CB468)</f>
        <v>1906.9900000000002</v>
      </c>
      <c r="CD468" s="73">
        <f t="shared" ref="CD468:CD531" si="37">+CC468-AR468</f>
        <v>0</v>
      </c>
      <c r="CE468" s="75">
        <f t="shared" ref="CE468:CF531" si="38">+C468</f>
        <v>3129</v>
      </c>
      <c r="CF468" s="69" t="str">
        <f t="shared" si="38"/>
        <v>صيدلة اكلينيكى</v>
      </c>
    </row>
    <row r="469" spans="2:84" ht="18.75" x14ac:dyDescent="0.25">
      <c r="B469" s="82">
        <v>5342</v>
      </c>
      <c r="C469" s="78">
        <v>3130</v>
      </c>
      <c r="D469" s="71" t="s">
        <v>132</v>
      </c>
      <c r="E469" s="107" t="s">
        <v>3739</v>
      </c>
      <c r="F469" s="69"/>
      <c r="G469" s="69">
        <v>6750</v>
      </c>
      <c r="T469" s="69"/>
      <c r="U469" s="69"/>
      <c r="AR469" s="91">
        <f t="shared" si="35"/>
        <v>6750</v>
      </c>
      <c r="AS469" s="69">
        <v>6021.4</v>
      </c>
      <c r="AT469" s="69">
        <v>728.6</v>
      </c>
      <c r="BC469" s="69"/>
      <c r="BD469" s="69"/>
      <c r="CC469" s="94">
        <f t="shared" si="36"/>
        <v>6750</v>
      </c>
      <c r="CD469" s="73">
        <f t="shared" si="37"/>
        <v>0</v>
      </c>
      <c r="CE469" s="75">
        <f t="shared" si="38"/>
        <v>3130</v>
      </c>
      <c r="CF469" s="69" t="str">
        <f t="shared" si="38"/>
        <v>صيدلة اكلينيكى</v>
      </c>
    </row>
    <row r="470" spans="2:84" ht="18.75" x14ac:dyDescent="0.25">
      <c r="B470" s="82">
        <v>5343</v>
      </c>
      <c r="C470" s="78">
        <v>3131</v>
      </c>
      <c r="D470" s="71" t="s">
        <v>132</v>
      </c>
      <c r="E470" s="107" t="s">
        <v>3739</v>
      </c>
      <c r="F470" s="69"/>
      <c r="G470" s="69">
        <v>2940</v>
      </c>
      <c r="T470" s="69"/>
      <c r="U470" s="69"/>
      <c r="AR470" s="91">
        <f t="shared" si="35"/>
        <v>2940</v>
      </c>
      <c r="AS470" s="69">
        <v>2624.3</v>
      </c>
      <c r="AT470" s="69">
        <v>315.7</v>
      </c>
      <c r="BC470" s="69"/>
      <c r="BD470" s="69"/>
      <c r="CC470" s="94">
        <f t="shared" si="36"/>
        <v>2940</v>
      </c>
      <c r="CD470" s="73">
        <f t="shared" si="37"/>
        <v>0</v>
      </c>
      <c r="CE470" s="75">
        <f t="shared" si="38"/>
        <v>3131</v>
      </c>
      <c r="CF470" s="69" t="str">
        <f t="shared" si="38"/>
        <v>صيدلة اكلينيكى</v>
      </c>
    </row>
    <row r="471" spans="2:84" ht="18.75" x14ac:dyDescent="0.25">
      <c r="B471" s="82">
        <v>5344</v>
      </c>
      <c r="C471" s="78">
        <v>3132</v>
      </c>
      <c r="D471" s="71" t="s">
        <v>132</v>
      </c>
      <c r="E471" s="107" t="s">
        <v>3739</v>
      </c>
      <c r="F471" s="69"/>
      <c r="G471" s="69">
        <v>41170.400000000001</v>
      </c>
      <c r="T471" s="69"/>
      <c r="U471" s="69"/>
      <c r="AR471" s="91">
        <f t="shared" si="35"/>
        <v>41170.400000000001</v>
      </c>
      <c r="AS471" s="69">
        <v>36506.199999999997</v>
      </c>
      <c r="AT471" s="69">
        <v>4415.8</v>
      </c>
      <c r="AU471" s="69">
        <v>248.4</v>
      </c>
      <c r="BC471" s="69"/>
      <c r="BD471" s="69"/>
      <c r="CC471" s="94">
        <f t="shared" si="36"/>
        <v>41170.400000000001</v>
      </c>
      <c r="CD471" s="73">
        <f t="shared" si="37"/>
        <v>0</v>
      </c>
      <c r="CE471" s="75">
        <f t="shared" si="38"/>
        <v>3132</v>
      </c>
      <c r="CF471" s="69" t="str">
        <f t="shared" si="38"/>
        <v>صيدلة اكلينيكى</v>
      </c>
    </row>
    <row r="472" spans="2:84" ht="18.75" x14ac:dyDescent="0.25">
      <c r="B472" s="82">
        <v>5345</v>
      </c>
      <c r="C472" s="78">
        <v>3133</v>
      </c>
      <c r="D472" s="71" t="s">
        <v>132</v>
      </c>
      <c r="E472" s="107" t="s">
        <v>3739</v>
      </c>
      <c r="F472" s="69"/>
      <c r="G472" s="69">
        <v>1937.45</v>
      </c>
      <c r="T472" s="69"/>
      <c r="U472" s="69"/>
      <c r="AR472" s="91">
        <f t="shared" si="35"/>
        <v>1937.45</v>
      </c>
      <c r="AS472" s="69">
        <v>1336.84</v>
      </c>
      <c r="AT472" s="69">
        <v>179</v>
      </c>
      <c r="AU472" s="69">
        <v>421.61</v>
      </c>
      <c r="BC472" s="69"/>
      <c r="BD472" s="69"/>
      <c r="CC472" s="94">
        <f t="shared" si="36"/>
        <v>1937.4499999999998</v>
      </c>
      <c r="CD472" s="73">
        <f t="shared" si="37"/>
        <v>0</v>
      </c>
      <c r="CE472" s="75">
        <f t="shared" si="38"/>
        <v>3133</v>
      </c>
      <c r="CF472" s="69" t="str">
        <f t="shared" si="38"/>
        <v>صيدلة اكلينيكى</v>
      </c>
    </row>
    <row r="473" spans="2:84" ht="18.75" x14ac:dyDescent="0.25">
      <c r="B473" s="82">
        <v>5346</v>
      </c>
      <c r="C473" s="78">
        <v>3134</v>
      </c>
      <c r="D473" s="71" t="s">
        <v>132</v>
      </c>
      <c r="E473" s="107" t="s">
        <v>3739</v>
      </c>
      <c r="F473" s="69"/>
      <c r="G473" s="69">
        <v>3570</v>
      </c>
      <c r="T473" s="69"/>
      <c r="U473" s="69"/>
      <c r="AR473" s="91">
        <f t="shared" si="35"/>
        <v>3570</v>
      </c>
      <c r="AS473" s="69">
        <v>3186.6</v>
      </c>
      <c r="AT473" s="69">
        <v>383.4</v>
      </c>
      <c r="BC473" s="69"/>
      <c r="BD473" s="69"/>
      <c r="CC473" s="94">
        <f t="shared" si="36"/>
        <v>3570</v>
      </c>
      <c r="CD473" s="73">
        <f t="shared" si="37"/>
        <v>0</v>
      </c>
      <c r="CE473" s="75">
        <f t="shared" si="38"/>
        <v>3134</v>
      </c>
      <c r="CF473" s="69" t="str">
        <f t="shared" si="38"/>
        <v>صيدلة اكلينيكى</v>
      </c>
    </row>
    <row r="474" spans="2:84" ht="18.75" x14ac:dyDescent="0.25">
      <c r="B474" s="82">
        <v>5347</v>
      </c>
      <c r="C474" s="78">
        <v>3135</v>
      </c>
      <c r="D474" s="71" t="s">
        <v>132</v>
      </c>
      <c r="E474" s="107" t="s">
        <v>3739</v>
      </c>
      <c r="F474" s="69"/>
      <c r="G474" s="69">
        <v>3210.94</v>
      </c>
      <c r="T474" s="69"/>
      <c r="U474" s="69"/>
      <c r="AR474" s="91">
        <f t="shared" si="35"/>
        <v>3210.94</v>
      </c>
      <c r="AS474" s="69">
        <v>2452.8200000000002</v>
      </c>
      <c r="AT474" s="69">
        <v>314.39999999999998</v>
      </c>
      <c r="AU474" s="69">
        <v>443.72</v>
      </c>
      <c r="BC474" s="69"/>
      <c r="BD474" s="69"/>
      <c r="CC474" s="94">
        <f t="shared" si="36"/>
        <v>3210.9400000000005</v>
      </c>
      <c r="CD474" s="73">
        <f t="shared" si="37"/>
        <v>0</v>
      </c>
      <c r="CE474" s="75">
        <f t="shared" si="38"/>
        <v>3135</v>
      </c>
      <c r="CF474" s="69" t="str">
        <f t="shared" si="38"/>
        <v>صيدلة اكلينيكى</v>
      </c>
    </row>
    <row r="475" spans="2:84" ht="18.75" x14ac:dyDescent="0.25">
      <c r="B475" s="82">
        <v>5348</v>
      </c>
      <c r="C475" s="78">
        <v>3136</v>
      </c>
      <c r="D475" s="71" t="s">
        <v>132</v>
      </c>
      <c r="E475" s="107" t="s">
        <v>3739</v>
      </c>
      <c r="F475" s="69"/>
      <c r="G475" s="69">
        <v>11162.99</v>
      </c>
      <c r="T475" s="69"/>
      <c r="U475" s="69"/>
      <c r="AR475" s="91">
        <f t="shared" si="35"/>
        <v>11162.99</v>
      </c>
      <c r="AS475" s="69">
        <v>8481.5400000000009</v>
      </c>
      <c r="AT475" s="69">
        <v>1088</v>
      </c>
      <c r="AU475" s="69">
        <v>1593.45</v>
      </c>
      <c r="BC475" s="69"/>
      <c r="BD475" s="69"/>
      <c r="CC475" s="94">
        <f t="shared" si="36"/>
        <v>11162.990000000002</v>
      </c>
      <c r="CD475" s="73">
        <f t="shared" si="37"/>
        <v>0</v>
      </c>
      <c r="CE475" s="75">
        <f t="shared" si="38"/>
        <v>3136</v>
      </c>
      <c r="CF475" s="69" t="str">
        <f t="shared" si="38"/>
        <v>صيدلة اكلينيكى</v>
      </c>
    </row>
    <row r="476" spans="2:84" ht="18.75" x14ac:dyDescent="0.25">
      <c r="B476" s="82">
        <v>5349</v>
      </c>
      <c r="C476" s="78">
        <v>3137</v>
      </c>
      <c r="D476" s="71" t="s">
        <v>132</v>
      </c>
      <c r="E476" s="107" t="s">
        <v>3739</v>
      </c>
      <c r="F476" s="69"/>
      <c r="G476" s="69">
        <v>1800</v>
      </c>
      <c r="T476" s="69"/>
      <c r="U476" s="69"/>
      <c r="AR476" s="91">
        <f t="shared" si="35"/>
        <v>1800</v>
      </c>
      <c r="AS476" s="69">
        <v>1606.85</v>
      </c>
      <c r="AT476" s="69">
        <v>193.15</v>
      </c>
      <c r="BC476" s="69"/>
      <c r="BD476" s="69"/>
      <c r="CC476" s="94">
        <f t="shared" si="36"/>
        <v>1800</v>
      </c>
      <c r="CD476" s="73">
        <f t="shared" si="37"/>
        <v>0</v>
      </c>
      <c r="CE476" s="75">
        <f t="shared" si="38"/>
        <v>3137</v>
      </c>
      <c r="CF476" s="69" t="str">
        <f t="shared" si="38"/>
        <v>صيدلة اكلينيكى</v>
      </c>
    </row>
    <row r="477" spans="2:84" ht="18.75" x14ac:dyDescent="0.25">
      <c r="B477" s="82">
        <v>5350</v>
      </c>
      <c r="C477" s="78">
        <v>3138</v>
      </c>
      <c r="D477" s="71" t="s">
        <v>132</v>
      </c>
      <c r="E477" s="107" t="s">
        <v>3739</v>
      </c>
      <c r="F477" s="69"/>
      <c r="G477" s="69">
        <v>6300</v>
      </c>
      <c r="T477" s="69"/>
      <c r="U477" s="69"/>
      <c r="AR477" s="91">
        <f t="shared" si="35"/>
        <v>6300</v>
      </c>
      <c r="AS477" s="69">
        <v>5620</v>
      </c>
      <c r="AT477" s="69">
        <v>680</v>
      </c>
      <c r="BC477" s="69"/>
      <c r="BD477" s="69"/>
      <c r="CC477" s="94">
        <f t="shared" si="36"/>
        <v>6300</v>
      </c>
      <c r="CD477" s="73">
        <f t="shared" si="37"/>
        <v>0</v>
      </c>
      <c r="CE477" s="75">
        <f t="shared" si="38"/>
        <v>3138</v>
      </c>
      <c r="CF477" s="69" t="str">
        <f t="shared" si="38"/>
        <v>صيدلة اكلينيكى</v>
      </c>
    </row>
    <row r="478" spans="2:84" ht="18.75" x14ac:dyDescent="0.25">
      <c r="B478" s="82">
        <v>5351</v>
      </c>
      <c r="C478" s="78">
        <v>3139</v>
      </c>
      <c r="D478" s="71" t="s">
        <v>132</v>
      </c>
      <c r="E478" s="107" t="s">
        <v>3739</v>
      </c>
      <c r="F478" s="69"/>
      <c r="G478" s="69">
        <v>1470</v>
      </c>
      <c r="T478" s="69"/>
      <c r="U478" s="69"/>
      <c r="AR478" s="91">
        <f t="shared" si="35"/>
        <v>1470</v>
      </c>
      <c r="AS478" s="69">
        <v>1313.35</v>
      </c>
      <c r="AT478" s="69">
        <v>156.65</v>
      </c>
      <c r="BC478" s="69"/>
      <c r="BD478" s="69"/>
      <c r="CC478" s="94">
        <f t="shared" si="36"/>
        <v>1470</v>
      </c>
      <c r="CD478" s="73">
        <f t="shared" si="37"/>
        <v>0</v>
      </c>
      <c r="CE478" s="75">
        <f t="shared" si="38"/>
        <v>3139</v>
      </c>
      <c r="CF478" s="69" t="str">
        <f t="shared" si="38"/>
        <v>صيدلة اكلينيكى</v>
      </c>
    </row>
    <row r="479" spans="2:84" ht="18.75" x14ac:dyDescent="0.25">
      <c r="B479" s="82">
        <v>5352</v>
      </c>
      <c r="C479" s="78">
        <v>3140</v>
      </c>
      <c r="D479" s="71" t="s">
        <v>132</v>
      </c>
      <c r="E479" s="107" t="s">
        <v>3739</v>
      </c>
      <c r="F479" s="69"/>
      <c r="G479" s="69">
        <v>58760</v>
      </c>
      <c r="T479" s="69"/>
      <c r="U479" s="69"/>
      <c r="AR479" s="91">
        <f t="shared" si="35"/>
        <v>58760</v>
      </c>
      <c r="AS479" s="69">
        <v>52485</v>
      </c>
      <c r="AT479" s="69">
        <v>6275</v>
      </c>
      <c r="BC479" s="69"/>
      <c r="BD479" s="69"/>
      <c r="CC479" s="94">
        <f t="shared" si="36"/>
        <v>58760</v>
      </c>
      <c r="CD479" s="73">
        <f t="shared" si="37"/>
        <v>0</v>
      </c>
      <c r="CE479" s="75">
        <f t="shared" si="38"/>
        <v>3140</v>
      </c>
      <c r="CF479" s="69" t="str">
        <f t="shared" si="38"/>
        <v>صيدلة اكلينيكى</v>
      </c>
    </row>
    <row r="480" spans="2:84" ht="18.75" x14ac:dyDescent="0.25">
      <c r="B480" s="82">
        <v>5353</v>
      </c>
      <c r="C480" s="78">
        <v>3141</v>
      </c>
      <c r="D480" s="71" t="s">
        <v>132</v>
      </c>
      <c r="E480" s="107" t="s">
        <v>3739</v>
      </c>
      <c r="F480" s="69"/>
      <c r="G480" s="69">
        <v>64487.56</v>
      </c>
      <c r="T480" s="69"/>
      <c r="U480" s="69"/>
      <c r="AR480" s="91">
        <f t="shared" si="35"/>
        <v>64487.56</v>
      </c>
      <c r="AS480" s="69">
        <v>43205.19</v>
      </c>
      <c r="AT480" s="69">
        <f>5500+244.81</f>
        <v>5744.81</v>
      </c>
      <c r="AU480" s="69">
        <v>15537.56</v>
      </c>
      <c r="BC480" s="69"/>
      <c r="BD480" s="69"/>
      <c r="CC480" s="94">
        <f t="shared" si="36"/>
        <v>64487.56</v>
      </c>
      <c r="CD480" s="73">
        <f t="shared" si="37"/>
        <v>0</v>
      </c>
      <c r="CE480" s="75">
        <f t="shared" si="38"/>
        <v>3141</v>
      </c>
      <c r="CF480" s="69" t="str">
        <f t="shared" si="38"/>
        <v>صيدلة اكلينيكى</v>
      </c>
    </row>
    <row r="481" spans="2:84" ht="18.75" x14ac:dyDescent="0.25">
      <c r="B481" s="82">
        <v>5354</v>
      </c>
      <c r="C481" s="78">
        <v>3142</v>
      </c>
      <c r="D481" s="71" t="s">
        <v>132</v>
      </c>
      <c r="E481" s="107" t="s">
        <v>3739</v>
      </c>
      <c r="F481" s="69"/>
      <c r="G481" s="69">
        <v>2100</v>
      </c>
      <c r="T481" s="69"/>
      <c r="U481" s="69"/>
      <c r="AR481" s="91">
        <f t="shared" si="35"/>
        <v>2100</v>
      </c>
      <c r="AS481" s="69">
        <v>1874.6</v>
      </c>
      <c r="AT481" s="69">
        <v>225.4</v>
      </c>
      <c r="BC481" s="69"/>
      <c r="BD481" s="69"/>
      <c r="CC481" s="94">
        <f t="shared" si="36"/>
        <v>2100</v>
      </c>
      <c r="CD481" s="73">
        <f t="shared" si="37"/>
        <v>0</v>
      </c>
      <c r="CE481" s="75">
        <f t="shared" si="38"/>
        <v>3142</v>
      </c>
      <c r="CF481" s="69" t="str">
        <f t="shared" si="38"/>
        <v>صيدلة اكلينيكى</v>
      </c>
    </row>
    <row r="482" spans="2:84" ht="18.75" x14ac:dyDescent="0.25">
      <c r="B482" s="82">
        <v>5393</v>
      </c>
      <c r="C482" s="78">
        <v>3143</v>
      </c>
      <c r="D482" s="71" t="s">
        <v>78</v>
      </c>
      <c r="E482" s="107" t="s">
        <v>3740</v>
      </c>
      <c r="F482" s="69"/>
      <c r="G482" s="69">
        <v>8000</v>
      </c>
      <c r="T482" s="69"/>
      <c r="U482" s="69"/>
      <c r="AR482" s="91">
        <f t="shared" si="35"/>
        <v>8000</v>
      </c>
      <c r="AS482" s="69">
        <v>7141.4</v>
      </c>
      <c r="AT482" s="69">
        <v>858.6</v>
      </c>
      <c r="BC482" s="69"/>
      <c r="BD482" s="69"/>
      <c r="CC482" s="94">
        <f t="shared" si="36"/>
        <v>8000</v>
      </c>
      <c r="CD482" s="73">
        <f t="shared" si="37"/>
        <v>0</v>
      </c>
      <c r="CE482" s="75">
        <f t="shared" si="38"/>
        <v>3143</v>
      </c>
      <c r="CF482" s="69" t="str">
        <f t="shared" si="38"/>
        <v>برنامج دولى</v>
      </c>
    </row>
    <row r="483" spans="2:84" ht="18.75" x14ac:dyDescent="0.25">
      <c r="B483" s="82">
        <v>5398</v>
      </c>
      <c r="C483" s="78">
        <v>3144</v>
      </c>
      <c r="D483" s="71" t="s">
        <v>78</v>
      </c>
      <c r="E483" s="107" t="s">
        <v>3741</v>
      </c>
      <c r="F483" s="69"/>
      <c r="G483" s="69">
        <v>369.32</v>
      </c>
      <c r="T483" s="69"/>
      <c r="U483" s="69"/>
      <c r="AR483" s="91">
        <f t="shared" si="35"/>
        <v>369.32</v>
      </c>
      <c r="AS483" s="69">
        <v>248.22</v>
      </c>
      <c r="AT483" s="69">
        <v>32.1</v>
      </c>
      <c r="AU483" s="69">
        <v>89</v>
      </c>
      <c r="BC483" s="69"/>
      <c r="BD483" s="69"/>
      <c r="CC483" s="94">
        <f t="shared" si="36"/>
        <v>369.32</v>
      </c>
      <c r="CD483" s="73">
        <f t="shared" si="37"/>
        <v>0</v>
      </c>
      <c r="CE483" s="75">
        <f t="shared" si="38"/>
        <v>3144</v>
      </c>
      <c r="CF483" s="69" t="str">
        <f t="shared" si="38"/>
        <v>برنامج دولى</v>
      </c>
    </row>
    <row r="484" spans="2:84" ht="18.75" x14ac:dyDescent="0.25">
      <c r="B484" s="82">
        <v>5397</v>
      </c>
      <c r="C484" s="78">
        <v>3145</v>
      </c>
      <c r="D484" s="71" t="s">
        <v>78</v>
      </c>
      <c r="E484" s="107" t="s">
        <v>3741</v>
      </c>
      <c r="F484" s="69"/>
      <c r="G484" s="69">
        <v>630</v>
      </c>
      <c r="T484" s="69"/>
      <c r="U484" s="69"/>
      <c r="AR484" s="91">
        <f t="shared" si="35"/>
        <v>630</v>
      </c>
      <c r="AS484" s="69">
        <v>562.9</v>
      </c>
      <c r="AT484" s="69">
        <v>67.099999999999994</v>
      </c>
      <c r="BC484" s="69"/>
      <c r="BD484" s="69"/>
      <c r="CC484" s="94">
        <f t="shared" si="36"/>
        <v>630</v>
      </c>
      <c r="CD484" s="73">
        <f t="shared" si="37"/>
        <v>0</v>
      </c>
      <c r="CE484" s="75">
        <f t="shared" si="38"/>
        <v>3145</v>
      </c>
      <c r="CF484" s="69" t="str">
        <f t="shared" si="38"/>
        <v>برنامج دولى</v>
      </c>
    </row>
    <row r="485" spans="2:84" ht="18.75" x14ac:dyDescent="0.25">
      <c r="B485" s="82">
        <v>5396</v>
      </c>
      <c r="C485" s="78">
        <v>3146</v>
      </c>
      <c r="D485" s="71" t="s">
        <v>78</v>
      </c>
      <c r="E485" s="107" t="s">
        <v>3742</v>
      </c>
      <c r="F485" s="69"/>
      <c r="G485" s="69">
        <v>630</v>
      </c>
      <c r="T485" s="69"/>
      <c r="U485" s="69"/>
      <c r="AR485" s="91">
        <f t="shared" si="35"/>
        <v>630</v>
      </c>
      <c r="AS485" s="69">
        <v>562.9</v>
      </c>
      <c r="AT485" s="69">
        <v>67.099999999999994</v>
      </c>
      <c r="BC485" s="69"/>
      <c r="BD485" s="69"/>
      <c r="CC485" s="94">
        <f t="shared" si="36"/>
        <v>630</v>
      </c>
      <c r="CD485" s="73">
        <f t="shared" si="37"/>
        <v>0</v>
      </c>
      <c r="CE485" s="75">
        <f t="shared" si="38"/>
        <v>3146</v>
      </c>
      <c r="CF485" s="69" t="str">
        <f t="shared" si="38"/>
        <v>برنامج دولى</v>
      </c>
    </row>
    <row r="486" spans="2:84" ht="18.75" x14ac:dyDescent="0.25">
      <c r="B486" s="82">
        <v>5395</v>
      </c>
      <c r="C486" s="78">
        <v>3147</v>
      </c>
      <c r="D486" s="71" t="s">
        <v>78</v>
      </c>
      <c r="E486" s="107" t="str">
        <f>+E483</f>
        <v>مكافاه فرقه سادسه</v>
      </c>
      <c r="F486" s="69"/>
      <c r="G486" s="69">
        <v>638.62</v>
      </c>
      <c r="T486" s="69"/>
      <c r="U486" s="69"/>
      <c r="AR486" s="91">
        <f t="shared" si="35"/>
        <v>638.62</v>
      </c>
      <c r="AS486" s="69">
        <v>557.45000000000005</v>
      </c>
      <c r="AT486" s="69">
        <v>67.05</v>
      </c>
      <c r="AU486" s="69">
        <v>14.12</v>
      </c>
      <c r="BC486" s="69"/>
      <c r="BD486" s="69"/>
      <c r="CC486" s="94">
        <f t="shared" si="36"/>
        <v>638.62</v>
      </c>
      <c r="CD486" s="73">
        <f t="shared" si="37"/>
        <v>0</v>
      </c>
      <c r="CE486" s="75">
        <f t="shared" si="38"/>
        <v>3147</v>
      </c>
      <c r="CF486" s="69" t="str">
        <f t="shared" si="38"/>
        <v>برنامج دولى</v>
      </c>
    </row>
    <row r="487" spans="2:84" ht="18.75" x14ac:dyDescent="0.25">
      <c r="B487" s="82">
        <v>5392</v>
      </c>
      <c r="C487" s="78">
        <v>3148</v>
      </c>
      <c r="D487" s="71" t="s">
        <v>78</v>
      </c>
      <c r="E487" s="107" t="str">
        <f t="shared" ref="E487" si="39">+E484</f>
        <v>مكافاه فرقه سادسه</v>
      </c>
      <c r="F487" s="69"/>
      <c r="G487" s="69">
        <v>738.68</v>
      </c>
      <c r="T487" s="69"/>
      <c r="U487" s="69"/>
      <c r="AR487" s="91">
        <f t="shared" si="35"/>
        <v>738.68</v>
      </c>
      <c r="AS487" s="69">
        <v>494.1</v>
      </c>
      <c r="AT487" s="69">
        <v>66.599999999999994</v>
      </c>
      <c r="AU487" s="69">
        <v>177.98</v>
      </c>
      <c r="BC487" s="69"/>
      <c r="BD487" s="69"/>
      <c r="CC487" s="94">
        <f t="shared" si="36"/>
        <v>738.68000000000006</v>
      </c>
      <c r="CD487" s="73">
        <f t="shared" si="37"/>
        <v>0</v>
      </c>
      <c r="CE487" s="75">
        <f t="shared" si="38"/>
        <v>3148</v>
      </c>
      <c r="CF487" s="69" t="str">
        <f t="shared" si="38"/>
        <v>برنامج دولى</v>
      </c>
    </row>
    <row r="488" spans="2:84" ht="18.75" x14ac:dyDescent="0.25">
      <c r="B488" s="82">
        <v>5400</v>
      </c>
      <c r="C488" s="78">
        <v>3149</v>
      </c>
      <c r="D488" s="71" t="s">
        <v>78</v>
      </c>
      <c r="E488" s="107" t="str">
        <f>+E487</f>
        <v>مكافاه فرقه سادسه</v>
      </c>
      <c r="F488" s="69"/>
      <c r="G488" s="69">
        <v>2607.46</v>
      </c>
      <c r="T488" s="69"/>
      <c r="U488" s="69"/>
      <c r="AR488" s="91">
        <f t="shared" si="35"/>
        <v>2607.46</v>
      </c>
      <c r="AS488" s="69">
        <v>1956.86</v>
      </c>
      <c r="AT488" s="69">
        <v>507.37</v>
      </c>
      <c r="AU488" s="69">
        <v>143.22999999999999</v>
      </c>
      <c r="BC488" s="69"/>
      <c r="BD488" s="69"/>
      <c r="CC488" s="94">
        <f t="shared" si="36"/>
        <v>2607.46</v>
      </c>
      <c r="CD488" s="73">
        <f t="shared" si="37"/>
        <v>0</v>
      </c>
      <c r="CE488" s="75">
        <f t="shared" si="38"/>
        <v>3149</v>
      </c>
      <c r="CF488" s="69" t="str">
        <f t="shared" si="38"/>
        <v>برنامج دولى</v>
      </c>
    </row>
    <row r="489" spans="2:84" ht="18.75" x14ac:dyDescent="0.25">
      <c r="B489" s="82">
        <v>5401</v>
      </c>
      <c r="C489" s="78">
        <v>3150</v>
      </c>
      <c r="D489" s="71" t="s">
        <v>78</v>
      </c>
      <c r="E489" s="107" t="s">
        <v>1932</v>
      </c>
      <c r="F489" s="69"/>
      <c r="G489" s="69">
        <v>8864.1</v>
      </c>
      <c r="T489" s="69"/>
      <c r="U489" s="69"/>
      <c r="AR489" s="91">
        <f t="shared" si="35"/>
        <v>8864.1</v>
      </c>
      <c r="AS489" s="69">
        <v>5923.4</v>
      </c>
      <c r="AT489" s="69">
        <v>805</v>
      </c>
      <c r="AU489" s="69">
        <v>2135.6999999999998</v>
      </c>
      <c r="BC489" s="69"/>
      <c r="BD489" s="69"/>
      <c r="CC489" s="94">
        <f t="shared" si="36"/>
        <v>8864.0999999999985</v>
      </c>
      <c r="CD489" s="73">
        <f t="shared" si="37"/>
        <v>0</v>
      </c>
      <c r="CE489" s="75">
        <f t="shared" si="38"/>
        <v>3150</v>
      </c>
      <c r="CF489" s="69" t="str">
        <f t="shared" si="38"/>
        <v>برنامج دولى</v>
      </c>
    </row>
    <row r="490" spans="2:84" ht="18.75" x14ac:dyDescent="0.25">
      <c r="B490" s="82">
        <v>5391</v>
      </c>
      <c r="C490" s="78">
        <v>3151</v>
      </c>
      <c r="D490" s="71" t="s">
        <v>78</v>
      </c>
      <c r="E490" s="107" t="s">
        <v>1932</v>
      </c>
      <c r="F490" s="69"/>
      <c r="G490" s="69">
        <v>8190</v>
      </c>
      <c r="T490" s="69"/>
      <c r="U490" s="69"/>
      <c r="AR490" s="91">
        <f t="shared" si="35"/>
        <v>8190</v>
      </c>
      <c r="AS490" s="69">
        <v>7310.3</v>
      </c>
      <c r="AT490" s="69">
        <v>879.7</v>
      </c>
      <c r="BC490" s="69"/>
      <c r="BD490" s="69"/>
      <c r="CC490" s="94">
        <f t="shared" si="36"/>
        <v>8190</v>
      </c>
      <c r="CD490" s="73">
        <f t="shared" si="37"/>
        <v>0</v>
      </c>
      <c r="CE490" s="75">
        <f t="shared" si="38"/>
        <v>3151</v>
      </c>
      <c r="CF490" s="69" t="str">
        <f t="shared" si="38"/>
        <v>برنامج دولى</v>
      </c>
    </row>
    <row r="491" spans="2:84" ht="18.75" x14ac:dyDescent="0.25">
      <c r="B491" s="82">
        <v>5394</v>
      </c>
      <c r="C491" s="78">
        <v>3152</v>
      </c>
      <c r="D491" s="71" t="s">
        <v>78</v>
      </c>
      <c r="E491" s="107" t="str">
        <f>+E485</f>
        <v>عب تدريس شرج وقولون</v>
      </c>
      <c r="F491" s="69"/>
      <c r="G491" s="69">
        <v>879.38</v>
      </c>
      <c r="T491" s="69"/>
      <c r="U491" s="69"/>
      <c r="AR491" s="91">
        <f t="shared" si="35"/>
        <v>879.38</v>
      </c>
      <c r="AS491" s="69">
        <v>588.64</v>
      </c>
      <c r="AT491" s="69">
        <f>75+3.86</f>
        <v>78.86</v>
      </c>
      <c r="AU491" s="69">
        <v>211.88</v>
      </c>
      <c r="BC491" s="69"/>
      <c r="BD491" s="69"/>
      <c r="CC491" s="94">
        <f t="shared" si="36"/>
        <v>879.38</v>
      </c>
      <c r="CD491" s="73">
        <f t="shared" si="37"/>
        <v>0</v>
      </c>
      <c r="CE491" s="75">
        <f t="shared" si="38"/>
        <v>3152</v>
      </c>
      <c r="CF491" s="69" t="str">
        <f t="shared" si="38"/>
        <v>برنامج دولى</v>
      </c>
    </row>
    <row r="492" spans="2:84" ht="18.75" x14ac:dyDescent="0.25">
      <c r="B492" s="82">
        <v>5386</v>
      </c>
      <c r="C492" s="78">
        <v>3153</v>
      </c>
      <c r="D492" s="71" t="s">
        <v>78</v>
      </c>
      <c r="E492" s="107" t="str">
        <f>+E487</f>
        <v>مكافاه فرقه سادسه</v>
      </c>
      <c r="F492" s="69"/>
      <c r="G492" s="69">
        <v>10130.4</v>
      </c>
      <c r="T492" s="69"/>
      <c r="U492" s="69"/>
      <c r="AR492" s="91">
        <f t="shared" si="35"/>
        <v>10130.4</v>
      </c>
      <c r="AS492" s="69">
        <v>6764.45</v>
      </c>
      <c r="AT492" s="69">
        <f>61.15+864</f>
        <v>925.15</v>
      </c>
      <c r="AU492" s="69">
        <v>2440.8000000000002</v>
      </c>
      <c r="BC492" s="69"/>
      <c r="BD492" s="69"/>
      <c r="CC492" s="94">
        <f t="shared" si="36"/>
        <v>10130.4</v>
      </c>
      <c r="CD492" s="73">
        <f t="shared" si="37"/>
        <v>0</v>
      </c>
      <c r="CE492" s="75">
        <f t="shared" si="38"/>
        <v>3153</v>
      </c>
      <c r="CF492" s="69" t="str">
        <f t="shared" si="38"/>
        <v>برنامج دولى</v>
      </c>
    </row>
    <row r="493" spans="2:84" ht="18.75" x14ac:dyDescent="0.25">
      <c r="B493" s="82">
        <v>5399</v>
      </c>
      <c r="C493" s="78">
        <v>3154</v>
      </c>
      <c r="D493" s="71" t="s">
        <v>78</v>
      </c>
      <c r="E493" s="107" t="str">
        <f>+E490</f>
        <v>عب تدريس جهاز هضمى</v>
      </c>
      <c r="F493" s="69"/>
      <c r="G493" s="69">
        <v>4572.75</v>
      </c>
      <c r="T493" s="69"/>
      <c r="U493" s="69"/>
      <c r="AR493" s="91">
        <f t="shared" si="35"/>
        <v>4572.75</v>
      </c>
      <c r="AS493" s="69">
        <v>3053.91</v>
      </c>
      <c r="AT493" s="69">
        <f>390+27.09</f>
        <v>417.09</v>
      </c>
      <c r="AU493" s="69">
        <v>1101.75</v>
      </c>
      <c r="BC493" s="69"/>
      <c r="BD493" s="69"/>
      <c r="CC493" s="94">
        <f t="shared" si="36"/>
        <v>4572.75</v>
      </c>
      <c r="CD493" s="73">
        <f t="shared" si="37"/>
        <v>0</v>
      </c>
      <c r="CE493" s="75">
        <f t="shared" si="38"/>
        <v>3154</v>
      </c>
      <c r="CF493" s="69" t="str">
        <f t="shared" si="38"/>
        <v>برنامج دولى</v>
      </c>
    </row>
    <row r="494" spans="2:84" ht="18.75" x14ac:dyDescent="0.25">
      <c r="B494" s="82">
        <v>5370</v>
      </c>
      <c r="C494" s="78">
        <v>3155</v>
      </c>
      <c r="D494" s="71" t="s">
        <v>78</v>
      </c>
      <c r="E494" s="107" t="s">
        <v>3743</v>
      </c>
      <c r="F494" s="69"/>
      <c r="G494" s="69">
        <v>422.1</v>
      </c>
      <c r="T494" s="69"/>
      <c r="U494" s="69"/>
      <c r="AR494" s="91">
        <f t="shared" si="35"/>
        <v>422.1</v>
      </c>
      <c r="AS494" s="69">
        <v>282.60000000000002</v>
      </c>
      <c r="AT494" s="69">
        <v>37.799999999999997</v>
      </c>
      <c r="AU494" s="69">
        <v>101.7</v>
      </c>
      <c r="BC494" s="69"/>
      <c r="BD494" s="69"/>
      <c r="CC494" s="94">
        <f t="shared" si="36"/>
        <v>422.1</v>
      </c>
      <c r="CD494" s="73">
        <f t="shared" si="37"/>
        <v>0</v>
      </c>
      <c r="CE494" s="75">
        <f t="shared" si="38"/>
        <v>3155</v>
      </c>
      <c r="CF494" s="69" t="str">
        <f t="shared" si="38"/>
        <v>برنامج دولى</v>
      </c>
    </row>
    <row r="495" spans="2:84" ht="18.75" x14ac:dyDescent="0.25">
      <c r="B495" s="82">
        <v>5368</v>
      </c>
      <c r="C495" s="78">
        <v>3156</v>
      </c>
      <c r="D495" s="71" t="s">
        <v>78</v>
      </c>
      <c r="E495" s="107" t="s">
        <v>3743</v>
      </c>
      <c r="F495" s="69"/>
      <c r="G495" s="69">
        <v>492.45</v>
      </c>
      <c r="T495" s="69"/>
      <c r="U495" s="69"/>
      <c r="AR495" s="91">
        <f t="shared" si="35"/>
        <v>492.45</v>
      </c>
      <c r="AS495" s="69">
        <v>329.7</v>
      </c>
      <c r="AT495" s="69">
        <v>44.1</v>
      </c>
      <c r="AU495" s="69">
        <v>118.65</v>
      </c>
      <c r="BC495" s="69"/>
      <c r="BD495" s="69"/>
      <c r="CC495" s="94">
        <f t="shared" si="36"/>
        <v>492.45000000000005</v>
      </c>
      <c r="CD495" s="73">
        <f t="shared" si="37"/>
        <v>0</v>
      </c>
      <c r="CE495" s="75">
        <f t="shared" si="38"/>
        <v>3156</v>
      </c>
      <c r="CF495" s="69" t="str">
        <f t="shared" si="38"/>
        <v>برنامج دولى</v>
      </c>
    </row>
    <row r="496" spans="2:84" ht="18.75" x14ac:dyDescent="0.25">
      <c r="B496" s="82">
        <v>5369</v>
      </c>
      <c r="C496" s="78">
        <v>3157</v>
      </c>
      <c r="D496" s="71" t="s">
        <v>78</v>
      </c>
      <c r="E496" s="107" t="s">
        <v>3743</v>
      </c>
      <c r="F496" s="69"/>
      <c r="G496" s="69">
        <v>5760</v>
      </c>
      <c r="T496" s="69"/>
      <c r="U496" s="69"/>
      <c r="AR496" s="91">
        <f t="shared" si="35"/>
        <v>5760</v>
      </c>
      <c r="AS496" s="69">
        <v>5141.5</v>
      </c>
      <c r="AT496" s="69">
        <v>618.5</v>
      </c>
      <c r="BC496" s="69"/>
      <c r="BD496" s="69"/>
      <c r="CC496" s="94">
        <f t="shared" si="36"/>
        <v>5760</v>
      </c>
      <c r="CD496" s="73">
        <f t="shared" si="37"/>
        <v>0</v>
      </c>
      <c r="CE496" s="75">
        <f t="shared" si="38"/>
        <v>3157</v>
      </c>
      <c r="CF496" s="69" t="str">
        <f t="shared" si="38"/>
        <v>برنامج دولى</v>
      </c>
    </row>
    <row r="497" spans="1:84" ht="18.75" x14ac:dyDescent="0.25">
      <c r="B497" s="82">
        <v>5367</v>
      </c>
      <c r="C497" s="78">
        <v>3158</v>
      </c>
      <c r="D497" s="71" t="s">
        <v>78</v>
      </c>
      <c r="E497" s="107" t="s">
        <v>3743</v>
      </c>
      <c r="F497" s="69"/>
      <c r="G497" s="69">
        <v>351.75</v>
      </c>
      <c r="T497" s="69"/>
      <c r="U497" s="69"/>
      <c r="AR497" s="91">
        <f t="shared" si="35"/>
        <v>351.75</v>
      </c>
      <c r="AS497" s="69">
        <v>235.55</v>
      </c>
      <c r="AT497" s="69">
        <v>31.45</v>
      </c>
      <c r="AU497" s="69">
        <v>84.75</v>
      </c>
      <c r="BC497" s="69"/>
      <c r="BD497" s="69"/>
      <c r="CC497" s="94">
        <f t="shared" si="36"/>
        <v>351.75</v>
      </c>
      <c r="CD497" s="73">
        <f t="shared" si="37"/>
        <v>0</v>
      </c>
      <c r="CE497" s="75">
        <f t="shared" si="38"/>
        <v>3158</v>
      </c>
      <c r="CF497" s="69" t="str">
        <f t="shared" si="38"/>
        <v>برنامج دولى</v>
      </c>
    </row>
    <row r="498" spans="1:84" ht="18.75" x14ac:dyDescent="0.25">
      <c r="B498" s="82">
        <v>5377</v>
      </c>
      <c r="C498" s="78">
        <v>3159</v>
      </c>
      <c r="D498" s="71" t="s">
        <v>78</v>
      </c>
      <c r="E498" s="107" t="s">
        <v>3744</v>
      </c>
      <c r="F498" s="69"/>
      <c r="G498" s="69">
        <v>10860</v>
      </c>
      <c r="T498" s="69"/>
      <c r="U498" s="69"/>
      <c r="AR498" s="91">
        <f t="shared" si="35"/>
        <v>10860</v>
      </c>
      <c r="AS498" s="69">
        <v>9694.2999999999993</v>
      </c>
      <c r="AT498" s="69">
        <v>1165.7</v>
      </c>
      <c r="BC498" s="69"/>
      <c r="BD498" s="69"/>
      <c r="CC498" s="94">
        <f t="shared" si="36"/>
        <v>10860</v>
      </c>
      <c r="CD498" s="73">
        <f t="shared" si="37"/>
        <v>0</v>
      </c>
      <c r="CE498" s="75">
        <f t="shared" si="38"/>
        <v>3159</v>
      </c>
      <c r="CF498" s="69" t="str">
        <f t="shared" si="38"/>
        <v>برنامج دولى</v>
      </c>
    </row>
    <row r="499" spans="1:84" ht="18.75" x14ac:dyDescent="0.25">
      <c r="B499" s="82">
        <v>5378</v>
      </c>
      <c r="C499" s="78">
        <v>3160</v>
      </c>
      <c r="D499" s="71" t="s">
        <v>78</v>
      </c>
      <c r="E499" s="107" t="s">
        <v>3744</v>
      </c>
      <c r="F499" s="69"/>
      <c r="G499" s="69">
        <v>165</v>
      </c>
      <c r="T499" s="69"/>
      <c r="U499" s="69"/>
      <c r="AR499" s="91">
        <f t="shared" si="35"/>
        <v>165</v>
      </c>
      <c r="AS499" s="69">
        <v>147.80000000000001</v>
      </c>
      <c r="AT499" s="69">
        <v>17.2</v>
      </c>
      <c r="BC499" s="69"/>
      <c r="BD499" s="69"/>
      <c r="CC499" s="94">
        <f t="shared" si="36"/>
        <v>165</v>
      </c>
      <c r="CD499" s="73">
        <f t="shared" si="37"/>
        <v>0</v>
      </c>
      <c r="CE499" s="75">
        <f t="shared" si="38"/>
        <v>3160</v>
      </c>
      <c r="CF499" s="69" t="str">
        <f t="shared" si="38"/>
        <v>برنامج دولى</v>
      </c>
    </row>
    <row r="500" spans="1:84" ht="18.75" x14ac:dyDescent="0.25">
      <c r="B500" s="82">
        <v>5379</v>
      </c>
      <c r="C500" s="78">
        <v>3161</v>
      </c>
      <c r="D500" s="71" t="s">
        <v>78</v>
      </c>
      <c r="E500" s="107" t="s">
        <v>3744</v>
      </c>
      <c r="F500" s="69"/>
      <c r="G500" s="69">
        <v>61.56</v>
      </c>
      <c r="T500" s="69"/>
      <c r="U500" s="69"/>
      <c r="AR500" s="91">
        <f t="shared" si="35"/>
        <v>61.56</v>
      </c>
      <c r="AS500" s="69">
        <v>41.49</v>
      </c>
      <c r="AT500" s="69">
        <v>5.25</v>
      </c>
      <c r="AU500" s="69">
        <v>14.82</v>
      </c>
      <c r="BC500" s="69"/>
      <c r="BD500" s="69"/>
      <c r="CC500" s="94">
        <f t="shared" si="36"/>
        <v>61.56</v>
      </c>
      <c r="CD500" s="73">
        <f t="shared" si="37"/>
        <v>0</v>
      </c>
      <c r="CE500" s="75">
        <f t="shared" si="38"/>
        <v>3161</v>
      </c>
      <c r="CF500" s="69" t="str">
        <f t="shared" si="38"/>
        <v>برنامج دولى</v>
      </c>
    </row>
    <row r="501" spans="1:84" ht="18.75" x14ac:dyDescent="0.25">
      <c r="B501" s="82">
        <v>5376</v>
      </c>
      <c r="C501" s="78">
        <v>3162</v>
      </c>
      <c r="D501" s="71" t="s">
        <v>78</v>
      </c>
      <c r="E501" s="107" t="s">
        <v>3744</v>
      </c>
      <c r="F501" s="69"/>
      <c r="G501" s="69">
        <v>228.64</v>
      </c>
      <c r="T501" s="69"/>
      <c r="U501" s="69"/>
      <c r="AR501" s="91">
        <f t="shared" si="35"/>
        <v>228.64</v>
      </c>
      <c r="AS501" s="69">
        <v>153.44999999999999</v>
      </c>
      <c r="AT501" s="69">
        <v>20.100000000000001</v>
      </c>
      <c r="AU501" s="69">
        <v>55.09</v>
      </c>
      <c r="BC501" s="69"/>
      <c r="BD501" s="69"/>
      <c r="CC501" s="94">
        <f t="shared" si="36"/>
        <v>228.64</v>
      </c>
      <c r="CD501" s="73">
        <f t="shared" si="37"/>
        <v>0</v>
      </c>
      <c r="CE501" s="75">
        <f t="shared" si="38"/>
        <v>3162</v>
      </c>
      <c r="CF501" s="69" t="str">
        <f t="shared" si="38"/>
        <v>برنامج دولى</v>
      </c>
    </row>
    <row r="502" spans="1:84" ht="18.75" x14ac:dyDescent="0.25">
      <c r="B502" s="82">
        <v>5385</v>
      </c>
      <c r="C502" s="78">
        <v>3163</v>
      </c>
      <c r="D502" s="71" t="s">
        <v>78</v>
      </c>
      <c r="E502" s="107" t="s">
        <v>587</v>
      </c>
      <c r="F502" s="69"/>
      <c r="G502" s="69">
        <v>1800</v>
      </c>
      <c r="T502" s="69"/>
      <c r="U502" s="69"/>
      <c r="AR502" s="91">
        <f t="shared" si="35"/>
        <v>1800</v>
      </c>
      <c r="AS502" s="69">
        <v>1606.85</v>
      </c>
      <c r="AT502" s="69">
        <v>193.15</v>
      </c>
      <c r="BC502" s="69"/>
      <c r="BD502" s="69"/>
      <c r="CC502" s="94">
        <f t="shared" si="36"/>
        <v>1800</v>
      </c>
      <c r="CD502" s="73">
        <f t="shared" si="37"/>
        <v>0</v>
      </c>
      <c r="CE502" s="75">
        <f t="shared" si="38"/>
        <v>3163</v>
      </c>
      <c r="CF502" s="69" t="str">
        <f t="shared" si="38"/>
        <v>برنامج دولى</v>
      </c>
    </row>
    <row r="503" spans="1:84" ht="18.75" x14ac:dyDescent="0.25">
      <c r="B503" s="82">
        <v>5384</v>
      </c>
      <c r="C503" s="78">
        <v>3164</v>
      </c>
      <c r="D503" s="71" t="s">
        <v>78</v>
      </c>
      <c r="E503" s="107" t="s">
        <v>587</v>
      </c>
      <c r="F503" s="69"/>
      <c r="G503" s="69">
        <v>18360</v>
      </c>
      <c r="T503" s="69"/>
      <c r="U503" s="69"/>
      <c r="AR503" s="91">
        <f t="shared" si="35"/>
        <v>18360</v>
      </c>
      <c r="AS503" s="69">
        <v>16381.9</v>
      </c>
      <c r="AT503" s="69">
        <v>1978.1</v>
      </c>
      <c r="BC503" s="69"/>
      <c r="BD503" s="69"/>
      <c r="CC503" s="94">
        <f t="shared" si="36"/>
        <v>18360</v>
      </c>
      <c r="CD503" s="73">
        <f t="shared" si="37"/>
        <v>0</v>
      </c>
      <c r="CE503" s="75">
        <f t="shared" si="38"/>
        <v>3164</v>
      </c>
      <c r="CF503" s="69" t="str">
        <f t="shared" si="38"/>
        <v>برنامج دولى</v>
      </c>
    </row>
    <row r="504" spans="1:84" ht="18.75" x14ac:dyDescent="0.25">
      <c r="B504" s="82">
        <v>5390</v>
      </c>
      <c r="C504" s="78">
        <v>3165</v>
      </c>
      <c r="D504" s="71" t="s">
        <v>78</v>
      </c>
      <c r="E504" s="107" t="s">
        <v>3745</v>
      </c>
      <c r="F504" s="69"/>
      <c r="G504" s="69">
        <v>1440</v>
      </c>
      <c r="T504" s="69"/>
      <c r="U504" s="69"/>
      <c r="AR504" s="91">
        <f t="shared" si="35"/>
        <v>1440</v>
      </c>
      <c r="AS504" s="69">
        <v>1286.5999999999999</v>
      </c>
      <c r="AT504" s="69">
        <v>153.4</v>
      </c>
      <c r="BC504" s="69"/>
      <c r="BD504" s="69"/>
      <c r="CC504" s="94">
        <f t="shared" si="36"/>
        <v>1440</v>
      </c>
      <c r="CD504" s="73">
        <f t="shared" si="37"/>
        <v>0</v>
      </c>
      <c r="CE504" s="75">
        <f t="shared" si="38"/>
        <v>3165</v>
      </c>
      <c r="CF504" s="69" t="str">
        <f t="shared" si="38"/>
        <v>برنامج دولى</v>
      </c>
    </row>
    <row r="505" spans="1:84" ht="18.75" x14ac:dyDescent="0.25">
      <c r="B505" s="82">
        <v>5381</v>
      </c>
      <c r="C505" s="78">
        <v>3166</v>
      </c>
      <c r="D505" s="71" t="s">
        <v>78</v>
      </c>
      <c r="E505" s="107" t="s">
        <v>3746</v>
      </c>
      <c r="F505" s="69"/>
      <c r="G505" s="69">
        <v>633.15</v>
      </c>
      <c r="T505" s="69"/>
      <c r="U505" s="69"/>
      <c r="AR505" s="91">
        <f t="shared" si="35"/>
        <v>633.15</v>
      </c>
      <c r="AS505" s="69">
        <v>423.55</v>
      </c>
      <c r="AT505" s="69">
        <v>57.05</v>
      </c>
      <c r="AU505" s="69">
        <v>152.55000000000001</v>
      </c>
      <c r="BC505" s="69"/>
      <c r="BD505" s="69"/>
      <c r="CC505" s="94">
        <f t="shared" si="36"/>
        <v>633.15000000000009</v>
      </c>
      <c r="CD505" s="73">
        <f t="shared" si="37"/>
        <v>0</v>
      </c>
      <c r="CE505" s="75">
        <f t="shared" si="38"/>
        <v>3166</v>
      </c>
      <c r="CF505" s="69" t="str">
        <f t="shared" si="38"/>
        <v>برنامج دولى</v>
      </c>
    </row>
    <row r="506" spans="1:84" ht="18.75" x14ac:dyDescent="0.25">
      <c r="B506" s="82">
        <v>5382</v>
      </c>
      <c r="C506" s="78">
        <v>3167</v>
      </c>
      <c r="D506" s="71" t="s">
        <v>78</v>
      </c>
      <c r="E506" s="107" t="s">
        <v>3746</v>
      </c>
      <c r="F506" s="69"/>
      <c r="G506" s="69">
        <v>2160</v>
      </c>
      <c r="T506" s="69"/>
      <c r="U506" s="69"/>
      <c r="AR506" s="91">
        <f t="shared" si="35"/>
        <v>2160</v>
      </c>
      <c r="AS506" s="69">
        <v>1928.5</v>
      </c>
      <c r="AT506" s="69">
        <v>231.5</v>
      </c>
      <c r="BC506" s="69"/>
      <c r="BD506" s="69"/>
      <c r="CC506" s="94">
        <f t="shared" si="36"/>
        <v>2160</v>
      </c>
      <c r="CD506" s="73">
        <f t="shared" si="37"/>
        <v>0</v>
      </c>
      <c r="CE506" s="75">
        <f t="shared" si="38"/>
        <v>3167</v>
      </c>
      <c r="CF506" s="69" t="str">
        <f t="shared" si="38"/>
        <v>برنامج دولى</v>
      </c>
    </row>
    <row r="507" spans="1:84" ht="18.75" x14ac:dyDescent="0.25">
      <c r="B507" s="82">
        <v>5383</v>
      </c>
      <c r="C507" s="78">
        <v>3168</v>
      </c>
      <c r="D507" s="71" t="s">
        <v>78</v>
      </c>
      <c r="E507" s="107" t="s">
        <v>3746</v>
      </c>
      <c r="F507" s="69"/>
      <c r="G507" s="69">
        <v>1899.45</v>
      </c>
      <c r="T507" s="69"/>
      <c r="U507" s="69"/>
      <c r="AR507" s="91">
        <f t="shared" si="35"/>
        <v>1899.45</v>
      </c>
      <c r="AS507" s="69">
        <v>1269.9000000000001</v>
      </c>
      <c r="AT507" s="69">
        <v>171.9</v>
      </c>
      <c r="AU507" s="69">
        <v>457.65</v>
      </c>
      <c r="BC507" s="69"/>
      <c r="BD507" s="69"/>
      <c r="CC507" s="94">
        <f t="shared" si="36"/>
        <v>1899.4500000000003</v>
      </c>
      <c r="CD507" s="73">
        <f t="shared" si="37"/>
        <v>0</v>
      </c>
      <c r="CE507" s="75">
        <f t="shared" si="38"/>
        <v>3168</v>
      </c>
      <c r="CF507" s="69" t="str">
        <f t="shared" si="38"/>
        <v>برنامج دولى</v>
      </c>
    </row>
    <row r="508" spans="1:84" ht="18.75" x14ac:dyDescent="0.25">
      <c r="B508" s="82">
        <v>5389</v>
      </c>
      <c r="C508" s="78">
        <v>3169</v>
      </c>
      <c r="D508" s="71" t="s">
        <v>78</v>
      </c>
      <c r="E508" s="107" t="str">
        <f>+E504</f>
        <v>عب تدريس قسم الجراحه فرقه 6</v>
      </c>
      <c r="F508" s="69"/>
      <c r="G508" s="69">
        <v>1688.4</v>
      </c>
      <c r="T508" s="69"/>
      <c r="U508" s="69"/>
      <c r="AR508" s="91">
        <f t="shared" si="35"/>
        <v>1688.4</v>
      </c>
      <c r="AS508" s="69">
        <v>1129.8499999999999</v>
      </c>
      <c r="AT508" s="69">
        <v>151.75</v>
      </c>
      <c r="AU508" s="69">
        <v>406.8</v>
      </c>
      <c r="BC508" s="69"/>
      <c r="BD508" s="69"/>
      <c r="CC508" s="94">
        <f t="shared" si="36"/>
        <v>1688.3999999999999</v>
      </c>
      <c r="CD508" s="73">
        <f t="shared" si="37"/>
        <v>0</v>
      </c>
      <c r="CE508" s="75">
        <f t="shared" si="38"/>
        <v>3169</v>
      </c>
      <c r="CF508" s="69" t="str">
        <f t="shared" si="38"/>
        <v>برنامج دولى</v>
      </c>
    </row>
    <row r="509" spans="1:84" ht="18.75" x14ac:dyDescent="0.25">
      <c r="B509" s="82">
        <v>5388</v>
      </c>
      <c r="C509" s="78">
        <v>3170</v>
      </c>
      <c r="D509" s="71" t="s">
        <v>78</v>
      </c>
      <c r="E509" s="107" t="str">
        <f>+E508</f>
        <v>عب تدريس قسم الجراحه فرقه 6</v>
      </c>
      <c r="F509" s="69"/>
      <c r="G509" s="69">
        <v>10800</v>
      </c>
      <c r="T509" s="69"/>
      <c r="U509" s="69"/>
      <c r="AR509" s="91">
        <f t="shared" si="35"/>
        <v>10800</v>
      </c>
      <c r="AS509" s="69">
        <v>9638</v>
      </c>
      <c r="AT509" s="69">
        <v>1162</v>
      </c>
      <c r="BC509" s="69"/>
      <c r="BD509" s="69"/>
      <c r="CC509" s="94">
        <f t="shared" si="36"/>
        <v>10800</v>
      </c>
      <c r="CD509" s="73">
        <f t="shared" si="37"/>
        <v>0</v>
      </c>
      <c r="CE509" s="75">
        <f t="shared" si="38"/>
        <v>3170</v>
      </c>
      <c r="CF509" s="69" t="str">
        <f t="shared" si="38"/>
        <v>برنامج دولى</v>
      </c>
    </row>
    <row r="510" spans="1:84" ht="18.75" x14ac:dyDescent="0.25">
      <c r="B510" s="82">
        <v>5387</v>
      </c>
      <c r="C510" s="78">
        <v>3171</v>
      </c>
      <c r="D510" s="71" t="s">
        <v>78</v>
      </c>
      <c r="E510" s="107" t="str">
        <f>+E509</f>
        <v>عب تدريس قسم الجراحه فرقه 6</v>
      </c>
      <c r="F510" s="69"/>
      <c r="G510" s="69">
        <v>10800</v>
      </c>
      <c r="T510" s="69"/>
      <c r="U510" s="69"/>
      <c r="AR510" s="91">
        <f t="shared" si="35"/>
        <v>10800</v>
      </c>
      <c r="AS510" s="69">
        <v>9638</v>
      </c>
      <c r="AT510" s="69">
        <v>1162</v>
      </c>
      <c r="BC510" s="69"/>
      <c r="BD510" s="69"/>
      <c r="CC510" s="94">
        <f t="shared" si="36"/>
        <v>10800</v>
      </c>
      <c r="CD510" s="73">
        <f t="shared" si="37"/>
        <v>0</v>
      </c>
      <c r="CE510" s="75">
        <f t="shared" si="38"/>
        <v>3171</v>
      </c>
      <c r="CF510" s="69" t="str">
        <f t="shared" si="38"/>
        <v>برنامج دولى</v>
      </c>
    </row>
    <row r="511" spans="1:84" ht="18.75" x14ac:dyDescent="0.25">
      <c r="A511" s="69">
        <v>1</v>
      </c>
      <c r="B511" s="82">
        <v>5511</v>
      </c>
      <c r="C511" s="78">
        <v>3172</v>
      </c>
      <c r="D511" s="71" t="s">
        <v>132</v>
      </c>
      <c r="E511" s="107" t="s">
        <v>3747</v>
      </c>
      <c r="F511" s="69"/>
      <c r="T511" s="69"/>
      <c r="U511" s="69"/>
      <c r="W511" s="69">
        <v>399</v>
      </c>
      <c r="AR511" s="91">
        <f t="shared" si="35"/>
        <v>399</v>
      </c>
      <c r="AS511" s="69">
        <v>399</v>
      </c>
      <c r="AT511" s="69"/>
      <c r="BC511" s="69"/>
      <c r="BD511" s="69"/>
      <c r="CC511" s="94">
        <f t="shared" si="36"/>
        <v>399</v>
      </c>
      <c r="CD511" s="73">
        <f t="shared" si="37"/>
        <v>0</v>
      </c>
      <c r="CE511" s="75">
        <f t="shared" si="38"/>
        <v>3172</v>
      </c>
      <c r="CF511" s="69" t="str">
        <f t="shared" si="38"/>
        <v>صيدلة اكلينيكى</v>
      </c>
    </row>
    <row r="512" spans="1:84" ht="18.75" x14ac:dyDescent="0.25">
      <c r="A512" s="69">
        <v>2</v>
      </c>
      <c r="B512" s="82">
        <v>5818</v>
      </c>
      <c r="C512" s="78">
        <v>3173</v>
      </c>
      <c r="D512" s="71" t="s">
        <v>132</v>
      </c>
      <c r="E512" s="107" t="s">
        <v>3748</v>
      </c>
      <c r="F512" s="69"/>
      <c r="T512" s="69">
        <v>22173.77</v>
      </c>
      <c r="U512" s="69"/>
      <c r="AR512" s="91">
        <f t="shared" si="35"/>
        <v>22173.77</v>
      </c>
      <c r="AS512" s="69">
        <v>22173.77</v>
      </c>
      <c r="AT512" s="69"/>
      <c r="BC512" s="69"/>
      <c r="BD512" s="69"/>
      <c r="CC512" s="94">
        <f t="shared" si="36"/>
        <v>22173.77</v>
      </c>
      <c r="CD512" s="73">
        <f t="shared" si="37"/>
        <v>0</v>
      </c>
      <c r="CE512" s="75">
        <f t="shared" si="38"/>
        <v>3173</v>
      </c>
      <c r="CF512" s="69" t="str">
        <f t="shared" si="38"/>
        <v>صيدلة اكلينيكى</v>
      </c>
    </row>
    <row r="513" spans="1:84" ht="18.75" x14ac:dyDescent="0.25">
      <c r="A513" s="69">
        <v>3</v>
      </c>
      <c r="B513" s="82">
        <v>5819</v>
      </c>
      <c r="C513" s="78">
        <v>3174</v>
      </c>
      <c r="D513" s="71" t="s">
        <v>132</v>
      </c>
      <c r="E513" s="107" t="s">
        <v>3749</v>
      </c>
      <c r="F513" s="69"/>
      <c r="T513" s="69">
        <v>1412.68</v>
      </c>
      <c r="U513" s="69"/>
      <c r="AR513" s="91">
        <f t="shared" si="35"/>
        <v>1412.68</v>
      </c>
      <c r="AS513" s="69">
        <v>1412.68</v>
      </c>
      <c r="AT513" s="69"/>
      <c r="BC513" s="69"/>
      <c r="BD513" s="69"/>
      <c r="CC513" s="94">
        <f t="shared" si="36"/>
        <v>1412.68</v>
      </c>
      <c r="CD513" s="73">
        <f t="shared" si="37"/>
        <v>0</v>
      </c>
      <c r="CE513" s="75">
        <f t="shared" si="38"/>
        <v>3174</v>
      </c>
      <c r="CF513" s="69" t="str">
        <f t="shared" si="38"/>
        <v>صيدلة اكلينيكى</v>
      </c>
    </row>
    <row r="514" spans="1:84" ht="18.75" x14ac:dyDescent="0.25">
      <c r="A514" s="69">
        <v>4</v>
      </c>
      <c r="B514" s="82">
        <v>5820</v>
      </c>
      <c r="C514" s="78">
        <v>3175</v>
      </c>
      <c r="D514" s="71" t="s">
        <v>132</v>
      </c>
      <c r="E514" s="107" t="s">
        <v>3750</v>
      </c>
      <c r="F514" s="69"/>
      <c r="T514" s="69">
        <v>16735.5</v>
      </c>
      <c r="U514" s="69"/>
      <c r="AR514" s="91">
        <f t="shared" si="35"/>
        <v>16735.5</v>
      </c>
      <c r="AS514" s="69">
        <v>16735.5</v>
      </c>
      <c r="AT514" s="69"/>
      <c r="BC514" s="69"/>
      <c r="BD514" s="69"/>
      <c r="CC514" s="94">
        <f t="shared" si="36"/>
        <v>16735.5</v>
      </c>
      <c r="CD514" s="73">
        <f t="shared" si="37"/>
        <v>0</v>
      </c>
      <c r="CE514" s="75">
        <f t="shared" si="38"/>
        <v>3175</v>
      </c>
      <c r="CF514" s="69" t="str">
        <f t="shared" si="38"/>
        <v>صيدلة اكلينيكى</v>
      </c>
    </row>
    <row r="515" spans="1:84" ht="18.75" x14ac:dyDescent="0.25">
      <c r="A515" s="69">
        <v>5</v>
      </c>
      <c r="B515" s="82">
        <v>5821</v>
      </c>
      <c r="C515" s="78">
        <v>3176</v>
      </c>
      <c r="D515" s="71" t="s">
        <v>132</v>
      </c>
      <c r="E515" s="107" t="s">
        <v>3751</v>
      </c>
      <c r="F515" s="69"/>
      <c r="T515" s="69"/>
      <c r="U515" s="69">
        <v>306</v>
      </c>
      <c r="AR515" s="91">
        <f t="shared" si="35"/>
        <v>306</v>
      </c>
      <c r="AS515" s="69">
        <v>306</v>
      </c>
      <c r="AT515" s="69"/>
      <c r="BC515" s="69"/>
      <c r="BD515" s="69"/>
      <c r="CC515" s="94">
        <f t="shared" si="36"/>
        <v>306</v>
      </c>
      <c r="CD515" s="73">
        <f t="shared" si="37"/>
        <v>0</v>
      </c>
      <c r="CE515" s="75">
        <f t="shared" si="38"/>
        <v>3176</v>
      </c>
      <c r="CF515" s="69" t="str">
        <f t="shared" si="38"/>
        <v>صيدلة اكلينيكى</v>
      </c>
    </row>
    <row r="516" spans="1:84" ht="18.75" x14ac:dyDescent="0.25">
      <c r="A516" s="69">
        <v>6</v>
      </c>
      <c r="B516" s="82">
        <v>5822</v>
      </c>
      <c r="C516" s="78">
        <v>3177</v>
      </c>
      <c r="D516" s="71" t="s">
        <v>119</v>
      </c>
      <c r="E516" s="107" t="str">
        <f t="shared" ref="E516:E521" si="40">+E512</f>
        <v>كسب عمل سبتمبر</v>
      </c>
      <c r="F516" s="69"/>
      <c r="T516" s="69">
        <v>66891.820000000007</v>
      </c>
      <c r="U516" s="69"/>
      <c r="AR516" s="91">
        <f t="shared" si="35"/>
        <v>66891.820000000007</v>
      </c>
      <c r="AS516" s="69">
        <v>66891.820000000007</v>
      </c>
      <c r="AT516" s="69"/>
      <c r="BC516" s="69"/>
      <c r="BD516" s="69"/>
      <c r="CC516" s="94">
        <f t="shared" si="36"/>
        <v>66891.820000000007</v>
      </c>
      <c r="CD516" s="73">
        <f t="shared" si="37"/>
        <v>0</v>
      </c>
      <c r="CE516" s="75">
        <f t="shared" si="38"/>
        <v>3177</v>
      </c>
      <c r="CF516" s="69" t="str">
        <f t="shared" si="38"/>
        <v>خ ت صيدلة</v>
      </c>
    </row>
    <row r="517" spans="1:84" ht="18.75" x14ac:dyDescent="0.25">
      <c r="A517" s="69">
        <v>7</v>
      </c>
      <c r="B517" s="82">
        <v>5823</v>
      </c>
      <c r="C517" s="78">
        <v>3178</v>
      </c>
      <c r="D517" s="71" t="s">
        <v>119</v>
      </c>
      <c r="E517" s="107" t="str">
        <f t="shared" si="40"/>
        <v>دمغه عاديه سبتمبر</v>
      </c>
      <c r="F517" s="69"/>
      <c r="T517" s="69">
        <v>3102.8</v>
      </c>
      <c r="U517" s="69"/>
      <c r="AR517" s="91">
        <f t="shared" si="35"/>
        <v>3102.8</v>
      </c>
      <c r="AS517" s="69">
        <v>3102.8</v>
      </c>
      <c r="AT517" s="69"/>
      <c r="BC517" s="69"/>
      <c r="BD517" s="69"/>
      <c r="CC517" s="94">
        <f t="shared" si="36"/>
        <v>3102.8</v>
      </c>
      <c r="CD517" s="73">
        <f t="shared" si="37"/>
        <v>0</v>
      </c>
      <c r="CE517" s="75">
        <f t="shared" si="38"/>
        <v>3178</v>
      </c>
      <c r="CF517" s="69" t="str">
        <f t="shared" si="38"/>
        <v>خ ت صيدلة</v>
      </c>
    </row>
    <row r="518" spans="1:84" ht="18.75" x14ac:dyDescent="0.25">
      <c r="A518" s="69">
        <v>8</v>
      </c>
      <c r="B518" s="82">
        <v>5824</v>
      </c>
      <c r="C518" s="78">
        <v>3179</v>
      </c>
      <c r="D518" s="71" t="s">
        <v>119</v>
      </c>
      <c r="E518" s="107" t="str">
        <f t="shared" si="40"/>
        <v>ضرائب متنوعه سبتمبر</v>
      </c>
      <c r="F518" s="69"/>
      <c r="T518" s="69">
        <v>7281.2</v>
      </c>
      <c r="U518" s="69"/>
      <c r="AR518" s="91">
        <f t="shared" si="35"/>
        <v>7281.2</v>
      </c>
      <c r="AS518" s="69">
        <v>7281.2</v>
      </c>
      <c r="AT518" s="69"/>
      <c r="BC518" s="69"/>
      <c r="BD518" s="69"/>
      <c r="CC518" s="94">
        <f t="shared" si="36"/>
        <v>7281.2</v>
      </c>
      <c r="CD518" s="73">
        <f t="shared" si="37"/>
        <v>0</v>
      </c>
      <c r="CE518" s="75">
        <f t="shared" si="38"/>
        <v>3179</v>
      </c>
      <c r="CF518" s="69" t="str">
        <f t="shared" si="38"/>
        <v>خ ت صيدلة</v>
      </c>
    </row>
    <row r="519" spans="1:84" ht="18.75" x14ac:dyDescent="0.25">
      <c r="A519" s="69">
        <v>9</v>
      </c>
      <c r="B519" s="82">
        <v>5825</v>
      </c>
      <c r="C519" s="78">
        <v>3180</v>
      </c>
      <c r="D519" s="71" t="s">
        <v>119</v>
      </c>
      <c r="E519" s="107" t="str">
        <f t="shared" si="40"/>
        <v>تنميه موارد سبتمبر</v>
      </c>
      <c r="F519" s="69"/>
      <c r="T519" s="69"/>
      <c r="U519" s="69">
        <v>168</v>
      </c>
      <c r="AR519" s="91">
        <f t="shared" si="35"/>
        <v>168</v>
      </c>
      <c r="AS519" s="69">
        <v>168</v>
      </c>
      <c r="AT519" s="69"/>
      <c r="BC519" s="69"/>
      <c r="BD519" s="69"/>
      <c r="CC519" s="94">
        <f t="shared" si="36"/>
        <v>168</v>
      </c>
      <c r="CD519" s="73">
        <f t="shared" si="37"/>
        <v>0</v>
      </c>
      <c r="CE519" s="75">
        <f t="shared" si="38"/>
        <v>3180</v>
      </c>
      <c r="CF519" s="69" t="str">
        <f t="shared" si="38"/>
        <v>خ ت صيدلة</v>
      </c>
    </row>
    <row r="520" spans="1:84" ht="18.75" x14ac:dyDescent="0.25">
      <c r="A520" s="69">
        <v>10</v>
      </c>
      <c r="B520" s="82">
        <v>5826</v>
      </c>
      <c r="C520" s="78">
        <v>3181</v>
      </c>
      <c r="D520" s="71" t="s">
        <v>116</v>
      </c>
      <c r="E520" s="107" t="str">
        <f t="shared" si="40"/>
        <v>كسب عمل سبتمبر</v>
      </c>
      <c r="F520" s="69"/>
      <c r="T520" s="69">
        <v>45</v>
      </c>
      <c r="U520" s="69"/>
      <c r="AR520" s="91">
        <f t="shared" si="35"/>
        <v>45</v>
      </c>
      <c r="AS520" s="69">
        <v>45</v>
      </c>
      <c r="AT520" s="69"/>
      <c r="BC520" s="69"/>
      <c r="BD520" s="69"/>
      <c r="CC520" s="94">
        <f t="shared" si="36"/>
        <v>45</v>
      </c>
      <c r="CD520" s="73">
        <f t="shared" si="37"/>
        <v>0</v>
      </c>
      <c r="CE520" s="75">
        <f t="shared" si="38"/>
        <v>3181</v>
      </c>
      <c r="CF520" s="69" t="str">
        <f t="shared" si="38"/>
        <v>اتحاد صيدلة</v>
      </c>
    </row>
    <row r="521" spans="1:84" ht="18.75" x14ac:dyDescent="0.25">
      <c r="A521" s="69">
        <v>11</v>
      </c>
      <c r="B521" s="82">
        <v>5827</v>
      </c>
      <c r="C521" s="78">
        <v>3182</v>
      </c>
      <c r="D521" s="71" t="s">
        <v>116</v>
      </c>
      <c r="E521" s="107" t="str">
        <f t="shared" si="40"/>
        <v>دمغه عاديه سبتمبر</v>
      </c>
      <c r="F521" s="69"/>
      <c r="T521" s="69">
        <v>2.2999999999999998</v>
      </c>
      <c r="U521" s="69"/>
      <c r="AR521" s="91">
        <f t="shared" si="35"/>
        <v>2.2999999999999998</v>
      </c>
      <c r="AS521" s="69">
        <v>2.2999999999999998</v>
      </c>
      <c r="AT521" s="69"/>
      <c r="BC521" s="69"/>
      <c r="BD521" s="69"/>
      <c r="CC521" s="94">
        <f t="shared" si="36"/>
        <v>2.2999999999999998</v>
      </c>
      <c r="CD521" s="73">
        <f t="shared" si="37"/>
        <v>0</v>
      </c>
      <c r="CE521" s="75">
        <f t="shared" si="38"/>
        <v>3182</v>
      </c>
      <c r="CF521" s="69" t="str">
        <f t="shared" si="38"/>
        <v>اتحاد صيدلة</v>
      </c>
    </row>
    <row r="522" spans="1:84" ht="18.75" x14ac:dyDescent="0.25">
      <c r="A522" s="69">
        <v>12</v>
      </c>
      <c r="B522" s="82">
        <v>5828</v>
      </c>
      <c r="C522" s="78">
        <v>3183</v>
      </c>
      <c r="D522" s="71" t="s">
        <v>730</v>
      </c>
      <c r="E522" s="107" t="str">
        <f>+E520</f>
        <v>كسب عمل سبتمبر</v>
      </c>
      <c r="F522" s="69"/>
      <c r="T522" s="69">
        <v>1124.9100000000001</v>
      </c>
      <c r="U522" s="69"/>
      <c r="AR522" s="91">
        <f t="shared" si="35"/>
        <v>1124.9100000000001</v>
      </c>
      <c r="AS522" s="69">
        <v>1124.9100000000001</v>
      </c>
      <c r="AT522" s="69"/>
      <c r="BC522" s="69"/>
      <c r="BD522" s="69"/>
      <c r="CC522" s="94">
        <f t="shared" si="36"/>
        <v>1124.9100000000001</v>
      </c>
      <c r="CD522" s="73">
        <f t="shared" si="37"/>
        <v>0</v>
      </c>
      <c r="CE522" s="75">
        <f t="shared" si="38"/>
        <v>3183</v>
      </c>
      <c r="CF522" s="69" t="str">
        <f t="shared" si="38"/>
        <v>علمى صيدلة</v>
      </c>
    </row>
    <row r="523" spans="1:84" ht="18.75" x14ac:dyDescent="0.25">
      <c r="A523" s="69">
        <v>13</v>
      </c>
      <c r="B523" s="82">
        <v>5829</v>
      </c>
      <c r="C523" s="78">
        <v>3184</v>
      </c>
      <c r="D523" s="71" t="s">
        <v>730</v>
      </c>
      <c r="E523" s="107" t="str">
        <f>+E521</f>
        <v>دمغه عاديه سبتمبر</v>
      </c>
      <c r="F523" s="69"/>
      <c r="T523" s="69">
        <v>83.35</v>
      </c>
      <c r="U523" s="69"/>
      <c r="AR523" s="91">
        <f t="shared" si="35"/>
        <v>83.35</v>
      </c>
      <c r="AS523" s="69">
        <v>83.35</v>
      </c>
      <c r="AT523" s="69"/>
      <c r="BC523" s="69"/>
      <c r="BD523" s="69"/>
      <c r="CC523" s="94">
        <f t="shared" si="36"/>
        <v>83.35</v>
      </c>
      <c r="CD523" s="73">
        <f t="shared" si="37"/>
        <v>0</v>
      </c>
      <c r="CE523" s="75">
        <f t="shared" si="38"/>
        <v>3184</v>
      </c>
      <c r="CF523" s="69" t="str">
        <f t="shared" si="38"/>
        <v>علمى صيدلة</v>
      </c>
    </row>
    <row r="524" spans="1:84" ht="18.75" x14ac:dyDescent="0.25">
      <c r="B524" s="82">
        <v>5911</v>
      </c>
      <c r="C524" s="78">
        <v>3185</v>
      </c>
      <c r="D524" s="71" t="s">
        <v>78</v>
      </c>
      <c r="E524" s="107" t="str">
        <f>+E522</f>
        <v>كسب عمل سبتمبر</v>
      </c>
      <c r="F524" s="69"/>
      <c r="T524" s="69">
        <v>354540.69</v>
      </c>
      <c r="U524" s="69"/>
      <c r="AR524" s="91">
        <f t="shared" si="35"/>
        <v>354540.69</v>
      </c>
      <c r="AS524" s="69">
        <v>354540.69</v>
      </c>
      <c r="AT524" s="69"/>
      <c r="BC524" s="69"/>
      <c r="BD524" s="69"/>
      <c r="CC524" s="94">
        <f t="shared" si="36"/>
        <v>354540.69</v>
      </c>
      <c r="CD524" s="73">
        <f t="shared" si="37"/>
        <v>0</v>
      </c>
      <c r="CE524" s="75">
        <f t="shared" si="38"/>
        <v>3185</v>
      </c>
      <c r="CF524" s="69" t="str">
        <f t="shared" si="38"/>
        <v>برنامج دولى</v>
      </c>
    </row>
    <row r="525" spans="1:84" ht="18.75" x14ac:dyDescent="0.25">
      <c r="B525" s="82">
        <v>5912</v>
      </c>
      <c r="C525" s="78">
        <v>3186</v>
      </c>
      <c r="D525" s="71" t="s">
        <v>78</v>
      </c>
      <c r="E525" s="107" t="str">
        <f>+E523</f>
        <v>دمغه عاديه سبتمبر</v>
      </c>
      <c r="F525" s="69"/>
      <c r="T525" s="69">
        <v>27062.92</v>
      </c>
      <c r="U525" s="69"/>
      <c r="AR525" s="91">
        <f t="shared" si="35"/>
        <v>27062.92</v>
      </c>
      <c r="AS525" s="69">
        <v>27062.92</v>
      </c>
      <c r="AT525" s="69"/>
      <c r="BC525" s="69"/>
      <c r="BD525" s="69"/>
      <c r="CC525" s="94">
        <f t="shared" si="36"/>
        <v>27062.92</v>
      </c>
      <c r="CD525" s="73">
        <f t="shared" si="37"/>
        <v>0</v>
      </c>
      <c r="CE525" s="75">
        <f t="shared" si="38"/>
        <v>3186</v>
      </c>
      <c r="CF525" s="69" t="str">
        <f t="shared" si="38"/>
        <v>برنامج دولى</v>
      </c>
    </row>
    <row r="526" spans="1:84" ht="18.75" x14ac:dyDescent="0.25">
      <c r="B526" s="82">
        <v>5913</v>
      </c>
      <c r="C526" s="78">
        <v>3187</v>
      </c>
      <c r="D526" s="71" t="s">
        <v>78</v>
      </c>
      <c r="E526" s="107" t="str">
        <f>+E518</f>
        <v>ضرائب متنوعه سبتمبر</v>
      </c>
      <c r="F526" s="69"/>
      <c r="T526" s="69">
        <v>17282.05</v>
      </c>
      <c r="U526" s="69"/>
      <c r="AR526" s="91">
        <f t="shared" si="35"/>
        <v>17282.05</v>
      </c>
      <c r="AS526" s="69">
        <v>17282.05</v>
      </c>
      <c r="AT526" s="69"/>
      <c r="BC526" s="69"/>
      <c r="BD526" s="69"/>
      <c r="CC526" s="94">
        <f t="shared" si="36"/>
        <v>17282.05</v>
      </c>
      <c r="CD526" s="73">
        <f t="shared" si="37"/>
        <v>0</v>
      </c>
      <c r="CE526" s="75">
        <f t="shared" si="38"/>
        <v>3187</v>
      </c>
      <c r="CF526" s="69" t="str">
        <f t="shared" si="38"/>
        <v>برنامج دولى</v>
      </c>
    </row>
    <row r="527" spans="1:84" ht="18.75" x14ac:dyDescent="0.25">
      <c r="B527" s="82">
        <v>5914</v>
      </c>
      <c r="C527" s="78">
        <v>3188</v>
      </c>
      <c r="D527" s="71" t="s">
        <v>78</v>
      </c>
      <c r="E527" s="107" t="str">
        <f>+E519</f>
        <v>تنميه موارد سبتمبر</v>
      </c>
      <c r="F527" s="69"/>
      <c r="T527" s="69"/>
      <c r="U527" s="69">
        <v>208</v>
      </c>
      <c r="AR527" s="91">
        <f t="shared" si="35"/>
        <v>208</v>
      </c>
      <c r="AS527" s="69">
        <v>208</v>
      </c>
      <c r="AT527" s="69"/>
      <c r="BC527" s="69"/>
      <c r="BD527" s="69"/>
      <c r="CC527" s="94">
        <f t="shared" si="36"/>
        <v>208</v>
      </c>
      <c r="CD527" s="73">
        <f t="shared" si="37"/>
        <v>0</v>
      </c>
      <c r="CE527" s="75">
        <f t="shared" si="38"/>
        <v>3188</v>
      </c>
      <c r="CF527" s="69" t="str">
        <f t="shared" si="38"/>
        <v>برنامج دولى</v>
      </c>
    </row>
    <row r="528" spans="1:84" ht="18.75" x14ac:dyDescent="0.25">
      <c r="A528" s="69">
        <v>18</v>
      </c>
      <c r="B528" s="82">
        <v>5915</v>
      </c>
      <c r="C528" s="78">
        <v>3189</v>
      </c>
      <c r="D528" s="71" t="s">
        <v>130</v>
      </c>
      <c r="E528" s="107" t="str">
        <f t="shared" ref="E528:E533" si="41">+E524</f>
        <v>كسب عمل سبتمبر</v>
      </c>
      <c r="F528" s="69"/>
      <c r="T528" s="69">
        <v>2231.11</v>
      </c>
      <c r="U528" s="69"/>
      <c r="AR528" s="91">
        <f t="shared" si="35"/>
        <v>2231.11</v>
      </c>
      <c r="AS528" s="69">
        <v>2231.11</v>
      </c>
      <c r="AT528" s="69"/>
      <c r="BC528" s="69"/>
      <c r="BD528" s="69"/>
      <c r="CC528" s="94">
        <f t="shared" si="36"/>
        <v>2231.11</v>
      </c>
      <c r="CD528" s="73">
        <f t="shared" si="37"/>
        <v>0</v>
      </c>
      <c r="CE528" s="75">
        <f t="shared" si="38"/>
        <v>3189</v>
      </c>
      <c r="CF528" s="69" t="str">
        <f t="shared" si="38"/>
        <v>خ ت طب</v>
      </c>
    </row>
    <row r="529" spans="1:84" ht="18.75" x14ac:dyDescent="0.25">
      <c r="A529" s="69">
        <v>19</v>
      </c>
      <c r="B529" s="82">
        <v>5916</v>
      </c>
      <c r="C529" s="78">
        <v>3190</v>
      </c>
      <c r="D529" s="71" t="str">
        <f>+D528</f>
        <v>خ ت طب</v>
      </c>
      <c r="E529" s="107" t="str">
        <f t="shared" si="41"/>
        <v>دمغه عاديه سبتمبر</v>
      </c>
      <c r="F529" s="69"/>
      <c r="T529" s="69">
        <v>104.9</v>
      </c>
      <c r="U529" s="69"/>
      <c r="AR529" s="91">
        <f t="shared" si="35"/>
        <v>104.9</v>
      </c>
      <c r="AS529" s="69">
        <v>104.9</v>
      </c>
      <c r="AT529" s="69"/>
      <c r="BC529" s="69"/>
      <c r="BD529" s="69"/>
      <c r="CC529" s="94">
        <f t="shared" si="36"/>
        <v>104.9</v>
      </c>
      <c r="CD529" s="73">
        <f t="shared" si="37"/>
        <v>0</v>
      </c>
      <c r="CE529" s="75">
        <f t="shared" si="38"/>
        <v>3190</v>
      </c>
      <c r="CF529" s="69" t="str">
        <f t="shared" si="38"/>
        <v>خ ت طب</v>
      </c>
    </row>
    <row r="530" spans="1:84" ht="18.75" x14ac:dyDescent="0.25">
      <c r="A530" s="69">
        <v>20</v>
      </c>
      <c r="B530" s="82">
        <v>5917</v>
      </c>
      <c r="C530" s="78">
        <v>3191</v>
      </c>
      <c r="D530" s="71" t="str">
        <f>+D529</f>
        <v>خ ت طب</v>
      </c>
      <c r="E530" s="107" t="str">
        <f t="shared" si="41"/>
        <v>ضرائب متنوعه سبتمبر</v>
      </c>
      <c r="F530" s="69"/>
      <c r="T530" s="69">
        <v>878.9</v>
      </c>
      <c r="U530" s="69"/>
      <c r="AR530" s="91">
        <f t="shared" si="35"/>
        <v>878.9</v>
      </c>
      <c r="AS530" s="69">
        <v>878.9</v>
      </c>
      <c r="AT530" s="69"/>
      <c r="BC530" s="69"/>
      <c r="BD530" s="69"/>
      <c r="CC530" s="94">
        <f t="shared" si="36"/>
        <v>878.9</v>
      </c>
      <c r="CD530" s="73">
        <f t="shared" si="37"/>
        <v>0</v>
      </c>
      <c r="CE530" s="75">
        <f t="shared" si="38"/>
        <v>3191</v>
      </c>
      <c r="CF530" s="69" t="str">
        <f t="shared" si="38"/>
        <v>خ ت طب</v>
      </c>
    </row>
    <row r="531" spans="1:84" ht="18.75" x14ac:dyDescent="0.25">
      <c r="A531" s="69">
        <v>21</v>
      </c>
      <c r="B531" s="82">
        <v>5918</v>
      </c>
      <c r="C531" s="78">
        <v>3192</v>
      </c>
      <c r="D531" s="71" t="str">
        <f>+D530</f>
        <v>خ ت طب</v>
      </c>
      <c r="E531" s="107" t="str">
        <f t="shared" si="41"/>
        <v>تنميه موارد سبتمبر</v>
      </c>
      <c r="F531" s="69"/>
      <c r="T531" s="69"/>
      <c r="U531" s="69">
        <v>30</v>
      </c>
      <c r="AR531" s="91">
        <f t="shared" si="35"/>
        <v>30</v>
      </c>
      <c r="AS531" s="69">
        <v>30</v>
      </c>
      <c r="AT531" s="69"/>
      <c r="BC531" s="69"/>
      <c r="BD531" s="69"/>
      <c r="CC531" s="94">
        <f t="shared" si="36"/>
        <v>30</v>
      </c>
      <c r="CD531" s="73">
        <f t="shared" si="37"/>
        <v>0</v>
      </c>
      <c r="CE531" s="75">
        <f t="shared" si="38"/>
        <v>3192</v>
      </c>
      <c r="CF531" s="69" t="str">
        <f t="shared" si="38"/>
        <v>خ ت طب</v>
      </c>
    </row>
    <row r="532" spans="1:84" ht="18.75" x14ac:dyDescent="0.25">
      <c r="A532" s="69">
        <v>22</v>
      </c>
      <c r="B532" s="82">
        <v>5919</v>
      </c>
      <c r="C532" s="78">
        <v>3193</v>
      </c>
      <c r="D532" s="71" t="s">
        <v>128</v>
      </c>
      <c r="E532" s="107" t="str">
        <f t="shared" si="41"/>
        <v>كسب عمل سبتمبر</v>
      </c>
      <c r="F532" s="69"/>
      <c r="T532" s="69">
        <v>7741.73</v>
      </c>
      <c r="U532" s="69"/>
      <c r="AR532" s="91">
        <f t="shared" ref="AR532:AR597" si="42">SUM(G532:AQ532)</f>
        <v>7741.73</v>
      </c>
      <c r="AS532" s="69">
        <v>7741.73</v>
      </c>
      <c r="AT532" s="69"/>
      <c r="BC532" s="69"/>
      <c r="BD532" s="69"/>
      <c r="CC532" s="94">
        <f t="shared" ref="CC532:CC595" si="43">SUM(AS532:CB532)</f>
        <v>7741.73</v>
      </c>
      <c r="CD532" s="73">
        <f t="shared" ref="CD532:CD595" si="44">+CC532-AR532</f>
        <v>0</v>
      </c>
      <c r="CE532" s="75">
        <f t="shared" ref="CE532:CF597" si="45">+C532</f>
        <v>3193</v>
      </c>
      <c r="CF532" s="69" t="str">
        <f t="shared" si="45"/>
        <v>مركز مؤتمرات</v>
      </c>
    </row>
    <row r="533" spans="1:84" ht="18.75" x14ac:dyDescent="0.25">
      <c r="A533" s="69">
        <v>23</v>
      </c>
      <c r="B533" s="82">
        <v>5920</v>
      </c>
      <c r="C533" s="78">
        <v>3194</v>
      </c>
      <c r="D533" s="71" t="s">
        <v>128</v>
      </c>
      <c r="E533" s="107" t="str">
        <f t="shared" si="41"/>
        <v>دمغه عاديه سبتمبر</v>
      </c>
      <c r="F533" s="69"/>
      <c r="T533" s="69">
        <v>592.9</v>
      </c>
      <c r="U533" s="69"/>
      <c r="AR533" s="91">
        <f t="shared" si="42"/>
        <v>592.9</v>
      </c>
      <c r="AS533" s="69">
        <v>592.9</v>
      </c>
      <c r="AT533" s="69"/>
      <c r="BC533" s="69"/>
      <c r="BD533" s="69"/>
      <c r="CC533" s="94">
        <f t="shared" si="43"/>
        <v>592.9</v>
      </c>
      <c r="CD533" s="73">
        <f t="shared" si="44"/>
        <v>0</v>
      </c>
      <c r="CE533" s="75">
        <f t="shared" si="45"/>
        <v>3194</v>
      </c>
      <c r="CF533" s="69" t="str">
        <f t="shared" si="45"/>
        <v>مركز مؤتمرات</v>
      </c>
    </row>
    <row r="534" spans="1:84" ht="18.75" x14ac:dyDescent="0.25">
      <c r="A534" s="69">
        <v>24</v>
      </c>
      <c r="B534" s="82">
        <v>5804</v>
      </c>
      <c r="C534" s="78">
        <v>3195</v>
      </c>
      <c r="D534" s="71" t="s">
        <v>121</v>
      </c>
      <c r="E534" s="107" t="str">
        <f>+E532</f>
        <v>كسب عمل سبتمبر</v>
      </c>
      <c r="F534" s="69"/>
      <c r="T534" s="69">
        <v>267440.52</v>
      </c>
      <c r="U534" s="69"/>
      <c r="AR534" s="91">
        <f t="shared" si="42"/>
        <v>267440.52</v>
      </c>
      <c r="AS534" s="69">
        <v>267440.52</v>
      </c>
      <c r="AT534" s="69"/>
      <c r="BC534" s="69"/>
      <c r="BD534" s="69"/>
      <c r="CC534" s="94">
        <f t="shared" si="43"/>
        <v>267440.52</v>
      </c>
      <c r="CD534" s="73">
        <f t="shared" si="44"/>
        <v>0</v>
      </c>
      <c r="CE534" s="75">
        <f t="shared" si="45"/>
        <v>3195</v>
      </c>
      <c r="CF534" s="69" t="str">
        <f t="shared" si="45"/>
        <v>ماليزى اسنان</v>
      </c>
    </row>
    <row r="535" spans="1:84" ht="18.75" x14ac:dyDescent="0.25">
      <c r="A535" s="69">
        <v>25</v>
      </c>
      <c r="B535" s="82">
        <v>5805</v>
      </c>
      <c r="C535" s="78">
        <v>3196</v>
      </c>
      <c r="D535" s="71" t="s">
        <v>121</v>
      </c>
      <c r="E535" s="107" t="str">
        <f>+E533</f>
        <v>دمغه عاديه سبتمبر</v>
      </c>
      <c r="F535" s="69"/>
      <c r="T535" s="69">
        <v>18957.330000000002</v>
      </c>
      <c r="U535" s="69"/>
      <c r="AR535" s="91">
        <f t="shared" si="42"/>
        <v>18957.330000000002</v>
      </c>
      <c r="AS535" s="69">
        <v>18957.330000000002</v>
      </c>
      <c r="AT535" s="69"/>
      <c r="BC535" s="69"/>
      <c r="BD535" s="69"/>
      <c r="CC535" s="94">
        <f t="shared" si="43"/>
        <v>18957.330000000002</v>
      </c>
      <c r="CD535" s="73">
        <f t="shared" si="44"/>
        <v>0</v>
      </c>
      <c r="CE535" s="75">
        <f t="shared" si="45"/>
        <v>3196</v>
      </c>
      <c r="CF535" s="69" t="str">
        <f t="shared" si="45"/>
        <v>ماليزى اسنان</v>
      </c>
    </row>
    <row r="536" spans="1:84" ht="18.75" x14ac:dyDescent="0.25">
      <c r="A536" s="69">
        <v>26</v>
      </c>
      <c r="B536" s="82">
        <v>5806</v>
      </c>
      <c r="C536" s="78">
        <v>3197</v>
      </c>
      <c r="D536" s="71" t="s">
        <v>121</v>
      </c>
      <c r="E536" s="107" t="str">
        <f>+E530</f>
        <v>ضرائب متنوعه سبتمبر</v>
      </c>
      <c r="F536" s="69"/>
      <c r="T536" s="69">
        <v>2011.5</v>
      </c>
      <c r="U536" s="69"/>
      <c r="AR536" s="91">
        <f t="shared" si="42"/>
        <v>2011.5</v>
      </c>
      <c r="AS536" s="69">
        <v>2011.5</v>
      </c>
      <c r="AT536" s="69"/>
      <c r="BC536" s="69"/>
      <c r="BD536" s="69"/>
      <c r="CC536" s="94">
        <f t="shared" si="43"/>
        <v>2011.5</v>
      </c>
      <c r="CD536" s="73">
        <f t="shared" si="44"/>
        <v>0</v>
      </c>
      <c r="CE536" s="75">
        <f t="shared" si="45"/>
        <v>3197</v>
      </c>
      <c r="CF536" s="69" t="str">
        <f t="shared" si="45"/>
        <v>ماليزى اسنان</v>
      </c>
    </row>
    <row r="537" spans="1:84" ht="18.75" x14ac:dyDescent="0.25">
      <c r="A537" s="69">
        <v>27</v>
      </c>
      <c r="B537" s="82">
        <v>5807</v>
      </c>
      <c r="C537" s="78">
        <v>3198</v>
      </c>
      <c r="D537" s="71" t="s">
        <v>121</v>
      </c>
      <c r="E537" s="107" t="str">
        <f>+E531</f>
        <v>تنميه موارد سبتمبر</v>
      </c>
      <c r="F537" s="69"/>
      <c r="T537" s="69"/>
      <c r="U537" s="69">
        <v>46</v>
      </c>
      <c r="AR537" s="91">
        <f t="shared" si="42"/>
        <v>46</v>
      </c>
      <c r="AS537" s="69">
        <v>46</v>
      </c>
      <c r="AT537" s="69"/>
      <c r="BC537" s="69"/>
      <c r="BD537" s="69"/>
      <c r="CC537" s="94">
        <f t="shared" si="43"/>
        <v>46</v>
      </c>
      <c r="CD537" s="73">
        <f t="shared" si="44"/>
        <v>0</v>
      </c>
      <c r="CE537" s="75">
        <f t="shared" si="45"/>
        <v>3198</v>
      </c>
      <c r="CF537" s="69" t="str">
        <f t="shared" si="45"/>
        <v>ماليزى اسنان</v>
      </c>
    </row>
    <row r="538" spans="1:84" ht="18.75" x14ac:dyDescent="0.25">
      <c r="A538" s="69">
        <v>28</v>
      </c>
      <c r="B538" s="82">
        <v>5808</v>
      </c>
      <c r="C538" s="78">
        <v>3199</v>
      </c>
      <c r="D538" s="71" t="s">
        <v>123</v>
      </c>
      <c r="E538" s="107" t="str">
        <f>+E534</f>
        <v>كسب عمل سبتمبر</v>
      </c>
      <c r="F538" s="69"/>
      <c r="T538" s="69">
        <v>43380.73</v>
      </c>
      <c r="U538" s="69"/>
      <c r="AR538" s="91">
        <f t="shared" si="42"/>
        <v>43380.73</v>
      </c>
      <c r="AS538" s="69">
        <v>43380.73</v>
      </c>
      <c r="AT538" s="69"/>
      <c r="BC538" s="69"/>
      <c r="BD538" s="69"/>
      <c r="CC538" s="94">
        <f t="shared" si="43"/>
        <v>43380.73</v>
      </c>
      <c r="CD538" s="73">
        <f t="shared" si="44"/>
        <v>0</v>
      </c>
      <c r="CE538" s="75">
        <f t="shared" si="45"/>
        <v>3199</v>
      </c>
      <c r="CF538" s="69" t="str">
        <f t="shared" si="45"/>
        <v>خ ت اسنان</v>
      </c>
    </row>
    <row r="539" spans="1:84" ht="18.75" x14ac:dyDescent="0.25">
      <c r="A539" s="69">
        <v>29</v>
      </c>
      <c r="B539" s="82">
        <v>5809</v>
      </c>
      <c r="C539" s="78">
        <v>3200</v>
      </c>
      <c r="D539" s="71" t="str">
        <f>+D538</f>
        <v>خ ت اسنان</v>
      </c>
      <c r="E539" s="107" t="str">
        <f>+E535</f>
        <v>دمغه عاديه سبتمبر</v>
      </c>
      <c r="F539" s="69"/>
      <c r="T539" s="69">
        <v>1978.65</v>
      </c>
      <c r="U539" s="69"/>
      <c r="AR539" s="91">
        <f t="shared" si="42"/>
        <v>1978.65</v>
      </c>
      <c r="AS539" s="69">
        <v>1978.65</v>
      </c>
      <c r="AT539" s="69"/>
      <c r="BC539" s="69"/>
      <c r="BD539" s="69"/>
      <c r="CC539" s="94">
        <f t="shared" si="43"/>
        <v>1978.65</v>
      </c>
      <c r="CD539" s="73">
        <f t="shared" si="44"/>
        <v>0</v>
      </c>
      <c r="CE539" s="75">
        <f t="shared" si="45"/>
        <v>3200</v>
      </c>
      <c r="CF539" s="69" t="str">
        <f t="shared" si="45"/>
        <v>خ ت اسنان</v>
      </c>
    </row>
    <row r="540" spans="1:84" ht="18.75" x14ac:dyDescent="0.25">
      <c r="A540" s="69">
        <v>30</v>
      </c>
      <c r="B540" s="82">
        <v>5810</v>
      </c>
      <c r="C540" s="78">
        <v>3201</v>
      </c>
      <c r="D540" s="71" t="s">
        <v>122</v>
      </c>
      <c r="E540" s="107" t="str">
        <f>+E538</f>
        <v>كسب عمل سبتمبر</v>
      </c>
      <c r="F540" s="69"/>
      <c r="T540" s="69">
        <v>5377.8</v>
      </c>
      <c r="U540" s="69"/>
      <c r="AR540" s="91">
        <f t="shared" si="42"/>
        <v>5377.8</v>
      </c>
      <c r="AS540" s="69">
        <v>5377.8</v>
      </c>
      <c r="AT540" s="69"/>
      <c r="BC540" s="69"/>
      <c r="BD540" s="69"/>
      <c r="CC540" s="94">
        <f t="shared" si="43"/>
        <v>5377.8</v>
      </c>
      <c r="CD540" s="73">
        <f t="shared" si="44"/>
        <v>0</v>
      </c>
      <c r="CE540" s="75">
        <f t="shared" si="45"/>
        <v>3201</v>
      </c>
      <c r="CF540" s="69" t="str">
        <f t="shared" si="45"/>
        <v>علاج تخصصى</v>
      </c>
    </row>
    <row r="541" spans="1:84" ht="18.75" x14ac:dyDescent="0.25">
      <c r="A541" s="69">
        <v>31</v>
      </c>
      <c r="B541" s="82">
        <v>5811</v>
      </c>
      <c r="C541" s="78">
        <v>3202</v>
      </c>
      <c r="D541" s="71" t="s">
        <v>122</v>
      </c>
      <c r="E541" s="107" t="str">
        <f>+E539</f>
        <v>دمغه عاديه سبتمبر</v>
      </c>
      <c r="F541" s="69"/>
      <c r="T541" s="69">
        <v>374.65</v>
      </c>
      <c r="U541" s="69"/>
      <c r="AR541" s="91">
        <f t="shared" si="42"/>
        <v>374.65</v>
      </c>
      <c r="AS541" s="69">
        <v>374.65</v>
      </c>
      <c r="AT541" s="69"/>
      <c r="BC541" s="69"/>
      <c r="BD541" s="69"/>
      <c r="CC541" s="94">
        <f t="shared" si="43"/>
        <v>374.65</v>
      </c>
      <c r="CD541" s="73">
        <f t="shared" si="44"/>
        <v>0</v>
      </c>
      <c r="CE541" s="75">
        <f t="shared" si="45"/>
        <v>3202</v>
      </c>
      <c r="CF541" s="69" t="str">
        <f t="shared" si="45"/>
        <v>علاج تخصصى</v>
      </c>
    </row>
    <row r="542" spans="1:84" ht="18.75" x14ac:dyDescent="0.25">
      <c r="A542" s="69">
        <v>32</v>
      </c>
      <c r="B542" s="82">
        <v>5812</v>
      </c>
      <c r="C542" s="78">
        <v>3203</v>
      </c>
      <c r="D542" s="71" t="s">
        <v>122</v>
      </c>
      <c r="E542" s="107" t="str">
        <f>+E536</f>
        <v>ضرائب متنوعه سبتمبر</v>
      </c>
      <c r="F542" s="69"/>
      <c r="T542" s="69">
        <v>1.9</v>
      </c>
      <c r="U542" s="69"/>
      <c r="AR542" s="91">
        <f t="shared" si="42"/>
        <v>1.9</v>
      </c>
      <c r="AS542" s="69">
        <v>1.9</v>
      </c>
      <c r="AT542" s="69"/>
      <c r="BC542" s="69"/>
      <c r="BD542" s="69"/>
      <c r="CC542" s="94">
        <f t="shared" si="43"/>
        <v>1.9</v>
      </c>
      <c r="CD542" s="73">
        <f t="shared" si="44"/>
        <v>0</v>
      </c>
      <c r="CE542" s="75">
        <f t="shared" si="45"/>
        <v>3203</v>
      </c>
      <c r="CF542" s="69" t="str">
        <f t="shared" si="45"/>
        <v>علاج تخصصى</v>
      </c>
    </row>
    <row r="543" spans="1:84" ht="18.75" x14ac:dyDescent="0.25">
      <c r="A543" s="69">
        <v>33</v>
      </c>
      <c r="B543" s="82">
        <v>5813</v>
      </c>
      <c r="C543" s="78">
        <v>3204</v>
      </c>
      <c r="D543" s="71" t="s">
        <v>122</v>
      </c>
      <c r="E543" s="107" t="str">
        <f>+E537</f>
        <v>تنميه موارد سبتمبر</v>
      </c>
      <c r="F543" s="69"/>
      <c r="T543" s="69"/>
      <c r="U543" s="69">
        <v>2</v>
      </c>
      <c r="AR543" s="91">
        <f t="shared" si="42"/>
        <v>2</v>
      </c>
      <c r="AS543" s="69">
        <v>2</v>
      </c>
      <c r="AT543" s="69"/>
      <c r="BC543" s="69"/>
      <c r="BD543" s="69"/>
      <c r="CC543" s="94">
        <f t="shared" si="43"/>
        <v>2</v>
      </c>
      <c r="CD543" s="73">
        <f t="shared" si="44"/>
        <v>0</v>
      </c>
      <c r="CE543" s="75">
        <f t="shared" si="45"/>
        <v>3204</v>
      </c>
      <c r="CF543" s="69" t="str">
        <f t="shared" si="45"/>
        <v>علاج تخصصى</v>
      </c>
    </row>
    <row r="544" spans="1:84" ht="18.75" x14ac:dyDescent="0.25">
      <c r="A544" s="69">
        <v>34</v>
      </c>
      <c r="B544" s="82">
        <v>5814</v>
      </c>
      <c r="C544" s="78">
        <v>3205</v>
      </c>
      <c r="D544" s="71" t="s">
        <v>249</v>
      </c>
      <c r="E544" s="107" t="str">
        <f>+E540</f>
        <v>كسب عمل سبتمبر</v>
      </c>
      <c r="F544" s="69"/>
      <c r="T544" s="69">
        <v>1920</v>
      </c>
      <c r="U544" s="69"/>
      <c r="AR544" s="91">
        <f t="shared" si="42"/>
        <v>1920</v>
      </c>
      <c r="AS544" s="69">
        <v>1920</v>
      </c>
      <c r="AT544" s="69"/>
      <c r="BC544" s="69"/>
      <c r="BD544" s="69"/>
      <c r="CC544" s="94">
        <f t="shared" si="43"/>
        <v>1920</v>
      </c>
      <c r="CD544" s="73">
        <f t="shared" si="44"/>
        <v>0</v>
      </c>
      <c r="CE544" s="75">
        <f t="shared" si="45"/>
        <v>3205</v>
      </c>
      <c r="CF544" s="69" t="str">
        <f t="shared" si="45"/>
        <v>خدمة عامة</v>
      </c>
    </row>
    <row r="545" spans="1:91" ht="18.75" x14ac:dyDescent="0.25">
      <c r="A545" s="69">
        <v>35</v>
      </c>
      <c r="B545" s="82">
        <v>5815</v>
      </c>
      <c r="C545" s="78">
        <v>3206</v>
      </c>
      <c r="D545" s="71" t="s">
        <v>249</v>
      </c>
      <c r="E545" s="107" t="str">
        <f>+E541</f>
        <v>دمغه عاديه سبتمبر</v>
      </c>
      <c r="F545" s="69"/>
      <c r="T545" s="69">
        <v>125.4</v>
      </c>
      <c r="U545" s="69"/>
      <c r="AR545" s="91">
        <f t="shared" si="42"/>
        <v>125.4</v>
      </c>
      <c r="AS545" s="69">
        <v>125.4</v>
      </c>
      <c r="AT545" s="69"/>
      <c r="BC545" s="69"/>
      <c r="BD545" s="69"/>
      <c r="CC545" s="94">
        <f t="shared" si="43"/>
        <v>125.4</v>
      </c>
      <c r="CD545" s="73">
        <f t="shared" si="44"/>
        <v>0</v>
      </c>
      <c r="CE545" s="75">
        <f t="shared" si="45"/>
        <v>3206</v>
      </c>
      <c r="CF545" s="69" t="str">
        <f t="shared" si="45"/>
        <v>خدمة عامة</v>
      </c>
    </row>
    <row r="546" spans="1:91" ht="18.75" x14ac:dyDescent="0.25">
      <c r="A546" s="69">
        <v>36</v>
      </c>
      <c r="B546" s="82">
        <v>5816</v>
      </c>
      <c r="C546" s="78">
        <v>3207</v>
      </c>
      <c r="D546" s="71" t="s">
        <v>124</v>
      </c>
      <c r="E546" s="107" t="str">
        <f>+E544</f>
        <v>كسب عمل سبتمبر</v>
      </c>
      <c r="F546" s="69"/>
      <c r="T546" s="69">
        <v>47.05</v>
      </c>
      <c r="U546" s="69"/>
      <c r="AR546" s="91">
        <f t="shared" si="42"/>
        <v>47.05</v>
      </c>
      <c r="AS546" s="69">
        <v>47.05</v>
      </c>
      <c r="AT546" s="69"/>
      <c r="BC546" s="69"/>
      <c r="BD546" s="69"/>
      <c r="CC546" s="94">
        <f t="shared" si="43"/>
        <v>47.05</v>
      </c>
      <c r="CD546" s="73">
        <f t="shared" si="44"/>
        <v>0</v>
      </c>
      <c r="CE546" s="75">
        <f t="shared" si="45"/>
        <v>3207</v>
      </c>
      <c r="CF546" s="69" t="str">
        <f t="shared" si="45"/>
        <v>تكافل اسنان</v>
      </c>
    </row>
    <row r="547" spans="1:91" ht="18.75" x14ac:dyDescent="0.25">
      <c r="A547" s="69">
        <v>1</v>
      </c>
      <c r="B547" s="82">
        <v>5817</v>
      </c>
      <c r="C547" s="78">
        <v>3208</v>
      </c>
      <c r="D547" s="71" t="s">
        <v>124</v>
      </c>
      <c r="E547" s="107" t="str">
        <f>+E545</f>
        <v>دمغه عاديه سبتمبر</v>
      </c>
      <c r="F547" s="69"/>
      <c r="T547" s="69">
        <v>1.7</v>
      </c>
      <c r="U547" s="69"/>
      <c r="AR547" s="91">
        <f t="shared" si="42"/>
        <v>1.7</v>
      </c>
      <c r="AS547" s="69">
        <v>1.7</v>
      </c>
      <c r="AT547" s="69"/>
      <c r="BC547" s="69"/>
      <c r="BD547" s="69"/>
      <c r="CC547" s="94">
        <f t="shared" si="43"/>
        <v>1.7</v>
      </c>
      <c r="CD547" s="73">
        <f t="shared" si="44"/>
        <v>0</v>
      </c>
      <c r="CE547" s="75">
        <f t="shared" si="45"/>
        <v>3208</v>
      </c>
      <c r="CF547" s="69" t="str">
        <f t="shared" si="45"/>
        <v>تكافل اسنان</v>
      </c>
    </row>
    <row r="548" spans="1:91" s="68" customFormat="1" ht="18.75" x14ac:dyDescent="0.25">
      <c r="A548" s="68">
        <f>74844.25-AU548</f>
        <v>5039.25</v>
      </c>
      <c r="B548" s="83"/>
      <c r="C548" s="84"/>
      <c r="D548" s="85"/>
      <c r="E548" s="108" t="s">
        <v>3752</v>
      </c>
      <c r="G548" s="68">
        <f>SUM(G403:G547)</f>
        <v>1083680.8299999996</v>
      </c>
      <c r="H548" s="68">
        <f t="shared" ref="H548:BT548" si="46">SUM(H403:H547)</f>
        <v>63440.49</v>
      </c>
      <c r="I548" s="68">
        <f t="shared" si="46"/>
        <v>0</v>
      </c>
      <c r="J548" s="68">
        <f t="shared" si="46"/>
        <v>0</v>
      </c>
      <c r="K548" s="68">
        <f t="shared" si="46"/>
        <v>1960000.16</v>
      </c>
      <c r="L548" s="68">
        <f t="shared" si="46"/>
        <v>1960000.16</v>
      </c>
      <c r="M548" s="68">
        <f t="shared" si="46"/>
        <v>1960000.16</v>
      </c>
      <c r="N548" s="68">
        <f t="shared" si="46"/>
        <v>0</v>
      </c>
      <c r="O548" s="68">
        <f t="shared" si="46"/>
        <v>0</v>
      </c>
      <c r="P548" s="68">
        <f t="shared" si="46"/>
        <v>0</v>
      </c>
      <c r="Q548" s="68">
        <f t="shared" si="46"/>
        <v>0</v>
      </c>
      <c r="R548" s="68">
        <f t="shared" si="46"/>
        <v>0</v>
      </c>
      <c r="S548" s="68">
        <f t="shared" si="46"/>
        <v>0</v>
      </c>
      <c r="T548" s="68">
        <f t="shared" si="46"/>
        <v>870905.76000000013</v>
      </c>
      <c r="U548" s="68">
        <f t="shared" si="46"/>
        <v>760</v>
      </c>
      <c r="V548" s="68">
        <f t="shared" si="46"/>
        <v>0</v>
      </c>
      <c r="W548" s="68">
        <f t="shared" si="46"/>
        <v>399</v>
      </c>
      <c r="X548" s="68">
        <f t="shared" si="46"/>
        <v>0</v>
      </c>
      <c r="Y548" s="68">
        <f t="shared" si="46"/>
        <v>0</v>
      </c>
      <c r="Z548" s="68">
        <f t="shared" si="46"/>
        <v>0</v>
      </c>
      <c r="AA548" s="68">
        <f t="shared" si="46"/>
        <v>49590.49</v>
      </c>
      <c r="AB548" s="68">
        <f t="shared" si="46"/>
        <v>0</v>
      </c>
      <c r="AC548" s="68">
        <f t="shared" si="46"/>
        <v>0</v>
      </c>
      <c r="AD548" s="68">
        <f t="shared" si="46"/>
        <v>0</v>
      </c>
      <c r="AE548" s="68">
        <f t="shared" si="46"/>
        <v>0</v>
      </c>
      <c r="AF548" s="68">
        <f t="shared" si="46"/>
        <v>0</v>
      </c>
      <c r="AG548" s="68">
        <f t="shared" si="46"/>
        <v>0</v>
      </c>
      <c r="AH548" s="68">
        <f t="shared" si="46"/>
        <v>0</v>
      </c>
      <c r="AI548" s="68">
        <f t="shared" si="46"/>
        <v>0</v>
      </c>
      <c r="AJ548" s="68">
        <f t="shared" si="46"/>
        <v>0</v>
      </c>
      <c r="AK548" s="68">
        <f t="shared" si="46"/>
        <v>0</v>
      </c>
      <c r="AL548" s="68">
        <f t="shared" si="46"/>
        <v>0</v>
      </c>
      <c r="AM548" s="68">
        <f t="shared" si="46"/>
        <v>0</v>
      </c>
      <c r="AO548" s="68">
        <f t="shared" si="46"/>
        <v>0</v>
      </c>
      <c r="AP548" s="68">
        <f t="shared" si="46"/>
        <v>0</v>
      </c>
      <c r="AQ548" s="68">
        <f t="shared" si="46"/>
        <v>0</v>
      </c>
      <c r="AR548" s="91">
        <f t="shared" si="46"/>
        <v>7948777.0500000017</v>
      </c>
      <c r="AS548" s="68">
        <f t="shared" si="46"/>
        <v>3689432.9499999983</v>
      </c>
      <c r="AT548" s="68">
        <f t="shared" si="46"/>
        <v>112169.83999999997</v>
      </c>
      <c r="AU548" s="68">
        <f t="shared" si="46"/>
        <v>69805</v>
      </c>
      <c r="AV548" s="68">
        <f t="shared" si="46"/>
        <v>9633.9499999999989</v>
      </c>
      <c r="AW548" s="68">
        <f t="shared" si="46"/>
        <v>0</v>
      </c>
      <c r="AX548" s="68">
        <f t="shared" si="46"/>
        <v>0</v>
      </c>
      <c r="AY548" s="68">
        <f t="shared" si="46"/>
        <v>0</v>
      </c>
      <c r="AZ548" s="68">
        <f t="shared" si="46"/>
        <v>0</v>
      </c>
      <c r="BA548" s="68">
        <f t="shared" si="46"/>
        <v>0</v>
      </c>
      <c r="BB548" s="68">
        <f t="shared" si="46"/>
        <v>0</v>
      </c>
      <c r="BC548" s="68">
        <f t="shared" si="46"/>
        <v>0</v>
      </c>
      <c r="BD548" s="68">
        <f t="shared" si="46"/>
        <v>0</v>
      </c>
      <c r="BE548" s="68">
        <f t="shared" si="46"/>
        <v>0</v>
      </c>
      <c r="BF548" s="68">
        <f t="shared" si="46"/>
        <v>138.5</v>
      </c>
      <c r="BG548" s="68">
        <f t="shared" si="46"/>
        <v>6</v>
      </c>
      <c r="BH548" s="68">
        <f t="shared" si="46"/>
        <v>0</v>
      </c>
      <c r="BI548" s="68">
        <f t="shared" si="46"/>
        <v>98000</v>
      </c>
      <c r="BJ548" s="68">
        <f t="shared" si="46"/>
        <v>0</v>
      </c>
      <c r="BK548" s="68">
        <f t="shared" si="46"/>
        <v>1960000.16</v>
      </c>
      <c r="BL548" s="68">
        <f t="shared" si="46"/>
        <v>1960000.16</v>
      </c>
      <c r="BM548" s="68">
        <f t="shared" si="46"/>
        <v>0</v>
      </c>
      <c r="BN548" s="68">
        <f t="shared" si="46"/>
        <v>0</v>
      </c>
      <c r="BO548" s="68">
        <f t="shared" si="46"/>
        <v>0</v>
      </c>
      <c r="BP548" s="68">
        <f t="shared" si="46"/>
        <v>0</v>
      </c>
      <c r="BQ548" s="68">
        <f t="shared" si="46"/>
        <v>49590.49</v>
      </c>
      <c r="BR548" s="68">
        <f t="shared" si="46"/>
        <v>0</v>
      </c>
      <c r="BS548" s="68">
        <f t="shared" si="46"/>
        <v>0</v>
      </c>
      <c r="BT548" s="68">
        <f t="shared" si="46"/>
        <v>0</v>
      </c>
      <c r="BU548" s="68">
        <f t="shared" ref="BU548:CM548" si="47">SUM(BU403:BU547)</f>
        <v>0</v>
      </c>
      <c r="BV548" s="68">
        <f t="shared" si="47"/>
        <v>0</v>
      </c>
      <c r="BW548" s="68">
        <f t="shared" si="47"/>
        <v>0</v>
      </c>
      <c r="BX548" s="68">
        <f t="shared" si="47"/>
        <v>0</v>
      </c>
      <c r="BY548" s="68">
        <f t="shared" si="47"/>
        <v>0</v>
      </c>
      <c r="BZ548" s="68">
        <f t="shared" si="47"/>
        <v>0</v>
      </c>
      <c r="CA548" s="68">
        <f t="shared" si="47"/>
        <v>0</v>
      </c>
      <c r="CB548" s="68">
        <f t="shared" si="47"/>
        <v>0</v>
      </c>
      <c r="CC548" s="91">
        <f t="shared" si="47"/>
        <v>7948777.0500000017</v>
      </c>
      <c r="CD548" s="68">
        <f t="shared" si="47"/>
        <v>0</v>
      </c>
      <c r="CE548" s="67"/>
      <c r="CF548" s="68">
        <f t="shared" si="47"/>
        <v>0</v>
      </c>
      <c r="CG548" s="68">
        <f t="shared" si="47"/>
        <v>0</v>
      </c>
      <c r="CH548" s="68">
        <f t="shared" si="47"/>
        <v>0</v>
      </c>
      <c r="CI548" s="68">
        <f t="shared" si="47"/>
        <v>0</v>
      </c>
      <c r="CJ548" s="68">
        <f t="shared" si="47"/>
        <v>0</v>
      </c>
      <c r="CK548" s="68">
        <f t="shared" si="47"/>
        <v>0</v>
      </c>
      <c r="CL548" s="68">
        <f t="shared" si="47"/>
        <v>0</v>
      </c>
      <c r="CM548" s="68">
        <f t="shared" si="47"/>
        <v>0</v>
      </c>
    </row>
    <row r="549" spans="1:91" ht="18.75" x14ac:dyDescent="0.25">
      <c r="B549" s="82">
        <v>6075</v>
      </c>
      <c r="C549" s="78">
        <v>3209</v>
      </c>
      <c r="D549" s="71"/>
      <c r="E549" s="107" t="s">
        <v>3753</v>
      </c>
      <c r="F549" s="69"/>
      <c r="T549" s="69"/>
      <c r="U549" s="69"/>
      <c r="AC549" s="69">
        <v>17221.419999999998</v>
      </c>
      <c r="AR549" s="91">
        <f t="shared" si="42"/>
        <v>17221.419999999998</v>
      </c>
      <c r="AS549" s="69">
        <v>17221.419999999998</v>
      </c>
      <c r="AT549" s="69"/>
      <c r="BC549" s="69"/>
      <c r="BD549" s="69"/>
      <c r="CC549" s="94">
        <f t="shared" si="43"/>
        <v>17221.419999999998</v>
      </c>
      <c r="CD549" s="73">
        <f t="shared" si="44"/>
        <v>0</v>
      </c>
      <c r="CE549" s="75">
        <f t="shared" si="45"/>
        <v>3209</v>
      </c>
      <c r="CF549" s="69">
        <f t="shared" si="45"/>
        <v>0</v>
      </c>
    </row>
    <row r="550" spans="1:91" ht="18.75" x14ac:dyDescent="0.25">
      <c r="B550" s="82">
        <v>6010</v>
      </c>
      <c r="C550" s="78">
        <v>3210</v>
      </c>
      <c r="D550" s="71"/>
      <c r="E550" s="107" t="s">
        <v>3754</v>
      </c>
      <c r="F550" s="69"/>
      <c r="T550" s="69"/>
      <c r="U550" s="69"/>
      <c r="AC550" s="69">
        <v>1000</v>
      </c>
      <c r="AR550" s="91">
        <f t="shared" si="42"/>
        <v>1000</v>
      </c>
      <c r="AS550" s="69">
        <v>1000</v>
      </c>
      <c r="AT550" s="69"/>
      <c r="BC550" s="69"/>
      <c r="BD550" s="69"/>
      <c r="CC550" s="94">
        <f t="shared" si="43"/>
        <v>1000</v>
      </c>
      <c r="CD550" s="73">
        <f t="shared" si="44"/>
        <v>0</v>
      </c>
      <c r="CE550" s="75">
        <f t="shared" si="45"/>
        <v>3210</v>
      </c>
      <c r="CF550" s="69">
        <f t="shared" si="45"/>
        <v>0</v>
      </c>
    </row>
    <row r="551" spans="1:91" ht="18.75" x14ac:dyDescent="0.25">
      <c r="B551" s="82">
        <v>6011</v>
      </c>
      <c r="C551" s="78">
        <v>3211</v>
      </c>
      <c r="D551" s="71"/>
      <c r="E551" s="107" t="s">
        <v>3755</v>
      </c>
      <c r="F551" s="69"/>
      <c r="T551" s="69"/>
      <c r="U551" s="69"/>
      <c r="AC551" s="69">
        <v>5948</v>
      </c>
      <c r="AR551" s="91">
        <f t="shared" si="42"/>
        <v>5948</v>
      </c>
      <c r="AS551" s="69">
        <v>5948</v>
      </c>
      <c r="AT551" s="69"/>
      <c r="BC551" s="69"/>
      <c r="BD551" s="69"/>
      <c r="CC551" s="94">
        <f t="shared" si="43"/>
        <v>5948</v>
      </c>
      <c r="CD551" s="73">
        <f t="shared" si="44"/>
        <v>0</v>
      </c>
      <c r="CE551" s="75">
        <f t="shared" si="45"/>
        <v>3211</v>
      </c>
      <c r="CF551" s="69">
        <f t="shared" si="45"/>
        <v>0</v>
      </c>
    </row>
    <row r="552" spans="1:91" ht="18.75" x14ac:dyDescent="0.25">
      <c r="B552" s="82">
        <v>5287</v>
      </c>
      <c r="C552" s="78">
        <v>3212</v>
      </c>
      <c r="D552" s="71"/>
      <c r="E552" s="107" t="s">
        <v>3756</v>
      </c>
      <c r="F552" s="69"/>
      <c r="T552" s="69"/>
      <c r="U552" s="69"/>
      <c r="AC552" s="69">
        <v>1088.6099999999999</v>
      </c>
      <c r="AR552" s="91">
        <f t="shared" si="42"/>
        <v>1088.6099999999999</v>
      </c>
      <c r="AS552" s="69">
        <v>1088.6099999999999</v>
      </c>
      <c r="AT552" s="69"/>
      <c r="BC552" s="69"/>
      <c r="BD552" s="69"/>
      <c r="CC552" s="94">
        <f t="shared" si="43"/>
        <v>1088.6099999999999</v>
      </c>
      <c r="CD552" s="73">
        <f t="shared" si="44"/>
        <v>0</v>
      </c>
      <c r="CE552" s="75">
        <f t="shared" si="45"/>
        <v>3212</v>
      </c>
      <c r="CF552" s="69">
        <f t="shared" si="45"/>
        <v>0</v>
      </c>
    </row>
    <row r="553" spans="1:91" ht="18.75" x14ac:dyDescent="0.25">
      <c r="B553" s="82">
        <v>5030</v>
      </c>
      <c r="C553" s="78">
        <v>3213</v>
      </c>
      <c r="D553" s="71" t="s">
        <v>123</v>
      </c>
      <c r="E553" s="107" t="s">
        <v>3757</v>
      </c>
      <c r="F553" s="69"/>
      <c r="T553" s="69"/>
      <c r="U553" s="69"/>
      <c r="W553" s="69">
        <v>250000</v>
      </c>
      <c r="AA553" s="69">
        <v>250000</v>
      </c>
      <c r="AR553" s="91">
        <f t="shared" si="42"/>
        <v>500000</v>
      </c>
      <c r="AS553" s="69">
        <v>250000</v>
      </c>
      <c r="AT553" s="69"/>
      <c r="BC553" s="69"/>
      <c r="BD553" s="69"/>
      <c r="BQ553" s="69">
        <v>250000</v>
      </c>
      <c r="CC553" s="94">
        <f t="shared" si="43"/>
        <v>500000</v>
      </c>
      <c r="CD553" s="73">
        <f t="shared" si="44"/>
        <v>0</v>
      </c>
      <c r="CE553" s="75">
        <f t="shared" si="45"/>
        <v>3213</v>
      </c>
      <c r="CF553" s="69" t="str">
        <f t="shared" si="45"/>
        <v>خ ت اسنان</v>
      </c>
    </row>
    <row r="554" spans="1:91" ht="18.75" x14ac:dyDescent="0.25">
      <c r="B554" s="82">
        <v>4481</v>
      </c>
      <c r="C554" s="78">
        <v>3214</v>
      </c>
      <c r="D554" s="71" t="s">
        <v>121</v>
      </c>
      <c r="E554" s="107" t="s">
        <v>3758</v>
      </c>
      <c r="F554" s="69"/>
      <c r="H554" s="69">
        <v>2000</v>
      </c>
      <c r="T554" s="69"/>
      <c r="U554" s="69"/>
      <c r="AR554" s="91">
        <f t="shared" si="42"/>
        <v>2000</v>
      </c>
      <c r="AS554" s="69">
        <v>1832.65</v>
      </c>
      <c r="AT554" s="69">
        <f>25.75+77.25+3.6</f>
        <v>106.6</v>
      </c>
      <c r="BC554" s="69"/>
      <c r="BD554" s="69"/>
      <c r="BF554" s="69">
        <v>52.75</v>
      </c>
      <c r="BG554" s="69">
        <v>8</v>
      </c>
      <c r="CC554" s="94">
        <f t="shared" si="43"/>
        <v>2000</v>
      </c>
      <c r="CD554" s="73">
        <f t="shared" si="44"/>
        <v>0</v>
      </c>
      <c r="CE554" s="75">
        <f t="shared" si="45"/>
        <v>3214</v>
      </c>
      <c r="CF554" s="69" t="str">
        <f t="shared" si="45"/>
        <v>ماليزى اسنان</v>
      </c>
    </row>
    <row r="555" spans="1:91" ht="18.75" x14ac:dyDescent="0.25">
      <c r="B555" s="82">
        <v>4359</v>
      </c>
      <c r="C555" s="78">
        <v>3215</v>
      </c>
      <c r="D555" s="71" t="s">
        <v>121</v>
      </c>
      <c r="E555" s="107" t="s">
        <v>3759</v>
      </c>
      <c r="F555" s="69"/>
      <c r="H555" s="69">
        <v>23400</v>
      </c>
      <c r="T555" s="69"/>
      <c r="U555" s="69"/>
      <c r="AR555" s="91">
        <f t="shared" si="42"/>
        <v>23400</v>
      </c>
      <c r="AS555" s="69">
        <v>21662.7</v>
      </c>
      <c r="AT555" s="69">
        <f>223.25+669.75+13.5</f>
        <v>906.5</v>
      </c>
      <c r="BC555" s="69"/>
      <c r="BD555" s="69"/>
      <c r="BF555" s="69">
        <v>615.79999999999995</v>
      </c>
      <c r="BG555" s="69">
        <v>30</v>
      </c>
      <c r="BH555" s="69">
        <v>185</v>
      </c>
      <c r="CC555" s="94">
        <f t="shared" si="43"/>
        <v>23400</v>
      </c>
      <c r="CD555" s="73">
        <f t="shared" si="44"/>
        <v>0</v>
      </c>
      <c r="CE555" s="75">
        <f t="shared" si="45"/>
        <v>3215</v>
      </c>
      <c r="CF555" s="69" t="str">
        <f t="shared" si="45"/>
        <v>ماليزى اسنان</v>
      </c>
    </row>
    <row r="556" spans="1:91" ht="18.75" x14ac:dyDescent="0.25">
      <c r="B556" s="82">
        <v>5056</v>
      </c>
      <c r="C556" s="78">
        <v>3216</v>
      </c>
      <c r="D556" s="71" t="s">
        <v>121</v>
      </c>
      <c r="E556" s="107" t="s">
        <v>3760</v>
      </c>
      <c r="F556" s="69"/>
      <c r="H556" s="69">
        <v>2160000</v>
      </c>
      <c r="T556" s="69"/>
      <c r="U556" s="69"/>
      <c r="AR556" s="91">
        <f t="shared" si="42"/>
        <v>2160000</v>
      </c>
      <c r="AS556" s="69">
        <v>1978098</v>
      </c>
      <c r="AT556" s="69">
        <f>13059.75+39179.25+18</f>
        <v>52257</v>
      </c>
      <c r="AV556" s="69">
        <v>5</v>
      </c>
      <c r="BC556" s="69"/>
      <c r="BD556" s="69"/>
      <c r="BF556" s="69">
        <v>21600</v>
      </c>
      <c r="BG556" s="69">
        <v>40</v>
      </c>
      <c r="BJ556" s="69">
        <v>108000</v>
      </c>
      <c r="CC556" s="94">
        <f t="shared" si="43"/>
        <v>2160000</v>
      </c>
      <c r="CD556" s="73">
        <f t="shared" si="44"/>
        <v>0</v>
      </c>
      <c r="CE556" s="75">
        <f t="shared" si="45"/>
        <v>3216</v>
      </c>
      <c r="CF556" s="69" t="str">
        <f t="shared" si="45"/>
        <v>ماليزى اسنان</v>
      </c>
    </row>
    <row r="557" spans="1:91" ht="18.75" x14ac:dyDescent="0.25">
      <c r="B557" s="82">
        <v>5643</v>
      </c>
      <c r="C557" s="78">
        <v>3217</v>
      </c>
      <c r="D557" s="71" t="s">
        <v>121</v>
      </c>
      <c r="E557" s="107" t="s">
        <v>3761</v>
      </c>
      <c r="F557" s="69"/>
      <c r="H557" s="69">
        <v>332167.5</v>
      </c>
      <c r="T557" s="69"/>
      <c r="U557" s="69"/>
      <c r="AR557" s="91">
        <f t="shared" si="42"/>
        <v>332167.5</v>
      </c>
      <c r="AS557" s="69">
        <v>332167.5</v>
      </c>
      <c r="AT557" s="69"/>
      <c r="BC557" s="69"/>
      <c r="BD557" s="69"/>
      <c r="CC557" s="94">
        <f t="shared" si="43"/>
        <v>332167.5</v>
      </c>
      <c r="CD557" s="73">
        <f t="shared" si="44"/>
        <v>0</v>
      </c>
      <c r="CE557" s="75">
        <f t="shared" si="45"/>
        <v>3217</v>
      </c>
      <c r="CF557" s="69" t="str">
        <f t="shared" si="45"/>
        <v>ماليزى اسنان</v>
      </c>
    </row>
    <row r="558" spans="1:91" ht="18.75" x14ac:dyDescent="0.25">
      <c r="B558" s="82">
        <v>5035</v>
      </c>
      <c r="C558" s="78">
        <v>3218</v>
      </c>
      <c r="D558" s="71" t="s">
        <v>128</v>
      </c>
      <c r="E558" s="107" t="s">
        <v>3762</v>
      </c>
      <c r="F558" s="69"/>
      <c r="H558" s="69">
        <v>2250</v>
      </c>
      <c r="T558" s="69"/>
      <c r="U558" s="69"/>
      <c r="AR558" s="91">
        <f t="shared" si="42"/>
        <v>2250</v>
      </c>
      <c r="AS558" s="69">
        <v>2048.65</v>
      </c>
      <c r="AT558" s="69">
        <v>118.1</v>
      </c>
      <c r="BC558" s="69"/>
      <c r="BD558" s="69"/>
      <c r="BF558" s="69">
        <v>59.25</v>
      </c>
      <c r="BG558" s="69">
        <v>6</v>
      </c>
      <c r="BH558" s="69">
        <f>9*2</f>
        <v>18</v>
      </c>
      <c r="CC558" s="94">
        <f t="shared" si="43"/>
        <v>2250</v>
      </c>
      <c r="CD558" s="73">
        <f t="shared" si="44"/>
        <v>0</v>
      </c>
      <c r="CE558" s="75">
        <f t="shared" si="45"/>
        <v>3218</v>
      </c>
      <c r="CF558" s="69" t="str">
        <f t="shared" si="45"/>
        <v>مركز مؤتمرات</v>
      </c>
    </row>
    <row r="559" spans="1:91" ht="18.75" x14ac:dyDescent="0.25">
      <c r="B559" s="82">
        <v>5364</v>
      </c>
      <c r="C559" s="78">
        <v>3219</v>
      </c>
      <c r="D559" s="71" t="s">
        <v>130</v>
      </c>
      <c r="E559" s="107" t="s">
        <v>3763</v>
      </c>
      <c r="F559" s="69"/>
      <c r="H559" s="69">
        <v>2850</v>
      </c>
      <c r="T559" s="69"/>
      <c r="U559" s="69"/>
      <c r="AR559" s="91">
        <f t="shared" si="42"/>
        <v>2850</v>
      </c>
      <c r="AS559" s="69">
        <v>2361.5</v>
      </c>
      <c r="AT559" s="69">
        <v>178.5</v>
      </c>
      <c r="BC559" s="69"/>
      <c r="BD559" s="69"/>
      <c r="BF559" s="69">
        <v>75</v>
      </c>
      <c r="BG559" s="69">
        <v>70</v>
      </c>
      <c r="BH559" s="69">
        <f>11.25*2</f>
        <v>22.5</v>
      </c>
      <c r="BI559" s="69">
        <v>142.5</v>
      </c>
      <c r="CC559" s="94">
        <f t="shared" si="43"/>
        <v>2850</v>
      </c>
      <c r="CD559" s="73">
        <f t="shared" si="44"/>
        <v>0</v>
      </c>
      <c r="CE559" s="75">
        <f t="shared" si="45"/>
        <v>3219</v>
      </c>
      <c r="CF559" s="69" t="str">
        <f t="shared" si="45"/>
        <v>خ ت طب</v>
      </c>
    </row>
    <row r="560" spans="1:91" ht="18.75" x14ac:dyDescent="0.25">
      <c r="B560" s="82">
        <v>5792</v>
      </c>
      <c r="C560" s="78">
        <v>3220</v>
      </c>
      <c r="D560" s="71" t="s">
        <v>130</v>
      </c>
      <c r="E560" s="107" t="s">
        <v>3763</v>
      </c>
      <c r="F560" s="69"/>
      <c r="H560" s="69">
        <v>1250</v>
      </c>
      <c r="T560" s="69"/>
      <c r="U560" s="69"/>
      <c r="AR560" s="91">
        <f t="shared" si="42"/>
        <v>1250</v>
      </c>
      <c r="AS560" s="69">
        <v>1135.5999999999999</v>
      </c>
      <c r="AT560" s="69">
        <v>65.5</v>
      </c>
      <c r="BC560" s="69"/>
      <c r="BD560" s="69"/>
      <c r="BF560" s="69">
        <v>32.9</v>
      </c>
      <c r="BG560" s="69">
        <v>6</v>
      </c>
      <c r="BH560" s="69">
        <f>5*2</f>
        <v>10</v>
      </c>
      <c r="CC560" s="94">
        <f t="shared" si="43"/>
        <v>1250</v>
      </c>
      <c r="CD560" s="73">
        <f t="shared" si="44"/>
        <v>0</v>
      </c>
      <c r="CE560" s="75">
        <f t="shared" si="45"/>
        <v>3220</v>
      </c>
      <c r="CF560" s="69" t="str">
        <f t="shared" si="45"/>
        <v>خ ت طب</v>
      </c>
    </row>
    <row r="561" spans="2:86" ht="18.75" x14ac:dyDescent="0.25">
      <c r="B561" s="82">
        <v>5791</v>
      </c>
      <c r="C561" s="78">
        <v>3221</v>
      </c>
      <c r="D561" s="71" t="s">
        <v>130</v>
      </c>
      <c r="E561" s="107" t="s">
        <v>3763</v>
      </c>
      <c r="F561" s="69"/>
      <c r="H561" s="69">
        <v>1250</v>
      </c>
      <c r="T561" s="69"/>
      <c r="U561" s="69"/>
      <c r="AR561" s="91">
        <f t="shared" si="42"/>
        <v>1250</v>
      </c>
      <c r="AS561" s="69">
        <v>1135.5999999999999</v>
      </c>
      <c r="AT561" s="69">
        <v>65.5</v>
      </c>
      <c r="BC561" s="69"/>
      <c r="BD561" s="69"/>
      <c r="BF561" s="69">
        <v>32.9</v>
      </c>
      <c r="BG561" s="69">
        <v>6</v>
      </c>
      <c r="BH561" s="69">
        <v>10</v>
      </c>
      <c r="CC561" s="94">
        <f t="shared" si="43"/>
        <v>1250</v>
      </c>
      <c r="CD561" s="73">
        <f t="shared" si="44"/>
        <v>0</v>
      </c>
      <c r="CE561" s="75">
        <f t="shared" si="45"/>
        <v>3221</v>
      </c>
      <c r="CF561" s="69" t="str">
        <f t="shared" si="45"/>
        <v>خ ت طب</v>
      </c>
    </row>
    <row r="562" spans="2:86" ht="18.75" x14ac:dyDescent="0.25">
      <c r="B562" s="82">
        <v>5042</v>
      </c>
      <c r="C562" s="78">
        <v>3222</v>
      </c>
      <c r="D562" s="71" t="s">
        <v>130</v>
      </c>
      <c r="E562" s="107" t="s">
        <v>1116</v>
      </c>
      <c r="F562" s="69"/>
      <c r="H562" s="69">
        <v>18126</v>
      </c>
      <c r="T562" s="69"/>
      <c r="U562" s="69"/>
      <c r="AR562" s="91">
        <f t="shared" si="42"/>
        <v>18126</v>
      </c>
      <c r="AS562" s="69">
        <v>16575.3</v>
      </c>
      <c r="AT562" s="69">
        <v>837.7</v>
      </c>
      <c r="BC562" s="69"/>
      <c r="BD562" s="69"/>
      <c r="BF562" s="69">
        <v>543.79999999999995</v>
      </c>
      <c r="BG562" s="69">
        <v>6</v>
      </c>
      <c r="BH562" s="69">
        <f>81.6*2</f>
        <v>163.19999999999999</v>
      </c>
      <c r="CC562" s="94">
        <f t="shared" si="43"/>
        <v>18126</v>
      </c>
      <c r="CD562" s="73">
        <f t="shared" si="44"/>
        <v>0</v>
      </c>
      <c r="CE562" s="75">
        <f t="shared" si="45"/>
        <v>3222</v>
      </c>
      <c r="CF562" s="69" t="str">
        <f t="shared" si="45"/>
        <v>خ ت طب</v>
      </c>
    </row>
    <row r="563" spans="2:86" ht="18.75" x14ac:dyDescent="0.25">
      <c r="B563" s="82">
        <v>5589</v>
      </c>
      <c r="C563" s="78">
        <v>3223</v>
      </c>
      <c r="D563" s="71" t="s">
        <v>130</v>
      </c>
      <c r="E563" s="107" t="s">
        <v>3764</v>
      </c>
      <c r="F563" s="69"/>
      <c r="H563" s="69">
        <v>182500</v>
      </c>
      <c r="T563" s="69"/>
      <c r="U563" s="69"/>
      <c r="AR563" s="91">
        <f t="shared" si="42"/>
        <v>182500</v>
      </c>
      <c r="AS563" s="69">
        <v>175814</v>
      </c>
      <c r="AT563" s="69">
        <v>4816</v>
      </c>
      <c r="AV563" s="69">
        <v>5</v>
      </c>
      <c r="BC563" s="69"/>
      <c r="BD563" s="69"/>
      <c r="BF563" s="69">
        <v>1825</v>
      </c>
      <c r="BG563" s="69">
        <v>40</v>
      </c>
      <c r="CC563" s="94">
        <f t="shared" si="43"/>
        <v>182500</v>
      </c>
      <c r="CD563" s="73">
        <f t="shared" si="44"/>
        <v>0</v>
      </c>
      <c r="CE563" s="75">
        <f t="shared" si="45"/>
        <v>3223</v>
      </c>
      <c r="CF563" s="69" t="str">
        <f t="shared" si="45"/>
        <v>خ ت طب</v>
      </c>
    </row>
    <row r="564" spans="2:86" s="68" customFormat="1" ht="18.75" x14ac:dyDescent="0.25">
      <c r="B564" s="83"/>
      <c r="C564" s="84"/>
      <c r="D564" s="85"/>
      <c r="E564" s="108" t="s">
        <v>3765</v>
      </c>
      <c r="H564" s="68">
        <f>SUM(H549:H563)</f>
        <v>2725793.5</v>
      </c>
      <c r="I564" s="68">
        <f t="shared" ref="I564:BU564" si="48">SUM(I549:I563)</f>
        <v>0</v>
      </c>
      <c r="J564" s="68">
        <f t="shared" si="48"/>
        <v>0</v>
      </c>
      <c r="K564" s="68">
        <f t="shared" si="48"/>
        <v>0</v>
      </c>
      <c r="L564" s="68">
        <f t="shared" si="48"/>
        <v>0</v>
      </c>
      <c r="M564" s="68">
        <f t="shared" si="48"/>
        <v>0</v>
      </c>
      <c r="N564" s="68">
        <f t="shared" si="48"/>
        <v>0</v>
      </c>
      <c r="O564" s="68">
        <f t="shared" si="48"/>
        <v>0</v>
      </c>
      <c r="P564" s="68">
        <f t="shared" si="48"/>
        <v>0</v>
      </c>
      <c r="Q564" s="68">
        <f t="shared" si="48"/>
        <v>0</v>
      </c>
      <c r="R564" s="68">
        <f t="shared" si="48"/>
        <v>0</v>
      </c>
      <c r="S564" s="68">
        <f t="shared" si="48"/>
        <v>0</v>
      </c>
      <c r="T564" s="68">
        <f t="shared" si="48"/>
        <v>0</v>
      </c>
      <c r="U564" s="68">
        <f t="shared" si="48"/>
        <v>0</v>
      </c>
      <c r="V564" s="68">
        <f t="shared" si="48"/>
        <v>0</v>
      </c>
      <c r="W564" s="68">
        <f t="shared" si="48"/>
        <v>250000</v>
      </c>
      <c r="X564" s="68">
        <f t="shared" si="48"/>
        <v>0</v>
      </c>
      <c r="Y564" s="68">
        <f t="shared" si="48"/>
        <v>0</v>
      </c>
      <c r="Z564" s="68">
        <f t="shared" si="48"/>
        <v>0</v>
      </c>
      <c r="AA564" s="68">
        <f t="shared" si="48"/>
        <v>250000</v>
      </c>
      <c r="AB564" s="68">
        <f t="shared" si="48"/>
        <v>0</v>
      </c>
      <c r="AC564" s="68">
        <f t="shared" si="48"/>
        <v>25258.03</v>
      </c>
      <c r="AD564" s="68">
        <f t="shared" si="48"/>
        <v>0</v>
      </c>
      <c r="AE564" s="68">
        <f t="shared" si="48"/>
        <v>0</v>
      </c>
      <c r="AF564" s="68">
        <f t="shared" si="48"/>
        <v>0</v>
      </c>
      <c r="AG564" s="68">
        <f t="shared" si="48"/>
        <v>0</v>
      </c>
      <c r="AH564" s="68">
        <f t="shared" si="48"/>
        <v>0</v>
      </c>
      <c r="AI564" s="68">
        <f t="shared" si="48"/>
        <v>0</v>
      </c>
      <c r="AJ564" s="68">
        <f t="shared" si="48"/>
        <v>0</v>
      </c>
      <c r="AK564" s="68">
        <f t="shared" si="48"/>
        <v>0</v>
      </c>
      <c r="AL564" s="68">
        <f t="shared" si="48"/>
        <v>0</v>
      </c>
      <c r="AM564" s="68">
        <f t="shared" si="48"/>
        <v>0</v>
      </c>
      <c r="AO564" s="68">
        <f t="shared" si="48"/>
        <v>0</v>
      </c>
      <c r="AP564" s="68">
        <f t="shared" si="48"/>
        <v>0</v>
      </c>
      <c r="AQ564" s="68">
        <f t="shared" si="48"/>
        <v>0</v>
      </c>
      <c r="AR564" s="91">
        <f t="shared" si="48"/>
        <v>3251051.5300000003</v>
      </c>
      <c r="AS564" s="68">
        <f t="shared" si="48"/>
        <v>2808089.53</v>
      </c>
      <c r="AT564" s="68">
        <f t="shared" si="48"/>
        <v>59351.399999999994</v>
      </c>
      <c r="AU564" s="68">
        <f t="shared" si="48"/>
        <v>0</v>
      </c>
      <c r="AV564" s="68">
        <f t="shared" si="48"/>
        <v>10</v>
      </c>
      <c r="AW564" s="68">
        <f t="shared" si="48"/>
        <v>0</v>
      </c>
      <c r="AX564" s="68">
        <f t="shared" si="48"/>
        <v>0</v>
      </c>
      <c r="AY564" s="68">
        <f t="shared" si="48"/>
        <v>0</v>
      </c>
      <c r="AZ564" s="68">
        <f t="shared" si="48"/>
        <v>0</v>
      </c>
      <c r="BA564" s="68">
        <f t="shared" si="48"/>
        <v>0</v>
      </c>
      <c r="BB564" s="68">
        <f t="shared" si="48"/>
        <v>0</v>
      </c>
      <c r="BC564" s="68">
        <f t="shared" si="48"/>
        <v>0</v>
      </c>
      <c r="BD564" s="68">
        <f t="shared" si="48"/>
        <v>0</v>
      </c>
      <c r="BE564" s="68">
        <f t="shared" si="48"/>
        <v>0</v>
      </c>
      <c r="BF564" s="68">
        <f t="shared" si="48"/>
        <v>24837.4</v>
      </c>
      <c r="BG564" s="68">
        <f t="shared" si="48"/>
        <v>212</v>
      </c>
      <c r="BH564" s="68">
        <f t="shared" si="48"/>
        <v>408.7</v>
      </c>
      <c r="BI564" s="68">
        <f t="shared" si="48"/>
        <v>142.5</v>
      </c>
      <c r="BJ564" s="68">
        <f t="shared" si="48"/>
        <v>108000</v>
      </c>
      <c r="BK564" s="68">
        <f t="shared" si="48"/>
        <v>0</v>
      </c>
      <c r="BL564" s="68">
        <f t="shared" si="48"/>
        <v>0</v>
      </c>
      <c r="BM564" s="68">
        <f t="shared" si="48"/>
        <v>0</v>
      </c>
      <c r="BN564" s="68">
        <f t="shared" si="48"/>
        <v>0</v>
      </c>
      <c r="BO564" s="68">
        <f t="shared" si="48"/>
        <v>0</v>
      </c>
      <c r="BP564" s="68">
        <f t="shared" si="48"/>
        <v>0</v>
      </c>
      <c r="BQ564" s="68">
        <f t="shared" si="48"/>
        <v>250000</v>
      </c>
      <c r="BR564" s="68">
        <f t="shared" si="48"/>
        <v>0</v>
      </c>
      <c r="BS564" s="68">
        <f t="shared" si="48"/>
        <v>0</v>
      </c>
      <c r="BT564" s="68">
        <f t="shared" si="48"/>
        <v>0</v>
      </c>
      <c r="BU564" s="68">
        <f t="shared" si="48"/>
        <v>0</v>
      </c>
      <c r="BV564" s="68">
        <f t="shared" ref="BV564:CH564" si="49">SUM(BV549:BV563)</f>
        <v>0</v>
      </c>
      <c r="BW564" s="68">
        <f t="shared" si="49"/>
        <v>0</v>
      </c>
      <c r="BX564" s="68">
        <f t="shared" si="49"/>
        <v>0</v>
      </c>
      <c r="BY564" s="68">
        <f t="shared" si="49"/>
        <v>0</v>
      </c>
      <c r="BZ564" s="68">
        <f t="shared" si="49"/>
        <v>0</v>
      </c>
      <c r="CA564" s="68">
        <f t="shared" si="49"/>
        <v>0</v>
      </c>
      <c r="CB564" s="68">
        <f t="shared" si="49"/>
        <v>0</v>
      </c>
      <c r="CC564" s="91">
        <f t="shared" si="49"/>
        <v>3251051.5300000003</v>
      </c>
      <c r="CD564" s="68">
        <f t="shared" si="49"/>
        <v>0</v>
      </c>
      <c r="CE564" s="67"/>
      <c r="CG564" s="68">
        <f t="shared" si="49"/>
        <v>0</v>
      </c>
      <c r="CH564" s="68">
        <f t="shared" si="49"/>
        <v>0</v>
      </c>
    </row>
    <row r="565" spans="2:86" ht="18.75" x14ac:dyDescent="0.25">
      <c r="B565" s="82">
        <v>5893</v>
      </c>
      <c r="C565" s="78">
        <v>3224</v>
      </c>
      <c r="D565" s="71" t="s">
        <v>132</v>
      </c>
      <c r="E565" s="107" t="s">
        <v>1391</v>
      </c>
      <c r="F565" s="69"/>
      <c r="G565" s="69">
        <v>1465.63</v>
      </c>
      <c r="T565" s="69"/>
      <c r="U565" s="69"/>
      <c r="AR565" s="91">
        <f t="shared" si="42"/>
        <v>1465.63</v>
      </c>
      <c r="AS565" s="69">
        <v>978.5</v>
      </c>
      <c r="AT565" s="69">
        <v>134</v>
      </c>
      <c r="AU565" s="69">
        <v>353.13</v>
      </c>
      <c r="BC565" s="69"/>
      <c r="BD565" s="69"/>
      <c r="CC565" s="94">
        <f t="shared" si="43"/>
        <v>1465.63</v>
      </c>
      <c r="CD565" s="73">
        <f t="shared" si="44"/>
        <v>0</v>
      </c>
      <c r="CE565" s="75">
        <f t="shared" si="45"/>
        <v>3224</v>
      </c>
      <c r="CF565" s="69" t="str">
        <f t="shared" si="45"/>
        <v>صيدلة اكلينيكى</v>
      </c>
    </row>
    <row r="566" spans="2:86" ht="18.75" x14ac:dyDescent="0.25">
      <c r="B566" s="82">
        <v>5900</v>
      </c>
      <c r="C566" s="78">
        <v>3225</v>
      </c>
      <c r="D566" s="71" t="s">
        <v>132</v>
      </c>
      <c r="E566" s="107" t="s">
        <v>3766</v>
      </c>
      <c r="F566" s="69"/>
      <c r="G566" s="69">
        <v>8271.02</v>
      </c>
      <c r="T566" s="69"/>
      <c r="U566" s="69"/>
      <c r="AR566" s="91">
        <f t="shared" si="42"/>
        <v>8271.02</v>
      </c>
      <c r="AS566" s="69">
        <v>6846.03</v>
      </c>
      <c r="AT566" s="69">
        <f>360+47.97</f>
        <v>407.97</v>
      </c>
      <c r="AU566" s="69">
        <v>1017.02</v>
      </c>
      <c r="BC566" s="69"/>
      <c r="BD566" s="69"/>
      <c r="CC566" s="94">
        <f t="shared" si="43"/>
        <v>8271.02</v>
      </c>
      <c r="CD566" s="73">
        <f t="shared" si="44"/>
        <v>0</v>
      </c>
      <c r="CE566" s="75">
        <f t="shared" si="45"/>
        <v>3225</v>
      </c>
      <c r="CF566" s="69" t="str">
        <f t="shared" si="45"/>
        <v>صيدلة اكلينيكى</v>
      </c>
    </row>
    <row r="567" spans="2:86" ht="18.75" x14ac:dyDescent="0.25">
      <c r="B567" s="82">
        <v>5908</v>
      </c>
      <c r="C567" s="78">
        <v>3226</v>
      </c>
      <c r="D567" s="71" t="s">
        <v>132</v>
      </c>
      <c r="E567" s="107" t="s">
        <v>1023</v>
      </c>
      <c r="F567" s="69"/>
      <c r="G567" s="69">
        <v>7278.5</v>
      </c>
      <c r="T567" s="69"/>
      <c r="U567" s="69"/>
      <c r="AR567" s="91">
        <f t="shared" si="42"/>
        <v>7278.5</v>
      </c>
      <c r="AS567" s="69">
        <v>6297.07</v>
      </c>
      <c r="AT567" s="69">
        <f>245.5+42.38</f>
        <v>287.88</v>
      </c>
      <c r="AU567" s="69">
        <v>693.55</v>
      </c>
      <c r="BC567" s="69"/>
      <c r="BD567" s="69"/>
      <c r="CC567" s="94">
        <f t="shared" si="43"/>
        <v>7278.5</v>
      </c>
      <c r="CD567" s="73">
        <f t="shared" si="44"/>
        <v>0</v>
      </c>
      <c r="CE567" s="75">
        <f t="shared" si="45"/>
        <v>3226</v>
      </c>
      <c r="CF567" s="69" t="str">
        <f t="shared" si="45"/>
        <v>صيدلة اكلينيكى</v>
      </c>
    </row>
    <row r="568" spans="2:86" ht="18.75" x14ac:dyDescent="0.25">
      <c r="B568" s="82">
        <v>5895</v>
      </c>
      <c r="C568" s="78">
        <v>3227</v>
      </c>
      <c r="D568" s="71" t="s">
        <v>132</v>
      </c>
      <c r="E568" s="107" t="s">
        <v>3767</v>
      </c>
      <c r="F568" s="69"/>
      <c r="G568" s="69">
        <v>5894.8</v>
      </c>
      <c r="T568" s="69"/>
      <c r="U568" s="69"/>
      <c r="AR568" s="91">
        <f t="shared" si="42"/>
        <v>5894.8</v>
      </c>
      <c r="AS568" s="69">
        <v>4509.6899999999996</v>
      </c>
      <c r="AT568" s="69">
        <f>353.5+32.96</f>
        <v>386.46</v>
      </c>
      <c r="AU568" s="69">
        <v>998.65</v>
      </c>
      <c r="BC568" s="69"/>
      <c r="BD568" s="69"/>
      <c r="CC568" s="94">
        <f t="shared" si="43"/>
        <v>5894.7999999999993</v>
      </c>
      <c r="CD568" s="73">
        <f t="shared" si="44"/>
        <v>0</v>
      </c>
      <c r="CE568" s="75">
        <f t="shared" si="45"/>
        <v>3227</v>
      </c>
      <c r="CF568" s="69" t="str">
        <f t="shared" si="45"/>
        <v>صيدلة اكلينيكى</v>
      </c>
    </row>
    <row r="569" spans="2:86" ht="18.75" x14ac:dyDescent="0.25">
      <c r="B569" s="82">
        <v>5891</v>
      </c>
      <c r="C569" s="78">
        <v>3228</v>
      </c>
      <c r="D569" s="71" t="s">
        <v>132</v>
      </c>
      <c r="E569" s="107" t="s">
        <v>3768</v>
      </c>
      <c r="F569" s="69"/>
      <c r="G569" s="69">
        <v>469</v>
      </c>
      <c r="T569" s="69"/>
      <c r="U569" s="69"/>
      <c r="AR569" s="91">
        <f t="shared" si="42"/>
        <v>469</v>
      </c>
      <c r="AS569" s="69">
        <v>313.72000000000003</v>
      </c>
      <c r="AT569" s="69">
        <f>40+2.28</f>
        <v>42.28</v>
      </c>
      <c r="AU569" s="69">
        <v>113</v>
      </c>
      <c r="BC569" s="69"/>
      <c r="BD569" s="69"/>
      <c r="CC569" s="94">
        <f t="shared" si="43"/>
        <v>469</v>
      </c>
      <c r="CD569" s="73">
        <f t="shared" si="44"/>
        <v>0</v>
      </c>
      <c r="CE569" s="75">
        <f t="shared" si="45"/>
        <v>3228</v>
      </c>
      <c r="CF569" s="69" t="str">
        <f t="shared" si="45"/>
        <v>صيدلة اكلينيكى</v>
      </c>
    </row>
    <row r="570" spans="2:86" ht="18.75" x14ac:dyDescent="0.25">
      <c r="B570" s="82">
        <v>5902</v>
      </c>
      <c r="C570" s="78">
        <v>3229</v>
      </c>
      <c r="D570" s="71" t="s">
        <v>132</v>
      </c>
      <c r="E570" s="107" t="str">
        <f>+E567</f>
        <v xml:space="preserve">مكافاه اداريين وعمال </v>
      </c>
      <c r="F570" s="69"/>
      <c r="G570" s="69">
        <v>410.38</v>
      </c>
      <c r="T570" s="69"/>
      <c r="U570" s="69"/>
      <c r="AR570" s="91">
        <f t="shared" si="42"/>
        <v>410.38</v>
      </c>
      <c r="AS570" s="69">
        <v>274.8</v>
      </c>
      <c r="AT570" s="69">
        <v>36.700000000000003</v>
      </c>
      <c r="AU570" s="69">
        <v>98.88</v>
      </c>
      <c r="BC570" s="69"/>
      <c r="BD570" s="69"/>
      <c r="CC570" s="94">
        <f t="shared" si="43"/>
        <v>410.38</v>
      </c>
      <c r="CD570" s="73">
        <f t="shared" si="44"/>
        <v>0</v>
      </c>
      <c r="CE570" s="75">
        <f t="shared" si="45"/>
        <v>3229</v>
      </c>
      <c r="CF570" s="69" t="str">
        <f t="shared" si="45"/>
        <v>صيدلة اكلينيكى</v>
      </c>
    </row>
    <row r="571" spans="2:86" ht="18.75" x14ac:dyDescent="0.25">
      <c r="B571" s="82">
        <v>5901</v>
      </c>
      <c r="C571" s="78">
        <v>3230</v>
      </c>
      <c r="D571" s="71" t="s">
        <v>132</v>
      </c>
      <c r="E571" s="107" t="s">
        <v>1023</v>
      </c>
      <c r="F571" s="69"/>
      <c r="G571" s="69">
        <v>351.75</v>
      </c>
      <c r="T571" s="69"/>
      <c r="U571" s="69"/>
      <c r="AR571" s="91">
        <f t="shared" si="42"/>
        <v>351.75</v>
      </c>
      <c r="AS571" s="69">
        <v>235.55</v>
      </c>
      <c r="AT571" s="69">
        <v>31.45</v>
      </c>
      <c r="AU571" s="69">
        <v>84.75</v>
      </c>
      <c r="BC571" s="69"/>
      <c r="BD571" s="69"/>
      <c r="CC571" s="94">
        <f t="shared" si="43"/>
        <v>351.75</v>
      </c>
      <c r="CD571" s="73">
        <f t="shared" si="44"/>
        <v>0</v>
      </c>
      <c r="CE571" s="75">
        <f t="shared" si="45"/>
        <v>3230</v>
      </c>
      <c r="CF571" s="69" t="str">
        <f t="shared" si="45"/>
        <v>صيدلة اكلينيكى</v>
      </c>
    </row>
    <row r="572" spans="2:86" ht="18.75" x14ac:dyDescent="0.25">
      <c r="B572" s="82">
        <v>5907</v>
      </c>
      <c r="C572" s="78">
        <v>3231</v>
      </c>
      <c r="D572" s="71" t="s">
        <v>132</v>
      </c>
      <c r="E572" s="107" t="s">
        <v>1023</v>
      </c>
      <c r="F572" s="69"/>
      <c r="G572" s="69">
        <v>24709.05</v>
      </c>
      <c r="T572" s="69"/>
      <c r="U572" s="69"/>
      <c r="AR572" s="91">
        <f t="shared" si="42"/>
        <v>24709.05</v>
      </c>
      <c r="AS572" s="69">
        <v>17609.77</v>
      </c>
      <c r="AT572" s="69">
        <v>2286.0500000000002</v>
      </c>
      <c r="AU572" s="69">
        <v>4813.2299999999996</v>
      </c>
      <c r="BC572" s="69"/>
      <c r="BD572" s="69"/>
      <c r="CC572" s="94">
        <f t="shared" si="43"/>
        <v>24709.05</v>
      </c>
      <c r="CD572" s="73">
        <f t="shared" si="44"/>
        <v>0</v>
      </c>
      <c r="CE572" s="75">
        <f t="shared" si="45"/>
        <v>3231</v>
      </c>
      <c r="CF572" s="69" t="str">
        <f t="shared" si="45"/>
        <v>صيدلة اكلينيكى</v>
      </c>
    </row>
    <row r="573" spans="2:86" ht="18.75" x14ac:dyDescent="0.25">
      <c r="B573" s="82">
        <v>5903</v>
      </c>
      <c r="C573" s="78">
        <v>3232</v>
      </c>
      <c r="D573" s="71" t="s">
        <v>132</v>
      </c>
      <c r="E573" s="107" t="str">
        <f>+E572</f>
        <v xml:space="preserve">مكافاه اداريين وعمال </v>
      </c>
      <c r="F573" s="69"/>
      <c r="G573" s="69">
        <v>649.91999999999996</v>
      </c>
      <c r="T573" s="69"/>
      <c r="U573" s="69"/>
      <c r="AR573" s="91">
        <f t="shared" si="42"/>
        <v>649.91999999999996</v>
      </c>
      <c r="AS573" s="69">
        <v>504.52</v>
      </c>
      <c r="AT573" s="69">
        <v>63.65</v>
      </c>
      <c r="AU573" s="69">
        <v>81.75</v>
      </c>
      <c r="BC573" s="69"/>
      <c r="BD573" s="69"/>
      <c r="CC573" s="94">
        <f t="shared" si="43"/>
        <v>649.91999999999996</v>
      </c>
      <c r="CD573" s="73">
        <f t="shared" si="44"/>
        <v>0</v>
      </c>
      <c r="CE573" s="75">
        <f t="shared" si="45"/>
        <v>3232</v>
      </c>
      <c r="CF573" s="69" t="str">
        <f t="shared" si="45"/>
        <v>صيدلة اكلينيكى</v>
      </c>
    </row>
    <row r="574" spans="2:86" ht="18.75" x14ac:dyDescent="0.25">
      <c r="B574" s="82">
        <v>5894</v>
      </c>
      <c r="C574" s="78">
        <v>3233</v>
      </c>
      <c r="D574" s="71" t="s">
        <v>132</v>
      </c>
      <c r="E574" s="107" t="str">
        <f>+E565</f>
        <v>مكافاه تصحيح الكترونى</v>
      </c>
      <c r="F574" s="69"/>
      <c r="G574" s="69">
        <v>1465.62</v>
      </c>
      <c r="T574" s="69"/>
      <c r="U574" s="69"/>
      <c r="AR574" s="91">
        <f t="shared" si="42"/>
        <v>1465.62</v>
      </c>
      <c r="AS574" s="69">
        <v>979.5</v>
      </c>
      <c r="AT574" s="69">
        <v>133</v>
      </c>
      <c r="AU574" s="69">
        <v>353.12</v>
      </c>
      <c r="BC574" s="69"/>
      <c r="BD574" s="69"/>
      <c r="CC574" s="94">
        <f t="shared" si="43"/>
        <v>1465.62</v>
      </c>
      <c r="CD574" s="73">
        <f t="shared" si="44"/>
        <v>0</v>
      </c>
      <c r="CE574" s="75">
        <f t="shared" si="45"/>
        <v>3233</v>
      </c>
      <c r="CF574" s="69" t="str">
        <f t="shared" si="45"/>
        <v>صيدلة اكلينيكى</v>
      </c>
    </row>
    <row r="575" spans="2:86" ht="18.75" x14ac:dyDescent="0.25">
      <c r="B575" s="82">
        <v>5896</v>
      </c>
      <c r="C575" s="78">
        <v>3234</v>
      </c>
      <c r="D575" s="71" t="s">
        <v>132</v>
      </c>
      <c r="E575" s="107" t="str">
        <f>+E566</f>
        <v xml:space="preserve">مكافاه حافز اداء </v>
      </c>
      <c r="F575" s="69"/>
      <c r="G575" s="69">
        <v>586.25</v>
      </c>
      <c r="T575" s="69"/>
      <c r="U575" s="69"/>
      <c r="AR575" s="91">
        <f t="shared" si="42"/>
        <v>586.25</v>
      </c>
      <c r="AS575" s="69">
        <v>392.4</v>
      </c>
      <c r="AT575" s="69">
        <v>52.6</v>
      </c>
      <c r="AU575" s="69">
        <v>141.25</v>
      </c>
      <c r="BC575" s="69"/>
      <c r="BD575" s="69"/>
      <c r="CC575" s="94">
        <f t="shared" si="43"/>
        <v>586.25</v>
      </c>
      <c r="CD575" s="73">
        <f t="shared" si="44"/>
        <v>0</v>
      </c>
      <c r="CE575" s="75">
        <f t="shared" si="45"/>
        <v>3234</v>
      </c>
      <c r="CF575" s="69" t="str">
        <f t="shared" si="45"/>
        <v>صيدلة اكلينيكى</v>
      </c>
    </row>
    <row r="576" spans="2:86" ht="18.75" x14ac:dyDescent="0.25">
      <c r="B576" s="82">
        <v>5897</v>
      </c>
      <c r="C576" s="78">
        <v>3235</v>
      </c>
      <c r="D576" s="71" t="s">
        <v>132</v>
      </c>
      <c r="E576" s="107" t="str">
        <f>+E575</f>
        <v xml:space="preserve">مكافاه حافز اداء </v>
      </c>
      <c r="F576" s="69"/>
      <c r="G576" s="69">
        <v>586.25</v>
      </c>
      <c r="T576" s="69"/>
      <c r="U576" s="69"/>
      <c r="AR576" s="91">
        <f t="shared" si="42"/>
        <v>586.25</v>
      </c>
      <c r="AS576" s="69">
        <v>392.4</v>
      </c>
      <c r="AT576" s="69">
        <v>52.6</v>
      </c>
      <c r="AU576" s="69">
        <v>141.25</v>
      </c>
      <c r="BC576" s="69"/>
      <c r="BD576" s="69"/>
      <c r="CC576" s="94">
        <f t="shared" si="43"/>
        <v>586.25</v>
      </c>
      <c r="CD576" s="73">
        <f t="shared" si="44"/>
        <v>0</v>
      </c>
      <c r="CE576" s="75">
        <f t="shared" si="45"/>
        <v>3235</v>
      </c>
      <c r="CF576" s="69" t="str">
        <f t="shared" si="45"/>
        <v>صيدلة اكلينيكى</v>
      </c>
    </row>
    <row r="577" spans="2:84" ht="18.75" x14ac:dyDescent="0.25">
      <c r="B577" s="82">
        <v>5906</v>
      </c>
      <c r="C577" s="78">
        <v>3236</v>
      </c>
      <c r="D577" s="71" t="s">
        <v>132</v>
      </c>
      <c r="E577" s="107" t="str">
        <f>+E573</f>
        <v xml:space="preserve">مكافاه اداريين وعمال </v>
      </c>
      <c r="F577" s="69"/>
      <c r="G577" s="69">
        <v>3236.09</v>
      </c>
      <c r="T577" s="69"/>
      <c r="U577" s="69"/>
      <c r="AR577" s="91">
        <f t="shared" si="42"/>
        <v>3236.09</v>
      </c>
      <c r="AS577" s="69">
        <v>2167.3000000000002</v>
      </c>
      <c r="AT577" s="69">
        <v>289.10000000000002</v>
      </c>
      <c r="AU577" s="69">
        <v>779.69</v>
      </c>
      <c r="BC577" s="69"/>
      <c r="BD577" s="69"/>
      <c r="CC577" s="94">
        <f t="shared" si="43"/>
        <v>3236.09</v>
      </c>
      <c r="CD577" s="73">
        <f t="shared" si="44"/>
        <v>0</v>
      </c>
      <c r="CE577" s="75">
        <f t="shared" si="45"/>
        <v>3236</v>
      </c>
      <c r="CF577" s="69" t="str">
        <f t="shared" si="45"/>
        <v>صيدلة اكلينيكى</v>
      </c>
    </row>
    <row r="578" spans="2:84" ht="18.75" x14ac:dyDescent="0.25">
      <c r="B578" s="82">
        <v>5905</v>
      </c>
      <c r="C578" s="78">
        <v>3237</v>
      </c>
      <c r="D578" s="71" t="s">
        <v>132</v>
      </c>
      <c r="E578" s="107" t="str">
        <f>+E577</f>
        <v xml:space="preserve">مكافاه اداريين وعمال </v>
      </c>
      <c r="F578" s="69"/>
      <c r="G578" s="69">
        <v>1395.27</v>
      </c>
      <c r="T578" s="69"/>
      <c r="U578" s="69"/>
      <c r="AR578" s="91">
        <f t="shared" si="42"/>
        <v>1395.27</v>
      </c>
      <c r="AS578" s="69">
        <v>933.9</v>
      </c>
      <c r="AT578" s="69">
        <v>125.2</v>
      </c>
      <c r="AU578" s="69">
        <v>336.17</v>
      </c>
      <c r="BC578" s="69"/>
      <c r="BD578" s="69"/>
      <c r="CC578" s="94">
        <f t="shared" si="43"/>
        <v>1395.27</v>
      </c>
      <c r="CD578" s="73">
        <f t="shared" si="44"/>
        <v>0</v>
      </c>
      <c r="CE578" s="75">
        <f t="shared" si="45"/>
        <v>3237</v>
      </c>
      <c r="CF578" s="69" t="str">
        <f t="shared" si="45"/>
        <v>صيدلة اكلينيكى</v>
      </c>
    </row>
    <row r="579" spans="2:84" ht="18.75" x14ac:dyDescent="0.25">
      <c r="B579" s="82">
        <v>5904</v>
      </c>
      <c r="C579" s="78">
        <v>3238</v>
      </c>
      <c r="D579" s="71" t="s">
        <v>132</v>
      </c>
      <c r="E579" s="107" t="str">
        <f>+E578</f>
        <v xml:space="preserve">مكافاه اداريين وعمال </v>
      </c>
      <c r="F579" s="69"/>
      <c r="G579" s="69">
        <v>500</v>
      </c>
      <c r="T579" s="69"/>
      <c r="U579" s="69"/>
      <c r="AR579" s="91">
        <f t="shared" si="42"/>
        <v>500</v>
      </c>
      <c r="AS579" s="69">
        <v>447.05</v>
      </c>
      <c r="AT579" s="69">
        <v>52.95</v>
      </c>
      <c r="BC579" s="69"/>
      <c r="BD579" s="69"/>
      <c r="CC579" s="94">
        <f t="shared" si="43"/>
        <v>500</v>
      </c>
      <c r="CD579" s="73">
        <f t="shared" si="44"/>
        <v>0</v>
      </c>
      <c r="CE579" s="75">
        <f t="shared" si="45"/>
        <v>3238</v>
      </c>
      <c r="CF579" s="69" t="str">
        <f t="shared" si="45"/>
        <v>صيدلة اكلينيكى</v>
      </c>
    </row>
    <row r="580" spans="2:84" ht="18.75" x14ac:dyDescent="0.25">
      <c r="B580" s="82">
        <v>5899</v>
      </c>
      <c r="C580" s="78">
        <v>3239</v>
      </c>
      <c r="D580" s="71" t="s">
        <v>132</v>
      </c>
      <c r="E580" s="107" t="str">
        <f>+E576</f>
        <v xml:space="preserve">مكافاه حافز اداء </v>
      </c>
      <c r="F580" s="69"/>
      <c r="G580" s="69">
        <v>6489.01</v>
      </c>
      <c r="T580" s="69"/>
      <c r="U580" s="69"/>
      <c r="AR580" s="91">
        <f t="shared" si="42"/>
        <v>6489.01</v>
      </c>
      <c r="AS580" s="69">
        <v>5437.03</v>
      </c>
      <c r="AT580" s="69">
        <v>660.55</v>
      </c>
      <c r="AU580" s="69">
        <v>391.43</v>
      </c>
      <c r="BC580" s="69"/>
      <c r="BD580" s="69"/>
      <c r="CC580" s="94">
        <f t="shared" si="43"/>
        <v>6489.01</v>
      </c>
      <c r="CD580" s="73">
        <f t="shared" si="44"/>
        <v>0</v>
      </c>
      <c r="CE580" s="75">
        <f t="shared" si="45"/>
        <v>3239</v>
      </c>
      <c r="CF580" s="69" t="str">
        <f t="shared" si="45"/>
        <v>صيدلة اكلينيكى</v>
      </c>
    </row>
    <row r="581" spans="2:84" ht="18.75" x14ac:dyDescent="0.25">
      <c r="B581" s="82">
        <v>5898</v>
      </c>
      <c r="C581" s="78">
        <v>3240</v>
      </c>
      <c r="D581" s="71" t="s">
        <v>132</v>
      </c>
      <c r="E581" s="107" t="str">
        <f>+E580</f>
        <v xml:space="preserve">مكافاه حافز اداء </v>
      </c>
      <c r="F581" s="69"/>
      <c r="G581" s="69">
        <v>1703.5</v>
      </c>
      <c r="T581" s="69"/>
      <c r="U581" s="69"/>
      <c r="AR581" s="91">
        <f t="shared" si="42"/>
        <v>1703.5</v>
      </c>
      <c r="AS581" s="69">
        <v>1364.6</v>
      </c>
      <c r="AT581" s="69">
        <v>169.4</v>
      </c>
      <c r="AU581" s="69">
        <v>169.5</v>
      </c>
      <c r="BC581" s="69"/>
      <c r="BD581" s="69"/>
      <c r="CC581" s="94">
        <f t="shared" si="43"/>
        <v>1703.5</v>
      </c>
      <c r="CD581" s="73">
        <f t="shared" si="44"/>
        <v>0</v>
      </c>
      <c r="CE581" s="75">
        <f t="shared" si="45"/>
        <v>3240</v>
      </c>
      <c r="CF581" s="69" t="str">
        <f t="shared" si="45"/>
        <v>صيدلة اكلينيكى</v>
      </c>
    </row>
    <row r="582" spans="2:84" ht="18.75" x14ac:dyDescent="0.25">
      <c r="B582" s="82">
        <v>5892</v>
      </c>
      <c r="C582" s="78">
        <v>3241</v>
      </c>
      <c r="D582" s="71" t="s">
        <v>132</v>
      </c>
      <c r="E582" s="107" t="str">
        <f>+E581</f>
        <v xml:space="preserve">مكافاه حافز اداء </v>
      </c>
      <c r="F582" s="69"/>
      <c r="G582" s="69">
        <v>800</v>
      </c>
      <c r="T582" s="69"/>
      <c r="U582" s="69"/>
      <c r="AR582" s="91">
        <f t="shared" si="42"/>
        <v>800</v>
      </c>
      <c r="AS582" s="69">
        <v>714.75</v>
      </c>
      <c r="AT582" s="69">
        <v>85.25</v>
      </c>
      <c r="BC582" s="69"/>
      <c r="BD582" s="69"/>
      <c r="CC582" s="94">
        <f t="shared" si="43"/>
        <v>800</v>
      </c>
      <c r="CD582" s="73">
        <f t="shared" si="44"/>
        <v>0</v>
      </c>
      <c r="CE582" s="75">
        <f t="shared" si="45"/>
        <v>3241</v>
      </c>
      <c r="CF582" s="69" t="str">
        <f t="shared" si="45"/>
        <v>صيدلة اكلينيكى</v>
      </c>
    </row>
    <row r="583" spans="2:84" ht="18.75" x14ac:dyDescent="0.25">
      <c r="B583" s="82">
        <v>5890</v>
      </c>
      <c r="C583" s="78">
        <v>3242</v>
      </c>
      <c r="D583" s="71" t="s">
        <v>132</v>
      </c>
      <c r="E583" s="107" t="s">
        <v>3769</v>
      </c>
      <c r="F583" s="69"/>
      <c r="G583" s="69">
        <v>2500</v>
      </c>
      <c r="T583" s="69"/>
      <c r="U583" s="69"/>
      <c r="AR583" s="91">
        <f t="shared" si="42"/>
        <v>2500</v>
      </c>
      <c r="AS583" s="69">
        <v>2235.25</v>
      </c>
      <c r="AT583" s="69">
        <v>264.75</v>
      </c>
      <c r="BC583" s="69"/>
      <c r="BD583" s="69"/>
      <c r="CC583" s="94">
        <f t="shared" si="43"/>
        <v>2500</v>
      </c>
      <c r="CD583" s="73">
        <f t="shared" si="44"/>
        <v>0</v>
      </c>
      <c r="CE583" s="75">
        <f t="shared" si="45"/>
        <v>3242</v>
      </c>
      <c r="CF583" s="69" t="str">
        <f t="shared" si="45"/>
        <v>صيدلة اكلينيكى</v>
      </c>
    </row>
    <row r="584" spans="2:84" ht="18.75" x14ac:dyDescent="0.25">
      <c r="B584" s="82">
        <v>5685</v>
      </c>
      <c r="C584" s="78">
        <v>3243</v>
      </c>
      <c r="D584" s="71" t="s">
        <v>3770</v>
      </c>
      <c r="E584" s="107" t="s">
        <v>1835</v>
      </c>
      <c r="F584" s="69"/>
      <c r="G584" s="69">
        <v>1000</v>
      </c>
      <c r="T584" s="69"/>
      <c r="U584" s="69"/>
      <c r="AR584" s="91">
        <f t="shared" si="42"/>
        <v>1000</v>
      </c>
      <c r="AS584" s="69">
        <v>843.35</v>
      </c>
      <c r="AT584" s="69">
        <v>106.65</v>
      </c>
      <c r="AV584" s="69">
        <v>50</v>
      </c>
      <c r="BC584" s="69"/>
      <c r="BD584" s="69"/>
      <c r="CC584" s="94">
        <f t="shared" si="43"/>
        <v>1000</v>
      </c>
      <c r="CD584" s="73">
        <f t="shared" si="44"/>
        <v>0</v>
      </c>
      <c r="CE584" s="75">
        <f t="shared" si="45"/>
        <v>3243</v>
      </c>
      <c r="CF584" s="69" t="str">
        <f t="shared" si="45"/>
        <v xml:space="preserve">خ ت صيدلة </v>
      </c>
    </row>
    <row r="585" spans="2:84" ht="18.75" x14ac:dyDescent="0.25">
      <c r="B585" s="82">
        <v>5881</v>
      </c>
      <c r="C585" s="78">
        <v>3244</v>
      </c>
      <c r="D585" s="71" t="s">
        <v>123</v>
      </c>
      <c r="E585" s="107" t="s">
        <v>1562</v>
      </c>
      <c r="F585" s="69"/>
      <c r="G585" s="69">
        <v>400</v>
      </c>
      <c r="T585" s="69"/>
      <c r="U585" s="69"/>
      <c r="AR585" s="91">
        <f t="shared" si="42"/>
        <v>400</v>
      </c>
      <c r="AS585" s="69">
        <v>302.16000000000003</v>
      </c>
      <c r="AT585" s="69">
        <v>77.84</v>
      </c>
      <c r="AV585" s="69">
        <v>20</v>
      </c>
      <c r="BC585" s="69"/>
      <c r="BD585" s="69"/>
      <c r="CC585" s="94">
        <f t="shared" si="43"/>
        <v>400</v>
      </c>
      <c r="CD585" s="73">
        <f t="shared" si="44"/>
        <v>0</v>
      </c>
      <c r="CE585" s="75">
        <f t="shared" si="45"/>
        <v>3244</v>
      </c>
      <c r="CF585" s="69" t="str">
        <f t="shared" si="45"/>
        <v>خ ت اسنان</v>
      </c>
    </row>
    <row r="586" spans="2:84" ht="18.75" x14ac:dyDescent="0.25">
      <c r="B586" s="82">
        <v>5859</v>
      </c>
      <c r="C586" s="78">
        <v>3245</v>
      </c>
      <c r="D586" s="71" t="s">
        <v>123</v>
      </c>
      <c r="E586" s="107" t="s">
        <v>1562</v>
      </c>
      <c r="F586" s="69"/>
      <c r="G586" s="69">
        <v>400</v>
      </c>
      <c r="T586" s="69"/>
      <c r="U586" s="69"/>
      <c r="AR586" s="91">
        <f t="shared" si="42"/>
        <v>400</v>
      </c>
      <c r="AS586" s="69">
        <v>302.16000000000003</v>
      </c>
      <c r="AT586" s="69">
        <v>77.84</v>
      </c>
      <c r="AV586" s="69">
        <v>20</v>
      </c>
      <c r="BC586" s="69"/>
      <c r="BD586" s="69"/>
      <c r="CC586" s="94">
        <f t="shared" si="43"/>
        <v>400</v>
      </c>
      <c r="CD586" s="73">
        <f t="shared" si="44"/>
        <v>0</v>
      </c>
      <c r="CE586" s="75">
        <f t="shared" si="45"/>
        <v>3245</v>
      </c>
      <c r="CF586" s="69" t="str">
        <f t="shared" si="45"/>
        <v>خ ت اسنان</v>
      </c>
    </row>
    <row r="587" spans="2:84" ht="18.75" x14ac:dyDescent="0.25">
      <c r="B587" s="82">
        <v>5856</v>
      </c>
      <c r="C587" s="78">
        <v>3246</v>
      </c>
      <c r="D587" s="71" t="s">
        <v>123</v>
      </c>
      <c r="E587" s="107" t="s">
        <v>1562</v>
      </c>
      <c r="G587" s="69">
        <v>469</v>
      </c>
      <c r="T587" s="69"/>
      <c r="U587" s="69"/>
      <c r="AR587" s="91">
        <f t="shared" si="42"/>
        <v>469</v>
      </c>
      <c r="AS587" s="69">
        <v>314</v>
      </c>
      <c r="AT587" s="69">
        <v>42</v>
      </c>
      <c r="AU587" s="69">
        <v>113</v>
      </c>
      <c r="BC587" s="69"/>
      <c r="BD587" s="69"/>
      <c r="CC587" s="94">
        <f t="shared" si="43"/>
        <v>469</v>
      </c>
      <c r="CD587" s="73">
        <f t="shared" si="44"/>
        <v>0</v>
      </c>
      <c r="CE587" s="75">
        <f t="shared" si="45"/>
        <v>3246</v>
      </c>
      <c r="CF587" s="69" t="str">
        <f t="shared" si="45"/>
        <v>خ ت اسنان</v>
      </c>
    </row>
    <row r="588" spans="2:84" ht="18.75" x14ac:dyDescent="0.25">
      <c r="B588" s="82">
        <v>5863</v>
      </c>
      <c r="C588" s="78">
        <v>3247</v>
      </c>
      <c r="D588" s="71" t="s">
        <v>123</v>
      </c>
      <c r="E588" s="107" t="s">
        <v>1562</v>
      </c>
      <c r="G588" s="69">
        <v>1500</v>
      </c>
      <c r="T588" s="69"/>
      <c r="U588" s="69"/>
      <c r="AR588" s="91">
        <f t="shared" si="42"/>
        <v>1500</v>
      </c>
      <c r="AS588" s="69">
        <v>1158.1099999999999</v>
      </c>
      <c r="AT588" s="69">
        <v>266.89</v>
      </c>
      <c r="AV588" s="69">
        <v>75</v>
      </c>
      <c r="BC588" s="69"/>
      <c r="BD588" s="69"/>
      <c r="CC588" s="94">
        <f t="shared" si="43"/>
        <v>1500</v>
      </c>
      <c r="CD588" s="73">
        <f t="shared" si="44"/>
        <v>0</v>
      </c>
      <c r="CE588" s="75">
        <f t="shared" si="45"/>
        <v>3247</v>
      </c>
      <c r="CF588" s="69" t="str">
        <f t="shared" si="45"/>
        <v>خ ت اسنان</v>
      </c>
    </row>
    <row r="589" spans="2:84" ht="18.75" x14ac:dyDescent="0.25">
      <c r="B589" s="82">
        <v>5864</v>
      </c>
      <c r="C589" s="78">
        <v>3248</v>
      </c>
      <c r="D589" s="71" t="s">
        <v>123</v>
      </c>
      <c r="E589" s="107" t="s">
        <v>1562</v>
      </c>
      <c r="G589" s="69">
        <v>400</v>
      </c>
      <c r="T589" s="69"/>
      <c r="U589" s="69"/>
      <c r="AR589" s="91">
        <f t="shared" si="42"/>
        <v>400</v>
      </c>
      <c r="AS589" s="69">
        <v>302.16000000000003</v>
      </c>
      <c r="AT589" s="69">
        <v>77.84</v>
      </c>
      <c r="AV589" s="69">
        <v>20</v>
      </c>
      <c r="BC589" s="69"/>
      <c r="BD589" s="69"/>
      <c r="CC589" s="94">
        <f t="shared" si="43"/>
        <v>400</v>
      </c>
      <c r="CD589" s="73">
        <f t="shared" si="44"/>
        <v>0</v>
      </c>
      <c r="CE589" s="75">
        <f t="shared" si="45"/>
        <v>3248</v>
      </c>
      <c r="CF589" s="69" t="str">
        <f t="shared" si="45"/>
        <v>خ ت اسنان</v>
      </c>
    </row>
    <row r="590" spans="2:84" ht="18.75" x14ac:dyDescent="0.25">
      <c r="B590" s="82">
        <v>5862</v>
      </c>
      <c r="C590" s="78">
        <v>3249</v>
      </c>
      <c r="D590" s="71" t="s">
        <v>123</v>
      </c>
      <c r="E590" s="107" t="s">
        <v>1562</v>
      </c>
      <c r="G590" s="69">
        <v>469</v>
      </c>
      <c r="T590" s="69"/>
      <c r="U590" s="69"/>
      <c r="AR590" s="91">
        <f t="shared" si="42"/>
        <v>469</v>
      </c>
      <c r="AS590" s="69">
        <v>314</v>
      </c>
      <c r="AT590" s="69">
        <v>42</v>
      </c>
      <c r="AU590" s="69">
        <v>113</v>
      </c>
      <c r="BC590" s="69"/>
      <c r="BD590" s="69"/>
      <c r="CC590" s="94">
        <f t="shared" si="43"/>
        <v>469</v>
      </c>
      <c r="CD590" s="73">
        <f t="shared" si="44"/>
        <v>0</v>
      </c>
      <c r="CE590" s="75">
        <f t="shared" si="45"/>
        <v>3249</v>
      </c>
      <c r="CF590" s="69" t="str">
        <f t="shared" si="45"/>
        <v>خ ت اسنان</v>
      </c>
    </row>
    <row r="591" spans="2:84" ht="18.75" x14ac:dyDescent="0.25">
      <c r="B591" s="82">
        <v>5871</v>
      </c>
      <c r="C591" s="78">
        <v>3250</v>
      </c>
      <c r="D591" s="71" t="s">
        <v>123</v>
      </c>
      <c r="E591" s="107" t="s">
        <v>1562</v>
      </c>
      <c r="G591" s="69">
        <v>950</v>
      </c>
      <c r="T591" s="69"/>
      <c r="U591" s="69"/>
      <c r="AR591" s="91">
        <f t="shared" si="42"/>
        <v>950</v>
      </c>
      <c r="AS591" s="69">
        <v>716.96</v>
      </c>
      <c r="AT591" s="69">
        <v>185.54</v>
      </c>
      <c r="AV591" s="69">
        <v>47.5</v>
      </c>
      <c r="BC591" s="69"/>
      <c r="BD591" s="69"/>
      <c r="CC591" s="94">
        <f t="shared" si="43"/>
        <v>950</v>
      </c>
      <c r="CD591" s="73">
        <f t="shared" si="44"/>
        <v>0</v>
      </c>
      <c r="CE591" s="75">
        <f t="shared" si="45"/>
        <v>3250</v>
      </c>
      <c r="CF591" s="69" t="str">
        <f t="shared" si="45"/>
        <v>خ ت اسنان</v>
      </c>
    </row>
    <row r="592" spans="2:84" ht="18.75" x14ac:dyDescent="0.25">
      <c r="B592" s="82">
        <v>5872</v>
      </c>
      <c r="C592" s="78">
        <v>3251</v>
      </c>
      <c r="D592" s="71" t="s">
        <v>123</v>
      </c>
      <c r="E592" s="107" t="s">
        <v>1562</v>
      </c>
      <c r="G592" s="69">
        <v>950</v>
      </c>
      <c r="T592" s="69"/>
      <c r="U592" s="69"/>
      <c r="AR592" s="91">
        <f t="shared" si="42"/>
        <v>950</v>
      </c>
      <c r="AS592" s="69">
        <v>743.31</v>
      </c>
      <c r="AT592" s="69">
        <v>159.19</v>
      </c>
      <c r="AV592" s="69">
        <v>47.5</v>
      </c>
      <c r="BC592" s="69"/>
      <c r="BD592" s="69"/>
      <c r="CC592" s="94">
        <f t="shared" si="43"/>
        <v>950</v>
      </c>
      <c r="CD592" s="73">
        <f t="shared" si="44"/>
        <v>0</v>
      </c>
      <c r="CE592" s="75">
        <f t="shared" si="45"/>
        <v>3251</v>
      </c>
      <c r="CF592" s="69" t="str">
        <f t="shared" si="45"/>
        <v>خ ت اسنان</v>
      </c>
    </row>
    <row r="593" spans="2:84" ht="18.75" x14ac:dyDescent="0.25">
      <c r="B593" s="82">
        <v>5870</v>
      </c>
      <c r="C593" s="78">
        <v>3252</v>
      </c>
      <c r="D593" s="71" t="s">
        <v>123</v>
      </c>
      <c r="E593" s="107" t="s">
        <v>1562</v>
      </c>
      <c r="G593" s="69">
        <v>469</v>
      </c>
      <c r="T593" s="69"/>
      <c r="U593" s="69"/>
      <c r="AR593" s="91">
        <f t="shared" si="42"/>
        <v>469</v>
      </c>
      <c r="AS593" s="69">
        <v>314</v>
      </c>
      <c r="AT593" s="69">
        <v>42</v>
      </c>
      <c r="AU593" s="69">
        <v>113</v>
      </c>
      <c r="BC593" s="69"/>
      <c r="BD593" s="69"/>
      <c r="CC593" s="94">
        <f t="shared" si="43"/>
        <v>469</v>
      </c>
      <c r="CD593" s="73">
        <f t="shared" si="44"/>
        <v>0</v>
      </c>
      <c r="CE593" s="75">
        <f t="shared" si="45"/>
        <v>3252</v>
      </c>
      <c r="CF593" s="69" t="str">
        <f t="shared" si="45"/>
        <v>خ ت اسنان</v>
      </c>
    </row>
    <row r="594" spans="2:84" ht="18.75" x14ac:dyDescent="0.25">
      <c r="B594" s="82">
        <v>5877</v>
      </c>
      <c r="C594" s="78">
        <v>3253</v>
      </c>
      <c r="D594" s="71" t="s">
        <v>123</v>
      </c>
      <c r="E594" s="107" t="s">
        <v>1562</v>
      </c>
      <c r="G594" s="69">
        <v>1899.98</v>
      </c>
      <c r="T594" s="69"/>
      <c r="U594" s="69"/>
      <c r="AR594" s="91">
        <f t="shared" si="42"/>
        <v>1899.98</v>
      </c>
      <c r="AS594" s="69">
        <v>1434.74</v>
      </c>
      <c r="AT594" s="69">
        <v>370.25</v>
      </c>
      <c r="AV594" s="69">
        <v>94.99</v>
      </c>
      <c r="BC594" s="69"/>
      <c r="BD594" s="69"/>
      <c r="CC594" s="94">
        <f t="shared" si="43"/>
        <v>1899.98</v>
      </c>
      <c r="CD594" s="73">
        <f t="shared" si="44"/>
        <v>0</v>
      </c>
      <c r="CE594" s="75">
        <f t="shared" si="45"/>
        <v>3253</v>
      </c>
      <c r="CF594" s="69" t="str">
        <f t="shared" si="45"/>
        <v>خ ت اسنان</v>
      </c>
    </row>
    <row r="595" spans="2:84" ht="18.75" x14ac:dyDescent="0.25">
      <c r="B595" s="82">
        <v>5876</v>
      </c>
      <c r="C595" s="78">
        <v>3254</v>
      </c>
      <c r="D595" s="71" t="s">
        <v>123</v>
      </c>
      <c r="E595" s="107" t="s">
        <v>1562</v>
      </c>
      <c r="G595" s="69">
        <v>469</v>
      </c>
      <c r="T595" s="69"/>
      <c r="U595" s="69"/>
      <c r="AR595" s="91">
        <f t="shared" si="42"/>
        <v>469</v>
      </c>
      <c r="AS595" s="69">
        <v>314</v>
      </c>
      <c r="AT595" s="69">
        <v>42</v>
      </c>
      <c r="AU595" s="69">
        <v>113</v>
      </c>
      <c r="BC595" s="69"/>
      <c r="BD595" s="69"/>
      <c r="CC595" s="94">
        <f t="shared" si="43"/>
        <v>469</v>
      </c>
      <c r="CD595" s="73">
        <f t="shared" si="44"/>
        <v>0</v>
      </c>
      <c r="CE595" s="75">
        <f t="shared" si="45"/>
        <v>3254</v>
      </c>
      <c r="CF595" s="69" t="str">
        <f t="shared" si="45"/>
        <v>خ ت اسنان</v>
      </c>
    </row>
    <row r="596" spans="2:84" ht="18.75" x14ac:dyDescent="0.25">
      <c r="B596" s="82">
        <v>5879</v>
      </c>
      <c r="C596" s="78">
        <v>3255</v>
      </c>
      <c r="D596" s="71" t="s">
        <v>123</v>
      </c>
      <c r="E596" s="107" t="s">
        <v>1562</v>
      </c>
      <c r="G596" s="69">
        <v>469</v>
      </c>
      <c r="T596" s="69"/>
      <c r="U596" s="69"/>
      <c r="AR596" s="91">
        <f t="shared" si="42"/>
        <v>469</v>
      </c>
      <c r="AS596" s="69">
        <v>314</v>
      </c>
      <c r="AT596" s="69">
        <v>42</v>
      </c>
      <c r="AU596" s="69">
        <v>113</v>
      </c>
      <c r="BC596" s="69"/>
      <c r="BD596" s="69"/>
      <c r="CC596" s="94">
        <f t="shared" si="16"/>
        <v>469</v>
      </c>
      <c r="CD596" s="73">
        <f t="shared" ref="CD596:CD677" si="50">+CC596-AR596</f>
        <v>0</v>
      </c>
      <c r="CE596" s="75">
        <f t="shared" si="45"/>
        <v>3255</v>
      </c>
      <c r="CF596" s="69" t="str">
        <f t="shared" si="45"/>
        <v>خ ت اسنان</v>
      </c>
    </row>
    <row r="597" spans="2:84" ht="18.75" x14ac:dyDescent="0.25">
      <c r="B597" s="82">
        <v>5842</v>
      </c>
      <c r="C597" s="78">
        <v>3256</v>
      </c>
      <c r="D597" s="71" t="s">
        <v>123</v>
      </c>
      <c r="E597" s="107" t="s">
        <v>1562</v>
      </c>
      <c r="G597" s="69">
        <v>950</v>
      </c>
      <c r="T597" s="69"/>
      <c r="U597" s="69"/>
      <c r="AR597" s="91">
        <f t="shared" si="42"/>
        <v>950</v>
      </c>
      <c r="AS597" s="69">
        <v>716.96</v>
      </c>
      <c r="AT597" s="69">
        <v>185.54</v>
      </c>
      <c r="AV597" s="69">
        <v>47.5</v>
      </c>
      <c r="BC597" s="69"/>
      <c r="BD597" s="69"/>
      <c r="CC597" s="94">
        <f t="shared" si="16"/>
        <v>950</v>
      </c>
      <c r="CD597" s="73">
        <f t="shared" si="50"/>
        <v>0</v>
      </c>
      <c r="CE597" s="75">
        <f t="shared" si="45"/>
        <v>3256</v>
      </c>
      <c r="CF597" s="69" t="str">
        <f t="shared" si="45"/>
        <v>خ ت اسنان</v>
      </c>
    </row>
    <row r="598" spans="2:84" ht="18.75" x14ac:dyDescent="0.25">
      <c r="B598" s="82">
        <v>5848</v>
      </c>
      <c r="C598" s="78">
        <v>3257</v>
      </c>
      <c r="D598" s="71" t="s">
        <v>123</v>
      </c>
      <c r="E598" s="107" t="s">
        <v>1562</v>
      </c>
      <c r="G598" s="69">
        <v>1500</v>
      </c>
      <c r="T598" s="69"/>
      <c r="U598" s="69"/>
      <c r="AR598" s="91">
        <f t="shared" ref="AR598:AR660" si="51">SUM(G598:AQ598)</f>
        <v>1500</v>
      </c>
      <c r="AS598" s="69">
        <v>1132.1600000000001</v>
      </c>
      <c r="AT598" s="69">
        <v>292.83999999999997</v>
      </c>
      <c r="AV598" s="69">
        <v>75</v>
      </c>
      <c r="BC598" s="69"/>
      <c r="BD598" s="69"/>
      <c r="CC598" s="94">
        <f t="shared" si="16"/>
        <v>1500</v>
      </c>
      <c r="CD598" s="73">
        <f t="shared" si="50"/>
        <v>0</v>
      </c>
      <c r="CE598" s="75">
        <f t="shared" ref="CE598:CF660" si="52">+C598</f>
        <v>3257</v>
      </c>
      <c r="CF598" s="69" t="str">
        <f t="shared" si="52"/>
        <v>خ ت اسنان</v>
      </c>
    </row>
    <row r="599" spans="2:84" ht="18.75" x14ac:dyDescent="0.25">
      <c r="B599" s="82">
        <v>5840</v>
      </c>
      <c r="C599" s="78">
        <v>3258</v>
      </c>
      <c r="D599" s="71" t="s">
        <v>123</v>
      </c>
      <c r="E599" s="107" t="s">
        <v>1562</v>
      </c>
      <c r="F599" s="69"/>
      <c r="G599" s="69">
        <v>469</v>
      </c>
      <c r="T599" s="69"/>
      <c r="U599" s="69"/>
      <c r="AR599" s="91">
        <f t="shared" si="51"/>
        <v>469</v>
      </c>
      <c r="AS599" s="69">
        <v>314</v>
      </c>
      <c r="AT599" s="69">
        <v>42</v>
      </c>
      <c r="AU599" s="69">
        <v>113</v>
      </c>
      <c r="BC599" s="69"/>
      <c r="BD599" s="69"/>
      <c r="CC599" s="94">
        <f t="shared" si="16"/>
        <v>469</v>
      </c>
      <c r="CD599" s="73">
        <f t="shared" si="50"/>
        <v>0</v>
      </c>
      <c r="CE599" s="75">
        <f t="shared" si="52"/>
        <v>3258</v>
      </c>
      <c r="CF599" s="69" t="str">
        <f t="shared" si="52"/>
        <v>خ ت اسنان</v>
      </c>
    </row>
    <row r="600" spans="2:84" ht="18.75" x14ac:dyDescent="0.25">
      <c r="B600" s="82">
        <v>5846</v>
      </c>
      <c r="C600" s="78">
        <v>3259</v>
      </c>
      <c r="D600" s="71" t="s">
        <v>123</v>
      </c>
      <c r="E600" s="107" t="s">
        <v>1562</v>
      </c>
      <c r="G600" s="69">
        <v>469</v>
      </c>
      <c r="T600" s="69"/>
      <c r="U600" s="69"/>
      <c r="AR600" s="91">
        <f t="shared" si="51"/>
        <v>469</v>
      </c>
      <c r="AS600" s="69">
        <v>314</v>
      </c>
      <c r="AT600" s="69">
        <v>42</v>
      </c>
      <c r="AU600" s="69">
        <v>113</v>
      </c>
      <c r="BC600" s="69"/>
      <c r="BD600" s="69"/>
      <c r="CC600" s="94">
        <f t="shared" si="16"/>
        <v>469</v>
      </c>
      <c r="CD600" s="73">
        <f t="shared" si="50"/>
        <v>0</v>
      </c>
      <c r="CE600" s="75">
        <f t="shared" si="52"/>
        <v>3259</v>
      </c>
      <c r="CF600" s="69" t="str">
        <f t="shared" si="52"/>
        <v>خ ت اسنان</v>
      </c>
    </row>
    <row r="601" spans="2:84" ht="18.75" x14ac:dyDescent="0.25">
      <c r="B601" s="82">
        <v>5854</v>
      </c>
      <c r="C601" s="78">
        <v>3260</v>
      </c>
      <c r="D601" s="71" t="s">
        <v>123</v>
      </c>
      <c r="E601" s="107" t="s">
        <v>1562</v>
      </c>
      <c r="G601" s="69">
        <v>1900</v>
      </c>
      <c r="T601" s="69"/>
      <c r="U601" s="69"/>
      <c r="AR601" s="91">
        <f t="shared" si="51"/>
        <v>1900</v>
      </c>
      <c r="AS601" s="69">
        <v>1434.32</v>
      </c>
      <c r="AT601" s="69">
        <v>370.68</v>
      </c>
      <c r="AV601" s="69">
        <v>95</v>
      </c>
      <c r="BC601" s="69"/>
      <c r="BD601" s="69"/>
      <c r="CC601" s="94">
        <f t="shared" si="16"/>
        <v>1900</v>
      </c>
      <c r="CD601" s="73">
        <f t="shared" si="50"/>
        <v>0</v>
      </c>
      <c r="CE601" s="75">
        <f t="shared" si="52"/>
        <v>3260</v>
      </c>
      <c r="CF601" s="69" t="str">
        <f t="shared" si="52"/>
        <v>خ ت اسنان</v>
      </c>
    </row>
    <row r="602" spans="2:84" ht="18.75" x14ac:dyDescent="0.25">
      <c r="B602" s="82">
        <v>5849</v>
      </c>
      <c r="C602" s="78">
        <v>3261</v>
      </c>
      <c r="D602" s="71" t="s">
        <v>123</v>
      </c>
      <c r="E602" s="107" t="s">
        <v>1562</v>
      </c>
      <c r="G602" s="69">
        <v>400</v>
      </c>
      <c r="T602" s="69"/>
      <c r="U602" s="69"/>
      <c r="AR602" s="91">
        <f t="shared" si="51"/>
        <v>400</v>
      </c>
      <c r="AS602" s="69">
        <v>302.16000000000003</v>
      </c>
      <c r="AT602" s="69">
        <v>77.84</v>
      </c>
      <c r="AV602" s="69">
        <v>20</v>
      </c>
      <c r="BC602" s="69"/>
      <c r="BD602" s="69"/>
      <c r="CC602" s="94">
        <f t="shared" si="16"/>
        <v>400</v>
      </c>
      <c r="CD602" s="73">
        <f t="shared" si="50"/>
        <v>0</v>
      </c>
      <c r="CE602" s="75">
        <f t="shared" si="52"/>
        <v>3261</v>
      </c>
      <c r="CF602" s="69" t="str">
        <f t="shared" si="52"/>
        <v>خ ت اسنان</v>
      </c>
    </row>
    <row r="603" spans="2:84" ht="18.75" x14ac:dyDescent="0.25">
      <c r="B603" s="82">
        <v>5858</v>
      </c>
      <c r="C603" s="78">
        <v>3262</v>
      </c>
      <c r="D603" s="71" t="s">
        <v>123</v>
      </c>
      <c r="E603" s="107" t="s">
        <v>1562</v>
      </c>
      <c r="G603" s="69">
        <v>1594.88</v>
      </c>
      <c r="T603" s="69"/>
      <c r="U603" s="69"/>
      <c r="AR603" s="91">
        <f t="shared" si="51"/>
        <v>1594.88</v>
      </c>
      <c r="AS603" s="69">
        <v>1107.02</v>
      </c>
      <c r="AT603" s="69">
        <v>257.48</v>
      </c>
      <c r="AU603" s="69">
        <v>155.38</v>
      </c>
      <c r="AV603" s="69">
        <v>75</v>
      </c>
      <c r="BC603" s="69"/>
      <c r="BD603" s="69"/>
      <c r="CC603" s="94">
        <f t="shared" si="16"/>
        <v>1594.88</v>
      </c>
      <c r="CD603" s="73">
        <f t="shared" si="50"/>
        <v>0</v>
      </c>
      <c r="CE603" s="75">
        <f t="shared" si="52"/>
        <v>3262</v>
      </c>
      <c r="CF603" s="69" t="str">
        <f t="shared" si="52"/>
        <v>خ ت اسنان</v>
      </c>
    </row>
    <row r="604" spans="2:84" ht="18.75" x14ac:dyDescent="0.25">
      <c r="B604" s="82">
        <v>5853</v>
      </c>
      <c r="C604" s="78">
        <v>3263</v>
      </c>
      <c r="D604" s="71" t="s">
        <v>123</v>
      </c>
      <c r="E604" s="107" t="s">
        <v>1562</v>
      </c>
      <c r="G604" s="69">
        <v>469</v>
      </c>
      <c r="T604" s="69"/>
      <c r="U604" s="69"/>
      <c r="AR604" s="91">
        <f t="shared" si="51"/>
        <v>469</v>
      </c>
      <c r="AS604" s="69">
        <v>314</v>
      </c>
      <c r="AT604" s="69">
        <v>42</v>
      </c>
      <c r="AU604" s="69">
        <v>113</v>
      </c>
      <c r="BC604" s="69"/>
      <c r="BD604" s="69"/>
      <c r="CC604" s="94">
        <f t="shared" si="16"/>
        <v>469</v>
      </c>
      <c r="CD604" s="73">
        <f t="shared" si="50"/>
        <v>0</v>
      </c>
      <c r="CE604" s="75">
        <f t="shared" si="52"/>
        <v>3263</v>
      </c>
      <c r="CF604" s="69" t="str">
        <f t="shared" si="52"/>
        <v>خ ت اسنان</v>
      </c>
    </row>
    <row r="605" spans="2:84" ht="18.75" x14ac:dyDescent="0.25">
      <c r="B605" s="82">
        <v>5882</v>
      </c>
      <c r="C605" s="78">
        <v>3264</v>
      </c>
      <c r="D605" s="71" t="s">
        <v>123</v>
      </c>
      <c r="E605" s="107" t="s">
        <v>1562</v>
      </c>
      <c r="G605" s="69">
        <v>1500</v>
      </c>
      <c r="T605" s="69"/>
      <c r="U605" s="69"/>
      <c r="AR605" s="91">
        <f t="shared" si="51"/>
        <v>1500</v>
      </c>
      <c r="AS605" s="69">
        <v>1132.1600000000001</v>
      </c>
      <c r="AT605" s="69">
        <v>292.83999999999997</v>
      </c>
      <c r="AV605" s="69">
        <v>75</v>
      </c>
      <c r="BC605" s="69"/>
      <c r="BD605" s="69"/>
      <c r="CC605" s="94">
        <f t="shared" si="16"/>
        <v>1500</v>
      </c>
      <c r="CD605" s="73">
        <f t="shared" si="50"/>
        <v>0</v>
      </c>
      <c r="CE605" s="75">
        <f t="shared" si="52"/>
        <v>3264</v>
      </c>
      <c r="CF605" s="69" t="str">
        <f t="shared" si="52"/>
        <v>خ ت اسنان</v>
      </c>
    </row>
    <row r="606" spans="2:84" ht="18.75" x14ac:dyDescent="0.25">
      <c r="B606" s="82">
        <v>5843</v>
      </c>
      <c r="C606" s="78">
        <v>3265</v>
      </c>
      <c r="D606" s="71" t="s">
        <v>123</v>
      </c>
      <c r="E606" s="107" t="s">
        <v>1562</v>
      </c>
      <c r="G606" s="69">
        <v>950</v>
      </c>
      <c r="T606" s="69"/>
      <c r="U606" s="69"/>
      <c r="AR606" s="91">
        <f t="shared" si="51"/>
        <v>950</v>
      </c>
      <c r="AS606" s="69">
        <v>717.36</v>
      </c>
      <c r="AT606" s="69">
        <v>185.14</v>
      </c>
      <c r="AV606" s="69">
        <v>47.5</v>
      </c>
      <c r="BC606" s="69"/>
      <c r="BD606" s="69"/>
      <c r="CC606" s="94">
        <f t="shared" si="16"/>
        <v>950</v>
      </c>
      <c r="CD606" s="73">
        <f t="shared" si="50"/>
        <v>0</v>
      </c>
      <c r="CE606" s="75">
        <f t="shared" si="52"/>
        <v>3265</v>
      </c>
      <c r="CF606" s="69" t="str">
        <f t="shared" si="52"/>
        <v>خ ت اسنان</v>
      </c>
    </row>
    <row r="607" spans="2:84" ht="18.75" x14ac:dyDescent="0.25">
      <c r="B607" s="82">
        <v>6043</v>
      </c>
      <c r="C607" s="78">
        <v>3266</v>
      </c>
      <c r="D607" s="71" t="s">
        <v>121</v>
      </c>
      <c r="E607" s="107" t="s">
        <v>3771</v>
      </c>
      <c r="G607" s="69">
        <v>57000</v>
      </c>
      <c r="T607" s="69"/>
      <c r="U607" s="69"/>
      <c r="AR607" s="91">
        <f t="shared" si="51"/>
        <v>57000</v>
      </c>
      <c r="AS607" s="69">
        <v>50930.6</v>
      </c>
      <c r="AT607" s="69">
        <v>6069.4</v>
      </c>
      <c r="BC607" s="69"/>
      <c r="BD607" s="69"/>
      <c r="CC607" s="94">
        <f t="shared" si="16"/>
        <v>57000</v>
      </c>
      <c r="CD607" s="73">
        <f t="shared" si="50"/>
        <v>0</v>
      </c>
      <c r="CE607" s="75">
        <f t="shared" si="52"/>
        <v>3266</v>
      </c>
      <c r="CF607" s="69" t="str">
        <f t="shared" si="52"/>
        <v>ماليزى اسنان</v>
      </c>
    </row>
    <row r="608" spans="2:84" ht="18.75" x14ac:dyDescent="0.25">
      <c r="B608" s="82">
        <v>6042</v>
      </c>
      <c r="C608" s="78">
        <v>3267</v>
      </c>
      <c r="D608" s="71" t="s">
        <v>121</v>
      </c>
      <c r="E608" s="107" t="s">
        <v>3771</v>
      </c>
      <c r="G608" s="69">
        <v>7500</v>
      </c>
      <c r="T608" s="69"/>
      <c r="U608" s="69"/>
      <c r="AR608" s="91">
        <f t="shared" si="51"/>
        <v>7500</v>
      </c>
      <c r="AS608" s="69">
        <v>6690.4</v>
      </c>
      <c r="AT608" s="69">
        <v>809.6</v>
      </c>
      <c r="BC608" s="69"/>
      <c r="BD608" s="69"/>
      <c r="CC608" s="94">
        <f t="shared" si="16"/>
        <v>7500</v>
      </c>
      <c r="CD608" s="73">
        <f t="shared" si="50"/>
        <v>0</v>
      </c>
      <c r="CE608" s="75">
        <f t="shared" si="52"/>
        <v>3267</v>
      </c>
      <c r="CF608" s="69" t="str">
        <f t="shared" si="52"/>
        <v>ماليزى اسنان</v>
      </c>
    </row>
    <row r="609" spans="2:84" ht="18.75" x14ac:dyDescent="0.25">
      <c r="B609" s="82">
        <v>6037</v>
      </c>
      <c r="C609" s="78">
        <v>3268</v>
      </c>
      <c r="D609" s="71" t="s">
        <v>121</v>
      </c>
      <c r="E609" s="107" t="s">
        <v>3772</v>
      </c>
      <c r="G609" s="69">
        <v>12009.08</v>
      </c>
      <c r="T609" s="69"/>
      <c r="U609" s="69"/>
      <c r="AR609" s="91">
        <f t="shared" si="51"/>
        <v>12009.08</v>
      </c>
      <c r="AS609" s="69">
        <v>10705.66</v>
      </c>
      <c r="AT609" s="69">
        <v>1288.55</v>
      </c>
      <c r="AU609" s="69">
        <v>14.87</v>
      </c>
      <c r="BC609" s="69"/>
      <c r="BD609" s="69"/>
      <c r="CC609" s="94">
        <f t="shared" si="16"/>
        <v>12009.08</v>
      </c>
      <c r="CD609" s="73">
        <f t="shared" si="50"/>
        <v>0</v>
      </c>
      <c r="CE609" s="75">
        <f t="shared" si="52"/>
        <v>3268</v>
      </c>
      <c r="CF609" s="69" t="str">
        <f t="shared" si="52"/>
        <v>ماليزى اسنان</v>
      </c>
    </row>
    <row r="610" spans="2:84" ht="18.75" x14ac:dyDescent="0.25">
      <c r="B610" s="82">
        <v>6038</v>
      </c>
      <c r="C610" s="78">
        <v>3269</v>
      </c>
      <c r="D610" s="71" t="s">
        <v>121</v>
      </c>
      <c r="E610" s="107" t="s">
        <v>3772</v>
      </c>
      <c r="G610" s="69">
        <v>6000</v>
      </c>
      <c r="T610" s="69"/>
      <c r="U610" s="69"/>
      <c r="AR610" s="91">
        <f t="shared" si="51"/>
        <v>6000</v>
      </c>
      <c r="AS610" s="69">
        <v>5355.7</v>
      </c>
      <c r="AT610" s="69">
        <v>644.29999999999995</v>
      </c>
      <c r="BC610" s="69"/>
      <c r="BD610" s="69"/>
      <c r="CC610" s="94">
        <f t="shared" si="16"/>
        <v>6000</v>
      </c>
      <c r="CD610" s="73">
        <f t="shared" si="50"/>
        <v>0</v>
      </c>
      <c r="CE610" s="75">
        <f t="shared" si="52"/>
        <v>3269</v>
      </c>
      <c r="CF610" s="69" t="str">
        <f t="shared" si="52"/>
        <v>ماليزى اسنان</v>
      </c>
    </row>
    <row r="611" spans="2:84" ht="18.75" x14ac:dyDescent="0.25">
      <c r="B611" s="82">
        <v>6039</v>
      </c>
      <c r="C611" s="78">
        <v>3270</v>
      </c>
      <c r="D611" s="71" t="s">
        <v>121</v>
      </c>
      <c r="E611" s="107" t="s">
        <v>3772</v>
      </c>
      <c r="G611" s="69">
        <v>8517.5</v>
      </c>
      <c r="T611" s="69"/>
      <c r="U611" s="69"/>
      <c r="AR611" s="91">
        <f t="shared" si="51"/>
        <v>8517.5</v>
      </c>
      <c r="AS611" s="69">
        <v>6813.55</v>
      </c>
      <c r="AT611" s="69">
        <v>856.45</v>
      </c>
      <c r="AU611" s="69">
        <v>847.5</v>
      </c>
      <c r="BC611" s="69"/>
      <c r="BD611" s="69"/>
      <c r="CC611" s="94">
        <f t="shared" si="16"/>
        <v>8517.5</v>
      </c>
      <c r="CD611" s="73">
        <f t="shared" si="50"/>
        <v>0</v>
      </c>
      <c r="CE611" s="75">
        <f t="shared" si="52"/>
        <v>3270</v>
      </c>
      <c r="CF611" s="69" t="str">
        <f t="shared" si="52"/>
        <v>ماليزى اسنان</v>
      </c>
    </row>
    <row r="612" spans="2:84" ht="18.75" x14ac:dyDescent="0.25">
      <c r="B612" s="82">
        <v>6041</v>
      </c>
      <c r="C612" s="78">
        <v>3271</v>
      </c>
      <c r="D612" s="71" t="s">
        <v>121</v>
      </c>
      <c r="E612" s="107" t="s">
        <v>3773</v>
      </c>
      <c r="G612" s="69">
        <v>31903.74</v>
      </c>
      <c r="T612" s="69"/>
      <c r="U612" s="69"/>
      <c r="AR612" s="91">
        <f t="shared" si="51"/>
        <v>31903.74</v>
      </c>
      <c r="AS612" s="69">
        <v>21318.65</v>
      </c>
      <c r="AT612" s="69">
        <v>2898.25</v>
      </c>
      <c r="AU612" s="69">
        <v>7686.84</v>
      </c>
      <c r="BC612" s="69"/>
      <c r="BD612" s="69"/>
      <c r="CC612" s="94">
        <f t="shared" si="16"/>
        <v>31903.74</v>
      </c>
      <c r="CD612" s="73">
        <f t="shared" si="50"/>
        <v>0</v>
      </c>
      <c r="CE612" s="75">
        <f t="shared" si="52"/>
        <v>3271</v>
      </c>
      <c r="CF612" s="69" t="str">
        <f t="shared" si="52"/>
        <v>ماليزى اسنان</v>
      </c>
    </row>
    <row r="613" spans="2:84" ht="18.75" x14ac:dyDescent="0.25">
      <c r="B613" s="82">
        <v>6040</v>
      </c>
      <c r="C613" s="78">
        <v>3272</v>
      </c>
      <c r="D613" s="71" t="s">
        <v>121</v>
      </c>
      <c r="E613" s="107" t="s">
        <v>3774</v>
      </c>
      <c r="G613" s="69">
        <v>26788.52</v>
      </c>
      <c r="T613" s="69"/>
      <c r="U613" s="69"/>
      <c r="AR613" s="91">
        <f t="shared" si="51"/>
        <v>26788.52</v>
      </c>
      <c r="AS613" s="69">
        <v>19293.02</v>
      </c>
      <c r="AT613" s="69">
        <v>2535.75</v>
      </c>
      <c r="AU613" s="69">
        <v>4959.75</v>
      </c>
      <c r="BC613" s="69"/>
      <c r="BD613" s="69"/>
      <c r="CC613" s="94">
        <f t="shared" si="16"/>
        <v>26788.52</v>
      </c>
      <c r="CD613" s="73">
        <f t="shared" si="50"/>
        <v>0</v>
      </c>
      <c r="CE613" s="75">
        <f t="shared" si="52"/>
        <v>3272</v>
      </c>
      <c r="CF613" s="69" t="str">
        <f t="shared" si="52"/>
        <v>ماليزى اسنان</v>
      </c>
    </row>
    <row r="614" spans="2:84" ht="18.75" x14ac:dyDescent="0.25">
      <c r="B614" s="82">
        <v>6055</v>
      </c>
      <c r="C614" s="78">
        <v>3273</v>
      </c>
      <c r="D614" s="71" t="s">
        <v>121</v>
      </c>
      <c r="E614" s="107" t="s">
        <v>3775</v>
      </c>
      <c r="G614" s="69">
        <v>938</v>
      </c>
      <c r="T614" s="69"/>
      <c r="U614" s="69"/>
      <c r="AR614" s="91">
        <f t="shared" si="51"/>
        <v>938</v>
      </c>
      <c r="AS614" s="69">
        <v>627.35</v>
      </c>
      <c r="AT614" s="69">
        <v>84.65</v>
      </c>
      <c r="AU614" s="69">
        <v>226</v>
      </c>
      <c r="BC614" s="69"/>
      <c r="BD614" s="69"/>
      <c r="CC614" s="94">
        <f t="shared" si="16"/>
        <v>938</v>
      </c>
      <c r="CD614" s="73">
        <f t="shared" si="50"/>
        <v>0</v>
      </c>
      <c r="CE614" s="75">
        <f t="shared" si="52"/>
        <v>3273</v>
      </c>
      <c r="CF614" s="69" t="str">
        <f t="shared" si="52"/>
        <v>ماليزى اسنان</v>
      </c>
    </row>
    <row r="615" spans="2:84" ht="18.75" x14ac:dyDescent="0.25">
      <c r="B615" s="82">
        <v>6058</v>
      </c>
      <c r="C615" s="78">
        <v>3274</v>
      </c>
      <c r="D615" s="71" t="s">
        <v>121</v>
      </c>
      <c r="E615" s="107" t="s">
        <v>3776</v>
      </c>
      <c r="G615" s="69">
        <v>4162.38</v>
      </c>
      <c r="T615" s="69"/>
      <c r="U615" s="69"/>
      <c r="AR615" s="91">
        <f t="shared" si="51"/>
        <v>4162.38</v>
      </c>
      <c r="AS615" s="69">
        <v>2781.15</v>
      </c>
      <c r="AT615" s="69">
        <v>378.35</v>
      </c>
      <c r="AU615" s="69">
        <v>1002.88</v>
      </c>
      <c r="BC615" s="69"/>
      <c r="BD615" s="69"/>
      <c r="CC615" s="94">
        <f t="shared" si="16"/>
        <v>4162.38</v>
      </c>
      <c r="CD615" s="73">
        <f t="shared" si="50"/>
        <v>0</v>
      </c>
      <c r="CE615" s="75">
        <f t="shared" si="52"/>
        <v>3274</v>
      </c>
      <c r="CF615" s="69" t="str">
        <f t="shared" si="52"/>
        <v>ماليزى اسنان</v>
      </c>
    </row>
    <row r="616" spans="2:84" ht="18.75" x14ac:dyDescent="0.25">
      <c r="B616" s="82">
        <v>6057</v>
      </c>
      <c r="C616" s="78">
        <v>3275</v>
      </c>
      <c r="D616" s="71" t="s">
        <v>121</v>
      </c>
      <c r="E616" s="107" t="s">
        <v>3777</v>
      </c>
      <c r="G616" s="69">
        <v>16041.62</v>
      </c>
      <c r="T616" s="69"/>
      <c r="U616" s="69"/>
      <c r="AR616" s="91">
        <f t="shared" si="51"/>
        <v>16041.62</v>
      </c>
      <c r="AS616" s="69">
        <v>10899.23</v>
      </c>
      <c r="AT616" s="69">
        <v>1471.35</v>
      </c>
      <c r="AU616" s="69">
        <v>3671.04</v>
      </c>
      <c r="BC616" s="69"/>
      <c r="BD616" s="69"/>
      <c r="CC616" s="94">
        <f t="shared" si="16"/>
        <v>16041.619999999999</v>
      </c>
      <c r="CD616" s="73">
        <f t="shared" si="50"/>
        <v>0</v>
      </c>
      <c r="CE616" s="75">
        <f t="shared" si="52"/>
        <v>3275</v>
      </c>
      <c r="CF616" s="69" t="str">
        <f t="shared" si="52"/>
        <v>ماليزى اسنان</v>
      </c>
    </row>
    <row r="617" spans="2:84" ht="18.75" x14ac:dyDescent="0.25">
      <c r="B617" s="82">
        <v>6056</v>
      </c>
      <c r="C617" s="78">
        <v>3276</v>
      </c>
      <c r="D617" s="71" t="s">
        <v>121</v>
      </c>
      <c r="E617" s="107" t="s">
        <v>3777</v>
      </c>
      <c r="G617" s="69">
        <v>7050</v>
      </c>
      <c r="T617" s="69"/>
      <c r="U617" s="69"/>
      <c r="AR617" s="91">
        <f t="shared" si="51"/>
        <v>7050</v>
      </c>
      <c r="AS617" s="69">
        <v>6292.85</v>
      </c>
      <c r="AT617" s="69">
        <v>757.15</v>
      </c>
      <c r="BC617" s="69"/>
      <c r="BD617" s="69"/>
      <c r="CC617" s="94">
        <f t="shared" si="16"/>
        <v>7050</v>
      </c>
      <c r="CD617" s="73">
        <f t="shared" si="50"/>
        <v>0</v>
      </c>
      <c r="CE617" s="75">
        <f t="shared" si="52"/>
        <v>3276</v>
      </c>
      <c r="CF617" s="69" t="str">
        <f t="shared" si="52"/>
        <v>ماليزى اسنان</v>
      </c>
    </row>
    <row r="618" spans="2:84" ht="18.75" x14ac:dyDescent="0.25">
      <c r="B618" s="82">
        <v>6048</v>
      </c>
      <c r="C618" s="78">
        <v>3277</v>
      </c>
      <c r="D618" s="71" t="s">
        <v>121</v>
      </c>
      <c r="E618" s="107" t="s">
        <v>3778</v>
      </c>
      <c r="G618" s="69">
        <v>29950.83</v>
      </c>
      <c r="T618" s="69"/>
      <c r="U618" s="69"/>
      <c r="AR618" s="91">
        <f t="shared" si="51"/>
        <v>29950.83</v>
      </c>
      <c r="AS618" s="69">
        <v>20632.14</v>
      </c>
      <c r="AT618" s="69">
        <v>2766.6</v>
      </c>
      <c r="AU618" s="69">
        <v>6552.09</v>
      </c>
      <c r="BC618" s="69"/>
      <c r="BD618" s="69"/>
      <c r="CC618" s="94">
        <f t="shared" si="16"/>
        <v>29950.829999999998</v>
      </c>
      <c r="CD618" s="73">
        <f t="shared" si="50"/>
        <v>0</v>
      </c>
      <c r="CE618" s="75">
        <f t="shared" si="52"/>
        <v>3277</v>
      </c>
      <c r="CF618" s="69" t="str">
        <f t="shared" si="52"/>
        <v>ماليزى اسنان</v>
      </c>
    </row>
    <row r="619" spans="2:84" ht="18.75" x14ac:dyDescent="0.25">
      <c r="B619" s="82">
        <v>6049</v>
      </c>
      <c r="C619" s="78">
        <v>3278</v>
      </c>
      <c r="D619" s="71" t="s">
        <v>121</v>
      </c>
      <c r="E619" s="107" t="s">
        <v>3779</v>
      </c>
      <c r="G619" s="69">
        <v>32832.870000000003</v>
      </c>
      <c r="T619" s="69"/>
      <c r="U619" s="69"/>
      <c r="AR619" s="91">
        <f t="shared" si="51"/>
        <v>32832.870000000003</v>
      </c>
      <c r="AS619" s="69">
        <v>22774.5</v>
      </c>
      <c r="AT619" s="69">
        <v>3044.4</v>
      </c>
      <c r="AU619" s="69">
        <v>7013.97</v>
      </c>
      <c r="BC619" s="69"/>
      <c r="BD619" s="69"/>
      <c r="CC619" s="94">
        <f t="shared" si="16"/>
        <v>32832.870000000003</v>
      </c>
      <c r="CD619" s="73">
        <f t="shared" si="50"/>
        <v>0</v>
      </c>
      <c r="CE619" s="75">
        <f t="shared" si="52"/>
        <v>3278</v>
      </c>
      <c r="CF619" s="69" t="str">
        <f t="shared" si="52"/>
        <v>ماليزى اسنان</v>
      </c>
    </row>
    <row r="620" spans="2:84" ht="18.75" x14ac:dyDescent="0.25">
      <c r="B620" s="82">
        <v>6045</v>
      </c>
      <c r="C620" s="78">
        <v>3279</v>
      </c>
      <c r="D620" s="71" t="s">
        <v>121</v>
      </c>
      <c r="E620" s="107" t="s">
        <v>3780</v>
      </c>
      <c r="G620" s="69">
        <v>879.38</v>
      </c>
      <c r="T620" s="69"/>
      <c r="U620" s="69"/>
      <c r="AR620" s="91">
        <f t="shared" si="51"/>
        <v>879.38</v>
      </c>
      <c r="AS620" s="69">
        <v>588.15</v>
      </c>
      <c r="AT620" s="69">
        <v>79.349999999999994</v>
      </c>
      <c r="AU620" s="69">
        <v>211.88</v>
      </c>
      <c r="BC620" s="69"/>
      <c r="BD620" s="69"/>
      <c r="CC620" s="94">
        <f t="shared" si="16"/>
        <v>879.38</v>
      </c>
      <c r="CD620" s="73">
        <f t="shared" si="50"/>
        <v>0</v>
      </c>
      <c r="CE620" s="75">
        <f t="shared" si="52"/>
        <v>3279</v>
      </c>
      <c r="CF620" s="69" t="str">
        <f t="shared" si="52"/>
        <v>ماليزى اسنان</v>
      </c>
    </row>
    <row r="621" spans="2:84" ht="18.75" x14ac:dyDescent="0.25">
      <c r="B621" s="82">
        <v>6044</v>
      </c>
      <c r="C621" s="78">
        <v>3280</v>
      </c>
      <c r="D621" s="71" t="s">
        <v>121</v>
      </c>
      <c r="E621" s="107" t="s">
        <v>3781</v>
      </c>
      <c r="G621" s="69">
        <v>2931.26</v>
      </c>
      <c r="T621" s="69"/>
      <c r="U621" s="69"/>
      <c r="AR621" s="91">
        <f t="shared" si="51"/>
        <v>2931.26</v>
      </c>
      <c r="AS621" s="69">
        <v>1959.3</v>
      </c>
      <c r="AT621" s="69">
        <v>265.7</v>
      </c>
      <c r="AU621" s="69">
        <v>706.26</v>
      </c>
      <c r="BC621" s="69"/>
      <c r="BD621" s="69"/>
      <c r="CC621" s="94">
        <f t="shared" si="16"/>
        <v>2931.26</v>
      </c>
      <c r="CD621" s="73">
        <f t="shared" si="50"/>
        <v>0</v>
      </c>
      <c r="CE621" s="75">
        <f t="shared" si="52"/>
        <v>3280</v>
      </c>
      <c r="CF621" s="69" t="str">
        <f t="shared" si="52"/>
        <v>ماليزى اسنان</v>
      </c>
    </row>
    <row r="622" spans="2:84" ht="18.75" x14ac:dyDescent="0.25">
      <c r="B622" s="82">
        <v>6053</v>
      </c>
      <c r="C622" s="78">
        <v>3281</v>
      </c>
      <c r="D622" s="71" t="s">
        <v>121</v>
      </c>
      <c r="E622" s="107" t="s">
        <v>3782</v>
      </c>
      <c r="G622" s="69">
        <v>10904.25</v>
      </c>
      <c r="T622" s="69"/>
      <c r="U622" s="69"/>
      <c r="AR622" s="91">
        <f t="shared" si="51"/>
        <v>10904.25</v>
      </c>
      <c r="AS622" s="69">
        <v>7286</v>
      </c>
      <c r="AT622" s="69">
        <v>991</v>
      </c>
      <c r="AU622" s="69">
        <v>2627.25</v>
      </c>
      <c r="BC622" s="69"/>
      <c r="BD622" s="69"/>
      <c r="CC622" s="94">
        <f t="shared" si="16"/>
        <v>10904.25</v>
      </c>
      <c r="CD622" s="73">
        <f t="shared" si="50"/>
        <v>0</v>
      </c>
      <c r="CE622" s="75">
        <f t="shared" si="52"/>
        <v>3281</v>
      </c>
      <c r="CF622" s="69" t="str">
        <f t="shared" si="52"/>
        <v>ماليزى اسنان</v>
      </c>
    </row>
    <row r="623" spans="2:84" ht="18.75" x14ac:dyDescent="0.25">
      <c r="B623" s="82">
        <v>6054</v>
      </c>
      <c r="C623" s="78">
        <v>3282</v>
      </c>
      <c r="D623" s="71" t="s">
        <v>121</v>
      </c>
      <c r="E623" s="107" t="s">
        <v>3783</v>
      </c>
      <c r="G623" s="69">
        <v>13300</v>
      </c>
      <c r="T623" s="69"/>
      <c r="U623" s="69"/>
      <c r="AR623" s="91">
        <f t="shared" si="51"/>
        <v>13300</v>
      </c>
      <c r="AS623" s="69">
        <v>11871.3</v>
      </c>
      <c r="AT623" s="69">
        <v>1428.7</v>
      </c>
      <c r="BC623" s="69"/>
      <c r="BD623" s="69"/>
      <c r="CC623" s="94">
        <f t="shared" si="16"/>
        <v>13300</v>
      </c>
      <c r="CD623" s="73">
        <f t="shared" si="50"/>
        <v>0</v>
      </c>
      <c r="CE623" s="75">
        <f t="shared" si="52"/>
        <v>3282</v>
      </c>
      <c r="CF623" s="69" t="str">
        <f t="shared" si="52"/>
        <v>ماليزى اسنان</v>
      </c>
    </row>
    <row r="624" spans="2:84" ht="18.75" x14ac:dyDescent="0.25">
      <c r="B624" s="82">
        <v>6052</v>
      </c>
      <c r="C624" s="78">
        <v>3283</v>
      </c>
      <c r="D624" s="71" t="s">
        <v>121</v>
      </c>
      <c r="E624" s="107" t="s">
        <v>3783</v>
      </c>
      <c r="G624" s="69">
        <v>4000</v>
      </c>
      <c r="T624" s="69"/>
      <c r="U624" s="69"/>
      <c r="AR624" s="91">
        <f t="shared" si="51"/>
        <v>4000</v>
      </c>
      <c r="AS624" s="69">
        <v>3570.35</v>
      </c>
      <c r="AT624" s="69">
        <v>429.65</v>
      </c>
      <c r="BC624" s="69"/>
      <c r="BD624" s="69"/>
      <c r="CC624" s="94">
        <f t="shared" si="16"/>
        <v>4000</v>
      </c>
      <c r="CD624" s="73">
        <f t="shared" si="50"/>
        <v>0</v>
      </c>
      <c r="CE624" s="75">
        <f t="shared" si="52"/>
        <v>3283</v>
      </c>
      <c r="CF624" s="69" t="str">
        <f t="shared" si="52"/>
        <v>ماليزى اسنان</v>
      </c>
    </row>
    <row r="625" spans="2:84" ht="18.75" x14ac:dyDescent="0.25">
      <c r="B625" s="82">
        <v>6050</v>
      </c>
      <c r="C625" s="78">
        <v>3284</v>
      </c>
      <c r="D625" s="71" t="s">
        <v>121</v>
      </c>
      <c r="E625" s="107" t="s">
        <v>3784</v>
      </c>
      <c r="G625" s="69">
        <v>4579.38</v>
      </c>
      <c r="T625" s="69"/>
      <c r="U625" s="69"/>
      <c r="AR625" s="91">
        <f t="shared" si="51"/>
        <v>4579.38</v>
      </c>
      <c r="AS625" s="69">
        <v>3890.75</v>
      </c>
      <c r="AT625" s="69">
        <v>476.75</v>
      </c>
      <c r="AU625" s="69">
        <v>211.88</v>
      </c>
      <c r="BC625" s="69"/>
      <c r="BD625" s="69"/>
      <c r="CC625" s="94">
        <f t="shared" si="16"/>
        <v>4579.38</v>
      </c>
      <c r="CD625" s="73">
        <f t="shared" si="50"/>
        <v>0</v>
      </c>
      <c r="CE625" s="75">
        <f t="shared" si="52"/>
        <v>3284</v>
      </c>
      <c r="CF625" s="69" t="str">
        <f t="shared" si="52"/>
        <v>ماليزى اسنان</v>
      </c>
    </row>
    <row r="626" spans="2:84" ht="18.75" x14ac:dyDescent="0.25">
      <c r="B626" s="82">
        <v>6051</v>
      </c>
      <c r="C626" s="78">
        <v>3285</v>
      </c>
      <c r="D626" s="71" t="s">
        <v>121</v>
      </c>
      <c r="E626" s="107" t="s">
        <v>3785</v>
      </c>
      <c r="G626" s="69">
        <v>2345</v>
      </c>
      <c r="T626" s="69"/>
      <c r="U626" s="69"/>
      <c r="AR626" s="91">
        <f t="shared" si="51"/>
        <v>2345</v>
      </c>
      <c r="AS626" s="69">
        <v>1567</v>
      </c>
      <c r="AT626" s="69">
        <v>213</v>
      </c>
      <c r="AU626" s="69">
        <v>565</v>
      </c>
      <c r="BC626" s="69"/>
      <c r="BD626" s="69"/>
      <c r="CC626" s="94">
        <f t="shared" si="16"/>
        <v>2345</v>
      </c>
      <c r="CD626" s="73">
        <f t="shared" si="50"/>
        <v>0</v>
      </c>
      <c r="CE626" s="75">
        <f t="shared" si="52"/>
        <v>3285</v>
      </c>
      <c r="CF626" s="69" t="str">
        <f t="shared" si="52"/>
        <v>ماليزى اسنان</v>
      </c>
    </row>
    <row r="627" spans="2:84" ht="18.75" x14ac:dyDescent="0.25">
      <c r="B627" s="82">
        <v>6047</v>
      </c>
      <c r="C627" s="78">
        <v>3286</v>
      </c>
      <c r="D627" s="71" t="s">
        <v>121</v>
      </c>
      <c r="E627" s="107" t="s">
        <v>3786</v>
      </c>
      <c r="G627" s="69">
        <v>3626.98</v>
      </c>
      <c r="T627" s="69"/>
      <c r="U627" s="69"/>
      <c r="AR627" s="91">
        <f t="shared" si="51"/>
        <v>3626.98</v>
      </c>
      <c r="AS627" s="69">
        <v>3044.53</v>
      </c>
      <c r="AT627" s="69">
        <v>374.5</v>
      </c>
      <c r="AU627" s="69">
        <v>207.95</v>
      </c>
      <c r="BC627" s="69"/>
      <c r="BD627" s="69"/>
      <c r="CC627" s="94">
        <f t="shared" si="16"/>
        <v>3626.98</v>
      </c>
      <c r="CD627" s="73">
        <f t="shared" si="50"/>
        <v>0</v>
      </c>
      <c r="CE627" s="75">
        <f t="shared" si="52"/>
        <v>3286</v>
      </c>
      <c r="CF627" s="69" t="str">
        <f t="shared" si="52"/>
        <v>ماليزى اسنان</v>
      </c>
    </row>
    <row r="628" spans="2:84" ht="18.75" x14ac:dyDescent="0.25">
      <c r="B628" s="82">
        <v>6046</v>
      </c>
      <c r="C628" s="78">
        <v>3287</v>
      </c>
      <c r="D628" s="71" t="s">
        <v>121</v>
      </c>
      <c r="E628" s="107" t="s">
        <v>3786</v>
      </c>
      <c r="G628" s="69">
        <v>1758.75</v>
      </c>
      <c r="T628" s="69"/>
      <c r="U628" s="69"/>
      <c r="AR628" s="91">
        <f t="shared" si="51"/>
        <v>1758.75</v>
      </c>
      <c r="AS628" s="69">
        <v>1175.3499999999999</v>
      </c>
      <c r="AT628" s="69">
        <v>159.65</v>
      </c>
      <c r="AU628" s="69">
        <v>423.75</v>
      </c>
      <c r="BC628" s="69"/>
      <c r="BD628" s="69"/>
      <c r="CC628" s="94">
        <f t="shared" si="16"/>
        <v>1758.75</v>
      </c>
      <c r="CD628" s="73">
        <f t="shared" si="50"/>
        <v>0</v>
      </c>
      <c r="CE628" s="75">
        <f t="shared" si="52"/>
        <v>3287</v>
      </c>
      <c r="CF628" s="69" t="str">
        <f t="shared" si="52"/>
        <v>ماليزى اسنان</v>
      </c>
    </row>
    <row r="629" spans="2:84" ht="18.75" x14ac:dyDescent="0.25">
      <c r="B629" s="82">
        <v>5034</v>
      </c>
      <c r="C629" s="78">
        <v>3288</v>
      </c>
      <c r="D629" s="71" t="s">
        <v>730</v>
      </c>
      <c r="E629" s="107" t="s">
        <v>3787</v>
      </c>
      <c r="G629" s="69">
        <v>703.5</v>
      </c>
      <c r="T629" s="69"/>
      <c r="U629" s="69"/>
      <c r="AR629" s="91">
        <f t="shared" si="51"/>
        <v>703.5</v>
      </c>
      <c r="AS629" s="69">
        <v>471.2</v>
      </c>
      <c r="AT629" s="69">
        <v>62.8</v>
      </c>
      <c r="AU629" s="69">
        <v>169.5</v>
      </c>
      <c r="BC629" s="69"/>
      <c r="BD629" s="69"/>
      <c r="CC629" s="94">
        <f t="shared" si="16"/>
        <v>703.5</v>
      </c>
      <c r="CD629" s="73">
        <f t="shared" si="50"/>
        <v>0</v>
      </c>
      <c r="CE629" s="75">
        <f t="shared" si="52"/>
        <v>3288</v>
      </c>
      <c r="CF629" s="69" t="str">
        <f t="shared" si="52"/>
        <v>علمى صيدلة</v>
      </c>
    </row>
    <row r="630" spans="2:84" ht="18.75" x14ac:dyDescent="0.25">
      <c r="B630" s="82">
        <v>5032</v>
      </c>
      <c r="C630" s="78">
        <v>3289</v>
      </c>
      <c r="D630" s="71" t="s">
        <v>730</v>
      </c>
      <c r="E630" s="107" t="s">
        <v>3787</v>
      </c>
      <c r="G630" s="69">
        <v>234.5</v>
      </c>
      <c r="T630" s="69"/>
      <c r="U630" s="69"/>
      <c r="AR630" s="91">
        <f t="shared" si="51"/>
        <v>234.5</v>
      </c>
      <c r="AS630" s="69">
        <v>157.1</v>
      </c>
      <c r="AT630" s="69">
        <v>20.9</v>
      </c>
      <c r="AU630" s="69">
        <f>24+2.5+2+6+2+18+2</f>
        <v>56.5</v>
      </c>
      <c r="BC630" s="69"/>
      <c r="BD630" s="69"/>
      <c r="CC630" s="94">
        <f t="shared" si="16"/>
        <v>234.5</v>
      </c>
      <c r="CD630" s="73">
        <f t="shared" si="50"/>
        <v>0</v>
      </c>
      <c r="CE630" s="75">
        <f t="shared" si="52"/>
        <v>3289</v>
      </c>
      <c r="CF630" s="69" t="str">
        <f t="shared" si="52"/>
        <v>علمى صيدلة</v>
      </c>
    </row>
    <row r="631" spans="2:84" ht="18.75" x14ac:dyDescent="0.25">
      <c r="B631" s="82">
        <v>5033</v>
      </c>
      <c r="C631" s="78">
        <v>3290</v>
      </c>
      <c r="D631" s="71" t="s">
        <v>730</v>
      </c>
      <c r="E631" s="107" t="s">
        <v>3787</v>
      </c>
      <c r="G631" s="69">
        <v>21264.21</v>
      </c>
      <c r="T631" s="69"/>
      <c r="U631" s="69"/>
      <c r="AR631" s="91">
        <f t="shared" si="51"/>
        <v>21264.21</v>
      </c>
      <c r="AS631" s="69">
        <v>17659.77</v>
      </c>
      <c r="AT631" s="69">
        <v>2189.15</v>
      </c>
      <c r="AU631" s="69">
        <v>1415.29</v>
      </c>
      <c r="BC631" s="69"/>
      <c r="BD631" s="69"/>
      <c r="CC631" s="94">
        <f t="shared" si="16"/>
        <v>21264.210000000003</v>
      </c>
      <c r="CD631" s="73">
        <f t="shared" si="50"/>
        <v>0</v>
      </c>
      <c r="CE631" s="75">
        <f t="shared" si="52"/>
        <v>3290</v>
      </c>
      <c r="CF631" s="69" t="str">
        <f t="shared" si="52"/>
        <v>علمى صيدلة</v>
      </c>
    </row>
    <row r="632" spans="2:84" ht="18.75" x14ac:dyDescent="0.25">
      <c r="B632" s="82">
        <v>5779</v>
      </c>
      <c r="C632" s="78">
        <v>3291</v>
      </c>
      <c r="D632" s="71" t="s">
        <v>729</v>
      </c>
      <c r="E632" s="107" t="s">
        <v>3788</v>
      </c>
      <c r="G632" s="69">
        <v>6917.75</v>
      </c>
      <c r="T632" s="69"/>
      <c r="U632" s="69"/>
      <c r="AR632" s="91">
        <f t="shared" si="51"/>
        <v>6917.75</v>
      </c>
      <c r="AS632" s="69">
        <v>4618.21</v>
      </c>
      <c r="AT632" s="69">
        <f>590+42.79</f>
        <v>632.79</v>
      </c>
      <c r="AU632" s="69">
        <v>1666.75</v>
      </c>
      <c r="BC632" s="69"/>
      <c r="BD632" s="69"/>
      <c r="CC632" s="94">
        <f t="shared" si="16"/>
        <v>6917.75</v>
      </c>
      <c r="CD632" s="73">
        <f t="shared" si="50"/>
        <v>0</v>
      </c>
      <c r="CE632" s="75">
        <f t="shared" si="52"/>
        <v>3291</v>
      </c>
      <c r="CF632" s="69" t="str">
        <f t="shared" si="52"/>
        <v>خدمات صيدلة</v>
      </c>
    </row>
    <row r="633" spans="2:84" ht="18.75" x14ac:dyDescent="0.25">
      <c r="B633" s="82">
        <v>5780</v>
      </c>
      <c r="C633" s="78">
        <v>3292</v>
      </c>
      <c r="D633" s="71" t="s">
        <v>729</v>
      </c>
      <c r="E633" s="107" t="s">
        <v>3788</v>
      </c>
      <c r="G633" s="69">
        <v>4739</v>
      </c>
      <c r="T633" s="69"/>
      <c r="U633" s="69"/>
      <c r="AR633" s="91">
        <f t="shared" si="51"/>
        <v>4739</v>
      </c>
      <c r="AS633" s="69">
        <v>3714.12</v>
      </c>
      <c r="AT633" s="69">
        <v>469.7</v>
      </c>
      <c r="AU633" s="69">
        <v>555.17999999999995</v>
      </c>
      <c r="BC633" s="69"/>
      <c r="BD633" s="69"/>
      <c r="CC633" s="94">
        <f t="shared" si="16"/>
        <v>4739</v>
      </c>
      <c r="CD633" s="73">
        <f t="shared" si="50"/>
        <v>0</v>
      </c>
      <c r="CE633" s="75">
        <f t="shared" si="52"/>
        <v>3292</v>
      </c>
      <c r="CF633" s="69" t="str">
        <f t="shared" si="52"/>
        <v>خدمات صيدلة</v>
      </c>
    </row>
    <row r="634" spans="2:84" ht="18.75" x14ac:dyDescent="0.25">
      <c r="B634" s="82">
        <v>5781</v>
      </c>
      <c r="C634" s="78">
        <v>3293</v>
      </c>
      <c r="D634" s="71" t="s">
        <v>729</v>
      </c>
      <c r="E634" s="107" t="s">
        <v>3788</v>
      </c>
      <c r="G634" s="69">
        <v>4103.75</v>
      </c>
      <c r="T634" s="69"/>
      <c r="U634" s="69"/>
      <c r="AR634" s="91">
        <f t="shared" si="51"/>
        <v>4103.75</v>
      </c>
      <c r="AS634" s="69">
        <v>2742</v>
      </c>
      <c r="AT634" s="69">
        <v>373</v>
      </c>
      <c r="AU634" s="69">
        <v>988.75</v>
      </c>
      <c r="BC634" s="69"/>
      <c r="BD634" s="69"/>
      <c r="CC634" s="94">
        <f t="shared" si="16"/>
        <v>4103.75</v>
      </c>
      <c r="CD634" s="73">
        <f t="shared" si="50"/>
        <v>0</v>
      </c>
      <c r="CE634" s="75">
        <f t="shared" si="52"/>
        <v>3293</v>
      </c>
      <c r="CF634" s="69" t="str">
        <f t="shared" si="52"/>
        <v>خدمات صيدلة</v>
      </c>
    </row>
    <row r="635" spans="2:84" ht="18.75" x14ac:dyDescent="0.25">
      <c r="B635" s="82">
        <v>5782</v>
      </c>
      <c r="C635" s="78">
        <v>3294</v>
      </c>
      <c r="D635" s="71" t="s">
        <v>729</v>
      </c>
      <c r="E635" s="107" t="s">
        <v>3788</v>
      </c>
      <c r="G635" s="69">
        <v>469</v>
      </c>
      <c r="T635" s="69"/>
      <c r="U635" s="69"/>
      <c r="AR635" s="91">
        <f t="shared" si="51"/>
        <v>469</v>
      </c>
      <c r="AS635" s="69">
        <v>314</v>
      </c>
      <c r="AT635" s="69">
        <v>42</v>
      </c>
      <c r="AU635" s="69">
        <v>113</v>
      </c>
      <c r="BC635" s="69"/>
      <c r="BD635" s="69"/>
      <c r="CC635" s="94">
        <f t="shared" si="16"/>
        <v>469</v>
      </c>
      <c r="CD635" s="73">
        <f t="shared" si="50"/>
        <v>0</v>
      </c>
      <c r="CE635" s="75">
        <f t="shared" si="52"/>
        <v>3294</v>
      </c>
      <c r="CF635" s="69" t="str">
        <f t="shared" si="52"/>
        <v>خدمات صيدلة</v>
      </c>
    </row>
    <row r="636" spans="2:84" ht="18.75" x14ac:dyDescent="0.25">
      <c r="B636" s="82">
        <v>5697</v>
      </c>
      <c r="C636" s="78">
        <v>3295</v>
      </c>
      <c r="D636" s="71" t="s">
        <v>119</v>
      </c>
      <c r="E636" s="107" t="s">
        <v>3789</v>
      </c>
      <c r="G636" s="69">
        <v>4200</v>
      </c>
      <c r="T636" s="69"/>
      <c r="U636" s="69"/>
      <c r="AR636" s="91">
        <f t="shared" si="51"/>
        <v>4200</v>
      </c>
      <c r="AS636" s="69">
        <v>3167.08</v>
      </c>
      <c r="AT636" s="69">
        <v>822.92</v>
      </c>
      <c r="AV636" s="69">
        <v>210</v>
      </c>
      <c r="BC636" s="69"/>
      <c r="BD636" s="69"/>
      <c r="CC636" s="94">
        <f t="shared" si="16"/>
        <v>4200</v>
      </c>
      <c r="CD636" s="73">
        <f t="shared" si="50"/>
        <v>0</v>
      </c>
      <c r="CE636" s="75">
        <f t="shared" si="52"/>
        <v>3295</v>
      </c>
      <c r="CF636" s="69" t="str">
        <f t="shared" si="52"/>
        <v>خ ت صيدلة</v>
      </c>
    </row>
    <row r="637" spans="2:84" ht="18.75" x14ac:dyDescent="0.25">
      <c r="B637" s="82">
        <v>5691</v>
      </c>
      <c r="C637" s="78">
        <v>3296</v>
      </c>
      <c r="D637" s="71" t="s">
        <v>119</v>
      </c>
      <c r="E637" s="107" t="s">
        <v>3581</v>
      </c>
      <c r="G637" s="69">
        <v>797.11</v>
      </c>
      <c r="T637" s="69"/>
      <c r="U637" s="69"/>
      <c r="AR637" s="91">
        <f t="shared" si="51"/>
        <v>797.11</v>
      </c>
      <c r="AS637" s="69">
        <v>554.87</v>
      </c>
      <c r="AT637" s="69">
        <v>103.78</v>
      </c>
      <c r="AU637" s="69">
        <v>101.71</v>
      </c>
      <c r="AV637" s="69">
        <v>36.75</v>
      </c>
      <c r="BC637" s="69"/>
      <c r="BD637" s="69"/>
      <c r="CC637" s="94">
        <f t="shared" si="16"/>
        <v>797.11</v>
      </c>
      <c r="CD637" s="73">
        <f t="shared" si="50"/>
        <v>0</v>
      </c>
      <c r="CE637" s="75">
        <f t="shared" si="52"/>
        <v>3296</v>
      </c>
      <c r="CF637" s="69" t="str">
        <f t="shared" si="52"/>
        <v>خ ت صيدلة</v>
      </c>
    </row>
    <row r="638" spans="2:84" ht="18.75" x14ac:dyDescent="0.25">
      <c r="B638" s="82">
        <v>5690</v>
      </c>
      <c r="C638" s="78">
        <v>3297</v>
      </c>
      <c r="D638" s="71" t="s">
        <v>119</v>
      </c>
      <c r="E638" s="107" t="s">
        <v>3581</v>
      </c>
      <c r="G638" s="69">
        <v>46.9</v>
      </c>
      <c r="T638" s="69"/>
      <c r="U638" s="69"/>
      <c r="AR638" s="91">
        <f t="shared" si="51"/>
        <v>46.9</v>
      </c>
      <c r="AS638" s="69">
        <v>30.24</v>
      </c>
      <c r="AT638" s="69">
        <v>3.36</v>
      </c>
      <c r="AU638" s="69">
        <v>11.3</v>
      </c>
      <c r="AV638" s="69">
        <v>2</v>
      </c>
      <c r="BC638" s="69"/>
      <c r="BD638" s="69"/>
      <c r="CC638" s="94">
        <f t="shared" si="16"/>
        <v>46.900000000000006</v>
      </c>
      <c r="CD638" s="73">
        <f t="shared" si="50"/>
        <v>0</v>
      </c>
      <c r="CE638" s="75">
        <f t="shared" si="52"/>
        <v>3297</v>
      </c>
      <c r="CF638" s="69" t="str">
        <f t="shared" si="52"/>
        <v>خ ت صيدلة</v>
      </c>
    </row>
    <row r="639" spans="2:84" ht="18.75" x14ac:dyDescent="0.25">
      <c r="B639" s="82">
        <v>5689</v>
      </c>
      <c r="C639" s="78">
        <v>3298</v>
      </c>
      <c r="D639" s="71" t="s">
        <v>119</v>
      </c>
      <c r="E639" s="107" t="s">
        <v>3581</v>
      </c>
      <c r="G639" s="69">
        <v>140.69999999999999</v>
      </c>
      <c r="T639" s="69"/>
      <c r="U639" s="69"/>
      <c r="AR639" s="91">
        <f t="shared" si="51"/>
        <v>140.69999999999999</v>
      </c>
      <c r="AS639" s="69">
        <v>96.15</v>
      </c>
      <c r="AT639" s="69">
        <v>4.6500000000000004</v>
      </c>
      <c r="AU639" s="69">
        <v>33.9</v>
      </c>
      <c r="AV639" s="69">
        <v>6</v>
      </c>
      <c r="BC639" s="69"/>
      <c r="BD639" s="69"/>
      <c r="CC639" s="94">
        <f t="shared" si="16"/>
        <v>140.70000000000002</v>
      </c>
      <c r="CD639" s="73">
        <f t="shared" si="50"/>
        <v>0</v>
      </c>
      <c r="CE639" s="75">
        <f t="shared" si="52"/>
        <v>3298</v>
      </c>
      <c r="CF639" s="69" t="str">
        <f t="shared" si="52"/>
        <v>خ ت صيدلة</v>
      </c>
    </row>
    <row r="640" spans="2:84" ht="18.75" x14ac:dyDescent="0.25">
      <c r="B640" s="82">
        <v>5688</v>
      </c>
      <c r="C640" s="78">
        <v>3299</v>
      </c>
      <c r="D640" s="71" t="s">
        <v>119</v>
      </c>
      <c r="E640" s="107" t="s">
        <v>3581</v>
      </c>
      <c r="G640" s="69">
        <v>729.5</v>
      </c>
      <c r="T640" s="69"/>
      <c r="U640" s="69"/>
      <c r="AR640" s="91">
        <f t="shared" si="51"/>
        <v>729.5</v>
      </c>
      <c r="AS640" s="69">
        <v>503.55</v>
      </c>
      <c r="AT640" s="69">
        <v>25.15</v>
      </c>
      <c r="AU640" s="69">
        <v>169.5</v>
      </c>
      <c r="AV640" s="69">
        <v>31.3</v>
      </c>
      <c r="BC640" s="69"/>
      <c r="BD640" s="69"/>
      <c r="CC640" s="94">
        <f t="shared" si="16"/>
        <v>729.5</v>
      </c>
      <c r="CD640" s="73">
        <f t="shared" si="50"/>
        <v>0</v>
      </c>
      <c r="CE640" s="75">
        <f t="shared" si="52"/>
        <v>3299</v>
      </c>
      <c r="CF640" s="69" t="str">
        <f t="shared" si="52"/>
        <v>خ ت صيدلة</v>
      </c>
    </row>
    <row r="641" spans="1:84" ht="18.75" x14ac:dyDescent="0.25">
      <c r="B641" s="82">
        <v>5687</v>
      </c>
      <c r="C641" s="78">
        <v>3300</v>
      </c>
      <c r="D641" s="71" t="s">
        <v>119</v>
      </c>
      <c r="E641" s="107" t="s">
        <v>3581</v>
      </c>
      <c r="G641" s="69">
        <v>5441.8</v>
      </c>
      <c r="T641" s="69"/>
      <c r="U641" s="69"/>
      <c r="AR641" s="91">
        <f t="shared" si="51"/>
        <v>5441.8</v>
      </c>
      <c r="AS641" s="69">
        <v>3565.88</v>
      </c>
      <c r="AT641" s="69">
        <v>604.17999999999995</v>
      </c>
      <c r="AU641" s="69">
        <v>1031.1300000000001</v>
      </c>
      <c r="AV641" s="69">
        <v>240.61</v>
      </c>
      <c r="BC641" s="69"/>
      <c r="BD641" s="69"/>
      <c r="CC641" s="94">
        <f t="shared" si="16"/>
        <v>5441.8</v>
      </c>
      <c r="CD641" s="73">
        <f t="shared" si="50"/>
        <v>0</v>
      </c>
      <c r="CE641" s="75">
        <f t="shared" si="52"/>
        <v>3300</v>
      </c>
      <c r="CF641" s="69" t="str">
        <f t="shared" si="52"/>
        <v>خ ت صيدلة</v>
      </c>
    </row>
    <row r="642" spans="1:84" ht="18.75" x14ac:dyDescent="0.25">
      <c r="B642" s="82">
        <v>5686</v>
      </c>
      <c r="C642" s="78">
        <v>3301</v>
      </c>
      <c r="D642" s="71" t="s">
        <v>119</v>
      </c>
      <c r="E642" s="107" t="s">
        <v>3581</v>
      </c>
      <c r="G642" s="69">
        <v>46.9</v>
      </c>
      <c r="T642" s="69"/>
      <c r="U642" s="69"/>
      <c r="AR642" s="91">
        <f t="shared" si="51"/>
        <v>46.9</v>
      </c>
      <c r="AS642" s="69">
        <v>30.24</v>
      </c>
      <c r="AT642" s="69">
        <v>3.36</v>
      </c>
      <c r="AU642" s="69">
        <v>11.3</v>
      </c>
      <c r="AV642" s="69">
        <v>2</v>
      </c>
      <c r="BC642" s="69"/>
      <c r="BD642" s="69"/>
      <c r="CC642" s="94">
        <f t="shared" si="16"/>
        <v>46.900000000000006</v>
      </c>
      <c r="CD642" s="73">
        <f t="shared" si="50"/>
        <v>0</v>
      </c>
      <c r="CE642" s="75">
        <f t="shared" si="52"/>
        <v>3301</v>
      </c>
      <c r="CF642" s="69" t="str">
        <f t="shared" si="52"/>
        <v>خ ت صيدلة</v>
      </c>
    </row>
    <row r="643" spans="1:84" ht="18.75" x14ac:dyDescent="0.25">
      <c r="B643" s="82">
        <v>5684</v>
      </c>
      <c r="C643" s="78">
        <v>3302</v>
      </c>
      <c r="D643" s="71" t="s">
        <v>119</v>
      </c>
      <c r="E643" s="107" t="s">
        <v>3581</v>
      </c>
      <c r="G643" s="69">
        <v>586.25</v>
      </c>
      <c r="T643" s="69"/>
      <c r="U643" s="69"/>
      <c r="AR643" s="91">
        <f t="shared" si="51"/>
        <v>586.25</v>
      </c>
      <c r="AS643" s="69">
        <v>375.66</v>
      </c>
      <c r="AT643" s="69">
        <v>44.34</v>
      </c>
      <c r="AU643" s="69">
        <v>141.25</v>
      </c>
      <c r="AV643" s="69">
        <v>25</v>
      </c>
      <c r="BC643" s="69"/>
      <c r="BD643" s="69"/>
      <c r="CC643" s="94">
        <f t="shared" si="16"/>
        <v>586.25</v>
      </c>
      <c r="CD643" s="73">
        <f t="shared" si="50"/>
        <v>0</v>
      </c>
      <c r="CE643" s="75">
        <f t="shared" si="52"/>
        <v>3302</v>
      </c>
      <c r="CF643" s="69" t="str">
        <f t="shared" si="52"/>
        <v>خ ت صيدلة</v>
      </c>
    </row>
    <row r="644" spans="1:84" ht="18.75" x14ac:dyDescent="0.25">
      <c r="A644" s="69">
        <f>SUM(K644:K645)</f>
        <v>17130</v>
      </c>
      <c r="B644" s="82">
        <v>6268</v>
      </c>
      <c r="C644" s="78">
        <v>3303</v>
      </c>
      <c r="D644" s="71" t="s">
        <v>119</v>
      </c>
      <c r="E644" s="107" t="s">
        <v>3790</v>
      </c>
      <c r="K644" s="69">
        <v>5130</v>
      </c>
      <c r="L644" s="69">
        <v>5130</v>
      </c>
      <c r="M644" s="69">
        <v>5130</v>
      </c>
      <c r="T644" s="69"/>
      <c r="U644" s="69"/>
      <c r="AR644" s="91">
        <f t="shared" si="51"/>
        <v>15390</v>
      </c>
      <c r="AS644" s="69">
        <v>4451.3999999999996</v>
      </c>
      <c r="AT644" s="69">
        <v>288.60000000000002</v>
      </c>
      <c r="BC644" s="69"/>
      <c r="BD644" s="69"/>
      <c r="BF644" s="69">
        <v>45</v>
      </c>
      <c r="BG644" s="69">
        <v>48</v>
      </c>
      <c r="BH644" s="69">
        <f>20.25*2</f>
        <v>40.5</v>
      </c>
      <c r="BI644" s="69">
        <v>256.5</v>
      </c>
      <c r="BK644" s="69">
        <v>5130</v>
      </c>
      <c r="BL644" s="69">
        <v>5130</v>
      </c>
      <c r="CC644" s="94">
        <f t="shared" si="16"/>
        <v>15390</v>
      </c>
      <c r="CD644" s="73">
        <f t="shared" si="50"/>
        <v>0</v>
      </c>
      <c r="CE644" s="75">
        <f t="shared" si="52"/>
        <v>3303</v>
      </c>
      <c r="CF644" s="69" t="str">
        <f t="shared" si="52"/>
        <v>خ ت صيدلة</v>
      </c>
    </row>
    <row r="645" spans="1:84" ht="18.75" x14ac:dyDescent="0.25">
      <c r="B645" s="82">
        <v>6267</v>
      </c>
      <c r="C645" s="78">
        <v>3304</v>
      </c>
      <c r="D645" s="71" t="s">
        <v>119</v>
      </c>
      <c r="E645" s="107" t="s">
        <v>3791</v>
      </c>
      <c r="K645" s="69">
        <v>12000</v>
      </c>
      <c r="L645" s="69">
        <v>12000</v>
      </c>
      <c r="M645" s="69">
        <v>12000</v>
      </c>
      <c r="T645" s="69"/>
      <c r="U645" s="69"/>
      <c r="AR645" s="91">
        <f t="shared" si="51"/>
        <v>36000</v>
      </c>
      <c r="AS645" s="69">
        <v>10478.700000000001</v>
      </c>
      <c r="AT645" s="69">
        <v>673.2</v>
      </c>
      <c r="BC645" s="69"/>
      <c r="BD645" s="69"/>
      <c r="BF645" s="69">
        <v>105.3</v>
      </c>
      <c r="BG645" s="69">
        <v>48</v>
      </c>
      <c r="BH645" s="69">
        <f>47.4*2</f>
        <v>94.8</v>
      </c>
      <c r="BI645" s="69">
        <v>600</v>
      </c>
      <c r="BK645" s="69">
        <v>12000</v>
      </c>
      <c r="BL645" s="69">
        <v>12000</v>
      </c>
      <c r="CC645" s="94">
        <f t="shared" si="16"/>
        <v>36000</v>
      </c>
      <c r="CD645" s="73">
        <f t="shared" si="50"/>
        <v>0</v>
      </c>
      <c r="CE645" s="75">
        <f t="shared" si="52"/>
        <v>3304</v>
      </c>
      <c r="CF645" s="69" t="str">
        <f t="shared" si="52"/>
        <v>خ ت صيدلة</v>
      </c>
    </row>
    <row r="646" spans="1:84" ht="18.75" x14ac:dyDescent="0.25">
      <c r="B646" s="82">
        <v>5640</v>
      </c>
      <c r="C646" s="78">
        <v>3305</v>
      </c>
      <c r="D646" s="71" t="s">
        <v>249</v>
      </c>
      <c r="E646" s="107" t="s">
        <v>3792</v>
      </c>
      <c r="H646" s="69">
        <v>9918</v>
      </c>
      <c r="T646" s="69"/>
      <c r="U646" s="69"/>
      <c r="AR646" s="91">
        <f t="shared" si="51"/>
        <v>9918</v>
      </c>
      <c r="AS646" s="69">
        <v>9220.15</v>
      </c>
      <c r="AT646" s="69">
        <f>138.25+414.75+12.6</f>
        <v>565.6</v>
      </c>
      <c r="AV646" s="69">
        <v>5</v>
      </c>
      <c r="BC646" s="69"/>
      <c r="BD646" s="69"/>
      <c r="BF646" s="69">
        <v>99.25</v>
      </c>
      <c r="BG646" s="69">
        <v>28</v>
      </c>
      <c r="CC646" s="94">
        <f t="shared" si="16"/>
        <v>9918</v>
      </c>
      <c r="CD646" s="73">
        <f t="shared" si="50"/>
        <v>0</v>
      </c>
      <c r="CE646" s="75">
        <f t="shared" si="52"/>
        <v>3305</v>
      </c>
      <c r="CF646" s="69" t="str">
        <f t="shared" si="52"/>
        <v>خدمة عامة</v>
      </c>
    </row>
    <row r="647" spans="1:84" ht="18.75" x14ac:dyDescent="0.25">
      <c r="B647" s="82">
        <v>2642</v>
      </c>
      <c r="C647" s="78">
        <v>3306</v>
      </c>
      <c r="D647" s="71" t="s">
        <v>121</v>
      </c>
      <c r="E647" s="107" t="s">
        <v>3793</v>
      </c>
      <c r="H647" s="69">
        <v>15000</v>
      </c>
      <c r="T647" s="69"/>
      <c r="U647" s="69"/>
      <c r="AR647" s="91">
        <f t="shared" si="51"/>
        <v>15000</v>
      </c>
      <c r="AS647" s="69">
        <v>15000</v>
      </c>
      <c r="AT647" s="69"/>
      <c r="BC647" s="69"/>
      <c r="BD647" s="69"/>
      <c r="CC647" s="94">
        <f t="shared" si="16"/>
        <v>15000</v>
      </c>
      <c r="CD647" s="73">
        <f t="shared" si="50"/>
        <v>0</v>
      </c>
      <c r="CE647" s="75">
        <f t="shared" si="52"/>
        <v>3306</v>
      </c>
      <c r="CF647" s="69" t="str">
        <f t="shared" si="52"/>
        <v>ماليزى اسنان</v>
      </c>
    </row>
    <row r="648" spans="1:84" ht="18.75" x14ac:dyDescent="0.25">
      <c r="B648" s="82">
        <v>5645</v>
      </c>
      <c r="C648" s="78">
        <v>3307</v>
      </c>
      <c r="D648" s="71" t="s">
        <v>121</v>
      </c>
      <c r="E648" s="107" t="s">
        <v>3794</v>
      </c>
      <c r="H648" s="69">
        <v>26676</v>
      </c>
      <c r="T648" s="69"/>
      <c r="U648" s="69"/>
      <c r="AR648" s="91">
        <f t="shared" si="51"/>
        <v>26676</v>
      </c>
      <c r="AS648" s="69">
        <v>24971.4</v>
      </c>
      <c r="AT648" s="69">
        <f>240.5+721.5+12.6</f>
        <v>974.6</v>
      </c>
      <c r="BC648" s="69"/>
      <c r="BD648" s="69"/>
      <c r="BF648" s="69">
        <v>702</v>
      </c>
      <c r="BG648" s="69">
        <v>28</v>
      </c>
      <c r="CC648" s="94">
        <f t="shared" si="16"/>
        <v>26676</v>
      </c>
      <c r="CD648" s="73">
        <f t="shared" si="50"/>
        <v>0</v>
      </c>
      <c r="CE648" s="75">
        <f t="shared" si="52"/>
        <v>3307</v>
      </c>
      <c r="CF648" s="69" t="str">
        <f t="shared" si="52"/>
        <v>ماليزى اسنان</v>
      </c>
    </row>
    <row r="649" spans="1:84" ht="18.75" x14ac:dyDescent="0.25">
      <c r="B649" s="82">
        <v>4476</v>
      </c>
      <c r="C649" s="78">
        <v>3308</v>
      </c>
      <c r="D649" s="71" t="s">
        <v>78</v>
      </c>
      <c r="E649" s="107" t="s">
        <v>3795</v>
      </c>
      <c r="H649" s="69">
        <v>9875.4599999999991</v>
      </c>
      <c r="T649" s="69"/>
      <c r="U649" s="69"/>
      <c r="AR649" s="91">
        <f t="shared" si="51"/>
        <v>9875.4599999999991</v>
      </c>
      <c r="AS649" s="69">
        <v>8771.61</v>
      </c>
      <c r="AT649" s="69">
        <v>556.6</v>
      </c>
      <c r="BC649" s="69"/>
      <c r="BD649" s="69">
        <v>457.25</v>
      </c>
      <c r="BG649" s="69">
        <v>12</v>
      </c>
      <c r="BH649" s="69">
        <f>39*2</f>
        <v>78</v>
      </c>
      <c r="CC649" s="94">
        <f t="shared" si="16"/>
        <v>9875.4600000000009</v>
      </c>
      <c r="CD649" s="73">
        <f t="shared" si="50"/>
        <v>0</v>
      </c>
      <c r="CE649" s="75">
        <f t="shared" si="52"/>
        <v>3308</v>
      </c>
      <c r="CF649" s="69" t="str">
        <f t="shared" si="52"/>
        <v>برنامج دولى</v>
      </c>
    </row>
    <row r="650" spans="1:84" ht="18.75" x14ac:dyDescent="0.25">
      <c r="B650" s="82">
        <v>6167</v>
      </c>
      <c r="C650" s="78">
        <v>3309</v>
      </c>
      <c r="D650" s="71" t="s">
        <v>78</v>
      </c>
      <c r="E650" s="107" t="s">
        <v>3763</v>
      </c>
      <c r="H650" s="69">
        <v>1125</v>
      </c>
      <c r="T650" s="69"/>
      <c r="U650" s="69"/>
      <c r="AR650" s="91">
        <f t="shared" si="51"/>
        <v>1125</v>
      </c>
      <c r="AS650" s="69">
        <v>1025.2</v>
      </c>
      <c r="AT650" s="69">
        <v>55.3</v>
      </c>
      <c r="BC650" s="69"/>
      <c r="BD650" s="69"/>
      <c r="BF650" s="69">
        <v>29.6</v>
      </c>
      <c r="BG650" s="69">
        <v>6</v>
      </c>
      <c r="BH650" s="69">
        <f>4.45*2</f>
        <v>8.9</v>
      </c>
      <c r="CC650" s="94">
        <f t="shared" si="16"/>
        <v>1125</v>
      </c>
      <c r="CD650" s="73">
        <f t="shared" si="50"/>
        <v>0</v>
      </c>
      <c r="CE650" s="75">
        <f t="shared" si="52"/>
        <v>3309</v>
      </c>
      <c r="CF650" s="69" t="str">
        <f t="shared" si="52"/>
        <v>برنامج دولى</v>
      </c>
    </row>
    <row r="651" spans="1:84" ht="18.75" x14ac:dyDescent="0.25">
      <c r="B651" s="82">
        <v>6163</v>
      </c>
      <c r="C651" s="78">
        <v>3310</v>
      </c>
      <c r="D651" s="71" t="s">
        <v>78</v>
      </c>
      <c r="E651" s="107" t="s">
        <v>1837</v>
      </c>
      <c r="H651" s="69">
        <v>8000</v>
      </c>
      <c r="O651" s="69">
        <v>8000</v>
      </c>
      <c r="T651" s="69"/>
      <c r="U651" s="69"/>
      <c r="AR651" s="91">
        <f t="shared" si="51"/>
        <v>16000</v>
      </c>
      <c r="AS651" s="69">
        <v>8000</v>
      </c>
      <c r="AT651" s="69"/>
      <c r="BC651" s="69"/>
      <c r="BD651" s="69"/>
      <c r="BN651" s="69">
        <v>8000</v>
      </c>
      <c r="CC651" s="94">
        <f t="shared" si="16"/>
        <v>16000</v>
      </c>
      <c r="CD651" s="73">
        <f t="shared" si="50"/>
        <v>0</v>
      </c>
      <c r="CE651" s="75">
        <f t="shared" si="52"/>
        <v>3310</v>
      </c>
      <c r="CF651" s="69" t="str">
        <f t="shared" si="52"/>
        <v>برنامج دولى</v>
      </c>
    </row>
    <row r="652" spans="1:84" ht="18.75" x14ac:dyDescent="0.25">
      <c r="B652" s="82">
        <v>5041</v>
      </c>
      <c r="C652" s="78">
        <v>3311</v>
      </c>
      <c r="D652" s="71" t="s">
        <v>130</v>
      </c>
      <c r="E652" s="107" t="s">
        <v>3795</v>
      </c>
      <c r="H652" s="69">
        <v>18183.05</v>
      </c>
      <c r="T652" s="69"/>
      <c r="U652" s="69"/>
      <c r="AR652" s="91">
        <f t="shared" si="51"/>
        <v>18183.05</v>
      </c>
      <c r="AS652" s="69">
        <v>17239.25</v>
      </c>
      <c r="AT652" s="69">
        <v>788.2</v>
      </c>
      <c r="BC652" s="69"/>
      <c r="BD652" s="69"/>
      <c r="BG652" s="69">
        <v>12</v>
      </c>
      <c r="BH652" s="69">
        <f>71.8*2</f>
        <v>143.6</v>
      </c>
      <c r="CC652" s="94">
        <f t="shared" si="16"/>
        <v>18183.05</v>
      </c>
      <c r="CD652" s="73">
        <f t="shared" si="50"/>
        <v>0</v>
      </c>
      <c r="CE652" s="75">
        <f t="shared" si="52"/>
        <v>3311</v>
      </c>
      <c r="CF652" s="69" t="str">
        <f t="shared" si="52"/>
        <v>خ ت طب</v>
      </c>
    </row>
    <row r="653" spans="1:84" ht="18.75" x14ac:dyDescent="0.25">
      <c r="B653" s="82">
        <v>4475</v>
      </c>
      <c r="C653" s="78">
        <v>3312</v>
      </c>
      <c r="D653" s="71" t="s">
        <v>78</v>
      </c>
      <c r="E653" s="107" t="s">
        <v>3796</v>
      </c>
      <c r="H653" s="69">
        <v>394438.6</v>
      </c>
      <c r="T653" s="69"/>
      <c r="U653" s="69"/>
      <c r="AR653" s="91">
        <f t="shared" si="51"/>
        <v>394438.6</v>
      </c>
      <c r="AS653" s="69">
        <v>344654.85</v>
      </c>
      <c r="AT653" s="69"/>
      <c r="AV653" s="69">
        <v>5</v>
      </c>
      <c r="BC653" s="69"/>
      <c r="BD653" s="69">
        <v>1450</v>
      </c>
      <c r="BE653" s="69">
        <v>228.95</v>
      </c>
      <c r="BG653" s="69">
        <v>50</v>
      </c>
      <c r="BH653" s="69">
        <f>1631.3*2+59.2*2</f>
        <v>3381</v>
      </c>
      <c r="BI653" s="69">
        <v>19721.95</v>
      </c>
      <c r="BJ653" s="69">
        <v>24000</v>
      </c>
      <c r="CB653" s="69">
        <v>946.85</v>
      </c>
      <c r="CC653" s="94">
        <f t="shared" si="16"/>
        <v>394438.6</v>
      </c>
      <c r="CD653" s="73">
        <f t="shared" si="50"/>
        <v>0</v>
      </c>
      <c r="CE653" s="75">
        <f t="shared" si="52"/>
        <v>3312</v>
      </c>
      <c r="CF653" s="69" t="str">
        <f t="shared" si="52"/>
        <v>برنامج دولى</v>
      </c>
    </row>
    <row r="654" spans="1:84" ht="18.75" x14ac:dyDescent="0.25">
      <c r="B654" s="82">
        <v>5355</v>
      </c>
      <c r="C654" s="78">
        <v>3313</v>
      </c>
      <c r="D654" s="71" t="s">
        <v>132</v>
      </c>
      <c r="E654" s="107" t="s">
        <v>3797</v>
      </c>
      <c r="K654" s="69">
        <v>193534.04</v>
      </c>
      <c r="L654" s="69">
        <v>193534.04</v>
      </c>
      <c r="M654" s="69">
        <v>193534.04</v>
      </c>
      <c r="T654" s="69"/>
      <c r="U654" s="69"/>
      <c r="AR654" s="91">
        <f t="shared" si="51"/>
        <v>580602.12</v>
      </c>
      <c r="AS654" s="69">
        <v>179004.74</v>
      </c>
      <c r="AT654" s="69">
        <v>4832.6000000000004</v>
      </c>
      <c r="BC654" s="69"/>
      <c r="BD654" s="69"/>
      <c r="BG654" s="69">
        <v>20</v>
      </c>
      <c r="BI654" s="69">
        <v>9676.7000000000007</v>
      </c>
      <c r="BK654" s="69">
        <v>193534.04</v>
      </c>
      <c r="BL654" s="69">
        <v>193534.04</v>
      </c>
      <c r="CC654" s="94">
        <f t="shared" si="16"/>
        <v>580602.12</v>
      </c>
      <c r="CD654" s="73">
        <f t="shared" si="50"/>
        <v>0</v>
      </c>
      <c r="CE654" s="75">
        <f t="shared" si="52"/>
        <v>3313</v>
      </c>
      <c r="CF654" s="69" t="str">
        <f t="shared" si="52"/>
        <v>صيدلة اكلينيكى</v>
      </c>
    </row>
    <row r="655" spans="1:84" ht="18.75" x14ac:dyDescent="0.25">
      <c r="B655" s="82" t="s">
        <v>3798</v>
      </c>
      <c r="C655" s="78">
        <v>3314</v>
      </c>
      <c r="D655" s="71" t="s">
        <v>1431</v>
      </c>
      <c r="E655" s="107" t="s">
        <v>3799</v>
      </c>
      <c r="T655" s="69"/>
      <c r="U655" s="69"/>
      <c r="AR655" s="91">
        <f t="shared" si="51"/>
        <v>0</v>
      </c>
      <c r="AT655" s="69"/>
      <c r="BC655" s="69"/>
      <c r="BD655" s="69"/>
      <c r="CC655" s="94">
        <f t="shared" si="16"/>
        <v>0</v>
      </c>
      <c r="CD655" s="73">
        <f t="shared" si="50"/>
        <v>0</v>
      </c>
      <c r="CE655" s="75">
        <f t="shared" si="52"/>
        <v>3314</v>
      </c>
      <c r="CF655" s="69" t="str">
        <f t="shared" si="52"/>
        <v>لاب فقط</v>
      </c>
    </row>
    <row r="656" spans="1:84" ht="18.75" x14ac:dyDescent="0.25">
      <c r="B656" s="82" t="s">
        <v>3798</v>
      </c>
      <c r="C656" s="78">
        <v>3315</v>
      </c>
      <c r="D656" s="71" t="s">
        <v>1431</v>
      </c>
      <c r="E656" s="107" t="s">
        <v>3800</v>
      </c>
      <c r="T656" s="69"/>
      <c r="U656" s="69"/>
      <c r="AR656" s="91">
        <f t="shared" si="51"/>
        <v>0</v>
      </c>
      <c r="AT656" s="69"/>
      <c r="BC656" s="69"/>
      <c r="BD656" s="69"/>
      <c r="CC656" s="94">
        <f t="shared" si="16"/>
        <v>0</v>
      </c>
      <c r="CD656" s="73">
        <f t="shared" si="50"/>
        <v>0</v>
      </c>
      <c r="CE656" s="75">
        <f t="shared" si="52"/>
        <v>3315</v>
      </c>
      <c r="CF656" s="69" t="str">
        <f t="shared" si="52"/>
        <v>لاب فقط</v>
      </c>
    </row>
    <row r="657" spans="1:91" s="68" customFormat="1" ht="18.75" x14ac:dyDescent="0.25">
      <c r="B657" s="83"/>
      <c r="C657" s="84"/>
      <c r="D657" s="85"/>
      <c r="E657" s="108" t="s">
        <v>3801</v>
      </c>
      <c r="G657" s="68">
        <f>SUM(G565:G656)</f>
        <v>424249.31000000006</v>
      </c>
      <c r="H657" s="68">
        <f t="shared" ref="H657:BT657" si="53">SUM(H565:H656)</f>
        <v>483216.11</v>
      </c>
      <c r="I657" s="68">
        <f t="shared" si="53"/>
        <v>0</v>
      </c>
      <c r="J657" s="68">
        <f t="shared" si="53"/>
        <v>0</v>
      </c>
      <c r="K657" s="68">
        <f t="shared" si="53"/>
        <v>210664.04</v>
      </c>
      <c r="L657" s="68">
        <f t="shared" si="53"/>
        <v>210664.04</v>
      </c>
      <c r="M657" s="68">
        <f t="shared" si="53"/>
        <v>210664.04</v>
      </c>
      <c r="N657" s="68">
        <f t="shared" si="53"/>
        <v>0</v>
      </c>
      <c r="O657" s="68">
        <f t="shared" si="53"/>
        <v>8000</v>
      </c>
      <c r="P657" s="68">
        <f t="shared" si="53"/>
        <v>0</v>
      </c>
      <c r="Q657" s="68">
        <f t="shared" si="53"/>
        <v>0</v>
      </c>
      <c r="R657" s="68">
        <f t="shared" si="53"/>
        <v>0</v>
      </c>
      <c r="S657" s="68">
        <f t="shared" si="53"/>
        <v>0</v>
      </c>
      <c r="T657" s="68">
        <f t="shared" si="53"/>
        <v>0</v>
      </c>
      <c r="U657" s="68">
        <f t="shared" si="53"/>
        <v>0</v>
      </c>
      <c r="V657" s="68">
        <f t="shared" si="53"/>
        <v>0</v>
      </c>
      <c r="W657" s="68">
        <f t="shared" si="53"/>
        <v>0</v>
      </c>
      <c r="X657" s="68">
        <f t="shared" si="53"/>
        <v>0</v>
      </c>
      <c r="Y657" s="68">
        <f t="shared" si="53"/>
        <v>0</v>
      </c>
      <c r="Z657" s="68">
        <f t="shared" si="53"/>
        <v>0</v>
      </c>
      <c r="AA657" s="68">
        <f t="shared" si="53"/>
        <v>0</v>
      </c>
      <c r="AB657" s="68">
        <f t="shared" si="53"/>
        <v>0</v>
      </c>
      <c r="AC657" s="68">
        <f t="shared" si="53"/>
        <v>0</v>
      </c>
      <c r="AD657" s="68">
        <f t="shared" si="53"/>
        <v>0</v>
      </c>
      <c r="AE657" s="68">
        <f t="shared" si="53"/>
        <v>0</v>
      </c>
      <c r="AF657" s="68">
        <f t="shared" si="53"/>
        <v>0</v>
      </c>
      <c r="AG657" s="68">
        <f t="shared" si="53"/>
        <v>0</v>
      </c>
      <c r="AH657" s="68">
        <f t="shared" si="53"/>
        <v>0</v>
      </c>
      <c r="AI657" s="68">
        <f t="shared" si="53"/>
        <v>0</v>
      </c>
      <c r="AJ657" s="68">
        <f t="shared" si="53"/>
        <v>0</v>
      </c>
      <c r="AK657" s="68">
        <f t="shared" si="53"/>
        <v>0</v>
      </c>
      <c r="AL657" s="68">
        <f t="shared" si="53"/>
        <v>0</v>
      </c>
      <c r="AM657" s="68">
        <f t="shared" si="53"/>
        <v>0</v>
      </c>
      <c r="AO657" s="68">
        <f t="shared" si="53"/>
        <v>0</v>
      </c>
      <c r="AP657" s="68">
        <f t="shared" si="53"/>
        <v>0</v>
      </c>
      <c r="AQ657" s="68">
        <f t="shared" si="53"/>
        <v>0</v>
      </c>
      <c r="AR657" s="91">
        <f t="shared" si="53"/>
        <v>1547457.54</v>
      </c>
      <c r="AS657" s="68">
        <f t="shared" si="53"/>
        <v>948375.82000000007</v>
      </c>
      <c r="AT657" s="68">
        <f t="shared" si="53"/>
        <v>51042.119999999988</v>
      </c>
      <c r="AU657" s="68">
        <f t="shared" si="53"/>
        <v>55019.72</v>
      </c>
      <c r="AV657" s="68">
        <f t="shared" si="53"/>
        <v>1373.65</v>
      </c>
      <c r="AW657" s="68">
        <f t="shared" si="53"/>
        <v>0</v>
      </c>
      <c r="AX657" s="68">
        <f t="shared" si="53"/>
        <v>0</v>
      </c>
      <c r="AY657" s="68">
        <f t="shared" si="53"/>
        <v>0</v>
      </c>
      <c r="AZ657" s="68">
        <f t="shared" si="53"/>
        <v>0</v>
      </c>
      <c r="BA657" s="68">
        <f t="shared" si="53"/>
        <v>0</v>
      </c>
      <c r="BB657" s="68">
        <f t="shared" si="53"/>
        <v>0</v>
      </c>
      <c r="BC657" s="68">
        <f t="shared" si="53"/>
        <v>0</v>
      </c>
      <c r="BD657" s="68">
        <f t="shared" si="53"/>
        <v>1907.25</v>
      </c>
      <c r="BE657" s="68">
        <f t="shared" si="53"/>
        <v>228.95</v>
      </c>
      <c r="BF657" s="68">
        <f t="shared" si="53"/>
        <v>981.15</v>
      </c>
      <c r="BG657" s="68">
        <f t="shared" si="53"/>
        <v>252</v>
      </c>
      <c r="BH657" s="68">
        <f t="shared" si="53"/>
        <v>3746.8</v>
      </c>
      <c r="BI657" s="68">
        <f t="shared" si="53"/>
        <v>30255.15</v>
      </c>
      <c r="BJ657" s="68">
        <f t="shared" si="53"/>
        <v>24000</v>
      </c>
      <c r="BK657" s="68">
        <f t="shared" si="53"/>
        <v>210664.04</v>
      </c>
      <c r="BL657" s="68">
        <f t="shared" si="53"/>
        <v>210664.04</v>
      </c>
      <c r="BM657" s="68">
        <f t="shared" si="53"/>
        <v>0</v>
      </c>
      <c r="BN657" s="68">
        <f t="shared" si="53"/>
        <v>8000</v>
      </c>
      <c r="BO657" s="68">
        <f t="shared" si="53"/>
        <v>0</v>
      </c>
      <c r="BP657" s="68">
        <f t="shared" si="53"/>
        <v>0</v>
      </c>
      <c r="BQ657" s="68">
        <f t="shared" si="53"/>
        <v>0</v>
      </c>
      <c r="BR657" s="68">
        <f t="shared" si="53"/>
        <v>0</v>
      </c>
      <c r="BS657" s="68">
        <f t="shared" si="53"/>
        <v>0</v>
      </c>
      <c r="BT657" s="68">
        <f t="shared" si="53"/>
        <v>0</v>
      </c>
      <c r="BU657" s="68">
        <f t="shared" ref="BU657:CM657" si="54">SUM(BU565:BU656)</f>
        <v>0</v>
      </c>
      <c r="BV657" s="68">
        <f t="shared" si="54"/>
        <v>0</v>
      </c>
      <c r="BW657" s="68">
        <f t="shared" si="54"/>
        <v>0</v>
      </c>
      <c r="BX657" s="68">
        <f t="shared" si="54"/>
        <v>0</v>
      </c>
      <c r="BY657" s="68">
        <f t="shared" si="54"/>
        <v>0</v>
      </c>
      <c r="BZ657" s="68">
        <f t="shared" si="54"/>
        <v>0</v>
      </c>
      <c r="CA657" s="68">
        <f t="shared" si="54"/>
        <v>0</v>
      </c>
      <c r="CB657" s="68">
        <f t="shared" si="54"/>
        <v>946.85</v>
      </c>
      <c r="CC657" s="91">
        <f t="shared" si="54"/>
        <v>1547457.54</v>
      </c>
      <c r="CD657" s="68">
        <f t="shared" si="54"/>
        <v>0</v>
      </c>
      <c r="CE657" s="67"/>
      <c r="CF657" s="68">
        <f t="shared" si="54"/>
        <v>0</v>
      </c>
      <c r="CG657" s="68">
        <f t="shared" si="54"/>
        <v>0</v>
      </c>
      <c r="CH657" s="68">
        <f t="shared" si="54"/>
        <v>0</v>
      </c>
      <c r="CI657" s="68">
        <f t="shared" si="54"/>
        <v>0</v>
      </c>
      <c r="CJ657" s="68">
        <f t="shared" si="54"/>
        <v>0</v>
      </c>
      <c r="CK657" s="68">
        <f t="shared" si="54"/>
        <v>0</v>
      </c>
      <c r="CL657" s="68">
        <f t="shared" si="54"/>
        <v>0</v>
      </c>
      <c r="CM657" s="68">
        <f t="shared" si="54"/>
        <v>0</v>
      </c>
    </row>
    <row r="658" spans="1:91" ht="18.75" x14ac:dyDescent="0.25">
      <c r="B658" s="82">
        <v>2847</v>
      </c>
      <c r="C658" s="78">
        <v>3316</v>
      </c>
      <c r="D658" s="71" t="s">
        <v>121</v>
      </c>
      <c r="E658" s="107" t="s">
        <v>3802</v>
      </c>
      <c r="F658" s="63" t="s">
        <v>220</v>
      </c>
      <c r="G658" s="69">
        <v>4876.49</v>
      </c>
      <c r="T658" s="69"/>
      <c r="U658" s="69"/>
      <c r="AR658" s="91">
        <f t="shared" si="51"/>
        <v>4876.49</v>
      </c>
      <c r="AS658" s="69">
        <v>2433.96</v>
      </c>
      <c r="AT658" s="69">
        <f>16.85+27.4</f>
        <v>44.25</v>
      </c>
      <c r="AU658" s="69">
        <f>1008.57+166.36</f>
        <v>1174.93</v>
      </c>
      <c r="AV658" s="69">
        <f>1219.48+2.08</f>
        <v>1221.56</v>
      </c>
      <c r="BC658" s="69"/>
      <c r="BD658" s="69"/>
      <c r="CB658" s="69">
        <v>1.79</v>
      </c>
      <c r="CC658" s="94">
        <f t="shared" si="16"/>
        <v>4876.4900000000007</v>
      </c>
      <c r="CD658" s="73">
        <f t="shared" si="50"/>
        <v>0</v>
      </c>
      <c r="CE658" s="75">
        <f t="shared" si="52"/>
        <v>3316</v>
      </c>
      <c r="CF658" s="69" t="str">
        <f t="shared" si="52"/>
        <v>ماليزى اسنان</v>
      </c>
    </row>
    <row r="659" spans="1:91" ht="18.75" x14ac:dyDescent="0.25">
      <c r="A659" s="69">
        <f>SUBTOTAL(9,AU658:AU667)</f>
        <v>107521.22</v>
      </c>
      <c r="B659" s="82">
        <v>2849</v>
      </c>
      <c r="C659" s="78">
        <v>3317</v>
      </c>
      <c r="D659" s="71" t="s">
        <v>121</v>
      </c>
      <c r="E659" s="107" t="s">
        <v>3802</v>
      </c>
      <c r="F659" s="63" t="s">
        <v>220</v>
      </c>
      <c r="G659" s="69">
        <v>4843.32</v>
      </c>
      <c r="T659" s="69"/>
      <c r="U659" s="69"/>
      <c r="AR659" s="91">
        <f t="shared" si="51"/>
        <v>4843.32</v>
      </c>
      <c r="AS659" s="69">
        <v>3540.88</v>
      </c>
      <c r="AT659" s="69">
        <f>16.23+27.2</f>
        <v>43.43</v>
      </c>
      <c r="AU659" s="69">
        <f>1001.71+165.23</f>
        <v>1166.94</v>
      </c>
      <c r="AV659" s="69">
        <f>89.13+2.07</f>
        <v>91.199999999999989</v>
      </c>
      <c r="BC659" s="69"/>
      <c r="BD659" s="69"/>
      <c r="CB659" s="69">
        <v>0.87</v>
      </c>
      <c r="CC659" s="94">
        <f t="shared" si="16"/>
        <v>4843.32</v>
      </c>
      <c r="CD659" s="73">
        <f t="shared" si="50"/>
        <v>0</v>
      </c>
      <c r="CE659" s="75">
        <f t="shared" si="52"/>
        <v>3317</v>
      </c>
      <c r="CF659" s="69" t="str">
        <f t="shared" si="52"/>
        <v>ماليزى اسنان</v>
      </c>
    </row>
    <row r="660" spans="1:91" ht="18.75" x14ac:dyDescent="0.25">
      <c r="A660" s="69">
        <f>SUBTOTAL(9,AU1207:AU1209)</f>
        <v>7797</v>
      </c>
      <c r="B660" s="82">
        <v>2850</v>
      </c>
      <c r="C660" s="78">
        <v>3318</v>
      </c>
      <c r="D660" s="71" t="s">
        <v>121</v>
      </c>
      <c r="E660" s="107" t="s">
        <v>3802</v>
      </c>
      <c r="F660" s="63" t="s">
        <v>220</v>
      </c>
      <c r="G660" s="69">
        <v>4843.32</v>
      </c>
      <c r="T660" s="69"/>
      <c r="U660" s="69"/>
      <c r="AR660" s="91">
        <f t="shared" si="51"/>
        <v>4843.32</v>
      </c>
      <c r="AS660" s="69">
        <v>3627.88</v>
      </c>
      <c r="AT660" s="69">
        <f>16.23+27.2</f>
        <v>43.43</v>
      </c>
      <c r="AU660" s="69">
        <f>1001.71+165.23</f>
        <v>1166.94</v>
      </c>
      <c r="AV660" s="69">
        <f>3+2.07</f>
        <v>5.07</v>
      </c>
      <c r="BC660" s="69"/>
      <c r="BD660" s="69"/>
      <c r="CC660" s="94">
        <f t="shared" si="16"/>
        <v>4843.32</v>
      </c>
      <c r="CD660" s="73">
        <f t="shared" si="50"/>
        <v>0</v>
      </c>
      <c r="CE660" s="75">
        <f t="shared" si="52"/>
        <v>3318</v>
      </c>
      <c r="CF660" s="69" t="str">
        <f t="shared" si="52"/>
        <v>ماليزى اسنان</v>
      </c>
    </row>
    <row r="661" spans="1:91" ht="18.75" x14ac:dyDescent="0.25">
      <c r="B661" s="82">
        <v>2851</v>
      </c>
      <c r="C661" s="78">
        <v>3319</v>
      </c>
      <c r="D661" s="71" t="s">
        <v>121</v>
      </c>
      <c r="E661" s="107" t="s">
        <v>3802</v>
      </c>
      <c r="F661" s="63" t="s">
        <v>220</v>
      </c>
      <c r="G661" s="69">
        <v>9733.24</v>
      </c>
      <c r="T661" s="69"/>
      <c r="U661" s="69"/>
      <c r="AR661" s="91">
        <f t="shared" ref="AR661:AR685" si="55">SUM(G661:AQ661)</f>
        <v>9733.24</v>
      </c>
      <c r="AS661" s="69">
        <v>7072.41</v>
      </c>
      <c r="AT661" s="69">
        <f>33.33+54.7</f>
        <v>88.03</v>
      </c>
      <c r="AU661" s="69">
        <f>2013.08+332.06</f>
        <v>2345.14</v>
      </c>
      <c r="AV661" s="69">
        <f>221.33+4.15</f>
        <v>225.48000000000002</v>
      </c>
      <c r="BC661" s="69"/>
      <c r="BD661" s="69"/>
      <c r="CB661" s="69">
        <v>2.1800000000000002</v>
      </c>
      <c r="CC661" s="94">
        <f t="shared" si="16"/>
        <v>9733.24</v>
      </c>
      <c r="CD661" s="73">
        <f t="shared" si="50"/>
        <v>0</v>
      </c>
      <c r="CE661" s="75">
        <f t="shared" ref="CE661:CF724" si="56">+C661</f>
        <v>3319</v>
      </c>
      <c r="CF661" s="69" t="str">
        <f t="shared" si="56"/>
        <v>ماليزى اسنان</v>
      </c>
    </row>
    <row r="662" spans="1:91" ht="18.75" x14ac:dyDescent="0.25">
      <c r="B662" s="82">
        <v>2852</v>
      </c>
      <c r="C662" s="78">
        <v>3320</v>
      </c>
      <c r="D662" s="71" t="s">
        <v>121</v>
      </c>
      <c r="E662" s="107" t="s">
        <v>3802</v>
      </c>
      <c r="F662" s="63" t="s">
        <v>220</v>
      </c>
      <c r="G662" s="69">
        <v>4843.32</v>
      </c>
      <c r="T662" s="69"/>
      <c r="U662" s="69"/>
      <c r="AR662" s="91">
        <f t="shared" si="55"/>
        <v>4843.32</v>
      </c>
      <c r="AS662" s="69">
        <v>3627.88</v>
      </c>
      <c r="AT662" s="69">
        <f>16.23+27.2</f>
        <v>43.43</v>
      </c>
      <c r="AU662" s="69">
        <f>1001.71+165.23</f>
        <v>1166.94</v>
      </c>
      <c r="AV662" s="69">
        <f>3+2.07</f>
        <v>5.07</v>
      </c>
      <c r="BC662" s="69"/>
      <c r="BD662" s="69"/>
      <c r="CC662" s="94">
        <f t="shared" si="16"/>
        <v>4843.32</v>
      </c>
      <c r="CD662" s="73">
        <f t="shared" si="50"/>
        <v>0</v>
      </c>
      <c r="CE662" s="75">
        <f t="shared" si="56"/>
        <v>3320</v>
      </c>
      <c r="CF662" s="69" t="str">
        <f t="shared" si="56"/>
        <v>ماليزى اسنان</v>
      </c>
    </row>
    <row r="663" spans="1:91" ht="18.75" x14ac:dyDescent="0.25">
      <c r="B663" s="82">
        <v>2853</v>
      </c>
      <c r="C663" s="78">
        <v>3321</v>
      </c>
      <c r="D663" s="71" t="s">
        <v>121</v>
      </c>
      <c r="E663" s="107" t="s">
        <v>3802</v>
      </c>
      <c r="F663" s="63" t="s">
        <v>220</v>
      </c>
      <c r="G663" s="69">
        <v>29573.52</v>
      </c>
      <c r="T663" s="69"/>
      <c r="U663" s="69"/>
      <c r="AR663" s="91">
        <f t="shared" si="55"/>
        <v>29573.52</v>
      </c>
      <c r="AS663" s="69">
        <v>22144.26</v>
      </c>
      <c r="AT663" s="69">
        <f>107.04+166.2</f>
        <v>273.24</v>
      </c>
      <c r="AU663" s="69">
        <f>6116.52+1008.9</f>
        <v>7125.42</v>
      </c>
      <c r="AV663" s="69">
        <f>18+12.6</f>
        <v>30.6</v>
      </c>
      <c r="BC663" s="69"/>
      <c r="BD663" s="69"/>
      <c r="CC663" s="94">
        <f t="shared" si="16"/>
        <v>29573.519999999997</v>
      </c>
      <c r="CD663" s="73">
        <f t="shared" si="50"/>
        <v>0</v>
      </c>
      <c r="CE663" s="75">
        <f t="shared" si="56"/>
        <v>3321</v>
      </c>
      <c r="CF663" s="69" t="str">
        <f t="shared" si="56"/>
        <v>ماليزى اسنان</v>
      </c>
    </row>
    <row r="664" spans="1:91" ht="18.75" x14ac:dyDescent="0.25">
      <c r="B664" s="82">
        <v>2846</v>
      </c>
      <c r="C664" s="78">
        <v>3322</v>
      </c>
      <c r="D664" s="71" t="s">
        <v>121</v>
      </c>
      <c r="E664" s="107" t="s">
        <v>3802</v>
      </c>
      <c r="F664" s="63" t="s">
        <v>220</v>
      </c>
      <c r="G664" s="69">
        <v>10074.469999999999</v>
      </c>
      <c r="T664" s="69"/>
      <c r="U664" s="69"/>
      <c r="AR664" s="91">
        <f t="shared" si="55"/>
        <v>10074.469999999999</v>
      </c>
      <c r="AS664" s="69">
        <v>7220.81</v>
      </c>
      <c r="AT664" s="69">
        <f>33.8+56.55</f>
        <v>90.35</v>
      </c>
      <c r="AU664" s="69">
        <f>2083.63+343.69+16</f>
        <v>2443.3200000000002</v>
      </c>
      <c r="AV664" s="69">
        <f>314.83+4.29</f>
        <v>319.12</v>
      </c>
      <c r="BC664" s="69"/>
      <c r="BD664" s="69"/>
      <c r="CB664" s="69">
        <v>0.87</v>
      </c>
      <c r="CC664" s="94">
        <f t="shared" si="16"/>
        <v>10074.470000000003</v>
      </c>
      <c r="CD664" s="73">
        <f t="shared" si="50"/>
        <v>0</v>
      </c>
      <c r="CE664" s="75">
        <f t="shared" si="56"/>
        <v>3322</v>
      </c>
      <c r="CF664" s="69" t="str">
        <f t="shared" si="56"/>
        <v>ماليزى اسنان</v>
      </c>
    </row>
    <row r="665" spans="1:91" ht="18.75" x14ac:dyDescent="0.25">
      <c r="B665" s="82">
        <v>2848</v>
      </c>
      <c r="C665" s="78">
        <v>3323</v>
      </c>
      <c r="D665" s="71" t="s">
        <v>121</v>
      </c>
      <c r="E665" s="107" t="s">
        <v>3802</v>
      </c>
      <c r="F665" s="63" t="s">
        <v>220</v>
      </c>
      <c r="G665" s="69">
        <v>263860.07</v>
      </c>
      <c r="T665" s="69"/>
      <c r="U665" s="69"/>
      <c r="AR665" s="91">
        <f t="shared" si="55"/>
        <v>263860.07</v>
      </c>
      <c r="AS665" s="69">
        <v>196004.8</v>
      </c>
      <c r="AT665" s="69">
        <f>1215.39+1483.4</f>
        <v>2698.79</v>
      </c>
      <c r="AU665" s="69">
        <f>54572.33+9001.57</f>
        <v>63573.9</v>
      </c>
      <c r="AV665" s="69">
        <f>1457.01+112.46</f>
        <v>1569.47</v>
      </c>
      <c r="BC665" s="69"/>
      <c r="BD665" s="69"/>
      <c r="CB665" s="69">
        <v>13.11</v>
      </c>
      <c r="CC665" s="94">
        <f t="shared" si="16"/>
        <v>263860.06999999995</v>
      </c>
      <c r="CD665" s="73">
        <f t="shared" si="50"/>
        <v>0</v>
      </c>
      <c r="CE665" s="75">
        <f t="shared" si="56"/>
        <v>3323</v>
      </c>
      <c r="CF665" s="69" t="str">
        <f t="shared" si="56"/>
        <v>ماليزى اسنان</v>
      </c>
    </row>
    <row r="666" spans="1:91" ht="18.75" x14ac:dyDescent="0.25">
      <c r="B666" s="82">
        <v>2621</v>
      </c>
      <c r="C666" s="78">
        <v>3324</v>
      </c>
      <c r="D666" s="71" t="s">
        <v>121</v>
      </c>
      <c r="E666" s="107" t="s">
        <v>3802</v>
      </c>
      <c r="F666" s="63" t="s">
        <v>220</v>
      </c>
      <c r="G666" s="69">
        <v>4627.92</v>
      </c>
      <c r="T666" s="69"/>
      <c r="U666" s="69"/>
      <c r="AR666" s="91">
        <f t="shared" si="55"/>
        <v>4627.92</v>
      </c>
      <c r="AS666" s="69">
        <v>3469.74</v>
      </c>
      <c r="AT666" s="69">
        <f>12.17+26</f>
        <v>38.17</v>
      </c>
      <c r="AU666" s="69">
        <f>957.16+157.88</f>
        <v>1115.04</v>
      </c>
      <c r="AV666" s="69">
        <f>3+1.97</f>
        <v>4.97</v>
      </c>
      <c r="BC666" s="69"/>
      <c r="BD666" s="69"/>
      <c r="CC666" s="94">
        <f t="shared" si="16"/>
        <v>4627.92</v>
      </c>
      <c r="CD666" s="73">
        <f t="shared" si="50"/>
        <v>0</v>
      </c>
      <c r="CE666" s="75">
        <f t="shared" si="56"/>
        <v>3324</v>
      </c>
      <c r="CF666" s="69" t="str">
        <f t="shared" si="56"/>
        <v>ماليزى اسنان</v>
      </c>
    </row>
    <row r="667" spans="1:91" ht="18.75" x14ac:dyDescent="0.25">
      <c r="A667" s="69">
        <f>SUBTOTAL(9,AU668:AU673)</f>
        <v>52876.520000000004</v>
      </c>
      <c r="B667" s="82">
        <v>2620</v>
      </c>
      <c r="C667" s="78">
        <v>3325</v>
      </c>
      <c r="D667" s="71" t="s">
        <v>121</v>
      </c>
      <c r="E667" s="107" t="s">
        <v>3802</v>
      </c>
      <c r="F667" s="63" t="s">
        <v>220</v>
      </c>
      <c r="G667" s="69">
        <v>108918.7</v>
      </c>
      <c r="T667" s="69"/>
      <c r="U667" s="69"/>
      <c r="AR667" s="91">
        <f t="shared" si="55"/>
        <v>108918.7</v>
      </c>
      <c r="AS667" s="69">
        <v>81234.89</v>
      </c>
      <c r="AT667" s="69">
        <f>251.61+611.6</f>
        <v>863.21</v>
      </c>
      <c r="AU667" s="69">
        <f>22526.91+3715.74</f>
        <v>26242.65</v>
      </c>
      <c r="AV667" s="69">
        <f>526.92+46.42</f>
        <v>573.33999999999992</v>
      </c>
      <c r="BC667" s="69"/>
      <c r="BD667" s="69"/>
      <c r="CB667" s="69">
        <v>4.6100000000000003</v>
      </c>
      <c r="CC667" s="94">
        <f t="shared" si="16"/>
        <v>108918.7</v>
      </c>
      <c r="CD667" s="73">
        <f t="shared" si="50"/>
        <v>0</v>
      </c>
      <c r="CE667" s="75">
        <f t="shared" si="56"/>
        <v>3325</v>
      </c>
      <c r="CF667" s="69" t="str">
        <f t="shared" si="56"/>
        <v>ماليزى اسنان</v>
      </c>
    </row>
    <row r="668" spans="1:91" ht="18.75" x14ac:dyDescent="0.25">
      <c r="A668" s="69">
        <f>SUBTOTAL(9,AU1233:AU1236)</f>
        <v>3833.7299999999996</v>
      </c>
      <c r="B668" s="82">
        <v>2465</v>
      </c>
      <c r="C668" s="78">
        <v>3326</v>
      </c>
      <c r="D668" s="71" t="s">
        <v>132</v>
      </c>
      <c r="E668" s="107" t="s">
        <v>3802</v>
      </c>
      <c r="F668" s="63" t="s">
        <v>220</v>
      </c>
      <c r="G668" s="69">
        <v>4476.93</v>
      </c>
      <c r="T668" s="69"/>
      <c r="U668" s="69"/>
      <c r="AR668" s="91">
        <f t="shared" si="55"/>
        <v>4476.93</v>
      </c>
      <c r="AS668" s="69">
        <v>2983.88</v>
      </c>
      <c r="AT668" s="69">
        <f>9.33+25.15</f>
        <v>34.479999999999997</v>
      </c>
      <c r="AU668" s="69">
        <f>925.93+152.73</f>
        <v>1078.6599999999999</v>
      </c>
      <c r="AV668" s="69">
        <f>378+1.91</f>
        <v>379.91</v>
      </c>
      <c r="BC668" s="69"/>
      <c r="BD668" s="69"/>
      <c r="CC668" s="94">
        <f t="shared" si="16"/>
        <v>4476.93</v>
      </c>
      <c r="CD668" s="73">
        <f t="shared" si="50"/>
        <v>0</v>
      </c>
      <c r="CE668" s="75">
        <f t="shared" si="56"/>
        <v>3326</v>
      </c>
      <c r="CF668" s="69" t="str">
        <f t="shared" si="56"/>
        <v>صيدلة اكلينيكى</v>
      </c>
    </row>
    <row r="669" spans="1:91" ht="18.75" x14ac:dyDescent="0.25">
      <c r="B669" s="82">
        <v>2464</v>
      </c>
      <c r="C669" s="78">
        <v>3327</v>
      </c>
      <c r="D669" s="71" t="s">
        <v>132</v>
      </c>
      <c r="E669" s="107" t="s">
        <v>3802</v>
      </c>
      <c r="F669" s="63" t="s">
        <v>220</v>
      </c>
      <c r="G669" s="69">
        <v>60527.96</v>
      </c>
      <c r="T669" s="69"/>
      <c r="U669" s="69"/>
      <c r="AR669" s="91">
        <f t="shared" si="55"/>
        <v>60527.96</v>
      </c>
      <c r="AS669" s="69">
        <v>43638.46</v>
      </c>
      <c r="AT669" s="69">
        <f>147.02+337.05</f>
        <v>484.07000000000005</v>
      </c>
      <c r="AU669" s="69">
        <f>12518.59+2064.92</f>
        <v>14583.51</v>
      </c>
      <c r="AV669" s="69">
        <f>1796.1+25.82</f>
        <v>1821.9199999999998</v>
      </c>
      <c r="BC669" s="69"/>
      <c r="BD669" s="69"/>
      <c r="CC669" s="94">
        <f t="shared" si="16"/>
        <v>60527.96</v>
      </c>
      <c r="CD669" s="73">
        <f t="shared" si="50"/>
        <v>0</v>
      </c>
      <c r="CE669" s="75">
        <f t="shared" si="56"/>
        <v>3327</v>
      </c>
      <c r="CF669" s="69" t="str">
        <f t="shared" si="56"/>
        <v>صيدلة اكلينيكى</v>
      </c>
    </row>
    <row r="670" spans="1:91" ht="18.75" x14ac:dyDescent="0.25">
      <c r="B670" s="82">
        <v>2468</v>
      </c>
      <c r="C670" s="78">
        <v>3328</v>
      </c>
      <c r="D670" s="71" t="s">
        <v>132</v>
      </c>
      <c r="E670" s="107" t="s">
        <v>3802</v>
      </c>
      <c r="F670" s="63" t="s">
        <v>220</v>
      </c>
      <c r="G670" s="69">
        <v>4400.76</v>
      </c>
      <c r="T670" s="69"/>
      <c r="U670" s="69"/>
      <c r="AR670" s="91">
        <f t="shared" si="55"/>
        <v>4400.76</v>
      </c>
      <c r="AS670" s="69">
        <v>3300.96</v>
      </c>
      <c r="AT670" s="69">
        <f>9.91+24.7</f>
        <v>34.61</v>
      </c>
      <c r="AU670" s="69">
        <f>910.18+150.13</f>
        <v>1060.31</v>
      </c>
      <c r="AV670" s="69">
        <f>3+1.88</f>
        <v>4.88</v>
      </c>
      <c r="BC670" s="69"/>
      <c r="BD670" s="69"/>
      <c r="CC670" s="94">
        <f t="shared" si="16"/>
        <v>4400.76</v>
      </c>
      <c r="CD670" s="73">
        <f t="shared" si="50"/>
        <v>0</v>
      </c>
      <c r="CE670" s="75">
        <f t="shared" si="56"/>
        <v>3328</v>
      </c>
      <c r="CF670" s="69" t="str">
        <f t="shared" si="56"/>
        <v>صيدلة اكلينيكى</v>
      </c>
    </row>
    <row r="671" spans="1:91" ht="18.75" x14ac:dyDescent="0.25">
      <c r="B671" s="82">
        <v>2466</v>
      </c>
      <c r="C671" s="78">
        <v>3329</v>
      </c>
      <c r="D671" s="71" t="s">
        <v>132</v>
      </c>
      <c r="E671" s="107" t="s">
        <v>3802</v>
      </c>
      <c r="F671" s="63" t="s">
        <v>220</v>
      </c>
      <c r="G671" s="69">
        <v>126208.34</v>
      </c>
      <c r="T671" s="69"/>
      <c r="U671" s="69"/>
      <c r="AR671" s="91">
        <f t="shared" si="55"/>
        <v>126208.34</v>
      </c>
      <c r="AS671" s="69">
        <v>90315.37</v>
      </c>
      <c r="AT671" s="69">
        <f>319.55+693.65</f>
        <v>1013.2</v>
      </c>
      <c r="AU671" s="69">
        <f>26714.57+4406.5+39</f>
        <v>31160.07</v>
      </c>
      <c r="AV671" s="69">
        <f>3666.1+53.6</f>
        <v>3719.7</v>
      </c>
      <c r="BC671" s="69"/>
      <c r="BD671" s="69"/>
      <c r="CC671" s="94">
        <f t="shared" si="16"/>
        <v>126208.33999999998</v>
      </c>
      <c r="CD671" s="73">
        <f t="shared" si="50"/>
        <v>0</v>
      </c>
      <c r="CE671" s="75">
        <f t="shared" si="56"/>
        <v>3329</v>
      </c>
      <c r="CF671" s="69" t="str">
        <f t="shared" si="56"/>
        <v>صيدلة اكلينيكى</v>
      </c>
    </row>
    <row r="672" spans="1:91" ht="18.75" x14ac:dyDescent="0.25">
      <c r="B672" s="82">
        <v>2469</v>
      </c>
      <c r="C672" s="78">
        <v>3330</v>
      </c>
      <c r="D672" s="71" t="s">
        <v>132</v>
      </c>
      <c r="E672" s="107" t="s">
        <v>3802</v>
      </c>
      <c r="F672" s="63" t="s">
        <v>220</v>
      </c>
      <c r="G672" s="69">
        <v>5609.63</v>
      </c>
      <c r="T672" s="69"/>
      <c r="U672" s="69"/>
      <c r="AR672" s="91">
        <f t="shared" si="55"/>
        <v>5609.63</v>
      </c>
      <c r="AS672" s="69">
        <v>4154.68</v>
      </c>
      <c r="AT672" s="69">
        <f>66.4+31.6</f>
        <v>98</v>
      </c>
      <c r="AU672" s="69">
        <f>1160.19+191.37</f>
        <v>1351.56</v>
      </c>
      <c r="AV672" s="69">
        <f>3+2.39</f>
        <v>5.3900000000000006</v>
      </c>
      <c r="BC672" s="69"/>
      <c r="BD672" s="69"/>
      <c r="CC672" s="94">
        <f t="shared" si="16"/>
        <v>5609.63</v>
      </c>
      <c r="CD672" s="73">
        <f t="shared" si="50"/>
        <v>0</v>
      </c>
      <c r="CE672" s="75">
        <f t="shared" si="56"/>
        <v>3330</v>
      </c>
      <c r="CF672" s="69" t="str">
        <f t="shared" si="56"/>
        <v>صيدلة اكلينيكى</v>
      </c>
    </row>
    <row r="673" spans="1:84" ht="18.75" x14ac:dyDescent="0.25">
      <c r="A673" s="69">
        <f>SUBTOTAL(9,AU674:AU1206)</f>
        <v>1459131.6499999997</v>
      </c>
      <c r="B673" s="82">
        <v>2467</v>
      </c>
      <c r="C673" s="78">
        <v>3331</v>
      </c>
      <c r="D673" s="71" t="s">
        <v>132</v>
      </c>
      <c r="E673" s="107" t="s">
        <v>3802</v>
      </c>
      <c r="F673" s="63" t="s">
        <v>220</v>
      </c>
      <c r="G673" s="69">
        <v>15117.58</v>
      </c>
      <c r="T673" s="69"/>
      <c r="U673" s="69"/>
      <c r="AR673" s="91">
        <f t="shared" si="55"/>
        <v>15117.58</v>
      </c>
      <c r="AS673" s="69">
        <v>10939.96</v>
      </c>
      <c r="AT673" s="69">
        <f>53.98+85</f>
        <v>138.97999999999999</v>
      </c>
      <c r="AU673" s="69">
        <f>3126.67+515.74</f>
        <v>3642.41</v>
      </c>
      <c r="AV673" s="69">
        <f>389.79+6.44</f>
        <v>396.23</v>
      </c>
      <c r="BC673" s="69"/>
      <c r="BD673" s="69"/>
      <c r="CC673" s="94">
        <f t="shared" si="16"/>
        <v>15117.579999999998</v>
      </c>
      <c r="CD673" s="73">
        <f t="shared" si="50"/>
        <v>0</v>
      </c>
      <c r="CE673" s="75">
        <f t="shared" si="56"/>
        <v>3331</v>
      </c>
      <c r="CF673" s="69" t="str">
        <f t="shared" si="56"/>
        <v>صيدلة اكلينيكى</v>
      </c>
    </row>
    <row r="674" spans="1:84" ht="18.75" x14ac:dyDescent="0.25">
      <c r="A674" s="69">
        <f>SUBTOTAL(9,AU1210)</f>
        <v>25160.240000000002</v>
      </c>
      <c r="B674" s="82">
        <v>2512</v>
      </c>
      <c r="C674" s="78">
        <v>3332</v>
      </c>
      <c r="D674" s="71" t="s">
        <v>78</v>
      </c>
      <c r="E674" s="107" t="s">
        <v>3802</v>
      </c>
      <c r="F674" s="63" t="s">
        <v>220</v>
      </c>
      <c r="G674" s="69">
        <v>4910.01</v>
      </c>
      <c r="T674" s="69"/>
      <c r="U674" s="69"/>
      <c r="AR674" s="91">
        <f t="shared" si="55"/>
        <v>4910.01</v>
      </c>
      <c r="AS674" s="69">
        <v>3676.81</v>
      </c>
      <c r="AT674" s="69">
        <f>17.48+27.6</f>
        <v>45.08</v>
      </c>
      <c r="AU674" s="69">
        <f>1015.52+167.51</f>
        <v>1183.03</v>
      </c>
      <c r="AV674" s="69">
        <f>3+2.09</f>
        <v>5.09</v>
      </c>
      <c r="BC674" s="69"/>
      <c r="BD674" s="69"/>
      <c r="CC674" s="94">
        <f t="shared" si="16"/>
        <v>4910.01</v>
      </c>
      <c r="CD674" s="73">
        <f t="shared" si="50"/>
        <v>0</v>
      </c>
      <c r="CE674" s="75">
        <f t="shared" si="56"/>
        <v>3332</v>
      </c>
      <c r="CF674" s="69" t="str">
        <f t="shared" si="56"/>
        <v>برنامج دولى</v>
      </c>
    </row>
    <row r="675" spans="1:84" ht="18.75" x14ac:dyDescent="0.25">
      <c r="B675" s="82">
        <v>2513</v>
      </c>
      <c r="C675" s="78">
        <v>3333</v>
      </c>
      <c r="D675" s="71" t="s">
        <v>78</v>
      </c>
      <c r="E675" s="107" t="s">
        <v>3802</v>
      </c>
      <c r="F675" s="63" t="s">
        <v>220</v>
      </c>
      <c r="G675" s="69">
        <v>10399.280000000001</v>
      </c>
      <c r="T675" s="69"/>
      <c r="U675" s="69"/>
      <c r="AR675" s="91">
        <f t="shared" si="55"/>
        <v>10399.280000000001</v>
      </c>
      <c r="AS675" s="69">
        <v>7753.72</v>
      </c>
      <c r="AT675" s="69">
        <f>71.02+58.5</f>
        <v>129.51999999999998</v>
      </c>
      <c r="AU675" s="69">
        <f>2150.82+354.78</f>
        <v>2505.6000000000004</v>
      </c>
      <c r="AV675" s="69">
        <f>6+4.44</f>
        <v>10.440000000000001</v>
      </c>
      <c r="BC675" s="69"/>
      <c r="BD675" s="69"/>
      <c r="CC675" s="94">
        <f t="shared" si="16"/>
        <v>10399.280000000001</v>
      </c>
      <c r="CD675" s="73">
        <f t="shared" si="50"/>
        <v>0</v>
      </c>
      <c r="CE675" s="75">
        <f t="shared" si="56"/>
        <v>3333</v>
      </c>
      <c r="CF675" s="69" t="str">
        <f t="shared" si="56"/>
        <v>برنامج دولى</v>
      </c>
    </row>
    <row r="676" spans="1:84" ht="18.75" x14ac:dyDescent="0.25">
      <c r="B676" s="82">
        <v>2514</v>
      </c>
      <c r="C676" s="78">
        <v>3334</v>
      </c>
      <c r="D676" s="71" t="s">
        <v>78</v>
      </c>
      <c r="E676" s="107" t="s">
        <v>3802</v>
      </c>
      <c r="F676" s="63" t="s">
        <v>220</v>
      </c>
      <c r="G676" s="69">
        <v>9781.39</v>
      </c>
      <c r="T676" s="69"/>
      <c r="U676" s="69"/>
      <c r="AR676" s="91">
        <f t="shared" si="55"/>
        <v>9781.39</v>
      </c>
      <c r="AS676" s="69">
        <v>7231.25</v>
      </c>
      <c r="AT676" s="69">
        <f>34.24+55</f>
        <v>89.240000000000009</v>
      </c>
      <c r="AU676" s="69">
        <f>2023.03+333.7</f>
        <v>2356.73</v>
      </c>
      <c r="AV676" s="69">
        <f>100+4.17</f>
        <v>104.17</v>
      </c>
      <c r="BC676" s="69"/>
      <c r="BD676" s="69"/>
      <c r="CC676" s="94">
        <f t="shared" si="16"/>
        <v>9781.39</v>
      </c>
      <c r="CD676" s="73">
        <f t="shared" si="50"/>
        <v>0</v>
      </c>
      <c r="CE676" s="75">
        <f t="shared" si="56"/>
        <v>3334</v>
      </c>
      <c r="CF676" s="69" t="str">
        <f t="shared" si="56"/>
        <v>برنامج دولى</v>
      </c>
    </row>
    <row r="677" spans="1:84" ht="18.75" x14ac:dyDescent="0.25">
      <c r="B677" s="82">
        <v>2516</v>
      </c>
      <c r="C677" s="78">
        <v>3335</v>
      </c>
      <c r="D677" s="71" t="s">
        <v>78</v>
      </c>
      <c r="E677" s="107" t="s">
        <v>3802</v>
      </c>
      <c r="F677" s="63" t="s">
        <v>220</v>
      </c>
      <c r="G677" s="69">
        <v>4910.01</v>
      </c>
      <c r="T677" s="69"/>
      <c r="U677" s="69"/>
      <c r="AR677" s="91">
        <f t="shared" si="55"/>
        <v>4910.01</v>
      </c>
      <c r="AS677" s="69">
        <v>3630.81</v>
      </c>
      <c r="AT677" s="69">
        <f>17.48+27.6</f>
        <v>45.08</v>
      </c>
      <c r="AU677" s="69">
        <f>1015.52+167.51</f>
        <v>1183.03</v>
      </c>
      <c r="AV677" s="69">
        <f>49+2.09</f>
        <v>51.09</v>
      </c>
      <c r="BC677" s="69"/>
      <c r="BD677" s="69"/>
      <c r="CC677" s="94">
        <f t="shared" ref="CC677:CC786" si="57">SUM(AS677:CB677)</f>
        <v>4910.01</v>
      </c>
      <c r="CD677" s="73">
        <f t="shared" si="50"/>
        <v>0</v>
      </c>
      <c r="CE677" s="75">
        <f t="shared" si="56"/>
        <v>3335</v>
      </c>
      <c r="CF677" s="69" t="str">
        <f t="shared" si="56"/>
        <v>برنامج دولى</v>
      </c>
    </row>
    <row r="678" spans="1:84" ht="18.75" x14ac:dyDescent="0.25">
      <c r="B678" s="82">
        <v>2515</v>
      </c>
      <c r="C678" s="78">
        <v>3336</v>
      </c>
      <c r="D678" s="71" t="s">
        <v>78</v>
      </c>
      <c r="E678" s="107" t="s">
        <v>3802</v>
      </c>
      <c r="F678" s="63" t="s">
        <v>220</v>
      </c>
      <c r="G678" s="69">
        <v>5199.5200000000004</v>
      </c>
      <c r="T678" s="69"/>
      <c r="U678" s="69"/>
      <c r="AR678" s="91">
        <f t="shared" si="55"/>
        <v>5199.5200000000004</v>
      </c>
      <c r="AS678" s="69">
        <v>3812.37</v>
      </c>
      <c r="AT678" s="69">
        <f>35.5+29.25</f>
        <v>64.75</v>
      </c>
      <c r="AU678" s="69">
        <f>1075.39+177.39</f>
        <v>1252.7800000000002</v>
      </c>
      <c r="AV678" s="69">
        <f>3+2.22</f>
        <v>5.2200000000000006</v>
      </c>
      <c r="AX678" s="69">
        <v>64.400000000000006</v>
      </c>
      <c r="BC678" s="69"/>
      <c r="BD678" s="69"/>
      <c r="CC678" s="94">
        <f t="shared" si="57"/>
        <v>5199.5199999999995</v>
      </c>
      <c r="CD678" s="73">
        <f t="shared" ref="CD678:CD741" si="58">+CC678-AR678</f>
        <v>0</v>
      </c>
      <c r="CE678" s="75">
        <f t="shared" si="56"/>
        <v>3336</v>
      </c>
      <c r="CF678" s="69" t="str">
        <f t="shared" si="56"/>
        <v>برنامج دولى</v>
      </c>
    </row>
    <row r="679" spans="1:84" ht="18.75" x14ac:dyDescent="0.25">
      <c r="B679" s="82">
        <v>2518</v>
      </c>
      <c r="C679" s="78">
        <v>3337</v>
      </c>
      <c r="D679" s="71" t="s">
        <v>78</v>
      </c>
      <c r="E679" s="107" t="s">
        <v>3802</v>
      </c>
      <c r="F679" s="63" t="s">
        <v>220</v>
      </c>
      <c r="G679" s="69">
        <v>10109.530000000001</v>
      </c>
      <c r="T679" s="69"/>
      <c r="U679" s="69"/>
      <c r="AR679" s="91">
        <f t="shared" si="55"/>
        <v>10109.530000000001</v>
      </c>
      <c r="AS679" s="69">
        <v>7423.58</v>
      </c>
      <c r="AT679" s="69">
        <f>52.98+56.85</f>
        <v>109.83</v>
      </c>
      <c r="AU679" s="69">
        <f>2090.91+344.9</f>
        <v>2435.81</v>
      </c>
      <c r="AV679" s="69">
        <f>136+4.31</f>
        <v>140.31</v>
      </c>
      <c r="BC679" s="69"/>
      <c r="BD679" s="69"/>
      <c r="CC679" s="94">
        <f t="shared" si="57"/>
        <v>10109.529999999999</v>
      </c>
      <c r="CD679" s="73">
        <f t="shared" si="58"/>
        <v>0</v>
      </c>
      <c r="CE679" s="75">
        <f t="shared" si="56"/>
        <v>3337</v>
      </c>
      <c r="CF679" s="69" t="str">
        <f t="shared" si="56"/>
        <v>برنامج دولى</v>
      </c>
    </row>
    <row r="680" spans="1:84" ht="18.75" x14ac:dyDescent="0.25">
      <c r="B680" s="82">
        <v>2517</v>
      </c>
      <c r="C680" s="78">
        <v>3338</v>
      </c>
      <c r="D680" s="71" t="s">
        <v>78</v>
      </c>
      <c r="E680" s="107" t="s">
        <v>3802</v>
      </c>
      <c r="F680" s="63" t="s">
        <v>220</v>
      </c>
      <c r="G680" s="69">
        <v>4871.38</v>
      </c>
      <c r="T680" s="69"/>
      <c r="U680" s="69"/>
      <c r="AR680" s="91">
        <f t="shared" si="55"/>
        <v>4871.38</v>
      </c>
      <c r="AS680" s="69">
        <v>3648.44</v>
      </c>
      <c r="AT680" s="69">
        <f>16.76+27.4</f>
        <v>44.16</v>
      </c>
      <c r="AU680" s="69">
        <f>1007.51+166.19</f>
        <v>1173.7</v>
      </c>
      <c r="AV680" s="69">
        <f>3+2.08</f>
        <v>5.08</v>
      </c>
      <c r="BC680" s="69"/>
      <c r="BD680" s="69"/>
      <c r="CC680" s="94">
        <f t="shared" si="57"/>
        <v>4871.38</v>
      </c>
      <c r="CD680" s="73">
        <f t="shared" si="58"/>
        <v>0</v>
      </c>
      <c r="CE680" s="75">
        <f t="shared" si="56"/>
        <v>3338</v>
      </c>
      <c r="CF680" s="69" t="str">
        <f t="shared" si="56"/>
        <v>برنامج دولى</v>
      </c>
    </row>
    <row r="681" spans="1:84" ht="18.75" x14ac:dyDescent="0.25">
      <c r="B681" s="82">
        <v>2519</v>
      </c>
      <c r="C681" s="78">
        <v>3339</v>
      </c>
      <c r="D681" s="71" t="s">
        <v>78</v>
      </c>
      <c r="E681" s="107" t="s">
        <v>3802</v>
      </c>
      <c r="F681" s="63" t="s">
        <v>220</v>
      </c>
      <c r="G681" s="69">
        <v>8540.2000000000007</v>
      </c>
      <c r="T681" s="69"/>
      <c r="U681" s="69"/>
      <c r="AR681" s="91">
        <f t="shared" si="55"/>
        <v>8540.2000000000007</v>
      </c>
      <c r="AS681" s="69">
        <v>6034.77</v>
      </c>
      <c r="AT681" s="69">
        <f>17.16+45.1</f>
        <v>62.260000000000005</v>
      </c>
      <c r="AU681" s="69">
        <f>2087.33+344.31</f>
        <v>2431.64</v>
      </c>
      <c r="AV681" s="69">
        <f>8+3.53</f>
        <v>11.53</v>
      </c>
      <c r="BC681" s="69"/>
      <c r="BD681" s="69"/>
      <c r="CC681" s="94">
        <f t="shared" si="57"/>
        <v>8540.2000000000007</v>
      </c>
      <c r="CD681" s="73">
        <f t="shared" si="58"/>
        <v>0</v>
      </c>
      <c r="CE681" s="75">
        <f t="shared" si="56"/>
        <v>3339</v>
      </c>
      <c r="CF681" s="69" t="str">
        <f t="shared" si="56"/>
        <v>برنامج دولى</v>
      </c>
    </row>
    <row r="682" spans="1:84" ht="18.75" x14ac:dyDescent="0.25">
      <c r="B682" s="82">
        <v>2520</v>
      </c>
      <c r="C682" s="78">
        <v>3340</v>
      </c>
      <c r="D682" s="71" t="s">
        <v>78</v>
      </c>
      <c r="E682" s="107" t="s">
        <v>3802</v>
      </c>
      <c r="F682" s="63" t="s">
        <v>220</v>
      </c>
      <c r="G682" s="69">
        <v>59957.01</v>
      </c>
      <c r="T682" s="69"/>
      <c r="U682" s="69"/>
      <c r="AR682" s="91">
        <f t="shared" si="55"/>
        <v>59957.01</v>
      </c>
      <c r="AS682" s="69">
        <v>44630.79</v>
      </c>
      <c r="AT682" s="69">
        <f>320.36+337.1</f>
        <v>657.46</v>
      </c>
      <c r="AU682" s="69">
        <f>12400.59+2045.5</f>
        <v>14446.09</v>
      </c>
      <c r="AV682" s="69">
        <f>168+25.58</f>
        <v>193.57999999999998</v>
      </c>
      <c r="AX682" s="69">
        <v>29.09</v>
      </c>
      <c r="BC682" s="69"/>
      <c r="BD682" s="69"/>
      <c r="CC682" s="94">
        <f t="shared" si="57"/>
        <v>59957.009999999995</v>
      </c>
      <c r="CD682" s="73">
        <f t="shared" si="58"/>
        <v>0</v>
      </c>
      <c r="CE682" s="75">
        <f t="shared" si="56"/>
        <v>3340</v>
      </c>
      <c r="CF682" s="69" t="str">
        <f t="shared" si="56"/>
        <v>برنامج دولى</v>
      </c>
    </row>
    <row r="683" spans="1:84" ht="18.75" x14ac:dyDescent="0.25">
      <c r="B683" s="82">
        <v>2521</v>
      </c>
      <c r="C683" s="78">
        <v>3341</v>
      </c>
      <c r="D683" s="71" t="s">
        <v>78</v>
      </c>
      <c r="E683" s="107" t="s">
        <v>3802</v>
      </c>
      <c r="F683" s="63" t="s">
        <v>220</v>
      </c>
      <c r="G683" s="69">
        <v>34988.269999999997</v>
      </c>
      <c r="T683" s="69"/>
      <c r="U683" s="69"/>
      <c r="AR683" s="91">
        <f t="shared" si="55"/>
        <v>34988.269999999997</v>
      </c>
      <c r="AS683" s="69">
        <v>25104.71</v>
      </c>
      <c r="AT683" s="69">
        <f>231.68+199.15</f>
        <v>430.83000000000004</v>
      </c>
      <c r="AU683" s="69">
        <f>7236.44+1193.65</f>
        <v>8430.09</v>
      </c>
      <c r="AV683" s="69">
        <f>374.53+633.2+14.91</f>
        <v>1022.64</v>
      </c>
      <c r="BC683" s="69"/>
      <c r="BD683" s="69"/>
      <c r="CC683" s="94">
        <f t="shared" si="57"/>
        <v>34988.270000000004</v>
      </c>
      <c r="CD683" s="73">
        <f t="shared" si="58"/>
        <v>0</v>
      </c>
      <c r="CE683" s="75">
        <f t="shared" si="56"/>
        <v>3341</v>
      </c>
      <c r="CF683" s="69" t="str">
        <f t="shared" si="56"/>
        <v>برنامج دولى</v>
      </c>
    </row>
    <row r="684" spans="1:84" ht="18.75" x14ac:dyDescent="0.25">
      <c r="B684" s="82">
        <v>2523</v>
      </c>
      <c r="C684" s="78">
        <v>3342</v>
      </c>
      <c r="D684" s="71" t="s">
        <v>78</v>
      </c>
      <c r="E684" s="107" t="s">
        <v>3802</v>
      </c>
      <c r="F684" s="63" t="s">
        <v>220</v>
      </c>
      <c r="G684" s="69">
        <v>8846.94</v>
      </c>
      <c r="T684" s="69"/>
      <c r="U684" s="69"/>
      <c r="AR684" s="91">
        <f t="shared" si="55"/>
        <v>8846.94</v>
      </c>
      <c r="AS684" s="69">
        <v>6249.37</v>
      </c>
      <c r="AT684" s="69">
        <f>35.5+46.85</f>
        <v>82.35</v>
      </c>
      <c r="AU684" s="69">
        <f>2150.78+354.78</f>
        <v>2505.5600000000004</v>
      </c>
      <c r="AV684" s="69">
        <f>6+3.66</f>
        <v>9.66</v>
      </c>
      <c r="BC684" s="69"/>
      <c r="BD684" s="69"/>
      <c r="CC684" s="94">
        <f t="shared" si="57"/>
        <v>8846.94</v>
      </c>
      <c r="CD684" s="73">
        <f t="shared" si="58"/>
        <v>0</v>
      </c>
      <c r="CE684" s="75">
        <f t="shared" si="56"/>
        <v>3342</v>
      </c>
      <c r="CF684" s="69" t="str">
        <f t="shared" si="56"/>
        <v>برنامج دولى</v>
      </c>
    </row>
    <row r="685" spans="1:84" ht="18.75" x14ac:dyDescent="0.25">
      <c r="B685" s="82">
        <v>2524</v>
      </c>
      <c r="C685" s="78">
        <v>3343</v>
      </c>
      <c r="D685" s="71" t="s">
        <v>78</v>
      </c>
      <c r="E685" s="107" t="s">
        <v>3802</v>
      </c>
      <c r="F685" s="63" t="s">
        <v>220</v>
      </c>
      <c r="G685" s="69">
        <v>4910.01</v>
      </c>
      <c r="T685" s="69"/>
      <c r="U685" s="69"/>
      <c r="AR685" s="91">
        <f t="shared" si="55"/>
        <v>4910.01</v>
      </c>
      <c r="AS685" s="69">
        <v>3676.81</v>
      </c>
      <c r="AT685" s="69">
        <f>17.48+27.6</f>
        <v>45.08</v>
      </c>
      <c r="AU685" s="69">
        <f>1015.52+167.51</f>
        <v>1183.03</v>
      </c>
      <c r="AV685" s="69">
        <f>3+2.09</f>
        <v>5.09</v>
      </c>
      <c r="BC685" s="69"/>
      <c r="BD685" s="69"/>
      <c r="CC685" s="94">
        <f t="shared" si="57"/>
        <v>4910.01</v>
      </c>
      <c r="CD685" s="73">
        <f t="shared" si="58"/>
        <v>0</v>
      </c>
      <c r="CE685" s="75">
        <f t="shared" si="56"/>
        <v>3343</v>
      </c>
      <c r="CF685" s="69" t="str">
        <f t="shared" si="56"/>
        <v>برنامج دولى</v>
      </c>
    </row>
    <row r="686" spans="1:84" ht="18.75" x14ac:dyDescent="0.25">
      <c r="B686" s="82">
        <v>2522</v>
      </c>
      <c r="C686" s="78">
        <v>3344</v>
      </c>
      <c r="D686" s="71" t="s">
        <v>78</v>
      </c>
      <c r="E686" s="107" t="s">
        <v>3802</v>
      </c>
      <c r="F686" s="63" t="s">
        <v>220</v>
      </c>
      <c r="G686" s="69">
        <f>1231858.13-60.58</f>
        <v>1231797.5499999998</v>
      </c>
      <c r="T686" s="69"/>
      <c r="U686" s="69"/>
      <c r="AN686" s="69">
        <v>60.58</v>
      </c>
      <c r="AR686" s="94">
        <f t="shared" ref="AR686:AR718" si="59">SUM(G686:AQ686)</f>
        <v>1231858.1299999999</v>
      </c>
      <c r="AS686" s="69">
        <v>909442.55</v>
      </c>
      <c r="AT686" s="69">
        <f>6318.34+6894.3</f>
        <v>13212.64</v>
      </c>
      <c r="AU686" s="69">
        <f>258585.21+42654.08+12</f>
        <v>301251.28999999998</v>
      </c>
      <c r="AV686" s="69">
        <f>6436.13+524.08</f>
        <v>6960.21</v>
      </c>
      <c r="AX686" s="69">
        <v>991.44</v>
      </c>
      <c r="BC686" s="69"/>
      <c r="BD686" s="69"/>
      <c r="CC686" s="94">
        <f t="shared" si="57"/>
        <v>1231858.1299999999</v>
      </c>
      <c r="CD686" s="73">
        <f t="shared" si="58"/>
        <v>0</v>
      </c>
      <c r="CE686" s="75">
        <f t="shared" si="56"/>
        <v>3344</v>
      </c>
      <c r="CF686" s="69" t="str">
        <f t="shared" si="56"/>
        <v>برنامج دولى</v>
      </c>
    </row>
    <row r="687" spans="1:84" ht="18.75" x14ac:dyDescent="0.25">
      <c r="B687" s="82">
        <v>2525</v>
      </c>
      <c r="C687" s="78">
        <v>3345</v>
      </c>
      <c r="D687" s="71" t="s">
        <v>78</v>
      </c>
      <c r="E687" s="107" t="s">
        <v>3802</v>
      </c>
      <c r="F687" s="63" t="s">
        <v>220</v>
      </c>
      <c r="G687" s="69">
        <v>4910.01</v>
      </c>
      <c r="T687" s="69"/>
      <c r="U687" s="69"/>
      <c r="AR687" s="94">
        <f t="shared" si="59"/>
        <v>4910.01</v>
      </c>
      <c r="AS687" s="69">
        <v>3618.81</v>
      </c>
      <c r="AT687" s="69">
        <f>17.48+27.6</f>
        <v>45.08</v>
      </c>
      <c r="AU687" s="69">
        <f>1015.52+167.51</f>
        <v>1183.03</v>
      </c>
      <c r="AV687" s="69">
        <f>61+2.09</f>
        <v>63.09</v>
      </c>
      <c r="BC687" s="69"/>
      <c r="BD687" s="69"/>
      <c r="CC687" s="94">
        <f t="shared" si="57"/>
        <v>4910.01</v>
      </c>
      <c r="CD687" s="73">
        <f t="shared" si="58"/>
        <v>0</v>
      </c>
      <c r="CE687" s="75">
        <f t="shared" si="56"/>
        <v>3345</v>
      </c>
      <c r="CF687" s="69" t="str">
        <f t="shared" si="56"/>
        <v>برنامج دولى</v>
      </c>
    </row>
    <row r="688" spans="1:84" ht="18.75" x14ac:dyDescent="0.25">
      <c r="B688" s="82">
        <v>2526</v>
      </c>
      <c r="C688" s="78">
        <v>3346</v>
      </c>
      <c r="D688" s="71" t="s">
        <v>78</v>
      </c>
      <c r="E688" s="107" t="s">
        <v>3802</v>
      </c>
      <c r="F688" s="63" t="s">
        <v>220</v>
      </c>
      <c r="G688" s="69">
        <v>4910.01</v>
      </c>
      <c r="T688" s="69"/>
      <c r="U688" s="69"/>
      <c r="AR688" s="94">
        <f t="shared" si="59"/>
        <v>4910.01</v>
      </c>
      <c r="AS688" s="69">
        <v>3654.58</v>
      </c>
      <c r="AT688" s="69">
        <f>16.91+27.4</f>
        <v>44.31</v>
      </c>
      <c r="AU688" s="69">
        <f>1015.52+167.51+23</f>
        <v>1206.03</v>
      </c>
      <c r="AV688" s="69">
        <f>3+2.09</f>
        <v>5.09</v>
      </c>
      <c r="BC688" s="69"/>
      <c r="BD688" s="69"/>
      <c r="CC688" s="94">
        <f t="shared" si="57"/>
        <v>4910.01</v>
      </c>
      <c r="CD688" s="73">
        <f t="shared" si="58"/>
        <v>0</v>
      </c>
      <c r="CE688" s="75">
        <f t="shared" si="56"/>
        <v>3346</v>
      </c>
      <c r="CF688" s="69" t="str">
        <f t="shared" si="56"/>
        <v>برنامج دولى</v>
      </c>
    </row>
    <row r="689" spans="2:86" ht="18.75" x14ac:dyDescent="0.25">
      <c r="B689" s="82">
        <v>2527</v>
      </c>
      <c r="C689" s="78">
        <v>3347</v>
      </c>
      <c r="D689" s="71" t="s">
        <v>78</v>
      </c>
      <c r="E689" s="107" t="s">
        <v>3802</v>
      </c>
      <c r="F689" s="63" t="s">
        <v>220</v>
      </c>
      <c r="G689" s="69">
        <v>4910.01</v>
      </c>
      <c r="T689" s="69"/>
      <c r="U689" s="69"/>
      <c r="AR689" s="94">
        <f t="shared" si="59"/>
        <v>4910.01</v>
      </c>
      <c r="AS689" s="69">
        <v>2031.81</v>
      </c>
      <c r="AT689" s="69">
        <f>17.48+27.6</f>
        <v>45.08</v>
      </c>
      <c r="AU689" s="69">
        <f>1015.52+167.51</f>
        <v>1183.03</v>
      </c>
      <c r="AV689" s="69">
        <f>848+2.09+800</f>
        <v>1650.0900000000001</v>
      </c>
      <c r="BC689" s="69"/>
      <c r="BD689" s="69"/>
      <c r="CC689" s="94">
        <f t="shared" si="57"/>
        <v>4910.01</v>
      </c>
      <c r="CD689" s="73">
        <f t="shared" si="58"/>
        <v>0</v>
      </c>
      <c r="CE689" s="75">
        <f t="shared" si="56"/>
        <v>3347</v>
      </c>
      <c r="CF689" s="69" t="str">
        <f t="shared" si="56"/>
        <v>برنامج دولى</v>
      </c>
    </row>
    <row r="690" spans="2:86" ht="18.75" x14ac:dyDescent="0.25">
      <c r="B690" s="82">
        <v>2528</v>
      </c>
      <c r="C690" s="78">
        <v>3348</v>
      </c>
      <c r="D690" s="71" t="s">
        <v>78</v>
      </c>
      <c r="E690" s="107" t="s">
        <v>3802</v>
      </c>
      <c r="F690" s="63" t="s">
        <v>220</v>
      </c>
      <c r="G690" s="69">
        <v>19998.57</v>
      </c>
      <c r="T690" s="69"/>
      <c r="U690" s="69"/>
      <c r="AR690" s="94">
        <f t="shared" si="59"/>
        <v>19998.57</v>
      </c>
      <c r="AS690" s="69">
        <v>14956.83</v>
      </c>
      <c r="AT690" s="69">
        <f>90.32+112.45</f>
        <v>202.76999999999998</v>
      </c>
      <c r="AU690" s="69">
        <f>4136.18+682.26</f>
        <v>4818.4400000000005</v>
      </c>
      <c r="AV690" s="69">
        <f>12+8.53</f>
        <v>20.53</v>
      </c>
      <c r="BC690" s="69"/>
      <c r="BD690" s="69"/>
      <c r="CC690" s="94">
        <f t="shared" si="57"/>
        <v>19998.57</v>
      </c>
      <c r="CD690" s="73">
        <f t="shared" si="58"/>
        <v>0</v>
      </c>
      <c r="CE690" s="75">
        <f t="shared" si="56"/>
        <v>3348</v>
      </c>
      <c r="CF690" s="69" t="str">
        <f t="shared" si="56"/>
        <v>برنامج دولى</v>
      </c>
    </row>
    <row r="691" spans="2:86" ht="18.75" x14ac:dyDescent="0.25">
      <c r="B691" s="82">
        <v>2529</v>
      </c>
      <c r="C691" s="78">
        <v>3349</v>
      </c>
      <c r="D691" s="71" t="s">
        <v>78</v>
      </c>
      <c r="E691" s="107" t="s">
        <v>3802</v>
      </c>
      <c r="F691" s="63" t="s">
        <v>220</v>
      </c>
      <c r="G691" s="69">
        <v>4761.34</v>
      </c>
      <c r="T691" s="69"/>
      <c r="U691" s="69"/>
      <c r="AR691" s="94">
        <f t="shared" si="59"/>
        <v>4761.34</v>
      </c>
      <c r="AS691" s="69">
        <v>3263.67</v>
      </c>
      <c r="AT691" s="69">
        <f>15.69+26.75</f>
        <v>42.44</v>
      </c>
      <c r="AU691" s="69">
        <f>984.76+162.44</f>
        <v>1147.2</v>
      </c>
      <c r="AV691" s="69">
        <f>306+2.03</f>
        <v>308.02999999999997</v>
      </c>
      <c r="BC691" s="69"/>
      <c r="BD691" s="69"/>
      <c r="CC691" s="94">
        <f t="shared" si="57"/>
        <v>4761.34</v>
      </c>
      <c r="CD691" s="73">
        <f t="shared" si="58"/>
        <v>0</v>
      </c>
      <c r="CE691" s="75">
        <f t="shared" si="56"/>
        <v>3349</v>
      </c>
      <c r="CF691" s="69" t="str">
        <f t="shared" si="56"/>
        <v>برنامج دولى</v>
      </c>
    </row>
    <row r="692" spans="2:86" ht="18.75" x14ac:dyDescent="0.25">
      <c r="B692" s="82">
        <v>2530</v>
      </c>
      <c r="C692" s="78">
        <v>3350</v>
      </c>
      <c r="D692" s="71" t="s">
        <v>78</v>
      </c>
      <c r="E692" s="107" t="s">
        <v>3802</v>
      </c>
      <c r="F692" s="63" t="s">
        <v>220</v>
      </c>
      <c r="G692" s="69">
        <v>4914.7</v>
      </c>
      <c r="T692" s="69"/>
      <c r="U692" s="69"/>
      <c r="AR692" s="94">
        <f t="shared" si="59"/>
        <v>4914.7</v>
      </c>
      <c r="AS692" s="69">
        <v>3586.27</v>
      </c>
      <c r="AT692" s="69">
        <f>17.57+27.6</f>
        <v>45.17</v>
      </c>
      <c r="AU692" s="69">
        <f>1016.49+167.67</f>
        <v>1184.1600000000001</v>
      </c>
      <c r="AV692" s="69">
        <f>97+2.1</f>
        <v>99.1</v>
      </c>
      <c r="BC692" s="69"/>
      <c r="BD692" s="69"/>
      <c r="CC692" s="94">
        <f t="shared" si="57"/>
        <v>4914.7000000000007</v>
      </c>
      <c r="CD692" s="73">
        <f t="shared" si="58"/>
        <v>0</v>
      </c>
      <c r="CE692" s="75">
        <f t="shared" si="56"/>
        <v>3350</v>
      </c>
      <c r="CF692" s="69" t="str">
        <f t="shared" si="56"/>
        <v>برنامج دولى</v>
      </c>
    </row>
    <row r="693" spans="2:86" ht="18.75" x14ac:dyDescent="0.25">
      <c r="B693" s="82">
        <v>2531</v>
      </c>
      <c r="C693" s="78">
        <v>3351</v>
      </c>
      <c r="D693" s="71" t="s">
        <v>78</v>
      </c>
      <c r="E693" s="107" t="s">
        <v>3802</v>
      </c>
      <c r="F693" s="63" t="s">
        <v>220</v>
      </c>
      <c r="G693" s="69">
        <v>4910.01</v>
      </c>
      <c r="T693" s="69"/>
      <c r="U693" s="69"/>
      <c r="AR693" s="94">
        <f t="shared" si="59"/>
        <v>4910.01</v>
      </c>
      <c r="AS693" s="69">
        <v>3507.48</v>
      </c>
      <c r="AT693" s="69">
        <f>17.48+27.6</f>
        <v>45.08</v>
      </c>
      <c r="AU693" s="69">
        <f>1015.52+167.51</f>
        <v>1183.03</v>
      </c>
      <c r="AV693" s="69">
        <f>47+2.09</f>
        <v>49.09</v>
      </c>
      <c r="AX693" s="69">
        <v>125.33</v>
      </c>
      <c r="BC693" s="69"/>
      <c r="BD693" s="69"/>
      <c r="CC693" s="94">
        <f t="shared" si="57"/>
        <v>4910.01</v>
      </c>
      <c r="CD693" s="73">
        <f t="shared" si="58"/>
        <v>0</v>
      </c>
      <c r="CE693" s="75">
        <f t="shared" si="56"/>
        <v>3351</v>
      </c>
      <c r="CF693" s="69" t="str">
        <f t="shared" si="56"/>
        <v>برنامج دولى</v>
      </c>
    </row>
    <row r="694" spans="2:86" ht="18.75" x14ac:dyDescent="0.25">
      <c r="B694" s="82">
        <v>2532</v>
      </c>
      <c r="C694" s="78">
        <v>3352</v>
      </c>
      <c r="D694" s="71" t="s">
        <v>78</v>
      </c>
      <c r="E694" s="107" t="s">
        <v>3802</v>
      </c>
      <c r="F694" s="63" t="s">
        <v>220</v>
      </c>
      <c r="G694" s="69">
        <v>10399.040000000001</v>
      </c>
      <c r="T694" s="69"/>
      <c r="U694" s="69"/>
      <c r="AR694" s="94">
        <f t="shared" si="59"/>
        <v>10399.040000000001</v>
      </c>
      <c r="AS694" s="69">
        <v>7749.54</v>
      </c>
      <c r="AT694" s="69">
        <f>71+58.5</f>
        <v>129.5</v>
      </c>
      <c r="AU694" s="69">
        <f>2150.78+354.78</f>
        <v>2505.5600000000004</v>
      </c>
      <c r="AV694" s="69">
        <f>10+4.44</f>
        <v>14.440000000000001</v>
      </c>
      <c r="BC694" s="69"/>
      <c r="BD694" s="69"/>
      <c r="CC694" s="94">
        <f t="shared" si="57"/>
        <v>10399.040000000001</v>
      </c>
      <c r="CD694" s="73">
        <f t="shared" si="58"/>
        <v>0</v>
      </c>
      <c r="CE694" s="75">
        <f t="shared" si="56"/>
        <v>3352</v>
      </c>
      <c r="CF694" s="69" t="str">
        <f t="shared" si="56"/>
        <v>برنامج دولى</v>
      </c>
    </row>
    <row r="695" spans="2:86" ht="18.75" x14ac:dyDescent="0.25">
      <c r="B695" s="82">
        <v>2533</v>
      </c>
      <c r="C695" s="78">
        <v>3353</v>
      </c>
      <c r="D695" s="71" t="s">
        <v>78</v>
      </c>
      <c r="E695" s="107" t="s">
        <v>3802</v>
      </c>
      <c r="F695" s="63" t="s">
        <v>220</v>
      </c>
      <c r="G695" s="69">
        <v>4910.01</v>
      </c>
      <c r="T695" s="69"/>
      <c r="U695" s="69"/>
      <c r="AR695" s="94">
        <f t="shared" si="59"/>
        <v>4910.01</v>
      </c>
      <c r="AS695" s="69">
        <v>3520.99</v>
      </c>
      <c r="AT695" s="69">
        <f>17.48+27.6</f>
        <v>45.08</v>
      </c>
      <c r="AU695" s="69">
        <f>1015.52+167.51</f>
        <v>1183.03</v>
      </c>
      <c r="AV695" s="69">
        <f>158.82+2.09</f>
        <v>160.91</v>
      </c>
      <c r="BC695" s="69"/>
      <c r="BD695" s="69"/>
      <c r="CC695" s="94">
        <f t="shared" si="57"/>
        <v>4910.0099999999993</v>
      </c>
      <c r="CD695" s="73">
        <f t="shared" si="58"/>
        <v>0</v>
      </c>
      <c r="CE695" s="75">
        <f t="shared" si="56"/>
        <v>3353</v>
      </c>
      <c r="CF695" s="69" t="str">
        <f t="shared" si="56"/>
        <v>برنامج دولى</v>
      </c>
    </row>
    <row r="696" spans="2:86" ht="18.75" x14ac:dyDescent="0.25">
      <c r="B696" s="82">
        <v>2534</v>
      </c>
      <c r="C696" s="78">
        <v>3354</v>
      </c>
      <c r="D696" s="71" t="s">
        <v>78</v>
      </c>
      <c r="E696" s="107" t="s">
        <v>3802</v>
      </c>
      <c r="F696" s="63" t="s">
        <v>220</v>
      </c>
      <c r="G696" s="69">
        <v>9820.02</v>
      </c>
      <c r="T696" s="69"/>
      <c r="U696" s="69"/>
      <c r="AR696" s="94">
        <f t="shared" si="59"/>
        <v>9820.02</v>
      </c>
      <c r="AS696" s="69">
        <v>7353.62</v>
      </c>
      <c r="AT696" s="69">
        <f>34.96+55.2</f>
        <v>90.16</v>
      </c>
      <c r="AU696" s="69">
        <f>2031.04+335.02</f>
        <v>2366.06</v>
      </c>
      <c r="AV696" s="69">
        <f>6+4.18</f>
        <v>10.18</v>
      </c>
      <c r="BC696" s="69"/>
      <c r="BD696" s="69"/>
      <c r="CC696" s="94">
        <f t="shared" si="57"/>
        <v>9820.02</v>
      </c>
      <c r="CD696" s="73">
        <f t="shared" si="58"/>
        <v>0</v>
      </c>
      <c r="CE696" s="75">
        <f t="shared" si="56"/>
        <v>3354</v>
      </c>
      <c r="CF696" s="69" t="str">
        <f t="shared" si="56"/>
        <v>برنامج دولى</v>
      </c>
    </row>
    <row r="697" spans="2:86" ht="18.75" x14ac:dyDescent="0.25">
      <c r="B697" s="82">
        <v>2535</v>
      </c>
      <c r="C697" s="78">
        <v>3355</v>
      </c>
      <c r="D697" s="71" t="s">
        <v>78</v>
      </c>
      <c r="E697" s="107" t="s">
        <v>3802</v>
      </c>
      <c r="F697" s="63" t="s">
        <v>220</v>
      </c>
      <c r="G697" s="69">
        <v>14177.58</v>
      </c>
      <c r="T697" s="69"/>
      <c r="U697" s="69"/>
      <c r="AR697" s="94">
        <f t="shared" si="59"/>
        <v>14177.58</v>
      </c>
      <c r="AS697" s="69">
        <v>10501.85</v>
      </c>
      <c r="AT697" s="69">
        <f>45.08+79.7</f>
        <v>124.78</v>
      </c>
      <c r="AU697" s="69">
        <f>2932.23+483.67</f>
        <v>3415.9</v>
      </c>
      <c r="AV697" s="69">
        <f>129+6.05</f>
        <v>135.05000000000001</v>
      </c>
      <c r="BC697" s="69"/>
      <c r="BD697" s="69"/>
      <c r="CC697" s="94">
        <f t="shared" si="57"/>
        <v>14177.58</v>
      </c>
      <c r="CD697" s="73">
        <f t="shared" si="58"/>
        <v>0</v>
      </c>
      <c r="CE697" s="75">
        <f t="shared" si="56"/>
        <v>3355</v>
      </c>
      <c r="CF697" s="69" t="str">
        <f t="shared" si="56"/>
        <v>برنامج دولى</v>
      </c>
    </row>
    <row r="698" spans="2:86" ht="18.75" x14ac:dyDescent="0.25">
      <c r="B698" s="82">
        <v>2536</v>
      </c>
      <c r="C698" s="78">
        <v>3356</v>
      </c>
      <c r="D698" s="71" t="s">
        <v>78</v>
      </c>
      <c r="E698" s="107" t="s">
        <v>3802</v>
      </c>
      <c r="F698" s="63" t="s">
        <v>220</v>
      </c>
      <c r="G698" s="69">
        <v>5199.5200000000004</v>
      </c>
      <c r="T698" s="69"/>
      <c r="U698" s="69"/>
      <c r="AR698" s="94">
        <f t="shared" si="59"/>
        <v>5199.5200000000004</v>
      </c>
      <c r="AS698" s="69">
        <v>3874.77</v>
      </c>
      <c r="AT698" s="69">
        <f>35.5+29.25</f>
        <v>64.75</v>
      </c>
      <c r="AU698" s="69">
        <f>1075.39+177.39</f>
        <v>1252.7800000000002</v>
      </c>
      <c r="AV698" s="69">
        <f>5+2.22</f>
        <v>7.2200000000000006</v>
      </c>
      <c r="BC698" s="69"/>
      <c r="BD698" s="69"/>
      <c r="CC698" s="94">
        <f t="shared" si="57"/>
        <v>5199.5200000000004</v>
      </c>
      <c r="CD698" s="73">
        <f t="shared" si="58"/>
        <v>0</v>
      </c>
      <c r="CE698" s="75">
        <f t="shared" si="56"/>
        <v>3356</v>
      </c>
      <c r="CF698" s="69" t="str">
        <f t="shared" si="56"/>
        <v>برنامج دولى</v>
      </c>
    </row>
    <row r="699" spans="2:86" ht="18.75" x14ac:dyDescent="0.25">
      <c r="B699" s="82">
        <v>2537</v>
      </c>
      <c r="C699" s="78">
        <v>3357</v>
      </c>
      <c r="D699" s="71" t="s">
        <v>78</v>
      </c>
      <c r="E699" s="107" t="s">
        <v>3802</v>
      </c>
      <c r="F699" s="63" t="s">
        <v>220</v>
      </c>
      <c r="G699" s="69">
        <v>4910.01</v>
      </c>
      <c r="T699" s="69"/>
      <c r="U699" s="69"/>
      <c r="AR699" s="94">
        <f t="shared" si="59"/>
        <v>4910.01</v>
      </c>
      <c r="AS699" s="69">
        <v>3676.81</v>
      </c>
      <c r="AT699" s="69">
        <f>17.48+27.6</f>
        <v>45.08</v>
      </c>
      <c r="AU699" s="69">
        <f>1015.52+167.51</f>
        <v>1183.03</v>
      </c>
      <c r="AV699" s="69">
        <f>3+2.09</f>
        <v>5.09</v>
      </c>
      <c r="BC699" s="69"/>
      <c r="BD699" s="69"/>
      <c r="CC699" s="94">
        <f t="shared" si="57"/>
        <v>4910.01</v>
      </c>
      <c r="CD699" s="73">
        <f t="shared" si="58"/>
        <v>0</v>
      </c>
      <c r="CE699" s="75">
        <f t="shared" si="56"/>
        <v>3357</v>
      </c>
      <c r="CF699" s="69" t="str">
        <f t="shared" si="56"/>
        <v>برنامج دولى</v>
      </c>
    </row>
    <row r="700" spans="2:86" ht="18.75" x14ac:dyDescent="0.25">
      <c r="B700" s="82">
        <v>2538</v>
      </c>
      <c r="C700" s="78">
        <v>3358</v>
      </c>
      <c r="D700" s="71" t="s">
        <v>78</v>
      </c>
      <c r="E700" s="107" t="s">
        <v>3802</v>
      </c>
      <c r="F700" s="63" t="s">
        <v>220</v>
      </c>
      <c r="G700" s="69">
        <v>4910.01</v>
      </c>
      <c r="T700" s="69"/>
      <c r="U700" s="69"/>
      <c r="AR700" s="94">
        <f t="shared" si="59"/>
        <v>4910.01</v>
      </c>
      <c r="AS700" s="69">
        <v>3676.81</v>
      </c>
      <c r="AT700" s="69">
        <f>17.48+27.6</f>
        <v>45.08</v>
      </c>
      <c r="AU700" s="69">
        <f>1015.52+167.51</f>
        <v>1183.03</v>
      </c>
      <c r="AV700" s="69">
        <f>3+2.09</f>
        <v>5.09</v>
      </c>
      <c r="BC700" s="69"/>
      <c r="BD700" s="69"/>
      <c r="CC700" s="94">
        <f t="shared" si="57"/>
        <v>4910.01</v>
      </c>
      <c r="CD700" s="73">
        <f t="shared" si="58"/>
        <v>0</v>
      </c>
      <c r="CE700" s="75">
        <f t="shared" si="56"/>
        <v>3358</v>
      </c>
      <c r="CF700" s="69" t="str">
        <f t="shared" si="56"/>
        <v>برنامج دولى</v>
      </c>
    </row>
    <row r="701" spans="2:86" ht="18.75" x14ac:dyDescent="0.25">
      <c r="B701" s="82">
        <v>2539</v>
      </c>
      <c r="C701" s="78">
        <v>3359</v>
      </c>
      <c r="D701" s="71" t="s">
        <v>78</v>
      </c>
      <c r="E701" s="107" t="s">
        <v>3802</v>
      </c>
      <c r="F701" s="63" t="s">
        <v>220</v>
      </c>
      <c r="G701" s="69">
        <v>5199.5200000000004</v>
      </c>
      <c r="T701" s="69"/>
      <c r="U701" s="69"/>
      <c r="AR701" s="94">
        <f t="shared" si="59"/>
        <v>5199.5200000000004</v>
      </c>
      <c r="AS701" s="69">
        <v>3876.77</v>
      </c>
      <c r="AT701" s="69">
        <f>35.5+29.25</f>
        <v>64.75</v>
      </c>
      <c r="AU701" s="69">
        <f>1075.39+177.39</f>
        <v>1252.7800000000002</v>
      </c>
      <c r="AV701" s="69">
        <f>3+2.22</f>
        <v>5.2200000000000006</v>
      </c>
      <c r="BC701" s="69"/>
      <c r="BD701" s="69"/>
      <c r="CC701" s="94">
        <f t="shared" si="57"/>
        <v>5199.5200000000004</v>
      </c>
      <c r="CD701" s="73">
        <f t="shared" si="58"/>
        <v>0</v>
      </c>
      <c r="CE701" s="75">
        <f t="shared" si="56"/>
        <v>3359</v>
      </c>
      <c r="CF701" s="69" t="str">
        <f t="shared" si="56"/>
        <v>برنامج دولى</v>
      </c>
    </row>
    <row r="702" spans="2:86" ht="18.75" x14ac:dyDescent="0.25">
      <c r="B702" s="82">
        <v>2540</v>
      </c>
      <c r="C702" s="78">
        <v>3360</v>
      </c>
      <c r="D702" s="71" t="s">
        <v>78</v>
      </c>
      <c r="E702" s="107" t="s">
        <v>3802</v>
      </c>
      <c r="F702" s="63" t="s">
        <v>220</v>
      </c>
      <c r="G702" s="69">
        <v>5199.5200000000004</v>
      </c>
      <c r="T702" s="69"/>
      <c r="U702" s="69"/>
      <c r="AR702" s="94">
        <f t="shared" si="59"/>
        <v>5199.5200000000004</v>
      </c>
      <c r="AS702" s="69">
        <v>3876.77</v>
      </c>
      <c r="AT702" s="69">
        <f>35.5+29.25</f>
        <v>64.75</v>
      </c>
      <c r="AU702" s="69">
        <f>1075.39+177.39</f>
        <v>1252.7800000000002</v>
      </c>
      <c r="AV702" s="69">
        <f>3+2.22</f>
        <v>5.2200000000000006</v>
      </c>
      <c r="BC702" s="69"/>
      <c r="BD702" s="69"/>
      <c r="CC702" s="94">
        <f t="shared" si="57"/>
        <v>5199.5200000000004</v>
      </c>
      <c r="CD702" s="73">
        <f t="shared" si="58"/>
        <v>0</v>
      </c>
      <c r="CE702" s="75">
        <f t="shared" si="56"/>
        <v>3360</v>
      </c>
      <c r="CF702" s="69" t="str">
        <f t="shared" si="56"/>
        <v>برنامج دولى</v>
      </c>
    </row>
    <row r="703" spans="2:86" ht="18.75" x14ac:dyDescent="0.25">
      <c r="B703" s="82">
        <v>2541</v>
      </c>
      <c r="C703" s="78">
        <v>3361</v>
      </c>
      <c r="D703" s="71" t="s">
        <v>78</v>
      </c>
      <c r="E703" s="107" t="s">
        <v>3802</v>
      </c>
      <c r="F703" s="63" t="s">
        <v>220</v>
      </c>
      <c r="G703" s="69">
        <v>5201.87</v>
      </c>
      <c r="T703" s="69"/>
      <c r="U703" s="69"/>
      <c r="AR703" s="94">
        <f t="shared" si="59"/>
        <v>5201.87</v>
      </c>
      <c r="AS703" s="69">
        <v>3878.37</v>
      </c>
      <c r="AT703" s="69">
        <f>35.68+29.25</f>
        <v>64.930000000000007</v>
      </c>
      <c r="AU703" s="69">
        <f>1075.88+177.47</f>
        <v>1253.3500000000001</v>
      </c>
      <c r="AV703" s="69">
        <f>3+2.22</f>
        <v>5.2200000000000006</v>
      </c>
      <c r="BC703" s="69"/>
      <c r="BD703" s="69"/>
      <c r="CC703" s="94">
        <f t="shared" si="57"/>
        <v>5201.87</v>
      </c>
      <c r="CD703" s="73">
        <f t="shared" si="58"/>
        <v>0</v>
      </c>
      <c r="CE703" s="75">
        <f t="shared" si="56"/>
        <v>3361</v>
      </c>
      <c r="CF703" s="69" t="str">
        <f t="shared" si="56"/>
        <v>برنامج دولى</v>
      </c>
    </row>
    <row r="704" spans="2:86" s="68" customFormat="1" ht="18.75" x14ac:dyDescent="0.25">
      <c r="B704" s="83"/>
      <c r="C704" s="84"/>
      <c r="D704" s="85"/>
      <c r="E704" s="108" t="s">
        <v>3803</v>
      </c>
      <c r="G704" s="68">
        <f>SUM(G658:G703)</f>
        <v>2180998.4199999995</v>
      </c>
      <c r="H704" s="68">
        <f t="shared" ref="H704:BS704" si="60">SUM(H658:H703)</f>
        <v>0</v>
      </c>
      <c r="I704" s="68">
        <f t="shared" si="60"/>
        <v>0</v>
      </c>
      <c r="J704" s="68">
        <f t="shared" si="60"/>
        <v>0</v>
      </c>
      <c r="K704" s="68">
        <f t="shared" si="60"/>
        <v>0</v>
      </c>
      <c r="L704" s="68">
        <f t="shared" si="60"/>
        <v>0</v>
      </c>
      <c r="M704" s="68">
        <f t="shared" si="60"/>
        <v>0</v>
      </c>
      <c r="N704" s="68">
        <f t="shared" si="60"/>
        <v>0</v>
      </c>
      <c r="O704" s="68">
        <f t="shared" si="60"/>
        <v>0</v>
      </c>
      <c r="P704" s="68">
        <f t="shared" si="60"/>
        <v>0</v>
      </c>
      <c r="Q704" s="68">
        <f t="shared" si="60"/>
        <v>0</v>
      </c>
      <c r="R704" s="68">
        <f t="shared" si="60"/>
        <v>0</v>
      </c>
      <c r="S704" s="68">
        <f t="shared" si="60"/>
        <v>0</v>
      </c>
      <c r="T704" s="68">
        <f t="shared" si="60"/>
        <v>0</v>
      </c>
      <c r="U704" s="68">
        <f t="shared" si="60"/>
        <v>0</v>
      </c>
      <c r="V704" s="68">
        <f t="shared" si="60"/>
        <v>0</v>
      </c>
      <c r="W704" s="68">
        <f t="shared" si="60"/>
        <v>0</v>
      </c>
      <c r="X704" s="68">
        <f t="shared" si="60"/>
        <v>0</v>
      </c>
      <c r="Y704" s="68">
        <f t="shared" si="60"/>
        <v>0</v>
      </c>
      <c r="Z704" s="68">
        <f t="shared" si="60"/>
        <v>0</v>
      </c>
      <c r="AA704" s="68">
        <f t="shared" si="60"/>
        <v>0</v>
      </c>
      <c r="AB704" s="68">
        <f t="shared" si="60"/>
        <v>0</v>
      </c>
      <c r="AC704" s="68">
        <f t="shared" si="60"/>
        <v>0</v>
      </c>
      <c r="AD704" s="68">
        <f t="shared" si="60"/>
        <v>0</v>
      </c>
      <c r="AE704" s="68">
        <f t="shared" si="60"/>
        <v>0</v>
      </c>
      <c r="AF704" s="68">
        <f t="shared" si="60"/>
        <v>0</v>
      </c>
      <c r="AG704" s="68">
        <f t="shared" si="60"/>
        <v>0</v>
      </c>
      <c r="AH704" s="68">
        <f t="shared" si="60"/>
        <v>0</v>
      </c>
      <c r="AI704" s="68">
        <f t="shared" si="60"/>
        <v>0</v>
      </c>
      <c r="AJ704" s="68">
        <f t="shared" si="60"/>
        <v>0</v>
      </c>
      <c r="AK704" s="68">
        <f t="shared" si="60"/>
        <v>0</v>
      </c>
      <c r="AL704" s="68">
        <f t="shared" si="60"/>
        <v>0</v>
      </c>
      <c r="AM704" s="68">
        <f t="shared" si="60"/>
        <v>0</v>
      </c>
      <c r="AN704" s="68">
        <f t="shared" si="60"/>
        <v>60.58</v>
      </c>
      <c r="AO704" s="68">
        <f t="shared" si="60"/>
        <v>0</v>
      </c>
      <c r="AP704" s="68">
        <f t="shared" si="60"/>
        <v>0</v>
      </c>
      <c r="AQ704" s="68">
        <f t="shared" si="60"/>
        <v>0</v>
      </c>
      <c r="AR704" s="68">
        <f t="shared" si="60"/>
        <v>2181058.9999999995</v>
      </c>
      <c r="AS704" s="68">
        <f t="shared" si="60"/>
        <v>1604632.550000001</v>
      </c>
      <c r="AT704" s="68">
        <f t="shared" si="60"/>
        <v>22256.740000000005</v>
      </c>
      <c r="AU704" s="68">
        <f t="shared" si="60"/>
        <v>531489.3400000002</v>
      </c>
      <c r="AV704" s="68">
        <f t="shared" si="60"/>
        <v>21446.679999999997</v>
      </c>
      <c r="AW704" s="68">
        <f t="shared" si="60"/>
        <v>0</v>
      </c>
      <c r="AX704" s="68">
        <f t="shared" si="60"/>
        <v>1210.26</v>
      </c>
      <c r="AY704" s="68">
        <f t="shared" si="60"/>
        <v>0</v>
      </c>
      <c r="AZ704" s="68">
        <f t="shared" si="60"/>
        <v>0</v>
      </c>
      <c r="BA704" s="68">
        <f t="shared" si="60"/>
        <v>0</v>
      </c>
      <c r="BB704" s="68">
        <f t="shared" si="60"/>
        <v>0</v>
      </c>
      <c r="BC704" s="68">
        <f t="shared" si="60"/>
        <v>0</v>
      </c>
      <c r="BD704" s="68">
        <f t="shared" si="60"/>
        <v>0</v>
      </c>
      <c r="BE704" s="68">
        <f t="shared" si="60"/>
        <v>0</v>
      </c>
      <c r="BF704" s="68">
        <f t="shared" si="60"/>
        <v>0</v>
      </c>
      <c r="BG704" s="68">
        <f t="shared" si="60"/>
        <v>0</v>
      </c>
      <c r="BH704" s="68">
        <f t="shared" si="60"/>
        <v>0</v>
      </c>
      <c r="BI704" s="68">
        <f t="shared" si="60"/>
        <v>0</v>
      </c>
      <c r="BJ704" s="68">
        <f t="shared" si="60"/>
        <v>0</v>
      </c>
      <c r="BK704" s="68">
        <f t="shared" si="60"/>
        <v>0</v>
      </c>
      <c r="BL704" s="68">
        <f t="shared" si="60"/>
        <v>0</v>
      </c>
      <c r="BM704" s="68">
        <f t="shared" si="60"/>
        <v>0</v>
      </c>
      <c r="BN704" s="68">
        <f t="shared" si="60"/>
        <v>0</v>
      </c>
      <c r="BO704" s="68">
        <f t="shared" si="60"/>
        <v>0</v>
      </c>
      <c r="BP704" s="68">
        <f t="shared" si="60"/>
        <v>0</v>
      </c>
      <c r="BQ704" s="68">
        <f t="shared" si="60"/>
        <v>0</v>
      </c>
      <c r="BR704" s="68">
        <f t="shared" si="60"/>
        <v>0</v>
      </c>
      <c r="BS704" s="68">
        <f t="shared" si="60"/>
        <v>0</v>
      </c>
      <c r="BT704" s="68">
        <f t="shared" ref="BT704:CH704" si="61">SUM(BT658:BT703)</f>
        <v>0</v>
      </c>
      <c r="BU704" s="68">
        <f t="shared" si="61"/>
        <v>0</v>
      </c>
      <c r="BV704" s="68">
        <f t="shared" si="61"/>
        <v>0</v>
      </c>
      <c r="BW704" s="68">
        <f t="shared" si="61"/>
        <v>0</v>
      </c>
      <c r="BX704" s="68">
        <f t="shared" si="61"/>
        <v>0</v>
      </c>
      <c r="BY704" s="68">
        <f t="shared" si="61"/>
        <v>0</v>
      </c>
      <c r="BZ704" s="68">
        <f t="shared" si="61"/>
        <v>0</v>
      </c>
      <c r="CA704" s="68">
        <f t="shared" si="61"/>
        <v>0</v>
      </c>
      <c r="CB704" s="68">
        <f t="shared" si="61"/>
        <v>23.43</v>
      </c>
      <c r="CC704" s="68">
        <f t="shared" si="61"/>
        <v>2181058.9999999995</v>
      </c>
      <c r="CD704" s="68">
        <f t="shared" si="61"/>
        <v>0</v>
      </c>
      <c r="CF704" s="68">
        <f t="shared" si="61"/>
        <v>0</v>
      </c>
      <c r="CG704" s="68">
        <f t="shared" si="61"/>
        <v>0</v>
      </c>
      <c r="CH704" s="68">
        <f t="shared" si="61"/>
        <v>0</v>
      </c>
    </row>
    <row r="705" spans="2:84" ht="18.75" x14ac:dyDescent="0.25">
      <c r="B705" s="82"/>
      <c r="C705" s="78">
        <v>3362</v>
      </c>
      <c r="D705" s="71" t="s">
        <v>1431</v>
      </c>
      <c r="E705" s="107" t="s">
        <v>3804</v>
      </c>
      <c r="T705" s="69"/>
      <c r="U705" s="69"/>
      <c r="AR705" s="94">
        <f t="shared" si="59"/>
        <v>0</v>
      </c>
      <c r="AT705" s="69"/>
      <c r="BC705" s="69"/>
      <c r="BD705" s="69"/>
      <c r="CC705" s="94">
        <f t="shared" si="57"/>
        <v>0</v>
      </c>
      <c r="CD705" s="73">
        <f t="shared" si="58"/>
        <v>0</v>
      </c>
      <c r="CE705" s="75">
        <f t="shared" si="56"/>
        <v>3362</v>
      </c>
      <c r="CF705" s="69" t="str">
        <f t="shared" si="56"/>
        <v>لاب فقط</v>
      </c>
    </row>
    <row r="706" spans="2:84" ht="18.75" x14ac:dyDescent="0.25">
      <c r="B706" s="82"/>
      <c r="C706" s="78">
        <v>3363</v>
      </c>
      <c r="D706" s="71" t="s">
        <v>1431</v>
      </c>
      <c r="E706" s="107" t="s">
        <v>3805</v>
      </c>
      <c r="T706" s="69"/>
      <c r="U706" s="69"/>
      <c r="AR706" s="94">
        <f t="shared" si="59"/>
        <v>0</v>
      </c>
      <c r="AT706" s="69"/>
      <c r="BC706" s="69"/>
      <c r="BD706" s="69"/>
      <c r="CC706" s="94">
        <f t="shared" si="57"/>
        <v>0</v>
      </c>
      <c r="CD706" s="73">
        <f t="shared" si="58"/>
        <v>0</v>
      </c>
      <c r="CE706" s="75">
        <f t="shared" si="56"/>
        <v>3363</v>
      </c>
      <c r="CF706" s="69" t="str">
        <f t="shared" si="56"/>
        <v>لاب فقط</v>
      </c>
    </row>
    <row r="707" spans="2:84" ht="18.75" x14ac:dyDescent="0.25">
      <c r="B707" s="82"/>
      <c r="C707" s="78">
        <v>3364</v>
      </c>
      <c r="D707" s="71" t="s">
        <v>1431</v>
      </c>
      <c r="E707" s="107" t="s">
        <v>3806</v>
      </c>
      <c r="T707" s="69"/>
      <c r="U707" s="69"/>
      <c r="AR707" s="94">
        <f t="shared" si="59"/>
        <v>0</v>
      </c>
      <c r="AT707" s="69"/>
      <c r="BC707" s="69"/>
      <c r="BD707" s="69"/>
      <c r="CC707" s="94">
        <f t="shared" si="57"/>
        <v>0</v>
      </c>
      <c r="CD707" s="73">
        <f t="shared" si="58"/>
        <v>0</v>
      </c>
      <c r="CE707" s="75">
        <f t="shared" si="56"/>
        <v>3364</v>
      </c>
      <c r="CF707" s="69" t="str">
        <f t="shared" si="56"/>
        <v>لاب فقط</v>
      </c>
    </row>
    <row r="708" spans="2:84" ht="18.75" x14ac:dyDescent="0.25">
      <c r="B708" s="82"/>
      <c r="C708" s="78">
        <v>3365</v>
      </c>
      <c r="D708" s="71" t="s">
        <v>1431</v>
      </c>
      <c r="E708" s="107" t="s">
        <v>3807</v>
      </c>
      <c r="T708" s="69"/>
      <c r="U708" s="69"/>
      <c r="AR708" s="94">
        <f t="shared" si="59"/>
        <v>0</v>
      </c>
      <c r="AT708" s="69"/>
      <c r="BC708" s="69"/>
      <c r="BD708" s="69"/>
      <c r="CC708" s="94">
        <f t="shared" si="57"/>
        <v>0</v>
      </c>
      <c r="CD708" s="73">
        <f t="shared" si="58"/>
        <v>0</v>
      </c>
      <c r="CE708" s="75">
        <f t="shared" si="56"/>
        <v>3365</v>
      </c>
      <c r="CF708" s="69" t="str">
        <f t="shared" si="56"/>
        <v>لاب فقط</v>
      </c>
    </row>
    <row r="709" spans="2:84" ht="18.75" x14ac:dyDescent="0.25">
      <c r="B709" s="82">
        <v>4990</v>
      </c>
      <c r="C709" s="78">
        <v>3366</v>
      </c>
      <c r="D709" s="71" t="s">
        <v>78</v>
      </c>
      <c r="E709" s="107" t="s">
        <v>2501</v>
      </c>
      <c r="G709" s="69">
        <v>322.44</v>
      </c>
      <c r="T709" s="69"/>
      <c r="U709" s="69"/>
      <c r="AR709" s="94">
        <f t="shared" si="59"/>
        <v>322.44</v>
      </c>
      <c r="AS709" s="69">
        <v>215.95</v>
      </c>
      <c r="AT709" s="69">
        <v>28.8</v>
      </c>
      <c r="AU709" s="69">
        <v>77.69</v>
      </c>
      <c r="BC709" s="69"/>
      <c r="BD709" s="69"/>
      <c r="CC709" s="94">
        <f t="shared" si="57"/>
        <v>322.44</v>
      </c>
      <c r="CD709" s="73">
        <f t="shared" si="58"/>
        <v>0</v>
      </c>
      <c r="CE709" s="75">
        <f t="shared" si="56"/>
        <v>3366</v>
      </c>
      <c r="CF709" s="69" t="str">
        <f t="shared" si="56"/>
        <v>برنامج دولى</v>
      </c>
    </row>
    <row r="710" spans="2:84" ht="18.75" x14ac:dyDescent="0.25">
      <c r="B710" s="82">
        <v>4991</v>
      </c>
      <c r="C710" s="78">
        <v>3367</v>
      </c>
      <c r="D710" s="71" t="s">
        <v>78</v>
      </c>
      <c r="E710" s="107" t="s">
        <v>2501</v>
      </c>
      <c r="G710" s="69">
        <v>2630.32</v>
      </c>
      <c r="T710" s="69"/>
      <c r="U710" s="69"/>
      <c r="AR710" s="94">
        <f t="shared" si="59"/>
        <v>2630.32</v>
      </c>
      <c r="AS710" s="69">
        <v>1925.4</v>
      </c>
      <c r="AT710" s="69">
        <v>245.85</v>
      </c>
      <c r="AU710" s="69">
        <v>459.07</v>
      </c>
      <c r="BC710" s="69"/>
      <c r="BD710" s="69"/>
      <c r="CC710" s="94">
        <f t="shared" si="57"/>
        <v>2630.32</v>
      </c>
      <c r="CD710" s="73">
        <f t="shared" si="58"/>
        <v>0</v>
      </c>
      <c r="CE710" s="75">
        <f t="shared" si="56"/>
        <v>3367</v>
      </c>
      <c r="CF710" s="69" t="str">
        <f t="shared" si="56"/>
        <v>برنامج دولى</v>
      </c>
    </row>
    <row r="711" spans="2:84" ht="18.75" x14ac:dyDescent="0.25">
      <c r="B711" s="82">
        <v>4992</v>
      </c>
      <c r="C711" s="78">
        <v>3368</v>
      </c>
      <c r="D711" s="71" t="s">
        <v>78</v>
      </c>
      <c r="E711" s="107" t="s">
        <v>3808</v>
      </c>
      <c r="G711" s="69">
        <v>1876</v>
      </c>
      <c r="T711" s="69"/>
      <c r="U711" s="69"/>
      <c r="AR711" s="94">
        <f t="shared" si="59"/>
        <v>1876</v>
      </c>
      <c r="AS711" s="69">
        <v>1256.05</v>
      </c>
      <c r="AT711" s="69">
        <f>7.95+160</f>
        <v>167.95</v>
      </c>
      <c r="AU711" s="69">
        <f>619.95-AT711</f>
        <v>452.00000000000006</v>
      </c>
      <c r="BC711" s="69"/>
      <c r="BD711" s="69"/>
      <c r="CC711" s="94">
        <f t="shared" si="57"/>
        <v>1876</v>
      </c>
      <c r="CD711" s="73">
        <f t="shared" si="58"/>
        <v>0</v>
      </c>
      <c r="CE711" s="75">
        <f t="shared" si="56"/>
        <v>3368</v>
      </c>
      <c r="CF711" s="69" t="str">
        <f t="shared" si="56"/>
        <v>برنامج دولى</v>
      </c>
    </row>
    <row r="712" spans="2:84" ht="18.75" x14ac:dyDescent="0.25">
      <c r="B712" s="82">
        <v>5123</v>
      </c>
      <c r="C712" s="78">
        <v>3369</v>
      </c>
      <c r="D712" s="71" t="s">
        <v>78</v>
      </c>
      <c r="E712" s="107" t="s">
        <v>3809</v>
      </c>
      <c r="G712" s="69">
        <v>9492</v>
      </c>
      <c r="T712" s="69"/>
      <c r="U712" s="69"/>
      <c r="AR712" s="94">
        <f t="shared" si="59"/>
        <v>9492</v>
      </c>
      <c r="AS712" s="69">
        <v>8472.7000000000007</v>
      </c>
      <c r="AT712" s="69">
        <v>1019.3</v>
      </c>
      <c r="BC712" s="69"/>
      <c r="BD712" s="69"/>
      <c r="CC712" s="94">
        <f t="shared" si="57"/>
        <v>9492</v>
      </c>
      <c r="CD712" s="73">
        <f t="shared" si="58"/>
        <v>0</v>
      </c>
      <c r="CE712" s="75">
        <f t="shared" si="56"/>
        <v>3369</v>
      </c>
      <c r="CF712" s="69" t="str">
        <f t="shared" si="56"/>
        <v>برنامج دولى</v>
      </c>
    </row>
    <row r="713" spans="2:84" ht="18.75" x14ac:dyDescent="0.25">
      <c r="B713" s="82">
        <v>4987</v>
      </c>
      <c r="C713" s="78">
        <v>3370</v>
      </c>
      <c r="D713" s="71" t="s">
        <v>78</v>
      </c>
      <c r="E713" s="107" t="str">
        <f>+E710</f>
        <v>مكافاه مراقبه امتحانات</v>
      </c>
      <c r="G713" s="69">
        <v>75</v>
      </c>
      <c r="T713" s="69"/>
      <c r="U713" s="69"/>
      <c r="AR713" s="94">
        <f t="shared" si="59"/>
        <v>75</v>
      </c>
      <c r="AS713" s="69">
        <v>67.349999999999994</v>
      </c>
      <c r="AT713" s="69">
        <v>7.65</v>
      </c>
      <c r="BC713" s="69"/>
      <c r="BD713" s="69"/>
      <c r="CC713" s="94">
        <f t="shared" si="57"/>
        <v>75</v>
      </c>
      <c r="CD713" s="73">
        <f t="shared" si="58"/>
        <v>0</v>
      </c>
      <c r="CE713" s="75">
        <f t="shared" si="56"/>
        <v>3370</v>
      </c>
      <c r="CF713" s="69" t="str">
        <f t="shared" si="56"/>
        <v>برنامج دولى</v>
      </c>
    </row>
    <row r="714" spans="2:84" ht="18.75" x14ac:dyDescent="0.25">
      <c r="B714" s="82">
        <v>4988</v>
      </c>
      <c r="C714" s="78">
        <v>3371</v>
      </c>
      <c r="D714" s="71" t="s">
        <v>78</v>
      </c>
      <c r="E714" s="107" t="str">
        <f>+E713</f>
        <v>مكافاه مراقبه امتحانات</v>
      </c>
      <c r="G714" s="69">
        <v>5256.19</v>
      </c>
      <c r="T714" s="69"/>
      <c r="U714" s="69"/>
      <c r="AR714" s="94">
        <f t="shared" si="59"/>
        <v>5256.19</v>
      </c>
      <c r="AS714" s="69">
        <v>3510.77</v>
      </c>
      <c r="AT714" s="69">
        <v>466.05</v>
      </c>
      <c r="AU714" s="69">
        <v>1279.3699999999999</v>
      </c>
      <c r="BC714" s="69"/>
      <c r="BD714" s="69"/>
      <c r="CC714" s="94">
        <f t="shared" si="57"/>
        <v>5256.1900000000005</v>
      </c>
      <c r="CD714" s="73">
        <f t="shared" si="58"/>
        <v>0</v>
      </c>
      <c r="CE714" s="75">
        <f t="shared" si="56"/>
        <v>3371</v>
      </c>
      <c r="CF714" s="69" t="str">
        <f t="shared" si="56"/>
        <v>برنامج دولى</v>
      </c>
    </row>
    <row r="715" spans="2:84" ht="18.75" x14ac:dyDescent="0.25">
      <c r="B715" s="82">
        <v>4077</v>
      </c>
      <c r="C715" s="78">
        <v>3372</v>
      </c>
      <c r="D715" s="71" t="s">
        <v>78</v>
      </c>
      <c r="E715" s="107" t="s">
        <v>1005</v>
      </c>
      <c r="G715" s="69">
        <v>3384.9</v>
      </c>
      <c r="T715" s="69"/>
      <c r="U715" s="69"/>
      <c r="AR715" s="94">
        <f t="shared" si="59"/>
        <v>3384.9</v>
      </c>
      <c r="AS715" s="69">
        <v>2804</v>
      </c>
      <c r="AT715" s="69">
        <v>343.6</v>
      </c>
      <c r="AU715" s="69">
        <v>237.3</v>
      </c>
      <c r="BC715" s="69"/>
      <c r="BD715" s="69"/>
      <c r="CC715" s="94">
        <f t="shared" si="57"/>
        <v>3384.9</v>
      </c>
      <c r="CD715" s="73">
        <f t="shared" si="58"/>
        <v>0</v>
      </c>
      <c r="CE715" s="75">
        <f t="shared" si="56"/>
        <v>3372</v>
      </c>
      <c r="CF715" s="69" t="str">
        <f t="shared" si="56"/>
        <v>برنامج دولى</v>
      </c>
    </row>
    <row r="716" spans="2:84" ht="18.75" x14ac:dyDescent="0.25">
      <c r="B716" s="82">
        <v>4076</v>
      </c>
      <c r="C716" s="78">
        <v>3373</v>
      </c>
      <c r="D716" s="71" t="s">
        <v>78</v>
      </c>
      <c r="E716" s="107" t="s">
        <v>1005</v>
      </c>
      <c r="G716" s="69">
        <v>844.2</v>
      </c>
      <c r="T716" s="69"/>
      <c r="U716" s="69"/>
      <c r="AR716" s="94">
        <f t="shared" si="59"/>
        <v>844.2</v>
      </c>
      <c r="AS716" s="69">
        <v>565.20000000000005</v>
      </c>
      <c r="AT716" s="69">
        <v>75.599999999999994</v>
      </c>
      <c r="AU716" s="69">
        <v>203.4</v>
      </c>
      <c r="BC716" s="69"/>
      <c r="BD716" s="69"/>
      <c r="CC716" s="94">
        <f t="shared" si="57"/>
        <v>844.2</v>
      </c>
      <c r="CD716" s="73">
        <f t="shared" si="58"/>
        <v>0</v>
      </c>
      <c r="CE716" s="75">
        <f t="shared" si="56"/>
        <v>3373</v>
      </c>
      <c r="CF716" s="69" t="str">
        <f t="shared" si="56"/>
        <v>برنامج دولى</v>
      </c>
    </row>
    <row r="717" spans="2:84" ht="18.75" x14ac:dyDescent="0.25">
      <c r="B717" s="82">
        <v>5521</v>
      </c>
      <c r="C717" s="78">
        <v>3374</v>
      </c>
      <c r="D717" s="71" t="s">
        <v>78</v>
      </c>
      <c r="E717" s="107" t="s">
        <v>569</v>
      </c>
      <c r="G717" s="69">
        <v>50415</v>
      </c>
      <c r="T717" s="69"/>
      <c r="U717" s="69"/>
      <c r="AR717" s="94">
        <f t="shared" si="59"/>
        <v>50415</v>
      </c>
      <c r="AS717" s="69">
        <v>44977.3</v>
      </c>
      <c r="AT717" s="69">
        <v>5437.7</v>
      </c>
      <c r="BC717" s="69"/>
      <c r="BD717" s="69"/>
      <c r="CC717" s="94">
        <f t="shared" si="57"/>
        <v>50415</v>
      </c>
      <c r="CD717" s="73">
        <f t="shared" si="58"/>
        <v>0</v>
      </c>
      <c r="CE717" s="75">
        <f t="shared" si="56"/>
        <v>3374</v>
      </c>
      <c r="CF717" s="69" t="str">
        <f t="shared" si="56"/>
        <v>برنامج دولى</v>
      </c>
    </row>
    <row r="718" spans="2:84" ht="18.75" x14ac:dyDescent="0.25">
      <c r="B718" s="82">
        <v>5516</v>
      </c>
      <c r="C718" s="78">
        <v>3375</v>
      </c>
      <c r="D718" s="71" t="s">
        <v>78</v>
      </c>
      <c r="E718" s="107" t="s">
        <v>1010</v>
      </c>
      <c r="G718" s="69">
        <v>3442.8</v>
      </c>
      <c r="T718" s="69"/>
      <c r="U718" s="69"/>
      <c r="AR718" s="94">
        <f t="shared" si="59"/>
        <v>3442.8</v>
      </c>
      <c r="AS718" s="69">
        <v>2949.5</v>
      </c>
      <c r="AT718" s="69">
        <v>357.7</v>
      </c>
      <c r="AU718" s="69">
        <v>135.6</v>
      </c>
      <c r="BC718" s="69"/>
      <c r="BD718" s="69"/>
      <c r="CC718" s="94">
        <f t="shared" si="57"/>
        <v>3442.7999999999997</v>
      </c>
      <c r="CD718" s="73">
        <f t="shared" si="58"/>
        <v>0</v>
      </c>
      <c r="CE718" s="75">
        <f t="shared" si="56"/>
        <v>3375</v>
      </c>
      <c r="CF718" s="69" t="str">
        <f t="shared" si="56"/>
        <v>برنامج دولى</v>
      </c>
    </row>
    <row r="719" spans="2:84" ht="18.75" x14ac:dyDescent="0.25">
      <c r="B719" s="82">
        <v>5515</v>
      </c>
      <c r="C719" s="78">
        <v>3376</v>
      </c>
      <c r="D719" s="71" t="s">
        <v>78</v>
      </c>
      <c r="E719" s="107" t="s">
        <v>1010</v>
      </c>
      <c r="G719" s="69">
        <v>351.93</v>
      </c>
      <c r="T719" s="69"/>
      <c r="U719" s="69"/>
      <c r="AR719" s="94">
        <f t="shared" ref="AR719:AR782" si="62">SUM(G719:AQ719)</f>
        <v>351.93</v>
      </c>
      <c r="AS719" s="69">
        <v>265.99</v>
      </c>
      <c r="AT719" s="69">
        <v>33.65</v>
      </c>
      <c r="AU719" s="69">
        <v>52.29</v>
      </c>
      <c r="BC719" s="69"/>
      <c r="BD719" s="69"/>
      <c r="CC719" s="94">
        <f t="shared" si="57"/>
        <v>351.93</v>
      </c>
      <c r="CD719" s="73">
        <f t="shared" si="58"/>
        <v>0</v>
      </c>
      <c r="CE719" s="75">
        <f t="shared" si="56"/>
        <v>3376</v>
      </c>
      <c r="CF719" s="69" t="str">
        <f t="shared" si="56"/>
        <v>برنامج دولى</v>
      </c>
    </row>
    <row r="720" spans="2:84" ht="18.75" x14ac:dyDescent="0.25">
      <c r="B720" s="82">
        <v>5534</v>
      </c>
      <c r="C720" s="78">
        <v>3377</v>
      </c>
      <c r="D720" s="71" t="s">
        <v>78</v>
      </c>
      <c r="E720" s="107" t="s">
        <v>3810</v>
      </c>
      <c r="G720" s="69">
        <v>14145</v>
      </c>
      <c r="T720" s="69"/>
      <c r="U720" s="69"/>
      <c r="AR720" s="94">
        <f t="shared" si="62"/>
        <v>14145</v>
      </c>
      <c r="AS720" s="69">
        <v>12637.25</v>
      </c>
      <c r="AT720" s="69">
        <v>1507.75</v>
      </c>
      <c r="BC720" s="69"/>
      <c r="BD720" s="69"/>
      <c r="CC720" s="94">
        <f t="shared" si="57"/>
        <v>14145</v>
      </c>
      <c r="CD720" s="73">
        <f t="shared" si="58"/>
        <v>0</v>
      </c>
      <c r="CE720" s="75">
        <f t="shared" si="56"/>
        <v>3377</v>
      </c>
      <c r="CF720" s="69" t="str">
        <f t="shared" si="56"/>
        <v>برنامج دولى</v>
      </c>
    </row>
    <row r="721" spans="2:84" ht="18.75" x14ac:dyDescent="0.25">
      <c r="B721" s="82">
        <v>5533</v>
      </c>
      <c r="C721" s="78">
        <v>3378</v>
      </c>
      <c r="D721" s="71" t="s">
        <v>78</v>
      </c>
      <c r="E721" s="107" t="s">
        <v>3810</v>
      </c>
      <c r="G721" s="69">
        <v>2922.45</v>
      </c>
      <c r="T721" s="69"/>
      <c r="U721" s="69"/>
      <c r="AR721" s="94">
        <f t="shared" si="62"/>
        <v>2922.45</v>
      </c>
      <c r="AS721" s="69">
        <v>2500.0500000000002</v>
      </c>
      <c r="AT721" s="69">
        <v>303.75</v>
      </c>
      <c r="AU721" s="69">
        <v>118.65</v>
      </c>
      <c r="BC721" s="69"/>
      <c r="BD721" s="69"/>
      <c r="CC721" s="94">
        <f t="shared" si="57"/>
        <v>2922.4500000000003</v>
      </c>
      <c r="CD721" s="73">
        <f t="shared" si="58"/>
        <v>0</v>
      </c>
      <c r="CE721" s="75">
        <f t="shared" si="56"/>
        <v>3378</v>
      </c>
      <c r="CF721" s="69" t="str">
        <f t="shared" si="56"/>
        <v>برنامج دولى</v>
      </c>
    </row>
    <row r="722" spans="2:84" ht="18.75" x14ac:dyDescent="0.25">
      <c r="B722" s="82">
        <v>5526</v>
      </c>
      <c r="C722" s="78">
        <v>3379</v>
      </c>
      <c r="D722" s="71" t="s">
        <v>78</v>
      </c>
      <c r="E722" s="107" t="s">
        <v>2501</v>
      </c>
      <c r="G722" s="69">
        <v>4352.32</v>
      </c>
      <c r="T722" s="69"/>
      <c r="U722" s="69"/>
      <c r="AR722" s="94">
        <f t="shared" si="62"/>
        <v>4352.32</v>
      </c>
      <c r="AS722" s="69">
        <v>3668.16</v>
      </c>
      <c r="AT722" s="69">
        <v>434.7</v>
      </c>
      <c r="AU722" s="69">
        <v>249.46</v>
      </c>
      <c r="BC722" s="69"/>
      <c r="BD722" s="69"/>
      <c r="CC722" s="94">
        <f t="shared" si="57"/>
        <v>4352.32</v>
      </c>
      <c r="CD722" s="73">
        <f t="shared" si="58"/>
        <v>0</v>
      </c>
      <c r="CE722" s="75">
        <f t="shared" si="56"/>
        <v>3379</v>
      </c>
      <c r="CF722" s="69" t="str">
        <f t="shared" si="56"/>
        <v>برنامج دولى</v>
      </c>
    </row>
    <row r="723" spans="2:84" ht="18.75" x14ac:dyDescent="0.25">
      <c r="B723" s="82">
        <v>5528</v>
      </c>
      <c r="C723" s="78">
        <v>3380</v>
      </c>
      <c r="D723" s="71" t="s">
        <v>78</v>
      </c>
      <c r="E723" s="107" t="s">
        <v>2501</v>
      </c>
      <c r="G723" s="69">
        <v>7403.04</v>
      </c>
      <c r="T723" s="69"/>
      <c r="U723" s="69"/>
      <c r="AR723" s="94">
        <f t="shared" si="62"/>
        <v>7403.04</v>
      </c>
      <c r="AS723" s="69">
        <v>5166.75</v>
      </c>
      <c r="AT723" s="69">
        <v>675.5</v>
      </c>
      <c r="AU723" s="69">
        <v>1560.79</v>
      </c>
      <c r="BC723" s="69"/>
      <c r="BD723" s="69"/>
      <c r="CC723" s="94">
        <f t="shared" si="57"/>
        <v>7403.04</v>
      </c>
      <c r="CD723" s="73">
        <f t="shared" si="58"/>
        <v>0</v>
      </c>
      <c r="CE723" s="75">
        <f t="shared" si="56"/>
        <v>3380</v>
      </c>
      <c r="CF723" s="69" t="str">
        <f t="shared" si="56"/>
        <v>برنامج دولى</v>
      </c>
    </row>
    <row r="724" spans="2:84" ht="18.75" x14ac:dyDescent="0.25">
      <c r="B724" s="82">
        <v>5531</v>
      </c>
      <c r="C724" s="78">
        <v>3381</v>
      </c>
      <c r="D724" s="71" t="s">
        <v>78</v>
      </c>
      <c r="E724" s="107" t="s">
        <v>2501</v>
      </c>
      <c r="G724" s="69">
        <v>963.81</v>
      </c>
      <c r="T724" s="69"/>
      <c r="U724" s="69"/>
      <c r="AR724" s="94">
        <f t="shared" si="62"/>
        <v>963.81</v>
      </c>
      <c r="AS724" s="69">
        <v>802.3</v>
      </c>
      <c r="AT724" s="69">
        <v>97.95</v>
      </c>
      <c r="AU724" s="69">
        <v>63.56</v>
      </c>
      <c r="BC724" s="69"/>
      <c r="BD724" s="69"/>
      <c r="CC724" s="94">
        <f t="shared" si="57"/>
        <v>963.81</v>
      </c>
      <c r="CD724" s="73">
        <f t="shared" si="58"/>
        <v>0</v>
      </c>
      <c r="CE724" s="75">
        <f t="shared" si="56"/>
        <v>3381</v>
      </c>
      <c r="CF724" s="69" t="str">
        <f t="shared" si="56"/>
        <v>برنامج دولى</v>
      </c>
    </row>
    <row r="725" spans="2:84" ht="18.75" x14ac:dyDescent="0.25">
      <c r="B725" s="82">
        <v>5530</v>
      </c>
      <c r="C725" s="78">
        <v>3382</v>
      </c>
      <c r="D725" s="71" t="s">
        <v>78</v>
      </c>
      <c r="E725" s="107" t="s">
        <v>2501</v>
      </c>
      <c r="G725" s="69">
        <v>234.5</v>
      </c>
      <c r="T725" s="69"/>
      <c r="U725" s="69"/>
      <c r="AR725" s="94">
        <f t="shared" si="62"/>
        <v>234.5</v>
      </c>
      <c r="AS725" s="69">
        <v>157.19999999999999</v>
      </c>
      <c r="AT725" s="69">
        <v>20.8</v>
      </c>
      <c r="AU725" s="69">
        <v>56.5</v>
      </c>
      <c r="BC725" s="69"/>
      <c r="BD725" s="69"/>
      <c r="CC725" s="94">
        <f t="shared" si="57"/>
        <v>234.5</v>
      </c>
      <c r="CD725" s="73">
        <f t="shared" si="58"/>
        <v>0</v>
      </c>
      <c r="CE725" s="75">
        <f t="shared" ref="CE725:CF790" si="63">+C725</f>
        <v>3382</v>
      </c>
      <c r="CF725" s="69" t="str">
        <f t="shared" si="63"/>
        <v>برنامج دولى</v>
      </c>
    </row>
    <row r="726" spans="2:84" ht="18.75" x14ac:dyDescent="0.25">
      <c r="B726" s="82">
        <v>5532</v>
      </c>
      <c r="C726" s="78">
        <v>3383</v>
      </c>
      <c r="D726" s="71" t="s">
        <v>78</v>
      </c>
      <c r="E726" s="107" t="s">
        <v>2501</v>
      </c>
      <c r="G726" s="69">
        <v>1758.75</v>
      </c>
      <c r="T726" s="69"/>
      <c r="U726" s="69"/>
      <c r="AR726" s="94">
        <f t="shared" si="62"/>
        <v>1758.75</v>
      </c>
      <c r="AS726" s="69">
        <v>1176.95</v>
      </c>
      <c r="AT726" s="69">
        <f>8.05+150</f>
        <v>158.05000000000001</v>
      </c>
      <c r="AU726" s="69">
        <f>581.8-AT726</f>
        <v>423.74999999999994</v>
      </c>
      <c r="BC726" s="69"/>
      <c r="BD726" s="69"/>
      <c r="CC726" s="94">
        <f t="shared" si="57"/>
        <v>1758.75</v>
      </c>
      <c r="CD726" s="73">
        <f t="shared" si="58"/>
        <v>0</v>
      </c>
      <c r="CE726" s="75">
        <f t="shared" si="63"/>
        <v>3383</v>
      </c>
      <c r="CF726" s="69" t="str">
        <f t="shared" si="63"/>
        <v>برنامج دولى</v>
      </c>
    </row>
    <row r="727" spans="2:84" ht="18.75" x14ac:dyDescent="0.25">
      <c r="B727" s="82">
        <v>5527</v>
      </c>
      <c r="C727" s="78">
        <v>3384</v>
      </c>
      <c r="D727" s="71" t="s">
        <v>78</v>
      </c>
      <c r="E727" s="107" t="s">
        <v>2501</v>
      </c>
      <c r="G727" s="69">
        <v>125</v>
      </c>
      <c r="T727" s="69"/>
      <c r="U727" s="69"/>
      <c r="AR727" s="94">
        <f t="shared" si="62"/>
        <v>125</v>
      </c>
      <c r="AS727" s="69">
        <v>112.2</v>
      </c>
      <c r="AT727" s="69">
        <v>12.8</v>
      </c>
      <c r="BC727" s="69"/>
      <c r="BD727" s="69"/>
      <c r="CC727" s="94">
        <f t="shared" si="57"/>
        <v>125</v>
      </c>
      <c r="CD727" s="73">
        <f t="shared" si="58"/>
        <v>0</v>
      </c>
      <c r="CE727" s="75">
        <f t="shared" si="63"/>
        <v>3384</v>
      </c>
      <c r="CF727" s="69" t="str">
        <f t="shared" si="63"/>
        <v>برنامج دولى</v>
      </c>
    </row>
    <row r="728" spans="2:84" ht="18.75" x14ac:dyDescent="0.25">
      <c r="B728" s="82">
        <v>5529</v>
      </c>
      <c r="C728" s="78">
        <v>3385</v>
      </c>
      <c r="D728" s="71" t="s">
        <v>78</v>
      </c>
      <c r="E728" s="107" t="s">
        <v>2501</v>
      </c>
      <c r="G728" s="69">
        <v>487.94</v>
      </c>
      <c r="T728" s="69"/>
      <c r="U728" s="69"/>
      <c r="AR728" s="94">
        <f t="shared" si="62"/>
        <v>487.94</v>
      </c>
      <c r="AS728" s="69">
        <v>416.85</v>
      </c>
      <c r="AT728" s="69">
        <v>49.9</v>
      </c>
      <c r="AU728" s="69">
        <v>21.19</v>
      </c>
      <c r="BC728" s="69"/>
      <c r="BD728" s="69"/>
      <c r="CC728" s="94">
        <f t="shared" si="57"/>
        <v>487.94</v>
      </c>
      <c r="CD728" s="73">
        <f t="shared" si="58"/>
        <v>0</v>
      </c>
      <c r="CE728" s="75">
        <f t="shared" si="63"/>
        <v>3385</v>
      </c>
      <c r="CF728" s="69" t="str">
        <f t="shared" si="63"/>
        <v>برنامج دولى</v>
      </c>
    </row>
    <row r="729" spans="2:84" ht="18.75" x14ac:dyDescent="0.25">
      <c r="B729" s="82">
        <v>5514</v>
      </c>
      <c r="C729" s="78">
        <v>3386</v>
      </c>
      <c r="D729" s="71" t="s">
        <v>78</v>
      </c>
      <c r="E729" s="107" t="s">
        <v>3811</v>
      </c>
      <c r="G729" s="69">
        <v>3360</v>
      </c>
      <c r="T729" s="69"/>
      <c r="U729" s="69"/>
      <c r="AR729" s="94">
        <f t="shared" si="62"/>
        <v>3360</v>
      </c>
      <c r="AS729" s="69">
        <v>3002.8</v>
      </c>
      <c r="AT729" s="69">
        <v>357.2</v>
      </c>
      <c r="BC729" s="69"/>
      <c r="BD729" s="69"/>
      <c r="CC729" s="94">
        <f t="shared" si="57"/>
        <v>3360</v>
      </c>
      <c r="CD729" s="73">
        <f t="shared" si="58"/>
        <v>0</v>
      </c>
      <c r="CE729" s="75">
        <f t="shared" si="63"/>
        <v>3386</v>
      </c>
      <c r="CF729" s="69" t="str">
        <f t="shared" si="63"/>
        <v>برنامج دولى</v>
      </c>
    </row>
    <row r="730" spans="2:84" ht="18.75" x14ac:dyDescent="0.25">
      <c r="B730" s="82">
        <v>5512</v>
      </c>
      <c r="C730" s="78">
        <v>3387</v>
      </c>
      <c r="D730" s="71" t="s">
        <v>78</v>
      </c>
      <c r="E730" s="107" t="str">
        <f>+E719</f>
        <v>عب تدريس طب مجتمع</v>
      </c>
      <c r="G730" s="69">
        <v>2429.54</v>
      </c>
      <c r="T730" s="69"/>
      <c r="U730" s="69"/>
      <c r="AR730" s="94">
        <f t="shared" si="62"/>
        <v>2429.54</v>
      </c>
      <c r="AS730" s="69">
        <v>1391.47</v>
      </c>
      <c r="AT730" s="69">
        <v>203.6</v>
      </c>
      <c r="AU730" s="69">
        <v>834.47</v>
      </c>
      <c r="BC730" s="69"/>
      <c r="BD730" s="69"/>
      <c r="CC730" s="94">
        <f t="shared" si="57"/>
        <v>2429.54</v>
      </c>
      <c r="CD730" s="73">
        <f t="shared" si="58"/>
        <v>0</v>
      </c>
      <c r="CE730" s="75">
        <f t="shared" si="63"/>
        <v>3387</v>
      </c>
      <c r="CF730" s="69" t="str">
        <f t="shared" si="63"/>
        <v>برنامج دولى</v>
      </c>
    </row>
    <row r="731" spans="2:84" ht="18.75" x14ac:dyDescent="0.25">
      <c r="B731" s="82">
        <v>5513</v>
      </c>
      <c r="C731" s="78">
        <v>3388</v>
      </c>
      <c r="D731" s="71" t="s">
        <v>78</v>
      </c>
      <c r="E731" s="107" t="str">
        <f>+E730</f>
        <v>عب تدريس طب مجتمع</v>
      </c>
      <c r="G731" s="69">
        <v>13456.8</v>
      </c>
      <c r="T731" s="69"/>
      <c r="U731" s="69"/>
      <c r="AR731" s="94">
        <f t="shared" si="62"/>
        <v>13456.8</v>
      </c>
      <c r="AS731" s="69">
        <v>11259.95</v>
      </c>
      <c r="AT731" s="69">
        <v>1383.25</v>
      </c>
      <c r="AU731" s="69">
        <v>813.6</v>
      </c>
      <c r="BC731" s="69"/>
      <c r="BD731" s="69"/>
      <c r="CC731" s="94">
        <f t="shared" si="57"/>
        <v>13456.800000000001</v>
      </c>
      <c r="CD731" s="73">
        <f t="shared" si="58"/>
        <v>0</v>
      </c>
      <c r="CE731" s="75">
        <f t="shared" si="63"/>
        <v>3388</v>
      </c>
      <c r="CF731" s="69" t="str">
        <f t="shared" si="63"/>
        <v>برنامج دولى</v>
      </c>
    </row>
    <row r="732" spans="2:84" ht="18.75" x14ac:dyDescent="0.25">
      <c r="B732" s="82">
        <v>5520</v>
      </c>
      <c r="C732" s="78">
        <v>3389</v>
      </c>
      <c r="D732" s="71" t="s">
        <v>78</v>
      </c>
      <c r="E732" s="107" t="str">
        <f>+E717</f>
        <v>عب تدريس تشريح</v>
      </c>
      <c r="G732" s="69">
        <v>11925</v>
      </c>
      <c r="T732" s="69"/>
      <c r="U732" s="69"/>
      <c r="AR732" s="94">
        <f t="shared" si="62"/>
        <v>11925</v>
      </c>
      <c r="AS732" s="69">
        <v>10645.95</v>
      </c>
      <c r="AT732" s="69">
        <v>1279.05</v>
      </c>
      <c r="BC732" s="69"/>
      <c r="BD732" s="69"/>
      <c r="CC732" s="94">
        <f t="shared" si="57"/>
        <v>11925</v>
      </c>
      <c r="CD732" s="73">
        <f t="shared" si="58"/>
        <v>0</v>
      </c>
      <c r="CE732" s="75">
        <f t="shared" si="63"/>
        <v>3389</v>
      </c>
      <c r="CF732" s="69" t="str">
        <f t="shared" si="63"/>
        <v>برنامج دولى</v>
      </c>
    </row>
    <row r="733" spans="2:84" ht="18.75" x14ac:dyDescent="0.25">
      <c r="B733" s="82">
        <v>5518</v>
      </c>
      <c r="C733" s="78">
        <v>3390</v>
      </c>
      <c r="D733" s="71" t="s">
        <v>78</v>
      </c>
      <c r="E733" s="107" t="str">
        <f>+E732</f>
        <v>عب تدريس تشريح</v>
      </c>
      <c r="G733" s="69">
        <v>1433.39</v>
      </c>
      <c r="T733" s="69"/>
      <c r="U733" s="69"/>
      <c r="AR733" s="94">
        <f t="shared" si="62"/>
        <v>1433.39</v>
      </c>
      <c r="AS733" s="69">
        <v>956.96</v>
      </c>
      <c r="AT733" s="69">
        <f>8.8+122.25</f>
        <v>131.05000000000001</v>
      </c>
      <c r="AU733" s="69">
        <f>476.43-AT733</f>
        <v>345.38</v>
      </c>
      <c r="BC733" s="69"/>
      <c r="BD733" s="69"/>
      <c r="CC733" s="94">
        <f t="shared" si="57"/>
        <v>1433.3899999999999</v>
      </c>
      <c r="CD733" s="73">
        <f t="shared" si="58"/>
        <v>0</v>
      </c>
      <c r="CE733" s="75">
        <f t="shared" si="63"/>
        <v>3390</v>
      </c>
      <c r="CF733" s="69" t="str">
        <f t="shared" si="63"/>
        <v>برنامج دولى</v>
      </c>
    </row>
    <row r="734" spans="2:84" ht="18.75" x14ac:dyDescent="0.25">
      <c r="B734" s="82">
        <v>5371</v>
      </c>
      <c r="C734" s="78">
        <v>3391</v>
      </c>
      <c r="D734" s="71" t="s">
        <v>78</v>
      </c>
      <c r="E734" s="107" t="s">
        <v>3812</v>
      </c>
      <c r="G734" s="69">
        <v>2876.29</v>
      </c>
      <c r="T734" s="69"/>
      <c r="U734" s="69"/>
      <c r="AR734" s="94">
        <f t="shared" si="62"/>
        <v>2876.29</v>
      </c>
      <c r="AS734" s="69">
        <v>2026.66</v>
      </c>
      <c r="AT734" s="69">
        <v>266.14999999999998</v>
      </c>
      <c r="AU734" s="69">
        <v>583.48</v>
      </c>
      <c r="BC734" s="69"/>
      <c r="BD734" s="69"/>
      <c r="CC734" s="94">
        <f t="shared" si="57"/>
        <v>2876.29</v>
      </c>
      <c r="CD734" s="73">
        <f t="shared" si="58"/>
        <v>0</v>
      </c>
      <c r="CE734" s="75">
        <f t="shared" si="63"/>
        <v>3391</v>
      </c>
      <c r="CF734" s="69" t="str">
        <f t="shared" si="63"/>
        <v>برنامج دولى</v>
      </c>
    </row>
    <row r="735" spans="2:84" ht="18.75" x14ac:dyDescent="0.25">
      <c r="B735" s="82">
        <v>5372</v>
      </c>
      <c r="C735" s="78">
        <v>3392</v>
      </c>
      <c r="D735" s="71" t="s">
        <v>78</v>
      </c>
      <c r="E735" s="107" t="s">
        <v>3812</v>
      </c>
      <c r="G735" s="69">
        <v>5760</v>
      </c>
      <c r="T735" s="69"/>
      <c r="U735" s="69"/>
      <c r="AR735" s="94">
        <f t="shared" si="62"/>
        <v>5760</v>
      </c>
      <c r="AS735" s="69">
        <v>5141.5</v>
      </c>
      <c r="AT735" s="69">
        <v>618.5</v>
      </c>
      <c r="BC735" s="69"/>
      <c r="BD735" s="69"/>
      <c r="CC735" s="94">
        <f t="shared" si="57"/>
        <v>5760</v>
      </c>
      <c r="CD735" s="73">
        <f t="shared" si="58"/>
        <v>0</v>
      </c>
      <c r="CE735" s="75">
        <f t="shared" si="63"/>
        <v>3392</v>
      </c>
      <c r="CF735" s="69" t="str">
        <f t="shared" si="63"/>
        <v>برنامج دولى</v>
      </c>
    </row>
    <row r="736" spans="2:84" ht="18.75" x14ac:dyDescent="0.25">
      <c r="B736" s="82">
        <v>6086</v>
      </c>
      <c r="C736" s="78">
        <v>3393</v>
      </c>
      <c r="D736" s="71" t="s">
        <v>78</v>
      </c>
      <c r="E736" s="107" t="s">
        <v>3813</v>
      </c>
      <c r="G736" s="69">
        <v>7146.21</v>
      </c>
      <c r="T736" s="69"/>
      <c r="U736" s="69"/>
      <c r="AR736" s="94">
        <f t="shared" si="62"/>
        <v>7146.21</v>
      </c>
      <c r="AS736" s="69">
        <v>4810.25</v>
      </c>
      <c r="AT736" s="69">
        <v>655.35</v>
      </c>
      <c r="AU736" s="69">
        <v>1680.61</v>
      </c>
      <c r="BC736" s="69"/>
      <c r="BD736" s="69"/>
      <c r="CC736" s="94">
        <f t="shared" si="57"/>
        <v>7146.21</v>
      </c>
      <c r="CD736" s="73">
        <f t="shared" si="58"/>
        <v>0</v>
      </c>
      <c r="CE736" s="75">
        <f t="shared" si="63"/>
        <v>3393</v>
      </c>
      <c r="CF736" s="69" t="str">
        <f t="shared" si="63"/>
        <v>برنامج دولى</v>
      </c>
    </row>
    <row r="737" spans="1:84" ht="18.75" x14ac:dyDescent="0.25">
      <c r="B737" s="82">
        <v>5373</v>
      </c>
      <c r="C737" s="78">
        <v>3394</v>
      </c>
      <c r="D737" s="71" t="s">
        <v>78</v>
      </c>
      <c r="E737" s="107" t="str">
        <f>+E735</f>
        <v>محاضرات عمليه قسم جراحه جهاز هضمى</v>
      </c>
      <c r="G737" s="69">
        <v>4860</v>
      </c>
      <c r="T737" s="69"/>
      <c r="U737" s="69"/>
      <c r="AR737" s="94">
        <f t="shared" si="62"/>
        <v>4860</v>
      </c>
      <c r="AS737" s="69">
        <v>4338.25</v>
      </c>
      <c r="AT737" s="69">
        <v>521.75</v>
      </c>
      <c r="BC737" s="69"/>
      <c r="BD737" s="69"/>
      <c r="CC737" s="94">
        <f t="shared" si="57"/>
        <v>4860</v>
      </c>
      <c r="CD737" s="73">
        <f t="shared" si="58"/>
        <v>0</v>
      </c>
      <c r="CE737" s="75">
        <f t="shared" si="63"/>
        <v>3394</v>
      </c>
      <c r="CF737" s="69" t="str">
        <f t="shared" si="63"/>
        <v>برنامج دولى</v>
      </c>
    </row>
    <row r="738" spans="1:84" ht="18.75" x14ac:dyDescent="0.25">
      <c r="B738" s="82">
        <v>5374</v>
      </c>
      <c r="C738" s="78">
        <v>3395</v>
      </c>
      <c r="D738" s="71" t="s">
        <v>78</v>
      </c>
      <c r="E738" s="107" t="str">
        <f>+E737</f>
        <v>محاضرات عمليه قسم جراحه جهاز هضمى</v>
      </c>
      <c r="G738" s="69">
        <v>2386.11</v>
      </c>
      <c r="T738" s="69"/>
      <c r="U738" s="69"/>
      <c r="AR738" s="94">
        <f t="shared" si="62"/>
        <v>2386.11</v>
      </c>
      <c r="AS738" s="69">
        <v>1787.56</v>
      </c>
      <c r="AT738" s="69">
        <v>228.25</v>
      </c>
      <c r="AU738" s="69">
        <v>370.3</v>
      </c>
      <c r="BC738" s="69"/>
      <c r="BD738" s="69"/>
      <c r="CC738" s="94">
        <f t="shared" si="57"/>
        <v>2386.11</v>
      </c>
      <c r="CD738" s="73">
        <f t="shared" si="58"/>
        <v>0</v>
      </c>
      <c r="CE738" s="75">
        <f t="shared" si="63"/>
        <v>3395</v>
      </c>
      <c r="CF738" s="69" t="str">
        <f t="shared" si="63"/>
        <v>برنامج دولى</v>
      </c>
    </row>
    <row r="739" spans="1:84" ht="18.75" x14ac:dyDescent="0.25">
      <c r="B739" s="82">
        <v>5380</v>
      </c>
      <c r="C739" s="78">
        <v>3396</v>
      </c>
      <c r="D739" s="71" t="s">
        <v>78</v>
      </c>
      <c r="E739" s="107" t="s">
        <v>1977</v>
      </c>
      <c r="G739" s="69">
        <v>2160</v>
      </c>
      <c r="T739" s="69"/>
      <c r="U739" s="69"/>
      <c r="AR739" s="94">
        <f t="shared" si="62"/>
        <v>2160</v>
      </c>
      <c r="AS739" s="69">
        <v>1928.15</v>
      </c>
      <c r="AT739" s="69">
        <v>231.85</v>
      </c>
      <c r="BC739" s="69"/>
      <c r="BD739" s="69"/>
      <c r="CC739" s="94">
        <f t="shared" si="57"/>
        <v>2160</v>
      </c>
      <c r="CD739" s="73">
        <f t="shared" si="58"/>
        <v>0</v>
      </c>
      <c r="CE739" s="75">
        <f t="shared" si="63"/>
        <v>3396</v>
      </c>
      <c r="CF739" s="69" t="str">
        <f t="shared" si="63"/>
        <v>برنامج دولى</v>
      </c>
    </row>
    <row r="740" spans="1:84" ht="18.75" x14ac:dyDescent="0.25">
      <c r="B740" s="82">
        <v>5525</v>
      </c>
      <c r="C740" s="78">
        <v>3397</v>
      </c>
      <c r="D740" s="71" t="s">
        <v>78</v>
      </c>
      <c r="E740" s="107" t="s">
        <v>1524</v>
      </c>
      <c r="G740" s="69">
        <v>892.83</v>
      </c>
      <c r="T740" s="69"/>
      <c r="U740" s="69"/>
      <c r="AR740" s="94">
        <f t="shared" si="62"/>
        <v>892.83</v>
      </c>
      <c r="AS740" s="69">
        <v>660.33</v>
      </c>
      <c r="AT740" s="69">
        <v>80.45</v>
      </c>
      <c r="AU740" s="69">
        <v>152.05000000000001</v>
      </c>
      <c r="BC740" s="69"/>
      <c r="BD740" s="69"/>
      <c r="CC740" s="94">
        <f t="shared" si="57"/>
        <v>892.83000000000015</v>
      </c>
      <c r="CD740" s="73">
        <f t="shared" si="58"/>
        <v>0</v>
      </c>
      <c r="CE740" s="75">
        <f t="shared" si="63"/>
        <v>3397</v>
      </c>
      <c r="CF740" s="69" t="str">
        <f t="shared" si="63"/>
        <v>برنامج دولى</v>
      </c>
    </row>
    <row r="741" spans="1:84" ht="18.75" x14ac:dyDescent="0.25">
      <c r="B741" s="82">
        <v>5524</v>
      </c>
      <c r="C741" s="78">
        <v>3398</v>
      </c>
      <c r="D741" s="71" t="s">
        <v>78</v>
      </c>
      <c r="E741" s="107" t="s">
        <v>1524</v>
      </c>
      <c r="G741" s="69">
        <v>387.93</v>
      </c>
      <c r="T741" s="69"/>
      <c r="U741" s="69"/>
      <c r="AR741" s="94">
        <f t="shared" si="62"/>
        <v>387.93</v>
      </c>
      <c r="AS741" s="69">
        <v>331.6</v>
      </c>
      <c r="AT741" s="69">
        <v>35.15</v>
      </c>
      <c r="AU741" s="69">
        <v>21.18</v>
      </c>
      <c r="BC741" s="69"/>
      <c r="BD741" s="69"/>
      <c r="CC741" s="94">
        <f t="shared" si="57"/>
        <v>387.93</v>
      </c>
      <c r="CD741" s="73">
        <f t="shared" si="58"/>
        <v>0</v>
      </c>
      <c r="CE741" s="75">
        <f t="shared" si="63"/>
        <v>3398</v>
      </c>
      <c r="CF741" s="69" t="str">
        <f t="shared" si="63"/>
        <v>برنامج دولى</v>
      </c>
    </row>
    <row r="742" spans="1:84" ht="18.75" x14ac:dyDescent="0.25">
      <c r="B742" s="82">
        <v>5523</v>
      </c>
      <c r="C742" s="78">
        <v>3399</v>
      </c>
      <c r="D742" s="71" t="s">
        <v>78</v>
      </c>
      <c r="E742" s="107" t="s">
        <v>1524</v>
      </c>
      <c r="G742" s="69">
        <v>25</v>
      </c>
      <c r="T742" s="69"/>
      <c r="U742" s="69"/>
      <c r="AR742" s="94">
        <f t="shared" si="62"/>
        <v>25</v>
      </c>
      <c r="AS742" s="69">
        <v>22.5</v>
      </c>
      <c r="AT742" s="69">
        <v>2.5</v>
      </c>
      <c r="BC742" s="69"/>
      <c r="BD742" s="69"/>
      <c r="CC742" s="94">
        <f t="shared" si="57"/>
        <v>25</v>
      </c>
      <c r="CD742" s="73">
        <f t="shared" ref="CD742:CD807" si="64">+CC742-AR742</f>
        <v>0</v>
      </c>
      <c r="CE742" s="75">
        <f t="shared" si="63"/>
        <v>3399</v>
      </c>
      <c r="CF742" s="69" t="str">
        <f t="shared" si="63"/>
        <v>برنامج دولى</v>
      </c>
    </row>
    <row r="743" spans="1:84" ht="18.75" x14ac:dyDescent="0.25">
      <c r="B743" s="82">
        <v>5522</v>
      </c>
      <c r="C743" s="78">
        <v>3400</v>
      </c>
      <c r="D743" s="71" t="s">
        <v>78</v>
      </c>
      <c r="E743" s="107" t="s">
        <v>1524</v>
      </c>
      <c r="G743" s="69">
        <v>175.88</v>
      </c>
      <c r="T743" s="69"/>
      <c r="U743" s="69"/>
      <c r="AR743" s="94">
        <f t="shared" si="62"/>
        <v>175.88</v>
      </c>
      <c r="AS743" s="69">
        <v>118.2</v>
      </c>
      <c r="AT743" s="69">
        <v>15.3</v>
      </c>
      <c r="AU743" s="69">
        <f>57.68-AT743</f>
        <v>42.379999999999995</v>
      </c>
      <c r="BC743" s="69"/>
      <c r="BD743" s="69"/>
      <c r="CC743" s="94">
        <f t="shared" si="57"/>
        <v>175.88</v>
      </c>
      <c r="CD743" s="73">
        <f t="shared" si="64"/>
        <v>0</v>
      </c>
      <c r="CE743" s="75">
        <f t="shared" si="63"/>
        <v>3400</v>
      </c>
      <c r="CF743" s="69" t="str">
        <f t="shared" si="63"/>
        <v>برنامج دولى</v>
      </c>
    </row>
    <row r="744" spans="1:84" ht="18.75" x14ac:dyDescent="0.25">
      <c r="B744" s="82">
        <v>5798</v>
      </c>
      <c r="C744" s="78">
        <v>3401</v>
      </c>
      <c r="D744" s="71" t="s">
        <v>78</v>
      </c>
      <c r="E744" s="107" t="str">
        <f>+E736</f>
        <v>عب تدريس قسم جراحه كبد</v>
      </c>
      <c r="G744" s="69">
        <v>12240</v>
      </c>
      <c r="T744" s="69"/>
      <c r="U744" s="69"/>
      <c r="AR744" s="94">
        <f t="shared" si="62"/>
        <v>12240</v>
      </c>
      <c r="AS744" s="69">
        <v>10918.8</v>
      </c>
      <c r="AT744" s="69">
        <v>1321.2</v>
      </c>
      <c r="BC744" s="69"/>
      <c r="BD744" s="69"/>
      <c r="CC744" s="94">
        <f t="shared" si="57"/>
        <v>12240</v>
      </c>
      <c r="CD744" s="73">
        <f t="shared" si="64"/>
        <v>0</v>
      </c>
      <c r="CE744" s="75">
        <f t="shared" si="63"/>
        <v>3401</v>
      </c>
      <c r="CF744" s="69" t="str">
        <f t="shared" si="63"/>
        <v>برنامج دولى</v>
      </c>
    </row>
    <row r="745" spans="1:84" ht="18.75" x14ac:dyDescent="0.25">
      <c r="B745" s="82">
        <v>5799</v>
      </c>
      <c r="C745" s="78">
        <v>3402</v>
      </c>
      <c r="D745" s="71" t="s">
        <v>78</v>
      </c>
      <c r="E745" s="107" t="str">
        <f>+E744</f>
        <v>عب تدريس قسم جراحه كبد</v>
      </c>
      <c r="G745" s="69">
        <v>4306.2</v>
      </c>
      <c r="T745" s="69"/>
      <c r="U745" s="69"/>
      <c r="AR745" s="94">
        <f t="shared" si="62"/>
        <v>4306.2</v>
      </c>
      <c r="AS745" s="69">
        <v>3110.29</v>
      </c>
      <c r="AT745" s="69">
        <v>407.85</v>
      </c>
      <c r="AU745" s="69">
        <v>788.06</v>
      </c>
      <c r="BC745" s="69"/>
      <c r="BD745" s="69"/>
      <c r="CC745" s="94">
        <f t="shared" si="57"/>
        <v>4306.2</v>
      </c>
      <c r="CD745" s="73">
        <f t="shared" si="64"/>
        <v>0</v>
      </c>
      <c r="CE745" s="75">
        <f t="shared" si="63"/>
        <v>3402</v>
      </c>
      <c r="CF745" s="69" t="str">
        <f t="shared" si="63"/>
        <v>برنامج دولى</v>
      </c>
    </row>
    <row r="746" spans="1:84" ht="18.75" x14ac:dyDescent="0.25">
      <c r="B746" s="82">
        <v>5886</v>
      </c>
      <c r="C746" s="78">
        <v>3403</v>
      </c>
      <c r="D746" s="71" t="s">
        <v>78</v>
      </c>
      <c r="E746" s="107" t="str">
        <f>+E745</f>
        <v>عب تدريس قسم جراحه كبد</v>
      </c>
      <c r="G746" s="69">
        <v>23310</v>
      </c>
      <c r="T746" s="69"/>
      <c r="U746" s="69"/>
      <c r="AR746" s="94">
        <f t="shared" si="62"/>
        <v>23310</v>
      </c>
      <c r="AS746" s="69">
        <v>20859.45</v>
      </c>
      <c r="AT746" s="69">
        <v>2450.5500000000002</v>
      </c>
      <c r="BC746" s="69"/>
      <c r="BD746" s="69"/>
      <c r="CC746" s="94">
        <f t="shared" si="57"/>
        <v>23310</v>
      </c>
      <c r="CD746" s="73">
        <f t="shared" si="64"/>
        <v>0</v>
      </c>
      <c r="CE746" s="75">
        <f t="shared" si="63"/>
        <v>3403</v>
      </c>
      <c r="CF746" s="69" t="str">
        <f t="shared" si="63"/>
        <v>برنامج دولى</v>
      </c>
    </row>
    <row r="747" spans="1:84" ht="18.75" x14ac:dyDescent="0.25">
      <c r="B747" s="82">
        <v>5800</v>
      </c>
      <c r="C747" s="78">
        <v>3404</v>
      </c>
      <c r="D747" s="71" t="s">
        <v>78</v>
      </c>
      <c r="E747" s="107" t="str">
        <f>+E746</f>
        <v>عب تدريس قسم جراحه كبد</v>
      </c>
      <c r="G747" s="69">
        <v>104700</v>
      </c>
      <c r="T747" s="69"/>
      <c r="U747" s="69"/>
      <c r="AR747" s="94">
        <f t="shared" si="62"/>
        <v>104700</v>
      </c>
      <c r="AS747" s="69">
        <v>93767.1</v>
      </c>
      <c r="AT747" s="69">
        <v>10932.9</v>
      </c>
      <c r="BC747" s="69"/>
      <c r="BD747" s="69"/>
      <c r="CC747" s="94">
        <f t="shared" si="57"/>
        <v>104700</v>
      </c>
      <c r="CD747" s="73">
        <f t="shared" si="64"/>
        <v>0</v>
      </c>
      <c r="CE747" s="75">
        <f t="shared" si="63"/>
        <v>3404</v>
      </c>
      <c r="CF747" s="69" t="str">
        <f t="shared" si="63"/>
        <v>برنامج دولى</v>
      </c>
    </row>
    <row r="748" spans="1:84" ht="18.75" x14ac:dyDescent="0.25">
      <c r="B748" s="82">
        <v>5783</v>
      </c>
      <c r="C748" s="78">
        <v>3405</v>
      </c>
      <c r="D748" s="71" t="s">
        <v>78</v>
      </c>
      <c r="E748" s="107" t="s">
        <v>3814</v>
      </c>
      <c r="G748" s="69">
        <v>960</v>
      </c>
      <c r="T748" s="69"/>
      <c r="U748" s="69"/>
      <c r="AR748" s="94">
        <f t="shared" si="62"/>
        <v>960</v>
      </c>
      <c r="AS748" s="69">
        <v>857.6</v>
      </c>
      <c r="AT748" s="69">
        <v>102.4</v>
      </c>
      <c r="BC748" s="69"/>
      <c r="BD748" s="69"/>
      <c r="CC748" s="94">
        <f t="shared" si="57"/>
        <v>960</v>
      </c>
      <c r="CD748" s="73">
        <f t="shared" si="64"/>
        <v>0</v>
      </c>
      <c r="CE748" s="75">
        <f t="shared" si="63"/>
        <v>3405</v>
      </c>
      <c r="CF748" s="69" t="str">
        <f t="shared" si="63"/>
        <v>برنامج دولى</v>
      </c>
    </row>
    <row r="749" spans="1:84" ht="18.75" x14ac:dyDescent="0.25">
      <c r="B749" s="82">
        <v>5796</v>
      </c>
      <c r="C749" s="78">
        <v>3406</v>
      </c>
      <c r="D749" s="71" t="s">
        <v>78</v>
      </c>
      <c r="E749" s="107" t="s">
        <v>569</v>
      </c>
      <c r="G749" s="69">
        <v>67305</v>
      </c>
      <c r="T749" s="69"/>
      <c r="U749" s="69"/>
      <c r="AR749" s="94">
        <f t="shared" si="62"/>
        <v>67305</v>
      </c>
      <c r="AS749" s="69">
        <v>60041.1</v>
      </c>
      <c r="AT749" s="69">
        <v>7263.9</v>
      </c>
      <c r="BC749" s="69"/>
      <c r="BD749" s="69"/>
      <c r="CC749" s="94">
        <f t="shared" si="57"/>
        <v>67305</v>
      </c>
      <c r="CD749" s="73">
        <f t="shared" si="64"/>
        <v>0</v>
      </c>
      <c r="CE749" s="75">
        <f t="shared" si="63"/>
        <v>3406</v>
      </c>
      <c r="CF749" s="69" t="str">
        <f t="shared" si="63"/>
        <v>برنامج دولى</v>
      </c>
    </row>
    <row r="750" spans="1:84" ht="18.75" x14ac:dyDescent="0.25">
      <c r="B750" s="82">
        <v>5795</v>
      </c>
      <c r="C750" s="78">
        <v>3407</v>
      </c>
      <c r="D750" s="71" t="s">
        <v>78</v>
      </c>
      <c r="E750" s="107" t="s">
        <v>569</v>
      </c>
      <c r="G750" s="69">
        <v>1978.59</v>
      </c>
      <c r="T750" s="69"/>
      <c r="U750" s="69"/>
      <c r="AR750" s="94">
        <f t="shared" si="62"/>
        <v>1978.59</v>
      </c>
      <c r="AS750" s="69">
        <v>1322.23</v>
      </c>
      <c r="AT750" s="69">
        <f>10.9+168.75</f>
        <v>179.65</v>
      </c>
      <c r="AU750" s="69">
        <v>476.71</v>
      </c>
      <c r="BC750" s="69"/>
      <c r="BD750" s="69"/>
      <c r="CC750" s="94">
        <f t="shared" si="57"/>
        <v>1978.5900000000001</v>
      </c>
      <c r="CD750" s="73">
        <f t="shared" si="64"/>
        <v>0</v>
      </c>
      <c r="CE750" s="75">
        <f t="shared" si="63"/>
        <v>3407</v>
      </c>
      <c r="CF750" s="69" t="str">
        <f t="shared" si="63"/>
        <v>برنامج دولى</v>
      </c>
    </row>
    <row r="751" spans="1:84" ht="18.75" x14ac:dyDescent="0.25">
      <c r="B751" s="82">
        <v>5803</v>
      </c>
      <c r="C751" s="78">
        <v>3408</v>
      </c>
      <c r="D751" s="71" t="s">
        <v>78</v>
      </c>
      <c r="E751" s="107" t="s">
        <v>569</v>
      </c>
      <c r="G751" s="69">
        <v>71688</v>
      </c>
      <c r="T751" s="69"/>
      <c r="U751" s="69"/>
      <c r="AR751" s="94">
        <f t="shared" si="62"/>
        <v>71688</v>
      </c>
      <c r="AS751" s="69">
        <v>62724.45</v>
      </c>
      <c r="AT751" s="69">
        <v>7607.55</v>
      </c>
      <c r="AU751" s="69">
        <v>1356</v>
      </c>
      <c r="BC751" s="69"/>
      <c r="BD751" s="69"/>
      <c r="CC751" s="94">
        <f t="shared" si="57"/>
        <v>71688</v>
      </c>
      <c r="CD751" s="73">
        <f t="shared" si="64"/>
        <v>0</v>
      </c>
      <c r="CE751" s="75">
        <f t="shared" si="63"/>
        <v>3408</v>
      </c>
      <c r="CF751" s="69" t="str">
        <f t="shared" si="63"/>
        <v>برنامج دولى</v>
      </c>
    </row>
    <row r="752" spans="1:84" ht="18.75" x14ac:dyDescent="0.25">
      <c r="A752" s="77"/>
      <c r="B752" s="82">
        <v>5802</v>
      </c>
      <c r="C752" s="78">
        <v>3409</v>
      </c>
      <c r="D752" s="71" t="s">
        <v>78</v>
      </c>
      <c r="E752" s="107" t="s">
        <v>569</v>
      </c>
      <c r="G752" s="69">
        <v>42240</v>
      </c>
      <c r="T752" s="69"/>
      <c r="U752" s="69"/>
      <c r="AR752" s="94">
        <f t="shared" si="62"/>
        <v>42240</v>
      </c>
      <c r="AS752" s="69">
        <v>37703.4</v>
      </c>
      <c r="AT752" s="69">
        <v>4536.6000000000004</v>
      </c>
      <c r="BC752" s="69"/>
      <c r="BD752" s="69"/>
      <c r="CC752" s="94">
        <f t="shared" si="57"/>
        <v>42240</v>
      </c>
      <c r="CD752" s="73">
        <f t="shared" si="64"/>
        <v>0</v>
      </c>
      <c r="CE752" s="75">
        <f t="shared" si="63"/>
        <v>3409</v>
      </c>
      <c r="CF752" s="69" t="str">
        <f t="shared" si="63"/>
        <v>برنامج دولى</v>
      </c>
    </row>
    <row r="753" spans="2:84" ht="18.75" x14ac:dyDescent="0.25">
      <c r="B753" s="82">
        <v>5801</v>
      </c>
      <c r="C753" s="78">
        <v>3410</v>
      </c>
      <c r="D753" s="71" t="s">
        <v>78</v>
      </c>
      <c r="E753" s="107" t="s">
        <v>569</v>
      </c>
      <c r="G753" s="69">
        <v>1618.05</v>
      </c>
      <c r="T753" s="69"/>
      <c r="U753" s="69"/>
      <c r="AR753" s="94">
        <f t="shared" si="62"/>
        <v>1618.05</v>
      </c>
      <c r="AS753" s="69">
        <v>1081.3499999999999</v>
      </c>
      <c r="AT753" s="69">
        <f>8.85+138</f>
        <v>146.85</v>
      </c>
      <c r="AU753" s="69">
        <f>536.7-AT753</f>
        <v>389.85</v>
      </c>
      <c r="BC753" s="69"/>
      <c r="BD753" s="69"/>
      <c r="CC753" s="94">
        <f t="shared" si="57"/>
        <v>1618.0499999999997</v>
      </c>
      <c r="CD753" s="73">
        <f t="shared" si="64"/>
        <v>0</v>
      </c>
      <c r="CE753" s="75">
        <f t="shared" si="63"/>
        <v>3410</v>
      </c>
      <c r="CF753" s="69" t="str">
        <f t="shared" si="63"/>
        <v>برنامج دولى</v>
      </c>
    </row>
    <row r="754" spans="2:84" ht="18.75" x14ac:dyDescent="0.25">
      <c r="B754" s="82">
        <v>5797</v>
      </c>
      <c r="C754" s="78">
        <v>3411</v>
      </c>
      <c r="D754" s="71" t="s">
        <v>78</v>
      </c>
      <c r="E754" s="107" t="s">
        <v>569</v>
      </c>
      <c r="G754" s="69">
        <v>123298.13</v>
      </c>
      <c r="T754" s="69"/>
      <c r="U754" s="69"/>
      <c r="AR754" s="94">
        <f t="shared" si="62"/>
        <v>123298.13</v>
      </c>
      <c r="AS754" s="69">
        <v>107748.77</v>
      </c>
      <c r="AT754" s="69">
        <v>13095.9</v>
      </c>
      <c r="AU754" s="69">
        <v>2453.46</v>
      </c>
      <c r="BC754" s="69"/>
      <c r="BD754" s="69"/>
      <c r="CC754" s="94">
        <f t="shared" si="57"/>
        <v>123298.13</v>
      </c>
      <c r="CD754" s="73">
        <f t="shared" si="64"/>
        <v>0</v>
      </c>
      <c r="CE754" s="75">
        <f t="shared" si="63"/>
        <v>3411</v>
      </c>
      <c r="CF754" s="69" t="str">
        <f t="shared" si="63"/>
        <v>برنامج دولى</v>
      </c>
    </row>
    <row r="755" spans="2:84" ht="18.75" x14ac:dyDescent="0.25">
      <c r="B755" s="82">
        <v>5784</v>
      </c>
      <c r="C755" s="78">
        <v>3412</v>
      </c>
      <c r="D755" s="71" t="s">
        <v>78</v>
      </c>
      <c r="E755" s="107" t="s">
        <v>3815</v>
      </c>
      <c r="G755" s="69">
        <v>480</v>
      </c>
      <c r="T755" s="69"/>
      <c r="U755" s="69"/>
      <c r="AR755" s="94">
        <f t="shared" si="62"/>
        <v>480</v>
      </c>
      <c r="AS755" s="69">
        <v>429.2</v>
      </c>
      <c r="AT755" s="69">
        <v>50.8</v>
      </c>
      <c r="BC755" s="69"/>
      <c r="BD755" s="69"/>
      <c r="CC755" s="94">
        <f t="shared" si="57"/>
        <v>480</v>
      </c>
      <c r="CD755" s="73">
        <f t="shared" si="64"/>
        <v>0</v>
      </c>
      <c r="CE755" s="75">
        <f t="shared" si="63"/>
        <v>3412</v>
      </c>
      <c r="CF755" s="69" t="str">
        <f t="shared" si="63"/>
        <v>برنامج دولى</v>
      </c>
    </row>
    <row r="756" spans="2:84" ht="18.75" x14ac:dyDescent="0.25">
      <c r="B756" s="82">
        <v>4989</v>
      </c>
      <c r="C756" s="78">
        <v>3413</v>
      </c>
      <c r="D756" s="71" t="s">
        <v>78</v>
      </c>
      <c r="E756" s="107" t="s">
        <v>2501</v>
      </c>
      <c r="G756" s="69">
        <v>450</v>
      </c>
      <c r="T756" s="69"/>
      <c r="U756" s="69"/>
      <c r="AR756" s="94">
        <f t="shared" si="62"/>
        <v>450</v>
      </c>
      <c r="AS756" s="69">
        <v>402.4</v>
      </c>
      <c r="AT756" s="69">
        <v>47.6</v>
      </c>
      <c r="BC756" s="69"/>
      <c r="BD756" s="69"/>
      <c r="CC756" s="94">
        <f t="shared" si="57"/>
        <v>450</v>
      </c>
      <c r="CD756" s="73">
        <f t="shared" si="64"/>
        <v>0</v>
      </c>
      <c r="CE756" s="75">
        <f t="shared" si="63"/>
        <v>3413</v>
      </c>
      <c r="CF756" s="69" t="str">
        <f t="shared" si="63"/>
        <v>برنامج دولى</v>
      </c>
    </row>
    <row r="757" spans="2:84" ht="18.75" x14ac:dyDescent="0.25">
      <c r="B757" s="82">
        <v>6252</v>
      </c>
      <c r="C757" s="78">
        <v>3414</v>
      </c>
      <c r="D757" s="71" t="s">
        <v>121</v>
      </c>
      <c r="E757" s="107" t="s">
        <v>3816</v>
      </c>
      <c r="G757" s="69">
        <v>1000</v>
      </c>
      <c r="T757" s="69"/>
      <c r="U757" s="69"/>
      <c r="AR757" s="94">
        <f t="shared" si="62"/>
        <v>1000</v>
      </c>
      <c r="AS757" s="69">
        <v>894.1</v>
      </c>
      <c r="AT757" s="69">
        <v>105.9</v>
      </c>
      <c r="BC757" s="69"/>
      <c r="BD757" s="69"/>
      <c r="CC757" s="94">
        <f t="shared" si="57"/>
        <v>1000</v>
      </c>
      <c r="CD757" s="73">
        <f t="shared" si="64"/>
        <v>0</v>
      </c>
      <c r="CE757" s="75">
        <f t="shared" si="63"/>
        <v>3414</v>
      </c>
      <c r="CF757" s="69" t="str">
        <f t="shared" si="63"/>
        <v>ماليزى اسنان</v>
      </c>
    </row>
    <row r="758" spans="2:84" ht="18.75" x14ac:dyDescent="0.25">
      <c r="B758" s="82">
        <v>6253</v>
      </c>
      <c r="C758" s="78">
        <v>3415</v>
      </c>
      <c r="D758" s="71" t="s">
        <v>121</v>
      </c>
      <c r="E758" s="107" t="s">
        <v>3816</v>
      </c>
      <c r="G758" s="69">
        <v>2500</v>
      </c>
      <c r="T758" s="69"/>
      <c r="U758" s="69"/>
      <c r="AR758" s="94">
        <f t="shared" si="62"/>
        <v>2500</v>
      </c>
      <c r="AS758" s="69">
        <v>2235.25</v>
      </c>
      <c r="AT758" s="69">
        <v>264.75</v>
      </c>
      <c r="BC758" s="69"/>
      <c r="BD758" s="69"/>
      <c r="CC758" s="94">
        <f t="shared" si="57"/>
        <v>2500</v>
      </c>
      <c r="CD758" s="73">
        <f t="shared" si="64"/>
        <v>0</v>
      </c>
      <c r="CE758" s="75">
        <f t="shared" si="63"/>
        <v>3415</v>
      </c>
      <c r="CF758" s="69" t="str">
        <f t="shared" si="63"/>
        <v>ماليزى اسنان</v>
      </c>
    </row>
    <row r="759" spans="2:84" ht="18.75" x14ac:dyDescent="0.25">
      <c r="B759" s="82">
        <v>6246</v>
      </c>
      <c r="C759" s="78">
        <v>3416</v>
      </c>
      <c r="D759" s="71" t="s">
        <v>121</v>
      </c>
      <c r="E759" s="107" t="s">
        <v>3817</v>
      </c>
      <c r="G759" s="69">
        <v>7896.83</v>
      </c>
      <c r="T759" s="69"/>
      <c r="U759" s="69"/>
      <c r="AR759" s="94">
        <f t="shared" si="62"/>
        <v>7896.83</v>
      </c>
      <c r="AS759" s="69">
        <v>6140</v>
      </c>
      <c r="AT759" s="69">
        <v>779.4</v>
      </c>
      <c r="AU759" s="69">
        <v>977.43</v>
      </c>
      <c r="BC759" s="69"/>
      <c r="BD759" s="69"/>
      <c r="CC759" s="94">
        <f t="shared" si="57"/>
        <v>7896.83</v>
      </c>
      <c r="CD759" s="73">
        <f t="shared" si="64"/>
        <v>0</v>
      </c>
      <c r="CE759" s="75">
        <f t="shared" si="63"/>
        <v>3416</v>
      </c>
      <c r="CF759" s="69" t="str">
        <f t="shared" si="63"/>
        <v>ماليزى اسنان</v>
      </c>
    </row>
    <row r="760" spans="2:84" ht="18.75" x14ac:dyDescent="0.25">
      <c r="B760" s="82">
        <v>6247</v>
      </c>
      <c r="C760" s="78">
        <v>3417</v>
      </c>
      <c r="D760" s="71" t="s">
        <v>121</v>
      </c>
      <c r="E760" s="107" t="s">
        <v>3817</v>
      </c>
      <c r="G760" s="69">
        <v>2000</v>
      </c>
      <c r="T760" s="69"/>
      <c r="U760" s="69"/>
      <c r="AR760" s="94">
        <f t="shared" si="62"/>
        <v>2000</v>
      </c>
      <c r="AS760" s="69">
        <v>1785.35</v>
      </c>
      <c r="AT760" s="69">
        <v>214.65</v>
      </c>
      <c r="BC760" s="69"/>
      <c r="BD760" s="69"/>
      <c r="CC760" s="94">
        <f t="shared" si="57"/>
        <v>2000</v>
      </c>
      <c r="CD760" s="73">
        <f t="shared" si="64"/>
        <v>0</v>
      </c>
      <c r="CE760" s="75">
        <f t="shared" si="63"/>
        <v>3417</v>
      </c>
      <c r="CF760" s="69" t="str">
        <f t="shared" si="63"/>
        <v>ماليزى اسنان</v>
      </c>
    </row>
    <row r="761" spans="2:84" ht="18.75" x14ac:dyDescent="0.25">
      <c r="B761" s="82">
        <v>6243</v>
      </c>
      <c r="C761" s="78">
        <v>3418</v>
      </c>
      <c r="D761" s="71" t="s">
        <v>121</v>
      </c>
      <c r="E761" s="107" t="s">
        <v>3818</v>
      </c>
      <c r="G761" s="69">
        <v>3752</v>
      </c>
      <c r="T761" s="69"/>
      <c r="U761" s="69"/>
      <c r="AR761" s="94">
        <f t="shared" si="62"/>
        <v>3752</v>
      </c>
      <c r="AS761" s="69">
        <v>2508.5500000000002</v>
      </c>
      <c r="AT761" s="69">
        <v>339.45</v>
      </c>
      <c r="AU761" s="69">
        <v>904</v>
      </c>
      <c r="BC761" s="69"/>
      <c r="BD761" s="69"/>
      <c r="CC761" s="94">
        <f t="shared" si="57"/>
        <v>3752</v>
      </c>
      <c r="CD761" s="73">
        <f t="shared" si="64"/>
        <v>0</v>
      </c>
      <c r="CE761" s="75">
        <f t="shared" si="63"/>
        <v>3418</v>
      </c>
      <c r="CF761" s="69" t="str">
        <f t="shared" si="63"/>
        <v>ماليزى اسنان</v>
      </c>
    </row>
    <row r="762" spans="2:84" ht="18.75" x14ac:dyDescent="0.25">
      <c r="B762" s="82">
        <v>6245</v>
      </c>
      <c r="C762" s="78">
        <v>3419</v>
      </c>
      <c r="D762" s="71" t="s">
        <v>121</v>
      </c>
      <c r="E762" s="107" t="s">
        <v>3819</v>
      </c>
      <c r="G762" s="69">
        <v>20452.96</v>
      </c>
      <c r="T762" s="69"/>
      <c r="U762" s="69"/>
      <c r="AR762" s="94">
        <f t="shared" si="62"/>
        <v>20452.96</v>
      </c>
      <c r="AS762" s="69">
        <v>15281.04</v>
      </c>
      <c r="AT762" s="69">
        <v>1973.6</v>
      </c>
      <c r="AU762" s="69">
        <v>3198.32</v>
      </c>
      <c r="BC762" s="69"/>
      <c r="BD762" s="69"/>
      <c r="CC762" s="94">
        <f t="shared" si="57"/>
        <v>20452.96</v>
      </c>
      <c r="CD762" s="73">
        <f t="shared" si="64"/>
        <v>0</v>
      </c>
      <c r="CE762" s="75">
        <f t="shared" si="63"/>
        <v>3419</v>
      </c>
      <c r="CF762" s="69" t="str">
        <f t="shared" si="63"/>
        <v>ماليزى اسنان</v>
      </c>
    </row>
    <row r="763" spans="2:84" ht="18.75" x14ac:dyDescent="0.25">
      <c r="B763" s="82">
        <v>6244</v>
      </c>
      <c r="C763" s="78">
        <v>3420</v>
      </c>
      <c r="D763" s="71" t="s">
        <v>121</v>
      </c>
      <c r="E763" s="107" t="s">
        <v>3820</v>
      </c>
      <c r="G763" s="69">
        <v>8207.5</v>
      </c>
      <c r="T763" s="69"/>
      <c r="U763" s="69"/>
      <c r="AR763" s="94">
        <f t="shared" si="62"/>
        <v>8207.5</v>
      </c>
      <c r="AS763" s="69">
        <v>5486.6</v>
      </c>
      <c r="AT763" s="69">
        <v>743.4</v>
      </c>
      <c r="AU763" s="69">
        <v>1977.5</v>
      </c>
      <c r="BC763" s="69"/>
      <c r="BD763" s="69"/>
      <c r="CC763" s="94">
        <f t="shared" si="57"/>
        <v>8207.5</v>
      </c>
      <c r="CD763" s="73">
        <f t="shared" si="64"/>
        <v>0</v>
      </c>
      <c r="CE763" s="75">
        <f t="shared" si="63"/>
        <v>3420</v>
      </c>
      <c r="CF763" s="69" t="str">
        <f t="shared" si="63"/>
        <v>ماليزى اسنان</v>
      </c>
    </row>
    <row r="764" spans="2:84" ht="18.75" x14ac:dyDescent="0.25">
      <c r="B764" s="82">
        <v>6251</v>
      </c>
      <c r="C764" s="78">
        <v>3421</v>
      </c>
      <c r="D764" s="71" t="s">
        <v>123</v>
      </c>
      <c r="E764" s="107" t="s">
        <v>3821</v>
      </c>
      <c r="G764" s="69">
        <v>21456.75</v>
      </c>
      <c r="T764" s="69"/>
      <c r="U764" s="69"/>
      <c r="AR764" s="94">
        <f t="shared" si="62"/>
        <v>21456.75</v>
      </c>
      <c r="AS764" s="69">
        <v>13427.65</v>
      </c>
      <c r="AT764" s="69">
        <v>1944.35</v>
      </c>
      <c r="AU764" s="69">
        <v>5169.75</v>
      </c>
      <c r="AV764" s="69">
        <v>915</v>
      </c>
      <c r="BC764" s="69"/>
      <c r="BD764" s="69"/>
      <c r="CC764" s="94">
        <f t="shared" si="57"/>
        <v>21456.75</v>
      </c>
      <c r="CD764" s="73">
        <f t="shared" si="64"/>
        <v>0</v>
      </c>
      <c r="CE764" s="75">
        <f t="shared" si="63"/>
        <v>3421</v>
      </c>
      <c r="CF764" s="69" t="str">
        <f t="shared" si="63"/>
        <v>خ ت اسنان</v>
      </c>
    </row>
    <row r="765" spans="2:84" ht="18.75" x14ac:dyDescent="0.25">
      <c r="B765" s="82">
        <v>6248</v>
      </c>
      <c r="C765" s="78">
        <v>3422</v>
      </c>
      <c r="D765" s="71" t="s">
        <v>123</v>
      </c>
      <c r="E765" s="107" t="s">
        <v>3821</v>
      </c>
      <c r="G765" s="69">
        <v>2345</v>
      </c>
      <c r="T765" s="69"/>
      <c r="U765" s="69"/>
      <c r="AR765" s="94">
        <f t="shared" si="62"/>
        <v>2345</v>
      </c>
      <c r="AS765" s="69">
        <v>1467</v>
      </c>
      <c r="AT765" s="69">
        <v>213</v>
      </c>
      <c r="AU765" s="69">
        <v>565</v>
      </c>
      <c r="AV765" s="69">
        <v>100</v>
      </c>
      <c r="BC765" s="69"/>
      <c r="BD765" s="69"/>
      <c r="CC765" s="94">
        <f t="shared" si="57"/>
        <v>2345</v>
      </c>
      <c r="CD765" s="73">
        <f t="shared" si="64"/>
        <v>0</v>
      </c>
      <c r="CE765" s="75">
        <f t="shared" si="63"/>
        <v>3422</v>
      </c>
      <c r="CF765" s="69" t="str">
        <f t="shared" si="63"/>
        <v>خ ت اسنان</v>
      </c>
    </row>
    <row r="766" spans="2:84" ht="18.75" x14ac:dyDescent="0.25">
      <c r="B766" s="82">
        <v>6249</v>
      </c>
      <c r="C766" s="78">
        <v>3423</v>
      </c>
      <c r="D766" s="71" t="s">
        <v>123</v>
      </c>
      <c r="E766" s="107" t="s">
        <v>3821</v>
      </c>
      <c r="G766" s="69">
        <v>5862.5</v>
      </c>
      <c r="T766" s="69"/>
      <c r="U766" s="69"/>
      <c r="AR766" s="94">
        <f t="shared" si="62"/>
        <v>5862.5</v>
      </c>
      <c r="AS766" s="69">
        <v>3670.5</v>
      </c>
      <c r="AT766" s="69">
        <v>529.5</v>
      </c>
      <c r="AU766" s="69">
        <v>1412.5</v>
      </c>
      <c r="AV766" s="69">
        <v>250</v>
      </c>
      <c r="BC766" s="69"/>
      <c r="BD766" s="69"/>
      <c r="CC766" s="94">
        <f t="shared" si="57"/>
        <v>5862.5</v>
      </c>
      <c r="CD766" s="73">
        <f t="shared" si="64"/>
        <v>0</v>
      </c>
      <c r="CE766" s="75">
        <f t="shared" si="63"/>
        <v>3423</v>
      </c>
      <c r="CF766" s="69" t="str">
        <f t="shared" si="63"/>
        <v>خ ت اسنان</v>
      </c>
    </row>
    <row r="767" spans="2:84" ht="18.75" x14ac:dyDescent="0.25">
      <c r="B767" s="82">
        <v>6250</v>
      </c>
      <c r="C767" s="78">
        <v>3424</v>
      </c>
      <c r="D767" s="71" t="s">
        <v>123</v>
      </c>
      <c r="E767" s="107" t="s">
        <v>3821</v>
      </c>
      <c r="G767" s="69">
        <v>61628.38</v>
      </c>
      <c r="T767" s="69"/>
      <c r="U767" s="69"/>
      <c r="AR767" s="94">
        <f t="shared" si="62"/>
        <v>61628.38</v>
      </c>
      <c r="AS767" s="69">
        <v>38622.379999999997</v>
      </c>
      <c r="AT767" s="69">
        <v>5590.4</v>
      </c>
      <c r="AU767" s="69">
        <v>14785.6</v>
      </c>
      <c r="AV767" s="69">
        <v>2630</v>
      </c>
      <c r="BC767" s="69"/>
      <c r="BD767" s="69"/>
      <c r="CC767" s="94">
        <f t="shared" si="57"/>
        <v>61628.38</v>
      </c>
      <c r="CD767" s="73">
        <f t="shared" si="64"/>
        <v>0</v>
      </c>
      <c r="CE767" s="75">
        <f t="shared" si="63"/>
        <v>3424</v>
      </c>
      <c r="CF767" s="69" t="str">
        <f t="shared" si="63"/>
        <v>خ ت اسنان</v>
      </c>
    </row>
    <row r="768" spans="2:84" ht="18.75" x14ac:dyDescent="0.25">
      <c r="B768" s="82">
        <v>6238</v>
      </c>
      <c r="C768" s="78">
        <v>3425</v>
      </c>
      <c r="D768" s="71" t="s">
        <v>123</v>
      </c>
      <c r="E768" s="107" t="s">
        <v>1562</v>
      </c>
      <c r="G768" s="69">
        <v>1166.6600000000001</v>
      </c>
      <c r="T768" s="69"/>
      <c r="U768" s="69"/>
      <c r="AR768" s="94">
        <f t="shared" si="62"/>
        <v>1166.6600000000001</v>
      </c>
      <c r="AS768" s="69">
        <v>880.78</v>
      </c>
      <c r="AT768" s="69">
        <v>227.55</v>
      </c>
      <c r="AV768" s="69">
        <v>58.33</v>
      </c>
      <c r="BC768" s="69"/>
      <c r="BD768" s="69"/>
      <c r="CC768" s="94">
        <f t="shared" si="57"/>
        <v>1166.6599999999999</v>
      </c>
      <c r="CD768" s="73">
        <f t="shared" si="64"/>
        <v>0</v>
      </c>
      <c r="CE768" s="75">
        <f t="shared" si="63"/>
        <v>3425</v>
      </c>
      <c r="CF768" s="69" t="str">
        <f t="shared" si="63"/>
        <v>خ ت اسنان</v>
      </c>
    </row>
    <row r="769" spans="1:91" ht="18.75" x14ac:dyDescent="0.25">
      <c r="B769" s="82">
        <v>6242</v>
      </c>
      <c r="C769" s="78">
        <v>3426</v>
      </c>
      <c r="D769" s="71" t="s">
        <v>123</v>
      </c>
      <c r="E769" s="107" t="s">
        <v>1562</v>
      </c>
      <c r="G769" s="69">
        <v>950</v>
      </c>
      <c r="T769" s="69"/>
      <c r="U769" s="69"/>
      <c r="AR769" s="94">
        <f t="shared" si="62"/>
        <v>950</v>
      </c>
      <c r="AS769" s="69">
        <v>716.96</v>
      </c>
      <c r="AT769" s="69">
        <v>185.54</v>
      </c>
      <c r="AV769" s="69">
        <v>47.5</v>
      </c>
      <c r="BC769" s="69"/>
      <c r="BD769" s="69"/>
      <c r="CC769" s="94">
        <f t="shared" si="57"/>
        <v>950</v>
      </c>
      <c r="CD769" s="73">
        <f t="shared" si="64"/>
        <v>0</v>
      </c>
      <c r="CE769" s="75">
        <f t="shared" si="63"/>
        <v>3426</v>
      </c>
      <c r="CF769" s="69" t="str">
        <f t="shared" si="63"/>
        <v>خ ت اسنان</v>
      </c>
    </row>
    <row r="770" spans="1:91" ht="18.75" x14ac:dyDescent="0.25">
      <c r="B770" s="82">
        <v>6241</v>
      </c>
      <c r="C770" s="78">
        <v>3427</v>
      </c>
      <c r="D770" s="71" t="s">
        <v>123</v>
      </c>
      <c r="E770" s="107" t="s">
        <v>1562</v>
      </c>
      <c r="G770" s="69">
        <v>2026.48</v>
      </c>
      <c r="T770" s="69"/>
      <c r="U770" s="69"/>
      <c r="AR770" s="94">
        <f t="shared" si="62"/>
        <v>2026.48</v>
      </c>
      <c r="AS770" s="69">
        <v>1416.61</v>
      </c>
      <c r="AT770" s="69">
        <v>307.7</v>
      </c>
      <c r="AU770" s="69">
        <v>207.18</v>
      </c>
      <c r="AV770" s="69">
        <v>94.99</v>
      </c>
      <c r="BC770" s="69"/>
      <c r="BD770" s="69"/>
      <c r="CC770" s="94">
        <f t="shared" si="57"/>
        <v>2026.48</v>
      </c>
      <c r="CD770" s="73">
        <f t="shared" si="64"/>
        <v>0</v>
      </c>
      <c r="CE770" s="75">
        <f t="shared" si="63"/>
        <v>3427</v>
      </c>
      <c r="CF770" s="69" t="str">
        <f t="shared" si="63"/>
        <v>خ ت اسنان</v>
      </c>
    </row>
    <row r="771" spans="1:91" ht="18.75" x14ac:dyDescent="0.25">
      <c r="B771" s="82">
        <v>6240</v>
      </c>
      <c r="C771" s="78">
        <v>3428</v>
      </c>
      <c r="D771" s="71" t="s">
        <v>123</v>
      </c>
      <c r="E771" s="107" t="s">
        <v>1562</v>
      </c>
      <c r="G771" s="69">
        <v>1350</v>
      </c>
      <c r="T771" s="69"/>
      <c r="U771" s="69"/>
      <c r="AR771" s="94">
        <f t="shared" si="62"/>
        <v>1350</v>
      </c>
      <c r="AS771" s="69">
        <v>1019.12</v>
      </c>
      <c r="AT771" s="69">
        <v>263.38</v>
      </c>
      <c r="AV771" s="69">
        <v>67.5</v>
      </c>
      <c r="BC771" s="69"/>
      <c r="BD771" s="69"/>
      <c r="CC771" s="94">
        <f t="shared" si="57"/>
        <v>1350</v>
      </c>
      <c r="CD771" s="73">
        <f t="shared" si="64"/>
        <v>0</v>
      </c>
      <c r="CE771" s="75">
        <f t="shared" si="63"/>
        <v>3428</v>
      </c>
      <c r="CF771" s="69" t="str">
        <f t="shared" si="63"/>
        <v>خ ت اسنان</v>
      </c>
    </row>
    <row r="772" spans="1:91" ht="18.75" x14ac:dyDescent="0.25">
      <c r="B772" s="82">
        <v>6239</v>
      </c>
      <c r="C772" s="78">
        <v>3429</v>
      </c>
      <c r="D772" s="71" t="s">
        <v>123</v>
      </c>
      <c r="E772" s="107" t="s">
        <v>1562</v>
      </c>
      <c r="G772" s="69">
        <v>366.66</v>
      </c>
      <c r="T772" s="69"/>
      <c r="U772" s="69"/>
      <c r="AR772" s="94">
        <f t="shared" si="62"/>
        <v>366.66</v>
      </c>
      <c r="AS772" s="69">
        <v>276.98</v>
      </c>
      <c r="AT772" s="69">
        <v>71.349999999999994</v>
      </c>
      <c r="AV772" s="69">
        <v>18.329999999999998</v>
      </c>
      <c r="BC772" s="69"/>
      <c r="BD772" s="69"/>
      <c r="CC772" s="94">
        <f t="shared" si="57"/>
        <v>366.66</v>
      </c>
      <c r="CD772" s="73">
        <f t="shared" si="64"/>
        <v>0</v>
      </c>
      <c r="CE772" s="75">
        <f t="shared" si="63"/>
        <v>3429</v>
      </c>
      <c r="CF772" s="69" t="str">
        <f t="shared" si="63"/>
        <v>خ ت اسنان</v>
      </c>
    </row>
    <row r="773" spans="1:91" ht="18.75" x14ac:dyDescent="0.25">
      <c r="B773" s="82">
        <v>5683</v>
      </c>
      <c r="C773" s="78">
        <v>3430</v>
      </c>
      <c r="D773" s="71" t="s">
        <v>132</v>
      </c>
      <c r="E773" s="107" t="s">
        <v>3822</v>
      </c>
      <c r="G773" s="69">
        <v>2687.49</v>
      </c>
      <c r="T773" s="69"/>
      <c r="U773" s="69"/>
      <c r="AR773" s="94">
        <f t="shared" si="62"/>
        <v>2687.49</v>
      </c>
      <c r="AS773" s="69">
        <v>1961.1</v>
      </c>
      <c r="AT773" s="69">
        <v>255.55</v>
      </c>
      <c r="AU773" s="69">
        <v>470.84</v>
      </c>
      <c r="BC773" s="69"/>
      <c r="BD773" s="69"/>
      <c r="CC773" s="94">
        <f t="shared" si="57"/>
        <v>2687.4900000000002</v>
      </c>
      <c r="CD773" s="73">
        <f t="shared" si="64"/>
        <v>0</v>
      </c>
      <c r="CE773" s="75">
        <f t="shared" si="63"/>
        <v>3430</v>
      </c>
      <c r="CF773" s="69" t="str">
        <f t="shared" si="63"/>
        <v>صيدلة اكلينيكى</v>
      </c>
    </row>
    <row r="774" spans="1:91" ht="18.75" x14ac:dyDescent="0.25">
      <c r="A774" s="69">
        <f>3833.73+52876.52</f>
        <v>56710.25</v>
      </c>
      <c r="B774" s="82">
        <v>5682</v>
      </c>
      <c r="C774" s="70">
        <v>3431</v>
      </c>
      <c r="D774" s="71" t="s">
        <v>132</v>
      </c>
      <c r="E774" s="107" t="s">
        <v>3823</v>
      </c>
      <c r="G774" s="69">
        <v>2559.37</v>
      </c>
      <c r="T774" s="69"/>
      <c r="U774" s="69"/>
      <c r="AR774" s="94">
        <f t="shared" si="62"/>
        <v>2559.37</v>
      </c>
      <c r="AS774" s="69">
        <v>2042.16</v>
      </c>
      <c r="AT774" s="69">
        <v>256.2</v>
      </c>
      <c r="AU774" s="69">
        <v>261.01</v>
      </c>
      <c r="BC774" s="69"/>
      <c r="BD774" s="69"/>
      <c r="CC774" s="94">
        <f t="shared" si="57"/>
        <v>2559.37</v>
      </c>
      <c r="CD774" s="73">
        <f t="shared" si="64"/>
        <v>0</v>
      </c>
      <c r="CE774" s="75">
        <f t="shared" si="63"/>
        <v>3431</v>
      </c>
      <c r="CF774" s="69" t="str">
        <f t="shared" si="63"/>
        <v>صيدلة اكلينيكى</v>
      </c>
    </row>
    <row r="775" spans="1:91" ht="18.75" x14ac:dyDescent="0.25">
      <c r="B775" s="82">
        <v>6321</v>
      </c>
      <c r="C775" s="70">
        <v>3432</v>
      </c>
      <c r="D775" s="71" t="s">
        <v>119</v>
      </c>
      <c r="E775" s="107" t="s">
        <v>3824</v>
      </c>
      <c r="G775" s="69">
        <v>2462.25</v>
      </c>
      <c r="T775" s="69"/>
      <c r="U775" s="69"/>
      <c r="AR775" s="94">
        <f t="shared" si="62"/>
        <v>2462.25</v>
      </c>
      <c r="AS775" s="69">
        <v>1662.72</v>
      </c>
      <c r="AT775" s="69">
        <f>13.65+42.63</f>
        <v>56.28</v>
      </c>
      <c r="AU775" s="69">
        <f>799.53-AT775-150</f>
        <v>593.25</v>
      </c>
      <c r="AV775" s="69">
        <v>150</v>
      </c>
      <c r="BC775" s="69"/>
      <c r="BD775" s="69"/>
      <c r="CC775" s="94">
        <f t="shared" si="57"/>
        <v>2462.25</v>
      </c>
      <c r="CD775" s="73">
        <f t="shared" si="64"/>
        <v>0</v>
      </c>
      <c r="CE775" s="75">
        <f t="shared" si="63"/>
        <v>3432</v>
      </c>
      <c r="CF775" s="69" t="str">
        <f t="shared" si="63"/>
        <v>خ ت صيدلة</v>
      </c>
    </row>
    <row r="776" spans="1:91" ht="18.75" x14ac:dyDescent="0.25">
      <c r="B776" s="82"/>
      <c r="C776" s="70">
        <v>3433</v>
      </c>
      <c r="D776" s="71" t="s">
        <v>1431</v>
      </c>
      <c r="E776" s="107" t="s">
        <v>3807</v>
      </c>
      <c r="T776" s="69"/>
      <c r="U776" s="69"/>
      <c r="AR776" s="94">
        <f t="shared" si="62"/>
        <v>0</v>
      </c>
      <c r="AT776" s="69"/>
      <c r="BC776" s="69"/>
      <c r="BD776" s="69"/>
      <c r="CC776" s="94">
        <f t="shared" si="57"/>
        <v>0</v>
      </c>
      <c r="CD776" s="73">
        <f t="shared" si="64"/>
        <v>0</v>
      </c>
      <c r="CE776" s="75">
        <f t="shared" si="63"/>
        <v>3433</v>
      </c>
      <c r="CF776" s="69" t="str">
        <f t="shared" si="63"/>
        <v>لاب فقط</v>
      </c>
    </row>
    <row r="777" spans="1:91" ht="18.75" x14ac:dyDescent="0.25">
      <c r="B777" s="82"/>
      <c r="C777" s="70">
        <v>3434</v>
      </c>
      <c r="D777" s="71" t="s">
        <v>1431</v>
      </c>
      <c r="E777" s="107" t="s">
        <v>3825</v>
      </c>
      <c r="T777" s="69"/>
      <c r="U777" s="69"/>
      <c r="AR777" s="94">
        <f t="shared" si="62"/>
        <v>0</v>
      </c>
      <c r="AT777" s="69"/>
      <c r="BC777" s="69"/>
      <c r="BD777" s="69"/>
      <c r="CC777" s="94">
        <f t="shared" si="57"/>
        <v>0</v>
      </c>
      <c r="CD777" s="73">
        <f t="shared" si="64"/>
        <v>0</v>
      </c>
      <c r="CE777" s="75">
        <f t="shared" si="63"/>
        <v>3434</v>
      </c>
      <c r="CF777" s="69" t="str">
        <f t="shared" si="63"/>
        <v>لاب فقط</v>
      </c>
    </row>
    <row r="778" spans="1:91" ht="18.75" x14ac:dyDescent="0.25">
      <c r="B778" s="82"/>
      <c r="C778" s="70">
        <v>3435</v>
      </c>
      <c r="D778" s="71" t="s">
        <v>1431</v>
      </c>
      <c r="E778" s="107" t="s">
        <v>3826</v>
      </c>
      <c r="T778" s="69"/>
      <c r="U778" s="69"/>
      <c r="AR778" s="94">
        <f t="shared" si="62"/>
        <v>0</v>
      </c>
      <c r="AT778" s="69"/>
      <c r="BC778" s="69"/>
      <c r="BD778" s="69"/>
      <c r="CC778" s="94">
        <f t="shared" si="57"/>
        <v>0</v>
      </c>
      <c r="CD778" s="73">
        <f t="shared" si="64"/>
        <v>0</v>
      </c>
      <c r="CE778" s="75">
        <f t="shared" si="63"/>
        <v>3435</v>
      </c>
      <c r="CF778" s="69" t="str">
        <f t="shared" si="63"/>
        <v>لاب فقط</v>
      </c>
    </row>
    <row r="779" spans="1:91" ht="18.75" x14ac:dyDescent="0.25">
      <c r="B779" s="82">
        <v>6454</v>
      </c>
      <c r="C779" s="70">
        <v>3436</v>
      </c>
      <c r="D779" s="71" t="s">
        <v>130</v>
      </c>
      <c r="E779" s="107" t="s">
        <v>3827</v>
      </c>
      <c r="H779" s="69">
        <v>200</v>
      </c>
      <c r="T779" s="69"/>
      <c r="U779" s="69"/>
      <c r="AR779" s="94">
        <f t="shared" si="62"/>
        <v>200</v>
      </c>
      <c r="AS779" s="69">
        <v>200</v>
      </c>
      <c r="AT779" s="69"/>
      <c r="BC779" s="69"/>
      <c r="BD779" s="69"/>
      <c r="CC779" s="94">
        <f t="shared" si="57"/>
        <v>200</v>
      </c>
      <c r="CD779" s="73">
        <f t="shared" si="64"/>
        <v>0</v>
      </c>
      <c r="CE779" s="75">
        <f t="shared" si="63"/>
        <v>3436</v>
      </c>
      <c r="CF779" s="69" t="str">
        <f t="shared" si="63"/>
        <v>خ ت طب</v>
      </c>
    </row>
    <row r="780" spans="1:91" s="68" customFormat="1" ht="23.25" customHeight="1" x14ac:dyDescent="0.25">
      <c r="B780" s="83"/>
      <c r="C780" s="84"/>
      <c r="D780" s="85"/>
      <c r="E780" s="108" t="s">
        <v>3828</v>
      </c>
      <c r="G780" s="68">
        <f>SUM(G705:G779)</f>
        <v>775003.37</v>
      </c>
      <c r="H780" s="68">
        <f t="shared" ref="H780:BT780" si="65">SUM(H705:H779)</f>
        <v>200</v>
      </c>
      <c r="I780" s="68">
        <f t="shared" si="65"/>
        <v>0</v>
      </c>
      <c r="J780" s="68">
        <f t="shared" si="65"/>
        <v>0</v>
      </c>
      <c r="K780" s="68">
        <f t="shared" si="65"/>
        <v>0</v>
      </c>
      <c r="L780" s="68">
        <f t="shared" si="65"/>
        <v>0</v>
      </c>
      <c r="M780" s="68">
        <f t="shared" si="65"/>
        <v>0</v>
      </c>
      <c r="N780" s="68">
        <f t="shared" si="65"/>
        <v>0</v>
      </c>
      <c r="O780" s="68">
        <f t="shared" si="65"/>
        <v>0</v>
      </c>
      <c r="P780" s="68">
        <f t="shared" si="65"/>
        <v>0</v>
      </c>
      <c r="Q780" s="68">
        <f t="shared" si="65"/>
        <v>0</v>
      </c>
      <c r="R780" s="68">
        <f t="shared" si="65"/>
        <v>0</v>
      </c>
      <c r="S780" s="68">
        <f t="shared" si="65"/>
        <v>0</v>
      </c>
      <c r="T780" s="68">
        <f t="shared" si="65"/>
        <v>0</v>
      </c>
      <c r="U780" s="68">
        <f t="shared" si="65"/>
        <v>0</v>
      </c>
      <c r="V780" s="68">
        <f t="shared" si="65"/>
        <v>0</v>
      </c>
      <c r="W780" s="68">
        <f t="shared" si="65"/>
        <v>0</v>
      </c>
      <c r="X780" s="68">
        <f t="shared" si="65"/>
        <v>0</v>
      </c>
      <c r="Y780" s="68">
        <f t="shared" si="65"/>
        <v>0</v>
      </c>
      <c r="Z780" s="68">
        <f t="shared" si="65"/>
        <v>0</v>
      </c>
      <c r="AA780" s="68">
        <f t="shared" si="65"/>
        <v>0</v>
      </c>
      <c r="AB780" s="68">
        <f t="shared" si="65"/>
        <v>0</v>
      </c>
      <c r="AC780" s="68">
        <f t="shared" si="65"/>
        <v>0</v>
      </c>
      <c r="AD780" s="68">
        <f t="shared" si="65"/>
        <v>0</v>
      </c>
      <c r="AE780" s="68">
        <f t="shared" si="65"/>
        <v>0</v>
      </c>
      <c r="AF780" s="68">
        <f t="shared" si="65"/>
        <v>0</v>
      </c>
      <c r="AG780" s="68">
        <f t="shared" si="65"/>
        <v>0</v>
      </c>
      <c r="AH780" s="68">
        <f t="shared" si="65"/>
        <v>0</v>
      </c>
      <c r="AI780" s="68">
        <f t="shared" si="65"/>
        <v>0</v>
      </c>
      <c r="AJ780" s="68">
        <f t="shared" si="65"/>
        <v>0</v>
      </c>
      <c r="AK780" s="68">
        <f t="shared" si="65"/>
        <v>0</v>
      </c>
      <c r="AL780" s="68">
        <f t="shared" si="65"/>
        <v>0</v>
      </c>
      <c r="AM780" s="68">
        <f t="shared" si="65"/>
        <v>0</v>
      </c>
      <c r="AO780" s="68">
        <f t="shared" si="65"/>
        <v>0</v>
      </c>
      <c r="AP780" s="68">
        <f t="shared" si="65"/>
        <v>0</v>
      </c>
      <c r="AQ780" s="68">
        <f t="shared" si="65"/>
        <v>0</v>
      </c>
      <c r="AR780" s="94">
        <f t="shared" si="62"/>
        <v>775203.37</v>
      </c>
      <c r="AS780" s="68">
        <f t="shared" si="65"/>
        <v>644731.03999999992</v>
      </c>
      <c r="AT780" s="68">
        <f t="shared" si="65"/>
        <v>79920.149999999994</v>
      </c>
      <c r="AU780" s="68">
        <f t="shared" si="65"/>
        <v>46220.53</v>
      </c>
      <c r="AV780" s="68">
        <f t="shared" si="65"/>
        <v>4331.6499999999996</v>
      </c>
      <c r="AW780" s="68">
        <f t="shared" si="65"/>
        <v>0</v>
      </c>
      <c r="AX780" s="68">
        <f t="shared" si="65"/>
        <v>0</v>
      </c>
      <c r="AY780" s="68">
        <f t="shared" si="65"/>
        <v>0</v>
      </c>
      <c r="AZ780" s="68">
        <f t="shared" si="65"/>
        <v>0</v>
      </c>
      <c r="BA780" s="68">
        <f t="shared" si="65"/>
        <v>0</v>
      </c>
      <c r="BB780" s="68">
        <f t="shared" si="65"/>
        <v>0</v>
      </c>
      <c r="BC780" s="68">
        <f t="shared" si="65"/>
        <v>0</v>
      </c>
      <c r="BD780" s="68">
        <f t="shared" si="65"/>
        <v>0</v>
      </c>
      <c r="BE780" s="68">
        <f t="shared" si="65"/>
        <v>0</v>
      </c>
      <c r="BF780" s="68">
        <f t="shared" si="65"/>
        <v>0</v>
      </c>
      <c r="BG780" s="68">
        <f t="shared" si="65"/>
        <v>0</v>
      </c>
      <c r="BH780" s="68">
        <f t="shared" si="65"/>
        <v>0</v>
      </c>
      <c r="BI780" s="68">
        <f t="shared" si="65"/>
        <v>0</v>
      </c>
      <c r="BJ780" s="68">
        <f t="shared" si="65"/>
        <v>0</v>
      </c>
      <c r="BK780" s="68">
        <f t="shared" si="65"/>
        <v>0</v>
      </c>
      <c r="BL780" s="68">
        <f t="shared" si="65"/>
        <v>0</v>
      </c>
      <c r="BM780" s="68">
        <f t="shared" si="65"/>
        <v>0</v>
      </c>
      <c r="BN780" s="68">
        <f t="shared" si="65"/>
        <v>0</v>
      </c>
      <c r="BO780" s="68">
        <f t="shared" si="65"/>
        <v>0</v>
      </c>
      <c r="BP780" s="68">
        <f t="shared" si="65"/>
        <v>0</v>
      </c>
      <c r="BQ780" s="68">
        <f t="shared" si="65"/>
        <v>0</v>
      </c>
      <c r="BR780" s="68">
        <f t="shared" si="65"/>
        <v>0</v>
      </c>
      <c r="BS780" s="68">
        <f t="shared" si="65"/>
        <v>0</v>
      </c>
      <c r="BT780" s="68">
        <f t="shared" si="65"/>
        <v>0</v>
      </c>
      <c r="BU780" s="68">
        <f t="shared" ref="BU780:CM780" si="66">SUM(BU705:BU779)</f>
        <v>0</v>
      </c>
      <c r="BV780" s="68">
        <f t="shared" si="66"/>
        <v>0</v>
      </c>
      <c r="BW780" s="68">
        <f t="shared" si="66"/>
        <v>0</v>
      </c>
      <c r="BX780" s="68">
        <f t="shared" si="66"/>
        <v>0</v>
      </c>
      <c r="BY780" s="68">
        <f t="shared" si="66"/>
        <v>0</v>
      </c>
      <c r="BZ780" s="68">
        <f t="shared" si="66"/>
        <v>0</v>
      </c>
      <c r="CA780" s="68">
        <f t="shared" si="66"/>
        <v>0</v>
      </c>
      <c r="CB780" s="68">
        <f t="shared" si="66"/>
        <v>0</v>
      </c>
      <c r="CC780" s="94">
        <f t="shared" ref="CC780:CC783" si="67">SUM(AS780:CB780)</f>
        <v>775203.37</v>
      </c>
      <c r="CD780" s="73">
        <f t="shared" si="64"/>
        <v>0</v>
      </c>
      <c r="CE780" s="75">
        <f t="shared" si="63"/>
        <v>0</v>
      </c>
      <c r="CF780" s="69">
        <f t="shared" si="63"/>
        <v>0</v>
      </c>
      <c r="CG780" s="68">
        <f t="shared" si="66"/>
        <v>0</v>
      </c>
      <c r="CH780" s="68">
        <f t="shared" si="66"/>
        <v>0</v>
      </c>
      <c r="CI780" s="68">
        <f t="shared" si="66"/>
        <v>0</v>
      </c>
      <c r="CJ780" s="68">
        <f t="shared" si="66"/>
        <v>0</v>
      </c>
      <c r="CK780" s="68">
        <f t="shared" si="66"/>
        <v>0</v>
      </c>
      <c r="CL780" s="68">
        <f t="shared" si="66"/>
        <v>0</v>
      </c>
      <c r="CM780" s="68">
        <f t="shared" si="66"/>
        <v>0</v>
      </c>
    </row>
    <row r="781" spans="1:91" ht="18.75" x14ac:dyDescent="0.25">
      <c r="B781" s="82">
        <v>2433</v>
      </c>
      <c r="C781" s="78">
        <v>3437</v>
      </c>
      <c r="D781" s="71"/>
      <c r="E781" s="107" t="s">
        <v>3829</v>
      </c>
      <c r="F781" s="69" t="s">
        <v>220</v>
      </c>
      <c r="T781" s="69">
        <v>9718.01</v>
      </c>
      <c r="U781" s="69"/>
      <c r="AR781" s="94">
        <f t="shared" si="62"/>
        <v>9718.01</v>
      </c>
      <c r="AS781" s="69">
        <v>9718.01</v>
      </c>
      <c r="AT781" s="69"/>
      <c r="BC781" s="69"/>
      <c r="BD781" s="69"/>
      <c r="CC781" s="94">
        <f t="shared" si="67"/>
        <v>9718.01</v>
      </c>
      <c r="CD781" s="73">
        <f t="shared" si="64"/>
        <v>0</v>
      </c>
      <c r="CE781" s="75">
        <f t="shared" si="63"/>
        <v>3437</v>
      </c>
      <c r="CF781" s="69">
        <f t="shared" si="63"/>
        <v>0</v>
      </c>
    </row>
    <row r="782" spans="1:91" ht="18.75" x14ac:dyDescent="0.25">
      <c r="B782" s="82">
        <v>3139</v>
      </c>
      <c r="C782" s="78">
        <v>3438</v>
      </c>
      <c r="D782" s="71"/>
      <c r="E782" s="107" t="s">
        <v>3830</v>
      </c>
      <c r="F782" s="69" t="s">
        <v>220</v>
      </c>
      <c r="T782" s="69"/>
      <c r="U782" s="69"/>
      <c r="AC782" s="69">
        <v>5.22</v>
      </c>
      <c r="AR782" s="94">
        <f t="shared" si="62"/>
        <v>5.22</v>
      </c>
      <c r="AS782" s="69">
        <v>5.22</v>
      </c>
      <c r="AT782" s="69"/>
      <c r="BC782" s="69"/>
      <c r="BD782" s="69"/>
      <c r="CC782" s="94">
        <f t="shared" si="67"/>
        <v>5.22</v>
      </c>
      <c r="CD782" s="73">
        <f t="shared" si="64"/>
        <v>0</v>
      </c>
      <c r="CE782" s="75">
        <f t="shared" si="63"/>
        <v>3438</v>
      </c>
      <c r="CF782" s="69">
        <f t="shared" si="63"/>
        <v>0</v>
      </c>
    </row>
    <row r="783" spans="1:91" ht="18.75" x14ac:dyDescent="0.25">
      <c r="B783" s="82">
        <v>3140</v>
      </c>
      <c r="C783" s="78">
        <v>3439</v>
      </c>
      <c r="D783" s="71"/>
      <c r="E783" s="107" t="s">
        <v>3831</v>
      </c>
      <c r="F783" s="69" t="s">
        <v>220</v>
      </c>
      <c r="T783" s="69"/>
      <c r="U783" s="69"/>
      <c r="AC783" s="69">
        <v>3</v>
      </c>
      <c r="AR783" s="94">
        <f t="shared" ref="AR783" si="68">SUM(G783:AQ783)</f>
        <v>3</v>
      </c>
      <c r="AS783" s="69">
        <v>3</v>
      </c>
      <c r="AT783" s="69"/>
      <c r="BC783" s="69"/>
      <c r="BD783" s="69"/>
      <c r="CC783" s="94">
        <f t="shared" si="67"/>
        <v>3</v>
      </c>
      <c r="CD783" s="73">
        <f t="shared" si="64"/>
        <v>0</v>
      </c>
      <c r="CE783" s="75">
        <f t="shared" si="63"/>
        <v>3439</v>
      </c>
      <c r="CF783" s="69">
        <f t="shared" si="63"/>
        <v>0</v>
      </c>
    </row>
    <row r="784" spans="1:91" s="68" customFormat="1" ht="18.75" x14ac:dyDescent="0.25">
      <c r="B784" s="83"/>
      <c r="C784" s="84"/>
      <c r="D784" s="85"/>
      <c r="E784" s="108" t="s">
        <v>3832</v>
      </c>
      <c r="T784" s="68">
        <f>SUM(T781:T783)</f>
        <v>9718.01</v>
      </c>
      <c r="U784" s="68">
        <f t="shared" ref="U784:CG784" si="69">SUM(U781:U783)</f>
        <v>0</v>
      </c>
      <c r="V784" s="68">
        <f t="shared" si="69"/>
        <v>0</v>
      </c>
      <c r="W784" s="68">
        <f t="shared" si="69"/>
        <v>0</v>
      </c>
      <c r="X784" s="68">
        <f t="shared" si="69"/>
        <v>0</v>
      </c>
      <c r="Y784" s="68">
        <f t="shared" si="69"/>
        <v>0</v>
      </c>
      <c r="Z784" s="68">
        <f t="shared" si="69"/>
        <v>0</v>
      </c>
      <c r="AA784" s="68">
        <f t="shared" si="69"/>
        <v>0</v>
      </c>
      <c r="AB784" s="68">
        <f t="shared" si="69"/>
        <v>0</v>
      </c>
      <c r="AC784" s="68">
        <f t="shared" si="69"/>
        <v>8.2199999999999989</v>
      </c>
      <c r="AD784" s="68">
        <f t="shared" si="69"/>
        <v>0</v>
      </c>
      <c r="AE784" s="68">
        <f t="shared" si="69"/>
        <v>0</v>
      </c>
      <c r="AF784" s="68">
        <f t="shared" si="69"/>
        <v>0</v>
      </c>
      <c r="AG784" s="68">
        <f t="shared" si="69"/>
        <v>0</v>
      </c>
      <c r="AH784" s="68">
        <f t="shared" si="69"/>
        <v>0</v>
      </c>
      <c r="AI784" s="68">
        <f t="shared" si="69"/>
        <v>0</v>
      </c>
      <c r="AJ784" s="68">
        <f t="shared" si="69"/>
        <v>0</v>
      </c>
      <c r="AK784" s="68">
        <f t="shared" si="69"/>
        <v>0</v>
      </c>
      <c r="AL784" s="68">
        <f t="shared" si="69"/>
        <v>0</v>
      </c>
      <c r="AM784" s="68">
        <f t="shared" si="69"/>
        <v>0</v>
      </c>
      <c r="AO784" s="68">
        <f t="shared" si="69"/>
        <v>0</v>
      </c>
      <c r="AP784" s="68">
        <f t="shared" si="69"/>
        <v>0</v>
      </c>
      <c r="AQ784" s="68">
        <f t="shared" si="69"/>
        <v>0</v>
      </c>
      <c r="AR784" s="91">
        <f t="shared" si="69"/>
        <v>9726.23</v>
      </c>
      <c r="AS784" s="68">
        <f t="shared" si="69"/>
        <v>9726.23</v>
      </c>
      <c r="AT784" s="68">
        <f t="shared" si="69"/>
        <v>0</v>
      </c>
      <c r="AU784" s="68">
        <f t="shared" si="69"/>
        <v>0</v>
      </c>
      <c r="AV784" s="68">
        <f t="shared" si="69"/>
        <v>0</v>
      </c>
      <c r="AW784" s="68">
        <f t="shared" si="69"/>
        <v>0</v>
      </c>
      <c r="AX784" s="68">
        <f t="shared" si="69"/>
        <v>0</v>
      </c>
      <c r="AY784" s="68">
        <f t="shared" si="69"/>
        <v>0</v>
      </c>
      <c r="AZ784" s="68">
        <f t="shared" si="69"/>
        <v>0</v>
      </c>
      <c r="BA784" s="68">
        <f t="shared" si="69"/>
        <v>0</v>
      </c>
      <c r="BB784" s="68">
        <f t="shared" si="69"/>
        <v>0</v>
      </c>
      <c r="BC784" s="68">
        <f t="shared" si="69"/>
        <v>0</v>
      </c>
      <c r="BD784" s="68">
        <f t="shared" si="69"/>
        <v>0</v>
      </c>
      <c r="BE784" s="68">
        <f t="shared" si="69"/>
        <v>0</v>
      </c>
      <c r="BF784" s="68">
        <f t="shared" si="69"/>
        <v>0</v>
      </c>
      <c r="BG784" s="68">
        <f t="shared" si="69"/>
        <v>0</v>
      </c>
      <c r="BH784" s="68">
        <f t="shared" si="69"/>
        <v>0</v>
      </c>
      <c r="BI784" s="68">
        <f t="shared" si="69"/>
        <v>0</v>
      </c>
      <c r="BJ784" s="68">
        <f t="shared" si="69"/>
        <v>0</v>
      </c>
      <c r="BK784" s="68">
        <f t="shared" si="69"/>
        <v>0</v>
      </c>
      <c r="BL784" s="68">
        <f t="shared" si="69"/>
        <v>0</v>
      </c>
      <c r="BM784" s="68">
        <f t="shared" si="69"/>
        <v>0</v>
      </c>
      <c r="BN784" s="68">
        <f t="shared" si="69"/>
        <v>0</v>
      </c>
      <c r="BO784" s="68">
        <f t="shared" si="69"/>
        <v>0</v>
      </c>
      <c r="BP784" s="68">
        <f t="shared" si="69"/>
        <v>0</v>
      </c>
      <c r="BQ784" s="68">
        <f t="shared" si="69"/>
        <v>0</v>
      </c>
      <c r="BR784" s="68">
        <f t="shared" si="69"/>
        <v>0</v>
      </c>
      <c r="BS784" s="68">
        <f t="shared" si="69"/>
        <v>0</v>
      </c>
      <c r="BT784" s="68">
        <f t="shared" si="69"/>
        <v>0</v>
      </c>
      <c r="BU784" s="68">
        <f t="shared" si="69"/>
        <v>0</v>
      </c>
      <c r="BV784" s="68">
        <f t="shared" si="69"/>
        <v>0</v>
      </c>
      <c r="BW784" s="68">
        <f t="shared" si="69"/>
        <v>0</v>
      </c>
      <c r="BX784" s="68">
        <f t="shared" si="69"/>
        <v>0</v>
      </c>
      <c r="BY784" s="68">
        <f t="shared" si="69"/>
        <v>0</v>
      </c>
      <c r="BZ784" s="68">
        <f t="shared" si="69"/>
        <v>0</v>
      </c>
      <c r="CA784" s="68">
        <f t="shared" si="69"/>
        <v>0</v>
      </c>
      <c r="CB784" s="68">
        <f t="shared" si="69"/>
        <v>0</v>
      </c>
      <c r="CC784" s="91">
        <f t="shared" si="69"/>
        <v>9726.23</v>
      </c>
      <c r="CD784" s="68">
        <f t="shared" si="69"/>
        <v>0</v>
      </c>
      <c r="CE784" s="67"/>
      <c r="CF784" s="68">
        <f t="shared" si="69"/>
        <v>0</v>
      </c>
      <c r="CG784" s="68">
        <f t="shared" si="69"/>
        <v>0</v>
      </c>
      <c r="CH784" s="68">
        <f t="shared" ref="CH784:CK784" si="70">SUM(CH781:CH783)</f>
        <v>0</v>
      </c>
      <c r="CI784" s="68">
        <f t="shared" si="70"/>
        <v>0</v>
      </c>
      <c r="CJ784" s="68">
        <f t="shared" si="70"/>
        <v>0</v>
      </c>
      <c r="CK784" s="68">
        <f t="shared" si="70"/>
        <v>0</v>
      </c>
    </row>
    <row r="785" spans="1:84" ht="18.75" x14ac:dyDescent="0.25">
      <c r="B785" s="82">
        <v>5641</v>
      </c>
      <c r="C785" s="70">
        <v>3440</v>
      </c>
      <c r="D785" s="71" t="s">
        <v>249</v>
      </c>
      <c r="E785" s="107" t="s">
        <v>3833</v>
      </c>
      <c r="H785" s="69">
        <v>9496.2000000000007</v>
      </c>
      <c r="T785" s="69"/>
      <c r="U785" s="69"/>
      <c r="AR785" s="94">
        <f t="shared" ref="AR785:AR1248" si="71">SUM(G785:AQ785)</f>
        <v>9496.2000000000007</v>
      </c>
      <c r="AS785" s="69">
        <v>8226.2000000000007</v>
      </c>
      <c r="AT785" s="69">
        <f>132.5+397.5+31.5</f>
        <v>561.5</v>
      </c>
      <c r="AV785" s="69">
        <v>5</v>
      </c>
      <c r="BC785" s="69"/>
      <c r="BD785" s="69"/>
      <c r="BF785" s="69">
        <v>83.5</v>
      </c>
      <c r="BG785" s="69">
        <v>70</v>
      </c>
      <c r="BH785" s="69">
        <f>37.5*2</f>
        <v>75</v>
      </c>
      <c r="BI785" s="69">
        <v>475</v>
      </c>
      <c r="CC785" s="94">
        <f t="shared" si="57"/>
        <v>9496.2000000000007</v>
      </c>
      <c r="CD785" s="73">
        <f t="shared" si="64"/>
        <v>0</v>
      </c>
      <c r="CE785" s="75">
        <f t="shared" si="63"/>
        <v>3440</v>
      </c>
      <c r="CF785" s="69" t="str">
        <f t="shared" si="63"/>
        <v>خدمة عامة</v>
      </c>
    </row>
    <row r="786" spans="1:84" ht="36" x14ac:dyDescent="0.25">
      <c r="A786" s="69" t="s">
        <v>374</v>
      </c>
      <c r="B786" s="82">
        <v>5644</v>
      </c>
      <c r="C786" s="70">
        <v>3441</v>
      </c>
      <c r="D786" s="71" t="s">
        <v>121</v>
      </c>
      <c r="E786" s="174" t="s">
        <v>3834</v>
      </c>
      <c r="H786" s="69">
        <v>663246.69999999995</v>
      </c>
      <c r="T786" s="69"/>
      <c r="U786" s="69"/>
      <c r="AR786" s="94">
        <f t="shared" si="71"/>
        <v>663246.69999999995</v>
      </c>
      <c r="AS786" s="69">
        <v>626027.4</v>
      </c>
      <c r="AT786" s="69">
        <f>3591+10773+51.3</f>
        <v>14415.3</v>
      </c>
      <c r="BC786" s="69"/>
      <c r="BD786" s="69"/>
      <c r="BF786" s="69">
        <v>17454</v>
      </c>
      <c r="BG786" s="69">
        <v>114</v>
      </c>
      <c r="BH786" s="69">
        <f>2618*2</f>
        <v>5236</v>
      </c>
      <c r="CC786" s="94">
        <f t="shared" si="57"/>
        <v>663246.70000000007</v>
      </c>
      <c r="CD786" s="73">
        <f t="shared" si="64"/>
        <v>0</v>
      </c>
      <c r="CE786" s="75">
        <f t="shared" si="63"/>
        <v>3441</v>
      </c>
      <c r="CF786" s="69" t="str">
        <f t="shared" si="63"/>
        <v>ماليزى اسنان</v>
      </c>
    </row>
    <row r="787" spans="1:84" ht="36" x14ac:dyDescent="0.25">
      <c r="B787" s="82">
        <v>5646</v>
      </c>
      <c r="C787" s="70">
        <v>3442</v>
      </c>
      <c r="D787" s="71" t="s">
        <v>121</v>
      </c>
      <c r="E787" s="174" t="s">
        <v>3835</v>
      </c>
      <c r="H787" s="69">
        <v>3500</v>
      </c>
      <c r="O787" s="69">
        <v>3500</v>
      </c>
      <c r="T787" s="69"/>
      <c r="U787" s="69"/>
      <c r="AR787" s="94">
        <f t="shared" si="71"/>
        <v>7000</v>
      </c>
      <c r="AS787" s="69">
        <v>3500</v>
      </c>
      <c r="AT787" s="69"/>
      <c r="BC787" s="69"/>
      <c r="BD787" s="69"/>
      <c r="BN787" s="69">
        <v>3500</v>
      </c>
      <c r="CC787" s="94">
        <f t="shared" ref="CC787:CC793" si="72">SUM(AS787:CB787)</f>
        <v>7000</v>
      </c>
      <c r="CD787" s="73">
        <f t="shared" si="64"/>
        <v>0</v>
      </c>
      <c r="CE787" s="75">
        <f t="shared" si="63"/>
        <v>3442</v>
      </c>
      <c r="CF787" s="69" t="str">
        <f t="shared" si="63"/>
        <v>ماليزى اسنان</v>
      </c>
    </row>
    <row r="788" spans="1:84" ht="54" x14ac:dyDescent="0.25">
      <c r="B788" s="82">
        <v>5055</v>
      </c>
      <c r="C788" s="70">
        <v>3443</v>
      </c>
      <c r="D788" s="71" t="s">
        <v>121</v>
      </c>
      <c r="E788" s="174" t="s">
        <v>3836</v>
      </c>
      <c r="H788" s="69">
        <v>246225</v>
      </c>
      <c r="T788" s="69"/>
      <c r="U788" s="69"/>
      <c r="AR788" s="94">
        <f t="shared" si="71"/>
        <v>246225</v>
      </c>
      <c r="AS788" s="69">
        <v>232128.35</v>
      </c>
      <c r="AT788" s="69">
        <f>1395.75+4187.25+27.9</f>
        <v>5610.9</v>
      </c>
      <c r="BC788" s="69"/>
      <c r="BD788" s="69"/>
      <c r="BF788" s="69">
        <v>6479.75</v>
      </c>
      <c r="BG788" s="69">
        <v>62</v>
      </c>
      <c r="BH788" s="69">
        <f>972*2</f>
        <v>1944</v>
      </c>
      <c r="CC788" s="94">
        <f t="shared" si="72"/>
        <v>246225</v>
      </c>
      <c r="CD788" s="73">
        <f t="shared" si="64"/>
        <v>0</v>
      </c>
      <c r="CE788" s="75">
        <f t="shared" si="63"/>
        <v>3443</v>
      </c>
      <c r="CF788" s="69" t="str">
        <f t="shared" si="63"/>
        <v>ماليزى اسنان</v>
      </c>
    </row>
    <row r="789" spans="1:84" ht="18.75" x14ac:dyDescent="0.25">
      <c r="B789" s="82">
        <v>5357</v>
      </c>
      <c r="C789" s="70">
        <v>3444</v>
      </c>
      <c r="D789" s="71" t="s">
        <v>119</v>
      </c>
      <c r="E789" s="107" t="s">
        <v>3837</v>
      </c>
      <c r="H789" s="69">
        <v>16350</v>
      </c>
      <c r="T789" s="69"/>
      <c r="U789" s="69"/>
      <c r="AR789" s="94">
        <f t="shared" si="71"/>
        <v>16350</v>
      </c>
      <c r="AS789" s="69">
        <v>15337.3</v>
      </c>
      <c r="AT789" s="69">
        <v>809.2</v>
      </c>
      <c r="BC789" s="69"/>
      <c r="BD789" s="69"/>
      <c r="BF789" s="69">
        <v>163.5</v>
      </c>
      <c r="BG789" s="69">
        <v>40</v>
      </c>
      <c r="CC789" s="94">
        <f t="shared" si="72"/>
        <v>16350</v>
      </c>
      <c r="CD789" s="73">
        <f t="shared" si="64"/>
        <v>0</v>
      </c>
      <c r="CE789" s="75">
        <f t="shared" si="63"/>
        <v>3444</v>
      </c>
      <c r="CF789" s="69" t="str">
        <f t="shared" si="63"/>
        <v>خ ت صيدلة</v>
      </c>
    </row>
    <row r="790" spans="1:84" ht="18.75" x14ac:dyDescent="0.25">
      <c r="B790" s="82">
        <v>6366</v>
      </c>
      <c r="C790" s="70">
        <v>3445</v>
      </c>
      <c r="D790" s="71" t="s">
        <v>132</v>
      </c>
      <c r="E790" s="107" t="s">
        <v>3838</v>
      </c>
      <c r="H790" s="69">
        <v>4420</v>
      </c>
      <c r="T790" s="69"/>
      <c r="U790" s="69"/>
      <c r="AR790" s="94">
        <f t="shared" si="71"/>
        <v>4420</v>
      </c>
      <c r="AS790" s="69">
        <v>4420</v>
      </c>
      <c r="AT790" s="69"/>
      <c r="BC790" s="69"/>
      <c r="BD790" s="69"/>
      <c r="CC790" s="94">
        <f t="shared" si="72"/>
        <v>4420</v>
      </c>
      <c r="CD790" s="73">
        <f t="shared" si="64"/>
        <v>0</v>
      </c>
      <c r="CE790" s="75">
        <f t="shared" si="63"/>
        <v>3445</v>
      </c>
      <c r="CF790" s="69" t="str">
        <f t="shared" si="63"/>
        <v>صيدلة اكلينيكى</v>
      </c>
    </row>
    <row r="791" spans="1:84" ht="18.75" x14ac:dyDescent="0.25">
      <c r="A791" s="69">
        <f>140298.99-A774</f>
        <v>83588.739999999991</v>
      </c>
      <c r="B791" s="82">
        <v>6367</v>
      </c>
      <c r="C791" s="70">
        <v>3446</v>
      </c>
      <c r="D791" s="71" t="s">
        <v>132</v>
      </c>
      <c r="E791" s="107" t="s">
        <v>3839</v>
      </c>
      <c r="H791" s="69">
        <v>297.5</v>
      </c>
      <c r="T791" s="69"/>
      <c r="U791" s="69"/>
      <c r="AR791" s="94">
        <f t="shared" si="71"/>
        <v>297.5</v>
      </c>
      <c r="AS791" s="69">
        <v>297.5</v>
      </c>
      <c r="AT791" s="69"/>
      <c r="BC791" s="69"/>
      <c r="BD791" s="69"/>
      <c r="CC791" s="94">
        <f t="shared" si="72"/>
        <v>297.5</v>
      </c>
      <c r="CD791" s="73">
        <f t="shared" si="64"/>
        <v>0</v>
      </c>
      <c r="CE791" s="75">
        <f t="shared" ref="CE791:CF806" si="73">+C791</f>
        <v>3446</v>
      </c>
      <c r="CF791" s="69" t="str">
        <f t="shared" si="73"/>
        <v>صيدلة اكلينيكى</v>
      </c>
    </row>
    <row r="792" spans="1:84" ht="18.75" x14ac:dyDescent="0.25">
      <c r="B792" s="82">
        <v>6371</v>
      </c>
      <c r="C792" s="70">
        <v>3447</v>
      </c>
      <c r="D792" s="71" t="s">
        <v>132</v>
      </c>
      <c r="E792" s="107" t="s">
        <v>3840</v>
      </c>
      <c r="Q792" s="69">
        <v>1433.55</v>
      </c>
      <c r="T792" s="69"/>
      <c r="U792" s="69"/>
      <c r="AR792" s="94">
        <f t="shared" si="71"/>
        <v>1433.55</v>
      </c>
      <c r="AS792" s="69">
        <v>1433.55</v>
      </c>
      <c r="AT792" s="69"/>
      <c r="BC792" s="69"/>
      <c r="BD792" s="69"/>
      <c r="CC792" s="94">
        <f t="shared" si="72"/>
        <v>1433.55</v>
      </c>
      <c r="CD792" s="73">
        <f t="shared" si="64"/>
        <v>0</v>
      </c>
      <c r="CE792" s="75">
        <f t="shared" si="73"/>
        <v>3447</v>
      </c>
      <c r="CF792" s="69" t="str">
        <f t="shared" si="73"/>
        <v>صيدلة اكلينيكى</v>
      </c>
    </row>
    <row r="793" spans="1:84" ht="18.75" x14ac:dyDescent="0.25">
      <c r="B793" s="82">
        <v>6369</v>
      </c>
      <c r="C793" s="70">
        <v>3448</v>
      </c>
      <c r="D793" s="71" t="s">
        <v>132</v>
      </c>
      <c r="E793" s="107" t="s">
        <v>3840</v>
      </c>
      <c r="Q793" s="69">
        <v>5013.1499999999996</v>
      </c>
      <c r="T793" s="69"/>
      <c r="U793" s="69"/>
      <c r="AR793" s="94">
        <f t="shared" si="71"/>
        <v>5013.1499999999996</v>
      </c>
      <c r="AS793" s="69">
        <v>5013.1499999999996</v>
      </c>
      <c r="AT793" s="69"/>
      <c r="BC793" s="69"/>
      <c r="BD793" s="69"/>
      <c r="CC793" s="94">
        <f t="shared" si="72"/>
        <v>5013.1499999999996</v>
      </c>
      <c r="CD793" s="73">
        <f t="shared" si="64"/>
        <v>0</v>
      </c>
      <c r="CE793" s="75">
        <f t="shared" si="73"/>
        <v>3448</v>
      </c>
      <c r="CF793" s="69" t="str">
        <f t="shared" si="73"/>
        <v>صيدلة اكلينيكى</v>
      </c>
    </row>
    <row r="794" spans="1:84" ht="18.75" x14ac:dyDescent="0.25">
      <c r="B794" s="82">
        <v>6312</v>
      </c>
      <c r="C794" s="70">
        <v>3449</v>
      </c>
      <c r="D794" s="71" t="s">
        <v>132</v>
      </c>
      <c r="E794" s="107" t="s">
        <v>3841</v>
      </c>
      <c r="Q794" s="69">
        <v>2350</v>
      </c>
      <c r="T794" s="69"/>
      <c r="U794" s="69"/>
      <c r="AR794" s="94">
        <f t="shared" ref="AR794:AR930" si="74">SUM(G794:AQ794)</f>
        <v>2350</v>
      </c>
      <c r="AS794" s="69">
        <v>2350</v>
      </c>
      <c r="AT794" s="69"/>
      <c r="BC794" s="69"/>
      <c r="BD794" s="69"/>
      <c r="CC794" s="94">
        <f t="shared" ref="CC794:CC857" si="75">SUM(AS794:CB794)</f>
        <v>2350</v>
      </c>
      <c r="CD794" s="73">
        <f t="shared" si="64"/>
        <v>0</v>
      </c>
      <c r="CE794" s="75">
        <f t="shared" si="73"/>
        <v>3449</v>
      </c>
      <c r="CF794" s="69" t="str">
        <f t="shared" si="73"/>
        <v>صيدلة اكلينيكى</v>
      </c>
    </row>
    <row r="795" spans="1:84" ht="18.75" x14ac:dyDescent="0.25">
      <c r="B795" s="82">
        <v>6310</v>
      </c>
      <c r="C795" s="70">
        <v>3450</v>
      </c>
      <c r="D795" s="71" t="s">
        <v>132</v>
      </c>
      <c r="E795" s="107" t="s">
        <v>3841</v>
      </c>
      <c r="Q795" s="69">
        <v>2200</v>
      </c>
      <c r="T795" s="69"/>
      <c r="U795" s="69"/>
      <c r="AR795" s="94">
        <f t="shared" si="74"/>
        <v>2200</v>
      </c>
      <c r="AS795" s="69">
        <v>2200</v>
      </c>
      <c r="AT795" s="69"/>
      <c r="BC795" s="69"/>
      <c r="BD795" s="69"/>
      <c r="CC795" s="94">
        <f t="shared" si="75"/>
        <v>2200</v>
      </c>
      <c r="CD795" s="73">
        <f t="shared" si="64"/>
        <v>0</v>
      </c>
      <c r="CE795" s="75">
        <f t="shared" si="73"/>
        <v>3450</v>
      </c>
      <c r="CF795" s="69" t="str">
        <f t="shared" si="73"/>
        <v>صيدلة اكلينيكى</v>
      </c>
    </row>
    <row r="796" spans="1:84" ht="18.75" x14ac:dyDescent="0.25">
      <c r="B796" s="82">
        <v>6311</v>
      </c>
      <c r="C796" s="70">
        <v>3451</v>
      </c>
      <c r="D796" s="71" t="s">
        <v>132</v>
      </c>
      <c r="E796" s="107" t="s">
        <v>3841</v>
      </c>
      <c r="Q796" s="69">
        <v>2250</v>
      </c>
      <c r="T796" s="69"/>
      <c r="U796" s="69"/>
      <c r="AR796" s="94">
        <f t="shared" si="74"/>
        <v>2250</v>
      </c>
      <c r="AS796" s="69">
        <v>2250</v>
      </c>
      <c r="AT796" s="69"/>
      <c r="BC796" s="69"/>
      <c r="BD796" s="69"/>
      <c r="CC796" s="94">
        <f t="shared" si="75"/>
        <v>2250</v>
      </c>
      <c r="CD796" s="73">
        <f t="shared" si="64"/>
        <v>0</v>
      </c>
      <c r="CE796" s="75">
        <f t="shared" si="73"/>
        <v>3451</v>
      </c>
      <c r="CF796" s="69" t="str">
        <f t="shared" si="73"/>
        <v>صيدلة اكلينيكى</v>
      </c>
    </row>
    <row r="797" spans="1:84" ht="18.75" x14ac:dyDescent="0.25">
      <c r="B797" s="82">
        <v>6322</v>
      </c>
      <c r="C797" s="70">
        <v>3452</v>
      </c>
      <c r="D797" s="71" t="s">
        <v>119</v>
      </c>
      <c r="E797" s="107" t="s">
        <v>3842</v>
      </c>
      <c r="G797" s="69">
        <v>41.04</v>
      </c>
      <c r="T797" s="69"/>
      <c r="U797" s="69"/>
      <c r="AR797" s="94">
        <f t="shared" si="74"/>
        <v>41.04</v>
      </c>
      <c r="AS797" s="69">
        <v>24.99</v>
      </c>
      <c r="AT797" s="69">
        <v>4.41</v>
      </c>
      <c r="AU797" s="69">
        <v>9.89</v>
      </c>
      <c r="AV797" s="69">
        <v>1.75</v>
      </c>
      <c r="BC797" s="69"/>
      <c r="BD797" s="69"/>
      <c r="CC797" s="94">
        <f t="shared" si="75"/>
        <v>41.04</v>
      </c>
      <c r="CD797" s="73">
        <f t="shared" si="64"/>
        <v>0</v>
      </c>
      <c r="CE797" s="75">
        <f t="shared" si="73"/>
        <v>3452</v>
      </c>
      <c r="CF797" s="69" t="str">
        <f t="shared" si="73"/>
        <v>خ ت صيدلة</v>
      </c>
    </row>
    <row r="798" spans="1:84" ht="18.75" x14ac:dyDescent="0.25">
      <c r="B798" s="82">
        <v>6425</v>
      </c>
      <c r="C798" s="70">
        <v>3453</v>
      </c>
      <c r="D798" s="71" t="s">
        <v>123</v>
      </c>
      <c r="E798" s="107" t="s">
        <v>3843</v>
      </c>
      <c r="G798" s="69">
        <v>2345</v>
      </c>
      <c r="T798" s="69"/>
      <c r="U798" s="69"/>
      <c r="AR798" s="94">
        <f t="shared" si="74"/>
        <v>2345</v>
      </c>
      <c r="AS798" s="69">
        <v>1565.37</v>
      </c>
      <c r="AT798" s="69">
        <f>200+14.63</f>
        <v>214.63</v>
      </c>
      <c r="AU798" s="69">
        <v>565</v>
      </c>
      <c r="BC798" s="69"/>
      <c r="BD798" s="69"/>
      <c r="CC798" s="94">
        <f t="shared" si="75"/>
        <v>2345</v>
      </c>
      <c r="CD798" s="73">
        <f t="shared" si="64"/>
        <v>0</v>
      </c>
      <c r="CE798" s="75">
        <f t="shared" si="73"/>
        <v>3453</v>
      </c>
      <c r="CF798" s="69" t="str">
        <f t="shared" si="73"/>
        <v>خ ت اسنان</v>
      </c>
    </row>
    <row r="799" spans="1:84" ht="18.75" x14ac:dyDescent="0.25">
      <c r="B799" s="82">
        <v>6424</v>
      </c>
      <c r="C799" s="70">
        <v>3454</v>
      </c>
      <c r="D799" s="71" t="s">
        <v>121</v>
      </c>
      <c r="E799" s="107" t="s">
        <v>3844</v>
      </c>
      <c r="G799" s="69">
        <v>1172.5</v>
      </c>
      <c r="T799" s="69"/>
      <c r="U799" s="69"/>
      <c r="AR799" s="94">
        <f t="shared" si="74"/>
        <v>1172.5</v>
      </c>
      <c r="AS799" s="69">
        <v>782.87</v>
      </c>
      <c r="AT799" s="69">
        <f>100+7.13</f>
        <v>107.13</v>
      </c>
      <c r="AU799" s="69">
        <v>282.5</v>
      </c>
      <c r="BC799" s="69"/>
      <c r="BD799" s="69"/>
      <c r="CC799" s="94">
        <f t="shared" si="75"/>
        <v>1172.5</v>
      </c>
      <c r="CD799" s="73">
        <f t="shared" si="64"/>
        <v>0</v>
      </c>
      <c r="CE799" s="75">
        <f t="shared" si="73"/>
        <v>3454</v>
      </c>
      <c r="CF799" s="69" t="str">
        <f t="shared" si="73"/>
        <v>ماليزى اسنان</v>
      </c>
    </row>
    <row r="800" spans="1:84" ht="36" x14ac:dyDescent="0.25">
      <c r="B800" s="82">
        <v>6467</v>
      </c>
      <c r="C800" s="70">
        <v>3455</v>
      </c>
      <c r="D800" s="71" t="s">
        <v>249</v>
      </c>
      <c r="E800" s="175" t="s">
        <v>3845</v>
      </c>
      <c r="G800" s="69">
        <v>1000</v>
      </c>
      <c r="T800" s="69"/>
      <c r="U800" s="69"/>
      <c r="AR800" s="94">
        <f t="shared" si="74"/>
        <v>1000</v>
      </c>
      <c r="AS800" s="69">
        <v>893.35</v>
      </c>
      <c r="AT800" s="69">
        <f>6.65+100</f>
        <v>106.65</v>
      </c>
      <c r="BC800" s="69"/>
      <c r="BD800" s="69"/>
      <c r="CC800" s="94">
        <f t="shared" si="75"/>
        <v>1000</v>
      </c>
      <c r="CD800" s="73">
        <f t="shared" si="64"/>
        <v>0</v>
      </c>
      <c r="CE800" s="75">
        <f t="shared" si="73"/>
        <v>3455</v>
      </c>
      <c r="CF800" s="69" t="str">
        <f t="shared" si="73"/>
        <v>خدمة عامة</v>
      </c>
    </row>
    <row r="801" spans="2:84" ht="18.75" x14ac:dyDescent="0.25">
      <c r="B801" s="82">
        <v>4437</v>
      </c>
      <c r="C801" s="70">
        <v>3456</v>
      </c>
      <c r="D801" s="71" t="s">
        <v>249</v>
      </c>
      <c r="E801" s="107" t="s">
        <v>3846</v>
      </c>
      <c r="G801" s="69">
        <v>2814</v>
      </c>
      <c r="T801" s="69"/>
      <c r="U801" s="69"/>
      <c r="AR801" s="94">
        <f t="shared" si="74"/>
        <v>2814</v>
      </c>
      <c r="AS801" s="69">
        <v>1760.95</v>
      </c>
      <c r="AT801" s="69">
        <f>240+15.05</f>
        <v>255.05</v>
      </c>
      <c r="AU801" s="69">
        <v>678</v>
      </c>
      <c r="AV801" s="69">
        <v>120</v>
      </c>
      <c r="BC801" s="69"/>
      <c r="BD801" s="69"/>
      <c r="CC801" s="94">
        <f t="shared" si="75"/>
        <v>2814</v>
      </c>
      <c r="CD801" s="73">
        <f t="shared" si="64"/>
        <v>0</v>
      </c>
      <c r="CE801" s="75">
        <f t="shared" si="73"/>
        <v>3456</v>
      </c>
      <c r="CF801" s="69" t="str">
        <f t="shared" si="73"/>
        <v>خدمة عامة</v>
      </c>
    </row>
    <row r="802" spans="2:84" ht="18.75" x14ac:dyDescent="0.25">
      <c r="B802" s="82">
        <v>4438</v>
      </c>
      <c r="C802" s="70">
        <v>3457</v>
      </c>
      <c r="D802" s="71" t="s">
        <v>249</v>
      </c>
      <c r="E802" s="107" t="s">
        <v>3847</v>
      </c>
      <c r="G802" s="69">
        <v>1641.5</v>
      </c>
      <c r="T802" s="69"/>
      <c r="U802" s="69"/>
      <c r="AR802" s="94">
        <f t="shared" si="74"/>
        <v>1641.5</v>
      </c>
      <c r="AS802" s="69">
        <v>1027</v>
      </c>
      <c r="AT802" s="69">
        <v>149</v>
      </c>
      <c r="AU802" s="69">
        <v>395.5</v>
      </c>
      <c r="AV802" s="69">
        <v>70</v>
      </c>
      <c r="BC802" s="69"/>
      <c r="BD802" s="69"/>
      <c r="CC802" s="94">
        <f t="shared" si="75"/>
        <v>1641.5</v>
      </c>
      <c r="CD802" s="73">
        <f t="shared" si="64"/>
        <v>0</v>
      </c>
      <c r="CE802" s="75">
        <f t="shared" si="73"/>
        <v>3457</v>
      </c>
      <c r="CF802" s="69" t="str">
        <f t="shared" si="73"/>
        <v>خدمة عامة</v>
      </c>
    </row>
    <row r="803" spans="2:84" ht="18.75" x14ac:dyDescent="0.25">
      <c r="B803" s="82">
        <v>6516</v>
      </c>
      <c r="C803" s="70">
        <v>3458</v>
      </c>
      <c r="D803" s="71" t="s">
        <v>130</v>
      </c>
      <c r="E803" s="107" t="s">
        <v>3848</v>
      </c>
      <c r="G803" s="69">
        <v>996.62</v>
      </c>
      <c r="T803" s="69"/>
      <c r="U803" s="69"/>
      <c r="AR803" s="94">
        <f t="shared" si="74"/>
        <v>996.62</v>
      </c>
      <c r="AS803" s="69">
        <v>608.47</v>
      </c>
      <c r="AT803" s="69">
        <v>105.53</v>
      </c>
      <c r="AU803" s="69">
        <v>240.12</v>
      </c>
      <c r="AV803" s="69">
        <v>42.5</v>
      </c>
      <c r="BC803" s="69"/>
      <c r="BD803" s="69"/>
      <c r="CC803" s="94">
        <f t="shared" si="75"/>
        <v>996.62</v>
      </c>
      <c r="CD803" s="73">
        <f t="shared" si="64"/>
        <v>0</v>
      </c>
      <c r="CE803" s="75">
        <f t="shared" si="73"/>
        <v>3458</v>
      </c>
      <c r="CF803" s="69" t="str">
        <f t="shared" si="73"/>
        <v>خ ت طب</v>
      </c>
    </row>
    <row r="804" spans="2:84" ht="18.75" x14ac:dyDescent="0.25">
      <c r="B804" s="82">
        <v>5581</v>
      </c>
      <c r="C804" s="70">
        <v>3459</v>
      </c>
      <c r="D804" s="71" t="s">
        <v>78</v>
      </c>
      <c r="E804" s="107" t="s">
        <v>3849</v>
      </c>
      <c r="G804" s="69">
        <v>1585.94</v>
      </c>
      <c r="T804" s="69"/>
      <c r="U804" s="69"/>
      <c r="AR804" s="94">
        <f t="shared" si="74"/>
        <v>1585.94</v>
      </c>
      <c r="AS804" s="69">
        <v>1316.25</v>
      </c>
      <c r="AT804" s="69">
        <v>161.69999999999999</v>
      </c>
      <c r="AU804" s="69">
        <v>107.99</v>
      </c>
      <c r="BC804" s="69"/>
      <c r="BD804" s="69"/>
      <c r="CC804" s="94">
        <f t="shared" si="75"/>
        <v>1585.94</v>
      </c>
      <c r="CD804" s="73">
        <f t="shared" si="64"/>
        <v>0</v>
      </c>
      <c r="CE804" s="75">
        <f t="shared" si="73"/>
        <v>3459</v>
      </c>
      <c r="CF804" s="69" t="str">
        <f t="shared" si="73"/>
        <v>برنامج دولى</v>
      </c>
    </row>
    <row r="805" spans="2:84" ht="18.75" x14ac:dyDescent="0.25">
      <c r="B805" s="82">
        <v>5582</v>
      </c>
      <c r="C805" s="70">
        <v>3460</v>
      </c>
      <c r="D805" s="71" t="s">
        <v>78</v>
      </c>
      <c r="E805" s="107" t="s">
        <v>3849</v>
      </c>
      <c r="G805" s="69">
        <v>800</v>
      </c>
      <c r="T805" s="69"/>
      <c r="U805" s="69"/>
      <c r="AR805" s="94">
        <f t="shared" si="74"/>
        <v>800</v>
      </c>
      <c r="AS805" s="69">
        <v>714.75</v>
      </c>
      <c r="AT805" s="69">
        <v>85.25</v>
      </c>
      <c r="BC805" s="69"/>
      <c r="BD805" s="69"/>
      <c r="CC805" s="94">
        <f t="shared" si="75"/>
        <v>800</v>
      </c>
      <c r="CD805" s="73">
        <f t="shared" si="64"/>
        <v>0</v>
      </c>
      <c r="CE805" s="75">
        <f t="shared" si="73"/>
        <v>3460</v>
      </c>
      <c r="CF805" s="69" t="str">
        <f t="shared" si="73"/>
        <v>برنامج دولى</v>
      </c>
    </row>
    <row r="806" spans="2:84" ht="18.75" x14ac:dyDescent="0.25">
      <c r="B806" s="82">
        <v>5580</v>
      </c>
      <c r="C806" s="70">
        <v>3461</v>
      </c>
      <c r="D806" s="71" t="s">
        <v>78</v>
      </c>
      <c r="E806" s="107" t="s">
        <v>3849</v>
      </c>
      <c r="G806" s="69">
        <v>10435.25</v>
      </c>
      <c r="T806" s="69"/>
      <c r="U806" s="69"/>
      <c r="AR806" s="94">
        <f t="shared" si="74"/>
        <v>10435.25</v>
      </c>
      <c r="AS806" s="69">
        <v>6966</v>
      </c>
      <c r="AT806" s="69">
        <f>65+890</f>
        <v>955</v>
      </c>
      <c r="AU806" s="69">
        <v>2514.25</v>
      </c>
      <c r="BC806" s="69"/>
      <c r="BD806" s="69"/>
      <c r="CC806" s="94">
        <f t="shared" si="75"/>
        <v>10435.25</v>
      </c>
      <c r="CD806" s="73">
        <f t="shared" si="64"/>
        <v>0</v>
      </c>
      <c r="CE806" s="75">
        <f t="shared" si="73"/>
        <v>3461</v>
      </c>
      <c r="CF806" s="69" t="str">
        <f t="shared" si="73"/>
        <v>برنامج دولى</v>
      </c>
    </row>
    <row r="807" spans="2:84" ht="18.75" x14ac:dyDescent="0.25">
      <c r="B807" s="82">
        <v>5574</v>
      </c>
      <c r="C807" s="70">
        <v>3462</v>
      </c>
      <c r="D807" s="71" t="s">
        <v>78</v>
      </c>
      <c r="E807" s="107" t="s">
        <v>3850</v>
      </c>
      <c r="G807" s="69">
        <v>19693.86</v>
      </c>
      <c r="T807" s="69"/>
      <c r="U807" s="69"/>
      <c r="AR807" s="94">
        <f t="shared" si="74"/>
        <v>19693.86</v>
      </c>
      <c r="AS807" s="69">
        <v>15492.35</v>
      </c>
      <c r="AT807" s="69">
        <v>1951.55</v>
      </c>
      <c r="AU807" s="69">
        <v>2249.96</v>
      </c>
      <c r="BC807" s="69"/>
      <c r="BD807" s="69"/>
      <c r="CC807" s="94">
        <f t="shared" si="75"/>
        <v>19693.86</v>
      </c>
      <c r="CD807" s="73">
        <f t="shared" si="64"/>
        <v>0</v>
      </c>
      <c r="CE807" s="75">
        <f t="shared" ref="CE807:CF870" si="76">+C807</f>
        <v>3462</v>
      </c>
      <c r="CF807" s="69" t="str">
        <f t="shared" si="76"/>
        <v>برنامج دولى</v>
      </c>
    </row>
    <row r="808" spans="2:84" ht="18.75" x14ac:dyDescent="0.25">
      <c r="B808" s="82">
        <v>5575</v>
      </c>
      <c r="C808" s="70">
        <v>3463</v>
      </c>
      <c r="D808" s="71" t="s">
        <v>78</v>
      </c>
      <c r="E808" s="107" t="s">
        <v>3850</v>
      </c>
      <c r="G808" s="69">
        <v>996.62</v>
      </c>
      <c r="T808" s="69"/>
      <c r="U808" s="69"/>
      <c r="AR808" s="94">
        <f t="shared" si="74"/>
        <v>996.62</v>
      </c>
      <c r="AS808" s="69">
        <v>666.55</v>
      </c>
      <c r="AT808" s="69">
        <v>89.95</v>
      </c>
      <c r="AU808" s="69">
        <v>240.12</v>
      </c>
      <c r="BC808" s="69"/>
      <c r="BD808" s="69"/>
      <c r="CC808" s="94">
        <f t="shared" si="75"/>
        <v>996.62</v>
      </c>
      <c r="CD808" s="73">
        <f t="shared" ref="CD808:CD871" si="77">+CC808-AR808</f>
        <v>0</v>
      </c>
      <c r="CE808" s="75">
        <f t="shared" si="76"/>
        <v>3463</v>
      </c>
      <c r="CF808" s="69" t="str">
        <f t="shared" si="76"/>
        <v>برنامج دولى</v>
      </c>
    </row>
    <row r="809" spans="2:84" ht="18.75" x14ac:dyDescent="0.25">
      <c r="B809" s="82">
        <v>5576</v>
      </c>
      <c r="C809" s="70">
        <v>3464</v>
      </c>
      <c r="D809" s="71" t="s">
        <v>78</v>
      </c>
      <c r="E809" s="107" t="s">
        <v>3850</v>
      </c>
      <c r="G809" s="69">
        <v>1500</v>
      </c>
      <c r="T809" s="69"/>
      <c r="U809" s="69"/>
      <c r="AR809" s="94">
        <f t="shared" si="74"/>
        <v>1500</v>
      </c>
      <c r="AS809" s="69">
        <v>1339.1</v>
      </c>
      <c r="AT809" s="69">
        <v>160.9</v>
      </c>
      <c r="BC809" s="69"/>
      <c r="BD809" s="69"/>
      <c r="CC809" s="94">
        <f t="shared" si="75"/>
        <v>1500</v>
      </c>
      <c r="CD809" s="73">
        <f t="shared" si="77"/>
        <v>0</v>
      </c>
      <c r="CE809" s="75">
        <f t="shared" si="76"/>
        <v>3464</v>
      </c>
      <c r="CF809" s="69" t="str">
        <f t="shared" si="76"/>
        <v>برنامج دولى</v>
      </c>
    </row>
    <row r="810" spans="2:84" ht="18.75" x14ac:dyDescent="0.25">
      <c r="B810" s="82">
        <v>5577</v>
      </c>
      <c r="C810" s="70">
        <v>3465</v>
      </c>
      <c r="D810" s="71" t="s">
        <v>78</v>
      </c>
      <c r="E810" s="107" t="s">
        <v>3850</v>
      </c>
      <c r="G810" s="69">
        <v>25778.560000000001</v>
      </c>
      <c r="T810" s="69"/>
      <c r="U810" s="69"/>
      <c r="AR810" s="94">
        <f t="shared" si="74"/>
        <v>25778.560000000001</v>
      </c>
      <c r="AS810" s="69">
        <v>22999.59</v>
      </c>
      <c r="AT810" s="69">
        <v>2764.95</v>
      </c>
      <c r="AU810" s="69">
        <v>14.02</v>
      </c>
      <c r="BC810" s="69"/>
      <c r="BD810" s="69"/>
      <c r="CC810" s="94">
        <f t="shared" si="75"/>
        <v>25778.560000000001</v>
      </c>
      <c r="CD810" s="73">
        <f t="shared" si="77"/>
        <v>0</v>
      </c>
      <c r="CE810" s="75">
        <f t="shared" si="76"/>
        <v>3465</v>
      </c>
      <c r="CF810" s="69" t="str">
        <f t="shared" si="76"/>
        <v>برنامج دولى</v>
      </c>
    </row>
    <row r="811" spans="2:84" ht="18.75" x14ac:dyDescent="0.25">
      <c r="B811" s="82">
        <v>5578</v>
      </c>
      <c r="C811" s="70">
        <v>3466</v>
      </c>
      <c r="D811" s="71" t="s">
        <v>78</v>
      </c>
      <c r="E811" s="107" t="s">
        <v>1650</v>
      </c>
      <c r="G811" s="69">
        <v>150</v>
      </c>
      <c r="T811" s="69"/>
      <c r="U811" s="69"/>
      <c r="AR811" s="94">
        <f t="shared" si="74"/>
        <v>150</v>
      </c>
      <c r="AS811" s="69">
        <v>134.4</v>
      </c>
      <c r="AT811" s="69">
        <v>15.6</v>
      </c>
      <c r="BC811" s="69"/>
      <c r="BD811" s="69"/>
      <c r="CC811" s="94">
        <f t="shared" si="75"/>
        <v>150</v>
      </c>
      <c r="CD811" s="73">
        <f t="shared" si="77"/>
        <v>0</v>
      </c>
      <c r="CE811" s="75">
        <f t="shared" si="76"/>
        <v>3466</v>
      </c>
      <c r="CF811" s="69" t="str">
        <f t="shared" si="76"/>
        <v>برنامج دولى</v>
      </c>
    </row>
    <row r="812" spans="2:84" ht="18.75" x14ac:dyDescent="0.25">
      <c r="B812" s="82">
        <v>5578</v>
      </c>
      <c r="C812" s="70">
        <v>3467</v>
      </c>
      <c r="D812" s="71" t="s">
        <v>78</v>
      </c>
      <c r="E812" s="107" t="s">
        <v>2090</v>
      </c>
      <c r="G812" s="69">
        <v>300</v>
      </c>
      <c r="T812" s="69"/>
      <c r="U812" s="69"/>
      <c r="AR812" s="94">
        <f t="shared" si="74"/>
        <v>300</v>
      </c>
      <c r="AS812" s="69">
        <v>268.35000000000002</v>
      </c>
      <c r="AT812" s="69">
        <v>31.65</v>
      </c>
      <c r="BC812" s="69"/>
      <c r="BD812" s="69"/>
      <c r="CC812" s="94">
        <f t="shared" si="75"/>
        <v>300</v>
      </c>
      <c r="CD812" s="73">
        <f t="shared" si="77"/>
        <v>0</v>
      </c>
      <c r="CE812" s="75">
        <f t="shared" si="76"/>
        <v>3467</v>
      </c>
      <c r="CF812" s="69" t="str">
        <f t="shared" si="76"/>
        <v>برنامج دولى</v>
      </c>
    </row>
    <row r="813" spans="2:84" ht="18.75" x14ac:dyDescent="0.25">
      <c r="B813" s="82">
        <v>5579</v>
      </c>
      <c r="C813" s="70">
        <v>3468</v>
      </c>
      <c r="D813" s="71" t="s">
        <v>78</v>
      </c>
      <c r="E813" s="107" t="s">
        <v>3851</v>
      </c>
      <c r="G813" s="69">
        <v>3111.26</v>
      </c>
      <c r="T813" s="69"/>
      <c r="U813" s="69"/>
      <c r="AR813" s="94">
        <f t="shared" si="74"/>
        <v>3111.26</v>
      </c>
      <c r="AS813" s="69">
        <v>2304.67</v>
      </c>
      <c r="AT813" s="69">
        <v>296.85000000000002</v>
      </c>
      <c r="AU813" s="69">
        <v>509.74</v>
      </c>
      <c r="BC813" s="69"/>
      <c r="BD813" s="69"/>
      <c r="CC813" s="94">
        <f t="shared" si="75"/>
        <v>3111.26</v>
      </c>
      <c r="CD813" s="73">
        <f t="shared" si="77"/>
        <v>0</v>
      </c>
      <c r="CE813" s="75">
        <f t="shared" si="76"/>
        <v>3468</v>
      </c>
      <c r="CF813" s="69" t="str">
        <f t="shared" si="76"/>
        <v>برنامج دولى</v>
      </c>
    </row>
    <row r="814" spans="2:84" ht="18.75" x14ac:dyDescent="0.25">
      <c r="B814" s="82">
        <v>5965</v>
      </c>
      <c r="C814" s="70">
        <v>3469</v>
      </c>
      <c r="D814" s="71" t="s">
        <v>78</v>
      </c>
      <c r="E814" s="107" t="s">
        <v>3852</v>
      </c>
      <c r="G814" s="69">
        <v>8800</v>
      </c>
      <c r="T814" s="69"/>
      <c r="U814" s="69"/>
      <c r="AR814" s="94">
        <f t="shared" si="74"/>
        <v>8800</v>
      </c>
      <c r="AS814" s="69">
        <v>7854.7</v>
      </c>
      <c r="AT814" s="69">
        <v>945.3</v>
      </c>
      <c r="BC814" s="69"/>
      <c r="BD814" s="69"/>
      <c r="CC814" s="94">
        <f t="shared" si="75"/>
        <v>8800</v>
      </c>
      <c r="CD814" s="73">
        <f t="shared" si="77"/>
        <v>0</v>
      </c>
      <c r="CE814" s="75">
        <f t="shared" si="76"/>
        <v>3469</v>
      </c>
      <c r="CF814" s="69" t="str">
        <f t="shared" si="76"/>
        <v>برنامج دولى</v>
      </c>
    </row>
    <row r="815" spans="2:84" ht="18.75" x14ac:dyDescent="0.25">
      <c r="B815" s="82">
        <v>5964</v>
      </c>
      <c r="C815" s="70">
        <v>3470</v>
      </c>
      <c r="D815" s="71" t="s">
        <v>78</v>
      </c>
      <c r="E815" s="107" t="s">
        <v>3852</v>
      </c>
      <c r="G815" s="69">
        <v>4400</v>
      </c>
      <c r="T815" s="69"/>
      <c r="U815" s="69"/>
      <c r="AR815" s="94">
        <f t="shared" si="74"/>
        <v>4400</v>
      </c>
      <c r="AS815" s="69">
        <v>3927.35</v>
      </c>
      <c r="AT815" s="69">
        <v>472.65</v>
      </c>
      <c r="BC815" s="69"/>
      <c r="BD815" s="69"/>
      <c r="CC815" s="94">
        <f t="shared" si="75"/>
        <v>4400</v>
      </c>
      <c r="CD815" s="73">
        <f t="shared" si="77"/>
        <v>0</v>
      </c>
      <c r="CE815" s="75">
        <f t="shared" si="76"/>
        <v>3470</v>
      </c>
      <c r="CF815" s="69" t="str">
        <f t="shared" si="76"/>
        <v>برنامج دولى</v>
      </c>
    </row>
    <row r="816" spans="2:84" ht="18.75" x14ac:dyDescent="0.25">
      <c r="B816" s="82">
        <v>5963</v>
      </c>
      <c r="C816" s="70">
        <v>3471</v>
      </c>
      <c r="D816" s="71" t="s">
        <v>78</v>
      </c>
      <c r="E816" s="107" t="s">
        <v>3333</v>
      </c>
      <c r="G816" s="69">
        <v>11700</v>
      </c>
      <c r="T816" s="69"/>
      <c r="U816" s="69"/>
      <c r="AR816" s="94">
        <f t="shared" si="74"/>
        <v>11700</v>
      </c>
      <c r="AS816" s="69">
        <v>10765.8</v>
      </c>
      <c r="AT816" s="69">
        <v>934.2</v>
      </c>
      <c r="BC816" s="69"/>
      <c r="BD816" s="69"/>
      <c r="CC816" s="94">
        <f t="shared" si="75"/>
        <v>11700</v>
      </c>
      <c r="CD816" s="73">
        <f t="shared" si="77"/>
        <v>0</v>
      </c>
      <c r="CE816" s="75">
        <f t="shared" si="76"/>
        <v>3471</v>
      </c>
      <c r="CF816" s="69" t="str">
        <f t="shared" si="76"/>
        <v>برنامج دولى</v>
      </c>
    </row>
    <row r="817" spans="2:84" ht="18.75" x14ac:dyDescent="0.25">
      <c r="B817" s="82">
        <v>5962</v>
      </c>
      <c r="C817" s="70">
        <v>3472</v>
      </c>
      <c r="D817" s="71" t="s">
        <v>78</v>
      </c>
      <c r="E817" s="107" t="s">
        <v>3333</v>
      </c>
      <c r="G817" s="69">
        <v>2700</v>
      </c>
      <c r="T817" s="69"/>
      <c r="U817" s="69"/>
      <c r="AR817" s="94">
        <f t="shared" si="74"/>
        <v>2700</v>
      </c>
      <c r="AS817" s="69">
        <v>2410.1</v>
      </c>
      <c r="AT817" s="69">
        <v>289.89999999999998</v>
      </c>
      <c r="BC817" s="69"/>
      <c r="BD817" s="69"/>
      <c r="CC817" s="94">
        <f t="shared" si="75"/>
        <v>2700</v>
      </c>
      <c r="CD817" s="73">
        <f t="shared" si="77"/>
        <v>0</v>
      </c>
      <c r="CE817" s="75">
        <f t="shared" si="76"/>
        <v>3472</v>
      </c>
      <c r="CF817" s="69" t="str">
        <f t="shared" si="76"/>
        <v>برنامج دولى</v>
      </c>
    </row>
    <row r="818" spans="2:84" ht="18.75" x14ac:dyDescent="0.25">
      <c r="B818" s="82">
        <v>5961</v>
      </c>
      <c r="C818" s="70">
        <v>3473</v>
      </c>
      <c r="D818" s="71" t="s">
        <v>78</v>
      </c>
      <c r="E818" s="107" t="s">
        <v>3853</v>
      </c>
      <c r="G818" s="69">
        <v>1250</v>
      </c>
      <c r="T818" s="69"/>
      <c r="U818" s="69"/>
      <c r="AR818" s="94">
        <f t="shared" si="74"/>
        <v>1250</v>
      </c>
      <c r="AS818" s="69">
        <v>1116</v>
      </c>
      <c r="AT818" s="69">
        <v>134</v>
      </c>
      <c r="BC818" s="69"/>
      <c r="BD818" s="69"/>
      <c r="CC818" s="94">
        <f t="shared" si="75"/>
        <v>1250</v>
      </c>
      <c r="CD818" s="73">
        <f t="shared" si="77"/>
        <v>0</v>
      </c>
      <c r="CE818" s="75">
        <f t="shared" si="76"/>
        <v>3473</v>
      </c>
      <c r="CF818" s="69" t="str">
        <f t="shared" si="76"/>
        <v>برنامج دولى</v>
      </c>
    </row>
    <row r="819" spans="2:84" ht="18.75" x14ac:dyDescent="0.25">
      <c r="B819" s="82">
        <v>5960</v>
      </c>
      <c r="C819" s="70">
        <v>3474</v>
      </c>
      <c r="D819" s="71" t="s">
        <v>78</v>
      </c>
      <c r="E819" s="107" t="s">
        <v>3853</v>
      </c>
      <c r="G819" s="69">
        <v>1250</v>
      </c>
      <c r="T819" s="69"/>
      <c r="U819" s="69"/>
      <c r="AR819" s="94">
        <f t="shared" si="74"/>
        <v>1250</v>
      </c>
      <c r="AS819" s="69">
        <v>1116</v>
      </c>
      <c r="AT819" s="69">
        <v>134</v>
      </c>
      <c r="BC819" s="69"/>
      <c r="BD819" s="69"/>
      <c r="CC819" s="94">
        <f t="shared" si="75"/>
        <v>1250</v>
      </c>
      <c r="CD819" s="73">
        <f t="shared" si="77"/>
        <v>0</v>
      </c>
      <c r="CE819" s="75">
        <f t="shared" si="76"/>
        <v>3474</v>
      </c>
      <c r="CF819" s="69" t="str">
        <f t="shared" si="76"/>
        <v>برنامج دولى</v>
      </c>
    </row>
    <row r="820" spans="2:84" ht="18.75" x14ac:dyDescent="0.25">
      <c r="B820" s="82">
        <v>5959</v>
      </c>
      <c r="C820" s="70">
        <v>3475</v>
      </c>
      <c r="D820" s="71" t="s">
        <v>78</v>
      </c>
      <c r="E820" s="107" t="s">
        <v>3853</v>
      </c>
      <c r="G820" s="69">
        <v>1250</v>
      </c>
      <c r="T820" s="69"/>
      <c r="U820" s="69"/>
      <c r="AR820" s="94">
        <f t="shared" si="74"/>
        <v>1250</v>
      </c>
      <c r="AS820" s="69">
        <v>1116</v>
      </c>
      <c r="AT820" s="69">
        <v>134</v>
      </c>
      <c r="BC820" s="69"/>
      <c r="BD820" s="69"/>
      <c r="CC820" s="94">
        <f t="shared" si="75"/>
        <v>1250</v>
      </c>
      <c r="CD820" s="73">
        <f t="shared" si="77"/>
        <v>0</v>
      </c>
      <c r="CE820" s="75">
        <f t="shared" si="76"/>
        <v>3475</v>
      </c>
      <c r="CF820" s="69" t="str">
        <f t="shared" si="76"/>
        <v>برنامج دولى</v>
      </c>
    </row>
    <row r="821" spans="2:84" ht="18.75" x14ac:dyDescent="0.25">
      <c r="B821" s="82">
        <v>5958</v>
      </c>
      <c r="C821" s="70">
        <v>3476</v>
      </c>
      <c r="D821" s="71" t="s">
        <v>78</v>
      </c>
      <c r="E821" s="107" t="str">
        <f>+E811</f>
        <v>مكافاه ماموريات محمد سعيد</v>
      </c>
      <c r="G821" s="69">
        <v>300</v>
      </c>
      <c r="T821" s="69"/>
      <c r="U821" s="69"/>
      <c r="AR821" s="94">
        <f t="shared" si="74"/>
        <v>300</v>
      </c>
      <c r="AS821" s="69">
        <v>268.35000000000002</v>
      </c>
      <c r="AT821" s="69">
        <v>31.65</v>
      </c>
      <c r="BC821" s="69"/>
      <c r="BD821" s="69"/>
      <c r="CC821" s="94">
        <f t="shared" si="75"/>
        <v>300</v>
      </c>
      <c r="CD821" s="73">
        <f t="shared" si="77"/>
        <v>0</v>
      </c>
      <c r="CE821" s="75">
        <f t="shared" si="76"/>
        <v>3476</v>
      </c>
      <c r="CF821" s="69" t="str">
        <f t="shared" si="76"/>
        <v>برنامج دولى</v>
      </c>
    </row>
    <row r="822" spans="2:84" ht="18.75" x14ac:dyDescent="0.25">
      <c r="B822" s="82">
        <v>5957</v>
      </c>
      <c r="C822" s="70">
        <v>3477</v>
      </c>
      <c r="D822" s="71" t="s">
        <v>78</v>
      </c>
      <c r="E822" s="107" t="s">
        <v>1866</v>
      </c>
      <c r="G822" s="69">
        <v>600</v>
      </c>
      <c r="T822" s="69"/>
      <c r="U822" s="69"/>
      <c r="AR822" s="94">
        <f t="shared" si="74"/>
        <v>600</v>
      </c>
      <c r="AS822" s="69">
        <v>536.15</v>
      </c>
      <c r="AT822" s="69">
        <v>63.85</v>
      </c>
      <c r="BC822" s="69"/>
      <c r="BD822" s="69"/>
      <c r="CC822" s="94">
        <f t="shared" si="75"/>
        <v>600</v>
      </c>
      <c r="CD822" s="73">
        <f t="shared" si="77"/>
        <v>0</v>
      </c>
      <c r="CE822" s="75">
        <f t="shared" si="76"/>
        <v>3477</v>
      </c>
      <c r="CF822" s="69" t="str">
        <f t="shared" si="76"/>
        <v>برنامج دولى</v>
      </c>
    </row>
    <row r="823" spans="2:84" ht="18.75" x14ac:dyDescent="0.25">
      <c r="B823" s="82">
        <v>5956</v>
      </c>
      <c r="C823" s="70">
        <v>3478</v>
      </c>
      <c r="D823" s="71" t="s">
        <v>78</v>
      </c>
      <c r="E823" s="107" t="s">
        <v>1866</v>
      </c>
      <c r="G823" s="69">
        <v>400</v>
      </c>
      <c r="T823" s="69"/>
      <c r="U823" s="69"/>
      <c r="AR823" s="94">
        <f t="shared" si="74"/>
        <v>400</v>
      </c>
      <c r="AS823" s="69">
        <v>357.7</v>
      </c>
      <c r="AT823" s="69">
        <v>42.3</v>
      </c>
      <c r="BC823" s="69"/>
      <c r="BD823" s="69"/>
      <c r="CC823" s="94">
        <f t="shared" si="75"/>
        <v>400</v>
      </c>
      <c r="CD823" s="73">
        <f t="shared" si="77"/>
        <v>0</v>
      </c>
      <c r="CE823" s="75">
        <f t="shared" si="76"/>
        <v>3478</v>
      </c>
      <c r="CF823" s="69" t="str">
        <f t="shared" si="76"/>
        <v>برنامج دولى</v>
      </c>
    </row>
    <row r="824" spans="2:84" ht="18.75" x14ac:dyDescent="0.25">
      <c r="B824" s="82">
        <v>5955</v>
      </c>
      <c r="C824" s="70">
        <v>3479</v>
      </c>
      <c r="D824" s="71" t="s">
        <v>78</v>
      </c>
      <c r="E824" s="107" t="s">
        <v>1866</v>
      </c>
      <c r="G824" s="69">
        <v>1400</v>
      </c>
      <c r="T824" s="69"/>
      <c r="U824" s="69"/>
      <c r="AR824" s="94">
        <f t="shared" si="74"/>
        <v>1400</v>
      </c>
      <c r="AS824" s="69">
        <v>1251.4000000000001</v>
      </c>
      <c r="AT824" s="69">
        <v>148.6</v>
      </c>
      <c r="BC824" s="69"/>
      <c r="BD824" s="69"/>
      <c r="CC824" s="94">
        <f t="shared" si="75"/>
        <v>1400</v>
      </c>
      <c r="CD824" s="73">
        <f t="shared" si="77"/>
        <v>0</v>
      </c>
      <c r="CE824" s="75">
        <f t="shared" si="76"/>
        <v>3479</v>
      </c>
      <c r="CF824" s="69" t="str">
        <f t="shared" si="76"/>
        <v>برنامج دولى</v>
      </c>
    </row>
    <row r="825" spans="2:84" ht="18.75" x14ac:dyDescent="0.25">
      <c r="B825" s="82">
        <v>5954</v>
      </c>
      <c r="C825" s="70">
        <v>3480</v>
      </c>
      <c r="D825" s="71" t="s">
        <v>78</v>
      </c>
      <c r="E825" s="107" t="s">
        <v>1866</v>
      </c>
      <c r="G825" s="69">
        <v>600</v>
      </c>
      <c r="T825" s="69"/>
      <c r="U825" s="69"/>
      <c r="AR825" s="94">
        <f t="shared" si="74"/>
        <v>600</v>
      </c>
      <c r="AS825" s="69">
        <v>536.15</v>
      </c>
      <c r="AT825" s="69">
        <v>63.85</v>
      </c>
      <c r="BC825" s="69"/>
      <c r="BD825" s="69"/>
      <c r="CC825" s="94">
        <f t="shared" si="75"/>
        <v>600</v>
      </c>
      <c r="CD825" s="73">
        <f t="shared" si="77"/>
        <v>0</v>
      </c>
      <c r="CE825" s="75">
        <f t="shared" si="76"/>
        <v>3480</v>
      </c>
      <c r="CF825" s="69" t="str">
        <f t="shared" si="76"/>
        <v>برنامج دولى</v>
      </c>
    </row>
    <row r="826" spans="2:84" ht="18.75" x14ac:dyDescent="0.25">
      <c r="B826" s="82">
        <v>5953</v>
      </c>
      <c r="C826" s="70">
        <v>3481</v>
      </c>
      <c r="D826" s="71" t="s">
        <v>78</v>
      </c>
      <c r="E826" s="107" t="s">
        <v>1866</v>
      </c>
      <c r="G826" s="69">
        <v>600</v>
      </c>
      <c r="T826" s="69"/>
      <c r="U826" s="69"/>
      <c r="AR826" s="94">
        <f t="shared" si="74"/>
        <v>600</v>
      </c>
      <c r="AS826" s="69">
        <v>536.15</v>
      </c>
      <c r="AT826" s="69">
        <v>63.85</v>
      </c>
      <c r="BC826" s="69"/>
      <c r="BD826" s="69"/>
      <c r="CC826" s="94">
        <f t="shared" si="75"/>
        <v>600</v>
      </c>
      <c r="CD826" s="73">
        <f t="shared" si="77"/>
        <v>0</v>
      </c>
      <c r="CE826" s="75">
        <f t="shared" si="76"/>
        <v>3481</v>
      </c>
      <c r="CF826" s="69" t="str">
        <f t="shared" si="76"/>
        <v>برنامج دولى</v>
      </c>
    </row>
    <row r="827" spans="2:84" ht="18.75" x14ac:dyDescent="0.25">
      <c r="B827" s="82">
        <v>5952</v>
      </c>
      <c r="C827" s="70">
        <v>3482</v>
      </c>
      <c r="D827" s="71" t="s">
        <v>78</v>
      </c>
      <c r="E827" s="107" t="s">
        <v>3854</v>
      </c>
      <c r="G827" s="69">
        <v>1407</v>
      </c>
      <c r="T827" s="69"/>
      <c r="U827" s="69"/>
      <c r="AR827" s="94">
        <f t="shared" si="74"/>
        <v>1407</v>
      </c>
      <c r="AS827" s="69">
        <v>941.2</v>
      </c>
      <c r="AT827" s="69">
        <f>6.8+120</f>
        <v>126.8</v>
      </c>
      <c r="AU827" s="69">
        <v>339</v>
      </c>
      <c r="BC827" s="69"/>
      <c r="BD827" s="69"/>
      <c r="CC827" s="94">
        <f t="shared" si="75"/>
        <v>1407</v>
      </c>
      <c r="CD827" s="73">
        <f t="shared" si="77"/>
        <v>0</v>
      </c>
      <c r="CE827" s="75">
        <f t="shared" si="76"/>
        <v>3482</v>
      </c>
      <c r="CF827" s="69" t="str">
        <f t="shared" si="76"/>
        <v>برنامج دولى</v>
      </c>
    </row>
    <row r="828" spans="2:84" ht="18.75" x14ac:dyDescent="0.25">
      <c r="B828" s="82">
        <v>6005</v>
      </c>
      <c r="C828" s="70">
        <v>3483</v>
      </c>
      <c r="D828" s="71" t="s">
        <v>78</v>
      </c>
      <c r="E828" s="107" t="str">
        <f>+E826</f>
        <v>مكافاه حضور لجان</v>
      </c>
      <c r="G828" s="69">
        <v>200</v>
      </c>
      <c r="T828" s="69"/>
      <c r="U828" s="69"/>
      <c r="AR828" s="94">
        <f t="shared" si="74"/>
        <v>200</v>
      </c>
      <c r="AS828" s="69">
        <v>179.1</v>
      </c>
      <c r="AT828" s="69">
        <v>20.9</v>
      </c>
      <c r="BC828" s="69"/>
      <c r="BD828" s="69"/>
      <c r="CC828" s="94">
        <f t="shared" si="75"/>
        <v>200</v>
      </c>
      <c r="CD828" s="73">
        <f t="shared" si="77"/>
        <v>0</v>
      </c>
      <c r="CE828" s="75">
        <f t="shared" si="76"/>
        <v>3483</v>
      </c>
      <c r="CF828" s="69" t="str">
        <f t="shared" si="76"/>
        <v>برنامج دولى</v>
      </c>
    </row>
    <row r="829" spans="2:84" ht="18.75" x14ac:dyDescent="0.25">
      <c r="B829" s="82">
        <v>6006</v>
      </c>
      <c r="C829" s="70">
        <v>3484</v>
      </c>
      <c r="D829" s="71" t="s">
        <v>78</v>
      </c>
      <c r="E829" s="107" t="str">
        <f>+E828</f>
        <v>مكافاه حضور لجان</v>
      </c>
      <c r="G829" s="69">
        <v>400</v>
      </c>
      <c r="T829" s="69"/>
      <c r="U829" s="69"/>
      <c r="AR829" s="94">
        <f t="shared" si="74"/>
        <v>400</v>
      </c>
      <c r="AS829" s="69">
        <v>358.2</v>
      </c>
      <c r="AT829" s="69">
        <v>41.8</v>
      </c>
      <c r="BC829" s="69"/>
      <c r="BD829" s="69"/>
      <c r="CC829" s="94">
        <f t="shared" si="75"/>
        <v>400</v>
      </c>
      <c r="CD829" s="73">
        <f t="shared" si="77"/>
        <v>0</v>
      </c>
      <c r="CE829" s="75">
        <f t="shared" si="76"/>
        <v>3484</v>
      </c>
      <c r="CF829" s="69" t="str">
        <f t="shared" si="76"/>
        <v>برنامج دولى</v>
      </c>
    </row>
    <row r="830" spans="2:84" ht="18.75" x14ac:dyDescent="0.25">
      <c r="B830" s="82">
        <v>6007</v>
      </c>
      <c r="C830" s="70">
        <v>3485</v>
      </c>
      <c r="D830" s="71" t="s">
        <v>78</v>
      </c>
      <c r="E830" s="107" t="str">
        <f>+E829</f>
        <v>مكافاه حضور لجان</v>
      </c>
      <c r="G830" s="69">
        <v>200</v>
      </c>
      <c r="T830" s="69"/>
      <c r="U830" s="69"/>
      <c r="AR830" s="94">
        <f t="shared" si="74"/>
        <v>200</v>
      </c>
      <c r="AS830" s="69">
        <v>179.1</v>
      </c>
      <c r="AT830" s="69">
        <v>20.9</v>
      </c>
      <c r="BC830" s="69"/>
      <c r="BD830" s="69"/>
      <c r="CC830" s="94">
        <f t="shared" si="75"/>
        <v>200</v>
      </c>
      <c r="CD830" s="73">
        <f t="shared" si="77"/>
        <v>0</v>
      </c>
      <c r="CE830" s="75">
        <f t="shared" si="76"/>
        <v>3485</v>
      </c>
      <c r="CF830" s="69" t="str">
        <f t="shared" si="76"/>
        <v>برنامج دولى</v>
      </c>
    </row>
    <row r="831" spans="2:84" ht="18.75" x14ac:dyDescent="0.25">
      <c r="B831" s="82">
        <v>6008</v>
      </c>
      <c r="C831" s="70">
        <v>3486</v>
      </c>
      <c r="D831" s="71" t="s">
        <v>78</v>
      </c>
      <c r="E831" s="107" t="str">
        <f>+E830</f>
        <v>مكافاه حضور لجان</v>
      </c>
      <c r="G831" s="69">
        <v>200</v>
      </c>
      <c r="T831" s="69"/>
      <c r="U831" s="69"/>
      <c r="AR831" s="94">
        <f t="shared" si="74"/>
        <v>200</v>
      </c>
      <c r="AS831" s="69">
        <v>179.1</v>
      </c>
      <c r="AT831" s="69">
        <v>20.9</v>
      </c>
      <c r="BC831" s="69"/>
      <c r="BD831" s="69"/>
      <c r="CC831" s="94">
        <f t="shared" si="75"/>
        <v>200</v>
      </c>
      <c r="CD831" s="73">
        <f t="shared" si="77"/>
        <v>0</v>
      </c>
      <c r="CE831" s="75">
        <f t="shared" si="76"/>
        <v>3486</v>
      </c>
      <c r="CF831" s="69" t="str">
        <f t="shared" si="76"/>
        <v>برنامج دولى</v>
      </c>
    </row>
    <row r="832" spans="2:84" ht="18.75" x14ac:dyDescent="0.25">
      <c r="B832" s="82">
        <v>6009</v>
      </c>
      <c r="C832" s="70">
        <v>3487</v>
      </c>
      <c r="D832" s="71" t="s">
        <v>78</v>
      </c>
      <c r="E832" s="107" t="str">
        <f>+E831</f>
        <v>مكافاه حضور لجان</v>
      </c>
      <c r="G832" s="69">
        <v>200</v>
      </c>
      <c r="T832" s="69"/>
      <c r="U832" s="69"/>
      <c r="AR832" s="94">
        <f t="shared" si="74"/>
        <v>200</v>
      </c>
      <c r="AS832" s="69">
        <v>179.1</v>
      </c>
      <c r="AT832" s="69">
        <v>20.9</v>
      </c>
      <c r="BC832" s="69"/>
      <c r="BD832" s="69"/>
      <c r="CC832" s="94">
        <f t="shared" si="75"/>
        <v>200</v>
      </c>
      <c r="CD832" s="73">
        <f t="shared" si="77"/>
        <v>0</v>
      </c>
      <c r="CE832" s="75">
        <f t="shared" si="76"/>
        <v>3487</v>
      </c>
      <c r="CF832" s="69" t="str">
        <f t="shared" si="76"/>
        <v>برنامج دولى</v>
      </c>
    </row>
    <row r="833" spans="2:84" ht="18.75" x14ac:dyDescent="0.25">
      <c r="B833" s="82">
        <v>6013</v>
      </c>
      <c r="C833" s="70">
        <v>3488</v>
      </c>
      <c r="D833" s="71" t="s">
        <v>78</v>
      </c>
      <c r="E833" s="107" t="str">
        <f>+E832</f>
        <v>مكافاه حضور لجان</v>
      </c>
      <c r="G833" s="69">
        <v>634.5</v>
      </c>
      <c r="T833" s="69"/>
      <c r="U833" s="69"/>
      <c r="AR833" s="94">
        <f t="shared" si="74"/>
        <v>634.5</v>
      </c>
      <c r="AS833" s="69">
        <v>515.4</v>
      </c>
      <c r="AT833" s="69">
        <v>62.6</v>
      </c>
      <c r="AU833" s="69">
        <v>56.5</v>
      </c>
      <c r="BC833" s="69"/>
      <c r="BD833" s="69"/>
      <c r="CC833" s="94">
        <f t="shared" si="75"/>
        <v>634.5</v>
      </c>
      <c r="CD833" s="73">
        <f t="shared" si="77"/>
        <v>0</v>
      </c>
      <c r="CE833" s="75">
        <f t="shared" si="76"/>
        <v>3488</v>
      </c>
      <c r="CF833" s="69" t="str">
        <f t="shared" si="76"/>
        <v>برنامج دولى</v>
      </c>
    </row>
    <row r="834" spans="2:84" ht="18.75" x14ac:dyDescent="0.25">
      <c r="B834" s="82">
        <v>6016</v>
      </c>
      <c r="C834" s="70">
        <v>3489</v>
      </c>
      <c r="D834" s="71" t="s">
        <v>78</v>
      </c>
      <c r="E834" s="107" t="s">
        <v>3855</v>
      </c>
      <c r="G834" s="69">
        <v>630</v>
      </c>
      <c r="T834" s="69"/>
      <c r="U834" s="69"/>
      <c r="AR834" s="94">
        <f t="shared" si="74"/>
        <v>630</v>
      </c>
      <c r="AS834" s="69">
        <v>563.5</v>
      </c>
      <c r="AT834" s="69">
        <v>66.5</v>
      </c>
      <c r="BC834" s="69"/>
      <c r="BD834" s="69"/>
      <c r="CC834" s="94">
        <f t="shared" si="75"/>
        <v>630</v>
      </c>
      <c r="CD834" s="73">
        <f t="shared" si="77"/>
        <v>0</v>
      </c>
      <c r="CE834" s="75">
        <f t="shared" si="76"/>
        <v>3489</v>
      </c>
      <c r="CF834" s="69" t="str">
        <f t="shared" si="76"/>
        <v>برنامج دولى</v>
      </c>
    </row>
    <row r="835" spans="2:84" ht="18.75" x14ac:dyDescent="0.25">
      <c r="B835" s="82">
        <v>6014</v>
      </c>
      <c r="C835" s="70">
        <v>3490</v>
      </c>
      <c r="D835" s="71" t="s">
        <v>78</v>
      </c>
      <c r="E835" s="107" t="s">
        <v>3855</v>
      </c>
      <c r="G835" s="69">
        <v>270</v>
      </c>
      <c r="T835" s="69"/>
      <c r="U835" s="69"/>
      <c r="AR835" s="94">
        <f t="shared" si="74"/>
        <v>270</v>
      </c>
      <c r="AS835" s="69">
        <v>241.55</v>
      </c>
      <c r="AT835" s="69">
        <v>28.45</v>
      </c>
      <c r="BC835" s="69"/>
      <c r="BD835" s="69"/>
      <c r="CC835" s="94">
        <f t="shared" si="75"/>
        <v>270</v>
      </c>
      <c r="CD835" s="73">
        <f t="shared" si="77"/>
        <v>0</v>
      </c>
      <c r="CE835" s="75">
        <f t="shared" si="76"/>
        <v>3490</v>
      </c>
      <c r="CF835" s="69" t="str">
        <f t="shared" si="76"/>
        <v>برنامج دولى</v>
      </c>
    </row>
    <row r="836" spans="2:84" ht="18.75" x14ac:dyDescent="0.25">
      <c r="B836" s="82">
        <v>6012</v>
      </c>
      <c r="C836" s="70">
        <v>3491</v>
      </c>
      <c r="D836" s="71" t="s">
        <v>78</v>
      </c>
      <c r="E836" s="107" t="s">
        <v>3856</v>
      </c>
      <c r="G836" s="69">
        <v>1570.2</v>
      </c>
      <c r="T836" s="69"/>
      <c r="U836" s="69"/>
      <c r="AR836" s="94">
        <f t="shared" si="74"/>
        <v>1570.2</v>
      </c>
      <c r="AS836" s="69">
        <v>1294.68</v>
      </c>
      <c r="AT836" s="69">
        <v>160.55000000000001</v>
      </c>
      <c r="AU836" s="69">
        <v>114.97</v>
      </c>
      <c r="BC836" s="69"/>
      <c r="BD836" s="69"/>
      <c r="CC836" s="94">
        <f t="shared" si="75"/>
        <v>1570.2</v>
      </c>
      <c r="CD836" s="73">
        <f t="shared" si="77"/>
        <v>0</v>
      </c>
      <c r="CE836" s="75">
        <f t="shared" si="76"/>
        <v>3491</v>
      </c>
      <c r="CF836" s="69" t="str">
        <f t="shared" si="76"/>
        <v>برنامج دولى</v>
      </c>
    </row>
    <row r="837" spans="2:84" ht="18.75" x14ac:dyDescent="0.25">
      <c r="B837" s="82">
        <v>6015</v>
      </c>
      <c r="C837" s="70">
        <v>3492</v>
      </c>
      <c r="D837" s="71" t="s">
        <v>78</v>
      </c>
      <c r="E837" s="107" t="s">
        <v>1452</v>
      </c>
      <c r="G837" s="69">
        <v>1200</v>
      </c>
      <c r="T837" s="69"/>
      <c r="U837" s="69"/>
      <c r="AR837" s="94">
        <f t="shared" si="74"/>
        <v>1200</v>
      </c>
      <c r="AS837" s="69">
        <v>1071.3499999999999</v>
      </c>
      <c r="AT837" s="69">
        <v>128.65</v>
      </c>
      <c r="BC837" s="69"/>
      <c r="BD837" s="69"/>
      <c r="CC837" s="94">
        <f t="shared" si="75"/>
        <v>1200</v>
      </c>
      <c r="CD837" s="73">
        <f t="shared" si="77"/>
        <v>0</v>
      </c>
      <c r="CE837" s="75">
        <f t="shared" si="76"/>
        <v>3492</v>
      </c>
      <c r="CF837" s="69" t="str">
        <f t="shared" si="76"/>
        <v>برنامج دولى</v>
      </c>
    </row>
    <row r="838" spans="2:84" ht="18.75" x14ac:dyDescent="0.25">
      <c r="B838" s="82">
        <v>6018</v>
      </c>
      <c r="C838" s="70">
        <v>3493</v>
      </c>
      <c r="D838" s="71" t="s">
        <v>78</v>
      </c>
      <c r="E838" s="107" t="s">
        <v>1643</v>
      </c>
      <c r="G838" s="69">
        <v>353.34</v>
      </c>
      <c r="T838" s="69"/>
      <c r="U838" s="69"/>
      <c r="AR838" s="94">
        <f t="shared" si="74"/>
        <v>353.34</v>
      </c>
      <c r="AS838" s="69">
        <v>310.92</v>
      </c>
      <c r="AT838" s="69">
        <v>36.950000000000003</v>
      </c>
      <c r="AU838" s="69">
        <v>5.47</v>
      </c>
      <c r="BC838" s="69"/>
      <c r="BD838" s="69"/>
      <c r="CC838" s="94">
        <f t="shared" si="75"/>
        <v>353.34000000000003</v>
      </c>
      <c r="CD838" s="73">
        <f t="shared" si="77"/>
        <v>0</v>
      </c>
      <c r="CE838" s="75">
        <f t="shared" si="76"/>
        <v>3493</v>
      </c>
      <c r="CF838" s="69" t="str">
        <f t="shared" si="76"/>
        <v>برنامج دولى</v>
      </c>
    </row>
    <row r="839" spans="2:84" ht="18.75" x14ac:dyDescent="0.25">
      <c r="B839" s="82">
        <v>6017</v>
      </c>
      <c r="C839" s="70">
        <v>3494</v>
      </c>
      <c r="D839" s="71" t="s">
        <v>78</v>
      </c>
      <c r="E839" s="107" t="s">
        <v>3857</v>
      </c>
      <c r="G839" s="69">
        <v>750</v>
      </c>
      <c r="T839" s="69"/>
      <c r="U839" s="69"/>
      <c r="AR839" s="94">
        <f t="shared" si="74"/>
        <v>750</v>
      </c>
      <c r="AS839" s="69">
        <v>670.1</v>
      </c>
      <c r="AT839" s="69">
        <v>79.900000000000006</v>
      </c>
      <c r="BC839" s="69"/>
      <c r="BD839" s="69"/>
      <c r="CC839" s="94">
        <f t="shared" si="75"/>
        <v>750</v>
      </c>
      <c r="CD839" s="73">
        <f t="shared" si="77"/>
        <v>0</v>
      </c>
      <c r="CE839" s="75">
        <f t="shared" si="76"/>
        <v>3494</v>
      </c>
      <c r="CF839" s="69" t="str">
        <f t="shared" si="76"/>
        <v>برنامج دولى</v>
      </c>
    </row>
    <row r="840" spans="2:84" ht="18.75" x14ac:dyDescent="0.25">
      <c r="B840" s="82">
        <v>5966</v>
      </c>
      <c r="C840" s="70">
        <v>3495</v>
      </c>
      <c r="D840" s="71" t="s">
        <v>78</v>
      </c>
      <c r="E840" s="107" t="s">
        <v>3619</v>
      </c>
      <c r="G840" s="69">
        <v>5600</v>
      </c>
      <c r="T840" s="69"/>
      <c r="U840" s="69"/>
      <c r="AR840" s="94">
        <f t="shared" si="74"/>
        <v>5600</v>
      </c>
      <c r="AS840" s="69">
        <v>4998.7</v>
      </c>
      <c r="AT840" s="69">
        <v>601.29999999999995</v>
      </c>
      <c r="BC840" s="69"/>
      <c r="BD840" s="69"/>
      <c r="CC840" s="94">
        <f t="shared" si="75"/>
        <v>5600</v>
      </c>
      <c r="CD840" s="73">
        <f t="shared" si="77"/>
        <v>0</v>
      </c>
      <c r="CE840" s="75">
        <f t="shared" si="76"/>
        <v>3495</v>
      </c>
      <c r="CF840" s="69" t="str">
        <f t="shared" si="76"/>
        <v>برنامج دولى</v>
      </c>
    </row>
    <row r="841" spans="2:84" ht="18.75" x14ac:dyDescent="0.25">
      <c r="B841" s="82">
        <v>5967</v>
      </c>
      <c r="C841" s="70">
        <v>3496</v>
      </c>
      <c r="D841" s="71" t="s">
        <v>78</v>
      </c>
      <c r="E841" s="107" t="s">
        <v>3619</v>
      </c>
      <c r="G841" s="69">
        <v>31265.45</v>
      </c>
      <c r="T841" s="69"/>
      <c r="U841" s="69"/>
      <c r="AR841" s="94">
        <f t="shared" si="74"/>
        <v>31265.45</v>
      </c>
      <c r="AS841" s="69">
        <v>23842.21</v>
      </c>
      <c r="AT841" s="69">
        <v>3058.1</v>
      </c>
      <c r="AU841" s="69">
        <v>4365.1400000000003</v>
      </c>
      <c r="BC841" s="69"/>
      <c r="BD841" s="69"/>
      <c r="CC841" s="94">
        <f t="shared" si="75"/>
        <v>31265.449999999997</v>
      </c>
      <c r="CD841" s="73">
        <f t="shared" si="77"/>
        <v>0</v>
      </c>
      <c r="CE841" s="75">
        <f t="shared" si="76"/>
        <v>3496</v>
      </c>
      <c r="CF841" s="69" t="str">
        <f t="shared" si="76"/>
        <v>برنامج دولى</v>
      </c>
    </row>
    <row r="842" spans="2:84" ht="18.75" x14ac:dyDescent="0.25">
      <c r="B842" s="82">
        <v>5968</v>
      </c>
      <c r="C842" s="70">
        <v>3497</v>
      </c>
      <c r="D842" s="71" t="s">
        <v>78</v>
      </c>
      <c r="E842" s="107" t="s">
        <v>3858</v>
      </c>
      <c r="G842" s="69">
        <v>1013.61</v>
      </c>
      <c r="T842" s="69"/>
      <c r="U842" s="69"/>
      <c r="AR842" s="94">
        <f t="shared" si="74"/>
        <v>1013.61</v>
      </c>
      <c r="AS842" s="69">
        <v>884.72</v>
      </c>
      <c r="AT842" s="69">
        <v>106.6</v>
      </c>
      <c r="AU842" s="69">
        <v>22.29</v>
      </c>
      <c r="BC842" s="69"/>
      <c r="BD842" s="69"/>
      <c r="CC842" s="94">
        <f t="shared" si="75"/>
        <v>1013.61</v>
      </c>
      <c r="CD842" s="73">
        <f t="shared" si="77"/>
        <v>0</v>
      </c>
      <c r="CE842" s="75">
        <f t="shared" si="76"/>
        <v>3497</v>
      </c>
      <c r="CF842" s="69" t="str">
        <f t="shared" si="76"/>
        <v>برنامج دولى</v>
      </c>
    </row>
    <row r="843" spans="2:84" ht="18.75" x14ac:dyDescent="0.25">
      <c r="B843" s="82">
        <v>5950</v>
      </c>
      <c r="C843" s="70">
        <v>3498</v>
      </c>
      <c r="D843" s="71" t="s">
        <v>78</v>
      </c>
      <c r="E843" s="107" t="str">
        <f>+E826</f>
        <v>مكافاه حضور لجان</v>
      </c>
      <c r="G843" s="69">
        <v>800</v>
      </c>
      <c r="T843" s="69"/>
      <c r="U843" s="69"/>
      <c r="AR843" s="94">
        <f t="shared" si="74"/>
        <v>800</v>
      </c>
      <c r="AS843" s="69">
        <v>714.75</v>
      </c>
      <c r="AT843" s="69">
        <v>85.25</v>
      </c>
      <c r="BC843" s="69"/>
      <c r="BD843" s="69"/>
      <c r="CC843" s="94">
        <f t="shared" si="75"/>
        <v>800</v>
      </c>
      <c r="CD843" s="73">
        <f t="shared" si="77"/>
        <v>0</v>
      </c>
      <c r="CE843" s="75">
        <f t="shared" si="76"/>
        <v>3498</v>
      </c>
      <c r="CF843" s="69" t="str">
        <f t="shared" si="76"/>
        <v>برنامج دولى</v>
      </c>
    </row>
    <row r="844" spans="2:84" ht="18.75" x14ac:dyDescent="0.25">
      <c r="B844" s="82">
        <v>5951</v>
      </c>
      <c r="C844" s="70">
        <v>3499</v>
      </c>
      <c r="D844" s="71" t="s">
        <v>78</v>
      </c>
      <c r="E844" s="107" t="str">
        <f t="shared" ref="E844:E854" si="78">+E843</f>
        <v>مكافاه حضور لجان</v>
      </c>
      <c r="G844" s="69">
        <v>840.59</v>
      </c>
      <c r="T844" s="69"/>
      <c r="U844" s="69"/>
      <c r="AR844" s="94">
        <f t="shared" si="74"/>
        <v>840.59</v>
      </c>
      <c r="AS844" s="69">
        <v>689.02</v>
      </c>
      <c r="AT844" s="69">
        <v>85.1</v>
      </c>
      <c r="AU844" s="69">
        <v>66.47</v>
      </c>
      <c r="BC844" s="69"/>
      <c r="BD844" s="69"/>
      <c r="CC844" s="94">
        <f t="shared" si="75"/>
        <v>840.59</v>
      </c>
      <c r="CD844" s="73">
        <f t="shared" si="77"/>
        <v>0</v>
      </c>
      <c r="CE844" s="75">
        <f t="shared" si="76"/>
        <v>3499</v>
      </c>
      <c r="CF844" s="69" t="str">
        <f t="shared" si="76"/>
        <v>برنامج دولى</v>
      </c>
    </row>
    <row r="845" spans="2:84" ht="18.75" x14ac:dyDescent="0.25">
      <c r="B845" s="82">
        <v>5969</v>
      </c>
      <c r="C845" s="70">
        <v>3500</v>
      </c>
      <c r="D845" s="71" t="s">
        <v>78</v>
      </c>
      <c r="E845" s="107" t="str">
        <f t="shared" si="78"/>
        <v>مكافاه حضور لجان</v>
      </c>
      <c r="G845" s="69">
        <v>800</v>
      </c>
      <c r="T845" s="69"/>
      <c r="U845" s="69"/>
      <c r="AR845" s="94">
        <f t="shared" si="74"/>
        <v>800</v>
      </c>
      <c r="AS845" s="69">
        <v>714.75</v>
      </c>
      <c r="AT845" s="69">
        <v>85.25</v>
      </c>
      <c r="BC845" s="69"/>
      <c r="BD845" s="69"/>
      <c r="CC845" s="94">
        <f t="shared" si="75"/>
        <v>800</v>
      </c>
      <c r="CD845" s="73">
        <f t="shared" si="77"/>
        <v>0</v>
      </c>
      <c r="CE845" s="75">
        <f t="shared" si="76"/>
        <v>3500</v>
      </c>
      <c r="CF845" s="69" t="str">
        <f t="shared" si="76"/>
        <v>برنامج دولى</v>
      </c>
    </row>
    <row r="846" spans="2:84" ht="18.75" x14ac:dyDescent="0.25">
      <c r="B846" s="82">
        <v>5970</v>
      </c>
      <c r="C846" s="70">
        <v>3501</v>
      </c>
      <c r="D846" s="71" t="s">
        <v>78</v>
      </c>
      <c r="E846" s="107" t="str">
        <f t="shared" si="78"/>
        <v>مكافاه حضور لجان</v>
      </c>
      <c r="G846" s="69">
        <v>2200</v>
      </c>
      <c r="T846" s="69"/>
      <c r="U846" s="69"/>
      <c r="AR846" s="94">
        <f t="shared" si="74"/>
        <v>2200</v>
      </c>
      <c r="AS846" s="69">
        <v>1965.65</v>
      </c>
      <c r="AT846" s="69">
        <v>234.35</v>
      </c>
      <c r="BC846" s="69"/>
      <c r="BD846" s="69"/>
      <c r="CC846" s="94">
        <f t="shared" si="75"/>
        <v>2200</v>
      </c>
      <c r="CD846" s="73">
        <f t="shared" si="77"/>
        <v>0</v>
      </c>
      <c r="CE846" s="75">
        <f t="shared" si="76"/>
        <v>3501</v>
      </c>
      <c r="CF846" s="69" t="str">
        <f t="shared" si="76"/>
        <v>برنامج دولى</v>
      </c>
    </row>
    <row r="847" spans="2:84" ht="18.75" x14ac:dyDescent="0.25">
      <c r="B847" s="82">
        <v>5971</v>
      </c>
      <c r="C847" s="70">
        <v>3502</v>
      </c>
      <c r="D847" s="71" t="s">
        <v>78</v>
      </c>
      <c r="E847" s="107" t="str">
        <f t="shared" si="78"/>
        <v>مكافاه حضور لجان</v>
      </c>
      <c r="G847" s="69">
        <v>800</v>
      </c>
      <c r="T847" s="69"/>
      <c r="U847" s="69"/>
      <c r="AR847" s="94">
        <f t="shared" si="74"/>
        <v>800</v>
      </c>
      <c r="AS847" s="69">
        <v>714.75</v>
      </c>
      <c r="AT847" s="69">
        <v>85.25</v>
      </c>
      <c r="BC847" s="69"/>
      <c r="BD847" s="69"/>
      <c r="CC847" s="94">
        <f t="shared" si="75"/>
        <v>800</v>
      </c>
      <c r="CD847" s="73">
        <f t="shared" si="77"/>
        <v>0</v>
      </c>
      <c r="CE847" s="75">
        <f t="shared" si="76"/>
        <v>3502</v>
      </c>
      <c r="CF847" s="69" t="str">
        <f t="shared" si="76"/>
        <v>برنامج دولى</v>
      </c>
    </row>
    <row r="848" spans="2:84" ht="18.75" x14ac:dyDescent="0.25">
      <c r="B848" s="82">
        <v>5972</v>
      </c>
      <c r="C848" s="70">
        <v>3503</v>
      </c>
      <c r="D848" s="71" t="s">
        <v>78</v>
      </c>
      <c r="E848" s="107" t="str">
        <f t="shared" si="78"/>
        <v>مكافاه حضور لجان</v>
      </c>
      <c r="G848" s="69">
        <v>877.52</v>
      </c>
      <c r="T848" s="69"/>
      <c r="U848" s="69"/>
      <c r="AR848" s="94">
        <f t="shared" si="74"/>
        <v>877.52</v>
      </c>
      <c r="AS848" s="69">
        <v>665.67</v>
      </c>
      <c r="AT848" s="69">
        <v>84.9</v>
      </c>
      <c r="AU848" s="69">
        <v>126.95</v>
      </c>
      <c r="BC848" s="69"/>
      <c r="BD848" s="69"/>
      <c r="CC848" s="94">
        <f t="shared" si="75"/>
        <v>877.52</v>
      </c>
      <c r="CD848" s="73">
        <f t="shared" si="77"/>
        <v>0</v>
      </c>
      <c r="CE848" s="75">
        <f t="shared" si="76"/>
        <v>3503</v>
      </c>
      <c r="CF848" s="69" t="str">
        <f t="shared" si="76"/>
        <v>برنامج دولى</v>
      </c>
    </row>
    <row r="849" spans="2:84" ht="18.75" x14ac:dyDescent="0.25">
      <c r="B849" s="82">
        <v>5973</v>
      </c>
      <c r="C849" s="70">
        <v>3504</v>
      </c>
      <c r="D849" s="71" t="s">
        <v>78</v>
      </c>
      <c r="E849" s="107" t="str">
        <f t="shared" si="78"/>
        <v>مكافاه حضور لجان</v>
      </c>
      <c r="G849" s="69">
        <v>834.21</v>
      </c>
      <c r="T849" s="69"/>
      <c r="U849" s="69"/>
      <c r="AR849" s="94">
        <f t="shared" si="74"/>
        <v>834.21</v>
      </c>
      <c r="AS849" s="69">
        <v>693.09</v>
      </c>
      <c r="AT849" s="69">
        <v>85.1</v>
      </c>
      <c r="AU849" s="69">
        <v>56.02</v>
      </c>
      <c r="BC849" s="69"/>
      <c r="BD849" s="69"/>
      <c r="CC849" s="94">
        <f t="shared" si="75"/>
        <v>834.21</v>
      </c>
      <c r="CD849" s="73">
        <f t="shared" si="77"/>
        <v>0</v>
      </c>
      <c r="CE849" s="75">
        <f t="shared" si="76"/>
        <v>3504</v>
      </c>
      <c r="CF849" s="69" t="str">
        <f t="shared" si="76"/>
        <v>برنامج دولى</v>
      </c>
    </row>
    <row r="850" spans="2:84" ht="18.75" x14ac:dyDescent="0.25">
      <c r="B850" s="82">
        <v>5974</v>
      </c>
      <c r="C850" s="70">
        <v>3505</v>
      </c>
      <c r="D850" s="71" t="s">
        <v>78</v>
      </c>
      <c r="E850" s="107" t="str">
        <f t="shared" si="78"/>
        <v>مكافاه حضور لجان</v>
      </c>
      <c r="G850" s="69">
        <v>800</v>
      </c>
      <c r="T850" s="69"/>
      <c r="U850" s="69"/>
      <c r="AR850" s="94">
        <f t="shared" si="74"/>
        <v>800</v>
      </c>
      <c r="AS850" s="69">
        <v>714.75</v>
      </c>
      <c r="AT850" s="69">
        <v>85.25</v>
      </c>
      <c r="BC850" s="69"/>
      <c r="BD850" s="69"/>
      <c r="CC850" s="94">
        <f t="shared" si="75"/>
        <v>800</v>
      </c>
      <c r="CD850" s="73">
        <f t="shared" si="77"/>
        <v>0</v>
      </c>
      <c r="CE850" s="75">
        <f t="shared" si="76"/>
        <v>3505</v>
      </c>
      <c r="CF850" s="69" t="str">
        <f t="shared" si="76"/>
        <v>برنامج دولى</v>
      </c>
    </row>
    <row r="851" spans="2:84" ht="18.75" x14ac:dyDescent="0.25">
      <c r="B851" s="82">
        <v>5975</v>
      </c>
      <c r="C851" s="70">
        <v>3506</v>
      </c>
      <c r="D851" s="71" t="s">
        <v>78</v>
      </c>
      <c r="E851" s="107" t="str">
        <f t="shared" si="78"/>
        <v>مكافاه حضور لجان</v>
      </c>
      <c r="G851" s="69">
        <v>1600</v>
      </c>
      <c r="T851" s="69"/>
      <c r="U851" s="69"/>
      <c r="AR851" s="94">
        <f t="shared" si="74"/>
        <v>1600</v>
      </c>
      <c r="AS851" s="69">
        <v>1429.5</v>
      </c>
      <c r="AT851" s="69">
        <v>170.5</v>
      </c>
      <c r="BC851" s="69"/>
      <c r="BD851" s="69"/>
      <c r="CC851" s="94">
        <f t="shared" si="75"/>
        <v>1600</v>
      </c>
      <c r="CD851" s="73">
        <f t="shared" si="77"/>
        <v>0</v>
      </c>
      <c r="CE851" s="75">
        <f t="shared" si="76"/>
        <v>3506</v>
      </c>
      <c r="CF851" s="69" t="str">
        <f t="shared" si="76"/>
        <v>برنامج دولى</v>
      </c>
    </row>
    <row r="852" spans="2:84" ht="18.75" x14ac:dyDescent="0.25">
      <c r="B852" s="82">
        <v>5976</v>
      </c>
      <c r="C852" s="70">
        <v>3507</v>
      </c>
      <c r="D852" s="71" t="s">
        <v>78</v>
      </c>
      <c r="E852" s="107" t="str">
        <f t="shared" si="78"/>
        <v>مكافاه حضور لجان</v>
      </c>
      <c r="G852" s="69">
        <v>469</v>
      </c>
      <c r="T852" s="69"/>
      <c r="U852" s="69"/>
      <c r="AR852" s="94">
        <f t="shared" si="74"/>
        <v>469</v>
      </c>
      <c r="AS852" s="69">
        <v>314</v>
      </c>
      <c r="AT852" s="69">
        <v>42</v>
      </c>
      <c r="AU852" s="69">
        <v>113</v>
      </c>
      <c r="BC852" s="69"/>
      <c r="BD852" s="69"/>
      <c r="CC852" s="94">
        <f t="shared" si="75"/>
        <v>469</v>
      </c>
      <c r="CD852" s="73">
        <f t="shared" si="77"/>
        <v>0</v>
      </c>
      <c r="CE852" s="75">
        <f t="shared" si="76"/>
        <v>3507</v>
      </c>
      <c r="CF852" s="69" t="str">
        <f t="shared" si="76"/>
        <v>برنامج دولى</v>
      </c>
    </row>
    <row r="853" spans="2:84" ht="18.75" x14ac:dyDescent="0.25">
      <c r="B853" s="82">
        <v>5977</v>
      </c>
      <c r="C853" s="70">
        <v>3508</v>
      </c>
      <c r="D853" s="71" t="s">
        <v>78</v>
      </c>
      <c r="E853" s="107" t="str">
        <f t="shared" si="78"/>
        <v>مكافاه حضور لجان</v>
      </c>
      <c r="G853" s="69">
        <v>1341.34</v>
      </c>
      <c r="T853" s="69"/>
      <c r="U853" s="69"/>
      <c r="AR853" s="94">
        <f t="shared" si="74"/>
        <v>1341.34</v>
      </c>
      <c r="AS853" s="69">
        <v>983.57</v>
      </c>
      <c r="AT853" s="69">
        <v>126.3</v>
      </c>
      <c r="AU853" s="69">
        <v>231.47</v>
      </c>
      <c r="BC853" s="69"/>
      <c r="BD853" s="69"/>
      <c r="CC853" s="94">
        <f t="shared" si="75"/>
        <v>1341.3400000000001</v>
      </c>
      <c r="CD853" s="73">
        <f t="shared" si="77"/>
        <v>0</v>
      </c>
      <c r="CE853" s="75">
        <f t="shared" si="76"/>
        <v>3508</v>
      </c>
      <c r="CF853" s="69" t="str">
        <f t="shared" si="76"/>
        <v>برنامج دولى</v>
      </c>
    </row>
    <row r="854" spans="2:84" ht="18.75" x14ac:dyDescent="0.25">
      <c r="B854" s="82">
        <v>5978</v>
      </c>
      <c r="C854" s="70">
        <v>3509</v>
      </c>
      <c r="D854" s="71" t="s">
        <v>78</v>
      </c>
      <c r="E854" s="107" t="str">
        <f t="shared" si="78"/>
        <v>مكافاه حضور لجان</v>
      </c>
      <c r="G854" s="69">
        <v>800</v>
      </c>
      <c r="T854" s="69"/>
      <c r="U854" s="69"/>
      <c r="AR854" s="94">
        <f t="shared" si="74"/>
        <v>800</v>
      </c>
      <c r="AS854" s="69">
        <v>715.4</v>
      </c>
      <c r="AT854" s="69">
        <v>84.6</v>
      </c>
      <c r="BC854" s="69"/>
      <c r="BD854" s="69"/>
      <c r="CC854" s="94">
        <f t="shared" si="75"/>
        <v>800</v>
      </c>
      <c r="CD854" s="73">
        <f t="shared" si="77"/>
        <v>0</v>
      </c>
      <c r="CE854" s="75">
        <f t="shared" si="76"/>
        <v>3509</v>
      </c>
      <c r="CF854" s="69" t="str">
        <f t="shared" si="76"/>
        <v>برنامج دولى</v>
      </c>
    </row>
    <row r="855" spans="2:84" ht="18.75" x14ac:dyDescent="0.25">
      <c r="B855" s="82">
        <v>5979</v>
      </c>
      <c r="C855" s="70">
        <v>3510</v>
      </c>
      <c r="D855" s="71" t="s">
        <v>78</v>
      </c>
      <c r="E855" s="107" t="str">
        <f>+E835</f>
        <v>مكافاه ماموريات</v>
      </c>
      <c r="G855" s="69">
        <v>510</v>
      </c>
      <c r="T855" s="69"/>
      <c r="U855" s="69"/>
      <c r="AR855" s="94">
        <f t="shared" si="74"/>
        <v>510</v>
      </c>
      <c r="AS855" s="69">
        <v>455.75</v>
      </c>
      <c r="AT855" s="69">
        <v>54.25</v>
      </c>
      <c r="BC855" s="69"/>
      <c r="BD855" s="69"/>
      <c r="CC855" s="94">
        <f t="shared" si="75"/>
        <v>510</v>
      </c>
      <c r="CD855" s="73">
        <f t="shared" si="77"/>
        <v>0</v>
      </c>
      <c r="CE855" s="75">
        <f t="shared" si="76"/>
        <v>3510</v>
      </c>
      <c r="CF855" s="69" t="str">
        <f t="shared" si="76"/>
        <v>برنامج دولى</v>
      </c>
    </row>
    <row r="856" spans="2:84" ht="18.75" x14ac:dyDescent="0.25">
      <c r="B856" s="82">
        <v>5980</v>
      </c>
      <c r="C856" s="70">
        <v>3511</v>
      </c>
      <c r="D856" s="71" t="s">
        <v>78</v>
      </c>
      <c r="E856" s="107" t="str">
        <f>+E854</f>
        <v>مكافاه حضور لجان</v>
      </c>
      <c r="G856" s="69">
        <v>200</v>
      </c>
      <c r="T856" s="69"/>
      <c r="U856" s="69"/>
      <c r="AR856" s="94">
        <f t="shared" si="74"/>
        <v>200</v>
      </c>
      <c r="AS856" s="69">
        <v>179.1</v>
      </c>
      <c r="AT856" s="69">
        <v>20.9</v>
      </c>
      <c r="BC856" s="69"/>
      <c r="BD856" s="69"/>
      <c r="CC856" s="94">
        <f t="shared" si="75"/>
        <v>200</v>
      </c>
      <c r="CD856" s="73">
        <f t="shared" si="77"/>
        <v>0</v>
      </c>
      <c r="CE856" s="75">
        <f t="shared" si="76"/>
        <v>3511</v>
      </c>
      <c r="CF856" s="69" t="str">
        <f t="shared" si="76"/>
        <v>برنامج دولى</v>
      </c>
    </row>
    <row r="857" spans="2:84" ht="18.75" x14ac:dyDescent="0.25">
      <c r="B857" s="82">
        <v>5981</v>
      </c>
      <c r="C857" s="70">
        <v>3512</v>
      </c>
      <c r="D857" s="71" t="s">
        <v>78</v>
      </c>
      <c r="E857" s="107" t="str">
        <f t="shared" ref="E857:E867" si="79">+E856</f>
        <v>مكافاه حضور لجان</v>
      </c>
      <c r="G857" s="69">
        <v>234.5</v>
      </c>
      <c r="T857" s="69"/>
      <c r="U857" s="69"/>
      <c r="AR857" s="94">
        <f t="shared" si="74"/>
        <v>234.5</v>
      </c>
      <c r="AS857" s="69">
        <v>157.19999999999999</v>
      </c>
      <c r="AT857" s="69">
        <v>20.8</v>
      </c>
      <c r="AU857" s="69">
        <v>56.5</v>
      </c>
      <c r="BC857" s="69"/>
      <c r="BD857" s="69"/>
      <c r="CC857" s="94">
        <f t="shared" si="75"/>
        <v>234.5</v>
      </c>
      <c r="CD857" s="73">
        <f t="shared" si="77"/>
        <v>0</v>
      </c>
      <c r="CE857" s="75">
        <f t="shared" si="76"/>
        <v>3512</v>
      </c>
      <c r="CF857" s="69" t="str">
        <f t="shared" si="76"/>
        <v>برنامج دولى</v>
      </c>
    </row>
    <row r="858" spans="2:84" ht="18.75" x14ac:dyDescent="0.25">
      <c r="B858" s="82">
        <v>5982</v>
      </c>
      <c r="C858" s="70">
        <v>3513</v>
      </c>
      <c r="D858" s="71" t="s">
        <v>78</v>
      </c>
      <c r="E858" s="107" t="str">
        <f t="shared" si="79"/>
        <v>مكافاه حضور لجان</v>
      </c>
      <c r="G858" s="69">
        <v>234.5</v>
      </c>
      <c r="T858" s="69"/>
      <c r="U858" s="69"/>
      <c r="AR858" s="94">
        <f t="shared" si="74"/>
        <v>234.5</v>
      </c>
      <c r="AS858" s="69">
        <v>157.19999999999999</v>
      </c>
      <c r="AT858" s="69">
        <v>20.8</v>
      </c>
      <c r="AU858" s="69">
        <v>56.5</v>
      </c>
      <c r="BC858" s="69"/>
      <c r="BD858" s="69"/>
      <c r="CC858" s="94">
        <f t="shared" ref="CC858:CC921" si="80">SUM(AS858:CB858)</f>
        <v>234.5</v>
      </c>
      <c r="CD858" s="73">
        <f t="shared" si="77"/>
        <v>0</v>
      </c>
      <c r="CE858" s="75">
        <f t="shared" si="76"/>
        <v>3513</v>
      </c>
      <c r="CF858" s="69" t="str">
        <f t="shared" si="76"/>
        <v>برنامج دولى</v>
      </c>
    </row>
    <row r="859" spans="2:84" ht="18.75" x14ac:dyDescent="0.25">
      <c r="B859" s="82">
        <v>5983</v>
      </c>
      <c r="C859" s="70">
        <v>3514</v>
      </c>
      <c r="D859" s="71" t="s">
        <v>78</v>
      </c>
      <c r="E859" s="107" t="str">
        <f t="shared" si="79"/>
        <v>مكافاه حضور لجان</v>
      </c>
      <c r="G859" s="69">
        <v>203.29</v>
      </c>
      <c r="T859" s="69"/>
      <c r="U859" s="69"/>
      <c r="AR859" s="94">
        <f t="shared" si="74"/>
        <v>203.29</v>
      </c>
      <c r="AS859" s="69">
        <v>177</v>
      </c>
      <c r="AT859" s="69">
        <v>20.9</v>
      </c>
      <c r="AU859" s="69">
        <v>5.39</v>
      </c>
      <c r="BC859" s="69"/>
      <c r="BD859" s="69"/>
      <c r="CC859" s="94">
        <f t="shared" si="80"/>
        <v>203.29</v>
      </c>
      <c r="CD859" s="73">
        <f t="shared" si="77"/>
        <v>0</v>
      </c>
      <c r="CE859" s="75">
        <f t="shared" si="76"/>
        <v>3514</v>
      </c>
      <c r="CF859" s="69" t="str">
        <f t="shared" si="76"/>
        <v>برنامج دولى</v>
      </c>
    </row>
    <row r="860" spans="2:84" ht="18.75" x14ac:dyDescent="0.25">
      <c r="B860" s="82">
        <v>5984</v>
      </c>
      <c r="C860" s="70">
        <v>3515</v>
      </c>
      <c r="D860" s="71" t="s">
        <v>78</v>
      </c>
      <c r="E860" s="107" t="str">
        <f t="shared" si="79"/>
        <v>مكافاه حضور لجان</v>
      </c>
      <c r="G860" s="69">
        <v>200</v>
      </c>
      <c r="T860" s="69"/>
      <c r="U860" s="69"/>
      <c r="AR860" s="94">
        <f t="shared" si="74"/>
        <v>200</v>
      </c>
      <c r="AS860" s="69">
        <v>179.1</v>
      </c>
      <c r="AT860" s="69">
        <v>20.9</v>
      </c>
      <c r="BC860" s="69"/>
      <c r="BD860" s="69"/>
      <c r="CC860" s="94">
        <f t="shared" si="80"/>
        <v>200</v>
      </c>
      <c r="CD860" s="73">
        <f t="shared" si="77"/>
        <v>0</v>
      </c>
      <c r="CE860" s="75">
        <f t="shared" si="76"/>
        <v>3515</v>
      </c>
      <c r="CF860" s="69" t="str">
        <f t="shared" si="76"/>
        <v>برنامج دولى</v>
      </c>
    </row>
    <row r="861" spans="2:84" ht="18.75" x14ac:dyDescent="0.25">
      <c r="B861" s="82">
        <v>5985</v>
      </c>
      <c r="C861" s="70">
        <v>3516</v>
      </c>
      <c r="D861" s="71" t="s">
        <v>78</v>
      </c>
      <c r="E861" s="107" t="str">
        <f t="shared" si="79"/>
        <v>مكافاه حضور لجان</v>
      </c>
      <c r="G861" s="69">
        <v>200</v>
      </c>
      <c r="T861" s="69"/>
      <c r="U861" s="69"/>
      <c r="AR861" s="94">
        <f t="shared" si="74"/>
        <v>200</v>
      </c>
      <c r="AS861" s="69">
        <v>179.1</v>
      </c>
      <c r="AT861" s="69">
        <v>20.9</v>
      </c>
      <c r="BC861" s="69"/>
      <c r="BD861" s="69"/>
      <c r="CC861" s="94">
        <f t="shared" si="80"/>
        <v>200</v>
      </c>
      <c r="CD861" s="73">
        <f t="shared" si="77"/>
        <v>0</v>
      </c>
      <c r="CE861" s="75">
        <f t="shared" si="76"/>
        <v>3516</v>
      </c>
      <c r="CF861" s="69" t="str">
        <f t="shared" si="76"/>
        <v>برنامج دولى</v>
      </c>
    </row>
    <row r="862" spans="2:84" ht="18.75" x14ac:dyDescent="0.25">
      <c r="B862" s="82">
        <v>5986</v>
      </c>
      <c r="C862" s="70">
        <v>3517</v>
      </c>
      <c r="D862" s="71" t="s">
        <v>78</v>
      </c>
      <c r="E862" s="107" t="str">
        <f t="shared" si="79"/>
        <v>مكافاه حضور لجان</v>
      </c>
      <c r="G862" s="69">
        <v>234.5</v>
      </c>
      <c r="T862" s="69"/>
      <c r="U862" s="69"/>
      <c r="AR862" s="94">
        <f t="shared" si="74"/>
        <v>234.5</v>
      </c>
      <c r="AS862" s="69">
        <v>157.19999999999999</v>
      </c>
      <c r="AT862" s="69">
        <v>20.8</v>
      </c>
      <c r="AU862" s="69">
        <v>56.5</v>
      </c>
      <c r="BC862" s="69"/>
      <c r="BD862" s="69"/>
      <c r="CC862" s="94">
        <f t="shared" si="80"/>
        <v>234.5</v>
      </c>
      <c r="CD862" s="73">
        <f t="shared" si="77"/>
        <v>0</v>
      </c>
      <c r="CE862" s="75">
        <f t="shared" si="76"/>
        <v>3517</v>
      </c>
      <c r="CF862" s="69" t="str">
        <f t="shared" si="76"/>
        <v>برنامج دولى</v>
      </c>
    </row>
    <row r="863" spans="2:84" ht="18.75" x14ac:dyDescent="0.25">
      <c r="B863" s="82">
        <v>5987</v>
      </c>
      <c r="C863" s="70">
        <v>3518</v>
      </c>
      <c r="D863" s="71" t="s">
        <v>78</v>
      </c>
      <c r="E863" s="107" t="str">
        <f t="shared" si="79"/>
        <v>مكافاه حضور لجان</v>
      </c>
      <c r="G863" s="69">
        <v>200</v>
      </c>
      <c r="T863" s="69"/>
      <c r="U863" s="69"/>
      <c r="AR863" s="94">
        <f t="shared" si="74"/>
        <v>200</v>
      </c>
      <c r="AS863" s="69">
        <v>179.1</v>
      </c>
      <c r="AT863" s="69">
        <v>20.9</v>
      </c>
      <c r="BC863" s="69"/>
      <c r="BD863" s="69"/>
      <c r="CC863" s="94">
        <f t="shared" si="80"/>
        <v>200</v>
      </c>
      <c r="CD863" s="73">
        <f t="shared" si="77"/>
        <v>0</v>
      </c>
      <c r="CE863" s="75">
        <f t="shared" si="76"/>
        <v>3518</v>
      </c>
      <c r="CF863" s="69" t="str">
        <f t="shared" si="76"/>
        <v>برنامج دولى</v>
      </c>
    </row>
    <row r="864" spans="2:84" ht="18.75" x14ac:dyDescent="0.25">
      <c r="B864" s="82">
        <v>5988</v>
      </c>
      <c r="C864" s="70">
        <v>3519</v>
      </c>
      <c r="D864" s="71" t="s">
        <v>78</v>
      </c>
      <c r="E864" s="107" t="str">
        <f t="shared" si="79"/>
        <v>مكافاه حضور لجان</v>
      </c>
      <c r="G864" s="69">
        <v>234.5</v>
      </c>
      <c r="T864" s="69"/>
      <c r="U864" s="69"/>
      <c r="AR864" s="94">
        <f t="shared" si="74"/>
        <v>234.5</v>
      </c>
      <c r="AS864" s="69">
        <v>157.19999999999999</v>
      </c>
      <c r="AT864" s="69">
        <v>20.8</v>
      </c>
      <c r="AU864" s="69">
        <v>56.5</v>
      </c>
      <c r="BC864" s="69"/>
      <c r="BD864" s="69"/>
      <c r="CC864" s="94">
        <f t="shared" si="80"/>
        <v>234.5</v>
      </c>
      <c r="CD864" s="73">
        <f t="shared" si="77"/>
        <v>0</v>
      </c>
      <c r="CE864" s="75">
        <f t="shared" si="76"/>
        <v>3519</v>
      </c>
      <c r="CF864" s="69" t="str">
        <f t="shared" si="76"/>
        <v>برنامج دولى</v>
      </c>
    </row>
    <row r="865" spans="2:86" ht="18.75" x14ac:dyDescent="0.25">
      <c r="B865" s="82">
        <v>5991</v>
      </c>
      <c r="C865" s="70">
        <v>3520</v>
      </c>
      <c r="D865" s="71" t="s">
        <v>78</v>
      </c>
      <c r="E865" s="107" t="str">
        <f t="shared" si="79"/>
        <v>مكافاه حضور لجان</v>
      </c>
      <c r="G865" s="69">
        <v>234.5</v>
      </c>
      <c r="T865" s="69"/>
      <c r="U865" s="69"/>
      <c r="AR865" s="94">
        <f t="shared" si="74"/>
        <v>234.5</v>
      </c>
      <c r="AS865" s="69">
        <v>157.19999999999999</v>
      </c>
      <c r="AT865" s="69">
        <v>20.8</v>
      </c>
      <c r="AU865" s="69">
        <v>56.5</v>
      </c>
      <c r="BC865" s="69"/>
      <c r="BD865" s="69"/>
      <c r="CC865" s="94">
        <f t="shared" si="80"/>
        <v>234.5</v>
      </c>
      <c r="CD865" s="73">
        <f t="shared" si="77"/>
        <v>0</v>
      </c>
      <c r="CE865" s="75">
        <f t="shared" si="76"/>
        <v>3520</v>
      </c>
      <c r="CF865" s="69" t="str">
        <f t="shared" si="76"/>
        <v>برنامج دولى</v>
      </c>
    </row>
    <row r="866" spans="2:86" ht="18.75" x14ac:dyDescent="0.25">
      <c r="B866" s="82">
        <v>6003</v>
      </c>
      <c r="C866" s="70">
        <v>3521</v>
      </c>
      <c r="D866" s="71" t="s">
        <v>78</v>
      </c>
      <c r="E866" s="107" t="str">
        <f t="shared" si="79"/>
        <v>مكافاه حضور لجان</v>
      </c>
      <c r="G866" s="69">
        <v>200</v>
      </c>
      <c r="T866" s="69"/>
      <c r="U866" s="69"/>
      <c r="AR866" s="94">
        <f t="shared" si="74"/>
        <v>200</v>
      </c>
      <c r="AS866" s="69">
        <v>179.1</v>
      </c>
      <c r="AT866" s="69">
        <v>20.9</v>
      </c>
      <c r="BC866" s="69"/>
      <c r="BD866" s="69"/>
      <c r="CC866" s="94">
        <f t="shared" si="80"/>
        <v>200</v>
      </c>
      <c r="CD866" s="73">
        <f t="shared" si="77"/>
        <v>0</v>
      </c>
      <c r="CE866" s="75">
        <f t="shared" si="76"/>
        <v>3521</v>
      </c>
      <c r="CF866" s="69" t="str">
        <f t="shared" si="76"/>
        <v>برنامج دولى</v>
      </c>
    </row>
    <row r="867" spans="2:86" ht="18.75" x14ac:dyDescent="0.25">
      <c r="B867" s="82">
        <v>6004</v>
      </c>
      <c r="C867" s="70">
        <v>3522</v>
      </c>
      <c r="D867" s="71" t="s">
        <v>78</v>
      </c>
      <c r="E867" s="107" t="str">
        <f t="shared" si="79"/>
        <v>مكافاه حضور لجان</v>
      </c>
      <c r="G867" s="69">
        <v>200</v>
      </c>
      <c r="T867" s="69"/>
      <c r="U867" s="69"/>
      <c r="AR867" s="94">
        <f t="shared" si="74"/>
        <v>200</v>
      </c>
      <c r="AS867" s="69">
        <v>179.1</v>
      </c>
      <c r="AT867" s="69">
        <v>20.9</v>
      </c>
      <c r="BC867" s="69"/>
      <c r="BD867" s="69"/>
      <c r="CC867" s="94">
        <f t="shared" si="80"/>
        <v>200</v>
      </c>
      <c r="CD867" s="73">
        <f t="shared" si="77"/>
        <v>0</v>
      </c>
      <c r="CE867" s="75">
        <f t="shared" si="76"/>
        <v>3522</v>
      </c>
      <c r="CF867" s="69" t="str">
        <f t="shared" si="76"/>
        <v>برنامج دولى</v>
      </c>
    </row>
    <row r="868" spans="2:86" ht="18.75" x14ac:dyDescent="0.25">
      <c r="B868" s="82">
        <v>5992</v>
      </c>
      <c r="C868" s="70">
        <v>3523</v>
      </c>
      <c r="D868" s="71" t="s">
        <v>78</v>
      </c>
      <c r="E868" s="107" t="s">
        <v>3859</v>
      </c>
      <c r="G868" s="69">
        <v>9284.7999999999993</v>
      </c>
      <c r="T868" s="69"/>
      <c r="U868" s="69"/>
      <c r="AR868" s="94">
        <f t="shared" si="74"/>
        <v>9284.7999999999993</v>
      </c>
      <c r="AS868" s="69">
        <v>8282.42</v>
      </c>
      <c r="AT868" s="69">
        <v>1002.38</v>
      </c>
      <c r="BC868" s="69"/>
      <c r="BD868" s="69"/>
      <c r="CC868" s="94">
        <f t="shared" si="80"/>
        <v>9284.7999999999993</v>
      </c>
      <c r="CD868" s="73">
        <f t="shared" si="77"/>
        <v>0</v>
      </c>
      <c r="CE868" s="75">
        <f t="shared" si="76"/>
        <v>3523</v>
      </c>
      <c r="CF868" s="69" t="str">
        <f t="shared" si="76"/>
        <v>برنامج دولى</v>
      </c>
    </row>
    <row r="869" spans="2:86" ht="18.75" x14ac:dyDescent="0.25">
      <c r="B869" s="82">
        <v>5994</v>
      </c>
      <c r="C869" s="70">
        <v>3524</v>
      </c>
      <c r="D869" s="71" t="s">
        <v>78</v>
      </c>
      <c r="E869" s="107" t="s">
        <v>3860</v>
      </c>
      <c r="G869" s="69">
        <v>2807.6</v>
      </c>
      <c r="T869" s="69"/>
      <c r="U869" s="69"/>
      <c r="AR869" s="94">
        <f t="shared" si="74"/>
        <v>2807.6</v>
      </c>
      <c r="AS869" s="69">
        <v>2506.89</v>
      </c>
      <c r="AT869" s="69">
        <f>19.95+280.76</f>
        <v>300.70999999999998</v>
      </c>
      <c r="BC869" s="69"/>
      <c r="BD869" s="69"/>
      <c r="CC869" s="94">
        <f t="shared" si="80"/>
        <v>2807.6</v>
      </c>
      <c r="CD869" s="73">
        <f t="shared" si="77"/>
        <v>0</v>
      </c>
      <c r="CE869" s="75">
        <f t="shared" si="76"/>
        <v>3524</v>
      </c>
      <c r="CF869" s="69" t="str">
        <f t="shared" si="76"/>
        <v>برنامج دولى</v>
      </c>
    </row>
    <row r="870" spans="2:86" ht="18.75" x14ac:dyDescent="0.25">
      <c r="B870" s="82">
        <v>5993</v>
      </c>
      <c r="C870" s="70">
        <v>3525</v>
      </c>
      <c r="D870" s="71" t="s">
        <v>78</v>
      </c>
      <c r="E870" s="107" t="str">
        <f>+E868</f>
        <v>مكافاه ابحاث اكلنيكيه</v>
      </c>
      <c r="G870" s="69">
        <v>1078</v>
      </c>
      <c r="T870" s="69"/>
      <c r="U870" s="69"/>
      <c r="AR870" s="94">
        <f t="shared" si="74"/>
        <v>1078</v>
      </c>
      <c r="AS870" s="69">
        <v>962.45</v>
      </c>
      <c r="AT870" s="69">
        <v>115.55</v>
      </c>
      <c r="BC870" s="69"/>
      <c r="BD870" s="69"/>
      <c r="CC870" s="94">
        <f t="shared" si="80"/>
        <v>1078</v>
      </c>
      <c r="CD870" s="73">
        <f t="shared" si="77"/>
        <v>0</v>
      </c>
      <c r="CE870" s="75">
        <f t="shared" si="76"/>
        <v>3525</v>
      </c>
      <c r="CF870" s="69" t="str">
        <f t="shared" si="76"/>
        <v>برنامج دولى</v>
      </c>
    </row>
    <row r="871" spans="2:86" ht="18.75" x14ac:dyDescent="0.25">
      <c r="B871" s="82">
        <v>5995</v>
      </c>
      <c r="C871" s="70">
        <v>3526</v>
      </c>
      <c r="D871" s="71" t="s">
        <v>78</v>
      </c>
      <c r="E871" s="107" t="str">
        <f>+E869</f>
        <v xml:space="preserve">مكافاه مركز ابحاث </v>
      </c>
      <c r="G871" s="69">
        <v>691.6</v>
      </c>
      <c r="T871" s="69"/>
      <c r="U871" s="69"/>
      <c r="AR871" s="94">
        <f t="shared" si="74"/>
        <v>691.6</v>
      </c>
      <c r="AS871" s="69">
        <v>617.94000000000005</v>
      </c>
      <c r="AT871" s="69">
        <v>73.66</v>
      </c>
      <c r="BC871" s="69"/>
      <c r="BD871" s="69"/>
      <c r="CC871" s="94">
        <f t="shared" si="80"/>
        <v>691.6</v>
      </c>
      <c r="CD871" s="73">
        <f t="shared" si="77"/>
        <v>0</v>
      </c>
      <c r="CE871" s="75">
        <f t="shared" ref="CE871:CF935" si="81">+C871</f>
        <v>3526</v>
      </c>
      <c r="CF871" s="69" t="str">
        <f t="shared" si="81"/>
        <v>برنامج دولى</v>
      </c>
    </row>
    <row r="872" spans="2:86" ht="18.75" x14ac:dyDescent="0.25">
      <c r="B872" s="82">
        <v>5996</v>
      </c>
      <c r="C872" s="70">
        <v>3527</v>
      </c>
      <c r="D872" s="71" t="s">
        <v>78</v>
      </c>
      <c r="E872" s="107" t="str">
        <f>+E870</f>
        <v>مكافاه ابحاث اكلنيكيه</v>
      </c>
      <c r="G872" s="69">
        <v>6104.8</v>
      </c>
      <c r="T872" s="69"/>
      <c r="U872" s="69"/>
      <c r="AR872" s="94">
        <f t="shared" si="74"/>
        <v>6104.8</v>
      </c>
      <c r="AS872" s="69">
        <v>5445.87</v>
      </c>
      <c r="AT872" s="69">
        <v>658.93</v>
      </c>
      <c r="BC872" s="69"/>
      <c r="BD872" s="69"/>
      <c r="CC872" s="94">
        <f t="shared" si="80"/>
        <v>6104.8</v>
      </c>
      <c r="CD872" s="73">
        <f t="shared" ref="CD872:CD936" si="82">+CC872-AR872</f>
        <v>0</v>
      </c>
      <c r="CE872" s="75">
        <f t="shared" si="81"/>
        <v>3527</v>
      </c>
      <c r="CF872" s="69" t="str">
        <f t="shared" si="81"/>
        <v>برنامج دولى</v>
      </c>
    </row>
    <row r="873" spans="2:86" ht="18.75" x14ac:dyDescent="0.25">
      <c r="B873" s="82">
        <v>5997</v>
      </c>
      <c r="C873" s="70">
        <v>3528</v>
      </c>
      <c r="D873" s="71" t="s">
        <v>78</v>
      </c>
      <c r="E873" s="107" t="str">
        <f>+E871</f>
        <v xml:space="preserve">مكافاه مركز ابحاث </v>
      </c>
      <c r="G873" s="69">
        <v>1974</v>
      </c>
      <c r="T873" s="69"/>
      <c r="U873" s="69"/>
      <c r="AR873" s="94">
        <f t="shared" si="74"/>
        <v>1974</v>
      </c>
      <c r="AS873" s="69">
        <v>1762.7</v>
      </c>
      <c r="AT873" s="69">
        <v>211.3</v>
      </c>
      <c r="BC873" s="69"/>
      <c r="BD873" s="69"/>
      <c r="CC873" s="94">
        <f t="shared" si="80"/>
        <v>1974</v>
      </c>
      <c r="CD873" s="73">
        <f t="shared" si="82"/>
        <v>0</v>
      </c>
      <c r="CE873" s="75">
        <f t="shared" si="81"/>
        <v>3528</v>
      </c>
      <c r="CF873" s="69" t="str">
        <f t="shared" si="81"/>
        <v>برنامج دولى</v>
      </c>
    </row>
    <row r="874" spans="2:86" ht="18.75" x14ac:dyDescent="0.25">
      <c r="B874" s="82">
        <v>5998</v>
      </c>
      <c r="C874" s="70">
        <v>3529</v>
      </c>
      <c r="D874" s="71" t="s">
        <v>78</v>
      </c>
      <c r="E874" s="107" t="str">
        <f>+E873</f>
        <v xml:space="preserve">مكافاه مركز ابحاث </v>
      </c>
      <c r="G874" s="69">
        <v>770</v>
      </c>
      <c r="T874" s="69"/>
      <c r="U874" s="69"/>
      <c r="AR874" s="94">
        <f t="shared" si="74"/>
        <v>770</v>
      </c>
      <c r="AS874" s="69">
        <v>687.95</v>
      </c>
      <c r="AT874" s="69">
        <v>82.05</v>
      </c>
      <c r="BC874" s="69"/>
      <c r="BD874" s="69"/>
      <c r="CC874" s="94">
        <f t="shared" si="80"/>
        <v>770</v>
      </c>
      <c r="CD874" s="73">
        <f t="shared" si="82"/>
        <v>0</v>
      </c>
      <c r="CE874" s="75">
        <f t="shared" si="81"/>
        <v>3529</v>
      </c>
      <c r="CF874" s="69" t="str">
        <f t="shared" si="81"/>
        <v>برنامج دولى</v>
      </c>
    </row>
    <row r="875" spans="2:86" ht="18.75" x14ac:dyDescent="0.25">
      <c r="B875" s="82">
        <v>5999</v>
      </c>
      <c r="C875" s="70">
        <v>3530</v>
      </c>
      <c r="D875" s="71" t="s">
        <v>78</v>
      </c>
      <c r="E875" s="107" t="s">
        <v>1210</v>
      </c>
      <c r="G875" s="69">
        <v>586.25</v>
      </c>
      <c r="T875" s="69"/>
      <c r="U875" s="69"/>
      <c r="AR875" s="94">
        <f t="shared" si="74"/>
        <v>586.25</v>
      </c>
      <c r="AS875" s="69">
        <v>392.4</v>
      </c>
      <c r="AT875" s="69">
        <v>52.6</v>
      </c>
      <c r="AU875" s="69">
        <v>141.25</v>
      </c>
      <c r="BC875" s="69"/>
      <c r="BD875" s="69"/>
      <c r="CC875" s="94">
        <f t="shared" si="80"/>
        <v>586.25</v>
      </c>
      <c r="CD875" s="73">
        <f t="shared" si="82"/>
        <v>0</v>
      </c>
      <c r="CE875" s="75">
        <f t="shared" si="81"/>
        <v>3530</v>
      </c>
      <c r="CF875" s="69" t="str">
        <f t="shared" si="81"/>
        <v>برنامج دولى</v>
      </c>
    </row>
    <row r="876" spans="2:86" ht="18.75" x14ac:dyDescent="0.25">
      <c r="B876" s="82">
        <v>6000</v>
      </c>
      <c r="C876" s="70">
        <v>3531</v>
      </c>
      <c r="D876" s="71" t="s">
        <v>78</v>
      </c>
      <c r="E876" s="107" t="s">
        <v>3861</v>
      </c>
      <c r="G876" s="69">
        <v>1172.5</v>
      </c>
      <c r="T876" s="69"/>
      <c r="U876" s="69"/>
      <c r="AR876" s="94">
        <f t="shared" si="74"/>
        <v>1172.5</v>
      </c>
      <c r="AS876" s="69">
        <v>784.1</v>
      </c>
      <c r="AT876" s="69">
        <v>105.9</v>
      </c>
      <c r="AU876" s="69">
        <v>282.5</v>
      </c>
      <c r="BC876" s="69"/>
      <c r="BD876" s="69"/>
      <c r="CC876" s="94">
        <f t="shared" si="80"/>
        <v>1172.5</v>
      </c>
      <c r="CD876" s="73">
        <f t="shared" si="82"/>
        <v>0</v>
      </c>
      <c r="CE876" s="75">
        <f t="shared" si="81"/>
        <v>3531</v>
      </c>
      <c r="CF876" s="69" t="str">
        <f t="shared" si="81"/>
        <v>برنامج دولى</v>
      </c>
    </row>
    <row r="877" spans="2:86" ht="18.75" x14ac:dyDescent="0.25">
      <c r="B877" s="82">
        <v>6001</v>
      </c>
      <c r="C877" s="70">
        <v>3532</v>
      </c>
      <c r="D877" s="71" t="s">
        <v>78</v>
      </c>
      <c r="E877" s="107" t="s">
        <v>3321</v>
      </c>
      <c r="G877" s="69">
        <v>5589.7</v>
      </c>
      <c r="T877" s="69"/>
      <c r="U877" s="69"/>
      <c r="AR877" s="94">
        <f t="shared" si="74"/>
        <v>5589.7</v>
      </c>
      <c r="AS877" s="69">
        <v>3635.4</v>
      </c>
      <c r="AT877" s="69">
        <v>497.25</v>
      </c>
      <c r="AU877" s="69">
        <v>1457.05</v>
      </c>
      <c r="BC877" s="69"/>
      <c r="BD877" s="69"/>
      <c r="CC877" s="94">
        <f t="shared" si="80"/>
        <v>5589.7</v>
      </c>
      <c r="CD877" s="73">
        <f t="shared" si="82"/>
        <v>0</v>
      </c>
      <c r="CE877" s="75">
        <f t="shared" si="81"/>
        <v>3532</v>
      </c>
      <c r="CF877" s="69" t="str">
        <f t="shared" si="81"/>
        <v>برنامج دولى</v>
      </c>
    </row>
    <row r="878" spans="2:86" ht="18.75" x14ac:dyDescent="0.25">
      <c r="B878" s="82">
        <v>6002</v>
      </c>
      <c r="C878" s="70">
        <v>3533</v>
      </c>
      <c r="D878" s="71" t="s">
        <v>78</v>
      </c>
      <c r="E878" s="107" t="s">
        <v>3321</v>
      </c>
      <c r="G878" s="69">
        <v>2579.4899999999998</v>
      </c>
      <c r="T878" s="69"/>
      <c r="U878" s="69"/>
      <c r="AR878" s="94">
        <f t="shared" si="74"/>
        <v>2579.4899999999998</v>
      </c>
      <c r="AS878" s="69">
        <v>1725.5</v>
      </c>
      <c r="AT878" s="69">
        <v>232.5</v>
      </c>
      <c r="AU878" s="69">
        <v>621.49</v>
      </c>
      <c r="BC878" s="69"/>
      <c r="BD878" s="69"/>
      <c r="CC878" s="94">
        <f t="shared" si="80"/>
        <v>2579.4899999999998</v>
      </c>
      <c r="CD878" s="73">
        <f t="shared" si="82"/>
        <v>0</v>
      </c>
      <c r="CE878" s="75">
        <f t="shared" si="81"/>
        <v>3533</v>
      </c>
      <c r="CF878" s="69" t="str">
        <f t="shared" si="81"/>
        <v>برنامج دولى</v>
      </c>
    </row>
    <row r="879" spans="2:86" s="68" customFormat="1" ht="18.75" x14ac:dyDescent="0.25">
      <c r="B879" s="83"/>
      <c r="C879" s="84"/>
      <c r="D879" s="85"/>
      <c r="E879" s="108" t="s">
        <v>3862</v>
      </c>
      <c r="G879" s="68">
        <f>SUM(G785:G878)</f>
        <v>203393.43999999997</v>
      </c>
      <c r="H879" s="68">
        <f t="shared" ref="H879:BT879" si="83">SUM(H785:H878)</f>
        <v>943535.39999999991</v>
      </c>
      <c r="I879" s="68">
        <f t="shared" si="83"/>
        <v>0</v>
      </c>
      <c r="J879" s="68">
        <f t="shared" si="83"/>
        <v>0</v>
      </c>
      <c r="K879" s="68">
        <f t="shared" si="83"/>
        <v>0</v>
      </c>
      <c r="L879" s="68">
        <f t="shared" si="83"/>
        <v>0</v>
      </c>
      <c r="M879" s="68">
        <f t="shared" si="83"/>
        <v>0</v>
      </c>
      <c r="N879" s="68">
        <f t="shared" si="83"/>
        <v>0</v>
      </c>
      <c r="O879" s="68">
        <f t="shared" si="83"/>
        <v>3500</v>
      </c>
      <c r="P879" s="68">
        <f t="shared" si="83"/>
        <v>0</v>
      </c>
      <c r="Q879" s="68">
        <f t="shared" si="83"/>
        <v>13246.7</v>
      </c>
      <c r="R879" s="68">
        <f t="shared" si="83"/>
        <v>0</v>
      </c>
      <c r="S879" s="68">
        <f t="shared" si="83"/>
        <v>0</v>
      </c>
      <c r="T879" s="68">
        <f t="shared" si="83"/>
        <v>0</v>
      </c>
      <c r="U879" s="68">
        <f t="shared" si="83"/>
        <v>0</v>
      </c>
      <c r="V879" s="68">
        <f t="shared" si="83"/>
        <v>0</v>
      </c>
      <c r="W879" s="68">
        <f t="shared" si="83"/>
        <v>0</v>
      </c>
      <c r="X879" s="68">
        <f t="shared" si="83"/>
        <v>0</v>
      </c>
      <c r="Y879" s="68">
        <f t="shared" si="83"/>
        <v>0</v>
      </c>
      <c r="Z879" s="68">
        <f t="shared" si="83"/>
        <v>0</v>
      </c>
      <c r="AA879" s="68">
        <f t="shared" si="83"/>
        <v>0</v>
      </c>
      <c r="AB879" s="68">
        <f t="shared" si="83"/>
        <v>0</v>
      </c>
      <c r="AC879" s="68">
        <f t="shared" si="83"/>
        <v>0</v>
      </c>
      <c r="AD879" s="68">
        <f t="shared" si="83"/>
        <v>0</v>
      </c>
      <c r="AE879" s="68">
        <f t="shared" si="83"/>
        <v>0</v>
      </c>
      <c r="AF879" s="68">
        <f t="shared" si="83"/>
        <v>0</v>
      </c>
      <c r="AG879" s="68">
        <f t="shared" si="83"/>
        <v>0</v>
      </c>
      <c r="AH879" s="68">
        <f t="shared" si="83"/>
        <v>0</v>
      </c>
      <c r="AI879" s="68">
        <f t="shared" si="83"/>
        <v>0</v>
      </c>
      <c r="AJ879" s="68">
        <f t="shared" si="83"/>
        <v>0</v>
      </c>
      <c r="AK879" s="68">
        <f t="shared" si="83"/>
        <v>0</v>
      </c>
      <c r="AL879" s="68">
        <f t="shared" si="83"/>
        <v>0</v>
      </c>
      <c r="AM879" s="68">
        <f t="shared" si="83"/>
        <v>0</v>
      </c>
      <c r="AO879" s="68">
        <f t="shared" si="83"/>
        <v>0</v>
      </c>
      <c r="AP879" s="68">
        <f t="shared" si="83"/>
        <v>0</v>
      </c>
      <c r="AQ879" s="68">
        <f t="shared" si="83"/>
        <v>0</v>
      </c>
      <c r="AR879" s="91">
        <f t="shared" si="83"/>
        <v>1163675.5400000005</v>
      </c>
      <c r="AS879" s="68">
        <f t="shared" si="83"/>
        <v>1069861.1099999992</v>
      </c>
      <c r="AT879" s="68">
        <f t="shared" si="83"/>
        <v>41783.880000000034</v>
      </c>
      <c r="AU879" s="68">
        <f t="shared" si="83"/>
        <v>16094.549999999997</v>
      </c>
      <c r="AV879" s="68">
        <f t="shared" si="83"/>
        <v>239.25</v>
      </c>
      <c r="AW879" s="68">
        <f t="shared" si="83"/>
        <v>0</v>
      </c>
      <c r="AX879" s="68">
        <f t="shared" si="83"/>
        <v>0</v>
      </c>
      <c r="AY879" s="68">
        <f t="shared" si="83"/>
        <v>0</v>
      </c>
      <c r="AZ879" s="68">
        <f t="shared" si="83"/>
        <v>0</v>
      </c>
      <c r="BA879" s="68">
        <f t="shared" si="83"/>
        <v>0</v>
      </c>
      <c r="BB879" s="68">
        <f t="shared" si="83"/>
        <v>0</v>
      </c>
      <c r="BC879" s="68">
        <f t="shared" si="83"/>
        <v>0</v>
      </c>
      <c r="BD879" s="68">
        <f t="shared" si="83"/>
        <v>0</v>
      </c>
      <c r="BE879" s="68">
        <f t="shared" si="83"/>
        <v>0</v>
      </c>
      <c r="BF879" s="68">
        <f t="shared" si="83"/>
        <v>24180.75</v>
      </c>
      <c r="BG879" s="68">
        <f t="shared" si="83"/>
        <v>286</v>
      </c>
      <c r="BH879" s="68">
        <f t="shared" si="83"/>
        <v>7255</v>
      </c>
      <c r="BI879" s="68">
        <f t="shared" si="83"/>
        <v>475</v>
      </c>
      <c r="BJ879" s="68">
        <f t="shared" si="83"/>
        <v>0</v>
      </c>
      <c r="BK879" s="68">
        <f t="shared" si="83"/>
        <v>0</v>
      </c>
      <c r="BL879" s="68">
        <f t="shared" si="83"/>
        <v>0</v>
      </c>
      <c r="BM879" s="68">
        <f t="shared" si="83"/>
        <v>0</v>
      </c>
      <c r="BN879" s="68">
        <f t="shared" si="83"/>
        <v>3500</v>
      </c>
      <c r="BO879" s="68">
        <f t="shared" si="83"/>
        <v>0</v>
      </c>
      <c r="BP879" s="68">
        <f t="shared" si="83"/>
        <v>0</v>
      </c>
      <c r="BQ879" s="68">
        <f t="shared" si="83"/>
        <v>0</v>
      </c>
      <c r="BR879" s="68">
        <f t="shared" si="83"/>
        <v>0</v>
      </c>
      <c r="BS879" s="68">
        <f t="shared" si="83"/>
        <v>0</v>
      </c>
      <c r="BT879" s="68">
        <f t="shared" si="83"/>
        <v>0</v>
      </c>
      <c r="BU879" s="68">
        <f t="shared" ref="BU879:CH879" si="84">SUM(BU785:BU878)</f>
        <v>0</v>
      </c>
      <c r="BV879" s="68">
        <f t="shared" si="84"/>
        <v>0</v>
      </c>
      <c r="BW879" s="68">
        <f t="shared" si="84"/>
        <v>0</v>
      </c>
      <c r="BX879" s="68">
        <f t="shared" si="84"/>
        <v>0</v>
      </c>
      <c r="BY879" s="68">
        <f t="shared" si="84"/>
        <v>0</v>
      </c>
      <c r="BZ879" s="68">
        <f t="shared" si="84"/>
        <v>0</v>
      </c>
      <c r="CA879" s="68">
        <f t="shared" si="84"/>
        <v>0</v>
      </c>
      <c r="CB879" s="68">
        <f t="shared" si="84"/>
        <v>0</v>
      </c>
      <c r="CC879" s="91">
        <f t="shared" si="84"/>
        <v>1163675.5400000005</v>
      </c>
      <c r="CD879" s="68">
        <f t="shared" si="84"/>
        <v>0</v>
      </c>
      <c r="CE879" s="67"/>
      <c r="CG879" s="68">
        <f t="shared" si="84"/>
        <v>0</v>
      </c>
      <c r="CH879" s="68">
        <f t="shared" si="84"/>
        <v>0</v>
      </c>
    </row>
    <row r="880" spans="2:86" ht="18.75" x14ac:dyDescent="0.25">
      <c r="B880" s="82">
        <v>6522</v>
      </c>
      <c r="C880" s="70">
        <v>3534</v>
      </c>
      <c r="D880" s="71" t="s">
        <v>128</v>
      </c>
      <c r="E880" s="107" t="s">
        <v>3863</v>
      </c>
      <c r="G880" s="69">
        <v>10789.62</v>
      </c>
      <c r="T880" s="69"/>
      <c r="U880" s="69"/>
      <c r="AR880" s="94">
        <f t="shared" si="74"/>
        <v>10789.62</v>
      </c>
      <c r="AS880" s="69">
        <v>8141.29</v>
      </c>
      <c r="AT880" s="69">
        <v>1047.3</v>
      </c>
      <c r="AU880" s="69">
        <v>1601.03</v>
      </c>
      <c r="BC880" s="69"/>
      <c r="BD880" s="69"/>
      <c r="CC880" s="94">
        <f t="shared" si="80"/>
        <v>10789.62</v>
      </c>
      <c r="CD880" s="73">
        <f t="shared" si="82"/>
        <v>0</v>
      </c>
      <c r="CE880" s="75">
        <f t="shared" si="81"/>
        <v>3534</v>
      </c>
      <c r="CF880" s="69" t="str">
        <f t="shared" si="81"/>
        <v>مركز مؤتمرات</v>
      </c>
    </row>
    <row r="881" spans="2:84" ht="18.75" x14ac:dyDescent="0.25">
      <c r="B881" s="82">
        <v>6523</v>
      </c>
      <c r="C881" s="70">
        <v>3535</v>
      </c>
      <c r="D881" s="71" t="s">
        <v>128</v>
      </c>
      <c r="E881" s="107" t="s">
        <v>3863</v>
      </c>
      <c r="G881" s="69">
        <v>4449.8999999999996</v>
      </c>
      <c r="T881" s="69"/>
      <c r="U881" s="69"/>
      <c r="AR881" s="94">
        <f t="shared" si="74"/>
        <v>4449.8999999999996</v>
      </c>
      <c r="AS881" s="69">
        <v>3857.15</v>
      </c>
      <c r="AT881" s="69">
        <v>468.45</v>
      </c>
      <c r="AU881" s="69">
        <v>124.3</v>
      </c>
      <c r="BC881" s="69"/>
      <c r="BD881" s="69"/>
      <c r="CC881" s="94">
        <f t="shared" si="80"/>
        <v>4449.9000000000005</v>
      </c>
      <c r="CD881" s="73">
        <f t="shared" si="82"/>
        <v>0</v>
      </c>
      <c r="CE881" s="75">
        <f t="shared" si="81"/>
        <v>3535</v>
      </c>
      <c r="CF881" s="69" t="str">
        <f t="shared" si="81"/>
        <v>مركز مؤتمرات</v>
      </c>
    </row>
    <row r="882" spans="2:84" ht="18.75" x14ac:dyDescent="0.25">
      <c r="B882" s="82">
        <v>6524</v>
      </c>
      <c r="C882" s="70">
        <v>3536</v>
      </c>
      <c r="D882" s="71" t="s">
        <v>128</v>
      </c>
      <c r="E882" s="107" t="s">
        <v>3863</v>
      </c>
      <c r="G882" s="69">
        <v>1000</v>
      </c>
      <c r="T882" s="69"/>
      <c r="U882" s="69"/>
      <c r="AR882" s="94">
        <f t="shared" si="74"/>
        <v>1000</v>
      </c>
      <c r="AS882" s="69">
        <v>893.35</v>
      </c>
      <c r="AT882" s="69">
        <v>106.65</v>
      </c>
      <c r="BC882" s="69"/>
      <c r="BD882" s="69"/>
      <c r="CC882" s="94">
        <f t="shared" si="80"/>
        <v>1000</v>
      </c>
      <c r="CD882" s="73">
        <f t="shared" si="82"/>
        <v>0</v>
      </c>
      <c r="CE882" s="75">
        <f t="shared" si="81"/>
        <v>3536</v>
      </c>
      <c r="CF882" s="69" t="str">
        <f t="shared" si="81"/>
        <v>مركز مؤتمرات</v>
      </c>
    </row>
    <row r="883" spans="2:84" ht="18.75" x14ac:dyDescent="0.25">
      <c r="B883" s="82">
        <v>6521</v>
      </c>
      <c r="C883" s="70">
        <v>3537</v>
      </c>
      <c r="D883" s="71" t="s">
        <v>128</v>
      </c>
      <c r="E883" s="107" t="s">
        <v>3863</v>
      </c>
      <c r="G883" s="69">
        <v>1582.88</v>
      </c>
      <c r="T883" s="69"/>
      <c r="U883" s="69"/>
      <c r="AR883" s="94">
        <f t="shared" si="74"/>
        <v>1582.88</v>
      </c>
      <c r="AS883" s="69">
        <v>1058.95</v>
      </c>
      <c r="AT883" s="69">
        <f>7.55+135</f>
        <v>142.55000000000001</v>
      </c>
      <c r="AU883" s="69">
        <v>381.38</v>
      </c>
      <c r="BC883" s="69"/>
      <c r="BD883" s="69"/>
      <c r="CC883" s="94">
        <f t="shared" si="80"/>
        <v>1582.88</v>
      </c>
      <c r="CD883" s="73">
        <f t="shared" si="82"/>
        <v>0</v>
      </c>
      <c r="CE883" s="75">
        <f t="shared" si="81"/>
        <v>3537</v>
      </c>
      <c r="CF883" s="69" t="str">
        <f t="shared" si="81"/>
        <v>مركز مؤتمرات</v>
      </c>
    </row>
    <row r="884" spans="2:84" ht="18.75" x14ac:dyDescent="0.25">
      <c r="B884" s="82">
        <v>6518</v>
      </c>
      <c r="C884" s="70">
        <v>3538</v>
      </c>
      <c r="D884" s="71" t="s">
        <v>128</v>
      </c>
      <c r="E884" s="107" t="s">
        <v>3864</v>
      </c>
      <c r="G884" s="69">
        <v>14848.03</v>
      </c>
      <c r="T884" s="69"/>
      <c r="U884" s="69"/>
      <c r="AR884" s="94">
        <f t="shared" si="74"/>
        <v>14848.03</v>
      </c>
      <c r="AS884" s="69">
        <v>10055.459999999999</v>
      </c>
      <c r="AT884" s="69">
        <v>1358.3</v>
      </c>
      <c r="AU884" s="69">
        <v>3434.27</v>
      </c>
      <c r="BC884" s="69"/>
      <c r="BD884" s="69"/>
      <c r="CC884" s="94">
        <f t="shared" si="80"/>
        <v>14848.029999999999</v>
      </c>
      <c r="CD884" s="73">
        <f t="shared" si="82"/>
        <v>0</v>
      </c>
      <c r="CE884" s="75">
        <f t="shared" si="81"/>
        <v>3538</v>
      </c>
      <c r="CF884" s="69" t="str">
        <f t="shared" si="81"/>
        <v>مركز مؤتمرات</v>
      </c>
    </row>
    <row r="885" spans="2:84" ht="18.75" x14ac:dyDescent="0.25">
      <c r="B885" s="82">
        <v>6519</v>
      </c>
      <c r="C885" s="70">
        <v>3539</v>
      </c>
      <c r="D885" s="71" t="s">
        <v>128</v>
      </c>
      <c r="E885" s="107" t="s">
        <v>3864</v>
      </c>
      <c r="G885" s="69">
        <v>6747.66</v>
      </c>
      <c r="T885" s="69"/>
      <c r="U885" s="69"/>
      <c r="AR885" s="94">
        <f t="shared" si="74"/>
        <v>6747.66</v>
      </c>
      <c r="AS885" s="69">
        <v>4982.34</v>
      </c>
      <c r="AT885" s="69">
        <v>647.35</v>
      </c>
      <c r="AU885" s="69">
        <v>1117.97</v>
      </c>
      <c r="BC885" s="69"/>
      <c r="BD885" s="69"/>
      <c r="CC885" s="94">
        <f t="shared" si="80"/>
        <v>6747.6600000000008</v>
      </c>
      <c r="CD885" s="73">
        <f t="shared" si="82"/>
        <v>0</v>
      </c>
      <c r="CE885" s="75">
        <f t="shared" si="81"/>
        <v>3539</v>
      </c>
      <c r="CF885" s="69" t="str">
        <f t="shared" si="81"/>
        <v>مركز مؤتمرات</v>
      </c>
    </row>
    <row r="886" spans="2:84" ht="18.75" x14ac:dyDescent="0.25">
      <c r="B886" s="82">
        <v>6520</v>
      </c>
      <c r="C886" s="70">
        <v>3540</v>
      </c>
      <c r="D886" s="71" t="s">
        <v>128</v>
      </c>
      <c r="E886" s="107" t="s">
        <v>3864</v>
      </c>
      <c r="G886" s="69">
        <v>1239.9100000000001</v>
      </c>
      <c r="T886" s="69"/>
      <c r="U886" s="69"/>
      <c r="AR886" s="94">
        <f t="shared" si="74"/>
        <v>1239.9100000000001</v>
      </c>
      <c r="AS886" s="69">
        <v>1046.0999999999999</v>
      </c>
      <c r="AT886" s="69">
        <v>128.44999999999999</v>
      </c>
      <c r="AU886" s="69">
        <v>65.36</v>
      </c>
      <c r="BC886" s="69"/>
      <c r="BD886" s="69"/>
      <c r="CC886" s="94">
        <f t="shared" si="80"/>
        <v>1239.9099999999999</v>
      </c>
      <c r="CD886" s="73">
        <f t="shared" si="82"/>
        <v>0</v>
      </c>
      <c r="CE886" s="75">
        <f t="shared" si="81"/>
        <v>3540</v>
      </c>
      <c r="CF886" s="69" t="str">
        <f t="shared" si="81"/>
        <v>مركز مؤتمرات</v>
      </c>
    </row>
    <row r="887" spans="2:84" ht="18.75" x14ac:dyDescent="0.25">
      <c r="B887" s="82">
        <v>6517</v>
      </c>
      <c r="C887" s="70">
        <v>3541</v>
      </c>
      <c r="D887" s="71" t="s">
        <v>128</v>
      </c>
      <c r="E887" s="107" t="s">
        <v>3864</v>
      </c>
      <c r="G887" s="69">
        <v>1817.39</v>
      </c>
      <c r="T887" s="69"/>
      <c r="U887" s="69"/>
      <c r="AR887" s="94">
        <f t="shared" si="74"/>
        <v>1817.39</v>
      </c>
      <c r="AS887" s="69">
        <v>1215.8</v>
      </c>
      <c r="AT887" s="69">
        <f>8.7+155</f>
        <v>163.69999999999999</v>
      </c>
      <c r="AU887" s="69">
        <v>437.89</v>
      </c>
      <c r="BC887" s="69"/>
      <c r="BD887" s="69"/>
      <c r="CC887" s="94">
        <f t="shared" si="80"/>
        <v>1817.3899999999999</v>
      </c>
      <c r="CD887" s="73">
        <f t="shared" si="82"/>
        <v>0</v>
      </c>
      <c r="CE887" s="75">
        <f t="shared" si="81"/>
        <v>3541</v>
      </c>
      <c r="CF887" s="69" t="str">
        <f t="shared" si="81"/>
        <v>مركز مؤتمرات</v>
      </c>
    </row>
    <row r="888" spans="2:84" ht="18.75" x14ac:dyDescent="0.25">
      <c r="B888" s="82">
        <v>6224</v>
      </c>
      <c r="C888" s="70">
        <v>3542</v>
      </c>
      <c r="D888" s="71" t="s">
        <v>128</v>
      </c>
      <c r="E888" s="107" t="s">
        <v>3865</v>
      </c>
      <c r="G888" s="69">
        <v>29840.46</v>
      </c>
      <c r="T888" s="69"/>
      <c r="U888" s="69"/>
      <c r="AR888" s="94">
        <f t="shared" si="74"/>
        <v>29840.46</v>
      </c>
      <c r="AS888" s="69">
        <v>19814.13</v>
      </c>
      <c r="AT888" s="69">
        <v>2699.4</v>
      </c>
      <c r="AU888" s="69">
        <v>7326.93</v>
      </c>
      <c r="BC888" s="69"/>
      <c r="BD888" s="69"/>
      <c r="CC888" s="94">
        <f t="shared" si="80"/>
        <v>29840.460000000003</v>
      </c>
      <c r="CD888" s="73">
        <f t="shared" si="82"/>
        <v>0</v>
      </c>
      <c r="CE888" s="75">
        <f t="shared" si="81"/>
        <v>3542</v>
      </c>
      <c r="CF888" s="69" t="str">
        <f t="shared" si="81"/>
        <v>مركز مؤتمرات</v>
      </c>
    </row>
    <row r="889" spans="2:84" ht="18.75" x14ac:dyDescent="0.25">
      <c r="B889" s="82">
        <v>6221</v>
      </c>
      <c r="C889" s="70">
        <v>3543</v>
      </c>
      <c r="D889" s="71" t="s">
        <v>128</v>
      </c>
      <c r="E889" s="107" t="s">
        <v>3865</v>
      </c>
      <c r="G889" s="69">
        <v>2207.23</v>
      </c>
      <c r="T889" s="69"/>
      <c r="U889" s="69"/>
      <c r="AR889" s="94">
        <f t="shared" si="74"/>
        <v>2207.23</v>
      </c>
      <c r="AS889" s="69">
        <v>1474.99</v>
      </c>
      <c r="AT889" s="69">
        <v>200.45</v>
      </c>
      <c r="AU889" s="69">
        <v>531.79</v>
      </c>
      <c r="BC889" s="69"/>
      <c r="BD889" s="69"/>
      <c r="CC889" s="94">
        <f t="shared" si="80"/>
        <v>2207.23</v>
      </c>
      <c r="CD889" s="73">
        <f t="shared" si="82"/>
        <v>0</v>
      </c>
      <c r="CE889" s="75">
        <f t="shared" si="81"/>
        <v>3543</v>
      </c>
      <c r="CF889" s="69" t="str">
        <f t="shared" si="81"/>
        <v>مركز مؤتمرات</v>
      </c>
    </row>
    <row r="890" spans="2:84" ht="18.75" x14ac:dyDescent="0.25">
      <c r="B890" s="82">
        <v>6222</v>
      </c>
      <c r="C890" s="70">
        <v>3544</v>
      </c>
      <c r="D890" s="71" t="s">
        <v>128</v>
      </c>
      <c r="E890" s="107" t="s">
        <v>3865</v>
      </c>
      <c r="G890" s="69">
        <v>4071.51</v>
      </c>
      <c r="T890" s="69"/>
      <c r="U890" s="69"/>
      <c r="AR890" s="94">
        <f t="shared" si="74"/>
        <v>4071.51</v>
      </c>
      <c r="AS890" s="69">
        <v>2720.81</v>
      </c>
      <c r="AT890" s="69">
        <v>369.7</v>
      </c>
      <c r="AU890" s="69">
        <v>981</v>
      </c>
      <c r="BC890" s="69"/>
      <c r="BD890" s="69"/>
      <c r="CC890" s="94">
        <f t="shared" si="80"/>
        <v>4071.5099999999998</v>
      </c>
      <c r="CD890" s="73">
        <f t="shared" si="82"/>
        <v>0</v>
      </c>
      <c r="CE890" s="75">
        <f t="shared" si="81"/>
        <v>3544</v>
      </c>
      <c r="CF890" s="69" t="str">
        <f t="shared" si="81"/>
        <v>مركز مؤتمرات</v>
      </c>
    </row>
    <row r="891" spans="2:84" ht="18.75" x14ac:dyDescent="0.25">
      <c r="B891" s="82">
        <v>6223</v>
      </c>
      <c r="C891" s="70">
        <v>3545</v>
      </c>
      <c r="D891" s="71" t="s">
        <v>128</v>
      </c>
      <c r="E891" s="107" t="s">
        <v>3865</v>
      </c>
      <c r="G891" s="69">
        <v>3244.9</v>
      </c>
      <c r="T891" s="69"/>
      <c r="U891" s="69"/>
      <c r="AR891" s="94">
        <f t="shared" si="74"/>
        <v>3244.9</v>
      </c>
      <c r="AS891" s="69">
        <v>2168.5700000000002</v>
      </c>
      <c r="AT891" s="69">
        <v>294.5</v>
      </c>
      <c r="AU891" s="69">
        <v>781.83</v>
      </c>
      <c r="BC891" s="69"/>
      <c r="BD891" s="69"/>
      <c r="CC891" s="94">
        <f t="shared" si="80"/>
        <v>3244.9</v>
      </c>
      <c r="CD891" s="73">
        <f t="shared" si="82"/>
        <v>0</v>
      </c>
      <c r="CE891" s="75">
        <f t="shared" si="81"/>
        <v>3545</v>
      </c>
      <c r="CF891" s="69" t="str">
        <f t="shared" si="81"/>
        <v>مركز مؤتمرات</v>
      </c>
    </row>
    <row r="892" spans="2:84" ht="18.75" x14ac:dyDescent="0.25">
      <c r="B892" s="82">
        <v>6213</v>
      </c>
      <c r="C892" s="70">
        <v>3546</v>
      </c>
      <c r="D892" s="71" t="s">
        <v>128</v>
      </c>
      <c r="E892" s="107" t="s">
        <v>3866</v>
      </c>
      <c r="G892" s="69">
        <v>4000</v>
      </c>
      <c r="T892" s="69"/>
      <c r="U892" s="69"/>
      <c r="AR892" s="94">
        <f t="shared" si="74"/>
        <v>4000</v>
      </c>
      <c r="AS892" s="69">
        <v>3570.35</v>
      </c>
      <c r="AT892" s="69">
        <v>429.65</v>
      </c>
      <c r="BC892" s="69"/>
      <c r="BD892" s="69"/>
      <c r="CC892" s="94">
        <f t="shared" si="80"/>
        <v>4000</v>
      </c>
      <c r="CD892" s="73">
        <f t="shared" si="82"/>
        <v>0</v>
      </c>
      <c r="CE892" s="75">
        <f t="shared" si="81"/>
        <v>3546</v>
      </c>
      <c r="CF892" s="69" t="str">
        <f t="shared" si="81"/>
        <v>مركز مؤتمرات</v>
      </c>
    </row>
    <row r="893" spans="2:84" ht="18.75" x14ac:dyDescent="0.25">
      <c r="B893" s="82">
        <v>6215</v>
      </c>
      <c r="C893" s="70">
        <v>3547</v>
      </c>
      <c r="D893" s="71" t="s">
        <v>128</v>
      </c>
      <c r="E893" s="107" t="s">
        <v>3867</v>
      </c>
      <c r="G893" s="69">
        <v>4061.6</v>
      </c>
      <c r="T893" s="69"/>
      <c r="U893" s="69"/>
      <c r="AR893" s="94">
        <f t="shared" si="74"/>
        <v>4061.6</v>
      </c>
      <c r="AS893" s="69">
        <v>3296.43</v>
      </c>
      <c r="AT893" s="69">
        <v>411.68</v>
      </c>
      <c r="AU893" s="69">
        <v>353.49</v>
      </c>
      <c r="BC893" s="69"/>
      <c r="BD893" s="69"/>
      <c r="CC893" s="94">
        <f t="shared" si="80"/>
        <v>4061.5999999999995</v>
      </c>
      <c r="CD893" s="73">
        <f t="shared" si="82"/>
        <v>0</v>
      </c>
      <c r="CE893" s="75">
        <f t="shared" si="81"/>
        <v>3547</v>
      </c>
      <c r="CF893" s="69" t="str">
        <f t="shared" si="81"/>
        <v>مركز مؤتمرات</v>
      </c>
    </row>
    <row r="894" spans="2:84" ht="18.75" x14ac:dyDescent="0.25">
      <c r="B894" s="82">
        <v>6216</v>
      </c>
      <c r="C894" s="70">
        <v>3548</v>
      </c>
      <c r="D894" s="71" t="s">
        <v>128</v>
      </c>
      <c r="E894" s="107" t="s">
        <v>3867</v>
      </c>
      <c r="G894" s="69">
        <v>4024.19</v>
      </c>
      <c r="T894" s="69"/>
      <c r="U894" s="69"/>
      <c r="AR894" s="94">
        <f t="shared" si="74"/>
        <v>4024.19</v>
      </c>
      <c r="AS894" s="69">
        <v>2844.41</v>
      </c>
      <c r="AT894" s="69">
        <v>376.83</v>
      </c>
      <c r="AU894" s="69">
        <v>802.95</v>
      </c>
      <c r="BC894" s="69"/>
      <c r="BD894" s="69"/>
      <c r="CC894" s="94">
        <f t="shared" si="80"/>
        <v>4024.1899999999996</v>
      </c>
      <c r="CD894" s="73">
        <f t="shared" si="82"/>
        <v>0</v>
      </c>
      <c r="CE894" s="75">
        <f t="shared" si="81"/>
        <v>3548</v>
      </c>
      <c r="CF894" s="69" t="str">
        <f t="shared" si="81"/>
        <v>مركز مؤتمرات</v>
      </c>
    </row>
    <row r="895" spans="2:84" ht="18.75" x14ac:dyDescent="0.25">
      <c r="B895" s="82">
        <v>6217</v>
      </c>
      <c r="C895" s="70">
        <v>3549</v>
      </c>
      <c r="D895" s="71" t="s">
        <v>128</v>
      </c>
      <c r="E895" s="107" t="s">
        <v>3867</v>
      </c>
      <c r="G895" s="69">
        <v>3418.18</v>
      </c>
      <c r="T895" s="69"/>
      <c r="U895" s="69"/>
      <c r="AR895" s="94">
        <f t="shared" si="74"/>
        <v>3418.18</v>
      </c>
      <c r="AS895" s="69">
        <v>2284.33</v>
      </c>
      <c r="AT895" s="69">
        <v>310.27999999999997</v>
      </c>
      <c r="AU895" s="69">
        <v>823.57</v>
      </c>
      <c r="BC895" s="69"/>
      <c r="BD895" s="69"/>
      <c r="CC895" s="94">
        <f t="shared" si="80"/>
        <v>3418.18</v>
      </c>
      <c r="CD895" s="73">
        <f t="shared" si="82"/>
        <v>0</v>
      </c>
      <c r="CE895" s="75">
        <f t="shared" si="81"/>
        <v>3549</v>
      </c>
      <c r="CF895" s="69" t="str">
        <f t="shared" si="81"/>
        <v>مركز مؤتمرات</v>
      </c>
    </row>
    <row r="896" spans="2:84" ht="18.75" x14ac:dyDescent="0.25">
      <c r="B896" s="82">
        <v>6218</v>
      </c>
      <c r="C896" s="70">
        <v>3550</v>
      </c>
      <c r="D896" s="71" t="s">
        <v>128</v>
      </c>
      <c r="E896" s="107" t="s">
        <v>3867</v>
      </c>
      <c r="G896" s="69">
        <v>19835.02</v>
      </c>
      <c r="T896" s="69"/>
      <c r="U896" s="69"/>
      <c r="AR896" s="94">
        <f t="shared" si="74"/>
        <v>19835.02</v>
      </c>
      <c r="AS896" s="69">
        <v>13160.55</v>
      </c>
      <c r="AT896" s="69">
        <v>1791.8</v>
      </c>
      <c r="AU896" s="69">
        <v>4882.67</v>
      </c>
      <c r="BC896" s="69"/>
      <c r="BD896" s="69"/>
      <c r="CC896" s="94">
        <f t="shared" si="80"/>
        <v>19835.019999999997</v>
      </c>
      <c r="CD896" s="73">
        <f t="shared" si="82"/>
        <v>0</v>
      </c>
      <c r="CE896" s="75">
        <f t="shared" si="81"/>
        <v>3550</v>
      </c>
      <c r="CF896" s="69" t="str">
        <f t="shared" si="81"/>
        <v>مركز مؤتمرات</v>
      </c>
    </row>
    <row r="897" spans="2:84" ht="18.75" x14ac:dyDescent="0.25">
      <c r="B897" s="82">
        <v>6219</v>
      </c>
      <c r="C897" s="70">
        <v>3551</v>
      </c>
      <c r="D897" s="71" t="s">
        <v>128</v>
      </c>
      <c r="E897" s="107" t="s">
        <v>3868</v>
      </c>
      <c r="G897" s="69">
        <v>140.69999999999999</v>
      </c>
      <c r="T897" s="69"/>
      <c r="U897" s="69"/>
      <c r="AR897" s="94">
        <f t="shared" si="74"/>
        <v>140.69999999999999</v>
      </c>
      <c r="AS897" s="69">
        <v>94.45</v>
      </c>
      <c r="AT897" s="69">
        <v>12.35</v>
      </c>
      <c r="AU897" s="69">
        <v>33.9</v>
      </c>
      <c r="BC897" s="69"/>
      <c r="BD897" s="69"/>
      <c r="CC897" s="94">
        <f t="shared" si="80"/>
        <v>140.69999999999999</v>
      </c>
      <c r="CD897" s="73">
        <f t="shared" si="82"/>
        <v>0</v>
      </c>
      <c r="CE897" s="75">
        <f t="shared" si="81"/>
        <v>3551</v>
      </c>
      <c r="CF897" s="69" t="str">
        <f t="shared" si="81"/>
        <v>مركز مؤتمرات</v>
      </c>
    </row>
    <row r="898" spans="2:84" ht="18.75" x14ac:dyDescent="0.25">
      <c r="B898" s="82">
        <v>6220</v>
      </c>
      <c r="C898" s="70">
        <v>3552</v>
      </c>
      <c r="D898" s="71" t="s">
        <v>128</v>
      </c>
      <c r="E898" s="107" t="s">
        <v>3868</v>
      </c>
      <c r="G898" s="69">
        <v>562.79999999999995</v>
      </c>
      <c r="T898" s="69"/>
      <c r="U898" s="69"/>
      <c r="AR898" s="94">
        <f t="shared" si="74"/>
        <v>562.79999999999995</v>
      </c>
      <c r="AS898" s="69">
        <v>376.75</v>
      </c>
      <c r="AT898" s="69">
        <v>50.45</v>
      </c>
      <c r="AU898" s="69">
        <v>135.6</v>
      </c>
      <c r="BC898" s="69"/>
      <c r="BD898" s="69"/>
      <c r="CC898" s="94">
        <f t="shared" si="80"/>
        <v>562.79999999999995</v>
      </c>
      <c r="CD898" s="73">
        <f t="shared" si="82"/>
        <v>0</v>
      </c>
      <c r="CE898" s="75">
        <f t="shared" si="81"/>
        <v>3552</v>
      </c>
      <c r="CF898" s="69" t="str">
        <f t="shared" si="81"/>
        <v>مركز مؤتمرات</v>
      </c>
    </row>
    <row r="899" spans="2:84" ht="18.75" x14ac:dyDescent="0.25">
      <c r="B899" s="82">
        <v>6209</v>
      </c>
      <c r="C899" s="70">
        <v>3553</v>
      </c>
      <c r="D899" s="71" t="s">
        <v>128</v>
      </c>
      <c r="E899" s="107" t="s">
        <v>3869</v>
      </c>
      <c r="G899" s="69">
        <v>1407</v>
      </c>
      <c r="T899" s="69"/>
      <c r="U899" s="69"/>
      <c r="AR899" s="94">
        <f t="shared" si="74"/>
        <v>1407</v>
      </c>
      <c r="AS899" s="69">
        <v>941.95</v>
      </c>
      <c r="AT899" s="69">
        <v>126.05</v>
      </c>
      <c r="AU899" s="69">
        <v>339</v>
      </c>
      <c r="BC899" s="69"/>
      <c r="BD899" s="69"/>
      <c r="CC899" s="94">
        <f t="shared" si="80"/>
        <v>1407</v>
      </c>
      <c r="CD899" s="73">
        <f t="shared" si="82"/>
        <v>0</v>
      </c>
      <c r="CE899" s="75">
        <f t="shared" si="81"/>
        <v>3553</v>
      </c>
      <c r="CF899" s="69" t="str">
        <f t="shared" si="81"/>
        <v>مركز مؤتمرات</v>
      </c>
    </row>
    <row r="900" spans="2:84" ht="18.75" x14ac:dyDescent="0.25">
      <c r="B900" s="82">
        <v>6210</v>
      </c>
      <c r="C900" s="70">
        <v>3554</v>
      </c>
      <c r="D900" s="71" t="s">
        <v>128</v>
      </c>
      <c r="E900" s="107" t="s">
        <v>3869</v>
      </c>
      <c r="G900" s="69">
        <v>762.12</v>
      </c>
      <c r="T900" s="69"/>
      <c r="U900" s="69"/>
      <c r="AR900" s="94">
        <f t="shared" si="74"/>
        <v>762.12</v>
      </c>
      <c r="AS900" s="69">
        <v>510.45</v>
      </c>
      <c r="AT900" s="69">
        <v>68.05</v>
      </c>
      <c r="AU900" s="69">
        <v>183.62</v>
      </c>
      <c r="BC900" s="69"/>
      <c r="BD900" s="69"/>
      <c r="CC900" s="94">
        <f t="shared" si="80"/>
        <v>762.12</v>
      </c>
      <c r="CD900" s="73">
        <f t="shared" si="82"/>
        <v>0</v>
      </c>
      <c r="CE900" s="75">
        <f t="shared" si="81"/>
        <v>3554</v>
      </c>
      <c r="CF900" s="69" t="str">
        <f t="shared" si="81"/>
        <v>مركز مؤتمرات</v>
      </c>
    </row>
    <row r="901" spans="2:84" ht="18.75" x14ac:dyDescent="0.25">
      <c r="B901" s="82">
        <v>6211</v>
      </c>
      <c r="C901" s="70">
        <v>3555</v>
      </c>
      <c r="D901" s="71" t="s">
        <v>128</v>
      </c>
      <c r="E901" s="107" t="s">
        <v>3869</v>
      </c>
      <c r="G901" s="69">
        <v>293.12</v>
      </c>
      <c r="T901" s="69"/>
      <c r="U901" s="69"/>
      <c r="AR901" s="94">
        <f t="shared" si="74"/>
        <v>293.12</v>
      </c>
      <c r="AS901" s="69">
        <v>196.45</v>
      </c>
      <c r="AT901" s="69">
        <v>26.05</v>
      </c>
      <c r="AU901" s="69">
        <v>70.62</v>
      </c>
      <c r="BC901" s="69"/>
      <c r="BD901" s="69"/>
      <c r="CC901" s="94">
        <f t="shared" si="80"/>
        <v>293.12</v>
      </c>
      <c r="CD901" s="73">
        <f t="shared" si="82"/>
        <v>0</v>
      </c>
      <c r="CE901" s="75">
        <f t="shared" si="81"/>
        <v>3555</v>
      </c>
      <c r="CF901" s="69" t="str">
        <f t="shared" si="81"/>
        <v>مركز مؤتمرات</v>
      </c>
    </row>
    <row r="902" spans="2:84" ht="18.75" x14ac:dyDescent="0.25">
      <c r="B902" s="82">
        <v>6212</v>
      </c>
      <c r="C902" s="70">
        <v>3556</v>
      </c>
      <c r="D902" s="71" t="s">
        <v>128</v>
      </c>
      <c r="E902" s="107" t="s">
        <v>3869</v>
      </c>
      <c r="G902" s="69">
        <v>351.75</v>
      </c>
      <c r="T902" s="69"/>
      <c r="U902" s="69"/>
      <c r="AR902" s="94">
        <f t="shared" si="74"/>
        <v>351.75</v>
      </c>
      <c r="AS902" s="69">
        <v>235.55</v>
      </c>
      <c r="AT902" s="69">
        <v>31.45</v>
      </c>
      <c r="AU902" s="69">
        <v>84.75</v>
      </c>
      <c r="BC902" s="69"/>
      <c r="BD902" s="69"/>
      <c r="CC902" s="94">
        <f t="shared" si="80"/>
        <v>351.75</v>
      </c>
      <c r="CD902" s="73">
        <f t="shared" si="82"/>
        <v>0</v>
      </c>
      <c r="CE902" s="75">
        <f t="shared" si="81"/>
        <v>3556</v>
      </c>
      <c r="CF902" s="69" t="str">
        <f t="shared" si="81"/>
        <v>مركز مؤتمرات</v>
      </c>
    </row>
    <row r="903" spans="2:84" ht="18.75" x14ac:dyDescent="0.25">
      <c r="B903" s="82">
        <v>6213</v>
      </c>
      <c r="C903" s="70">
        <v>3557</v>
      </c>
      <c r="D903" s="71" t="s">
        <v>128</v>
      </c>
      <c r="E903" s="107" t="s">
        <v>3870</v>
      </c>
      <c r="G903" s="69">
        <v>4000</v>
      </c>
      <c r="T903" s="69"/>
      <c r="U903" s="69"/>
      <c r="AR903" s="94">
        <f t="shared" si="74"/>
        <v>4000</v>
      </c>
      <c r="AS903" s="69">
        <v>3570.35</v>
      </c>
      <c r="AT903" s="69">
        <v>429.65</v>
      </c>
      <c r="BC903" s="69"/>
      <c r="BD903" s="69"/>
      <c r="CC903" s="94">
        <f t="shared" si="80"/>
        <v>4000</v>
      </c>
      <c r="CD903" s="73">
        <f t="shared" si="82"/>
        <v>0</v>
      </c>
      <c r="CE903" s="75">
        <f t="shared" si="81"/>
        <v>3557</v>
      </c>
      <c r="CF903" s="69" t="str">
        <f t="shared" si="81"/>
        <v>مركز مؤتمرات</v>
      </c>
    </row>
    <row r="904" spans="2:84" ht="18.75" x14ac:dyDescent="0.25">
      <c r="B904" s="82">
        <v>6208</v>
      </c>
      <c r="C904" s="70">
        <v>3558</v>
      </c>
      <c r="D904" s="71" t="s">
        <v>128</v>
      </c>
      <c r="E904" s="107" t="str">
        <f>+E902</f>
        <v>مكافاه المستعان بهم فى المركز سبتمبر</v>
      </c>
      <c r="G904" s="69">
        <v>1524.25</v>
      </c>
      <c r="T904" s="69"/>
      <c r="U904" s="69"/>
      <c r="AR904" s="94">
        <f t="shared" si="74"/>
        <v>1524.25</v>
      </c>
      <c r="AS904" s="69">
        <v>1019.75</v>
      </c>
      <c r="AT904" s="69">
        <f>7.25+130</f>
        <v>137.25</v>
      </c>
      <c r="AU904" s="69">
        <v>367.25</v>
      </c>
      <c r="BC904" s="69"/>
      <c r="BD904" s="69"/>
      <c r="CC904" s="94">
        <f t="shared" si="80"/>
        <v>1524.25</v>
      </c>
      <c r="CD904" s="73">
        <f t="shared" si="82"/>
        <v>0</v>
      </c>
      <c r="CE904" s="75">
        <f t="shared" si="81"/>
        <v>3558</v>
      </c>
      <c r="CF904" s="69" t="str">
        <f t="shared" si="81"/>
        <v>مركز مؤتمرات</v>
      </c>
    </row>
    <row r="905" spans="2:84" ht="18.75" x14ac:dyDescent="0.25">
      <c r="B905" s="82">
        <v>6207</v>
      </c>
      <c r="C905" s="70">
        <v>3559</v>
      </c>
      <c r="D905" s="71" t="s">
        <v>128</v>
      </c>
      <c r="E905" s="107" t="s">
        <v>3871</v>
      </c>
      <c r="G905" s="69">
        <v>29838.26</v>
      </c>
      <c r="T905" s="69"/>
      <c r="U905" s="69"/>
      <c r="AR905" s="94">
        <f t="shared" si="74"/>
        <v>29838.26</v>
      </c>
      <c r="AS905" s="69">
        <v>19802.3</v>
      </c>
      <c r="AT905" s="69">
        <v>2697.9</v>
      </c>
      <c r="AU905" s="69">
        <v>7338.06</v>
      </c>
      <c r="BC905" s="69"/>
      <c r="BD905" s="69"/>
      <c r="CC905" s="94">
        <f t="shared" si="80"/>
        <v>29838.260000000002</v>
      </c>
      <c r="CD905" s="73">
        <f t="shared" si="82"/>
        <v>0</v>
      </c>
      <c r="CE905" s="75">
        <f t="shared" si="81"/>
        <v>3559</v>
      </c>
      <c r="CF905" s="69" t="str">
        <f t="shared" si="81"/>
        <v>مركز مؤتمرات</v>
      </c>
    </row>
    <row r="906" spans="2:84" ht="18.75" x14ac:dyDescent="0.25">
      <c r="B906" s="82">
        <v>6206</v>
      </c>
      <c r="C906" s="70">
        <v>3560</v>
      </c>
      <c r="D906" s="71" t="s">
        <v>128</v>
      </c>
      <c r="E906" s="107" t="s">
        <v>3871</v>
      </c>
      <c r="G906" s="69">
        <v>4470.28</v>
      </c>
      <c r="T906" s="69"/>
      <c r="U906" s="69"/>
      <c r="AR906" s="94">
        <f t="shared" si="74"/>
        <v>4470.28</v>
      </c>
      <c r="AS906" s="69">
        <v>3029.04</v>
      </c>
      <c r="AT906" s="69">
        <v>409.05</v>
      </c>
      <c r="AU906" s="69">
        <v>1032.19</v>
      </c>
      <c r="BC906" s="69"/>
      <c r="BD906" s="69"/>
      <c r="CC906" s="94">
        <f t="shared" si="80"/>
        <v>4470.2800000000007</v>
      </c>
      <c r="CD906" s="73">
        <f t="shared" si="82"/>
        <v>0</v>
      </c>
      <c r="CE906" s="75">
        <f t="shared" si="81"/>
        <v>3560</v>
      </c>
      <c r="CF906" s="69" t="str">
        <f t="shared" si="81"/>
        <v>مركز مؤتمرات</v>
      </c>
    </row>
    <row r="907" spans="2:84" ht="18.75" x14ac:dyDescent="0.25">
      <c r="B907" s="82">
        <v>6204</v>
      </c>
      <c r="C907" s="70">
        <v>3561</v>
      </c>
      <c r="D907" s="71" t="s">
        <v>128</v>
      </c>
      <c r="E907" s="107" t="s">
        <v>3871</v>
      </c>
      <c r="G907" s="69">
        <v>2453.46</v>
      </c>
      <c r="T907" s="69"/>
      <c r="U907" s="69"/>
      <c r="AR907" s="94">
        <f t="shared" si="74"/>
        <v>2453.46</v>
      </c>
      <c r="AS907" s="69">
        <v>1639.49</v>
      </c>
      <c r="AT907" s="69">
        <v>222.85</v>
      </c>
      <c r="AU907" s="69">
        <v>591.12</v>
      </c>
      <c r="BC907" s="69"/>
      <c r="BD907" s="69"/>
      <c r="CC907" s="94">
        <f t="shared" si="80"/>
        <v>2453.46</v>
      </c>
      <c r="CD907" s="73">
        <f t="shared" si="82"/>
        <v>0</v>
      </c>
      <c r="CE907" s="75">
        <f t="shared" si="81"/>
        <v>3561</v>
      </c>
      <c r="CF907" s="69" t="str">
        <f t="shared" si="81"/>
        <v>مركز مؤتمرات</v>
      </c>
    </row>
    <row r="908" spans="2:84" ht="18.75" x14ac:dyDescent="0.25">
      <c r="B908" s="82">
        <v>6205</v>
      </c>
      <c r="C908" s="70">
        <v>3562</v>
      </c>
      <c r="D908" s="71" t="s">
        <v>128</v>
      </c>
      <c r="E908" s="107" t="s">
        <v>3871</v>
      </c>
      <c r="G908" s="69">
        <v>4009.96</v>
      </c>
      <c r="T908" s="69"/>
      <c r="U908" s="69"/>
      <c r="AR908" s="94">
        <f t="shared" si="74"/>
        <v>4009.96</v>
      </c>
      <c r="AS908" s="69">
        <v>2679.7</v>
      </c>
      <c r="AT908" s="69">
        <v>364.1</v>
      </c>
      <c r="AU908" s="69">
        <v>966.16</v>
      </c>
      <c r="BC908" s="69"/>
      <c r="BD908" s="69"/>
      <c r="CC908" s="94">
        <f t="shared" si="80"/>
        <v>4009.9599999999996</v>
      </c>
      <c r="CD908" s="73">
        <f t="shared" si="82"/>
        <v>0</v>
      </c>
      <c r="CE908" s="75">
        <f t="shared" si="81"/>
        <v>3562</v>
      </c>
      <c r="CF908" s="69" t="str">
        <f t="shared" si="81"/>
        <v>مركز مؤتمرات</v>
      </c>
    </row>
    <row r="909" spans="2:84" ht="18.75" x14ac:dyDescent="0.25">
      <c r="B909" s="82">
        <v>6528</v>
      </c>
      <c r="C909" s="70">
        <v>3563</v>
      </c>
      <c r="D909" s="71" t="s">
        <v>128</v>
      </c>
      <c r="E909" s="107" t="s">
        <v>3872</v>
      </c>
      <c r="G909" s="69">
        <v>20727.78</v>
      </c>
      <c r="T909" s="69"/>
      <c r="U909" s="69"/>
      <c r="AR909" s="94">
        <f t="shared" si="74"/>
        <v>20727.78</v>
      </c>
      <c r="AS909" s="69">
        <v>14345.4</v>
      </c>
      <c r="AT909" s="69">
        <v>1915.15</v>
      </c>
      <c r="AU909" s="69">
        <v>4467.2299999999996</v>
      </c>
      <c r="BC909" s="69"/>
      <c r="BD909" s="69"/>
      <c r="CC909" s="94">
        <f t="shared" si="80"/>
        <v>20727.78</v>
      </c>
      <c r="CD909" s="73">
        <f t="shared" si="82"/>
        <v>0</v>
      </c>
      <c r="CE909" s="75">
        <f t="shared" si="81"/>
        <v>3563</v>
      </c>
      <c r="CF909" s="69" t="str">
        <f t="shared" si="81"/>
        <v>مركز مؤتمرات</v>
      </c>
    </row>
    <row r="910" spans="2:84" ht="18.75" x14ac:dyDescent="0.25">
      <c r="B910" s="82">
        <v>6527</v>
      </c>
      <c r="C910" s="70">
        <v>3564</v>
      </c>
      <c r="D910" s="71" t="s">
        <v>128</v>
      </c>
      <c r="E910" s="107" t="s">
        <v>3872</v>
      </c>
      <c r="G910" s="69">
        <v>3650</v>
      </c>
      <c r="T910" s="69"/>
      <c r="U910" s="69"/>
      <c r="AR910" s="94">
        <f t="shared" si="74"/>
        <v>3650</v>
      </c>
      <c r="AS910" s="69">
        <v>3258.35</v>
      </c>
      <c r="AT910" s="69">
        <v>391.65</v>
      </c>
      <c r="BC910" s="69"/>
      <c r="BD910" s="69"/>
      <c r="CC910" s="94">
        <f t="shared" si="80"/>
        <v>3650</v>
      </c>
      <c r="CD910" s="73">
        <f t="shared" si="82"/>
        <v>0</v>
      </c>
      <c r="CE910" s="75">
        <f t="shared" si="81"/>
        <v>3564</v>
      </c>
      <c r="CF910" s="69" t="str">
        <f t="shared" si="81"/>
        <v>مركز مؤتمرات</v>
      </c>
    </row>
    <row r="911" spans="2:84" ht="18.75" x14ac:dyDescent="0.25">
      <c r="B911" s="82">
        <v>6526</v>
      </c>
      <c r="C911" s="70">
        <v>3565</v>
      </c>
      <c r="D911" s="71" t="s">
        <v>128</v>
      </c>
      <c r="E911" s="107" t="s">
        <v>3872</v>
      </c>
      <c r="G911" s="69">
        <v>1217.9100000000001</v>
      </c>
      <c r="T911" s="69"/>
      <c r="U911" s="69"/>
      <c r="AR911" s="94">
        <f t="shared" si="74"/>
        <v>1217.9100000000001</v>
      </c>
      <c r="AS911" s="69">
        <v>831.23</v>
      </c>
      <c r="AT911" s="69">
        <v>111.7</v>
      </c>
      <c r="AU911" s="69">
        <v>274.98</v>
      </c>
      <c r="BC911" s="69"/>
      <c r="BD911" s="69"/>
      <c r="CC911" s="94">
        <f t="shared" si="80"/>
        <v>1217.9100000000001</v>
      </c>
      <c r="CD911" s="73">
        <f t="shared" si="82"/>
        <v>0</v>
      </c>
      <c r="CE911" s="75">
        <f t="shared" si="81"/>
        <v>3565</v>
      </c>
      <c r="CF911" s="69" t="str">
        <f t="shared" si="81"/>
        <v>مركز مؤتمرات</v>
      </c>
    </row>
    <row r="912" spans="2:84" ht="18.75" x14ac:dyDescent="0.25">
      <c r="B912" s="82">
        <v>6525</v>
      </c>
      <c r="C912" s="70">
        <v>3566</v>
      </c>
      <c r="D912" s="71" t="s">
        <v>128</v>
      </c>
      <c r="E912" s="107" t="s">
        <v>3872</v>
      </c>
      <c r="G912" s="69">
        <v>1350</v>
      </c>
      <c r="T912" s="69"/>
      <c r="U912" s="69"/>
      <c r="AR912" s="94">
        <f t="shared" si="74"/>
        <v>1350</v>
      </c>
      <c r="AS912" s="69">
        <v>1205.25</v>
      </c>
      <c r="AT912" s="69">
        <v>144.75</v>
      </c>
      <c r="BC912" s="69"/>
      <c r="BD912" s="69"/>
      <c r="CC912" s="94">
        <f t="shared" si="80"/>
        <v>1350</v>
      </c>
      <c r="CD912" s="73">
        <f t="shared" si="82"/>
        <v>0</v>
      </c>
      <c r="CE912" s="75">
        <f t="shared" si="81"/>
        <v>3566</v>
      </c>
      <c r="CF912" s="69" t="str">
        <f t="shared" si="81"/>
        <v>مركز مؤتمرات</v>
      </c>
    </row>
    <row r="913" spans="2:84" ht="18.75" x14ac:dyDescent="0.25">
      <c r="B913" s="82">
        <v>6461</v>
      </c>
      <c r="C913" s="70">
        <v>3567</v>
      </c>
      <c r="D913" s="71" t="s">
        <v>78</v>
      </c>
      <c r="E913" s="107" t="s">
        <v>3873</v>
      </c>
      <c r="G913" s="69">
        <v>69500</v>
      </c>
      <c r="T913" s="69"/>
      <c r="U913" s="69"/>
      <c r="AR913" s="94">
        <f t="shared" si="74"/>
        <v>69500</v>
      </c>
      <c r="AS913" s="69">
        <v>62012.3</v>
      </c>
      <c r="AT913" s="69">
        <v>7487.7</v>
      </c>
      <c r="BC913" s="69"/>
      <c r="BD913" s="69"/>
      <c r="CC913" s="94">
        <f t="shared" si="80"/>
        <v>69500</v>
      </c>
      <c r="CD913" s="73">
        <f t="shared" si="82"/>
        <v>0</v>
      </c>
      <c r="CE913" s="75">
        <f t="shared" si="81"/>
        <v>3567</v>
      </c>
      <c r="CF913" s="69" t="str">
        <f t="shared" si="81"/>
        <v>برنامج دولى</v>
      </c>
    </row>
    <row r="914" spans="2:84" ht="18.75" x14ac:dyDescent="0.25">
      <c r="B914" s="82">
        <v>6460</v>
      </c>
      <c r="C914" s="70">
        <v>3568</v>
      </c>
      <c r="D914" s="71" t="s">
        <v>78</v>
      </c>
      <c r="E914" s="107" t="s">
        <v>3873</v>
      </c>
      <c r="G914" s="69">
        <v>26250</v>
      </c>
      <c r="T914" s="69"/>
      <c r="U914" s="69"/>
      <c r="AR914" s="94">
        <f t="shared" si="74"/>
        <v>26250</v>
      </c>
      <c r="AS914" s="69">
        <v>23422.45</v>
      </c>
      <c r="AT914" s="69">
        <v>2827.55</v>
      </c>
      <c r="BC914" s="69"/>
      <c r="BD914" s="69"/>
      <c r="CC914" s="94">
        <f t="shared" si="80"/>
        <v>26250</v>
      </c>
      <c r="CD914" s="73">
        <f t="shared" si="82"/>
        <v>0</v>
      </c>
      <c r="CE914" s="75">
        <f t="shared" si="81"/>
        <v>3568</v>
      </c>
      <c r="CF914" s="69" t="str">
        <f t="shared" si="81"/>
        <v>برنامج دولى</v>
      </c>
    </row>
    <row r="915" spans="2:84" ht="18.75" x14ac:dyDescent="0.25">
      <c r="B915" s="82">
        <v>6404</v>
      </c>
      <c r="C915" s="70">
        <v>3569</v>
      </c>
      <c r="D915" s="71" t="s">
        <v>78</v>
      </c>
      <c r="E915" s="107" t="s">
        <v>3874</v>
      </c>
      <c r="G915" s="69">
        <v>10951.15</v>
      </c>
      <c r="T915" s="69"/>
      <c r="U915" s="69"/>
      <c r="AR915" s="94">
        <f t="shared" si="74"/>
        <v>10951.15</v>
      </c>
      <c r="AS915" s="69">
        <v>7317.3</v>
      </c>
      <c r="AT915" s="69">
        <f>61.3+934</f>
        <v>995.3</v>
      </c>
      <c r="AU915" s="69">
        <v>2638.55</v>
      </c>
      <c r="BC915" s="69"/>
      <c r="BD915" s="69"/>
      <c r="CC915" s="94">
        <f t="shared" si="80"/>
        <v>10951.150000000001</v>
      </c>
      <c r="CD915" s="73">
        <f t="shared" si="82"/>
        <v>0</v>
      </c>
      <c r="CE915" s="75">
        <f t="shared" si="81"/>
        <v>3569</v>
      </c>
      <c r="CF915" s="69" t="str">
        <f t="shared" si="81"/>
        <v>برنامج دولى</v>
      </c>
    </row>
    <row r="916" spans="2:84" ht="18.75" x14ac:dyDescent="0.25">
      <c r="B916" s="82">
        <v>6455</v>
      </c>
      <c r="C916" s="70">
        <v>3570</v>
      </c>
      <c r="D916" s="71" t="s">
        <v>78</v>
      </c>
      <c r="E916" s="107" t="s">
        <v>3875</v>
      </c>
      <c r="G916" s="69">
        <v>58409.46</v>
      </c>
      <c r="T916" s="69"/>
      <c r="U916" s="69"/>
      <c r="AR916" s="94">
        <f t="shared" si="74"/>
        <v>58409.46</v>
      </c>
      <c r="AS916" s="69">
        <v>38986.720000000001</v>
      </c>
      <c r="AT916" s="69">
        <f>368.05+4981.61</f>
        <v>5349.66</v>
      </c>
      <c r="AU916" s="69">
        <f>5977.94+622.75+498.15+1494.48+498.15+4483.46+498.15</f>
        <v>14073.08</v>
      </c>
      <c r="BC916" s="69"/>
      <c r="BD916" s="69"/>
      <c r="CC916" s="94">
        <f t="shared" si="80"/>
        <v>58409.460000000006</v>
      </c>
      <c r="CD916" s="73">
        <f t="shared" si="82"/>
        <v>0</v>
      </c>
      <c r="CE916" s="75">
        <f t="shared" si="81"/>
        <v>3570</v>
      </c>
      <c r="CF916" s="69" t="str">
        <f t="shared" si="81"/>
        <v>برنامج دولى</v>
      </c>
    </row>
    <row r="917" spans="2:84" ht="18.75" x14ac:dyDescent="0.25">
      <c r="B917" s="82">
        <v>6435</v>
      </c>
      <c r="C917" s="70">
        <v>3571</v>
      </c>
      <c r="D917" s="71" t="s">
        <v>78</v>
      </c>
      <c r="E917" s="107" t="s">
        <v>3876</v>
      </c>
      <c r="G917" s="69">
        <v>2600</v>
      </c>
      <c r="T917" s="69"/>
      <c r="U917" s="69"/>
      <c r="AR917" s="94">
        <f t="shared" si="74"/>
        <v>2600</v>
      </c>
      <c r="AS917" s="69">
        <v>2320.85</v>
      </c>
      <c r="AT917" s="69">
        <f>19.15+260</f>
        <v>279.14999999999998</v>
      </c>
      <c r="BC917" s="69"/>
      <c r="BD917" s="69"/>
      <c r="CC917" s="94">
        <f t="shared" si="80"/>
        <v>2600</v>
      </c>
      <c r="CD917" s="73">
        <f t="shared" si="82"/>
        <v>0</v>
      </c>
      <c r="CE917" s="75">
        <f t="shared" si="81"/>
        <v>3571</v>
      </c>
      <c r="CF917" s="69" t="str">
        <f t="shared" si="81"/>
        <v>برنامج دولى</v>
      </c>
    </row>
    <row r="918" spans="2:84" ht="18.75" x14ac:dyDescent="0.25">
      <c r="B918" s="82">
        <v>6436</v>
      </c>
      <c r="C918" s="70">
        <v>3572</v>
      </c>
      <c r="D918" s="71" t="s">
        <v>78</v>
      </c>
      <c r="E918" s="107" t="s">
        <v>3876</v>
      </c>
      <c r="G918" s="69">
        <v>2600</v>
      </c>
      <c r="T918" s="69"/>
      <c r="U918" s="69"/>
      <c r="AR918" s="94">
        <f t="shared" si="74"/>
        <v>2600</v>
      </c>
      <c r="AS918" s="69">
        <v>2320.85</v>
      </c>
      <c r="AT918" s="69">
        <v>279.14999999999998</v>
      </c>
      <c r="BC918" s="69"/>
      <c r="BD918" s="69"/>
      <c r="CC918" s="94">
        <f t="shared" si="80"/>
        <v>2600</v>
      </c>
      <c r="CD918" s="73">
        <f t="shared" si="82"/>
        <v>0</v>
      </c>
      <c r="CE918" s="75">
        <f t="shared" si="81"/>
        <v>3572</v>
      </c>
      <c r="CF918" s="69" t="str">
        <f t="shared" si="81"/>
        <v>برنامج دولى</v>
      </c>
    </row>
    <row r="919" spans="2:84" ht="18.75" x14ac:dyDescent="0.25">
      <c r="B919" s="82">
        <v>5924</v>
      </c>
      <c r="C919" s="70">
        <v>3573</v>
      </c>
      <c r="D919" s="71" t="s">
        <v>119</v>
      </c>
      <c r="E919" s="107" t="s">
        <v>3877</v>
      </c>
      <c r="G919" s="69">
        <v>8703.34</v>
      </c>
      <c r="T919" s="69"/>
      <c r="U919" s="69"/>
      <c r="AR919" s="94">
        <f t="shared" si="74"/>
        <v>8703.34</v>
      </c>
      <c r="AS919" s="69">
        <v>5461.36</v>
      </c>
      <c r="AT919" s="69">
        <v>991.57</v>
      </c>
      <c r="AU919" s="69">
        <v>1872.41</v>
      </c>
      <c r="AV919" s="69">
        <v>378</v>
      </c>
      <c r="BC919" s="69"/>
      <c r="BD919" s="69"/>
      <c r="CC919" s="94">
        <f t="shared" si="80"/>
        <v>8703.34</v>
      </c>
      <c r="CD919" s="73">
        <f t="shared" si="82"/>
        <v>0</v>
      </c>
      <c r="CE919" s="75">
        <f t="shared" si="81"/>
        <v>3573</v>
      </c>
      <c r="CF919" s="69" t="str">
        <f t="shared" si="81"/>
        <v>خ ت صيدلة</v>
      </c>
    </row>
    <row r="920" spans="2:84" ht="18.75" x14ac:dyDescent="0.25">
      <c r="B920" s="82">
        <v>5922</v>
      </c>
      <c r="C920" s="70">
        <v>3574</v>
      </c>
      <c r="D920" s="71" t="s">
        <v>119</v>
      </c>
      <c r="E920" s="107" t="s">
        <v>3877</v>
      </c>
      <c r="G920" s="69">
        <v>457.28</v>
      </c>
      <c r="T920" s="69"/>
      <c r="U920" s="69"/>
      <c r="AR920" s="94">
        <f t="shared" si="74"/>
        <v>457.28</v>
      </c>
      <c r="AS920" s="69">
        <v>317.51</v>
      </c>
      <c r="AT920" s="69">
        <v>10.09</v>
      </c>
      <c r="AU920" s="69">
        <v>110.18</v>
      </c>
      <c r="AV920" s="69">
        <v>19.5</v>
      </c>
      <c r="BC920" s="69"/>
      <c r="BD920" s="69"/>
      <c r="CC920" s="94">
        <f t="shared" si="80"/>
        <v>457.28</v>
      </c>
      <c r="CD920" s="73">
        <f t="shared" si="82"/>
        <v>0</v>
      </c>
      <c r="CE920" s="75">
        <f t="shared" si="81"/>
        <v>3574</v>
      </c>
      <c r="CF920" s="69" t="str">
        <f t="shared" si="81"/>
        <v>خ ت صيدلة</v>
      </c>
    </row>
    <row r="921" spans="2:84" ht="18.75" x14ac:dyDescent="0.25">
      <c r="B921" s="82">
        <v>5921</v>
      </c>
      <c r="C921" s="70">
        <v>3575</v>
      </c>
      <c r="D921" s="71" t="s">
        <v>119</v>
      </c>
      <c r="E921" s="107" t="s">
        <v>3877</v>
      </c>
      <c r="G921" s="69">
        <v>250</v>
      </c>
      <c r="T921" s="69"/>
      <c r="U921" s="69"/>
      <c r="AR921" s="94">
        <f t="shared" si="74"/>
        <v>250</v>
      </c>
      <c r="AS921" s="69">
        <v>200.86</v>
      </c>
      <c r="AT921" s="69">
        <v>36.64</v>
      </c>
      <c r="AV921" s="69">
        <v>12.5</v>
      </c>
      <c r="BC921" s="69"/>
      <c r="BD921" s="69"/>
      <c r="CC921" s="94">
        <f t="shared" si="80"/>
        <v>250</v>
      </c>
      <c r="CD921" s="73">
        <f t="shared" si="82"/>
        <v>0</v>
      </c>
      <c r="CE921" s="75">
        <f t="shared" si="81"/>
        <v>3575</v>
      </c>
      <c r="CF921" s="69" t="str">
        <f t="shared" si="81"/>
        <v>خ ت صيدلة</v>
      </c>
    </row>
    <row r="922" spans="2:84" ht="18.75" x14ac:dyDescent="0.25">
      <c r="B922" s="82">
        <v>5923</v>
      </c>
      <c r="C922" s="70">
        <v>3576</v>
      </c>
      <c r="D922" s="71" t="s">
        <v>119</v>
      </c>
      <c r="E922" s="107" t="s">
        <v>3877</v>
      </c>
      <c r="G922" s="69">
        <v>2815.42</v>
      </c>
      <c r="T922" s="69"/>
      <c r="U922" s="69"/>
      <c r="AR922" s="94">
        <f t="shared" si="74"/>
        <v>2815.42</v>
      </c>
      <c r="AS922" s="69">
        <v>1966.86</v>
      </c>
      <c r="AT922" s="69">
        <v>167.32</v>
      </c>
      <c r="AU922" s="69">
        <v>557.49</v>
      </c>
      <c r="AV922" s="69">
        <v>123.75</v>
      </c>
      <c r="BC922" s="69"/>
      <c r="BD922" s="69"/>
      <c r="CC922" s="94">
        <f t="shared" ref="CC922:CC925" si="85">SUM(AS922:CB922)</f>
        <v>2815.42</v>
      </c>
      <c r="CD922" s="73">
        <f t="shared" si="82"/>
        <v>0</v>
      </c>
      <c r="CE922" s="75">
        <f t="shared" si="81"/>
        <v>3576</v>
      </c>
      <c r="CF922" s="69" t="str">
        <f t="shared" si="81"/>
        <v>خ ت صيدلة</v>
      </c>
    </row>
    <row r="923" spans="2:84" ht="18.75" x14ac:dyDescent="0.25">
      <c r="B923" s="82">
        <v>5920</v>
      </c>
      <c r="C923" s="70">
        <v>3577</v>
      </c>
      <c r="D923" s="71" t="s">
        <v>119</v>
      </c>
      <c r="E923" s="107" t="s">
        <v>3877</v>
      </c>
      <c r="G923" s="69">
        <v>2649.86</v>
      </c>
      <c r="T923" s="69"/>
      <c r="U923" s="69"/>
      <c r="AR923" s="94">
        <f t="shared" si="74"/>
        <v>2649.86</v>
      </c>
      <c r="AS923" s="69">
        <v>1840.07</v>
      </c>
      <c r="AT923" s="69">
        <f>11.15+47.18</f>
        <v>58.33</v>
      </c>
      <c r="AU923" s="69">
        <f>271.2+28.26+22.6+67.8+22.6+203.4+22.6</f>
        <v>638.46</v>
      </c>
      <c r="AV923" s="69">
        <v>113</v>
      </c>
      <c r="BC923" s="69"/>
      <c r="BD923" s="69"/>
      <c r="CC923" s="94">
        <f t="shared" si="85"/>
        <v>2649.8599999999997</v>
      </c>
      <c r="CD923" s="73">
        <f t="shared" si="82"/>
        <v>0</v>
      </c>
      <c r="CE923" s="75">
        <f t="shared" si="81"/>
        <v>3577</v>
      </c>
      <c r="CF923" s="69" t="str">
        <f t="shared" si="81"/>
        <v>خ ت صيدلة</v>
      </c>
    </row>
    <row r="924" spans="2:84" ht="18.75" x14ac:dyDescent="0.25">
      <c r="B924" s="82">
        <v>6588</v>
      </c>
      <c r="C924" s="70">
        <v>3578</v>
      </c>
      <c r="D924" s="71" t="s">
        <v>132</v>
      </c>
      <c r="E924" s="107" t="s">
        <v>3878</v>
      </c>
      <c r="G924" s="69">
        <v>1460.38</v>
      </c>
      <c r="T924" s="69"/>
      <c r="U924" s="69"/>
      <c r="AR924" s="94">
        <f t="shared" si="74"/>
        <v>1460.38</v>
      </c>
      <c r="AS924" s="69">
        <v>1318.05</v>
      </c>
      <c r="AT924" s="69">
        <v>43.45</v>
      </c>
      <c r="AU924" s="69">
        <v>98.88000000000001</v>
      </c>
      <c r="BC924" s="69"/>
      <c r="BD924" s="69"/>
      <c r="CC924" s="94">
        <f t="shared" si="85"/>
        <v>1460.38</v>
      </c>
      <c r="CD924" s="73">
        <f t="shared" si="82"/>
        <v>0</v>
      </c>
      <c r="CE924" s="75">
        <f t="shared" si="81"/>
        <v>3578</v>
      </c>
      <c r="CF924" s="69" t="str">
        <f t="shared" si="81"/>
        <v>صيدلة اكلينيكى</v>
      </c>
    </row>
    <row r="925" spans="2:84" ht="18.75" x14ac:dyDescent="0.25">
      <c r="B925" s="82">
        <v>6316</v>
      </c>
      <c r="C925" s="70">
        <v>3579</v>
      </c>
      <c r="D925" s="71" t="s">
        <v>132</v>
      </c>
      <c r="E925" s="107" t="s">
        <v>3824</v>
      </c>
      <c r="G925" s="69">
        <v>13200</v>
      </c>
      <c r="T925" s="69"/>
      <c r="U925" s="69"/>
      <c r="AR925" s="94">
        <f t="shared" si="74"/>
        <v>13200</v>
      </c>
      <c r="AS925" s="69">
        <v>12093.7</v>
      </c>
      <c r="AT925" s="69">
        <f>96.2+310.1</f>
        <v>406.3</v>
      </c>
      <c r="AV925" s="69">
        <v>700</v>
      </c>
      <c r="BC925" s="69"/>
      <c r="BD925" s="69"/>
      <c r="CC925" s="94">
        <f t="shared" si="85"/>
        <v>13200</v>
      </c>
      <c r="CD925" s="73">
        <f t="shared" si="82"/>
        <v>0</v>
      </c>
      <c r="CE925" s="75">
        <f t="shared" si="81"/>
        <v>3579</v>
      </c>
      <c r="CF925" s="69" t="str">
        <f t="shared" si="81"/>
        <v>صيدلة اكلينيكى</v>
      </c>
    </row>
    <row r="926" spans="2:84" ht="18.75" x14ac:dyDescent="0.25">
      <c r="B926" s="82">
        <v>6318</v>
      </c>
      <c r="C926" s="70">
        <v>3580</v>
      </c>
      <c r="D926" s="71" t="s">
        <v>132</v>
      </c>
      <c r="E926" s="107" t="s">
        <v>3375</v>
      </c>
      <c r="G926" s="69">
        <v>4221</v>
      </c>
      <c r="T926" s="69"/>
      <c r="U926" s="69"/>
      <c r="AR926" s="94">
        <f t="shared" si="74"/>
        <v>4221</v>
      </c>
      <c r="AS926" s="69">
        <v>3100.79</v>
      </c>
      <c r="AT926" s="69">
        <f>23.7+79.51</f>
        <v>103.21000000000001</v>
      </c>
      <c r="AU926" s="69">
        <v>1017</v>
      </c>
      <c r="BC926" s="69"/>
      <c r="BD926" s="69"/>
      <c r="CC926" s="94">
        <f t="shared" ref="CC926:CC933" si="86">SUM(AS926:CB926)</f>
        <v>4221</v>
      </c>
      <c r="CD926" s="73">
        <f t="shared" si="82"/>
        <v>0</v>
      </c>
      <c r="CE926" s="75">
        <f t="shared" si="81"/>
        <v>3580</v>
      </c>
      <c r="CF926" s="69" t="str">
        <f t="shared" si="81"/>
        <v>صيدلة اكلينيكى</v>
      </c>
    </row>
    <row r="927" spans="2:84" ht="18.75" x14ac:dyDescent="0.25">
      <c r="B927" s="82">
        <v>6317</v>
      </c>
      <c r="C927" s="70">
        <v>3581</v>
      </c>
      <c r="D927" s="71" t="s">
        <v>132</v>
      </c>
      <c r="E927" s="107" t="s">
        <v>3879</v>
      </c>
      <c r="G927" s="69">
        <v>4000</v>
      </c>
      <c r="T927" s="69"/>
      <c r="U927" s="69"/>
      <c r="AR927" s="94">
        <f t="shared" si="74"/>
        <v>4000</v>
      </c>
      <c r="AS927" s="69">
        <v>3570.37</v>
      </c>
      <c r="AT927" s="69">
        <v>429.63</v>
      </c>
      <c r="BC927" s="69"/>
      <c r="BD927" s="69"/>
      <c r="CC927" s="94">
        <f t="shared" si="86"/>
        <v>4000</v>
      </c>
      <c r="CD927" s="73">
        <f t="shared" si="82"/>
        <v>0</v>
      </c>
      <c r="CE927" s="75">
        <f t="shared" si="81"/>
        <v>3581</v>
      </c>
      <c r="CF927" s="69" t="str">
        <f t="shared" si="81"/>
        <v>صيدلة اكلينيكى</v>
      </c>
    </row>
    <row r="928" spans="2:84" ht="18.75" x14ac:dyDescent="0.25">
      <c r="B928" s="82">
        <v>6320</v>
      </c>
      <c r="C928" s="70">
        <v>3582</v>
      </c>
      <c r="D928" s="71" t="s">
        <v>132</v>
      </c>
      <c r="E928" s="107" t="s">
        <v>1858</v>
      </c>
      <c r="G928" s="69">
        <v>4185.82</v>
      </c>
      <c r="T928" s="69"/>
      <c r="U928" s="69"/>
      <c r="AR928" s="94">
        <f t="shared" si="74"/>
        <v>4185.82</v>
      </c>
      <c r="AS928" s="69">
        <v>2796.85</v>
      </c>
      <c r="AT928" s="69">
        <v>380.45</v>
      </c>
      <c r="AU928" s="69">
        <v>1008.52</v>
      </c>
      <c r="BC928" s="69"/>
      <c r="BD928" s="69"/>
      <c r="CC928" s="94">
        <f t="shared" si="86"/>
        <v>4185.82</v>
      </c>
      <c r="CD928" s="73">
        <f t="shared" si="82"/>
        <v>0</v>
      </c>
      <c r="CE928" s="75">
        <f t="shared" si="81"/>
        <v>3582</v>
      </c>
      <c r="CF928" s="69" t="str">
        <f t="shared" si="81"/>
        <v>صيدلة اكلينيكى</v>
      </c>
    </row>
    <row r="929" spans="2:84" ht="18.75" x14ac:dyDescent="0.25">
      <c r="B929" s="82">
        <v>6319</v>
      </c>
      <c r="C929" s="70">
        <v>3583</v>
      </c>
      <c r="D929" s="71" t="s">
        <v>132</v>
      </c>
      <c r="E929" s="107" t="s">
        <v>3880</v>
      </c>
      <c r="G929" s="69">
        <v>2100</v>
      </c>
      <c r="T929" s="69"/>
      <c r="U929" s="69"/>
      <c r="AR929" s="94">
        <f t="shared" si="74"/>
        <v>2100</v>
      </c>
      <c r="AS929" s="69">
        <v>1874.62</v>
      </c>
      <c r="AT929" s="69">
        <f>210+15.38</f>
        <v>225.38</v>
      </c>
      <c r="BC929" s="69"/>
      <c r="BD929" s="69"/>
      <c r="CC929" s="94">
        <f t="shared" si="86"/>
        <v>2100</v>
      </c>
      <c r="CD929" s="73">
        <f t="shared" si="82"/>
        <v>0</v>
      </c>
      <c r="CE929" s="75">
        <f t="shared" si="81"/>
        <v>3583</v>
      </c>
      <c r="CF929" s="69" t="str">
        <f t="shared" si="81"/>
        <v>صيدلة اكلينيكى</v>
      </c>
    </row>
    <row r="930" spans="2:84" ht="18.75" x14ac:dyDescent="0.25">
      <c r="B930" s="82">
        <v>6315</v>
      </c>
      <c r="C930" s="70">
        <v>3584</v>
      </c>
      <c r="D930" s="71" t="s">
        <v>132</v>
      </c>
      <c r="E930" s="107" t="s">
        <v>3824</v>
      </c>
      <c r="G930" s="69">
        <v>43030.76</v>
      </c>
      <c r="T930" s="69"/>
      <c r="U930" s="69"/>
      <c r="AR930" s="94">
        <f t="shared" si="74"/>
        <v>43030.76</v>
      </c>
      <c r="AS930" s="69">
        <v>31271.42</v>
      </c>
      <c r="AT930" s="69">
        <f>239.8+801.78</f>
        <v>1041.58</v>
      </c>
      <c r="AU930" s="69">
        <v>10367.76</v>
      </c>
      <c r="AV930" s="69">
        <v>350</v>
      </c>
      <c r="BC930" s="69"/>
      <c r="BD930" s="69"/>
      <c r="CC930" s="94">
        <f t="shared" si="86"/>
        <v>43030.76</v>
      </c>
      <c r="CD930" s="73">
        <f t="shared" si="82"/>
        <v>0</v>
      </c>
      <c r="CE930" s="75">
        <f t="shared" si="81"/>
        <v>3584</v>
      </c>
      <c r="CF930" s="69" t="str">
        <f t="shared" si="81"/>
        <v>صيدلة اكلينيكى</v>
      </c>
    </row>
    <row r="931" spans="2:84" ht="18.75" x14ac:dyDescent="0.25">
      <c r="B931" s="82">
        <v>6586</v>
      </c>
      <c r="C931" s="70">
        <v>3585</v>
      </c>
      <c r="D931" s="71" t="s">
        <v>132</v>
      </c>
      <c r="E931" s="107" t="s">
        <v>3881</v>
      </c>
      <c r="G931" s="69">
        <v>1641.5</v>
      </c>
      <c r="T931" s="69"/>
      <c r="U931" s="69"/>
      <c r="AR931" s="94">
        <f t="shared" ref="AR931:AR1188" si="87">SUM(G931:AQ931)</f>
        <v>1641.5</v>
      </c>
      <c r="AS931" s="69">
        <v>1097.9000000000001</v>
      </c>
      <c r="AT931" s="69">
        <v>148.1</v>
      </c>
      <c r="AU931" s="69">
        <v>395.5</v>
      </c>
      <c r="BC931" s="69"/>
      <c r="BD931" s="69"/>
      <c r="CC931" s="94">
        <f t="shared" si="86"/>
        <v>1641.5</v>
      </c>
      <c r="CD931" s="73">
        <f t="shared" si="82"/>
        <v>0</v>
      </c>
      <c r="CE931" s="75">
        <f t="shared" si="81"/>
        <v>3585</v>
      </c>
      <c r="CF931" s="69" t="str">
        <f t="shared" si="81"/>
        <v>صيدلة اكلينيكى</v>
      </c>
    </row>
    <row r="932" spans="2:84" ht="18.75" x14ac:dyDescent="0.25">
      <c r="B932" s="82">
        <v>6587</v>
      </c>
      <c r="C932" s="70">
        <v>3586</v>
      </c>
      <c r="D932" s="71" t="s">
        <v>132</v>
      </c>
      <c r="E932" s="107" t="s">
        <v>3881</v>
      </c>
      <c r="G932" s="69">
        <v>8090.28</v>
      </c>
      <c r="T932" s="69"/>
      <c r="U932" s="69"/>
      <c r="AR932" s="94">
        <f t="shared" si="87"/>
        <v>8090.28</v>
      </c>
      <c r="AS932" s="69">
        <v>5414.2</v>
      </c>
      <c r="AT932" s="69">
        <v>726.8</v>
      </c>
      <c r="AU932" s="69">
        <v>1949.28</v>
      </c>
      <c r="BC932" s="69"/>
      <c r="BD932" s="69"/>
      <c r="CC932" s="94">
        <f t="shared" si="86"/>
        <v>8090.28</v>
      </c>
      <c r="CD932" s="73">
        <f t="shared" si="82"/>
        <v>0</v>
      </c>
      <c r="CE932" s="75">
        <f t="shared" si="81"/>
        <v>3586</v>
      </c>
      <c r="CF932" s="69" t="str">
        <f t="shared" si="81"/>
        <v>صيدلة اكلينيكى</v>
      </c>
    </row>
    <row r="933" spans="2:84" ht="18.75" x14ac:dyDescent="0.25">
      <c r="B933" s="82">
        <v>6589</v>
      </c>
      <c r="C933" s="70">
        <v>3587</v>
      </c>
      <c r="D933" s="71" t="s">
        <v>132</v>
      </c>
      <c r="E933" s="107" t="s">
        <v>3882</v>
      </c>
      <c r="G933" s="69">
        <v>878.5</v>
      </c>
      <c r="T933" s="69"/>
      <c r="U933" s="69"/>
      <c r="AR933" s="94">
        <f t="shared" si="87"/>
        <v>878.5</v>
      </c>
      <c r="AS933" s="69">
        <v>646.15</v>
      </c>
      <c r="AT933" s="69">
        <v>62.85</v>
      </c>
      <c r="AU933" s="69">
        <v>169.5</v>
      </c>
      <c r="BC933" s="69"/>
      <c r="BD933" s="69"/>
      <c r="CC933" s="94">
        <f t="shared" si="86"/>
        <v>878.5</v>
      </c>
      <c r="CD933" s="73">
        <f t="shared" si="82"/>
        <v>0</v>
      </c>
      <c r="CE933" s="75">
        <f t="shared" si="81"/>
        <v>3587</v>
      </c>
      <c r="CF933" s="69" t="str">
        <f t="shared" si="81"/>
        <v>صيدلة اكلينيكى</v>
      </c>
    </row>
    <row r="934" spans="2:84" x14ac:dyDescent="0.25">
      <c r="B934" s="82">
        <v>6068</v>
      </c>
      <c r="C934" s="70">
        <v>3588</v>
      </c>
      <c r="D934" s="69" t="s">
        <v>123</v>
      </c>
      <c r="E934" s="107" t="s">
        <v>3883</v>
      </c>
      <c r="G934" s="69">
        <v>5041.75</v>
      </c>
      <c r="T934" s="69"/>
      <c r="U934" s="69"/>
      <c r="AR934" s="94">
        <f t="shared" si="87"/>
        <v>5041.75</v>
      </c>
      <c r="AS934" s="69">
        <v>3159.15</v>
      </c>
      <c r="AT934" s="69">
        <v>452.85</v>
      </c>
      <c r="AU934" s="69">
        <v>1214.75</v>
      </c>
      <c r="AV934" s="69">
        <v>215</v>
      </c>
      <c r="BC934" s="69"/>
      <c r="BD934" s="69"/>
      <c r="CC934" s="94">
        <f t="shared" ref="CC934:CC997" si="88">SUM(AS934:CB934)</f>
        <v>5041.75</v>
      </c>
      <c r="CD934" s="73">
        <f t="shared" si="82"/>
        <v>0</v>
      </c>
      <c r="CE934" s="75">
        <f t="shared" si="81"/>
        <v>3588</v>
      </c>
      <c r="CF934" s="69" t="str">
        <f t="shared" si="81"/>
        <v>خ ت اسنان</v>
      </c>
    </row>
    <row r="935" spans="2:84" x14ac:dyDescent="0.25">
      <c r="B935" s="82">
        <v>6069</v>
      </c>
      <c r="C935" s="70">
        <v>3589</v>
      </c>
      <c r="D935" s="69" t="s">
        <v>123</v>
      </c>
      <c r="E935" s="107" t="s">
        <v>3883</v>
      </c>
      <c r="G935" s="69">
        <v>1172.5</v>
      </c>
      <c r="T935" s="69"/>
      <c r="U935" s="69"/>
      <c r="AR935" s="94">
        <f t="shared" si="87"/>
        <v>1172.5</v>
      </c>
      <c r="AS935" s="69">
        <v>734.8</v>
      </c>
      <c r="AT935" s="69">
        <v>105.2</v>
      </c>
      <c r="AU935" s="69">
        <v>282.5</v>
      </c>
      <c r="AV935" s="69">
        <v>50</v>
      </c>
      <c r="BC935" s="69"/>
      <c r="BD935" s="69"/>
      <c r="CC935" s="94">
        <f t="shared" si="88"/>
        <v>1172.5</v>
      </c>
      <c r="CD935" s="73">
        <f t="shared" si="82"/>
        <v>0</v>
      </c>
      <c r="CE935" s="75">
        <f t="shared" si="81"/>
        <v>3589</v>
      </c>
      <c r="CF935" s="69" t="str">
        <f t="shared" si="81"/>
        <v>خ ت اسنان</v>
      </c>
    </row>
    <row r="936" spans="2:84" x14ac:dyDescent="0.25">
      <c r="B936" s="82">
        <v>6066</v>
      </c>
      <c r="C936" s="70">
        <v>3590</v>
      </c>
      <c r="D936" s="69" t="s">
        <v>123</v>
      </c>
      <c r="E936" s="107" t="s">
        <v>3884</v>
      </c>
      <c r="G936" s="69">
        <v>351.75</v>
      </c>
      <c r="T936" s="69"/>
      <c r="U936" s="69"/>
      <c r="AR936" s="94">
        <f t="shared" si="87"/>
        <v>351.75</v>
      </c>
      <c r="AS936" s="69">
        <v>221.25</v>
      </c>
      <c r="AT936" s="69">
        <v>30.75</v>
      </c>
      <c r="AU936" s="69">
        <v>84.75</v>
      </c>
      <c r="AV936" s="69">
        <v>15</v>
      </c>
      <c r="BC936" s="69"/>
      <c r="BD936" s="69"/>
      <c r="CC936" s="94">
        <f t="shared" si="88"/>
        <v>351.75</v>
      </c>
      <c r="CD936" s="73">
        <f t="shared" si="82"/>
        <v>0</v>
      </c>
      <c r="CE936" s="75">
        <f t="shared" ref="CE936:CF961" si="89">+C936</f>
        <v>3590</v>
      </c>
      <c r="CF936" s="69" t="str">
        <f t="shared" si="89"/>
        <v>خ ت اسنان</v>
      </c>
    </row>
    <row r="937" spans="2:84" x14ac:dyDescent="0.25">
      <c r="B937" s="82">
        <v>6062</v>
      </c>
      <c r="C937" s="70">
        <v>3591</v>
      </c>
      <c r="D937" s="69" t="s">
        <v>123</v>
      </c>
      <c r="E937" s="107" t="s">
        <v>3885</v>
      </c>
      <c r="G937" s="69">
        <v>1172.5</v>
      </c>
      <c r="T937" s="69"/>
      <c r="U937" s="69"/>
      <c r="AR937" s="94">
        <f t="shared" si="87"/>
        <v>1172.5</v>
      </c>
      <c r="AS937" s="69">
        <v>734.1</v>
      </c>
      <c r="AT937" s="69">
        <v>105.9</v>
      </c>
      <c r="AU937" s="69">
        <v>282.5</v>
      </c>
      <c r="AV937" s="69">
        <v>50</v>
      </c>
      <c r="BC937" s="69"/>
      <c r="BD937" s="69"/>
      <c r="CC937" s="94">
        <f t="shared" si="88"/>
        <v>1172.5</v>
      </c>
      <c r="CD937" s="73">
        <f t="shared" ref="CD937:CD1000" si="90">+CC937-AR937</f>
        <v>0</v>
      </c>
      <c r="CE937" s="75">
        <f t="shared" si="89"/>
        <v>3591</v>
      </c>
      <c r="CF937" s="69" t="str">
        <f t="shared" si="89"/>
        <v>خ ت اسنان</v>
      </c>
    </row>
    <row r="938" spans="2:84" x14ac:dyDescent="0.25">
      <c r="B938" s="82">
        <v>6063</v>
      </c>
      <c r="C938" s="70">
        <v>3592</v>
      </c>
      <c r="D938" s="69" t="s">
        <v>123</v>
      </c>
      <c r="E938" s="107" t="s">
        <v>3886</v>
      </c>
      <c r="G938" s="69">
        <v>471.22</v>
      </c>
      <c r="T938" s="69"/>
      <c r="U938" s="69"/>
      <c r="AR938" s="94">
        <f t="shared" si="87"/>
        <v>471.22</v>
      </c>
      <c r="AS938" s="69">
        <v>296.39</v>
      </c>
      <c r="AT938" s="69">
        <v>41.19</v>
      </c>
      <c r="AU938" s="69">
        <v>113.55</v>
      </c>
      <c r="AV938" s="69">
        <v>20.09</v>
      </c>
      <c r="BC938" s="69"/>
      <c r="BD938" s="69"/>
      <c r="CC938" s="94">
        <f t="shared" si="88"/>
        <v>471.21999999999997</v>
      </c>
      <c r="CD938" s="73">
        <f t="shared" si="90"/>
        <v>0</v>
      </c>
      <c r="CE938" s="75">
        <f t="shared" si="89"/>
        <v>3592</v>
      </c>
      <c r="CF938" s="69" t="str">
        <f t="shared" si="89"/>
        <v>خ ت اسنان</v>
      </c>
    </row>
    <row r="939" spans="2:84" x14ac:dyDescent="0.25">
      <c r="B939" s="82">
        <v>6065</v>
      </c>
      <c r="C939" s="70">
        <v>3593</v>
      </c>
      <c r="D939" s="69" t="s">
        <v>123</v>
      </c>
      <c r="E939" s="107" t="s">
        <v>3887</v>
      </c>
      <c r="G939" s="69">
        <v>1055.24</v>
      </c>
      <c r="T939" s="69"/>
      <c r="U939" s="69"/>
      <c r="AR939" s="94">
        <f t="shared" si="87"/>
        <v>1055.24</v>
      </c>
      <c r="AS939" s="69">
        <v>661.4</v>
      </c>
      <c r="AT939" s="69">
        <v>94.6</v>
      </c>
      <c r="AU939" s="69">
        <v>254.24</v>
      </c>
      <c r="AV939" s="69">
        <v>45</v>
      </c>
      <c r="BC939" s="69"/>
      <c r="BD939" s="69"/>
      <c r="CC939" s="94">
        <f t="shared" si="88"/>
        <v>1055.24</v>
      </c>
      <c r="CD939" s="73">
        <f t="shared" si="90"/>
        <v>0</v>
      </c>
      <c r="CE939" s="75">
        <f t="shared" si="89"/>
        <v>3593</v>
      </c>
      <c r="CF939" s="69" t="str">
        <f t="shared" si="89"/>
        <v>خ ت اسنان</v>
      </c>
    </row>
    <row r="940" spans="2:84" x14ac:dyDescent="0.25">
      <c r="B940" s="82">
        <v>6067</v>
      </c>
      <c r="C940" s="70">
        <v>3594</v>
      </c>
      <c r="D940" s="69" t="s">
        <v>123</v>
      </c>
      <c r="E940" s="107" t="s">
        <v>3888</v>
      </c>
      <c r="G940" s="69">
        <v>293.12</v>
      </c>
      <c r="T940" s="69"/>
      <c r="U940" s="69"/>
      <c r="AR940" s="94">
        <f t="shared" si="87"/>
        <v>293.12</v>
      </c>
      <c r="AS940" s="69">
        <v>183.95</v>
      </c>
      <c r="AT940" s="69">
        <v>26.05</v>
      </c>
      <c r="AU940" s="69">
        <v>70.62</v>
      </c>
      <c r="AV940" s="69">
        <v>12.5</v>
      </c>
      <c r="BC940" s="69"/>
      <c r="BD940" s="69"/>
      <c r="CC940" s="94">
        <f t="shared" si="88"/>
        <v>293.12</v>
      </c>
      <c r="CD940" s="73">
        <f t="shared" si="90"/>
        <v>0</v>
      </c>
      <c r="CE940" s="75">
        <f t="shared" si="89"/>
        <v>3594</v>
      </c>
      <c r="CF940" s="69" t="str">
        <f t="shared" si="89"/>
        <v>خ ت اسنان</v>
      </c>
    </row>
    <row r="941" spans="2:84" x14ac:dyDescent="0.25">
      <c r="B941" s="82">
        <v>6277</v>
      </c>
      <c r="C941" s="70">
        <v>3595</v>
      </c>
      <c r="D941" s="69" t="s">
        <v>123</v>
      </c>
      <c r="E941" s="107" t="s">
        <v>2221</v>
      </c>
      <c r="G941" s="69">
        <v>3441.95</v>
      </c>
      <c r="T941" s="69"/>
      <c r="U941" s="69"/>
      <c r="AR941" s="94">
        <f t="shared" si="87"/>
        <v>3441.95</v>
      </c>
      <c r="AS941" s="69">
        <v>2173.69</v>
      </c>
      <c r="AT941" s="69">
        <v>298.25</v>
      </c>
      <c r="AU941" s="69">
        <v>823.05</v>
      </c>
      <c r="AV941" s="69">
        <v>146.96</v>
      </c>
      <c r="BC941" s="69"/>
      <c r="BD941" s="69"/>
      <c r="CC941" s="94">
        <f t="shared" si="88"/>
        <v>3441.95</v>
      </c>
      <c r="CD941" s="73">
        <f t="shared" si="90"/>
        <v>0</v>
      </c>
      <c r="CE941" s="75">
        <f t="shared" si="89"/>
        <v>3595</v>
      </c>
      <c r="CF941" s="69" t="str">
        <f t="shared" si="89"/>
        <v>خ ت اسنان</v>
      </c>
    </row>
    <row r="942" spans="2:84" x14ac:dyDescent="0.25">
      <c r="B942" s="82">
        <v>6279</v>
      </c>
      <c r="C942" s="70">
        <v>3596</v>
      </c>
      <c r="D942" s="69" t="s">
        <v>123</v>
      </c>
      <c r="E942" s="107" t="s">
        <v>2221</v>
      </c>
      <c r="G942" s="69">
        <v>87.94</v>
      </c>
      <c r="T942" s="69"/>
      <c r="U942" s="69"/>
      <c r="AR942" s="94">
        <f t="shared" si="87"/>
        <v>87.94</v>
      </c>
      <c r="AS942" s="69">
        <v>55.4</v>
      </c>
      <c r="AT942" s="69">
        <v>7.6</v>
      </c>
      <c r="AU942" s="69">
        <v>21.19</v>
      </c>
      <c r="AV942" s="69">
        <v>3.75</v>
      </c>
      <c r="BC942" s="69"/>
      <c r="BD942" s="69"/>
      <c r="CC942" s="94">
        <f t="shared" si="88"/>
        <v>87.94</v>
      </c>
      <c r="CD942" s="73">
        <f t="shared" si="90"/>
        <v>0</v>
      </c>
      <c r="CE942" s="75">
        <f t="shared" si="89"/>
        <v>3596</v>
      </c>
      <c r="CF942" s="69" t="str">
        <f t="shared" si="89"/>
        <v>خ ت اسنان</v>
      </c>
    </row>
    <row r="943" spans="2:84" x14ac:dyDescent="0.25">
      <c r="B943" s="82">
        <v>6278</v>
      </c>
      <c r="C943" s="70">
        <v>3597</v>
      </c>
      <c r="D943" s="69" t="s">
        <v>123</v>
      </c>
      <c r="E943" s="107" t="s">
        <v>2221</v>
      </c>
      <c r="G943" s="69">
        <v>836.93</v>
      </c>
      <c r="T943" s="69"/>
      <c r="U943" s="69"/>
      <c r="AR943" s="94">
        <f t="shared" si="87"/>
        <v>836.93</v>
      </c>
      <c r="AS943" s="69">
        <v>528.11</v>
      </c>
      <c r="AT943" s="69">
        <v>71.48</v>
      </c>
      <c r="AU943" s="69">
        <v>201.65</v>
      </c>
      <c r="AV943" s="69">
        <v>35.69</v>
      </c>
      <c r="BC943" s="69"/>
      <c r="BD943" s="69"/>
      <c r="CC943" s="94">
        <f t="shared" si="88"/>
        <v>836.93000000000006</v>
      </c>
      <c r="CD943" s="73">
        <f t="shared" si="90"/>
        <v>0</v>
      </c>
      <c r="CE943" s="75">
        <f t="shared" si="89"/>
        <v>3597</v>
      </c>
      <c r="CF943" s="69" t="str">
        <f t="shared" si="89"/>
        <v>خ ت اسنان</v>
      </c>
    </row>
    <row r="944" spans="2:84" x14ac:dyDescent="0.25">
      <c r="B944" s="82">
        <v>6064</v>
      </c>
      <c r="C944" s="70">
        <v>3598</v>
      </c>
      <c r="D944" s="69" t="s">
        <v>124</v>
      </c>
      <c r="E944" s="107" t="s">
        <v>3889</v>
      </c>
      <c r="G944" s="69">
        <v>551.73</v>
      </c>
      <c r="T944" s="69"/>
      <c r="U944" s="69"/>
      <c r="AR944" s="94">
        <f t="shared" si="87"/>
        <v>551.73</v>
      </c>
      <c r="AS944" s="69">
        <v>346.52</v>
      </c>
      <c r="AT944" s="69">
        <v>48.75</v>
      </c>
      <c r="AU944" s="69">
        <v>132.93</v>
      </c>
      <c r="AV944" s="69">
        <v>23.53</v>
      </c>
      <c r="BC944" s="69"/>
      <c r="BD944" s="69"/>
      <c r="CC944" s="94">
        <f t="shared" si="88"/>
        <v>551.73</v>
      </c>
      <c r="CD944" s="73">
        <f t="shared" si="90"/>
        <v>0</v>
      </c>
      <c r="CE944" s="75">
        <f t="shared" si="89"/>
        <v>3598</v>
      </c>
      <c r="CF944" s="69" t="str">
        <f t="shared" si="89"/>
        <v>تكافل اسنان</v>
      </c>
    </row>
    <row r="945" spans="1:84" x14ac:dyDescent="0.25">
      <c r="B945" s="82">
        <v>6072</v>
      </c>
      <c r="C945" s="70">
        <v>3599</v>
      </c>
      <c r="D945" s="69" t="s">
        <v>122</v>
      </c>
      <c r="E945" s="107" t="s">
        <v>3890</v>
      </c>
      <c r="G945" s="69">
        <v>1578.5</v>
      </c>
      <c r="T945" s="69"/>
      <c r="U945" s="69"/>
      <c r="AR945" s="94">
        <f t="shared" si="87"/>
        <v>1578.5</v>
      </c>
      <c r="AS945" s="69">
        <v>1330.23</v>
      </c>
      <c r="AT945" s="69">
        <v>169.35</v>
      </c>
      <c r="AV945" s="69">
        <v>78.92</v>
      </c>
      <c r="BC945" s="69"/>
      <c r="BD945" s="69"/>
      <c r="CC945" s="94">
        <f t="shared" si="88"/>
        <v>1578.5</v>
      </c>
      <c r="CD945" s="73">
        <f t="shared" si="90"/>
        <v>0</v>
      </c>
      <c r="CE945" s="75">
        <f t="shared" si="89"/>
        <v>3599</v>
      </c>
      <c r="CF945" s="69" t="str">
        <f t="shared" si="89"/>
        <v>علاج تخصصى</v>
      </c>
    </row>
    <row r="946" spans="1:84" x14ac:dyDescent="0.25">
      <c r="B946" s="82">
        <v>6073</v>
      </c>
      <c r="C946" s="70">
        <v>3600</v>
      </c>
      <c r="D946" s="69" t="s">
        <v>122</v>
      </c>
      <c r="E946" s="107" t="s">
        <v>3890</v>
      </c>
      <c r="G946" s="69">
        <v>2950.21</v>
      </c>
      <c r="T946" s="69"/>
      <c r="U946" s="69"/>
      <c r="AR946" s="94">
        <f t="shared" si="87"/>
        <v>2950.21</v>
      </c>
      <c r="AS946" s="69">
        <v>2162.09</v>
      </c>
      <c r="AT946" s="69">
        <v>292.18</v>
      </c>
      <c r="AU946" s="69">
        <v>359.4</v>
      </c>
      <c r="AV946" s="69">
        <v>136.54</v>
      </c>
      <c r="BC946" s="69"/>
      <c r="BD946" s="69"/>
      <c r="CC946" s="94">
        <f t="shared" si="88"/>
        <v>2950.21</v>
      </c>
      <c r="CD946" s="73">
        <f t="shared" si="90"/>
        <v>0</v>
      </c>
      <c r="CE946" s="75">
        <f t="shared" si="89"/>
        <v>3600</v>
      </c>
      <c r="CF946" s="69" t="str">
        <f t="shared" si="89"/>
        <v>علاج تخصصى</v>
      </c>
    </row>
    <row r="947" spans="1:84" x14ac:dyDescent="0.25">
      <c r="B947" s="82">
        <v>6070</v>
      </c>
      <c r="C947" s="70">
        <v>3601</v>
      </c>
      <c r="D947" s="69" t="s">
        <v>122</v>
      </c>
      <c r="E947" s="107" t="s">
        <v>3890</v>
      </c>
      <c r="G947" s="69">
        <v>586.95000000000005</v>
      </c>
      <c r="T947" s="69"/>
      <c r="U947" s="69"/>
      <c r="AR947" s="94">
        <f t="shared" si="87"/>
        <v>586.95000000000005</v>
      </c>
      <c r="AS947" s="69">
        <v>393.17</v>
      </c>
      <c r="AT947" s="69">
        <f>2.3+50.06</f>
        <v>52.36</v>
      </c>
      <c r="AU947" s="69">
        <f>193.78-AT947</f>
        <v>141.42000000000002</v>
      </c>
      <c r="BC947" s="69"/>
      <c r="BD947" s="69"/>
      <c r="CC947" s="94">
        <f t="shared" si="88"/>
        <v>586.95000000000005</v>
      </c>
      <c r="CD947" s="73">
        <f t="shared" si="90"/>
        <v>0</v>
      </c>
      <c r="CE947" s="75">
        <f t="shared" si="89"/>
        <v>3601</v>
      </c>
      <c r="CF947" s="69" t="str">
        <f t="shared" si="89"/>
        <v>علاج تخصصى</v>
      </c>
    </row>
    <row r="948" spans="1:84" x14ac:dyDescent="0.25">
      <c r="B948" s="82">
        <v>6071</v>
      </c>
      <c r="C948" s="70">
        <v>3602</v>
      </c>
      <c r="D948" s="69" t="s">
        <v>122</v>
      </c>
      <c r="E948" s="107" t="s">
        <v>3890</v>
      </c>
      <c r="G948" s="69">
        <v>30592.94</v>
      </c>
      <c r="T948" s="69"/>
      <c r="U948" s="69"/>
      <c r="AR948" s="94">
        <f t="shared" si="87"/>
        <v>30592.94</v>
      </c>
      <c r="AS948" s="69">
        <v>24226.9</v>
      </c>
      <c r="AT948" s="69">
        <v>3157.19</v>
      </c>
      <c r="AU948" s="69">
        <v>1732.07</v>
      </c>
      <c r="AV948" s="69">
        <v>1476.78</v>
      </c>
      <c r="BC948" s="69"/>
      <c r="BD948" s="69"/>
      <c r="CC948" s="94">
        <f t="shared" si="88"/>
        <v>30592.94</v>
      </c>
      <c r="CD948" s="73">
        <f t="shared" si="90"/>
        <v>0</v>
      </c>
      <c r="CE948" s="75">
        <f t="shared" si="89"/>
        <v>3602</v>
      </c>
      <c r="CF948" s="69" t="str">
        <f t="shared" si="89"/>
        <v>علاج تخصصى</v>
      </c>
    </row>
    <row r="949" spans="1:84" x14ac:dyDescent="0.25">
      <c r="B949" s="82">
        <v>6074</v>
      </c>
      <c r="C949" s="70">
        <v>3603</v>
      </c>
      <c r="D949" s="69" t="s">
        <v>122</v>
      </c>
      <c r="E949" s="107" t="s">
        <v>3891</v>
      </c>
      <c r="G949" s="69">
        <v>5261.13</v>
      </c>
      <c r="T949" s="69"/>
      <c r="U949" s="69"/>
      <c r="AR949" s="94">
        <f t="shared" si="87"/>
        <v>5261.13</v>
      </c>
      <c r="AS949" s="69">
        <v>3842.04</v>
      </c>
      <c r="AT949" s="69">
        <v>516.70000000000005</v>
      </c>
      <c r="AU949" s="69">
        <v>659.47</v>
      </c>
      <c r="AV949" s="69">
        <v>242.92</v>
      </c>
      <c r="BC949" s="69"/>
      <c r="BD949" s="69"/>
      <c r="CC949" s="94">
        <f t="shared" si="88"/>
        <v>5261.13</v>
      </c>
      <c r="CD949" s="73">
        <f t="shared" si="90"/>
        <v>0</v>
      </c>
      <c r="CE949" s="75">
        <f t="shared" si="89"/>
        <v>3603</v>
      </c>
      <c r="CF949" s="69" t="str">
        <f t="shared" si="89"/>
        <v>علاج تخصصى</v>
      </c>
    </row>
    <row r="950" spans="1:84" x14ac:dyDescent="0.25">
      <c r="B950" s="82">
        <v>6623</v>
      </c>
      <c r="C950" s="70">
        <v>3604</v>
      </c>
      <c r="D950" s="69" t="s">
        <v>121</v>
      </c>
      <c r="E950" s="107" t="s">
        <v>3892</v>
      </c>
      <c r="G950" s="69">
        <v>2345</v>
      </c>
      <c r="T950" s="69"/>
      <c r="U950" s="69"/>
      <c r="AR950" s="94">
        <f t="shared" si="87"/>
        <v>2345</v>
      </c>
      <c r="AS950" s="69">
        <v>1568.2</v>
      </c>
      <c r="AT950" s="69">
        <v>211.8</v>
      </c>
      <c r="AU950" s="69">
        <v>565</v>
      </c>
      <c r="BC950" s="69"/>
      <c r="BD950" s="69"/>
      <c r="CC950" s="94">
        <f t="shared" si="88"/>
        <v>2345</v>
      </c>
      <c r="CD950" s="73">
        <f t="shared" si="90"/>
        <v>0</v>
      </c>
      <c r="CE950" s="75">
        <f t="shared" si="89"/>
        <v>3604</v>
      </c>
      <c r="CF950" s="69" t="str">
        <f t="shared" si="89"/>
        <v>ماليزى اسنان</v>
      </c>
    </row>
    <row r="951" spans="1:84" x14ac:dyDescent="0.25">
      <c r="B951" s="82">
        <v>6622</v>
      </c>
      <c r="C951" s="70">
        <v>3605</v>
      </c>
      <c r="D951" s="69" t="s">
        <v>121</v>
      </c>
      <c r="E951" s="107" t="s">
        <v>3892</v>
      </c>
      <c r="G951" s="69">
        <v>20318.91</v>
      </c>
      <c r="T951" s="69"/>
      <c r="U951" s="69"/>
      <c r="AR951" s="94">
        <f t="shared" si="87"/>
        <v>20318.91</v>
      </c>
      <c r="AS951" s="69">
        <v>17045.96</v>
      </c>
      <c r="AT951" s="69">
        <v>2095.6</v>
      </c>
      <c r="AU951" s="69">
        <v>1177.3499999999999</v>
      </c>
      <c r="BC951" s="69"/>
      <c r="BD951" s="69"/>
      <c r="CC951" s="94">
        <f t="shared" si="88"/>
        <v>20318.909999999996</v>
      </c>
      <c r="CD951" s="73">
        <f t="shared" si="90"/>
        <v>0</v>
      </c>
      <c r="CE951" s="75">
        <f t="shared" si="89"/>
        <v>3605</v>
      </c>
      <c r="CF951" s="69" t="str">
        <f t="shared" si="89"/>
        <v>ماليزى اسنان</v>
      </c>
    </row>
    <row r="952" spans="1:84" x14ac:dyDescent="0.25">
      <c r="A952" s="69">
        <f>SUM(G950:G966)</f>
        <v>109333.56000000001</v>
      </c>
      <c r="B952" s="82">
        <v>6633</v>
      </c>
      <c r="C952" s="70">
        <v>3606</v>
      </c>
      <c r="D952" s="69" t="s">
        <v>121</v>
      </c>
      <c r="E952" s="107" t="s">
        <v>3893</v>
      </c>
      <c r="G952" s="69">
        <v>1758.75</v>
      </c>
      <c r="T952" s="69"/>
      <c r="U952" s="69"/>
      <c r="AR952" s="94">
        <f t="shared" si="87"/>
        <v>1758.75</v>
      </c>
      <c r="AS952" s="69">
        <v>1175.3499999999999</v>
      </c>
      <c r="AT952" s="69">
        <v>159.65</v>
      </c>
      <c r="AU952" s="69">
        <v>423.75</v>
      </c>
      <c r="BC952" s="69"/>
      <c r="BD952" s="69"/>
      <c r="CC952" s="94">
        <f t="shared" si="88"/>
        <v>1758.75</v>
      </c>
      <c r="CD952" s="73">
        <f t="shared" si="90"/>
        <v>0</v>
      </c>
      <c r="CE952" s="75">
        <f t="shared" si="89"/>
        <v>3606</v>
      </c>
      <c r="CF952" s="69" t="str">
        <f t="shared" si="89"/>
        <v>ماليزى اسنان</v>
      </c>
    </row>
    <row r="953" spans="1:84" x14ac:dyDescent="0.25">
      <c r="B953" s="82">
        <v>6634</v>
      </c>
      <c r="C953" s="70">
        <v>3607</v>
      </c>
      <c r="D953" s="69" t="s">
        <v>121</v>
      </c>
      <c r="E953" s="107" t="s">
        <v>1361</v>
      </c>
      <c r="G953" s="69">
        <v>4221</v>
      </c>
      <c r="T953" s="69"/>
      <c r="U953" s="69"/>
      <c r="AR953" s="94">
        <f t="shared" si="87"/>
        <v>4221</v>
      </c>
      <c r="AS953" s="69">
        <v>2821.05</v>
      </c>
      <c r="AT953" s="69">
        <v>382.95</v>
      </c>
      <c r="AU953" s="69">
        <v>1017</v>
      </c>
      <c r="BC953" s="69"/>
      <c r="BD953" s="69"/>
      <c r="CC953" s="94">
        <f t="shared" si="88"/>
        <v>4221</v>
      </c>
      <c r="CD953" s="73">
        <f t="shared" si="90"/>
        <v>0</v>
      </c>
      <c r="CE953" s="75">
        <f t="shared" si="89"/>
        <v>3607</v>
      </c>
      <c r="CF953" s="69" t="str">
        <f t="shared" si="89"/>
        <v>ماليزى اسنان</v>
      </c>
    </row>
    <row r="954" spans="1:84" x14ac:dyDescent="0.25">
      <c r="B954" s="82">
        <v>6632</v>
      </c>
      <c r="C954" s="70">
        <v>3608</v>
      </c>
      <c r="D954" s="69" t="s">
        <v>121</v>
      </c>
      <c r="E954" s="107" t="s">
        <v>3894</v>
      </c>
      <c r="G954" s="69">
        <v>2345</v>
      </c>
      <c r="T954" s="69"/>
      <c r="U954" s="69"/>
      <c r="AR954" s="94">
        <f t="shared" si="87"/>
        <v>2345</v>
      </c>
      <c r="AS954" s="69">
        <v>1567</v>
      </c>
      <c r="AT954" s="69">
        <v>213</v>
      </c>
      <c r="AU954" s="69">
        <v>565</v>
      </c>
      <c r="BC954" s="69"/>
      <c r="BD954" s="69"/>
      <c r="CC954" s="94">
        <f t="shared" si="88"/>
        <v>2345</v>
      </c>
      <c r="CD954" s="73">
        <f t="shared" si="90"/>
        <v>0</v>
      </c>
      <c r="CE954" s="75">
        <f t="shared" si="89"/>
        <v>3608</v>
      </c>
      <c r="CF954" s="69" t="str">
        <f t="shared" si="89"/>
        <v>ماليزى اسنان</v>
      </c>
    </row>
    <row r="955" spans="1:84" x14ac:dyDescent="0.25">
      <c r="B955" s="82">
        <v>6630</v>
      </c>
      <c r="C955" s="70">
        <v>3609</v>
      </c>
      <c r="D955" s="69" t="s">
        <v>121</v>
      </c>
      <c r="E955" s="107" t="s">
        <v>3895</v>
      </c>
      <c r="G955" s="69">
        <v>1279.3800000000001</v>
      </c>
      <c r="T955" s="69"/>
      <c r="U955" s="69"/>
      <c r="AR955" s="94">
        <f t="shared" si="87"/>
        <v>1279.3800000000001</v>
      </c>
      <c r="AS955" s="69">
        <v>947.4</v>
      </c>
      <c r="AT955" s="69">
        <v>120.1</v>
      </c>
      <c r="AU955" s="69">
        <v>211.88</v>
      </c>
      <c r="BC955" s="69"/>
      <c r="BD955" s="69"/>
      <c r="CC955" s="94">
        <f t="shared" si="88"/>
        <v>1279.3800000000001</v>
      </c>
      <c r="CD955" s="73">
        <f t="shared" si="90"/>
        <v>0</v>
      </c>
      <c r="CE955" s="75">
        <f t="shared" si="89"/>
        <v>3609</v>
      </c>
      <c r="CF955" s="69" t="str">
        <f t="shared" si="89"/>
        <v>ماليزى اسنان</v>
      </c>
    </row>
    <row r="956" spans="1:84" x14ac:dyDescent="0.25">
      <c r="B956" s="82">
        <v>6628</v>
      </c>
      <c r="C956" s="70">
        <v>3610</v>
      </c>
      <c r="D956" s="69" t="s">
        <v>121</v>
      </c>
      <c r="E956" s="107" t="s">
        <v>3896</v>
      </c>
      <c r="G956" s="69">
        <v>1934.62</v>
      </c>
      <c r="T956" s="69"/>
      <c r="U956" s="69"/>
      <c r="AR956" s="94">
        <f t="shared" si="87"/>
        <v>1934.62</v>
      </c>
      <c r="AS956" s="69">
        <v>1292.8499999999999</v>
      </c>
      <c r="AT956" s="69">
        <v>175.65</v>
      </c>
      <c r="AU956" s="69">
        <v>466.12</v>
      </c>
      <c r="BC956" s="69"/>
      <c r="BD956" s="69"/>
      <c r="CC956" s="94">
        <f t="shared" si="88"/>
        <v>1934.62</v>
      </c>
      <c r="CD956" s="73">
        <f t="shared" si="90"/>
        <v>0</v>
      </c>
      <c r="CE956" s="75">
        <f t="shared" si="89"/>
        <v>3610</v>
      </c>
      <c r="CF956" s="69" t="str">
        <f t="shared" si="89"/>
        <v>ماليزى اسنان</v>
      </c>
    </row>
    <row r="957" spans="1:84" x14ac:dyDescent="0.25">
      <c r="B957" s="82">
        <v>6627</v>
      </c>
      <c r="C957" s="70">
        <v>3611</v>
      </c>
      <c r="D957" s="69" t="s">
        <v>121</v>
      </c>
      <c r="E957" s="107" t="s">
        <v>3897</v>
      </c>
      <c r="G957" s="69">
        <v>762.12</v>
      </c>
      <c r="T957" s="69"/>
      <c r="U957" s="69"/>
      <c r="AR957" s="94">
        <f t="shared" si="87"/>
        <v>762.12</v>
      </c>
      <c r="AS957" s="69">
        <v>509.8</v>
      </c>
      <c r="AT957" s="69">
        <v>68.7</v>
      </c>
      <c r="AU957" s="69">
        <v>183.62</v>
      </c>
      <c r="BC957" s="69"/>
      <c r="BD957" s="69"/>
      <c r="CC957" s="94">
        <f t="shared" si="88"/>
        <v>762.12</v>
      </c>
      <c r="CD957" s="73">
        <f t="shared" si="90"/>
        <v>0</v>
      </c>
      <c r="CE957" s="75">
        <f t="shared" si="89"/>
        <v>3611</v>
      </c>
      <c r="CF957" s="69" t="str">
        <f t="shared" si="89"/>
        <v>ماليزى اسنان</v>
      </c>
    </row>
    <row r="958" spans="1:84" x14ac:dyDescent="0.25">
      <c r="B958" s="82">
        <v>6621</v>
      </c>
      <c r="C958" s="70">
        <v>3612</v>
      </c>
      <c r="D958" s="69" t="s">
        <v>121</v>
      </c>
      <c r="E958" s="107" t="s">
        <v>3898</v>
      </c>
      <c r="G958" s="69">
        <v>879.4</v>
      </c>
      <c r="T958" s="69"/>
      <c r="U958" s="69"/>
      <c r="AR958" s="94">
        <f t="shared" si="87"/>
        <v>879.4</v>
      </c>
      <c r="AS958" s="69">
        <v>590</v>
      </c>
      <c r="AT958" s="69">
        <v>77.5</v>
      </c>
      <c r="AU958" s="69">
        <v>211.9</v>
      </c>
      <c r="BC958" s="69"/>
      <c r="BD958" s="69"/>
      <c r="CC958" s="94">
        <f t="shared" si="88"/>
        <v>879.4</v>
      </c>
      <c r="CD958" s="73">
        <f t="shared" si="90"/>
        <v>0</v>
      </c>
      <c r="CE958" s="75">
        <f t="shared" si="89"/>
        <v>3612</v>
      </c>
      <c r="CF958" s="69" t="str">
        <f t="shared" si="89"/>
        <v>ماليزى اسنان</v>
      </c>
    </row>
    <row r="959" spans="1:84" x14ac:dyDescent="0.25">
      <c r="B959" s="82">
        <v>6622</v>
      </c>
      <c r="C959" s="70">
        <v>3613</v>
      </c>
      <c r="D959" s="69" t="s">
        <v>121</v>
      </c>
      <c r="E959" s="107" t="s">
        <v>3898</v>
      </c>
      <c r="G959" s="69">
        <v>351.76</v>
      </c>
      <c r="T959" s="69"/>
      <c r="U959" s="69"/>
      <c r="AR959" s="94">
        <f t="shared" si="87"/>
        <v>351.76</v>
      </c>
      <c r="AS959" s="69">
        <v>236</v>
      </c>
      <c r="AT959" s="69">
        <v>31</v>
      </c>
      <c r="AU959" s="69">
        <v>84.76</v>
      </c>
      <c r="BC959" s="69"/>
      <c r="BD959" s="69"/>
      <c r="CC959" s="94">
        <f t="shared" si="88"/>
        <v>351.76</v>
      </c>
      <c r="CD959" s="73">
        <f t="shared" si="90"/>
        <v>0</v>
      </c>
      <c r="CE959" s="75">
        <f t="shared" si="89"/>
        <v>3613</v>
      </c>
      <c r="CF959" s="69" t="str">
        <f t="shared" si="89"/>
        <v>ماليزى اسنان</v>
      </c>
    </row>
    <row r="960" spans="1:84" x14ac:dyDescent="0.25">
      <c r="B960" s="82">
        <v>6625</v>
      </c>
      <c r="C960" s="70">
        <v>3614</v>
      </c>
      <c r="D960" s="69" t="s">
        <v>121</v>
      </c>
      <c r="E960" s="107" t="str">
        <f>+E956</f>
        <v>ج تحضير بدء العام الدراسى اداريين</v>
      </c>
      <c r="G960" s="69">
        <v>41610.79</v>
      </c>
      <c r="T960" s="69"/>
      <c r="U960" s="69"/>
      <c r="AR960" s="94">
        <f t="shared" si="87"/>
        <v>41610.79</v>
      </c>
      <c r="AS960" s="69">
        <v>29123.11</v>
      </c>
      <c r="AT960" s="69">
        <v>3872.2</v>
      </c>
      <c r="AU960" s="69">
        <v>8615.48</v>
      </c>
      <c r="BC960" s="69"/>
      <c r="BD960" s="69"/>
      <c r="CC960" s="94">
        <f t="shared" si="88"/>
        <v>41610.789999999994</v>
      </c>
      <c r="CD960" s="73">
        <f t="shared" si="90"/>
        <v>0</v>
      </c>
      <c r="CE960" s="75">
        <f t="shared" si="89"/>
        <v>3614</v>
      </c>
      <c r="CF960" s="69" t="str">
        <f t="shared" si="89"/>
        <v>ماليزى اسنان</v>
      </c>
    </row>
    <row r="961" spans="1:84" x14ac:dyDescent="0.25">
      <c r="B961" s="82">
        <v>6620</v>
      </c>
      <c r="C961" s="70">
        <v>3615</v>
      </c>
      <c r="D961" s="69" t="s">
        <v>121</v>
      </c>
      <c r="E961" s="107" t="s">
        <v>3899</v>
      </c>
      <c r="G961" s="69">
        <v>2716.35</v>
      </c>
      <c r="T961" s="69"/>
      <c r="U961" s="69"/>
      <c r="AR961" s="94">
        <f t="shared" si="87"/>
        <v>2716.35</v>
      </c>
      <c r="AS961" s="69">
        <v>1945.76</v>
      </c>
      <c r="AT961" s="69">
        <v>252.5</v>
      </c>
      <c r="AU961" s="69">
        <v>518.09</v>
      </c>
      <c r="BC961" s="69"/>
      <c r="BD961" s="69"/>
      <c r="CC961" s="94">
        <f t="shared" si="88"/>
        <v>2716.3500000000004</v>
      </c>
      <c r="CD961" s="73">
        <f t="shared" si="90"/>
        <v>0</v>
      </c>
      <c r="CE961" s="75">
        <f t="shared" si="89"/>
        <v>3615</v>
      </c>
      <c r="CF961" s="69" t="str">
        <f t="shared" si="89"/>
        <v>ماليزى اسنان</v>
      </c>
    </row>
    <row r="962" spans="1:84" x14ac:dyDescent="0.25">
      <c r="B962" s="82">
        <v>6619</v>
      </c>
      <c r="C962" s="70">
        <v>3616</v>
      </c>
      <c r="D962" s="69" t="s">
        <v>121</v>
      </c>
      <c r="E962" s="107" t="s">
        <v>3899</v>
      </c>
      <c r="G962" s="69">
        <v>1582.88</v>
      </c>
      <c r="T962" s="69"/>
      <c r="U962" s="69"/>
      <c r="AR962" s="94">
        <f t="shared" si="87"/>
        <v>1582.88</v>
      </c>
      <c r="AS962" s="69">
        <v>1059.4000000000001</v>
      </c>
      <c r="AT962" s="69">
        <v>142.1</v>
      </c>
      <c r="AU962" s="69">
        <v>381.38</v>
      </c>
      <c r="BC962" s="69"/>
      <c r="BD962" s="69"/>
      <c r="CC962" s="94">
        <f t="shared" si="88"/>
        <v>1582.88</v>
      </c>
      <c r="CD962" s="73">
        <f t="shared" si="90"/>
        <v>0</v>
      </c>
      <c r="CE962" s="75">
        <f t="shared" ref="CE962:CF1028" si="91">+C962</f>
        <v>3616</v>
      </c>
      <c r="CF962" s="69" t="str">
        <f t="shared" si="91"/>
        <v>ماليزى اسنان</v>
      </c>
    </row>
    <row r="963" spans="1:84" x14ac:dyDescent="0.25">
      <c r="B963" s="82">
        <v>6631</v>
      </c>
      <c r="C963" s="70">
        <v>3617</v>
      </c>
      <c r="D963" s="69" t="s">
        <v>121</v>
      </c>
      <c r="E963" s="107" t="s">
        <v>3900</v>
      </c>
      <c r="G963" s="69">
        <v>586.25</v>
      </c>
      <c r="T963" s="69"/>
      <c r="U963" s="69"/>
      <c r="AR963" s="94">
        <f t="shared" si="87"/>
        <v>586.25</v>
      </c>
      <c r="AS963" s="69">
        <v>392.4</v>
      </c>
      <c r="AT963" s="69">
        <v>52.6</v>
      </c>
      <c r="AU963" s="69">
        <v>141.25</v>
      </c>
      <c r="BC963" s="69"/>
      <c r="BD963" s="69"/>
      <c r="CC963" s="94">
        <f t="shared" si="88"/>
        <v>586.25</v>
      </c>
      <c r="CD963" s="73">
        <f t="shared" si="90"/>
        <v>0</v>
      </c>
      <c r="CE963" s="75">
        <f t="shared" si="91"/>
        <v>3617</v>
      </c>
      <c r="CF963" s="69" t="str">
        <f t="shared" si="91"/>
        <v>ماليزى اسنان</v>
      </c>
    </row>
    <row r="964" spans="1:84" x14ac:dyDescent="0.25">
      <c r="B964" s="82">
        <v>6629</v>
      </c>
      <c r="C964" s="70">
        <v>3618</v>
      </c>
      <c r="D964" s="69" t="s">
        <v>121</v>
      </c>
      <c r="E964" s="107" t="s">
        <v>3901</v>
      </c>
      <c r="G964" s="69">
        <v>234.5</v>
      </c>
      <c r="T964" s="69"/>
      <c r="U964" s="69"/>
      <c r="AR964" s="94">
        <f t="shared" si="87"/>
        <v>234.5</v>
      </c>
      <c r="AS964" s="69">
        <v>157.19999999999999</v>
      </c>
      <c r="AT964" s="69">
        <v>20.8</v>
      </c>
      <c r="AU964" s="69">
        <v>56.5</v>
      </c>
      <c r="BC964" s="69"/>
      <c r="BD964" s="69"/>
      <c r="CC964" s="94">
        <f t="shared" si="88"/>
        <v>234.5</v>
      </c>
      <c r="CD964" s="73">
        <f t="shared" si="90"/>
        <v>0</v>
      </c>
      <c r="CE964" s="75">
        <f t="shared" si="91"/>
        <v>3618</v>
      </c>
      <c r="CF964" s="69" t="str">
        <f t="shared" si="91"/>
        <v>ماليزى اسنان</v>
      </c>
    </row>
    <row r="965" spans="1:84" x14ac:dyDescent="0.25">
      <c r="B965" s="82">
        <v>6626</v>
      </c>
      <c r="C965" s="70">
        <v>3619</v>
      </c>
      <c r="D965" s="69" t="s">
        <v>121</v>
      </c>
      <c r="E965" s="107" t="s">
        <v>3902</v>
      </c>
      <c r="G965" s="69">
        <v>23625.9</v>
      </c>
      <c r="T965" s="69"/>
      <c r="U965" s="69"/>
      <c r="AR965" s="94">
        <f t="shared" si="87"/>
        <v>23625.9</v>
      </c>
      <c r="AS965" s="69">
        <v>15788.7</v>
      </c>
      <c r="AT965" s="69">
        <v>2144.8000000000002</v>
      </c>
      <c r="AU965" s="69">
        <v>5692.4</v>
      </c>
      <c r="BC965" s="69"/>
      <c r="BD965" s="69"/>
      <c r="CC965" s="94">
        <f t="shared" si="88"/>
        <v>23625.9</v>
      </c>
      <c r="CD965" s="73">
        <f t="shared" si="90"/>
        <v>0</v>
      </c>
      <c r="CE965" s="75">
        <f t="shared" si="91"/>
        <v>3619</v>
      </c>
      <c r="CF965" s="69" t="str">
        <f t="shared" si="91"/>
        <v>ماليزى اسنان</v>
      </c>
    </row>
    <row r="966" spans="1:84" x14ac:dyDescent="0.25">
      <c r="B966" s="82">
        <v>6624</v>
      </c>
      <c r="C966" s="70">
        <v>3620</v>
      </c>
      <c r="D966" s="69" t="s">
        <v>121</v>
      </c>
      <c r="E966" s="107" t="s">
        <v>2414</v>
      </c>
      <c r="G966" s="69">
        <v>2780.95</v>
      </c>
      <c r="T966" s="69"/>
      <c r="U966" s="69"/>
      <c r="AR966" s="94">
        <f t="shared" si="87"/>
        <v>2780.95</v>
      </c>
      <c r="AS966" s="69">
        <v>1903.33</v>
      </c>
      <c r="AT966" s="69">
        <v>253.75</v>
      </c>
      <c r="AU966" s="69">
        <v>623.87</v>
      </c>
      <c r="BC966" s="69"/>
      <c r="BD966" s="69"/>
      <c r="CC966" s="94">
        <f t="shared" si="88"/>
        <v>2780.95</v>
      </c>
      <c r="CD966" s="73">
        <f t="shared" si="90"/>
        <v>0</v>
      </c>
      <c r="CE966" s="75">
        <f t="shared" si="91"/>
        <v>3620</v>
      </c>
      <c r="CF966" s="69" t="str">
        <f t="shared" si="91"/>
        <v>ماليزى اسنان</v>
      </c>
    </row>
    <row r="967" spans="1:84" x14ac:dyDescent="0.25">
      <c r="A967" s="69">
        <f>SUM(G967:G1001)</f>
        <v>32619.630000000005</v>
      </c>
      <c r="B967" s="82">
        <v>6568</v>
      </c>
      <c r="C967" s="70">
        <v>3621</v>
      </c>
      <c r="D967" s="69" t="s">
        <v>130</v>
      </c>
      <c r="E967" s="107" t="s">
        <v>3903</v>
      </c>
      <c r="G967" s="69">
        <v>19066</v>
      </c>
      <c r="T967" s="69"/>
      <c r="U967" s="69"/>
      <c r="AR967" s="94">
        <f t="shared" si="87"/>
        <v>19066</v>
      </c>
      <c r="AS967" s="69">
        <v>14371.52</v>
      </c>
      <c r="AT967" s="69">
        <v>3741.18</v>
      </c>
      <c r="AV967" s="69">
        <v>953.3</v>
      </c>
      <c r="BC967" s="69"/>
      <c r="BD967" s="69"/>
      <c r="CC967" s="94">
        <f t="shared" si="88"/>
        <v>19066</v>
      </c>
      <c r="CD967" s="73">
        <f t="shared" si="90"/>
        <v>0</v>
      </c>
      <c r="CE967" s="75">
        <f t="shared" si="91"/>
        <v>3621</v>
      </c>
      <c r="CF967" s="69" t="str">
        <f t="shared" si="91"/>
        <v>خ ت طب</v>
      </c>
    </row>
    <row r="968" spans="1:84" x14ac:dyDescent="0.25">
      <c r="B968" s="82">
        <v>6567</v>
      </c>
      <c r="C968" s="70">
        <v>3622</v>
      </c>
      <c r="D968" s="69" t="s">
        <v>130</v>
      </c>
      <c r="E968" s="107" t="s">
        <v>3167</v>
      </c>
      <c r="G968" s="69">
        <v>175.88</v>
      </c>
      <c r="T968" s="69"/>
      <c r="U968" s="69"/>
      <c r="AR968" s="94">
        <f t="shared" si="87"/>
        <v>175.88</v>
      </c>
      <c r="AS968" s="69">
        <v>112.95</v>
      </c>
      <c r="AT968" s="69">
        <v>13.05</v>
      </c>
      <c r="AU968" s="69">
        <v>42.38</v>
      </c>
      <c r="AV968" s="69">
        <v>7.5</v>
      </c>
      <c r="BC968" s="69"/>
      <c r="BD968" s="69"/>
      <c r="CC968" s="94">
        <f t="shared" si="88"/>
        <v>175.88</v>
      </c>
      <c r="CD968" s="73">
        <f t="shared" si="90"/>
        <v>0</v>
      </c>
      <c r="CE968" s="75">
        <f t="shared" si="91"/>
        <v>3622</v>
      </c>
      <c r="CF968" s="69" t="str">
        <f t="shared" si="91"/>
        <v>خ ت طب</v>
      </c>
    </row>
    <row r="969" spans="1:84" x14ac:dyDescent="0.25">
      <c r="B969" s="82">
        <v>6566</v>
      </c>
      <c r="C969" s="70">
        <v>3623</v>
      </c>
      <c r="D969" s="69" t="s">
        <v>130</v>
      </c>
      <c r="E969" s="107" t="s">
        <v>494</v>
      </c>
      <c r="G969" s="69">
        <v>469</v>
      </c>
      <c r="T969" s="69"/>
      <c r="U969" s="69"/>
      <c r="AR969" s="94">
        <f t="shared" si="87"/>
        <v>469</v>
      </c>
      <c r="AS969" s="69">
        <v>317.52</v>
      </c>
      <c r="AT969" s="69">
        <v>18.48</v>
      </c>
      <c r="AU969" s="69">
        <v>113</v>
      </c>
      <c r="AV969" s="69">
        <v>20</v>
      </c>
      <c r="BC969" s="69"/>
      <c r="BD969" s="69"/>
      <c r="CC969" s="94">
        <f t="shared" si="88"/>
        <v>469</v>
      </c>
      <c r="CD969" s="73">
        <f t="shared" si="90"/>
        <v>0</v>
      </c>
      <c r="CE969" s="75">
        <f t="shared" si="91"/>
        <v>3623</v>
      </c>
      <c r="CF969" s="69" t="str">
        <f t="shared" si="91"/>
        <v>خ ت طب</v>
      </c>
    </row>
    <row r="970" spans="1:84" x14ac:dyDescent="0.25">
      <c r="B970" s="82">
        <v>6565</v>
      </c>
      <c r="C970" s="70">
        <v>3624</v>
      </c>
      <c r="D970" s="69" t="s">
        <v>130</v>
      </c>
      <c r="E970" s="107" t="s">
        <v>494</v>
      </c>
      <c r="G970" s="69">
        <v>474.87</v>
      </c>
      <c r="T970" s="69"/>
      <c r="U970" s="69"/>
      <c r="AR970" s="94">
        <f t="shared" si="87"/>
        <v>474.87</v>
      </c>
      <c r="AS970" s="69">
        <v>296.32</v>
      </c>
      <c r="AT970" s="69">
        <v>43.88</v>
      </c>
      <c r="AU970" s="69">
        <v>114.42</v>
      </c>
      <c r="AV970" s="69">
        <v>20.25</v>
      </c>
      <c r="BC970" s="69"/>
      <c r="BD970" s="69"/>
      <c r="CC970" s="94">
        <f t="shared" si="88"/>
        <v>474.87</v>
      </c>
      <c r="CD970" s="73">
        <f t="shared" si="90"/>
        <v>0</v>
      </c>
      <c r="CE970" s="75">
        <f t="shared" si="91"/>
        <v>3624</v>
      </c>
      <c r="CF970" s="69" t="str">
        <f t="shared" si="91"/>
        <v>خ ت طب</v>
      </c>
    </row>
    <row r="971" spans="1:84" x14ac:dyDescent="0.25">
      <c r="B971" s="82">
        <v>6563</v>
      </c>
      <c r="C971" s="70">
        <v>3625</v>
      </c>
      <c r="D971" s="69" t="s">
        <v>130</v>
      </c>
      <c r="E971" s="107" t="s">
        <v>490</v>
      </c>
      <c r="G971" s="69">
        <v>93.8</v>
      </c>
      <c r="T971" s="69"/>
      <c r="U971" s="69"/>
      <c r="AR971" s="94">
        <f t="shared" si="87"/>
        <v>93.8</v>
      </c>
      <c r="AS971" s="69">
        <v>58.8</v>
      </c>
      <c r="AT971" s="69">
        <v>8.4</v>
      </c>
      <c r="AU971" s="69">
        <v>22.6</v>
      </c>
      <c r="AV971" s="69">
        <v>4</v>
      </c>
      <c r="BC971" s="69"/>
      <c r="BD971" s="69"/>
      <c r="CC971" s="94">
        <f t="shared" si="88"/>
        <v>93.800000000000011</v>
      </c>
      <c r="CD971" s="73">
        <f t="shared" si="90"/>
        <v>0</v>
      </c>
      <c r="CE971" s="75">
        <f t="shared" si="91"/>
        <v>3625</v>
      </c>
      <c r="CF971" s="69" t="str">
        <f t="shared" si="91"/>
        <v>خ ت طب</v>
      </c>
    </row>
    <row r="972" spans="1:84" x14ac:dyDescent="0.25">
      <c r="B972" s="82">
        <v>6562</v>
      </c>
      <c r="C972" s="70">
        <v>3626</v>
      </c>
      <c r="D972" s="69" t="s">
        <v>130</v>
      </c>
      <c r="E972" s="107" t="s">
        <v>3904</v>
      </c>
      <c r="G972" s="69">
        <v>175.88</v>
      </c>
      <c r="T972" s="69"/>
      <c r="U972" s="69"/>
      <c r="AR972" s="94">
        <f t="shared" si="87"/>
        <v>175.88</v>
      </c>
      <c r="AS972" s="69">
        <v>106.68</v>
      </c>
      <c r="AT972" s="69">
        <v>19.32</v>
      </c>
      <c r="AU972" s="69">
        <v>42.38</v>
      </c>
      <c r="AV972" s="69">
        <v>7.5</v>
      </c>
      <c r="BC972" s="69"/>
      <c r="BD972" s="69"/>
      <c r="CC972" s="94">
        <f t="shared" si="88"/>
        <v>175.88</v>
      </c>
      <c r="CD972" s="73">
        <f t="shared" si="90"/>
        <v>0</v>
      </c>
      <c r="CE972" s="75">
        <f t="shared" si="91"/>
        <v>3626</v>
      </c>
      <c r="CF972" s="69" t="str">
        <f t="shared" si="91"/>
        <v>خ ت طب</v>
      </c>
    </row>
    <row r="973" spans="1:84" x14ac:dyDescent="0.25">
      <c r="B973" s="82">
        <v>6561</v>
      </c>
      <c r="C973" s="70">
        <v>3627</v>
      </c>
      <c r="D973" s="69" t="s">
        <v>130</v>
      </c>
      <c r="E973" s="107" t="s">
        <v>496</v>
      </c>
      <c r="G973" s="69">
        <v>436.75</v>
      </c>
      <c r="T973" s="69"/>
      <c r="U973" s="69"/>
      <c r="AR973" s="94">
        <f t="shared" si="87"/>
        <v>436.75</v>
      </c>
      <c r="AS973" s="69">
        <v>297.35000000000002</v>
      </c>
      <c r="AT973" s="69">
        <v>15.55</v>
      </c>
      <c r="AU973" s="69">
        <v>105.23</v>
      </c>
      <c r="AV973" s="69">
        <v>18.62</v>
      </c>
      <c r="BC973" s="69"/>
      <c r="BD973" s="69"/>
      <c r="CC973" s="94">
        <f t="shared" si="88"/>
        <v>436.75000000000006</v>
      </c>
      <c r="CD973" s="73">
        <f t="shared" si="90"/>
        <v>0</v>
      </c>
      <c r="CE973" s="75">
        <f t="shared" si="91"/>
        <v>3627</v>
      </c>
      <c r="CF973" s="69" t="str">
        <f t="shared" si="91"/>
        <v>خ ت طب</v>
      </c>
    </row>
    <row r="974" spans="1:84" x14ac:dyDescent="0.25">
      <c r="B974" s="82">
        <v>6560</v>
      </c>
      <c r="C974" s="70">
        <v>3628</v>
      </c>
      <c r="D974" s="69" t="s">
        <v>130</v>
      </c>
      <c r="E974" s="107" t="s">
        <v>496</v>
      </c>
      <c r="G974" s="69">
        <v>1150.53</v>
      </c>
      <c r="T974" s="69"/>
      <c r="U974" s="69"/>
      <c r="AR974" s="94">
        <f t="shared" si="87"/>
        <v>1150.53</v>
      </c>
      <c r="AS974" s="69">
        <v>708.94</v>
      </c>
      <c r="AT974" s="69">
        <v>115.33</v>
      </c>
      <c r="AU974" s="69">
        <v>277.19</v>
      </c>
      <c r="AV974" s="69">
        <v>49.07</v>
      </c>
      <c r="BC974" s="69"/>
      <c r="BD974" s="69"/>
      <c r="CC974" s="94">
        <f t="shared" si="88"/>
        <v>1150.53</v>
      </c>
      <c r="CD974" s="73">
        <f t="shared" si="90"/>
        <v>0</v>
      </c>
      <c r="CE974" s="75">
        <f t="shared" si="91"/>
        <v>3628</v>
      </c>
      <c r="CF974" s="69" t="str">
        <f t="shared" si="91"/>
        <v>خ ت طب</v>
      </c>
    </row>
    <row r="975" spans="1:84" x14ac:dyDescent="0.25">
      <c r="B975" s="82">
        <v>6559</v>
      </c>
      <c r="C975" s="70">
        <v>3629</v>
      </c>
      <c r="D975" s="69" t="s">
        <v>130</v>
      </c>
      <c r="E975" s="107" t="s">
        <v>3905</v>
      </c>
      <c r="G975" s="69">
        <v>158.29</v>
      </c>
      <c r="T975" s="69"/>
      <c r="U975" s="69"/>
      <c r="AR975" s="94">
        <f t="shared" si="87"/>
        <v>158.29</v>
      </c>
      <c r="AS975" s="69">
        <v>95.63</v>
      </c>
      <c r="AT975" s="69">
        <v>17.77</v>
      </c>
      <c r="AU975" s="69">
        <v>38.14</v>
      </c>
      <c r="AV975" s="69">
        <v>6.75</v>
      </c>
      <c r="BC975" s="69"/>
      <c r="BD975" s="69"/>
      <c r="CC975" s="94">
        <f t="shared" si="88"/>
        <v>158.29</v>
      </c>
      <c r="CD975" s="73">
        <f t="shared" si="90"/>
        <v>0</v>
      </c>
      <c r="CE975" s="75">
        <f t="shared" si="91"/>
        <v>3629</v>
      </c>
      <c r="CF975" s="69" t="str">
        <f t="shared" si="91"/>
        <v>خ ت طب</v>
      </c>
    </row>
    <row r="976" spans="1:84" x14ac:dyDescent="0.25">
      <c r="B976" s="82">
        <v>6558</v>
      </c>
      <c r="C976" s="70">
        <v>3630</v>
      </c>
      <c r="D976" s="69" t="s">
        <v>130</v>
      </c>
      <c r="E976" s="107" t="s">
        <v>857</v>
      </c>
      <c r="G976" s="69">
        <v>361.2</v>
      </c>
      <c r="T976" s="69"/>
      <c r="U976" s="69"/>
      <c r="AR976" s="94">
        <f t="shared" si="87"/>
        <v>361.2</v>
      </c>
      <c r="AS976" s="69">
        <v>239.03</v>
      </c>
      <c r="AT976" s="69">
        <v>16.47</v>
      </c>
      <c r="AU976" s="69">
        <v>90.4</v>
      </c>
      <c r="AV976" s="69">
        <v>15.3</v>
      </c>
      <c r="BC976" s="69"/>
      <c r="BD976" s="69"/>
      <c r="CC976" s="94">
        <f t="shared" si="88"/>
        <v>361.2</v>
      </c>
      <c r="CD976" s="73">
        <f t="shared" si="90"/>
        <v>0</v>
      </c>
      <c r="CE976" s="75">
        <f t="shared" si="91"/>
        <v>3630</v>
      </c>
      <c r="CF976" s="69" t="str">
        <f t="shared" si="91"/>
        <v>خ ت طب</v>
      </c>
    </row>
    <row r="977" spans="2:84" x14ac:dyDescent="0.25">
      <c r="B977" s="82">
        <v>6557</v>
      </c>
      <c r="C977" s="70">
        <v>3631</v>
      </c>
      <c r="D977" s="69" t="s">
        <v>130</v>
      </c>
      <c r="E977" s="107" t="s">
        <v>1033</v>
      </c>
      <c r="G977" s="69">
        <v>140.69999999999999</v>
      </c>
      <c r="T977" s="69"/>
      <c r="U977" s="69"/>
      <c r="AR977" s="94">
        <f t="shared" si="87"/>
        <v>140.69999999999999</v>
      </c>
      <c r="AS977" s="69">
        <v>92.82</v>
      </c>
      <c r="AT977" s="69">
        <v>7.98</v>
      </c>
      <c r="AU977" s="69">
        <v>33.9</v>
      </c>
      <c r="AV977" s="69">
        <v>6</v>
      </c>
      <c r="BC977" s="69"/>
      <c r="BD977" s="69"/>
      <c r="CC977" s="94">
        <f t="shared" si="88"/>
        <v>140.69999999999999</v>
      </c>
      <c r="CD977" s="73">
        <f t="shared" si="90"/>
        <v>0</v>
      </c>
      <c r="CE977" s="75">
        <f t="shared" si="91"/>
        <v>3631</v>
      </c>
      <c r="CF977" s="69" t="str">
        <f t="shared" si="91"/>
        <v>خ ت طب</v>
      </c>
    </row>
    <row r="978" spans="2:84" x14ac:dyDescent="0.25">
      <c r="B978" s="82">
        <v>6556</v>
      </c>
      <c r="C978" s="70">
        <v>3632</v>
      </c>
      <c r="D978" s="69" t="s">
        <v>130</v>
      </c>
      <c r="E978" s="107" t="s">
        <v>3906</v>
      </c>
      <c r="G978" s="69">
        <v>603.85</v>
      </c>
      <c r="T978" s="69"/>
      <c r="U978" s="69"/>
      <c r="AR978" s="94">
        <f t="shared" si="87"/>
        <v>603.85</v>
      </c>
      <c r="AS978" s="69">
        <v>363.67</v>
      </c>
      <c r="AT978" s="69">
        <v>68.930000000000007</v>
      </c>
      <c r="AU978" s="69">
        <v>145.5</v>
      </c>
      <c r="AV978" s="69">
        <v>25.75</v>
      </c>
      <c r="BC978" s="69"/>
      <c r="BD978" s="69"/>
      <c r="CC978" s="94">
        <f t="shared" si="88"/>
        <v>603.85</v>
      </c>
      <c r="CD978" s="73">
        <f t="shared" si="90"/>
        <v>0</v>
      </c>
      <c r="CE978" s="75">
        <f t="shared" si="91"/>
        <v>3632</v>
      </c>
      <c r="CF978" s="69" t="str">
        <f t="shared" si="91"/>
        <v>خ ت طب</v>
      </c>
    </row>
    <row r="979" spans="2:84" x14ac:dyDescent="0.25">
      <c r="B979" s="82">
        <v>6555</v>
      </c>
      <c r="C979" s="70">
        <v>3633</v>
      </c>
      <c r="D979" s="69" t="s">
        <v>130</v>
      </c>
      <c r="E979" s="107" t="s">
        <v>3906</v>
      </c>
      <c r="G979" s="69">
        <v>707.22</v>
      </c>
      <c r="T979" s="69"/>
      <c r="U979" s="69"/>
      <c r="AR979" s="94">
        <f t="shared" si="87"/>
        <v>707.22</v>
      </c>
      <c r="AS979" s="69">
        <v>469.1</v>
      </c>
      <c r="AT979" s="69">
        <v>32.520000000000003</v>
      </c>
      <c r="AU979" s="69">
        <v>175.6</v>
      </c>
      <c r="AV979" s="69">
        <v>30</v>
      </c>
      <c r="BC979" s="69"/>
      <c r="BD979" s="69"/>
      <c r="CC979" s="94">
        <f t="shared" si="88"/>
        <v>707.22</v>
      </c>
      <c r="CD979" s="73">
        <f t="shared" si="90"/>
        <v>0</v>
      </c>
      <c r="CE979" s="75">
        <f t="shared" si="91"/>
        <v>3633</v>
      </c>
      <c r="CF979" s="69" t="str">
        <f t="shared" si="91"/>
        <v>خ ت طب</v>
      </c>
    </row>
    <row r="980" spans="2:84" x14ac:dyDescent="0.25">
      <c r="B980" s="82">
        <v>6554</v>
      </c>
      <c r="C980" s="70">
        <v>3634</v>
      </c>
      <c r="D980" s="69" t="s">
        <v>130</v>
      </c>
      <c r="E980" s="107" t="s">
        <v>867</v>
      </c>
      <c r="G980" s="69">
        <v>2000</v>
      </c>
      <c r="T980" s="69"/>
      <c r="U980" s="69"/>
      <c r="AR980" s="94">
        <f t="shared" si="87"/>
        <v>2000</v>
      </c>
      <c r="AS980" s="69">
        <v>1686.7</v>
      </c>
      <c r="AT980" s="69">
        <v>213.3</v>
      </c>
      <c r="AV980" s="69">
        <v>100</v>
      </c>
      <c r="BC980" s="69"/>
      <c r="BD980" s="69"/>
      <c r="CC980" s="94">
        <f t="shared" si="88"/>
        <v>2000</v>
      </c>
      <c r="CD980" s="73">
        <f t="shared" si="90"/>
        <v>0</v>
      </c>
      <c r="CE980" s="75">
        <f t="shared" si="91"/>
        <v>3634</v>
      </c>
      <c r="CF980" s="69" t="str">
        <f t="shared" si="91"/>
        <v>خ ت طب</v>
      </c>
    </row>
    <row r="981" spans="2:84" x14ac:dyDescent="0.25">
      <c r="B981" s="82">
        <v>6553</v>
      </c>
      <c r="C981" s="70">
        <v>3635</v>
      </c>
      <c r="D981" s="69" t="s">
        <v>130</v>
      </c>
      <c r="E981" s="107" t="s">
        <v>868</v>
      </c>
      <c r="G981" s="69">
        <v>293.12</v>
      </c>
      <c r="T981" s="69"/>
      <c r="U981" s="69"/>
      <c r="AR981" s="94">
        <f t="shared" si="87"/>
        <v>293.12</v>
      </c>
      <c r="AS981" s="69">
        <v>188.06</v>
      </c>
      <c r="AT981" s="69">
        <v>21.94</v>
      </c>
      <c r="AU981" s="69">
        <v>70.62</v>
      </c>
      <c r="AV981" s="69">
        <v>12.5</v>
      </c>
      <c r="BC981" s="69"/>
      <c r="BD981" s="69"/>
      <c r="CC981" s="94">
        <f t="shared" si="88"/>
        <v>293.12</v>
      </c>
      <c r="CD981" s="73">
        <f t="shared" si="90"/>
        <v>0</v>
      </c>
      <c r="CE981" s="75">
        <f t="shared" si="91"/>
        <v>3635</v>
      </c>
      <c r="CF981" s="69" t="str">
        <f t="shared" si="91"/>
        <v>خ ت طب</v>
      </c>
    </row>
    <row r="982" spans="2:84" x14ac:dyDescent="0.25">
      <c r="B982" s="82">
        <v>6552</v>
      </c>
      <c r="C982" s="70">
        <v>3636</v>
      </c>
      <c r="D982" s="69" t="s">
        <v>130</v>
      </c>
      <c r="E982" s="107" t="s">
        <v>868</v>
      </c>
      <c r="G982" s="69">
        <v>762.12</v>
      </c>
      <c r="T982" s="69"/>
      <c r="U982" s="69"/>
      <c r="AR982" s="94">
        <f t="shared" si="87"/>
        <v>762.12</v>
      </c>
      <c r="AS982" s="69">
        <v>517.23</v>
      </c>
      <c r="AT982" s="69">
        <v>28.77</v>
      </c>
      <c r="AU982" s="69">
        <v>183.62</v>
      </c>
      <c r="AV982" s="69">
        <v>32.5</v>
      </c>
      <c r="BC982" s="69"/>
      <c r="BD982" s="69"/>
      <c r="CC982" s="94">
        <f t="shared" si="88"/>
        <v>762.12</v>
      </c>
      <c r="CD982" s="73">
        <f t="shared" si="90"/>
        <v>0</v>
      </c>
      <c r="CE982" s="75">
        <f t="shared" si="91"/>
        <v>3636</v>
      </c>
      <c r="CF982" s="69" t="str">
        <f t="shared" si="91"/>
        <v>خ ت طب</v>
      </c>
    </row>
    <row r="983" spans="2:84" x14ac:dyDescent="0.25">
      <c r="B983" s="82">
        <v>6551</v>
      </c>
      <c r="C983" s="70">
        <v>3637</v>
      </c>
      <c r="D983" s="69" t="s">
        <v>130</v>
      </c>
      <c r="E983" s="107" t="s">
        <v>3907</v>
      </c>
      <c r="G983" s="69">
        <v>311.12</v>
      </c>
      <c r="T983" s="69"/>
      <c r="U983" s="69"/>
      <c r="AR983" s="94">
        <f t="shared" si="87"/>
        <v>311.12</v>
      </c>
      <c r="AS983" s="69">
        <v>195.32</v>
      </c>
      <c r="AT983" s="69">
        <v>27.57</v>
      </c>
      <c r="AU983" s="69">
        <v>74.95</v>
      </c>
      <c r="AV983" s="69">
        <v>13.28</v>
      </c>
      <c r="BC983" s="69"/>
      <c r="BD983" s="69"/>
      <c r="CC983" s="94">
        <f t="shared" si="88"/>
        <v>311.11999999999995</v>
      </c>
      <c r="CD983" s="73">
        <f t="shared" si="90"/>
        <v>0</v>
      </c>
      <c r="CE983" s="75">
        <f t="shared" si="91"/>
        <v>3637</v>
      </c>
      <c r="CF983" s="69" t="str">
        <f t="shared" si="91"/>
        <v>خ ت طب</v>
      </c>
    </row>
    <row r="984" spans="2:84" x14ac:dyDescent="0.25">
      <c r="B984" s="82">
        <v>6550</v>
      </c>
      <c r="C984" s="70">
        <v>3638</v>
      </c>
      <c r="D984" s="69" t="s">
        <v>130</v>
      </c>
      <c r="E984" s="107" t="s">
        <v>3908</v>
      </c>
      <c r="G984" s="69">
        <v>175.86</v>
      </c>
      <c r="T984" s="69"/>
      <c r="U984" s="69"/>
      <c r="AR984" s="94">
        <f t="shared" si="87"/>
        <v>175.86</v>
      </c>
      <c r="AS984" s="69">
        <v>113.4</v>
      </c>
      <c r="AT984" s="69">
        <v>12.6</v>
      </c>
      <c r="AU984" s="69">
        <v>42.36</v>
      </c>
      <c r="AV984" s="69">
        <v>7.5</v>
      </c>
      <c r="BC984" s="69"/>
      <c r="BD984" s="69"/>
      <c r="CC984" s="94">
        <f t="shared" si="88"/>
        <v>175.86</v>
      </c>
      <c r="CD984" s="73">
        <f t="shared" si="90"/>
        <v>0</v>
      </c>
      <c r="CE984" s="75">
        <f t="shared" si="91"/>
        <v>3638</v>
      </c>
      <c r="CF984" s="69" t="str">
        <f t="shared" si="91"/>
        <v>خ ت طب</v>
      </c>
    </row>
    <row r="985" spans="2:84" x14ac:dyDescent="0.25">
      <c r="B985" s="82">
        <v>6549</v>
      </c>
      <c r="C985" s="70">
        <v>3639</v>
      </c>
      <c r="D985" s="69" t="s">
        <v>130</v>
      </c>
      <c r="E985" s="107" t="s">
        <v>3908</v>
      </c>
      <c r="G985" s="69">
        <v>812.06</v>
      </c>
      <c r="T985" s="69"/>
      <c r="U985" s="69"/>
      <c r="AR985" s="94">
        <f t="shared" si="87"/>
        <v>812.06</v>
      </c>
      <c r="AS985" s="69">
        <v>495.8</v>
      </c>
      <c r="AT985" s="69">
        <v>97.7</v>
      </c>
      <c r="AU985" s="69">
        <v>183.56</v>
      </c>
      <c r="AV985" s="69">
        <v>35</v>
      </c>
      <c r="BC985" s="69"/>
      <c r="BD985" s="69"/>
      <c r="CC985" s="94">
        <f t="shared" si="88"/>
        <v>812.06</v>
      </c>
      <c r="CD985" s="73">
        <f t="shared" si="90"/>
        <v>0</v>
      </c>
      <c r="CE985" s="75">
        <f t="shared" si="91"/>
        <v>3639</v>
      </c>
      <c r="CF985" s="69" t="str">
        <f t="shared" si="91"/>
        <v>خ ت طب</v>
      </c>
    </row>
    <row r="986" spans="2:84" x14ac:dyDescent="0.25">
      <c r="B986" s="82">
        <v>6548</v>
      </c>
      <c r="C986" s="70">
        <v>3640</v>
      </c>
      <c r="D986" s="69" t="s">
        <v>130</v>
      </c>
      <c r="E986" s="107" t="s">
        <v>3908</v>
      </c>
      <c r="G986" s="69">
        <v>58.62</v>
      </c>
      <c r="T986" s="69"/>
      <c r="U986" s="69"/>
      <c r="AR986" s="94">
        <f t="shared" si="87"/>
        <v>58.62</v>
      </c>
      <c r="AS986" s="69">
        <v>33.6</v>
      </c>
      <c r="AT986" s="69">
        <v>8.4</v>
      </c>
      <c r="AU986" s="69">
        <v>14.12</v>
      </c>
      <c r="AV986" s="69">
        <v>2.5</v>
      </c>
      <c r="BC986" s="69"/>
      <c r="BD986" s="69"/>
      <c r="CC986" s="94">
        <f t="shared" si="88"/>
        <v>58.62</v>
      </c>
      <c r="CD986" s="73">
        <f t="shared" si="90"/>
        <v>0</v>
      </c>
      <c r="CE986" s="75">
        <f t="shared" si="91"/>
        <v>3640</v>
      </c>
      <c r="CF986" s="69" t="str">
        <f t="shared" si="91"/>
        <v>خ ت طب</v>
      </c>
    </row>
    <row r="987" spans="2:84" x14ac:dyDescent="0.25">
      <c r="B987" s="82">
        <v>6547</v>
      </c>
      <c r="C987" s="70">
        <v>3641</v>
      </c>
      <c r="D987" s="69" t="s">
        <v>130</v>
      </c>
      <c r="E987" s="107" t="s">
        <v>824</v>
      </c>
      <c r="G987" s="69">
        <v>515.9</v>
      </c>
      <c r="T987" s="69"/>
      <c r="U987" s="69"/>
      <c r="AR987" s="94">
        <f t="shared" si="87"/>
        <v>515.9</v>
      </c>
      <c r="AS987" s="69">
        <v>345.24</v>
      </c>
      <c r="AT987" s="69">
        <v>24.36</v>
      </c>
      <c r="AU987" s="69">
        <v>124.3</v>
      </c>
      <c r="AV987" s="69">
        <v>22</v>
      </c>
      <c r="BC987" s="69"/>
      <c r="BD987" s="69"/>
      <c r="CC987" s="94">
        <f t="shared" si="88"/>
        <v>515.90000000000009</v>
      </c>
      <c r="CD987" s="73">
        <f t="shared" si="90"/>
        <v>0</v>
      </c>
      <c r="CE987" s="75">
        <f t="shared" si="91"/>
        <v>3641</v>
      </c>
      <c r="CF987" s="69" t="str">
        <f t="shared" si="91"/>
        <v>خ ت طب</v>
      </c>
    </row>
    <row r="988" spans="2:84" x14ac:dyDescent="0.25">
      <c r="B988" s="82">
        <v>6546</v>
      </c>
      <c r="C988" s="70">
        <v>3642</v>
      </c>
      <c r="D988" s="69" t="s">
        <v>130</v>
      </c>
      <c r="E988" s="107" t="s">
        <v>824</v>
      </c>
      <c r="G988" s="69">
        <v>134.84</v>
      </c>
      <c r="T988" s="69"/>
      <c r="U988" s="69"/>
      <c r="AR988" s="94">
        <f t="shared" si="87"/>
        <v>134.84</v>
      </c>
      <c r="AS988" s="69">
        <v>83.7</v>
      </c>
      <c r="AT988" s="69">
        <v>12.9</v>
      </c>
      <c r="AU988" s="69">
        <v>32.49</v>
      </c>
      <c r="AV988" s="69">
        <v>5.75</v>
      </c>
      <c r="BC988" s="69"/>
      <c r="BD988" s="69"/>
      <c r="CC988" s="94">
        <f t="shared" si="88"/>
        <v>134.84</v>
      </c>
      <c r="CD988" s="73">
        <f t="shared" si="90"/>
        <v>0</v>
      </c>
      <c r="CE988" s="75">
        <f t="shared" si="91"/>
        <v>3642</v>
      </c>
      <c r="CF988" s="69" t="str">
        <f t="shared" si="91"/>
        <v>خ ت طب</v>
      </c>
    </row>
    <row r="989" spans="2:84" x14ac:dyDescent="0.25">
      <c r="B989" s="82">
        <v>6544</v>
      </c>
      <c r="C989" s="70">
        <v>3643</v>
      </c>
      <c r="D989" s="69" t="s">
        <v>130</v>
      </c>
      <c r="E989" s="107" t="s">
        <v>1028</v>
      </c>
      <c r="G989" s="69">
        <v>328.3</v>
      </c>
      <c r="T989" s="69"/>
      <c r="U989" s="69"/>
      <c r="AR989" s="94">
        <f t="shared" si="87"/>
        <v>328.3</v>
      </c>
      <c r="AS989" s="69">
        <v>216.72</v>
      </c>
      <c r="AT989" s="69">
        <v>18.48</v>
      </c>
      <c r="AU989" s="69">
        <v>79.099999999999994</v>
      </c>
      <c r="AV989" s="69">
        <v>14</v>
      </c>
      <c r="BC989" s="69"/>
      <c r="BD989" s="69"/>
      <c r="CC989" s="94">
        <f t="shared" si="88"/>
        <v>328.29999999999995</v>
      </c>
      <c r="CD989" s="73">
        <f t="shared" si="90"/>
        <v>0</v>
      </c>
      <c r="CE989" s="75">
        <f t="shared" si="91"/>
        <v>3643</v>
      </c>
      <c r="CF989" s="69" t="str">
        <f t="shared" si="91"/>
        <v>خ ت طب</v>
      </c>
    </row>
    <row r="990" spans="2:84" x14ac:dyDescent="0.25">
      <c r="B990" s="82">
        <v>6543</v>
      </c>
      <c r="C990" s="70">
        <v>3644</v>
      </c>
      <c r="D990" s="69" t="s">
        <v>130</v>
      </c>
      <c r="E990" s="107" t="s">
        <v>1029</v>
      </c>
      <c r="G990" s="69">
        <v>140.69999999999999</v>
      </c>
      <c r="T990" s="69"/>
      <c r="U990" s="69"/>
      <c r="AR990" s="94">
        <f t="shared" si="87"/>
        <v>140.69999999999999</v>
      </c>
      <c r="AS990" s="69">
        <v>89.04</v>
      </c>
      <c r="AT990" s="69">
        <v>11.76</v>
      </c>
      <c r="AU990" s="69">
        <v>33.9</v>
      </c>
      <c r="AV990" s="69">
        <v>6</v>
      </c>
      <c r="BC990" s="69"/>
      <c r="BD990" s="69"/>
      <c r="CC990" s="94">
        <f t="shared" si="88"/>
        <v>140.70000000000002</v>
      </c>
      <c r="CD990" s="73">
        <f t="shared" si="90"/>
        <v>0</v>
      </c>
      <c r="CE990" s="75">
        <f t="shared" si="91"/>
        <v>3644</v>
      </c>
      <c r="CF990" s="69" t="str">
        <f t="shared" si="91"/>
        <v>خ ت طب</v>
      </c>
    </row>
    <row r="991" spans="2:84" x14ac:dyDescent="0.25">
      <c r="B991" s="82">
        <v>6542</v>
      </c>
      <c r="C991" s="70">
        <v>3645</v>
      </c>
      <c r="D991" s="69" t="s">
        <v>130</v>
      </c>
      <c r="E991" s="107" t="str">
        <f>+E968</f>
        <v>مكافاه قسم شؤن طلبه سبتمبر</v>
      </c>
      <c r="G991" s="69">
        <v>515.9</v>
      </c>
      <c r="T991" s="69"/>
      <c r="U991" s="69"/>
      <c r="AR991" s="94">
        <f t="shared" si="87"/>
        <v>515.9</v>
      </c>
      <c r="AS991" s="69">
        <v>342.72</v>
      </c>
      <c r="AT991" s="69">
        <v>26.88</v>
      </c>
      <c r="AU991" s="69">
        <v>124.3</v>
      </c>
      <c r="AV991" s="69">
        <v>22</v>
      </c>
      <c r="BC991" s="69"/>
      <c r="BD991" s="69"/>
      <c r="CC991" s="94">
        <f t="shared" si="88"/>
        <v>515.90000000000009</v>
      </c>
      <c r="CD991" s="73">
        <f t="shared" si="90"/>
        <v>0</v>
      </c>
      <c r="CE991" s="75">
        <f t="shared" si="91"/>
        <v>3645</v>
      </c>
      <c r="CF991" s="69" t="str">
        <f t="shared" si="91"/>
        <v>خ ت طب</v>
      </c>
    </row>
    <row r="992" spans="2:84" x14ac:dyDescent="0.25">
      <c r="B992" s="82">
        <v>6540</v>
      </c>
      <c r="C992" s="70">
        <v>3646</v>
      </c>
      <c r="D992" s="69" t="s">
        <v>130</v>
      </c>
      <c r="E992" s="107" t="s">
        <v>492</v>
      </c>
      <c r="G992" s="69">
        <v>87.94</v>
      </c>
      <c r="T992" s="69"/>
      <c r="U992" s="69"/>
      <c r="AR992" s="94">
        <f t="shared" si="87"/>
        <v>87.94</v>
      </c>
      <c r="AS992" s="69">
        <v>53.46</v>
      </c>
      <c r="AT992" s="69">
        <v>9.5399999999999991</v>
      </c>
      <c r="AU992" s="69">
        <v>21.19</v>
      </c>
      <c r="AV992" s="69">
        <v>3.75</v>
      </c>
      <c r="BC992" s="69"/>
      <c r="BD992" s="69"/>
      <c r="CC992" s="94">
        <f t="shared" si="88"/>
        <v>87.94</v>
      </c>
      <c r="CD992" s="73">
        <f t="shared" si="90"/>
        <v>0</v>
      </c>
      <c r="CE992" s="75">
        <f t="shared" si="91"/>
        <v>3646</v>
      </c>
      <c r="CF992" s="69" t="str">
        <f t="shared" si="91"/>
        <v>خ ت طب</v>
      </c>
    </row>
    <row r="993" spans="1:84" x14ac:dyDescent="0.25">
      <c r="B993" s="82">
        <v>6539</v>
      </c>
      <c r="C993" s="70">
        <v>3647</v>
      </c>
      <c r="D993" s="69" t="s">
        <v>130</v>
      </c>
      <c r="E993" s="107" t="s">
        <v>858</v>
      </c>
      <c r="G993" s="69">
        <v>46.9</v>
      </c>
      <c r="T993" s="69"/>
      <c r="U993" s="69"/>
      <c r="AR993" s="94">
        <f t="shared" si="87"/>
        <v>46.9</v>
      </c>
      <c r="AS993" s="69">
        <v>32.76</v>
      </c>
      <c r="AT993" s="69">
        <v>0.84</v>
      </c>
      <c r="AU993" s="69">
        <v>11.3</v>
      </c>
      <c r="AV993" s="69">
        <v>2</v>
      </c>
      <c r="BC993" s="69"/>
      <c r="BD993" s="69"/>
      <c r="CC993" s="94">
        <f t="shared" si="88"/>
        <v>46.900000000000006</v>
      </c>
      <c r="CD993" s="73">
        <f t="shared" si="90"/>
        <v>0</v>
      </c>
      <c r="CE993" s="75">
        <f t="shared" si="91"/>
        <v>3647</v>
      </c>
      <c r="CF993" s="69" t="str">
        <f t="shared" si="91"/>
        <v>خ ت طب</v>
      </c>
    </row>
    <row r="994" spans="1:84" x14ac:dyDescent="0.25">
      <c r="B994" s="82">
        <v>6538</v>
      </c>
      <c r="C994" s="70">
        <v>3648</v>
      </c>
      <c r="D994" s="69" t="s">
        <v>130</v>
      </c>
      <c r="E994" s="107" t="s">
        <v>858</v>
      </c>
      <c r="G994" s="69">
        <v>234.5</v>
      </c>
      <c r="T994" s="69"/>
      <c r="U994" s="69"/>
      <c r="AR994" s="94">
        <f t="shared" si="87"/>
        <v>234.5</v>
      </c>
      <c r="AS994" s="69">
        <v>156.24</v>
      </c>
      <c r="AT994" s="69">
        <v>11.76</v>
      </c>
      <c r="AU994" s="69">
        <v>56.5</v>
      </c>
      <c r="AV994" s="69">
        <v>10</v>
      </c>
      <c r="BC994" s="69"/>
      <c r="BD994" s="69"/>
      <c r="CC994" s="94">
        <f t="shared" si="88"/>
        <v>234.5</v>
      </c>
      <c r="CD994" s="73">
        <f t="shared" si="90"/>
        <v>0</v>
      </c>
      <c r="CE994" s="75">
        <f t="shared" si="91"/>
        <v>3648</v>
      </c>
      <c r="CF994" s="69" t="str">
        <f t="shared" si="91"/>
        <v>خ ت طب</v>
      </c>
    </row>
    <row r="995" spans="1:84" x14ac:dyDescent="0.25">
      <c r="B995" s="82">
        <v>6537</v>
      </c>
      <c r="C995" s="70">
        <v>3649</v>
      </c>
      <c r="D995" s="69" t="s">
        <v>130</v>
      </c>
      <c r="E995" s="107" t="s">
        <v>858</v>
      </c>
      <c r="G995" s="69">
        <v>140.69999999999999</v>
      </c>
      <c r="T995" s="69"/>
      <c r="U995" s="69"/>
      <c r="AR995" s="94">
        <f t="shared" si="87"/>
        <v>140.69999999999999</v>
      </c>
      <c r="AS995" s="69">
        <v>90.72</v>
      </c>
      <c r="AT995" s="69">
        <v>10.08</v>
      </c>
      <c r="AU995" s="69">
        <v>33.9</v>
      </c>
      <c r="AV995" s="69">
        <v>6</v>
      </c>
      <c r="BC995" s="69"/>
      <c r="BD995" s="69"/>
      <c r="CC995" s="94">
        <f t="shared" si="88"/>
        <v>140.69999999999999</v>
      </c>
      <c r="CD995" s="73">
        <f t="shared" si="90"/>
        <v>0</v>
      </c>
      <c r="CE995" s="75">
        <f t="shared" si="91"/>
        <v>3649</v>
      </c>
      <c r="CF995" s="69" t="str">
        <f t="shared" si="91"/>
        <v>خ ت طب</v>
      </c>
    </row>
    <row r="996" spans="1:84" x14ac:dyDescent="0.25">
      <c r="B996" s="82">
        <v>6536</v>
      </c>
      <c r="C996" s="70">
        <v>3650</v>
      </c>
      <c r="D996" s="69" t="s">
        <v>130</v>
      </c>
      <c r="E996" s="107" t="s">
        <v>3909</v>
      </c>
      <c r="G996" s="69">
        <v>46.9</v>
      </c>
      <c r="T996" s="69"/>
      <c r="U996" s="69"/>
      <c r="AR996" s="94">
        <f t="shared" si="87"/>
        <v>46.9</v>
      </c>
      <c r="AS996" s="69">
        <v>32.76</v>
      </c>
      <c r="AT996" s="69">
        <v>0.84</v>
      </c>
      <c r="AU996" s="69">
        <v>11.3</v>
      </c>
      <c r="AV996" s="69">
        <v>2</v>
      </c>
      <c r="BC996" s="69"/>
      <c r="BD996" s="69"/>
      <c r="CC996" s="94">
        <f t="shared" si="88"/>
        <v>46.900000000000006</v>
      </c>
      <c r="CD996" s="73">
        <f t="shared" si="90"/>
        <v>0</v>
      </c>
      <c r="CE996" s="75">
        <f t="shared" si="91"/>
        <v>3650</v>
      </c>
      <c r="CF996" s="69" t="str">
        <f t="shared" si="91"/>
        <v>خ ت طب</v>
      </c>
    </row>
    <row r="997" spans="1:84" x14ac:dyDescent="0.25">
      <c r="B997" s="82">
        <v>6535</v>
      </c>
      <c r="C997" s="70">
        <v>3651</v>
      </c>
      <c r="D997" s="69" t="s">
        <v>130</v>
      </c>
      <c r="E997" s="107" t="s">
        <v>3909</v>
      </c>
      <c r="G997" s="69">
        <v>211.05</v>
      </c>
      <c r="T997" s="69"/>
      <c r="U997" s="69"/>
      <c r="AR997" s="94">
        <f t="shared" si="87"/>
        <v>211.05</v>
      </c>
      <c r="AS997" s="69">
        <v>131.84</v>
      </c>
      <c r="AT997" s="69">
        <v>19.36</v>
      </c>
      <c r="AU997" s="69">
        <v>50.85</v>
      </c>
      <c r="AV997" s="69">
        <v>9</v>
      </c>
      <c r="BC997" s="69"/>
      <c r="BD997" s="69"/>
      <c r="CC997" s="94">
        <f t="shared" si="88"/>
        <v>211.04999999999998</v>
      </c>
      <c r="CD997" s="73">
        <f t="shared" si="90"/>
        <v>0</v>
      </c>
      <c r="CE997" s="75">
        <f t="shared" si="91"/>
        <v>3651</v>
      </c>
      <c r="CF997" s="69" t="str">
        <f t="shared" si="91"/>
        <v>خ ت طب</v>
      </c>
    </row>
    <row r="998" spans="1:84" x14ac:dyDescent="0.25">
      <c r="B998" s="82">
        <v>6534</v>
      </c>
      <c r="C998" s="70">
        <v>3652</v>
      </c>
      <c r="D998" s="69" t="s">
        <v>130</v>
      </c>
      <c r="E998" s="107" t="s">
        <v>855</v>
      </c>
      <c r="G998" s="69">
        <v>1050.46</v>
      </c>
      <c r="T998" s="69"/>
      <c r="U998" s="69"/>
      <c r="AR998" s="94">
        <f t="shared" si="87"/>
        <v>1050.46</v>
      </c>
      <c r="AS998" s="69">
        <v>633.16999999999996</v>
      </c>
      <c r="AT998" s="69">
        <v>119.39</v>
      </c>
      <c r="AU998" s="69">
        <v>253.11</v>
      </c>
      <c r="AV998" s="69">
        <v>44.79</v>
      </c>
      <c r="BC998" s="69"/>
      <c r="BD998" s="69"/>
      <c r="CC998" s="94">
        <f t="shared" ref="CC998:CC1026" si="92">SUM(AS998:CB998)</f>
        <v>1050.46</v>
      </c>
      <c r="CD998" s="73">
        <f t="shared" si="90"/>
        <v>0</v>
      </c>
      <c r="CE998" s="75">
        <f t="shared" si="91"/>
        <v>3652</v>
      </c>
      <c r="CF998" s="69" t="str">
        <f t="shared" si="91"/>
        <v>خ ت طب</v>
      </c>
    </row>
    <row r="999" spans="1:84" x14ac:dyDescent="0.25">
      <c r="B999" s="82">
        <v>6533</v>
      </c>
      <c r="C999" s="70">
        <v>3653</v>
      </c>
      <c r="D999" s="69" t="s">
        <v>130</v>
      </c>
      <c r="E999" s="107" t="s">
        <v>855</v>
      </c>
      <c r="G999" s="69">
        <v>164.15</v>
      </c>
      <c r="T999" s="69"/>
      <c r="U999" s="69"/>
      <c r="AR999" s="94">
        <f t="shared" si="87"/>
        <v>164.15</v>
      </c>
      <c r="AS999" s="69">
        <v>103.28</v>
      </c>
      <c r="AT999" s="69">
        <v>14.32</v>
      </c>
      <c r="AU999" s="69">
        <v>39.549999999999997</v>
      </c>
      <c r="AV999" s="69">
        <v>7</v>
      </c>
      <c r="BC999" s="69"/>
      <c r="BD999" s="69"/>
      <c r="CC999" s="94">
        <f t="shared" si="92"/>
        <v>164.14999999999998</v>
      </c>
      <c r="CD999" s="73">
        <f t="shared" si="90"/>
        <v>0</v>
      </c>
      <c r="CE999" s="75">
        <f t="shared" si="91"/>
        <v>3653</v>
      </c>
      <c r="CF999" s="69" t="str">
        <f t="shared" si="91"/>
        <v>خ ت طب</v>
      </c>
    </row>
    <row r="1000" spans="1:84" x14ac:dyDescent="0.25">
      <c r="B1000" s="82">
        <v>6532</v>
      </c>
      <c r="C1000" s="70">
        <v>3654</v>
      </c>
      <c r="D1000" s="69" t="s">
        <v>130</v>
      </c>
      <c r="E1000" s="107" t="s">
        <v>855</v>
      </c>
      <c r="G1000" s="69">
        <v>515.9</v>
      </c>
      <c r="T1000" s="69"/>
      <c r="U1000" s="69"/>
      <c r="AR1000" s="94">
        <f t="shared" si="87"/>
        <v>515.9</v>
      </c>
      <c r="AS1000" s="69">
        <v>342.72</v>
      </c>
      <c r="AT1000" s="69">
        <v>26.88</v>
      </c>
      <c r="AU1000" s="69">
        <v>124.3</v>
      </c>
      <c r="AV1000" s="69">
        <v>22</v>
      </c>
      <c r="BC1000" s="69"/>
      <c r="BD1000" s="69"/>
      <c r="CC1000" s="94">
        <f t="shared" si="92"/>
        <v>515.90000000000009</v>
      </c>
      <c r="CD1000" s="73">
        <f t="shared" si="90"/>
        <v>0</v>
      </c>
      <c r="CE1000" s="75">
        <f t="shared" si="91"/>
        <v>3654</v>
      </c>
      <c r="CF1000" s="69" t="str">
        <f t="shared" si="91"/>
        <v>خ ت طب</v>
      </c>
    </row>
    <row r="1001" spans="1:84" x14ac:dyDescent="0.25">
      <c r="B1001" s="82">
        <v>6564</v>
      </c>
      <c r="C1001" s="70">
        <v>3655</v>
      </c>
      <c r="D1001" s="69" t="s">
        <v>130</v>
      </c>
      <c r="E1001" s="107" t="s">
        <v>3679</v>
      </c>
      <c r="G1001" s="69">
        <v>58.62</v>
      </c>
      <c r="T1001" s="69"/>
      <c r="U1001" s="69"/>
      <c r="AR1001" s="94">
        <f t="shared" si="87"/>
        <v>58.62</v>
      </c>
      <c r="AS1001" s="69">
        <v>37.380000000000003</v>
      </c>
      <c r="AT1001" s="69">
        <v>4.62</v>
      </c>
      <c r="AU1001" s="69">
        <v>14.12</v>
      </c>
      <c r="AV1001" s="69">
        <v>2.5</v>
      </c>
      <c r="BC1001" s="69"/>
      <c r="BD1001" s="69"/>
      <c r="CC1001" s="94">
        <f t="shared" si="92"/>
        <v>58.62</v>
      </c>
      <c r="CD1001" s="73">
        <f t="shared" ref="CD1001:CD1067" si="93">+CC1001-AR1001</f>
        <v>0</v>
      </c>
      <c r="CE1001" s="75">
        <f t="shared" si="91"/>
        <v>3655</v>
      </c>
      <c r="CF1001" s="69" t="str">
        <f t="shared" si="91"/>
        <v>خ ت طب</v>
      </c>
    </row>
    <row r="1002" spans="1:84" x14ac:dyDescent="0.25">
      <c r="B1002" s="82">
        <v>5040</v>
      </c>
      <c r="C1002" s="70">
        <v>3656</v>
      </c>
      <c r="D1002" s="69" t="s">
        <v>130</v>
      </c>
      <c r="E1002" s="107" t="s">
        <v>3910</v>
      </c>
      <c r="H1002" s="69">
        <v>9781</v>
      </c>
      <c r="T1002" s="69"/>
      <c r="U1002" s="69"/>
      <c r="AR1002" s="94">
        <f t="shared" si="87"/>
        <v>9781</v>
      </c>
      <c r="AS1002" s="69">
        <v>8876.1</v>
      </c>
      <c r="AT1002" s="69">
        <v>577.5</v>
      </c>
      <c r="BC1002" s="69"/>
      <c r="BD1002" s="69"/>
      <c r="BF1002" s="69">
        <v>257.39999999999998</v>
      </c>
      <c r="BG1002" s="69">
        <v>70</v>
      </c>
      <c r="CC1002" s="94">
        <f t="shared" si="92"/>
        <v>9781</v>
      </c>
      <c r="CD1002" s="73">
        <f t="shared" si="93"/>
        <v>0</v>
      </c>
      <c r="CE1002" s="75">
        <f t="shared" si="91"/>
        <v>3656</v>
      </c>
      <c r="CF1002" s="69" t="str">
        <f t="shared" si="91"/>
        <v>خ ت طب</v>
      </c>
    </row>
    <row r="1003" spans="1:84" x14ac:dyDescent="0.25">
      <c r="A1003" s="69" t="s">
        <v>1179</v>
      </c>
      <c r="B1003" s="82">
        <v>6420</v>
      </c>
      <c r="C1003" s="70">
        <v>3657</v>
      </c>
      <c r="D1003" s="69" t="s">
        <v>130</v>
      </c>
      <c r="E1003" s="107" t="s">
        <v>3795</v>
      </c>
      <c r="H1003" s="69">
        <v>1097.1400000000001</v>
      </c>
      <c r="T1003" s="69"/>
      <c r="U1003" s="69"/>
      <c r="AR1003" s="94">
        <f t="shared" si="87"/>
        <v>1097.1400000000001</v>
      </c>
      <c r="AS1003" s="69">
        <v>1027.74</v>
      </c>
      <c r="AT1003" s="69">
        <v>54.7</v>
      </c>
      <c r="BC1003" s="69"/>
      <c r="BD1003" s="69"/>
      <c r="BG1003" s="69">
        <v>6</v>
      </c>
      <c r="BH1003" s="69">
        <f>4.35*2</f>
        <v>8.6999999999999993</v>
      </c>
      <c r="CC1003" s="94">
        <f t="shared" si="92"/>
        <v>1097.1400000000001</v>
      </c>
      <c r="CD1003" s="73">
        <f t="shared" si="93"/>
        <v>0</v>
      </c>
      <c r="CE1003" s="75">
        <f t="shared" si="91"/>
        <v>3657</v>
      </c>
      <c r="CF1003" s="69" t="str">
        <f t="shared" si="91"/>
        <v>خ ت طب</v>
      </c>
    </row>
    <row r="1004" spans="1:84" x14ac:dyDescent="0.25">
      <c r="B1004" s="82">
        <v>6451</v>
      </c>
      <c r="C1004" s="70">
        <v>3658</v>
      </c>
      <c r="D1004" s="69" t="s">
        <v>724</v>
      </c>
      <c r="E1004" s="107" t="s">
        <v>3911</v>
      </c>
      <c r="H1004" s="69">
        <v>11250</v>
      </c>
      <c r="O1004" s="69">
        <v>11250</v>
      </c>
      <c r="T1004" s="69"/>
      <c r="U1004" s="69"/>
      <c r="AR1004" s="94">
        <f t="shared" si="87"/>
        <v>22500</v>
      </c>
      <c r="AS1004" s="69">
        <v>11250</v>
      </c>
      <c r="AT1004" s="69"/>
      <c r="BC1004" s="69"/>
      <c r="BD1004" s="69"/>
      <c r="BN1004" s="69">
        <v>11250</v>
      </c>
      <c r="CC1004" s="94">
        <f t="shared" si="92"/>
        <v>22500</v>
      </c>
      <c r="CD1004" s="73">
        <f t="shared" si="93"/>
        <v>0</v>
      </c>
      <c r="CE1004" s="75">
        <f t="shared" si="91"/>
        <v>3658</v>
      </c>
      <c r="CF1004" s="69" t="str">
        <f t="shared" si="91"/>
        <v>اتحاد طب</v>
      </c>
    </row>
    <row r="1005" spans="1:84" x14ac:dyDescent="0.25">
      <c r="B1005" s="82">
        <v>6297</v>
      </c>
      <c r="C1005" s="70">
        <v>3659</v>
      </c>
      <c r="D1005" s="69" t="s">
        <v>724</v>
      </c>
      <c r="E1005" s="107" t="s">
        <v>3912</v>
      </c>
      <c r="H1005" s="69">
        <v>30000</v>
      </c>
      <c r="T1005" s="69"/>
      <c r="U1005" s="69"/>
      <c r="AR1005" s="94">
        <f t="shared" si="87"/>
        <v>30000</v>
      </c>
      <c r="AS1005" s="69">
        <v>28430</v>
      </c>
      <c r="AT1005" s="69">
        <v>1165</v>
      </c>
      <c r="AV1005" s="69">
        <v>5</v>
      </c>
      <c r="BC1005" s="69"/>
      <c r="BD1005" s="69"/>
      <c r="BF1005" s="69">
        <v>300</v>
      </c>
      <c r="BG1005" s="69">
        <v>100</v>
      </c>
      <c r="CC1005" s="94">
        <f t="shared" si="92"/>
        <v>30000</v>
      </c>
      <c r="CD1005" s="73">
        <f t="shared" si="93"/>
        <v>0</v>
      </c>
      <c r="CE1005" s="75">
        <f t="shared" si="91"/>
        <v>3659</v>
      </c>
      <c r="CF1005" s="69" t="str">
        <f t="shared" si="91"/>
        <v>اتحاد طب</v>
      </c>
    </row>
    <row r="1006" spans="1:84" x14ac:dyDescent="0.25">
      <c r="B1006" s="82">
        <v>5359</v>
      </c>
      <c r="C1006" s="70">
        <v>3660</v>
      </c>
      <c r="D1006" s="69" t="s">
        <v>78</v>
      </c>
      <c r="E1006" s="107" t="s">
        <v>3913</v>
      </c>
      <c r="H1006" s="69">
        <v>10000</v>
      </c>
      <c r="O1006" s="69">
        <v>10000</v>
      </c>
      <c r="T1006" s="69"/>
      <c r="U1006" s="69"/>
      <c r="AR1006" s="94">
        <f t="shared" si="87"/>
        <v>20000</v>
      </c>
      <c r="AS1006" s="69">
        <v>10000</v>
      </c>
      <c r="AT1006" s="69"/>
      <c r="BC1006" s="69"/>
      <c r="BD1006" s="69"/>
      <c r="BN1006" s="69">
        <v>10000</v>
      </c>
      <c r="CC1006" s="94">
        <f t="shared" si="92"/>
        <v>20000</v>
      </c>
      <c r="CD1006" s="73">
        <f t="shared" si="93"/>
        <v>0</v>
      </c>
      <c r="CE1006" s="75">
        <f t="shared" si="91"/>
        <v>3660</v>
      </c>
      <c r="CF1006" s="69" t="str">
        <f t="shared" si="91"/>
        <v>برنامج دولى</v>
      </c>
    </row>
    <row r="1007" spans="1:84" x14ac:dyDescent="0.25">
      <c r="B1007" s="82">
        <v>6166</v>
      </c>
      <c r="C1007" s="70">
        <v>3661</v>
      </c>
      <c r="D1007" s="69" t="s">
        <v>78</v>
      </c>
      <c r="E1007" s="107" t="s">
        <v>3914</v>
      </c>
      <c r="H1007" s="69">
        <v>25300</v>
      </c>
      <c r="T1007" s="69"/>
      <c r="U1007" s="69"/>
      <c r="AR1007" s="94">
        <f t="shared" si="87"/>
        <v>25300</v>
      </c>
      <c r="AS1007" s="69">
        <v>25300</v>
      </c>
      <c r="AT1007" s="69"/>
      <c r="BC1007" s="69"/>
      <c r="BD1007" s="69"/>
      <c r="CC1007" s="94">
        <f t="shared" si="92"/>
        <v>25300</v>
      </c>
      <c r="CD1007" s="73">
        <f t="shared" si="93"/>
        <v>0</v>
      </c>
      <c r="CE1007" s="75">
        <f t="shared" si="91"/>
        <v>3661</v>
      </c>
      <c r="CF1007" s="69" t="str">
        <f t="shared" si="91"/>
        <v>برنامج دولى</v>
      </c>
    </row>
    <row r="1008" spans="1:84" x14ac:dyDescent="0.25">
      <c r="B1008" s="82">
        <v>6164</v>
      </c>
      <c r="C1008" s="70">
        <v>3662</v>
      </c>
      <c r="D1008" s="69" t="s">
        <v>78</v>
      </c>
      <c r="E1008" s="107" t="s">
        <v>3915</v>
      </c>
      <c r="T1008" s="69"/>
      <c r="U1008" s="69"/>
      <c r="W1008" s="69">
        <v>4500</v>
      </c>
      <c r="AR1008" s="94">
        <f t="shared" si="87"/>
        <v>4500</v>
      </c>
      <c r="AS1008" s="69">
        <v>4500</v>
      </c>
      <c r="AT1008" s="69"/>
      <c r="BC1008" s="69"/>
      <c r="BD1008" s="69"/>
      <c r="CC1008" s="94">
        <f t="shared" si="92"/>
        <v>4500</v>
      </c>
      <c r="CD1008" s="73">
        <f t="shared" si="93"/>
        <v>0</v>
      </c>
      <c r="CE1008" s="75">
        <f t="shared" si="91"/>
        <v>3662</v>
      </c>
      <c r="CF1008" s="69" t="str">
        <f t="shared" si="91"/>
        <v>برنامج دولى</v>
      </c>
    </row>
    <row r="1009" spans="1:85" x14ac:dyDescent="0.25">
      <c r="B1009" s="82">
        <v>6165</v>
      </c>
      <c r="C1009" s="70">
        <v>3663</v>
      </c>
      <c r="D1009" s="69" t="s">
        <v>78</v>
      </c>
      <c r="E1009" s="107" t="s">
        <v>3916</v>
      </c>
      <c r="T1009" s="69"/>
      <c r="U1009" s="69"/>
      <c r="W1009" s="69">
        <v>4500</v>
      </c>
      <c r="AR1009" s="94">
        <f t="shared" si="87"/>
        <v>4500</v>
      </c>
      <c r="AS1009" s="69">
        <v>4500</v>
      </c>
      <c r="AT1009" s="69"/>
      <c r="BC1009" s="69"/>
      <c r="BD1009" s="69"/>
      <c r="CC1009" s="94">
        <f t="shared" si="92"/>
        <v>4500</v>
      </c>
      <c r="CD1009" s="73">
        <f t="shared" si="93"/>
        <v>0</v>
      </c>
      <c r="CE1009" s="75">
        <f t="shared" si="91"/>
        <v>3663</v>
      </c>
      <c r="CF1009" s="69" t="str">
        <f t="shared" si="91"/>
        <v>برنامج دولى</v>
      </c>
    </row>
    <row r="1010" spans="1:85" x14ac:dyDescent="0.25">
      <c r="B1010" s="82">
        <v>6340</v>
      </c>
      <c r="C1010" s="70">
        <v>3664</v>
      </c>
      <c r="D1010" s="69" t="s">
        <v>123</v>
      </c>
      <c r="E1010" s="107" t="s">
        <v>3917</v>
      </c>
      <c r="T1010" s="69"/>
      <c r="U1010" s="69"/>
      <c r="W1010" s="69">
        <v>2040</v>
      </c>
      <c r="AR1010" s="94">
        <f t="shared" si="87"/>
        <v>2040</v>
      </c>
      <c r="AS1010" s="69">
        <v>2040</v>
      </c>
      <c r="AT1010" s="69"/>
      <c r="BC1010" s="69"/>
      <c r="BD1010" s="69"/>
      <c r="CC1010" s="94">
        <f t="shared" si="92"/>
        <v>2040</v>
      </c>
      <c r="CD1010" s="73">
        <f t="shared" si="93"/>
        <v>0</v>
      </c>
      <c r="CE1010" s="75">
        <f t="shared" si="91"/>
        <v>3664</v>
      </c>
      <c r="CF1010" s="69" t="str">
        <f t="shared" si="91"/>
        <v>خ ت اسنان</v>
      </c>
    </row>
    <row r="1011" spans="1:85" x14ac:dyDescent="0.25">
      <c r="B1011" s="82">
        <v>5789</v>
      </c>
      <c r="C1011" s="70">
        <v>3665</v>
      </c>
      <c r="D1011" s="69" t="s">
        <v>78</v>
      </c>
      <c r="E1011" s="107" t="s">
        <v>3918</v>
      </c>
      <c r="Q1011" s="69">
        <v>4250</v>
      </c>
      <c r="T1011" s="69"/>
      <c r="U1011" s="69"/>
      <c r="AR1011" s="94">
        <f t="shared" si="87"/>
        <v>4250</v>
      </c>
      <c r="AS1011" s="69">
        <v>4250</v>
      </c>
      <c r="AT1011" s="69"/>
      <c r="BC1011" s="69"/>
      <c r="BD1011" s="69"/>
      <c r="CC1011" s="94">
        <f t="shared" si="92"/>
        <v>4250</v>
      </c>
      <c r="CD1011" s="73">
        <f t="shared" si="93"/>
        <v>0</v>
      </c>
      <c r="CE1011" s="75">
        <f t="shared" si="91"/>
        <v>3665</v>
      </c>
      <c r="CF1011" s="69" t="str">
        <f t="shared" si="91"/>
        <v>برنامج دولى</v>
      </c>
    </row>
    <row r="1012" spans="1:85" s="68" customFormat="1" x14ac:dyDescent="0.25">
      <c r="A1012" s="68">
        <f>+AU1012-102970.3</f>
        <v>1546.839999999982</v>
      </c>
      <c r="B1012" s="83"/>
      <c r="C1012" s="84"/>
      <c r="E1012" s="108" t="s">
        <v>3919</v>
      </c>
      <c r="G1012" s="68">
        <f>SUM(G880:G1011)</f>
        <v>659332.17000000016</v>
      </c>
      <c r="H1012" s="68">
        <f t="shared" ref="H1012:BT1012" si="94">SUM(H880:H1011)</f>
        <v>87428.14</v>
      </c>
      <c r="I1012" s="68">
        <f t="shared" si="94"/>
        <v>0</v>
      </c>
      <c r="J1012" s="68">
        <f t="shared" si="94"/>
        <v>0</v>
      </c>
      <c r="K1012" s="68">
        <f t="shared" si="94"/>
        <v>0</v>
      </c>
      <c r="L1012" s="68">
        <f t="shared" si="94"/>
        <v>0</v>
      </c>
      <c r="M1012" s="68">
        <f t="shared" si="94"/>
        <v>0</v>
      </c>
      <c r="N1012" s="68">
        <f t="shared" si="94"/>
        <v>0</v>
      </c>
      <c r="O1012" s="68">
        <f t="shared" si="94"/>
        <v>21250</v>
      </c>
      <c r="P1012" s="68">
        <f t="shared" si="94"/>
        <v>0</v>
      </c>
      <c r="Q1012" s="68">
        <f t="shared" si="94"/>
        <v>4250</v>
      </c>
      <c r="R1012" s="68">
        <f t="shared" si="94"/>
        <v>0</v>
      </c>
      <c r="S1012" s="68">
        <f t="shared" si="94"/>
        <v>0</v>
      </c>
      <c r="T1012" s="68">
        <f t="shared" si="94"/>
        <v>0</v>
      </c>
      <c r="U1012" s="68">
        <f t="shared" si="94"/>
        <v>0</v>
      </c>
      <c r="V1012" s="68">
        <f t="shared" si="94"/>
        <v>0</v>
      </c>
      <c r="W1012" s="68">
        <f t="shared" si="94"/>
        <v>11040</v>
      </c>
      <c r="X1012" s="68">
        <f t="shared" si="94"/>
        <v>0</v>
      </c>
      <c r="Y1012" s="68">
        <f t="shared" si="94"/>
        <v>0</v>
      </c>
      <c r="Z1012" s="68">
        <f t="shared" si="94"/>
        <v>0</v>
      </c>
      <c r="AA1012" s="68">
        <f t="shared" si="94"/>
        <v>0</v>
      </c>
      <c r="AB1012" s="68">
        <f t="shared" si="94"/>
        <v>0</v>
      </c>
      <c r="AC1012" s="68">
        <f t="shared" si="94"/>
        <v>0</v>
      </c>
      <c r="AD1012" s="68">
        <f t="shared" si="94"/>
        <v>0</v>
      </c>
      <c r="AE1012" s="68">
        <f t="shared" si="94"/>
        <v>0</v>
      </c>
      <c r="AF1012" s="68">
        <f t="shared" si="94"/>
        <v>0</v>
      </c>
      <c r="AG1012" s="68">
        <f t="shared" si="94"/>
        <v>0</v>
      </c>
      <c r="AH1012" s="68">
        <f t="shared" si="94"/>
        <v>0</v>
      </c>
      <c r="AI1012" s="68">
        <f t="shared" si="94"/>
        <v>0</v>
      </c>
      <c r="AJ1012" s="68">
        <f t="shared" si="94"/>
        <v>0</v>
      </c>
      <c r="AK1012" s="68">
        <f t="shared" si="94"/>
        <v>0</v>
      </c>
      <c r="AL1012" s="68">
        <f t="shared" si="94"/>
        <v>0</v>
      </c>
      <c r="AM1012" s="68">
        <f t="shared" si="94"/>
        <v>0</v>
      </c>
      <c r="AO1012" s="68">
        <f t="shared" si="94"/>
        <v>0</v>
      </c>
      <c r="AP1012" s="68">
        <f t="shared" si="94"/>
        <v>0</v>
      </c>
      <c r="AQ1012" s="68">
        <f t="shared" si="94"/>
        <v>0</v>
      </c>
      <c r="AR1012" s="91">
        <f t="shared" si="94"/>
        <v>783300.31000000017</v>
      </c>
      <c r="AS1012" s="68">
        <f t="shared" si="94"/>
        <v>588471.37999999989</v>
      </c>
      <c r="AT1012" s="68">
        <f t="shared" si="94"/>
        <v>62519.149999999994</v>
      </c>
      <c r="AU1012" s="68">
        <f t="shared" si="94"/>
        <v>104517.13999999998</v>
      </c>
      <c r="AV1012" s="68">
        <f t="shared" si="94"/>
        <v>5800.54</v>
      </c>
      <c r="AW1012" s="68">
        <f t="shared" si="94"/>
        <v>0</v>
      </c>
      <c r="AX1012" s="68">
        <f t="shared" si="94"/>
        <v>0</v>
      </c>
      <c r="AY1012" s="68">
        <f t="shared" si="94"/>
        <v>0</v>
      </c>
      <c r="AZ1012" s="68">
        <f t="shared" si="94"/>
        <v>0</v>
      </c>
      <c r="BA1012" s="68">
        <f t="shared" si="94"/>
        <v>0</v>
      </c>
      <c r="BB1012" s="68">
        <f t="shared" si="94"/>
        <v>0</v>
      </c>
      <c r="BC1012" s="68">
        <f t="shared" si="94"/>
        <v>0</v>
      </c>
      <c r="BD1012" s="68">
        <f t="shared" si="94"/>
        <v>0</v>
      </c>
      <c r="BE1012" s="68">
        <f t="shared" si="94"/>
        <v>0</v>
      </c>
      <c r="BF1012" s="68">
        <f t="shared" si="94"/>
        <v>557.4</v>
      </c>
      <c r="BG1012" s="68">
        <f t="shared" si="94"/>
        <v>176</v>
      </c>
      <c r="BH1012" s="68">
        <f t="shared" si="94"/>
        <v>8.6999999999999993</v>
      </c>
      <c r="BI1012" s="68">
        <f t="shared" si="94"/>
        <v>0</v>
      </c>
      <c r="BJ1012" s="68">
        <f t="shared" si="94"/>
        <v>0</v>
      </c>
      <c r="BK1012" s="68">
        <f t="shared" si="94"/>
        <v>0</v>
      </c>
      <c r="BL1012" s="68">
        <f t="shared" si="94"/>
        <v>0</v>
      </c>
      <c r="BM1012" s="68">
        <f t="shared" si="94"/>
        <v>0</v>
      </c>
      <c r="BN1012" s="68">
        <f t="shared" si="94"/>
        <v>21250</v>
      </c>
      <c r="BO1012" s="68">
        <f t="shared" si="94"/>
        <v>0</v>
      </c>
      <c r="BP1012" s="68">
        <f t="shared" si="94"/>
        <v>0</v>
      </c>
      <c r="BQ1012" s="68">
        <f t="shared" si="94"/>
        <v>0</v>
      </c>
      <c r="BR1012" s="68">
        <f t="shared" si="94"/>
        <v>0</v>
      </c>
      <c r="BS1012" s="68">
        <f t="shared" si="94"/>
        <v>0</v>
      </c>
      <c r="BT1012" s="68">
        <f t="shared" si="94"/>
        <v>0</v>
      </c>
      <c r="BU1012" s="68">
        <f t="shared" ref="BU1012:CG1012" si="95">SUM(BU880:BU1011)</f>
        <v>0</v>
      </c>
      <c r="BV1012" s="68">
        <f t="shared" si="95"/>
        <v>0</v>
      </c>
      <c r="BW1012" s="68">
        <f t="shared" si="95"/>
        <v>0</v>
      </c>
      <c r="BX1012" s="68">
        <f t="shared" si="95"/>
        <v>0</v>
      </c>
      <c r="BY1012" s="68">
        <f t="shared" si="95"/>
        <v>0</v>
      </c>
      <c r="BZ1012" s="68">
        <f t="shared" si="95"/>
        <v>0</v>
      </c>
      <c r="CA1012" s="68">
        <f t="shared" si="95"/>
        <v>0</v>
      </c>
      <c r="CB1012" s="68">
        <f t="shared" si="95"/>
        <v>0</v>
      </c>
      <c r="CC1012" s="91">
        <f t="shared" si="95"/>
        <v>783300.31000000017</v>
      </c>
      <c r="CD1012" s="68">
        <f t="shared" si="95"/>
        <v>0</v>
      </c>
      <c r="CE1012" s="67"/>
      <c r="CG1012" s="68">
        <f t="shared" si="95"/>
        <v>0</v>
      </c>
    </row>
    <row r="1013" spans="1:85" x14ac:dyDescent="0.25">
      <c r="B1013" s="82"/>
      <c r="C1013" s="78">
        <v>3666</v>
      </c>
      <c r="D1013" s="69" t="s">
        <v>1431</v>
      </c>
      <c r="E1013" s="107" t="s">
        <v>3920</v>
      </c>
      <c r="F1013" s="69"/>
      <c r="T1013" s="69"/>
      <c r="U1013" s="69"/>
      <c r="AR1013" s="94">
        <f t="shared" si="87"/>
        <v>0</v>
      </c>
      <c r="AS1013" s="69">
        <v>0</v>
      </c>
      <c r="AT1013" s="69">
        <v>0</v>
      </c>
      <c r="AU1013" s="69">
        <v>0</v>
      </c>
      <c r="BC1013" s="69"/>
      <c r="BD1013" s="69"/>
      <c r="CC1013" s="94">
        <f t="shared" ref="CC1013:CC1014" si="96">SUM(AS1013:CB1013)</f>
        <v>0</v>
      </c>
      <c r="CD1013" s="73">
        <f t="shared" ref="CD1013:CD1014" si="97">+CC1013-AR1013</f>
        <v>0</v>
      </c>
      <c r="CE1013" s="75">
        <f t="shared" ref="CE1013:CF1014" si="98">+C1013</f>
        <v>3666</v>
      </c>
      <c r="CF1013" s="69" t="str">
        <f t="shared" si="98"/>
        <v>لاب فقط</v>
      </c>
    </row>
    <row r="1014" spans="1:85" x14ac:dyDescent="0.25">
      <c r="B1014" s="82"/>
      <c r="C1014" s="78">
        <v>3667</v>
      </c>
      <c r="D1014" s="69" t="s">
        <v>1431</v>
      </c>
      <c r="E1014" s="107" t="s">
        <v>3921</v>
      </c>
      <c r="F1014" s="69"/>
      <c r="T1014" s="69"/>
      <c r="U1014" s="69"/>
      <c r="AR1014" s="94">
        <f t="shared" si="87"/>
        <v>0</v>
      </c>
      <c r="AS1014" s="69">
        <v>0</v>
      </c>
      <c r="AT1014" s="69">
        <v>0</v>
      </c>
      <c r="AU1014" s="69">
        <v>0</v>
      </c>
      <c r="BC1014" s="69"/>
      <c r="BD1014" s="69"/>
      <c r="CC1014" s="94">
        <f t="shared" si="96"/>
        <v>0</v>
      </c>
      <c r="CD1014" s="73">
        <f t="shared" si="97"/>
        <v>0</v>
      </c>
      <c r="CE1014" s="75">
        <f t="shared" si="98"/>
        <v>3667</v>
      </c>
      <c r="CF1014" s="69" t="str">
        <f t="shared" si="98"/>
        <v>لاب فقط</v>
      </c>
    </row>
    <row r="1015" spans="1:85" x14ac:dyDescent="0.25">
      <c r="B1015" s="82">
        <v>6438</v>
      </c>
      <c r="C1015" s="78">
        <v>3668</v>
      </c>
      <c r="D1015" s="69" t="s">
        <v>78</v>
      </c>
      <c r="E1015" s="107" t="s">
        <v>3922</v>
      </c>
      <c r="G1015" s="69">
        <v>938</v>
      </c>
      <c r="T1015" s="69"/>
      <c r="U1015" s="69"/>
      <c r="AR1015" s="94">
        <f t="shared" si="87"/>
        <v>938</v>
      </c>
      <c r="AS1015" s="69">
        <v>628</v>
      </c>
      <c r="AT1015" s="69">
        <v>84</v>
      </c>
      <c r="AU1015" s="69">
        <f>310-84</f>
        <v>226</v>
      </c>
      <c r="BC1015" s="69"/>
      <c r="BD1015" s="69"/>
      <c r="CC1015" s="94">
        <f t="shared" si="92"/>
        <v>938</v>
      </c>
      <c r="CD1015" s="73">
        <f t="shared" si="93"/>
        <v>0</v>
      </c>
      <c r="CE1015" s="75">
        <f t="shared" si="91"/>
        <v>3668</v>
      </c>
      <c r="CF1015" s="69" t="str">
        <f t="shared" si="91"/>
        <v>برنامج دولى</v>
      </c>
    </row>
    <row r="1016" spans="1:85" x14ac:dyDescent="0.25">
      <c r="B1016" s="82">
        <v>6693</v>
      </c>
      <c r="C1016" s="78">
        <v>3669</v>
      </c>
      <c r="D1016" s="69" t="s">
        <v>78</v>
      </c>
      <c r="E1016" s="107" t="s">
        <v>1515</v>
      </c>
      <c r="G1016" s="69">
        <v>23263.82</v>
      </c>
      <c r="T1016" s="69"/>
      <c r="U1016" s="69"/>
      <c r="AR1016" s="94">
        <f t="shared" si="87"/>
        <v>23263.82</v>
      </c>
      <c r="AS1016" s="69">
        <v>19600.919999999998</v>
      </c>
      <c r="AT1016" s="69">
        <v>2412</v>
      </c>
      <c r="AU1016" s="69">
        <v>1250.9000000000001</v>
      </c>
      <c r="BC1016" s="69"/>
      <c r="BD1016" s="69"/>
      <c r="CC1016" s="94">
        <f t="shared" si="92"/>
        <v>23263.82</v>
      </c>
      <c r="CD1016" s="73">
        <f t="shared" si="93"/>
        <v>0</v>
      </c>
      <c r="CE1016" s="75">
        <f t="shared" si="91"/>
        <v>3669</v>
      </c>
      <c r="CF1016" s="69" t="str">
        <f t="shared" si="91"/>
        <v>برنامج دولى</v>
      </c>
    </row>
    <row r="1017" spans="1:85" x14ac:dyDescent="0.25">
      <c r="B1017" s="82">
        <v>6694</v>
      </c>
      <c r="C1017" s="78">
        <v>3670</v>
      </c>
      <c r="D1017" s="69" t="s">
        <v>78</v>
      </c>
      <c r="E1017" s="107" t="s">
        <v>1515</v>
      </c>
      <c r="G1017" s="69">
        <v>2930.07</v>
      </c>
      <c r="T1017" s="69"/>
      <c r="U1017" s="69"/>
      <c r="AR1017" s="94">
        <f t="shared" si="87"/>
        <v>2930.07</v>
      </c>
      <c r="AS1017" s="69">
        <v>1959.66</v>
      </c>
      <c r="AT1017" s="69">
        <v>264.45</v>
      </c>
      <c r="AU1017" s="69">
        <v>705.96</v>
      </c>
      <c r="BC1017" s="69"/>
      <c r="BD1017" s="69"/>
      <c r="CC1017" s="94">
        <f t="shared" si="92"/>
        <v>2930.07</v>
      </c>
      <c r="CD1017" s="73">
        <f t="shared" si="93"/>
        <v>0</v>
      </c>
      <c r="CE1017" s="75">
        <f t="shared" si="91"/>
        <v>3670</v>
      </c>
      <c r="CF1017" s="69" t="str">
        <f t="shared" si="91"/>
        <v>برنامج دولى</v>
      </c>
    </row>
    <row r="1018" spans="1:85" x14ac:dyDescent="0.25">
      <c r="B1018" s="82">
        <v>6692</v>
      </c>
      <c r="C1018" s="78">
        <v>3671</v>
      </c>
      <c r="D1018" s="69" t="s">
        <v>78</v>
      </c>
      <c r="E1018" s="107" t="s">
        <v>1515</v>
      </c>
      <c r="G1018" s="69">
        <v>6012.8</v>
      </c>
      <c r="T1018" s="69"/>
      <c r="U1018" s="69"/>
      <c r="AR1018" s="94">
        <f t="shared" si="87"/>
        <v>6012.8</v>
      </c>
      <c r="AS1018" s="69">
        <v>5089.7</v>
      </c>
      <c r="AT1018" s="69">
        <v>628.65</v>
      </c>
      <c r="AU1018" s="69">
        <v>294.45</v>
      </c>
      <c r="BC1018" s="69"/>
      <c r="BD1018" s="69"/>
      <c r="CC1018" s="94">
        <f t="shared" si="92"/>
        <v>6012.7999999999993</v>
      </c>
      <c r="CD1018" s="73">
        <f t="shared" si="93"/>
        <v>0</v>
      </c>
      <c r="CE1018" s="75">
        <f t="shared" si="91"/>
        <v>3671</v>
      </c>
      <c r="CF1018" s="69" t="str">
        <f t="shared" si="91"/>
        <v>برنامج دولى</v>
      </c>
    </row>
    <row r="1019" spans="1:85" x14ac:dyDescent="0.25">
      <c r="B1019" s="82">
        <v>6400</v>
      </c>
      <c r="C1019" s="78">
        <v>3672</v>
      </c>
      <c r="D1019" s="69" t="s">
        <v>78</v>
      </c>
      <c r="E1019" s="107" t="s">
        <v>3923</v>
      </c>
      <c r="G1019" s="69">
        <v>147738</v>
      </c>
      <c r="T1019" s="69"/>
      <c r="U1019" s="69"/>
      <c r="AR1019" s="94">
        <f t="shared" si="87"/>
        <v>147738</v>
      </c>
      <c r="AS1019" s="69">
        <v>131415</v>
      </c>
      <c r="AT1019" s="69">
        <v>15829.8</v>
      </c>
      <c r="AU1019" s="69">
        <v>493.2</v>
      </c>
      <c r="BC1019" s="69"/>
      <c r="BD1019" s="69"/>
      <c r="CC1019" s="94">
        <f t="shared" si="92"/>
        <v>147738</v>
      </c>
      <c r="CD1019" s="73">
        <f t="shared" si="93"/>
        <v>0</v>
      </c>
      <c r="CE1019" s="75">
        <f t="shared" si="91"/>
        <v>3672</v>
      </c>
      <c r="CF1019" s="69" t="str">
        <f t="shared" si="91"/>
        <v>برنامج دولى</v>
      </c>
    </row>
    <row r="1020" spans="1:85" x14ac:dyDescent="0.25">
      <c r="B1020" s="82">
        <v>6402</v>
      </c>
      <c r="C1020" s="78">
        <v>3673</v>
      </c>
      <c r="D1020" s="69" t="s">
        <v>78</v>
      </c>
      <c r="E1020" s="107" t="s">
        <v>3923</v>
      </c>
      <c r="G1020" s="69">
        <v>5100</v>
      </c>
      <c r="T1020" s="69"/>
      <c r="U1020" s="69"/>
      <c r="AR1020" s="94">
        <f t="shared" si="87"/>
        <v>5100</v>
      </c>
      <c r="AS1020" s="69">
        <v>4549.6000000000004</v>
      </c>
      <c r="AT1020" s="69">
        <v>550.4</v>
      </c>
      <c r="BC1020" s="69"/>
      <c r="BD1020" s="69"/>
      <c r="CC1020" s="94">
        <f t="shared" si="92"/>
        <v>5100</v>
      </c>
      <c r="CD1020" s="73">
        <f t="shared" si="93"/>
        <v>0</v>
      </c>
      <c r="CE1020" s="75">
        <f t="shared" si="91"/>
        <v>3673</v>
      </c>
      <c r="CF1020" s="69" t="str">
        <f t="shared" si="91"/>
        <v>برنامج دولى</v>
      </c>
    </row>
    <row r="1021" spans="1:85" x14ac:dyDescent="0.25">
      <c r="B1021" s="82">
        <v>6401</v>
      </c>
      <c r="C1021" s="78">
        <v>3674</v>
      </c>
      <c r="D1021" s="69" t="s">
        <v>78</v>
      </c>
      <c r="E1021" s="107" t="s">
        <v>3923</v>
      </c>
      <c r="G1021" s="69">
        <v>10204.200000000001</v>
      </c>
      <c r="T1021" s="69"/>
      <c r="U1021" s="69"/>
      <c r="AR1021" s="94">
        <f t="shared" si="87"/>
        <v>10204.200000000001</v>
      </c>
      <c r="AS1021" s="69">
        <v>8919.85</v>
      </c>
      <c r="AT1021" s="69">
        <v>1080.95</v>
      </c>
      <c r="AU1021" s="69">
        <v>203.4</v>
      </c>
      <c r="BC1021" s="69"/>
      <c r="BD1021" s="69"/>
      <c r="CC1021" s="94">
        <f t="shared" si="92"/>
        <v>10204.200000000001</v>
      </c>
      <c r="CD1021" s="73">
        <f t="shared" si="93"/>
        <v>0</v>
      </c>
      <c r="CE1021" s="75">
        <f t="shared" si="91"/>
        <v>3674</v>
      </c>
      <c r="CF1021" s="69" t="str">
        <f t="shared" si="91"/>
        <v>برنامج دولى</v>
      </c>
    </row>
    <row r="1022" spans="1:85" x14ac:dyDescent="0.25">
      <c r="B1022" s="82">
        <v>6398</v>
      </c>
      <c r="C1022" s="78">
        <v>3675</v>
      </c>
      <c r="D1022" s="69" t="s">
        <v>78</v>
      </c>
      <c r="E1022" s="107" t="s">
        <v>3924</v>
      </c>
      <c r="G1022" s="69">
        <v>4572.5</v>
      </c>
      <c r="T1022" s="69"/>
      <c r="U1022" s="69"/>
      <c r="AR1022" s="94">
        <f t="shared" si="87"/>
        <v>4572.5</v>
      </c>
      <c r="AS1022" s="69">
        <v>3819.8</v>
      </c>
      <c r="AT1022" s="69">
        <v>470.2</v>
      </c>
      <c r="AU1022" s="69">
        <v>282.5</v>
      </c>
      <c r="BC1022" s="69"/>
      <c r="BD1022" s="69"/>
      <c r="CC1022" s="94">
        <f t="shared" si="92"/>
        <v>4572.5</v>
      </c>
      <c r="CD1022" s="73">
        <f t="shared" si="93"/>
        <v>0</v>
      </c>
      <c r="CE1022" s="75">
        <f t="shared" si="91"/>
        <v>3675</v>
      </c>
      <c r="CF1022" s="69" t="str">
        <f t="shared" si="91"/>
        <v>برنامج دولى</v>
      </c>
    </row>
    <row r="1023" spans="1:85" x14ac:dyDescent="0.25">
      <c r="B1023" s="82">
        <v>6397</v>
      </c>
      <c r="C1023" s="78">
        <v>3676</v>
      </c>
      <c r="D1023" s="69" t="s">
        <v>78</v>
      </c>
      <c r="E1023" s="107" t="s">
        <v>3924</v>
      </c>
      <c r="G1023" s="69">
        <v>8972.5</v>
      </c>
      <c r="T1023" s="69"/>
      <c r="U1023" s="69"/>
      <c r="AR1023" s="94">
        <f t="shared" si="87"/>
        <v>8972.5</v>
      </c>
      <c r="AS1023" s="69">
        <v>7747.5</v>
      </c>
      <c r="AT1023" s="69">
        <v>942.5</v>
      </c>
      <c r="AU1023" s="69">
        <v>282.5</v>
      </c>
      <c r="BC1023" s="69"/>
      <c r="BD1023" s="69"/>
      <c r="CC1023" s="94">
        <f t="shared" si="92"/>
        <v>8972.5</v>
      </c>
      <c r="CD1023" s="73">
        <f t="shared" si="93"/>
        <v>0</v>
      </c>
      <c r="CE1023" s="75">
        <f t="shared" si="91"/>
        <v>3676</v>
      </c>
      <c r="CF1023" s="69" t="str">
        <f t="shared" si="91"/>
        <v>برنامج دولى</v>
      </c>
    </row>
    <row r="1024" spans="1:85" x14ac:dyDescent="0.25">
      <c r="B1024" s="82">
        <v>6403</v>
      </c>
      <c r="C1024" s="78">
        <v>3677</v>
      </c>
      <c r="D1024" s="69" t="s">
        <v>78</v>
      </c>
      <c r="E1024" s="107" t="s">
        <v>3925</v>
      </c>
      <c r="G1024" s="69">
        <v>1758.75</v>
      </c>
      <c r="T1024" s="69"/>
      <c r="U1024" s="69"/>
      <c r="AR1024" s="94">
        <f t="shared" si="87"/>
        <v>1758.75</v>
      </c>
      <c r="AS1024" s="69">
        <v>1177.2</v>
      </c>
      <c r="AT1024" s="69">
        <v>157.80000000000001</v>
      </c>
      <c r="AU1024" s="69">
        <v>423.75</v>
      </c>
      <c r="BC1024" s="69"/>
      <c r="BD1024" s="69"/>
      <c r="CC1024" s="94">
        <f t="shared" si="92"/>
        <v>1758.75</v>
      </c>
      <c r="CD1024" s="73">
        <f t="shared" si="93"/>
        <v>0</v>
      </c>
      <c r="CE1024" s="75">
        <f t="shared" si="91"/>
        <v>3677</v>
      </c>
      <c r="CF1024" s="69" t="str">
        <f t="shared" si="91"/>
        <v>برنامج دولى</v>
      </c>
    </row>
    <row r="1025" spans="2:84" x14ac:dyDescent="0.25">
      <c r="B1025" s="82">
        <v>6399</v>
      </c>
      <c r="C1025" s="78">
        <v>3678</v>
      </c>
      <c r="D1025" s="69" t="s">
        <v>78</v>
      </c>
      <c r="E1025" s="107" t="s">
        <v>3926</v>
      </c>
      <c r="G1025" s="69">
        <v>8191.43</v>
      </c>
      <c r="T1025" s="69"/>
      <c r="U1025" s="69"/>
      <c r="AR1025" s="94">
        <f t="shared" si="87"/>
        <v>8191.43</v>
      </c>
      <c r="AS1025" s="69">
        <v>7020.22</v>
      </c>
      <c r="AT1025" s="69">
        <v>857.7</v>
      </c>
      <c r="AU1025" s="69">
        <v>313.51</v>
      </c>
      <c r="BC1025" s="69"/>
      <c r="BD1025" s="69"/>
      <c r="CC1025" s="94">
        <f t="shared" si="92"/>
        <v>8191.43</v>
      </c>
      <c r="CD1025" s="73">
        <f t="shared" si="93"/>
        <v>0</v>
      </c>
      <c r="CE1025" s="75">
        <f t="shared" si="91"/>
        <v>3678</v>
      </c>
      <c r="CF1025" s="69" t="str">
        <f t="shared" si="91"/>
        <v>برنامج دولى</v>
      </c>
    </row>
    <row r="1026" spans="2:84" x14ac:dyDescent="0.25">
      <c r="B1026" s="82">
        <v>6111</v>
      </c>
      <c r="C1026" s="78">
        <v>3679</v>
      </c>
      <c r="D1026" s="69" t="s">
        <v>78</v>
      </c>
      <c r="E1026" s="107" t="s">
        <v>3324</v>
      </c>
      <c r="G1026" s="69">
        <v>3060.22</v>
      </c>
      <c r="T1026" s="69"/>
      <c r="U1026" s="69"/>
      <c r="AR1026" s="94">
        <f t="shared" si="87"/>
        <v>3060.22</v>
      </c>
      <c r="AS1026" s="69">
        <v>2044.85</v>
      </c>
      <c r="AT1026" s="69">
        <v>278.05</v>
      </c>
      <c r="AU1026" s="69">
        <v>737.32</v>
      </c>
      <c r="BC1026" s="69"/>
      <c r="BD1026" s="69"/>
      <c r="CC1026" s="94">
        <f t="shared" si="92"/>
        <v>3060.2200000000003</v>
      </c>
      <c r="CD1026" s="73">
        <f t="shared" si="93"/>
        <v>0</v>
      </c>
      <c r="CE1026" s="75">
        <f t="shared" si="91"/>
        <v>3679</v>
      </c>
      <c r="CF1026" s="69" t="str">
        <f t="shared" si="91"/>
        <v>برنامج دولى</v>
      </c>
    </row>
    <row r="1027" spans="2:84" x14ac:dyDescent="0.25">
      <c r="B1027" s="82">
        <v>6112</v>
      </c>
      <c r="C1027" s="78">
        <v>3680</v>
      </c>
      <c r="D1027" s="69" t="s">
        <v>78</v>
      </c>
      <c r="E1027" s="107" t="s">
        <v>3324</v>
      </c>
      <c r="G1027" s="69">
        <v>17010.66</v>
      </c>
      <c r="T1027" s="69"/>
      <c r="U1027" s="69"/>
      <c r="AR1027" s="94">
        <f t="shared" si="87"/>
        <v>17010.66</v>
      </c>
      <c r="AS1027" s="69">
        <v>13649.4</v>
      </c>
      <c r="AT1027" s="69">
        <v>1714.3</v>
      </c>
      <c r="AU1027" s="69">
        <v>1646.96</v>
      </c>
      <c r="BC1027" s="69"/>
      <c r="BD1027" s="69"/>
      <c r="CC1027" s="94">
        <f t="shared" ref="CC1027:CC1090" si="99">SUM(AS1027:CB1027)</f>
        <v>17010.66</v>
      </c>
      <c r="CD1027" s="73">
        <f t="shared" si="93"/>
        <v>0</v>
      </c>
      <c r="CE1027" s="75">
        <f t="shared" si="91"/>
        <v>3680</v>
      </c>
      <c r="CF1027" s="69" t="str">
        <f t="shared" si="91"/>
        <v>برنامج دولى</v>
      </c>
    </row>
    <row r="1028" spans="2:84" x14ac:dyDescent="0.25">
      <c r="B1028" s="82">
        <v>6115</v>
      </c>
      <c r="C1028" s="78">
        <v>3681</v>
      </c>
      <c r="D1028" s="69" t="s">
        <v>78</v>
      </c>
      <c r="E1028" s="107" t="s">
        <v>3927</v>
      </c>
      <c r="G1028" s="69">
        <v>1758.75</v>
      </c>
      <c r="T1028" s="69"/>
      <c r="U1028" s="69"/>
      <c r="AR1028" s="94">
        <f t="shared" si="87"/>
        <v>1758.75</v>
      </c>
      <c r="AS1028" s="69">
        <v>1175.3499999999999</v>
      </c>
      <c r="AT1028" s="69">
        <v>159.65</v>
      </c>
      <c r="AU1028" s="69">
        <v>423.75</v>
      </c>
      <c r="BC1028" s="69"/>
      <c r="BD1028" s="69"/>
      <c r="CC1028" s="94">
        <f t="shared" si="99"/>
        <v>1758.75</v>
      </c>
      <c r="CD1028" s="73">
        <f t="shared" si="93"/>
        <v>0</v>
      </c>
      <c r="CE1028" s="75">
        <f t="shared" si="91"/>
        <v>3681</v>
      </c>
      <c r="CF1028" s="69" t="str">
        <f t="shared" si="91"/>
        <v>برنامج دولى</v>
      </c>
    </row>
    <row r="1029" spans="2:84" x14ac:dyDescent="0.25">
      <c r="B1029" s="82">
        <v>6109</v>
      </c>
      <c r="C1029" s="78">
        <v>3682</v>
      </c>
      <c r="D1029" s="69" t="s">
        <v>78</v>
      </c>
      <c r="E1029" s="107" t="s">
        <v>3927</v>
      </c>
      <c r="G1029" s="69">
        <v>1758.75</v>
      </c>
      <c r="T1029" s="69"/>
      <c r="U1029" s="69"/>
      <c r="AR1029" s="94">
        <f t="shared" si="87"/>
        <v>1758.75</v>
      </c>
      <c r="AS1029" s="69">
        <v>1175.3499999999999</v>
      </c>
      <c r="AT1029" s="69">
        <v>159.65</v>
      </c>
      <c r="AU1029" s="69">
        <v>423.75</v>
      </c>
      <c r="BC1029" s="69"/>
      <c r="BD1029" s="69"/>
      <c r="CC1029" s="94">
        <f t="shared" si="99"/>
        <v>1758.75</v>
      </c>
      <c r="CD1029" s="73">
        <f t="shared" si="93"/>
        <v>0</v>
      </c>
      <c r="CE1029" s="75">
        <f t="shared" ref="CE1029:CF1050" si="100">+C1029</f>
        <v>3682</v>
      </c>
      <c r="CF1029" s="69" t="str">
        <f t="shared" si="100"/>
        <v>برنامج دولى</v>
      </c>
    </row>
    <row r="1030" spans="2:84" x14ac:dyDescent="0.25">
      <c r="B1030" s="82">
        <v>6106</v>
      </c>
      <c r="C1030" s="78">
        <v>3683</v>
      </c>
      <c r="D1030" s="69" t="s">
        <v>78</v>
      </c>
      <c r="E1030" s="107" t="s">
        <v>570</v>
      </c>
      <c r="G1030" s="69">
        <v>6331.5</v>
      </c>
      <c r="T1030" s="69"/>
      <c r="U1030" s="69"/>
      <c r="AR1030" s="94">
        <f t="shared" si="87"/>
        <v>6331.5</v>
      </c>
      <c r="AS1030" s="69">
        <v>4232.75</v>
      </c>
      <c r="AT1030" s="69">
        <f>33.25+540</f>
        <v>573.25</v>
      </c>
      <c r="AU1030" s="69">
        <v>1525.5</v>
      </c>
      <c r="BC1030" s="69"/>
      <c r="BD1030" s="69"/>
      <c r="CC1030" s="94">
        <f t="shared" si="99"/>
        <v>6331.5</v>
      </c>
      <c r="CD1030" s="73">
        <f t="shared" si="93"/>
        <v>0</v>
      </c>
      <c r="CE1030" s="75">
        <f t="shared" si="100"/>
        <v>3683</v>
      </c>
      <c r="CF1030" s="69" t="str">
        <f t="shared" si="100"/>
        <v>برنامج دولى</v>
      </c>
    </row>
    <row r="1031" spans="2:84" x14ac:dyDescent="0.25">
      <c r="B1031" s="82">
        <v>6107</v>
      </c>
      <c r="C1031" s="78">
        <v>3684</v>
      </c>
      <c r="D1031" s="69" t="s">
        <v>78</v>
      </c>
      <c r="E1031" s="107" t="str">
        <f>+E1029</f>
        <v>مكافاه العاملين بالكنترول</v>
      </c>
      <c r="G1031" s="69">
        <v>6189</v>
      </c>
      <c r="T1031" s="69"/>
      <c r="U1031" s="69"/>
      <c r="AR1031" s="94">
        <f t="shared" si="87"/>
        <v>6189</v>
      </c>
      <c r="AS1031" s="69">
        <v>4169.3900000000003</v>
      </c>
      <c r="AT1031" s="69">
        <v>563.70000000000005</v>
      </c>
      <c r="AU1031" s="69">
        <v>1455.91</v>
      </c>
      <c r="BC1031" s="69"/>
      <c r="BD1031" s="69"/>
      <c r="CC1031" s="94">
        <f t="shared" si="99"/>
        <v>6189</v>
      </c>
      <c r="CD1031" s="73">
        <f t="shared" si="93"/>
        <v>0</v>
      </c>
      <c r="CE1031" s="75">
        <f t="shared" si="100"/>
        <v>3684</v>
      </c>
      <c r="CF1031" s="69" t="str">
        <f t="shared" si="100"/>
        <v>برنامج دولى</v>
      </c>
    </row>
    <row r="1032" spans="2:84" x14ac:dyDescent="0.25">
      <c r="B1032" s="82">
        <v>6108</v>
      </c>
      <c r="C1032" s="78">
        <v>3685</v>
      </c>
      <c r="D1032" s="69" t="s">
        <v>78</v>
      </c>
      <c r="E1032" s="107" t="str">
        <f>+E1031</f>
        <v>مكافاه العاملين بالكنترول</v>
      </c>
      <c r="G1032" s="69">
        <v>8793.75</v>
      </c>
      <c r="T1032" s="69"/>
      <c r="U1032" s="69"/>
      <c r="AR1032" s="94">
        <f t="shared" si="87"/>
        <v>8793.75</v>
      </c>
      <c r="AS1032" s="69">
        <v>5876.75</v>
      </c>
      <c r="AT1032" s="69">
        <v>798.25</v>
      </c>
      <c r="AU1032" s="69">
        <v>2118.75</v>
      </c>
      <c r="BC1032" s="69"/>
      <c r="BD1032" s="69"/>
      <c r="CC1032" s="94">
        <f t="shared" si="99"/>
        <v>8793.75</v>
      </c>
      <c r="CD1032" s="73">
        <f t="shared" si="93"/>
        <v>0</v>
      </c>
      <c r="CE1032" s="75">
        <f t="shared" si="100"/>
        <v>3685</v>
      </c>
      <c r="CF1032" s="69" t="str">
        <f t="shared" si="100"/>
        <v>برنامج دولى</v>
      </c>
    </row>
    <row r="1033" spans="2:84" x14ac:dyDescent="0.25">
      <c r="B1033" s="82">
        <v>6101</v>
      </c>
      <c r="C1033" s="78">
        <v>3686</v>
      </c>
      <c r="D1033" s="69" t="s">
        <v>78</v>
      </c>
      <c r="E1033" s="107" t="s">
        <v>3223</v>
      </c>
      <c r="G1033" s="69">
        <v>26160</v>
      </c>
      <c r="T1033" s="69"/>
      <c r="U1033" s="69"/>
      <c r="AR1033" s="94">
        <f t="shared" si="87"/>
        <v>26160</v>
      </c>
      <c r="AS1033" s="69">
        <v>23352</v>
      </c>
      <c r="AT1033" s="69">
        <v>2808</v>
      </c>
      <c r="BC1033" s="69"/>
      <c r="BD1033" s="69"/>
      <c r="CC1033" s="94">
        <f t="shared" si="99"/>
        <v>26160</v>
      </c>
      <c r="CD1033" s="73">
        <f t="shared" si="93"/>
        <v>0</v>
      </c>
      <c r="CE1033" s="75">
        <f t="shared" si="100"/>
        <v>3686</v>
      </c>
      <c r="CF1033" s="69" t="str">
        <f t="shared" si="100"/>
        <v>برنامج دولى</v>
      </c>
    </row>
    <row r="1034" spans="2:84" x14ac:dyDescent="0.25">
      <c r="B1034" s="82">
        <v>6104</v>
      </c>
      <c r="C1034" s="78">
        <v>3687</v>
      </c>
      <c r="D1034" s="69" t="s">
        <v>78</v>
      </c>
      <c r="E1034" s="107" t="s">
        <v>3223</v>
      </c>
      <c r="G1034" s="69">
        <v>900.37</v>
      </c>
      <c r="T1034" s="69"/>
      <c r="U1034" s="69"/>
      <c r="AR1034" s="94">
        <f t="shared" si="87"/>
        <v>900.37</v>
      </c>
      <c r="AS1034" s="69">
        <v>804.57</v>
      </c>
      <c r="AT1034" s="69">
        <v>95.2</v>
      </c>
      <c r="AU1034" s="69">
        <v>0.6</v>
      </c>
      <c r="BC1034" s="69"/>
      <c r="BD1034" s="69"/>
      <c r="CC1034" s="94">
        <f t="shared" si="99"/>
        <v>900.37000000000012</v>
      </c>
      <c r="CD1034" s="73">
        <f t="shared" si="93"/>
        <v>0</v>
      </c>
      <c r="CE1034" s="75">
        <f t="shared" si="100"/>
        <v>3687</v>
      </c>
      <c r="CF1034" s="69" t="str">
        <f t="shared" si="100"/>
        <v>برنامج دولى</v>
      </c>
    </row>
    <row r="1035" spans="2:84" x14ac:dyDescent="0.25">
      <c r="B1035" s="82">
        <v>6103</v>
      </c>
      <c r="C1035" s="78">
        <v>3688</v>
      </c>
      <c r="D1035" s="69" t="s">
        <v>78</v>
      </c>
      <c r="E1035" s="107" t="s">
        <v>3223</v>
      </c>
      <c r="G1035" s="69">
        <v>1582.86</v>
      </c>
      <c r="T1035" s="69"/>
      <c r="U1035" s="69"/>
      <c r="AR1035" s="94">
        <f t="shared" si="87"/>
        <v>1582.86</v>
      </c>
      <c r="AS1035" s="69">
        <v>1060.0999999999999</v>
      </c>
      <c r="AT1035" s="69">
        <v>141.4</v>
      </c>
      <c r="AU1035" s="69">
        <v>381.36</v>
      </c>
      <c r="BC1035" s="69"/>
      <c r="BD1035" s="69"/>
      <c r="CC1035" s="94">
        <f t="shared" si="99"/>
        <v>1582.8600000000001</v>
      </c>
      <c r="CD1035" s="73">
        <f t="shared" si="93"/>
        <v>0</v>
      </c>
      <c r="CE1035" s="75">
        <f t="shared" si="100"/>
        <v>3688</v>
      </c>
      <c r="CF1035" s="69" t="str">
        <f t="shared" si="100"/>
        <v>برنامج دولى</v>
      </c>
    </row>
    <row r="1036" spans="2:84" x14ac:dyDescent="0.25">
      <c r="B1036" s="82">
        <v>6102</v>
      </c>
      <c r="C1036" s="78">
        <v>3689</v>
      </c>
      <c r="D1036" s="69" t="s">
        <v>78</v>
      </c>
      <c r="E1036" s="107" t="s">
        <v>3223</v>
      </c>
      <c r="G1036" s="69">
        <v>4200</v>
      </c>
      <c r="T1036" s="69"/>
      <c r="U1036" s="69"/>
      <c r="AR1036" s="94">
        <f t="shared" si="87"/>
        <v>4200</v>
      </c>
      <c r="AS1036" s="69">
        <v>3748.85</v>
      </c>
      <c r="AT1036" s="69">
        <v>451.15</v>
      </c>
      <c r="BC1036" s="69"/>
      <c r="BD1036" s="69"/>
      <c r="CC1036" s="94">
        <f t="shared" si="99"/>
        <v>4200</v>
      </c>
      <c r="CD1036" s="73">
        <f t="shared" si="93"/>
        <v>0</v>
      </c>
      <c r="CE1036" s="75">
        <f t="shared" si="100"/>
        <v>3689</v>
      </c>
      <c r="CF1036" s="69" t="str">
        <f t="shared" si="100"/>
        <v>برنامج دولى</v>
      </c>
    </row>
    <row r="1037" spans="2:84" x14ac:dyDescent="0.25">
      <c r="B1037" s="82">
        <v>6105</v>
      </c>
      <c r="C1037" s="78">
        <v>3690</v>
      </c>
      <c r="D1037" s="69" t="s">
        <v>78</v>
      </c>
      <c r="E1037" s="107" t="s">
        <v>3223</v>
      </c>
      <c r="G1037" s="69">
        <v>4396.88</v>
      </c>
      <c r="T1037" s="69"/>
      <c r="U1037" s="69"/>
      <c r="AR1037" s="94">
        <f t="shared" si="87"/>
        <v>4396.88</v>
      </c>
      <c r="AS1037" s="69">
        <v>2940.25</v>
      </c>
      <c r="AT1037" s="69">
        <f>22.25+375</f>
        <v>397.25</v>
      </c>
      <c r="AU1037" s="69">
        <v>1059.3800000000001</v>
      </c>
      <c r="BC1037" s="69"/>
      <c r="BD1037" s="69"/>
      <c r="CC1037" s="94">
        <f t="shared" si="99"/>
        <v>4396.88</v>
      </c>
      <c r="CD1037" s="73">
        <f t="shared" si="93"/>
        <v>0</v>
      </c>
      <c r="CE1037" s="75">
        <f t="shared" si="100"/>
        <v>3690</v>
      </c>
      <c r="CF1037" s="69" t="str">
        <f t="shared" si="100"/>
        <v>برنامج دولى</v>
      </c>
    </row>
    <row r="1038" spans="2:84" x14ac:dyDescent="0.25">
      <c r="B1038" s="82">
        <v>6105</v>
      </c>
      <c r="C1038" s="78">
        <v>3691</v>
      </c>
      <c r="D1038" s="69" t="s">
        <v>78</v>
      </c>
      <c r="E1038" s="107" t="str">
        <f>+E1030</f>
        <v>عب تدريس فرقه خامسه</v>
      </c>
      <c r="G1038" s="69">
        <v>3600</v>
      </c>
      <c r="T1038" s="69"/>
      <c r="U1038" s="69"/>
      <c r="AR1038" s="94">
        <f t="shared" si="87"/>
        <v>3600</v>
      </c>
      <c r="AS1038" s="69">
        <v>3213.7</v>
      </c>
      <c r="AT1038" s="69">
        <v>386.3</v>
      </c>
      <c r="BC1038" s="69"/>
      <c r="BD1038" s="69"/>
      <c r="CC1038" s="94">
        <f t="shared" si="99"/>
        <v>3600</v>
      </c>
      <c r="CD1038" s="73">
        <f t="shared" si="93"/>
        <v>0</v>
      </c>
      <c r="CE1038" s="75">
        <f t="shared" si="100"/>
        <v>3691</v>
      </c>
      <c r="CF1038" s="69" t="str">
        <f t="shared" si="100"/>
        <v>برنامج دولى</v>
      </c>
    </row>
    <row r="1039" spans="2:84" x14ac:dyDescent="0.25">
      <c r="B1039" s="82">
        <v>6098</v>
      </c>
      <c r="C1039" s="78">
        <v>3692</v>
      </c>
      <c r="D1039" s="69" t="s">
        <v>78</v>
      </c>
      <c r="E1039" s="107" t="s">
        <v>1010</v>
      </c>
      <c r="G1039" s="69">
        <v>856.58</v>
      </c>
      <c r="T1039" s="69"/>
      <c r="U1039" s="69"/>
      <c r="AR1039" s="94">
        <f t="shared" si="87"/>
        <v>856.58</v>
      </c>
      <c r="AS1039" s="69">
        <v>694.6</v>
      </c>
      <c r="AT1039" s="69">
        <v>85.7</v>
      </c>
      <c r="AU1039" s="69">
        <v>76.28</v>
      </c>
      <c r="BC1039" s="69"/>
      <c r="BD1039" s="69"/>
      <c r="CC1039" s="94">
        <f t="shared" si="99"/>
        <v>856.58</v>
      </c>
      <c r="CD1039" s="73">
        <f t="shared" si="93"/>
        <v>0</v>
      </c>
      <c r="CE1039" s="75">
        <f t="shared" si="100"/>
        <v>3692</v>
      </c>
      <c r="CF1039" s="69" t="str">
        <f t="shared" si="100"/>
        <v>برنامج دولى</v>
      </c>
    </row>
    <row r="1040" spans="2:84" x14ac:dyDescent="0.25">
      <c r="B1040" s="82">
        <v>6100</v>
      </c>
      <c r="C1040" s="78">
        <v>3693</v>
      </c>
      <c r="D1040" s="69" t="s">
        <v>78</v>
      </c>
      <c r="E1040" s="107" t="s">
        <v>1010</v>
      </c>
      <c r="G1040" s="69">
        <v>1620</v>
      </c>
      <c r="T1040" s="69"/>
      <c r="U1040" s="69"/>
      <c r="AR1040" s="94">
        <f t="shared" si="87"/>
        <v>1620</v>
      </c>
      <c r="AS1040" s="69">
        <v>1446.2</v>
      </c>
      <c r="AT1040" s="69">
        <v>173.8</v>
      </c>
      <c r="BC1040" s="69"/>
      <c r="BD1040" s="69"/>
      <c r="CC1040" s="94">
        <f t="shared" si="99"/>
        <v>1620</v>
      </c>
      <c r="CD1040" s="73">
        <f t="shared" si="93"/>
        <v>0</v>
      </c>
      <c r="CE1040" s="75">
        <f t="shared" si="100"/>
        <v>3693</v>
      </c>
      <c r="CF1040" s="69" t="str">
        <f t="shared" si="100"/>
        <v>برنامج دولى</v>
      </c>
    </row>
    <row r="1041" spans="2:84" x14ac:dyDescent="0.25">
      <c r="B1041" s="82">
        <v>6099</v>
      </c>
      <c r="C1041" s="78">
        <v>3694</v>
      </c>
      <c r="D1041" s="69" t="s">
        <v>78</v>
      </c>
      <c r="E1041" s="107" t="s">
        <v>1010</v>
      </c>
      <c r="G1041" s="69">
        <v>9273.26</v>
      </c>
      <c r="T1041" s="69"/>
      <c r="U1041" s="69"/>
      <c r="AR1041" s="94">
        <f t="shared" si="87"/>
        <v>9273.26</v>
      </c>
      <c r="AS1041" s="69">
        <v>7793.8</v>
      </c>
      <c r="AT1041" s="69">
        <v>958.25</v>
      </c>
      <c r="AU1041" s="69">
        <v>521.21</v>
      </c>
      <c r="BC1041" s="69"/>
      <c r="BD1041" s="69"/>
      <c r="CC1041" s="94">
        <f t="shared" si="99"/>
        <v>9273.2599999999984</v>
      </c>
      <c r="CD1041" s="73">
        <f t="shared" si="93"/>
        <v>0</v>
      </c>
      <c r="CE1041" s="75">
        <f t="shared" si="100"/>
        <v>3694</v>
      </c>
      <c r="CF1041" s="69" t="str">
        <f t="shared" si="100"/>
        <v>برنامج دولى</v>
      </c>
    </row>
    <row r="1042" spans="2:84" x14ac:dyDescent="0.25">
      <c r="B1042" s="82">
        <v>6095</v>
      </c>
      <c r="C1042" s="78">
        <v>3695</v>
      </c>
      <c r="D1042" s="69" t="s">
        <v>78</v>
      </c>
      <c r="E1042" s="107" t="s">
        <v>1010</v>
      </c>
      <c r="G1042" s="69">
        <v>32143.119999999999</v>
      </c>
      <c r="T1042" s="69"/>
      <c r="U1042" s="69"/>
      <c r="AR1042" s="94">
        <f t="shared" si="87"/>
        <v>32143.119999999999</v>
      </c>
      <c r="AS1042" s="69">
        <v>27920.39</v>
      </c>
      <c r="AT1042" s="69">
        <v>3390.6</v>
      </c>
      <c r="AU1042" s="69">
        <v>832.13</v>
      </c>
      <c r="BC1042" s="69"/>
      <c r="BD1042" s="69"/>
      <c r="CC1042" s="94">
        <f t="shared" si="99"/>
        <v>32143.119999999999</v>
      </c>
      <c r="CD1042" s="73">
        <f t="shared" si="93"/>
        <v>0</v>
      </c>
      <c r="CE1042" s="75">
        <f t="shared" si="100"/>
        <v>3695</v>
      </c>
      <c r="CF1042" s="69" t="str">
        <f t="shared" si="100"/>
        <v>برنامج دولى</v>
      </c>
    </row>
    <row r="1043" spans="2:84" x14ac:dyDescent="0.25">
      <c r="B1043" s="82">
        <v>6097</v>
      </c>
      <c r="C1043" s="78">
        <v>3696</v>
      </c>
      <c r="D1043" s="69" t="s">
        <v>78</v>
      </c>
      <c r="E1043" s="107" t="s">
        <v>1010</v>
      </c>
      <c r="G1043" s="69">
        <v>4858.3900000000003</v>
      </c>
      <c r="T1043" s="69"/>
      <c r="U1043" s="69"/>
      <c r="AR1043" s="94">
        <f t="shared" si="87"/>
        <v>4858.3900000000003</v>
      </c>
      <c r="AS1043" s="69">
        <v>3927.45</v>
      </c>
      <c r="AT1043" s="69">
        <v>491.4</v>
      </c>
      <c r="AU1043" s="69">
        <v>439.54</v>
      </c>
      <c r="BC1043" s="69"/>
      <c r="BD1043" s="69"/>
      <c r="CC1043" s="94">
        <f t="shared" si="99"/>
        <v>4858.3899999999994</v>
      </c>
      <c r="CD1043" s="73">
        <f t="shared" si="93"/>
        <v>0</v>
      </c>
      <c r="CE1043" s="75">
        <f t="shared" si="100"/>
        <v>3696</v>
      </c>
      <c r="CF1043" s="69" t="str">
        <f t="shared" si="100"/>
        <v>برنامج دولى</v>
      </c>
    </row>
    <row r="1044" spans="2:84" x14ac:dyDescent="0.25">
      <c r="B1044" s="82">
        <v>6094</v>
      </c>
      <c r="C1044" s="78">
        <v>3697</v>
      </c>
      <c r="D1044" s="69" t="s">
        <v>78</v>
      </c>
      <c r="E1044" s="107" t="s">
        <v>1010</v>
      </c>
      <c r="G1044" s="69">
        <v>11880</v>
      </c>
      <c r="T1044" s="69"/>
      <c r="U1044" s="69"/>
      <c r="AR1044" s="94">
        <f t="shared" si="87"/>
        <v>11880</v>
      </c>
      <c r="AS1044" s="69">
        <v>10605.35</v>
      </c>
      <c r="AT1044" s="69">
        <v>1274.6500000000001</v>
      </c>
      <c r="BC1044" s="69"/>
      <c r="BD1044" s="69"/>
      <c r="CC1044" s="94">
        <f t="shared" si="99"/>
        <v>11880</v>
      </c>
      <c r="CD1044" s="73">
        <f t="shared" si="93"/>
        <v>0</v>
      </c>
      <c r="CE1044" s="75">
        <f t="shared" si="100"/>
        <v>3697</v>
      </c>
      <c r="CF1044" s="69" t="str">
        <f t="shared" si="100"/>
        <v>برنامج دولى</v>
      </c>
    </row>
    <row r="1045" spans="2:84" x14ac:dyDescent="0.25">
      <c r="B1045" s="82">
        <v>6089</v>
      </c>
      <c r="C1045" s="78">
        <v>3698</v>
      </c>
      <c r="D1045" s="69" t="s">
        <v>78</v>
      </c>
      <c r="E1045" s="107" t="s">
        <v>3928</v>
      </c>
      <c r="G1045" s="69">
        <v>68200</v>
      </c>
      <c r="T1045" s="69"/>
      <c r="U1045" s="69"/>
      <c r="AR1045" s="94">
        <f t="shared" si="87"/>
        <v>68200</v>
      </c>
      <c r="AS1045" s="69">
        <v>60858.3</v>
      </c>
      <c r="AT1045" s="69">
        <v>7341.7</v>
      </c>
      <c r="BC1045" s="69"/>
      <c r="BD1045" s="69"/>
      <c r="CC1045" s="94">
        <f t="shared" si="99"/>
        <v>68200</v>
      </c>
      <c r="CD1045" s="73">
        <f t="shared" si="93"/>
        <v>0</v>
      </c>
      <c r="CE1045" s="75">
        <f t="shared" si="100"/>
        <v>3698</v>
      </c>
      <c r="CF1045" s="69" t="str">
        <f t="shared" si="100"/>
        <v>برنامج دولى</v>
      </c>
    </row>
    <row r="1046" spans="2:84" x14ac:dyDescent="0.25">
      <c r="B1046" s="82">
        <v>6092</v>
      </c>
      <c r="C1046" s="78">
        <v>3699</v>
      </c>
      <c r="D1046" s="69" t="s">
        <v>78</v>
      </c>
      <c r="E1046" s="107" t="s">
        <v>3928</v>
      </c>
      <c r="G1046" s="69">
        <v>7881.83</v>
      </c>
      <c r="T1046" s="69"/>
      <c r="U1046" s="69"/>
      <c r="AR1046" s="94">
        <f t="shared" si="87"/>
        <v>7881.83</v>
      </c>
      <c r="AS1046" s="69">
        <v>6729</v>
      </c>
      <c r="AT1046" s="69">
        <v>822.3</v>
      </c>
      <c r="AU1046" s="69">
        <v>330.53</v>
      </c>
      <c r="BC1046" s="69"/>
      <c r="BD1046" s="69"/>
      <c r="CC1046" s="94">
        <f t="shared" si="99"/>
        <v>7881.83</v>
      </c>
      <c r="CD1046" s="73">
        <f t="shared" si="93"/>
        <v>0</v>
      </c>
      <c r="CE1046" s="75">
        <f t="shared" si="100"/>
        <v>3699</v>
      </c>
      <c r="CF1046" s="69" t="str">
        <f t="shared" si="100"/>
        <v>برنامج دولى</v>
      </c>
    </row>
    <row r="1047" spans="2:84" x14ac:dyDescent="0.25">
      <c r="B1047" s="82">
        <v>6093</v>
      </c>
      <c r="C1047" s="78">
        <v>3700</v>
      </c>
      <c r="D1047" s="69" t="s">
        <v>78</v>
      </c>
      <c r="E1047" s="107" t="s">
        <v>3928</v>
      </c>
      <c r="G1047" s="69">
        <v>2216.04</v>
      </c>
      <c r="T1047" s="69"/>
      <c r="U1047" s="69"/>
      <c r="AR1047" s="94">
        <f t="shared" si="87"/>
        <v>2216.04</v>
      </c>
      <c r="AS1047" s="69">
        <v>1483.25</v>
      </c>
      <c r="AT1047" s="69">
        <v>198.85</v>
      </c>
      <c r="AU1047" s="69">
        <v>533.94000000000005</v>
      </c>
      <c r="BC1047" s="69"/>
      <c r="BD1047" s="69"/>
      <c r="CC1047" s="94">
        <f t="shared" si="99"/>
        <v>2216.04</v>
      </c>
      <c r="CD1047" s="73">
        <f t="shared" si="93"/>
        <v>0</v>
      </c>
      <c r="CE1047" s="75">
        <f t="shared" si="100"/>
        <v>3700</v>
      </c>
      <c r="CF1047" s="69" t="str">
        <f t="shared" si="100"/>
        <v>برنامج دولى</v>
      </c>
    </row>
    <row r="1048" spans="2:84" x14ac:dyDescent="0.25">
      <c r="B1048" s="82">
        <v>6091</v>
      </c>
      <c r="C1048" s="78">
        <v>3701</v>
      </c>
      <c r="D1048" s="69" t="s">
        <v>78</v>
      </c>
      <c r="E1048" s="107" t="s">
        <v>3928</v>
      </c>
      <c r="G1048" s="69">
        <v>27346.58</v>
      </c>
      <c r="T1048" s="69"/>
      <c r="U1048" s="69"/>
      <c r="AR1048" s="94">
        <f t="shared" si="87"/>
        <v>27346.58</v>
      </c>
      <c r="AS1048" s="69">
        <v>24343.05</v>
      </c>
      <c r="AT1048" s="69">
        <v>2927.25</v>
      </c>
      <c r="AU1048" s="69">
        <v>76.28</v>
      </c>
      <c r="BC1048" s="69"/>
      <c r="BD1048" s="69"/>
      <c r="CC1048" s="94">
        <f t="shared" si="99"/>
        <v>27346.579999999998</v>
      </c>
      <c r="CD1048" s="73">
        <f t="shared" si="93"/>
        <v>0</v>
      </c>
      <c r="CE1048" s="75">
        <f t="shared" si="100"/>
        <v>3701</v>
      </c>
      <c r="CF1048" s="69" t="str">
        <f t="shared" si="100"/>
        <v>برنامج دولى</v>
      </c>
    </row>
    <row r="1049" spans="2:84" x14ac:dyDescent="0.25">
      <c r="B1049" s="82">
        <v>6090</v>
      </c>
      <c r="C1049" s="78">
        <v>3702</v>
      </c>
      <c r="D1049" s="69" t="s">
        <v>78</v>
      </c>
      <c r="E1049" s="107" t="s">
        <v>3928</v>
      </c>
      <c r="G1049" s="69">
        <v>1055.25</v>
      </c>
      <c r="T1049" s="69"/>
      <c r="U1049" s="69"/>
      <c r="AR1049" s="94">
        <f t="shared" si="87"/>
        <v>1055.25</v>
      </c>
      <c r="AS1049" s="69">
        <v>705.7</v>
      </c>
      <c r="AT1049" s="69">
        <f>90+5.3</f>
        <v>95.3</v>
      </c>
      <c r="AU1049" s="69">
        <v>254.25</v>
      </c>
      <c r="BC1049" s="69"/>
      <c r="BD1049" s="69"/>
      <c r="CC1049" s="94">
        <f t="shared" si="99"/>
        <v>1055.25</v>
      </c>
      <c r="CD1049" s="73">
        <f t="shared" si="93"/>
        <v>0</v>
      </c>
      <c r="CE1049" s="75">
        <f t="shared" si="100"/>
        <v>3702</v>
      </c>
      <c r="CF1049" s="69" t="str">
        <f t="shared" si="100"/>
        <v>برنامج دولى</v>
      </c>
    </row>
    <row r="1050" spans="2:84" x14ac:dyDescent="0.25">
      <c r="B1050" s="82">
        <v>6088</v>
      </c>
      <c r="C1050" s="78">
        <v>3703</v>
      </c>
      <c r="D1050" s="69" t="s">
        <v>78</v>
      </c>
      <c r="E1050" s="107" t="s">
        <v>3929</v>
      </c>
      <c r="G1050" s="69">
        <v>4377.45</v>
      </c>
      <c r="T1050" s="69"/>
      <c r="U1050" s="69"/>
      <c r="AR1050" s="94">
        <f t="shared" si="87"/>
        <v>4377.45</v>
      </c>
      <c r="AS1050" s="69">
        <v>3800.85</v>
      </c>
      <c r="AT1050" s="69">
        <v>457.95</v>
      </c>
      <c r="AU1050" s="69">
        <v>118.65</v>
      </c>
      <c r="BC1050" s="69"/>
      <c r="BD1050" s="69"/>
      <c r="CC1050" s="94">
        <f t="shared" si="99"/>
        <v>4377.45</v>
      </c>
      <c r="CD1050" s="73">
        <f t="shared" si="93"/>
        <v>0</v>
      </c>
      <c r="CE1050" s="75">
        <f t="shared" si="100"/>
        <v>3703</v>
      </c>
      <c r="CF1050" s="69" t="str">
        <f t="shared" si="100"/>
        <v>برنامج دولى</v>
      </c>
    </row>
    <row r="1051" spans="2:84" x14ac:dyDescent="0.25">
      <c r="B1051" s="82">
        <v>6087</v>
      </c>
      <c r="C1051" s="78">
        <v>3704</v>
      </c>
      <c r="D1051" s="69" t="s">
        <v>78</v>
      </c>
      <c r="E1051" s="107" t="s">
        <v>3929</v>
      </c>
      <c r="G1051" s="69">
        <v>420</v>
      </c>
      <c r="T1051" s="69"/>
      <c r="U1051" s="69"/>
      <c r="AR1051" s="94">
        <f t="shared" si="87"/>
        <v>420</v>
      </c>
      <c r="AS1051" s="69">
        <v>375.55</v>
      </c>
      <c r="AT1051" s="69">
        <v>44.45</v>
      </c>
      <c r="BC1051" s="69"/>
      <c r="BD1051" s="69"/>
      <c r="CC1051" s="94">
        <f t="shared" si="99"/>
        <v>420</v>
      </c>
      <c r="CD1051" s="73">
        <f t="shared" si="93"/>
        <v>0</v>
      </c>
      <c r="CE1051" s="75">
        <f t="shared" ref="CE1051:CF1141" si="101">+C1051</f>
        <v>3704</v>
      </c>
      <c r="CF1051" s="69" t="str">
        <f t="shared" si="101"/>
        <v>برنامج دولى</v>
      </c>
    </row>
    <row r="1052" spans="2:84" x14ac:dyDescent="0.25">
      <c r="B1052" s="82">
        <v>6611</v>
      </c>
      <c r="C1052" s="78">
        <v>3705</v>
      </c>
      <c r="D1052" s="69" t="s">
        <v>78</v>
      </c>
      <c r="E1052" s="107" t="s">
        <v>3930</v>
      </c>
      <c r="G1052" s="69">
        <v>10552.5</v>
      </c>
      <c r="T1052" s="69"/>
      <c r="U1052" s="69"/>
      <c r="AR1052" s="94">
        <f t="shared" si="87"/>
        <v>10552.5</v>
      </c>
      <c r="AS1052" s="69">
        <v>7043.55</v>
      </c>
      <c r="AT1052" s="69">
        <f>66.45+900</f>
        <v>966.45</v>
      </c>
      <c r="AU1052" s="69">
        <v>2542.5</v>
      </c>
      <c r="BC1052" s="69"/>
      <c r="BD1052" s="69"/>
      <c r="CC1052" s="94">
        <f t="shared" si="99"/>
        <v>10552.5</v>
      </c>
      <c r="CD1052" s="73">
        <f t="shared" si="93"/>
        <v>0</v>
      </c>
      <c r="CE1052" s="75">
        <f t="shared" si="101"/>
        <v>3705</v>
      </c>
      <c r="CF1052" s="69" t="str">
        <f t="shared" si="101"/>
        <v>برنامج دولى</v>
      </c>
    </row>
    <row r="1053" spans="2:84" x14ac:dyDescent="0.25">
      <c r="B1053" s="82">
        <v>6612</v>
      </c>
      <c r="C1053" s="78">
        <v>3706</v>
      </c>
      <c r="D1053" s="69" t="s">
        <v>78</v>
      </c>
      <c r="E1053" s="107" t="s">
        <v>3930</v>
      </c>
      <c r="G1053" s="69">
        <v>41817.51</v>
      </c>
      <c r="T1053" s="69"/>
      <c r="U1053" s="69"/>
      <c r="AR1053" s="94">
        <f t="shared" si="87"/>
        <v>41817.51</v>
      </c>
      <c r="AS1053" s="69">
        <v>29442.47</v>
      </c>
      <c r="AT1053" s="69">
        <v>3912.3</v>
      </c>
      <c r="AU1053" s="69">
        <v>8462.74</v>
      </c>
      <c r="BC1053" s="69"/>
      <c r="BD1053" s="69"/>
      <c r="CC1053" s="94">
        <f t="shared" si="99"/>
        <v>41817.51</v>
      </c>
      <c r="CD1053" s="73">
        <f t="shared" si="93"/>
        <v>0</v>
      </c>
      <c r="CE1053" s="75">
        <f t="shared" si="101"/>
        <v>3706</v>
      </c>
      <c r="CF1053" s="69" t="str">
        <f t="shared" si="101"/>
        <v>برنامج دولى</v>
      </c>
    </row>
    <row r="1054" spans="2:84" x14ac:dyDescent="0.25">
      <c r="B1054" s="82">
        <v>6613</v>
      </c>
      <c r="C1054" s="78">
        <v>3707</v>
      </c>
      <c r="D1054" s="69" t="s">
        <v>78</v>
      </c>
      <c r="E1054" s="107" t="s">
        <v>3930</v>
      </c>
      <c r="G1054" s="69">
        <v>87112.69</v>
      </c>
      <c r="T1054" s="69"/>
      <c r="U1054" s="69"/>
      <c r="AR1054" s="94">
        <f t="shared" si="87"/>
        <v>87112.69</v>
      </c>
      <c r="AS1054" s="69">
        <v>58976.92</v>
      </c>
      <c r="AT1054" s="69">
        <v>7971.5</v>
      </c>
      <c r="AU1054" s="69">
        <v>20164.27</v>
      </c>
      <c r="BC1054" s="69"/>
      <c r="BD1054" s="69"/>
      <c r="CC1054" s="94">
        <f t="shared" si="99"/>
        <v>87112.69</v>
      </c>
      <c r="CD1054" s="73">
        <f t="shared" si="93"/>
        <v>0</v>
      </c>
      <c r="CE1054" s="75">
        <f t="shared" si="101"/>
        <v>3707</v>
      </c>
      <c r="CF1054" s="69" t="str">
        <f t="shared" si="101"/>
        <v>برنامج دولى</v>
      </c>
    </row>
    <row r="1055" spans="2:84" x14ac:dyDescent="0.25">
      <c r="B1055" s="82">
        <v>6614</v>
      </c>
      <c r="C1055" s="78">
        <v>3708</v>
      </c>
      <c r="D1055" s="69" t="s">
        <v>78</v>
      </c>
      <c r="E1055" s="107" t="s">
        <v>3930</v>
      </c>
      <c r="G1055" s="69">
        <v>22628.9</v>
      </c>
      <c r="T1055" s="69"/>
      <c r="U1055" s="69"/>
      <c r="AR1055" s="94">
        <f t="shared" si="87"/>
        <v>22628.9</v>
      </c>
      <c r="AS1055" s="69">
        <v>15326.5</v>
      </c>
      <c r="AT1055" s="69">
        <v>2069.08</v>
      </c>
      <c r="AU1055" s="69">
        <v>5233.32</v>
      </c>
      <c r="BC1055" s="69"/>
      <c r="BD1055" s="69"/>
      <c r="CC1055" s="94">
        <f t="shared" si="99"/>
        <v>22628.9</v>
      </c>
      <c r="CD1055" s="73">
        <f t="shared" si="93"/>
        <v>0</v>
      </c>
      <c r="CE1055" s="75">
        <f t="shared" si="101"/>
        <v>3708</v>
      </c>
      <c r="CF1055" s="69" t="str">
        <f t="shared" si="101"/>
        <v>برنامج دولى</v>
      </c>
    </row>
    <row r="1056" spans="2:84" x14ac:dyDescent="0.25">
      <c r="B1056" s="82">
        <v>6615</v>
      </c>
      <c r="C1056" s="78">
        <v>3709</v>
      </c>
      <c r="D1056" s="69" t="s">
        <v>78</v>
      </c>
      <c r="E1056" s="107" t="s">
        <v>3930</v>
      </c>
      <c r="G1056" s="69">
        <v>3517.5</v>
      </c>
      <c r="T1056" s="69"/>
      <c r="U1056" s="69"/>
      <c r="AR1056" s="94">
        <f t="shared" si="87"/>
        <v>3517.5</v>
      </c>
      <c r="AS1056" s="69">
        <v>2350.35</v>
      </c>
      <c r="AT1056" s="69">
        <v>319.64999999999998</v>
      </c>
      <c r="AU1056" s="69">
        <v>847.5</v>
      </c>
      <c r="BC1056" s="69"/>
      <c r="BD1056" s="69"/>
      <c r="CC1056" s="94">
        <f t="shared" si="99"/>
        <v>3517.5</v>
      </c>
      <c r="CD1056" s="73">
        <f t="shared" si="93"/>
        <v>0</v>
      </c>
      <c r="CE1056" s="75">
        <f t="shared" si="101"/>
        <v>3709</v>
      </c>
      <c r="CF1056" s="69" t="str">
        <f t="shared" si="101"/>
        <v>برنامج دولى</v>
      </c>
    </row>
    <row r="1057" spans="2:84" x14ac:dyDescent="0.25">
      <c r="B1057" s="82">
        <v>6616</v>
      </c>
      <c r="C1057" s="78">
        <v>3710</v>
      </c>
      <c r="D1057" s="69" t="s">
        <v>78</v>
      </c>
      <c r="E1057" s="107" t="s">
        <v>3930</v>
      </c>
      <c r="G1057" s="69">
        <v>3517.5</v>
      </c>
      <c r="T1057" s="69"/>
      <c r="U1057" s="69"/>
      <c r="AR1057" s="94">
        <f t="shared" si="87"/>
        <v>3517.5</v>
      </c>
      <c r="AS1057" s="69">
        <v>2350.35</v>
      </c>
      <c r="AT1057" s="69">
        <v>319.64999999999998</v>
      </c>
      <c r="AU1057" s="69">
        <v>847.5</v>
      </c>
      <c r="BC1057" s="69"/>
      <c r="BD1057" s="69"/>
      <c r="CC1057" s="94">
        <f t="shared" si="99"/>
        <v>3517.5</v>
      </c>
      <c r="CD1057" s="73">
        <f t="shared" si="93"/>
        <v>0</v>
      </c>
      <c r="CE1057" s="75">
        <f t="shared" si="101"/>
        <v>3710</v>
      </c>
      <c r="CF1057" s="69" t="str">
        <f t="shared" si="101"/>
        <v>برنامج دولى</v>
      </c>
    </row>
    <row r="1058" spans="2:84" x14ac:dyDescent="0.25">
      <c r="B1058" s="82">
        <v>6617</v>
      </c>
      <c r="C1058" s="78">
        <v>3711</v>
      </c>
      <c r="D1058" s="69" t="s">
        <v>78</v>
      </c>
      <c r="E1058" s="107" t="s">
        <v>3930</v>
      </c>
      <c r="G1058" s="69">
        <v>3517.5</v>
      </c>
      <c r="T1058" s="69"/>
      <c r="U1058" s="69"/>
      <c r="AR1058" s="94">
        <f t="shared" si="87"/>
        <v>3517.5</v>
      </c>
      <c r="AS1058" s="69">
        <v>2350.35</v>
      </c>
      <c r="AT1058" s="69">
        <v>319.64999999999998</v>
      </c>
      <c r="AU1058" s="69">
        <v>847.5</v>
      </c>
      <c r="BC1058" s="69"/>
      <c r="BD1058" s="69"/>
      <c r="CC1058" s="94">
        <f t="shared" si="99"/>
        <v>3517.5</v>
      </c>
      <c r="CD1058" s="73">
        <f t="shared" si="93"/>
        <v>0</v>
      </c>
      <c r="CE1058" s="75">
        <f t="shared" si="101"/>
        <v>3711</v>
      </c>
      <c r="CF1058" s="69" t="str">
        <f t="shared" si="101"/>
        <v>برنامج دولى</v>
      </c>
    </row>
    <row r="1059" spans="2:84" x14ac:dyDescent="0.25">
      <c r="B1059" s="82">
        <v>6618</v>
      </c>
      <c r="C1059" s="78">
        <v>3712</v>
      </c>
      <c r="D1059" s="69" t="s">
        <v>78</v>
      </c>
      <c r="E1059" s="107" t="s">
        <v>3930</v>
      </c>
      <c r="G1059" s="69">
        <v>586.25</v>
      </c>
      <c r="T1059" s="69"/>
      <c r="U1059" s="69"/>
      <c r="AR1059" s="94">
        <f t="shared" si="87"/>
        <v>586.25</v>
      </c>
      <c r="AS1059" s="69">
        <v>392.4</v>
      </c>
      <c r="AT1059" s="69">
        <v>52.6</v>
      </c>
      <c r="AU1059" s="69">
        <v>141.25</v>
      </c>
      <c r="BC1059" s="69"/>
      <c r="BD1059" s="69"/>
      <c r="CC1059" s="94">
        <f t="shared" si="99"/>
        <v>586.25</v>
      </c>
      <c r="CD1059" s="73">
        <f t="shared" si="93"/>
        <v>0</v>
      </c>
      <c r="CE1059" s="75">
        <f t="shared" si="101"/>
        <v>3712</v>
      </c>
      <c r="CF1059" s="69" t="str">
        <f t="shared" si="101"/>
        <v>برنامج دولى</v>
      </c>
    </row>
    <row r="1060" spans="2:84" x14ac:dyDescent="0.25">
      <c r="B1060" s="82">
        <v>6610</v>
      </c>
      <c r="C1060" s="78">
        <v>3713</v>
      </c>
      <c r="D1060" s="69" t="s">
        <v>78</v>
      </c>
      <c r="E1060" s="107" t="s">
        <v>3930</v>
      </c>
      <c r="G1060" s="69">
        <v>6000</v>
      </c>
      <c r="T1060" s="69"/>
      <c r="U1060" s="69"/>
      <c r="AR1060" s="94">
        <f t="shared" si="87"/>
        <v>6000</v>
      </c>
      <c r="AS1060" s="69">
        <v>5355.7</v>
      </c>
      <c r="AT1060" s="69">
        <v>644.29999999999995</v>
      </c>
      <c r="BC1060" s="69"/>
      <c r="BD1060" s="69"/>
      <c r="CC1060" s="94">
        <f t="shared" si="99"/>
        <v>6000</v>
      </c>
      <c r="CD1060" s="73">
        <f t="shared" si="93"/>
        <v>0</v>
      </c>
      <c r="CE1060" s="75">
        <f t="shared" si="101"/>
        <v>3713</v>
      </c>
      <c r="CF1060" s="69" t="str">
        <f t="shared" si="101"/>
        <v>برنامج دولى</v>
      </c>
    </row>
    <row r="1061" spans="2:84" x14ac:dyDescent="0.25">
      <c r="B1061" s="82">
        <v>6442</v>
      </c>
      <c r="C1061" s="78">
        <v>3714</v>
      </c>
      <c r="D1061" s="69" t="s">
        <v>78</v>
      </c>
      <c r="E1061" s="107" t="s">
        <v>1209</v>
      </c>
      <c r="G1061" s="69">
        <v>351.75</v>
      </c>
      <c r="T1061" s="69"/>
      <c r="U1061" s="69"/>
      <c r="AR1061" s="94">
        <f t="shared" si="87"/>
        <v>351.75</v>
      </c>
      <c r="AS1061" s="69">
        <v>235.55</v>
      </c>
      <c r="AT1061" s="69">
        <v>31.45</v>
      </c>
      <c r="AU1061" s="69">
        <v>84.75</v>
      </c>
      <c r="BC1061" s="69"/>
      <c r="BD1061" s="69"/>
      <c r="CC1061" s="94">
        <f t="shared" si="99"/>
        <v>351.75</v>
      </c>
      <c r="CD1061" s="73">
        <f t="shared" si="93"/>
        <v>0</v>
      </c>
      <c r="CE1061" s="75">
        <f t="shared" si="101"/>
        <v>3714</v>
      </c>
      <c r="CF1061" s="69" t="str">
        <f t="shared" si="101"/>
        <v>برنامج دولى</v>
      </c>
    </row>
    <row r="1062" spans="2:84" x14ac:dyDescent="0.25">
      <c r="B1062" s="82">
        <v>6443</v>
      </c>
      <c r="C1062" s="78">
        <v>3715</v>
      </c>
      <c r="D1062" s="69" t="s">
        <v>78</v>
      </c>
      <c r="E1062" s="107" t="s">
        <v>3931</v>
      </c>
      <c r="G1062" s="69">
        <v>175.88</v>
      </c>
      <c r="T1062" s="69"/>
      <c r="U1062" s="69"/>
      <c r="AR1062" s="94">
        <f t="shared" si="87"/>
        <v>175.88</v>
      </c>
      <c r="AS1062" s="69">
        <v>118</v>
      </c>
      <c r="AT1062" s="69">
        <v>15.5</v>
      </c>
      <c r="AU1062" s="69">
        <v>42.38</v>
      </c>
      <c r="BC1062" s="69"/>
      <c r="BD1062" s="69"/>
      <c r="CC1062" s="94">
        <f t="shared" si="99"/>
        <v>175.88</v>
      </c>
      <c r="CD1062" s="73">
        <f t="shared" si="93"/>
        <v>0</v>
      </c>
      <c r="CE1062" s="75">
        <f t="shared" si="101"/>
        <v>3715</v>
      </c>
      <c r="CF1062" s="69" t="str">
        <f t="shared" si="101"/>
        <v>برنامج دولى</v>
      </c>
    </row>
    <row r="1063" spans="2:84" x14ac:dyDescent="0.25">
      <c r="B1063" s="82">
        <v>6418</v>
      </c>
      <c r="C1063" s="78">
        <v>3716</v>
      </c>
      <c r="D1063" s="69" t="s">
        <v>78</v>
      </c>
      <c r="E1063" s="107" t="s">
        <v>3613</v>
      </c>
      <c r="G1063" s="69">
        <v>4993.91</v>
      </c>
      <c r="T1063" s="69"/>
      <c r="U1063" s="69"/>
      <c r="AR1063" s="94">
        <f t="shared" si="87"/>
        <v>4993.91</v>
      </c>
      <c r="AS1063" s="69">
        <v>3337.07</v>
      </c>
      <c r="AT1063" s="69">
        <v>453.62</v>
      </c>
      <c r="AU1063" s="69">
        <v>1203.22</v>
      </c>
      <c r="BC1063" s="69"/>
      <c r="BD1063" s="69"/>
      <c r="CC1063" s="94">
        <f t="shared" si="99"/>
        <v>4993.91</v>
      </c>
      <c r="CD1063" s="73">
        <f t="shared" si="93"/>
        <v>0</v>
      </c>
      <c r="CE1063" s="75">
        <f t="shared" si="101"/>
        <v>3716</v>
      </c>
      <c r="CF1063" s="69" t="str">
        <f t="shared" si="101"/>
        <v>برنامج دولى</v>
      </c>
    </row>
    <row r="1064" spans="2:84" x14ac:dyDescent="0.25">
      <c r="B1064" s="82">
        <v>6419</v>
      </c>
      <c r="C1064" s="78">
        <v>3717</v>
      </c>
      <c r="D1064" s="69" t="s">
        <v>78</v>
      </c>
      <c r="E1064" s="107" t="s">
        <v>3613</v>
      </c>
      <c r="G1064" s="69">
        <v>3993</v>
      </c>
      <c r="T1064" s="69"/>
      <c r="U1064" s="69"/>
      <c r="AR1064" s="94">
        <f t="shared" si="87"/>
        <v>3993</v>
      </c>
      <c r="AS1064" s="69">
        <v>3564.1</v>
      </c>
      <c r="AT1064" s="69">
        <v>428.9</v>
      </c>
      <c r="BC1064" s="69"/>
      <c r="BD1064" s="69"/>
      <c r="CC1064" s="94">
        <f t="shared" si="99"/>
        <v>3993</v>
      </c>
      <c r="CD1064" s="73">
        <f t="shared" si="93"/>
        <v>0</v>
      </c>
      <c r="CE1064" s="75">
        <f t="shared" si="101"/>
        <v>3717</v>
      </c>
      <c r="CF1064" s="69" t="str">
        <f t="shared" si="101"/>
        <v>برنامج دولى</v>
      </c>
    </row>
    <row r="1065" spans="2:84" x14ac:dyDescent="0.25">
      <c r="B1065" s="82">
        <v>6421</v>
      </c>
      <c r="C1065" s="78">
        <v>3718</v>
      </c>
      <c r="D1065" s="69" t="s">
        <v>78</v>
      </c>
      <c r="E1065" s="107" t="s">
        <v>3613</v>
      </c>
      <c r="G1065" s="69">
        <v>9955.8799999999992</v>
      </c>
      <c r="T1065" s="69"/>
      <c r="U1065" s="69"/>
      <c r="AR1065" s="94">
        <f t="shared" si="87"/>
        <v>9955.8799999999992</v>
      </c>
      <c r="AS1065" s="69">
        <v>8881.0400000000009</v>
      </c>
      <c r="AT1065" s="69">
        <v>1074.8399999999999</v>
      </c>
      <c r="BC1065" s="69"/>
      <c r="BD1065" s="69"/>
      <c r="CC1065" s="94">
        <f t="shared" si="99"/>
        <v>9955.880000000001</v>
      </c>
      <c r="CD1065" s="73">
        <f t="shared" si="93"/>
        <v>0</v>
      </c>
      <c r="CE1065" s="75">
        <f t="shared" si="101"/>
        <v>3718</v>
      </c>
      <c r="CF1065" s="69" t="str">
        <f t="shared" si="101"/>
        <v>برنامج دولى</v>
      </c>
    </row>
    <row r="1066" spans="2:84" x14ac:dyDescent="0.25">
      <c r="B1066" s="82">
        <v>6422</v>
      </c>
      <c r="C1066" s="78">
        <v>3719</v>
      </c>
      <c r="D1066" s="69" t="s">
        <v>78</v>
      </c>
      <c r="E1066" s="107" t="s">
        <v>3932</v>
      </c>
      <c r="G1066" s="69">
        <v>11179.56</v>
      </c>
      <c r="T1066" s="69"/>
      <c r="U1066" s="69"/>
      <c r="AR1066" s="94">
        <f t="shared" si="87"/>
        <v>11179.56</v>
      </c>
      <c r="AS1066" s="69">
        <v>7469.89</v>
      </c>
      <c r="AT1066" s="69">
        <f>62.6+953.48</f>
        <v>1016.08</v>
      </c>
      <c r="AU1066" s="69">
        <v>2693.59</v>
      </c>
      <c r="BC1066" s="69"/>
      <c r="BD1066" s="69"/>
      <c r="CC1066" s="94">
        <f t="shared" si="99"/>
        <v>11179.560000000001</v>
      </c>
      <c r="CD1066" s="73">
        <f t="shared" si="93"/>
        <v>0</v>
      </c>
      <c r="CE1066" s="75">
        <f t="shared" si="101"/>
        <v>3719</v>
      </c>
      <c r="CF1066" s="69" t="str">
        <f t="shared" si="101"/>
        <v>برنامج دولى</v>
      </c>
    </row>
    <row r="1067" spans="2:84" x14ac:dyDescent="0.25">
      <c r="B1067" s="82">
        <v>6136</v>
      </c>
      <c r="C1067" s="78">
        <v>3720</v>
      </c>
      <c r="D1067" s="69" t="s">
        <v>78</v>
      </c>
      <c r="E1067" s="107" t="s">
        <v>1004</v>
      </c>
      <c r="G1067" s="69">
        <v>2281.12</v>
      </c>
      <c r="T1067" s="69"/>
      <c r="U1067" s="69"/>
      <c r="AR1067" s="94">
        <f t="shared" si="87"/>
        <v>2281.12</v>
      </c>
      <c r="AS1067" s="69">
        <v>1761.1</v>
      </c>
      <c r="AT1067" s="69">
        <v>223.4</v>
      </c>
      <c r="AU1067" s="69">
        <v>296.62</v>
      </c>
      <c r="BC1067" s="69"/>
      <c r="BD1067" s="69"/>
      <c r="CC1067" s="94">
        <f t="shared" si="99"/>
        <v>2281.12</v>
      </c>
      <c r="CD1067" s="73">
        <f t="shared" si="93"/>
        <v>0</v>
      </c>
      <c r="CE1067" s="75">
        <f t="shared" si="101"/>
        <v>3720</v>
      </c>
      <c r="CF1067" s="69" t="str">
        <f t="shared" si="101"/>
        <v>برنامج دولى</v>
      </c>
    </row>
    <row r="1068" spans="2:84" x14ac:dyDescent="0.25">
      <c r="B1068" s="82">
        <v>6135</v>
      </c>
      <c r="C1068" s="78">
        <v>3721</v>
      </c>
      <c r="D1068" s="69" t="s">
        <v>78</v>
      </c>
      <c r="E1068" s="107" t="s">
        <v>1004</v>
      </c>
      <c r="G1068" s="69">
        <v>4890</v>
      </c>
      <c r="T1068" s="69"/>
      <c r="U1068" s="69"/>
      <c r="AR1068" s="94">
        <f t="shared" si="87"/>
        <v>4890</v>
      </c>
      <c r="AS1068" s="69">
        <v>4365.05</v>
      </c>
      <c r="AT1068" s="69">
        <v>524.95000000000005</v>
      </c>
      <c r="BC1068" s="69"/>
      <c r="BD1068" s="69"/>
      <c r="CC1068" s="94">
        <f t="shared" si="99"/>
        <v>4890</v>
      </c>
      <c r="CD1068" s="73">
        <f t="shared" ref="CD1068:CD1158" si="102">+CC1068-AR1068</f>
        <v>0</v>
      </c>
      <c r="CE1068" s="75">
        <f t="shared" si="101"/>
        <v>3721</v>
      </c>
      <c r="CF1068" s="69" t="str">
        <f t="shared" si="101"/>
        <v>برنامج دولى</v>
      </c>
    </row>
    <row r="1069" spans="2:84" x14ac:dyDescent="0.25">
      <c r="B1069" s="82">
        <v>6448</v>
      </c>
      <c r="C1069" s="78">
        <v>3722</v>
      </c>
      <c r="D1069" s="69" t="s">
        <v>78</v>
      </c>
      <c r="E1069" s="107" t="s">
        <v>1929</v>
      </c>
      <c r="G1069" s="69">
        <v>2430</v>
      </c>
      <c r="T1069" s="69"/>
      <c r="U1069" s="69"/>
      <c r="AR1069" s="94">
        <f t="shared" si="87"/>
        <v>2430</v>
      </c>
      <c r="AS1069" s="69">
        <v>2169.15</v>
      </c>
      <c r="AT1069" s="69">
        <v>260.85000000000002</v>
      </c>
      <c r="BC1069" s="69"/>
      <c r="BD1069" s="69"/>
      <c r="CC1069" s="94">
        <f t="shared" si="99"/>
        <v>2430</v>
      </c>
      <c r="CD1069" s="73">
        <f t="shared" si="102"/>
        <v>0</v>
      </c>
      <c r="CE1069" s="75">
        <f t="shared" si="101"/>
        <v>3722</v>
      </c>
      <c r="CF1069" s="69" t="str">
        <f t="shared" si="101"/>
        <v>برنامج دولى</v>
      </c>
    </row>
    <row r="1070" spans="2:84" x14ac:dyDescent="0.25">
      <c r="B1070" s="82">
        <v>6134</v>
      </c>
      <c r="C1070" s="78">
        <v>3723</v>
      </c>
      <c r="D1070" s="69" t="s">
        <v>78</v>
      </c>
      <c r="E1070" s="107" t="str">
        <f>+E1067</f>
        <v>عب تدريس باطنه</v>
      </c>
      <c r="G1070" s="69">
        <v>3720</v>
      </c>
      <c r="T1070" s="69"/>
      <c r="U1070" s="69"/>
      <c r="AR1070" s="94">
        <f t="shared" si="87"/>
        <v>3720</v>
      </c>
      <c r="AS1070" s="69">
        <v>3321.2</v>
      </c>
      <c r="AT1070" s="69">
        <v>398.8</v>
      </c>
      <c r="BC1070" s="69"/>
      <c r="BD1070" s="69"/>
      <c r="CC1070" s="94">
        <f t="shared" si="99"/>
        <v>3720</v>
      </c>
      <c r="CD1070" s="73">
        <f t="shared" si="102"/>
        <v>0</v>
      </c>
      <c r="CE1070" s="75">
        <f t="shared" si="101"/>
        <v>3723</v>
      </c>
      <c r="CF1070" s="69" t="str">
        <f t="shared" si="101"/>
        <v>برنامج دولى</v>
      </c>
    </row>
    <row r="1071" spans="2:84" x14ac:dyDescent="0.25">
      <c r="B1071" s="82">
        <v>6146</v>
      </c>
      <c r="C1071" s="78">
        <v>3724</v>
      </c>
      <c r="D1071" s="69" t="s">
        <v>78</v>
      </c>
      <c r="E1071" s="107" t="str">
        <f>+E1069</f>
        <v>عب تدريس جراحه</v>
      </c>
      <c r="G1071" s="69">
        <v>1266.3</v>
      </c>
      <c r="T1071" s="69"/>
      <c r="U1071" s="69"/>
      <c r="AR1071" s="94">
        <f t="shared" si="87"/>
        <v>1266.3</v>
      </c>
      <c r="AS1071" s="69">
        <v>846.35</v>
      </c>
      <c r="AT1071" s="69">
        <f>6.85+108</f>
        <v>114.85</v>
      </c>
      <c r="AU1071" s="69">
        <f>419.95-AT1071</f>
        <v>305.10000000000002</v>
      </c>
      <c r="BC1071" s="69"/>
      <c r="BD1071" s="69"/>
      <c r="CC1071" s="94">
        <f t="shared" si="99"/>
        <v>1266.3000000000002</v>
      </c>
      <c r="CD1071" s="73">
        <f t="shared" si="102"/>
        <v>0</v>
      </c>
      <c r="CE1071" s="75">
        <f t="shared" si="101"/>
        <v>3724</v>
      </c>
      <c r="CF1071" s="69" t="str">
        <f t="shared" si="101"/>
        <v>برنامج دولى</v>
      </c>
    </row>
    <row r="1072" spans="2:84" x14ac:dyDescent="0.25">
      <c r="B1072" s="82">
        <v>6145</v>
      </c>
      <c r="C1072" s="78">
        <v>3725</v>
      </c>
      <c r="D1072" s="69" t="s">
        <v>78</v>
      </c>
      <c r="E1072" s="107" t="str">
        <f>+E1070</f>
        <v>عب تدريس باطنه</v>
      </c>
      <c r="G1072" s="69">
        <v>2970</v>
      </c>
      <c r="T1072" s="69"/>
      <c r="U1072" s="69"/>
      <c r="AR1072" s="94">
        <f t="shared" si="87"/>
        <v>2970</v>
      </c>
      <c r="AS1072" s="69">
        <v>2651.45</v>
      </c>
      <c r="AT1072" s="69">
        <v>318.55</v>
      </c>
      <c r="BC1072" s="69"/>
      <c r="BD1072" s="69"/>
      <c r="CC1072" s="94">
        <f t="shared" si="99"/>
        <v>2970</v>
      </c>
      <c r="CD1072" s="73">
        <f t="shared" si="102"/>
        <v>0</v>
      </c>
      <c r="CE1072" s="75">
        <f t="shared" si="101"/>
        <v>3725</v>
      </c>
      <c r="CF1072" s="69" t="str">
        <f t="shared" si="101"/>
        <v>برنامج دولى</v>
      </c>
    </row>
    <row r="1073" spans="2:84" x14ac:dyDescent="0.25">
      <c r="B1073" s="82">
        <v>6144</v>
      </c>
      <c r="C1073" s="78">
        <v>3726</v>
      </c>
      <c r="D1073" s="69" t="s">
        <v>78</v>
      </c>
      <c r="E1073" s="107" t="str">
        <f>+E1071</f>
        <v>عب تدريس جراحه</v>
      </c>
      <c r="G1073" s="69">
        <v>630</v>
      </c>
      <c r="T1073" s="69"/>
      <c r="U1073" s="69"/>
      <c r="AR1073" s="94">
        <f t="shared" si="87"/>
        <v>630</v>
      </c>
      <c r="AS1073" s="69">
        <v>562.9</v>
      </c>
      <c r="AT1073" s="69">
        <v>67.099999999999994</v>
      </c>
      <c r="BC1073" s="69"/>
      <c r="BD1073" s="69"/>
      <c r="CC1073" s="94">
        <f t="shared" si="99"/>
        <v>630</v>
      </c>
      <c r="CD1073" s="73">
        <f t="shared" si="102"/>
        <v>0</v>
      </c>
      <c r="CE1073" s="75">
        <f t="shared" si="101"/>
        <v>3726</v>
      </c>
      <c r="CF1073" s="69" t="str">
        <f t="shared" si="101"/>
        <v>برنامج دولى</v>
      </c>
    </row>
    <row r="1074" spans="2:84" x14ac:dyDescent="0.25">
      <c r="B1074" s="82">
        <v>6143</v>
      </c>
      <c r="C1074" s="78">
        <v>3727</v>
      </c>
      <c r="D1074" s="69" t="s">
        <v>78</v>
      </c>
      <c r="E1074" s="107" t="str">
        <f>+E1073</f>
        <v>عب تدريس جراحه</v>
      </c>
      <c r="G1074" s="69">
        <v>9497.25</v>
      </c>
      <c r="T1074" s="69"/>
      <c r="U1074" s="69"/>
      <c r="AR1074" s="94">
        <f t="shared" si="87"/>
        <v>9497.25</v>
      </c>
      <c r="AS1074" s="69">
        <v>6346.95</v>
      </c>
      <c r="AT1074" s="69">
        <f>52.05+810</f>
        <v>862.05</v>
      </c>
      <c r="AU1074" s="69">
        <f>3150.3-AT1074</f>
        <v>2288.25</v>
      </c>
      <c r="BC1074" s="69"/>
      <c r="BD1074" s="69"/>
      <c r="CC1074" s="94">
        <f t="shared" si="99"/>
        <v>9497.25</v>
      </c>
      <c r="CD1074" s="73">
        <f t="shared" si="102"/>
        <v>0</v>
      </c>
      <c r="CE1074" s="75">
        <f t="shared" si="101"/>
        <v>3727</v>
      </c>
      <c r="CF1074" s="69" t="str">
        <f t="shared" si="101"/>
        <v>برنامج دولى</v>
      </c>
    </row>
    <row r="1075" spans="2:84" x14ac:dyDescent="0.25">
      <c r="B1075" s="82">
        <v>6142</v>
      </c>
      <c r="C1075" s="78">
        <v>3728</v>
      </c>
      <c r="D1075" s="69" t="s">
        <v>78</v>
      </c>
      <c r="E1075" s="107" t="str">
        <f>+E1074</f>
        <v>عب تدريس جراحه</v>
      </c>
      <c r="G1075" s="69">
        <v>7323.81</v>
      </c>
      <c r="T1075" s="69"/>
      <c r="U1075" s="69"/>
      <c r="AR1075" s="94">
        <f t="shared" si="87"/>
        <v>7323.81</v>
      </c>
      <c r="AS1075" s="69">
        <v>6486.39</v>
      </c>
      <c r="AT1075" s="69">
        <v>782.05</v>
      </c>
      <c r="AU1075" s="69">
        <v>55.37</v>
      </c>
      <c r="BC1075" s="69"/>
      <c r="BD1075" s="69"/>
      <c r="CC1075" s="94">
        <f t="shared" si="99"/>
        <v>7323.81</v>
      </c>
      <c r="CD1075" s="73">
        <f t="shared" si="102"/>
        <v>0</v>
      </c>
      <c r="CE1075" s="75">
        <f t="shared" si="101"/>
        <v>3728</v>
      </c>
      <c r="CF1075" s="69" t="str">
        <f t="shared" si="101"/>
        <v>برنامج دولى</v>
      </c>
    </row>
    <row r="1076" spans="2:84" x14ac:dyDescent="0.25">
      <c r="B1076" s="82">
        <v>6141</v>
      </c>
      <c r="C1076" s="78">
        <v>3729</v>
      </c>
      <c r="D1076" s="69" t="s">
        <v>78</v>
      </c>
      <c r="E1076" s="107" t="str">
        <f>+E1075</f>
        <v>عب تدريس جراحه</v>
      </c>
      <c r="G1076" s="69">
        <v>7110</v>
      </c>
      <c r="T1076" s="69"/>
      <c r="U1076" s="69"/>
      <c r="AR1076" s="94">
        <f t="shared" si="87"/>
        <v>7110</v>
      </c>
      <c r="AS1076" s="69">
        <v>6346.75</v>
      </c>
      <c r="AT1076" s="69">
        <v>763.25</v>
      </c>
      <c r="BC1076" s="69"/>
      <c r="BD1076" s="69"/>
      <c r="CC1076" s="94">
        <f t="shared" si="99"/>
        <v>7110</v>
      </c>
      <c r="CD1076" s="73">
        <f t="shared" si="102"/>
        <v>0</v>
      </c>
      <c r="CE1076" s="75">
        <f t="shared" si="101"/>
        <v>3729</v>
      </c>
      <c r="CF1076" s="69" t="str">
        <f t="shared" si="101"/>
        <v>برنامج دولى</v>
      </c>
    </row>
    <row r="1077" spans="2:84" x14ac:dyDescent="0.25">
      <c r="B1077" s="82">
        <v>6129</v>
      </c>
      <c r="C1077" s="78">
        <v>3730</v>
      </c>
      <c r="D1077" s="69" t="s">
        <v>78</v>
      </c>
      <c r="E1077" s="107" t="str">
        <f>+E1068</f>
        <v>عب تدريس باطنه</v>
      </c>
      <c r="G1077" s="69">
        <v>3178.73</v>
      </c>
      <c r="T1077" s="69"/>
      <c r="U1077" s="69"/>
      <c r="AR1077" s="94">
        <f t="shared" si="87"/>
        <v>3178.73</v>
      </c>
      <c r="AS1077" s="69">
        <v>2519.75</v>
      </c>
      <c r="AT1077" s="69">
        <v>317.14999999999998</v>
      </c>
      <c r="AU1077" s="69">
        <v>341.83</v>
      </c>
      <c r="BC1077" s="69"/>
      <c r="BD1077" s="69"/>
      <c r="CC1077" s="94">
        <f t="shared" si="99"/>
        <v>3178.73</v>
      </c>
      <c r="CD1077" s="73">
        <f t="shared" si="102"/>
        <v>0</v>
      </c>
      <c r="CE1077" s="75">
        <f t="shared" si="101"/>
        <v>3730</v>
      </c>
      <c r="CF1077" s="69" t="str">
        <f t="shared" si="101"/>
        <v>برنامج دولى</v>
      </c>
    </row>
    <row r="1078" spans="2:84" x14ac:dyDescent="0.25">
      <c r="B1078" s="82">
        <v>6128</v>
      </c>
      <c r="C1078" s="78">
        <v>3731</v>
      </c>
      <c r="D1078" s="69" t="s">
        <v>78</v>
      </c>
      <c r="E1078" s="107" t="str">
        <f>+E1077</f>
        <v>عب تدريس باطنه</v>
      </c>
      <c r="G1078" s="69">
        <v>3960</v>
      </c>
      <c r="T1078" s="69"/>
      <c r="U1078" s="69"/>
      <c r="AR1078" s="94">
        <f t="shared" si="87"/>
        <v>3960</v>
      </c>
      <c r="AS1078" s="69">
        <v>3535</v>
      </c>
      <c r="AT1078" s="69">
        <v>425</v>
      </c>
      <c r="BC1078" s="69"/>
      <c r="BD1078" s="69"/>
      <c r="CC1078" s="94">
        <f t="shared" si="99"/>
        <v>3960</v>
      </c>
      <c r="CD1078" s="73">
        <f t="shared" si="102"/>
        <v>0</v>
      </c>
      <c r="CE1078" s="75">
        <f t="shared" si="101"/>
        <v>3731</v>
      </c>
      <c r="CF1078" s="69" t="str">
        <f t="shared" si="101"/>
        <v>برنامج دولى</v>
      </c>
    </row>
    <row r="1079" spans="2:84" x14ac:dyDescent="0.25">
      <c r="B1079" s="82">
        <v>6131</v>
      </c>
      <c r="C1079" s="78">
        <v>3732</v>
      </c>
      <c r="D1079" s="69" t="s">
        <v>78</v>
      </c>
      <c r="E1079" s="107" t="str">
        <f>+E1078</f>
        <v>عب تدريس باطنه</v>
      </c>
      <c r="G1079" s="69">
        <v>1470</v>
      </c>
      <c r="T1079" s="69"/>
      <c r="U1079" s="69"/>
      <c r="AR1079" s="94">
        <f t="shared" si="87"/>
        <v>1470</v>
      </c>
      <c r="AS1079" s="69">
        <v>1312.35</v>
      </c>
      <c r="AT1079" s="69">
        <v>157.65</v>
      </c>
      <c r="BC1079" s="69"/>
      <c r="BD1079" s="69"/>
      <c r="CC1079" s="94">
        <f t="shared" si="99"/>
        <v>1470</v>
      </c>
      <c r="CD1079" s="73">
        <f t="shared" si="102"/>
        <v>0</v>
      </c>
      <c r="CE1079" s="75">
        <f t="shared" si="101"/>
        <v>3732</v>
      </c>
      <c r="CF1079" s="69" t="str">
        <f t="shared" si="101"/>
        <v>برنامج دولى</v>
      </c>
    </row>
    <row r="1080" spans="2:84" x14ac:dyDescent="0.25">
      <c r="B1080" s="82">
        <v>6130</v>
      </c>
      <c r="C1080" s="78">
        <v>3733</v>
      </c>
      <c r="D1080" s="69" t="s">
        <v>78</v>
      </c>
      <c r="E1080" s="107" t="str">
        <f>+E1079</f>
        <v>عب تدريس باطنه</v>
      </c>
      <c r="G1080" s="69">
        <v>1160.78</v>
      </c>
      <c r="T1080" s="69"/>
      <c r="U1080" s="69"/>
      <c r="AR1080" s="94">
        <f t="shared" si="87"/>
        <v>1160.78</v>
      </c>
      <c r="AS1080" s="69">
        <v>776.25</v>
      </c>
      <c r="AT1080" s="69">
        <v>104.85</v>
      </c>
      <c r="AU1080" s="69">
        <v>279.68</v>
      </c>
      <c r="BC1080" s="69"/>
      <c r="BD1080" s="69"/>
      <c r="CC1080" s="94">
        <f t="shared" si="99"/>
        <v>1160.78</v>
      </c>
      <c r="CD1080" s="73">
        <f t="shared" si="102"/>
        <v>0</v>
      </c>
      <c r="CE1080" s="75">
        <f t="shared" si="101"/>
        <v>3733</v>
      </c>
      <c r="CF1080" s="69" t="str">
        <f t="shared" si="101"/>
        <v>برنامج دولى</v>
      </c>
    </row>
    <row r="1081" spans="2:84" x14ac:dyDescent="0.25">
      <c r="B1081" s="82">
        <v>6147</v>
      </c>
      <c r="C1081" s="78">
        <v>3734</v>
      </c>
      <c r="D1081" s="69" t="s">
        <v>78</v>
      </c>
      <c r="E1081" s="107" t="s">
        <v>3933</v>
      </c>
      <c r="G1081" s="69">
        <v>28200</v>
      </c>
      <c r="T1081" s="69"/>
      <c r="U1081" s="69"/>
      <c r="AR1081" s="94">
        <f t="shared" si="87"/>
        <v>28200</v>
      </c>
      <c r="AS1081" s="69">
        <v>25178.35</v>
      </c>
      <c r="AT1081" s="69">
        <v>3021.65</v>
      </c>
      <c r="BC1081" s="69"/>
      <c r="BD1081" s="69"/>
      <c r="CC1081" s="94">
        <f t="shared" si="99"/>
        <v>28200</v>
      </c>
      <c r="CD1081" s="73">
        <f t="shared" si="102"/>
        <v>0</v>
      </c>
      <c r="CE1081" s="75">
        <f t="shared" si="101"/>
        <v>3734</v>
      </c>
      <c r="CF1081" s="69" t="str">
        <f t="shared" si="101"/>
        <v>برنامج دولى</v>
      </c>
    </row>
    <row r="1082" spans="2:84" x14ac:dyDescent="0.25">
      <c r="B1082" s="82">
        <v>6449</v>
      </c>
      <c r="C1082" s="78">
        <v>3735</v>
      </c>
      <c r="D1082" s="69" t="s">
        <v>78</v>
      </c>
      <c r="E1082" s="107" t="str">
        <f>+E1076</f>
        <v>عب تدريس جراحه</v>
      </c>
      <c r="G1082" s="69">
        <v>1890</v>
      </c>
      <c r="T1082" s="69"/>
      <c r="U1082" s="69"/>
      <c r="AR1082" s="94">
        <f t="shared" si="87"/>
        <v>1890</v>
      </c>
      <c r="AS1082" s="69">
        <v>1689.3</v>
      </c>
      <c r="AT1082" s="69">
        <v>200.7</v>
      </c>
      <c r="BC1082" s="69"/>
      <c r="BD1082" s="69"/>
      <c r="CC1082" s="94">
        <f t="shared" si="99"/>
        <v>1890</v>
      </c>
      <c r="CD1082" s="73">
        <f t="shared" si="102"/>
        <v>0</v>
      </c>
      <c r="CE1082" s="75">
        <f t="shared" si="101"/>
        <v>3735</v>
      </c>
      <c r="CF1082" s="69" t="str">
        <f t="shared" si="101"/>
        <v>برنامج دولى</v>
      </c>
    </row>
    <row r="1083" spans="2:84" x14ac:dyDescent="0.25">
      <c r="B1083" s="82">
        <v>6133</v>
      </c>
      <c r="C1083" s="78">
        <v>3736</v>
      </c>
      <c r="D1083" s="69" t="s">
        <v>78</v>
      </c>
      <c r="E1083" s="107" t="str">
        <f>+E1080</f>
        <v>عب تدريس باطنه</v>
      </c>
      <c r="G1083" s="69">
        <v>1055.25</v>
      </c>
      <c r="T1083" s="69"/>
      <c r="U1083" s="69"/>
      <c r="AR1083" s="94">
        <f t="shared" si="87"/>
        <v>1055.25</v>
      </c>
      <c r="AS1083" s="69">
        <v>705.7</v>
      </c>
      <c r="AT1083" s="69">
        <f>90+5.3</f>
        <v>95.3</v>
      </c>
      <c r="AU1083" s="69">
        <f>349.55-AT1083</f>
        <v>254.25</v>
      </c>
      <c r="BC1083" s="69"/>
      <c r="BD1083" s="69"/>
      <c r="CC1083" s="94">
        <f t="shared" si="99"/>
        <v>1055.25</v>
      </c>
      <c r="CD1083" s="73">
        <f t="shared" si="102"/>
        <v>0</v>
      </c>
      <c r="CE1083" s="75">
        <f t="shared" si="101"/>
        <v>3736</v>
      </c>
      <c r="CF1083" s="69" t="str">
        <f t="shared" si="101"/>
        <v>برنامج دولى</v>
      </c>
    </row>
    <row r="1084" spans="2:84" x14ac:dyDescent="0.25">
      <c r="B1084" s="82">
        <v>6132</v>
      </c>
      <c r="C1084" s="78">
        <v>3737</v>
      </c>
      <c r="D1084" s="69" t="s">
        <v>78</v>
      </c>
      <c r="E1084" s="107" t="str">
        <f>+E1083</f>
        <v>عب تدريس باطنه</v>
      </c>
      <c r="G1084" s="69">
        <v>20865.75</v>
      </c>
      <c r="T1084" s="69"/>
      <c r="U1084" s="69"/>
      <c r="AR1084" s="94">
        <f t="shared" si="87"/>
        <v>20865.75</v>
      </c>
      <c r="AS1084" s="69">
        <v>17914.400000000001</v>
      </c>
      <c r="AT1084" s="69">
        <v>2188.6</v>
      </c>
      <c r="AU1084" s="69">
        <v>762.75</v>
      </c>
      <c r="BC1084" s="69"/>
      <c r="BD1084" s="69"/>
      <c r="CC1084" s="94">
        <f t="shared" si="99"/>
        <v>20865.75</v>
      </c>
      <c r="CD1084" s="73">
        <f t="shared" si="102"/>
        <v>0</v>
      </c>
      <c r="CE1084" s="75">
        <f t="shared" si="101"/>
        <v>3737</v>
      </c>
      <c r="CF1084" s="69" t="str">
        <f t="shared" si="101"/>
        <v>برنامج دولى</v>
      </c>
    </row>
    <row r="1085" spans="2:84" x14ac:dyDescent="0.25">
      <c r="B1085" s="82">
        <v>6140</v>
      </c>
      <c r="C1085" s="78">
        <v>3738</v>
      </c>
      <c r="D1085" s="69" t="s">
        <v>78</v>
      </c>
      <c r="E1085" s="107" t="str">
        <f>+E1084</f>
        <v>عب تدريس باطنه</v>
      </c>
      <c r="G1085" s="69">
        <v>3121.64</v>
      </c>
      <c r="T1085" s="69"/>
      <c r="U1085" s="69"/>
      <c r="AR1085" s="94">
        <f t="shared" si="87"/>
        <v>3121.64</v>
      </c>
      <c r="AS1085" s="69">
        <v>2144.4899999999998</v>
      </c>
      <c r="AT1085" s="69">
        <v>286.64999999999998</v>
      </c>
      <c r="AU1085" s="69">
        <v>690.5</v>
      </c>
      <c r="BC1085" s="69"/>
      <c r="BD1085" s="69"/>
      <c r="CC1085" s="94">
        <f t="shared" si="99"/>
        <v>3121.64</v>
      </c>
      <c r="CD1085" s="73">
        <f t="shared" si="102"/>
        <v>0</v>
      </c>
      <c r="CE1085" s="75">
        <f t="shared" si="101"/>
        <v>3738</v>
      </c>
      <c r="CF1085" s="69" t="str">
        <f t="shared" si="101"/>
        <v>برنامج دولى</v>
      </c>
    </row>
    <row r="1086" spans="2:84" x14ac:dyDescent="0.25">
      <c r="B1086" s="82">
        <v>6032</v>
      </c>
      <c r="C1086" s="78">
        <v>3739</v>
      </c>
      <c r="D1086" s="69" t="s">
        <v>78</v>
      </c>
      <c r="E1086" s="107" t="s">
        <v>1202</v>
      </c>
      <c r="G1086" s="69">
        <v>316.58</v>
      </c>
      <c r="T1086" s="69"/>
      <c r="U1086" s="69"/>
      <c r="AR1086" s="94">
        <f t="shared" si="87"/>
        <v>316.58</v>
      </c>
      <c r="AS1086" s="69">
        <v>212.05</v>
      </c>
      <c r="AT1086" s="69">
        <v>28.25</v>
      </c>
      <c r="AU1086" s="69">
        <v>76.28</v>
      </c>
      <c r="BC1086" s="69"/>
      <c r="BD1086" s="69"/>
      <c r="CC1086" s="94">
        <f t="shared" si="99"/>
        <v>316.58000000000004</v>
      </c>
      <c r="CD1086" s="73">
        <f t="shared" si="102"/>
        <v>0</v>
      </c>
      <c r="CE1086" s="75">
        <f t="shared" si="101"/>
        <v>3739</v>
      </c>
      <c r="CF1086" s="69" t="str">
        <f t="shared" si="101"/>
        <v>برنامج دولى</v>
      </c>
    </row>
    <row r="1087" spans="2:84" x14ac:dyDescent="0.25">
      <c r="B1087" s="82">
        <v>6030</v>
      </c>
      <c r="C1087" s="78">
        <v>3740</v>
      </c>
      <c r="D1087" s="69" t="s">
        <v>78</v>
      </c>
      <c r="E1087" s="107" t="s">
        <v>1202</v>
      </c>
      <c r="G1087" s="69">
        <v>480</v>
      </c>
      <c r="T1087" s="69"/>
      <c r="U1087" s="69"/>
      <c r="AR1087" s="94">
        <f t="shared" si="87"/>
        <v>480</v>
      </c>
      <c r="AS1087" s="69">
        <v>429.2</v>
      </c>
      <c r="AT1087" s="69">
        <v>50.8</v>
      </c>
      <c r="BC1087" s="69"/>
      <c r="BD1087" s="69"/>
      <c r="CC1087" s="94">
        <f t="shared" si="99"/>
        <v>480</v>
      </c>
      <c r="CD1087" s="73">
        <f t="shared" si="102"/>
        <v>0</v>
      </c>
      <c r="CE1087" s="75">
        <f t="shared" si="101"/>
        <v>3740</v>
      </c>
      <c r="CF1087" s="69" t="str">
        <f t="shared" si="101"/>
        <v>برنامج دولى</v>
      </c>
    </row>
    <row r="1088" spans="2:84" x14ac:dyDescent="0.25">
      <c r="B1088" s="82">
        <v>6033</v>
      </c>
      <c r="C1088" s="78">
        <v>3741</v>
      </c>
      <c r="D1088" s="69" t="s">
        <v>78</v>
      </c>
      <c r="E1088" s="107" t="s">
        <v>1202</v>
      </c>
      <c r="G1088" s="69">
        <v>1195.95</v>
      </c>
      <c r="T1088" s="69"/>
      <c r="U1088" s="69"/>
      <c r="AR1088" s="94">
        <f t="shared" si="87"/>
        <v>1195.95</v>
      </c>
      <c r="AS1088" s="69">
        <v>800.15</v>
      </c>
      <c r="AT1088" s="69">
        <v>107.65</v>
      </c>
      <c r="AU1088" s="69">
        <v>288.14999999999998</v>
      </c>
      <c r="BC1088" s="69"/>
      <c r="BD1088" s="69"/>
      <c r="CC1088" s="94">
        <f t="shared" si="99"/>
        <v>1195.9499999999998</v>
      </c>
      <c r="CD1088" s="73">
        <f t="shared" si="102"/>
        <v>0</v>
      </c>
      <c r="CE1088" s="75">
        <f t="shared" si="101"/>
        <v>3741</v>
      </c>
      <c r="CF1088" s="69" t="str">
        <f t="shared" si="101"/>
        <v>برنامج دولى</v>
      </c>
    </row>
    <row r="1089" spans="2:84" x14ac:dyDescent="0.25">
      <c r="B1089" s="82">
        <v>6031</v>
      </c>
      <c r="C1089" s="78">
        <v>3742</v>
      </c>
      <c r="D1089" s="69" t="s">
        <v>78</v>
      </c>
      <c r="E1089" s="107" t="s">
        <v>1202</v>
      </c>
      <c r="G1089" s="69">
        <v>2673.3</v>
      </c>
      <c r="T1089" s="69"/>
      <c r="U1089" s="69"/>
      <c r="AR1089" s="94">
        <f t="shared" si="87"/>
        <v>2673.3</v>
      </c>
      <c r="AS1089" s="69">
        <v>1786.65</v>
      </c>
      <c r="AT1089" s="69">
        <f>14.55+228</f>
        <v>242.55</v>
      </c>
      <c r="AU1089" s="69">
        <f>886.65-AT1089</f>
        <v>644.09999999999991</v>
      </c>
      <c r="BC1089" s="69"/>
      <c r="BD1089" s="69"/>
      <c r="CC1089" s="94">
        <f t="shared" si="99"/>
        <v>2673.3</v>
      </c>
      <c r="CD1089" s="73">
        <f t="shared" si="102"/>
        <v>0</v>
      </c>
      <c r="CE1089" s="75">
        <f t="shared" si="101"/>
        <v>3742</v>
      </c>
      <c r="CF1089" s="69" t="str">
        <f t="shared" si="101"/>
        <v>برنامج دولى</v>
      </c>
    </row>
    <row r="1090" spans="2:84" x14ac:dyDescent="0.25">
      <c r="B1090" s="82">
        <v>6035</v>
      </c>
      <c r="C1090" s="78">
        <v>3743</v>
      </c>
      <c r="D1090" s="69" t="s">
        <v>78</v>
      </c>
      <c r="E1090" s="107" t="s">
        <v>1202</v>
      </c>
      <c r="G1090" s="69">
        <v>351.75</v>
      </c>
      <c r="T1090" s="69"/>
      <c r="U1090" s="69"/>
      <c r="AR1090" s="94">
        <f t="shared" si="87"/>
        <v>351.75</v>
      </c>
      <c r="AS1090" s="69">
        <v>235.55</v>
      </c>
      <c r="AT1090" s="69">
        <v>31.45</v>
      </c>
      <c r="AU1090" s="69">
        <v>84.75</v>
      </c>
      <c r="BC1090" s="69"/>
      <c r="BD1090" s="69"/>
      <c r="CC1090" s="94">
        <f t="shared" si="99"/>
        <v>351.75</v>
      </c>
      <c r="CD1090" s="73">
        <f t="shared" si="102"/>
        <v>0</v>
      </c>
      <c r="CE1090" s="75">
        <f t="shared" si="101"/>
        <v>3743</v>
      </c>
      <c r="CF1090" s="69" t="str">
        <f t="shared" si="101"/>
        <v>برنامج دولى</v>
      </c>
    </row>
    <row r="1091" spans="2:84" x14ac:dyDescent="0.25">
      <c r="B1091" s="82"/>
      <c r="C1091" s="78">
        <v>3744</v>
      </c>
      <c r="D1091" s="69" t="s">
        <v>332</v>
      </c>
      <c r="E1091" s="107" t="s">
        <v>3934</v>
      </c>
      <c r="T1091" s="69"/>
      <c r="U1091" s="69"/>
      <c r="AR1091" s="94">
        <f t="shared" si="87"/>
        <v>0</v>
      </c>
      <c r="AS1091" s="69">
        <v>0</v>
      </c>
      <c r="AT1091" s="69">
        <v>0</v>
      </c>
      <c r="AU1091" s="69">
        <v>0</v>
      </c>
      <c r="BC1091" s="69"/>
      <c r="BD1091" s="69"/>
      <c r="CC1091" s="94">
        <f t="shared" ref="CC1091:CC1139" si="103">SUM(AS1091:CB1091)</f>
        <v>0</v>
      </c>
      <c r="CD1091" s="73">
        <f t="shared" si="102"/>
        <v>0</v>
      </c>
      <c r="CE1091" s="75">
        <f t="shared" si="101"/>
        <v>3744</v>
      </c>
      <c r="CF1091" s="69" t="str">
        <f t="shared" si="101"/>
        <v xml:space="preserve">لاب فقط </v>
      </c>
    </row>
    <row r="1092" spans="2:84" x14ac:dyDescent="0.25">
      <c r="B1092" s="82"/>
      <c r="C1092" s="78"/>
      <c r="F1092" s="69"/>
      <c r="T1092" s="69"/>
      <c r="U1092" s="69"/>
      <c r="AR1092" s="94">
        <f t="shared" si="87"/>
        <v>0</v>
      </c>
      <c r="AT1092" s="69"/>
      <c r="BC1092" s="69"/>
      <c r="BD1092" s="69"/>
      <c r="CC1092" s="94">
        <f t="shared" si="103"/>
        <v>0</v>
      </c>
      <c r="CD1092" s="73">
        <f t="shared" si="102"/>
        <v>0</v>
      </c>
      <c r="CE1092" s="75">
        <f t="shared" si="101"/>
        <v>0</v>
      </c>
      <c r="CF1092" s="69">
        <f t="shared" si="101"/>
        <v>0</v>
      </c>
    </row>
    <row r="1093" spans="2:84" x14ac:dyDescent="0.25">
      <c r="B1093" s="82">
        <v>6034</v>
      </c>
      <c r="C1093" s="78">
        <v>3746</v>
      </c>
      <c r="D1093" s="69" t="s">
        <v>78</v>
      </c>
      <c r="E1093" s="107" t="str">
        <f>+E1090</f>
        <v>عب تدريس مانشيستر</v>
      </c>
      <c r="G1093" s="69">
        <v>2580</v>
      </c>
      <c r="T1093" s="69"/>
      <c r="U1093" s="69"/>
      <c r="AR1093" s="94">
        <f t="shared" si="87"/>
        <v>2580</v>
      </c>
      <c r="AS1093" s="69">
        <v>2305.75</v>
      </c>
      <c r="AT1093" s="69">
        <v>274.25</v>
      </c>
      <c r="BC1093" s="69"/>
      <c r="BD1093" s="69"/>
      <c r="CC1093" s="94">
        <f t="shared" si="103"/>
        <v>2580</v>
      </c>
      <c r="CD1093" s="73">
        <f t="shared" si="102"/>
        <v>0</v>
      </c>
      <c r="CE1093" s="75">
        <f t="shared" si="101"/>
        <v>3746</v>
      </c>
      <c r="CF1093" s="69" t="str">
        <f t="shared" si="101"/>
        <v>برنامج دولى</v>
      </c>
    </row>
    <row r="1094" spans="2:84" x14ac:dyDescent="0.25">
      <c r="B1094" s="82">
        <v>6137</v>
      </c>
      <c r="C1094" s="78">
        <v>3747</v>
      </c>
      <c r="D1094" s="69" t="s">
        <v>78</v>
      </c>
      <c r="E1094" s="107" t="str">
        <f>+E1084</f>
        <v>عب تدريس باطنه</v>
      </c>
      <c r="G1094" s="69">
        <v>4620</v>
      </c>
      <c r="T1094" s="69"/>
      <c r="U1094" s="69"/>
      <c r="AR1094" s="94">
        <f t="shared" si="87"/>
        <v>4620</v>
      </c>
      <c r="AS1094" s="69">
        <v>4124.05</v>
      </c>
      <c r="AT1094" s="69">
        <v>495.95</v>
      </c>
      <c r="BC1094" s="69"/>
      <c r="BD1094" s="69"/>
      <c r="CC1094" s="94">
        <f t="shared" si="103"/>
        <v>4620</v>
      </c>
      <c r="CD1094" s="73">
        <f t="shared" si="102"/>
        <v>0</v>
      </c>
      <c r="CE1094" s="75">
        <f t="shared" si="101"/>
        <v>3747</v>
      </c>
      <c r="CF1094" s="69" t="str">
        <f t="shared" si="101"/>
        <v>برنامج دولى</v>
      </c>
    </row>
    <row r="1095" spans="2:84" x14ac:dyDescent="0.25">
      <c r="B1095" s="82">
        <v>6139</v>
      </c>
      <c r="C1095" s="78">
        <v>3748</v>
      </c>
      <c r="D1095" s="69" t="s">
        <v>78</v>
      </c>
      <c r="E1095" s="107" t="str">
        <f>+E1085</f>
        <v>عب تدريس باطنه</v>
      </c>
      <c r="G1095" s="69">
        <v>2700</v>
      </c>
      <c r="T1095" s="69"/>
      <c r="U1095" s="69"/>
      <c r="AR1095" s="94">
        <f t="shared" si="87"/>
        <v>2700</v>
      </c>
      <c r="AS1095" s="69">
        <v>2410.5</v>
      </c>
      <c r="AT1095" s="69">
        <v>289.5</v>
      </c>
      <c r="BC1095" s="69"/>
      <c r="BD1095" s="69"/>
      <c r="CC1095" s="94">
        <f t="shared" si="103"/>
        <v>2700</v>
      </c>
      <c r="CD1095" s="73">
        <f t="shared" si="102"/>
        <v>0</v>
      </c>
      <c r="CE1095" s="75">
        <f t="shared" si="101"/>
        <v>3748</v>
      </c>
      <c r="CF1095" s="69" t="str">
        <f t="shared" si="101"/>
        <v>برنامج دولى</v>
      </c>
    </row>
    <row r="1096" spans="2:84" x14ac:dyDescent="0.25">
      <c r="B1096" s="82">
        <v>6138</v>
      </c>
      <c r="C1096" s="78">
        <v>3749</v>
      </c>
      <c r="D1096" s="69" t="s">
        <v>78</v>
      </c>
      <c r="E1096" s="107" t="str">
        <f>+E1094</f>
        <v>عب تدريس باطنه</v>
      </c>
      <c r="G1096" s="69">
        <v>5970</v>
      </c>
      <c r="T1096" s="69"/>
      <c r="U1096" s="69"/>
      <c r="AR1096" s="94">
        <f t="shared" si="87"/>
        <v>5970</v>
      </c>
      <c r="AS1096" s="69">
        <v>5329.7</v>
      </c>
      <c r="AT1096" s="69">
        <v>640.29999999999995</v>
      </c>
      <c r="BC1096" s="69"/>
      <c r="BD1096" s="69"/>
      <c r="CC1096" s="94">
        <f t="shared" si="103"/>
        <v>5970</v>
      </c>
      <c r="CD1096" s="73">
        <f t="shared" si="102"/>
        <v>0</v>
      </c>
      <c r="CE1096" s="75">
        <f t="shared" si="101"/>
        <v>3749</v>
      </c>
      <c r="CF1096" s="69" t="str">
        <f t="shared" si="101"/>
        <v>برنامج دولى</v>
      </c>
    </row>
    <row r="1097" spans="2:84" x14ac:dyDescent="0.25">
      <c r="B1097" s="82">
        <v>6495</v>
      </c>
      <c r="C1097" s="78">
        <v>3750</v>
      </c>
      <c r="D1097" s="69" t="s">
        <v>130</v>
      </c>
      <c r="E1097" s="107" t="s">
        <v>3935</v>
      </c>
      <c r="G1097" s="69">
        <v>562.79999999999995</v>
      </c>
      <c r="T1097" s="69"/>
      <c r="U1097" s="69"/>
      <c r="AR1097" s="94">
        <f t="shared" si="87"/>
        <v>562.79999999999995</v>
      </c>
      <c r="AS1097" s="69">
        <v>325.83999999999997</v>
      </c>
      <c r="AT1097" s="69">
        <v>53.36</v>
      </c>
      <c r="AU1097" s="69">
        <v>135.6</v>
      </c>
      <c r="AV1097" s="69">
        <v>48</v>
      </c>
      <c r="BC1097" s="69"/>
      <c r="BD1097" s="69"/>
      <c r="CC1097" s="94">
        <f t="shared" si="103"/>
        <v>562.79999999999995</v>
      </c>
      <c r="CD1097" s="73">
        <f t="shared" si="102"/>
        <v>0</v>
      </c>
      <c r="CE1097" s="75">
        <f t="shared" si="101"/>
        <v>3750</v>
      </c>
      <c r="CF1097" s="69" t="str">
        <f t="shared" si="101"/>
        <v>خ ت طب</v>
      </c>
    </row>
    <row r="1098" spans="2:84" x14ac:dyDescent="0.25">
      <c r="B1098" s="82">
        <v>6494</v>
      </c>
      <c r="C1098" s="78">
        <v>3751</v>
      </c>
      <c r="D1098" s="69" t="s">
        <v>130</v>
      </c>
      <c r="E1098" s="107" t="s">
        <v>3935</v>
      </c>
      <c r="G1098" s="69">
        <v>844.2</v>
      </c>
      <c r="T1098" s="69"/>
      <c r="U1098" s="69"/>
      <c r="AR1098" s="94">
        <f t="shared" si="87"/>
        <v>844.2</v>
      </c>
      <c r="AS1098" s="69">
        <v>524.17999999999995</v>
      </c>
      <c r="AT1098" s="69">
        <v>44.62</v>
      </c>
      <c r="AU1098" s="69">
        <v>203.4</v>
      </c>
      <c r="AV1098" s="69">
        <v>72</v>
      </c>
      <c r="BC1098" s="69"/>
      <c r="BD1098" s="69"/>
      <c r="CC1098" s="94">
        <f t="shared" si="103"/>
        <v>844.19999999999993</v>
      </c>
      <c r="CD1098" s="73">
        <f t="shared" si="102"/>
        <v>0</v>
      </c>
      <c r="CE1098" s="75">
        <f t="shared" si="101"/>
        <v>3751</v>
      </c>
      <c r="CF1098" s="69" t="str">
        <f t="shared" si="101"/>
        <v>خ ت طب</v>
      </c>
    </row>
    <row r="1099" spans="2:84" x14ac:dyDescent="0.25">
      <c r="B1099" s="82">
        <v>6493</v>
      </c>
      <c r="C1099" s="78">
        <v>3752</v>
      </c>
      <c r="D1099" s="69" t="s">
        <v>130</v>
      </c>
      <c r="E1099" s="107" t="s">
        <v>3936</v>
      </c>
      <c r="G1099" s="69">
        <v>140.69999999999999</v>
      </c>
      <c r="T1099" s="69"/>
      <c r="U1099" s="69"/>
      <c r="AR1099" s="94">
        <f t="shared" si="87"/>
        <v>140.69999999999999</v>
      </c>
      <c r="AS1099" s="69">
        <v>80.28</v>
      </c>
      <c r="AT1099" s="69">
        <v>14.52</v>
      </c>
      <c r="AU1099" s="69">
        <v>33.9</v>
      </c>
      <c r="AV1099" s="69">
        <v>12</v>
      </c>
      <c r="BC1099" s="69"/>
      <c r="BD1099" s="69"/>
      <c r="CC1099" s="94">
        <f t="shared" si="103"/>
        <v>140.69999999999999</v>
      </c>
      <c r="CD1099" s="73">
        <f t="shared" si="102"/>
        <v>0</v>
      </c>
      <c r="CE1099" s="75">
        <f t="shared" si="101"/>
        <v>3752</v>
      </c>
      <c r="CF1099" s="69" t="str">
        <f t="shared" si="101"/>
        <v>خ ت طب</v>
      </c>
    </row>
    <row r="1100" spans="2:84" x14ac:dyDescent="0.25">
      <c r="B1100" s="82">
        <v>6492</v>
      </c>
      <c r="C1100" s="78">
        <v>3753</v>
      </c>
      <c r="D1100" s="69" t="s">
        <v>130</v>
      </c>
      <c r="E1100" s="107" t="str">
        <f>+E1097</f>
        <v>مكافاه اقسام مختلفه</v>
      </c>
      <c r="G1100" s="69">
        <v>422.1</v>
      </c>
      <c r="T1100" s="69"/>
      <c r="U1100" s="69"/>
      <c r="AR1100" s="94">
        <f t="shared" si="87"/>
        <v>422.1</v>
      </c>
      <c r="AS1100" s="69">
        <v>250.28</v>
      </c>
      <c r="AT1100" s="69">
        <v>34.119999999999997</v>
      </c>
      <c r="AU1100" s="69">
        <v>101.7</v>
      </c>
      <c r="AV1100" s="69">
        <v>36</v>
      </c>
      <c r="BC1100" s="69"/>
      <c r="BD1100" s="69"/>
      <c r="CC1100" s="94">
        <f t="shared" ref="CC1100:CC1127" si="104">SUM(AS1100:CB1100)</f>
        <v>422.09999999999997</v>
      </c>
      <c r="CD1100" s="73">
        <f t="shared" si="102"/>
        <v>0</v>
      </c>
      <c r="CE1100" s="75">
        <f t="shared" si="101"/>
        <v>3753</v>
      </c>
      <c r="CF1100" s="69" t="str">
        <f t="shared" si="101"/>
        <v>خ ت طب</v>
      </c>
    </row>
    <row r="1101" spans="2:84" x14ac:dyDescent="0.25">
      <c r="B1101" s="82">
        <v>6491</v>
      </c>
      <c r="C1101" s="78">
        <v>3754</v>
      </c>
      <c r="D1101" s="69" t="s">
        <v>130</v>
      </c>
      <c r="E1101" s="107" t="str">
        <f>+E1100</f>
        <v>مكافاه اقسام مختلفه</v>
      </c>
      <c r="G1101" s="69">
        <v>240</v>
      </c>
      <c r="T1101" s="69"/>
      <c r="U1101" s="69"/>
      <c r="AR1101" s="94">
        <f t="shared" si="87"/>
        <v>240</v>
      </c>
      <c r="AS1101" s="69">
        <v>193.04</v>
      </c>
      <c r="AT1101" s="69">
        <v>34.96</v>
      </c>
      <c r="AV1101" s="69">
        <v>12</v>
      </c>
      <c r="BC1101" s="69"/>
      <c r="BD1101" s="69"/>
      <c r="CC1101" s="94">
        <f t="shared" si="104"/>
        <v>240</v>
      </c>
      <c r="CD1101" s="73">
        <f t="shared" si="102"/>
        <v>0</v>
      </c>
      <c r="CE1101" s="75">
        <f t="shared" si="101"/>
        <v>3754</v>
      </c>
      <c r="CF1101" s="69" t="str">
        <f t="shared" si="101"/>
        <v>خ ت طب</v>
      </c>
    </row>
    <row r="1102" spans="2:84" x14ac:dyDescent="0.25">
      <c r="B1102" s="82">
        <v>6490</v>
      </c>
      <c r="C1102" s="78">
        <v>3755</v>
      </c>
      <c r="D1102" s="69" t="s">
        <v>130</v>
      </c>
      <c r="E1102" s="107" t="str">
        <f>+E1101</f>
        <v>مكافاه اقسام مختلفه</v>
      </c>
      <c r="G1102" s="69">
        <v>281.39999999999998</v>
      </c>
      <c r="T1102" s="69"/>
      <c r="U1102" s="69"/>
      <c r="AR1102" s="94">
        <f t="shared" si="87"/>
        <v>281.39999999999998</v>
      </c>
      <c r="AS1102" s="69">
        <v>180.8</v>
      </c>
      <c r="AT1102" s="69">
        <v>20.8</v>
      </c>
      <c r="AU1102" s="69">
        <v>67.8</v>
      </c>
      <c r="AV1102" s="69">
        <v>12</v>
      </c>
      <c r="BC1102" s="69"/>
      <c r="BD1102" s="69"/>
      <c r="CC1102" s="94">
        <f t="shared" si="104"/>
        <v>281.40000000000003</v>
      </c>
      <c r="CD1102" s="73">
        <f t="shared" si="102"/>
        <v>0</v>
      </c>
      <c r="CE1102" s="75">
        <f t="shared" si="101"/>
        <v>3755</v>
      </c>
      <c r="CF1102" s="69" t="str">
        <f t="shared" si="101"/>
        <v>خ ت طب</v>
      </c>
    </row>
    <row r="1103" spans="2:84" x14ac:dyDescent="0.25">
      <c r="B1103" s="82">
        <v>6489</v>
      </c>
      <c r="C1103" s="78">
        <v>3756</v>
      </c>
      <c r="D1103" s="69" t="s">
        <v>130</v>
      </c>
      <c r="E1103" s="107" t="str">
        <f>+E1102</f>
        <v>مكافاه اقسام مختلفه</v>
      </c>
      <c r="G1103" s="69">
        <v>3376.8</v>
      </c>
      <c r="T1103" s="69"/>
      <c r="U1103" s="69"/>
      <c r="AR1103" s="94">
        <f t="shared" si="87"/>
        <v>3376.8</v>
      </c>
      <c r="AS1103" s="69">
        <v>2002.24</v>
      </c>
      <c r="AT1103" s="69">
        <v>272.95999999999998</v>
      </c>
      <c r="AU1103" s="69">
        <v>813.6</v>
      </c>
      <c r="AV1103" s="69">
        <v>288</v>
      </c>
      <c r="BC1103" s="69"/>
      <c r="BD1103" s="69"/>
      <c r="CC1103" s="94">
        <f t="shared" si="104"/>
        <v>3376.7999999999997</v>
      </c>
      <c r="CD1103" s="73">
        <f t="shared" si="102"/>
        <v>0</v>
      </c>
      <c r="CE1103" s="75">
        <f t="shared" si="101"/>
        <v>3756</v>
      </c>
      <c r="CF1103" s="69" t="str">
        <f t="shared" si="101"/>
        <v>خ ت طب</v>
      </c>
    </row>
    <row r="1104" spans="2:84" x14ac:dyDescent="0.25">
      <c r="B1104" s="82">
        <v>6488</v>
      </c>
      <c r="C1104" s="78">
        <v>3757</v>
      </c>
      <c r="D1104" s="69" t="s">
        <v>130</v>
      </c>
      <c r="E1104" s="107" t="s">
        <v>3937</v>
      </c>
      <c r="G1104" s="69">
        <v>422.1</v>
      </c>
      <c r="T1104" s="69"/>
      <c r="U1104" s="69"/>
      <c r="AR1104" s="94">
        <f t="shared" si="87"/>
        <v>422.1</v>
      </c>
      <c r="AS1104" s="69">
        <v>245.56</v>
      </c>
      <c r="AT1104" s="69">
        <v>38.840000000000003</v>
      </c>
      <c r="AU1104" s="69">
        <v>101.7</v>
      </c>
      <c r="AV1104" s="69">
        <v>36</v>
      </c>
      <c r="BC1104" s="69"/>
      <c r="BD1104" s="69"/>
      <c r="CC1104" s="94">
        <f t="shared" si="104"/>
        <v>422.09999999999997</v>
      </c>
      <c r="CD1104" s="73">
        <f t="shared" si="102"/>
        <v>0</v>
      </c>
      <c r="CE1104" s="75">
        <f t="shared" si="101"/>
        <v>3757</v>
      </c>
      <c r="CF1104" s="69" t="str">
        <f t="shared" si="101"/>
        <v>خ ت طب</v>
      </c>
    </row>
    <row r="1105" spans="2:84" x14ac:dyDescent="0.25">
      <c r="B1105" s="82">
        <v>6487</v>
      </c>
      <c r="C1105" s="78">
        <v>3758</v>
      </c>
      <c r="D1105" s="69" t="s">
        <v>130</v>
      </c>
      <c r="E1105" s="107" t="s">
        <v>3937</v>
      </c>
      <c r="G1105" s="69">
        <v>140.69999999999999</v>
      </c>
      <c r="T1105" s="69"/>
      <c r="U1105" s="69"/>
      <c r="AR1105" s="94">
        <f t="shared" si="87"/>
        <v>140.69999999999999</v>
      </c>
      <c r="AS1105" s="69">
        <v>90.4</v>
      </c>
      <c r="AT1105" s="69">
        <v>10.4</v>
      </c>
      <c r="AU1105" s="69">
        <v>33.9</v>
      </c>
      <c r="AV1105" s="69">
        <v>6</v>
      </c>
      <c r="BC1105" s="69"/>
      <c r="BD1105" s="69"/>
      <c r="CC1105" s="94">
        <f t="shared" si="104"/>
        <v>140.70000000000002</v>
      </c>
      <c r="CD1105" s="73">
        <f t="shared" si="102"/>
        <v>0</v>
      </c>
      <c r="CE1105" s="75">
        <f t="shared" si="101"/>
        <v>3758</v>
      </c>
      <c r="CF1105" s="69" t="str">
        <f t="shared" si="101"/>
        <v>خ ت طب</v>
      </c>
    </row>
    <row r="1106" spans="2:84" x14ac:dyDescent="0.25">
      <c r="B1106" s="82">
        <v>6486</v>
      </c>
      <c r="C1106" s="78">
        <v>3759</v>
      </c>
      <c r="D1106" s="69" t="s">
        <v>130</v>
      </c>
      <c r="E1106" s="107" t="s">
        <v>3938</v>
      </c>
      <c r="G1106" s="69">
        <v>140.69999999999999</v>
      </c>
      <c r="T1106" s="69"/>
      <c r="U1106" s="69"/>
      <c r="AR1106" s="94">
        <f t="shared" si="87"/>
        <v>140.69999999999999</v>
      </c>
      <c r="AS1106" s="69">
        <v>85</v>
      </c>
      <c r="AT1106" s="69">
        <v>9.8000000000000007</v>
      </c>
      <c r="AU1106" s="69">
        <v>33.9</v>
      </c>
      <c r="AV1106" s="69">
        <v>12</v>
      </c>
      <c r="BC1106" s="69"/>
      <c r="BD1106" s="69"/>
      <c r="CC1106" s="94">
        <f t="shared" si="104"/>
        <v>140.69999999999999</v>
      </c>
      <c r="CD1106" s="73">
        <f t="shared" si="102"/>
        <v>0</v>
      </c>
      <c r="CE1106" s="75">
        <f t="shared" si="101"/>
        <v>3759</v>
      </c>
      <c r="CF1106" s="69" t="str">
        <f t="shared" si="101"/>
        <v>خ ت طب</v>
      </c>
    </row>
    <row r="1107" spans="2:84" x14ac:dyDescent="0.25">
      <c r="B1107" s="82">
        <v>6485</v>
      </c>
      <c r="C1107" s="78">
        <v>3760</v>
      </c>
      <c r="D1107" s="69" t="s">
        <v>130</v>
      </c>
      <c r="E1107" s="107" t="s">
        <v>3939</v>
      </c>
      <c r="G1107" s="69">
        <v>140.69999999999999</v>
      </c>
      <c r="T1107" s="69"/>
      <c r="U1107" s="69"/>
      <c r="AR1107" s="94">
        <f t="shared" si="87"/>
        <v>140.69999999999999</v>
      </c>
      <c r="AS1107" s="69">
        <v>80.28</v>
      </c>
      <c r="AT1107" s="69">
        <v>14.52</v>
      </c>
      <c r="AU1107" s="69">
        <v>33.9</v>
      </c>
      <c r="AV1107" s="69">
        <v>12</v>
      </c>
      <c r="BC1107" s="69"/>
      <c r="BD1107" s="69"/>
      <c r="CC1107" s="94">
        <f t="shared" si="104"/>
        <v>140.69999999999999</v>
      </c>
      <c r="CD1107" s="73">
        <f t="shared" si="102"/>
        <v>0</v>
      </c>
      <c r="CE1107" s="75">
        <f t="shared" si="101"/>
        <v>3760</v>
      </c>
      <c r="CF1107" s="69" t="str">
        <f t="shared" si="101"/>
        <v>خ ت طب</v>
      </c>
    </row>
    <row r="1108" spans="2:84" x14ac:dyDescent="0.25">
      <c r="B1108" s="82">
        <v>6483</v>
      </c>
      <c r="C1108" s="78">
        <v>3761</v>
      </c>
      <c r="D1108" s="69" t="s">
        <v>130</v>
      </c>
      <c r="E1108" s="107" t="s">
        <v>3940</v>
      </c>
      <c r="G1108" s="69">
        <v>281.39999999999998</v>
      </c>
      <c r="T1108" s="69"/>
      <c r="U1108" s="69"/>
      <c r="AR1108" s="94">
        <f t="shared" si="87"/>
        <v>281.39999999999998</v>
      </c>
      <c r="AS1108" s="69">
        <v>188.34</v>
      </c>
      <c r="AT1108" s="69">
        <v>13.26</v>
      </c>
      <c r="AU1108" s="69">
        <v>67.8</v>
      </c>
      <c r="AV1108" s="69">
        <v>12</v>
      </c>
      <c r="BC1108" s="69"/>
      <c r="BD1108" s="69"/>
      <c r="CC1108" s="94">
        <f t="shared" si="104"/>
        <v>281.39999999999998</v>
      </c>
      <c r="CD1108" s="73">
        <f t="shared" si="102"/>
        <v>0</v>
      </c>
      <c r="CE1108" s="75">
        <f t="shared" si="101"/>
        <v>3761</v>
      </c>
      <c r="CF1108" s="69" t="str">
        <f t="shared" si="101"/>
        <v>خ ت طب</v>
      </c>
    </row>
    <row r="1109" spans="2:84" x14ac:dyDescent="0.25">
      <c r="B1109" s="82">
        <v>6484</v>
      </c>
      <c r="C1109" s="78">
        <v>3762</v>
      </c>
      <c r="D1109" s="69" t="s">
        <v>130</v>
      </c>
      <c r="E1109" s="107" t="s">
        <v>3941</v>
      </c>
      <c r="G1109" s="69">
        <v>140.69999999999999</v>
      </c>
      <c r="T1109" s="69"/>
      <c r="U1109" s="69"/>
      <c r="AR1109" s="94">
        <f t="shared" si="87"/>
        <v>140.69999999999999</v>
      </c>
      <c r="AS1109" s="69">
        <v>85</v>
      </c>
      <c r="AT1109" s="69">
        <v>9.8000000000000007</v>
      </c>
      <c r="AU1109" s="69">
        <v>33.9</v>
      </c>
      <c r="AV1109" s="69">
        <v>12</v>
      </c>
      <c r="BC1109" s="69"/>
      <c r="BD1109" s="69"/>
      <c r="CC1109" s="94">
        <f t="shared" si="104"/>
        <v>140.69999999999999</v>
      </c>
      <c r="CD1109" s="73">
        <f t="shared" si="102"/>
        <v>0</v>
      </c>
      <c r="CE1109" s="75">
        <f t="shared" si="101"/>
        <v>3762</v>
      </c>
      <c r="CF1109" s="69" t="str">
        <f t="shared" si="101"/>
        <v>خ ت طب</v>
      </c>
    </row>
    <row r="1110" spans="2:84" x14ac:dyDescent="0.25">
      <c r="B1110" s="82">
        <v>6482</v>
      </c>
      <c r="C1110" s="78">
        <v>3763</v>
      </c>
      <c r="D1110" s="69" t="s">
        <v>130</v>
      </c>
      <c r="E1110" s="107" t="s">
        <v>3942</v>
      </c>
      <c r="G1110" s="69">
        <v>422.1</v>
      </c>
      <c r="T1110" s="69"/>
      <c r="U1110" s="69"/>
      <c r="AR1110" s="94">
        <f t="shared" si="87"/>
        <v>422.1</v>
      </c>
      <c r="AS1110" s="69">
        <v>250.28</v>
      </c>
      <c r="AT1110" s="69">
        <v>34.119999999999997</v>
      </c>
      <c r="AU1110" s="69">
        <v>101.7</v>
      </c>
      <c r="AV1110" s="69">
        <v>36</v>
      </c>
      <c r="BC1110" s="69"/>
      <c r="BD1110" s="69"/>
      <c r="CC1110" s="94">
        <f t="shared" si="104"/>
        <v>422.09999999999997</v>
      </c>
      <c r="CD1110" s="73">
        <f t="shared" si="102"/>
        <v>0</v>
      </c>
      <c r="CE1110" s="75">
        <f t="shared" si="101"/>
        <v>3763</v>
      </c>
      <c r="CF1110" s="69" t="str">
        <f t="shared" si="101"/>
        <v>خ ت طب</v>
      </c>
    </row>
    <row r="1111" spans="2:84" x14ac:dyDescent="0.25">
      <c r="B1111" s="82">
        <v>6481</v>
      </c>
      <c r="C1111" s="78">
        <v>3764</v>
      </c>
      <c r="D1111" s="69" t="s">
        <v>130</v>
      </c>
      <c r="E1111" s="107" t="str">
        <f>+E1102</f>
        <v>مكافاه اقسام مختلفه</v>
      </c>
      <c r="G1111" s="69">
        <v>3236.1</v>
      </c>
      <c r="T1111" s="69"/>
      <c r="U1111" s="69"/>
      <c r="AR1111" s="94">
        <f t="shared" si="87"/>
        <v>3236.1</v>
      </c>
      <c r="AS1111" s="69">
        <v>2061.35</v>
      </c>
      <c r="AT1111" s="69">
        <v>119.05</v>
      </c>
      <c r="AU1111" s="69">
        <v>779.7</v>
      </c>
      <c r="AV1111" s="69">
        <v>276</v>
      </c>
      <c r="BC1111" s="69"/>
      <c r="BD1111" s="69"/>
      <c r="CC1111" s="94">
        <f t="shared" si="104"/>
        <v>3236.1000000000004</v>
      </c>
      <c r="CD1111" s="73">
        <f t="shared" si="102"/>
        <v>0</v>
      </c>
      <c r="CE1111" s="75">
        <f t="shared" si="101"/>
        <v>3764</v>
      </c>
      <c r="CF1111" s="69" t="str">
        <f t="shared" si="101"/>
        <v>خ ت طب</v>
      </c>
    </row>
    <row r="1112" spans="2:84" x14ac:dyDescent="0.25">
      <c r="B1112" s="82">
        <v>6480</v>
      </c>
      <c r="C1112" s="78">
        <v>3765</v>
      </c>
      <c r="D1112" s="69" t="s">
        <v>130</v>
      </c>
      <c r="E1112" s="107" t="s">
        <v>3943</v>
      </c>
      <c r="G1112" s="69">
        <v>281.39999999999998</v>
      </c>
      <c r="T1112" s="69"/>
      <c r="U1112" s="69"/>
      <c r="AR1112" s="94">
        <f t="shared" si="87"/>
        <v>281.39999999999998</v>
      </c>
      <c r="AS1112" s="69">
        <v>170.76</v>
      </c>
      <c r="AT1112" s="69">
        <v>30.84</v>
      </c>
      <c r="AU1112" s="69">
        <v>67.8</v>
      </c>
      <c r="AV1112" s="69">
        <v>12</v>
      </c>
      <c r="BC1112" s="69"/>
      <c r="BD1112" s="69"/>
      <c r="CC1112" s="94">
        <f t="shared" si="104"/>
        <v>281.39999999999998</v>
      </c>
      <c r="CD1112" s="73">
        <f t="shared" si="102"/>
        <v>0</v>
      </c>
      <c r="CE1112" s="75">
        <f t="shared" si="101"/>
        <v>3765</v>
      </c>
      <c r="CF1112" s="69" t="str">
        <f t="shared" si="101"/>
        <v>خ ت طب</v>
      </c>
    </row>
    <row r="1113" spans="2:84" x14ac:dyDescent="0.25">
      <c r="B1113" s="82">
        <v>6479</v>
      </c>
      <c r="C1113" s="78">
        <v>3766</v>
      </c>
      <c r="D1113" s="69" t="s">
        <v>130</v>
      </c>
      <c r="E1113" s="107" t="str">
        <f>+E1109</f>
        <v>مكافاه قسم الهستولوجى</v>
      </c>
      <c r="G1113" s="69">
        <v>140.69999999999999</v>
      </c>
      <c r="T1113" s="69"/>
      <c r="U1113" s="69"/>
      <c r="AR1113" s="94">
        <f t="shared" si="87"/>
        <v>140.69999999999999</v>
      </c>
      <c r="AS1113" s="69">
        <v>85</v>
      </c>
      <c r="AT1113" s="69">
        <v>9.8000000000000007</v>
      </c>
      <c r="AU1113" s="69">
        <v>33.9</v>
      </c>
      <c r="AV1113" s="69">
        <v>12</v>
      </c>
      <c r="BC1113" s="69"/>
      <c r="BD1113" s="69"/>
      <c r="CC1113" s="94">
        <f t="shared" si="104"/>
        <v>140.69999999999999</v>
      </c>
      <c r="CD1113" s="73">
        <f t="shared" si="102"/>
        <v>0</v>
      </c>
      <c r="CE1113" s="75">
        <f t="shared" si="101"/>
        <v>3766</v>
      </c>
      <c r="CF1113" s="69" t="str">
        <f t="shared" si="101"/>
        <v>خ ت طب</v>
      </c>
    </row>
    <row r="1114" spans="2:84" x14ac:dyDescent="0.25">
      <c r="B1114" s="82">
        <v>6478</v>
      </c>
      <c r="C1114" s="78">
        <v>3767</v>
      </c>
      <c r="D1114" s="69" t="s">
        <v>130</v>
      </c>
      <c r="E1114" s="107" t="str">
        <f>+E1111</f>
        <v>مكافاه اقسام مختلفه</v>
      </c>
      <c r="G1114" s="69">
        <v>1829.1</v>
      </c>
      <c r="T1114" s="69"/>
      <c r="U1114" s="69"/>
      <c r="AR1114" s="94">
        <f t="shared" si="87"/>
        <v>1829.1</v>
      </c>
      <c r="AS1114" s="69">
        <v>1071.96</v>
      </c>
      <c r="AT1114" s="69">
        <v>160.44</v>
      </c>
      <c r="AU1114" s="69">
        <v>440.7</v>
      </c>
      <c r="AV1114" s="69">
        <v>156</v>
      </c>
      <c r="BC1114" s="69"/>
      <c r="BD1114" s="69"/>
      <c r="CC1114" s="94">
        <f t="shared" si="104"/>
        <v>1829.1000000000001</v>
      </c>
      <c r="CD1114" s="73">
        <f t="shared" si="102"/>
        <v>0</v>
      </c>
      <c r="CE1114" s="75">
        <f t="shared" si="101"/>
        <v>3767</v>
      </c>
      <c r="CF1114" s="69" t="str">
        <f t="shared" si="101"/>
        <v>خ ت طب</v>
      </c>
    </row>
    <row r="1115" spans="2:84" x14ac:dyDescent="0.25">
      <c r="B1115" s="82">
        <v>6477</v>
      </c>
      <c r="C1115" s="78">
        <v>3768</v>
      </c>
      <c r="D1115" s="69" t="s">
        <v>130</v>
      </c>
      <c r="E1115" s="107" t="s">
        <v>3944</v>
      </c>
      <c r="G1115" s="69">
        <v>703.5</v>
      </c>
      <c r="T1115" s="69"/>
      <c r="U1115" s="69"/>
      <c r="AR1115" s="94">
        <f t="shared" si="87"/>
        <v>703.5</v>
      </c>
      <c r="AS1115" s="69">
        <v>429.75</v>
      </c>
      <c r="AT1115" s="69">
        <v>62.25</v>
      </c>
      <c r="AU1115" s="69">
        <v>169.5</v>
      </c>
      <c r="AV1115" s="69">
        <v>42</v>
      </c>
      <c r="BC1115" s="69"/>
      <c r="BD1115" s="69"/>
      <c r="CC1115" s="94">
        <f t="shared" si="104"/>
        <v>703.5</v>
      </c>
      <c r="CD1115" s="73">
        <f t="shared" si="102"/>
        <v>0</v>
      </c>
      <c r="CE1115" s="75">
        <f t="shared" si="101"/>
        <v>3768</v>
      </c>
      <c r="CF1115" s="69" t="str">
        <f t="shared" si="101"/>
        <v>خ ت طب</v>
      </c>
    </row>
    <row r="1116" spans="2:84" x14ac:dyDescent="0.25">
      <c r="B1116" s="82">
        <v>6476</v>
      </c>
      <c r="C1116" s="78">
        <v>3769</v>
      </c>
      <c r="D1116" s="69" t="s">
        <v>130</v>
      </c>
      <c r="E1116" s="107" t="s">
        <v>3945</v>
      </c>
      <c r="G1116" s="69">
        <v>2241.56</v>
      </c>
      <c r="T1116" s="69"/>
      <c r="U1116" s="69"/>
      <c r="AR1116" s="94">
        <f t="shared" si="87"/>
        <v>2241.56</v>
      </c>
      <c r="AS1116" s="69">
        <v>1377.68</v>
      </c>
      <c r="AT1116" s="69">
        <v>132.6</v>
      </c>
      <c r="AU1116" s="69">
        <v>540.1</v>
      </c>
      <c r="AV1116" s="69">
        <v>191.18</v>
      </c>
      <c r="BC1116" s="69"/>
      <c r="BD1116" s="69"/>
      <c r="CC1116" s="94">
        <f t="shared" si="104"/>
        <v>2241.56</v>
      </c>
      <c r="CD1116" s="73">
        <f t="shared" si="102"/>
        <v>0</v>
      </c>
      <c r="CE1116" s="75">
        <f t="shared" si="101"/>
        <v>3769</v>
      </c>
      <c r="CF1116" s="69" t="str">
        <f t="shared" si="101"/>
        <v>خ ت طب</v>
      </c>
    </row>
    <row r="1117" spans="2:84" x14ac:dyDescent="0.25">
      <c r="B1117" s="82">
        <v>6475</v>
      </c>
      <c r="C1117" s="78">
        <v>3770</v>
      </c>
      <c r="D1117" s="69" t="s">
        <v>130</v>
      </c>
      <c r="E1117" s="107" t="s">
        <v>3945</v>
      </c>
      <c r="G1117" s="69">
        <v>1169.6199999999999</v>
      </c>
      <c r="T1117" s="69"/>
      <c r="U1117" s="69"/>
      <c r="AR1117" s="94">
        <f t="shared" si="87"/>
        <v>1169.6199999999999</v>
      </c>
      <c r="AS1117" s="69">
        <v>665.72</v>
      </c>
      <c r="AT1117" s="69">
        <v>122.32</v>
      </c>
      <c r="AU1117" s="69">
        <v>281.82</v>
      </c>
      <c r="AV1117" s="69">
        <v>99.76</v>
      </c>
      <c r="BC1117" s="69"/>
      <c r="BD1117" s="69"/>
      <c r="CC1117" s="94">
        <f t="shared" si="104"/>
        <v>1169.6199999999999</v>
      </c>
      <c r="CD1117" s="73">
        <f t="shared" si="102"/>
        <v>0</v>
      </c>
      <c r="CE1117" s="75">
        <f t="shared" si="101"/>
        <v>3770</v>
      </c>
      <c r="CF1117" s="69" t="str">
        <f t="shared" si="101"/>
        <v>خ ت طب</v>
      </c>
    </row>
    <row r="1118" spans="2:84" x14ac:dyDescent="0.25">
      <c r="B1118" s="82">
        <v>6474</v>
      </c>
      <c r="C1118" s="78">
        <v>3771</v>
      </c>
      <c r="D1118" s="69" t="s">
        <v>130</v>
      </c>
      <c r="E1118" s="107" t="s">
        <v>3906</v>
      </c>
      <c r="G1118" s="69">
        <v>646.84</v>
      </c>
      <c r="T1118" s="69"/>
      <c r="U1118" s="69"/>
      <c r="AR1118" s="94">
        <f t="shared" si="87"/>
        <v>646.84</v>
      </c>
      <c r="AS1118" s="69">
        <v>367.8</v>
      </c>
      <c r="AT1118" s="69">
        <v>68.010000000000005</v>
      </c>
      <c r="AU1118" s="69">
        <v>155.86000000000001</v>
      </c>
      <c r="AV1118" s="69">
        <v>55.17</v>
      </c>
      <c r="BC1118" s="69"/>
      <c r="BD1118" s="69"/>
      <c r="CC1118" s="94">
        <f t="shared" si="104"/>
        <v>646.84</v>
      </c>
      <c r="CD1118" s="73">
        <f t="shared" si="102"/>
        <v>0</v>
      </c>
      <c r="CE1118" s="75">
        <f t="shared" si="101"/>
        <v>3771</v>
      </c>
      <c r="CF1118" s="69" t="str">
        <f t="shared" si="101"/>
        <v>خ ت طب</v>
      </c>
    </row>
    <row r="1119" spans="2:84" x14ac:dyDescent="0.25">
      <c r="B1119" s="82">
        <v>6473</v>
      </c>
      <c r="C1119" s="78">
        <v>3772</v>
      </c>
      <c r="D1119" s="69" t="s">
        <v>130</v>
      </c>
      <c r="E1119" s="107" t="s">
        <v>3906</v>
      </c>
      <c r="G1119" s="69">
        <v>4394.83</v>
      </c>
      <c r="T1119" s="69"/>
      <c r="U1119" s="69"/>
      <c r="AR1119" s="94">
        <f t="shared" si="87"/>
        <v>4394.83</v>
      </c>
      <c r="AS1119" s="69">
        <v>2738.97</v>
      </c>
      <c r="AT1119" s="69">
        <v>192.22</v>
      </c>
      <c r="AU1119" s="69">
        <v>1090.78</v>
      </c>
      <c r="AV1119" s="69">
        <v>372.86</v>
      </c>
      <c r="BC1119" s="69"/>
      <c r="BD1119" s="69"/>
      <c r="CC1119" s="94">
        <f t="shared" si="104"/>
        <v>4394.829999999999</v>
      </c>
      <c r="CD1119" s="73">
        <f t="shared" si="102"/>
        <v>0</v>
      </c>
      <c r="CE1119" s="75">
        <f t="shared" si="101"/>
        <v>3772</v>
      </c>
      <c r="CF1119" s="69" t="str">
        <f t="shared" si="101"/>
        <v>خ ت طب</v>
      </c>
    </row>
    <row r="1120" spans="2:84" x14ac:dyDescent="0.25">
      <c r="B1120" s="82">
        <v>6472</v>
      </c>
      <c r="C1120" s="78">
        <v>3773</v>
      </c>
      <c r="D1120" s="69" t="s">
        <v>130</v>
      </c>
      <c r="E1120" s="107" t="s">
        <v>3906</v>
      </c>
      <c r="G1120" s="69">
        <v>4486.46</v>
      </c>
      <c r="T1120" s="69"/>
      <c r="U1120" s="69"/>
      <c r="AR1120" s="94">
        <f t="shared" si="87"/>
        <v>4486.46</v>
      </c>
      <c r="AS1120" s="69">
        <v>2526.5500000000002</v>
      </c>
      <c r="AT1120" s="69">
        <v>496.3</v>
      </c>
      <c r="AU1120" s="69">
        <v>1080.96</v>
      </c>
      <c r="AV1120" s="69">
        <v>382.65</v>
      </c>
      <c r="BC1120" s="69"/>
      <c r="BD1120" s="69"/>
      <c r="CC1120" s="94">
        <f t="shared" si="104"/>
        <v>4486.46</v>
      </c>
      <c r="CD1120" s="73">
        <f t="shared" si="102"/>
        <v>0</v>
      </c>
      <c r="CE1120" s="75">
        <f t="shared" si="101"/>
        <v>3773</v>
      </c>
      <c r="CF1120" s="69" t="str">
        <f t="shared" si="101"/>
        <v>خ ت طب</v>
      </c>
    </row>
    <row r="1121" spans="2:84" x14ac:dyDescent="0.25">
      <c r="B1121" s="82">
        <v>6471</v>
      </c>
      <c r="C1121" s="78">
        <v>3774</v>
      </c>
      <c r="D1121" s="69" t="s">
        <v>130</v>
      </c>
      <c r="E1121" s="107" t="s">
        <v>3946</v>
      </c>
      <c r="G1121" s="69">
        <v>1354.26</v>
      </c>
      <c r="T1121" s="69"/>
      <c r="U1121" s="69"/>
      <c r="AR1121" s="94">
        <f t="shared" si="87"/>
        <v>1354.26</v>
      </c>
      <c r="AS1121" s="69">
        <v>841.44</v>
      </c>
      <c r="AT1121" s="69">
        <v>71.040000000000006</v>
      </c>
      <c r="AU1121" s="69">
        <v>326.27999999999997</v>
      </c>
      <c r="AV1121" s="69">
        <v>115.5</v>
      </c>
      <c r="BC1121" s="69"/>
      <c r="BD1121" s="69"/>
      <c r="CC1121" s="94">
        <f t="shared" si="104"/>
        <v>1354.26</v>
      </c>
      <c r="CD1121" s="73">
        <f t="shared" si="102"/>
        <v>0</v>
      </c>
      <c r="CE1121" s="75">
        <f t="shared" si="101"/>
        <v>3774</v>
      </c>
      <c r="CF1121" s="69" t="str">
        <f t="shared" si="101"/>
        <v>خ ت طب</v>
      </c>
    </row>
    <row r="1122" spans="2:84" x14ac:dyDescent="0.25">
      <c r="B1122" s="82">
        <v>6470</v>
      </c>
      <c r="C1122" s="78">
        <v>3775</v>
      </c>
      <c r="D1122" s="69" t="s">
        <v>130</v>
      </c>
      <c r="E1122" s="107" t="s">
        <v>3946</v>
      </c>
      <c r="G1122" s="69">
        <v>288.44</v>
      </c>
      <c r="T1122" s="69"/>
      <c r="U1122" s="69"/>
      <c r="AR1122" s="94">
        <f t="shared" si="87"/>
        <v>288.44</v>
      </c>
      <c r="AS1122" s="69">
        <v>185.03</v>
      </c>
      <c r="AT1122" s="69">
        <v>21.61</v>
      </c>
      <c r="AU1122" s="69">
        <v>69.5</v>
      </c>
      <c r="AV1122" s="69">
        <v>12.3</v>
      </c>
      <c r="BC1122" s="69"/>
      <c r="BD1122" s="69"/>
      <c r="CC1122" s="94">
        <f t="shared" si="104"/>
        <v>288.44</v>
      </c>
      <c r="CD1122" s="73">
        <f t="shared" si="102"/>
        <v>0</v>
      </c>
      <c r="CE1122" s="75">
        <f t="shared" si="101"/>
        <v>3775</v>
      </c>
      <c r="CF1122" s="69" t="str">
        <f t="shared" si="101"/>
        <v>خ ت طب</v>
      </c>
    </row>
    <row r="1123" spans="2:84" x14ac:dyDescent="0.25">
      <c r="B1123" s="82">
        <v>6469</v>
      </c>
      <c r="C1123" s="78">
        <v>3776</v>
      </c>
      <c r="D1123" s="69" t="s">
        <v>130</v>
      </c>
      <c r="E1123" s="107" t="s">
        <v>3946</v>
      </c>
      <c r="G1123" s="69">
        <v>346.24</v>
      </c>
      <c r="T1123" s="69"/>
      <c r="U1123" s="69"/>
      <c r="AR1123" s="94">
        <f t="shared" si="87"/>
        <v>346.24</v>
      </c>
      <c r="AS1123" s="69">
        <v>208.7</v>
      </c>
      <c r="AT1123" s="69">
        <v>24.59</v>
      </c>
      <c r="AU1123" s="69">
        <v>83.42</v>
      </c>
      <c r="AV1123" s="69">
        <v>29.53</v>
      </c>
      <c r="BC1123" s="69"/>
      <c r="BD1123" s="69"/>
      <c r="CC1123" s="94">
        <f t="shared" si="104"/>
        <v>346.24</v>
      </c>
      <c r="CD1123" s="73">
        <f t="shared" si="102"/>
        <v>0</v>
      </c>
      <c r="CE1123" s="75">
        <f t="shared" si="101"/>
        <v>3776</v>
      </c>
      <c r="CF1123" s="69" t="str">
        <f t="shared" si="101"/>
        <v>خ ت طب</v>
      </c>
    </row>
    <row r="1124" spans="2:84" x14ac:dyDescent="0.25">
      <c r="B1124" s="82">
        <v>6468</v>
      </c>
      <c r="C1124" s="78">
        <v>3777</v>
      </c>
      <c r="D1124" s="69" t="s">
        <v>130</v>
      </c>
      <c r="E1124" s="107" t="s">
        <v>3946</v>
      </c>
      <c r="G1124" s="69">
        <v>340.3</v>
      </c>
      <c r="T1124" s="69"/>
      <c r="U1124" s="69"/>
      <c r="AR1124" s="94">
        <f t="shared" si="87"/>
        <v>340.3</v>
      </c>
      <c r="AS1124" s="69">
        <v>218.2</v>
      </c>
      <c r="AT1124" s="69">
        <v>25.6</v>
      </c>
      <c r="AU1124" s="69">
        <v>81.99</v>
      </c>
      <c r="AV1124" s="69">
        <v>14.51</v>
      </c>
      <c r="BC1124" s="69"/>
      <c r="BD1124" s="69"/>
      <c r="CC1124" s="94">
        <f t="shared" si="104"/>
        <v>340.29999999999995</v>
      </c>
      <c r="CD1124" s="73">
        <f t="shared" si="102"/>
        <v>0</v>
      </c>
      <c r="CE1124" s="75">
        <f t="shared" si="101"/>
        <v>3777</v>
      </c>
      <c r="CF1124" s="69" t="str">
        <f t="shared" si="101"/>
        <v>خ ت طب</v>
      </c>
    </row>
    <row r="1125" spans="2:84" x14ac:dyDescent="0.25">
      <c r="B1125" s="82">
        <v>6466</v>
      </c>
      <c r="C1125" s="78">
        <v>3778</v>
      </c>
      <c r="D1125" s="69" t="s">
        <v>130</v>
      </c>
      <c r="E1125" s="107" t="s">
        <v>496</v>
      </c>
      <c r="G1125" s="69">
        <v>777.38</v>
      </c>
      <c r="T1125" s="69"/>
      <c r="U1125" s="69"/>
      <c r="AR1125" s="94">
        <f t="shared" si="87"/>
        <v>777.38</v>
      </c>
      <c r="AS1125" s="69">
        <v>493.52</v>
      </c>
      <c r="AT1125" s="69">
        <v>30.28</v>
      </c>
      <c r="AU1125" s="69">
        <v>187.28</v>
      </c>
      <c r="AV1125" s="69">
        <v>66.3</v>
      </c>
      <c r="BC1125" s="69"/>
      <c r="BD1125" s="69"/>
      <c r="CC1125" s="94">
        <f t="shared" si="104"/>
        <v>777.37999999999988</v>
      </c>
      <c r="CD1125" s="73">
        <f t="shared" si="102"/>
        <v>0</v>
      </c>
      <c r="CE1125" s="75">
        <f t="shared" si="101"/>
        <v>3778</v>
      </c>
      <c r="CF1125" s="69" t="str">
        <f t="shared" si="101"/>
        <v>خ ت طب</v>
      </c>
    </row>
    <row r="1126" spans="2:84" x14ac:dyDescent="0.25">
      <c r="B1126" s="82">
        <v>6465</v>
      </c>
      <c r="C1126" s="78">
        <v>3779</v>
      </c>
      <c r="D1126" s="69" t="s">
        <v>130</v>
      </c>
      <c r="E1126" s="107" t="s">
        <v>496</v>
      </c>
      <c r="G1126" s="69">
        <v>892.07</v>
      </c>
      <c r="T1126" s="69"/>
      <c r="U1126" s="69"/>
      <c r="AR1126" s="94">
        <f t="shared" si="87"/>
        <v>892.07</v>
      </c>
      <c r="AS1126" s="69">
        <v>519.41999999999996</v>
      </c>
      <c r="AT1126" s="69">
        <v>81.62</v>
      </c>
      <c r="AU1126" s="69">
        <v>214.95</v>
      </c>
      <c r="AV1126" s="69">
        <v>76.08</v>
      </c>
      <c r="BC1126" s="69"/>
      <c r="BD1126" s="69"/>
      <c r="CC1126" s="94">
        <f t="shared" si="104"/>
        <v>892.07</v>
      </c>
      <c r="CD1126" s="73">
        <f t="shared" si="102"/>
        <v>0</v>
      </c>
      <c r="CE1126" s="75">
        <f t="shared" si="101"/>
        <v>3779</v>
      </c>
      <c r="CF1126" s="69" t="str">
        <f t="shared" si="101"/>
        <v>خ ت طب</v>
      </c>
    </row>
    <row r="1127" spans="2:84" x14ac:dyDescent="0.25">
      <c r="B1127" s="82">
        <v>6464</v>
      </c>
      <c r="C1127" s="78">
        <v>3780</v>
      </c>
      <c r="D1127" s="69" t="s">
        <v>130</v>
      </c>
      <c r="E1127" s="107" t="s">
        <v>3947</v>
      </c>
      <c r="G1127" s="69">
        <v>788.46</v>
      </c>
      <c r="T1127" s="69"/>
      <c r="U1127" s="69"/>
      <c r="AR1127" s="94">
        <f t="shared" si="87"/>
        <v>788.46</v>
      </c>
      <c r="AS1127" s="69">
        <v>475.14</v>
      </c>
      <c r="AT1127" s="69">
        <v>56.09</v>
      </c>
      <c r="AU1127" s="69">
        <v>189.98</v>
      </c>
      <c r="AV1127" s="69">
        <v>67.25</v>
      </c>
      <c r="BC1127" s="69"/>
      <c r="BD1127" s="69"/>
      <c r="CC1127" s="94">
        <f t="shared" si="104"/>
        <v>788.46</v>
      </c>
      <c r="CD1127" s="73">
        <f t="shared" si="102"/>
        <v>0</v>
      </c>
      <c r="CE1127" s="75">
        <f t="shared" si="101"/>
        <v>3780</v>
      </c>
      <c r="CF1127" s="69" t="str">
        <f t="shared" si="101"/>
        <v>خ ت طب</v>
      </c>
    </row>
    <row r="1128" spans="2:84" x14ac:dyDescent="0.25">
      <c r="B1128" s="82">
        <v>6463</v>
      </c>
      <c r="C1128" s="78">
        <v>3781</v>
      </c>
      <c r="D1128" s="69" t="s">
        <v>130</v>
      </c>
      <c r="E1128" s="107" t="s">
        <v>3947</v>
      </c>
      <c r="G1128" s="69">
        <v>680.2</v>
      </c>
      <c r="T1128" s="69"/>
      <c r="U1128" s="69"/>
      <c r="AR1128" s="94">
        <f t="shared" si="87"/>
        <v>680.2</v>
      </c>
      <c r="AS1128" s="69">
        <v>364.01</v>
      </c>
      <c r="AT1128" s="69">
        <v>94.3</v>
      </c>
      <c r="AU1128" s="69">
        <v>163.88</v>
      </c>
      <c r="AV1128" s="69">
        <v>58.01</v>
      </c>
      <c r="BC1128" s="69"/>
      <c r="BD1128" s="69"/>
      <c r="CC1128" s="94">
        <f t="shared" si="103"/>
        <v>680.2</v>
      </c>
      <c r="CD1128" s="73">
        <f t="shared" si="102"/>
        <v>0</v>
      </c>
      <c r="CE1128" s="75">
        <f t="shared" si="101"/>
        <v>3781</v>
      </c>
      <c r="CF1128" s="69" t="str">
        <f t="shared" si="101"/>
        <v>خ ت طب</v>
      </c>
    </row>
    <row r="1129" spans="2:84" x14ac:dyDescent="0.25">
      <c r="B1129" s="82">
        <v>6462</v>
      </c>
      <c r="C1129" s="78">
        <v>3782</v>
      </c>
      <c r="D1129" s="69" t="s">
        <v>130</v>
      </c>
      <c r="E1129" s="107" t="s">
        <v>3947</v>
      </c>
      <c r="G1129" s="69">
        <v>288.44</v>
      </c>
      <c r="T1129" s="69"/>
      <c r="U1129" s="69"/>
      <c r="AR1129" s="94">
        <f t="shared" si="87"/>
        <v>288.44</v>
      </c>
      <c r="AS1129" s="69">
        <v>173.96</v>
      </c>
      <c r="AT1129" s="69">
        <v>20.38</v>
      </c>
      <c r="AU1129" s="69">
        <v>69.5</v>
      </c>
      <c r="AV1129" s="69">
        <v>24.6</v>
      </c>
      <c r="BC1129" s="69"/>
      <c r="BD1129" s="69"/>
      <c r="CC1129" s="94">
        <f t="shared" si="103"/>
        <v>288.44000000000005</v>
      </c>
      <c r="CD1129" s="73">
        <f t="shared" si="102"/>
        <v>0</v>
      </c>
      <c r="CE1129" s="75">
        <f t="shared" si="101"/>
        <v>3782</v>
      </c>
      <c r="CF1129" s="69" t="str">
        <f t="shared" si="101"/>
        <v>خ ت طب</v>
      </c>
    </row>
    <row r="1130" spans="2:84" x14ac:dyDescent="0.25">
      <c r="B1130" s="82">
        <v>6663</v>
      </c>
      <c r="C1130" s="78">
        <v>3783</v>
      </c>
      <c r="D1130" s="69" t="s">
        <v>731</v>
      </c>
      <c r="E1130" s="107" t="s">
        <v>3948</v>
      </c>
      <c r="G1130" s="69">
        <v>87.94</v>
      </c>
      <c r="T1130" s="69"/>
      <c r="U1130" s="69"/>
      <c r="AR1130" s="94">
        <f t="shared" si="87"/>
        <v>87.94</v>
      </c>
      <c r="AS1130" s="69">
        <v>59.1</v>
      </c>
      <c r="AT1130" s="69">
        <f>7.5+0.15</f>
        <v>7.65</v>
      </c>
      <c r="AU1130" s="69">
        <v>21.19</v>
      </c>
      <c r="BC1130" s="69"/>
      <c r="BD1130" s="69"/>
      <c r="CC1130" s="94">
        <f t="shared" si="103"/>
        <v>87.94</v>
      </c>
      <c r="CD1130" s="73">
        <f t="shared" si="102"/>
        <v>0</v>
      </c>
      <c r="CE1130" s="75">
        <f t="shared" si="101"/>
        <v>3783</v>
      </c>
      <c r="CF1130" s="69" t="str">
        <f t="shared" si="101"/>
        <v>تكافل صيدلة</v>
      </c>
    </row>
    <row r="1131" spans="2:84" x14ac:dyDescent="0.25">
      <c r="B1131" s="82">
        <v>6664</v>
      </c>
      <c r="C1131" s="78">
        <v>3784</v>
      </c>
      <c r="D1131" s="69" t="s">
        <v>731</v>
      </c>
      <c r="E1131" s="107" t="s">
        <v>3885</v>
      </c>
      <c r="G1131" s="69">
        <v>679.1</v>
      </c>
      <c r="T1131" s="69"/>
      <c r="U1131" s="69"/>
      <c r="AR1131" s="94">
        <f t="shared" si="87"/>
        <v>679.1</v>
      </c>
      <c r="AS1131" s="69">
        <v>455.82</v>
      </c>
      <c r="AT1131" s="69">
        <v>59.67</v>
      </c>
      <c r="AU1131" s="69">
        <v>163.61000000000001</v>
      </c>
      <c r="BC1131" s="69"/>
      <c r="BD1131" s="69"/>
      <c r="CC1131" s="94">
        <f t="shared" si="103"/>
        <v>679.1</v>
      </c>
      <c r="CD1131" s="73">
        <f t="shared" si="102"/>
        <v>0</v>
      </c>
      <c r="CE1131" s="75">
        <f t="shared" si="101"/>
        <v>3784</v>
      </c>
      <c r="CF1131" s="69" t="str">
        <f t="shared" si="101"/>
        <v>تكافل صيدلة</v>
      </c>
    </row>
    <row r="1132" spans="2:84" x14ac:dyDescent="0.25">
      <c r="B1132" s="82">
        <v>6657</v>
      </c>
      <c r="C1132" s="78">
        <v>3785</v>
      </c>
      <c r="D1132" s="69" t="s">
        <v>116</v>
      </c>
      <c r="E1132" s="107" t="s">
        <v>3949</v>
      </c>
      <c r="G1132" s="69">
        <v>652.23</v>
      </c>
      <c r="T1132" s="69"/>
      <c r="U1132" s="69"/>
      <c r="AR1132" s="94">
        <f t="shared" si="87"/>
        <v>652.23</v>
      </c>
      <c r="AS1132" s="69">
        <v>437.89</v>
      </c>
      <c r="AT1132" s="69">
        <v>57.23</v>
      </c>
      <c r="AU1132" s="69">
        <v>157.11000000000001</v>
      </c>
      <c r="BC1132" s="69"/>
      <c r="BD1132" s="69"/>
      <c r="CC1132" s="94">
        <f t="shared" si="103"/>
        <v>652.23</v>
      </c>
      <c r="CD1132" s="73">
        <f t="shared" si="102"/>
        <v>0</v>
      </c>
      <c r="CE1132" s="75">
        <f t="shared" si="101"/>
        <v>3785</v>
      </c>
      <c r="CF1132" s="69" t="str">
        <f t="shared" si="101"/>
        <v>اتحاد صيدلة</v>
      </c>
    </row>
    <row r="1133" spans="2:84" ht="36" x14ac:dyDescent="0.25">
      <c r="B1133" s="82">
        <v>6276</v>
      </c>
      <c r="C1133" s="78">
        <v>3786</v>
      </c>
      <c r="D1133" s="69" t="s">
        <v>137</v>
      </c>
      <c r="E1133" s="175" t="s">
        <v>3950</v>
      </c>
      <c r="G1133" s="69">
        <v>700</v>
      </c>
      <c r="T1133" s="69"/>
      <c r="U1133" s="69"/>
      <c r="AR1133" s="94">
        <f t="shared" si="87"/>
        <v>700</v>
      </c>
      <c r="AS1133" s="69">
        <v>700</v>
      </c>
      <c r="AT1133" s="69"/>
      <c r="BC1133" s="69"/>
      <c r="BD1133" s="69"/>
      <c r="CC1133" s="94">
        <f t="shared" si="103"/>
        <v>700</v>
      </c>
      <c r="CD1133" s="73">
        <f t="shared" si="102"/>
        <v>0</v>
      </c>
      <c r="CE1133" s="75">
        <f t="shared" si="101"/>
        <v>3786</v>
      </c>
      <c r="CF1133" s="69" t="str">
        <f t="shared" si="101"/>
        <v xml:space="preserve">خدمة عامة </v>
      </c>
    </row>
    <row r="1134" spans="2:84" x14ac:dyDescent="0.25">
      <c r="B1134" s="82">
        <v>5419</v>
      </c>
      <c r="C1134" s="78">
        <v>3787</v>
      </c>
      <c r="D1134" s="69" t="s">
        <v>137</v>
      </c>
      <c r="E1134" s="107" t="s">
        <v>3951</v>
      </c>
      <c r="G1134" s="69">
        <v>58414.97</v>
      </c>
      <c r="T1134" s="69"/>
      <c r="U1134" s="69"/>
      <c r="AR1134" s="94">
        <f t="shared" si="87"/>
        <v>58414.97</v>
      </c>
      <c r="AS1134" s="69">
        <v>45105.82</v>
      </c>
      <c r="AT1134" s="69">
        <v>5919.15</v>
      </c>
      <c r="AU1134" s="69">
        <v>4610</v>
      </c>
      <c r="AV1134" s="69">
        <v>2780</v>
      </c>
      <c r="BC1134" s="69"/>
      <c r="BD1134" s="69"/>
      <c r="CC1134" s="94">
        <f t="shared" si="103"/>
        <v>58414.97</v>
      </c>
      <c r="CD1134" s="73">
        <f t="shared" si="102"/>
        <v>0</v>
      </c>
      <c r="CE1134" s="75">
        <f t="shared" si="101"/>
        <v>3787</v>
      </c>
      <c r="CF1134" s="69" t="str">
        <f t="shared" si="101"/>
        <v xml:space="preserve">خدمة عامة </v>
      </c>
    </row>
    <row r="1135" spans="2:84" x14ac:dyDescent="0.25">
      <c r="B1135" s="82">
        <v>5423</v>
      </c>
      <c r="C1135" s="78">
        <v>3788</v>
      </c>
      <c r="D1135" s="69" t="s">
        <v>137</v>
      </c>
      <c r="E1135" s="107" t="s">
        <v>3951</v>
      </c>
      <c r="G1135" s="69">
        <v>850</v>
      </c>
      <c r="T1135" s="69"/>
      <c r="U1135" s="69"/>
      <c r="AR1135" s="94">
        <f t="shared" si="87"/>
        <v>850</v>
      </c>
      <c r="AS1135" s="69">
        <v>716.9</v>
      </c>
      <c r="AT1135" s="69">
        <v>90.6</v>
      </c>
      <c r="AV1135" s="69">
        <v>42.5</v>
      </c>
      <c r="BC1135" s="69"/>
      <c r="BD1135" s="69"/>
      <c r="CC1135" s="94">
        <f t="shared" si="103"/>
        <v>850</v>
      </c>
      <c r="CD1135" s="73">
        <f t="shared" si="102"/>
        <v>0</v>
      </c>
      <c r="CE1135" s="75">
        <f t="shared" si="101"/>
        <v>3788</v>
      </c>
      <c r="CF1135" s="69" t="str">
        <f t="shared" si="101"/>
        <v xml:space="preserve">خدمة عامة </v>
      </c>
    </row>
    <row r="1136" spans="2:84" x14ac:dyDescent="0.25">
      <c r="B1136" s="82">
        <v>5424</v>
      </c>
      <c r="C1136" s="78">
        <v>3789</v>
      </c>
      <c r="D1136" s="69" t="s">
        <v>137</v>
      </c>
      <c r="E1136" s="107" t="s">
        <v>3951</v>
      </c>
      <c r="G1136" s="69">
        <v>2584.73</v>
      </c>
      <c r="T1136" s="69"/>
      <c r="U1136" s="69"/>
      <c r="AR1136" s="94">
        <f t="shared" si="87"/>
        <v>2584.73</v>
      </c>
      <c r="AS1136" s="69">
        <v>1759.53</v>
      </c>
      <c r="AT1136" s="69">
        <v>243.9</v>
      </c>
      <c r="AU1136" s="69">
        <v>466.3</v>
      </c>
      <c r="AV1136" s="69">
        <v>115</v>
      </c>
      <c r="BC1136" s="69"/>
      <c r="BD1136" s="69"/>
      <c r="CC1136" s="94">
        <f t="shared" si="103"/>
        <v>2584.73</v>
      </c>
      <c r="CD1136" s="73">
        <f t="shared" si="102"/>
        <v>0</v>
      </c>
      <c r="CE1136" s="75">
        <f t="shared" si="101"/>
        <v>3789</v>
      </c>
      <c r="CF1136" s="69" t="str">
        <f t="shared" si="101"/>
        <v xml:space="preserve">خدمة عامة </v>
      </c>
    </row>
    <row r="1137" spans="2:84" x14ac:dyDescent="0.25">
      <c r="B1137" s="82">
        <v>5421</v>
      </c>
      <c r="C1137" s="78">
        <v>3790</v>
      </c>
      <c r="D1137" s="69" t="s">
        <v>137</v>
      </c>
      <c r="E1137" s="107" t="s">
        <v>3951</v>
      </c>
      <c r="G1137" s="69">
        <v>700</v>
      </c>
      <c r="T1137" s="69"/>
      <c r="U1137" s="69"/>
      <c r="AR1137" s="94">
        <f t="shared" si="87"/>
        <v>700</v>
      </c>
      <c r="AS1137" s="69">
        <v>590.45000000000005</v>
      </c>
      <c r="AT1137" s="69">
        <v>74.55</v>
      </c>
      <c r="AV1137" s="69">
        <v>35</v>
      </c>
      <c r="BC1137" s="69"/>
      <c r="BD1137" s="69"/>
      <c r="CC1137" s="94">
        <f t="shared" si="103"/>
        <v>700</v>
      </c>
      <c r="CD1137" s="73">
        <f t="shared" si="102"/>
        <v>0</v>
      </c>
      <c r="CE1137" s="75">
        <f t="shared" si="101"/>
        <v>3790</v>
      </c>
      <c r="CF1137" s="69" t="str">
        <f t="shared" si="101"/>
        <v xml:space="preserve">خدمة عامة </v>
      </c>
    </row>
    <row r="1138" spans="2:84" x14ac:dyDescent="0.25">
      <c r="B1138" s="82">
        <v>5420</v>
      </c>
      <c r="C1138" s="78">
        <v>3791</v>
      </c>
      <c r="D1138" s="69" t="s">
        <v>137</v>
      </c>
      <c r="E1138" s="107" t="s">
        <v>3951</v>
      </c>
      <c r="G1138" s="69">
        <v>3517.5</v>
      </c>
      <c r="T1138" s="69"/>
      <c r="U1138" s="69"/>
      <c r="AR1138" s="94">
        <f t="shared" si="87"/>
        <v>3517.5</v>
      </c>
      <c r="AS1138" s="69">
        <v>2203</v>
      </c>
      <c r="AT1138" s="69">
        <v>317</v>
      </c>
      <c r="AU1138" s="69">
        <v>847.5</v>
      </c>
      <c r="AV1138" s="69">
        <v>150</v>
      </c>
      <c r="BC1138" s="69"/>
      <c r="BD1138" s="69"/>
      <c r="CC1138" s="94">
        <f t="shared" si="103"/>
        <v>3517.5</v>
      </c>
      <c r="CD1138" s="73">
        <f t="shared" si="102"/>
        <v>0</v>
      </c>
      <c r="CE1138" s="75">
        <f t="shared" si="101"/>
        <v>3791</v>
      </c>
      <c r="CF1138" s="69" t="str">
        <f t="shared" si="101"/>
        <v xml:space="preserve">خدمة عامة </v>
      </c>
    </row>
    <row r="1139" spans="2:84" x14ac:dyDescent="0.25">
      <c r="B1139" s="82">
        <v>5425</v>
      </c>
      <c r="C1139" s="78">
        <v>3792</v>
      </c>
      <c r="D1139" s="69" t="s">
        <v>137</v>
      </c>
      <c r="E1139" s="107" t="s">
        <v>3951</v>
      </c>
      <c r="G1139" s="69">
        <v>15871.96</v>
      </c>
      <c r="T1139" s="69"/>
      <c r="U1139" s="69"/>
      <c r="AR1139" s="94">
        <f t="shared" si="87"/>
        <v>15871.96</v>
      </c>
      <c r="AS1139" s="69">
        <v>10917.97</v>
      </c>
      <c r="AT1139" s="69">
        <v>1505.85</v>
      </c>
      <c r="AU1139" s="69">
        <v>2738.14</v>
      </c>
      <c r="AV1139" s="69">
        <v>710</v>
      </c>
      <c r="BC1139" s="69"/>
      <c r="BD1139" s="69"/>
      <c r="CC1139" s="94">
        <f t="shared" si="103"/>
        <v>15871.96</v>
      </c>
      <c r="CD1139" s="73">
        <f t="shared" si="102"/>
        <v>0</v>
      </c>
      <c r="CE1139" s="75">
        <f t="shared" si="101"/>
        <v>3792</v>
      </c>
      <c r="CF1139" s="69" t="str">
        <f t="shared" si="101"/>
        <v xml:space="preserve">خدمة عامة </v>
      </c>
    </row>
    <row r="1140" spans="2:84" x14ac:dyDescent="0.25">
      <c r="B1140" s="82">
        <v>5422</v>
      </c>
      <c r="C1140" s="78">
        <v>3793</v>
      </c>
      <c r="D1140" s="69" t="s">
        <v>137</v>
      </c>
      <c r="E1140" s="107" t="s">
        <v>3951</v>
      </c>
      <c r="G1140" s="69">
        <v>690.26</v>
      </c>
      <c r="T1140" s="69"/>
      <c r="U1140" s="69"/>
      <c r="AR1140" s="94">
        <f t="shared" si="87"/>
        <v>690.26</v>
      </c>
      <c r="AS1140" s="69">
        <v>448.99</v>
      </c>
      <c r="AT1140" s="69">
        <v>63.45</v>
      </c>
      <c r="AU1140" s="69">
        <v>147.82</v>
      </c>
      <c r="AV1140" s="69">
        <v>30</v>
      </c>
      <c r="BC1140" s="69"/>
      <c r="BD1140" s="69"/>
      <c r="CC1140" s="94">
        <f t="shared" ref="CC1140:CC1188" si="105">SUM(AS1140:CB1140)</f>
        <v>690.26</v>
      </c>
      <c r="CD1140" s="73">
        <f t="shared" si="102"/>
        <v>0</v>
      </c>
      <c r="CE1140" s="75">
        <f t="shared" si="101"/>
        <v>3793</v>
      </c>
      <c r="CF1140" s="69" t="str">
        <f t="shared" si="101"/>
        <v xml:space="preserve">خدمة عامة </v>
      </c>
    </row>
    <row r="1141" spans="2:84" x14ac:dyDescent="0.25">
      <c r="B1141" s="82">
        <v>6384</v>
      </c>
      <c r="C1141" s="78">
        <v>3794</v>
      </c>
      <c r="D1141" s="69" t="s">
        <v>137</v>
      </c>
      <c r="E1141" s="107" t="s">
        <v>3952</v>
      </c>
      <c r="G1141" s="69">
        <v>539.35</v>
      </c>
      <c r="T1141" s="69"/>
      <c r="U1141" s="69"/>
      <c r="AR1141" s="94">
        <f t="shared" si="87"/>
        <v>539.35</v>
      </c>
      <c r="AS1141" s="69">
        <v>338.05</v>
      </c>
      <c r="AT1141" s="69">
        <v>48.35</v>
      </c>
      <c r="AU1141" s="69">
        <v>129.94999999999999</v>
      </c>
      <c r="AV1141" s="69">
        <v>23</v>
      </c>
      <c r="BC1141" s="69"/>
      <c r="BD1141" s="69"/>
      <c r="CC1141" s="94">
        <f t="shared" ref="CC1141:CC1187" si="106">SUM(AS1141:CB1141)</f>
        <v>539.35</v>
      </c>
      <c r="CD1141" s="73">
        <f t="shared" si="102"/>
        <v>0</v>
      </c>
      <c r="CE1141" s="75">
        <f t="shared" si="101"/>
        <v>3794</v>
      </c>
      <c r="CF1141" s="69" t="str">
        <f t="shared" si="101"/>
        <v xml:space="preserve">خدمة عامة </v>
      </c>
    </row>
    <row r="1142" spans="2:84" x14ac:dyDescent="0.25">
      <c r="B1142" s="82">
        <v>6383</v>
      </c>
      <c r="C1142" s="78">
        <v>3795</v>
      </c>
      <c r="D1142" s="69" t="s">
        <v>137</v>
      </c>
      <c r="E1142" s="107" t="s">
        <v>3952</v>
      </c>
      <c r="G1142" s="69">
        <v>3775.45</v>
      </c>
      <c r="T1142" s="69"/>
      <c r="U1142" s="69"/>
      <c r="AR1142" s="94">
        <f t="shared" si="87"/>
        <v>3775.45</v>
      </c>
      <c r="AS1142" s="69">
        <v>2364.9499999999998</v>
      </c>
      <c r="AT1142" s="69">
        <v>339.85</v>
      </c>
      <c r="AU1142" s="69">
        <v>909.65</v>
      </c>
      <c r="AV1142" s="69">
        <v>161</v>
      </c>
      <c r="BC1142" s="69"/>
      <c r="BD1142" s="69"/>
      <c r="CC1142" s="94">
        <f t="shared" si="106"/>
        <v>3775.45</v>
      </c>
      <c r="CD1142" s="73">
        <f t="shared" si="102"/>
        <v>0</v>
      </c>
      <c r="CE1142" s="75">
        <f t="shared" ref="CE1142:CF1188" si="107">+C1142</f>
        <v>3795</v>
      </c>
      <c r="CF1142" s="69" t="str">
        <f t="shared" si="107"/>
        <v xml:space="preserve">خدمة عامة </v>
      </c>
    </row>
    <row r="1143" spans="2:84" x14ac:dyDescent="0.25">
      <c r="B1143" s="82">
        <v>6381</v>
      </c>
      <c r="C1143" s="78">
        <v>3796</v>
      </c>
      <c r="D1143" s="69" t="s">
        <v>137</v>
      </c>
      <c r="E1143" s="107" t="s">
        <v>3952</v>
      </c>
      <c r="G1143" s="69">
        <v>5932.85</v>
      </c>
      <c r="T1143" s="69"/>
      <c r="U1143" s="69"/>
      <c r="AR1143" s="94">
        <f t="shared" si="87"/>
        <v>5932.85</v>
      </c>
      <c r="AS1143" s="69">
        <v>3713.15</v>
      </c>
      <c r="AT1143" s="69">
        <v>537.25</v>
      </c>
      <c r="AU1143" s="69">
        <v>1429.45</v>
      </c>
      <c r="AV1143" s="69">
        <v>253</v>
      </c>
      <c r="BC1143" s="69"/>
      <c r="BD1143" s="69"/>
      <c r="CC1143" s="94">
        <f t="shared" si="106"/>
        <v>5932.8499999999995</v>
      </c>
      <c r="CD1143" s="73">
        <f t="shared" si="102"/>
        <v>0</v>
      </c>
      <c r="CE1143" s="75">
        <f t="shared" si="107"/>
        <v>3796</v>
      </c>
      <c r="CF1143" s="69" t="str">
        <f t="shared" si="107"/>
        <v xml:space="preserve">خدمة عامة </v>
      </c>
    </row>
    <row r="1144" spans="2:84" x14ac:dyDescent="0.25">
      <c r="B1144" s="82">
        <v>6385</v>
      </c>
      <c r="C1144" s="78">
        <v>3797</v>
      </c>
      <c r="D1144" s="69" t="s">
        <v>137</v>
      </c>
      <c r="E1144" s="107" t="s">
        <v>3952</v>
      </c>
      <c r="G1144" s="69">
        <v>1078.7</v>
      </c>
      <c r="T1144" s="69"/>
      <c r="U1144" s="69"/>
      <c r="AR1144" s="94">
        <f t="shared" si="87"/>
        <v>1078.7</v>
      </c>
      <c r="AS1144" s="69">
        <v>675.4</v>
      </c>
      <c r="AT1144" s="69">
        <v>97.4</v>
      </c>
      <c r="AU1144" s="69">
        <v>259.89999999999998</v>
      </c>
      <c r="AV1144" s="69">
        <v>46</v>
      </c>
      <c r="BC1144" s="69"/>
      <c r="BD1144" s="69"/>
      <c r="CC1144" s="94">
        <f t="shared" si="106"/>
        <v>1078.6999999999998</v>
      </c>
      <c r="CD1144" s="73">
        <f t="shared" si="102"/>
        <v>0</v>
      </c>
      <c r="CE1144" s="75">
        <f t="shared" si="107"/>
        <v>3797</v>
      </c>
      <c r="CF1144" s="69" t="str">
        <f t="shared" si="107"/>
        <v xml:space="preserve">خدمة عامة </v>
      </c>
    </row>
    <row r="1145" spans="2:84" x14ac:dyDescent="0.25">
      <c r="B1145" s="82">
        <v>6160</v>
      </c>
      <c r="C1145" s="78">
        <v>3798</v>
      </c>
      <c r="D1145" s="69" t="s">
        <v>137</v>
      </c>
      <c r="E1145" s="107" t="s">
        <v>3952</v>
      </c>
      <c r="G1145" s="69">
        <v>2110.5</v>
      </c>
      <c r="T1145" s="69"/>
      <c r="U1145" s="69"/>
      <c r="AR1145" s="94">
        <f t="shared" si="87"/>
        <v>2110.5</v>
      </c>
      <c r="AS1145" s="69">
        <v>1321.55</v>
      </c>
      <c r="AT1145" s="69">
        <v>190.45</v>
      </c>
      <c r="AU1145" s="69">
        <v>508.5</v>
      </c>
      <c r="AV1145" s="69">
        <v>90</v>
      </c>
      <c r="BC1145" s="69"/>
      <c r="BD1145" s="69"/>
      <c r="CC1145" s="94">
        <f t="shared" si="106"/>
        <v>2110.5</v>
      </c>
      <c r="CD1145" s="73">
        <f t="shared" si="102"/>
        <v>0</v>
      </c>
      <c r="CE1145" s="75">
        <f t="shared" si="107"/>
        <v>3798</v>
      </c>
      <c r="CF1145" s="69" t="str">
        <f t="shared" si="107"/>
        <v xml:space="preserve">خدمة عامة </v>
      </c>
    </row>
    <row r="1146" spans="2:84" x14ac:dyDescent="0.25">
      <c r="B1146" s="82">
        <v>6159</v>
      </c>
      <c r="C1146" s="78">
        <v>3799</v>
      </c>
      <c r="D1146" s="69" t="s">
        <v>137</v>
      </c>
      <c r="E1146" s="107" t="s">
        <v>3952</v>
      </c>
      <c r="G1146" s="69">
        <v>54401.81</v>
      </c>
      <c r="T1146" s="69"/>
      <c r="U1146" s="69"/>
      <c r="AR1146" s="94">
        <f t="shared" si="87"/>
        <v>54401.81</v>
      </c>
      <c r="AS1146" s="69">
        <v>35667.86</v>
      </c>
      <c r="AT1146" s="69">
        <v>5087.75</v>
      </c>
      <c r="AU1146" s="69">
        <v>11270.2</v>
      </c>
      <c r="AV1146" s="69">
        <v>2376</v>
      </c>
      <c r="BC1146" s="69"/>
      <c r="BD1146" s="69"/>
      <c r="CC1146" s="94">
        <f t="shared" si="106"/>
        <v>54401.81</v>
      </c>
      <c r="CD1146" s="73">
        <f t="shared" si="102"/>
        <v>0</v>
      </c>
      <c r="CE1146" s="75">
        <f t="shared" si="107"/>
        <v>3799</v>
      </c>
      <c r="CF1146" s="69" t="str">
        <f t="shared" si="107"/>
        <v xml:space="preserve">خدمة عامة </v>
      </c>
    </row>
    <row r="1147" spans="2:84" x14ac:dyDescent="0.25">
      <c r="B1147" s="82">
        <v>6161</v>
      </c>
      <c r="C1147" s="78">
        <v>3800</v>
      </c>
      <c r="D1147" s="69" t="s">
        <v>137</v>
      </c>
      <c r="E1147" s="107" t="s">
        <v>3952</v>
      </c>
      <c r="G1147" s="69">
        <v>844.2</v>
      </c>
      <c r="T1147" s="69"/>
      <c r="U1147" s="69"/>
      <c r="AR1147" s="94">
        <f t="shared" si="87"/>
        <v>844.2</v>
      </c>
      <c r="AS1147" s="69">
        <v>528.65</v>
      </c>
      <c r="AT1147" s="69">
        <v>76.150000000000006</v>
      </c>
      <c r="AU1147" s="69">
        <v>203.4</v>
      </c>
      <c r="AV1147" s="69">
        <v>36</v>
      </c>
      <c r="BC1147" s="69"/>
      <c r="BD1147" s="69"/>
      <c r="CC1147" s="94">
        <f t="shared" si="106"/>
        <v>844.19999999999993</v>
      </c>
      <c r="CD1147" s="73">
        <f t="shared" si="102"/>
        <v>0</v>
      </c>
      <c r="CE1147" s="75">
        <f t="shared" si="107"/>
        <v>3800</v>
      </c>
      <c r="CF1147" s="69" t="str">
        <f t="shared" si="107"/>
        <v xml:space="preserve">خدمة عامة </v>
      </c>
    </row>
    <row r="1148" spans="2:84" x14ac:dyDescent="0.25">
      <c r="B1148" s="82">
        <v>5500</v>
      </c>
      <c r="C1148" s="78">
        <v>3801</v>
      </c>
      <c r="D1148" s="69" t="s">
        <v>137</v>
      </c>
      <c r="E1148" s="107" t="s">
        <v>3953</v>
      </c>
      <c r="G1148" s="69">
        <v>1700</v>
      </c>
      <c r="T1148" s="69"/>
      <c r="U1148" s="69"/>
      <c r="AR1148" s="94">
        <f t="shared" si="87"/>
        <v>1700</v>
      </c>
      <c r="AS1148" s="69">
        <v>1432.6</v>
      </c>
      <c r="AT1148" s="69">
        <v>182.4</v>
      </c>
      <c r="AV1148" s="69">
        <v>85</v>
      </c>
      <c r="BC1148" s="69"/>
      <c r="BD1148" s="69"/>
      <c r="CC1148" s="94">
        <f t="shared" si="106"/>
        <v>1700</v>
      </c>
      <c r="CD1148" s="73">
        <f t="shared" si="102"/>
        <v>0</v>
      </c>
      <c r="CE1148" s="75">
        <f t="shared" si="107"/>
        <v>3801</v>
      </c>
      <c r="CF1148" s="69" t="str">
        <f t="shared" si="107"/>
        <v xml:space="preserve">خدمة عامة </v>
      </c>
    </row>
    <row r="1149" spans="2:84" x14ac:dyDescent="0.25">
      <c r="B1149" s="82">
        <v>5499</v>
      </c>
      <c r="C1149" s="78">
        <v>3802</v>
      </c>
      <c r="D1149" s="69" t="s">
        <v>137</v>
      </c>
      <c r="E1149" s="107" t="s">
        <v>3953</v>
      </c>
      <c r="G1149" s="69">
        <v>792.91</v>
      </c>
      <c r="T1149" s="69"/>
      <c r="U1149" s="69"/>
      <c r="AR1149" s="94">
        <f t="shared" si="87"/>
        <v>792.91</v>
      </c>
      <c r="AS1149" s="69">
        <v>531.59</v>
      </c>
      <c r="AT1149" s="69">
        <v>74.150000000000006</v>
      </c>
      <c r="AU1149" s="69">
        <v>152.16999999999999</v>
      </c>
      <c r="AV1149" s="69">
        <v>35</v>
      </c>
      <c r="BC1149" s="69"/>
      <c r="BD1149" s="69"/>
      <c r="CC1149" s="94">
        <f t="shared" si="106"/>
        <v>792.91</v>
      </c>
      <c r="CD1149" s="73">
        <f t="shared" si="102"/>
        <v>0</v>
      </c>
      <c r="CE1149" s="75">
        <f t="shared" si="107"/>
        <v>3802</v>
      </c>
      <c r="CF1149" s="69" t="str">
        <f t="shared" si="107"/>
        <v xml:space="preserve">خدمة عامة </v>
      </c>
    </row>
    <row r="1150" spans="2:84" x14ac:dyDescent="0.25">
      <c r="B1150" s="82">
        <v>6061</v>
      </c>
      <c r="C1150" s="78">
        <v>3803</v>
      </c>
      <c r="D1150" s="69" t="s">
        <v>137</v>
      </c>
      <c r="E1150" s="107" t="s">
        <v>3954</v>
      </c>
      <c r="G1150" s="69">
        <v>3752</v>
      </c>
      <c r="T1150" s="69"/>
      <c r="U1150" s="69"/>
      <c r="AR1150" s="94">
        <f t="shared" si="87"/>
        <v>3752</v>
      </c>
      <c r="AS1150" s="69">
        <v>2348</v>
      </c>
      <c r="AT1150" s="69">
        <v>340</v>
      </c>
      <c r="AU1150" s="69">
        <v>904</v>
      </c>
      <c r="AV1150" s="69">
        <v>160</v>
      </c>
      <c r="BC1150" s="69"/>
      <c r="BD1150" s="69"/>
      <c r="CC1150" s="94">
        <f t="shared" si="106"/>
        <v>3752</v>
      </c>
      <c r="CD1150" s="73">
        <f t="shared" si="102"/>
        <v>0</v>
      </c>
      <c r="CE1150" s="75">
        <f t="shared" si="107"/>
        <v>3803</v>
      </c>
      <c r="CF1150" s="69" t="str">
        <f t="shared" si="107"/>
        <v xml:space="preserve">خدمة عامة </v>
      </c>
    </row>
    <row r="1151" spans="2:84" x14ac:dyDescent="0.25">
      <c r="B1151" s="82">
        <v>6060</v>
      </c>
      <c r="C1151" s="78">
        <v>3804</v>
      </c>
      <c r="D1151" s="69" t="s">
        <v>137</v>
      </c>
      <c r="E1151" s="107" t="s">
        <v>3954</v>
      </c>
      <c r="G1151" s="69">
        <v>4631.37</v>
      </c>
      <c r="T1151" s="69"/>
      <c r="U1151" s="69"/>
      <c r="AR1151" s="94">
        <f t="shared" si="87"/>
        <v>4631.37</v>
      </c>
      <c r="AS1151" s="69">
        <v>2901.9</v>
      </c>
      <c r="AT1151" s="69">
        <v>416.1</v>
      </c>
      <c r="AU1151" s="69">
        <v>1115.8699999999999</v>
      </c>
      <c r="AV1151" s="69">
        <v>197.5</v>
      </c>
      <c r="BC1151" s="69"/>
      <c r="BD1151" s="69"/>
      <c r="CC1151" s="94">
        <f t="shared" si="106"/>
        <v>4631.37</v>
      </c>
      <c r="CD1151" s="73">
        <f t="shared" si="102"/>
        <v>0</v>
      </c>
      <c r="CE1151" s="75">
        <f t="shared" si="107"/>
        <v>3804</v>
      </c>
      <c r="CF1151" s="69" t="str">
        <f t="shared" si="107"/>
        <v xml:space="preserve">خدمة عامة </v>
      </c>
    </row>
    <row r="1152" spans="2:84" x14ac:dyDescent="0.25">
      <c r="B1152" s="82">
        <v>5434</v>
      </c>
      <c r="C1152" s="78">
        <v>3805</v>
      </c>
      <c r="D1152" s="69" t="s">
        <v>125</v>
      </c>
      <c r="E1152" s="107" t="s">
        <v>3955</v>
      </c>
      <c r="G1152" s="69">
        <v>6256.81</v>
      </c>
      <c r="T1152" s="69"/>
      <c r="U1152" s="69"/>
      <c r="AR1152" s="94">
        <f t="shared" si="87"/>
        <v>6256.81</v>
      </c>
      <c r="AS1152" s="69">
        <v>5014.1499999999996</v>
      </c>
      <c r="AT1152" s="69">
        <v>649.1</v>
      </c>
      <c r="AU1152" s="69">
        <v>289.56</v>
      </c>
      <c r="AV1152" s="69">
        <v>304</v>
      </c>
      <c r="BC1152" s="69"/>
      <c r="BD1152" s="69"/>
      <c r="CC1152" s="94">
        <f t="shared" si="106"/>
        <v>6256.81</v>
      </c>
      <c r="CD1152" s="73">
        <f t="shared" si="102"/>
        <v>0</v>
      </c>
      <c r="CE1152" s="75">
        <f t="shared" si="107"/>
        <v>3805</v>
      </c>
      <c r="CF1152" s="69" t="str">
        <f t="shared" si="107"/>
        <v>اختبار مواد</v>
      </c>
    </row>
    <row r="1153" spans="2:86" x14ac:dyDescent="0.25">
      <c r="B1153" s="82">
        <v>6573</v>
      </c>
      <c r="C1153" s="78">
        <v>3806</v>
      </c>
      <c r="D1153" s="69" t="s">
        <v>121</v>
      </c>
      <c r="E1153" s="107" t="s">
        <v>3956</v>
      </c>
      <c r="G1153" s="69">
        <v>1231.1400000000001</v>
      </c>
      <c r="T1153" s="69"/>
      <c r="U1153" s="69"/>
      <c r="AR1153" s="94">
        <f t="shared" si="87"/>
        <v>1231.1400000000001</v>
      </c>
      <c r="AS1153" s="69">
        <v>824.4</v>
      </c>
      <c r="AT1153" s="69">
        <v>110.1</v>
      </c>
      <c r="AU1153" s="69">
        <v>296.64</v>
      </c>
      <c r="BC1153" s="69"/>
      <c r="BD1153" s="69"/>
      <c r="CC1153" s="94">
        <f t="shared" si="106"/>
        <v>1231.1399999999999</v>
      </c>
      <c r="CD1153" s="73">
        <f t="shared" si="102"/>
        <v>0</v>
      </c>
      <c r="CE1153" s="75">
        <f t="shared" si="107"/>
        <v>3806</v>
      </c>
      <c r="CF1153" s="69" t="str">
        <f t="shared" si="107"/>
        <v>ماليزى اسنان</v>
      </c>
    </row>
    <row r="1154" spans="2:86" x14ac:dyDescent="0.25">
      <c r="B1154" s="82">
        <v>6036</v>
      </c>
      <c r="C1154" s="78">
        <v>3807</v>
      </c>
      <c r="D1154" s="69" t="s">
        <v>78</v>
      </c>
      <c r="E1154" s="107" t="s">
        <v>1202</v>
      </c>
      <c r="G1154" s="69">
        <v>78787.199999999997</v>
      </c>
      <c r="T1154" s="69"/>
      <c r="U1154" s="69"/>
      <c r="AR1154" s="94">
        <f t="shared" si="87"/>
        <v>78787.199999999997</v>
      </c>
      <c r="AS1154" s="69">
        <v>70069.649999999994</v>
      </c>
      <c r="AT1154" s="69">
        <v>8386.35</v>
      </c>
      <c r="AU1154" s="69">
        <v>331.2</v>
      </c>
      <c r="BC1154" s="69"/>
      <c r="BD1154" s="69"/>
      <c r="CC1154" s="94">
        <f t="shared" si="106"/>
        <v>78787.199999999997</v>
      </c>
      <c r="CD1154" s="73">
        <f t="shared" si="102"/>
        <v>0</v>
      </c>
      <c r="CE1154" s="75">
        <f t="shared" si="107"/>
        <v>3807</v>
      </c>
      <c r="CF1154" s="69" t="str">
        <f t="shared" si="107"/>
        <v>برنامج دولى</v>
      </c>
    </row>
    <row r="1155" spans="2:86" x14ac:dyDescent="0.25">
      <c r="B1155" s="82">
        <v>6027</v>
      </c>
      <c r="C1155" s="78">
        <v>3808</v>
      </c>
      <c r="D1155" s="69" t="s">
        <v>78</v>
      </c>
      <c r="E1155" s="107" t="s">
        <v>1202</v>
      </c>
      <c r="G1155" s="69">
        <v>175.88</v>
      </c>
      <c r="T1155" s="69"/>
      <c r="U1155" s="69"/>
      <c r="AR1155" s="94">
        <f t="shared" si="87"/>
        <v>175.88</v>
      </c>
      <c r="AS1155" s="69">
        <v>118</v>
      </c>
      <c r="AT1155" s="69">
        <v>15.5</v>
      </c>
      <c r="AU1155" s="69">
        <v>42.38</v>
      </c>
      <c r="BC1155" s="69"/>
      <c r="BD1155" s="69"/>
      <c r="CC1155" s="94">
        <f t="shared" si="106"/>
        <v>175.88</v>
      </c>
      <c r="CD1155" s="73">
        <f t="shared" si="102"/>
        <v>0</v>
      </c>
      <c r="CE1155" s="75">
        <f t="shared" si="107"/>
        <v>3808</v>
      </c>
      <c r="CF1155" s="69" t="str">
        <f t="shared" si="107"/>
        <v>برنامج دولى</v>
      </c>
    </row>
    <row r="1156" spans="2:86" x14ac:dyDescent="0.25">
      <c r="B1156" s="82">
        <v>6027</v>
      </c>
      <c r="C1156" s="78">
        <v>3809</v>
      </c>
      <c r="D1156" s="69" t="s">
        <v>78</v>
      </c>
      <c r="E1156" s="107" t="s">
        <v>1202</v>
      </c>
      <c r="G1156" s="69">
        <v>1196.1400000000001</v>
      </c>
      <c r="T1156" s="69"/>
      <c r="U1156" s="69"/>
      <c r="AR1156" s="94">
        <f t="shared" si="87"/>
        <v>1196.1400000000001</v>
      </c>
      <c r="AS1156" s="69">
        <v>937.67</v>
      </c>
      <c r="AT1156" s="69">
        <v>117.4</v>
      </c>
      <c r="AU1156" s="69">
        <v>141.07</v>
      </c>
      <c r="BC1156" s="69"/>
      <c r="BD1156" s="69"/>
      <c r="CC1156" s="94">
        <f t="shared" si="106"/>
        <v>1196.1399999999999</v>
      </c>
      <c r="CD1156" s="73">
        <f t="shared" si="102"/>
        <v>0</v>
      </c>
      <c r="CE1156" s="75">
        <f t="shared" si="107"/>
        <v>3809</v>
      </c>
      <c r="CF1156" s="69" t="str">
        <f t="shared" si="107"/>
        <v>برنامج دولى</v>
      </c>
    </row>
    <row r="1157" spans="2:86" x14ac:dyDescent="0.25">
      <c r="B1157" s="82">
        <v>6697</v>
      </c>
      <c r="C1157" s="78">
        <v>3810</v>
      </c>
      <c r="D1157" s="69" t="s">
        <v>78</v>
      </c>
      <c r="E1157" s="107" t="s">
        <v>1202</v>
      </c>
      <c r="G1157" s="69">
        <v>540</v>
      </c>
      <c r="T1157" s="69"/>
      <c r="U1157" s="69"/>
      <c r="AR1157" s="94">
        <f t="shared" si="87"/>
        <v>540</v>
      </c>
      <c r="AS1157" s="69">
        <v>482.55</v>
      </c>
      <c r="AT1157" s="69">
        <v>57.45</v>
      </c>
      <c r="BC1157" s="69"/>
      <c r="BD1157" s="69"/>
      <c r="CC1157" s="94">
        <f t="shared" si="106"/>
        <v>540</v>
      </c>
      <c r="CD1157" s="73">
        <f t="shared" si="102"/>
        <v>0</v>
      </c>
      <c r="CE1157" s="75">
        <f t="shared" si="107"/>
        <v>3810</v>
      </c>
      <c r="CF1157" s="69" t="str">
        <f t="shared" si="107"/>
        <v>برنامج دولى</v>
      </c>
    </row>
    <row r="1158" spans="2:86" x14ac:dyDescent="0.25">
      <c r="B1158" s="82">
        <v>6025</v>
      </c>
      <c r="C1158" s="78">
        <v>3811</v>
      </c>
      <c r="D1158" s="69" t="s">
        <v>78</v>
      </c>
      <c r="E1158" s="107" t="s">
        <v>1202</v>
      </c>
      <c r="G1158" s="69">
        <v>3148.17</v>
      </c>
      <c r="T1158" s="69"/>
      <c r="U1158" s="69"/>
      <c r="AR1158" s="94">
        <f t="shared" si="87"/>
        <v>3148.17</v>
      </c>
      <c r="AS1158" s="69">
        <v>2103.3000000000002</v>
      </c>
      <c r="AT1158" s="69">
        <f>17.85+268.5</f>
        <v>286.35000000000002</v>
      </c>
      <c r="AU1158" s="69">
        <f>1044.87-AT1158</f>
        <v>758.51999999999987</v>
      </c>
      <c r="BC1158" s="69"/>
      <c r="BD1158" s="69"/>
      <c r="CC1158" s="94">
        <f t="shared" si="106"/>
        <v>3148.17</v>
      </c>
      <c r="CD1158" s="73">
        <f t="shared" si="102"/>
        <v>0</v>
      </c>
      <c r="CE1158" s="75">
        <f t="shared" si="107"/>
        <v>3811</v>
      </c>
      <c r="CF1158" s="69" t="str">
        <f t="shared" si="107"/>
        <v>برنامج دولى</v>
      </c>
    </row>
    <row r="1159" spans="2:86" x14ac:dyDescent="0.25">
      <c r="B1159" s="82">
        <v>6028</v>
      </c>
      <c r="C1159" s="78">
        <v>3812</v>
      </c>
      <c r="D1159" s="69" t="s">
        <v>78</v>
      </c>
      <c r="E1159" s="107" t="s">
        <v>1202</v>
      </c>
      <c r="G1159" s="69">
        <v>879.38</v>
      </c>
      <c r="T1159" s="69"/>
      <c r="U1159" s="69"/>
      <c r="AR1159" s="94">
        <f t="shared" si="87"/>
        <v>879.38</v>
      </c>
      <c r="AS1159" s="69">
        <v>588.15</v>
      </c>
      <c r="AT1159" s="69">
        <v>79.349999999999994</v>
      </c>
      <c r="AU1159" s="69">
        <v>211.88</v>
      </c>
      <c r="BC1159" s="69"/>
      <c r="BD1159" s="69"/>
      <c r="CC1159" s="94">
        <f t="shared" si="106"/>
        <v>879.38</v>
      </c>
      <c r="CD1159" s="73">
        <f t="shared" ref="CD1159:CD1222" si="108">+CC1159-AR1159</f>
        <v>0</v>
      </c>
      <c r="CE1159" s="75">
        <f t="shared" si="107"/>
        <v>3812</v>
      </c>
      <c r="CF1159" s="69" t="str">
        <f t="shared" si="107"/>
        <v>برنامج دولى</v>
      </c>
    </row>
    <row r="1160" spans="2:86" x14ac:dyDescent="0.25">
      <c r="B1160" s="82">
        <v>2026</v>
      </c>
      <c r="C1160" s="78">
        <v>3813</v>
      </c>
      <c r="D1160" s="69" t="s">
        <v>78</v>
      </c>
      <c r="E1160" s="107" t="s">
        <v>1202</v>
      </c>
      <c r="G1160" s="69">
        <v>9042.6</v>
      </c>
      <c r="T1160" s="69"/>
      <c r="U1160" s="69"/>
      <c r="AR1160" s="94">
        <f t="shared" si="87"/>
        <v>9042.6</v>
      </c>
      <c r="AS1160" s="69">
        <v>7505.35</v>
      </c>
      <c r="AT1160" s="69">
        <v>927.05</v>
      </c>
      <c r="AU1160" s="69">
        <v>610.20000000000005</v>
      </c>
      <c r="BC1160" s="69"/>
      <c r="BD1160" s="69"/>
      <c r="CC1160" s="94">
        <f t="shared" si="106"/>
        <v>9042.6</v>
      </c>
      <c r="CD1160" s="73">
        <f t="shared" si="108"/>
        <v>0</v>
      </c>
      <c r="CE1160" s="75">
        <f t="shared" si="107"/>
        <v>3813</v>
      </c>
      <c r="CF1160" s="69" t="str">
        <f t="shared" si="107"/>
        <v>برنامج دولى</v>
      </c>
    </row>
    <row r="1161" spans="2:86" x14ac:dyDescent="0.25">
      <c r="B1161" s="82">
        <v>6029</v>
      </c>
      <c r="C1161" s="78">
        <v>3814</v>
      </c>
      <c r="D1161" s="69" t="s">
        <v>78</v>
      </c>
      <c r="E1161" s="107" t="s">
        <v>1202</v>
      </c>
      <c r="G1161" s="69">
        <v>148915.12</v>
      </c>
      <c r="T1161" s="69"/>
      <c r="U1161" s="69"/>
      <c r="AR1161" s="94">
        <f t="shared" si="87"/>
        <v>148915.12</v>
      </c>
      <c r="AS1161" s="69">
        <v>132034.4</v>
      </c>
      <c r="AT1161" s="69">
        <v>15906.1</v>
      </c>
      <c r="AU1161" s="69">
        <v>974.62</v>
      </c>
      <c r="BC1161" s="69"/>
      <c r="BD1161" s="69"/>
      <c r="CC1161" s="94">
        <f t="shared" si="106"/>
        <v>148915.12</v>
      </c>
      <c r="CD1161" s="73">
        <f t="shared" si="108"/>
        <v>0</v>
      </c>
      <c r="CE1161" s="75">
        <f t="shared" si="107"/>
        <v>3814</v>
      </c>
      <c r="CF1161" s="69" t="str">
        <f t="shared" si="107"/>
        <v>برنامج دولى</v>
      </c>
    </row>
    <row r="1162" spans="2:86" x14ac:dyDescent="0.25">
      <c r="B1162" s="82">
        <v>6696</v>
      </c>
      <c r="C1162" s="78">
        <v>3815</v>
      </c>
      <c r="D1162" s="69" t="s">
        <v>78</v>
      </c>
      <c r="E1162" s="107" t="s">
        <v>3957</v>
      </c>
      <c r="H1162" s="69">
        <v>16000</v>
      </c>
      <c r="O1162" s="69">
        <v>16000</v>
      </c>
      <c r="T1162" s="69"/>
      <c r="U1162" s="69"/>
      <c r="AR1162" s="94">
        <f t="shared" si="87"/>
        <v>32000</v>
      </c>
      <c r="AS1162" s="69">
        <v>16000</v>
      </c>
      <c r="AT1162" s="69"/>
      <c r="BC1162" s="69"/>
      <c r="BD1162" s="69"/>
      <c r="BN1162" s="69">
        <v>16000</v>
      </c>
      <c r="CC1162" s="94">
        <f t="shared" si="106"/>
        <v>32000</v>
      </c>
      <c r="CD1162" s="73">
        <f t="shared" si="108"/>
        <v>0</v>
      </c>
      <c r="CE1162" s="75">
        <f t="shared" si="107"/>
        <v>3815</v>
      </c>
      <c r="CF1162" s="69" t="str">
        <f t="shared" si="107"/>
        <v>برنامج دولى</v>
      </c>
    </row>
    <row r="1163" spans="2:86" x14ac:dyDescent="0.25">
      <c r="B1163" s="82">
        <v>6695</v>
      </c>
      <c r="C1163" s="78">
        <v>3816</v>
      </c>
      <c r="D1163" s="69" t="s">
        <v>78</v>
      </c>
      <c r="E1163" s="107" t="s">
        <v>3958</v>
      </c>
      <c r="T1163" s="69"/>
      <c r="U1163" s="69"/>
      <c r="W1163" s="69">
        <v>8269</v>
      </c>
      <c r="AR1163" s="94">
        <f t="shared" si="87"/>
        <v>8269</v>
      </c>
      <c r="AS1163" s="69">
        <v>7553.65</v>
      </c>
      <c r="AT1163" s="69">
        <v>482.7</v>
      </c>
      <c r="BC1163" s="69"/>
      <c r="BD1163" s="69"/>
      <c r="BF1163" s="69">
        <v>226.65</v>
      </c>
      <c r="BG1163" s="69">
        <v>6</v>
      </c>
      <c r="CC1163" s="94">
        <f t="shared" si="106"/>
        <v>8269</v>
      </c>
      <c r="CD1163" s="73">
        <f t="shared" si="108"/>
        <v>0</v>
      </c>
      <c r="CE1163" s="75">
        <f t="shared" si="107"/>
        <v>3816</v>
      </c>
      <c r="CF1163" s="69" t="str">
        <f t="shared" si="107"/>
        <v>برنامج دولى</v>
      </c>
    </row>
    <row r="1164" spans="2:86" x14ac:dyDescent="0.25">
      <c r="B1164" s="82">
        <v>6452</v>
      </c>
      <c r="C1164" s="78">
        <v>3817</v>
      </c>
      <c r="D1164" s="69" t="s">
        <v>249</v>
      </c>
      <c r="E1164" s="107" t="s">
        <v>3959</v>
      </c>
      <c r="T1164" s="69"/>
      <c r="U1164" s="69"/>
      <c r="W1164" s="69">
        <v>4250</v>
      </c>
      <c r="AR1164" s="94">
        <f t="shared" si="87"/>
        <v>4250</v>
      </c>
      <c r="AS1164" s="69">
        <v>4250</v>
      </c>
      <c r="AT1164" s="69"/>
      <c r="BC1164" s="69"/>
      <c r="BD1164" s="69"/>
      <c r="CC1164" s="94">
        <f t="shared" si="106"/>
        <v>4250</v>
      </c>
      <c r="CD1164" s="73">
        <f t="shared" si="108"/>
        <v>0</v>
      </c>
      <c r="CE1164" s="75">
        <f t="shared" si="107"/>
        <v>3817</v>
      </c>
      <c r="CF1164" s="69" t="str">
        <f t="shared" si="107"/>
        <v>خدمة عامة</v>
      </c>
    </row>
    <row r="1165" spans="2:86" x14ac:dyDescent="0.25">
      <c r="B1165" s="82">
        <v>6337</v>
      </c>
      <c r="C1165" s="78">
        <v>3818</v>
      </c>
      <c r="D1165" s="69" t="s">
        <v>249</v>
      </c>
      <c r="E1165" s="107" t="s">
        <v>3960</v>
      </c>
      <c r="T1165" s="69"/>
      <c r="U1165" s="69"/>
      <c r="W1165" s="69">
        <v>8500</v>
      </c>
      <c r="AR1165" s="94">
        <f t="shared" si="87"/>
        <v>8500</v>
      </c>
      <c r="AS1165" s="69">
        <v>8500</v>
      </c>
      <c r="AT1165" s="69"/>
      <c r="BC1165" s="69"/>
      <c r="BD1165" s="69"/>
      <c r="CC1165" s="94">
        <f t="shared" si="106"/>
        <v>8500</v>
      </c>
      <c r="CD1165" s="73">
        <f t="shared" si="108"/>
        <v>0</v>
      </c>
      <c r="CE1165" s="75">
        <f t="shared" si="107"/>
        <v>3818</v>
      </c>
      <c r="CF1165" s="69" t="str">
        <f t="shared" si="107"/>
        <v>خدمة عامة</v>
      </c>
    </row>
    <row r="1166" spans="2:86" x14ac:dyDescent="0.25">
      <c r="B1166" s="82">
        <v>5909</v>
      </c>
      <c r="C1166" s="78">
        <v>3819</v>
      </c>
      <c r="D1166" s="69" t="s">
        <v>249</v>
      </c>
      <c r="E1166" s="107" t="s">
        <v>3961</v>
      </c>
      <c r="H1166" s="69">
        <v>2000</v>
      </c>
      <c r="O1166" s="69">
        <v>2000</v>
      </c>
      <c r="T1166" s="69"/>
      <c r="U1166" s="69"/>
      <c r="AR1166" s="94">
        <f t="shared" si="87"/>
        <v>4000</v>
      </c>
      <c r="AS1166" s="69">
        <v>2000</v>
      </c>
      <c r="AT1166" s="69"/>
      <c r="BC1166" s="69"/>
      <c r="BD1166" s="69"/>
      <c r="BN1166" s="69">
        <v>2000</v>
      </c>
      <c r="CC1166" s="94">
        <f t="shared" si="106"/>
        <v>4000</v>
      </c>
      <c r="CD1166" s="73">
        <f t="shared" si="108"/>
        <v>0</v>
      </c>
      <c r="CE1166" s="75">
        <f t="shared" si="107"/>
        <v>3819</v>
      </c>
      <c r="CF1166" s="69" t="str">
        <f t="shared" si="107"/>
        <v>خدمة عامة</v>
      </c>
    </row>
    <row r="1167" spans="2:86" s="68" customFormat="1" x14ac:dyDescent="0.25">
      <c r="B1167" s="83"/>
      <c r="C1167" s="84"/>
      <c r="E1167" s="108" t="s">
        <v>3962</v>
      </c>
      <c r="G1167" s="68">
        <f t="shared" ref="G1167:AL1167" si="109">SUM(G1013:G1166)</f>
        <v>1262284.419999999</v>
      </c>
      <c r="H1167" s="68">
        <f t="shared" si="109"/>
        <v>18000</v>
      </c>
      <c r="I1167" s="68">
        <f t="shared" si="109"/>
        <v>0</v>
      </c>
      <c r="J1167" s="68">
        <f t="shared" si="109"/>
        <v>0</v>
      </c>
      <c r="K1167" s="68">
        <f t="shared" si="109"/>
        <v>0</v>
      </c>
      <c r="L1167" s="68">
        <f t="shared" si="109"/>
        <v>0</v>
      </c>
      <c r="M1167" s="68">
        <f t="shared" si="109"/>
        <v>0</v>
      </c>
      <c r="N1167" s="68">
        <f t="shared" si="109"/>
        <v>0</v>
      </c>
      <c r="O1167" s="68">
        <f t="shared" si="109"/>
        <v>18000</v>
      </c>
      <c r="P1167" s="68">
        <f t="shared" si="109"/>
        <v>0</v>
      </c>
      <c r="Q1167" s="68">
        <f t="shared" si="109"/>
        <v>0</v>
      </c>
      <c r="R1167" s="68">
        <f t="shared" si="109"/>
        <v>0</v>
      </c>
      <c r="S1167" s="68">
        <f t="shared" si="109"/>
        <v>0</v>
      </c>
      <c r="T1167" s="68">
        <f t="shared" si="109"/>
        <v>0</v>
      </c>
      <c r="U1167" s="68">
        <f t="shared" si="109"/>
        <v>0</v>
      </c>
      <c r="V1167" s="68">
        <f t="shared" si="109"/>
        <v>0</v>
      </c>
      <c r="W1167" s="68">
        <f t="shared" si="109"/>
        <v>21019</v>
      </c>
      <c r="X1167" s="68">
        <f t="shared" si="109"/>
        <v>0</v>
      </c>
      <c r="Y1167" s="68">
        <f t="shared" si="109"/>
        <v>0</v>
      </c>
      <c r="Z1167" s="68">
        <f t="shared" si="109"/>
        <v>0</v>
      </c>
      <c r="AA1167" s="68">
        <f t="shared" si="109"/>
        <v>0</v>
      </c>
      <c r="AB1167" s="68">
        <f t="shared" si="109"/>
        <v>0</v>
      </c>
      <c r="AC1167" s="68">
        <f t="shared" si="109"/>
        <v>0</v>
      </c>
      <c r="AD1167" s="68">
        <f t="shared" si="109"/>
        <v>0</v>
      </c>
      <c r="AE1167" s="68">
        <f t="shared" si="109"/>
        <v>0</v>
      </c>
      <c r="AF1167" s="68">
        <f t="shared" si="109"/>
        <v>0</v>
      </c>
      <c r="AG1167" s="68">
        <f t="shared" si="109"/>
        <v>0</v>
      </c>
      <c r="AH1167" s="68">
        <f t="shared" si="109"/>
        <v>0</v>
      </c>
      <c r="AI1167" s="68">
        <f t="shared" si="109"/>
        <v>0</v>
      </c>
      <c r="AJ1167" s="68">
        <f t="shared" si="109"/>
        <v>0</v>
      </c>
      <c r="AK1167" s="68">
        <f t="shared" si="109"/>
        <v>0</v>
      </c>
      <c r="AL1167" s="68">
        <f t="shared" si="109"/>
        <v>0</v>
      </c>
      <c r="AM1167" s="68">
        <f t="shared" ref="AM1167:CD1167" si="110">SUM(AM1013:AM1166)</f>
        <v>0</v>
      </c>
      <c r="AO1167" s="68">
        <f t="shared" si="110"/>
        <v>0</v>
      </c>
      <c r="AP1167" s="68">
        <f t="shared" si="110"/>
        <v>0</v>
      </c>
      <c r="AQ1167" s="68">
        <f t="shared" si="110"/>
        <v>0</v>
      </c>
      <c r="AR1167" s="91">
        <f t="shared" si="110"/>
        <v>1319303.419999999</v>
      </c>
      <c r="AS1167" s="68">
        <f t="shared" si="110"/>
        <v>1058271.8900000004</v>
      </c>
      <c r="AT1167" s="68">
        <f t="shared" si="110"/>
        <v>128108.24000000002</v>
      </c>
      <c r="AU1167" s="68">
        <f t="shared" si="110"/>
        <v>104391.93999999997</v>
      </c>
      <c r="AV1167" s="68">
        <f t="shared" si="110"/>
        <v>10298.700000000001</v>
      </c>
      <c r="AW1167" s="68">
        <f t="shared" si="110"/>
        <v>0</v>
      </c>
      <c r="AX1167" s="68">
        <f t="shared" si="110"/>
        <v>0</v>
      </c>
      <c r="AY1167" s="68">
        <f t="shared" si="110"/>
        <v>0</v>
      </c>
      <c r="AZ1167" s="68">
        <f t="shared" si="110"/>
        <v>0</v>
      </c>
      <c r="BA1167" s="68">
        <f t="shared" si="110"/>
        <v>0</v>
      </c>
      <c r="BB1167" s="68">
        <f t="shared" si="110"/>
        <v>0</v>
      </c>
      <c r="BC1167" s="68">
        <f t="shared" si="110"/>
        <v>0</v>
      </c>
      <c r="BD1167" s="68">
        <f t="shared" si="110"/>
        <v>0</v>
      </c>
      <c r="BE1167" s="68">
        <f t="shared" si="110"/>
        <v>0</v>
      </c>
      <c r="BF1167" s="68">
        <f t="shared" si="110"/>
        <v>226.65</v>
      </c>
      <c r="BG1167" s="68">
        <f t="shared" si="110"/>
        <v>6</v>
      </c>
      <c r="BH1167" s="68">
        <f t="shared" si="110"/>
        <v>0</v>
      </c>
      <c r="BI1167" s="68">
        <f t="shared" si="110"/>
        <v>0</v>
      </c>
      <c r="BJ1167" s="68">
        <f t="shared" si="110"/>
        <v>0</v>
      </c>
      <c r="BK1167" s="68">
        <f t="shared" si="110"/>
        <v>0</v>
      </c>
      <c r="BL1167" s="68">
        <f t="shared" si="110"/>
        <v>0</v>
      </c>
      <c r="BM1167" s="68">
        <f t="shared" si="110"/>
        <v>0</v>
      </c>
      <c r="BN1167" s="68">
        <f t="shared" si="110"/>
        <v>18000</v>
      </c>
      <c r="BO1167" s="68">
        <f t="shared" si="110"/>
        <v>0</v>
      </c>
      <c r="BP1167" s="68">
        <f t="shared" si="110"/>
        <v>0</v>
      </c>
      <c r="BQ1167" s="68">
        <f t="shared" si="110"/>
        <v>0</v>
      </c>
      <c r="BR1167" s="68">
        <f t="shared" si="110"/>
        <v>0</v>
      </c>
      <c r="BS1167" s="68">
        <f t="shared" si="110"/>
        <v>0</v>
      </c>
      <c r="BT1167" s="68">
        <f t="shared" si="110"/>
        <v>0</v>
      </c>
      <c r="BU1167" s="68">
        <f t="shared" si="110"/>
        <v>0</v>
      </c>
      <c r="BV1167" s="68">
        <f t="shared" si="110"/>
        <v>0</v>
      </c>
      <c r="BW1167" s="68">
        <f t="shared" si="110"/>
        <v>0</v>
      </c>
      <c r="BX1167" s="68">
        <f t="shared" si="110"/>
        <v>0</v>
      </c>
      <c r="BY1167" s="68">
        <f t="shared" si="110"/>
        <v>0</v>
      </c>
      <c r="BZ1167" s="68">
        <f t="shared" si="110"/>
        <v>0</v>
      </c>
      <c r="CA1167" s="68">
        <f t="shared" si="110"/>
        <v>0</v>
      </c>
      <c r="CB1167" s="68">
        <f t="shared" si="110"/>
        <v>0</v>
      </c>
      <c r="CC1167" s="91">
        <f t="shared" si="110"/>
        <v>1319303.419999999</v>
      </c>
      <c r="CD1167" s="68">
        <f t="shared" si="110"/>
        <v>0</v>
      </c>
      <c r="CE1167" s="67"/>
      <c r="CF1167" s="68">
        <f>SUM(CF1013:CF1166)</f>
        <v>0</v>
      </c>
      <c r="CG1167" s="68">
        <f>SUM(CG1013:CG1166)</f>
        <v>0</v>
      </c>
      <c r="CH1167" s="68">
        <f>SUM(CH1013:CH1166)</f>
        <v>0</v>
      </c>
    </row>
    <row r="1168" spans="2:86" x14ac:dyDescent="0.25">
      <c r="B1168" s="82"/>
      <c r="C1168" s="78">
        <v>3745</v>
      </c>
      <c r="D1168" s="69" t="s">
        <v>78</v>
      </c>
      <c r="E1168" s="107" t="s">
        <v>3963</v>
      </c>
      <c r="F1168" s="69" t="s">
        <v>220</v>
      </c>
      <c r="G1168" s="69">
        <v>2579.5</v>
      </c>
      <c r="T1168" s="69"/>
      <c r="U1168" s="69"/>
      <c r="AR1168" s="91">
        <v>2579.5</v>
      </c>
      <c r="AS1168" s="69">
        <v>1426.84</v>
      </c>
      <c r="AT1168" s="69">
        <v>531.16</v>
      </c>
      <c r="AU1168" s="69">
        <v>621.5</v>
      </c>
      <c r="BC1168" s="69"/>
      <c r="BD1168" s="69"/>
      <c r="CC1168" s="91">
        <v>2579.5</v>
      </c>
      <c r="CD1168" s="69">
        <v>0</v>
      </c>
      <c r="CE1168" s="75">
        <v>3745</v>
      </c>
      <c r="CF1168" s="69" t="s">
        <v>78</v>
      </c>
    </row>
    <row r="1169" spans="2:86" s="68" customFormat="1" x14ac:dyDescent="0.25">
      <c r="B1169" s="83"/>
      <c r="C1169" s="84"/>
      <c r="E1169" s="108" t="s">
        <v>3964</v>
      </c>
      <c r="G1169" s="68">
        <f>SUM(G1168)</f>
        <v>2579.5</v>
      </c>
      <c r="H1169" s="68">
        <f t="shared" ref="H1169:BT1169" si="111">SUM(H1168)</f>
        <v>0</v>
      </c>
      <c r="I1169" s="68">
        <f t="shared" si="111"/>
        <v>0</v>
      </c>
      <c r="J1169" s="68">
        <f t="shared" si="111"/>
        <v>0</v>
      </c>
      <c r="K1169" s="68">
        <f t="shared" si="111"/>
        <v>0</v>
      </c>
      <c r="L1169" s="68">
        <f t="shared" si="111"/>
        <v>0</v>
      </c>
      <c r="M1169" s="68">
        <f t="shared" si="111"/>
        <v>0</v>
      </c>
      <c r="N1169" s="68">
        <f t="shared" si="111"/>
        <v>0</v>
      </c>
      <c r="O1169" s="68">
        <f t="shared" si="111"/>
        <v>0</v>
      </c>
      <c r="P1169" s="68">
        <f t="shared" si="111"/>
        <v>0</v>
      </c>
      <c r="Q1169" s="68">
        <f t="shared" si="111"/>
        <v>0</v>
      </c>
      <c r="R1169" s="68">
        <f t="shared" si="111"/>
        <v>0</v>
      </c>
      <c r="S1169" s="68">
        <f t="shared" si="111"/>
        <v>0</v>
      </c>
      <c r="T1169" s="68">
        <f t="shared" si="111"/>
        <v>0</v>
      </c>
      <c r="U1169" s="68">
        <f t="shared" si="111"/>
        <v>0</v>
      </c>
      <c r="V1169" s="68">
        <f t="shared" si="111"/>
        <v>0</v>
      </c>
      <c r="W1169" s="68">
        <f t="shared" si="111"/>
        <v>0</v>
      </c>
      <c r="X1169" s="68">
        <f t="shared" si="111"/>
        <v>0</v>
      </c>
      <c r="Y1169" s="68">
        <f t="shared" si="111"/>
        <v>0</v>
      </c>
      <c r="Z1169" s="68">
        <f t="shared" si="111"/>
        <v>0</v>
      </c>
      <c r="AA1169" s="68">
        <f t="shared" si="111"/>
        <v>0</v>
      </c>
      <c r="AB1169" s="68">
        <f t="shared" si="111"/>
        <v>0</v>
      </c>
      <c r="AC1169" s="68">
        <f t="shared" si="111"/>
        <v>0</v>
      </c>
      <c r="AD1169" s="68">
        <f t="shared" si="111"/>
        <v>0</v>
      </c>
      <c r="AE1169" s="68">
        <f t="shared" si="111"/>
        <v>0</v>
      </c>
      <c r="AF1169" s="68">
        <f t="shared" si="111"/>
        <v>0</v>
      </c>
      <c r="AG1169" s="68">
        <f t="shared" si="111"/>
        <v>0</v>
      </c>
      <c r="AH1169" s="68">
        <f t="shared" si="111"/>
        <v>0</v>
      </c>
      <c r="AI1169" s="68">
        <f t="shared" si="111"/>
        <v>0</v>
      </c>
      <c r="AJ1169" s="68">
        <f t="shared" si="111"/>
        <v>0</v>
      </c>
      <c r="AK1169" s="68">
        <f t="shared" si="111"/>
        <v>0</v>
      </c>
      <c r="AL1169" s="68">
        <f t="shared" si="111"/>
        <v>0</v>
      </c>
      <c r="AM1169" s="68">
        <f t="shared" si="111"/>
        <v>0</v>
      </c>
      <c r="AO1169" s="68">
        <f t="shared" si="111"/>
        <v>0</v>
      </c>
      <c r="AP1169" s="68">
        <f t="shared" si="111"/>
        <v>0</v>
      </c>
      <c r="AQ1169" s="68">
        <f t="shared" si="111"/>
        <v>0</v>
      </c>
      <c r="AR1169" s="91">
        <f t="shared" si="111"/>
        <v>2579.5</v>
      </c>
      <c r="AS1169" s="68">
        <f t="shared" si="111"/>
        <v>1426.84</v>
      </c>
      <c r="AT1169" s="68">
        <f t="shared" si="111"/>
        <v>531.16</v>
      </c>
      <c r="AU1169" s="68">
        <f t="shared" si="111"/>
        <v>621.5</v>
      </c>
      <c r="AV1169" s="68">
        <f t="shared" si="111"/>
        <v>0</v>
      </c>
      <c r="AW1169" s="68">
        <f t="shared" si="111"/>
        <v>0</v>
      </c>
      <c r="AX1169" s="68">
        <f t="shared" si="111"/>
        <v>0</v>
      </c>
      <c r="AY1169" s="68">
        <f t="shared" si="111"/>
        <v>0</v>
      </c>
      <c r="AZ1169" s="68">
        <f t="shared" si="111"/>
        <v>0</v>
      </c>
      <c r="BA1169" s="68">
        <f t="shared" si="111"/>
        <v>0</v>
      </c>
      <c r="BB1169" s="68">
        <f t="shared" si="111"/>
        <v>0</v>
      </c>
      <c r="BC1169" s="68">
        <f t="shared" si="111"/>
        <v>0</v>
      </c>
      <c r="BD1169" s="68">
        <f t="shared" si="111"/>
        <v>0</v>
      </c>
      <c r="BE1169" s="68">
        <f t="shared" si="111"/>
        <v>0</v>
      </c>
      <c r="BF1169" s="68">
        <f t="shared" si="111"/>
        <v>0</v>
      </c>
      <c r="BG1169" s="68">
        <f t="shared" si="111"/>
        <v>0</v>
      </c>
      <c r="BH1169" s="68">
        <f t="shared" si="111"/>
        <v>0</v>
      </c>
      <c r="BI1169" s="68">
        <f t="shared" si="111"/>
        <v>0</v>
      </c>
      <c r="BJ1169" s="68">
        <f t="shared" si="111"/>
        <v>0</v>
      </c>
      <c r="BK1169" s="68">
        <f t="shared" si="111"/>
        <v>0</v>
      </c>
      <c r="BL1169" s="68">
        <f t="shared" si="111"/>
        <v>0</v>
      </c>
      <c r="BM1169" s="68">
        <f t="shared" si="111"/>
        <v>0</v>
      </c>
      <c r="BN1169" s="68">
        <f t="shared" si="111"/>
        <v>0</v>
      </c>
      <c r="BO1169" s="68">
        <f t="shared" si="111"/>
        <v>0</v>
      </c>
      <c r="BP1169" s="68">
        <f t="shared" si="111"/>
        <v>0</v>
      </c>
      <c r="BQ1169" s="68">
        <f t="shared" si="111"/>
        <v>0</v>
      </c>
      <c r="BR1169" s="68">
        <f t="shared" si="111"/>
        <v>0</v>
      </c>
      <c r="BS1169" s="68">
        <f t="shared" si="111"/>
        <v>0</v>
      </c>
      <c r="BT1169" s="68">
        <f t="shared" si="111"/>
        <v>0</v>
      </c>
      <c r="BU1169" s="68">
        <f t="shared" ref="BU1169:CH1169" si="112">SUM(BU1168)</f>
        <v>0</v>
      </c>
      <c r="BV1169" s="68">
        <f t="shared" si="112"/>
        <v>0</v>
      </c>
      <c r="BW1169" s="68">
        <f t="shared" si="112"/>
        <v>0</v>
      </c>
      <c r="BX1169" s="68">
        <f t="shared" si="112"/>
        <v>0</v>
      </c>
      <c r="BY1169" s="68">
        <f t="shared" si="112"/>
        <v>0</v>
      </c>
      <c r="BZ1169" s="68">
        <f t="shared" si="112"/>
        <v>0</v>
      </c>
      <c r="CA1169" s="68">
        <f t="shared" si="112"/>
        <v>0</v>
      </c>
      <c r="CB1169" s="68">
        <f t="shared" si="112"/>
        <v>0</v>
      </c>
      <c r="CC1169" s="91">
        <f t="shared" si="112"/>
        <v>2579.5</v>
      </c>
      <c r="CD1169" s="68">
        <f t="shared" si="112"/>
        <v>0</v>
      </c>
      <c r="CF1169" s="68">
        <f t="shared" si="112"/>
        <v>0</v>
      </c>
      <c r="CG1169" s="68">
        <f t="shared" si="112"/>
        <v>0</v>
      </c>
      <c r="CH1169" s="68">
        <f t="shared" si="112"/>
        <v>0</v>
      </c>
    </row>
    <row r="1170" spans="2:86" ht="22.5" x14ac:dyDescent="0.25">
      <c r="B1170" s="82"/>
      <c r="C1170" s="78">
        <v>3820</v>
      </c>
      <c r="D1170" s="69" t="s">
        <v>78</v>
      </c>
      <c r="E1170" s="107" t="s">
        <v>3965</v>
      </c>
      <c r="F1170" s="63" t="s">
        <v>220</v>
      </c>
      <c r="G1170" s="176">
        <v>351.75</v>
      </c>
      <c r="T1170" s="69"/>
      <c r="U1170" s="69"/>
      <c r="AR1170" s="94">
        <f t="shared" si="87"/>
        <v>351.75</v>
      </c>
      <c r="AS1170" s="69">
        <v>232.27</v>
      </c>
      <c r="AT1170" s="69">
        <v>34.729999999999997</v>
      </c>
      <c r="AU1170" s="69">
        <v>84.75</v>
      </c>
      <c r="BC1170" s="69"/>
      <c r="BD1170" s="69"/>
      <c r="CC1170" s="94">
        <f t="shared" si="106"/>
        <v>351.75</v>
      </c>
      <c r="CD1170" s="73">
        <f t="shared" si="108"/>
        <v>0</v>
      </c>
      <c r="CE1170" s="75">
        <f t="shared" si="107"/>
        <v>3820</v>
      </c>
      <c r="CF1170" s="69" t="str">
        <f t="shared" si="107"/>
        <v>برنامج دولى</v>
      </c>
    </row>
    <row r="1171" spans="2:86" s="68" customFormat="1" ht="22.5" x14ac:dyDescent="0.25">
      <c r="B1171" s="83"/>
      <c r="C1171" s="84"/>
      <c r="E1171" s="108" t="s">
        <v>3966</v>
      </c>
      <c r="G1171" s="177">
        <f>SUM(G1170)</f>
        <v>351.75</v>
      </c>
      <c r="H1171" s="177">
        <f t="shared" ref="H1171:BT1171" si="113">SUM(H1170)</f>
        <v>0</v>
      </c>
      <c r="I1171" s="177">
        <f t="shared" si="113"/>
        <v>0</v>
      </c>
      <c r="J1171" s="177">
        <f t="shared" si="113"/>
        <v>0</v>
      </c>
      <c r="K1171" s="177">
        <f t="shared" si="113"/>
        <v>0</v>
      </c>
      <c r="L1171" s="177">
        <f t="shared" si="113"/>
        <v>0</v>
      </c>
      <c r="M1171" s="177">
        <f t="shared" si="113"/>
        <v>0</v>
      </c>
      <c r="N1171" s="177">
        <f t="shared" si="113"/>
        <v>0</v>
      </c>
      <c r="O1171" s="177">
        <f t="shared" si="113"/>
        <v>0</v>
      </c>
      <c r="P1171" s="177">
        <f t="shared" si="113"/>
        <v>0</v>
      </c>
      <c r="Q1171" s="177">
        <f t="shared" si="113"/>
        <v>0</v>
      </c>
      <c r="R1171" s="177">
        <f t="shared" si="113"/>
        <v>0</v>
      </c>
      <c r="S1171" s="177">
        <f t="shared" si="113"/>
        <v>0</v>
      </c>
      <c r="T1171" s="177">
        <f t="shared" si="113"/>
        <v>0</v>
      </c>
      <c r="U1171" s="177">
        <f t="shared" si="113"/>
        <v>0</v>
      </c>
      <c r="V1171" s="177">
        <f t="shared" si="113"/>
        <v>0</v>
      </c>
      <c r="W1171" s="177">
        <f t="shared" si="113"/>
        <v>0</v>
      </c>
      <c r="X1171" s="177">
        <f t="shared" si="113"/>
        <v>0</v>
      </c>
      <c r="Y1171" s="177">
        <f t="shared" si="113"/>
        <v>0</v>
      </c>
      <c r="Z1171" s="177">
        <f t="shared" si="113"/>
        <v>0</v>
      </c>
      <c r="AA1171" s="177">
        <f t="shared" si="113"/>
        <v>0</v>
      </c>
      <c r="AB1171" s="177">
        <f t="shared" si="113"/>
        <v>0</v>
      </c>
      <c r="AC1171" s="177">
        <f t="shared" si="113"/>
        <v>0</v>
      </c>
      <c r="AD1171" s="177">
        <f t="shared" si="113"/>
        <v>0</v>
      </c>
      <c r="AE1171" s="177">
        <f t="shared" si="113"/>
        <v>0</v>
      </c>
      <c r="AF1171" s="177">
        <f t="shared" si="113"/>
        <v>0</v>
      </c>
      <c r="AG1171" s="177">
        <f t="shared" si="113"/>
        <v>0</v>
      </c>
      <c r="AH1171" s="177">
        <f t="shared" si="113"/>
        <v>0</v>
      </c>
      <c r="AI1171" s="177">
        <f t="shared" si="113"/>
        <v>0</v>
      </c>
      <c r="AJ1171" s="177">
        <f t="shared" si="113"/>
        <v>0</v>
      </c>
      <c r="AK1171" s="177">
        <f t="shared" si="113"/>
        <v>0</v>
      </c>
      <c r="AL1171" s="177">
        <f t="shared" si="113"/>
        <v>0</v>
      </c>
      <c r="AM1171" s="177">
        <f t="shared" si="113"/>
        <v>0</v>
      </c>
      <c r="AN1171" s="177"/>
      <c r="AO1171" s="177">
        <f t="shared" si="113"/>
        <v>0</v>
      </c>
      <c r="AP1171" s="177">
        <f t="shared" si="113"/>
        <v>0</v>
      </c>
      <c r="AQ1171" s="177">
        <f t="shared" si="113"/>
        <v>0</v>
      </c>
      <c r="AR1171" s="178">
        <f t="shared" si="113"/>
        <v>351.75</v>
      </c>
      <c r="AS1171" s="177">
        <f t="shared" si="113"/>
        <v>232.27</v>
      </c>
      <c r="AT1171" s="177">
        <f t="shared" si="113"/>
        <v>34.729999999999997</v>
      </c>
      <c r="AU1171" s="177">
        <f t="shared" si="113"/>
        <v>84.75</v>
      </c>
      <c r="AV1171" s="177">
        <f t="shared" si="113"/>
        <v>0</v>
      </c>
      <c r="AW1171" s="177">
        <f t="shared" si="113"/>
        <v>0</v>
      </c>
      <c r="AX1171" s="177">
        <f t="shared" si="113"/>
        <v>0</v>
      </c>
      <c r="AY1171" s="177">
        <f t="shared" si="113"/>
        <v>0</v>
      </c>
      <c r="AZ1171" s="177">
        <f t="shared" si="113"/>
        <v>0</v>
      </c>
      <c r="BA1171" s="177">
        <f t="shared" si="113"/>
        <v>0</v>
      </c>
      <c r="BB1171" s="177">
        <f t="shared" si="113"/>
        <v>0</v>
      </c>
      <c r="BC1171" s="177">
        <f t="shared" si="113"/>
        <v>0</v>
      </c>
      <c r="BD1171" s="177">
        <f t="shared" si="113"/>
        <v>0</v>
      </c>
      <c r="BE1171" s="177">
        <f t="shared" si="113"/>
        <v>0</v>
      </c>
      <c r="BF1171" s="177">
        <f t="shared" si="113"/>
        <v>0</v>
      </c>
      <c r="BG1171" s="177">
        <f t="shared" si="113"/>
        <v>0</v>
      </c>
      <c r="BH1171" s="177">
        <f t="shared" si="113"/>
        <v>0</v>
      </c>
      <c r="BI1171" s="177">
        <f t="shared" si="113"/>
        <v>0</v>
      </c>
      <c r="BJ1171" s="177">
        <f t="shared" si="113"/>
        <v>0</v>
      </c>
      <c r="BK1171" s="177">
        <f t="shared" si="113"/>
        <v>0</v>
      </c>
      <c r="BL1171" s="177">
        <f t="shared" si="113"/>
        <v>0</v>
      </c>
      <c r="BM1171" s="177">
        <f t="shared" si="113"/>
        <v>0</v>
      </c>
      <c r="BN1171" s="177">
        <f t="shared" si="113"/>
        <v>0</v>
      </c>
      <c r="BO1171" s="177">
        <f t="shared" si="113"/>
        <v>0</v>
      </c>
      <c r="BP1171" s="177">
        <f t="shared" si="113"/>
        <v>0</v>
      </c>
      <c r="BQ1171" s="177">
        <f t="shared" si="113"/>
        <v>0</v>
      </c>
      <c r="BR1171" s="177">
        <f t="shared" si="113"/>
        <v>0</v>
      </c>
      <c r="BS1171" s="177">
        <f t="shared" si="113"/>
        <v>0</v>
      </c>
      <c r="BT1171" s="177">
        <f t="shared" si="113"/>
        <v>0</v>
      </c>
      <c r="BU1171" s="177">
        <f t="shared" ref="BU1171:CD1171" si="114">SUM(BU1170)</f>
        <v>0</v>
      </c>
      <c r="BV1171" s="177">
        <f t="shared" si="114"/>
        <v>0</v>
      </c>
      <c r="BW1171" s="177">
        <f t="shared" si="114"/>
        <v>0</v>
      </c>
      <c r="BX1171" s="177">
        <f t="shared" si="114"/>
        <v>0</v>
      </c>
      <c r="BY1171" s="177">
        <f t="shared" si="114"/>
        <v>0</v>
      </c>
      <c r="BZ1171" s="177">
        <f t="shared" si="114"/>
        <v>0</v>
      </c>
      <c r="CA1171" s="177">
        <f t="shared" si="114"/>
        <v>0</v>
      </c>
      <c r="CB1171" s="177">
        <f t="shared" si="114"/>
        <v>0</v>
      </c>
      <c r="CC1171" s="178">
        <f t="shared" si="114"/>
        <v>351.75</v>
      </c>
      <c r="CD1171" s="177">
        <f t="shared" si="114"/>
        <v>0</v>
      </c>
      <c r="CE1171" s="177"/>
      <c r="CF1171" s="177"/>
    </row>
    <row r="1172" spans="2:86" x14ac:dyDescent="0.25">
      <c r="B1172" s="82">
        <v>6680</v>
      </c>
      <c r="C1172" s="78">
        <v>3821</v>
      </c>
      <c r="D1172" s="69" t="s">
        <v>78</v>
      </c>
      <c r="E1172" s="107" t="s">
        <v>1004</v>
      </c>
      <c r="G1172" s="69">
        <v>2100</v>
      </c>
      <c r="T1172" s="69"/>
      <c r="U1172" s="69"/>
      <c r="AR1172" s="94">
        <f t="shared" si="87"/>
        <v>2100</v>
      </c>
      <c r="AS1172" s="69">
        <v>1875</v>
      </c>
      <c r="AT1172" s="69">
        <v>225</v>
      </c>
      <c r="BC1172" s="69"/>
      <c r="BD1172" s="69"/>
      <c r="CC1172" s="94">
        <f t="shared" si="106"/>
        <v>2100</v>
      </c>
      <c r="CD1172" s="73">
        <f t="shared" si="108"/>
        <v>0</v>
      </c>
      <c r="CE1172" s="75">
        <f t="shared" si="107"/>
        <v>3821</v>
      </c>
      <c r="CF1172" s="69" t="str">
        <f t="shared" si="107"/>
        <v>برنامج دولى</v>
      </c>
    </row>
    <row r="1173" spans="2:86" x14ac:dyDescent="0.25">
      <c r="B1173" s="82">
        <v>6405</v>
      </c>
      <c r="C1173" s="78">
        <v>3822</v>
      </c>
      <c r="D1173" s="69" t="s">
        <v>78</v>
      </c>
      <c r="E1173" s="107" t="s">
        <v>1909</v>
      </c>
      <c r="G1173" s="69">
        <v>2700</v>
      </c>
      <c r="T1173" s="69"/>
      <c r="U1173" s="69"/>
      <c r="AR1173" s="94">
        <f t="shared" si="87"/>
        <v>2700</v>
      </c>
      <c r="AS1173" s="69">
        <v>2413.9</v>
      </c>
      <c r="AT1173" s="69">
        <v>286.10000000000002</v>
      </c>
      <c r="BC1173" s="69"/>
      <c r="BD1173" s="69"/>
      <c r="CC1173" s="94">
        <f t="shared" ref="CC1173:CC1180" si="115">SUM(AS1173:CB1173)</f>
        <v>2700</v>
      </c>
      <c r="CD1173" s="73">
        <f t="shared" si="108"/>
        <v>0</v>
      </c>
      <c r="CE1173" s="75">
        <f t="shared" si="107"/>
        <v>3822</v>
      </c>
      <c r="CF1173" s="69" t="str">
        <f t="shared" si="107"/>
        <v>برنامج دولى</v>
      </c>
    </row>
    <row r="1174" spans="2:86" x14ac:dyDescent="0.25">
      <c r="B1174" s="82">
        <v>6406</v>
      </c>
      <c r="C1174" s="78">
        <v>3823</v>
      </c>
      <c r="D1174" s="69" t="s">
        <v>78</v>
      </c>
      <c r="E1174" s="107" t="s">
        <v>1909</v>
      </c>
      <c r="G1174" s="69">
        <v>11351.33</v>
      </c>
      <c r="T1174" s="69"/>
      <c r="U1174" s="69"/>
      <c r="AR1174" s="94">
        <f t="shared" si="87"/>
        <v>11351.33</v>
      </c>
      <c r="AS1174" s="69">
        <v>9986.33</v>
      </c>
      <c r="AT1174" s="69">
        <v>1199.05</v>
      </c>
      <c r="AU1174" s="69">
        <v>165.95</v>
      </c>
      <c r="BC1174" s="69"/>
      <c r="BD1174" s="69"/>
      <c r="CC1174" s="94">
        <f t="shared" si="115"/>
        <v>11351.33</v>
      </c>
      <c r="CD1174" s="73">
        <f t="shared" si="108"/>
        <v>0</v>
      </c>
      <c r="CE1174" s="75">
        <f t="shared" si="107"/>
        <v>3823</v>
      </c>
      <c r="CF1174" s="69" t="str">
        <f t="shared" si="107"/>
        <v>برنامج دولى</v>
      </c>
    </row>
    <row r="1175" spans="2:86" x14ac:dyDescent="0.25">
      <c r="B1175" s="82">
        <v>6407</v>
      </c>
      <c r="C1175" s="78">
        <v>3824</v>
      </c>
      <c r="D1175" s="69" t="s">
        <v>78</v>
      </c>
      <c r="E1175" s="107" t="s">
        <v>1909</v>
      </c>
      <c r="G1175" s="69">
        <v>2203.5</v>
      </c>
      <c r="T1175" s="69"/>
      <c r="U1175" s="69"/>
      <c r="AR1175" s="94">
        <f t="shared" si="87"/>
        <v>2203.5</v>
      </c>
      <c r="AS1175" s="69">
        <v>1809.7</v>
      </c>
      <c r="AT1175" s="69">
        <v>224.3</v>
      </c>
      <c r="AU1175" s="69">
        <v>169.5</v>
      </c>
      <c r="BC1175" s="69"/>
      <c r="BD1175" s="69"/>
      <c r="CC1175" s="94">
        <f t="shared" si="115"/>
        <v>2203.5</v>
      </c>
      <c r="CD1175" s="73">
        <f t="shared" si="108"/>
        <v>0</v>
      </c>
      <c r="CE1175" s="75">
        <f t="shared" si="107"/>
        <v>3824</v>
      </c>
      <c r="CF1175" s="69" t="str">
        <f t="shared" si="107"/>
        <v>برنامج دولى</v>
      </c>
    </row>
    <row r="1176" spans="2:86" x14ac:dyDescent="0.25">
      <c r="B1176" s="82">
        <v>6408</v>
      </c>
      <c r="C1176" s="78">
        <v>3825</v>
      </c>
      <c r="D1176" s="69" t="s">
        <v>78</v>
      </c>
      <c r="E1176" s="107" t="s">
        <v>1909</v>
      </c>
      <c r="G1176" s="69">
        <v>1700</v>
      </c>
      <c r="T1176" s="69"/>
      <c r="U1176" s="69"/>
      <c r="AR1176" s="94">
        <f t="shared" si="87"/>
        <v>1700</v>
      </c>
      <c r="AS1176" s="69">
        <v>1518.8</v>
      </c>
      <c r="AT1176" s="69">
        <v>181.2</v>
      </c>
      <c r="BC1176" s="69"/>
      <c r="BD1176" s="69"/>
      <c r="CC1176" s="94">
        <f t="shared" si="115"/>
        <v>1700</v>
      </c>
      <c r="CD1176" s="73">
        <f t="shared" si="108"/>
        <v>0</v>
      </c>
      <c r="CE1176" s="75">
        <f t="shared" si="107"/>
        <v>3825</v>
      </c>
      <c r="CF1176" s="69" t="str">
        <f t="shared" si="107"/>
        <v>برنامج دولى</v>
      </c>
    </row>
    <row r="1177" spans="2:86" x14ac:dyDescent="0.25">
      <c r="B1177" s="82">
        <v>6409</v>
      </c>
      <c r="C1177" s="78">
        <v>3826</v>
      </c>
      <c r="D1177" s="69" t="s">
        <v>78</v>
      </c>
      <c r="E1177" s="107" t="s">
        <v>1909</v>
      </c>
      <c r="G1177" s="69">
        <v>2421.25</v>
      </c>
      <c r="T1177" s="69"/>
      <c r="U1177" s="69"/>
      <c r="AR1177" s="94">
        <f t="shared" si="87"/>
        <v>2421.25</v>
      </c>
      <c r="AS1177" s="69">
        <v>2032.75</v>
      </c>
      <c r="AT1177" s="69">
        <v>247.25</v>
      </c>
      <c r="AU1177" s="69">
        <v>141.25</v>
      </c>
      <c r="BC1177" s="69"/>
      <c r="BD1177" s="69"/>
      <c r="CC1177" s="94">
        <f t="shared" si="115"/>
        <v>2421.25</v>
      </c>
      <c r="CD1177" s="73">
        <f t="shared" si="108"/>
        <v>0</v>
      </c>
      <c r="CE1177" s="75">
        <f t="shared" si="107"/>
        <v>3826</v>
      </c>
      <c r="CF1177" s="69" t="str">
        <f t="shared" si="107"/>
        <v>برنامج دولى</v>
      </c>
    </row>
    <row r="1178" spans="2:86" x14ac:dyDescent="0.25">
      <c r="B1178" s="82">
        <v>6410</v>
      </c>
      <c r="C1178" s="78">
        <v>3827</v>
      </c>
      <c r="D1178" s="69" t="s">
        <v>78</v>
      </c>
      <c r="E1178" s="107" t="s">
        <v>1909</v>
      </c>
      <c r="G1178" s="69">
        <v>300</v>
      </c>
      <c r="T1178" s="69"/>
      <c r="U1178" s="69"/>
      <c r="AR1178" s="94">
        <f t="shared" si="87"/>
        <v>300</v>
      </c>
      <c r="AS1178" s="69">
        <v>268.35000000000002</v>
      </c>
      <c r="AT1178" s="69">
        <v>31.65</v>
      </c>
      <c r="BC1178" s="69"/>
      <c r="BD1178" s="69"/>
      <c r="CC1178" s="94">
        <f t="shared" si="115"/>
        <v>300</v>
      </c>
      <c r="CD1178" s="73">
        <f t="shared" si="108"/>
        <v>0</v>
      </c>
      <c r="CE1178" s="75">
        <f t="shared" si="107"/>
        <v>3827</v>
      </c>
      <c r="CF1178" s="69" t="str">
        <f t="shared" si="107"/>
        <v>برنامج دولى</v>
      </c>
    </row>
    <row r="1179" spans="2:86" x14ac:dyDescent="0.25">
      <c r="B1179" s="82">
        <v>6411</v>
      </c>
      <c r="C1179" s="78">
        <v>3828</v>
      </c>
      <c r="D1179" s="69" t="s">
        <v>78</v>
      </c>
      <c r="E1179" s="107" t="s">
        <v>1909</v>
      </c>
      <c r="G1179" s="69">
        <v>250</v>
      </c>
      <c r="T1179" s="69"/>
      <c r="U1179" s="69"/>
      <c r="AR1179" s="94">
        <f t="shared" si="87"/>
        <v>250</v>
      </c>
      <c r="AS1179" s="69">
        <v>223.8</v>
      </c>
      <c r="AT1179" s="69">
        <v>26.2</v>
      </c>
      <c r="BC1179" s="69"/>
      <c r="BD1179" s="69"/>
      <c r="CC1179" s="94">
        <f t="shared" si="115"/>
        <v>250</v>
      </c>
      <c r="CD1179" s="73">
        <f t="shared" si="108"/>
        <v>0</v>
      </c>
      <c r="CE1179" s="75">
        <f t="shared" si="107"/>
        <v>3828</v>
      </c>
      <c r="CF1179" s="69" t="str">
        <f t="shared" si="107"/>
        <v>برنامج دولى</v>
      </c>
    </row>
    <row r="1180" spans="2:86" x14ac:dyDescent="0.25">
      <c r="B1180" s="82">
        <v>6412</v>
      </c>
      <c r="C1180" s="78">
        <v>3829</v>
      </c>
      <c r="D1180" s="69" t="s">
        <v>78</v>
      </c>
      <c r="E1180" s="107" t="s">
        <v>1909</v>
      </c>
      <c r="G1180" s="69">
        <v>700</v>
      </c>
      <c r="T1180" s="69"/>
      <c r="U1180" s="69"/>
      <c r="AR1180" s="94">
        <f t="shared" si="87"/>
        <v>700</v>
      </c>
      <c r="AS1180" s="69">
        <v>625.45000000000005</v>
      </c>
      <c r="AT1180" s="69">
        <v>74.55</v>
      </c>
      <c r="BC1180" s="69"/>
      <c r="BD1180" s="69"/>
      <c r="CC1180" s="94">
        <f t="shared" si="115"/>
        <v>700</v>
      </c>
      <c r="CD1180" s="73">
        <f t="shared" si="108"/>
        <v>0</v>
      </c>
      <c r="CE1180" s="75">
        <f t="shared" si="107"/>
        <v>3829</v>
      </c>
      <c r="CF1180" s="69" t="str">
        <f t="shared" si="107"/>
        <v>برنامج دولى</v>
      </c>
    </row>
    <row r="1181" spans="2:86" x14ac:dyDescent="0.25">
      <c r="B1181" s="82">
        <v>6413</v>
      </c>
      <c r="C1181" s="78">
        <v>3830</v>
      </c>
      <c r="D1181" s="69" t="s">
        <v>78</v>
      </c>
      <c r="E1181" s="107" t="s">
        <v>1909</v>
      </c>
      <c r="G1181" s="69">
        <v>703.5</v>
      </c>
      <c r="T1181" s="69"/>
      <c r="U1181" s="69"/>
      <c r="AR1181" s="94">
        <f t="shared" si="87"/>
        <v>703.5</v>
      </c>
      <c r="AS1181" s="69">
        <v>470.6</v>
      </c>
      <c r="AT1181" s="69">
        <v>63.4</v>
      </c>
      <c r="AU1181" s="69">
        <v>169.5</v>
      </c>
      <c r="BC1181" s="69"/>
      <c r="BD1181" s="69"/>
      <c r="CC1181" s="94">
        <f t="shared" si="106"/>
        <v>703.5</v>
      </c>
      <c r="CD1181" s="73">
        <f t="shared" si="108"/>
        <v>0</v>
      </c>
      <c r="CE1181" s="75">
        <f t="shared" si="107"/>
        <v>3830</v>
      </c>
      <c r="CF1181" s="69" t="str">
        <f t="shared" si="107"/>
        <v>برنامج دولى</v>
      </c>
    </row>
    <row r="1182" spans="2:86" x14ac:dyDescent="0.25">
      <c r="B1182" s="82">
        <v>6414</v>
      </c>
      <c r="C1182" s="78">
        <v>3831</v>
      </c>
      <c r="D1182" s="69" t="s">
        <v>78</v>
      </c>
      <c r="E1182" s="107" t="s">
        <v>1909</v>
      </c>
      <c r="G1182" s="69">
        <v>446.79</v>
      </c>
      <c r="T1182" s="69"/>
      <c r="U1182" s="69"/>
      <c r="AR1182" s="94">
        <f t="shared" si="87"/>
        <v>446.79</v>
      </c>
      <c r="AS1182" s="69">
        <v>328.52</v>
      </c>
      <c r="AT1182" s="69">
        <v>41.65</v>
      </c>
      <c r="AU1182" s="69">
        <v>76.62</v>
      </c>
      <c r="BC1182" s="69"/>
      <c r="BD1182" s="69"/>
      <c r="CC1182" s="94">
        <f t="shared" si="106"/>
        <v>446.78999999999996</v>
      </c>
      <c r="CD1182" s="73">
        <f t="shared" si="108"/>
        <v>0</v>
      </c>
      <c r="CE1182" s="75">
        <f t="shared" si="107"/>
        <v>3831</v>
      </c>
      <c r="CF1182" s="69" t="str">
        <f t="shared" si="107"/>
        <v>برنامج دولى</v>
      </c>
    </row>
    <row r="1183" spans="2:86" x14ac:dyDescent="0.25">
      <c r="B1183" s="82">
        <v>6417</v>
      </c>
      <c r="C1183" s="78">
        <v>3832</v>
      </c>
      <c r="D1183" s="69" t="s">
        <v>78</v>
      </c>
      <c r="E1183" s="107" t="s">
        <v>1909</v>
      </c>
      <c r="G1183" s="69">
        <v>700</v>
      </c>
      <c r="T1183" s="69"/>
      <c r="U1183" s="69"/>
      <c r="AR1183" s="94">
        <f t="shared" si="87"/>
        <v>700</v>
      </c>
      <c r="AS1183" s="69">
        <v>625.45000000000005</v>
      </c>
      <c r="AT1183" s="69">
        <v>74.55</v>
      </c>
      <c r="BC1183" s="69"/>
      <c r="BD1183" s="69"/>
      <c r="CC1183" s="94">
        <f t="shared" si="106"/>
        <v>700</v>
      </c>
      <c r="CD1183" s="73">
        <f t="shared" si="108"/>
        <v>0</v>
      </c>
      <c r="CE1183" s="75">
        <f t="shared" si="107"/>
        <v>3832</v>
      </c>
      <c r="CF1183" s="69" t="str">
        <f t="shared" si="107"/>
        <v>برنامج دولى</v>
      </c>
    </row>
    <row r="1184" spans="2:86" x14ac:dyDescent="0.25">
      <c r="B1184" s="82">
        <v>6423</v>
      </c>
      <c r="C1184" s="78">
        <v>3833</v>
      </c>
      <c r="D1184" s="69" t="s">
        <v>78</v>
      </c>
      <c r="E1184" s="107" t="s">
        <v>1228</v>
      </c>
      <c r="G1184" s="69">
        <v>2243.27</v>
      </c>
      <c r="T1184" s="69"/>
      <c r="U1184" s="69"/>
      <c r="AR1184" s="94">
        <f t="shared" si="87"/>
        <v>2243.27</v>
      </c>
      <c r="AS1184" s="69">
        <v>1938.36</v>
      </c>
      <c r="AT1184" s="69">
        <v>234.05</v>
      </c>
      <c r="AU1184" s="69">
        <v>70.86</v>
      </c>
      <c r="BC1184" s="69"/>
      <c r="BD1184" s="69"/>
      <c r="CC1184" s="94">
        <f t="shared" si="106"/>
        <v>2243.27</v>
      </c>
      <c r="CD1184" s="73">
        <f t="shared" si="108"/>
        <v>0</v>
      </c>
      <c r="CE1184" s="75">
        <f t="shared" si="107"/>
        <v>3833</v>
      </c>
      <c r="CF1184" s="69" t="str">
        <f t="shared" si="107"/>
        <v>برنامج دولى</v>
      </c>
    </row>
    <row r="1185" spans="2:84" x14ac:dyDescent="0.25">
      <c r="B1185" s="82">
        <v>6426</v>
      </c>
      <c r="C1185" s="78">
        <v>3834</v>
      </c>
      <c r="D1185" s="69" t="s">
        <v>78</v>
      </c>
      <c r="E1185" s="107" t="s">
        <v>1228</v>
      </c>
      <c r="G1185" s="69">
        <v>1900</v>
      </c>
      <c r="T1185" s="69"/>
      <c r="U1185" s="69"/>
      <c r="AR1185" s="94">
        <f t="shared" si="87"/>
        <v>1900</v>
      </c>
      <c r="AS1185" s="69">
        <v>1697.4</v>
      </c>
      <c r="AT1185" s="69">
        <v>202.6</v>
      </c>
      <c r="BC1185" s="69"/>
      <c r="BD1185" s="69"/>
      <c r="CC1185" s="94">
        <f t="shared" si="106"/>
        <v>1900</v>
      </c>
      <c r="CD1185" s="73">
        <f t="shared" si="108"/>
        <v>0</v>
      </c>
      <c r="CE1185" s="75">
        <f t="shared" si="107"/>
        <v>3834</v>
      </c>
      <c r="CF1185" s="69" t="str">
        <f t="shared" si="107"/>
        <v>برنامج دولى</v>
      </c>
    </row>
    <row r="1186" spans="2:84" x14ac:dyDescent="0.25">
      <c r="B1186" s="82">
        <v>6428</v>
      </c>
      <c r="C1186" s="78">
        <v>3835</v>
      </c>
      <c r="D1186" s="69" t="s">
        <v>78</v>
      </c>
      <c r="E1186" s="107" t="s">
        <v>3967</v>
      </c>
      <c r="G1186" s="69">
        <v>900</v>
      </c>
      <c r="T1186" s="69"/>
      <c r="U1186" s="69"/>
      <c r="AR1186" s="94">
        <f t="shared" si="87"/>
        <v>900</v>
      </c>
      <c r="AS1186" s="69">
        <v>804.05</v>
      </c>
      <c r="AT1186" s="69">
        <v>95.95</v>
      </c>
      <c r="BC1186" s="69"/>
      <c r="BD1186" s="69"/>
      <c r="CC1186" s="94">
        <f t="shared" si="106"/>
        <v>900</v>
      </c>
      <c r="CD1186" s="73">
        <f t="shared" si="108"/>
        <v>0</v>
      </c>
      <c r="CE1186" s="75">
        <f t="shared" si="107"/>
        <v>3835</v>
      </c>
      <c r="CF1186" s="69" t="str">
        <f t="shared" si="107"/>
        <v>برنامج دولى</v>
      </c>
    </row>
    <row r="1187" spans="2:84" x14ac:dyDescent="0.25">
      <c r="B1187" s="82">
        <v>6429</v>
      </c>
      <c r="C1187" s="78">
        <v>3836</v>
      </c>
      <c r="D1187" s="69" t="s">
        <v>78</v>
      </c>
      <c r="E1187" s="107" t="s">
        <v>3967</v>
      </c>
      <c r="G1187" s="69">
        <v>900</v>
      </c>
      <c r="T1187" s="69"/>
      <c r="U1187" s="69"/>
      <c r="AR1187" s="94">
        <f t="shared" si="87"/>
        <v>900</v>
      </c>
      <c r="AS1187" s="69">
        <v>804.05</v>
      </c>
      <c r="AT1187" s="69">
        <v>95.95</v>
      </c>
      <c r="BC1187" s="69"/>
      <c r="BD1187" s="69"/>
      <c r="CC1187" s="94">
        <f t="shared" si="106"/>
        <v>900</v>
      </c>
      <c r="CD1187" s="73">
        <f t="shared" si="108"/>
        <v>0</v>
      </c>
      <c r="CE1187" s="75">
        <f t="shared" si="107"/>
        <v>3836</v>
      </c>
      <c r="CF1187" s="69" t="str">
        <f t="shared" si="107"/>
        <v>برنامج دولى</v>
      </c>
    </row>
    <row r="1188" spans="2:84" x14ac:dyDescent="0.25">
      <c r="B1188" s="82">
        <v>6430</v>
      </c>
      <c r="C1188" s="78">
        <v>3837</v>
      </c>
      <c r="D1188" s="69" t="s">
        <v>78</v>
      </c>
      <c r="E1188" s="107" t="s">
        <v>3968</v>
      </c>
      <c r="G1188" s="69">
        <v>4416.07</v>
      </c>
      <c r="T1188" s="69"/>
      <c r="U1188" s="69"/>
      <c r="AR1188" s="94">
        <f t="shared" si="87"/>
        <v>4416.07</v>
      </c>
      <c r="AS1188" s="69">
        <v>3307.03</v>
      </c>
      <c r="AT1188" s="69">
        <v>427.65</v>
      </c>
      <c r="AU1188" s="69">
        <v>681.39</v>
      </c>
      <c r="BC1188" s="69"/>
      <c r="BD1188" s="69"/>
      <c r="CC1188" s="94">
        <f t="shared" si="105"/>
        <v>4416.0700000000006</v>
      </c>
      <c r="CD1188" s="73">
        <f t="shared" si="108"/>
        <v>0</v>
      </c>
      <c r="CE1188" s="75">
        <f t="shared" si="107"/>
        <v>3837</v>
      </c>
      <c r="CF1188" s="69" t="str">
        <f t="shared" si="107"/>
        <v>برنامج دولى</v>
      </c>
    </row>
    <row r="1189" spans="2:84" x14ac:dyDescent="0.25">
      <c r="B1189" s="82">
        <v>6431</v>
      </c>
      <c r="C1189" s="78">
        <v>3838</v>
      </c>
      <c r="D1189" s="69" t="s">
        <v>78</v>
      </c>
      <c r="E1189" s="107" t="s">
        <v>1644</v>
      </c>
      <c r="G1189" s="69">
        <v>2931.24</v>
      </c>
      <c r="T1189" s="69"/>
      <c r="U1189" s="69"/>
      <c r="AR1189" s="94">
        <f t="shared" ref="AR1189:AR1240" si="116">SUM(G1189:AQ1189)</f>
        <v>2931.24</v>
      </c>
      <c r="AS1189" s="69">
        <v>1959</v>
      </c>
      <c r="AT1189" s="69">
        <v>266</v>
      </c>
      <c r="AU1189" s="69">
        <v>706.24</v>
      </c>
      <c r="BC1189" s="69"/>
      <c r="BD1189" s="69"/>
      <c r="CC1189" s="94">
        <f t="shared" ref="CC1189:CC1240" si="117">SUM(AS1189:CB1189)</f>
        <v>2931.24</v>
      </c>
      <c r="CD1189" s="73">
        <f t="shared" si="108"/>
        <v>0</v>
      </c>
      <c r="CE1189" s="75">
        <f t="shared" ref="CE1189:CF1204" si="118">+C1189</f>
        <v>3838</v>
      </c>
      <c r="CF1189" s="69" t="str">
        <f t="shared" si="118"/>
        <v>برنامج دولى</v>
      </c>
    </row>
    <row r="1190" spans="2:84" x14ac:dyDescent="0.25">
      <c r="B1190" s="82">
        <v>6432</v>
      </c>
      <c r="C1190" s="78">
        <v>3839</v>
      </c>
      <c r="D1190" s="69" t="s">
        <v>78</v>
      </c>
      <c r="E1190" s="107" t="s">
        <v>3969</v>
      </c>
      <c r="G1190" s="69">
        <v>5201.7700000000004</v>
      </c>
      <c r="T1190" s="69"/>
      <c r="U1190" s="69"/>
      <c r="AR1190" s="94">
        <f t="shared" si="116"/>
        <v>5201.7700000000004</v>
      </c>
      <c r="AS1190" s="69">
        <v>3728.72</v>
      </c>
      <c r="AT1190" s="69">
        <v>487.55</v>
      </c>
      <c r="AU1190" s="69">
        <v>985.5</v>
      </c>
      <c r="BC1190" s="69"/>
      <c r="BD1190" s="69"/>
      <c r="CC1190" s="94">
        <f t="shared" si="117"/>
        <v>5201.7699999999995</v>
      </c>
      <c r="CD1190" s="73">
        <f t="shared" si="108"/>
        <v>0</v>
      </c>
      <c r="CE1190" s="75">
        <f t="shared" si="118"/>
        <v>3839</v>
      </c>
      <c r="CF1190" s="69" t="str">
        <f t="shared" si="118"/>
        <v>برنامج دولى</v>
      </c>
    </row>
    <row r="1191" spans="2:84" x14ac:dyDescent="0.25">
      <c r="B1191" s="82">
        <v>6433</v>
      </c>
      <c r="C1191" s="78">
        <v>3840</v>
      </c>
      <c r="D1191" s="69" t="s">
        <v>78</v>
      </c>
      <c r="E1191" s="107" t="s">
        <v>3969</v>
      </c>
      <c r="G1191" s="69">
        <v>2550</v>
      </c>
      <c r="T1191" s="69"/>
      <c r="U1191" s="69"/>
      <c r="AR1191" s="94">
        <f t="shared" si="116"/>
        <v>2550</v>
      </c>
      <c r="AS1191" s="69">
        <v>2278.1999999999998</v>
      </c>
      <c r="AT1191" s="69">
        <v>271.8</v>
      </c>
      <c r="BC1191" s="69"/>
      <c r="BD1191" s="69"/>
      <c r="CC1191" s="94">
        <f t="shared" si="117"/>
        <v>2550</v>
      </c>
      <c r="CD1191" s="73">
        <f t="shared" si="108"/>
        <v>0</v>
      </c>
      <c r="CE1191" s="75">
        <f t="shared" si="118"/>
        <v>3840</v>
      </c>
      <c r="CF1191" s="69" t="str">
        <f t="shared" si="118"/>
        <v>برنامج دولى</v>
      </c>
    </row>
    <row r="1192" spans="2:84" x14ac:dyDescent="0.25">
      <c r="B1192" s="82">
        <v>6434</v>
      </c>
      <c r="C1192" s="78">
        <v>3841</v>
      </c>
      <c r="D1192" s="69" t="s">
        <v>78</v>
      </c>
      <c r="E1192" s="107" t="s">
        <v>3969</v>
      </c>
      <c r="G1192" s="69">
        <v>1055.24</v>
      </c>
      <c r="T1192" s="69"/>
      <c r="U1192" s="69"/>
      <c r="AR1192" s="94">
        <f t="shared" si="116"/>
        <v>1055.24</v>
      </c>
      <c r="AS1192" s="69">
        <v>706.4</v>
      </c>
      <c r="AT1192" s="69">
        <v>94.6</v>
      </c>
      <c r="AU1192" s="69">
        <v>254.24</v>
      </c>
      <c r="BC1192" s="69"/>
      <c r="BD1192" s="69"/>
      <c r="CC1192" s="94">
        <f t="shared" si="117"/>
        <v>1055.24</v>
      </c>
      <c r="CD1192" s="73">
        <f t="shared" si="108"/>
        <v>0</v>
      </c>
      <c r="CE1192" s="75">
        <f t="shared" si="118"/>
        <v>3841</v>
      </c>
      <c r="CF1192" s="69" t="str">
        <f t="shared" si="118"/>
        <v>برنامج دولى</v>
      </c>
    </row>
    <row r="1193" spans="2:84" x14ac:dyDescent="0.25">
      <c r="B1193" s="82">
        <v>6439</v>
      </c>
      <c r="C1193" s="78">
        <v>3842</v>
      </c>
      <c r="D1193" s="69" t="s">
        <v>78</v>
      </c>
      <c r="E1193" s="107" t="s">
        <v>3970</v>
      </c>
      <c r="G1193" s="69">
        <v>2051.88</v>
      </c>
      <c r="T1193" s="69"/>
      <c r="U1193" s="69"/>
      <c r="AR1193" s="94">
        <f t="shared" si="116"/>
        <v>2051.88</v>
      </c>
      <c r="AS1193" s="69">
        <v>1372.6</v>
      </c>
      <c r="AT1193" s="69">
        <v>184.9</v>
      </c>
      <c r="AU1193" s="69">
        <v>494.38</v>
      </c>
      <c r="BC1193" s="69"/>
      <c r="BD1193" s="69"/>
      <c r="CC1193" s="94">
        <f t="shared" si="117"/>
        <v>2051.88</v>
      </c>
      <c r="CD1193" s="73">
        <f t="shared" si="108"/>
        <v>0</v>
      </c>
      <c r="CE1193" s="75">
        <f t="shared" si="118"/>
        <v>3842</v>
      </c>
      <c r="CF1193" s="69" t="str">
        <f t="shared" si="118"/>
        <v>برنامج دولى</v>
      </c>
    </row>
    <row r="1194" spans="2:84" x14ac:dyDescent="0.25">
      <c r="B1194" s="82">
        <v>6441</v>
      </c>
      <c r="C1194" s="78">
        <v>3843</v>
      </c>
      <c r="D1194" s="69" t="s">
        <v>78</v>
      </c>
      <c r="E1194" s="107" t="s">
        <v>3970</v>
      </c>
      <c r="G1194" s="69">
        <v>2462.25</v>
      </c>
      <c r="T1194" s="69"/>
      <c r="U1194" s="69"/>
      <c r="AR1194" s="94">
        <f t="shared" si="116"/>
        <v>2462.25</v>
      </c>
      <c r="AS1194" s="69">
        <v>1648.85</v>
      </c>
      <c r="AT1194" s="69">
        <f>10.15+210</f>
        <v>220.15</v>
      </c>
      <c r="AU1194" s="69">
        <v>593.25</v>
      </c>
      <c r="BC1194" s="69"/>
      <c r="BD1194" s="69"/>
      <c r="CC1194" s="94">
        <f t="shared" si="117"/>
        <v>2462.25</v>
      </c>
      <c r="CD1194" s="73">
        <f t="shared" si="108"/>
        <v>0</v>
      </c>
      <c r="CE1194" s="75">
        <f t="shared" si="118"/>
        <v>3843</v>
      </c>
      <c r="CF1194" s="69" t="str">
        <f t="shared" si="118"/>
        <v>برنامج دولى</v>
      </c>
    </row>
    <row r="1195" spans="2:84" x14ac:dyDescent="0.25">
      <c r="B1195" s="82">
        <v>6440</v>
      </c>
      <c r="C1195" s="78">
        <v>3844</v>
      </c>
      <c r="D1195" s="69" t="s">
        <v>78</v>
      </c>
      <c r="E1195" s="107" t="s">
        <v>3970</v>
      </c>
      <c r="G1195" s="69">
        <v>2638.14</v>
      </c>
      <c r="T1195" s="69"/>
      <c r="U1195" s="69"/>
      <c r="AR1195" s="94">
        <f t="shared" si="116"/>
        <v>2638.14</v>
      </c>
      <c r="AS1195" s="69">
        <v>1823.05</v>
      </c>
      <c r="AT1195" s="69">
        <v>179.45</v>
      </c>
      <c r="AU1195" s="69">
        <v>635.64</v>
      </c>
      <c r="BC1195" s="69"/>
      <c r="BD1195" s="69"/>
      <c r="CC1195" s="94">
        <f t="shared" si="117"/>
        <v>2638.14</v>
      </c>
      <c r="CD1195" s="73">
        <f t="shared" si="108"/>
        <v>0</v>
      </c>
      <c r="CE1195" s="75">
        <f t="shared" si="118"/>
        <v>3844</v>
      </c>
      <c r="CF1195" s="69" t="str">
        <f t="shared" si="118"/>
        <v>برنامج دولى</v>
      </c>
    </row>
    <row r="1196" spans="2:84" x14ac:dyDescent="0.25">
      <c r="B1196" s="82">
        <v>6437</v>
      </c>
      <c r="C1196" s="78">
        <v>3845</v>
      </c>
      <c r="D1196" s="69" t="s">
        <v>78</v>
      </c>
      <c r="E1196" s="107" t="s">
        <v>3971</v>
      </c>
      <c r="G1196" s="69">
        <v>5556.54</v>
      </c>
      <c r="T1196" s="69"/>
      <c r="U1196" s="69"/>
      <c r="AR1196" s="94">
        <f t="shared" si="116"/>
        <v>5556.54</v>
      </c>
      <c r="AS1196" s="69">
        <v>4956.79</v>
      </c>
      <c r="AT1196" s="69">
        <v>599.75</v>
      </c>
      <c r="BC1196" s="69"/>
      <c r="BD1196" s="69"/>
      <c r="CC1196" s="94">
        <f t="shared" si="117"/>
        <v>5556.54</v>
      </c>
      <c r="CD1196" s="73">
        <f t="shared" si="108"/>
        <v>0</v>
      </c>
      <c r="CE1196" s="75">
        <f t="shared" si="118"/>
        <v>3845</v>
      </c>
      <c r="CF1196" s="69" t="str">
        <f t="shared" si="118"/>
        <v>برنامج دولى</v>
      </c>
    </row>
    <row r="1197" spans="2:84" x14ac:dyDescent="0.25">
      <c r="B1197" s="82">
        <v>6427</v>
      </c>
      <c r="C1197" s="78">
        <v>3846</v>
      </c>
      <c r="D1197" s="69" t="s">
        <v>78</v>
      </c>
      <c r="E1197" s="107" t="s">
        <v>3972</v>
      </c>
      <c r="G1197" s="69">
        <v>1055.25</v>
      </c>
      <c r="T1197" s="69"/>
      <c r="U1197" s="69"/>
      <c r="AR1197" s="94">
        <f t="shared" si="116"/>
        <v>1055.25</v>
      </c>
      <c r="AS1197" s="69">
        <v>705.7</v>
      </c>
      <c r="AT1197" s="69">
        <f>5.3+90</f>
        <v>95.3</v>
      </c>
      <c r="AU1197" s="69">
        <v>254.25</v>
      </c>
      <c r="BC1197" s="69"/>
      <c r="BD1197" s="69"/>
      <c r="CC1197" s="94">
        <f t="shared" si="117"/>
        <v>1055.25</v>
      </c>
      <c r="CD1197" s="73">
        <f t="shared" si="108"/>
        <v>0</v>
      </c>
      <c r="CE1197" s="75">
        <f t="shared" si="118"/>
        <v>3846</v>
      </c>
      <c r="CF1197" s="69" t="str">
        <f t="shared" si="118"/>
        <v>برنامج دولى</v>
      </c>
    </row>
    <row r="1198" spans="2:84" x14ac:dyDescent="0.25">
      <c r="B1198" s="82">
        <v>6415</v>
      </c>
      <c r="C1198" s="78">
        <v>3847</v>
      </c>
      <c r="D1198" s="69" t="s">
        <v>78</v>
      </c>
      <c r="E1198" s="107" t="s">
        <v>3973</v>
      </c>
      <c r="G1198" s="69">
        <v>3752</v>
      </c>
      <c r="T1198" s="69"/>
      <c r="U1198" s="69"/>
      <c r="AR1198" s="94">
        <f t="shared" si="116"/>
        <v>3752</v>
      </c>
      <c r="AS1198" s="69">
        <v>2511.4</v>
      </c>
      <c r="AT1198" s="69">
        <f>16.6+320</f>
        <v>336.6</v>
      </c>
      <c r="AU1198" s="69">
        <v>904</v>
      </c>
      <c r="BC1198" s="69"/>
      <c r="BD1198" s="69"/>
      <c r="CC1198" s="94">
        <f t="shared" si="117"/>
        <v>3752</v>
      </c>
      <c r="CD1198" s="73">
        <f t="shared" si="108"/>
        <v>0</v>
      </c>
      <c r="CE1198" s="75">
        <f t="shared" si="118"/>
        <v>3847</v>
      </c>
      <c r="CF1198" s="69" t="str">
        <f t="shared" si="118"/>
        <v>برنامج دولى</v>
      </c>
    </row>
    <row r="1199" spans="2:84" x14ac:dyDescent="0.25">
      <c r="B1199" s="82"/>
      <c r="C1199" s="78">
        <v>3848</v>
      </c>
      <c r="D1199" s="69" t="s">
        <v>332</v>
      </c>
      <c r="E1199" s="107" t="s">
        <v>3974</v>
      </c>
      <c r="T1199" s="69"/>
      <c r="U1199" s="69"/>
      <c r="AR1199" s="94">
        <f t="shared" si="116"/>
        <v>0</v>
      </c>
      <c r="AS1199" s="69">
        <v>0</v>
      </c>
      <c r="AT1199" s="69">
        <v>0</v>
      </c>
      <c r="AU1199" s="69">
        <v>0</v>
      </c>
      <c r="BC1199" s="69"/>
      <c r="BD1199" s="69"/>
      <c r="CC1199" s="94">
        <f t="shared" si="117"/>
        <v>0</v>
      </c>
      <c r="CD1199" s="73">
        <f t="shared" si="108"/>
        <v>0</v>
      </c>
      <c r="CE1199" s="75">
        <f t="shared" si="118"/>
        <v>3848</v>
      </c>
      <c r="CF1199" s="69" t="str">
        <f t="shared" si="118"/>
        <v xml:space="preserve">لاب فقط </v>
      </c>
    </row>
    <row r="1200" spans="2:84" x14ac:dyDescent="0.25">
      <c r="B1200" s="82"/>
      <c r="C1200" s="78">
        <v>3849</v>
      </c>
      <c r="D1200" s="69" t="s">
        <v>332</v>
      </c>
      <c r="E1200" s="107" t="s">
        <v>3975</v>
      </c>
      <c r="T1200" s="69"/>
      <c r="U1200" s="69"/>
      <c r="AR1200" s="94">
        <f t="shared" si="116"/>
        <v>0</v>
      </c>
      <c r="AS1200" s="69">
        <v>0</v>
      </c>
      <c r="AT1200" s="69">
        <v>0</v>
      </c>
      <c r="AU1200" s="69">
        <v>0</v>
      </c>
      <c r="BC1200" s="69"/>
      <c r="BD1200" s="69"/>
      <c r="CC1200" s="94">
        <f t="shared" si="117"/>
        <v>0</v>
      </c>
      <c r="CD1200" s="73">
        <f t="shared" si="108"/>
        <v>0</v>
      </c>
      <c r="CE1200" s="75">
        <f t="shared" si="118"/>
        <v>3849</v>
      </c>
      <c r="CF1200" s="69" t="str">
        <f t="shared" si="118"/>
        <v xml:space="preserve">لاب فقط </v>
      </c>
    </row>
    <row r="1201" spans="2:87" s="68" customFormat="1" x14ac:dyDescent="0.25">
      <c r="B1201" s="83"/>
      <c r="C1201" s="84"/>
      <c r="E1201" s="108" t="s">
        <v>3976</v>
      </c>
      <c r="G1201" s="68">
        <f>SUM(G1172:G1200)</f>
        <v>65190.02</v>
      </c>
      <c r="H1201" s="68">
        <f t="shared" ref="H1201:BT1201" si="119">SUM(H1172:H1200)</f>
        <v>0</v>
      </c>
      <c r="I1201" s="68">
        <f t="shared" si="119"/>
        <v>0</v>
      </c>
      <c r="J1201" s="68">
        <f t="shared" si="119"/>
        <v>0</v>
      </c>
      <c r="K1201" s="68">
        <f t="shared" si="119"/>
        <v>0</v>
      </c>
      <c r="L1201" s="68">
        <f t="shared" si="119"/>
        <v>0</v>
      </c>
      <c r="M1201" s="68">
        <f t="shared" si="119"/>
        <v>0</v>
      </c>
      <c r="N1201" s="68">
        <f t="shared" si="119"/>
        <v>0</v>
      </c>
      <c r="O1201" s="68">
        <f t="shared" si="119"/>
        <v>0</v>
      </c>
      <c r="P1201" s="68">
        <f t="shared" si="119"/>
        <v>0</v>
      </c>
      <c r="Q1201" s="68">
        <f t="shared" si="119"/>
        <v>0</v>
      </c>
      <c r="R1201" s="68">
        <f t="shared" si="119"/>
        <v>0</v>
      </c>
      <c r="S1201" s="68">
        <f t="shared" si="119"/>
        <v>0</v>
      </c>
      <c r="T1201" s="68">
        <f t="shared" si="119"/>
        <v>0</v>
      </c>
      <c r="U1201" s="68">
        <f t="shared" si="119"/>
        <v>0</v>
      </c>
      <c r="V1201" s="68">
        <f t="shared" si="119"/>
        <v>0</v>
      </c>
      <c r="W1201" s="68">
        <f t="shared" si="119"/>
        <v>0</v>
      </c>
      <c r="X1201" s="68">
        <f t="shared" si="119"/>
        <v>0</v>
      </c>
      <c r="Y1201" s="68">
        <f t="shared" si="119"/>
        <v>0</v>
      </c>
      <c r="Z1201" s="68">
        <f t="shared" si="119"/>
        <v>0</v>
      </c>
      <c r="AA1201" s="68">
        <f t="shared" si="119"/>
        <v>0</v>
      </c>
      <c r="AB1201" s="68">
        <f t="shared" si="119"/>
        <v>0</v>
      </c>
      <c r="AC1201" s="68">
        <f t="shared" si="119"/>
        <v>0</v>
      </c>
      <c r="AD1201" s="68">
        <f t="shared" si="119"/>
        <v>0</v>
      </c>
      <c r="AE1201" s="68">
        <f t="shared" si="119"/>
        <v>0</v>
      </c>
      <c r="AF1201" s="68">
        <f t="shared" si="119"/>
        <v>0</v>
      </c>
      <c r="AG1201" s="68">
        <f t="shared" si="119"/>
        <v>0</v>
      </c>
      <c r="AH1201" s="68">
        <f t="shared" si="119"/>
        <v>0</v>
      </c>
      <c r="AI1201" s="68">
        <f t="shared" si="119"/>
        <v>0</v>
      </c>
      <c r="AJ1201" s="68">
        <f t="shared" si="119"/>
        <v>0</v>
      </c>
      <c r="AK1201" s="68">
        <f t="shared" si="119"/>
        <v>0</v>
      </c>
      <c r="AL1201" s="68">
        <f t="shared" si="119"/>
        <v>0</v>
      </c>
      <c r="AM1201" s="68">
        <f t="shared" si="119"/>
        <v>0</v>
      </c>
      <c r="AO1201" s="68">
        <f t="shared" si="119"/>
        <v>0</v>
      </c>
      <c r="AP1201" s="68">
        <f t="shared" si="119"/>
        <v>0</v>
      </c>
      <c r="AQ1201" s="68">
        <f t="shared" si="119"/>
        <v>0</v>
      </c>
      <c r="AR1201" s="91">
        <f t="shared" si="119"/>
        <v>65190.02</v>
      </c>
      <c r="AS1201" s="68">
        <f t="shared" si="119"/>
        <v>52420.249999999993</v>
      </c>
      <c r="AT1201" s="68">
        <f t="shared" si="119"/>
        <v>6467.2000000000007</v>
      </c>
      <c r="AU1201" s="68">
        <f t="shared" si="119"/>
        <v>6302.5700000000006</v>
      </c>
      <c r="AV1201" s="68">
        <f t="shared" si="119"/>
        <v>0</v>
      </c>
      <c r="AW1201" s="68">
        <f t="shared" si="119"/>
        <v>0</v>
      </c>
      <c r="AX1201" s="68">
        <f t="shared" si="119"/>
        <v>0</v>
      </c>
      <c r="AY1201" s="68">
        <f t="shared" si="119"/>
        <v>0</v>
      </c>
      <c r="AZ1201" s="68">
        <f t="shared" si="119"/>
        <v>0</v>
      </c>
      <c r="BA1201" s="68">
        <f t="shared" si="119"/>
        <v>0</v>
      </c>
      <c r="BB1201" s="68">
        <f t="shared" si="119"/>
        <v>0</v>
      </c>
      <c r="BC1201" s="68">
        <f t="shared" si="119"/>
        <v>0</v>
      </c>
      <c r="BD1201" s="68">
        <f t="shared" si="119"/>
        <v>0</v>
      </c>
      <c r="BE1201" s="68">
        <f t="shared" si="119"/>
        <v>0</v>
      </c>
      <c r="BF1201" s="68">
        <f t="shared" si="119"/>
        <v>0</v>
      </c>
      <c r="BG1201" s="68">
        <f t="shared" si="119"/>
        <v>0</v>
      </c>
      <c r="BH1201" s="68">
        <f t="shared" si="119"/>
        <v>0</v>
      </c>
      <c r="BI1201" s="68">
        <f t="shared" si="119"/>
        <v>0</v>
      </c>
      <c r="BJ1201" s="68">
        <f t="shared" si="119"/>
        <v>0</v>
      </c>
      <c r="BK1201" s="68">
        <f t="shared" si="119"/>
        <v>0</v>
      </c>
      <c r="BL1201" s="68">
        <f t="shared" si="119"/>
        <v>0</v>
      </c>
      <c r="BM1201" s="68">
        <f t="shared" si="119"/>
        <v>0</v>
      </c>
      <c r="BN1201" s="68">
        <f t="shared" si="119"/>
        <v>0</v>
      </c>
      <c r="BO1201" s="68">
        <f t="shared" si="119"/>
        <v>0</v>
      </c>
      <c r="BP1201" s="68">
        <f t="shared" si="119"/>
        <v>0</v>
      </c>
      <c r="BQ1201" s="68">
        <f t="shared" si="119"/>
        <v>0</v>
      </c>
      <c r="BR1201" s="68">
        <f t="shared" si="119"/>
        <v>0</v>
      </c>
      <c r="BS1201" s="68">
        <f t="shared" si="119"/>
        <v>0</v>
      </c>
      <c r="BT1201" s="68">
        <f t="shared" si="119"/>
        <v>0</v>
      </c>
      <c r="BU1201" s="68">
        <f t="shared" ref="BU1201:CH1201" si="120">SUM(BU1172:BU1200)</f>
        <v>0</v>
      </c>
      <c r="BV1201" s="68">
        <f t="shared" si="120"/>
        <v>0</v>
      </c>
      <c r="BW1201" s="68">
        <f t="shared" si="120"/>
        <v>0</v>
      </c>
      <c r="BX1201" s="68">
        <f t="shared" si="120"/>
        <v>0</v>
      </c>
      <c r="BY1201" s="68">
        <f t="shared" si="120"/>
        <v>0</v>
      </c>
      <c r="BZ1201" s="68">
        <f t="shared" si="120"/>
        <v>0</v>
      </c>
      <c r="CA1201" s="68">
        <f t="shared" si="120"/>
        <v>0</v>
      </c>
      <c r="CB1201" s="68">
        <f t="shared" si="120"/>
        <v>0</v>
      </c>
      <c r="CC1201" s="91">
        <f t="shared" si="120"/>
        <v>65190.02</v>
      </c>
      <c r="CD1201" s="68">
        <f t="shared" si="120"/>
        <v>0</v>
      </c>
      <c r="CF1201" s="68">
        <f t="shared" si="120"/>
        <v>0</v>
      </c>
      <c r="CG1201" s="68">
        <f t="shared" si="120"/>
        <v>0</v>
      </c>
      <c r="CH1201" s="68">
        <f t="shared" si="120"/>
        <v>0</v>
      </c>
    </row>
    <row r="1202" spans="2:87" x14ac:dyDescent="0.25">
      <c r="B1202" s="82"/>
      <c r="C1202" s="78">
        <v>3850</v>
      </c>
      <c r="D1202" s="69" t="s">
        <v>249</v>
      </c>
      <c r="E1202" s="107" t="s">
        <v>3977</v>
      </c>
      <c r="F1202" s="69"/>
      <c r="T1202" s="69"/>
      <c r="U1202" s="69"/>
      <c r="AD1202" s="69">
        <v>700</v>
      </c>
      <c r="AR1202" s="91">
        <v>700</v>
      </c>
      <c r="AT1202" s="69"/>
      <c r="AW1202" s="69">
        <v>700</v>
      </c>
      <c r="BC1202" s="69"/>
      <c r="BD1202" s="69"/>
      <c r="CC1202" s="91">
        <v>700</v>
      </c>
      <c r="CD1202" s="69">
        <v>0</v>
      </c>
      <c r="CE1202" s="75">
        <v>3850</v>
      </c>
      <c r="CF1202" s="69" t="s">
        <v>2641</v>
      </c>
    </row>
    <row r="1203" spans="2:87" ht="36" x14ac:dyDescent="0.25">
      <c r="B1203" s="82"/>
      <c r="C1203" s="78">
        <v>3851</v>
      </c>
      <c r="D1203" s="69" t="s">
        <v>249</v>
      </c>
      <c r="E1203" s="174" t="s">
        <v>3978</v>
      </c>
      <c r="F1203" s="69"/>
      <c r="T1203" s="69">
        <v>106.65</v>
      </c>
      <c r="U1203" s="69"/>
      <c r="AD1203" s="69">
        <v>893.35</v>
      </c>
      <c r="AR1203" s="91">
        <v>1000</v>
      </c>
      <c r="AT1203" s="69"/>
      <c r="AW1203" s="69">
        <v>1000</v>
      </c>
      <c r="BC1203" s="69"/>
      <c r="BD1203" s="69"/>
      <c r="CC1203" s="91">
        <v>1000</v>
      </c>
      <c r="CD1203" s="69">
        <v>0</v>
      </c>
      <c r="CE1203" s="75">
        <v>3851</v>
      </c>
      <c r="CF1203" s="69" t="s">
        <v>2641</v>
      </c>
    </row>
    <row r="1204" spans="2:87" x14ac:dyDescent="0.25">
      <c r="B1204" s="82">
        <v>6701</v>
      </c>
      <c r="C1204" s="78">
        <v>3852</v>
      </c>
      <c r="D1204" s="69" t="s">
        <v>130</v>
      </c>
      <c r="E1204" s="107" t="s">
        <v>3979</v>
      </c>
      <c r="T1204" s="69"/>
      <c r="U1204" s="69"/>
      <c r="AC1204" s="69">
        <v>2669.7</v>
      </c>
      <c r="AR1204" s="94">
        <f t="shared" si="116"/>
        <v>2669.7</v>
      </c>
      <c r="AS1204" s="69">
        <v>2669.7</v>
      </c>
      <c r="AT1204" s="69"/>
      <c r="BC1204" s="69"/>
      <c r="BD1204" s="69"/>
      <c r="CC1204" s="94">
        <f t="shared" si="117"/>
        <v>2669.7</v>
      </c>
      <c r="CD1204" s="73">
        <f t="shared" si="108"/>
        <v>0</v>
      </c>
      <c r="CE1204" s="75">
        <f t="shared" si="118"/>
        <v>3852</v>
      </c>
      <c r="CF1204" s="69" t="str">
        <f t="shared" si="118"/>
        <v>خ ت طب</v>
      </c>
    </row>
    <row r="1205" spans="2:87" s="68" customFormat="1" x14ac:dyDescent="0.25">
      <c r="B1205" s="83"/>
      <c r="C1205" s="84"/>
      <c r="E1205" s="108" t="s">
        <v>3980</v>
      </c>
      <c r="T1205" s="68">
        <f>SUM(T1202:T1204)</f>
        <v>106.65</v>
      </c>
      <c r="U1205" s="68">
        <f t="shared" ref="U1205:CG1205" si="121">SUM(U1202:U1204)</f>
        <v>0</v>
      </c>
      <c r="V1205" s="68">
        <f t="shared" si="121"/>
        <v>0</v>
      </c>
      <c r="W1205" s="68">
        <f t="shared" si="121"/>
        <v>0</v>
      </c>
      <c r="X1205" s="68">
        <f t="shared" si="121"/>
        <v>0</v>
      </c>
      <c r="Y1205" s="68">
        <f t="shared" si="121"/>
        <v>0</v>
      </c>
      <c r="Z1205" s="68">
        <f t="shared" si="121"/>
        <v>0</v>
      </c>
      <c r="AA1205" s="68">
        <f t="shared" si="121"/>
        <v>0</v>
      </c>
      <c r="AB1205" s="68">
        <f t="shared" si="121"/>
        <v>0</v>
      </c>
      <c r="AC1205" s="68">
        <f t="shared" si="121"/>
        <v>2669.7</v>
      </c>
      <c r="AD1205" s="68">
        <f t="shared" si="121"/>
        <v>1593.35</v>
      </c>
      <c r="AE1205" s="68">
        <f t="shared" si="121"/>
        <v>0</v>
      </c>
      <c r="AF1205" s="68">
        <f t="shared" si="121"/>
        <v>0</v>
      </c>
      <c r="AG1205" s="68">
        <f t="shared" si="121"/>
        <v>0</v>
      </c>
      <c r="AH1205" s="68">
        <f t="shared" si="121"/>
        <v>0</v>
      </c>
      <c r="AI1205" s="68">
        <f t="shared" si="121"/>
        <v>0</v>
      </c>
      <c r="AJ1205" s="68">
        <f t="shared" si="121"/>
        <v>0</v>
      </c>
      <c r="AK1205" s="68">
        <f t="shared" si="121"/>
        <v>0</v>
      </c>
      <c r="AL1205" s="68">
        <f t="shared" si="121"/>
        <v>0</v>
      </c>
      <c r="AM1205" s="68">
        <f t="shared" si="121"/>
        <v>0</v>
      </c>
      <c r="AO1205" s="68">
        <f t="shared" si="121"/>
        <v>0</v>
      </c>
      <c r="AP1205" s="68">
        <f t="shared" si="121"/>
        <v>0</v>
      </c>
      <c r="AQ1205" s="68">
        <f t="shared" si="121"/>
        <v>0</v>
      </c>
      <c r="AR1205" s="94">
        <f t="shared" si="116"/>
        <v>4369.7</v>
      </c>
      <c r="AS1205" s="68">
        <f t="shared" si="121"/>
        <v>2669.7</v>
      </c>
      <c r="AT1205" s="68">
        <f t="shared" si="121"/>
        <v>0</v>
      </c>
      <c r="AU1205" s="68">
        <f t="shared" si="121"/>
        <v>0</v>
      </c>
      <c r="AV1205" s="68">
        <f t="shared" si="121"/>
        <v>0</v>
      </c>
      <c r="AW1205" s="68">
        <f t="shared" si="121"/>
        <v>1700</v>
      </c>
      <c r="AX1205" s="68">
        <f t="shared" si="121"/>
        <v>0</v>
      </c>
      <c r="AY1205" s="68">
        <f t="shared" si="121"/>
        <v>0</v>
      </c>
      <c r="AZ1205" s="68">
        <f t="shared" si="121"/>
        <v>0</v>
      </c>
      <c r="BA1205" s="68">
        <f t="shared" si="121"/>
        <v>0</v>
      </c>
      <c r="BB1205" s="68">
        <f t="shared" si="121"/>
        <v>0</v>
      </c>
      <c r="BC1205" s="68">
        <f t="shared" si="121"/>
        <v>0</v>
      </c>
      <c r="BD1205" s="68">
        <f t="shared" si="121"/>
        <v>0</v>
      </c>
      <c r="BE1205" s="68">
        <f t="shared" si="121"/>
        <v>0</v>
      </c>
      <c r="BF1205" s="68">
        <f t="shared" si="121"/>
        <v>0</v>
      </c>
      <c r="BG1205" s="68">
        <f t="shared" si="121"/>
        <v>0</v>
      </c>
      <c r="BH1205" s="68">
        <f t="shared" si="121"/>
        <v>0</v>
      </c>
      <c r="BI1205" s="68">
        <f t="shared" si="121"/>
        <v>0</v>
      </c>
      <c r="BJ1205" s="68">
        <f t="shared" si="121"/>
        <v>0</v>
      </c>
      <c r="BK1205" s="68">
        <f t="shared" si="121"/>
        <v>0</v>
      </c>
      <c r="BL1205" s="68">
        <f t="shared" si="121"/>
        <v>0</v>
      </c>
      <c r="BM1205" s="68">
        <f t="shared" si="121"/>
        <v>0</v>
      </c>
      <c r="BN1205" s="68">
        <f t="shared" si="121"/>
        <v>0</v>
      </c>
      <c r="BO1205" s="68">
        <f t="shared" si="121"/>
        <v>0</v>
      </c>
      <c r="BP1205" s="68">
        <f t="shared" si="121"/>
        <v>0</v>
      </c>
      <c r="BQ1205" s="68">
        <f t="shared" si="121"/>
        <v>0</v>
      </c>
      <c r="BR1205" s="68">
        <f t="shared" si="121"/>
        <v>0</v>
      </c>
      <c r="BS1205" s="68">
        <f t="shared" si="121"/>
        <v>0</v>
      </c>
      <c r="BT1205" s="68">
        <f t="shared" si="121"/>
        <v>0</v>
      </c>
      <c r="BU1205" s="68">
        <f t="shared" si="121"/>
        <v>0</v>
      </c>
      <c r="BV1205" s="68">
        <f t="shared" si="121"/>
        <v>0</v>
      </c>
      <c r="BW1205" s="68">
        <f t="shared" si="121"/>
        <v>0</v>
      </c>
      <c r="BX1205" s="68">
        <f t="shared" si="121"/>
        <v>0</v>
      </c>
      <c r="BY1205" s="68">
        <f t="shared" si="121"/>
        <v>0</v>
      </c>
      <c r="BZ1205" s="68">
        <f t="shared" si="121"/>
        <v>0</v>
      </c>
      <c r="CA1205" s="68">
        <f t="shared" si="121"/>
        <v>0</v>
      </c>
      <c r="CB1205" s="68">
        <f t="shared" si="121"/>
        <v>0</v>
      </c>
      <c r="CC1205" s="94">
        <f t="shared" si="117"/>
        <v>4369.7</v>
      </c>
      <c r="CD1205" s="73">
        <f t="shared" si="108"/>
        <v>0</v>
      </c>
      <c r="CE1205" s="75">
        <f t="shared" ref="CE1205:CF1233" si="122">+C1205</f>
        <v>0</v>
      </c>
      <c r="CF1205" s="69">
        <f t="shared" si="122"/>
        <v>0</v>
      </c>
      <c r="CG1205" s="68">
        <f t="shared" si="121"/>
        <v>0</v>
      </c>
      <c r="CH1205" s="68">
        <f t="shared" ref="CH1205" si="123">SUM(CH1204)</f>
        <v>0</v>
      </c>
    </row>
    <row r="1206" spans="2:87" x14ac:dyDescent="0.25">
      <c r="B1206" s="82">
        <v>3179</v>
      </c>
      <c r="C1206" s="78">
        <v>3853</v>
      </c>
      <c r="D1206" s="69" t="s">
        <v>78</v>
      </c>
      <c r="E1206" s="107" t="s">
        <v>3981</v>
      </c>
      <c r="F1206" s="63" t="s">
        <v>220</v>
      </c>
      <c r="G1206" s="69">
        <v>351.75</v>
      </c>
      <c r="T1206" s="69"/>
      <c r="U1206" s="69"/>
      <c r="AR1206" s="94">
        <f t="shared" si="116"/>
        <v>351.75</v>
      </c>
      <c r="AS1206" s="69">
        <v>185.88</v>
      </c>
      <c r="AT1206" s="69">
        <v>81.12</v>
      </c>
      <c r="AU1206" s="69">
        <v>84.75</v>
      </c>
      <c r="BC1206" s="69"/>
      <c r="BD1206" s="69"/>
      <c r="CC1206" s="94">
        <f t="shared" si="117"/>
        <v>351.75</v>
      </c>
      <c r="CD1206" s="73">
        <f t="shared" si="108"/>
        <v>0</v>
      </c>
      <c r="CE1206" s="75">
        <f t="shared" si="122"/>
        <v>3853</v>
      </c>
      <c r="CF1206" s="69" t="str">
        <f t="shared" si="122"/>
        <v>برنامج دولى</v>
      </c>
    </row>
    <row r="1207" spans="2:87" x14ac:dyDescent="0.25">
      <c r="B1207" s="82">
        <v>3394</v>
      </c>
      <c r="C1207" s="78">
        <v>3854</v>
      </c>
      <c r="D1207" s="69" t="s">
        <v>121</v>
      </c>
      <c r="E1207" s="107" t="s">
        <v>3981</v>
      </c>
      <c r="F1207" s="63" t="s">
        <v>220</v>
      </c>
      <c r="G1207" s="69">
        <v>8442</v>
      </c>
      <c r="T1207" s="69"/>
      <c r="U1207" s="69"/>
      <c r="AR1207" s="94">
        <f t="shared" si="116"/>
        <v>8442</v>
      </c>
      <c r="AS1207" s="69">
        <v>6370.38</v>
      </c>
      <c r="AT1207" s="69">
        <v>37.619999999999997</v>
      </c>
      <c r="AU1207" s="69">
        <v>2034</v>
      </c>
      <c r="BC1207" s="69"/>
      <c r="BD1207" s="69"/>
      <c r="CC1207" s="94">
        <f t="shared" si="117"/>
        <v>8442</v>
      </c>
      <c r="CD1207" s="73">
        <f t="shared" si="108"/>
        <v>0</v>
      </c>
      <c r="CE1207" s="75">
        <f t="shared" si="122"/>
        <v>3854</v>
      </c>
      <c r="CF1207" s="69" t="str">
        <f t="shared" si="122"/>
        <v>ماليزى اسنان</v>
      </c>
    </row>
    <row r="1208" spans="2:87" ht="36" x14ac:dyDescent="0.25">
      <c r="B1208" s="82" t="s">
        <v>3982</v>
      </c>
      <c r="C1208" s="78">
        <v>3855</v>
      </c>
      <c r="D1208" s="69" t="s">
        <v>121</v>
      </c>
      <c r="E1208" s="107" t="s">
        <v>3981</v>
      </c>
      <c r="F1208" s="63" t="s">
        <v>220</v>
      </c>
      <c r="G1208" s="69">
        <v>21808.5</v>
      </c>
      <c r="T1208" s="69"/>
      <c r="U1208" s="69"/>
      <c r="AR1208" s="94">
        <f t="shared" si="116"/>
        <v>21808.5</v>
      </c>
      <c r="AS1208" s="69">
        <v>13508.73</v>
      </c>
      <c r="AT1208" s="69">
        <v>3045.27</v>
      </c>
      <c r="AU1208" s="69">
        <v>5254.5</v>
      </c>
      <c r="BC1208" s="69"/>
      <c r="BD1208" s="69"/>
      <c r="CC1208" s="94">
        <f t="shared" si="117"/>
        <v>21808.5</v>
      </c>
      <c r="CD1208" s="73">
        <f t="shared" si="108"/>
        <v>0</v>
      </c>
      <c r="CE1208" s="75">
        <f t="shared" si="122"/>
        <v>3855</v>
      </c>
      <c r="CF1208" s="69" t="str">
        <f t="shared" si="122"/>
        <v>ماليزى اسنان</v>
      </c>
    </row>
    <row r="1209" spans="2:87" x14ac:dyDescent="0.25">
      <c r="B1209" s="82">
        <v>3393</v>
      </c>
      <c r="C1209" s="78">
        <v>3856</v>
      </c>
      <c r="D1209" s="69" t="str">
        <f>+D1207</f>
        <v>ماليزى اسنان</v>
      </c>
      <c r="E1209" s="107" t="s">
        <v>3981</v>
      </c>
      <c r="F1209" s="63" t="s">
        <v>220</v>
      </c>
      <c r="G1209" s="69">
        <v>2110.5</v>
      </c>
      <c r="T1209" s="69"/>
      <c r="U1209" s="69"/>
      <c r="AR1209" s="94">
        <f t="shared" si="116"/>
        <v>2110.5</v>
      </c>
      <c r="AS1209" s="69">
        <v>1312.44</v>
      </c>
      <c r="AT1209" s="69">
        <v>289.56</v>
      </c>
      <c r="AU1209" s="69">
        <v>508.5</v>
      </c>
      <c r="BC1209" s="69"/>
      <c r="BD1209" s="69"/>
      <c r="CC1209" s="94">
        <f t="shared" si="117"/>
        <v>2110.5</v>
      </c>
      <c r="CD1209" s="73">
        <f t="shared" si="108"/>
        <v>0</v>
      </c>
      <c r="CE1209" s="75">
        <f t="shared" si="122"/>
        <v>3856</v>
      </c>
      <c r="CF1209" s="69" t="str">
        <f t="shared" si="122"/>
        <v>ماليزى اسنان</v>
      </c>
    </row>
    <row r="1210" spans="2:87" x14ac:dyDescent="0.25">
      <c r="B1210" s="82">
        <v>3180</v>
      </c>
      <c r="C1210" s="78">
        <v>3875</v>
      </c>
      <c r="D1210" s="69" t="s">
        <v>78</v>
      </c>
      <c r="E1210" s="107" t="s">
        <v>3981</v>
      </c>
      <c r="F1210" s="63" t="s">
        <v>220</v>
      </c>
      <c r="G1210" s="69">
        <v>104425.64</v>
      </c>
      <c r="T1210" s="69"/>
      <c r="U1210" s="69"/>
      <c r="AR1210" s="94">
        <f t="shared" si="116"/>
        <v>104425.64</v>
      </c>
      <c r="AS1210" s="69">
        <v>62351.77</v>
      </c>
      <c r="AT1210" s="69">
        <v>16913.63</v>
      </c>
      <c r="AU1210" s="69">
        <v>25160.240000000002</v>
      </c>
      <c r="BC1210" s="69"/>
      <c r="BD1210" s="69"/>
      <c r="CC1210" s="94">
        <f t="shared" si="117"/>
        <v>104425.64</v>
      </c>
      <c r="CD1210" s="73"/>
      <c r="CE1210" s="75">
        <f t="shared" si="122"/>
        <v>3875</v>
      </c>
      <c r="CF1210" s="69" t="str">
        <f t="shared" si="122"/>
        <v>برنامج دولى</v>
      </c>
    </row>
    <row r="1211" spans="2:87" s="68" customFormat="1" x14ac:dyDescent="0.25">
      <c r="B1211" s="83"/>
      <c r="C1211" s="84"/>
      <c r="E1211" s="108" t="s">
        <v>3983</v>
      </c>
      <c r="G1211" s="68">
        <f>SUM(G1206:G1210)</f>
        <v>137138.39000000001</v>
      </c>
      <c r="H1211" s="68">
        <f t="shared" ref="H1211:BT1211" si="124">SUM(H1206:H1210)</f>
        <v>0</v>
      </c>
      <c r="I1211" s="68">
        <f t="shared" si="124"/>
        <v>0</v>
      </c>
      <c r="J1211" s="68">
        <f t="shared" si="124"/>
        <v>0</v>
      </c>
      <c r="K1211" s="68">
        <f t="shared" si="124"/>
        <v>0</v>
      </c>
      <c r="L1211" s="68">
        <f t="shared" si="124"/>
        <v>0</v>
      </c>
      <c r="M1211" s="68">
        <f t="shared" si="124"/>
        <v>0</v>
      </c>
      <c r="N1211" s="68">
        <f t="shared" si="124"/>
        <v>0</v>
      </c>
      <c r="O1211" s="68">
        <f t="shared" si="124"/>
        <v>0</v>
      </c>
      <c r="P1211" s="68">
        <f t="shared" si="124"/>
        <v>0</v>
      </c>
      <c r="Q1211" s="68">
        <f t="shared" si="124"/>
        <v>0</v>
      </c>
      <c r="R1211" s="68">
        <f t="shared" si="124"/>
        <v>0</v>
      </c>
      <c r="S1211" s="68">
        <f t="shared" si="124"/>
        <v>0</v>
      </c>
      <c r="T1211" s="68">
        <f t="shared" si="124"/>
        <v>0</v>
      </c>
      <c r="U1211" s="68">
        <f t="shared" si="124"/>
        <v>0</v>
      </c>
      <c r="V1211" s="68">
        <f t="shared" si="124"/>
        <v>0</v>
      </c>
      <c r="W1211" s="68">
        <f t="shared" si="124"/>
        <v>0</v>
      </c>
      <c r="X1211" s="68">
        <f t="shared" si="124"/>
        <v>0</v>
      </c>
      <c r="Y1211" s="68">
        <f t="shared" si="124"/>
        <v>0</v>
      </c>
      <c r="Z1211" s="68">
        <f t="shared" si="124"/>
        <v>0</v>
      </c>
      <c r="AA1211" s="68">
        <f t="shared" si="124"/>
        <v>0</v>
      </c>
      <c r="AB1211" s="68">
        <f t="shared" si="124"/>
        <v>0</v>
      </c>
      <c r="AC1211" s="68">
        <f t="shared" si="124"/>
        <v>0</v>
      </c>
      <c r="AD1211" s="68">
        <f t="shared" si="124"/>
        <v>0</v>
      </c>
      <c r="AE1211" s="68">
        <f t="shared" si="124"/>
        <v>0</v>
      </c>
      <c r="AF1211" s="68">
        <f t="shared" si="124"/>
        <v>0</v>
      </c>
      <c r="AG1211" s="68">
        <f t="shared" si="124"/>
        <v>0</v>
      </c>
      <c r="AH1211" s="68">
        <f t="shared" si="124"/>
        <v>0</v>
      </c>
      <c r="AI1211" s="68">
        <f t="shared" si="124"/>
        <v>0</v>
      </c>
      <c r="AJ1211" s="68">
        <f t="shared" si="124"/>
        <v>0</v>
      </c>
      <c r="AK1211" s="68">
        <f t="shared" si="124"/>
        <v>0</v>
      </c>
      <c r="AL1211" s="68">
        <f t="shared" si="124"/>
        <v>0</v>
      </c>
      <c r="AM1211" s="68">
        <f t="shared" si="124"/>
        <v>0</v>
      </c>
      <c r="AO1211" s="68">
        <f t="shared" si="124"/>
        <v>0</v>
      </c>
      <c r="AP1211" s="68">
        <f t="shared" si="124"/>
        <v>0</v>
      </c>
      <c r="AQ1211" s="68">
        <f t="shared" si="124"/>
        <v>0</v>
      </c>
      <c r="AR1211" s="91">
        <f t="shared" si="124"/>
        <v>137138.39000000001</v>
      </c>
      <c r="AS1211" s="68">
        <f t="shared" si="124"/>
        <v>83729.2</v>
      </c>
      <c r="AT1211" s="68">
        <f t="shared" si="124"/>
        <v>20367.2</v>
      </c>
      <c r="AU1211" s="68">
        <f t="shared" si="124"/>
        <v>33041.990000000005</v>
      </c>
      <c r="AV1211" s="68">
        <f t="shared" si="124"/>
        <v>0</v>
      </c>
      <c r="AW1211" s="68">
        <f t="shared" si="124"/>
        <v>0</v>
      </c>
      <c r="AX1211" s="68">
        <f t="shared" si="124"/>
        <v>0</v>
      </c>
      <c r="AY1211" s="68">
        <f t="shared" si="124"/>
        <v>0</v>
      </c>
      <c r="AZ1211" s="68">
        <f t="shared" si="124"/>
        <v>0</v>
      </c>
      <c r="BA1211" s="68">
        <f t="shared" si="124"/>
        <v>0</v>
      </c>
      <c r="BB1211" s="68">
        <f t="shared" si="124"/>
        <v>0</v>
      </c>
      <c r="BC1211" s="68">
        <f t="shared" si="124"/>
        <v>0</v>
      </c>
      <c r="BD1211" s="68">
        <f t="shared" si="124"/>
        <v>0</v>
      </c>
      <c r="BE1211" s="68">
        <f t="shared" si="124"/>
        <v>0</v>
      </c>
      <c r="BF1211" s="68">
        <f t="shared" si="124"/>
        <v>0</v>
      </c>
      <c r="BG1211" s="68">
        <f t="shared" si="124"/>
        <v>0</v>
      </c>
      <c r="BH1211" s="68">
        <f t="shared" si="124"/>
        <v>0</v>
      </c>
      <c r="BI1211" s="68">
        <f t="shared" si="124"/>
        <v>0</v>
      </c>
      <c r="BJ1211" s="68">
        <f t="shared" si="124"/>
        <v>0</v>
      </c>
      <c r="BK1211" s="68">
        <f t="shared" si="124"/>
        <v>0</v>
      </c>
      <c r="BL1211" s="68">
        <f t="shared" si="124"/>
        <v>0</v>
      </c>
      <c r="BM1211" s="68">
        <f t="shared" si="124"/>
        <v>0</v>
      </c>
      <c r="BN1211" s="68">
        <f t="shared" si="124"/>
        <v>0</v>
      </c>
      <c r="BO1211" s="68">
        <f t="shared" si="124"/>
        <v>0</v>
      </c>
      <c r="BP1211" s="68">
        <f t="shared" si="124"/>
        <v>0</v>
      </c>
      <c r="BQ1211" s="68">
        <f t="shared" si="124"/>
        <v>0</v>
      </c>
      <c r="BR1211" s="68">
        <f t="shared" si="124"/>
        <v>0</v>
      </c>
      <c r="BS1211" s="68">
        <f t="shared" si="124"/>
        <v>0</v>
      </c>
      <c r="BT1211" s="68">
        <f t="shared" si="124"/>
        <v>0</v>
      </c>
      <c r="BU1211" s="68">
        <f t="shared" ref="BU1211:CH1211" si="125">SUM(BU1206:BU1210)</f>
        <v>0</v>
      </c>
      <c r="BV1211" s="68">
        <f t="shared" si="125"/>
        <v>0</v>
      </c>
      <c r="BW1211" s="68">
        <f t="shared" si="125"/>
        <v>0</v>
      </c>
      <c r="BX1211" s="68">
        <f t="shared" si="125"/>
        <v>0</v>
      </c>
      <c r="BY1211" s="68">
        <f t="shared" si="125"/>
        <v>0</v>
      </c>
      <c r="BZ1211" s="68">
        <f t="shared" si="125"/>
        <v>0</v>
      </c>
      <c r="CA1211" s="68">
        <f t="shared" si="125"/>
        <v>0</v>
      </c>
      <c r="CB1211" s="68">
        <f t="shared" si="125"/>
        <v>0</v>
      </c>
      <c r="CC1211" s="91">
        <f t="shared" si="125"/>
        <v>137138.39000000001</v>
      </c>
      <c r="CD1211" s="68">
        <f t="shared" si="125"/>
        <v>0</v>
      </c>
      <c r="CG1211" s="68">
        <f t="shared" si="125"/>
        <v>0</v>
      </c>
      <c r="CH1211" s="68">
        <f t="shared" si="125"/>
        <v>0</v>
      </c>
      <c r="CI1211" s="68">
        <f>SUM(CI1206:CI1209)</f>
        <v>0</v>
      </c>
    </row>
    <row r="1212" spans="2:87" x14ac:dyDescent="0.25">
      <c r="B1212" s="82">
        <v>7660</v>
      </c>
      <c r="C1212" s="78">
        <v>3857</v>
      </c>
      <c r="D1212" s="69" t="s">
        <v>78</v>
      </c>
      <c r="E1212" s="107" t="s">
        <v>3984</v>
      </c>
      <c r="T1212" s="69"/>
      <c r="U1212" s="69"/>
      <c r="V1212" s="69">
        <v>77762.009999999995</v>
      </c>
      <c r="AR1212" s="94">
        <f t="shared" si="116"/>
        <v>77762.009999999995</v>
      </c>
      <c r="AS1212" s="69">
        <v>77762.009999999995</v>
      </c>
      <c r="AT1212" s="69"/>
      <c r="BC1212" s="69"/>
      <c r="BD1212" s="69"/>
      <c r="CC1212" s="94">
        <f t="shared" si="117"/>
        <v>77762.009999999995</v>
      </c>
      <c r="CD1212" s="73">
        <f t="shared" si="108"/>
        <v>0</v>
      </c>
      <c r="CE1212" s="75">
        <f t="shared" si="122"/>
        <v>3857</v>
      </c>
      <c r="CF1212" s="69" t="str">
        <f t="shared" si="122"/>
        <v>برنامج دولى</v>
      </c>
    </row>
    <row r="1213" spans="2:87" x14ac:dyDescent="0.25">
      <c r="B1213" s="82">
        <v>7661</v>
      </c>
      <c r="C1213" s="78">
        <v>3858</v>
      </c>
      <c r="D1213" s="69" t="s">
        <v>130</v>
      </c>
      <c r="E1213" s="107" t="s">
        <v>3984</v>
      </c>
      <c r="T1213" s="69"/>
      <c r="U1213" s="69"/>
      <c r="V1213" s="69">
        <v>16770.5</v>
      </c>
      <c r="AR1213" s="94">
        <f t="shared" si="116"/>
        <v>16770.5</v>
      </c>
      <c r="AS1213" s="69">
        <v>16770.5</v>
      </c>
      <c r="AT1213" s="69"/>
      <c r="BC1213" s="69"/>
      <c r="BD1213" s="69"/>
      <c r="CC1213" s="94">
        <f t="shared" si="117"/>
        <v>16770.5</v>
      </c>
      <c r="CD1213" s="73">
        <f t="shared" si="108"/>
        <v>0</v>
      </c>
      <c r="CE1213" s="75">
        <f t="shared" si="122"/>
        <v>3858</v>
      </c>
      <c r="CF1213" s="69" t="str">
        <f t="shared" si="122"/>
        <v>خ ت طب</v>
      </c>
    </row>
    <row r="1214" spans="2:87" x14ac:dyDescent="0.25">
      <c r="B1214" s="82">
        <v>7662</v>
      </c>
      <c r="C1214" s="78">
        <v>3859</v>
      </c>
      <c r="D1214" s="69" t="s">
        <v>128</v>
      </c>
      <c r="E1214" s="107" t="s">
        <v>3984</v>
      </c>
      <c r="T1214" s="69"/>
      <c r="U1214" s="69"/>
      <c r="V1214" s="69">
        <v>226.1</v>
      </c>
      <c r="AR1214" s="94">
        <f t="shared" si="116"/>
        <v>226.1</v>
      </c>
      <c r="AS1214" s="69">
        <v>226.1</v>
      </c>
      <c r="AT1214" s="69"/>
      <c r="BC1214" s="69"/>
      <c r="BD1214" s="69"/>
      <c r="CC1214" s="94">
        <f t="shared" si="117"/>
        <v>226.1</v>
      </c>
      <c r="CD1214" s="73">
        <f t="shared" si="108"/>
        <v>0</v>
      </c>
      <c r="CE1214" s="75">
        <f t="shared" si="122"/>
        <v>3859</v>
      </c>
      <c r="CF1214" s="69" t="str">
        <f t="shared" si="122"/>
        <v>مركز مؤتمرات</v>
      </c>
    </row>
    <row r="1215" spans="2:87" x14ac:dyDescent="0.25">
      <c r="B1215" s="82">
        <v>7663</v>
      </c>
      <c r="C1215" s="78">
        <v>3860</v>
      </c>
      <c r="D1215" s="69" t="s">
        <v>132</v>
      </c>
      <c r="E1215" s="107" t="s">
        <v>3984</v>
      </c>
      <c r="T1215" s="69"/>
      <c r="U1215" s="69"/>
      <c r="V1215" s="69">
        <v>7543.5</v>
      </c>
      <c r="AR1215" s="94">
        <f t="shared" si="116"/>
        <v>7543.5</v>
      </c>
      <c r="AS1215" s="69">
        <v>7543.5</v>
      </c>
      <c r="AT1215" s="69"/>
      <c r="BC1215" s="69"/>
      <c r="BD1215" s="69"/>
      <c r="CC1215" s="94">
        <f t="shared" si="117"/>
        <v>7543.5</v>
      </c>
      <c r="CD1215" s="73">
        <f t="shared" si="108"/>
        <v>0</v>
      </c>
      <c r="CE1215" s="75">
        <f t="shared" si="122"/>
        <v>3860</v>
      </c>
      <c r="CF1215" s="69" t="str">
        <f t="shared" si="122"/>
        <v>صيدلة اكلينيكى</v>
      </c>
    </row>
    <row r="1216" spans="2:87" x14ac:dyDescent="0.25">
      <c r="B1216" s="82">
        <v>7664</v>
      </c>
      <c r="C1216" s="78">
        <v>3861</v>
      </c>
      <c r="D1216" s="69" t="s">
        <v>119</v>
      </c>
      <c r="E1216" s="107" t="s">
        <v>3984</v>
      </c>
      <c r="T1216" s="69"/>
      <c r="U1216" s="69"/>
      <c r="V1216" s="69">
        <v>2042.6</v>
      </c>
      <c r="AR1216" s="94">
        <f t="shared" si="116"/>
        <v>2042.6</v>
      </c>
      <c r="AS1216" s="69">
        <v>2042.6</v>
      </c>
      <c r="AT1216" s="69"/>
      <c r="BC1216" s="69"/>
      <c r="BD1216" s="69"/>
      <c r="CC1216" s="94">
        <f t="shared" si="117"/>
        <v>2042.6</v>
      </c>
      <c r="CD1216" s="73">
        <f t="shared" si="108"/>
        <v>0</v>
      </c>
      <c r="CE1216" s="75">
        <f t="shared" si="122"/>
        <v>3861</v>
      </c>
      <c r="CF1216" s="69" t="str">
        <f t="shared" si="122"/>
        <v>خ ت صيدلة</v>
      </c>
    </row>
    <row r="1217" spans="1:85" x14ac:dyDescent="0.25">
      <c r="B1217" s="82">
        <v>7669</v>
      </c>
      <c r="C1217" s="78">
        <v>3862</v>
      </c>
      <c r="D1217" s="69" t="s">
        <v>121</v>
      </c>
      <c r="E1217" s="107" t="s">
        <v>3984</v>
      </c>
      <c r="T1217" s="69"/>
      <c r="U1217" s="69"/>
      <c r="V1217" s="69">
        <v>31096</v>
      </c>
      <c r="AR1217" s="94">
        <f t="shared" si="116"/>
        <v>31096</v>
      </c>
      <c r="AS1217" s="69">
        <v>31096</v>
      </c>
      <c r="AT1217" s="69"/>
      <c r="BC1217" s="69"/>
      <c r="BD1217" s="69"/>
      <c r="CC1217" s="94">
        <f t="shared" si="117"/>
        <v>31096</v>
      </c>
      <c r="CD1217" s="73">
        <f t="shared" si="108"/>
        <v>0</v>
      </c>
      <c r="CE1217" s="75">
        <f t="shared" si="122"/>
        <v>3862</v>
      </c>
      <c r="CF1217" s="69" t="str">
        <f t="shared" si="122"/>
        <v>ماليزى اسنان</v>
      </c>
    </row>
    <row r="1218" spans="1:85" x14ac:dyDescent="0.25">
      <c r="B1218" s="82">
        <v>7665</v>
      </c>
      <c r="C1218" s="78">
        <v>3863</v>
      </c>
      <c r="D1218" s="69" t="s">
        <v>249</v>
      </c>
      <c r="E1218" s="107" t="s">
        <v>3984</v>
      </c>
      <c r="T1218" s="69"/>
      <c r="U1218" s="69"/>
      <c r="V1218" s="69">
        <v>1084.75</v>
      </c>
      <c r="AR1218" s="94">
        <f t="shared" si="116"/>
        <v>1084.75</v>
      </c>
      <c r="AS1218" s="69">
        <v>1084.75</v>
      </c>
      <c r="AT1218" s="69"/>
      <c r="BC1218" s="69"/>
      <c r="BD1218" s="69"/>
      <c r="CC1218" s="94">
        <f t="shared" si="117"/>
        <v>1084.75</v>
      </c>
      <c r="CD1218" s="73">
        <f t="shared" si="108"/>
        <v>0</v>
      </c>
      <c r="CE1218" s="75">
        <f t="shared" si="122"/>
        <v>3863</v>
      </c>
      <c r="CF1218" s="69" t="str">
        <f t="shared" si="122"/>
        <v>خدمة عامة</v>
      </c>
    </row>
    <row r="1219" spans="1:85" x14ac:dyDescent="0.25">
      <c r="B1219" s="82">
        <v>7666</v>
      </c>
      <c r="C1219" s="78">
        <v>3864</v>
      </c>
      <c r="D1219" s="69" t="s">
        <v>122</v>
      </c>
      <c r="E1219" s="107" t="s">
        <v>3984</v>
      </c>
      <c r="T1219" s="69"/>
      <c r="U1219" s="69"/>
      <c r="V1219" s="69">
        <v>205</v>
      </c>
      <c r="AR1219" s="94">
        <f t="shared" si="116"/>
        <v>205</v>
      </c>
      <c r="AS1219" s="69">
        <v>205</v>
      </c>
      <c r="AT1219" s="69"/>
      <c r="BC1219" s="69"/>
      <c r="BD1219" s="69"/>
      <c r="CC1219" s="94">
        <f t="shared" si="117"/>
        <v>205</v>
      </c>
      <c r="CD1219" s="73">
        <f t="shared" si="108"/>
        <v>0</v>
      </c>
      <c r="CE1219" s="75">
        <f t="shared" si="122"/>
        <v>3864</v>
      </c>
      <c r="CF1219" s="69" t="str">
        <f t="shared" si="122"/>
        <v>علاج تخصصى</v>
      </c>
    </row>
    <row r="1220" spans="1:85" x14ac:dyDescent="0.25">
      <c r="B1220" s="82">
        <v>7676</v>
      </c>
      <c r="C1220" s="78">
        <v>3865</v>
      </c>
      <c r="D1220" s="69" t="s">
        <v>121</v>
      </c>
      <c r="E1220" s="107" t="s">
        <v>3985</v>
      </c>
      <c r="G1220" s="69">
        <v>22089.52</v>
      </c>
      <c r="T1220" s="69"/>
      <c r="U1220" s="69"/>
      <c r="AR1220" s="94">
        <f t="shared" si="116"/>
        <v>22089.52</v>
      </c>
      <c r="AS1220" s="69">
        <v>16363.88</v>
      </c>
      <c r="AT1220" s="69">
        <v>2131.7199999999998</v>
      </c>
      <c r="AU1220" s="69">
        <v>3593.92</v>
      </c>
      <c r="BC1220" s="69"/>
      <c r="BD1220" s="69"/>
      <c r="CC1220" s="94">
        <f t="shared" si="117"/>
        <v>22089.519999999997</v>
      </c>
      <c r="CD1220" s="73">
        <f t="shared" si="108"/>
        <v>0</v>
      </c>
      <c r="CE1220" s="75">
        <f t="shared" si="122"/>
        <v>3865</v>
      </c>
      <c r="CF1220" s="69" t="str">
        <f t="shared" si="122"/>
        <v>ماليزى اسنان</v>
      </c>
    </row>
    <row r="1221" spans="1:85" x14ac:dyDescent="0.25">
      <c r="B1221" s="82">
        <v>7670</v>
      </c>
      <c r="C1221" s="78">
        <v>3866</v>
      </c>
      <c r="D1221" s="69" t="s">
        <v>121</v>
      </c>
      <c r="E1221" s="107" t="s">
        <v>3985</v>
      </c>
      <c r="G1221" s="69">
        <v>5908.43</v>
      </c>
      <c r="T1221" s="69"/>
      <c r="U1221" s="69"/>
      <c r="AR1221" s="94">
        <f t="shared" si="116"/>
        <v>5908.43</v>
      </c>
      <c r="AS1221" s="69">
        <v>4436.49</v>
      </c>
      <c r="AT1221" s="69">
        <v>575.83000000000004</v>
      </c>
      <c r="AU1221" s="69">
        <v>896.11</v>
      </c>
      <c r="BC1221" s="69"/>
      <c r="BD1221" s="69"/>
      <c r="CC1221" s="94">
        <f t="shared" si="117"/>
        <v>5908.4299999999994</v>
      </c>
      <c r="CD1221" s="73">
        <f t="shared" si="108"/>
        <v>0</v>
      </c>
      <c r="CE1221" s="75">
        <f t="shared" si="122"/>
        <v>3866</v>
      </c>
      <c r="CF1221" s="69" t="str">
        <f t="shared" si="122"/>
        <v>ماليزى اسنان</v>
      </c>
    </row>
    <row r="1222" spans="1:85" x14ac:dyDescent="0.25">
      <c r="B1222" s="82">
        <v>7672</v>
      </c>
      <c r="C1222" s="78">
        <v>3867</v>
      </c>
      <c r="D1222" s="69" t="s">
        <v>78</v>
      </c>
      <c r="E1222" s="107" t="s">
        <v>3985</v>
      </c>
      <c r="G1222" s="69">
        <v>4828</v>
      </c>
      <c r="T1222" s="69"/>
      <c r="U1222" s="69"/>
      <c r="AR1222" s="94">
        <f t="shared" si="116"/>
        <v>4828</v>
      </c>
      <c r="AS1222" s="69">
        <v>4283.79</v>
      </c>
      <c r="AT1222" s="69">
        <v>516.78</v>
      </c>
      <c r="AU1222" s="69">
        <v>27.43</v>
      </c>
      <c r="BC1222" s="69"/>
      <c r="BD1222" s="69"/>
      <c r="CC1222" s="94">
        <f t="shared" si="117"/>
        <v>4828</v>
      </c>
      <c r="CD1222" s="73">
        <f t="shared" si="108"/>
        <v>0</v>
      </c>
      <c r="CE1222" s="75">
        <f t="shared" si="122"/>
        <v>3867</v>
      </c>
      <c r="CF1222" s="69" t="str">
        <f t="shared" si="122"/>
        <v>برنامج دولى</v>
      </c>
    </row>
    <row r="1223" spans="1:85" x14ac:dyDescent="0.25">
      <c r="B1223" s="82">
        <v>7673</v>
      </c>
      <c r="C1223" s="78">
        <v>3868</v>
      </c>
      <c r="D1223" s="69" t="s">
        <v>78</v>
      </c>
      <c r="E1223" s="107" t="s">
        <v>3985</v>
      </c>
      <c r="G1223" s="69">
        <v>7080.83</v>
      </c>
      <c r="T1223" s="69"/>
      <c r="U1223" s="69"/>
      <c r="AR1223" s="94">
        <f t="shared" si="116"/>
        <v>7080.83</v>
      </c>
      <c r="AS1223" s="69">
        <v>5316.63</v>
      </c>
      <c r="AT1223" s="69">
        <v>690.15</v>
      </c>
      <c r="AU1223" s="69">
        <v>1074.05</v>
      </c>
      <c r="BC1223" s="69"/>
      <c r="BD1223" s="69"/>
      <c r="CC1223" s="94">
        <f t="shared" si="117"/>
        <v>7080.83</v>
      </c>
      <c r="CD1223" s="73">
        <f t="shared" ref="CD1223:CD1240" si="126">+CC1223-AR1223</f>
        <v>0</v>
      </c>
      <c r="CE1223" s="75">
        <f t="shared" si="122"/>
        <v>3868</v>
      </c>
      <c r="CF1223" s="69" t="str">
        <f t="shared" si="122"/>
        <v>برنامج دولى</v>
      </c>
    </row>
    <row r="1224" spans="1:85" x14ac:dyDescent="0.25">
      <c r="B1224" s="82">
        <v>7671</v>
      </c>
      <c r="C1224" s="78">
        <v>3869</v>
      </c>
      <c r="D1224" s="69" t="s">
        <v>78</v>
      </c>
      <c r="E1224" s="107" t="s">
        <v>3985</v>
      </c>
      <c r="G1224" s="69">
        <v>55367.05</v>
      </c>
      <c r="T1224" s="69"/>
      <c r="U1224" s="69"/>
      <c r="AR1224" s="94">
        <f t="shared" si="116"/>
        <v>55367.05</v>
      </c>
      <c r="AS1224" s="69">
        <v>36976.14</v>
      </c>
      <c r="AT1224" s="69">
        <v>5050.92</v>
      </c>
      <c r="AU1224" s="69">
        <v>13339.99</v>
      </c>
      <c r="BC1224" s="69"/>
      <c r="BD1224" s="69"/>
      <c r="CC1224" s="94">
        <f t="shared" si="117"/>
        <v>55367.049999999996</v>
      </c>
      <c r="CD1224" s="73">
        <f t="shared" si="126"/>
        <v>0</v>
      </c>
      <c r="CE1224" s="75">
        <f t="shared" si="122"/>
        <v>3869</v>
      </c>
      <c r="CF1224" s="69" t="str">
        <f t="shared" si="122"/>
        <v>برنامج دولى</v>
      </c>
    </row>
    <row r="1225" spans="1:85" x14ac:dyDescent="0.25">
      <c r="B1225" s="82">
        <v>7675</v>
      </c>
      <c r="C1225" s="78">
        <v>3870</v>
      </c>
      <c r="D1225" s="69" t="s">
        <v>78</v>
      </c>
      <c r="E1225" s="107" t="s">
        <v>3985</v>
      </c>
      <c r="G1225" s="69">
        <v>5862.7</v>
      </c>
      <c r="T1225" s="69"/>
      <c r="U1225" s="69"/>
      <c r="AR1225" s="94">
        <f t="shared" si="116"/>
        <v>5862.7</v>
      </c>
      <c r="AS1225" s="69">
        <v>4084.24</v>
      </c>
      <c r="AT1225" s="69">
        <v>547.83000000000004</v>
      </c>
      <c r="AU1225" s="69">
        <v>1230.6300000000001</v>
      </c>
      <c r="BC1225" s="69"/>
      <c r="BD1225" s="69"/>
      <c r="CC1225" s="94">
        <f t="shared" si="117"/>
        <v>5862.7</v>
      </c>
      <c r="CD1225" s="73">
        <f t="shared" si="126"/>
        <v>0</v>
      </c>
      <c r="CE1225" s="75">
        <f t="shared" si="122"/>
        <v>3870</v>
      </c>
      <c r="CF1225" s="69" t="str">
        <f t="shared" si="122"/>
        <v>برنامج دولى</v>
      </c>
    </row>
    <row r="1226" spans="1:85" x14ac:dyDescent="0.25">
      <c r="B1226" s="82">
        <v>7679</v>
      </c>
      <c r="C1226" s="78">
        <v>3871</v>
      </c>
      <c r="D1226" s="69" t="s">
        <v>78</v>
      </c>
      <c r="E1226" s="107" t="s">
        <v>3985</v>
      </c>
      <c r="G1226" s="69">
        <v>47473.54</v>
      </c>
      <c r="T1226" s="69"/>
      <c r="U1226" s="69"/>
      <c r="AR1226" s="94">
        <f t="shared" si="116"/>
        <v>47473.54</v>
      </c>
      <c r="AS1226" s="69">
        <v>33101.300000000003</v>
      </c>
      <c r="AT1226" s="69">
        <v>4434.58</v>
      </c>
      <c r="AU1226" s="69">
        <v>9937.66</v>
      </c>
      <c r="BC1226" s="69"/>
      <c r="BD1226" s="69"/>
      <c r="CC1226" s="94">
        <f t="shared" si="117"/>
        <v>47473.540000000008</v>
      </c>
      <c r="CD1226" s="73">
        <f t="shared" si="126"/>
        <v>0</v>
      </c>
      <c r="CE1226" s="75">
        <f t="shared" si="122"/>
        <v>3871</v>
      </c>
      <c r="CF1226" s="69" t="str">
        <f t="shared" si="122"/>
        <v>برنامج دولى</v>
      </c>
    </row>
    <row r="1227" spans="1:85" x14ac:dyDescent="0.25">
      <c r="B1227" s="82">
        <v>7674</v>
      </c>
      <c r="C1227" s="78">
        <v>3872</v>
      </c>
      <c r="D1227" s="69" t="s">
        <v>78</v>
      </c>
      <c r="E1227" s="107" t="s">
        <v>3985</v>
      </c>
      <c r="G1227" s="69">
        <v>17513.21</v>
      </c>
      <c r="T1227" s="69"/>
      <c r="U1227" s="69"/>
      <c r="AR1227" s="94">
        <f t="shared" si="116"/>
        <v>17513.21</v>
      </c>
      <c r="AS1227" s="69">
        <v>12310.81</v>
      </c>
      <c r="AT1227" s="69">
        <v>1644.58</v>
      </c>
      <c r="AU1227" s="69">
        <v>3557.82</v>
      </c>
      <c r="BC1227" s="69"/>
      <c r="BD1227" s="69"/>
      <c r="CC1227" s="94">
        <f t="shared" si="117"/>
        <v>17513.21</v>
      </c>
      <c r="CD1227" s="73">
        <f t="shared" si="126"/>
        <v>0</v>
      </c>
      <c r="CE1227" s="75">
        <f t="shared" si="122"/>
        <v>3872</v>
      </c>
      <c r="CF1227" s="69" t="str">
        <f t="shared" si="122"/>
        <v>برنامج دولى</v>
      </c>
    </row>
    <row r="1228" spans="1:85" x14ac:dyDescent="0.25">
      <c r="B1228" s="82">
        <v>7678</v>
      </c>
      <c r="C1228" s="78">
        <v>3873</v>
      </c>
      <c r="D1228" s="69" t="s">
        <v>132</v>
      </c>
      <c r="E1228" s="107" t="s">
        <v>3985</v>
      </c>
      <c r="G1228" s="69">
        <v>5785.13</v>
      </c>
      <c r="T1228" s="69"/>
      <c r="U1228" s="69"/>
      <c r="AR1228" s="94">
        <f t="shared" si="116"/>
        <v>5785.13</v>
      </c>
      <c r="AS1228" s="69">
        <v>3935</v>
      </c>
      <c r="AT1228" s="69">
        <v>531.12</v>
      </c>
      <c r="AU1228" s="69">
        <v>1319.01</v>
      </c>
      <c r="BC1228" s="69"/>
      <c r="BD1228" s="69"/>
      <c r="CC1228" s="94">
        <f t="shared" si="117"/>
        <v>5785.13</v>
      </c>
      <c r="CD1228" s="73">
        <f t="shared" si="126"/>
        <v>0</v>
      </c>
      <c r="CE1228" s="75">
        <f t="shared" si="122"/>
        <v>3873</v>
      </c>
      <c r="CF1228" s="69" t="str">
        <f t="shared" si="122"/>
        <v>صيدلة اكلينيكى</v>
      </c>
    </row>
    <row r="1229" spans="1:85" x14ac:dyDescent="0.25">
      <c r="A1229" s="69">
        <f>3833.73+52876.52</f>
        <v>56710.25</v>
      </c>
      <c r="B1229" s="82">
        <v>7677</v>
      </c>
      <c r="C1229" s="78">
        <v>3874</v>
      </c>
      <c r="D1229" s="69" t="s">
        <v>132</v>
      </c>
      <c r="E1229" s="107" t="s">
        <v>3985</v>
      </c>
      <c r="G1229" s="69">
        <v>21159.85</v>
      </c>
      <c r="T1229" s="69"/>
      <c r="U1229" s="69"/>
      <c r="AR1229" s="94">
        <f t="shared" si="116"/>
        <v>21159.85</v>
      </c>
      <c r="AS1229" s="69">
        <v>15505.45</v>
      </c>
      <c r="AT1229" s="69">
        <v>2027</v>
      </c>
      <c r="AU1229" s="69">
        <v>3627.4</v>
      </c>
      <c r="BC1229" s="69"/>
      <c r="BD1229" s="69"/>
      <c r="CC1229" s="94">
        <f t="shared" si="117"/>
        <v>21159.850000000002</v>
      </c>
      <c r="CD1229" s="73">
        <f t="shared" si="126"/>
        <v>0</v>
      </c>
      <c r="CE1229" s="75">
        <f t="shared" si="122"/>
        <v>3874</v>
      </c>
      <c r="CF1229" s="69" t="str">
        <f t="shared" si="122"/>
        <v>صيدلة اكلينيكى</v>
      </c>
    </row>
    <row r="1230" spans="1:85" x14ac:dyDescent="0.25">
      <c r="B1230" s="82"/>
      <c r="C1230" s="78"/>
      <c r="F1230" s="69"/>
      <c r="T1230" s="69"/>
      <c r="U1230" s="69"/>
      <c r="AR1230" s="94">
        <f t="shared" si="116"/>
        <v>0</v>
      </c>
      <c r="AT1230" s="69"/>
      <c r="BC1230" s="69"/>
      <c r="BD1230" s="69"/>
      <c r="CC1230" s="94">
        <f t="shared" ref="CC1230" si="127">SUM(AS1230:CB1230)</f>
        <v>0</v>
      </c>
      <c r="CD1230" s="73">
        <f t="shared" si="126"/>
        <v>0</v>
      </c>
      <c r="CE1230" s="75">
        <f t="shared" si="122"/>
        <v>0</v>
      </c>
      <c r="CF1230" s="69">
        <f t="shared" si="122"/>
        <v>0</v>
      </c>
    </row>
    <row r="1231" spans="1:85" s="179" customFormat="1" x14ac:dyDescent="0.25">
      <c r="B1231" s="82">
        <v>7680</v>
      </c>
      <c r="C1231" s="78">
        <v>3876</v>
      </c>
      <c r="D1231" s="179" t="s">
        <v>78</v>
      </c>
      <c r="E1231" s="179" t="s">
        <v>3986</v>
      </c>
      <c r="F1231" s="180"/>
      <c r="G1231" s="69"/>
      <c r="H1231" s="69">
        <v>10000</v>
      </c>
      <c r="I1231" s="69"/>
      <c r="J1231" s="69"/>
      <c r="K1231" s="69"/>
      <c r="L1231" s="69"/>
      <c r="M1231" s="69"/>
      <c r="N1231" s="69"/>
      <c r="O1231" s="69">
        <v>10000</v>
      </c>
      <c r="P1231" s="69"/>
      <c r="Q1231" s="69"/>
      <c r="R1231" s="69"/>
      <c r="S1231" s="69"/>
      <c r="T1231" s="69"/>
      <c r="U1231" s="69"/>
      <c r="V1231" s="69"/>
      <c r="W1231" s="69"/>
      <c r="X1231" s="69"/>
      <c r="Y1231" s="69"/>
      <c r="Z1231" s="69"/>
      <c r="AA1231" s="69"/>
      <c r="AB1231" s="69"/>
      <c r="AC1231" s="69"/>
      <c r="AD1231" s="69"/>
      <c r="AE1231" s="69"/>
      <c r="AF1231" s="69"/>
      <c r="AG1231" s="69"/>
      <c r="AH1231" s="69"/>
      <c r="AI1231" s="69"/>
      <c r="AJ1231" s="69"/>
      <c r="AK1231" s="69"/>
      <c r="AL1231" s="69"/>
      <c r="AM1231" s="69"/>
      <c r="AN1231" s="69"/>
      <c r="AO1231" s="69"/>
      <c r="AP1231" s="69"/>
      <c r="AQ1231" s="69"/>
      <c r="AR1231" s="94">
        <f t="shared" si="116"/>
        <v>20000</v>
      </c>
      <c r="AS1231" s="69">
        <v>10000</v>
      </c>
      <c r="AT1231" s="69"/>
      <c r="AU1231" s="69"/>
      <c r="AV1231" s="69"/>
      <c r="AW1231" s="69"/>
      <c r="AX1231" s="69"/>
      <c r="AY1231" s="69"/>
      <c r="AZ1231" s="69"/>
      <c r="BA1231" s="69"/>
      <c r="BB1231" s="69"/>
      <c r="BC1231" s="69"/>
      <c r="BD1231" s="69"/>
      <c r="BE1231" s="69"/>
      <c r="BF1231" s="69"/>
      <c r="BG1231" s="69"/>
      <c r="BH1231" s="69"/>
      <c r="BI1231" s="69"/>
      <c r="BJ1231" s="69"/>
      <c r="BK1231" s="69"/>
      <c r="BL1231" s="69"/>
      <c r="BM1231" s="69"/>
      <c r="BN1231" s="69">
        <v>10000</v>
      </c>
      <c r="BO1231" s="69"/>
      <c r="BP1231" s="69"/>
      <c r="BQ1231" s="69"/>
      <c r="BR1231" s="69"/>
      <c r="BS1231" s="69"/>
      <c r="BT1231" s="69"/>
      <c r="BU1231" s="69"/>
      <c r="BV1231" s="69"/>
      <c r="BW1231" s="69"/>
      <c r="BX1231" s="69"/>
      <c r="BY1231" s="69"/>
      <c r="BZ1231" s="69"/>
      <c r="CA1231" s="69"/>
      <c r="CB1231" s="69"/>
      <c r="CC1231" s="94">
        <f t="shared" si="117"/>
        <v>20000</v>
      </c>
      <c r="CD1231" s="73">
        <f t="shared" si="126"/>
        <v>0</v>
      </c>
      <c r="CE1231" s="75">
        <f t="shared" si="122"/>
        <v>3876</v>
      </c>
      <c r="CF1231" s="69" t="str">
        <f t="shared" si="122"/>
        <v>برنامج دولى</v>
      </c>
    </row>
    <row r="1232" spans="1:85" s="68" customFormat="1" x14ac:dyDescent="0.25">
      <c r="B1232" s="83"/>
      <c r="C1232" s="84"/>
      <c r="E1232" s="108" t="s">
        <v>3987</v>
      </c>
      <c r="G1232" s="68">
        <f t="shared" ref="G1232:BR1232" si="128">SUM(G1212:G1231)</f>
        <v>193068.26</v>
      </c>
      <c r="H1232" s="68">
        <f t="shared" si="128"/>
        <v>10000</v>
      </c>
      <c r="I1232" s="68">
        <f t="shared" si="128"/>
        <v>0</v>
      </c>
      <c r="J1232" s="68">
        <f t="shared" si="128"/>
        <v>0</v>
      </c>
      <c r="K1232" s="68">
        <f t="shared" si="128"/>
        <v>0</v>
      </c>
      <c r="L1232" s="68">
        <f t="shared" si="128"/>
        <v>0</v>
      </c>
      <c r="M1232" s="68">
        <f t="shared" si="128"/>
        <v>0</v>
      </c>
      <c r="N1232" s="68">
        <f t="shared" si="128"/>
        <v>0</v>
      </c>
      <c r="O1232" s="68">
        <f t="shared" si="128"/>
        <v>10000</v>
      </c>
      <c r="P1232" s="68">
        <f t="shared" si="128"/>
        <v>0</v>
      </c>
      <c r="Q1232" s="68">
        <f t="shared" si="128"/>
        <v>0</v>
      </c>
      <c r="R1232" s="68">
        <f t="shared" si="128"/>
        <v>0</v>
      </c>
      <c r="S1232" s="68">
        <f t="shared" si="128"/>
        <v>0</v>
      </c>
      <c r="T1232" s="68">
        <f t="shared" si="128"/>
        <v>0</v>
      </c>
      <c r="U1232" s="68">
        <f t="shared" si="128"/>
        <v>0</v>
      </c>
      <c r="V1232" s="68">
        <f t="shared" si="128"/>
        <v>136730.46000000002</v>
      </c>
      <c r="W1232" s="68">
        <f t="shared" si="128"/>
        <v>0</v>
      </c>
      <c r="X1232" s="68">
        <f t="shared" si="128"/>
        <v>0</v>
      </c>
      <c r="Y1232" s="68">
        <f t="shared" si="128"/>
        <v>0</v>
      </c>
      <c r="Z1232" s="68">
        <f t="shared" si="128"/>
        <v>0</v>
      </c>
      <c r="AA1232" s="68">
        <f t="shared" si="128"/>
        <v>0</v>
      </c>
      <c r="AB1232" s="68">
        <f t="shared" si="128"/>
        <v>0</v>
      </c>
      <c r="AC1232" s="68">
        <f t="shared" si="128"/>
        <v>0</v>
      </c>
      <c r="AD1232" s="68">
        <f t="shared" si="128"/>
        <v>0</v>
      </c>
      <c r="AE1232" s="68">
        <f t="shared" si="128"/>
        <v>0</v>
      </c>
      <c r="AF1232" s="68">
        <f t="shared" si="128"/>
        <v>0</v>
      </c>
      <c r="AG1232" s="68">
        <f t="shared" si="128"/>
        <v>0</v>
      </c>
      <c r="AH1232" s="68">
        <f t="shared" si="128"/>
        <v>0</v>
      </c>
      <c r="AI1232" s="68">
        <f t="shared" si="128"/>
        <v>0</v>
      </c>
      <c r="AJ1232" s="68">
        <f t="shared" si="128"/>
        <v>0</v>
      </c>
      <c r="AK1232" s="68">
        <f t="shared" si="128"/>
        <v>0</v>
      </c>
      <c r="AL1232" s="68">
        <f t="shared" si="128"/>
        <v>0</v>
      </c>
      <c r="AM1232" s="68">
        <f t="shared" si="128"/>
        <v>0</v>
      </c>
      <c r="AO1232" s="68">
        <f t="shared" si="128"/>
        <v>0</v>
      </c>
      <c r="AP1232" s="68">
        <f t="shared" si="128"/>
        <v>0</v>
      </c>
      <c r="AQ1232" s="68">
        <f t="shared" si="128"/>
        <v>0</v>
      </c>
      <c r="AR1232" s="91">
        <f t="shared" si="128"/>
        <v>349798.72</v>
      </c>
      <c r="AS1232" s="68">
        <f t="shared" si="128"/>
        <v>283044.19</v>
      </c>
      <c r="AT1232" s="68">
        <f t="shared" si="128"/>
        <v>18150.510000000002</v>
      </c>
      <c r="AU1232" s="68">
        <f t="shared" si="128"/>
        <v>38604.020000000004</v>
      </c>
      <c r="AV1232" s="68">
        <f t="shared" si="128"/>
        <v>0</v>
      </c>
      <c r="AW1232" s="68">
        <f t="shared" si="128"/>
        <v>0</v>
      </c>
      <c r="AX1232" s="68">
        <f t="shared" si="128"/>
        <v>0</v>
      </c>
      <c r="AY1232" s="68">
        <f t="shared" si="128"/>
        <v>0</v>
      </c>
      <c r="AZ1232" s="68">
        <f t="shared" si="128"/>
        <v>0</v>
      </c>
      <c r="BA1232" s="68">
        <f t="shared" si="128"/>
        <v>0</v>
      </c>
      <c r="BB1232" s="68">
        <f t="shared" si="128"/>
        <v>0</v>
      </c>
      <c r="BC1232" s="68">
        <f t="shared" si="128"/>
        <v>0</v>
      </c>
      <c r="BD1232" s="68">
        <f t="shared" si="128"/>
        <v>0</v>
      </c>
      <c r="BE1232" s="68">
        <f t="shared" si="128"/>
        <v>0</v>
      </c>
      <c r="BF1232" s="68">
        <f t="shared" si="128"/>
        <v>0</v>
      </c>
      <c r="BG1232" s="68">
        <f t="shared" si="128"/>
        <v>0</v>
      </c>
      <c r="BH1232" s="68">
        <f t="shared" si="128"/>
        <v>0</v>
      </c>
      <c r="BI1232" s="68">
        <f t="shared" si="128"/>
        <v>0</v>
      </c>
      <c r="BJ1232" s="68">
        <f t="shared" si="128"/>
        <v>0</v>
      </c>
      <c r="BK1232" s="68">
        <f t="shared" si="128"/>
        <v>0</v>
      </c>
      <c r="BL1232" s="68">
        <f t="shared" si="128"/>
        <v>0</v>
      </c>
      <c r="BM1232" s="68">
        <f t="shared" si="128"/>
        <v>0</v>
      </c>
      <c r="BN1232" s="68">
        <f t="shared" si="128"/>
        <v>10000</v>
      </c>
      <c r="BO1232" s="68">
        <f t="shared" si="128"/>
        <v>0</v>
      </c>
      <c r="BP1232" s="68">
        <f t="shared" si="128"/>
        <v>0</v>
      </c>
      <c r="BQ1232" s="68">
        <f t="shared" si="128"/>
        <v>0</v>
      </c>
      <c r="BR1232" s="68">
        <f t="shared" si="128"/>
        <v>0</v>
      </c>
      <c r="BS1232" s="68">
        <f t="shared" ref="BS1232:CD1232" si="129">SUM(BS1212:BS1231)</f>
        <v>0</v>
      </c>
      <c r="BT1232" s="68">
        <f t="shared" si="129"/>
        <v>0</v>
      </c>
      <c r="BU1232" s="68">
        <f t="shared" si="129"/>
        <v>0</v>
      </c>
      <c r="BV1232" s="68">
        <f t="shared" si="129"/>
        <v>0</v>
      </c>
      <c r="BW1232" s="68">
        <f t="shared" si="129"/>
        <v>0</v>
      </c>
      <c r="BX1232" s="68">
        <f t="shared" si="129"/>
        <v>0</v>
      </c>
      <c r="BY1232" s="68">
        <f t="shared" si="129"/>
        <v>0</v>
      </c>
      <c r="BZ1232" s="68">
        <f t="shared" si="129"/>
        <v>0</v>
      </c>
      <c r="CA1232" s="68">
        <f t="shared" si="129"/>
        <v>0</v>
      </c>
      <c r="CB1232" s="68">
        <f t="shared" si="129"/>
        <v>0</v>
      </c>
      <c r="CC1232" s="91">
        <f t="shared" si="129"/>
        <v>349798.72000000003</v>
      </c>
      <c r="CD1232" s="68">
        <f t="shared" si="129"/>
        <v>0</v>
      </c>
      <c r="CG1232" s="68">
        <f>SUM(CG1212:CG1231)</f>
        <v>0</v>
      </c>
    </row>
    <row r="1233" spans="1:98" x14ac:dyDescent="0.25">
      <c r="B1233" s="82">
        <v>3468</v>
      </c>
      <c r="C1233" s="78">
        <v>3877</v>
      </c>
      <c r="D1233" s="69" t="s">
        <v>132</v>
      </c>
      <c r="E1233" s="107" t="s">
        <v>3981</v>
      </c>
      <c r="F1233" s="63" t="s">
        <v>220</v>
      </c>
      <c r="G1233" s="69">
        <v>4901.82</v>
      </c>
      <c r="T1233" s="69"/>
      <c r="U1233" s="69"/>
      <c r="AR1233" s="94">
        <f t="shared" si="116"/>
        <v>4901.82</v>
      </c>
      <c r="AS1233" s="69">
        <v>3636.65</v>
      </c>
      <c r="AT1233" s="69">
        <v>84.12</v>
      </c>
      <c r="AU1233" s="69">
        <v>1181.05</v>
      </c>
      <c r="BC1233" s="69"/>
      <c r="BD1233" s="69"/>
      <c r="CC1233" s="94">
        <f t="shared" si="117"/>
        <v>4901.82</v>
      </c>
      <c r="CD1233" s="73">
        <f t="shared" si="126"/>
        <v>0</v>
      </c>
      <c r="CE1233" s="75">
        <f t="shared" si="122"/>
        <v>3877</v>
      </c>
      <c r="CF1233" s="69" t="str">
        <f t="shared" si="122"/>
        <v>صيدلة اكلينيكى</v>
      </c>
    </row>
    <row r="1234" spans="1:98" x14ac:dyDescent="0.25">
      <c r="B1234" s="82">
        <v>3469</v>
      </c>
      <c r="C1234" s="78">
        <v>3878</v>
      </c>
      <c r="D1234" s="69" t="s">
        <v>132</v>
      </c>
      <c r="E1234" s="107" t="s">
        <v>3981</v>
      </c>
      <c r="F1234" s="63" t="s">
        <v>220</v>
      </c>
      <c r="G1234" s="69">
        <v>9251.0300000000007</v>
      </c>
      <c r="T1234" s="69"/>
      <c r="U1234" s="69"/>
      <c r="AR1234" s="94">
        <f t="shared" si="116"/>
        <v>9251.0300000000007</v>
      </c>
      <c r="AS1234" s="69">
        <v>6812.9</v>
      </c>
      <c r="AT1234" s="69">
        <v>209.2</v>
      </c>
      <c r="AU1234" s="69">
        <v>2228.9299999999998</v>
      </c>
      <c r="BC1234" s="69"/>
      <c r="BD1234" s="69"/>
      <c r="CC1234" s="94">
        <f t="shared" si="117"/>
        <v>9251.0299999999988</v>
      </c>
      <c r="CD1234" s="73">
        <f t="shared" si="126"/>
        <v>0</v>
      </c>
      <c r="CE1234" s="75">
        <f t="shared" ref="CE1234:CF1240" si="130">+C1234</f>
        <v>3878</v>
      </c>
      <c r="CF1234" s="69" t="str">
        <f t="shared" si="130"/>
        <v>صيدلة اكلينيكى</v>
      </c>
    </row>
    <row r="1235" spans="1:98" x14ac:dyDescent="0.25">
      <c r="A1235" s="69">
        <f>140298.99-A1229</f>
        <v>83588.739999999991</v>
      </c>
      <c r="B1235" s="82">
        <v>3470</v>
      </c>
      <c r="C1235" s="78">
        <v>3879</v>
      </c>
      <c r="D1235" s="69" t="s">
        <v>132</v>
      </c>
      <c r="E1235" s="107" t="s">
        <v>3981</v>
      </c>
      <c r="F1235" s="63" t="s">
        <v>220</v>
      </c>
      <c r="G1235" s="69">
        <v>1407</v>
      </c>
      <c r="T1235" s="69"/>
      <c r="U1235" s="69"/>
      <c r="AR1235" s="94">
        <f t="shared" si="116"/>
        <v>1407</v>
      </c>
      <c r="AS1235" s="69">
        <v>959.7</v>
      </c>
      <c r="AT1235" s="69">
        <v>108.3</v>
      </c>
      <c r="AU1235" s="69">
        <v>339</v>
      </c>
      <c r="BC1235" s="69"/>
      <c r="BD1235" s="69"/>
      <c r="CC1235" s="94">
        <f t="shared" si="117"/>
        <v>1407</v>
      </c>
      <c r="CD1235" s="73">
        <f t="shared" si="126"/>
        <v>0</v>
      </c>
      <c r="CE1235" s="75">
        <f t="shared" si="130"/>
        <v>3879</v>
      </c>
      <c r="CF1235" s="69" t="str">
        <f t="shared" si="130"/>
        <v>صيدلة اكلينيكى</v>
      </c>
    </row>
    <row r="1236" spans="1:98" x14ac:dyDescent="0.25">
      <c r="B1236" s="82">
        <v>3471</v>
      </c>
      <c r="C1236" s="78">
        <v>3880</v>
      </c>
      <c r="D1236" s="69" t="s">
        <v>132</v>
      </c>
      <c r="E1236" s="107" t="s">
        <v>3981</v>
      </c>
      <c r="F1236" s="63" t="s">
        <v>220</v>
      </c>
      <c r="G1236" s="69">
        <v>351.75</v>
      </c>
      <c r="T1236" s="69"/>
      <c r="U1236" s="69"/>
      <c r="AR1236" s="94">
        <f t="shared" si="116"/>
        <v>351.75</v>
      </c>
      <c r="AS1236" s="69">
        <v>263.26</v>
      </c>
      <c r="AT1236" s="69">
        <v>3.74</v>
      </c>
      <c r="AU1236" s="69">
        <v>84.75</v>
      </c>
      <c r="BC1236" s="69"/>
      <c r="BD1236" s="69"/>
      <c r="CC1236" s="94">
        <f t="shared" si="117"/>
        <v>351.75</v>
      </c>
      <c r="CD1236" s="73">
        <f t="shared" si="126"/>
        <v>0</v>
      </c>
      <c r="CE1236" s="75">
        <f t="shared" si="130"/>
        <v>3880</v>
      </c>
      <c r="CF1236" s="69" t="str">
        <f t="shared" si="130"/>
        <v>صيدلة اكلينيكى</v>
      </c>
    </row>
    <row r="1237" spans="1:98" x14ac:dyDescent="0.25">
      <c r="B1237" s="82">
        <v>3475</v>
      </c>
      <c r="C1237" s="78">
        <v>3881</v>
      </c>
      <c r="D1237" s="69" t="s">
        <v>121</v>
      </c>
      <c r="E1237" s="107" t="s">
        <v>3988</v>
      </c>
      <c r="F1237" s="63" t="s">
        <v>220</v>
      </c>
      <c r="T1237" s="69"/>
      <c r="U1237" s="69"/>
      <c r="AC1237" s="69">
        <v>2311.2399999999998</v>
      </c>
      <c r="AR1237" s="94">
        <f t="shared" si="116"/>
        <v>2311.2399999999998</v>
      </c>
      <c r="AS1237" s="69">
        <v>2311.2399999999998</v>
      </c>
      <c r="AT1237" s="69">
        <v>0</v>
      </c>
      <c r="AU1237" s="69">
        <v>0</v>
      </c>
      <c r="BC1237" s="69"/>
      <c r="BD1237" s="69"/>
      <c r="CC1237" s="94">
        <f t="shared" si="117"/>
        <v>2311.2399999999998</v>
      </c>
      <c r="CD1237" s="73">
        <f t="shared" si="126"/>
        <v>0</v>
      </c>
      <c r="CE1237" s="75">
        <f t="shared" si="130"/>
        <v>3881</v>
      </c>
      <c r="CF1237" s="69" t="str">
        <f t="shared" si="130"/>
        <v>ماليزى اسنان</v>
      </c>
    </row>
    <row r="1238" spans="1:98" s="68" customFormat="1" x14ac:dyDescent="0.25">
      <c r="B1238" s="83"/>
      <c r="C1238" s="84"/>
      <c r="E1238" s="108" t="s">
        <v>3989</v>
      </c>
      <c r="G1238" s="68">
        <f>SUM(G1233:G1237)</f>
        <v>15911.6</v>
      </c>
      <c r="H1238" s="68">
        <f t="shared" ref="H1238:BT1238" si="131">SUM(H1233:H1237)</f>
        <v>0</v>
      </c>
      <c r="I1238" s="68">
        <f t="shared" si="131"/>
        <v>0</v>
      </c>
      <c r="J1238" s="68">
        <f t="shared" si="131"/>
        <v>0</v>
      </c>
      <c r="K1238" s="68">
        <f t="shared" si="131"/>
        <v>0</v>
      </c>
      <c r="L1238" s="68">
        <f t="shared" si="131"/>
        <v>0</v>
      </c>
      <c r="M1238" s="68">
        <f t="shared" si="131"/>
        <v>0</v>
      </c>
      <c r="N1238" s="68">
        <f t="shared" si="131"/>
        <v>0</v>
      </c>
      <c r="O1238" s="68">
        <f t="shared" si="131"/>
        <v>0</v>
      </c>
      <c r="P1238" s="68">
        <f t="shared" si="131"/>
        <v>0</v>
      </c>
      <c r="Q1238" s="68">
        <f t="shared" si="131"/>
        <v>0</v>
      </c>
      <c r="R1238" s="68">
        <f t="shared" si="131"/>
        <v>0</v>
      </c>
      <c r="S1238" s="68">
        <f t="shared" si="131"/>
        <v>0</v>
      </c>
      <c r="T1238" s="68">
        <f t="shared" si="131"/>
        <v>0</v>
      </c>
      <c r="U1238" s="68">
        <f t="shared" si="131"/>
        <v>0</v>
      </c>
      <c r="V1238" s="68">
        <f t="shared" si="131"/>
        <v>0</v>
      </c>
      <c r="W1238" s="68">
        <f t="shared" si="131"/>
        <v>0</v>
      </c>
      <c r="X1238" s="68">
        <f t="shared" si="131"/>
        <v>0</v>
      </c>
      <c r="Y1238" s="68">
        <f t="shared" si="131"/>
        <v>0</v>
      </c>
      <c r="Z1238" s="68">
        <f t="shared" si="131"/>
        <v>0</v>
      </c>
      <c r="AA1238" s="68">
        <f t="shared" si="131"/>
        <v>0</v>
      </c>
      <c r="AB1238" s="68">
        <f t="shared" si="131"/>
        <v>0</v>
      </c>
      <c r="AC1238" s="68">
        <f t="shared" si="131"/>
        <v>2311.2399999999998</v>
      </c>
      <c r="AD1238" s="68">
        <f t="shared" si="131"/>
        <v>0</v>
      </c>
      <c r="AE1238" s="68">
        <f t="shared" si="131"/>
        <v>0</v>
      </c>
      <c r="AF1238" s="68">
        <f t="shared" si="131"/>
        <v>0</v>
      </c>
      <c r="AG1238" s="68">
        <f t="shared" si="131"/>
        <v>0</v>
      </c>
      <c r="AH1238" s="68">
        <f t="shared" si="131"/>
        <v>0</v>
      </c>
      <c r="AI1238" s="68">
        <f t="shared" si="131"/>
        <v>0</v>
      </c>
      <c r="AJ1238" s="68">
        <f t="shared" si="131"/>
        <v>0</v>
      </c>
      <c r="AK1238" s="68">
        <f t="shared" si="131"/>
        <v>0</v>
      </c>
      <c r="AL1238" s="68">
        <f t="shared" si="131"/>
        <v>0</v>
      </c>
      <c r="AM1238" s="68">
        <f t="shared" si="131"/>
        <v>0</v>
      </c>
      <c r="AO1238" s="68">
        <f t="shared" si="131"/>
        <v>0</v>
      </c>
      <c r="AP1238" s="68">
        <f t="shared" si="131"/>
        <v>0</v>
      </c>
      <c r="AQ1238" s="68">
        <f t="shared" si="131"/>
        <v>0</v>
      </c>
      <c r="AR1238" s="94">
        <f t="shared" si="116"/>
        <v>18222.84</v>
      </c>
      <c r="AS1238" s="68">
        <f t="shared" si="131"/>
        <v>13983.75</v>
      </c>
      <c r="AT1238" s="68">
        <f t="shared" si="131"/>
        <v>405.36</v>
      </c>
      <c r="AU1238" s="68">
        <f t="shared" si="131"/>
        <v>3833.7299999999996</v>
      </c>
      <c r="AV1238" s="68">
        <f t="shared" si="131"/>
        <v>0</v>
      </c>
      <c r="AW1238" s="68">
        <f t="shared" si="131"/>
        <v>0</v>
      </c>
      <c r="AX1238" s="68">
        <f t="shared" si="131"/>
        <v>0</v>
      </c>
      <c r="AY1238" s="68">
        <f t="shared" si="131"/>
        <v>0</v>
      </c>
      <c r="AZ1238" s="68">
        <f t="shared" si="131"/>
        <v>0</v>
      </c>
      <c r="BA1238" s="68">
        <f t="shared" si="131"/>
        <v>0</v>
      </c>
      <c r="BB1238" s="68">
        <f t="shared" si="131"/>
        <v>0</v>
      </c>
      <c r="BC1238" s="68">
        <f t="shared" si="131"/>
        <v>0</v>
      </c>
      <c r="BD1238" s="68">
        <f t="shared" si="131"/>
        <v>0</v>
      </c>
      <c r="BE1238" s="68">
        <f t="shared" si="131"/>
        <v>0</v>
      </c>
      <c r="BF1238" s="68">
        <f t="shared" si="131"/>
        <v>0</v>
      </c>
      <c r="BG1238" s="68">
        <f t="shared" si="131"/>
        <v>0</v>
      </c>
      <c r="BH1238" s="68">
        <f t="shared" si="131"/>
        <v>0</v>
      </c>
      <c r="BI1238" s="68">
        <f t="shared" si="131"/>
        <v>0</v>
      </c>
      <c r="BJ1238" s="68">
        <f t="shared" si="131"/>
        <v>0</v>
      </c>
      <c r="BK1238" s="68">
        <f t="shared" si="131"/>
        <v>0</v>
      </c>
      <c r="BL1238" s="68">
        <f t="shared" si="131"/>
        <v>0</v>
      </c>
      <c r="BM1238" s="68">
        <f t="shared" si="131"/>
        <v>0</v>
      </c>
      <c r="BN1238" s="68">
        <f t="shared" si="131"/>
        <v>0</v>
      </c>
      <c r="BO1238" s="68">
        <f t="shared" si="131"/>
        <v>0</v>
      </c>
      <c r="BP1238" s="68">
        <f t="shared" si="131"/>
        <v>0</v>
      </c>
      <c r="BQ1238" s="68">
        <f t="shared" si="131"/>
        <v>0</v>
      </c>
      <c r="BR1238" s="68">
        <f t="shared" si="131"/>
        <v>0</v>
      </c>
      <c r="BS1238" s="68">
        <f t="shared" si="131"/>
        <v>0</v>
      </c>
      <c r="BT1238" s="68">
        <f t="shared" si="131"/>
        <v>0</v>
      </c>
      <c r="BU1238" s="68">
        <f t="shared" ref="BU1238:CI1238" si="132">SUM(BU1233:BU1237)</f>
        <v>0</v>
      </c>
      <c r="BV1238" s="68">
        <f t="shared" si="132"/>
        <v>0</v>
      </c>
      <c r="BW1238" s="68">
        <f t="shared" si="132"/>
        <v>0</v>
      </c>
      <c r="BX1238" s="68">
        <f t="shared" si="132"/>
        <v>0</v>
      </c>
      <c r="BY1238" s="68">
        <f t="shared" si="132"/>
        <v>0</v>
      </c>
      <c r="BZ1238" s="68">
        <f t="shared" si="132"/>
        <v>0</v>
      </c>
      <c r="CA1238" s="68">
        <f t="shared" si="132"/>
        <v>0</v>
      </c>
      <c r="CB1238" s="68">
        <f t="shared" si="132"/>
        <v>0</v>
      </c>
      <c r="CC1238" s="91">
        <f t="shared" si="132"/>
        <v>18222.839999999997</v>
      </c>
      <c r="CD1238" s="68">
        <f t="shared" si="132"/>
        <v>0</v>
      </c>
      <c r="CG1238" s="68">
        <f t="shared" si="132"/>
        <v>0</v>
      </c>
      <c r="CH1238" s="68">
        <f t="shared" si="132"/>
        <v>0</v>
      </c>
      <c r="CI1238" s="68">
        <f t="shared" si="132"/>
        <v>0</v>
      </c>
    </row>
    <row r="1239" spans="1:98" x14ac:dyDescent="0.25">
      <c r="B1239" s="82">
        <v>4957</v>
      </c>
      <c r="C1239" s="78">
        <v>3882</v>
      </c>
      <c r="D1239" s="69" t="s">
        <v>78</v>
      </c>
      <c r="E1239" s="107" t="s">
        <v>3990</v>
      </c>
      <c r="T1239" s="69"/>
      <c r="U1239" s="69"/>
      <c r="W1239" s="69">
        <v>56.1</v>
      </c>
      <c r="AR1239" s="94">
        <f t="shared" si="116"/>
        <v>56.1</v>
      </c>
      <c r="AS1239" s="69">
        <v>56.1</v>
      </c>
      <c r="AT1239" s="69"/>
      <c r="BC1239" s="69"/>
      <c r="BD1239" s="69"/>
      <c r="CC1239" s="94">
        <f t="shared" si="117"/>
        <v>56.1</v>
      </c>
      <c r="CD1239" s="73">
        <f t="shared" si="126"/>
        <v>0</v>
      </c>
      <c r="CE1239" s="75">
        <f t="shared" si="130"/>
        <v>3882</v>
      </c>
      <c r="CF1239" s="69" t="str">
        <f t="shared" si="130"/>
        <v>برنامج دولى</v>
      </c>
    </row>
    <row r="1240" spans="1:98" ht="36" x14ac:dyDescent="0.25">
      <c r="B1240" s="82">
        <v>5642</v>
      </c>
      <c r="C1240" s="78">
        <v>3883</v>
      </c>
      <c r="D1240" s="69" t="s">
        <v>1174</v>
      </c>
      <c r="E1240" s="174" t="s">
        <v>3991</v>
      </c>
      <c r="T1240" s="69"/>
      <c r="U1240" s="69"/>
      <c r="W1240" s="69">
        <v>17442</v>
      </c>
      <c r="AR1240" s="94">
        <f t="shared" si="116"/>
        <v>17442</v>
      </c>
      <c r="AS1240" s="69">
        <v>428.4</v>
      </c>
      <c r="AT1240" s="69"/>
      <c r="BC1240" s="69"/>
      <c r="BD1240" s="69"/>
      <c r="CB1240" s="69">
        <v>17013.599999999999</v>
      </c>
      <c r="CC1240" s="94">
        <f t="shared" si="117"/>
        <v>17442</v>
      </c>
      <c r="CD1240" s="73">
        <f t="shared" si="126"/>
        <v>0</v>
      </c>
      <c r="CE1240" s="75">
        <f t="shared" si="130"/>
        <v>3883</v>
      </c>
      <c r="CF1240" s="69" t="str">
        <f t="shared" si="130"/>
        <v>وحدة</v>
      </c>
    </row>
    <row r="1241" spans="1:98" s="68" customFormat="1" x14ac:dyDescent="0.25">
      <c r="B1241" s="83"/>
      <c r="C1241" s="84"/>
      <c r="E1241" s="108" t="s">
        <v>3992</v>
      </c>
      <c r="W1241" s="68">
        <f>SUM(W1239:W1240)</f>
        <v>17498.099999999999</v>
      </c>
      <c r="X1241" s="68">
        <f t="shared" ref="X1241:AM1241" si="133">SUM(X1239:X1240)</f>
        <v>0</v>
      </c>
      <c r="Y1241" s="68">
        <f t="shared" si="133"/>
        <v>0</v>
      </c>
      <c r="Z1241" s="68">
        <f t="shared" si="133"/>
        <v>0</v>
      </c>
      <c r="AA1241" s="68">
        <f t="shared" si="133"/>
        <v>0</v>
      </c>
      <c r="AB1241" s="68">
        <f t="shared" si="133"/>
        <v>0</v>
      </c>
      <c r="AC1241" s="68">
        <f t="shared" si="133"/>
        <v>0</v>
      </c>
      <c r="AD1241" s="68">
        <f t="shared" si="133"/>
        <v>0</v>
      </c>
      <c r="AE1241" s="68">
        <f t="shared" si="133"/>
        <v>0</v>
      </c>
      <c r="AF1241" s="68">
        <f t="shared" si="133"/>
        <v>0</v>
      </c>
      <c r="AG1241" s="68">
        <f t="shared" si="133"/>
        <v>0</v>
      </c>
      <c r="AH1241" s="68">
        <f t="shared" si="133"/>
        <v>0</v>
      </c>
      <c r="AI1241" s="68">
        <f t="shared" si="133"/>
        <v>0</v>
      </c>
      <c r="AJ1241" s="68">
        <f t="shared" si="133"/>
        <v>0</v>
      </c>
      <c r="AK1241" s="68">
        <f t="shared" si="133"/>
        <v>0</v>
      </c>
      <c r="AL1241" s="68">
        <f t="shared" si="133"/>
        <v>0</v>
      </c>
      <c r="AM1241" s="68">
        <f t="shared" si="133"/>
        <v>0</v>
      </c>
      <c r="AO1241" s="68">
        <f t="shared" ref="AO1241:CD1241" si="134">SUM(AO1239:AO1240)</f>
        <v>0</v>
      </c>
      <c r="AP1241" s="68">
        <f t="shared" si="134"/>
        <v>0</v>
      </c>
      <c r="AQ1241" s="68">
        <f t="shared" si="134"/>
        <v>0</v>
      </c>
      <c r="AR1241" s="91">
        <f t="shared" si="134"/>
        <v>17498.099999999999</v>
      </c>
      <c r="AS1241" s="68">
        <f t="shared" si="134"/>
        <v>484.5</v>
      </c>
      <c r="AT1241" s="68">
        <f t="shared" si="134"/>
        <v>0</v>
      </c>
      <c r="AU1241" s="68">
        <f t="shared" si="134"/>
        <v>0</v>
      </c>
      <c r="AV1241" s="68">
        <f t="shared" si="134"/>
        <v>0</v>
      </c>
      <c r="AW1241" s="68">
        <f t="shared" si="134"/>
        <v>0</v>
      </c>
      <c r="AX1241" s="68">
        <f t="shared" si="134"/>
        <v>0</v>
      </c>
      <c r="AY1241" s="68">
        <f t="shared" si="134"/>
        <v>0</v>
      </c>
      <c r="AZ1241" s="68">
        <f t="shared" si="134"/>
        <v>0</v>
      </c>
      <c r="BA1241" s="68">
        <f t="shared" si="134"/>
        <v>0</v>
      </c>
      <c r="BB1241" s="68">
        <f t="shared" si="134"/>
        <v>0</v>
      </c>
      <c r="BC1241" s="68">
        <f t="shared" si="134"/>
        <v>0</v>
      </c>
      <c r="BD1241" s="68">
        <f t="shared" si="134"/>
        <v>0</v>
      </c>
      <c r="BE1241" s="68">
        <f t="shared" si="134"/>
        <v>0</v>
      </c>
      <c r="BF1241" s="68">
        <f t="shared" si="134"/>
        <v>0</v>
      </c>
      <c r="BG1241" s="68">
        <f t="shared" si="134"/>
        <v>0</v>
      </c>
      <c r="BH1241" s="68">
        <f t="shared" si="134"/>
        <v>0</v>
      </c>
      <c r="BI1241" s="68">
        <f t="shared" si="134"/>
        <v>0</v>
      </c>
      <c r="BJ1241" s="68">
        <f t="shared" si="134"/>
        <v>0</v>
      </c>
      <c r="BK1241" s="68">
        <f t="shared" si="134"/>
        <v>0</v>
      </c>
      <c r="BL1241" s="68">
        <f t="shared" si="134"/>
        <v>0</v>
      </c>
      <c r="BM1241" s="68">
        <f t="shared" si="134"/>
        <v>0</v>
      </c>
      <c r="BN1241" s="68">
        <f t="shared" si="134"/>
        <v>0</v>
      </c>
      <c r="BO1241" s="68">
        <f t="shared" si="134"/>
        <v>0</v>
      </c>
      <c r="BP1241" s="68">
        <f t="shared" si="134"/>
        <v>0</v>
      </c>
      <c r="BQ1241" s="68">
        <f t="shared" si="134"/>
        <v>0</v>
      </c>
      <c r="BR1241" s="68">
        <f t="shared" si="134"/>
        <v>0</v>
      </c>
      <c r="BS1241" s="68">
        <f t="shared" si="134"/>
        <v>0</v>
      </c>
      <c r="BT1241" s="68">
        <f t="shared" si="134"/>
        <v>0</v>
      </c>
      <c r="BU1241" s="68">
        <f t="shared" si="134"/>
        <v>0</v>
      </c>
      <c r="BV1241" s="68">
        <f t="shared" si="134"/>
        <v>0</v>
      </c>
      <c r="BW1241" s="68">
        <f t="shared" si="134"/>
        <v>0</v>
      </c>
      <c r="BX1241" s="68">
        <f t="shared" si="134"/>
        <v>0</v>
      </c>
      <c r="BY1241" s="68">
        <f t="shared" si="134"/>
        <v>0</v>
      </c>
      <c r="BZ1241" s="68">
        <f t="shared" si="134"/>
        <v>0</v>
      </c>
      <c r="CA1241" s="68">
        <f t="shared" si="134"/>
        <v>0</v>
      </c>
      <c r="CB1241" s="68">
        <f t="shared" si="134"/>
        <v>17013.599999999999</v>
      </c>
      <c r="CC1241" s="91">
        <f t="shared" si="134"/>
        <v>17498.099999999999</v>
      </c>
      <c r="CD1241" s="68">
        <f t="shared" si="134"/>
        <v>0</v>
      </c>
      <c r="CG1241" s="68">
        <f t="shared" ref="CG1241:CH1241" si="135">SUM(CG1239:CG1240)</f>
        <v>0</v>
      </c>
      <c r="CH1241" s="68">
        <f t="shared" si="135"/>
        <v>0</v>
      </c>
    </row>
    <row r="1242" spans="1:98" s="57" customFormat="1" x14ac:dyDescent="0.25">
      <c r="A1242" s="57">
        <v>0</v>
      </c>
      <c r="B1242" s="86">
        <v>0</v>
      </c>
      <c r="C1242" s="86">
        <v>0</v>
      </c>
      <c r="D1242" s="57">
        <v>0</v>
      </c>
      <c r="E1242" s="111">
        <v>0</v>
      </c>
      <c r="F1242" s="63"/>
      <c r="G1242" s="57">
        <f t="shared" ref="G1242:AQ1242" si="136">SUM(G26:G1241)</f>
        <v>17119339.979999986</v>
      </c>
      <c r="H1242" s="57">
        <f t="shared" si="136"/>
        <v>10137147.680000002</v>
      </c>
      <c r="I1242" s="57">
        <f t="shared" si="136"/>
        <v>0</v>
      </c>
      <c r="J1242" s="57">
        <f t="shared" si="136"/>
        <v>0</v>
      </c>
      <c r="K1242" s="57">
        <f t="shared" si="136"/>
        <v>4341328.3999999994</v>
      </c>
      <c r="L1242" s="57">
        <f t="shared" si="136"/>
        <v>4341328.3999999994</v>
      </c>
      <c r="M1242" s="57">
        <f t="shared" si="136"/>
        <v>4341328.3999999994</v>
      </c>
      <c r="N1242" s="57">
        <f t="shared" si="136"/>
        <v>0</v>
      </c>
      <c r="O1242" s="57">
        <f t="shared" si="136"/>
        <v>121500</v>
      </c>
      <c r="P1242" s="57">
        <f t="shared" si="136"/>
        <v>0</v>
      </c>
      <c r="Q1242" s="57">
        <f t="shared" si="136"/>
        <v>36332.9</v>
      </c>
      <c r="R1242" s="57">
        <f t="shared" si="136"/>
        <v>0</v>
      </c>
      <c r="S1242" s="57">
        <f t="shared" si="136"/>
        <v>2302399</v>
      </c>
      <c r="T1242" s="57">
        <f t="shared" si="136"/>
        <v>1783492.6400000001</v>
      </c>
      <c r="U1242" s="57">
        <f t="shared" si="136"/>
        <v>1520</v>
      </c>
      <c r="V1242" s="57">
        <f t="shared" si="136"/>
        <v>273460.92000000004</v>
      </c>
      <c r="W1242" s="57">
        <f t="shared" si="136"/>
        <v>652644.81999999995</v>
      </c>
      <c r="X1242" s="57">
        <f t="shared" si="136"/>
        <v>0</v>
      </c>
      <c r="Y1242" s="57">
        <f t="shared" si="136"/>
        <v>0</v>
      </c>
      <c r="Z1242" s="57">
        <f t="shared" si="136"/>
        <v>0</v>
      </c>
      <c r="AA1242" s="57">
        <f t="shared" si="136"/>
        <v>599180.98</v>
      </c>
      <c r="AB1242" s="57">
        <f t="shared" si="136"/>
        <v>0</v>
      </c>
      <c r="AC1242" s="57">
        <f t="shared" si="136"/>
        <v>87842.28</v>
      </c>
      <c r="AD1242" s="57">
        <f t="shared" si="136"/>
        <v>3186.7</v>
      </c>
      <c r="AE1242" s="57">
        <f t="shared" si="136"/>
        <v>0</v>
      </c>
      <c r="AF1242" s="57">
        <f t="shared" si="136"/>
        <v>0</v>
      </c>
      <c r="AG1242" s="57">
        <f t="shared" si="136"/>
        <v>0</v>
      </c>
      <c r="AH1242" s="57">
        <f t="shared" si="136"/>
        <v>0</v>
      </c>
      <c r="AI1242" s="57">
        <f t="shared" si="136"/>
        <v>0</v>
      </c>
      <c r="AJ1242" s="57">
        <f t="shared" si="136"/>
        <v>0</v>
      </c>
      <c r="AK1242" s="57">
        <f t="shared" si="136"/>
        <v>0</v>
      </c>
      <c r="AL1242" s="57">
        <f t="shared" si="136"/>
        <v>0</v>
      </c>
      <c r="AM1242" s="57">
        <f t="shared" si="136"/>
        <v>0</v>
      </c>
      <c r="AO1242" s="57">
        <f t="shared" si="136"/>
        <v>0</v>
      </c>
      <c r="AP1242" s="57">
        <f t="shared" si="136"/>
        <v>0</v>
      </c>
      <c r="AQ1242" s="57">
        <f t="shared" si="136"/>
        <v>0</v>
      </c>
      <c r="AR1242" s="94">
        <f t="shared" si="71"/>
        <v>46142033.099999987</v>
      </c>
      <c r="AS1242" s="57">
        <f t="shared" ref="AS1242:CD1242" si="137">SUM(AS26:AS1241)</f>
        <v>32006378.82</v>
      </c>
      <c r="AT1242" s="57">
        <f t="shared" si="137"/>
        <v>1533729.5000000012</v>
      </c>
      <c r="AU1242" s="57">
        <f t="shared" si="137"/>
        <v>2332964.7200000007</v>
      </c>
      <c r="AV1242" s="57">
        <f t="shared" si="137"/>
        <v>161479.36000000002</v>
      </c>
      <c r="AW1242" s="57">
        <f t="shared" si="137"/>
        <v>3400</v>
      </c>
      <c r="AX1242" s="57">
        <f t="shared" si="137"/>
        <v>2420.52</v>
      </c>
      <c r="AY1242" s="57">
        <f t="shared" si="137"/>
        <v>0</v>
      </c>
      <c r="AZ1242" s="57">
        <f t="shared" si="137"/>
        <v>0</v>
      </c>
      <c r="BA1242" s="57">
        <f t="shared" si="137"/>
        <v>0</v>
      </c>
      <c r="BB1242" s="57">
        <f t="shared" si="137"/>
        <v>0</v>
      </c>
      <c r="BC1242" s="57">
        <f t="shared" si="137"/>
        <v>0</v>
      </c>
      <c r="BD1242" s="57">
        <f t="shared" si="137"/>
        <v>3814.5</v>
      </c>
      <c r="BE1242" s="57">
        <f t="shared" si="137"/>
        <v>457.9</v>
      </c>
      <c r="BF1242" s="57">
        <f t="shared" si="137"/>
        <v>106659.29999999999</v>
      </c>
      <c r="BG1242" s="57">
        <f t="shared" si="137"/>
        <v>1988</v>
      </c>
      <c r="BH1242" s="57">
        <f t="shared" si="137"/>
        <v>22860.800000000003</v>
      </c>
      <c r="BI1242" s="57">
        <f t="shared" si="137"/>
        <v>257745.30000000002</v>
      </c>
      <c r="BJ1242" s="57">
        <f t="shared" si="137"/>
        <v>264000</v>
      </c>
      <c r="BK1242" s="57">
        <f t="shared" si="137"/>
        <v>4341328.3999999994</v>
      </c>
      <c r="BL1242" s="57">
        <f t="shared" si="137"/>
        <v>4341328.3999999994</v>
      </c>
      <c r="BM1242" s="57">
        <f t="shared" si="137"/>
        <v>0</v>
      </c>
      <c r="BN1242" s="57">
        <f t="shared" si="137"/>
        <v>121500</v>
      </c>
      <c r="BO1242" s="57">
        <f t="shared" si="137"/>
        <v>0</v>
      </c>
      <c r="BP1242" s="57">
        <f t="shared" si="137"/>
        <v>0</v>
      </c>
      <c r="BQ1242" s="57">
        <f t="shared" si="137"/>
        <v>599180.98</v>
      </c>
      <c r="BR1242" s="57">
        <f t="shared" si="137"/>
        <v>0</v>
      </c>
      <c r="BS1242" s="57">
        <f t="shared" si="137"/>
        <v>0</v>
      </c>
      <c r="BT1242" s="57">
        <f t="shared" si="137"/>
        <v>0</v>
      </c>
      <c r="BU1242" s="57">
        <f t="shared" si="137"/>
        <v>0</v>
      </c>
      <c r="BV1242" s="57">
        <f t="shared" si="137"/>
        <v>0</v>
      </c>
      <c r="BW1242" s="57">
        <f t="shared" si="137"/>
        <v>0</v>
      </c>
      <c r="BX1242" s="57">
        <f t="shared" si="137"/>
        <v>0</v>
      </c>
      <c r="BY1242" s="57">
        <f t="shared" si="137"/>
        <v>0</v>
      </c>
      <c r="BZ1242" s="57">
        <f t="shared" si="137"/>
        <v>0</v>
      </c>
      <c r="CA1242" s="57">
        <f t="shared" si="137"/>
        <v>0</v>
      </c>
      <c r="CB1242" s="57">
        <f t="shared" si="137"/>
        <v>35967.759999999995</v>
      </c>
      <c r="CC1242" s="91">
        <f t="shared" si="137"/>
        <v>46137204.260000043</v>
      </c>
      <c r="CD1242" s="57">
        <f t="shared" si="137"/>
        <v>0</v>
      </c>
      <c r="CE1242" s="75">
        <f t="shared" ref="CE1242:CF1276" si="138">+C1242</f>
        <v>0</v>
      </c>
      <c r="CF1242" s="69">
        <f t="shared" si="138"/>
        <v>0</v>
      </c>
      <c r="CG1242" s="57">
        <f t="shared" ref="CG1242:CT1242" si="139">SUM(CG26:CG1241)</f>
        <v>0</v>
      </c>
      <c r="CH1242" s="57">
        <f t="shared" si="139"/>
        <v>0</v>
      </c>
      <c r="CI1242" s="57">
        <f t="shared" si="139"/>
        <v>0</v>
      </c>
      <c r="CJ1242" s="57">
        <f t="shared" si="139"/>
        <v>0</v>
      </c>
      <c r="CK1242" s="57">
        <f t="shared" si="139"/>
        <v>0</v>
      </c>
      <c r="CL1242" s="57">
        <f t="shared" si="139"/>
        <v>0</v>
      </c>
      <c r="CM1242" s="57">
        <f t="shared" si="139"/>
        <v>0</v>
      </c>
      <c r="CN1242" s="57">
        <f t="shared" si="139"/>
        <v>0</v>
      </c>
      <c r="CO1242" s="57">
        <f t="shared" si="139"/>
        <v>0</v>
      </c>
      <c r="CP1242" s="57">
        <f t="shared" si="139"/>
        <v>0</v>
      </c>
      <c r="CQ1242" s="57">
        <f t="shared" si="139"/>
        <v>0</v>
      </c>
      <c r="CR1242" s="57">
        <f t="shared" si="139"/>
        <v>0</v>
      </c>
      <c r="CS1242" s="57">
        <f t="shared" si="139"/>
        <v>0</v>
      </c>
      <c r="CT1242" s="57">
        <f t="shared" si="139"/>
        <v>0</v>
      </c>
    </row>
    <row r="1243" spans="1:98" x14ac:dyDescent="0.25">
      <c r="B1243" s="70"/>
      <c r="C1243" s="70">
        <v>103</v>
      </c>
      <c r="D1243" s="76" t="s">
        <v>332</v>
      </c>
      <c r="E1243" s="107" t="s">
        <v>1764</v>
      </c>
      <c r="T1243" s="69"/>
      <c r="U1243" s="69"/>
      <c r="AR1243" s="94">
        <f t="shared" si="71"/>
        <v>0</v>
      </c>
      <c r="AT1243" s="69"/>
      <c r="BC1243" s="69"/>
      <c r="BD1243" s="69"/>
      <c r="CC1243" s="94">
        <f t="shared" ref="CC1243:CC1306" si="140">SUM(AS1243:CB1243)</f>
        <v>0</v>
      </c>
      <c r="CD1243" s="73">
        <f t="shared" ref="CD1243:CD1306" si="141">+CC1243-AR1243</f>
        <v>0</v>
      </c>
      <c r="CE1243" s="75">
        <f t="shared" si="138"/>
        <v>103</v>
      </c>
      <c r="CF1243" s="69" t="str">
        <f t="shared" si="138"/>
        <v xml:space="preserve">لاب فقط </v>
      </c>
    </row>
    <row r="1244" spans="1:98" x14ac:dyDescent="0.25">
      <c r="B1244" s="70"/>
      <c r="C1244" s="70">
        <v>104</v>
      </c>
      <c r="D1244" s="76" t="s">
        <v>332</v>
      </c>
      <c r="E1244" s="107" t="s">
        <v>1764</v>
      </c>
      <c r="T1244" s="69"/>
      <c r="U1244" s="69"/>
      <c r="AR1244" s="94">
        <f t="shared" si="71"/>
        <v>0</v>
      </c>
      <c r="AT1244" s="69"/>
      <c r="BC1244" s="69"/>
      <c r="BD1244" s="69"/>
      <c r="CC1244" s="94">
        <f t="shared" si="140"/>
        <v>0</v>
      </c>
      <c r="CD1244" s="73">
        <f t="shared" si="141"/>
        <v>0</v>
      </c>
      <c r="CE1244" s="75">
        <f t="shared" si="138"/>
        <v>104</v>
      </c>
      <c r="CF1244" s="69" t="str">
        <f t="shared" si="138"/>
        <v xml:space="preserve">لاب فقط </v>
      </c>
    </row>
    <row r="1245" spans="1:98" x14ac:dyDescent="0.25">
      <c r="B1245" s="70"/>
      <c r="C1245" s="70">
        <v>105</v>
      </c>
      <c r="D1245" s="76" t="s">
        <v>332</v>
      </c>
      <c r="E1245" s="107" t="s">
        <v>3993</v>
      </c>
      <c r="T1245" s="69"/>
      <c r="U1245" s="69"/>
      <c r="AR1245" s="94">
        <f t="shared" si="71"/>
        <v>0</v>
      </c>
      <c r="AT1245" s="69"/>
      <c r="BC1245" s="69"/>
      <c r="BD1245" s="69"/>
      <c r="CC1245" s="94">
        <f t="shared" si="140"/>
        <v>0</v>
      </c>
      <c r="CD1245" s="73">
        <f t="shared" si="141"/>
        <v>0</v>
      </c>
      <c r="CE1245" s="75">
        <f t="shared" si="138"/>
        <v>105</v>
      </c>
      <c r="CF1245" s="69" t="str">
        <f t="shared" si="138"/>
        <v xml:space="preserve">لاب فقط </v>
      </c>
    </row>
    <row r="1246" spans="1:98" x14ac:dyDescent="0.25">
      <c r="B1246" s="70"/>
      <c r="C1246" s="70">
        <v>106</v>
      </c>
      <c r="D1246" s="76" t="s">
        <v>332</v>
      </c>
      <c r="E1246" s="107" t="s">
        <v>3994</v>
      </c>
      <c r="T1246" s="69"/>
      <c r="U1246" s="69"/>
      <c r="AR1246" s="94">
        <f t="shared" si="71"/>
        <v>0</v>
      </c>
      <c r="AT1246" s="69"/>
      <c r="BC1246" s="69"/>
      <c r="BD1246" s="69"/>
      <c r="CC1246" s="94">
        <f t="shared" si="140"/>
        <v>0</v>
      </c>
      <c r="CD1246" s="73">
        <f t="shared" si="141"/>
        <v>0</v>
      </c>
      <c r="CE1246" s="75">
        <f t="shared" si="138"/>
        <v>106</v>
      </c>
      <c r="CF1246" s="69" t="str">
        <f t="shared" si="138"/>
        <v xml:space="preserve">لاب فقط </v>
      </c>
    </row>
    <row r="1247" spans="1:98" ht="36" x14ac:dyDescent="0.25">
      <c r="B1247" s="70"/>
      <c r="C1247" s="70">
        <v>107</v>
      </c>
      <c r="D1247" s="76" t="s">
        <v>1174</v>
      </c>
      <c r="E1247" s="174" t="s">
        <v>3995</v>
      </c>
      <c r="G1247" s="69">
        <v>627367.81000000006</v>
      </c>
      <c r="H1247" s="69">
        <v>12000</v>
      </c>
      <c r="T1247" s="69"/>
      <c r="U1247" s="69"/>
      <c r="AR1247" s="94">
        <f t="shared" si="71"/>
        <v>639367.81000000006</v>
      </c>
      <c r="AT1247" s="69"/>
      <c r="BC1247" s="69"/>
      <c r="BD1247" s="69"/>
      <c r="CB1247" s="69">
        <v>639367.81000000006</v>
      </c>
      <c r="CC1247" s="94">
        <f t="shared" si="140"/>
        <v>639367.81000000006</v>
      </c>
      <c r="CD1247" s="73">
        <f t="shared" si="141"/>
        <v>0</v>
      </c>
      <c r="CE1247" s="75">
        <f t="shared" si="138"/>
        <v>107</v>
      </c>
      <c r="CF1247" s="69" t="str">
        <f t="shared" si="138"/>
        <v>وحدة</v>
      </c>
    </row>
    <row r="1248" spans="1:98" ht="36" x14ac:dyDescent="0.25">
      <c r="B1248" s="70"/>
      <c r="C1248" s="70">
        <v>108</v>
      </c>
      <c r="D1248" s="76" t="s">
        <v>1174</v>
      </c>
      <c r="E1248" s="174" t="s">
        <v>3996</v>
      </c>
      <c r="G1248" s="69">
        <v>22454</v>
      </c>
      <c r="T1248" s="69"/>
      <c r="U1248" s="69"/>
      <c r="AP1248" s="69">
        <v>275000</v>
      </c>
      <c r="AR1248" s="94">
        <f t="shared" si="71"/>
        <v>297454</v>
      </c>
      <c r="AT1248" s="69"/>
      <c r="BC1248" s="69"/>
      <c r="BD1248" s="69"/>
      <c r="CB1248" s="69">
        <v>297454</v>
      </c>
      <c r="CC1248" s="94">
        <f t="shared" si="140"/>
        <v>297454</v>
      </c>
      <c r="CD1248" s="73">
        <f t="shared" si="141"/>
        <v>0</v>
      </c>
      <c r="CE1248" s="75">
        <f t="shared" si="138"/>
        <v>108</v>
      </c>
      <c r="CF1248" s="69" t="str">
        <f t="shared" si="138"/>
        <v>وحدة</v>
      </c>
    </row>
    <row r="1249" spans="2:86" x14ac:dyDescent="0.25">
      <c r="B1249" s="70"/>
      <c r="C1249" s="70">
        <v>109</v>
      </c>
      <c r="D1249" s="76"/>
      <c r="E1249" s="107" t="s">
        <v>3997</v>
      </c>
      <c r="T1249" s="69"/>
      <c r="U1249" s="69"/>
      <c r="AA1249" s="69">
        <v>3300</v>
      </c>
      <c r="AR1249" s="94">
        <f t="shared" ref="AR1249:AR1310" si="142">SUM(G1249:AQ1249)</f>
        <v>3300</v>
      </c>
      <c r="AT1249" s="69"/>
      <c r="BC1249" s="69"/>
      <c r="BD1249" s="69"/>
      <c r="BQ1249" s="69">
        <v>3300</v>
      </c>
      <c r="CC1249" s="94">
        <f t="shared" si="140"/>
        <v>3300</v>
      </c>
      <c r="CD1249" s="73">
        <f t="shared" si="141"/>
        <v>0</v>
      </c>
      <c r="CE1249" s="75">
        <f t="shared" si="138"/>
        <v>109</v>
      </c>
      <c r="CF1249" s="69">
        <f t="shared" si="138"/>
        <v>0</v>
      </c>
    </row>
    <row r="1250" spans="2:86" x14ac:dyDescent="0.25">
      <c r="B1250" s="70"/>
      <c r="C1250" s="70">
        <v>110</v>
      </c>
      <c r="D1250" s="76"/>
      <c r="E1250" s="107" t="s">
        <v>3998</v>
      </c>
      <c r="T1250" s="69"/>
      <c r="U1250" s="69"/>
      <c r="AB1250" s="69">
        <v>3300</v>
      </c>
      <c r="AR1250" s="94">
        <f t="shared" si="142"/>
        <v>3300</v>
      </c>
      <c r="AT1250" s="69"/>
      <c r="BC1250" s="69"/>
      <c r="BD1250" s="69"/>
      <c r="BP1250" s="69">
        <v>3300</v>
      </c>
      <c r="CC1250" s="94">
        <f t="shared" si="140"/>
        <v>3300</v>
      </c>
      <c r="CD1250" s="73">
        <f t="shared" si="141"/>
        <v>0</v>
      </c>
      <c r="CE1250" s="75">
        <f t="shared" si="138"/>
        <v>110</v>
      </c>
      <c r="CF1250" s="69">
        <f t="shared" si="138"/>
        <v>0</v>
      </c>
    </row>
    <row r="1251" spans="2:86" x14ac:dyDescent="0.25">
      <c r="B1251" s="70"/>
      <c r="C1251" s="70">
        <v>111</v>
      </c>
      <c r="D1251" s="76"/>
      <c r="E1251" s="107" t="s">
        <v>3999</v>
      </c>
      <c r="T1251" s="69"/>
      <c r="U1251" s="69"/>
      <c r="AB1251" s="69">
        <v>68.5</v>
      </c>
      <c r="AR1251" s="94">
        <f t="shared" si="142"/>
        <v>68.5</v>
      </c>
      <c r="AT1251" s="69"/>
      <c r="BC1251" s="69"/>
      <c r="BD1251" s="69"/>
      <c r="BP1251" s="69">
        <v>68.5</v>
      </c>
      <c r="CC1251" s="94">
        <f t="shared" si="140"/>
        <v>68.5</v>
      </c>
      <c r="CD1251" s="73">
        <f t="shared" si="141"/>
        <v>0</v>
      </c>
      <c r="CE1251" s="75">
        <f t="shared" si="138"/>
        <v>111</v>
      </c>
      <c r="CF1251" s="69">
        <f t="shared" si="138"/>
        <v>0</v>
      </c>
    </row>
    <row r="1252" spans="2:86" x14ac:dyDescent="0.25">
      <c r="B1252" s="70"/>
      <c r="C1252" s="70">
        <v>112</v>
      </c>
      <c r="D1252" s="76"/>
      <c r="E1252" s="107" t="s">
        <v>3999</v>
      </c>
      <c r="T1252" s="69"/>
      <c r="U1252" s="69"/>
      <c r="AB1252" s="69">
        <v>80</v>
      </c>
      <c r="AR1252" s="94">
        <f t="shared" si="142"/>
        <v>80</v>
      </c>
      <c r="AT1252" s="69"/>
      <c r="BC1252" s="69"/>
      <c r="BD1252" s="69"/>
      <c r="BP1252" s="69">
        <v>80</v>
      </c>
      <c r="CC1252" s="94">
        <f t="shared" si="140"/>
        <v>80</v>
      </c>
      <c r="CD1252" s="73">
        <f t="shared" si="141"/>
        <v>0</v>
      </c>
      <c r="CE1252" s="75">
        <f t="shared" si="138"/>
        <v>112</v>
      </c>
      <c r="CF1252" s="69">
        <f t="shared" si="138"/>
        <v>0</v>
      </c>
    </row>
    <row r="1253" spans="2:86" x14ac:dyDescent="0.25">
      <c r="B1253" s="70"/>
      <c r="C1253" s="70">
        <v>113</v>
      </c>
      <c r="D1253" s="76"/>
      <c r="E1253" s="107" t="s">
        <v>3999</v>
      </c>
      <c r="T1253" s="69"/>
      <c r="U1253" s="69"/>
      <c r="AB1253" s="69">
        <v>574.5</v>
      </c>
      <c r="AR1253" s="94">
        <f t="shared" si="142"/>
        <v>574.5</v>
      </c>
      <c r="AT1253" s="69"/>
      <c r="BC1253" s="69"/>
      <c r="BD1253" s="69"/>
      <c r="BP1253" s="69">
        <v>574.5</v>
      </c>
      <c r="CC1253" s="94">
        <f t="shared" si="140"/>
        <v>574.5</v>
      </c>
      <c r="CD1253" s="73">
        <f t="shared" si="141"/>
        <v>0</v>
      </c>
      <c r="CE1253" s="75">
        <f t="shared" si="138"/>
        <v>113</v>
      </c>
      <c r="CF1253" s="69">
        <f t="shared" si="138"/>
        <v>0</v>
      </c>
    </row>
    <row r="1254" spans="2:86" x14ac:dyDescent="0.25">
      <c r="B1254" s="70"/>
      <c r="C1254" s="70">
        <v>114</v>
      </c>
      <c r="D1254" s="76"/>
      <c r="E1254" s="107" t="s">
        <v>3999</v>
      </c>
      <c r="T1254" s="69"/>
      <c r="U1254" s="69"/>
      <c r="AB1254" s="69">
        <v>574.5</v>
      </c>
      <c r="AR1254" s="94">
        <f t="shared" si="142"/>
        <v>574.5</v>
      </c>
      <c r="AT1254" s="69"/>
      <c r="BC1254" s="69"/>
      <c r="BD1254" s="69"/>
      <c r="BP1254" s="69">
        <v>574.5</v>
      </c>
      <c r="CC1254" s="94">
        <f t="shared" si="140"/>
        <v>574.5</v>
      </c>
      <c r="CD1254" s="73">
        <f t="shared" si="141"/>
        <v>0</v>
      </c>
      <c r="CE1254" s="75">
        <f t="shared" si="138"/>
        <v>114</v>
      </c>
      <c r="CF1254" s="69">
        <f t="shared" si="138"/>
        <v>0</v>
      </c>
    </row>
    <row r="1255" spans="2:86" x14ac:dyDescent="0.25">
      <c r="B1255" s="70"/>
      <c r="C1255" s="70">
        <v>115</v>
      </c>
      <c r="D1255" s="76"/>
      <c r="E1255" s="107" t="s">
        <v>4000</v>
      </c>
      <c r="P1255" s="69">
        <v>16000</v>
      </c>
      <c r="T1255" s="69"/>
      <c r="U1255" s="69"/>
      <c r="AR1255" s="94">
        <f t="shared" si="142"/>
        <v>16000</v>
      </c>
      <c r="AT1255" s="69"/>
      <c r="BC1255" s="69"/>
      <c r="BD1255" s="69"/>
      <c r="BO1255" s="69">
        <v>16000</v>
      </c>
      <c r="CC1255" s="94">
        <f t="shared" si="140"/>
        <v>16000</v>
      </c>
      <c r="CD1255" s="73">
        <f t="shared" si="141"/>
        <v>0</v>
      </c>
      <c r="CE1255" s="75">
        <f t="shared" si="138"/>
        <v>115</v>
      </c>
      <c r="CF1255" s="69">
        <f t="shared" si="138"/>
        <v>0</v>
      </c>
    </row>
    <row r="1256" spans="2:86" x14ac:dyDescent="0.25">
      <c r="B1256" s="70"/>
      <c r="C1256" s="70">
        <v>116</v>
      </c>
      <c r="D1256" s="76"/>
      <c r="E1256" s="107" t="s">
        <v>4001</v>
      </c>
      <c r="P1256" s="69">
        <v>960</v>
      </c>
      <c r="T1256" s="69"/>
      <c r="U1256" s="69"/>
      <c r="AR1256" s="94">
        <f t="shared" si="142"/>
        <v>960</v>
      </c>
      <c r="AT1256" s="69"/>
      <c r="BC1256" s="69"/>
      <c r="BD1256" s="69"/>
      <c r="BO1256" s="69">
        <v>960</v>
      </c>
      <c r="CC1256" s="94">
        <f t="shared" si="140"/>
        <v>960</v>
      </c>
      <c r="CD1256" s="73">
        <f t="shared" si="141"/>
        <v>0</v>
      </c>
      <c r="CE1256" s="75">
        <f t="shared" si="138"/>
        <v>116</v>
      </c>
      <c r="CF1256" s="69">
        <f t="shared" si="138"/>
        <v>0</v>
      </c>
    </row>
    <row r="1257" spans="2:86" x14ac:dyDescent="0.25">
      <c r="B1257" s="70"/>
      <c r="C1257" s="70">
        <v>117</v>
      </c>
      <c r="D1257" s="76"/>
      <c r="E1257" s="107" t="s">
        <v>4002</v>
      </c>
      <c r="P1257" s="69">
        <v>15000</v>
      </c>
      <c r="T1257" s="69"/>
      <c r="U1257" s="69"/>
      <c r="AR1257" s="94">
        <f t="shared" si="142"/>
        <v>15000</v>
      </c>
      <c r="AT1257" s="69"/>
      <c r="BC1257" s="69"/>
      <c r="BD1257" s="69"/>
      <c r="BO1257" s="69">
        <v>15000</v>
      </c>
      <c r="CC1257" s="94">
        <f t="shared" si="140"/>
        <v>15000</v>
      </c>
      <c r="CD1257" s="73">
        <f t="shared" si="141"/>
        <v>0</v>
      </c>
      <c r="CE1257" s="75">
        <f t="shared" si="138"/>
        <v>117</v>
      </c>
      <c r="CF1257" s="69">
        <f t="shared" si="138"/>
        <v>0</v>
      </c>
    </row>
    <row r="1258" spans="2:86" x14ac:dyDescent="0.25">
      <c r="B1258" s="70"/>
      <c r="C1258" s="70">
        <v>118</v>
      </c>
      <c r="D1258" s="76"/>
      <c r="E1258" s="107" t="s">
        <v>4003</v>
      </c>
      <c r="P1258" s="69">
        <v>15000</v>
      </c>
      <c r="T1258" s="69"/>
      <c r="U1258" s="69"/>
      <c r="AR1258" s="94">
        <f t="shared" si="142"/>
        <v>15000</v>
      </c>
      <c r="AT1258" s="69"/>
      <c r="BC1258" s="69"/>
      <c r="BD1258" s="69"/>
      <c r="BO1258" s="69">
        <v>15000</v>
      </c>
      <c r="CC1258" s="94">
        <f t="shared" si="140"/>
        <v>15000</v>
      </c>
      <c r="CD1258" s="73">
        <f t="shared" si="141"/>
        <v>0</v>
      </c>
      <c r="CE1258" s="75">
        <f t="shared" si="138"/>
        <v>118</v>
      </c>
      <c r="CF1258" s="69">
        <f t="shared" si="138"/>
        <v>0</v>
      </c>
    </row>
    <row r="1259" spans="2:86" x14ac:dyDescent="0.25">
      <c r="B1259" s="70"/>
      <c r="C1259" s="70">
        <v>119</v>
      </c>
      <c r="D1259" s="76"/>
      <c r="E1259" s="107" t="s">
        <v>3487</v>
      </c>
      <c r="P1259" s="69">
        <v>15000</v>
      </c>
      <c r="T1259" s="69"/>
      <c r="U1259" s="69"/>
      <c r="AF1259" s="69">
        <v>236</v>
      </c>
      <c r="AP1259" s="69">
        <v>5810.87</v>
      </c>
      <c r="AR1259" s="94">
        <f t="shared" si="142"/>
        <v>21046.87</v>
      </c>
      <c r="AT1259" s="69"/>
      <c r="BC1259" s="69"/>
      <c r="BD1259" s="69">
        <f>5810.87+236</f>
        <v>6046.87</v>
      </c>
      <c r="BO1259" s="69">
        <v>15000</v>
      </c>
      <c r="CC1259" s="94">
        <f t="shared" si="140"/>
        <v>21046.87</v>
      </c>
      <c r="CD1259" s="73">
        <f t="shared" si="141"/>
        <v>0</v>
      </c>
      <c r="CE1259" s="75">
        <f t="shared" si="138"/>
        <v>119</v>
      </c>
      <c r="CF1259" s="69">
        <f t="shared" si="138"/>
        <v>0</v>
      </c>
    </row>
    <row r="1260" spans="2:86" ht="36" x14ac:dyDescent="0.25">
      <c r="B1260" s="82"/>
      <c r="C1260" s="70">
        <v>120</v>
      </c>
      <c r="D1260" s="76" t="s">
        <v>1174</v>
      </c>
      <c r="E1260" s="174" t="s">
        <v>4004</v>
      </c>
      <c r="Q1260" s="69">
        <v>278728.95</v>
      </c>
      <c r="T1260" s="69"/>
      <c r="U1260" s="69"/>
      <c r="AR1260" s="94">
        <f t="shared" si="142"/>
        <v>278728.95</v>
      </c>
      <c r="AT1260" s="69"/>
      <c r="BC1260" s="69"/>
      <c r="BD1260" s="69"/>
      <c r="CB1260" s="69">
        <v>278728.95</v>
      </c>
      <c r="CC1260" s="94">
        <f t="shared" si="140"/>
        <v>278728.95</v>
      </c>
      <c r="CD1260" s="73">
        <f t="shared" si="141"/>
        <v>0</v>
      </c>
      <c r="CE1260" s="75">
        <f t="shared" si="138"/>
        <v>120</v>
      </c>
      <c r="CF1260" s="69" t="str">
        <f t="shared" si="138"/>
        <v>وحدة</v>
      </c>
    </row>
    <row r="1261" spans="2:86" ht="36" x14ac:dyDescent="0.25">
      <c r="B1261" s="82"/>
      <c r="C1261" s="70">
        <v>121</v>
      </c>
      <c r="D1261" s="76" t="s">
        <v>1174</v>
      </c>
      <c r="E1261" s="174" t="s">
        <v>4005</v>
      </c>
      <c r="R1261" s="69">
        <v>676006.7</v>
      </c>
      <c r="T1261" s="69"/>
      <c r="U1261" s="69"/>
      <c r="AR1261" s="94">
        <f t="shared" si="142"/>
        <v>676006.7</v>
      </c>
      <c r="AT1261" s="69"/>
      <c r="BC1261" s="69"/>
      <c r="BD1261" s="69"/>
      <c r="CB1261" s="69">
        <v>676006.7</v>
      </c>
      <c r="CC1261" s="94">
        <f t="shared" si="140"/>
        <v>676006.7</v>
      </c>
      <c r="CD1261" s="73">
        <f t="shared" si="141"/>
        <v>0</v>
      </c>
      <c r="CE1261" s="75">
        <f t="shared" si="138"/>
        <v>121</v>
      </c>
      <c r="CF1261" s="69" t="str">
        <f t="shared" si="138"/>
        <v>وحدة</v>
      </c>
    </row>
    <row r="1262" spans="2:86" x14ac:dyDescent="0.25">
      <c r="B1262" s="82" t="s">
        <v>3480</v>
      </c>
      <c r="C1262" s="70">
        <v>122</v>
      </c>
      <c r="D1262" s="76" t="s">
        <v>1174</v>
      </c>
      <c r="E1262" s="107" t="s">
        <v>2609</v>
      </c>
      <c r="T1262" s="69"/>
      <c r="U1262" s="69"/>
      <c r="W1262" s="69">
        <v>19765</v>
      </c>
      <c r="AE1262" s="69">
        <v>19765</v>
      </c>
      <c r="AR1262" s="94">
        <f t="shared" si="142"/>
        <v>39530</v>
      </c>
      <c r="AT1262" s="69"/>
      <c r="AY1262" s="69">
        <v>19765</v>
      </c>
      <c r="BC1262" s="69"/>
      <c r="BD1262" s="69"/>
      <c r="CB1262" s="69">
        <v>19765</v>
      </c>
      <c r="CC1262" s="94">
        <f t="shared" si="140"/>
        <v>39530</v>
      </c>
      <c r="CD1262" s="73">
        <f t="shared" si="141"/>
        <v>0</v>
      </c>
      <c r="CE1262" s="75">
        <f t="shared" si="138"/>
        <v>122</v>
      </c>
      <c r="CF1262" s="69" t="str">
        <f t="shared" si="138"/>
        <v>وحدة</v>
      </c>
    </row>
    <row r="1263" spans="2:86" s="68" customFormat="1" x14ac:dyDescent="0.25">
      <c r="B1263" s="83"/>
      <c r="C1263" s="84"/>
      <c r="E1263" s="108" t="s">
        <v>4006</v>
      </c>
      <c r="G1263" s="68">
        <f>SUM(G1243:G1262)</f>
        <v>649821.81000000006</v>
      </c>
      <c r="H1263" s="68">
        <f t="shared" ref="H1263:BT1263" si="143">SUM(H1243:H1262)</f>
        <v>12000</v>
      </c>
      <c r="I1263" s="68">
        <f t="shared" si="143"/>
        <v>0</v>
      </c>
      <c r="J1263" s="68">
        <f t="shared" si="143"/>
        <v>0</v>
      </c>
      <c r="K1263" s="68">
        <f t="shared" si="143"/>
        <v>0</v>
      </c>
      <c r="L1263" s="68">
        <f t="shared" si="143"/>
        <v>0</v>
      </c>
      <c r="M1263" s="68">
        <f t="shared" si="143"/>
        <v>0</v>
      </c>
      <c r="N1263" s="68">
        <f t="shared" si="143"/>
        <v>0</v>
      </c>
      <c r="O1263" s="68">
        <f t="shared" si="143"/>
        <v>0</v>
      </c>
      <c r="P1263" s="68">
        <f t="shared" si="143"/>
        <v>61960</v>
      </c>
      <c r="Q1263" s="68">
        <f t="shared" si="143"/>
        <v>278728.95</v>
      </c>
      <c r="R1263" s="68">
        <f t="shared" si="143"/>
        <v>676006.7</v>
      </c>
      <c r="S1263" s="68">
        <f t="shared" si="143"/>
        <v>0</v>
      </c>
      <c r="T1263" s="68">
        <f t="shared" si="143"/>
        <v>0</v>
      </c>
      <c r="U1263" s="68">
        <f t="shared" si="143"/>
        <v>0</v>
      </c>
      <c r="V1263" s="68">
        <f t="shared" si="143"/>
        <v>0</v>
      </c>
      <c r="W1263" s="68">
        <f t="shared" si="143"/>
        <v>19765</v>
      </c>
      <c r="X1263" s="68">
        <f t="shared" si="143"/>
        <v>0</v>
      </c>
      <c r="Y1263" s="68">
        <f t="shared" si="143"/>
        <v>0</v>
      </c>
      <c r="Z1263" s="68">
        <f t="shared" si="143"/>
        <v>0</v>
      </c>
      <c r="AA1263" s="68">
        <f t="shared" si="143"/>
        <v>3300</v>
      </c>
      <c r="AB1263" s="68">
        <f t="shared" si="143"/>
        <v>4597.5</v>
      </c>
      <c r="AC1263" s="68">
        <f t="shared" si="143"/>
        <v>0</v>
      </c>
      <c r="AD1263" s="68">
        <f t="shared" si="143"/>
        <v>0</v>
      </c>
      <c r="AE1263" s="68">
        <f t="shared" si="143"/>
        <v>19765</v>
      </c>
      <c r="AF1263" s="68">
        <f t="shared" si="143"/>
        <v>236</v>
      </c>
      <c r="AG1263" s="68">
        <f t="shared" si="143"/>
        <v>0</v>
      </c>
      <c r="AH1263" s="68">
        <f t="shared" si="143"/>
        <v>0</v>
      </c>
      <c r="AI1263" s="68">
        <f t="shared" si="143"/>
        <v>0</v>
      </c>
      <c r="AJ1263" s="68">
        <f t="shared" si="143"/>
        <v>0</v>
      </c>
      <c r="AK1263" s="68">
        <f t="shared" si="143"/>
        <v>0</v>
      </c>
      <c r="AL1263" s="68">
        <f t="shared" si="143"/>
        <v>0</v>
      </c>
      <c r="AM1263" s="68">
        <f t="shared" si="143"/>
        <v>0</v>
      </c>
      <c r="AO1263" s="68">
        <f t="shared" si="143"/>
        <v>0</v>
      </c>
      <c r="AP1263" s="68">
        <f t="shared" si="143"/>
        <v>280810.87</v>
      </c>
      <c r="AQ1263" s="68">
        <f t="shared" si="143"/>
        <v>0</v>
      </c>
      <c r="AR1263" s="91">
        <f t="shared" si="143"/>
        <v>2006991.83</v>
      </c>
      <c r="AS1263" s="68">
        <f t="shared" si="143"/>
        <v>0</v>
      </c>
      <c r="AT1263" s="68">
        <f t="shared" si="143"/>
        <v>0</v>
      </c>
      <c r="AU1263" s="68">
        <f t="shared" si="143"/>
        <v>0</v>
      </c>
      <c r="AV1263" s="68">
        <f t="shared" si="143"/>
        <v>0</v>
      </c>
      <c r="AW1263" s="68">
        <f t="shared" si="143"/>
        <v>0</v>
      </c>
      <c r="AX1263" s="68">
        <f t="shared" si="143"/>
        <v>0</v>
      </c>
      <c r="AY1263" s="68">
        <f t="shared" si="143"/>
        <v>19765</v>
      </c>
      <c r="AZ1263" s="68">
        <f t="shared" si="143"/>
        <v>0</v>
      </c>
      <c r="BA1263" s="68">
        <f t="shared" si="143"/>
        <v>0</v>
      </c>
      <c r="BB1263" s="68">
        <f t="shared" si="143"/>
        <v>0</v>
      </c>
      <c r="BC1263" s="68">
        <f t="shared" si="143"/>
        <v>0</v>
      </c>
      <c r="BD1263" s="68">
        <f t="shared" si="143"/>
        <v>6046.87</v>
      </c>
      <c r="BE1263" s="68">
        <f t="shared" si="143"/>
        <v>0</v>
      </c>
      <c r="BF1263" s="68">
        <f t="shared" si="143"/>
        <v>0</v>
      </c>
      <c r="BG1263" s="68">
        <f t="shared" si="143"/>
        <v>0</v>
      </c>
      <c r="BH1263" s="68">
        <f t="shared" si="143"/>
        <v>0</v>
      </c>
      <c r="BI1263" s="68">
        <f t="shared" si="143"/>
        <v>0</v>
      </c>
      <c r="BJ1263" s="68">
        <f t="shared" si="143"/>
        <v>0</v>
      </c>
      <c r="BK1263" s="68">
        <f t="shared" si="143"/>
        <v>0</v>
      </c>
      <c r="BL1263" s="68">
        <f t="shared" si="143"/>
        <v>0</v>
      </c>
      <c r="BM1263" s="68">
        <f t="shared" si="143"/>
        <v>0</v>
      </c>
      <c r="BN1263" s="68">
        <f t="shared" si="143"/>
        <v>0</v>
      </c>
      <c r="BO1263" s="68">
        <f t="shared" si="143"/>
        <v>61960</v>
      </c>
      <c r="BP1263" s="68">
        <f t="shared" si="143"/>
        <v>4597.5</v>
      </c>
      <c r="BQ1263" s="68">
        <f t="shared" si="143"/>
        <v>3300</v>
      </c>
      <c r="BR1263" s="68">
        <f t="shared" si="143"/>
        <v>0</v>
      </c>
      <c r="BS1263" s="68">
        <f t="shared" si="143"/>
        <v>0</v>
      </c>
      <c r="BT1263" s="68">
        <f t="shared" si="143"/>
        <v>0</v>
      </c>
      <c r="BU1263" s="68">
        <f t="shared" ref="BU1263:CH1263" si="144">SUM(BU1243:BU1262)</f>
        <v>0</v>
      </c>
      <c r="BV1263" s="68">
        <f t="shared" si="144"/>
        <v>0</v>
      </c>
      <c r="BW1263" s="68">
        <f t="shared" si="144"/>
        <v>0</v>
      </c>
      <c r="BX1263" s="68">
        <f t="shared" si="144"/>
        <v>0</v>
      </c>
      <c r="BY1263" s="68">
        <f t="shared" si="144"/>
        <v>0</v>
      </c>
      <c r="BZ1263" s="68">
        <f t="shared" si="144"/>
        <v>0</v>
      </c>
      <c r="CA1263" s="68">
        <f t="shared" si="144"/>
        <v>0</v>
      </c>
      <c r="CB1263" s="68">
        <f t="shared" si="144"/>
        <v>1911322.46</v>
      </c>
      <c r="CC1263" s="91">
        <f t="shared" si="144"/>
        <v>2006991.83</v>
      </c>
      <c r="CD1263" s="68">
        <f t="shared" si="144"/>
        <v>0</v>
      </c>
      <c r="CF1263" s="68">
        <f t="shared" si="144"/>
        <v>0</v>
      </c>
      <c r="CG1263" s="68">
        <f t="shared" si="144"/>
        <v>0</v>
      </c>
      <c r="CH1263" s="68">
        <f t="shared" si="144"/>
        <v>0</v>
      </c>
    </row>
    <row r="1264" spans="2:86" x14ac:dyDescent="0.25">
      <c r="B1264" s="82"/>
      <c r="C1264" s="70">
        <v>123</v>
      </c>
      <c r="D1264" s="69" t="s">
        <v>122</v>
      </c>
      <c r="E1264" s="107" t="s">
        <v>4007</v>
      </c>
      <c r="T1264" s="69"/>
      <c r="U1264" s="69"/>
      <c r="AQ1264" s="68">
        <v>350</v>
      </c>
      <c r="AR1264" s="94">
        <f t="shared" si="142"/>
        <v>350</v>
      </c>
      <c r="AT1264" s="69"/>
      <c r="BC1264" s="69"/>
      <c r="BD1264" s="69"/>
      <c r="CB1264" s="69">
        <v>350</v>
      </c>
      <c r="CC1264" s="94">
        <f t="shared" si="140"/>
        <v>350</v>
      </c>
      <c r="CD1264" s="73">
        <f t="shared" si="141"/>
        <v>0</v>
      </c>
      <c r="CE1264" s="75">
        <f t="shared" si="138"/>
        <v>123</v>
      </c>
      <c r="CF1264" s="69" t="str">
        <f t="shared" si="138"/>
        <v>علاج تخصصى</v>
      </c>
    </row>
    <row r="1265" spans="2:85" x14ac:dyDescent="0.25">
      <c r="B1265" s="82"/>
      <c r="C1265" s="70">
        <v>124</v>
      </c>
      <c r="D1265" s="69" t="s">
        <v>122</v>
      </c>
      <c r="E1265" s="107" t="s">
        <v>4008</v>
      </c>
      <c r="T1265" s="69"/>
      <c r="U1265" s="69"/>
      <c r="AQ1265" s="68">
        <v>400</v>
      </c>
      <c r="AR1265" s="94">
        <f t="shared" si="142"/>
        <v>400</v>
      </c>
      <c r="AT1265" s="69"/>
      <c r="BC1265" s="69"/>
      <c r="BD1265" s="69"/>
      <c r="CB1265" s="69">
        <v>400</v>
      </c>
      <c r="CC1265" s="94">
        <f t="shared" si="140"/>
        <v>400</v>
      </c>
      <c r="CD1265" s="73">
        <f t="shared" si="141"/>
        <v>0</v>
      </c>
      <c r="CE1265" s="75">
        <f t="shared" si="138"/>
        <v>124</v>
      </c>
      <c r="CF1265" s="69" t="str">
        <f t="shared" si="138"/>
        <v>علاج تخصصى</v>
      </c>
    </row>
    <row r="1266" spans="2:85" x14ac:dyDescent="0.25">
      <c r="B1266" s="82"/>
      <c r="C1266" s="70">
        <v>125</v>
      </c>
      <c r="D1266" s="69" t="s">
        <v>122</v>
      </c>
      <c r="E1266" s="107" t="s">
        <v>4009</v>
      </c>
      <c r="T1266" s="69"/>
      <c r="U1266" s="69"/>
      <c r="AQ1266" s="68">
        <v>100</v>
      </c>
      <c r="AR1266" s="94">
        <f t="shared" si="142"/>
        <v>100</v>
      </c>
      <c r="AT1266" s="69"/>
      <c r="BC1266" s="69"/>
      <c r="BD1266" s="69"/>
      <c r="CB1266" s="69">
        <v>100</v>
      </c>
      <c r="CC1266" s="94">
        <f t="shared" si="140"/>
        <v>100</v>
      </c>
      <c r="CD1266" s="73">
        <f t="shared" si="141"/>
        <v>0</v>
      </c>
      <c r="CE1266" s="75">
        <f t="shared" si="138"/>
        <v>125</v>
      </c>
      <c r="CF1266" s="69" t="str">
        <f t="shared" si="138"/>
        <v>علاج تخصصى</v>
      </c>
    </row>
    <row r="1267" spans="2:85" x14ac:dyDescent="0.25">
      <c r="B1267" s="82"/>
      <c r="C1267" s="70">
        <v>126</v>
      </c>
      <c r="D1267" s="69" t="s">
        <v>122</v>
      </c>
      <c r="E1267" s="107" t="s">
        <v>4010</v>
      </c>
      <c r="T1267" s="69"/>
      <c r="U1267" s="69"/>
      <c r="AQ1267" s="68">
        <v>150</v>
      </c>
      <c r="AR1267" s="94">
        <f t="shared" si="142"/>
        <v>150</v>
      </c>
      <c r="AT1267" s="69"/>
      <c r="BC1267" s="69"/>
      <c r="BD1267" s="69"/>
      <c r="CB1267" s="69">
        <v>150</v>
      </c>
      <c r="CC1267" s="94">
        <f t="shared" si="140"/>
        <v>150</v>
      </c>
      <c r="CD1267" s="73">
        <f t="shared" si="141"/>
        <v>0</v>
      </c>
      <c r="CE1267" s="75">
        <f t="shared" si="138"/>
        <v>126</v>
      </c>
      <c r="CF1267" s="69" t="str">
        <f t="shared" si="138"/>
        <v>علاج تخصصى</v>
      </c>
    </row>
    <row r="1268" spans="2:85" x14ac:dyDescent="0.25">
      <c r="B1268" s="82"/>
      <c r="C1268" s="70">
        <v>127</v>
      </c>
      <c r="D1268" s="69" t="s">
        <v>122</v>
      </c>
      <c r="E1268" s="107" t="s">
        <v>4011</v>
      </c>
      <c r="T1268" s="69"/>
      <c r="U1268" s="69"/>
      <c r="AQ1268" s="68">
        <v>100</v>
      </c>
      <c r="AR1268" s="94">
        <f t="shared" si="142"/>
        <v>100</v>
      </c>
      <c r="AT1268" s="69"/>
      <c r="BC1268" s="69"/>
      <c r="BD1268" s="69"/>
      <c r="CB1268" s="69">
        <v>100</v>
      </c>
      <c r="CC1268" s="94">
        <f t="shared" si="140"/>
        <v>100</v>
      </c>
      <c r="CD1268" s="73">
        <f t="shared" si="141"/>
        <v>0</v>
      </c>
      <c r="CE1268" s="75">
        <f t="shared" si="138"/>
        <v>127</v>
      </c>
      <c r="CF1268" s="69" t="str">
        <f t="shared" si="138"/>
        <v>علاج تخصصى</v>
      </c>
    </row>
    <row r="1269" spans="2:85" x14ac:dyDescent="0.25">
      <c r="B1269" s="82"/>
      <c r="C1269" s="70">
        <v>128</v>
      </c>
      <c r="D1269" s="69" t="s">
        <v>122</v>
      </c>
      <c r="E1269" s="107" t="s">
        <v>4012</v>
      </c>
      <c r="T1269" s="69"/>
      <c r="U1269" s="69"/>
      <c r="AQ1269" s="68">
        <v>100</v>
      </c>
      <c r="AR1269" s="94">
        <f t="shared" si="142"/>
        <v>100</v>
      </c>
      <c r="AT1269" s="69"/>
      <c r="BC1269" s="69"/>
      <c r="BD1269" s="69"/>
      <c r="CB1269" s="69">
        <v>100</v>
      </c>
      <c r="CC1269" s="94">
        <f t="shared" si="140"/>
        <v>100</v>
      </c>
      <c r="CD1269" s="73">
        <f t="shared" si="141"/>
        <v>0</v>
      </c>
      <c r="CE1269" s="75">
        <f t="shared" si="138"/>
        <v>128</v>
      </c>
      <c r="CF1269" s="69" t="str">
        <f t="shared" si="138"/>
        <v>علاج تخصصى</v>
      </c>
    </row>
    <row r="1270" spans="2:85" x14ac:dyDescent="0.25">
      <c r="B1270" s="82"/>
      <c r="C1270" s="70">
        <v>129</v>
      </c>
      <c r="D1270" s="69" t="s">
        <v>122</v>
      </c>
      <c r="E1270" s="107" t="s">
        <v>4013</v>
      </c>
      <c r="T1270" s="69"/>
      <c r="U1270" s="69"/>
      <c r="AQ1270" s="68">
        <v>200</v>
      </c>
      <c r="AR1270" s="94">
        <f t="shared" si="142"/>
        <v>200</v>
      </c>
      <c r="AT1270" s="69"/>
      <c r="BC1270" s="69"/>
      <c r="BD1270" s="69"/>
      <c r="CB1270" s="69">
        <v>200</v>
      </c>
      <c r="CC1270" s="94">
        <f t="shared" si="140"/>
        <v>200</v>
      </c>
      <c r="CD1270" s="73">
        <f t="shared" si="141"/>
        <v>0</v>
      </c>
      <c r="CE1270" s="75">
        <f t="shared" si="138"/>
        <v>129</v>
      </c>
      <c r="CF1270" s="69" t="str">
        <f t="shared" si="138"/>
        <v>علاج تخصصى</v>
      </c>
    </row>
    <row r="1271" spans="2:85" x14ac:dyDescent="0.25">
      <c r="B1271" s="82"/>
      <c r="C1271" s="70">
        <v>130</v>
      </c>
      <c r="D1271" s="69" t="s">
        <v>122</v>
      </c>
      <c r="E1271" s="107" t="s">
        <v>4014</v>
      </c>
      <c r="T1271" s="69"/>
      <c r="U1271" s="69"/>
      <c r="AQ1271" s="68">
        <v>250</v>
      </c>
      <c r="AR1271" s="94">
        <f t="shared" si="142"/>
        <v>250</v>
      </c>
      <c r="AT1271" s="69"/>
      <c r="BC1271" s="69"/>
      <c r="BD1271" s="69"/>
      <c r="CB1271" s="69">
        <v>250</v>
      </c>
      <c r="CC1271" s="94">
        <f t="shared" si="140"/>
        <v>250</v>
      </c>
      <c r="CD1271" s="73">
        <f t="shared" si="141"/>
        <v>0</v>
      </c>
      <c r="CE1271" s="75">
        <f t="shared" si="138"/>
        <v>130</v>
      </c>
      <c r="CF1271" s="69" t="str">
        <f t="shared" si="138"/>
        <v>علاج تخصصى</v>
      </c>
    </row>
    <row r="1272" spans="2:85" x14ac:dyDescent="0.25">
      <c r="B1272" s="82"/>
      <c r="C1272" s="70">
        <v>131</v>
      </c>
      <c r="D1272" s="69" t="s">
        <v>122</v>
      </c>
      <c r="E1272" s="107" t="s">
        <v>4015</v>
      </c>
      <c r="T1272" s="69"/>
      <c r="U1272" s="69"/>
      <c r="AQ1272" s="68">
        <v>350</v>
      </c>
      <c r="AR1272" s="94">
        <f t="shared" si="142"/>
        <v>350</v>
      </c>
      <c r="AT1272" s="69"/>
      <c r="BC1272" s="69"/>
      <c r="BD1272" s="69"/>
      <c r="CB1272" s="69">
        <v>350</v>
      </c>
      <c r="CC1272" s="94">
        <f t="shared" si="140"/>
        <v>350</v>
      </c>
      <c r="CD1272" s="73">
        <f t="shared" si="141"/>
        <v>0</v>
      </c>
      <c r="CE1272" s="75">
        <f t="shared" si="138"/>
        <v>131</v>
      </c>
      <c r="CF1272" s="69" t="str">
        <f t="shared" si="138"/>
        <v>علاج تخصصى</v>
      </c>
    </row>
    <row r="1273" spans="2:85" x14ac:dyDescent="0.25">
      <c r="B1273" s="70"/>
      <c r="C1273" s="70">
        <v>132</v>
      </c>
      <c r="D1273" s="69" t="s">
        <v>249</v>
      </c>
      <c r="E1273" s="107" t="s">
        <v>4016</v>
      </c>
      <c r="T1273" s="69"/>
      <c r="U1273" s="69"/>
      <c r="AQ1273" s="68">
        <v>3550</v>
      </c>
      <c r="AR1273" s="94">
        <f t="shared" si="142"/>
        <v>3550</v>
      </c>
      <c r="AT1273" s="69"/>
      <c r="BC1273" s="69"/>
      <c r="BD1273" s="69"/>
      <c r="CB1273" s="69">
        <v>3550</v>
      </c>
      <c r="CC1273" s="94">
        <f t="shared" si="140"/>
        <v>3550</v>
      </c>
      <c r="CD1273" s="73">
        <f t="shared" si="141"/>
        <v>0</v>
      </c>
      <c r="CE1273" s="75">
        <f t="shared" si="138"/>
        <v>132</v>
      </c>
      <c r="CF1273" s="69" t="str">
        <f t="shared" si="138"/>
        <v>خدمة عامة</v>
      </c>
    </row>
    <row r="1274" spans="2:85" x14ac:dyDescent="0.25">
      <c r="B1274" s="70"/>
      <c r="C1274" s="70">
        <v>133</v>
      </c>
      <c r="D1274" s="69" t="s">
        <v>249</v>
      </c>
      <c r="E1274" s="107" t="s">
        <v>4017</v>
      </c>
      <c r="T1274" s="69"/>
      <c r="U1274" s="69"/>
      <c r="AQ1274" s="68">
        <v>8260</v>
      </c>
      <c r="AR1274" s="94">
        <f t="shared" si="142"/>
        <v>8260</v>
      </c>
      <c r="AT1274" s="69"/>
      <c r="BC1274" s="69"/>
      <c r="BD1274" s="69"/>
      <c r="CB1274" s="69">
        <v>8260</v>
      </c>
      <c r="CC1274" s="94">
        <f t="shared" si="140"/>
        <v>8260</v>
      </c>
      <c r="CD1274" s="73">
        <f t="shared" si="141"/>
        <v>0</v>
      </c>
      <c r="CE1274" s="75">
        <f t="shared" si="138"/>
        <v>133</v>
      </c>
      <c r="CF1274" s="69" t="str">
        <f t="shared" si="138"/>
        <v>خدمة عامة</v>
      </c>
    </row>
    <row r="1275" spans="2:85" x14ac:dyDescent="0.25">
      <c r="B1275" s="82"/>
      <c r="C1275" s="70">
        <v>134</v>
      </c>
      <c r="D1275" s="69" t="s">
        <v>249</v>
      </c>
      <c r="E1275" s="107" t="s">
        <v>4018</v>
      </c>
      <c r="T1275" s="69"/>
      <c r="U1275" s="69"/>
      <c r="AQ1275" s="68">
        <v>6765</v>
      </c>
      <c r="AR1275" s="94">
        <f t="shared" si="142"/>
        <v>6765</v>
      </c>
      <c r="AT1275" s="69"/>
      <c r="BC1275" s="69"/>
      <c r="BD1275" s="69"/>
      <c r="CB1275" s="69">
        <v>6765</v>
      </c>
      <c r="CC1275" s="94">
        <f t="shared" si="140"/>
        <v>6765</v>
      </c>
      <c r="CD1275" s="73">
        <f t="shared" si="141"/>
        <v>0</v>
      </c>
      <c r="CE1275" s="75">
        <f t="shared" si="138"/>
        <v>134</v>
      </c>
      <c r="CF1275" s="69" t="str">
        <f t="shared" si="138"/>
        <v>خدمة عامة</v>
      </c>
    </row>
    <row r="1276" spans="2:85" x14ac:dyDescent="0.25">
      <c r="B1276" s="82"/>
      <c r="C1276" s="70">
        <v>135</v>
      </c>
      <c r="D1276" s="69" t="s">
        <v>249</v>
      </c>
      <c r="E1276" s="107" t="s">
        <v>4019</v>
      </c>
      <c r="T1276" s="69"/>
      <c r="U1276" s="69"/>
      <c r="AQ1276" s="68">
        <v>5225</v>
      </c>
      <c r="AR1276" s="94">
        <f t="shared" si="142"/>
        <v>5225</v>
      </c>
      <c r="AT1276" s="69"/>
      <c r="BC1276" s="69"/>
      <c r="BD1276" s="69"/>
      <c r="CB1276" s="69">
        <v>5225</v>
      </c>
      <c r="CC1276" s="94">
        <f t="shared" si="140"/>
        <v>5225</v>
      </c>
      <c r="CD1276" s="73">
        <f t="shared" si="141"/>
        <v>0</v>
      </c>
      <c r="CE1276" s="75">
        <f t="shared" si="138"/>
        <v>135</v>
      </c>
      <c r="CF1276" s="69" t="str">
        <f t="shared" si="138"/>
        <v>خدمة عامة</v>
      </c>
      <c r="CG1276" s="69">
        <f>SUM(CB1273:CB1282)</f>
        <v>52780</v>
      </c>
    </row>
    <row r="1277" spans="2:85" x14ac:dyDescent="0.25">
      <c r="B1277" s="82"/>
      <c r="C1277" s="70">
        <v>136</v>
      </c>
      <c r="D1277" s="69" t="s">
        <v>249</v>
      </c>
      <c r="E1277" s="107" t="s">
        <v>4020</v>
      </c>
      <c r="T1277" s="69"/>
      <c r="U1277" s="69"/>
      <c r="AQ1277" s="68">
        <v>7340</v>
      </c>
      <c r="AR1277" s="94">
        <f t="shared" si="142"/>
        <v>7340</v>
      </c>
      <c r="AT1277" s="69"/>
      <c r="BC1277" s="69"/>
      <c r="BD1277" s="69"/>
      <c r="CB1277" s="69">
        <v>7340</v>
      </c>
      <c r="CC1277" s="94">
        <f t="shared" si="140"/>
        <v>7340</v>
      </c>
      <c r="CD1277" s="73">
        <f t="shared" si="141"/>
        <v>0</v>
      </c>
      <c r="CE1277" s="75">
        <f t="shared" ref="CE1277:CF1292" si="145">+C1277</f>
        <v>136</v>
      </c>
      <c r="CF1277" s="69" t="str">
        <f t="shared" si="145"/>
        <v>خدمة عامة</v>
      </c>
    </row>
    <row r="1278" spans="2:85" x14ac:dyDescent="0.25">
      <c r="B1278" s="82"/>
      <c r="C1278" s="70">
        <v>137</v>
      </c>
      <c r="D1278" s="69" t="s">
        <v>249</v>
      </c>
      <c r="E1278" s="107" t="s">
        <v>4021</v>
      </c>
      <c r="T1278" s="69"/>
      <c r="U1278" s="69"/>
      <c r="AQ1278" s="68">
        <v>4530</v>
      </c>
      <c r="AR1278" s="94">
        <f t="shared" si="142"/>
        <v>4530</v>
      </c>
      <c r="AT1278" s="69"/>
      <c r="BC1278" s="69"/>
      <c r="BD1278" s="69"/>
      <c r="CB1278" s="69">
        <v>4530</v>
      </c>
      <c r="CC1278" s="94">
        <f t="shared" si="140"/>
        <v>4530</v>
      </c>
      <c r="CD1278" s="73">
        <f t="shared" si="141"/>
        <v>0</v>
      </c>
      <c r="CE1278" s="75">
        <f t="shared" si="145"/>
        <v>137</v>
      </c>
      <c r="CF1278" s="69" t="str">
        <f t="shared" si="145"/>
        <v>خدمة عامة</v>
      </c>
    </row>
    <row r="1279" spans="2:85" x14ac:dyDescent="0.25">
      <c r="B1279" s="82"/>
      <c r="C1279" s="70">
        <v>138</v>
      </c>
      <c r="D1279" s="69" t="s">
        <v>249</v>
      </c>
      <c r="E1279" s="107" t="s">
        <v>4022</v>
      </c>
      <c r="T1279" s="69"/>
      <c r="U1279" s="69"/>
      <c r="AQ1279" s="68">
        <v>4905</v>
      </c>
      <c r="AR1279" s="94">
        <f t="shared" si="142"/>
        <v>4905</v>
      </c>
      <c r="AT1279" s="69"/>
      <c r="BC1279" s="69"/>
      <c r="BD1279" s="69"/>
      <c r="CB1279" s="69">
        <v>4905</v>
      </c>
      <c r="CC1279" s="94">
        <f t="shared" si="140"/>
        <v>4905</v>
      </c>
      <c r="CD1279" s="73">
        <f t="shared" si="141"/>
        <v>0</v>
      </c>
      <c r="CE1279" s="75">
        <f t="shared" si="145"/>
        <v>138</v>
      </c>
      <c r="CF1279" s="69" t="str">
        <f t="shared" si="145"/>
        <v>خدمة عامة</v>
      </c>
    </row>
    <row r="1280" spans="2:85" x14ac:dyDescent="0.25">
      <c r="B1280" s="82"/>
      <c r="C1280" s="70">
        <v>139</v>
      </c>
      <c r="D1280" s="69" t="s">
        <v>249</v>
      </c>
      <c r="E1280" s="107" t="s">
        <v>4023</v>
      </c>
      <c r="T1280" s="69"/>
      <c r="U1280" s="69"/>
      <c r="AQ1280" s="68">
        <v>5625</v>
      </c>
      <c r="AR1280" s="94">
        <f t="shared" si="142"/>
        <v>5625</v>
      </c>
      <c r="AT1280" s="69"/>
      <c r="BC1280" s="69"/>
      <c r="BD1280" s="69"/>
      <c r="CB1280" s="69">
        <v>5625</v>
      </c>
      <c r="CC1280" s="94">
        <f t="shared" si="140"/>
        <v>5625</v>
      </c>
      <c r="CD1280" s="73">
        <f t="shared" si="141"/>
        <v>0</v>
      </c>
      <c r="CE1280" s="75">
        <f t="shared" si="145"/>
        <v>139</v>
      </c>
      <c r="CF1280" s="69" t="str">
        <f t="shared" si="145"/>
        <v>خدمة عامة</v>
      </c>
    </row>
    <row r="1281" spans="1:87" x14ac:dyDescent="0.25">
      <c r="B1281" s="82"/>
      <c r="C1281" s="70">
        <v>140</v>
      </c>
      <c r="D1281" s="69" t="s">
        <v>249</v>
      </c>
      <c r="E1281" s="107" t="s">
        <v>4024</v>
      </c>
      <c r="T1281" s="69"/>
      <c r="U1281" s="69"/>
      <c r="AQ1281" s="68">
        <v>6540</v>
      </c>
      <c r="AR1281" s="94">
        <f t="shared" si="142"/>
        <v>6540</v>
      </c>
      <c r="AT1281" s="69"/>
      <c r="BC1281" s="69"/>
      <c r="BD1281" s="69"/>
      <c r="CB1281" s="69">
        <v>6540</v>
      </c>
      <c r="CC1281" s="94">
        <f t="shared" si="140"/>
        <v>6540</v>
      </c>
      <c r="CD1281" s="73">
        <f t="shared" si="141"/>
        <v>0</v>
      </c>
      <c r="CE1281" s="75">
        <f t="shared" si="145"/>
        <v>140</v>
      </c>
      <c r="CF1281" s="69" t="str">
        <f t="shared" si="145"/>
        <v>خدمة عامة</v>
      </c>
    </row>
    <row r="1282" spans="1:87" x14ac:dyDescent="0.25">
      <c r="B1282" s="82"/>
      <c r="C1282" s="70">
        <v>141</v>
      </c>
      <c r="D1282" s="69" t="s">
        <v>249</v>
      </c>
      <c r="E1282" s="107" t="s">
        <v>4025</v>
      </c>
      <c r="J1282" s="69">
        <v>5269.5</v>
      </c>
      <c r="T1282" s="69"/>
      <c r="U1282" s="69"/>
      <c r="AO1282" s="69">
        <v>43580</v>
      </c>
      <c r="AR1282" s="94">
        <f t="shared" si="142"/>
        <v>48849.5</v>
      </c>
      <c r="AT1282" s="69"/>
      <c r="BC1282" s="69"/>
      <c r="BD1282" s="69"/>
      <c r="BY1282" s="69">
        <v>5269.5</v>
      </c>
      <c r="CA1282" s="68">
        <v>43540</v>
      </c>
      <c r="CB1282" s="69">
        <v>40</v>
      </c>
      <c r="CC1282" s="94">
        <f t="shared" si="140"/>
        <v>48849.5</v>
      </c>
      <c r="CD1282" s="73">
        <f t="shared" si="141"/>
        <v>0</v>
      </c>
      <c r="CE1282" s="75">
        <f t="shared" si="145"/>
        <v>141</v>
      </c>
      <c r="CF1282" s="69" t="str">
        <f t="shared" si="145"/>
        <v>خدمة عامة</v>
      </c>
    </row>
    <row r="1283" spans="1:87" x14ac:dyDescent="0.25">
      <c r="A1283" s="69">
        <f>28320+880</f>
        <v>29200</v>
      </c>
      <c r="B1283" s="82"/>
      <c r="C1283" s="70">
        <v>142</v>
      </c>
      <c r="D1283" s="69" t="s">
        <v>122</v>
      </c>
      <c r="E1283" s="107" t="s">
        <v>4026</v>
      </c>
      <c r="J1283" s="69">
        <v>240</v>
      </c>
      <c r="T1283" s="69"/>
      <c r="U1283" s="69"/>
      <c r="AO1283" s="69">
        <v>1250</v>
      </c>
      <c r="AR1283" s="94">
        <f t="shared" si="142"/>
        <v>1490</v>
      </c>
      <c r="AT1283" s="69"/>
      <c r="BC1283" s="69"/>
      <c r="BD1283" s="69"/>
      <c r="BY1283" s="69">
        <v>240</v>
      </c>
      <c r="CA1283" s="68">
        <v>1250</v>
      </c>
      <c r="CC1283" s="94">
        <f t="shared" si="140"/>
        <v>1490</v>
      </c>
      <c r="CD1283" s="73">
        <f t="shared" si="141"/>
        <v>0</v>
      </c>
      <c r="CE1283" s="75">
        <f t="shared" si="145"/>
        <v>142</v>
      </c>
      <c r="CF1283" s="69" t="str">
        <f t="shared" si="145"/>
        <v>علاج تخصصى</v>
      </c>
    </row>
    <row r="1284" spans="1:87" x14ac:dyDescent="0.25">
      <c r="B1284" s="82"/>
      <c r="C1284" s="70">
        <v>143</v>
      </c>
      <c r="D1284" s="69" t="s">
        <v>121</v>
      </c>
      <c r="E1284" s="107" t="s">
        <v>4027</v>
      </c>
      <c r="J1284" s="69">
        <v>945</v>
      </c>
      <c r="T1284" s="69"/>
      <c r="U1284" s="69"/>
      <c r="AR1284" s="94">
        <f t="shared" si="142"/>
        <v>945</v>
      </c>
      <c r="AT1284" s="69"/>
      <c r="BC1284" s="69"/>
      <c r="BD1284" s="69"/>
      <c r="BY1284" s="69">
        <v>945</v>
      </c>
      <c r="CC1284" s="94">
        <f t="shared" si="140"/>
        <v>945</v>
      </c>
      <c r="CD1284" s="73">
        <f t="shared" si="141"/>
        <v>0</v>
      </c>
      <c r="CE1284" s="75">
        <f t="shared" si="145"/>
        <v>143</v>
      </c>
      <c r="CF1284" s="69" t="str">
        <f t="shared" si="145"/>
        <v>ماليزى اسنان</v>
      </c>
    </row>
    <row r="1285" spans="1:87" x14ac:dyDescent="0.25">
      <c r="A1285" s="69">
        <f>+A1283-23010</f>
        <v>6190</v>
      </c>
      <c r="B1285" s="82"/>
      <c r="C1285" s="70">
        <v>144</v>
      </c>
      <c r="D1285" s="69" t="s">
        <v>123</v>
      </c>
      <c r="E1285" s="107" t="s">
        <v>4027</v>
      </c>
      <c r="J1285" s="69">
        <v>1329.75</v>
      </c>
      <c r="T1285" s="69"/>
      <c r="U1285" s="69"/>
      <c r="AR1285" s="94">
        <f t="shared" si="142"/>
        <v>1329.75</v>
      </c>
      <c r="AT1285" s="69"/>
      <c r="BC1285" s="69"/>
      <c r="BD1285" s="69"/>
      <c r="BY1285" s="69">
        <v>1329.75</v>
      </c>
      <c r="CC1285" s="94">
        <f t="shared" si="140"/>
        <v>1329.75</v>
      </c>
      <c r="CD1285" s="73">
        <f t="shared" si="141"/>
        <v>0</v>
      </c>
      <c r="CE1285" s="75">
        <f t="shared" si="145"/>
        <v>144</v>
      </c>
      <c r="CF1285" s="69" t="str">
        <f t="shared" si="145"/>
        <v>خ ت اسنان</v>
      </c>
    </row>
    <row r="1286" spans="1:87" x14ac:dyDescent="0.25">
      <c r="B1286" s="82"/>
      <c r="C1286" s="70">
        <v>145</v>
      </c>
      <c r="D1286" s="69" t="s">
        <v>130</v>
      </c>
      <c r="E1286" s="107" t="s">
        <v>4028</v>
      </c>
      <c r="H1286" s="69">
        <v>880</v>
      </c>
      <c r="T1286" s="69"/>
      <c r="U1286" s="69"/>
      <c r="AR1286" s="94">
        <f t="shared" si="142"/>
        <v>880</v>
      </c>
      <c r="AT1286" s="69"/>
      <c r="BC1286" s="69"/>
      <c r="BD1286" s="69"/>
      <c r="BY1286" s="69">
        <v>880</v>
      </c>
      <c r="CC1286" s="94">
        <f t="shared" si="140"/>
        <v>880</v>
      </c>
      <c r="CD1286" s="73">
        <f t="shared" si="141"/>
        <v>0</v>
      </c>
      <c r="CE1286" s="75">
        <f t="shared" si="145"/>
        <v>145</v>
      </c>
      <c r="CF1286" s="69" t="str">
        <f t="shared" si="145"/>
        <v>خ ت طب</v>
      </c>
    </row>
    <row r="1287" spans="1:87" x14ac:dyDescent="0.25">
      <c r="B1287" s="82"/>
      <c r="C1287" s="70">
        <v>146</v>
      </c>
      <c r="D1287" s="69" t="s">
        <v>130</v>
      </c>
      <c r="E1287" s="107" t="s">
        <v>4029</v>
      </c>
      <c r="T1287" s="69"/>
      <c r="U1287" s="69"/>
      <c r="AO1287" s="69">
        <v>28320</v>
      </c>
      <c r="AR1287" s="94">
        <f t="shared" si="142"/>
        <v>28320</v>
      </c>
      <c r="AT1287" s="69"/>
      <c r="BC1287" s="69"/>
      <c r="BD1287" s="69"/>
      <c r="CB1287" s="69">
        <v>28320</v>
      </c>
      <c r="CC1287" s="94">
        <f t="shared" si="140"/>
        <v>28320</v>
      </c>
      <c r="CD1287" s="73">
        <f t="shared" si="141"/>
        <v>0</v>
      </c>
      <c r="CE1287" s="75">
        <f t="shared" si="145"/>
        <v>146</v>
      </c>
      <c r="CF1287" s="69" t="str">
        <f t="shared" si="145"/>
        <v>خ ت طب</v>
      </c>
    </row>
    <row r="1288" spans="1:87" x14ac:dyDescent="0.25">
      <c r="B1288" s="82"/>
      <c r="C1288" s="70">
        <v>147</v>
      </c>
      <c r="D1288" s="69" t="s">
        <v>4030</v>
      </c>
      <c r="E1288" s="107" t="s">
        <v>4031</v>
      </c>
      <c r="T1288" s="69"/>
      <c r="U1288" s="69"/>
      <c r="AK1288" s="69">
        <v>36000</v>
      </c>
      <c r="AR1288" s="94">
        <f t="shared" si="142"/>
        <v>36000</v>
      </c>
      <c r="AT1288" s="69"/>
      <c r="BC1288" s="69"/>
      <c r="BD1288" s="69"/>
      <c r="BR1288" s="69">
        <v>36000</v>
      </c>
      <c r="CC1288" s="94">
        <f t="shared" si="140"/>
        <v>36000</v>
      </c>
      <c r="CD1288" s="73">
        <f t="shared" si="141"/>
        <v>0</v>
      </c>
      <c r="CE1288" s="75">
        <f t="shared" si="145"/>
        <v>147</v>
      </c>
      <c r="CF1288" s="69" t="str">
        <f t="shared" si="145"/>
        <v>طب</v>
      </c>
    </row>
    <row r="1289" spans="1:87" x14ac:dyDescent="0.25">
      <c r="B1289" s="82"/>
      <c r="C1289" s="70">
        <v>148</v>
      </c>
      <c r="D1289" s="69" t="s">
        <v>4030</v>
      </c>
      <c r="E1289" s="107" t="s">
        <v>4032</v>
      </c>
      <c r="T1289" s="69"/>
      <c r="U1289" s="69"/>
      <c r="AK1289" s="69">
        <v>36000</v>
      </c>
      <c r="AR1289" s="94">
        <f t="shared" si="142"/>
        <v>36000</v>
      </c>
      <c r="AT1289" s="69"/>
      <c r="BC1289" s="69"/>
      <c r="BD1289" s="69"/>
      <c r="BR1289" s="69">
        <v>36000</v>
      </c>
      <c r="CC1289" s="94">
        <f t="shared" si="140"/>
        <v>36000</v>
      </c>
      <c r="CD1289" s="73">
        <f t="shared" si="141"/>
        <v>0</v>
      </c>
      <c r="CE1289" s="75">
        <f t="shared" si="145"/>
        <v>148</v>
      </c>
      <c r="CF1289" s="69" t="str">
        <f t="shared" si="145"/>
        <v>طب</v>
      </c>
    </row>
    <row r="1290" spans="1:87" x14ac:dyDescent="0.25">
      <c r="B1290" s="82"/>
      <c r="C1290" s="70">
        <v>149</v>
      </c>
      <c r="D1290" s="69" t="s">
        <v>4030</v>
      </c>
      <c r="E1290" s="107" t="s">
        <v>2645</v>
      </c>
      <c r="T1290" s="69"/>
      <c r="U1290" s="69"/>
      <c r="AK1290" s="69">
        <v>36000</v>
      </c>
      <c r="AR1290" s="94">
        <f t="shared" si="142"/>
        <v>36000</v>
      </c>
      <c r="AT1290" s="69"/>
      <c r="BC1290" s="69"/>
      <c r="BD1290" s="69"/>
      <c r="BR1290" s="69">
        <v>36000</v>
      </c>
      <c r="CC1290" s="94">
        <f t="shared" si="140"/>
        <v>36000</v>
      </c>
      <c r="CD1290" s="73">
        <f t="shared" si="141"/>
        <v>0</v>
      </c>
      <c r="CE1290" s="75">
        <f t="shared" si="145"/>
        <v>149</v>
      </c>
      <c r="CF1290" s="69" t="str">
        <f t="shared" si="145"/>
        <v>طب</v>
      </c>
    </row>
    <row r="1291" spans="1:87" x14ac:dyDescent="0.25">
      <c r="B1291" s="82"/>
      <c r="C1291" s="70">
        <v>150</v>
      </c>
      <c r="D1291" s="69" t="s">
        <v>4030</v>
      </c>
      <c r="E1291" s="107" t="s">
        <v>2645</v>
      </c>
      <c r="T1291" s="69"/>
      <c r="U1291" s="69"/>
      <c r="AK1291" s="69">
        <v>7000</v>
      </c>
      <c r="AR1291" s="94">
        <f t="shared" si="142"/>
        <v>7000</v>
      </c>
      <c r="AT1291" s="69"/>
      <c r="BC1291" s="69"/>
      <c r="BD1291" s="69"/>
      <c r="BR1291" s="69">
        <v>7000</v>
      </c>
      <c r="CC1291" s="94">
        <f t="shared" si="140"/>
        <v>7000</v>
      </c>
      <c r="CD1291" s="73">
        <f t="shared" si="141"/>
        <v>0</v>
      </c>
      <c r="CE1291" s="75">
        <f t="shared" si="145"/>
        <v>150</v>
      </c>
      <c r="CF1291" s="69" t="str">
        <f t="shared" si="145"/>
        <v>طب</v>
      </c>
    </row>
    <row r="1292" spans="1:87" x14ac:dyDescent="0.25">
      <c r="B1292" s="82"/>
      <c r="C1292" s="70">
        <v>151</v>
      </c>
      <c r="D1292" s="69" t="s">
        <v>4030</v>
      </c>
      <c r="E1292" s="107" t="str">
        <f>+E1288</f>
        <v>خطاب ضمان رحاب عبد ربه (الرحاب للمقاولات )</v>
      </c>
      <c r="T1292" s="69"/>
      <c r="U1292" s="69"/>
      <c r="AK1292" s="69">
        <v>7000</v>
      </c>
      <c r="AR1292" s="94">
        <f t="shared" si="142"/>
        <v>7000</v>
      </c>
      <c r="AT1292" s="69"/>
      <c r="BC1292" s="69"/>
      <c r="BD1292" s="69"/>
      <c r="BR1292" s="69">
        <v>7000</v>
      </c>
      <c r="CC1292" s="94">
        <f t="shared" si="140"/>
        <v>7000</v>
      </c>
      <c r="CD1292" s="73">
        <f t="shared" si="141"/>
        <v>0</v>
      </c>
      <c r="CE1292" s="75">
        <f t="shared" si="145"/>
        <v>151</v>
      </c>
      <c r="CF1292" s="69" t="str">
        <f t="shared" si="145"/>
        <v>طب</v>
      </c>
    </row>
    <row r="1293" spans="1:87" x14ac:dyDescent="0.25">
      <c r="B1293" s="82"/>
      <c r="C1293" s="70">
        <v>152</v>
      </c>
      <c r="D1293" s="69" t="s">
        <v>4033</v>
      </c>
      <c r="E1293" s="107" t="s">
        <v>3065</v>
      </c>
      <c r="T1293" s="69"/>
      <c r="U1293" s="69"/>
      <c r="AH1293" s="69">
        <v>10000</v>
      </c>
      <c r="AR1293" s="94">
        <f t="shared" si="142"/>
        <v>10000</v>
      </c>
      <c r="AT1293" s="69"/>
      <c r="BC1293" s="69"/>
      <c r="BD1293" s="69"/>
      <c r="BS1293" s="69">
        <v>10000</v>
      </c>
      <c r="CC1293" s="94">
        <f t="shared" si="140"/>
        <v>10000</v>
      </c>
      <c r="CD1293" s="73">
        <f t="shared" si="141"/>
        <v>0</v>
      </c>
      <c r="CE1293" s="75">
        <f t="shared" ref="CE1293:CF1308" si="146">+C1293</f>
        <v>152</v>
      </c>
      <c r="CF1293" s="69" t="str">
        <f t="shared" si="146"/>
        <v>صيدلة</v>
      </c>
    </row>
    <row r="1294" spans="1:87" s="68" customFormat="1" x14ac:dyDescent="0.25">
      <c r="B1294" s="83"/>
      <c r="C1294" s="84"/>
      <c r="E1294" s="108" t="s">
        <v>4034</v>
      </c>
      <c r="H1294" s="68">
        <f>SUM(H1264:H1293)</f>
        <v>880</v>
      </c>
      <c r="I1294" s="68">
        <f t="shared" ref="I1294:BU1294" si="147">SUM(I1264:I1293)</f>
        <v>0</v>
      </c>
      <c r="J1294" s="68">
        <f t="shared" si="147"/>
        <v>7784.25</v>
      </c>
      <c r="K1294" s="68">
        <f t="shared" si="147"/>
        <v>0</v>
      </c>
      <c r="L1294" s="68">
        <f t="shared" si="147"/>
        <v>0</v>
      </c>
      <c r="M1294" s="68">
        <f t="shared" si="147"/>
        <v>0</v>
      </c>
      <c r="N1294" s="68">
        <f t="shared" si="147"/>
        <v>0</v>
      </c>
      <c r="O1294" s="68">
        <f t="shared" si="147"/>
        <v>0</v>
      </c>
      <c r="P1294" s="68">
        <f t="shared" si="147"/>
        <v>0</v>
      </c>
      <c r="Q1294" s="68">
        <f t="shared" si="147"/>
        <v>0</v>
      </c>
      <c r="R1294" s="68">
        <f t="shared" si="147"/>
        <v>0</v>
      </c>
      <c r="S1294" s="68">
        <f t="shared" si="147"/>
        <v>0</v>
      </c>
      <c r="T1294" s="68">
        <f t="shared" si="147"/>
        <v>0</v>
      </c>
      <c r="U1294" s="68">
        <f t="shared" si="147"/>
        <v>0</v>
      </c>
      <c r="V1294" s="68">
        <f t="shared" si="147"/>
        <v>0</v>
      </c>
      <c r="W1294" s="68">
        <f t="shared" si="147"/>
        <v>0</v>
      </c>
      <c r="X1294" s="68">
        <f t="shared" si="147"/>
        <v>0</v>
      </c>
      <c r="Y1294" s="68">
        <f t="shared" si="147"/>
        <v>0</v>
      </c>
      <c r="Z1294" s="68">
        <f t="shared" si="147"/>
        <v>0</v>
      </c>
      <c r="AA1294" s="68">
        <f t="shared" si="147"/>
        <v>0</v>
      </c>
      <c r="AB1294" s="68">
        <f t="shared" si="147"/>
        <v>0</v>
      </c>
      <c r="AC1294" s="68">
        <f t="shared" si="147"/>
        <v>0</v>
      </c>
      <c r="AD1294" s="68">
        <f t="shared" si="147"/>
        <v>0</v>
      </c>
      <c r="AE1294" s="68">
        <f t="shared" si="147"/>
        <v>0</v>
      </c>
      <c r="AF1294" s="68">
        <f t="shared" si="147"/>
        <v>0</v>
      </c>
      <c r="AG1294" s="68">
        <f t="shared" si="147"/>
        <v>0</v>
      </c>
      <c r="AH1294" s="68">
        <f t="shared" si="147"/>
        <v>10000</v>
      </c>
      <c r="AI1294" s="68">
        <f t="shared" si="147"/>
        <v>0</v>
      </c>
      <c r="AJ1294" s="68">
        <f t="shared" si="147"/>
        <v>0</v>
      </c>
      <c r="AK1294" s="68">
        <f t="shared" si="147"/>
        <v>122000</v>
      </c>
      <c r="AL1294" s="68">
        <f t="shared" si="147"/>
        <v>0</v>
      </c>
      <c r="AM1294" s="68">
        <f t="shared" si="147"/>
        <v>0</v>
      </c>
      <c r="AO1294" s="68">
        <f t="shared" si="147"/>
        <v>73150</v>
      </c>
      <c r="AP1294" s="68">
        <f t="shared" si="147"/>
        <v>0</v>
      </c>
      <c r="AQ1294" s="68">
        <f t="shared" si="147"/>
        <v>54740</v>
      </c>
      <c r="AR1294" s="94">
        <f t="shared" si="142"/>
        <v>268554.25</v>
      </c>
      <c r="AS1294" s="68">
        <f t="shared" si="147"/>
        <v>0</v>
      </c>
      <c r="AT1294" s="68">
        <f t="shared" si="147"/>
        <v>0</v>
      </c>
      <c r="AU1294" s="68">
        <f t="shared" si="147"/>
        <v>0</v>
      </c>
      <c r="AV1294" s="68">
        <f t="shared" si="147"/>
        <v>0</v>
      </c>
      <c r="AW1294" s="68">
        <f t="shared" si="147"/>
        <v>0</v>
      </c>
      <c r="AX1294" s="68">
        <f t="shared" si="147"/>
        <v>0</v>
      </c>
      <c r="AY1294" s="68">
        <f t="shared" si="147"/>
        <v>0</v>
      </c>
      <c r="AZ1294" s="68">
        <f t="shared" si="147"/>
        <v>0</v>
      </c>
      <c r="BA1294" s="68">
        <f t="shared" si="147"/>
        <v>0</v>
      </c>
      <c r="BB1294" s="68">
        <f t="shared" si="147"/>
        <v>0</v>
      </c>
      <c r="BC1294" s="68">
        <f t="shared" si="147"/>
        <v>0</v>
      </c>
      <c r="BD1294" s="68">
        <f t="shared" si="147"/>
        <v>0</v>
      </c>
      <c r="BE1294" s="68">
        <f t="shared" si="147"/>
        <v>0</v>
      </c>
      <c r="BF1294" s="68">
        <f t="shared" si="147"/>
        <v>0</v>
      </c>
      <c r="BG1294" s="68">
        <f t="shared" si="147"/>
        <v>0</v>
      </c>
      <c r="BH1294" s="68">
        <f t="shared" si="147"/>
        <v>0</v>
      </c>
      <c r="BI1294" s="68">
        <f t="shared" si="147"/>
        <v>0</v>
      </c>
      <c r="BJ1294" s="68">
        <f t="shared" si="147"/>
        <v>0</v>
      </c>
      <c r="BK1294" s="68">
        <f t="shared" si="147"/>
        <v>0</v>
      </c>
      <c r="BL1294" s="68">
        <f t="shared" si="147"/>
        <v>0</v>
      </c>
      <c r="BM1294" s="68">
        <f t="shared" si="147"/>
        <v>0</v>
      </c>
      <c r="BN1294" s="68">
        <f t="shared" si="147"/>
        <v>0</v>
      </c>
      <c r="BO1294" s="68">
        <f t="shared" si="147"/>
        <v>0</v>
      </c>
      <c r="BP1294" s="68">
        <f t="shared" si="147"/>
        <v>0</v>
      </c>
      <c r="BQ1294" s="68">
        <f t="shared" si="147"/>
        <v>0</v>
      </c>
      <c r="BR1294" s="68">
        <f t="shared" si="147"/>
        <v>122000</v>
      </c>
      <c r="BS1294" s="68">
        <f t="shared" si="147"/>
        <v>10000</v>
      </c>
      <c r="BT1294" s="68">
        <f t="shared" si="147"/>
        <v>0</v>
      </c>
      <c r="BU1294" s="68">
        <f t="shared" si="147"/>
        <v>0</v>
      </c>
      <c r="BV1294" s="68">
        <f t="shared" ref="BV1294:CI1294" si="148">SUM(BV1264:BV1293)</f>
        <v>0</v>
      </c>
      <c r="BW1294" s="68">
        <f t="shared" si="148"/>
        <v>0</v>
      </c>
      <c r="BX1294" s="68">
        <f t="shared" si="148"/>
        <v>0</v>
      </c>
      <c r="BY1294" s="68">
        <f t="shared" si="148"/>
        <v>8664.25</v>
      </c>
      <c r="BZ1294" s="68">
        <f t="shared" si="148"/>
        <v>0</v>
      </c>
      <c r="CA1294" s="68">
        <f t="shared" si="148"/>
        <v>44790</v>
      </c>
      <c r="CB1294" s="68">
        <f t="shared" si="148"/>
        <v>83100</v>
      </c>
      <c r="CC1294" s="94">
        <f t="shared" si="140"/>
        <v>268554.25</v>
      </c>
      <c r="CD1294" s="73">
        <f t="shared" si="141"/>
        <v>0</v>
      </c>
      <c r="CE1294" s="75">
        <f t="shared" si="146"/>
        <v>0</v>
      </c>
      <c r="CF1294" s="69">
        <f t="shared" si="146"/>
        <v>0</v>
      </c>
      <c r="CG1294" s="68">
        <f t="shared" si="148"/>
        <v>52780</v>
      </c>
      <c r="CH1294" s="68">
        <f t="shared" si="148"/>
        <v>0</v>
      </c>
      <c r="CI1294" s="68">
        <f t="shared" si="148"/>
        <v>0</v>
      </c>
    </row>
    <row r="1295" spans="1:87" x14ac:dyDescent="0.25">
      <c r="B1295" s="82"/>
      <c r="C1295" s="78">
        <v>153</v>
      </c>
      <c r="E1295" s="107" t="s">
        <v>2636</v>
      </c>
      <c r="F1295" s="69"/>
      <c r="T1295" s="69"/>
      <c r="U1295" s="69"/>
      <c r="AR1295" s="94">
        <f t="shared" si="142"/>
        <v>0</v>
      </c>
      <c r="AT1295" s="69"/>
      <c r="BC1295" s="69"/>
      <c r="BD1295" s="69"/>
      <c r="CC1295" s="94">
        <f t="shared" si="140"/>
        <v>0</v>
      </c>
      <c r="CD1295" s="73">
        <f t="shared" si="141"/>
        <v>0</v>
      </c>
      <c r="CE1295" s="75">
        <f t="shared" si="146"/>
        <v>153</v>
      </c>
      <c r="CF1295" s="69">
        <f t="shared" si="146"/>
        <v>0</v>
      </c>
    </row>
    <row r="1296" spans="1:87" x14ac:dyDescent="0.25">
      <c r="B1296" s="82" t="s">
        <v>3480</v>
      </c>
      <c r="C1296" s="78">
        <v>154</v>
      </c>
      <c r="E1296" s="107" t="s">
        <v>4035</v>
      </c>
      <c r="F1296" s="69"/>
      <c r="T1296" s="69"/>
      <c r="U1296" s="69"/>
      <c r="AE1296" s="69">
        <v>17013.599999999999</v>
      </c>
      <c r="AR1296" s="94">
        <f t="shared" si="142"/>
        <v>17013.599999999999</v>
      </c>
      <c r="AT1296" s="69"/>
      <c r="AY1296" s="69">
        <v>17013.599999999999</v>
      </c>
      <c r="BC1296" s="69"/>
      <c r="BD1296" s="69"/>
      <c r="CC1296" s="94">
        <f t="shared" si="140"/>
        <v>17013.599999999999</v>
      </c>
      <c r="CD1296" s="73">
        <f t="shared" si="141"/>
        <v>0</v>
      </c>
      <c r="CE1296" s="75">
        <f t="shared" si="146"/>
        <v>154</v>
      </c>
      <c r="CF1296" s="69">
        <f t="shared" si="146"/>
        <v>0</v>
      </c>
    </row>
    <row r="1297" spans="1:89" x14ac:dyDescent="0.25">
      <c r="B1297" s="82"/>
      <c r="C1297" s="78">
        <v>155</v>
      </c>
      <c r="D1297" s="69" t="s">
        <v>122</v>
      </c>
      <c r="E1297" s="107" t="s">
        <v>4036</v>
      </c>
      <c r="F1297" s="69"/>
      <c r="T1297" s="69"/>
      <c r="U1297" s="69"/>
      <c r="AQ1297" s="69">
        <v>250</v>
      </c>
      <c r="AR1297" s="94">
        <f t="shared" si="142"/>
        <v>250</v>
      </c>
      <c r="AT1297" s="69"/>
      <c r="BC1297" s="69"/>
      <c r="BD1297" s="69"/>
      <c r="CB1297" s="69">
        <v>250</v>
      </c>
      <c r="CC1297" s="94">
        <f t="shared" si="140"/>
        <v>250</v>
      </c>
      <c r="CD1297" s="73">
        <f t="shared" si="141"/>
        <v>0</v>
      </c>
      <c r="CE1297" s="75">
        <f t="shared" si="146"/>
        <v>155</v>
      </c>
      <c r="CF1297" s="69" t="str">
        <f t="shared" si="146"/>
        <v>علاج تخصصى</v>
      </c>
    </row>
    <row r="1298" spans="1:89" x14ac:dyDescent="0.25">
      <c r="B1298" s="82"/>
      <c r="C1298" s="78">
        <v>156</v>
      </c>
      <c r="D1298" s="69" t="s">
        <v>249</v>
      </c>
      <c r="E1298" s="107" t="s">
        <v>4037</v>
      </c>
      <c r="F1298" s="69"/>
      <c r="T1298" s="69"/>
      <c r="U1298" s="69"/>
      <c r="AQ1298" s="69">
        <v>5940</v>
      </c>
      <c r="AR1298" s="94">
        <f t="shared" si="142"/>
        <v>5940</v>
      </c>
      <c r="AT1298" s="69"/>
      <c r="BC1298" s="69"/>
      <c r="BD1298" s="69"/>
      <c r="CB1298" s="69">
        <v>5940</v>
      </c>
      <c r="CC1298" s="94">
        <f t="shared" si="140"/>
        <v>5940</v>
      </c>
      <c r="CD1298" s="73">
        <f t="shared" si="141"/>
        <v>0</v>
      </c>
      <c r="CE1298" s="75">
        <f t="shared" si="146"/>
        <v>156</v>
      </c>
      <c r="CF1298" s="69" t="str">
        <f t="shared" si="146"/>
        <v>خدمة عامة</v>
      </c>
    </row>
    <row r="1299" spans="1:89" s="68" customFormat="1" x14ac:dyDescent="0.25">
      <c r="B1299" s="83"/>
      <c r="C1299" s="84"/>
      <c r="E1299" s="108" t="s">
        <v>4038</v>
      </c>
      <c r="AE1299" s="68">
        <f>SUM(AE1295:AE1298)</f>
        <v>17013.599999999999</v>
      </c>
      <c r="AF1299" s="68">
        <f t="shared" ref="AF1299:CG1299" si="149">SUM(AF1295:AF1298)</f>
        <v>0</v>
      </c>
      <c r="AG1299" s="68">
        <f t="shared" si="149"/>
        <v>0</v>
      </c>
      <c r="AH1299" s="68">
        <f t="shared" si="149"/>
        <v>0</v>
      </c>
      <c r="AI1299" s="68">
        <f t="shared" si="149"/>
        <v>0</v>
      </c>
      <c r="AJ1299" s="68">
        <f t="shared" si="149"/>
        <v>0</v>
      </c>
      <c r="AK1299" s="68">
        <f t="shared" si="149"/>
        <v>0</v>
      </c>
      <c r="AL1299" s="68">
        <f t="shared" si="149"/>
        <v>0</v>
      </c>
      <c r="AM1299" s="68">
        <f t="shared" si="149"/>
        <v>0</v>
      </c>
      <c r="AO1299" s="68">
        <f t="shared" si="149"/>
        <v>0</v>
      </c>
      <c r="AP1299" s="68">
        <f t="shared" si="149"/>
        <v>0</v>
      </c>
      <c r="AQ1299" s="68">
        <f t="shared" si="149"/>
        <v>6190</v>
      </c>
      <c r="AR1299" s="94">
        <f t="shared" si="142"/>
        <v>23203.599999999999</v>
      </c>
      <c r="AS1299" s="68">
        <f t="shared" si="149"/>
        <v>0</v>
      </c>
      <c r="AT1299" s="68">
        <f t="shared" si="149"/>
        <v>0</v>
      </c>
      <c r="AU1299" s="68">
        <f t="shared" si="149"/>
        <v>0</v>
      </c>
      <c r="AV1299" s="68">
        <f t="shared" si="149"/>
        <v>0</v>
      </c>
      <c r="AW1299" s="68">
        <f t="shared" si="149"/>
        <v>0</v>
      </c>
      <c r="AX1299" s="68">
        <f t="shared" si="149"/>
        <v>0</v>
      </c>
      <c r="AY1299" s="68">
        <f t="shared" si="149"/>
        <v>17013.599999999999</v>
      </c>
      <c r="AZ1299" s="68">
        <f t="shared" si="149"/>
        <v>0</v>
      </c>
      <c r="BA1299" s="68">
        <f t="shared" si="149"/>
        <v>0</v>
      </c>
      <c r="BB1299" s="68">
        <f t="shared" si="149"/>
        <v>0</v>
      </c>
      <c r="BC1299" s="68">
        <f t="shared" si="149"/>
        <v>0</v>
      </c>
      <c r="BD1299" s="68">
        <f t="shared" si="149"/>
        <v>0</v>
      </c>
      <c r="BE1299" s="68">
        <f t="shared" si="149"/>
        <v>0</v>
      </c>
      <c r="BF1299" s="68">
        <f t="shared" si="149"/>
        <v>0</v>
      </c>
      <c r="BG1299" s="68">
        <f t="shared" si="149"/>
        <v>0</v>
      </c>
      <c r="BH1299" s="68">
        <f t="shared" si="149"/>
        <v>0</v>
      </c>
      <c r="BI1299" s="68">
        <f t="shared" si="149"/>
        <v>0</v>
      </c>
      <c r="BJ1299" s="68">
        <f t="shared" si="149"/>
        <v>0</v>
      </c>
      <c r="BK1299" s="68">
        <f t="shared" si="149"/>
        <v>0</v>
      </c>
      <c r="BL1299" s="68">
        <f t="shared" si="149"/>
        <v>0</v>
      </c>
      <c r="BM1299" s="68">
        <f t="shared" si="149"/>
        <v>0</v>
      </c>
      <c r="BN1299" s="68">
        <f t="shared" si="149"/>
        <v>0</v>
      </c>
      <c r="BO1299" s="68">
        <f t="shared" si="149"/>
        <v>0</v>
      </c>
      <c r="BP1299" s="68">
        <f t="shared" si="149"/>
        <v>0</v>
      </c>
      <c r="BQ1299" s="68">
        <f t="shared" si="149"/>
        <v>0</v>
      </c>
      <c r="BR1299" s="68">
        <f t="shared" si="149"/>
        <v>0</v>
      </c>
      <c r="BS1299" s="68">
        <f t="shared" si="149"/>
        <v>0</v>
      </c>
      <c r="BT1299" s="68">
        <f t="shared" si="149"/>
        <v>0</v>
      </c>
      <c r="BU1299" s="68">
        <f t="shared" si="149"/>
        <v>0</v>
      </c>
      <c r="BV1299" s="68">
        <f t="shared" si="149"/>
        <v>0</v>
      </c>
      <c r="BW1299" s="68">
        <f t="shared" si="149"/>
        <v>0</v>
      </c>
      <c r="BX1299" s="68">
        <f t="shared" si="149"/>
        <v>0</v>
      </c>
      <c r="BY1299" s="68">
        <f t="shared" si="149"/>
        <v>0</v>
      </c>
      <c r="BZ1299" s="68">
        <f t="shared" si="149"/>
        <v>0</v>
      </c>
      <c r="CA1299" s="68">
        <f t="shared" si="149"/>
        <v>0</v>
      </c>
      <c r="CB1299" s="68">
        <f t="shared" si="149"/>
        <v>6190</v>
      </c>
      <c r="CC1299" s="94">
        <f t="shared" si="140"/>
        <v>23203.599999999999</v>
      </c>
      <c r="CD1299" s="73">
        <f t="shared" si="141"/>
        <v>0</v>
      </c>
      <c r="CE1299" s="75">
        <f t="shared" si="146"/>
        <v>0</v>
      </c>
      <c r="CF1299" s="69">
        <f t="shared" si="146"/>
        <v>0</v>
      </c>
      <c r="CG1299" s="68">
        <f t="shared" si="149"/>
        <v>0</v>
      </c>
    </row>
    <row r="1300" spans="1:89" x14ac:dyDescent="0.25">
      <c r="A1300" s="69" t="s">
        <v>4039</v>
      </c>
      <c r="B1300" s="82"/>
      <c r="C1300" s="78">
        <v>157</v>
      </c>
      <c r="D1300" s="69" t="s">
        <v>132</v>
      </c>
      <c r="E1300" s="107" t="s">
        <v>4040</v>
      </c>
      <c r="F1300" s="69"/>
      <c r="T1300" s="69"/>
      <c r="U1300" s="69"/>
      <c r="W1300" s="69">
        <v>1433.55</v>
      </c>
      <c r="AR1300" s="94">
        <f t="shared" si="142"/>
        <v>1433.55</v>
      </c>
      <c r="AT1300" s="69"/>
      <c r="BC1300" s="69"/>
      <c r="BD1300" s="69"/>
      <c r="BI1300" s="69">
        <v>1433.55</v>
      </c>
      <c r="CC1300" s="94">
        <f t="shared" si="140"/>
        <v>1433.55</v>
      </c>
      <c r="CD1300" s="73">
        <f t="shared" si="141"/>
        <v>0</v>
      </c>
      <c r="CE1300" s="75">
        <f t="shared" si="146"/>
        <v>157</v>
      </c>
      <c r="CF1300" s="69" t="str">
        <f t="shared" si="146"/>
        <v>صيدلة اكلينيكى</v>
      </c>
    </row>
    <row r="1301" spans="1:89" ht="36" x14ac:dyDescent="0.25">
      <c r="B1301" s="82"/>
      <c r="C1301" s="78">
        <v>158</v>
      </c>
      <c r="D1301" s="69" t="s">
        <v>332</v>
      </c>
      <c r="E1301" s="174" t="s">
        <v>4041</v>
      </c>
      <c r="F1301" s="69"/>
      <c r="T1301" s="69"/>
      <c r="U1301" s="69"/>
      <c r="AR1301" s="94">
        <f t="shared" si="142"/>
        <v>0</v>
      </c>
      <c r="AT1301" s="69"/>
      <c r="BC1301" s="69"/>
      <c r="BD1301" s="69"/>
      <c r="CC1301" s="94">
        <f t="shared" si="140"/>
        <v>0</v>
      </c>
      <c r="CD1301" s="73">
        <f t="shared" si="141"/>
        <v>0</v>
      </c>
      <c r="CE1301" s="75">
        <f t="shared" si="146"/>
        <v>158</v>
      </c>
      <c r="CF1301" s="69" t="str">
        <f t="shared" si="146"/>
        <v xml:space="preserve">لاب فقط </v>
      </c>
    </row>
    <row r="1302" spans="1:89" ht="36" x14ac:dyDescent="0.25">
      <c r="B1302" s="82"/>
      <c r="C1302" s="78">
        <v>159</v>
      </c>
      <c r="D1302" s="69" t="s">
        <v>332</v>
      </c>
      <c r="E1302" s="174" t="s">
        <v>4042</v>
      </c>
      <c r="F1302" s="69"/>
      <c r="T1302" s="69"/>
      <c r="U1302" s="69"/>
      <c r="AR1302" s="94">
        <f t="shared" si="142"/>
        <v>0</v>
      </c>
      <c r="AT1302" s="69"/>
      <c r="BC1302" s="69"/>
      <c r="BD1302" s="69"/>
      <c r="CC1302" s="94">
        <f t="shared" si="140"/>
        <v>0</v>
      </c>
      <c r="CD1302" s="73">
        <f t="shared" si="141"/>
        <v>0</v>
      </c>
      <c r="CE1302" s="75">
        <f t="shared" si="146"/>
        <v>159</v>
      </c>
      <c r="CF1302" s="69" t="str">
        <f t="shared" si="146"/>
        <v xml:space="preserve">لاب فقط </v>
      </c>
    </row>
    <row r="1303" spans="1:89" x14ac:dyDescent="0.25">
      <c r="B1303" s="82"/>
      <c r="C1303" s="78">
        <v>160</v>
      </c>
      <c r="E1303" s="107" t="s">
        <v>4043</v>
      </c>
      <c r="F1303" s="69"/>
      <c r="T1303" s="69"/>
      <c r="U1303" s="69"/>
      <c r="AB1303" s="69">
        <v>138400</v>
      </c>
      <c r="AR1303" s="94">
        <f t="shared" si="142"/>
        <v>138400</v>
      </c>
      <c r="AT1303" s="69"/>
      <c r="BC1303" s="69"/>
      <c r="BD1303" s="69"/>
      <c r="BP1303" s="69">
        <v>138400</v>
      </c>
      <c r="CC1303" s="94">
        <f t="shared" si="140"/>
        <v>138400</v>
      </c>
      <c r="CD1303" s="73">
        <f t="shared" si="141"/>
        <v>0</v>
      </c>
      <c r="CE1303" s="75">
        <f t="shared" si="146"/>
        <v>160</v>
      </c>
      <c r="CF1303" s="69">
        <f t="shared" si="146"/>
        <v>0</v>
      </c>
    </row>
    <row r="1304" spans="1:89" x14ac:dyDescent="0.25">
      <c r="B1304" s="82"/>
      <c r="C1304" s="78">
        <v>161</v>
      </c>
      <c r="E1304" s="107" t="s">
        <v>4044</v>
      </c>
      <c r="F1304" s="69"/>
      <c r="P1304" s="69">
        <v>10000</v>
      </c>
      <c r="T1304" s="69"/>
      <c r="U1304" s="69"/>
      <c r="AR1304" s="94">
        <f t="shared" si="142"/>
        <v>10000</v>
      </c>
      <c r="AT1304" s="69"/>
      <c r="BC1304" s="69"/>
      <c r="BD1304" s="69"/>
      <c r="BO1304" s="69">
        <v>10000</v>
      </c>
      <c r="CC1304" s="94">
        <f t="shared" si="140"/>
        <v>10000</v>
      </c>
      <c r="CD1304" s="73">
        <f t="shared" si="141"/>
        <v>0</v>
      </c>
      <c r="CE1304" s="75">
        <f t="shared" si="146"/>
        <v>161</v>
      </c>
      <c r="CF1304" s="69">
        <f t="shared" si="146"/>
        <v>0</v>
      </c>
    </row>
    <row r="1305" spans="1:89" s="68" customFormat="1" x14ac:dyDescent="0.25">
      <c r="B1305" s="83"/>
      <c r="C1305" s="84"/>
      <c r="E1305" s="108" t="s">
        <v>4045</v>
      </c>
      <c r="P1305" s="68">
        <f>SUM(P1300:P1304)</f>
        <v>10000</v>
      </c>
      <c r="Q1305" s="68">
        <f t="shared" ref="Q1305:CB1305" si="150">SUM(Q1300:Q1304)</f>
        <v>0</v>
      </c>
      <c r="R1305" s="68">
        <f t="shared" si="150"/>
        <v>0</v>
      </c>
      <c r="S1305" s="68">
        <f t="shared" si="150"/>
        <v>0</v>
      </c>
      <c r="T1305" s="68">
        <f t="shared" si="150"/>
        <v>0</v>
      </c>
      <c r="U1305" s="68">
        <f t="shared" si="150"/>
        <v>0</v>
      </c>
      <c r="V1305" s="68">
        <f t="shared" si="150"/>
        <v>0</v>
      </c>
      <c r="W1305" s="68">
        <f t="shared" si="150"/>
        <v>1433.55</v>
      </c>
      <c r="X1305" s="68">
        <f t="shared" si="150"/>
        <v>0</v>
      </c>
      <c r="Y1305" s="68">
        <f t="shared" si="150"/>
        <v>0</v>
      </c>
      <c r="Z1305" s="68">
        <f t="shared" si="150"/>
        <v>0</v>
      </c>
      <c r="AA1305" s="68">
        <f t="shared" si="150"/>
        <v>0</v>
      </c>
      <c r="AB1305" s="68">
        <f t="shared" si="150"/>
        <v>138400</v>
      </c>
      <c r="AC1305" s="68">
        <f t="shared" si="150"/>
        <v>0</v>
      </c>
      <c r="AD1305" s="68">
        <f t="shared" si="150"/>
        <v>0</v>
      </c>
      <c r="AE1305" s="68">
        <f t="shared" si="150"/>
        <v>0</v>
      </c>
      <c r="AF1305" s="68">
        <f t="shared" si="150"/>
        <v>0</v>
      </c>
      <c r="AG1305" s="68">
        <f t="shared" si="150"/>
        <v>0</v>
      </c>
      <c r="AH1305" s="68">
        <f t="shared" si="150"/>
        <v>0</v>
      </c>
      <c r="AI1305" s="68">
        <f t="shared" si="150"/>
        <v>0</v>
      </c>
      <c r="AJ1305" s="68">
        <f t="shared" si="150"/>
        <v>0</v>
      </c>
      <c r="AK1305" s="68">
        <f t="shared" si="150"/>
        <v>0</v>
      </c>
      <c r="AL1305" s="68">
        <f t="shared" si="150"/>
        <v>0</v>
      </c>
      <c r="AM1305" s="68">
        <f t="shared" si="150"/>
        <v>0</v>
      </c>
      <c r="AN1305" s="68">
        <f t="shared" si="150"/>
        <v>0</v>
      </c>
      <c r="AO1305" s="68">
        <f t="shared" si="150"/>
        <v>0</v>
      </c>
      <c r="AP1305" s="68">
        <f t="shared" si="150"/>
        <v>0</v>
      </c>
      <c r="AQ1305" s="68">
        <f t="shared" si="150"/>
        <v>0</v>
      </c>
      <c r="AR1305" s="68">
        <f t="shared" si="150"/>
        <v>149833.54999999999</v>
      </c>
      <c r="AS1305" s="68">
        <f t="shared" si="150"/>
        <v>0</v>
      </c>
      <c r="AT1305" s="68">
        <f t="shared" si="150"/>
        <v>0</v>
      </c>
      <c r="AU1305" s="68">
        <f t="shared" si="150"/>
        <v>0</v>
      </c>
      <c r="AV1305" s="68">
        <f t="shared" si="150"/>
        <v>0</v>
      </c>
      <c r="AW1305" s="68">
        <f t="shared" si="150"/>
        <v>0</v>
      </c>
      <c r="AX1305" s="68">
        <f t="shared" si="150"/>
        <v>0</v>
      </c>
      <c r="AY1305" s="68">
        <f t="shared" si="150"/>
        <v>0</v>
      </c>
      <c r="AZ1305" s="68">
        <f t="shared" si="150"/>
        <v>0</v>
      </c>
      <c r="BA1305" s="68">
        <f t="shared" si="150"/>
        <v>0</v>
      </c>
      <c r="BB1305" s="68">
        <f t="shared" si="150"/>
        <v>0</v>
      </c>
      <c r="BC1305" s="68">
        <f t="shared" si="150"/>
        <v>0</v>
      </c>
      <c r="BD1305" s="68">
        <f t="shared" si="150"/>
        <v>0</v>
      </c>
      <c r="BE1305" s="68">
        <f t="shared" si="150"/>
        <v>0</v>
      </c>
      <c r="BF1305" s="68">
        <f t="shared" si="150"/>
        <v>0</v>
      </c>
      <c r="BG1305" s="68">
        <f t="shared" si="150"/>
        <v>0</v>
      </c>
      <c r="BH1305" s="68">
        <f t="shared" si="150"/>
        <v>0</v>
      </c>
      <c r="BI1305" s="68">
        <f t="shared" si="150"/>
        <v>1433.55</v>
      </c>
      <c r="BJ1305" s="68">
        <f t="shared" si="150"/>
        <v>0</v>
      </c>
      <c r="BK1305" s="68">
        <f t="shared" si="150"/>
        <v>0</v>
      </c>
      <c r="BL1305" s="68">
        <f t="shared" si="150"/>
        <v>0</v>
      </c>
      <c r="BM1305" s="68">
        <f t="shared" si="150"/>
        <v>0</v>
      </c>
      <c r="BN1305" s="68">
        <f t="shared" si="150"/>
        <v>0</v>
      </c>
      <c r="BO1305" s="68">
        <f t="shared" si="150"/>
        <v>10000</v>
      </c>
      <c r="BP1305" s="68">
        <f t="shared" si="150"/>
        <v>138400</v>
      </c>
      <c r="BQ1305" s="68">
        <f t="shared" si="150"/>
        <v>0</v>
      </c>
      <c r="BR1305" s="68">
        <f t="shared" si="150"/>
        <v>0</v>
      </c>
      <c r="BS1305" s="68">
        <f t="shared" si="150"/>
        <v>0</v>
      </c>
      <c r="BT1305" s="68">
        <f t="shared" si="150"/>
        <v>0</v>
      </c>
      <c r="BU1305" s="68">
        <f t="shared" si="150"/>
        <v>0</v>
      </c>
      <c r="BV1305" s="68">
        <f t="shared" si="150"/>
        <v>0</v>
      </c>
      <c r="BW1305" s="68">
        <f t="shared" si="150"/>
        <v>0</v>
      </c>
      <c r="BX1305" s="68">
        <f t="shared" si="150"/>
        <v>0</v>
      </c>
      <c r="BY1305" s="68">
        <f t="shared" si="150"/>
        <v>0</v>
      </c>
      <c r="BZ1305" s="68">
        <f t="shared" si="150"/>
        <v>0</v>
      </c>
      <c r="CA1305" s="68">
        <f t="shared" si="150"/>
        <v>0</v>
      </c>
      <c r="CB1305" s="68">
        <f t="shared" si="150"/>
        <v>0</v>
      </c>
      <c r="CC1305" s="68">
        <f t="shared" ref="CC1305:CG1305" si="151">SUM(CC1300:CC1304)</f>
        <v>149833.54999999999</v>
      </c>
      <c r="CD1305" s="68">
        <f t="shared" si="151"/>
        <v>0</v>
      </c>
      <c r="CF1305" s="68">
        <f t="shared" si="151"/>
        <v>0</v>
      </c>
      <c r="CG1305" s="68">
        <f t="shared" si="151"/>
        <v>0</v>
      </c>
    </row>
    <row r="1306" spans="1:89" x14ac:dyDescent="0.25">
      <c r="B1306" s="82"/>
      <c r="C1306" s="78">
        <v>162</v>
      </c>
      <c r="E1306" s="107" t="s">
        <v>4046</v>
      </c>
      <c r="F1306" s="69"/>
      <c r="J1306" s="69">
        <v>67500</v>
      </c>
      <c r="T1306" s="69"/>
      <c r="U1306" s="69"/>
      <c r="AD1306" s="69">
        <v>15941802.48</v>
      </c>
      <c r="AE1306" s="69">
        <v>5248545.7</v>
      </c>
      <c r="AR1306" s="94">
        <f t="shared" si="142"/>
        <v>21257848.18</v>
      </c>
      <c r="AT1306" s="69"/>
      <c r="BA1306" s="69">
        <v>16009302.48</v>
      </c>
      <c r="BC1306" s="69"/>
      <c r="BD1306" s="69"/>
      <c r="CB1306" s="69">
        <v>5248545.7</v>
      </c>
      <c r="CC1306" s="94">
        <f t="shared" si="140"/>
        <v>21257848.18</v>
      </c>
      <c r="CD1306" s="73">
        <f t="shared" si="141"/>
        <v>0</v>
      </c>
      <c r="CE1306" s="75">
        <f t="shared" si="146"/>
        <v>162</v>
      </c>
      <c r="CF1306" s="69">
        <f t="shared" si="146"/>
        <v>0</v>
      </c>
    </row>
    <row r="1307" spans="1:89" x14ac:dyDescent="0.25">
      <c r="B1307" s="82"/>
      <c r="C1307" s="70">
        <v>163</v>
      </c>
      <c r="E1307" s="107" t="s">
        <v>4047</v>
      </c>
      <c r="T1307" s="69"/>
      <c r="U1307" s="69"/>
      <c r="AE1307" s="69">
        <v>954742.35</v>
      </c>
      <c r="AF1307" s="69">
        <v>1237.24</v>
      </c>
      <c r="AR1307" s="94">
        <f t="shared" si="142"/>
        <v>955979.59</v>
      </c>
      <c r="AT1307" s="69"/>
      <c r="BA1307" s="69">
        <v>954742.35</v>
      </c>
      <c r="BC1307" s="69"/>
      <c r="BD1307" s="69"/>
      <c r="CB1307" s="69">
        <v>1237.24</v>
      </c>
      <c r="CC1307" s="94">
        <f t="shared" ref="CC1307:CC1310" si="152">SUM(AS1307:CB1307)</f>
        <v>955979.59</v>
      </c>
      <c r="CD1307" s="73">
        <f t="shared" ref="CD1307:CD1310" si="153">+CC1307-AR1307</f>
        <v>0</v>
      </c>
      <c r="CE1307" s="75">
        <f t="shared" si="146"/>
        <v>163</v>
      </c>
      <c r="CF1307" s="69">
        <f t="shared" si="146"/>
        <v>0</v>
      </c>
    </row>
    <row r="1308" spans="1:89" x14ac:dyDescent="0.25">
      <c r="B1308" s="82"/>
      <c r="C1308" s="70">
        <v>164</v>
      </c>
      <c r="D1308" s="69" t="s">
        <v>332</v>
      </c>
      <c r="E1308" s="107" t="s">
        <v>4048</v>
      </c>
      <c r="T1308" s="69"/>
      <c r="U1308" s="69"/>
      <c r="AR1308" s="94">
        <f t="shared" si="142"/>
        <v>0</v>
      </c>
      <c r="AT1308" s="69"/>
      <c r="BC1308" s="69"/>
      <c r="BD1308" s="69"/>
      <c r="CC1308" s="94">
        <f t="shared" si="152"/>
        <v>0</v>
      </c>
      <c r="CD1308" s="73">
        <f t="shared" si="153"/>
        <v>0</v>
      </c>
      <c r="CE1308" s="75">
        <f t="shared" si="146"/>
        <v>164</v>
      </c>
      <c r="CF1308" s="69" t="str">
        <f t="shared" si="146"/>
        <v xml:space="preserve">لاب فقط </v>
      </c>
    </row>
    <row r="1309" spans="1:89" x14ac:dyDescent="0.25">
      <c r="B1309" s="82"/>
      <c r="C1309" s="70">
        <v>165</v>
      </c>
      <c r="E1309" s="107" t="s">
        <v>4049</v>
      </c>
      <c r="T1309" s="69"/>
      <c r="U1309" s="69"/>
      <c r="AD1309" s="69">
        <v>184881.19</v>
      </c>
      <c r="AG1309" s="69">
        <v>15941802.48</v>
      </c>
      <c r="AR1309" s="94">
        <f t="shared" si="142"/>
        <v>16126683.67</v>
      </c>
      <c r="AT1309" s="69"/>
      <c r="AZ1309" s="69">
        <v>16126683.67</v>
      </c>
      <c r="BC1309" s="69"/>
      <c r="BD1309" s="69"/>
      <c r="CC1309" s="94">
        <f t="shared" si="152"/>
        <v>16126683.67</v>
      </c>
      <c r="CD1309" s="73">
        <f t="shared" si="153"/>
        <v>0</v>
      </c>
      <c r="CE1309" s="75">
        <f t="shared" ref="CE1309:CF1310" si="154">+C1309</f>
        <v>165</v>
      </c>
      <c r="CF1309" s="69">
        <f t="shared" si="154"/>
        <v>0</v>
      </c>
    </row>
    <row r="1310" spans="1:89" x14ac:dyDescent="0.25">
      <c r="B1310" s="82"/>
      <c r="C1310" s="70">
        <v>166</v>
      </c>
      <c r="D1310" s="69" t="s">
        <v>332</v>
      </c>
      <c r="E1310" s="107" t="s">
        <v>3533</v>
      </c>
      <c r="T1310" s="69"/>
      <c r="U1310" s="69"/>
      <c r="AR1310" s="94">
        <f t="shared" si="142"/>
        <v>0</v>
      </c>
      <c r="AT1310" s="69"/>
      <c r="BC1310" s="69"/>
      <c r="BD1310" s="69"/>
      <c r="CC1310" s="94">
        <f t="shared" si="152"/>
        <v>0</v>
      </c>
      <c r="CD1310" s="73">
        <f t="shared" si="153"/>
        <v>0</v>
      </c>
      <c r="CE1310" s="75">
        <f t="shared" si="154"/>
        <v>166</v>
      </c>
      <c r="CF1310" s="69" t="str">
        <f t="shared" si="154"/>
        <v xml:space="preserve">لاب فقط </v>
      </c>
    </row>
    <row r="1311" spans="1:89" s="68" customFormat="1" x14ac:dyDescent="0.25">
      <c r="B1311" s="67"/>
      <c r="C1311" s="115"/>
      <c r="D1311" s="87"/>
      <c r="E1311" s="108" t="s">
        <v>4050</v>
      </c>
      <c r="J1311" s="68">
        <f>SUM(J1306:J1310)</f>
        <v>67500</v>
      </c>
      <c r="K1311" s="68">
        <f t="shared" ref="K1311:BV1311" si="155">SUM(K1306:K1310)</f>
        <v>0</v>
      </c>
      <c r="L1311" s="68">
        <f t="shared" si="155"/>
        <v>0</v>
      </c>
      <c r="M1311" s="68">
        <f t="shared" si="155"/>
        <v>0</v>
      </c>
      <c r="N1311" s="68">
        <f t="shared" si="155"/>
        <v>0</v>
      </c>
      <c r="O1311" s="68">
        <f t="shared" si="155"/>
        <v>0</v>
      </c>
      <c r="P1311" s="68">
        <f t="shared" si="155"/>
        <v>0</v>
      </c>
      <c r="Q1311" s="68">
        <f t="shared" si="155"/>
        <v>0</v>
      </c>
      <c r="R1311" s="68">
        <f t="shared" si="155"/>
        <v>0</v>
      </c>
      <c r="S1311" s="68">
        <f t="shared" si="155"/>
        <v>0</v>
      </c>
      <c r="T1311" s="68">
        <f t="shared" si="155"/>
        <v>0</v>
      </c>
      <c r="U1311" s="68">
        <f t="shared" si="155"/>
        <v>0</v>
      </c>
      <c r="V1311" s="68">
        <f t="shared" si="155"/>
        <v>0</v>
      </c>
      <c r="W1311" s="68">
        <f t="shared" si="155"/>
        <v>0</v>
      </c>
      <c r="X1311" s="68">
        <f t="shared" si="155"/>
        <v>0</v>
      </c>
      <c r="Y1311" s="68">
        <f t="shared" si="155"/>
        <v>0</v>
      </c>
      <c r="Z1311" s="68">
        <f t="shared" si="155"/>
        <v>0</v>
      </c>
      <c r="AA1311" s="68">
        <f t="shared" si="155"/>
        <v>0</v>
      </c>
      <c r="AB1311" s="68">
        <f t="shared" si="155"/>
        <v>0</v>
      </c>
      <c r="AC1311" s="68">
        <f t="shared" si="155"/>
        <v>0</v>
      </c>
      <c r="AD1311" s="68">
        <f t="shared" si="155"/>
        <v>16126683.67</v>
      </c>
      <c r="AE1311" s="68">
        <f t="shared" si="155"/>
        <v>6203288.0499999998</v>
      </c>
      <c r="AF1311" s="68">
        <f t="shared" si="155"/>
        <v>1237.24</v>
      </c>
      <c r="AG1311" s="68">
        <f t="shared" si="155"/>
        <v>15941802.48</v>
      </c>
      <c r="AH1311" s="68">
        <f t="shared" si="155"/>
        <v>0</v>
      </c>
      <c r="AI1311" s="68">
        <f t="shared" si="155"/>
        <v>0</v>
      </c>
      <c r="AJ1311" s="68">
        <f t="shared" si="155"/>
        <v>0</v>
      </c>
      <c r="AK1311" s="68">
        <f t="shared" si="155"/>
        <v>0</v>
      </c>
      <c r="AL1311" s="68">
        <f t="shared" si="155"/>
        <v>0</v>
      </c>
      <c r="AM1311" s="68">
        <f t="shared" si="155"/>
        <v>0</v>
      </c>
      <c r="AN1311" s="68">
        <f t="shared" si="155"/>
        <v>0</v>
      </c>
      <c r="AO1311" s="68">
        <f t="shared" si="155"/>
        <v>0</v>
      </c>
      <c r="AP1311" s="68">
        <f t="shared" si="155"/>
        <v>0</v>
      </c>
      <c r="AQ1311" s="68">
        <f t="shared" si="155"/>
        <v>0</v>
      </c>
      <c r="AR1311" s="68">
        <f t="shared" si="155"/>
        <v>38340511.439999998</v>
      </c>
      <c r="AS1311" s="68">
        <f t="shared" si="155"/>
        <v>0</v>
      </c>
      <c r="AT1311" s="68">
        <f t="shared" si="155"/>
        <v>0</v>
      </c>
      <c r="AU1311" s="68">
        <f t="shared" si="155"/>
        <v>0</v>
      </c>
      <c r="AV1311" s="68">
        <f t="shared" si="155"/>
        <v>0</v>
      </c>
      <c r="AW1311" s="68">
        <f t="shared" si="155"/>
        <v>0</v>
      </c>
      <c r="AX1311" s="68">
        <f t="shared" si="155"/>
        <v>0</v>
      </c>
      <c r="AY1311" s="68">
        <f t="shared" si="155"/>
        <v>0</v>
      </c>
      <c r="AZ1311" s="68">
        <f t="shared" si="155"/>
        <v>16126683.67</v>
      </c>
      <c r="BA1311" s="68">
        <f t="shared" si="155"/>
        <v>16964044.830000002</v>
      </c>
      <c r="BB1311" s="68">
        <f t="shared" si="155"/>
        <v>0</v>
      </c>
      <c r="BC1311" s="68">
        <f t="shared" si="155"/>
        <v>0</v>
      </c>
      <c r="BD1311" s="68">
        <f t="shared" si="155"/>
        <v>0</v>
      </c>
      <c r="BE1311" s="68">
        <f t="shared" si="155"/>
        <v>0</v>
      </c>
      <c r="BF1311" s="68">
        <f t="shared" si="155"/>
        <v>0</v>
      </c>
      <c r="BG1311" s="68">
        <f t="shared" si="155"/>
        <v>0</v>
      </c>
      <c r="BH1311" s="68">
        <f t="shared" si="155"/>
        <v>0</v>
      </c>
      <c r="BI1311" s="68">
        <f t="shared" si="155"/>
        <v>0</v>
      </c>
      <c r="BJ1311" s="68">
        <f t="shared" si="155"/>
        <v>0</v>
      </c>
      <c r="BK1311" s="68">
        <f t="shared" si="155"/>
        <v>0</v>
      </c>
      <c r="BL1311" s="68">
        <f t="shared" si="155"/>
        <v>0</v>
      </c>
      <c r="BM1311" s="68">
        <f t="shared" si="155"/>
        <v>0</v>
      </c>
      <c r="BN1311" s="68">
        <f t="shared" si="155"/>
        <v>0</v>
      </c>
      <c r="BO1311" s="68">
        <f t="shared" si="155"/>
        <v>0</v>
      </c>
      <c r="BP1311" s="68">
        <f t="shared" si="155"/>
        <v>0</v>
      </c>
      <c r="BQ1311" s="68">
        <f t="shared" si="155"/>
        <v>0</v>
      </c>
      <c r="BR1311" s="68">
        <f t="shared" si="155"/>
        <v>0</v>
      </c>
      <c r="BS1311" s="68">
        <f t="shared" si="155"/>
        <v>0</v>
      </c>
      <c r="BT1311" s="68">
        <f t="shared" si="155"/>
        <v>0</v>
      </c>
      <c r="BU1311" s="68">
        <f t="shared" si="155"/>
        <v>0</v>
      </c>
      <c r="BV1311" s="68">
        <f t="shared" si="155"/>
        <v>0</v>
      </c>
      <c r="BW1311" s="68">
        <f t="shared" ref="BW1311:CK1311" si="156">SUM(BW1306:BW1310)</f>
        <v>0</v>
      </c>
      <c r="BX1311" s="68">
        <f t="shared" si="156"/>
        <v>0</v>
      </c>
      <c r="BY1311" s="68">
        <f t="shared" si="156"/>
        <v>0</v>
      </c>
      <c r="BZ1311" s="68">
        <f t="shared" si="156"/>
        <v>0</v>
      </c>
      <c r="CA1311" s="68">
        <f t="shared" si="156"/>
        <v>0</v>
      </c>
      <c r="CB1311" s="68">
        <f t="shared" si="156"/>
        <v>5249782.9400000004</v>
      </c>
      <c r="CC1311" s="68">
        <f t="shared" si="156"/>
        <v>38340511.439999998</v>
      </c>
      <c r="CD1311" s="68">
        <f t="shared" si="156"/>
        <v>0</v>
      </c>
      <c r="CF1311" s="68">
        <f t="shared" si="156"/>
        <v>0</v>
      </c>
      <c r="CG1311" s="68">
        <f t="shared" si="156"/>
        <v>0</v>
      </c>
      <c r="CH1311" s="68">
        <f t="shared" si="156"/>
        <v>0</v>
      </c>
      <c r="CI1311" s="68">
        <f t="shared" si="156"/>
        <v>0</v>
      </c>
      <c r="CJ1311" s="68">
        <f t="shared" si="156"/>
        <v>0</v>
      </c>
      <c r="CK1311" s="68">
        <f t="shared" si="156"/>
        <v>0</v>
      </c>
    </row>
  </sheetData>
  <autoFilter ref="D2:D1311" xr:uid="{548A765F-B0F3-4779-B64E-75E6D440CAB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6BE83-AB2F-4DA6-9719-EEA85FE3A40F}">
  <dimension ref="A2:CV1272"/>
  <sheetViews>
    <sheetView rightToLeft="1" workbookViewId="0">
      <selection activeCell="D1" sqref="D1:D1048576"/>
    </sheetView>
  </sheetViews>
  <sheetFormatPr defaultColWidth="9.140625" defaultRowHeight="18" x14ac:dyDescent="0.25"/>
  <cols>
    <col min="1" max="1" width="16" style="152" customWidth="1"/>
    <col min="2" max="2" width="11.7109375" style="75" customWidth="1"/>
    <col min="3" max="3" width="8.85546875" style="169" customWidth="1"/>
    <col min="4" max="4" width="15.28515625" style="152" customWidth="1"/>
    <col min="5" max="5" width="43.28515625" style="152" customWidth="1"/>
    <col min="6" max="6" width="13.85546875" style="143" customWidth="1"/>
    <col min="7" max="7" width="13" style="152" customWidth="1"/>
    <col min="8" max="8" width="14.5703125" style="152" customWidth="1"/>
    <col min="9" max="9" width="15.5703125" style="152" customWidth="1"/>
    <col min="10" max="10" width="13.28515625" style="152" customWidth="1"/>
    <col min="11" max="12" width="12.85546875" style="152" customWidth="1"/>
    <col min="13" max="13" width="14.28515625" style="152" customWidth="1"/>
    <col min="14" max="15" width="11.5703125" style="152" customWidth="1"/>
    <col min="16" max="16" width="15" style="152" customWidth="1"/>
    <col min="17" max="17" width="13.140625" style="152" customWidth="1"/>
    <col min="18" max="18" width="15.5703125" style="152" customWidth="1"/>
    <col min="19" max="19" width="11.7109375" style="152" customWidth="1"/>
    <col min="20" max="20" width="14.85546875" style="152" customWidth="1"/>
    <col min="21" max="21" width="14.7109375" style="161" customWidth="1"/>
    <col min="22" max="22" width="8.42578125" style="161" customWidth="1"/>
    <col min="23" max="23" width="11.42578125" style="152" customWidth="1"/>
    <col min="24" max="24" width="13" style="152" customWidth="1"/>
    <col min="25" max="25" width="12.85546875" style="152" customWidth="1"/>
    <col min="26" max="26" width="14.42578125" style="152" customWidth="1"/>
    <col min="27" max="27" width="16.5703125" style="152" customWidth="1"/>
    <col min="28" max="28" width="14.85546875" style="152" customWidth="1"/>
    <col min="29" max="29" width="14.28515625" style="152" customWidth="1"/>
    <col min="30" max="30" width="12.28515625" style="152" customWidth="1"/>
    <col min="31" max="31" width="15.7109375" style="152" customWidth="1"/>
    <col min="32" max="32" width="16" style="152" customWidth="1"/>
    <col min="33" max="33" width="10.140625" style="152" customWidth="1"/>
    <col min="34" max="34" width="15.42578125" style="152" customWidth="1"/>
    <col min="35" max="35" width="10.140625" style="152" customWidth="1"/>
    <col min="36" max="36" width="11.5703125" style="152" customWidth="1"/>
    <col min="37" max="40" width="10.140625" style="152" customWidth="1"/>
    <col min="41" max="41" width="12.5703125" style="152" customWidth="1"/>
    <col min="42" max="42" width="15" style="152" customWidth="1"/>
    <col min="43" max="43" width="11.42578125" style="152" customWidth="1"/>
    <col min="44" max="44" width="16.5703125" style="145" customWidth="1"/>
    <col min="45" max="45" width="14.5703125" style="152" customWidth="1"/>
    <col min="46" max="46" width="12.42578125" style="161" customWidth="1"/>
    <col min="47" max="47" width="11.85546875" style="152" customWidth="1"/>
    <col min="48" max="48" width="13.28515625" style="152" customWidth="1"/>
    <col min="49" max="49" width="11" style="152" customWidth="1"/>
    <col min="50" max="50" width="10.42578125" style="152" customWidth="1"/>
    <col min="51" max="51" width="16" style="152" customWidth="1"/>
    <col min="52" max="52" width="15.42578125" style="152" customWidth="1"/>
    <col min="53" max="53" width="10.140625" style="152" customWidth="1"/>
    <col min="54" max="54" width="12.140625" style="152" customWidth="1"/>
    <col min="55" max="56" width="18.140625" style="144" customWidth="1"/>
    <col min="57" max="57" width="12.5703125" style="144" customWidth="1"/>
    <col min="58" max="58" width="15" style="152" customWidth="1"/>
    <col min="59" max="59" width="9.140625" style="152"/>
    <col min="60" max="60" width="10" style="152" customWidth="1"/>
    <col min="61" max="61" width="9.42578125" style="152" customWidth="1"/>
    <col min="62" max="62" width="10.28515625" style="152" customWidth="1"/>
    <col min="63" max="63" width="11.28515625" style="152" customWidth="1"/>
    <col min="64" max="64" width="10.42578125" style="152" customWidth="1"/>
    <col min="65" max="65" width="11.28515625" style="152" customWidth="1"/>
    <col min="66" max="66" width="12.42578125" style="152" customWidth="1"/>
    <col min="67" max="67" width="12.140625" style="152" customWidth="1"/>
    <col min="68" max="68" width="10.28515625" style="152" customWidth="1"/>
    <col min="69" max="69" width="13.42578125" style="152" customWidth="1"/>
    <col min="70" max="70" width="14.42578125" style="152" customWidth="1"/>
    <col min="71" max="71" width="12.42578125" style="152" customWidth="1"/>
    <col min="72" max="73" width="9.140625" style="152"/>
    <col min="74" max="74" width="16" style="152" customWidth="1"/>
    <col min="75" max="77" width="9.140625" style="152"/>
    <col min="78" max="78" width="10.85546875" style="152" customWidth="1"/>
    <col min="79" max="80" width="9.140625" style="152"/>
    <col min="81" max="81" width="13.42578125" style="152" customWidth="1"/>
    <col min="82" max="82" width="16.140625" style="152" customWidth="1"/>
    <col min="83" max="83" width="17.85546875" style="145" customWidth="1"/>
    <col min="84" max="84" width="12.42578125" style="152" customWidth="1"/>
    <col min="85" max="85" width="12.85546875" style="75" customWidth="1"/>
    <col min="86" max="86" width="12.5703125" style="69" customWidth="1"/>
    <col min="87" max="88" width="9.140625" style="152"/>
    <col min="89" max="89" width="11" style="152" customWidth="1"/>
    <col min="90" max="16384" width="9.140625" style="152"/>
  </cols>
  <sheetData>
    <row r="2" spans="1:87" s="52" customFormat="1" ht="36" customHeight="1" x14ac:dyDescent="0.25">
      <c r="A2" s="132"/>
      <c r="C2" s="133"/>
      <c r="D2" s="69"/>
      <c r="F2" s="53"/>
      <c r="G2" s="54" t="s">
        <v>1</v>
      </c>
      <c r="H2" s="54" t="s">
        <v>2</v>
      </c>
      <c r="I2" s="54" t="s">
        <v>3</v>
      </c>
      <c r="J2" s="54" t="s">
        <v>4</v>
      </c>
      <c r="K2" s="54" t="s">
        <v>5</v>
      </c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90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6"/>
      <c r="BD2" s="56"/>
      <c r="BE2" s="56"/>
      <c r="BP2" s="52" t="s">
        <v>6</v>
      </c>
      <c r="CE2" s="91"/>
      <c r="CF2" s="132"/>
      <c r="CG2" s="58"/>
      <c r="CI2" s="133"/>
    </row>
    <row r="3" spans="1:87" s="56" customFormat="1" ht="72" customHeight="1" x14ac:dyDescent="0.25">
      <c r="A3" s="132" t="s">
        <v>7</v>
      </c>
      <c r="B3" s="59" t="s">
        <v>8</v>
      </c>
      <c r="C3" s="134" t="s">
        <v>9</v>
      </c>
      <c r="D3" s="99" t="s">
        <v>10</v>
      </c>
      <c r="E3" s="60" t="s">
        <v>11</v>
      </c>
      <c r="F3" s="53" t="s">
        <v>12</v>
      </c>
      <c r="G3" s="54" t="s">
        <v>13</v>
      </c>
      <c r="H3" s="54" t="s">
        <v>14</v>
      </c>
      <c r="I3" s="54" t="s">
        <v>15</v>
      </c>
      <c r="J3" s="54" t="s">
        <v>16</v>
      </c>
      <c r="K3" s="54" t="s">
        <v>17</v>
      </c>
      <c r="L3" s="54" t="s">
        <v>18</v>
      </c>
      <c r="M3" s="54" t="s">
        <v>19</v>
      </c>
      <c r="N3" s="54" t="s">
        <v>20</v>
      </c>
      <c r="O3" s="54" t="s">
        <v>64</v>
      </c>
      <c r="P3" s="54" t="s">
        <v>21</v>
      </c>
      <c r="Q3" s="54" t="s">
        <v>22</v>
      </c>
      <c r="R3" s="54" t="s">
        <v>23</v>
      </c>
      <c r="S3" s="54" t="s">
        <v>24</v>
      </c>
      <c r="T3" s="54" t="s">
        <v>25</v>
      </c>
      <c r="U3" s="54" t="s">
        <v>26</v>
      </c>
      <c r="V3" s="54" t="s">
        <v>27</v>
      </c>
      <c r="W3" s="54" t="s">
        <v>28</v>
      </c>
      <c r="X3" s="54" t="s">
        <v>29</v>
      </c>
      <c r="Y3" s="54" t="s">
        <v>30</v>
      </c>
      <c r="Z3" s="54" t="s">
        <v>31</v>
      </c>
      <c r="AA3" s="54" t="s">
        <v>32</v>
      </c>
      <c r="AB3" s="54" t="s">
        <v>33</v>
      </c>
      <c r="AC3" s="54" t="s">
        <v>34</v>
      </c>
      <c r="AD3" s="54" t="s">
        <v>35</v>
      </c>
      <c r="AE3" s="54" t="s">
        <v>36</v>
      </c>
      <c r="AF3" s="54" t="s">
        <v>37</v>
      </c>
      <c r="AG3" s="54" t="s">
        <v>38</v>
      </c>
      <c r="AH3" s="54" t="s">
        <v>39</v>
      </c>
      <c r="AI3" s="54" t="s">
        <v>40</v>
      </c>
      <c r="AJ3" s="54" t="s">
        <v>41</v>
      </c>
      <c r="AK3" s="54" t="s">
        <v>42</v>
      </c>
      <c r="AL3" s="54" t="s">
        <v>43</v>
      </c>
      <c r="AM3" s="54" t="s">
        <v>44</v>
      </c>
      <c r="AN3" s="54" t="s">
        <v>45</v>
      </c>
      <c r="AO3" s="54" t="s">
        <v>46</v>
      </c>
      <c r="AP3" s="54" t="s">
        <v>47</v>
      </c>
      <c r="AQ3" s="54" t="s">
        <v>48</v>
      </c>
      <c r="AR3" s="90" t="s">
        <v>50</v>
      </c>
      <c r="AS3" s="54" t="s">
        <v>51</v>
      </c>
      <c r="AT3" s="54" t="s">
        <v>52</v>
      </c>
      <c r="AU3" s="54" t="s">
        <v>25</v>
      </c>
      <c r="AV3" s="54" t="s">
        <v>53</v>
      </c>
      <c r="AW3" s="54" t="s">
        <v>54</v>
      </c>
      <c r="AX3" s="54" t="s">
        <v>55</v>
      </c>
      <c r="AY3" s="54" t="s">
        <v>37</v>
      </c>
      <c r="AZ3" s="54" t="s">
        <v>39</v>
      </c>
      <c r="BA3" s="54" t="s">
        <v>56</v>
      </c>
      <c r="BB3" s="54" t="s">
        <v>57</v>
      </c>
      <c r="BC3" s="56" t="s">
        <v>58</v>
      </c>
      <c r="BD3" s="56" t="s">
        <v>59</v>
      </c>
      <c r="BE3" s="56" t="s">
        <v>3080</v>
      </c>
      <c r="BF3" s="56" t="s">
        <v>31</v>
      </c>
      <c r="BG3" s="56" t="s">
        <v>60</v>
      </c>
      <c r="BH3" s="56" t="s">
        <v>27</v>
      </c>
      <c r="BI3" s="56" t="s">
        <v>61</v>
      </c>
      <c r="BJ3" s="56" t="s">
        <v>62</v>
      </c>
      <c r="BK3" s="56" t="s">
        <v>24</v>
      </c>
      <c r="BL3" s="56" t="s">
        <v>63</v>
      </c>
      <c r="BM3" s="56" t="s">
        <v>64</v>
      </c>
      <c r="BN3" s="56" t="s">
        <v>18</v>
      </c>
      <c r="BO3" s="56" t="s">
        <v>19</v>
      </c>
      <c r="BP3" s="56" t="s">
        <v>65</v>
      </c>
      <c r="BQ3" s="56" t="s">
        <v>21</v>
      </c>
      <c r="BR3" s="56" t="s">
        <v>66</v>
      </c>
      <c r="BS3" s="56" t="s">
        <v>67</v>
      </c>
      <c r="BT3" s="56" t="s">
        <v>40</v>
      </c>
      <c r="BU3" s="56" t="s">
        <v>68</v>
      </c>
      <c r="BV3" s="56" t="s">
        <v>69</v>
      </c>
      <c r="BW3" s="56" t="s">
        <v>41</v>
      </c>
      <c r="BX3" s="56" t="s">
        <v>70</v>
      </c>
      <c r="BY3" s="56" t="s">
        <v>71</v>
      </c>
      <c r="BZ3" s="56" t="s">
        <v>72</v>
      </c>
      <c r="CA3" s="56" t="s">
        <v>46</v>
      </c>
      <c r="CB3" s="56" t="s">
        <v>73</v>
      </c>
      <c r="CC3" s="56" t="s">
        <v>74</v>
      </c>
      <c r="CD3" s="56" t="s">
        <v>75</v>
      </c>
      <c r="CE3" s="92" t="s">
        <v>76</v>
      </c>
      <c r="CF3" s="135" t="s">
        <v>77</v>
      </c>
      <c r="CG3" s="62" t="str">
        <f>+C3</f>
        <v>رقم 224</v>
      </c>
      <c r="CH3" s="56" t="str">
        <f>+D3</f>
        <v>الصندوق</v>
      </c>
      <c r="CI3" s="136"/>
    </row>
    <row r="4" spans="1:87" s="143" customFormat="1" ht="15" customHeight="1" x14ac:dyDescent="0.25">
      <c r="A4" s="137"/>
      <c r="B4" s="64"/>
      <c r="C4" s="138"/>
      <c r="D4" s="139" t="s">
        <v>78</v>
      </c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1"/>
      <c r="AS4" s="140"/>
      <c r="AT4" s="142"/>
      <c r="AU4" s="140"/>
      <c r="AV4" s="140"/>
      <c r="AW4" s="140"/>
      <c r="AX4" s="140"/>
      <c r="AY4" s="140"/>
      <c r="AZ4" s="140"/>
      <c r="BA4" s="140"/>
      <c r="BC4" s="144"/>
      <c r="BD4" s="144"/>
      <c r="BE4" s="144"/>
      <c r="CE4" s="145"/>
      <c r="CG4" s="64"/>
      <c r="CH4" s="63"/>
    </row>
    <row r="5" spans="1:87" s="143" customFormat="1" x14ac:dyDescent="0.25">
      <c r="A5" s="146"/>
      <c r="B5" s="64"/>
      <c r="C5" s="147"/>
      <c r="D5" s="69" t="s">
        <v>128</v>
      </c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140"/>
      <c r="V5" s="140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91"/>
      <c r="AS5" s="63"/>
      <c r="AT5" s="52"/>
      <c r="AU5" s="63"/>
      <c r="AV5" s="63"/>
      <c r="AW5" s="63"/>
      <c r="AX5" s="63"/>
      <c r="AY5" s="63"/>
      <c r="AZ5" s="63"/>
      <c r="BA5" s="63"/>
      <c r="BC5" s="144"/>
      <c r="BD5" s="144"/>
      <c r="BE5" s="144"/>
      <c r="CE5" s="145"/>
      <c r="CG5" s="64"/>
      <c r="CH5" s="63"/>
    </row>
    <row r="6" spans="1:87" s="143" customFormat="1" x14ac:dyDescent="0.25">
      <c r="A6" s="146"/>
      <c r="B6" s="64"/>
      <c r="C6" s="147"/>
      <c r="D6" s="69" t="s">
        <v>130</v>
      </c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140"/>
      <c r="V6" s="140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91"/>
      <c r="AS6" s="63"/>
      <c r="AT6" s="52"/>
      <c r="AU6" s="63"/>
      <c r="AV6" s="63"/>
      <c r="AW6" s="63"/>
      <c r="AX6" s="63"/>
      <c r="AY6" s="63"/>
      <c r="AZ6" s="63"/>
      <c r="BA6" s="63"/>
      <c r="BC6" s="144"/>
      <c r="BD6" s="144"/>
      <c r="BE6" s="144"/>
      <c r="CE6" s="145"/>
      <c r="CG6" s="64"/>
      <c r="CH6" s="63"/>
    </row>
    <row r="7" spans="1:87" s="143" customFormat="1" x14ac:dyDescent="0.25">
      <c r="A7" s="146"/>
      <c r="B7" s="64"/>
      <c r="C7" s="147"/>
      <c r="D7" s="69" t="s">
        <v>724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140"/>
      <c r="V7" s="140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91"/>
      <c r="AS7" s="63"/>
      <c r="AT7" s="52"/>
      <c r="AU7" s="63"/>
      <c r="AV7" s="63"/>
      <c r="AW7" s="63"/>
      <c r="AX7" s="63"/>
      <c r="AY7" s="63"/>
      <c r="AZ7" s="63"/>
      <c r="BA7" s="63"/>
      <c r="BC7" s="144"/>
      <c r="BD7" s="144"/>
      <c r="BE7" s="144"/>
      <c r="CE7" s="145"/>
      <c r="CG7" s="64"/>
      <c r="CH7" s="63"/>
    </row>
    <row r="8" spans="1:87" s="143" customFormat="1" x14ac:dyDescent="0.25">
      <c r="A8" s="146"/>
      <c r="B8" s="64"/>
      <c r="C8" s="147"/>
      <c r="D8" s="69" t="s">
        <v>725</v>
      </c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140"/>
      <c r="V8" s="140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91"/>
      <c r="AS8" s="63"/>
      <c r="AT8" s="52"/>
      <c r="AU8" s="63"/>
      <c r="AV8" s="63"/>
      <c r="AW8" s="63"/>
      <c r="AX8" s="63"/>
      <c r="AY8" s="63"/>
      <c r="AZ8" s="63"/>
      <c r="BA8" s="63"/>
      <c r="BC8" s="144"/>
      <c r="BD8" s="144"/>
      <c r="BE8" s="144"/>
      <c r="CE8" s="145"/>
      <c r="CG8" s="64"/>
      <c r="CH8" s="63"/>
    </row>
    <row r="9" spans="1:87" s="143" customFormat="1" x14ac:dyDescent="0.25">
      <c r="A9" s="146"/>
      <c r="B9" s="64"/>
      <c r="C9" s="147"/>
      <c r="D9" s="69" t="s">
        <v>726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140"/>
      <c r="V9" s="140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91"/>
      <c r="AS9" s="63"/>
      <c r="AT9" s="52"/>
      <c r="AU9" s="63"/>
      <c r="AV9" s="63"/>
      <c r="AW9" s="63"/>
      <c r="AX9" s="63"/>
      <c r="AY9" s="63"/>
      <c r="AZ9" s="63"/>
      <c r="BA9" s="63"/>
      <c r="BC9" s="144"/>
      <c r="BD9" s="144"/>
      <c r="BE9" s="144"/>
      <c r="CE9" s="145"/>
      <c r="CG9" s="64"/>
      <c r="CH9" s="63"/>
    </row>
    <row r="10" spans="1:87" s="143" customFormat="1" x14ac:dyDescent="0.25">
      <c r="A10" s="146"/>
      <c r="B10" s="64"/>
      <c r="C10" s="147"/>
      <c r="D10" s="69" t="s">
        <v>121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140"/>
      <c r="V10" s="140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91"/>
      <c r="AS10" s="63"/>
      <c r="AT10" s="52"/>
      <c r="AU10" s="63"/>
      <c r="AV10" s="63"/>
      <c r="AW10" s="63"/>
      <c r="AX10" s="63"/>
      <c r="AY10" s="63"/>
      <c r="AZ10" s="63"/>
      <c r="BA10" s="63"/>
      <c r="BC10" s="144"/>
      <c r="BD10" s="144"/>
      <c r="BE10" s="144"/>
      <c r="CE10" s="145"/>
      <c r="CG10" s="64"/>
      <c r="CH10" s="63"/>
    </row>
    <row r="11" spans="1:87" s="143" customFormat="1" x14ac:dyDescent="0.25">
      <c r="A11" s="146"/>
      <c r="B11" s="64"/>
      <c r="C11" s="147"/>
      <c r="D11" s="69" t="s">
        <v>123</v>
      </c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140"/>
      <c r="V11" s="140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91"/>
      <c r="AS11" s="63"/>
      <c r="AT11" s="52"/>
      <c r="AU11" s="63"/>
      <c r="AV11" s="63"/>
      <c r="AW11" s="63"/>
      <c r="AX11" s="63"/>
      <c r="AY11" s="63"/>
      <c r="AZ11" s="63"/>
      <c r="BA11" s="63"/>
      <c r="BC11" s="144"/>
      <c r="BD11" s="144"/>
      <c r="BE11" s="144"/>
      <c r="CE11" s="145"/>
      <c r="CG11" s="64"/>
      <c r="CH11" s="63"/>
    </row>
    <row r="12" spans="1:87" s="143" customFormat="1" x14ac:dyDescent="0.25">
      <c r="A12" s="146"/>
      <c r="B12" s="64"/>
      <c r="C12" s="147"/>
      <c r="D12" s="69" t="s">
        <v>122</v>
      </c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140"/>
      <c r="V12" s="140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91"/>
      <c r="AS12" s="63"/>
      <c r="AT12" s="52"/>
      <c r="AU12" s="63"/>
      <c r="AV12" s="63"/>
      <c r="AW12" s="63"/>
      <c r="AX12" s="63"/>
      <c r="AY12" s="63"/>
      <c r="AZ12" s="63"/>
      <c r="BA12" s="63"/>
      <c r="BC12" s="144"/>
      <c r="BD12" s="144"/>
      <c r="BE12" s="144"/>
      <c r="CE12" s="145"/>
      <c r="CG12" s="64"/>
      <c r="CH12" s="63"/>
    </row>
    <row r="13" spans="1:87" s="143" customFormat="1" x14ac:dyDescent="0.25">
      <c r="A13" s="146"/>
      <c r="B13" s="64"/>
      <c r="C13" s="147"/>
      <c r="D13" s="69" t="s">
        <v>137</v>
      </c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140"/>
      <c r="V13" s="140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91"/>
      <c r="AS13" s="63"/>
      <c r="AT13" s="52"/>
      <c r="AU13" s="63"/>
      <c r="AV13" s="63"/>
      <c r="AW13" s="63"/>
      <c r="AX13" s="63"/>
      <c r="AY13" s="63"/>
      <c r="AZ13" s="63"/>
      <c r="BA13" s="63"/>
      <c r="BC13" s="144"/>
      <c r="BD13" s="144"/>
      <c r="BE13" s="144"/>
      <c r="CE13" s="145"/>
      <c r="CG13" s="64"/>
      <c r="CH13" s="63"/>
    </row>
    <row r="14" spans="1:87" s="143" customFormat="1" x14ac:dyDescent="0.25">
      <c r="A14" s="146"/>
      <c r="B14" s="64"/>
      <c r="C14" s="147"/>
      <c r="D14" s="69" t="s">
        <v>125</v>
      </c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140"/>
      <c r="V14" s="140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91"/>
      <c r="AS14" s="63"/>
      <c r="AT14" s="52"/>
      <c r="AU14" s="63"/>
      <c r="AV14" s="63"/>
      <c r="AW14" s="63"/>
      <c r="AX14" s="63"/>
      <c r="AY14" s="63"/>
      <c r="AZ14" s="63"/>
      <c r="BA14" s="63"/>
      <c r="BC14" s="144"/>
      <c r="BD14" s="144"/>
      <c r="BE14" s="144"/>
      <c r="CE14" s="145"/>
      <c r="CG14" s="64"/>
      <c r="CH14" s="63"/>
    </row>
    <row r="15" spans="1:87" s="143" customFormat="1" x14ac:dyDescent="0.25">
      <c r="A15" s="146"/>
      <c r="B15" s="64"/>
      <c r="C15" s="147"/>
      <c r="D15" s="69" t="s">
        <v>727</v>
      </c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140"/>
      <c r="V15" s="140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91"/>
      <c r="AS15" s="63"/>
      <c r="AT15" s="52"/>
      <c r="AU15" s="63"/>
      <c r="AV15" s="63"/>
      <c r="AW15" s="63"/>
      <c r="AX15" s="63"/>
      <c r="AY15" s="63"/>
      <c r="AZ15" s="63"/>
      <c r="BA15" s="63"/>
      <c r="BC15" s="144"/>
      <c r="BD15" s="144"/>
      <c r="BE15" s="144"/>
      <c r="CE15" s="145"/>
      <c r="CG15" s="64"/>
      <c r="CH15" s="63"/>
    </row>
    <row r="16" spans="1:87" s="143" customFormat="1" x14ac:dyDescent="0.25">
      <c r="A16" s="146"/>
      <c r="B16" s="64"/>
      <c r="C16" s="147"/>
      <c r="D16" s="69" t="s">
        <v>728</v>
      </c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140"/>
      <c r="V16" s="140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91"/>
      <c r="AS16" s="63"/>
      <c r="AT16" s="52"/>
      <c r="AU16" s="63"/>
      <c r="AV16" s="63"/>
      <c r="AW16" s="63"/>
      <c r="AX16" s="63"/>
      <c r="AY16" s="63"/>
      <c r="AZ16" s="63"/>
      <c r="BA16" s="63"/>
      <c r="BC16" s="144"/>
      <c r="BD16" s="144"/>
      <c r="BE16" s="144"/>
      <c r="CE16" s="145"/>
      <c r="CG16" s="64"/>
      <c r="CH16" s="63"/>
    </row>
    <row r="17" spans="1:86" s="143" customFormat="1" x14ac:dyDescent="0.25">
      <c r="A17" s="146"/>
      <c r="B17" s="64"/>
      <c r="C17" s="147"/>
      <c r="D17" s="69" t="s">
        <v>124</v>
      </c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140"/>
      <c r="V17" s="140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91"/>
      <c r="AS17" s="63"/>
      <c r="AT17" s="52"/>
      <c r="AU17" s="63"/>
      <c r="AV17" s="63"/>
      <c r="AW17" s="63"/>
      <c r="AX17" s="63"/>
      <c r="AY17" s="63"/>
      <c r="AZ17" s="63"/>
      <c r="BA17" s="63"/>
      <c r="BC17" s="144"/>
      <c r="BD17" s="144"/>
      <c r="BE17" s="144"/>
      <c r="CE17" s="145"/>
      <c r="CG17" s="64"/>
      <c r="CH17" s="63"/>
    </row>
    <row r="18" spans="1:86" s="143" customFormat="1" x14ac:dyDescent="0.25">
      <c r="A18" s="146"/>
      <c r="B18" s="64"/>
      <c r="C18" s="147"/>
      <c r="D18" s="69" t="s">
        <v>132</v>
      </c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140"/>
      <c r="V18" s="140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91"/>
      <c r="AS18" s="63"/>
      <c r="AT18" s="52"/>
      <c r="AU18" s="63"/>
      <c r="AV18" s="63"/>
      <c r="AW18" s="63"/>
      <c r="AX18" s="63"/>
      <c r="AY18" s="63"/>
      <c r="AZ18" s="63"/>
      <c r="BA18" s="63"/>
      <c r="BC18" s="144"/>
      <c r="BD18" s="144"/>
      <c r="BE18" s="144"/>
      <c r="CE18" s="145"/>
      <c r="CG18" s="64"/>
      <c r="CH18" s="63"/>
    </row>
    <row r="19" spans="1:86" s="143" customFormat="1" x14ac:dyDescent="0.25">
      <c r="A19" s="146"/>
      <c r="B19" s="64"/>
      <c r="C19" s="147"/>
      <c r="D19" s="69" t="s">
        <v>119</v>
      </c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140"/>
      <c r="V19" s="140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91"/>
      <c r="AS19" s="63"/>
      <c r="AT19" s="52"/>
      <c r="AU19" s="63"/>
      <c r="AV19" s="63"/>
      <c r="AW19" s="63"/>
      <c r="AX19" s="63"/>
      <c r="AY19" s="63"/>
      <c r="AZ19" s="63"/>
      <c r="BA19" s="63"/>
      <c r="BC19" s="144"/>
      <c r="BD19" s="144"/>
      <c r="BE19" s="144"/>
      <c r="CE19" s="145"/>
      <c r="CG19" s="64"/>
      <c r="CH19" s="63"/>
    </row>
    <row r="20" spans="1:86" s="143" customFormat="1" x14ac:dyDescent="0.25">
      <c r="A20" s="146"/>
      <c r="B20" s="64"/>
      <c r="C20" s="147"/>
      <c r="D20" s="69" t="s">
        <v>729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140"/>
      <c r="V20" s="140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91"/>
      <c r="AS20" s="63"/>
      <c r="AT20" s="52"/>
      <c r="AU20" s="63"/>
      <c r="AV20" s="63"/>
      <c r="AW20" s="63"/>
      <c r="AX20" s="63"/>
      <c r="AY20" s="63"/>
      <c r="AZ20" s="63"/>
      <c r="BA20" s="63"/>
      <c r="BC20" s="144"/>
      <c r="BD20" s="144"/>
      <c r="BE20" s="144"/>
      <c r="CE20" s="145"/>
      <c r="CG20" s="64"/>
      <c r="CH20" s="63"/>
    </row>
    <row r="21" spans="1:86" s="143" customFormat="1" x14ac:dyDescent="0.25">
      <c r="A21" s="146"/>
      <c r="B21" s="64"/>
      <c r="C21" s="147"/>
      <c r="D21" s="69" t="s">
        <v>730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140"/>
      <c r="V21" s="140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91"/>
      <c r="AS21" s="63"/>
      <c r="AT21" s="52"/>
      <c r="AU21" s="63"/>
      <c r="AV21" s="63"/>
      <c r="AW21" s="63"/>
      <c r="AX21" s="63"/>
      <c r="AY21" s="63"/>
      <c r="AZ21" s="63"/>
      <c r="BA21" s="63"/>
      <c r="BC21" s="144"/>
      <c r="BD21" s="144"/>
      <c r="BE21" s="144"/>
      <c r="CE21" s="145"/>
      <c r="CG21" s="64"/>
      <c r="CH21" s="63"/>
    </row>
    <row r="22" spans="1:86" s="143" customFormat="1" x14ac:dyDescent="0.25">
      <c r="A22" s="146"/>
      <c r="B22" s="64"/>
      <c r="C22" s="147"/>
      <c r="D22" s="69" t="s">
        <v>731</v>
      </c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140"/>
      <c r="V22" s="140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91"/>
      <c r="AS22" s="63"/>
      <c r="AT22" s="52"/>
      <c r="AU22" s="63"/>
      <c r="AV22" s="63"/>
      <c r="AW22" s="63"/>
      <c r="AX22" s="63"/>
      <c r="AY22" s="63"/>
      <c r="AZ22" s="63"/>
      <c r="BA22" s="63"/>
      <c r="BC22" s="144"/>
      <c r="BD22" s="144"/>
      <c r="BE22" s="144"/>
      <c r="CE22" s="145"/>
      <c r="CG22" s="64"/>
      <c r="CH22" s="63"/>
    </row>
    <row r="23" spans="1:86" s="143" customFormat="1" x14ac:dyDescent="0.25">
      <c r="A23" s="146"/>
      <c r="B23" s="64"/>
      <c r="C23" s="147"/>
      <c r="D23" s="69" t="s">
        <v>116</v>
      </c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140"/>
      <c r="V23" s="140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91"/>
      <c r="AS23" s="63"/>
      <c r="AT23" s="52"/>
      <c r="AU23" s="63"/>
      <c r="AV23" s="63"/>
      <c r="AW23" s="63"/>
      <c r="AX23" s="63"/>
      <c r="AY23" s="63"/>
      <c r="AZ23" s="63"/>
      <c r="BA23" s="63"/>
      <c r="BC23" s="144"/>
      <c r="BD23" s="144"/>
      <c r="BE23" s="144"/>
      <c r="CE23" s="145"/>
      <c r="CG23" s="64"/>
      <c r="CH23" s="63"/>
    </row>
    <row r="24" spans="1:86" s="143" customFormat="1" x14ac:dyDescent="0.25">
      <c r="A24" s="146"/>
      <c r="B24" s="64"/>
      <c r="C24" s="147"/>
      <c r="D24" s="69" t="s">
        <v>732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140"/>
      <c r="V24" s="140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91"/>
      <c r="AS24" s="63"/>
      <c r="AT24" s="52"/>
      <c r="AU24" s="63"/>
      <c r="AV24" s="63"/>
      <c r="AW24" s="63"/>
      <c r="AX24" s="63"/>
      <c r="AY24" s="63"/>
      <c r="AZ24" s="63"/>
      <c r="BA24" s="63"/>
      <c r="BC24" s="144"/>
      <c r="BD24" s="144"/>
      <c r="BE24" s="144"/>
      <c r="CE24" s="145"/>
      <c r="CG24" s="64"/>
      <c r="CH24" s="63"/>
    </row>
    <row r="25" spans="1:86" s="143" customFormat="1" x14ac:dyDescent="0.25">
      <c r="A25" s="146"/>
      <c r="B25" s="64"/>
      <c r="C25" s="147"/>
      <c r="D25" s="69" t="s">
        <v>733</v>
      </c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140"/>
      <c r="V25" s="140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91"/>
      <c r="AS25" s="63"/>
      <c r="AT25" s="52"/>
      <c r="AU25" s="63"/>
      <c r="AV25" s="63"/>
      <c r="AW25" s="63"/>
      <c r="AX25" s="63"/>
      <c r="AY25" s="63"/>
      <c r="AZ25" s="63"/>
      <c r="BA25" s="63"/>
      <c r="BC25" s="144"/>
      <c r="BD25" s="144"/>
      <c r="BE25" s="144"/>
      <c r="CE25" s="145"/>
      <c r="CG25" s="64"/>
      <c r="CH25" s="63"/>
    </row>
    <row r="26" spans="1:86" ht="18.75" x14ac:dyDescent="0.25">
      <c r="A26" s="148"/>
      <c r="B26" s="70">
        <v>3153</v>
      </c>
      <c r="C26" s="149">
        <v>3884</v>
      </c>
      <c r="D26" s="71"/>
      <c r="E26" s="150" t="s">
        <v>3081</v>
      </c>
      <c r="F26" s="63" t="s">
        <v>220</v>
      </c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>
        <v>633.20000000000005</v>
      </c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94">
        <f t="shared" ref="AR26:AR90" si="0">SUM(G26:AQ26)</f>
        <v>633.20000000000005</v>
      </c>
      <c r="AS26" s="73">
        <v>633.20000000000005</v>
      </c>
      <c r="AT26" s="73"/>
      <c r="AU26" s="73"/>
      <c r="AV26" s="73"/>
      <c r="AW26" s="73"/>
      <c r="AX26" s="73"/>
      <c r="AY26" s="73"/>
      <c r="AZ26" s="73"/>
      <c r="BA26" s="73"/>
      <c r="BB26" s="73"/>
      <c r="BC26" s="69"/>
      <c r="BD26" s="69"/>
      <c r="BE26" s="69"/>
      <c r="BF26" s="69"/>
      <c r="BG26" s="69"/>
      <c r="BH26" s="69"/>
      <c r="BI26" s="69"/>
      <c r="BJ26" s="69"/>
      <c r="BK26" s="69"/>
      <c r="BL26" s="69"/>
      <c r="BM26" s="69"/>
      <c r="BN26" s="69"/>
      <c r="BO26" s="69"/>
      <c r="BP26" s="69"/>
      <c r="BQ26" s="69"/>
      <c r="BR26" s="69"/>
      <c r="BS26" s="69"/>
      <c r="BT26" s="69"/>
      <c r="BU26" s="69"/>
      <c r="BV26" s="69"/>
      <c r="BW26" s="69"/>
      <c r="BX26" s="69"/>
      <c r="BY26" s="69"/>
      <c r="BZ26" s="69"/>
      <c r="CA26" s="69"/>
      <c r="CB26" s="69"/>
      <c r="CC26" s="69"/>
      <c r="CD26" s="69"/>
      <c r="CE26" s="94">
        <f>SUM(AS26:CD26)</f>
        <v>633.20000000000005</v>
      </c>
      <c r="CF26" s="151">
        <f>+CE26-AR26</f>
        <v>0</v>
      </c>
      <c r="CG26" s="75">
        <f>+C26</f>
        <v>3884</v>
      </c>
      <c r="CH26" s="69">
        <f>+D26</f>
        <v>0</v>
      </c>
    </row>
    <row r="27" spans="1:86" ht="18.75" x14ac:dyDescent="0.25">
      <c r="A27" s="148"/>
      <c r="B27" s="70">
        <v>3161</v>
      </c>
      <c r="C27" s="149">
        <v>3885</v>
      </c>
      <c r="D27" s="71"/>
      <c r="E27" s="150" t="s">
        <v>3082</v>
      </c>
      <c r="F27" s="63" t="s">
        <v>220</v>
      </c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>
        <v>800</v>
      </c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94">
        <f t="shared" si="0"/>
        <v>800</v>
      </c>
      <c r="AS27" s="73">
        <v>800</v>
      </c>
      <c r="AT27" s="73"/>
      <c r="AU27" s="73"/>
      <c r="AV27" s="73"/>
      <c r="AW27" s="73"/>
      <c r="AX27" s="73"/>
      <c r="AY27" s="73"/>
      <c r="AZ27" s="73"/>
      <c r="BA27" s="73"/>
      <c r="BB27" s="73"/>
      <c r="BC27" s="69"/>
      <c r="BD27" s="69"/>
      <c r="BE27" s="69"/>
      <c r="BF27" s="69"/>
      <c r="BG27" s="69"/>
      <c r="BH27" s="69"/>
      <c r="BI27" s="69"/>
      <c r="BJ27" s="69"/>
      <c r="BK27" s="69"/>
      <c r="BL27" s="69"/>
      <c r="BM27" s="69"/>
      <c r="BN27" s="69"/>
      <c r="BO27" s="69"/>
      <c r="BP27" s="69"/>
      <c r="BQ27" s="69"/>
      <c r="BR27" s="69"/>
      <c r="BS27" s="69"/>
      <c r="BT27" s="69"/>
      <c r="BU27" s="69"/>
      <c r="BV27" s="69"/>
      <c r="BW27" s="69"/>
      <c r="BX27" s="69"/>
      <c r="BY27" s="69"/>
      <c r="BZ27" s="69"/>
      <c r="CA27" s="69"/>
      <c r="CB27" s="69"/>
      <c r="CC27" s="69"/>
      <c r="CD27" s="69"/>
      <c r="CE27" s="94">
        <f t="shared" ref="CE27:CE92" si="1">SUM(AS27:CD27)</f>
        <v>800</v>
      </c>
      <c r="CF27" s="151">
        <f t="shared" ref="CF27:CF92" si="2">+CE27-AR27</f>
        <v>0</v>
      </c>
      <c r="CG27" s="75">
        <f t="shared" ref="CG27:CH90" si="3">+C27</f>
        <v>3885</v>
      </c>
      <c r="CH27" s="69">
        <f t="shared" si="3"/>
        <v>0</v>
      </c>
    </row>
    <row r="28" spans="1:86" ht="18.75" x14ac:dyDescent="0.25">
      <c r="A28" s="148"/>
      <c r="B28" s="70">
        <v>3476</v>
      </c>
      <c r="C28" s="149">
        <v>3886</v>
      </c>
      <c r="D28" s="71"/>
      <c r="E28" s="150" t="s">
        <v>3083</v>
      </c>
      <c r="F28" s="63" t="s">
        <v>220</v>
      </c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>
        <v>106</v>
      </c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94">
        <f t="shared" si="0"/>
        <v>106</v>
      </c>
      <c r="AS28" s="73">
        <v>106</v>
      </c>
      <c r="AT28" s="73"/>
      <c r="AU28" s="73"/>
      <c r="AV28" s="73"/>
      <c r="AW28" s="73"/>
      <c r="AX28" s="73"/>
      <c r="AY28" s="73"/>
      <c r="AZ28" s="73"/>
      <c r="BA28" s="73"/>
      <c r="BB28" s="73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94">
        <f t="shared" si="1"/>
        <v>106</v>
      </c>
      <c r="CF28" s="151">
        <f t="shared" si="2"/>
        <v>0</v>
      </c>
      <c r="CG28" s="75">
        <f t="shared" si="3"/>
        <v>3886</v>
      </c>
      <c r="CH28" s="69">
        <f t="shared" si="3"/>
        <v>0</v>
      </c>
    </row>
    <row r="29" spans="1:86" ht="18.75" x14ac:dyDescent="0.25">
      <c r="A29" s="148"/>
      <c r="B29" s="70">
        <v>3490</v>
      </c>
      <c r="C29" s="149">
        <v>3887</v>
      </c>
      <c r="D29" s="71"/>
      <c r="E29" s="150" t="s">
        <v>3084</v>
      </c>
      <c r="F29" s="63" t="s">
        <v>220</v>
      </c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>
        <v>2900</v>
      </c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94">
        <f t="shared" si="0"/>
        <v>2900</v>
      </c>
      <c r="AS29" s="73">
        <v>2900</v>
      </c>
      <c r="AT29" s="73"/>
      <c r="AU29" s="73"/>
      <c r="AV29" s="73"/>
      <c r="AW29" s="73"/>
      <c r="AX29" s="73"/>
      <c r="AY29" s="73"/>
      <c r="AZ29" s="73"/>
      <c r="BA29" s="73"/>
      <c r="BB29" s="73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69"/>
      <c r="BN29" s="69"/>
      <c r="BO29" s="69"/>
      <c r="BP29" s="69"/>
      <c r="BQ29" s="69"/>
      <c r="BR29" s="69"/>
      <c r="BS29" s="69"/>
      <c r="BT29" s="69"/>
      <c r="BU29" s="69"/>
      <c r="BV29" s="69"/>
      <c r="BW29" s="69"/>
      <c r="BX29" s="69"/>
      <c r="BY29" s="69"/>
      <c r="BZ29" s="69"/>
      <c r="CA29" s="69"/>
      <c r="CB29" s="69"/>
      <c r="CC29" s="69"/>
      <c r="CD29" s="69"/>
      <c r="CE29" s="94">
        <f t="shared" si="1"/>
        <v>2900</v>
      </c>
      <c r="CF29" s="151">
        <f t="shared" si="2"/>
        <v>0</v>
      </c>
      <c r="CG29" s="75">
        <f t="shared" si="3"/>
        <v>3887</v>
      </c>
      <c r="CH29" s="69">
        <f t="shared" si="3"/>
        <v>0</v>
      </c>
    </row>
    <row r="30" spans="1:86" ht="18.75" x14ac:dyDescent="0.25">
      <c r="A30" s="148"/>
      <c r="B30" s="70">
        <v>3492</v>
      </c>
      <c r="C30" s="149">
        <v>3888</v>
      </c>
      <c r="D30" s="71"/>
      <c r="E30" s="150" t="s">
        <v>3085</v>
      </c>
      <c r="F30" s="63" t="s">
        <v>220</v>
      </c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>
        <v>2</v>
      </c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94">
        <f t="shared" si="0"/>
        <v>2</v>
      </c>
      <c r="AS30" s="73">
        <v>2</v>
      </c>
      <c r="AT30" s="73"/>
      <c r="AU30" s="73"/>
      <c r="AV30" s="73"/>
      <c r="AW30" s="73"/>
      <c r="AX30" s="73"/>
      <c r="AY30" s="73"/>
      <c r="AZ30" s="73"/>
      <c r="BA30" s="73"/>
      <c r="BB30" s="73"/>
      <c r="BC30" s="69"/>
      <c r="BD30" s="69"/>
      <c r="BE30" s="69"/>
      <c r="BF30" s="69"/>
      <c r="BG30" s="69"/>
      <c r="BH30" s="69"/>
      <c r="BI30" s="69"/>
      <c r="BJ30" s="69"/>
      <c r="BK30" s="69"/>
      <c r="BL30" s="69"/>
      <c r="BM30" s="69"/>
      <c r="BN30" s="69"/>
      <c r="BO30" s="69"/>
      <c r="BP30" s="69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94">
        <f t="shared" si="1"/>
        <v>2</v>
      </c>
      <c r="CF30" s="151">
        <f t="shared" si="2"/>
        <v>0</v>
      </c>
      <c r="CG30" s="75">
        <f t="shared" si="3"/>
        <v>3888</v>
      </c>
      <c r="CH30" s="69">
        <f t="shared" si="3"/>
        <v>0</v>
      </c>
    </row>
    <row r="31" spans="1:86" ht="18.75" x14ac:dyDescent="0.25">
      <c r="A31" s="148"/>
      <c r="B31" s="70">
        <v>3485</v>
      </c>
      <c r="C31" s="149">
        <v>3889</v>
      </c>
      <c r="D31" s="71"/>
      <c r="E31" s="150" t="s">
        <v>3086</v>
      </c>
      <c r="F31" s="63" t="s">
        <v>220</v>
      </c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>
        <v>700</v>
      </c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94">
        <f t="shared" si="0"/>
        <v>700</v>
      </c>
      <c r="AS31" s="73">
        <v>700</v>
      </c>
      <c r="AT31" s="73"/>
      <c r="AU31" s="73"/>
      <c r="AV31" s="73"/>
      <c r="AW31" s="73"/>
      <c r="AX31" s="73"/>
      <c r="AY31" s="73"/>
      <c r="AZ31" s="73"/>
      <c r="BA31" s="73"/>
      <c r="BB31" s="73"/>
      <c r="BC31" s="69"/>
      <c r="BD31" s="69"/>
      <c r="BE31" s="69"/>
      <c r="BF31" s="69"/>
      <c r="BG31" s="69"/>
      <c r="BH31" s="69"/>
      <c r="BI31" s="69"/>
      <c r="BJ31" s="69"/>
      <c r="BK31" s="69"/>
      <c r="BL31" s="69"/>
      <c r="BM31" s="69"/>
      <c r="BN31" s="69"/>
      <c r="BO31" s="69"/>
      <c r="BP31" s="69"/>
      <c r="BQ31" s="69"/>
      <c r="BR31" s="69"/>
      <c r="BS31" s="69"/>
      <c r="BT31" s="69"/>
      <c r="BU31" s="69"/>
      <c r="BV31" s="69"/>
      <c r="BW31" s="69"/>
      <c r="BX31" s="69"/>
      <c r="BY31" s="69"/>
      <c r="BZ31" s="69"/>
      <c r="CA31" s="69"/>
      <c r="CB31" s="69"/>
      <c r="CC31" s="69"/>
      <c r="CD31" s="69"/>
      <c r="CE31" s="94">
        <f t="shared" si="1"/>
        <v>700</v>
      </c>
      <c r="CF31" s="151">
        <f t="shared" si="2"/>
        <v>0</v>
      </c>
      <c r="CG31" s="75">
        <f t="shared" si="3"/>
        <v>3889</v>
      </c>
      <c r="CH31" s="69">
        <f t="shared" si="3"/>
        <v>0</v>
      </c>
    </row>
    <row r="32" spans="1:86" ht="18.75" x14ac:dyDescent="0.25">
      <c r="A32" s="148"/>
      <c r="B32" s="70">
        <v>3493</v>
      </c>
      <c r="C32" s="149">
        <v>3890</v>
      </c>
      <c r="D32" s="71"/>
      <c r="E32" s="150" t="s">
        <v>3087</v>
      </c>
      <c r="F32" s="63" t="s">
        <v>220</v>
      </c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>
        <v>1334</v>
      </c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94">
        <f t="shared" si="0"/>
        <v>1334</v>
      </c>
      <c r="AS32" s="73">
        <v>1334</v>
      </c>
      <c r="AT32" s="73"/>
      <c r="AU32" s="73"/>
      <c r="AV32" s="73"/>
      <c r="AW32" s="73"/>
      <c r="AX32" s="73"/>
      <c r="AY32" s="73"/>
      <c r="AZ32" s="73"/>
      <c r="BA32" s="73"/>
      <c r="BB32" s="73"/>
      <c r="BC32" s="69"/>
      <c r="BD32" s="69"/>
      <c r="BE32" s="69"/>
      <c r="BF32" s="69"/>
      <c r="BG32" s="69"/>
      <c r="BH32" s="69"/>
      <c r="BI32" s="69"/>
      <c r="BJ32" s="69"/>
      <c r="BK32" s="69"/>
      <c r="BL32" s="69"/>
      <c r="BM32" s="69"/>
      <c r="BN32" s="69"/>
      <c r="BO32" s="69"/>
      <c r="BP32" s="69"/>
      <c r="BQ32" s="69"/>
      <c r="BR32" s="69"/>
      <c r="BS32" s="69"/>
      <c r="BT32" s="69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94">
        <f t="shared" si="1"/>
        <v>1334</v>
      </c>
      <c r="CF32" s="151">
        <f t="shared" si="2"/>
        <v>0</v>
      </c>
      <c r="CG32" s="75">
        <f t="shared" si="3"/>
        <v>3890</v>
      </c>
      <c r="CH32" s="69">
        <f t="shared" si="3"/>
        <v>0</v>
      </c>
    </row>
    <row r="33" spans="1:90" ht="18.75" x14ac:dyDescent="0.25">
      <c r="A33" s="148"/>
      <c r="B33" s="70">
        <v>3494</v>
      </c>
      <c r="C33" s="149">
        <v>3891</v>
      </c>
      <c r="D33" s="71"/>
      <c r="E33" s="150" t="s">
        <v>3088</v>
      </c>
      <c r="F33" s="63" t="s">
        <v>220</v>
      </c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>
        <v>1700</v>
      </c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94">
        <f t="shared" si="0"/>
        <v>1700</v>
      </c>
      <c r="AS33" s="73">
        <v>1700</v>
      </c>
      <c r="AT33" s="73"/>
      <c r="AU33" s="73"/>
      <c r="AV33" s="73"/>
      <c r="AW33" s="73"/>
      <c r="AX33" s="73"/>
      <c r="AY33" s="73"/>
      <c r="AZ33" s="73"/>
      <c r="BA33" s="73"/>
      <c r="BB33" s="73"/>
      <c r="BC33" s="69"/>
      <c r="BD33" s="69"/>
      <c r="BE33" s="69"/>
      <c r="BF33" s="69"/>
      <c r="BG33" s="69"/>
      <c r="BH33" s="69"/>
      <c r="BI33" s="69"/>
      <c r="BJ33" s="69"/>
      <c r="BK33" s="69"/>
      <c r="BL33" s="69"/>
      <c r="BM33" s="69"/>
      <c r="BN33" s="69"/>
      <c r="BO33" s="69"/>
      <c r="BP33" s="69"/>
      <c r="BQ33" s="69"/>
      <c r="BR33" s="69"/>
      <c r="BS33" s="69"/>
      <c r="BT33" s="69"/>
      <c r="BU33" s="69"/>
      <c r="BV33" s="69"/>
      <c r="BW33" s="69"/>
      <c r="BX33" s="69"/>
      <c r="BY33" s="69"/>
      <c r="BZ33" s="69"/>
      <c r="CA33" s="69"/>
      <c r="CB33" s="69"/>
      <c r="CC33" s="69"/>
      <c r="CD33" s="69"/>
      <c r="CE33" s="94">
        <f t="shared" si="1"/>
        <v>1700</v>
      </c>
      <c r="CF33" s="151">
        <f t="shared" si="2"/>
        <v>0</v>
      </c>
      <c r="CG33" s="75">
        <f t="shared" si="3"/>
        <v>3891</v>
      </c>
      <c r="CH33" s="69">
        <f t="shared" si="3"/>
        <v>0</v>
      </c>
    </row>
    <row r="34" spans="1:90" ht="18.75" x14ac:dyDescent="0.25">
      <c r="A34" s="148"/>
      <c r="B34" s="70">
        <v>3497</v>
      </c>
      <c r="C34" s="149">
        <v>3892</v>
      </c>
      <c r="D34" s="71"/>
      <c r="E34" s="150" t="s">
        <v>3089</v>
      </c>
      <c r="F34" s="63" t="s">
        <v>220</v>
      </c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>
        <v>2</v>
      </c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94">
        <f t="shared" si="0"/>
        <v>2</v>
      </c>
      <c r="AS34" s="73">
        <v>2</v>
      </c>
      <c r="AT34" s="73"/>
      <c r="AU34" s="73"/>
      <c r="AV34" s="73"/>
      <c r="AW34" s="73"/>
      <c r="AX34" s="73"/>
      <c r="AY34" s="73"/>
      <c r="AZ34" s="73"/>
      <c r="BA34" s="73"/>
      <c r="BB34" s="73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69"/>
      <c r="BN34" s="69"/>
      <c r="BO34" s="69"/>
      <c r="BP34" s="69"/>
      <c r="BQ34" s="69"/>
      <c r="BR34" s="69"/>
      <c r="BS34" s="69"/>
      <c r="BT34" s="69"/>
      <c r="BU34" s="69"/>
      <c r="BV34" s="69"/>
      <c r="BW34" s="69"/>
      <c r="BX34" s="69"/>
      <c r="BY34" s="69"/>
      <c r="BZ34" s="69"/>
      <c r="CA34" s="69"/>
      <c r="CB34" s="69"/>
      <c r="CC34" s="69"/>
      <c r="CD34" s="69"/>
      <c r="CE34" s="94">
        <f t="shared" si="1"/>
        <v>2</v>
      </c>
      <c r="CF34" s="151">
        <f t="shared" si="2"/>
        <v>0</v>
      </c>
      <c r="CG34" s="75">
        <f t="shared" si="3"/>
        <v>3892</v>
      </c>
      <c r="CH34" s="69">
        <f t="shared" si="3"/>
        <v>0</v>
      </c>
    </row>
    <row r="35" spans="1:90" ht="18.75" x14ac:dyDescent="0.25">
      <c r="A35" s="148"/>
      <c r="B35" s="70">
        <v>3498</v>
      </c>
      <c r="C35" s="149">
        <v>3893</v>
      </c>
      <c r="D35" s="71"/>
      <c r="E35" s="150" t="s">
        <v>3090</v>
      </c>
      <c r="F35" s="63" t="s">
        <v>220</v>
      </c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>
        <v>1039.76</v>
      </c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94">
        <f t="shared" si="0"/>
        <v>1039.76</v>
      </c>
      <c r="AS35" s="73">
        <v>1039.76</v>
      </c>
      <c r="AT35" s="73"/>
      <c r="AU35" s="73"/>
      <c r="AV35" s="73"/>
      <c r="AW35" s="73"/>
      <c r="AX35" s="73"/>
      <c r="AY35" s="73"/>
      <c r="AZ35" s="73"/>
      <c r="BA35" s="73"/>
      <c r="BB35" s="73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  <c r="BN35" s="69"/>
      <c r="BO35" s="69"/>
      <c r="BP35" s="69"/>
      <c r="BQ35" s="69"/>
      <c r="BR35" s="69"/>
      <c r="BS35" s="69"/>
      <c r="BT35" s="69"/>
      <c r="BU35" s="69"/>
      <c r="BV35" s="69"/>
      <c r="BW35" s="69"/>
      <c r="BX35" s="69"/>
      <c r="BY35" s="69"/>
      <c r="BZ35" s="69"/>
      <c r="CA35" s="69"/>
      <c r="CB35" s="69"/>
      <c r="CC35" s="69"/>
      <c r="CD35" s="69"/>
      <c r="CE35" s="94">
        <f t="shared" si="1"/>
        <v>1039.76</v>
      </c>
      <c r="CF35" s="151">
        <f t="shared" si="2"/>
        <v>0</v>
      </c>
      <c r="CG35" s="75">
        <f t="shared" si="3"/>
        <v>3893</v>
      </c>
      <c r="CH35" s="69">
        <f t="shared" si="3"/>
        <v>0</v>
      </c>
    </row>
    <row r="36" spans="1:90" ht="18.75" x14ac:dyDescent="0.25">
      <c r="A36" s="148"/>
      <c r="B36" s="70">
        <v>3500</v>
      </c>
      <c r="C36" s="149">
        <v>3894</v>
      </c>
      <c r="D36" s="71"/>
      <c r="E36" s="150" t="s">
        <v>3091</v>
      </c>
      <c r="F36" s="63" t="s">
        <v>220</v>
      </c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>
        <v>1966.86</v>
      </c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94">
        <f t="shared" si="0"/>
        <v>1966.86</v>
      </c>
      <c r="AS36" s="73">
        <v>1966.86</v>
      </c>
      <c r="AT36" s="73"/>
      <c r="AU36" s="73"/>
      <c r="AV36" s="73"/>
      <c r="AW36" s="73"/>
      <c r="AX36" s="73"/>
      <c r="AY36" s="73"/>
      <c r="AZ36" s="73"/>
      <c r="BA36" s="73"/>
      <c r="BB36" s="73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94">
        <f t="shared" si="1"/>
        <v>1966.86</v>
      </c>
      <c r="CF36" s="151">
        <f t="shared" si="2"/>
        <v>0</v>
      </c>
      <c r="CG36" s="75">
        <f t="shared" si="3"/>
        <v>3894</v>
      </c>
      <c r="CH36" s="69">
        <f t="shared" si="3"/>
        <v>0</v>
      </c>
    </row>
    <row r="37" spans="1:90" ht="18.75" x14ac:dyDescent="0.25">
      <c r="A37" s="148"/>
      <c r="B37" s="70">
        <v>3502</v>
      </c>
      <c r="C37" s="149">
        <v>3895</v>
      </c>
      <c r="D37" s="71"/>
      <c r="E37" s="150" t="s">
        <v>3092</v>
      </c>
      <c r="F37" s="63" t="s">
        <v>220</v>
      </c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>
        <v>928.31</v>
      </c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94">
        <f t="shared" si="0"/>
        <v>928.31</v>
      </c>
      <c r="AS37" s="73">
        <v>928.31</v>
      </c>
      <c r="AT37" s="73"/>
      <c r="AU37" s="73"/>
      <c r="AV37" s="73"/>
      <c r="AW37" s="73"/>
      <c r="AX37" s="73"/>
      <c r="AY37" s="73"/>
      <c r="AZ37" s="73"/>
      <c r="BA37" s="73"/>
      <c r="BB37" s="73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  <c r="BN37" s="69"/>
      <c r="BO37" s="69"/>
      <c r="BP37" s="69"/>
      <c r="BQ37" s="69"/>
      <c r="BR37" s="69"/>
      <c r="BS37" s="69"/>
      <c r="BT37" s="69"/>
      <c r="BU37" s="69"/>
      <c r="BV37" s="69"/>
      <c r="BW37" s="69"/>
      <c r="BX37" s="69"/>
      <c r="BY37" s="69"/>
      <c r="BZ37" s="69"/>
      <c r="CA37" s="69"/>
      <c r="CB37" s="69"/>
      <c r="CC37" s="69"/>
      <c r="CD37" s="69"/>
      <c r="CE37" s="94">
        <f t="shared" si="1"/>
        <v>928.31</v>
      </c>
      <c r="CF37" s="151">
        <f t="shared" si="2"/>
        <v>0</v>
      </c>
      <c r="CG37" s="75">
        <f t="shared" si="3"/>
        <v>3895</v>
      </c>
      <c r="CH37" s="69">
        <f t="shared" si="3"/>
        <v>0</v>
      </c>
    </row>
    <row r="38" spans="1:90" ht="18.75" x14ac:dyDescent="0.25">
      <c r="A38" s="148"/>
      <c r="B38" s="70">
        <v>3503</v>
      </c>
      <c r="C38" s="149">
        <v>3896</v>
      </c>
      <c r="D38" s="71"/>
      <c r="E38" s="150" t="s">
        <v>3093</v>
      </c>
      <c r="F38" s="63" t="s">
        <v>220</v>
      </c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>
        <v>5747</v>
      </c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94">
        <f t="shared" si="0"/>
        <v>5747</v>
      </c>
      <c r="AS38" s="73">
        <v>5747</v>
      </c>
      <c r="AT38" s="73"/>
      <c r="AU38" s="73"/>
      <c r="AV38" s="73"/>
      <c r="AW38" s="73"/>
      <c r="AX38" s="73"/>
      <c r="AY38" s="73"/>
      <c r="AZ38" s="73"/>
      <c r="BA38" s="73"/>
      <c r="BB38" s="73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  <c r="BN38" s="69"/>
      <c r="BO38" s="69"/>
      <c r="BP38" s="69"/>
      <c r="BQ38" s="69"/>
      <c r="BR38" s="69"/>
      <c r="BS38" s="69"/>
      <c r="BT38" s="69"/>
      <c r="BU38" s="69"/>
      <c r="BV38" s="69"/>
      <c r="BW38" s="69"/>
      <c r="BX38" s="69"/>
      <c r="BY38" s="69"/>
      <c r="BZ38" s="69"/>
      <c r="CA38" s="69"/>
      <c r="CB38" s="69"/>
      <c r="CC38" s="69"/>
      <c r="CD38" s="69"/>
      <c r="CE38" s="94">
        <f t="shared" si="1"/>
        <v>5747</v>
      </c>
      <c r="CF38" s="151">
        <f t="shared" si="2"/>
        <v>0</v>
      </c>
      <c r="CG38" s="75">
        <f t="shared" si="3"/>
        <v>3896</v>
      </c>
      <c r="CH38" s="69">
        <f t="shared" si="3"/>
        <v>0</v>
      </c>
    </row>
    <row r="39" spans="1:90" ht="18.75" x14ac:dyDescent="0.25">
      <c r="A39" s="148"/>
      <c r="B39" s="70">
        <v>3504</v>
      </c>
      <c r="C39" s="149">
        <v>3897</v>
      </c>
      <c r="D39" s="71"/>
      <c r="E39" s="150" t="s">
        <v>3094</v>
      </c>
      <c r="F39" s="63" t="s">
        <v>220</v>
      </c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>
        <v>1177.31</v>
      </c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94">
        <f t="shared" si="0"/>
        <v>1177.31</v>
      </c>
      <c r="AS39" s="73">
        <v>1177.31</v>
      </c>
      <c r="AT39" s="73"/>
      <c r="AU39" s="73"/>
      <c r="AV39" s="73"/>
      <c r="AW39" s="73"/>
      <c r="AX39" s="73"/>
      <c r="AY39" s="73"/>
      <c r="AZ39" s="73"/>
      <c r="BA39" s="73"/>
      <c r="BB39" s="73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9"/>
      <c r="CE39" s="94">
        <f t="shared" si="1"/>
        <v>1177.31</v>
      </c>
      <c r="CF39" s="151">
        <f t="shared" si="2"/>
        <v>0</v>
      </c>
      <c r="CG39" s="75">
        <f t="shared" si="3"/>
        <v>3897</v>
      </c>
      <c r="CH39" s="69">
        <f t="shared" si="3"/>
        <v>0</v>
      </c>
    </row>
    <row r="40" spans="1:90" ht="18.75" x14ac:dyDescent="0.25">
      <c r="A40" s="148"/>
      <c r="B40" s="70">
        <v>3505</v>
      </c>
      <c r="C40" s="149">
        <v>3898</v>
      </c>
      <c r="D40" s="71"/>
      <c r="E40" s="150" t="s">
        <v>3095</v>
      </c>
      <c r="F40" s="63" t="s">
        <v>220</v>
      </c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>
        <v>14</v>
      </c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94">
        <f t="shared" si="0"/>
        <v>14</v>
      </c>
      <c r="AS40" s="73">
        <v>14</v>
      </c>
      <c r="AT40" s="73"/>
      <c r="AU40" s="73"/>
      <c r="AV40" s="73"/>
      <c r="AW40" s="73"/>
      <c r="AX40" s="73"/>
      <c r="AY40" s="73"/>
      <c r="AZ40" s="73"/>
      <c r="BA40" s="73"/>
      <c r="BB40" s="73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94">
        <f t="shared" si="1"/>
        <v>14</v>
      </c>
      <c r="CF40" s="151">
        <f t="shared" si="2"/>
        <v>0</v>
      </c>
      <c r="CG40" s="75">
        <f t="shared" si="3"/>
        <v>3898</v>
      </c>
      <c r="CH40" s="69">
        <f t="shared" si="3"/>
        <v>0</v>
      </c>
    </row>
    <row r="41" spans="1:90" ht="18.75" x14ac:dyDescent="0.25">
      <c r="A41" s="148"/>
      <c r="B41" s="70">
        <v>3482</v>
      </c>
      <c r="C41" s="149">
        <v>3899</v>
      </c>
      <c r="D41" s="71"/>
      <c r="E41" s="150" t="s">
        <v>3096</v>
      </c>
      <c r="F41" s="63" t="s">
        <v>220</v>
      </c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>
        <v>85</v>
      </c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94">
        <f t="shared" si="0"/>
        <v>85</v>
      </c>
      <c r="AS41" s="73">
        <v>85</v>
      </c>
      <c r="AT41" s="73"/>
      <c r="AU41" s="73"/>
      <c r="AV41" s="73"/>
      <c r="AW41" s="73"/>
      <c r="AX41" s="73"/>
      <c r="AY41" s="73"/>
      <c r="AZ41" s="73"/>
      <c r="BA41" s="73"/>
      <c r="BB41" s="73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94">
        <f t="shared" si="1"/>
        <v>85</v>
      </c>
      <c r="CF41" s="151">
        <f t="shared" si="2"/>
        <v>0</v>
      </c>
      <c r="CG41" s="75">
        <f t="shared" si="3"/>
        <v>3899</v>
      </c>
      <c r="CH41" s="69">
        <f t="shared" si="3"/>
        <v>0</v>
      </c>
    </row>
    <row r="42" spans="1:90" ht="18.75" x14ac:dyDescent="0.25">
      <c r="A42" s="148"/>
      <c r="B42" s="70">
        <v>3507</v>
      </c>
      <c r="C42" s="149">
        <v>3900</v>
      </c>
      <c r="D42" s="71"/>
      <c r="E42" s="150" t="s">
        <v>3097</v>
      </c>
      <c r="F42" s="63" t="s">
        <v>220</v>
      </c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>
        <v>569071.31000000006</v>
      </c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94">
        <f t="shared" si="0"/>
        <v>569071.31000000006</v>
      </c>
      <c r="AS42" s="73">
        <v>569071.31000000006</v>
      </c>
      <c r="AT42" s="73"/>
      <c r="AU42" s="73"/>
      <c r="AV42" s="73"/>
      <c r="AW42" s="73"/>
      <c r="AX42" s="73"/>
      <c r="AY42" s="73"/>
      <c r="AZ42" s="73"/>
      <c r="BA42" s="73"/>
      <c r="BB42" s="73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94">
        <f t="shared" si="1"/>
        <v>569071.31000000006</v>
      </c>
      <c r="CF42" s="151">
        <f t="shared" si="2"/>
        <v>0</v>
      </c>
      <c r="CG42" s="75">
        <f t="shared" si="3"/>
        <v>3900</v>
      </c>
      <c r="CH42" s="69">
        <f t="shared" si="3"/>
        <v>0</v>
      </c>
    </row>
    <row r="43" spans="1:90" ht="18.75" x14ac:dyDescent="0.25">
      <c r="A43" s="148"/>
      <c r="B43" s="70">
        <v>3518</v>
      </c>
      <c r="C43" s="149">
        <v>3901</v>
      </c>
      <c r="D43" s="71"/>
      <c r="E43" s="150" t="s">
        <v>3098</v>
      </c>
      <c r="F43" s="63" t="s">
        <v>220</v>
      </c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>
        <v>30760.44</v>
      </c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94">
        <f t="shared" si="0"/>
        <v>30760.44</v>
      </c>
      <c r="AS43" s="73">
        <v>30760.44</v>
      </c>
      <c r="AT43" s="73"/>
      <c r="AU43" s="73"/>
      <c r="AV43" s="73"/>
      <c r="AW43" s="73"/>
      <c r="AX43" s="73"/>
      <c r="AY43" s="73"/>
      <c r="AZ43" s="73"/>
      <c r="BA43" s="73"/>
      <c r="BB43" s="73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94">
        <f t="shared" si="1"/>
        <v>30760.44</v>
      </c>
      <c r="CF43" s="151">
        <f t="shared" si="2"/>
        <v>0</v>
      </c>
      <c r="CG43" s="75">
        <f t="shared" si="3"/>
        <v>3901</v>
      </c>
      <c r="CH43" s="69">
        <f t="shared" si="3"/>
        <v>0</v>
      </c>
    </row>
    <row r="44" spans="1:90" ht="18.75" x14ac:dyDescent="0.25">
      <c r="A44" s="148"/>
      <c r="B44" s="70">
        <v>3519</v>
      </c>
      <c r="C44" s="149">
        <v>3902</v>
      </c>
      <c r="D44" s="71"/>
      <c r="E44" s="150" t="s">
        <v>3099</v>
      </c>
      <c r="F44" s="63" t="s">
        <v>220</v>
      </c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>
        <v>12834.75</v>
      </c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94">
        <f t="shared" si="0"/>
        <v>12834.75</v>
      </c>
      <c r="AS44" s="73">
        <v>12834.75</v>
      </c>
      <c r="AT44" s="73"/>
      <c r="AU44" s="73"/>
      <c r="AV44" s="73"/>
      <c r="AW44" s="73"/>
      <c r="AX44" s="73"/>
      <c r="AY44" s="73"/>
      <c r="AZ44" s="73"/>
      <c r="BA44" s="73"/>
      <c r="BB44" s="73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94">
        <f t="shared" si="1"/>
        <v>12834.75</v>
      </c>
      <c r="CF44" s="151">
        <f t="shared" si="2"/>
        <v>0</v>
      </c>
      <c r="CG44" s="75">
        <f t="shared" si="3"/>
        <v>3902</v>
      </c>
      <c r="CH44" s="69">
        <f t="shared" si="3"/>
        <v>0</v>
      </c>
    </row>
    <row r="45" spans="1:90" s="156" customFormat="1" ht="18.75" x14ac:dyDescent="0.25">
      <c r="A45" s="153"/>
      <c r="B45" s="84"/>
      <c r="C45" s="154"/>
      <c r="D45" s="71"/>
      <c r="E45" s="155" t="s">
        <v>3100</v>
      </c>
      <c r="F45" s="68"/>
      <c r="G45" s="106"/>
      <c r="H45" s="106"/>
      <c r="I45" s="106"/>
      <c r="J45" s="106"/>
      <c r="K45" s="106"/>
      <c r="L45" s="106"/>
      <c r="M45" s="106"/>
      <c r="N45" s="106"/>
      <c r="O45" s="106"/>
      <c r="P45" s="106"/>
      <c r="Q45" s="106"/>
      <c r="R45" s="106"/>
      <c r="S45" s="106"/>
      <c r="T45" s="106">
        <f>SUM(T26:T44)</f>
        <v>569071.31000000006</v>
      </c>
      <c r="U45" s="106">
        <f t="shared" ref="U45:CH45" si="4">SUM(U26:U44)</f>
        <v>43595.19</v>
      </c>
      <c r="V45" s="106">
        <f t="shared" si="4"/>
        <v>0</v>
      </c>
      <c r="W45" s="106">
        <f t="shared" si="4"/>
        <v>0</v>
      </c>
      <c r="X45" s="106">
        <f t="shared" si="4"/>
        <v>0</v>
      </c>
      <c r="Y45" s="106">
        <f t="shared" si="4"/>
        <v>0</v>
      </c>
      <c r="Z45" s="106">
        <f t="shared" si="4"/>
        <v>0</v>
      </c>
      <c r="AA45" s="106">
        <f t="shared" si="4"/>
        <v>0</v>
      </c>
      <c r="AB45" s="106">
        <f t="shared" si="4"/>
        <v>0</v>
      </c>
      <c r="AC45" s="106">
        <f t="shared" si="4"/>
        <v>0</v>
      </c>
      <c r="AD45" s="106">
        <f t="shared" si="4"/>
        <v>19135.439999999999</v>
      </c>
      <c r="AE45" s="106">
        <f t="shared" si="4"/>
        <v>0</v>
      </c>
      <c r="AF45" s="106">
        <f t="shared" si="4"/>
        <v>0</v>
      </c>
      <c r="AG45" s="106">
        <f t="shared" si="4"/>
        <v>0</v>
      </c>
      <c r="AH45" s="106">
        <f t="shared" si="4"/>
        <v>0</v>
      </c>
      <c r="AI45" s="106">
        <f t="shared" si="4"/>
        <v>0</v>
      </c>
      <c r="AJ45" s="106">
        <f t="shared" si="4"/>
        <v>0</v>
      </c>
      <c r="AK45" s="106">
        <f t="shared" si="4"/>
        <v>0</v>
      </c>
      <c r="AL45" s="106">
        <f t="shared" si="4"/>
        <v>0</v>
      </c>
      <c r="AM45" s="106">
        <f t="shared" si="4"/>
        <v>0</v>
      </c>
      <c r="AN45" s="106">
        <f t="shared" si="4"/>
        <v>0</v>
      </c>
      <c r="AO45" s="106">
        <f t="shared" si="4"/>
        <v>0</v>
      </c>
      <c r="AP45" s="106">
        <f t="shared" si="4"/>
        <v>0</v>
      </c>
      <c r="AQ45" s="106">
        <f t="shared" si="4"/>
        <v>0</v>
      </c>
      <c r="AR45" s="94">
        <f t="shared" si="4"/>
        <v>631801.93999999994</v>
      </c>
      <c r="AS45" s="106">
        <f t="shared" si="4"/>
        <v>631801.93999999994</v>
      </c>
      <c r="AT45" s="106">
        <f t="shared" si="4"/>
        <v>0</v>
      </c>
      <c r="AU45" s="106">
        <f t="shared" si="4"/>
        <v>0</v>
      </c>
      <c r="AV45" s="106">
        <f t="shared" si="4"/>
        <v>0</v>
      </c>
      <c r="AW45" s="106">
        <f t="shared" si="4"/>
        <v>0</v>
      </c>
      <c r="AX45" s="106">
        <f t="shared" si="4"/>
        <v>0</v>
      </c>
      <c r="AY45" s="106">
        <f t="shared" si="4"/>
        <v>0</v>
      </c>
      <c r="AZ45" s="106">
        <f t="shared" si="4"/>
        <v>0</v>
      </c>
      <c r="BA45" s="106">
        <f t="shared" si="4"/>
        <v>0</v>
      </c>
      <c r="BB45" s="106">
        <f t="shared" si="4"/>
        <v>0</v>
      </c>
      <c r="BC45" s="106">
        <f t="shared" si="4"/>
        <v>0</v>
      </c>
      <c r="BD45" s="106">
        <f t="shared" si="4"/>
        <v>0</v>
      </c>
      <c r="BE45" s="106"/>
      <c r="BF45" s="106">
        <f t="shared" si="4"/>
        <v>0</v>
      </c>
      <c r="BG45" s="106">
        <f t="shared" si="4"/>
        <v>0</v>
      </c>
      <c r="BH45" s="106">
        <f t="shared" si="4"/>
        <v>0</v>
      </c>
      <c r="BI45" s="106">
        <f t="shared" si="4"/>
        <v>0</v>
      </c>
      <c r="BJ45" s="106">
        <f t="shared" si="4"/>
        <v>0</v>
      </c>
      <c r="BK45" s="106">
        <f t="shared" si="4"/>
        <v>0</v>
      </c>
      <c r="BL45" s="106">
        <f t="shared" si="4"/>
        <v>0</v>
      </c>
      <c r="BM45" s="106">
        <f t="shared" si="4"/>
        <v>0</v>
      </c>
      <c r="BN45" s="106">
        <f t="shared" si="4"/>
        <v>0</v>
      </c>
      <c r="BO45" s="106"/>
      <c r="BP45" s="106">
        <f t="shared" si="4"/>
        <v>0</v>
      </c>
      <c r="BQ45" s="106">
        <f t="shared" si="4"/>
        <v>0</v>
      </c>
      <c r="BR45" s="106">
        <f t="shared" si="4"/>
        <v>0</v>
      </c>
      <c r="BS45" s="106">
        <f t="shared" si="4"/>
        <v>0</v>
      </c>
      <c r="BT45" s="106">
        <f t="shared" si="4"/>
        <v>0</v>
      </c>
      <c r="BU45" s="106">
        <f t="shared" si="4"/>
        <v>0</v>
      </c>
      <c r="BV45" s="106">
        <f t="shared" si="4"/>
        <v>0</v>
      </c>
      <c r="BW45" s="106">
        <f t="shared" si="4"/>
        <v>0</v>
      </c>
      <c r="BX45" s="106">
        <f t="shared" si="4"/>
        <v>0</v>
      </c>
      <c r="BY45" s="106">
        <f t="shared" si="4"/>
        <v>0</v>
      </c>
      <c r="BZ45" s="106">
        <f t="shared" si="4"/>
        <v>0</v>
      </c>
      <c r="CA45" s="106">
        <f t="shared" si="4"/>
        <v>0</v>
      </c>
      <c r="CB45" s="106">
        <f t="shared" si="4"/>
        <v>0</v>
      </c>
      <c r="CC45" s="106">
        <f t="shared" si="4"/>
        <v>0</v>
      </c>
      <c r="CD45" s="106">
        <f t="shared" si="4"/>
        <v>0</v>
      </c>
      <c r="CE45" s="94">
        <f t="shared" si="4"/>
        <v>631801.93999999994</v>
      </c>
      <c r="CF45" s="106">
        <f t="shared" si="4"/>
        <v>0</v>
      </c>
      <c r="CG45" s="106">
        <f t="shared" si="4"/>
        <v>73967</v>
      </c>
      <c r="CH45" s="106">
        <f t="shared" si="4"/>
        <v>0</v>
      </c>
      <c r="CI45" s="106">
        <f t="shared" ref="CI45:CL45" si="5">SUM(CI26:CI44)</f>
        <v>0</v>
      </c>
      <c r="CJ45" s="106">
        <f t="shared" si="5"/>
        <v>0</v>
      </c>
      <c r="CK45" s="106">
        <f t="shared" si="5"/>
        <v>0</v>
      </c>
      <c r="CL45" s="106">
        <f t="shared" si="5"/>
        <v>0</v>
      </c>
    </row>
    <row r="46" spans="1:90" ht="18.75" x14ac:dyDescent="0.25">
      <c r="A46" s="148"/>
      <c r="B46" s="70">
        <v>8091</v>
      </c>
      <c r="C46" s="149">
        <v>3903</v>
      </c>
      <c r="D46" s="71"/>
      <c r="E46" s="150" t="s">
        <v>3101</v>
      </c>
      <c r="F46" s="6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>
        <v>1200</v>
      </c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94">
        <f t="shared" si="0"/>
        <v>1200</v>
      </c>
      <c r="AS46" s="73">
        <v>1200</v>
      </c>
      <c r="AT46" s="73"/>
      <c r="AU46" s="73"/>
      <c r="AV46" s="73"/>
      <c r="AW46" s="73"/>
      <c r="AX46" s="73"/>
      <c r="AY46" s="73"/>
      <c r="AZ46" s="73"/>
      <c r="BA46" s="73"/>
      <c r="BB46" s="73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94">
        <f t="shared" si="1"/>
        <v>1200</v>
      </c>
      <c r="CF46" s="151">
        <f t="shared" si="2"/>
        <v>0</v>
      </c>
      <c r="CG46" s="75">
        <f t="shared" si="3"/>
        <v>3903</v>
      </c>
      <c r="CH46" s="69">
        <f t="shared" si="3"/>
        <v>0</v>
      </c>
    </row>
    <row r="47" spans="1:90" ht="18.75" x14ac:dyDescent="0.25">
      <c r="A47" s="148"/>
      <c r="B47" s="70">
        <v>8092</v>
      </c>
      <c r="C47" s="149">
        <v>3904</v>
      </c>
      <c r="D47" s="71"/>
      <c r="E47" s="150" t="s">
        <v>3102</v>
      </c>
      <c r="F47" s="6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>
        <v>1736.1</v>
      </c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94">
        <f t="shared" si="0"/>
        <v>1736.1</v>
      </c>
      <c r="AS47" s="73">
        <v>1736.1</v>
      </c>
      <c r="AT47" s="73"/>
      <c r="AU47" s="73"/>
      <c r="AV47" s="73"/>
      <c r="AW47" s="73"/>
      <c r="AX47" s="73"/>
      <c r="AY47" s="73"/>
      <c r="AZ47" s="73"/>
      <c r="BA47" s="73"/>
      <c r="BB47" s="73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94">
        <f t="shared" si="1"/>
        <v>1736.1</v>
      </c>
      <c r="CF47" s="151">
        <f t="shared" si="2"/>
        <v>0</v>
      </c>
      <c r="CG47" s="75">
        <f t="shared" si="3"/>
        <v>3904</v>
      </c>
      <c r="CH47" s="69">
        <f t="shared" si="3"/>
        <v>0</v>
      </c>
    </row>
    <row r="48" spans="1:90" ht="18.75" x14ac:dyDescent="0.25">
      <c r="A48" s="148"/>
      <c r="B48" s="70">
        <v>7980</v>
      </c>
      <c r="C48" s="149">
        <v>3905</v>
      </c>
      <c r="D48" s="71" t="s">
        <v>121</v>
      </c>
      <c r="E48" s="150" t="s">
        <v>3103</v>
      </c>
      <c r="F48" s="63"/>
      <c r="G48" s="73">
        <v>10000</v>
      </c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94">
        <f t="shared" si="0"/>
        <v>10000</v>
      </c>
      <c r="AS48" s="73">
        <v>8920.4</v>
      </c>
      <c r="AT48" s="73">
        <v>1079.5999999999999</v>
      </c>
      <c r="AU48" s="73"/>
      <c r="AV48" s="73"/>
      <c r="AW48" s="73"/>
      <c r="AX48" s="73"/>
      <c r="AY48" s="73"/>
      <c r="AZ48" s="73"/>
      <c r="BA48" s="73"/>
      <c r="BB48" s="73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94">
        <f t="shared" si="1"/>
        <v>10000</v>
      </c>
      <c r="CF48" s="151">
        <f t="shared" si="2"/>
        <v>0</v>
      </c>
      <c r="CG48" s="75">
        <f t="shared" si="3"/>
        <v>3905</v>
      </c>
      <c r="CH48" s="69" t="str">
        <f t="shared" si="3"/>
        <v>ماليزى اسنان</v>
      </c>
    </row>
    <row r="49" spans="1:86" ht="18.75" x14ac:dyDescent="0.25">
      <c r="A49" s="148"/>
      <c r="B49" s="70">
        <v>7974</v>
      </c>
      <c r="C49" s="149">
        <v>3906</v>
      </c>
      <c r="D49" s="71" t="s">
        <v>121</v>
      </c>
      <c r="E49" s="150" t="s">
        <v>3104</v>
      </c>
      <c r="F49" s="63"/>
      <c r="G49" s="73">
        <v>2931.25</v>
      </c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94">
        <f t="shared" si="0"/>
        <v>2931.25</v>
      </c>
      <c r="AS49" s="73">
        <v>1958.65</v>
      </c>
      <c r="AT49" s="73">
        <v>266.35000000000002</v>
      </c>
      <c r="AU49" s="73">
        <v>706.25</v>
      </c>
      <c r="AV49" s="73"/>
      <c r="AW49" s="73"/>
      <c r="AX49" s="73"/>
      <c r="AY49" s="73"/>
      <c r="AZ49" s="73"/>
      <c r="BA49" s="73"/>
      <c r="BB49" s="73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94">
        <f t="shared" si="1"/>
        <v>2931.25</v>
      </c>
      <c r="CF49" s="151">
        <f t="shared" si="2"/>
        <v>0</v>
      </c>
      <c r="CG49" s="75">
        <f t="shared" si="3"/>
        <v>3906</v>
      </c>
      <c r="CH49" s="69" t="str">
        <f t="shared" si="3"/>
        <v>ماليزى اسنان</v>
      </c>
    </row>
    <row r="50" spans="1:86" ht="18.75" x14ac:dyDescent="0.25">
      <c r="A50" s="148"/>
      <c r="B50" s="70">
        <v>7971</v>
      </c>
      <c r="C50" s="149">
        <v>3907</v>
      </c>
      <c r="D50" s="71" t="s">
        <v>121</v>
      </c>
      <c r="E50" s="150" t="s">
        <v>3104</v>
      </c>
      <c r="F50" s="63"/>
      <c r="G50" s="73">
        <v>8500</v>
      </c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94">
        <f t="shared" si="0"/>
        <v>8500</v>
      </c>
      <c r="AS50" s="73">
        <v>7586.95</v>
      </c>
      <c r="AT50" s="73">
        <v>913.05</v>
      </c>
      <c r="AU50" s="73"/>
      <c r="AV50" s="73"/>
      <c r="AW50" s="73"/>
      <c r="AX50" s="73"/>
      <c r="AY50" s="73"/>
      <c r="AZ50" s="73"/>
      <c r="BA50" s="73"/>
      <c r="BB50" s="73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94">
        <f t="shared" si="1"/>
        <v>8500</v>
      </c>
      <c r="CF50" s="151">
        <f t="shared" si="2"/>
        <v>0</v>
      </c>
      <c r="CG50" s="75">
        <f t="shared" si="3"/>
        <v>3907</v>
      </c>
      <c r="CH50" s="69" t="str">
        <f t="shared" si="3"/>
        <v>ماليزى اسنان</v>
      </c>
    </row>
    <row r="51" spans="1:86" ht="18.75" x14ac:dyDescent="0.25">
      <c r="A51" s="148"/>
      <c r="B51" s="70">
        <v>7972</v>
      </c>
      <c r="C51" s="149">
        <v>3908</v>
      </c>
      <c r="D51" s="71" t="s">
        <v>121</v>
      </c>
      <c r="E51" s="150" t="s">
        <v>3105</v>
      </c>
      <c r="F51" s="63"/>
      <c r="G51" s="73">
        <v>6000</v>
      </c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94">
        <f t="shared" si="0"/>
        <v>6000</v>
      </c>
      <c r="AS51" s="73">
        <v>5355.7</v>
      </c>
      <c r="AT51" s="73">
        <v>644.29999999999995</v>
      </c>
      <c r="AU51" s="73"/>
      <c r="AV51" s="73"/>
      <c r="AW51" s="73"/>
      <c r="AX51" s="73"/>
      <c r="AY51" s="73"/>
      <c r="AZ51" s="73"/>
      <c r="BA51" s="73"/>
      <c r="BB51" s="73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94">
        <f t="shared" si="1"/>
        <v>6000</v>
      </c>
      <c r="CF51" s="151">
        <f t="shared" si="2"/>
        <v>0</v>
      </c>
      <c r="CG51" s="75">
        <f t="shared" si="3"/>
        <v>3908</v>
      </c>
      <c r="CH51" s="69" t="str">
        <f t="shared" si="3"/>
        <v>ماليزى اسنان</v>
      </c>
    </row>
    <row r="52" spans="1:86" ht="18.75" x14ac:dyDescent="0.25">
      <c r="A52" s="148"/>
      <c r="B52" s="70">
        <v>7966</v>
      </c>
      <c r="C52" s="149">
        <v>3909</v>
      </c>
      <c r="D52" s="71" t="s">
        <v>121</v>
      </c>
      <c r="E52" s="150" t="s">
        <v>3106</v>
      </c>
      <c r="F52" s="63"/>
      <c r="G52" s="73">
        <v>7594.31</v>
      </c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94">
        <f t="shared" si="0"/>
        <v>7594.31</v>
      </c>
      <c r="AS52" s="73">
        <v>5109.37</v>
      </c>
      <c r="AT52" s="73">
        <v>692.8</v>
      </c>
      <c r="AU52" s="73">
        <v>1792.14</v>
      </c>
      <c r="AV52" s="73"/>
      <c r="AW52" s="73"/>
      <c r="AX52" s="73"/>
      <c r="AY52" s="73"/>
      <c r="AZ52" s="73"/>
      <c r="BA52" s="73"/>
      <c r="BB52" s="73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94">
        <f t="shared" si="1"/>
        <v>7594.31</v>
      </c>
      <c r="CF52" s="151">
        <f t="shared" si="2"/>
        <v>0</v>
      </c>
      <c r="CG52" s="75">
        <f t="shared" si="3"/>
        <v>3909</v>
      </c>
      <c r="CH52" s="69" t="str">
        <f t="shared" si="3"/>
        <v>ماليزى اسنان</v>
      </c>
    </row>
    <row r="53" spans="1:86" ht="18.75" x14ac:dyDescent="0.25">
      <c r="A53" s="148"/>
      <c r="B53" s="78">
        <v>7970</v>
      </c>
      <c r="C53" s="149">
        <v>3910</v>
      </c>
      <c r="D53" s="71" t="s">
        <v>121</v>
      </c>
      <c r="E53" s="157" t="str">
        <f>+E51</f>
        <v>مكافاه اشراف كورسات دولى خريف ط ثالث</v>
      </c>
      <c r="F53" s="63"/>
      <c r="G53" s="73">
        <v>9111.25</v>
      </c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94">
        <f t="shared" si="0"/>
        <v>9111.25</v>
      </c>
      <c r="AS53" s="73">
        <v>7963.23</v>
      </c>
      <c r="AT53" s="73">
        <v>965.85</v>
      </c>
      <c r="AU53" s="73">
        <v>182.17</v>
      </c>
      <c r="AV53" s="73"/>
      <c r="AW53" s="73"/>
      <c r="AX53" s="73"/>
      <c r="AY53" s="73"/>
      <c r="AZ53" s="73"/>
      <c r="BA53" s="73"/>
      <c r="BB53" s="73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94">
        <f t="shared" si="1"/>
        <v>9111.25</v>
      </c>
      <c r="CF53" s="151">
        <f t="shared" si="2"/>
        <v>0</v>
      </c>
      <c r="CG53" s="75">
        <f t="shared" si="3"/>
        <v>3910</v>
      </c>
      <c r="CH53" s="69" t="str">
        <f t="shared" si="3"/>
        <v>ماليزى اسنان</v>
      </c>
    </row>
    <row r="54" spans="1:86" ht="18.75" x14ac:dyDescent="0.25">
      <c r="A54" s="148"/>
      <c r="B54" s="70">
        <v>7946</v>
      </c>
      <c r="C54" s="149">
        <v>3911</v>
      </c>
      <c r="D54" s="71" t="s">
        <v>121</v>
      </c>
      <c r="E54" s="150" t="s">
        <v>3107</v>
      </c>
      <c r="F54" s="63"/>
      <c r="G54" s="73">
        <v>10552.5</v>
      </c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94">
        <f t="shared" si="0"/>
        <v>10552.5</v>
      </c>
      <c r="AS54" s="73">
        <v>7051</v>
      </c>
      <c r="AT54" s="73">
        <v>959</v>
      </c>
      <c r="AU54" s="73">
        <v>2542.5</v>
      </c>
      <c r="AV54" s="73"/>
      <c r="AW54" s="73"/>
      <c r="AX54" s="73"/>
      <c r="AY54" s="73"/>
      <c r="AZ54" s="73"/>
      <c r="BA54" s="73"/>
      <c r="BB54" s="73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94">
        <f t="shared" si="1"/>
        <v>10552.5</v>
      </c>
      <c r="CF54" s="151">
        <f t="shared" si="2"/>
        <v>0</v>
      </c>
      <c r="CG54" s="75">
        <f t="shared" si="3"/>
        <v>3911</v>
      </c>
      <c r="CH54" s="69" t="str">
        <f t="shared" si="3"/>
        <v>ماليزى اسنان</v>
      </c>
    </row>
    <row r="55" spans="1:86" ht="18.75" x14ac:dyDescent="0.25">
      <c r="A55" s="148"/>
      <c r="B55" s="70">
        <v>7945</v>
      </c>
      <c r="C55" s="149">
        <v>3912</v>
      </c>
      <c r="D55" s="71" t="s">
        <v>121</v>
      </c>
      <c r="E55" s="150" t="s">
        <v>3107</v>
      </c>
      <c r="F55" s="63"/>
      <c r="G55" s="73">
        <v>6000</v>
      </c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94">
        <f t="shared" si="0"/>
        <v>6000</v>
      </c>
      <c r="AS55" s="73">
        <v>4764.5600000000004</v>
      </c>
      <c r="AT55" s="73">
        <v>1235.44</v>
      </c>
      <c r="AU55" s="73"/>
      <c r="AV55" s="73"/>
      <c r="AW55" s="73"/>
      <c r="AX55" s="73"/>
      <c r="AY55" s="73"/>
      <c r="AZ55" s="73"/>
      <c r="BA55" s="73"/>
      <c r="BB55" s="73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94">
        <f t="shared" si="1"/>
        <v>6000</v>
      </c>
      <c r="CF55" s="151">
        <f t="shared" si="2"/>
        <v>0</v>
      </c>
      <c r="CG55" s="75">
        <f t="shared" si="3"/>
        <v>3912</v>
      </c>
      <c r="CH55" s="69" t="str">
        <f t="shared" si="3"/>
        <v>ماليزى اسنان</v>
      </c>
    </row>
    <row r="56" spans="1:86" ht="18.75" x14ac:dyDescent="0.25">
      <c r="A56" s="148"/>
      <c r="B56" s="70">
        <v>7965</v>
      </c>
      <c r="C56" s="149">
        <v>3913</v>
      </c>
      <c r="D56" s="71" t="s">
        <v>121</v>
      </c>
      <c r="E56" s="150" t="s">
        <v>3106</v>
      </c>
      <c r="F56" s="63"/>
      <c r="G56" s="73">
        <v>7295.08</v>
      </c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94">
        <f t="shared" si="0"/>
        <v>7295.08</v>
      </c>
      <c r="AS56" s="73">
        <v>5298.74</v>
      </c>
      <c r="AT56" s="73">
        <v>694.25</v>
      </c>
      <c r="AU56" s="73">
        <v>1302.0899999999999</v>
      </c>
      <c r="AV56" s="73"/>
      <c r="AW56" s="73"/>
      <c r="AX56" s="73"/>
      <c r="AY56" s="73"/>
      <c r="AZ56" s="73"/>
      <c r="BA56" s="73"/>
      <c r="BB56" s="73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94">
        <f t="shared" si="1"/>
        <v>7295.08</v>
      </c>
      <c r="CF56" s="151">
        <f t="shared" si="2"/>
        <v>0</v>
      </c>
      <c r="CG56" s="75">
        <f t="shared" si="3"/>
        <v>3913</v>
      </c>
      <c r="CH56" s="69" t="str">
        <f t="shared" si="3"/>
        <v>ماليزى اسنان</v>
      </c>
    </row>
    <row r="57" spans="1:86" ht="18.75" x14ac:dyDescent="0.25">
      <c r="A57" s="148"/>
      <c r="B57" s="70">
        <v>7985</v>
      </c>
      <c r="C57" s="149">
        <v>3914</v>
      </c>
      <c r="D57" s="71" t="s">
        <v>121</v>
      </c>
      <c r="E57" s="150" t="s">
        <v>3108</v>
      </c>
      <c r="F57" s="63"/>
      <c r="G57" s="73">
        <v>3048.5</v>
      </c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94">
        <f t="shared" si="0"/>
        <v>3048.5</v>
      </c>
      <c r="AS57" s="73">
        <v>2037.65</v>
      </c>
      <c r="AT57" s="73">
        <v>276.35000000000002</v>
      </c>
      <c r="AU57" s="73">
        <v>734.5</v>
      </c>
      <c r="AV57" s="73"/>
      <c r="AW57" s="73"/>
      <c r="AX57" s="73"/>
      <c r="AY57" s="73"/>
      <c r="AZ57" s="73"/>
      <c r="BA57" s="73"/>
      <c r="BB57" s="73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94">
        <f t="shared" si="1"/>
        <v>3048.5</v>
      </c>
      <c r="CF57" s="151">
        <f t="shared" si="2"/>
        <v>0</v>
      </c>
      <c r="CG57" s="75">
        <f t="shared" si="3"/>
        <v>3914</v>
      </c>
      <c r="CH57" s="69" t="str">
        <f t="shared" si="3"/>
        <v>ماليزى اسنان</v>
      </c>
    </row>
    <row r="58" spans="1:86" ht="18.75" x14ac:dyDescent="0.25">
      <c r="A58" s="148"/>
      <c r="B58" s="70">
        <v>7982</v>
      </c>
      <c r="C58" s="149">
        <v>3915</v>
      </c>
      <c r="D58" s="71" t="s">
        <v>121</v>
      </c>
      <c r="E58" s="150" t="s">
        <v>3109</v>
      </c>
      <c r="F58" s="63"/>
      <c r="G58" s="73">
        <v>4338.25</v>
      </c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94">
        <f t="shared" si="0"/>
        <v>4338.25</v>
      </c>
      <c r="AS58" s="73">
        <v>2901.2</v>
      </c>
      <c r="AT58" s="73">
        <v>391.8</v>
      </c>
      <c r="AU58" s="73">
        <v>1045.25</v>
      </c>
      <c r="AV58" s="73"/>
      <c r="AW58" s="73"/>
      <c r="AX58" s="73"/>
      <c r="AY58" s="73"/>
      <c r="AZ58" s="73"/>
      <c r="BA58" s="73"/>
      <c r="BB58" s="73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94">
        <f t="shared" si="1"/>
        <v>4338.25</v>
      </c>
      <c r="CF58" s="151">
        <f t="shared" si="2"/>
        <v>0</v>
      </c>
      <c r="CG58" s="75">
        <f t="shared" si="3"/>
        <v>3915</v>
      </c>
      <c r="CH58" s="69" t="str">
        <f t="shared" si="3"/>
        <v>ماليزى اسنان</v>
      </c>
    </row>
    <row r="59" spans="1:86" ht="18.75" x14ac:dyDescent="0.25">
      <c r="A59" s="148"/>
      <c r="B59" s="70">
        <v>7981</v>
      </c>
      <c r="C59" s="149">
        <v>3916</v>
      </c>
      <c r="D59" s="71" t="s">
        <v>121</v>
      </c>
      <c r="E59" s="150" t="s">
        <v>3110</v>
      </c>
      <c r="F59" s="63"/>
      <c r="G59" s="73">
        <v>1172.5</v>
      </c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94">
        <f t="shared" si="0"/>
        <v>1172.5</v>
      </c>
      <c r="AS59" s="73">
        <v>784.1</v>
      </c>
      <c r="AT59" s="73">
        <v>105.9</v>
      </c>
      <c r="AU59" s="73">
        <v>282.5</v>
      </c>
      <c r="AV59" s="73"/>
      <c r="AW59" s="73"/>
      <c r="AX59" s="73"/>
      <c r="AY59" s="73"/>
      <c r="AZ59" s="73"/>
      <c r="BA59" s="73"/>
      <c r="BB59" s="73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94">
        <f t="shared" si="1"/>
        <v>1172.5</v>
      </c>
      <c r="CF59" s="151">
        <f t="shared" si="2"/>
        <v>0</v>
      </c>
      <c r="CG59" s="75">
        <f t="shared" si="3"/>
        <v>3916</v>
      </c>
      <c r="CH59" s="69" t="str">
        <f t="shared" si="3"/>
        <v>ماليزى اسنان</v>
      </c>
    </row>
    <row r="60" spans="1:86" ht="18.75" x14ac:dyDescent="0.25">
      <c r="A60" s="148"/>
      <c r="B60" s="70">
        <v>7979</v>
      </c>
      <c r="C60" s="149">
        <v>3917</v>
      </c>
      <c r="D60" s="71" t="s">
        <v>121</v>
      </c>
      <c r="E60" s="150" t="s">
        <v>3111</v>
      </c>
      <c r="F60" s="63"/>
      <c r="G60" s="73">
        <v>644.88</v>
      </c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94">
        <f t="shared" si="0"/>
        <v>644.88</v>
      </c>
      <c r="AS60" s="73">
        <v>431.4</v>
      </c>
      <c r="AT60" s="73">
        <f>3.1+55</f>
        <v>58.1</v>
      </c>
      <c r="AU60" s="73">
        <v>155.38</v>
      </c>
      <c r="AV60" s="73"/>
      <c r="AW60" s="73"/>
      <c r="AX60" s="73"/>
      <c r="AY60" s="73"/>
      <c r="AZ60" s="73"/>
      <c r="BA60" s="73"/>
      <c r="BB60" s="73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94">
        <f t="shared" si="1"/>
        <v>644.88</v>
      </c>
      <c r="CF60" s="151">
        <f t="shared" si="2"/>
        <v>0</v>
      </c>
      <c r="CG60" s="75">
        <f t="shared" si="3"/>
        <v>3917</v>
      </c>
      <c r="CH60" s="69" t="str">
        <f t="shared" si="3"/>
        <v>ماليزى اسنان</v>
      </c>
    </row>
    <row r="61" spans="1:86" ht="18.75" x14ac:dyDescent="0.25">
      <c r="A61" s="148"/>
      <c r="B61" s="70">
        <v>7978</v>
      </c>
      <c r="C61" s="149">
        <v>3918</v>
      </c>
      <c r="D61" s="71" t="s">
        <v>121</v>
      </c>
      <c r="E61" s="150" t="s">
        <v>3112</v>
      </c>
      <c r="F61" s="63"/>
      <c r="G61" s="73">
        <v>2600</v>
      </c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94">
        <f t="shared" si="0"/>
        <v>2600</v>
      </c>
      <c r="AS61" s="73">
        <v>2322.85</v>
      </c>
      <c r="AT61" s="73">
        <v>277.14999999999998</v>
      </c>
      <c r="AU61" s="73"/>
      <c r="AV61" s="73"/>
      <c r="AW61" s="73"/>
      <c r="AX61" s="73"/>
      <c r="AY61" s="73"/>
      <c r="AZ61" s="73"/>
      <c r="BA61" s="73"/>
      <c r="BB61" s="73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94">
        <f t="shared" si="1"/>
        <v>2600</v>
      </c>
      <c r="CF61" s="151">
        <f t="shared" si="2"/>
        <v>0</v>
      </c>
      <c r="CG61" s="75">
        <f t="shared" si="3"/>
        <v>3918</v>
      </c>
      <c r="CH61" s="69" t="str">
        <f t="shared" si="3"/>
        <v>ماليزى اسنان</v>
      </c>
    </row>
    <row r="62" spans="1:86" ht="18.75" x14ac:dyDescent="0.25">
      <c r="A62" s="148"/>
      <c r="B62" s="70">
        <v>7976</v>
      </c>
      <c r="C62" s="149">
        <v>3919</v>
      </c>
      <c r="D62" s="71" t="s">
        <v>121</v>
      </c>
      <c r="E62" s="150" t="s">
        <v>3113</v>
      </c>
      <c r="F62" s="63"/>
      <c r="G62" s="73">
        <v>879.38</v>
      </c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94">
        <f t="shared" si="0"/>
        <v>879.38</v>
      </c>
      <c r="AS62" s="73">
        <v>588.15</v>
      </c>
      <c r="AT62" s="73">
        <v>79.349999999999994</v>
      </c>
      <c r="AU62" s="73">
        <v>211.88</v>
      </c>
      <c r="AV62" s="73"/>
      <c r="AW62" s="73"/>
      <c r="AX62" s="73"/>
      <c r="AY62" s="73"/>
      <c r="AZ62" s="73"/>
      <c r="BA62" s="73"/>
      <c r="BB62" s="73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94">
        <f t="shared" si="1"/>
        <v>879.38</v>
      </c>
      <c r="CF62" s="151">
        <f t="shared" si="2"/>
        <v>0</v>
      </c>
      <c r="CG62" s="75">
        <f t="shared" si="3"/>
        <v>3919</v>
      </c>
      <c r="CH62" s="69" t="str">
        <f t="shared" si="3"/>
        <v>ماليزى اسنان</v>
      </c>
    </row>
    <row r="63" spans="1:86" ht="18.75" x14ac:dyDescent="0.25">
      <c r="A63" s="148"/>
      <c r="B63" s="70">
        <v>7975</v>
      </c>
      <c r="C63" s="149">
        <v>3920</v>
      </c>
      <c r="D63" s="71" t="s">
        <v>121</v>
      </c>
      <c r="E63" s="150" t="s">
        <v>3114</v>
      </c>
      <c r="F63" s="63"/>
      <c r="G63" s="73">
        <v>1586.25</v>
      </c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94">
        <f t="shared" si="0"/>
        <v>1586.25</v>
      </c>
      <c r="AS63" s="73">
        <v>1285.75</v>
      </c>
      <c r="AT63" s="73">
        <v>159.25</v>
      </c>
      <c r="AU63" s="73">
        <v>141.25</v>
      </c>
      <c r="AV63" s="73"/>
      <c r="AW63" s="73"/>
      <c r="AX63" s="73"/>
      <c r="AY63" s="73"/>
      <c r="AZ63" s="73"/>
      <c r="BA63" s="73"/>
      <c r="BB63" s="73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94">
        <f t="shared" si="1"/>
        <v>1586.25</v>
      </c>
      <c r="CF63" s="151">
        <f t="shared" si="2"/>
        <v>0</v>
      </c>
      <c r="CG63" s="75">
        <f t="shared" si="3"/>
        <v>3920</v>
      </c>
      <c r="CH63" s="69" t="str">
        <f t="shared" si="3"/>
        <v>ماليزى اسنان</v>
      </c>
    </row>
    <row r="64" spans="1:86" ht="18.75" x14ac:dyDescent="0.25">
      <c r="A64" s="148"/>
      <c r="B64" s="70">
        <v>7974</v>
      </c>
      <c r="C64" s="149">
        <v>3921</v>
      </c>
      <c r="D64" s="71" t="s">
        <v>121</v>
      </c>
      <c r="E64" s="150" t="s">
        <v>3115</v>
      </c>
      <c r="F64" s="63"/>
      <c r="G64" s="73">
        <v>3048.5</v>
      </c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94">
        <f t="shared" si="0"/>
        <v>3048.5</v>
      </c>
      <c r="AS64" s="73">
        <v>2038.8</v>
      </c>
      <c r="AT64" s="73">
        <v>275.2</v>
      </c>
      <c r="AU64" s="73">
        <v>734.5</v>
      </c>
      <c r="AV64" s="73"/>
      <c r="AW64" s="73"/>
      <c r="AX64" s="73"/>
      <c r="AY64" s="73"/>
      <c r="AZ64" s="73"/>
      <c r="BA64" s="73"/>
      <c r="BB64" s="73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94">
        <f t="shared" si="1"/>
        <v>3048.5</v>
      </c>
      <c r="CF64" s="151">
        <f t="shared" si="2"/>
        <v>0</v>
      </c>
      <c r="CG64" s="75">
        <f t="shared" si="3"/>
        <v>3921</v>
      </c>
      <c r="CH64" s="69" t="str">
        <f t="shared" si="3"/>
        <v>ماليزى اسنان</v>
      </c>
    </row>
    <row r="65" spans="1:86" ht="18.75" x14ac:dyDescent="0.25">
      <c r="A65" s="148"/>
      <c r="B65" s="70">
        <v>7969</v>
      </c>
      <c r="C65" s="149">
        <v>3922</v>
      </c>
      <c r="D65" s="71" t="s">
        <v>121</v>
      </c>
      <c r="E65" s="150" t="s">
        <v>3116</v>
      </c>
      <c r="F65" s="63"/>
      <c r="G65" s="73">
        <v>7431.25</v>
      </c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94">
        <f t="shared" si="0"/>
        <v>7431.25</v>
      </c>
      <c r="AS65" s="73">
        <v>5979.75</v>
      </c>
      <c r="AT65" s="73">
        <v>745.25</v>
      </c>
      <c r="AU65" s="73">
        <v>706.25</v>
      </c>
      <c r="AV65" s="73"/>
      <c r="AW65" s="73"/>
      <c r="AX65" s="73"/>
      <c r="AY65" s="73"/>
      <c r="AZ65" s="73"/>
      <c r="BA65" s="73"/>
      <c r="BB65" s="73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94">
        <f t="shared" si="1"/>
        <v>7431.25</v>
      </c>
      <c r="CF65" s="151">
        <f t="shared" si="2"/>
        <v>0</v>
      </c>
      <c r="CG65" s="75">
        <f t="shared" si="3"/>
        <v>3922</v>
      </c>
      <c r="CH65" s="69" t="str">
        <f t="shared" si="3"/>
        <v>ماليزى اسنان</v>
      </c>
    </row>
    <row r="66" spans="1:86" ht="18.75" x14ac:dyDescent="0.25">
      <c r="A66" s="148"/>
      <c r="B66" s="78">
        <v>7968</v>
      </c>
      <c r="C66" s="149">
        <v>3923</v>
      </c>
      <c r="D66" s="71" t="s">
        <v>121</v>
      </c>
      <c r="E66" s="150" t="s">
        <v>3116</v>
      </c>
      <c r="F66" s="63"/>
      <c r="G66" s="73">
        <v>586.25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94">
        <f t="shared" si="0"/>
        <v>586.25</v>
      </c>
      <c r="AS66" s="73">
        <v>392.4</v>
      </c>
      <c r="AT66" s="73">
        <v>52.6</v>
      </c>
      <c r="AU66" s="73">
        <v>141.25</v>
      </c>
      <c r="AV66" s="73"/>
      <c r="AW66" s="73"/>
      <c r="AX66" s="73"/>
      <c r="AY66" s="73"/>
      <c r="AZ66" s="73"/>
      <c r="BA66" s="73"/>
      <c r="BB66" s="73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94">
        <f t="shared" si="1"/>
        <v>586.25</v>
      </c>
      <c r="CF66" s="151">
        <f t="shared" si="2"/>
        <v>0</v>
      </c>
      <c r="CG66" s="75">
        <f t="shared" si="3"/>
        <v>3923</v>
      </c>
      <c r="CH66" s="69" t="str">
        <f t="shared" si="3"/>
        <v>ماليزى اسنان</v>
      </c>
    </row>
    <row r="67" spans="1:86" ht="18.75" x14ac:dyDescent="0.25">
      <c r="A67" s="148"/>
      <c r="B67" s="78">
        <v>7967</v>
      </c>
      <c r="C67" s="149">
        <v>3924</v>
      </c>
      <c r="D67" s="71" t="s">
        <v>121</v>
      </c>
      <c r="E67" s="150" t="s">
        <v>3116</v>
      </c>
      <c r="F67" s="63"/>
      <c r="G67" s="73">
        <v>586.25</v>
      </c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94">
        <f t="shared" si="0"/>
        <v>586.25</v>
      </c>
      <c r="AS67" s="73">
        <v>392.4</v>
      </c>
      <c r="AT67" s="73">
        <v>52.6</v>
      </c>
      <c r="AU67" s="73">
        <v>141.25</v>
      </c>
      <c r="AV67" s="73"/>
      <c r="AW67" s="73"/>
      <c r="AX67" s="73"/>
      <c r="AY67" s="73"/>
      <c r="AZ67" s="73"/>
      <c r="BA67" s="73"/>
      <c r="BB67" s="73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94">
        <f t="shared" si="1"/>
        <v>586.25</v>
      </c>
      <c r="CF67" s="151">
        <f t="shared" si="2"/>
        <v>0</v>
      </c>
      <c r="CG67" s="75">
        <f t="shared" si="3"/>
        <v>3924</v>
      </c>
      <c r="CH67" s="69" t="str">
        <f t="shared" si="3"/>
        <v>ماليزى اسنان</v>
      </c>
    </row>
    <row r="68" spans="1:86" ht="18.75" x14ac:dyDescent="0.25">
      <c r="A68" s="148"/>
      <c r="B68" s="78">
        <v>7984</v>
      </c>
      <c r="C68" s="149">
        <v>3925</v>
      </c>
      <c r="D68" s="71" t="s">
        <v>121</v>
      </c>
      <c r="E68" s="157" t="s">
        <v>3117</v>
      </c>
      <c r="F68" s="63"/>
      <c r="G68" s="73">
        <v>46498.69</v>
      </c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94">
        <f t="shared" si="0"/>
        <v>46498.69</v>
      </c>
      <c r="AS68" s="73">
        <v>33322.519999999997</v>
      </c>
      <c r="AT68" s="73">
        <v>4375.8</v>
      </c>
      <c r="AU68" s="73">
        <v>8800.3700000000008</v>
      </c>
      <c r="AV68" s="73"/>
      <c r="AW68" s="73"/>
      <c r="AX68" s="73"/>
      <c r="AY68" s="73"/>
      <c r="AZ68" s="73"/>
      <c r="BA68" s="73"/>
      <c r="BB68" s="73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94">
        <f t="shared" si="1"/>
        <v>46498.69</v>
      </c>
      <c r="CF68" s="151">
        <f t="shared" si="2"/>
        <v>0</v>
      </c>
      <c r="CG68" s="75">
        <f t="shared" si="3"/>
        <v>3925</v>
      </c>
      <c r="CH68" s="69" t="str">
        <f t="shared" si="3"/>
        <v>ماليزى اسنان</v>
      </c>
    </row>
    <row r="69" spans="1:86" ht="18.75" x14ac:dyDescent="0.25">
      <c r="A69" s="148"/>
      <c r="B69" s="78">
        <v>7964</v>
      </c>
      <c r="C69" s="149">
        <v>3926</v>
      </c>
      <c r="D69" s="71" t="s">
        <v>121</v>
      </c>
      <c r="E69" s="157" t="s">
        <v>3118</v>
      </c>
      <c r="F69" s="63"/>
      <c r="G69" s="73">
        <v>9380</v>
      </c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94">
        <f t="shared" si="0"/>
        <v>9380</v>
      </c>
      <c r="AS69" s="73">
        <v>6269.4</v>
      </c>
      <c r="AT69" s="73">
        <v>850.6</v>
      </c>
      <c r="AU69" s="73">
        <v>2260</v>
      </c>
      <c r="AV69" s="73"/>
      <c r="AW69" s="73"/>
      <c r="AX69" s="73"/>
      <c r="AY69" s="73"/>
      <c r="AZ69" s="73"/>
      <c r="BA69" s="73"/>
      <c r="BB69" s="73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94">
        <f t="shared" si="1"/>
        <v>9380</v>
      </c>
      <c r="CF69" s="151">
        <f t="shared" si="2"/>
        <v>0</v>
      </c>
      <c r="CG69" s="75">
        <f t="shared" si="3"/>
        <v>3926</v>
      </c>
      <c r="CH69" s="69" t="str">
        <f t="shared" si="3"/>
        <v>ماليزى اسنان</v>
      </c>
    </row>
    <row r="70" spans="1:86" ht="18.75" x14ac:dyDescent="0.25">
      <c r="A70" s="148"/>
      <c r="B70" s="78">
        <v>7961</v>
      </c>
      <c r="C70" s="149">
        <v>3927</v>
      </c>
      <c r="D70" s="71" t="s">
        <v>121</v>
      </c>
      <c r="E70" s="157" t="s">
        <v>3119</v>
      </c>
      <c r="F70" s="63"/>
      <c r="G70" s="73">
        <v>3869.25</v>
      </c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94">
        <f t="shared" si="0"/>
        <v>3869.25</v>
      </c>
      <c r="AS70" s="73">
        <v>2587.6999999999998</v>
      </c>
      <c r="AT70" s="73">
        <v>349.3</v>
      </c>
      <c r="AU70" s="73">
        <v>932.25</v>
      </c>
      <c r="AV70" s="73"/>
      <c r="AW70" s="73"/>
      <c r="AX70" s="73"/>
      <c r="AY70" s="73"/>
      <c r="AZ70" s="73"/>
      <c r="BA70" s="73"/>
      <c r="BB70" s="73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94">
        <f t="shared" si="1"/>
        <v>3869.25</v>
      </c>
      <c r="CF70" s="151">
        <f t="shared" si="2"/>
        <v>0</v>
      </c>
      <c r="CG70" s="75">
        <f t="shared" si="3"/>
        <v>3927</v>
      </c>
      <c r="CH70" s="69" t="str">
        <f t="shared" si="3"/>
        <v>ماليزى اسنان</v>
      </c>
    </row>
    <row r="71" spans="1:86" ht="18.75" x14ac:dyDescent="0.25">
      <c r="A71" s="148"/>
      <c r="B71" s="78">
        <v>7960</v>
      </c>
      <c r="C71" s="149">
        <v>3928</v>
      </c>
      <c r="D71" s="71" t="s">
        <v>121</v>
      </c>
      <c r="E71" s="157" t="s">
        <v>3120</v>
      </c>
      <c r="F71" s="63"/>
      <c r="G71" s="73">
        <v>4408.6000000000004</v>
      </c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94">
        <f t="shared" si="0"/>
        <v>4408.6000000000004</v>
      </c>
      <c r="AS71" s="73">
        <v>2951.15</v>
      </c>
      <c r="AT71" s="73">
        <v>395.25</v>
      </c>
      <c r="AU71" s="73">
        <v>1062.2</v>
      </c>
      <c r="AV71" s="73"/>
      <c r="AW71" s="73"/>
      <c r="AX71" s="73"/>
      <c r="AY71" s="73"/>
      <c r="AZ71" s="73"/>
      <c r="BA71" s="73"/>
      <c r="BB71" s="73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94">
        <f t="shared" si="1"/>
        <v>4408.6000000000004</v>
      </c>
      <c r="CF71" s="151">
        <f t="shared" si="2"/>
        <v>0</v>
      </c>
      <c r="CG71" s="75">
        <f t="shared" si="3"/>
        <v>3928</v>
      </c>
      <c r="CH71" s="69" t="str">
        <f t="shared" si="3"/>
        <v>ماليزى اسنان</v>
      </c>
    </row>
    <row r="72" spans="1:86" ht="18.75" x14ac:dyDescent="0.25">
      <c r="A72" s="148"/>
      <c r="B72" s="78">
        <v>7958</v>
      </c>
      <c r="C72" s="149">
        <v>3929</v>
      </c>
      <c r="D72" s="71" t="s">
        <v>121</v>
      </c>
      <c r="E72" s="157" t="s">
        <v>3121</v>
      </c>
      <c r="F72" s="63"/>
      <c r="G72" s="73">
        <v>5276.25</v>
      </c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94">
        <f t="shared" si="0"/>
        <v>5276.25</v>
      </c>
      <c r="AS72" s="73">
        <v>3528.95</v>
      </c>
      <c r="AT72" s="73">
        <v>476.05</v>
      </c>
      <c r="AU72" s="73">
        <v>1271.25</v>
      </c>
      <c r="AV72" s="73"/>
      <c r="AW72" s="73"/>
      <c r="AX72" s="73"/>
      <c r="AY72" s="73"/>
      <c r="AZ72" s="73"/>
      <c r="BA72" s="73"/>
      <c r="BB72" s="73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94">
        <f>SUM(AS72:CD72)</f>
        <v>5276.25</v>
      </c>
      <c r="CF72" s="151">
        <f t="shared" si="2"/>
        <v>0</v>
      </c>
      <c r="CG72" s="75">
        <f t="shared" si="3"/>
        <v>3929</v>
      </c>
      <c r="CH72" s="69" t="str">
        <f t="shared" si="3"/>
        <v>ماليزى اسنان</v>
      </c>
    </row>
    <row r="73" spans="1:86" ht="18.75" x14ac:dyDescent="0.25">
      <c r="A73" s="148"/>
      <c r="B73" s="78">
        <v>7957</v>
      </c>
      <c r="C73" s="149">
        <v>3930</v>
      </c>
      <c r="D73" s="71" t="s">
        <v>121</v>
      </c>
      <c r="E73" s="157" t="s">
        <v>3122</v>
      </c>
      <c r="F73" s="63"/>
      <c r="G73" s="73">
        <v>2345</v>
      </c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94">
        <f t="shared" si="0"/>
        <v>2345</v>
      </c>
      <c r="AS73" s="73">
        <v>1570</v>
      </c>
      <c r="AT73" s="73">
        <v>210</v>
      </c>
      <c r="AU73" s="73">
        <v>565</v>
      </c>
      <c r="AV73" s="73"/>
      <c r="AW73" s="73"/>
      <c r="AX73" s="73"/>
      <c r="AY73" s="73"/>
      <c r="AZ73" s="73"/>
      <c r="BA73" s="73"/>
      <c r="BB73" s="73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94">
        <f t="shared" si="1"/>
        <v>2345</v>
      </c>
      <c r="CF73" s="151">
        <f t="shared" si="2"/>
        <v>0</v>
      </c>
      <c r="CG73" s="75">
        <f t="shared" si="3"/>
        <v>3930</v>
      </c>
      <c r="CH73" s="69" t="str">
        <f t="shared" si="3"/>
        <v>ماليزى اسنان</v>
      </c>
    </row>
    <row r="74" spans="1:86" ht="18.75" x14ac:dyDescent="0.25">
      <c r="A74" s="148"/>
      <c r="B74" s="78">
        <v>7956</v>
      </c>
      <c r="C74" s="149">
        <v>3931</v>
      </c>
      <c r="D74" s="71" t="s">
        <v>121</v>
      </c>
      <c r="E74" s="157" t="s">
        <v>3123</v>
      </c>
      <c r="F74" s="63"/>
      <c r="G74" s="73">
        <v>10158.81</v>
      </c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94">
        <f t="shared" si="0"/>
        <v>10158.81</v>
      </c>
      <c r="AS74" s="73">
        <v>8482.35</v>
      </c>
      <c r="AT74" s="73">
        <v>1047.9000000000001</v>
      </c>
      <c r="AU74" s="73">
        <v>628.55999999999995</v>
      </c>
      <c r="AV74" s="73"/>
      <c r="AW74" s="73"/>
      <c r="AX74" s="73"/>
      <c r="AY74" s="73"/>
      <c r="AZ74" s="73"/>
      <c r="BA74" s="73"/>
      <c r="BB74" s="73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94">
        <f t="shared" si="1"/>
        <v>10158.81</v>
      </c>
      <c r="CF74" s="151">
        <f t="shared" si="2"/>
        <v>0</v>
      </c>
      <c r="CG74" s="75">
        <f t="shared" si="3"/>
        <v>3931</v>
      </c>
      <c r="CH74" s="69" t="str">
        <f t="shared" si="3"/>
        <v>ماليزى اسنان</v>
      </c>
    </row>
    <row r="75" spans="1:86" ht="18.75" x14ac:dyDescent="0.25">
      <c r="A75" s="148"/>
      <c r="B75" s="78">
        <v>7954</v>
      </c>
      <c r="C75" s="149">
        <v>3932</v>
      </c>
      <c r="D75" s="71" t="s">
        <v>121</v>
      </c>
      <c r="E75" s="157" t="s">
        <v>3124</v>
      </c>
      <c r="F75" s="63"/>
      <c r="G75" s="73">
        <v>10538.38</v>
      </c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94">
        <f t="shared" si="0"/>
        <v>10538.38</v>
      </c>
      <c r="AS75" s="73">
        <v>8054.05</v>
      </c>
      <c r="AT75" s="73">
        <v>1029.45</v>
      </c>
      <c r="AU75" s="73">
        <v>1454.88</v>
      </c>
      <c r="AV75" s="73"/>
      <c r="AW75" s="73"/>
      <c r="AX75" s="73"/>
      <c r="AY75" s="73"/>
      <c r="AZ75" s="73"/>
      <c r="BA75" s="73"/>
      <c r="BB75" s="73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94">
        <f t="shared" si="1"/>
        <v>10538.380000000001</v>
      </c>
      <c r="CF75" s="151">
        <f t="shared" si="2"/>
        <v>0</v>
      </c>
      <c r="CG75" s="75">
        <f t="shared" si="3"/>
        <v>3932</v>
      </c>
      <c r="CH75" s="69" t="str">
        <f t="shared" si="3"/>
        <v>ماليزى اسنان</v>
      </c>
    </row>
    <row r="76" spans="1:86" ht="18.75" x14ac:dyDescent="0.25">
      <c r="A76" s="148"/>
      <c r="B76" s="78">
        <v>7953</v>
      </c>
      <c r="C76" s="149">
        <v>3933</v>
      </c>
      <c r="D76" s="71" t="s">
        <v>121</v>
      </c>
      <c r="E76" s="157" t="s">
        <v>3124</v>
      </c>
      <c r="F76" s="63"/>
      <c r="G76" s="73">
        <v>8769.5</v>
      </c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94">
        <f t="shared" si="0"/>
        <v>8769.5</v>
      </c>
      <c r="AS76" s="73">
        <v>6198.55</v>
      </c>
      <c r="AT76" s="73">
        <v>819.45</v>
      </c>
      <c r="AU76" s="73">
        <v>1751.5</v>
      </c>
      <c r="AV76" s="73"/>
      <c r="AW76" s="73"/>
      <c r="AX76" s="73"/>
      <c r="AY76" s="73"/>
      <c r="AZ76" s="73"/>
      <c r="BA76" s="73"/>
      <c r="BB76" s="73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94">
        <f t="shared" si="1"/>
        <v>8769.5</v>
      </c>
      <c r="CF76" s="151">
        <f t="shared" si="2"/>
        <v>0</v>
      </c>
      <c r="CG76" s="75">
        <f t="shared" si="3"/>
        <v>3933</v>
      </c>
      <c r="CH76" s="69" t="str">
        <f t="shared" si="3"/>
        <v>ماليزى اسنان</v>
      </c>
    </row>
    <row r="77" spans="1:86" ht="18.75" x14ac:dyDescent="0.25">
      <c r="A77" s="148"/>
      <c r="B77" s="78">
        <v>7952</v>
      </c>
      <c r="C77" s="149">
        <v>3934</v>
      </c>
      <c r="D77" s="71" t="s">
        <v>121</v>
      </c>
      <c r="E77" s="157" t="s">
        <v>3125</v>
      </c>
      <c r="F77" s="63"/>
      <c r="G77" s="73">
        <v>15056.41</v>
      </c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94">
        <f t="shared" si="0"/>
        <v>15056.41</v>
      </c>
      <c r="AS77" s="73">
        <v>10074.26</v>
      </c>
      <c r="AT77" s="73">
        <v>1368.75</v>
      </c>
      <c r="AU77" s="73">
        <v>3613.4</v>
      </c>
      <c r="AV77" s="73"/>
      <c r="AW77" s="73"/>
      <c r="AX77" s="73"/>
      <c r="AY77" s="73"/>
      <c r="AZ77" s="73"/>
      <c r="BA77" s="73"/>
      <c r="BB77" s="73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94">
        <f t="shared" si="1"/>
        <v>15056.41</v>
      </c>
      <c r="CF77" s="151">
        <f t="shared" si="2"/>
        <v>0</v>
      </c>
      <c r="CG77" s="75">
        <f t="shared" si="3"/>
        <v>3934</v>
      </c>
      <c r="CH77" s="69" t="str">
        <f t="shared" si="3"/>
        <v>ماليزى اسنان</v>
      </c>
    </row>
    <row r="78" spans="1:86" ht="18.75" x14ac:dyDescent="0.25">
      <c r="A78" s="148"/>
      <c r="B78" s="78">
        <v>7950</v>
      </c>
      <c r="C78" s="149">
        <v>3935</v>
      </c>
      <c r="D78" s="71" t="s">
        <v>121</v>
      </c>
      <c r="E78" s="157" t="s">
        <v>3126</v>
      </c>
      <c r="F78" s="63"/>
      <c r="G78" s="73">
        <v>5134</v>
      </c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94">
        <f t="shared" si="0"/>
        <v>5134</v>
      </c>
      <c r="AS78" s="73">
        <v>3615.37</v>
      </c>
      <c r="AT78" s="73">
        <v>480.35</v>
      </c>
      <c r="AU78" s="73">
        <v>1038.28</v>
      </c>
      <c r="AV78" s="73"/>
      <c r="AW78" s="73"/>
      <c r="AX78" s="73"/>
      <c r="AY78" s="73"/>
      <c r="AZ78" s="73"/>
      <c r="BA78" s="73"/>
      <c r="BB78" s="73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94">
        <f t="shared" si="1"/>
        <v>5134</v>
      </c>
      <c r="CF78" s="151">
        <f t="shared" si="2"/>
        <v>0</v>
      </c>
      <c r="CG78" s="75">
        <f t="shared" si="3"/>
        <v>3935</v>
      </c>
      <c r="CH78" s="69" t="str">
        <f t="shared" si="3"/>
        <v>ماليزى اسنان</v>
      </c>
    </row>
    <row r="79" spans="1:86" ht="18.75" x14ac:dyDescent="0.25">
      <c r="A79" s="148"/>
      <c r="B79" s="78">
        <v>7949</v>
      </c>
      <c r="C79" s="149">
        <v>3936</v>
      </c>
      <c r="D79" s="71" t="s">
        <v>121</v>
      </c>
      <c r="E79" s="157" t="s">
        <v>3126</v>
      </c>
      <c r="F79" s="63"/>
      <c r="G79" s="73">
        <v>5510.75</v>
      </c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94">
        <f t="shared" si="0"/>
        <v>5510.75</v>
      </c>
      <c r="AS79" s="73">
        <v>3682.7</v>
      </c>
      <c r="AT79" s="73">
        <v>500.3</v>
      </c>
      <c r="AU79" s="73">
        <v>1327.75</v>
      </c>
      <c r="AV79" s="73"/>
      <c r="AW79" s="73"/>
      <c r="AX79" s="73"/>
      <c r="AY79" s="73"/>
      <c r="AZ79" s="73"/>
      <c r="BA79" s="73"/>
      <c r="BB79" s="73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94">
        <f t="shared" si="1"/>
        <v>5510.75</v>
      </c>
      <c r="CF79" s="151">
        <f t="shared" si="2"/>
        <v>0</v>
      </c>
      <c r="CG79" s="75">
        <f t="shared" si="3"/>
        <v>3936</v>
      </c>
      <c r="CH79" s="69" t="str">
        <f t="shared" si="3"/>
        <v>ماليزى اسنان</v>
      </c>
    </row>
    <row r="80" spans="1:86" ht="18.75" x14ac:dyDescent="0.25">
      <c r="A80" s="148"/>
      <c r="B80" s="78">
        <v>7944</v>
      </c>
      <c r="C80" s="149">
        <v>3937</v>
      </c>
      <c r="D80" s="71" t="s">
        <v>121</v>
      </c>
      <c r="E80" s="157" t="s">
        <v>3127</v>
      </c>
      <c r="F80" s="63"/>
      <c r="G80" s="73">
        <v>22138.74</v>
      </c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94">
        <f t="shared" si="0"/>
        <v>22138.74</v>
      </c>
      <c r="AS80" s="73">
        <v>17261.900000000001</v>
      </c>
      <c r="AT80" s="73">
        <v>2193.1</v>
      </c>
      <c r="AU80" s="73">
        <v>2683.74</v>
      </c>
      <c r="AV80" s="73"/>
      <c r="AW80" s="73"/>
      <c r="AX80" s="73"/>
      <c r="AY80" s="73"/>
      <c r="AZ80" s="73"/>
      <c r="BA80" s="73"/>
      <c r="BB80" s="73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94">
        <f t="shared" si="1"/>
        <v>22138.739999999998</v>
      </c>
      <c r="CF80" s="151">
        <f t="shared" si="2"/>
        <v>0</v>
      </c>
      <c r="CG80" s="75">
        <f t="shared" si="3"/>
        <v>3937</v>
      </c>
      <c r="CH80" s="69" t="str">
        <f t="shared" si="3"/>
        <v>ماليزى اسنان</v>
      </c>
    </row>
    <row r="81" spans="1:86" ht="18.75" x14ac:dyDescent="0.25">
      <c r="A81" s="148"/>
      <c r="B81" s="78">
        <v>7943</v>
      </c>
      <c r="C81" s="149">
        <v>3938</v>
      </c>
      <c r="D81" s="71" t="s">
        <v>121</v>
      </c>
      <c r="E81" s="157" t="s">
        <v>3128</v>
      </c>
      <c r="F81" s="63"/>
      <c r="G81" s="73">
        <v>820.76</v>
      </c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94">
        <f t="shared" si="0"/>
        <v>820.76</v>
      </c>
      <c r="AS81" s="73">
        <v>549.6</v>
      </c>
      <c r="AT81" s="73">
        <v>73.400000000000006</v>
      </c>
      <c r="AU81" s="73">
        <v>197.76</v>
      </c>
      <c r="AV81" s="73"/>
      <c r="AW81" s="73"/>
      <c r="AX81" s="73"/>
      <c r="AY81" s="73"/>
      <c r="AZ81" s="73"/>
      <c r="BA81" s="73"/>
      <c r="BB81" s="73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94">
        <f t="shared" si="1"/>
        <v>820.76</v>
      </c>
      <c r="CF81" s="151">
        <f t="shared" si="2"/>
        <v>0</v>
      </c>
      <c r="CG81" s="75">
        <f t="shared" si="3"/>
        <v>3938</v>
      </c>
      <c r="CH81" s="69" t="str">
        <f t="shared" si="3"/>
        <v>ماليزى اسنان</v>
      </c>
    </row>
    <row r="82" spans="1:86" ht="18.75" x14ac:dyDescent="0.25">
      <c r="A82" s="148"/>
      <c r="B82" s="78">
        <v>7942</v>
      </c>
      <c r="C82" s="149">
        <v>3939</v>
      </c>
      <c r="D82" s="71" t="s">
        <v>121</v>
      </c>
      <c r="E82" s="157" t="s">
        <v>3128</v>
      </c>
      <c r="F82" s="63"/>
      <c r="G82" s="73">
        <v>2051.9</v>
      </c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94">
        <f t="shared" si="0"/>
        <v>2051.9</v>
      </c>
      <c r="AS82" s="73">
        <v>1374</v>
      </c>
      <c r="AT82" s="73">
        <v>183.5</v>
      </c>
      <c r="AU82" s="73">
        <v>494.4</v>
      </c>
      <c r="AV82" s="73"/>
      <c r="AW82" s="73"/>
      <c r="AX82" s="73"/>
      <c r="AY82" s="73"/>
      <c r="AZ82" s="73"/>
      <c r="BA82" s="73"/>
      <c r="BB82" s="73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94">
        <f t="shared" si="1"/>
        <v>2051.9</v>
      </c>
      <c r="CF82" s="151">
        <f t="shared" si="2"/>
        <v>0</v>
      </c>
      <c r="CG82" s="75">
        <f t="shared" si="3"/>
        <v>3939</v>
      </c>
      <c r="CH82" s="69" t="str">
        <f t="shared" si="3"/>
        <v>ماليزى اسنان</v>
      </c>
    </row>
    <row r="83" spans="1:86" ht="18.75" x14ac:dyDescent="0.25">
      <c r="A83" s="148"/>
      <c r="B83" s="78">
        <v>7941</v>
      </c>
      <c r="C83" s="149">
        <v>3940</v>
      </c>
      <c r="D83" s="71" t="s">
        <v>121</v>
      </c>
      <c r="E83" s="157" t="s">
        <v>3128</v>
      </c>
      <c r="F83" s="63"/>
      <c r="G83" s="73">
        <v>4045.14</v>
      </c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94">
        <f t="shared" si="0"/>
        <v>4045.14</v>
      </c>
      <c r="AS83" s="73">
        <v>2708.4</v>
      </c>
      <c r="AT83" s="73">
        <v>362.1</v>
      </c>
      <c r="AU83" s="73">
        <v>974.64</v>
      </c>
      <c r="AV83" s="73"/>
      <c r="AW83" s="73"/>
      <c r="AX83" s="73"/>
      <c r="AY83" s="73"/>
      <c r="AZ83" s="73"/>
      <c r="BA83" s="73"/>
      <c r="BB83" s="73"/>
      <c r="BC83" s="69"/>
      <c r="BD83" s="69"/>
      <c r="BE83" s="69"/>
      <c r="BF83" s="69"/>
      <c r="BG83" s="69"/>
      <c r="BH83" s="69"/>
      <c r="BI83" s="69"/>
      <c r="BJ83" s="69"/>
      <c r="BK83" s="69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69"/>
      <c r="CE83" s="94">
        <f t="shared" si="1"/>
        <v>4045.14</v>
      </c>
      <c r="CF83" s="151">
        <f t="shared" si="2"/>
        <v>0</v>
      </c>
      <c r="CG83" s="75">
        <f t="shared" si="3"/>
        <v>3940</v>
      </c>
      <c r="CH83" s="69" t="str">
        <f t="shared" si="3"/>
        <v>ماليزى اسنان</v>
      </c>
    </row>
    <row r="84" spans="1:86" ht="18.75" x14ac:dyDescent="0.25">
      <c r="A84" s="148"/>
      <c r="B84" s="78">
        <v>7940</v>
      </c>
      <c r="C84" s="149">
        <v>3941</v>
      </c>
      <c r="D84" s="71" t="s">
        <v>121</v>
      </c>
      <c r="E84" s="157" t="s">
        <v>3129</v>
      </c>
      <c r="F84" s="63"/>
      <c r="G84" s="73">
        <v>1172.5</v>
      </c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94">
        <f t="shared" si="0"/>
        <v>1172.5</v>
      </c>
      <c r="AS84" s="73">
        <v>784.1</v>
      </c>
      <c r="AT84" s="73">
        <v>105.9</v>
      </c>
      <c r="AU84" s="73">
        <v>282.5</v>
      </c>
      <c r="AV84" s="73"/>
      <c r="AW84" s="73"/>
      <c r="AX84" s="73"/>
      <c r="AY84" s="73"/>
      <c r="AZ84" s="73"/>
      <c r="BA84" s="73"/>
      <c r="BB84" s="73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94">
        <f t="shared" si="1"/>
        <v>1172.5</v>
      </c>
      <c r="CF84" s="151">
        <f t="shared" si="2"/>
        <v>0</v>
      </c>
      <c r="CG84" s="75">
        <f t="shared" si="3"/>
        <v>3941</v>
      </c>
      <c r="CH84" s="69" t="str">
        <f t="shared" si="3"/>
        <v>ماليزى اسنان</v>
      </c>
    </row>
    <row r="85" spans="1:86" ht="18.75" x14ac:dyDescent="0.25">
      <c r="A85" s="148"/>
      <c r="B85" s="78">
        <v>7939</v>
      </c>
      <c r="C85" s="149">
        <v>3942</v>
      </c>
      <c r="D85" s="71" t="s">
        <v>121</v>
      </c>
      <c r="E85" s="157" t="s">
        <v>3130</v>
      </c>
      <c r="F85" s="63"/>
      <c r="G85" s="73">
        <v>8932.7999999999993</v>
      </c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94">
        <f t="shared" si="0"/>
        <v>8932.7999999999993</v>
      </c>
      <c r="AS85" s="73">
        <v>6934</v>
      </c>
      <c r="AT85" s="73">
        <v>880.6</v>
      </c>
      <c r="AU85" s="73">
        <v>1118.2</v>
      </c>
      <c r="AV85" s="73"/>
      <c r="AW85" s="73"/>
      <c r="AX85" s="73"/>
      <c r="AY85" s="73"/>
      <c r="AZ85" s="73"/>
      <c r="BA85" s="73"/>
      <c r="BB85" s="73"/>
      <c r="BC85" s="69"/>
      <c r="BD85" s="69"/>
      <c r="BE85" s="69"/>
      <c r="BF85" s="69"/>
      <c r="BG85" s="69"/>
      <c r="BH85" s="69"/>
      <c r="BI85" s="69"/>
      <c r="BJ85" s="69"/>
      <c r="BK85" s="69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  <c r="CD85" s="69"/>
      <c r="CE85" s="94">
        <f t="shared" si="1"/>
        <v>8932.8000000000011</v>
      </c>
      <c r="CF85" s="151">
        <f t="shared" si="2"/>
        <v>0</v>
      </c>
      <c r="CG85" s="75">
        <f t="shared" si="3"/>
        <v>3942</v>
      </c>
      <c r="CH85" s="69" t="str">
        <f t="shared" si="3"/>
        <v>ماليزى اسنان</v>
      </c>
    </row>
    <row r="86" spans="1:86" ht="18.75" x14ac:dyDescent="0.25">
      <c r="A86" s="148"/>
      <c r="B86" s="78">
        <v>7938</v>
      </c>
      <c r="C86" s="149">
        <v>3943</v>
      </c>
      <c r="D86" s="71" t="s">
        <v>121</v>
      </c>
      <c r="E86" s="157" t="s">
        <v>3131</v>
      </c>
      <c r="F86" s="63"/>
      <c r="G86" s="73">
        <v>4325.57</v>
      </c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94">
        <f t="shared" si="0"/>
        <v>4325.57</v>
      </c>
      <c r="AS86" s="73">
        <v>2984.42</v>
      </c>
      <c r="AT86" s="73">
        <v>398.55</v>
      </c>
      <c r="AU86" s="73">
        <v>942.6</v>
      </c>
      <c r="AV86" s="73"/>
      <c r="AW86" s="73"/>
      <c r="AX86" s="73"/>
      <c r="AY86" s="73"/>
      <c r="AZ86" s="73"/>
      <c r="BA86" s="73"/>
      <c r="BB86" s="73"/>
      <c r="BC86" s="69"/>
      <c r="BD86" s="69"/>
      <c r="BE86" s="69"/>
      <c r="BF86" s="69"/>
      <c r="BG86" s="69"/>
      <c r="BH86" s="69"/>
      <c r="BI86" s="69"/>
      <c r="BJ86" s="69"/>
      <c r="BK86" s="69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  <c r="CD86" s="69"/>
      <c r="CE86" s="94">
        <f t="shared" si="1"/>
        <v>4325.5700000000006</v>
      </c>
      <c r="CF86" s="151">
        <f t="shared" si="2"/>
        <v>0</v>
      </c>
      <c r="CG86" s="75">
        <f t="shared" si="3"/>
        <v>3943</v>
      </c>
      <c r="CH86" s="69" t="str">
        <f t="shared" si="3"/>
        <v>ماليزى اسنان</v>
      </c>
    </row>
    <row r="87" spans="1:86" ht="18.75" x14ac:dyDescent="0.25">
      <c r="A87" s="148"/>
      <c r="B87" s="78">
        <v>7983</v>
      </c>
      <c r="C87" s="149">
        <v>3944</v>
      </c>
      <c r="D87" s="71" t="s">
        <v>121</v>
      </c>
      <c r="E87" s="157" t="s">
        <v>3132</v>
      </c>
      <c r="F87" s="63"/>
      <c r="G87" s="73">
        <v>12457.84</v>
      </c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94">
        <f t="shared" si="0"/>
        <v>12457.84</v>
      </c>
      <c r="AS87" s="73">
        <v>8329.4</v>
      </c>
      <c r="AT87" s="73">
        <v>1126.8499999999999</v>
      </c>
      <c r="AU87" s="73">
        <v>3001.59</v>
      </c>
      <c r="AV87" s="73"/>
      <c r="AW87" s="73"/>
      <c r="AX87" s="73"/>
      <c r="AY87" s="73"/>
      <c r="AZ87" s="73"/>
      <c r="BA87" s="73"/>
      <c r="BB87" s="73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94">
        <f t="shared" si="1"/>
        <v>12457.84</v>
      </c>
      <c r="CF87" s="151">
        <f t="shared" si="2"/>
        <v>0</v>
      </c>
      <c r="CG87" s="75">
        <f t="shared" si="3"/>
        <v>3944</v>
      </c>
      <c r="CH87" s="69" t="str">
        <f t="shared" si="3"/>
        <v>ماليزى اسنان</v>
      </c>
    </row>
    <row r="88" spans="1:86" ht="18.75" x14ac:dyDescent="0.25">
      <c r="A88" s="148"/>
      <c r="B88" s="78">
        <v>7977</v>
      </c>
      <c r="C88" s="149">
        <v>3945</v>
      </c>
      <c r="D88" s="71" t="s">
        <v>121</v>
      </c>
      <c r="E88" s="157" t="s">
        <v>3133</v>
      </c>
      <c r="F88" s="63"/>
      <c r="G88" s="73">
        <v>2931.26</v>
      </c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94">
        <f t="shared" si="0"/>
        <v>2931.26</v>
      </c>
      <c r="AS88" s="73">
        <v>1959.3</v>
      </c>
      <c r="AT88" s="73">
        <v>265.7</v>
      </c>
      <c r="AU88" s="73">
        <v>706.26</v>
      </c>
      <c r="AV88" s="73"/>
      <c r="AW88" s="73"/>
      <c r="AX88" s="73"/>
      <c r="AY88" s="73"/>
      <c r="AZ88" s="73"/>
      <c r="BA88" s="73"/>
      <c r="BB88" s="73"/>
      <c r="BC88" s="69"/>
      <c r="BD88" s="69"/>
      <c r="BE88" s="69"/>
      <c r="BF88" s="69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69"/>
      <c r="BR88" s="69"/>
      <c r="BS88" s="69"/>
      <c r="BT88" s="69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94">
        <f t="shared" si="1"/>
        <v>2931.26</v>
      </c>
      <c r="CF88" s="151">
        <f t="shared" si="2"/>
        <v>0</v>
      </c>
      <c r="CG88" s="75">
        <f t="shared" si="3"/>
        <v>3945</v>
      </c>
      <c r="CH88" s="69" t="str">
        <f t="shared" si="3"/>
        <v>ماليزى اسنان</v>
      </c>
    </row>
    <row r="89" spans="1:86" ht="18.75" x14ac:dyDescent="0.25">
      <c r="A89" s="148"/>
      <c r="B89" s="78">
        <v>7963</v>
      </c>
      <c r="C89" s="149">
        <v>3946</v>
      </c>
      <c r="D89" s="71" t="s">
        <v>121</v>
      </c>
      <c r="E89" s="157" t="s">
        <v>3134</v>
      </c>
      <c r="F89" s="63"/>
      <c r="G89" s="73">
        <v>1700.12</v>
      </c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94">
        <f t="shared" si="0"/>
        <v>1700.12</v>
      </c>
      <c r="AS89" s="73">
        <v>1137.3</v>
      </c>
      <c r="AT89" s="73">
        <v>153.19999999999999</v>
      </c>
      <c r="AU89" s="73">
        <v>409.62</v>
      </c>
      <c r="AV89" s="73"/>
      <c r="AW89" s="73"/>
      <c r="AX89" s="73"/>
      <c r="AY89" s="73"/>
      <c r="AZ89" s="73"/>
      <c r="BA89" s="73"/>
      <c r="BB89" s="73"/>
      <c r="BC89" s="69"/>
      <c r="BD89" s="69"/>
      <c r="BE89" s="69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69"/>
      <c r="BR89" s="69"/>
      <c r="BS89" s="69"/>
      <c r="BT89" s="69"/>
      <c r="BU89" s="69"/>
      <c r="BV89" s="69"/>
      <c r="BW89" s="69"/>
      <c r="BX89" s="69"/>
      <c r="BY89" s="69"/>
      <c r="BZ89" s="69"/>
      <c r="CA89" s="69"/>
      <c r="CB89" s="69"/>
      <c r="CC89" s="69"/>
      <c r="CD89" s="69"/>
      <c r="CE89" s="94">
        <f t="shared" si="1"/>
        <v>1700.12</v>
      </c>
      <c r="CF89" s="151">
        <f t="shared" si="2"/>
        <v>0</v>
      </c>
      <c r="CG89" s="75">
        <f t="shared" si="3"/>
        <v>3946</v>
      </c>
      <c r="CH89" s="69" t="str">
        <f t="shared" si="3"/>
        <v>ماليزى اسنان</v>
      </c>
    </row>
    <row r="90" spans="1:86" ht="18.75" x14ac:dyDescent="0.25">
      <c r="A90" s="148"/>
      <c r="B90" s="78">
        <v>7962</v>
      </c>
      <c r="C90" s="149">
        <v>3947</v>
      </c>
      <c r="D90" s="71" t="s">
        <v>121</v>
      </c>
      <c r="E90" s="157" t="s">
        <v>3119</v>
      </c>
      <c r="F90" s="63"/>
      <c r="G90" s="73">
        <v>4338.25</v>
      </c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94">
        <f t="shared" si="0"/>
        <v>4338.25</v>
      </c>
      <c r="AS90" s="73">
        <v>2901.5</v>
      </c>
      <c r="AT90" s="73">
        <v>391.5</v>
      </c>
      <c r="AU90" s="73">
        <v>1045.25</v>
      </c>
      <c r="AV90" s="73"/>
      <c r="AW90" s="73"/>
      <c r="AX90" s="73"/>
      <c r="AY90" s="73"/>
      <c r="AZ90" s="73"/>
      <c r="BA90" s="73"/>
      <c r="BB90" s="73"/>
      <c r="BC90" s="69"/>
      <c r="BD90" s="69"/>
      <c r="BE90" s="69"/>
      <c r="BF90" s="69"/>
      <c r="BG90" s="69"/>
      <c r="BH90" s="69"/>
      <c r="BI90" s="69"/>
      <c r="BJ90" s="69"/>
      <c r="BK90" s="69"/>
      <c r="BL90" s="69"/>
      <c r="BM90" s="69"/>
      <c r="BN90" s="69"/>
      <c r="BO90" s="69"/>
      <c r="BP90" s="69"/>
      <c r="BQ90" s="69"/>
      <c r="BR90" s="69"/>
      <c r="BS90" s="69"/>
      <c r="BT90" s="69"/>
      <c r="BU90" s="69"/>
      <c r="BV90" s="69"/>
      <c r="BW90" s="69"/>
      <c r="BX90" s="69"/>
      <c r="BY90" s="69"/>
      <c r="BZ90" s="69"/>
      <c r="CA90" s="69"/>
      <c r="CB90" s="69"/>
      <c r="CC90" s="69"/>
      <c r="CD90" s="69"/>
      <c r="CE90" s="94">
        <f t="shared" si="1"/>
        <v>4338.25</v>
      </c>
      <c r="CF90" s="151">
        <f t="shared" si="2"/>
        <v>0</v>
      </c>
      <c r="CG90" s="75">
        <f t="shared" si="3"/>
        <v>3947</v>
      </c>
      <c r="CH90" s="69" t="str">
        <f t="shared" si="3"/>
        <v>ماليزى اسنان</v>
      </c>
    </row>
    <row r="91" spans="1:86" ht="18.75" x14ac:dyDescent="0.25">
      <c r="A91" s="148"/>
      <c r="B91" s="78">
        <v>7959</v>
      </c>
      <c r="C91" s="149">
        <v>3948</v>
      </c>
      <c r="D91" s="71" t="s">
        <v>121</v>
      </c>
      <c r="E91" s="157" t="s">
        <v>3120</v>
      </c>
      <c r="F91" s="63"/>
      <c r="G91" s="73">
        <v>2087.0500000000002</v>
      </c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94">
        <f t="shared" ref="AR91:AR154" si="6">SUM(G91:AQ91)</f>
        <v>2087.0500000000002</v>
      </c>
      <c r="AS91" s="73">
        <v>1397.1</v>
      </c>
      <c r="AT91" s="73">
        <v>187.1</v>
      </c>
      <c r="AU91" s="73">
        <v>502.85</v>
      </c>
      <c r="AV91" s="73"/>
      <c r="AW91" s="73"/>
      <c r="AX91" s="73"/>
      <c r="AY91" s="73"/>
      <c r="AZ91" s="73"/>
      <c r="BA91" s="73"/>
      <c r="BB91" s="73"/>
      <c r="BC91" s="69"/>
      <c r="BD91" s="69"/>
      <c r="BE91" s="69"/>
      <c r="BF91" s="69"/>
      <c r="BG91" s="69"/>
      <c r="BH91" s="69"/>
      <c r="BI91" s="69"/>
      <c r="BJ91" s="69"/>
      <c r="BK91" s="69"/>
      <c r="BL91" s="69"/>
      <c r="BM91" s="69"/>
      <c r="BN91" s="69"/>
      <c r="BO91" s="69"/>
      <c r="BP91" s="69"/>
      <c r="BQ91" s="69"/>
      <c r="BR91" s="69"/>
      <c r="BS91" s="69"/>
      <c r="BT91" s="69"/>
      <c r="BU91" s="69"/>
      <c r="BV91" s="69"/>
      <c r="BW91" s="69"/>
      <c r="BX91" s="69"/>
      <c r="BY91" s="69"/>
      <c r="BZ91" s="69"/>
      <c r="CA91" s="69"/>
      <c r="CB91" s="69"/>
      <c r="CC91" s="69"/>
      <c r="CD91" s="69"/>
      <c r="CE91" s="94">
        <f t="shared" si="1"/>
        <v>2087.0499999999997</v>
      </c>
      <c r="CF91" s="151">
        <f t="shared" si="2"/>
        <v>0</v>
      </c>
      <c r="CG91" s="75">
        <f t="shared" ref="CG91:CH154" si="7">+C91</f>
        <v>3948</v>
      </c>
      <c r="CH91" s="69" t="str">
        <f t="shared" si="7"/>
        <v>ماليزى اسنان</v>
      </c>
    </row>
    <row r="92" spans="1:86" ht="18.75" x14ac:dyDescent="0.25">
      <c r="A92" s="148"/>
      <c r="B92" s="78">
        <v>7955</v>
      </c>
      <c r="C92" s="149">
        <v>3949</v>
      </c>
      <c r="D92" s="71" t="s">
        <v>121</v>
      </c>
      <c r="E92" s="157" t="s">
        <v>3135</v>
      </c>
      <c r="F92" s="63"/>
      <c r="G92" s="73">
        <v>1758.75</v>
      </c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94">
        <f t="shared" si="6"/>
        <v>1758.75</v>
      </c>
      <c r="AS92" s="73">
        <v>1175.3499999999999</v>
      </c>
      <c r="AT92" s="73">
        <v>159.65</v>
      </c>
      <c r="AU92" s="73">
        <v>423.75</v>
      </c>
      <c r="AV92" s="73"/>
      <c r="AW92" s="73"/>
      <c r="AX92" s="73"/>
      <c r="AY92" s="73"/>
      <c r="AZ92" s="73"/>
      <c r="BA92" s="73"/>
      <c r="BB92" s="73"/>
      <c r="BC92" s="69"/>
      <c r="BD92" s="69"/>
      <c r="BE92" s="69"/>
      <c r="BF92" s="69"/>
      <c r="BG92" s="69"/>
      <c r="BH92" s="69"/>
      <c r="BI92" s="69"/>
      <c r="BJ92" s="69"/>
      <c r="BK92" s="69"/>
      <c r="BL92" s="69"/>
      <c r="BM92" s="69"/>
      <c r="BN92" s="69"/>
      <c r="BO92" s="69"/>
      <c r="BP92" s="69"/>
      <c r="BQ92" s="69"/>
      <c r="BR92" s="69"/>
      <c r="BS92" s="69"/>
      <c r="BT92" s="69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94">
        <f t="shared" si="1"/>
        <v>1758.75</v>
      </c>
      <c r="CF92" s="151">
        <f t="shared" si="2"/>
        <v>0</v>
      </c>
      <c r="CG92" s="75">
        <f t="shared" si="7"/>
        <v>3949</v>
      </c>
      <c r="CH92" s="69" t="str">
        <f t="shared" si="7"/>
        <v>ماليزى اسنان</v>
      </c>
    </row>
    <row r="93" spans="1:86" ht="18.75" x14ac:dyDescent="0.25">
      <c r="A93" s="148"/>
      <c r="B93" s="78">
        <v>7951</v>
      </c>
      <c r="C93" s="149">
        <v>3950</v>
      </c>
      <c r="D93" s="71" t="s">
        <v>121</v>
      </c>
      <c r="E93" s="157" t="s">
        <v>3136</v>
      </c>
      <c r="F93" s="63"/>
      <c r="G93" s="73">
        <v>5745.25</v>
      </c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94">
        <f t="shared" si="6"/>
        <v>5745.25</v>
      </c>
      <c r="AS93" s="73">
        <v>3839.35</v>
      </c>
      <c r="AT93" s="73">
        <v>521.65</v>
      </c>
      <c r="AU93" s="73">
        <v>1384.25</v>
      </c>
      <c r="AV93" s="73"/>
      <c r="AW93" s="73"/>
      <c r="AX93" s="73"/>
      <c r="AY93" s="73"/>
      <c r="AZ93" s="73"/>
      <c r="BA93" s="73"/>
      <c r="BB93" s="73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94">
        <f t="shared" ref="CE93:CE156" si="8">SUM(AS93:CD93)</f>
        <v>5745.25</v>
      </c>
      <c r="CF93" s="151">
        <f t="shared" ref="CF93:CF156" si="9">+CE93-AR93</f>
        <v>0</v>
      </c>
      <c r="CG93" s="75">
        <f t="shared" si="7"/>
        <v>3950</v>
      </c>
      <c r="CH93" s="69" t="str">
        <f t="shared" si="7"/>
        <v>ماليزى اسنان</v>
      </c>
    </row>
    <row r="94" spans="1:86" ht="18.75" x14ac:dyDescent="0.25">
      <c r="A94" s="148"/>
      <c r="B94" s="78">
        <v>7948</v>
      </c>
      <c r="C94" s="149">
        <v>3951</v>
      </c>
      <c r="D94" s="71" t="s">
        <v>121</v>
      </c>
      <c r="E94" s="157" t="s">
        <v>3137</v>
      </c>
      <c r="F94" s="63"/>
      <c r="G94" s="73">
        <v>2931.25</v>
      </c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94">
        <f t="shared" si="6"/>
        <v>2931.25</v>
      </c>
      <c r="AS94" s="73">
        <v>1958.65</v>
      </c>
      <c r="AT94" s="73">
        <v>266.35000000000002</v>
      </c>
      <c r="AU94" s="73">
        <v>706.25</v>
      </c>
      <c r="AV94" s="73"/>
      <c r="AW94" s="73"/>
      <c r="AX94" s="73"/>
      <c r="AY94" s="73"/>
      <c r="AZ94" s="73"/>
      <c r="BA94" s="73"/>
      <c r="BB94" s="73"/>
      <c r="BC94" s="69"/>
      <c r="BD94" s="69"/>
      <c r="BE94" s="69"/>
      <c r="BF94" s="69"/>
      <c r="BG94" s="69"/>
      <c r="BH94" s="69"/>
      <c r="BI94" s="69"/>
      <c r="BJ94" s="69"/>
      <c r="BK94" s="69"/>
      <c r="BL94" s="69"/>
      <c r="BM94" s="69"/>
      <c r="BN94" s="69"/>
      <c r="BO94" s="69"/>
      <c r="BP94" s="69"/>
      <c r="BQ94" s="69"/>
      <c r="BR94" s="69"/>
      <c r="BS94" s="69"/>
      <c r="BT94" s="69"/>
      <c r="BU94" s="69"/>
      <c r="BV94" s="69"/>
      <c r="BW94" s="69"/>
      <c r="BX94" s="69"/>
      <c r="BY94" s="69"/>
      <c r="BZ94" s="69"/>
      <c r="CA94" s="69"/>
      <c r="CB94" s="69"/>
      <c r="CC94" s="69"/>
      <c r="CD94" s="69"/>
      <c r="CE94" s="94">
        <f t="shared" si="8"/>
        <v>2931.25</v>
      </c>
      <c r="CF94" s="151">
        <f t="shared" si="9"/>
        <v>0</v>
      </c>
      <c r="CG94" s="75">
        <f t="shared" si="7"/>
        <v>3951</v>
      </c>
      <c r="CH94" s="69" t="str">
        <f t="shared" si="7"/>
        <v>ماليزى اسنان</v>
      </c>
    </row>
    <row r="95" spans="1:86" ht="18.75" x14ac:dyDescent="0.25">
      <c r="A95" s="148"/>
      <c r="B95" s="78">
        <v>7947</v>
      </c>
      <c r="C95" s="149">
        <v>3952</v>
      </c>
      <c r="D95" s="71" t="s">
        <v>121</v>
      </c>
      <c r="E95" s="157" t="s">
        <v>3138</v>
      </c>
      <c r="F95" s="63"/>
      <c r="G95" s="73">
        <v>6155.62</v>
      </c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94">
        <f t="shared" si="6"/>
        <v>6155.62</v>
      </c>
      <c r="AS95" s="73">
        <v>4113.5</v>
      </c>
      <c r="AT95" s="73">
        <v>559</v>
      </c>
      <c r="AU95" s="73">
        <v>1483.12</v>
      </c>
      <c r="AV95" s="73"/>
      <c r="AW95" s="73"/>
      <c r="AX95" s="73"/>
      <c r="AY95" s="73"/>
      <c r="AZ95" s="73"/>
      <c r="BA95" s="73"/>
      <c r="BB95" s="73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94">
        <f t="shared" si="8"/>
        <v>6155.62</v>
      </c>
      <c r="CF95" s="151">
        <f t="shared" si="9"/>
        <v>0</v>
      </c>
      <c r="CG95" s="75">
        <f t="shared" si="7"/>
        <v>3952</v>
      </c>
      <c r="CH95" s="69" t="str">
        <f t="shared" si="7"/>
        <v>ماليزى اسنان</v>
      </c>
    </row>
    <row r="96" spans="1:86" ht="18.75" x14ac:dyDescent="0.25">
      <c r="A96" s="148" t="s">
        <v>599</v>
      </c>
      <c r="B96" s="78">
        <v>7937</v>
      </c>
      <c r="C96" s="149">
        <v>3953</v>
      </c>
      <c r="D96" s="71" t="s">
        <v>121</v>
      </c>
      <c r="E96" s="157" t="s">
        <v>3139</v>
      </c>
      <c r="F96" s="63"/>
      <c r="G96" s="73">
        <v>2051.88</v>
      </c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94">
        <f t="shared" si="6"/>
        <v>2051.88</v>
      </c>
      <c r="AS96" s="73">
        <v>1372.25</v>
      </c>
      <c r="AT96" s="73">
        <v>185.25</v>
      </c>
      <c r="AU96" s="73">
        <v>494.38</v>
      </c>
      <c r="AV96" s="73"/>
      <c r="AW96" s="73"/>
      <c r="AX96" s="73"/>
      <c r="AY96" s="73"/>
      <c r="AZ96" s="73"/>
      <c r="BA96" s="73"/>
      <c r="BB96" s="73"/>
      <c r="BC96" s="69"/>
      <c r="BD96" s="69"/>
      <c r="BE96" s="69"/>
      <c r="BF96" s="69"/>
      <c r="BG96" s="69"/>
      <c r="BH96" s="69"/>
      <c r="BI96" s="69"/>
      <c r="BJ96" s="69"/>
      <c r="BK96" s="69"/>
      <c r="BL96" s="69"/>
      <c r="BM96" s="69"/>
      <c r="BN96" s="69"/>
      <c r="BO96" s="69"/>
      <c r="BP96" s="69"/>
      <c r="BQ96" s="69"/>
      <c r="BR96" s="69"/>
      <c r="BS96" s="69"/>
      <c r="BT96" s="69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94">
        <f t="shared" si="8"/>
        <v>2051.88</v>
      </c>
      <c r="CF96" s="151">
        <f t="shared" si="9"/>
        <v>0</v>
      </c>
      <c r="CG96" s="75">
        <f t="shared" si="7"/>
        <v>3953</v>
      </c>
      <c r="CH96" s="69" t="str">
        <f t="shared" si="7"/>
        <v>ماليزى اسنان</v>
      </c>
    </row>
    <row r="97" spans="1:86" ht="18.75" x14ac:dyDescent="0.25">
      <c r="A97" s="148" t="s">
        <v>599</v>
      </c>
      <c r="B97" s="78">
        <v>7937</v>
      </c>
      <c r="C97" s="149">
        <v>3954</v>
      </c>
      <c r="D97" s="71" t="s">
        <v>121</v>
      </c>
      <c r="E97" s="157" t="s">
        <v>3140</v>
      </c>
      <c r="F97" s="63"/>
      <c r="G97" s="73">
        <v>15700</v>
      </c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94">
        <f t="shared" si="6"/>
        <v>15700</v>
      </c>
      <c r="AS97" s="73">
        <v>14015.05</v>
      </c>
      <c r="AT97" s="73">
        <v>1684.95</v>
      </c>
      <c r="AU97" s="73"/>
      <c r="AV97" s="73"/>
      <c r="AW97" s="73"/>
      <c r="AX97" s="73"/>
      <c r="AY97" s="73"/>
      <c r="AZ97" s="73"/>
      <c r="BA97" s="73"/>
      <c r="BB97" s="73"/>
      <c r="BC97" s="69"/>
      <c r="BD97" s="69"/>
      <c r="BE97" s="6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  <c r="BU97" s="69"/>
      <c r="BV97" s="69"/>
      <c r="BW97" s="69"/>
      <c r="BX97" s="69"/>
      <c r="BY97" s="69"/>
      <c r="BZ97" s="69"/>
      <c r="CA97" s="69"/>
      <c r="CB97" s="69"/>
      <c r="CC97" s="69"/>
      <c r="CD97" s="69"/>
      <c r="CE97" s="94">
        <f t="shared" si="8"/>
        <v>15700</v>
      </c>
      <c r="CF97" s="151">
        <f t="shared" si="9"/>
        <v>0</v>
      </c>
      <c r="CG97" s="75">
        <f t="shared" si="7"/>
        <v>3954</v>
      </c>
      <c r="CH97" s="69" t="str">
        <f t="shared" si="7"/>
        <v>ماليزى اسنان</v>
      </c>
    </row>
    <row r="98" spans="1:86" x14ac:dyDescent="0.25">
      <c r="A98" s="148"/>
      <c r="B98" s="78">
        <v>7935</v>
      </c>
      <c r="C98" s="149">
        <v>3955</v>
      </c>
      <c r="D98" s="69" t="s">
        <v>123</v>
      </c>
      <c r="E98" s="157" t="s">
        <v>3141</v>
      </c>
      <c r="F98" s="63"/>
      <c r="G98" s="73">
        <v>3200</v>
      </c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94">
        <f t="shared" si="6"/>
        <v>3200</v>
      </c>
      <c r="AS98" s="73">
        <v>2696.35</v>
      </c>
      <c r="AT98" s="73">
        <v>343.65</v>
      </c>
      <c r="AU98" s="73"/>
      <c r="AV98" s="73">
        <v>160</v>
      </c>
      <c r="AW98" s="73"/>
      <c r="AX98" s="73"/>
      <c r="AY98" s="73"/>
      <c r="AZ98" s="73"/>
      <c r="BA98" s="73"/>
      <c r="BB98" s="73"/>
      <c r="BC98" s="69"/>
      <c r="BD98" s="69"/>
      <c r="BE98" s="69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69"/>
      <c r="BS98" s="69"/>
      <c r="BT98" s="69"/>
      <c r="BU98" s="69"/>
      <c r="BV98" s="69"/>
      <c r="BW98" s="69"/>
      <c r="BX98" s="69"/>
      <c r="BY98" s="69"/>
      <c r="BZ98" s="69"/>
      <c r="CA98" s="69"/>
      <c r="CB98" s="69"/>
      <c r="CC98" s="69"/>
      <c r="CD98" s="69"/>
      <c r="CE98" s="94">
        <f t="shared" si="8"/>
        <v>3200</v>
      </c>
      <c r="CF98" s="151">
        <f t="shared" si="9"/>
        <v>0</v>
      </c>
      <c r="CG98" s="75">
        <f t="shared" si="7"/>
        <v>3955</v>
      </c>
      <c r="CH98" s="69" t="str">
        <f t="shared" si="7"/>
        <v>خ ت اسنان</v>
      </c>
    </row>
    <row r="99" spans="1:86" x14ac:dyDescent="0.25">
      <c r="A99" s="148"/>
      <c r="B99" s="78">
        <v>7687</v>
      </c>
      <c r="C99" s="149">
        <v>3956</v>
      </c>
      <c r="D99" s="69" t="s">
        <v>132</v>
      </c>
      <c r="E99" s="157" t="s">
        <v>3142</v>
      </c>
      <c r="F99" s="63"/>
      <c r="G99" s="73">
        <v>586.26</v>
      </c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94">
        <f t="shared" si="6"/>
        <v>586.26</v>
      </c>
      <c r="AS99" s="73">
        <v>392.4</v>
      </c>
      <c r="AT99" s="73">
        <f>50+2.6</f>
        <v>52.6</v>
      </c>
      <c r="AU99" s="73">
        <v>141.26</v>
      </c>
      <c r="AV99" s="73"/>
      <c r="AW99" s="73"/>
      <c r="AX99" s="73"/>
      <c r="AY99" s="73"/>
      <c r="AZ99" s="73"/>
      <c r="BA99" s="73"/>
      <c r="BB99" s="73"/>
      <c r="BC99" s="69"/>
      <c r="BD99" s="69"/>
      <c r="BE99" s="69"/>
      <c r="BF99" s="69"/>
      <c r="BG99" s="69"/>
      <c r="BH99" s="69"/>
      <c r="BI99" s="69"/>
      <c r="BJ99" s="69"/>
      <c r="BK99" s="69"/>
      <c r="BL99" s="69"/>
      <c r="BM99" s="69"/>
      <c r="BN99" s="69"/>
      <c r="BO99" s="69"/>
      <c r="BP99" s="69"/>
      <c r="BQ99" s="69"/>
      <c r="BR99" s="69"/>
      <c r="BS99" s="69"/>
      <c r="BT99" s="69"/>
      <c r="BU99" s="69"/>
      <c r="BV99" s="69"/>
      <c r="BW99" s="69"/>
      <c r="BX99" s="69"/>
      <c r="BY99" s="69"/>
      <c r="BZ99" s="69"/>
      <c r="CA99" s="69"/>
      <c r="CB99" s="69"/>
      <c r="CC99" s="69"/>
      <c r="CD99" s="69"/>
      <c r="CE99" s="94">
        <f t="shared" si="8"/>
        <v>586.26</v>
      </c>
      <c r="CF99" s="151">
        <f t="shared" si="9"/>
        <v>0</v>
      </c>
      <c r="CG99" s="75">
        <f t="shared" si="7"/>
        <v>3956</v>
      </c>
      <c r="CH99" s="69" t="str">
        <f t="shared" si="7"/>
        <v>صيدلة اكلينيكى</v>
      </c>
    </row>
    <row r="100" spans="1:86" x14ac:dyDescent="0.25">
      <c r="A100" s="148"/>
      <c r="B100" s="78">
        <v>7683</v>
      </c>
      <c r="C100" s="149">
        <v>3957</v>
      </c>
      <c r="D100" s="69" t="s">
        <v>132</v>
      </c>
      <c r="E100" s="157" t="s">
        <v>3143</v>
      </c>
      <c r="F100" s="63"/>
      <c r="G100" s="73">
        <v>1758.75</v>
      </c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94">
        <f t="shared" si="6"/>
        <v>1758.75</v>
      </c>
      <c r="AS100" s="73">
        <v>1176.9000000000001</v>
      </c>
      <c r="AT100" s="73">
        <v>158.1</v>
      </c>
      <c r="AU100" s="73">
        <v>423.75</v>
      </c>
      <c r="AV100" s="73"/>
      <c r="AW100" s="73"/>
      <c r="AX100" s="73"/>
      <c r="AY100" s="73"/>
      <c r="AZ100" s="73"/>
      <c r="BA100" s="73"/>
      <c r="BB100" s="73"/>
      <c r="BC100" s="69"/>
      <c r="BD100" s="69"/>
      <c r="BE100" s="69"/>
      <c r="BF100" s="69"/>
      <c r="BG100" s="69"/>
      <c r="BH100" s="69"/>
      <c r="BI100" s="69"/>
      <c r="BJ100" s="69"/>
      <c r="BK100" s="69"/>
      <c r="BL100" s="69"/>
      <c r="BM100" s="69"/>
      <c r="BN100" s="69"/>
      <c r="BO100" s="69"/>
      <c r="BP100" s="69"/>
      <c r="BQ100" s="69"/>
      <c r="BR100" s="69"/>
      <c r="BS100" s="69"/>
      <c r="BT100" s="69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94">
        <f t="shared" si="8"/>
        <v>1758.75</v>
      </c>
      <c r="CF100" s="151">
        <f t="shared" si="9"/>
        <v>0</v>
      </c>
      <c r="CG100" s="75">
        <f t="shared" si="7"/>
        <v>3957</v>
      </c>
      <c r="CH100" s="69" t="str">
        <f t="shared" si="7"/>
        <v>صيدلة اكلينيكى</v>
      </c>
    </row>
    <row r="101" spans="1:86" x14ac:dyDescent="0.25">
      <c r="A101" s="148"/>
      <c r="B101" s="78">
        <v>7681</v>
      </c>
      <c r="C101" s="149">
        <v>3958</v>
      </c>
      <c r="D101" s="69" t="s">
        <v>132</v>
      </c>
      <c r="E101" s="157" t="s">
        <v>3143</v>
      </c>
      <c r="F101" s="63"/>
      <c r="G101" s="73">
        <v>1524.25</v>
      </c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94">
        <f t="shared" si="6"/>
        <v>1524.25</v>
      </c>
      <c r="AS101" s="73">
        <v>1018.7</v>
      </c>
      <c r="AT101" s="73">
        <v>138.30000000000001</v>
      </c>
      <c r="AU101" s="73">
        <v>367.25</v>
      </c>
      <c r="AV101" s="73"/>
      <c r="AW101" s="73"/>
      <c r="AX101" s="73"/>
      <c r="AY101" s="73"/>
      <c r="AZ101" s="73"/>
      <c r="BA101" s="73"/>
      <c r="BB101" s="73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94">
        <f t="shared" si="8"/>
        <v>1524.25</v>
      </c>
      <c r="CF101" s="151">
        <f t="shared" si="9"/>
        <v>0</v>
      </c>
      <c r="CG101" s="75">
        <f t="shared" si="7"/>
        <v>3958</v>
      </c>
      <c r="CH101" s="69" t="str">
        <f t="shared" si="7"/>
        <v>صيدلة اكلينيكى</v>
      </c>
    </row>
    <row r="102" spans="1:86" x14ac:dyDescent="0.25">
      <c r="A102" s="148"/>
      <c r="B102" s="78">
        <v>7682</v>
      </c>
      <c r="C102" s="149">
        <v>3959</v>
      </c>
      <c r="D102" s="69" t="s">
        <v>132</v>
      </c>
      <c r="E102" s="157" t="s">
        <v>3143</v>
      </c>
      <c r="F102" s="63"/>
      <c r="G102" s="73">
        <v>2345</v>
      </c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94">
        <f t="shared" si="6"/>
        <v>2345</v>
      </c>
      <c r="AS102" s="73">
        <v>1567</v>
      </c>
      <c r="AT102" s="73">
        <v>213</v>
      </c>
      <c r="AU102" s="73">
        <v>565</v>
      </c>
      <c r="AV102" s="73"/>
      <c r="AW102" s="73"/>
      <c r="AX102" s="73"/>
      <c r="AY102" s="73"/>
      <c r="AZ102" s="73"/>
      <c r="BA102" s="73"/>
      <c r="BB102" s="73"/>
      <c r="BC102" s="69"/>
      <c r="BD102" s="69"/>
      <c r="BE102" s="69"/>
      <c r="BF102" s="69"/>
      <c r="BG102" s="69"/>
      <c r="BH102" s="69"/>
      <c r="BI102" s="69"/>
      <c r="BJ102" s="69"/>
      <c r="BK102" s="69"/>
      <c r="BL102" s="69"/>
      <c r="BM102" s="69"/>
      <c r="BN102" s="69"/>
      <c r="BO102" s="69"/>
      <c r="BP102" s="69"/>
      <c r="BQ102" s="69"/>
      <c r="BR102" s="69"/>
      <c r="BS102" s="69"/>
      <c r="BT102" s="69"/>
      <c r="BU102" s="69"/>
      <c r="BV102" s="69"/>
      <c r="BW102" s="69"/>
      <c r="BX102" s="69"/>
      <c r="BY102" s="69"/>
      <c r="BZ102" s="69"/>
      <c r="CA102" s="69"/>
      <c r="CB102" s="69"/>
      <c r="CC102" s="69"/>
      <c r="CD102" s="69"/>
      <c r="CE102" s="94">
        <f t="shared" si="8"/>
        <v>2345</v>
      </c>
      <c r="CF102" s="151">
        <f t="shared" si="9"/>
        <v>0</v>
      </c>
      <c r="CG102" s="75">
        <f t="shared" si="7"/>
        <v>3959</v>
      </c>
      <c r="CH102" s="69" t="str">
        <f t="shared" si="7"/>
        <v>صيدلة اكلينيكى</v>
      </c>
    </row>
    <row r="103" spans="1:86" x14ac:dyDescent="0.25">
      <c r="A103" s="148"/>
      <c r="B103" s="78">
        <v>7686</v>
      </c>
      <c r="C103" s="149">
        <v>3960</v>
      </c>
      <c r="D103" s="69" t="s">
        <v>132</v>
      </c>
      <c r="E103" s="157" t="str">
        <f>+E99</f>
        <v>مكافاه شؤن الطلاب</v>
      </c>
      <c r="F103" s="63"/>
      <c r="G103" s="73">
        <v>2579.48</v>
      </c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94">
        <f t="shared" si="6"/>
        <v>2579.48</v>
      </c>
      <c r="AS103" s="73">
        <v>1727.5</v>
      </c>
      <c r="AT103" s="73">
        <v>230.5</v>
      </c>
      <c r="AU103" s="73">
        <v>621.48</v>
      </c>
      <c r="AV103" s="73"/>
      <c r="AW103" s="73"/>
      <c r="AX103" s="73"/>
      <c r="AY103" s="73"/>
      <c r="AZ103" s="73"/>
      <c r="BA103" s="73"/>
      <c r="BB103" s="73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94">
        <f t="shared" si="8"/>
        <v>2579.48</v>
      </c>
      <c r="CF103" s="151">
        <f t="shared" si="9"/>
        <v>0</v>
      </c>
      <c r="CG103" s="75">
        <f t="shared" si="7"/>
        <v>3960</v>
      </c>
      <c r="CH103" s="69" t="str">
        <f t="shared" si="7"/>
        <v>صيدلة اكلينيكى</v>
      </c>
    </row>
    <row r="104" spans="1:86" x14ac:dyDescent="0.25">
      <c r="A104" s="148"/>
      <c r="B104" s="78">
        <v>7684</v>
      </c>
      <c r="C104" s="149">
        <v>3961</v>
      </c>
      <c r="D104" s="69" t="s">
        <v>132</v>
      </c>
      <c r="E104" s="157" t="str">
        <f>+E102</f>
        <v>جهود تدريب صيفى</v>
      </c>
      <c r="F104" s="63"/>
      <c r="G104" s="73">
        <v>293.12</v>
      </c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94">
        <f t="shared" si="6"/>
        <v>293.12</v>
      </c>
      <c r="AS104" s="73">
        <v>196.45</v>
      </c>
      <c r="AT104" s="73">
        <v>26.05</v>
      </c>
      <c r="AU104" s="73">
        <v>70.62</v>
      </c>
      <c r="AV104" s="73"/>
      <c r="AW104" s="73"/>
      <c r="AX104" s="73"/>
      <c r="AY104" s="73"/>
      <c r="AZ104" s="73"/>
      <c r="BA104" s="73"/>
      <c r="BB104" s="73"/>
      <c r="BC104" s="69"/>
      <c r="BD104" s="69"/>
      <c r="BE104" s="69"/>
      <c r="BF104" s="69"/>
      <c r="BG104" s="69"/>
      <c r="BH104" s="69"/>
      <c r="BI104" s="69"/>
      <c r="BJ104" s="69"/>
      <c r="BK104" s="69"/>
      <c r="BL104" s="69"/>
      <c r="BM104" s="69"/>
      <c r="BN104" s="69"/>
      <c r="BO104" s="69"/>
      <c r="BP104" s="69"/>
      <c r="BQ104" s="69"/>
      <c r="BR104" s="69"/>
      <c r="BS104" s="69"/>
      <c r="BT104" s="69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94">
        <f t="shared" si="8"/>
        <v>293.12</v>
      </c>
      <c r="CF104" s="151">
        <f t="shared" si="9"/>
        <v>0</v>
      </c>
      <c r="CG104" s="75">
        <f t="shared" si="7"/>
        <v>3961</v>
      </c>
      <c r="CH104" s="69" t="str">
        <f t="shared" si="7"/>
        <v>صيدلة اكلينيكى</v>
      </c>
    </row>
    <row r="105" spans="1:86" x14ac:dyDescent="0.25">
      <c r="A105" s="148"/>
      <c r="B105" s="78">
        <v>7685</v>
      </c>
      <c r="C105" s="149">
        <v>3962</v>
      </c>
      <c r="D105" s="69" t="s">
        <v>132</v>
      </c>
      <c r="E105" s="157" t="str">
        <f>+E103</f>
        <v>مكافاه شؤن الطلاب</v>
      </c>
      <c r="F105" s="63"/>
      <c r="G105" s="73">
        <v>644.87</v>
      </c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94">
        <f t="shared" si="6"/>
        <v>644.87</v>
      </c>
      <c r="AS105" s="73">
        <v>432</v>
      </c>
      <c r="AT105" s="73">
        <v>57.5</v>
      </c>
      <c r="AU105" s="73">
        <v>155.37</v>
      </c>
      <c r="AV105" s="73"/>
      <c r="AW105" s="73"/>
      <c r="AX105" s="73"/>
      <c r="AY105" s="73"/>
      <c r="AZ105" s="73"/>
      <c r="BA105" s="73"/>
      <c r="BB105" s="73"/>
      <c r="BC105" s="69"/>
      <c r="BD105" s="69"/>
      <c r="BE105" s="6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  <c r="BU105" s="69"/>
      <c r="BV105" s="69"/>
      <c r="BW105" s="69"/>
      <c r="BX105" s="69"/>
      <c r="BY105" s="69"/>
      <c r="BZ105" s="69"/>
      <c r="CA105" s="69"/>
      <c r="CB105" s="69"/>
      <c r="CC105" s="69"/>
      <c r="CD105" s="69"/>
      <c r="CE105" s="94">
        <f t="shared" si="8"/>
        <v>644.87</v>
      </c>
      <c r="CF105" s="151">
        <f t="shared" si="9"/>
        <v>0</v>
      </c>
      <c r="CG105" s="75">
        <f t="shared" si="7"/>
        <v>3962</v>
      </c>
      <c r="CH105" s="69" t="str">
        <f t="shared" si="7"/>
        <v>صيدلة اكلينيكى</v>
      </c>
    </row>
    <row r="106" spans="1:86" x14ac:dyDescent="0.25">
      <c r="A106" s="148"/>
      <c r="B106" s="78">
        <v>6203</v>
      </c>
      <c r="C106" s="149">
        <v>3963</v>
      </c>
      <c r="D106" s="69" t="s">
        <v>132</v>
      </c>
      <c r="E106" s="157" t="s">
        <v>3144</v>
      </c>
      <c r="F106" s="63"/>
      <c r="G106" s="73">
        <v>3200</v>
      </c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94">
        <f t="shared" si="6"/>
        <v>3200</v>
      </c>
      <c r="AS106" s="73">
        <v>2461.67</v>
      </c>
      <c r="AT106" s="73">
        <v>738.33</v>
      </c>
      <c r="AU106" s="73"/>
      <c r="AV106" s="73"/>
      <c r="AW106" s="73"/>
      <c r="AX106" s="73"/>
      <c r="AY106" s="73"/>
      <c r="AZ106" s="73"/>
      <c r="BA106" s="73"/>
      <c r="BB106" s="73"/>
      <c r="BC106" s="69"/>
      <c r="BD106" s="69"/>
      <c r="BE106" s="69"/>
      <c r="BF106" s="69"/>
      <c r="BG106" s="69"/>
      <c r="BH106" s="69"/>
      <c r="BI106" s="69"/>
      <c r="BJ106" s="69"/>
      <c r="BK106" s="69"/>
      <c r="BL106" s="69"/>
      <c r="BM106" s="69"/>
      <c r="BN106" s="69"/>
      <c r="BO106" s="69"/>
      <c r="BP106" s="69"/>
      <c r="BQ106" s="69"/>
      <c r="BR106" s="69"/>
      <c r="BS106" s="69"/>
      <c r="BT106" s="69"/>
      <c r="BU106" s="69"/>
      <c r="BV106" s="69"/>
      <c r="BW106" s="69"/>
      <c r="BX106" s="69"/>
      <c r="BY106" s="69"/>
      <c r="BZ106" s="69"/>
      <c r="CA106" s="69"/>
      <c r="CB106" s="69"/>
      <c r="CC106" s="69"/>
      <c r="CD106" s="69"/>
      <c r="CE106" s="94">
        <f t="shared" si="8"/>
        <v>3200</v>
      </c>
      <c r="CF106" s="151">
        <f t="shared" si="9"/>
        <v>0</v>
      </c>
      <c r="CG106" s="75">
        <f t="shared" si="7"/>
        <v>3963</v>
      </c>
      <c r="CH106" s="69" t="str">
        <f t="shared" si="7"/>
        <v>صيدلة اكلينيكى</v>
      </c>
    </row>
    <row r="107" spans="1:86" x14ac:dyDescent="0.25">
      <c r="A107" s="148"/>
      <c r="B107" s="78">
        <v>6254</v>
      </c>
      <c r="C107" s="149">
        <v>3964</v>
      </c>
      <c r="D107" s="69" t="s">
        <v>132</v>
      </c>
      <c r="E107" s="157" t="s">
        <v>3144</v>
      </c>
      <c r="F107" s="63"/>
      <c r="G107" s="73">
        <v>7200</v>
      </c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94">
        <f t="shared" si="6"/>
        <v>7200</v>
      </c>
      <c r="AS107" s="73">
        <v>5605.42</v>
      </c>
      <c r="AT107" s="73">
        <v>1594.58</v>
      </c>
      <c r="AU107" s="73"/>
      <c r="AV107" s="73"/>
      <c r="AW107" s="73"/>
      <c r="AX107" s="73"/>
      <c r="AY107" s="73"/>
      <c r="AZ107" s="73"/>
      <c r="BA107" s="73"/>
      <c r="BB107" s="73"/>
      <c r="BC107" s="69"/>
      <c r="BD107" s="69"/>
      <c r="BE107" s="6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  <c r="BU107" s="69"/>
      <c r="BV107" s="69"/>
      <c r="BW107" s="69"/>
      <c r="BX107" s="69"/>
      <c r="BY107" s="69"/>
      <c r="BZ107" s="69"/>
      <c r="CA107" s="69"/>
      <c r="CB107" s="69"/>
      <c r="CC107" s="69"/>
      <c r="CD107" s="69"/>
      <c r="CE107" s="94">
        <f t="shared" si="8"/>
        <v>7200</v>
      </c>
      <c r="CF107" s="151">
        <f t="shared" si="9"/>
        <v>0</v>
      </c>
      <c r="CG107" s="75">
        <f t="shared" si="7"/>
        <v>3964</v>
      </c>
      <c r="CH107" s="69" t="str">
        <f t="shared" si="7"/>
        <v>صيدلة اكلينيكى</v>
      </c>
    </row>
    <row r="108" spans="1:86" x14ac:dyDescent="0.25">
      <c r="A108" s="148"/>
      <c r="B108" s="78">
        <v>6593</v>
      </c>
      <c r="C108" s="149">
        <v>3965</v>
      </c>
      <c r="D108" s="69" t="s">
        <v>119</v>
      </c>
      <c r="E108" s="157" t="s">
        <v>3145</v>
      </c>
      <c r="F108" s="63"/>
      <c r="G108" s="73">
        <v>1538.7</v>
      </c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94">
        <f t="shared" si="6"/>
        <v>1538.7</v>
      </c>
      <c r="AS108" s="73">
        <v>1239.6099999999999</v>
      </c>
      <c r="AT108" s="73">
        <f>7.4+31.79</f>
        <v>39.19</v>
      </c>
      <c r="AU108" s="73">
        <v>259.89999999999998</v>
      </c>
      <c r="AV108" s="73"/>
      <c r="AW108" s="73"/>
      <c r="AX108" s="73"/>
      <c r="AY108" s="73"/>
      <c r="AZ108" s="73"/>
      <c r="BA108" s="73"/>
      <c r="BB108" s="73"/>
      <c r="BC108" s="69"/>
      <c r="BD108" s="69"/>
      <c r="BE108" s="69"/>
      <c r="BF108" s="69"/>
      <c r="BG108" s="69"/>
      <c r="BH108" s="69"/>
      <c r="BI108" s="69"/>
      <c r="BJ108" s="69"/>
      <c r="BK108" s="69"/>
      <c r="BL108" s="69"/>
      <c r="BM108" s="69"/>
      <c r="BN108" s="69"/>
      <c r="BO108" s="69"/>
      <c r="BP108" s="69"/>
      <c r="BQ108" s="69"/>
      <c r="BR108" s="69"/>
      <c r="BS108" s="69"/>
      <c r="BT108" s="69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94">
        <f t="shared" si="8"/>
        <v>1538.6999999999998</v>
      </c>
      <c r="CF108" s="151">
        <f t="shared" si="9"/>
        <v>0</v>
      </c>
      <c r="CG108" s="75">
        <f t="shared" si="7"/>
        <v>3965</v>
      </c>
      <c r="CH108" s="69" t="str">
        <f t="shared" si="7"/>
        <v>خ ت صيدلة</v>
      </c>
    </row>
    <row r="109" spans="1:86" x14ac:dyDescent="0.25">
      <c r="A109" s="148"/>
      <c r="B109" s="78">
        <v>7873</v>
      </c>
      <c r="C109" s="149">
        <v>3966</v>
      </c>
      <c r="D109" s="69" t="s">
        <v>119</v>
      </c>
      <c r="E109" s="157" t="s">
        <v>2221</v>
      </c>
      <c r="F109" s="63"/>
      <c r="G109" s="69">
        <v>5541.42</v>
      </c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94">
        <f t="shared" si="6"/>
        <v>5541.42</v>
      </c>
      <c r="AS109" s="69">
        <v>3401.58</v>
      </c>
      <c r="AT109" s="69">
        <v>585.89</v>
      </c>
      <c r="AU109" s="69">
        <v>1317.09</v>
      </c>
      <c r="AV109" s="69">
        <v>236.86</v>
      </c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94">
        <f t="shared" si="8"/>
        <v>5541.4199999999992</v>
      </c>
      <c r="CF109" s="151">
        <f t="shared" si="9"/>
        <v>0</v>
      </c>
      <c r="CG109" s="75">
        <f t="shared" si="7"/>
        <v>3966</v>
      </c>
      <c r="CH109" s="69" t="str">
        <f t="shared" si="7"/>
        <v>خ ت صيدلة</v>
      </c>
    </row>
    <row r="110" spans="1:86" x14ac:dyDescent="0.25">
      <c r="A110" s="148"/>
      <c r="B110" s="78">
        <v>7872</v>
      </c>
      <c r="C110" s="149">
        <v>3967</v>
      </c>
      <c r="D110" s="69" t="s">
        <v>119</v>
      </c>
      <c r="E110" s="157" t="s">
        <v>2221</v>
      </c>
      <c r="F110" s="63"/>
      <c r="G110" s="69">
        <v>46.9</v>
      </c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94">
        <f t="shared" si="6"/>
        <v>46.9</v>
      </c>
      <c r="AS110" s="69">
        <v>30.24</v>
      </c>
      <c r="AT110" s="69">
        <v>3.36</v>
      </c>
      <c r="AU110" s="69">
        <v>11.3</v>
      </c>
      <c r="AV110" s="69">
        <v>2</v>
      </c>
      <c r="AW110" s="69"/>
      <c r="AX110" s="69"/>
      <c r="AY110" s="69"/>
      <c r="AZ110" s="69"/>
      <c r="BA110" s="69"/>
      <c r="BB110" s="69"/>
      <c r="BC110" s="69"/>
      <c r="BD110" s="69"/>
      <c r="BE110" s="6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  <c r="BU110" s="69"/>
      <c r="BV110" s="69"/>
      <c r="BW110" s="69"/>
      <c r="BX110" s="69"/>
      <c r="BY110" s="69"/>
      <c r="BZ110" s="69"/>
      <c r="CA110" s="69"/>
      <c r="CB110" s="69"/>
      <c r="CC110" s="69"/>
      <c r="CD110" s="69"/>
      <c r="CE110" s="94">
        <f t="shared" si="8"/>
        <v>46.900000000000006</v>
      </c>
      <c r="CF110" s="151">
        <f t="shared" si="9"/>
        <v>0</v>
      </c>
      <c r="CG110" s="75">
        <f t="shared" si="7"/>
        <v>3967</v>
      </c>
      <c r="CH110" s="69" t="str">
        <f t="shared" si="7"/>
        <v>خ ت صيدلة</v>
      </c>
    </row>
    <row r="111" spans="1:86" x14ac:dyDescent="0.25">
      <c r="A111" s="148"/>
      <c r="B111" s="78">
        <v>6602</v>
      </c>
      <c r="C111" s="149">
        <v>3968</v>
      </c>
      <c r="D111" s="69" t="s">
        <v>119</v>
      </c>
      <c r="E111" s="157" t="s">
        <v>3146</v>
      </c>
      <c r="F111" s="63"/>
      <c r="G111" s="69">
        <v>586.25</v>
      </c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94">
        <f t="shared" si="6"/>
        <v>586.25</v>
      </c>
      <c r="AS111" s="69">
        <v>375.66</v>
      </c>
      <c r="AT111" s="69">
        <v>44.34</v>
      </c>
      <c r="AU111" s="69">
        <v>141.25</v>
      </c>
      <c r="AV111" s="69">
        <v>25</v>
      </c>
      <c r="AW111" s="69"/>
      <c r="AX111" s="69"/>
      <c r="AY111" s="69"/>
      <c r="AZ111" s="69"/>
      <c r="BA111" s="69"/>
      <c r="BB111" s="69"/>
      <c r="BC111" s="69"/>
      <c r="BD111" s="69"/>
      <c r="BE111" s="69"/>
      <c r="BF111" s="69"/>
      <c r="BG111" s="69"/>
      <c r="BH111" s="69"/>
      <c r="BI111" s="69"/>
      <c r="BJ111" s="69"/>
      <c r="BK111" s="69"/>
      <c r="BL111" s="69"/>
      <c r="BM111" s="69"/>
      <c r="BN111" s="69"/>
      <c r="BO111" s="69"/>
      <c r="BP111" s="69"/>
      <c r="BQ111" s="69"/>
      <c r="BR111" s="69"/>
      <c r="BS111" s="69"/>
      <c r="BT111" s="69"/>
      <c r="BU111" s="69"/>
      <c r="BV111" s="69"/>
      <c r="BW111" s="69"/>
      <c r="BX111" s="69"/>
      <c r="BY111" s="69"/>
      <c r="BZ111" s="69"/>
      <c r="CA111" s="69"/>
      <c r="CB111" s="69"/>
      <c r="CC111" s="69"/>
      <c r="CD111" s="69"/>
      <c r="CE111" s="94">
        <f t="shared" si="8"/>
        <v>586.25</v>
      </c>
      <c r="CF111" s="151">
        <f t="shared" si="9"/>
        <v>0</v>
      </c>
      <c r="CG111" s="75">
        <f t="shared" si="7"/>
        <v>3968</v>
      </c>
      <c r="CH111" s="69" t="str">
        <f t="shared" si="7"/>
        <v>خ ت صيدلة</v>
      </c>
    </row>
    <row r="112" spans="1:86" x14ac:dyDescent="0.25">
      <c r="A112" s="148"/>
      <c r="B112" s="78">
        <v>6599</v>
      </c>
      <c r="C112" s="149">
        <v>3969</v>
      </c>
      <c r="D112" s="69" t="s">
        <v>119</v>
      </c>
      <c r="E112" s="157" t="s">
        <v>1890</v>
      </c>
      <c r="F112" s="63"/>
      <c r="G112" s="69">
        <v>351.75</v>
      </c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94">
        <f t="shared" si="6"/>
        <v>351.75</v>
      </c>
      <c r="AS112" s="69">
        <v>200.44</v>
      </c>
      <c r="AT112" s="69">
        <v>51.56</v>
      </c>
      <c r="AU112" s="69">
        <v>84.75</v>
      </c>
      <c r="AV112" s="69">
        <v>15</v>
      </c>
      <c r="AW112" s="69"/>
      <c r="AX112" s="69"/>
      <c r="AY112" s="69"/>
      <c r="AZ112" s="69"/>
      <c r="BA112" s="69"/>
      <c r="BB112" s="69"/>
      <c r="BC112" s="69"/>
      <c r="BD112" s="69"/>
      <c r="BE112" s="6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94">
        <f t="shared" si="8"/>
        <v>351.75</v>
      </c>
      <c r="CF112" s="151">
        <f t="shared" si="9"/>
        <v>0</v>
      </c>
      <c r="CG112" s="75">
        <f t="shared" si="7"/>
        <v>3969</v>
      </c>
      <c r="CH112" s="69" t="str">
        <f t="shared" si="7"/>
        <v>خ ت صيدلة</v>
      </c>
    </row>
    <row r="113" spans="1:86" x14ac:dyDescent="0.25">
      <c r="A113" s="148"/>
      <c r="B113" s="78">
        <v>6598</v>
      </c>
      <c r="C113" s="149">
        <v>3970</v>
      </c>
      <c r="D113" s="69" t="s">
        <v>119</v>
      </c>
      <c r="E113" s="157" t="s">
        <v>3147</v>
      </c>
      <c r="F113" s="63"/>
      <c r="G113" s="69">
        <v>1000</v>
      </c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94">
        <f t="shared" si="6"/>
        <v>1000</v>
      </c>
      <c r="AS113" s="69">
        <v>893.35</v>
      </c>
      <c r="AT113" s="69">
        <v>106.65</v>
      </c>
      <c r="AU113" s="69"/>
      <c r="AV113" s="69"/>
      <c r="AW113" s="69"/>
      <c r="AX113" s="69"/>
      <c r="AY113" s="69"/>
      <c r="AZ113" s="69"/>
      <c r="BA113" s="69"/>
      <c r="BB113" s="69"/>
      <c r="BC113" s="69"/>
      <c r="BD113" s="69"/>
      <c r="BE113" s="69"/>
      <c r="BF113" s="69"/>
      <c r="BG113" s="69"/>
      <c r="BH113" s="69"/>
      <c r="BI113" s="69"/>
      <c r="BJ113" s="69"/>
      <c r="BK113" s="69"/>
      <c r="BL113" s="69"/>
      <c r="BM113" s="69"/>
      <c r="BN113" s="69"/>
      <c r="BO113" s="69"/>
      <c r="BP113" s="69"/>
      <c r="BQ113" s="69"/>
      <c r="BR113" s="69"/>
      <c r="BS113" s="69"/>
      <c r="BT113" s="69"/>
      <c r="BU113" s="69"/>
      <c r="BV113" s="69"/>
      <c r="BW113" s="69"/>
      <c r="BX113" s="69"/>
      <c r="BY113" s="69"/>
      <c r="BZ113" s="69"/>
      <c r="CA113" s="69"/>
      <c r="CB113" s="69"/>
      <c r="CC113" s="69"/>
      <c r="CD113" s="69"/>
      <c r="CE113" s="94">
        <f t="shared" si="8"/>
        <v>1000</v>
      </c>
      <c r="CF113" s="151">
        <f t="shared" si="9"/>
        <v>0</v>
      </c>
      <c r="CG113" s="75">
        <f t="shared" si="7"/>
        <v>3970</v>
      </c>
      <c r="CH113" s="69" t="str">
        <f t="shared" si="7"/>
        <v>خ ت صيدلة</v>
      </c>
    </row>
    <row r="114" spans="1:86" x14ac:dyDescent="0.25">
      <c r="A114" s="148"/>
      <c r="B114" s="78">
        <v>6597</v>
      </c>
      <c r="C114" s="149">
        <v>3971</v>
      </c>
      <c r="D114" s="69" t="s">
        <v>119</v>
      </c>
      <c r="E114" s="157" t="s">
        <v>1894</v>
      </c>
      <c r="F114" s="63"/>
      <c r="G114" s="69">
        <v>775.59</v>
      </c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94">
        <f t="shared" si="6"/>
        <v>775.59</v>
      </c>
      <c r="AS114" s="69">
        <v>449.05</v>
      </c>
      <c r="AT114" s="69">
        <v>106.56</v>
      </c>
      <c r="AU114" s="69">
        <v>186.91</v>
      </c>
      <c r="AV114" s="69">
        <v>33.07</v>
      </c>
      <c r="AW114" s="69"/>
      <c r="AX114" s="69"/>
      <c r="AY114" s="69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69"/>
      <c r="BO114" s="69"/>
      <c r="BP114" s="69"/>
      <c r="BQ114" s="69"/>
      <c r="BR114" s="69"/>
      <c r="BS114" s="69"/>
      <c r="BT114" s="69"/>
      <c r="BU114" s="69"/>
      <c r="BV114" s="69"/>
      <c r="BW114" s="69"/>
      <c r="BX114" s="69"/>
      <c r="BY114" s="69"/>
      <c r="BZ114" s="69"/>
      <c r="CA114" s="69"/>
      <c r="CB114" s="69"/>
      <c r="CC114" s="69"/>
      <c r="CD114" s="69"/>
      <c r="CE114" s="94">
        <f t="shared" si="8"/>
        <v>775.59</v>
      </c>
      <c r="CF114" s="151">
        <f t="shared" si="9"/>
        <v>0</v>
      </c>
      <c r="CG114" s="75">
        <f t="shared" si="7"/>
        <v>3971</v>
      </c>
      <c r="CH114" s="69" t="str">
        <f t="shared" si="7"/>
        <v>خ ت صيدلة</v>
      </c>
    </row>
    <row r="115" spans="1:86" x14ac:dyDescent="0.25">
      <c r="A115" s="148"/>
      <c r="B115" s="78">
        <v>6596</v>
      </c>
      <c r="C115" s="149">
        <v>3972</v>
      </c>
      <c r="D115" s="69" t="s">
        <v>119</v>
      </c>
      <c r="E115" s="157" t="s">
        <v>3148</v>
      </c>
      <c r="F115" s="63"/>
      <c r="G115" s="69">
        <v>938</v>
      </c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94">
        <f t="shared" si="6"/>
        <v>938</v>
      </c>
      <c r="AS115" s="69">
        <v>533.88</v>
      </c>
      <c r="AT115" s="69">
        <v>138.12</v>
      </c>
      <c r="AU115" s="69">
        <v>226</v>
      </c>
      <c r="AV115" s="69">
        <v>40</v>
      </c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94">
        <f t="shared" si="8"/>
        <v>938</v>
      </c>
      <c r="CF115" s="151">
        <f t="shared" si="9"/>
        <v>0</v>
      </c>
      <c r="CG115" s="75">
        <f t="shared" si="7"/>
        <v>3972</v>
      </c>
      <c r="CH115" s="69" t="str">
        <f t="shared" si="7"/>
        <v>خ ت صيدلة</v>
      </c>
    </row>
    <row r="116" spans="1:86" x14ac:dyDescent="0.25">
      <c r="A116" s="148"/>
      <c r="B116" s="78">
        <v>6595</v>
      </c>
      <c r="C116" s="149">
        <v>3973</v>
      </c>
      <c r="D116" s="69" t="s">
        <v>119</v>
      </c>
      <c r="E116" s="157" t="s">
        <v>494</v>
      </c>
      <c r="F116" s="63"/>
      <c r="G116" s="69">
        <v>539.35</v>
      </c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94">
        <f t="shared" si="6"/>
        <v>539.35</v>
      </c>
      <c r="AS116" s="69">
        <v>345.65</v>
      </c>
      <c r="AT116" s="69">
        <v>40.75</v>
      </c>
      <c r="AU116" s="69">
        <v>129.94999999999999</v>
      </c>
      <c r="AV116" s="69">
        <v>23</v>
      </c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94">
        <f t="shared" si="8"/>
        <v>539.34999999999991</v>
      </c>
      <c r="CF116" s="151">
        <f t="shared" si="9"/>
        <v>0</v>
      </c>
      <c r="CG116" s="75">
        <f t="shared" si="7"/>
        <v>3973</v>
      </c>
      <c r="CH116" s="69" t="str">
        <f t="shared" si="7"/>
        <v>خ ت صيدلة</v>
      </c>
    </row>
    <row r="117" spans="1:86" x14ac:dyDescent="0.25">
      <c r="A117" s="148"/>
      <c r="B117" s="78">
        <v>6594</v>
      </c>
      <c r="C117" s="149">
        <v>3974</v>
      </c>
      <c r="D117" s="69" t="s">
        <v>119</v>
      </c>
      <c r="E117" s="157" t="s">
        <v>494</v>
      </c>
      <c r="F117" s="63"/>
      <c r="G117" s="69">
        <v>2966.43</v>
      </c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94">
        <f t="shared" si="6"/>
        <v>2966.43</v>
      </c>
      <c r="AS117" s="69">
        <v>1795.62</v>
      </c>
      <c r="AT117" s="69">
        <v>329.58</v>
      </c>
      <c r="AU117" s="69">
        <v>714.73</v>
      </c>
      <c r="AV117" s="69">
        <v>126.5</v>
      </c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94">
        <f t="shared" si="8"/>
        <v>2966.43</v>
      </c>
      <c r="CF117" s="151">
        <f t="shared" si="9"/>
        <v>0</v>
      </c>
      <c r="CG117" s="75">
        <f t="shared" si="7"/>
        <v>3974</v>
      </c>
      <c r="CH117" s="69" t="str">
        <f t="shared" si="7"/>
        <v>خ ت صيدلة</v>
      </c>
    </row>
    <row r="118" spans="1:86" x14ac:dyDescent="0.25">
      <c r="A118" s="148"/>
      <c r="B118" s="78">
        <v>6592</v>
      </c>
      <c r="C118" s="149">
        <v>3975</v>
      </c>
      <c r="D118" s="69" t="s">
        <v>119</v>
      </c>
      <c r="E118" s="157" t="s">
        <v>3149</v>
      </c>
      <c r="F118" s="63"/>
      <c r="G118" s="69">
        <v>304.83999999999997</v>
      </c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94">
        <f t="shared" si="6"/>
        <v>304.83999999999997</v>
      </c>
      <c r="AS118" s="69">
        <v>195.84</v>
      </c>
      <c r="AT118" s="69">
        <v>22.56</v>
      </c>
      <c r="AU118" s="69">
        <v>73.44</v>
      </c>
      <c r="AV118" s="69">
        <v>13</v>
      </c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94">
        <f t="shared" si="8"/>
        <v>304.84000000000003</v>
      </c>
      <c r="CF118" s="151">
        <f t="shared" si="9"/>
        <v>0</v>
      </c>
      <c r="CG118" s="75">
        <f t="shared" si="7"/>
        <v>3975</v>
      </c>
      <c r="CH118" s="69" t="str">
        <f t="shared" si="7"/>
        <v>خ ت صيدلة</v>
      </c>
    </row>
    <row r="119" spans="1:86" x14ac:dyDescent="0.25">
      <c r="A119" s="148"/>
      <c r="B119" s="78">
        <v>6591</v>
      </c>
      <c r="C119" s="149">
        <v>3976</v>
      </c>
      <c r="D119" s="69" t="s">
        <v>119</v>
      </c>
      <c r="E119" s="157" t="s">
        <v>3149</v>
      </c>
      <c r="F119" s="63"/>
      <c r="G119" s="69">
        <v>785.56</v>
      </c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94">
        <f t="shared" si="6"/>
        <v>785.56</v>
      </c>
      <c r="AS119" s="69">
        <v>497.47</v>
      </c>
      <c r="AT119" s="69">
        <v>65.33</v>
      </c>
      <c r="AU119" s="69">
        <v>189.26</v>
      </c>
      <c r="AV119" s="69">
        <v>33.5</v>
      </c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94">
        <f t="shared" si="8"/>
        <v>785.56000000000006</v>
      </c>
      <c r="CF119" s="151">
        <f t="shared" si="9"/>
        <v>0</v>
      </c>
      <c r="CG119" s="75">
        <f t="shared" si="7"/>
        <v>3976</v>
      </c>
      <c r="CH119" s="69" t="str">
        <f t="shared" si="7"/>
        <v>خ ت صيدلة</v>
      </c>
    </row>
    <row r="120" spans="1:86" x14ac:dyDescent="0.25">
      <c r="A120" s="148"/>
      <c r="B120" s="78">
        <v>6590</v>
      </c>
      <c r="C120" s="149">
        <v>3977</v>
      </c>
      <c r="D120" s="69" t="s">
        <v>119</v>
      </c>
      <c r="E120" s="157" t="s">
        <v>3149</v>
      </c>
      <c r="F120" s="63"/>
      <c r="G120" s="69">
        <v>390.86</v>
      </c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94">
        <f t="shared" si="6"/>
        <v>390.86</v>
      </c>
      <c r="AS120" s="69">
        <v>378.25</v>
      </c>
      <c r="AT120" s="69">
        <f>1.5+9.7</f>
        <v>11.2</v>
      </c>
      <c r="AU120" s="69">
        <v>1.41</v>
      </c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94">
        <f t="shared" si="8"/>
        <v>390.86</v>
      </c>
      <c r="CF120" s="151">
        <f t="shared" si="9"/>
        <v>0</v>
      </c>
      <c r="CG120" s="75">
        <f t="shared" si="7"/>
        <v>3977</v>
      </c>
      <c r="CH120" s="69" t="str">
        <f t="shared" si="7"/>
        <v>خ ت صيدلة</v>
      </c>
    </row>
    <row r="121" spans="1:86" x14ac:dyDescent="0.25">
      <c r="A121" s="148"/>
      <c r="B121" s="78">
        <v>7657</v>
      </c>
      <c r="C121" s="149">
        <v>3978</v>
      </c>
      <c r="D121" s="69" t="s">
        <v>130</v>
      </c>
      <c r="E121" s="157" t="s">
        <v>3150</v>
      </c>
      <c r="F121" s="63"/>
      <c r="G121" s="69"/>
      <c r="H121" s="69">
        <v>32319</v>
      </c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94">
        <f t="shared" si="6"/>
        <v>32319</v>
      </c>
      <c r="AS121" s="69">
        <v>30974.7</v>
      </c>
      <c r="AT121" s="69">
        <v>1083.0999999999999</v>
      </c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>
        <v>6</v>
      </c>
      <c r="BI121" s="69">
        <f>127.6*2</f>
        <v>255.2</v>
      </c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94">
        <f t="shared" si="8"/>
        <v>32319</v>
      </c>
      <c r="CF121" s="151">
        <f t="shared" si="9"/>
        <v>0</v>
      </c>
      <c r="CG121" s="75">
        <f t="shared" si="7"/>
        <v>3978</v>
      </c>
      <c r="CH121" s="69" t="str">
        <f t="shared" si="7"/>
        <v>خ ت طب</v>
      </c>
    </row>
    <row r="122" spans="1:86" x14ac:dyDescent="0.25">
      <c r="A122" s="148"/>
      <c r="B122" s="78">
        <v>7755</v>
      </c>
      <c r="C122" s="149">
        <v>3979</v>
      </c>
      <c r="D122" s="69" t="s">
        <v>130</v>
      </c>
      <c r="E122" s="157" t="s">
        <v>3150</v>
      </c>
      <c r="F122" s="63"/>
      <c r="G122" s="69"/>
      <c r="H122" s="69">
        <v>32319</v>
      </c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94">
        <f t="shared" si="6"/>
        <v>32319</v>
      </c>
      <c r="AS122" s="69">
        <v>30974.7</v>
      </c>
      <c r="AT122" s="69">
        <v>1083.0999999999999</v>
      </c>
      <c r="AU122" s="69"/>
      <c r="AV122" s="69"/>
      <c r="AW122" s="69"/>
      <c r="AX122" s="69"/>
      <c r="AY122" s="69"/>
      <c r="AZ122" s="69"/>
      <c r="BA122" s="69"/>
      <c r="BB122" s="69"/>
      <c r="BC122" s="69"/>
      <c r="BD122" s="69"/>
      <c r="BE122" s="69"/>
      <c r="BF122" s="69"/>
      <c r="BG122" s="69"/>
      <c r="BH122" s="69">
        <v>6</v>
      </c>
      <c r="BI122" s="69">
        <f>127.6*2</f>
        <v>255.2</v>
      </c>
      <c r="BJ122" s="69"/>
      <c r="BK122" s="69"/>
      <c r="BL122" s="69"/>
      <c r="BM122" s="69"/>
      <c r="BN122" s="69"/>
      <c r="BO122" s="69"/>
      <c r="BP122" s="69"/>
      <c r="BQ122" s="69"/>
      <c r="BR122" s="69"/>
      <c r="BS122" s="69"/>
      <c r="BT122" s="69"/>
      <c r="BU122" s="69"/>
      <c r="BV122" s="69"/>
      <c r="BW122" s="69"/>
      <c r="BX122" s="69"/>
      <c r="BY122" s="69"/>
      <c r="BZ122" s="69"/>
      <c r="CA122" s="69"/>
      <c r="CB122" s="69"/>
      <c r="CC122" s="69"/>
      <c r="CD122" s="69"/>
      <c r="CE122" s="94">
        <f t="shared" si="8"/>
        <v>32319</v>
      </c>
      <c r="CF122" s="151">
        <f t="shared" si="9"/>
        <v>0</v>
      </c>
      <c r="CG122" s="75">
        <f t="shared" si="7"/>
        <v>3979</v>
      </c>
      <c r="CH122" s="69" t="str">
        <f t="shared" si="7"/>
        <v>خ ت طب</v>
      </c>
    </row>
    <row r="123" spans="1:86" x14ac:dyDescent="0.25">
      <c r="A123" s="148"/>
      <c r="B123" s="78">
        <v>3843</v>
      </c>
      <c r="C123" s="149">
        <v>3980</v>
      </c>
      <c r="D123" s="69" t="s">
        <v>130</v>
      </c>
      <c r="E123" s="157" t="s">
        <v>3150</v>
      </c>
      <c r="F123" s="63"/>
      <c r="G123" s="69"/>
      <c r="H123" s="69">
        <v>1539</v>
      </c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94">
        <f t="shared" si="6"/>
        <v>1539</v>
      </c>
      <c r="AS123" s="69">
        <v>1440.1</v>
      </c>
      <c r="AT123" s="69">
        <v>80.7</v>
      </c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>
        <v>6</v>
      </c>
      <c r="BI123" s="69">
        <f>6.1*2</f>
        <v>12.2</v>
      </c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94">
        <f t="shared" si="8"/>
        <v>1539</v>
      </c>
      <c r="CF123" s="151">
        <f t="shared" si="9"/>
        <v>0</v>
      </c>
      <c r="CG123" s="75">
        <f t="shared" si="7"/>
        <v>3980</v>
      </c>
      <c r="CH123" s="69" t="str">
        <f t="shared" si="7"/>
        <v>خ ت طب</v>
      </c>
    </row>
    <row r="124" spans="1:86" x14ac:dyDescent="0.25">
      <c r="A124" s="148"/>
      <c r="B124" s="78">
        <v>6695</v>
      </c>
      <c r="C124" s="149">
        <v>3981</v>
      </c>
      <c r="D124" s="69" t="s">
        <v>130</v>
      </c>
      <c r="E124" s="157" t="s">
        <v>3151</v>
      </c>
      <c r="F124" s="63"/>
      <c r="G124" s="69"/>
      <c r="H124" s="69">
        <v>7000</v>
      </c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94">
        <f t="shared" si="6"/>
        <v>7000</v>
      </c>
      <c r="AS124" s="69">
        <v>5899.65</v>
      </c>
      <c r="AT124" s="69">
        <v>425.8</v>
      </c>
      <c r="AU124" s="69"/>
      <c r="AV124" s="69">
        <v>5</v>
      </c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>
        <v>184.25</v>
      </c>
      <c r="BH124" s="69">
        <v>80</v>
      </c>
      <c r="BI124" s="69">
        <f>27.65*2</f>
        <v>55.3</v>
      </c>
      <c r="BJ124" s="69">
        <v>350</v>
      </c>
      <c r="BK124" s="69"/>
      <c r="BL124" s="69"/>
      <c r="BM124" s="69"/>
      <c r="BN124" s="69"/>
      <c r="BO124" s="69"/>
      <c r="BP124" s="69"/>
      <c r="BQ124" s="69"/>
      <c r="BR124" s="69"/>
      <c r="BS124" s="69"/>
      <c r="BT124" s="69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94">
        <f t="shared" si="8"/>
        <v>7000</v>
      </c>
      <c r="CF124" s="151">
        <f t="shared" si="9"/>
        <v>0</v>
      </c>
      <c r="CG124" s="75">
        <f t="shared" si="7"/>
        <v>3981</v>
      </c>
      <c r="CH124" s="69" t="str">
        <f t="shared" si="7"/>
        <v>خ ت طب</v>
      </c>
    </row>
    <row r="125" spans="1:86" x14ac:dyDescent="0.25">
      <c r="A125" s="148"/>
      <c r="B125" s="78">
        <v>7655</v>
      </c>
      <c r="C125" s="149">
        <v>3982</v>
      </c>
      <c r="D125" s="69" t="s">
        <v>130</v>
      </c>
      <c r="E125" s="157" t="s">
        <v>3152</v>
      </c>
      <c r="F125" s="63"/>
      <c r="G125" s="69"/>
      <c r="H125" s="69">
        <v>67510.8</v>
      </c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94">
        <f t="shared" si="6"/>
        <v>67510.8</v>
      </c>
      <c r="AS125" s="69">
        <v>65147.7</v>
      </c>
      <c r="AT125" s="69">
        <v>1824.1</v>
      </c>
      <c r="AU125" s="69"/>
      <c r="AV125" s="69"/>
      <c r="AW125" s="69"/>
      <c r="AX125" s="69"/>
      <c r="AY125" s="69"/>
      <c r="AZ125" s="69"/>
      <c r="BA125" s="69"/>
      <c r="BB125" s="69"/>
      <c r="BC125" s="69"/>
      <c r="BD125" s="69"/>
      <c r="BE125" s="69"/>
      <c r="BF125" s="69"/>
      <c r="BG125" s="69"/>
      <c r="BH125" s="69">
        <v>6</v>
      </c>
      <c r="BI125" s="69">
        <f>266.5*2</f>
        <v>533</v>
      </c>
      <c r="BJ125" s="69"/>
      <c r="BK125" s="69"/>
      <c r="BL125" s="69"/>
      <c r="BM125" s="69"/>
      <c r="BN125" s="69"/>
      <c r="BO125" s="69"/>
      <c r="BP125" s="69"/>
      <c r="BQ125" s="69"/>
      <c r="BR125" s="69"/>
      <c r="BS125" s="69"/>
      <c r="BT125" s="69"/>
      <c r="BU125" s="69"/>
      <c r="BV125" s="69"/>
      <c r="BW125" s="69"/>
      <c r="BX125" s="69"/>
      <c r="BY125" s="69"/>
      <c r="BZ125" s="69"/>
      <c r="CA125" s="69"/>
      <c r="CB125" s="69"/>
      <c r="CC125" s="69"/>
      <c r="CD125" s="69"/>
      <c r="CE125" s="94">
        <f t="shared" si="8"/>
        <v>67510.8</v>
      </c>
      <c r="CF125" s="151">
        <f t="shared" si="9"/>
        <v>0</v>
      </c>
      <c r="CG125" s="75">
        <f t="shared" si="7"/>
        <v>3982</v>
      </c>
      <c r="CH125" s="69" t="str">
        <f t="shared" si="7"/>
        <v>خ ت طب</v>
      </c>
    </row>
    <row r="126" spans="1:86" x14ac:dyDescent="0.25">
      <c r="A126" s="148"/>
      <c r="B126" s="78">
        <v>7756</v>
      </c>
      <c r="C126" s="149">
        <v>3983</v>
      </c>
      <c r="D126" s="69" t="s">
        <v>130</v>
      </c>
      <c r="E126" s="157" t="s">
        <v>3152</v>
      </c>
      <c r="F126" s="63"/>
      <c r="G126" s="69"/>
      <c r="H126" s="69">
        <v>5465.16</v>
      </c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94">
        <f t="shared" si="6"/>
        <v>5465.16</v>
      </c>
      <c r="AS126" s="69">
        <v>5128.46</v>
      </c>
      <c r="AT126" s="69">
        <v>287.5</v>
      </c>
      <c r="AU126" s="69"/>
      <c r="AV126" s="69"/>
      <c r="AW126" s="69"/>
      <c r="AX126" s="69"/>
      <c r="AY126" s="69"/>
      <c r="AZ126" s="69"/>
      <c r="BA126" s="69"/>
      <c r="BB126" s="69"/>
      <c r="BC126" s="69"/>
      <c r="BD126" s="69"/>
      <c r="BE126" s="69"/>
      <c r="BF126" s="69"/>
      <c r="BG126" s="69"/>
      <c r="BH126" s="69">
        <v>6</v>
      </c>
      <c r="BI126" s="69">
        <f>21.6*2</f>
        <v>43.2</v>
      </c>
      <c r="BJ126" s="69"/>
      <c r="BK126" s="69"/>
      <c r="BL126" s="69"/>
      <c r="BM126" s="69"/>
      <c r="BN126" s="69"/>
      <c r="BO126" s="69"/>
      <c r="BP126" s="69"/>
      <c r="BQ126" s="69"/>
      <c r="BR126" s="69"/>
      <c r="BS126" s="69"/>
      <c r="BT126" s="69"/>
      <c r="BU126" s="69"/>
      <c r="BV126" s="69"/>
      <c r="BW126" s="69"/>
      <c r="BX126" s="69"/>
      <c r="BY126" s="69"/>
      <c r="BZ126" s="69"/>
      <c r="CA126" s="69"/>
      <c r="CB126" s="69"/>
      <c r="CC126" s="69"/>
      <c r="CD126" s="69"/>
      <c r="CE126" s="94">
        <f t="shared" si="8"/>
        <v>5465.16</v>
      </c>
      <c r="CF126" s="151">
        <f t="shared" si="9"/>
        <v>0</v>
      </c>
      <c r="CG126" s="75">
        <f t="shared" si="7"/>
        <v>3983</v>
      </c>
      <c r="CH126" s="69" t="str">
        <f t="shared" si="7"/>
        <v>خ ت طب</v>
      </c>
    </row>
    <row r="127" spans="1:86" x14ac:dyDescent="0.25">
      <c r="A127" s="148"/>
      <c r="B127" s="78">
        <v>7754</v>
      </c>
      <c r="C127" s="149">
        <v>3984</v>
      </c>
      <c r="D127" s="69" t="s">
        <v>130</v>
      </c>
      <c r="E127" s="157" t="s">
        <v>3153</v>
      </c>
      <c r="F127" s="63"/>
      <c r="G127" s="69"/>
      <c r="H127" s="69">
        <v>14250</v>
      </c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94">
        <f t="shared" si="6"/>
        <v>14250</v>
      </c>
      <c r="AS127" s="69">
        <v>13045.1</v>
      </c>
      <c r="AT127" s="69">
        <v>705.4</v>
      </c>
      <c r="AU127" s="69"/>
      <c r="AV127" s="69"/>
      <c r="AW127" s="69"/>
      <c r="AX127" s="69"/>
      <c r="AY127" s="69"/>
      <c r="AZ127" s="69"/>
      <c r="BA127" s="69"/>
      <c r="BB127" s="69"/>
      <c r="BC127" s="69"/>
      <c r="BD127" s="69"/>
      <c r="BE127" s="69"/>
      <c r="BF127" s="69"/>
      <c r="BG127" s="69">
        <v>375</v>
      </c>
      <c r="BH127" s="69">
        <v>12</v>
      </c>
      <c r="BI127" s="69">
        <f>56.25*2</f>
        <v>112.5</v>
      </c>
      <c r="BJ127" s="69"/>
      <c r="BK127" s="69"/>
      <c r="BL127" s="69"/>
      <c r="BM127" s="69"/>
      <c r="BN127" s="69"/>
      <c r="BO127" s="69"/>
      <c r="BP127" s="69"/>
      <c r="BQ127" s="69"/>
      <c r="BR127" s="69"/>
      <c r="BS127" s="69"/>
      <c r="BT127" s="69"/>
      <c r="BU127" s="69"/>
      <c r="BV127" s="69"/>
      <c r="BW127" s="69"/>
      <c r="BX127" s="69"/>
      <c r="BY127" s="69"/>
      <c r="BZ127" s="69"/>
      <c r="CA127" s="69"/>
      <c r="CB127" s="69"/>
      <c r="CC127" s="69"/>
      <c r="CD127" s="69"/>
      <c r="CE127" s="94">
        <f t="shared" si="8"/>
        <v>14250</v>
      </c>
      <c r="CF127" s="151">
        <f t="shared" si="9"/>
        <v>0</v>
      </c>
      <c r="CG127" s="75">
        <f t="shared" si="7"/>
        <v>3984</v>
      </c>
      <c r="CH127" s="69" t="str">
        <f t="shared" si="7"/>
        <v>خ ت طب</v>
      </c>
    </row>
    <row r="128" spans="1:86" x14ac:dyDescent="0.25">
      <c r="A128" s="148"/>
      <c r="B128" s="78">
        <v>6696</v>
      </c>
      <c r="C128" s="149">
        <v>3985</v>
      </c>
      <c r="D128" s="69" t="s">
        <v>130</v>
      </c>
      <c r="E128" s="157" t="s">
        <v>3154</v>
      </c>
      <c r="F128" s="63"/>
      <c r="G128" s="69"/>
      <c r="H128" s="69">
        <v>3474.73</v>
      </c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94">
        <f t="shared" si="6"/>
        <v>3474.73</v>
      </c>
      <c r="AS128" s="69">
        <v>3189.58</v>
      </c>
      <c r="AT128" s="69">
        <v>182.7</v>
      </c>
      <c r="AU128" s="69"/>
      <c r="AV128" s="69">
        <v>5</v>
      </c>
      <c r="AW128" s="69"/>
      <c r="AX128" s="69"/>
      <c r="AY128" s="69"/>
      <c r="AZ128" s="69"/>
      <c r="BA128" s="69"/>
      <c r="BB128" s="69"/>
      <c r="BC128" s="69"/>
      <c r="BD128" s="69"/>
      <c r="BE128" s="69"/>
      <c r="BF128" s="69"/>
      <c r="BG128" s="69">
        <v>91.45</v>
      </c>
      <c r="BH128" s="69">
        <v>6</v>
      </c>
      <c r="BI128" s="69"/>
      <c r="BJ128" s="69"/>
      <c r="BK128" s="69"/>
      <c r="BL128" s="69"/>
      <c r="BM128" s="69"/>
      <c r="BN128" s="69"/>
      <c r="BO128" s="69"/>
      <c r="BP128" s="69"/>
      <c r="BQ128" s="69"/>
      <c r="BR128" s="69"/>
      <c r="BS128" s="69"/>
      <c r="BT128" s="69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94">
        <f t="shared" si="8"/>
        <v>3474.7299999999996</v>
      </c>
      <c r="CF128" s="151">
        <f t="shared" si="9"/>
        <v>0</v>
      </c>
      <c r="CG128" s="75">
        <f t="shared" si="7"/>
        <v>3985</v>
      </c>
      <c r="CH128" s="69" t="str">
        <f t="shared" si="7"/>
        <v>خ ت طب</v>
      </c>
    </row>
    <row r="129" spans="1:86" x14ac:dyDescent="0.25">
      <c r="A129" s="148"/>
      <c r="B129" s="78">
        <v>6698</v>
      </c>
      <c r="C129" s="149">
        <v>3986</v>
      </c>
      <c r="D129" s="69" t="s">
        <v>130</v>
      </c>
      <c r="E129" s="157" t="s">
        <v>3155</v>
      </c>
      <c r="F129" s="63"/>
      <c r="G129" s="69"/>
      <c r="H129" s="69">
        <v>1425</v>
      </c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94">
        <f t="shared" si="6"/>
        <v>1425</v>
      </c>
      <c r="AS129" s="69">
        <v>1295.5</v>
      </c>
      <c r="AT129" s="69">
        <v>74.7</v>
      </c>
      <c r="AU129" s="69"/>
      <c r="AV129" s="69"/>
      <c r="AW129" s="69"/>
      <c r="AX129" s="69"/>
      <c r="AY129" s="69"/>
      <c r="AZ129" s="69"/>
      <c r="BA129" s="69"/>
      <c r="BB129" s="69"/>
      <c r="BC129" s="69"/>
      <c r="BD129" s="69"/>
      <c r="BE129" s="69"/>
      <c r="BF129" s="69"/>
      <c r="BG129" s="69">
        <v>37.5</v>
      </c>
      <c r="BH129" s="69">
        <v>6</v>
      </c>
      <c r="BI129" s="69">
        <f>5.65*2</f>
        <v>11.3</v>
      </c>
      <c r="BJ129" s="69"/>
      <c r="BK129" s="69"/>
      <c r="BL129" s="69"/>
      <c r="BM129" s="69"/>
      <c r="BN129" s="69"/>
      <c r="BO129" s="69"/>
      <c r="BP129" s="69"/>
      <c r="BQ129" s="69"/>
      <c r="BR129" s="69"/>
      <c r="BS129" s="69"/>
      <c r="BT129" s="69"/>
      <c r="BU129" s="69"/>
      <c r="BV129" s="69"/>
      <c r="BW129" s="69"/>
      <c r="BX129" s="69"/>
      <c r="BY129" s="69"/>
      <c r="BZ129" s="69"/>
      <c r="CA129" s="69"/>
      <c r="CB129" s="69"/>
      <c r="CC129" s="69"/>
      <c r="CD129" s="69"/>
      <c r="CE129" s="94">
        <f t="shared" si="8"/>
        <v>1425</v>
      </c>
      <c r="CF129" s="151">
        <f t="shared" si="9"/>
        <v>0</v>
      </c>
      <c r="CG129" s="75">
        <f t="shared" si="7"/>
        <v>3986</v>
      </c>
      <c r="CH129" s="69" t="str">
        <f t="shared" si="7"/>
        <v>خ ت طب</v>
      </c>
    </row>
    <row r="130" spans="1:86" x14ac:dyDescent="0.25">
      <c r="A130" s="148"/>
      <c r="B130" s="78">
        <v>6694</v>
      </c>
      <c r="C130" s="149">
        <v>3987</v>
      </c>
      <c r="D130" s="69" t="s">
        <v>78</v>
      </c>
      <c r="E130" s="157" t="s">
        <v>3156</v>
      </c>
      <c r="F130" s="63"/>
      <c r="G130" s="69"/>
      <c r="H130" s="69">
        <v>3652.04</v>
      </c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94">
        <f t="shared" si="6"/>
        <v>3652.04</v>
      </c>
      <c r="AS130" s="69">
        <v>3652.04</v>
      </c>
      <c r="AT130" s="69"/>
      <c r="AU130" s="69"/>
      <c r="AV130" s="69"/>
      <c r="AW130" s="69"/>
      <c r="AX130" s="69"/>
      <c r="AY130" s="69"/>
      <c r="AZ130" s="69"/>
      <c r="BA130" s="69"/>
      <c r="BB130" s="69"/>
      <c r="BC130" s="69"/>
      <c r="BD130" s="69"/>
      <c r="BE130" s="69"/>
      <c r="BF130" s="69"/>
      <c r="BG130" s="69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/>
      <c r="BS130" s="69"/>
      <c r="BT130" s="69"/>
      <c r="BU130" s="69"/>
      <c r="BV130" s="69"/>
      <c r="BW130" s="69"/>
      <c r="BX130" s="69"/>
      <c r="BY130" s="69"/>
      <c r="BZ130" s="69"/>
      <c r="CA130" s="69"/>
      <c r="CB130" s="69"/>
      <c r="CC130" s="69"/>
      <c r="CD130" s="69"/>
      <c r="CE130" s="94">
        <f t="shared" si="8"/>
        <v>3652.04</v>
      </c>
      <c r="CF130" s="151">
        <f t="shared" si="9"/>
        <v>0</v>
      </c>
      <c r="CG130" s="75">
        <f t="shared" si="7"/>
        <v>3987</v>
      </c>
      <c r="CH130" s="69" t="str">
        <f t="shared" si="7"/>
        <v>برنامج دولى</v>
      </c>
    </row>
    <row r="131" spans="1:86" x14ac:dyDescent="0.25">
      <c r="A131" s="148"/>
      <c r="B131" s="78">
        <v>5794</v>
      </c>
      <c r="C131" s="149">
        <v>3988</v>
      </c>
      <c r="D131" s="69" t="s">
        <v>78</v>
      </c>
      <c r="E131" s="157" t="s">
        <v>2968</v>
      </c>
      <c r="F131" s="63"/>
      <c r="G131" s="69"/>
      <c r="H131" s="69">
        <v>1140</v>
      </c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94">
        <f t="shared" si="6"/>
        <v>1140</v>
      </c>
      <c r="AS131" s="69">
        <v>1039.0999999999999</v>
      </c>
      <c r="AT131" s="69">
        <v>55.9</v>
      </c>
      <c r="AU131" s="69"/>
      <c r="AV131" s="69"/>
      <c r="AW131" s="69"/>
      <c r="AX131" s="69"/>
      <c r="AY131" s="69"/>
      <c r="AZ131" s="69"/>
      <c r="BA131" s="69"/>
      <c r="BB131" s="69"/>
      <c r="BC131" s="69"/>
      <c r="BD131" s="69"/>
      <c r="BE131" s="69"/>
      <c r="BF131" s="69"/>
      <c r="BG131" s="69">
        <v>30</v>
      </c>
      <c r="BH131" s="69">
        <v>6</v>
      </c>
      <c r="BI131" s="69">
        <f>4.5*2</f>
        <v>9</v>
      </c>
      <c r="BJ131" s="69"/>
      <c r="BK131" s="69"/>
      <c r="BL131" s="69"/>
      <c r="BM131" s="69"/>
      <c r="BN131" s="69"/>
      <c r="BO131" s="69"/>
      <c r="BP131" s="69"/>
      <c r="BQ131" s="69"/>
      <c r="BR131" s="69"/>
      <c r="BS131" s="69"/>
      <c r="BT131" s="69"/>
      <c r="BU131" s="69"/>
      <c r="BV131" s="69"/>
      <c r="BW131" s="69"/>
      <c r="BX131" s="69"/>
      <c r="BY131" s="69"/>
      <c r="BZ131" s="69"/>
      <c r="CA131" s="69"/>
      <c r="CB131" s="69"/>
      <c r="CC131" s="69"/>
      <c r="CD131" s="69"/>
      <c r="CE131" s="94">
        <f t="shared" si="8"/>
        <v>1140</v>
      </c>
      <c r="CF131" s="151">
        <f t="shared" si="9"/>
        <v>0</v>
      </c>
      <c r="CG131" s="75">
        <f t="shared" si="7"/>
        <v>3988</v>
      </c>
      <c r="CH131" s="69" t="str">
        <f t="shared" si="7"/>
        <v>برنامج دولى</v>
      </c>
    </row>
    <row r="132" spans="1:86" x14ac:dyDescent="0.25">
      <c r="A132" s="148"/>
      <c r="B132" s="78">
        <v>6702</v>
      </c>
      <c r="C132" s="149">
        <v>3989</v>
      </c>
      <c r="D132" s="69" t="s">
        <v>78</v>
      </c>
      <c r="E132" s="157" t="s">
        <v>3157</v>
      </c>
      <c r="F132" s="63"/>
      <c r="G132" s="69"/>
      <c r="H132" s="69">
        <v>189500</v>
      </c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94">
        <f t="shared" si="6"/>
        <v>189500</v>
      </c>
      <c r="AS132" s="69">
        <v>183109.7</v>
      </c>
      <c r="AT132" s="69">
        <v>4572</v>
      </c>
      <c r="AU132" s="69"/>
      <c r="AV132" s="69">
        <v>5</v>
      </c>
      <c r="AW132" s="69"/>
      <c r="AX132" s="69"/>
      <c r="AY132" s="69"/>
      <c r="AZ132" s="69"/>
      <c r="BA132" s="69"/>
      <c r="BB132" s="69"/>
      <c r="BC132" s="69"/>
      <c r="BD132" s="69"/>
      <c r="BE132" s="69"/>
      <c r="BF132" s="69"/>
      <c r="BG132" s="69">
        <v>1733.3</v>
      </c>
      <c r="BH132" s="69">
        <v>80</v>
      </c>
      <c r="BI132" s="69"/>
      <c r="BJ132" s="69"/>
      <c r="BK132" s="69"/>
      <c r="BL132" s="69"/>
      <c r="BM132" s="69"/>
      <c r="BN132" s="69"/>
      <c r="BO132" s="69"/>
      <c r="BP132" s="69"/>
      <c r="BQ132" s="69"/>
      <c r="BR132" s="69"/>
      <c r="BS132" s="69"/>
      <c r="BT132" s="69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94">
        <f t="shared" si="8"/>
        <v>189500</v>
      </c>
      <c r="CF132" s="151">
        <f t="shared" si="9"/>
        <v>0</v>
      </c>
      <c r="CG132" s="75">
        <f t="shared" si="7"/>
        <v>3989</v>
      </c>
      <c r="CH132" s="69" t="str">
        <f t="shared" si="7"/>
        <v>برنامج دولى</v>
      </c>
    </row>
    <row r="133" spans="1:86" x14ac:dyDescent="0.25">
      <c r="A133" s="148"/>
      <c r="B133" s="78">
        <v>6697</v>
      </c>
      <c r="C133" s="149">
        <v>3990</v>
      </c>
      <c r="D133" s="69" t="s">
        <v>78</v>
      </c>
      <c r="E133" s="157" t="s">
        <v>3158</v>
      </c>
      <c r="F133" s="63"/>
      <c r="G133" s="69"/>
      <c r="H133" s="69">
        <v>15000</v>
      </c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94">
        <f t="shared" si="6"/>
        <v>15000</v>
      </c>
      <c r="AS133" s="69">
        <v>13772.05</v>
      </c>
      <c r="AT133" s="69">
        <v>714.7</v>
      </c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>
        <v>394.75</v>
      </c>
      <c r="BH133" s="69"/>
      <c r="BI133" s="69">
        <f>59.25*2</f>
        <v>118.5</v>
      </c>
      <c r="BJ133" s="69"/>
      <c r="BK133" s="69"/>
      <c r="BL133" s="69"/>
      <c r="BM133" s="69"/>
      <c r="BN133" s="69"/>
      <c r="BO133" s="69"/>
      <c r="BP133" s="69"/>
      <c r="BQ133" s="69"/>
      <c r="BR133" s="69"/>
      <c r="BS133" s="69"/>
      <c r="BT133" s="69"/>
      <c r="BU133" s="69"/>
      <c r="BV133" s="69"/>
      <c r="BW133" s="69"/>
      <c r="BX133" s="69"/>
      <c r="BY133" s="69"/>
      <c r="BZ133" s="69"/>
      <c r="CA133" s="69"/>
      <c r="CB133" s="69"/>
      <c r="CC133" s="69"/>
      <c r="CD133" s="69"/>
      <c r="CE133" s="94">
        <f t="shared" si="8"/>
        <v>15000</v>
      </c>
      <c r="CF133" s="151">
        <f t="shared" si="9"/>
        <v>0</v>
      </c>
      <c r="CG133" s="75">
        <f t="shared" si="7"/>
        <v>3990</v>
      </c>
      <c r="CH133" s="69" t="str">
        <f t="shared" si="7"/>
        <v>برنامج دولى</v>
      </c>
    </row>
    <row r="134" spans="1:86" x14ac:dyDescent="0.25">
      <c r="A134" s="148"/>
      <c r="B134" s="78">
        <v>6339</v>
      </c>
      <c r="C134" s="149">
        <v>3991</v>
      </c>
      <c r="D134" s="69" t="s">
        <v>121</v>
      </c>
      <c r="E134" s="157" t="s">
        <v>3159</v>
      </c>
      <c r="F134" s="63"/>
      <c r="G134" s="69"/>
      <c r="H134" s="69">
        <v>7134</v>
      </c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94">
        <f t="shared" si="6"/>
        <v>7134</v>
      </c>
      <c r="AS134" s="69">
        <v>7134</v>
      </c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94">
        <f t="shared" si="8"/>
        <v>7134</v>
      </c>
      <c r="CF134" s="151">
        <f t="shared" si="9"/>
        <v>0</v>
      </c>
      <c r="CG134" s="75">
        <f t="shared" si="7"/>
        <v>3991</v>
      </c>
      <c r="CH134" s="69" t="str">
        <f t="shared" si="7"/>
        <v>ماليزى اسنان</v>
      </c>
    </row>
    <row r="135" spans="1:86" x14ac:dyDescent="0.25">
      <c r="A135" s="148"/>
      <c r="B135" s="78">
        <v>6453</v>
      </c>
      <c r="C135" s="149">
        <v>3992</v>
      </c>
      <c r="D135" s="69" t="s">
        <v>137</v>
      </c>
      <c r="E135" s="157" t="s">
        <v>3160</v>
      </c>
      <c r="F135" s="63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>
        <v>8500</v>
      </c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94">
        <f t="shared" si="6"/>
        <v>8500</v>
      </c>
      <c r="AS135" s="69">
        <v>8500</v>
      </c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94">
        <f t="shared" si="8"/>
        <v>8500</v>
      </c>
      <c r="CF135" s="151">
        <f t="shared" si="9"/>
        <v>0</v>
      </c>
      <c r="CG135" s="75">
        <f t="shared" si="7"/>
        <v>3992</v>
      </c>
      <c r="CH135" s="69" t="str">
        <f t="shared" si="7"/>
        <v xml:space="preserve">خدمة عامة </v>
      </c>
    </row>
    <row r="136" spans="1:86" x14ac:dyDescent="0.25">
      <c r="A136" s="148"/>
      <c r="B136" s="78">
        <v>8093</v>
      </c>
      <c r="C136" s="149">
        <v>3993</v>
      </c>
      <c r="D136" s="69" t="s">
        <v>121</v>
      </c>
      <c r="E136" s="157" t="s">
        <v>3161</v>
      </c>
      <c r="F136" s="63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>
        <v>66757.399999999994</v>
      </c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94">
        <f t="shared" si="6"/>
        <v>66757.399999999994</v>
      </c>
      <c r="AS136" s="69">
        <v>66757.399999999994</v>
      </c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94">
        <f t="shared" si="8"/>
        <v>66757.399999999994</v>
      </c>
      <c r="CF136" s="151">
        <f t="shared" si="9"/>
        <v>0</v>
      </c>
      <c r="CG136" s="75">
        <f t="shared" si="7"/>
        <v>3993</v>
      </c>
      <c r="CH136" s="69" t="str">
        <f t="shared" si="7"/>
        <v>ماليزى اسنان</v>
      </c>
    </row>
    <row r="137" spans="1:86" x14ac:dyDescent="0.25">
      <c r="A137" s="148"/>
      <c r="B137" s="78">
        <v>8094</v>
      </c>
      <c r="C137" s="149">
        <v>3994</v>
      </c>
      <c r="D137" s="69" t="s">
        <v>121</v>
      </c>
      <c r="E137" s="157" t="s">
        <v>3162</v>
      </c>
      <c r="F137" s="63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>
        <v>4517.6099999999997</v>
      </c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94">
        <f t="shared" si="6"/>
        <v>4517.6099999999997</v>
      </c>
      <c r="AS137" s="69">
        <v>4517.6099999999997</v>
      </c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94">
        <f t="shared" si="8"/>
        <v>4517.6099999999997</v>
      </c>
      <c r="CF137" s="151">
        <f t="shared" si="9"/>
        <v>0</v>
      </c>
      <c r="CG137" s="75">
        <f t="shared" si="7"/>
        <v>3994</v>
      </c>
      <c r="CH137" s="69" t="str">
        <f t="shared" si="7"/>
        <v>ماليزى اسنان</v>
      </c>
    </row>
    <row r="138" spans="1:86" x14ac:dyDescent="0.25">
      <c r="A138" s="148"/>
      <c r="B138" s="78">
        <v>8095</v>
      </c>
      <c r="C138" s="149">
        <v>3995</v>
      </c>
      <c r="D138" s="69" t="s">
        <v>121</v>
      </c>
      <c r="E138" s="157" t="s">
        <v>3163</v>
      </c>
      <c r="F138" s="63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>
        <v>74270.899999999994</v>
      </c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94">
        <f t="shared" si="6"/>
        <v>74270.899999999994</v>
      </c>
      <c r="AS138" s="69">
        <v>74270.899999999994</v>
      </c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94">
        <f t="shared" si="8"/>
        <v>74270.899999999994</v>
      </c>
      <c r="CF138" s="151">
        <f t="shared" si="9"/>
        <v>0</v>
      </c>
      <c r="CG138" s="75">
        <f t="shared" si="7"/>
        <v>3995</v>
      </c>
      <c r="CH138" s="69" t="str">
        <f t="shared" si="7"/>
        <v>ماليزى اسنان</v>
      </c>
    </row>
    <row r="139" spans="1:86" x14ac:dyDescent="0.25">
      <c r="A139" s="148">
        <v>96</v>
      </c>
      <c r="B139" s="78">
        <v>8096</v>
      </c>
      <c r="C139" s="149">
        <v>3996</v>
      </c>
      <c r="D139" s="69" t="s">
        <v>121</v>
      </c>
      <c r="E139" s="157" t="s">
        <v>3164</v>
      </c>
      <c r="F139" s="63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>
        <v>282</v>
      </c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94">
        <f t="shared" si="6"/>
        <v>282</v>
      </c>
      <c r="AS139" s="69">
        <v>282</v>
      </c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94">
        <f t="shared" si="8"/>
        <v>282</v>
      </c>
      <c r="CF139" s="151">
        <f t="shared" si="9"/>
        <v>0</v>
      </c>
      <c r="CG139" s="75">
        <f t="shared" si="7"/>
        <v>3996</v>
      </c>
      <c r="CH139" s="69" t="str">
        <f t="shared" si="7"/>
        <v>ماليزى اسنان</v>
      </c>
    </row>
    <row r="140" spans="1:86" x14ac:dyDescent="0.25">
      <c r="A140" s="148">
        <v>97</v>
      </c>
      <c r="B140" s="78">
        <v>8097</v>
      </c>
      <c r="C140" s="149">
        <v>3997</v>
      </c>
      <c r="D140" s="69" t="s">
        <v>123</v>
      </c>
      <c r="E140" s="157" t="s">
        <v>3161</v>
      </c>
      <c r="F140" s="63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>
        <v>49306.76</v>
      </c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94">
        <f t="shared" si="6"/>
        <v>49306.76</v>
      </c>
      <c r="AS140" s="69">
        <v>49306.76</v>
      </c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94">
        <f t="shared" si="8"/>
        <v>49306.76</v>
      </c>
      <c r="CF140" s="151">
        <f t="shared" si="9"/>
        <v>0</v>
      </c>
      <c r="CG140" s="75">
        <f t="shared" si="7"/>
        <v>3997</v>
      </c>
      <c r="CH140" s="69" t="str">
        <f t="shared" si="7"/>
        <v>خ ت اسنان</v>
      </c>
    </row>
    <row r="141" spans="1:86" x14ac:dyDescent="0.25">
      <c r="A141" s="148">
        <v>98</v>
      </c>
      <c r="B141" s="78">
        <v>8098</v>
      </c>
      <c r="C141" s="149">
        <v>3998</v>
      </c>
      <c r="D141" s="69" t="s">
        <v>123</v>
      </c>
      <c r="E141" s="157" t="str">
        <f>+E137</f>
        <v>دمغه عاديه اكتوبر</v>
      </c>
      <c r="F141" s="63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>
        <v>3085.78</v>
      </c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94">
        <f t="shared" si="6"/>
        <v>3085.78</v>
      </c>
      <c r="AS141" s="69">
        <v>3085.78</v>
      </c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94">
        <f t="shared" si="8"/>
        <v>3085.78</v>
      </c>
      <c r="CF141" s="151">
        <f t="shared" si="9"/>
        <v>0</v>
      </c>
      <c r="CG141" s="75">
        <f t="shared" si="7"/>
        <v>3998</v>
      </c>
      <c r="CH141" s="69" t="str">
        <f t="shared" si="7"/>
        <v>خ ت اسنان</v>
      </c>
    </row>
    <row r="142" spans="1:86" x14ac:dyDescent="0.25">
      <c r="A142" s="148">
        <v>99</v>
      </c>
      <c r="B142" s="78">
        <v>8099</v>
      </c>
      <c r="C142" s="149">
        <v>3999</v>
      </c>
      <c r="D142" s="69" t="s">
        <v>122</v>
      </c>
      <c r="E142" s="157" t="str">
        <f>+E140</f>
        <v>كسب عمل اكتوبر</v>
      </c>
      <c r="F142" s="63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>
        <v>5958.68</v>
      </c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94">
        <f t="shared" si="6"/>
        <v>5958.68</v>
      </c>
      <c r="AS142" s="69">
        <v>5958.68</v>
      </c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94">
        <f t="shared" si="8"/>
        <v>5958.68</v>
      </c>
      <c r="CF142" s="151">
        <f t="shared" si="9"/>
        <v>0</v>
      </c>
      <c r="CG142" s="75">
        <f t="shared" si="7"/>
        <v>3999</v>
      </c>
      <c r="CH142" s="69" t="str">
        <f t="shared" si="7"/>
        <v>علاج تخصصى</v>
      </c>
    </row>
    <row r="143" spans="1:86" x14ac:dyDescent="0.25">
      <c r="A143" s="148">
        <v>100</v>
      </c>
      <c r="B143" s="78">
        <v>8100</v>
      </c>
      <c r="C143" s="149">
        <v>4000</v>
      </c>
      <c r="D143" s="69" t="s">
        <v>122</v>
      </c>
      <c r="E143" s="157" t="str">
        <f>+E141</f>
        <v>دمغه عاديه اكتوبر</v>
      </c>
      <c r="F143" s="63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>
        <v>366.1</v>
      </c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94">
        <f t="shared" si="6"/>
        <v>366.1</v>
      </c>
      <c r="AS143" s="69">
        <v>366.1</v>
      </c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94">
        <f t="shared" si="8"/>
        <v>366.1</v>
      </c>
      <c r="CF143" s="151">
        <f t="shared" si="9"/>
        <v>0</v>
      </c>
      <c r="CG143" s="75">
        <f t="shared" si="7"/>
        <v>4000</v>
      </c>
      <c r="CH143" s="69" t="str">
        <f t="shared" si="7"/>
        <v>علاج تخصصى</v>
      </c>
    </row>
    <row r="144" spans="1:86" x14ac:dyDescent="0.25">
      <c r="A144" s="148">
        <v>101</v>
      </c>
      <c r="B144" s="78">
        <v>8101</v>
      </c>
      <c r="C144" s="149">
        <v>4001</v>
      </c>
      <c r="D144" s="69" t="s">
        <v>137</v>
      </c>
      <c r="E144" s="157" t="str">
        <f>+E143</f>
        <v>دمغه عاديه اكتوبر</v>
      </c>
      <c r="F144" s="63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>
        <v>3413.45</v>
      </c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94">
        <f t="shared" si="6"/>
        <v>3413.45</v>
      </c>
      <c r="AS144" s="69">
        <v>3413.45</v>
      </c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94">
        <f t="shared" si="8"/>
        <v>3413.45</v>
      </c>
      <c r="CF144" s="151">
        <f t="shared" si="9"/>
        <v>0</v>
      </c>
      <c r="CG144" s="75">
        <f t="shared" si="7"/>
        <v>4001</v>
      </c>
      <c r="CH144" s="69" t="str">
        <f t="shared" si="7"/>
        <v xml:space="preserve">خدمة عامة </v>
      </c>
    </row>
    <row r="145" spans="1:86" x14ac:dyDescent="0.25">
      <c r="A145" s="148">
        <v>102</v>
      </c>
      <c r="B145" s="78">
        <v>8102</v>
      </c>
      <c r="C145" s="149">
        <v>4002</v>
      </c>
      <c r="D145" s="69" t="s">
        <v>137</v>
      </c>
      <c r="E145" s="157" t="str">
        <f>+E142</f>
        <v>كسب عمل اكتوبر</v>
      </c>
      <c r="F145" s="63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>
        <v>51075.56</v>
      </c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94">
        <f t="shared" si="6"/>
        <v>51075.56</v>
      </c>
      <c r="AS145" s="69">
        <v>51075.56</v>
      </c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94">
        <f t="shared" si="8"/>
        <v>51075.56</v>
      </c>
      <c r="CF145" s="151">
        <f t="shared" si="9"/>
        <v>0</v>
      </c>
      <c r="CG145" s="75">
        <f t="shared" si="7"/>
        <v>4002</v>
      </c>
      <c r="CH145" s="69" t="str">
        <f t="shared" si="7"/>
        <v xml:space="preserve">خدمة عامة </v>
      </c>
    </row>
    <row r="146" spans="1:86" x14ac:dyDescent="0.25">
      <c r="A146" s="148">
        <v>103</v>
      </c>
      <c r="B146" s="78">
        <v>8103</v>
      </c>
      <c r="C146" s="149">
        <v>4003</v>
      </c>
      <c r="D146" s="69" t="s">
        <v>137</v>
      </c>
      <c r="E146" s="157" t="str">
        <f>+E138</f>
        <v>ضرائب متنوعه اكتوبر</v>
      </c>
      <c r="F146" s="63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>
        <v>1127.0999999999999</v>
      </c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94">
        <f t="shared" si="6"/>
        <v>1127.0999999999999</v>
      </c>
      <c r="AS146" s="69">
        <v>1127.0999999999999</v>
      </c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94">
        <f t="shared" si="8"/>
        <v>1127.0999999999999</v>
      </c>
      <c r="CF146" s="151">
        <f t="shared" si="9"/>
        <v>0</v>
      </c>
      <c r="CG146" s="75">
        <f t="shared" si="7"/>
        <v>4003</v>
      </c>
      <c r="CH146" s="69" t="str">
        <f t="shared" si="7"/>
        <v xml:space="preserve">خدمة عامة </v>
      </c>
    </row>
    <row r="147" spans="1:86" x14ac:dyDescent="0.25">
      <c r="A147" s="148">
        <v>104</v>
      </c>
      <c r="B147" s="78">
        <v>8104</v>
      </c>
      <c r="C147" s="149">
        <v>4004</v>
      </c>
      <c r="D147" s="69" t="s">
        <v>137</v>
      </c>
      <c r="E147" s="157" t="str">
        <f>+E139</f>
        <v>تنميه موارد اكتوبر</v>
      </c>
      <c r="F147" s="63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>
        <v>98</v>
      </c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94">
        <f t="shared" si="6"/>
        <v>98</v>
      </c>
      <c r="AS147" s="69">
        <v>98</v>
      </c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94">
        <f t="shared" si="8"/>
        <v>98</v>
      </c>
      <c r="CF147" s="151">
        <f t="shared" si="9"/>
        <v>0</v>
      </c>
      <c r="CG147" s="75">
        <f t="shared" si="7"/>
        <v>4004</v>
      </c>
      <c r="CH147" s="69" t="str">
        <f t="shared" si="7"/>
        <v xml:space="preserve">خدمة عامة </v>
      </c>
    </row>
    <row r="148" spans="1:86" x14ac:dyDescent="0.25">
      <c r="A148" s="148">
        <v>105</v>
      </c>
      <c r="B148" s="78">
        <v>8105</v>
      </c>
      <c r="C148" s="149">
        <v>4005</v>
      </c>
      <c r="D148" s="69" t="s">
        <v>125</v>
      </c>
      <c r="E148" s="157" t="str">
        <f>+E144</f>
        <v>دمغه عاديه اكتوبر</v>
      </c>
      <c r="F148" s="63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>
        <v>56</v>
      </c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94">
        <f t="shared" si="6"/>
        <v>56</v>
      </c>
      <c r="AS148" s="69">
        <v>56</v>
      </c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94">
        <f t="shared" si="8"/>
        <v>56</v>
      </c>
      <c r="CF148" s="151">
        <f t="shared" si="9"/>
        <v>0</v>
      </c>
      <c r="CG148" s="75">
        <f t="shared" si="7"/>
        <v>4005</v>
      </c>
      <c r="CH148" s="69" t="str">
        <f t="shared" si="7"/>
        <v>اختبار مواد</v>
      </c>
    </row>
    <row r="149" spans="1:86" x14ac:dyDescent="0.25">
      <c r="A149" s="148">
        <v>106</v>
      </c>
      <c r="B149" s="78">
        <v>8106</v>
      </c>
      <c r="C149" s="149">
        <v>4006</v>
      </c>
      <c r="D149" s="69" t="s">
        <v>125</v>
      </c>
      <c r="E149" s="157" t="str">
        <f>+E145</f>
        <v>كسب عمل اكتوبر</v>
      </c>
      <c r="F149" s="63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>
        <v>869.53</v>
      </c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94">
        <f t="shared" si="6"/>
        <v>869.53</v>
      </c>
      <c r="AS149" s="69">
        <v>869.53</v>
      </c>
      <c r="AT149" s="69"/>
      <c r="AU149" s="69"/>
      <c r="AV149" s="69"/>
      <c r="AW149" s="69"/>
      <c r="AX149" s="69"/>
      <c r="AY149" s="69"/>
      <c r="AZ149" s="69"/>
      <c r="BA149" s="69"/>
      <c r="BB149" s="69"/>
      <c r="BC149" s="69"/>
      <c r="BD149" s="69"/>
      <c r="BE149" s="69"/>
      <c r="BF149" s="69"/>
      <c r="BG149" s="69"/>
      <c r="BH149" s="69"/>
      <c r="BI149" s="69"/>
      <c r="BJ149" s="69"/>
      <c r="BK149" s="69"/>
      <c r="BL149" s="69"/>
      <c r="BM149" s="69"/>
      <c r="BN149" s="69"/>
      <c r="BO149" s="69"/>
      <c r="BP149" s="69"/>
      <c r="BQ149" s="69"/>
      <c r="BR149" s="69"/>
      <c r="BS149" s="69"/>
      <c r="BT149" s="69"/>
      <c r="BU149" s="69"/>
      <c r="BV149" s="69"/>
      <c r="BW149" s="69"/>
      <c r="BX149" s="69"/>
      <c r="BY149" s="69"/>
      <c r="BZ149" s="69"/>
      <c r="CA149" s="69"/>
      <c r="CB149" s="69"/>
      <c r="CC149" s="69"/>
      <c r="CD149" s="69"/>
      <c r="CE149" s="94">
        <f t="shared" si="8"/>
        <v>869.53</v>
      </c>
      <c r="CF149" s="151">
        <f t="shared" si="9"/>
        <v>0</v>
      </c>
      <c r="CG149" s="75">
        <f t="shared" si="7"/>
        <v>4006</v>
      </c>
      <c r="CH149" s="69" t="str">
        <f t="shared" si="7"/>
        <v>اختبار مواد</v>
      </c>
    </row>
    <row r="150" spans="1:86" x14ac:dyDescent="0.25">
      <c r="A150" s="148">
        <v>107</v>
      </c>
      <c r="B150" s="78">
        <v>8107</v>
      </c>
      <c r="C150" s="149">
        <v>4007</v>
      </c>
      <c r="D150" s="69" t="s">
        <v>124</v>
      </c>
      <c r="E150" s="157" t="s">
        <v>3161</v>
      </c>
      <c r="F150" s="63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>
        <v>94.1</v>
      </c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94">
        <f t="shared" si="6"/>
        <v>94.1</v>
      </c>
      <c r="AS150" s="69">
        <v>94.1</v>
      </c>
      <c r="AT150" s="69"/>
      <c r="AU150" s="69"/>
      <c r="AV150" s="69"/>
      <c r="AW150" s="69"/>
      <c r="AX150" s="69"/>
      <c r="AY150" s="69"/>
      <c r="AZ150" s="69"/>
      <c r="BA150" s="69"/>
      <c r="BB150" s="69"/>
      <c r="BC150" s="69"/>
      <c r="BD150" s="69"/>
      <c r="BE150" s="69"/>
      <c r="BF150" s="69"/>
      <c r="BG150" s="69"/>
      <c r="BH150" s="69"/>
      <c r="BI150" s="69"/>
      <c r="BJ150" s="69"/>
      <c r="BK150" s="69"/>
      <c r="BL150" s="69"/>
      <c r="BM150" s="69"/>
      <c r="BN150" s="69"/>
      <c r="BO150" s="69"/>
      <c r="BP150" s="69"/>
      <c r="BQ150" s="69"/>
      <c r="BR150" s="69"/>
      <c r="BS150" s="69"/>
      <c r="BT150" s="69"/>
      <c r="BU150" s="69"/>
      <c r="BV150" s="69"/>
      <c r="BW150" s="69"/>
      <c r="BX150" s="69"/>
      <c r="BY150" s="69"/>
      <c r="BZ150" s="69"/>
      <c r="CA150" s="69"/>
      <c r="CB150" s="69"/>
      <c r="CC150" s="69"/>
      <c r="CD150" s="69"/>
      <c r="CE150" s="94">
        <f t="shared" si="8"/>
        <v>94.1</v>
      </c>
      <c r="CF150" s="151">
        <f t="shared" si="9"/>
        <v>0</v>
      </c>
      <c r="CG150" s="75">
        <f t="shared" si="7"/>
        <v>4007</v>
      </c>
      <c r="CH150" s="69" t="str">
        <f t="shared" si="7"/>
        <v>تكافل اسنان</v>
      </c>
    </row>
    <row r="151" spans="1:86" x14ac:dyDescent="0.25">
      <c r="A151" s="148">
        <v>108</v>
      </c>
      <c r="B151" s="78">
        <v>8108</v>
      </c>
      <c r="C151" s="149">
        <v>4008</v>
      </c>
      <c r="D151" s="69" t="s">
        <v>124</v>
      </c>
      <c r="E151" s="157" t="str">
        <f>+E148</f>
        <v>دمغه عاديه اكتوبر</v>
      </c>
      <c r="F151" s="63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>
        <v>3.65</v>
      </c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94">
        <f t="shared" si="6"/>
        <v>3.65</v>
      </c>
      <c r="AS151" s="69">
        <v>3.65</v>
      </c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94">
        <f t="shared" si="8"/>
        <v>3.65</v>
      </c>
      <c r="CF151" s="151">
        <f t="shared" si="9"/>
        <v>0</v>
      </c>
      <c r="CG151" s="75">
        <f t="shared" si="7"/>
        <v>4008</v>
      </c>
      <c r="CH151" s="69" t="str">
        <f t="shared" si="7"/>
        <v>تكافل اسنان</v>
      </c>
    </row>
    <row r="152" spans="1:86" x14ac:dyDescent="0.25">
      <c r="A152" s="148">
        <v>109</v>
      </c>
      <c r="B152" s="78">
        <v>8003</v>
      </c>
      <c r="C152" s="149">
        <v>4009</v>
      </c>
      <c r="D152" s="69" t="s">
        <v>724</v>
      </c>
      <c r="E152" s="157" t="str">
        <f>+E146</f>
        <v>ضرائب متنوعه اكتوبر</v>
      </c>
      <c r="F152" s="63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>
        <v>1165</v>
      </c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94">
        <f t="shared" si="6"/>
        <v>1165</v>
      </c>
      <c r="AS152" s="69">
        <v>1165</v>
      </c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94">
        <f t="shared" si="8"/>
        <v>1165</v>
      </c>
      <c r="CF152" s="151">
        <f t="shared" si="9"/>
        <v>0</v>
      </c>
      <c r="CG152" s="75">
        <f t="shared" si="7"/>
        <v>4009</v>
      </c>
      <c r="CH152" s="69" t="str">
        <f t="shared" si="7"/>
        <v>اتحاد طب</v>
      </c>
    </row>
    <row r="153" spans="1:86" x14ac:dyDescent="0.25">
      <c r="A153" s="148">
        <v>110</v>
      </c>
      <c r="B153" s="78">
        <v>8004</v>
      </c>
      <c r="C153" s="149">
        <v>4010</v>
      </c>
      <c r="D153" s="69" t="s">
        <v>128</v>
      </c>
      <c r="E153" s="157" t="str">
        <f>+E147</f>
        <v>تنميه موارد اكتوبر</v>
      </c>
      <c r="F153" s="63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>
        <v>6</v>
      </c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94">
        <f t="shared" si="6"/>
        <v>6</v>
      </c>
      <c r="AS153" s="69">
        <v>6</v>
      </c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94">
        <f t="shared" si="8"/>
        <v>6</v>
      </c>
      <c r="CF153" s="151">
        <f t="shared" si="9"/>
        <v>0</v>
      </c>
      <c r="CG153" s="75">
        <f t="shared" si="7"/>
        <v>4010</v>
      </c>
      <c r="CH153" s="69" t="str">
        <f t="shared" si="7"/>
        <v>مركز مؤتمرات</v>
      </c>
    </row>
    <row r="154" spans="1:86" x14ac:dyDescent="0.25">
      <c r="A154" s="148">
        <v>111</v>
      </c>
      <c r="B154" s="78">
        <v>8005</v>
      </c>
      <c r="C154" s="149">
        <v>4011</v>
      </c>
      <c r="D154" s="69" t="s">
        <v>128</v>
      </c>
      <c r="E154" s="157" t="str">
        <f>+E152</f>
        <v>ضرائب متنوعه اكتوبر</v>
      </c>
      <c r="F154" s="63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>
        <v>118.1</v>
      </c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94">
        <f t="shared" si="6"/>
        <v>118.1</v>
      </c>
      <c r="AS154" s="69">
        <v>118.1</v>
      </c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94">
        <f t="shared" si="8"/>
        <v>118.1</v>
      </c>
      <c r="CF154" s="151">
        <f t="shared" si="9"/>
        <v>0</v>
      </c>
      <c r="CG154" s="75">
        <f t="shared" si="7"/>
        <v>4011</v>
      </c>
      <c r="CH154" s="69" t="str">
        <f t="shared" si="7"/>
        <v>مركز مؤتمرات</v>
      </c>
    </row>
    <row r="155" spans="1:86" x14ac:dyDescent="0.25">
      <c r="A155" s="148">
        <v>112</v>
      </c>
      <c r="B155" s="78">
        <v>8006</v>
      </c>
      <c r="C155" s="149">
        <v>4012</v>
      </c>
      <c r="D155" s="69" t="s">
        <v>128</v>
      </c>
      <c r="E155" s="157" t="str">
        <f>+E151</f>
        <v>دمغه عاديه اكتوبر</v>
      </c>
      <c r="F155" s="63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>
        <v>1105.55</v>
      </c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94">
        <f t="shared" ref="AR155:AR185" si="10">SUM(G155:AQ155)</f>
        <v>1105.55</v>
      </c>
      <c r="AS155" s="69">
        <v>1105.55</v>
      </c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94">
        <f t="shared" si="8"/>
        <v>1105.55</v>
      </c>
      <c r="CF155" s="151">
        <f t="shared" si="9"/>
        <v>0</v>
      </c>
      <c r="CG155" s="75">
        <f t="shared" ref="CG155:CH218" si="11">+C155</f>
        <v>4012</v>
      </c>
      <c r="CH155" s="69" t="str">
        <f t="shared" si="11"/>
        <v>مركز مؤتمرات</v>
      </c>
    </row>
    <row r="156" spans="1:86" x14ac:dyDescent="0.25">
      <c r="A156" s="148">
        <v>113</v>
      </c>
      <c r="B156" s="78">
        <v>8007</v>
      </c>
      <c r="C156" s="149">
        <v>4013</v>
      </c>
      <c r="D156" s="69" t="s">
        <v>128</v>
      </c>
      <c r="E156" s="157" t="str">
        <f>+E150</f>
        <v>كسب عمل اكتوبر</v>
      </c>
      <c r="F156" s="63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>
        <v>16979.939999999999</v>
      </c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94">
        <f t="shared" si="10"/>
        <v>16979.939999999999</v>
      </c>
      <c r="AS156" s="69">
        <v>16979.939999999999</v>
      </c>
      <c r="AT156" s="69"/>
      <c r="AU156" s="69"/>
      <c r="AV156" s="69"/>
      <c r="AW156" s="69"/>
      <c r="AX156" s="69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/>
      <c r="BI156" s="69"/>
      <c r="BJ156" s="69"/>
      <c r="BK156" s="69"/>
      <c r="BL156" s="69"/>
      <c r="BM156" s="69"/>
      <c r="BN156" s="69"/>
      <c r="BO156" s="69"/>
      <c r="BP156" s="69"/>
      <c r="BQ156" s="69"/>
      <c r="BR156" s="69"/>
      <c r="BS156" s="69"/>
      <c r="BT156" s="69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94">
        <f t="shared" si="8"/>
        <v>16979.939999999999</v>
      </c>
      <c r="CF156" s="151">
        <f t="shared" si="9"/>
        <v>0</v>
      </c>
      <c r="CG156" s="75">
        <f t="shared" si="11"/>
        <v>4013</v>
      </c>
      <c r="CH156" s="69" t="str">
        <f t="shared" si="11"/>
        <v>مركز مؤتمرات</v>
      </c>
    </row>
    <row r="157" spans="1:86" x14ac:dyDescent="0.25">
      <c r="A157" s="148">
        <v>114</v>
      </c>
      <c r="B157" s="78">
        <v>8008</v>
      </c>
      <c r="C157" s="149">
        <v>4014</v>
      </c>
      <c r="D157" s="69" t="s">
        <v>130</v>
      </c>
      <c r="E157" s="157" t="str">
        <f t="shared" ref="E157:E165" si="12">+E153</f>
        <v>تنميه موارد اكتوبر</v>
      </c>
      <c r="F157" s="63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>
        <v>228</v>
      </c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94">
        <f t="shared" si="10"/>
        <v>228</v>
      </c>
      <c r="AS157" s="69">
        <v>228</v>
      </c>
      <c r="AT157" s="69"/>
      <c r="AU157" s="69"/>
      <c r="AV157" s="69"/>
      <c r="AW157" s="69"/>
      <c r="AX157" s="69"/>
      <c r="AY157" s="69"/>
      <c r="AZ157" s="69"/>
      <c r="BA157" s="69"/>
      <c r="BB157" s="69"/>
      <c r="BC157" s="69"/>
      <c r="BD157" s="69"/>
      <c r="BE157" s="69"/>
      <c r="BF157" s="69"/>
      <c r="BG157" s="69"/>
      <c r="BH157" s="69"/>
      <c r="BI157" s="69"/>
      <c r="BJ157" s="69"/>
      <c r="BK157" s="69"/>
      <c r="BL157" s="69"/>
      <c r="BM157" s="69"/>
      <c r="BN157" s="69"/>
      <c r="BO157" s="69"/>
      <c r="BP157" s="69"/>
      <c r="BQ157" s="69"/>
      <c r="BR157" s="69"/>
      <c r="BS157" s="69"/>
      <c r="BT157" s="69"/>
      <c r="BU157" s="69"/>
      <c r="BV157" s="69"/>
      <c r="BW157" s="69"/>
      <c r="BX157" s="69"/>
      <c r="BY157" s="69"/>
      <c r="BZ157" s="69"/>
      <c r="CA157" s="69"/>
      <c r="CB157" s="69"/>
      <c r="CC157" s="69"/>
      <c r="CD157" s="69"/>
      <c r="CE157" s="94">
        <f t="shared" ref="CE157:CE220" si="13">SUM(AS157:CD157)</f>
        <v>228</v>
      </c>
      <c r="CF157" s="151">
        <f t="shared" ref="CF157:CF220" si="14">+CE157-AR157</f>
        <v>0</v>
      </c>
      <c r="CG157" s="75">
        <f t="shared" si="11"/>
        <v>4014</v>
      </c>
      <c r="CH157" s="69" t="str">
        <f t="shared" si="11"/>
        <v>خ ت طب</v>
      </c>
    </row>
    <row r="158" spans="1:86" x14ac:dyDescent="0.25">
      <c r="A158" s="148">
        <v>115</v>
      </c>
      <c r="B158" s="78">
        <v>8009</v>
      </c>
      <c r="C158" s="149">
        <v>4015</v>
      </c>
      <c r="D158" s="69" t="s">
        <v>130</v>
      </c>
      <c r="E158" s="157" t="str">
        <f t="shared" si="12"/>
        <v>ضرائب متنوعه اكتوبر</v>
      </c>
      <c r="F158" s="63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>
        <v>8041.2</v>
      </c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94">
        <f t="shared" si="10"/>
        <v>8041.2</v>
      </c>
      <c r="AS158" s="69">
        <v>8041.2</v>
      </c>
      <c r="AT158" s="69"/>
      <c r="AU158" s="69"/>
      <c r="AV158" s="69"/>
      <c r="AW158" s="69"/>
      <c r="AX158" s="69"/>
      <c r="AY158" s="69"/>
      <c r="AZ158" s="69"/>
      <c r="BA158" s="69"/>
      <c r="BB158" s="69"/>
      <c r="BC158" s="69"/>
      <c r="BD158" s="69"/>
      <c r="BE158" s="69"/>
      <c r="BF158" s="69"/>
      <c r="BG158" s="69"/>
      <c r="BH158" s="69"/>
      <c r="BI158" s="69"/>
      <c r="BJ158" s="69"/>
      <c r="BK158" s="69"/>
      <c r="BL158" s="69"/>
      <c r="BM158" s="69"/>
      <c r="BN158" s="69"/>
      <c r="BO158" s="69"/>
      <c r="BP158" s="69"/>
      <c r="BQ158" s="69"/>
      <c r="BR158" s="69"/>
      <c r="BS158" s="69"/>
      <c r="BT158" s="69"/>
      <c r="BU158" s="69"/>
      <c r="BV158" s="69"/>
      <c r="BW158" s="69"/>
      <c r="BX158" s="69"/>
      <c r="BY158" s="69"/>
      <c r="BZ158" s="69"/>
      <c r="CA158" s="69"/>
      <c r="CB158" s="69"/>
      <c r="CC158" s="69"/>
      <c r="CD158" s="69"/>
      <c r="CE158" s="94">
        <f t="shared" si="13"/>
        <v>8041.2</v>
      </c>
      <c r="CF158" s="151">
        <f t="shared" si="14"/>
        <v>0</v>
      </c>
      <c r="CG158" s="75">
        <f t="shared" si="11"/>
        <v>4015</v>
      </c>
      <c r="CH158" s="69" t="str">
        <f t="shared" si="11"/>
        <v>خ ت طب</v>
      </c>
    </row>
    <row r="159" spans="1:86" x14ac:dyDescent="0.25">
      <c r="A159" s="148">
        <v>116</v>
      </c>
      <c r="B159" s="78">
        <v>8010</v>
      </c>
      <c r="C159" s="149">
        <v>4016</v>
      </c>
      <c r="D159" s="69" t="s">
        <v>130</v>
      </c>
      <c r="E159" s="157" t="str">
        <f t="shared" si="12"/>
        <v>دمغه عاديه اكتوبر</v>
      </c>
      <c r="F159" s="63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>
        <v>364.4</v>
      </c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94">
        <f t="shared" si="10"/>
        <v>364.4</v>
      </c>
      <c r="AS159" s="69">
        <v>364.4</v>
      </c>
      <c r="AT159" s="69"/>
      <c r="AU159" s="69"/>
      <c r="AV159" s="69"/>
      <c r="AW159" s="69"/>
      <c r="AX159" s="69"/>
      <c r="AY159" s="69"/>
      <c r="AZ159" s="69"/>
      <c r="BA159" s="69"/>
      <c r="BB159" s="69"/>
      <c r="BC159" s="69"/>
      <c r="BD159" s="69"/>
      <c r="BE159" s="69"/>
      <c r="BF159" s="69"/>
      <c r="BG159" s="69"/>
      <c r="BH159" s="69"/>
      <c r="BI159" s="69"/>
      <c r="BJ159" s="69"/>
      <c r="BK159" s="69"/>
      <c r="BL159" s="69"/>
      <c r="BM159" s="69"/>
      <c r="BN159" s="69"/>
      <c r="BO159" s="69"/>
      <c r="BP159" s="69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94">
        <f t="shared" si="13"/>
        <v>364.4</v>
      </c>
      <c r="CF159" s="151">
        <f t="shared" si="14"/>
        <v>0</v>
      </c>
      <c r="CG159" s="75">
        <f t="shared" si="11"/>
        <v>4016</v>
      </c>
      <c r="CH159" s="69" t="str">
        <f t="shared" si="11"/>
        <v>خ ت طب</v>
      </c>
    </row>
    <row r="160" spans="1:86" x14ac:dyDescent="0.25">
      <c r="A160" s="148">
        <v>117</v>
      </c>
      <c r="B160" s="78">
        <v>8011</v>
      </c>
      <c r="C160" s="149">
        <v>4017</v>
      </c>
      <c r="D160" s="69" t="s">
        <v>130</v>
      </c>
      <c r="E160" s="157" t="str">
        <f t="shared" si="12"/>
        <v>كسب عمل اكتوبر</v>
      </c>
      <c r="F160" s="63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>
        <v>8981.66</v>
      </c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94">
        <f t="shared" si="10"/>
        <v>8981.66</v>
      </c>
      <c r="AS160" s="69">
        <v>8981.66</v>
      </c>
      <c r="AT160" s="69"/>
      <c r="AU160" s="69"/>
      <c r="AV160" s="69"/>
      <c r="AW160" s="69"/>
      <c r="AX160" s="69"/>
      <c r="AY160" s="69"/>
      <c r="AZ160" s="69"/>
      <c r="BA160" s="69"/>
      <c r="BB160" s="69"/>
      <c r="BC160" s="69"/>
      <c r="BD160" s="69"/>
      <c r="BE160" s="69"/>
      <c r="BF160" s="69"/>
      <c r="BG160" s="69"/>
      <c r="BH160" s="69"/>
      <c r="BI160" s="69"/>
      <c r="BJ160" s="69"/>
      <c r="BK160" s="69"/>
      <c r="BL160" s="69"/>
      <c r="BM160" s="69"/>
      <c r="BN160" s="69"/>
      <c r="BO160" s="69"/>
      <c r="BP160" s="69"/>
      <c r="BQ160" s="69"/>
      <c r="BR160" s="69"/>
      <c r="BS160" s="69"/>
      <c r="BT160" s="69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94">
        <f t="shared" si="13"/>
        <v>8981.66</v>
      </c>
      <c r="CF160" s="151">
        <f t="shared" si="14"/>
        <v>0</v>
      </c>
      <c r="CG160" s="75">
        <f t="shared" si="11"/>
        <v>4017</v>
      </c>
      <c r="CH160" s="69" t="str">
        <f t="shared" si="11"/>
        <v>خ ت طب</v>
      </c>
    </row>
    <row r="161" spans="1:86" x14ac:dyDescent="0.25">
      <c r="A161" s="148">
        <v>118</v>
      </c>
      <c r="B161" s="78">
        <v>8012</v>
      </c>
      <c r="C161" s="149">
        <v>4018</v>
      </c>
      <c r="D161" s="69" t="s">
        <v>78</v>
      </c>
      <c r="E161" s="157" t="str">
        <f t="shared" si="12"/>
        <v>تنميه موارد اكتوبر</v>
      </c>
      <c r="F161" s="63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>
        <v>180</v>
      </c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94">
        <f t="shared" si="10"/>
        <v>180</v>
      </c>
      <c r="AS161" s="69">
        <v>180</v>
      </c>
      <c r="AT161" s="69"/>
      <c r="AU161" s="69"/>
      <c r="AV161" s="69"/>
      <c r="AW161" s="69"/>
      <c r="AX161" s="69"/>
      <c r="AY161" s="69"/>
      <c r="AZ161" s="69"/>
      <c r="BA161" s="69"/>
      <c r="BB161" s="69"/>
      <c r="BC161" s="69"/>
      <c r="BD161" s="69"/>
      <c r="BE161" s="69"/>
      <c r="BF161" s="69"/>
      <c r="BG161" s="69"/>
      <c r="BH161" s="69"/>
      <c r="BI161" s="69"/>
      <c r="BJ161" s="69"/>
      <c r="BK161" s="69"/>
      <c r="BL161" s="69"/>
      <c r="BM161" s="69"/>
      <c r="BN161" s="69"/>
      <c r="BO161" s="69"/>
      <c r="BP161" s="69"/>
      <c r="BQ161" s="69"/>
      <c r="BR161" s="69"/>
      <c r="BS161" s="69"/>
      <c r="BT161" s="69"/>
      <c r="BU161" s="69"/>
      <c r="BV161" s="69"/>
      <c r="BW161" s="69"/>
      <c r="BX161" s="69"/>
      <c r="BY161" s="69"/>
      <c r="BZ161" s="69"/>
      <c r="CA161" s="69"/>
      <c r="CB161" s="69"/>
      <c r="CC161" s="69"/>
      <c r="CD161" s="69"/>
      <c r="CE161" s="94">
        <f t="shared" si="13"/>
        <v>180</v>
      </c>
      <c r="CF161" s="151">
        <f t="shared" si="14"/>
        <v>0</v>
      </c>
      <c r="CG161" s="75">
        <f t="shared" si="11"/>
        <v>4018</v>
      </c>
      <c r="CH161" s="69" t="str">
        <f t="shared" si="11"/>
        <v>برنامج دولى</v>
      </c>
    </row>
    <row r="162" spans="1:86" x14ac:dyDescent="0.25">
      <c r="A162" s="148">
        <v>119</v>
      </c>
      <c r="B162" s="78">
        <v>8013</v>
      </c>
      <c r="C162" s="149">
        <v>4019</v>
      </c>
      <c r="D162" s="69" t="s">
        <v>78</v>
      </c>
      <c r="E162" s="157" t="str">
        <f t="shared" si="12"/>
        <v>ضرائب متنوعه اكتوبر</v>
      </c>
      <c r="F162" s="63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>
        <v>13210.3</v>
      </c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94">
        <f t="shared" si="10"/>
        <v>13210.3</v>
      </c>
      <c r="AS162" s="69">
        <v>13210.3</v>
      </c>
      <c r="AT162" s="69"/>
      <c r="AU162" s="69"/>
      <c r="AV162" s="69"/>
      <c r="AW162" s="69"/>
      <c r="AX162" s="69"/>
      <c r="AY162" s="69"/>
      <c r="AZ162" s="69"/>
      <c r="BA162" s="69"/>
      <c r="BB162" s="69"/>
      <c r="BC162" s="69"/>
      <c r="BD162" s="69"/>
      <c r="BE162" s="69"/>
      <c r="BF162" s="69"/>
      <c r="BG162" s="69"/>
      <c r="BH162" s="69"/>
      <c r="BI162" s="69"/>
      <c r="BJ162" s="69"/>
      <c r="BK162" s="69"/>
      <c r="BL162" s="69"/>
      <c r="BM162" s="69"/>
      <c r="BN162" s="69"/>
      <c r="BO162" s="69"/>
      <c r="BP162" s="69"/>
      <c r="BQ162" s="69"/>
      <c r="BR162" s="69"/>
      <c r="BS162" s="69"/>
      <c r="BT162" s="69"/>
      <c r="BU162" s="69"/>
      <c r="BV162" s="69"/>
      <c r="BW162" s="69"/>
      <c r="BX162" s="69"/>
      <c r="BY162" s="69"/>
      <c r="BZ162" s="69"/>
      <c r="CA162" s="69"/>
      <c r="CB162" s="69"/>
      <c r="CC162" s="69"/>
      <c r="CD162" s="69"/>
      <c r="CE162" s="94">
        <f t="shared" si="13"/>
        <v>13210.3</v>
      </c>
      <c r="CF162" s="151">
        <f t="shared" si="14"/>
        <v>0</v>
      </c>
      <c r="CG162" s="75">
        <f t="shared" si="11"/>
        <v>4019</v>
      </c>
      <c r="CH162" s="69" t="str">
        <f t="shared" si="11"/>
        <v>برنامج دولى</v>
      </c>
    </row>
    <row r="163" spans="1:86" x14ac:dyDescent="0.25">
      <c r="A163" s="148">
        <v>120</v>
      </c>
      <c r="B163" s="78">
        <v>8014</v>
      </c>
      <c r="C163" s="149">
        <v>4020</v>
      </c>
      <c r="D163" s="69" t="s">
        <v>78</v>
      </c>
      <c r="E163" s="157" t="str">
        <f t="shared" si="12"/>
        <v>دمغه عاديه اكتوبر</v>
      </c>
      <c r="F163" s="63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>
        <v>19689.330000000002</v>
      </c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94">
        <f t="shared" si="10"/>
        <v>19689.330000000002</v>
      </c>
      <c r="AS163" s="69">
        <v>19689.330000000002</v>
      </c>
      <c r="AT163" s="69"/>
      <c r="AU163" s="69"/>
      <c r="AV163" s="69"/>
      <c r="AW163" s="69"/>
      <c r="AX163" s="69"/>
      <c r="AY163" s="69"/>
      <c r="AZ163" s="69"/>
      <c r="BA163" s="69"/>
      <c r="BB163" s="69"/>
      <c r="BC163" s="69"/>
      <c r="BD163" s="69"/>
      <c r="BE163" s="69"/>
      <c r="BF163" s="69"/>
      <c r="BG163" s="69"/>
      <c r="BH163" s="69"/>
      <c r="BI163" s="69"/>
      <c r="BJ163" s="69"/>
      <c r="BK163" s="69"/>
      <c r="BL163" s="69"/>
      <c r="BM163" s="69"/>
      <c r="BN163" s="69"/>
      <c r="BO163" s="69"/>
      <c r="BP163" s="69"/>
      <c r="BQ163" s="69"/>
      <c r="BR163" s="69"/>
      <c r="BS163" s="69"/>
      <c r="BT163" s="69"/>
      <c r="BU163" s="69"/>
      <c r="BV163" s="69"/>
      <c r="BW163" s="69"/>
      <c r="BX163" s="69"/>
      <c r="BY163" s="69"/>
      <c r="BZ163" s="69"/>
      <c r="CA163" s="69"/>
      <c r="CB163" s="69"/>
      <c r="CC163" s="69"/>
      <c r="CD163" s="69"/>
      <c r="CE163" s="94">
        <f t="shared" si="13"/>
        <v>19689.330000000002</v>
      </c>
      <c r="CF163" s="151">
        <f t="shared" si="14"/>
        <v>0</v>
      </c>
      <c r="CG163" s="75">
        <f t="shared" si="11"/>
        <v>4020</v>
      </c>
      <c r="CH163" s="69" t="str">
        <f t="shared" si="11"/>
        <v>برنامج دولى</v>
      </c>
    </row>
    <row r="164" spans="1:86" x14ac:dyDescent="0.25">
      <c r="A164" s="148">
        <v>121</v>
      </c>
      <c r="B164" s="78">
        <v>8015</v>
      </c>
      <c r="C164" s="149">
        <v>4021</v>
      </c>
      <c r="D164" s="69" t="s">
        <v>78</v>
      </c>
      <c r="E164" s="157" t="str">
        <f t="shared" si="12"/>
        <v>كسب عمل اكتوبر</v>
      </c>
      <c r="F164" s="63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>
        <v>285305.53999999998</v>
      </c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94">
        <f t="shared" si="10"/>
        <v>285305.53999999998</v>
      </c>
      <c r="AS164" s="69">
        <v>285305.53999999998</v>
      </c>
      <c r="AT164" s="69"/>
      <c r="AU164" s="69"/>
      <c r="AV164" s="69"/>
      <c r="AW164" s="69"/>
      <c r="AX164" s="69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/>
      <c r="BJ164" s="69"/>
      <c r="BK164" s="69"/>
      <c r="BL164" s="69"/>
      <c r="BM164" s="69"/>
      <c r="BN164" s="69"/>
      <c r="BO164" s="69"/>
      <c r="BP164" s="69"/>
      <c r="BQ164" s="69"/>
      <c r="BR164" s="69"/>
      <c r="BS164" s="69"/>
      <c r="BT164" s="69"/>
      <c r="BU164" s="69"/>
      <c r="BV164" s="69"/>
      <c r="BW164" s="69"/>
      <c r="BX164" s="69"/>
      <c r="BY164" s="69"/>
      <c r="BZ164" s="69"/>
      <c r="CA164" s="69"/>
      <c r="CB164" s="69"/>
      <c r="CC164" s="69"/>
      <c r="CD164" s="69"/>
      <c r="CE164" s="94">
        <f t="shared" si="13"/>
        <v>285305.53999999998</v>
      </c>
      <c r="CF164" s="151">
        <f t="shared" si="14"/>
        <v>0</v>
      </c>
      <c r="CG164" s="75">
        <f t="shared" si="11"/>
        <v>4021</v>
      </c>
      <c r="CH164" s="69" t="str">
        <f t="shared" si="11"/>
        <v>برنامج دولى</v>
      </c>
    </row>
    <row r="165" spans="1:86" x14ac:dyDescent="0.25">
      <c r="A165" s="148">
        <v>122</v>
      </c>
      <c r="B165" s="78">
        <v>8016</v>
      </c>
      <c r="C165" s="149">
        <v>4022</v>
      </c>
      <c r="D165" s="69" t="s">
        <v>724</v>
      </c>
      <c r="E165" s="157" t="str">
        <f t="shared" si="12"/>
        <v>تنميه موارد اكتوبر</v>
      </c>
      <c r="F165" s="63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>
        <v>100</v>
      </c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94">
        <f t="shared" si="10"/>
        <v>100</v>
      </c>
      <c r="AS165" s="69">
        <v>100</v>
      </c>
      <c r="AT165" s="69"/>
      <c r="AU165" s="69"/>
      <c r="AV165" s="69"/>
      <c r="AW165" s="69"/>
      <c r="AX165" s="69"/>
      <c r="AY165" s="69"/>
      <c r="AZ165" s="69"/>
      <c r="BA165" s="69"/>
      <c r="BB165" s="69"/>
      <c r="BC165" s="69"/>
      <c r="BD165" s="69"/>
      <c r="BE165" s="69"/>
      <c r="BF165" s="69"/>
      <c r="BG165" s="69"/>
      <c r="BH165" s="69"/>
      <c r="BI165" s="69"/>
      <c r="BJ165" s="69"/>
      <c r="BK165" s="69"/>
      <c r="BL165" s="69"/>
      <c r="BM165" s="69"/>
      <c r="BN165" s="69"/>
      <c r="BO165" s="69"/>
      <c r="BP165" s="69"/>
      <c r="BQ165" s="69"/>
      <c r="BR165" s="69"/>
      <c r="BS165" s="69"/>
      <c r="BT165" s="69"/>
      <c r="BU165" s="69"/>
      <c r="BV165" s="69"/>
      <c r="BW165" s="69"/>
      <c r="BX165" s="69"/>
      <c r="BY165" s="69"/>
      <c r="BZ165" s="69"/>
      <c r="CA165" s="69"/>
      <c r="CB165" s="69"/>
      <c r="CC165" s="69"/>
      <c r="CD165" s="69"/>
      <c r="CE165" s="94">
        <f t="shared" si="13"/>
        <v>100</v>
      </c>
      <c r="CF165" s="151">
        <f t="shared" si="14"/>
        <v>0</v>
      </c>
      <c r="CG165" s="75">
        <f t="shared" si="11"/>
        <v>4022</v>
      </c>
      <c r="CH165" s="69" t="str">
        <f t="shared" si="11"/>
        <v>اتحاد طب</v>
      </c>
    </row>
    <row r="166" spans="1:86" x14ac:dyDescent="0.25">
      <c r="A166" s="148">
        <v>123</v>
      </c>
      <c r="B166" s="78">
        <v>7987</v>
      </c>
      <c r="C166" s="149">
        <v>4023</v>
      </c>
      <c r="D166" s="69" t="s">
        <v>116</v>
      </c>
      <c r="E166" s="157" t="str">
        <f>+E164</f>
        <v>كسب عمل اكتوبر</v>
      </c>
      <c r="F166" s="63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>
        <v>55.63</v>
      </c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94">
        <f t="shared" si="10"/>
        <v>55.63</v>
      </c>
      <c r="AS166" s="69">
        <v>55.63</v>
      </c>
      <c r="AT166" s="69"/>
      <c r="AU166" s="69"/>
      <c r="AV166" s="69"/>
      <c r="AW166" s="69"/>
      <c r="AX166" s="69"/>
      <c r="AY166" s="69"/>
      <c r="AZ166" s="69"/>
      <c r="BA166" s="69"/>
      <c r="BB166" s="69"/>
      <c r="BC166" s="69"/>
      <c r="BD166" s="69"/>
      <c r="BE166" s="69"/>
      <c r="BF166" s="69"/>
      <c r="BG166" s="69"/>
      <c r="BH166" s="69"/>
      <c r="BI166" s="69"/>
      <c r="BJ166" s="69"/>
      <c r="BK166" s="69"/>
      <c r="BL166" s="69"/>
      <c r="BM166" s="69"/>
      <c r="BN166" s="69"/>
      <c r="BO166" s="69"/>
      <c r="BP166" s="69"/>
      <c r="BQ166" s="69"/>
      <c r="BR166" s="69"/>
      <c r="BS166" s="69"/>
      <c r="BT166" s="69"/>
      <c r="BU166" s="69"/>
      <c r="BV166" s="69"/>
      <c r="BW166" s="69"/>
      <c r="BX166" s="69"/>
      <c r="BY166" s="69"/>
      <c r="BZ166" s="69"/>
      <c r="CA166" s="69"/>
      <c r="CB166" s="69"/>
      <c r="CC166" s="69"/>
      <c r="CD166" s="69"/>
      <c r="CE166" s="94">
        <f t="shared" si="13"/>
        <v>55.63</v>
      </c>
      <c r="CF166" s="151">
        <f t="shared" si="14"/>
        <v>0</v>
      </c>
      <c r="CG166" s="75">
        <f t="shared" si="11"/>
        <v>4023</v>
      </c>
      <c r="CH166" s="69" t="str">
        <f t="shared" si="11"/>
        <v>اتحاد صيدلة</v>
      </c>
    </row>
    <row r="167" spans="1:86" x14ac:dyDescent="0.25">
      <c r="A167" s="148">
        <v>124</v>
      </c>
      <c r="B167" s="78">
        <v>7988</v>
      </c>
      <c r="C167" s="149">
        <v>4024</v>
      </c>
      <c r="D167" s="69" t="s">
        <v>116</v>
      </c>
      <c r="E167" s="157" t="str">
        <f>+E163</f>
        <v>دمغه عاديه اكتوبر</v>
      </c>
      <c r="F167" s="63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>
        <v>1.6</v>
      </c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94">
        <f t="shared" si="10"/>
        <v>1.6</v>
      </c>
      <c r="AS167" s="69">
        <v>1.6</v>
      </c>
      <c r="AT167" s="69"/>
      <c r="AU167" s="69"/>
      <c r="AV167" s="69"/>
      <c r="AW167" s="69"/>
      <c r="AX167" s="69"/>
      <c r="AY167" s="69"/>
      <c r="AZ167" s="69"/>
      <c r="BA167" s="69"/>
      <c r="BB167" s="69"/>
      <c r="BC167" s="69"/>
      <c r="BD167" s="69"/>
      <c r="BE167" s="69"/>
      <c r="BF167" s="69"/>
      <c r="BG167" s="69"/>
      <c r="BH167" s="69"/>
      <c r="BI167" s="69"/>
      <c r="BJ167" s="69"/>
      <c r="BK167" s="69"/>
      <c r="BL167" s="69"/>
      <c r="BM167" s="69"/>
      <c r="BN167" s="69"/>
      <c r="BO167" s="69"/>
      <c r="BP167" s="69"/>
      <c r="BQ167" s="69"/>
      <c r="BR167" s="69"/>
      <c r="BS167" s="69"/>
      <c r="BT167" s="69"/>
      <c r="BU167" s="69"/>
      <c r="BV167" s="69"/>
      <c r="BW167" s="69"/>
      <c r="BX167" s="69"/>
      <c r="BY167" s="69"/>
      <c r="BZ167" s="69"/>
      <c r="CA167" s="69"/>
      <c r="CB167" s="69"/>
      <c r="CC167" s="69"/>
      <c r="CD167" s="69"/>
      <c r="CE167" s="94">
        <f t="shared" si="13"/>
        <v>1.6</v>
      </c>
      <c r="CF167" s="151">
        <f t="shared" si="14"/>
        <v>0</v>
      </c>
      <c r="CG167" s="75">
        <f t="shared" si="11"/>
        <v>4024</v>
      </c>
      <c r="CH167" s="69" t="str">
        <f t="shared" si="11"/>
        <v>اتحاد صيدلة</v>
      </c>
    </row>
    <row r="168" spans="1:86" x14ac:dyDescent="0.25">
      <c r="A168" s="148">
        <v>125</v>
      </c>
      <c r="B168" s="78">
        <v>7989</v>
      </c>
      <c r="C168" s="149">
        <v>4025</v>
      </c>
      <c r="D168" s="69" t="s">
        <v>731</v>
      </c>
      <c r="E168" s="157" t="str">
        <f>+E166</f>
        <v>كسب عمل اكتوبر</v>
      </c>
      <c r="F168" s="63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>
        <v>65.42</v>
      </c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94">
        <f t="shared" si="10"/>
        <v>65.42</v>
      </c>
      <c r="AS168" s="69">
        <v>65.42</v>
      </c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94">
        <f t="shared" si="13"/>
        <v>65.42</v>
      </c>
      <c r="CF168" s="151">
        <f t="shared" si="14"/>
        <v>0</v>
      </c>
      <c r="CG168" s="75">
        <f t="shared" si="11"/>
        <v>4025</v>
      </c>
      <c r="CH168" s="69" t="str">
        <f t="shared" si="11"/>
        <v>تكافل صيدلة</v>
      </c>
    </row>
    <row r="169" spans="1:86" x14ac:dyDescent="0.25">
      <c r="A169" s="148">
        <v>126</v>
      </c>
      <c r="B169" s="78">
        <v>7990</v>
      </c>
      <c r="C169" s="149">
        <v>4026</v>
      </c>
      <c r="D169" s="69" t="s">
        <v>731</v>
      </c>
      <c r="E169" s="157" t="str">
        <f>+E167</f>
        <v>دمغه عاديه اكتوبر</v>
      </c>
      <c r="F169" s="63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>
        <v>1.9</v>
      </c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94">
        <f t="shared" si="10"/>
        <v>1.9</v>
      </c>
      <c r="AS169" s="69">
        <v>1.9</v>
      </c>
      <c r="AT169" s="69"/>
      <c r="AU169" s="69"/>
      <c r="AV169" s="69"/>
      <c r="AW169" s="69"/>
      <c r="AX169" s="69"/>
      <c r="AY169" s="69"/>
      <c r="AZ169" s="69"/>
      <c r="BA169" s="69"/>
      <c r="BB169" s="69"/>
      <c r="BC169" s="69"/>
      <c r="BD169" s="69"/>
      <c r="BE169" s="69"/>
      <c r="BF169" s="69"/>
      <c r="BG169" s="69"/>
      <c r="BH169" s="69"/>
      <c r="BI169" s="69"/>
      <c r="BJ169" s="69"/>
      <c r="BK169" s="69"/>
      <c r="BL169" s="69"/>
      <c r="BM169" s="69"/>
      <c r="BN169" s="69"/>
      <c r="BO169" s="69"/>
      <c r="BP169" s="69"/>
      <c r="BQ169" s="69"/>
      <c r="BR169" s="69"/>
      <c r="BS169" s="69"/>
      <c r="BT169" s="69"/>
      <c r="BU169" s="69"/>
      <c r="BV169" s="69"/>
      <c r="BW169" s="69"/>
      <c r="BX169" s="69"/>
      <c r="BY169" s="69"/>
      <c r="BZ169" s="69"/>
      <c r="CA169" s="69"/>
      <c r="CB169" s="69"/>
      <c r="CC169" s="69"/>
      <c r="CD169" s="69"/>
      <c r="CE169" s="94">
        <f t="shared" si="13"/>
        <v>1.9</v>
      </c>
      <c r="CF169" s="151">
        <f t="shared" si="14"/>
        <v>0</v>
      </c>
      <c r="CG169" s="75">
        <f t="shared" si="11"/>
        <v>4026</v>
      </c>
      <c r="CH169" s="69" t="str">
        <f t="shared" si="11"/>
        <v>تكافل صيدلة</v>
      </c>
    </row>
    <row r="170" spans="1:86" x14ac:dyDescent="0.25">
      <c r="A170" s="148">
        <v>127</v>
      </c>
      <c r="B170" s="78">
        <v>7991</v>
      </c>
      <c r="C170" s="149">
        <v>4027</v>
      </c>
      <c r="D170" s="69" t="s">
        <v>730</v>
      </c>
      <c r="E170" s="157" t="str">
        <f>+E166</f>
        <v>كسب عمل اكتوبر</v>
      </c>
      <c r="F170" s="63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>
        <v>2120</v>
      </c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94">
        <f t="shared" si="10"/>
        <v>2120</v>
      </c>
      <c r="AS170" s="69">
        <v>2120</v>
      </c>
      <c r="AT170" s="69"/>
      <c r="AU170" s="69"/>
      <c r="AV170" s="69"/>
      <c r="AW170" s="69"/>
      <c r="AX170" s="69"/>
      <c r="AY170" s="69"/>
      <c r="AZ170" s="69"/>
      <c r="BA170" s="69"/>
      <c r="BB170" s="69"/>
      <c r="BC170" s="69"/>
      <c r="BD170" s="69"/>
      <c r="BE170" s="69"/>
      <c r="BF170" s="69"/>
      <c r="BG170" s="69"/>
      <c r="BH170" s="69"/>
      <c r="BI170" s="69"/>
      <c r="BJ170" s="69"/>
      <c r="BK170" s="69"/>
      <c r="BL170" s="69"/>
      <c r="BM170" s="69"/>
      <c r="BN170" s="69"/>
      <c r="BO170" s="69"/>
      <c r="BP170" s="69"/>
      <c r="BQ170" s="69"/>
      <c r="BR170" s="69"/>
      <c r="BS170" s="69"/>
      <c r="BT170" s="69"/>
      <c r="BU170" s="69"/>
      <c r="BV170" s="69"/>
      <c r="BW170" s="69"/>
      <c r="BX170" s="69"/>
      <c r="BY170" s="69"/>
      <c r="BZ170" s="69"/>
      <c r="CA170" s="69"/>
      <c r="CB170" s="69"/>
      <c r="CC170" s="69"/>
      <c r="CD170" s="69"/>
      <c r="CE170" s="94">
        <f t="shared" si="13"/>
        <v>2120</v>
      </c>
      <c r="CF170" s="151">
        <f t="shared" si="14"/>
        <v>0</v>
      </c>
      <c r="CG170" s="75">
        <f t="shared" si="11"/>
        <v>4027</v>
      </c>
      <c r="CH170" s="69" t="str">
        <f t="shared" si="11"/>
        <v>علمى صيدلة</v>
      </c>
    </row>
    <row r="171" spans="1:86" x14ac:dyDescent="0.25">
      <c r="A171" s="148">
        <v>128</v>
      </c>
      <c r="B171" s="78">
        <v>7992</v>
      </c>
      <c r="C171" s="149">
        <v>4028</v>
      </c>
      <c r="D171" s="69" t="s">
        <v>730</v>
      </c>
      <c r="E171" s="157" t="str">
        <f>+E167</f>
        <v>دمغه عاديه اكتوبر</v>
      </c>
      <c r="F171" s="63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>
        <v>152.85</v>
      </c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94">
        <f t="shared" si="10"/>
        <v>152.85</v>
      </c>
      <c r="AS171" s="69">
        <v>152.85</v>
      </c>
      <c r="AT171" s="69"/>
      <c r="AU171" s="69"/>
      <c r="AV171" s="69"/>
      <c r="AW171" s="69"/>
      <c r="AX171" s="69"/>
      <c r="AY171" s="69"/>
      <c r="AZ171" s="69"/>
      <c r="BA171" s="69"/>
      <c r="BB171" s="69"/>
      <c r="BC171" s="69"/>
      <c r="BD171" s="69"/>
      <c r="BE171" s="69"/>
      <c r="BF171" s="69"/>
      <c r="BG171" s="69"/>
      <c r="BH171" s="69"/>
      <c r="BI171" s="69"/>
      <c r="BJ171" s="69"/>
      <c r="BK171" s="69"/>
      <c r="BL171" s="69"/>
      <c r="BM171" s="69"/>
      <c r="BN171" s="69"/>
      <c r="BO171" s="69"/>
      <c r="BP171" s="69"/>
      <c r="BQ171" s="69"/>
      <c r="BR171" s="69"/>
      <c r="BS171" s="69"/>
      <c r="BT171" s="69"/>
      <c r="BU171" s="69"/>
      <c r="BV171" s="69"/>
      <c r="BW171" s="69"/>
      <c r="BX171" s="69"/>
      <c r="BY171" s="69"/>
      <c r="BZ171" s="69"/>
      <c r="CA171" s="69"/>
      <c r="CB171" s="69"/>
      <c r="CC171" s="69"/>
      <c r="CD171" s="69"/>
      <c r="CE171" s="94">
        <f t="shared" si="13"/>
        <v>152.85</v>
      </c>
      <c r="CF171" s="151">
        <f t="shared" si="14"/>
        <v>0</v>
      </c>
      <c r="CG171" s="75">
        <f t="shared" si="11"/>
        <v>4028</v>
      </c>
      <c r="CH171" s="69" t="str">
        <f t="shared" si="11"/>
        <v>علمى صيدلة</v>
      </c>
    </row>
    <row r="172" spans="1:86" x14ac:dyDescent="0.25">
      <c r="A172" s="148">
        <v>129</v>
      </c>
      <c r="B172" s="78">
        <v>7993</v>
      </c>
      <c r="C172" s="149">
        <v>4029</v>
      </c>
      <c r="D172" s="69" t="s">
        <v>132</v>
      </c>
      <c r="E172" s="157" t="str">
        <f>+E162</f>
        <v>ضرائب متنوعه اكتوبر</v>
      </c>
      <c r="F172" s="63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>
        <v>4832.6000000000004</v>
      </c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94">
        <f t="shared" si="10"/>
        <v>4832.6000000000004</v>
      </c>
      <c r="AS172" s="69">
        <v>4832.6000000000004</v>
      </c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94">
        <f t="shared" si="13"/>
        <v>4832.6000000000004</v>
      </c>
      <c r="CF172" s="151">
        <f t="shared" si="14"/>
        <v>0</v>
      </c>
      <c r="CG172" s="75">
        <f t="shared" si="11"/>
        <v>4029</v>
      </c>
      <c r="CH172" s="69" t="str">
        <f t="shared" si="11"/>
        <v>صيدلة اكلينيكى</v>
      </c>
    </row>
    <row r="173" spans="1:86" x14ac:dyDescent="0.25">
      <c r="A173" s="148">
        <v>130</v>
      </c>
      <c r="B173" s="78">
        <v>7994</v>
      </c>
      <c r="C173" s="149">
        <v>4030</v>
      </c>
      <c r="D173" s="69" t="s">
        <v>132</v>
      </c>
      <c r="E173" s="157" t="str">
        <f>+E171</f>
        <v>دمغه عاديه اكتوبر</v>
      </c>
      <c r="F173" s="63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>
        <v>6493.62</v>
      </c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94">
        <f t="shared" si="10"/>
        <v>6493.62</v>
      </c>
      <c r="AS173" s="69">
        <v>6493.62</v>
      </c>
      <c r="AT173" s="69"/>
      <c r="AU173" s="69"/>
      <c r="AV173" s="69"/>
      <c r="AW173" s="69"/>
      <c r="AX173" s="69"/>
      <c r="AY173" s="69"/>
      <c r="AZ173" s="69"/>
      <c r="BA173" s="69"/>
      <c r="BB173" s="69"/>
      <c r="BC173" s="69"/>
      <c r="BD173" s="69"/>
      <c r="BE173" s="69"/>
      <c r="BF173" s="69"/>
      <c r="BG173" s="69"/>
      <c r="BH173" s="69"/>
      <c r="BI173" s="69"/>
      <c r="BJ173" s="69"/>
      <c r="BK173" s="69"/>
      <c r="BL173" s="69"/>
      <c r="BM173" s="69"/>
      <c r="BN173" s="69"/>
      <c r="BO173" s="69"/>
      <c r="BP173" s="69"/>
      <c r="BQ173" s="69"/>
      <c r="BR173" s="69"/>
      <c r="BS173" s="69"/>
      <c r="BT173" s="69"/>
      <c r="BU173" s="69"/>
      <c r="BV173" s="69"/>
      <c r="BW173" s="69"/>
      <c r="BX173" s="69"/>
      <c r="BY173" s="69"/>
      <c r="BZ173" s="69"/>
      <c r="CA173" s="69"/>
      <c r="CB173" s="69"/>
      <c r="CC173" s="69"/>
      <c r="CD173" s="69"/>
      <c r="CE173" s="94">
        <f t="shared" si="13"/>
        <v>6493.62</v>
      </c>
      <c r="CF173" s="151">
        <f t="shared" si="14"/>
        <v>0</v>
      </c>
      <c r="CG173" s="75">
        <f t="shared" si="11"/>
        <v>4030</v>
      </c>
      <c r="CH173" s="69" t="str">
        <f t="shared" si="11"/>
        <v>صيدلة اكلينيكى</v>
      </c>
    </row>
    <row r="174" spans="1:86" x14ac:dyDescent="0.25">
      <c r="A174" s="148">
        <v>131</v>
      </c>
      <c r="B174" s="78">
        <v>7995</v>
      </c>
      <c r="C174" s="149">
        <v>4031</v>
      </c>
      <c r="D174" s="69" t="s">
        <v>132</v>
      </c>
      <c r="E174" s="157" t="str">
        <f>+E170</f>
        <v>كسب عمل اكتوبر</v>
      </c>
      <c r="F174" s="63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>
        <v>85936.08</v>
      </c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94">
        <f t="shared" si="10"/>
        <v>85936.08</v>
      </c>
      <c r="AS174" s="69">
        <v>85936.08</v>
      </c>
      <c r="AT174" s="69"/>
      <c r="AU174" s="69"/>
      <c r="AV174" s="69"/>
      <c r="AW174" s="69"/>
      <c r="AX174" s="69"/>
      <c r="AY174" s="69"/>
      <c r="AZ174" s="69"/>
      <c r="BA174" s="69"/>
      <c r="BB174" s="69"/>
      <c r="BC174" s="69"/>
      <c r="BD174" s="69"/>
      <c r="BE174" s="69"/>
      <c r="BF174" s="69"/>
      <c r="BG174" s="69"/>
      <c r="BH174" s="69"/>
      <c r="BI174" s="69"/>
      <c r="BJ174" s="69"/>
      <c r="BK174" s="69"/>
      <c r="BL174" s="69"/>
      <c r="BM174" s="69"/>
      <c r="BN174" s="69"/>
      <c r="BO174" s="69"/>
      <c r="BP174" s="69"/>
      <c r="BQ174" s="69"/>
      <c r="BR174" s="69"/>
      <c r="BS174" s="69"/>
      <c r="BT174" s="69"/>
      <c r="BU174" s="69"/>
      <c r="BV174" s="69"/>
      <c r="BW174" s="69"/>
      <c r="BX174" s="69"/>
      <c r="BY174" s="69"/>
      <c r="BZ174" s="69"/>
      <c r="CA174" s="69"/>
      <c r="CB174" s="69"/>
      <c r="CC174" s="69"/>
      <c r="CD174" s="69"/>
      <c r="CE174" s="94">
        <f t="shared" si="13"/>
        <v>85936.08</v>
      </c>
      <c r="CF174" s="151">
        <f t="shared" si="14"/>
        <v>0</v>
      </c>
      <c r="CG174" s="75">
        <f t="shared" si="11"/>
        <v>4031</v>
      </c>
      <c r="CH174" s="69" t="str">
        <f t="shared" si="11"/>
        <v>صيدلة اكلينيكى</v>
      </c>
    </row>
    <row r="175" spans="1:86" x14ac:dyDescent="0.25">
      <c r="A175" s="148">
        <v>132</v>
      </c>
      <c r="B175" s="78">
        <v>7996</v>
      </c>
      <c r="C175" s="149">
        <v>4032</v>
      </c>
      <c r="D175" s="69" t="s">
        <v>132</v>
      </c>
      <c r="E175" s="157" t="str">
        <f>+E165</f>
        <v>تنميه موارد اكتوبر</v>
      </c>
      <c r="F175" s="63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>
        <v>20</v>
      </c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94">
        <f t="shared" si="10"/>
        <v>20</v>
      </c>
      <c r="AS175" s="69">
        <v>20</v>
      </c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94">
        <f t="shared" si="13"/>
        <v>20</v>
      </c>
      <c r="CF175" s="151">
        <f t="shared" si="14"/>
        <v>0</v>
      </c>
      <c r="CG175" s="75">
        <f t="shared" si="11"/>
        <v>4032</v>
      </c>
      <c r="CH175" s="69" t="str">
        <f t="shared" si="11"/>
        <v>صيدلة اكلينيكى</v>
      </c>
    </row>
    <row r="176" spans="1:86" x14ac:dyDescent="0.25">
      <c r="A176" s="148">
        <v>133</v>
      </c>
      <c r="B176" s="78">
        <v>7997</v>
      </c>
      <c r="C176" s="149">
        <v>4033</v>
      </c>
      <c r="D176" s="69" t="s">
        <v>119</v>
      </c>
      <c r="E176" s="157" t="str">
        <f>+E174</f>
        <v>كسب عمل اكتوبر</v>
      </c>
      <c r="F176" s="63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>
        <v>4196.1000000000004</v>
      </c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94">
        <f t="shared" si="10"/>
        <v>4196.1000000000004</v>
      </c>
      <c r="AS176" s="69">
        <v>4196.1000000000004</v>
      </c>
      <c r="AT176" s="69"/>
      <c r="AU176" s="69"/>
      <c r="AV176" s="69"/>
      <c r="AW176" s="69"/>
      <c r="AX176" s="69"/>
      <c r="AY176" s="69"/>
      <c r="AZ176" s="69"/>
      <c r="BA176" s="69"/>
      <c r="BB176" s="69"/>
      <c r="BC176" s="69"/>
      <c r="BD176" s="69"/>
      <c r="BE176" s="69"/>
      <c r="BF176" s="69"/>
      <c r="BG176" s="69"/>
      <c r="BH176" s="69"/>
      <c r="BI176" s="69"/>
      <c r="BJ176" s="69"/>
      <c r="BK176" s="69"/>
      <c r="BL176" s="69"/>
      <c r="BM176" s="69"/>
      <c r="BN176" s="69"/>
      <c r="BO176" s="69"/>
      <c r="BP176" s="69"/>
      <c r="BQ176" s="69"/>
      <c r="BR176" s="69"/>
      <c r="BS176" s="69"/>
      <c r="BT176" s="69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94">
        <f t="shared" si="13"/>
        <v>4196.1000000000004</v>
      </c>
      <c r="CF176" s="151">
        <f t="shared" si="14"/>
        <v>0</v>
      </c>
      <c r="CG176" s="75">
        <f t="shared" si="11"/>
        <v>4033</v>
      </c>
      <c r="CH176" s="69" t="str">
        <f t="shared" si="11"/>
        <v>خ ت صيدلة</v>
      </c>
    </row>
    <row r="177" spans="1:93" x14ac:dyDescent="0.25">
      <c r="A177" s="148">
        <v>134</v>
      </c>
      <c r="B177" s="78">
        <v>7998</v>
      </c>
      <c r="C177" s="149">
        <v>4034</v>
      </c>
      <c r="D177" s="69" t="s">
        <v>119</v>
      </c>
      <c r="E177" s="157" t="str">
        <f>+E173</f>
        <v>دمغه عاديه اكتوبر</v>
      </c>
      <c r="F177" s="63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>
        <v>154.97999999999999</v>
      </c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94">
        <f t="shared" si="10"/>
        <v>154.97999999999999</v>
      </c>
      <c r="AS177" s="69">
        <v>154.97999999999999</v>
      </c>
      <c r="AT177" s="69"/>
      <c r="AU177" s="69"/>
      <c r="AV177" s="69"/>
      <c r="AW177" s="69"/>
      <c r="AX177" s="69"/>
      <c r="AY177" s="69"/>
      <c r="AZ177" s="69"/>
      <c r="BA177" s="69"/>
      <c r="BB177" s="69"/>
      <c r="BC177" s="69"/>
      <c r="BD177" s="69"/>
      <c r="BE177" s="69"/>
      <c r="BF177" s="69"/>
      <c r="BG177" s="69"/>
      <c r="BH177" s="69"/>
      <c r="BI177" s="69"/>
      <c r="BJ177" s="69"/>
      <c r="BK177" s="69"/>
      <c r="BL177" s="69"/>
      <c r="BM177" s="69"/>
      <c r="BN177" s="69"/>
      <c r="BO177" s="69"/>
      <c r="BP177" s="69"/>
      <c r="BQ177" s="69"/>
      <c r="BR177" s="69"/>
      <c r="BS177" s="69"/>
      <c r="BT177" s="69"/>
      <c r="BU177" s="69"/>
      <c r="BV177" s="69"/>
      <c r="BW177" s="69"/>
      <c r="BX177" s="69"/>
      <c r="BY177" s="69"/>
      <c r="BZ177" s="69"/>
      <c r="CA177" s="69"/>
      <c r="CB177" s="69"/>
      <c r="CC177" s="69"/>
      <c r="CD177" s="69"/>
      <c r="CE177" s="94">
        <f t="shared" si="13"/>
        <v>154.97999999999999</v>
      </c>
      <c r="CF177" s="151">
        <f t="shared" si="14"/>
        <v>0</v>
      </c>
      <c r="CG177" s="75">
        <f t="shared" si="11"/>
        <v>4034</v>
      </c>
      <c r="CH177" s="69" t="str">
        <f t="shared" si="11"/>
        <v>خ ت صيدلة</v>
      </c>
    </row>
    <row r="178" spans="1:93" x14ac:dyDescent="0.25">
      <c r="A178" s="148">
        <v>135</v>
      </c>
      <c r="B178" s="78">
        <v>7999</v>
      </c>
      <c r="C178" s="149">
        <v>4035</v>
      </c>
      <c r="D178" s="69" t="s">
        <v>119</v>
      </c>
      <c r="E178" s="157" t="str">
        <f>+E172</f>
        <v>ضرائب متنوعه اكتوبر</v>
      </c>
      <c r="F178" s="63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>
        <v>1771</v>
      </c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94">
        <f t="shared" si="10"/>
        <v>1771</v>
      </c>
      <c r="AS178" s="69">
        <v>1771</v>
      </c>
      <c r="AT178" s="69"/>
      <c r="AU178" s="69"/>
      <c r="AV178" s="69"/>
      <c r="AW178" s="69"/>
      <c r="AX178" s="69"/>
      <c r="AY178" s="69"/>
      <c r="AZ178" s="69"/>
      <c r="BA178" s="69"/>
      <c r="BB178" s="69"/>
      <c r="BC178" s="69"/>
      <c r="BD178" s="69"/>
      <c r="BE178" s="69"/>
      <c r="BF178" s="69"/>
      <c r="BG178" s="69"/>
      <c r="BH178" s="69"/>
      <c r="BI178" s="69"/>
      <c r="BJ178" s="69"/>
      <c r="BK178" s="69"/>
      <c r="BL178" s="69"/>
      <c r="BM178" s="69"/>
      <c r="BN178" s="69"/>
      <c r="BO178" s="69"/>
      <c r="BP178" s="69"/>
      <c r="BQ178" s="69"/>
      <c r="BR178" s="69"/>
      <c r="BS178" s="69"/>
      <c r="BT178" s="69"/>
      <c r="BU178" s="69"/>
      <c r="BV178" s="69"/>
      <c r="BW178" s="69"/>
      <c r="BX178" s="69"/>
      <c r="BY178" s="69"/>
      <c r="BZ178" s="69"/>
      <c r="CA178" s="69"/>
      <c r="CB178" s="69"/>
      <c r="CC178" s="69"/>
      <c r="CD178" s="69"/>
      <c r="CE178" s="94">
        <f t="shared" si="13"/>
        <v>1771</v>
      </c>
      <c r="CF178" s="151">
        <f t="shared" si="14"/>
        <v>0</v>
      </c>
      <c r="CG178" s="75">
        <f t="shared" si="11"/>
        <v>4035</v>
      </c>
      <c r="CH178" s="69" t="str">
        <f t="shared" si="11"/>
        <v>خ ت صيدلة</v>
      </c>
    </row>
    <row r="179" spans="1:93" x14ac:dyDescent="0.25">
      <c r="A179" s="148">
        <v>136</v>
      </c>
      <c r="B179" s="78">
        <v>8000</v>
      </c>
      <c r="C179" s="149">
        <v>4036</v>
      </c>
      <c r="D179" s="69" t="s">
        <v>119</v>
      </c>
      <c r="E179" s="157" t="str">
        <f>+E175</f>
        <v>تنميه موارد اكتوبر</v>
      </c>
      <c r="F179" s="63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>
        <v>136</v>
      </c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94">
        <f t="shared" si="10"/>
        <v>136</v>
      </c>
      <c r="AS179" s="69">
        <v>136</v>
      </c>
      <c r="AT179" s="69"/>
      <c r="AU179" s="69"/>
      <c r="AV179" s="69"/>
      <c r="AW179" s="69"/>
      <c r="AX179" s="69"/>
      <c r="AY179" s="69"/>
      <c r="AZ179" s="69"/>
      <c r="BA179" s="69"/>
      <c r="BB179" s="69"/>
      <c r="BC179" s="69"/>
      <c r="BD179" s="69"/>
      <c r="BE179" s="69"/>
      <c r="BF179" s="69"/>
      <c r="BG179" s="69"/>
      <c r="BH179" s="69"/>
      <c r="BI179" s="69"/>
      <c r="BJ179" s="69"/>
      <c r="BK179" s="69"/>
      <c r="BL179" s="69"/>
      <c r="BM179" s="69"/>
      <c r="BN179" s="69"/>
      <c r="BO179" s="69"/>
      <c r="BP179" s="69"/>
      <c r="BQ179" s="69"/>
      <c r="BR179" s="69"/>
      <c r="BS179" s="69"/>
      <c r="BT179" s="69"/>
      <c r="BU179" s="69"/>
      <c r="BV179" s="69"/>
      <c r="BW179" s="69"/>
      <c r="BX179" s="69"/>
      <c r="BY179" s="69"/>
      <c r="BZ179" s="69"/>
      <c r="CA179" s="69"/>
      <c r="CB179" s="69"/>
      <c r="CC179" s="69"/>
      <c r="CD179" s="69"/>
      <c r="CE179" s="94">
        <f t="shared" si="13"/>
        <v>136</v>
      </c>
      <c r="CF179" s="151">
        <f t="shared" si="14"/>
        <v>0</v>
      </c>
      <c r="CG179" s="75">
        <f t="shared" si="11"/>
        <v>4036</v>
      </c>
      <c r="CH179" s="69" t="str">
        <f t="shared" si="11"/>
        <v>خ ت صيدلة</v>
      </c>
    </row>
    <row r="180" spans="1:93" x14ac:dyDescent="0.25">
      <c r="A180" s="148">
        <v>137</v>
      </c>
      <c r="B180" s="78">
        <v>8001</v>
      </c>
      <c r="C180" s="149">
        <v>4037</v>
      </c>
      <c r="D180" s="69" t="s">
        <v>729</v>
      </c>
      <c r="E180" s="157" t="str">
        <f>+E176</f>
        <v>كسب عمل اكتوبر</v>
      </c>
      <c r="F180" s="63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>
        <v>1420</v>
      </c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94">
        <f t="shared" si="10"/>
        <v>1420</v>
      </c>
      <c r="AS180" s="69">
        <v>1420</v>
      </c>
      <c r="AT180" s="69"/>
      <c r="AU180" s="69"/>
      <c r="AV180" s="69"/>
      <c r="AW180" s="69"/>
      <c r="AX180" s="69"/>
      <c r="AY180" s="69"/>
      <c r="AZ180" s="69"/>
      <c r="BA180" s="69"/>
      <c r="BB180" s="69"/>
      <c r="BC180" s="69"/>
      <c r="BD180" s="69"/>
      <c r="BE180" s="69"/>
      <c r="BF180" s="69"/>
      <c r="BG180" s="69"/>
      <c r="BH180" s="69"/>
      <c r="BI180" s="69"/>
      <c r="BJ180" s="69"/>
      <c r="BK180" s="69"/>
      <c r="BL180" s="69"/>
      <c r="BM180" s="69"/>
      <c r="BN180" s="69"/>
      <c r="BO180" s="69"/>
      <c r="BP180" s="69"/>
      <c r="BQ180" s="69"/>
      <c r="BR180" s="69"/>
      <c r="BS180" s="69"/>
      <c r="BT180" s="69"/>
      <c r="BU180" s="69"/>
      <c r="BV180" s="69"/>
      <c r="BW180" s="69"/>
      <c r="BX180" s="69"/>
      <c r="BY180" s="69"/>
      <c r="BZ180" s="69"/>
      <c r="CA180" s="69"/>
      <c r="CB180" s="69"/>
      <c r="CC180" s="69"/>
      <c r="CD180" s="69"/>
      <c r="CE180" s="94">
        <f t="shared" si="13"/>
        <v>1420</v>
      </c>
      <c r="CF180" s="151">
        <f t="shared" si="14"/>
        <v>0</v>
      </c>
      <c r="CG180" s="75">
        <f t="shared" si="11"/>
        <v>4037</v>
      </c>
      <c r="CH180" s="69" t="str">
        <f t="shared" si="11"/>
        <v>خدمات صيدلة</v>
      </c>
    </row>
    <row r="181" spans="1:93" x14ac:dyDescent="0.25">
      <c r="A181" s="148">
        <v>138</v>
      </c>
      <c r="B181" s="78">
        <v>8002</v>
      </c>
      <c r="C181" s="149">
        <v>4038</v>
      </c>
      <c r="D181" s="69" t="s">
        <v>729</v>
      </c>
      <c r="E181" s="157" t="str">
        <f>+E177</f>
        <v>دمغه عاديه اكتوبر</v>
      </c>
      <c r="F181" s="63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>
        <v>97.49</v>
      </c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94">
        <f t="shared" si="10"/>
        <v>97.49</v>
      </c>
      <c r="AS181" s="69">
        <v>97.49</v>
      </c>
      <c r="AT181" s="69"/>
      <c r="AU181" s="69"/>
      <c r="AV181" s="69"/>
      <c r="AW181" s="69"/>
      <c r="AX181" s="69"/>
      <c r="AY181" s="69"/>
      <c r="AZ181" s="69"/>
      <c r="BA181" s="69"/>
      <c r="BB181" s="69"/>
      <c r="BC181" s="69"/>
      <c r="BD181" s="69"/>
      <c r="BE181" s="69"/>
      <c r="BF181" s="69"/>
      <c r="BG181" s="69"/>
      <c r="BH181" s="69"/>
      <c r="BI181" s="69"/>
      <c r="BJ181" s="69"/>
      <c r="BK181" s="69"/>
      <c r="BL181" s="69"/>
      <c r="BM181" s="69"/>
      <c r="BN181" s="69"/>
      <c r="BO181" s="69"/>
      <c r="BP181" s="69"/>
      <c r="BQ181" s="69"/>
      <c r="BR181" s="69"/>
      <c r="BS181" s="69"/>
      <c r="BT181" s="69"/>
      <c r="BU181" s="69"/>
      <c r="BV181" s="69"/>
      <c r="BW181" s="69"/>
      <c r="BX181" s="69"/>
      <c r="BY181" s="69"/>
      <c r="BZ181" s="69"/>
      <c r="CA181" s="69"/>
      <c r="CB181" s="69"/>
      <c r="CC181" s="69"/>
      <c r="CD181" s="69"/>
      <c r="CE181" s="94">
        <f t="shared" si="13"/>
        <v>97.49</v>
      </c>
      <c r="CF181" s="151">
        <f t="shared" si="14"/>
        <v>0</v>
      </c>
      <c r="CG181" s="75">
        <f t="shared" si="11"/>
        <v>4038</v>
      </c>
      <c r="CH181" s="69" t="str">
        <f t="shared" si="11"/>
        <v>خدمات صيدلة</v>
      </c>
    </row>
    <row r="182" spans="1:93" s="156" customFormat="1" x14ac:dyDescent="0.25">
      <c r="A182" s="153"/>
      <c r="B182" s="84"/>
      <c r="C182" s="154"/>
      <c r="D182" s="69"/>
      <c r="E182" s="155" t="s">
        <v>3165</v>
      </c>
      <c r="F182" s="68"/>
      <c r="G182" s="68">
        <f>SUM(G46:G181)</f>
        <v>361294.10000000003</v>
      </c>
      <c r="H182" s="68">
        <f t="shared" ref="H182:BV182" si="15">SUM(H46:H181)</f>
        <v>381728.73</v>
      </c>
      <c r="I182" s="68">
        <f t="shared" si="15"/>
        <v>0</v>
      </c>
      <c r="J182" s="68">
        <f t="shared" si="15"/>
        <v>0</v>
      </c>
      <c r="K182" s="68">
        <f t="shared" si="15"/>
        <v>0</v>
      </c>
      <c r="L182" s="68">
        <f t="shared" si="15"/>
        <v>0</v>
      </c>
      <c r="M182" s="68">
        <f t="shared" si="15"/>
        <v>0</v>
      </c>
      <c r="N182" s="68">
        <f t="shared" si="15"/>
        <v>0</v>
      </c>
      <c r="O182" s="68"/>
      <c r="P182" s="68">
        <f t="shared" si="15"/>
        <v>0</v>
      </c>
      <c r="Q182" s="68">
        <f t="shared" si="15"/>
        <v>0</v>
      </c>
      <c r="R182" s="68">
        <f t="shared" si="15"/>
        <v>0</v>
      </c>
      <c r="S182" s="68">
        <f t="shared" si="15"/>
        <v>0</v>
      </c>
      <c r="T182" s="68">
        <f t="shared" si="15"/>
        <v>0</v>
      </c>
      <c r="U182" s="68">
        <f t="shared" si="15"/>
        <v>723162.9099999998</v>
      </c>
      <c r="V182" s="68">
        <f t="shared" si="15"/>
        <v>1050</v>
      </c>
      <c r="W182" s="68">
        <f t="shared" si="15"/>
        <v>0</v>
      </c>
      <c r="X182" s="68">
        <f t="shared" si="15"/>
        <v>8500</v>
      </c>
      <c r="Y182" s="68">
        <f t="shared" si="15"/>
        <v>0</v>
      </c>
      <c r="Z182" s="68">
        <f t="shared" si="15"/>
        <v>0</v>
      </c>
      <c r="AA182" s="68">
        <f t="shared" si="15"/>
        <v>0</v>
      </c>
      <c r="AB182" s="68">
        <f t="shared" si="15"/>
        <v>0</v>
      </c>
      <c r="AC182" s="68">
        <f t="shared" si="15"/>
        <v>0</v>
      </c>
      <c r="AD182" s="68">
        <f t="shared" si="15"/>
        <v>2936.1</v>
      </c>
      <c r="AE182" s="68">
        <f t="shared" si="15"/>
        <v>0</v>
      </c>
      <c r="AF182" s="68">
        <f t="shared" si="15"/>
        <v>0</v>
      </c>
      <c r="AG182" s="68">
        <f t="shared" si="15"/>
        <v>0</v>
      </c>
      <c r="AH182" s="68">
        <f t="shared" si="15"/>
        <v>0</v>
      </c>
      <c r="AI182" s="68">
        <f t="shared" si="15"/>
        <v>0</v>
      </c>
      <c r="AJ182" s="68">
        <f t="shared" si="15"/>
        <v>0</v>
      </c>
      <c r="AK182" s="68">
        <f t="shared" si="15"/>
        <v>0</v>
      </c>
      <c r="AL182" s="68">
        <f t="shared" si="15"/>
        <v>0</v>
      </c>
      <c r="AM182" s="68">
        <f t="shared" si="15"/>
        <v>0</v>
      </c>
      <c r="AN182" s="68">
        <f t="shared" si="15"/>
        <v>0</v>
      </c>
      <c r="AO182" s="68">
        <f t="shared" si="15"/>
        <v>0</v>
      </c>
      <c r="AP182" s="68">
        <f t="shared" si="15"/>
        <v>0</v>
      </c>
      <c r="AQ182" s="68">
        <f t="shared" si="15"/>
        <v>0</v>
      </c>
      <c r="AR182" s="91">
        <f t="shared" si="15"/>
        <v>1478671.8400000005</v>
      </c>
      <c r="AS182" s="68">
        <f t="shared" si="15"/>
        <v>1367357.6400000001</v>
      </c>
      <c r="AT182" s="68">
        <f t="shared" si="15"/>
        <v>47713.139999999985</v>
      </c>
      <c r="AU182" s="68">
        <f t="shared" si="15"/>
        <v>58056.480000000025</v>
      </c>
      <c r="AV182" s="68">
        <f t="shared" si="15"/>
        <v>722.93000000000006</v>
      </c>
      <c r="AW182" s="68">
        <f t="shared" si="15"/>
        <v>0</v>
      </c>
      <c r="AX182" s="68">
        <f t="shared" si="15"/>
        <v>0</v>
      </c>
      <c r="AY182" s="68">
        <f t="shared" si="15"/>
        <v>0</v>
      </c>
      <c r="AZ182" s="68">
        <f t="shared" si="15"/>
        <v>0</v>
      </c>
      <c r="BA182" s="68">
        <f t="shared" si="15"/>
        <v>0</v>
      </c>
      <c r="BB182" s="68">
        <f t="shared" si="15"/>
        <v>0</v>
      </c>
      <c r="BC182" s="68">
        <f t="shared" si="15"/>
        <v>0</v>
      </c>
      <c r="BD182" s="68">
        <f t="shared" si="15"/>
        <v>0</v>
      </c>
      <c r="BE182" s="68"/>
      <c r="BF182" s="68">
        <f t="shared" si="15"/>
        <v>0</v>
      </c>
      <c r="BG182" s="68">
        <f t="shared" si="15"/>
        <v>2846.25</v>
      </c>
      <c r="BH182" s="68">
        <f t="shared" si="15"/>
        <v>220</v>
      </c>
      <c r="BI182" s="68">
        <f t="shared" si="15"/>
        <v>1405.4</v>
      </c>
      <c r="BJ182" s="68">
        <f t="shared" si="15"/>
        <v>350</v>
      </c>
      <c r="BK182" s="68">
        <f t="shared" si="15"/>
        <v>0</v>
      </c>
      <c r="BL182" s="68">
        <f t="shared" si="15"/>
        <v>0</v>
      </c>
      <c r="BM182" s="68">
        <f t="shared" si="15"/>
        <v>0</v>
      </c>
      <c r="BN182" s="68">
        <f t="shared" si="15"/>
        <v>0</v>
      </c>
      <c r="BO182" s="68"/>
      <c r="BP182" s="68">
        <f t="shared" si="15"/>
        <v>0</v>
      </c>
      <c r="BQ182" s="68">
        <f t="shared" si="15"/>
        <v>0</v>
      </c>
      <c r="BR182" s="68">
        <f t="shared" si="15"/>
        <v>0</v>
      </c>
      <c r="BS182" s="68">
        <f t="shared" si="15"/>
        <v>0</v>
      </c>
      <c r="BT182" s="68">
        <f t="shared" si="15"/>
        <v>0</v>
      </c>
      <c r="BU182" s="68">
        <f t="shared" si="15"/>
        <v>0</v>
      </c>
      <c r="BV182" s="68">
        <f t="shared" si="15"/>
        <v>0</v>
      </c>
      <c r="BW182" s="68">
        <f t="shared" ref="BW182:CO182" si="16">SUM(BW46:BW181)</f>
        <v>0</v>
      </c>
      <c r="BX182" s="68">
        <f t="shared" si="16"/>
        <v>0</v>
      </c>
      <c r="BY182" s="68">
        <f t="shared" si="16"/>
        <v>0</v>
      </c>
      <c r="BZ182" s="68">
        <f t="shared" si="16"/>
        <v>0</v>
      </c>
      <c r="CA182" s="68">
        <f t="shared" si="16"/>
        <v>0</v>
      </c>
      <c r="CB182" s="68">
        <f t="shared" si="16"/>
        <v>0</v>
      </c>
      <c r="CC182" s="68">
        <f t="shared" si="16"/>
        <v>0</v>
      </c>
      <c r="CD182" s="68">
        <f t="shared" si="16"/>
        <v>0</v>
      </c>
      <c r="CE182" s="91">
        <f t="shared" si="16"/>
        <v>1478671.8400000005</v>
      </c>
      <c r="CF182" s="153"/>
      <c r="CG182" s="68"/>
      <c r="CH182" s="68"/>
      <c r="CI182" s="158">
        <f t="shared" si="16"/>
        <v>0</v>
      </c>
      <c r="CJ182" s="68">
        <f t="shared" si="16"/>
        <v>0</v>
      </c>
      <c r="CK182" s="68">
        <f t="shared" si="16"/>
        <v>0</v>
      </c>
      <c r="CL182" s="68">
        <f t="shared" si="16"/>
        <v>0</v>
      </c>
      <c r="CM182" s="68">
        <f t="shared" si="16"/>
        <v>0</v>
      </c>
      <c r="CN182" s="68">
        <f t="shared" si="16"/>
        <v>0</v>
      </c>
      <c r="CO182" s="68">
        <f t="shared" si="16"/>
        <v>0</v>
      </c>
    </row>
    <row r="183" spans="1:93" x14ac:dyDescent="0.25">
      <c r="A183" s="148"/>
      <c r="B183" s="78">
        <v>8172</v>
      </c>
      <c r="C183" s="149">
        <v>4039</v>
      </c>
      <c r="D183" s="69" t="s">
        <v>78</v>
      </c>
      <c r="E183" s="157" t="s">
        <v>3097</v>
      </c>
      <c r="F183" s="63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>
        <v>255820.76</v>
      </c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94">
        <f t="shared" si="10"/>
        <v>255820.76</v>
      </c>
      <c r="AS183" s="69">
        <v>255820.76</v>
      </c>
      <c r="AT183" s="69"/>
      <c r="AU183" s="69"/>
      <c r="AV183" s="69"/>
      <c r="AW183" s="69"/>
      <c r="AX183" s="69"/>
      <c r="AY183" s="69"/>
      <c r="AZ183" s="69"/>
      <c r="BA183" s="69"/>
      <c r="BB183" s="69"/>
      <c r="BC183" s="69"/>
      <c r="BD183" s="69"/>
      <c r="BE183" s="69"/>
      <c r="BF183" s="69"/>
      <c r="BG183" s="69"/>
      <c r="BH183" s="69"/>
      <c r="BI183" s="69"/>
      <c r="BJ183" s="69"/>
      <c r="BK183" s="69"/>
      <c r="BL183" s="69"/>
      <c r="BM183" s="69"/>
      <c r="BN183" s="69"/>
      <c r="BO183" s="69"/>
      <c r="BP183" s="69"/>
      <c r="BQ183" s="69"/>
      <c r="BR183" s="69"/>
      <c r="BS183" s="69"/>
      <c r="BT183" s="69"/>
      <c r="BU183" s="69"/>
      <c r="BV183" s="69"/>
      <c r="BW183" s="69"/>
      <c r="BX183" s="69"/>
      <c r="BY183" s="69"/>
      <c r="BZ183" s="69"/>
      <c r="CA183" s="69"/>
      <c r="CB183" s="69"/>
      <c r="CC183" s="69"/>
      <c r="CD183" s="69"/>
      <c r="CE183" s="94">
        <f t="shared" si="13"/>
        <v>255820.76</v>
      </c>
      <c r="CF183" s="151">
        <f t="shared" si="14"/>
        <v>0</v>
      </c>
      <c r="CG183" s="75">
        <f t="shared" si="11"/>
        <v>4039</v>
      </c>
      <c r="CH183" s="69" t="str">
        <f t="shared" si="11"/>
        <v>برنامج دولى</v>
      </c>
    </row>
    <row r="184" spans="1:93" ht="18.75" x14ac:dyDescent="0.25">
      <c r="A184" s="148"/>
      <c r="B184" s="78">
        <v>8173</v>
      </c>
      <c r="C184" s="149">
        <v>4040</v>
      </c>
      <c r="D184" s="71" t="s">
        <v>130</v>
      </c>
      <c r="E184" s="157" t="s">
        <v>3097</v>
      </c>
      <c r="F184" s="63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>
        <v>13548.92</v>
      </c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94">
        <f t="shared" si="10"/>
        <v>13548.92</v>
      </c>
      <c r="AS184" s="69">
        <v>13548.92</v>
      </c>
      <c r="AT184" s="69"/>
      <c r="AU184" s="69"/>
      <c r="AV184" s="69"/>
      <c r="AW184" s="69"/>
      <c r="AX184" s="69"/>
      <c r="AY184" s="69"/>
      <c r="AZ184" s="69"/>
      <c r="BA184" s="69"/>
      <c r="BB184" s="69"/>
      <c r="BC184" s="69"/>
      <c r="BD184" s="69"/>
      <c r="BE184" s="69"/>
      <c r="BF184" s="69"/>
      <c r="BG184" s="69"/>
      <c r="BH184" s="69"/>
      <c r="BI184" s="69"/>
      <c r="BJ184" s="69"/>
      <c r="BK184" s="69"/>
      <c r="BL184" s="69"/>
      <c r="BM184" s="69"/>
      <c r="BN184" s="69"/>
      <c r="BO184" s="69"/>
      <c r="BP184" s="69"/>
      <c r="BQ184" s="69"/>
      <c r="BR184" s="69"/>
      <c r="BS184" s="69"/>
      <c r="BT184" s="69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94">
        <f t="shared" si="13"/>
        <v>13548.92</v>
      </c>
      <c r="CF184" s="151">
        <f t="shared" si="14"/>
        <v>0</v>
      </c>
      <c r="CG184" s="75">
        <f t="shared" si="11"/>
        <v>4040</v>
      </c>
      <c r="CH184" s="69" t="str">
        <f t="shared" si="11"/>
        <v>خ ت طب</v>
      </c>
    </row>
    <row r="185" spans="1:93" ht="18.75" x14ac:dyDescent="0.25">
      <c r="A185" s="148"/>
      <c r="B185" s="78">
        <v>8174</v>
      </c>
      <c r="C185" s="149">
        <v>4041</v>
      </c>
      <c r="D185" s="71" t="s">
        <v>128</v>
      </c>
      <c r="E185" s="157" t="s">
        <v>3097</v>
      </c>
      <c r="F185" s="63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>
        <v>39530.910000000003</v>
      </c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94">
        <f t="shared" si="10"/>
        <v>39530.910000000003</v>
      </c>
      <c r="AS185" s="69">
        <v>39530.910000000003</v>
      </c>
      <c r="AT185" s="69"/>
      <c r="AU185" s="69"/>
      <c r="AV185" s="69"/>
      <c r="AW185" s="69"/>
      <c r="AX185" s="69"/>
      <c r="AY185" s="69"/>
      <c r="AZ185" s="69"/>
      <c r="BA185" s="69"/>
      <c r="BB185" s="69"/>
      <c r="BC185" s="69"/>
      <c r="BD185" s="69"/>
      <c r="BE185" s="69"/>
      <c r="BF185" s="69"/>
      <c r="BG185" s="69"/>
      <c r="BH185" s="69"/>
      <c r="BI185" s="69"/>
      <c r="BJ185" s="69"/>
      <c r="BK185" s="69"/>
      <c r="BL185" s="69"/>
      <c r="BM185" s="69"/>
      <c r="BN185" s="69"/>
      <c r="BO185" s="69"/>
      <c r="BP185" s="69"/>
      <c r="BQ185" s="69"/>
      <c r="BR185" s="69"/>
      <c r="BS185" s="69"/>
      <c r="BT185" s="69"/>
      <c r="BU185" s="69"/>
      <c r="BV185" s="69"/>
      <c r="BW185" s="69"/>
      <c r="BX185" s="69"/>
      <c r="BY185" s="69"/>
      <c r="BZ185" s="69"/>
      <c r="CA185" s="69"/>
      <c r="CB185" s="69"/>
      <c r="CC185" s="69"/>
      <c r="CD185" s="69"/>
      <c r="CE185" s="94">
        <f t="shared" si="13"/>
        <v>39530.910000000003</v>
      </c>
      <c r="CF185" s="151">
        <f t="shared" si="14"/>
        <v>0</v>
      </c>
      <c r="CG185" s="75">
        <f t="shared" si="11"/>
        <v>4041</v>
      </c>
      <c r="CH185" s="69" t="str">
        <f t="shared" si="11"/>
        <v>مركز مؤتمرات</v>
      </c>
    </row>
    <row r="186" spans="1:93" ht="18.75" x14ac:dyDescent="0.25">
      <c r="A186" s="148"/>
      <c r="B186" s="78">
        <v>8175</v>
      </c>
      <c r="C186" s="149">
        <v>4042</v>
      </c>
      <c r="D186" s="71" t="s">
        <v>132</v>
      </c>
      <c r="E186" s="157" t="s">
        <v>3097</v>
      </c>
      <c r="F186" s="63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>
        <v>83588.740000000005</v>
      </c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94">
        <f t="shared" ref="AR186:AR249" si="17">SUM(G186:AQ186)</f>
        <v>83588.740000000005</v>
      </c>
      <c r="AS186" s="69">
        <v>83588.740000000005</v>
      </c>
      <c r="AT186" s="69"/>
      <c r="AU186" s="69"/>
      <c r="AV186" s="69"/>
      <c r="AW186" s="69"/>
      <c r="AX186" s="69"/>
      <c r="AY186" s="69"/>
      <c r="AZ186" s="69"/>
      <c r="BA186" s="69"/>
      <c r="BB186" s="69"/>
      <c r="BC186" s="69"/>
      <c r="BD186" s="69"/>
      <c r="BE186" s="69"/>
      <c r="BF186" s="69"/>
      <c r="BG186" s="69"/>
      <c r="BH186" s="69"/>
      <c r="BI186" s="69"/>
      <c r="BJ186" s="69"/>
      <c r="BK186" s="69"/>
      <c r="BL186" s="69"/>
      <c r="BM186" s="69"/>
      <c r="BN186" s="69"/>
      <c r="BO186" s="69"/>
      <c r="BP186" s="69"/>
      <c r="BQ186" s="69"/>
      <c r="BR186" s="69"/>
      <c r="BS186" s="69"/>
      <c r="BT186" s="69"/>
      <c r="BU186" s="69"/>
      <c r="BV186" s="69"/>
      <c r="BW186" s="69"/>
      <c r="BX186" s="69"/>
      <c r="BY186" s="69"/>
      <c r="BZ186" s="69"/>
      <c r="CA186" s="69"/>
      <c r="CB186" s="69"/>
      <c r="CC186" s="69"/>
      <c r="CD186" s="69"/>
      <c r="CE186" s="94">
        <f t="shared" si="13"/>
        <v>83588.740000000005</v>
      </c>
      <c r="CF186" s="151">
        <f t="shared" si="14"/>
        <v>0</v>
      </c>
      <c r="CG186" s="75">
        <f t="shared" si="11"/>
        <v>4042</v>
      </c>
      <c r="CH186" s="69" t="str">
        <f t="shared" si="11"/>
        <v>صيدلة اكلينيكى</v>
      </c>
    </row>
    <row r="187" spans="1:93" ht="18.75" x14ac:dyDescent="0.25">
      <c r="A187" s="148"/>
      <c r="B187" s="78">
        <v>8176</v>
      </c>
      <c r="C187" s="149">
        <v>4043</v>
      </c>
      <c r="D187" s="71" t="s">
        <v>119</v>
      </c>
      <c r="E187" s="157" t="s">
        <v>3097</v>
      </c>
      <c r="F187" s="63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>
        <v>7892.31</v>
      </c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94">
        <f t="shared" si="17"/>
        <v>7892.31</v>
      </c>
      <c r="AS187" s="69">
        <v>7892.31</v>
      </c>
      <c r="AT187" s="69"/>
      <c r="AU187" s="69"/>
      <c r="AV187" s="69"/>
      <c r="AW187" s="69"/>
      <c r="AX187" s="69"/>
      <c r="AY187" s="69"/>
      <c r="AZ187" s="69"/>
      <c r="BA187" s="69"/>
      <c r="BB187" s="69"/>
      <c r="BC187" s="69"/>
      <c r="BD187" s="69"/>
      <c r="BE187" s="69"/>
      <c r="BF187" s="69"/>
      <c r="BG187" s="69"/>
      <c r="BH187" s="69"/>
      <c r="BI187" s="69"/>
      <c r="BJ187" s="69"/>
      <c r="BK187" s="69"/>
      <c r="BL187" s="69"/>
      <c r="BM187" s="69"/>
      <c r="BN187" s="69"/>
      <c r="BO187" s="69"/>
      <c r="BP187" s="69"/>
      <c r="BQ187" s="69"/>
      <c r="BR187" s="69"/>
      <c r="BS187" s="69"/>
      <c r="BT187" s="69"/>
      <c r="BU187" s="69"/>
      <c r="BV187" s="69"/>
      <c r="BW187" s="69"/>
      <c r="BX187" s="69"/>
      <c r="BY187" s="69"/>
      <c r="BZ187" s="69"/>
      <c r="CA187" s="69"/>
      <c r="CB187" s="69"/>
      <c r="CC187" s="69"/>
      <c r="CD187" s="69"/>
      <c r="CE187" s="94">
        <f t="shared" si="13"/>
        <v>7892.31</v>
      </c>
      <c r="CF187" s="151">
        <f t="shared" si="14"/>
        <v>0</v>
      </c>
      <c r="CG187" s="75">
        <f t="shared" si="11"/>
        <v>4043</v>
      </c>
      <c r="CH187" s="69" t="str">
        <f t="shared" si="11"/>
        <v>خ ت صيدلة</v>
      </c>
    </row>
    <row r="188" spans="1:93" ht="18.75" x14ac:dyDescent="0.25">
      <c r="A188" s="148"/>
      <c r="B188" s="82">
        <v>8177</v>
      </c>
      <c r="C188" s="149">
        <v>4044</v>
      </c>
      <c r="D188" s="71" t="s">
        <v>730</v>
      </c>
      <c r="E188" s="157" t="s">
        <v>3097</v>
      </c>
      <c r="F188" s="63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>
        <v>1641.25</v>
      </c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94">
        <f t="shared" si="17"/>
        <v>1641.25</v>
      </c>
      <c r="AS188" s="69">
        <v>1641.25</v>
      </c>
      <c r="AT188" s="69"/>
      <c r="AU188" s="69"/>
      <c r="AV188" s="69"/>
      <c r="AW188" s="69"/>
      <c r="AX188" s="69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69"/>
      <c r="BK188" s="69"/>
      <c r="BL188" s="69"/>
      <c r="BM188" s="69"/>
      <c r="BN188" s="69"/>
      <c r="BO188" s="69"/>
      <c r="BP188" s="69"/>
      <c r="BQ188" s="69"/>
      <c r="BR188" s="69"/>
      <c r="BS188" s="69"/>
      <c r="BT188" s="69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94">
        <f t="shared" si="13"/>
        <v>1641.25</v>
      </c>
      <c r="CF188" s="151">
        <f t="shared" si="14"/>
        <v>0</v>
      </c>
      <c r="CG188" s="75">
        <f t="shared" si="11"/>
        <v>4044</v>
      </c>
      <c r="CH188" s="69" t="str">
        <f t="shared" si="11"/>
        <v>علمى صيدلة</v>
      </c>
    </row>
    <row r="189" spans="1:93" ht="18.75" x14ac:dyDescent="0.25">
      <c r="A189" s="148"/>
      <c r="B189" s="82">
        <v>8178</v>
      </c>
      <c r="C189" s="149">
        <v>4045</v>
      </c>
      <c r="D189" s="71" t="s">
        <v>729</v>
      </c>
      <c r="E189" s="157" t="s">
        <v>3097</v>
      </c>
      <c r="F189" s="63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>
        <v>3323.68</v>
      </c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94">
        <f t="shared" si="17"/>
        <v>3323.68</v>
      </c>
      <c r="AS189" s="69">
        <v>3323.68</v>
      </c>
      <c r="AT189" s="69"/>
      <c r="AU189" s="69"/>
      <c r="AV189" s="69"/>
      <c r="AW189" s="69"/>
      <c r="AX189" s="69"/>
      <c r="AY189" s="69"/>
      <c r="AZ189" s="69"/>
      <c r="BA189" s="69"/>
      <c r="BB189" s="69"/>
      <c r="BC189" s="69"/>
      <c r="BD189" s="69"/>
      <c r="BE189" s="69"/>
      <c r="BF189" s="69"/>
      <c r="BG189" s="69"/>
      <c r="BH189" s="69"/>
      <c r="BI189" s="69"/>
      <c r="BJ189" s="69"/>
      <c r="BK189" s="69"/>
      <c r="BL189" s="69"/>
      <c r="BM189" s="69"/>
      <c r="BN189" s="69"/>
      <c r="BO189" s="69"/>
      <c r="BP189" s="69"/>
      <c r="BQ189" s="69"/>
      <c r="BR189" s="69"/>
      <c r="BS189" s="69"/>
      <c r="BT189" s="69"/>
      <c r="BU189" s="69"/>
      <c r="BV189" s="69"/>
      <c r="BW189" s="69"/>
      <c r="BX189" s="69"/>
      <c r="BY189" s="69"/>
      <c r="BZ189" s="69"/>
      <c r="CA189" s="69"/>
      <c r="CB189" s="69"/>
      <c r="CC189" s="69"/>
      <c r="CD189" s="69"/>
      <c r="CE189" s="94">
        <f t="shared" si="13"/>
        <v>3323.68</v>
      </c>
      <c r="CF189" s="151">
        <f t="shared" si="14"/>
        <v>0</v>
      </c>
      <c r="CG189" s="75">
        <f t="shared" si="11"/>
        <v>4045</v>
      </c>
      <c r="CH189" s="69" t="str">
        <f t="shared" si="11"/>
        <v>خدمات صيدلة</v>
      </c>
    </row>
    <row r="190" spans="1:93" ht="18.75" x14ac:dyDescent="0.25">
      <c r="A190" s="148"/>
      <c r="B190" s="82">
        <v>8179</v>
      </c>
      <c r="C190" s="149">
        <v>4046</v>
      </c>
      <c r="D190" s="71" t="s">
        <v>731</v>
      </c>
      <c r="E190" s="157" t="s">
        <v>3097</v>
      </c>
      <c r="F190" s="63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>
        <v>184.8</v>
      </c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94">
        <f t="shared" si="17"/>
        <v>184.8</v>
      </c>
      <c r="AS190" s="69">
        <v>184.8</v>
      </c>
      <c r="AT190" s="69"/>
      <c r="AU190" s="69"/>
      <c r="AV190" s="69"/>
      <c r="AW190" s="69"/>
      <c r="AX190" s="69"/>
      <c r="AY190" s="69"/>
      <c r="AZ190" s="69"/>
      <c r="BA190" s="69"/>
      <c r="BB190" s="69"/>
      <c r="BC190" s="69"/>
      <c r="BD190" s="69"/>
      <c r="BE190" s="69"/>
      <c r="BF190" s="69"/>
      <c r="BG190" s="69"/>
      <c r="BH190" s="69"/>
      <c r="BI190" s="69"/>
      <c r="BJ190" s="69"/>
      <c r="BK190" s="69"/>
      <c r="BL190" s="69"/>
      <c r="BM190" s="69"/>
      <c r="BN190" s="69"/>
      <c r="BO190" s="69"/>
      <c r="BP190" s="69"/>
      <c r="BQ190" s="69"/>
      <c r="BR190" s="69"/>
      <c r="BS190" s="69"/>
      <c r="BT190" s="69"/>
      <c r="BU190" s="69"/>
      <c r="BV190" s="69"/>
      <c r="BW190" s="69"/>
      <c r="BX190" s="69"/>
      <c r="BY190" s="69"/>
      <c r="BZ190" s="69"/>
      <c r="CA190" s="69"/>
      <c r="CB190" s="69"/>
      <c r="CC190" s="69"/>
      <c r="CD190" s="69"/>
      <c r="CE190" s="94">
        <f t="shared" si="13"/>
        <v>184.8</v>
      </c>
      <c r="CF190" s="151">
        <f t="shared" si="14"/>
        <v>0</v>
      </c>
      <c r="CG190" s="75">
        <f t="shared" si="11"/>
        <v>4046</v>
      </c>
      <c r="CH190" s="69" t="str">
        <f t="shared" si="11"/>
        <v>تكافل صيدلة</v>
      </c>
    </row>
    <row r="191" spans="1:93" ht="18.75" x14ac:dyDescent="0.25">
      <c r="A191" s="148"/>
      <c r="B191" s="82">
        <v>8180</v>
      </c>
      <c r="C191" s="149">
        <v>4047</v>
      </c>
      <c r="D191" s="71" t="s">
        <v>116</v>
      </c>
      <c r="E191" s="157" t="s">
        <v>3097</v>
      </c>
      <c r="F191" s="63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>
        <v>157.11000000000001</v>
      </c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94">
        <f t="shared" si="17"/>
        <v>157.11000000000001</v>
      </c>
      <c r="AS191" s="69">
        <v>157.11000000000001</v>
      </c>
      <c r="AT191" s="69"/>
      <c r="AU191" s="69"/>
      <c r="AV191" s="69"/>
      <c r="AW191" s="69"/>
      <c r="AX191" s="69"/>
      <c r="AY191" s="69"/>
      <c r="AZ191" s="69"/>
      <c r="BA191" s="69"/>
      <c r="BB191" s="69"/>
      <c r="BC191" s="69"/>
      <c r="BD191" s="69"/>
      <c r="BE191" s="69"/>
      <c r="BF191" s="69"/>
      <c r="BG191" s="69"/>
      <c r="BH191" s="69"/>
      <c r="BI191" s="69"/>
      <c r="BJ191" s="69"/>
      <c r="BK191" s="69"/>
      <c r="BL191" s="69"/>
      <c r="BM191" s="69"/>
      <c r="BN191" s="69"/>
      <c r="BO191" s="69"/>
      <c r="BP191" s="69"/>
      <c r="BQ191" s="69"/>
      <c r="BR191" s="69"/>
      <c r="BS191" s="69"/>
      <c r="BT191" s="69"/>
      <c r="BU191" s="69"/>
      <c r="BV191" s="69"/>
      <c r="BW191" s="69"/>
      <c r="BX191" s="69"/>
      <c r="BY191" s="69"/>
      <c r="BZ191" s="69"/>
      <c r="CA191" s="69"/>
      <c r="CB191" s="69"/>
      <c r="CC191" s="69"/>
      <c r="CD191" s="69"/>
      <c r="CE191" s="94">
        <f t="shared" si="13"/>
        <v>157.11000000000001</v>
      </c>
      <c r="CF191" s="151">
        <f t="shared" si="14"/>
        <v>0</v>
      </c>
      <c r="CG191" s="75">
        <f t="shared" si="11"/>
        <v>4047</v>
      </c>
      <c r="CH191" s="69" t="str">
        <f t="shared" si="11"/>
        <v>اتحاد صيدلة</v>
      </c>
    </row>
    <row r="192" spans="1:93" ht="18.75" x14ac:dyDescent="0.25">
      <c r="A192" s="148"/>
      <c r="B192" s="82">
        <v>8181</v>
      </c>
      <c r="C192" s="149">
        <v>4048</v>
      </c>
      <c r="D192" s="71" t="s">
        <v>123</v>
      </c>
      <c r="E192" s="157" t="s">
        <v>3097</v>
      </c>
      <c r="F192" s="63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>
        <v>57076.66</v>
      </c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94">
        <f t="shared" si="17"/>
        <v>57076.66</v>
      </c>
      <c r="AS192" s="69">
        <v>57076.66</v>
      </c>
      <c r="AT192" s="69"/>
      <c r="AU192" s="69"/>
      <c r="AV192" s="69"/>
      <c r="AW192" s="69"/>
      <c r="AX192" s="69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/>
      <c r="BI192" s="69"/>
      <c r="BJ192" s="69"/>
      <c r="BK192" s="69"/>
      <c r="BL192" s="69"/>
      <c r="BM192" s="69"/>
      <c r="BN192" s="69"/>
      <c r="BO192" s="69"/>
      <c r="BP192" s="69"/>
      <c r="BQ192" s="69"/>
      <c r="BR192" s="69"/>
      <c r="BS192" s="69"/>
      <c r="BT192" s="69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94">
        <f t="shared" si="13"/>
        <v>57076.66</v>
      </c>
      <c r="CF192" s="151">
        <f t="shared" si="14"/>
        <v>0</v>
      </c>
      <c r="CG192" s="75">
        <f t="shared" si="11"/>
        <v>4048</v>
      </c>
      <c r="CH192" s="69" t="str">
        <f t="shared" si="11"/>
        <v>خ ت اسنان</v>
      </c>
    </row>
    <row r="193" spans="1:86" ht="18.75" x14ac:dyDescent="0.25">
      <c r="A193" s="148"/>
      <c r="B193" s="82">
        <v>8182</v>
      </c>
      <c r="C193" s="149">
        <v>4049</v>
      </c>
      <c r="D193" s="71" t="s">
        <v>121</v>
      </c>
      <c r="E193" s="157" t="s">
        <v>3097</v>
      </c>
      <c r="F193" s="63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>
        <v>75560.710000000006</v>
      </c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94">
        <f t="shared" si="17"/>
        <v>75560.710000000006</v>
      </c>
      <c r="AS193" s="69">
        <v>75560.710000000006</v>
      </c>
      <c r="AT193" s="69"/>
      <c r="AU193" s="69"/>
      <c r="AV193" s="69"/>
      <c r="AW193" s="69"/>
      <c r="AX193" s="69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69"/>
      <c r="BK193" s="69"/>
      <c r="BL193" s="69"/>
      <c r="BM193" s="69"/>
      <c r="BN193" s="69"/>
      <c r="BO193" s="69"/>
      <c r="BP193" s="69"/>
      <c r="BQ193" s="69"/>
      <c r="BR193" s="69"/>
      <c r="BS193" s="69"/>
      <c r="BT193" s="69"/>
      <c r="BU193" s="69"/>
      <c r="BV193" s="69"/>
      <c r="BW193" s="69"/>
      <c r="BX193" s="69"/>
      <c r="BY193" s="69"/>
      <c r="BZ193" s="69"/>
      <c r="CA193" s="69"/>
      <c r="CB193" s="69"/>
      <c r="CC193" s="69"/>
      <c r="CD193" s="69"/>
      <c r="CE193" s="94">
        <f t="shared" si="13"/>
        <v>75560.710000000006</v>
      </c>
      <c r="CF193" s="151">
        <f t="shared" si="14"/>
        <v>0</v>
      </c>
      <c r="CG193" s="75">
        <f t="shared" si="11"/>
        <v>4049</v>
      </c>
      <c r="CH193" s="69" t="str">
        <f t="shared" si="11"/>
        <v>ماليزى اسنان</v>
      </c>
    </row>
    <row r="194" spans="1:86" ht="18.75" x14ac:dyDescent="0.25">
      <c r="A194" s="148"/>
      <c r="B194" s="82">
        <v>8183</v>
      </c>
      <c r="C194" s="149">
        <v>4050</v>
      </c>
      <c r="D194" s="71" t="s">
        <v>137</v>
      </c>
      <c r="E194" s="157" t="s">
        <v>3097</v>
      </c>
      <c r="F194" s="63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>
        <v>54239.839999999997</v>
      </c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94">
        <f t="shared" si="17"/>
        <v>54239.839999999997</v>
      </c>
      <c r="AS194" s="69">
        <v>54239.839999999997</v>
      </c>
      <c r="AT194" s="69"/>
      <c r="AU194" s="69"/>
      <c r="AV194" s="69"/>
      <c r="AW194" s="69"/>
      <c r="AX194" s="69"/>
      <c r="AY194" s="69"/>
      <c r="AZ194" s="69"/>
      <c r="BA194" s="69"/>
      <c r="BB194" s="69"/>
      <c r="BC194" s="69"/>
      <c r="BD194" s="69"/>
      <c r="BE194" s="69"/>
      <c r="BF194" s="69"/>
      <c r="BG194" s="69"/>
      <c r="BH194" s="69"/>
      <c r="BI194" s="69"/>
      <c r="BJ194" s="69"/>
      <c r="BK194" s="69"/>
      <c r="BL194" s="69"/>
      <c r="BM194" s="69"/>
      <c r="BN194" s="69"/>
      <c r="BO194" s="69"/>
      <c r="BP194" s="69"/>
      <c r="BQ194" s="69"/>
      <c r="BR194" s="69"/>
      <c r="BS194" s="69"/>
      <c r="BT194" s="69"/>
      <c r="BU194" s="69"/>
      <c r="BV194" s="69"/>
      <c r="BW194" s="69"/>
      <c r="BX194" s="69"/>
      <c r="BY194" s="69"/>
      <c r="BZ194" s="69"/>
      <c r="CA194" s="69"/>
      <c r="CB194" s="69"/>
      <c r="CC194" s="69"/>
      <c r="CD194" s="69"/>
      <c r="CE194" s="94">
        <f t="shared" si="13"/>
        <v>54239.839999999997</v>
      </c>
      <c r="CF194" s="151">
        <f t="shared" si="14"/>
        <v>0</v>
      </c>
      <c r="CG194" s="75">
        <f t="shared" si="11"/>
        <v>4050</v>
      </c>
      <c r="CH194" s="69" t="str">
        <f t="shared" si="11"/>
        <v xml:space="preserve">خدمة عامة </v>
      </c>
    </row>
    <row r="195" spans="1:86" ht="18.75" x14ac:dyDescent="0.25">
      <c r="A195" s="148"/>
      <c r="B195" s="82">
        <v>8184</v>
      </c>
      <c r="C195" s="149">
        <v>4051</v>
      </c>
      <c r="D195" s="71" t="s">
        <v>125</v>
      </c>
      <c r="E195" s="157" t="s">
        <v>3097</v>
      </c>
      <c r="F195" s="63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>
        <v>1028.3599999999999</v>
      </c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94">
        <f t="shared" si="17"/>
        <v>1028.3599999999999</v>
      </c>
      <c r="AS195" s="69">
        <v>1028.3599999999999</v>
      </c>
      <c r="AT195" s="69"/>
      <c r="AU195" s="69"/>
      <c r="AV195" s="69"/>
      <c r="AW195" s="69"/>
      <c r="AX195" s="69"/>
      <c r="AY195" s="69"/>
      <c r="AZ195" s="69"/>
      <c r="BA195" s="69"/>
      <c r="BB195" s="69"/>
      <c r="BC195" s="69"/>
      <c r="BD195" s="69"/>
      <c r="BE195" s="69"/>
      <c r="BF195" s="69"/>
      <c r="BG195" s="69"/>
      <c r="BH195" s="69"/>
      <c r="BI195" s="69"/>
      <c r="BJ195" s="69"/>
      <c r="BK195" s="69"/>
      <c r="BL195" s="69"/>
      <c r="BM195" s="69"/>
      <c r="BN195" s="69"/>
      <c r="BO195" s="69"/>
      <c r="BP195" s="69"/>
      <c r="BQ195" s="69"/>
      <c r="BR195" s="69"/>
      <c r="BS195" s="69"/>
      <c r="BT195" s="69"/>
      <c r="BU195" s="69"/>
      <c r="BV195" s="69"/>
      <c r="BW195" s="69"/>
      <c r="BX195" s="69"/>
      <c r="BY195" s="69"/>
      <c r="BZ195" s="69"/>
      <c r="CA195" s="69"/>
      <c r="CB195" s="69"/>
      <c r="CC195" s="69"/>
      <c r="CD195" s="69"/>
      <c r="CE195" s="94">
        <f t="shared" si="13"/>
        <v>1028.3599999999999</v>
      </c>
      <c r="CF195" s="151">
        <f t="shared" si="14"/>
        <v>0</v>
      </c>
      <c r="CG195" s="75">
        <f t="shared" si="11"/>
        <v>4051</v>
      </c>
      <c r="CH195" s="69" t="str">
        <f t="shared" si="11"/>
        <v>اختبار مواد</v>
      </c>
    </row>
    <row r="196" spans="1:86" ht="18.75" x14ac:dyDescent="0.25">
      <c r="A196" s="148"/>
      <c r="B196" s="82">
        <v>8181</v>
      </c>
      <c r="C196" s="149">
        <v>4052</v>
      </c>
      <c r="D196" s="71" t="s">
        <v>122</v>
      </c>
      <c r="E196" s="157" t="s">
        <v>3097</v>
      </c>
      <c r="F196" s="63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>
        <v>3684.03</v>
      </c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94">
        <f t="shared" si="17"/>
        <v>3684.03</v>
      </c>
      <c r="AS196" s="69">
        <v>3684.03</v>
      </c>
      <c r="AT196" s="69"/>
      <c r="AU196" s="69"/>
      <c r="AV196" s="69"/>
      <c r="AW196" s="69"/>
      <c r="AX196" s="69"/>
      <c r="AY196" s="69"/>
      <c r="AZ196" s="69"/>
      <c r="BA196" s="69"/>
      <c r="BB196" s="69"/>
      <c r="BC196" s="69"/>
      <c r="BD196" s="69"/>
      <c r="BE196" s="69"/>
      <c r="BF196" s="69"/>
      <c r="BG196" s="69"/>
      <c r="BH196" s="69"/>
      <c r="BI196" s="69"/>
      <c r="BJ196" s="69"/>
      <c r="BK196" s="69"/>
      <c r="BL196" s="69"/>
      <c r="BM196" s="69"/>
      <c r="BN196" s="69"/>
      <c r="BO196" s="69"/>
      <c r="BP196" s="69"/>
      <c r="BQ196" s="69"/>
      <c r="BR196" s="69"/>
      <c r="BS196" s="69"/>
      <c r="BT196" s="69"/>
      <c r="BU196" s="69"/>
      <c r="BV196" s="69"/>
      <c r="BW196" s="69"/>
      <c r="BX196" s="69"/>
      <c r="BY196" s="69"/>
      <c r="BZ196" s="69"/>
      <c r="CA196" s="69"/>
      <c r="CB196" s="69"/>
      <c r="CC196" s="69"/>
      <c r="CD196" s="69"/>
      <c r="CE196" s="94">
        <f t="shared" si="13"/>
        <v>3684.03</v>
      </c>
      <c r="CF196" s="151">
        <f t="shared" si="14"/>
        <v>0</v>
      </c>
      <c r="CG196" s="75">
        <f t="shared" si="11"/>
        <v>4052</v>
      </c>
      <c r="CH196" s="69" t="str">
        <f t="shared" si="11"/>
        <v>علاج تخصصى</v>
      </c>
    </row>
    <row r="197" spans="1:86" ht="18.75" x14ac:dyDescent="0.25">
      <c r="A197" s="148"/>
      <c r="B197" s="82">
        <v>8186</v>
      </c>
      <c r="C197" s="149">
        <v>4053</v>
      </c>
      <c r="D197" s="71" t="s">
        <v>124</v>
      </c>
      <c r="E197" s="157" t="s">
        <v>3097</v>
      </c>
      <c r="F197" s="63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>
        <v>132.93</v>
      </c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94">
        <f t="shared" si="17"/>
        <v>132.93</v>
      </c>
      <c r="AS197" s="69">
        <v>132.93</v>
      </c>
      <c r="AT197" s="69"/>
      <c r="AU197" s="69"/>
      <c r="AV197" s="69"/>
      <c r="AW197" s="69"/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94">
        <f t="shared" si="13"/>
        <v>132.93</v>
      </c>
      <c r="CF197" s="151">
        <f t="shared" si="14"/>
        <v>0</v>
      </c>
      <c r="CG197" s="75">
        <f t="shared" si="11"/>
        <v>4053</v>
      </c>
      <c r="CH197" s="69" t="str">
        <f t="shared" si="11"/>
        <v>تكافل اسنان</v>
      </c>
    </row>
    <row r="198" spans="1:86" ht="18.75" x14ac:dyDescent="0.25">
      <c r="A198" s="148"/>
      <c r="B198" s="82">
        <v>6693</v>
      </c>
      <c r="C198" s="149">
        <v>4054</v>
      </c>
      <c r="D198" s="71" t="s">
        <v>78</v>
      </c>
      <c r="E198" s="69" t="s">
        <v>3166</v>
      </c>
      <c r="F198" s="63"/>
      <c r="G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>
        <v>6000</v>
      </c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94">
        <f t="shared" si="17"/>
        <v>6000</v>
      </c>
      <c r="AS198" s="69">
        <v>6000</v>
      </c>
      <c r="AT198" s="69"/>
      <c r="AU198" s="69"/>
      <c r="AV198" s="69"/>
      <c r="AW198" s="69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69"/>
      <c r="CC198" s="69"/>
      <c r="CD198" s="69"/>
      <c r="CE198" s="94">
        <f t="shared" si="13"/>
        <v>6000</v>
      </c>
      <c r="CF198" s="151">
        <f t="shared" si="14"/>
        <v>0</v>
      </c>
      <c r="CG198" s="75">
        <f t="shared" si="11"/>
        <v>4054</v>
      </c>
      <c r="CH198" s="69" t="str">
        <f t="shared" si="11"/>
        <v>برنامج دولى</v>
      </c>
    </row>
    <row r="199" spans="1:86" ht="18.75" x14ac:dyDescent="0.25">
      <c r="A199" s="148"/>
      <c r="B199" s="82">
        <v>6541</v>
      </c>
      <c r="C199" s="149">
        <v>4055</v>
      </c>
      <c r="D199" s="71" t="s">
        <v>130</v>
      </c>
      <c r="E199" s="69" t="s">
        <v>3167</v>
      </c>
      <c r="F199" s="63"/>
      <c r="G199" s="69">
        <v>357.62</v>
      </c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94">
        <f t="shared" si="17"/>
        <v>357.62</v>
      </c>
      <c r="AS199" s="69">
        <v>237.36</v>
      </c>
      <c r="AT199" s="69">
        <v>34.090000000000003</v>
      </c>
      <c r="AU199" s="69">
        <v>86.17</v>
      </c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94">
        <f t="shared" si="13"/>
        <v>357.62000000000006</v>
      </c>
      <c r="CF199" s="151">
        <f t="shared" si="14"/>
        <v>0</v>
      </c>
      <c r="CG199" s="75">
        <f t="shared" si="11"/>
        <v>4055</v>
      </c>
      <c r="CH199" s="69" t="str">
        <f t="shared" si="11"/>
        <v>خ ت طب</v>
      </c>
    </row>
    <row r="200" spans="1:86" ht="18.75" x14ac:dyDescent="0.25">
      <c r="A200" s="148"/>
      <c r="B200" s="82">
        <v>3474</v>
      </c>
      <c r="C200" s="149">
        <v>4056</v>
      </c>
      <c r="D200" s="71" t="s">
        <v>78</v>
      </c>
      <c r="E200" s="69" t="s">
        <v>3168</v>
      </c>
      <c r="F200" s="63"/>
      <c r="G200" s="69">
        <v>291</v>
      </c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94">
        <f t="shared" si="17"/>
        <v>291</v>
      </c>
      <c r="AS200" s="69">
        <v>260.3</v>
      </c>
      <c r="AT200" s="69">
        <v>30.7</v>
      </c>
      <c r="AU200" s="69"/>
      <c r="AV200" s="69"/>
      <c r="AW200" s="69"/>
      <c r="AX200" s="69"/>
      <c r="AY200" s="69"/>
      <c r="AZ200" s="69"/>
      <c r="BA200" s="69"/>
      <c r="BB200" s="69"/>
      <c r="BC200" s="69"/>
      <c r="BD200" s="69"/>
      <c r="BE200" s="69"/>
      <c r="BF200" s="69"/>
      <c r="BG200" s="69"/>
      <c r="BH200" s="69"/>
      <c r="BI200" s="69"/>
      <c r="BJ200" s="69"/>
      <c r="BK200" s="69"/>
      <c r="BL200" s="69"/>
      <c r="BM200" s="69"/>
      <c r="BN200" s="69"/>
      <c r="BO200" s="69"/>
      <c r="BP200" s="69"/>
      <c r="BQ200" s="69"/>
      <c r="BR200" s="69"/>
      <c r="BS200" s="69"/>
      <c r="BT200" s="69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94">
        <f t="shared" si="13"/>
        <v>291</v>
      </c>
      <c r="CF200" s="151">
        <f t="shared" si="14"/>
        <v>0</v>
      </c>
      <c r="CG200" s="75">
        <f t="shared" si="11"/>
        <v>4056</v>
      </c>
      <c r="CH200" s="69" t="str">
        <f t="shared" si="11"/>
        <v>برنامج دولى</v>
      </c>
    </row>
    <row r="201" spans="1:86" ht="18.75" x14ac:dyDescent="0.25">
      <c r="A201" s="148"/>
      <c r="B201" s="82">
        <v>3473</v>
      </c>
      <c r="C201" s="149">
        <v>4057</v>
      </c>
      <c r="D201" s="71" t="s">
        <v>78</v>
      </c>
      <c r="E201" s="69" t="s">
        <v>3168</v>
      </c>
      <c r="F201" s="63"/>
      <c r="G201" s="69">
        <v>234.5</v>
      </c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94">
        <f t="shared" si="17"/>
        <v>234.5</v>
      </c>
      <c r="AS201" s="69">
        <v>157.19999999999999</v>
      </c>
      <c r="AT201" s="69">
        <v>20.8</v>
      </c>
      <c r="AU201" s="69">
        <v>56.5</v>
      </c>
      <c r="AV201" s="69"/>
      <c r="AW201" s="69"/>
      <c r="AX201" s="69"/>
      <c r="AY201" s="69"/>
      <c r="AZ201" s="69"/>
      <c r="BA201" s="69"/>
      <c r="BB201" s="69"/>
      <c r="BC201" s="69"/>
      <c r="BD201" s="69"/>
      <c r="BE201" s="69"/>
      <c r="BF201" s="69"/>
      <c r="BG201" s="69"/>
      <c r="BH201" s="69"/>
      <c r="BI201" s="69"/>
      <c r="BJ201" s="69"/>
      <c r="BK201" s="69"/>
      <c r="BL201" s="69"/>
      <c r="BM201" s="69"/>
      <c r="BN201" s="69"/>
      <c r="BO201" s="69"/>
      <c r="BP201" s="69"/>
      <c r="BQ201" s="69"/>
      <c r="BR201" s="69"/>
      <c r="BS201" s="69"/>
      <c r="BT201" s="69"/>
      <c r="BU201" s="69"/>
      <c r="BV201" s="69"/>
      <c r="BW201" s="69"/>
      <c r="BX201" s="69"/>
      <c r="BY201" s="69"/>
      <c r="BZ201" s="69"/>
      <c r="CA201" s="69"/>
      <c r="CB201" s="69"/>
      <c r="CC201" s="69"/>
      <c r="CD201" s="69"/>
      <c r="CE201" s="94">
        <f t="shared" si="13"/>
        <v>234.5</v>
      </c>
      <c r="CF201" s="151">
        <f t="shared" si="14"/>
        <v>0</v>
      </c>
      <c r="CG201" s="75">
        <f t="shared" si="11"/>
        <v>4057</v>
      </c>
      <c r="CH201" s="69" t="str">
        <f t="shared" si="11"/>
        <v>برنامج دولى</v>
      </c>
    </row>
    <row r="202" spans="1:86" ht="18.75" x14ac:dyDescent="0.25">
      <c r="A202" s="148"/>
      <c r="B202" s="82">
        <v>5517</v>
      </c>
      <c r="C202" s="149">
        <v>4058</v>
      </c>
      <c r="D202" s="71" t="s">
        <v>78</v>
      </c>
      <c r="E202" s="69" t="s">
        <v>3169</v>
      </c>
      <c r="F202" s="63"/>
      <c r="G202" s="69">
        <v>18751.62</v>
      </c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94">
        <f t="shared" si="17"/>
        <v>18751.62</v>
      </c>
      <c r="AS202" s="69">
        <v>16202.88</v>
      </c>
      <c r="AT202" s="69">
        <v>1972.9</v>
      </c>
      <c r="AU202" s="69">
        <v>575.84</v>
      </c>
      <c r="AV202" s="69"/>
      <c r="AW202" s="69"/>
      <c r="AX202" s="69"/>
      <c r="AY202" s="69"/>
      <c r="AZ202" s="69"/>
      <c r="BA202" s="69"/>
      <c r="BB202" s="69"/>
      <c r="BC202" s="69"/>
      <c r="BD202" s="69"/>
      <c r="BE202" s="69"/>
      <c r="BF202" s="69"/>
      <c r="BG202" s="69"/>
      <c r="BH202" s="69"/>
      <c r="BI202" s="69"/>
      <c r="BJ202" s="69"/>
      <c r="BK202" s="69"/>
      <c r="BL202" s="69"/>
      <c r="BM202" s="69"/>
      <c r="BN202" s="69"/>
      <c r="BO202" s="69"/>
      <c r="BP202" s="69"/>
      <c r="BQ202" s="69"/>
      <c r="BR202" s="69"/>
      <c r="BS202" s="69"/>
      <c r="BT202" s="69"/>
      <c r="BU202" s="69"/>
      <c r="BV202" s="69"/>
      <c r="BW202" s="69"/>
      <c r="BX202" s="69"/>
      <c r="BY202" s="69"/>
      <c r="BZ202" s="69"/>
      <c r="CA202" s="69"/>
      <c r="CB202" s="69"/>
      <c r="CC202" s="69"/>
      <c r="CD202" s="69"/>
      <c r="CE202" s="94">
        <f t="shared" si="13"/>
        <v>18751.62</v>
      </c>
      <c r="CF202" s="151">
        <f t="shared" si="14"/>
        <v>0</v>
      </c>
      <c r="CG202" s="75">
        <f t="shared" si="11"/>
        <v>4058</v>
      </c>
      <c r="CH202" s="69" t="str">
        <f t="shared" si="11"/>
        <v>برنامج دولى</v>
      </c>
    </row>
    <row r="203" spans="1:86" ht="18.75" x14ac:dyDescent="0.25">
      <c r="A203" s="148"/>
      <c r="B203" s="82">
        <v>5519</v>
      </c>
      <c r="C203" s="149">
        <v>4059</v>
      </c>
      <c r="D203" s="71" t="s">
        <v>78</v>
      </c>
      <c r="E203" s="69" t="s">
        <v>3169</v>
      </c>
      <c r="F203" s="63"/>
      <c r="G203" s="69">
        <v>14773.18</v>
      </c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94">
        <f t="shared" si="17"/>
        <v>14773.18</v>
      </c>
      <c r="AS203" s="69">
        <v>12618.33</v>
      </c>
      <c r="AT203" s="69">
        <v>1543.7</v>
      </c>
      <c r="AU203" s="69">
        <v>611.15</v>
      </c>
      <c r="AV203" s="69"/>
      <c r="AW203" s="69"/>
      <c r="AX203" s="69"/>
      <c r="AY203" s="69"/>
      <c r="AZ203" s="69"/>
      <c r="BA203" s="69"/>
      <c r="BB203" s="69"/>
      <c r="BC203" s="69"/>
      <c r="BD203" s="69"/>
      <c r="BE203" s="69"/>
      <c r="BF203" s="69"/>
      <c r="BG203" s="69"/>
      <c r="BH203" s="69"/>
      <c r="BI203" s="69"/>
      <c r="BJ203" s="69"/>
      <c r="BK203" s="69"/>
      <c r="BL203" s="69"/>
      <c r="BM203" s="69"/>
      <c r="BN203" s="69"/>
      <c r="BO203" s="69"/>
      <c r="BP203" s="69"/>
      <c r="BQ203" s="69"/>
      <c r="BR203" s="69"/>
      <c r="BS203" s="69"/>
      <c r="BT203" s="69"/>
      <c r="BU203" s="69"/>
      <c r="BV203" s="69"/>
      <c r="BW203" s="69"/>
      <c r="BX203" s="69"/>
      <c r="BY203" s="69"/>
      <c r="BZ203" s="69"/>
      <c r="CA203" s="69"/>
      <c r="CB203" s="69"/>
      <c r="CC203" s="69"/>
      <c r="CD203" s="69"/>
      <c r="CE203" s="94">
        <f t="shared" si="13"/>
        <v>14773.18</v>
      </c>
      <c r="CF203" s="151">
        <f t="shared" si="14"/>
        <v>0</v>
      </c>
      <c r="CG203" s="75">
        <f t="shared" si="11"/>
        <v>4059</v>
      </c>
      <c r="CH203" s="69" t="str">
        <f t="shared" si="11"/>
        <v>برنامج دولى</v>
      </c>
    </row>
    <row r="204" spans="1:86" ht="18.75" x14ac:dyDescent="0.25">
      <c r="A204" s="148"/>
      <c r="B204" s="82">
        <v>6372</v>
      </c>
      <c r="C204" s="149">
        <v>4060</v>
      </c>
      <c r="D204" s="71" t="s">
        <v>78</v>
      </c>
      <c r="E204" s="69" t="s">
        <v>3169</v>
      </c>
      <c r="F204" s="63"/>
      <c r="G204" s="69">
        <v>1200</v>
      </c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94">
        <f t="shared" si="17"/>
        <v>1200</v>
      </c>
      <c r="AS204" s="69">
        <v>1071.3499999999999</v>
      </c>
      <c r="AT204" s="69">
        <v>128.65</v>
      </c>
      <c r="AU204" s="69"/>
      <c r="AV204" s="69"/>
      <c r="AW204" s="69"/>
      <c r="AX204" s="69"/>
      <c r="AY204" s="69"/>
      <c r="AZ204" s="69"/>
      <c r="BA204" s="69"/>
      <c r="BB204" s="69"/>
      <c r="BC204" s="69"/>
      <c r="BD204" s="69"/>
      <c r="BE204" s="69"/>
      <c r="BF204" s="69"/>
      <c r="BG204" s="69"/>
      <c r="BH204" s="69"/>
      <c r="BI204" s="69"/>
      <c r="BJ204" s="69"/>
      <c r="BK204" s="69"/>
      <c r="BL204" s="69"/>
      <c r="BM204" s="69"/>
      <c r="BN204" s="69"/>
      <c r="BO204" s="69"/>
      <c r="BP204" s="69"/>
      <c r="BQ204" s="69"/>
      <c r="BR204" s="69"/>
      <c r="BS204" s="69"/>
      <c r="BT204" s="69"/>
      <c r="BU204" s="69"/>
      <c r="BV204" s="69"/>
      <c r="BW204" s="69"/>
      <c r="BX204" s="69"/>
      <c r="BY204" s="69"/>
      <c r="BZ204" s="69"/>
      <c r="CA204" s="69"/>
      <c r="CB204" s="69"/>
      <c r="CC204" s="69"/>
      <c r="CD204" s="69"/>
      <c r="CE204" s="94">
        <f t="shared" si="13"/>
        <v>1200</v>
      </c>
      <c r="CF204" s="151">
        <f t="shared" si="14"/>
        <v>0</v>
      </c>
      <c r="CG204" s="75">
        <f t="shared" si="11"/>
        <v>4060</v>
      </c>
      <c r="CH204" s="69" t="str">
        <f t="shared" si="11"/>
        <v>برنامج دولى</v>
      </c>
    </row>
    <row r="205" spans="1:86" ht="18.75" x14ac:dyDescent="0.25">
      <c r="A205" s="148"/>
      <c r="B205" s="82">
        <v>6373</v>
      </c>
      <c r="C205" s="149">
        <v>4061</v>
      </c>
      <c r="D205" s="71" t="s">
        <v>78</v>
      </c>
      <c r="E205" s="69" t="str">
        <f>+E203</f>
        <v>مكافاه منسقين</v>
      </c>
      <c r="F205" s="63"/>
      <c r="G205" s="69">
        <v>1200</v>
      </c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94">
        <f t="shared" si="17"/>
        <v>1200</v>
      </c>
      <c r="AS205" s="69">
        <v>1071.3499999999999</v>
      </c>
      <c r="AT205" s="69">
        <v>128.65</v>
      </c>
      <c r="AU205" s="69"/>
      <c r="AV205" s="69"/>
      <c r="AW205" s="69"/>
      <c r="AX205" s="69"/>
      <c r="AY205" s="69"/>
      <c r="AZ205" s="69"/>
      <c r="BA205" s="69"/>
      <c r="BB205" s="69"/>
      <c r="BC205" s="69"/>
      <c r="BD205" s="69"/>
      <c r="BE205" s="69"/>
      <c r="BF205" s="69"/>
      <c r="BG205" s="69"/>
      <c r="BH205" s="69"/>
      <c r="BI205" s="69"/>
      <c r="BJ205" s="69"/>
      <c r="BK205" s="69"/>
      <c r="BL205" s="69"/>
      <c r="BM205" s="69"/>
      <c r="BN205" s="69"/>
      <c r="BO205" s="69"/>
      <c r="BP205" s="69"/>
      <c r="BQ205" s="69"/>
      <c r="BR205" s="69"/>
      <c r="BS205" s="69"/>
      <c r="BT205" s="69"/>
      <c r="BU205" s="69"/>
      <c r="BV205" s="69"/>
      <c r="BW205" s="69"/>
      <c r="BX205" s="69"/>
      <c r="BY205" s="69"/>
      <c r="BZ205" s="69"/>
      <c r="CA205" s="69"/>
      <c r="CB205" s="69"/>
      <c r="CC205" s="69"/>
      <c r="CD205" s="69"/>
      <c r="CE205" s="94">
        <f t="shared" si="13"/>
        <v>1200</v>
      </c>
      <c r="CF205" s="151">
        <f t="shared" si="14"/>
        <v>0</v>
      </c>
      <c r="CG205" s="75">
        <f t="shared" si="11"/>
        <v>4061</v>
      </c>
      <c r="CH205" s="69" t="str">
        <f t="shared" si="11"/>
        <v>برنامج دولى</v>
      </c>
    </row>
    <row r="206" spans="1:86" ht="18.75" x14ac:dyDescent="0.25">
      <c r="A206" s="148"/>
      <c r="B206" s="82">
        <v>6378</v>
      </c>
      <c r="C206" s="149">
        <v>4062</v>
      </c>
      <c r="D206" s="71" t="s">
        <v>78</v>
      </c>
      <c r="E206" s="69" t="s">
        <v>1005</v>
      </c>
      <c r="F206" s="63"/>
      <c r="G206" s="69">
        <v>4560</v>
      </c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94">
        <f t="shared" si="17"/>
        <v>4560</v>
      </c>
      <c r="AS206" s="69">
        <v>4071.3</v>
      </c>
      <c r="AT206" s="69">
        <v>488.7</v>
      </c>
      <c r="AU206" s="69"/>
      <c r="AV206" s="69"/>
      <c r="AW206" s="69"/>
      <c r="AX206" s="69"/>
      <c r="AY206" s="69"/>
      <c r="AZ206" s="69"/>
      <c r="BA206" s="69"/>
      <c r="BB206" s="69"/>
      <c r="BC206" s="69"/>
      <c r="BD206" s="69"/>
      <c r="BE206" s="69"/>
      <c r="BF206" s="69"/>
      <c r="BG206" s="69"/>
      <c r="BH206" s="69"/>
      <c r="BI206" s="69"/>
      <c r="BJ206" s="69"/>
      <c r="BK206" s="69"/>
      <c r="BL206" s="69"/>
      <c r="BM206" s="69"/>
      <c r="BN206" s="69"/>
      <c r="BO206" s="69"/>
      <c r="BP206" s="69"/>
      <c r="BQ206" s="69"/>
      <c r="BR206" s="69"/>
      <c r="BS206" s="69"/>
      <c r="BT206" s="69"/>
      <c r="BU206" s="69"/>
      <c r="BV206" s="69"/>
      <c r="BW206" s="69"/>
      <c r="BX206" s="69"/>
      <c r="BY206" s="69"/>
      <c r="BZ206" s="69"/>
      <c r="CA206" s="69"/>
      <c r="CB206" s="69"/>
      <c r="CC206" s="69"/>
      <c r="CD206" s="69"/>
      <c r="CE206" s="94">
        <f t="shared" si="13"/>
        <v>4560</v>
      </c>
      <c r="CF206" s="151">
        <f t="shared" si="14"/>
        <v>0</v>
      </c>
      <c r="CG206" s="75">
        <f t="shared" si="11"/>
        <v>4062</v>
      </c>
      <c r="CH206" s="69" t="str">
        <f t="shared" si="11"/>
        <v>برنامج دولى</v>
      </c>
    </row>
    <row r="207" spans="1:86" ht="18.75" x14ac:dyDescent="0.25">
      <c r="A207" s="148"/>
      <c r="B207" s="82">
        <v>6376</v>
      </c>
      <c r="C207" s="149">
        <v>4063</v>
      </c>
      <c r="D207" s="71" t="s">
        <v>78</v>
      </c>
      <c r="E207" s="69" t="s">
        <v>1005</v>
      </c>
      <c r="F207" s="63"/>
      <c r="G207" s="69">
        <v>4320</v>
      </c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94">
        <f t="shared" si="17"/>
        <v>4320</v>
      </c>
      <c r="AS207" s="69">
        <v>3855.95</v>
      </c>
      <c r="AT207" s="69">
        <v>464.05</v>
      </c>
      <c r="AU207" s="69"/>
      <c r="AV207" s="69"/>
      <c r="AW207" s="69"/>
      <c r="AX207" s="69"/>
      <c r="AY207" s="69"/>
      <c r="AZ207" s="69"/>
      <c r="BA207" s="69"/>
      <c r="BB207" s="69"/>
      <c r="BC207" s="69"/>
      <c r="BD207" s="69"/>
      <c r="BE207" s="69"/>
      <c r="BF207" s="69"/>
      <c r="BG207" s="69"/>
      <c r="BH207" s="69"/>
      <c r="BI207" s="69"/>
      <c r="BJ207" s="69"/>
      <c r="BK207" s="69"/>
      <c r="BL207" s="69"/>
      <c r="BM207" s="69"/>
      <c r="BN207" s="69"/>
      <c r="BO207" s="69"/>
      <c r="BP207" s="69"/>
      <c r="BQ207" s="69"/>
      <c r="BR207" s="69"/>
      <c r="BS207" s="69"/>
      <c r="BT207" s="69"/>
      <c r="BU207" s="69"/>
      <c r="BV207" s="69"/>
      <c r="BW207" s="69"/>
      <c r="BX207" s="69"/>
      <c r="BY207" s="69"/>
      <c r="BZ207" s="69"/>
      <c r="CA207" s="69"/>
      <c r="CB207" s="69"/>
      <c r="CC207" s="69"/>
      <c r="CD207" s="69"/>
      <c r="CE207" s="94">
        <f t="shared" si="13"/>
        <v>4320</v>
      </c>
      <c r="CF207" s="151">
        <f t="shared" si="14"/>
        <v>0</v>
      </c>
      <c r="CG207" s="75">
        <f t="shared" si="11"/>
        <v>4063</v>
      </c>
      <c r="CH207" s="69" t="str">
        <f t="shared" si="11"/>
        <v>برنامج دولى</v>
      </c>
    </row>
    <row r="208" spans="1:86" ht="18.75" x14ac:dyDescent="0.25">
      <c r="A208" s="148"/>
      <c r="B208" s="82">
        <v>6375</v>
      </c>
      <c r="C208" s="149">
        <v>4064</v>
      </c>
      <c r="D208" s="71" t="s">
        <v>78</v>
      </c>
      <c r="E208" s="69" t="s">
        <v>1005</v>
      </c>
      <c r="F208" s="63"/>
      <c r="G208" s="69">
        <v>2880</v>
      </c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94">
        <f t="shared" si="17"/>
        <v>2880</v>
      </c>
      <c r="AS208" s="69">
        <v>2570.75</v>
      </c>
      <c r="AT208" s="69">
        <v>309.25</v>
      </c>
      <c r="AU208" s="69"/>
      <c r="AV208" s="69"/>
      <c r="AW208" s="69"/>
      <c r="AX208" s="69"/>
      <c r="AY208" s="69"/>
      <c r="AZ208" s="69"/>
      <c r="BA208" s="69"/>
      <c r="BB208" s="69"/>
      <c r="BC208" s="69"/>
      <c r="BD208" s="69"/>
      <c r="BE208" s="69"/>
      <c r="BF208" s="69"/>
      <c r="BG208" s="69"/>
      <c r="BH208" s="69"/>
      <c r="BI208" s="69"/>
      <c r="BJ208" s="69"/>
      <c r="BK208" s="69"/>
      <c r="BL208" s="69"/>
      <c r="BM208" s="69"/>
      <c r="BN208" s="69"/>
      <c r="BO208" s="69"/>
      <c r="BP208" s="69"/>
      <c r="BQ208" s="69"/>
      <c r="BR208" s="69"/>
      <c r="BS208" s="69"/>
      <c r="BT208" s="69"/>
      <c r="BU208" s="69"/>
      <c r="BV208" s="69"/>
      <c r="BW208" s="69"/>
      <c r="BX208" s="69"/>
      <c r="BY208" s="69"/>
      <c r="BZ208" s="69"/>
      <c r="CA208" s="69"/>
      <c r="CB208" s="69"/>
      <c r="CC208" s="69"/>
      <c r="CD208" s="69"/>
      <c r="CE208" s="94">
        <f t="shared" si="13"/>
        <v>2880</v>
      </c>
      <c r="CF208" s="151">
        <f t="shared" si="14"/>
        <v>0</v>
      </c>
      <c r="CG208" s="75">
        <f t="shared" si="11"/>
        <v>4064</v>
      </c>
      <c r="CH208" s="69" t="str">
        <f t="shared" si="11"/>
        <v>برنامج دولى</v>
      </c>
    </row>
    <row r="209" spans="1:86" ht="18.75" x14ac:dyDescent="0.25">
      <c r="A209" s="148"/>
      <c r="B209" s="82">
        <v>6374</v>
      </c>
      <c r="C209" s="149">
        <v>4065</v>
      </c>
      <c r="D209" s="71" t="s">
        <v>78</v>
      </c>
      <c r="E209" s="69" t="s">
        <v>1005</v>
      </c>
      <c r="F209" s="63"/>
      <c r="G209" s="69">
        <v>5129.75</v>
      </c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94">
        <f t="shared" si="17"/>
        <v>5129.75</v>
      </c>
      <c r="AS209" s="69">
        <v>4289.8999999999996</v>
      </c>
      <c r="AT209" s="69">
        <v>529.1</v>
      </c>
      <c r="AU209" s="69">
        <v>310.75</v>
      </c>
      <c r="AV209" s="69"/>
      <c r="AW209" s="69"/>
      <c r="AX209" s="69"/>
      <c r="AY209" s="69"/>
      <c r="AZ209" s="69"/>
      <c r="BA209" s="69"/>
      <c r="BB209" s="69"/>
      <c r="BC209" s="69"/>
      <c r="BD209" s="69"/>
      <c r="BE209" s="69"/>
      <c r="BF209" s="69"/>
      <c r="BG209" s="69"/>
      <c r="BH209" s="69"/>
      <c r="BI209" s="69"/>
      <c r="BJ209" s="69"/>
      <c r="BK209" s="69"/>
      <c r="BL209" s="69"/>
      <c r="BM209" s="69"/>
      <c r="BN209" s="69"/>
      <c r="BO209" s="69"/>
      <c r="BP209" s="69"/>
      <c r="BQ209" s="69"/>
      <c r="BR209" s="69"/>
      <c r="BS209" s="69"/>
      <c r="BT209" s="69"/>
      <c r="BU209" s="69"/>
      <c r="BV209" s="69"/>
      <c r="BW209" s="69"/>
      <c r="BX209" s="69"/>
      <c r="BY209" s="69"/>
      <c r="BZ209" s="69"/>
      <c r="CA209" s="69"/>
      <c r="CB209" s="69"/>
      <c r="CC209" s="69"/>
      <c r="CD209" s="69"/>
      <c r="CE209" s="94">
        <f t="shared" si="13"/>
        <v>5129.75</v>
      </c>
      <c r="CF209" s="151">
        <f t="shared" si="14"/>
        <v>0</v>
      </c>
      <c r="CG209" s="75">
        <f t="shared" si="11"/>
        <v>4065</v>
      </c>
      <c r="CH209" s="69" t="str">
        <f t="shared" si="11"/>
        <v>برنامج دولى</v>
      </c>
    </row>
    <row r="210" spans="1:86" ht="18.75" x14ac:dyDescent="0.25">
      <c r="A210" s="148"/>
      <c r="B210" s="82">
        <v>7903</v>
      </c>
      <c r="C210" s="149">
        <v>4066</v>
      </c>
      <c r="D210" s="71" t="s">
        <v>78</v>
      </c>
      <c r="E210" s="69" t="s">
        <v>3170</v>
      </c>
      <c r="F210" s="63"/>
      <c r="G210" s="69">
        <v>6274.68</v>
      </c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94">
        <f t="shared" si="17"/>
        <v>6274.68</v>
      </c>
      <c r="AS210" s="69">
        <v>5589.95</v>
      </c>
      <c r="AT210" s="69">
        <v>671.57</v>
      </c>
      <c r="AU210" s="69">
        <v>13.16</v>
      </c>
      <c r="AV210" s="69"/>
      <c r="AW210" s="69"/>
      <c r="AX210" s="69"/>
      <c r="AY210" s="69"/>
      <c r="AZ210" s="69"/>
      <c r="BA210" s="69"/>
      <c r="BB210" s="69"/>
      <c r="BC210" s="69"/>
      <c r="BD210" s="69"/>
      <c r="BE210" s="69"/>
      <c r="BF210" s="69"/>
      <c r="BG210" s="69"/>
      <c r="BH210" s="69"/>
      <c r="BI210" s="69"/>
      <c r="BJ210" s="69"/>
      <c r="BK210" s="69"/>
      <c r="BL210" s="69"/>
      <c r="BM210" s="69"/>
      <c r="BN210" s="69"/>
      <c r="BO210" s="69"/>
      <c r="BP210" s="69"/>
      <c r="BQ210" s="69"/>
      <c r="BR210" s="69"/>
      <c r="BS210" s="69"/>
      <c r="BT210" s="69"/>
      <c r="BU210" s="69"/>
      <c r="BV210" s="69"/>
      <c r="BW210" s="69"/>
      <c r="BX210" s="69"/>
      <c r="BY210" s="69"/>
      <c r="BZ210" s="69"/>
      <c r="CA210" s="69"/>
      <c r="CB210" s="69"/>
      <c r="CC210" s="69"/>
      <c r="CD210" s="69"/>
      <c r="CE210" s="94">
        <f t="shared" si="13"/>
        <v>6274.6799999999994</v>
      </c>
      <c r="CF210" s="151">
        <f t="shared" si="14"/>
        <v>0</v>
      </c>
      <c r="CG210" s="75">
        <f t="shared" si="11"/>
        <v>4066</v>
      </c>
      <c r="CH210" s="69" t="str">
        <f t="shared" si="11"/>
        <v>برنامج دولى</v>
      </c>
    </row>
    <row r="211" spans="1:86" ht="18.75" x14ac:dyDescent="0.25">
      <c r="A211" s="148"/>
      <c r="B211" s="82">
        <v>7902</v>
      </c>
      <c r="C211" s="149">
        <v>4067</v>
      </c>
      <c r="D211" s="71" t="s">
        <v>78</v>
      </c>
      <c r="E211" s="69" t="s">
        <v>3171</v>
      </c>
      <c r="F211" s="63"/>
      <c r="G211" s="69">
        <v>6381.65</v>
      </c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94">
        <f t="shared" si="17"/>
        <v>6381.65</v>
      </c>
      <c r="AS211" s="69">
        <v>5522.24</v>
      </c>
      <c r="AT211" s="69">
        <v>671.07</v>
      </c>
      <c r="AU211" s="69">
        <v>188.34</v>
      </c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69"/>
      <c r="BK211" s="69"/>
      <c r="BL211" s="69"/>
      <c r="BM211" s="69"/>
      <c r="BN211" s="69"/>
      <c r="BO211" s="69"/>
      <c r="BP211" s="69"/>
      <c r="BQ211" s="69"/>
      <c r="BR211" s="69"/>
      <c r="BS211" s="69"/>
      <c r="BT211" s="69"/>
      <c r="BU211" s="69"/>
      <c r="BV211" s="69"/>
      <c r="BW211" s="69"/>
      <c r="BX211" s="69"/>
      <c r="BY211" s="69"/>
      <c r="BZ211" s="69"/>
      <c r="CA211" s="69"/>
      <c r="CB211" s="69"/>
      <c r="CC211" s="69"/>
      <c r="CD211" s="69"/>
      <c r="CE211" s="94">
        <f t="shared" si="13"/>
        <v>6381.65</v>
      </c>
      <c r="CF211" s="151">
        <f t="shared" si="14"/>
        <v>0</v>
      </c>
      <c r="CG211" s="75">
        <f t="shared" si="11"/>
        <v>4067</v>
      </c>
      <c r="CH211" s="69" t="str">
        <f t="shared" si="11"/>
        <v>برنامج دولى</v>
      </c>
    </row>
    <row r="212" spans="1:86" ht="18.75" x14ac:dyDescent="0.25">
      <c r="A212" s="148"/>
      <c r="B212" s="82">
        <v>7737</v>
      </c>
      <c r="C212" s="149">
        <v>4068</v>
      </c>
      <c r="D212" s="71" t="s">
        <v>78</v>
      </c>
      <c r="E212" s="69" t="s">
        <v>3172</v>
      </c>
      <c r="F212" s="63"/>
      <c r="G212" s="69">
        <v>703.5</v>
      </c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94">
        <f t="shared" si="17"/>
        <v>703.5</v>
      </c>
      <c r="AS212" s="69">
        <v>470.6</v>
      </c>
      <c r="AT212" s="69">
        <v>63.4</v>
      </c>
      <c r="AU212" s="69">
        <v>169.5</v>
      </c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69"/>
      <c r="BK212" s="69"/>
      <c r="BL212" s="69"/>
      <c r="BM212" s="69"/>
      <c r="BN212" s="69"/>
      <c r="BO212" s="69"/>
      <c r="BP212" s="69"/>
      <c r="BQ212" s="69"/>
      <c r="BR212" s="69"/>
      <c r="BS212" s="69"/>
      <c r="BT212" s="69"/>
      <c r="BU212" s="69"/>
      <c r="BV212" s="69"/>
      <c r="BW212" s="69"/>
      <c r="BX212" s="69"/>
      <c r="BY212" s="69"/>
      <c r="BZ212" s="69"/>
      <c r="CA212" s="69"/>
      <c r="CB212" s="69"/>
      <c r="CC212" s="69"/>
      <c r="CD212" s="69"/>
      <c r="CE212" s="94">
        <f t="shared" si="13"/>
        <v>703.5</v>
      </c>
      <c r="CF212" s="151">
        <f t="shared" si="14"/>
        <v>0</v>
      </c>
      <c r="CG212" s="75">
        <f t="shared" si="11"/>
        <v>4068</v>
      </c>
      <c r="CH212" s="69" t="str">
        <f t="shared" si="11"/>
        <v>برنامج دولى</v>
      </c>
    </row>
    <row r="213" spans="1:86" ht="18.75" x14ac:dyDescent="0.25">
      <c r="A213" s="148"/>
      <c r="B213" s="82">
        <v>7738</v>
      </c>
      <c r="C213" s="149">
        <v>4069</v>
      </c>
      <c r="D213" s="71" t="s">
        <v>78</v>
      </c>
      <c r="E213" s="69" t="s">
        <v>3173</v>
      </c>
      <c r="F213" s="63"/>
      <c r="G213" s="69">
        <v>703.5</v>
      </c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94">
        <f t="shared" si="17"/>
        <v>703.5</v>
      </c>
      <c r="AS213" s="69">
        <v>470.6</v>
      </c>
      <c r="AT213" s="69">
        <v>63.4</v>
      </c>
      <c r="AU213" s="69">
        <v>169.5</v>
      </c>
      <c r="AV213" s="69"/>
      <c r="AW213" s="69"/>
      <c r="AX213" s="69"/>
      <c r="AY213" s="69"/>
      <c r="AZ213" s="69"/>
      <c r="BA213" s="69"/>
      <c r="BB213" s="69"/>
      <c r="BC213" s="69"/>
      <c r="BD213" s="69"/>
      <c r="BE213" s="69"/>
      <c r="BF213" s="69"/>
      <c r="BG213" s="69"/>
      <c r="BH213" s="69"/>
      <c r="BI213" s="69"/>
      <c r="BJ213" s="69"/>
      <c r="BK213" s="69"/>
      <c r="BL213" s="69"/>
      <c r="BM213" s="69"/>
      <c r="BN213" s="69"/>
      <c r="BO213" s="69"/>
      <c r="BP213" s="69"/>
      <c r="BQ213" s="69"/>
      <c r="BR213" s="69"/>
      <c r="BS213" s="69"/>
      <c r="BT213" s="69"/>
      <c r="BU213" s="69"/>
      <c r="BV213" s="69"/>
      <c r="BW213" s="69"/>
      <c r="BX213" s="69"/>
      <c r="BY213" s="69"/>
      <c r="BZ213" s="69"/>
      <c r="CA213" s="69"/>
      <c r="CB213" s="69"/>
      <c r="CC213" s="69"/>
      <c r="CD213" s="69"/>
      <c r="CE213" s="94">
        <f t="shared" si="13"/>
        <v>703.5</v>
      </c>
      <c r="CF213" s="151">
        <f t="shared" si="14"/>
        <v>0</v>
      </c>
      <c r="CG213" s="75">
        <f t="shared" si="11"/>
        <v>4069</v>
      </c>
      <c r="CH213" s="69" t="str">
        <f t="shared" si="11"/>
        <v>برنامج دولى</v>
      </c>
    </row>
    <row r="214" spans="1:86" ht="18.75" x14ac:dyDescent="0.25">
      <c r="A214" s="148"/>
      <c r="B214" s="82">
        <v>7880</v>
      </c>
      <c r="C214" s="149">
        <v>4070</v>
      </c>
      <c r="D214" s="71" t="s">
        <v>78</v>
      </c>
      <c r="E214" s="69" t="s">
        <v>3174</v>
      </c>
      <c r="F214" s="63"/>
      <c r="G214" s="69">
        <v>4690</v>
      </c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94">
        <f t="shared" si="17"/>
        <v>4690</v>
      </c>
      <c r="AS214" s="69">
        <v>3134</v>
      </c>
      <c r="AT214" s="69">
        <v>426</v>
      </c>
      <c r="AU214" s="69">
        <v>1130</v>
      </c>
      <c r="AV214" s="69"/>
      <c r="AW214" s="69"/>
      <c r="AX214" s="69"/>
      <c r="AY214" s="69"/>
      <c r="AZ214" s="69"/>
      <c r="BA214" s="69"/>
      <c r="BB214" s="69"/>
      <c r="BC214" s="69"/>
      <c r="BD214" s="69"/>
      <c r="BE214" s="69"/>
      <c r="BF214" s="69"/>
      <c r="BG214" s="69"/>
      <c r="BH214" s="69"/>
      <c r="BI214" s="69"/>
      <c r="BJ214" s="69"/>
      <c r="BK214" s="69"/>
      <c r="BL214" s="69"/>
      <c r="BM214" s="69"/>
      <c r="BN214" s="69"/>
      <c r="BO214" s="69"/>
      <c r="BP214" s="69"/>
      <c r="BQ214" s="69"/>
      <c r="BR214" s="69"/>
      <c r="BS214" s="69"/>
      <c r="BT214" s="69"/>
      <c r="BU214" s="69"/>
      <c r="BV214" s="69"/>
      <c r="BW214" s="69"/>
      <c r="BX214" s="69"/>
      <c r="BY214" s="69"/>
      <c r="BZ214" s="69"/>
      <c r="CA214" s="69"/>
      <c r="CB214" s="69"/>
      <c r="CC214" s="69"/>
      <c r="CD214" s="69"/>
      <c r="CE214" s="94">
        <f t="shared" si="13"/>
        <v>4690</v>
      </c>
      <c r="CF214" s="151">
        <f t="shared" si="14"/>
        <v>0</v>
      </c>
      <c r="CG214" s="75">
        <f t="shared" si="11"/>
        <v>4070</v>
      </c>
      <c r="CH214" s="69" t="str">
        <f t="shared" si="11"/>
        <v>برنامج دولى</v>
      </c>
    </row>
    <row r="215" spans="1:86" ht="18.75" x14ac:dyDescent="0.25">
      <c r="A215" s="148"/>
      <c r="B215" s="82">
        <v>7746</v>
      </c>
      <c r="C215" s="149">
        <v>4071</v>
      </c>
      <c r="D215" s="71" t="s">
        <v>78</v>
      </c>
      <c r="E215" s="69" t="s">
        <v>3175</v>
      </c>
      <c r="F215" s="63"/>
      <c r="G215" s="69">
        <v>2061.69</v>
      </c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94">
        <f t="shared" si="17"/>
        <v>2061.69</v>
      </c>
      <c r="AS215" s="69">
        <v>1654.56</v>
      </c>
      <c r="AT215" s="69">
        <v>204.55</v>
      </c>
      <c r="AU215" s="69">
        <v>202.58</v>
      </c>
      <c r="AV215" s="69"/>
      <c r="AW215" s="69"/>
      <c r="AX215" s="69"/>
      <c r="AY215" s="69"/>
      <c r="AZ215" s="69"/>
      <c r="BA215" s="69"/>
      <c r="BB215" s="69"/>
      <c r="BC215" s="69"/>
      <c r="BD215" s="69"/>
      <c r="BE215" s="69"/>
      <c r="BF215" s="69"/>
      <c r="BG215" s="69"/>
      <c r="BH215" s="69"/>
      <c r="BI215" s="69"/>
      <c r="BJ215" s="69"/>
      <c r="BK215" s="69"/>
      <c r="BL215" s="69"/>
      <c r="BM215" s="69"/>
      <c r="BN215" s="69"/>
      <c r="BO215" s="69"/>
      <c r="BP215" s="69"/>
      <c r="BQ215" s="69"/>
      <c r="BR215" s="69"/>
      <c r="BS215" s="69"/>
      <c r="BT215" s="69"/>
      <c r="BU215" s="69"/>
      <c r="BV215" s="69"/>
      <c r="BW215" s="69"/>
      <c r="BX215" s="69"/>
      <c r="BY215" s="69"/>
      <c r="BZ215" s="69"/>
      <c r="CA215" s="69"/>
      <c r="CB215" s="69"/>
      <c r="CC215" s="69"/>
      <c r="CD215" s="69"/>
      <c r="CE215" s="94">
        <f t="shared" si="13"/>
        <v>2061.69</v>
      </c>
      <c r="CF215" s="151">
        <f t="shared" si="14"/>
        <v>0</v>
      </c>
      <c r="CG215" s="75">
        <f t="shared" si="11"/>
        <v>4071</v>
      </c>
      <c r="CH215" s="69" t="str">
        <f t="shared" si="11"/>
        <v>برنامج دولى</v>
      </c>
    </row>
    <row r="216" spans="1:86" ht="18.75" x14ac:dyDescent="0.25">
      <c r="A216" s="148"/>
      <c r="B216" s="82">
        <v>7745</v>
      </c>
      <c r="C216" s="149">
        <v>4072</v>
      </c>
      <c r="D216" s="71" t="s">
        <v>78</v>
      </c>
      <c r="E216" s="69" t="s">
        <v>3175</v>
      </c>
      <c r="F216" s="63"/>
      <c r="G216" s="69">
        <v>33130.339999999997</v>
      </c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94">
        <f t="shared" si="17"/>
        <v>33130.339999999997</v>
      </c>
      <c r="AS216" s="69">
        <v>22027.64</v>
      </c>
      <c r="AT216" s="69">
        <v>2981.68</v>
      </c>
      <c r="AU216" s="69">
        <v>8121.02</v>
      </c>
      <c r="AV216" s="69"/>
      <c r="AW216" s="69"/>
      <c r="AX216" s="69"/>
      <c r="AY216" s="69"/>
      <c r="AZ216" s="69"/>
      <c r="BA216" s="69"/>
      <c r="BB216" s="69"/>
      <c r="BC216" s="69"/>
      <c r="BD216" s="69"/>
      <c r="BE216" s="69"/>
      <c r="BF216" s="69"/>
      <c r="BG216" s="69"/>
      <c r="BH216" s="69"/>
      <c r="BI216" s="69"/>
      <c r="BJ216" s="69"/>
      <c r="BK216" s="69"/>
      <c r="BL216" s="69"/>
      <c r="BM216" s="69"/>
      <c r="BN216" s="69"/>
      <c r="BO216" s="69"/>
      <c r="BP216" s="69"/>
      <c r="BQ216" s="69"/>
      <c r="BR216" s="69"/>
      <c r="BS216" s="69"/>
      <c r="BT216" s="69"/>
      <c r="BU216" s="69"/>
      <c r="BV216" s="69"/>
      <c r="BW216" s="69"/>
      <c r="BX216" s="69"/>
      <c r="BY216" s="69"/>
      <c r="BZ216" s="69"/>
      <c r="CA216" s="69"/>
      <c r="CB216" s="69"/>
      <c r="CC216" s="69"/>
      <c r="CD216" s="69"/>
      <c r="CE216" s="94">
        <f t="shared" si="13"/>
        <v>33130.339999999997</v>
      </c>
      <c r="CF216" s="151">
        <f t="shared" si="14"/>
        <v>0</v>
      </c>
      <c r="CG216" s="75">
        <f t="shared" si="11"/>
        <v>4072</v>
      </c>
      <c r="CH216" s="69" t="str">
        <f t="shared" si="11"/>
        <v>برنامج دولى</v>
      </c>
    </row>
    <row r="217" spans="1:86" ht="18.75" x14ac:dyDescent="0.25">
      <c r="A217" s="148"/>
      <c r="B217" s="82">
        <v>7744</v>
      </c>
      <c r="C217" s="149">
        <v>4073</v>
      </c>
      <c r="D217" s="71" t="s">
        <v>78</v>
      </c>
      <c r="E217" s="69" t="s">
        <v>3175</v>
      </c>
      <c r="F217" s="63"/>
      <c r="G217" s="69">
        <v>688.83</v>
      </c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94">
        <f t="shared" si="17"/>
        <v>688.83</v>
      </c>
      <c r="AS217" s="69">
        <v>461.89</v>
      </c>
      <c r="AT217" s="69">
        <v>61</v>
      </c>
      <c r="AU217" s="69">
        <v>165.94</v>
      </c>
      <c r="AV217" s="69"/>
      <c r="AW217" s="69"/>
      <c r="AX217" s="69"/>
      <c r="AY217" s="69"/>
      <c r="AZ217" s="69"/>
      <c r="BA217" s="69"/>
      <c r="BB217" s="69"/>
      <c r="BC217" s="69"/>
      <c r="BD217" s="69"/>
      <c r="BE217" s="69"/>
      <c r="BF217" s="69"/>
      <c r="BG217" s="69"/>
      <c r="BH217" s="69"/>
      <c r="BI217" s="69"/>
      <c r="BJ217" s="69"/>
      <c r="BK217" s="69"/>
      <c r="BL217" s="69"/>
      <c r="BM217" s="69"/>
      <c r="BN217" s="69"/>
      <c r="BO217" s="69"/>
      <c r="BP217" s="69"/>
      <c r="BQ217" s="69"/>
      <c r="BR217" s="69"/>
      <c r="BS217" s="69"/>
      <c r="BT217" s="69"/>
      <c r="BU217" s="69"/>
      <c r="BV217" s="69"/>
      <c r="BW217" s="69"/>
      <c r="BX217" s="69"/>
      <c r="BY217" s="69"/>
      <c r="BZ217" s="69"/>
      <c r="CA217" s="69"/>
      <c r="CB217" s="69"/>
      <c r="CC217" s="69"/>
      <c r="CD217" s="69"/>
      <c r="CE217" s="94">
        <f t="shared" si="13"/>
        <v>688.82999999999993</v>
      </c>
      <c r="CF217" s="151">
        <f t="shared" si="14"/>
        <v>0</v>
      </c>
      <c r="CG217" s="75">
        <f t="shared" si="11"/>
        <v>4073</v>
      </c>
      <c r="CH217" s="69" t="str">
        <f t="shared" si="11"/>
        <v>برنامج دولى</v>
      </c>
    </row>
    <row r="218" spans="1:86" ht="18.75" x14ac:dyDescent="0.25">
      <c r="A218" s="148"/>
      <c r="B218" s="82">
        <v>7743</v>
      </c>
      <c r="C218" s="149">
        <v>4074</v>
      </c>
      <c r="D218" s="71" t="s">
        <v>78</v>
      </c>
      <c r="E218" s="69" t="s">
        <v>3175</v>
      </c>
      <c r="F218" s="63"/>
      <c r="G218" s="69">
        <v>8425.6299999999992</v>
      </c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94">
        <f t="shared" si="17"/>
        <v>8425.6299999999992</v>
      </c>
      <c r="AS218" s="69">
        <v>6454.45</v>
      </c>
      <c r="AT218" s="69">
        <v>824.6</v>
      </c>
      <c r="AU218" s="69">
        <v>1146.58</v>
      </c>
      <c r="AV218" s="69"/>
      <c r="AW218" s="69"/>
      <c r="AX218" s="69"/>
      <c r="AY218" s="69"/>
      <c r="AZ218" s="69"/>
      <c r="BA218" s="69"/>
      <c r="BB218" s="69"/>
      <c r="BC218" s="69"/>
      <c r="BD218" s="69"/>
      <c r="BE218" s="69"/>
      <c r="BF218" s="69"/>
      <c r="BG218" s="69"/>
      <c r="BH218" s="69"/>
      <c r="BI218" s="69"/>
      <c r="BJ218" s="69"/>
      <c r="BK218" s="69"/>
      <c r="BL218" s="69"/>
      <c r="BM218" s="69"/>
      <c r="BN218" s="69"/>
      <c r="BO218" s="69"/>
      <c r="BP218" s="69"/>
      <c r="BQ218" s="69"/>
      <c r="BR218" s="69"/>
      <c r="BS218" s="69"/>
      <c r="BT218" s="69"/>
      <c r="BU218" s="69"/>
      <c r="BV218" s="69"/>
      <c r="BW218" s="69"/>
      <c r="BX218" s="69"/>
      <c r="BY218" s="69"/>
      <c r="BZ218" s="69"/>
      <c r="CA218" s="69"/>
      <c r="CB218" s="69"/>
      <c r="CC218" s="69"/>
      <c r="CD218" s="69"/>
      <c r="CE218" s="94">
        <f t="shared" si="13"/>
        <v>8425.630000000001</v>
      </c>
      <c r="CF218" s="151">
        <f t="shared" si="14"/>
        <v>0</v>
      </c>
      <c r="CG218" s="75">
        <f t="shared" si="11"/>
        <v>4074</v>
      </c>
      <c r="CH218" s="69" t="str">
        <f t="shared" si="11"/>
        <v>برنامج دولى</v>
      </c>
    </row>
    <row r="219" spans="1:86" ht="18.75" x14ac:dyDescent="0.25">
      <c r="A219" s="148"/>
      <c r="B219" s="82">
        <v>7742</v>
      </c>
      <c r="C219" s="149">
        <v>4075</v>
      </c>
      <c r="D219" s="71" t="s">
        <v>78</v>
      </c>
      <c r="E219" s="69" t="s">
        <v>3175</v>
      </c>
      <c r="F219" s="63"/>
      <c r="G219" s="69">
        <v>454.34</v>
      </c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94">
        <f t="shared" si="17"/>
        <v>454.34</v>
      </c>
      <c r="AS219" s="69">
        <v>304.16000000000003</v>
      </c>
      <c r="AT219" s="69">
        <v>40.700000000000003</v>
      </c>
      <c r="AU219" s="69">
        <v>109.48</v>
      </c>
      <c r="AV219" s="69"/>
      <c r="AW219" s="69"/>
      <c r="AX219" s="69"/>
      <c r="AY219" s="69"/>
      <c r="AZ219" s="69"/>
      <c r="BA219" s="69"/>
      <c r="BB219" s="69"/>
      <c r="BC219" s="69"/>
      <c r="BD219" s="69"/>
      <c r="BE219" s="69"/>
      <c r="BF219" s="69"/>
      <c r="BG219" s="69"/>
      <c r="BH219" s="69"/>
      <c r="BI219" s="69"/>
      <c r="BJ219" s="69"/>
      <c r="BK219" s="69"/>
      <c r="BL219" s="69"/>
      <c r="BM219" s="69"/>
      <c r="BN219" s="69"/>
      <c r="BO219" s="69"/>
      <c r="BP219" s="69"/>
      <c r="BQ219" s="69"/>
      <c r="BR219" s="69"/>
      <c r="BS219" s="69"/>
      <c r="BT219" s="69"/>
      <c r="BU219" s="69"/>
      <c r="BV219" s="69"/>
      <c r="BW219" s="69"/>
      <c r="BX219" s="69"/>
      <c r="BY219" s="69"/>
      <c r="BZ219" s="69"/>
      <c r="CA219" s="69"/>
      <c r="CB219" s="69"/>
      <c r="CC219" s="69"/>
      <c r="CD219" s="69"/>
      <c r="CE219" s="94">
        <f t="shared" si="13"/>
        <v>454.34000000000003</v>
      </c>
      <c r="CF219" s="151">
        <f t="shared" si="14"/>
        <v>0</v>
      </c>
      <c r="CG219" s="75">
        <f t="shared" ref="CG219:CH282" si="18">+C219</f>
        <v>4075</v>
      </c>
      <c r="CH219" s="69" t="str">
        <f t="shared" si="18"/>
        <v>برنامج دولى</v>
      </c>
    </row>
    <row r="220" spans="1:86" ht="18.75" x14ac:dyDescent="0.25">
      <c r="A220" s="148"/>
      <c r="B220" s="82">
        <v>7741</v>
      </c>
      <c r="C220" s="149">
        <v>4076</v>
      </c>
      <c r="D220" s="71" t="s">
        <v>78</v>
      </c>
      <c r="E220" s="69" t="s">
        <v>3175</v>
      </c>
      <c r="F220" s="63"/>
      <c r="G220" s="69">
        <v>681.52</v>
      </c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94">
        <f t="shared" si="17"/>
        <v>681.52</v>
      </c>
      <c r="AS220" s="69">
        <v>455.89</v>
      </c>
      <c r="AT220" s="69">
        <v>61.43</v>
      </c>
      <c r="AU220" s="69">
        <v>164.2</v>
      </c>
      <c r="AV220" s="69"/>
      <c r="AW220" s="69"/>
      <c r="AX220" s="69"/>
      <c r="AY220" s="69"/>
      <c r="AZ220" s="69"/>
      <c r="BA220" s="69"/>
      <c r="BB220" s="69"/>
      <c r="BC220" s="69"/>
      <c r="BD220" s="69"/>
      <c r="BE220" s="69"/>
      <c r="BF220" s="69"/>
      <c r="BG220" s="69"/>
      <c r="BH220" s="69"/>
      <c r="BI220" s="69"/>
      <c r="BJ220" s="69"/>
      <c r="BK220" s="69"/>
      <c r="BL220" s="69"/>
      <c r="BM220" s="69"/>
      <c r="BN220" s="69"/>
      <c r="BO220" s="69"/>
      <c r="BP220" s="69"/>
      <c r="BQ220" s="69"/>
      <c r="BR220" s="69"/>
      <c r="BS220" s="69"/>
      <c r="BT220" s="69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94">
        <f t="shared" si="13"/>
        <v>681.52</v>
      </c>
      <c r="CF220" s="151">
        <f t="shared" si="14"/>
        <v>0</v>
      </c>
      <c r="CG220" s="75">
        <f t="shared" si="18"/>
        <v>4076</v>
      </c>
      <c r="CH220" s="69" t="str">
        <f t="shared" si="18"/>
        <v>برنامج دولى</v>
      </c>
    </row>
    <row r="221" spans="1:86" ht="18.75" x14ac:dyDescent="0.25">
      <c r="A221" s="148"/>
      <c r="B221" s="82">
        <v>7740</v>
      </c>
      <c r="C221" s="149">
        <v>4077</v>
      </c>
      <c r="D221" s="71" t="s">
        <v>78</v>
      </c>
      <c r="E221" s="69" t="s">
        <v>3175</v>
      </c>
      <c r="F221" s="63"/>
      <c r="G221" s="69">
        <v>12826.6</v>
      </c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94">
        <f t="shared" si="17"/>
        <v>12826.6</v>
      </c>
      <c r="AS221" s="69">
        <v>8568.41</v>
      </c>
      <c r="AT221" s="69">
        <f>73.75+1093.95</f>
        <v>1167.7</v>
      </c>
      <c r="AU221" s="69">
        <v>3090.49</v>
      </c>
      <c r="AV221" s="69"/>
      <c r="AW221" s="69"/>
      <c r="AX221" s="69"/>
      <c r="AY221" s="69"/>
      <c r="AZ221" s="69"/>
      <c r="BA221" s="69"/>
      <c r="BB221" s="69"/>
      <c r="BC221" s="69"/>
      <c r="BD221" s="69"/>
      <c r="BE221" s="69"/>
      <c r="BF221" s="69"/>
      <c r="BG221" s="69"/>
      <c r="BH221" s="69"/>
      <c r="BI221" s="69"/>
      <c r="BJ221" s="69"/>
      <c r="BK221" s="69"/>
      <c r="BL221" s="69"/>
      <c r="BM221" s="69"/>
      <c r="BN221" s="69"/>
      <c r="BO221" s="69"/>
      <c r="BP221" s="69"/>
      <c r="BQ221" s="69"/>
      <c r="BR221" s="69"/>
      <c r="BS221" s="69"/>
      <c r="BT221" s="69"/>
      <c r="BU221" s="69"/>
      <c r="BV221" s="69"/>
      <c r="BW221" s="69"/>
      <c r="BX221" s="69"/>
      <c r="BY221" s="69"/>
      <c r="BZ221" s="69"/>
      <c r="CA221" s="69"/>
      <c r="CB221" s="69"/>
      <c r="CC221" s="69"/>
      <c r="CD221" s="69"/>
      <c r="CE221" s="94">
        <f t="shared" ref="CE221:CE284" si="19">SUM(AS221:CD221)</f>
        <v>12826.6</v>
      </c>
      <c r="CF221" s="151">
        <f t="shared" ref="CF221:CF284" si="20">+CE221-AR221</f>
        <v>0</v>
      </c>
      <c r="CG221" s="75">
        <f t="shared" si="18"/>
        <v>4077</v>
      </c>
      <c r="CH221" s="69" t="str">
        <f t="shared" si="18"/>
        <v>برنامج دولى</v>
      </c>
    </row>
    <row r="222" spans="1:86" ht="18.75" x14ac:dyDescent="0.25">
      <c r="A222" s="148"/>
      <c r="B222" s="82">
        <v>7747</v>
      </c>
      <c r="C222" s="149">
        <v>4078</v>
      </c>
      <c r="D222" s="71" t="s">
        <v>78</v>
      </c>
      <c r="E222" s="69" t="s">
        <v>3176</v>
      </c>
      <c r="F222" s="63"/>
      <c r="G222" s="69">
        <v>1000</v>
      </c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94">
        <f t="shared" si="17"/>
        <v>1000</v>
      </c>
      <c r="AS222" s="69">
        <v>893.35</v>
      </c>
      <c r="AT222" s="69">
        <v>106.65</v>
      </c>
      <c r="AU222" s="69"/>
      <c r="AV222" s="69"/>
      <c r="AW222" s="69"/>
      <c r="AX222" s="69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69"/>
      <c r="BK222" s="69"/>
      <c r="BL222" s="69"/>
      <c r="BM222" s="69"/>
      <c r="BN222" s="69"/>
      <c r="BO222" s="69"/>
      <c r="BP222" s="69"/>
      <c r="BQ222" s="69"/>
      <c r="BR222" s="69"/>
      <c r="BS222" s="69"/>
      <c r="BT222" s="69"/>
      <c r="BU222" s="69"/>
      <c r="BV222" s="69"/>
      <c r="BW222" s="69"/>
      <c r="BX222" s="69"/>
      <c r="BY222" s="69"/>
      <c r="BZ222" s="69"/>
      <c r="CA222" s="69"/>
      <c r="CB222" s="69"/>
      <c r="CC222" s="69"/>
      <c r="CD222" s="69"/>
      <c r="CE222" s="94">
        <f t="shared" si="19"/>
        <v>1000</v>
      </c>
      <c r="CF222" s="151">
        <f t="shared" si="20"/>
        <v>0</v>
      </c>
      <c r="CG222" s="75">
        <f t="shared" si="18"/>
        <v>4078</v>
      </c>
      <c r="CH222" s="69" t="str">
        <f t="shared" si="18"/>
        <v>برنامج دولى</v>
      </c>
    </row>
    <row r="223" spans="1:86" ht="18.75" x14ac:dyDescent="0.25">
      <c r="A223" s="148"/>
      <c r="B223" s="82">
        <v>7748</v>
      </c>
      <c r="C223" s="149">
        <v>4079</v>
      </c>
      <c r="D223" s="71" t="s">
        <v>78</v>
      </c>
      <c r="E223" s="69" t="s">
        <v>3176</v>
      </c>
      <c r="F223" s="63"/>
      <c r="G223" s="69">
        <v>19835.84</v>
      </c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94">
        <f t="shared" si="17"/>
        <v>19835.84</v>
      </c>
      <c r="AS223" s="69">
        <v>16435.45</v>
      </c>
      <c r="AT223" s="69">
        <v>2031.55</v>
      </c>
      <c r="AU223" s="69">
        <v>1368.84</v>
      </c>
      <c r="AV223" s="69"/>
      <c r="AW223" s="69"/>
      <c r="AX223" s="69"/>
      <c r="AY223" s="69"/>
      <c r="AZ223" s="69"/>
      <c r="BA223" s="69"/>
      <c r="BB223" s="69"/>
      <c r="BC223" s="69"/>
      <c r="BD223" s="69"/>
      <c r="BE223" s="69"/>
      <c r="BF223" s="69"/>
      <c r="BG223" s="69"/>
      <c r="BH223" s="69"/>
      <c r="BI223" s="69"/>
      <c r="BJ223" s="69"/>
      <c r="BK223" s="69"/>
      <c r="BL223" s="69"/>
      <c r="BM223" s="69"/>
      <c r="BN223" s="69"/>
      <c r="BO223" s="69"/>
      <c r="BP223" s="69"/>
      <c r="BQ223" s="69"/>
      <c r="BR223" s="69"/>
      <c r="BS223" s="69"/>
      <c r="BT223" s="69"/>
      <c r="BU223" s="69"/>
      <c r="BV223" s="69"/>
      <c r="BW223" s="69"/>
      <c r="BX223" s="69"/>
      <c r="BY223" s="69"/>
      <c r="BZ223" s="69"/>
      <c r="CA223" s="69"/>
      <c r="CB223" s="69"/>
      <c r="CC223" s="69"/>
      <c r="CD223" s="69"/>
      <c r="CE223" s="94">
        <f t="shared" si="19"/>
        <v>19835.84</v>
      </c>
      <c r="CF223" s="151">
        <f t="shared" si="20"/>
        <v>0</v>
      </c>
      <c r="CG223" s="75">
        <f t="shared" si="18"/>
        <v>4079</v>
      </c>
      <c r="CH223" s="69" t="str">
        <f t="shared" si="18"/>
        <v>برنامج دولى</v>
      </c>
    </row>
    <row r="224" spans="1:86" ht="18.75" x14ac:dyDescent="0.25">
      <c r="A224" s="148"/>
      <c r="B224" s="82">
        <v>7757</v>
      </c>
      <c r="C224" s="149">
        <v>4080</v>
      </c>
      <c r="D224" s="71" t="s">
        <v>78</v>
      </c>
      <c r="E224" s="69" t="s">
        <v>3177</v>
      </c>
      <c r="F224" s="63"/>
      <c r="G224" s="69">
        <v>644.88</v>
      </c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94">
        <f t="shared" si="17"/>
        <v>644.88</v>
      </c>
      <c r="AS224" s="69">
        <v>431.4</v>
      </c>
      <c r="AT224" s="69">
        <v>58.1</v>
      </c>
      <c r="AU224" s="69">
        <v>155.38</v>
      </c>
      <c r="AV224" s="69"/>
      <c r="AW224" s="69"/>
      <c r="AX224" s="69"/>
      <c r="AY224" s="69"/>
      <c r="AZ224" s="69"/>
      <c r="BA224" s="69"/>
      <c r="BB224" s="69"/>
      <c r="BC224" s="69"/>
      <c r="BD224" s="69"/>
      <c r="BE224" s="69"/>
      <c r="BF224" s="69"/>
      <c r="BG224" s="69"/>
      <c r="BH224" s="69"/>
      <c r="BI224" s="69"/>
      <c r="BJ224" s="69"/>
      <c r="BK224" s="69"/>
      <c r="BL224" s="69"/>
      <c r="BM224" s="69"/>
      <c r="BN224" s="69"/>
      <c r="BO224" s="69"/>
      <c r="BP224" s="69"/>
      <c r="BQ224" s="69"/>
      <c r="BR224" s="69"/>
      <c r="BS224" s="69"/>
      <c r="BT224" s="69"/>
      <c r="BU224" s="69"/>
      <c r="BV224" s="69"/>
      <c r="BW224" s="69"/>
      <c r="BX224" s="69"/>
      <c r="BY224" s="69"/>
      <c r="BZ224" s="69"/>
      <c r="CA224" s="69"/>
      <c r="CB224" s="69"/>
      <c r="CC224" s="69"/>
      <c r="CD224" s="69"/>
      <c r="CE224" s="94">
        <f t="shared" si="19"/>
        <v>644.88</v>
      </c>
      <c r="CF224" s="151">
        <f t="shared" si="20"/>
        <v>0</v>
      </c>
      <c r="CG224" s="75">
        <f t="shared" si="18"/>
        <v>4080</v>
      </c>
      <c r="CH224" s="69" t="str">
        <f t="shared" si="18"/>
        <v>برنامج دولى</v>
      </c>
    </row>
    <row r="225" spans="1:86" ht="18.75" x14ac:dyDescent="0.25">
      <c r="A225" s="148"/>
      <c r="B225" s="82">
        <v>7760</v>
      </c>
      <c r="C225" s="149">
        <v>4081</v>
      </c>
      <c r="D225" s="71" t="s">
        <v>78</v>
      </c>
      <c r="E225" s="69" t="s">
        <v>798</v>
      </c>
      <c r="F225" s="63"/>
      <c r="G225" s="69">
        <v>8600.17</v>
      </c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94">
        <f t="shared" si="17"/>
        <v>8600.17</v>
      </c>
      <c r="AS225" s="69">
        <v>5747.7</v>
      </c>
      <c r="AT225" s="69">
        <v>764.15</v>
      </c>
      <c r="AU225" s="69">
        <v>2088.3200000000002</v>
      </c>
      <c r="AV225" s="69"/>
      <c r="AW225" s="69"/>
      <c r="AX225" s="69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69"/>
      <c r="BK225" s="69"/>
      <c r="BL225" s="69"/>
      <c r="BM225" s="69"/>
      <c r="BN225" s="69"/>
      <c r="BO225" s="69"/>
      <c r="BP225" s="69"/>
      <c r="BQ225" s="69"/>
      <c r="BR225" s="69"/>
      <c r="BS225" s="69"/>
      <c r="BT225" s="69"/>
      <c r="BU225" s="69"/>
      <c r="BV225" s="69"/>
      <c r="BW225" s="69"/>
      <c r="BX225" s="69"/>
      <c r="BY225" s="69"/>
      <c r="BZ225" s="69"/>
      <c r="CA225" s="69"/>
      <c r="CB225" s="69"/>
      <c r="CC225" s="69"/>
      <c r="CD225" s="69"/>
      <c r="CE225" s="94">
        <f t="shared" si="19"/>
        <v>8600.17</v>
      </c>
      <c r="CF225" s="151">
        <f t="shared" si="20"/>
        <v>0</v>
      </c>
      <c r="CG225" s="75">
        <f t="shared" si="18"/>
        <v>4081</v>
      </c>
      <c r="CH225" s="69" t="str">
        <f t="shared" si="18"/>
        <v>برنامج دولى</v>
      </c>
    </row>
    <row r="226" spans="1:86" ht="18.75" x14ac:dyDescent="0.25">
      <c r="A226" s="148"/>
      <c r="B226" s="82">
        <v>7759</v>
      </c>
      <c r="C226" s="149">
        <v>4082</v>
      </c>
      <c r="D226" s="71" t="s">
        <v>78</v>
      </c>
      <c r="E226" s="69" t="s">
        <v>798</v>
      </c>
      <c r="F226" s="63"/>
      <c r="G226" s="69">
        <v>351.75</v>
      </c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94">
        <f t="shared" si="17"/>
        <v>351.75</v>
      </c>
      <c r="AS226" s="69">
        <v>235.55</v>
      </c>
      <c r="AT226" s="69">
        <v>31.45</v>
      </c>
      <c r="AU226" s="69">
        <v>84.75</v>
      </c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9"/>
      <c r="BN226" s="69"/>
      <c r="BO226" s="69"/>
      <c r="BP226" s="69"/>
      <c r="BQ226" s="69"/>
      <c r="BR226" s="69"/>
      <c r="BS226" s="69"/>
      <c r="BT226" s="69"/>
      <c r="BU226" s="69"/>
      <c r="BV226" s="69"/>
      <c r="BW226" s="69"/>
      <c r="BX226" s="69"/>
      <c r="BY226" s="69"/>
      <c r="BZ226" s="69"/>
      <c r="CA226" s="69"/>
      <c r="CB226" s="69"/>
      <c r="CC226" s="69"/>
      <c r="CD226" s="69"/>
      <c r="CE226" s="94">
        <f t="shared" si="19"/>
        <v>351.75</v>
      </c>
      <c r="CF226" s="151">
        <f t="shared" si="20"/>
        <v>0</v>
      </c>
      <c r="CG226" s="75">
        <f t="shared" si="18"/>
        <v>4082</v>
      </c>
      <c r="CH226" s="69" t="str">
        <f t="shared" si="18"/>
        <v>برنامج دولى</v>
      </c>
    </row>
    <row r="227" spans="1:86" ht="18.75" x14ac:dyDescent="0.25">
      <c r="A227" s="148"/>
      <c r="B227" s="82">
        <v>7758</v>
      </c>
      <c r="C227" s="149">
        <v>4083</v>
      </c>
      <c r="D227" s="71" t="s">
        <v>78</v>
      </c>
      <c r="E227" s="69" t="s">
        <v>798</v>
      </c>
      <c r="F227" s="63"/>
      <c r="G227" s="69">
        <v>234.5</v>
      </c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94">
        <f t="shared" si="17"/>
        <v>234.5</v>
      </c>
      <c r="AS227" s="69">
        <v>157.19999999999999</v>
      </c>
      <c r="AT227" s="69">
        <v>20.8</v>
      </c>
      <c r="AU227" s="69">
        <v>56.5</v>
      </c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9"/>
      <c r="BN227" s="69"/>
      <c r="BO227" s="69"/>
      <c r="BP227" s="69"/>
      <c r="BQ227" s="69"/>
      <c r="BR227" s="69"/>
      <c r="BS227" s="69"/>
      <c r="BT227" s="69"/>
      <c r="BU227" s="69"/>
      <c r="BV227" s="69"/>
      <c r="BW227" s="69"/>
      <c r="BX227" s="69"/>
      <c r="BY227" s="69"/>
      <c r="BZ227" s="69"/>
      <c r="CA227" s="69"/>
      <c r="CB227" s="69"/>
      <c r="CC227" s="69"/>
      <c r="CD227" s="69"/>
      <c r="CE227" s="94">
        <f t="shared" si="19"/>
        <v>234.5</v>
      </c>
      <c r="CF227" s="151">
        <f t="shared" si="20"/>
        <v>0</v>
      </c>
      <c r="CG227" s="75">
        <f t="shared" si="18"/>
        <v>4083</v>
      </c>
      <c r="CH227" s="69" t="str">
        <f t="shared" si="18"/>
        <v>برنامج دولى</v>
      </c>
    </row>
    <row r="228" spans="1:86" ht="18.75" x14ac:dyDescent="0.25">
      <c r="A228" s="148"/>
      <c r="B228" s="82">
        <v>7761</v>
      </c>
      <c r="C228" s="149">
        <v>4084</v>
      </c>
      <c r="D228" s="71" t="s">
        <v>78</v>
      </c>
      <c r="E228" s="69" t="str">
        <f>+E213</f>
        <v>ماموريه محمد سعيد</v>
      </c>
      <c r="F228" s="63"/>
      <c r="G228" s="69">
        <v>175.88</v>
      </c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94">
        <f t="shared" si="17"/>
        <v>175.88</v>
      </c>
      <c r="AS228" s="69">
        <v>118</v>
      </c>
      <c r="AT228" s="69">
        <v>15.5</v>
      </c>
      <c r="AU228" s="69">
        <v>42.38</v>
      </c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9"/>
      <c r="BI228" s="69"/>
      <c r="BJ228" s="69"/>
      <c r="BK228" s="69"/>
      <c r="BL228" s="69"/>
      <c r="BM228" s="69"/>
      <c r="BN228" s="69"/>
      <c r="BO228" s="69"/>
      <c r="BP228" s="69"/>
      <c r="BQ228" s="69"/>
      <c r="BR228" s="69"/>
      <c r="BS228" s="69"/>
      <c r="BT228" s="69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94">
        <f t="shared" si="19"/>
        <v>175.88</v>
      </c>
      <c r="CF228" s="151">
        <f t="shared" si="20"/>
        <v>0</v>
      </c>
      <c r="CG228" s="75">
        <f t="shared" si="18"/>
        <v>4084</v>
      </c>
      <c r="CH228" s="69" t="str">
        <f t="shared" si="18"/>
        <v>برنامج دولى</v>
      </c>
    </row>
    <row r="229" spans="1:86" ht="18.75" x14ac:dyDescent="0.25">
      <c r="A229" s="148"/>
      <c r="B229" s="82">
        <v>7767</v>
      </c>
      <c r="C229" s="149">
        <v>4085</v>
      </c>
      <c r="D229" s="71" t="s">
        <v>78</v>
      </c>
      <c r="E229" s="69" t="s">
        <v>3178</v>
      </c>
      <c r="F229" s="63"/>
      <c r="G229" s="69">
        <v>3400.25</v>
      </c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94">
        <f t="shared" si="17"/>
        <v>3400.25</v>
      </c>
      <c r="AS229" s="69">
        <v>2272</v>
      </c>
      <c r="AT229" s="69">
        <v>309</v>
      </c>
      <c r="AU229" s="69">
        <v>819.25</v>
      </c>
      <c r="AV229" s="69"/>
      <c r="AW229" s="69"/>
      <c r="AX229" s="69"/>
      <c r="AY229" s="69"/>
      <c r="AZ229" s="69"/>
      <c r="BA229" s="69"/>
      <c r="BB229" s="69"/>
      <c r="BC229" s="69"/>
      <c r="BD229" s="69"/>
      <c r="BE229" s="69"/>
      <c r="BF229" s="69"/>
      <c r="BG229" s="69"/>
      <c r="BH229" s="69"/>
      <c r="BI229" s="69"/>
      <c r="BJ229" s="69"/>
      <c r="BK229" s="69"/>
      <c r="BL229" s="69"/>
      <c r="BM229" s="69"/>
      <c r="BN229" s="69"/>
      <c r="BO229" s="69"/>
      <c r="BP229" s="69"/>
      <c r="BQ229" s="69"/>
      <c r="BR229" s="69"/>
      <c r="BS229" s="69"/>
      <c r="BT229" s="69"/>
      <c r="BU229" s="69"/>
      <c r="BV229" s="69"/>
      <c r="BW229" s="69"/>
      <c r="BX229" s="69"/>
      <c r="BY229" s="69"/>
      <c r="BZ229" s="69"/>
      <c r="CA229" s="69"/>
      <c r="CB229" s="69"/>
      <c r="CC229" s="69"/>
      <c r="CD229" s="69"/>
      <c r="CE229" s="94">
        <f t="shared" si="19"/>
        <v>3400.25</v>
      </c>
      <c r="CF229" s="151">
        <f t="shared" si="20"/>
        <v>0</v>
      </c>
      <c r="CG229" s="75">
        <f t="shared" si="18"/>
        <v>4085</v>
      </c>
      <c r="CH229" s="69" t="str">
        <f t="shared" si="18"/>
        <v>برنامج دولى</v>
      </c>
    </row>
    <row r="230" spans="1:86" ht="18.75" x14ac:dyDescent="0.25">
      <c r="A230" s="148"/>
      <c r="B230" s="82">
        <v>7766</v>
      </c>
      <c r="C230" s="149">
        <v>4086</v>
      </c>
      <c r="D230" s="71" t="s">
        <v>78</v>
      </c>
      <c r="E230" s="69" t="s">
        <v>3178</v>
      </c>
      <c r="F230" s="63"/>
      <c r="G230" s="69">
        <v>4819.43</v>
      </c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94">
        <f t="shared" si="17"/>
        <v>4819.43</v>
      </c>
      <c r="AS230" s="69">
        <v>3891.83</v>
      </c>
      <c r="AT230" s="69">
        <v>486.35</v>
      </c>
      <c r="AU230" s="69">
        <v>441.25</v>
      </c>
      <c r="AV230" s="69"/>
      <c r="AW230" s="69"/>
      <c r="AX230" s="69"/>
      <c r="AY230" s="69"/>
      <c r="AZ230" s="69"/>
      <c r="BA230" s="69"/>
      <c r="BB230" s="69"/>
      <c r="BC230" s="69"/>
      <c r="BD230" s="69"/>
      <c r="BE230" s="69"/>
      <c r="BF230" s="69"/>
      <c r="BG230" s="69"/>
      <c r="BH230" s="69"/>
      <c r="BI230" s="69"/>
      <c r="BJ230" s="69"/>
      <c r="BK230" s="69"/>
      <c r="BL230" s="69"/>
      <c r="BM230" s="69"/>
      <c r="BN230" s="69"/>
      <c r="BO230" s="69"/>
      <c r="BP230" s="69"/>
      <c r="BQ230" s="69"/>
      <c r="BR230" s="69"/>
      <c r="BS230" s="69"/>
      <c r="BT230" s="69"/>
      <c r="BU230" s="69"/>
      <c r="BV230" s="69"/>
      <c r="BW230" s="69"/>
      <c r="BX230" s="69"/>
      <c r="BY230" s="69"/>
      <c r="BZ230" s="69"/>
      <c r="CA230" s="69"/>
      <c r="CB230" s="69"/>
      <c r="CC230" s="69"/>
      <c r="CD230" s="69"/>
      <c r="CE230" s="94">
        <f t="shared" si="19"/>
        <v>4819.43</v>
      </c>
      <c r="CF230" s="151">
        <f t="shared" si="20"/>
        <v>0</v>
      </c>
      <c r="CG230" s="75">
        <f t="shared" si="18"/>
        <v>4086</v>
      </c>
      <c r="CH230" s="69" t="str">
        <f t="shared" si="18"/>
        <v>برنامج دولى</v>
      </c>
    </row>
    <row r="231" spans="1:86" ht="18.75" x14ac:dyDescent="0.25">
      <c r="A231" s="148"/>
      <c r="B231" s="82">
        <v>7762</v>
      </c>
      <c r="C231" s="149">
        <v>4087</v>
      </c>
      <c r="D231" s="71" t="s">
        <v>78</v>
      </c>
      <c r="E231" s="69" t="s">
        <v>3178</v>
      </c>
      <c r="F231" s="63"/>
      <c r="G231" s="69">
        <v>2286.38</v>
      </c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94">
        <f t="shared" si="17"/>
        <v>2286.38</v>
      </c>
      <c r="AS231" s="69">
        <v>1529.95</v>
      </c>
      <c r="AT231" s="69">
        <v>205.55</v>
      </c>
      <c r="AU231" s="69">
        <v>550.88</v>
      </c>
      <c r="AV231" s="69"/>
      <c r="AW231" s="69"/>
      <c r="AX231" s="69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69"/>
      <c r="BK231" s="69"/>
      <c r="BL231" s="69"/>
      <c r="BM231" s="69"/>
      <c r="BN231" s="69"/>
      <c r="BO231" s="69"/>
      <c r="BP231" s="69"/>
      <c r="BQ231" s="69"/>
      <c r="BR231" s="69"/>
      <c r="BS231" s="69"/>
      <c r="BT231" s="69"/>
      <c r="BU231" s="69"/>
      <c r="BV231" s="69"/>
      <c r="BW231" s="69"/>
      <c r="BX231" s="69"/>
      <c r="BY231" s="69"/>
      <c r="BZ231" s="69"/>
      <c r="CA231" s="69"/>
      <c r="CB231" s="69"/>
      <c r="CC231" s="69"/>
      <c r="CD231" s="69"/>
      <c r="CE231" s="94">
        <f t="shared" si="19"/>
        <v>2286.38</v>
      </c>
      <c r="CF231" s="151">
        <f t="shared" si="20"/>
        <v>0</v>
      </c>
      <c r="CG231" s="75">
        <f t="shared" si="18"/>
        <v>4087</v>
      </c>
      <c r="CH231" s="69" t="str">
        <f t="shared" si="18"/>
        <v>برنامج دولى</v>
      </c>
    </row>
    <row r="232" spans="1:86" ht="18.75" x14ac:dyDescent="0.25">
      <c r="A232" s="148"/>
      <c r="B232" s="82">
        <v>7763</v>
      </c>
      <c r="C232" s="149">
        <v>4088</v>
      </c>
      <c r="D232" s="71" t="s">
        <v>78</v>
      </c>
      <c r="E232" s="69" t="s">
        <v>3178</v>
      </c>
      <c r="F232" s="63"/>
      <c r="G232" s="69">
        <v>7621.24</v>
      </c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94">
        <f t="shared" si="17"/>
        <v>7621.24</v>
      </c>
      <c r="AS232" s="69">
        <v>5099.75</v>
      </c>
      <c r="AT232" s="69">
        <v>685.25</v>
      </c>
      <c r="AU232" s="69">
        <v>1836.24</v>
      </c>
      <c r="AV232" s="69"/>
      <c r="AW232" s="69"/>
      <c r="AX232" s="69"/>
      <c r="AY232" s="69"/>
      <c r="AZ232" s="69"/>
      <c r="BA232" s="69"/>
      <c r="BB232" s="69"/>
      <c r="BC232" s="69"/>
      <c r="BD232" s="69"/>
      <c r="BE232" s="69"/>
      <c r="BF232" s="69"/>
      <c r="BG232" s="69"/>
      <c r="BH232" s="69"/>
      <c r="BI232" s="69"/>
      <c r="BJ232" s="69"/>
      <c r="BK232" s="69"/>
      <c r="BL232" s="69"/>
      <c r="BM232" s="69"/>
      <c r="BN232" s="69"/>
      <c r="BO232" s="69"/>
      <c r="BP232" s="69"/>
      <c r="BQ232" s="69"/>
      <c r="BR232" s="69"/>
      <c r="BS232" s="69"/>
      <c r="BT232" s="69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94">
        <f t="shared" si="19"/>
        <v>7621.24</v>
      </c>
      <c r="CF232" s="151">
        <f t="shared" si="20"/>
        <v>0</v>
      </c>
      <c r="CG232" s="75">
        <f t="shared" si="18"/>
        <v>4088</v>
      </c>
      <c r="CH232" s="69" t="str">
        <f t="shared" si="18"/>
        <v>برنامج دولى</v>
      </c>
    </row>
    <row r="233" spans="1:86" ht="18.75" x14ac:dyDescent="0.25">
      <c r="A233" s="148"/>
      <c r="B233" s="82">
        <v>7764</v>
      </c>
      <c r="C233" s="149">
        <v>4089</v>
      </c>
      <c r="D233" s="71" t="s">
        <v>78</v>
      </c>
      <c r="E233" s="69" t="s">
        <v>3178</v>
      </c>
      <c r="F233" s="63"/>
      <c r="G233" s="69">
        <v>644.88</v>
      </c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94">
        <f t="shared" si="17"/>
        <v>644.88</v>
      </c>
      <c r="AS233" s="69">
        <v>431.4</v>
      </c>
      <c r="AT233" s="69">
        <v>58.1</v>
      </c>
      <c r="AU233" s="69">
        <v>155.38</v>
      </c>
      <c r="AV233" s="69"/>
      <c r="AW233" s="69"/>
      <c r="AX233" s="69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/>
      <c r="BJ233" s="69"/>
      <c r="BK233" s="69"/>
      <c r="BL233" s="69"/>
      <c r="BM233" s="69"/>
      <c r="BN233" s="69"/>
      <c r="BO233" s="69"/>
      <c r="BP233" s="69"/>
      <c r="BQ233" s="69"/>
      <c r="BR233" s="69"/>
      <c r="BS233" s="69"/>
      <c r="BT233" s="69"/>
      <c r="BU233" s="69"/>
      <c r="BV233" s="69"/>
      <c r="BW233" s="69"/>
      <c r="BX233" s="69"/>
      <c r="BY233" s="69"/>
      <c r="BZ233" s="69"/>
      <c r="CA233" s="69"/>
      <c r="CB233" s="69"/>
      <c r="CC233" s="69"/>
      <c r="CD233" s="69"/>
      <c r="CE233" s="94">
        <f t="shared" si="19"/>
        <v>644.88</v>
      </c>
      <c r="CF233" s="151">
        <f t="shared" si="20"/>
        <v>0</v>
      </c>
      <c r="CG233" s="75">
        <f t="shared" si="18"/>
        <v>4089</v>
      </c>
      <c r="CH233" s="69" t="str">
        <f t="shared" si="18"/>
        <v>برنامج دولى</v>
      </c>
    </row>
    <row r="234" spans="1:86" ht="18.75" x14ac:dyDescent="0.25">
      <c r="A234" s="148"/>
      <c r="B234" s="82">
        <v>7765</v>
      </c>
      <c r="C234" s="149">
        <v>4090</v>
      </c>
      <c r="D234" s="71" t="s">
        <v>78</v>
      </c>
      <c r="E234" s="69" t="s">
        <v>3178</v>
      </c>
      <c r="F234" s="63"/>
      <c r="G234" s="69">
        <v>2579.5</v>
      </c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94">
        <f t="shared" si="17"/>
        <v>2579.5</v>
      </c>
      <c r="AS234" s="69">
        <v>1724.3</v>
      </c>
      <c r="AT234" s="69">
        <v>233.7</v>
      </c>
      <c r="AU234" s="69">
        <v>621.5</v>
      </c>
      <c r="AV234" s="69"/>
      <c r="AW234" s="69"/>
      <c r="AX234" s="69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/>
      <c r="BI234" s="69"/>
      <c r="BJ234" s="69"/>
      <c r="BK234" s="69"/>
      <c r="BL234" s="69"/>
      <c r="BM234" s="69"/>
      <c r="BN234" s="69"/>
      <c r="BO234" s="69"/>
      <c r="BP234" s="69"/>
      <c r="BQ234" s="69"/>
      <c r="BR234" s="69"/>
      <c r="BS234" s="69"/>
      <c r="BT234" s="69"/>
      <c r="BU234" s="69"/>
      <c r="BV234" s="69"/>
      <c r="BW234" s="69"/>
      <c r="BX234" s="69"/>
      <c r="BY234" s="69"/>
      <c r="BZ234" s="69"/>
      <c r="CA234" s="69"/>
      <c r="CB234" s="69"/>
      <c r="CC234" s="69"/>
      <c r="CD234" s="69"/>
      <c r="CE234" s="94">
        <f t="shared" si="19"/>
        <v>2579.5</v>
      </c>
      <c r="CF234" s="151">
        <f t="shared" si="20"/>
        <v>0</v>
      </c>
      <c r="CG234" s="75">
        <f t="shared" si="18"/>
        <v>4090</v>
      </c>
      <c r="CH234" s="69" t="str">
        <f t="shared" si="18"/>
        <v>برنامج دولى</v>
      </c>
    </row>
    <row r="235" spans="1:86" ht="18.75" x14ac:dyDescent="0.25">
      <c r="A235" s="148"/>
      <c r="B235" s="82">
        <v>7768</v>
      </c>
      <c r="C235" s="149">
        <v>4091</v>
      </c>
      <c r="D235" s="71" t="s">
        <v>78</v>
      </c>
      <c r="E235" s="69" t="s">
        <v>3179</v>
      </c>
      <c r="F235" s="63"/>
      <c r="G235" s="69">
        <v>1758.76</v>
      </c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94">
        <f t="shared" si="17"/>
        <v>1758.76</v>
      </c>
      <c r="AS235" s="69">
        <v>1176.3</v>
      </c>
      <c r="AT235" s="69">
        <v>158.69999999999999</v>
      </c>
      <c r="AU235" s="69">
        <v>423.76</v>
      </c>
      <c r="AV235" s="69"/>
      <c r="AW235" s="69"/>
      <c r="AX235" s="69"/>
      <c r="AY235" s="69"/>
      <c r="AZ235" s="69"/>
      <c r="BA235" s="69"/>
      <c r="BB235" s="69"/>
      <c r="BC235" s="69"/>
      <c r="BD235" s="69"/>
      <c r="BE235" s="69"/>
      <c r="BF235" s="69"/>
      <c r="BG235" s="69"/>
      <c r="BH235" s="69"/>
      <c r="BI235" s="69"/>
      <c r="BJ235" s="69"/>
      <c r="BK235" s="69"/>
      <c r="BL235" s="69"/>
      <c r="BM235" s="69"/>
      <c r="BN235" s="69"/>
      <c r="BO235" s="69"/>
      <c r="BP235" s="69"/>
      <c r="BQ235" s="69"/>
      <c r="BR235" s="69"/>
      <c r="BS235" s="69"/>
      <c r="BT235" s="69"/>
      <c r="BU235" s="69"/>
      <c r="BV235" s="69"/>
      <c r="BW235" s="69"/>
      <c r="BX235" s="69"/>
      <c r="BY235" s="69"/>
      <c r="BZ235" s="69"/>
      <c r="CA235" s="69"/>
      <c r="CB235" s="69"/>
      <c r="CC235" s="69"/>
      <c r="CD235" s="69"/>
      <c r="CE235" s="94">
        <f t="shared" si="19"/>
        <v>1758.76</v>
      </c>
      <c r="CF235" s="151">
        <f t="shared" si="20"/>
        <v>0</v>
      </c>
      <c r="CG235" s="75">
        <f t="shared" si="18"/>
        <v>4091</v>
      </c>
      <c r="CH235" s="69" t="str">
        <f t="shared" si="18"/>
        <v>برنامج دولى</v>
      </c>
    </row>
    <row r="236" spans="1:86" ht="18.75" x14ac:dyDescent="0.25">
      <c r="A236" s="148"/>
      <c r="B236" s="82">
        <v>7769</v>
      </c>
      <c r="C236" s="149">
        <v>4092</v>
      </c>
      <c r="D236" s="71" t="s">
        <v>78</v>
      </c>
      <c r="E236" s="69" t="s">
        <v>3179</v>
      </c>
      <c r="F236" s="63"/>
      <c r="G236" s="69">
        <v>1000</v>
      </c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94">
        <f t="shared" si="17"/>
        <v>1000</v>
      </c>
      <c r="AS236" s="69">
        <v>893.35</v>
      </c>
      <c r="AT236" s="69">
        <v>106.65</v>
      </c>
      <c r="AU236" s="69"/>
      <c r="AV236" s="69"/>
      <c r="AW236" s="69"/>
      <c r="AX236" s="69"/>
      <c r="AY236" s="69"/>
      <c r="AZ236" s="69"/>
      <c r="BA236" s="69"/>
      <c r="BB236" s="69"/>
      <c r="BC236" s="69"/>
      <c r="BD236" s="69"/>
      <c r="BE236" s="69"/>
      <c r="BF236" s="69"/>
      <c r="BG236" s="69"/>
      <c r="BH236" s="69"/>
      <c r="BI236" s="69"/>
      <c r="BJ236" s="69"/>
      <c r="BK236" s="69"/>
      <c r="BL236" s="69"/>
      <c r="BM236" s="69"/>
      <c r="BN236" s="69"/>
      <c r="BO236" s="69"/>
      <c r="BP236" s="69"/>
      <c r="BQ236" s="69"/>
      <c r="BR236" s="69"/>
      <c r="BS236" s="69"/>
      <c r="BT236" s="69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94">
        <f t="shared" si="19"/>
        <v>1000</v>
      </c>
      <c r="CF236" s="151">
        <f t="shared" si="20"/>
        <v>0</v>
      </c>
      <c r="CG236" s="75">
        <f t="shared" si="18"/>
        <v>4092</v>
      </c>
      <c r="CH236" s="69" t="str">
        <f t="shared" si="18"/>
        <v>برنامج دولى</v>
      </c>
    </row>
    <row r="237" spans="1:86" ht="18.75" x14ac:dyDescent="0.25">
      <c r="A237" s="148"/>
      <c r="B237" s="82">
        <v>7770</v>
      </c>
      <c r="C237" s="149">
        <v>4093</v>
      </c>
      <c r="D237" s="71" t="s">
        <v>78</v>
      </c>
      <c r="E237" s="69" t="s">
        <v>3010</v>
      </c>
      <c r="F237" s="63"/>
      <c r="G237" s="69">
        <v>1407</v>
      </c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94">
        <f t="shared" si="17"/>
        <v>1407</v>
      </c>
      <c r="AS237" s="69">
        <v>940.35</v>
      </c>
      <c r="AT237" s="69">
        <v>127.65</v>
      </c>
      <c r="AU237" s="69">
        <v>339</v>
      </c>
      <c r="AV237" s="69"/>
      <c r="AW237" s="69"/>
      <c r="AX237" s="69"/>
      <c r="AY237" s="69"/>
      <c r="AZ237" s="69"/>
      <c r="BA237" s="69"/>
      <c r="BB237" s="69"/>
      <c r="BC237" s="69"/>
      <c r="BD237" s="69"/>
      <c r="BE237" s="69"/>
      <c r="BF237" s="69"/>
      <c r="BG237" s="69"/>
      <c r="BH237" s="69"/>
      <c r="BI237" s="69"/>
      <c r="BJ237" s="69"/>
      <c r="BK237" s="69"/>
      <c r="BL237" s="69"/>
      <c r="BM237" s="69"/>
      <c r="BN237" s="69"/>
      <c r="BO237" s="69"/>
      <c r="BP237" s="69"/>
      <c r="BQ237" s="69"/>
      <c r="BR237" s="69"/>
      <c r="BS237" s="69"/>
      <c r="BT237" s="69"/>
      <c r="BU237" s="69"/>
      <c r="BV237" s="69"/>
      <c r="BW237" s="69"/>
      <c r="BX237" s="69"/>
      <c r="BY237" s="69"/>
      <c r="BZ237" s="69"/>
      <c r="CA237" s="69"/>
      <c r="CB237" s="69"/>
      <c r="CC237" s="69"/>
      <c r="CD237" s="69"/>
      <c r="CE237" s="94">
        <f t="shared" si="19"/>
        <v>1407</v>
      </c>
      <c r="CF237" s="151">
        <f t="shared" si="20"/>
        <v>0</v>
      </c>
      <c r="CG237" s="75">
        <f t="shared" si="18"/>
        <v>4093</v>
      </c>
      <c r="CH237" s="69" t="str">
        <f t="shared" si="18"/>
        <v>برنامج دولى</v>
      </c>
    </row>
    <row r="238" spans="1:86" ht="18.75" x14ac:dyDescent="0.25">
      <c r="A238" s="148"/>
      <c r="B238" s="82">
        <v>7771</v>
      </c>
      <c r="C238" s="149">
        <v>4094</v>
      </c>
      <c r="D238" s="71" t="s">
        <v>78</v>
      </c>
      <c r="E238" s="69" t="s">
        <v>3010</v>
      </c>
      <c r="F238" s="63"/>
      <c r="G238" s="69">
        <v>1200</v>
      </c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94">
        <f t="shared" si="17"/>
        <v>1200</v>
      </c>
      <c r="AS238" s="69">
        <v>1071.3499999999999</v>
      </c>
      <c r="AT238" s="69">
        <v>128.65</v>
      </c>
      <c r="AU238" s="69"/>
      <c r="AV238" s="69"/>
      <c r="AW238" s="69"/>
      <c r="AX238" s="69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69"/>
      <c r="BK238" s="69"/>
      <c r="BL238" s="69"/>
      <c r="BM238" s="69"/>
      <c r="BN238" s="69"/>
      <c r="BO238" s="69"/>
      <c r="BP238" s="69"/>
      <c r="BQ238" s="69"/>
      <c r="BR238" s="69"/>
      <c r="BS238" s="69"/>
      <c r="BT238" s="69"/>
      <c r="BU238" s="69"/>
      <c r="BV238" s="69"/>
      <c r="BW238" s="69"/>
      <c r="BX238" s="69"/>
      <c r="BY238" s="69"/>
      <c r="BZ238" s="69"/>
      <c r="CA238" s="69"/>
      <c r="CB238" s="69"/>
      <c r="CC238" s="69"/>
      <c r="CD238" s="69"/>
      <c r="CE238" s="94">
        <f t="shared" si="19"/>
        <v>1200</v>
      </c>
      <c r="CF238" s="151">
        <f t="shared" si="20"/>
        <v>0</v>
      </c>
      <c r="CG238" s="75">
        <f t="shared" si="18"/>
        <v>4094</v>
      </c>
      <c r="CH238" s="69" t="str">
        <f t="shared" si="18"/>
        <v>برنامج دولى</v>
      </c>
    </row>
    <row r="239" spans="1:86" ht="18.75" x14ac:dyDescent="0.25">
      <c r="A239" s="148"/>
      <c r="B239" s="82">
        <v>7772</v>
      </c>
      <c r="C239" s="149">
        <v>4095</v>
      </c>
      <c r="D239" s="71" t="s">
        <v>78</v>
      </c>
      <c r="E239" s="69" t="s">
        <v>3010</v>
      </c>
      <c r="F239" s="63"/>
      <c r="G239" s="69">
        <v>975.15</v>
      </c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94">
        <f t="shared" si="17"/>
        <v>975.15</v>
      </c>
      <c r="AS239" s="69">
        <v>604.47</v>
      </c>
      <c r="AT239" s="69">
        <v>83.85</v>
      </c>
      <c r="AU239" s="69">
        <v>286.83</v>
      </c>
      <c r="AV239" s="69"/>
      <c r="AW239" s="69"/>
      <c r="AX239" s="69"/>
      <c r="AY239" s="69"/>
      <c r="AZ239" s="69"/>
      <c r="BA239" s="69"/>
      <c r="BB239" s="69"/>
      <c r="BC239" s="69"/>
      <c r="BD239" s="69"/>
      <c r="BE239" s="69"/>
      <c r="BF239" s="69"/>
      <c r="BG239" s="69"/>
      <c r="BH239" s="69"/>
      <c r="BI239" s="69"/>
      <c r="BJ239" s="69"/>
      <c r="BK239" s="69"/>
      <c r="BL239" s="69"/>
      <c r="BM239" s="69"/>
      <c r="BN239" s="69"/>
      <c r="BO239" s="69"/>
      <c r="BP239" s="69"/>
      <c r="BQ239" s="69"/>
      <c r="BR239" s="69"/>
      <c r="BS239" s="69"/>
      <c r="BT239" s="69"/>
      <c r="BU239" s="69"/>
      <c r="BV239" s="69"/>
      <c r="BW239" s="69"/>
      <c r="BX239" s="69"/>
      <c r="BY239" s="69"/>
      <c r="BZ239" s="69"/>
      <c r="CA239" s="69"/>
      <c r="CB239" s="69"/>
      <c r="CC239" s="69"/>
      <c r="CD239" s="69"/>
      <c r="CE239" s="94">
        <f t="shared" si="19"/>
        <v>975.15000000000009</v>
      </c>
      <c r="CF239" s="151">
        <f t="shared" si="20"/>
        <v>0</v>
      </c>
      <c r="CG239" s="75">
        <f t="shared" si="18"/>
        <v>4095</v>
      </c>
      <c r="CH239" s="69" t="str">
        <f t="shared" si="18"/>
        <v>برنامج دولى</v>
      </c>
    </row>
    <row r="240" spans="1:86" ht="18.75" x14ac:dyDescent="0.25">
      <c r="A240" s="148"/>
      <c r="B240" s="82">
        <v>7773</v>
      </c>
      <c r="C240" s="149">
        <v>4096</v>
      </c>
      <c r="D240" s="71" t="s">
        <v>78</v>
      </c>
      <c r="E240" s="69" t="s">
        <v>3180</v>
      </c>
      <c r="F240" s="63"/>
      <c r="G240" s="69">
        <v>1172.5</v>
      </c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94">
        <f t="shared" si="17"/>
        <v>1172.5</v>
      </c>
      <c r="AS240" s="69">
        <v>784.1</v>
      </c>
      <c r="AT240" s="69">
        <v>105.9</v>
      </c>
      <c r="AU240" s="69">
        <v>282.5</v>
      </c>
      <c r="AV240" s="69"/>
      <c r="AW240" s="69"/>
      <c r="AX240" s="69"/>
      <c r="AY240" s="69"/>
      <c r="AZ240" s="69"/>
      <c r="BA240" s="69"/>
      <c r="BB240" s="69"/>
      <c r="BC240" s="69"/>
      <c r="BD240" s="69"/>
      <c r="BE240" s="69"/>
      <c r="BF240" s="69"/>
      <c r="BG240" s="69"/>
      <c r="BH240" s="69"/>
      <c r="BI240" s="69"/>
      <c r="BJ240" s="69"/>
      <c r="BK240" s="69"/>
      <c r="BL240" s="69"/>
      <c r="BM240" s="69"/>
      <c r="BN240" s="69"/>
      <c r="BO240" s="69"/>
      <c r="BP240" s="69"/>
      <c r="BQ240" s="69"/>
      <c r="BR240" s="69"/>
      <c r="BS240" s="69"/>
      <c r="BT240" s="69"/>
      <c r="BU240" s="69"/>
      <c r="BV240" s="69"/>
      <c r="BW240" s="69"/>
      <c r="BX240" s="69"/>
      <c r="BY240" s="69"/>
      <c r="BZ240" s="69"/>
      <c r="CA240" s="69"/>
      <c r="CB240" s="69"/>
      <c r="CC240" s="69"/>
      <c r="CD240" s="69"/>
      <c r="CE240" s="94">
        <f t="shared" si="19"/>
        <v>1172.5</v>
      </c>
      <c r="CF240" s="151">
        <f t="shared" si="20"/>
        <v>0</v>
      </c>
      <c r="CG240" s="75">
        <f t="shared" si="18"/>
        <v>4096</v>
      </c>
      <c r="CH240" s="69" t="str">
        <f t="shared" si="18"/>
        <v>برنامج دولى</v>
      </c>
    </row>
    <row r="241" spans="1:86" ht="18.75" x14ac:dyDescent="0.25">
      <c r="A241" s="148"/>
      <c r="B241" s="82">
        <v>7774</v>
      </c>
      <c r="C241" s="149">
        <v>4097</v>
      </c>
      <c r="D241" s="71" t="s">
        <v>78</v>
      </c>
      <c r="E241" s="69" t="s">
        <v>3180</v>
      </c>
      <c r="F241" s="63"/>
      <c r="G241" s="69">
        <v>2345</v>
      </c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94">
        <f t="shared" si="17"/>
        <v>2345</v>
      </c>
      <c r="AS241" s="69">
        <v>1568.2</v>
      </c>
      <c r="AT241" s="69">
        <v>211.8</v>
      </c>
      <c r="AU241" s="69">
        <v>565</v>
      </c>
      <c r="AV241" s="69"/>
      <c r="AW241" s="69"/>
      <c r="AX241" s="69"/>
      <c r="AY241" s="69"/>
      <c r="AZ241" s="69"/>
      <c r="BA241" s="69"/>
      <c r="BB241" s="69"/>
      <c r="BC241" s="69"/>
      <c r="BD241" s="69"/>
      <c r="BE241" s="69"/>
      <c r="BF241" s="69"/>
      <c r="BG241" s="69"/>
      <c r="BH241" s="69"/>
      <c r="BI241" s="69"/>
      <c r="BJ241" s="69"/>
      <c r="BK241" s="69"/>
      <c r="BL241" s="69"/>
      <c r="BM241" s="69"/>
      <c r="BN241" s="69"/>
      <c r="BO241" s="69"/>
      <c r="BP241" s="69"/>
      <c r="BQ241" s="69"/>
      <c r="BR241" s="69"/>
      <c r="BS241" s="69"/>
      <c r="BT241" s="69"/>
      <c r="BU241" s="69"/>
      <c r="BV241" s="69"/>
      <c r="BW241" s="69"/>
      <c r="BX241" s="69"/>
      <c r="BY241" s="69"/>
      <c r="BZ241" s="69"/>
      <c r="CA241" s="69"/>
      <c r="CB241" s="69"/>
      <c r="CC241" s="69"/>
      <c r="CD241" s="69"/>
      <c r="CE241" s="94">
        <f t="shared" si="19"/>
        <v>2345</v>
      </c>
      <c r="CF241" s="151">
        <f t="shared" si="20"/>
        <v>0</v>
      </c>
      <c r="CG241" s="75">
        <f t="shared" si="18"/>
        <v>4097</v>
      </c>
      <c r="CH241" s="69" t="str">
        <f t="shared" si="18"/>
        <v>برنامج دولى</v>
      </c>
    </row>
    <row r="242" spans="1:86" ht="18.75" x14ac:dyDescent="0.25">
      <c r="A242" s="148"/>
      <c r="B242" s="82">
        <v>7775</v>
      </c>
      <c r="C242" s="149">
        <v>4098</v>
      </c>
      <c r="D242" s="71" t="s">
        <v>78</v>
      </c>
      <c r="E242" s="69" t="s">
        <v>3181</v>
      </c>
      <c r="F242" s="63"/>
      <c r="G242" s="69">
        <v>351.75</v>
      </c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94">
        <f t="shared" si="17"/>
        <v>351.75</v>
      </c>
      <c r="AS242" s="69">
        <v>235.55</v>
      </c>
      <c r="AT242" s="69">
        <v>31.45</v>
      </c>
      <c r="AU242" s="69">
        <v>84.75</v>
      </c>
      <c r="AV242" s="69"/>
      <c r="AW242" s="69"/>
      <c r="AX242" s="69"/>
      <c r="AY242" s="69"/>
      <c r="AZ242" s="69"/>
      <c r="BA242" s="69"/>
      <c r="BB242" s="69"/>
      <c r="BC242" s="69"/>
      <c r="BD242" s="69"/>
      <c r="BE242" s="69"/>
      <c r="BF242" s="69"/>
      <c r="BG242" s="69"/>
      <c r="BH242" s="69"/>
      <c r="BI242" s="69"/>
      <c r="BJ242" s="69"/>
      <c r="BK242" s="69"/>
      <c r="BL242" s="69"/>
      <c r="BM242" s="69"/>
      <c r="BN242" s="69"/>
      <c r="BO242" s="69"/>
      <c r="BP242" s="69"/>
      <c r="BQ242" s="69"/>
      <c r="BR242" s="69"/>
      <c r="BS242" s="69"/>
      <c r="BT242" s="69"/>
      <c r="BU242" s="69"/>
      <c r="BV242" s="69"/>
      <c r="BW242" s="69"/>
      <c r="BX242" s="69"/>
      <c r="BY242" s="69"/>
      <c r="BZ242" s="69"/>
      <c r="CA242" s="69"/>
      <c r="CB242" s="69"/>
      <c r="CC242" s="69"/>
      <c r="CD242" s="69"/>
      <c r="CE242" s="94">
        <f t="shared" si="19"/>
        <v>351.75</v>
      </c>
      <c r="CF242" s="151">
        <f t="shared" si="20"/>
        <v>0</v>
      </c>
      <c r="CG242" s="75">
        <f t="shared" si="18"/>
        <v>4098</v>
      </c>
      <c r="CH242" s="69" t="str">
        <f t="shared" si="18"/>
        <v>برنامج دولى</v>
      </c>
    </row>
    <row r="243" spans="1:86" ht="18.75" x14ac:dyDescent="0.25">
      <c r="A243" s="148"/>
      <c r="B243" s="82">
        <v>7776</v>
      </c>
      <c r="C243" s="149">
        <v>4099</v>
      </c>
      <c r="D243" s="71" t="s">
        <v>78</v>
      </c>
      <c r="E243" s="69" t="s">
        <v>3182</v>
      </c>
      <c r="F243" s="63"/>
      <c r="G243" s="69">
        <v>351.75</v>
      </c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94">
        <f t="shared" si="17"/>
        <v>351.75</v>
      </c>
      <c r="AS243" s="69">
        <v>235.55</v>
      </c>
      <c r="AT243" s="69">
        <v>31.45</v>
      </c>
      <c r="AU243" s="69">
        <v>84.75</v>
      </c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69"/>
      <c r="BK243" s="69"/>
      <c r="BL243" s="69"/>
      <c r="BM243" s="69"/>
      <c r="BN243" s="69"/>
      <c r="BO243" s="69"/>
      <c r="BP243" s="69"/>
      <c r="BQ243" s="69"/>
      <c r="BR243" s="69"/>
      <c r="BS243" s="69"/>
      <c r="BT243" s="69"/>
      <c r="BU243" s="69"/>
      <c r="BV243" s="69"/>
      <c r="BW243" s="69"/>
      <c r="BX243" s="69"/>
      <c r="BY243" s="69"/>
      <c r="BZ243" s="69"/>
      <c r="CA243" s="69"/>
      <c r="CB243" s="69"/>
      <c r="CC243" s="69"/>
      <c r="CD243" s="69"/>
      <c r="CE243" s="94">
        <f t="shared" si="19"/>
        <v>351.75</v>
      </c>
      <c r="CF243" s="151">
        <f t="shared" si="20"/>
        <v>0</v>
      </c>
      <c r="CG243" s="75">
        <f t="shared" si="18"/>
        <v>4099</v>
      </c>
      <c r="CH243" s="69" t="str">
        <f t="shared" si="18"/>
        <v>برنامج دولى</v>
      </c>
    </row>
    <row r="244" spans="1:86" ht="18.75" x14ac:dyDescent="0.25">
      <c r="A244" s="148"/>
      <c r="B244" s="82">
        <v>7777</v>
      </c>
      <c r="C244" s="149">
        <v>4100</v>
      </c>
      <c r="D244" s="71" t="s">
        <v>78</v>
      </c>
      <c r="E244" s="69" t="s">
        <v>3183</v>
      </c>
      <c r="F244" s="63"/>
      <c r="G244" s="69">
        <v>800</v>
      </c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94">
        <f t="shared" si="17"/>
        <v>800</v>
      </c>
      <c r="AS244" s="69">
        <v>714.75</v>
      </c>
      <c r="AT244" s="69">
        <v>85.25</v>
      </c>
      <c r="AU244" s="69"/>
      <c r="AV244" s="69"/>
      <c r="AW244" s="69"/>
      <c r="AX244" s="69"/>
      <c r="AY244" s="69"/>
      <c r="AZ244" s="69"/>
      <c r="BA244" s="69"/>
      <c r="BB244" s="69"/>
      <c r="BC244" s="69"/>
      <c r="BD244" s="69"/>
      <c r="BE244" s="69"/>
      <c r="BF244" s="69"/>
      <c r="BG244" s="69"/>
      <c r="BH244" s="69"/>
      <c r="BI244" s="69"/>
      <c r="BJ244" s="69"/>
      <c r="BK244" s="69"/>
      <c r="BL244" s="69"/>
      <c r="BM244" s="69"/>
      <c r="BN244" s="69"/>
      <c r="BO244" s="69"/>
      <c r="BP244" s="69"/>
      <c r="BQ244" s="69"/>
      <c r="BR244" s="69"/>
      <c r="BS244" s="69"/>
      <c r="BT244" s="69"/>
      <c r="BU244" s="69"/>
      <c r="BV244" s="69"/>
      <c r="BW244" s="69"/>
      <c r="BX244" s="69"/>
      <c r="BY244" s="69"/>
      <c r="BZ244" s="69"/>
      <c r="CA244" s="69"/>
      <c r="CB244" s="69"/>
      <c r="CC244" s="69"/>
      <c r="CD244" s="69"/>
      <c r="CE244" s="94">
        <f t="shared" si="19"/>
        <v>800</v>
      </c>
      <c r="CF244" s="151">
        <f t="shared" si="20"/>
        <v>0</v>
      </c>
      <c r="CG244" s="75">
        <f t="shared" si="18"/>
        <v>4100</v>
      </c>
      <c r="CH244" s="69" t="str">
        <f t="shared" si="18"/>
        <v>برنامج دولى</v>
      </c>
    </row>
    <row r="245" spans="1:86" ht="18.75" x14ac:dyDescent="0.25">
      <c r="A245" s="148"/>
      <c r="B245" s="82">
        <v>7778</v>
      </c>
      <c r="C245" s="149">
        <v>4101</v>
      </c>
      <c r="D245" s="71" t="s">
        <v>78</v>
      </c>
      <c r="E245" s="69" t="s">
        <v>3184</v>
      </c>
      <c r="F245" s="63"/>
      <c r="G245" s="69">
        <v>586.25</v>
      </c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94">
        <f t="shared" si="17"/>
        <v>586.25</v>
      </c>
      <c r="AS245" s="69">
        <v>392.4</v>
      </c>
      <c r="AT245" s="69">
        <v>52.6</v>
      </c>
      <c r="AU245" s="69">
        <v>141.25</v>
      </c>
      <c r="AV245" s="69"/>
      <c r="AW245" s="69"/>
      <c r="AX245" s="69"/>
      <c r="AY245" s="69"/>
      <c r="AZ245" s="69"/>
      <c r="BA245" s="69"/>
      <c r="BB245" s="69"/>
      <c r="BC245" s="69"/>
      <c r="BD245" s="69"/>
      <c r="BE245" s="69"/>
      <c r="BF245" s="69"/>
      <c r="BG245" s="69"/>
      <c r="BH245" s="69"/>
      <c r="BI245" s="69"/>
      <c r="BJ245" s="69"/>
      <c r="BK245" s="69"/>
      <c r="BL245" s="69"/>
      <c r="BM245" s="69"/>
      <c r="BN245" s="69"/>
      <c r="BO245" s="69"/>
      <c r="BP245" s="69"/>
      <c r="BQ245" s="69"/>
      <c r="BR245" s="69"/>
      <c r="BS245" s="69"/>
      <c r="BT245" s="69"/>
      <c r="BU245" s="69"/>
      <c r="BV245" s="69"/>
      <c r="BW245" s="69"/>
      <c r="BX245" s="69"/>
      <c r="BY245" s="69"/>
      <c r="BZ245" s="69"/>
      <c r="CA245" s="69"/>
      <c r="CB245" s="69"/>
      <c r="CC245" s="69"/>
      <c r="CD245" s="69"/>
      <c r="CE245" s="94">
        <f t="shared" si="19"/>
        <v>586.25</v>
      </c>
      <c r="CF245" s="151">
        <f t="shared" si="20"/>
        <v>0</v>
      </c>
      <c r="CG245" s="75">
        <f t="shared" si="18"/>
        <v>4101</v>
      </c>
      <c r="CH245" s="69" t="str">
        <f t="shared" si="18"/>
        <v>برنامج دولى</v>
      </c>
    </row>
    <row r="246" spans="1:86" ht="18.75" x14ac:dyDescent="0.25">
      <c r="A246" s="148"/>
      <c r="B246" s="82">
        <v>7779</v>
      </c>
      <c r="C246" s="149">
        <v>4102</v>
      </c>
      <c r="D246" s="71" t="s">
        <v>78</v>
      </c>
      <c r="E246" s="69" t="s">
        <v>3184</v>
      </c>
      <c r="F246" s="63"/>
      <c r="G246" s="69">
        <v>501.36</v>
      </c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94">
        <f t="shared" si="17"/>
        <v>501.36</v>
      </c>
      <c r="AS246" s="69">
        <v>446.18</v>
      </c>
      <c r="AT246" s="69">
        <v>52.95</v>
      </c>
      <c r="AU246" s="69">
        <v>2.23</v>
      </c>
      <c r="AV246" s="69"/>
      <c r="AW246" s="69"/>
      <c r="AX246" s="69"/>
      <c r="AY246" s="69"/>
      <c r="AZ246" s="69"/>
      <c r="BA246" s="69"/>
      <c r="BB246" s="69"/>
      <c r="BC246" s="69"/>
      <c r="BD246" s="69"/>
      <c r="BE246" s="69"/>
      <c r="BF246" s="69"/>
      <c r="BG246" s="69"/>
      <c r="BH246" s="69"/>
      <c r="BI246" s="69"/>
      <c r="BJ246" s="69"/>
      <c r="BK246" s="69"/>
      <c r="BL246" s="69"/>
      <c r="BM246" s="69"/>
      <c r="BN246" s="69"/>
      <c r="BO246" s="69"/>
      <c r="BP246" s="69"/>
      <c r="BQ246" s="69"/>
      <c r="BR246" s="69"/>
      <c r="BS246" s="69"/>
      <c r="BT246" s="69"/>
      <c r="BU246" s="69"/>
      <c r="BV246" s="69"/>
      <c r="BW246" s="69"/>
      <c r="BX246" s="69"/>
      <c r="BY246" s="69"/>
      <c r="BZ246" s="69"/>
      <c r="CA246" s="69"/>
      <c r="CB246" s="69"/>
      <c r="CC246" s="69"/>
      <c r="CD246" s="69"/>
      <c r="CE246" s="94">
        <f t="shared" si="19"/>
        <v>501.36</v>
      </c>
      <c r="CF246" s="151">
        <f t="shared" si="20"/>
        <v>0</v>
      </c>
      <c r="CG246" s="75">
        <f t="shared" si="18"/>
        <v>4102</v>
      </c>
      <c r="CH246" s="69" t="str">
        <f t="shared" si="18"/>
        <v>برنامج دولى</v>
      </c>
    </row>
    <row r="247" spans="1:86" ht="18.75" x14ac:dyDescent="0.25">
      <c r="A247" s="148"/>
      <c r="B247" s="82">
        <v>7780</v>
      </c>
      <c r="C247" s="149">
        <v>4103</v>
      </c>
      <c r="D247" s="71" t="s">
        <v>78</v>
      </c>
      <c r="E247" s="69" t="s">
        <v>3185</v>
      </c>
      <c r="F247" s="63"/>
      <c r="G247" s="69">
        <v>1407</v>
      </c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94">
        <f t="shared" si="17"/>
        <v>1407</v>
      </c>
      <c r="AS247" s="69">
        <v>940.35</v>
      </c>
      <c r="AT247" s="69">
        <f>7.65+120</f>
        <v>127.65</v>
      </c>
      <c r="AU247" s="69">
        <v>339</v>
      </c>
      <c r="AV247" s="69"/>
      <c r="AW247" s="69"/>
      <c r="AX247" s="69"/>
      <c r="AY247" s="69"/>
      <c r="AZ247" s="69"/>
      <c r="BA247" s="69"/>
      <c r="BB247" s="69"/>
      <c r="BC247" s="69"/>
      <c r="BD247" s="69"/>
      <c r="BE247" s="69"/>
      <c r="BF247" s="69"/>
      <c r="BG247" s="69"/>
      <c r="BH247" s="69"/>
      <c r="BI247" s="69"/>
      <c r="BJ247" s="69"/>
      <c r="BK247" s="69"/>
      <c r="BL247" s="69"/>
      <c r="BM247" s="69"/>
      <c r="BN247" s="69"/>
      <c r="BO247" s="69"/>
      <c r="BP247" s="69"/>
      <c r="BQ247" s="69"/>
      <c r="BR247" s="69"/>
      <c r="BS247" s="69"/>
      <c r="BT247" s="69"/>
      <c r="BU247" s="69"/>
      <c r="BV247" s="69"/>
      <c r="BW247" s="69"/>
      <c r="BX247" s="69"/>
      <c r="BY247" s="69"/>
      <c r="BZ247" s="69"/>
      <c r="CA247" s="69"/>
      <c r="CB247" s="69"/>
      <c r="CC247" s="69"/>
      <c r="CD247" s="69"/>
      <c r="CE247" s="94">
        <f t="shared" si="19"/>
        <v>1407</v>
      </c>
      <c r="CF247" s="151">
        <f t="shared" si="20"/>
        <v>0</v>
      </c>
      <c r="CG247" s="75">
        <f t="shared" si="18"/>
        <v>4103</v>
      </c>
      <c r="CH247" s="69" t="str">
        <f t="shared" si="18"/>
        <v>برنامج دولى</v>
      </c>
    </row>
    <row r="248" spans="1:86" ht="18.75" x14ac:dyDescent="0.25">
      <c r="A248" s="148"/>
      <c r="B248" s="82">
        <v>7784</v>
      </c>
      <c r="C248" s="149">
        <v>4104</v>
      </c>
      <c r="D248" s="71" t="s">
        <v>128</v>
      </c>
      <c r="E248" s="69" t="s">
        <v>3186</v>
      </c>
      <c r="F248" s="63"/>
      <c r="G248" s="69">
        <v>250</v>
      </c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94">
        <f t="shared" si="17"/>
        <v>250</v>
      </c>
      <c r="AS248" s="69">
        <v>223.8</v>
      </c>
      <c r="AT248" s="69">
        <v>26.2</v>
      </c>
      <c r="AU248" s="69"/>
      <c r="AV248" s="69"/>
      <c r="AW248" s="69"/>
      <c r="AX248" s="69"/>
      <c r="AY248" s="69"/>
      <c r="AZ248" s="69"/>
      <c r="BA248" s="69"/>
      <c r="BB248" s="69"/>
      <c r="BC248" s="69"/>
      <c r="BD248" s="69"/>
      <c r="BE248" s="69"/>
      <c r="BF248" s="69"/>
      <c r="BG248" s="69"/>
      <c r="BH248" s="69"/>
      <c r="BI248" s="69"/>
      <c r="BJ248" s="69"/>
      <c r="BK248" s="69"/>
      <c r="BL248" s="69"/>
      <c r="BM248" s="69"/>
      <c r="BN248" s="69"/>
      <c r="BO248" s="69"/>
      <c r="BP248" s="69"/>
      <c r="BQ248" s="69"/>
      <c r="BR248" s="69"/>
      <c r="BS248" s="69"/>
      <c r="BT248" s="69"/>
      <c r="BU248" s="69"/>
      <c r="BV248" s="69"/>
      <c r="BW248" s="69"/>
      <c r="BX248" s="69"/>
      <c r="BY248" s="69"/>
      <c r="BZ248" s="69"/>
      <c r="CA248" s="69"/>
      <c r="CB248" s="69"/>
      <c r="CC248" s="69"/>
      <c r="CD248" s="69"/>
      <c r="CE248" s="94">
        <f t="shared" si="19"/>
        <v>250</v>
      </c>
      <c r="CF248" s="151">
        <f t="shared" si="20"/>
        <v>0</v>
      </c>
      <c r="CG248" s="75">
        <f t="shared" si="18"/>
        <v>4104</v>
      </c>
      <c r="CH248" s="69" t="str">
        <f t="shared" si="18"/>
        <v>مركز مؤتمرات</v>
      </c>
    </row>
    <row r="249" spans="1:86" ht="18.75" x14ac:dyDescent="0.25">
      <c r="A249" s="148"/>
      <c r="B249" s="82">
        <v>7784</v>
      </c>
      <c r="C249" s="149">
        <v>4105</v>
      </c>
      <c r="D249" s="71" t="s">
        <v>128</v>
      </c>
      <c r="E249" s="69" t="s">
        <v>3186</v>
      </c>
      <c r="F249" s="63"/>
      <c r="G249" s="69">
        <v>1250</v>
      </c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94">
        <f t="shared" si="17"/>
        <v>1250</v>
      </c>
      <c r="AS249" s="69">
        <v>1119</v>
      </c>
      <c r="AT249" s="69">
        <v>131</v>
      </c>
      <c r="AU249" s="69"/>
      <c r="AV249" s="69"/>
      <c r="AW249" s="69"/>
      <c r="AX249" s="69"/>
      <c r="AY249" s="69"/>
      <c r="AZ249" s="69"/>
      <c r="BA249" s="69"/>
      <c r="BB249" s="69"/>
      <c r="BC249" s="69"/>
      <c r="BD249" s="69"/>
      <c r="BE249" s="69"/>
      <c r="BF249" s="69"/>
      <c r="BG249" s="69"/>
      <c r="BH249" s="69"/>
      <c r="BI249" s="69"/>
      <c r="BJ249" s="69"/>
      <c r="BK249" s="69"/>
      <c r="BL249" s="69"/>
      <c r="BM249" s="69"/>
      <c r="BN249" s="69"/>
      <c r="BO249" s="69"/>
      <c r="BP249" s="69"/>
      <c r="BQ249" s="69"/>
      <c r="BR249" s="69"/>
      <c r="BS249" s="69"/>
      <c r="BT249" s="69"/>
      <c r="BU249" s="69"/>
      <c r="BV249" s="69"/>
      <c r="BW249" s="69"/>
      <c r="BX249" s="69"/>
      <c r="BY249" s="69"/>
      <c r="BZ249" s="69"/>
      <c r="CA249" s="69"/>
      <c r="CB249" s="69"/>
      <c r="CC249" s="69"/>
      <c r="CD249" s="69"/>
      <c r="CE249" s="94">
        <f t="shared" si="19"/>
        <v>1250</v>
      </c>
      <c r="CF249" s="151">
        <f t="shared" si="20"/>
        <v>0</v>
      </c>
      <c r="CG249" s="75">
        <f t="shared" si="18"/>
        <v>4105</v>
      </c>
      <c r="CH249" s="69" t="str">
        <f t="shared" si="18"/>
        <v>مركز مؤتمرات</v>
      </c>
    </row>
    <row r="250" spans="1:86" ht="18.75" x14ac:dyDescent="0.25">
      <c r="A250" s="148"/>
      <c r="B250" s="82">
        <v>7789</v>
      </c>
      <c r="C250" s="149">
        <v>4106</v>
      </c>
      <c r="D250" s="71" t="s">
        <v>128</v>
      </c>
      <c r="E250" s="69" t="s">
        <v>3187</v>
      </c>
      <c r="F250" s="63"/>
      <c r="G250" s="69">
        <v>3533.9</v>
      </c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94">
        <f t="shared" ref="AR250:AR313" si="21">SUM(G250:AQ250)</f>
        <v>3533.9</v>
      </c>
      <c r="AS250" s="69">
        <v>3154.72</v>
      </c>
      <c r="AT250" s="69">
        <v>379.18</v>
      </c>
      <c r="AU250" s="69"/>
      <c r="AV250" s="69"/>
      <c r="AW250" s="69"/>
      <c r="AX250" s="69"/>
      <c r="AY250" s="69"/>
      <c r="AZ250" s="69"/>
      <c r="BA250" s="69"/>
      <c r="BB250" s="69"/>
      <c r="BC250" s="69"/>
      <c r="BD250" s="69"/>
      <c r="BE250" s="69"/>
      <c r="BF250" s="69"/>
      <c r="BG250" s="69"/>
      <c r="BH250" s="69"/>
      <c r="BI250" s="69"/>
      <c r="BJ250" s="69"/>
      <c r="BK250" s="69"/>
      <c r="BL250" s="69"/>
      <c r="BM250" s="69"/>
      <c r="BN250" s="69"/>
      <c r="BO250" s="69"/>
      <c r="BP250" s="69"/>
      <c r="BQ250" s="69"/>
      <c r="BR250" s="69"/>
      <c r="BS250" s="69"/>
      <c r="BT250" s="69"/>
      <c r="BU250" s="69"/>
      <c r="BV250" s="69"/>
      <c r="BW250" s="69"/>
      <c r="BX250" s="69"/>
      <c r="BY250" s="69"/>
      <c r="BZ250" s="69"/>
      <c r="CA250" s="69"/>
      <c r="CB250" s="69"/>
      <c r="CC250" s="69"/>
      <c r="CD250" s="69"/>
      <c r="CE250" s="94">
        <f t="shared" si="19"/>
        <v>3533.8999999999996</v>
      </c>
      <c r="CF250" s="151">
        <f t="shared" si="20"/>
        <v>0</v>
      </c>
      <c r="CG250" s="75">
        <f t="shared" si="18"/>
        <v>4106</v>
      </c>
      <c r="CH250" s="69" t="str">
        <f t="shared" si="18"/>
        <v>مركز مؤتمرات</v>
      </c>
    </row>
    <row r="251" spans="1:86" ht="18.75" x14ac:dyDescent="0.25">
      <c r="A251" s="148"/>
      <c r="B251" s="82">
        <v>7934</v>
      </c>
      <c r="C251" s="149">
        <v>4107</v>
      </c>
      <c r="D251" s="71" t="s">
        <v>128</v>
      </c>
      <c r="E251" s="69" t="s">
        <v>3187</v>
      </c>
      <c r="F251" s="63"/>
      <c r="G251" s="69">
        <v>3845.75</v>
      </c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94">
        <f t="shared" si="21"/>
        <v>3845.75</v>
      </c>
      <c r="AS251" s="69">
        <v>3433.02</v>
      </c>
      <c r="AT251" s="69">
        <v>412.73</v>
      </c>
      <c r="AU251" s="69"/>
      <c r="AV251" s="69"/>
      <c r="AW251" s="69"/>
      <c r="AX251" s="69"/>
      <c r="AY251" s="69"/>
      <c r="AZ251" s="69"/>
      <c r="BA251" s="69"/>
      <c r="BB251" s="69"/>
      <c r="BC251" s="69"/>
      <c r="BD251" s="69"/>
      <c r="BE251" s="69"/>
      <c r="BF251" s="69"/>
      <c r="BG251" s="69"/>
      <c r="BH251" s="69"/>
      <c r="BI251" s="69"/>
      <c r="BJ251" s="69"/>
      <c r="BK251" s="69"/>
      <c r="BL251" s="69"/>
      <c r="BM251" s="69"/>
      <c r="BN251" s="69"/>
      <c r="BO251" s="69"/>
      <c r="BP251" s="69"/>
      <c r="BQ251" s="69"/>
      <c r="BR251" s="69"/>
      <c r="BS251" s="69"/>
      <c r="BT251" s="69"/>
      <c r="BU251" s="69"/>
      <c r="BV251" s="69"/>
      <c r="BW251" s="69"/>
      <c r="BX251" s="69"/>
      <c r="BY251" s="69"/>
      <c r="BZ251" s="69"/>
      <c r="CA251" s="69"/>
      <c r="CB251" s="69"/>
      <c r="CC251" s="69"/>
      <c r="CD251" s="69"/>
      <c r="CE251" s="94">
        <f t="shared" si="19"/>
        <v>3845.75</v>
      </c>
      <c r="CF251" s="151">
        <f t="shared" si="20"/>
        <v>0</v>
      </c>
      <c r="CG251" s="75">
        <f t="shared" si="18"/>
        <v>4107</v>
      </c>
      <c r="CH251" s="69" t="str">
        <f t="shared" si="18"/>
        <v>مركز مؤتمرات</v>
      </c>
    </row>
    <row r="252" spans="1:86" ht="18.75" x14ac:dyDescent="0.25">
      <c r="A252" s="148"/>
      <c r="B252" s="82">
        <v>7858</v>
      </c>
      <c r="C252" s="149">
        <v>4108</v>
      </c>
      <c r="D252" s="71" t="s">
        <v>128</v>
      </c>
      <c r="E252" s="69" t="s">
        <v>3187</v>
      </c>
      <c r="F252" s="63"/>
      <c r="G252" s="69">
        <v>2870.8</v>
      </c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94">
        <f t="shared" si="21"/>
        <v>2870.8</v>
      </c>
      <c r="AS252" s="69">
        <v>2542.11</v>
      </c>
      <c r="AT252" s="69">
        <v>306.37</v>
      </c>
      <c r="AU252" s="69">
        <v>22.32</v>
      </c>
      <c r="AV252" s="69"/>
      <c r="AW252" s="69"/>
      <c r="AX252" s="69"/>
      <c r="AY252" s="69"/>
      <c r="AZ252" s="69"/>
      <c r="BA252" s="69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69"/>
      <c r="BO252" s="69"/>
      <c r="BP252" s="69"/>
      <c r="BQ252" s="69"/>
      <c r="BR252" s="69"/>
      <c r="BS252" s="69"/>
      <c r="BT252" s="69"/>
      <c r="BU252" s="69"/>
      <c r="BV252" s="69"/>
      <c r="BW252" s="69"/>
      <c r="BX252" s="69"/>
      <c r="BY252" s="69"/>
      <c r="BZ252" s="69"/>
      <c r="CA252" s="69"/>
      <c r="CB252" s="69"/>
      <c r="CC252" s="69"/>
      <c r="CD252" s="69"/>
      <c r="CE252" s="94">
        <f t="shared" si="19"/>
        <v>2870.8</v>
      </c>
      <c r="CF252" s="151">
        <f t="shared" si="20"/>
        <v>0</v>
      </c>
      <c r="CG252" s="75">
        <f t="shared" si="18"/>
        <v>4108</v>
      </c>
      <c r="CH252" s="69" t="str">
        <f t="shared" si="18"/>
        <v>مركز مؤتمرات</v>
      </c>
    </row>
    <row r="253" spans="1:86" ht="18.75" x14ac:dyDescent="0.25">
      <c r="A253" s="148"/>
      <c r="B253" s="82">
        <v>7857</v>
      </c>
      <c r="C253" s="149">
        <v>4109</v>
      </c>
      <c r="D253" s="71" t="s">
        <v>128</v>
      </c>
      <c r="E253" s="69" t="s">
        <v>3187</v>
      </c>
      <c r="F253" s="63"/>
      <c r="G253" s="69">
        <v>16468.8</v>
      </c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94">
        <f t="shared" si="21"/>
        <v>16468.8</v>
      </c>
      <c r="AS253" s="69">
        <v>13710.04</v>
      </c>
      <c r="AT253" s="69">
        <v>1691.73</v>
      </c>
      <c r="AU253" s="69">
        <v>1067.03</v>
      </c>
      <c r="AV253" s="69"/>
      <c r="AW253" s="69"/>
      <c r="AX253" s="69"/>
      <c r="AY253" s="69"/>
      <c r="AZ253" s="69"/>
      <c r="BA253" s="69"/>
      <c r="BB253" s="69"/>
      <c r="BC253" s="69"/>
      <c r="BD253" s="69"/>
      <c r="BE253" s="69"/>
      <c r="BF253" s="69"/>
      <c r="BG253" s="69"/>
      <c r="BH253" s="69"/>
      <c r="BI253" s="69"/>
      <c r="BJ253" s="69"/>
      <c r="BK253" s="69"/>
      <c r="BL253" s="69"/>
      <c r="BM253" s="69"/>
      <c r="BN253" s="69"/>
      <c r="BO253" s="69"/>
      <c r="BP253" s="69"/>
      <c r="BQ253" s="69"/>
      <c r="BR253" s="69"/>
      <c r="BS253" s="69"/>
      <c r="BT253" s="69"/>
      <c r="BU253" s="69"/>
      <c r="BV253" s="69"/>
      <c r="BW253" s="69"/>
      <c r="BX253" s="69"/>
      <c r="BY253" s="69"/>
      <c r="BZ253" s="69"/>
      <c r="CA253" s="69"/>
      <c r="CB253" s="69"/>
      <c r="CC253" s="69"/>
      <c r="CD253" s="69"/>
      <c r="CE253" s="94">
        <f t="shared" si="19"/>
        <v>16468.8</v>
      </c>
      <c r="CF253" s="151">
        <f t="shared" si="20"/>
        <v>0</v>
      </c>
      <c r="CG253" s="75">
        <f t="shared" si="18"/>
        <v>4109</v>
      </c>
      <c r="CH253" s="69" t="str">
        <f t="shared" si="18"/>
        <v>مركز مؤتمرات</v>
      </c>
    </row>
    <row r="254" spans="1:86" ht="18.75" x14ac:dyDescent="0.25">
      <c r="A254" s="148"/>
      <c r="B254" s="82">
        <v>7785</v>
      </c>
      <c r="C254" s="149">
        <v>4110</v>
      </c>
      <c r="D254" s="71" t="s">
        <v>128</v>
      </c>
      <c r="E254" s="69" t="s">
        <v>3188</v>
      </c>
      <c r="F254" s="63"/>
      <c r="G254" s="69">
        <v>1500</v>
      </c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94">
        <f t="shared" si="21"/>
        <v>1500</v>
      </c>
      <c r="AS254" s="69">
        <v>1339.1</v>
      </c>
      <c r="AT254" s="69">
        <v>160.9</v>
      </c>
      <c r="AU254" s="69"/>
      <c r="AV254" s="69"/>
      <c r="AW254" s="69"/>
      <c r="AX254" s="69"/>
      <c r="AY254" s="69"/>
      <c r="AZ254" s="69"/>
      <c r="BA254" s="69"/>
      <c r="BB254" s="69"/>
      <c r="BC254" s="69"/>
      <c r="BD254" s="69"/>
      <c r="BE254" s="69"/>
      <c r="BF254" s="69"/>
      <c r="BG254" s="69"/>
      <c r="BH254" s="69"/>
      <c r="BI254" s="69"/>
      <c r="BJ254" s="69"/>
      <c r="BK254" s="69"/>
      <c r="BL254" s="69"/>
      <c r="BM254" s="69"/>
      <c r="BN254" s="69"/>
      <c r="BO254" s="69"/>
      <c r="BP254" s="69"/>
      <c r="BQ254" s="69"/>
      <c r="BR254" s="69"/>
      <c r="BS254" s="69"/>
      <c r="BT254" s="69"/>
      <c r="BU254" s="69"/>
      <c r="BV254" s="69"/>
      <c r="BW254" s="69"/>
      <c r="BX254" s="69"/>
      <c r="BY254" s="69"/>
      <c r="BZ254" s="69"/>
      <c r="CA254" s="69"/>
      <c r="CB254" s="69"/>
      <c r="CC254" s="69"/>
      <c r="CD254" s="69"/>
      <c r="CE254" s="94">
        <f t="shared" si="19"/>
        <v>1500</v>
      </c>
      <c r="CF254" s="151">
        <f t="shared" si="20"/>
        <v>0</v>
      </c>
      <c r="CG254" s="75">
        <f t="shared" si="18"/>
        <v>4110</v>
      </c>
      <c r="CH254" s="69" t="str">
        <f t="shared" si="18"/>
        <v>مركز مؤتمرات</v>
      </c>
    </row>
    <row r="255" spans="1:86" ht="18.75" x14ac:dyDescent="0.25">
      <c r="A255" s="148"/>
      <c r="B255" s="82">
        <v>7786</v>
      </c>
      <c r="C255" s="149">
        <v>4111</v>
      </c>
      <c r="D255" s="71" t="s">
        <v>128</v>
      </c>
      <c r="E255" s="69" t="s">
        <v>3188</v>
      </c>
      <c r="F255" s="63"/>
      <c r="G255" s="69">
        <v>3100</v>
      </c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94">
        <f t="shared" si="21"/>
        <v>3100</v>
      </c>
      <c r="AS255" s="69">
        <v>2767.5</v>
      </c>
      <c r="AT255" s="69">
        <v>332.5</v>
      </c>
      <c r="AU255" s="69"/>
      <c r="AV255" s="69"/>
      <c r="AW255" s="69"/>
      <c r="AX255" s="69"/>
      <c r="AY255" s="69"/>
      <c r="AZ255" s="69"/>
      <c r="BA255" s="69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/>
      <c r="BM255" s="69"/>
      <c r="BN255" s="69"/>
      <c r="BO255" s="69"/>
      <c r="BP255" s="69"/>
      <c r="BQ255" s="69"/>
      <c r="BR255" s="69"/>
      <c r="BS255" s="69"/>
      <c r="BT255" s="69"/>
      <c r="BU255" s="69"/>
      <c r="BV255" s="69"/>
      <c r="BW255" s="69"/>
      <c r="BX255" s="69"/>
      <c r="BY255" s="69"/>
      <c r="BZ255" s="69"/>
      <c r="CA255" s="69"/>
      <c r="CB255" s="69"/>
      <c r="CC255" s="69"/>
      <c r="CD255" s="69"/>
      <c r="CE255" s="94">
        <f t="shared" si="19"/>
        <v>3100</v>
      </c>
      <c r="CF255" s="151">
        <f t="shared" si="20"/>
        <v>0</v>
      </c>
      <c r="CG255" s="75">
        <f t="shared" si="18"/>
        <v>4111</v>
      </c>
      <c r="CH255" s="69" t="str">
        <f t="shared" si="18"/>
        <v>مركز مؤتمرات</v>
      </c>
    </row>
    <row r="256" spans="1:86" ht="18.75" x14ac:dyDescent="0.25">
      <c r="A256" s="148"/>
      <c r="B256" s="82">
        <v>7787</v>
      </c>
      <c r="C256" s="149">
        <v>4112</v>
      </c>
      <c r="D256" s="71" t="s">
        <v>128</v>
      </c>
      <c r="E256" s="69" t="s">
        <v>3188</v>
      </c>
      <c r="F256" s="63"/>
      <c r="G256" s="69">
        <v>950</v>
      </c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94">
        <f t="shared" si="21"/>
        <v>950</v>
      </c>
      <c r="AS256" s="69">
        <v>848.7</v>
      </c>
      <c r="AT256" s="69">
        <v>101.3</v>
      </c>
      <c r="AU256" s="69"/>
      <c r="AV256" s="69"/>
      <c r="AW256" s="69"/>
      <c r="AX256" s="69"/>
      <c r="AY256" s="69"/>
      <c r="AZ256" s="69"/>
      <c r="BA256" s="69"/>
      <c r="BB256" s="69"/>
      <c r="BC256" s="69"/>
      <c r="BD256" s="69"/>
      <c r="BE256" s="69"/>
      <c r="BF256" s="69"/>
      <c r="BG256" s="69"/>
      <c r="BH256" s="69"/>
      <c r="BI256" s="69"/>
      <c r="BJ256" s="69"/>
      <c r="BK256" s="69"/>
      <c r="BL256" s="69"/>
      <c r="BM256" s="69"/>
      <c r="BN256" s="69"/>
      <c r="BO256" s="69"/>
      <c r="BP256" s="69"/>
      <c r="BQ256" s="69"/>
      <c r="BR256" s="69"/>
      <c r="BS256" s="69"/>
      <c r="BT256" s="69"/>
      <c r="BU256" s="69"/>
      <c r="BV256" s="69"/>
      <c r="BW256" s="69"/>
      <c r="BX256" s="69"/>
      <c r="BY256" s="69"/>
      <c r="BZ256" s="69"/>
      <c r="CA256" s="69"/>
      <c r="CB256" s="69"/>
      <c r="CC256" s="69"/>
      <c r="CD256" s="69"/>
      <c r="CE256" s="94">
        <f t="shared" si="19"/>
        <v>950</v>
      </c>
      <c r="CF256" s="151">
        <f t="shared" si="20"/>
        <v>0</v>
      </c>
      <c r="CG256" s="75">
        <f t="shared" si="18"/>
        <v>4112</v>
      </c>
      <c r="CH256" s="69" t="str">
        <f t="shared" si="18"/>
        <v>مركز مؤتمرات</v>
      </c>
    </row>
    <row r="257" spans="1:86" ht="18.75" x14ac:dyDescent="0.25">
      <c r="A257" s="148"/>
      <c r="B257" s="82">
        <v>7788</v>
      </c>
      <c r="C257" s="149">
        <v>4113</v>
      </c>
      <c r="D257" s="71" t="s">
        <v>128</v>
      </c>
      <c r="E257" s="69" t="s">
        <v>3188</v>
      </c>
      <c r="F257" s="63"/>
      <c r="G257" s="69">
        <v>17186.7</v>
      </c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94">
        <f t="shared" si="21"/>
        <v>17186.7</v>
      </c>
      <c r="AS257" s="69">
        <v>13917.03</v>
      </c>
      <c r="AT257" s="69">
        <v>1735.65</v>
      </c>
      <c r="AU257" s="69">
        <v>1534.02</v>
      </c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94">
        <f t="shared" si="19"/>
        <v>17186.7</v>
      </c>
      <c r="CF257" s="151">
        <f t="shared" si="20"/>
        <v>0</v>
      </c>
      <c r="CG257" s="75">
        <f t="shared" si="18"/>
        <v>4113</v>
      </c>
      <c r="CH257" s="69" t="str">
        <f t="shared" si="18"/>
        <v>مركز مؤتمرات</v>
      </c>
    </row>
    <row r="258" spans="1:86" ht="18.75" x14ac:dyDescent="0.25">
      <c r="A258" s="148"/>
      <c r="B258" s="82">
        <v>7782</v>
      </c>
      <c r="C258" s="149">
        <v>4114</v>
      </c>
      <c r="D258" s="71" t="s">
        <v>128</v>
      </c>
      <c r="E258" s="69" t="s">
        <v>3189</v>
      </c>
      <c r="F258" s="63"/>
      <c r="G258" s="69">
        <v>4000</v>
      </c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94">
        <f t="shared" si="21"/>
        <v>4000</v>
      </c>
      <c r="AS258" s="69">
        <v>3570.35</v>
      </c>
      <c r="AT258" s="69">
        <v>429.65</v>
      </c>
      <c r="AU258" s="69"/>
      <c r="AV258" s="69"/>
      <c r="AW258" s="69"/>
      <c r="AX258" s="69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69"/>
      <c r="BK258" s="69"/>
      <c r="BL258" s="69"/>
      <c r="BM258" s="69"/>
      <c r="BN258" s="69"/>
      <c r="BO258" s="69"/>
      <c r="BP258" s="69"/>
      <c r="BQ258" s="69"/>
      <c r="BR258" s="69"/>
      <c r="BS258" s="69"/>
      <c r="BT258" s="69"/>
      <c r="BU258" s="69"/>
      <c r="BV258" s="69"/>
      <c r="BW258" s="69"/>
      <c r="BX258" s="69"/>
      <c r="BY258" s="69"/>
      <c r="BZ258" s="69"/>
      <c r="CA258" s="69"/>
      <c r="CB258" s="69"/>
      <c r="CC258" s="69"/>
      <c r="CD258" s="69"/>
      <c r="CE258" s="94">
        <f t="shared" si="19"/>
        <v>4000</v>
      </c>
      <c r="CF258" s="151">
        <f t="shared" si="20"/>
        <v>0</v>
      </c>
      <c r="CG258" s="75">
        <f t="shared" si="18"/>
        <v>4114</v>
      </c>
      <c r="CH258" s="69" t="str">
        <f t="shared" si="18"/>
        <v>مركز مؤتمرات</v>
      </c>
    </row>
    <row r="259" spans="1:86" ht="18.75" x14ac:dyDescent="0.25">
      <c r="A259" s="148"/>
      <c r="B259" s="82">
        <v>7783</v>
      </c>
      <c r="C259" s="149">
        <v>4115</v>
      </c>
      <c r="D259" s="71" t="s">
        <v>128</v>
      </c>
      <c r="E259" s="69" t="s">
        <v>3190</v>
      </c>
      <c r="F259" s="63"/>
      <c r="G259" s="69">
        <v>4000</v>
      </c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94">
        <f t="shared" si="21"/>
        <v>4000</v>
      </c>
      <c r="AS259" s="69">
        <v>3570.35</v>
      </c>
      <c r="AT259" s="69">
        <v>429.65</v>
      </c>
      <c r="AU259" s="69"/>
      <c r="AV259" s="69"/>
      <c r="AW259" s="69"/>
      <c r="AX259" s="69"/>
      <c r="AY259" s="69"/>
      <c r="AZ259" s="69"/>
      <c r="BA259" s="69"/>
      <c r="BB259" s="69"/>
      <c r="BC259" s="69"/>
      <c r="BD259" s="69"/>
      <c r="BE259" s="69"/>
      <c r="BF259" s="69"/>
      <c r="BG259" s="69"/>
      <c r="BH259" s="69"/>
      <c r="BI259" s="69"/>
      <c r="BJ259" s="69"/>
      <c r="BK259" s="69"/>
      <c r="BL259" s="69"/>
      <c r="BM259" s="69"/>
      <c r="BN259" s="69"/>
      <c r="BO259" s="69"/>
      <c r="BP259" s="69"/>
      <c r="BQ259" s="69"/>
      <c r="BR259" s="69"/>
      <c r="BS259" s="69"/>
      <c r="BT259" s="69"/>
      <c r="BU259" s="69"/>
      <c r="BV259" s="69"/>
      <c r="BW259" s="69"/>
      <c r="BX259" s="69"/>
      <c r="BY259" s="69"/>
      <c r="BZ259" s="69"/>
      <c r="CA259" s="69"/>
      <c r="CB259" s="69"/>
      <c r="CC259" s="69"/>
      <c r="CD259" s="69"/>
      <c r="CE259" s="94">
        <f t="shared" si="19"/>
        <v>4000</v>
      </c>
      <c r="CF259" s="151">
        <f t="shared" si="20"/>
        <v>0</v>
      </c>
      <c r="CG259" s="75">
        <f t="shared" si="18"/>
        <v>4115</v>
      </c>
      <c r="CH259" s="69" t="str">
        <f t="shared" si="18"/>
        <v>مركز مؤتمرات</v>
      </c>
    </row>
    <row r="260" spans="1:86" ht="18.75" x14ac:dyDescent="0.25">
      <c r="A260" s="148"/>
      <c r="B260" s="82">
        <v>7723</v>
      </c>
      <c r="C260" s="149">
        <v>4116</v>
      </c>
      <c r="D260" s="71" t="s">
        <v>78</v>
      </c>
      <c r="E260" s="69" t="s">
        <v>3191</v>
      </c>
      <c r="F260" s="63"/>
      <c r="G260" s="69">
        <v>3664.08</v>
      </c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94">
        <f t="shared" si="21"/>
        <v>3664.08</v>
      </c>
      <c r="AS260" s="69">
        <v>2450.6</v>
      </c>
      <c r="AT260" s="69">
        <v>330.65</v>
      </c>
      <c r="AU260" s="69">
        <v>882.83</v>
      </c>
      <c r="AV260" s="69"/>
      <c r="AW260" s="69"/>
      <c r="AX260" s="69"/>
      <c r="AY260" s="69"/>
      <c r="AZ260" s="69"/>
      <c r="BA260" s="69"/>
      <c r="BB260" s="69"/>
      <c r="BC260" s="69"/>
      <c r="BD260" s="69"/>
      <c r="BE260" s="69"/>
      <c r="BF260" s="69"/>
      <c r="BG260" s="69"/>
      <c r="BH260" s="69"/>
      <c r="BI260" s="69"/>
      <c r="BJ260" s="69"/>
      <c r="BK260" s="69"/>
      <c r="BL260" s="69"/>
      <c r="BM260" s="69"/>
      <c r="BN260" s="69"/>
      <c r="BO260" s="69"/>
      <c r="BP260" s="69"/>
      <c r="BQ260" s="69"/>
      <c r="BR260" s="69"/>
      <c r="BS260" s="69"/>
      <c r="BT260" s="69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94">
        <f t="shared" si="19"/>
        <v>3664.08</v>
      </c>
      <c r="CF260" s="151">
        <f t="shared" si="20"/>
        <v>0</v>
      </c>
      <c r="CG260" s="75">
        <f t="shared" si="18"/>
        <v>4116</v>
      </c>
      <c r="CH260" s="69" t="str">
        <f t="shared" si="18"/>
        <v>برنامج دولى</v>
      </c>
    </row>
    <row r="261" spans="1:86" ht="18.75" x14ac:dyDescent="0.25">
      <c r="A261" s="148"/>
      <c r="B261" s="82">
        <v>7724</v>
      </c>
      <c r="C261" s="149">
        <v>4117</v>
      </c>
      <c r="D261" s="71" t="s">
        <v>78</v>
      </c>
      <c r="E261" s="69" t="s">
        <v>3191</v>
      </c>
      <c r="F261" s="63"/>
      <c r="G261" s="69">
        <v>957.55</v>
      </c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94">
        <f t="shared" si="21"/>
        <v>957.55</v>
      </c>
      <c r="AS261" s="69">
        <v>640.41</v>
      </c>
      <c r="AT261" s="69">
        <v>86.42</v>
      </c>
      <c r="AU261" s="69">
        <v>230.72</v>
      </c>
      <c r="AV261" s="69"/>
      <c r="AW261" s="69"/>
      <c r="AX261" s="69"/>
      <c r="AY261" s="69"/>
      <c r="AZ261" s="69"/>
      <c r="BA261" s="69"/>
      <c r="BB261" s="69"/>
      <c r="BC261" s="69"/>
      <c r="BD261" s="69"/>
      <c r="BE261" s="69"/>
      <c r="BF261" s="69"/>
      <c r="BG261" s="69"/>
      <c r="BH261" s="69"/>
      <c r="BI261" s="69"/>
      <c r="BJ261" s="69"/>
      <c r="BK261" s="69"/>
      <c r="BL261" s="69"/>
      <c r="BM261" s="69"/>
      <c r="BN261" s="69"/>
      <c r="BO261" s="69"/>
      <c r="BP261" s="69"/>
      <c r="BQ261" s="69"/>
      <c r="BR261" s="69"/>
      <c r="BS261" s="69"/>
      <c r="BT261" s="69"/>
      <c r="BU261" s="69"/>
      <c r="BV261" s="69"/>
      <c r="BW261" s="69"/>
      <c r="BX261" s="69"/>
      <c r="BY261" s="69"/>
      <c r="BZ261" s="69"/>
      <c r="CA261" s="69"/>
      <c r="CB261" s="69"/>
      <c r="CC261" s="69"/>
      <c r="CD261" s="69"/>
      <c r="CE261" s="94">
        <f t="shared" si="19"/>
        <v>957.55</v>
      </c>
      <c r="CF261" s="151">
        <f t="shared" si="20"/>
        <v>0</v>
      </c>
      <c r="CG261" s="75">
        <f t="shared" si="18"/>
        <v>4117</v>
      </c>
      <c r="CH261" s="69" t="str">
        <f t="shared" si="18"/>
        <v>برنامج دولى</v>
      </c>
    </row>
    <row r="262" spans="1:86" ht="18.75" x14ac:dyDescent="0.25">
      <c r="A262" s="148"/>
      <c r="B262" s="82">
        <v>7725</v>
      </c>
      <c r="C262" s="149">
        <v>4118</v>
      </c>
      <c r="D262" s="71" t="s">
        <v>78</v>
      </c>
      <c r="E262" s="69" t="s">
        <v>3191</v>
      </c>
      <c r="F262" s="63"/>
      <c r="G262" s="69">
        <v>5540.08</v>
      </c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94">
        <f t="shared" si="21"/>
        <v>5540.08</v>
      </c>
      <c r="AS262" s="69">
        <v>3705.3</v>
      </c>
      <c r="AT262" s="69">
        <v>499.95</v>
      </c>
      <c r="AU262" s="69">
        <v>1334.83</v>
      </c>
      <c r="AV262" s="69"/>
      <c r="AW262" s="69"/>
      <c r="AX262" s="69"/>
      <c r="AY262" s="69"/>
      <c r="AZ262" s="69"/>
      <c r="BA262" s="69"/>
      <c r="BB262" s="69"/>
      <c r="BC262" s="69"/>
      <c r="BD262" s="69"/>
      <c r="BE262" s="69"/>
      <c r="BF262" s="69"/>
      <c r="BG262" s="69"/>
      <c r="BH262" s="69"/>
      <c r="BI262" s="69"/>
      <c r="BJ262" s="69"/>
      <c r="BK262" s="69"/>
      <c r="BL262" s="69"/>
      <c r="BM262" s="69"/>
      <c r="BN262" s="69"/>
      <c r="BO262" s="69"/>
      <c r="BP262" s="69"/>
      <c r="BQ262" s="69"/>
      <c r="BR262" s="69"/>
      <c r="BS262" s="69"/>
      <c r="BT262" s="69"/>
      <c r="BU262" s="69"/>
      <c r="BV262" s="69"/>
      <c r="BW262" s="69"/>
      <c r="BX262" s="69"/>
      <c r="BY262" s="69"/>
      <c r="BZ262" s="69"/>
      <c r="CA262" s="69"/>
      <c r="CB262" s="69"/>
      <c r="CC262" s="69"/>
      <c r="CD262" s="69"/>
      <c r="CE262" s="94">
        <f t="shared" si="19"/>
        <v>5540.08</v>
      </c>
      <c r="CF262" s="151">
        <f t="shared" si="20"/>
        <v>0</v>
      </c>
      <c r="CG262" s="75">
        <f t="shared" si="18"/>
        <v>4118</v>
      </c>
      <c r="CH262" s="69" t="str">
        <f t="shared" si="18"/>
        <v>برنامج دولى</v>
      </c>
    </row>
    <row r="263" spans="1:86" ht="18.75" x14ac:dyDescent="0.25">
      <c r="A263" s="148"/>
      <c r="B263" s="82">
        <v>7726</v>
      </c>
      <c r="C263" s="149">
        <v>4119</v>
      </c>
      <c r="D263" s="71" t="s">
        <v>78</v>
      </c>
      <c r="E263" s="69" t="s">
        <v>3191</v>
      </c>
      <c r="F263" s="63"/>
      <c r="G263" s="69">
        <v>1172.5</v>
      </c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94">
        <f t="shared" si="21"/>
        <v>1172.5</v>
      </c>
      <c r="AS263" s="69">
        <v>784.1</v>
      </c>
      <c r="AT263" s="69">
        <v>105.9</v>
      </c>
      <c r="AU263" s="69">
        <v>282.5</v>
      </c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69"/>
      <c r="BK263" s="69"/>
      <c r="BL263" s="69"/>
      <c r="BM263" s="69"/>
      <c r="BN263" s="69"/>
      <c r="BO263" s="69"/>
      <c r="BP263" s="69"/>
      <c r="BQ263" s="69"/>
      <c r="BR263" s="69"/>
      <c r="BS263" s="69"/>
      <c r="BT263" s="69"/>
      <c r="BU263" s="69"/>
      <c r="BV263" s="69"/>
      <c r="BW263" s="69"/>
      <c r="BX263" s="69"/>
      <c r="BY263" s="69"/>
      <c r="BZ263" s="69"/>
      <c r="CA263" s="69"/>
      <c r="CB263" s="69"/>
      <c r="CC263" s="69"/>
      <c r="CD263" s="69"/>
      <c r="CE263" s="94">
        <f t="shared" si="19"/>
        <v>1172.5</v>
      </c>
      <c r="CF263" s="151">
        <f t="shared" si="20"/>
        <v>0</v>
      </c>
      <c r="CG263" s="75">
        <f t="shared" si="18"/>
        <v>4119</v>
      </c>
      <c r="CH263" s="69" t="str">
        <f t="shared" si="18"/>
        <v>برنامج دولى</v>
      </c>
    </row>
    <row r="264" spans="1:86" ht="18.75" x14ac:dyDescent="0.25">
      <c r="A264" s="148"/>
      <c r="B264" s="82">
        <v>7727</v>
      </c>
      <c r="C264" s="149">
        <v>4120</v>
      </c>
      <c r="D264" s="71" t="s">
        <v>78</v>
      </c>
      <c r="E264" s="69" t="s">
        <v>3191</v>
      </c>
      <c r="F264" s="63"/>
      <c r="G264" s="69">
        <v>1025.94</v>
      </c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94">
        <f t="shared" si="21"/>
        <v>1025.94</v>
      </c>
      <c r="AS264" s="69">
        <v>686.15</v>
      </c>
      <c r="AT264" s="69">
        <v>92.6</v>
      </c>
      <c r="AU264" s="69">
        <v>247.19</v>
      </c>
      <c r="AV264" s="69"/>
      <c r="AW264" s="69"/>
      <c r="AX264" s="69"/>
      <c r="AY264" s="69"/>
      <c r="AZ264" s="69"/>
      <c r="BA264" s="69"/>
      <c r="BB264" s="69"/>
      <c r="BC264" s="69"/>
      <c r="BD264" s="69"/>
      <c r="BE264" s="69"/>
      <c r="BF264" s="69"/>
      <c r="BG264" s="69"/>
      <c r="BH264" s="69"/>
      <c r="BI264" s="69"/>
      <c r="BJ264" s="69"/>
      <c r="BK264" s="69"/>
      <c r="BL264" s="69"/>
      <c r="BM264" s="69"/>
      <c r="BN264" s="69"/>
      <c r="BO264" s="69"/>
      <c r="BP264" s="69"/>
      <c r="BQ264" s="69"/>
      <c r="BR264" s="69"/>
      <c r="BS264" s="69"/>
      <c r="BT264" s="69"/>
      <c r="BU264" s="69"/>
      <c r="BV264" s="69"/>
      <c r="BW264" s="69"/>
      <c r="BX264" s="69"/>
      <c r="BY264" s="69"/>
      <c r="BZ264" s="69"/>
      <c r="CA264" s="69"/>
      <c r="CB264" s="69"/>
      <c r="CC264" s="69"/>
      <c r="CD264" s="69"/>
      <c r="CE264" s="94">
        <f t="shared" si="19"/>
        <v>1025.94</v>
      </c>
      <c r="CF264" s="151">
        <f t="shared" si="20"/>
        <v>0</v>
      </c>
      <c r="CG264" s="75">
        <f t="shared" si="18"/>
        <v>4120</v>
      </c>
      <c r="CH264" s="69" t="str">
        <f t="shared" si="18"/>
        <v>برنامج دولى</v>
      </c>
    </row>
    <row r="265" spans="1:86" ht="18.75" x14ac:dyDescent="0.25">
      <c r="A265" s="148"/>
      <c r="B265" s="82">
        <v>7722</v>
      </c>
      <c r="C265" s="149">
        <v>4121</v>
      </c>
      <c r="D265" s="71" t="s">
        <v>78</v>
      </c>
      <c r="E265" s="69" t="s">
        <v>3191</v>
      </c>
      <c r="F265" s="63"/>
      <c r="G265" s="69">
        <v>2198.44</v>
      </c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94">
        <f t="shared" si="21"/>
        <v>2198.44</v>
      </c>
      <c r="AS265" s="69">
        <v>1470.25</v>
      </c>
      <c r="AT265" s="69">
        <v>198.5</v>
      </c>
      <c r="AU265" s="69">
        <v>529.69000000000005</v>
      </c>
      <c r="AV265" s="69"/>
      <c r="AW265" s="69"/>
      <c r="AX265" s="69"/>
      <c r="AY265" s="69"/>
      <c r="AZ265" s="69"/>
      <c r="BA265" s="69"/>
      <c r="BB265" s="69"/>
      <c r="BC265" s="69"/>
      <c r="BD265" s="69"/>
      <c r="BE265" s="69"/>
      <c r="BF265" s="69"/>
      <c r="BG265" s="69"/>
      <c r="BH265" s="69"/>
      <c r="BI265" s="69"/>
      <c r="BJ265" s="69"/>
      <c r="BK265" s="69"/>
      <c r="BL265" s="69"/>
      <c r="BM265" s="69"/>
      <c r="BN265" s="69"/>
      <c r="BO265" s="69"/>
      <c r="BP265" s="69"/>
      <c r="BQ265" s="69"/>
      <c r="BR265" s="69"/>
      <c r="BS265" s="69"/>
      <c r="BT265" s="69"/>
      <c r="BU265" s="69"/>
      <c r="BV265" s="69"/>
      <c r="BW265" s="69"/>
      <c r="BX265" s="69"/>
      <c r="BY265" s="69"/>
      <c r="BZ265" s="69"/>
      <c r="CA265" s="69"/>
      <c r="CB265" s="69"/>
      <c r="CC265" s="69"/>
      <c r="CD265" s="69"/>
      <c r="CE265" s="94">
        <f t="shared" si="19"/>
        <v>2198.44</v>
      </c>
      <c r="CF265" s="151">
        <f t="shared" si="20"/>
        <v>0</v>
      </c>
      <c r="CG265" s="75">
        <f t="shared" si="18"/>
        <v>4121</v>
      </c>
      <c r="CH265" s="69" t="str">
        <f t="shared" si="18"/>
        <v>برنامج دولى</v>
      </c>
    </row>
    <row r="266" spans="1:86" ht="18.75" x14ac:dyDescent="0.25">
      <c r="A266" s="148"/>
      <c r="B266" s="82">
        <v>7721</v>
      </c>
      <c r="C266" s="149">
        <v>4122</v>
      </c>
      <c r="D266" s="71" t="s">
        <v>78</v>
      </c>
      <c r="E266" s="69" t="s">
        <v>3191</v>
      </c>
      <c r="F266" s="63"/>
      <c r="G266" s="69">
        <v>3605.45</v>
      </c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94">
        <f t="shared" si="21"/>
        <v>3605.45</v>
      </c>
      <c r="AS266" s="69">
        <v>2411.4</v>
      </c>
      <c r="AT266" s="69">
        <v>325.35000000000002</v>
      </c>
      <c r="AU266" s="69">
        <v>868.7</v>
      </c>
      <c r="AV266" s="69"/>
      <c r="AW266" s="69"/>
      <c r="AX266" s="69"/>
      <c r="AY266" s="69"/>
      <c r="AZ266" s="69"/>
      <c r="BA266" s="69"/>
      <c r="BB266" s="69"/>
      <c r="BC266" s="69"/>
      <c r="BD266" s="69"/>
      <c r="BE266" s="69"/>
      <c r="BF266" s="69"/>
      <c r="BG266" s="69"/>
      <c r="BH266" s="69"/>
      <c r="BI266" s="69"/>
      <c r="BJ266" s="69"/>
      <c r="BK266" s="69"/>
      <c r="BL266" s="69"/>
      <c r="BM266" s="69"/>
      <c r="BN266" s="69"/>
      <c r="BO266" s="69"/>
      <c r="BP266" s="69"/>
      <c r="BQ266" s="69"/>
      <c r="BR266" s="69"/>
      <c r="BS266" s="69"/>
      <c r="BT266" s="69"/>
      <c r="BU266" s="69"/>
      <c r="BV266" s="69"/>
      <c r="BW266" s="69"/>
      <c r="BX266" s="69"/>
      <c r="BY266" s="69"/>
      <c r="BZ266" s="69"/>
      <c r="CA266" s="69"/>
      <c r="CB266" s="69"/>
      <c r="CC266" s="69"/>
      <c r="CD266" s="69"/>
      <c r="CE266" s="94">
        <f t="shared" si="19"/>
        <v>3605.45</v>
      </c>
      <c r="CF266" s="151">
        <f t="shared" si="20"/>
        <v>0</v>
      </c>
      <c r="CG266" s="75">
        <f t="shared" si="18"/>
        <v>4122</v>
      </c>
      <c r="CH266" s="69" t="str">
        <f t="shared" si="18"/>
        <v>برنامج دولى</v>
      </c>
    </row>
    <row r="267" spans="1:86" ht="18.75" x14ac:dyDescent="0.25">
      <c r="A267" s="148"/>
      <c r="B267" s="82">
        <v>7720</v>
      </c>
      <c r="C267" s="149">
        <v>4123</v>
      </c>
      <c r="D267" s="71" t="s">
        <v>78</v>
      </c>
      <c r="E267" s="69" t="s">
        <v>3191</v>
      </c>
      <c r="F267" s="63"/>
      <c r="G267" s="69">
        <v>5569.4</v>
      </c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94">
        <f t="shared" si="21"/>
        <v>5569.4</v>
      </c>
      <c r="AS267" s="69">
        <v>3724.9</v>
      </c>
      <c r="AT267" s="69">
        <v>502.6</v>
      </c>
      <c r="AU267" s="69">
        <v>1341.9</v>
      </c>
      <c r="AV267" s="69"/>
      <c r="AW267" s="69"/>
      <c r="AX267" s="69"/>
      <c r="AY267" s="69"/>
      <c r="AZ267" s="69"/>
      <c r="BA267" s="69"/>
      <c r="BB267" s="69"/>
      <c r="BC267" s="69"/>
      <c r="BD267" s="69"/>
      <c r="BE267" s="69"/>
      <c r="BF267" s="69"/>
      <c r="BG267" s="69"/>
      <c r="BH267" s="69"/>
      <c r="BI267" s="69"/>
      <c r="BJ267" s="69"/>
      <c r="BK267" s="69"/>
      <c r="BL267" s="69"/>
      <c r="BM267" s="69"/>
      <c r="BN267" s="69"/>
      <c r="BO267" s="69"/>
      <c r="BP267" s="69"/>
      <c r="BQ267" s="69"/>
      <c r="BR267" s="69"/>
      <c r="BS267" s="69"/>
      <c r="BT267" s="69"/>
      <c r="BU267" s="69"/>
      <c r="BV267" s="69"/>
      <c r="BW267" s="69"/>
      <c r="BX267" s="69"/>
      <c r="BY267" s="69"/>
      <c r="BZ267" s="69"/>
      <c r="CA267" s="69"/>
      <c r="CB267" s="69"/>
      <c r="CC267" s="69"/>
      <c r="CD267" s="69"/>
      <c r="CE267" s="94">
        <f t="shared" si="19"/>
        <v>5569.4</v>
      </c>
      <c r="CF267" s="151">
        <f t="shared" si="20"/>
        <v>0</v>
      </c>
      <c r="CG267" s="75">
        <f t="shared" si="18"/>
        <v>4123</v>
      </c>
      <c r="CH267" s="69" t="str">
        <f t="shared" si="18"/>
        <v>برنامج دولى</v>
      </c>
    </row>
    <row r="268" spans="1:86" ht="18.75" x14ac:dyDescent="0.25">
      <c r="A268" s="148"/>
      <c r="B268" s="82">
        <v>7719</v>
      </c>
      <c r="C268" s="149">
        <v>4124</v>
      </c>
      <c r="D268" s="71" t="s">
        <v>78</v>
      </c>
      <c r="E268" s="69" t="s">
        <v>3191</v>
      </c>
      <c r="F268" s="63"/>
      <c r="G268" s="69">
        <v>1025.94</v>
      </c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94">
        <f t="shared" si="21"/>
        <v>1025.94</v>
      </c>
      <c r="AS268" s="69">
        <v>686.15</v>
      </c>
      <c r="AT268" s="69">
        <v>92.6</v>
      </c>
      <c r="AU268" s="69">
        <v>247.19</v>
      </c>
      <c r="AV268" s="69"/>
      <c r="AW268" s="69"/>
      <c r="AX268" s="69"/>
      <c r="AY268" s="69"/>
      <c r="AZ268" s="69"/>
      <c r="BA268" s="69"/>
      <c r="BB268" s="69"/>
      <c r="BC268" s="69"/>
      <c r="BD268" s="69"/>
      <c r="BE268" s="69"/>
      <c r="BF268" s="69"/>
      <c r="BG268" s="69"/>
      <c r="BH268" s="69"/>
      <c r="BI268" s="69"/>
      <c r="BJ268" s="69"/>
      <c r="BK268" s="69"/>
      <c r="BL268" s="69"/>
      <c r="BM268" s="69"/>
      <c r="BN268" s="69"/>
      <c r="BO268" s="69"/>
      <c r="BP268" s="69"/>
      <c r="BQ268" s="69"/>
      <c r="BR268" s="69"/>
      <c r="BS268" s="69"/>
      <c r="BT268" s="69"/>
      <c r="BU268" s="69"/>
      <c r="BV268" s="69"/>
      <c r="BW268" s="69"/>
      <c r="BX268" s="69"/>
      <c r="BY268" s="69"/>
      <c r="BZ268" s="69"/>
      <c r="CA268" s="69"/>
      <c r="CB268" s="69"/>
      <c r="CC268" s="69"/>
      <c r="CD268" s="69"/>
      <c r="CE268" s="94">
        <f t="shared" si="19"/>
        <v>1025.94</v>
      </c>
      <c r="CF268" s="151">
        <f t="shared" si="20"/>
        <v>0</v>
      </c>
      <c r="CG268" s="75">
        <f t="shared" si="18"/>
        <v>4124</v>
      </c>
      <c r="CH268" s="69" t="str">
        <f t="shared" si="18"/>
        <v>برنامج دولى</v>
      </c>
    </row>
    <row r="269" spans="1:86" ht="18.75" x14ac:dyDescent="0.25">
      <c r="A269" s="148"/>
      <c r="B269" s="82">
        <v>7736</v>
      </c>
      <c r="C269" s="149">
        <v>4125</v>
      </c>
      <c r="D269" s="71" t="s">
        <v>78</v>
      </c>
      <c r="E269" s="69" t="s">
        <v>3192</v>
      </c>
      <c r="F269" s="63"/>
      <c r="G269" s="69">
        <v>2931.24</v>
      </c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94">
        <f t="shared" si="21"/>
        <v>2931.24</v>
      </c>
      <c r="AS269" s="69">
        <v>1959</v>
      </c>
      <c r="AT269" s="69">
        <v>266</v>
      </c>
      <c r="AU269" s="69">
        <v>706.24</v>
      </c>
      <c r="AV269" s="69"/>
      <c r="AW269" s="69"/>
      <c r="AX269" s="69"/>
      <c r="AY269" s="69"/>
      <c r="AZ269" s="69"/>
      <c r="BA269" s="69"/>
      <c r="BB269" s="69"/>
      <c r="BC269" s="69"/>
      <c r="BD269" s="69"/>
      <c r="BE269" s="69"/>
      <c r="BF269" s="69"/>
      <c r="BG269" s="69"/>
      <c r="BH269" s="69"/>
      <c r="BI269" s="69"/>
      <c r="BJ269" s="69"/>
      <c r="BK269" s="69"/>
      <c r="BL269" s="69"/>
      <c r="BM269" s="69"/>
      <c r="BN269" s="69"/>
      <c r="BO269" s="69"/>
      <c r="BP269" s="69"/>
      <c r="BQ269" s="69"/>
      <c r="BR269" s="69"/>
      <c r="BS269" s="69"/>
      <c r="BT269" s="69"/>
      <c r="BU269" s="69"/>
      <c r="BV269" s="69"/>
      <c r="BW269" s="69"/>
      <c r="BX269" s="69"/>
      <c r="BY269" s="69"/>
      <c r="BZ269" s="69"/>
      <c r="CA269" s="69"/>
      <c r="CB269" s="69"/>
      <c r="CC269" s="69"/>
      <c r="CD269" s="69"/>
      <c r="CE269" s="94">
        <f t="shared" si="19"/>
        <v>2931.24</v>
      </c>
      <c r="CF269" s="151">
        <f t="shared" si="20"/>
        <v>0</v>
      </c>
      <c r="CG269" s="75">
        <f t="shared" si="18"/>
        <v>4125</v>
      </c>
      <c r="CH269" s="69" t="str">
        <f t="shared" si="18"/>
        <v>برنامج دولى</v>
      </c>
    </row>
    <row r="270" spans="1:86" ht="18.75" x14ac:dyDescent="0.25">
      <c r="A270" s="148"/>
      <c r="B270" s="82">
        <v>7735</v>
      </c>
      <c r="C270" s="149">
        <v>4126</v>
      </c>
      <c r="D270" s="71" t="s">
        <v>78</v>
      </c>
      <c r="E270" s="69" t="s">
        <v>1909</v>
      </c>
      <c r="F270" s="63"/>
      <c r="G270" s="69">
        <v>938</v>
      </c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94">
        <f t="shared" si="21"/>
        <v>938</v>
      </c>
      <c r="AS270" s="69">
        <v>627.35</v>
      </c>
      <c r="AT270" s="69">
        <v>84.65</v>
      </c>
      <c r="AU270" s="69">
        <v>226</v>
      </c>
      <c r="AV270" s="69"/>
      <c r="AW270" s="69"/>
      <c r="AX270" s="69"/>
      <c r="AY270" s="69"/>
      <c r="AZ270" s="69"/>
      <c r="BA270" s="69"/>
      <c r="BB270" s="69"/>
      <c r="BC270" s="69"/>
      <c r="BD270" s="69"/>
      <c r="BE270" s="69"/>
      <c r="BF270" s="69"/>
      <c r="BG270" s="69"/>
      <c r="BH270" s="69"/>
      <c r="BI270" s="69"/>
      <c r="BJ270" s="69"/>
      <c r="BK270" s="69"/>
      <c r="BL270" s="69"/>
      <c r="BM270" s="69"/>
      <c r="BN270" s="69"/>
      <c r="BO270" s="69"/>
      <c r="BP270" s="69"/>
      <c r="BQ270" s="69"/>
      <c r="BR270" s="69"/>
      <c r="BS270" s="69"/>
      <c r="BT270" s="69"/>
      <c r="BU270" s="69"/>
      <c r="BV270" s="69"/>
      <c r="BW270" s="69"/>
      <c r="BX270" s="69"/>
      <c r="BY270" s="69"/>
      <c r="BZ270" s="69"/>
      <c r="CA270" s="69"/>
      <c r="CB270" s="69"/>
      <c r="CC270" s="69"/>
      <c r="CD270" s="69"/>
      <c r="CE270" s="94">
        <f t="shared" si="19"/>
        <v>938</v>
      </c>
      <c r="CF270" s="151">
        <f t="shared" si="20"/>
        <v>0</v>
      </c>
      <c r="CG270" s="75">
        <f t="shared" si="18"/>
        <v>4126</v>
      </c>
      <c r="CH270" s="69" t="str">
        <f t="shared" si="18"/>
        <v>برنامج دولى</v>
      </c>
    </row>
    <row r="271" spans="1:86" ht="18.75" x14ac:dyDescent="0.25">
      <c r="A271" s="148"/>
      <c r="B271" s="82">
        <v>7734</v>
      </c>
      <c r="C271" s="149">
        <v>4127</v>
      </c>
      <c r="D271" s="71" t="s">
        <v>78</v>
      </c>
      <c r="E271" s="69" t="s">
        <v>3193</v>
      </c>
      <c r="F271" s="63"/>
      <c r="G271" s="69">
        <v>820.75</v>
      </c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94">
        <f t="shared" si="21"/>
        <v>820.75</v>
      </c>
      <c r="AS271" s="69">
        <v>548.95000000000005</v>
      </c>
      <c r="AT271" s="69">
        <v>74.05</v>
      </c>
      <c r="AU271" s="69">
        <v>197.75</v>
      </c>
      <c r="AV271" s="69"/>
      <c r="AW271" s="69"/>
      <c r="AX271" s="69"/>
      <c r="AY271" s="69"/>
      <c r="AZ271" s="69"/>
      <c r="BA271" s="69"/>
      <c r="BB271" s="69"/>
      <c r="BC271" s="69"/>
      <c r="BD271" s="69"/>
      <c r="BE271" s="69"/>
      <c r="BF271" s="69"/>
      <c r="BG271" s="69"/>
      <c r="BH271" s="69"/>
      <c r="BI271" s="69"/>
      <c r="BJ271" s="69"/>
      <c r="BK271" s="69"/>
      <c r="BL271" s="69"/>
      <c r="BM271" s="69"/>
      <c r="BN271" s="69"/>
      <c r="BO271" s="69"/>
      <c r="BP271" s="69"/>
      <c r="BQ271" s="69"/>
      <c r="BR271" s="69"/>
      <c r="BS271" s="69"/>
      <c r="BT271" s="69"/>
      <c r="BU271" s="69"/>
      <c r="BV271" s="69"/>
      <c r="BW271" s="69"/>
      <c r="BX271" s="69"/>
      <c r="BY271" s="69"/>
      <c r="BZ271" s="69"/>
      <c r="CA271" s="69"/>
      <c r="CB271" s="69"/>
      <c r="CC271" s="69"/>
      <c r="CD271" s="69"/>
      <c r="CE271" s="94">
        <f t="shared" si="19"/>
        <v>820.75</v>
      </c>
      <c r="CF271" s="151">
        <f t="shared" si="20"/>
        <v>0</v>
      </c>
      <c r="CG271" s="75">
        <f t="shared" si="18"/>
        <v>4127</v>
      </c>
      <c r="CH271" s="69" t="str">
        <f t="shared" si="18"/>
        <v>برنامج دولى</v>
      </c>
    </row>
    <row r="272" spans="1:86" ht="18.75" x14ac:dyDescent="0.25">
      <c r="A272" s="148"/>
      <c r="B272" s="82">
        <v>7733</v>
      </c>
      <c r="C272" s="149">
        <v>4128</v>
      </c>
      <c r="D272" s="71" t="s">
        <v>78</v>
      </c>
      <c r="E272" s="69" t="s">
        <v>3194</v>
      </c>
      <c r="F272" s="63"/>
      <c r="G272" s="69">
        <v>5297.01</v>
      </c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94">
        <f t="shared" si="21"/>
        <v>5297.01</v>
      </c>
      <c r="AS272" s="69">
        <v>3665.33</v>
      </c>
      <c r="AT272" s="69">
        <v>490.2</v>
      </c>
      <c r="AU272" s="69">
        <v>1141.48</v>
      </c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/>
      <c r="BJ272" s="69"/>
      <c r="BK272" s="69"/>
      <c r="BL272" s="69"/>
      <c r="BM272" s="69"/>
      <c r="BN272" s="69"/>
      <c r="BO272" s="69"/>
      <c r="BP272" s="69"/>
      <c r="BQ272" s="69"/>
      <c r="BR272" s="69"/>
      <c r="BS272" s="69"/>
      <c r="BT272" s="69"/>
      <c r="BU272" s="69"/>
      <c r="BV272" s="69"/>
      <c r="BW272" s="69"/>
      <c r="BX272" s="69"/>
      <c r="BY272" s="69"/>
      <c r="BZ272" s="69"/>
      <c r="CA272" s="69"/>
      <c r="CB272" s="69"/>
      <c r="CC272" s="69"/>
      <c r="CD272" s="69"/>
      <c r="CE272" s="94">
        <f t="shared" si="19"/>
        <v>5297.01</v>
      </c>
      <c r="CF272" s="151">
        <f t="shared" si="20"/>
        <v>0</v>
      </c>
      <c r="CG272" s="75">
        <f t="shared" si="18"/>
        <v>4128</v>
      </c>
      <c r="CH272" s="69" t="str">
        <f t="shared" si="18"/>
        <v>برنامج دولى</v>
      </c>
    </row>
    <row r="273" spans="1:86" ht="18.75" x14ac:dyDescent="0.25">
      <c r="A273" s="148"/>
      <c r="B273" s="82">
        <v>7732</v>
      </c>
      <c r="C273" s="149">
        <v>4129</v>
      </c>
      <c r="D273" s="71" t="s">
        <v>78</v>
      </c>
      <c r="E273" s="69" t="s">
        <v>3194</v>
      </c>
      <c r="F273" s="63"/>
      <c r="G273" s="69">
        <v>1407</v>
      </c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94">
        <f t="shared" si="21"/>
        <v>1407</v>
      </c>
      <c r="AS273" s="69">
        <v>941.2</v>
      </c>
      <c r="AT273" s="69">
        <v>126.8</v>
      </c>
      <c r="AU273" s="69">
        <v>339</v>
      </c>
      <c r="AV273" s="69"/>
      <c r="AW273" s="69"/>
      <c r="AX273" s="69"/>
      <c r="AY273" s="69"/>
      <c r="AZ273" s="69"/>
      <c r="BA273" s="69"/>
      <c r="BB273" s="69"/>
      <c r="BC273" s="69"/>
      <c r="BD273" s="69"/>
      <c r="BE273" s="69"/>
      <c r="BF273" s="69"/>
      <c r="BG273" s="69"/>
      <c r="BH273" s="69"/>
      <c r="BI273" s="69"/>
      <c r="BJ273" s="69"/>
      <c r="BK273" s="69"/>
      <c r="BL273" s="69"/>
      <c r="BM273" s="69"/>
      <c r="BN273" s="69"/>
      <c r="BO273" s="69"/>
      <c r="BP273" s="69"/>
      <c r="BQ273" s="69"/>
      <c r="BR273" s="69"/>
      <c r="BS273" s="69"/>
      <c r="BT273" s="69"/>
      <c r="BU273" s="69"/>
      <c r="BV273" s="69"/>
      <c r="BW273" s="69"/>
      <c r="BX273" s="69"/>
      <c r="BY273" s="69"/>
      <c r="BZ273" s="69"/>
      <c r="CA273" s="69"/>
      <c r="CB273" s="69"/>
      <c r="CC273" s="69"/>
      <c r="CD273" s="69"/>
      <c r="CE273" s="94">
        <f t="shared" si="19"/>
        <v>1407</v>
      </c>
      <c r="CF273" s="151">
        <f t="shared" si="20"/>
        <v>0</v>
      </c>
      <c r="CG273" s="75">
        <f t="shared" si="18"/>
        <v>4129</v>
      </c>
      <c r="CH273" s="69" t="str">
        <f t="shared" si="18"/>
        <v>برنامج دولى</v>
      </c>
    </row>
    <row r="274" spans="1:86" ht="18.75" x14ac:dyDescent="0.25">
      <c r="A274" s="148"/>
      <c r="B274" s="82">
        <v>7731</v>
      </c>
      <c r="C274" s="149">
        <v>4130</v>
      </c>
      <c r="D274" s="71" t="s">
        <v>78</v>
      </c>
      <c r="E274" s="69" t="s">
        <v>3194</v>
      </c>
      <c r="F274" s="63"/>
      <c r="G274" s="69">
        <v>1407</v>
      </c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94">
        <f t="shared" si="21"/>
        <v>1407</v>
      </c>
      <c r="AS274" s="69">
        <v>941.2</v>
      </c>
      <c r="AT274" s="69">
        <v>126.8</v>
      </c>
      <c r="AU274" s="69">
        <v>339</v>
      </c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/>
      <c r="BH274" s="69"/>
      <c r="BI274" s="69"/>
      <c r="BJ274" s="69"/>
      <c r="BK274" s="69"/>
      <c r="BL274" s="69"/>
      <c r="BM274" s="69"/>
      <c r="BN274" s="69"/>
      <c r="BO274" s="69"/>
      <c r="BP274" s="69"/>
      <c r="BQ274" s="69"/>
      <c r="BR274" s="69"/>
      <c r="BS274" s="69"/>
      <c r="BT274" s="69"/>
      <c r="BU274" s="69"/>
      <c r="BV274" s="69"/>
      <c r="BW274" s="69"/>
      <c r="BX274" s="69"/>
      <c r="BY274" s="69"/>
      <c r="BZ274" s="69"/>
      <c r="CA274" s="69"/>
      <c r="CB274" s="69"/>
      <c r="CC274" s="69"/>
      <c r="CD274" s="69"/>
      <c r="CE274" s="94">
        <f t="shared" si="19"/>
        <v>1407</v>
      </c>
      <c r="CF274" s="151">
        <f t="shared" si="20"/>
        <v>0</v>
      </c>
      <c r="CG274" s="75">
        <f t="shared" si="18"/>
        <v>4130</v>
      </c>
      <c r="CH274" s="69" t="str">
        <f t="shared" si="18"/>
        <v>برنامج دولى</v>
      </c>
    </row>
    <row r="275" spans="1:86" ht="18.75" x14ac:dyDescent="0.25">
      <c r="A275" s="148"/>
      <c r="B275" s="82">
        <v>7730</v>
      </c>
      <c r="C275" s="149">
        <v>4131</v>
      </c>
      <c r="D275" s="71" t="s">
        <v>78</v>
      </c>
      <c r="E275" s="69" t="s">
        <v>3194</v>
      </c>
      <c r="F275" s="63"/>
      <c r="G275" s="69">
        <v>703.5</v>
      </c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94">
        <f t="shared" si="21"/>
        <v>703.5</v>
      </c>
      <c r="AS275" s="69">
        <v>470.6</v>
      </c>
      <c r="AT275" s="69">
        <v>63.4</v>
      </c>
      <c r="AU275" s="69">
        <v>169.5</v>
      </c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/>
      <c r="BH275" s="69"/>
      <c r="BI275" s="69"/>
      <c r="BJ275" s="69"/>
      <c r="BK275" s="69"/>
      <c r="BL275" s="69"/>
      <c r="BM275" s="69"/>
      <c r="BN275" s="69"/>
      <c r="BO275" s="69"/>
      <c r="BP275" s="69"/>
      <c r="BQ275" s="69"/>
      <c r="BR275" s="69"/>
      <c r="BS275" s="69"/>
      <c r="BT275" s="69"/>
      <c r="BU275" s="69"/>
      <c r="BV275" s="69"/>
      <c r="BW275" s="69"/>
      <c r="BX275" s="69"/>
      <c r="BY275" s="69"/>
      <c r="BZ275" s="69"/>
      <c r="CA275" s="69"/>
      <c r="CB275" s="69"/>
      <c r="CC275" s="69"/>
      <c r="CD275" s="69"/>
      <c r="CE275" s="94">
        <f t="shared" si="19"/>
        <v>703.5</v>
      </c>
      <c r="CF275" s="151">
        <f t="shared" si="20"/>
        <v>0</v>
      </c>
      <c r="CG275" s="75">
        <f t="shared" si="18"/>
        <v>4131</v>
      </c>
      <c r="CH275" s="69" t="str">
        <f t="shared" si="18"/>
        <v>برنامج دولى</v>
      </c>
    </row>
    <row r="276" spans="1:86" ht="18.75" x14ac:dyDescent="0.25">
      <c r="A276" s="148"/>
      <c r="B276" s="82">
        <v>7729</v>
      </c>
      <c r="C276" s="149">
        <v>4132</v>
      </c>
      <c r="D276" s="71" t="s">
        <v>78</v>
      </c>
      <c r="E276" s="69" t="s">
        <v>3195</v>
      </c>
      <c r="F276" s="63"/>
      <c r="G276" s="69">
        <v>1582.88</v>
      </c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94">
        <f t="shared" si="21"/>
        <v>1582.88</v>
      </c>
      <c r="AS276" s="69">
        <v>1059.4000000000001</v>
      </c>
      <c r="AT276" s="69">
        <v>142.1</v>
      </c>
      <c r="AU276" s="69">
        <v>381.38</v>
      </c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/>
      <c r="BJ276" s="69"/>
      <c r="BK276" s="69"/>
      <c r="BL276" s="69"/>
      <c r="BM276" s="69"/>
      <c r="BN276" s="69"/>
      <c r="BO276" s="69"/>
      <c r="BP276" s="69"/>
      <c r="BQ276" s="69"/>
      <c r="BR276" s="69"/>
      <c r="BS276" s="69"/>
      <c r="BT276" s="69"/>
      <c r="BU276" s="69"/>
      <c r="BV276" s="69"/>
      <c r="BW276" s="69"/>
      <c r="BX276" s="69"/>
      <c r="BY276" s="69"/>
      <c r="BZ276" s="69"/>
      <c r="CA276" s="69"/>
      <c r="CB276" s="69"/>
      <c r="CC276" s="69"/>
      <c r="CD276" s="69"/>
      <c r="CE276" s="94">
        <f t="shared" si="19"/>
        <v>1582.88</v>
      </c>
      <c r="CF276" s="151">
        <f t="shared" si="20"/>
        <v>0</v>
      </c>
      <c r="CG276" s="75">
        <f t="shared" si="18"/>
        <v>4132</v>
      </c>
      <c r="CH276" s="69" t="str">
        <f t="shared" si="18"/>
        <v>برنامج دولى</v>
      </c>
    </row>
    <row r="277" spans="1:86" ht="18.75" x14ac:dyDescent="0.25">
      <c r="A277" s="148"/>
      <c r="B277" s="82">
        <v>7728</v>
      </c>
      <c r="C277" s="149">
        <v>4133</v>
      </c>
      <c r="D277" s="71" t="s">
        <v>78</v>
      </c>
      <c r="E277" s="69" t="s">
        <v>3195</v>
      </c>
      <c r="F277" s="63"/>
      <c r="G277" s="69">
        <v>2696.75</v>
      </c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94">
        <f t="shared" si="21"/>
        <v>2696.75</v>
      </c>
      <c r="AS277" s="69">
        <v>1805.55</v>
      </c>
      <c r="AT277" s="69">
        <v>241.45</v>
      </c>
      <c r="AU277" s="69">
        <v>649.75</v>
      </c>
      <c r="AV277" s="69"/>
      <c r="AW277" s="69"/>
      <c r="AX277" s="69"/>
      <c r="AY277" s="69"/>
      <c r="AZ277" s="69"/>
      <c r="BA277" s="69"/>
      <c r="BB277" s="69"/>
      <c r="BC277" s="69"/>
      <c r="BD277" s="69"/>
      <c r="BE277" s="69"/>
      <c r="BF277" s="69"/>
      <c r="BG277" s="69"/>
      <c r="BH277" s="69"/>
      <c r="BI277" s="69"/>
      <c r="BJ277" s="69"/>
      <c r="BK277" s="69"/>
      <c r="BL277" s="69"/>
      <c r="BM277" s="69"/>
      <c r="BN277" s="69"/>
      <c r="BO277" s="69"/>
      <c r="BP277" s="69"/>
      <c r="BQ277" s="69"/>
      <c r="BR277" s="69"/>
      <c r="BS277" s="69"/>
      <c r="BT277" s="69"/>
      <c r="BU277" s="69"/>
      <c r="BV277" s="69"/>
      <c r="BW277" s="69"/>
      <c r="BX277" s="69"/>
      <c r="BY277" s="69"/>
      <c r="BZ277" s="69"/>
      <c r="CA277" s="69"/>
      <c r="CB277" s="69"/>
      <c r="CC277" s="69"/>
      <c r="CD277" s="69"/>
      <c r="CE277" s="94">
        <f t="shared" si="19"/>
        <v>2696.75</v>
      </c>
      <c r="CF277" s="151">
        <f t="shared" si="20"/>
        <v>0</v>
      </c>
      <c r="CG277" s="75">
        <f t="shared" si="18"/>
        <v>4133</v>
      </c>
      <c r="CH277" s="69" t="str">
        <f t="shared" si="18"/>
        <v>برنامج دولى</v>
      </c>
    </row>
    <row r="278" spans="1:86" ht="18.75" x14ac:dyDescent="0.25">
      <c r="A278" s="148"/>
      <c r="B278" s="82">
        <v>7836</v>
      </c>
      <c r="C278" s="149">
        <v>4134</v>
      </c>
      <c r="D278" s="71" t="s">
        <v>78</v>
      </c>
      <c r="E278" s="69" t="s">
        <v>3196</v>
      </c>
      <c r="F278" s="63"/>
      <c r="G278" s="69">
        <v>703.5</v>
      </c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94">
        <f t="shared" si="21"/>
        <v>703.5</v>
      </c>
      <c r="AS278" s="69">
        <v>471.1</v>
      </c>
      <c r="AT278" s="69">
        <v>62.9</v>
      </c>
      <c r="AU278" s="69">
        <v>169.5</v>
      </c>
      <c r="AV278" s="69"/>
      <c r="AW278" s="69"/>
      <c r="AX278" s="69"/>
      <c r="AY278" s="69"/>
      <c r="AZ278" s="69"/>
      <c r="BA278" s="69"/>
      <c r="BB278" s="69"/>
      <c r="BC278" s="69"/>
      <c r="BD278" s="69"/>
      <c r="BE278" s="69"/>
      <c r="BF278" s="69"/>
      <c r="BG278" s="69"/>
      <c r="BH278" s="69"/>
      <c r="BI278" s="69"/>
      <c r="BJ278" s="69"/>
      <c r="BK278" s="69"/>
      <c r="BL278" s="69"/>
      <c r="BM278" s="69"/>
      <c r="BN278" s="69"/>
      <c r="BO278" s="69"/>
      <c r="BP278" s="69"/>
      <c r="BQ278" s="69"/>
      <c r="BR278" s="69"/>
      <c r="BS278" s="69"/>
      <c r="BT278" s="69"/>
      <c r="BU278" s="69"/>
      <c r="BV278" s="69"/>
      <c r="BW278" s="69"/>
      <c r="BX278" s="69"/>
      <c r="BY278" s="69"/>
      <c r="BZ278" s="69"/>
      <c r="CA278" s="69"/>
      <c r="CB278" s="69"/>
      <c r="CC278" s="69"/>
      <c r="CD278" s="69"/>
      <c r="CE278" s="94">
        <f t="shared" si="19"/>
        <v>703.5</v>
      </c>
      <c r="CF278" s="151">
        <f t="shared" si="20"/>
        <v>0</v>
      </c>
      <c r="CG278" s="75">
        <f t="shared" si="18"/>
        <v>4134</v>
      </c>
      <c r="CH278" s="69" t="str">
        <f t="shared" si="18"/>
        <v>برنامج دولى</v>
      </c>
    </row>
    <row r="279" spans="1:86" ht="18.75" x14ac:dyDescent="0.25">
      <c r="A279" s="148"/>
      <c r="B279" s="82">
        <v>7835</v>
      </c>
      <c r="C279" s="149">
        <v>4135</v>
      </c>
      <c r="D279" s="71" t="s">
        <v>78</v>
      </c>
      <c r="E279" s="69" t="s">
        <v>3196</v>
      </c>
      <c r="F279" s="63"/>
      <c r="G279" s="69">
        <v>1055.25</v>
      </c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94">
        <f t="shared" si="21"/>
        <v>1055.25</v>
      </c>
      <c r="AS279" s="69">
        <v>706.65</v>
      </c>
      <c r="AT279" s="69">
        <v>94.35</v>
      </c>
      <c r="AU279" s="69">
        <v>254.25</v>
      </c>
      <c r="AV279" s="69"/>
      <c r="AW279" s="69"/>
      <c r="AX279" s="69"/>
      <c r="AY279" s="69"/>
      <c r="AZ279" s="69"/>
      <c r="BA279" s="69"/>
      <c r="BB279" s="69"/>
      <c r="BC279" s="69"/>
      <c r="BD279" s="69"/>
      <c r="BE279" s="69"/>
      <c r="BF279" s="69"/>
      <c r="BG279" s="69"/>
      <c r="BH279" s="69"/>
      <c r="BI279" s="69"/>
      <c r="BJ279" s="69"/>
      <c r="BK279" s="69"/>
      <c r="BL279" s="69"/>
      <c r="BM279" s="69"/>
      <c r="BN279" s="69"/>
      <c r="BO279" s="69"/>
      <c r="BP279" s="69"/>
      <c r="BQ279" s="69"/>
      <c r="BR279" s="69"/>
      <c r="BS279" s="69"/>
      <c r="BT279" s="69"/>
      <c r="BU279" s="69"/>
      <c r="BV279" s="69"/>
      <c r="BW279" s="69"/>
      <c r="BX279" s="69"/>
      <c r="BY279" s="69"/>
      <c r="BZ279" s="69"/>
      <c r="CA279" s="69"/>
      <c r="CB279" s="69"/>
      <c r="CC279" s="69"/>
      <c r="CD279" s="69"/>
      <c r="CE279" s="94">
        <f t="shared" si="19"/>
        <v>1055.25</v>
      </c>
      <c r="CF279" s="151">
        <f t="shared" si="20"/>
        <v>0</v>
      </c>
      <c r="CG279" s="75">
        <f t="shared" si="18"/>
        <v>4135</v>
      </c>
      <c r="CH279" s="69" t="str">
        <f t="shared" si="18"/>
        <v>برنامج دولى</v>
      </c>
    </row>
    <row r="280" spans="1:86" ht="18.75" x14ac:dyDescent="0.25">
      <c r="A280" s="148"/>
      <c r="B280" s="82">
        <v>7834</v>
      </c>
      <c r="C280" s="149">
        <v>4136</v>
      </c>
      <c r="D280" s="71" t="s">
        <v>78</v>
      </c>
      <c r="E280" s="69" t="s">
        <v>3197</v>
      </c>
      <c r="F280" s="63"/>
      <c r="G280" s="69">
        <v>1289.75</v>
      </c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94">
        <f t="shared" si="21"/>
        <v>1289.75</v>
      </c>
      <c r="AS280" s="69">
        <v>863</v>
      </c>
      <c r="AT280" s="69">
        <v>116</v>
      </c>
      <c r="AU280" s="69">
        <v>310.75</v>
      </c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69"/>
      <c r="BO280" s="69"/>
      <c r="BP280" s="69"/>
      <c r="BQ280" s="69"/>
      <c r="BR280" s="69"/>
      <c r="BS280" s="69"/>
      <c r="BT280" s="69"/>
      <c r="BU280" s="69"/>
      <c r="BV280" s="69"/>
      <c r="BW280" s="69"/>
      <c r="BX280" s="69"/>
      <c r="BY280" s="69"/>
      <c r="BZ280" s="69"/>
      <c r="CA280" s="69"/>
      <c r="CB280" s="69"/>
      <c r="CC280" s="69"/>
      <c r="CD280" s="69"/>
      <c r="CE280" s="94">
        <f t="shared" si="19"/>
        <v>1289.75</v>
      </c>
      <c r="CF280" s="151">
        <f t="shared" si="20"/>
        <v>0</v>
      </c>
      <c r="CG280" s="75">
        <f t="shared" si="18"/>
        <v>4136</v>
      </c>
      <c r="CH280" s="69" t="str">
        <f t="shared" si="18"/>
        <v>برنامج دولى</v>
      </c>
    </row>
    <row r="281" spans="1:86" ht="18.75" x14ac:dyDescent="0.25">
      <c r="A281" s="148"/>
      <c r="B281" s="82">
        <v>7823</v>
      </c>
      <c r="C281" s="149">
        <v>4137</v>
      </c>
      <c r="D281" s="71" t="s">
        <v>78</v>
      </c>
      <c r="E281" s="69" t="s">
        <v>3198</v>
      </c>
      <c r="F281" s="63"/>
      <c r="G281" s="69">
        <v>1000</v>
      </c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94">
        <f t="shared" si="21"/>
        <v>1000</v>
      </c>
      <c r="AS281" s="69">
        <v>893.35</v>
      </c>
      <c r="AT281" s="69">
        <v>106.65</v>
      </c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/>
      <c r="BM281" s="69"/>
      <c r="BN281" s="69"/>
      <c r="BO281" s="69"/>
      <c r="BP281" s="69"/>
      <c r="BQ281" s="69"/>
      <c r="BR281" s="69"/>
      <c r="BS281" s="69"/>
      <c r="BT281" s="69"/>
      <c r="BU281" s="69"/>
      <c r="BV281" s="69"/>
      <c r="BW281" s="69"/>
      <c r="BX281" s="69"/>
      <c r="BY281" s="69"/>
      <c r="BZ281" s="69"/>
      <c r="CA281" s="69"/>
      <c r="CB281" s="69"/>
      <c r="CC281" s="69"/>
      <c r="CD281" s="69"/>
      <c r="CE281" s="94">
        <f t="shared" si="19"/>
        <v>1000</v>
      </c>
      <c r="CF281" s="151">
        <f t="shared" si="20"/>
        <v>0</v>
      </c>
      <c r="CG281" s="75">
        <f t="shared" si="18"/>
        <v>4137</v>
      </c>
      <c r="CH281" s="69" t="str">
        <f t="shared" si="18"/>
        <v>برنامج دولى</v>
      </c>
    </row>
    <row r="282" spans="1:86" ht="18.75" x14ac:dyDescent="0.25">
      <c r="A282" s="148"/>
      <c r="B282" s="82">
        <v>7822</v>
      </c>
      <c r="C282" s="149">
        <v>4138</v>
      </c>
      <c r="D282" s="71" t="s">
        <v>78</v>
      </c>
      <c r="E282" s="69" t="s">
        <v>3198</v>
      </c>
      <c r="F282" s="63"/>
      <c r="G282" s="69">
        <v>1300</v>
      </c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94">
        <f t="shared" si="21"/>
        <v>1300</v>
      </c>
      <c r="AS282" s="69">
        <v>1160.5999999999999</v>
      </c>
      <c r="AT282" s="69">
        <v>139.4</v>
      </c>
      <c r="AU282" s="69"/>
      <c r="AV282" s="69"/>
      <c r="AW282" s="69"/>
      <c r="AX282" s="69"/>
      <c r="AY282" s="69"/>
      <c r="AZ282" s="69"/>
      <c r="BA282" s="69"/>
      <c r="BB282" s="69"/>
      <c r="BC282" s="69"/>
      <c r="BD282" s="69"/>
      <c r="BE282" s="69"/>
      <c r="BF282" s="69"/>
      <c r="BG282" s="69"/>
      <c r="BH282" s="69"/>
      <c r="BI282" s="69"/>
      <c r="BJ282" s="69"/>
      <c r="BK282" s="69"/>
      <c r="BL282" s="69"/>
      <c r="BM282" s="69"/>
      <c r="BN282" s="69"/>
      <c r="BO282" s="69"/>
      <c r="BP282" s="69"/>
      <c r="BQ282" s="69"/>
      <c r="BR282" s="69"/>
      <c r="BS282" s="69"/>
      <c r="BT282" s="69"/>
      <c r="BU282" s="69"/>
      <c r="BV282" s="69"/>
      <c r="BW282" s="69"/>
      <c r="BX282" s="69"/>
      <c r="BY282" s="69"/>
      <c r="BZ282" s="69"/>
      <c r="CA282" s="69"/>
      <c r="CB282" s="69"/>
      <c r="CC282" s="69"/>
      <c r="CD282" s="69"/>
      <c r="CE282" s="94">
        <f t="shared" si="19"/>
        <v>1300</v>
      </c>
      <c r="CF282" s="151">
        <f t="shared" si="20"/>
        <v>0</v>
      </c>
      <c r="CG282" s="75">
        <f t="shared" si="18"/>
        <v>4138</v>
      </c>
      <c r="CH282" s="69" t="str">
        <f t="shared" si="18"/>
        <v>برنامج دولى</v>
      </c>
    </row>
    <row r="283" spans="1:86" ht="18.75" x14ac:dyDescent="0.25">
      <c r="A283" s="148"/>
      <c r="B283" s="82">
        <v>7821</v>
      </c>
      <c r="C283" s="149">
        <v>4139</v>
      </c>
      <c r="D283" s="71" t="s">
        <v>78</v>
      </c>
      <c r="E283" s="69" t="s">
        <v>3198</v>
      </c>
      <c r="F283" s="63"/>
      <c r="G283" s="69">
        <v>1652.73</v>
      </c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94">
        <f t="shared" si="21"/>
        <v>1652.73</v>
      </c>
      <c r="AS283" s="69">
        <v>1242.46</v>
      </c>
      <c r="AT283" s="69">
        <v>160.15</v>
      </c>
      <c r="AU283" s="69">
        <v>250.12</v>
      </c>
      <c r="AV283" s="69"/>
      <c r="AW283" s="69"/>
      <c r="AX283" s="69"/>
      <c r="AY283" s="69"/>
      <c r="AZ283" s="69"/>
      <c r="BA283" s="69"/>
      <c r="BB283" s="69"/>
      <c r="BC283" s="69"/>
      <c r="BD283" s="69"/>
      <c r="BE283" s="69"/>
      <c r="BF283" s="69"/>
      <c r="BG283" s="69"/>
      <c r="BH283" s="69"/>
      <c r="BI283" s="69"/>
      <c r="BJ283" s="69"/>
      <c r="BK283" s="69"/>
      <c r="BL283" s="69"/>
      <c r="BM283" s="69"/>
      <c r="BN283" s="69"/>
      <c r="BO283" s="69"/>
      <c r="BP283" s="69"/>
      <c r="BQ283" s="69"/>
      <c r="BR283" s="69"/>
      <c r="BS283" s="69"/>
      <c r="BT283" s="69"/>
      <c r="BU283" s="69"/>
      <c r="BV283" s="69"/>
      <c r="BW283" s="69"/>
      <c r="BX283" s="69"/>
      <c r="BY283" s="69"/>
      <c r="BZ283" s="69"/>
      <c r="CA283" s="69"/>
      <c r="CB283" s="69"/>
      <c r="CC283" s="69"/>
      <c r="CD283" s="69"/>
      <c r="CE283" s="94">
        <f t="shared" si="19"/>
        <v>1652.73</v>
      </c>
      <c r="CF283" s="151">
        <f t="shared" si="20"/>
        <v>0</v>
      </c>
      <c r="CG283" s="75">
        <f t="shared" ref="CG283:CH346" si="22">+C283</f>
        <v>4139</v>
      </c>
      <c r="CH283" s="69" t="str">
        <f t="shared" si="22"/>
        <v>برنامج دولى</v>
      </c>
    </row>
    <row r="284" spans="1:86" ht="18.75" x14ac:dyDescent="0.25">
      <c r="A284" s="148"/>
      <c r="B284" s="82">
        <v>7820</v>
      </c>
      <c r="C284" s="149">
        <v>4140</v>
      </c>
      <c r="D284" s="71" t="s">
        <v>78</v>
      </c>
      <c r="E284" s="69" t="s">
        <v>3198</v>
      </c>
      <c r="F284" s="63"/>
      <c r="G284" s="69">
        <v>1200</v>
      </c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94">
        <f t="shared" si="21"/>
        <v>1200</v>
      </c>
      <c r="AS284" s="69">
        <v>1071.3499999999999</v>
      </c>
      <c r="AT284" s="69">
        <v>128.65</v>
      </c>
      <c r="AU284" s="69"/>
      <c r="AV284" s="69"/>
      <c r="AW284" s="69"/>
      <c r="AX284" s="69"/>
      <c r="AY284" s="69"/>
      <c r="AZ284" s="69"/>
      <c r="BA284" s="69"/>
      <c r="BB284" s="69"/>
      <c r="BC284" s="69"/>
      <c r="BD284" s="69"/>
      <c r="BE284" s="69"/>
      <c r="BF284" s="69"/>
      <c r="BG284" s="69"/>
      <c r="BH284" s="69"/>
      <c r="BI284" s="69"/>
      <c r="BJ284" s="69"/>
      <c r="BK284" s="69"/>
      <c r="BL284" s="69"/>
      <c r="BM284" s="69"/>
      <c r="BN284" s="69"/>
      <c r="BO284" s="69"/>
      <c r="BP284" s="69"/>
      <c r="BQ284" s="69"/>
      <c r="BR284" s="69"/>
      <c r="BS284" s="69"/>
      <c r="BT284" s="69"/>
      <c r="BU284" s="69"/>
      <c r="BV284" s="69"/>
      <c r="BW284" s="69"/>
      <c r="BX284" s="69"/>
      <c r="BY284" s="69"/>
      <c r="BZ284" s="69"/>
      <c r="CA284" s="69"/>
      <c r="CB284" s="69"/>
      <c r="CC284" s="69"/>
      <c r="CD284" s="69"/>
      <c r="CE284" s="94">
        <f t="shared" si="19"/>
        <v>1200</v>
      </c>
      <c r="CF284" s="151">
        <f t="shared" si="20"/>
        <v>0</v>
      </c>
      <c r="CG284" s="75">
        <f t="shared" si="22"/>
        <v>4140</v>
      </c>
      <c r="CH284" s="69" t="str">
        <f t="shared" si="22"/>
        <v>برنامج دولى</v>
      </c>
    </row>
    <row r="285" spans="1:86" ht="18.75" x14ac:dyDescent="0.25">
      <c r="A285" s="148"/>
      <c r="B285" s="82">
        <v>7818</v>
      </c>
      <c r="C285" s="149">
        <v>4141</v>
      </c>
      <c r="D285" s="71" t="s">
        <v>78</v>
      </c>
      <c r="E285" s="69" t="s">
        <v>3199</v>
      </c>
      <c r="F285" s="63"/>
      <c r="G285" s="69">
        <v>1465.62</v>
      </c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94">
        <f t="shared" si="21"/>
        <v>1465.62</v>
      </c>
      <c r="AS285" s="69">
        <v>979.5</v>
      </c>
      <c r="AT285" s="69">
        <v>133</v>
      </c>
      <c r="AU285" s="69">
        <v>353.12</v>
      </c>
      <c r="AV285" s="69"/>
      <c r="AW285" s="69"/>
      <c r="AX285" s="69"/>
      <c r="AY285" s="69"/>
      <c r="AZ285" s="69"/>
      <c r="BA285" s="69"/>
      <c r="BB285" s="69"/>
      <c r="BC285" s="69"/>
      <c r="BD285" s="69"/>
      <c r="BE285" s="69"/>
      <c r="BF285" s="69"/>
      <c r="BG285" s="69"/>
      <c r="BH285" s="69"/>
      <c r="BI285" s="69"/>
      <c r="BJ285" s="69"/>
      <c r="BK285" s="69"/>
      <c r="BL285" s="69"/>
      <c r="BM285" s="69"/>
      <c r="BN285" s="69"/>
      <c r="BO285" s="69"/>
      <c r="BP285" s="69"/>
      <c r="BQ285" s="69"/>
      <c r="BR285" s="69"/>
      <c r="BS285" s="69"/>
      <c r="BT285" s="69"/>
      <c r="BU285" s="69"/>
      <c r="BV285" s="69"/>
      <c r="BW285" s="69"/>
      <c r="BX285" s="69"/>
      <c r="BY285" s="69"/>
      <c r="BZ285" s="69"/>
      <c r="CA285" s="69"/>
      <c r="CB285" s="69"/>
      <c r="CC285" s="69"/>
      <c r="CD285" s="69"/>
      <c r="CE285" s="94">
        <f t="shared" ref="CE285:CE348" si="23">SUM(AS285:CD285)</f>
        <v>1465.62</v>
      </c>
      <c r="CF285" s="151">
        <f t="shared" ref="CF285:CF348" si="24">+CE285-AR285</f>
        <v>0</v>
      </c>
      <c r="CG285" s="75">
        <f t="shared" si="22"/>
        <v>4141</v>
      </c>
      <c r="CH285" s="69" t="str">
        <f t="shared" si="22"/>
        <v>برنامج دولى</v>
      </c>
    </row>
    <row r="286" spans="1:86" ht="18.75" x14ac:dyDescent="0.25">
      <c r="A286" s="148"/>
      <c r="B286" s="82">
        <v>7817</v>
      </c>
      <c r="C286" s="149">
        <v>4142</v>
      </c>
      <c r="D286" s="71" t="s">
        <v>78</v>
      </c>
      <c r="E286" s="69" t="s">
        <v>3199</v>
      </c>
      <c r="F286" s="63"/>
      <c r="G286" s="69">
        <v>1465.62</v>
      </c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94">
        <f t="shared" si="21"/>
        <v>1465.62</v>
      </c>
      <c r="AS286" s="69">
        <v>979.5</v>
      </c>
      <c r="AT286" s="69">
        <v>133</v>
      </c>
      <c r="AU286" s="69">
        <v>353.12</v>
      </c>
      <c r="AV286" s="69"/>
      <c r="AW286" s="69"/>
      <c r="AX286" s="69"/>
      <c r="AY286" s="69"/>
      <c r="AZ286" s="69"/>
      <c r="BA286" s="69"/>
      <c r="BB286" s="69"/>
      <c r="BC286" s="69"/>
      <c r="BD286" s="69"/>
      <c r="BE286" s="69"/>
      <c r="BF286" s="69"/>
      <c r="BG286" s="69"/>
      <c r="BH286" s="69"/>
      <c r="BI286" s="69"/>
      <c r="BJ286" s="69"/>
      <c r="BK286" s="69"/>
      <c r="BL286" s="69"/>
      <c r="BM286" s="69"/>
      <c r="BN286" s="69"/>
      <c r="BO286" s="69"/>
      <c r="BP286" s="69"/>
      <c r="BQ286" s="69"/>
      <c r="BR286" s="69"/>
      <c r="BS286" s="69"/>
      <c r="BT286" s="69"/>
      <c r="BU286" s="69"/>
      <c r="BV286" s="69"/>
      <c r="BW286" s="69"/>
      <c r="BX286" s="69"/>
      <c r="BY286" s="69"/>
      <c r="BZ286" s="69"/>
      <c r="CA286" s="69"/>
      <c r="CB286" s="69"/>
      <c r="CC286" s="69"/>
      <c r="CD286" s="69"/>
      <c r="CE286" s="94">
        <f t="shared" si="23"/>
        <v>1465.62</v>
      </c>
      <c r="CF286" s="151">
        <f t="shared" si="24"/>
        <v>0</v>
      </c>
      <c r="CG286" s="75">
        <f t="shared" si="22"/>
        <v>4142</v>
      </c>
      <c r="CH286" s="69" t="str">
        <f t="shared" si="22"/>
        <v>برنامج دولى</v>
      </c>
    </row>
    <row r="287" spans="1:86" ht="18.75" x14ac:dyDescent="0.25">
      <c r="A287" s="148"/>
      <c r="B287" s="82">
        <v>7816</v>
      </c>
      <c r="C287" s="149">
        <v>4143</v>
      </c>
      <c r="D287" s="71" t="s">
        <v>78</v>
      </c>
      <c r="E287" s="69" t="s">
        <v>3199</v>
      </c>
      <c r="F287" s="63"/>
      <c r="G287" s="69">
        <v>1465.62</v>
      </c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94">
        <f t="shared" si="21"/>
        <v>1465.62</v>
      </c>
      <c r="AS287" s="69">
        <v>979.5</v>
      </c>
      <c r="AT287" s="69">
        <v>133</v>
      </c>
      <c r="AU287" s="69">
        <v>353.12</v>
      </c>
      <c r="AV287" s="69"/>
      <c r="AW287" s="69"/>
      <c r="AX287" s="69"/>
      <c r="AY287" s="69"/>
      <c r="AZ287" s="69"/>
      <c r="BA287" s="69"/>
      <c r="BB287" s="69"/>
      <c r="BC287" s="69"/>
      <c r="BD287" s="69"/>
      <c r="BE287" s="69"/>
      <c r="BF287" s="69"/>
      <c r="BG287" s="69"/>
      <c r="BH287" s="69"/>
      <c r="BI287" s="69"/>
      <c r="BJ287" s="69"/>
      <c r="BK287" s="69"/>
      <c r="BL287" s="69"/>
      <c r="BM287" s="69"/>
      <c r="BN287" s="69"/>
      <c r="BO287" s="69"/>
      <c r="BP287" s="69"/>
      <c r="BQ287" s="69"/>
      <c r="BR287" s="69"/>
      <c r="BS287" s="69"/>
      <c r="BT287" s="69"/>
      <c r="BU287" s="69"/>
      <c r="BV287" s="69"/>
      <c r="BW287" s="69"/>
      <c r="BX287" s="69"/>
      <c r="BY287" s="69"/>
      <c r="BZ287" s="69"/>
      <c r="CA287" s="69"/>
      <c r="CB287" s="69"/>
      <c r="CC287" s="69"/>
      <c r="CD287" s="69"/>
      <c r="CE287" s="94">
        <f t="shared" si="23"/>
        <v>1465.62</v>
      </c>
      <c r="CF287" s="151">
        <f t="shared" si="24"/>
        <v>0</v>
      </c>
      <c r="CG287" s="75">
        <f t="shared" si="22"/>
        <v>4143</v>
      </c>
      <c r="CH287" s="69" t="str">
        <f t="shared" si="22"/>
        <v>برنامج دولى</v>
      </c>
    </row>
    <row r="288" spans="1:86" ht="18.75" x14ac:dyDescent="0.25">
      <c r="A288" s="148"/>
      <c r="B288" s="82">
        <v>7815</v>
      </c>
      <c r="C288" s="149">
        <v>4144</v>
      </c>
      <c r="D288" s="71" t="s">
        <v>78</v>
      </c>
      <c r="E288" s="69" t="s">
        <v>3200</v>
      </c>
      <c r="F288" s="63"/>
      <c r="G288" s="69">
        <v>950</v>
      </c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94">
        <f t="shared" si="21"/>
        <v>950</v>
      </c>
      <c r="AS288" s="69">
        <v>849.45</v>
      </c>
      <c r="AT288" s="69">
        <v>100.55</v>
      </c>
      <c r="AU288" s="69"/>
      <c r="AV288" s="69"/>
      <c r="AW288" s="69"/>
      <c r="AX288" s="69"/>
      <c r="AY288" s="69"/>
      <c r="AZ288" s="69"/>
      <c r="BA288" s="69"/>
      <c r="BB288" s="69"/>
      <c r="BC288" s="69"/>
      <c r="BD288" s="69"/>
      <c r="BE288" s="69"/>
      <c r="BF288" s="69"/>
      <c r="BG288" s="69"/>
      <c r="BH288" s="69"/>
      <c r="BI288" s="69"/>
      <c r="BJ288" s="69"/>
      <c r="BK288" s="69"/>
      <c r="BL288" s="69"/>
      <c r="BM288" s="69"/>
      <c r="BN288" s="69"/>
      <c r="BO288" s="69"/>
      <c r="BP288" s="69"/>
      <c r="BQ288" s="69"/>
      <c r="BR288" s="69"/>
      <c r="BS288" s="69"/>
      <c r="BT288" s="69"/>
      <c r="BU288" s="69"/>
      <c r="BV288" s="69"/>
      <c r="BW288" s="69"/>
      <c r="BX288" s="69"/>
      <c r="BY288" s="69"/>
      <c r="BZ288" s="69"/>
      <c r="CA288" s="69"/>
      <c r="CB288" s="69"/>
      <c r="CC288" s="69"/>
      <c r="CD288" s="69"/>
      <c r="CE288" s="94">
        <f t="shared" si="23"/>
        <v>950</v>
      </c>
      <c r="CF288" s="151">
        <f t="shared" si="24"/>
        <v>0</v>
      </c>
      <c r="CG288" s="75">
        <f t="shared" si="22"/>
        <v>4144</v>
      </c>
      <c r="CH288" s="69" t="str">
        <f t="shared" si="22"/>
        <v>برنامج دولى</v>
      </c>
    </row>
    <row r="289" spans="1:86" ht="18.75" x14ac:dyDescent="0.25">
      <c r="A289" s="148"/>
      <c r="B289" s="82">
        <v>7814</v>
      </c>
      <c r="C289" s="149">
        <v>4145</v>
      </c>
      <c r="D289" s="71" t="s">
        <v>78</v>
      </c>
      <c r="E289" s="69" t="s">
        <v>3200</v>
      </c>
      <c r="F289" s="63"/>
      <c r="G289" s="69">
        <v>1912.12</v>
      </c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94">
        <f t="shared" si="21"/>
        <v>1912.12</v>
      </c>
      <c r="AS289" s="69">
        <v>1536.55</v>
      </c>
      <c r="AT289" s="69">
        <v>191.95</v>
      </c>
      <c r="AU289" s="69">
        <v>183.62</v>
      </c>
      <c r="AV289" s="69"/>
      <c r="AW289" s="69"/>
      <c r="AX289" s="69"/>
      <c r="AY289" s="69"/>
      <c r="AZ289" s="69"/>
      <c r="BA289" s="69"/>
      <c r="BB289" s="69"/>
      <c r="BC289" s="69"/>
      <c r="BD289" s="69"/>
      <c r="BE289" s="69"/>
      <c r="BF289" s="69"/>
      <c r="BG289" s="69"/>
      <c r="BH289" s="69"/>
      <c r="BI289" s="69"/>
      <c r="BJ289" s="69"/>
      <c r="BK289" s="69"/>
      <c r="BL289" s="69"/>
      <c r="BM289" s="69"/>
      <c r="BN289" s="69"/>
      <c r="BO289" s="69"/>
      <c r="BP289" s="69"/>
      <c r="BQ289" s="69"/>
      <c r="BR289" s="69"/>
      <c r="BS289" s="69"/>
      <c r="BT289" s="69"/>
      <c r="BU289" s="69"/>
      <c r="BV289" s="69"/>
      <c r="BW289" s="69"/>
      <c r="BX289" s="69"/>
      <c r="BY289" s="69"/>
      <c r="BZ289" s="69"/>
      <c r="CA289" s="69"/>
      <c r="CB289" s="69"/>
      <c r="CC289" s="69"/>
      <c r="CD289" s="69"/>
      <c r="CE289" s="94">
        <f t="shared" si="23"/>
        <v>1912.12</v>
      </c>
      <c r="CF289" s="151">
        <f t="shared" si="24"/>
        <v>0</v>
      </c>
      <c r="CG289" s="75">
        <f t="shared" si="22"/>
        <v>4145</v>
      </c>
      <c r="CH289" s="69" t="str">
        <f t="shared" si="22"/>
        <v>برنامج دولى</v>
      </c>
    </row>
    <row r="290" spans="1:86" ht="18.75" x14ac:dyDescent="0.25">
      <c r="A290" s="148"/>
      <c r="B290" s="82">
        <v>7813</v>
      </c>
      <c r="C290" s="149">
        <v>4146</v>
      </c>
      <c r="D290" s="71" t="s">
        <v>78</v>
      </c>
      <c r="E290" s="69" t="s">
        <v>3200</v>
      </c>
      <c r="F290" s="63"/>
      <c r="G290" s="69">
        <v>1400</v>
      </c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94">
        <f t="shared" si="21"/>
        <v>1400</v>
      </c>
      <c r="AS290" s="69">
        <v>1249.8499999999999</v>
      </c>
      <c r="AT290" s="69">
        <v>150.15</v>
      </c>
      <c r="AU290" s="69"/>
      <c r="AV290" s="69"/>
      <c r="AW290" s="69"/>
      <c r="AX290" s="69"/>
      <c r="AY290" s="69"/>
      <c r="AZ290" s="69"/>
      <c r="BA290" s="69"/>
      <c r="BB290" s="69"/>
      <c r="BC290" s="69"/>
      <c r="BD290" s="69"/>
      <c r="BE290" s="69"/>
      <c r="BF290" s="69"/>
      <c r="BG290" s="69"/>
      <c r="BH290" s="69"/>
      <c r="BI290" s="69"/>
      <c r="BJ290" s="69"/>
      <c r="BK290" s="69"/>
      <c r="BL290" s="69"/>
      <c r="BM290" s="69"/>
      <c r="BN290" s="69"/>
      <c r="BO290" s="69"/>
      <c r="BP290" s="69"/>
      <c r="BQ290" s="69"/>
      <c r="BR290" s="69"/>
      <c r="BS290" s="69"/>
      <c r="BT290" s="69"/>
      <c r="BU290" s="69"/>
      <c r="BV290" s="69"/>
      <c r="BW290" s="69"/>
      <c r="BX290" s="69"/>
      <c r="BY290" s="69"/>
      <c r="BZ290" s="69"/>
      <c r="CA290" s="69"/>
      <c r="CB290" s="69"/>
      <c r="CC290" s="69"/>
      <c r="CD290" s="69"/>
      <c r="CE290" s="94">
        <f t="shared" si="23"/>
        <v>1400</v>
      </c>
      <c r="CF290" s="151">
        <f t="shared" si="24"/>
        <v>0</v>
      </c>
      <c r="CG290" s="75">
        <f t="shared" si="22"/>
        <v>4146</v>
      </c>
      <c r="CH290" s="69" t="str">
        <f t="shared" si="22"/>
        <v>برنامج دولى</v>
      </c>
    </row>
    <row r="291" spans="1:86" ht="18.75" x14ac:dyDescent="0.25">
      <c r="A291" s="148"/>
      <c r="B291" s="82">
        <v>7812</v>
      </c>
      <c r="C291" s="149">
        <v>4147</v>
      </c>
      <c r="D291" s="71" t="s">
        <v>78</v>
      </c>
      <c r="E291" s="69" t="s">
        <v>3200</v>
      </c>
      <c r="F291" s="63"/>
      <c r="G291" s="69">
        <v>1200</v>
      </c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94">
        <f t="shared" si="21"/>
        <v>1200</v>
      </c>
      <c r="AS291" s="69">
        <v>1071.3499999999999</v>
      </c>
      <c r="AT291" s="69">
        <v>128.65</v>
      </c>
      <c r="AU291" s="69"/>
      <c r="AV291" s="69"/>
      <c r="AW291" s="69"/>
      <c r="AX291" s="69"/>
      <c r="AY291" s="69"/>
      <c r="AZ291" s="69"/>
      <c r="BA291" s="69"/>
      <c r="BB291" s="69"/>
      <c r="BC291" s="69"/>
      <c r="BD291" s="69"/>
      <c r="BE291" s="69"/>
      <c r="BF291" s="69"/>
      <c r="BG291" s="69"/>
      <c r="BH291" s="69"/>
      <c r="BI291" s="69"/>
      <c r="BJ291" s="69"/>
      <c r="BK291" s="69"/>
      <c r="BL291" s="69"/>
      <c r="BM291" s="69"/>
      <c r="BN291" s="69"/>
      <c r="BO291" s="69"/>
      <c r="BP291" s="69"/>
      <c r="BQ291" s="69"/>
      <c r="BR291" s="69"/>
      <c r="BS291" s="69"/>
      <c r="BT291" s="69"/>
      <c r="BU291" s="69"/>
      <c r="BV291" s="69"/>
      <c r="BW291" s="69"/>
      <c r="BX291" s="69"/>
      <c r="BY291" s="69"/>
      <c r="BZ291" s="69"/>
      <c r="CA291" s="69"/>
      <c r="CB291" s="69"/>
      <c r="CC291" s="69"/>
      <c r="CD291" s="69"/>
      <c r="CE291" s="94">
        <f t="shared" si="23"/>
        <v>1200</v>
      </c>
      <c r="CF291" s="151">
        <f t="shared" si="24"/>
        <v>0</v>
      </c>
      <c r="CG291" s="75">
        <f t="shared" si="22"/>
        <v>4147</v>
      </c>
      <c r="CH291" s="69" t="str">
        <f t="shared" si="22"/>
        <v>برنامج دولى</v>
      </c>
    </row>
    <row r="292" spans="1:86" ht="18.75" x14ac:dyDescent="0.25">
      <c r="A292" s="148"/>
      <c r="B292" s="82">
        <v>7811</v>
      </c>
      <c r="C292" s="149">
        <v>4148</v>
      </c>
      <c r="D292" s="71" t="s">
        <v>78</v>
      </c>
      <c r="E292" s="69" t="s">
        <v>3200</v>
      </c>
      <c r="F292" s="63"/>
      <c r="G292" s="69">
        <v>1751.59</v>
      </c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94">
        <f t="shared" si="21"/>
        <v>1751.59</v>
      </c>
      <c r="AS292" s="69">
        <v>1485.6</v>
      </c>
      <c r="AT292" s="69">
        <v>181.5</v>
      </c>
      <c r="AU292" s="69">
        <v>84.49</v>
      </c>
      <c r="AV292" s="69"/>
      <c r="AW292" s="69"/>
      <c r="AX292" s="69"/>
      <c r="AY292" s="69"/>
      <c r="AZ292" s="69"/>
      <c r="BA292" s="69"/>
      <c r="BB292" s="69"/>
      <c r="BC292" s="69"/>
      <c r="BD292" s="69"/>
      <c r="BE292" s="69"/>
      <c r="BF292" s="69"/>
      <c r="BG292" s="69"/>
      <c r="BH292" s="69"/>
      <c r="BI292" s="69"/>
      <c r="BJ292" s="69"/>
      <c r="BK292" s="69"/>
      <c r="BL292" s="69"/>
      <c r="BM292" s="69"/>
      <c r="BN292" s="69"/>
      <c r="BO292" s="69"/>
      <c r="BP292" s="69"/>
      <c r="BQ292" s="69"/>
      <c r="BR292" s="69"/>
      <c r="BS292" s="69"/>
      <c r="BT292" s="69"/>
      <c r="BU292" s="69"/>
      <c r="BV292" s="69"/>
      <c r="BW292" s="69"/>
      <c r="BX292" s="69"/>
      <c r="BY292" s="69"/>
      <c r="BZ292" s="69"/>
      <c r="CA292" s="69"/>
      <c r="CB292" s="69"/>
      <c r="CC292" s="69"/>
      <c r="CD292" s="69"/>
      <c r="CE292" s="94">
        <f t="shared" si="23"/>
        <v>1751.59</v>
      </c>
      <c r="CF292" s="151">
        <f t="shared" si="24"/>
        <v>0</v>
      </c>
      <c r="CG292" s="75">
        <f t="shared" si="22"/>
        <v>4148</v>
      </c>
      <c r="CH292" s="69" t="str">
        <f t="shared" si="22"/>
        <v>برنامج دولى</v>
      </c>
    </row>
    <row r="293" spans="1:86" ht="18.75" x14ac:dyDescent="0.25">
      <c r="A293" s="148"/>
      <c r="B293" s="82">
        <v>7810</v>
      </c>
      <c r="C293" s="149">
        <v>4149</v>
      </c>
      <c r="D293" s="71" t="s">
        <v>78</v>
      </c>
      <c r="E293" s="69" t="s">
        <v>3201</v>
      </c>
      <c r="F293" s="63"/>
      <c r="G293" s="69">
        <v>1289.75</v>
      </c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94">
        <f t="shared" si="21"/>
        <v>1289.75</v>
      </c>
      <c r="AS293" s="69">
        <v>861.1</v>
      </c>
      <c r="AT293" s="69">
        <f>7.9+110</f>
        <v>117.9</v>
      </c>
      <c r="AU293" s="69">
        <v>310.75</v>
      </c>
      <c r="AV293" s="69"/>
      <c r="AW293" s="69"/>
      <c r="AX293" s="69"/>
      <c r="AY293" s="69"/>
      <c r="AZ293" s="69"/>
      <c r="BA293" s="69"/>
      <c r="BB293" s="69"/>
      <c r="BC293" s="69"/>
      <c r="BD293" s="69"/>
      <c r="BE293" s="69"/>
      <c r="BF293" s="69"/>
      <c r="BG293" s="69"/>
      <c r="BH293" s="69"/>
      <c r="BI293" s="69"/>
      <c r="BJ293" s="69"/>
      <c r="BK293" s="69"/>
      <c r="BL293" s="69"/>
      <c r="BM293" s="69"/>
      <c r="BN293" s="69"/>
      <c r="BO293" s="69"/>
      <c r="BP293" s="69"/>
      <c r="BQ293" s="69"/>
      <c r="BR293" s="69"/>
      <c r="BS293" s="69"/>
      <c r="BT293" s="69"/>
      <c r="BU293" s="69"/>
      <c r="BV293" s="69"/>
      <c r="BW293" s="69"/>
      <c r="BX293" s="69"/>
      <c r="BY293" s="69"/>
      <c r="BZ293" s="69"/>
      <c r="CA293" s="69"/>
      <c r="CB293" s="69"/>
      <c r="CC293" s="69"/>
      <c r="CD293" s="69"/>
      <c r="CE293" s="94">
        <f t="shared" si="23"/>
        <v>1289.75</v>
      </c>
      <c r="CF293" s="151">
        <f t="shared" si="24"/>
        <v>0</v>
      </c>
      <c r="CG293" s="75">
        <f t="shared" si="22"/>
        <v>4149</v>
      </c>
      <c r="CH293" s="69" t="str">
        <f t="shared" si="22"/>
        <v>برنامج دولى</v>
      </c>
    </row>
    <row r="294" spans="1:86" ht="18.75" x14ac:dyDescent="0.25">
      <c r="A294" s="148"/>
      <c r="B294" s="82">
        <v>7809</v>
      </c>
      <c r="C294" s="149">
        <v>4150</v>
      </c>
      <c r="D294" s="71" t="s">
        <v>78</v>
      </c>
      <c r="E294" s="69" t="s">
        <v>3201</v>
      </c>
      <c r="F294" s="63"/>
      <c r="G294" s="69">
        <v>1172.5</v>
      </c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94">
        <f t="shared" si="21"/>
        <v>1172.5</v>
      </c>
      <c r="AS294" s="69">
        <v>784.8</v>
      </c>
      <c r="AT294" s="69">
        <v>105.2</v>
      </c>
      <c r="AU294" s="69">
        <v>282.5</v>
      </c>
      <c r="AV294" s="69"/>
      <c r="AW294" s="69"/>
      <c r="AX294" s="69"/>
      <c r="AY294" s="69"/>
      <c r="AZ294" s="69"/>
      <c r="BA294" s="69"/>
      <c r="BB294" s="69"/>
      <c r="BC294" s="69"/>
      <c r="BD294" s="69"/>
      <c r="BE294" s="69"/>
      <c r="BF294" s="69"/>
      <c r="BG294" s="69"/>
      <c r="BH294" s="69"/>
      <c r="BI294" s="69"/>
      <c r="BJ294" s="69"/>
      <c r="BK294" s="69"/>
      <c r="BL294" s="69"/>
      <c r="BM294" s="69"/>
      <c r="BN294" s="69"/>
      <c r="BO294" s="69"/>
      <c r="BP294" s="69"/>
      <c r="BQ294" s="69"/>
      <c r="BR294" s="69"/>
      <c r="BS294" s="69"/>
      <c r="BT294" s="69"/>
      <c r="BU294" s="69"/>
      <c r="BV294" s="69"/>
      <c r="BW294" s="69"/>
      <c r="BX294" s="69"/>
      <c r="BY294" s="69"/>
      <c r="BZ294" s="69"/>
      <c r="CA294" s="69"/>
      <c r="CB294" s="69"/>
      <c r="CC294" s="69"/>
      <c r="CD294" s="69"/>
      <c r="CE294" s="94">
        <f t="shared" si="23"/>
        <v>1172.5</v>
      </c>
      <c r="CF294" s="151">
        <f t="shared" si="24"/>
        <v>0</v>
      </c>
      <c r="CG294" s="75">
        <f t="shared" si="22"/>
        <v>4150</v>
      </c>
      <c r="CH294" s="69" t="str">
        <f t="shared" si="22"/>
        <v>برنامج دولى</v>
      </c>
    </row>
    <row r="295" spans="1:86" ht="18.75" x14ac:dyDescent="0.25">
      <c r="A295" s="148"/>
      <c r="B295" s="82">
        <v>7808</v>
      </c>
      <c r="C295" s="149">
        <v>4151</v>
      </c>
      <c r="D295" s="71" t="s">
        <v>78</v>
      </c>
      <c r="E295" s="69" t="s">
        <v>3201</v>
      </c>
      <c r="F295" s="63"/>
      <c r="G295" s="69">
        <v>18774.96</v>
      </c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94">
        <f t="shared" si="21"/>
        <v>18774.96</v>
      </c>
      <c r="AS295" s="69">
        <v>12892.2</v>
      </c>
      <c r="AT295" s="69">
        <v>1665.8</v>
      </c>
      <c r="AU295" s="69">
        <v>4216.96</v>
      </c>
      <c r="AV295" s="69"/>
      <c r="AW295" s="69"/>
      <c r="AX295" s="69"/>
      <c r="AY295" s="69"/>
      <c r="AZ295" s="69"/>
      <c r="BA295" s="69"/>
      <c r="BB295" s="69"/>
      <c r="BC295" s="69"/>
      <c r="BD295" s="69"/>
      <c r="BE295" s="69"/>
      <c r="BF295" s="69"/>
      <c r="BG295" s="69"/>
      <c r="BH295" s="69"/>
      <c r="BI295" s="69"/>
      <c r="BJ295" s="69"/>
      <c r="BK295" s="69"/>
      <c r="BL295" s="69"/>
      <c r="BM295" s="69"/>
      <c r="BN295" s="69"/>
      <c r="BO295" s="69"/>
      <c r="BP295" s="69"/>
      <c r="BQ295" s="69"/>
      <c r="BR295" s="69"/>
      <c r="BS295" s="69"/>
      <c r="BT295" s="69"/>
      <c r="BU295" s="69"/>
      <c r="BV295" s="69"/>
      <c r="BW295" s="69"/>
      <c r="BX295" s="69"/>
      <c r="BY295" s="69"/>
      <c r="BZ295" s="69"/>
      <c r="CA295" s="69"/>
      <c r="CB295" s="69"/>
      <c r="CC295" s="69"/>
      <c r="CD295" s="69"/>
      <c r="CE295" s="94">
        <f t="shared" si="23"/>
        <v>18774.96</v>
      </c>
      <c r="CF295" s="151">
        <f t="shared" si="24"/>
        <v>0</v>
      </c>
      <c r="CG295" s="75">
        <f t="shared" si="22"/>
        <v>4151</v>
      </c>
      <c r="CH295" s="69" t="str">
        <f t="shared" si="22"/>
        <v>برنامج دولى</v>
      </c>
    </row>
    <row r="296" spans="1:86" ht="18.75" x14ac:dyDescent="0.25">
      <c r="A296" s="148"/>
      <c r="B296" s="82">
        <v>7807</v>
      </c>
      <c r="C296" s="149">
        <v>4152</v>
      </c>
      <c r="D296" s="71" t="s">
        <v>78</v>
      </c>
      <c r="E296" s="69" t="s">
        <v>3201</v>
      </c>
      <c r="F296" s="63"/>
      <c r="G296" s="69">
        <v>1669</v>
      </c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94">
        <f t="shared" si="21"/>
        <v>1669</v>
      </c>
      <c r="AS296" s="69">
        <v>1385.35</v>
      </c>
      <c r="AT296" s="69">
        <v>170.65</v>
      </c>
      <c r="AU296" s="69">
        <v>113</v>
      </c>
      <c r="AV296" s="69"/>
      <c r="AW296" s="69"/>
      <c r="AX296" s="69"/>
      <c r="AY296" s="69"/>
      <c r="AZ296" s="69"/>
      <c r="BA296" s="69"/>
      <c r="BB296" s="69"/>
      <c r="BC296" s="69"/>
      <c r="BD296" s="69"/>
      <c r="BE296" s="69"/>
      <c r="BF296" s="69"/>
      <c r="BG296" s="69"/>
      <c r="BH296" s="69"/>
      <c r="BI296" s="69"/>
      <c r="BJ296" s="69"/>
      <c r="BK296" s="69"/>
      <c r="BL296" s="69"/>
      <c r="BM296" s="69"/>
      <c r="BN296" s="69"/>
      <c r="BO296" s="69"/>
      <c r="BP296" s="69"/>
      <c r="BQ296" s="69"/>
      <c r="BR296" s="69"/>
      <c r="BS296" s="69"/>
      <c r="BT296" s="69"/>
      <c r="BU296" s="69"/>
      <c r="BV296" s="69"/>
      <c r="BW296" s="69"/>
      <c r="BX296" s="69"/>
      <c r="BY296" s="69"/>
      <c r="BZ296" s="69"/>
      <c r="CA296" s="69"/>
      <c r="CB296" s="69"/>
      <c r="CC296" s="69"/>
      <c r="CD296" s="69"/>
      <c r="CE296" s="94">
        <f t="shared" si="23"/>
        <v>1669</v>
      </c>
      <c r="CF296" s="151">
        <f t="shared" si="24"/>
        <v>0</v>
      </c>
      <c r="CG296" s="75">
        <f t="shared" si="22"/>
        <v>4152</v>
      </c>
      <c r="CH296" s="69" t="str">
        <f t="shared" si="22"/>
        <v>برنامج دولى</v>
      </c>
    </row>
    <row r="297" spans="1:86" ht="18.75" x14ac:dyDescent="0.25">
      <c r="A297" s="148"/>
      <c r="B297" s="82">
        <v>7806</v>
      </c>
      <c r="C297" s="149">
        <v>4153</v>
      </c>
      <c r="D297" s="71" t="s">
        <v>78</v>
      </c>
      <c r="E297" s="69" t="s">
        <v>3201</v>
      </c>
      <c r="F297" s="63"/>
      <c r="G297" s="69">
        <v>26221.18</v>
      </c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94">
        <f t="shared" si="21"/>
        <v>26221.18</v>
      </c>
      <c r="AS297" s="69">
        <v>17891.55</v>
      </c>
      <c r="AT297" s="69">
        <v>2399.3000000000002</v>
      </c>
      <c r="AU297" s="69">
        <v>5930.33</v>
      </c>
      <c r="AV297" s="69"/>
      <c r="AW297" s="69"/>
      <c r="AX297" s="69"/>
      <c r="AY297" s="69"/>
      <c r="AZ297" s="69"/>
      <c r="BA297" s="69"/>
      <c r="BB297" s="69"/>
      <c r="BC297" s="69"/>
      <c r="BD297" s="69"/>
      <c r="BE297" s="69"/>
      <c r="BF297" s="69"/>
      <c r="BG297" s="69"/>
      <c r="BH297" s="69"/>
      <c r="BI297" s="69"/>
      <c r="BJ297" s="69"/>
      <c r="BK297" s="69"/>
      <c r="BL297" s="69"/>
      <c r="BM297" s="69"/>
      <c r="BN297" s="69"/>
      <c r="BO297" s="69"/>
      <c r="BP297" s="69"/>
      <c r="BQ297" s="69"/>
      <c r="BR297" s="69"/>
      <c r="BS297" s="69"/>
      <c r="BT297" s="69"/>
      <c r="BU297" s="69"/>
      <c r="BV297" s="69"/>
      <c r="BW297" s="69"/>
      <c r="BX297" s="69"/>
      <c r="BY297" s="69"/>
      <c r="BZ297" s="69"/>
      <c r="CA297" s="69"/>
      <c r="CB297" s="69"/>
      <c r="CC297" s="69"/>
      <c r="CD297" s="69"/>
      <c r="CE297" s="94">
        <f t="shared" si="23"/>
        <v>26221.18</v>
      </c>
      <c r="CF297" s="151">
        <f t="shared" si="24"/>
        <v>0</v>
      </c>
      <c r="CG297" s="75">
        <f t="shared" si="22"/>
        <v>4153</v>
      </c>
      <c r="CH297" s="69" t="str">
        <f t="shared" si="22"/>
        <v>برنامج دولى</v>
      </c>
    </row>
    <row r="298" spans="1:86" ht="18.75" x14ac:dyDescent="0.25">
      <c r="A298" s="148"/>
      <c r="B298" s="82">
        <v>7805</v>
      </c>
      <c r="C298" s="149">
        <v>4154</v>
      </c>
      <c r="D298" s="71" t="s">
        <v>78</v>
      </c>
      <c r="E298" s="69" t="s">
        <v>3202</v>
      </c>
      <c r="F298" s="63"/>
      <c r="G298" s="69">
        <v>1172.5</v>
      </c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94">
        <f t="shared" si="21"/>
        <v>1172.5</v>
      </c>
      <c r="AS298" s="69">
        <v>782.85</v>
      </c>
      <c r="AT298" s="69">
        <f>7.15+100</f>
        <v>107.15</v>
      </c>
      <c r="AU298" s="69">
        <v>282.5</v>
      </c>
      <c r="AV298" s="69"/>
      <c r="AW298" s="69"/>
      <c r="AX298" s="69"/>
      <c r="AY298" s="69"/>
      <c r="AZ298" s="69"/>
      <c r="BA298" s="69"/>
      <c r="BB298" s="69"/>
      <c r="BC298" s="69"/>
      <c r="BD298" s="69"/>
      <c r="BE298" s="69"/>
      <c r="BF298" s="69"/>
      <c r="BG298" s="69"/>
      <c r="BH298" s="69"/>
      <c r="BI298" s="69"/>
      <c r="BJ298" s="69"/>
      <c r="BK298" s="69"/>
      <c r="BL298" s="69"/>
      <c r="BM298" s="69"/>
      <c r="BN298" s="69"/>
      <c r="BO298" s="69"/>
      <c r="BP298" s="69"/>
      <c r="BQ298" s="69"/>
      <c r="BR298" s="69"/>
      <c r="BS298" s="69"/>
      <c r="BT298" s="69"/>
      <c r="BU298" s="69"/>
      <c r="BV298" s="69"/>
      <c r="BW298" s="69"/>
      <c r="BX298" s="69"/>
      <c r="BY298" s="69"/>
      <c r="BZ298" s="69"/>
      <c r="CA298" s="69"/>
      <c r="CB298" s="69"/>
      <c r="CC298" s="69"/>
      <c r="CD298" s="69"/>
      <c r="CE298" s="94">
        <f t="shared" si="23"/>
        <v>1172.5</v>
      </c>
      <c r="CF298" s="151">
        <f t="shared" si="24"/>
        <v>0</v>
      </c>
      <c r="CG298" s="75">
        <f t="shared" si="22"/>
        <v>4154</v>
      </c>
      <c r="CH298" s="69" t="str">
        <f t="shared" si="22"/>
        <v>برنامج دولى</v>
      </c>
    </row>
    <row r="299" spans="1:86" ht="18.75" x14ac:dyDescent="0.25">
      <c r="A299" s="148"/>
      <c r="B299" s="82">
        <v>7804</v>
      </c>
      <c r="C299" s="149">
        <v>4155</v>
      </c>
      <c r="D299" s="71" t="s">
        <v>78</v>
      </c>
      <c r="E299" s="69" t="s">
        <v>3202</v>
      </c>
      <c r="F299" s="63"/>
      <c r="G299" s="69">
        <v>1000</v>
      </c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94">
        <f t="shared" si="21"/>
        <v>1000</v>
      </c>
      <c r="AS299" s="69">
        <v>893.35</v>
      </c>
      <c r="AT299" s="69">
        <v>106.65</v>
      </c>
      <c r="AU299" s="69"/>
      <c r="AV299" s="69"/>
      <c r="AW299" s="69"/>
      <c r="AX299" s="69"/>
      <c r="AY299" s="69"/>
      <c r="AZ299" s="69"/>
      <c r="BA299" s="69"/>
      <c r="BB299" s="69"/>
      <c r="BC299" s="69"/>
      <c r="BD299" s="69"/>
      <c r="BE299" s="69"/>
      <c r="BF299" s="69"/>
      <c r="BG299" s="69"/>
      <c r="BH299" s="69"/>
      <c r="BI299" s="69"/>
      <c r="BJ299" s="69"/>
      <c r="BK299" s="69"/>
      <c r="BL299" s="69"/>
      <c r="BM299" s="69"/>
      <c r="BN299" s="69"/>
      <c r="BO299" s="69"/>
      <c r="BP299" s="69"/>
      <c r="BQ299" s="69"/>
      <c r="BR299" s="69"/>
      <c r="BS299" s="69"/>
      <c r="BT299" s="69"/>
      <c r="BU299" s="69"/>
      <c r="BV299" s="69"/>
      <c r="BW299" s="69"/>
      <c r="BX299" s="69"/>
      <c r="BY299" s="69"/>
      <c r="BZ299" s="69"/>
      <c r="CA299" s="69"/>
      <c r="CB299" s="69"/>
      <c r="CC299" s="69"/>
      <c r="CD299" s="69"/>
      <c r="CE299" s="94">
        <f t="shared" si="23"/>
        <v>1000</v>
      </c>
      <c r="CF299" s="151">
        <f t="shared" si="24"/>
        <v>0</v>
      </c>
      <c r="CG299" s="75">
        <f t="shared" si="22"/>
        <v>4155</v>
      </c>
      <c r="CH299" s="69" t="str">
        <f t="shared" si="22"/>
        <v>برنامج دولى</v>
      </c>
    </row>
    <row r="300" spans="1:86" ht="18.75" x14ac:dyDescent="0.25">
      <c r="A300" s="148"/>
      <c r="B300" s="82">
        <v>7803</v>
      </c>
      <c r="C300" s="149">
        <v>4156</v>
      </c>
      <c r="D300" s="71" t="s">
        <v>78</v>
      </c>
      <c r="E300" s="69" t="s">
        <v>3202</v>
      </c>
      <c r="F300" s="63"/>
      <c r="G300" s="69">
        <v>1055.24</v>
      </c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94">
        <f t="shared" si="21"/>
        <v>1055.24</v>
      </c>
      <c r="AS300" s="69">
        <v>706.4</v>
      </c>
      <c r="AT300" s="69">
        <v>94.6</v>
      </c>
      <c r="AU300" s="69">
        <v>254.24</v>
      </c>
      <c r="AV300" s="69"/>
      <c r="AW300" s="69"/>
      <c r="AX300" s="69"/>
      <c r="AY300" s="69"/>
      <c r="AZ300" s="69"/>
      <c r="BA300" s="69"/>
      <c r="BB300" s="69"/>
      <c r="BC300" s="69"/>
      <c r="BD300" s="69"/>
      <c r="BE300" s="69"/>
      <c r="BF300" s="69"/>
      <c r="BG300" s="69"/>
      <c r="BH300" s="69"/>
      <c r="BI300" s="69"/>
      <c r="BJ300" s="69"/>
      <c r="BK300" s="69"/>
      <c r="BL300" s="69"/>
      <c r="BM300" s="69"/>
      <c r="BN300" s="69"/>
      <c r="BO300" s="69"/>
      <c r="BP300" s="69"/>
      <c r="BQ300" s="69"/>
      <c r="BR300" s="69"/>
      <c r="BS300" s="69"/>
      <c r="BT300" s="69"/>
      <c r="BU300" s="69"/>
      <c r="BV300" s="69"/>
      <c r="BW300" s="69"/>
      <c r="BX300" s="69"/>
      <c r="BY300" s="69"/>
      <c r="BZ300" s="69"/>
      <c r="CA300" s="69"/>
      <c r="CB300" s="69"/>
      <c r="CC300" s="69"/>
      <c r="CD300" s="69"/>
      <c r="CE300" s="94">
        <f t="shared" si="23"/>
        <v>1055.24</v>
      </c>
      <c r="CF300" s="151">
        <f t="shared" si="24"/>
        <v>0</v>
      </c>
      <c r="CG300" s="75">
        <f t="shared" si="22"/>
        <v>4156</v>
      </c>
      <c r="CH300" s="69" t="str">
        <f t="shared" si="22"/>
        <v>برنامج دولى</v>
      </c>
    </row>
    <row r="301" spans="1:86" ht="18.75" x14ac:dyDescent="0.25">
      <c r="A301" s="148"/>
      <c r="B301" s="82">
        <v>7802</v>
      </c>
      <c r="C301" s="149">
        <v>4157</v>
      </c>
      <c r="D301" s="71" t="s">
        <v>78</v>
      </c>
      <c r="E301" s="69" t="s">
        <v>3202</v>
      </c>
      <c r="F301" s="63"/>
      <c r="G301" s="69">
        <v>16817.88</v>
      </c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94">
        <f t="shared" si="21"/>
        <v>16817.88</v>
      </c>
      <c r="AS301" s="69">
        <v>11916.84</v>
      </c>
      <c r="AT301" s="69">
        <v>1514.5</v>
      </c>
      <c r="AU301" s="69">
        <v>3386.54</v>
      </c>
      <c r="AV301" s="69"/>
      <c r="AW301" s="69"/>
      <c r="AX301" s="69"/>
      <c r="AY301" s="69"/>
      <c r="AZ301" s="69"/>
      <c r="BA301" s="69"/>
      <c r="BB301" s="69"/>
      <c r="BC301" s="69"/>
      <c r="BD301" s="69"/>
      <c r="BE301" s="69"/>
      <c r="BF301" s="69"/>
      <c r="BG301" s="69"/>
      <c r="BH301" s="69"/>
      <c r="BI301" s="69"/>
      <c r="BJ301" s="69"/>
      <c r="BK301" s="69"/>
      <c r="BL301" s="69"/>
      <c r="BM301" s="69"/>
      <c r="BN301" s="69"/>
      <c r="BO301" s="69"/>
      <c r="BP301" s="69"/>
      <c r="BQ301" s="69"/>
      <c r="BR301" s="69"/>
      <c r="BS301" s="69"/>
      <c r="BT301" s="69"/>
      <c r="BU301" s="69"/>
      <c r="BV301" s="69"/>
      <c r="BW301" s="69"/>
      <c r="BX301" s="69"/>
      <c r="BY301" s="69"/>
      <c r="BZ301" s="69"/>
      <c r="CA301" s="69"/>
      <c r="CB301" s="69"/>
      <c r="CC301" s="69"/>
      <c r="CD301" s="69"/>
      <c r="CE301" s="94">
        <f t="shared" si="23"/>
        <v>16817.88</v>
      </c>
      <c r="CF301" s="151">
        <f t="shared" si="24"/>
        <v>0</v>
      </c>
      <c r="CG301" s="75">
        <f t="shared" si="22"/>
        <v>4157</v>
      </c>
      <c r="CH301" s="69" t="str">
        <f t="shared" si="22"/>
        <v>برنامج دولى</v>
      </c>
    </row>
    <row r="302" spans="1:86" ht="18.75" x14ac:dyDescent="0.25">
      <c r="A302" s="148"/>
      <c r="B302" s="82">
        <v>7801</v>
      </c>
      <c r="C302" s="149">
        <v>4158</v>
      </c>
      <c r="D302" s="71" t="s">
        <v>78</v>
      </c>
      <c r="E302" s="69" t="s">
        <v>3202</v>
      </c>
      <c r="F302" s="63"/>
      <c r="G302" s="69">
        <v>1510.38</v>
      </c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94">
        <f t="shared" si="21"/>
        <v>1510.38</v>
      </c>
      <c r="AS302" s="69">
        <v>1256.9000000000001</v>
      </c>
      <c r="AT302" s="69">
        <v>154.6</v>
      </c>
      <c r="AU302" s="69">
        <v>98.88</v>
      </c>
      <c r="AV302" s="69"/>
      <c r="AW302" s="69"/>
      <c r="AX302" s="69"/>
      <c r="AY302" s="69"/>
      <c r="AZ302" s="69"/>
      <c r="BA302" s="69"/>
      <c r="BB302" s="69"/>
      <c r="BC302" s="69"/>
      <c r="BD302" s="69"/>
      <c r="BE302" s="69"/>
      <c r="BF302" s="69"/>
      <c r="BG302" s="69"/>
      <c r="BH302" s="69"/>
      <c r="BI302" s="69"/>
      <c r="BJ302" s="69"/>
      <c r="BK302" s="69"/>
      <c r="BL302" s="69"/>
      <c r="BM302" s="69"/>
      <c r="BN302" s="69"/>
      <c r="BO302" s="69"/>
      <c r="BP302" s="69"/>
      <c r="BQ302" s="69"/>
      <c r="BR302" s="69"/>
      <c r="BS302" s="69"/>
      <c r="BT302" s="69"/>
      <c r="BU302" s="69"/>
      <c r="BV302" s="69"/>
      <c r="BW302" s="69"/>
      <c r="BX302" s="69"/>
      <c r="BY302" s="69"/>
      <c r="BZ302" s="69"/>
      <c r="CA302" s="69"/>
      <c r="CB302" s="69"/>
      <c r="CC302" s="69"/>
      <c r="CD302" s="69"/>
      <c r="CE302" s="94">
        <f t="shared" si="23"/>
        <v>1510.38</v>
      </c>
      <c r="CF302" s="151">
        <f t="shared" si="24"/>
        <v>0</v>
      </c>
      <c r="CG302" s="75">
        <f t="shared" si="22"/>
        <v>4158</v>
      </c>
      <c r="CH302" s="69" t="str">
        <f t="shared" si="22"/>
        <v>برنامج دولى</v>
      </c>
    </row>
    <row r="303" spans="1:86" ht="18.75" x14ac:dyDescent="0.25">
      <c r="A303" s="148"/>
      <c r="B303" s="82">
        <v>7800</v>
      </c>
      <c r="C303" s="149">
        <v>4159</v>
      </c>
      <c r="D303" s="71" t="s">
        <v>78</v>
      </c>
      <c r="E303" s="69" t="s">
        <v>3202</v>
      </c>
      <c r="F303" s="63"/>
      <c r="G303" s="69">
        <v>23901.360000000001</v>
      </c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94">
        <f t="shared" si="21"/>
        <v>23901.360000000001</v>
      </c>
      <c r="AS303" s="69">
        <v>16314.53</v>
      </c>
      <c r="AT303" s="69">
        <v>2180.25</v>
      </c>
      <c r="AU303" s="69">
        <v>5406.58</v>
      </c>
      <c r="AV303" s="69"/>
      <c r="AW303" s="69"/>
      <c r="AX303" s="69"/>
      <c r="AY303" s="69"/>
      <c r="AZ303" s="69"/>
      <c r="BA303" s="69"/>
      <c r="BB303" s="69"/>
      <c r="BC303" s="69"/>
      <c r="BD303" s="69"/>
      <c r="BE303" s="69"/>
      <c r="BF303" s="69"/>
      <c r="BG303" s="69"/>
      <c r="BH303" s="69"/>
      <c r="BI303" s="69"/>
      <c r="BJ303" s="69"/>
      <c r="BK303" s="69"/>
      <c r="BL303" s="69"/>
      <c r="BM303" s="69"/>
      <c r="BN303" s="69"/>
      <c r="BO303" s="69"/>
      <c r="BP303" s="69"/>
      <c r="BQ303" s="69"/>
      <c r="BR303" s="69"/>
      <c r="BS303" s="69"/>
      <c r="BT303" s="69"/>
      <c r="BU303" s="69"/>
      <c r="BV303" s="69"/>
      <c r="BW303" s="69"/>
      <c r="BX303" s="69"/>
      <c r="BY303" s="69"/>
      <c r="BZ303" s="69"/>
      <c r="CA303" s="69"/>
      <c r="CB303" s="69"/>
      <c r="CC303" s="69"/>
      <c r="CD303" s="69"/>
      <c r="CE303" s="94">
        <f t="shared" si="23"/>
        <v>23901.360000000001</v>
      </c>
      <c r="CF303" s="151">
        <f t="shared" si="24"/>
        <v>0</v>
      </c>
      <c r="CG303" s="75">
        <f t="shared" si="22"/>
        <v>4159</v>
      </c>
      <c r="CH303" s="69" t="str">
        <f t="shared" si="22"/>
        <v>برنامج دولى</v>
      </c>
    </row>
    <row r="304" spans="1:86" ht="18.75" x14ac:dyDescent="0.25">
      <c r="A304" s="148"/>
      <c r="B304" s="82">
        <v>7799</v>
      </c>
      <c r="C304" s="149">
        <v>4160</v>
      </c>
      <c r="D304" s="71" t="s">
        <v>78</v>
      </c>
      <c r="E304" s="69" t="s">
        <v>3203</v>
      </c>
      <c r="F304" s="63"/>
      <c r="G304" s="69">
        <v>3910.29</v>
      </c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94">
        <f t="shared" si="21"/>
        <v>3910.29</v>
      </c>
      <c r="AS304" s="69">
        <v>2615.15</v>
      </c>
      <c r="AT304" s="69">
        <f>19.5+333.5</f>
        <v>353</v>
      </c>
      <c r="AU304" s="69">
        <v>942.14</v>
      </c>
      <c r="AV304" s="69"/>
      <c r="AW304" s="69"/>
      <c r="AX304" s="69"/>
      <c r="AY304" s="69"/>
      <c r="AZ304" s="69"/>
      <c r="BA304" s="69"/>
      <c r="BB304" s="69"/>
      <c r="BC304" s="69"/>
      <c r="BD304" s="69"/>
      <c r="BE304" s="69"/>
      <c r="BF304" s="69"/>
      <c r="BG304" s="69"/>
      <c r="BH304" s="69"/>
      <c r="BI304" s="69"/>
      <c r="BJ304" s="69"/>
      <c r="BK304" s="69"/>
      <c r="BL304" s="69"/>
      <c r="BM304" s="69"/>
      <c r="BN304" s="69"/>
      <c r="BO304" s="69"/>
      <c r="BP304" s="69"/>
      <c r="BQ304" s="69"/>
      <c r="BR304" s="69"/>
      <c r="BS304" s="69"/>
      <c r="BT304" s="69"/>
      <c r="BU304" s="69"/>
      <c r="BV304" s="69"/>
      <c r="BW304" s="69"/>
      <c r="BX304" s="69"/>
      <c r="BY304" s="69"/>
      <c r="BZ304" s="69"/>
      <c r="CA304" s="69"/>
      <c r="CB304" s="69"/>
      <c r="CC304" s="69"/>
      <c r="CD304" s="69"/>
      <c r="CE304" s="94">
        <f t="shared" si="23"/>
        <v>3910.29</v>
      </c>
      <c r="CF304" s="151">
        <f t="shared" si="24"/>
        <v>0</v>
      </c>
      <c r="CG304" s="75">
        <f t="shared" si="22"/>
        <v>4160</v>
      </c>
      <c r="CH304" s="69" t="str">
        <f t="shared" si="22"/>
        <v>برنامج دولى</v>
      </c>
    </row>
    <row r="305" spans="1:86" ht="18.75" x14ac:dyDescent="0.25">
      <c r="A305" s="148"/>
      <c r="B305" s="82">
        <v>7798</v>
      </c>
      <c r="C305" s="149">
        <v>4161</v>
      </c>
      <c r="D305" s="71" t="s">
        <v>78</v>
      </c>
      <c r="E305" s="69" t="s">
        <v>3203</v>
      </c>
      <c r="F305" s="63"/>
      <c r="G305" s="69">
        <v>703.5</v>
      </c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94">
        <f t="shared" si="21"/>
        <v>703.5</v>
      </c>
      <c r="AS305" s="69">
        <v>470.6</v>
      </c>
      <c r="AT305" s="69">
        <v>63.4</v>
      </c>
      <c r="AU305" s="69">
        <v>169.5</v>
      </c>
      <c r="AV305" s="69"/>
      <c r="AW305" s="69"/>
      <c r="AX305" s="69"/>
      <c r="AY305" s="69"/>
      <c r="AZ305" s="69"/>
      <c r="BA305" s="69"/>
      <c r="BB305" s="69"/>
      <c r="BC305" s="69"/>
      <c r="BD305" s="69"/>
      <c r="BE305" s="69"/>
      <c r="BF305" s="69"/>
      <c r="BG305" s="69"/>
      <c r="BH305" s="69"/>
      <c r="BI305" s="69"/>
      <c r="BJ305" s="69"/>
      <c r="BK305" s="69"/>
      <c r="BL305" s="69"/>
      <c r="BM305" s="69"/>
      <c r="BN305" s="69"/>
      <c r="BO305" s="69"/>
      <c r="BP305" s="69"/>
      <c r="BQ305" s="69"/>
      <c r="BR305" s="69"/>
      <c r="BS305" s="69"/>
      <c r="BT305" s="69"/>
      <c r="BU305" s="69"/>
      <c r="BV305" s="69"/>
      <c r="BW305" s="69"/>
      <c r="BX305" s="69"/>
      <c r="BY305" s="69"/>
      <c r="BZ305" s="69"/>
      <c r="CA305" s="69"/>
      <c r="CB305" s="69"/>
      <c r="CC305" s="69"/>
      <c r="CD305" s="69"/>
      <c r="CE305" s="94">
        <f t="shared" si="23"/>
        <v>703.5</v>
      </c>
      <c r="CF305" s="151">
        <f t="shared" si="24"/>
        <v>0</v>
      </c>
      <c r="CG305" s="75">
        <f t="shared" si="22"/>
        <v>4161</v>
      </c>
      <c r="CH305" s="69" t="str">
        <f t="shared" si="22"/>
        <v>برنامج دولى</v>
      </c>
    </row>
    <row r="306" spans="1:86" ht="18.75" x14ac:dyDescent="0.25">
      <c r="A306" s="148"/>
      <c r="B306" s="82">
        <v>7797</v>
      </c>
      <c r="C306" s="149">
        <v>4162</v>
      </c>
      <c r="D306" s="71" t="s">
        <v>78</v>
      </c>
      <c r="E306" s="69" t="s">
        <v>3203</v>
      </c>
      <c r="F306" s="63"/>
      <c r="G306" s="69">
        <v>381.06</v>
      </c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94">
        <f t="shared" si="21"/>
        <v>381.06</v>
      </c>
      <c r="AS306" s="69">
        <v>255.15</v>
      </c>
      <c r="AT306" s="69">
        <v>34.1</v>
      </c>
      <c r="AU306" s="69">
        <v>91.81</v>
      </c>
      <c r="AV306" s="69"/>
      <c r="AW306" s="69"/>
      <c r="AX306" s="69"/>
      <c r="AY306" s="69"/>
      <c r="AZ306" s="69"/>
      <c r="BA306" s="69"/>
      <c r="BB306" s="69"/>
      <c r="BC306" s="69"/>
      <c r="BD306" s="69"/>
      <c r="BE306" s="69"/>
      <c r="BF306" s="69"/>
      <c r="BG306" s="69"/>
      <c r="BH306" s="69"/>
      <c r="BI306" s="69"/>
      <c r="BJ306" s="69"/>
      <c r="BK306" s="69"/>
      <c r="BL306" s="69"/>
      <c r="BM306" s="69"/>
      <c r="BN306" s="69"/>
      <c r="BO306" s="69"/>
      <c r="BP306" s="69"/>
      <c r="BQ306" s="69"/>
      <c r="BR306" s="69"/>
      <c r="BS306" s="69"/>
      <c r="BT306" s="69"/>
      <c r="BU306" s="69"/>
      <c r="BV306" s="69"/>
      <c r="BW306" s="69"/>
      <c r="BX306" s="69"/>
      <c r="BY306" s="69"/>
      <c r="BZ306" s="69"/>
      <c r="CA306" s="69"/>
      <c r="CB306" s="69"/>
      <c r="CC306" s="69"/>
      <c r="CD306" s="69"/>
      <c r="CE306" s="94">
        <f t="shared" si="23"/>
        <v>381.06</v>
      </c>
      <c r="CF306" s="151">
        <f t="shared" si="24"/>
        <v>0</v>
      </c>
      <c r="CG306" s="75">
        <f t="shared" si="22"/>
        <v>4162</v>
      </c>
      <c r="CH306" s="69" t="str">
        <f t="shared" si="22"/>
        <v>برنامج دولى</v>
      </c>
    </row>
    <row r="307" spans="1:86" ht="18.75" x14ac:dyDescent="0.25">
      <c r="A307" s="148"/>
      <c r="B307" s="82">
        <v>7796</v>
      </c>
      <c r="C307" s="149">
        <v>4163</v>
      </c>
      <c r="D307" s="71" t="s">
        <v>78</v>
      </c>
      <c r="E307" s="69" t="s">
        <v>3203</v>
      </c>
      <c r="F307" s="63"/>
      <c r="G307" s="69">
        <v>850.06</v>
      </c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94">
        <f t="shared" si="21"/>
        <v>850.06</v>
      </c>
      <c r="AS307" s="69">
        <v>568.54999999999995</v>
      </c>
      <c r="AT307" s="69">
        <v>76.7</v>
      </c>
      <c r="AU307" s="69">
        <v>204.81</v>
      </c>
      <c r="AV307" s="69"/>
      <c r="AW307" s="69"/>
      <c r="AX307" s="69"/>
      <c r="AY307" s="69"/>
      <c r="AZ307" s="69"/>
      <c r="BA307" s="69"/>
      <c r="BB307" s="69"/>
      <c r="BC307" s="69"/>
      <c r="BD307" s="69"/>
      <c r="BE307" s="69"/>
      <c r="BF307" s="69"/>
      <c r="BG307" s="69"/>
      <c r="BH307" s="69"/>
      <c r="BI307" s="69"/>
      <c r="BJ307" s="69"/>
      <c r="BK307" s="69"/>
      <c r="BL307" s="69"/>
      <c r="BM307" s="69"/>
      <c r="BN307" s="69"/>
      <c r="BO307" s="69"/>
      <c r="BP307" s="69"/>
      <c r="BQ307" s="69"/>
      <c r="BR307" s="69"/>
      <c r="BS307" s="69"/>
      <c r="BT307" s="69"/>
      <c r="BU307" s="69"/>
      <c r="BV307" s="69"/>
      <c r="BW307" s="69"/>
      <c r="BX307" s="69"/>
      <c r="BY307" s="69"/>
      <c r="BZ307" s="69"/>
      <c r="CA307" s="69"/>
      <c r="CB307" s="69"/>
      <c r="CC307" s="69"/>
      <c r="CD307" s="69"/>
      <c r="CE307" s="94">
        <f t="shared" si="23"/>
        <v>850.06</v>
      </c>
      <c r="CF307" s="151">
        <f t="shared" si="24"/>
        <v>0</v>
      </c>
      <c r="CG307" s="75">
        <f t="shared" si="22"/>
        <v>4163</v>
      </c>
      <c r="CH307" s="69" t="str">
        <f t="shared" si="22"/>
        <v>برنامج دولى</v>
      </c>
    </row>
    <row r="308" spans="1:86" ht="18.75" x14ac:dyDescent="0.25">
      <c r="A308" s="148"/>
      <c r="B308" s="82">
        <v>7795</v>
      </c>
      <c r="C308" s="149">
        <v>4164</v>
      </c>
      <c r="D308" s="71" t="s">
        <v>78</v>
      </c>
      <c r="E308" s="69" t="s">
        <v>3203</v>
      </c>
      <c r="F308" s="63"/>
      <c r="G308" s="69">
        <v>1350</v>
      </c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94">
        <f t="shared" si="21"/>
        <v>1350</v>
      </c>
      <c r="AS308" s="69">
        <v>1205.25</v>
      </c>
      <c r="AT308" s="69">
        <v>144.75</v>
      </c>
      <c r="AU308" s="69"/>
      <c r="AV308" s="69"/>
      <c r="AW308" s="69"/>
      <c r="AX308" s="69"/>
      <c r="AY308" s="69"/>
      <c r="AZ308" s="69"/>
      <c r="BA308" s="69"/>
      <c r="BB308" s="69"/>
      <c r="BC308" s="69"/>
      <c r="BD308" s="69"/>
      <c r="BE308" s="69"/>
      <c r="BF308" s="69"/>
      <c r="BG308" s="69"/>
      <c r="BH308" s="69"/>
      <c r="BI308" s="69"/>
      <c r="BJ308" s="69"/>
      <c r="BK308" s="69"/>
      <c r="BL308" s="69"/>
      <c r="BM308" s="69"/>
      <c r="BN308" s="69"/>
      <c r="BO308" s="69"/>
      <c r="BP308" s="69"/>
      <c r="BQ308" s="69"/>
      <c r="BR308" s="69"/>
      <c r="BS308" s="69"/>
      <c r="BT308" s="69"/>
      <c r="BU308" s="69"/>
      <c r="BV308" s="69"/>
      <c r="BW308" s="69"/>
      <c r="BX308" s="69"/>
      <c r="BY308" s="69"/>
      <c r="BZ308" s="69"/>
      <c r="CA308" s="69"/>
      <c r="CB308" s="69"/>
      <c r="CC308" s="69"/>
      <c r="CD308" s="69"/>
      <c r="CE308" s="94">
        <f t="shared" si="23"/>
        <v>1350</v>
      </c>
      <c r="CF308" s="151">
        <f t="shared" si="24"/>
        <v>0</v>
      </c>
      <c r="CG308" s="75">
        <f t="shared" si="22"/>
        <v>4164</v>
      </c>
      <c r="CH308" s="69" t="str">
        <f t="shared" si="22"/>
        <v>برنامج دولى</v>
      </c>
    </row>
    <row r="309" spans="1:86" ht="18.75" x14ac:dyDescent="0.25">
      <c r="A309" s="148"/>
      <c r="B309" s="82">
        <v>7793</v>
      </c>
      <c r="C309" s="149">
        <v>4165</v>
      </c>
      <c r="D309" s="71" t="s">
        <v>78</v>
      </c>
      <c r="E309" s="69" t="s">
        <v>3203</v>
      </c>
      <c r="F309" s="63"/>
      <c r="G309" s="69">
        <v>1043.52</v>
      </c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94">
        <f t="shared" si="21"/>
        <v>1043.52</v>
      </c>
      <c r="AS309" s="69">
        <v>698.7</v>
      </c>
      <c r="AT309" s="69">
        <v>93.4</v>
      </c>
      <c r="AU309" s="69">
        <v>251.42</v>
      </c>
      <c r="AV309" s="69"/>
      <c r="AW309" s="69"/>
      <c r="AX309" s="69"/>
      <c r="AY309" s="69"/>
      <c r="AZ309" s="69"/>
      <c r="BA309" s="69"/>
      <c r="BB309" s="69"/>
      <c r="BC309" s="69"/>
      <c r="BD309" s="69"/>
      <c r="BE309" s="69"/>
      <c r="BF309" s="69"/>
      <c r="BG309" s="69"/>
      <c r="BH309" s="69"/>
      <c r="BI309" s="69"/>
      <c r="BJ309" s="69"/>
      <c r="BK309" s="69"/>
      <c r="BL309" s="69"/>
      <c r="BM309" s="69"/>
      <c r="BN309" s="69"/>
      <c r="BO309" s="69"/>
      <c r="BP309" s="69"/>
      <c r="BQ309" s="69"/>
      <c r="BR309" s="69"/>
      <c r="BS309" s="69"/>
      <c r="BT309" s="69"/>
      <c r="BU309" s="69"/>
      <c r="BV309" s="69"/>
      <c r="BW309" s="69"/>
      <c r="BX309" s="69"/>
      <c r="BY309" s="69"/>
      <c r="BZ309" s="69"/>
      <c r="CA309" s="69"/>
      <c r="CB309" s="69"/>
      <c r="CC309" s="69"/>
      <c r="CD309" s="69"/>
      <c r="CE309" s="94">
        <f t="shared" si="23"/>
        <v>1043.52</v>
      </c>
      <c r="CF309" s="151">
        <f t="shared" si="24"/>
        <v>0</v>
      </c>
      <c r="CG309" s="75">
        <f t="shared" si="22"/>
        <v>4165</v>
      </c>
      <c r="CH309" s="69" t="str">
        <f t="shared" si="22"/>
        <v>برنامج دولى</v>
      </c>
    </row>
    <row r="310" spans="1:86" ht="18.75" x14ac:dyDescent="0.25">
      <c r="A310" s="148"/>
      <c r="B310" s="82">
        <v>7792</v>
      </c>
      <c r="C310" s="149">
        <v>4166</v>
      </c>
      <c r="D310" s="71" t="s">
        <v>78</v>
      </c>
      <c r="E310" s="69" t="s">
        <v>3203</v>
      </c>
      <c r="F310" s="63"/>
      <c r="G310" s="69">
        <v>703.5</v>
      </c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94">
        <f t="shared" si="21"/>
        <v>703.5</v>
      </c>
      <c r="AS310" s="69">
        <v>470.6</v>
      </c>
      <c r="AT310" s="69">
        <v>63.4</v>
      </c>
      <c r="AU310" s="69">
        <v>169.5</v>
      </c>
      <c r="AV310" s="69"/>
      <c r="AW310" s="69"/>
      <c r="AX310" s="69"/>
      <c r="AY310" s="69"/>
      <c r="AZ310" s="69"/>
      <c r="BA310" s="69"/>
      <c r="BB310" s="69"/>
      <c r="BC310" s="69"/>
      <c r="BD310" s="69"/>
      <c r="BE310" s="69"/>
      <c r="BF310" s="69"/>
      <c r="BG310" s="69"/>
      <c r="BH310" s="69"/>
      <c r="BI310" s="69"/>
      <c r="BJ310" s="69"/>
      <c r="BK310" s="69"/>
      <c r="BL310" s="69"/>
      <c r="BM310" s="69"/>
      <c r="BN310" s="69"/>
      <c r="BO310" s="69"/>
      <c r="BP310" s="69"/>
      <c r="BQ310" s="69"/>
      <c r="BR310" s="69"/>
      <c r="BS310" s="69"/>
      <c r="BT310" s="69"/>
      <c r="BU310" s="69"/>
      <c r="BV310" s="69"/>
      <c r="BW310" s="69"/>
      <c r="BX310" s="69"/>
      <c r="BY310" s="69"/>
      <c r="BZ310" s="69"/>
      <c r="CA310" s="69"/>
      <c r="CB310" s="69"/>
      <c r="CC310" s="69"/>
      <c r="CD310" s="69"/>
      <c r="CE310" s="94">
        <f t="shared" si="23"/>
        <v>703.5</v>
      </c>
      <c r="CF310" s="151">
        <f t="shared" si="24"/>
        <v>0</v>
      </c>
      <c r="CG310" s="75">
        <f t="shared" si="22"/>
        <v>4166</v>
      </c>
      <c r="CH310" s="69" t="str">
        <f t="shared" si="22"/>
        <v>برنامج دولى</v>
      </c>
    </row>
    <row r="311" spans="1:86" ht="18.75" x14ac:dyDescent="0.25">
      <c r="A311" s="148"/>
      <c r="B311" s="82">
        <v>7794</v>
      </c>
      <c r="C311" s="149">
        <v>4167</v>
      </c>
      <c r="D311" s="71" t="s">
        <v>78</v>
      </c>
      <c r="E311" s="69" t="s">
        <v>3203</v>
      </c>
      <c r="F311" s="63"/>
      <c r="G311" s="69">
        <v>12292</v>
      </c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94">
        <f t="shared" si="21"/>
        <v>12292</v>
      </c>
      <c r="AS311" s="69">
        <v>8916.94</v>
      </c>
      <c r="AT311" s="69">
        <v>1160.9000000000001</v>
      </c>
      <c r="AU311" s="69">
        <v>2214.16</v>
      </c>
      <c r="AV311" s="69"/>
      <c r="AW311" s="69"/>
      <c r="AX311" s="69"/>
      <c r="AY311" s="69"/>
      <c r="AZ311" s="69"/>
      <c r="BA311" s="69"/>
      <c r="BB311" s="69"/>
      <c r="BC311" s="69"/>
      <c r="BD311" s="69"/>
      <c r="BE311" s="69"/>
      <c r="BF311" s="69"/>
      <c r="BG311" s="69"/>
      <c r="BH311" s="69"/>
      <c r="BI311" s="69"/>
      <c r="BJ311" s="69"/>
      <c r="BK311" s="69"/>
      <c r="BL311" s="69"/>
      <c r="BM311" s="69"/>
      <c r="BN311" s="69"/>
      <c r="BO311" s="69"/>
      <c r="BP311" s="69"/>
      <c r="BQ311" s="69"/>
      <c r="BR311" s="69"/>
      <c r="BS311" s="69"/>
      <c r="BT311" s="69"/>
      <c r="BU311" s="69"/>
      <c r="BV311" s="69"/>
      <c r="BW311" s="69"/>
      <c r="BX311" s="69"/>
      <c r="BY311" s="69"/>
      <c r="BZ311" s="69"/>
      <c r="CA311" s="69"/>
      <c r="CB311" s="69"/>
      <c r="CC311" s="69"/>
      <c r="CD311" s="69"/>
      <c r="CE311" s="94">
        <f t="shared" si="23"/>
        <v>12292</v>
      </c>
      <c r="CF311" s="151">
        <f t="shared" si="24"/>
        <v>0</v>
      </c>
      <c r="CG311" s="75">
        <f t="shared" si="22"/>
        <v>4167</v>
      </c>
      <c r="CH311" s="69" t="str">
        <f t="shared" si="22"/>
        <v>برنامج دولى</v>
      </c>
    </row>
    <row r="312" spans="1:86" ht="18.75" x14ac:dyDescent="0.25">
      <c r="A312" s="148"/>
      <c r="B312" s="82">
        <v>7791</v>
      </c>
      <c r="C312" s="149">
        <v>4168</v>
      </c>
      <c r="D312" s="71" t="s">
        <v>78</v>
      </c>
      <c r="E312" s="69" t="s">
        <v>1867</v>
      </c>
      <c r="F312" s="63"/>
      <c r="G312" s="69">
        <v>22709.200000000001</v>
      </c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94">
        <f t="shared" si="21"/>
        <v>22709.200000000001</v>
      </c>
      <c r="AS312" s="69">
        <v>18643.330000000002</v>
      </c>
      <c r="AT312" s="69">
        <v>2307.15</v>
      </c>
      <c r="AU312" s="69">
        <v>1758.72</v>
      </c>
      <c r="AV312" s="69"/>
      <c r="AW312" s="69"/>
      <c r="AX312" s="69"/>
      <c r="AY312" s="69"/>
      <c r="AZ312" s="69"/>
      <c r="BA312" s="69"/>
      <c r="BB312" s="69"/>
      <c r="BC312" s="69"/>
      <c r="BD312" s="69"/>
      <c r="BE312" s="69"/>
      <c r="BF312" s="69"/>
      <c r="BG312" s="69"/>
      <c r="BH312" s="69"/>
      <c r="BI312" s="69"/>
      <c r="BJ312" s="69"/>
      <c r="BK312" s="69"/>
      <c r="BL312" s="69"/>
      <c r="BM312" s="69"/>
      <c r="BN312" s="69"/>
      <c r="BO312" s="69"/>
      <c r="BP312" s="69"/>
      <c r="BQ312" s="69"/>
      <c r="BR312" s="69"/>
      <c r="BS312" s="69"/>
      <c r="BT312" s="69"/>
      <c r="BU312" s="69"/>
      <c r="BV312" s="69"/>
      <c r="BW312" s="69"/>
      <c r="BX312" s="69"/>
      <c r="BY312" s="69"/>
      <c r="BZ312" s="69"/>
      <c r="CA312" s="69"/>
      <c r="CB312" s="69"/>
      <c r="CC312" s="69"/>
      <c r="CD312" s="69"/>
      <c r="CE312" s="94">
        <f t="shared" si="23"/>
        <v>22709.200000000004</v>
      </c>
      <c r="CF312" s="151">
        <f t="shared" si="24"/>
        <v>0</v>
      </c>
      <c r="CG312" s="75">
        <f t="shared" si="22"/>
        <v>4168</v>
      </c>
      <c r="CH312" s="69" t="str">
        <f t="shared" si="22"/>
        <v>برنامج دولى</v>
      </c>
    </row>
    <row r="313" spans="1:86" ht="18.75" x14ac:dyDescent="0.25">
      <c r="A313" s="148"/>
      <c r="B313" s="82">
        <v>7854</v>
      </c>
      <c r="C313" s="149">
        <v>4169</v>
      </c>
      <c r="D313" s="71" t="s">
        <v>78</v>
      </c>
      <c r="E313" s="69" t="s">
        <v>3204</v>
      </c>
      <c r="F313" s="63"/>
      <c r="G313" s="69">
        <v>44323.46</v>
      </c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94">
        <f t="shared" si="21"/>
        <v>44323.46</v>
      </c>
      <c r="AS313" s="69">
        <v>29591.18</v>
      </c>
      <c r="AT313" s="69">
        <f>272.75+3780.25</f>
        <v>4053</v>
      </c>
      <c r="AU313" s="69">
        <v>10679.28</v>
      </c>
      <c r="AV313" s="69"/>
      <c r="AW313" s="69"/>
      <c r="AX313" s="69"/>
      <c r="AY313" s="69"/>
      <c r="AZ313" s="69"/>
      <c r="BA313" s="69"/>
      <c r="BB313" s="69"/>
      <c r="BC313" s="69"/>
      <c r="BD313" s="69"/>
      <c r="BE313" s="69"/>
      <c r="BF313" s="69"/>
      <c r="BG313" s="69"/>
      <c r="BH313" s="69"/>
      <c r="BI313" s="69"/>
      <c r="BJ313" s="69"/>
      <c r="BK313" s="69"/>
      <c r="BL313" s="69"/>
      <c r="BM313" s="69"/>
      <c r="BN313" s="69"/>
      <c r="BO313" s="69"/>
      <c r="BP313" s="69"/>
      <c r="BQ313" s="69"/>
      <c r="BR313" s="69"/>
      <c r="BS313" s="69"/>
      <c r="BT313" s="69"/>
      <c r="BU313" s="69"/>
      <c r="BV313" s="69"/>
      <c r="BW313" s="69"/>
      <c r="BX313" s="69"/>
      <c r="BY313" s="69"/>
      <c r="BZ313" s="69"/>
      <c r="CA313" s="69"/>
      <c r="CB313" s="69"/>
      <c r="CC313" s="69"/>
      <c r="CD313" s="69"/>
      <c r="CE313" s="94">
        <f t="shared" si="23"/>
        <v>44323.46</v>
      </c>
      <c r="CF313" s="151">
        <f t="shared" si="24"/>
        <v>0</v>
      </c>
      <c r="CG313" s="75">
        <f t="shared" si="22"/>
        <v>4169</v>
      </c>
      <c r="CH313" s="69" t="str">
        <f t="shared" si="22"/>
        <v>برنامج دولى</v>
      </c>
    </row>
    <row r="314" spans="1:86" ht="18.75" x14ac:dyDescent="0.25">
      <c r="A314" s="148"/>
      <c r="B314" s="82">
        <v>7837</v>
      </c>
      <c r="C314" s="149">
        <v>4170</v>
      </c>
      <c r="D314" s="71" t="s">
        <v>78</v>
      </c>
      <c r="E314" s="69" t="str">
        <f>+E318</f>
        <v>مكافاه العاملين بالكليه اكتوبر</v>
      </c>
      <c r="F314" s="63"/>
      <c r="G314" s="69">
        <v>4850.24</v>
      </c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94">
        <f t="shared" ref="AR314:AR346" si="25">SUM(G314:AQ314)</f>
        <v>4850.24</v>
      </c>
      <c r="AS314" s="69">
        <v>3243.01</v>
      </c>
      <c r="AT314" s="69">
        <v>438.62</v>
      </c>
      <c r="AU314" s="69">
        <v>1168.6099999999999</v>
      </c>
      <c r="AV314" s="69"/>
      <c r="AW314" s="69"/>
      <c r="AX314" s="69"/>
      <c r="AY314" s="69"/>
      <c r="AZ314" s="69"/>
      <c r="BA314" s="69"/>
      <c r="BB314" s="69"/>
      <c r="BC314" s="69"/>
      <c r="BD314" s="69"/>
      <c r="BE314" s="69"/>
      <c r="BF314" s="69"/>
      <c r="BG314" s="69"/>
      <c r="BH314" s="69"/>
      <c r="BI314" s="69"/>
      <c r="BJ314" s="69"/>
      <c r="BK314" s="69"/>
      <c r="BL314" s="69"/>
      <c r="BM314" s="69"/>
      <c r="BN314" s="69"/>
      <c r="BO314" s="69"/>
      <c r="BP314" s="69"/>
      <c r="BQ314" s="69"/>
      <c r="BR314" s="69"/>
      <c r="BS314" s="69"/>
      <c r="BT314" s="69"/>
      <c r="BU314" s="69"/>
      <c r="BV314" s="69"/>
      <c r="BW314" s="69"/>
      <c r="BX314" s="69"/>
      <c r="BY314" s="69"/>
      <c r="BZ314" s="69"/>
      <c r="CA314" s="69"/>
      <c r="CB314" s="69"/>
      <c r="CC314" s="69"/>
      <c r="CD314" s="69"/>
      <c r="CE314" s="94">
        <f t="shared" si="23"/>
        <v>4850.24</v>
      </c>
      <c r="CF314" s="151">
        <f t="shared" si="24"/>
        <v>0</v>
      </c>
      <c r="CG314" s="75">
        <f t="shared" si="22"/>
        <v>4170</v>
      </c>
      <c r="CH314" s="69" t="str">
        <f t="shared" si="22"/>
        <v>برنامج دولى</v>
      </c>
    </row>
    <row r="315" spans="1:86" ht="18.75" x14ac:dyDescent="0.25">
      <c r="A315" s="148"/>
      <c r="B315" s="82">
        <v>7849</v>
      </c>
      <c r="C315" s="149">
        <v>4171</v>
      </c>
      <c r="D315" s="71" t="s">
        <v>78</v>
      </c>
      <c r="E315" s="69" t="str">
        <f>+E319</f>
        <v>مكافاه العاملين بالكليه اكتوبر</v>
      </c>
      <c r="F315" s="63"/>
      <c r="G315" s="69">
        <v>253612.53</v>
      </c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94">
        <f t="shared" si="25"/>
        <v>253612.53</v>
      </c>
      <c r="AS315" s="69">
        <v>170186.31</v>
      </c>
      <c r="AT315" s="69">
        <v>23074.04</v>
      </c>
      <c r="AU315" s="69">
        <v>60352.18</v>
      </c>
      <c r="AV315" s="69"/>
      <c r="AW315" s="69"/>
      <c r="AX315" s="69"/>
      <c r="AY315" s="69"/>
      <c r="AZ315" s="69"/>
      <c r="BA315" s="69"/>
      <c r="BB315" s="69"/>
      <c r="BC315" s="69"/>
      <c r="BD315" s="69"/>
      <c r="BE315" s="69"/>
      <c r="BF315" s="69"/>
      <c r="BG315" s="69"/>
      <c r="BH315" s="69"/>
      <c r="BI315" s="69"/>
      <c r="BJ315" s="69"/>
      <c r="BK315" s="69"/>
      <c r="BL315" s="69"/>
      <c r="BM315" s="69"/>
      <c r="BN315" s="69"/>
      <c r="BO315" s="69"/>
      <c r="BP315" s="69"/>
      <c r="BQ315" s="69"/>
      <c r="BR315" s="69"/>
      <c r="BS315" s="69"/>
      <c r="BT315" s="69"/>
      <c r="BU315" s="69"/>
      <c r="BV315" s="69"/>
      <c r="BW315" s="69"/>
      <c r="BX315" s="69"/>
      <c r="BY315" s="69"/>
      <c r="BZ315" s="69"/>
      <c r="CA315" s="69"/>
      <c r="CB315" s="69"/>
      <c r="CC315" s="69"/>
      <c r="CD315" s="69"/>
      <c r="CE315" s="94">
        <f t="shared" si="23"/>
        <v>253612.53</v>
      </c>
      <c r="CF315" s="151">
        <f t="shared" si="24"/>
        <v>0</v>
      </c>
      <c r="CG315" s="75">
        <f t="shared" si="22"/>
        <v>4171</v>
      </c>
      <c r="CH315" s="69" t="str">
        <f t="shared" si="22"/>
        <v>برنامج دولى</v>
      </c>
    </row>
    <row r="316" spans="1:86" ht="18.75" x14ac:dyDescent="0.25">
      <c r="A316" s="159"/>
      <c r="B316" s="82">
        <v>7856</v>
      </c>
      <c r="C316" s="149">
        <v>4172</v>
      </c>
      <c r="D316" s="71" t="s">
        <v>78</v>
      </c>
      <c r="E316" s="69" t="str">
        <f>+E320</f>
        <v>مكافاه العاملين بالكليه اكتوبر</v>
      </c>
      <c r="F316" s="63"/>
      <c r="G316" s="69">
        <v>284175.03000000003</v>
      </c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94">
        <f t="shared" si="25"/>
        <v>284175.03000000003</v>
      </c>
      <c r="AS316" s="69">
        <v>189256.63</v>
      </c>
      <c r="AT316" s="69">
        <v>25751.4</v>
      </c>
      <c r="AU316" s="69">
        <v>69167</v>
      </c>
      <c r="AV316" s="69"/>
      <c r="AW316" s="69"/>
      <c r="AX316" s="69"/>
      <c r="AY316" s="69"/>
      <c r="AZ316" s="69"/>
      <c r="BA316" s="69"/>
      <c r="BB316" s="69"/>
      <c r="BC316" s="69"/>
      <c r="BD316" s="69"/>
      <c r="BE316" s="69"/>
      <c r="BF316" s="69"/>
      <c r="BG316" s="69"/>
      <c r="BH316" s="69"/>
      <c r="BI316" s="69"/>
      <c r="BJ316" s="69"/>
      <c r="BK316" s="69"/>
      <c r="BL316" s="69"/>
      <c r="BM316" s="69"/>
      <c r="BN316" s="69"/>
      <c r="BO316" s="69"/>
      <c r="BP316" s="69"/>
      <c r="BQ316" s="69"/>
      <c r="BR316" s="69"/>
      <c r="BS316" s="69"/>
      <c r="BT316" s="69"/>
      <c r="BU316" s="69"/>
      <c r="BV316" s="69"/>
      <c r="BW316" s="69"/>
      <c r="BX316" s="69"/>
      <c r="BY316" s="69"/>
      <c r="BZ316" s="69"/>
      <c r="CA316" s="69"/>
      <c r="CB316" s="69"/>
      <c r="CC316" s="69"/>
      <c r="CD316" s="69"/>
      <c r="CE316" s="94">
        <f t="shared" si="23"/>
        <v>284175.03000000003</v>
      </c>
      <c r="CF316" s="151">
        <f t="shared" si="24"/>
        <v>0</v>
      </c>
      <c r="CG316" s="75">
        <f t="shared" si="22"/>
        <v>4172</v>
      </c>
      <c r="CH316" s="69" t="str">
        <f t="shared" si="22"/>
        <v>برنامج دولى</v>
      </c>
    </row>
    <row r="317" spans="1:86" ht="18.75" x14ac:dyDescent="0.25">
      <c r="A317" s="148"/>
      <c r="B317" s="82">
        <v>7853</v>
      </c>
      <c r="C317" s="149">
        <v>4173</v>
      </c>
      <c r="D317" s="71" t="s">
        <v>78</v>
      </c>
      <c r="E317" s="69" t="str">
        <f>+E321</f>
        <v>مكافاه العاملين بالكليه اكتوبر</v>
      </c>
      <c r="F317" s="63"/>
      <c r="G317" s="69">
        <v>3312.31</v>
      </c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94">
        <f t="shared" si="25"/>
        <v>3312.31</v>
      </c>
      <c r="AS317" s="69">
        <v>2213.6</v>
      </c>
      <c r="AT317" s="69">
        <v>300.64999999999998</v>
      </c>
      <c r="AU317" s="69">
        <v>798.06</v>
      </c>
      <c r="AV317" s="69"/>
      <c r="AW317" s="69"/>
      <c r="AX317" s="69"/>
      <c r="AY317" s="69"/>
      <c r="AZ317" s="69"/>
      <c r="BA317" s="69"/>
      <c r="BB317" s="69"/>
      <c r="BC317" s="69"/>
      <c r="BD317" s="69"/>
      <c r="BE317" s="69"/>
      <c r="BF317" s="69"/>
      <c r="BG317" s="69"/>
      <c r="BH317" s="69"/>
      <c r="BI317" s="69"/>
      <c r="BJ317" s="69"/>
      <c r="BK317" s="69"/>
      <c r="BL317" s="69"/>
      <c r="BM317" s="69"/>
      <c r="BN317" s="69"/>
      <c r="BO317" s="69"/>
      <c r="BP317" s="69"/>
      <c r="BQ317" s="69"/>
      <c r="BR317" s="69"/>
      <c r="BS317" s="69"/>
      <c r="BT317" s="69"/>
      <c r="BU317" s="69"/>
      <c r="BV317" s="69"/>
      <c r="BW317" s="69"/>
      <c r="BX317" s="69"/>
      <c r="BY317" s="69"/>
      <c r="BZ317" s="69"/>
      <c r="CA317" s="69"/>
      <c r="CB317" s="69"/>
      <c r="CC317" s="69"/>
      <c r="CD317" s="69"/>
      <c r="CE317" s="94">
        <f t="shared" si="23"/>
        <v>3312.31</v>
      </c>
      <c r="CF317" s="151">
        <f t="shared" si="24"/>
        <v>0</v>
      </c>
      <c r="CG317" s="75">
        <f t="shared" si="22"/>
        <v>4173</v>
      </c>
      <c r="CH317" s="69" t="str">
        <f t="shared" si="22"/>
        <v>برنامج دولى</v>
      </c>
    </row>
    <row r="318" spans="1:86" ht="18.75" x14ac:dyDescent="0.25">
      <c r="A318" s="148"/>
      <c r="B318" s="82">
        <v>7852</v>
      </c>
      <c r="C318" s="149">
        <v>4174</v>
      </c>
      <c r="D318" s="71" t="s">
        <v>78</v>
      </c>
      <c r="E318" s="69" t="str">
        <f>+E332</f>
        <v>مكافاه العاملين بالكليه اكتوبر</v>
      </c>
      <c r="F318" s="63"/>
      <c r="G318" s="69">
        <v>2110.5</v>
      </c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94">
        <v>2110.5</v>
      </c>
      <c r="AS318" s="69">
        <v>1410.35</v>
      </c>
      <c r="AT318" s="69">
        <v>191.65</v>
      </c>
      <c r="AU318" s="69">
        <v>508.5</v>
      </c>
      <c r="AV318" s="69"/>
      <c r="AW318" s="69"/>
      <c r="AX318" s="69"/>
      <c r="AY318" s="69"/>
      <c r="AZ318" s="69"/>
      <c r="BA318" s="69"/>
      <c r="BB318" s="69"/>
      <c r="BC318" s="69"/>
      <c r="BD318" s="69"/>
      <c r="BE318" s="69"/>
      <c r="BF318" s="69"/>
      <c r="BG318" s="69"/>
      <c r="BH318" s="69"/>
      <c r="BI318" s="69"/>
      <c r="BJ318" s="69"/>
      <c r="BK318" s="69"/>
      <c r="BL318" s="69"/>
      <c r="BM318" s="69"/>
      <c r="BN318" s="69"/>
      <c r="BO318" s="69"/>
      <c r="BP318" s="69"/>
      <c r="BQ318" s="69"/>
      <c r="BR318" s="69"/>
      <c r="BS318" s="69"/>
      <c r="BT318" s="69"/>
      <c r="BU318" s="69"/>
      <c r="BV318" s="69"/>
      <c r="BW318" s="69"/>
      <c r="BX318" s="69"/>
      <c r="BY318" s="69"/>
      <c r="BZ318" s="69"/>
      <c r="CA318" s="69"/>
      <c r="CB318" s="69"/>
      <c r="CC318" s="69"/>
      <c r="CD318" s="69"/>
      <c r="CE318" s="94">
        <f t="shared" si="23"/>
        <v>2110.5</v>
      </c>
      <c r="CF318" s="151">
        <f t="shared" si="24"/>
        <v>0</v>
      </c>
      <c r="CG318" s="75">
        <f t="shared" si="22"/>
        <v>4174</v>
      </c>
      <c r="CH318" s="69" t="str">
        <f t="shared" si="22"/>
        <v>برنامج دولى</v>
      </c>
    </row>
    <row r="319" spans="1:86" ht="18.75" x14ac:dyDescent="0.25">
      <c r="A319" s="148"/>
      <c r="B319" s="82">
        <v>7851</v>
      </c>
      <c r="C319" s="149">
        <v>4175</v>
      </c>
      <c r="D319" s="71" t="s">
        <v>78</v>
      </c>
      <c r="E319" s="69" t="s">
        <v>3205</v>
      </c>
      <c r="F319" s="63"/>
      <c r="G319" s="69">
        <v>1993.25</v>
      </c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94">
        <f t="shared" si="25"/>
        <v>1993.25</v>
      </c>
      <c r="AS319" s="69">
        <v>1332</v>
      </c>
      <c r="AT319" s="69">
        <v>181</v>
      </c>
      <c r="AU319" s="69">
        <v>480.25</v>
      </c>
      <c r="AV319" s="69"/>
      <c r="AW319" s="69"/>
      <c r="AX319" s="69"/>
      <c r="AY319" s="69"/>
      <c r="AZ319" s="69"/>
      <c r="BA319" s="69"/>
      <c r="BB319" s="69"/>
      <c r="BC319" s="69"/>
      <c r="BD319" s="69"/>
      <c r="BE319" s="69"/>
      <c r="BF319" s="69"/>
      <c r="BG319" s="69"/>
      <c r="BH319" s="69"/>
      <c r="BI319" s="69"/>
      <c r="BJ319" s="69"/>
      <c r="BK319" s="69"/>
      <c r="BL319" s="69"/>
      <c r="BM319" s="69"/>
      <c r="BN319" s="69"/>
      <c r="BO319" s="69"/>
      <c r="BP319" s="69"/>
      <c r="BQ319" s="69"/>
      <c r="BR319" s="69"/>
      <c r="BS319" s="69"/>
      <c r="BT319" s="69"/>
      <c r="BU319" s="69"/>
      <c r="BV319" s="69"/>
      <c r="BW319" s="69"/>
      <c r="BX319" s="69"/>
      <c r="BY319" s="69"/>
      <c r="BZ319" s="69"/>
      <c r="CA319" s="69"/>
      <c r="CB319" s="69"/>
      <c r="CC319" s="69"/>
      <c r="CD319" s="69"/>
      <c r="CE319" s="94">
        <f t="shared" si="23"/>
        <v>1993.25</v>
      </c>
      <c r="CF319" s="151">
        <f t="shared" si="24"/>
        <v>0</v>
      </c>
      <c r="CG319" s="75">
        <f t="shared" si="22"/>
        <v>4175</v>
      </c>
      <c r="CH319" s="69" t="str">
        <f t="shared" si="22"/>
        <v>برنامج دولى</v>
      </c>
    </row>
    <row r="320" spans="1:86" ht="18.75" x14ac:dyDescent="0.25">
      <c r="A320" s="148"/>
      <c r="B320" s="82">
        <v>7850</v>
      </c>
      <c r="C320" s="149">
        <v>4176</v>
      </c>
      <c r="D320" s="71" t="s">
        <v>78</v>
      </c>
      <c r="E320" s="69" t="s">
        <v>3205</v>
      </c>
      <c r="F320" s="63"/>
      <c r="G320" s="69">
        <v>1993.25</v>
      </c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94">
        <f t="shared" si="25"/>
        <v>1993.25</v>
      </c>
      <c r="AS320" s="69">
        <v>1332</v>
      </c>
      <c r="AT320" s="69">
        <v>181</v>
      </c>
      <c r="AU320" s="69">
        <v>480.25</v>
      </c>
      <c r="AV320" s="69"/>
      <c r="AW320" s="69"/>
      <c r="AX320" s="69"/>
      <c r="AY320" s="69"/>
      <c r="AZ320" s="69"/>
      <c r="BA320" s="69"/>
      <c r="BB320" s="69"/>
      <c r="BC320" s="69"/>
      <c r="BD320" s="69"/>
      <c r="BE320" s="69"/>
      <c r="BF320" s="69"/>
      <c r="BG320" s="69"/>
      <c r="BH320" s="69"/>
      <c r="BI320" s="69"/>
      <c r="BJ320" s="69"/>
      <c r="BK320" s="69"/>
      <c r="BL320" s="69"/>
      <c r="BM320" s="69"/>
      <c r="BN320" s="69"/>
      <c r="BO320" s="69"/>
      <c r="BP320" s="69"/>
      <c r="BQ320" s="69"/>
      <c r="BR320" s="69"/>
      <c r="BS320" s="69"/>
      <c r="BT320" s="69"/>
      <c r="BU320" s="69"/>
      <c r="BV320" s="69"/>
      <c r="BW320" s="69"/>
      <c r="BX320" s="69"/>
      <c r="BY320" s="69"/>
      <c r="BZ320" s="69"/>
      <c r="CA320" s="69"/>
      <c r="CB320" s="69"/>
      <c r="CC320" s="69"/>
      <c r="CD320" s="69"/>
      <c r="CE320" s="94">
        <f t="shared" si="23"/>
        <v>1993.25</v>
      </c>
      <c r="CF320" s="151">
        <f t="shared" si="24"/>
        <v>0</v>
      </c>
      <c r="CG320" s="75">
        <f t="shared" si="22"/>
        <v>4176</v>
      </c>
      <c r="CH320" s="69" t="str">
        <f t="shared" si="22"/>
        <v>برنامج دولى</v>
      </c>
    </row>
    <row r="321" spans="1:86" ht="18.75" x14ac:dyDescent="0.25">
      <c r="A321" s="148"/>
      <c r="B321" s="82">
        <v>7855</v>
      </c>
      <c r="C321" s="149">
        <v>4177</v>
      </c>
      <c r="D321" s="71" t="s">
        <v>78</v>
      </c>
      <c r="E321" s="69" t="s">
        <v>3205</v>
      </c>
      <c r="F321" s="63"/>
      <c r="G321" s="69">
        <v>23071.38</v>
      </c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94">
        <f t="shared" si="25"/>
        <v>23071.38</v>
      </c>
      <c r="AS321" s="69">
        <v>16408.810000000001</v>
      </c>
      <c r="AT321" s="69">
        <v>2167.62</v>
      </c>
      <c r="AU321" s="69">
        <v>4494.95</v>
      </c>
      <c r="AV321" s="69"/>
      <c r="AW321" s="69"/>
      <c r="AX321" s="69"/>
      <c r="AY321" s="69"/>
      <c r="AZ321" s="69"/>
      <c r="BA321" s="69"/>
      <c r="BB321" s="69"/>
      <c r="BC321" s="69"/>
      <c r="BD321" s="69"/>
      <c r="BE321" s="69"/>
      <c r="BF321" s="69"/>
      <c r="BG321" s="69"/>
      <c r="BH321" s="69"/>
      <c r="BI321" s="69"/>
      <c r="BJ321" s="69"/>
      <c r="BK321" s="69"/>
      <c r="BL321" s="69"/>
      <c r="BM321" s="69"/>
      <c r="BN321" s="69"/>
      <c r="BO321" s="69"/>
      <c r="BP321" s="69"/>
      <c r="BQ321" s="69"/>
      <c r="BR321" s="69"/>
      <c r="BS321" s="69"/>
      <c r="BT321" s="69"/>
      <c r="BU321" s="69"/>
      <c r="BV321" s="69"/>
      <c r="BW321" s="69"/>
      <c r="BX321" s="69"/>
      <c r="BY321" s="69"/>
      <c r="BZ321" s="69"/>
      <c r="CA321" s="69"/>
      <c r="CB321" s="69"/>
      <c r="CC321" s="69"/>
      <c r="CD321" s="69"/>
      <c r="CE321" s="94">
        <f t="shared" si="23"/>
        <v>23071.38</v>
      </c>
      <c r="CF321" s="151">
        <f t="shared" si="24"/>
        <v>0</v>
      </c>
      <c r="CG321" s="75">
        <f t="shared" si="22"/>
        <v>4177</v>
      </c>
      <c r="CH321" s="69" t="str">
        <f t="shared" si="22"/>
        <v>برنامج دولى</v>
      </c>
    </row>
    <row r="322" spans="1:86" ht="18.75" x14ac:dyDescent="0.25">
      <c r="A322" s="148"/>
      <c r="B322" s="82">
        <v>7849</v>
      </c>
      <c r="C322" s="149">
        <v>4178</v>
      </c>
      <c r="D322" s="71" t="s">
        <v>78</v>
      </c>
      <c r="E322" s="69" t="s">
        <v>3205</v>
      </c>
      <c r="F322" s="63"/>
      <c r="G322" s="69">
        <v>2110.5</v>
      </c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94">
        <f t="shared" si="25"/>
        <v>2110.5</v>
      </c>
      <c r="AS322" s="69">
        <v>1410.35</v>
      </c>
      <c r="AT322" s="69">
        <v>191.65</v>
      </c>
      <c r="AU322" s="69">
        <v>508.5</v>
      </c>
      <c r="AV322" s="69"/>
      <c r="AW322" s="69"/>
      <c r="AX322" s="69"/>
      <c r="AY322" s="69"/>
      <c r="AZ322" s="69"/>
      <c r="BA322" s="69"/>
      <c r="BB322" s="69"/>
      <c r="BC322" s="69"/>
      <c r="BD322" s="69"/>
      <c r="BE322" s="69"/>
      <c r="BF322" s="69"/>
      <c r="BG322" s="69"/>
      <c r="BH322" s="69"/>
      <c r="BI322" s="69"/>
      <c r="BJ322" s="69"/>
      <c r="BK322" s="69"/>
      <c r="BL322" s="69"/>
      <c r="BM322" s="69"/>
      <c r="BN322" s="69"/>
      <c r="BO322" s="69"/>
      <c r="BP322" s="69"/>
      <c r="BQ322" s="69"/>
      <c r="BR322" s="69"/>
      <c r="BS322" s="69"/>
      <c r="BT322" s="69"/>
      <c r="BU322" s="69"/>
      <c r="BV322" s="69"/>
      <c r="BW322" s="69"/>
      <c r="BX322" s="69"/>
      <c r="BY322" s="69"/>
      <c r="BZ322" s="69"/>
      <c r="CA322" s="69"/>
      <c r="CB322" s="69"/>
      <c r="CC322" s="69"/>
      <c r="CD322" s="69"/>
      <c r="CE322" s="94">
        <f t="shared" si="23"/>
        <v>2110.5</v>
      </c>
      <c r="CF322" s="151">
        <f t="shared" si="24"/>
        <v>0</v>
      </c>
      <c r="CG322" s="75">
        <f t="shared" si="22"/>
        <v>4178</v>
      </c>
      <c r="CH322" s="69" t="str">
        <f t="shared" si="22"/>
        <v>برنامج دولى</v>
      </c>
    </row>
    <row r="323" spans="1:86" ht="18.75" x14ac:dyDescent="0.25">
      <c r="A323" s="148"/>
      <c r="B323" s="82">
        <v>7846</v>
      </c>
      <c r="C323" s="149">
        <v>4179</v>
      </c>
      <c r="D323" s="71" t="s">
        <v>78</v>
      </c>
      <c r="E323" s="69" t="s">
        <v>3205</v>
      </c>
      <c r="F323" s="63"/>
      <c r="G323" s="69">
        <v>9795.51</v>
      </c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94">
        <f t="shared" si="25"/>
        <v>9795.51</v>
      </c>
      <c r="AS323" s="69">
        <v>7226.59</v>
      </c>
      <c r="AT323" s="69">
        <v>938.6</v>
      </c>
      <c r="AU323" s="69">
        <v>1630.32</v>
      </c>
      <c r="AV323" s="69"/>
      <c r="AW323" s="69"/>
      <c r="AX323" s="69"/>
      <c r="AY323" s="69"/>
      <c r="AZ323" s="69"/>
      <c r="BA323" s="69"/>
      <c r="BB323" s="69"/>
      <c r="BC323" s="69"/>
      <c r="BD323" s="69"/>
      <c r="BE323" s="69"/>
      <c r="BF323" s="69"/>
      <c r="BG323" s="69"/>
      <c r="BH323" s="69"/>
      <c r="BI323" s="69"/>
      <c r="BJ323" s="69"/>
      <c r="BK323" s="69"/>
      <c r="BL323" s="69"/>
      <c r="BM323" s="69"/>
      <c r="BN323" s="69"/>
      <c r="BO323" s="69"/>
      <c r="BP323" s="69"/>
      <c r="BQ323" s="69"/>
      <c r="BR323" s="69"/>
      <c r="BS323" s="69"/>
      <c r="BT323" s="69"/>
      <c r="BU323" s="69"/>
      <c r="BV323" s="69"/>
      <c r="BW323" s="69"/>
      <c r="BX323" s="69"/>
      <c r="BY323" s="69"/>
      <c r="BZ323" s="69"/>
      <c r="CA323" s="69"/>
      <c r="CB323" s="69"/>
      <c r="CC323" s="69"/>
      <c r="CD323" s="69"/>
      <c r="CE323" s="94">
        <f t="shared" si="23"/>
        <v>9795.51</v>
      </c>
      <c r="CF323" s="151">
        <f t="shared" si="24"/>
        <v>0</v>
      </c>
      <c r="CG323" s="75">
        <f t="shared" si="22"/>
        <v>4179</v>
      </c>
      <c r="CH323" s="69" t="str">
        <f t="shared" si="22"/>
        <v>برنامج دولى</v>
      </c>
    </row>
    <row r="324" spans="1:86" ht="18.75" x14ac:dyDescent="0.25">
      <c r="A324" s="148"/>
      <c r="B324" s="82">
        <v>7845</v>
      </c>
      <c r="C324" s="149">
        <v>4180</v>
      </c>
      <c r="D324" s="71" t="s">
        <v>78</v>
      </c>
      <c r="E324" s="69" t="s">
        <v>3205</v>
      </c>
      <c r="F324" s="63"/>
      <c r="G324" s="69">
        <v>5019.3999999999996</v>
      </c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94">
        <f t="shared" si="25"/>
        <v>5019.3999999999996</v>
      </c>
      <c r="AS324" s="69">
        <v>3383.16</v>
      </c>
      <c r="AT324" s="69">
        <v>458.1</v>
      </c>
      <c r="AU324" s="69">
        <v>1178.1400000000001</v>
      </c>
      <c r="AV324" s="69"/>
      <c r="AW324" s="69"/>
      <c r="AX324" s="69"/>
      <c r="AY324" s="69"/>
      <c r="AZ324" s="69"/>
      <c r="BA324" s="69"/>
      <c r="BB324" s="69"/>
      <c r="BC324" s="69"/>
      <c r="BD324" s="69"/>
      <c r="BE324" s="69"/>
      <c r="BF324" s="69"/>
      <c r="BG324" s="69"/>
      <c r="BH324" s="69"/>
      <c r="BI324" s="69"/>
      <c r="BJ324" s="69"/>
      <c r="BK324" s="69"/>
      <c r="BL324" s="69"/>
      <c r="BM324" s="69"/>
      <c r="BN324" s="69"/>
      <c r="BO324" s="69"/>
      <c r="BP324" s="69"/>
      <c r="BQ324" s="69"/>
      <c r="BR324" s="69"/>
      <c r="BS324" s="69"/>
      <c r="BT324" s="69"/>
      <c r="BU324" s="69"/>
      <c r="BV324" s="69"/>
      <c r="BW324" s="69"/>
      <c r="BX324" s="69"/>
      <c r="BY324" s="69"/>
      <c r="BZ324" s="69"/>
      <c r="CA324" s="69"/>
      <c r="CB324" s="69"/>
      <c r="CC324" s="69"/>
      <c r="CD324" s="69"/>
      <c r="CE324" s="94">
        <f t="shared" si="23"/>
        <v>5019.3999999999996</v>
      </c>
      <c r="CF324" s="151">
        <f t="shared" si="24"/>
        <v>0</v>
      </c>
      <c r="CG324" s="75">
        <f t="shared" si="22"/>
        <v>4180</v>
      </c>
      <c r="CH324" s="69" t="str">
        <f t="shared" si="22"/>
        <v>برنامج دولى</v>
      </c>
    </row>
    <row r="325" spans="1:86" ht="18.75" x14ac:dyDescent="0.25">
      <c r="A325" s="148"/>
      <c r="B325" s="82">
        <v>7844</v>
      </c>
      <c r="C325" s="149">
        <v>4181</v>
      </c>
      <c r="D325" s="71" t="s">
        <v>78</v>
      </c>
      <c r="E325" s="69" t="s">
        <v>3205</v>
      </c>
      <c r="F325" s="63"/>
      <c r="G325" s="69">
        <v>2767.89</v>
      </c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94">
        <f t="shared" si="25"/>
        <v>2767.89</v>
      </c>
      <c r="AS325" s="69">
        <v>2062.0700000000002</v>
      </c>
      <c r="AT325" s="69">
        <v>267.10000000000002</v>
      </c>
      <c r="AU325" s="69">
        <v>438.72</v>
      </c>
      <c r="AV325" s="69"/>
      <c r="AW325" s="69"/>
      <c r="AX325" s="69"/>
      <c r="AY325" s="69"/>
      <c r="AZ325" s="69"/>
      <c r="BA325" s="69"/>
      <c r="BB325" s="69"/>
      <c r="BC325" s="69"/>
      <c r="BD325" s="69"/>
      <c r="BE325" s="69"/>
      <c r="BF325" s="69"/>
      <c r="BG325" s="69"/>
      <c r="BH325" s="69"/>
      <c r="BI325" s="69"/>
      <c r="BJ325" s="69"/>
      <c r="BK325" s="69"/>
      <c r="BL325" s="69"/>
      <c r="BM325" s="69"/>
      <c r="BN325" s="69"/>
      <c r="BO325" s="69"/>
      <c r="BP325" s="69"/>
      <c r="BQ325" s="69"/>
      <c r="BR325" s="69"/>
      <c r="BS325" s="69"/>
      <c r="BT325" s="69"/>
      <c r="BU325" s="69"/>
      <c r="BV325" s="69"/>
      <c r="BW325" s="69"/>
      <c r="BX325" s="69"/>
      <c r="BY325" s="69"/>
      <c r="BZ325" s="69"/>
      <c r="CA325" s="69"/>
      <c r="CB325" s="69"/>
      <c r="CC325" s="69"/>
      <c r="CD325" s="69"/>
      <c r="CE325" s="94">
        <f t="shared" si="23"/>
        <v>2767.8900000000003</v>
      </c>
      <c r="CF325" s="151">
        <f t="shared" si="24"/>
        <v>0</v>
      </c>
      <c r="CG325" s="75">
        <f t="shared" si="22"/>
        <v>4181</v>
      </c>
      <c r="CH325" s="69" t="str">
        <f t="shared" si="22"/>
        <v>برنامج دولى</v>
      </c>
    </row>
    <row r="326" spans="1:86" ht="18.75" x14ac:dyDescent="0.25">
      <c r="A326" s="148"/>
      <c r="B326" s="82">
        <v>7843</v>
      </c>
      <c r="C326" s="149">
        <v>4182</v>
      </c>
      <c r="D326" s="71" t="s">
        <v>78</v>
      </c>
      <c r="E326" s="69" t="s">
        <v>3205</v>
      </c>
      <c r="F326" s="63"/>
      <c r="G326" s="69">
        <v>5000</v>
      </c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94">
        <f t="shared" si="25"/>
        <v>5000</v>
      </c>
      <c r="AS326" s="69">
        <v>4463.2</v>
      </c>
      <c r="AT326" s="69">
        <v>536.79999999999995</v>
      </c>
      <c r="AU326" s="69"/>
      <c r="AV326" s="69"/>
      <c r="AW326" s="69"/>
      <c r="AX326" s="69"/>
      <c r="AY326" s="69"/>
      <c r="AZ326" s="69"/>
      <c r="BA326" s="69"/>
      <c r="BB326" s="69"/>
      <c r="BC326" s="69"/>
      <c r="BD326" s="69"/>
      <c r="BE326" s="69"/>
      <c r="BF326" s="69"/>
      <c r="BG326" s="69"/>
      <c r="BH326" s="69"/>
      <c r="BI326" s="69"/>
      <c r="BJ326" s="69"/>
      <c r="BK326" s="69"/>
      <c r="BL326" s="69"/>
      <c r="BM326" s="69"/>
      <c r="BN326" s="69"/>
      <c r="BO326" s="69"/>
      <c r="BP326" s="69"/>
      <c r="BQ326" s="69"/>
      <c r="BR326" s="69"/>
      <c r="BS326" s="69"/>
      <c r="BT326" s="69"/>
      <c r="BU326" s="69"/>
      <c r="BV326" s="69"/>
      <c r="BW326" s="69"/>
      <c r="BX326" s="69"/>
      <c r="BY326" s="69"/>
      <c r="BZ326" s="69"/>
      <c r="CA326" s="69"/>
      <c r="CB326" s="69"/>
      <c r="CC326" s="69"/>
      <c r="CD326" s="69"/>
      <c r="CE326" s="94">
        <f t="shared" si="23"/>
        <v>5000</v>
      </c>
      <c r="CF326" s="151">
        <f t="shared" si="24"/>
        <v>0</v>
      </c>
      <c r="CG326" s="75">
        <f t="shared" si="22"/>
        <v>4182</v>
      </c>
      <c r="CH326" s="69" t="str">
        <f t="shared" si="22"/>
        <v>برنامج دولى</v>
      </c>
    </row>
    <row r="327" spans="1:86" ht="18.75" x14ac:dyDescent="0.25">
      <c r="A327" s="148"/>
      <c r="B327" s="82">
        <v>7841</v>
      </c>
      <c r="C327" s="149">
        <v>4183</v>
      </c>
      <c r="D327" s="71" t="s">
        <v>78</v>
      </c>
      <c r="E327" s="69" t="s">
        <v>3205</v>
      </c>
      <c r="F327" s="63"/>
      <c r="G327" s="69">
        <v>2500</v>
      </c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94">
        <f t="shared" si="25"/>
        <v>2500</v>
      </c>
      <c r="AS327" s="69">
        <v>2231.6</v>
      </c>
      <c r="AT327" s="69">
        <v>268.39999999999998</v>
      </c>
      <c r="AU327" s="69"/>
      <c r="AV327" s="69"/>
      <c r="AW327" s="69"/>
      <c r="AX327" s="69"/>
      <c r="AY327" s="69"/>
      <c r="AZ327" s="69"/>
      <c r="BA327" s="69"/>
      <c r="BB327" s="69"/>
      <c r="BC327" s="69"/>
      <c r="BD327" s="69"/>
      <c r="BE327" s="69"/>
      <c r="BF327" s="69"/>
      <c r="BG327" s="69"/>
      <c r="BH327" s="69"/>
      <c r="BI327" s="69"/>
      <c r="BJ327" s="69"/>
      <c r="BK327" s="69"/>
      <c r="BL327" s="69"/>
      <c r="BM327" s="69"/>
      <c r="BN327" s="69"/>
      <c r="BO327" s="69"/>
      <c r="BP327" s="69"/>
      <c r="BQ327" s="69"/>
      <c r="BR327" s="69"/>
      <c r="BS327" s="69"/>
      <c r="BT327" s="69"/>
      <c r="BU327" s="69"/>
      <c r="BV327" s="69"/>
      <c r="BW327" s="69"/>
      <c r="BX327" s="69"/>
      <c r="BY327" s="69"/>
      <c r="BZ327" s="69"/>
      <c r="CA327" s="69"/>
      <c r="CB327" s="69"/>
      <c r="CC327" s="69"/>
      <c r="CD327" s="69"/>
      <c r="CE327" s="94">
        <f t="shared" si="23"/>
        <v>2500</v>
      </c>
      <c r="CF327" s="151">
        <f t="shared" si="24"/>
        <v>0</v>
      </c>
      <c r="CG327" s="75">
        <f t="shared" si="22"/>
        <v>4183</v>
      </c>
      <c r="CH327" s="69" t="str">
        <f t="shared" si="22"/>
        <v>برنامج دولى</v>
      </c>
    </row>
    <row r="328" spans="1:86" ht="18.75" x14ac:dyDescent="0.25">
      <c r="A328" s="148"/>
      <c r="B328" s="82">
        <v>7842</v>
      </c>
      <c r="C328" s="149">
        <v>4184</v>
      </c>
      <c r="D328" s="71" t="s">
        <v>78</v>
      </c>
      <c r="E328" s="69" t="s">
        <v>3205</v>
      </c>
      <c r="F328" s="63"/>
      <c r="G328" s="69">
        <v>41875.449999999997</v>
      </c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94">
        <f t="shared" si="25"/>
        <v>41875.449999999997</v>
      </c>
      <c r="AS328" s="69">
        <v>30429.45</v>
      </c>
      <c r="AT328" s="69">
        <v>3980.17</v>
      </c>
      <c r="AU328" s="69">
        <v>7465.83</v>
      </c>
      <c r="AV328" s="69"/>
      <c r="AW328" s="69"/>
      <c r="AX328" s="69"/>
      <c r="AY328" s="69"/>
      <c r="AZ328" s="69"/>
      <c r="BA328" s="69"/>
      <c r="BB328" s="69"/>
      <c r="BC328" s="69"/>
      <c r="BD328" s="69"/>
      <c r="BE328" s="69"/>
      <c r="BF328" s="69"/>
      <c r="BG328" s="69"/>
      <c r="BH328" s="69"/>
      <c r="BI328" s="69"/>
      <c r="BJ328" s="69"/>
      <c r="BK328" s="69"/>
      <c r="BL328" s="69"/>
      <c r="BM328" s="69"/>
      <c r="BN328" s="69"/>
      <c r="BO328" s="69"/>
      <c r="BP328" s="69"/>
      <c r="BQ328" s="69"/>
      <c r="BR328" s="69"/>
      <c r="BS328" s="69"/>
      <c r="BT328" s="69"/>
      <c r="BU328" s="69"/>
      <c r="BV328" s="69"/>
      <c r="BW328" s="69"/>
      <c r="BX328" s="69"/>
      <c r="BY328" s="69"/>
      <c r="BZ328" s="69"/>
      <c r="CA328" s="69"/>
      <c r="CB328" s="69"/>
      <c r="CC328" s="69"/>
      <c r="CD328" s="69"/>
      <c r="CE328" s="94">
        <f t="shared" si="23"/>
        <v>41875.450000000004</v>
      </c>
      <c r="CF328" s="151">
        <f t="shared" si="24"/>
        <v>0</v>
      </c>
      <c r="CG328" s="75">
        <f t="shared" si="22"/>
        <v>4184</v>
      </c>
      <c r="CH328" s="69" t="str">
        <f t="shared" si="22"/>
        <v>برنامج دولى</v>
      </c>
    </row>
    <row r="329" spans="1:86" ht="18.75" x14ac:dyDescent="0.25">
      <c r="A329" s="148"/>
      <c r="B329" s="82">
        <v>7840</v>
      </c>
      <c r="C329" s="149">
        <v>4185</v>
      </c>
      <c r="D329" s="71" t="s">
        <v>78</v>
      </c>
      <c r="E329" s="69" t="s">
        <v>3205</v>
      </c>
      <c r="F329" s="63"/>
      <c r="G329" s="69">
        <v>1993.25</v>
      </c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94">
        <f t="shared" si="25"/>
        <v>1993.25</v>
      </c>
      <c r="AS329" s="69">
        <v>1332</v>
      </c>
      <c r="AT329" s="69">
        <v>181</v>
      </c>
      <c r="AU329" s="69">
        <v>480.25</v>
      </c>
      <c r="AV329" s="69"/>
      <c r="AW329" s="69"/>
      <c r="AX329" s="69"/>
      <c r="AY329" s="69"/>
      <c r="AZ329" s="69"/>
      <c r="BA329" s="69"/>
      <c r="BB329" s="69"/>
      <c r="BC329" s="69"/>
      <c r="BD329" s="69"/>
      <c r="BE329" s="69"/>
      <c r="BF329" s="69"/>
      <c r="BG329" s="69"/>
      <c r="BH329" s="69"/>
      <c r="BI329" s="69"/>
      <c r="BJ329" s="69"/>
      <c r="BK329" s="69"/>
      <c r="BL329" s="69"/>
      <c r="BM329" s="69"/>
      <c r="BN329" s="69"/>
      <c r="BO329" s="69"/>
      <c r="BP329" s="69"/>
      <c r="BQ329" s="69"/>
      <c r="BR329" s="69"/>
      <c r="BS329" s="69"/>
      <c r="BT329" s="69"/>
      <c r="BU329" s="69"/>
      <c r="BV329" s="69"/>
      <c r="BW329" s="69"/>
      <c r="BX329" s="69"/>
      <c r="BY329" s="69"/>
      <c r="BZ329" s="69"/>
      <c r="CA329" s="69"/>
      <c r="CB329" s="69"/>
      <c r="CC329" s="69"/>
      <c r="CD329" s="69"/>
      <c r="CE329" s="94">
        <f t="shared" si="23"/>
        <v>1993.25</v>
      </c>
      <c r="CF329" s="151">
        <f t="shared" si="24"/>
        <v>0</v>
      </c>
      <c r="CG329" s="75">
        <f t="shared" si="22"/>
        <v>4185</v>
      </c>
      <c r="CH329" s="69" t="str">
        <f t="shared" si="22"/>
        <v>برنامج دولى</v>
      </c>
    </row>
    <row r="330" spans="1:86" ht="18.75" x14ac:dyDescent="0.25">
      <c r="A330" s="148"/>
      <c r="B330" s="82">
        <v>7839</v>
      </c>
      <c r="C330" s="149">
        <v>4186</v>
      </c>
      <c r="D330" s="71" t="s">
        <v>78</v>
      </c>
      <c r="E330" s="69" t="s">
        <v>3205</v>
      </c>
      <c r="F330" s="63"/>
      <c r="G330" s="69">
        <v>2110.5</v>
      </c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94">
        <f t="shared" si="25"/>
        <v>2110.5</v>
      </c>
      <c r="AS330" s="69">
        <v>1410.35</v>
      </c>
      <c r="AT330" s="69">
        <v>191.65</v>
      </c>
      <c r="AU330" s="69">
        <v>508.5</v>
      </c>
      <c r="AV330" s="69"/>
      <c r="AW330" s="69"/>
      <c r="AX330" s="69"/>
      <c r="AY330" s="69"/>
      <c r="AZ330" s="69"/>
      <c r="BA330" s="69"/>
      <c r="BB330" s="69"/>
      <c r="BC330" s="69"/>
      <c r="BD330" s="69"/>
      <c r="BE330" s="69"/>
      <c r="BF330" s="69"/>
      <c r="BG330" s="69"/>
      <c r="BH330" s="69"/>
      <c r="BI330" s="69"/>
      <c r="BJ330" s="69"/>
      <c r="BK330" s="69"/>
      <c r="BL330" s="69"/>
      <c r="BM330" s="69"/>
      <c r="BN330" s="69"/>
      <c r="BO330" s="69"/>
      <c r="BP330" s="69"/>
      <c r="BQ330" s="69"/>
      <c r="BR330" s="69"/>
      <c r="BS330" s="69"/>
      <c r="BT330" s="69"/>
      <c r="BU330" s="69"/>
      <c r="BV330" s="69"/>
      <c r="BW330" s="69"/>
      <c r="BX330" s="69"/>
      <c r="BY330" s="69"/>
      <c r="BZ330" s="69"/>
      <c r="CA330" s="69"/>
      <c r="CB330" s="69"/>
      <c r="CC330" s="69"/>
      <c r="CD330" s="69"/>
      <c r="CE330" s="94">
        <f t="shared" si="23"/>
        <v>2110.5</v>
      </c>
      <c r="CF330" s="151">
        <f t="shared" si="24"/>
        <v>0</v>
      </c>
      <c r="CG330" s="75">
        <f t="shared" si="22"/>
        <v>4186</v>
      </c>
      <c r="CH330" s="69" t="str">
        <f t="shared" si="22"/>
        <v>برنامج دولى</v>
      </c>
    </row>
    <row r="331" spans="1:86" ht="18.75" x14ac:dyDescent="0.25">
      <c r="A331" s="148"/>
      <c r="B331" s="82">
        <v>7838</v>
      </c>
      <c r="C331" s="149">
        <v>4187</v>
      </c>
      <c r="D331" s="71" t="s">
        <v>78</v>
      </c>
      <c r="E331" s="69" t="s">
        <v>3205</v>
      </c>
      <c r="F331" s="63"/>
      <c r="G331" s="69">
        <v>6214.25</v>
      </c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94">
        <f t="shared" si="25"/>
        <v>6214.25</v>
      </c>
      <c r="AS331" s="69">
        <v>4153.1000000000004</v>
      </c>
      <c r="AT331" s="69">
        <v>563.9</v>
      </c>
      <c r="AU331" s="69">
        <v>1497.25</v>
      </c>
      <c r="AV331" s="69"/>
      <c r="AW331" s="69"/>
      <c r="AX331" s="69"/>
      <c r="AY331" s="69"/>
      <c r="AZ331" s="69"/>
      <c r="BA331" s="69"/>
      <c r="BB331" s="69"/>
      <c r="BC331" s="69"/>
      <c r="BD331" s="69"/>
      <c r="BE331" s="69"/>
      <c r="BF331" s="69"/>
      <c r="BG331" s="69"/>
      <c r="BH331" s="69"/>
      <c r="BI331" s="69"/>
      <c r="BJ331" s="69"/>
      <c r="BK331" s="69"/>
      <c r="BL331" s="69"/>
      <c r="BM331" s="69"/>
      <c r="BN331" s="69"/>
      <c r="BO331" s="69"/>
      <c r="BP331" s="69"/>
      <c r="BQ331" s="69"/>
      <c r="BR331" s="69"/>
      <c r="BS331" s="69"/>
      <c r="BT331" s="69"/>
      <c r="BU331" s="69"/>
      <c r="BV331" s="69"/>
      <c r="BW331" s="69"/>
      <c r="BX331" s="69"/>
      <c r="BY331" s="69"/>
      <c r="BZ331" s="69"/>
      <c r="CA331" s="69"/>
      <c r="CB331" s="69"/>
      <c r="CC331" s="69"/>
      <c r="CD331" s="69"/>
      <c r="CE331" s="94">
        <f t="shared" si="23"/>
        <v>6214.25</v>
      </c>
      <c r="CF331" s="151">
        <f t="shared" si="24"/>
        <v>0</v>
      </c>
      <c r="CG331" s="75">
        <f t="shared" si="22"/>
        <v>4187</v>
      </c>
      <c r="CH331" s="69" t="str">
        <f t="shared" si="22"/>
        <v>برنامج دولى</v>
      </c>
    </row>
    <row r="332" spans="1:86" ht="18.75" x14ac:dyDescent="0.25">
      <c r="A332" s="148"/>
      <c r="B332" s="82">
        <v>7847</v>
      </c>
      <c r="C332" s="149">
        <v>4188</v>
      </c>
      <c r="D332" s="71" t="s">
        <v>78</v>
      </c>
      <c r="E332" s="69" t="s">
        <v>3205</v>
      </c>
      <c r="F332" s="63"/>
      <c r="G332" s="69">
        <v>337738.84</v>
      </c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94">
        <f t="shared" si="25"/>
        <v>337738.84</v>
      </c>
      <c r="AS332" s="69">
        <v>230681.66</v>
      </c>
      <c r="AT332" s="69">
        <v>30828.22</v>
      </c>
      <c r="AU332" s="69">
        <v>76228.960000000006</v>
      </c>
      <c r="AV332" s="69"/>
      <c r="AW332" s="69"/>
      <c r="AX332" s="69"/>
      <c r="AY332" s="69"/>
      <c r="AZ332" s="69"/>
      <c r="BA332" s="69"/>
      <c r="BB332" s="69"/>
      <c r="BC332" s="69"/>
      <c r="BD332" s="69"/>
      <c r="BE332" s="69"/>
      <c r="BF332" s="69"/>
      <c r="BG332" s="69"/>
      <c r="BH332" s="69"/>
      <c r="BI332" s="69"/>
      <c r="BJ332" s="69"/>
      <c r="BK332" s="69"/>
      <c r="BL332" s="69"/>
      <c r="BM332" s="69"/>
      <c r="BN332" s="69"/>
      <c r="BO332" s="69"/>
      <c r="BP332" s="69"/>
      <c r="BQ332" s="69"/>
      <c r="BR332" s="69"/>
      <c r="BS332" s="69"/>
      <c r="BT332" s="69"/>
      <c r="BU332" s="69"/>
      <c r="BV332" s="69"/>
      <c r="BW332" s="69"/>
      <c r="BX332" s="69"/>
      <c r="BY332" s="69"/>
      <c r="BZ332" s="69"/>
      <c r="CA332" s="69"/>
      <c r="CB332" s="69"/>
      <c r="CC332" s="69"/>
      <c r="CD332" s="69"/>
      <c r="CE332" s="94">
        <f t="shared" si="23"/>
        <v>337738.84</v>
      </c>
      <c r="CF332" s="151">
        <f t="shared" si="24"/>
        <v>0</v>
      </c>
      <c r="CG332" s="75">
        <f t="shared" si="22"/>
        <v>4188</v>
      </c>
      <c r="CH332" s="69" t="str">
        <f t="shared" si="22"/>
        <v>برنامج دولى</v>
      </c>
    </row>
    <row r="333" spans="1:86" ht="18.75" x14ac:dyDescent="0.25">
      <c r="A333" s="148"/>
      <c r="B333" s="82">
        <v>7781</v>
      </c>
      <c r="C333" s="149">
        <v>4189</v>
      </c>
      <c r="D333" s="71" t="s">
        <v>78</v>
      </c>
      <c r="E333" s="69" t="s">
        <v>3206</v>
      </c>
      <c r="F333" s="63"/>
      <c r="G333" s="69">
        <v>3229.17</v>
      </c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69"/>
      <c r="AJ333" s="69"/>
      <c r="AK333" s="69"/>
      <c r="AL333" s="69"/>
      <c r="AM333" s="69"/>
      <c r="AN333" s="69"/>
      <c r="AO333" s="69"/>
      <c r="AP333" s="69"/>
      <c r="AQ333" s="69"/>
      <c r="AR333" s="94">
        <f t="shared" si="25"/>
        <v>3229.17</v>
      </c>
      <c r="AS333" s="69">
        <v>2882.4</v>
      </c>
      <c r="AT333" s="69">
        <v>346.77</v>
      </c>
      <c r="AU333" s="69"/>
      <c r="AV333" s="69"/>
      <c r="AW333" s="69"/>
      <c r="AX333" s="69"/>
      <c r="AY333" s="69"/>
      <c r="AZ333" s="69"/>
      <c r="BA333" s="69"/>
      <c r="BB333" s="69"/>
      <c r="BC333" s="69"/>
      <c r="BD333" s="69"/>
      <c r="BE333" s="69"/>
      <c r="BF333" s="69"/>
      <c r="BG333" s="69"/>
      <c r="BH333" s="69"/>
      <c r="BI333" s="69"/>
      <c r="BJ333" s="69"/>
      <c r="BK333" s="69"/>
      <c r="BL333" s="69"/>
      <c r="BM333" s="69"/>
      <c r="BN333" s="69"/>
      <c r="BO333" s="69"/>
      <c r="BP333" s="69"/>
      <c r="BQ333" s="69"/>
      <c r="BR333" s="69"/>
      <c r="BS333" s="69"/>
      <c r="BT333" s="69"/>
      <c r="BU333" s="69"/>
      <c r="BV333" s="69"/>
      <c r="BW333" s="69"/>
      <c r="BX333" s="69"/>
      <c r="BY333" s="69"/>
      <c r="BZ333" s="69"/>
      <c r="CA333" s="69"/>
      <c r="CB333" s="69"/>
      <c r="CC333" s="69"/>
      <c r="CD333" s="69"/>
      <c r="CE333" s="94">
        <f t="shared" si="23"/>
        <v>3229.17</v>
      </c>
      <c r="CF333" s="151">
        <f t="shared" si="24"/>
        <v>0</v>
      </c>
      <c r="CG333" s="75">
        <f t="shared" si="22"/>
        <v>4189</v>
      </c>
      <c r="CH333" s="69" t="str">
        <f t="shared" si="22"/>
        <v>برنامج دولى</v>
      </c>
    </row>
    <row r="334" spans="1:86" ht="18.75" x14ac:dyDescent="0.25">
      <c r="A334" s="148"/>
      <c r="B334" s="82">
        <v>8084</v>
      </c>
      <c r="C334" s="149">
        <v>4190</v>
      </c>
      <c r="D334" s="71" t="s">
        <v>78</v>
      </c>
      <c r="E334" s="69" t="s">
        <v>3207</v>
      </c>
      <c r="F334" s="63"/>
      <c r="G334" s="69">
        <v>3000</v>
      </c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/>
      <c r="AJ334" s="69"/>
      <c r="AK334" s="69"/>
      <c r="AL334" s="69"/>
      <c r="AM334" s="69"/>
      <c r="AN334" s="69"/>
      <c r="AO334" s="69"/>
      <c r="AP334" s="69"/>
      <c r="AQ334" s="69"/>
      <c r="AR334" s="94">
        <f t="shared" si="25"/>
        <v>3000</v>
      </c>
      <c r="AS334" s="69">
        <v>2682.3</v>
      </c>
      <c r="AT334" s="69">
        <v>317.7</v>
      </c>
      <c r="AU334" s="69"/>
      <c r="AV334" s="69"/>
      <c r="AW334" s="69"/>
      <c r="AX334" s="69"/>
      <c r="AY334" s="69"/>
      <c r="AZ334" s="69"/>
      <c r="BA334" s="69"/>
      <c r="BB334" s="69"/>
      <c r="BC334" s="69"/>
      <c r="BD334" s="69"/>
      <c r="BE334" s="69"/>
      <c r="BF334" s="69"/>
      <c r="BG334" s="69"/>
      <c r="BH334" s="69"/>
      <c r="BI334" s="69"/>
      <c r="BJ334" s="69"/>
      <c r="BK334" s="69"/>
      <c r="BL334" s="69"/>
      <c r="BM334" s="69"/>
      <c r="BN334" s="69"/>
      <c r="BO334" s="69"/>
      <c r="BP334" s="69"/>
      <c r="BQ334" s="69"/>
      <c r="BR334" s="69"/>
      <c r="BS334" s="69"/>
      <c r="BT334" s="69"/>
      <c r="BU334" s="69"/>
      <c r="BV334" s="69"/>
      <c r="BW334" s="69"/>
      <c r="BX334" s="69"/>
      <c r="BY334" s="69"/>
      <c r="BZ334" s="69"/>
      <c r="CA334" s="69"/>
      <c r="CB334" s="69"/>
      <c r="CC334" s="69"/>
      <c r="CD334" s="69"/>
      <c r="CE334" s="94">
        <f t="shared" si="23"/>
        <v>3000</v>
      </c>
      <c r="CF334" s="151">
        <f t="shared" si="24"/>
        <v>0</v>
      </c>
      <c r="CG334" s="75">
        <f t="shared" si="22"/>
        <v>4190</v>
      </c>
      <c r="CH334" s="69" t="str">
        <f t="shared" si="22"/>
        <v>برنامج دولى</v>
      </c>
    </row>
    <row r="335" spans="1:86" ht="18.75" x14ac:dyDescent="0.25">
      <c r="A335" s="148"/>
      <c r="B335" s="82">
        <v>8036</v>
      </c>
      <c r="C335" s="149">
        <v>4191</v>
      </c>
      <c r="D335" s="71" t="s">
        <v>78</v>
      </c>
      <c r="E335" s="69" t="str">
        <f>+E336</f>
        <v>مكافاه لجان</v>
      </c>
      <c r="F335" s="63"/>
      <c r="G335" s="69">
        <v>800</v>
      </c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69"/>
      <c r="AJ335" s="69"/>
      <c r="AK335" s="69"/>
      <c r="AL335" s="69"/>
      <c r="AM335" s="69"/>
      <c r="AN335" s="69"/>
      <c r="AO335" s="69"/>
      <c r="AP335" s="69"/>
      <c r="AQ335" s="69"/>
      <c r="AR335" s="94">
        <f t="shared" si="25"/>
        <v>800</v>
      </c>
      <c r="AS335" s="69">
        <v>714.75</v>
      </c>
      <c r="AT335" s="69">
        <v>85.25</v>
      </c>
      <c r="AU335" s="69"/>
      <c r="AV335" s="69"/>
      <c r="AW335" s="69"/>
      <c r="AX335" s="69"/>
      <c r="AY335" s="69"/>
      <c r="AZ335" s="69"/>
      <c r="BA335" s="69"/>
      <c r="BB335" s="69"/>
      <c r="BC335" s="69"/>
      <c r="BD335" s="69"/>
      <c r="BE335" s="69"/>
      <c r="BF335" s="69"/>
      <c r="BG335" s="69"/>
      <c r="BH335" s="69"/>
      <c r="BI335" s="69"/>
      <c r="BJ335" s="69"/>
      <c r="BK335" s="69"/>
      <c r="BL335" s="69"/>
      <c r="BM335" s="69"/>
      <c r="BN335" s="69"/>
      <c r="BO335" s="69"/>
      <c r="BP335" s="69"/>
      <c r="BQ335" s="69"/>
      <c r="BR335" s="69"/>
      <c r="BS335" s="69"/>
      <c r="BT335" s="69"/>
      <c r="BU335" s="69"/>
      <c r="BV335" s="69"/>
      <c r="BW335" s="69"/>
      <c r="BX335" s="69"/>
      <c r="BY335" s="69"/>
      <c r="BZ335" s="69"/>
      <c r="CA335" s="69"/>
      <c r="CB335" s="69"/>
      <c r="CC335" s="69"/>
      <c r="CD335" s="69"/>
      <c r="CE335" s="94">
        <f t="shared" si="23"/>
        <v>800</v>
      </c>
      <c r="CF335" s="151">
        <f t="shared" si="24"/>
        <v>0</v>
      </c>
      <c r="CG335" s="75">
        <f t="shared" si="22"/>
        <v>4191</v>
      </c>
      <c r="CH335" s="69" t="str">
        <f t="shared" si="22"/>
        <v>برنامج دولى</v>
      </c>
    </row>
    <row r="336" spans="1:86" ht="18.75" x14ac:dyDescent="0.25">
      <c r="A336" s="148"/>
      <c r="B336" s="82">
        <v>8037</v>
      </c>
      <c r="C336" s="149">
        <v>4192</v>
      </c>
      <c r="D336" s="71" t="s">
        <v>78</v>
      </c>
      <c r="E336" s="69" t="s">
        <v>3208</v>
      </c>
      <c r="F336" s="63"/>
      <c r="G336" s="69">
        <v>1372.5</v>
      </c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69"/>
      <c r="AJ336" s="69"/>
      <c r="AK336" s="69"/>
      <c r="AL336" s="69"/>
      <c r="AM336" s="69"/>
      <c r="AN336" s="69"/>
      <c r="AO336" s="69"/>
      <c r="AP336" s="69"/>
      <c r="AQ336" s="69"/>
      <c r="AR336" s="94">
        <f t="shared" si="25"/>
        <v>1372.5</v>
      </c>
      <c r="AS336" s="69">
        <v>963.65</v>
      </c>
      <c r="AT336" s="69">
        <v>126.35</v>
      </c>
      <c r="AU336" s="69">
        <v>282.5</v>
      </c>
      <c r="AV336" s="69"/>
      <c r="AW336" s="69"/>
      <c r="AX336" s="69"/>
      <c r="AY336" s="69"/>
      <c r="AZ336" s="69"/>
      <c r="BA336" s="69"/>
      <c r="BB336" s="69"/>
      <c r="BC336" s="69"/>
      <c r="BD336" s="69"/>
      <c r="BE336" s="69"/>
      <c r="BF336" s="69"/>
      <c r="BG336" s="69"/>
      <c r="BH336" s="69"/>
      <c r="BI336" s="69"/>
      <c r="BJ336" s="69"/>
      <c r="BK336" s="69"/>
      <c r="BL336" s="69"/>
      <c r="BM336" s="69"/>
      <c r="BN336" s="69"/>
      <c r="BO336" s="69"/>
      <c r="BP336" s="69"/>
      <c r="BQ336" s="69"/>
      <c r="BR336" s="69"/>
      <c r="BS336" s="69"/>
      <c r="BT336" s="69"/>
      <c r="BU336" s="69"/>
      <c r="BV336" s="69"/>
      <c r="BW336" s="69"/>
      <c r="BX336" s="69"/>
      <c r="BY336" s="69"/>
      <c r="BZ336" s="69"/>
      <c r="CA336" s="69"/>
      <c r="CB336" s="69"/>
      <c r="CC336" s="69"/>
      <c r="CD336" s="69"/>
      <c r="CE336" s="94">
        <f t="shared" si="23"/>
        <v>1372.5</v>
      </c>
      <c r="CF336" s="151">
        <f t="shared" si="24"/>
        <v>0</v>
      </c>
      <c r="CG336" s="75">
        <f t="shared" si="22"/>
        <v>4192</v>
      </c>
      <c r="CH336" s="69" t="str">
        <f t="shared" si="22"/>
        <v>برنامج دولى</v>
      </c>
    </row>
    <row r="337" spans="1:86" ht="18.75" x14ac:dyDescent="0.25">
      <c r="A337" s="148"/>
      <c r="B337" s="82">
        <v>8038</v>
      </c>
      <c r="C337" s="149">
        <v>4193</v>
      </c>
      <c r="D337" s="71" t="s">
        <v>78</v>
      </c>
      <c r="E337" s="69" t="s">
        <v>3208</v>
      </c>
      <c r="F337" s="63"/>
      <c r="G337" s="69">
        <v>469</v>
      </c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69"/>
      <c r="AJ337" s="69"/>
      <c r="AK337" s="69"/>
      <c r="AL337" s="69"/>
      <c r="AM337" s="69"/>
      <c r="AN337" s="69"/>
      <c r="AO337" s="69"/>
      <c r="AP337" s="69"/>
      <c r="AQ337" s="69"/>
      <c r="AR337" s="94">
        <f t="shared" si="25"/>
        <v>469</v>
      </c>
      <c r="AS337" s="69">
        <v>314</v>
      </c>
      <c r="AT337" s="69">
        <v>42</v>
      </c>
      <c r="AU337" s="69">
        <v>113</v>
      </c>
      <c r="AV337" s="69"/>
      <c r="AW337" s="69"/>
      <c r="AX337" s="69"/>
      <c r="AY337" s="69"/>
      <c r="AZ337" s="69"/>
      <c r="BA337" s="69"/>
      <c r="BB337" s="69"/>
      <c r="BC337" s="69"/>
      <c r="BD337" s="69"/>
      <c r="BE337" s="69"/>
      <c r="BF337" s="69"/>
      <c r="BG337" s="69"/>
      <c r="BH337" s="69"/>
      <c r="BI337" s="69"/>
      <c r="BJ337" s="69"/>
      <c r="BK337" s="69"/>
      <c r="BL337" s="69"/>
      <c r="BM337" s="69"/>
      <c r="BN337" s="69"/>
      <c r="BO337" s="69"/>
      <c r="BP337" s="69"/>
      <c r="BQ337" s="69"/>
      <c r="BR337" s="69"/>
      <c r="BS337" s="69"/>
      <c r="BT337" s="69"/>
      <c r="BU337" s="69"/>
      <c r="BV337" s="69"/>
      <c r="BW337" s="69"/>
      <c r="BX337" s="69"/>
      <c r="BY337" s="69"/>
      <c r="BZ337" s="69"/>
      <c r="CA337" s="69"/>
      <c r="CB337" s="69"/>
      <c r="CC337" s="69"/>
      <c r="CD337" s="69"/>
      <c r="CE337" s="94">
        <f t="shared" si="23"/>
        <v>469</v>
      </c>
      <c r="CF337" s="151">
        <f t="shared" si="24"/>
        <v>0</v>
      </c>
      <c r="CG337" s="75">
        <f t="shared" si="22"/>
        <v>4193</v>
      </c>
      <c r="CH337" s="69" t="str">
        <f t="shared" si="22"/>
        <v>برنامج دولى</v>
      </c>
    </row>
    <row r="338" spans="1:86" ht="18.75" x14ac:dyDescent="0.25">
      <c r="A338" s="148"/>
      <c r="B338" s="82">
        <v>8039</v>
      </c>
      <c r="C338" s="149">
        <v>4194</v>
      </c>
      <c r="D338" s="71" t="s">
        <v>78</v>
      </c>
      <c r="E338" s="69" t="s">
        <v>3208</v>
      </c>
      <c r="F338" s="63"/>
      <c r="G338" s="69">
        <v>956.58</v>
      </c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69"/>
      <c r="AJ338" s="69"/>
      <c r="AK338" s="69"/>
      <c r="AL338" s="69"/>
      <c r="AM338" s="69"/>
      <c r="AN338" s="69"/>
      <c r="AO338" s="69"/>
      <c r="AP338" s="69"/>
      <c r="AQ338" s="69"/>
      <c r="AR338" s="94">
        <f t="shared" si="25"/>
        <v>956.58</v>
      </c>
      <c r="AS338" s="69">
        <v>616.65</v>
      </c>
      <c r="AT338" s="69">
        <v>83.5</v>
      </c>
      <c r="AU338" s="69">
        <v>256.43</v>
      </c>
      <c r="AV338" s="69"/>
      <c r="AW338" s="69"/>
      <c r="AX338" s="69"/>
      <c r="AY338" s="69"/>
      <c r="AZ338" s="69"/>
      <c r="BA338" s="69"/>
      <c r="BB338" s="69"/>
      <c r="BC338" s="69"/>
      <c r="BD338" s="69"/>
      <c r="BE338" s="69"/>
      <c r="BF338" s="69"/>
      <c r="BG338" s="69"/>
      <c r="BH338" s="69"/>
      <c r="BI338" s="69"/>
      <c r="BJ338" s="69"/>
      <c r="BK338" s="69"/>
      <c r="BL338" s="69"/>
      <c r="BM338" s="69"/>
      <c r="BN338" s="69"/>
      <c r="BO338" s="69"/>
      <c r="BP338" s="69"/>
      <c r="BQ338" s="69"/>
      <c r="BR338" s="69"/>
      <c r="BS338" s="69"/>
      <c r="BT338" s="69"/>
      <c r="BU338" s="69"/>
      <c r="BV338" s="69"/>
      <c r="BW338" s="69"/>
      <c r="BX338" s="69"/>
      <c r="BY338" s="69"/>
      <c r="BZ338" s="69"/>
      <c r="CA338" s="69"/>
      <c r="CB338" s="69"/>
      <c r="CC338" s="69"/>
      <c r="CD338" s="69"/>
      <c r="CE338" s="94">
        <f t="shared" si="23"/>
        <v>956.57999999999993</v>
      </c>
      <c r="CF338" s="151">
        <f t="shared" si="24"/>
        <v>0</v>
      </c>
      <c r="CG338" s="75">
        <f t="shared" si="22"/>
        <v>4194</v>
      </c>
      <c r="CH338" s="69" t="str">
        <f t="shared" si="22"/>
        <v>برنامج دولى</v>
      </c>
    </row>
    <row r="339" spans="1:86" ht="18.75" x14ac:dyDescent="0.25">
      <c r="A339" s="148"/>
      <c r="B339" s="82">
        <v>8040</v>
      </c>
      <c r="C339" s="149">
        <v>4195</v>
      </c>
      <c r="D339" s="71" t="s">
        <v>78</v>
      </c>
      <c r="E339" s="69" t="s">
        <v>3208</v>
      </c>
      <c r="F339" s="63"/>
      <c r="G339" s="69">
        <v>1034.5</v>
      </c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69"/>
      <c r="AJ339" s="69"/>
      <c r="AK339" s="69"/>
      <c r="AL339" s="69"/>
      <c r="AM339" s="69"/>
      <c r="AN339" s="69"/>
      <c r="AO339" s="69"/>
      <c r="AP339" s="69"/>
      <c r="AQ339" s="69"/>
      <c r="AR339" s="94">
        <f t="shared" si="25"/>
        <v>1034.5</v>
      </c>
      <c r="AS339" s="69">
        <v>871.95</v>
      </c>
      <c r="AT339" s="69">
        <v>106.05</v>
      </c>
      <c r="AU339" s="69">
        <v>56.5</v>
      </c>
      <c r="AV339" s="69"/>
      <c r="AW339" s="69"/>
      <c r="AX339" s="69"/>
      <c r="AY339" s="69"/>
      <c r="AZ339" s="69"/>
      <c r="BA339" s="69"/>
      <c r="BB339" s="69"/>
      <c r="BC339" s="69"/>
      <c r="BD339" s="69"/>
      <c r="BE339" s="69"/>
      <c r="BF339" s="69"/>
      <c r="BG339" s="69"/>
      <c r="BH339" s="69"/>
      <c r="BI339" s="69"/>
      <c r="BJ339" s="69"/>
      <c r="BK339" s="69"/>
      <c r="BL339" s="69"/>
      <c r="BM339" s="69"/>
      <c r="BN339" s="69"/>
      <c r="BO339" s="69"/>
      <c r="BP339" s="69"/>
      <c r="BQ339" s="69"/>
      <c r="BR339" s="69"/>
      <c r="BS339" s="69"/>
      <c r="BT339" s="69"/>
      <c r="BU339" s="69"/>
      <c r="BV339" s="69"/>
      <c r="BW339" s="69"/>
      <c r="BX339" s="69"/>
      <c r="BY339" s="69"/>
      <c r="BZ339" s="69"/>
      <c r="CA339" s="69"/>
      <c r="CB339" s="69"/>
      <c r="CC339" s="69"/>
      <c r="CD339" s="69"/>
      <c r="CE339" s="94">
        <f t="shared" si="23"/>
        <v>1034.5</v>
      </c>
      <c r="CF339" s="151">
        <f t="shared" si="24"/>
        <v>0</v>
      </c>
      <c r="CG339" s="75">
        <f t="shared" si="22"/>
        <v>4195</v>
      </c>
      <c r="CH339" s="69" t="str">
        <f t="shared" si="22"/>
        <v>برنامج دولى</v>
      </c>
    </row>
    <row r="340" spans="1:86" ht="18.75" x14ac:dyDescent="0.25">
      <c r="A340" s="148"/>
      <c r="B340" s="82">
        <v>8041</v>
      </c>
      <c r="C340" s="149">
        <v>4196</v>
      </c>
      <c r="D340" s="71" t="s">
        <v>78</v>
      </c>
      <c r="E340" s="69" t="s">
        <v>3208</v>
      </c>
      <c r="F340" s="63"/>
      <c r="G340" s="69">
        <v>200</v>
      </c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/>
      <c r="AJ340" s="69"/>
      <c r="AK340" s="69"/>
      <c r="AL340" s="69"/>
      <c r="AM340" s="69"/>
      <c r="AN340" s="69"/>
      <c r="AO340" s="69"/>
      <c r="AP340" s="69"/>
      <c r="AQ340" s="69"/>
      <c r="AR340" s="94">
        <f t="shared" si="25"/>
        <v>200</v>
      </c>
      <c r="AS340" s="69">
        <v>179.1</v>
      </c>
      <c r="AT340" s="69">
        <v>20.9</v>
      </c>
      <c r="AU340" s="69"/>
      <c r="AV340" s="69"/>
      <c r="AW340" s="69"/>
      <c r="AX340" s="69"/>
      <c r="AY340" s="69"/>
      <c r="AZ340" s="69"/>
      <c r="BA340" s="69"/>
      <c r="BB340" s="69"/>
      <c r="BC340" s="69"/>
      <c r="BD340" s="69"/>
      <c r="BE340" s="69"/>
      <c r="BF340" s="69"/>
      <c r="BG340" s="69"/>
      <c r="BH340" s="69"/>
      <c r="BI340" s="69"/>
      <c r="BJ340" s="69"/>
      <c r="BK340" s="69"/>
      <c r="BL340" s="69"/>
      <c r="BM340" s="69"/>
      <c r="BN340" s="69"/>
      <c r="BO340" s="69"/>
      <c r="BP340" s="69"/>
      <c r="BQ340" s="69"/>
      <c r="BR340" s="69"/>
      <c r="BS340" s="69"/>
      <c r="BT340" s="69"/>
      <c r="BU340" s="69"/>
      <c r="BV340" s="69"/>
      <c r="BW340" s="69"/>
      <c r="BX340" s="69"/>
      <c r="BY340" s="69"/>
      <c r="BZ340" s="69"/>
      <c r="CA340" s="69"/>
      <c r="CB340" s="69"/>
      <c r="CC340" s="69"/>
      <c r="CD340" s="69"/>
      <c r="CE340" s="94">
        <f t="shared" si="23"/>
        <v>200</v>
      </c>
      <c r="CF340" s="151">
        <f t="shared" si="24"/>
        <v>0</v>
      </c>
      <c r="CG340" s="75">
        <f t="shared" si="22"/>
        <v>4196</v>
      </c>
      <c r="CH340" s="69" t="str">
        <f t="shared" si="22"/>
        <v>برنامج دولى</v>
      </c>
    </row>
    <row r="341" spans="1:86" ht="18.75" x14ac:dyDescent="0.25">
      <c r="A341" s="148"/>
      <c r="B341" s="82">
        <v>8042</v>
      </c>
      <c r="C341" s="149">
        <v>4197</v>
      </c>
      <c r="D341" s="71" t="s">
        <v>78</v>
      </c>
      <c r="E341" s="69" t="s">
        <v>3208</v>
      </c>
      <c r="F341" s="63"/>
      <c r="G341" s="69">
        <v>600</v>
      </c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69"/>
      <c r="AJ341" s="69"/>
      <c r="AK341" s="69"/>
      <c r="AL341" s="69"/>
      <c r="AM341" s="69"/>
      <c r="AN341" s="69"/>
      <c r="AO341" s="69"/>
      <c r="AP341" s="69"/>
      <c r="AQ341" s="69"/>
      <c r="AR341" s="94">
        <f t="shared" si="25"/>
        <v>600</v>
      </c>
      <c r="AS341" s="69">
        <v>536.15</v>
      </c>
      <c r="AT341" s="69">
        <v>63.85</v>
      </c>
      <c r="AU341" s="69"/>
      <c r="AV341" s="69"/>
      <c r="AW341" s="69"/>
      <c r="AX341" s="69"/>
      <c r="AY341" s="69"/>
      <c r="AZ341" s="69"/>
      <c r="BA341" s="69"/>
      <c r="BB341" s="69"/>
      <c r="BC341" s="69"/>
      <c r="BD341" s="69"/>
      <c r="BE341" s="69"/>
      <c r="BF341" s="69"/>
      <c r="BG341" s="69"/>
      <c r="BH341" s="69"/>
      <c r="BI341" s="69"/>
      <c r="BJ341" s="69"/>
      <c r="BK341" s="69"/>
      <c r="BL341" s="69"/>
      <c r="BM341" s="69"/>
      <c r="BN341" s="69"/>
      <c r="BO341" s="69"/>
      <c r="BP341" s="69"/>
      <c r="BQ341" s="69"/>
      <c r="BR341" s="69"/>
      <c r="BS341" s="69"/>
      <c r="BT341" s="69"/>
      <c r="BU341" s="69"/>
      <c r="BV341" s="69"/>
      <c r="BW341" s="69"/>
      <c r="BX341" s="69"/>
      <c r="BY341" s="69"/>
      <c r="BZ341" s="69"/>
      <c r="CA341" s="69"/>
      <c r="CB341" s="69"/>
      <c r="CC341" s="69"/>
      <c r="CD341" s="69"/>
      <c r="CE341" s="94">
        <f t="shared" si="23"/>
        <v>600</v>
      </c>
      <c r="CF341" s="151">
        <f t="shared" si="24"/>
        <v>0</v>
      </c>
      <c r="CG341" s="75">
        <f t="shared" si="22"/>
        <v>4197</v>
      </c>
      <c r="CH341" s="69" t="str">
        <f t="shared" si="22"/>
        <v>برنامج دولى</v>
      </c>
    </row>
    <row r="342" spans="1:86" ht="18.75" x14ac:dyDescent="0.25">
      <c r="A342" s="148"/>
      <c r="B342" s="82">
        <v>8043</v>
      </c>
      <c r="C342" s="149">
        <v>4198</v>
      </c>
      <c r="D342" s="71" t="s">
        <v>78</v>
      </c>
      <c r="E342" s="69" t="s">
        <v>3208</v>
      </c>
      <c r="F342" s="63"/>
      <c r="G342" s="69">
        <v>1407</v>
      </c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  <c r="AI342" s="69"/>
      <c r="AJ342" s="69"/>
      <c r="AK342" s="69"/>
      <c r="AL342" s="69"/>
      <c r="AM342" s="69"/>
      <c r="AN342" s="69"/>
      <c r="AO342" s="69"/>
      <c r="AP342" s="69"/>
      <c r="AQ342" s="69"/>
      <c r="AR342" s="94">
        <f t="shared" si="25"/>
        <v>1407</v>
      </c>
      <c r="AS342" s="69">
        <v>940.35</v>
      </c>
      <c r="AT342" s="69">
        <v>127.65</v>
      </c>
      <c r="AU342" s="69">
        <v>339</v>
      </c>
      <c r="AV342" s="69"/>
      <c r="AW342" s="69"/>
      <c r="AX342" s="69"/>
      <c r="AY342" s="69"/>
      <c r="AZ342" s="69"/>
      <c r="BA342" s="69"/>
      <c r="BB342" s="69"/>
      <c r="BC342" s="69"/>
      <c r="BD342" s="69"/>
      <c r="BE342" s="69"/>
      <c r="BF342" s="69"/>
      <c r="BG342" s="69"/>
      <c r="BH342" s="69"/>
      <c r="BI342" s="69"/>
      <c r="BJ342" s="69"/>
      <c r="BK342" s="69"/>
      <c r="BL342" s="69"/>
      <c r="BM342" s="69"/>
      <c r="BN342" s="69"/>
      <c r="BO342" s="69"/>
      <c r="BP342" s="69"/>
      <c r="BQ342" s="69"/>
      <c r="BR342" s="69"/>
      <c r="BS342" s="69"/>
      <c r="BT342" s="69"/>
      <c r="BU342" s="69"/>
      <c r="BV342" s="69"/>
      <c r="BW342" s="69"/>
      <c r="BX342" s="69"/>
      <c r="BY342" s="69"/>
      <c r="BZ342" s="69"/>
      <c r="CA342" s="69"/>
      <c r="CB342" s="69"/>
      <c r="CC342" s="69"/>
      <c r="CD342" s="69"/>
      <c r="CE342" s="94">
        <f t="shared" si="23"/>
        <v>1407</v>
      </c>
      <c r="CF342" s="151">
        <f t="shared" si="24"/>
        <v>0</v>
      </c>
      <c r="CG342" s="75">
        <f t="shared" si="22"/>
        <v>4198</v>
      </c>
      <c r="CH342" s="69" t="str">
        <f t="shared" si="22"/>
        <v>برنامج دولى</v>
      </c>
    </row>
    <row r="343" spans="1:86" ht="18.75" x14ac:dyDescent="0.25">
      <c r="A343" s="148"/>
      <c r="B343" s="82">
        <v>8044</v>
      </c>
      <c r="C343" s="149">
        <v>4199</v>
      </c>
      <c r="D343" s="71" t="s">
        <v>78</v>
      </c>
      <c r="E343" s="69" t="s">
        <v>3208</v>
      </c>
      <c r="F343" s="63"/>
      <c r="G343" s="69">
        <v>1600</v>
      </c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  <c r="AE343" s="69"/>
      <c r="AF343" s="69"/>
      <c r="AG343" s="69"/>
      <c r="AH343" s="69"/>
      <c r="AI343" s="69"/>
      <c r="AJ343" s="69"/>
      <c r="AK343" s="69"/>
      <c r="AL343" s="69"/>
      <c r="AM343" s="69"/>
      <c r="AN343" s="69"/>
      <c r="AO343" s="69"/>
      <c r="AP343" s="69"/>
      <c r="AQ343" s="69"/>
      <c r="AR343" s="94">
        <f t="shared" si="25"/>
        <v>1600</v>
      </c>
      <c r="AS343" s="69">
        <v>1428.35</v>
      </c>
      <c r="AT343" s="69">
        <v>171.65</v>
      </c>
      <c r="AU343" s="69"/>
      <c r="AV343" s="69"/>
      <c r="AW343" s="69"/>
      <c r="AX343" s="69"/>
      <c r="AY343" s="69"/>
      <c r="AZ343" s="69"/>
      <c r="BA343" s="69"/>
      <c r="BB343" s="69"/>
      <c r="BC343" s="69"/>
      <c r="BD343" s="69"/>
      <c r="BE343" s="69"/>
      <c r="BF343" s="69"/>
      <c r="BG343" s="69"/>
      <c r="BH343" s="69"/>
      <c r="BI343" s="69"/>
      <c r="BJ343" s="69"/>
      <c r="BK343" s="69"/>
      <c r="BL343" s="69"/>
      <c r="BM343" s="69"/>
      <c r="BN343" s="69"/>
      <c r="BO343" s="69"/>
      <c r="BP343" s="69"/>
      <c r="BQ343" s="69"/>
      <c r="BR343" s="69"/>
      <c r="BS343" s="69"/>
      <c r="BT343" s="69"/>
      <c r="BU343" s="69"/>
      <c r="BV343" s="69"/>
      <c r="BW343" s="69"/>
      <c r="BX343" s="69"/>
      <c r="BY343" s="69"/>
      <c r="BZ343" s="69"/>
      <c r="CA343" s="69"/>
      <c r="CB343" s="69"/>
      <c r="CC343" s="69"/>
      <c r="CD343" s="69"/>
      <c r="CE343" s="94">
        <f t="shared" si="23"/>
        <v>1600</v>
      </c>
      <c r="CF343" s="151">
        <f t="shared" si="24"/>
        <v>0</v>
      </c>
      <c r="CG343" s="75">
        <f t="shared" si="22"/>
        <v>4199</v>
      </c>
      <c r="CH343" s="69" t="str">
        <f t="shared" si="22"/>
        <v>برنامج دولى</v>
      </c>
    </row>
    <row r="344" spans="1:86" ht="18.75" x14ac:dyDescent="0.25">
      <c r="A344" s="148"/>
      <c r="B344" s="82">
        <v>8045</v>
      </c>
      <c r="C344" s="149">
        <v>4200</v>
      </c>
      <c r="D344" s="71" t="s">
        <v>78</v>
      </c>
      <c r="E344" s="69" t="s">
        <v>3208</v>
      </c>
      <c r="F344" s="63"/>
      <c r="G344" s="69">
        <v>1876</v>
      </c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  <c r="AE344" s="69"/>
      <c r="AF344" s="69"/>
      <c r="AG344" s="69"/>
      <c r="AH344" s="69"/>
      <c r="AI344" s="69"/>
      <c r="AJ344" s="69"/>
      <c r="AK344" s="69"/>
      <c r="AL344" s="69"/>
      <c r="AM344" s="69"/>
      <c r="AN344" s="69"/>
      <c r="AO344" s="69"/>
      <c r="AP344" s="69"/>
      <c r="AQ344" s="69"/>
      <c r="AR344" s="94">
        <f t="shared" si="25"/>
        <v>1876</v>
      </c>
      <c r="AS344" s="69">
        <v>1253.7</v>
      </c>
      <c r="AT344" s="69">
        <v>170.3</v>
      </c>
      <c r="AU344" s="69">
        <v>452</v>
      </c>
      <c r="AV344" s="69"/>
      <c r="AW344" s="69"/>
      <c r="AX344" s="69"/>
      <c r="AY344" s="69"/>
      <c r="AZ344" s="69"/>
      <c r="BA344" s="69"/>
      <c r="BB344" s="69"/>
      <c r="BC344" s="69"/>
      <c r="BD344" s="69"/>
      <c r="BE344" s="69"/>
      <c r="BF344" s="69"/>
      <c r="BG344" s="69"/>
      <c r="BH344" s="69"/>
      <c r="BI344" s="69"/>
      <c r="BJ344" s="69"/>
      <c r="BK344" s="69"/>
      <c r="BL344" s="69"/>
      <c r="BM344" s="69"/>
      <c r="BN344" s="69"/>
      <c r="BO344" s="69"/>
      <c r="BP344" s="69"/>
      <c r="BQ344" s="69"/>
      <c r="BR344" s="69"/>
      <c r="BS344" s="69"/>
      <c r="BT344" s="69"/>
      <c r="BU344" s="69"/>
      <c r="BV344" s="69"/>
      <c r="BW344" s="69"/>
      <c r="BX344" s="69"/>
      <c r="BY344" s="69"/>
      <c r="BZ344" s="69"/>
      <c r="CA344" s="69"/>
      <c r="CB344" s="69"/>
      <c r="CC344" s="69"/>
      <c r="CD344" s="69"/>
      <c r="CE344" s="94">
        <f t="shared" si="23"/>
        <v>1876</v>
      </c>
      <c r="CF344" s="151">
        <f t="shared" si="24"/>
        <v>0</v>
      </c>
      <c r="CG344" s="75">
        <f t="shared" si="22"/>
        <v>4200</v>
      </c>
      <c r="CH344" s="69" t="str">
        <f t="shared" si="22"/>
        <v>برنامج دولى</v>
      </c>
    </row>
    <row r="345" spans="1:86" ht="18.75" x14ac:dyDescent="0.25">
      <c r="A345" s="148"/>
      <c r="B345" s="82">
        <v>8046</v>
      </c>
      <c r="C345" s="149">
        <v>4201</v>
      </c>
      <c r="D345" s="71" t="s">
        <v>78</v>
      </c>
      <c r="E345" s="69" t="s">
        <v>3208</v>
      </c>
      <c r="F345" s="63"/>
      <c r="G345" s="69">
        <v>2579.5</v>
      </c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  <c r="AE345" s="69"/>
      <c r="AF345" s="69"/>
      <c r="AG345" s="69"/>
      <c r="AH345" s="69"/>
      <c r="AI345" s="69"/>
      <c r="AJ345" s="69"/>
      <c r="AK345" s="69"/>
      <c r="AL345" s="69"/>
      <c r="AM345" s="69"/>
      <c r="AN345" s="69"/>
      <c r="AO345" s="69"/>
      <c r="AP345" s="69"/>
      <c r="AQ345" s="69"/>
      <c r="AR345" s="94">
        <f t="shared" si="25"/>
        <v>2579.5</v>
      </c>
      <c r="AS345" s="69">
        <v>1725.95</v>
      </c>
      <c r="AT345" s="69">
        <v>232.05</v>
      </c>
      <c r="AU345" s="69">
        <v>621.5</v>
      </c>
      <c r="AV345" s="69"/>
      <c r="AW345" s="69"/>
      <c r="AX345" s="69"/>
      <c r="AY345" s="69"/>
      <c r="AZ345" s="69"/>
      <c r="BA345" s="69"/>
      <c r="BB345" s="69"/>
      <c r="BC345" s="69"/>
      <c r="BD345" s="69"/>
      <c r="BE345" s="69"/>
      <c r="BF345" s="69"/>
      <c r="BG345" s="69"/>
      <c r="BH345" s="69"/>
      <c r="BI345" s="69"/>
      <c r="BJ345" s="69"/>
      <c r="BK345" s="69"/>
      <c r="BL345" s="69"/>
      <c r="BM345" s="69"/>
      <c r="BN345" s="69"/>
      <c r="BO345" s="69"/>
      <c r="BP345" s="69"/>
      <c r="BQ345" s="69"/>
      <c r="BR345" s="69"/>
      <c r="BS345" s="69"/>
      <c r="BT345" s="69"/>
      <c r="BU345" s="69"/>
      <c r="BV345" s="69"/>
      <c r="BW345" s="69"/>
      <c r="BX345" s="69"/>
      <c r="BY345" s="69"/>
      <c r="BZ345" s="69"/>
      <c r="CA345" s="69"/>
      <c r="CB345" s="69"/>
      <c r="CC345" s="69"/>
      <c r="CD345" s="69"/>
      <c r="CE345" s="94">
        <f t="shared" si="23"/>
        <v>2579.5</v>
      </c>
      <c r="CF345" s="151">
        <f t="shared" si="24"/>
        <v>0</v>
      </c>
      <c r="CG345" s="75">
        <f t="shared" si="22"/>
        <v>4201</v>
      </c>
      <c r="CH345" s="69" t="str">
        <f t="shared" si="22"/>
        <v>برنامج دولى</v>
      </c>
    </row>
    <row r="346" spans="1:86" ht="18.75" x14ac:dyDescent="0.25">
      <c r="A346" s="148"/>
      <c r="B346" s="82">
        <v>8047</v>
      </c>
      <c r="C346" s="149">
        <v>4202</v>
      </c>
      <c r="D346" s="71" t="s">
        <v>78</v>
      </c>
      <c r="E346" s="69" t="s">
        <v>3208</v>
      </c>
      <c r="F346" s="63"/>
      <c r="G346" s="69">
        <v>234.5</v>
      </c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69"/>
      <c r="AH346" s="69"/>
      <c r="AI346" s="69"/>
      <c r="AJ346" s="69"/>
      <c r="AK346" s="69"/>
      <c r="AL346" s="69"/>
      <c r="AM346" s="69"/>
      <c r="AN346" s="69"/>
      <c r="AO346" s="69"/>
      <c r="AP346" s="69"/>
      <c r="AQ346" s="69"/>
      <c r="AR346" s="94">
        <f t="shared" si="25"/>
        <v>234.5</v>
      </c>
      <c r="AS346" s="69">
        <v>157.19999999999999</v>
      </c>
      <c r="AT346" s="69">
        <v>20.8</v>
      </c>
      <c r="AU346" s="69">
        <v>56.5</v>
      </c>
      <c r="AV346" s="69"/>
      <c r="AW346" s="69"/>
      <c r="AX346" s="69"/>
      <c r="AY346" s="69"/>
      <c r="AZ346" s="69"/>
      <c r="BA346" s="69"/>
      <c r="BB346" s="69"/>
      <c r="BC346" s="69"/>
      <c r="BD346" s="69"/>
      <c r="BE346" s="69"/>
      <c r="BF346" s="69"/>
      <c r="BG346" s="69"/>
      <c r="BH346" s="69"/>
      <c r="BI346" s="69"/>
      <c r="BJ346" s="69"/>
      <c r="BK346" s="69"/>
      <c r="BL346" s="69"/>
      <c r="BM346" s="69"/>
      <c r="BN346" s="69"/>
      <c r="BO346" s="69"/>
      <c r="BP346" s="69"/>
      <c r="BQ346" s="69"/>
      <c r="BR346" s="69"/>
      <c r="BS346" s="69"/>
      <c r="BT346" s="69"/>
      <c r="BU346" s="69"/>
      <c r="BV346" s="69"/>
      <c r="BW346" s="69"/>
      <c r="BX346" s="69"/>
      <c r="BY346" s="69"/>
      <c r="BZ346" s="69"/>
      <c r="CA346" s="69"/>
      <c r="CB346" s="69"/>
      <c r="CC346" s="69"/>
      <c r="CD346" s="69"/>
      <c r="CE346" s="94">
        <f t="shared" si="23"/>
        <v>234.5</v>
      </c>
      <c r="CF346" s="151">
        <f t="shared" si="24"/>
        <v>0</v>
      </c>
      <c r="CG346" s="75">
        <f t="shared" si="22"/>
        <v>4202</v>
      </c>
      <c r="CH346" s="69" t="str">
        <f t="shared" si="22"/>
        <v>برنامج دولى</v>
      </c>
    </row>
    <row r="347" spans="1:86" ht="18.75" x14ac:dyDescent="0.25">
      <c r="A347" s="148"/>
      <c r="B347" s="82">
        <v>8048</v>
      </c>
      <c r="C347" s="149">
        <v>4203</v>
      </c>
      <c r="D347" s="71" t="s">
        <v>78</v>
      </c>
      <c r="E347" s="69" t="s">
        <v>3208</v>
      </c>
      <c r="F347" s="63"/>
      <c r="G347" s="69">
        <v>234.5</v>
      </c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  <c r="AE347" s="69"/>
      <c r="AF347" s="69"/>
      <c r="AG347" s="69"/>
      <c r="AH347" s="69"/>
      <c r="AI347" s="69"/>
      <c r="AJ347" s="69"/>
      <c r="AK347" s="69"/>
      <c r="AL347" s="69"/>
      <c r="AM347" s="69"/>
      <c r="AN347" s="69"/>
      <c r="AO347" s="69"/>
      <c r="AP347" s="69"/>
      <c r="AQ347" s="69"/>
      <c r="AR347" s="94">
        <f t="shared" ref="AR347:AR1217" si="26">SUM(G347:AQ347)</f>
        <v>234.5</v>
      </c>
      <c r="AS347" s="69">
        <v>157.19999999999999</v>
      </c>
      <c r="AT347" s="69">
        <v>20.8</v>
      </c>
      <c r="AU347" s="69">
        <v>56.5</v>
      </c>
      <c r="AV347" s="69"/>
      <c r="AW347" s="69"/>
      <c r="AX347" s="69"/>
      <c r="AY347" s="69"/>
      <c r="AZ347" s="69"/>
      <c r="BA347" s="69"/>
      <c r="BB347" s="69"/>
      <c r="BC347" s="69"/>
      <c r="BD347" s="69"/>
      <c r="BE347" s="69"/>
      <c r="BF347" s="69"/>
      <c r="BG347" s="69"/>
      <c r="BH347" s="69"/>
      <c r="BI347" s="69"/>
      <c r="BJ347" s="69"/>
      <c r="BK347" s="69"/>
      <c r="BL347" s="69"/>
      <c r="BM347" s="69"/>
      <c r="BN347" s="69"/>
      <c r="BO347" s="69"/>
      <c r="BP347" s="69"/>
      <c r="BQ347" s="69"/>
      <c r="BR347" s="69"/>
      <c r="BS347" s="69"/>
      <c r="BT347" s="69"/>
      <c r="BU347" s="69"/>
      <c r="BV347" s="69"/>
      <c r="BW347" s="69"/>
      <c r="BX347" s="69"/>
      <c r="BY347" s="69"/>
      <c r="BZ347" s="69"/>
      <c r="CA347" s="69"/>
      <c r="CB347" s="69"/>
      <c r="CC347" s="69"/>
      <c r="CD347" s="69"/>
      <c r="CE347" s="94">
        <f t="shared" si="23"/>
        <v>234.5</v>
      </c>
      <c r="CF347" s="151">
        <f t="shared" si="24"/>
        <v>0</v>
      </c>
      <c r="CG347" s="75">
        <f t="shared" ref="CG347:CH475" si="27">+C347</f>
        <v>4203</v>
      </c>
      <c r="CH347" s="69" t="str">
        <f t="shared" si="27"/>
        <v>برنامج دولى</v>
      </c>
    </row>
    <row r="348" spans="1:86" ht="18.75" x14ac:dyDescent="0.25">
      <c r="A348" s="148"/>
      <c r="B348" s="82">
        <v>8049</v>
      </c>
      <c r="C348" s="149">
        <v>4204</v>
      </c>
      <c r="D348" s="71" t="s">
        <v>78</v>
      </c>
      <c r="E348" s="69" t="s">
        <v>3208</v>
      </c>
      <c r="F348" s="63"/>
      <c r="G348" s="69">
        <v>469</v>
      </c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  <c r="AE348" s="69"/>
      <c r="AF348" s="69"/>
      <c r="AG348" s="69"/>
      <c r="AH348" s="69"/>
      <c r="AI348" s="69"/>
      <c r="AJ348" s="69"/>
      <c r="AK348" s="69"/>
      <c r="AL348" s="69"/>
      <c r="AM348" s="69"/>
      <c r="AN348" s="69"/>
      <c r="AO348" s="69"/>
      <c r="AP348" s="69"/>
      <c r="AQ348" s="69"/>
      <c r="AR348" s="94">
        <f t="shared" si="26"/>
        <v>469</v>
      </c>
      <c r="AS348" s="69">
        <v>314</v>
      </c>
      <c r="AT348" s="69">
        <v>42</v>
      </c>
      <c r="AU348" s="69">
        <v>113</v>
      </c>
      <c r="AV348" s="69"/>
      <c r="AW348" s="69"/>
      <c r="AX348" s="69"/>
      <c r="AY348" s="69"/>
      <c r="AZ348" s="69"/>
      <c r="BA348" s="69"/>
      <c r="BB348" s="69"/>
      <c r="BC348" s="69"/>
      <c r="BD348" s="69"/>
      <c r="BE348" s="69"/>
      <c r="BF348" s="69"/>
      <c r="BG348" s="69"/>
      <c r="BH348" s="69"/>
      <c r="BI348" s="69"/>
      <c r="BJ348" s="69"/>
      <c r="BK348" s="69"/>
      <c r="BL348" s="69"/>
      <c r="BM348" s="69"/>
      <c r="BN348" s="69"/>
      <c r="BO348" s="69"/>
      <c r="BP348" s="69"/>
      <c r="BQ348" s="69"/>
      <c r="BR348" s="69"/>
      <c r="BS348" s="69"/>
      <c r="BT348" s="69"/>
      <c r="BU348" s="69"/>
      <c r="BV348" s="69"/>
      <c r="BW348" s="69"/>
      <c r="BX348" s="69"/>
      <c r="BY348" s="69"/>
      <c r="BZ348" s="69"/>
      <c r="CA348" s="69"/>
      <c r="CB348" s="69"/>
      <c r="CC348" s="69"/>
      <c r="CD348" s="69"/>
      <c r="CE348" s="94">
        <f t="shared" si="23"/>
        <v>469</v>
      </c>
      <c r="CF348" s="151">
        <f t="shared" si="24"/>
        <v>0</v>
      </c>
      <c r="CG348" s="75">
        <f t="shared" si="27"/>
        <v>4204</v>
      </c>
      <c r="CH348" s="69" t="str">
        <f t="shared" si="27"/>
        <v>برنامج دولى</v>
      </c>
    </row>
    <row r="349" spans="1:86" ht="18.75" x14ac:dyDescent="0.25">
      <c r="A349" s="148"/>
      <c r="B349" s="82">
        <v>8050</v>
      </c>
      <c r="C349" s="149">
        <v>4205</v>
      </c>
      <c r="D349" s="71" t="s">
        <v>78</v>
      </c>
      <c r="E349" s="69" t="s">
        <v>3208</v>
      </c>
      <c r="F349" s="63"/>
      <c r="G349" s="69">
        <v>469</v>
      </c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  <c r="AE349" s="69"/>
      <c r="AF349" s="69"/>
      <c r="AG349" s="69"/>
      <c r="AH349" s="69"/>
      <c r="AI349" s="69"/>
      <c r="AJ349" s="69"/>
      <c r="AK349" s="69"/>
      <c r="AL349" s="69"/>
      <c r="AM349" s="69"/>
      <c r="AN349" s="69"/>
      <c r="AO349" s="69"/>
      <c r="AP349" s="69"/>
      <c r="AQ349" s="69"/>
      <c r="AR349" s="94">
        <f t="shared" si="26"/>
        <v>469</v>
      </c>
      <c r="AS349" s="69">
        <v>314</v>
      </c>
      <c r="AT349" s="69">
        <v>42</v>
      </c>
      <c r="AU349" s="69">
        <v>113</v>
      </c>
      <c r="AV349" s="69"/>
      <c r="AW349" s="69"/>
      <c r="AX349" s="69"/>
      <c r="AY349" s="69"/>
      <c r="AZ349" s="69"/>
      <c r="BA349" s="69"/>
      <c r="BB349" s="69"/>
      <c r="BC349" s="69"/>
      <c r="BD349" s="69"/>
      <c r="BE349" s="69"/>
      <c r="BF349" s="69"/>
      <c r="BG349" s="69"/>
      <c r="BH349" s="69"/>
      <c r="BI349" s="69"/>
      <c r="BJ349" s="69"/>
      <c r="BK349" s="69"/>
      <c r="BL349" s="69"/>
      <c r="BM349" s="69"/>
      <c r="BN349" s="69"/>
      <c r="BO349" s="69"/>
      <c r="BP349" s="69"/>
      <c r="BQ349" s="69"/>
      <c r="BR349" s="69"/>
      <c r="BS349" s="69"/>
      <c r="BT349" s="69"/>
      <c r="BU349" s="69"/>
      <c r="BV349" s="69"/>
      <c r="BW349" s="69"/>
      <c r="BX349" s="69"/>
      <c r="BY349" s="69"/>
      <c r="BZ349" s="69"/>
      <c r="CA349" s="69"/>
      <c r="CB349" s="69"/>
      <c r="CC349" s="69"/>
      <c r="CD349" s="69"/>
      <c r="CE349" s="94">
        <f t="shared" ref="CE349:CE396" si="28">SUM(AS349:CD349)</f>
        <v>469</v>
      </c>
      <c r="CF349" s="151">
        <f t="shared" ref="CF349:CF412" si="29">+CE349-AR349</f>
        <v>0</v>
      </c>
      <c r="CG349" s="75">
        <f t="shared" si="27"/>
        <v>4205</v>
      </c>
      <c r="CH349" s="69" t="str">
        <f t="shared" si="27"/>
        <v>برنامج دولى</v>
      </c>
    </row>
    <row r="350" spans="1:86" ht="18.75" x14ac:dyDescent="0.25">
      <c r="A350" s="148"/>
      <c r="B350" s="82">
        <v>8051</v>
      </c>
      <c r="C350" s="149">
        <v>4206</v>
      </c>
      <c r="D350" s="71" t="s">
        <v>78</v>
      </c>
      <c r="E350" s="69" t="s">
        <v>3208</v>
      </c>
      <c r="F350" s="63"/>
      <c r="G350" s="69">
        <v>703.5</v>
      </c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  <c r="AE350" s="69"/>
      <c r="AF350" s="69"/>
      <c r="AG350" s="69"/>
      <c r="AH350" s="69"/>
      <c r="AI350" s="69"/>
      <c r="AJ350" s="69"/>
      <c r="AK350" s="69"/>
      <c r="AL350" s="69"/>
      <c r="AM350" s="69"/>
      <c r="AN350" s="69"/>
      <c r="AO350" s="69"/>
      <c r="AP350" s="69"/>
      <c r="AQ350" s="69"/>
      <c r="AR350" s="94">
        <f t="shared" si="26"/>
        <v>703.5</v>
      </c>
      <c r="AS350" s="69">
        <v>471.2</v>
      </c>
      <c r="AT350" s="69">
        <v>62.8</v>
      </c>
      <c r="AU350" s="69">
        <v>169.5</v>
      </c>
      <c r="AV350" s="69"/>
      <c r="AW350" s="69"/>
      <c r="AX350" s="69"/>
      <c r="AY350" s="69"/>
      <c r="AZ350" s="69"/>
      <c r="BA350" s="69"/>
      <c r="BB350" s="69"/>
      <c r="BC350" s="69"/>
      <c r="BD350" s="69"/>
      <c r="BE350" s="69"/>
      <c r="BF350" s="69"/>
      <c r="BG350" s="69"/>
      <c r="BH350" s="69"/>
      <c r="BI350" s="69"/>
      <c r="BJ350" s="69"/>
      <c r="BK350" s="69"/>
      <c r="BL350" s="69"/>
      <c r="BM350" s="69"/>
      <c r="BN350" s="69"/>
      <c r="BO350" s="69"/>
      <c r="BP350" s="69"/>
      <c r="BQ350" s="69"/>
      <c r="BR350" s="69"/>
      <c r="BS350" s="69"/>
      <c r="BT350" s="69"/>
      <c r="BU350" s="69"/>
      <c r="BV350" s="69"/>
      <c r="BW350" s="69"/>
      <c r="BX350" s="69"/>
      <c r="BY350" s="69"/>
      <c r="BZ350" s="69"/>
      <c r="CA350" s="69"/>
      <c r="CB350" s="69"/>
      <c r="CC350" s="69"/>
      <c r="CD350" s="69"/>
      <c r="CE350" s="94">
        <f t="shared" si="28"/>
        <v>703.5</v>
      </c>
      <c r="CF350" s="151">
        <f t="shared" si="29"/>
        <v>0</v>
      </c>
      <c r="CG350" s="75">
        <f t="shared" si="27"/>
        <v>4206</v>
      </c>
      <c r="CH350" s="69" t="str">
        <f t="shared" si="27"/>
        <v>برنامج دولى</v>
      </c>
    </row>
    <row r="351" spans="1:86" ht="18.75" x14ac:dyDescent="0.25">
      <c r="A351" s="148"/>
      <c r="B351" s="82">
        <v>8052</v>
      </c>
      <c r="C351" s="149">
        <v>4207</v>
      </c>
      <c r="D351" s="71" t="s">
        <v>78</v>
      </c>
      <c r="E351" s="69" t="s">
        <v>3208</v>
      </c>
      <c r="F351" s="63"/>
      <c r="G351" s="69">
        <v>3048.5</v>
      </c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  <c r="AI351" s="69"/>
      <c r="AJ351" s="69"/>
      <c r="AK351" s="69"/>
      <c r="AL351" s="69"/>
      <c r="AM351" s="69"/>
      <c r="AN351" s="69"/>
      <c r="AO351" s="69"/>
      <c r="AP351" s="69"/>
      <c r="AQ351" s="69"/>
      <c r="AR351" s="94">
        <f t="shared" si="26"/>
        <v>3048.5</v>
      </c>
      <c r="AS351" s="69">
        <v>2037.9</v>
      </c>
      <c r="AT351" s="69">
        <v>276.10000000000002</v>
      </c>
      <c r="AU351" s="69">
        <v>734.5</v>
      </c>
      <c r="AV351" s="69"/>
      <c r="AW351" s="69"/>
      <c r="AX351" s="69"/>
      <c r="AY351" s="69"/>
      <c r="AZ351" s="69"/>
      <c r="BA351" s="69"/>
      <c r="BB351" s="69"/>
      <c r="BC351" s="69"/>
      <c r="BD351" s="69"/>
      <c r="BE351" s="69"/>
      <c r="BF351" s="69"/>
      <c r="BG351" s="69"/>
      <c r="BH351" s="69"/>
      <c r="BI351" s="69"/>
      <c r="BJ351" s="69"/>
      <c r="BK351" s="69"/>
      <c r="BL351" s="69"/>
      <c r="BM351" s="69"/>
      <c r="BN351" s="69"/>
      <c r="BO351" s="69"/>
      <c r="BP351" s="69"/>
      <c r="BQ351" s="69"/>
      <c r="BR351" s="69"/>
      <c r="BS351" s="69"/>
      <c r="BT351" s="69"/>
      <c r="BU351" s="69"/>
      <c r="BV351" s="69"/>
      <c r="BW351" s="69"/>
      <c r="BX351" s="69"/>
      <c r="BY351" s="69"/>
      <c r="BZ351" s="69"/>
      <c r="CA351" s="69"/>
      <c r="CB351" s="69"/>
      <c r="CC351" s="69"/>
      <c r="CD351" s="69"/>
      <c r="CE351" s="94">
        <f t="shared" si="28"/>
        <v>3048.5</v>
      </c>
      <c r="CF351" s="151">
        <f t="shared" si="29"/>
        <v>0</v>
      </c>
      <c r="CG351" s="75">
        <f t="shared" si="27"/>
        <v>4207</v>
      </c>
      <c r="CH351" s="69" t="str">
        <f t="shared" si="27"/>
        <v>برنامج دولى</v>
      </c>
    </row>
    <row r="352" spans="1:86" ht="18.75" x14ac:dyDescent="0.25">
      <c r="A352" s="148"/>
      <c r="B352" s="82">
        <v>8051</v>
      </c>
      <c r="C352" s="149">
        <v>4208</v>
      </c>
      <c r="D352" s="71" t="s">
        <v>78</v>
      </c>
      <c r="E352" s="69" t="s">
        <v>3208</v>
      </c>
      <c r="F352" s="63"/>
      <c r="G352" s="69">
        <v>600</v>
      </c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  <c r="AE352" s="69"/>
      <c r="AF352" s="69"/>
      <c r="AG352" s="69"/>
      <c r="AH352" s="69"/>
      <c r="AI352" s="69"/>
      <c r="AJ352" s="69"/>
      <c r="AK352" s="69"/>
      <c r="AL352" s="69"/>
      <c r="AM352" s="69"/>
      <c r="AN352" s="69"/>
      <c r="AO352" s="69"/>
      <c r="AP352" s="69"/>
      <c r="AQ352" s="69"/>
      <c r="AR352" s="94">
        <f t="shared" si="26"/>
        <v>600</v>
      </c>
      <c r="AS352" s="69">
        <v>536.15</v>
      </c>
      <c r="AT352" s="69">
        <v>63.85</v>
      </c>
      <c r="AU352" s="69"/>
      <c r="AV352" s="69"/>
      <c r="AW352" s="69"/>
      <c r="AX352" s="69"/>
      <c r="AY352" s="69"/>
      <c r="AZ352" s="69"/>
      <c r="BA352" s="69"/>
      <c r="BB352" s="69"/>
      <c r="BC352" s="69"/>
      <c r="BD352" s="69"/>
      <c r="BE352" s="69"/>
      <c r="BF352" s="69"/>
      <c r="BG352" s="69"/>
      <c r="BH352" s="69"/>
      <c r="BI352" s="69"/>
      <c r="BJ352" s="69"/>
      <c r="BK352" s="69"/>
      <c r="BL352" s="69"/>
      <c r="BM352" s="69"/>
      <c r="BN352" s="69"/>
      <c r="BO352" s="69"/>
      <c r="BP352" s="69"/>
      <c r="BQ352" s="69"/>
      <c r="BR352" s="69"/>
      <c r="BS352" s="69"/>
      <c r="BT352" s="69"/>
      <c r="BU352" s="69"/>
      <c r="BV352" s="69"/>
      <c r="BW352" s="69"/>
      <c r="BX352" s="69"/>
      <c r="BY352" s="69"/>
      <c r="BZ352" s="69"/>
      <c r="CA352" s="69"/>
      <c r="CB352" s="69"/>
      <c r="CC352" s="69"/>
      <c r="CD352" s="69"/>
      <c r="CE352" s="94">
        <f t="shared" si="28"/>
        <v>600</v>
      </c>
      <c r="CF352" s="151">
        <f t="shared" si="29"/>
        <v>0</v>
      </c>
      <c r="CG352" s="75">
        <f t="shared" si="27"/>
        <v>4208</v>
      </c>
      <c r="CH352" s="69" t="str">
        <f t="shared" si="27"/>
        <v>برنامج دولى</v>
      </c>
    </row>
    <row r="353" spans="1:86" ht="18.75" x14ac:dyDescent="0.25">
      <c r="A353" s="148"/>
      <c r="B353" s="82">
        <v>8052</v>
      </c>
      <c r="C353" s="149">
        <v>4209</v>
      </c>
      <c r="D353" s="71" t="s">
        <v>78</v>
      </c>
      <c r="E353" s="69" t="s">
        <v>3208</v>
      </c>
      <c r="F353" s="63"/>
      <c r="G353" s="69">
        <v>400</v>
      </c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  <c r="AE353" s="69"/>
      <c r="AF353" s="69"/>
      <c r="AG353" s="69"/>
      <c r="AH353" s="69"/>
      <c r="AI353" s="69"/>
      <c r="AJ353" s="69"/>
      <c r="AK353" s="69"/>
      <c r="AL353" s="69"/>
      <c r="AM353" s="69"/>
      <c r="AN353" s="69"/>
      <c r="AO353" s="69"/>
      <c r="AP353" s="69"/>
      <c r="AQ353" s="69"/>
      <c r="AR353" s="94">
        <f t="shared" si="26"/>
        <v>400</v>
      </c>
      <c r="AS353" s="69">
        <v>358.2</v>
      </c>
      <c r="AT353" s="69">
        <v>41.8</v>
      </c>
      <c r="AU353" s="69"/>
      <c r="AV353" s="69"/>
      <c r="AW353" s="69"/>
      <c r="AX353" s="69"/>
      <c r="AY353" s="69"/>
      <c r="AZ353" s="69"/>
      <c r="BA353" s="69"/>
      <c r="BB353" s="69"/>
      <c r="BC353" s="69"/>
      <c r="BD353" s="69"/>
      <c r="BE353" s="69"/>
      <c r="BF353" s="69"/>
      <c r="BG353" s="69"/>
      <c r="BH353" s="69"/>
      <c r="BI353" s="69"/>
      <c r="BJ353" s="69"/>
      <c r="BK353" s="69"/>
      <c r="BL353" s="69"/>
      <c r="BM353" s="69"/>
      <c r="BN353" s="69"/>
      <c r="BO353" s="69"/>
      <c r="BP353" s="69"/>
      <c r="BQ353" s="69"/>
      <c r="BR353" s="69"/>
      <c r="BS353" s="69"/>
      <c r="BT353" s="69"/>
      <c r="BU353" s="69"/>
      <c r="BV353" s="69"/>
      <c r="BW353" s="69"/>
      <c r="BX353" s="69"/>
      <c r="BY353" s="69"/>
      <c r="BZ353" s="69"/>
      <c r="CA353" s="69"/>
      <c r="CB353" s="69"/>
      <c r="CC353" s="69"/>
      <c r="CD353" s="69"/>
      <c r="CE353" s="94">
        <f t="shared" si="28"/>
        <v>400</v>
      </c>
      <c r="CF353" s="151">
        <f t="shared" si="29"/>
        <v>0</v>
      </c>
      <c r="CG353" s="75">
        <f t="shared" si="27"/>
        <v>4209</v>
      </c>
      <c r="CH353" s="69" t="str">
        <f t="shared" si="27"/>
        <v>برنامج دولى</v>
      </c>
    </row>
    <row r="354" spans="1:86" ht="18.75" x14ac:dyDescent="0.25">
      <c r="A354" s="148"/>
      <c r="B354" s="82">
        <v>8053</v>
      </c>
      <c r="C354" s="149">
        <v>4210</v>
      </c>
      <c r="D354" s="71" t="s">
        <v>78</v>
      </c>
      <c r="E354" s="69" t="s">
        <v>3209</v>
      </c>
      <c r="F354" s="63"/>
      <c r="G354" s="69">
        <v>3540.67</v>
      </c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  <c r="AE354" s="69"/>
      <c r="AF354" s="69"/>
      <c r="AG354" s="69"/>
      <c r="AH354" s="69"/>
      <c r="AI354" s="69"/>
      <c r="AJ354" s="69"/>
      <c r="AK354" s="69"/>
      <c r="AL354" s="69"/>
      <c r="AM354" s="69"/>
      <c r="AN354" s="69"/>
      <c r="AO354" s="69"/>
      <c r="AP354" s="69"/>
      <c r="AQ354" s="69"/>
      <c r="AR354" s="94">
        <f t="shared" si="26"/>
        <v>3540.67</v>
      </c>
      <c r="AS354" s="69">
        <v>2342.6799999999998</v>
      </c>
      <c r="AT354" s="69">
        <v>312.5</v>
      </c>
      <c r="AU354" s="69">
        <v>885.49</v>
      </c>
      <c r="AV354" s="69"/>
      <c r="AW354" s="69"/>
      <c r="AX354" s="69"/>
      <c r="AY354" s="69"/>
      <c r="AZ354" s="69"/>
      <c r="BA354" s="69"/>
      <c r="BB354" s="69"/>
      <c r="BC354" s="69"/>
      <c r="BD354" s="69"/>
      <c r="BE354" s="69"/>
      <c r="BF354" s="69"/>
      <c r="BG354" s="69"/>
      <c r="BH354" s="69"/>
      <c r="BI354" s="69"/>
      <c r="BJ354" s="69"/>
      <c r="BK354" s="69"/>
      <c r="BL354" s="69"/>
      <c r="BM354" s="69"/>
      <c r="BN354" s="69"/>
      <c r="BO354" s="69"/>
      <c r="BP354" s="69"/>
      <c r="BQ354" s="69"/>
      <c r="BR354" s="69"/>
      <c r="BS354" s="69"/>
      <c r="BT354" s="69"/>
      <c r="BU354" s="69"/>
      <c r="BV354" s="69"/>
      <c r="BW354" s="69"/>
      <c r="BX354" s="69"/>
      <c r="BY354" s="69"/>
      <c r="BZ354" s="69"/>
      <c r="CA354" s="69"/>
      <c r="CB354" s="69"/>
      <c r="CC354" s="69"/>
      <c r="CD354" s="69"/>
      <c r="CE354" s="94">
        <f t="shared" si="28"/>
        <v>3540.67</v>
      </c>
      <c r="CF354" s="151">
        <f t="shared" si="29"/>
        <v>0</v>
      </c>
      <c r="CG354" s="75">
        <f t="shared" si="27"/>
        <v>4210</v>
      </c>
      <c r="CH354" s="69" t="str">
        <f t="shared" si="27"/>
        <v>برنامج دولى</v>
      </c>
    </row>
    <row r="355" spans="1:86" ht="18.75" x14ac:dyDescent="0.25">
      <c r="A355" s="148"/>
      <c r="B355" s="82">
        <v>8054</v>
      </c>
      <c r="C355" s="149">
        <v>4211</v>
      </c>
      <c r="D355" s="71" t="s">
        <v>78</v>
      </c>
      <c r="E355" s="69" t="s">
        <v>3209</v>
      </c>
      <c r="F355" s="63"/>
      <c r="G355" s="69">
        <v>1993.24</v>
      </c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  <c r="AE355" s="69"/>
      <c r="AF355" s="69"/>
      <c r="AG355" s="69"/>
      <c r="AH355" s="69"/>
      <c r="AI355" s="69"/>
      <c r="AJ355" s="69"/>
      <c r="AK355" s="69"/>
      <c r="AL355" s="69"/>
      <c r="AM355" s="69"/>
      <c r="AN355" s="69"/>
      <c r="AO355" s="69"/>
      <c r="AP355" s="69"/>
      <c r="AQ355" s="69"/>
      <c r="AR355" s="94">
        <f t="shared" si="26"/>
        <v>1993.24</v>
      </c>
      <c r="AS355" s="69">
        <v>1335.4</v>
      </c>
      <c r="AT355" s="69">
        <v>177.6</v>
      </c>
      <c r="AU355" s="69">
        <v>480.24</v>
      </c>
      <c r="AV355" s="69"/>
      <c r="AW355" s="69"/>
      <c r="AX355" s="69"/>
      <c r="AY355" s="69"/>
      <c r="AZ355" s="69"/>
      <c r="BA355" s="69"/>
      <c r="BB355" s="69"/>
      <c r="BC355" s="69"/>
      <c r="BD355" s="69"/>
      <c r="BE355" s="69"/>
      <c r="BF355" s="69"/>
      <c r="BG355" s="69"/>
      <c r="BH355" s="69"/>
      <c r="BI355" s="69"/>
      <c r="BJ355" s="69"/>
      <c r="BK355" s="69"/>
      <c r="BL355" s="69"/>
      <c r="BM355" s="69"/>
      <c r="BN355" s="69"/>
      <c r="BO355" s="69"/>
      <c r="BP355" s="69"/>
      <c r="BQ355" s="69"/>
      <c r="BR355" s="69"/>
      <c r="BS355" s="69"/>
      <c r="BT355" s="69"/>
      <c r="BU355" s="69"/>
      <c r="BV355" s="69"/>
      <c r="BW355" s="69"/>
      <c r="BX355" s="69"/>
      <c r="BY355" s="69"/>
      <c r="BZ355" s="69"/>
      <c r="CA355" s="69"/>
      <c r="CB355" s="69"/>
      <c r="CC355" s="69"/>
      <c r="CD355" s="69"/>
      <c r="CE355" s="94">
        <f t="shared" si="28"/>
        <v>1993.24</v>
      </c>
      <c r="CF355" s="151">
        <f t="shared" si="29"/>
        <v>0</v>
      </c>
      <c r="CG355" s="75">
        <f t="shared" si="27"/>
        <v>4211</v>
      </c>
      <c r="CH355" s="69" t="str">
        <f t="shared" si="27"/>
        <v>برنامج دولى</v>
      </c>
    </row>
    <row r="356" spans="1:86" ht="18.75" x14ac:dyDescent="0.25">
      <c r="A356" s="148"/>
      <c r="B356" s="82">
        <v>8055</v>
      </c>
      <c r="C356" s="149">
        <v>4212</v>
      </c>
      <c r="D356" s="71" t="s">
        <v>78</v>
      </c>
      <c r="E356" s="69" t="s">
        <v>3209</v>
      </c>
      <c r="F356" s="63"/>
      <c r="G356" s="69">
        <v>293.12</v>
      </c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  <c r="AE356" s="69"/>
      <c r="AF356" s="69"/>
      <c r="AG356" s="69"/>
      <c r="AH356" s="69"/>
      <c r="AI356" s="69"/>
      <c r="AJ356" s="69"/>
      <c r="AK356" s="69"/>
      <c r="AL356" s="69"/>
      <c r="AM356" s="69"/>
      <c r="AN356" s="69"/>
      <c r="AO356" s="69"/>
      <c r="AP356" s="69"/>
      <c r="AQ356" s="69"/>
      <c r="AR356" s="94">
        <f t="shared" si="26"/>
        <v>293.12</v>
      </c>
      <c r="AS356" s="69">
        <v>196.45</v>
      </c>
      <c r="AT356" s="69">
        <v>26.05</v>
      </c>
      <c r="AU356" s="69">
        <v>70.62</v>
      </c>
      <c r="AV356" s="69"/>
      <c r="AW356" s="69"/>
      <c r="AX356" s="69"/>
      <c r="AY356" s="69"/>
      <c r="AZ356" s="69"/>
      <c r="BA356" s="69"/>
      <c r="BB356" s="69"/>
      <c r="BC356" s="69"/>
      <c r="BD356" s="69"/>
      <c r="BE356" s="69"/>
      <c r="BF356" s="69"/>
      <c r="BG356" s="69"/>
      <c r="BH356" s="69"/>
      <c r="BI356" s="69"/>
      <c r="BJ356" s="69"/>
      <c r="BK356" s="69"/>
      <c r="BL356" s="69"/>
      <c r="BM356" s="69"/>
      <c r="BN356" s="69"/>
      <c r="BO356" s="69"/>
      <c r="BP356" s="69"/>
      <c r="BQ356" s="69"/>
      <c r="BR356" s="69"/>
      <c r="BS356" s="69"/>
      <c r="BT356" s="69"/>
      <c r="BU356" s="69"/>
      <c r="BV356" s="69"/>
      <c r="BW356" s="69"/>
      <c r="BX356" s="69"/>
      <c r="BY356" s="69"/>
      <c r="BZ356" s="69"/>
      <c r="CA356" s="69"/>
      <c r="CB356" s="69"/>
      <c r="CC356" s="69"/>
      <c r="CD356" s="69"/>
      <c r="CE356" s="94">
        <f t="shared" si="28"/>
        <v>293.12</v>
      </c>
      <c r="CF356" s="151">
        <f t="shared" si="29"/>
        <v>0</v>
      </c>
      <c r="CG356" s="75">
        <f t="shared" si="27"/>
        <v>4212</v>
      </c>
      <c r="CH356" s="69" t="str">
        <f t="shared" si="27"/>
        <v>برنامج دولى</v>
      </c>
    </row>
    <row r="357" spans="1:86" ht="18.75" x14ac:dyDescent="0.25">
      <c r="A357" s="148"/>
      <c r="B357" s="82">
        <v>8056</v>
      </c>
      <c r="C357" s="149">
        <v>4213</v>
      </c>
      <c r="D357" s="71" t="s">
        <v>78</v>
      </c>
      <c r="E357" s="69" t="s">
        <v>3210</v>
      </c>
      <c r="F357" s="63"/>
      <c r="G357" s="69">
        <v>4221</v>
      </c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  <c r="AE357" s="69"/>
      <c r="AF357" s="69"/>
      <c r="AG357" s="69"/>
      <c r="AH357" s="69"/>
      <c r="AI357" s="69"/>
      <c r="AJ357" s="69"/>
      <c r="AK357" s="69"/>
      <c r="AL357" s="69"/>
      <c r="AM357" s="69"/>
      <c r="AN357" s="69"/>
      <c r="AO357" s="69"/>
      <c r="AP357" s="69"/>
      <c r="AQ357" s="69"/>
      <c r="AR357" s="94">
        <f t="shared" si="26"/>
        <v>4221</v>
      </c>
      <c r="AS357" s="69">
        <v>2826.6</v>
      </c>
      <c r="AT357" s="69">
        <f>17.4+360</f>
        <v>377.4</v>
      </c>
      <c r="AU357" s="69">
        <v>1017</v>
      </c>
      <c r="AV357" s="69"/>
      <c r="AW357" s="69"/>
      <c r="AX357" s="69"/>
      <c r="AY357" s="69"/>
      <c r="AZ357" s="69"/>
      <c r="BA357" s="69"/>
      <c r="BB357" s="69"/>
      <c r="BC357" s="69"/>
      <c r="BD357" s="69"/>
      <c r="BE357" s="69"/>
      <c r="BF357" s="69"/>
      <c r="BG357" s="69"/>
      <c r="BH357" s="69"/>
      <c r="BI357" s="69"/>
      <c r="BJ357" s="69"/>
      <c r="BK357" s="69"/>
      <c r="BL357" s="69"/>
      <c r="BM357" s="69"/>
      <c r="BN357" s="69"/>
      <c r="BO357" s="69"/>
      <c r="BP357" s="69"/>
      <c r="BQ357" s="69"/>
      <c r="BR357" s="69"/>
      <c r="BS357" s="69"/>
      <c r="BT357" s="69"/>
      <c r="BU357" s="69"/>
      <c r="BV357" s="69"/>
      <c r="BW357" s="69"/>
      <c r="BX357" s="69"/>
      <c r="BY357" s="69"/>
      <c r="BZ357" s="69"/>
      <c r="CA357" s="69"/>
      <c r="CB357" s="69"/>
      <c r="CC357" s="69"/>
      <c r="CD357" s="69"/>
      <c r="CE357" s="94">
        <f t="shared" si="28"/>
        <v>4221</v>
      </c>
      <c r="CF357" s="151">
        <f t="shared" si="29"/>
        <v>0</v>
      </c>
      <c r="CG357" s="75">
        <f t="shared" si="27"/>
        <v>4213</v>
      </c>
      <c r="CH357" s="69" t="str">
        <f t="shared" si="27"/>
        <v>برنامج دولى</v>
      </c>
    </row>
    <row r="358" spans="1:86" ht="18.75" x14ac:dyDescent="0.25">
      <c r="A358" s="148"/>
      <c r="B358" s="82">
        <v>8057</v>
      </c>
      <c r="C358" s="149">
        <v>4214</v>
      </c>
      <c r="D358" s="71" t="s">
        <v>78</v>
      </c>
      <c r="E358" s="69" t="s">
        <v>3211</v>
      </c>
      <c r="F358" s="63"/>
      <c r="G358" s="69">
        <v>1758.75</v>
      </c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  <c r="AE358" s="69"/>
      <c r="AF358" s="69"/>
      <c r="AG358" s="69"/>
      <c r="AH358" s="69"/>
      <c r="AI358" s="69"/>
      <c r="AJ358" s="69"/>
      <c r="AK358" s="69"/>
      <c r="AL358" s="69"/>
      <c r="AM358" s="69"/>
      <c r="AN358" s="69"/>
      <c r="AO358" s="69"/>
      <c r="AP358" s="69"/>
      <c r="AQ358" s="69"/>
      <c r="AR358" s="94">
        <f t="shared" si="26"/>
        <v>1758.75</v>
      </c>
      <c r="AS358" s="69">
        <v>1177.2</v>
      </c>
      <c r="AT358" s="69">
        <v>157.80000000000001</v>
      </c>
      <c r="AU358" s="69">
        <v>423.75</v>
      </c>
      <c r="AV358" s="69"/>
      <c r="AW358" s="69"/>
      <c r="AX358" s="69"/>
      <c r="AY358" s="69"/>
      <c r="AZ358" s="69"/>
      <c r="BA358" s="69"/>
      <c r="BB358" s="69"/>
      <c r="BC358" s="69"/>
      <c r="BD358" s="69"/>
      <c r="BE358" s="69"/>
      <c r="BF358" s="69"/>
      <c r="BG358" s="69"/>
      <c r="BH358" s="69"/>
      <c r="BI358" s="69"/>
      <c r="BJ358" s="69"/>
      <c r="BK358" s="69"/>
      <c r="BL358" s="69"/>
      <c r="BM358" s="69"/>
      <c r="BN358" s="69"/>
      <c r="BO358" s="69"/>
      <c r="BP358" s="69"/>
      <c r="BQ358" s="69"/>
      <c r="BR358" s="69"/>
      <c r="BS358" s="69"/>
      <c r="BT358" s="69"/>
      <c r="BU358" s="69"/>
      <c r="BV358" s="69"/>
      <c r="BW358" s="69"/>
      <c r="BX358" s="69"/>
      <c r="BY358" s="69"/>
      <c r="BZ358" s="69"/>
      <c r="CA358" s="69"/>
      <c r="CB358" s="69"/>
      <c r="CC358" s="69"/>
      <c r="CD358" s="69"/>
      <c r="CE358" s="94">
        <f t="shared" si="28"/>
        <v>1758.75</v>
      </c>
      <c r="CF358" s="151">
        <f t="shared" si="29"/>
        <v>0</v>
      </c>
      <c r="CG358" s="75">
        <f t="shared" si="27"/>
        <v>4214</v>
      </c>
      <c r="CH358" s="69" t="str">
        <f t="shared" si="27"/>
        <v>برنامج دولى</v>
      </c>
    </row>
    <row r="359" spans="1:86" ht="18.75" x14ac:dyDescent="0.25">
      <c r="A359" s="148"/>
      <c r="B359" s="82">
        <v>8058</v>
      </c>
      <c r="C359" s="149">
        <v>4215</v>
      </c>
      <c r="D359" s="71" t="s">
        <v>78</v>
      </c>
      <c r="E359" s="69" t="s">
        <v>3211</v>
      </c>
      <c r="F359" s="63"/>
      <c r="G359" s="69">
        <v>1758.75</v>
      </c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  <c r="AE359" s="69"/>
      <c r="AF359" s="69"/>
      <c r="AG359" s="69"/>
      <c r="AH359" s="69"/>
      <c r="AI359" s="69"/>
      <c r="AJ359" s="69"/>
      <c r="AK359" s="69"/>
      <c r="AL359" s="69"/>
      <c r="AM359" s="69"/>
      <c r="AN359" s="69"/>
      <c r="AO359" s="69"/>
      <c r="AP359" s="69"/>
      <c r="AQ359" s="69"/>
      <c r="AR359" s="94">
        <f t="shared" si="26"/>
        <v>1758.75</v>
      </c>
      <c r="AS359" s="69">
        <v>1177.2</v>
      </c>
      <c r="AT359" s="69">
        <v>157.80000000000001</v>
      </c>
      <c r="AU359" s="69">
        <v>423.75</v>
      </c>
      <c r="AV359" s="69"/>
      <c r="AW359" s="69"/>
      <c r="AX359" s="69"/>
      <c r="AY359" s="69"/>
      <c r="AZ359" s="69"/>
      <c r="BA359" s="69"/>
      <c r="BB359" s="69"/>
      <c r="BC359" s="69"/>
      <c r="BD359" s="69"/>
      <c r="BE359" s="69"/>
      <c r="BF359" s="69"/>
      <c r="BG359" s="69"/>
      <c r="BH359" s="69"/>
      <c r="BI359" s="69"/>
      <c r="BJ359" s="69"/>
      <c r="BK359" s="69"/>
      <c r="BL359" s="69"/>
      <c r="BM359" s="69"/>
      <c r="BN359" s="69"/>
      <c r="BO359" s="69"/>
      <c r="BP359" s="69"/>
      <c r="BQ359" s="69"/>
      <c r="BR359" s="69"/>
      <c r="BS359" s="69"/>
      <c r="BT359" s="69"/>
      <c r="BU359" s="69"/>
      <c r="BV359" s="69"/>
      <c r="BW359" s="69"/>
      <c r="BX359" s="69"/>
      <c r="BY359" s="69"/>
      <c r="BZ359" s="69"/>
      <c r="CA359" s="69"/>
      <c r="CB359" s="69"/>
      <c r="CC359" s="69"/>
      <c r="CD359" s="69"/>
      <c r="CE359" s="94">
        <f t="shared" si="28"/>
        <v>1758.75</v>
      </c>
      <c r="CF359" s="151">
        <f t="shared" si="29"/>
        <v>0</v>
      </c>
      <c r="CG359" s="75">
        <f t="shared" si="27"/>
        <v>4215</v>
      </c>
      <c r="CH359" s="69" t="str">
        <f t="shared" si="27"/>
        <v>برنامج دولى</v>
      </c>
    </row>
    <row r="360" spans="1:86" ht="18.75" x14ac:dyDescent="0.25">
      <c r="A360" s="148"/>
      <c r="B360" s="82">
        <v>8059</v>
      </c>
      <c r="C360" s="149">
        <v>4216</v>
      </c>
      <c r="D360" s="71" t="s">
        <v>78</v>
      </c>
      <c r="E360" s="69" t="s">
        <v>3212</v>
      </c>
      <c r="F360" s="63"/>
      <c r="G360" s="69">
        <v>4279.63</v>
      </c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  <c r="AE360" s="69"/>
      <c r="AF360" s="69"/>
      <c r="AG360" s="69"/>
      <c r="AH360" s="69"/>
      <c r="AI360" s="69"/>
      <c r="AJ360" s="69"/>
      <c r="AK360" s="69"/>
      <c r="AL360" s="69"/>
      <c r="AM360" s="69"/>
      <c r="AN360" s="69"/>
      <c r="AO360" s="69"/>
      <c r="AP360" s="69"/>
      <c r="AQ360" s="69"/>
      <c r="AR360" s="94">
        <f t="shared" si="26"/>
        <v>4279.63</v>
      </c>
      <c r="AS360" s="69">
        <v>2861.3</v>
      </c>
      <c r="AT360" s="69">
        <v>387.2</v>
      </c>
      <c r="AU360" s="69">
        <v>1031.1300000000001</v>
      </c>
      <c r="AV360" s="69"/>
      <c r="AW360" s="69"/>
      <c r="AX360" s="69"/>
      <c r="AY360" s="69"/>
      <c r="AZ360" s="69"/>
      <c r="BA360" s="69"/>
      <c r="BB360" s="69"/>
      <c r="BC360" s="69"/>
      <c r="BD360" s="69"/>
      <c r="BE360" s="69"/>
      <c r="BF360" s="69"/>
      <c r="BG360" s="69"/>
      <c r="BH360" s="69"/>
      <c r="BI360" s="69"/>
      <c r="BJ360" s="69"/>
      <c r="BK360" s="69"/>
      <c r="BL360" s="69"/>
      <c r="BM360" s="69"/>
      <c r="BN360" s="69"/>
      <c r="BO360" s="69"/>
      <c r="BP360" s="69"/>
      <c r="BQ360" s="69"/>
      <c r="BR360" s="69"/>
      <c r="BS360" s="69"/>
      <c r="BT360" s="69"/>
      <c r="BU360" s="69"/>
      <c r="BV360" s="69"/>
      <c r="BW360" s="69"/>
      <c r="BX360" s="69"/>
      <c r="BY360" s="69"/>
      <c r="BZ360" s="69"/>
      <c r="CA360" s="69"/>
      <c r="CB360" s="69"/>
      <c r="CC360" s="69"/>
      <c r="CD360" s="69"/>
      <c r="CE360" s="94">
        <f t="shared" si="28"/>
        <v>4279.63</v>
      </c>
      <c r="CF360" s="151">
        <f t="shared" si="29"/>
        <v>0</v>
      </c>
      <c r="CG360" s="75">
        <f t="shared" si="27"/>
        <v>4216</v>
      </c>
      <c r="CH360" s="69" t="str">
        <f t="shared" si="27"/>
        <v>برنامج دولى</v>
      </c>
    </row>
    <row r="361" spans="1:86" ht="18.75" x14ac:dyDescent="0.25">
      <c r="A361" s="148"/>
      <c r="B361" s="82">
        <v>8060</v>
      </c>
      <c r="C361" s="149">
        <v>4217</v>
      </c>
      <c r="D361" s="71" t="s">
        <v>78</v>
      </c>
      <c r="E361" s="69" t="s">
        <v>3212</v>
      </c>
      <c r="F361" s="63"/>
      <c r="G361" s="69">
        <v>3693.38</v>
      </c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  <c r="AE361" s="69"/>
      <c r="AF361" s="69"/>
      <c r="AG361" s="69"/>
      <c r="AH361" s="69"/>
      <c r="AI361" s="69"/>
      <c r="AJ361" s="69"/>
      <c r="AK361" s="69"/>
      <c r="AL361" s="69"/>
      <c r="AM361" s="69"/>
      <c r="AN361" s="69"/>
      <c r="AO361" s="69"/>
      <c r="AP361" s="69"/>
      <c r="AQ361" s="69"/>
      <c r="AR361" s="94">
        <f t="shared" si="26"/>
        <v>3693.38</v>
      </c>
      <c r="AS361" s="69">
        <v>2468.9</v>
      </c>
      <c r="AT361" s="69">
        <v>334.6</v>
      </c>
      <c r="AU361" s="69">
        <v>889.88</v>
      </c>
      <c r="AV361" s="69"/>
      <c r="AW361" s="69"/>
      <c r="AX361" s="69"/>
      <c r="AY361" s="69"/>
      <c r="AZ361" s="69"/>
      <c r="BA361" s="69"/>
      <c r="BB361" s="69"/>
      <c r="BC361" s="69"/>
      <c r="BD361" s="69"/>
      <c r="BE361" s="69"/>
      <c r="BF361" s="69"/>
      <c r="BG361" s="69"/>
      <c r="BH361" s="69"/>
      <c r="BI361" s="69"/>
      <c r="BJ361" s="69"/>
      <c r="BK361" s="69"/>
      <c r="BL361" s="69"/>
      <c r="BM361" s="69"/>
      <c r="BN361" s="69"/>
      <c r="BO361" s="69"/>
      <c r="BP361" s="69"/>
      <c r="BQ361" s="69"/>
      <c r="BR361" s="69"/>
      <c r="BS361" s="69"/>
      <c r="BT361" s="69"/>
      <c r="BU361" s="69"/>
      <c r="BV361" s="69"/>
      <c r="BW361" s="69"/>
      <c r="BX361" s="69"/>
      <c r="BY361" s="69"/>
      <c r="BZ361" s="69"/>
      <c r="CA361" s="69"/>
      <c r="CB361" s="69"/>
      <c r="CC361" s="69"/>
      <c r="CD361" s="69"/>
      <c r="CE361" s="94">
        <f t="shared" si="28"/>
        <v>3693.38</v>
      </c>
      <c r="CF361" s="151">
        <f t="shared" si="29"/>
        <v>0</v>
      </c>
      <c r="CG361" s="75">
        <f t="shared" si="27"/>
        <v>4217</v>
      </c>
      <c r="CH361" s="69" t="str">
        <f t="shared" si="27"/>
        <v>برنامج دولى</v>
      </c>
    </row>
    <row r="362" spans="1:86" ht="18.75" x14ac:dyDescent="0.25">
      <c r="A362" s="148"/>
      <c r="B362" s="82">
        <v>8061</v>
      </c>
      <c r="C362" s="149">
        <v>4218</v>
      </c>
      <c r="D362" s="71" t="s">
        <v>78</v>
      </c>
      <c r="E362" s="69" t="s">
        <v>3212</v>
      </c>
      <c r="F362" s="63"/>
      <c r="G362" s="69">
        <v>1289.75</v>
      </c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  <c r="AE362" s="69"/>
      <c r="AF362" s="69"/>
      <c r="AG362" s="69"/>
      <c r="AH362" s="69"/>
      <c r="AI362" s="69"/>
      <c r="AJ362" s="69"/>
      <c r="AK362" s="69"/>
      <c r="AL362" s="69"/>
      <c r="AM362" s="69"/>
      <c r="AN362" s="69"/>
      <c r="AO362" s="69"/>
      <c r="AP362" s="69"/>
      <c r="AQ362" s="69"/>
      <c r="AR362" s="94">
        <f t="shared" si="26"/>
        <v>1289.75</v>
      </c>
      <c r="AS362" s="69">
        <v>862</v>
      </c>
      <c r="AT362" s="69">
        <f>110+7</f>
        <v>117</v>
      </c>
      <c r="AU362" s="69">
        <v>310.75</v>
      </c>
      <c r="AV362" s="69"/>
      <c r="AW362" s="69"/>
      <c r="AX362" s="69"/>
      <c r="AY362" s="69"/>
      <c r="AZ362" s="69"/>
      <c r="BA362" s="69"/>
      <c r="BB362" s="69"/>
      <c r="BC362" s="69"/>
      <c r="BD362" s="69"/>
      <c r="BE362" s="69"/>
      <c r="BF362" s="69"/>
      <c r="BG362" s="69"/>
      <c r="BH362" s="69"/>
      <c r="BI362" s="69"/>
      <c r="BJ362" s="69"/>
      <c r="BK362" s="69"/>
      <c r="BL362" s="69"/>
      <c r="BM362" s="69"/>
      <c r="BN362" s="69"/>
      <c r="BO362" s="69"/>
      <c r="BP362" s="69"/>
      <c r="BQ362" s="69"/>
      <c r="BR362" s="69"/>
      <c r="BS362" s="69"/>
      <c r="BT362" s="69"/>
      <c r="BU362" s="69"/>
      <c r="BV362" s="69"/>
      <c r="BW362" s="69"/>
      <c r="BX362" s="69"/>
      <c r="BY362" s="69"/>
      <c r="BZ362" s="69"/>
      <c r="CA362" s="69"/>
      <c r="CB362" s="69"/>
      <c r="CC362" s="69"/>
      <c r="CD362" s="69"/>
      <c r="CE362" s="94">
        <f t="shared" si="28"/>
        <v>1289.75</v>
      </c>
      <c r="CF362" s="151">
        <f t="shared" si="29"/>
        <v>0</v>
      </c>
      <c r="CG362" s="75">
        <f t="shared" si="27"/>
        <v>4218</v>
      </c>
      <c r="CH362" s="69" t="str">
        <f t="shared" si="27"/>
        <v>برنامج دولى</v>
      </c>
    </row>
    <row r="363" spans="1:86" ht="18.75" x14ac:dyDescent="0.25">
      <c r="A363" s="148"/>
      <c r="B363" s="82">
        <v>8062</v>
      </c>
      <c r="C363" s="149">
        <v>4219</v>
      </c>
      <c r="D363" s="71" t="s">
        <v>78</v>
      </c>
      <c r="E363" s="69" t="s">
        <v>3213</v>
      </c>
      <c r="F363" s="63"/>
      <c r="G363" s="69">
        <v>820.75</v>
      </c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  <c r="AE363" s="69"/>
      <c r="AF363" s="69"/>
      <c r="AG363" s="69"/>
      <c r="AH363" s="69"/>
      <c r="AI363" s="69"/>
      <c r="AJ363" s="69"/>
      <c r="AK363" s="69"/>
      <c r="AL363" s="69"/>
      <c r="AM363" s="69"/>
      <c r="AN363" s="69"/>
      <c r="AO363" s="69"/>
      <c r="AP363" s="69"/>
      <c r="AQ363" s="69"/>
      <c r="AR363" s="94">
        <f t="shared" si="26"/>
        <v>820.75</v>
      </c>
      <c r="AS363" s="69">
        <v>548.95000000000005</v>
      </c>
      <c r="AT363" s="69">
        <v>74.05</v>
      </c>
      <c r="AU363" s="69">
        <v>197.75</v>
      </c>
      <c r="AV363" s="69"/>
      <c r="AW363" s="69"/>
      <c r="AX363" s="69"/>
      <c r="AY363" s="69"/>
      <c r="AZ363" s="69"/>
      <c r="BA363" s="69"/>
      <c r="BB363" s="69"/>
      <c r="BC363" s="69"/>
      <c r="BD363" s="69"/>
      <c r="BE363" s="69"/>
      <c r="BF363" s="69"/>
      <c r="BG363" s="69"/>
      <c r="BH363" s="69"/>
      <c r="BI363" s="69"/>
      <c r="BJ363" s="69"/>
      <c r="BK363" s="69"/>
      <c r="BL363" s="69"/>
      <c r="BM363" s="69"/>
      <c r="BN363" s="69"/>
      <c r="BO363" s="69"/>
      <c r="BP363" s="69"/>
      <c r="BQ363" s="69"/>
      <c r="BR363" s="69"/>
      <c r="BS363" s="69"/>
      <c r="BT363" s="69"/>
      <c r="BU363" s="69"/>
      <c r="BV363" s="69"/>
      <c r="BW363" s="69"/>
      <c r="BX363" s="69"/>
      <c r="BY363" s="69"/>
      <c r="BZ363" s="69"/>
      <c r="CA363" s="69"/>
      <c r="CB363" s="69"/>
      <c r="CC363" s="69"/>
      <c r="CD363" s="69"/>
      <c r="CE363" s="94">
        <f t="shared" si="28"/>
        <v>820.75</v>
      </c>
      <c r="CF363" s="151">
        <f t="shared" si="29"/>
        <v>0</v>
      </c>
      <c r="CG363" s="75">
        <f t="shared" si="27"/>
        <v>4219</v>
      </c>
      <c r="CH363" s="69" t="str">
        <f t="shared" si="27"/>
        <v>برنامج دولى</v>
      </c>
    </row>
    <row r="364" spans="1:86" ht="18.75" x14ac:dyDescent="0.25">
      <c r="A364" s="148"/>
      <c r="B364" s="82">
        <v>8063</v>
      </c>
      <c r="C364" s="149">
        <v>4220</v>
      </c>
      <c r="D364" s="71" t="s">
        <v>78</v>
      </c>
      <c r="E364" s="69" t="s">
        <v>3213</v>
      </c>
      <c r="F364" s="63"/>
      <c r="G364" s="69">
        <v>1700.13</v>
      </c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  <c r="AF364" s="69"/>
      <c r="AG364" s="69"/>
      <c r="AH364" s="69"/>
      <c r="AI364" s="69"/>
      <c r="AJ364" s="69"/>
      <c r="AK364" s="69"/>
      <c r="AL364" s="69"/>
      <c r="AM364" s="69"/>
      <c r="AN364" s="69"/>
      <c r="AO364" s="69"/>
      <c r="AP364" s="69"/>
      <c r="AQ364" s="69"/>
      <c r="AR364" s="94">
        <f t="shared" si="26"/>
        <v>1700.13</v>
      </c>
      <c r="AS364" s="69">
        <v>1137.0999999999999</v>
      </c>
      <c r="AT364" s="69">
        <v>153.4</v>
      </c>
      <c r="AU364" s="69">
        <v>409.63</v>
      </c>
      <c r="AV364" s="69"/>
      <c r="AW364" s="69"/>
      <c r="AX364" s="69"/>
      <c r="AY364" s="69"/>
      <c r="AZ364" s="69"/>
      <c r="BA364" s="69"/>
      <c r="BB364" s="69"/>
      <c r="BC364" s="69"/>
      <c r="BD364" s="69"/>
      <c r="BE364" s="69"/>
      <c r="BF364" s="69"/>
      <c r="BG364" s="69"/>
      <c r="BH364" s="69"/>
      <c r="BI364" s="69"/>
      <c r="BJ364" s="69"/>
      <c r="BK364" s="69"/>
      <c r="BL364" s="69"/>
      <c r="BM364" s="69"/>
      <c r="BN364" s="69"/>
      <c r="BO364" s="69"/>
      <c r="BP364" s="69"/>
      <c r="BQ364" s="69"/>
      <c r="BR364" s="69"/>
      <c r="BS364" s="69"/>
      <c r="BT364" s="69"/>
      <c r="BU364" s="69"/>
      <c r="BV364" s="69"/>
      <c r="BW364" s="69"/>
      <c r="BX364" s="69"/>
      <c r="BY364" s="69"/>
      <c r="BZ364" s="69"/>
      <c r="CA364" s="69"/>
      <c r="CB364" s="69"/>
      <c r="CC364" s="69"/>
      <c r="CD364" s="69"/>
      <c r="CE364" s="94">
        <f t="shared" si="28"/>
        <v>1700.13</v>
      </c>
      <c r="CF364" s="151">
        <f t="shared" si="29"/>
        <v>0</v>
      </c>
      <c r="CG364" s="75">
        <f t="shared" si="27"/>
        <v>4220</v>
      </c>
      <c r="CH364" s="69" t="str">
        <f t="shared" si="27"/>
        <v>برنامج دولى</v>
      </c>
    </row>
    <row r="365" spans="1:86" ht="18.75" x14ac:dyDescent="0.25">
      <c r="A365" s="148"/>
      <c r="B365" s="82">
        <v>8064</v>
      </c>
      <c r="C365" s="149">
        <v>4221</v>
      </c>
      <c r="D365" s="71" t="s">
        <v>78</v>
      </c>
      <c r="E365" s="69" t="s">
        <v>1902</v>
      </c>
      <c r="F365" s="63"/>
      <c r="G365" s="69">
        <v>703.5</v>
      </c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  <c r="AF365" s="69"/>
      <c r="AG365" s="69"/>
      <c r="AH365" s="69"/>
      <c r="AI365" s="69"/>
      <c r="AJ365" s="69"/>
      <c r="AK365" s="69"/>
      <c r="AL365" s="69"/>
      <c r="AM365" s="69"/>
      <c r="AN365" s="69"/>
      <c r="AO365" s="69"/>
      <c r="AP365" s="69"/>
      <c r="AQ365" s="69"/>
      <c r="AR365" s="94">
        <f t="shared" si="26"/>
        <v>703.5</v>
      </c>
      <c r="AS365" s="69">
        <v>470.6</v>
      </c>
      <c r="AT365" s="69">
        <v>63.4</v>
      </c>
      <c r="AU365" s="69">
        <v>169.5</v>
      </c>
      <c r="AV365" s="69"/>
      <c r="AW365" s="69"/>
      <c r="AX365" s="69"/>
      <c r="AY365" s="69"/>
      <c r="AZ365" s="69"/>
      <c r="BA365" s="69"/>
      <c r="BB365" s="69"/>
      <c r="BC365" s="69"/>
      <c r="BD365" s="69"/>
      <c r="BE365" s="69"/>
      <c r="BF365" s="69"/>
      <c r="BG365" s="69"/>
      <c r="BH365" s="69"/>
      <c r="BI365" s="69"/>
      <c r="BJ365" s="69"/>
      <c r="BK365" s="69"/>
      <c r="BL365" s="69"/>
      <c r="BM365" s="69"/>
      <c r="BN365" s="69"/>
      <c r="BO365" s="69"/>
      <c r="BP365" s="69"/>
      <c r="BQ365" s="69"/>
      <c r="BR365" s="69"/>
      <c r="BS365" s="69"/>
      <c r="BT365" s="69"/>
      <c r="BU365" s="69"/>
      <c r="BV365" s="69"/>
      <c r="BW365" s="69"/>
      <c r="BX365" s="69"/>
      <c r="BY365" s="69"/>
      <c r="BZ365" s="69"/>
      <c r="CA365" s="69"/>
      <c r="CB365" s="69"/>
      <c r="CC365" s="69"/>
      <c r="CD365" s="69"/>
      <c r="CE365" s="94">
        <f t="shared" si="28"/>
        <v>703.5</v>
      </c>
      <c r="CF365" s="151">
        <f t="shared" si="29"/>
        <v>0</v>
      </c>
      <c r="CG365" s="75">
        <f t="shared" si="27"/>
        <v>4221</v>
      </c>
      <c r="CH365" s="69" t="str">
        <f t="shared" si="27"/>
        <v>برنامج دولى</v>
      </c>
    </row>
    <row r="366" spans="1:86" ht="18.75" x14ac:dyDescent="0.25">
      <c r="A366" s="148"/>
      <c r="B366" s="82">
        <v>8065</v>
      </c>
      <c r="C366" s="149">
        <v>4222</v>
      </c>
      <c r="D366" s="71" t="s">
        <v>78</v>
      </c>
      <c r="E366" s="69" t="s">
        <v>1902</v>
      </c>
      <c r="F366" s="63"/>
      <c r="G366" s="69">
        <v>3165.76</v>
      </c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  <c r="AE366" s="69"/>
      <c r="AF366" s="69"/>
      <c r="AG366" s="69"/>
      <c r="AH366" s="69"/>
      <c r="AI366" s="69"/>
      <c r="AJ366" s="69"/>
      <c r="AK366" s="69"/>
      <c r="AL366" s="69"/>
      <c r="AM366" s="69"/>
      <c r="AN366" s="69"/>
      <c r="AO366" s="69"/>
      <c r="AP366" s="69"/>
      <c r="AQ366" s="69"/>
      <c r="AR366" s="94">
        <f t="shared" si="26"/>
        <v>3165.76</v>
      </c>
      <c r="AS366" s="69">
        <v>2117.5</v>
      </c>
      <c r="AT366" s="69">
        <v>285.5</v>
      </c>
      <c r="AU366" s="69">
        <v>762.76</v>
      </c>
      <c r="AV366" s="69"/>
      <c r="AW366" s="69"/>
      <c r="AX366" s="69"/>
      <c r="AY366" s="69"/>
      <c r="AZ366" s="69"/>
      <c r="BA366" s="69"/>
      <c r="BB366" s="69"/>
      <c r="BC366" s="69"/>
      <c r="BD366" s="69"/>
      <c r="BE366" s="69"/>
      <c r="BF366" s="69"/>
      <c r="BG366" s="69"/>
      <c r="BH366" s="69"/>
      <c r="BI366" s="69"/>
      <c r="BJ366" s="69"/>
      <c r="BK366" s="69"/>
      <c r="BL366" s="69"/>
      <c r="BM366" s="69"/>
      <c r="BN366" s="69"/>
      <c r="BO366" s="69"/>
      <c r="BP366" s="69"/>
      <c r="BQ366" s="69"/>
      <c r="BR366" s="69"/>
      <c r="BS366" s="69"/>
      <c r="BT366" s="69"/>
      <c r="BU366" s="69"/>
      <c r="BV366" s="69"/>
      <c r="BW366" s="69"/>
      <c r="BX366" s="69"/>
      <c r="BY366" s="69"/>
      <c r="BZ366" s="69"/>
      <c r="CA366" s="69"/>
      <c r="CB366" s="69"/>
      <c r="CC366" s="69"/>
      <c r="CD366" s="69"/>
      <c r="CE366" s="94">
        <f t="shared" si="28"/>
        <v>3165.76</v>
      </c>
      <c r="CF366" s="151">
        <f t="shared" si="29"/>
        <v>0</v>
      </c>
      <c r="CG366" s="75">
        <f t="shared" si="27"/>
        <v>4222</v>
      </c>
      <c r="CH366" s="69" t="str">
        <f t="shared" si="27"/>
        <v>برنامج دولى</v>
      </c>
    </row>
    <row r="367" spans="1:86" ht="18.75" x14ac:dyDescent="0.25">
      <c r="A367" s="148"/>
      <c r="B367" s="82">
        <v>8066</v>
      </c>
      <c r="C367" s="149">
        <v>4223</v>
      </c>
      <c r="D367" s="71" t="s">
        <v>78</v>
      </c>
      <c r="E367" s="69" t="s">
        <v>3214</v>
      </c>
      <c r="F367" s="63"/>
      <c r="G367" s="69">
        <v>3010.98</v>
      </c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  <c r="AI367" s="69"/>
      <c r="AJ367" s="69"/>
      <c r="AK367" s="69"/>
      <c r="AL367" s="69"/>
      <c r="AM367" s="69"/>
      <c r="AN367" s="69"/>
      <c r="AO367" s="69"/>
      <c r="AP367" s="69"/>
      <c r="AQ367" s="69"/>
      <c r="AR367" s="94">
        <f t="shared" si="26"/>
        <v>3010.98</v>
      </c>
      <c r="AS367" s="69">
        <v>2011.92</v>
      </c>
      <c r="AT367" s="69">
        <v>273.60000000000002</v>
      </c>
      <c r="AU367" s="69">
        <v>725.46</v>
      </c>
      <c r="AV367" s="69"/>
      <c r="AW367" s="69"/>
      <c r="AX367" s="69"/>
      <c r="AY367" s="69"/>
      <c r="AZ367" s="69"/>
      <c r="BA367" s="69"/>
      <c r="BB367" s="69"/>
      <c r="BC367" s="69"/>
      <c r="BD367" s="69"/>
      <c r="BE367" s="69"/>
      <c r="BF367" s="69"/>
      <c r="BG367" s="69"/>
      <c r="BH367" s="69"/>
      <c r="BI367" s="69"/>
      <c r="BJ367" s="69"/>
      <c r="BK367" s="69"/>
      <c r="BL367" s="69"/>
      <c r="BM367" s="69"/>
      <c r="BN367" s="69"/>
      <c r="BO367" s="69"/>
      <c r="BP367" s="69"/>
      <c r="BQ367" s="69"/>
      <c r="BR367" s="69"/>
      <c r="BS367" s="69"/>
      <c r="BT367" s="69"/>
      <c r="BU367" s="69"/>
      <c r="BV367" s="69"/>
      <c r="BW367" s="69"/>
      <c r="BX367" s="69"/>
      <c r="BY367" s="69"/>
      <c r="BZ367" s="69"/>
      <c r="CA367" s="69"/>
      <c r="CB367" s="69"/>
      <c r="CC367" s="69"/>
      <c r="CD367" s="69"/>
      <c r="CE367" s="94">
        <f t="shared" si="28"/>
        <v>3010.98</v>
      </c>
      <c r="CF367" s="151">
        <f t="shared" si="29"/>
        <v>0</v>
      </c>
      <c r="CG367" s="75">
        <f t="shared" si="27"/>
        <v>4223</v>
      </c>
      <c r="CH367" s="69" t="str">
        <f t="shared" si="27"/>
        <v>برنامج دولى</v>
      </c>
    </row>
    <row r="368" spans="1:86" ht="18.75" x14ac:dyDescent="0.25">
      <c r="A368" s="148"/>
      <c r="B368" s="82">
        <v>8067</v>
      </c>
      <c r="C368" s="149">
        <v>4224</v>
      </c>
      <c r="D368" s="71" t="s">
        <v>78</v>
      </c>
      <c r="E368" s="69" t="s">
        <v>3215</v>
      </c>
      <c r="F368" s="63"/>
      <c r="G368" s="69">
        <v>267.60000000000002</v>
      </c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  <c r="AI368" s="69"/>
      <c r="AJ368" s="69"/>
      <c r="AK368" s="69"/>
      <c r="AL368" s="69"/>
      <c r="AM368" s="69"/>
      <c r="AN368" s="69"/>
      <c r="AO368" s="69"/>
      <c r="AP368" s="69"/>
      <c r="AQ368" s="69"/>
      <c r="AR368" s="94">
        <f t="shared" si="26"/>
        <v>267.60000000000002</v>
      </c>
      <c r="AS368" s="69">
        <v>198.4</v>
      </c>
      <c r="AT368" s="69">
        <v>24</v>
      </c>
      <c r="AU368" s="69">
        <v>45.2</v>
      </c>
      <c r="AV368" s="69"/>
      <c r="AW368" s="69"/>
      <c r="AX368" s="69"/>
      <c r="AY368" s="69"/>
      <c r="AZ368" s="69"/>
      <c r="BA368" s="69"/>
      <c r="BB368" s="69"/>
      <c r="BC368" s="69"/>
      <c r="BD368" s="69"/>
      <c r="BE368" s="69"/>
      <c r="BF368" s="69"/>
      <c r="BG368" s="69"/>
      <c r="BH368" s="69"/>
      <c r="BI368" s="69"/>
      <c r="BJ368" s="69"/>
      <c r="BK368" s="69"/>
      <c r="BL368" s="69"/>
      <c r="BM368" s="69"/>
      <c r="BN368" s="69"/>
      <c r="BO368" s="69"/>
      <c r="BP368" s="69"/>
      <c r="BQ368" s="69"/>
      <c r="BR368" s="69"/>
      <c r="BS368" s="69"/>
      <c r="BT368" s="69"/>
      <c r="BU368" s="69"/>
      <c r="BV368" s="69"/>
      <c r="BW368" s="69"/>
      <c r="BX368" s="69"/>
      <c r="BY368" s="69"/>
      <c r="BZ368" s="69"/>
      <c r="CA368" s="69"/>
      <c r="CB368" s="69"/>
      <c r="CC368" s="69"/>
      <c r="CD368" s="69"/>
      <c r="CE368" s="94">
        <f t="shared" si="28"/>
        <v>267.60000000000002</v>
      </c>
      <c r="CF368" s="151">
        <f t="shared" si="29"/>
        <v>0</v>
      </c>
      <c r="CG368" s="75">
        <f t="shared" si="27"/>
        <v>4224</v>
      </c>
      <c r="CH368" s="69" t="str">
        <f t="shared" si="27"/>
        <v>برنامج دولى</v>
      </c>
    </row>
    <row r="369" spans="1:86" ht="18.75" x14ac:dyDescent="0.25">
      <c r="A369" s="148"/>
      <c r="B369" s="82">
        <v>8068</v>
      </c>
      <c r="C369" s="149">
        <v>4225</v>
      </c>
      <c r="D369" s="71" t="s">
        <v>78</v>
      </c>
      <c r="E369" s="69" t="s">
        <v>3215</v>
      </c>
      <c r="F369" s="63"/>
      <c r="G369" s="69">
        <v>40</v>
      </c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  <c r="AF369" s="69"/>
      <c r="AG369" s="69"/>
      <c r="AH369" s="69"/>
      <c r="AI369" s="69"/>
      <c r="AJ369" s="69"/>
      <c r="AK369" s="69"/>
      <c r="AL369" s="69"/>
      <c r="AM369" s="69"/>
      <c r="AN369" s="69"/>
      <c r="AO369" s="69"/>
      <c r="AP369" s="69"/>
      <c r="AQ369" s="69"/>
      <c r="AR369" s="94">
        <f t="shared" si="26"/>
        <v>40</v>
      </c>
      <c r="AS369" s="69">
        <v>36</v>
      </c>
      <c r="AT369" s="69">
        <v>4</v>
      </c>
      <c r="AU369" s="69"/>
      <c r="AV369" s="69"/>
      <c r="AW369" s="69"/>
      <c r="AX369" s="69"/>
      <c r="AY369" s="69"/>
      <c r="AZ369" s="69"/>
      <c r="BA369" s="69"/>
      <c r="BB369" s="69"/>
      <c r="BC369" s="69"/>
      <c r="BD369" s="69"/>
      <c r="BE369" s="69"/>
      <c r="BF369" s="69"/>
      <c r="BG369" s="69"/>
      <c r="BH369" s="69"/>
      <c r="BI369" s="69"/>
      <c r="BJ369" s="69"/>
      <c r="BK369" s="69"/>
      <c r="BL369" s="69"/>
      <c r="BM369" s="69"/>
      <c r="BN369" s="69"/>
      <c r="BO369" s="69"/>
      <c r="BP369" s="69"/>
      <c r="BQ369" s="69"/>
      <c r="BR369" s="69"/>
      <c r="BS369" s="69"/>
      <c r="BT369" s="69"/>
      <c r="BU369" s="69"/>
      <c r="BV369" s="69"/>
      <c r="BW369" s="69"/>
      <c r="BX369" s="69"/>
      <c r="BY369" s="69"/>
      <c r="BZ369" s="69"/>
      <c r="CA369" s="69"/>
      <c r="CB369" s="69"/>
      <c r="CC369" s="69"/>
      <c r="CD369" s="69"/>
      <c r="CE369" s="94">
        <f t="shared" si="28"/>
        <v>40</v>
      </c>
      <c r="CF369" s="151">
        <f t="shared" si="29"/>
        <v>0</v>
      </c>
      <c r="CG369" s="75">
        <f t="shared" si="27"/>
        <v>4225</v>
      </c>
      <c r="CH369" s="69" t="str">
        <f t="shared" si="27"/>
        <v>برنامج دولى</v>
      </c>
    </row>
    <row r="370" spans="1:86" ht="18.75" x14ac:dyDescent="0.25">
      <c r="A370" s="148"/>
      <c r="B370" s="82">
        <v>8069</v>
      </c>
      <c r="C370" s="149">
        <v>4226</v>
      </c>
      <c r="D370" s="71" t="s">
        <v>78</v>
      </c>
      <c r="E370" s="69" t="s">
        <v>1918</v>
      </c>
      <c r="F370" s="63"/>
      <c r="G370" s="69">
        <v>2000</v>
      </c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  <c r="AF370" s="69"/>
      <c r="AG370" s="69"/>
      <c r="AH370" s="69"/>
      <c r="AI370" s="69"/>
      <c r="AJ370" s="69"/>
      <c r="AK370" s="69"/>
      <c r="AL370" s="69"/>
      <c r="AM370" s="69"/>
      <c r="AN370" s="69"/>
      <c r="AO370" s="69"/>
      <c r="AP370" s="69"/>
      <c r="AQ370" s="69"/>
      <c r="AR370" s="94">
        <f t="shared" si="26"/>
        <v>2000</v>
      </c>
      <c r="AS370" s="69">
        <v>1786.7</v>
      </c>
      <c r="AT370" s="69">
        <v>213.3</v>
      </c>
      <c r="AU370" s="69"/>
      <c r="AV370" s="69"/>
      <c r="AW370" s="69"/>
      <c r="AX370" s="69"/>
      <c r="AY370" s="69"/>
      <c r="AZ370" s="69"/>
      <c r="BA370" s="69"/>
      <c r="BB370" s="69"/>
      <c r="BC370" s="69"/>
      <c r="BD370" s="69"/>
      <c r="BE370" s="69"/>
      <c r="BF370" s="69"/>
      <c r="BG370" s="69"/>
      <c r="BH370" s="69"/>
      <c r="BI370" s="69"/>
      <c r="BJ370" s="69"/>
      <c r="BK370" s="69"/>
      <c r="BL370" s="69"/>
      <c r="BM370" s="69"/>
      <c r="BN370" s="69"/>
      <c r="BO370" s="69"/>
      <c r="BP370" s="69"/>
      <c r="BQ370" s="69"/>
      <c r="BR370" s="69"/>
      <c r="BS370" s="69"/>
      <c r="BT370" s="69"/>
      <c r="BU370" s="69"/>
      <c r="BV370" s="69"/>
      <c r="BW370" s="69"/>
      <c r="BX370" s="69"/>
      <c r="BY370" s="69"/>
      <c r="BZ370" s="69"/>
      <c r="CA370" s="69"/>
      <c r="CB370" s="69"/>
      <c r="CC370" s="69"/>
      <c r="CD370" s="69"/>
      <c r="CE370" s="94">
        <f t="shared" si="28"/>
        <v>2000</v>
      </c>
      <c r="CF370" s="151">
        <f t="shared" si="29"/>
        <v>0</v>
      </c>
      <c r="CG370" s="75">
        <f t="shared" si="27"/>
        <v>4226</v>
      </c>
      <c r="CH370" s="69" t="str">
        <f t="shared" si="27"/>
        <v>برنامج دولى</v>
      </c>
    </row>
    <row r="371" spans="1:86" ht="18.75" x14ac:dyDescent="0.25">
      <c r="A371" s="148"/>
      <c r="B371" s="82">
        <v>8070</v>
      </c>
      <c r="C371" s="149">
        <v>4227</v>
      </c>
      <c r="D371" s="71" t="s">
        <v>78</v>
      </c>
      <c r="E371" s="69" t="s">
        <v>1918</v>
      </c>
      <c r="F371" s="63"/>
      <c r="G371" s="69">
        <v>1758.76</v>
      </c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  <c r="AE371" s="69"/>
      <c r="AF371" s="69"/>
      <c r="AG371" s="69"/>
      <c r="AH371" s="69"/>
      <c r="AI371" s="69"/>
      <c r="AJ371" s="69"/>
      <c r="AK371" s="69"/>
      <c r="AL371" s="69"/>
      <c r="AM371" s="69"/>
      <c r="AN371" s="69"/>
      <c r="AO371" s="69"/>
      <c r="AP371" s="69"/>
      <c r="AQ371" s="69"/>
      <c r="AR371" s="94">
        <f t="shared" si="26"/>
        <v>1758.76</v>
      </c>
      <c r="AS371" s="69">
        <v>1176.3</v>
      </c>
      <c r="AT371" s="69">
        <v>158.69999999999999</v>
      </c>
      <c r="AU371" s="69">
        <v>423.76</v>
      </c>
      <c r="AV371" s="69"/>
      <c r="AW371" s="69"/>
      <c r="AX371" s="69"/>
      <c r="AY371" s="69"/>
      <c r="AZ371" s="69"/>
      <c r="BA371" s="69"/>
      <c r="BB371" s="69"/>
      <c r="BC371" s="69"/>
      <c r="BD371" s="69"/>
      <c r="BE371" s="69"/>
      <c r="BF371" s="69"/>
      <c r="BG371" s="69"/>
      <c r="BH371" s="69"/>
      <c r="BI371" s="69"/>
      <c r="BJ371" s="69"/>
      <c r="BK371" s="69"/>
      <c r="BL371" s="69"/>
      <c r="BM371" s="69"/>
      <c r="BN371" s="69"/>
      <c r="BO371" s="69"/>
      <c r="BP371" s="69"/>
      <c r="BQ371" s="69"/>
      <c r="BR371" s="69"/>
      <c r="BS371" s="69"/>
      <c r="BT371" s="69"/>
      <c r="BU371" s="69"/>
      <c r="BV371" s="69"/>
      <c r="BW371" s="69"/>
      <c r="BX371" s="69"/>
      <c r="BY371" s="69"/>
      <c r="BZ371" s="69"/>
      <c r="CA371" s="69"/>
      <c r="CB371" s="69"/>
      <c r="CC371" s="69"/>
      <c r="CD371" s="69"/>
      <c r="CE371" s="94">
        <f t="shared" si="28"/>
        <v>1758.76</v>
      </c>
      <c r="CF371" s="151">
        <f t="shared" si="29"/>
        <v>0</v>
      </c>
      <c r="CG371" s="75">
        <f t="shared" si="27"/>
        <v>4227</v>
      </c>
      <c r="CH371" s="69" t="str">
        <f t="shared" si="27"/>
        <v>برنامج دولى</v>
      </c>
    </row>
    <row r="372" spans="1:86" ht="18.75" x14ac:dyDescent="0.25">
      <c r="A372" s="148"/>
      <c r="B372" s="82">
        <v>8071</v>
      </c>
      <c r="C372" s="149">
        <v>4228</v>
      </c>
      <c r="D372" s="71" t="s">
        <v>78</v>
      </c>
      <c r="E372" s="69" t="s">
        <v>3216</v>
      </c>
      <c r="F372" s="63"/>
      <c r="G372" s="69">
        <v>6000</v>
      </c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  <c r="AE372" s="69"/>
      <c r="AF372" s="69"/>
      <c r="AG372" s="69"/>
      <c r="AH372" s="69"/>
      <c r="AI372" s="69"/>
      <c r="AJ372" s="69"/>
      <c r="AK372" s="69"/>
      <c r="AL372" s="69"/>
      <c r="AM372" s="69"/>
      <c r="AN372" s="69"/>
      <c r="AO372" s="69"/>
      <c r="AP372" s="69"/>
      <c r="AQ372" s="69"/>
      <c r="AR372" s="94">
        <f t="shared" si="26"/>
        <v>6000</v>
      </c>
      <c r="AS372" s="69">
        <v>5355.7</v>
      </c>
      <c r="AT372" s="69">
        <v>644.29999999999995</v>
      </c>
      <c r="AU372" s="69"/>
      <c r="AV372" s="69"/>
      <c r="AW372" s="69"/>
      <c r="AX372" s="69"/>
      <c r="AY372" s="69"/>
      <c r="AZ372" s="69"/>
      <c r="BA372" s="69"/>
      <c r="BB372" s="69"/>
      <c r="BC372" s="69"/>
      <c r="BD372" s="69"/>
      <c r="BE372" s="69"/>
      <c r="BF372" s="69"/>
      <c r="BG372" s="69"/>
      <c r="BH372" s="69"/>
      <c r="BI372" s="69"/>
      <c r="BJ372" s="69"/>
      <c r="BK372" s="69"/>
      <c r="BL372" s="69"/>
      <c r="BM372" s="69"/>
      <c r="BN372" s="69"/>
      <c r="BO372" s="69"/>
      <c r="BP372" s="69"/>
      <c r="BQ372" s="69"/>
      <c r="BR372" s="69"/>
      <c r="BS372" s="69"/>
      <c r="BT372" s="69"/>
      <c r="BU372" s="69"/>
      <c r="BV372" s="69"/>
      <c r="BW372" s="69"/>
      <c r="BX372" s="69"/>
      <c r="BY372" s="69"/>
      <c r="BZ372" s="69"/>
      <c r="CA372" s="69"/>
      <c r="CB372" s="69"/>
      <c r="CC372" s="69"/>
      <c r="CD372" s="69"/>
      <c r="CE372" s="94">
        <f t="shared" si="28"/>
        <v>6000</v>
      </c>
      <c r="CF372" s="151">
        <f t="shared" si="29"/>
        <v>0</v>
      </c>
      <c r="CG372" s="75">
        <f t="shared" si="27"/>
        <v>4228</v>
      </c>
      <c r="CH372" s="69" t="str">
        <f t="shared" si="27"/>
        <v>برنامج دولى</v>
      </c>
    </row>
    <row r="373" spans="1:86" ht="18.75" x14ac:dyDescent="0.25">
      <c r="A373" s="148"/>
      <c r="B373" s="82">
        <v>8072</v>
      </c>
      <c r="C373" s="149">
        <v>4229</v>
      </c>
      <c r="D373" s="71" t="s">
        <v>78</v>
      </c>
      <c r="E373" s="69" t="s">
        <v>3216</v>
      </c>
      <c r="F373" s="63"/>
      <c r="G373" s="69">
        <v>1172.5</v>
      </c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/>
      <c r="AG373" s="69"/>
      <c r="AH373" s="69"/>
      <c r="AI373" s="69"/>
      <c r="AJ373" s="69"/>
      <c r="AK373" s="69"/>
      <c r="AL373" s="69"/>
      <c r="AM373" s="69"/>
      <c r="AN373" s="69"/>
      <c r="AO373" s="69"/>
      <c r="AP373" s="69"/>
      <c r="AQ373" s="69"/>
      <c r="AR373" s="94">
        <f t="shared" si="26"/>
        <v>1172.5</v>
      </c>
      <c r="AS373" s="69">
        <v>784.1</v>
      </c>
      <c r="AT373" s="69">
        <v>105.9</v>
      </c>
      <c r="AU373" s="69">
        <v>282.5</v>
      </c>
      <c r="AV373" s="69"/>
      <c r="AW373" s="69"/>
      <c r="AX373" s="69"/>
      <c r="AY373" s="69"/>
      <c r="AZ373" s="69"/>
      <c r="BA373" s="69"/>
      <c r="BB373" s="69"/>
      <c r="BC373" s="69"/>
      <c r="BD373" s="69"/>
      <c r="BE373" s="69"/>
      <c r="BF373" s="69"/>
      <c r="BG373" s="69"/>
      <c r="BH373" s="69"/>
      <c r="BI373" s="69"/>
      <c r="BJ373" s="69"/>
      <c r="BK373" s="69"/>
      <c r="BL373" s="69"/>
      <c r="BM373" s="69"/>
      <c r="BN373" s="69"/>
      <c r="BO373" s="69"/>
      <c r="BP373" s="69"/>
      <c r="BQ373" s="69"/>
      <c r="BR373" s="69"/>
      <c r="BS373" s="69"/>
      <c r="BT373" s="69"/>
      <c r="BU373" s="69"/>
      <c r="BV373" s="69"/>
      <c r="BW373" s="69"/>
      <c r="BX373" s="69"/>
      <c r="BY373" s="69"/>
      <c r="BZ373" s="69"/>
      <c r="CA373" s="69"/>
      <c r="CB373" s="69"/>
      <c r="CC373" s="69"/>
      <c r="CD373" s="69"/>
      <c r="CE373" s="94">
        <f t="shared" si="28"/>
        <v>1172.5</v>
      </c>
      <c r="CF373" s="151">
        <f t="shared" si="29"/>
        <v>0</v>
      </c>
      <c r="CG373" s="75">
        <f t="shared" si="27"/>
        <v>4229</v>
      </c>
      <c r="CH373" s="69" t="str">
        <f t="shared" si="27"/>
        <v>برنامج دولى</v>
      </c>
    </row>
    <row r="374" spans="1:86" ht="18.75" x14ac:dyDescent="0.25">
      <c r="A374" s="148"/>
      <c r="B374" s="82">
        <v>8073</v>
      </c>
      <c r="C374" s="149">
        <v>4230</v>
      </c>
      <c r="D374" s="71" t="s">
        <v>78</v>
      </c>
      <c r="E374" s="69" t="s">
        <v>3216</v>
      </c>
      <c r="F374" s="63"/>
      <c r="G374" s="69">
        <v>4690</v>
      </c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  <c r="AF374" s="69"/>
      <c r="AG374" s="69"/>
      <c r="AH374" s="69"/>
      <c r="AI374" s="69"/>
      <c r="AJ374" s="69"/>
      <c r="AK374" s="69"/>
      <c r="AL374" s="69"/>
      <c r="AM374" s="69"/>
      <c r="AN374" s="69"/>
      <c r="AO374" s="69"/>
      <c r="AP374" s="69"/>
      <c r="AQ374" s="69"/>
      <c r="AR374" s="94">
        <f t="shared" si="26"/>
        <v>4690</v>
      </c>
      <c r="AS374" s="69">
        <v>3134</v>
      </c>
      <c r="AT374" s="69">
        <v>426</v>
      </c>
      <c r="AU374" s="69">
        <v>1130</v>
      </c>
      <c r="AV374" s="69"/>
      <c r="AW374" s="69"/>
      <c r="AX374" s="69"/>
      <c r="AY374" s="69"/>
      <c r="AZ374" s="69"/>
      <c r="BA374" s="69"/>
      <c r="BB374" s="69"/>
      <c r="BC374" s="69"/>
      <c r="BD374" s="69"/>
      <c r="BE374" s="69"/>
      <c r="BF374" s="69"/>
      <c r="BG374" s="69"/>
      <c r="BH374" s="69"/>
      <c r="BI374" s="69"/>
      <c r="BJ374" s="69"/>
      <c r="BK374" s="69"/>
      <c r="BL374" s="69"/>
      <c r="BM374" s="69"/>
      <c r="BN374" s="69"/>
      <c r="BO374" s="69"/>
      <c r="BP374" s="69"/>
      <c r="BQ374" s="69"/>
      <c r="BR374" s="69"/>
      <c r="BS374" s="69"/>
      <c r="BT374" s="69"/>
      <c r="BU374" s="69"/>
      <c r="BV374" s="69"/>
      <c r="BW374" s="69"/>
      <c r="BX374" s="69"/>
      <c r="BY374" s="69"/>
      <c r="BZ374" s="69"/>
      <c r="CA374" s="69"/>
      <c r="CB374" s="69"/>
      <c r="CC374" s="69"/>
      <c r="CD374" s="69"/>
      <c r="CE374" s="94">
        <f t="shared" si="28"/>
        <v>4690</v>
      </c>
      <c r="CF374" s="151">
        <f t="shared" si="29"/>
        <v>0</v>
      </c>
      <c r="CG374" s="75">
        <f t="shared" si="27"/>
        <v>4230</v>
      </c>
      <c r="CH374" s="69" t="str">
        <f t="shared" si="27"/>
        <v>برنامج دولى</v>
      </c>
    </row>
    <row r="375" spans="1:86" ht="18.75" x14ac:dyDescent="0.25">
      <c r="A375" s="148"/>
      <c r="B375" s="82">
        <v>8074</v>
      </c>
      <c r="C375" s="149">
        <v>4231</v>
      </c>
      <c r="D375" s="71" t="s">
        <v>78</v>
      </c>
      <c r="E375" s="69" t="str">
        <f>+E369</f>
        <v>مكافاه علاقات ثقافيه</v>
      </c>
      <c r="F375" s="63"/>
      <c r="G375" s="69">
        <v>12105.48</v>
      </c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G375" s="69"/>
      <c r="AH375" s="69"/>
      <c r="AI375" s="69"/>
      <c r="AJ375" s="69"/>
      <c r="AK375" s="69"/>
      <c r="AL375" s="69"/>
      <c r="AM375" s="69"/>
      <c r="AN375" s="69"/>
      <c r="AO375" s="69"/>
      <c r="AP375" s="69"/>
      <c r="AQ375" s="69"/>
      <c r="AR375" s="94">
        <f t="shared" si="26"/>
        <v>12105.48</v>
      </c>
      <c r="AS375" s="69">
        <v>9120</v>
      </c>
      <c r="AT375" s="69">
        <v>1175.05</v>
      </c>
      <c r="AU375" s="69">
        <v>1810.43</v>
      </c>
      <c r="AV375" s="69"/>
      <c r="AW375" s="69"/>
      <c r="AX375" s="69"/>
      <c r="AY375" s="69"/>
      <c r="AZ375" s="69"/>
      <c r="BA375" s="69"/>
      <c r="BB375" s="69"/>
      <c r="BC375" s="69"/>
      <c r="BD375" s="69"/>
      <c r="BE375" s="69"/>
      <c r="BF375" s="69"/>
      <c r="BG375" s="69"/>
      <c r="BH375" s="69"/>
      <c r="BI375" s="69"/>
      <c r="BJ375" s="69"/>
      <c r="BK375" s="69"/>
      <c r="BL375" s="69"/>
      <c r="BM375" s="69"/>
      <c r="BN375" s="69"/>
      <c r="BO375" s="69"/>
      <c r="BP375" s="69"/>
      <c r="BQ375" s="69"/>
      <c r="BR375" s="69"/>
      <c r="BS375" s="69"/>
      <c r="BT375" s="69"/>
      <c r="BU375" s="69"/>
      <c r="BV375" s="69"/>
      <c r="BW375" s="69"/>
      <c r="BX375" s="69"/>
      <c r="BY375" s="69"/>
      <c r="BZ375" s="69"/>
      <c r="CA375" s="69"/>
      <c r="CB375" s="69"/>
      <c r="CC375" s="69"/>
      <c r="CD375" s="69"/>
      <c r="CE375" s="94">
        <f t="shared" si="28"/>
        <v>12105.48</v>
      </c>
      <c r="CF375" s="151">
        <f t="shared" si="29"/>
        <v>0</v>
      </c>
      <c r="CG375" s="75">
        <f t="shared" si="27"/>
        <v>4231</v>
      </c>
      <c r="CH375" s="69" t="str">
        <f t="shared" si="27"/>
        <v>برنامج دولى</v>
      </c>
    </row>
    <row r="376" spans="1:86" ht="18.75" x14ac:dyDescent="0.25">
      <c r="A376" s="148"/>
      <c r="B376" s="82">
        <v>8075</v>
      </c>
      <c r="C376" s="149">
        <v>4232</v>
      </c>
      <c r="D376" s="71" t="s">
        <v>78</v>
      </c>
      <c r="E376" s="69" t="s">
        <v>3215</v>
      </c>
      <c r="F376" s="63"/>
      <c r="G376" s="69">
        <v>1758.75</v>
      </c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  <c r="AI376" s="69"/>
      <c r="AJ376" s="69"/>
      <c r="AK376" s="69"/>
      <c r="AL376" s="69"/>
      <c r="AM376" s="69"/>
      <c r="AN376" s="69"/>
      <c r="AO376" s="69"/>
      <c r="AP376" s="69"/>
      <c r="AQ376" s="69"/>
      <c r="AR376" s="94">
        <f t="shared" si="26"/>
        <v>1758.75</v>
      </c>
      <c r="AS376" s="69">
        <v>1175.3499999999999</v>
      </c>
      <c r="AT376" s="69">
        <v>159.65</v>
      </c>
      <c r="AU376" s="69">
        <v>423.75</v>
      </c>
      <c r="AV376" s="69"/>
      <c r="AW376" s="69"/>
      <c r="AX376" s="69"/>
      <c r="AY376" s="69"/>
      <c r="AZ376" s="69"/>
      <c r="BA376" s="69"/>
      <c r="BB376" s="69"/>
      <c r="BC376" s="69"/>
      <c r="BD376" s="69"/>
      <c r="BE376" s="69"/>
      <c r="BF376" s="69"/>
      <c r="BG376" s="69"/>
      <c r="BH376" s="69"/>
      <c r="BI376" s="69"/>
      <c r="BJ376" s="69"/>
      <c r="BK376" s="69"/>
      <c r="BL376" s="69"/>
      <c r="BM376" s="69"/>
      <c r="BN376" s="69"/>
      <c r="BO376" s="69"/>
      <c r="BP376" s="69"/>
      <c r="BQ376" s="69"/>
      <c r="BR376" s="69"/>
      <c r="BS376" s="69"/>
      <c r="BT376" s="69"/>
      <c r="BU376" s="69"/>
      <c r="BV376" s="69"/>
      <c r="BW376" s="69"/>
      <c r="BX376" s="69"/>
      <c r="BY376" s="69"/>
      <c r="BZ376" s="69"/>
      <c r="CA376" s="69"/>
      <c r="CB376" s="69"/>
      <c r="CC376" s="69"/>
      <c r="CD376" s="69"/>
      <c r="CE376" s="94">
        <f t="shared" si="28"/>
        <v>1758.75</v>
      </c>
      <c r="CF376" s="151">
        <f t="shared" si="29"/>
        <v>0</v>
      </c>
      <c r="CG376" s="75">
        <f t="shared" si="27"/>
        <v>4232</v>
      </c>
      <c r="CH376" s="69" t="str">
        <f t="shared" si="27"/>
        <v>برنامج دولى</v>
      </c>
    </row>
    <row r="377" spans="1:86" ht="18.75" x14ac:dyDescent="0.25">
      <c r="A377" s="148"/>
      <c r="B377" s="82">
        <v>8076</v>
      </c>
      <c r="C377" s="149">
        <v>4233</v>
      </c>
      <c r="D377" s="71" t="s">
        <v>78</v>
      </c>
      <c r="E377" s="69" t="s">
        <v>3215</v>
      </c>
      <c r="F377" s="63"/>
      <c r="G377" s="69">
        <v>1544.65</v>
      </c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G377" s="69"/>
      <c r="AH377" s="69"/>
      <c r="AI377" s="69"/>
      <c r="AJ377" s="69"/>
      <c r="AK377" s="69"/>
      <c r="AL377" s="69"/>
      <c r="AM377" s="69"/>
      <c r="AN377" s="69"/>
      <c r="AO377" s="69"/>
      <c r="AP377" s="69"/>
      <c r="AQ377" s="69"/>
      <c r="AR377" s="94">
        <f t="shared" si="26"/>
        <v>1544.65</v>
      </c>
      <c r="AS377" s="69">
        <v>1310.83</v>
      </c>
      <c r="AT377" s="69">
        <v>160.69999999999999</v>
      </c>
      <c r="AU377" s="69">
        <v>73.12</v>
      </c>
      <c r="AV377" s="69"/>
      <c r="AW377" s="69"/>
      <c r="AX377" s="69"/>
      <c r="AY377" s="69"/>
      <c r="AZ377" s="69"/>
      <c r="BA377" s="69"/>
      <c r="BB377" s="69"/>
      <c r="BC377" s="69"/>
      <c r="BD377" s="69"/>
      <c r="BE377" s="69"/>
      <c r="BF377" s="69"/>
      <c r="BG377" s="69"/>
      <c r="BH377" s="69"/>
      <c r="BI377" s="69"/>
      <c r="BJ377" s="69"/>
      <c r="BK377" s="69"/>
      <c r="BL377" s="69"/>
      <c r="BM377" s="69"/>
      <c r="BN377" s="69"/>
      <c r="BO377" s="69"/>
      <c r="BP377" s="69"/>
      <c r="BQ377" s="69"/>
      <c r="BR377" s="69"/>
      <c r="BS377" s="69"/>
      <c r="BT377" s="69"/>
      <c r="BU377" s="69"/>
      <c r="BV377" s="69"/>
      <c r="BW377" s="69"/>
      <c r="BX377" s="69"/>
      <c r="BY377" s="69"/>
      <c r="BZ377" s="69"/>
      <c r="CA377" s="69"/>
      <c r="CB377" s="69"/>
      <c r="CC377" s="69"/>
      <c r="CD377" s="69"/>
      <c r="CE377" s="94">
        <f t="shared" si="28"/>
        <v>1544.65</v>
      </c>
      <c r="CF377" s="151">
        <f t="shared" si="29"/>
        <v>0</v>
      </c>
      <c r="CG377" s="75">
        <f t="shared" si="27"/>
        <v>4233</v>
      </c>
      <c r="CH377" s="69" t="str">
        <f t="shared" si="27"/>
        <v>برنامج دولى</v>
      </c>
    </row>
    <row r="378" spans="1:86" ht="18.75" x14ac:dyDescent="0.25">
      <c r="A378" s="148"/>
      <c r="B378" s="82">
        <v>8077</v>
      </c>
      <c r="C378" s="149">
        <v>4234</v>
      </c>
      <c r="D378" s="71" t="s">
        <v>78</v>
      </c>
      <c r="E378" s="69" t="s">
        <v>3215</v>
      </c>
      <c r="F378" s="63"/>
      <c r="G378" s="69">
        <v>7035</v>
      </c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  <c r="AE378" s="69"/>
      <c r="AF378" s="69"/>
      <c r="AG378" s="69"/>
      <c r="AH378" s="69"/>
      <c r="AI378" s="69"/>
      <c r="AJ378" s="69"/>
      <c r="AK378" s="69"/>
      <c r="AL378" s="69"/>
      <c r="AM378" s="69"/>
      <c r="AN378" s="69"/>
      <c r="AO378" s="69"/>
      <c r="AP378" s="69"/>
      <c r="AQ378" s="69"/>
      <c r="AR378" s="94">
        <f t="shared" si="26"/>
        <v>7035</v>
      </c>
      <c r="AS378" s="69">
        <v>4701.3999999999996</v>
      </c>
      <c r="AT378" s="69">
        <v>638.6</v>
      </c>
      <c r="AU378" s="69">
        <v>1695</v>
      </c>
      <c r="AV378" s="69"/>
      <c r="AW378" s="69"/>
      <c r="AX378" s="69"/>
      <c r="AY378" s="69"/>
      <c r="AZ378" s="69"/>
      <c r="BA378" s="69"/>
      <c r="BB378" s="69"/>
      <c r="BC378" s="69"/>
      <c r="BD378" s="69"/>
      <c r="BE378" s="69"/>
      <c r="BF378" s="69"/>
      <c r="BG378" s="69"/>
      <c r="BH378" s="69"/>
      <c r="BI378" s="69"/>
      <c r="BJ378" s="69"/>
      <c r="BK378" s="69"/>
      <c r="BL378" s="69"/>
      <c r="BM378" s="69"/>
      <c r="BN378" s="69"/>
      <c r="BO378" s="69"/>
      <c r="BP378" s="69"/>
      <c r="BQ378" s="69"/>
      <c r="BR378" s="69"/>
      <c r="BS378" s="69"/>
      <c r="BT378" s="69"/>
      <c r="BU378" s="69"/>
      <c r="BV378" s="69"/>
      <c r="BW378" s="69"/>
      <c r="BX378" s="69"/>
      <c r="BY378" s="69"/>
      <c r="BZ378" s="69"/>
      <c r="CA378" s="69"/>
      <c r="CB378" s="69"/>
      <c r="CC378" s="69"/>
      <c r="CD378" s="69"/>
      <c r="CE378" s="94">
        <f t="shared" si="28"/>
        <v>7035</v>
      </c>
      <c r="CF378" s="151">
        <f t="shared" si="29"/>
        <v>0</v>
      </c>
      <c r="CG378" s="75">
        <f t="shared" si="27"/>
        <v>4234</v>
      </c>
      <c r="CH378" s="69" t="str">
        <f t="shared" si="27"/>
        <v>برنامج دولى</v>
      </c>
    </row>
    <row r="379" spans="1:86" ht="18.75" x14ac:dyDescent="0.25">
      <c r="A379" s="148"/>
      <c r="B379" s="82">
        <v>8078</v>
      </c>
      <c r="C379" s="149">
        <v>4235</v>
      </c>
      <c r="D379" s="71" t="s">
        <v>78</v>
      </c>
      <c r="E379" s="69" t="s">
        <v>3217</v>
      </c>
      <c r="F379" s="63"/>
      <c r="G379" s="69">
        <v>2345</v>
      </c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  <c r="AE379" s="69"/>
      <c r="AF379" s="69"/>
      <c r="AG379" s="69"/>
      <c r="AH379" s="69"/>
      <c r="AI379" s="69"/>
      <c r="AJ379" s="69"/>
      <c r="AK379" s="69"/>
      <c r="AL379" s="69"/>
      <c r="AM379" s="69"/>
      <c r="AN379" s="69"/>
      <c r="AO379" s="69"/>
      <c r="AP379" s="69"/>
      <c r="AQ379" s="69"/>
      <c r="AR379" s="94">
        <f t="shared" si="26"/>
        <v>2345</v>
      </c>
      <c r="AS379" s="69">
        <v>1567</v>
      </c>
      <c r="AT379" s="69">
        <v>213</v>
      </c>
      <c r="AU379" s="69">
        <v>565</v>
      </c>
      <c r="AV379" s="69"/>
      <c r="AW379" s="69"/>
      <c r="AX379" s="69"/>
      <c r="AY379" s="69"/>
      <c r="AZ379" s="69"/>
      <c r="BA379" s="69"/>
      <c r="BB379" s="69"/>
      <c r="BC379" s="69"/>
      <c r="BD379" s="69"/>
      <c r="BE379" s="69"/>
      <c r="BF379" s="69"/>
      <c r="BG379" s="69"/>
      <c r="BH379" s="69"/>
      <c r="BI379" s="69"/>
      <c r="BJ379" s="69"/>
      <c r="BK379" s="69"/>
      <c r="BL379" s="69"/>
      <c r="BM379" s="69"/>
      <c r="BN379" s="69"/>
      <c r="BO379" s="69"/>
      <c r="BP379" s="69"/>
      <c r="BQ379" s="69"/>
      <c r="BR379" s="69"/>
      <c r="BS379" s="69"/>
      <c r="BT379" s="69"/>
      <c r="BU379" s="69"/>
      <c r="BV379" s="69"/>
      <c r="BW379" s="69"/>
      <c r="BX379" s="69"/>
      <c r="BY379" s="69"/>
      <c r="BZ379" s="69"/>
      <c r="CA379" s="69"/>
      <c r="CB379" s="69"/>
      <c r="CC379" s="69"/>
      <c r="CD379" s="69"/>
      <c r="CE379" s="94">
        <f t="shared" si="28"/>
        <v>2345</v>
      </c>
      <c r="CF379" s="151">
        <f t="shared" si="29"/>
        <v>0</v>
      </c>
      <c r="CG379" s="75">
        <f t="shared" si="27"/>
        <v>4235</v>
      </c>
      <c r="CH379" s="69" t="str">
        <f t="shared" si="27"/>
        <v>برنامج دولى</v>
      </c>
    </row>
    <row r="380" spans="1:86" ht="18.75" x14ac:dyDescent="0.25">
      <c r="A380" s="148"/>
      <c r="B380" s="82">
        <v>8079</v>
      </c>
      <c r="C380" s="149">
        <v>4236</v>
      </c>
      <c r="D380" s="71" t="s">
        <v>78</v>
      </c>
      <c r="E380" s="69" t="s">
        <v>3217</v>
      </c>
      <c r="F380" s="63"/>
      <c r="G380" s="69">
        <v>7846.16</v>
      </c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  <c r="AE380" s="69"/>
      <c r="AF380" s="69"/>
      <c r="AG380" s="69"/>
      <c r="AH380" s="69"/>
      <c r="AI380" s="69"/>
      <c r="AJ380" s="69"/>
      <c r="AK380" s="69"/>
      <c r="AL380" s="69"/>
      <c r="AM380" s="69"/>
      <c r="AN380" s="69"/>
      <c r="AO380" s="69"/>
      <c r="AP380" s="69"/>
      <c r="AQ380" s="69"/>
      <c r="AR380" s="94">
        <f t="shared" si="26"/>
        <v>7846.16</v>
      </c>
      <c r="AS380" s="69">
        <v>6475.71</v>
      </c>
      <c r="AT380" s="69">
        <v>803.55</v>
      </c>
      <c r="AU380" s="69">
        <v>566.9</v>
      </c>
      <c r="AV380" s="69"/>
      <c r="AW380" s="69"/>
      <c r="AX380" s="69"/>
      <c r="AY380" s="69"/>
      <c r="AZ380" s="69"/>
      <c r="BA380" s="69"/>
      <c r="BB380" s="69"/>
      <c r="BC380" s="69"/>
      <c r="BD380" s="69"/>
      <c r="BE380" s="69"/>
      <c r="BF380" s="69"/>
      <c r="BG380" s="69"/>
      <c r="BH380" s="69"/>
      <c r="BI380" s="69"/>
      <c r="BJ380" s="69"/>
      <c r="BK380" s="69"/>
      <c r="BL380" s="69"/>
      <c r="BM380" s="69"/>
      <c r="BN380" s="69"/>
      <c r="BO380" s="69"/>
      <c r="BP380" s="69"/>
      <c r="BQ380" s="69"/>
      <c r="BR380" s="69"/>
      <c r="BS380" s="69"/>
      <c r="BT380" s="69"/>
      <c r="BU380" s="69"/>
      <c r="BV380" s="69"/>
      <c r="BW380" s="69"/>
      <c r="BX380" s="69"/>
      <c r="BY380" s="69"/>
      <c r="BZ380" s="69"/>
      <c r="CA380" s="69"/>
      <c r="CB380" s="69"/>
      <c r="CC380" s="69"/>
      <c r="CD380" s="69"/>
      <c r="CE380" s="94">
        <f t="shared" si="28"/>
        <v>7846.16</v>
      </c>
      <c r="CF380" s="151">
        <f t="shared" si="29"/>
        <v>0</v>
      </c>
      <c r="CG380" s="75">
        <f t="shared" si="27"/>
        <v>4236</v>
      </c>
      <c r="CH380" s="69" t="str">
        <f t="shared" si="27"/>
        <v>برنامج دولى</v>
      </c>
    </row>
    <row r="381" spans="1:86" ht="18.75" x14ac:dyDescent="0.25">
      <c r="A381" s="148"/>
      <c r="B381" s="82">
        <v>8080</v>
      </c>
      <c r="C381" s="149">
        <v>4237</v>
      </c>
      <c r="D381" s="71" t="s">
        <v>78</v>
      </c>
      <c r="E381" s="69" t="s">
        <v>3218</v>
      </c>
      <c r="F381" s="63"/>
      <c r="G381" s="69">
        <v>1518.46</v>
      </c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  <c r="AE381" s="69"/>
      <c r="AF381" s="69"/>
      <c r="AG381" s="69"/>
      <c r="AH381" s="69"/>
      <c r="AI381" s="69"/>
      <c r="AJ381" s="69"/>
      <c r="AK381" s="69"/>
      <c r="AL381" s="69"/>
      <c r="AM381" s="69"/>
      <c r="AN381" s="69"/>
      <c r="AO381" s="69"/>
      <c r="AP381" s="69"/>
      <c r="AQ381" s="69"/>
      <c r="AR381" s="94">
        <f t="shared" si="26"/>
        <v>1518.46</v>
      </c>
      <c r="AS381" s="69">
        <v>869.83</v>
      </c>
      <c r="AT381" s="69">
        <v>127.1</v>
      </c>
      <c r="AU381" s="69">
        <v>521.53</v>
      </c>
      <c r="AV381" s="69"/>
      <c r="AW381" s="69"/>
      <c r="AX381" s="69"/>
      <c r="AY381" s="69"/>
      <c r="AZ381" s="69"/>
      <c r="BA381" s="69"/>
      <c r="BB381" s="69"/>
      <c r="BC381" s="69"/>
      <c r="BD381" s="69"/>
      <c r="BE381" s="69"/>
      <c r="BF381" s="69"/>
      <c r="BG381" s="69"/>
      <c r="BH381" s="69"/>
      <c r="BI381" s="69"/>
      <c r="BJ381" s="69"/>
      <c r="BK381" s="69"/>
      <c r="BL381" s="69"/>
      <c r="BM381" s="69"/>
      <c r="BN381" s="69"/>
      <c r="BO381" s="69"/>
      <c r="BP381" s="69"/>
      <c r="BQ381" s="69"/>
      <c r="BR381" s="69"/>
      <c r="BS381" s="69"/>
      <c r="BT381" s="69"/>
      <c r="BU381" s="69"/>
      <c r="BV381" s="69"/>
      <c r="BW381" s="69"/>
      <c r="BX381" s="69"/>
      <c r="BY381" s="69"/>
      <c r="BZ381" s="69"/>
      <c r="CA381" s="69"/>
      <c r="CB381" s="69"/>
      <c r="CC381" s="69"/>
      <c r="CD381" s="69"/>
      <c r="CE381" s="94">
        <f t="shared" si="28"/>
        <v>1518.46</v>
      </c>
      <c r="CF381" s="151">
        <f t="shared" si="29"/>
        <v>0</v>
      </c>
      <c r="CG381" s="75">
        <f t="shared" si="27"/>
        <v>4237</v>
      </c>
      <c r="CH381" s="69" t="str">
        <f t="shared" si="27"/>
        <v>برنامج دولى</v>
      </c>
    </row>
    <row r="382" spans="1:86" ht="18.75" x14ac:dyDescent="0.25">
      <c r="A382" s="148"/>
      <c r="B382" s="82">
        <v>8081</v>
      </c>
      <c r="C382" s="149">
        <v>4238</v>
      </c>
      <c r="D382" s="71" t="s">
        <v>78</v>
      </c>
      <c r="E382" s="69" t="s">
        <v>3218</v>
      </c>
      <c r="F382" s="63"/>
      <c r="G382" s="69">
        <v>1518.46</v>
      </c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  <c r="AE382" s="69"/>
      <c r="AF382" s="69"/>
      <c r="AG382" s="69"/>
      <c r="AH382" s="69"/>
      <c r="AI382" s="69"/>
      <c r="AJ382" s="69"/>
      <c r="AK382" s="69"/>
      <c r="AL382" s="69"/>
      <c r="AM382" s="69"/>
      <c r="AN382" s="69"/>
      <c r="AO382" s="69"/>
      <c r="AP382" s="69"/>
      <c r="AQ382" s="69"/>
      <c r="AR382" s="94">
        <f t="shared" si="26"/>
        <v>1518.46</v>
      </c>
      <c r="AS382" s="69">
        <v>869.83</v>
      </c>
      <c r="AT382" s="69">
        <v>127.1</v>
      </c>
      <c r="AU382" s="69">
        <v>521.53</v>
      </c>
      <c r="AV382" s="69"/>
      <c r="AW382" s="69"/>
      <c r="AX382" s="69"/>
      <c r="AY382" s="69"/>
      <c r="AZ382" s="69"/>
      <c r="BA382" s="69"/>
      <c r="BB382" s="69"/>
      <c r="BC382" s="69"/>
      <c r="BD382" s="69"/>
      <c r="BE382" s="69"/>
      <c r="BF382" s="69"/>
      <c r="BG382" s="69"/>
      <c r="BH382" s="69"/>
      <c r="BI382" s="69"/>
      <c r="BJ382" s="69"/>
      <c r="BK382" s="69"/>
      <c r="BL382" s="69"/>
      <c r="BM382" s="69"/>
      <c r="BN382" s="69"/>
      <c r="BO382" s="69"/>
      <c r="BP382" s="69"/>
      <c r="BQ382" s="69"/>
      <c r="BR382" s="69"/>
      <c r="BS382" s="69"/>
      <c r="BT382" s="69"/>
      <c r="BU382" s="69"/>
      <c r="BV382" s="69"/>
      <c r="BW382" s="69"/>
      <c r="BX382" s="69"/>
      <c r="BY382" s="69"/>
      <c r="BZ382" s="69"/>
      <c r="CA382" s="69"/>
      <c r="CB382" s="69"/>
      <c r="CC382" s="69"/>
      <c r="CD382" s="69"/>
      <c r="CE382" s="94">
        <f t="shared" si="28"/>
        <v>1518.46</v>
      </c>
      <c r="CF382" s="151">
        <f t="shared" si="29"/>
        <v>0</v>
      </c>
      <c r="CG382" s="75">
        <f t="shared" si="27"/>
        <v>4238</v>
      </c>
      <c r="CH382" s="69" t="str">
        <f t="shared" si="27"/>
        <v>برنامج دولى</v>
      </c>
    </row>
    <row r="383" spans="1:86" ht="18.75" x14ac:dyDescent="0.25">
      <c r="A383" s="148"/>
      <c r="B383" s="82">
        <v>8082</v>
      </c>
      <c r="C383" s="149">
        <v>4239</v>
      </c>
      <c r="D383" s="71" t="s">
        <v>78</v>
      </c>
      <c r="E383" s="69" t="s">
        <v>3219</v>
      </c>
      <c r="F383" s="63"/>
      <c r="G383" s="69">
        <v>1172.5</v>
      </c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  <c r="AE383" s="69"/>
      <c r="AF383" s="69"/>
      <c r="AG383" s="69"/>
      <c r="AH383" s="69"/>
      <c r="AI383" s="69"/>
      <c r="AJ383" s="69"/>
      <c r="AK383" s="69"/>
      <c r="AL383" s="69"/>
      <c r="AM383" s="69"/>
      <c r="AN383" s="69"/>
      <c r="AO383" s="69"/>
      <c r="AP383" s="69"/>
      <c r="AQ383" s="69"/>
      <c r="AR383" s="94">
        <f t="shared" si="26"/>
        <v>1172.5</v>
      </c>
      <c r="AS383" s="69">
        <v>784.1</v>
      </c>
      <c r="AT383" s="69">
        <v>105.9</v>
      </c>
      <c r="AU383" s="69">
        <v>282.5</v>
      </c>
      <c r="AV383" s="69"/>
      <c r="AW383" s="69"/>
      <c r="AX383" s="69"/>
      <c r="AY383" s="69"/>
      <c r="AZ383" s="69"/>
      <c r="BA383" s="69"/>
      <c r="BB383" s="69"/>
      <c r="BC383" s="69"/>
      <c r="BD383" s="69"/>
      <c r="BE383" s="69"/>
      <c r="BF383" s="69"/>
      <c r="BG383" s="69"/>
      <c r="BH383" s="69"/>
      <c r="BI383" s="69"/>
      <c r="BJ383" s="69"/>
      <c r="BK383" s="69"/>
      <c r="BL383" s="69"/>
      <c r="BM383" s="69"/>
      <c r="BN383" s="69"/>
      <c r="BO383" s="69"/>
      <c r="BP383" s="69"/>
      <c r="BQ383" s="69"/>
      <c r="BR383" s="69"/>
      <c r="BS383" s="69"/>
      <c r="BT383" s="69"/>
      <c r="BU383" s="69"/>
      <c r="BV383" s="69"/>
      <c r="BW383" s="69"/>
      <c r="BX383" s="69"/>
      <c r="BY383" s="69"/>
      <c r="BZ383" s="69"/>
      <c r="CA383" s="69"/>
      <c r="CB383" s="69"/>
      <c r="CC383" s="69"/>
      <c r="CD383" s="69"/>
      <c r="CE383" s="94">
        <f t="shared" si="28"/>
        <v>1172.5</v>
      </c>
      <c r="CF383" s="151">
        <f t="shared" si="29"/>
        <v>0</v>
      </c>
      <c r="CG383" s="75">
        <f t="shared" si="27"/>
        <v>4239</v>
      </c>
      <c r="CH383" s="69" t="str">
        <f t="shared" si="27"/>
        <v>برنامج دولى</v>
      </c>
    </row>
    <row r="384" spans="1:86" ht="18.75" x14ac:dyDescent="0.25">
      <c r="A384" s="148"/>
      <c r="B384" s="82">
        <v>8083</v>
      </c>
      <c r="C384" s="149">
        <v>4240</v>
      </c>
      <c r="D384" s="71" t="s">
        <v>78</v>
      </c>
      <c r="E384" s="69" t="s">
        <v>3219</v>
      </c>
      <c r="F384" s="63"/>
      <c r="G384" s="69">
        <v>1172.5</v>
      </c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  <c r="AE384" s="69"/>
      <c r="AF384" s="69"/>
      <c r="AG384" s="69"/>
      <c r="AH384" s="69"/>
      <c r="AI384" s="69"/>
      <c r="AJ384" s="69"/>
      <c r="AK384" s="69"/>
      <c r="AL384" s="69"/>
      <c r="AM384" s="69"/>
      <c r="AN384" s="69"/>
      <c r="AO384" s="69"/>
      <c r="AP384" s="69"/>
      <c r="AQ384" s="69"/>
      <c r="AR384" s="94">
        <f t="shared" si="26"/>
        <v>1172.5</v>
      </c>
      <c r="AS384" s="69">
        <v>784.1</v>
      </c>
      <c r="AT384" s="69">
        <v>105.9</v>
      </c>
      <c r="AU384" s="69">
        <v>282.5</v>
      </c>
      <c r="AV384" s="69"/>
      <c r="AW384" s="69"/>
      <c r="AX384" s="69"/>
      <c r="AY384" s="69"/>
      <c r="AZ384" s="69"/>
      <c r="BA384" s="69"/>
      <c r="BB384" s="69"/>
      <c r="BC384" s="69"/>
      <c r="BD384" s="69"/>
      <c r="BE384" s="69"/>
      <c r="BF384" s="69"/>
      <c r="BG384" s="69"/>
      <c r="BH384" s="69"/>
      <c r="BI384" s="69"/>
      <c r="BJ384" s="69"/>
      <c r="BK384" s="69"/>
      <c r="BL384" s="69"/>
      <c r="BM384" s="69"/>
      <c r="BN384" s="69"/>
      <c r="BO384" s="69"/>
      <c r="BP384" s="69"/>
      <c r="BQ384" s="69"/>
      <c r="BR384" s="69"/>
      <c r="BS384" s="69"/>
      <c r="BT384" s="69"/>
      <c r="BU384" s="69"/>
      <c r="BV384" s="69"/>
      <c r="BW384" s="69"/>
      <c r="BX384" s="69"/>
      <c r="BY384" s="69"/>
      <c r="BZ384" s="69"/>
      <c r="CA384" s="69"/>
      <c r="CB384" s="69"/>
      <c r="CC384" s="69"/>
      <c r="CD384" s="69"/>
      <c r="CE384" s="94">
        <f t="shared" si="28"/>
        <v>1172.5</v>
      </c>
      <c r="CF384" s="151">
        <f t="shared" si="29"/>
        <v>0</v>
      </c>
      <c r="CG384" s="75">
        <f t="shared" si="27"/>
        <v>4240</v>
      </c>
      <c r="CH384" s="69" t="str">
        <f t="shared" si="27"/>
        <v>برنامج دولى</v>
      </c>
    </row>
    <row r="385" spans="1:87" ht="18.75" x14ac:dyDescent="0.25">
      <c r="A385" s="148"/>
      <c r="B385" s="82">
        <v>7862</v>
      </c>
      <c r="C385" s="149">
        <v>4241</v>
      </c>
      <c r="D385" s="71" t="s">
        <v>78</v>
      </c>
      <c r="E385" s="69" t="s">
        <v>3220</v>
      </c>
      <c r="F385" s="63"/>
      <c r="G385" s="69">
        <v>592.61</v>
      </c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  <c r="AE385" s="69"/>
      <c r="AF385" s="69"/>
      <c r="AG385" s="69"/>
      <c r="AH385" s="69"/>
      <c r="AI385" s="69"/>
      <c r="AJ385" s="69"/>
      <c r="AK385" s="69"/>
      <c r="AL385" s="69"/>
      <c r="AM385" s="69"/>
      <c r="AN385" s="69"/>
      <c r="AO385" s="69"/>
      <c r="AP385" s="69"/>
      <c r="AQ385" s="69"/>
      <c r="AR385" s="94">
        <f t="shared" si="26"/>
        <v>592.61</v>
      </c>
      <c r="AS385" s="69">
        <v>396.5</v>
      </c>
      <c r="AT385" s="69">
        <v>53.34</v>
      </c>
      <c r="AU385" s="69">
        <v>142.77000000000001</v>
      </c>
      <c r="AV385" s="69"/>
      <c r="AW385" s="69"/>
      <c r="AX385" s="69"/>
      <c r="AY385" s="69"/>
      <c r="AZ385" s="69"/>
      <c r="BA385" s="69"/>
      <c r="BB385" s="69"/>
      <c r="BC385" s="69"/>
      <c r="BD385" s="69"/>
      <c r="BE385" s="69"/>
      <c r="BF385" s="69"/>
      <c r="BG385" s="69"/>
      <c r="BH385" s="69"/>
      <c r="BI385" s="69"/>
      <c r="BJ385" s="69"/>
      <c r="BK385" s="69"/>
      <c r="BL385" s="69"/>
      <c r="BM385" s="69"/>
      <c r="BN385" s="69"/>
      <c r="BO385" s="69"/>
      <c r="BP385" s="69"/>
      <c r="BQ385" s="69"/>
      <c r="BR385" s="69"/>
      <c r="BS385" s="69"/>
      <c r="BT385" s="69"/>
      <c r="BU385" s="69"/>
      <c r="BV385" s="69"/>
      <c r="BW385" s="69"/>
      <c r="BX385" s="69"/>
      <c r="BY385" s="69"/>
      <c r="BZ385" s="69"/>
      <c r="CA385" s="69"/>
      <c r="CB385" s="69"/>
      <c r="CC385" s="69"/>
      <c r="CD385" s="69"/>
      <c r="CE385" s="94">
        <f t="shared" si="28"/>
        <v>592.61</v>
      </c>
      <c r="CF385" s="151">
        <f t="shared" si="29"/>
        <v>0</v>
      </c>
      <c r="CG385" s="75">
        <f t="shared" si="27"/>
        <v>4241</v>
      </c>
      <c r="CH385" s="69" t="str">
        <f t="shared" si="27"/>
        <v>برنامج دولى</v>
      </c>
    </row>
    <row r="386" spans="1:87" ht="18.75" x14ac:dyDescent="0.25">
      <c r="A386" s="148"/>
      <c r="B386" s="82">
        <v>7863</v>
      </c>
      <c r="C386" s="149">
        <v>4242</v>
      </c>
      <c r="D386" s="71" t="s">
        <v>78</v>
      </c>
      <c r="E386" s="69" t="s">
        <v>3220</v>
      </c>
      <c r="F386" s="63"/>
      <c r="G386" s="69">
        <v>1967.68</v>
      </c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  <c r="AE386" s="69"/>
      <c r="AF386" s="69"/>
      <c r="AG386" s="69"/>
      <c r="AH386" s="69"/>
      <c r="AI386" s="69"/>
      <c r="AJ386" s="69"/>
      <c r="AK386" s="69"/>
      <c r="AL386" s="69"/>
      <c r="AM386" s="69"/>
      <c r="AN386" s="69"/>
      <c r="AO386" s="69"/>
      <c r="AP386" s="69"/>
      <c r="AQ386" s="69"/>
      <c r="AR386" s="94">
        <f t="shared" si="26"/>
        <v>1967.68</v>
      </c>
      <c r="AS386" s="69">
        <v>1403.76</v>
      </c>
      <c r="AT386" s="69">
        <v>182.79</v>
      </c>
      <c r="AU386" s="69">
        <v>381.13</v>
      </c>
      <c r="AV386" s="69"/>
      <c r="AW386" s="69"/>
      <c r="AX386" s="69"/>
      <c r="AY386" s="69"/>
      <c r="AZ386" s="69"/>
      <c r="BA386" s="69"/>
      <c r="BB386" s="69"/>
      <c r="BC386" s="69"/>
      <c r="BD386" s="69"/>
      <c r="BE386" s="69"/>
      <c r="BF386" s="69"/>
      <c r="BG386" s="69"/>
      <c r="BH386" s="69"/>
      <c r="BI386" s="69"/>
      <c r="BJ386" s="69"/>
      <c r="BK386" s="69"/>
      <c r="BL386" s="69"/>
      <c r="BM386" s="69"/>
      <c r="BN386" s="69"/>
      <c r="BO386" s="69"/>
      <c r="BP386" s="69"/>
      <c r="BQ386" s="69"/>
      <c r="BR386" s="69"/>
      <c r="BS386" s="69"/>
      <c r="BT386" s="69"/>
      <c r="BU386" s="69"/>
      <c r="BV386" s="69"/>
      <c r="BW386" s="69"/>
      <c r="BX386" s="69"/>
      <c r="BY386" s="69"/>
      <c r="BZ386" s="69"/>
      <c r="CA386" s="69"/>
      <c r="CB386" s="69"/>
      <c r="CC386" s="69"/>
      <c r="CD386" s="69"/>
      <c r="CE386" s="94">
        <f t="shared" si="28"/>
        <v>1967.6799999999998</v>
      </c>
      <c r="CF386" s="151">
        <f t="shared" si="29"/>
        <v>0</v>
      </c>
      <c r="CG386" s="75">
        <f t="shared" si="27"/>
        <v>4242</v>
      </c>
      <c r="CH386" s="69" t="str">
        <f t="shared" si="27"/>
        <v>برنامج دولى</v>
      </c>
    </row>
    <row r="387" spans="1:87" ht="18.75" x14ac:dyDescent="0.25">
      <c r="A387" s="148"/>
      <c r="B387" s="82">
        <v>7864</v>
      </c>
      <c r="C387" s="149">
        <v>4243</v>
      </c>
      <c r="D387" s="71" t="s">
        <v>78</v>
      </c>
      <c r="E387" s="69" t="s">
        <v>3220</v>
      </c>
      <c r="F387" s="63"/>
      <c r="G387" s="69">
        <v>613.72</v>
      </c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G387" s="69"/>
      <c r="AH387" s="69"/>
      <c r="AI387" s="69"/>
      <c r="AJ387" s="69"/>
      <c r="AK387" s="69"/>
      <c r="AL387" s="69"/>
      <c r="AM387" s="69"/>
      <c r="AN387" s="69"/>
      <c r="AO387" s="69"/>
      <c r="AP387" s="69"/>
      <c r="AQ387" s="69"/>
      <c r="AR387" s="94">
        <f t="shared" si="26"/>
        <v>613.72</v>
      </c>
      <c r="AS387" s="69">
        <v>410.58</v>
      </c>
      <c r="AT387" s="69">
        <v>55.29</v>
      </c>
      <c r="AU387" s="69">
        <v>147.85</v>
      </c>
      <c r="AV387" s="69"/>
      <c r="AW387" s="69"/>
      <c r="AX387" s="69"/>
      <c r="AY387" s="69"/>
      <c r="AZ387" s="69"/>
      <c r="BA387" s="69"/>
      <c r="BB387" s="69"/>
      <c r="BC387" s="69"/>
      <c r="BD387" s="69"/>
      <c r="BE387" s="69"/>
      <c r="BF387" s="69"/>
      <c r="BG387" s="69"/>
      <c r="BH387" s="69"/>
      <c r="BI387" s="69"/>
      <c r="BJ387" s="69"/>
      <c r="BK387" s="69"/>
      <c r="BL387" s="69"/>
      <c r="BM387" s="69"/>
      <c r="BN387" s="69"/>
      <c r="BO387" s="69"/>
      <c r="BP387" s="69"/>
      <c r="BQ387" s="69"/>
      <c r="BR387" s="69"/>
      <c r="BS387" s="69"/>
      <c r="BT387" s="69"/>
      <c r="BU387" s="69"/>
      <c r="BV387" s="69"/>
      <c r="BW387" s="69"/>
      <c r="BX387" s="69"/>
      <c r="BY387" s="69"/>
      <c r="BZ387" s="69"/>
      <c r="CA387" s="69"/>
      <c r="CB387" s="69"/>
      <c r="CC387" s="69"/>
      <c r="CD387" s="69"/>
      <c r="CE387" s="94">
        <f t="shared" si="28"/>
        <v>613.72</v>
      </c>
      <c r="CF387" s="151">
        <f t="shared" si="29"/>
        <v>0</v>
      </c>
      <c r="CG387" s="75">
        <f t="shared" si="27"/>
        <v>4243</v>
      </c>
      <c r="CH387" s="69" t="str">
        <f t="shared" si="27"/>
        <v>برنامج دولى</v>
      </c>
    </row>
    <row r="388" spans="1:87" ht="18.75" x14ac:dyDescent="0.25">
      <c r="A388" s="148"/>
      <c r="B388" s="82">
        <v>7865</v>
      </c>
      <c r="C388" s="149">
        <v>4244</v>
      </c>
      <c r="D388" s="71" t="s">
        <v>78</v>
      </c>
      <c r="E388" s="69" t="s">
        <v>3220</v>
      </c>
      <c r="F388" s="63"/>
      <c r="G388" s="69">
        <v>7058.32</v>
      </c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69"/>
      <c r="AG388" s="69"/>
      <c r="AH388" s="69"/>
      <c r="AI388" s="69"/>
      <c r="AJ388" s="69"/>
      <c r="AK388" s="69"/>
      <c r="AL388" s="69"/>
      <c r="AM388" s="69"/>
      <c r="AN388" s="69"/>
      <c r="AO388" s="69"/>
      <c r="AP388" s="69"/>
      <c r="AQ388" s="69"/>
      <c r="AR388" s="94">
        <f t="shared" si="26"/>
        <v>7058.32</v>
      </c>
      <c r="AS388" s="69">
        <v>4725.8</v>
      </c>
      <c r="AT388" s="69">
        <v>631.9</v>
      </c>
      <c r="AU388" s="69">
        <v>1700.62</v>
      </c>
      <c r="AV388" s="69"/>
      <c r="AW388" s="69"/>
      <c r="AX388" s="69"/>
      <c r="AY388" s="69"/>
      <c r="AZ388" s="69"/>
      <c r="BA388" s="69"/>
      <c r="BB388" s="69"/>
      <c r="BC388" s="69"/>
      <c r="BD388" s="69"/>
      <c r="BE388" s="69"/>
      <c r="BF388" s="69"/>
      <c r="BG388" s="69"/>
      <c r="BH388" s="69"/>
      <c r="BI388" s="69"/>
      <c r="BJ388" s="69"/>
      <c r="BK388" s="69"/>
      <c r="BL388" s="69"/>
      <c r="BM388" s="69"/>
      <c r="BN388" s="69"/>
      <c r="BO388" s="69"/>
      <c r="BP388" s="69"/>
      <c r="BQ388" s="69"/>
      <c r="BR388" s="69"/>
      <c r="BS388" s="69"/>
      <c r="BT388" s="69"/>
      <c r="BU388" s="69"/>
      <c r="BV388" s="69"/>
      <c r="BW388" s="69"/>
      <c r="BX388" s="69"/>
      <c r="BY388" s="69"/>
      <c r="BZ388" s="69"/>
      <c r="CA388" s="69"/>
      <c r="CB388" s="69"/>
      <c r="CC388" s="69"/>
      <c r="CD388" s="69"/>
      <c r="CE388" s="94">
        <f t="shared" si="28"/>
        <v>7058.32</v>
      </c>
      <c r="CF388" s="151">
        <f t="shared" si="29"/>
        <v>0</v>
      </c>
      <c r="CG388" s="75">
        <f t="shared" si="27"/>
        <v>4244</v>
      </c>
      <c r="CH388" s="69" t="str">
        <f t="shared" si="27"/>
        <v>برنامج دولى</v>
      </c>
    </row>
    <row r="389" spans="1:87" ht="18.75" x14ac:dyDescent="0.25">
      <c r="A389" s="148"/>
      <c r="B389" s="82">
        <v>7866</v>
      </c>
      <c r="C389" s="149">
        <v>4245</v>
      </c>
      <c r="D389" s="71" t="s">
        <v>78</v>
      </c>
      <c r="E389" s="69" t="s">
        <v>3220</v>
      </c>
      <c r="F389" s="63"/>
      <c r="G389" s="69">
        <v>9185.3799999999992</v>
      </c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G389" s="69"/>
      <c r="AH389" s="69"/>
      <c r="AI389" s="69"/>
      <c r="AJ389" s="69"/>
      <c r="AK389" s="69"/>
      <c r="AL389" s="69"/>
      <c r="AM389" s="69"/>
      <c r="AN389" s="69"/>
      <c r="AO389" s="69"/>
      <c r="AP389" s="69"/>
      <c r="AQ389" s="69"/>
      <c r="AR389" s="94">
        <f t="shared" si="26"/>
        <v>9185.3799999999992</v>
      </c>
      <c r="AS389" s="69">
        <v>6340.45</v>
      </c>
      <c r="AT389" s="69">
        <v>841.5</v>
      </c>
      <c r="AU389" s="69">
        <v>2003.43</v>
      </c>
      <c r="AV389" s="69"/>
      <c r="AW389" s="69"/>
      <c r="AX389" s="69"/>
      <c r="AY389" s="69"/>
      <c r="AZ389" s="69"/>
      <c r="BA389" s="69"/>
      <c r="BB389" s="69"/>
      <c r="BC389" s="69"/>
      <c r="BD389" s="69"/>
      <c r="BE389" s="69"/>
      <c r="BF389" s="69"/>
      <c r="BG389" s="69"/>
      <c r="BH389" s="69"/>
      <c r="BI389" s="69"/>
      <c r="BJ389" s="69"/>
      <c r="BK389" s="69"/>
      <c r="BL389" s="69"/>
      <c r="BM389" s="69"/>
      <c r="BN389" s="69"/>
      <c r="BO389" s="69"/>
      <c r="BP389" s="69"/>
      <c r="BQ389" s="69"/>
      <c r="BR389" s="69"/>
      <c r="BS389" s="69"/>
      <c r="BT389" s="69"/>
      <c r="BU389" s="69"/>
      <c r="BV389" s="69"/>
      <c r="BW389" s="69"/>
      <c r="BX389" s="69"/>
      <c r="BY389" s="69"/>
      <c r="BZ389" s="69"/>
      <c r="CA389" s="69"/>
      <c r="CB389" s="69"/>
      <c r="CC389" s="69"/>
      <c r="CD389" s="69"/>
      <c r="CE389" s="94">
        <f t="shared" si="28"/>
        <v>9185.3799999999992</v>
      </c>
      <c r="CF389" s="151">
        <f t="shared" si="29"/>
        <v>0</v>
      </c>
      <c r="CG389" s="75">
        <f t="shared" si="27"/>
        <v>4245</v>
      </c>
      <c r="CH389" s="69" t="str">
        <f t="shared" si="27"/>
        <v>برنامج دولى</v>
      </c>
    </row>
    <row r="390" spans="1:87" ht="18.75" x14ac:dyDescent="0.25">
      <c r="A390" s="148"/>
      <c r="B390" s="82">
        <v>7867</v>
      </c>
      <c r="C390" s="149">
        <v>4246</v>
      </c>
      <c r="D390" s="71" t="s">
        <v>78</v>
      </c>
      <c r="E390" s="69" t="s">
        <v>3220</v>
      </c>
      <c r="F390" s="63"/>
      <c r="G390" s="69">
        <v>1876</v>
      </c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  <c r="AE390" s="69"/>
      <c r="AF390" s="69"/>
      <c r="AG390" s="69"/>
      <c r="AH390" s="69"/>
      <c r="AI390" s="69"/>
      <c r="AJ390" s="69"/>
      <c r="AK390" s="69"/>
      <c r="AL390" s="69"/>
      <c r="AM390" s="69"/>
      <c r="AN390" s="69"/>
      <c r="AO390" s="69"/>
      <c r="AP390" s="69"/>
      <c r="AQ390" s="69"/>
      <c r="AR390" s="94">
        <f t="shared" si="26"/>
        <v>1876</v>
      </c>
      <c r="AS390" s="69">
        <v>1253.7</v>
      </c>
      <c r="AT390" s="69">
        <v>170.3</v>
      </c>
      <c r="AU390" s="69">
        <v>452</v>
      </c>
      <c r="AV390" s="69"/>
      <c r="AW390" s="69"/>
      <c r="AX390" s="69"/>
      <c r="AY390" s="69"/>
      <c r="AZ390" s="69"/>
      <c r="BA390" s="69"/>
      <c r="BB390" s="69"/>
      <c r="BC390" s="69"/>
      <c r="BD390" s="69"/>
      <c r="BE390" s="69"/>
      <c r="BF390" s="69"/>
      <c r="BG390" s="69"/>
      <c r="BH390" s="69"/>
      <c r="BI390" s="69"/>
      <c r="BJ390" s="69"/>
      <c r="BK390" s="69"/>
      <c r="BL390" s="69"/>
      <c r="BM390" s="69"/>
      <c r="BN390" s="69"/>
      <c r="BO390" s="69"/>
      <c r="BP390" s="69"/>
      <c r="BQ390" s="69"/>
      <c r="BR390" s="69"/>
      <c r="BS390" s="69"/>
      <c r="BT390" s="69"/>
      <c r="BU390" s="69"/>
      <c r="BV390" s="69"/>
      <c r="BW390" s="69"/>
      <c r="BX390" s="69"/>
      <c r="BY390" s="69"/>
      <c r="BZ390" s="69"/>
      <c r="CA390" s="69"/>
      <c r="CB390" s="69"/>
      <c r="CC390" s="69"/>
      <c r="CD390" s="69"/>
      <c r="CE390" s="94">
        <f t="shared" si="28"/>
        <v>1876</v>
      </c>
      <c r="CF390" s="151">
        <f t="shared" si="29"/>
        <v>0</v>
      </c>
      <c r="CG390" s="75">
        <f t="shared" si="27"/>
        <v>4246</v>
      </c>
      <c r="CH390" s="69" t="str">
        <f t="shared" si="27"/>
        <v>برنامج دولى</v>
      </c>
    </row>
    <row r="391" spans="1:87" ht="18.75" x14ac:dyDescent="0.25">
      <c r="A391" s="148"/>
      <c r="B391" s="82">
        <v>7868</v>
      </c>
      <c r="C391" s="149">
        <v>4247</v>
      </c>
      <c r="D391" s="71" t="s">
        <v>78</v>
      </c>
      <c r="E391" s="69" t="s">
        <v>3220</v>
      </c>
      <c r="F391" s="63"/>
      <c r="G391" s="69">
        <v>16927.53</v>
      </c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  <c r="AE391" s="69"/>
      <c r="AF391" s="69"/>
      <c r="AG391" s="69"/>
      <c r="AH391" s="69"/>
      <c r="AI391" s="69"/>
      <c r="AJ391" s="69"/>
      <c r="AK391" s="69"/>
      <c r="AL391" s="69"/>
      <c r="AM391" s="69"/>
      <c r="AN391" s="69"/>
      <c r="AO391" s="69"/>
      <c r="AP391" s="69"/>
      <c r="AQ391" s="69"/>
      <c r="AR391" s="94">
        <f t="shared" si="26"/>
        <v>16927.53</v>
      </c>
      <c r="AS391" s="69">
        <v>14909.58</v>
      </c>
      <c r="AT391" s="69">
        <v>1809.1</v>
      </c>
      <c r="AU391" s="69">
        <v>208.85</v>
      </c>
      <c r="AV391" s="69"/>
      <c r="AW391" s="69"/>
      <c r="AX391" s="69"/>
      <c r="AY391" s="69"/>
      <c r="AZ391" s="69"/>
      <c r="BA391" s="69"/>
      <c r="BB391" s="69"/>
      <c r="BC391" s="69"/>
      <c r="BD391" s="69"/>
      <c r="BE391" s="69"/>
      <c r="BF391" s="69"/>
      <c r="BG391" s="69"/>
      <c r="BH391" s="69"/>
      <c r="BI391" s="69"/>
      <c r="BJ391" s="69"/>
      <c r="BK391" s="69"/>
      <c r="BL391" s="69"/>
      <c r="BM391" s="69"/>
      <c r="BN391" s="69"/>
      <c r="BO391" s="69"/>
      <c r="BP391" s="69"/>
      <c r="BQ391" s="69"/>
      <c r="BR391" s="69"/>
      <c r="BS391" s="69"/>
      <c r="BT391" s="69"/>
      <c r="BU391" s="69"/>
      <c r="BV391" s="69"/>
      <c r="BW391" s="69"/>
      <c r="BX391" s="69"/>
      <c r="BY391" s="69"/>
      <c r="BZ391" s="69"/>
      <c r="CA391" s="69"/>
      <c r="CB391" s="69"/>
      <c r="CC391" s="69"/>
      <c r="CD391" s="69"/>
      <c r="CE391" s="94">
        <f t="shared" si="28"/>
        <v>16927.53</v>
      </c>
      <c r="CF391" s="151">
        <f t="shared" si="29"/>
        <v>0</v>
      </c>
      <c r="CG391" s="75">
        <f t="shared" si="27"/>
        <v>4247</v>
      </c>
      <c r="CH391" s="69" t="str">
        <f t="shared" si="27"/>
        <v>برنامج دولى</v>
      </c>
    </row>
    <row r="392" spans="1:87" ht="18.75" x14ac:dyDescent="0.25">
      <c r="A392" s="148"/>
      <c r="B392" s="82">
        <v>7869</v>
      </c>
      <c r="C392" s="149">
        <v>4248</v>
      </c>
      <c r="D392" s="71" t="s">
        <v>78</v>
      </c>
      <c r="E392" s="69" t="s">
        <v>3220</v>
      </c>
      <c r="F392" s="63"/>
      <c r="G392" s="69">
        <v>1020.88</v>
      </c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  <c r="AE392" s="69"/>
      <c r="AF392" s="69"/>
      <c r="AG392" s="69"/>
      <c r="AH392" s="69"/>
      <c r="AI392" s="69"/>
      <c r="AJ392" s="69"/>
      <c r="AK392" s="69"/>
      <c r="AL392" s="69"/>
      <c r="AM392" s="69"/>
      <c r="AN392" s="69"/>
      <c r="AO392" s="69"/>
      <c r="AP392" s="69"/>
      <c r="AQ392" s="69"/>
      <c r="AR392" s="94">
        <f t="shared" si="26"/>
        <v>1020.88</v>
      </c>
      <c r="AS392" s="69">
        <v>682.74</v>
      </c>
      <c r="AT392" s="69">
        <v>92.17</v>
      </c>
      <c r="AU392" s="69">
        <v>245.97</v>
      </c>
      <c r="AV392" s="69"/>
      <c r="AW392" s="69"/>
      <c r="AX392" s="69"/>
      <c r="AY392" s="69"/>
      <c r="AZ392" s="69"/>
      <c r="BA392" s="69"/>
      <c r="BB392" s="69"/>
      <c r="BC392" s="69"/>
      <c r="BD392" s="69"/>
      <c r="BE392" s="69"/>
      <c r="BF392" s="69"/>
      <c r="BG392" s="69"/>
      <c r="BH392" s="69"/>
      <c r="BI392" s="69"/>
      <c r="BJ392" s="69"/>
      <c r="BK392" s="69"/>
      <c r="BL392" s="69"/>
      <c r="BM392" s="69"/>
      <c r="BN392" s="69"/>
      <c r="BO392" s="69"/>
      <c r="BP392" s="69"/>
      <c r="BQ392" s="69"/>
      <c r="BR392" s="69"/>
      <c r="BS392" s="69"/>
      <c r="BT392" s="69"/>
      <c r="BU392" s="69"/>
      <c r="BV392" s="69"/>
      <c r="BW392" s="69"/>
      <c r="BX392" s="69"/>
      <c r="BY392" s="69"/>
      <c r="BZ392" s="69"/>
      <c r="CA392" s="69"/>
      <c r="CB392" s="69"/>
      <c r="CC392" s="69"/>
      <c r="CD392" s="69"/>
      <c r="CE392" s="94">
        <f t="shared" si="28"/>
        <v>1020.88</v>
      </c>
      <c r="CF392" s="151">
        <f t="shared" si="29"/>
        <v>0</v>
      </c>
      <c r="CG392" s="75">
        <f t="shared" si="27"/>
        <v>4248</v>
      </c>
      <c r="CH392" s="69" t="str">
        <f t="shared" si="27"/>
        <v>برنامج دولى</v>
      </c>
    </row>
    <row r="393" spans="1:87" ht="18.75" x14ac:dyDescent="0.25">
      <c r="A393" s="148"/>
      <c r="B393" s="82">
        <v>7870</v>
      </c>
      <c r="C393" s="149">
        <v>4249</v>
      </c>
      <c r="D393" s="71" t="s">
        <v>78</v>
      </c>
      <c r="E393" s="69" t="s">
        <v>3220</v>
      </c>
      <c r="F393" s="63"/>
      <c r="G393" s="69">
        <v>4980.75</v>
      </c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  <c r="AE393" s="69"/>
      <c r="AF393" s="69"/>
      <c r="AG393" s="69"/>
      <c r="AH393" s="69"/>
      <c r="AI393" s="69"/>
      <c r="AJ393" s="69"/>
      <c r="AK393" s="69"/>
      <c r="AL393" s="69"/>
      <c r="AM393" s="69"/>
      <c r="AN393" s="69"/>
      <c r="AO393" s="69"/>
      <c r="AP393" s="69"/>
      <c r="AQ393" s="69"/>
      <c r="AR393" s="94">
        <f t="shared" si="26"/>
        <v>4980.75</v>
      </c>
      <c r="AS393" s="69">
        <v>3331.53</v>
      </c>
      <c r="AT393" s="69">
        <v>449.2</v>
      </c>
      <c r="AU393" s="69">
        <v>1200.02</v>
      </c>
      <c r="AV393" s="69"/>
      <c r="AW393" s="69"/>
      <c r="AX393" s="69"/>
      <c r="AY393" s="69"/>
      <c r="AZ393" s="69"/>
      <c r="BA393" s="69"/>
      <c r="BB393" s="69"/>
      <c r="BC393" s="69"/>
      <c r="BD393" s="69"/>
      <c r="BE393" s="69"/>
      <c r="BF393" s="69"/>
      <c r="BG393" s="69"/>
      <c r="BH393" s="69"/>
      <c r="BI393" s="69"/>
      <c r="BJ393" s="69"/>
      <c r="BK393" s="69"/>
      <c r="BL393" s="69"/>
      <c r="BM393" s="69"/>
      <c r="BN393" s="69"/>
      <c r="BO393" s="69"/>
      <c r="BP393" s="69"/>
      <c r="BQ393" s="69"/>
      <c r="BR393" s="69"/>
      <c r="BS393" s="69"/>
      <c r="BT393" s="69"/>
      <c r="BU393" s="69"/>
      <c r="BV393" s="69"/>
      <c r="BW393" s="69"/>
      <c r="BX393" s="69"/>
      <c r="BY393" s="69"/>
      <c r="BZ393" s="69"/>
      <c r="CA393" s="69"/>
      <c r="CB393" s="69"/>
      <c r="CC393" s="69"/>
      <c r="CD393" s="69"/>
      <c r="CE393" s="94">
        <f t="shared" si="28"/>
        <v>4980.75</v>
      </c>
      <c r="CF393" s="151">
        <f t="shared" si="29"/>
        <v>0</v>
      </c>
      <c r="CG393" s="75">
        <f t="shared" si="27"/>
        <v>4249</v>
      </c>
      <c r="CH393" s="69" t="str">
        <f t="shared" si="27"/>
        <v>برنامج دولى</v>
      </c>
    </row>
    <row r="394" spans="1:87" ht="18.75" x14ac:dyDescent="0.25">
      <c r="A394" s="148"/>
      <c r="B394" s="82">
        <v>7871</v>
      </c>
      <c r="C394" s="149">
        <v>4250</v>
      </c>
      <c r="D394" s="71" t="s">
        <v>78</v>
      </c>
      <c r="E394" s="69" t="s">
        <v>3220</v>
      </c>
      <c r="F394" s="63"/>
      <c r="G394" s="69">
        <v>11051.73</v>
      </c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  <c r="AF394" s="69"/>
      <c r="AG394" s="69"/>
      <c r="AH394" s="69"/>
      <c r="AI394" s="69"/>
      <c r="AJ394" s="69"/>
      <c r="AK394" s="69"/>
      <c r="AL394" s="69"/>
      <c r="AM394" s="69"/>
      <c r="AN394" s="69"/>
      <c r="AO394" s="69"/>
      <c r="AP394" s="69"/>
      <c r="AQ394" s="69"/>
      <c r="AR394" s="94">
        <f t="shared" si="26"/>
        <v>11051.73</v>
      </c>
      <c r="AS394" s="69">
        <v>9379.27</v>
      </c>
      <c r="AT394" s="69">
        <v>1149.07</v>
      </c>
      <c r="AU394" s="69">
        <v>523.39</v>
      </c>
      <c r="AV394" s="69"/>
      <c r="AW394" s="69"/>
      <c r="AX394" s="69"/>
      <c r="AY394" s="69"/>
      <c r="AZ394" s="69"/>
      <c r="BA394" s="69"/>
      <c r="BB394" s="69"/>
      <c r="BC394" s="69"/>
      <c r="BD394" s="69"/>
      <c r="BE394" s="69"/>
      <c r="BF394" s="69"/>
      <c r="BG394" s="69"/>
      <c r="BH394" s="69"/>
      <c r="BI394" s="69"/>
      <c r="BJ394" s="69"/>
      <c r="BK394" s="69"/>
      <c r="BL394" s="69"/>
      <c r="BM394" s="69"/>
      <c r="BN394" s="69"/>
      <c r="BO394" s="69"/>
      <c r="BP394" s="69"/>
      <c r="BQ394" s="69"/>
      <c r="BR394" s="69"/>
      <c r="BS394" s="69"/>
      <c r="BT394" s="69"/>
      <c r="BU394" s="69"/>
      <c r="BV394" s="69"/>
      <c r="BW394" s="69"/>
      <c r="BX394" s="69"/>
      <c r="BY394" s="69"/>
      <c r="BZ394" s="69"/>
      <c r="CA394" s="69"/>
      <c r="CB394" s="69"/>
      <c r="CC394" s="69"/>
      <c r="CD394" s="69"/>
      <c r="CE394" s="94">
        <f t="shared" si="28"/>
        <v>11051.73</v>
      </c>
      <c r="CF394" s="151">
        <f t="shared" si="29"/>
        <v>0</v>
      </c>
      <c r="CG394" s="75">
        <f t="shared" si="27"/>
        <v>4250</v>
      </c>
      <c r="CH394" s="69" t="str">
        <f t="shared" si="27"/>
        <v>برنامج دولى</v>
      </c>
    </row>
    <row r="395" spans="1:87" s="156" customFormat="1" x14ac:dyDescent="0.25">
      <c r="A395" s="153"/>
      <c r="B395" s="83"/>
      <c r="C395" s="154"/>
      <c r="D395" s="69"/>
      <c r="E395" s="68" t="s">
        <v>3221</v>
      </c>
      <c r="F395" s="68"/>
      <c r="G395" s="68">
        <f>SUM(G183:G394)</f>
        <v>1659910.9299999992</v>
      </c>
      <c r="H395" s="68">
        <f t="shared" ref="H395:BV395" si="30">SUM(H183:H394)</f>
        <v>0</v>
      </c>
      <c r="I395" s="68">
        <f t="shared" si="30"/>
        <v>0</v>
      </c>
      <c r="J395" s="68">
        <f t="shared" si="30"/>
        <v>0</v>
      </c>
      <c r="K395" s="68">
        <f t="shared" si="30"/>
        <v>0</v>
      </c>
      <c r="L395" s="68">
        <f t="shared" si="30"/>
        <v>0</v>
      </c>
      <c r="M395" s="68">
        <f t="shared" si="30"/>
        <v>0</v>
      </c>
      <c r="N395" s="68">
        <f t="shared" si="30"/>
        <v>0</v>
      </c>
      <c r="O395" s="68"/>
      <c r="P395" s="68">
        <f t="shared" si="30"/>
        <v>0</v>
      </c>
      <c r="Q395" s="68">
        <f t="shared" si="30"/>
        <v>0</v>
      </c>
      <c r="R395" s="68">
        <f t="shared" si="30"/>
        <v>0</v>
      </c>
      <c r="S395" s="68">
        <f t="shared" si="30"/>
        <v>0</v>
      </c>
      <c r="T395" s="68">
        <f t="shared" si="30"/>
        <v>597411.00999999989</v>
      </c>
      <c r="U395" s="68">
        <f t="shared" si="30"/>
        <v>0</v>
      </c>
      <c r="V395" s="68">
        <f t="shared" si="30"/>
        <v>0</v>
      </c>
      <c r="W395" s="68">
        <f t="shared" si="30"/>
        <v>0</v>
      </c>
      <c r="X395" s="68">
        <f t="shared" si="30"/>
        <v>6000</v>
      </c>
      <c r="Y395" s="68">
        <f t="shared" si="30"/>
        <v>0</v>
      </c>
      <c r="Z395" s="68">
        <f t="shared" si="30"/>
        <v>0</v>
      </c>
      <c r="AA395" s="68">
        <f t="shared" si="30"/>
        <v>0</v>
      </c>
      <c r="AB395" s="68">
        <f t="shared" si="30"/>
        <v>0</v>
      </c>
      <c r="AC395" s="68">
        <f t="shared" si="30"/>
        <v>0</v>
      </c>
      <c r="AD395" s="68">
        <f t="shared" si="30"/>
        <v>0</v>
      </c>
      <c r="AE395" s="68">
        <f t="shared" si="30"/>
        <v>0</v>
      </c>
      <c r="AF395" s="68">
        <f t="shared" si="30"/>
        <v>0</v>
      </c>
      <c r="AG395" s="68">
        <f t="shared" si="30"/>
        <v>0</v>
      </c>
      <c r="AH395" s="68">
        <f t="shared" si="30"/>
        <v>0</v>
      </c>
      <c r="AI395" s="68">
        <f t="shared" si="30"/>
        <v>0</v>
      </c>
      <c r="AJ395" s="68">
        <f t="shared" si="30"/>
        <v>0</v>
      </c>
      <c r="AK395" s="68">
        <f t="shared" si="30"/>
        <v>0</v>
      </c>
      <c r="AL395" s="68">
        <f t="shared" si="30"/>
        <v>0</v>
      </c>
      <c r="AM395" s="68">
        <f t="shared" si="30"/>
        <v>0</v>
      </c>
      <c r="AN395" s="68">
        <f t="shared" si="30"/>
        <v>0</v>
      </c>
      <c r="AO395" s="68">
        <f t="shared" si="30"/>
        <v>0</v>
      </c>
      <c r="AP395" s="68">
        <f t="shared" si="30"/>
        <v>0</v>
      </c>
      <c r="AQ395" s="68">
        <f t="shared" si="30"/>
        <v>0</v>
      </c>
      <c r="AR395" s="91">
        <f t="shared" si="30"/>
        <v>2263321.939999999</v>
      </c>
      <c r="AS395" s="68">
        <f t="shared" si="30"/>
        <v>1775455.9899999995</v>
      </c>
      <c r="AT395" s="68">
        <f t="shared" si="30"/>
        <v>154792.61999999991</v>
      </c>
      <c r="AU395" s="68">
        <f t="shared" si="30"/>
        <v>333073.33000000013</v>
      </c>
      <c r="AV395" s="68">
        <f t="shared" si="30"/>
        <v>0</v>
      </c>
      <c r="AW395" s="68">
        <f t="shared" si="30"/>
        <v>0</v>
      </c>
      <c r="AX395" s="68">
        <f t="shared" si="30"/>
        <v>0</v>
      </c>
      <c r="AY395" s="68">
        <f t="shared" si="30"/>
        <v>0</v>
      </c>
      <c r="AZ395" s="68">
        <f t="shared" si="30"/>
        <v>0</v>
      </c>
      <c r="BA395" s="68">
        <f t="shared" si="30"/>
        <v>0</v>
      </c>
      <c r="BB395" s="68">
        <f t="shared" si="30"/>
        <v>0</v>
      </c>
      <c r="BC395" s="68">
        <f t="shared" si="30"/>
        <v>0</v>
      </c>
      <c r="BD395" s="68">
        <f t="shared" si="30"/>
        <v>0</v>
      </c>
      <c r="BE395" s="68"/>
      <c r="BF395" s="68">
        <f t="shared" si="30"/>
        <v>0</v>
      </c>
      <c r="BG395" s="68">
        <f t="shared" si="30"/>
        <v>0</v>
      </c>
      <c r="BH395" s="68">
        <f t="shared" si="30"/>
        <v>0</v>
      </c>
      <c r="BI395" s="68">
        <f t="shared" si="30"/>
        <v>0</v>
      </c>
      <c r="BJ395" s="68">
        <f t="shared" si="30"/>
        <v>0</v>
      </c>
      <c r="BK395" s="68">
        <f t="shared" si="30"/>
        <v>0</v>
      </c>
      <c r="BL395" s="68">
        <f t="shared" si="30"/>
        <v>0</v>
      </c>
      <c r="BM395" s="68">
        <f t="shared" si="30"/>
        <v>0</v>
      </c>
      <c r="BN395" s="68">
        <f t="shared" si="30"/>
        <v>0</v>
      </c>
      <c r="BO395" s="68"/>
      <c r="BP395" s="68">
        <f t="shared" si="30"/>
        <v>0</v>
      </c>
      <c r="BQ395" s="68">
        <f t="shared" si="30"/>
        <v>0</v>
      </c>
      <c r="BR395" s="68">
        <f t="shared" si="30"/>
        <v>0</v>
      </c>
      <c r="BS395" s="68">
        <f t="shared" si="30"/>
        <v>0</v>
      </c>
      <c r="BT395" s="68">
        <f t="shared" si="30"/>
        <v>0</v>
      </c>
      <c r="BU395" s="68">
        <f t="shared" si="30"/>
        <v>0</v>
      </c>
      <c r="BV395" s="68">
        <f t="shared" si="30"/>
        <v>0</v>
      </c>
      <c r="BW395" s="68">
        <f t="shared" ref="BW395:CI395" si="31">SUM(BW183:BW394)</f>
        <v>0</v>
      </c>
      <c r="BX395" s="68">
        <f t="shared" si="31"/>
        <v>0</v>
      </c>
      <c r="BY395" s="68">
        <f t="shared" si="31"/>
        <v>0</v>
      </c>
      <c r="BZ395" s="68">
        <f t="shared" si="31"/>
        <v>0</v>
      </c>
      <c r="CA395" s="68">
        <f t="shared" si="31"/>
        <v>0</v>
      </c>
      <c r="CB395" s="68">
        <f t="shared" si="31"/>
        <v>0</v>
      </c>
      <c r="CC395" s="68">
        <f t="shared" si="31"/>
        <v>0</v>
      </c>
      <c r="CD395" s="68">
        <f t="shared" si="31"/>
        <v>0</v>
      </c>
      <c r="CE395" s="91">
        <f t="shared" si="31"/>
        <v>2263321.939999999</v>
      </c>
      <c r="CF395" s="68">
        <f t="shared" si="31"/>
        <v>0</v>
      </c>
      <c r="CG395" s="68"/>
      <c r="CH395" s="68">
        <f t="shared" si="31"/>
        <v>0</v>
      </c>
      <c r="CI395" s="68">
        <f t="shared" si="31"/>
        <v>0</v>
      </c>
    </row>
    <row r="396" spans="1:87" x14ac:dyDescent="0.25">
      <c r="A396" s="148"/>
      <c r="B396" s="82">
        <v>6701</v>
      </c>
      <c r="C396" s="149">
        <v>4251</v>
      </c>
      <c r="D396" s="69"/>
      <c r="E396" s="69" t="s">
        <v>3222</v>
      </c>
      <c r="F396" s="63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>
        <v>1588.61</v>
      </c>
      <c r="AE396" s="69"/>
      <c r="AF396" s="69"/>
      <c r="AG396" s="69"/>
      <c r="AH396" s="69"/>
      <c r="AI396" s="69"/>
      <c r="AJ396" s="69"/>
      <c r="AK396" s="69"/>
      <c r="AL396" s="69"/>
      <c r="AM396" s="69"/>
      <c r="AN396" s="69"/>
      <c r="AO396" s="69"/>
      <c r="AP396" s="69"/>
      <c r="AQ396" s="69"/>
      <c r="AR396" s="94">
        <f t="shared" si="26"/>
        <v>1588.61</v>
      </c>
      <c r="AS396" s="69">
        <v>1588.61</v>
      </c>
      <c r="AT396" s="69"/>
      <c r="AU396" s="69"/>
      <c r="AV396" s="69"/>
      <c r="AW396" s="69"/>
      <c r="AX396" s="69"/>
      <c r="AY396" s="69"/>
      <c r="AZ396" s="69"/>
      <c r="BA396" s="69"/>
      <c r="BB396" s="69"/>
      <c r="BC396" s="69"/>
      <c r="BD396" s="69"/>
      <c r="BE396" s="69"/>
      <c r="BF396" s="69"/>
      <c r="BG396" s="69"/>
      <c r="BH396" s="69"/>
      <c r="BI396" s="69"/>
      <c r="BJ396" s="69"/>
      <c r="BK396" s="69"/>
      <c r="BL396" s="69"/>
      <c r="BM396" s="69"/>
      <c r="BN396" s="69"/>
      <c r="BO396" s="69"/>
      <c r="BP396" s="69"/>
      <c r="BQ396" s="69"/>
      <c r="BR396" s="69"/>
      <c r="BS396" s="69"/>
      <c r="BT396" s="69"/>
      <c r="BU396" s="69"/>
      <c r="BV396" s="69"/>
      <c r="BW396" s="69"/>
      <c r="BX396" s="69"/>
      <c r="BY396" s="69"/>
      <c r="BZ396" s="69"/>
      <c r="CA396" s="69"/>
      <c r="CB396" s="69"/>
      <c r="CC396" s="69"/>
      <c r="CD396" s="69"/>
      <c r="CE396" s="94">
        <f t="shared" si="28"/>
        <v>1588.61</v>
      </c>
      <c r="CF396" s="151">
        <f t="shared" si="29"/>
        <v>0</v>
      </c>
      <c r="CG396" s="75">
        <f t="shared" si="27"/>
        <v>4251</v>
      </c>
      <c r="CH396" s="69">
        <f t="shared" si="27"/>
        <v>0</v>
      </c>
    </row>
    <row r="397" spans="1:87" x14ac:dyDescent="0.25">
      <c r="A397" s="148"/>
      <c r="B397" s="82">
        <v>6118</v>
      </c>
      <c r="C397" s="149">
        <v>4252</v>
      </c>
      <c r="D397" s="69" t="s">
        <v>78</v>
      </c>
      <c r="E397" s="69" t="s">
        <v>2900</v>
      </c>
      <c r="F397" s="63"/>
      <c r="G397" s="69">
        <v>5065.2</v>
      </c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  <c r="AE397" s="69"/>
      <c r="AF397" s="69"/>
      <c r="AG397" s="69"/>
      <c r="AH397" s="69"/>
      <c r="AI397" s="69"/>
      <c r="AJ397" s="69"/>
      <c r="AK397" s="69"/>
      <c r="AL397" s="69"/>
      <c r="AM397" s="69"/>
      <c r="AN397" s="69"/>
      <c r="AO397" s="69"/>
      <c r="AP397" s="69"/>
      <c r="AQ397" s="69"/>
      <c r="AR397" s="94">
        <f t="shared" si="26"/>
        <v>5065.2</v>
      </c>
      <c r="AS397" s="69">
        <v>3389.05</v>
      </c>
      <c r="AT397" s="69">
        <f>23.75+432</f>
        <v>455.75</v>
      </c>
      <c r="AU397" s="69">
        <f>1676.15-23.75-432</f>
        <v>1220.4000000000001</v>
      </c>
      <c r="AV397" s="69"/>
      <c r="AW397" s="69"/>
      <c r="AX397" s="69"/>
      <c r="AY397" s="69"/>
      <c r="AZ397" s="69"/>
      <c r="BA397" s="69"/>
      <c r="BB397" s="69"/>
      <c r="BC397" s="69"/>
      <c r="BD397" s="69"/>
      <c r="BE397" s="69"/>
      <c r="BF397" s="69"/>
      <c r="BG397" s="69"/>
      <c r="BH397" s="69"/>
      <c r="BI397" s="69"/>
      <c r="BJ397" s="69"/>
      <c r="BK397" s="69"/>
      <c r="BL397" s="69"/>
      <c r="BM397" s="69"/>
      <c r="BN397" s="69"/>
      <c r="BO397" s="69"/>
      <c r="BP397" s="69"/>
      <c r="BQ397" s="69"/>
      <c r="BR397" s="69"/>
      <c r="BS397" s="69"/>
      <c r="BT397" s="69"/>
      <c r="BU397" s="69"/>
      <c r="BV397" s="69"/>
      <c r="BW397" s="69"/>
      <c r="BX397" s="69"/>
      <c r="BY397" s="69"/>
      <c r="BZ397" s="69"/>
      <c r="CA397" s="69"/>
      <c r="CB397" s="69"/>
      <c r="CC397" s="69"/>
      <c r="CD397" s="69"/>
      <c r="CE397" s="94">
        <f t="shared" ref="CE397:CE460" si="32">SUM(AS397:CD397)</f>
        <v>5065.2000000000007</v>
      </c>
      <c r="CF397" s="151">
        <f t="shared" si="29"/>
        <v>0</v>
      </c>
      <c r="CG397" s="75">
        <f t="shared" si="27"/>
        <v>4252</v>
      </c>
      <c r="CH397" s="69" t="str">
        <f t="shared" si="27"/>
        <v>برنامج دولى</v>
      </c>
    </row>
    <row r="398" spans="1:87" x14ac:dyDescent="0.25">
      <c r="A398" s="148"/>
      <c r="B398" s="82">
        <v>6117</v>
      </c>
      <c r="C398" s="149">
        <v>4253</v>
      </c>
      <c r="D398" s="69" t="s">
        <v>78</v>
      </c>
      <c r="E398" s="69" t="s">
        <v>2900</v>
      </c>
      <c r="F398" s="63"/>
      <c r="G398" s="69">
        <v>16260</v>
      </c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  <c r="AE398" s="69"/>
      <c r="AF398" s="69"/>
      <c r="AG398" s="69"/>
      <c r="AH398" s="69"/>
      <c r="AI398" s="69"/>
      <c r="AJ398" s="69"/>
      <c r="AK398" s="69"/>
      <c r="AL398" s="69"/>
      <c r="AM398" s="69"/>
      <c r="AN398" s="69"/>
      <c r="AO398" s="69"/>
      <c r="AP398" s="69"/>
      <c r="AQ398" s="69"/>
      <c r="AR398" s="94">
        <f t="shared" si="26"/>
        <v>16260</v>
      </c>
      <c r="AS398" s="69">
        <v>14526.2</v>
      </c>
      <c r="AT398" s="69">
        <v>1733.8</v>
      </c>
      <c r="AU398" s="69"/>
      <c r="AV398" s="69"/>
      <c r="AW398" s="69"/>
      <c r="AX398" s="69"/>
      <c r="AY398" s="69"/>
      <c r="AZ398" s="69"/>
      <c r="BA398" s="69"/>
      <c r="BB398" s="69"/>
      <c r="BC398" s="69"/>
      <c r="BD398" s="69"/>
      <c r="BE398" s="69"/>
      <c r="BF398" s="69"/>
      <c r="BG398" s="69"/>
      <c r="BH398" s="69"/>
      <c r="BI398" s="69"/>
      <c r="BJ398" s="69"/>
      <c r="BK398" s="69"/>
      <c r="BL398" s="69"/>
      <c r="BM398" s="69"/>
      <c r="BN398" s="69"/>
      <c r="BO398" s="69"/>
      <c r="BP398" s="69"/>
      <c r="BQ398" s="69"/>
      <c r="BR398" s="69"/>
      <c r="BS398" s="69"/>
      <c r="BT398" s="69"/>
      <c r="BU398" s="69"/>
      <c r="BV398" s="69"/>
      <c r="BW398" s="69"/>
      <c r="BX398" s="69"/>
      <c r="BY398" s="69"/>
      <c r="BZ398" s="69"/>
      <c r="CA398" s="69"/>
      <c r="CB398" s="69"/>
      <c r="CC398" s="69"/>
      <c r="CD398" s="69"/>
      <c r="CE398" s="94">
        <f t="shared" si="32"/>
        <v>16260</v>
      </c>
      <c r="CF398" s="151">
        <f t="shared" si="29"/>
        <v>0</v>
      </c>
      <c r="CG398" s="75">
        <f t="shared" si="27"/>
        <v>4253</v>
      </c>
      <c r="CH398" s="69" t="str">
        <f t="shared" si="27"/>
        <v>برنامج دولى</v>
      </c>
    </row>
    <row r="399" spans="1:87" x14ac:dyDescent="0.25">
      <c r="A399" s="148"/>
      <c r="B399" s="82">
        <v>5502</v>
      </c>
      <c r="C399" s="149">
        <v>4254</v>
      </c>
      <c r="D399" s="69" t="s">
        <v>78</v>
      </c>
      <c r="E399" s="69" t="s">
        <v>1010</v>
      </c>
      <c r="F399" s="63"/>
      <c r="G399" s="69">
        <v>5040</v>
      </c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  <c r="AE399" s="69"/>
      <c r="AF399" s="69"/>
      <c r="AG399" s="69"/>
      <c r="AH399" s="69"/>
      <c r="AI399" s="69"/>
      <c r="AJ399" s="69"/>
      <c r="AK399" s="69"/>
      <c r="AL399" s="69"/>
      <c r="AM399" s="69"/>
      <c r="AN399" s="69"/>
      <c r="AO399" s="69"/>
      <c r="AP399" s="69"/>
      <c r="AQ399" s="69"/>
      <c r="AR399" s="94">
        <f t="shared" si="26"/>
        <v>5040</v>
      </c>
      <c r="AS399" s="69">
        <v>4498.8999999999996</v>
      </c>
      <c r="AT399" s="69">
        <v>541.1</v>
      </c>
      <c r="AU399" s="69"/>
      <c r="AV399" s="69"/>
      <c r="AW399" s="69"/>
      <c r="AX399" s="69"/>
      <c r="AY399" s="69"/>
      <c r="AZ399" s="69"/>
      <c r="BA399" s="69"/>
      <c r="BB399" s="69"/>
      <c r="BC399" s="69"/>
      <c r="BD399" s="69"/>
      <c r="BE399" s="69"/>
      <c r="BF399" s="69"/>
      <c r="BG399" s="69"/>
      <c r="BH399" s="69"/>
      <c r="BI399" s="69"/>
      <c r="BJ399" s="69"/>
      <c r="BK399" s="69"/>
      <c r="BL399" s="69"/>
      <c r="BM399" s="69"/>
      <c r="BN399" s="69"/>
      <c r="BO399" s="69"/>
      <c r="BP399" s="69"/>
      <c r="BQ399" s="69"/>
      <c r="BR399" s="69"/>
      <c r="BS399" s="69"/>
      <c r="BT399" s="69"/>
      <c r="BU399" s="69"/>
      <c r="BV399" s="69"/>
      <c r="BW399" s="69"/>
      <c r="BX399" s="69"/>
      <c r="BY399" s="69"/>
      <c r="BZ399" s="69"/>
      <c r="CA399" s="69"/>
      <c r="CB399" s="69"/>
      <c r="CC399" s="69"/>
      <c r="CD399" s="69"/>
      <c r="CE399" s="94">
        <f t="shared" si="32"/>
        <v>5040</v>
      </c>
      <c r="CF399" s="151">
        <f t="shared" si="29"/>
        <v>0</v>
      </c>
      <c r="CG399" s="75">
        <f t="shared" si="27"/>
        <v>4254</v>
      </c>
      <c r="CH399" s="69" t="str">
        <f t="shared" si="27"/>
        <v>برنامج دولى</v>
      </c>
    </row>
    <row r="400" spans="1:87" x14ac:dyDescent="0.25">
      <c r="A400" s="148"/>
      <c r="B400" s="82">
        <v>5503</v>
      </c>
      <c r="C400" s="149">
        <v>4255</v>
      </c>
      <c r="D400" s="69" t="s">
        <v>78</v>
      </c>
      <c r="E400" s="69" t="s">
        <v>1010</v>
      </c>
      <c r="F400" s="63"/>
      <c r="G400" s="69">
        <v>5400</v>
      </c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  <c r="AE400" s="69"/>
      <c r="AF400" s="69"/>
      <c r="AG400" s="69"/>
      <c r="AH400" s="69"/>
      <c r="AI400" s="69"/>
      <c r="AJ400" s="69"/>
      <c r="AK400" s="69"/>
      <c r="AL400" s="69"/>
      <c r="AM400" s="69"/>
      <c r="AN400" s="69"/>
      <c r="AO400" s="69"/>
      <c r="AP400" s="69"/>
      <c r="AQ400" s="69"/>
      <c r="AR400" s="94">
        <f t="shared" si="26"/>
        <v>5400</v>
      </c>
      <c r="AS400" s="69">
        <v>4821.25</v>
      </c>
      <c r="AT400" s="69">
        <v>578.75</v>
      </c>
      <c r="AU400" s="69"/>
      <c r="AV400" s="69"/>
      <c r="AW400" s="69"/>
      <c r="AX400" s="69"/>
      <c r="AY400" s="69"/>
      <c r="AZ400" s="69"/>
      <c r="BA400" s="69"/>
      <c r="BB400" s="69"/>
      <c r="BC400" s="69"/>
      <c r="BD400" s="69"/>
      <c r="BE400" s="69"/>
      <c r="BF400" s="69"/>
      <c r="BG400" s="69"/>
      <c r="BH400" s="69"/>
      <c r="BI400" s="69"/>
      <c r="BJ400" s="69"/>
      <c r="BK400" s="69"/>
      <c r="BL400" s="69"/>
      <c r="BM400" s="69"/>
      <c r="BN400" s="69"/>
      <c r="BO400" s="69"/>
      <c r="BP400" s="69"/>
      <c r="BQ400" s="69"/>
      <c r="BR400" s="69"/>
      <c r="BS400" s="69"/>
      <c r="BT400" s="69"/>
      <c r="BU400" s="69"/>
      <c r="BV400" s="69"/>
      <c r="BW400" s="69"/>
      <c r="BX400" s="69"/>
      <c r="BY400" s="69"/>
      <c r="BZ400" s="69"/>
      <c r="CA400" s="69"/>
      <c r="CB400" s="69"/>
      <c r="CC400" s="69"/>
      <c r="CD400" s="69"/>
      <c r="CE400" s="94">
        <f t="shared" si="32"/>
        <v>5400</v>
      </c>
      <c r="CF400" s="151">
        <f t="shared" si="29"/>
        <v>0</v>
      </c>
      <c r="CG400" s="75">
        <f t="shared" si="27"/>
        <v>4255</v>
      </c>
      <c r="CH400" s="69" t="str">
        <f t="shared" si="27"/>
        <v>برنامج دولى</v>
      </c>
    </row>
    <row r="401" spans="1:86" x14ac:dyDescent="0.25">
      <c r="A401" s="148"/>
      <c r="B401" s="82">
        <v>5504</v>
      </c>
      <c r="C401" s="149">
        <v>4256</v>
      </c>
      <c r="D401" s="69" t="s">
        <v>78</v>
      </c>
      <c r="E401" s="69" t="s">
        <v>1010</v>
      </c>
      <c r="F401" s="63"/>
      <c r="G401" s="69">
        <v>38268.68</v>
      </c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  <c r="AE401" s="69"/>
      <c r="AF401" s="69"/>
      <c r="AG401" s="69"/>
      <c r="AH401" s="69"/>
      <c r="AI401" s="69"/>
      <c r="AJ401" s="69"/>
      <c r="AK401" s="69"/>
      <c r="AL401" s="69"/>
      <c r="AM401" s="69"/>
      <c r="AN401" s="69"/>
      <c r="AO401" s="69"/>
      <c r="AP401" s="69"/>
      <c r="AQ401" s="69"/>
      <c r="AR401" s="94">
        <f t="shared" si="26"/>
        <v>38268.68</v>
      </c>
      <c r="AS401" s="69">
        <v>34011.25</v>
      </c>
      <c r="AT401" s="69">
        <v>4079.45</v>
      </c>
      <c r="AU401" s="69">
        <v>177.98</v>
      </c>
      <c r="AV401" s="69"/>
      <c r="AW401" s="69"/>
      <c r="AX401" s="69"/>
      <c r="AY401" s="69"/>
      <c r="AZ401" s="69"/>
      <c r="BA401" s="69"/>
      <c r="BB401" s="69"/>
      <c r="BC401" s="69"/>
      <c r="BD401" s="69"/>
      <c r="BE401" s="69"/>
      <c r="BF401" s="69"/>
      <c r="BG401" s="69"/>
      <c r="BH401" s="69"/>
      <c r="BI401" s="69"/>
      <c r="BJ401" s="69"/>
      <c r="BK401" s="69"/>
      <c r="BL401" s="69"/>
      <c r="BM401" s="69"/>
      <c r="BN401" s="69"/>
      <c r="BO401" s="69"/>
      <c r="BP401" s="69"/>
      <c r="BQ401" s="69"/>
      <c r="BR401" s="69"/>
      <c r="BS401" s="69"/>
      <c r="BT401" s="69"/>
      <c r="BU401" s="69"/>
      <c r="BV401" s="69"/>
      <c r="BW401" s="69"/>
      <c r="BX401" s="69"/>
      <c r="BY401" s="69"/>
      <c r="BZ401" s="69"/>
      <c r="CA401" s="69"/>
      <c r="CB401" s="69"/>
      <c r="CC401" s="69"/>
      <c r="CD401" s="69"/>
      <c r="CE401" s="94">
        <f t="shared" si="32"/>
        <v>38268.68</v>
      </c>
      <c r="CF401" s="151">
        <f t="shared" si="29"/>
        <v>0</v>
      </c>
      <c r="CG401" s="75">
        <f t="shared" si="27"/>
        <v>4256</v>
      </c>
      <c r="CH401" s="69" t="str">
        <f t="shared" si="27"/>
        <v>برنامج دولى</v>
      </c>
    </row>
    <row r="402" spans="1:86" x14ac:dyDescent="0.25">
      <c r="A402" s="148"/>
      <c r="B402" s="82">
        <v>5507</v>
      </c>
      <c r="C402" s="149">
        <v>4257</v>
      </c>
      <c r="D402" s="69" t="s">
        <v>78</v>
      </c>
      <c r="E402" s="69" t="s">
        <v>2024</v>
      </c>
      <c r="F402" s="63"/>
      <c r="G402" s="69">
        <v>351.75</v>
      </c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  <c r="AE402" s="69"/>
      <c r="AF402" s="69"/>
      <c r="AG402" s="69"/>
      <c r="AH402" s="69"/>
      <c r="AI402" s="69"/>
      <c r="AJ402" s="69"/>
      <c r="AK402" s="69"/>
      <c r="AL402" s="69"/>
      <c r="AM402" s="69"/>
      <c r="AN402" s="69"/>
      <c r="AO402" s="69"/>
      <c r="AP402" s="69"/>
      <c r="AQ402" s="69"/>
      <c r="AR402" s="94">
        <f t="shared" si="26"/>
        <v>351.75</v>
      </c>
      <c r="AS402" s="69">
        <v>235.55</v>
      </c>
      <c r="AT402" s="69">
        <v>31.45</v>
      </c>
      <c r="AU402" s="69">
        <v>84.75</v>
      </c>
      <c r="AV402" s="69"/>
      <c r="AW402" s="69"/>
      <c r="AX402" s="69"/>
      <c r="AY402" s="69"/>
      <c r="AZ402" s="69"/>
      <c r="BA402" s="69"/>
      <c r="BB402" s="69"/>
      <c r="BC402" s="69"/>
      <c r="BD402" s="69"/>
      <c r="BE402" s="69"/>
      <c r="BF402" s="69"/>
      <c r="BG402" s="69"/>
      <c r="BH402" s="69"/>
      <c r="BI402" s="69"/>
      <c r="BJ402" s="69"/>
      <c r="BK402" s="69"/>
      <c r="BL402" s="69"/>
      <c r="BM402" s="69"/>
      <c r="BN402" s="69"/>
      <c r="BO402" s="69"/>
      <c r="BP402" s="69"/>
      <c r="BQ402" s="69"/>
      <c r="BR402" s="69"/>
      <c r="BS402" s="69"/>
      <c r="BT402" s="69"/>
      <c r="BU402" s="69"/>
      <c r="BV402" s="69"/>
      <c r="BW402" s="69"/>
      <c r="BX402" s="69"/>
      <c r="BY402" s="69"/>
      <c r="BZ402" s="69"/>
      <c r="CA402" s="69"/>
      <c r="CB402" s="69"/>
      <c r="CC402" s="69"/>
      <c r="CD402" s="69"/>
      <c r="CE402" s="94">
        <f t="shared" si="32"/>
        <v>351.75</v>
      </c>
      <c r="CF402" s="151">
        <f t="shared" si="29"/>
        <v>0</v>
      </c>
      <c r="CG402" s="75">
        <f t="shared" si="27"/>
        <v>4257</v>
      </c>
      <c r="CH402" s="69" t="str">
        <f t="shared" si="27"/>
        <v>برنامج دولى</v>
      </c>
    </row>
    <row r="403" spans="1:86" x14ac:dyDescent="0.25">
      <c r="A403" s="148"/>
      <c r="B403" s="82">
        <v>5508</v>
      </c>
      <c r="C403" s="149">
        <v>4258</v>
      </c>
      <c r="D403" s="69" t="s">
        <v>78</v>
      </c>
      <c r="E403" s="69" t="s">
        <v>2024</v>
      </c>
      <c r="F403" s="63"/>
      <c r="G403" s="69">
        <v>1582.88</v>
      </c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  <c r="AE403" s="69"/>
      <c r="AF403" s="69"/>
      <c r="AG403" s="69"/>
      <c r="AH403" s="69"/>
      <c r="AI403" s="69"/>
      <c r="AJ403" s="69"/>
      <c r="AK403" s="69"/>
      <c r="AL403" s="69"/>
      <c r="AM403" s="69"/>
      <c r="AN403" s="69"/>
      <c r="AO403" s="69"/>
      <c r="AP403" s="69"/>
      <c r="AQ403" s="69"/>
      <c r="AR403" s="94">
        <f t="shared" si="26"/>
        <v>1582.88</v>
      </c>
      <c r="AS403" s="69">
        <v>1058.4000000000001</v>
      </c>
      <c r="AT403" s="69">
        <v>143.1</v>
      </c>
      <c r="AU403" s="69">
        <v>381.38</v>
      </c>
      <c r="AV403" s="69"/>
      <c r="AW403" s="69"/>
      <c r="AX403" s="69"/>
      <c r="AY403" s="69"/>
      <c r="AZ403" s="69"/>
      <c r="BA403" s="69"/>
      <c r="BB403" s="69"/>
      <c r="BC403" s="69"/>
      <c r="BD403" s="69"/>
      <c r="BE403" s="69"/>
      <c r="BF403" s="69"/>
      <c r="BG403" s="69"/>
      <c r="BH403" s="69"/>
      <c r="BI403" s="69"/>
      <c r="BJ403" s="69"/>
      <c r="BK403" s="69"/>
      <c r="BL403" s="69"/>
      <c r="BM403" s="69"/>
      <c r="BN403" s="69"/>
      <c r="BO403" s="69"/>
      <c r="BP403" s="69"/>
      <c r="BQ403" s="69"/>
      <c r="BR403" s="69"/>
      <c r="BS403" s="69"/>
      <c r="BT403" s="69"/>
      <c r="BU403" s="69"/>
      <c r="BV403" s="69"/>
      <c r="BW403" s="69"/>
      <c r="BX403" s="69"/>
      <c r="BY403" s="69"/>
      <c r="BZ403" s="69"/>
      <c r="CA403" s="69"/>
      <c r="CB403" s="69"/>
      <c r="CC403" s="69"/>
      <c r="CD403" s="69"/>
      <c r="CE403" s="94">
        <f t="shared" si="32"/>
        <v>1582.88</v>
      </c>
      <c r="CF403" s="151">
        <f t="shared" si="29"/>
        <v>0</v>
      </c>
      <c r="CG403" s="75">
        <f t="shared" si="27"/>
        <v>4258</v>
      </c>
      <c r="CH403" s="69" t="str">
        <f t="shared" si="27"/>
        <v>برنامج دولى</v>
      </c>
    </row>
    <row r="404" spans="1:86" x14ac:dyDescent="0.25">
      <c r="A404" s="148"/>
      <c r="B404" s="82">
        <v>5509</v>
      </c>
      <c r="C404" s="149">
        <v>4259</v>
      </c>
      <c r="D404" s="69" t="s">
        <v>78</v>
      </c>
      <c r="E404" s="69" t="s">
        <v>2024</v>
      </c>
      <c r="F404" s="63"/>
      <c r="G404" s="69">
        <v>1680</v>
      </c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  <c r="AE404" s="69"/>
      <c r="AF404" s="69"/>
      <c r="AG404" s="69"/>
      <c r="AH404" s="69"/>
      <c r="AI404" s="69"/>
      <c r="AJ404" s="69"/>
      <c r="AK404" s="69"/>
      <c r="AL404" s="69"/>
      <c r="AM404" s="69"/>
      <c r="AN404" s="69"/>
      <c r="AO404" s="69"/>
      <c r="AP404" s="69"/>
      <c r="AQ404" s="69"/>
      <c r="AR404" s="94">
        <f t="shared" si="26"/>
        <v>1680</v>
      </c>
      <c r="AS404" s="69">
        <v>1501.35</v>
      </c>
      <c r="AT404" s="69">
        <v>178.65</v>
      </c>
      <c r="AU404" s="69"/>
      <c r="AV404" s="69"/>
      <c r="AW404" s="69"/>
      <c r="AX404" s="69"/>
      <c r="AY404" s="69"/>
      <c r="AZ404" s="69"/>
      <c r="BA404" s="69"/>
      <c r="BB404" s="69"/>
      <c r="BC404" s="69"/>
      <c r="BD404" s="69"/>
      <c r="BE404" s="69"/>
      <c r="BF404" s="69"/>
      <c r="BG404" s="69"/>
      <c r="BH404" s="69"/>
      <c r="BI404" s="69"/>
      <c r="BJ404" s="69"/>
      <c r="BK404" s="69"/>
      <c r="BL404" s="69"/>
      <c r="BM404" s="69"/>
      <c r="BN404" s="69"/>
      <c r="BO404" s="69"/>
      <c r="BP404" s="69"/>
      <c r="BQ404" s="69"/>
      <c r="BR404" s="69"/>
      <c r="BS404" s="69"/>
      <c r="BT404" s="69"/>
      <c r="BU404" s="69"/>
      <c r="BV404" s="69"/>
      <c r="BW404" s="69"/>
      <c r="BX404" s="69"/>
      <c r="BY404" s="69"/>
      <c r="BZ404" s="69"/>
      <c r="CA404" s="69"/>
      <c r="CB404" s="69"/>
      <c r="CC404" s="69"/>
      <c r="CD404" s="69"/>
      <c r="CE404" s="94">
        <f t="shared" si="32"/>
        <v>1680</v>
      </c>
      <c r="CF404" s="151">
        <f t="shared" si="29"/>
        <v>0</v>
      </c>
      <c r="CG404" s="75">
        <f t="shared" si="27"/>
        <v>4259</v>
      </c>
      <c r="CH404" s="69" t="str">
        <f t="shared" si="27"/>
        <v>برنامج دولى</v>
      </c>
    </row>
    <row r="405" spans="1:86" x14ac:dyDescent="0.25">
      <c r="A405" s="148"/>
      <c r="B405" s="82">
        <v>5510</v>
      </c>
      <c r="C405" s="149">
        <v>4260</v>
      </c>
      <c r="D405" s="69" t="s">
        <v>78</v>
      </c>
      <c r="E405" s="69" t="s">
        <v>2024</v>
      </c>
      <c r="F405" s="63"/>
      <c r="G405" s="69">
        <v>13624.8</v>
      </c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  <c r="AE405" s="69"/>
      <c r="AF405" s="69"/>
      <c r="AG405" s="69"/>
      <c r="AH405" s="69"/>
      <c r="AI405" s="69"/>
      <c r="AJ405" s="69"/>
      <c r="AK405" s="69"/>
      <c r="AL405" s="69"/>
      <c r="AM405" s="69"/>
      <c r="AN405" s="69"/>
      <c r="AO405" s="69"/>
      <c r="AP405" s="69"/>
      <c r="AQ405" s="69"/>
      <c r="AR405" s="94">
        <f t="shared" si="26"/>
        <v>13624.8</v>
      </c>
      <c r="AS405" s="69">
        <v>11966.75</v>
      </c>
      <c r="AT405" s="69">
        <v>1437.25</v>
      </c>
      <c r="AU405" s="69">
        <v>220.8</v>
      </c>
      <c r="AV405" s="69"/>
      <c r="AW405" s="69"/>
      <c r="AX405" s="69"/>
      <c r="AY405" s="69"/>
      <c r="AZ405" s="69"/>
      <c r="BA405" s="69"/>
      <c r="BB405" s="69"/>
      <c r="BC405" s="69"/>
      <c r="BD405" s="69"/>
      <c r="BE405" s="69"/>
      <c r="BF405" s="69"/>
      <c r="BG405" s="69"/>
      <c r="BH405" s="69"/>
      <c r="BI405" s="69"/>
      <c r="BJ405" s="69"/>
      <c r="BK405" s="69"/>
      <c r="BL405" s="69"/>
      <c r="BM405" s="69"/>
      <c r="BN405" s="69"/>
      <c r="BO405" s="69"/>
      <c r="BP405" s="69"/>
      <c r="BQ405" s="69"/>
      <c r="BR405" s="69"/>
      <c r="BS405" s="69"/>
      <c r="BT405" s="69"/>
      <c r="BU405" s="69"/>
      <c r="BV405" s="69"/>
      <c r="BW405" s="69"/>
      <c r="BX405" s="69"/>
      <c r="BY405" s="69"/>
      <c r="BZ405" s="69"/>
      <c r="CA405" s="69"/>
      <c r="CB405" s="69"/>
      <c r="CC405" s="69"/>
      <c r="CD405" s="69"/>
      <c r="CE405" s="94">
        <f t="shared" si="32"/>
        <v>13624.8</v>
      </c>
      <c r="CF405" s="151">
        <f t="shared" si="29"/>
        <v>0</v>
      </c>
      <c r="CG405" s="75">
        <f t="shared" si="27"/>
        <v>4260</v>
      </c>
      <c r="CH405" s="69" t="str">
        <f t="shared" si="27"/>
        <v>برنامج دولى</v>
      </c>
    </row>
    <row r="406" spans="1:86" x14ac:dyDescent="0.25">
      <c r="A406" s="148"/>
      <c r="B406" s="82">
        <v>6116</v>
      </c>
      <c r="C406" s="149">
        <v>4261</v>
      </c>
      <c r="D406" s="69" t="s">
        <v>78</v>
      </c>
      <c r="E406" s="69" t="str">
        <f>+E398</f>
        <v>عب تدريس جلديه</v>
      </c>
      <c r="F406" s="63"/>
      <c r="G406" s="69">
        <v>1050</v>
      </c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  <c r="AE406" s="69"/>
      <c r="AF406" s="69"/>
      <c r="AG406" s="69"/>
      <c r="AH406" s="69"/>
      <c r="AI406" s="69"/>
      <c r="AJ406" s="69"/>
      <c r="AK406" s="69"/>
      <c r="AL406" s="69"/>
      <c r="AM406" s="69"/>
      <c r="AN406" s="69"/>
      <c r="AO406" s="69"/>
      <c r="AP406" s="69"/>
      <c r="AQ406" s="69"/>
      <c r="AR406" s="94">
        <f t="shared" si="26"/>
        <v>1050</v>
      </c>
      <c r="AS406" s="69">
        <v>940.1</v>
      </c>
      <c r="AT406" s="69">
        <v>109.9</v>
      </c>
      <c r="AU406" s="69"/>
      <c r="AV406" s="69"/>
      <c r="AW406" s="69"/>
      <c r="AX406" s="69"/>
      <c r="AY406" s="69"/>
      <c r="AZ406" s="69"/>
      <c r="BA406" s="69"/>
      <c r="BB406" s="69"/>
      <c r="BC406" s="69"/>
      <c r="BD406" s="69"/>
      <c r="BE406" s="69"/>
      <c r="BF406" s="69"/>
      <c r="BG406" s="69"/>
      <c r="BH406" s="69"/>
      <c r="BI406" s="69"/>
      <c r="BJ406" s="69"/>
      <c r="BK406" s="69"/>
      <c r="BL406" s="69"/>
      <c r="BM406" s="69"/>
      <c r="BN406" s="69"/>
      <c r="BO406" s="69"/>
      <c r="BP406" s="69"/>
      <c r="BQ406" s="69"/>
      <c r="BR406" s="69"/>
      <c r="BS406" s="69"/>
      <c r="BT406" s="69"/>
      <c r="BU406" s="69"/>
      <c r="BV406" s="69"/>
      <c r="BW406" s="69"/>
      <c r="BX406" s="69"/>
      <c r="BY406" s="69"/>
      <c r="BZ406" s="69"/>
      <c r="CA406" s="69"/>
      <c r="CB406" s="69"/>
      <c r="CC406" s="69"/>
      <c r="CD406" s="69"/>
      <c r="CE406" s="94">
        <f t="shared" si="32"/>
        <v>1050</v>
      </c>
      <c r="CF406" s="151">
        <f t="shared" si="29"/>
        <v>0</v>
      </c>
      <c r="CG406" s="75">
        <f t="shared" si="27"/>
        <v>4261</v>
      </c>
      <c r="CH406" s="69" t="str">
        <f t="shared" si="27"/>
        <v>برنامج دولى</v>
      </c>
    </row>
    <row r="407" spans="1:86" x14ac:dyDescent="0.25">
      <c r="A407" s="148"/>
      <c r="B407" s="82">
        <v>6115</v>
      </c>
      <c r="C407" s="149">
        <v>4262</v>
      </c>
      <c r="D407" s="69" t="s">
        <v>78</v>
      </c>
      <c r="E407" s="69" t="str">
        <f>+E406</f>
        <v>عب تدريس جلديه</v>
      </c>
      <c r="F407" s="63"/>
      <c r="G407" s="69">
        <v>510.04</v>
      </c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  <c r="AE407" s="69"/>
      <c r="AF407" s="69"/>
      <c r="AG407" s="69"/>
      <c r="AH407" s="69"/>
      <c r="AI407" s="69"/>
      <c r="AJ407" s="69"/>
      <c r="AK407" s="69"/>
      <c r="AL407" s="69"/>
      <c r="AM407" s="69"/>
      <c r="AN407" s="69"/>
      <c r="AO407" s="69"/>
      <c r="AP407" s="69"/>
      <c r="AQ407" s="69"/>
      <c r="AR407" s="94">
        <f t="shared" si="26"/>
        <v>510.04</v>
      </c>
      <c r="AS407" s="69">
        <v>341.75</v>
      </c>
      <c r="AT407" s="69">
        <v>45.4</v>
      </c>
      <c r="AU407" s="69">
        <v>122.89</v>
      </c>
      <c r="AV407" s="69"/>
      <c r="AW407" s="69"/>
      <c r="AX407" s="69"/>
      <c r="AY407" s="69"/>
      <c r="AZ407" s="69"/>
      <c r="BA407" s="69"/>
      <c r="BB407" s="69"/>
      <c r="BC407" s="69"/>
      <c r="BD407" s="69"/>
      <c r="BE407" s="69"/>
      <c r="BF407" s="69"/>
      <c r="BG407" s="69"/>
      <c r="BH407" s="69"/>
      <c r="BI407" s="69"/>
      <c r="BJ407" s="69"/>
      <c r="BK407" s="69"/>
      <c r="BL407" s="69"/>
      <c r="BM407" s="69"/>
      <c r="BN407" s="69"/>
      <c r="BO407" s="69"/>
      <c r="BP407" s="69"/>
      <c r="BQ407" s="69"/>
      <c r="BR407" s="69"/>
      <c r="BS407" s="69"/>
      <c r="BT407" s="69"/>
      <c r="BU407" s="69"/>
      <c r="BV407" s="69"/>
      <c r="BW407" s="69"/>
      <c r="BX407" s="69"/>
      <c r="BY407" s="69"/>
      <c r="BZ407" s="69"/>
      <c r="CA407" s="69"/>
      <c r="CB407" s="69"/>
      <c r="CC407" s="69"/>
      <c r="CD407" s="69"/>
      <c r="CE407" s="94">
        <f t="shared" si="32"/>
        <v>510.03999999999996</v>
      </c>
      <c r="CF407" s="151">
        <f t="shared" si="29"/>
        <v>0</v>
      </c>
      <c r="CG407" s="75">
        <f t="shared" si="27"/>
        <v>4262</v>
      </c>
      <c r="CH407" s="69" t="str">
        <f t="shared" si="27"/>
        <v>برنامج دولى</v>
      </c>
    </row>
    <row r="408" spans="1:86" x14ac:dyDescent="0.25">
      <c r="A408" s="148"/>
      <c r="B408" s="82">
        <v>3337</v>
      </c>
      <c r="C408" s="149">
        <v>4263</v>
      </c>
      <c r="D408" s="69" t="s">
        <v>78</v>
      </c>
      <c r="E408" s="69" t="s">
        <v>3223</v>
      </c>
      <c r="F408" s="63"/>
      <c r="G408" s="69">
        <v>6840</v>
      </c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  <c r="AE408" s="69"/>
      <c r="AF408" s="69"/>
      <c r="AG408" s="69"/>
      <c r="AH408" s="69"/>
      <c r="AI408" s="69"/>
      <c r="AJ408" s="69"/>
      <c r="AK408" s="69"/>
      <c r="AL408" s="69"/>
      <c r="AM408" s="69"/>
      <c r="AN408" s="69"/>
      <c r="AO408" s="69"/>
      <c r="AP408" s="69"/>
      <c r="AQ408" s="69"/>
      <c r="AR408" s="94">
        <f t="shared" si="26"/>
        <v>6840</v>
      </c>
      <c r="AS408" s="69">
        <v>6105.4</v>
      </c>
      <c r="AT408" s="69">
        <v>734.6</v>
      </c>
      <c r="AU408" s="69"/>
      <c r="AV408" s="69"/>
      <c r="AW408" s="69"/>
      <c r="AX408" s="69"/>
      <c r="AY408" s="69"/>
      <c r="AZ408" s="69"/>
      <c r="BA408" s="69"/>
      <c r="BB408" s="69"/>
      <c r="BC408" s="69"/>
      <c r="BD408" s="69"/>
      <c r="BE408" s="69"/>
      <c r="BF408" s="69"/>
      <c r="BG408" s="69"/>
      <c r="BH408" s="69"/>
      <c r="BI408" s="69"/>
      <c r="BJ408" s="69"/>
      <c r="BK408" s="69"/>
      <c r="BL408" s="69"/>
      <c r="BM408" s="69"/>
      <c r="BN408" s="69"/>
      <c r="BO408" s="69"/>
      <c r="BP408" s="69"/>
      <c r="BQ408" s="69"/>
      <c r="BR408" s="69"/>
      <c r="BS408" s="69"/>
      <c r="BT408" s="69"/>
      <c r="BU408" s="69"/>
      <c r="BV408" s="69"/>
      <c r="BW408" s="69"/>
      <c r="BX408" s="69"/>
      <c r="BY408" s="69"/>
      <c r="BZ408" s="69"/>
      <c r="CA408" s="69"/>
      <c r="CB408" s="69"/>
      <c r="CC408" s="69"/>
      <c r="CD408" s="69"/>
      <c r="CE408" s="94">
        <f t="shared" si="32"/>
        <v>6840</v>
      </c>
      <c r="CF408" s="151">
        <f t="shared" si="29"/>
        <v>0</v>
      </c>
      <c r="CG408" s="75">
        <f t="shared" si="27"/>
        <v>4263</v>
      </c>
      <c r="CH408" s="69" t="str">
        <f t="shared" si="27"/>
        <v>برنامج دولى</v>
      </c>
    </row>
    <row r="409" spans="1:86" x14ac:dyDescent="0.25">
      <c r="A409" s="148"/>
      <c r="B409" s="82">
        <v>3485</v>
      </c>
      <c r="C409" s="149">
        <v>4264</v>
      </c>
      <c r="D409" s="69" t="s">
        <v>78</v>
      </c>
      <c r="E409" s="69" t="s">
        <v>565</v>
      </c>
      <c r="F409" s="63"/>
      <c r="G409" s="69">
        <v>5400</v>
      </c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  <c r="AE409" s="69"/>
      <c r="AF409" s="69"/>
      <c r="AG409" s="69"/>
      <c r="AH409" s="69"/>
      <c r="AI409" s="69"/>
      <c r="AJ409" s="69"/>
      <c r="AK409" s="69"/>
      <c r="AL409" s="69"/>
      <c r="AM409" s="69"/>
      <c r="AN409" s="69"/>
      <c r="AO409" s="69"/>
      <c r="AP409" s="69"/>
      <c r="AQ409" s="69"/>
      <c r="AR409" s="94">
        <f t="shared" si="26"/>
        <v>5400</v>
      </c>
      <c r="AS409" s="69">
        <v>4820.2</v>
      </c>
      <c r="AT409" s="69">
        <v>579.79999999999995</v>
      </c>
      <c r="AU409" s="69"/>
      <c r="AV409" s="69"/>
      <c r="AW409" s="69"/>
      <c r="AX409" s="69"/>
      <c r="AY409" s="69"/>
      <c r="AZ409" s="69"/>
      <c r="BA409" s="69"/>
      <c r="BB409" s="69"/>
      <c r="BC409" s="69"/>
      <c r="BD409" s="69"/>
      <c r="BE409" s="69"/>
      <c r="BF409" s="69"/>
      <c r="BG409" s="69"/>
      <c r="BH409" s="69"/>
      <c r="BI409" s="69"/>
      <c r="BJ409" s="69"/>
      <c r="BK409" s="69"/>
      <c r="BL409" s="69"/>
      <c r="BM409" s="69"/>
      <c r="BN409" s="69"/>
      <c r="BO409" s="69"/>
      <c r="BP409" s="69"/>
      <c r="BQ409" s="69"/>
      <c r="BR409" s="69"/>
      <c r="BS409" s="69"/>
      <c r="BT409" s="69"/>
      <c r="BU409" s="69"/>
      <c r="BV409" s="69"/>
      <c r="BW409" s="69"/>
      <c r="BX409" s="69"/>
      <c r="BY409" s="69"/>
      <c r="BZ409" s="69"/>
      <c r="CA409" s="69"/>
      <c r="CB409" s="69"/>
      <c r="CC409" s="69"/>
      <c r="CD409" s="69"/>
      <c r="CE409" s="94">
        <f t="shared" si="32"/>
        <v>5400</v>
      </c>
      <c r="CF409" s="151">
        <f t="shared" si="29"/>
        <v>0</v>
      </c>
      <c r="CG409" s="75">
        <f t="shared" si="27"/>
        <v>4264</v>
      </c>
      <c r="CH409" s="69" t="str">
        <f t="shared" si="27"/>
        <v>برنامج دولى</v>
      </c>
    </row>
    <row r="410" spans="1:86" x14ac:dyDescent="0.25">
      <c r="A410" s="148"/>
      <c r="B410" s="82">
        <v>6121</v>
      </c>
      <c r="C410" s="149">
        <v>4265</v>
      </c>
      <c r="D410" s="69" t="s">
        <v>78</v>
      </c>
      <c r="E410" s="69" t="s">
        <v>3224</v>
      </c>
      <c r="F410" s="63"/>
      <c r="G410" s="69">
        <v>140.69999999999999</v>
      </c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  <c r="AE410" s="69"/>
      <c r="AF410" s="69"/>
      <c r="AG410" s="69"/>
      <c r="AH410" s="69"/>
      <c r="AI410" s="69"/>
      <c r="AJ410" s="69"/>
      <c r="AK410" s="69"/>
      <c r="AL410" s="69"/>
      <c r="AM410" s="69"/>
      <c r="AN410" s="69"/>
      <c r="AO410" s="69"/>
      <c r="AP410" s="69"/>
      <c r="AQ410" s="69"/>
      <c r="AR410" s="94">
        <f t="shared" si="26"/>
        <v>140.69999999999999</v>
      </c>
      <c r="AS410" s="69">
        <v>94.45</v>
      </c>
      <c r="AT410" s="69">
        <f>12+0.35</f>
        <v>12.35</v>
      </c>
      <c r="AU410" s="69">
        <f>46.25-12.35</f>
        <v>33.9</v>
      </c>
      <c r="AV410" s="69"/>
      <c r="AW410" s="69"/>
      <c r="AX410" s="69"/>
      <c r="AY410" s="69"/>
      <c r="AZ410" s="69"/>
      <c r="BA410" s="69"/>
      <c r="BB410" s="69"/>
      <c r="BC410" s="69"/>
      <c r="BD410" s="69"/>
      <c r="BE410" s="69"/>
      <c r="BF410" s="69"/>
      <c r="BG410" s="69"/>
      <c r="BH410" s="69"/>
      <c r="BI410" s="69"/>
      <c r="BJ410" s="69"/>
      <c r="BK410" s="69"/>
      <c r="BL410" s="69"/>
      <c r="BM410" s="69"/>
      <c r="BN410" s="69"/>
      <c r="BO410" s="69"/>
      <c r="BP410" s="69"/>
      <c r="BQ410" s="69"/>
      <c r="BR410" s="69"/>
      <c r="BS410" s="69"/>
      <c r="BT410" s="69"/>
      <c r="BU410" s="69"/>
      <c r="BV410" s="69"/>
      <c r="BW410" s="69"/>
      <c r="BX410" s="69"/>
      <c r="BY410" s="69"/>
      <c r="BZ410" s="69"/>
      <c r="CA410" s="69"/>
      <c r="CB410" s="69"/>
      <c r="CC410" s="69"/>
      <c r="CD410" s="69"/>
      <c r="CE410" s="94">
        <f t="shared" si="32"/>
        <v>140.69999999999999</v>
      </c>
      <c r="CF410" s="151">
        <f t="shared" si="29"/>
        <v>0</v>
      </c>
      <c r="CG410" s="75">
        <f t="shared" si="27"/>
        <v>4265</v>
      </c>
      <c r="CH410" s="69" t="str">
        <f t="shared" si="27"/>
        <v>برنامج دولى</v>
      </c>
    </row>
    <row r="411" spans="1:86" x14ac:dyDescent="0.25">
      <c r="A411" s="148"/>
      <c r="B411" s="82">
        <v>6123</v>
      </c>
      <c r="C411" s="149">
        <v>4266</v>
      </c>
      <c r="D411" s="69" t="s">
        <v>78</v>
      </c>
      <c r="E411" s="69" t="s">
        <v>3224</v>
      </c>
      <c r="F411" s="63"/>
      <c r="G411" s="69">
        <v>4740</v>
      </c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  <c r="AE411" s="69"/>
      <c r="AF411" s="69"/>
      <c r="AG411" s="69"/>
      <c r="AH411" s="69"/>
      <c r="AI411" s="69"/>
      <c r="AJ411" s="69"/>
      <c r="AK411" s="69"/>
      <c r="AL411" s="69"/>
      <c r="AM411" s="69"/>
      <c r="AN411" s="69"/>
      <c r="AO411" s="69"/>
      <c r="AP411" s="69"/>
      <c r="AQ411" s="69"/>
      <c r="AR411" s="94">
        <f t="shared" si="26"/>
        <v>4740</v>
      </c>
      <c r="AS411" s="69">
        <v>4235.8999999999996</v>
      </c>
      <c r="AT411" s="69">
        <v>504.1</v>
      </c>
      <c r="AU411" s="69"/>
      <c r="AV411" s="69"/>
      <c r="AW411" s="69"/>
      <c r="AX411" s="69"/>
      <c r="AY411" s="69"/>
      <c r="AZ411" s="69"/>
      <c r="BA411" s="69"/>
      <c r="BB411" s="69"/>
      <c r="BC411" s="69"/>
      <c r="BD411" s="69"/>
      <c r="BE411" s="69"/>
      <c r="BF411" s="69"/>
      <c r="BG411" s="69"/>
      <c r="BH411" s="69"/>
      <c r="BI411" s="69"/>
      <c r="BJ411" s="69"/>
      <c r="BK411" s="69"/>
      <c r="BL411" s="69"/>
      <c r="BM411" s="69"/>
      <c r="BN411" s="69"/>
      <c r="BO411" s="69"/>
      <c r="BP411" s="69"/>
      <c r="BQ411" s="69"/>
      <c r="BR411" s="69"/>
      <c r="BS411" s="69"/>
      <c r="BT411" s="69"/>
      <c r="BU411" s="69"/>
      <c r="BV411" s="69"/>
      <c r="BW411" s="69"/>
      <c r="BX411" s="69"/>
      <c r="BY411" s="69"/>
      <c r="BZ411" s="69"/>
      <c r="CA411" s="69"/>
      <c r="CB411" s="69"/>
      <c r="CC411" s="69"/>
      <c r="CD411" s="69"/>
      <c r="CE411" s="94">
        <f t="shared" si="32"/>
        <v>4740</v>
      </c>
      <c r="CF411" s="151">
        <f t="shared" si="29"/>
        <v>0</v>
      </c>
      <c r="CG411" s="75">
        <f t="shared" si="27"/>
        <v>4266</v>
      </c>
      <c r="CH411" s="69" t="str">
        <f t="shared" si="27"/>
        <v>برنامج دولى</v>
      </c>
    </row>
    <row r="412" spans="1:86" x14ac:dyDescent="0.25">
      <c r="A412" s="148"/>
      <c r="B412" s="82">
        <v>6122</v>
      </c>
      <c r="C412" s="149">
        <v>4267</v>
      </c>
      <c r="D412" s="69" t="s">
        <v>78</v>
      </c>
      <c r="E412" s="69" t="s">
        <v>3224</v>
      </c>
      <c r="F412" s="63"/>
      <c r="G412" s="69">
        <v>140.69999999999999</v>
      </c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  <c r="AE412" s="69"/>
      <c r="AF412" s="69"/>
      <c r="AG412" s="69"/>
      <c r="AH412" s="69"/>
      <c r="AI412" s="69"/>
      <c r="AJ412" s="69"/>
      <c r="AK412" s="69"/>
      <c r="AL412" s="69"/>
      <c r="AM412" s="69"/>
      <c r="AN412" s="69"/>
      <c r="AO412" s="69"/>
      <c r="AP412" s="69"/>
      <c r="AQ412" s="69"/>
      <c r="AR412" s="94">
        <f t="shared" si="26"/>
        <v>140.69999999999999</v>
      </c>
      <c r="AS412" s="69">
        <v>94.45</v>
      </c>
      <c r="AT412" s="69">
        <v>12.35</v>
      </c>
      <c r="AU412" s="69">
        <v>33.9</v>
      </c>
      <c r="AV412" s="69"/>
      <c r="AW412" s="69"/>
      <c r="AX412" s="69"/>
      <c r="AY412" s="69"/>
      <c r="AZ412" s="69"/>
      <c r="BA412" s="69"/>
      <c r="BB412" s="69"/>
      <c r="BC412" s="69"/>
      <c r="BD412" s="69"/>
      <c r="BE412" s="69"/>
      <c r="BF412" s="69"/>
      <c r="BG412" s="69"/>
      <c r="BH412" s="69"/>
      <c r="BI412" s="69"/>
      <c r="BJ412" s="69"/>
      <c r="BK412" s="69"/>
      <c r="BL412" s="69"/>
      <c r="BM412" s="69"/>
      <c r="BN412" s="69"/>
      <c r="BO412" s="69"/>
      <c r="BP412" s="69"/>
      <c r="BQ412" s="69"/>
      <c r="BR412" s="69"/>
      <c r="BS412" s="69"/>
      <c r="BT412" s="69"/>
      <c r="BU412" s="69"/>
      <c r="BV412" s="69"/>
      <c r="BW412" s="69"/>
      <c r="BX412" s="69"/>
      <c r="BY412" s="69"/>
      <c r="BZ412" s="69"/>
      <c r="CA412" s="69"/>
      <c r="CB412" s="69"/>
      <c r="CC412" s="69"/>
      <c r="CD412" s="69"/>
      <c r="CE412" s="94">
        <f t="shared" si="32"/>
        <v>140.69999999999999</v>
      </c>
      <c r="CF412" s="151">
        <f t="shared" si="29"/>
        <v>0</v>
      </c>
      <c r="CG412" s="75">
        <f t="shared" si="27"/>
        <v>4267</v>
      </c>
      <c r="CH412" s="69" t="str">
        <f t="shared" si="27"/>
        <v>برنامج دولى</v>
      </c>
    </row>
    <row r="413" spans="1:86" x14ac:dyDescent="0.25">
      <c r="A413" s="148"/>
      <c r="B413" s="82">
        <v>5785</v>
      </c>
      <c r="C413" s="149">
        <v>4268</v>
      </c>
      <c r="D413" s="69" t="s">
        <v>78</v>
      </c>
      <c r="E413" s="69" t="s">
        <v>3225</v>
      </c>
      <c r="F413" s="63"/>
      <c r="G413" s="69">
        <v>2160</v>
      </c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  <c r="AE413" s="69"/>
      <c r="AF413" s="69"/>
      <c r="AG413" s="69"/>
      <c r="AH413" s="69"/>
      <c r="AI413" s="69"/>
      <c r="AJ413" s="69"/>
      <c r="AK413" s="69"/>
      <c r="AL413" s="69"/>
      <c r="AM413" s="69"/>
      <c r="AN413" s="69"/>
      <c r="AO413" s="69"/>
      <c r="AP413" s="69"/>
      <c r="AQ413" s="69"/>
      <c r="AR413" s="94">
        <f t="shared" si="26"/>
        <v>2160</v>
      </c>
      <c r="AS413" s="69">
        <v>1928.95</v>
      </c>
      <c r="AT413" s="69">
        <v>231.05</v>
      </c>
      <c r="AU413" s="69"/>
      <c r="AV413" s="69"/>
      <c r="AW413" s="69"/>
      <c r="AX413" s="69"/>
      <c r="AY413" s="69"/>
      <c r="AZ413" s="69"/>
      <c r="BA413" s="69"/>
      <c r="BB413" s="69"/>
      <c r="BC413" s="69"/>
      <c r="BD413" s="69"/>
      <c r="BE413" s="69"/>
      <c r="BF413" s="69"/>
      <c r="BG413" s="69"/>
      <c r="BH413" s="69"/>
      <c r="BI413" s="69"/>
      <c r="BJ413" s="69"/>
      <c r="BK413" s="69"/>
      <c r="BL413" s="69"/>
      <c r="BM413" s="69"/>
      <c r="BN413" s="69"/>
      <c r="BO413" s="69"/>
      <c r="BP413" s="69"/>
      <c r="BQ413" s="69"/>
      <c r="BR413" s="69"/>
      <c r="BS413" s="69"/>
      <c r="BT413" s="69"/>
      <c r="BU413" s="69"/>
      <c r="BV413" s="69"/>
      <c r="BW413" s="69"/>
      <c r="BX413" s="69"/>
      <c r="BY413" s="69"/>
      <c r="BZ413" s="69"/>
      <c r="CA413" s="69"/>
      <c r="CB413" s="69"/>
      <c r="CC413" s="69"/>
      <c r="CD413" s="69"/>
      <c r="CE413" s="94">
        <f t="shared" si="32"/>
        <v>2160</v>
      </c>
      <c r="CF413" s="151">
        <f t="shared" ref="CF413:CF476" si="33">+CE413-AR413</f>
        <v>0</v>
      </c>
      <c r="CG413" s="75">
        <f t="shared" si="27"/>
        <v>4268</v>
      </c>
      <c r="CH413" s="69" t="str">
        <f t="shared" si="27"/>
        <v>برنامج دولى</v>
      </c>
    </row>
    <row r="414" spans="1:86" x14ac:dyDescent="0.25">
      <c r="A414" s="148"/>
      <c r="B414" s="82">
        <v>5786</v>
      </c>
      <c r="C414" s="149">
        <v>4269</v>
      </c>
      <c r="D414" s="69" t="s">
        <v>78</v>
      </c>
      <c r="E414" s="69" t="s">
        <v>3225</v>
      </c>
      <c r="F414" s="63"/>
      <c r="G414" s="69">
        <v>960</v>
      </c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  <c r="AE414" s="69"/>
      <c r="AF414" s="69"/>
      <c r="AG414" s="69"/>
      <c r="AH414" s="69"/>
      <c r="AI414" s="69"/>
      <c r="AJ414" s="69"/>
      <c r="AK414" s="69"/>
      <c r="AL414" s="69"/>
      <c r="AM414" s="69"/>
      <c r="AN414" s="69"/>
      <c r="AO414" s="69"/>
      <c r="AP414" s="69"/>
      <c r="AQ414" s="69"/>
      <c r="AR414" s="94">
        <f t="shared" si="26"/>
        <v>960</v>
      </c>
      <c r="AS414" s="69">
        <v>857.6</v>
      </c>
      <c r="AT414" s="69">
        <v>102.4</v>
      </c>
      <c r="AU414" s="69"/>
      <c r="AV414" s="69"/>
      <c r="AW414" s="69"/>
      <c r="AX414" s="69"/>
      <c r="AY414" s="69"/>
      <c r="AZ414" s="69"/>
      <c r="BA414" s="69"/>
      <c r="BB414" s="69"/>
      <c r="BC414" s="69"/>
      <c r="BD414" s="69"/>
      <c r="BE414" s="69"/>
      <c r="BF414" s="69"/>
      <c r="BG414" s="69"/>
      <c r="BH414" s="69"/>
      <c r="BI414" s="69"/>
      <c r="BJ414" s="69"/>
      <c r="BK414" s="69"/>
      <c r="BL414" s="69"/>
      <c r="BM414" s="69"/>
      <c r="BN414" s="69"/>
      <c r="BO414" s="69"/>
      <c r="BP414" s="69"/>
      <c r="BQ414" s="69"/>
      <c r="BR414" s="69"/>
      <c r="BS414" s="69"/>
      <c r="BT414" s="69"/>
      <c r="BU414" s="69"/>
      <c r="BV414" s="69"/>
      <c r="BW414" s="69"/>
      <c r="BX414" s="69"/>
      <c r="BY414" s="69"/>
      <c r="BZ414" s="69"/>
      <c r="CA414" s="69"/>
      <c r="CB414" s="69"/>
      <c r="CC414" s="69"/>
      <c r="CD414" s="69"/>
      <c r="CE414" s="94">
        <f t="shared" si="32"/>
        <v>960</v>
      </c>
      <c r="CF414" s="151">
        <f t="shared" si="33"/>
        <v>0</v>
      </c>
      <c r="CG414" s="75">
        <f t="shared" si="27"/>
        <v>4269</v>
      </c>
      <c r="CH414" s="69" t="str">
        <f t="shared" si="27"/>
        <v>برنامج دولى</v>
      </c>
    </row>
    <row r="415" spans="1:86" x14ac:dyDescent="0.25">
      <c r="A415" s="148"/>
      <c r="B415" s="82">
        <v>4499</v>
      </c>
      <c r="C415" s="149">
        <v>4270</v>
      </c>
      <c r="D415" s="69" t="s">
        <v>78</v>
      </c>
      <c r="E415" s="69" t="s">
        <v>1004</v>
      </c>
      <c r="F415" s="63"/>
      <c r="G415" s="69">
        <v>457.28</v>
      </c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  <c r="AE415" s="69"/>
      <c r="AF415" s="69"/>
      <c r="AG415" s="69"/>
      <c r="AH415" s="69"/>
      <c r="AI415" s="69"/>
      <c r="AJ415" s="69"/>
      <c r="AK415" s="69"/>
      <c r="AL415" s="69"/>
      <c r="AM415" s="69"/>
      <c r="AN415" s="69"/>
      <c r="AO415" s="69"/>
      <c r="AP415" s="69"/>
      <c r="AQ415" s="69"/>
      <c r="AR415" s="94">
        <f t="shared" si="26"/>
        <v>457.28</v>
      </c>
      <c r="AS415" s="69">
        <v>306.14999999999998</v>
      </c>
      <c r="AT415" s="69">
        <f>1.95+39</f>
        <v>40.950000000000003</v>
      </c>
      <c r="AU415" s="69">
        <f>151.13-40.95</f>
        <v>110.17999999999999</v>
      </c>
      <c r="AV415" s="69"/>
      <c r="AW415" s="69"/>
      <c r="AX415" s="69"/>
      <c r="AY415" s="69"/>
      <c r="AZ415" s="69"/>
      <c r="BA415" s="69"/>
      <c r="BB415" s="69"/>
      <c r="BC415" s="69"/>
      <c r="BD415" s="69"/>
      <c r="BE415" s="69"/>
      <c r="BF415" s="69"/>
      <c r="BG415" s="69"/>
      <c r="BH415" s="69"/>
      <c r="BI415" s="69"/>
      <c r="BJ415" s="69"/>
      <c r="BK415" s="69"/>
      <c r="BL415" s="69"/>
      <c r="BM415" s="69"/>
      <c r="BN415" s="69"/>
      <c r="BO415" s="69"/>
      <c r="BP415" s="69"/>
      <c r="BQ415" s="69"/>
      <c r="BR415" s="69"/>
      <c r="BS415" s="69"/>
      <c r="BT415" s="69"/>
      <c r="BU415" s="69"/>
      <c r="BV415" s="69"/>
      <c r="BW415" s="69"/>
      <c r="BX415" s="69"/>
      <c r="BY415" s="69"/>
      <c r="BZ415" s="69"/>
      <c r="CA415" s="69"/>
      <c r="CB415" s="69"/>
      <c r="CC415" s="69"/>
      <c r="CD415" s="69"/>
      <c r="CE415" s="94">
        <f t="shared" si="32"/>
        <v>457.28</v>
      </c>
      <c r="CF415" s="151">
        <f t="shared" si="33"/>
        <v>0</v>
      </c>
      <c r="CG415" s="75">
        <f t="shared" si="27"/>
        <v>4270</v>
      </c>
      <c r="CH415" s="69" t="str">
        <f t="shared" si="27"/>
        <v>برنامج دولى</v>
      </c>
    </row>
    <row r="416" spans="1:86" x14ac:dyDescent="0.25">
      <c r="A416" s="148"/>
      <c r="B416" s="82">
        <v>4501</v>
      </c>
      <c r="C416" s="149">
        <v>4271</v>
      </c>
      <c r="D416" s="69" t="s">
        <v>78</v>
      </c>
      <c r="E416" s="69" t="s">
        <v>1004</v>
      </c>
      <c r="F416" s="63"/>
      <c r="G416" s="69">
        <v>914.55</v>
      </c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  <c r="AE416" s="69"/>
      <c r="AF416" s="69"/>
      <c r="AG416" s="69"/>
      <c r="AH416" s="69"/>
      <c r="AI416" s="69"/>
      <c r="AJ416" s="69"/>
      <c r="AK416" s="69"/>
      <c r="AL416" s="69"/>
      <c r="AM416" s="69"/>
      <c r="AN416" s="69"/>
      <c r="AO416" s="69"/>
      <c r="AP416" s="69"/>
      <c r="AQ416" s="69"/>
      <c r="AR416" s="94">
        <f t="shared" si="26"/>
        <v>914.55</v>
      </c>
      <c r="AS416" s="69">
        <v>611.65</v>
      </c>
      <c r="AT416" s="69">
        <v>82.55</v>
      </c>
      <c r="AU416" s="69">
        <v>220.35</v>
      </c>
      <c r="AV416" s="69"/>
      <c r="AW416" s="69"/>
      <c r="AX416" s="69"/>
      <c r="AY416" s="69"/>
      <c r="AZ416" s="69"/>
      <c r="BA416" s="69"/>
      <c r="BB416" s="69"/>
      <c r="BC416" s="69"/>
      <c r="BD416" s="69"/>
      <c r="BE416" s="69"/>
      <c r="BF416" s="69"/>
      <c r="BG416" s="69"/>
      <c r="BH416" s="69"/>
      <c r="BI416" s="69"/>
      <c r="BJ416" s="69"/>
      <c r="BK416" s="69"/>
      <c r="BL416" s="69"/>
      <c r="BM416" s="69"/>
      <c r="BN416" s="69"/>
      <c r="BO416" s="69"/>
      <c r="BP416" s="69"/>
      <c r="BQ416" s="69"/>
      <c r="BR416" s="69"/>
      <c r="BS416" s="69"/>
      <c r="BT416" s="69"/>
      <c r="BU416" s="69"/>
      <c r="BV416" s="69"/>
      <c r="BW416" s="69"/>
      <c r="BX416" s="69"/>
      <c r="BY416" s="69"/>
      <c r="BZ416" s="69"/>
      <c r="CA416" s="69"/>
      <c r="CB416" s="69"/>
      <c r="CC416" s="69"/>
      <c r="CD416" s="69"/>
      <c r="CE416" s="94">
        <f t="shared" si="32"/>
        <v>914.55</v>
      </c>
      <c r="CF416" s="151">
        <f t="shared" si="33"/>
        <v>0</v>
      </c>
      <c r="CG416" s="75">
        <f t="shared" si="27"/>
        <v>4271</v>
      </c>
      <c r="CH416" s="69" t="str">
        <f t="shared" si="27"/>
        <v>برنامج دولى</v>
      </c>
    </row>
    <row r="417" spans="1:86" x14ac:dyDescent="0.25">
      <c r="A417" s="148"/>
      <c r="B417" s="82">
        <v>4502</v>
      </c>
      <c r="C417" s="149">
        <v>4272</v>
      </c>
      <c r="D417" s="69" t="s">
        <v>78</v>
      </c>
      <c r="E417" s="69" t="s">
        <v>1004</v>
      </c>
      <c r="F417" s="63"/>
      <c r="G417" s="69">
        <v>7500</v>
      </c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  <c r="AE417" s="69"/>
      <c r="AF417" s="69"/>
      <c r="AG417" s="69"/>
      <c r="AH417" s="69"/>
      <c r="AI417" s="69"/>
      <c r="AJ417" s="69"/>
      <c r="AK417" s="69"/>
      <c r="AL417" s="69"/>
      <c r="AM417" s="69"/>
      <c r="AN417" s="69"/>
      <c r="AO417" s="69"/>
      <c r="AP417" s="69"/>
      <c r="AQ417" s="69"/>
      <c r="AR417" s="94">
        <f t="shared" si="26"/>
        <v>7500</v>
      </c>
      <c r="AS417" s="69">
        <v>6691.8</v>
      </c>
      <c r="AT417" s="69">
        <v>808.2</v>
      </c>
      <c r="AU417" s="69"/>
      <c r="AV417" s="69"/>
      <c r="AW417" s="69"/>
      <c r="AX417" s="69"/>
      <c r="AY417" s="69"/>
      <c r="AZ417" s="69"/>
      <c r="BA417" s="69"/>
      <c r="BB417" s="69"/>
      <c r="BC417" s="69"/>
      <c r="BD417" s="69"/>
      <c r="BE417" s="69"/>
      <c r="BF417" s="69"/>
      <c r="BG417" s="69"/>
      <c r="BH417" s="69"/>
      <c r="BI417" s="69"/>
      <c r="BJ417" s="69"/>
      <c r="BK417" s="69"/>
      <c r="BL417" s="69"/>
      <c r="BM417" s="69"/>
      <c r="BN417" s="69"/>
      <c r="BO417" s="69"/>
      <c r="BP417" s="69"/>
      <c r="BQ417" s="69"/>
      <c r="BR417" s="69"/>
      <c r="BS417" s="69"/>
      <c r="BT417" s="69"/>
      <c r="BU417" s="69"/>
      <c r="BV417" s="69"/>
      <c r="BW417" s="69"/>
      <c r="BX417" s="69"/>
      <c r="BY417" s="69"/>
      <c r="BZ417" s="69"/>
      <c r="CA417" s="69"/>
      <c r="CB417" s="69"/>
      <c r="CC417" s="69"/>
      <c r="CD417" s="69"/>
      <c r="CE417" s="94">
        <f t="shared" si="32"/>
        <v>7500</v>
      </c>
      <c r="CF417" s="151">
        <f t="shared" si="33"/>
        <v>0</v>
      </c>
      <c r="CG417" s="75">
        <f t="shared" si="27"/>
        <v>4272</v>
      </c>
      <c r="CH417" s="69" t="str">
        <f t="shared" si="27"/>
        <v>برنامج دولى</v>
      </c>
    </row>
    <row r="418" spans="1:86" x14ac:dyDescent="0.25">
      <c r="A418" s="148"/>
      <c r="B418" s="82">
        <v>4500</v>
      </c>
      <c r="C418" s="149">
        <v>4273</v>
      </c>
      <c r="D418" s="69" t="s">
        <v>78</v>
      </c>
      <c r="E418" s="69" t="s">
        <v>1004</v>
      </c>
      <c r="F418" s="63"/>
      <c r="G418" s="69">
        <v>457.28</v>
      </c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  <c r="AE418" s="69"/>
      <c r="AF418" s="69"/>
      <c r="AG418" s="69"/>
      <c r="AH418" s="69"/>
      <c r="AI418" s="69"/>
      <c r="AJ418" s="69"/>
      <c r="AK418" s="69"/>
      <c r="AL418" s="69"/>
      <c r="AM418" s="69"/>
      <c r="AN418" s="69"/>
      <c r="AO418" s="69"/>
      <c r="AP418" s="69"/>
      <c r="AQ418" s="69"/>
      <c r="AR418" s="94">
        <f t="shared" si="26"/>
        <v>457.28</v>
      </c>
      <c r="AS418" s="69">
        <v>306.14999999999998</v>
      </c>
      <c r="AT418" s="69">
        <v>40.950000000000003</v>
      </c>
      <c r="AU418" s="69">
        <v>110.18</v>
      </c>
      <c r="AV418" s="69"/>
      <c r="AW418" s="69"/>
      <c r="AX418" s="69"/>
      <c r="AY418" s="69"/>
      <c r="AZ418" s="69"/>
      <c r="BA418" s="69"/>
      <c r="BB418" s="69"/>
      <c r="BC418" s="69"/>
      <c r="BD418" s="69"/>
      <c r="BE418" s="69"/>
      <c r="BF418" s="69"/>
      <c r="BG418" s="69"/>
      <c r="BH418" s="69"/>
      <c r="BI418" s="69"/>
      <c r="BJ418" s="69"/>
      <c r="BK418" s="69"/>
      <c r="BL418" s="69"/>
      <c r="BM418" s="69"/>
      <c r="BN418" s="69"/>
      <c r="BO418" s="69"/>
      <c r="BP418" s="69"/>
      <c r="BQ418" s="69"/>
      <c r="BR418" s="69"/>
      <c r="BS418" s="69"/>
      <c r="BT418" s="69"/>
      <c r="BU418" s="69"/>
      <c r="BV418" s="69"/>
      <c r="BW418" s="69"/>
      <c r="BX418" s="69"/>
      <c r="BY418" s="69"/>
      <c r="BZ418" s="69"/>
      <c r="CA418" s="69"/>
      <c r="CB418" s="69"/>
      <c r="CC418" s="69"/>
      <c r="CD418" s="69"/>
      <c r="CE418" s="94">
        <f t="shared" si="32"/>
        <v>457.28</v>
      </c>
      <c r="CF418" s="151">
        <f t="shared" si="33"/>
        <v>0</v>
      </c>
      <c r="CG418" s="75">
        <f t="shared" si="27"/>
        <v>4273</v>
      </c>
      <c r="CH418" s="69" t="str">
        <f t="shared" si="27"/>
        <v>برنامج دولى</v>
      </c>
    </row>
    <row r="419" spans="1:86" x14ac:dyDescent="0.25">
      <c r="A419" s="148"/>
      <c r="B419" s="82">
        <v>6113</v>
      </c>
      <c r="C419" s="149">
        <v>4274</v>
      </c>
      <c r="D419" s="69" t="s">
        <v>78</v>
      </c>
      <c r="E419" s="69" t="s">
        <v>3226</v>
      </c>
      <c r="F419" s="63"/>
      <c r="G419" s="69">
        <v>11303.55</v>
      </c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  <c r="AE419" s="69"/>
      <c r="AF419" s="69"/>
      <c r="AG419" s="69"/>
      <c r="AH419" s="69"/>
      <c r="AI419" s="69"/>
      <c r="AJ419" s="69"/>
      <c r="AK419" s="69"/>
      <c r="AL419" s="69"/>
      <c r="AM419" s="69"/>
      <c r="AN419" s="69"/>
      <c r="AO419" s="69"/>
      <c r="AP419" s="69"/>
      <c r="AQ419" s="69"/>
      <c r="AR419" s="94">
        <f t="shared" si="26"/>
        <v>11303.55</v>
      </c>
      <c r="AS419" s="69">
        <v>9479.2000000000007</v>
      </c>
      <c r="AT419" s="69">
        <v>1172.3</v>
      </c>
      <c r="AU419" s="69">
        <v>652.04999999999995</v>
      </c>
      <c r="AV419" s="69"/>
      <c r="AW419" s="69"/>
      <c r="AX419" s="69"/>
      <c r="AY419" s="69"/>
      <c r="AZ419" s="69"/>
      <c r="BA419" s="69"/>
      <c r="BB419" s="69"/>
      <c r="BC419" s="69"/>
      <c r="BD419" s="69"/>
      <c r="BE419" s="69"/>
      <c r="BF419" s="69"/>
      <c r="BG419" s="69"/>
      <c r="BH419" s="69"/>
      <c r="BI419" s="69"/>
      <c r="BJ419" s="69"/>
      <c r="BK419" s="69"/>
      <c r="BL419" s="69"/>
      <c r="BM419" s="69"/>
      <c r="BN419" s="69"/>
      <c r="BO419" s="69"/>
      <c r="BP419" s="69"/>
      <c r="BQ419" s="69"/>
      <c r="BR419" s="69"/>
      <c r="BS419" s="69"/>
      <c r="BT419" s="69"/>
      <c r="BU419" s="69"/>
      <c r="BV419" s="69"/>
      <c r="BW419" s="69"/>
      <c r="BX419" s="69"/>
      <c r="BY419" s="69"/>
      <c r="BZ419" s="69"/>
      <c r="CA419" s="69"/>
      <c r="CB419" s="69"/>
      <c r="CC419" s="69"/>
      <c r="CD419" s="69"/>
      <c r="CE419" s="94">
        <f t="shared" si="32"/>
        <v>11303.55</v>
      </c>
      <c r="CF419" s="151">
        <f t="shared" si="33"/>
        <v>0</v>
      </c>
      <c r="CG419" s="75">
        <f t="shared" si="27"/>
        <v>4274</v>
      </c>
      <c r="CH419" s="69" t="str">
        <f t="shared" si="27"/>
        <v>برنامج دولى</v>
      </c>
    </row>
    <row r="420" spans="1:86" x14ac:dyDescent="0.25">
      <c r="A420" s="148"/>
      <c r="B420" s="82">
        <v>6114</v>
      </c>
      <c r="C420" s="149">
        <v>4275</v>
      </c>
      <c r="D420" s="69" t="s">
        <v>78</v>
      </c>
      <c r="E420" s="69" t="s">
        <v>3226</v>
      </c>
      <c r="F420" s="63"/>
      <c r="G420" s="69">
        <v>4017.36</v>
      </c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  <c r="AE420" s="69"/>
      <c r="AF420" s="69"/>
      <c r="AG420" s="69"/>
      <c r="AH420" s="69"/>
      <c r="AI420" s="69"/>
      <c r="AJ420" s="69"/>
      <c r="AK420" s="69"/>
      <c r="AL420" s="69"/>
      <c r="AM420" s="69"/>
      <c r="AN420" s="69"/>
      <c r="AO420" s="69"/>
      <c r="AP420" s="69"/>
      <c r="AQ420" s="69"/>
      <c r="AR420" s="94">
        <f t="shared" si="26"/>
        <v>4017.36</v>
      </c>
      <c r="AS420" s="69">
        <v>2950.21</v>
      </c>
      <c r="AT420" s="69">
        <v>383.65</v>
      </c>
      <c r="AU420" s="69">
        <v>683.5</v>
      </c>
      <c r="AV420" s="69"/>
      <c r="AW420" s="69"/>
      <c r="AX420" s="69"/>
      <c r="AY420" s="69"/>
      <c r="AZ420" s="69"/>
      <c r="BA420" s="69"/>
      <c r="BB420" s="69"/>
      <c r="BC420" s="69"/>
      <c r="BD420" s="69"/>
      <c r="BE420" s="69"/>
      <c r="BF420" s="69"/>
      <c r="BG420" s="69"/>
      <c r="BH420" s="69"/>
      <c r="BI420" s="69"/>
      <c r="BJ420" s="69"/>
      <c r="BK420" s="69"/>
      <c r="BL420" s="69"/>
      <c r="BM420" s="69"/>
      <c r="BN420" s="69"/>
      <c r="BO420" s="69"/>
      <c r="BP420" s="69"/>
      <c r="BQ420" s="69"/>
      <c r="BR420" s="69"/>
      <c r="BS420" s="69"/>
      <c r="BT420" s="69"/>
      <c r="BU420" s="69"/>
      <c r="BV420" s="69"/>
      <c r="BW420" s="69"/>
      <c r="BX420" s="69"/>
      <c r="BY420" s="69"/>
      <c r="BZ420" s="69"/>
      <c r="CA420" s="69"/>
      <c r="CB420" s="69"/>
      <c r="CC420" s="69"/>
      <c r="CD420" s="69"/>
      <c r="CE420" s="94">
        <f t="shared" si="32"/>
        <v>4017.36</v>
      </c>
      <c r="CF420" s="151">
        <f t="shared" si="33"/>
        <v>0</v>
      </c>
      <c r="CG420" s="75">
        <f t="shared" si="27"/>
        <v>4275</v>
      </c>
      <c r="CH420" s="69" t="str">
        <f t="shared" si="27"/>
        <v>برنامج دولى</v>
      </c>
    </row>
    <row r="421" spans="1:86" x14ac:dyDescent="0.25">
      <c r="A421" s="148"/>
      <c r="B421" s="82">
        <v>5537</v>
      </c>
      <c r="C421" s="149">
        <v>4276</v>
      </c>
      <c r="D421" s="69" t="s">
        <v>78</v>
      </c>
      <c r="E421" s="69" t="str">
        <f>+E407</f>
        <v>عب تدريس جلديه</v>
      </c>
      <c r="F421" s="63"/>
      <c r="G421" s="69">
        <v>441.75</v>
      </c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  <c r="AE421" s="69"/>
      <c r="AF421" s="69"/>
      <c r="AG421" s="69"/>
      <c r="AH421" s="69"/>
      <c r="AI421" s="69"/>
      <c r="AJ421" s="69"/>
      <c r="AK421" s="69"/>
      <c r="AL421" s="69"/>
      <c r="AM421" s="69"/>
      <c r="AN421" s="69"/>
      <c r="AO421" s="69"/>
      <c r="AP421" s="69"/>
      <c r="AQ421" s="69"/>
      <c r="AR421" s="94">
        <f t="shared" si="26"/>
        <v>441.75</v>
      </c>
      <c r="AS421" s="69">
        <v>316.45</v>
      </c>
      <c r="AT421" s="69">
        <f>1.55+39</f>
        <v>40.549999999999997</v>
      </c>
      <c r="AU421" s="69">
        <f>125.3-AT421</f>
        <v>84.75</v>
      </c>
      <c r="AV421" s="69"/>
      <c r="AW421" s="69"/>
      <c r="AX421" s="69"/>
      <c r="AY421" s="69"/>
      <c r="AZ421" s="69"/>
      <c r="BA421" s="69"/>
      <c r="BB421" s="69"/>
      <c r="BC421" s="69"/>
      <c r="BD421" s="69"/>
      <c r="BE421" s="69"/>
      <c r="BF421" s="69"/>
      <c r="BG421" s="69"/>
      <c r="BH421" s="69"/>
      <c r="BI421" s="69"/>
      <c r="BJ421" s="69"/>
      <c r="BK421" s="69"/>
      <c r="BL421" s="69"/>
      <c r="BM421" s="69"/>
      <c r="BN421" s="69"/>
      <c r="BO421" s="69"/>
      <c r="BP421" s="69"/>
      <c r="BQ421" s="69"/>
      <c r="BR421" s="69"/>
      <c r="BS421" s="69"/>
      <c r="BT421" s="69"/>
      <c r="BU421" s="69"/>
      <c r="BV421" s="69"/>
      <c r="BW421" s="69"/>
      <c r="BX421" s="69"/>
      <c r="BY421" s="69"/>
      <c r="BZ421" s="69"/>
      <c r="CA421" s="69"/>
      <c r="CB421" s="69"/>
      <c r="CC421" s="69"/>
      <c r="CD421" s="69"/>
      <c r="CE421" s="94">
        <f t="shared" si="32"/>
        <v>441.75</v>
      </c>
      <c r="CF421" s="151">
        <f t="shared" si="33"/>
        <v>0</v>
      </c>
      <c r="CG421" s="75">
        <f t="shared" si="27"/>
        <v>4276</v>
      </c>
      <c r="CH421" s="69" t="str">
        <f t="shared" si="27"/>
        <v>برنامج دولى</v>
      </c>
    </row>
    <row r="422" spans="1:86" x14ac:dyDescent="0.25">
      <c r="A422" s="148"/>
      <c r="B422" s="82">
        <v>5505</v>
      </c>
      <c r="C422" s="149">
        <v>4277</v>
      </c>
      <c r="D422" s="69" t="s">
        <v>78</v>
      </c>
      <c r="E422" s="69" t="str">
        <f>+E421</f>
        <v>عب تدريس جلديه</v>
      </c>
      <c r="F422" s="63"/>
      <c r="G422" s="69">
        <v>385.88</v>
      </c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  <c r="AE422" s="69"/>
      <c r="AF422" s="69"/>
      <c r="AG422" s="69"/>
      <c r="AH422" s="69"/>
      <c r="AI422" s="69"/>
      <c r="AJ422" s="69"/>
      <c r="AK422" s="69"/>
      <c r="AL422" s="69"/>
      <c r="AM422" s="69"/>
      <c r="AN422" s="69"/>
      <c r="AO422" s="69"/>
      <c r="AP422" s="69"/>
      <c r="AQ422" s="69"/>
      <c r="AR422" s="94">
        <f t="shared" si="26"/>
        <v>385.88</v>
      </c>
      <c r="AS422" s="69">
        <v>306</v>
      </c>
      <c r="AT422" s="69">
        <v>37.5</v>
      </c>
      <c r="AU422" s="69">
        <v>42.38</v>
      </c>
      <c r="AV422" s="69"/>
      <c r="AW422" s="69"/>
      <c r="AX422" s="69"/>
      <c r="AY422" s="69"/>
      <c r="AZ422" s="69"/>
      <c r="BA422" s="69"/>
      <c r="BB422" s="69"/>
      <c r="BC422" s="69"/>
      <c r="BD422" s="69"/>
      <c r="BE422" s="69"/>
      <c r="BF422" s="69"/>
      <c r="BG422" s="69"/>
      <c r="BH422" s="69"/>
      <c r="BI422" s="69"/>
      <c r="BJ422" s="69"/>
      <c r="BK422" s="69"/>
      <c r="BL422" s="69"/>
      <c r="BM422" s="69"/>
      <c r="BN422" s="69"/>
      <c r="BO422" s="69"/>
      <c r="BP422" s="69"/>
      <c r="BQ422" s="69"/>
      <c r="BR422" s="69"/>
      <c r="BS422" s="69"/>
      <c r="BT422" s="69"/>
      <c r="BU422" s="69"/>
      <c r="BV422" s="69"/>
      <c r="BW422" s="69"/>
      <c r="BX422" s="69"/>
      <c r="BY422" s="69"/>
      <c r="BZ422" s="69"/>
      <c r="CA422" s="69"/>
      <c r="CB422" s="69"/>
      <c r="CC422" s="69"/>
      <c r="CD422" s="69"/>
      <c r="CE422" s="94">
        <f t="shared" si="32"/>
        <v>385.88</v>
      </c>
      <c r="CF422" s="151">
        <f t="shared" si="33"/>
        <v>0</v>
      </c>
      <c r="CG422" s="75">
        <f t="shared" si="27"/>
        <v>4277</v>
      </c>
      <c r="CH422" s="69" t="str">
        <f t="shared" si="27"/>
        <v>برنامج دولى</v>
      </c>
    </row>
    <row r="423" spans="1:86" x14ac:dyDescent="0.25">
      <c r="A423" s="148"/>
      <c r="B423" s="82">
        <v>5506</v>
      </c>
      <c r="C423" s="149">
        <v>4278</v>
      </c>
      <c r="D423" s="69" t="s">
        <v>78</v>
      </c>
      <c r="E423" s="69" t="str">
        <f>+E422</f>
        <v>عب تدريس جلديه</v>
      </c>
      <c r="F423" s="63"/>
      <c r="G423" s="69">
        <v>70.349999999999994</v>
      </c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  <c r="AE423" s="69"/>
      <c r="AF423" s="69"/>
      <c r="AG423" s="69"/>
      <c r="AH423" s="69"/>
      <c r="AI423" s="69"/>
      <c r="AJ423" s="69"/>
      <c r="AK423" s="69"/>
      <c r="AL423" s="69"/>
      <c r="AM423" s="69"/>
      <c r="AN423" s="69"/>
      <c r="AO423" s="69"/>
      <c r="AP423" s="69"/>
      <c r="AQ423" s="69"/>
      <c r="AR423" s="94">
        <f t="shared" si="26"/>
        <v>70.349999999999994</v>
      </c>
      <c r="AS423" s="69">
        <v>47.35</v>
      </c>
      <c r="AT423" s="69">
        <v>6.05</v>
      </c>
      <c r="AU423" s="69">
        <v>16.95</v>
      </c>
      <c r="AV423" s="69"/>
      <c r="AW423" s="69"/>
      <c r="AX423" s="69"/>
      <c r="AY423" s="69"/>
      <c r="AZ423" s="69"/>
      <c r="BA423" s="69"/>
      <c r="BB423" s="69"/>
      <c r="BC423" s="69"/>
      <c r="BD423" s="69"/>
      <c r="BE423" s="69"/>
      <c r="BF423" s="69"/>
      <c r="BG423" s="69"/>
      <c r="BH423" s="69"/>
      <c r="BI423" s="69"/>
      <c r="BJ423" s="69"/>
      <c r="BK423" s="69"/>
      <c r="BL423" s="69"/>
      <c r="BM423" s="69"/>
      <c r="BN423" s="69"/>
      <c r="BO423" s="69"/>
      <c r="BP423" s="69"/>
      <c r="BQ423" s="69"/>
      <c r="BR423" s="69"/>
      <c r="BS423" s="69"/>
      <c r="BT423" s="69"/>
      <c r="BU423" s="69"/>
      <c r="BV423" s="69"/>
      <c r="BW423" s="69"/>
      <c r="BX423" s="69"/>
      <c r="BY423" s="69"/>
      <c r="BZ423" s="69"/>
      <c r="CA423" s="69"/>
      <c r="CB423" s="69"/>
      <c r="CC423" s="69"/>
      <c r="CD423" s="69"/>
      <c r="CE423" s="94">
        <f t="shared" si="32"/>
        <v>70.349999999999994</v>
      </c>
      <c r="CF423" s="151">
        <f t="shared" si="33"/>
        <v>0</v>
      </c>
      <c r="CG423" s="75">
        <f t="shared" si="27"/>
        <v>4278</v>
      </c>
      <c r="CH423" s="69" t="str">
        <f t="shared" si="27"/>
        <v>برنامج دولى</v>
      </c>
    </row>
    <row r="424" spans="1:86" x14ac:dyDescent="0.25">
      <c r="A424" s="148"/>
      <c r="B424" s="82">
        <v>6120</v>
      </c>
      <c r="C424" s="149">
        <v>4279</v>
      </c>
      <c r="D424" s="69" t="s">
        <v>78</v>
      </c>
      <c r="E424" s="69" t="s">
        <v>3227</v>
      </c>
      <c r="F424" s="63"/>
      <c r="G424" s="69">
        <v>7152.3</v>
      </c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  <c r="AE424" s="69"/>
      <c r="AF424" s="69"/>
      <c r="AG424" s="69"/>
      <c r="AH424" s="69"/>
      <c r="AI424" s="69"/>
      <c r="AJ424" s="69"/>
      <c r="AK424" s="69"/>
      <c r="AL424" s="69"/>
      <c r="AM424" s="69"/>
      <c r="AN424" s="69"/>
      <c r="AO424" s="69"/>
      <c r="AP424" s="69"/>
      <c r="AQ424" s="69"/>
      <c r="AR424" s="94">
        <f t="shared" si="26"/>
        <v>7152.3</v>
      </c>
      <c r="AS424" s="69">
        <v>5729.63</v>
      </c>
      <c r="AT424" s="69">
        <v>714.7</v>
      </c>
      <c r="AU424" s="69">
        <v>707.97</v>
      </c>
      <c r="AV424" s="69"/>
      <c r="AW424" s="69"/>
      <c r="AX424" s="69"/>
      <c r="AY424" s="69"/>
      <c r="AZ424" s="69"/>
      <c r="BA424" s="69"/>
      <c r="BB424" s="69"/>
      <c r="BC424" s="69"/>
      <c r="BD424" s="69"/>
      <c r="BE424" s="69"/>
      <c r="BF424" s="69"/>
      <c r="BG424" s="69"/>
      <c r="BH424" s="69"/>
      <c r="BI424" s="69"/>
      <c r="BJ424" s="69"/>
      <c r="BK424" s="69"/>
      <c r="BL424" s="69"/>
      <c r="BM424" s="69"/>
      <c r="BN424" s="69"/>
      <c r="BO424" s="69"/>
      <c r="BP424" s="69"/>
      <c r="BQ424" s="69"/>
      <c r="BR424" s="69"/>
      <c r="BS424" s="69"/>
      <c r="BT424" s="69"/>
      <c r="BU424" s="69"/>
      <c r="BV424" s="69"/>
      <c r="BW424" s="69"/>
      <c r="BX424" s="69"/>
      <c r="BY424" s="69"/>
      <c r="BZ424" s="69"/>
      <c r="CA424" s="69"/>
      <c r="CB424" s="69"/>
      <c r="CC424" s="69"/>
      <c r="CD424" s="69"/>
      <c r="CE424" s="94">
        <f t="shared" si="32"/>
        <v>7152.3</v>
      </c>
      <c r="CF424" s="151">
        <f t="shared" si="33"/>
        <v>0</v>
      </c>
      <c r="CG424" s="75">
        <f t="shared" si="27"/>
        <v>4279</v>
      </c>
      <c r="CH424" s="69" t="str">
        <f t="shared" si="27"/>
        <v>برنامج دولى</v>
      </c>
    </row>
    <row r="425" spans="1:86" x14ac:dyDescent="0.25">
      <c r="A425" s="148"/>
      <c r="B425" s="82">
        <v>6119</v>
      </c>
      <c r="C425" s="149">
        <v>4280</v>
      </c>
      <c r="D425" s="69" t="s">
        <v>78</v>
      </c>
      <c r="E425" s="69" t="s">
        <v>3227</v>
      </c>
      <c r="F425" s="63"/>
      <c r="G425" s="69">
        <v>492.45</v>
      </c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  <c r="AE425" s="69"/>
      <c r="AF425" s="69"/>
      <c r="AG425" s="69"/>
      <c r="AH425" s="69"/>
      <c r="AI425" s="69"/>
      <c r="AJ425" s="69"/>
      <c r="AK425" s="69"/>
      <c r="AL425" s="69"/>
      <c r="AM425" s="69"/>
      <c r="AN425" s="69"/>
      <c r="AO425" s="69"/>
      <c r="AP425" s="69"/>
      <c r="AQ425" s="69"/>
      <c r="AR425" s="94">
        <f t="shared" si="26"/>
        <v>492.45</v>
      </c>
      <c r="AS425" s="69">
        <v>329.7</v>
      </c>
      <c r="AT425" s="69">
        <v>44.1</v>
      </c>
      <c r="AU425" s="69">
        <v>118.65</v>
      </c>
      <c r="AV425" s="69"/>
      <c r="AW425" s="69"/>
      <c r="AX425" s="69"/>
      <c r="AY425" s="69"/>
      <c r="AZ425" s="69"/>
      <c r="BA425" s="69"/>
      <c r="BB425" s="69"/>
      <c r="BC425" s="69"/>
      <c r="BD425" s="69"/>
      <c r="BE425" s="69"/>
      <c r="BF425" s="69"/>
      <c r="BG425" s="69"/>
      <c r="BH425" s="69"/>
      <c r="BI425" s="69"/>
      <c r="BJ425" s="69"/>
      <c r="BK425" s="69"/>
      <c r="BL425" s="69"/>
      <c r="BM425" s="69"/>
      <c r="BN425" s="69"/>
      <c r="BO425" s="69"/>
      <c r="BP425" s="69"/>
      <c r="BQ425" s="69"/>
      <c r="BR425" s="69"/>
      <c r="BS425" s="69"/>
      <c r="BT425" s="69"/>
      <c r="BU425" s="69"/>
      <c r="BV425" s="69"/>
      <c r="BW425" s="69"/>
      <c r="BX425" s="69"/>
      <c r="BY425" s="69"/>
      <c r="BZ425" s="69"/>
      <c r="CA425" s="69"/>
      <c r="CB425" s="69"/>
      <c r="CC425" s="69"/>
      <c r="CD425" s="69"/>
      <c r="CE425" s="94">
        <f t="shared" si="32"/>
        <v>492.45000000000005</v>
      </c>
      <c r="CF425" s="151">
        <f t="shared" si="33"/>
        <v>0</v>
      </c>
      <c r="CG425" s="75">
        <f t="shared" si="27"/>
        <v>4280</v>
      </c>
      <c r="CH425" s="69" t="str">
        <f t="shared" si="27"/>
        <v>برنامج دولى</v>
      </c>
    </row>
    <row r="426" spans="1:86" x14ac:dyDescent="0.25">
      <c r="A426" s="148"/>
      <c r="B426" s="82">
        <v>8125</v>
      </c>
      <c r="C426" s="149">
        <v>4281</v>
      </c>
      <c r="D426" s="69" t="s">
        <v>78</v>
      </c>
      <c r="E426" s="69" t="s">
        <v>3228</v>
      </c>
      <c r="F426" s="63"/>
      <c r="G426" s="69">
        <v>24573.19</v>
      </c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  <c r="AE426" s="69"/>
      <c r="AF426" s="69"/>
      <c r="AG426" s="69"/>
      <c r="AH426" s="69"/>
      <c r="AI426" s="69"/>
      <c r="AJ426" s="69"/>
      <c r="AK426" s="69"/>
      <c r="AL426" s="69"/>
      <c r="AM426" s="69"/>
      <c r="AN426" s="69"/>
      <c r="AO426" s="69"/>
      <c r="AP426" s="69"/>
      <c r="AQ426" s="69"/>
      <c r="AR426" s="94">
        <f t="shared" si="26"/>
        <v>24573.19</v>
      </c>
      <c r="AS426" s="69">
        <v>21628.92</v>
      </c>
      <c r="AT426" s="69">
        <v>2619.6999999999998</v>
      </c>
      <c r="AU426" s="69">
        <v>324.57</v>
      </c>
      <c r="AV426" s="69"/>
      <c r="AW426" s="69"/>
      <c r="AX426" s="69"/>
      <c r="AY426" s="69"/>
      <c r="AZ426" s="69"/>
      <c r="BA426" s="69"/>
      <c r="BB426" s="69"/>
      <c r="BC426" s="69"/>
      <c r="BD426" s="69"/>
      <c r="BE426" s="69"/>
      <c r="BF426" s="69"/>
      <c r="BG426" s="69"/>
      <c r="BH426" s="69"/>
      <c r="BI426" s="69"/>
      <c r="BJ426" s="69"/>
      <c r="BK426" s="69"/>
      <c r="BL426" s="69"/>
      <c r="BM426" s="69"/>
      <c r="BN426" s="69"/>
      <c r="BO426" s="69"/>
      <c r="BP426" s="69"/>
      <c r="BQ426" s="69"/>
      <c r="BR426" s="69"/>
      <c r="BS426" s="69"/>
      <c r="BT426" s="69"/>
      <c r="BU426" s="69"/>
      <c r="BV426" s="69"/>
      <c r="BW426" s="69"/>
      <c r="BX426" s="69"/>
      <c r="BY426" s="69"/>
      <c r="BZ426" s="69"/>
      <c r="CA426" s="69"/>
      <c r="CB426" s="69"/>
      <c r="CC426" s="69"/>
      <c r="CD426" s="69"/>
      <c r="CE426" s="94">
        <f t="shared" si="32"/>
        <v>24573.19</v>
      </c>
      <c r="CF426" s="151">
        <f t="shared" si="33"/>
        <v>0</v>
      </c>
      <c r="CG426" s="75">
        <f t="shared" si="27"/>
        <v>4281</v>
      </c>
      <c r="CH426" s="69" t="str">
        <f t="shared" si="27"/>
        <v>برنامج دولى</v>
      </c>
    </row>
    <row r="427" spans="1:86" x14ac:dyDescent="0.25">
      <c r="A427" s="148"/>
      <c r="B427" s="82">
        <v>8259</v>
      </c>
      <c r="C427" s="149">
        <v>4282</v>
      </c>
      <c r="D427" s="69" t="s">
        <v>78</v>
      </c>
      <c r="E427" s="69" t="s">
        <v>3229</v>
      </c>
      <c r="F427" s="63"/>
      <c r="G427" s="69">
        <v>47463.27</v>
      </c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  <c r="AE427" s="69"/>
      <c r="AF427" s="69"/>
      <c r="AG427" s="69"/>
      <c r="AH427" s="69"/>
      <c r="AI427" s="69"/>
      <c r="AJ427" s="69"/>
      <c r="AK427" s="69"/>
      <c r="AL427" s="69"/>
      <c r="AM427" s="69"/>
      <c r="AN427" s="69"/>
      <c r="AO427" s="69"/>
      <c r="AP427" s="69"/>
      <c r="AQ427" s="69"/>
      <c r="AR427" s="94">
        <f t="shared" si="26"/>
        <v>47463.27</v>
      </c>
      <c r="AS427" s="69">
        <v>41474.660000000003</v>
      </c>
      <c r="AT427" s="69">
        <v>5025.2</v>
      </c>
      <c r="AU427" s="69">
        <v>963.41</v>
      </c>
      <c r="AV427" s="69"/>
      <c r="AW427" s="69"/>
      <c r="AX427" s="69"/>
      <c r="AY427" s="69"/>
      <c r="AZ427" s="69"/>
      <c r="BA427" s="69"/>
      <c r="BB427" s="69"/>
      <c r="BC427" s="69"/>
      <c r="BD427" s="69"/>
      <c r="BE427" s="69"/>
      <c r="BF427" s="69"/>
      <c r="BG427" s="69"/>
      <c r="BH427" s="69"/>
      <c r="BI427" s="69"/>
      <c r="BJ427" s="69"/>
      <c r="BK427" s="69"/>
      <c r="BL427" s="69"/>
      <c r="BM427" s="69"/>
      <c r="BN427" s="69"/>
      <c r="BO427" s="69"/>
      <c r="BP427" s="69"/>
      <c r="BQ427" s="69"/>
      <c r="BR427" s="69"/>
      <c r="BS427" s="69"/>
      <c r="BT427" s="69"/>
      <c r="BU427" s="69"/>
      <c r="BV427" s="69"/>
      <c r="BW427" s="69"/>
      <c r="BX427" s="69"/>
      <c r="BY427" s="69"/>
      <c r="BZ427" s="69"/>
      <c r="CA427" s="69"/>
      <c r="CB427" s="69"/>
      <c r="CC427" s="69"/>
      <c r="CD427" s="69"/>
      <c r="CE427" s="94">
        <f t="shared" si="32"/>
        <v>47463.270000000004</v>
      </c>
      <c r="CF427" s="151">
        <f t="shared" si="33"/>
        <v>0</v>
      </c>
      <c r="CG427" s="75">
        <f t="shared" si="27"/>
        <v>4282</v>
      </c>
      <c r="CH427" s="69" t="str">
        <f t="shared" si="27"/>
        <v>برنامج دولى</v>
      </c>
    </row>
    <row r="428" spans="1:86" x14ac:dyDescent="0.25">
      <c r="A428" s="148"/>
      <c r="B428" s="82">
        <v>8272</v>
      </c>
      <c r="C428" s="149">
        <v>4283</v>
      </c>
      <c r="D428" s="69" t="s">
        <v>78</v>
      </c>
      <c r="E428" s="69" t="s">
        <v>3229</v>
      </c>
      <c r="F428" s="63"/>
      <c r="G428" s="69">
        <v>1727.98</v>
      </c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  <c r="AE428" s="69"/>
      <c r="AF428" s="69"/>
      <c r="AG428" s="69"/>
      <c r="AH428" s="69"/>
      <c r="AI428" s="69"/>
      <c r="AJ428" s="69"/>
      <c r="AK428" s="69"/>
      <c r="AL428" s="69"/>
      <c r="AM428" s="69"/>
      <c r="AN428" s="69"/>
      <c r="AO428" s="69"/>
      <c r="AP428" s="69"/>
      <c r="AQ428" s="69"/>
      <c r="AR428" s="94">
        <f t="shared" si="26"/>
        <v>1727.98</v>
      </c>
      <c r="AS428" s="69">
        <v>1290.18</v>
      </c>
      <c r="AT428" s="69">
        <v>166.8</v>
      </c>
      <c r="AU428" s="69">
        <v>271</v>
      </c>
      <c r="AV428" s="69"/>
      <c r="AW428" s="69"/>
      <c r="AX428" s="69"/>
      <c r="AY428" s="69"/>
      <c r="AZ428" s="69"/>
      <c r="BA428" s="69"/>
      <c r="BB428" s="69"/>
      <c r="BC428" s="69"/>
      <c r="BD428" s="69"/>
      <c r="BE428" s="69"/>
      <c r="BF428" s="69"/>
      <c r="BG428" s="69"/>
      <c r="BH428" s="69"/>
      <c r="BI428" s="69"/>
      <c r="BJ428" s="69"/>
      <c r="BK428" s="69"/>
      <c r="BL428" s="69"/>
      <c r="BM428" s="69"/>
      <c r="BN428" s="69"/>
      <c r="BO428" s="69"/>
      <c r="BP428" s="69"/>
      <c r="BQ428" s="69"/>
      <c r="BR428" s="69"/>
      <c r="BS428" s="69"/>
      <c r="BT428" s="69"/>
      <c r="BU428" s="69"/>
      <c r="BV428" s="69"/>
      <c r="BW428" s="69"/>
      <c r="BX428" s="69"/>
      <c r="BY428" s="69"/>
      <c r="BZ428" s="69"/>
      <c r="CA428" s="69"/>
      <c r="CB428" s="69"/>
      <c r="CC428" s="69"/>
      <c r="CD428" s="69"/>
      <c r="CE428" s="94">
        <f t="shared" si="32"/>
        <v>1727.98</v>
      </c>
      <c r="CF428" s="151">
        <f t="shared" si="33"/>
        <v>0</v>
      </c>
      <c r="CG428" s="75">
        <f t="shared" si="27"/>
        <v>4283</v>
      </c>
      <c r="CH428" s="69" t="str">
        <f t="shared" si="27"/>
        <v>برنامج دولى</v>
      </c>
    </row>
    <row r="429" spans="1:86" x14ac:dyDescent="0.25">
      <c r="A429" s="148"/>
      <c r="B429" s="82">
        <v>8261</v>
      </c>
      <c r="C429" s="149">
        <v>4284</v>
      </c>
      <c r="D429" s="69" t="s">
        <v>78</v>
      </c>
      <c r="E429" s="69" t="s">
        <v>3230</v>
      </c>
      <c r="F429" s="63"/>
      <c r="G429" s="69">
        <v>6544.78</v>
      </c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  <c r="AE429" s="69"/>
      <c r="AF429" s="69"/>
      <c r="AG429" s="69"/>
      <c r="AH429" s="69"/>
      <c r="AI429" s="69"/>
      <c r="AJ429" s="69"/>
      <c r="AK429" s="69"/>
      <c r="AL429" s="69"/>
      <c r="AM429" s="69"/>
      <c r="AN429" s="69"/>
      <c r="AO429" s="69"/>
      <c r="AP429" s="69"/>
      <c r="AQ429" s="69"/>
      <c r="AR429" s="94">
        <f t="shared" si="26"/>
        <v>6544.78</v>
      </c>
      <c r="AS429" s="69">
        <v>5773.59</v>
      </c>
      <c r="AT429" s="69">
        <v>697.85</v>
      </c>
      <c r="AU429" s="69">
        <v>73.34</v>
      </c>
      <c r="AV429" s="69"/>
      <c r="AW429" s="69"/>
      <c r="AX429" s="69"/>
      <c r="AY429" s="69"/>
      <c r="AZ429" s="69"/>
      <c r="BA429" s="69"/>
      <c r="BB429" s="69"/>
      <c r="BC429" s="69"/>
      <c r="BD429" s="69"/>
      <c r="BE429" s="69"/>
      <c r="BF429" s="69"/>
      <c r="BG429" s="69"/>
      <c r="BH429" s="69"/>
      <c r="BI429" s="69"/>
      <c r="BJ429" s="69"/>
      <c r="BK429" s="69"/>
      <c r="BL429" s="69"/>
      <c r="BM429" s="69"/>
      <c r="BN429" s="69"/>
      <c r="BO429" s="69"/>
      <c r="BP429" s="69"/>
      <c r="BQ429" s="69"/>
      <c r="BR429" s="69"/>
      <c r="BS429" s="69"/>
      <c r="BT429" s="69"/>
      <c r="BU429" s="69"/>
      <c r="BV429" s="69"/>
      <c r="BW429" s="69"/>
      <c r="BX429" s="69"/>
      <c r="BY429" s="69"/>
      <c r="BZ429" s="69"/>
      <c r="CA429" s="69"/>
      <c r="CB429" s="69"/>
      <c r="CC429" s="69"/>
      <c r="CD429" s="69"/>
      <c r="CE429" s="94">
        <f t="shared" si="32"/>
        <v>6544.7800000000007</v>
      </c>
      <c r="CF429" s="151">
        <f t="shared" si="33"/>
        <v>0</v>
      </c>
      <c r="CG429" s="75">
        <f t="shared" si="27"/>
        <v>4284</v>
      </c>
      <c r="CH429" s="69" t="str">
        <f t="shared" si="27"/>
        <v>برنامج دولى</v>
      </c>
    </row>
    <row r="430" spans="1:86" x14ac:dyDescent="0.25">
      <c r="A430" s="148"/>
      <c r="B430" s="82">
        <v>8260</v>
      </c>
      <c r="C430" s="149">
        <v>4285</v>
      </c>
      <c r="D430" s="69" t="s">
        <v>78</v>
      </c>
      <c r="E430" s="69" t="s">
        <v>3230</v>
      </c>
      <c r="F430" s="63"/>
      <c r="G430" s="69">
        <v>6287.01</v>
      </c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  <c r="AE430" s="69"/>
      <c r="AF430" s="69"/>
      <c r="AG430" s="69"/>
      <c r="AH430" s="69"/>
      <c r="AI430" s="69"/>
      <c r="AJ430" s="69"/>
      <c r="AK430" s="69"/>
      <c r="AL430" s="69"/>
      <c r="AM430" s="69"/>
      <c r="AN430" s="69"/>
      <c r="AO430" s="69"/>
      <c r="AP430" s="69"/>
      <c r="AQ430" s="69"/>
      <c r="AR430" s="94">
        <f t="shared" si="26"/>
        <v>6287.01</v>
      </c>
      <c r="AS430" s="69">
        <v>4411.34</v>
      </c>
      <c r="AT430" s="69">
        <v>586.79999999999995</v>
      </c>
      <c r="AU430" s="69">
        <v>1288.8699999999999</v>
      </c>
      <c r="AV430" s="69"/>
      <c r="AW430" s="69"/>
      <c r="AX430" s="69"/>
      <c r="AY430" s="69"/>
      <c r="AZ430" s="69"/>
      <c r="BA430" s="69"/>
      <c r="BB430" s="69"/>
      <c r="BC430" s="69"/>
      <c r="BD430" s="69"/>
      <c r="BE430" s="69"/>
      <c r="BF430" s="69"/>
      <c r="BG430" s="69"/>
      <c r="BH430" s="69"/>
      <c r="BI430" s="69"/>
      <c r="BJ430" s="69"/>
      <c r="BK430" s="69"/>
      <c r="BL430" s="69"/>
      <c r="BM430" s="69"/>
      <c r="BN430" s="69"/>
      <c r="BO430" s="69"/>
      <c r="BP430" s="69"/>
      <c r="BQ430" s="69"/>
      <c r="BR430" s="69"/>
      <c r="BS430" s="69"/>
      <c r="BT430" s="69"/>
      <c r="BU430" s="69"/>
      <c r="BV430" s="69"/>
      <c r="BW430" s="69"/>
      <c r="BX430" s="69"/>
      <c r="BY430" s="69"/>
      <c r="BZ430" s="69"/>
      <c r="CA430" s="69"/>
      <c r="CB430" s="69"/>
      <c r="CC430" s="69"/>
      <c r="CD430" s="69"/>
      <c r="CE430" s="94">
        <f t="shared" si="32"/>
        <v>6287.01</v>
      </c>
      <c r="CF430" s="151">
        <f t="shared" si="33"/>
        <v>0</v>
      </c>
      <c r="CG430" s="75">
        <f t="shared" si="27"/>
        <v>4285</v>
      </c>
      <c r="CH430" s="69" t="str">
        <f t="shared" si="27"/>
        <v>برنامج دولى</v>
      </c>
    </row>
    <row r="431" spans="1:86" x14ac:dyDescent="0.25">
      <c r="A431" s="148"/>
      <c r="B431" s="82">
        <v>5934</v>
      </c>
      <c r="C431" s="149">
        <v>4286</v>
      </c>
      <c r="D431" s="69" t="s">
        <v>78</v>
      </c>
      <c r="E431" s="69" t="s">
        <v>1386</v>
      </c>
      <c r="F431" s="63"/>
      <c r="G431" s="69">
        <v>1160.78</v>
      </c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  <c r="AE431" s="69"/>
      <c r="AF431" s="69"/>
      <c r="AG431" s="69"/>
      <c r="AH431" s="69"/>
      <c r="AI431" s="69"/>
      <c r="AJ431" s="69"/>
      <c r="AK431" s="69"/>
      <c r="AL431" s="69"/>
      <c r="AM431" s="69"/>
      <c r="AN431" s="69"/>
      <c r="AO431" s="69"/>
      <c r="AP431" s="69"/>
      <c r="AQ431" s="69"/>
      <c r="AR431" s="94">
        <f t="shared" si="26"/>
        <v>1160.78</v>
      </c>
      <c r="AS431" s="69">
        <v>776.25</v>
      </c>
      <c r="AT431" s="69">
        <v>104.85</v>
      </c>
      <c r="AU431" s="69">
        <v>279.68</v>
      </c>
      <c r="AV431" s="69"/>
      <c r="AW431" s="69"/>
      <c r="AX431" s="69"/>
      <c r="AY431" s="69"/>
      <c r="AZ431" s="69"/>
      <c r="BA431" s="69"/>
      <c r="BB431" s="69"/>
      <c r="BC431" s="69"/>
      <c r="BD431" s="69"/>
      <c r="BE431" s="69"/>
      <c r="BF431" s="69"/>
      <c r="BG431" s="69"/>
      <c r="BH431" s="69"/>
      <c r="BI431" s="69"/>
      <c r="BJ431" s="69"/>
      <c r="BK431" s="69"/>
      <c r="BL431" s="69"/>
      <c r="BM431" s="69"/>
      <c r="BN431" s="69"/>
      <c r="BO431" s="69"/>
      <c r="BP431" s="69"/>
      <c r="BQ431" s="69"/>
      <c r="BR431" s="69"/>
      <c r="BS431" s="69"/>
      <c r="BT431" s="69"/>
      <c r="BU431" s="69"/>
      <c r="BV431" s="69"/>
      <c r="BW431" s="69"/>
      <c r="BX431" s="69"/>
      <c r="BY431" s="69"/>
      <c r="BZ431" s="69"/>
      <c r="CA431" s="69"/>
      <c r="CB431" s="69"/>
      <c r="CC431" s="69"/>
      <c r="CD431" s="69"/>
      <c r="CE431" s="94">
        <f t="shared" si="32"/>
        <v>1160.78</v>
      </c>
      <c r="CF431" s="151">
        <f t="shared" si="33"/>
        <v>0</v>
      </c>
      <c r="CG431" s="75">
        <f t="shared" si="27"/>
        <v>4286</v>
      </c>
      <c r="CH431" s="69" t="str">
        <f t="shared" si="27"/>
        <v>برنامج دولى</v>
      </c>
    </row>
    <row r="432" spans="1:86" x14ac:dyDescent="0.25">
      <c r="A432" s="148"/>
      <c r="B432" s="82">
        <v>5928</v>
      </c>
      <c r="C432" s="149">
        <v>4287</v>
      </c>
      <c r="D432" s="69" t="s">
        <v>78</v>
      </c>
      <c r="E432" s="69" t="s">
        <v>3231</v>
      </c>
      <c r="F432" s="63"/>
      <c r="G432" s="69">
        <v>6244.7</v>
      </c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  <c r="AE432" s="69"/>
      <c r="AF432" s="69"/>
      <c r="AG432" s="69"/>
      <c r="AH432" s="69"/>
      <c r="AI432" s="69"/>
      <c r="AJ432" s="69"/>
      <c r="AK432" s="69"/>
      <c r="AL432" s="69"/>
      <c r="AM432" s="69"/>
      <c r="AN432" s="69"/>
      <c r="AO432" s="69"/>
      <c r="AP432" s="69"/>
      <c r="AQ432" s="69"/>
      <c r="AR432" s="94">
        <f t="shared" si="26"/>
        <v>6244.7</v>
      </c>
      <c r="AS432" s="69">
        <v>4639.76</v>
      </c>
      <c r="AT432" s="69">
        <v>590.04999999999995</v>
      </c>
      <c r="AU432" s="69">
        <v>1014.89</v>
      </c>
      <c r="AV432" s="69"/>
      <c r="AW432" s="69"/>
      <c r="AX432" s="69"/>
      <c r="AY432" s="69"/>
      <c r="AZ432" s="69"/>
      <c r="BA432" s="69"/>
      <c r="BB432" s="69"/>
      <c r="BC432" s="69"/>
      <c r="BD432" s="69"/>
      <c r="BE432" s="69"/>
      <c r="BF432" s="69"/>
      <c r="BG432" s="69"/>
      <c r="BH432" s="69"/>
      <c r="BI432" s="69"/>
      <c r="BJ432" s="69"/>
      <c r="BK432" s="69"/>
      <c r="BL432" s="69"/>
      <c r="BM432" s="69"/>
      <c r="BN432" s="69"/>
      <c r="BO432" s="69"/>
      <c r="BP432" s="69"/>
      <c r="BQ432" s="69"/>
      <c r="BR432" s="69"/>
      <c r="BS432" s="69"/>
      <c r="BT432" s="69"/>
      <c r="BU432" s="69"/>
      <c r="BV432" s="69"/>
      <c r="BW432" s="69"/>
      <c r="BX432" s="69"/>
      <c r="BY432" s="69"/>
      <c r="BZ432" s="69"/>
      <c r="CA432" s="69"/>
      <c r="CB432" s="69"/>
      <c r="CC432" s="69"/>
      <c r="CD432" s="69"/>
      <c r="CE432" s="94">
        <f t="shared" si="32"/>
        <v>6244.7000000000007</v>
      </c>
      <c r="CF432" s="151">
        <f t="shared" si="33"/>
        <v>0</v>
      </c>
      <c r="CG432" s="75">
        <f t="shared" si="27"/>
        <v>4287</v>
      </c>
      <c r="CH432" s="69" t="str">
        <f t="shared" si="27"/>
        <v>برنامج دولى</v>
      </c>
    </row>
    <row r="433" spans="1:86" x14ac:dyDescent="0.25">
      <c r="A433" s="148"/>
      <c r="B433" s="82">
        <v>5929</v>
      </c>
      <c r="C433" s="149">
        <v>4288</v>
      </c>
      <c r="D433" s="69" t="s">
        <v>78</v>
      </c>
      <c r="E433" s="69" t="s">
        <v>3231</v>
      </c>
      <c r="F433" s="63"/>
      <c r="G433" s="69">
        <v>3346.15</v>
      </c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  <c r="AE433" s="69"/>
      <c r="AF433" s="69"/>
      <c r="AG433" s="69"/>
      <c r="AH433" s="69"/>
      <c r="AI433" s="69"/>
      <c r="AJ433" s="69"/>
      <c r="AK433" s="69"/>
      <c r="AL433" s="69"/>
      <c r="AM433" s="69"/>
      <c r="AN433" s="69"/>
      <c r="AO433" s="69"/>
      <c r="AP433" s="69"/>
      <c r="AQ433" s="69"/>
      <c r="AR433" s="94">
        <f t="shared" si="26"/>
        <v>3346.15</v>
      </c>
      <c r="AS433" s="69">
        <v>2807.8</v>
      </c>
      <c r="AT433" s="69">
        <v>339.95</v>
      </c>
      <c r="AU433" s="69">
        <v>198.4</v>
      </c>
      <c r="AV433" s="69"/>
      <c r="AW433" s="69"/>
      <c r="AX433" s="69"/>
      <c r="AY433" s="69"/>
      <c r="AZ433" s="69"/>
      <c r="BA433" s="69"/>
      <c r="BB433" s="69"/>
      <c r="BC433" s="69"/>
      <c r="BD433" s="69"/>
      <c r="BE433" s="69"/>
      <c r="BF433" s="69"/>
      <c r="BG433" s="69"/>
      <c r="BH433" s="69"/>
      <c r="BI433" s="69"/>
      <c r="BJ433" s="69"/>
      <c r="BK433" s="69"/>
      <c r="BL433" s="69"/>
      <c r="BM433" s="69"/>
      <c r="BN433" s="69"/>
      <c r="BO433" s="69"/>
      <c r="BP433" s="69"/>
      <c r="BQ433" s="69"/>
      <c r="BR433" s="69"/>
      <c r="BS433" s="69"/>
      <c r="BT433" s="69"/>
      <c r="BU433" s="69"/>
      <c r="BV433" s="69"/>
      <c r="BW433" s="69"/>
      <c r="BX433" s="69"/>
      <c r="BY433" s="69"/>
      <c r="BZ433" s="69"/>
      <c r="CA433" s="69"/>
      <c r="CB433" s="69"/>
      <c r="CC433" s="69"/>
      <c r="CD433" s="69"/>
      <c r="CE433" s="94">
        <f t="shared" si="32"/>
        <v>3346.15</v>
      </c>
      <c r="CF433" s="151">
        <f t="shared" si="33"/>
        <v>0</v>
      </c>
      <c r="CG433" s="75">
        <f t="shared" si="27"/>
        <v>4288</v>
      </c>
      <c r="CH433" s="69" t="str">
        <f t="shared" si="27"/>
        <v>برنامج دولى</v>
      </c>
    </row>
    <row r="434" spans="1:86" x14ac:dyDescent="0.25">
      <c r="A434" s="148"/>
      <c r="B434" s="82">
        <v>5927</v>
      </c>
      <c r="C434" s="149">
        <v>4289</v>
      </c>
      <c r="D434" s="69" t="s">
        <v>78</v>
      </c>
      <c r="E434" s="69" t="s">
        <v>3231</v>
      </c>
      <c r="F434" s="63"/>
      <c r="G434" s="69">
        <v>475</v>
      </c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  <c r="AE434" s="69"/>
      <c r="AF434" s="69"/>
      <c r="AG434" s="69"/>
      <c r="AH434" s="69"/>
      <c r="AI434" s="69"/>
      <c r="AJ434" s="69"/>
      <c r="AK434" s="69"/>
      <c r="AL434" s="69"/>
      <c r="AM434" s="69"/>
      <c r="AN434" s="69"/>
      <c r="AO434" s="69"/>
      <c r="AP434" s="69"/>
      <c r="AQ434" s="69"/>
      <c r="AR434" s="94">
        <f t="shared" si="26"/>
        <v>475</v>
      </c>
      <c r="AS434" s="69">
        <v>424.7</v>
      </c>
      <c r="AT434" s="69">
        <v>50.3</v>
      </c>
      <c r="AU434" s="69"/>
      <c r="AV434" s="69"/>
      <c r="AW434" s="69"/>
      <c r="AX434" s="69"/>
      <c r="AY434" s="69"/>
      <c r="AZ434" s="69"/>
      <c r="BA434" s="69"/>
      <c r="BB434" s="69"/>
      <c r="BC434" s="69"/>
      <c r="BD434" s="69"/>
      <c r="BE434" s="69"/>
      <c r="BF434" s="69"/>
      <c r="BG434" s="69"/>
      <c r="BH434" s="69"/>
      <c r="BI434" s="69"/>
      <c r="BJ434" s="69"/>
      <c r="BK434" s="69"/>
      <c r="BL434" s="69"/>
      <c r="BM434" s="69"/>
      <c r="BN434" s="69"/>
      <c r="BO434" s="69"/>
      <c r="BP434" s="69"/>
      <c r="BQ434" s="69"/>
      <c r="BR434" s="69"/>
      <c r="BS434" s="69"/>
      <c r="BT434" s="69"/>
      <c r="BU434" s="69"/>
      <c r="BV434" s="69"/>
      <c r="BW434" s="69"/>
      <c r="BX434" s="69"/>
      <c r="BY434" s="69"/>
      <c r="BZ434" s="69"/>
      <c r="CA434" s="69"/>
      <c r="CB434" s="69"/>
      <c r="CC434" s="69"/>
      <c r="CD434" s="69"/>
      <c r="CE434" s="94">
        <f t="shared" si="32"/>
        <v>475</v>
      </c>
      <c r="CF434" s="151">
        <f t="shared" si="33"/>
        <v>0</v>
      </c>
      <c r="CG434" s="75">
        <f t="shared" si="27"/>
        <v>4289</v>
      </c>
      <c r="CH434" s="69" t="str">
        <f t="shared" si="27"/>
        <v>برنامج دولى</v>
      </c>
    </row>
    <row r="435" spans="1:86" x14ac:dyDescent="0.25">
      <c r="A435" s="148"/>
      <c r="B435" s="82">
        <v>5944</v>
      </c>
      <c r="C435" s="149">
        <v>4290</v>
      </c>
      <c r="D435" s="69" t="s">
        <v>78</v>
      </c>
      <c r="E435" s="69" t="str">
        <f>+E431</f>
        <v>عب تدريس اطفال</v>
      </c>
      <c r="F435" s="63"/>
      <c r="G435" s="69">
        <v>13320</v>
      </c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  <c r="AE435" s="69"/>
      <c r="AF435" s="69"/>
      <c r="AG435" s="69"/>
      <c r="AH435" s="69"/>
      <c r="AI435" s="69"/>
      <c r="AJ435" s="69"/>
      <c r="AK435" s="69"/>
      <c r="AL435" s="69"/>
      <c r="AM435" s="69"/>
      <c r="AN435" s="69"/>
      <c r="AO435" s="69"/>
      <c r="AP435" s="69"/>
      <c r="AQ435" s="69"/>
      <c r="AR435" s="94">
        <f t="shared" si="26"/>
        <v>13320</v>
      </c>
      <c r="AS435" s="69">
        <v>11891.35</v>
      </c>
      <c r="AT435" s="69">
        <v>1428.65</v>
      </c>
      <c r="AU435" s="69"/>
      <c r="AV435" s="69"/>
      <c r="AW435" s="69"/>
      <c r="AX435" s="69"/>
      <c r="AY435" s="69"/>
      <c r="AZ435" s="69"/>
      <c r="BA435" s="69"/>
      <c r="BB435" s="69"/>
      <c r="BC435" s="69"/>
      <c r="BD435" s="69"/>
      <c r="BE435" s="69"/>
      <c r="BF435" s="69"/>
      <c r="BG435" s="69"/>
      <c r="BH435" s="69"/>
      <c r="BI435" s="69"/>
      <c r="BJ435" s="69"/>
      <c r="BK435" s="69"/>
      <c r="BL435" s="69"/>
      <c r="BM435" s="69"/>
      <c r="BN435" s="69"/>
      <c r="BO435" s="69"/>
      <c r="BP435" s="69"/>
      <c r="BQ435" s="69"/>
      <c r="BR435" s="69"/>
      <c r="BS435" s="69"/>
      <c r="BT435" s="69"/>
      <c r="BU435" s="69"/>
      <c r="BV435" s="69"/>
      <c r="BW435" s="69"/>
      <c r="BX435" s="69"/>
      <c r="BY435" s="69"/>
      <c r="BZ435" s="69"/>
      <c r="CA435" s="69"/>
      <c r="CB435" s="69"/>
      <c r="CC435" s="69"/>
      <c r="CD435" s="69"/>
      <c r="CE435" s="94">
        <f t="shared" si="32"/>
        <v>13320</v>
      </c>
      <c r="CF435" s="151">
        <f t="shared" si="33"/>
        <v>0</v>
      </c>
      <c r="CG435" s="75">
        <f t="shared" si="27"/>
        <v>4290</v>
      </c>
      <c r="CH435" s="69" t="str">
        <f t="shared" si="27"/>
        <v>برنامج دولى</v>
      </c>
    </row>
    <row r="436" spans="1:86" x14ac:dyDescent="0.25">
      <c r="A436" s="148"/>
      <c r="B436" s="82">
        <v>5938</v>
      </c>
      <c r="C436" s="149">
        <v>4291</v>
      </c>
      <c r="D436" s="69" t="s">
        <v>78</v>
      </c>
      <c r="E436" s="69" t="str">
        <f>+E435</f>
        <v>عب تدريس اطفال</v>
      </c>
      <c r="F436" s="63"/>
      <c r="G436" s="69">
        <v>1200</v>
      </c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  <c r="AE436" s="69"/>
      <c r="AF436" s="69"/>
      <c r="AG436" s="69"/>
      <c r="AH436" s="69"/>
      <c r="AI436" s="69"/>
      <c r="AJ436" s="69"/>
      <c r="AK436" s="69"/>
      <c r="AL436" s="69"/>
      <c r="AM436" s="69"/>
      <c r="AN436" s="69"/>
      <c r="AO436" s="69"/>
      <c r="AP436" s="69"/>
      <c r="AQ436" s="69"/>
      <c r="AR436" s="94">
        <f t="shared" si="26"/>
        <v>1200</v>
      </c>
      <c r="AS436" s="69">
        <v>1071.3499999999999</v>
      </c>
      <c r="AT436" s="69">
        <v>128.65</v>
      </c>
      <c r="AU436" s="69"/>
      <c r="AV436" s="69"/>
      <c r="AW436" s="69"/>
      <c r="AX436" s="69"/>
      <c r="AY436" s="69"/>
      <c r="AZ436" s="69"/>
      <c r="BA436" s="69"/>
      <c r="BB436" s="69"/>
      <c r="BC436" s="69"/>
      <c r="BD436" s="69"/>
      <c r="BE436" s="69"/>
      <c r="BF436" s="69"/>
      <c r="BG436" s="69"/>
      <c r="BH436" s="69"/>
      <c r="BI436" s="69"/>
      <c r="BJ436" s="69"/>
      <c r="BK436" s="69"/>
      <c r="BL436" s="69"/>
      <c r="BM436" s="69"/>
      <c r="BN436" s="69"/>
      <c r="BO436" s="69"/>
      <c r="BP436" s="69"/>
      <c r="BQ436" s="69"/>
      <c r="BR436" s="69"/>
      <c r="BS436" s="69"/>
      <c r="BT436" s="69"/>
      <c r="BU436" s="69"/>
      <c r="BV436" s="69"/>
      <c r="BW436" s="69"/>
      <c r="BX436" s="69"/>
      <c r="BY436" s="69"/>
      <c r="BZ436" s="69"/>
      <c r="CA436" s="69"/>
      <c r="CB436" s="69"/>
      <c r="CC436" s="69"/>
      <c r="CD436" s="69"/>
      <c r="CE436" s="94">
        <f t="shared" si="32"/>
        <v>1200</v>
      </c>
      <c r="CF436" s="151">
        <f t="shared" si="33"/>
        <v>0</v>
      </c>
      <c r="CG436" s="75">
        <f t="shared" si="27"/>
        <v>4291</v>
      </c>
      <c r="CH436" s="69" t="str">
        <f t="shared" si="27"/>
        <v>برنامج دولى</v>
      </c>
    </row>
    <row r="437" spans="1:86" x14ac:dyDescent="0.25">
      <c r="A437" s="148"/>
      <c r="B437" s="82">
        <v>7861</v>
      </c>
      <c r="C437" s="149">
        <v>4292</v>
      </c>
      <c r="D437" s="69" t="s">
        <v>78</v>
      </c>
      <c r="E437" s="69" t="s">
        <v>3232</v>
      </c>
      <c r="F437" s="63"/>
      <c r="G437" s="69">
        <v>1741.17</v>
      </c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  <c r="AE437" s="69"/>
      <c r="AF437" s="69"/>
      <c r="AG437" s="69"/>
      <c r="AH437" s="69"/>
      <c r="AI437" s="69"/>
      <c r="AJ437" s="69"/>
      <c r="AK437" s="69"/>
      <c r="AL437" s="69"/>
      <c r="AM437" s="69"/>
      <c r="AN437" s="69"/>
      <c r="AO437" s="69"/>
      <c r="AP437" s="69"/>
      <c r="AQ437" s="69"/>
      <c r="AR437" s="94">
        <f t="shared" si="26"/>
        <v>1741.17</v>
      </c>
      <c r="AS437" s="69">
        <v>1164.75</v>
      </c>
      <c r="AT437" s="69">
        <v>156.9</v>
      </c>
      <c r="AU437" s="69">
        <v>419.52</v>
      </c>
      <c r="AV437" s="69"/>
      <c r="AW437" s="69"/>
      <c r="AX437" s="69"/>
      <c r="AY437" s="69"/>
      <c r="AZ437" s="69"/>
      <c r="BA437" s="69"/>
      <c r="BB437" s="69"/>
      <c r="BC437" s="69"/>
      <c r="BD437" s="69"/>
      <c r="BE437" s="69"/>
      <c r="BF437" s="69"/>
      <c r="BG437" s="69"/>
      <c r="BH437" s="69"/>
      <c r="BI437" s="69"/>
      <c r="BJ437" s="69"/>
      <c r="BK437" s="69"/>
      <c r="BL437" s="69"/>
      <c r="BM437" s="69"/>
      <c r="BN437" s="69"/>
      <c r="BO437" s="69"/>
      <c r="BP437" s="69"/>
      <c r="BQ437" s="69"/>
      <c r="BR437" s="69"/>
      <c r="BS437" s="69"/>
      <c r="BT437" s="69"/>
      <c r="BU437" s="69"/>
      <c r="BV437" s="69"/>
      <c r="BW437" s="69"/>
      <c r="BX437" s="69"/>
      <c r="BY437" s="69"/>
      <c r="BZ437" s="69"/>
      <c r="CA437" s="69"/>
      <c r="CB437" s="69"/>
      <c r="CC437" s="69"/>
      <c r="CD437" s="69"/>
      <c r="CE437" s="94">
        <f t="shared" si="32"/>
        <v>1741.17</v>
      </c>
      <c r="CF437" s="151">
        <f t="shared" si="33"/>
        <v>0</v>
      </c>
      <c r="CG437" s="75">
        <f t="shared" si="27"/>
        <v>4292</v>
      </c>
      <c r="CH437" s="69" t="str">
        <f t="shared" si="27"/>
        <v>برنامج دولى</v>
      </c>
    </row>
    <row r="438" spans="1:86" x14ac:dyDescent="0.25">
      <c r="A438" s="148"/>
      <c r="B438" s="82">
        <v>7860</v>
      </c>
      <c r="C438" s="149">
        <v>4293</v>
      </c>
      <c r="D438" s="69" t="s">
        <v>78</v>
      </c>
      <c r="E438" s="69" t="s">
        <v>3232</v>
      </c>
      <c r="F438" s="63"/>
      <c r="G438" s="69">
        <v>10530</v>
      </c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  <c r="AE438" s="69"/>
      <c r="AF438" s="69"/>
      <c r="AG438" s="69"/>
      <c r="AH438" s="69"/>
      <c r="AI438" s="69"/>
      <c r="AJ438" s="69"/>
      <c r="AK438" s="69"/>
      <c r="AL438" s="69"/>
      <c r="AM438" s="69"/>
      <c r="AN438" s="69"/>
      <c r="AO438" s="69"/>
      <c r="AP438" s="69"/>
      <c r="AQ438" s="69"/>
      <c r="AR438" s="94">
        <f t="shared" si="26"/>
        <v>10530</v>
      </c>
      <c r="AS438" s="69">
        <v>9395.7999999999993</v>
      </c>
      <c r="AT438" s="69">
        <v>1134.2</v>
      </c>
      <c r="AU438" s="69"/>
      <c r="AV438" s="69"/>
      <c r="AW438" s="69"/>
      <c r="AX438" s="69"/>
      <c r="AY438" s="69"/>
      <c r="AZ438" s="69"/>
      <c r="BA438" s="69"/>
      <c r="BB438" s="69"/>
      <c r="BC438" s="69"/>
      <c r="BD438" s="69"/>
      <c r="BE438" s="69"/>
      <c r="BF438" s="69"/>
      <c r="BG438" s="69"/>
      <c r="BH438" s="69"/>
      <c r="BI438" s="69"/>
      <c r="BJ438" s="69"/>
      <c r="BK438" s="69"/>
      <c r="BL438" s="69"/>
      <c r="BM438" s="69"/>
      <c r="BN438" s="69"/>
      <c r="BO438" s="69"/>
      <c r="BP438" s="69"/>
      <c r="BQ438" s="69"/>
      <c r="BR438" s="69"/>
      <c r="BS438" s="69"/>
      <c r="BT438" s="69"/>
      <c r="BU438" s="69"/>
      <c r="BV438" s="69"/>
      <c r="BW438" s="69"/>
      <c r="BX438" s="69"/>
      <c r="BY438" s="69"/>
      <c r="BZ438" s="69"/>
      <c r="CA438" s="69"/>
      <c r="CB438" s="69"/>
      <c r="CC438" s="69"/>
      <c r="CD438" s="69"/>
      <c r="CE438" s="94">
        <f t="shared" si="32"/>
        <v>10530</v>
      </c>
      <c r="CF438" s="151">
        <f t="shared" si="33"/>
        <v>0</v>
      </c>
      <c r="CG438" s="75">
        <f t="shared" si="27"/>
        <v>4293</v>
      </c>
      <c r="CH438" s="69" t="str">
        <f t="shared" si="27"/>
        <v>برنامج دولى</v>
      </c>
    </row>
    <row r="439" spans="1:86" x14ac:dyDescent="0.25">
      <c r="A439" s="148"/>
      <c r="B439" s="82">
        <v>7859</v>
      </c>
      <c r="C439" s="149">
        <v>4294</v>
      </c>
      <c r="D439" s="69" t="s">
        <v>78</v>
      </c>
      <c r="E439" s="69" t="s">
        <v>3232</v>
      </c>
      <c r="F439" s="63"/>
      <c r="G439" s="69">
        <v>2321.56</v>
      </c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69"/>
      <c r="AH439" s="69"/>
      <c r="AI439" s="69"/>
      <c r="AJ439" s="69"/>
      <c r="AK439" s="69"/>
      <c r="AL439" s="69"/>
      <c r="AM439" s="69"/>
      <c r="AN439" s="69"/>
      <c r="AO439" s="69"/>
      <c r="AP439" s="69"/>
      <c r="AQ439" s="69"/>
      <c r="AR439" s="94">
        <f t="shared" si="26"/>
        <v>2321.56</v>
      </c>
      <c r="AS439" s="69">
        <v>1552.5</v>
      </c>
      <c r="AT439" s="69">
        <v>209.7</v>
      </c>
      <c r="AU439" s="69">
        <v>559.36</v>
      </c>
      <c r="AV439" s="69"/>
      <c r="AW439" s="69"/>
      <c r="AX439" s="69"/>
      <c r="AY439" s="69"/>
      <c r="AZ439" s="69"/>
      <c r="BA439" s="69"/>
      <c r="BB439" s="69"/>
      <c r="BC439" s="69"/>
      <c r="BD439" s="69"/>
      <c r="BE439" s="69"/>
      <c r="BF439" s="69"/>
      <c r="BG439" s="69"/>
      <c r="BH439" s="69"/>
      <c r="BI439" s="69"/>
      <c r="BJ439" s="69"/>
      <c r="BK439" s="69"/>
      <c r="BL439" s="69"/>
      <c r="BM439" s="69"/>
      <c r="BN439" s="69"/>
      <c r="BO439" s="69"/>
      <c r="BP439" s="69"/>
      <c r="BQ439" s="69"/>
      <c r="BR439" s="69"/>
      <c r="BS439" s="69"/>
      <c r="BT439" s="69"/>
      <c r="BU439" s="69"/>
      <c r="BV439" s="69"/>
      <c r="BW439" s="69"/>
      <c r="BX439" s="69"/>
      <c r="BY439" s="69"/>
      <c r="BZ439" s="69"/>
      <c r="CA439" s="69"/>
      <c r="CB439" s="69"/>
      <c r="CC439" s="69"/>
      <c r="CD439" s="69"/>
      <c r="CE439" s="94">
        <f t="shared" si="32"/>
        <v>2321.56</v>
      </c>
      <c r="CF439" s="151">
        <f t="shared" si="33"/>
        <v>0</v>
      </c>
      <c r="CG439" s="75">
        <f t="shared" si="27"/>
        <v>4294</v>
      </c>
      <c r="CH439" s="69" t="str">
        <f t="shared" si="27"/>
        <v>برنامج دولى</v>
      </c>
    </row>
    <row r="440" spans="1:86" x14ac:dyDescent="0.25">
      <c r="A440" s="148"/>
      <c r="B440" s="82">
        <v>5930</v>
      </c>
      <c r="C440" s="149">
        <v>4295</v>
      </c>
      <c r="D440" s="69" t="s">
        <v>78</v>
      </c>
      <c r="E440" s="69" t="str">
        <f>+E436</f>
        <v>عب تدريس اطفال</v>
      </c>
      <c r="F440" s="63"/>
      <c r="G440" s="69">
        <v>10920</v>
      </c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  <c r="AE440" s="69"/>
      <c r="AF440" s="69"/>
      <c r="AG440" s="69"/>
      <c r="AH440" s="69"/>
      <c r="AI440" s="69"/>
      <c r="AJ440" s="69"/>
      <c r="AK440" s="69"/>
      <c r="AL440" s="69"/>
      <c r="AM440" s="69"/>
      <c r="AN440" s="69"/>
      <c r="AO440" s="69"/>
      <c r="AP440" s="69"/>
      <c r="AQ440" s="69"/>
      <c r="AR440" s="94">
        <f t="shared" si="26"/>
        <v>10920</v>
      </c>
      <c r="AS440" s="69">
        <v>9748.65</v>
      </c>
      <c r="AT440" s="69">
        <v>1171.3499999999999</v>
      </c>
      <c r="AU440" s="69"/>
      <c r="AV440" s="69"/>
      <c r="AW440" s="69"/>
      <c r="AX440" s="69"/>
      <c r="AY440" s="69"/>
      <c r="AZ440" s="69"/>
      <c r="BA440" s="69"/>
      <c r="BB440" s="69"/>
      <c r="BC440" s="69"/>
      <c r="BD440" s="69"/>
      <c r="BE440" s="69"/>
      <c r="BF440" s="69"/>
      <c r="BG440" s="69"/>
      <c r="BH440" s="69"/>
      <c r="BI440" s="69"/>
      <c r="BJ440" s="69"/>
      <c r="BK440" s="69"/>
      <c r="BL440" s="69"/>
      <c r="BM440" s="69"/>
      <c r="BN440" s="69"/>
      <c r="BO440" s="69"/>
      <c r="BP440" s="69"/>
      <c r="BQ440" s="69"/>
      <c r="BR440" s="69"/>
      <c r="BS440" s="69"/>
      <c r="BT440" s="69"/>
      <c r="BU440" s="69"/>
      <c r="BV440" s="69"/>
      <c r="BW440" s="69"/>
      <c r="BX440" s="69"/>
      <c r="BY440" s="69"/>
      <c r="BZ440" s="69"/>
      <c r="CA440" s="69"/>
      <c r="CB440" s="69"/>
      <c r="CC440" s="69"/>
      <c r="CD440" s="69"/>
      <c r="CE440" s="94">
        <f t="shared" si="32"/>
        <v>10920</v>
      </c>
      <c r="CF440" s="151">
        <f t="shared" si="33"/>
        <v>0</v>
      </c>
      <c r="CG440" s="75">
        <f t="shared" si="27"/>
        <v>4295</v>
      </c>
      <c r="CH440" s="69" t="str">
        <f t="shared" si="27"/>
        <v>برنامج دولى</v>
      </c>
    </row>
    <row r="441" spans="1:86" x14ac:dyDescent="0.25">
      <c r="A441" s="148"/>
      <c r="B441" s="82">
        <v>5931</v>
      </c>
      <c r="C441" s="149">
        <v>4296</v>
      </c>
      <c r="D441" s="69" t="s">
        <v>78</v>
      </c>
      <c r="E441" s="69" t="s">
        <v>1386</v>
      </c>
      <c r="F441" s="63"/>
      <c r="G441" s="69">
        <v>6120</v>
      </c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  <c r="AE441" s="69"/>
      <c r="AF441" s="69"/>
      <c r="AG441" s="69"/>
      <c r="AH441" s="69"/>
      <c r="AI441" s="69"/>
      <c r="AJ441" s="69"/>
      <c r="AK441" s="69"/>
      <c r="AL441" s="69"/>
      <c r="AM441" s="69"/>
      <c r="AN441" s="69"/>
      <c r="AO441" s="69"/>
      <c r="AP441" s="69"/>
      <c r="AQ441" s="69"/>
      <c r="AR441" s="94">
        <f t="shared" si="26"/>
        <v>6120</v>
      </c>
      <c r="AS441" s="69">
        <v>5464.2</v>
      </c>
      <c r="AT441" s="69">
        <v>655.8</v>
      </c>
      <c r="AU441" s="69"/>
      <c r="AV441" s="69"/>
      <c r="AW441" s="69"/>
      <c r="AX441" s="69"/>
      <c r="AY441" s="69"/>
      <c r="AZ441" s="69"/>
      <c r="BA441" s="69"/>
      <c r="BB441" s="69"/>
      <c r="BC441" s="69"/>
      <c r="BD441" s="69"/>
      <c r="BE441" s="69"/>
      <c r="BF441" s="69"/>
      <c r="BG441" s="69"/>
      <c r="BH441" s="69"/>
      <c r="BI441" s="69"/>
      <c r="BJ441" s="69"/>
      <c r="BK441" s="69"/>
      <c r="BL441" s="69"/>
      <c r="BM441" s="69"/>
      <c r="BN441" s="69"/>
      <c r="BO441" s="69"/>
      <c r="BP441" s="69"/>
      <c r="BQ441" s="69"/>
      <c r="BR441" s="69"/>
      <c r="BS441" s="69"/>
      <c r="BT441" s="69"/>
      <c r="BU441" s="69"/>
      <c r="BV441" s="69"/>
      <c r="BW441" s="69"/>
      <c r="BX441" s="69"/>
      <c r="BY441" s="69"/>
      <c r="BZ441" s="69"/>
      <c r="CA441" s="69"/>
      <c r="CB441" s="69"/>
      <c r="CC441" s="69"/>
      <c r="CD441" s="69"/>
      <c r="CE441" s="94">
        <f t="shared" si="32"/>
        <v>6120</v>
      </c>
      <c r="CF441" s="151">
        <f t="shared" si="33"/>
        <v>0</v>
      </c>
      <c r="CG441" s="75">
        <f t="shared" si="27"/>
        <v>4296</v>
      </c>
      <c r="CH441" s="69" t="str">
        <f t="shared" si="27"/>
        <v>برنامج دولى</v>
      </c>
    </row>
    <row r="442" spans="1:86" x14ac:dyDescent="0.25">
      <c r="A442" s="148"/>
      <c r="B442" s="82">
        <v>5933</v>
      </c>
      <c r="C442" s="149">
        <v>4297</v>
      </c>
      <c r="D442" s="69" t="s">
        <v>78</v>
      </c>
      <c r="E442" s="69" t="s">
        <v>1386</v>
      </c>
      <c r="F442" s="63"/>
      <c r="G442" s="69">
        <v>7070.22</v>
      </c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  <c r="AE442" s="69"/>
      <c r="AF442" s="69"/>
      <c r="AG442" s="69"/>
      <c r="AH442" s="69"/>
      <c r="AI442" s="69"/>
      <c r="AJ442" s="69"/>
      <c r="AK442" s="69"/>
      <c r="AL442" s="69"/>
      <c r="AM442" s="69"/>
      <c r="AN442" s="69"/>
      <c r="AO442" s="69"/>
      <c r="AP442" s="69"/>
      <c r="AQ442" s="69"/>
      <c r="AR442" s="94">
        <f t="shared" si="26"/>
        <v>7070.22</v>
      </c>
      <c r="AS442" s="69">
        <v>4729.05</v>
      </c>
      <c r="AT442" s="69">
        <v>637.65</v>
      </c>
      <c r="AU442" s="69">
        <v>1703.52</v>
      </c>
      <c r="AV442" s="69"/>
      <c r="AW442" s="69"/>
      <c r="AX442" s="69"/>
      <c r="AY442" s="69"/>
      <c r="AZ442" s="69"/>
      <c r="BA442" s="69"/>
      <c r="BB442" s="69"/>
      <c r="BC442" s="69"/>
      <c r="BD442" s="69"/>
      <c r="BE442" s="69"/>
      <c r="BF442" s="69"/>
      <c r="BG442" s="69"/>
      <c r="BH442" s="69"/>
      <c r="BI442" s="69"/>
      <c r="BJ442" s="69"/>
      <c r="BK442" s="69"/>
      <c r="BL442" s="69"/>
      <c r="BM442" s="69"/>
      <c r="BN442" s="69"/>
      <c r="BO442" s="69"/>
      <c r="BP442" s="69"/>
      <c r="BQ442" s="69"/>
      <c r="BR442" s="69"/>
      <c r="BS442" s="69"/>
      <c r="BT442" s="69"/>
      <c r="BU442" s="69"/>
      <c r="BV442" s="69"/>
      <c r="BW442" s="69"/>
      <c r="BX442" s="69"/>
      <c r="BY442" s="69"/>
      <c r="BZ442" s="69"/>
      <c r="CA442" s="69"/>
      <c r="CB442" s="69"/>
      <c r="CC442" s="69"/>
      <c r="CD442" s="69"/>
      <c r="CE442" s="94">
        <f t="shared" si="32"/>
        <v>7070.2199999999993</v>
      </c>
      <c r="CF442" s="151">
        <f t="shared" si="33"/>
        <v>0</v>
      </c>
      <c r="CG442" s="75">
        <f t="shared" si="27"/>
        <v>4297</v>
      </c>
      <c r="CH442" s="69" t="str">
        <f t="shared" si="27"/>
        <v>برنامج دولى</v>
      </c>
    </row>
    <row r="443" spans="1:86" x14ac:dyDescent="0.25">
      <c r="A443" s="148"/>
      <c r="B443" s="82">
        <v>5936</v>
      </c>
      <c r="C443" s="149">
        <v>4298</v>
      </c>
      <c r="D443" s="69" t="s">
        <v>78</v>
      </c>
      <c r="E443" s="69" t="s">
        <v>1386</v>
      </c>
      <c r="F443" s="63"/>
      <c r="G443" s="69">
        <v>47460</v>
      </c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  <c r="AE443" s="69"/>
      <c r="AF443" s="69"/>
      <c r="AG443" s="69"/>
      <c r="AH443" s="69"/>
      <c r="AI443" s="69"/>
      <c r="AJ443" s="69"/>
      <c r="AK443" s="69"/>
      <c r="AL443" s="69"/>
      <c r="AM443" s="69"/>
      <c r="AN443" s="69"/>
      <c r="AO443" s="69"/>
      <c r="AP443" s="69"/>
      <c r="AQ443" s="69"/>
      <c r="AR443" s="94">
        <f t="shared" si="26"/>
        <v>47460</v>
      </c>
      <c r="AS443" s="69">
        <v>42376.85</v>
      </c>
      <c r="AT443" s="69">
        <v>5083.1499999999996</v>
      </c>
      <c r="AU443" s="69"/>
      <c r="AV443" s="69"/>
      <c r="AW443" s="69"/>
      <c r="AX443" s="69"/>
      <c r="AY443" s="69"/>
      <c r="AZ443" s="69"/>
      <c r="BA443" s="69"/>
      <c r="BB443" s="69"/>
      <c r="BC443" s="69"/>
      <c r="BD443" s="69"/>
      <c r="BE443" s="69"/>
      <c r="BF443" s="69"/>
      <c r="BG443" s="69"/>
      <c r="BH443" s="69"/>
      <c r="BI443" s="69"/>
      <c r="BJ443" s="69"/>
      <c r="BK443" s="69"/>
      <c r="BL443" s="69"/>
      <c r="BM443" s="69"/>
      <c r="BN443" s="69"/>
      <c r="BO443" s="69"/>
      <c r="BP443" s="69"/>
      <c r="BQ443" s="69"/>
      <c r="BR443" s="69"/>
      <c r="BS443" s="69"/>
      <c r="BT443" s="69"/>
      <c r="BU443" s="69"/>
      <c r="BV443" s="69"/>
      <c r="BW443" s="69"/>
      <c r="BX443" s="69"/>
      <c r="BY443" s="69"/>
      <c r="BZ443" s="69"/>
      <c r="CA443" s="69"/>
      <c r="CB443" s="69"/>
      <c r="CC443" s="69"/>
      <c r="CD443" s="69"/>
      <c r="CE443" s="94">
        <f t="shared" si="32"/>
        <v>47460</v>
      </c>
      <c r="CF443" s="151">
        <f t="shared" si="33"/>
        <v>0</v>
      </c>
      <c r="CG443" s="75">
        <f t="shared" si="27"/>
        <v>4298</v>
      </c>
      <c r="CH443" s="69" t="str">
        <f t="shared" si="27"/>
        <v>برنامج دولى</v>
      </c>
    </row>
    <row r="444" spans="1:86" x14ac:dyDescent="0.25">
      <c r="A444" s="148"/>
      <c r="B444" s="82">
        <v>5935</v>
      </c>
      <c r="C444" s="149">
        <v>4299</v>
      </c>
      <c r="D444" s="69" t="s">
        <v>78</v>
      </c>
      <c r="E444" s="69" t="s">
        <v>1386</v>
      </c>
      <c r="F444" s="63"/>
      <c r="G444" s="69">
        <v>5370</v>
      </c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  <c r="AE444" s="69"/>
      <c r="AF444" s="69"/>
      <c r="AG444" s="69"/>
      <c r="AH444" s="69"/>
      <c r="AI444" s="69"/>
      <c r="AJ444" s="69"/>
      <c r="AK444" s="69"/>
      <c r="AL444" s="69"/>
      <c r="AM444" s="69"/>
      <c r="AN444" s="69"/>
      <c r="AO444" s="69"/>
      <c r="AP444" s="69"/>
      <c r="AQ444" s="69"/>
      <c r="AR444" s="94">
        <f t="shared" si="26"/>
        <v>5370</v>
      </c>
      <c r="AS444" s="69">
        <v>4795</v>
      </c>
      <c r="AT444" s="69">
        <v>575</v>
      </c>
      <c r="AU444" s="69"/>
      <c r="AV444" s="69"/>
      <c r="AW444" s="69"/>
      <c r="AX444" s="69"/>
      <c r="AY444" s="69"/>
      <c r="AZ444" s="69"/>
      <c r="BA444" s="69"/>
      <c r="BB444" s="69"/>
      <c r="BC444" s="69"/>
      <c r="BD444" s="69"/>
      <c r="BE444" s="69"/>
      <c r="BF444" s="69"/>
      <c r="BG444" s="69"/>
      <c r="BH444" s="69"/>
      <c r="BI444" s="69"/>
      <c r="BJ444" s="69"/>
      <c r="BK444" s="69"/>
      <c r="BL444" s="69"/>
      <c r="BM444" s="69"/>
      <c r="BN444" s="69"/>
      <c r="BO444" s="69"/>
      <c r="BP444" s="69"/>
      <c r="BQ444" s="69"/>
      <c r="BR444" s="69"/>
      <c r="BS444" s="69"/>
      <c r="BT444" s="69"/>
      <c r="BU444" s="69"/>
      <c r="BV444" s="69"/>
      <c r="BW444" s="69"/>
      <c r="BX444" s="69"/>
      <c r="BY444" s="69"/>
      <c r="BZ444" s="69"/>
      <c r="CA444" s="69"/>
      <c r="CB444" s="69"/>
      <c r="CC444" s="69"/>
      <c r="CD444" s="69"/>
      <c r="CE444" s="94">
        <f t="shared" si="32"/>
        <v>5370</v>
      </c>
      <c r="CF444" s="151">
        <f t="shared" si="33"/>
        <v>0</v>
      </c>
      <c r="CG444" s="75">
        <f t="shared" si="27"/>
        <v>4299</v>
      </c>
      <c r="CH444" s="69" t="str">
        <f t="shared" si="27"/>
        <v>برنامج دولى</v>
      </c>
    </row>
    <row r="445" spans="1:86" x14ac:dyDescent="0.25">
      <c r="A445" s="148"/>
      <c r="B445" s="82">
        <v>5949</v>
      </c>
      <c r="C445" s="149">
        <v>4300</v>
      </c>
      <c r="D445" s="69" t="s">
        <v>78</v>
      </c>
      <c r="E445" s="69" t="str">
        <f>+E399</f>
        <v>عب تدريس طب مجتمع</v>
      </c>
      <c r="F445" s="63"/>
      <c r="G445" s="69">
        <v>11385</v>
      </c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  <c r="AE445" s="69"/>
      <c r="AF445" s="69"/>
      <c r="AG445" s="69"/>
      <c r="AH445" s="69"/>
      <c r="AI445" s="69"/>
      <c r="AJ445" s="69"/>
      <c r="AK445" s="69"/>
      <c r="AL445" s="69"/>
      <c r="AM445" s="69"/>
      <c r="AN445" s="69"/>
      <c r="AO445" s="69"/>
      <c r="AP445" s="69"/>
      <c r="AQ445" s="69"/>
      <c r="AR445" s="94">
        <f t="shared" si="26"/>
        <v>11385</v>
      </c>
      <c r="AS445" s="69">
        <v>10171.65</v>
      </c>
      <c r="AT445" s="69">
        <v>1213.3499999999999</v>
      </c>
      <c r="AU445" s="69"/>
      <c r="AV445" s="69"/>
      <c r="AW445" s="69"/>
      <c r="AX445" s="69"/>
      <c r="AY445" s="69"/>
      <c r="AZ445" s="69"/>
      <c r="BA445" s="69"/>
      <c r="BB445" s="69"/>
      <c r="BC445" s="69"/>
      <c r="BD445" s="69"/>
      <c r="BE445" s="69"/>
      <c r="BF445" s="69"/>
      <c r="BG445" s="69"/>
      <c r="BH445" s="69"/>
      <c r="BI445" s="69"/>
      <c r="BJ445" s="69"/>
      <c r="BK445" s="69"/>
      <c r="BL445" s="69"/>
      <c r="BM445" s="69"/>
      <c r="BN445" s="69"/>
      <c r="BO445" s="69"/>
      <c r="BP445" s="69"/>
      <c r="BQ445" s="69"/>
      <c r="BR445" s="69"/>
      <c r="BS445" s="69"/>
      <c r="BT445" s="69"/>
      <c r="BU445" s="69"/>
      <c r="BV445" s="69"/>
      <c r="BW445" s="69"/>
      <c r="BX445" s="69"/>
      <c r="BY445" s="69"/>
      <c r="BZ445" s="69"/>
      <c r="CA445" s="69"/>
      <c r="CB445" s="69"/>
      <c r="CC445" s="69"/>
      <c r="CD445" s="69"/>
      <c r="CE445" s="94">
        <f t="shared" si="32"/>
        <v>11385</v>
      </c>
      <c r="CF445" s="151">
        <f t="shared" si="33"/>
        <v>0</v>
      </c>
      <c r="CG445" s="75">
        <f t="shared" si="27"/>
        <v>4300</v>
      </c>
      <c r="CH445" s="69" t="str">
        <f t="shared" si="27"/>
        <v>برنامج دولى</v>
      </c>
    </row>
    <row r="446" spans="1:86" x14ac:dyDescent="0.25">
      <c r="A446" s="148"/>
      <c r="B446" s="82">
        <v>5948</v>
      </c>
      <c r="C446" s="149">
        <v>4301</v>
      </c>
      <c r="D446" s="69" t="s">
        <v>78</v>
      </c>
      <c r="E446" s="69" t="str">
        <f t="shared" ref="E446:E447" si="34">+E400</f>
        <v>عب تدريس طب مجتمع</v>
      </c>
      <c r="F446" s="63"/>
      <c r="G446" s="69">
        <v>1770</v>
      </c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  <c r="AE446" s="69"/>
      <c r="AF446" s="69"/>
      <c r="AG446" s="69"/>
      <c r="AH446" s="69"/>
      <c r="AI446" s="69"/>
      <c r="AJ446" s="69"/>
      <c r="AK446" s="69"/>
      <c r="AL446" s="69"/>
      <c r="AM446" s="69"/>
      <c r="AN446" s="69"/>
      <c r="AO446" s="69"/>
      <c r="AP446" s="69"/>
      <c r="AQ446" s="69"/>
      <c r="AR446" s="94">
        <f t="shared" si="26"/>
        <v>1770</v>
      </c>
      <c r="AS446" s="69">
        <v>1582.15</v>
      </c>
      <c r="AT446" s="69">
        <v>187.85</v>
      </c>
      <c r="AU446" s="69"/>
      <c r="AV446" s="69"/>
      <c r="AW446" s="69"/>
      <c r="AX446" s="69"/>
      <c r="AY446" s="69"/>
      <c r="AZ446" s="69"/>
      <c r="BA446" s="69"/>
      <c r="BB446" s="69"/>
      <c r="BC446" s="69"/>
      <c r="BD446" s="69"/>
      <c r="BE446" s="69"/>
      <c r="BF446" s="69"/>
      <c r="BG446" s="69"/>
      <c r="BH446" s="69"/>
      <c r="BI446" s="69"/>
      <c r="BJ446" s="69"/>
      <c r="BK446" s="69"/>
      <c r="BL446" s="69"/>
      <c r="BM446" s="69"/>
      <c r="BN446" s="69"/>
      <c r="BO446" s="69"/>
      <c r="BP446" s="69"/>
      <c r="BQ446" s="69"/>
      <c r="BR446" s="69"/>
      <c r="BS446" s="69"/>
      <c r="BT446" s="69"/>
      <c r="BU446" s="69"/>
      <c r="BV446" s="69"/>
      <c r="BW446" s="69"/>
      <c r="BX446" s="69"/>
      <c r="BY446" s="69"/>
      <c r="BZ446" s="69"/>
      <c r="CA446" s="69"/>
      <c r="CB446" s="69"/>
      <c r="CC446" s="69"/>
      <c r="CD446" s="69"/>
      <c r="CE446" s="94">
        <f t="shared" si="32"/>
        <v>1770</v>
      </c>
      <c r="CF446" s="151">
        <f t="shared" si="33"/>
        <v>0</v>
      </c>
      <c r="CG446" s="75">
        <f t="shared" si="27"/>
        <v>4301</v>
      </c>
      <c r="CH446" s="69" t="str">
        <f t="shared" si="27"/>
        <v>برنامج دولى</v>
      </c>
    </row>
    <row r="447" spans="1:86" x14ac:dyDescent="0.25">
      <c r="A447" s="148"/>
      <c r="B447" s="82">
        <v>5947</v>
      </c>
      <c r="C447" s="149">
        <v>4302</v>
      </c>
      <c r="D447" s="69" t="s">
        <v>78</v>
      </c>
      <c r="E447" s="69" t="str">
        <f t="shared" si="34"/>
        <v>عب تدريس طب مجتمع</v>
      </c>
      <c r="F447" s="63"/>
      <c r="G447" s="69">
        <v>1530</v>
      </c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  <c r="AE447" s="69"/>
      <c r="AF447" s="69"/>
      <c r="AG447" s="69"/>
      <c r="AH447" s="69"/>
      <c r="AI447" s="69"/>
      <c r="AJ447" s="69"/>
      <c r="AK447" s="69"/>
      <c r="AL447" s="69"/>
      <c r="AM447" s="69"/>
      <c r="AN447" s="69"/>
      <c r="AO447" s="69"/>
      <c r="AP447" s="69"/>
      <c r="AQ447" s="69"/>
      <c r="AR447" s="94">
        <f t="shared" si="26"/>
        <v>1530</v>
      </c>
      <c r="AS447" s="69">
        <v>1365.9</v>
      </c>
      <c r="AT447" s="69">
        <v>164.1</v>
      </c>
      <c r="AU447" s="69"/>
      <c r="AV447" s="69"/>
      <c r="AW447" s="69"/>
      <c r="AX447" s="69"/>
      <c r="AY447" s="69"/>
      <c r="AZ447" s="69"/>
      <c r="BA447" s="69"/>
      <c r="BB447" s="69"/>
      <c r="BC447" s="69"/>
      <c r="BD447" s="69"/>
      <c r="BE447" s="69"/>
      <c r="BF447" s="69"/>
      <c r="BG447" s="69"/>
      <c r="BH447" s="69"/>
      <c r="BI447" s="69"/>
      <c r="BJ447" s="69"/>
      <c r="BK447" s="69"/>
      <c r="BL447" s="69"/>
      <c r="BM447" s="69"/>
      <c r="BN447" s="69"/>
      <c r="BO447" s="69"/>
      <c r="BP447" s="69"/>
      <c r="BQ447" s="69"/>
      <c r="BR447" s="69"/>
      <c r="BS447" s="69"/>
      <c r="BT447" s="69"/>
      <c r="BU447" s="69"/>
      <c r="BV447" s="69"/>
      <c r="BW447" s="69"/>
      <c r="BX447" s="69"/>
      <c r="BY447" s="69"/>
      <c r="BZ447" s="69"/>
      <c r="CA447" s="69"/>
      <c r="CB447" s="69"/>
      <c r="CC447" s="69"/>
      <c r="CD447" s="69"/>
      <c r="CE447" s="94">
        <f t="shared" si="32"/>
        <v>1530</v>
      </c>
      <c r="CF447" s="151">
        <f t="shared" si="33"/>
        <v>0</v>
      </c>
      <c r="CG447" s="75">
        <f t="shared" si="27"/>
        <v>4302</v>
      </c>
      <c r="CH447" s="69" t="str">
        <f t="shared" si="27"/>
        <v>برنامج دولى</v>
      </c>
    </row>
    <row r="448" spans="1:86" x14ac:dyDescent="0.25">
      <c r="A448" s="148"/>
      <c r="B448" s="82">
        <v>5940</v>
      </c>
      <c r="C448" s="149">
        <v>4303</v>
      </c>
      <c r="D448" s="69" t="s">
        <v>78</v>
      </c>
      <c r="E448" s="69" t="str">
        <f>+E444</f>
        <v>عب تدريس اطفال</v>
      </c>
      <c r="F448" s="63"/>
      <c r="G448" s="69">
        <v>2267.92</v>
      </c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  <c r="AE448" s="69"/>
      <c r="AF448" s="69"/>
      <c r="AG448" s="69"/>
      <c r="AH448" s="69"/>
      <c r="AI448" s="69"/>
      <c r="AJ448" s="69"/>
      <c r="AK448" s="69"/>
      <c r="AL448" s="69"/>
      <c r="AM448" s="69"/>
      <c r="AN448" s="69"/>
      <c r="AO448" s="69"/>
      <c r="AP448" s="69"/>
      <c r="AQ448" s="69"/>
      <c r="AR448" s="94">
        <f t="shared" si="26"/>
        <v>2267.92</v>
      </c>
      <c r="AS448" s="69">
        <v>1859.83</v>
      </c>
      <c r="AT448" s="69">
        <v>231.35</v>
      </c>
      <c r="AU448" s="69">
        <v>176.74</v>
      </c>
      <c r="AV448" s="69"/>
      <c r="AW448" s="69"/>
      <c r="AX448" s="69"/>
      <c r="AY448" s="69"/>
      <c r="AZ448" s="69"/>
      <c r="BA448" s="69"/>
      <c r="BB448" s="69"/>
      <c r="BC448" s="69"/>
      <c r="BD448" s="69"/>
      <c r="BE448" s="69"/>
      <c r="BF448" s="69"/>
      <c r="BG448" s="69"/>
      <c r="BH448" s="69"/>
      <c r="BI448" s="69"/>
      <c r="BJ448" s="69"/>
      <c r="BK448" s="69"/>
      <c r="BL448" s="69"/>
      <c r="BM448" s="69"/>
      <c r="BN448" s="69"/>
      <c r="BO448" s="69"/>
      <c r="BP448" s="69"/>
      <c r="BQ448" s="69"/>
      <c r="BR448" s="69"/>
      <c r="BS448" s="69"/>
      <c r="BT448" s="69"/>
      <c r="BU448" s="69"/>
      <c r="BV448" s="69"/>
      <c r="BW448" s="69"/>
      <c r="BX448" s="69"/>
      <c r="BY448" s="69"/>
      <c r="BZ448" s="69"/>
      <c r="CA448" s="69"/>
      <c r="CB448" s="69"/>
      <c r="CC448" s="69"/>
      <c r="CD448" s="69"/>
      <c r="CE448" s="94">
        <f t="shared" si="32"/>
        <v>2267.92</v>
      </c>
      <c r="CF448" s="151">
        <f t="shared" si="33"/>
        <v>0</v>
      </c>
      <c r="CG448" s="75">
        <f t="shared" si="27"/>
        <v>4303</v>
      </c>
      <c r="CH448" s="69" t="str">
        <f t="shared" si="27"/>
        <v>برنامج دولى</v>
      </c>
    </row>
    <row r="449" spans="1:86" x14ac:dyDescent="0.25">
      <c r="A449" s="148"/>
      <c r="B449" s="82">
        <v>5937</v>
      </c>
      <c r="C449" s="149">
        <v>4304</v>
      </c>
      <c r="D449" s="69" t="s">
        <v>78</v>
      </c>
      <c r="E449" s="69" t="str">
        <f t="shared" ref="E449:E455" si="35">+E448</f>
        <v>عب تدريس اطفال</v>
      </c>
      <c r="F449" s="63"/>
      <c r="G449" s="69">
        <v>2567.7800000000002</v>
      </c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  <c r="AE449" s="69"/>
      <c r="AF449" s="69"/>
      <c r="AG449" s="69"/>
      <c r="AH449" s="69"/>
      <c r="AI449" s="69"/>
      <c r="AJ449" s="69"/>
      <c r="AK449" s="69"/>
      <c r="AL449" s="69"/>
      <c r="AM449" s="69"/>
      <c r="AN449" s="69"/>
      <c r="AO449" s="69"/>
      <c r="AP449" s="69"/>
      <c r="AQ449" s="69"/>
      <c r="AR449" s="94">
        <f t="shared" si="26"/>
        <v>2567.7800000000002</v>
      </c>
      <c r="AS449" s="69">
        <v>1717.9</v>
      </c>
      <c r="AT449" s="69">
        <f>12.2+219</f>
        <v>231.2</v>
      </c>
      <c r="AU449" s="69">
        <f>849.88-231.2</f>
        <v>618.68000000000006</v>
      </c>
      <c r="AV449" s="69"/>
      <c r="AW449" s="69"/>
      <c r="AX449" s="69"/>
      <c r="AY449" s="69"/>
      <c r="AZ449" s="69"/>
      <c r="BA449" s="69"/>
      <c r="BB449" s="69"/>
      <c r="BC449" s="69"/>
      <c r="BD449" s="69"/>
      <c r="BE449" s="69"/>
      <c r="BF449" s="69"/>
      <c r="BG449" s="69"/>
      <c r="BH449" s="69"/>
      <c r="BI449" s="69"/>
      <c r="BJ449" s="69"/>
      <c r="BK449" s="69"/>
      <c r="BL449" s="69"/>
      <c r="BM449" s="69"/>
      <c r="BN449" s="69"/>
      <c r="BO449" s="69"/>
      <c r="BP449" s="69"/>
      <c r="BQ449" s="69"/>
      <c r="BR449" s="69"/>
      <c r="BS449" s="69"/>
      <c r="BT449" s="69"/>
      <c r="BU449" s="69"/>
      <c r="BV449" s="69"/>
      <c r="BW449" s="69"/>
      <c r="BX449" s="69"/>
      <c r="BY449" s="69"/>
      <c r="BZ449" s="69"/>
      <c r="CA449" s="69"/>
      <c r="CB449" s="69"/>
      <c r="CC449" s="69"/>
      <c r="CD449" s="69"/>
      <c r="CE449" s="94">
        <f t="shared" si="32"/>
        <v>2567.7800000000002</v>
      </c>
      <c r="CF449" s="151">
        <f t="shared" si="33"/>
        <v>0</v>
      </c>
      <c r="CG449" s="75">
        <f t="shared" si="27"/>
        <v>4304</v>
      </c>
      <c r="CH449" s="69" t="str">
        <f t="shared" si="27"/>
        <v>برنامج دولى</v>
      </c>
    </row>
    <row r="450" spans="1:86" x14ac:dyDescent="0.25">
      <c r="A450" s="148"/>
      <c r="B450" s="82">
        <v>5946</v>
      </c>
      <c r="C450" s="149">
        <v>4305</v>
      </c>
      <c r="D450" s="69" t="s">
        <v>78</v>
      </c>
      <c r="E450" s="69" t="str">
        <f t="shared" si="35"/>
        <v>عب تدريس اطفال</v>
      </c>
      <c r="F450" s="69">
        <f>+F449</f>
        <v>0</v>
      </c>
      <c r="G450" s="69">
        <v>17523.05</v>
      </c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  <c r="AE450" s="69"/>
      <c r="AF450" s="69"/>
      <c r="AG450" s="69"/>
      <c r="AH450" s="69"/>
      <c r="AI450" s="69"/>
      <c r="AJ450" s="69"/>
      <c r="AK450" s="69"/>
      <c r="AL450" s="69"/>
      <c r="AM450" s="69"/>
      <c r="AN450" s="69"/>
      <c r="AO450" s="69"/>
      <c r="AP450" s="69"/>
      <c r="AQ450" s="69"/>
      <c r="AR450" s="94">
        <f t="shared" si="26"/>
        <v>17523.05</v>
      </c>
      <c r="AS450" s="69">
        <v>13327.33</v>
      </c>
      <c r="AT450" s="69">
        <v>1709.65</v>
      </c>
      <c r="AU450" s="69">
        <v>2486.0700000000002</v>
      </c>
      <c r="AV450" s="69"/>
      <c r="AW450" s="69"/>
      <c r="AX450" s="69"/>
      <c r="AY450" s="69"/>
      <c r="AZ450" s="69"/>
      <c r="BA450" s="69"/>
      <c r="BB450" s="69"/>
      <c r="BC450" s="69"/>
      <c r="BD450" s="69"/>
      <c r="BE450" s="69"/>
      <c r="BF450" s="69"/>
      <c r="BG450" s="69"/>
      <c r="BH450" s="69"/>
      <c r="BI450" s="69"/>
      <c r="BJ450" s="69"/>
      <c r="BK450" s="69"/>
      <c r="BL450" s="69"/>
      <c r="BM450" s="69"/>
      <c r="BN450" s="69"/>
      <c r="BO450" s="69"/>
      <c r="BP450" s="69"/>
      <c r="BQ450" s="69"/>
      <c r="BR450" s="69"/>
      <c r="BS450" s="69"/>
      <c r="BT450" s="69"/>
      <c r="BU450" s="69"/>
      <c r="BV450" s="69"/>
      <c r="BW450" s="69"/>
      <c r="BX450" s="69"/>
      <c r="BY450" s="69"/>
      <c r="BZ450" s="69"/>
      <c r="CA450" s="69"/>
      <c r="CB450" s="69"/>
      <c r="CC450" s="69"/>
      <c r="CD450" s="69"/>
      <c r="CE450" s="94">
        <f t="shared" si="32"/>
        <v>17523.05</v>
      </c>
      <c r="CF450" s="151">
        <f t="shared" si="33"/>
        <v>0</v>
      </c>
      <c r="CG450" s="75">
        <f t="shared" si="27"/>
        <v>4305</v>
      </c>
      <c r="CH450" s="69" t="str">
        <f t="shared" si="27"/>
        <v>برنامج دولى</v>
      </c>
    </row>
    <row r="451" spans="1:86" x14ac:dyDescent="0.25">
      <c r="A451" s="148"/>
      <c r="B451" s="82">
        <v>5945</v>
      </c>
      <c r="C451" s="149">
        <v>4306</v>
      </c>
      <c r="D451" s="69" t="s">
        <v>78</v>
      </c>
      <c r="E451" s="69" t="str">
        <f t="shared" si="35"/>
        <v>عب تدريس اطفال</v>
      </c>
      <c r="F451" s="63"/>
      <c r="G451" s="69">
        <v>4467.2299999999996</v>
      </c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  <c r="AE451" s="69"/>
      <c r="AF451" s="69"/>
      <c r="AG451" s="69"/>
      <c r="AH451" s="69"/>
      <c r="AI451" s="69"/>
      <c r="AJ451" s="69"/>
      <c r="AK451" s="69"/>
      <c r="AL451" s="69"/>
      <c r="AM451" s="69"/>
      <c r="AN451" s="69"/>
      <c r="AO451" s="69"/>
      <c r="AP451" s="69"/>
      <c r="AQ451" s="69"/>
      <c r="AR451" s="94">
        <f t="shared" si="26"/>
        <v>4467.2299999999996</v>
      </c>
      <c r="AS451" s="69">
        <v>2986.2</v>
      </c>
      <c r="AT451" s="69">
        <f>23.7+381</f>
        <v>404.7</v>
      </c>
      <c r="AU451" s="69">
        <f>1481.03-23.7-381</f>
        <v>1076.33</v>
      </c>
      <c r="AV451" s="69"/>
      <c r="AW451" s="69"/>
      <c r="AX451" s="69"/>
      <c r="AY451" s="69"/>
      <c r="AZ451" s="69"/>
      <c r="BA451" s="69"/>
      <c r="BB451" s="69"/>
      <c r="BC451" s="69"/>
      <c r="BD451" s="69"/>
      <c r="BE451" s="69"/>
      <c r="BF451" s="69"/>
      <c r="BG451" s="69"/>
      <c r="BH451" s="69"/>
      <c r="BI451" s="69"/>
      <c r="BJ451" s="69"/>
      <c r="BK451" s="69"/>
      <c r="BL451" s="69"/>
      <c r="BM451" s="69"/>
      <c r="BN451" s="69"/>
      <c r="BO451" s="69"/>
      <c r="BP451" s="69"/>
      <c r="BQ451" s="69"/>
      <c r="BR451" s="69"/>
      <c r="BS451" s="69"/>
      <c r="BT451" s="69"/>
      <c r="BU451" s="69"/>
      <c r="BV451" s="69"/>
      <c r="BW451" s="69"/>
      <c r="BX451" s="69"/>
      <c r="BY451" s="69"/>
      <c r="BZ451" s="69"/>
      <c r="CA451" s="69"/>
      <c r="CB451" s="69"/>
      <c r="CC451" s="69"/>
      <c r="CD451" s="69"/>
      <c r="CE451" s="94">
        <f t="shared" si="32"/>
        <v>4467.2299999999996</v>
      </c>
      <c r="CF451" s="151">
        <f t="shared" si="33"/>
        <v>0</v>
      </c>
      <c r="CG451" s="75">
        <f t="shared" si="27"/>
        <v>4306</v>
      </c>
      <c r="CH451" s="69" t="str">
        <f t="shared" si="27"/>
        <v>برنامج دولى</v>
      </c>
    </row>
    <row r="452" spans="1:86" x14ac:dyDescent="0.25">
      <c r="A452" s="148"/>
      <c r="B452" s="82">
        <v>7928</v>
      </c>
      <c r="C452" s="149">
        <v>4307</v>
      </c>
      <c r="D452" s="69" t="s">
        <v>78</v>
      </c>
      <c r="E452" s="69" t="str">
        <f t="shared" si="35"/>
        <v>عب تدريس اطفال</v>
      </c>
      <c r="F452" s="63"/>
      <c r="G452" s="69">
        <v>14730</v>
      </c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  <c r="AE452" s="69"/>
      <c r="AF452" s="69"/>
      <c r="AG452" s="69"/>
      <c r="AH452" s="69"/>
      <c r="AI452" s="69"/>
      <c r="AJ452" s="69"/>
      <c r="AK452" s="69"/>
      <c r="AL452" s="69"/>
      <c r="AM452" s="69"/>
      <c r="AN452" s="69"/>
      <c r="AO452" s="69"/>
      <c r="AP452" s="69"/>
      <c r="AQ452" s="69"/>
      <c r="AR452" s="94">
        <f t="shared" si="26"/>
        <v>14730</v>
      </c>
      <c r="AS452" s="69">
        <v>13148.65</v>
      </c>
      <c r="AT452" s="69">
        <v>1581.35</v>
      </c>
      <c r="AU452" s="69"/>
      <c r="AV452" s="69"/>
      <c r="AW452" s="69"/>
      <c r="AX452" s="69"/>
      <c r="AY452" s="69"/>
      <c r="AZ452" s="69"/>
      <c r="BA452" s="69"/>
      <c r="BB452" s="69"/>
      <c r="BC452" s="69"/>
      <c r="BD452" s="69"/>
      <c r="BE452" s="69"/>
      <c r="BF452" s="69"/>
      <c r="BG452" s="69"/>
      <c r="BH452" s="69"/>
      <c r="BI452" s="69"/>
      <c r="BJ452" s="69"/>
      <c r="BK452" s="69"/>
      <c r="BL452" s="69"/>
      <c r="BM452" s="69"/>
      <c r="BN452" s="69"/>
      <c r="BO452" s="69"/>
      <c r="BP452" s="69"/>
      <c r="BQ452" s="69"/>
      <c r="BR452" s="69"/>
      <c r="BS452" s="69"/>
      <c r="BT452" s="69"/>
      <c r="BU452" s="69"/>
      <c r="BV452" s="69"/>
      <c r="BW452" s="69"/>
      <c r="BX452" s="69"/>
      <c r="BY452" s="69"/>
      <c r="BZ452" s="69"/>
      <c r="CA452" s="69"/>
      <c r="CB452" s="69"/>
      <c r="CC452" s="69"/>
      <c r="CD452" s="69"/>
      <c r="CE452" s="94">
        <f t="shared" si="32"/>
        <v>14730</v>
      </c>
      <c r="CF452" s="151">
        <f t="shared" si="33"/>
        <v>0</v>
      </c>
      <c r="CG452" s="75">
        <f t="shared" si="27"/>
        <v>4307</v>
      </c>
      <c r="CH452" s="69" t="str">
        <f t="shared" si="27"/>
        <v>برنامج دولى</v>
      </c>
    </row>
    <row r="453" spans="1:86" x14ac:dyDescent="0.25">
      <c r="A453" s="148"/>
      <c r="B453" s="82">
        <v>5942</v>
      </c>
      <c r="C453" s="149">
        <v>4308</v>
      </c>
      <c r="D453" s="69" t="s">
        <v>78</v>
      </c>
      <c r="E453" s="69" t="str">
        <f t="shared" si="35"/>
        <v>عب تدريس اطفال</v>
      </c>
      <c r="F453" s="63"/>
      <c r="G453" s="69">
        <v>3600</v>
      </c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  <c r="AE453" s="69"/>
      <c r="AF453" s="69"/>
      <c r="AG453" s="69"/>
      <c r="AH453" s="69"/>
      <c r="AI453" s="69"/>
      <c r="AJ453" s="69"/>
      <c r="AK453" s="69"/>
      <c r="AL453" s="69"/>
      <c r="AM453" s="69"/>
      <c r="AN453" s="69"/>
      <c r="AO453" s="69"/>
      <c r="AP453" s="69"/>
      <c r="AQ453" s="69"/>
      <c r="AR453" s="94">
        <f t="shared" si="26"/>
        <v>3600</v>
      </c>
      <c r="AS453" s="69">
        <v>3213.7</v>
      </c>
      <c r="AT453" s="69">
        <v>386.3</v>
      </c>
      <c r="AU453" s="69"/>
      <c r="AV453" s="69"/>
      <c r="AW453" s="69"/>
      <c r="AX453" s="69"/>
      <c r="AY453" s="69"/>
      <c r="AZ453" s="69"/>
      <c r="BA453" s="69"/>
      <c r="BB453" s="69"/>
      <c r="BC453" s="69"/>
      <c r="BD453" s="69"/>
      <c r="BE453" s="69"/>
      <c r="BF453" s="69"/>
      <c r="BG453" s="69"/>
      <c r="BH453" s="69"/>
      <c r="BI453" s="69"/>
      <c r="BJ453" s="69"/>
      <c r="BK453" s="69"/>
      <c r="BL453" s="69"/>
      <c r="BM453" s="69"/>
      <c r="BN453" s="69"/>
      <c r="BO453" s="69"/>
      <c r="BP453" s="69"/>
      <c r="BQ453" s="69"/>
      <c r="BR453" s="69"/>
      <c r="BS453" s="69"/>
      <c r="BT453" s="69"/>
      <c r="BU453" s="69"/>
      <c r="BV453" s="69"/>
      <c r="BW453" s="69"/>
      <c r="BX453" s="69"/>
      <c r="BY453" s="69"/>
      <c r="BZ453" s="69"/>
      <c r="CA453" s="69"/>
      <c r="CB453" s="69"/>
      <c r="CC453" s="69"/>
      <c r="CD453" s="69"/>
      <c r="CE453" s="94">
        <f t="shared" si="32"/>
        <v>3600</v>
      </c>
      <c r="CF453" s="151">
        <f t="shared" si="33"/>
        <v>0</v>
      </c>
      <c r="CG453" s="75">
        <f t="shared" si="27"/>
        <v>4308</v>
      </c>
      <c r="CH453" s="69" t="str">
        <f t="shared" si="27"/>
        <v>برنامج دولى</v>
      </c>
    </row>
    <row r="454" spans="1:86" x14ac:dyDescent="0.25">
      <c r="A454" s="148"/>
      <c r="B454" s="82">
        <v>5941</v>
      </c>
      <c r="C454" s="149">
        <v>4309</v>
      </c>
      <c r="D454" s="69" t="s">
        <v>78</v>
      </c>
      <c r="E454" s="69" t="str">
        <f t="shared" si="35"/>
        <v>عب تدريس اطفال</v>
      </c>
      <c r="F454" s="63"/>
      <c r="G454" s="69">
        <v>49140</v>
      </c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  <c r="AE454" s="69"/>
      <c r="AF454" s="69"/>
      <c r="AG454" s="69"/>
      <c r="AH454" s="69"/>
      <c r="AI454" s="69"/>
      <c r="AJ454" s="69"/>
      <c r="AK454" s="69"/>
      <c r="AL454" s="69"/>
      <c r="AM454" s="69"/>
      <c r="AN454" s="69"/>
      <c r="AO454" s="69"/>
      <c r="AP454" s="69"/>
      <c r="AQ454" s="69"/>
      <c r="AR454" s="94">
        <f t="shared" si="26"/>
        <v>49140</v>
      </c>
      <c r="AS454" s="69">
        <v>43874.400000000001</v>
      </c>
      <c r="AT454" s="69">
        <v>5265.6</v>
      </c>
      <c r="AU454" s="69"/>
      <c r="AV454" s="69"/>
      <c r="AW454" s="69"/>
      <c r="AX454" s="69"/>
      <c r="AY454" s="69"/>
      <c r="AZ454" s="69"/>
      <c r="BA454" s="69"/>
      <c r="BB454" s="69"/>
      <c r="BC454" s="69"/>
      <c r="BD454" s="69"/>
      <c r="BE454" s="69"/>
      <c r="BF454" s="69"/>
      <c r="BG454" s="69"/>
      <c r="BH454" s="69"/>
      <c r="BI454" s="69"/>
      <c r="BJ454" s="69"/>
      <c r="BK454" s="69"/>
      <c r="BL454" s="69"/>
      <c r="BM454" s="69"/>
      <c r="BN454" s="69"/>
      <c r="BO454" s="69"/>
      <c r="BP454" s="69"/>
      <c r="BQ454" s="69"/>
      <c r="BR454" s="69"/>
      <c r="BS454" s="69"/>
      <c r="BT454" s="69"/>
      <c r="BU454" s="69"/>
      <c r="BV454" s="69"/>
      <c r="BW454" s="69"/>
      <c r="BX454" s="69"/>
      <c r="BY454" s="69"/>
      <c r="BZ454" s="69"/>
      <c r="CA454" s="69"/>
      <c r="CB454" s="69"/>
      <c r="CC454" s="69"/>
      <c r="CD454" s="69"/>
      <c r="CE454" s="94">
        <f t="shared" si="32"/>
        <v>49140</v>
      </c>
      <c r="CF454" s="151">
        <f t="shared" si="33"/>
        <v>0</v>
      </c>
      <c r="CG454" s="75">
        <f t="shared" si="27"/>
        <v>4309</v>
      </c>
      <c r="CH454" s="69" t="str">
        <f t="shared" si="27"/>
        <v>برنامج دولى</v>
      </c>
    </row>
    <row r="455" spans="1:86" x14ac:dyDescent="0.25">
      <c r="A455" s="148"/>
      <c r="B455" s="82">
        <v>5943</v>
      </c>
      <c r="C455" s="149">
        <v>4310</v>
      </c>
      <c r="D455" s="69" t="s">
        <v>78</v>
      </c>
      <c r="E455" s="69" t="str">
        <f t="shared" si="35"/>
        <v>عب تدريس اطفال</v>
      </c>
      <c r="F455" s="63"/>
      <c r="G455" s="69">
        <v>106380</v>
      </c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  <c r="AE455" s="69"/>
      <c r="AF455" s="69"/>
      <c r="AG455" s="69"/>
      <c r="AH455" s="69"/>
      <c r="AI455" s="69"/>
      <c r="AJ455" s="69"/>
      <c r="AK455" s="69"/>
      <c r="AL455" s="69"/>
      <c r="AM455" s="69"/>
      <c r="AN455" s="69"/>
      <c r="AO455" s="69"/>
      <c r="AP455" s="69"/>
      <c r="AQ455" s="69"/>
      <c r="AR455" s="94">
        <f t="shared" si="26"/>
        <v>106380</v>
      </c>
      <c r="AS455" s="69">
        <v>94933.15</v>
      </c>
      <c r="AT455" s="69">
        <v>11446.85</v>
      </c>
      <c r="AU455" s="69"/>
      <c r="AV455" s="69"/>
      <c r="AW455" s="69"/>
      <c r="AX455" s="69"/>
      <c r="AY455" s="69"/>
      <c r="AZ455" s="69"/>
      <c r="BA455" s="69"/>
      <c r="BB455" s="69"/>
      <c r="BC455" s="69"/>
      <c r="BD455" s="69"/>
      <c r="BE455" s="69"/>
      <c r="BF455" s="69"/>
      <c r="BG455" s="69"/>
      <c r="BH455" s="69"/>
      <c r="BI455" s="69"/>
      <c r="BJ455" s="69"/>
      <c r="BK455" s="69"/>
      <c r="BL455" s="69"/>
      <c r="BM455" s="69"/>
      <c r="BN455" s="69"/>
      <c r="BO455" s="69"/>
      <c r="BP455" s="69"/>
      <c r="BQ455" s="69"/>
      <c r="BR455" s="69"/>
      <c r="BS455" s="69"/>
      <c r="BT455" s="69"/>
      <c r="BU455" s="69"/>
      <c r="BV455" s="69"/>
      <c r="BW455" s="69"/>
      <c r="BX455" s="69"/>
      <c r="BY455" s="69"/>
      <c r="BZ455" s="69"/>
      <c r="CA455" s="69"/>
      <c r="CB455" s="69"/>
      <c r="CC455" s="69"/>
      <c r="CD455" s="69"/>
      <c r="CE455" s="94">
        <f t="shared" si="32"/>
        <v>106380</v>
      </c>
      <c r="CF455" s="151">
        <f t="shared" si="33"/>
        <v>0</v>
      </c>
      <c r="CG455" s="75">
        <f t="shared" si="27"/>
        <v>4310</v>
      </c>
      <c r="CH455" s="69" t="str">
        <f t="shared" si="27"/>
        <v>برنامج دولى</v>
      </c>
    </row>
    <row r="456" spans="1:86" x14ac:dyDescent="0.25">
      <c r="A456" s="148"/>
      <c r="B456" s="82">
        <v>5926</v>
      </c>
      <c r="C456" s="149">
        <v>4311</v>
      </c>
      <c r="D456" s="69" t="s">
        <v>78</v>
      </c>
      <c r="E456" s="69" t="s">
        <v>3233</v>
      </c>
      <c r="F456" s="63"/>
      <c r="G456" s="69">
        <v>850.07</v>
      </c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  <c r="AE456" s="69"/>
      <c r="AF456" s="69"/>
      <c r="AG456" s="69"/>
      <c r="AH456" s="69"/>
      <c r="AI456" s="69"/>
      <c r="AJ456" s="69"/>
      <c r="AK456" s="69"/>
      <c r="AL456" s="69"/>
      <c r="AM456" s="69"/>
      <c r="AN456" s="69"/>
      <c r="AO456" s="69"/>
      <c r="AP456" s="69"/>
      <c r="AQ456" s="69"/>
      <c r="AR456" s="94">
        <f t="shared" si="26"/>
        <v>850.07</v>
      </c>
      <c r="AS456" s="69">
        <v>568.69000000000005</v>
      </c>
      <c r="AT456" s="69">
        <f>72.5+4.06</f>
        <v>76.56</v>
      </c>
      <c r="AU456" s="69">
        <f>281.38-AT456</f>
        <v>204.82</v>
      </c>
      <c r="AV456" s="69"/>
      <c r="AW456" s="69"/>
      <c r="AX456" s="69"/>
      <c r="AY456" s="69"/>
      <c r="AZ456" s="69"/>
      <c r="BA456" s="69"/>
      <c r="BB456" s="69"/>
      <c r="BC456" s="69"/>
      <c r="BD456" s="69"/>
      <c r="BE456" s="69"/>
      <c r="BF456" s="69"/>
      <c r="BG456" s="69"/>
      <c r="BH456" s="69"/>
      <c r="BI456" s="69"/>
      <c r="BJ456" s="69"/>
      <c r="BK456" s="69"/>
      <c r="BL456" s="69"/>
      <c r="BM456" s="69"/>
      <c r="BN456" s="69"/>
      <c r="BO456" s="69"/>
      <c r="BP456" s="69"/>
      <c r="BQ456" s="69"/>
      <c r="BR456" s="69"/>
      <c r="BS456" s="69"/>
      <c r="BT456" s="69"/>
      <c r="BU456" s="69"/>
      <c r="BV456" s="69"/>
      <c r="BW456" s="69"/>
      <c r="BX456" s="69"/>
      <c r="BY456" s="69"/>
      <c r="BZ456" s="69"/>
      <c r="CA456" s="69"/>
      <c r="CB456" s="69"/>
      <c r="CC456" s="69"/>
      <c r="CD456" s="69"/>
      <c r="CE456" s="94">
        <f t="shared" si="32"/>
        <v>850.06999999999994</v>
      </c>
      <c r="CF456" s="151">
        <f t="shared" si="33"/>
        <v>0</v>
      </c>
      <c r="CG456" s="75">
        <f t="shared" si="27"/>
        <v>4311</v>
      </c>
      <c r="CH456" s="69" t="str">
        <f t="shared" si="27"/>
        <v>برنامج دولى</v>
      </c>
    </row>
    <row r="457" spans="1:86" x14ac:dyDescent="0.25">
      <c r="A457" s="148"/>
      <c r="B457" s="82">
        <v>5932</v>
      </c>
      <c r="C457" s="149">
        <v>4312</v>
      </c>
      <c r="D457" s="69" t="s">
        <v>78</v>
      </c>
      <c r="E457" s="69" t="str">
        <f>+E455</f>
        <v>عب تدريس اطفال</v>
      </c>
      <c r="F457" s="63"/>
      <c r="G457" s="69">
        <v>990</v>
      </c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  <c r="AE457" s="69"/>
      <c r="AF457" s="69"/>
      <c r="AG457" s="69"/>
      <c r="AH457" s="69"/>
      <c r="AI457" s="69"/>
      <c r="AJ457" s="69"/>
      <c r="AK457" s="69"/>
      <c r="AL457" s="69"/>
      <c r="AM457" s="69"/>
      <c r="AN457" s="69"/>
      <c r="AO457" s="69"/>
      <c r="AP457" s="69"/>
      <c r="AQ457" s="69"/>
      <c r="AR457" s="94">
        <f t="shared" si="26"/>
        <v>990</v>
      </c>
      <c r="AS457" s="69">
        <v>884.4</v>
      </c>
      <c r="AT457" s="69">
        <v>105.6</v>
      </c>
      <c r="AU457" s="69"/>
      <c r="AV457" s="69"/>
      <c r="AW457" s="69"/>
      <c r="AX457" s="69"/>
      <c r="AY457" s="69"/>
      <c r="AZ457" s="69"/>
      <c r="BA457" s="69"/>
      <c r="BB457" s="69"/>
      <c r="BC457" s="69"/>
      <c r="BD457" s="69"/>
      <c r="BE457" s="69"/>
      <c r="BF457" s="69"/>
      <c r="BG457" s="69"/>
      <c r="BH457" s="69"/>
      <c r="BI457" s="69"/>
      <c r="BJ457" s="69"/>
      <c r="BK457" s="69"/>
      <c r="BL457" s="69"/>
      <c r="BM457" s="69"/>
      <c r="BN457" s="69"/>
      <c r="BO457" s="69"/>
      <c r="BP457" s="69"/>
      <c r="BQ457" s="69"/>
      <c r="BR457" s="69"/>
      <c r="BS457" s="69"/>
      <c r="BT457" s="69"/>
      <c r="BU457" s="69"/>
      <c r="BV457" s="69"/>
      <c r="BW457" s="69"/>
      <c r="BX457" s="69"/>
      <c r="BY457" s="69"/>
      <c r="BZ457" s="69"/>
      <c r="CA457" s="69"/>
      <c r="CB457" s="69"/>
      <c r="CC457" s="69"/>
      <c r="CD457" s="69"/>
      <c r="CE457" s="94">
        <f t="shared" si="32"/>
        <v>990</v>
      </c>
      <c r="CF457" s="151">
        <f t="shared" si="33"/>
        <v>0</v>
      </c>
      <c r="CG457" s="75">
        <f t="shared" si="27"/>
        <v>4312</v>
      </c>
      <c r="CH457" s="69" t="str">
        <f t="shared" si="27"/>
        <v>برنامج دولى</v>
      </c>
    </row>
    <row r="458" spans="1:86" x14ac:dyDescent="0.25">
      <c r="A458" s="148"/>
      <c r="B458" s="82">
        <v>5939</v>
      </c>
      <c r="C458" s="149">
        <v>4313</v>
      </c>
      <c r="D458" s="69" t="s">
        <v>78</v>
      </c>
      <c r="E458" s="69" t="str">
        <f>+E457</f>
        <v>عب تدريس اطفال</v>
      </c>
      <c r="F458" s="63"/>
      <c r="G458" s="69">
        <v>13560</v>
      </c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  <c r="AE458" s="69"/>
      <c r="AF458" s="69"/>
      <c r="AG458" s="69"/>
      <c r="AH458" s="69"/>
      <c r="AI458" s="69"/>
      <c r="AJ458" s="69"/>
      <c r="AK458" s="69"/>
      <c r="AL458" s="69"/>
      <c r="AM458" s="69"/>
      <c r="AN458" s="69"/>
      <c r="AO458" s="69"/>
      <c r="AP458" s="69"/>
      <c r="AQ458" s="69"/>
      <c r="AR458" s="94">
        <f t="shared" si="26"/>
        <v>13560</v>
      </c>
      <c r="AS458" s="69">
        <v>12108.35</v>
      </c>
      <c r="AT458" s="69">
        <v>1451.65</v>
      </c>
      <c r="AU458" s="69"/>
      <c r="AV458" s="69"/>
      <c r="AW458" s="69"/>
      <c r="AX458" s="69"/>
      <c r="AY458" s="69"/>
      <c r="AZ458" s="69"/>
      <c r="BA458" s="69"/>
      <c r="BB458" s="69"/>
      <c r="BC458" s="69"/>
      <c r="BD458" s="69"/>
      <c r="BE458" s="69"/>
      <c r="BF458" s="69"/>
      <c r="BG458" s="69"/>
      <c r="BH458" s="69"/>
      <c r="BI458" s="69"/>
      <c r="BJ458" s="69"/>
      <c r="BK458" s="69"/>
      <c r="BL458" s="69"/>
      <c r="BM458" s="69"/>
      <c r="BN458" s="69"/>
      <c r="BO458" s="69"/>
      <c r="BP458" s="69"/>
      <c r="BQ458" s="69"/>
      <c r="BR458" s="69"/>
      <c r="BS458" s="69"/>
      <c r="BT458" s="69"/>
      <c r="BU458" s="69"/>
      <c r="BV458" s="69"/>
      <c r="BW458" s="69"/>
      <c r="BX458" s="69"/>
      <c r="BY458" s="69"/>
      <c r="BZ458" s="69"/>
      <c r="CA458" s="69"/>
      <c r="CB458" s="69"/>
      <c r="CC458" s="69"/>
      <c r="CD458" s="69"/>
      <c r="CE458" s="94">
        <f t="shared" si="32"/>
        <v>13560</v>
      </c>
      <c r="CF458" s="151">
        <f t="shared" si="33"/>
        <v>0</v>
      </c>
      <c r="CG458" s="75">
        <f t="shared" si="27"/>
        <v>4313</v>
      </c>
      <c r="CH458" s="69" t="str">
        <f t="shared" si="27"/>
        <v>برنامج دولى</v>
      </c>
    </row>
    <row r="459" spans="1:86" x14ac:dyDescent="0.25">
      <c r="A459" s="148"/>
      <c r="B459" s="82">
        <v>6715</v>
      </c>
      <c r="C459" s="149">
        <v>4314</v>
      </c>
      <c r="D459" s="69" t="s">
        <v>121</v>
      </c>
      <c r="E459" s="69" t="s">
        <v>3234</v>
      </c>
      <c r="F459" s="63"/>
      <c r="G459" s="69">
        <v>173.46</v>
      </c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  <c r="AE459" s="69"/>
      <c r="AF459" s="69"/>
      <c r="AG459" s="69"/>
      <c r="AH459" s="69"/>
      <c r="AI459" s="69"/>
      <c r="AJ459" s="69"/>
      <c r="AK459" s="69"/>
      <c r="AL459" s="69"/>
      <c r="AM459" s="69"/>
      <c r="AN459" s="69"/>
      <c r="AO459" s="69"/>
      <c r="AP459" s="69"/>
      <c r="AQ459" s="69"/>
      <c r="AR459" s="94">
        <f t="shared" si="26"/>
        <v>173.46</v>
      </c>
      <c r="AS459" s="69">
        <v>116.38</v>
      </c>
      <c r="AT459" s="69">
        <v>15.29</v>
      </c>
      <c r="AU459" s="69">
        <v>41.79</v>
      </c>
      <c r="AV459" s="69"/>
      <c r="AW459" s="69"/>
      <c r="AX459" s="69"/>
      <c r="AY459" s="69"/>
      <c r="AZ459" s="69"/>
      <c r="BA459" s="69"/>
      <c r="BB459" s="69"/>
      <c r="BC459" s="69"/>
      <c r="BD459" s="69"/>
      <c r="BE459" s="69"/>
      <c r="BF459" s="69"/>
      <c r="BG459" s="69"/>
      <c r="BH459" s="69"/>
      <c r="BI459" s="69"/>
      <c r="BJ459" s="69"/>
      <c r="BK459" s="69"/>
      <c r="BL459" s="69"/>
      <c r="BM459" s="69"/>
      <c r="BN459" s="69"/>
      <c r="BO459" s="69"/>
      <c r="BP459" s="69"/>
      <c r="BQ459" s="69"/>
      <c r="BR459" s="69"/>
      <c r="BS459" s="69"/>
      <c r="BT459" s="69"/>
      <c r="BU459" s="69"/>
      <c r="BV459" s="69"/>
      <c r="BW459" s="69"/>
      <c r="BX459" s="69"/>
      <c r="BY459" s="69"/>
      <c r="BZ459" s="69"/>
      <c r="CA459" s="69"/>
      <c r="CB459" s="69"/>
      <c r="CC459" s="69"/>
      <c r="CD459" s="69"/>
      <c r="CE459" s="94">
        <f t="shared" si="32"/>
        <v>173.45999999999998</v>
      </c>
      <c r="CF459" s="151">
        <f t="shared" si="33"/>
        <v>0</v>
      </c>
      <c r="CG459" s="75">
        <f t="shared" si="27"/>
        <v>4314</v>
      </c>
      <c r="CH459" s="69" t="str">
        <f t="shared" si="27"/>
        <v>ماليزى اسنان</v>
      </c>
    </row>
    <row r="460" spans="1:86" x14ac:dyDescent="0.25">
      <c r="A460" s="148"/>
      <c r="B460" s="82">
        <v>6713</v>
      </c>
      <c r="C460" s="149">
        <v>4315</v>
      </c>
      <c r="D460" s="69" t="s">
        <v>121</v>
      </c>
      <c r="E460" s="69" t="s">
        <v>3234</v>
      </c>
      <c r="F460" s="63"/>
      <c r="G460" s="69">
        <v>10201.31</v>
      </c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  <c r="AE460" s="69"/>
      <c r="AF460" s="69"/>
      <c r="AG460" s="69"/>
      <c r="AH460" s="69"/>
      <c r="AI460" s="69"/>
      <c r="AJ460" s="69"/>
      <c r="AK460" s="69"/>
      <c r="AL460" s="69"/>
      <c r="AM460" s="69"/>
      <c r="AN460" s="69"/>
      <c r="AO460" s="69"/>
      <c r="AP460" s="69"/>
      <c r="AQ460" s="69"/>
      <c r="AR460" s="94">
        <f t="shared" si="26"/>
        <v>10201.31</v>
      </c>
      <c r="AS460" s="69">
        <v>6822.41</v>
      </c>
      <c r="AT460" s="69">
        <v>907.03</v>
      </c>
      <c r="AU460" s="69">
        <v>2471.87</v>
      </c>
      <c r="AV460" s="69"/>
      <c r="AW460" s="69"/>
      <c r="AX460" s="69"/>
      <c r="AY460" s="69"/>
      <c r="AZ460" s="69"/>
      <c r="BA460" s="69"/>
      <c r="BB460" s="69"/>
      <c r="BC460" s="69"/>
      <c r="BD460" s="69"/>
      <c r="BE460" s="69"/>
      <c r="BF460" s="69"/>
      <c r="BG460" s="69"/>
      <c r="BH460" s="69"/>
      <c r="BI460" s="69"/>
      <c r="BJ460" s="69"/>
      <c r="BK460" s="69"/>
      <c r="BL460" s="69"/>
      <c r="BM460" s="69"/>
      <c r="BN460" s="69"/>
      <c r="BO460" s="69"/>
      <c r="BP460" s="69"/>
      <c r="BQ460" s="69"/>
      <c r="BR460" s="69"/>
      <c r="BS460" s="69"/>
      <c r="BT460" s="69"/>
      <c r="BU460" s="69"/>
      <c r="BV460" s="69"/>
      <c r="BW460" s="69"/>
      <c r="BX460" s="69"/>
      <c r="BY460" s="69"/>
      <c r="BZ460" s="69"/>
      <c r="CA460" s="69"/>
      <c r="CB460" s="69"/>
      <c r="CC460" s="69"/>
      <c r="CD460" s="69"/>
      <c r="CE460" s="94">
        <f t="shared" si="32"/>
        <v>10201.31</v>
      </c>
      <c r="CF460" s="151">
        <f t="shared" si="33"/>
        <v>0</v>
      </c>
      <c r="CG460" s="75">
        <f t="shared" si="27"/>
        <v>4315</v>
      </c>
      <c r="CH460" s="69" t="str">
        <f t="shared" si="27"/>
        <v>ماليزى اسنان</v>
      </c>
    </row>
    <row r="461" spans="1:86" x14ac:dyDescent="0.25">
      <c r="A461" s="148"/>
      <c r="B461" s="82">
        <v>7790</v>
      </c>
      <c r="C461" s="149">
        <v>4316</v>
      </c>
      <c r="D461" s="69" t="s">
        <v>121</v>
      </c>
      <c r="E461" s="69" t="s">
        <v>3234</v>
      </c>
      <c r="F461" s="63"/>
      <c r="G461" s="69">
        <v>11354.15</v>
      </c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  <c r="AE461" s="69"/>
      <c r="AF461" s="69"/>
      <c r="AG461" s="69"/>
      <c r="AH461" s="69"/>
      <c r="AI461" s="69"/>
      <c r="AJ461" s="69"/>
      <c r="AK461" s="69"/>
      <c r="AL461" s="69"/>
      <c r="AM461" s="69"/>
      <c r="AN461" s="69"/>
      <c r="AO461" s="69"/>
      <c r="AP461" s="69"/>
      <c r="AQ461" s="69"/>
      <c r="AR461" s="94">
        <f t="shared" si="26"/>
        <v>11354.15</v>
      </c>
      <c r="AS461" s="69">
        <v>7740.57</v>
      </c>
      <c r="AT461" s="69">
        <v>1011.77</v>
      </c>
      <c r="AU461" s="69">
        <v>2601.81</v>
      </c>
      <c r="AV461" s="69"/>
      <c r="AW461" s="69"/>
      <c r="AX461" s="69"/>
      <c r="AY461" s="69"/>
      <c r="AZ461" s="69"/>
      <c r="BA461" s="69"/>
      <c r="BB461" s="69"/>
      <c r="BC461" s="69"/>
      <c r="BD461" s="69"/>
      <c r="BE461" s="69"/>
      <c r="BF461" s="69"/>
      <c r="BG461" s="69"/>
      <c r="BH461" s="69"/>
      <c r="BI461" s="69"/>
      <c r="BJ461" s="69"/>
      <c r="BK461" s="69"/>
      <c r="BL461" s="69"/>
      <c r="BM461" s="69"/>
      <c r="BN461" s="69"/>
      <c r="BO461" s="69"/>
      <c r="BP461" s="69"/>
      <c r="BQ461" s="69"/>
      <c r="BR461" s="69"/>
      <c r="BS461" s="69"/>
      <c r="BT461" s="69"/>
      <c r="BU461" s="69"/>
      <c r="BV461" s="69"/>
      <c r="BW461" s="69"/>
      <c r="BX461" s="69"/>
      <c r="BY461" s="69"/>
      <c r="BZ461" s="69"/>
      <c r="CA461" s="69"/>
      <c r="CB461" s="69"/>
      <c r="CC461" s="69"/>
      <c r="CD461" s="69"/>
      <c r="CE461" s="94">
        <f t="shared" ref="CE461:CE524" si="36">SUM(AS461:CD461)</f>
        <v>11354.15</v>
      </c>
      <c r="CF461" s="151">
        <f t="shared" si="33"/>
        <v>0</v>
      </c>
      <c r="CG461" s="75">
        <f t="shared" si="27"/>
        <v>4316</v>
      </c>
      <c r="CH461" s="69" t="str">
        <f t="shared" si="27"/>
        <v>ماليزى اسنان</v>
      </c>
    </row>
    <row r="462" spans="1:86" x14ac:dyDescent="0.25">
      <c r="A462" s="148"/>
      <c r="B462" s="82">
        <v>6712</v>
      </c>
      <c r="C462" s="149">
        <v>4317</v>
      </c>
      <c r="D462" s="69" t="s">
        <v>121</v>
      </c>
      <c r="E462" s="69" t="s">
        <v>3234</v>
      </c>
      <c r="F462" s="63"/>
      <c r="G462" s="69">
        <v>8294.5300000000007</v>
      </c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  <c r="AE462" s="69"/>
      <c r="AF462" s="69"/>
      <c r="AG462" s="69"/>
      <c r="AH462" s="69"/>
      <c r="AI462" s="69"/>
      <c r="AJ462" s="69"/>
      <c r="AK462" s="69"/>
      <c r="AL462" s="69"/>
      <c r="AM462" s="69"/>
      <c r="AN462" s="69"/>
      <c r="AO462" s="69"/>
      <c r="AP462" s="69"/>
      <c r="AQ462" s="69"/>
      <c r="AR462" s="94">
        <f t="shared" si="26"/>
        <v>8294.5300000000007</v>
      </c>
      <c r="AS462" s="69">
        <v>5555.99</v>
      </c>
      <c r="AT462" s="69">
        <v>740.02</v>
      </c>
      <c r="AU462" s="69">
        <v>1998.52</v>
      </c>
      <c r="AV462" s="69"/>
      <c r="AW462" s="69"/>
      <c r="AX462" s="69"/>
      <c r="AY462" s="69"/>
      <c r="AZ462" s="69"/>
      <c r="BA462" s="69"/>
      <c r="BB462" s="69"/>
      <c r="BC462" s="69"/>
      <c r="BD462" s="69"/>
      <c r="BE462" s="69"/>
      <c r="BF462" s="69"/>
      <c r="BG462" s="69"/>
      <c r="BH462" s="69"/>
      <c r="BI462" s="69"/>
      <c r="BJ462" s="69"/>
      <c r="BK462" s="69"/>
      <c r="BL462" s="69"/>
      <c r="BM462" s="69"/>
      <c r="BN462" s="69"/>
      <c r="BO462" s="69"/>
      <c r="BP462" s="69"/>
      <c r="BQ462" s="69"/>
      <c r="BR462" s="69"/>
      <c r="BS462" s="69"/>
      <c r="BT462" s="69"/>
      <c r="BU462" s="69"/>
      <c r="BV462" s="69"/>
      <c r="BW462" s="69"/>
      <c r="BX462" s="69"/>
      <c r="BY462" s="69"/>
      <c r="BZ462" s="69"/>
      <c r="CA462" s="69"/>
      <c r="CB462" s="69"/>
      <c r="CC462" s="69"/>
      <c r="CD462" s="69"/>
      <c r="CE462" s="94">
        <f t="shared" si="36"/>
        <v>8294.5300000000007</v>
      </c>
      <c r="CF462" s="151">
        <f t="shared" si="33"/>
        <v>0</v>
      </c>
      <c r="CG462" s="75">
        <f t="shared" si="27"/>
        <v>4317</v>
      </c>
      <c r="CH462" s="69" t="str">
        <f t="shared" si="27"/>
        <v>ماليزى اسنان</v>
      </c>
    </row>
    <row r="463" spans="1:86" x14ac:dyDescent="0.25">
      <c r="A463" s="148"/>
      <c r="B463" s="82">
        <v>6710</v>
      </c>
      <c r="C463" s="149">
        <v>4318</v>
      </c>
      <c r="D463" s="69" t="s">
        <v>121</v>
      </c>
      <c r="E463" s="69" t="s">
        <v>3234</v>
      </c>
      <c r="F463" s="63"/>
      <c r="G463" s="69">
        <v>230.6</v>
      </c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  <c r="AE463" s="69"/>
      <c r="AF463" s="69"/>
      <c r="AG463" s="69"/>
      <c r="AH463" s="69"/>
      <c r="AI463" s="69"/>
      <c r="AJ463" s="69"/>
      <c r="AK463" s="69"/>
      <c r="AL463" s="69"/>
      <c r="AM463" s="69"/>
      <c r="AN463" s="69"/>
      <c r="AO463" s="69"/>
      <c r="AP463" s="69"/>
      <c r="AQ463" s="69"/>
      <c r="AR463" s="94">
        <f t="shared" si="26"/>
        <v>230.6</v>
      </c>
      <c r="AS463" s="69">
        <v>154.61000000000001</v>
      </c>
      <c r="AT463" s="69">
        <v>20.420000000000002</v>
      </c>
      <c r="AU463" s="69">
        <v>55.57</v>
      </c>
      <c r="AV463" s="69"/>
      <c r="AW463" s="69"/>
      <c r="AX463" s="69"/>
      <c r="AY463" s="69"/>
      <c r="AZ463" s="69"/>
      <c r="BA463" s="69"/>
      <c r="BB463" s="69"/>
      <c r="BC463" s="69"/>
      <c r="BD463" s="69"/>
      <c r="BE463" s="69"/>
      <c r="BF463" s="69"/>
      <c r="BG463" s="69"/>
      <c r="BH463" s="69"/>
      <c r="BI463" s="69"/>
      <c r="BJ463" s="69"/>
      <c r="BK463" s="69"/>
      <c r="BL463" s="69"/>
      <c r="BM463" s="69"/>
      <c r="BN463" s="69"/>
      <c r="BO463" s="69"/>
      <c r="BP463" s="69"/>
      <c r="BQ463" s="69"/>
      <c r="BR463" s="69"/>
      <c r="BS463" s="69"/>
      <c r="BT463" s="69"/>
      <c r="BU463" s="69"/>
      <c r="BV463" s="69"/>
      <c r="BW463" s="69"/>
      <c r="BX463" s="69"/>
      <c r="BY463" s="69"/>
      <c r="BZ463" s="69"/>
      <c r="CA463" s="69"/>
      <c r="CB463" s="69"/>
      <c r="CC463" s="69"/>
      <c r="CD463" s="69"/>
      <c r="CE463" s="94">
        <f t="shared" si="36"/>
        <v>230.60000000000002</v>
      </c>
      <c r="CF463" s="151">
        <f t="shared" si="33"/>
        <v>0</v>
      </c>
      <c r="CG463" s="75">
        <f t="shared" si="27"/>
        <v>4318</v>
      </c>
      <c r="CH463" s="69" t="str">
        <f t="shared" si="27"/>
        <v>ماليزى اسنان</v>
      </c>
    </row>
    <row r="464" spans="1:86" x14ac:dyDescent="0.25">
      <c r="A464" s="148"/>
      <c r="B464" s="82">
        <v>6711</v>
      </c>
      <c r="C464" s="149">
        <v>4319</v>
      </c>
      <c r="D464" s="69" t="s">
        <v>121</v>
      </c>
      <c r="E464" s="69" t="s">
        <v>3234</v>
      </c>
      <c r="F464" s="63"/>
      <c r="G464" s="69">
        <v>365</v>
      </c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  <c r="AE464" s="69"/>
      <c r="AF464" s="69"/>
      <c r="AG464" s="69"/>
      <c r="AH464" s="69"/>
      <c r="AI464" s="69"/>
      <c r="AJ464" s="69"/>
      <c r="AK464" s="69"/>
      <c r="AL464" s="69"/>
      <c r="AM464" s="69"/>
      <c r="AN464" s="69"/>
      <c r="AO464" s="69"/>
      <c r="AP464" s="69"/>
      <c r="AQ464" s="69"/>
      <c r="AR464" s="94">
        <f t="shared" si="26"/>
        <v>365</v>
      </c>
      <c r="AS464" s="69">
        <v>244.43</v>
      </c>
      <c r="AT464" s="69">
        <v>32.630000000000003</v>
      </c>
      <c r="AU464" s="69">
        <v>87.94</v>
      </c>
      <c r="AV464" s="69"/>
      <c r="AW464" s="69"/>
      <c r="AX464" s="69"/>
      <c r="AY464" s="69"/>
      <c r="AZ464" s="69"/>
      <c r="BA464" s="69"/>
      <c r="BB464" s="69"/>
      <c r="BC464" s="69"/>
      <c r="BD464" s="69"/>
      <c r="BE464" s="69"/>
      <c r="BF464" s="69"/>
      <c r="BG464" s="69"/>
      <c r="BH464" s="69"/>
      <c r="BI464" s="69"/>
      <c r="BJ464" s="69"/>
      <c r="BK464" s="69"/>
      <c r="BL464" s="69"/>
      <c r="BM464" s="69"/>
      <c r="BN464" s="69"/>
      <c r="BO464" s="69"/>
      <c r="BP464" s="69"/>
      <c r="BQ464" s="69"/>
      <c r="BR464" s="69"/>
      <c r="BS464" s="69"/>
      <c r="BT464" s="69"/>
      <c r="BU464" s="69"/>
      <c r="BV464" s="69"/>
      <c r="BW464" s="69"/>
      <c r="BX464" s="69"/>
      <c r="BY464" s="69"/>
      <c r="BZ464" s="69"/>
      <c r="CA464" s="69"/>
      <c r="CB464" s="69"/>
      <c r="CC464" s="69"/>
      <c r="CD464" s="69"/>
      <c r="CE464" s="94">
        <f t="shared" si="36"/>
        <v>365</v>
      </c>
      <c r="CF464" s="151">
        <f t="shared" si="33"/>
        <v>0</v>
      </c>
      <c r="CG464" s="75">
        <f t="shared" si="27"/>
        <v>4319</v>
      </c>
      <c r="CH464" s="69" t="str">
        <f t="shared" si="27"/>
        <v>ماليزى اسنان</v>
      </c>
    </row>
    <row r="465" spans="1:86" x14ac:dyDescent="0.25">
      <c r="A465" s="148"/>
      <c r="B465" s="82">
        <v>6714</v>
      </c>
      <c r="C465" s="149">
        <v>4320</v>
      </c>
      <c r="D465" s="69" t="s">
        <v>121</v>
      </c>
      <c r="E465" s="69" t="s">
        <v>3234</v>
      </c>
      <c r="F465" s="63"/>
      <c r="G465" s="69">
        <v>9251.48</v>
      </c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  <c r="AE465" s="69"/>
      <c r="AF465" s="69"/>
      <c r="AG465" s="69"/>
      <c r="AH465" s="69"/>
      <c r="AI465" s="69"/>
      <c r="AJ465" s="69"/>
      <c r="AK465" s="69"/>
      <c r="AL465" s="69"/>
      <c r="AM465" s="69"/>
      <c r="AN465" s="69"/>
      <c r="AO465" s="69"/>
      <c r="AP465" s="69"/>
      <c r="AQ465" s="69"/>
      <c r="AR465" s="94">
        <f t="shared" si="26"/>
        <v>9251.48</v>
      </c>
      <c r="AS465" s="69">
        <v>6379.95</v>
      </c>
      <c r="AT465" s="69">
        <v>836.61</v>
      </c>
      <c r="AU465" s="69">
        <v>2034.92</v>
      </c>
      <c r="AV465" s="69"/>
      <c r="AW465" s="69"/>
      <c r="AX465" s="69"/>
      <c r="AY465" s="69"/>
      <c r="AZ465" s="69"/>
      <c r="BA465" s="69"/>
      <c r="BB465" s="69"/>
      <c r="BC465" s="69"/>
      <c r="BD465" s="69"/>
      <c r="BE465" s="69"/>
      <c r="BF465" s="69"/>
      <c r="BG465" s="69"/>
      <c r="BH465" s="69"/>
      <c r="BI465" s="69"/>
      <c r="BJ465" s="69"/>
      <c r="BK465" s="69"/>
      <c r="BL465" s="69"/>
      <c r="BM465" s="69"/>
      <c r="BN465" s="69"/>
      <c r="BO465" s="69"/>
      <c r="BP465" s="69"/>
      <c r="BQ465" s="69"/>
      <c r="BR465" s="69"/>
      <c r="BS465" s="69"/>
      <c r="BT465" s="69"/>
      <c r="BU465" s="69"/>
      <c r="BV465" s="69"/>
      <c r="BW465" s="69"/>
      <c r="BX465" s="69"/>
      <c r="BY465" s="69"/>
      <c r="BZ465" s="69"/>
      <c r="CA465" s="69"/>
      <c r="CB465" s="69"/>
      <c r="CC465" s="69"/>
      <c r="CD465" s="69"/>
      <c r="CE465" s="94">
        <f t="shared" si="36"/>
        <v>9251.48</v>
      </c>
      <c r="CF465" s="151">
        <f t="shared" si="33"/>
        <v>0</v>
      </c>
      <c r="CG465" s="75">
        <f t="shared" si="27"/>
        <v>4320</v>
      </c>
      <c r="CH465" s="69" t="str">
        <f t="shared" si="27"/>
        <v>ماليزى اسنان</v>
      </c>
    </row>
    <row r="466" spans="1:86" x14ac:dyDescent="0.25">
      <c r="A466" s="148"/>
      <c r="B466" s="82">
        <v>6716</v>
      </c>
      <c r="C466" s="149">
        <v>4321</v>
      </c>
      <c r="D466" s="69" t="s">
        <v>121</v>
      </c>
      <c r="E466" s="69" t="s">
        <v>3234</v>
      </c>
      <c r="F466" s="63"/>
      <c r="G466" s="69">
        <v>867.3</v>
      </c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  <c r="AE466" s="69"/>
      <c r="AF466" s="69"/>
      <c r="AG466" s="69"/>
      <c r="AH466" s="69"/>
      <c r="AI466" s="69"/>
      <c r="AJ466" s="69"/>
      <c r="AK466" s="69"/>
      <c r="AL466" s="69"/>
      <c r="AM466" s="69"/>
      <c r="AN466" s="69"/>
      <c r="AO466" s="69"/>
      <c r="AP466" s="69"/>
      <c r="AQ466" s="69"/>
      <c r="AR466" s="94">
        <f t="shared" si="26"/>
        <v>867.3</v>
      </c>
      <c r="AS466" s="69">
        <v>581.9</v>
      </c>
      <c r="AT466" s="69">
        <v>76.45</v>
      </c>
      <c r="AU466" s="69">
        <v>208.95</v>
      </c>
      <c r="AV466" s="69"/>
      <c r="AW466" s="69"/>
      <c r="AX466" s="69"/>
      <c r="AY466" s="69"/>
      <c r="AZ466" s="69"/>
      <c r="BA466" s="69"/>
      <c r="BB466" s="69"/>
      <c r="BC466" s="69"/>
      <c r="BD466" s="69"/>
      <c r="BE466" s="69"/>
      <c r="BF466" s="69"/>
      <c r="BG466" s="69"/>
      <c r="BH466" s="69"/>
      <c r="BI466" s="69"/>
      <c r="BJ466" s="69"/>
      <c r="BK466" s="69"/>
      <c r="BL466" s="69"/>
      <c r="BM466" s="69"/>
      <c r="BN466" s="69"/>
      <c r="BO466" s="69"/>
      <c r="BP466" s="69"/>
      <c r="BQ466" s="69"/>
      <c r="BR466" s="69"/>
      <c r="BS466" s="69"/>
      <c r="BT466" s="69"/>
      <c r="BU466" s="69"/>
      <c r="BV466" s="69"/>
      <c r="BW466" s="69"/>
      <c r="BX466" s="69"/>
      <c r="BY466" s="69"/>
      <c r="BZ466" s="69"/>
      <c r="CA466" s="69"/>
      <c r="CB466" s="69"/>
      <c r="CC466" s="69"/>
      <c r="CD466" s="69"/>
      <c r="CE466" s="94">
        <f t="shared" si="36"/>
        <v>867.3</v>
      </c>
      <c r="CF466" s="151">
        <f t="shared" si="33"/>
        <v>0</v>
      </c>
      <c r="CG466" s="75">
        <f t="shared" si="27"/>
        <v>4321</v>
      </c>
      <c r="CH466" s="69" t="str">
        <f t="shared" si="27"/>
        <v>ماليزى اسنان</v>
      </c>
    </row>
    <row r="467" spans="1:86" x14ac:dyDescent="0.25">
      <c r="A467" s="148"/>
      <c r="B467" s="82">
        <v>6717</v>
      </c>
      <c r="C467" s="149">
        <v>4322</v>
      </c>
      <c r="D467" s="69" t="s">
        <v>121</v>
      </c>
      <c r="E467" s="69" t="s">
        <v>3234</v>
      </c>
      <c r="F467" s="63"/>
      <c r="G467" s="69">
        <v>4955.79</v>
      </c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  <c r="AE467" s="69"/>
      <c r="AF467" s="69"/>
      <c r="AG467" s="69"/>
      <c r="AH467" s="69"/>
      <c r="AI467" s="69"/>
      <c r="AJ467" s="69"/>
      <c r="AK467" s="69"/>
      <c r="AL467" s="69"/>
      <c r="AM467" s="69"/>
      <c r="AN467" s="69"/>
      <c r="AO467" s="69"/>
      <c r="AP467" s="69"/>
      <c r="AQ467" s="69"/>
      <c r="AR467" s="94">
        <f t="shared" si="26"/>
        <v>4955.79</v>
      </c>
      <c r="AS467" s="69">
        <v>3323.96</v>
      </c>
      <c r="AT467" s="69">
        <v>438.06</v>
      </c>
      <c r="AU467" s="69">
        <v>1193.77</v>
      </c>
      <c r="AV467" s="69"/>
      <c r="AW467" s="69"/>
      <c r="AX467" s="69"/>
      <c r="AY467" s="69"/>
      <c r="AZ467" s="69"/>
      <c r="BA467" s="69"/>
      <c r="BB467" s="69"/>
      <c r="BC467" s="69"/>
      <c r="BD467" s="69"/>
      <c r="BE467" s="69"/>
      <c r="BF467" s="69"/>
      <c r="BG467" s="69"/>
      <c r="BH467" s="69"/>
      <c r="BI467" s="69"/>
      <c r="BJ467" s="69"/>
      <c r="BK467" s="69"/>
      <c r="BL467" s="69"/>
      <c r="BM467" s="69"/>
      <c r="BN467" s="69"/>
      <c r="BO467" s="69"/>
      <c r="BP467" s="69"/>
      <c r="BQ467" s="69"/>
      <c r="BR467" s="69"/>
      <c r="BS467" s="69"/>
      <c r="BT467" s="69"/>
      <c r="BU467" s="69"/>
      <c r="BV467" s="69"/>
      <c r="BW467" s="69"/>
      <c r="BX467" s="69"/>
      <c r="BY467" s="69"/>
      <c r="BZ467" s="69"/>
      <c r="CA467" s="69"/>
      <c r="CB467" s="69"/>
      <c r="CC467" s="69"/>
      <c r="CD467" s="69"/>
      <c r="CE467" s="94">
        <f t="shared" si="36"/>
        <v>4955.79</v>
      </c>
      <c r="CF467" s="151">
        <f t="shared" si="33"/>
        <v>0</v>
      </c>
      <c r="CG467" s="75">
        <f t="shared" si="27"/>
        <v>4322</v>
      </c>
      <c r="CH467" s="69" t="str">
        <f t="shared" si="27"/>
        <v>ماليزى اسنان</v>
      </c>
    </row>
    <row r="468" spans="1:86" x14ac:dyDescent="0.25">
      <c r="A468" s="148"/>
      <c r="B468" s="82">
        <v>6718</v>
      </c>
      <c r="C468" s="149">
        <v>4323</v>
      </c>
      <c r="D468" s="69" t="s">
        <v>121</v>
      </c>
      <c r="E468" s="69" t="s">
        <v>3234</v>
      </c>
      <c r="F468" s="63"/>
      <c r="G468" s="69">
        <v>229.52</v>
      </c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  <c r="AE468" s="69"/>
      <c r="AF468" s="69"/>
      <c r="AG468" s="69"/>
      <c r="AH468" s="69"/>
      <c r="AI468" s="69"/>
      <c r="AJ468" s="69"/>
      <c r="AK468" s="69"/>
      <c r="AL468" s="69"/>
      <c r="AM468" s="69"/>
      <c r="AN468" s="69"/>
      <c r="AO468" s="69"/>
      <c r="AP468" s="69"/>
      <c r="AQ468" s="69"/>
      <c r="AR468" s="94">
        <f t="shared" si="26"/>
        <v>229.52</v>
      </c>
      <c r="AS468" s="69">
        <v>153.88</v>
      </c>
      <c r="AT468" s="69">
        <v>20.329999999999998</v>
      </c>
      <c r="AU468" s="69">
        <v>55.31</v>
      </c>
      <c r="AV468" s="69"/>
      <c r="AW468" s="69"/>
      <c r="AX468" s="69"/>
      <c r="AY468" s="69"/>
      <c r="AZ468" s="69"/>
      <c r="BA468" s="69"/>
      <c r="BB468" s="69"/>
      <c r="BC468" s="69"/>
      <c r="BD468" s="69"/>
      <c r="BE468" s="69"/>
      <c r="BF468" s="69"/>
      <c r="BG468" s="69"/>
      <c r="BH468" s="69"/>
      <c r="BI468" s="69"/>
      <c r="BJ468" s="69"/>
      <c r="BK468" s="69"/>
      <c r="BL468" s="69"/>
      <c r="BM468" s="69"/>
      <c r="BN468" s="69"/>
      <c r="BO468" s="69"/>
      <c r="BP468" s="69"/>
      <c r="BQ468" s="69"/>
      <c r="BR468" s="69"/>
      <c r="BS468" s="69"/>
      <c r="BT468" s="69"/>
      <c r="BU468" s="69"/>
      <c r="BV468" s="69"/>
      <c r="BW468" s="69"/>
      <c r="BX468" s="69"/>
      <c r="BY468" s="69"/>
      <c r="BZ468" s="69"/>
      <c r="CA468" s="69"/>
      <c r="CB468" s="69"/>
      <c r="CC468" s="69"/>
      <c r="CD468" s="69"/>
      <c r="CE468" s="94">
        <f t="shared" si="36"/>
        <v>229.51999999999998</v>
      </c>
      <c r="CF468" s="151">
        <f t="shared" si="33"/>
        <v>0</v>
      </c>
      <c r="CG468" s="75">
        <f t="shared" si="27"/>
        <v>4323</v>
      </c>
      <c r="CH468" s="69" t="str">
        <f t="shared" si="27"/>
        <v>ماليزى اسنان</v>
      </c>
    </row>
    <row r="469" spans="1:86" x14ac:dyDescent="0.25">
      <c r="A469" s="148"/>
      <c r="B469" s="82">
        <v>6665</v>
      </c>
      <c r="C469" s="149">
        <v>4324</v>
      </c>
      <c r="D469" s="69" t="s">
        <v>121</v>
      </c>
      <c r="E469" s="69" t="s">
        <v>3234</v>
      </c>
      <c r="F469" s="63"/>
      <c r="G469" s="69">
        <v>14945.39</v>
      </c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  <c r="AE469" s="69"/>
      <c r="AF469" s="69"/>
      <c r="AG469" s="69"/>
      <c r="AH469" s="69"/>
      <c r="AI469" s="69"/>
      <c r="AJ469" s="69"/>
      <c r="AK469" s="69"/>
      <c r="AL469" s="69"/>
      <c r="AM469" s="69"/>
      <c r="AN469" s="69"/>
      <c r="AO469" s="69"/>
      <c r="AP469" s="69"/>
      <c r="AQ469" s="69"/>
      <c r="AR469" s="94">
        <f t="shared" si="26"/>
        <v>14945.39</v>
      </c>
      <c r="AS469" s="69">
        <v>10285.32</v>
      </c>
      <c r="AT469" s="69">
        <v>1351.55</v>
      </c>
      <c r="AU469" s="69">
        <v>3308.52</v>
      </c>
      <c r="AV469" s="69"/>
      <c r="AW469" s="69"/>
      <c r="AX469" s="69"/>
      <c r="AY469" s="69"/>
      <c r="AZ469" s="69"/>
      <c r="BA469" s="69"/>
      <c r="BB469" s="69"/>
      <c r="BC469" s="69"/>
      <c r="BD469" s="69"/>
      <c r="BE469" s="69"/>
      <c r="BF469" s="69"/>
      <c r="BG469" s="69"/>
      <c r="BH469" s="69"/>
      <c r="BI469" s="69"/>
      <c r="BJ469" s="69"/>
      <c r="BK469" s="69"/>
      <c r="BL469" s="69"/>
      <c r="BM469" s="69"/>
      <c r="BN469" s="69"/>
      <c r="BO469" s="69"/>
      <c r="BP469" s="69"/>
      <c r="BQ469" s="69"/>
      <c r="BR469" s="69"/>
      <c r="BS469" s="69"/>
      <c r="BT469" s="69"/>
      <c r="BU469" s="69"/>
      <c r="BV469" s="69"/>
      <c r="BW469" s="69"/>
      <c r="BX469" s="69"/>
      <c r="BY469" s="69"/>
      <c r="BZ469" s="69"/>
      <c r="CA469" s="69"/>
      <c r="CB469" s="69"/>
      <c r="CC469" s="69"/>
      <c r="CD469" s="69"/>
      <c r="CE469" s="94">
        <f t="shared" si="36"/>
        <v>14945.39</v>
      </c>
      <c r="CF469" s="151">
        <f t="shared" si="33"/>
        <v>0</v>
      </c>
      <c r="CG469" s="75">
        <f t="shared" si="27"/>
        <v>4324</v>
      </c>
      <c r="CH469" s="69" t="str">
        <f t="shared" si="27"/>
        <v>ماليزى اسنان</v>
      </c>
    </row>
    <row r="470" spans="1:86" x14ac:dyDescent="0.25">
      <c r="A470" s="148"/>
      <c r="B470" s="82">
        <v>6709</v>
      </c>
      <c r="C470" s="149">
        <v>4325</v>
      </c>
      <c r="D470" s="69" t="s">
        <v>121</v>
      </c>
      <c r="E470" s="69" t="s">
        <v>3234</v>
      </c>
      <c r="F470" s="63"/>
      <c r="G470" s="69">
        <v>257.10000000000002</v>
      </c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  <c r="AE470" s="69"/>
      <c r="AF470" s="69"/>
      <c r="AG470" s="69"/>
      <c r="AH470" s="69"/>
      <c r="AI470" s="69"/>
      <c r="AJ470" s="69"/>
      <c r="AK470" s="69"/>
      <c r="AL470" s="69"/>
      <c r="AM470" s="69"/>
      <c r="AN470" s="69"/>
      <c r="AO470" s="69"/>
      <c r="AP470" s="69"/>
      <c r="AQ470" s="69"/>
      <c r="AR470" s="94">
        <f t="shared" si="26"/>
        <v>257.10000000000002</v>
      </c>
      <c r="AS470" s="69">
        <v>172.33</v>
      </c>
      <c r="AT470" s="69">
        <v>22.83</v>
      </c>
      <c r="AU470" s="69">
        <v>61.94</v>
      </c>
      <c r="AV470" s="69"/>
      <c r="AW470" s="69"/>
      <c r="AX470" s="69"/>
      <c r="AY470" s="69"/>
      <c r="AZ470" s="69"/>
      <c r="BA470" s="69"/>
      <c r="BB470" s="69"/>
      <c r="BC470" s="69"/>
      <c r="BD470" s="69"/>
      <c r="BE470" s="69"/>
      <c r="BF470" s="69"/>
      <c r="BG470" s="69"/>
      <c r="BH470" s="69"/>
      <c r="BI470" s="69"/>
      <c r="BJ470" s="69"/>
      <c r="BK470" s="69"/>
      <c r="BL470" s="69"/>
      <c r="BM470" s="69"/>
      <c r="BN470" s="69"/>
      <c r="BO470" s="69"/>
      <c r="BP470" s="69"/>
      <c r="BQ470" s="69"/>
      <c r="BR470" s="69"/>
      <c r="BS470" s="69"/>
      <c r="BT470" s="69"/>
      <c r="BU470" s="69"/>
      <c r="BV470" s="69"/>
      <c r="BW470" s="69"/>
      <c r="BX470" s="69"/>
      <c r="BY470" s="69"/>
      <c r="BZ470" s="69"/>
      <c r="CA470" s="69"/>
      <c r="CB470" s="69"/>
      <c r="CC470" s="69"/>
      <c r="CD470" s="69"/>
      <c r="CE470" s="94">
        <f t="shared" si="36"/>
        <v>257.10000000000002</v>
      </c>
      <c r="CF470" s="151">
        <f t="shared" si="33"/>
        <v>0</v>
      </c>
      <c r="CG470" s="75">
        <f t="shared" si="27"/>
        <v>4325</v>
      </c>
      <c r="CH470" s="69" t="str">
        <f t="shared" si="27"/>
        <v>ماليزى اسنان</v>
      </c>
    </row>
    <row r="471" spans="1:86" x14ac:dyDescent="0.25">
      <c r="A471" s="148"/>
      <c r="B471" s="82">
        <v>6708</v>
      </c>
      <c r="C471" s="149">
        <v>4326</v>
      </c>
      <c r="D471" s="69" t="s">
        <v>121</v>
      </c>
      <c r="E471" s="69" t="s">
        <v>3234</v>
      </c>
      <c r="F471" s="63"/>
      <c r="G471" s="69">
        <v>2485.9299999999998</v>
      </c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  <c r="AE471" s="69"/>
      <c r="AF471" s="69"/>
      <c r="AG471" s="69"/>
      <c r="AH471" s="69"/>
      <c r="AI471" s="69"/>
      <c r="AJ471" s="69"/>
      <c r="AK471" s="69"/>
      <c r="AL471" s="69"/>
      <c r="AM471" s="69"/>
      <c r="AN471" s="69"/>
      <c r="AO471" s="69"/>
      <c r="AP471" s="69"/>
      <c r="AQ471" s="69"/>
      <c r="AR471" s="94">
        <f t="shared" si="26"/>
        <v>2485.9299999999998</v>
      </c>
      <c r="AS471" s="69">
        <v>1715.36</v>
      </c>
      <c r="AT471" s="69">
        <v>224.18</v>
      </c>
      <c r="AU471" s="69">
        <v>546.39</v>
      </c>
      <c r="AV471" s="69"/>
      <c r="AW471" s="69"/>
      <c r="AX471" s="69"/>
      <c r="AY471" s="69"/>
      <c r="AZ471" s="69"/>
      <c r="BA471" s="69"/>
      <c r="BB471" s="69"/>
      <c r="BC471" s="69"/>
      <c r="BD471" s="69"/>
      <c r="BE471" s="69"/>
      <c r="BF471" s="69"/>
      <c r="BG471" s="69"/>
      <c r="BH471" s="69"/>
      <c r="BI471" s="69"/>
      <c r="BJ471" s="69"/>
      <c r="BK471" s="69"/>
      <c r="BL471" s="69"/>
      <c r="BM471" s="69"/>
      <c r="BN471" s="69"/>
      <c r="BO471" s="69"/>
      <c r="BP471" s="69"/>
      <c r="BQ471" s="69"/>
      <c r="BR471" s="69"/>
      <c r="BS471" s="69"/>
      <c r="BT471" s="69"/>
      <c r="BU471" s="69"/>
      <c r="BV471" s="69"/>
      <c r="BW471" s="69"/>
      <c r="BX471" s="69"/>
      <c r="BY471" s="69"/>
      <c r="BZ471" s="69"/>
      <c r="CA471" s="69"/>
      <c r="CB471" s="69"/>
      <c r="CC471" s="69"/>
      <c r="CD471" s="69"/>
      <c r="CE471" s="94">
        <f t="shared" si="36"/>
        <v>2485.9299999999998</v>
      </c>
      <c r="CF471" s="151">
        <f t="shared" si="33"/>
        <v>0</v>
      </c>
      <c r="CG471" s="75">
        <f t="shared" si="27"/>
        <v>4326</v>
      </c>
      <c r="CH471" s="69" t="str">
        <f t="shared" si="27"/>
        <v>ماليزى اسنان</v>
      </c>
    </row>
    <row r="472" spans="1:86" x14ac:dyDescent="0.25">
      <c r="A472" s="148"/>
      <c r="B472" s="82">
        <v>6707</v>
      </c>
      <c r="C472" s="149">
        <v>4327</v>
      </c>
      <c r="D472" s="69" t="s">
        <v>121</v>
      </c>
      <c r="E472" s="69" t="s">
        <v>3234</v>
      </c>
      <c r="F472" s="63"/>
      <c r="G472" s="69">
        <v>990.83</v>
      </c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  <c r="AE472" s="69"/>
      <c r="AF472" s="69"/>
      <c r="AG472" s="69"/>
      <c r="AH472" s="69"/>
      <c r="AI472" s="69"/>
      <c r="AJ472" s="69"/>
      <c r="AK472" s="69"/>
      <c r="AL472" s="69"/>
      <c r="AM472" s="69"/>
      <c r="AN472" s="69"/>
      <c r="AO472" s="69"/>
      <c r="AP472" s="69"/>
      <c r="AQ472" s="69"/>
      <c r="AR472" s="94">
        <f t="shared" si="26"/>
        <v>990.83</v>
      </c>
      <c r="AS472" s="69">
        <v>664.15</v>
      </c>
      <c r="AT472" s="69">
        <v>87.95</v>
      </c>
      <c r="AU472" s="69">
        <v>238.73</v>
      </c>
      <c r="AV472" s="69"/>
      <c r="AW472" s="69"/>
      <c r="AX472" s="69"/>
      <c r="AY472" s="69"/>
      <c r="AZ472" s="69"/>
      <c r="BA472" s="69"/>
      <c r="BB472" s="69"/>
      <c r="BC472" s="69"/>
      <c r="BD472" s="69"/>
      <c r="BE472" s="69"/>
      <c r="BF472" s="69"/>
      <c r="BG472" s="69"/>
      <c r="BH472" s="69"/>
      <c r="BI472" s="69"/>
      <c r="BJ472" s="69"/>
      <c r="BK472" s="69"/>
      <c r="BL472" s="69"/>
      <c r="BM472" s="69"/>
      <c r="BN472" s="69"/>
      <c r="BO472" s="69"/>
      <c r="BP472" s="69"/>
      <c r="BQ472" s="69"/>
      <c r="BR472" s="69"/>
      <c r="BS472" s="69"/>
      <c r="BT472" s="69"/>
      <c r="BU472" s="69"/>
      <c r="BV472" s="69"/>
      <c r="BW472" s="69"/>
      <c r="BX472" s="69"/>
      <c r="BY472" s="69"/>
      <c r="BZ472" s="69"/>
      <c r="CA472" s="69"/>
      <c r="CB472" s="69"/>
      <c r="CC472" s="69"/>
      <c r="CD472" s="69"/>
      <c r="CE472" s="94">
        <f t="shared" si="36"/>
        <v>990.83</v>
      </c>
      <c r="CF472" s="151">
        <f t="shared" si="33"/>
        <v>0</v>
      </c>
      <c r="CG472" s="75">
        <f t="shared" si="27"/>
        <v>4327</v>
      </c>
      <c r="CH472" s="69" t="str">
        <f t="shared" si="27"/>
        <v>ماليزى اسنان</v>
      </c>
    </row>
    <row r="473" spans="1:86" x14ac:dyDescent="0.25">
      <c r="A473" s="148"/>
      <c r="B473" s="82">
        <v>8196</v>
      </c>
      <c r="C473" s="149">
        <v>4328</v>
      </c>
      <c r="D473" s="69" t="s">
        <v>121</v>
      </c>
      <c r="E473" s="69" t="s">
        <v>3235</v>
      </c>
      <c r="F473" s="63"/>
      <c r="G473" s="69">
        <v>1200</v>
      </c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  <c r="AE473" s="69"/>
      <c r="AF473" s="69"/>
      <c r="AG473" s="69"/>
      <c r="AH473" s="69"/>
      <c r="AI473" s="69"/>
      <c r="AJ473" s="69"/>
      <c r="AK473" s="69"/>
      <c r="AL473" s="69"/>
      <c r="AM473" s="69"/>
      <c r="AN473" s="69"/>
      <c r="AO473" s="69"/>
      <c r="AP473" s="69"/>
      <c r="AQ473" s="69"/>
      <c r="AR473" s="94">
        <f t="shared" si="26"/>
        <v>1200</v>
      </c>
      <c r="AS473" s="69">
        <v>1071.3499999999999</v>
      </c>
      <c r="AT473" s="69">
        <v>128.65</v>
      </c>
      <c r="AU473" s="69"/>
      <c r="AV473" s="69"/>
      <c r="AW473" s="69"/>
      <c r="AX473" s="69"/>
      <c r="AY473" s="69"/>
      <c r="AZ473" s="69"/>
      <c r="BA473" s="69"/>
      <c r="BB473" s="69"/>
      <c r="BC473" s="69"/>
      <c r="BD473" s="69"/>
      <c r="BE473" s="69"/>
      <c r="BF473" s="69"/>
      <c r="BG473" s="69"/>
      <c r="BH473" s="69"/>
      <c r="BI473" s="69"/>
      <c r="BJ473" s="69"/>
      <c r="BK473" s="69"/>
      <c r="BL473" s="69"/>
      <c r="BM473" s="69"/>
      <c r="BN473" s="69"/>
      <c r="BO473" s="69"/>
      <c r="BP473" s="69"/>
      <c r="BQ473" s="69"/>
      <c r="BR473" s="69"/>
      <c r="BS473" s="69"/>
      <c r="BT473" s="69"/>
      <c r="BU473" s="69"/>
      <c r="BV473" s="69"/>
      <c r="BW473" s="69"/>
      <c r="BX473" s="69"/>
      <c r="BY473" s="69"/>
      <c r="BZ473" s="69"/>
      <c r="CA473" s="69"/>
      <c r="CB473" s="69"/>
      <c r="CC473" s="69"/>
      <c r="CD473" s="69"/>
      <c r="CE473" s="94">
        <f t="shared" si="36"/>
        <v>1200</v>
      </c>
      <c r="CF473" s="151">
        <f t="shared" si="33"/>
        <v>0</v>
      </c>
      <c r="CG473" s="75">
        <f t="shared" si="27"/>
        <v>4328</v>
      </c>
      <c r="CH473" s="69" t="str">
        <f t="shared" si="27"/>
        <v>ماليزى اسنان</v>
      </c>
    </row>
    <row r="474" spans="1:86" x14ac:dyDescent="0.25">
      <c r="A474" s="148"/>
      <c r="B474" s="82">
        <v>6719</v>
      </c>
      <c r="C474" s="149">
        <v>4329</v>
      </c>
      <c r="D474" s="69" t="s">
        <v>121</v>
      </c>
      <c r="E474" s="69" t="s">
        <v>3236</v>
      </c>
      <c r="F474" s="63"/>
      <c r="G474" s="69">
        <v>1200</v>
      </c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  <c r="AE474" s="69"/>
      <c r="AF474" s="69"/>
      <c r="AG474" s="69"/>
      <c r="AH474" s="69"/>
      <c r="AI474" s="69"/>
      <c r="AJ474" s="69"/>
      <c r="AK474" s="69"/>
      <c r="AL474" s="69"/>
      <c r="AM474" s="69"/>
      <c r="AN474" s="69"/>
      <c r="AO474" s="69"/>
      <c r="AP474" s="69"/>
      <c r="AQ474" s="69"/>
      <c r="AR474" s="94">
        <f t="shared" si="26"/>
        <v>1200</v>
      </c>
      <c r="AS474" s="69">
        <v>1071.3499999999999</v>
      </c>
      <c r="AT474" s="69">
        <v>128.65</v>
      </c>
      <c r="AU474" s="69"/>
      <c r="AV474" s="69"/>
      <c r="AW474" s="69"/>
      <c r="AX474" s="69"/>
      <c r="AY474" s="69"/>
      <c r="AZ474" s="69"/>
      <c r="BA474" s="69"/>
      <c r="BB474" s="69"/>
      <c r="BC474" s="69"/>
      <c r="BD474" s="69"/>
      <c r="BE474" s="69"/>
      <c r="BF474" s="69"/>
      <c r="BG474" s="69"/>
      <c r="BH474" s="69"/>
      <c r="BI474" s="69"/>
      <c r="BJ474" s="69"/>
      <c r="BK474" s="69"/>
      <c r="BL474" s="69"/>
      <c r="BM474" s="69"/>
      <c r="BN474" s="69"/>
      <c r="BO474" s="69"/>
      <c r="BP474" s="69"/>
      <c r="BQ474" s="69"/>
      <c r="BR474" s="69"/>
      <c r="BS474" s="69"/>
      <c r="BT474" s="69"/>
      <c r="BU474" s="69"/>
      <c r="BV474" s="69"/>
      <c r="BW474" s="69"/>
      <c r="BX474" s="69"/>
      <c r="BY474" s="69"/>
      <c r="BZ474" s="69"/>
      <c r="CA474" s="69"/>
      <c r="CB474" s="69"/>
      <c r="CC474" s="69"/>
      <c r="CD474" s="69"/>
      <c r="CE474" s="94">
        <f t="shared" si="36"/>
        <v>1200</v>
      </c>
      <c r="CF474" s="151">
        <f t="shared" si="33"/>
        <v>0</v>
      </c>
      <c r="CG474" s="75">
        <f t="shared" si="27"/>
        <v>4329</v>
      </c>
      <c r="CH474" s="69" t="str">
        <f t="shared" si="27"/>
        <v>ماليزى اسنان</v>
      </c>
    </row>
    <row r="475" spans="1:86" x14ac:dyDescent="0.25">
      <c r="A475" s="148"/>
      <c r="B475" s="82">
        <v>6570</v>
      </c>
      <c r="C475" s="149">
        <v>4330</v>
      </c>
      <c r="D475" s="69" t="s">
        <v>125</v>
      </c>
      <c r="E475" s="69" t="s">
        <v>3237</v>
      </c>
      <c r="F475" s="63"/>
      <c r="G475" s="69">
        <v>7464.14</v>
      </c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  <c r="AE475" s="69"/>
      <c r="AF475" s="69"/>
      <c r="AG475" s="69"/>
      <c r="AH475" s="69"/>
      <c r="AI475" s="69"/>
      <c r="AJ475" s="69"/>
      <c r="AK475" s="69"/>
      <c r="AL475" s="69"/>
      <c r="AM475" s="69"/>
      <c r="AN475" s="69"/>
      <c r="AO475" s="69"/>
      <c r="AP475" s="69"/>
      <c r="AQ475" s="69"/>
      <c r="AR475" s="94">
        <f t="shared" si="26"/>
        <v>7464.14</v>
      </c>
      <c r="AS475" s="69">
        <v>4672.04</v>
      </c>
      <c r="AT475" s="69">
        <v>675.4</v>
      </c>
      <c r="AU475" s="69">
        <v>1798.4</v>
      </c>
      <c r="AV475" s="69">
        <v>318.3</v>
      </c>
      <c r="AW475" s="69"/>
      <c r="AX475" s="69"/>
      <c r="AY475" s="69"/>
      <c r="AZ475" s="69"/>
      <c r="BA475" s="69"/>
      <c r="BB475" s="69"/>
      <c r="BC475" s="69"/>
      <c r="BD475" s="69"/>
      <c r="BE475" s="69"/>
      <c r="BF475" s="69"/>
      <c r="BG475" s="69"/>
      <c r="BH475" s="69"/>
      <c r="BI475" s="69"/>
      <c r="BJ475" s="69"/>
      <c r="BK475" s="69"/>
      <c r="BL475" s="69"/>
      <c r="BM475" s="69"/>
      <c r="BN475" s="69"/>
      <c r="BO475" s="69"/>
      <c r="BP475" s="69"/>
      <c r="BQ475" s="69"/>
      <c r="BR475" s="69"/>
      <c r="BS475" s="69"/>
      <c r="BT475" s="69"/>
      <c r="BU475" s="69"/>
      <c r="BV475" s="69"/>
      <c r="BW475" s="69"/>
      <c r="BX475" s="69"/>
      <c r="BY475" s="69"/>
      <c r="BZ475" s="69"/>
      <c r="CA475" s="69"/>
      <c r="CB475" s="69"/>
      <c r="CC475" s="69"/>
      <c r="CD475" s="69"/>
      <c r="CE475" s="94">
        <f t="shared" si="36"/>
        <v>7464.14</v>
      </c>
      <c r="CF475" s="151">
        <f t="shared" si="33"/>
        <v>0</v>
      </c>
      <c r="CG475" s="75">
        <f t="shared" si="27"/>
        <v>4330</v>
      </c>
      <c r="CH475" s="69" t="str">
        <f t="shared" ref="CH475:CH538" si="37">+D475</f>
        <v>اختبار مواد</v>
      </c>
    </row>
    <row r="476" spans="1:86" x14ac:dyDescent="0.25">
      <c r="A476" s="148"/>
      <c r="B476" s="82">
        <v>7717</v>
      </c>
      <c r="C476" s="149">
        <v>4331</v>
      </c>
      <c r="D476" s="69" t="s">
        <v>729</v>
      </c>
      <c r="E476" s="69" t="s">
        <v>3238</v>
      </c>
      <c r="F476" s="63"/>
      <c r="G476" s="69">
        <v>234.5</v>
      </c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  <c r="AE476" s="69"/>
      <c r="AF476" s="69"/>
      <c r="AG476" s="69"/>
      <c r="AH476" s="69"/>
      <c r="AI476" s="69"/>
      <c r="AJ476" s="69"/>
      <c r="AK476" s="69"/>
      <c r="AL476" s="69"/>
      <c r="AM476" s="69"/>
      <c r="AN476" s="69"/>
      <c r="AO476" s="69"/>
      <c r="AP476" s="69"/>
      <c r="AQ476" s="69"/>
      <c r="AR476" s="94">
        <f t="shared" si="26"/>
        <v>234.5</v>
      </c>
      <c r="AS476" s="69">
        <v>157.19999999999999</v>
      </c>
      <c r="AT476" s="69">
        <v>20.8</v>
      </c>
      <c r="AU476" s="69">
        <v>56.5</v>
      </c>
      <c r="AV476" s="69"/>
      <c r="AW476" s="69"/>
      <c r="AX476" s="69"/>
      <c r="AY476" s="69"/>
      <c r="AZ476" s="69"/>
      <c r="BA476" s="69"/>
      <c r="BB476" s="69"/>
      <c r="BC476" s="69"/>
      <c r="BD476" s="69"/>
      <c r="BE476" s="69"/>
      <c r="BF476" s="69"/>
      <c r="BG476" s="69"/>
      <c r="BH476" s="69"/>
      <c r="BI476" s="69"/>
      <c r="BJ476" s="69"/>
      <c r="BK476" s="69"/>
      <c r="BL476" s="69"/>
      <c r="BM476" s="69"/>
      <c r="BN476" s="69"/>
      <c r="BO476" s="69"/>
      <c r="BP476" s="69"/>
      <c r="BQ476" s="69"/>
      <c r="BR476" s="69"/>
      <c r="BS476" s="69"/>
      <c r="BT476" s="69"/>
      <c r="BU476" s="69"/>
      <c r="BV476" s="69"/>
      <c r="BW476" s="69"/>
      <c r="BX476" s="69"/>
      <c r="BY476" s="69"/>
      <c r="BZ476" s="69"/>
      <c r="CA476" s="69"/>
      <c r="CB476" s="69"/>
      <c r="CC476" s="69"/>
      <c r="CD476" s="69"/>
      <c r="CE476" s="94">
        <f t="shared" si="36"/>
        <v>234.5</v>
      </c>
      <c r="CF476" s="151">
        <f t="shared" si="33"/>
        <v>0</v>
      </c>
      <c r="CG476" s="75">
        <f t="shared" ref="CG476:CH539" si="38">+C476</f>
        <v>4331</v>
      </c>
      <c r="CH476" s="69" t="str">
        <f t="shared" si="37"/>
        <v>خدمات صيدلة</v>
      </c>
    </row>
    <row r="477" spans="1:86" x14ac:dyDescent="0.25">
      <c r="A477" s="148"/>
      <c r="B477" s="82">
        <v>7718</v>
      </c>
      <c r="C477" s="149">
        <v>4332</v>
      </c>
      <c r="D477" s="69" t="s">
        <v>729</v>
      </c>
      <c r="E477" s="69" t="s">
        <v>3238</v>
      </c>
      <c r="F477" s="63"/>
      <c r="G477" s="69">
        <v>586.25</v>
      </c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  <c r="AE477" s="69"/>
      <c r="AF477" s="69"/>
      <c r="AG477" s="69"/>
      <c r="AH477" s="69"/>
      <c r="AI477" s="69"/>
      <c r="AJ477" s="69"/>
      <c r="AK477" s="69"/>
      <c r="AL477" s="69"/>
      <c r="AM477" s="69"/>
      <c r="AN477" s="69"/>
      <c r="AO477" s="69"/>
      <c r="AP477" s="69"/>
      <c r="AQ477" s="69"/>
      <c r="AR477" s="94">
        <f t="shared" si="26"/>
        <v>586.25</v>
      </c>
      <c r="AS477" s="69">
        <v>392.4</v>
      </c>
      <c r="AT477" s="69">
        <v>52.6</v>
      </c>
      <c r="AU477" s="69">
        <v>141.25</v>
      </c>
      <c r="AV477" s="69"/>
      <c r="AW477" s="69"/>
      <c r="AX477" s="69"/>
      <c r="AY477" s="69"/>
      <c r="AZ477" s="69"/>
      <c r="BA477" s="69"/>
      <c r="BB477" s="69"/>
      <c r="BC477" s="69"/>
      <c r="BD477" s="69"/>
      <c r="BE477" s="69"/>
      <c r="BF477" s="69"/>
      <c r="BG477" s="69"/>
      <c r="BH477" s="69"/>
      <c r="BI477" s="69"/>
      <c r="BJ477" s="69"/>
      <c r="BK477" s="69"/>
      <c r="BL477" s="69"/>
      <c r="BM477" s="69"/>
      <c r="BN477" s="69"/>
      <c r="BO477" s="69"/>
      <c r="BP477" s="69"/>
      <c r="BQ477" s="69"/>
      <c r="BR477" s="69"/>
      <c r="BS477" s="69"/>
      <c r="BT477" s="69"/>
      <c r="BU477" s="69"/>
      <c r="BV477" s="69"/>
      <c r="BW477" s="69"/>
      <c r="BX477" s="69"/>
      <c r="BY477" s="69"/>
      <c r="BZ477" s="69"/>
      <c r="CA477" s="69"/>
      <c r="CB477" s="69"/>
      <c r="CC477" s="69"/>
      <c r="CD477" s="69"/>
      <c r="CE477" s="94">
        <f t="shared" si="36"/>
        <v>586.25</v>
      </c>
      <c r="CF477" s="151">
        <f t="shared" ref="CF477:CF540" si="39">+CE477-AR477</f>
        <v>0</v>
      </c>
      <c r="CG477" s="75">
        <f t="shared" si="38"/>
        <v>4332</v>
      </c>
      <c r="CH477" s="69" t="str">
        <f t="shared" si="37"/>
        <v>خدمات صيدلة</v>
      </c>
    </row>
    <row r="478" spans="1:86" x14ac:dyDescent="0.25">
      <c r="A478" s="148"/>
      <c r="B478" s="82">
        <v>7716</v>
      </c>
      <c r="C478" s="149">
        <v>4333</v>
      </c>
      <c r="D478" s="69" t="s">
        <v>729</v>
      </c>
      <c r="E478" s="69" t="s">
        <v>3238</v>
      </c>
      <c r="F478" s="63"/>
      <c r="G478" s="69">
        <v>4055.17</v>
      </c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  <c r="AE478" s="69"/>
      <c r="AF478" s="69"/>
      <c r="AG478" s="69"/>
      <c r="AH478" s="69"/>
      <c r="AI478" s="69"/>
      <c r="AJ478" s="69"/>
      <c r="AK478" s="69"/>
      <c r="AL478" s="69"/>
      <c r="AM478" s="69"/>
      <c r="AN478" s="69"/>
      <c r="AO478" s="69"/>
      <c r="AP478" s="69"/>
      <c r="AQ478" s="69"/>
      <c r="AR478" s="94">
        <f t="shared" si="26"/>
        <v>4055.17</v>
      </c>
      <c r="AS478" s="69">
        <v>3081.17</v>
      </c>
      <c r="AT478" s="69">
        <v>392.35</v>
      </c>
      <c r="AU478" s="69">
        <v>581.65</v>
      </c>
      <c r="AV478" s="69"/>
      <c r="AW478" s="69"/>
      <c r="AX478" s="69"/>
      <c r="AY478" s="69"/>
      <c r="AZ478" s="69"/>
      <c r="BA478" s="69"/>
      <c r="BB478" s="69"/>
      <c r="BC478" s="69"/>
      <c r="BD478" s="69"/>
      <c r="BE478" s="69"/>
      <c r="BF478" s="69"/>
      <c r="BG478" s="69"/>
      <c r="BH478" s="69"/>
      <c r="BI478" s="69"/>
      <c r="BJ478" s="69"/>
      <c r="BK478" s="69"/>
      <c r="BL478" s="69"/>
      <c r="BM478" s="69"/>
      <c r="BN478" s="69"/>
      <c r="BO478" s="69"/>
      <c r="BP478" s="69"/>
      <c r="BQ478" s="69"/>
      <c r="BR478" s="69"/>
      <c r="BS478" s="69"/>
      <c r="BT478" s="69"/>
      <c r="BU478" s="69"/>
      <c r="BV478" s="69"/>
      <c r="BW478" s="69"/>
      <c r="BX478" s="69"/>
      <c r="BY478" s="69"/>
      <c r="BZ478" s="69"/>
      <c r="CA478" s="69"/>
      <c r="CB478" s="69"/>
      <c r="CC478" s="69"/>
      <c r="CD478" s="69"/>
      <c r="CE478" s="94">
        <f t="shared" si="36"/>
        <v>4055.17</v>
      </c>
      <c r="CF478" s="151">
        <f t="shared" si="39"/>
        <v>0</v>
      </c>
      <c r="CG478" s="75">
        <f t="shared" si="38"/>
        <v>4333</v>
      </c>
      <c r="CH478" s="69" t="str">
        <f t="shared" si="37"/>
        <v>خدمات صيدلة</v>
      </c>
    </row>
    <row r="479" spans="1:86" x14ac:dyDescent="0.25">
      <c r="A479" s="148"/>
      <c r="B479" s="82">
        <v>7715</v>
      </c>
      <c r="C479" s="149">
        <v>4334</v>
      </c>
      <c r="D479" s="69" t="s">
        <v>729</v>
      </c>
      <c r="E479" s="69" t="s">
        <v>3238</v>
      </c>
      <c r="F479" s="63"/>
      <c r="G479" s="69">
        <v>1172.5</v>
      </c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  <c r="AE479" s="69"/>
      <c r="AF479" s="69"/>
      <c r="AG479" s="69"/>
      <c r="AH479" s="69"/>
      <c r="AI479" s="69"/>
      <c r="AJ479" s="69"/>
      <c r="AK479" s="69"/>
      <c r="AL479" s="69"/>
      <c r="AM479" s="69"/>
      <c r="AN479" s="69"/>
      <c r="AO479" s="69"/>
      <c r="AP479" s="69"/>
      <c r="AQ479" s="69"/>
      <c r="AR479" s="94">
        <f t="shared" si="26"/>
        <v>1172.5</v>
      </c>
      <c r="AS479" s="69">
        <v>783.7</v>
      </c>
      <c r="AT479" s="69">
        <v>106.3</v>
      </c>
      <c r="AU479" s="69">
        <f>388.8-AT479</f>
        <v>282.5</v>
      </c>
      <c r="AV479" s="69"/>
      <c r="AW479" s="69"/>
      <c r="AX479" s="69"/>
      <c r="AY479" s="69"/>
      <c r="AZ479" s="69"/>
      <c r="BA479" s="69"/>
      <c r="BB479" s="69"/>
      <c r="BC479" s="69"/>
      <c r="BD479" s="69"/>
      <c r="BE479" s="69"/>
      <c r="BF479" s="69"/>
      <c r="BG479" s="69"/>
      <c r="BH479" s="69"/>
      <c r="BI479" s="69"/>
      <c r="BJ479" s="69"/>
      <c r="BK479" s="69"/>
      <c r="BL479" s="69"/>
      <c r="BM479" s="69"/>
      <c r="BN479" s="69"/>
      <c r="BO479" s="69"/>
      <c r="BP479" s="69"/>
      <c r="BQ479" s="69"/>
      <c r="BR479" s="69"/>
      <c r="BS479" s="69"/>
      <c r="BT479" s="69"/>
      <c r="BU479" s="69"/>
      <c r="BV479" s="69"/>
      <c r="BW479" s="69"/>
      <c r="BX479" s="69"/>
      <c r="BY479" s="69"/>
      <c r="BZ479" s="69"/>
      <c r="CA479" s="69"/>
      <c r="CB479" s="69"/>
      <c r="CC479" s="69"/>
      <c r="CD479" s="69"/>
      <c r="CE479" s="94">
        <f t="shared" si="36"/>
        <v>1172.5</v>
      </c>
      <c r="CF479" s="151">
        <f t="shared" si="39"/>
        <v>0</v>
      </c>
      <c r="CG479" s="75">
        <f t="shared" si="38"/>
        <v>4334</v>
      </c>
      <c r="CH479" s="69" t="str">
        <f t="shared" si="37"/>
        <v>خدمات صيدلة</v>
      </c>
    </row>
    <row r="480" spans="1:86" x14ac:dyDescent="0.25">
      <c r="A480" s="148"/>
      <c r="B480" s="82">
        <v>7714</v>
      </c>
      <c r="C480" s="149">
        <v>4335</v>
      </c>
      <c r="D480" s="69" t="s">
        <v>729</v>
      </c>
      <c r="E480" s="69" t="s">
        <v>3239</v>
      </c>
      <c r="F480" s="63"/>
      <c r="G480" s="69">
        <v>5313.65</v>
      </c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  <c r="AE480" s="69"/>
      <c r="AF480" s="69"/>
      <c r="AG480" s="69"/>
      <c r="AH480" s="69"/>
      <c r="AI480" s="69"/>
      <c r="AJ480" s="69"/>
      <c r="AK480" s="69"/>
      <c r="AL480" s="69"/>
      <c r="AM480" s="69"/>
      <c r="AN480" s="69"/>
      <c r="AO480" s="69"/>
      <c r="AP480" s="69"/>
      <c r="AQ480" s="69"/>
      <c r="AR480" s="94">
        <f t="shared" si="26"/>
        <v>5313.65</v>
      </c>
      <c r="AS480" s="69">
        <v>4544.1400000000003</v>
      </c>
      <c r="AT480" s="69">
        <v>558.96</v>
      </c>
      <c r="AU480" s="69">
        <v>210.55</v>
      </c>
      <c r="AV480" s="69"/>
      <c r="AW480" s="69"/>
      <c r="AX480" s="69"/>
      <c r="AY480" s="69"/>
      <c r="AZ480" s="69"/>
      <c r="BA480" s="69"/>
      <c r="BB480" s="69"/>
      <c r="BC480" s="69"/>
      <c r="BD480" s="69"/>
      <c r="BE480" s="69"/>
      <c r="BF480" s="69"/>
      <c r="BG480" s="69"/>
      <c r="BH480" s="69"/>
      <c r="BI480" s="69"/>
      <c r="BJ480" s="69"/>
      <c r="BK480" s="69"/>
      <c r="BL480" s="69"/>
      <c r="BM480" s="69"/>
      <c r="BN480" s="69"/>
      <c r="BO480" s="69"/>
      <c r="BP480" s="69"/>
      <c r="BQ480" s="69"/>
      <c r="BR480" s="69"/>
      <c r="BS480" s="69"/>
      <c r="BT480" s="69"/>
      <c r="BU480" s="69"/>
      <c r="BV480" s="69"/>
      <c r="BW480" s="69"/>
      <c r="BX480" s="69"/>
      <c r="BY480" s="69"/>
      <c r="BZ480" s="69"/>
      <c r="CA480" s="69"/>
      <c r="CB480" s="69"/>
      <c r="CC480" s="69"/>
      <c r="CD480" s="69"/>
      <c r="CE480" s="94">
        <f t="shared" si="36"/>
        <v>5313.6500000000005</v>
      </c>
      <c r="CF480" s="151">
        <f t="shared" si="39"/>
        <v>0</v>
      </c>
      <c r="CG480" s="75">
        <f t="shared" si="38"/>
        <v>4335</v>
      </c>
      <c r="CH480" s="69" t="str">
        <f t="shared" si="37"/>
        <v>خدمات صيدلة</v>
      </c>
    </row>
    <row r="481" spans="1:86" x14ac:dyDescent="0.25">
      <c r="A481" s="148"/>
      <c r="B481" s="82"/>
      <c r="C481" s="149">
        <v>4336</v>
      </c>
      <c r="D481" s="69" t="s">
        <v>1431</v>
      </c>
      <c r="E481" s="69" t="s">
        <v>3240</v>
      </c>
      <c r="F481" s="63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  <c r="AE481" s="69"/>
      <c r="AF481" s="69"/>
      <c r="AG481" s="69"/>
      <c r="AH481" s="69"/>
      <c r="AI481" s="69"/>
      <c r="AJ481" s="69"/>
      <c r="AK481" s="69"/>
      <c r="AL481" s="69"/>
      <c r="AM481" s="69"/>
      <c r="AN481" s="69"/>
      <c r="AO481" s="69"/>
      <c r="AP481" s="69"/>
      <c r="AQ481" s="69"/>
      <c r="AR481" s="94">
        <f t="shared" si="26"/>
        <v>0</v>
      </c>
      <c r="AS481" s="69">
        <v>0</v>
      </c>
      <c r="AT481" s="69"/>
      <c r="AU481" s="69"/>
      <c r="AV481" s="69"/>
      <c r="AW481" s="69"/>
      <c r="AX481" s="69"/>
      <c r="AY481" s="69"/>
      <c r="AZ481" s="69"/>
      <c r="BA481" s="69"/>
      <c r="BB481" s="69"/>
      <c r="BC481" s="69"/>
      <c r="BD481" s="69"/>
      <c r="BE481" s="69"/>
      <c r="BF481" s="69"/>
      <c r="BG481" s="69"/>
      <c r="BH481" s="69"/>
      <c r="BI481" s="69"/>
      <c r="BJ481" s="69"/>
      <c r="BK481" s="69"/>
      <c r="BL481" s="69"/>
      <c r="BM481" s="69"/>
      <c r="BN481" s="69"/>
      <c r="BO481" s="69"/>
      <c r="BP481" s="69"/>
      <c r="BQ481" s="69"/>
      <c r="BR481" s="69"/>
      <c r="BS481" s="69"/>
      <c r="BT481" s="69"/>
      <c r="BU481" s="69"/>
      <c r="BV481" s="69"/>
      <c r="BW481" s="69"/>
      <c r="BX481" s="69"/>
      <c r="BY481" s="69"/>
      <c r="BZ481" s="69"/>
      <c r="CA481" s="69"/>
      <c r="CB481" s="69"/>
      <c r="CC481" s="69"/>
      <c r="CD481" s="69"/>
      <c r="CE481" s="94">
        <f t="shared" si="36"/>
        <v>0</v>
      </c>
      <c r="CF481" s="151">
        <f t="shared" si="39"/>
        <v>0</v>
      </c>
      <c r="CG481" s="75">
        <f t="shared" si="38"/>
        <v>4336</v>
      </c>
      <c r="CH481" s="69" t="str">
        <f t="shared" si="37"/>
        <v>لاب فقط</v>
      </c>
    </row>
    <row r="482" spans="1:86" x14ac:dyDescent="0.25">
      <c r="A482" s="148"/>
      <c r="B482" s="82">
        <v>6323</v>
      </c>
      <c r="C482" s="149">
        <v>4337</v>
      </c>
      <c r="D482" s="69" t="s">
        <v>132</v>
      </c>
      <c r="E482" s="69" t="s">
        <v>3241</v>
      </c>
      <c r="F482" s="63"/>
      <c r="G482" s="69">
        <v>1384.6</v>
      </c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  <c r="AE482" s="69"/>
      <c r="AF482" s="69"/>
      <c r="AG482" s="69"/>
      <c r="AH482" s="69"/>
      <c r="AI482" s="69"/>
      <c r="AJ482" s="69"/>
      <c r="AK482" s="69"/>
      <c r="AL482" s="69"/>
      <c r="AM482" s="69"/>
      <c r="AN482" s="69"/>
      <c r="AO482" s="69"/>
      <c r="AP482" s="69"/>
      <c r="AQ482" s="69"/>
      <c r="AR482" s="94">
        <f t="shared" si="26"/>
        <v>1384.6</v>
      </c>
      <c r="AS482" s="69">
        <v>925.35</v>
      </c>
      <c r="AT482" s="69">
        <v>125.64</v>
      </c>
      <c r="AU482" s="69">
        <v>333.61</v>
      </c>
      <c r="AV482" s="69"/>
      <c r="AW482" s="69"/>
      <c r="AX482" s="69"/>
      <c r="AY482" s="69"/>
      <c r="AZ482" s="69"/>
      <c r="BA482" s="69"/>
      <c r="BB482" s="69"/>
      <c r="BC482" s="69"/>
      <c r="BD482" s="69"/>
      <c r="BE482" s="69"/>
      <c r="BF482" s="69"/>
      <c r="BG482" s="69"/>
      <c r="BH482" s="69"/>
      <c r="BI482" s="69"/>
      <c r="BJ482" s="69"/>
      <c r="BK482" s="69"/>
      <c r="BL482" s="69"/>
      <c r="BM482" s="69"/>
      <c r="BN482" s="69"/>
      <c r="BO482" s="69"/>
      <c r="BP482" s="69"/>
      <c r="BQ482" s="69"/>
      <c r="BR482" s="69"/>
      <c r="BS482" s="69"/>
      <c r="BT482" s="69"/>
      <c r="BU482" s="69"/>
      <c r="BV482" s="69"/>
      <c r="BW482" s="69"/>
      <c r="BX482" s="69"/>
      <c r="BY482" s="69"/>
      <c r="BZ482" s="69"/>
      <c r="CA482" s="69"/>
      <c r="CB482" s="69"/>
      <c r="CC482" s="69"/>
      <c r="CD482" s="69"/>
      <c r="CE482" s="94">
        <f t="shared" si="36"/>
        <v>1384.6</v>
      </c>
      <c r="CF482" s="151">
        <f t="shared" si="39"/>
        <v>0</v>
      </c>
      <c r="CG482" s="75">
        <f t="shared" si="38"/>
        <v>4337</v>
      </c>
      <c r="CH482" s="69" t="str">
        <f t="shared" si="37"/>
        <v>صيدلة اكلينيكى</v>
      </c>
    </row>
    <row r="483" spans="1:86" x14ac:dyDescent="0.25">
      <c r="A483" s="148"/>
      <c r="B483" s="82">
        <v>6324</v>
      </c>
      <c r="C483" s="149">
        <v>4338</v>
      </c>
      <c r="D483" s="69" t="s">
        <v>132</v>
      </c>
      <c r="E483" s="69" t="s">
        <v>3241</v>
      </c>
      <c r="F483" s="63"/>
      <c r="G483" s="69">
        <v>461.54</v>
      </c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  <c r="AE483" s="69"/>
      <c r="AF483" s="69"/>
      <c r="AG483" s="69"/>
      <c r="AH483" s="69"/>
      <c r="AI483" s="69"/>
      <c r="AJ483" s="69"/>
      <c r="AK483" s="69"/>
      <c r="AL483" s="69"/>
      <c r="AM483" s="69"/>
      <c r="AN483" s="69"/>
      <c r="AO483" s="69"/>
      <c r="AP483" s="69"/>
      <c r="AQ483" s="69"/>
      <c r="AR483" s="94">
        <f t="shared" si="26"/>
        <v>461.54</v>
      </c>
      <c r="AS483" s="69">
        <v>309.01</v>
      </c>
      <c r="AT483" s="69">
        <v>41.31</v>
      </c>
      <c r="AU483" s="69">
        <v>111.22</v>
      </c>
      <c r="AV483" s="69"/>
      <c r="AW483" s="69"/>
      <c r="AX483" s="69"/>
      <c r="AY483" s="69"/>
      <c r="AZ483" s="69"/>
      <c r="BA483" s="69"/>
      <c r="BB483" s="69"/>
      <c r="BC483" s="69"/>
      <c r="BD483" s="69"/>
      <c r="BE483" s="69"/>
      <c r="BF483" s="69"/>
      <c r="BG483" s="69"/>
      <c r="BH483" s="69"/>
      <c r="BI483" s="69"/>
      <c r="BJ483" s="69"/>
      <c r="BK483" s="69"/>
      <c r="BL483" s="69"/>
      <c r="BM483" s="69"/>
      <c r="BN483" s="69"/>
      <c r="BO483" s="69"/>
      <c r="BP483" s="69"/>
      <c r="BQ483" s="69"/>
      <c r="BR483" s="69"/>
      <c r="BS483" s="69"/>
      <c r="BT483" s="69"/>
      <c r="BU483" s="69"/>
      <c r="BV483" s="69"/>
      <c r="BW483" s="69"/>
      <c r="BX483" s="69"/>
      <c r="BY483" s="69"/>
      <c r="BZ483" s="69"/>
      <c r="CA483" s="69"/>
      <c r="CB483" s="69"/>
      <c r="CC483" s="69"/>
      <c r="CD483" s="69"/>
      <c r="CE483" s="94">
        <f t="shared" si="36"/>
        <v>461.53999999999996</v>
      </c>
      <c r="CF483" s="151">
        <f t="shared" si="39"/>
        <v>0</v>
      </c>
      <c r="CG483" s="75">
        <f t="shared" si="38"/>
        <v>4338</v>
      </c>
      <c r="CH483" s="69" t="str">
        <f t="shared" si="37"/>
        <v>صيدلة اكلينيكى</v>
      </c>
    </row>
    <row r="484" spans="1:86" x14ac:dyDescent="0.25">
      <c r="A484" s="148"/>
      <c r="B484" s="82">
        <v>8019</v>
      </c>
      <c r="C484" s="149">
        <v>4339</v>
      </c>
      <c r="D484" s="69" t="s">
        <v>132</v>
      </c>
      <c r="E484" s="69" t="s">
        <v>3242</v>
      </c>
      <c r="F484" s="63"/>
      <c r="G484" s="69">
        <v>938</v>
      </c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  <c r="AE484" s="69"/>
      <c r="AF484" s="69"/>
      <c r="AG484" s="69"/>
      <c r="AH484" s="69"/>
      <c r="AI484" s="69"/>
      <c r="AJ484" s="69"/>
      <c r="AK484" s="69"/>
      <c r="AL484" s="69"/>
      <c r="AM484" s="69"/>
      <c r="AN484" s="69"/>
      <c r="AO484" s="69"/>
      <c r="AP484" s="69"/>
      <c r="AQ484" s="69"/>
      <c r="AR484" s="94">
        <f t="shared" si="26"/>
        <v>938</v>
      </c>
      <c r="AS484" s="69">
        <v>627.95000000000005</v>
      </c>
      <c r="AT484" s="69">
        <v>84.05</v>
      </c>
      <c r="AU484" s="69">
        <v>226</v>
      </c>
      <c r="AV484" s="69"/>
      <c r="AW484" s="69"/>
      <c r="AX484" s="69"/>
      <c r="AY484" s="69"/>
      <c r="AZ484" s="69"/>
      <c r="BA484" s="69"/>
      <c r="BB484" s="69"/>
      <c r="BC484" s="69"/>
      <c r="BD484" s="69"/>
      <c r="BE484" s="69"/>
      <c r="BF484" s="69"/>
      <c r="BG484" s="69"/>
      <c r="BH484" s="69"/>
      <c r="BI484" s="69"/>
      <c r="BJ484" s="69"/>
      <c r="BK484" s="69"/>
      <c r="BL484" s="69"/>
      <c r="BM484" s="69"/>
      <c r="BN484" s="69"/>
      <c r="BO484" s="69"/>
      <c r="BP484" s="69"/>
      <c r="BQ484" s="69"/>
      <c r="BR484" s="69"/>
      <c r="BS484" s="69"/>
      <c r="BT484" s="69"/>
      <c r="BU484" s="69"/>
      <c r="BV484" s="69"/>
      <c r="BW484" s="69"/>
      <c r="BX484" s="69"/>
      <c r="BY484" s="69"/>
      <c r="BZ484" s="69"/>
      <c r="CA484" s="69"/>
      <c r="CB484" s="69"/>
      <c r="CC484" s="69"/>
      <c r="CD484" s="69"/>
      <c r="CE484" s="94">
        <f t="shared" si="36"/>
        <v>938</v>
      </c>
      <c r="CF484" s="151">
        <f t="shared" si="39"/>
        <v>0</v>
      </c>
      <c r="CG484" s="75">
        <f t="shared" si="38"/>
        <v>4339</v>
      </c>
      <c r="CH484" s="69" t="str">
        <f t="shared" si="37"/>
        <v>صيدلة اكلينيكى</v>
      </c>
    </row>
    <row r="485" spans="1:86" x14ac:dyDescent="0.25">
      <c r="A485" s="148"/>
      <c r="B485" s="82">
        <v>8021</v>
      </c>
      <c r="C485" s="149">
        <v>4340</v>
      </c>
      <c r="D485" s="69" t="s">
        <v>132</v>
      </c>
      <c r="E485" s="69" t="s">
        <v>3242</v>
      </c>
      <c r="F485" s="63"/>
      <c r="G485" s="69">
        <v>234.5</v>
      </c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  <c r="AE485" s="69"/>
      <c r="AF485" s="69"/>
      <c r="AG485" s="69"/>
      <c r="AH485" s="69"/>
      <c r="AI485" s="69"/>
      <c r="AJ485" s="69"/>
      <c r="AK485" s="69"/>
      <c r="AL485" s="69"/>
      <c r="AM485" s="69"/>
      <c r="AN485" s="69"/>
      <c r="AO485" s="69"/>
      <c r="AP485" s="69"/>
      <c r="AQ485" s="69"/>
      <c r="AR485" s="94">
        <f t="shared" si="26"/>
        <v>234.5</v>
      </c>
      <c r="AS485" s="69">
        <v>157.19999999999999</v>
      </c>
      <c r="AT485" s="69">
        <v>20.8</v>
      </c>
      <c r="AU485" s="69">
        <v>56.5</v>
      </c>
      <c r="AV485" s="69"/>
      <c r="AW485" s="69"/>
      <c r="AX485" s="69"/>
      <c r="AY485" s="69"/>
      <c r="AZ485" s="69"/>
      <c r="BA485" s="69"/>
      <c r="BB485" s="69"/>
      <c r="BC485" s="69"/>
      <c r="BD485" s="69"/>
      <c r="BE485" s="69"/>
      <c r="BF485" s="69"/>
      <c r="BG485" s="69"/>
      <c r="BH485" s="69"/>
      <c r="BI485" s="69"/>
      <c r="BJ485" s="69"/>
      <c r="BK485" s="69"/>
      <c r="BL485" s="69"/>
      <c r="BM485" s="69"/>
      <c r="BN485" s="69"/>
      <c r="BO485" s="69"/>
      <c r="BP485" s="69"/>
      <c r="BQ485" s="69"/>
      <c r="BR485" s="69"/>
      <c r="BS485" s="69"/>
      <c r="BT485" s="69"/>
      <c r="BU485" s="69"/>
      <c r="BV485" s="69"/>
      <c r="BW485" s="69"/>
      <c r="BX485" s="69"/>
      <c r="BY485" s="69"/>
      <c r="BZ485" s="69"/>
      <c r="CA485" s="69"/>
      <c r="CB485" s="69"/>
      <c r="CC485" s="69"/>
      <c r="CD485" s="69"/>
      <c r="CE485" s="94">
        <f t="shared" si="36"/>
        <v>234.5</v>
      </c>
      <c r="CF485" s="151">
        <f t="shared" si="39"/>
        <v>0</v>
      </c>
      <c r="CG485" s="75">
        <f t="shared" si="38"/>
        <v>4340</v>
      </c>
      <c r="CH485" s="69" t="str">
        <f t="shared" si="37"/>
        <v>صيدلة اكلينيكى</v>
      </c>
    </row>
    <row r="486" spans="1:86" x14ac:dyDescent="0.25">
      <c r="A486" s="148"/>
      <c r="B486" s="82">
        <v>8020</v>
      </c>
      <c r="C486" s="149">
        <v>4341</v>
      </c>
      <c r="D486" s="69" t="s">
        <v>132</v>
      </c>
      <c r="E486" s="69" t="s">
        <v>3242</v>
      </c>
      <c r="F486" s="63"/>
      <c r="G486" s="69">
        <v>820.75</v>
      </c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  <c r="AE486" s="69"/>
      <c r="AF486" s="69"/>
      <c r="AG486" s="69"/>
      <c r="AH486" s="69"/>
      <c r="AI486" s="69"/>
      <c r="AJ486" s="69"/>
      <c r="AK486" s="69"/>
      <c r="AL486" s="69"/>
      <c r="AM486" s="69"/>
      <c r="AN486" s="69"/>
      <c r="AO486" s="69"/>
      <c r="AP486" s="69"/>
      <c r="AQ486" s="69"/>
      <c r="AR486" s="94">
        <f t="shared" si="26"/>
        <v>820.75</v>
      </c>
      <c r="AS486" s="69">
        <v>549.95000000000005</v>
      </c>
      <c r="AT486" s="69">
        <v>73.05</v>
      </c>
      <c r="AU486" s="69">
        <v>197.75</v>
      </c>
      <c r="AV486" s="69"/>
      <c r="AW486" s="69"/>
      <c r="AX486" s="69"/>
      <c r="AY486" s="69"/>
      <c r="AZ486" s="69"/>
      <c r="BA486" s="69"/>
      <c r="BB486" s="69"/>
      <c r="BC486" s="69"/>
      <c r="BD486" s="69"/>
      <c r="BE486" s="69"/>
      <c r="BF486" s="69"/>
      <c r="BG486" s="69"/>
      <c r="BH486" s="69"/>
      <c r="BI486" s="69"/>
      <c r="BJ486" s="69"/>
      <c r="BK486" s="69"/>
      <c r="BL486" s="69"/>
      <c r="BM486" s="69"/>
      <c r="BN486" s="69"/>
      <c r="BO486" s="69"/>
      <c r="BP486" s="69"/>
      <c r="BQ486" s="69"/>
      <c r="BR486" s="69"/>
      <c r="BS486" s="69"/>
      <c r="BT486" s="69"/>
      <c r="BU486" s="69"/>
      <c r="BV486" s="69"/>
      <c r="BW486" s="69"/>
      <c r="BX486" s="69"/>
      <c r="BY486" s="69"/>
      <c r="BZ486" s="69"/>
      <c r="CA486" s="69"/>
      <c r="CB486" s="69"/>
      <c r="CC486" s="69"/>
      <c r="CD486" s="69"/>
      <c r="CE486" s="94">
        <f t="shared" si="36"/>
        <v>820.75</v>
      </c>
      <c r="CF486" s="151">
        <f t="shared" si="39"/>
        <v>0</v>
      </c>
      <c r="CG486" s="75">
        <f t="shared" si="38"/>
        <v>4341</v>
      </c>
      <c r="CH486" s="69" t="str">
        <f t="shared" si="37"/>
        <v>صيدلة اكلينيكى</v>
      </c>
    </row>
    <row r="487" spans="1:86" x14ac:dyDescent="0.25">
      <c r="A487" s="148"/>
      <c r="B487" s="82">
        <v>8022</v>
      </c>
      <c r="C487" s="149">
        <v>4342</v>
      </c>
      <c r="D487" s="69" t="s">
        <v>132</v>
      </c>
      <c r="E487" s="69" t="s">
        <v>3242</v>
      </c>
      <c r="F487" s="63"/>
      <c r="G487" s="69">
        <v>2207</v>
      </c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  <c r="AE487" s="69"/>
      <c r="AF487" s="69"/>
      <c r="AG487" s="69"/>
      <c r="AH487" s="69"/>
      <c r="AI487" s="69"/>
      <c r="AJ487" s="69"/>
      <c r="AK487" s="69"/>
      <c r="AL487" s="69"/>
      <c r="AM487" s="69"/>
      <c r="AN487" s="69"/>
      <c r="AO487" s="69"/>
      <c r="AP487" s="69"/>
      <c r="AQ487" s="69"/>
      <c r="AR487" s="94">
        <f t="shared" si="26"/>
        <v>2207</v>
      </c>
      <c r="AS487" s="69">
        <v>1656.7</v>
      </c>
      <c r="AT487" s="69">
        <v>211.3</v>
      </c>
      <c r="AU487" s="69">
        <v>339</v>
      </c>
      <c r="AV487" s="69"/>
      <c r="AW487" s="69"/>
      <c r="AX487" s="69"/>
      <c r="AY487" s="69"/>
      <c r="AZ487" s="69"/>
      <c r="BA487" s="69"/>
      <c r="BB487" s="69"/>
      <c r="BC487" s="69"/>
      <c r="BD487" s="69"/>
      <c r="BE487" s="69"/>
      <c r="BF487" s="69"/>
      <c r="BG487" s="69"/>
      <c r="BH487" s="69"/>
      <c r="BI487" s="69"/>
      <c r="BJ487" s="69"/>
      <c r="BK487" s="69"/>
      <c r="BL487" s="69"/>
      <c r="BM487" s="69"/>
      <c r="BN487" s="69"/>
      <c r="BO487" s="69"/>
      <c r="BP487" s="69"/>
      <c r="BQ487" s="69"/>
      <c r="BR487" s="69"/>
      <c r="BS487" s="69"/>
      <c r="BT487" s="69"/>
      <c r="BU487" s="69"/>
      <c r="BV487" s="69"/>
      <c r="BW487" s="69"/>
      <c r="BX487" s="69"/>
      <c r="BY487" s="69"/>
      <c r="BZ487" s="69"/>
      <c r="CA487" s="69"/>
      <c r="CB487" s="69"/>
      <c r="CC487" s="69"/>
      <c r="CD487" s="69"/>
      <c r="CE487" s="94">
        <f t="shared" si="36"/>
        <v>2207</v>
      </c>
      <c r="CF487" s="151">
        <f t="shared" si="39"/>
        <v>0</v>
      </c>
      <c r="CG487" s="75">
        <f t="shared" si="38"/>
        <v>4342</v>
      </c>
      <c r="CH487" s="69" t="str">
        <f t="shared" si="37"/>
        <v>صيدلة اكلينيكى</v>
      </c>
    </row>
    <row r="488" spans="1:86" x14ac:dyDescent="0.25">
      <c r="A488" s="148"/>
      <c r="B488" s="82">
        <v>8023</v>
      </c>
      <c r="C488" s="149">
        <v>4343</v>
      </c>
      <c r="D488" s="69" t="s">
        <v>132</v>
      </c>
      <c r="E488" s="69" t="s">
        <v>3242</v>
      </c>
      <c r="F488" s="63"/>
      <c r="G488" s="69">
        <v>15360.75</v>
      </c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  <c r="AE488" s="69"/>
      <c r="AF488" s="69"/>
      <c r="AG488" s="69"/>
      <c r="AH488" s="69"/>
      <c r="AI488" s="69"/>
      <c r="AJ488" s="69"/>
      <c r="AK488" s="69"/>
      <c r="AL488" s="69"/>
      <c r="AM488" s="69"/>
      <c r="AN488" s="69"/>
      <c r="AO488" s="69"/>
      <c r="AP488" s="69"/>
      <c r="AQ488" s="69"/>
      <c r="AR488" s="94">
        <f t="shared" si="26"/>
        <v>15360.75</v>
      </c>
      <c r="AS488" s="69">
        <v>12488</v>
      </c>
      <c r="AT488" s="69">
        <v>1545</v>
      </c>
      <c r="AU488" s="69">
        <v>1327.75</v>
      </c>
      <c r="AV488" s="69"/>
      <c r="AW488" s="69"/>
      <c r="AX488" s="69"/>
      <c r="AY488" s="69"/>
      <c r="AZ488" s="69"/>
      <c r="BA488" s="69"/>
      <c r="BB488" s="69"/>
      <c r="BC488" s="69"/>
      <c r="BD488" s="69"/>
      <c r="BE488" s="69"/>
      <c r="BF488" s="69"/>
      <c r="BG488" s="69"/>
      <c r="BH488" s="69"/>
      <c r="BI488" s="69"/>
      <c r="BJ488" s="69"/>
      <c r="BK488" s="69"/>
      <c r="BL488" s="69"/>
      <c r="BM488" s="69"/>
      <c r="BN488" s="69"/>
      <c r="BO488" s="69"/>
      <c r="BP488" s="69"/>
      <c r="BQ488" s="69"/>
      <c r="BR488" s="69"/>
      <c r="BS488" s="69"/>
      <c r="BT488" s="69"/>
      <c r="BU488" s="69"/>
      <c r="BV488" s="69"/>
      <c r="BW488" s="69"/>
      <c r="BX488" s="69"/>
      <c r="BY488" s="69"/>
      <c r="BZ488" s="69"/>
      <c r="CA488" s="69"/>
      <c r="CB488" s="69"/>
      <c r="CC488" s="69"/>
      <c r="CD488" s="69"/>
      <c r="CE488" s="94">
        <f t="shared" si="36"/>
        <v>15360.75</v>
      </c>
      <c r="CF488" s="151">
        <f t="shared" si="39"/>
        <v>0</v>
      </c>
      <c r="CG488" s="75">
        <f t="shared" si="38"/>
        <v>4343</v>
      </c>
      <c r="CH488" s="69" t="str">
        <f t="shared" si="37"/>
        <v>صيدلة اكلينيكى</v>
      </c>
    </row>
    <row r="489" spans="1:86" x14ac:dyDescent="0.25">
      <c r="A489" s="148"/>
      <c r="B489" s="82">
        <v>8018</v>
      </c>
      <c r="C489" s="149">
        <v>4344</v>
      </c>
      <c r="D489" s="69" t="s">
        <v>132</v>
      </c>
      <c r="E489" s="69" t="s">
        <v>3243</v>
      </c>
      <c r="F489" s="63"/>
      <c r="G489" s="69">
        <v>120491.79</v>
      </c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  <c r="AE489" s="69"/>
      <c r="AF489" s="69"/>
      <c r="AG489" s="69"/>
      <c r="AH489" s="69"/>
      <c r="AI489" s="69"/>
      <c r="AJ489" s="69"/>
      <c r="AK489" s="69"/>
      <c r="AL489" s="69"/>
      <c r="AM489" s="69"/>
      <c r="AN489" s="69"/>
      <c r="AO489" s="69"/>
      <c r="AP489" s="69"/>
      <c r="AQ489" s="69"/>
      <c r="AR489" s="94">
        <f t="shared" si="26"/>
        <v>120491.79</v>
      </c>
      <c r="AS489" s="69">
        <v>105567.96</v>
      </c>
      <c r="AT489" s="69">
        <v>12775.55</v>
      </c>
      <c r="AU489" s="69">
        <v>2148.2800000000002</v>
      </c>
      <c r="AV489" s="69"/>
      <c r="AW489" s="69"/>
      <c r="AX489" s="69"/>
      <c r="AY489" s="69"/>
      <c r="AZ489" s="69"/>
      <c r="BA489" s="69"/>
      <c r="BB489" s="69"/>
      <c r="BC489" s="69"/>
      <c r="BD489" s="69"/>
      <c r="BE489" s="69"/>
      <c r="BF489" s="69"/>
      <c r="BG489" s="69"/>
      <c r="BH489" s="69"/>
      <c r="BI489" s="69"/>
      <c r="BJ489" s="69"/>
      <c r="BK489" s="69"/>
      <c r="BL489" s="69"/>
      <c r="BM489" s="69"/>
      <c r="BN489" s="69"/>
      <c r="BO489" s="69"/>
      <c r="BP489" s="69"/>
      <c r="BQ489" s="69"/>
      <c r="BR489" s="69"/>
      <c r="BS489" s="69"/>
      <c r="BT489" s="69"/>
      <c r="BU489" s="69"/>
      <c r="BV489" s="69"/>
      <c r="BW489" s="69"/>
      <c r="BX489" s="69"/>
      <c r="BY489" s="69"/>
      <c r="BZ489" s="69"/>
      <c r="CA489" s="69"/>
      <c r="CB489" s="69"/>
      <c r="CC489" s="69"/>
      <c r="CD489" s="69"/>
      <c r="CE489" s="94">
        <f t="shared" si="36"/>
        <v>120491.79000000001</v>
      </c>
      <c r="CF489" s="151">
        <f t="shared" si="39"/>
        <v>0</v>
      </c>
      <c r="CG489" s="75">
        <f t="shared" si="38"/>
        <v>4344</v>
      </c>
      <c r="CH489" s="69" t="str">
        <f t="shared" si="37"/>
        <v>صيدلة اكلينيكى</v>
      </c>
    </row>
    <row r="490" spans="1:86" x14ac:dyDescent="0.25">
      <c r="A490" s="148"/>
      <c r="B490" s="82">
        <v>8032</v>
      </c>
      <c r="C490" s="149">
        <v>4345</v>
      </c>
      <c r="D490" s="69" t="s">
        <v>132</v>
      </c>
      <c r="E490" s="69" t="s">
        <v>3244</v>
      </c>
      <c r="F490" s="63"/>
      <c r="G490" s="69">
        <v>674.19</v>
      </c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  <c r="AE490" s="69"/>
      <c r="AF490" s="69"/>
      <c r="AG490" s="69"/>
      <c r="AH490" s="69"/>
      <c r="AI490" s="69"/>
      <c r="AJ490" s="69"/>
      <c r="AK490" s="69"/>
      <c r="AL490" s="69"/>
      <c r="AM490" s="69"/>
      <c r="AN490" s="69"/>
      <c r="AO490" s="69"/>
      <c r="AP490" s="69"/>
      <c r="AQ490" s="69"/>
      <c r="AR490" s="94">
        <f t="shared" si="26"/>
        <v>674.19</v>
      </c>
      <c r="AS490" s="69">
        <v>451.24</v>
      </c>
      <c r="AT490" s="69">
        <f>57.5+3.01</f>
        <v>60.51</v>
      </c>
      <c r="AU490" s="69">
        <f>222.95-AT490</f>
        <v>162.44</v>
      </c>
      <c r="AV490" s="69"/>
      <c r="AW490" s="69"/>
      <c r="AX490" s="69"/>
      <c r="AY490" s="69"/>
      <c r="AZ490" s="69"/>
      <c r="BA490" s="69"/>
      <c r="BB490" s="69"/>
      <c r="BC490" s="69"/>
      <c r="BD490" s="69"/>
      <c r="BE490" s="69"/>
      <c r="BF490" s="69"/>
      <c r="BG490" s="69"/>
      <c r="BH490" s="69"/>
      <c r="BI490" s="69"/>
      <c r="BJ490" s="69"/>
      <c r="BK490" s="69"/>
      <c r="BL490" s="69"/>
      <c r="BM490" s="69"/>
      <c r="BN490" s="69"/>
      <c r="BO490" s="69"/>
      <c r="BP490" s="69"/>
      <c r="BQ490" s="69"/>
      <c r="BR490" s="69"/>
      <c r="BS490" s="69"/>
      <c r="BT490" s="69"/>
      <c r="BU490" s="69"/>
      <c r="BV490" s="69"/>
      <c r="BW490" s="69"/>
      <c r="BX490" s="69"/>
      <c r="BY490" s="69"/>
      <c r="BZ490" s="69"/>
      <c r="CA490" s="69"/>
      <c r="CB490" s="69"/>
      <c r="CC490" s="69"/>
      <c r="CD490" s="69"/>
      <c r="CE490" s="94">
        <f t="shared" si="36"/>
        <v>674.19</v>
      </c>
      <c r="CF490" s="151">
        <f t="shared" si="39"/>
        <v>0</v>
      </c>
      <c r="CG490" s="75">
        <f t="shared" si="38"/>
        <v>4345</v>
      </c>
      <c r="CH490" s="69" t="str">
        <f t="shared" si="37"/>
        <v>صيدلة اكلينيكى</v>
      </c>
    </row>
    <row r="491" spans="1:86" x14ac:dyDescent="0.25">
      <c r="A491" s="148"/>
      <c r="B491" s="82">
        <v>8031</v>
      </c>
      <c r="C491" s="149">
        <v>4346</v>
      </c>
      <c r="D491" s="69" t="s">
        <v>132</v>
      </c>
      <c r="E491" s="69" t="s">
        <v>3244</v>
      </c>
      <c r="F491" s="63"/>
      <c r="G491" s="69">
        <v>1705.99</v>
      </c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  <c r="AE491" s="69"/>
      <c r="AF491" s="69"/>
      <c r="AG491" s="69"/>
      <c r="AH491" s="69"/>
      <c r="AI491" s="69"/>
      <c r="AJ491" s="69"/>
      <c r="AK491" s="69"/>
      <c r="AL491" s="69"/>
      <c r="AM491" s="69"/>
      <c r="AN491" s="69"/>
      <c r="AO491" s="69"/>
      <c r="AP491" s="69"/>
      <c r="AQ491" s="69"/>
      <c r="AR491" s="94">
        <f t="shared" si="26"/>
        <v>1705.99</v>
      </c>
      <c r="AS491" s="69">
        <v>1142.0999999999999</v>
      </c>
      <c r="AT491" s="69">
        <v>152.85</v>
      </c>
      <c r="AU491" s="69">
        <v>411.04</v>
      </c>
      <c r="AV491" s="69"/>
      <c r="AW491" s="69"/>
      <c r="AX491" s="69"/>
      <c r="AY491" s="69"/>
      <c r="AZ491" s="69"/>
      <c r="BA491" s="69"/>
      <c r="BB491" s="69"/>
      <c r="BC491" s="69"/>
      <c r="BD491" s="69"/>
      <c r="BE491" s="69"/>
      <c r="BF491" s="69"/>
      <c r="BG491" s="69"/>
      <c r="BH491" s="69"/>
      <c r="BI491" s="69"/>
      <c r="BJ491" s="69"/>
      <c r="BK491" s="69"/>
      <c r="BL491" s="69"/>
      <c r="BM491" s="69"/>
      <c r="BN491" s="69"/>
      <c r="BO491" s="69"/>
      <c r="BP491" s="69"/>
      <c r="BQ491" s="69"/>
      <c r="BR491" s="69"/>
      <c r="BS491" s="69"/>
      <c r="BT491" s="69"/>
      <c r="BU491" s="69"/>
      <c r="BV491" s="69"/>
      <c r="BW491" s="69"/>
      <c r="BX491" s="69"/>
      <c r="BY491" s="69"/>
      <c r="BZ491" s="69"/>
      <c r="CA491" s="69"/>
      <c r="CB491" s="69"/>
      <c r="CC491" s="69"/>
      <c r="CD491" s="69"/>
      <c r="CE491" s="94">
        <f t="shared" si="36"/>
        <v>1705.9899999999998</v>
      </c>
      <c r="CF491" s="151">
        <f t="shared" si="39"/>
        <v>0</v>
      </c>
      <c r="CG491" s="75">
        <f t="shared" si="38"/>
        <v>4346</v>
      </c>
      <c r="CH491" s="69" t="str">
        <f t="shared" si="37"/>
        <v>صيدلة اكلينيكى</v>
      </c>
    </row>
    <row r="492" spans="1:86" x14ac:dyDescent="0.25">
      <c r="A492" s="148"/>
      <c r="B492" s="82">
        <v>8030</v>
      </c>
      <c r="C492" s="149">
        <v>4347</v>
      </c>
      <c r="D492" s="69" t="s">
        <v>132</v>
      </c>
      <c r="E492" s="69" t="s">
        <v>3244</v>
      </c>
      <c r="F492" s="63"/>
      <c r="G492" s="69">
        <v>2227.75</v>
      </c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  <c r="AE492" s="69"/>
      <c r="AF492" s="69"/>
      <c r="AG492" s="69"/>
      <c r="AH492" s="69"/>
      <c r="AI492" s="69"/>
      <c r="AJ492" s="69"/>
      <c r="AK492" s="69"/>
      <c r="AL492" s="69"/>
      <c r="AM492" s="69"/>
      <c r="AN492" s="69"/>
      <c r="AO492" s="69"/>
      <c r="AP492" s="69"/>
      <c r="AQ492" s="69"/>
      <c r="AR492" s="94">
        <f t="shared" si="26"/>
        <v>2227.75</v>
      </c>
      <c r="AS492" s="69">
        <v>1488.65</v>
      </c>
      <c r="AT492" s="69">
        <v>202.35</v>
      </c>
      <c r="AU492" s="69">
        <v>536.75</v>
      </c>
      <c r="AV492" s="69"/>
      <c r="AW492" s="69"/>
      <c r="AX492" s="69"/>
      <c r="AY492" s="69"/>
      <c r="AZ492" s="69"/>
      <c r="BA492" s="69"/>
      <c r="BB492" s="69"/>
      <c r="BC492" s="69"/>
      <c r="BD492" s="69"/>
      <c r="BE492" s="69"/>
      <c r="BF492" s="69"/>
      <c r="BG492" s="69"/>
      <c r="BH492" s="69"/>
      <c r="BI492" s="69"/>
      <c r="BJ492" s="69"/>
      <c r="BK492" s="69"/>
      <c r="BL492" s="69"/>
      <c r="BM492" s="69"/>
      <c r="BN492" s="69"/>
      <c r="BO492" s="69"/>
      <c r="BP492" s="69"/>
      <c r="BQ492" s="69"/>
      <c r="BR492" s="69"/>
      <c r="BS492" s="69"/>
      <c r="BT492" s="69"/>
      <c r="BU492" s="69"/>
      <c r="BV492" s="69"/>
      <c r="BW492" s="69"/>
      <c r="BX492" s="69"/>
      <c r="BY492" s="69"/>
      <c r="BZ492" s="69"/>
      <c r="CA492" s="69"/>
      <c r="CB492" s="69"/>
      <c r="CC492" s="69"/>
      <c r="CD492" s="69"/>
      <c r="CE492" s="94">
        <f t="shared" si="36"/>
        <v>2227.75</v>
      </c>
      <c r="CF492" s="151">
        <f t="shared" si="39"/>
        <v>0</v>
      </c>
      <c r="CG492" s="75">
        <f t="shared" si="38"/>
        <v>4347</v>
      </c>
      <c r="CH492" s="69" t="str">
        <f t="shared" si="37"/>
        <v>صيدلة اكلينيكى</v>
      </c>
    </row>
    <row r="493" spans="1:86" x14ac:dyDescent="0.25">
      <c r="A493" s="148"/>
      <c r="B493" s="82">
        <v>8025</v>
      </c>
      <c r="C493" s="149">
        <v>4348</v>
      </c>
      <c r="D493" s="69" t="s">
        <v>132</v>
      </c>
      <c r="E493" s="69" t="str">
        <f>+E484</f>
        <v>مكافاه جوده</v>
      </c>
      <c r="F493" s="63"/>
      <c r="G493" s="69">
        <v>586.25</v>
      </c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  <c r="AE493" s="69"/>
      <c r="AF493" s="69"/>
      <c r="AG493" s="69"/>
      <c r="AH493" s="69"/>
      <c r="AI493" s="69"/>
      <c r="AJ493" s="69"/>
      <c r="AK493" s="69"/>
      <c r="AL493" s="69"/>
      <c r="AM493" s="69"/>
      <c r="AN493" s="69"/>
      <c r="AO493" s="69"/>
      <c r="AP493" s="69"/>
      <c r="AQ493" s="69"/>
      <c r="AR493" s="94">
        <f t="shared" si="26"/>
        <v>586.25</v>
      </c>
      <c r="AS493" s="69">
        <v>392.4</v>
      </c>
      <c r="AT493" s="69">
        <v>52.6</v>
      </c>
      <c r="AU493" s="69">
        <v>141.25</v>
      </c>
      <c r="AV493" s="69"/>
      <c r="AW493" s="69"/>
      <c r="AX493" s="69"/>
      <c r="AY493" s="69"/>
      <c r="AZ493" s="69"/>
      <c r="BA493" s="69"/>
      <c r="BB493" s="69"/>
      <c r="BC493" s="69"/>
      <c r="BD493" s="69"/>
      <c r="BE493" s="69"/>
      <c r="BF493" s="69"/>
      <c r="BG493" s="69"/>
      <c r="BH493" s="69"/>
      <c r="BI493" s="69"/>
      <c r="BJ493" s="69"/>
      <c r="BK493" s="69"/>
      <c r="BL493" s="69"/>
      <c r="BM493" s="69"/>
      <c r="BN493" s="69"/>
      <c r="BO493" s="69"/>
      <c r="BP493" s="69"/>
      <c r="BQ493" s="69"/>
      <c r="BR493" s="69"/>
      <c r="BS493" s="69"/>
      <c r="BT493" s="69"/>
      <c r="BU493" s="69"/>
      <c r="BV493" s="69"/>
      <c r="BW493" s="69"/>
      <c r="BX493" s="69"/>
      <c r="BY493" s="69"/>
      <c r="BZ493" s="69"/>
      <c r="CA493" s="69"/>
      <c r="CB493" s="69"/>
      <c r="CC493" s="69"/>
      <c r="CD493" s="69"/>
      <c r="CE493" s="94">
        <f t="shared" si="36"/>
        <v>586.25</v>
      </c>
      <c r="CF493" s="151">
        <f t="shared" si="39"/>
        <v>0</v>
      </c>
      <c r="CG493" s="75">
        <f t="shared" si="38"/>
        <v>4348</v>
      </c>
      <c r="CH493" s="69" t="str">
        <f t="shared" si="37"/>
        <v>صيدلة اكلينيكى</v>
      </c>
    </row>
    <row r="494" spans="1:86" x14ac:dyDescent="0.25">
      <c r="A494" s="148"/>
      <c r="B494" s="82">
        <v>8027</v>
      </c>
      <c r="C494" s="149">
        <v>4349</v>
      </c>
      <c r="D494" s="69" t="s">
        <v>132</v>
      </c>
      <c r="E494" s="69" t="str">
        <f t="shared" ref="E494:E497" si="40">+E485</f>
        <v>مكافاه جوده</v>
      </c>
      <c r="F494" s="63"/>
      <c r="G494" s="69">
        <v>586.25</v>
      </c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  <c r="AE494" s="69"/>
      <c r="AF494" s="69"/>
      <c r="AG494" s="69"/>
      <c r="AH494" s="69"/>
      <c r="AI494" s="69"/>
      <c r="AJ494" s="69"/>
      <c r="AK494" s="69"/>
      <c r="AL494" s="69"/>
      <c r="AM494" s="69"/>
      <c r="AN494" s="69"/>
      <c r="AO494" s="69"/>
      <c r="AP494" s="69"/>
      <c r="AQ494" s="69"/>
      <c r="AR494" s="94">
        <f t="shared" si="26"/>
        <v>586.25</v>
      </c>
      <c r="AS494" s="69">
        <v>392.4</v>
      </c>
      <c r="AT494" s="69">
        <v>52.6</v>
      </c>
      <c r="AU494" s="69">
        <v>141.25</v>
      </c>
      <c r="AV494" s="69"/>
      <c r="AW494" s="69"/>
      <c r="AX494" s="69"/>
      <c r="AY494" s="69"/>
      <c r="AZ494" s="69"/>
      <c r="BA494" s="69"/>
      <c r="BB494" s="69"/>
      <c r="BC494" s="69"/>
      <c r="BD494" s="69"/>
      <c r="BE494" s="69"/>
      <c r="BF494" s="69"/>
      <c r="BG494" s="69"/>
      <c r="BH494" s="69"/>
      <c r="BI494" s="69"/>
      <c r="BJ494" s="69"/>
      <c r="BK494" s="69"/>
      <c r="BL494" s="69"/>
      <c r="BM494" s="69"/>
      <c r="BN494" s="69"/>
      <c r="BO494" s="69"/>
      <c r="BP494" s="69"/>
      <c r="BQ494" s="69"/>
      <c r="BR494" s="69"/>
      <c r="BS494" s="69"/>
      <c r="BT494" s="69"/>
      <c r="BU494" s="69"/>
      <c r="BV494" s="69"/>
      <c r="BW494" s="69"/>
      <c r="BX494" s="69"/>
      <c r="BY494" s="69"/>
      <c r="BZ494" s="69"/>
      <c r="CA494" s="69"/>
      <c r="CB494" s="69"/>
      <c r="CC494" s="69"/>
      <c r="CD494" s="69"/>
      <c r="CE494" s="94">
        <f t="shared" si="36"/>
        <v>586.25</v>
      </c>
      <c r="CF494" s="151">
        <f t="shared" si="39"/>
        <v>0</v>
      </c>
      <c r="CG494" s="75">
        <f t="shared" si="38"/>
        <v>4349</v>
      </c>
      <c r="CH494" s="69" t="str">
        <f t="shared" si="37"/>
        <v>صيدلة اكلينيكى</v>
      </c>
    </row>
    <row r="495" spans="1:86" x14ac:dyDescent="0.25">
      <c r="A495" s="148"/>
      <c r="B495" s="82">
        <v>8026</v>
      </c>
      <c r="C495" s="149">
        <v>4350</v>
      </c>
      <c r="D495" s="69" t="s">
        <v>132</v>
      </c>
      <c r="E495" s="69" t="str">
        <f t="shared" si="40"/>
        <v>مكافاه جوده</v>
      </c>
      <c r="F495" s="63"/>
      <c r="G495" s="69">
        <v>1172.5</v>
      </c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  <c r="AE495" s="69"/>
      <c r="AF495" s="69"/>
      <c r="AG495" s="69"/>
      <c r="AH495" s="69"/>
      <c r="AI495" s="69"/>
      <c r="AJ495" s="69"/>
      <c r="AK495" s="69"/>
      <c r="AL495" s="69"/>
      <c r="AM495" s="69"/>
      <c r="AN495" s="69"/>
      <c r="AO495" s="69"/>
      <c r="AP495" s="69"/>
      <c r="AQ495" s="69"/>
      <c r="AR495" s="94">
        <f t="shared" si="26"/>
        <v>1172.5</v>
      </c>
      <c r="AS495" s="69">
        <v>784.1</v>
      </c>
      <c r="AT495" s="69">
        <v>105.9</v>
      </c>
      <c r="AU495" s="69">
        <v>282.5</v>
      </c>
      <c r="AV495" s="69"/>
      <c r="AW495" s="69"/>
      <c r="AX495" s="69"/>
      <c r="AY495" s="69"/>
      <c r="AZ495" s="69"/>
      <c r="BA495" s="69"/>
      <c r="BB495" s="69"/>
      <c r="BC495" s="69"/>
      <c r="BD495" s="69"/>
      <c r="BE495" s="69"/>
      <c r="BF495" s="69"/>
      <c r="BG495" s="69"/>
      <c r="BH495" s="69"/>
      <c r="BI495" s="69"/>
      <c r="BJ495" s="69"/>
      <c r="BK495" s="69"/>
      <c r="BL495" s="69"/>
      <c r="BM495" s="69"/>
      <c r="BN495" s="69"/>
      <c r="BO495" s="69"/>
      <c r="BP495" s="69"/>
      <c r="BQ495" s="69"/>
      <c r="BR495" s="69"/>
      <c r="BS495" s="69"/>
      <c r="BT495" s="69"/>
      <c r="BU495" s="69"/>
      <c r="BV495" s="69"/>
      <c r="BW495" s="69"/>
      <c r="BX495" s="69"/>
      <c r="BY495" s="69"/>
      <c r="BZ495" s="69"/>
      <c r="CA495" s="69"/>
      <c r="CB495" s="69"/>
      <c r="CC495" s="69"/>
      <c r="CD495" s="69"/>
      <c r="CE495" s="94">
        <f t="shared" si="36"/>
        <v>1172.5</v>
      </c>
      <c r="CF495" s="151">
        <f t="shared" si="39"/>
        <v>0</v>
      </c>
      <c r="CG495" s="75">
        <f t="shared" si="38"/>
        <v>4350</v>
      </c>
      <c r="CH495" s="69" t="str">
        <f t="shared" si="37"/>
        <v>صيدلة اكلينيكى</v>
      </c>
    </row>
    <row r="496" spans="1:86" x14ac:dyDescent="0.25">
      <c r="A496" s="148"/>
      <c r="B496" s="82">
        <v>8028</v>
      </c>
      <c r="C496" s="149">
        <v>4351</v>
      </c>
      <c r="D496" s="69" t="s">
        <v>132</v>
      </c>
      <c r="E496" s="69" t="str">
        <f t="shared" si="40"/>
        <v>مكافاه جوده</v>
      </c>
      <c r="F496" s="63"/>
      <c r="G496" s="69">
        <v>10045</v>
      </c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  <c r="AE496" s="69"/>
      <c r="AF496" s="69"/>
      <c r="AG496" s="69"/>
      <c r="AH496" s="69"/>
      <c r="AI496" s="69"/>
      <c r="AJ496" s="69"/>
      <c r="AK496" s="69"/>
      <c r="AL496" s="69"/>
      <c r="AM496" s="69"/>
      <c r="AN496" s="69"/>
      <c r="AO496" s="69"/>
      <c r="AP496" s="69"/>
      <c r="AQ496" s="69"/>
      <c r="AR496" s="94">
        <f t="shared" si="26"/>
        <v>10045</v>
      </c>
      <c r="AS496" s="69">
        <v>8451.5</v>
      </c>
      <c r="AT496" s="69">
        <v>1028.5</v>
      </c>
      <c r="AU496" s="69">
        <v>565</v>
      </c>
      <c r="AV496" s="69"/>
      <c r="AW496" s="69"/>
      <c r="AX496" s="69"/>
      <c r="AY496" s="69"/>
      <c r="AZ496" s="69"/>
      <c r="BA496" s="69"/>
      <c r="BB496" s="69"/>
      <c r="BC496" s="69"/>
      <c r="BD496" s="69"/>
      <c r="BE496" s="69"/>
      <c r="BF496" s="69"/>
      <c r="BG496" s="69"/>
      <c r="BH496" s="69"/>
      <c r="BI496" s="69"/>
      <c r="BJ496" s="69"/>
      <c r="BK496" s="69"/>
      <c r="BL496" s="69"/>
      <c r="BM496" s="69"/>
      <c r="BN496" s="69"/>
      <c r="BO496" s="69"/>
      <c r="BP496" s="69"/>
      <c r="BQ496" s="69"/>
      <c r="BR496" s="69"/>
      <c r="BS496" s="69"/>
      <c r="BT496" s="69"/>
      <c r="BU496" s="69"/>
      <c r="BV496" s="69"/>
      <c r="BW496" s="69"/>
      <c r="BX496" s="69"/>
      <c r="BY496" s="69"/>
      <c r="BZ496" s="69"/>
      <c r="CA496" s="69"/>
      <c r="CB496" s="69"/>
      <c r="CC496" s="69"/>
      <c r="CD496" s="69"/>
      <c r="CE496" s="94">
        <f t="shared" si="36"/>
        <v>10045</v>
      </c>
      <c r="CF496" s="151">
        <f t="shared" si="39"/>
        <v>0</v>
      </c>
      <c r="CG496" s="75">
        <f t="shared" si="38"/>
        <v>4351</v>
      </c>
      <c r="CH496" s="69" t="str">
        <f t="shared" si="37"/>
        <v>صيدلة اكلينيكى</v>
      </c>
    </row>
    <row r="497" spans="1:86" x14ac:dyDescent="0.25">
      <c r="A497" s="148"/>
      <c r="B497" s="82">
        <v>8024</v>
      </c>
      <c r="C497" s="149">
        <v>4352</v>
      </c>
      <c r="D497" s="69" t="s">
        <v>132</v>
      </c>
      <c r="E497" s="69" t="str">
        <f t="shared" si="40"/>
        <v>مكافاه جوده</v>
      </c>
      <c r="F497" s="63"/>
      <c r="G497" s="69">
        <v>1038</v>
      </c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  <c r="AE497" s="69"/>
      <c r="AF497" s="69"/>
      <c r="AG497" s="69"/>
      <c r="AH497" s="69"/>
      <c r="AI497" s="69"/>
      <c r="AJ497" s="69"/>
      <c r="AK497" s="69"/>
      <c r="AL497" s="69"/>
      <c r="AM497" s="69"/>
      <c r="AN497" s="69"/>
      <c r="AO497" s="69"/>
      <c r="AP497" s="69"/>
      <c r="AQ497" s="69"/>
      <c r="AR497" s="94">
        <f t="shared" si="26"/>
        <v>1038</v>
      </c>
      <c r="AS497" s="69">
        <v>716.92</v>
      </c>
      <c r="AT497" s="69">
        <f>90+5.08</f>
        <v>95.08</v>
      </c>
      <c r="AU497" s="69">
        <f>321.08-AT497</f>
        <v>226</v>
      </c>
      <c r="AV497" s="69"/>
      <c r="AW497" s="69"/>
      <c r="AX497" s="69"/>
      <c r="AY497" s="69"/>
      <c r="AZ497" s="69"/>
      <c r="BA497" s="69"/>
      <c r="BB497" s="69"/>
      <c r="BC497" s="69"/>
      <c r="BD497" s="69"/>
      <c r="BE497" s="69"/>
      <c r="BF497" s="69"/>
      <c r="BG497" s="69"/>
      <c r="BH497" s="69"/>
      <c r="BI497" s="69"/>
      <c r="BJ497" s="69"/>
      <c r="BK497" s="69"/>
      <c r="BL497" s="69"/>
      <c r="BM497" s="69"/>
      <c r="BN497" s="69"/>
      <c r="BO497" s="69"/>
      <c r="BP497" s="69"/>
      <c r="BQ497" s="69"/>
      <c r="BR497" s="69"/>
      <c r="BS497" s="69"/>
      <c r="BT497" s="69"/>
      <c r="BU497" s="69"/>
      <c r="BV497" s="69"/>
      <c r="BW497" s="69"/>
      <c r="BX497" s="69"/>
      <c r="BY497" s="69"/>
      <c r="BZ497" s="69"/>
      <c r="CA497" s="69"/>
      <c r="CB497" s="69"/>
      <c r="CC497" s="69"/>
      <c r="CD497" s="69"/>
      <c r="CE497" s="94">
        <f t="shared" si="36"/>
        <v>1038</v>
      </c>
      <c r="CF497" s="151">
        <f t="shared" si="39"/>
        <v>0</v>
      </c>
      <c r="CG497" s="75">
        <f t="shared" si="38"/>
        <v>4352</v>
      </c>
      <c r="CH497" s="69" t="str">
        <f t="shared" si="37"/>
        <v>صيدلة اكلينيكى</v>
      </c>
    </row>
    <row r="498" spans="1:86" x14ac:dyDescent="0.25">
      <c r="A498" s="148"/>
      <c r="B498" s="82">
        <v>8017</v>
      </c>
      <c r="C498" s="149">
        <v>4353</v>
      </c>
      <c r="D498" s="69" t="s">
        <v>132</v>
      </c>
      <c r="E498" s="69" t="str">
        <f>+E489</f>
        <v>مكافاه تدريس جلسات شفهيه</v>
      </c>
      <c r="F498" s="63"/>
      <c r="G498" s="69">
        <v>1380</v>
      </c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  <c r="AE498" s="69"/>
      <c r="AF498" s="69"/>
      <c r="AG498" s="69"/>
      <c r="AH498" s="69"/>
      <c r="AI498" s="69"/>
      <c r="AJ498" s="69"/>
      <c r="AK498" s="69"/>
      <c r="AL498" s="69"/>
      <c r="AM498" s="69"/>
      <c r="AN498" s="69"/>
      <c r="AO498" s="69"/>
      <c r="AP498" s="69"/>
      <c r="AQ498" s="69"/>
      <c r="AR498" s="94">
        <f t="shared" si="26"/>
        <v>1380</v>
      </c>
      <c r="AS498" s="69">
        <v>1233</v>
      </c>
      <c r="AT498" s="69">
        <v>147</v>
      </c>
      <c r="AU498" s="69"/>
      <c r="AV498" s="69"/>
      <c r="AW498" s="69"/>
      <c r="AX498" s="69"/>
      <c r="AY498" s="69"/>
      <c r="AZ498" s="69"/>
      <c r="BA498" s="69"/>
      <c r="BB498" s="69"/>
      <c r="BC498" s="69"/>
      <c r="BD498" s="69"/>
      <c r="BE498" s="69"/>
      <c r="BF498" s="69"/>
      <c r="BG498" s="69"/>
      <c r="BH498" s="69"/>
      <c r="BI498" s="69"/>
      <c r="BJ498" s="69"/>
      <c r="BK498" s="69"/>
      <c r="BL498" s="69"/>
      <c r="BM498" s="69"/>
      <c r="BN498" s="69"/>
      <c r="BO498" s="69"/>
      <c r="BP498" s="69"/>
      <c r="BQ498" s="69"/>
      <c r="BR498" s="69"/>
      <c r="BS498" s="69"/>
      <c r="BT498" s="69"/>
      <c r="BU498" s="69"/>
      <c r="BV498" s="69"/>
      <c r="BW498" s="69"/>
      <c r="BX498" s="69"/>
      <c r="BY498" s="69"/>
      <c r="BZ498" s="69"/>
      <c r="CA498" s="69"/>
      <c r="CB498" s="69"/>
      <c r="CC498" s="69"/>
      <c r="CD498" s="69"/>
      <c r="CE498" s="94">
        <f t="shared" si="36"/>
        <v>1380</v>
      </c>
      <c r="CF498" s="151">
        <f t="shared" si="39"/>
        <v>0</v>
      </c>
      <c r="CG498" s="75">
        <f t="shared" si="38"/>
        <v>4353</v>
      </c>
      <c r="CH498" s="69" t="str">
        <f t="shared" si="37"/>
        <v>صيدلة اكلينيكى</v>
      </c>
    </row>
    <row r="499" spans="1:86" x14ac:dyDescent="0.25">
      <c r="A499" s="148"/>
      <c r="B499" s="82">
        <v>8029</v>
      </c>
      <c r="C499" s="149">
        <v>4354</v>
      </c>
      <c r="D499" s="69" t="s">
        <v>132</v>
      </c>
      <c r="E499" s="69" t="str">
        <f>+E492</f>
        <v>مكافاه دورات تاهيليه</v>
      </c>
      <c r="F499" s="63"/>
      <c r="G499" s="69">
        <v>20097.62</v>
      </c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  <c r="AE499" s="69"/>
      <c r="AF499" s="69"/>
      <c r="AG499" s="69"/>
      <c r="AH499" s="69"/>
      <c r="AI499" s="69"/>
      <c r="AJ499" s="69"/>
      <c r="AK499" s="69"/>
      <c r="AL499" s="69"/>
      <c r="AM499" s="69"/>
      <c r="AN499" s="69"/>
      <c r="AO499" s="69"/>
      <c r="AP499" s="69"/>
      <c r="AQ499" s="69"/>
      <c r="AR499" s="94">
        <f t="shared" si="26"/>
        <v>20097.62</v>
      </c>
      <c r="AS499" s="69">
        <v>16210.65</v>
      </c>
      <c r="AT499" s="69">
        <v>2023.9</v>
      </c>
      <c r="AU499" s="69">
        <v>1863.07</v>
      </c>
      <c r="AV499" s="69"/>
      <c r="AW499" s="69"/>
      <c r="AX499" s="69"/>
      <c r="AY499" s="69"/>
      <c r="AZ499" s="69"/>
      <c r="BA499" s="69"/>
      <c r="BB499" s="69"/>
      <c r="BC499" s="69"/>
      <c r="BD499" s="69"/>
      <c r="BE499" s="69"/>
      <c r="BF499" s="69"/>
      <c r="BG499" s="69"/>
      <c r="BH499" s="69"/>
      <c r="BI499" s="69"/>
      <c r="BJ499" s="69"/>
      <c r="BK499" s="69"/>
      <c r="BL499" s="69"/>
      <c r="BM499" s="69"/>
      <c r="BN499" s="69"/>
      <c r="BO499" s="69"/>
      <c r="BP499" s="69"/>
      <c r="BQ499" s="69"/>
      <c r="BR499" s="69"/>
      <c r="BS499" s="69"/>
      <c r="BT499" s="69"/>
      <c r="BU499" s="69"/>
      <c r="BV499" s="69"/>
      <c r="BW499" s="69"/>
      <c r="BX499" s="69"/>
      <c r="BY499" s="69"/>
      <c r="BZ499" s="69"/>
      <c r="CA499" s="69"/>
      <c r="CB499" s="69"/>
      <c r="CC499" s="69"/>
      <c r="CD499" s="69"/>
      <c r="CE499" s="94">
        <f t="shared" si="36"/>
        <v>20097.62</v>
      </c>
      <c r="CF499" s="151">
        <f t="shared" si="39"/>
        <v>0</v>
      </c>
      <c r="CG499" s="75">
        <f t="shared" si="38"/>
        <v>4354</v>
      </c>
      <c r="CH499" s="69" t="str">
        <f t="shared" si="37"/>
        <v>صيدلة اكلينيكى</v>
      </c>
    </row>
    <row r="500" spans="1:86" x14ac:dyDescent="0.25">
      <c r="A500" s="148"/>
      <c r="B500" s="82">
        <v>3522</v>
      </c>
      <c r="C500" s="149">
        <v>4355</v>
      </c>
      <c r="D500" s="69" t="s">
        <v>132</v>
      </c>
      <c r="E500" s="69" t="s">
        <v>3245</v>
      </c>
      <c r="F500" s="63"/>
      <c r="G500" s="69">
        <v>2171.12</v>
      </c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  <c r="AE500" s="69"/>
      <c r="AF500" s="69"/>
      <c r="AG500" s="69"/>
      <c r="AH500" s="69"/>
      <c r="AI500" s="69"/>
      <c r="AJ500" s="69"/>
      <c r="AK500" s="69"/>
      <c r="AL500" s="69"/>
      <c r="AM500" s="69"/>
      <c r="AN500" s="69"/>
      <c r="AO500" s="69"/>
      <c r="AP500" s="69"/>
      <c r="AQ500" s="69"/>
      <c r="AR500" s="94">
        <f t="shared" si="26"/>
        <v>2171.12</v>
      </c>
      <c r="AS500" s="69">
        <v>1640.56</v>
      </c>
      <c r="AT500" s="69">
        <v>7.6</v>
      </c>
      <c r="AU500" s="69">
        <v>522.96</v>
      </c>
      <c r="AV500" s="69"/>
      <c r="AW500" s="69"/>
      <c r="AX500" s="69"/>
      <c r="AY500" s="69"/>
      <c r="AZ500" s="69"/>
      <c r="BA500" s="69"/>
      <c r="BB500" s="69"/>
      <c r="BC500" s="69"/>
      <c r="BD500" s="69"/>
      <c r="BE500" s="69"/>
      <c r="BF500" s="69"/>
      <c r="BG500" s="69"/>
      <c r="BH500" s="69"/>
      <c r="BI500" s="69"/>
      <c r="BJ500" s="69"/>
      <c r="BK500" s="69"/>
      <c r="BL500" s="69"/>
      <c r="BM500" s="69"/>
      <c r="BN500" s="69"/>
      <c r="BO500" s="69"/>
      <c r="BP500" s="69"/>
      <c r="BQ500" s="69"/>
      <c r="BR500" s="69"/>
      <c r="BS500" s="69"/>
      <c r="BT500" s="69"/>
      <c r="BU500" s="69"/>
      <c r="BV500" s="69"/>
      <c r="BW500" s="69"/>
      <c r="BX500" s="69"/>
      <c r="BY500" s="69"/>
      <c r="BZ500" s="69"/>
      <c r="CA500" s="69"/>
      <c r="CB500" s="69"/>
      <c r="CC500" s="69"/>
      <c r="CD500" s="69"/>
      <c r="CE500" s="94">
        <f t="shared" si="36"/>
        <v>2171.12</v>
      </c>
      <c r="CF500" s="151">
        <f t="shared" si="39"/>
        <v>0</v>
      </c>
      <c r="CG500" s="75">
        <f t="shared" si="38"/>
        <v>4355</v>
      </c>
      <c r="CH500" s="69" t="str">
        <f t="shared" si="37"/>
        <v>صيدلة اكلينيكى</v>
      </c>
    </row>
    <row r="501" spans="1:86" x14ac:dyDescent="0.25">
      <c r="A501" s="148"/>
      <c r="B501" s="82">
        <v>6651</v>
      </c>
      <c r="C501" s="149">
        <v>4356</v>
      </c>
      <c r="D501" s="69" t="s">
        <v>132</v>
      </c>
      <c r="E501" s="69" t="s">
        <v>3245</v>
      </c>
      <c r="F501" s="63"/>
      <c r="G501" s="69">
        <v>21017.07</v>
      </c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  <c r="AE501" s="69"/>
      <c r="AF501" s="69"/>
      <c r="AG501" s="69"/>
      <c r="AH501" s="69"/>
      <c r="AI501" s="69"/>
      <c r="AJ501" s="69"/>
      <c r="AK501" s="69"/>
      <c r="AL501" s="69"/>
      <c r="AM501" s="69"/>
      <c r="AN501" s="69"/>
      <c r="AO501" s="69"/>
      <c r="AP501" s="69"/>
      <c r="AQ501" s="69"/>
      <c r="AR501" s="94">
        <f t="shared" si="26"/>
        <v>21017.07</v>
      </c>
      <c r="AS501" s="69">
        <v>20484.150000000001</v>
      </c>
      <c r="AT501" s="69">
        <v>129.65</v>
      </c>
      <c r="AU501" s="69">
        <v>403.27</v>
      </c>
      <c r="AV501" s="69"/>
      <c r="AW501" s="69"/>
      <c r="AX501" s="69"/>
      <c r="AY501" s="69"/>
      <c r="AZ501" s="69"/>
      <c r="BA501" s="69"/>
      <c r="BB501" s="69"/>
      <c r="BC501" s="69"/>
      <c r="BD501" s="69"/>
      <c r="BE501" s="69"/>
      <c r="BF501" s="69"/>
      <c r="BG501" s="69"/>
      <c r="BH501" s="69"/>
      <c r="BI501" s="69"/>
      <c r="BJ501" s="69"/>
      <c r="BK501" s="69"/>
      <c r="BL501" s="69"/>
      <c r="BM501" s="69"/>
      <c r="BN501" s="69"/>
      <c r="BO501" s="69"/>
      <c r="BP501" s="69"/>
      <c r="BQ501" s="69"/>
      <c r="BR501" s="69"/>
      <c r="BS501" s="69"/>
      <c r="BT501" s="69"/>
      <c r="BU501" s="69"/>
      <c r="BV501" s="69"/>
      <c r="BW501" s="69"/>
      <c r="BX501" s="69"/>
      <c r="BY501" s="69"/>
      <c r="BZ501" s="69"/>
      <c r="CA501" s="69"/>
      <c r="CB501" s="69"/>
      <c r="CC501" s="69"/>
      <c r="CD501" s="69"/>
      <c r="CE501" s="94">
        <f t="shared" si="36"/>
        <v>21017.070000000003</v>
      </c>
      <c r="CF501" s="151">
        <f t="shared" si="39"/>
        <v>0</v>
      </c>
      <c r="CG501" s="75">
        <f t="shared" si="38"/>
        <v>4356</v>
      </c>
      <c r="CH501" s="69" t="str">
        <f t="shared" si="37"/>
        <v>صيدلة اكلينيكى</v>
      </c>
    </row>
    <row r="502" spans="1:86" x14ac:dyDescent="0.25">
      <c r="A502" s="148"/>
      <c r="B502" s="82">
        <v>6649</v>
      </c>
      <c r="C502" s="149">
        <v>4357</v>
      </c>
      <c r="D502" s="69" t="s">
        <v>132</v>
      </c>
      <c r="E502" s="69" t="s">
        <v>3245</v>
      </c>
      <c r="F502" s="63"/>
      <c r="G502" s="69">
        <v>163.46</v>
      </c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  <c r="AE502" s="69"/>
      <c r="AF502" s="69"/>
      <c r="AG502" s="69"/>
      <c r="AH502" s="69"/>
      <c r="AI502" s="69"/>
      <c r="AJ502" s="69"/>
      <c r="AK502" s="69"/>
      <c r="AL502" s="69"/>
      <c r="AM502" s="69"/>
      <c r="AN502" s="69"/>
      <c r="AO502" s="69"/>
      <c r="AP502" s="69"/>
      <c r="AQ502" s="69"/>
      <c r="AR502" s="94">
        <f t="shared" si="26"/>
        <v>163.46</v>
      </c>
      <c r="AS502" s="69">
        <v>162.76</v>
      </c>
      <c r="AT502" s="69">
        <v>0.7</v>
      </c>
      <c r="AU502" s="69"/>
      <c r="AV502" s="69"/>
      <c r="AW502" s="69"/>
      <c r="AX502" s="69"/>
      <c r="AY502" s="69"/>
      <c r="AZ502" s="69"/>
      <c r="BA502" s="69"/>
      <c r="BB502" s="69"/>
      <c r="BC502" s="69"/>
      <c r="BD502" s="69"/>
      <c r="BE502" s="69"/>
      <c r="BF502" s="69"/>
      <c r="BG502" s="69"/>
      <c r="BH502" s="69"/>
      <c r="BI502" s="69"/>
      <c r="BJ502" s="69"/>
      <c r="BK502" s="69"/>
      <c r="BL502" s="69"/>
      <c r="BM502" s="69"/>
      <c r="BN502" s="69"/>
      <c r="BO502" s="69"/>
      <c r="BP502" s="69"/>
      <c r="BQ502" s="69"/>
      <c r="BR502" s="69"/>
      <c r="BS502" s="69"/>
      <c r="BT502" s="69"/>
      <c r="BU502" s="69"/>
      <c r="BV502" s="69"/>
      <c r="BW502" s="69"/>
      <c r="BX502" s="69"/>
      <c r="BY502" s="69"/>
      <c r="BZ502" s="69"/>
      <c r="CA502" s="69"/>
      <c r="CB502" s="69"/>
      <c r="CC502" s="69"/>
      <c r="CD502" s="69"/>
      <c r="CE502" s="94">
        <f t="shared" si="36"/>
        <v>163.45999999999998</v>
      </c>
      <c r="CF502" s="151">
        <f t="shared" si="39"/>
        <v>0</v>
      </c>
      <c r="CG502" s="75">
        <f t="shared" si="38"/>
        <v>4357</v>
      </c>
      <c r="CH502" s="69" t="str">
        <f t="shared" si="37"/>
        <v>صيدلة اكلينيكى</v>
      </c>
    </row>
    <row r="503" spans="1:86" x14ac:dyDescent="0.25">
      <c r="A503" s="148"/>
      <c r="B503" s="82">
        <v>3523</v>
      </c>
      <c r="C503" s="149">
        <v>4358</v>
      </c>
      <c r="D503" s="69" t="s">
        <v>132</v>
      </c>
      <c r="E503" s="69" t="s">
        <v>3245</v>
      </c>
      <c r="F503" s="63"/>
      <c r="G503" s="69">
        <v>946</v>
      </c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  <c r="AE503" s="69"/>
      <c r="AF503" s="69"/>
      <c r="AG503" s="69"/>
      <c r="AH503" s="69"/>
      <c r="AI503" s="69"/>
      <c r="AJ503" s="69"/>
      <c r="AK503" s="69"/>
      <c r="AL503" s="69"/>
      <c r="AM503" s="69"/>
      <c r="AN503" s="69"/>
      <c r="AO503" s="69"/>
      <c r="AP503" s="69"/>
      <c r="AQ503" s="69"/>
      <c r="AR503" s="94">
        <f t="shared" si="26"/>
        <v>946</v>
      </c>
      <c r="AS503" s="69">
        <v>939.7</v>
      </c>
      <c r="AT503" s="69">
        <v>6.3</v>
      </c>
      <c r="AU503" s="69"/>
      <c r="AV503" s="69"/>
      <c r="AW503" s="69"/>
      <c r="AX503" s="69"/>
      <c r="AY503" s="69"/>
      <c r="AZ503" s="69"/>
      <c r="BA503" s="69"/>
      <c r="BB503" s="69"/>
      <c r="BC503" s="69"/>
      <c r="BD503" s="69"/>
      <c r="BE503" s="69"/>
      <c r="BF503" s="69"/>
      <c r="BG503" s="69"/>
      <c r="BH503" s="69"/>
      <c r="BI503" s="69"/>
      <c r="BJ503" s="69"/>
      <c r="BK503" s="69"/>
      <c r="BL503" s="69"/>
      <c r="BM503" s="69"/>
      <c r="BN503" s="69"/>
      <c r="BO503" s="69"/>
      <c r="BP503" s="69"/>
      <c r="BQ503" s="69"/>
      <c r="BR503" s="69"/>
      <c r="BS503" s="69"/>
      <c r="BT503" s="69"/>
      <c r="BU503" s="69"/>
      <c r="BV503" s="69"/>
      <c r="BW503" s="69"/>
      <c r="BX503" s="69"/>
      <c r="BY503" s="69"/>
      <c r="BZ503" s="69"/>
      <c r="CA503" s="69"/>
      <c r="CB503" s="69"/>
      <c r="CC503" s="69"/>
      <c r="CD503" s="69"/>
      <c r="CE503" s="94">
        <f t="shared" si="36"/>
        <v>946</v>
      </c>
      <c r="CF503" s="151">
        <f t="shared" si="39"/>
        <v>0</v>
      </c>
      <c r="CG503" s="75">
        <f t="shared" si="38"/>
        <v>4358</v>
      </c>
      <c r="CH503" s="69" t="str">
        <f t="shared" si="37"/>
        <v>صيدلة اكلينيكى</v>
      </c>
    </row>
    <row r="504" spans="1:86" x14ac:dyDescent="0.25">
      <c r="A504" s="148"/>
      <c r="B504" s="82">
        <v>6653</v>
      </c>
      <c r="C504" s="149">
        <v>4359</v>
      </c>
      <c r="D504" s="69" t="s">
        <v>132</v>
      </c>
      <c r="E504" s="69" t="s">
        <v>3245</v>
      </c>
      <c r="F504" s="63"/>
      <c r="G504" s="69">
        <v>25656.639999999999</v>
      </c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  <c r="AE504" s="69"/>
      <c r="AF504" s="69"/>
      <c r="AG504" s="69"/>
      <c r="AH504" s="69"/>
      <c r="AI504" s="69"/>
      <c r="AJ504" s="69"/>
      <c r="AK504" s="69"/>
      <c r="AL504" s="69"/>
      <c r="AM504" s="69"/>
      <c r="AN504" s="69"/>
      <c r="AO504" s="69"/>
      <c r="AP504" s="69"/>
      <c r="AQ504" s="69"/>
      <c r="AR504" s="94">
        <f t="shared" si="26"/>
        <v>25656.639999999999</v>
      </c>
      <c r="AS504" s="69">
        <v>19782.560000000001</v>
      </c>
      <c r="AT504" s="69">
        <v>105.1</v>
      </c>
      <c r="AU504" s="69">
        <v>5768.98</v>
      </c>
      <c r="AV504" s="69"/>
      <c r="AW504" s="69"/>
      <c r="AX504" s="69"/>
      <c r="AY504" s="69"/>
      <c r="AZ504" s="69"/>
      <c r="BA504" s="69"/>
      <c r="BB504" s="69"/>
      <c r="BC504" s="69"/>
      <c r="BD504" s="69"/>
      <c r="BE504" s="69"/>
      <c r="BF504" s="69"/>
      <c r="BG504" s="69"/>
      <c r="BH504" s="69"/>
      <c r="BI504" s="69"/>
      <c r="BJ504" s="69"/>
      <c r="BK504" s="69"/>
      <c r="BL504" s="69"/>
      <c r="BM504" s="69"/>
      <c r="BN504" s="69"/>
      <c r="BO504" s="69"/>
      <c r="BP504" s="69"/>
      <c r="BQ504" s="69"/>
      <c r="BR504" s="69"/>
      <c r="BS504" s="69"/>
      <c r="BT504" s="69"/>
      <c r="BU504" s="69"/>
      <c r="BV504" s="69"/>
      <c r="BW504" s="69"/>
      <c r="BX504" s="69"/>
      <c r="BY504" s="69"/>
      <c r="BZ504" s="69"/>
      <c r="CA504" s="69"/>
      <c r="CB504" s="69"/>
      <c r="CC504" s="69"/>
      <c r="CD504" s="69"/>
      <c r="CE504" s="94">
        <f t="shared" si="36"/>
        <v>25656.639999999999</v>
      </c>
      <c r="CF504" s="151">
        <f t="shared" si="39"/>
        <v>0</v>
      </c>
      <c r="CG504" s="75">
        <f t="shared" si="38"/>
        <v>4359</v>
      </c>
      <c r="CH504" s="69" t="str">
        <f t="shared" si="37"/>
        <v>صيدلة اكلينيكى</v>
      </c>
    </row>
    <row r="505" spans="1:86" x14ac:dyDescent="0.25">
      <c r="A505" s="148"/>
      <c r="B505" s="82">
        <v>6652</v>
      </c>
      <c r="C505" s="149">
        <v>4360</v>
      </c>
      <c r="D505" s="69" t="s">
        <v>132</v>
      </c>
      <c r="E505" s="69" t="s">
        <v>3245</v>
      </c>
      <c r="F505" s="63"/>
      <c r="G505" s="69">
        <v>18000.47</v>
      </c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  <c r="AE505" s="69"/>
      <c r="AF505" s="69"/>
      <c r="AG505" s="69"/>
      <c r="AH505" s="69"/>
      <c r="AI505" s="69"/>
      <c r="AJ505" s="69"/>
      <c r="AK505" s="69"/>
      <c r="AL505" s="69"/>
      <c r="AM505" s="69"/>
      <c r="AN505" s="69"/>
      <c r="AO505" s="69"/>
      <c r="AP505" s="69"/>
      <c r="AQ505" s="69"/>
      <c r="AR505" s="94">
        <f t="shared" si="26"/>
        <v>18000.47</v>
      </c>
      <c r="AS505" s="69">
        <v>15884.53</v>
      </c>
      <c r="AT505" s="69">
        <v>90.65</v>
      </c>
      <c r="AU505" s="69">
        <v>2025.29</v>
      </c>
      <c r="AV505" s="69"/>
      <c r="AW505" s="69"/>
      <c r="AX505" s="69"/>
      <c r="AY505" s="69"/>
      <c r="AZ505" s="69"/>
      <c r="BA505" s="69"/>
      <c r="BB505" s="69"/>
      <c r="BC505" s="69"/>
      <c r="BD505" s="69"/>
      <c r="BE505" s="69"/>
      <c r="BF505" s="69"/>
      <c r="BG505" s="69"/>
      <c r="BH505" s="69"/>
      <c r="BI505" s="69"/>
      <c r="BJ505" s="69"/>
      <c r="BK505" s="69"/>
      <c r="BL505" s="69"/>
      <c r="BM505" s="69"/>
      <c r="BN505" s="69"/>
      <c r="BO505" s="69"/>
      <c r="BP505" s="69"/>
      <c r="BQ505" s="69"/>
      <c r="BR505" s="69"/>
      <c r="BS505" s="69"/>
      <c r="BT505" s="69"/>
      <c r="BU505" s="69"/>
      <c r="BV505" s="69"/>
      <c r="BW505" s="69"/>
      <c r="BX505" s="69"/>
      <c r="BY505" s="69"/>
      <c r="BZ505" s="69"/>
      <c r="CA505" s="69"/>
      <c r="CB505" s="69"/>
      <c r="CC505" s="69"/>
      <c r="CD505" s="69"/>
      <c r="CE505" s="94">
        <f t="shared" si="36"/>
        <v>18000.47</v>
      </c>
      <c r="CF505" s="151">
        <f t="shared" si="39"/>
        <v>0</v>
      </c>
      <c r="CG505" s="75">
        <f t="shared" si="38"/>
        <v>4360</v>
      </c>
      <c r="CH505" s="69" t="str">
        <f t="shared" si="37"/>
        <v>صيدلة اكلينيكى</v>
      </c>
    </row>
    <row r="506" spans="1:86" x14ac:dyDescent="0.25">
      <c r="A506" s="148"/>
      <c r="B506" s="82">
        <v>8294</v>
      </c>
      <c r="C506" s="149">
        <v>4361</v>
      </c>
      <c r="D506" s="69" t="s">
        <v>78</v>
      </c>
      <c r="E506" s="69" t="s">
        <v>3246</v>
      </c>
      <c r="F506" s="63"/>
      <c r="G506" s="69">
        <v>3400.25</v>
      </c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  <c r="AE506" s="69"/>
      <c r="AF506" s="69"/>
      <c r="AG506" s="69"/>
      <c r="AH506" s="69"/>
      <c r="AI506" s="69"/>
      <c r="AJ506" s="69"/>
      <c r="AK506" s="69"/>
      <c r="AL506" s="69"/>
      <c r="AM506" s="69"/>
      <c r="AN506" s="69"/>
      <c r="AO506" s="69"/>
      <c r="AP506" s="69"/>
      <c r="AQ506" s="69"/>
      <c r="AR506" s="94">
        <f t="shared" si="26"/>
        <v>3400.25</v>
      </c>
      <c r="AS506" s="69">
        <v>2274.0500000000002</v>
      </c>
      <c r="AT506" s="69">
        <f>16.95+290</f>
        <v>306.95</v>
      </c>
      <c r="AU506" s="69">
        <v>819.25</v>
      </c>
      <c r="AV506" s="69"/>
      <c r="AW506" s="69"/>
      <c r="AX506" s="69"/>
      <c r="AY506" s="69"/>
      <c r="AZ506" s="69"/>
      <c r="BA506" s="69"/>
      <c r="BB506" s="69"/>
      <c r="BC506" s="69"/>
      <c r="BD506" s="69"/>
      <c r="BE506" s="69"/>
      <c r="BF506" s="69"/>
      <c r="BG506" s="69"/>
      <c r="BH506" s="69"/>
      <c r="BI506" s="69"/>
      <c r="BJ506" s="69"/>
      <c r="BK506" s="69"/>
      <c r="BL506" s="69"/>
      <c r="BM506" s="69"/>
      <c r="BN506" s="69"/>
      <c r="BO506" s="69"/>
      <c r="BP506" s="69"/>
      <c r="BQ506" s="69"/>
      <c r="BR506" s="69"/>
      <c r="BS506" s="69"/>
      <c r="BT506" s="69"/>
      <c r="BU506" s="69"/>
      <c r="BV506" s="69"/>
      <c r="BW506" s="69"/>
      <c r="BX506" s="69"/>
      <c r="BY506" s="69"/>
      <c r="BZ506" s="69"/>
      <c r="CA506" s="69"/>
      <c r="CB506" s="69"/>
      <c r="CC506" s="69"/>
      <c r="CD506" s="69"/>
      <c r="CE506" s="94">
        <f t="shared" si="36"/>
        <v>3400.25</v>
      </c>
      <c r="CF506" s="151">
        <f t="shared" si="39"/>
        <v>0</v>
      </c>
      <c r="CG506" s="75">
        <f t="shared" si="38"/>
        <v>4361</v>
      </c>
      <c r="CH506" s="69" t="str">
        <f t="shared" si="37"/>
        <v>برنامج دولى</v>
      </c>
    </row>
    <row r="507" spans="1:86" x14ac:dyDescent="0.25">
      <c r="A507" s="148"/>
      <c r="B507" s="82">
        <v>8295</v>
      </c>
      <c r="C507" s="149">
        <v>4362</v>
      </c>
      <c r="D507" s="69" t="s">
        <v>78</v>
      </c>
      <c r="E507" s="69" t="s">
        <v>3246</v>
      </c>
      <c r="F507" s="63"/>
      <c r="G507" s="69">
        <v>586.25</v>
      </c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  <c r="AE507" s="69"/>
      <c r="AF507" s="69"/>
      <c r="AG507" s="69"/>
      <c r="AH507" s="69"/>
      <c r="AI507" s="69"/>
      <c r="AJ507" s="69"/>
      <c r="AK507" s="69"/>
      <c r="AL507" s="69"/>
      <c r="AM507" s="69"/>
      <c r="AN507" s="69"/>
      <c r="AO507" s="69"/>
      <c r="AP507" s="69"/>
      <c r="AQ507" s="69"/>
      <c r="AR507" s="94">
        <f t="shared" si="26"/>
        <v>586.25</v>
      </c>
      <c r="AS507" s="69">
        <v>392.4</v>
      </c>
      <c r="AT507" s="69">
        <v>52.6</v>
      </c>
      <c r="AU507" s="69">
        <v>141.25</v>
      </c>
      <c r="AV507" s="69"/>
      <c r="AW507" s="69"/>
      <c r="AX507" s="69"/>
      <c r="AY507" s="69"/>
      <c r="AZ507" s="69"/>
      <c r="BA507" s="69"/>
      <c r="BB507" s="69"/>
      <c r="BC507" s="69"/>
      <c r="BD507" s="69"/>
      <c r="BE507" s="69"/>
      <c r="BF507" s="69"/>
      <c r="BG507" s="69"/>
      <c r="BH507" s="69"/>
      <c r="BI507" s="69"/>
      <c r="BJ507" s="69"/>
      <c r="BK507" s="69"/>
      <c r="BL507" s="69"/>
      <c r="BM507" s="69"/>
      <c r="BN507" s="69"/>
      <c r="BO507" s="69"/>
      <c r="BP507" s="69"/>
      <c r="BQ507" s="69"/>
      <c r="BR507" s="69"/>
      <c r="BS507" s="69"/>
      <c r="BT507" s="69"/>
      <c r="BU507" s="69"/>
      <c r="BV507" s="69"/>
      <c r="BW507" s="69"/>
      <c r="BX507" s="69"/>
      <c r="BY507" s="69"/>
      <c r="BZ507" s="69"/>
      <c r="CA507" s="69"/>
      <c r="CB507" s="69"/>
      <c r="CC507" s="69"/>
      <c r="CD507" s="69"/>
      <c r="CE507" s="94">
        <f t="shared" si="36"/>
        <v>586.25</v>
      </c>
      <c r="CF507" s="151">
        <f t="shared" si="39"/>
        <v>0</v>
      </c>
      <c r="CG507" s="75">
        <f t="shared" si="38"/>
        <v>4362</v>
      </c>
      <c r="CH507" s="69" t="str">
        <f t="shared" si="37"/>
        <v>برنامج دولى</v>
      </c>
    </row>
    <row r="508" spans="1:86" x14ac:dyDescent="0.25">
      <c r="A508" s="148"/>
      <c r="B508" s="82">
        <v>8291</v>
      </c>
      <c r="C508" s="149">
        <v>4363</v>
      </c>
      <c r="D508" s="69" t="s">
        <v>78</v>
      </c>
      <c r="E508" s="69" t="str">
        <f>+E494</f>
        <v>مكافاه جوده</v>
      </c>
      <c r="F508" s="63"/>
      <c r="G508" s="69">
        <v>13777.53</v>
      </c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  <c r="AE508" s="69"/>
      <c r="AF508" s="69"/>
      <c r="AG508" s="69"/>
      <c r="AH508" s="69"/>
      <c r="AI508" s="69"/>
      <c r="AJ508" s="69"/>
      <c r="AK508" s="69"/>
      <c r="AL508" s="69"/>
      <c r="AM508" s="69"/>
      <c r="AN508" s="69"/>
      <c r="AO508" s="69"/>
      <c r="AP508" s="69"/>
      <c r="AQ508" s="69"/>
      <c r="AR508" s="94">
        <f t="shared" si="26"/>
        <v>13777.53</v>
      </c>
      <c r="AS508" s="69">
        <v>12098.53</v>
      </c>
      <c r="AT508" s="69">
        <v>1470.15</v>
      </c>
      <c r="AU508" s="69">
        <v>208.85</v>
      </c>
      <c r="AV508" s="69"/>
      <c r="AW508" s="69"/>
      <c r="AX508" s="69"/>
      <c r="AY508" s="69"/>
      <c r="AZ508" s="69"/>
      <c r="BA508" s="69"/>
      <c r="BB508" s="69"/>
      <c r="BC508" s="69"/>
      <c r="BD508" s="69"/>
      <c r="BE508" s="69"/>
      <c r="BF508" s="69"/>
      <c r="BG508" s="69"/>
      <c r="BH508" s="69"/>
      <c r="BI508" s="69"/>
      <c r="BJ508" s="69"/>
      <c r="BK508" s="69"/>
      <c r="BL508" s="69"/>
      <c r="BM508" s="69"/>
      <c r="BN508" s="69"/>
      <c r="BO508" s="69"/>
      <c r="BP508" s="69"/>
      <c r="BQ508" s="69"/>
      <c r="BR508" s="69"/>
      <c r="BS508" s="69"/>
      <c r="BT508" s="69"/>
      <c r="BU508" s="69"/>
      <c r="BV508" s="69"/>
      <c r="BW508" s="69"/>
      <c r="BX508" s="69"/>
      <c r="BY508" s="69"/>
      <c r="BZ508" s="69"/>
      <c r="CA508" s="69"/>
      <c r="CB508" s="69"/>
      <c r="CC508" s="69"/>
      <c r="CD508" s="69"/>
      <c r="CE508" s="94">
        <f t="shared" si="36"/>
        <v>13777.53</v>
      </c>
      <c r="CF508" s="151">
        <f t="shared" si="39"/>
        <v>0</v>
      </c>
      <c r="CG508" s="75">
        <f t="shared" si="38"/>
        <v>4363</v>
      </c>
      <c r="CH508" s="69" t="str">
        <f t="shared" si="37"/>
        <v>برنامج دولى</v>
      </c>
    </row>
    <row r="509" spans="1:86" x14ac:dyDescent="0.25">
      <c r="A509" s="148"/>
      <c r="B509" s="82"/>
      <c r="C509" s="149">
        <v>4364</v>
      </c>
      <c r="D509" s="69" t="s">
        <v>1431</v>
      </c>
      <c r="E509" s="69" t="s">
        <v>3247</v>
      </c>
      <c r="F509" s="63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  <c r="AE509" s="69"/>
      <c r="AF509" s="69"/>
      <c r="AG509" s="69"/>
      <c r="AH509" s="69"/>
      <c r="AI509" s="69"/>
      <c r="AJ509" s="69"/>
      <c r="AK509" s="69"/>
      <c r="AL509" s="69"/>
      <c r="AM509" s="69"/>
      <c r="AN509" s="69"/>
      <c r="AO509" s="69"/>
      <c r="AP509" s="69"/>
      <c r="AQ509" s="69"/>
      <c r="AR509" s="94">
        <f t="shared" si="26"/>
        <v>0</v>
      </c>
      <c r="AS509" s="69">
        <v>0</v>
      </c>
      <c r="AT509" s="69"/>
      <c r="AU509" s="69"/>
      <c r="AV509" s="69"/>
      <c r="AW509" s="69"/>
      <c r="AX509" s="69"/>
      <c r="AY509" s="69"/>
      <c r="AZ509" s="69"/>
      <c r="BA509" s="69"/>
      <c r="BB509" s="69"/>
      <c r="BC509" s="69"/>
      <c r="BD509" s="69"/>
      <c r="BE509" s="69"/>
      <c r="BF509" s="69"/>
      <c r="BG509" s="69"/>
      <c r="BH509" s="69"/>
      <c r="BI509" s="69"/>
      <c r="BJ509" s="69"/>
      <c r="BK509" s="69"/>
      <c r="BL509" s="69"/>
      <c r="BM509" s="69"/>
      <c r="BN509" s="69"/>
      <c r="BO509" s="69"/>
      <c r="BP509" s="69"/>
      <c r="BQ509" s="69"/>
      <c r="BR509" s="69"/>
      <c r="BS509" s="69"/>
      <c r="BT509" s="69"/>
      <c r="BU509" s="69"/>
      <c r="BV509" s="69"/>
      <c r="BW509" s="69"/>
      <c r="BX509" s="69"/>
      <c r="BY509" s="69"/>
      <c r="BZ509" s="69"/>
      <c r="CA509" s="69"/>
      <c r="CB509" s="69"/>
      <c r="CC509" s="69"/>
      <c r="CD509" s="69"/>
      <c r="CE509" s="94">
        <f t="shared" si="36"/>
        <v>0</v>
      </c>
      <c r="CF509" s="151">
        <f t="shared" si="39"/>
        <v>0</v>
      </c>
      <c r="CG509" s="75">
        <f t="shared" si="38"/>
        <v>4364</v>
      </c>
      <c r="CH509" s="69" t="str">
        <f t="shared" si="37"/>
        <v>لاب فقط</v>
      </c>
    </row>
    <row r="510" spans="1:86" x14ac:dyDescent="0.25">
      <c r="A510" s="148"/>
      <c r="B510" s="82"/>
      <c r="C510" s="149">
        <v>4365</v>
      </c>
      <c r="D510" s="69" t="s">
        <v>1431</v>
      </c>
      <c r="E510" s="69" t="s">
        <v>3248</v>
      </c>
      <c r="F510" s="63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  <c r="AE510" s="69"/>
      <c r="AF510" s="69"/>
      <c r="AG510" s="69"/>
      <c r="AH510" s="69"/>
      <c r="AI510" s="69"/>
      <c r="AJ510" s="69"/>
      <c r="AK510" s="69"/>
      <c r="AL510" s="69"/>
      <c r="AM510" s="69"/>
      <c r="AN510" s="69"/>
      <c r="AO510" s="69"/>
      <c r="AP510" s="69"/>
      <c r="AQ510" s="69"/>
      <c r="AR510" s="94">
        <f t="shared" si="26"/>
        <v>0</v>
      </c>
      <c r="AS510" s="69">
        <v>0</v>
      </c>
      <c r="AT510" s="69"/>
      <c r="AU510" s="69"/>
      <c r="AV510" s="69"/>
      <c r="AW510" s="69"/>
      <c r="AX510" s="69"/>
      <c r="AY510" s="69"/>
      <c r="AZ510" s="69"/>
      <c r="BA510" s="69"/>
      <c r="BB510" s="69"/>
      <c r="BC510" s="69"/>
      <c r="BD510" s="69"/>
      <c r="BE510" s="69"/>
      <c r="BF510" s="69"/>
      <c r="BG510" s="69"/>
      <c r="BH510" s="69"/>
      <c r="BI510" s="69"/>
      <c r="BJ510" s="69"/>
      <c r="BK510" s="69"/>
      <c r="BL510" s="69"/>
      <c r="BM510" s="69"/>
      <c r="BN510" s="69"/>
      <c r="BO510" s="69"/>
      <c r="BP510" s="69"/>
      <c r="BQ510" s="69"/>
      <c r="BR510" s="69"/>
      <c r="BS510" s="69"/>
      <c r="BT510" s="69"/>
      <c r="BU510" s="69"/>
      <c r="BV510" s="69"/>
      <c r="BW510" s="69"/>
      <c r="BX510" s="69"/>
      <c r="BY510" s="69"/>
      <c r="BZ510" s="69"/>
      <c r="CA510" s="69"/>
      <c r="CB510" s="69"/>
      <c r="CC510" s="69"/>
      <c r="CD510" s="69"/>
      <c r="CE510" s="94">
        <f t="shared" si="36"/>
        <v>0</v>
      </c>
      <c r="CF510" s="151">
        <f t="shared" si="39"/>
        <v>0</v>
      </c>
      <c r="CG510" s="75">
        <f t="shared" si="38"/>
        <v>4365</v>
      </c>
      <c r="CH510" s="69" t="str">
        <f t="shared" si="37"/>
        <v>لاب فقط</v>
      </c>
    </row>
    <row r="511" spans="1:86" x14ac:dyDescent="0.25">
      <c r="A511" s="148"/>
      <c r="B511" s="82"/>
      <c r="C511" s="149">
        <v>4366</v>
      </c>
      <c r="D511" s="69" t="s">
        <v>1431</v>
      </c>
      <c r="E511" s="69" t="s">
        <v>3249</v>
      </c>
      <c r="F511" s="63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  <c r="AE511" s="69"/>
      <c r="AF511" s="69"/>
      <c r="AG511" s="69"/>
      <c r="AH511" s="69"/>
      <c r="AI511" s="69"/>
      <c r="AJ511" s="69"/>
      <c r="AK511" s="69"/>
      <c r="AL511" s="69"/>
      <c r="AM511" s="69"/>
      <c r="AN511" s="69"/>
      <c r="AO511" s="69"/>
      <c r="AP511" s="69"/>
      <c r="AQ511" s="69"/>
      <c r="AR511" s="94">
        <f t="shared" si="26"/>
        <v>0</v>
      </c>
      <c r="AS511" s="69">
        <v>0</v>
      </c>
      <c r="AT511" s="69"/>
      <c r="AU511" s="69"/>
      <c r="AV511" s="69"/>
      <c r="AW511" s="69"/>
      <c r="AX511" s="69"/>
      <c r="AY511" s="69"/>
      <c r="AZ511" s="69"/>
      <c r="BA511" s="69"/>
      <c r="BB511" s="69"/>
      <c r="BC511" s="69"/>
      <c r="BD511" s="69"/>
      <c r="BE511" s="69"/>
      <c r="BF511" s="69"/>
      <c r="BG511" s="69"/>
      <c r="BH511" s="69"/>
      <c r="BI511" s="69"/>
      <c r="BJ511" s="69"/>
      <c r="BK511" s="69"/>
      <c r="BL511" s="69"/>
      <c r="BM511" s="69"/>
      <c r="BN511" s="69"/>
      <c r="BO511" s="69"/>
      <c r="BP511" s="69"/>
      <c r="BQ511" s="69"/>
      <c r="BR511" s="69"/>
      <c r="BS511" s="69"/>
      <c r="BT511" s="69"/>
      <c r="BU511" s="69"/>
      <c r="BV511" s="69"/>
      <c r="BW511" s="69"/>
      <c r="BX511" s="69"/>
      <c r="BY511" s="69"/>
      <c r="BZ511" s="69"/>
      <c r="CA511" s="69"/>
      <c r="CB511" s="69"/>
      <c r="CC511" s="69"/>
      <c r="CD511" s="69"/>
      <c r="CE511" s="94">
        <f t="shared" si="36"/>
        <v>0</v>
      </c>
      <c r="CF511" s="151">
        <f t="shared" si="39"/>
        <v>0</v>
      </c>
      <c r="CG511" s="75">
        <f t="shared" si="38"/>
        <v>4366</v>
      </c>
      <c r="CH511" s="69" t="str">
        <f t="shared" si="37"/>
        <v>لاب فقط</v>
      </c>
    </row>
    <row r="512" spans="1:86" x14ac:dyDescent="0.25">
      <c r="A512" s="148"/>
      <c r="B512" s="82">
        <v>8035</v>
      </c>
      <c r="C512" s="160">
        <v>4367</v>
      </c>
      <c r="D512" s="69" t="s">
        <v>78</v>
      </c>
      <c r="E512" s="69" t="s">
        <v>3250</v>
      </c>
      <c r="F512" s="63"/>
      <c r="G512" s="69">
        <v>123511.86</v>
      </c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  <c r="AE512" s="69"/>
      <c r="AF512" s="69"/>
      <c r="AG512" s="69"/>
      <c r="AH512" s="69"/>
      <c r="AI512" s="69"/>
      <c r="AJ512" s="69"/>
      <c r="AK512" s="69"/>
      <c r="AL512" s="69"/>
      <c r="AM512" s="69"/>
      <c r="AN512" s="69"/>
      <c r="AO512" s="69"/>
      <c r="AP512" s="69"/>
      <c r="AQ512" s="69"/>
      <c r="AR512" s="94">
        <f t="shared" si="26"/>
        <v>123511.86</v>
      </c>
      <c r="AS512" s="69">
        <v>110740.52</v>
      </c>
      <c r="AT512" s="69">
        <v>12771.34</v>
      </c>
      <c r="AU512" s="69"/>
      <c r="AV512" s="69"/>
      <c r="AW512" s="69"/>
      <c r="AX512" s="69"/>
      <c r="AY512" s="69"/>
      <c r="AZ512" s="69"/>
      <c r="BA512" s="69"/>
      <c r="BB512" s="69"/>
      <c r="BC512" s="69"/>
      <c r="BD512" s="69"/>
      <c r="BE512" s="69"/>
      <c r="BF512" s="69"/>
      <c r="BG512" s="69"/>
      <c r="BH512" s="69"/>
      <c r="BI512" s="69"/>
      <c r="BJ512" s="69"/>
      <c r="BK512" s="69"/>
      <c r="BL512" s="69"/>
      <c r="BM512" s="69"/>
      <c r="BN512" s="69"/>
      <c r="BO512" s="69"/>
      <c r="BP512" s="69"/>
      <c r="BQ512" s="69"/>
      <c r="BR512" s="69"/>
      <c r="BS512" s="69"/>
      <c r="BT512" s="69"/>
      <c r="BU512" s="69"/>
      <c r="BV512" s="69"/>
      <c r="BW512" s="69"/>
      <c r="BX512" s="69"/>
      <c r="BY512" s="69"/>
      <c r="BZ512" s="69"/>
      <c r="CA512" s="69"/>
      <c r="CB512" s="69"/>
      <c r="CC512" s="69"/>
      <c r="CD512" s="69"/>
      <c r="CE512" s="94">
        <f t="shared" si="36"/>
        <v>123511.86</v>
      </c>
      <c r="CF512" s="151">
        <f t="shared" si="39"/>
        <v>0</v>
      </c>
      <c r="CG512" s="75">
        <f t="shared" si="38"/>
        <v>4367</v>
      </c>
      <c r="CH512" s="69" t="str">
        <f t="shared" si="37"/>
        <v>برنامج دولى</v>
      </c>
    </row>
    <row r="513" spans="1:86" x14ac:dyDescent="0.25">
      <c r="A513" s="148"/>
      <c r="B513" s="82">
        <v>7752</v>
      </c>
      <c r="C513" s="149">
        <v>4368</v>
      </c>
      <c r="D513" s="69" t="s">
        <v>132</v>
      </c>
      <c r="E513" s="69" t="s">
        <v>3251</v>
      </c>
      <c r="F513" s="63"/>
      <c r="G513" s="69"/>
      <c r="H513" s="69">
        <v>102</v>
      </c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  <c r="AE513" s="69"/>
      <c r="AF513" s="69"/>
      <c r="AG513" s="69"/>
      <c r="AH513" s="69"/>
      <c r="AI513" s="69"/>
      <c r="AJ513" s="69"/>
      <c r="AK513" s="69"/>
      <c r="AL513" s="69"/>
      <c r="AM513" s="69"/>
      <c r="AN513" s="69"/>
      <c r="AO513" s="69"/>
      <c r="AP513" s="69"/>
      <c r="AQ513" s="69"/>
      <c r="AR513" s="94">
        <f t="shared" si="26"/>
        <v>102</v>
      </c>
      <c r="AS513" s="69">
        <v>102</v>
      </c>
      <c r="AT513" s="69"/>
      <c r="AU513" s="69"/>
      <c r="AV513" s="69"/>
      <c r="AW513" s="69"/>
      <c r="AX513" s="69"/>
      <c r="AY513" s="69"/>
      <c r="AZ513" s="69"/>
      <c r="BA513" s="69"/>
      <c r="BB513" s="69"/>
      <c r="BC513" s="69"/>
      <c r="BD513" s="69"/>
      <c r="BE513" s="69"/>
      <c r="BF513" s="69"/>
      <c r="BG513" s="69"/>
      <c r="BH513" s="69"/>
      <c r="BI513" s="69"/>
      <c r="BJ513" s="69"/>
      <c r="BK513" s="69"/>
      <c r="BL513" s="69"/>
      <c r="BM513" s="69"/>
      <c r="BN513" s="69"/>
      <c r="BO513" s="69"/>
      <c r="BP513" s="69"/>
      <c r="BQ513" s="69"/>
      <c r="BR513" s="69"/>
      <c r="BS513" s="69"/>
      <c r="BT513" s="69"/>
      <c r="BU513" s="69"/>
      <c r="BV513" s="69"/>
      <c r="BW513" s="69"/>
      <c r="BX513" s="69"/>
      <c r="BY513" s="69"/>
      <c r="BZ513" s="69"/>
      <c r="CA513" s="69"/>
      <c r="CB513" s="69"/>
      <c r="CC513" s="69"/>
      <c r="CD513" s="69"/>
      <c r="CE513" s="94">
        <f t="shared" si="36"/>
        <v>102</v>
      </c>
      <c r="CF513" s="151">
        <f t="shared" si="39"/>
        <v>0</v>
      </c>
      <c r="CG513" s="75">
        <f t="shared" si="38"/>
        <v>4368</v>
      </c>
      <c r="CH513" s="69" t="str">
        <f t="shared" si="37"/>
        <v>صيدلة اكلينيكى</v>
      </c>
    </row>
    <row r="514" spans="1:86" x14ac:dyDescent="0.25">
      <c r="A514" s="148"/>
      <c r="B514" s="82">
        <v>7753</v>
      </c>
      <c r="C514" s="149">
        <v>4369</v>
      </c>
      <c r="D514" s="69" t="s">
        <v>132</v>
      </c>
      <c r="E514" s="69" t="s">
        <v>3252</v>
      </c>
      <c r="F514" s="63"/>
      <c r="G514" s="69"/>
      <c r="H514" s="69">
        <v>1870</v>
      </c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  <c r="AE514" s="69"/>
      <c r="AF514" s="69"/>
      <c r="AG514" s="69"/>
      <c r="AH514" s="69"/>
      <c r="AI514" s="69"/>
      <c r="AJ514" s="69"/>
      <c r="AK514" s="69"/>
      <c r="AL514" s="69"/>
      <c r="AM514" s="69"/>
      <c r="AN514" s="69"/>
      <c r="AO514" s="69"/>
      <c r="AP514" s="69"/>
      <c r="AQ514" s="69"/>
      <c r="AR514" s="94">
        <f t="shared" si="26"/>
        <v>1870</v>
      </c>
      <c r="AS514" s="69">
        <v>1870</v>
      </c>
      <c r="AT514" s="69"/>
      <c r="AU514" s="69"/>
      <c r="AV514" s="69"/>
      <c r="AW514" s="69"/>
      <c r="AX514" s="69"/>
      <c r="AY514" s="69"/>
      <c r="AZ514" s="69"/>
      <c r="BA514" s="69"/>
      <c r="BB514" s="69"/>
      <c r="BC514" s="69"/>
      <c r="BD514" s="69"/>
      <c r="BE514" s="69"/>
      <c r="BF514" s="69"/>
      <c r="BG514" s="69"/>
      <c r="BH514" s="69"/>
      <c r="BI514" s="69"/>
      <c r="BJ514" s="69"/>
      <c r="BK514" s="69"/>
      <c r="BL514" s="69"/>
      <c r="BM514" s="69"/>
      <c r="BN514" s="69"/>
      <c r="BO514" s="69"/>
      <c r="BP514" s="69"/>
      <c r="BQ514" s="69"/>
      <c r="BR514" s="69"/>
      <c r="BS514" s="69"/>
      <c r="BT514" s="69"/>
      <c r="BU514" s="69"/>
      <c r="BV514" s="69"/>
      <c r="BW514" s="69"/>
      <c r="BX514" s="69"/>
      <c r="BY514" s="69"/>
      <c r="BZ514" s="69"/>
      <c r="CA514" s="69"/>
      <c r="CB514" s="69"/>
      <c r="CC514" s="69"/>
      <c r="CD514" s="69"/>
      <c r="CE514" s="94">
        <f t="shared" si="36"/>
        <v>1870</v>
      </c>
      <c r="CF514" s="151">
        <f t="shared" si="39"/>
        <v>0</v>
      </c>
      <c r="CG514" s="75">
        <f t="shared" si="38"/>
        <v>4369</v>
      </c>
      <c r="CH514" s="69" t="str">
        <f t="shared" si="37"/>
        <v>صيدلة اكلينيكى</v>
      </c>
    </row>
    <row r="515" spans="1:86" x14ac:dyDescent="0.25">
      <c r="A515" s="148"/>
      <c r="B515" s="82">
        <v>7749</v>
      </c>
      <c r="C515" s="149">
        <v>4370</v>
      </c>
      <c r="D515" s="69" t="s">
        <v>132</v>
      </c>
      <c r="E515" s="69" t="s">
        <v>3253</v>
      </c>
      <c r="F515" s="63"/>
      <c r="G515" s="69"/>
      <c r="H515" s="69">
        <v>701.25</v>
      </c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  <c r="AE515" s="69"/>
      <c r="AF515" s="69"/>
      <c r="AG515" s="69"/>
      <c r="AH515" s="69"/>
      <c r="AI515" s="69"/>
      <c r="AJ515" s="69"/>
      <c r="AK515" s="69"/>
      <c r="AL515" s="69"/>
      <c r="AM515" s="69"/>
      <c r="AN515" s="69"/>
      <c r="AO515" s="69"/>
      <c r="AP515" s="69"/>
      <c r="AQ515" s="69"/>
      <c r="AR515" s="94">
        <f t="shared" si="26"/>
        <v>701.25</v>
      </c>
      <c r="AS515" s="69">
        <v>701.25</v>
      </c>
      <c r="AT515" s="69"/>
      <c r="AU515" s="69"/>
      <c r="AV515" s="69"/>
      <c r="AW515" s="69"/>
      <c r="AX515" s="69"/>
      <c r="AY515" s="69"/>
      <c r="AZ515" s="69"/>
      <c r="BA515" s="69"/>
      <c r="BB515" s="69"/>
      <c r="BC515" s="69"/>
      <c r="BD515" s="69"/>
      <c r="BE515" s="69"/>
      <c r="BF515" s="69"/>
      <c r="BG515" s="69"/>
      <c r="BH515" s="69"/>
      <c r="BI515" s="69"/>
      <c r="BJ515" s="69"/>
      <c r="BK515" s="69"/>
      <c r="BL515" s="69"/>
      <c r="BM515" s="69"/>
      <c r="BN515" s="69"/>
      <c r="BO515" s="69"/>
      <c r="BP515" s="69"/>
      <c r="BQ515" s="69"/>
      <c r="BR515" s="69"/>
      <c r="BS515" s="69"/>
      <c r="BT515" s="69"/>
      <c r="BU515" s="69"/>
      <c r="BV515" s="69"/>
      <c r="BW515" s="69"/>
      <c r="BX515" s="69"/>
      <c r="BY515" s="69"/>
      <c r="BZ515" s="69"/>
      <c r="CA515" s="69"/>
      <c r="CB515" s="69"/>
      <c r="CC515" s="69"/>
      <c r="CD515" s="69"/>
      <c r="CE515" s="94">
        <f t="shared" si="36"/>
        <v>701.25</v>
      </c>
      <c r="CF515" s="151">
        <f t="shared" si="39"/>
        <v>0</v>
      </c>
      <c r="CG515" s="75">
        <f t="shared" si="38"/>
        <v>4370</v>
      </c>
      <c r="CH515" s="69" t="str">
        <f t="shared" si="37"/>
        <v>صيدلة اكلينيكى</v>
      </c>
    </row>
    <row r="516" spans="1:86" x14ac:dyDescent="0.25">
      <c r="A516" s="148"/>
      <c r="B516" s="82">
        <v>7751</v>
      </c>
      <c r="C516" s="149">
        <v>4371</v>
      </c>
      <c r="D516" s="69" t="s">
        <v>132</v>
      </c>
      <c r="E516" s="69" t="s">
        <v>3254</v>
      </c>
      <c r="F516" s="63"/>
      <c r="G516" s="69"/>
      <c r="H516" s="69">
        <v>298.35000000000002</v>
      </c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  <c r="AE516" s="69"/>
      <c r="AF516" s="69"/>
      <c r="AG516" s="69"/>
      <c r="AH516" s="69"/>
      <c r="AI516" s="69"/>
      <c r="AJ516" s="69"/>
      <c r="AK516" s="69"/>
      <c r="AL516" s="69"/>
      <c r="AM516" s="69"/>
      <c r="AN516" s="69"/>
      <c r="AO516" s="69"/>
      <c r="AP516" s="69"/>
      <c r="AQ516" s="69"/>
      <c r="AR516" s="94">
        <f t="shared" si="26"/>
        <v>298.35000000000002</v>
      </c>
      <c r="AS516" s="69">
        <v>298.35000000000002</v>
      </c>
      <c r="AT516" s="69"/>
      <c r="AU516" s="69"/>
      <c r="AV516" s="69"/>
      <c r="AW516" s="69"/>
      <c r="AX516" s="69"/>
      <c r="AY516" s="69"/>
      <c r="AZ516" s="69"/>
      <c r="BA516" s="69"/>
      <c r="BB516" s="69"/>
      <c r="BC516" s="69"/>
      <c r="BD516" s="69"/>
      <c r="BE516" s="69"/>
      <c r="BF516" s="69"/>
      <c r="BG516" s="69"/>
      <c r="BH516" s="69"/>
      <c r="BI516" s="69"/>
      <c r="BJ516" s="69"/>
      <c r="BK516" s="69"/>
      <c r="BL516" s="69"/>
      <c r="BM516" s="69"/>
      <c r="BN516" s="69"/>
      <c r="BO516" s="69"/>
      <c r="BP516" s="69"/>
      <c r="BQ516" s="69"/>
      <c r="BR516" s="69"/>
      <c r="BS516" s="69"/>
      <c r="BT516" s="69"/>
      <c r="BU516" s="69"/>
      <c r="BV516" s="69"/>
      <c r="BW516" s="69"/>
      <c r="BX516" s="69"/>
      <c r="BY516" s="69"/>
      <c r="BZ516" s="69"/>
      <c r="CA516" s="69"/>
      <c r="CB516" s="69"/>
      <c r="CC516" s="69"/>
      <c r="CD516" s="69"/>
      <c r="CE516" s="94">
        <f t="shared" si="36"/>
        <v>298.35000000000002</v>
      </c>
      <c r="CF516" s="151">
        <f t="shared" si="39"/>
        <v>0</v>
      </c>
      <c r="CG516" s="75">
        <f t="shared" si="38"/>
        <v>4371</v>
      </c>
      <c r="CH516" s="69" t="str">
        <f t="shared" si="37"/>
        <v>صيدلة اكلينيكى</v>
      </c>
    </row>
    <row r="517" spans="1:86" x14ac:dyDescent="0.25">
      <c r="A517" s="148"/>
      <c r="B517" s="82">
        <v>6704</v>
      </c>
      <c r="C517" s="149">
        <v>4372</v>
      </c>
      <c r="D517" s="69" t="s">
        <v>132</v>
      </c>
      <c r="E517" s="69" t="s">
        <v>3255</v>
      </c>
      <c r="F517" s="63"/>
      <c r="G517" s="69"/>
      <c r="H517" s="69">
        <v>8950.02</v>
      </c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  <c r="AE517" s="69"/>
      <c r="AF517" s="69"/>
      <c r="AG517" s="69"/>
      <c r="AH517" s="69"/>
      <c r="AI517" s="69"/>
      <c r="AJ517" s="69"/>
      <c r="AK517" s="69"/>
      <c r="AL517" s="69"/>
      <c r="AM517" s="69"/>
      <c r="AN517" s="69"/>
      <c r="AO517" s="69"/>
      <c r="AP517" s="69"/>
      <c r="AQ517" s="69"/>
      <c r="AR517" s="94">
        <f t="shared" si="26"/>
        <v>8950.02</v>
      </c>
      <c r="AS517" s="69">
        <v>8209.2199999999993</v>
      </c>
      <c r="AT517" s="69">
        <v>501.2</v>
      </c>
      <c r="AU517" s="69"/>
      <c r="AV517" s="69"/>
      <c r="AW517" s="69"/>
      <c r="AX517" s="69"/>
      <c r="AY517" s="69"/>
      <c r="AZ517" s="69"/>
      <c r="BA517" s="69"/>
      <c r="BB517" s="69"/>
      <c r="BC517" s="69"/>
      <c r="BD517" s="69"/>
      <c r="BE517" s="69"/>
      <c r="BF517" s="69"/>
      <c r="BG517" s="69">
        <v>235.6</v>
      </c>
      <c r="BH517" s="69">
        <v>4</v>
      </c>
      <c r="BI517" s="69"/>
      <c r="BJ517" s="69"/>
      <c r="BK517" s="69"/>
      <c r="BL517" s="69"/>
      <c r="BM517" s="69"/>
      <c r="BN517" s="69"/>
      <c r="BO517" s="69"/>
      <c r="BP517" s="69"/>
      <c r="BQ517" s="69"/>
      <c r="BR517" s="69"/>
      <c r="BS517" s="69"/>
      <c r="BT517" s="69"/>
      <c r="BU517" s="69"/>
      <c r="BV517" s="69"/>
      <c r="BW517" s="69"/>
      <c r="BX517" s="69"/>
      <c r="BY517" s="69"/>
      <c r="BZ517" s="69"/>
      <c r="CA517" s="69"/>
      <c r="CB517" s="69"/>
      <c r="CC517" s="69"/>
      <c r="CD517" s="69"/>
      <c r="CE517" s="94">
        <f t="shared" si="36"/>
        <v>8950.02</v>
      </c>
      <c r="CF517" s="151">
        <f t="shared" si="39"/>
        <v>0</v>
      </c>
      <c r="CG517" s="75">
        <f t="shared" si="38"/>
        <v>4372</v>
      </c>
      <c r="CH517" s="69" t="str">
        <f t="shared" si="37"/>
        <v>صيدلة اكلينيكى</v>
      </c>
    </row>
    <row r="518" spans="1:86" x14ac:dyDescent="0.25">
      <c r="A518" s="148"/>
      <c r="B518" s="82">
        <v>8334</v>
      </c>
      <c r="C518" s="149">
        <v>4373</v>
      </c>
      <c r="D518" s="69" t="s">
        <v>130</v>
      </c>
      <c r="E518" s="69" t="s">
        <v>3256</v>
      </c>
      <c r="F518" s="63"/>
      <c r="G518" s="69"/>
      <c r="H518" s="69">
        <v>3000</v>
      </c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  <c r="AE518" s="69"/>
      <c r="AF518" s="69"/>
      <c r="AG518" s="69"/>
      <c r="AH518" s="69"/>
      <c r="AI518" s="69"/>
      <c r="AJ518" s="69"/>
      <c r="AK518" s="69"/>
      <c r="AL518" s="69"/>
      <c r="AM518" s="69"/>
      <c r="AN518" s="69"/>
      <c r="AO518" s="69"/>
      <c r="AP518" s="69"/>
      <c r="AQ518" s="69"/>
      <c r="AR518" s="94">
        <f t="shared" si="26"/>
        <v>3000</v>
      </c>
      <c r="AS518" s="69">
        <v>2733.65</v>
      </c>
      <c r="AT518" s="69">
        <v>157.69999999999999</v>
      </c>
      <c r="AU518" s="69"/>
      <c r="AV518" s="69"/>
      <c r="AW518" s="69"/>
      <c r="AX518" s="69"/>
      <c r="AY518" s="69"/>
      <c r="AZ518" s="69"/>
      <c r="BA518" s="69"/>
      <c r="BB518" s="69"/>
      <c r="BC518" s="69"/>
      <c r="BD518" s="69"/>
      <c r="BE518" s="69"/>
      <c r="BF518" s="69"/>
      <c r="BG518" s="69">
        <v>78.95</v>
      </c>
      <c r="BH518" s="69">
        <v>6</v>
      </c>
      <c r="BI518" s="69">
        <f>11.85*2</f>
        <v>23.7</v>
      </c>
      <c r="BJ518" s="69"/>
      <c r="BK518" s="69"/>
      <c r="BL518" s="69"/>
      <c r="BM518" s="69"/>
      <c r="BN518" s="69"/>
      <c r="BO518" s="69"/>
      <c r="BP518" s="69"/>
      <c r="BQ518" s="69"/>
      <c r="BR518" s="69"/>
      <c r="BS518" s="69"/>
      <c r="BT518" s="69"/>
      <c r="BU518" s="69"/>
      <c r="BV518" s="69"/>
      <c r="BW518" s="69"/>
      <c r="BX518" s="69"/>
      <c r="BY518" s="69"/>
      <c r="BZ518" s="69"/>
      <c r="CA518" s="69"/>
      <c r="CB518" s="69"/>
      <c r="CC518" s="69"/>
      <c r="CD518" s="69"/>
      <c r="CE518" s="94">
        <f t="shared" si="36"/>
        <v>2999.9999999999995</v>
      </c>
      <c r="CF518" s="151">
        <f t="shared" si="39"/>
        <v>0</v>
      </c>
      <c r="CG518" s="75">
        <f t="shared" si="38"/>
        <v>4373</v>
      </c>
      <c r="CH518" s="69" t="str">
        <f t="shared" si="37"/>
        <v>خ ت طب</v>
      </c>
    </row>
    <row r="519" spans="1:86" x14ac:dyDescent="0.25">
      <c r="A519" s="148"/>
      <c r="B519" s="82">
        <v>8280</v>
      </c>
      <c r="C519" s="149">
        <v>4374</v>
      </c>
      <c r="D519" s="69" t="s">
        <v>130</v>
      </c>
      <c r="E519" s="69" t="s">
        <v>3150</v>
      </c>
      <c r="F519" s="63"/>
      <c r="G519" s="69"/>
      <c r="H519" s="69">
        <v>6043.14</v>
      </c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  <c r="AE519" s="69"/>
      <c r="AF519" s="69"/>
      <c r="AG519" s="69"/>
      <c r="AH519" s="69"/>
      <c r="AI519" s="69"/>
      <c r="AJ519" s="69"/>
      <c r="AK519" s="69"/>
      <c r="AL519" s="69"/>
      <c r="AM519" s="69"/>
      <c r="AN519" s="69"/>
      <c r="AO519" s="69"/>
      <c r="AP519" s="69"/>
      <c r="AQ519" s="69"/>
      <c r="AR519" s="94">
        <f t="shared" si="26"/>
        <v>6043.14</v>
      </c>
      <c r="AS519" s="69">
        <v>5235.8900000000003</v>
      </c>
      <c r="AT519" s="69">
        <v>372.4</v>
      </c>
      <c r="AU519" s="69"/>
      <c r="AV519" s="69">
        <v>5</v>
      </c>
      <c r="AW519" s="69"/>
      <c r="AX519" s="69"/>
      <c r="AY519" s="69"/>
      <c r="AZ519" s="69"/>
      <c r="BA519" s="69"/>
      <c r="BB519" s="69"/>
      <c r="BC519" s="69"/>
      <c r="BD519" s="69"/>
      <c r="BE519" s="69"/>
      <c r="BF519" s="69"/>
      <c r="BG519" s="69"/>
      <c r="BH519" s="69">
        <v>80</v>
      </c>
      <c r="BI519" s="69">
        <f>23.85*2</f>
        <v>47.7</v>
      </c>
      <c r="BJ519" s="69">
        <v>302.14999999999998</v>
      </c>
      <c r="BK519" s="69"/>
      <c r="BL519" s="69"/>
      <c r="BM519" s="69"/>
      <c r="BN519" s="69"/>
      <c r="BO519" s="69"/>
      <c r="BP519" s="69"/>
      <c r="BQ519" s="69"/>
      <c r="BR519" s="69"/>
      <c r="BS519" s="69"/>
      <c r="BT519" s="69"/>
      <c r="BU519" s="69"/>
      <c r="BV519" s="69"/>
      <c r="BW519" s="69"/>
      <c r="BX519" s="69"/>
      <c r="BY519" s="69"/>
      <c r="BZ519" s="69"/>
      <c r="CA519" s="69"/>
      <c r="CB519" s="69"/>
      <c r="CC519" s="69"/>
      <c r="CD519" s="69"/>
      <c r="CE519" s="94">
        <f t="shared" si="36"/>
        <v>6043.1399999999994</v>
      </c>
      <c r="CF519" s="151">
        <f t="shared" si="39"/>
        <v>0</v>
      </c>
      <c r="CG519" s="75">
        <f t="shared" si="38"/>
        <v>4374</v>
      </c>
      <c r="CH519" s="69" t="str">
        <f t="shared" si="37"/>
        <v>خ ت طب</v>
      </c>
    </row>
    <row r="520" spans="1:86" x14ac:dyDescent="0.25">
      <c r="A520" s="148"/>
      <c r="B520" s="82">
        <v>8281</v>
      </c>
      <c r="C520" s="149">
        <v>4375</v>
      </c>
      <c r="D520" s="69" t="s">
        <v>130</v>
      </c>
      <c r="E520" s="69" t="s">
        <v>3150</v>
      </c>
      <c r="F520" s="63"/>
      <c r="G520" s="69"/>
      <c r="H520" s="69">
        <v>2223</v>
      </c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  <c r="AE520" s="69"/>
      <c r="AF520" s="69"/>
      <c r="AG520" s="69"/>
      <c r="AH520" s="69"/>
      <c r="AI520" s="69"/>
      <c r="AJ520" s="69"/>
      <c r="AK520" s="69"/>
      <c r="AL520" s="69"/>
      <c r="AM520" s="69"/>
      <c r="AN520" s="69"/>
      <c r="AO520" s="69"/>
      <c r="AP520" s="69"/>
      <c r="AQ520" s="69"/>
      <c r="AR520" s="94">
        <f t="shared" si="26"/>
        <v>2223</v>
      </c>
      <c r="AS520" s="69">
        <v>2082.8000000000002</v>
      </c>
      <c r="AT520" s="69">
        <v>116.7</v>
      </c>
      <c r="AU520" s="69"/>
      <c r="AV520" s="69"/>
      <c r="AW520" s="69"/>
      <c r="AX520" s="69"/>
      <c r="AY520" s="69"/>
      <c r="AZ520" s="69"/>
      <c r="BA520" s="69"/>
      <c r="BB520" s="69"/>
      <c r="BC520" s="69"/>
      <c r="BD520" s="69"/>
      <c r="BE520" s="69"/>
      <c r="BF520" s="69"/>
      <c r="BG520" s="69"/>
      <c r="BH520" s="69">
        <v>6</v>
      </c>
      <c r="BI520" s="69">
        <f>8.75*2</f>
        <v>17.5</v>
      </c>
      <c r="BJ520" s="69"/>
      <c r="BK520" s="69"/>
      <c r="BL520" s="69"/>
      <c r="BM520" s="69"/>
      <c r="BN520" s="69"/>
      <c r="BO520" s="69"/>
      <c r="BP520" s="69"/>
      <c r="BQ520" s="69"/>
      <c r="BR520" s="69"/>
      <c r="BS520" s="69"/>
      <c r="BT520" s="69"/>
      <c r="BU520" s="69"/>
      <c r="BV520" s="69"/>
      <c r="BW520" s="69"/>
      <c r="BX520" s="69"/>
      <c r="BY520" s="69"/>
      <c r="BZ520" s="69"/>
      <c r="CA520" s="69"/>
      <c r="CB520" s="69"/>
      <c r="CC520" s="69"/>
      <c r="CD520" s="69"/>
      <c r="CE520" s="94">
        <f t="shared" si="36"/>
        <v>2223</v>
      </c>
      <c r="CF520" s="151">
        <f t="shared" si="39"/>
        <v>0</v>
      </c>
      <c r="CG520" s="75">
        <f t="shared" si="38"/>
        <v>4375</v>
      </c>
      <c r="CH520" s="69" t="str">
        <f t="shared" si="37"/>
        <v>خ ت طب</v>
      </c>
    </row>
    <row r="521" spans="1:86" x14ac:dyDescent="0.25">
      <c r="A521" s="148"/>
      <c r="B521" s="82">
        <v>7879</v>
      </c>
      <c r="C521" s="149">
        <v>4376</v>
      </c>
      <c r="D521" s="69" t="s">
        <v>78</v>
      </c>
      <c r="E521" s="69" t="s">
        <v>3257</v>
      </c>
      <c r="F521" s="63"/>
      <c r="G521" s="69"/>
      <c r="H521" s="69">
        <v>124944</v>
      </c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  <c r="AE521" s="69"/>
      <c r="AF521" s="69"/>
      <c r="AG521" s="69"/>
      <c r="AH521" s="69"/>
      <c r="AI521" s="69"/>
      <c r="AJ521" s="69"/>
      <c r="AK521" s="69"/>
      <c r="AL521" s="69"/>
      <c r="AM521" s="69"/>
      <c r="AN521" s="69"/>
      <c r="AO521" s="69"/>
      <c r="AP521" s="69"/>
      <c r="AQ521" s="69"/>
      <c r="AR521" s="94">
        <f t="shared" si="26"/>
        <v>124944</v>
      </c>
      <c r="AS521" s="69">
        <v>121792.6</v>
      </c>
      <c r="AT521" s="69">
        <v>3066.4</v>
      </c>
      <c r="AU521" s="69"/>
      <c r="AV521" s="69">
        <v>5</v>
      </c>
      <c r="AW521" s="69"/>
      <c r="AX521" s="69"/>
      <c r="AY521" s="69"/>
      <c r="AZ521" s="69"/>
      <c r="BA521" s="69"/>
      <c r="BB521" s="69"/>
      <c r="BC521" s="69"/>
      <c r="BD521" s="69"/>
      <c r="BE521" s="69"/>
      <c r="BF521" s="69"/>
      <c r="BG521" s="69"/>
      <c r="BH521" s="69">
        <v>80</v>
      </c>
      <c r="BI521" s="69"/>
      <c r="BJ521" s="69"/>
      <c r="BK521" s="69"/>
      <c r="BL521" s="69"/>
      <c r="BM521" s="69"/>
      <c r="BN521" s="69"/>
      <c r="BO521" s="69"/>
      <c r="BP521" s="69"/>
      <c r="BQ521" s="69"/>
      <c r="BR521" s="69"/>
      <c r="BS521" s="69"/>
      <c r="BT521" s="69"/>
      <c r="BU521" s="69"/>
      <c r="BV521" s="69"/>
      <c r="BW521" s="69"/>
      <c r="BX521" s="69"/>
      <c r="BY521" s="69"/>
      <c r="BZ521" s="69"/>
      <c r="CA521" s="69"/>
      <c r="CB521" s="69"/>
      <c r="CC521" s="69"/>
      <c r="CD521" s="69"/>
      <c r="CE521" s="94">
        <f t="shared" si="36"/>
        <v>124944</v>
      </c>
      <c r="CF521" s="151">
        <f t="shared" si="39"/>
        <v>0</v>
      </c>
      <c r="CG521" s="75">
        <f t="shared" si="38"/>
        <v>4376</v>
      </c>
      <c r="CH521" s="69" t="str">
        <f t="shared" si="37"/>
        <v>برنامج دولى</v>
      </c>
    </row>
    <row r="522" spans="1:86" x14ac:dyDescent="0.25">
      <c r="A522" s="148"/>
      <c r="B522" s="82">
        <v>7892</v>
      </c>
      <c r="C522" s="149">
        <v>4377</v>
      </c>
      <c r="D522" s="69" t="s">
        <v>121</v>
      </c>
      <c r="E522" s="69" t="s">
        <v>3258</v>
      </c>
      <c r="F522" s="63"/>
      <c r="G522" s="69"/>
      <c r="H522" s="69">
        <v>27000</v>
      </c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  <c r="AE522" s="69"/>
      <c r="AF522" s="69"/>
      <c r="AG522" s="69"/>
      <c r="AH522" s="69"/>
      <c r="AI522" s="69"/>
      <c r="AJ522" s="69"/>
      <c r="AK522" s="69"/>
      <c r="AL522" s="69"/>
      <c r="AM522" s="69"/>
      <c r="AN522" s="69"/>
      <c r="AO522" s="69"/>
      <c r="AP522" s="69"/>
      <c r="AQ522" s="69"/>
      <c r="AR522" s="94">
        <f t="shared" si="26"/>
        <v>27000</v>
      </c>
      <c r="AS522" s="69">
        <v>25690.400000000001</v>
      </c>
      <c r="AT522" s="69">
        <f>242.25+726.75+30.6</f>
        <v>999.6</v>
      </c>
      <c r="AU522" s="69"/>
      <c r="AV522" s="69">
        <v>5</v>
      </c>
      <c r="AW522" s="69"/>
      <c r="AX522" s="69"/>
      <c r="AY522" s="69"/>
      <c r="AZ522" s="69"/>
      <c r="BA522" s="69"/>
      <c r="BB522" s="69"/>
      <c r="BC522" s="69"/>
      <c r="BD522" s="69"/>
      <c r="BE522" s="69"/>
      <c r="BF522" s="69"/>
      <c r="BG522" s="69">
        <v>237</v>
      </c>
      <c r="BH522" s="69">
        <v>68</v>
      </c>
      <c r="BI522" s="69"/>
      <c r="BJ522" s="69"/>
      <c r="BK522" s="69"/>
      <c r="BL522" s="69"/>
      <c r="BM522" s="69"/>
      <c r="BN522" s="69"/>
      <c r="BO522" s="69"/>
      <c r="BP522" s="69"/>
      <c r="BQ522" s="69"/>
      <c r="BR522" s="69"/>
      <c r="BS522" s="69"/>
      <c r="BT522" s="69"/>
      <c r="BU522" s="69"/>
      <c r="BV522" s="69"/>
      <c r="BW522" s="69"/>
      <c r="BX522" s="69"/>
      <c r="BY522" s="69"/>
      <c r="BZ522" s="69"/>
      <c r="CA522" s="69"/>
      <c r="CB522" s="69"/>
      <c r="CC522" s="69"/>
      <c r="CD522" s="69"/>
      <c r="CE522" s="94">
        <f t="shared" si="36"/>
        <v>27000</v>
      </c>
      <c r="CF522" s="151">
        <f t="shared" si="39"/>
        <v>0</v>
      </c>
      <c r="CG522" s="75">
        <f t="shared" si="38"/>
        <v>4377</v>
      </c>
      <c r="CH522" s="69" t="str">
        <f t="shared" si="37"/>
        <v>ماليزى اسنان</v>
      </c>
    </row>
    <row r="523" spans="1:86" ht="54" x14ac:dyDescent="0.25">
      <c r="A523" s="148"/>
      <c r="B523" s="82">
        <v>6338</v>
      </c>
      <c r="C523" s="149">
        <v>4378</v>
      </c>
      <c r="D523" s="69" t="s">
        <v>121</v>
      </c>
      <c r="E523" s="77" t="s">
        <v>3259</v>
      </c>
      <c r="F523" s="63"/>
      <c r="G523" s="69"/>
      <c r="H523" s="69">
        <v>24282</v>
      </c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  <c r="AE523" s="69"/>
      <c r="AF523" s="69"/>
      <c r="AG523" s="69"/>
      <c r="AH523" s="69"/>
      <c r="AI523" s="69"/>
      <c r="AJ523" s="69"/>
      <c r="AK523" s="69"/>
      <c r="AL523" s="69"/>
      <c r="AM523" s="69"/>
      <c r="AN523" s="69"/>
      <c r="AO523" s="69"/>
      <c r="AP523" s="69"/>
      <c r="AQ523" s="69"/>
      <c r="AR523" s="94">
        <f t="shared" si="26"/>
        <v>24282</v>
      </c>
      <c r="AS523" s="69">
        <v>22512</v>
      </c>
      <c r="AT523" s="69">
        <f>227.5+682.5+9</f>
        <v>919</v>
      </c>
      <c r="AU523" s="69"/>
      <c r="AV523" s="69"/>
      <c r="AW523" s="69"/>
      <c r="AX523" s="69"/>
      <c r="AY523" s="69"/>
      <c r="AZ523" s="69"/>
      <c r="BA523" s="69"/>
      <c r="BB523" s="69"/>
      <c r="BC523" s="69"/>
      <c r="BD523" s="69"/>
      <c r="BE523" s="69"/>
      <c r="BF523" s="69"/>
      <c r="BG523" s="69">
        <v>639</v>
      </c>
      <c r="BH523" s="69">
        <v>20</v>
      </c>
      <c r="BI523" s="69">
        <f>96*2</f>
        <v>192</v>
      </c>
      <c r="BJ523" s="69"/>
      <c r="BK523" s="69"/>
      <c r="BL523" s="69"/>
      <c r="BM523" s="69"/>
      <c r="BN523" s="69"/>
      <c r="BO523" s="69"/>
      <c r="BP523" s="69"/>
      <c r="BQ523" s="69"/>
      <c r="BR523" s="69"/>
      <c r="BS523" s="69"/>
      <c r="BT523" s="69"/>
      <c r="BU523" s="69"/>
      <c r="BV523" s="69"/>
      <c r="BW523" s="69"/>
      <c r="BX523" s="69"/>
      <c r="BY523" s="69"/>
      <c r="BZ523" s="69"/>
      <c r="CA523" s="69"/>
      <c r="CB523" s="69"/>
      <c r="CC523" s="69"/>
      <c r="CD523" s="69"/>
      <c r="CE523" s="94">
        <f t="shared" si="36"/>
        <v>24282</v>
      </c>
      <c r="CF523" s="151">
        <f t="shared" si="39"/>
        <v>0</v>
      </c>
      <c r="CG523" s="75">
        <f t="shared" si="38"/>
        <v>4378</v>
      </c>
      <c r="CH523" s="69" t="str">
        <f t="shared" si="37"/>
        <v>ماليزى اسنان</v>
      </c>
    </row>
    <row r="524" spans="1:86" ht="36" x14ac:dyDescent="0.25">
      <c r="A524" s="148"/>
      <c r="B524" s="82">
        <v>7875</v>
      </c>
      <c r="C524" s="149">
        <v>4379</v>
      </c>
      <c r="D524" s="69" t="s">
        <v>121</v>
      </c>
      <c r="E524" s="77" t="s">
        <v>3260</v>
      </c>
      <c r="F524" s="63"/>
      <c r="G524" s="69"/>
      <c r="H524" s="69">
        <v>19608</v>
      </c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  <c r="AE524" s="69"/>
      <c r="AF524" s="69"/>
      <c r="AG524" s="69"/>
      <c r="AH524" s="69"/>
      <c r="AI524" s="69"/>
      <c r="AJ524" s="69"/>
      <c r="AK524" s="69"/>
      <c r="AL524" s="69"/>
      <c r="AM524" s="69"/>
      <c r="AN524" s="69"/>
      <c r="AO524" s="69"/>
      <c r="AP524" s="69"/>
      <c r="AQ524" s="69"/>
      <c r="AR524" s="94">
        <f t="shared" si="26"/>
        <v>19608</v>
      </c>
      <c r="AS524" s="69">
        <v>18250</v>
      </c>
      <c r="AT524" s="69">
        <f>203.25+609.75+9</f>
        <v>822</v>
      </c>
      <c r="AU524" s="69"/>
      <c r="AV524" s="69"/>
      <c r="AW524" s="69"/>
      <c r="AX524" s="69"/>
      <c r="AY524" s="69"/>
      <c r="AZ524" s="69"/>
      <c r="BA524" s="69"/>
      <c r="BB524" s="69"/>
      <c r="BC524" s="69"/>
      <c r="BD524" s="69"/>
      <c r="BE524" s="69"/>
      <c r="BF524" s="69"/>
      <c r="BG524" s="69">
        <v>516</v>
      </c>
      <c r="BH524" s="69">
        <v>20</v>
      </c>
      <c r="BI524" s="69"/>
      <c r="BJ524" s="69"/>
      <c r="BK524" s="69"/>
      <c r="BL524" s="69"/>
      <c r="BM524" s="69"/>
      <c r="BN524" s="69"/>
      <c r="BO524" s="69"/>
      <c r="BP524" s="69"/>
      <c r="BQ524" s="69"/>
      <c r="BR524" s="69"/>
      <c r="BS524" s="69"/>
      <c r="BT524" s="69"/>
      <c r="BU524" s="69"/>
      <c r="BV524" s="69"/>
      <c r="BW524" s="69"/>
      <c r="BX524" s="69"/>
      <c r="BY524" s="69"/>
      <c r="BZ524" s="69"/>
      <c r="CA524" s="69"/>
      <c r="CB524" s="69"/>
      <c r="CC524" s="69"/>
      <c r="CD524" s="69"/>
      <c r="CE524" s="94">
        <f t="shared" si="36"/>
        <v>19608</v>
      </c>
      <c r="CF524" s="151">
        <f t="shared" si="39"/>
        <v>0</v>
      </c>
      <c r="CG524" s="75">
        <f t="shared" si="38"/>
        <v>4379</v>
      </c>
      <c r="CH524" s="69" t="str">
        <f t="shared" si="37"/>
        <v>ماليزى اسنان</v>
      </c>
    </row>
    <row r="525" spans="1:86" ht="36" x14ac:dyDescent="0.25">
      <c r="A525" s="148"/>
      <c r="B525" s="82">
        <v>7877</v>
      </c>
      <c r="C525" s="149">
        <v>4380</v>
      </c>
      <c r="D525" s="69" t="s">
        <v>121</v>
      </c>
      <c r="E525" s="77" t="s">
        <v>3261</v>
      </c>
      <c r="F525" s="63"/>
      <c r="G525" s="69"/>
      <c r="H525" s="69">
        <v>663246.69999999995</v>
      </c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  <c r="AE525" s="69"/>
      <c r="AF525" s="69"/>
      <c r="AG525" s="69"/>
      <c r="AH525" s="69"/>
      <c r="AI525" s="69"/>
      <c r="AJ525" s="69"/>
      <c r="AK525" s="69"/>
      <c r="AL525" s="69"/>
      <c r="AM525" s="69"/>
      <c r="AN525" s="69"/>
      <c r="AO525" s="69"/>
      <c r="AP525" s="69"/>
      <c r="AQ525" s="69"/>
      <c r="AR525" s="94">
        <f t="shared" si="26"/>
        <v>663246.69999999995</v>
      </c>
      <c r="AS525" s="69">
        <v>626027.4</v>
      </c>
      <c r="AT525" s="69">
        <f>3591+10773+165.3</f>
        <v>14529.3</v>
      </c>
      <c r="AU525" s="69"/>
      <c r="AV525" s="69"/>
      <c r="AW525" s="69"/>
      <c r="AX525" s="69"/>
      <c r="AY525" s="69"/>
      <c r="AZ525" s="69"/>
      <c r="BA525" s="69"/>
      <c r="BB525" s="69"/>
      <c r="BC525" s="69"/>
      <c r="BD525" s="69"/>
      <c r="BE525" s="69"/>
      <c r="BF525" s="69"/>
      <c r="BG525" s="69">
        <v>17454</v>
      </c>
      <c r="BH525" s="69"/>
      <c r="BI525" s="69">
        <f>2618*2</f>
        <v>5236</v>
      </c>
      <c r="BJ525" s="69"/>
      <c r="BK525" s="69"/>
      <c r="BL525" s="69"/>
      <c r="BM525" s="69"/>
      <c r="BN525" s="69"/>
      <c r="BO525" s="69"/>
      <c r="BP525" s="69"/>
      <c r="BQ525" s="69"/>
      <c r="BR525" s="69"/>
      <c r="BS525" s="69"/>
      <c r="BT525" s="69"/>
      <c r="BU525" s="69"/>
      <c r="BV525" s="69"/>
      <c r="BW525" s="69"/>
      <c r="BX525" s="69"/>
      <c r="BY525" s="69"/>
      <c r="BZ525" s="69"/>
      <c r="CA525" s="69"/>
      <c r="CB525" s="69"/>
      <c r="CC525" s="69"/>
      <c r="CD525" s="69"/>
      <c r="CE525" s="94">
        <f t="shared" ref="CE525:CE537" si="41">SUM(AS525:CD525)</f>
        <v>663246.70000000007</v>
      </c>
      <c r="CF525" s="151">
        <f t="shared" si="39"/>
        <v>0</v>
      </c>
      <c r="CG525" s="75">
        <f t="shared" si="38"/>
        <v>4380</v>
      </c>
      <c r="CH525" s="69" t="str">
        <f t="shared" si="37"/>
        <v>ماليزى اسنان</v>
      </c>
    </row>
    <row r="526" spans="1:86" ht="36" x14ac:dyDescent="0.25">
      <c r="A526" s="148"/>
      <c r="B526" s="82">
        <v>7878</v>
      </c>
      <c r="C526" s="149">
        <v>4381</v>
      </c>
      <c r="D526" s="69" t="s">
        <v>121</v>
      </c>
      <c r="E526" s="77" t="s">
        <v>3262</v>
      </c>
      <c r="F526" s="63"/>
      <c r="G526" s="69"/>
      <c r="H526" s="69">
        <v>663246.69999999995</v>
      </c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  <c r="AE526" s="69"/>
      <c r="AF526" s="69"/>
      <c r="AG526" s="69"/>
      <c r="AH526" s="69"/>
      <c r="AI526" s="69"/>
      <c r="AJ526" s="69"/>
      <c r="AK526" s="69"/>
      <c r="AL526" s="69"/>
      <c r="AM526" s="69"/>
      <c r="AN526" s="69"/>
      <c r="AO526" s="69"/>
      <c r="AP526" s="69"/>
      <c r="AQ526" s="69"/>
      <c r="AR526" s="94">
        <f t="shared" si="26"/>
        <v>663246.69999999995</v>
      </c>
      <c r="AS526" s="69">
        <v>626027.4</v>
      </c>
      <c r="AT526" s="69">
        <f>3591+10773+51.3</f>
        <v>14415.3</v>
      </c>
      <c r="AU526" s="69"/>
      <c r="AV526" s="69"/>
      <c r="AW526" s="69"/>
      <c r="AX526" s="69"/>
      <c r="AY526" s="69"/>
      <c r="AZ526" s="69"/>
      <c r="BA526" s="69"/>
      <c r="BB526" s="69"/>
      <c r="BC526" s="69"/>
      <c r="BD526" s="69"/>
      <c r="BE526" s="69"/>
      <c r="BF526" s="69"/>
      <c r="BG526" s="69">
        <v>17454</v>
      </c>
      <c r="BH526" s="69">
        <v>114</v>
      </c>
      <c r="BI526" s="69">
        <f>2618*2</f>
        <v>5236</v>
      </c>
      <c r="BJ526" s="69"/>
      <c r="BK526" s="69"/>
      <c r="BL526" s="69"/>
      <c r="BM526" s="69"/>
      <c r="BN526" s="69"/>
      <c r="BO526" s="69"/>
      <c r="BP526" s="69"/>
      <c r="BQ526" s="69"/>
      <c r="BR526" s="69"/>
      <c r="BS526" s="69"/>
      <c r="BT526" s="69"/>
      <c r="BU526" s="69"/>
      <c r="BV526" s="69"/>
      <c r="BW526" s="69"/>
      <c r="BX526" s="69"/>
      <c r="BY526" s="69"/>
      <c r="BZ526" s="69"/>
      <c r="CA526" s="69"/>
      <c r="CB526" s="69"/>
      <c r="CC526" s="69"/>
      <c r="CD526" s="69"/>
      <c r="CE526" s="94">
        <f t="shared" si="41"/>
        <v>663246.70000000007</v>
      </c>
      <c r="CF526" s="151">
        <f t="shared" si="39"/>
        <v>0</v>
      </c>
      <c r="CG526" s="75">
        <f t="shared" si="38"/>
        <v>4381</v>
      </c>
      <c r="CH526" s="69" t="str">
        <f t="shared" si="37"/>
        <v>ماليزى اسنان</v>
      </c>
    </row>
    <row r="527" spans="1:86" ht="36" x14ac:dyDescent="0.25">
      <c r="A527" s="148"/>
      <c r="B527" s="82">
        <v>7876</v>
      </c>
      <c r="C527" s="149">
        <v>4382</v>
      </c>
      <c r="D527" s="69" t="s">
        <v>121</v>
      </c>
      <c r="E527" s="77" t="s">
        <v>3263</v>
      </c>
      <c r="F527" s="63"/>
      <c r="G527" s="69"/>
      <c r="H527" s="69">
        <v>663246.69999999995</v>
      </c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  <c r="AE527" s="69"/>
      <c r="AF527" s="69"/>
      <c r="AG527" s="69"/>
      <c r="AH527" s="69"/>
      <c r="AI527" s="69"/>
      <c r="AJ527" s="69"/>
      <c r="AK527" s="69"/>
      <c r="AL527" s="69"/>
      <c r="AM527" s="69"/>
      <c r="AN527" s="69"/>
      <c r="AO527" s="69"/>
      <c r="AP527" s="69"/>
      <c r="AQ527" s="69"/>
      <c r="AR527" s="94">
        <f t="shared" si="26"/>
        <v>663246.69999999995</v>
      </c>
      <c r="AS527" s="69">
        <v>626027.4</v>
      </c>
      <c r="AT527" s="69">
        <f>3591+10773+51.3</f>
        <v>14415.3</v>
      </c>
      <c r="AU527" s="69"/>
      <c r="AV527" s="69"/>
      <c r="AW527" s="69"/>
      <c r="AX527" s="69"/>
      <c r="AY527" s="69"/>
      <c r="AZ527" s="69"/>
      <c r="BA527" s="69"/>
      <c r="BB527" s="69"/>
      <c r="BC527" s="69"/>
      <c r="BD527" s="69"/>
      <c r="BE527" s="69"/>
      <c r="BF527" s="69"/>
      <c r="BG527" s="69">
        <v>17454</v>
      </c>
      <c r="BH527" s="69">
        <v>114</v>
      </c>
      <c r="BI527" s="69">
        <f>2618*2</f>
        <v>5236</v>
      </c>
      <c r="BJ527" s="69"/>
      <c r="BK527" s="69"/>
      <c r="BL527" s="69"/>
      <c r="BM527" s="69"/>
      <c r="BN527" s="69"/>
      <c r="BO527" s="69"/>
      <c r="BP527" s="69"/>
      <c r="BQ527" s="69"/>
      <c r="BR527" s="69"/>
      <c r="BS527" s="69"/>
      <c r="BT527" s="69"/>
      <c r="BU527" s="69"/>
      <c r="BV527" s="69"/>
      <c r="BW527" s="69"/>
      <c r="BX527" s="69"/>
      <c r="BY527" s="69"/>
      <c r="BZ527" s="69"/>
      <c r="CA527" s="69"/>
      <c r="CB527" s="69"/>
      <c r="CC527" s="69"/>
      <c r="CD527" s="69"/>
      <c r="CE527" s="94">
        <f t="shared" si="41"/>
        <v>663246.70000000007</v>
      </c>
      <c r="CF527" s="151">
        <f t="shared" si="39"/>
        <v>0</v>
      </c>
      <c r="CG527" s="75">
        <f t="shared" si="38"/>
        <v>4382</v>
      </c>
      <c r="CH527" s="69" t="str">
        <f t="shared" si="37"/>
        <v>ماليزى اسنان</v>
      </c>
    </row>
    <row r="528" spans="1:86" x14ac:dyDescent="0.25">
      <c r="A528" s="148"/>
      <c r="B528" s="82">
        <v>8282</v>
      </c>
      <c r="C528" s="149">
        <v>4383</v>
      </c>
      <c r="D528" s="69" t="s">
        <v>78</v>
      </c>
      <c r="E528" s="69" t="s">
        <v>3264</v>
      </c>
      <c r="F528" s="63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>
        <v>10478.75</v>
      </c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  <c r="AE528" s="69"/>
      <c r="AF528" s="69"/>
      <c r="AG528" s="69"/>
      <c r="AH528" s="69"/>
      <c r="AI528" s="69"/>
      <c r="AJ528" s="69"/>
      <c r="AK528" s="69"/>
      <c r="AL528" s="69"/>
      <c r="AM528" s="69"/>
      <c r="AN528" s="69"/>
      <c r="AO528" s="69"/>
      <c r="AP528" s="69"/>
      <c r="AQ528" s="69"/>
      <c r="AR528" s="94">
        <f t="shared" si="26"/>
        <v>10478.75</v>
      </c>
      <c r="AS528" s="69">
        <v>10478.75</v>
      </c>
      <c r="AT528" s="69"/>
      <c r="AU528" s="69"/>
      <c r="AV528" s="69"/>
      <c r="AW528" s="69"/>
      <c r="AX528" s="69"/>
      <c r="AY528" s="69"/>
      <c r="AZ528" s="69"/>
      <c r="BA528" s="69"/>
      <c r="BB528" s="69"/>
      <c r="BC528" s="69"/>
      <c r="BD528" s="69"/>
      <c r="BE528" s="69"/>
      <c r="BF528" s="69"/>
      <c r="BG528" s="69"/>
      <c r="BH528" s="69"/>
      <c r="BI528" s="69"/>
      <c r="BJ528" s="69"/>
      <c r="BK528" s="69"/>
      <c r="BL528" s="69"/>
      <c r="BM528" s="69"/>
      <c r="BN528" s="69"/>
      <c r="BO528" s="69"/>
      <c r="BP528" s="69"/>
      <c r="BQ528" s="69"/>
      <c r="BR528" s="69"/>
      <c r="BS528" s="69"/>
      <c r="BT528" s="69"/>
      <c r="BU528" s="69"/>
      <c r="BV528" s="69"/>
      <c r="BW528" s="69"/>
      <c r="BX528" s="69"/>
      <c r="BY528" s="69"/>
      <c r="BZ528" s="69"/>
      <c r="CA528" s="69"/>
      <c r="CB528" s="69"/>
      <c r="CC528" s="69"/>
      <c r="CD528" s="69"/>
      <c r="CE528" s="94">
        <f t="shared" si="41"/>
        <v>10478.75</v>
      </c>
      <c r="CF528" s="151">
        <f t="shared" si="39"/>
        <v>0</v>
      </c>
      <c r="CG528" s="75">
        <f t="shared" si="38"/>
        <v>4383</v>
      </c>
      <c r="CH528" s="69" t="str">
        <f t="shared" si="37"/>
        <v>برنامج دولى</v>
      </c>
    </row>
    <row r="529" spans="1:86" x14ac:dyDescent="0.25">
      <c r="A529" s="148"/>
      <c r="B529" s="82">
        <v>8223</v>
      </c>
      <c r="C529" s="149">
        <v>4384</v>
      </c>
      <c r="D529" s="69" t="s">
        <v>78</v>
      </c>
      <c r="E529" s="69" t="s">
        <v>3265</v>
      </c>
      <c r="F529" s="63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>
        <v>12440</v>
      </c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  <c r="AE529" s="69"/>
      <c r="AF529" s="69"/>
      <c r="AG529" s="69"/>
      <c r="AH529" s="69"/>
      <c r="AI529" s="69"/>
      <c r="AJ529" s="69"/>
      <c r="AK529" s="69"/>
      <c r="AL529" s="69"/>
      <c r="AM529" s="69"/>
      <c r="AN529" s="69"/>
      <c r="AO529" s="69"/>
      <c r="AP529" s="69"/>
      <c r="AQ529" s="69"/>
      <c r="AR529" s="94">
        <f t="shared" si="26"/>
        <v>12440</v>
      </c>
      <c r="AS529" s="69">
        <v>12440</v>
      </c>
      <c r="AT529" s="69"/>
      <c r="AU529" s="69"/>
      <c r="AV529" s="69"/>
      <c r="AW529" s="69"/>
      <c r="AX529" s="69"/>
      <c r="AY529" s="69"/>
      <c r="AZ529" s="69"/>
      <c r="BA529" s="69"/>
      <c r="BB529" s="69"/>
      <c r="BC529" s="69"/>
      <c r="BD529" s="69"/>
      <c r="BE529" s="69"/>
      <c r="BF529" s="69"/>
      <c r="BG529" s="69"/>
      <c r="BH529" s="69"/>
      <c r="BI529" s="69"/>
      <c r="BJ529" s="69"/>
      <c r="BK529" s="69"/>
      <c r="BL529" s="69"/>
      <c r="BM529" s="69"/>
      <c r="BN529" s="69"/>
      <c r="BO529" s="69"/>
      <c r="BP529" s="69"/>
      <c r="BQ529" s="69"/>
      <c r="BR529" s="69"/>
      <c r="BS529" s="69"/>
      <c r="BT529" s="69"/>
      <c r="BU529" s="69"/>
      <c r="BV529" s="69"/>
      <c r="BW529" s="69"/>
      <c r="BX529" s="69"/>
      <c r="BY529" s="69"/>
      <c r="BZ529" s="69"/>
      <c r="CA529" s="69"/>
      <c r="CB529" s="69"/>
      <c r="CC529" s="69"/>
      <c r="CD529" s="69"/>
      <c r="CE529" s="94">
        <f t="shared" si="41"/>
        <v>12440</v>
      </c>
      <c r="CF529" s="151">
        <f t="shared" si="39"/>
        <v>0</v>
      </c>
      <c r="CG529" s="75">
        <f t="shared" si="38"/>
        <v>4384</v>
      </c>
      <c r="CH529" s="69" t="str">
        <f t="shared" si="37"/>
        <v>برنامج دولى</v>
      </c>
    </row>
    <row r="530" spans="1:86" s="156" customFormat="1" x14ac:dyDescent="0.25">
      <c r="A530" s="153"/>
      <c r="B530" s="83"/>
      <c r="C530" s="154"/>
      <c r="D530" s="69"/>
      <c r="E530" s="68" t="s">
        <v>3266</v>
      </c>
      <c r="F530" s="68"/>
      <c r="G530" s="68">
        <f>SUM(G396:G529)</f>
        <v>1053516.0900000001</v>
      </c>
      <c r="H530" s="68">
        <f t="shared" ref="H530:BV530" si="42">SUM(H396:H529)</f>
        <v>2208761.86</v>
      </c>
      <c r="I530" s="68">
        <f t="shared" si="42"/>
        <v>0</v>
      </c>
      <c r="J530" s="68">
        <f t="shared" si="42"/>
        <v>0</v>
      </c>
      <c r="K530" s="68">
        <f t="shared" si="42"/>
        <v>0</v>
      </c>
      <c r="L530" s="68">
        <f t="shared" si="42"/>
        <v>0</v>
      </c>
      <c r="M530" s="68">
        <f t="shared" si="42"/>
        <v>0</v>
      </c>
      <c r="N530" s="68">
        <f t="shared" si="42"/>
        <v>0</v>
      </c>
      <c r="O530" s="68"/>
      <c r="P530" s="68">
        <f t="shared" si="42"/>
        <v>0</v>
      </c>
      <c r="Q530" s="68">
        <f t="shared" si="42"/>
        <v>0</v>
      </c>
      <c r="R530" s="68">
        <f t="shared" si="42"/>
        <v>22918.75</v>
      </c>
      <c r="S530" s="68">
        <f t="shared" si="42"/>
        <v>0</v>
      </c>
      <c r="T530" s="68">
        <f t="shared" si="42"/>
        <v>0</v>
      </c>
      <c r="U530" s="68">
        <f t="shared" si="42"/>
        <v>0</v>
      </c>
      <c r="V530" s="68">
        <f t="shared" si="42"/>
        <v>0</v>
      </c>
      <c r="W530" s="68">
        <f t="shared" si="42"/>
        <v>0</v>
      </c>
      <c r="X530" s="68">
        <f t="shared" si="42"/>
        <v>0</v>
      </c>
      <c r="Y530" s="68">
        <f t="shared" si="42"/>
        <v>0</v>
      </c>
      <c r="Z530" s="68">
        <f t="shared" si="42"/>
        <v>0</v>
      </c>
      <c r="AA530" s="68">
        <f t="shared" si="42"/>
        <v>0</v>
      </c>
      <c r="AB530" s="68">
        <f t="shared" si="42"/>
        <v>0</v>
      </c>
      <c r="AC530" s="68">
        <f t="shared" si="42"/>
        <v>0</v>
      </c>
      <c r="AD530" s="68">
        <f t="shared" si="42"/>
        <v>1588.61</v>
      </c>
      <c r="AE530" s="68">
        <f t="shared" si="42"/>
        <v>0</v>
      </c>
      <c r="AF530" s="68">
        <f t="shared" si="42"/>
        <v>0</v>
      </c>
      <c r="AG530" s="68">
        <f t="shared" si="42"/>
        <v>0</v>
      </c>
      <c r="AH530" s="68">
        <f t="shared" si="42"/>
        <v>0</v>
      </c>
      <c r="AI530" s="68">
        <f t="shared" si="42"/>
        <v>0</v>
      </c>
      <c r="AJ530" s="68">
        <f t="shared" si="42"/>
        <v>0</v>
      </c>
      <c r="AK530" s="68">
        <f t="shared" si="42"/>
        <v>0</v>
      </c>
      <c r="AL530" s="68">
        <f t="shared" si="42"/>
        <v>0</v>
      </c>
      <c r="AM530" s="68">
        <f t="shared" si="42"/>
        <v>0</v>
      </c>
      <c r="AN530" s="68">
        <f t="shared" si="42"/>
        <v>0</v>
      </c>
      <c r="AO530" s="68">
        <f t="shared" si="42"/>
        <v>0</v>
      </c>
      <c r="AP530" s="68">
        <f t="shared" si="42"/>
        <v>0</v>
      </c>
      <c r="AQ530" s="68">
        <f t="shared" si="42"/>
        <v>0</v>
      </c>
      <c r="AR530" s="94">
        <f t="shared" si="26"/>
        <v>3286785.31</v>
      </c>
      <c r="AS530" s="68">
        <f t="shared" si="42"/>
        <v>3009357.94</v>
      </c>
      <c r="AT530" s="68">
        <f t="shared" si="42"/>
        <v>152604.16999999995</v>
      </c>
      <c r="AU530" s="68">
        <f t="shared" si="42"/>
        <v>53618.3</v>
      </c>
      <c r="AV530" s="68">
        <f t="shared" si="42"/>
        <v>333.3</v>
      </c>
      <c r="AW530" s="68">
        <f t="shared" si="42"/>
        <v>0</v>
      </c>
      <c r="AX530" s="68">
        <f t="shared" si="42"/>
        <v>0</v>
      </c>
      <c r="AY530" s="68">
        <f t="shared" si="42"/>
        <v>0</v>
      </c>
      <c r="AZ530" s="68">
        <f t="shared" si="42"/>
        <v>0</v>
      </c>
      <c r="BA530" s="68">
        <f t="shared" si="42"/>
        <v>0</v>
      </c>
      <c r="BB530" s="68">
        <f t="shared" si="42"/>
        <v>0</v>
      </c>
      <c r="BC530" s="68">
        <f t="shared" si="42"/>
        <v>0</v>
      </c>
      <c r="BD530" s="68">
        <f t="shared" si="42"/>
        <v>0</v>
      </c>
      <c r="BE530" s="68"/>
      <c r="BF530" s="68">
        <f t="shared" si="42"/>
        <v>0</v>
      </c>
      <c r="BG530" s="68">
        <f t="shared" si="42"/>
        <v>54068.55</v>
      </c>
      <c r="BH530" s="68">
        <f t="shared" si="42"/>
        <v>512</v>
      </c>
      <c r="BI530" s="68">
        <f t="shared" si="42"/>
        <v>15988.9</v>
      </c>
      <c r="BJ530" s="68">
        <f t="shared" si="42"/>
        <v>302.14999999999998</v>
      </c>
      <c r="BK530" s="68">
        <f t="shared" si="42"/>
        <v>0</v>
      </c>
      <c r="BL530" s="68">
        <f t="shared" si="42"/>
        <v>0</v>
      </c>
      <c r="BM530" s="68">
        <f t="shared" si="42"/>
        <v>0</v>
      </c>
      <c r="BN530" s="68">
        <f t="shared" si="42"/>
        <v>0</v>
      </c>
      <c r="BO530" s="68"/>
      <c r="BP530" s="68">
        <f t="shared" si="42"/>
        <v>0</v>
      </c>
      <c r="BQ530" s="68">
        <f t="shared" si="42"/>
        <v>0</v>
      </c>
      <c r="BR530" s="68">
        <f t="shared" si="42"/>
        <v>0</v>
      </c>
      <c r="BS530" s="68">
        <f t="shared" si="42"/>
        <v>0</v>
      </c>
      <c r="BT530" s="68">
        <f t="shared" si="42"/>
        <v>0</v>
      </c>
      <c r="BU530" s="68">
        <f t="shared" si="42"/>
        <v>0</v>
      </c>
      <c r="BV530" s="68">
        <f t="shared" si="42"/>
        <v>0</v>
      </c>
      <c r="BW530" s="68">
        <f t="shared" ref="BW530:CD530" si="43">SUM(BW396:BW529)</f>
        <v>0</v>
      </c>
      <c r="BX530" s="68">
        <f t="shared" si="43"/>
        <v>0</v>
      </c>
      <c r="BY530" s="68">
        <f t="shared" si="43"/>
        <v>0</v>
      </c>
      <c r="BZ530" s="68">
        <f t="shared" si="43"/>
        <v>0</v>
      </c>
      <c r="CA530" s="68">
        <f t="shared" si="43"/>
        <v>0</v>
      </c>
      <c r="CB530" s="68">
        <f t="shared" si="43"/>
        <v>0</v>
      </c>
      <c r="CC530" s="68">
        <f t="shared" si="43"/>
        <v>0</v>
      </c>
      <c r="CD530" s="68">
        <f t="shared" si="43"/>
        <v>0</v>
      </c>
      <c r="CE530" s="94">
        <f t="shared" ref="CE530:CE532" si="44">SUM(AS530:CD530)</f>
        <v>3286785.3099999991</v>
      </c>
      <c r="CF530" s="151">
        <f t="shared" si="39"/>
        <v>0</v>
      </c>
      <c r="CG530" s="75">
        <f t="shared" si="38"/>
        <v>0</v>
      </c>
      <c r="CH530" s="69">
        <f t="shared" si="37"/>
        <v>0</v>
      </c>
    </row>
    <row r="531" spans="1:86" x14ac:dyDescent="0.25">
      <c r="A531" s="148"/>
      <c r="B531" s="82"/>
      <c r="C531" s="160">
        <v>4389</v>
      </c>
      <c r="D531" s="69" t="s">
        <v>123</v>
      </c>
      <c r="E531" s="69" t="s">
        <v>3267</v>
      </c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>
        <f>100.03+6.17</f>
        <v>106.2</v>
      </c>
      <c r="V531" s="69"/>
      <c r="W531" s="69"/>
      <c r="X531" s="69"/>
      <c r="Y531" s="69"/>
      <c r="Z531" s="69"/>
      <c r="AA531" s="69"/>
      <c r="AB531" s="69"/>
      <c r="AC531" s="69"/>
      <c r="AD531" s="69"/>
      <c r="AE531" s="69">
        <v>894.1</v>
      </c>
      <c r="AF531" s="69"/>
      <c r="AG531" s="69"/>
      <c r="AH531" s="69"/>
      <c r="AI531" s="69"/>
      <c r="AJ531" s="69"/>
      <c r="AK531" s="69"/>
      <c r="AL531" s="69"/>
      <c r="AM531" s="69"/>
      <c r="AN531" s="69"/>
      <c r="AO531" s="69"/>
      <c r="AP531" s="69"/>
      <c r="AQ531" s="69"/>
      <c r="AR531" s="94">
        <f t="shared" si="26"/>
        <v>1000.3000000000001</v>
      </c>
      <c r="AS531" s="69"/>
      <c r="AT531" s="69"/>
      <c r="AU531" s="69"/>
      <c r="AV531" s="69"/>
      <c r="AW531" s="69">
        <v>1000.3</v>
      </c>
      <c r="AX531" s="69"/>
      <c r="AY531" s="69"/>
      <c r="AZ531" s="69"/>
      <c r="BA531" s="69"/>
      <c r="BB531" s="69"/>
      <c r="BC531" s="69"/>
      <c r="BD531" s="69"/>
      <c r="BE531" s="69"/>
      <c r="BF531" s="69"/>
      <c r="BG531" s="69"/>
      <c r="BH531" s="69"/>
      <c r="BI531" s="69"/>
      <c r="BJ531" s="69"/>
      <c r="BK531" s="69"/>
      <c r="BL531" s="69"/>
      <c r="BM531" s="69"/>
      <c r="BN531" s="69"/>
      <c r="BO531" s="69"/>
      <c r="BP531" s="69"/>
      <c r="BQ531" s="69"/>
      <c r="BR531" s="69"/>
      <c r="BS531" s="69"/>
      <c r="BT531" s="69"/>
      <c r="BU531" s="69"/>
      <c r="BV531" s="69"/>
      <c r="BW531" s="69"/>
      <c r="BX531" s="69"/>
      <c r="BY531" s="69"/>
      <c r="BZ531" s="69"/>
      <c r="CA531" s="69"/>
      <c r="CB531" s="69"/>
      <c r="CC531" s="69"/>
      <c r="CD531" s="69"/>
      <c r="CE531" s="94">
        <f t="shared" si="44"/>
        <v>1000.3</v>
      </c>
      <c r="CF531" s="151">
        <f t="shared" si="39"/>
        <v>0</v>
      </c>
      <c r="CG531" s="75">
        <f t="shared" si="38"/>
        <v>4389</v>
      </c>
      <c r="CH531" s="69" t="str">
        <f t="shared" si="37"/>
        <v>خ ت اسنان</v>
      </c>
    </row>
    <row r="532" spans="1:86" x14ac:dyDescent="0.25">
      <c r="A532" s="148"/>
      <c r="B532" s="82"/>
      <c r="C532" s="160">
        <v>4390</v>
      </c>
      <c r="D532" s="69" t="s">
        <v>123</v>
      </c>
      <c r="E532" s="69" t="s">
        <v>3268</v>
      </c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>
        <f>50.02+3.14</f>
        <v>53.160000000000004</v>
      </c>
      <c r="V532" s="69"/>
      <c r="W532" s="69"/>
      <c r="X532" s="69"/>
      <c r="Y532" s="69"/>
      <c r="Z532" s="69"/>
      <c r="AA532" s="69"/>
      <c r="AB532" s="69"/>
      <c r="AC532" s="69"/>
      <c r="AD532" s="69"/>
      <c r="AE532" s="69">
        <v>447.05</v>
      </c>
      <c r="AF532" s="69"/>
      <c r="AG532" s="69"/>
      <c r="AH532" s="69"/>
      <c r="AI532" s="69"/>
      <c r="AJ532" s="69"/>
      <c r="AK532" s="69"/>
      <c r="AL532" s="69"/>
      <c r="AM532" s="69"/>
      <c r="AN532" s="69"/>
      <c r="AO532" s="69"/>
      <c r="AP532" s="69"/>
      <c r="AQ532" s="69"/>
      <c r="AR532" s="94">
        <f t="shared" si="26"/>
        <v>500.21000000000004</v>
      </c>
      <c r="AS532" s="69"/>
      <c r="AT532" s="69"/>
      <c r="AU532" s="69"/>
      <c r="AV532" s="69"/>
      <c r="AW532" s="69">
        <v>500.21</v>
      </c>
      <c r="AX532" s="69"/>
      <c r="AY532" s="69"/>
      <c r="AZ532" s="69"/>
      <c r="BA532" s="69"/>
      <c r="BB532" s="69"/>
      <c r="BC532" s="69"/>
      <c r="BD532" s="69"/>
      <c r="BE532" s="69"/>
      <c r="BF532" s="69"/>
      <c r="BG532" s="69"/>
      <c r="BH532" s="69"/>
      <c r="BI532" s="69"/>
      <c r="BJ532" s="69"/>
      <c r="BK532" s="69"/>
      <c r="BL532" s="69"/>
      <c r="BM532" s="69"/>
      <c r="BN532" s="69"/>
      <c r="BO532" s="69"/>
      <c r="BP532" s="69"/>
      <c r="BQ532" s="69"/>
      <c r="BR532" s="69"/>
      <c r="BS532" s="69"/>
      <c r="BT532" s="69"/>
      <c r="BU532" s="69"/>
      <c r="BV532" s="69"/>
      <c r="BW532" s="69"/>
      <c r="BX532" s="69"/>
      <c r="BY532" s="69"/>
      <c r="BZ532" s="69"/>
      <c r="CA532" s="69"/>
      <c r="CB532" s="69"/>
      <c r="CC532" s="69"/>
      <c r="CD532" s="69"/>
      <c r="CE532" s="94">
        <f t="shared" si="44"/>
        <v>500.21</v>
      </c>
      <c r="CF532" s="151">
        <f t="shared" si="39"/>
        <v>0</v>
      </c>
      <c r="CG532" s="75">
        <f t="shared" si="38"/>
        <v>4390</v>
      </c>
      <c r="CH532" s="69" t="str">
        <f t="shared" si="37"/>
        <v>خ ت اسنان</v>
      </c>
    </row>
    <row r="533" spans="1:86" s="156" customFormat="1" x14ac:dyDescent="0.25">
      <c r="A533" s="153"/>
      <c r="B533" s="83"/>
      <c r="C533" s="154"/>
      <c r="D533" s="69"/>
      <c r="E533" s="68" t="s">
        <v>3269</v>
      </c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>
        <f>SUM(U531:U532)</f>
        <v>159.36000000000001</v>
      </c>
      <c r="V533" s="68">
        <f t="shared" ref="V533:CF533" si="45">SUM(V531:V532)</f>
        <v>0</v>
      </c>
      <c r="W533" s="68">
        <f t="shared" si="45"/>
        <v>0</v>
      </c>
      <c r="X533" s="68">
        <f t="shared" si="45"/>
        <v>0</v>
      </c>
      <c r="Y533" s="68">
        <f t="shared" si="45"/>
        <v>0</v>
      </c>
      <c r="Z533" s="68">
        <f t="shared" si="45"/>
        <v>0</v>
      </c>
      <c r="AA533" s="68">
        <f t="shared" si="45"/>
        <v>0</v>
      </c>
      <c r="AB533" s="68">
        <f t="shared" si="45"/>
        <v>0</v>
      </c>
      <c r="AC533" s="68">
        <f t="shared" si="45"/>
        <v>0</v>
      </c>
      <c r="AD533" s="68">
        <f t="shared" si="45"/>
        <v>0</v>
      </c>
      <c r="AE533" s="68">
        <f t="shared" si="45"/>
        <v>1341.15</v>
      </c>
      <c r="AF533" s="68">
        <f t="shared" si="45"/>
        <v>0</v>
      </c>
      <c r="AG533" s="68">
        <f t="shared" si="45"/>
        <v>0</v>
      </c>
      <c r="AH533" s="68">
        <f t="shared" si="45"/>
        <v>0</v>
      </c>
      <c r="AI533" s="68">
        <f t="shared" si="45"/>
        <v>0</v>
      </c>
      <c r="AJ533" s="68">
        <f t="shared" si="45"/>
        <v>0</v>
      </c>
      <c r="AK533" s="68">
        <f t="shared" si="45"/>
        <v>0</v>
      </c>
      <c r="AL533" s="68">
        <f t="shared" si="45"/>
        <v>0</v>
      </c>
      <c r="AM533" s="68">
        <f t="shared" si="45"/>
        <v>0</v>
      </c>
      <c r="AN533" s="68">
        <f t="shared" si="45"/>
        <v>0</v>
      </c>
      <c r="AO533" s="68">
        <f t="shared" si="45"/>
        <v>0</v>
      </c>
      <c r="AP533" s="68">
        <f t="shared" si="45"/>
        <v>0</v>
      </c>
      <c r="AQ533" s="68">
        <f t="shared" si="45"/>
        <v>0</v>
      </c>
      <c r="AR533" s="91">
        <f t="shared" si="45"/>
        <v>1500.5100000000002</v>
      </c>
      <c r="AS533" s="68">
        <f t="shared" si="45"/>
        <v>0</v>
      </c>
      <c r="AT533" s="68">
        <f t="shared" si="45"/>
        <v>0</v>
      </c>
      <c r="AU533" s="68">
        <f t="shared" si="45"/>
        <v>0</v>
      </c>
      <c r="AV533" s="68">
        <f t="shared" si="45"/>
        <v>0</v>
      </c>
      <c r="AW533" s="68">
        <f t="shared" si="45"/>
        <v>1500.51</v>
      </c>
      <c r="AX533" s="68">
        <f t="shared" si="45"/>
        <v>0</v>
      </c>
      <c r="AY533" s="68">
        <f t="shared" si="45"/>
        <v>0</v>
      </c>
      <c r="AZ533" s="68">
        <f t="shared" si="45"/>
        <v>0</v>
      </c>
      <c r="BA533" s="68">
        <f t="shared" si="45"/>
        <v>0</v>
      </c>
      <c r="BB533" s="68">
        <f t="shared" si="45"/>
        <v>0</v>
      </c>
      <c r="BC533" s="68">
        <f t="shared" si="45"/>
        <v>0</v>
      </c>
      <c r="BD533" s="68">
        <f t="shared" si="45"/>
        <v>0</v>
      </c>
      <c r="BE533" s="68"/>
      <c r="BF533" s="68">
        <f t="shared" si="45"/>
        <v>0</v>
      </c>
      <c r="BG533" s="68">
        <f t="shared" si="45"/>
        <v>0</v>
      </c>
      <c r="BH533" s="68">
        <f t="shared" si="45"/>
        <v>0</v>
      </c>
      <c r="BI533" s="68">
        <f t="shared" si="45"/>
        <v>0</v>
      </c>
      <c r="BJ533" s="68">
        <f t="shared" si="45"/>
        <v>0</v>
      </c>
      <c r="BK533" s="68">
        <f t="shared" si="45"/>
        <v>0</v>
      </c>
      <c r="BL533" s="68">
        <f t="shared" si="45"/>
        <v>0</v>
      </c>
      <c r="BM533" s="68">
        <f t="shared" si="45"/>
        <v>0</v>
      </c>
      <c r="BN533" s="68">
        <f t="shared" si="45"/>
        <v>0</v>
      </c>
      <c r="BO533" s="68"/>
      <c r="BP533" s="68">
        <f t="shared" si="45"/>
        <v>0</v>
      </c>
      <c r="BQ533" s="68">
        <f t="shared" si="45"/>
        <v>0</v>
      </c>
      <c r="BR533" s="68">
        <f t="shared" si="45"/>
        <v>0</v>
      </c>
      <c r="BS533" s="68">
        <f t="shared" si="45"/>
        <v>0</v>
      </c>
      <c r="BT533" s="68">
        <f t="shared" si="45"/>
        <v>0</v>
      </c>
      <c r="BU533" s="68">
        <f t="shared" si="45"/>
        <v>0</v>
      </c>
      <c r="BV533" s="68">
        <f t="shared" si="45"/>
        <v>0</v>
      </c>
      <c r="BW533" s="68">
        <f t="shared" si="45"/>
        <v>0</v>
      </c>
      <c r="BX533" s="68">
        <f t="shared" si="45"/>
        <v>0</v>
      </c>
      <c r="BY533" s="68">
        <f t="shared" si="45"/>
        <v>0</v>
      </c>
      <c r="BZ533" s="68">
        <f t="shared" si="45"/>
        <v>0</v>
      </c>
      <c r="CA533" s="68">
        <f t="shared" si="45"/>
        <v>0</v>
      </c>
      <c r="CB533" s="68">
        <f t="shared" si="45"/>
        <v>0</v>
      </c>
      <c r="CC533" s="68">
        <f t="shared" si="45"/>
        <v>0</v>
      </c>
      <c r="CD533" s="68">
        <f t="shared" si="45"/>
        <v>0</v>
      </c>
      <c r="CE533" s="91">
        <f t="shared" si="45"/>
        <v>1500.51</v>
      </c>
      <c r="CF533" s="68">
        <f t="shared" si="45"/>
        <v>0</v>
      </c>
      <c r="CG533" s="68"/>
      <c r="CH533" s="68"/>
    </row>
    <row r="534" spans="1:86" ht="36" x14ac:dyDescent="0.25">
      <c r="A534" s="148"/>
      <c r="B534" s="82">
        <v>8333</v>
      </c>
      <c r="C534" s="149">
        <v>4385</v>
      </c>
      <c r="D534" s="69" t="s">
        <v>130</v>
      </c>
      <c r="E534" s="77" t="s">
        <v>3270</v>
      </c>
      <c r="F534" s="63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>
        <v>1125000</v>
      </c>
      <c r="AC534" s="69"/>
      <c r="AD534" s="69"/>
      <c r="AE534" s="69"/>
      <c r="AF534" s="69"/>
      <c r="AG534" s="69"/>
      <c r="AH534" s="69"/>
      <c r="AI534" s="69"/>
      <c r="AJ534" s="69"/>
      <c r="AK534" s="69"/>
      <c r="AL534" s="69"/>
      <c r="AM534" s="69"/>
      <c r="AN534" s="69"/>
      <c r="AO534" s="69"/>
      <c r="AP534" s="69">
        <v>1125000</v>
      </c>
      <c r="AQ534" s="69"/>
      <c r="AR534" s="94">
        <f t="shared" si="26"/>
        <v>2250000</v>
      </c>
      <c r="AS534" s="69">
        <v>1125000</v>
      </c>
      <c r="AT534" s="69"/>
      <c r="AU534" s="69"/>
      <c r="AV534" s="69"/>
      <c r="AW534" s="69"/>
      <c r="AX534" s="69"/>
      <c r="AY534" s="69"/>
      <c r="AZ534" s="69"/>
      <c r="BA534" s="69"/>
      <c r="BB534" s="69"/>
      <c r="BC534" s="69"/>
      <c r="BD534" s="69"/>
      <c r="BE534" s="69"/>
      <c r="BF534" s="69"/>
      <c r="BG534" s="69"/>
      <c r="BH534" s="69"/>
      <c r="BI534" s="69"/>
      <c r="BJ534" s="69"/>
      <c r="BK534" s="69"/>
      <c r="BL534" s="69"/>
      <c r="BM534" s="69"/>
      <c r="BN534" s="69"/>
      <c r="BO534" s="69"/>
      <c r="BP534" s="69"/>
      <c r="BQ534" s="69"/>
      <c r="BR534" s="69"/>
      <c r="BS534" s="69">
        <v>1125000</v>
      </c>
      <c r="BT534" s="69"/>
      <c r="BU534" s="69"/>
      <c r="BV534" s="69"/>
      <c r="BW534" s="69"/>
      <c r="BX534" s="69"/>
      <c r="BY534" s="69"/>
      <c r="BZ534" s="69"/>
      <c r="CA534" s="69"/>
      <c r="CB534" s="69"/>
      <c r="CC534" s="69"/>
      <c r="CD534" s="69"/>
      <c r="CE534" s="94">
        <f t="shared" si="41"/>
        <v>2250000</v>
      </c>
      <c r="CF534" s="151">
        <f t="shared" si="39"/>
        <v>0</v>
      </c>
      <c r="CG534" s="75">
        <f t="shared" si="38"/>
        <v>4385</v>
      </c>
      <c r="CH534" s="69" t="str">
        <f t="shared" si="37"/>
        <v>خ ت طب</v>
      </c>
    </row>
    <row r="535" spans="1:86" x14ac:dyDescent="0.25">
      <c r="A535" s="148"/>
      <c r="B535" s="82">
        <v>4974</v>
      </c>
      <c r="C535" s="149">
        <v>4386</v>
      </c>
      <c r="D535" s="69" t="s">
        <v>78</v>
      </c>
      <c r="E535" s="69" t="s">
        <v>3271</v>
      </c>
      <c r="F535" s="63"/>
      <c r="G535" s="69">
        <v>25229.67</v>
      </c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  <c r="AJ535" s="69"/>
      <c r="AK535" s="69"/>
      <c r="AL535" s="69"/>
      <c r="AM535" s="69"/>
      <c r="AN535" s="69"/>
      <c r="AO535" s="69"/>
      <c r="AP535" s="69"/>
      <c r="AQ535" s="69"/>
      <c r="AR535" s="94">
        <f t="shared" si="26"/>
        <v>25229.67</v>
      </c>
      <c r="AS535" s="69">
        <v>18305.45</v>
      </c>
      <c r="AT535" s="69">
        <v>1341.51</v>
      </c>
      <c r="AU535" s="69">
        <v>5582.71</v>
      </c>
      <c r="AV535" s="69"/>
      <c r="AW535" s="69"/>
      <c r="AX535" s="69"/>
      <c r="AY535" s="69"/>
      <c r="AZ535" s="69"/>
      <c r="BA535" s="69"/>
      <c r="BB535" s="69"/>
      <c r="BC535" s="69"/>
      <c r="BD535" s="69"/>
      <c r="BE535" s="69"/>
      <c r="BF535" s="69"/>
      <c r="BG535" s="69"/>
      <c r="BH535" s="69"/>
      <c r="BI535" s="69"/>
      <c r="BJ535" s="69"/>
      <c r="BK535" s="69"/>
      <c r="BL535" s="69"/>
      <c r="BM535" s="69"/>
      <c r="BN535" s="69"/>
      <c r="BO535" s="69"/>
      <c r="BP535" s="69"/>
      <c r="BQ535" s="69"/>
      <c r="BR535" s="69"/>
      <c r="BS535" s="69"/>
      <c r="BT535" s="69"/>
      <c r="BU535" s="69"/>
      <c r="BV535" s="69"/>
      <c r="BW535" s="69"/>
      <c r="BX535" s="69"/>
      <c r="BY535" s="69"/>
      <c r="BZ535" s="69"/>
      <c r="CA535" s="69"/>
      <c r="CB535" s="69"/>
      <c r="CC535" s="69"/>
      <c r="CD535" s="69"/>
      <c r="CE535" s="94">
        <f t="shared" si="41"/>
        <v>25229.67</v>
      </c>
      <c r="CF535" s="151">
        <f t="shared" si="39"/>
        <v>0</v>
      </c>
      <c r="CG535" s="75">
        <f t="shared" si="38"/>
        <v>4386</v>
      </c>
      <c r="CH535" s="69" t="str">
        <f t="shared" si="37"/>
        <v>برنامج دولى</v>
      </c>
    </row>
    <row r="536" spans="1:86" x14ac:dyDescent="0.25">
      <c r="A536" s="148"/>
      <c r="B536" s="82">
        <v>4973</v>
      </c>
      <c r="C536" s="149">
        <v>4387</v>
      </c>
      <c r="D536" s="69" t="s">
        <v>78</v>
      </c>
      <c r="E536" s="69" t="s">
        <v>3271</v>
      </c>
      <c r="F536" s="63"/>
      <c r="G536" s="69">
        <v>23663.96</v>
      </c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  <c r="AJ536" s="69"/>
      <c r="AK536" s="69"/>
      <c r="AL536" s="69"/>
      <c r="AM536" s="69"/>
      <c r="AN536" s="69"/>
      <c r="AO536" s="69"/>
      <c r="AP536" s="69"/>
      <c r="AQ536" s="69"/>
      <c r="AR536" s="94">
        <f t="shared" si="26"/>
        <v>23663.96</v>
      </c>
      <c r="AS536" s="69">
        <v>17801.740000000002</v>
      </c>
      <c r="AT536" s="69">
        <v>1891.45</v>
      </c>
      <c r="AU536" s="69">
        <v>3970.77</v>
      </c>
      <c r="AV536" s="69"/>
      <c r="AW536" s="69"/>
      <c r="AX536" s="69"/>
      <c r="AY536" s="69"/>
      <c r="AZ536" s="69"/>
      <c r="BA536" s="69"/>
      <c r="BB536" s="69"/>
      <c r="BC536" s="69"/>
      <c r="BD536" s="69"/>
      <c r="BE536" s="69"/>
      <c r="BF536" s="69"/>
      <c r="BG536" s="69"/>
      <c r="BH536" s="69"/>
      <c r="BI536" s="69"/>
      <c r="BJ536" s="69"/>
      <c r="BK536" s="69"/>
      <c r="BL536" s="69"/>
      <c r="BM536" s="69"/>
      <c r="BN536" s="69"/>
      <c r="BO536" s="69"/>
      <c r="BP536" s="69"/>
      <c r="BQ536" s="69"/>
      <c r="BR536" s="69"/>
      <c r="BS536" s="69"/>
      <c r="BT536" s="69"/>
      <c r="BU536" s="69"/>
      <c r="BV536" s="69"/>
      <c r="BW536" s="69"/>
      <c r="BX536" s="69"/>
      <c r="BY536" s="69"/>
      <c r="BZ536" s="69"/>
      <c r="CA536" s="69"/>
      <c r="CB536" s="69"/>
      <c r="CC536" s="69"/>
      <c r="CD536" s="69"/>
      <c r="CE536" s="94">
        <f t="shared" si="41"/>
        <v>23663.960000000003</v>
      </c>
      <c r="CF536" s="151">
        <f t="shared" si="39"/>
        <v>0</v>
      </c>
      <c r="CG536" s="75">
        <f t="shared" si="38"/>
        <v>4387</v>
      </c>
      <c r="CH536" s="69" t="str">
        <f t="shared" si="37"/>
        <v>برنامج دولى</v>
      </c>
    </row>
    <row r="537" spans="1:86" x14ac:dyDescent="0.25">
      <c r="A537" s="148"/>
      <c r="B537" s="82">
        <v>4972</v>
      </c>
      <c r="C537" s="149">
        <v>4388</v>
      </c>
      <c r="D537" s="69" t="s">
        <v>78</v>
      </c>
      <c r="E537" s="69" t="s">
        <v>3271</v>
      </c>
      <c r="F537" s="63"/>
      <c r="G537" s="69">
        <v>22751.97</v>
      </c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  <c r="AE537" s="69"/>
      <c r="AF537" s="69"/>
      <c r="AG537" s="69"/>
      <c r="AH537" s="69"/>
      <c r="AI537" s="69"/>
      <c r="AJ537" s="69"/>
      <c r="AK537" s="69"/>
      <c r="AL537" s="69"/>
      <c r="AM537" s="69"/>
      <c r="AN537" s="69"/>
      <c r="AO537" s="69"/>
      <c r="AP537" s="69"/>
      <c r="AQ537" s="69"/>
      <c r="AR537" s="94">
        <f t="shared" si="26"/>
        <v>22751.97</v>
      </c>
      <c r="AS537" s="69">
        <v>17384.560000000001</v>
      </c>
      <c r="AT537" s="69">
        <v>964.7</v>
      </c>
      <c r="AU537" s="69">
        <v>4402.71</v>
      </c>
      <c r="AV537" s="69"/>
      <c r="AW537" s="69"/>
      <c r="AX537" s="69"/>
      <c r="AY537" s="69"/>
      <c r="AZ537" s="69"/>
      <c r="BA537" s="69"/>
      <c r="BB537" s="69"/>
      <c r="BC537" s="69"/>
      <c r="BD537" s="69"/>
      <c r="BE537" s="69"/>
      <c r="BF537" s="69"/>
      <c r="BG537" s="69"/>
      <c r="BH537" s="69"/>
      <c r="BI537" s="69"/>
      <c r="BJ537" s="69"/>
      <c r="BK537" s="69"/>
      <c r="BL537" s="69"/>
      <c r="BM537" s="69"/>
      <c r="BN537" s="69"/>
      <c r="BO537" s="69"/>
      <c r="BP537" s="69"/>
      <c r="BQ537" s="69"/>
      <c r="BR537" s="69"/>
      <c r="BS537" s="69"/>
      <c r="BT537" s="69"/>
      <c r="BU537" s="69"/>
      <c r="BV537" s="69"/>
      <c r="BW537" s="69"/>
      <c r="BX537" s="69"/>
      <c r="BY537" s="69"/>
      <c r="BZ537" s="69"/>
      <c r="CA537" s="69"/>
      <c r="CB537" s="69"/>
      <c r="CC537" s="69"/>
      <c r="CD537" s="69"/>
      <c r="CE537" s="94">
        <f t="shared" si="41"/>
        <v>22751.97</v>
      </c>
      <c r="CF537" s="151">
        <f t="shared" si="39"/>
        <v>0</v>
      </c>
      <c r="CG537" s="75">
        <f t="shared" si="38"/>
        <v>4388</v>
      </c>
      <c r="CH537" s="69" t="str">
        <f t="shared" si="37"/>
        <v>برنامج دولى</v>
      </c>
    </row>
    <row r="538" spans="1:86" ht="36" x14ac:dyDescent="0.25">
      <c r="A538" s="148"/>
      <c r="B538" s="82"/>
      <c r="C538" s="149">
        <v>4389</v>
      </c>
      <c r="D538" s="69"/>
      <c r="E538" s="77" t="s">
        <v>3272</v>
      </c>
      <c r="F538" s="63"/>
      <c r="G538" s="69">
        <v>0</v>
      </c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  <c r="AE538" s="69"/>
      <c r="AF538" s="69"/>
      <c r="AG538" s="69"/>
      <c r="AH538" s="69"/>
      <c r="AI538" s="69"/>
      <c r="AJ538" s="69"/>
      <c r="AK538" s="69"/>
      <c r="AL538" s="69"/>
      <c r="AM538" s="69"/>
      <c r="AN538" s="69"/>
      <c r="AO538" s="69"/>
      <c r="AP538" s="69"/>
      <c r="AQ538" s="69"/>
      <c r="AR538" s="94">
        <f t="shared" si="26"/>
        <v>0</v>
      </c>
      <c r="AS538" s="69">
        <v>0</v>
      </c>
      <c r="AT538" s="69"/>
      <c r="AU538" s="69"/>
      <c r="AV538" s="69"/>
      <c r="AW538" s="69"/>
      <c r="AX538" s="69"/>
      <c r="AY538" s="69"/>
      <c r="AZ538" s="69"/>
      <c r="BA538" s="69"/>
      <c r="BB538" s="69"/>
      <c r="BC538" s="69"/>
      <c r="BD538" s="69"/>
      <c r="BE538" s="69"/>
      <c r="BF538" s="69"/>
      <c r="BG538" s="69"/>
      <c r="BH538" s="69"/>
      <c r="BI538" s="69"/>
      <c r="BJ538" s="69"/>
      <c r="BK538" s="69"/>
      <c r="BL538" s="69"/>
      <c r="BM538" s="69"/>
      <c r="BN538" s="69"/>
      <c r="BO538" s="69"/>
      <c r="BP538" s="69"/>
      <c r="BQ538" s="69"/>
      <c r="BR538" s="69"/>
      <c r="BS538" s="69"/>
      <c r="BT538" s="69"/>
      <c r="BU538" s="69"/>
      <c r="BV538" s="69"/>
      <c r="BW538" s="69"/>
      <c r="BX538" s="69"/>
      <c r="BY538" s="69"/>
      <c r="BZ538" s="69"/>
      <c r="CA538" s="69"/>
      <c r="CB538" s="69"/>
      <c r="CC538" s="69"/>
      <c r="CD538" s="69"/>
      <c r="CE538" s="94">
        <f t="shared" ref="CE538:CE602" si="46">SUM(AS538:CD538)</f>
        <v>0</v>
      </c>
      <c r="CF538" s="151">
        <f t="shared" si="39"/>
        <v>0</v>
      </c>
      <c r="CG538" s="75">
        <f t="shared" si="38"/>
        <v>4389</v>
      </c>
      <c r="CH538" s="69">
        <f t="shared" si="37"/>
        <v>0</v>
      </c>
    </row>
    <row r="539" spans="1:86" ht="36" x14ac:dyDescent="0.25">
      <c r="A539" s="148"/>
      <c r="B539" s="82"/>
      <c r="C539" s="149">
        <v>4390</v>
      </c>
      <c r="D539" s="69"/>
      <c r="E539" s="77" t="s">
        <v>3273</v>
      </c>
      <c r="F539" s="63"/>
      <c r="G539" s="69">
        <v>0</v>
      </c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  <c r="AE539" s="69"/>
      <c r="AF539" s="69"/>
      <c r="AG539" s="69"/>
      <c r="AH539" s="69"/>
      <c r="AI539" s="69"/>
      <c r="AJ539" s="69"/>
      <c r="AK539" s="69"/>
      <c r="AL539" s="69"/>
      <c r="AM539" s="69"/>
      <c r="AN539" s="69"/>
      <c r="AO539" s="69"/>
      <c r="AP539" s="69"/>
      <c r="AQ539" s="69"/>
      <c r="AR539" s="94">
        <f t="shared" si="26"/>
        <v>0</v>
      </c>
      <c r="AS539" s="69">
        <v>0</v>
      </c>
      <c r="AT539" s="69"/>
      <c r="AU539" s="69"/>
      <c r="AV539" s="69"/>
      <c r="AW539" s="69"/>
      <c r="AX539" s="69"/>
      <c r="AY539" s="69"/>
      <c r="AZ539" s="69"/>
      <c r="BA539" s="69"/>
      <c r="BB539" s="69"/>
      <c r="BC539" s="69"/>
      <c r="BD539" s="69"/>
      <c r="BE539" s="69"/>
      <c r="BF539" s="69"/>
      <c r="BG539" s="69"/>
      <c r="BH539" s="69"/>
      <c r="BI539" s="69"/>
      <c r="BJ539" s="69"/>
      <c r="BK539" s="69"/>
      <c r="BL539" s="69"/>
      <c r="BM539" s="69"/>
      <c r="BN539" s="69"/>
      <c r="BO539" s="69"/>
      <c r="BP539" s="69"/>
      <c r="BQ539" s="69"/>
      <c r="BR539" s="69"/>
      <c r="BS539" s="69"/>
      <c r="BT539" s="69"/>
      <c r="BU539" s="69"/>
      <c r="BV539" s="69"/>
      <c r="BW539" s="69"/>
      <c r="BX539" s="69"/>
      <c r="BY539" s="69"/>
      <c r="BZ539" s="69"/>
      <c r="CA539" s="69"/>
      <c r="CB539" s="69"/>
      <c r="CC539" s="69"/>
      <c r="CD539" s="69"/>
      <c r="CE539" s="94">
        <f t="shared" si="46"/>
        <v>0</v>
      </c>
      <c r="CF539" s="151">
        <f t="shared" si="39"/>
        <v>0</v>
      </c>
      <c r="CG539" s="75">
        <f t="shared" si="38"/>
        <v>4390</v>
      </c>
      <c r="CH539" s="69">
        <f t="shared" si="38"/>
        <v>0</v>
      </c>
    </row>
    <row r="540" spans="1:86" x14ac:dyDescent="0.25">
      <c r="A540" s="148"/>
      <c r="B540" s="82">
        <v>4971</v>
      </c>
      <c r="C540" s="149">
        <v>4391</v>
      </c>
      <c r="D540" s="69" t="str">
        <f>+D537</f>
        <v>برنامج دولى</v>
      </c>
      <c r="E540" s="69" t="str">
        <f>+E537</f>
        <v>مكافاه شفوى من يناير حتى يونيه</v>
      </c>
      <c r="F540" s="63"/>
      <c r="G540" s="69">
        <v>488.94</v>
      </c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  <c r="AE540" s="69"/>
      <c r="AF540" s="69"/>
      <c r="AG540" s="69"/>
      <c r="AH540" s="69"/>
      <c r="AI540" s="69"/>
      <c r="AJ540" s="69"/>
      <c r="AK540" s="69"/>
      <c r="AL540" s="69"/>
      <c r="AM540" s="69"/>
      <c r="AN540" s="69"/>
      <c r="AO540" s="69"/>
      <c r="AP540" s="69"/>
      <c r="AQ540" s="69"/>
      <c r="AR540" s="94">
        <f t="shared" si="26"/>
        <v>488.94</v>
      </c>
      <c r="AS540" s="69">
        <v>360.22</v>
      </c>
      <c r="AT540" s="69">
        <v>10.94</v>
      </c>
      <c r="AU540" s="69">
        <v>117.78</v>
      </c>
      <c r="AV540" s="69"/>
      <c r="AW540" s="69"/>
      <c r="AX540" s="69"/>
      <c r="AY540" s="69"/>
      <c r="AZ540" s="69"/>
      <c r="BA540" s="69"/>
      <c r="BB540" s="69"/>
      <c r="BC540" s="69"/>
      <c r="BD540" s="69"/>
      <c r="BE540" s="69"/>
      <c r="BF540" s="69"/>
      <c r="BG540" s="69"/>
      <c r="BH540" s="69"/>
      <c r="BI540" s="69"/>
      <c r="BJ540" s="69"/>
      <c r="BK540" s="69"/>
      <c r="BL540" s="69"/>
      <c r="BM540" s="69"/>
      <c r="BN540" s="69"/>
      <c r="BO540" s="69"/>
      <c r="BP540" s="69"/>
      <c r="BQ540" s="69"/>
      <c r="BR540" s="69"/>
      <c r="BS540" s="69"/>
      <c r="BT540" s="69"/>
      <c r="BU540" s="69"/>
      <c r="BV540" s="69"/>
      <c r="BW540" s="69"/>
      <c r="BX540" s="69"/>
      <c r="BY540" s="69"/>
      <c r="BZ540" s="69"/>
      <c r="CA540" s="69"/>
      <c r="CB540" s="69"/>
      <c r="CC540" s="69"/>
      <c r="CD540" s="69"/>
      <c r="CE540" s="94">
        <f t="shared" si="46"/>
        <v>488.94000000000005</v>
      </c>
      <c r="CF540" s="151">
        <f t="shared" si="39"/>
        <v>0</v>
      </c>
      <c r="CG540" s="75">
        <f t="shared" ref="CG540:CH604" si="47">+C540</f>
        <v>4391</v>
      </c>
      <c r="CH540" s="69" t="str">
        <f t="shared" si="47"/>
        <v>برنامج دولى</v>
      </c>
    </row>
    <row r="541" spans="1:86" x14ac:dyDescent="0.25">
      <c r="A541" s="148"/>
      <c r="B541" s="82">
        <v>4970</v>
      </c>
      <c r="C541" s="149">
        <v>4392</v>
      </c>
      <c r="D541" s="69" t="str">
        <f>+D540</f>
        <v>برنامج دولى</v>
      </c>
      <c r="E541" s="69" t="str">
        <f>+E540</f>
        <v>مكافاه شفوى من يناير حتى يونيه</v>
      </c>
      <c r="F541" s="63"/>
      <c r="G541" s="69">
        <v>6047.44</v>
      </c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  <c r="AE541" s="69"/>
      <c r="AF541" s="69"/>
      <c r="AG541" s="69"/>
      <c r="AH541" s="69"/>
      <c r="AI541" s="69"/>
      <c r="AJ541" s="69"/>
      <c r="AK541" s="69"/>
      <c r="AL541" s="69"/>
      <c r="AM541" s="69"/>
      <c r="AN541" s="69"/>
      <c r="AO541" s="69"/>
      <c r="AP541" s="69"/>
      <c r="AQ541" s="69"/>
      <c r="AR541" s="94">
        <f t="shared" si="26"/>
        <v>6047.44</v>
      </c>
      <c r="AS541" s="69">
        <v>4469.82</v>
      </c>
      <c r="AT541" s="69">
        <v>152.12</v>
      </c>
      <c r="AU541" s="69">
        <v>1425.5</v>
      </c>
      <c r="AV541" s="69"/>
      <c r="AW541" s="69"/>
      <c r="AX541" s="69"/>
      <c r="AY541" s="69"/>
      <c r="AZ541" s="69"/>
      <c r="BA541" s="69"/>
      <c r="BB541" s="69"/>
      <c r="BC541" s="69"/>
      <c r="BD541" s="69"/>
      <c r="BE541" s="69"/>
      <c r="BF541" s="69"/>
      <c r="BG541" s="69"/>
      <c r="BH541" s="69"/>
      <c r="BI541" s="69"/>
      <c r="BJ541" s="69"/>
      <c r="BK541" s="69"/>
      <c r="BL541" s="69"/>
      <c r="BM541" s="69"/>
      <c r="BN541" s="69"/>
      <c r="BO541" s="69"/>
      <c r="BP541" s="69"/>
      <c r="BQ541" s="69"/>
      <c r="BR541" s="69"/>
      <c r="BS541" s="69"/>
      <c r="BT541" s="69"/>
      <c r="BU541" s="69"/>
      <c r="BV541" s="69"/>
      <c r="BW541" s="69"/>
      <c r="BX541" s="69"/>
      <c r="BY541" s="69"/>
      <c r="BZ541" s="69"/>
      <c r="CA541" s="69"/>
      <c r="CB541" s="69"/>
      <c r="CC541" s="69"/>
      <c r="CD541" s="69"/>
      <c r="CE541" s="94">
        <f t="shared" si="46"/>
        <v>6047.44</v>
      </c>
      <c r="CF541" s="151">
        <f t="shared" ref="CF541:CF605" si="48">+CE541-AR541</f>
        <v>0</v>
      </c>
      <c r="CG541" s="75">
        <f t="shared" si="47"/>
        <v>4392</v>
      </c>
      <c r="CH541" s="69" t="str">
        <f t="shared" si="47"/>
        <v>برنامج دولى</v>
      </c>
    </row>
    <row r="542" spans="1:86" x14ac:dyDescent="0.25">
      <c r="A542" s="148"/>
      <c r="B542" s="82">
        <v>8538</v>
      </c>
      <c r="C542" s="149">
        <v>4393</v>
      </c>
      <c r="D542" s="69" t="s">
        <v>121</v>
      </c>
      <c r="E542" s="69" t="s">
        <v>3274</v>
      </c>
      <c r="F542" s="63"/>
      <c r="G542" s="69">
        <v>51564.68</v>
      </c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  <c r="AE542" s="69"/>
      <c r="AF542" s="69"/>
      <c r="AG542" s="69"/>
      <c r="AH542" s="69"/>
      <c r="AI542" s="69"/>
      <c r="AJ542" s="69"/>
      <c r="AK542" s="69"/>
      <c r="AL542" s="69"/>
      <c r="AM542" s="69"/>
      <c r="AN542" s="69"/>
      <c r="AO542" s="69"/>
      <c r="AP542" s="69"/>
      <c r="AQ542" s="69"/>
      <c r="AR542" s="94">
        <f t="shared" si="26"/>
        <v>51564.68</v>
      </c>
      <c r="AS542" s="69">
        <v>41658.559999999998</v>
      </c>
      <c r="AT542" s="69">
        <v>5214.7</v>
      </c>
      <c r="AU542" s="69">
        <v>4691.42</v>
      </c>
      <c r="AV542" s="69"/>
      <c r="AW542" s="69"/>
      <c r="AX542" s="69"/>
      <c r="AY542" s="69"/>
      <c r="AZ542" s="69"/>
      <c r="BA542" s="69"/>
      <c r="BB542" s="69"/>
      <c r="BC542" s="69"/>
      <c r="BD542" s="69"/>
      <c r="BE542" s="69"/>
      <c r="BF542" s="69"/>
      <c r="BG542" s="69"/>
      <c r="BH542" s="69"/>
      <c r="BI542" s="69"/>
      <c r="BJ542" s="69"/>
      <c r="BK542" s="69"/>
      <c r="BL542" s="69"/>
      <c r="BM542" s="69"/>
      <c r="BN542" s="69"/>
      <c r="BO542" s="69"/>
      <c r="BP542" s="69"/>
      <c r="BQ542" s="69"/>
      <c r="BR542" s="69"/>
      <c r="BS542" s="69"/>
      <c r="BT542" s="69"/>
      <c r="BU542" s="69"/>
      <c r="BV542" s="69"/>
      <c r="BW542" s="69"/>
      <c r="BX542" s="69"/>
      <c r="BY542" s="69"/>
      <c r="BZ542" s="69"/>
      <c r="CA542" s="69"/>
      <c r="CB542" s="69"/>
      <c r="CC542" s="69"/>
      <c r="CD542" s="69"/>
      <c r="CE542" s="94">
        <f t="shared" si="46"/>
        <v>51564.679999999993</v>
      </c>
      <c r="CF542" s="151">
        <f t="shared" si="48"/>
        <v>0</v>
      </c>
      <c r="CG542" s="75">
        <f t="shared" si="47"/>
        <v>4393</v>
      </c>
      <c r="CH542" s="69" t="str">
        <f t="shared" si="47"/>
        <v>ماليزى اسنان</v>
      </c>
    </row>
    <row r="543" spans="1:86" x14ac:dyDescent="0.25">
      <c r="A543" s="148"/>
      <c r="B543" s="82">
        <v>8516</v>
      </c>
      <c r="C543" s="149">
        <v>4394</v>
      </c>
      <c r="D543" s="69" t="s">
        <v>121</v>
      </c>
      <c r="E543" s="69" t="s">
        <v>3275</v>
      </c>
      <c r="F543" s="63"/>
      <c r="G543" s="69">
        <v>69000</v>
      </c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  <c r="AE543" s="69"/>
      <c r="AF543" s="69"/>
      <c r="AG543" s="69"/>
      <c r="AH543" s="69"/>
      <c r="AI543" s="69"/>
      <c r="AJ543" s="69"/>
      <c r="AK543" s="69"/>
      <c r="AL543" s="69"/>
      <c r="AM543" s="69"/>
      <c r="AN543" s="69"/>
      <c r="AO543" s="69"/>
      <c r="AP543" s="69"/>
      <c r="AQ543" s="69"/>
      <c r="AR543" s="94">
        <f t="shared" si="26"/>
        <v>69000</v>
      </c>
      <c r="AS543" s="69">
        <v>61645</v>
      </c>
      <c r="AT543" s="69">
        <v>7355</v>
      </c>
      <c r="AU543" s="69"/>
      <c r="AV543" s="69"/>
      <c r="AW543" s="69"/>
      <c r="AX543" s="69"/>
      <c r="AY543" s="69"/>
      <c r="AZ543" s="69"/>
      <c r="BA543" s="69"/>
      <c r="BB543" s="69"/>
      <c r="BC543" s="69"/>
      <c r="BD543" s="69"/>
      <c r="BE543" s="69"/>
      <c r="BF543" s="69"/>
      <c r="BG543" s="69"/>
      <c r="BH543" s="69"/>
      <c r="BI543" s="69"/>
      <c r="BJ543" s="69"/>
      <c r="BK543" s="69"/>
      <c r="BL543" s="69"/>
      <c r="BM543" s="69"/>
      <c r="BN543" s="69"/>
      <c r="BO543" s="69"/>
      <c r="BP543" s="69"/>
      <c r="BQ543" s="69"/>
      <c r="BR543" s="69"/>
      <c r="BS543" s="69"/>
      <c r="BT543" s="69"/>
      <c r="BU543" s="69"/>
      <c r="BV543" s="69"/>
      <c r="BW543" s="69"/>
      <c r="BX543" s="69"/>
      <c r="BY543" s="69"/>
      <c r="BZ543" s="69"/>
      <c r="CA543" s="69"/>
      <c r="CB543" s="69"/>
      <c r="CC543" s="69"/>
      <c r="CD543" s="69"/>
      <c r="CE543" s="94">
        <f t="shared" si="46"/>
        <v>69000</v>
      </c>
      <c r="CF543" s="151">
        <f t="shared" si="48"/>
        <v>0</v>
      </c>
      <c r="CG543" s="75">
        <f t="shared" si="47"/>
        <v>4394</v>
      </c>
      <c r="CH543" s="69" t="str">
        <f t="shared" si="47"/>
        <v>ماليزى اسنان</v>
      </c>
    </row>
    <row r="544" spans="1:86" x14ac:dyDescent="0.25">
      <c r="A544" s="148"/>
      <c r="B544" s="82">
        <v>8517</v>
      </c>
      <c r="C544" s="149">
        <v>4395</v>
      </c>
      <c r="D544" s="69" t="s">
        <v>121</v>
      </c>
      <c r="E544" s="69" t="s">
        <v>3275</v>
      </c>
      <c r="F544" s="63"/>
      <c r="G544" s="69">
        <v>7500</v>
      </c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  <c r="AE544" s="69"/>
      <c r="AF544" s="69"/>
      <c r="AG544" s="69"/>
      <c r="AH544" s="69"/>
      <c r="AI544" s="69"/>
      <c r="AJ544" s="69"/>
      <c r="AK544" s="69"/>
      <c r="AL544" s="69"/>
      <c r="AM544" s="69"/>
      <c r="AN544" s="69"/>
      <c r="AO544" s="69"/>
      <c r="AP544" s="69"/>
      <c r="AQ544" s="69"/>
      <c r="AR544" s="94">
        <f t="shared" si="26"/>
        <v>7500</v>
      </c>
      <c r="AS544" s="69">
        <v>6690.4</v>
      </c>
      <c r="AT544" s="69">
        <v>809.6</v>
      </c>
      <c r="AU544" s="69"/>
      <c r="AV544" s="69"/>
      <c r="AW544" s="69"/>
      <c r="AX544" s="69"/>
      <c r="AY544" s="69"/>
      <c r="AZ544" s="69"/>
      <c r="BA544" s="69"/>
      <c r="BB544" s="69"/>
      <c r="BC544" s="69"/>
      <c r="BD544" s="69"/>
      <c r="BE544" s="69"/>
      <c r="BF544" s="69"/>
      <c r="BG544" s="69"/>
      <c r="BH544" s="69"/>
      <c r="BI544" s="69"/>
      <c r="BJ544" s="69"/>
      <c r="BK544" s="69"/>
      <c r="BL544" s="69"/>
      <c r="BM544" s="69"/>
      <c r="BN544" s="69"/>
      <c r="BO544" s="69"/>
      <c r="BP544" s="69"/>
      <c r="BQ544" s="69"/>
      <c r="BR544" s="69"/>
      <c r="BS544" s="69"/>
      <c r="BT544" s="69"/>
      <c r="BU544" s="69"/>
      <c r="BV544" s="69"/>
      <c r="BW544" s="69"/>
      <c r="BX544" s="69"/>
      <c r="BY544" s="69"/>
      <c r="BZ544" s="69"/>
      <c r="CA544" s="69"/>
      <c r="CB544" s="69"/>
      <c r="CC544" s="69"/>
      <c r="CD544" s="69"/>
      <c r="CE544" s="94">
        <f t="shared" si="46"/>
        <v>7500</v>
      </c>
      <c r="CF544" s="151">
        <f t="shared" si="48"/>
        <v>0</v>
      </c>
      <c r="CG544" s="75">
        <f t="shared" si="47"/>
        <v>4395</v>
      </c>
      <c r="CH544" s="69" t="str">
        <f t="shared" si="47"/>
        <v>ماليزى اسنان</v>
      </c>
    </row>
    <row r="545" spans="1:86" x14ac:dyDescent="0.25">
      <c r="A545" s="148"/>
      <c r="B545" s="82">
        <v>8520</v>
      </c>
      <c r="C545" s="149">
        <v>4396</v>
      </c>
      <c r="D545" s="69" t="s">
        <v>121</v>
      </c>
      <c r="E545" s="69" t="s">
        <v>3276</v>
      </c>
      <c r="F545" s="63"/>
      <c r="G545" s="69">
        <v>11169.4</v>
      </c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  <c r="AE545" s="69"/>
      <c r="AF545" s="69"/>
      <c r="AG545" s="69"/>
      <c r="AH545" s="69"/>
      <c r="AI545" s="69"/>
      <c r="AJ545" s="69"/>
      <c r="AK545" s="69"/>
      <c r="AL545" s="69"/>
      <c r="AM545" s="69"/>
      <c r="AN545" s="69"/>
      <c r="AO545" s="69"/>
      <c r="AP545" s="69"/>
      <c r="AQ545" s="69"/>
      <c r="AR545" s="94">
        <f t="shared" si="26"/>
        <v>11169.4</v>
      </c>
      <c r="AS545" s="69">
        <v>9711.68</v>
      </c>
      <c r="AT545" s="69">
        <v>1180.3</v>
      </c>
      <c r="AU545" s="69">
        <v>277.42</v>
      </c>
      <c r="AV545" s="69"/>
      <c r="AW545" s="69"/>
      <c r="AX545" s="69"/>
      <c r="AY545" s="69"/>
      <c r="AZ545" s="69"/>
      <c r="BA545" s="69"/>
      <c r="BB545" s="69"/>
      <c r="BC545" s="69"/>
      <c r="BD545" s="69"/>
      <c r="BE545" s="69"/>
      <c r="BF545" s="69"/>
      <c r="BG545" s="69"/>
      <c r="BH545" s="69"/>
      <c r="BI545" s="69"/>
      <c r="BJ545" s="69"/>
      <c r="BK545" s="69"/>
      <c r="BL545" s="69"/>
      <c r="BM545" s="69"/>
      <c r="BN545" s="69"/>
      <c r="BO545" s="69"/>
      <c r="BP545" s="69"/>
      <c r="BQ545" s="69"/>
      <c r="BR545" s="69"/>
      <c r="BS545" s="69"/>
      <c r="BT545" s="69"/>
      <c r="BU545" s="69"/>
      <c r="BV545" s="69"/>
      <c r="BW545" s="69"/>
      <c r="BX545" s="69"/>
      <c r="BY545" s="69"/>
      <c r="BZ545" s="69"/>
      <c r="CA545" s="69"/>
      <c r="CB545" s="69"/>
      <c r="CC545" s="69"/>
      <c r="CD545" s="69"/>
      <c r="CE545" s="94">
        <f t="shared" si="46"/>
        <v>11169.4</v>
      </c>
      <c r="CF545" s="151">
        <f t="shared" si="48"/>
        <v>0</v>
      </c>
      <c r="CG545" s="75">
        <f t="shared" si="47"/>
        <v>4396</v>
      </c>
      <c r="CH545" s="69" t="str">
        <f t="shared" si="47"/>
        <v>ماليزى اسنان</v>
      </c>
    </row>
    <row r="546" spans="1:86" x14ac:dyDescent="0.25">
      <c r="A546" s="148"/>
      <c r="B546" s="82">
        <v>8521</v>
      </c>
      <c r="C546" s="149">
        <v>4397</v>
      </c>
      <c r="D546" s="69" t="s">
        <v>121</v>
      </c>
      <c r="E546" s="69" t="s">
        <v>3276</v>
      </c>
      <c r="F546" s="63"/>
      <c r="G546" s="69">
        <v>6000</v>
      </c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  <c r="AE546" s="69"/>
      <c r="AF546" s="69"/>
      <c r="AG546" s="69"/>
      <c r="AH546" s="69"/>
      <c r="AI546" s="69"/>
      <c r="AJ546" s="69"/>
      <c r="AK546" s="69"/>
      <c r="AL546" s="69"/>
      <c r="AM546" s="69"/>
      <c r="AN546" s="69"/>
      <c r="AO546" s="69"/>
      <c r="AP546" s="69"/>
      <c r="AQ546" s="69"/>
      <c r="AR546" s="94">
        <f t="shared" si="26"/>
        <v>6000</v>
      </c>
      <c r="AS546" s="69">
        <v>5355.7</v>
      </c>
      <c r="AT546" s="69">
        <v>644.29999999999995</v>
      </c>
      <c r="AU546" s="69"/>
      <c r="AV546" s="69"/>
      <c r="AW546" s="69"/>
      <c r="AX546" s="69"/>
      <c r="AY546" s="69"/>
      <c r="AZ546" s="69"/>
      <c r="BA546" s="69"/>
      <c r="BB546" s="69"/>
      <c r="BC546" s="69"/>
      <c r="BD546" s="69"/>
      <c r="BE546" s="69"/>
      <c r="BF546" s="69"/>
      <c r="BG546" s="69"/>
      <c r="BH546" s="69"/>
      <c r="BI546" s="69"/>
      <c r="BJ546" s="69"/>
      <c r="BK546" s="69"/>
      <c r="BL546" s="69"/>
      <c r="BM546" s="69"/>
      <c r="BN546" s="69"/>
      <c r="BO546" s="69"/>
      <c r="BP546" s="69"/>
      <c r="BQ546" s="69"/>
      <c r="BR546" s="69"/>
      <c r="BS546" s="69"/>
      <c r="BT546" s="69"/>
      <c r="BU546" s="69"/>
      <c r="BV546" s="69"/>
      <c r="BW546" s="69"/>
      <c r="BX546" s="69"/>
      <c r="BY546" s="69"/>
      <c r="BZ546" s="69"/>
      <c r="CA546" s="69"/>
      <c r="CB546" s="69"/>
      <c r="CC546" s="69"/>
      <c r="CD546" s="69"/>
      <c r="CE546" s="94">
        <f t="shared" si="46"/>
        <v>6000</v>
      </c>
      <c r="CF546" s="151">
        <f t="shared" si="48"/>
        <v>0</v>
      </c>
      <c r="CG546" s="75">
        <f t="shared" si="47"/>
        <v>4397</v>
      </c>
      <c r="CH546" s="69" t="str">
        <f t="shared" si="47"/>
        <v>ماليزى اسنان</v>
      </c>
    </row>
    <row r="547" spans="1:86" x14ac:dyDescent="0.25">
      <c r="A547" s="148"/>
      <c r="B547" s="82">
        <v>8522</v>
      </c>
      <c r="C547" s="149">
        <v>4398</v>
      </c>
      <c r="D547" s="69" t="s">
        <v>121</v>
      </c>
      <c r="E547" s="69" t="s">
        <v>3276</v>
      </c>
      <c r="F547" s="63"/>
      <c r="G547" s="69">
        <v>12000</v>
      </c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  <c r="AE547" s="69"/>
      <c r="AF547" s="69"/>
      <c r="AG547" s="69"/>
      <c r="AH547" s="69"/>
      <c r="AI547" s="69"/>
      <c r="AJ547" s="69"/>
      <c r="AK547" s="69"/>
      <c r="AL547" s="69"/>
      <c r="AM547" s="69"/>
      <c r="AN547" s="69"/>
      <c r="AO547" s="69"/>
      <c r="AP547" s="69"/>
      <c r="AQ547" s="69"/>
      <c r="AR547" s="94">
        <f t="shared" si="26"/>
        <v>12000</v>
      </c>
      <c r="AS547" s="69">
        <v>10711.4</v>
      </c>
      <c r="AT547" s="69">
        <v>1288.5999999999999</v>
      </c>
      <c r="AU547" s="69"/>
      <c r="AV547" s="69"/>
      <c r="AW547" s="69"/>
      <c r="AX547" s="69"/>
      <c r="AY547" s="69"/>
      <c r="AZ547" s="69"/>
      <c r="BA547" s="69"/>
      <c r="BB547" s="69"/>
      <c r="BC547" s="69"/>
      <c r="BD547" s="69"/>
      <c r="BE547" s="69"/>
      <c r="BF547" s="69"/>
      <c r="BG547" s="69"/>
      <c r="BH547" s="69"/>
      <c r="BI547" s="69"/>
      <c r="BJ547" s="69"/>
      <c r="BK547" s="69"/>
      <c r="BL547" s="69"/>
      <c r="BM547" s="69"/>
      <c r="BN547" s="69"/>
      <c r="BO547" s="69"/>
      <c r="BP547" s="69"/>
      <c r="BQ547" s="69"/>
      <c r="BR547" s="69"/>
      <c r="BS547" s="69"/>
      <c r="BT547" s="69"/>
      <c r="BU547" s="69"/>
      <c r="BV547" s="69"/>
      <c r="BW547" s="69"/>
      <c r="BX547" s="69"/>
      <c r="BY547" s="69"/>
      <c r="BZ547" s="69"/>
      <c r="CA547" s="69"/>
      <c r="CB547" s="69"/>
      <c r="CC547" s="69"/>
      <c r="CD547" s="69"/>
      <c r="CE547" s="94">
        <f t="shared" si="46"/>
        <v>12000</v>
      </c>
      <c r="CF547" s="151">
        <f t="shared" si="48"/>
        <v>0</v>
      </c>
      <c r="CG547" s="75">
        <f t="shared" si="47"/>
        <v>4398</v>
      </c>
      <c r="CH547" s="69" t="str">
        <f t="shared" si="47"/>
        <v>ماليزى اسنان</v>
      </c>
    </row>
    <row r="548" spans="1:86" x14ac:dyDescent="0.25">
      <c r="A548" s="148"/>
      <c r="B548" s="82">
        <v>8532</v>
      </c>
      <c r="C548" s="149">
        <v>4399</v>
      </c>
      <c r="D548" s="69" t="s">
        <v>121</v>
      </c>
      <c r="E548" s="69" t="s">
        <v>3277</v>
      </c>
      <c r="F548" s="63"/>
      <c r="G548" s="69">
        <v>3972.12</v>
      </c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  <c r="AE548" s="69"/>
      <c r="AF548" s="69"/>
      <c r="AG548" s="69"/>
      <c r="AH548" s="69"/>
      <c r="AI548" s="69"/>
      <c r="AJ548" s="69"/>
      <c r="AK548" s="69"/>
      <c r="AL548" s="69"/>
      <c r="AM548" s="69"/>
      <c r="AN548" s="69"/>
      <c r="AO548" s="69"/>
      <c r="AP548" s="69"/>
      <c r="AQ548" s="69"/>
      <c r="AR548" s="94">
        <f t="shared" si="26"/>
        <v>3972.12</v>
      </c>
      <c r="AS548" s="69">
        <v>2825.29</v>
      </c>
      <c r="AT548" s="69">
        <v>373.65</v>
      </c>
      <c r="AU548" s="69">
        <v>773.18</v>
      </c>
      <c r="AV548" s="69"/>
      <c r="AW548" s="69"/>
      <c r="AX548" s="69"/>
      <c r="AY548" s="69"/>
      <c r="AZ548" s="69"/>
      <c r="BA548" s="69"/>
      <c r="BB548" s="69"/>
      <c r="BC548" s="69"/>
      <c r="BD548" s="69"/>
      <c r="BE548" s="69"/>
      <c r="BF548" s="69"/>
      <c r="BG548" s="69"/>
      <c r="BH548" s="69"/>
      <c r="BI548" s="69"/>
      <c r="BJ548" s="69"/>
      <c r="BK548" s="69"/>
      <c r="BL548" s="69"/>
      <c r="BM548" s="69"/>
      <c r="BN548" s="69"/>
      <c r="BO548" s="69"/>
      <c r="BP548" s="69"/>
      <c r="BQ548" s="69"/>
      <c r="BR548" s="69"/>
      <c r="BS548" s="69"/>
      <c r="BT548" s="69"/>
      <c r="BU548" s="69"/>
      <c r="BV548" s="69"/>
      <c r="BW548" s="69"/>
      <c r="BX548" s="69"/>
      <c r="BY548" s="69"/>
      <c r="BZ548" s="69"/>
      <c r="CA548" s="69"/>
      <c r="CB548" s="69"/>
      <c r="CC548" s="69"/>
      <c r="CD548" s="69"/>
      <c r="CE548" s="94">
        <f t="shared" si="46"/>
        <v>3972.12</v>
      </c>
      <c r="CF548" s="151">
        <f t="shared" si="48"/>
        <v>0</v>
      </c>
      <c r="CG548" s="75">
        <f t="shared" si="47"/>
        <v>4399</v>
      </c>
      <c r="CH548" s="69" t="str">
        <f t="shared" si="47"/>
        <v>ماليزى اسنان</v>
      </c>
    </row>
    <row r="549" spans="1:86" x14ac:dyDescent="0.25">
      <c r="A549" s="148"/>
      <c r="B549" s="82">
        <v>8533</v>
      </c>
      <c r="C549" s="149">
        <v>4400</v>
      </c>
      <c r="D549" s="69" t="s">
        <v>121</v>
      </c>
      <c r="E549" s="69" t="s">
        <v>3277</v>
      </c>
      <c r="F549" s="63"/>
      <c r="G549" s="69">
        <v>13903.95</v>
      </c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  <c r="AE549" s="69"/>
      <c r="AF549" s="69"/>
      <c r="AG549" s="69"/>
      <c r="AH549" s="69"/>
      <c r="AI549" s="69"/>
      <c r="AJ549" s="69"/>
      <c r="AK549" s="69"/>
      <c r="AL549" s="69"/>
      <c r="AM549" s="69"/>
      <c r="AN549" s="69"/>
      <c r="AO549" s="69"/>
      <c r="AP549" s="69"/>
      <c r="AQ549" s="69"/>
      <c r="AR549" s="94">
        <f t="shared" si="26"/>
        <v>13903.95</v>
      </c>
      <c r="AS549" s="69">
        <v>12252.16</v>
      </c>
      <c r="AT549" s="69">
        <v>1481.55</v>
      </c>
      <c r="AU549" s="69">
        <v>170.24</v>
      </c>
      <c r="AV549" s="69"/>
      <c r="AW549" s="69"/>
      <c r="AX549" s="69"/>
      <c r="AY549" s="69"/>
      <c r="AZ549" s="69"/>
      <c r="BA549" s="69"/>
      <c r="BB549" s="69"/>
      <c r="BC549" s="69"/>
      <c r="BD549" s="69"/>
      <c r="BE549" s="69"/>
      <c r="BF549" s="69"/>
      <c r="BG549" s="69"/>
      <c r="BH549" s="69"/>
      <c r="BI549" s="69"/>
      <c r="BJ549" s="69"/>
      <c r="BK549" s="69"/>
      <c r="BL549" s="69"/>
      <c r="BM549" s="69"/>
      <c r="BN549" s="69"/>
      <c r="BO549" s="69"/>
      <c r="BP549" s="69"/>
      <c r="BQ549" s="69"/>
      <c r="BR549" s="69"/>
      <c r="BS549" s="69"/>
      <c r="BT549" s="69"/>
      <c r="BU549" s="69"/>
      <c r="BV549" s="69"/>
      <c r="BW549" s="69"/>
      <c r="BX549" s="69"/>
      <c r="BY549" s="69"/>
      <c r="BZ549" s="69"/>
      <c r="CA549" s="69"/>
      <c r="CB549" s="69"/>
      <c r="CC549" s="69"/>
      <c r="CD549" s="69"/>
      <c r="CE549" s="94">
        <f t="shared" si="46"/>
        <v>13903.949999999999</v>
      </c>
      <c r="CF549" s="151">
        <f t="shared" si="48"/>
        <v>0</v>
      </c>
      <c r="CG549" s="75">
        <f t="shared" si="47"/>
        <v>4400</v>
      </c>
      <c r="CH549" s="69" t="str">
        <f t="shared" si="47"/>
        <v>ماليزى اسنان</v>
      </c>
    </row>
    <row r="550" spans="1:86" x14ac:dyDescent="0.25">
      <c r="A550" s="148"/>
      <c r="B550" s="82">
        <v>8534</v>
      </c>
      <c r="C550" s="149">
        <v>4401</v>
      </c>
      <c r="D550" s="69" t="s">
        <v>121</v>
      </c>
      <c r="E550" s="69" t="s">
        <v>3277</v>
      </c>
      <c r="F550" s="63"/>
      <c r="G550" s="69">
        <v>6900</v>
      </c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  <c r="AE550" s="69"/>
      <c r="AF550" s="69"/>
      <c r="AG550" s="69"/>
      <c r="AH550" s="69"/>
      <c r="AI550" s="69"/>
      <c r="AJ550" s="69"/>
      <c r="AK550" s="69"/>
      <c r="AL550" s="69"/>
      <c r="AM550" s="69"/>
      <c r="AN550" s="69"/>
      <c r="AO550" s="69"/>
      <c r="AP550" s="69"/>
      <c r="AQ550" s="69"/>
      <c r="AR550" s="94">
        <f t="shared" si="26"/>
        <v>6900</v>
      </c>
      <c r="AS550" s="69">
        <v>6158.95</v>
      </c>
      <c r="AT550" s="69">
        <v>741.05</v>
      </c>
      <c r="AU550" s="69"/>
      <c r="AV550" s="69"/>
      <c r="AW550" s="69"/>
      <c r="AX550" s="69"/>
      <c r="AY550" s="69"/>
      <c r="AZ550" s="69"/>
      <c r="BA550" s="69"/>
      <c r="BB550" s="69"/>
      <c r="BC550" s="69"/>
      <c r="BD550" s="69"/>
      <c r="BE550" s="69"/>
      <c r="BF550" s="69"/>
      <c r="BG550" s="69"/>
      <c r="BH550" s="69"/>
      <c r="BI550" s="69"/>
      <c r="BJ550" s="69"/>
      <c r="BK550" s="69"/>
      <c r="BL550" s="69"/>
      <c r="BM550" s="69"/>
      <c r="BN550" s="69"/>
      <c r="BO550" s="69"/>
      <c r="BP550" s="69"/>
      <c r="BQ550" s="69"/>
      <c r="BR550" s="69"/>
      <c r="BS550" s="69"/>
      <c r="BT550" s="69"/>
      <c r="BU550" s="69"/>
      <c r="BV550" s="69"/>
      <c r="BW550" s="69"/>
      <c r="BX550" s="69"/>
      <c r="BY550" s="69"/>
      <c r="BZ550" s="69"/>
      <c r="CA550" s="69"/>
      <c r="CB550" s="69"/>
      <c r="CC550" s="69"/>
      <c r="CD550" s="69"/>
      <c r="CE550" s="94">
        <f t="shared" si="46"/>
        <v>6900</v>
      </c>
      <c r="CF550" s="151">
        <f t="shared" si="48"/>
        <v>0</v>
      </c>
      <c r="CG550" s="75">
        <f t="shared" si="47"/>
        <v>4401</v>
      </c>
      <c r="CH550" s="69" t="str">
        <f t="shared" si="47"/>
        <v>ماليزى اسنان</v>
      </c>
    </row>
    <row r="551" spans="1:86" x14ac:dyDescent="0.25">
      <c r="A551" s="148"/>
      <c r="B551" s="82">
        <v>8525</v>
      </c>
      <c r="C551" s="149">
        <v>4402</v>
      </c>
      <c r="D551" s="69" t="s">
        <v>121</v>
      </c>
      <c r="E551" s="69" t="s">
        <v>3278</v>
      </c>
      <c r="F551" s="63"/>
      <c r="G551" s="69">
        <v>938</v>
      </c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  <c r="AE551" s="69"/>
      <c r="AF551" s="69"/>
      <c r="AG551" s="69"/>
      <c r="AH551" s="69"/>
      <c r="AI551" s="69"/>
      <c r="AJ551" s="69"/>
      <c r="AK551" s="69"/>
      <c r="AL551" s="69"/>
      <c r="AM551" s="69"/>
      <c r="AN551" s="69"/>
      <c r="AO551" s="69"/>
      <c r="AP551" s="69"/>
      <c r="AQ551" s="69"/>
      <c r="AR551" s="94">
        <f t="shared" si="26"/>
        <v>938</v>
      </c>
      <c r="AS551" s="69">
        <v>627.35</v>
      </c>
      <c r="AT551" s="69">
        <v>84.65</v>
      </c>
      <c r="AU551" s="69">
        <v>226</v>
      </c>
      <c r="AV551" s="69"/>
      <c r="AW551" s="69"/>
      <c r="AX551" s="69"/>
      <c r="AY551" s="69"/>
      <c r="AZ551" s="69"/>
      <c r="BA551" s="69"/>
      <c r="BB551" s="69"/>
      <c r="BC551" s="69"/>
      <c r="BD551" s="69"/>
      <c r="BE551" s="69"/>
      <c r="BF551" s="69"/>
      <c r="BG551" s="69"/>
      <c r="BH551" s="69"/>
      <c r="BI551" s="69"/>
      <c r="BJ551" s="69"/>
      <c r="BK551" s="69"/>
      <c r="BL551" s="69"/>
      <c r="BM551" s="69"/>
      <c r="BN551" s="69"/>
      <c r="BO551" s="69"/>
      <c r="BP551" s="69"/>
      <c r="BQ551" s="69"/>
      <c r="BR551" s="69"/>
      <c r="BS551" s="69"/>
      <c r="BT551" s="69"/>
      <c r="BU551" s="69"/>
      <c r="BV551" s="69"/>
      <c r="BW551" s="69"/>
      <c r="BX551" s="69"/>
      <c r="BY551" s="69"/>
      <c r="BZ551" s="69"/>
      <c r="CA551" s="69"/>
      <c r="CB551" s="69"/>
      <c r="CC551" s="69"/>
      <c r="CD551" s="69"/>
      <c r="CE551" s="94">
        <f t="shared" si="46"/>
        <v>938</v>
      </c>
      <c r="CF551" s="151">
        <f t="shared" si="48"/>
        <v>0</v>
      </c>
      <c r="CG551" s="75">
        <f t="shared" si="47"/>
        <v>4402</v>
      </c>
      <c r="CH551" s="69" t="str">
        <f t="shared" si="47"/>
        <v>ماليزى اسنان</v>
      </c>
    </row>
    <row r="552" spans="1:86" x14ac:dyDescent="0.25">
      <c r="A552" s="148"/>
      <c r="B552" s="82">
        <v>8529</v>
      </c>
      <c r="C552" s="149">
        <v>4403</v>
      </c>
      <c r="D552" s="69" t="s">
        <v>121</v>
      </c>
      <c r="E552" s="69" t="s">
        <v>3278</v>
      </c>
      <c r="F552" s="63"/>
      <c r="G552" s="69">
        <v>586.25</v>
      </c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  <c r="AE552" s="69"/>
      <c r="AF552" s="69"/>
      <c r="AG552" s="69"/>
      <c r="AH552" s="69"/>
      <c r="AI552" s="69"/>
      <c r="AJ552" s="69"/>
      <c r="AK552" s="69"/>
      <c r="AL552" s="69"/>
      <c r="AM552" s="69"/>
      <c r="AN552" s="69"/>
      <c r="AO552" s="69"/>
      <c r="AP552" s="69"/>
      <c r="AQ552" s="69"/>
      <c r="AR552" s="94">
        <f t="shared" si="26"/>
        <v>586.25</v>
      </c>
      <c r="AS552" s="69">
        <v>392.4</v>
      </c>
      <c r="AT552" s="69">
        <f>50+2.6</f>
        <v>52.6</v>
      </c>
      <c r="AU552" s="69">
        <v>141.25</v>
      </c>
      <c r="AV552" s="69"/>
      <c r="AW552" s="69"/>
      <c r="AX552" s="69"/>
      <c r="AY552" s="69"/>
      <c r="AZ552" s="69"/>
      <c r="BA552" s="69"/>
      <c r="BB552" s="69"/>
      <c r="BC552" s="69"/>
      <c r="BD552" s="69"/>
      <c r="BE552" s="69"/>
      <c r="BF552" s="69"/>
      <c r="BG552" s="69"/>
      <c r="BH552" s="69"/>
      <c r="BI552" s="69"/>
      <c r="BJ552" s="69"/>
      <c r="BK552" s="69"/>
      <c r="BL552" s="69"/>
      <c r="BM552" s="69"/>
      <c r="BN552" s="69"/>
      <c r="BO552" s="69"/>
      <c r="BP552" s="69"/>
      <c r="BQ552" s="69"/>
      <c r="BR552" s="69"/>
      <c r="BS552" s="69"/>
      <c r="BT552" s="69"/>
      <c r="BU552" s="69"/>
      <c r="BV552" s="69"/>
      <c r="BW552" s="69"/>
      <c r="BX552" s="69"/>
      <c r="BY552" s="69"/>
      <c r="BZ552" s="69"/>
      <c r="CA552" s="69"/>
      <c r="CB552" s="69"/>
      <c r="CC552" s="69"/>
      <c r="CD552" s="69"/>
      <c r="CE552" s="94">
        <f t="shared" si="46"/>
        <v>586.25</v>
      </c>
      <c r="CF552" s="151">
        <f t="shared" si="48"/>
        <v>0</v>
      </c>
      <c r="CG552" s="75">
        <f t="shared" si="47"/>
        <v>4403</v>
      </c>
      <c r="CH552" s="69" t="str">
        <f t="shared" si="47"/>
        <v>ماليزى اسنان</v>
      </c>
    </row>
    <row r="553" spans="1:86" x14ac:dyDescent="0.25">
      <c r="A553" s="148"/>
      <c r="B553" s="82">
        <v>8527</v>
      </c>
      <c r="C553" s="149">
        <v>4404</v>
      </c>
      <c r="D553" s="69" t="s">
        <v>121</v>
      </c>
      <c r="E553" s="69" t="s">
        <v>3278</v>
      </c>
      <c r="F553" s="63"/>
      <c r="G553" s="69">
        <v>2110.5</v>
      </c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  <c r="AE553" s="69"/>
      <c r="AF553" s="69"/>
      <c r="AG553" s="69"/>
      <c r="AH553" s="69"/>
      <c r="AI553" s="69"/>
      <c r="AJ553" s="69"/>
      <c r="AK553" s="69"/>
      <c r="AL553" s="69"/>
      <c r="AM553" s="69"/>
      <c r="AN553" s="69"/>
      <c r="AO553" s="69"/>
      <c r="AP553" s="69"/>
      <c r="AQ553" s="69"/>
      <c r="AR553" s="94">
        <f t="shared" si="26"/>
        <v>2110.5</v>
      </c>
      <c r="AS553" s="69">
        <v>1411.45</v>
      </c>
      <c r="AT553" s="69">
        <v>190.55</v>
      </c>
      <c r="AU553" s="69">
        <v>508.5</v>
      </c>
      <c r="AV553" s="69"/>
      <c r="AW553" s="69"/>
      <c r="AX553" s="69"/>
      <c r="AY553" s="69"/>
      <c r="AZ553" s="69"/>
      <c r="BA553" s="69"/>
      <c r="BB553" s="69"/>
      <c r="BC553" s="69"/>
      <c r="BD553" s="69"/>
      <c r="BE553" s="69"/>
      <c r="BF553" s="69"/>
      <c r="BG553" s="69"/>
      <c r="BH553" s="69"/>
      <c r="BI553" s="69"/>
      <c r="BJ553" s="69"/>
      <c r="BK553" s="69"/>
      <c r="BL553" s="69"/>
      <c r="BM553" s="69"/>
      <c r="BN553" s="69"/>
      <c r="BO553" s="69"/>
      <c r="BP553" s="69"/>
      <c r="BQ553" s="69"/>
      <c r="BR553" s="69"/>
      <c r="BS553" s="69"/>
      <c r="BT553" s="69"/>
      <c r="BU553" s="69"/>
      <c r="BV553" s="69"/>
      <c r="BW553" s="69"/>
      <c r="BX553" s="69"/>
      <c r="BY553" s="69"/>
      <c r="BZ553" s="69"/>
      <c r="CA553" s="69"/>
      <c r="CB553" s="69"/>
      <c r="CC553" s="69"/>
      <c r="CD553" s="69"/>
      <c r="CE553" s="94">
        <f t="shared" si="46"/>
        <v>2110.5</v>
      </c>
      <c r="CF553" s="151">
        <f t="shared" si="48"/>
        <v>0</v>
      </c>
      <c r="CG553" s="75">
        <f t="shared" si="47"/>
        <v>4404</v>
      </c>
      <c r="CH553" s="69" t="str">
        <f t="shared" si="47"/>
        <v>ماليزى اسنان</v>
      </c>
    </row>
    <row r="554" spans="1:86" x14ac:dyDescent="0.25">
      <c r="A554" s="148"/>
      <c r="B554" s="82">
        <v>8526</v>
      </c>
      <c r="C554" s="149">
        <v>4405</v>
      </c>
      <c r="D554" s="69" t="s">
        <v>121</v>
      </c>
      <c r="E554" s="69" t="s">
        <v>3278</v>
      </c>
      <c r="F554" s="63"/>
      <c r="G554" s="69">
        <v>762.12</v>
      </c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  <c r="AJ554" s="69"/>
      <c r="AK554" s="69"/>
      <c r="AL554" s="69"/>
      <c r="AM554" s="69"/>
      <c r="AN554" s="69"/>
      <c r="AO554" s="69"/>
      <c r="AP554" s="69"/>
      <c r="AQ554" s="69"/>
      <c r="AR554" s="94">
        <f t="shared" si="26"/>
        <v>762.12</v>
      </c>
      <c r="AS554" s="69">
        <v>509.8</v>
      </c>
      <c r="AT554" s="69">
        <v>68.7</v>
      </c>
      <c r="AU554" s="69">
        <v>183.62</v>
      </c>
      <c r="AV554" s="69"/>
      <c r="AW554" s="69"/>
      <c r="AX554" s="69"/>
      <c r="AY554" s="69"/>
      <c r="AZ554" s="69"/>
      <c r="BA554" s="69"/>
      <c r="BB554" s="69"/>
      <c r="BC554" s="69"/>
      <c r="BD554" s="69"/>
      <c r="BE554" s="69"/>
      <c r="BF554" s="69"/>
      <c r="BG554" s="69"/>
      <c r="BH554" s="69"/>
      <c r="BI554" s="69"/>
      <c r="BJ554" s="69"/>
      <c r="BK554" s="69"/>
      <c r="BL554" s="69"/>
      <c r="BM554" s="69"/>
      <c r="BN554" s="69"/>
      <c r="BO554" s="69"/>
      <c r="BP554" s="69"/>
      <c r="BQ554" s="69"/>
      <c r="BR554" s="69"/>
      <c r="BS554" s="69"/>
      <c r="BT554" s="69"/>
      <c r="BU554" s="69"/>
      <c r="BV554" s="69"/>
      <c r="BW554" s="69"/>
      <c r="BX554" s="69"/>
      <c r="BY554" s="69"/>
      <c r="BZ554" s="69"/>
      <c r="CA554" s="69"/>
      <c r="CB554" s="69"/>
      <c r="CC554" s="69"/>
      <c r="CD554" s="69"/>
      <c r="CE554" s="94">
        <f t="shared" si="46"/>
        <v>762.12</v>
      </c>
      <c r="CF554" s="151">
        <f t="shared" si="48"/>
        <v>0</v>
      </c>
      <c r="CG554" s="75">
        <f t="shared" si="47"/>
        <v>4405</v>
      </c>
      <c r="CH554" s="69" t="str">
        <f t="shared" si="47"/>
        <v>ماليزى اسنان</v>
      </c>
    </row>
    <row r="555" spans="1:86" x14ac:dyDescent="0.25">
      <c r="A555" s="148"/>
      <c r="B555" s="82">
        <v>8536</v>
      </c>
      <c r="C555" s="149">
        <v>4406</v>
      </c>
      <c r="D555" s="69" t="s">
        <v>121</v>
      </c>
      <c r="E555" s="69" t="s">
        <v>3274</v>
      </c>
      <c r="F555" s="63"/>
      <c r="G555" s="69">
        <v>8608.2099999999991</v>
      </c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  <c r="AJ555" s="69"/>
      <c r="AK555" s="69"/>
      <c r="AL555" s="69"/>
      <c r="AM555" s="69"/>
      <c r="AN555" s="69"/>
      <c r="AO555" s="69"/>
      <c r="AP555" s="69"/>
      <c r="AQ555" s="69"/>
      <c r="AR555" s="94">
        <f t="shared" si="26"/>
        <v>8608.2099999999991</v>
      </c>
      <c r="AS555" s="69">
        <v>7519.25</v>
      </c>
      <c r="AT555" s="69">
        <v>911.75</v>
      </c>
      <c r="AU555" s="69">
        <v>177.21</v>
      </c>
      <c r="AV555" s="69"/>
      <c r="AW555" s="69"/>
      <c r="AX555" s="69"/>
      <c r="AY555" s="69"/>
      <c r="AZ555" s="69"/>
      <c r="BA555" s="69"/>
      <c r="BB555" s="69"/>
      <c r="BC555" s="69"/>
      <c r="BD555" s="69"/>
      <c r="BE555" s="69"/>
      <c r="BF555" s="69"/>
      <c r="BG555" s="69"/>
      <c r="BH555" s="69"/>
      <c r="BI555" s="69"/>
      <c r="BJ555" s="69"/>
      <c r="BK555" s="69"/>
      <c r="BL555" s="69"/>
      <c r="BM555" s="69"/>
      <c r="BN555" s="69"/>
      <c r="BO555" s="69"/>
      <c r="BP555" s="69"/>
      <c r="BQ555" s="69"/>
      <c r="BR555" s="69"/>
      <c r="BS555" s="69"/>
      <c r="BT555" s="69"/>
      <c r="BU555" s="69"/>
      <c r="BV555" s="69"/>
      <c r="BW555" s="69"/>
      <c r="BX555" s="69"/>
      <c r="BY555" s="69"/>
      <c r="BZ555" s="69"/>
      <c r="CA555" s="69"/>
      <c r="CB555" s="69"/>
      <c r="CC555" s="69"/>
      <c r="CD555" s="69"/>
      <c r="CE555" s="94">
        <f t="shared" si="46"/>
        <v>8608.2099999999991</v>
      </c>
      <c r="CF555" s="151">
        <f t="shared" si="48"/>
        <v>0</v>
      </c>
      <c r="CG555" s="75">
        <f t="shared" si="47"/>
        <v>4406</v>
      </c>
      <c r="CH555" s="69" t="str">
        <f t="shared" si="47"/>
        <v>ماليزى اسنان</v>
      </c>
    </row>
    <row r="556" spans="1:86" x14ac:dyDescent="0.25">
      <c r="A556" s="148"/>
      <c r="B556" s="82">
        <v>8518</v>
      </c>
      <c r="C556" s="149">
        <v>4407</v>
      </c>
      <c r="D556" s="69" t="s">
        <v>121</v>
      </c>
      <c r="E556" s="69" t="s">
        <v>3279</v>
      </c>
      <c r="F556" s="63"/>
      <c r="G556" s="69">
        <v>29279.59</v>
      </c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  <c r="AJ556" s="69"/>
      <c r="AK556" s="69"/>
      <c r="AL556" s="69"/>
      <c r="AM556" s="69"/>
      <c r="AN556" s="69"/>
      <c r="AO556" s="69"/>
      <c r="AP556" s="69"/>
      <c r="AQ556" s="69"/>
      <c r="AR556" s="94">
        <f t="shared" si="26"/>
        <v>29279.59</v>
      </c>
      <c r="AS556" s="69">
        <v>22979.37</v>
      </c>
      <c r="AT556" s="69">
        <v>2910.9</v>
      </c>
      <c r="AU556" s="69">
        <v>3389.32</v>
      </c>
      <c r="AV556" s="69"/>
      <c r="AW556" s="69"/>
      <c r="AX556" s="69"/>
      <c r="AY556" s="69"/>
      <c r="AZ556" s="69"/>
      <c r="BA556" s="69"/>
      <c r="BB556" s="69"/>
      <c r="BC556" s="69"/>
      <c r="BD556" s="69"/>
      <c r="BE556" s="69"/>
      <c r="BF556" s="69"/>
      <c r="BG556" s="69"/>
      <c r="BH556" s="69"/>
      <c r="BI556" s="69"/>
      <c r="BJ556" s="69"/>
      <c r="BK556" s="69"/>
      <c r="BL556" s="69"/>
      <c r="BM556" s="69"/>
      <c r="BN556" s="69"/>
      <c r="BO556" s="69"/>
      <c r="BP556" s="69"/>
      <c r="BQ556" s="69"/>
      <c r="BR556" s="69"/>
      <c r="BS556" s="69"/>
      <c r="BT556" s="69"/>
      <c r="BU556" s="69"/>
      <c r="BV556" s="69"/>
      <c r="BW556" s="69"/>
      <c r="BX556" s="69"/>
      <c r="BY556" s="69"/>
      <c r="BZ556" s="69"/>
      <c r="CA556" s="69"/>
      <c r="CB556" s="69"/>
      <c r="CC556" s="69"/>
      <c r="CD556" s="69"/>
      <c r="CE556" s="94">
        <f t="shared" si="46"/>
        <v>29279.59</v>
      </c>
      <c r="CF556" s="151">
        <f t="shared" si="48"/>
        <v>0</v>
      </c>
      <c r="CG556" s="75">
        <f t="shared" si="47"/>
        <v>4407</v>
      </c>
      <c r="CH556" s="69" t="str">
        <f t="shared" si="47"/>
        <v>ماليزى اسنان</v>
      </c>
    </row>
    <row r="557" spans="1:86" x14ac:dyDescent="0.25">
      <c r="A557" s="148"/>
      <c r="B557" s="82">
        <v>8540</v>
      </c>
      <c r="C557" s="149">
        <v>4408</v>
      </c>
      <c r="D557" s="69" t="s">
        <v>121</v>
      </c>
      <c r="E557" s="69" t="s">
        <v>3280</v>
      </c>
      <c r="F557" s="63"/>
      <c r="G557" s="69">
        <v>31806.98</v>
      </c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  <c r="AE557" s="69"/>
      <c r="AF557" s="69"/>
      <c r="AG557" s="69"/>
      <c r="AH557" s="69"/>
      <c r="AI557" s="69"/>
      <c r="AJ557" s="69"/>
      <c r="AK557" s="69"/>
      <c r="AL557" s="69"/>
      <c r="AM557" s="69"/>
      <c r="AN557" s="69"/>
      <c r="AO557" s="69"/>
      <c r="AP557" s="69"/>
      <c r="AQ557" s="69"/>
      <c r="AR557" s="94">
        <f t="shared" si="26"/>
        <v>31806.98</v>
      </c>
      <c r="AS557" s="69">
        <v>22814.1</v>
      </c>
      <c r="AT557" s="69">
        <v>3003.9</v>
      </c>
      <c r="AU557" s="69">
        <v>5988.98</v>
      </c>
      <c r="AV557" s="69"/>
      <c r="AW557" s="69"/>
      <c r="AX557" s="69"/>
      <c r="AY557" s="69"/>
      <c r="AZ557" s="69"/>
      <c r="BA557" s="69"/>
      <c r="BB557" s="69"/>
      <c r="BC557" s="69"/>
      <c r="BD557" s="69"/>
      <c r="BE557" s="69"/>
      <c r="BF557" s="69"/>
      <c r="BG557" s="69"/>
      <c r="BH557" s="69"/>
      <c r="BI557" s="69"/>
      <c r="BJ557" s="69"/>
      <c r="BK557" s="69"/>
      <c r="BL557" s="69"/>
      <c r="BM557" s="69"/>
      <c r="BN557" s="69"/>
      <c r="BO557" s="69"/>
      <c r="BP557" s="69"/>
      <c r="BQ557" s="69"/>
      <c r="BR557" s="69"/>
      <c r="BS557" s="69"/>
      <c r="BT557" s="69"/>
      <c r="BU557" s="69"/>
      <c r="BV557" s="69"/>
      <c r="BW557" s="69"/>
      <c r="BX557" s="69"/>
      <c r="BY557" s="69"/>
      <c r="BZ557" s="69"/>
      <c r="CA557" s="69"/>
      <c r="CB557" s="69"/>
      <c r="CC557" s="69"/>
      <c r="CD557" s="69"/>
      <c r="CE557" s="94">
        <f t="shared" si="46"/>
        <v>31806.98</v>
      </c>
      <c r="CF557" s="151">
        <f t="shared" si="48"/>
        <v>0</v>
      </c>
      <c r="CG557" s="75">
        <f t="shared" si="47"/>
        <v>4408</v>
      </c>
      <c r="CH557" s="69" t="str">
        <f t="shared" si="47"/>
        <v>ماليزى اسنان</v>
      </c>
    </row>
    <row r="558" spans="1:86" x14ac:dyDescent="0.25">
      <c r="A558" s="148"/>
      <c r="B558" s="82">
        <v>8523</v>
      </c>
      <c r="C558" s="149">
        <v>4409</v>
      </c>
      <c r="D558" s="69" t="s">
        <v>121</v>
      </c>
      <c r="E558" s="69" t="s">
        <v>3281</v>
      </c>
      <c r="F558" s="63"/>
      <c r="G558" s="69">
        <v>3224.37</v>
      </c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  <c r="AK558" s="69"/>
      <c r="AL558" s="69"/>
      <c r="AM558" s="69"/>
      <c r="AN558" s="69"/>
      <c r="AO558" s="69"/>
      <c r="AP558" s="69"/>
      <c r="AQ558" s="69"/>
      <c r="AR558" s="94">
        <f t="shared" si="26"/>
        <v>3224.37</v>
      </c>
      <c r="AS558" s="69">
        <v>2156.6999999999998</v>
      </c>
      <c r="AT558" s="69">
        <v>290.8</v>
      </c>
      <c r="AU558" s="69">
        <v>776.87</v>
      </c>
      <c r="AV558" s="69"/>
      <c r="AW558" s="69"/>
      <c r="AX558" s="69"/>
      <c r="AY558" s="69"/>
      <c r="AZ558" s="69"/>
      <c r="BA558" s="69"/>
      <c r="BB558" s="69"/>
      <c r="BC558" s="69"/>
      <c r="BD558" s="69"/>
      <c r="BE558" s="69"/>
      <c r="BF558" s="69"/>
      <c r="BG558" s="69"/>
      <c r="BH558" s="69"/>
      <c r="BI558" s="69"/>
      <c r="BJ558" s="69"/>
      <c r="BK558" s="69"/>
      <c r="BL558" s="69"/>
      <c r="BM558" s="69"/>
      <c r="BN558" s="69"/>
      <c r="BO558" s="69"/>
      <c r="BP558" s="69"/>
      <c r="BQ558" s="69"/>
      <c r="BR558" s="69"/>
      <c r="BS558" s="69"/>
      <c r="BT558" s="69"/>
      <c r="BU558" s="69"/>
      <c r="BV558" s="69"/>
      <c r="BW558" s="69"/>
      <c r="BX558" s="69"/>
      <c r="BY558" s="69"/>
      <c r="BZ558" s="69"/>
      <c r="CA558" s="69"/>
      <c r="CB558" s="69"/>
      <c r="CC558" s="69"/>
      <c r="CD558" s="69"/>
      <c r="CE558" s="94">
        <f t="shared" si="46"/>
        <v>3224.37</v>
      </c>
      <c r="CF558" s="151">
        <f t="shared" si="48"/>
        <v>0</v>
      </c>
      <c r="CG558" s="75">
        <f t="shared" si="47"/>
        <v>4409</v>
      </c>
      <c r="CH558" s="69" t="str">
        <f t="shared" si="47"/>
        <v>ماليزى اسنان</v>
      </c>
    </row>
    <row r="559" spans="1:86" x14ac:dyDescent="0.25">
      <c r="A559" s="148"/>
      <c r="B559" s="82">
        <v>8524</v>
      </c>
      <c r="C559" s="149">
        <v>4410</v>
      </c>
      <c r="D559" s="69" t="s">
        <v>121</v>
      </c>
      <c r="E559" s="69" t="s">
        <v>3281</v>
      </c>
      <c r="F559" s="63"/>
      <c r="G559" s="69">
        <v>1758.75</v>
      </c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  <c r="AE559" s="69"/>
      <c r="AF559" s="69"/>
      <c r="AG559" s="69"/>
      <c r="AH559" s="69"/>
      <c r="AI559" s="69"/>
      <c r="AJ559" s="69"/>
      <c r="AK559" s="69"/>
      <c r="AL559" s="69"/>
      <c r="AM559" s="69"/>
      <c r="AN559" s="69"/>
      <c r="AO559" s="69"/>
      <c r="AP559" s="69"/>
      <c r="AQ559" s="69"/>
      <c r="AR559" s="94">
        <f t="shared" si="26"/>
        <v>1758.75</v>
      </c>
      <c r="AS559" s="69">
        <v>1175.3499999999999</v>
      </c>
      <c r="AT559" s="69">
        <v>159.65</v>
      </c>
      <c r="AU559" s="69">
        <v>423.75</v>
      </c>
      <c r="AV559" s="69"/>
      <c r="AW559" s="69"/>
      <c r="AX559" s="69"/>
      <c r="AY559" s="69"/>
      <c r="AZ559" s="69"/>
      <c r="BA559" s="69"/>
      <c r="BB559" s="69"/>
      <c r="BC559" s="69"/>
      <c r="BD559" s="69"/>
      <c r="BE559" s="69"/>
      <c r="BF559" s="69"/>
      <c r="BG559" s="69"/>
      <c r="BH559" s="69"/>
      <c r="BI559" s="69"/>
      <c r="BJ559" s="69"/>
      <c r="BK559" s="69"/>
      <c r="BL559" s="69"/>
      <c r="BM559" s="69"/>
      <c r="BN559" s="69"/>
      <c r="BO559" s="69"/>
      <c r="BP559" s="69"/>
      <c r="BQ559" s="69"/>
      <c r="BR559" s="69"/>
      <c r="BS559" s="69"/>
      <c r="BT559" s="69"/>
      <c r="BU559" s="69"/>
      <c r="BV559" s="69"/>
      <c r="BW559" s="69"/>
      <c r="BX559" s="69"/>
      <c r="BY559" s="69"/>
      <c r="BZ559" s="69"/>
      <c r="CA559" s="69"/>
      <c r="CB559" s="69"/>
      <c r="CC559" s="69"/>
      <c r="CD559" s="69"/>
      <c r="CE559" s="94">
        <f t="shared" si="46"/>
        <v>1758.75</v>
      </c>
      <c r="CF559" s="151">
        <f t="shared" si="48"/>
        <v>0</v>
      </c>
      <c r="CG559" s="75">
        <f t="shared" si="47"/>
        <v>4410</v>
      </c>
      <c r="CH559" s="69" t="str">
        <f t="shared" si="47"/>
        <v>ماليزى اسنان</v>
      </c>
    </row>
    <row r="560" spans="1:86" x14ac:dyDescent="0.25">
      <c r="A560" s="148"/>
      <c r="B560" s="82">
        <v>8530</v>
      </c>
      <c r="C560" s="149">
        <v>4411</v>
      </c>
      <c r="D560" s="69" t="s">
        <v>121</v>
      </c>
      <c r="E560" s="69" t="s">
        <v>3282</v>
      </c>
      <c r="F560" s="63"/>
      <c r="G560" s="69">
        <v>7127.11</v>
      </c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  <c r="AE560" s="69"/>
      <c r="AF560" s="69"/>
      <c r="AG560" s="69"/>
      <c r="AH560" s="69"/>
      <c r="AI560" s="69"/>
      <c r="AJ560" s="69"/>
      <c r="AK560" s="69"/>
      <c r="AL560" s="69"/>
      <c r="AM560" s="69"/>
      <c r="AN560" s="69"/>
      <c r="AO560" s="69"/>
      <c r="AP560" s="69"/>
      <c r="AQ560" s="69"/>
      <c r="AR560" s="94">
        <f t="shared" si="26"/>
        <v>7127.11</v>
      </c>
      <c r="AS560" s="69">
        <v>5787.23</v>
      </c>
      <c r="AT560" s="69">
        <v>722.3</v>
      </c>
      <c r="AU560" s="69">
        <v>617.58000000000004</v>
      </c>
      <c r="AV560" s="69"/>
      <c r="AW560" s="69"/>
      <c r="AX560" s="69"/>
      <c r="AY560" s="69"/>
      <c r="AZ560" s="69"/>
      <c r="BA560" s="69"/>
      <c r="BB560" s="69"/>
      <c r="BC560" s="69"/>
      <c r="BD560" s="69"/>
      <c r="BE560" s="69"/>
      <c r="BF560" s="69"/>
      <c r="BG560" s="69"/>
      <c r="BH560" s="69"/>
      <c r="BI560" s="69"/>
      <c r="BJ560" s="69"/>
      <c r="BK560" s="69"/>
      <c r="BL560" s="69"/>
      <c r="BM560" s="69"/>
      <c r="BN560" s="69"/>
      <c r="BO560" s="69"/>
      <c r="BP560" s="69"/>
      <c r="BQ560" s="69"/>
      <c r="BR560" s="69"/>
      <c r="BS560" s="69"/>
      <c r="BT560" s="69"/>
      <c r="BU560" s="69"/>
      <c r="BV560" s="69"/>
      <c r="BW560" s="69"/>
      <c r="BX560" s="69"/>
      <c r="BY560" s="69"/>
      <c r="BZ560" s="69"/>
      <c r="CA560" s="69"/>
      <c r="CB560" s="69"/>
      <c r="CC560" s="69"/>
      <c r="CD560" s="69"/>
      <c r="CE560" s="94">
        <f t="shared" si="46"/>
        <v>7127.11</v>
      </c>
      <c r="CF560" s="151">
        <f t="shared" si="48"/>
        <v>0</v>
      </c>
      <c r="CG560" s="75">
        <f t="shared" si="47"/>
        <v>4411</v>
      </c>
      <c r="CH560" s="69" t="str">
        <f t="shared" si="47"/>
        <v>ماليزى اسنان</v>
      </c>
    </row>
    <row r="561" spans="1:86" x14ac:dyDescent="0.25">
      <c r="A561" s="148"/>
      <c r="B561" s="82">
        <v>8519</v>
      </c>
      <c r="C561" s="149">
        <v>4412</v>
      </c>
      <c r="D561" s="69" t="s">
        <v>121</v>
      </c>
      <c r="E561" s="69" t="s">
        <v>3283</v>
      </c>
      <c r="F561" s="63"/>
      <c r="G561" s="69">
        <v>26770.1</v>
      </c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  <c r="AE561" s="69"/>
      <c r="AF561" s="69"/>
      <c r="AG561" s="69"/>
      <c r="AH561" s="69"/>
      <c r="AI561" s="69"/>
      <c r="AJ561" s="69"/>
      <c r="AK561" s="69"/>
      <c r="AL561" s="69"/>
      <c r="AM561" s="69"/>
      <c r="AN561" s="69"/>
      <c r="AO561" s="69"/>
      <c r="AP561" s="69"/>
      <c r="AQ561" s="69"/>
      <c r="AR561" s="94">
        <f t="shared" si="26"/>
        <v>26770.1</v>
      </c>
      <c r="AS561" s="69">
        <v>19304.66</v>
      </c>
      <c r="AT561" s="69">
        <v>2535.85</v>
      </c>
      <c r="AU561" s="69">
        <v>4929.59</v>
      </c>
      <c r="AV561" s="69"/>
      <c r="AW561" s="69"/>
      <c r="AX561" s="69"/>
      <c r="AY561" s="69"/>
      <c r="AZ561" s="69"/>
      <c r="BA561" s="69"/>
      <c r="BB561" s="69"/>
      <c r="BC561" s="69"/>
      <c r="BD561" s="69"/>
      <c r="BE561" s="69"/>
      <c r="BF561" s="69"/>
      <c r="BG561" s="69"/>
      <c r="BH561" s="69"/>
      <c r="BI561" s="69"/>
      <c r="BJ561" s="69"/>
      <c r="BK561" s="69"/>
      <c r="BL561" s="69"/>
      <c r="BM561" s="69"/>
      <c r="BN561" s="69"/>
      <c r="BO561" s="69"/>
      <c r="BP561" s="69"/>
      <c r="BQ561" s="69"/>
      <c r="BR561" s="69"/>
      <c r="BS561" s="69"/>
      <c r="BT561" s="69"/>
      <c r="BU561" s="69"/>
      <c r="BV561" s="69"/>
      <c r="BW561" s="69"/>
      <c r="BX561" s="69"/>
      <c r="BY561" s="69"/>
      <c r="BZ561" s="69"/>
      <c r="CA561" s="69"/>
      <c r="CB561" s="69"/>
      <c r="CC561" s="69"/>
      <c r="CD561" s="69"/>
      <c r="CE561" s="94">
        <f t="shared" si="46"/>
        <v>26770.1</v>
      </c>
      <c r="CF561" s="151">
        <f t="shared" si="48"/>
        <v>0</v>
      </c>
      <c r="CG561" s="75">
        <f t="shared" si="47"/>
        <v>4412</v>
      </c>
      <c r="CH561" s="69" t="str">
        <f t="shared" si="47"/>
        <v>ماليزى اسنان</v>
      </c>
    </row>
    <row r="562" spans="1:86" x14ac:dyDescent="0.25">
      <c r="A562" s="148"/>
      <c r="B562" s="82">
        <v>8538</v>
      </c>
      <c r="C562" s="149">
        <v>4413</v>
      </c>
      <c r="D562" s="69" t="s">
        <v>121</v>
      </c>
      <c r="E562" s="69" t="s">
        <v>3284</v>
      </c>
      <c r="F562" s="63"/>
      <c r="G562" s="69">
        <v>29887.78</v>
      </c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  <c r="AE562" s="69"/>
      <c r="AF562" s="69"/>
      <c r="AG562" s="69"/>
      <c r="AH562" s="69"/>
      <c r="AI562" s="69"/>
      <c r="AJ562" s="69"/>
      <c r="AK562" s="69"/>
      <c r="AL562" s="69"/>
      <c r="AM562" s="69"/>
      <c r="AN562" s="69"/>
      <c r="AO562" s="69"/>
      <c r="AP562" s="69"/>
      <c r="AQ562" s="69"/>
      <c r="AR562" s="94">
        <f t="shared" si="26"/>
        <v>29887.78</v>
      </c>
      <c r="AS562" s="69">
        <v>20062.77</v>
      </c>
      <c r="AT562" s="69">
        <v>2721.1</v>
      </c>
      <c r="AU562" s="69">
        <v>7103.91</v>
      </c>
      <c r="AV562" s="69"/>
      <c r="AW562" s="69"/>
      <c r="AX562" s="69"/>
      <c r="AY562" s="69"/>
      <c r="AZ562" s="69"/>
      <c r="BA562" s="69"/>
      <c r="BB562" s="69"/>
      <c r="BC562" s="69"/>
      <c r="BD562" s="69"/>
      <c r="BE562" s="69"/>
      <c r="BF562" s="69"/>
      <c r="BG562" s="69"/>
      <c r="BH562" s="69"/>
      <c r="BI562" s="69"/>
      <c r="BJ562" s="69"/>
      <c r="BK562" s="69"/>
      <c r="BL562" s="69"/>
      <c r="BM562" s="69"/>
      <c r="BN562" s="69"/>
      <c r="BO562" s="69"/>
      <c r="BP562" s="69"/>
      <c r="BQ562" s="69"/>
      <c r="BR562" s="69"/>
      <c r="BS562" s="69"/>
      <c r="BT562" s="69"/>
      <c r="BU562" s="69"/>
      <c r="BV562" s="69"/>
      <c r="BW562" s="69"/>
      <c r="BX562" s="69"/>
      <c r="BY562" s="69"/>
      <c r="BZ562" s="69"/>
      <c r="CA562" s="69"/>
      <c r="CB562" s="69"/>
      <c r="CC562" s="69"/>
      <c r="CD562" s="69"/>
      <c r="CE562" s="94">
        <f t="shared" si="46"/>
        <v>29887.78</v>
      </c>
      <c r="CF562" s="151">
        <f t="shared" si="48"/>
        <v>0</v>
      </c>
      <c r="CG562" s="75">
        <f t="shared" si="47"/>
        <v>4413</v>
      </c>
      <c r="CH562" s="69" t="str">
        <f t="shared" si="47"/>
        <v>ماليزى اسنان</v>
      </c>
    </row>
    <row r="563" spans="1:86" x14ac:dyDescent="0.25">
      <c r="A563" s="148"/>
      <c r="B563" s="82">
        <v>8528</v>
      </c>
      <c r="C563" s="149">
        <v>4414</v>
      </c>
      <c r="D563" s="69" t="s">
        <v>121</v>
      </c>
      <c r="E563" s="69" t="s">
        <v>3285</v>
      </c>
      <c r="F563" s="63"/>
      <c r="G563" s="69">
        <v>12364.14</v>
      </c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  <c r="AE563" s="69"/>
      <c r="AF563" s="69"/>
      <c r="AG563" s="69"/>
      <c r="AH563" s="69"/>
      <c r="AI563" s="69"/>
      <c r="AJ563" s="69"/>
      <c r="AK563" s="69"/>
      <c r="AL563" s="69"/>
      <c r="AM563" s="69"/>
      <c r="AN563" s="69"/>
      <c r="AO563" s="69"/>
      <c r="AP563" s="69"/>
      <c r="AQ563" s="69"/>
      <c r="AR563" s="94">
        <f t="shared" si="26"/>
        <v>12364.14</v>
      </c>
      <c r="AS563" s="69">
        <v>8365.5300000000007</v>
      </c>
      <c r="AT563" s="69">
        <v>1125.9000000000001</v>
      </c>
      <c r="AU563" s="69">
        <v>2872.71</v>
      </c>
      <c r="AV563" s="69"/>
      <c r="AW563" s="69"/>
      <c r="AX563" s="69"/>
      <c r="AY563" s="69"/>
      <c r="AZ563" s="69"/>
      <c r="BA563" s="69"/>
      <c r="BB563" s="69"/>
      <c r="BC563" s="69"/>
      <c r="BD563" s="69"/>
      <c r="BE563" s="69"/>
      <c r="BF563" s="69"/>
      <c r="BG563" s="69"/>
      <c r="BH563" s="69"/>
      <c r="BI563" s="69"/>
      <c r="BJ563" s="69"/>
      <c r="BK563" s="69"/>
      <c r="BL563" s="69"/>
      <c r="BM563" s="69"/>
      <c r="BN563" s="69"/>
      <c r="BO563" s="69"/>
      <c r="BP563" s="69"/>
      <c r="BQ563" s="69"/>
      <c r="BR563" s="69"/>
      <c r="BS563" s="69"/>
      <c r="BT563" s="69"/>
      <c r="BU563" s="69"/>
      <c r="BV563" s="69"/>
      <c r="BW563" s="69"/>
      <c r="BX563" s="69"/>
      <c r="BY563" s="69"/>
      <c r="BZ563" s="69"/>
      <c r="CA563" s="69"/>
      <c r="CB563" s="69"/>
      <c r="CC563" s="69"/>
      <c r="CD563" s="69"/>
      <c r="CE563" s="94">
        <f t="shared" si="46"/>
        <v>12364.14</v>
      </c>
      <c r="CF563" s="151">
        <f t="shared" si="48"/>
        <v>0</v>
      </c>
      <c r="CG563" s="75">
        <f t="shared" si="47"/>
        <v>4414</v>
      </c>
      <c r="CH563" s="69" t="str">
        <f t="shared" si="47"/>
        <v>ماليزى اسنان</v>
      </c>
    </row>
    <row r="564" spans="1:86" x14ac:dyDescent="0.25">
      <c r="A564" s="148"/>
      <c r="B564" s="82">
        <v>8531</v>
      </c>
      <c r="C564" s="149">
        <v>4415</v>
      </c>
      <c r="D564" s="69" t="s">
        <v>121</v>
      </c>
      <c r="E564" s="69" t="s">
        <v>3285</v>
      </c>
      <c r="F564" s="63"/>
      <c r="G564" s="69">
        <v>3517.5</v>
      </c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  <c r="AE564" s="69"/>
      <c r="AF564" s="69"/>
      <c r="AG564" s="69"/>
      <c r="AH564" s="69"/>
      <c r="AI564" s="69"/>
      <c r="AJ564" s="69"/>
      <c r="AK564" s="69"/>
      <c r="AL564" s="69"/>
      <c r="AM564" s="69"/>
      <c r="AN564" s="69"/>
      <c r="AO564" s="69"/>
      <c r="AP564" s="69"/>
      <c r="AQ564" s="69"/>
      <c r="AR564" s="94">
        <f t="shared" si="26"/>
        <v>3517.5</v>
      </c>
      <c r="AS564" s="69">
        <v>2350.6999999999998</v>
      </c>
      <c r="AT564" s="69">
        <v>319.3</v>
      </c>
      <c r="AU564" s="69">
        <v>847.5</v>
      </c>
      <c r="AV564" s="69"/>
      <c r="AW564" s="69"/>
      <c r="AX564" s="69"/>
      <c r="AY564" s="69"/>
      <c r="AZ564" s="69"/>
      <c r="BA564" s="69"/>
      <c r="BB564" s="69"/>
      <c r="BC564" s="69"/>
      <c r="BD564" s="69"/>
      <c r="BE564" s="69"/>
      <c r="BF564" s="69"/>
      <c r="BG564" s="69"/>
      <c r="BH564" s="69"/>
      <c r="BI564" s="69"/>
      <c r="BJ564" s="69"/>
      <c r="BK564" s="69"/>
      <c r="BL564" s="69"/>
      <c r="BM564" s="69"/>
      <c r="BN564" s="69"/>
      <c r="BO564" s="69"/>
      <c r="BP564" s="69"/>
      <c r="BQ564" s="69"/>
      <c r="BR564" s="69"/>
      <c r="BS564" s="69"/>
      <c r="BT564" s="69"/>
      <c r="BU564" s="69"/>
      <c r="BV564" s="69"/>
      <c r="BW564" s="69"/>
      <c r="BX564" s="69"/>
      <c r="BY564" s="69"/>
      <c r="BZ564" s="69"/>
      <c r="CA564" s="69"/>
      <c r="CB564" s="69"/>
      <c r="CC564" s="69"/>
      <c r="CD564" s="69"/>
      <c r="CE564" s="94">
        <f t="shared" si="46"/>
        <v>3517.5</v>
      </c>
      <c r="CF564" s="151">
        <f t="shared" si="48"/>
        <v>0</v>
      </c>
      <c r="CG564" s="75">
        <f t="shared" si="47"/>
        <v>4415</v>
      </c>
      <c r="CH564" s="69" t="str">
        <f t="shared" si="47"/>
        <v>ماليزى اسنان</v>
      </c>
    </row>
    <row r="565" spans="1:86" x14ac:dyDescent="0.25">
      <c r="A565" s="148"/>
      <c r="B565" s="82">
        <v>8535</v>
      </c>
      <c r="C565" s="149">
        <v>4416</v>
      </c>
      <c r="D565" s="69" t="s">
        <v>121</v>
      </c>
      <c r="E565" s="69" t="s">
        <v>3286</v>
      </c>
      <c r="F565" s="63"/>
      <c r="G565" s="69">
        <v>2696.76</v>
      </c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  <c r="AE565" s="69"/>
      <c r="AF565" s="69"/>
      <c r="AG565" s="69"/>
      <c r="AH565" s="69"/>
      <c r="AI565" s="69"/>
      <c r="AJ565" s="69"/>
      <c r="AK565" s="69"/>
      <c r="AL565" s="69"/>
      <c r="AM565" s="69"/>
      <c r="AN565" s="69"/>
      <c r="AO565" s="69"/>
      <c r="AP565" s="69"/>
      <c r="AQ565" s="69"/>
      <c r="AR565" s="94">
        <f t="shared" si="26"/>
        <v>2696.76</v>
      </c>
      <c r="AS565" s="69">
        <v>1802.4</v>
      </c>
      <c r="AT565" s="69">
        <v>244.6</v>
      </c>
      <c r="AU565" s="69">
        <v>649.76</v>
      </c>
      <c r="AV565" s="69"/>
      <c r="AW565" s="69"/>
      <c r="AX565" s="69"/>
      <c r="AY565" s="69"/>
      <c r="AZ565" s="69"/>
      <c r="BA565" s="69"/>
      <c r="BB565" s="69"/>
      <c r="BC565" s="69"/>
      <c r="BD565" s="69"/>
      <c r="BE565" s="69"/>
      <c r="BF565" s="69"/>
      <c r="BG565" s="69"/>
      <c r="BH565" s="69"/>
      <c r="BI565" s="69"/>
      <c r="BJ565" s="69"/>
      <c r="BK565" s="69"/>
      <c r="BL565" s="69"/>
      <c r="BM565" s="69"/>
      <c r="BN565" s="69"/>
      <c r="BO565" s="69"/>
      <c r="BP565" s="69"/>
      <c r="BQ565" s="69"/>
      <c r="BR565" s="69"/>
      <c r="BS565" s="69"/>
      <c r="BT565" s="69"/>
      <c r="BU565" s="69"/>
      <c r="BV565" s="69"/>
      <c r="BW565" s="69"/>
      <c r="BX565" s="69"/>
      <c r="BY565" s="69"/>
      <c r="BZ565" s="69"/>
      <c r="CA565" s="69"/>
      <c r="CB565" s="69"/>
      <c r="CC565" s="69"/>
      <c r="CD565" s="69"/>
      <c r="CE565" s="94">
        <f t="shared" si="46"/>
        <v>2696.76</v>
      </c>
      <c r="CF565" s="151">
        <f t="shared" si="48"/>
        <v>0</v>
      </c>
      <c r="CG565" s="75">
        <f t="shared" si="47"/>
        <v>4416</v>
      </c>
      <c r="CH565" s="69" t="str">
        <f t="shared" si="47"/>
        <v>ماليزى اسنان</v>
      </c>
    </row>
    <row r="566" spans="1:86" x14ac:dyDescent="0.25">
      <c r="A566" s="148"/>
      <c r="B566" s="82">
        <v>8537</v>
      </c>
      <c r="C566" s="149">
        <v>4417</v>
      </c>
      <c r="D566" s="69" t="s">
        <v>121</v>
      </c>
      <c r="E566" s="69" t="s">
        <v>3286</v>
      </c>
      <c r="F566" s="63"/>
      <c r="G566" s="69">
        <v>7445.38</v>
      </c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  <c r="AE566" s="69"/>
      <c r="AF566" s="69"/>
      <c r="AG566" s="69"/>
      <c r="AH566" s="69"/>
      <c r="AI566" s="69"/>
      <c r="AJ566" s="69"/>
      <c r="AK566" s="69"/>
      <c r="AL566" s="69"/>
      <c r="AM566" s="69"/>
      <c r="AN566" s="69"/>
      <c r="AO566" s="69"/>
      <c r="AP566" s="69"/>
      <c r="AQ566" s="69"/>
      <c r="AR566" s="94">
        <f t="shared" si="26"/>
        <v>7445.38</v>
      </c>
      <c r="AS566" s="69">
        <v>4975.1499999999996</v>
      </c>
      <c r="AT566" s="69">
        <v>676.35</v>
      </c>
      <c r="AU566" s="69">
        <v>1793.88</v>
      </c>
      <c r="AV566" s="69"/>
      <c r="AW566" s="69"/>
      <c r="AX566" s="69"/>
      <c r="AY566" s="69"/>
      <c r="AZ566" s="69"/>
      <c r="BA566" s="69"/>
      <c r="BB566" s="69"/>
      <c r="BC566" s="69"/>
      <c r="BD566" s="69"/>
      <c r="BE566" s="69"/>
      <c r="BF566" s="69"/>
      <c r="BG566" s="69"/>
      <c r="BH566" s="69"/>
      <c r="BI566" s="69"/>
      <c r="BJ566" s="69"/>
      <c r="BK566" s="69"/>
      <c r="BL566" s="69"/>
      <c r="BM566" s="69"/>
      <c r="BN566" s="69"/>
      <c r="BO566" s="69"/>
      <c r="BP566" s="69"/>
      <c r="BQ566" s="69"/>
      <c r="BR566" s="69"/>
      <c r="BS566" s="69"/>
      <c r="BT566" s="69"/>
      <c r="BU566" s="69"/>
      <c r="BV566" s="69"/>
      <c r="BW566" s="69"/>
      <c r="BX566" s="69"/>
      <c r="BY566" s="69"/>
      <c r="BZ566" s="69"/>
      <c r="CA566" s="69"/>
      <c r="CB566" s="69"/>
      <c r="CC566" s="69"/>
      <c r="CD566" s="69"/>
      <c r="CE566" s="94">
        <f t="shared" si="46"/>
        <v>7445.38</v>
      </c>
      <c r="CF566" s="151">
        <f t="shared" si="48"/>
        <v>0</v>
      </c>
      <c r="CG566" s="75">
        <f t="shared" si="47"/>
        <v>4417</v>
      </c>
      <c r="CH566" s="69" t="str">
        <f t="shared" si="47"/>
        <v>ماليزى اسنان</v>
      </c>
    </row>
    <row r="567" spans="1:86" x14ac:dyDescent="0.25">
      <c r="A567" s="148"/>
      <c r="B567" s="82">
        <v>8418</v>
      </c>
      <c r="C567" s="149">
        <v>4418</v>
      </c>
      <c r="D567" s="69" t="s">
        <v>132</v>
      </c>
      <c r="E567" s="69" t="s">
        <v>3287</v>
      </c>
      <c r="F567" s="63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>
        <v>3250</v>
      </c>
      <c r="Y567" s="69"/>
      <c r="Z567" s="69"/>
      <c r="AA567" s="69"/>
      <c r="AB567" s="69"/>
      <c r="AC567" s="69"/>
      <c r="AD567" s="69"/>
      <c r="AE567" s="69"/>
      <c r="AF567" s="69"/>
      <c r="AG567" s="69"/>
      <c r="AH567" s="69"/>
      <c r="AI567" s="69"/>
      <c r="AJ567" s="69"/>
      <c r="AK567" s="69"/>
      <c r="AL567" s="69"/>
      <c r="AM567" s="69"/>
      <c r="AN567" s="69"/>
      <c r="AO567" s="69"/>
      <c r="AP567" s="69"/>
      <c r="AQ567" s="69"/>
      <c r="AR567" s="94">
        <f t="shared" si="26"/>
        <v>3250</v>
      </c>
      <c r="AS567" s="69">
        <v>3250</v>
      </c>
      <c r="AT567" s="69"/>
      <c r="AU567" s="69"/>
      <c r="AV567" s="69"/>
      <c r="AW567" s="69"/>
      <c r="AX567" s="69"/>
      <c r="AY567" s="69"/>
      <c r="AZ567" s="69"/>
      <c r="BA567" s="69"/>
      <c r="BB567" s="69"/>
      <c r="BC567" s="69"/>
      <c r="BD567" s="69"/>
      <c r="BE567" s="69"/>
      <c r="BF567" s="69"/>
      <c r="BG567" s="69"/>
      <c r="BH567" s="69"/>
      <c r="BI567" s="69"/>
      <c r="BJ567" s="69"/>
      <c r="BK567" s="69"/>
      <c r="BL567" s="69"/>
      <c r="BM567" s="69"/>
      <c r="BN567" s="69"/>
      <c r="BO567" s="69"/>
      <c r="BP567" s="69"/>
      <c r="BQ567" s="69"/>
      <c r="BR567" s="69"/>
      <c r="BS567" s="69"/>
      <c r="BT567" s="69"/>
      <c r="BU567" s="69"/>
      <c r="BV567" s="69"/>
      <c r="BW567" s="69"/>
      <c r="BX567" s="69"/>
      <c r="BY567" s="69"/>
      <c r="BZ567" s="69"/>
      <c r="CA567" s="69"/>
      <c r="CB567" s="69"/>
      <c r="CC567" s="69"/>
      <c r="CD567" s="69"/>
      <c r="CE567" s="94">
        <f t="shared" si="46"/>
        <v>3250</v>
      </c>
      <c r="CF567" s="151">
        <f t="shared" si="48"/>
        <v>0</v>
      </c>
      <c r="CG567" s="75">
        <f t="shared" si="47"/>
        <v>4418</v>
      </c>
      <c r="CH567" s="69" t="str">
        <f t="shared" si="47"/>
        <v>صيدلة اكلينيكى</v>
      </c>
    </row>
    <row r="568" spans="1:86" x14ac:dyDescent="0.25">
      <c r="A568" s="148"/>
      <c r="B568" s="82">
        <v>8420</v>
      </c>
      <c r="C568" s="149">
        <v>4419</v>
      </c>
      <c r="D568" s="69" t="s">
        <v>132</v>
      </c>
      <c r="E568" s="69" t="s">
        <v>3288</v>
      </c>
      <c r="F568" s="63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>
        <v>1282.5</v>
      </c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  <c r="AE568" s="69"/>
      <c r="AF568" s="69"/>
      <c r="AG568" s="69"/>
      <c r="AH568" s="69"/>
      <c r="AI568" s="69"/>
      <c r="AJ568" s="69"/>
      <c r="AK568" s="69"/>
      <c r="AL568" s="69"/>
      <c r="AM568" s="69"/>
      <c r="AN568" s="69"/>
      <c r="AO568" s="69"/>
      <c r="AP568" s="69"/>
      <c r="AQ568" s="69"/>
      <c r="AR568" s="94">
        <f t="shared" si="26"/>
        <v>1282.5</v>
      </c>
      <c r="AS568" s="69">
        <v>1282.5</v>
      </c>
      <c r="AT568" s="69"/>
      <c r="AU568" s="69"/>
      <c r="AV568" s="69"/>
      <c r="AW568" s="69"/>
      <c r="AX568" s="69"/>
      <c r="AY568" s="69"/>
      <c r="AZ568" s="69"/>
      <c r="BA568" s="69"/>
      <c r="BB568" s="69"/>
      <c r="BC568" s="69"/>
      <c r="BD568" s="69"/>
      <c r="BE568" s="69"/>
      <c r="BF568" s="69"/>
      <c r="BG568" s="69"/>
      <c r="BH568" s="69"/>
      <c r="BI568" s="69"/>
      <c r="BJ568" s="69"/>
      <c r="BK568" s="69"/>
      <c r="BL568" s="69"/>
      <c r="BM568" s="69"/>
      <c r="BN568" s="69"/>
      <c r="BO568" s="69"/>
      <c r="BP568" s="69"/>
      <c r="BQ568" s="69"/>
      <c r="BR568" s="69"/>
      <c r="BS568" s="69"/>
      <c r="BT568" s="69"/>
      <c r="BU568" s="69"/>
      <c r="BV568" s="69"/>
      <c r="BW568" s="69"/>
      <c r="BX568" s="69"/>
      <c r="BY568" s="69"/>
      <c r="BZ568" s="69"/>
      <c r="CA568" s="69"/>
      <c r="CB568" s="69"/>
      <c r="CC568" s="69"/>
      <c r="CD568" s="69"/>
      <c r="CE568" s="94">
        <f t="shared" si="46"/>
        <v>1282.5</v>
      </c>
      <c r="CF568" s="151">
        <f t="shared" si="48"/>
        <v>0</v>
      </c>
      <c r="CG568" s="75">
        <f t="shared" si="47"/>
        <v>4419</v>
      </c>
      <c r="CH568" s="69" t="str">
        <f t="shared" si="47"/>
        <v>صيدلة اكلينيكى</v>
      </c>
    </row>
    <row r="569" spans="1:86" x14ac:dyDescent="0.25">
      <c r="A569" s="148"/>
      <c r="B569" s="82">
        <v>8421</v>
      </c>
      <c r="C569" s="149">
        <v>4420</v>
      </c>
      <c r="D569" s="69" t="s">
        <v>119</v>
      </c>
      <c r="E569" s="69" t="s">
        <v>3289</v>
      </c>
      <c r="F569" s="63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>
        <v>3484</v>
      </c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  <c r="AE569" s="69"/>
      <c r="AF569" s="69"/>
      <c r="AG569" s="69"/>
      <c r="AH569" s="69"/>
      <c r="AI569" s="69"/>
      <c r="AJ569" s="69"/>
      <c r="AK569" s="69"/>
      <c r="AL569" s="69"/>
      <c r="AM569" s="69"/>
      <c r="AN569" s="69"/>
      <c r="AO569" s="69"/>
      <c r="AP569" s="69"/>
      <c r="AQ569" s="69"/>
      <c r="AR569" s="94">
        <f t="shared" si="26"/>
        <v>3484</v>
      </c>
      <c r="AS569" s="69">
        <v>3484</v>
      </c>
      <c r="AT569" s="69"/>
      <c r="AU569" s="69"/>
      <c r="AV569" s="69"/>
      <c r="AW569" s="69"/>
      <c r="AX569" s="69"/>
      <c r="AY569" s="69"/>
      <c r="AZ569" s="69"/>
      <c r="BA569" s="69"/>
      <c r="BB569" s="69"/>
      <c r="BC569" s="69"/>
      <c r="BD569" s="69"/>
      <c r="BE569" s="69"/>
      <c r="BF569" s="69"/>
      <c r="BG569" s="69"/>
      <c r="BH569" s="69"/>
      <c r="BI569" s="69"/>
      <c r="BJ569" s="69"/>
      <c r="BK569" s="69"/>
      <c r="BL569" s="69"/>
      <c r="BM569" s="69"/>
      <c r="BN569" s="69"/>
      <c r="BO569" s="69"/>
      <c r="BP569" s="69"/>
      <c r="BQ569" s="69"/>
      <c r="BR569" s="69"/>
      <c r="BS569" s="69"/>
      <c r="BT569" s="69"/>
      <c r="BU569" s="69"/>
      <c r="BV569" s="69"/>
      <c r="BW569" s="69"/>
      <c r="BX569" s="69"/>
      <c r="BY569" s="69"/>
      <c r="BZ569" s="69"/>
      <c r="CA569" s="69"/>
      <c r="CB569" s="69"/>
      <c r="CC569" s="69"/>
      <c r="CD569" s="69"/>
      <c r="CE569" s="94">
        <f t="shared" si="46"/>
        <v>3484</v>
      </c>
      <c r="CF569" s="151">
        <f t="shared" si="48"/>
        <v>0</v>
      </c>
      <c r="CG569" s="75">
        <f t="shared" si="47"/>
        <v>4420</v>
      </c>
      <c r="CH569" s="69" t="str">
        <f t="shared" si="47"/>
        <v>خ ت صيدلة</v>
      </c>
    </row>
    <row r="570" spans="1:86" x14ac:dyDescent="0.25">
      <c r="A570" s="148"/>
      <c r="B570" s="82"/>
      <c r="C570" s="149"/>
      <c r="D570" s="69" t="s">
        <v>119</v>
      </c>
      <c r="E570" s="69"/>
      <c r="F570" s="63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  <c r="AE570" s="69"/>
      <c r="AF570" s="69"/>
      <c r="AG570" s="69"/>
      <c r="AH570" s="69"/>
      <c r="AI570" s="69"/>
      <c r="AJ570" s="69"/>
      <c r="AK570" s="69"/>
      <c r="AL570" s="69"/>
      <c r="AM570" s="69"/>
      <c r="AN570" s="69"/>
      <c r="AO570" s="69"/>
      <c r="AP570" s="69"/>
      <c r="AQ570" s="69"/>
      <c r="AR570" s="94"/>
      <c r="AS570" s="69"/>
      <c r="AT570" s="69"/>
      <c r="AU570" s="69"/>
      <c r="AV570" s="69"/>
      <c r="AW570" s="69"/>
      <c r="AX570" s="69"/>
      <c r="AY570" s="69"/>
      <c r="AZ570" s="69"/>
      <c r="BA570" s="69"/>
      <c r="BB570" s="69"/>
      <c r="BC570" s="69"/>
      <c r="BD570" s="69"/>
      <c r="BE570" s="69"/>
      <c r="BF570" s="69"/>
      <c r="BG570" s="69"/>
      <c r="BH570" s="69"/>
      <c r="BI570" s="69"/>
      <c r="BJ570" s="69"/>
      <c r="BK570" s="69"/>
      <c r="BL570" s="69"/>
      <c r="BM570" s="69"/>
      <c r="BN570" s="69"/>
      <c r="BO570" s="69"/>
      <c r="BP570" s="69"/>
      <c r="BQ570" s="69"/>
      <c r="BR570" s="69"/>
      <c r="BS570" s="69"/>
      <c r="BT570" s="69"/>
      <c r="BU570" s="69"/>
      <c r="BV570" s="69"/>
      <c r="BW570" s="69"/>
      <c r="BX570" s="69"/>
      <c r="BY570" s="69"/>
      <c r="BZ570" s="69"/>
      <c r="CA570" s="69"/>
      <c r="CB570" s="69"/>
      <c r="CC570" s="69"/>
      <c r="CD570" s="69"/>
      <c r="CE570" s="94"/>
      <c r="CF570" s="151"/>
    </row>
    <row r="571" spans="1:86" x14ac:dyDescent="0.25">
      <c r="A571" s="148"/>
      <c r="B571" s="82">
        <v>8350</v>
      </c>
      <c r="C571" s="149">
        <v>4421</v>
      </c>
      <c r="D571" s="69" t="s">
        <v>119</v>
      </c>
      <c r="E571" s="69" t="s">
        <v>3290</v>
      </c>
      <c r="F571" s="63"/>
      <c r="G571" s="69"/>
      <c r="H571" s="69">
        <v>2000</v>
      </c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>
        <v>2000</v>
      </c>
      <c r="AC571" s="69"/>
      <c r="AD571" s="69"/>
      <c r="AE571" s="69"/>
      <c r="AF571" s="69"/>
      <c r="AG571" s="69"/>
      <c r="AH571" s="69"/>
      <c r="AI571" s="69"/>
      <c r="AJ571" s="69"/>
      <c r="AK571" s="69"/>
      <c r="AL571" s="69"/>
      <c r="AM571" s="69"/>
      <c r="AN571" s="69"/>
      <c r="AO571" s="69"/>
      <c r="AP571" s="69"/>
      <c r="AQ571" s="69"/>
      <c r="AR571" s="94">
        <f t="shared" si="26"/>
        <v>4000</v>
      </c>
      <c r="AS571" s="69">
        <v>2000</v>
      </c>
      <c r="AT571" s="69"/>
      <c r="AU571" s="69"/>
      <c r="AV571" s="69"/>
      <c r="AW571" s="69"/>
      <c r="AX571" s="69"/>
      <c r="AY571" s="69"/>
      <c r="AZ571" s="69"/>
      <c r="BA571" s="69"/>
      <c r="BB571" s="69"/>
      <c r="BC571" s="69"/>
      <c r="BD571" s="69"/>
      <c r="BE571" s="69"/>
      <c r="BF571" s="69"/>
      <c r="BG571" s="69"/>
      <c r="BH571" s="69"/>
      <c r="BI571" s="69"/>
      <c r="BJ571" s="69"/>
      <c r="BK571" s="69"/>
      <c r="BL571" s="69"/>
      <c r="BM571" s="69"/>
      <c r="BN571" s="69"/>
      <c r="BO571" s="69"/>
      <c r="BP571" s="69"/>
      <c r="BQ571" s="69"/>
      <c r="BR571" s="69"/>
      <c r="BS571" s="69">
        <v>2000</v>
      </c>
      <c r="BT571" s="69"/>
      <c r="BU571" s="69"/>
      <c r="BV571" s="69"/>
      <c r="BW571" s="69"/>
      <c r="BX571" s="69"/>
      <c r="BY571" s="69"/>
      <c r="BZ571" s="69"/>
      <c r="CA571" s="69"/>
      <c r="CB571" s="69"/>
      <c r="CC571" s="69"/>
      <c r="CD571" s="69"/>
      <c r="CE571" s="94">
        <f t="shared" si="46"/>
        <v>4000</v>
      </c>
      <c r="CF571" s="151">
        <f t="shared" si="48"/>
        <v>0</v>
      </c>
      <c r="CG571" s="75">
        <f t="shared" si="47"/>
        <v>4421</v>
      </c>
      <c r="CH571" s="69" t="str">
        <f t="shared" si="47"/>
        <v>خ ت صيدلة</v>
      </c>
    </row>
    <row r="572" spans="1:86" x14ac:dyDescent="0.25">
      <c r="A572" s="148"/>
      <c r="B572" s="82">
        <v>5053</v>
      </c>
      <c r="C572" s="149">
        <v>4422</v>
      </c>
      <c r="D572" s="69" t="s">
        <v>119</v>
      </c>
      <c r="E572" s="69" t="s">
        <v>3291</v>
      </c>
      <c r="F572" s="63"/>
      <c r="G572" s="69"/>
      <c r="H572" s="69">
        <v>2000</v>
      </c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>
        <v>2000</v>
      </c>
      <c r="AC572" s="69"/>
      <c r="AD572" s="69"/>
      <c r="AE572" s="69"/>
      <c r="AF572" s="69"/>
      <c r="AG572" s="69"/>
      <c r="AH572" s="69"/>
      <c r="AI572" s="69"/>
      <c r="AJ572" s="69"/>
      <c r="AK572" s="69"/>
      <c r="AL572" s="69"/>
      <c r="AM572" s="69"/>
      <c r="AN572" s="69"/>
      <c r="AO572" s="69"/>
      <c r="AP572" s="69"/>
      <c r="AQ572" s="69"/>
      <c r="AR572" s="94">
        <f t="shared" si="26"/>
        <v>4000</v>
      </c>
      <c r="AS572" s="69">
        <v>2000</v>
      </c>
      <c r="AT572" s="69"/>
      <c r="AU572" s="69"/>
      <c r="AV572" s="69"/>
      <c r="AW572" s="69"/>
      <c r="AX572" s="69"/>
      <c r="AY572" s="69"/>
      <c r="AZ572" s="69"/>
      <c r="BA572" s="69"/>
      <c r="BB572" s="69"/>
      <c r="BC572" s="69"/>
      <c r="BD572" s="69"/>
      <c r="BE572" s="69"/>
      <c r="BF572" s="69"/>
      <c r="BG572" s="69"/>
      <c r="BH572" s="69"/>
      <c r="BI572" s="69"/>
      <c r="BJ572" s="69"/>
      <c r="BK572" s="69"/>
      <c r="BL572" s="69"/>
      <c r="BM572" s="69"/>
      <c r="BN572" s="69"/>
      <c r="BO572" s="69"/>
      <c r="BP572" s="69"/>
      <c r="BQ572" s="69"/>
      <c r="BR572" s="69"/>
      <c r="BS572" s="69">
        <v>2000</v>
      </c>
      <c r="BT572" s="69"/>
      <c r="BU572" s="69"/>
      <c r="BV572" s="69"/>
      <c r="BW572" s="69"/>
      <c r="BX572" s="69"/>
      <c r="BY572" s="69"/>
      <c r="BZ572" s="69"/>
      <c r="CA572" s="69"/>
      <c r="CB572" s="69"/>
      <c r="CC572" s="69"/>
      <c r="CD572" s="69"/>
      <c r="CE572" s="94">
        <f t="shared" si="46"/>
        <v>4000</v>
      </c>
      <c r="CF572" s="151">
        <f t="shared" si="48"/>
        <v>0</v>
      </c>
      <c r="CG572" s="75">
        <f t="shared" si="47"/>
        <v>4422</v>
      </c>
      <c r="CH572" s="69" t="str">
        <f t="shared" si="47"/>
        <v>خ ت صيدلة</v>
      </c>
    </row>
    <row r="573" spans="1:86" x14ac:dyDescent="0.25">
      <c r="A573" s="148"/>
      <c r="B573" s="82">
        <v>8296</v>
      </c>
      <c r="C573" s="149">
        <v>4423</v>
      </c>
      <c r="D573" s="69" t="s">
        <v>78</v>
      </c>
      <c r="E573" s="69" t="s">
        <v>2968</v>
      </c>
      <c r="F573" s="63"/>
      <c r="G573" s="69"/>
      <c r="H573" s="69">
        <v>1000</v>
      </c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  <c r="AE573" s="69"/>
      <c r="AF573" s="69"/>
      <c r="AG573" s="69"/>
      <c r="AH573" s="69"/>
      <c r="AI573" s="69"/>
      <c r="AJ573" s="69"/>
      <c r="AK573" s="69"/>
      <c r="AL573" s="69"/>
      <c r="AM573" s="69"/>
      <c r="AN573" s="69"/>
      <c r="AO573" s="69"/>
      <c r="AP573" s="69"/>
      <c r="AQ573" s="69"/>
      <c r="AR573" s="94">
        <f t="shared" si="26"/>
        <v>1000</v>
      </c>
      <c r="AS573" s="69">
        <v>908.95</v>
      </c>
      <c r="AT573" s="69">
        <v>50.7</v>
      </c>
      <c r="AU573" s="69"/>
      <c r="AV573" s="69"/>
      <c r="AW573" s="69"/>
      <c r="AX573" s="69"/>
      <c r="AY573" s="69"/>
      <c r="AZ573" s="69"/>
      <c r="BA573" s="69"/>
      <c r="BB573" s="69"/>
      <c r="BC573" s="69"/>
      <c r="BD573" s="69"/>
      <c r="BE573" s="69"/>
      <c r="BF573" s="69"/>
      <c r="BG573" s="69">
        <v>26.35</v>
      </c>
      <c r="BH573" s="69">
        <v>6</v>
      </c>
      <c r="BI573" s="69">
        <f>4*2</f>
        <v>8</v>
      </c>
      <c r="BJ573" s="69"/>
      <c r="BK573" s="69"/>
      <c r="BL573" s="69"/>
      <c r="BM573" s="69"/>
      <c r="BN573" s="69"/>
      <c r="BO573" s="69"/>
      <c r="BP573" s="69"/>
      <c r="BQ573" s="69"/>
      <c r="BR573" s="69"/>
      <c r="BS573" s="69"/>
      <c r="BT573" s="69"/>
      <c r="BU573" s="69"/>
      <c r="BV573" s="69"/>
      <c r="BW573" s="69"/>
      <c r="BX573" s="69"/>
      <c r="BY573" s="69"/>
      <c r="BZ573" s="69"/>
      <c r="CA573" s="69"/>
      <c r="CB573" s="69"/>
      <c r="CC573" s="69"/>
      <c r="CD573" s="69"/>
      <c r="CE573" s="94">
        <f t="shared" si="46"/>
        <v>1000.0000000000001</v>
      </c>
      <c r="CF573" s="151">
        <f t="shared" si="48"/>
        <v>0</v>
      </c>
      <c r="CG573" s="75">
        <f t="shared" si="47"/>
        <v>4423</v>
      </c>
      <c r="CH573" s="69" t="str">
        <f t="shared" si="47"/>
        <v>برنامج دولى</v>
      </c>
    </row>
    <row r="574" spans="1:86" ht="36" x14ac:dyDescent="0.25">
      <c r="A574" s="148"/>
      <c r="B574" s="82">
        <v>8556</v>
      </c>
      <c r="C574" s="149">
        <v>4424</v>
      </c>
      <c r="D574" s="69" t="s">
        <v>121</v>
      </c>
      <c r="E574" s="77" t="s">
        <v>3292</v>
      </c>
      <c r="F574" s="63"/>
      <c r="G574" s="69"/>
      <c r="H574" s="69">
        <v>3448.5</v>
      </c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  <c r="AE574" s="69"/>
      <c r="AF574" s="69"/>
      <c r="AG574" s="69"/>
      <c r="AH574" s="69"/>
      <c r="AI574" s="69"/>
      <c r="AJ574" s="69"/>
      <c r="AK574" s="69"/>
      <c r="AL574" s="69"/>
      <c r="AM574" s="69"/>
      <c r="AN574" s="69"/>
      <c r="AO574" s="69"/>
      <c r="AP574" s="69"/>
      <c r="AQ574" s="69"/>
      <c r="AR574" s="94">
        <f t="shared" si="26"/>
        <v>3448.5</v>
      </c>
      <c r="AS574" s="69">
        <v>3221</v>
      </c>
      <c r="AT574" s="69">
        <f>44.75+134.25+13.5</f>
        <v>192.5</v>
      </c>
      <c r="AU574" s="69"/>
      <c r="AV574" s="69">
        <v>5</v>
      </c>
      <c r="AW574" s="69"/>
      <c r="AX574" s="69"/>
      <c r="AY574" s="69"/>
      <c r="AZ574" s="69"/>
      <c r="BA574" s="69"/>
      <c r="BB574" s="69"/>
      <c r="BC574" s="69"/>
      <c r="BD574" s="69"/>
      <c r="BE574" s="69"/>
      <c r="BF574" s="69"/>
      <c r="BG574" s="69"/>
      <c r="BH574" s="69">
        <v>30</v>
      </c>
      <c r="BI574" s="69"/>
      <c r="BJ574" s="69"/>
      <c r="BK574" s="69"/>
      <c r="BL574" s="69"/>
      <c r="BM574" s="69"/>
      <c r="BN574" s="69"/>
      <c r="BO574" s="69"/>
      <c r="BP574" s="69"/>
      <c r="BQ574" s="69"/>
      <c r="BR574" s="69"/>
      <c r="BS574" s="69"/>
      <c r="BT574" s="69"/>
      <c r="BU574" s="69"/>
      <c r="BV574" s="69"/>
      <c r="BW574" s="69"/>
      <c r="BX574" s="69"/>
      <c r="BY574" s="69"/>
      <c r="BZ574" s="69"/>
      <c r="CA574" s="69"/>
      <c r="CB574" s="69"/>
      <c r="CC574" s="69"/>
      <c r="CD574" s="69"/>
      <c r="CE574" s="94">
        <f t="shared" si="46"/>
        <v>3448.5</v>
      </c>
      <c r="CF574" s="151">
        <f t="shared" si="48"/>
        <v>0</v>
      </c>
      <c r="CG574" s="75">
        <f t="shared" si="47"/>
        <v>4424</v>
      </c>
      <c r="CH574" s="69" t="str">
        <f t="shared" si="47"/>
        <v>ماليزى اسنان</v>
      </c>
    </row>
    <row r="575" spans="1:86" ht="36" x14ac:dyDescent="0.25">
      <c r="A575" s="148"/>
      <c r="B575" s="82">
        <v>8557</v>
      </c>
      <c r="C575" s="149">
        <v>4425</v>
      </c>
      <c r="D575" s="69" t="s">
        <v>121</v>
      </c>
      <c r="E575" s="77" t="s">
        <v>3293</v>
      </c>
      <c r="F575" s="63"/>
      <c r="G575" s="69"/>
      <c r="H575" s="69">
        <v>250000</v>
      </c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>
        <v>250000</v>
      </c>
      <c r="AC575" s="69"/>
      <c r="AD575" s="69"/>
      <c r="AE575" s="69"/>
      <c r="AF575" s="69"/>
      <c r="AG575" s="69"/>
      <c r="AH575" s="69"/>
      <c r="AI575" s="69"/>
      <c r="AJ575" s="69"/>
      <c r="AK575" s="69"/>
      <c r="AL575" s="69"/>
      <c r="AM575" s="69"/>
      <c r="AN575" s="69"/>
      <c r="AO575" s="69"/>
      <c r="AP575" s="69"/>
      <c r="AQ575" s="69"/>
      <c r="AR575" s="94">
        <f t="shared" si="26"/>
        <v>500000</v>
      </c>
      <c r="AS575" s="69">
        <v>250000</v>
      </c>
      <c r="AT575" s="69"/>
      <c r="AU575" s="69"/>
      <c r="AV575" s="69"/>
      <c r="AW575" s="69"/>
      <c r="AX575" s="69"/>
      <c r="AY575" s="69"/>
      <c r="AZ575" s="69"/>
      <c r="BA575" s="69"/>
      <c r="BB575" s="69"/>
      <c r="BC575" s="69"/>
      <c r="BD575" s="69"/>
      <c r="BE575" s="69"/>
      <c r="BF575" s="69"/>
      <c r="BG575" s="69"/>
      <c r="BH575" s="69"/>
      <c r="BI575" s="69"/>
      <c r="BJ575" s="69"/>
      <c r="BK575" s="69"/>
      <c r="BL575" s="69"/>
      <c r="BM575" s="69"/>
      <c r="BN575" s="69"/>
      <c r="BO575" s="69"/>
      <c r="BP575" s="69"/>
      <c r="BQ575" s="69"/>
      <c r="BR575" s="69"/>
      <c r="BS575" s="69">
        <v>250000</v>
      </c>
      <c r="BT575" s="69"/>
      <c r="BU575" s="69"/>
      <c r="BV575" s="69"/>
      <c r="BW575" s="69"/>
      <c r="BX575" s="69"/>
      <c r="BY575" s="69"/>
      <c r="BZ575" s="69"/>
      <c r="CA575" s="69"/>
      <c r="CB575" s="69"/>
      <c r="CC575" s="69"/>
      <c r="CD575" s="69"/>
      <c r="CE575" s="94">
        <f t="shared" si="46"/>
        <v>500000</v>
      </c>
      <c r="CF575" s="151">
        <f t="shared" si="48"/>
        <v>0</v>
      </c>
      <c r="CG575" s="75">
        <f t="shared" si="47"/>
        <v>4425</v>
      </c>
      <c r="CH575" s="69" t="str">
        <f t="shared" si="47"/>
        <v>ماليزى اسنان</v>
      </c>
    </row>
    <row r="576" spans="1:86" x14ac:dyDescent="0.25">
      <c r="A576" s="148"/>
      <c r="B576" s="82">
        <v>8559</v>
      </c>
      <c r="C576" s="149">
        <v>4426</v>
      </c>
      <c r="D576" s="69" t="s">
        <v>121</v>
      </c>
      <c r="E576" s="69" t="s">
        <v>3294</v>
      </c>
      <c r="F576" s="63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>
        <v>2325</v>
      </c>
      <c r="Y576" s="69"/>
      <c r="Z576" s="69"/>
      <c r="AA576" s="69"/>
      <c r="AB576" s="69"/>
      <c r="AC576" s="69"/>
      <c r="AD576" s="69"/>
      <c r="AE576" s="69"/>
      <c r="AF576" s="69"/>
      <c r="AG576" s="69"/>
      <c r="AH576" s="69"/>
      <c r="AI576" s="69"/>
      <c r="AJ576" s="69"/>
      <c r="AK576" s="69"/>
      <c r="AL576" s="69"/>
      <c r="AM576" s="69"/>
      <c r="AN576" s="69"/>
      <c r="AO576" s="69"/>
      <c r="AP576" s="69"/>
      <c r="AQ576" s="69"/>
      <c r="AR576" s="94">
        <f t="shared" si="26"/>
        <v>2325</v>
      </c>
      <c r="AS576" s="69">
        <v>2325</v>
      </c>
      <c r="AT576" s="69"/>
      <c r="AU576" s="69"/>
      <c r="AV576" s="69"/>
      <c r="AW576" s="69"/>
      <c r="AX576" s="69"/>
      <c r="AY576" s="69"/>
      <c r="AZ576" s="69"/>
      <c r="BA576" s="69"/>
      <c r="BB576" s="69"/>
      <c r="BC576" s="69"/>
      <c r="BD576" s="69"/>
      <c r="BE576" s="69"/>
      <c r="BF576" s="69"/>
      <c r="BG576" s="69"/>
      <c r="BH576" s="69"/>
      <c r="BI576" s="69"/>
      <c r="BJ576" s="69"/>
      <c r="BK576" s="69"/>
      <c r="BL576" s="69"/>
      <c r="BM576" s="69"/>
      <c r="BN576" s="69"/>
      <c r="BO576" s="69"/>
      <c r="BP576" s="69"/>
      <c r="BQ576" s="69"/>
      <c r="BR576" s="69"/>
      <c r="BS576" s="69"/>
      <c r="BT576" s="69"/>
      <c r="BU576" s="69"/>
      <c r="BV576" s="69"/>
      <c r="BW576" s="69"/>
      <c r="BX576" s="69"/>
      <c r="BY576" s="69"/>
      <c r="BZ576" s="69"/>
      <c r="CA576" s="69"/>
      <c r="CB576" s="69"/>
      <c r="CC576" s="69"/>
      <c r="CD576" s="69"/>
      <c r="CE576" s="94">
        <f t="shared" si="46"/>
        <v>2325</v>
      </c>
      <c r="CF576" s="151">
        <f t="shared" si="48"/>
        <v>0</v>
      </c>
      <c r="CG576" s="75">
        <f t="shared" si="47"/>
        <v>4426</v>
      </c>
      <c r="CH576" s="69" t="str">
        <f t="shared" si="47"/>
        <v>ماليزى اسنان</v>
      </c>
    </row>
    <row r="577" spans="1:86" x14ac:dyDescent="0.25">
      <c r="A577" s="148"/>
      <c r="B577" s="82">
        <v>8136</v>
      </c>
      <c r="C577" s="149">
        <v>4427</v>
      </c>
      <c r="D577" s="69" t="s">
        <v>137</v>
      </c>
      <c r="E577" s="69" t="s">
        <v>3295</v>
      </c>
      <c r="F577" s="63"/>
      <c r="G577" s="69">
        <v>2529.4699999999998</v>
      </c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  <c r="AD577" s="69"/>
      <c r="AE577" s="69"/>
      <c r="AF577" s="69"/>
      <c r="AG577" s="69"/>
      <c r="AH577" s="69"/>
      <c r="AI577" s="69"/>
      <c r="AJ577" s="69"/>
      <c r="AK577" s="69"/>
      <c r="AL577" s="69"/>
      <c r="AM577" s="69"/>
      <c r="AN577" s="69"/>
      <c r="AO577" s="69"/>
      <c r="AP577" s="69"/>
      <c r="AQ577" s="69"/>
      <c r="AR577" s="94">
        <f t="shared" si="26"/>
        <v>2529.4699999999998</v>
      </c>
      <c r="AS577" s="69">
        <v>1616.56</v>
      </c>
      <c r="AT577" s="69">
        <v>229.52</v>
      </c>
      <c r="AU577" s="69">
        <v>574.46</v>
      </c>
      <c r="AV577" s="69">
        <v>108.93</v>
      </c>
      <c r="AW577" s="69"/>
      <c r="AX577" s="69"/>
      <c r="AY577" s="69"/>
      <c r="AZ577" s="69"/>
      <c r="BA577" s="69"/>
      <c r="BB577" s="69"/>
      <c r="BC577" s="69"/>
      <c r="BD577" s="69"/>
      <c r="BE577" s="69"/>
      <c r="BF577" s="69"/>
      <c r="BG577" s="69"/>
      <c r="BH577" s="69"/>
      <c r="BI577" s="69"/>
      <c r="BJ577" s="69"/>
      <c r="BK577" s="69"/>
      <c r="BL577" s="69"/>
      <c r="BM577" s="69"/>
      <c r="BN577" s="69"/>
      <c r="BO577" s="69"/>
      <c r="BP577" s="69"/>
      <c r="BQ577" s="69"/>
      <c r="BR577" s="69"/>
      <c r="BS577" s="69"/>
      <c r="BT577" s="69"/>
      <c r="BU577" s="69"/>
      <c r="BV577" s="69"/>
      <c r="BW577" s="69"/>
      <c r="BX577" s="69"/>
      <c r="BY577" s="69"/>
      <c r="BZ577" s="69"/>
      <c r="CA577" s="69"/>
      <c r="CB577" s="69"/>
      <c r="CC577" s="69"/>
      <c r="CD577" s="69"/>
      <c r="CE577" s="94">
        <f t="shared" si="46"/>
        <v>2529.4699999999998</v>
      </c>
      <c r="CF577" s="151">
        <f t="shared" si="48"/>
        <v>0</v>
      </c>
      <c r="CG577" s="75">
        <f t="shared" si="47"/>
        <v>4427</v>
      </c>
      <c r="CH577" s="69" t="str">
        <f t="shared" si="47"/>
        <v xml:space="preserve">خدمة عامة </v>
      </c>
    </row>
    <row r="578" spans="1:86" x14ac:dyDescent="0.25">
      <c r="A578" s="148"/>
      <c r="B578" s="82">
        <v>8137</v>
      </c>
      <c r="C578" s="149">
        <v>4428</v>
      </c>
      <c r="D578" s="69" t="s">
        <v>137</v>
      </c>
      <c r="E578" s="69" t="s">
        <v>3296</v>
      </c>
      <c r="F578" s="63"/>
      <c r="G578" s="69">
        <v>2445.71</v>
      </c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  <c r="AD578" s="69"/>
      <c r="AE578" s="69"/>
      <c r="AF578" s="69"/>
      <c r="AG578" s="69"/>
      <c r="AH578" s="69"/>
      <c r="AI578" s="69"/>
      <c r="AJ578" s="69"/>
      <c r="AK578" s="69"/>
      <c r="AL578" s="69"/>
      <c r="AM578" s="69"/>
      <c r="AN578" s="69"/>
      <c r="AO578" s="69"/>
      <c r="AP578" s="69"/>
      <c r="AQ578" s="69"/>
      <c r="AR578" s="94">
        <f t="shared" si="26"/>
        <v>2445.71</v>
      </c>
      <c r="AS578" s="69">
        <v>1563.1</v>
      </c>
      <c r="AT578" s="69">
        <v>221.85</v>
      </c>
      <c r="AU578" s="69">
        <v>555.41999999999996</v>
      </c>
      <c r="AV578" s="69">
        <v>105.34</v>
      </c>
      <c r="AW578" s="69"/>
      <c r="AX578" s="69"/>
      <c r="AY578" s="69"/>
      <c r="AZ578" s="69"/>
      <c r="BA578" s="69"/>
      <c r="BB578" s="69"/>
      <c r="BC578" s="69"/>
      <c r="BD578" s="69"/>
      <c r="BE578" s="69"/>
      <c r="BF578" s="69"/>
      <c r="BG578" s="69"/>
      <c r="BH578" s="69"/>
      <c r="BI578" s="69"/>
      <c r="BJ578" s="69"/>
      <c r="BK578" s="69"/>
      <c r="BL578" s="69"/>
      <c r="BM578" s="69"/>
      <c r="BN578" s="69"/>
      <c r="BO578" s="69"/>
      <c r="BP578" s="69"/>
      <c r="BQ578" s="69"/>
      <c r="BR578" s="69"/>
      <c r="BS578" s="69"/>
      <c r="BT578" s="69"/>
      <c r="BU578" s="69"/>
      <c r="BV578" s="69"/>
      <c r="BW578" s="69"/>
      <c r="BX578" s="69"/>
      <c r="BY578" s="69"/>
      <c r="BZ578" s="69"/>
      <c r="CA578" s="69"/>
      <c r="CB578" s="69"/>
      <c r="CC578" s="69"/>
      <c r="CD578" s="69"/>
      <c r="CE578" s="94">
        <f t="shared" si="46"/>
        <v>2445.71</v>
      </c>
      <c r="CF578" s="151">
        <f t="shared" si="48"/>
        <v>0</v>
      </c>
      <c r="CG578" s="75">
        <f t="shared" si="47"/>
        <v>4428</v>
      </c>
      <c r="CH578" s="69" t="str">
        <f t="shared" si="47"/>
        <v xml:space="preserve">خدمة عامة </v>
      </c>
    </row>
    <row r="579" spans="1:86" x14ac:dyDescent="0.25">
      <c r="A579" s="148"/>
      <c r="B579" s="82">
        <v>8138</v>
      </c>
      <c r="C579" s="149">
        <v>4429</v>
      </c>
      <c r="D579" s="69" t="s">
        <v>137</v>
      </c>
      <c r="E579" s="69" t="s">
        <v>3297</v>
      </c>
      <c r="F579" s="63"/>
      <c r="G579" s="69">
        <v>2492.27</v>
      </c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  <c r="AD579" s="69"/>
      <c r="AE579" s="69"/>
      <c r="AF579" s="69"/>
      <c r="AG579" s="69"/>
      <c r="AH579" s="69"/>
      <c r="AI579" s="69"/>
      <c r="AJ579" s="69"/>
      <c r="AK579" s="69"/>
      <c r="AL579" s="69"/>
      <c r="AM579" s="69"/>
      <c r="AN579" s="69"/>
      <c r="AO579" s="69"/>
      <c r="AP579" s="69"/>
      <c r="AQ579" s="69"/>
      <c r="AR579" s="94">
        <f t="shared" si="26"/>
        <v>2492.27</v>
      </c>
      <c r="AS579" s="69">
        <v>1591.85</v>
      </c>
      <c r="AT579" s="69">
        <v>227.07</v>
      </c>
      <c r="AU579" s="69">
        <v>566</v>
      </c>
      <c r="AV579" s="69">
        <v>107.35</v>
      </c>
      <c r="AW579" s="69"/>
      <c r="AX579" s="69"/>
      <c r="AY579" s="69"/>
      <c r="AZ579" s="69"/>
      <c r="BA579" s="69"/>
      <c r="BB579" s="69"/>
      <c r="BC579" s="69"/>
      <c r="BD579" s="69"/>
      <c r="BE579" s="69"/>
      <c r="BF579" s="69"/>
      <c r="BG579" s="69"/>
      <c r="BH579" s="69"/>
      <c r="BI579" s="69"/>
      <c r="BJ579" s="69"/>
      <c r="BK579" s="69"/>
      <c r="BL579" s="69"/>
      <c r="BM579" s="69"/>
      <c r="BN579" s="69"/>
      <c r="BO579" s="69"/>
      <c r="BP579" s="69"/>
      <c r="BQ579" s="69"/>
      <c r="BR579" s="69"/>
      <c r="BS579" s="69"/>
      <c r="BT579" s="69"/>
      <c r="BU579" s="69"/>
      <c r="BV579" s="69"/>
      <c r="BW579" s="69"/>
      <c r="BX579" s="69"/>
      <c r="BY579" s="69"/>
      <c r="BZ579" s="69"/>
      <c r="CA579" s="69"/>
      <c r="CB579" s="69"/>
      <c r="CC579" s="69"/>
      <c r="CD579" s="69"/>
      <c r="CE579" s="94">
        <f t="shared" si="46"/>
        <v>2492.27</v>
      </c>
      <c r="CF579" s="151">
        <f t="shared" si="48"/>
        <v>0</v>
      </c>
      <c r="CG579" s="75">
        <f t="shared" si="47"/>
        <v>4429</v>
      </c>
      <c r="CH579" s="69" t="str">
        <f t="shared" si="47"/>
        <v xml:space="preserve">خدمة عامة </v>
      </c>
    </row>
    <row r="580" spans="1:86" x14ac:dyDescent="0.25">
      <c r="A580" s="148"/>
      <c r="B580" s="82">
        <v>8139</v>
      </c>
      <c r="C580" s="149">
        <v>4430</v>
      </c>
      <c r="D580" s="69" t="s">
        <v>137</v>
      </c>
      <c r="E580" s="69" t="s">
        <v>3298</v>
      </c>
      <c r="F580" s="63"/>
      <c r="G580" s="69">
        <v>3216.54</v>
      </c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  <c r="AD580" s="69"/>
      <c r="AE580" s="69"/>
      <c r="AF580" s="69"/>
      <c r="AG580" s="69"/>
      <c r="AH580" s="69"/>
      <c r="AI580" s="69"/>
      <c r="AJ580" s="69"/>
      <c r="AK580" s="69"/>
      <c r="AL580" s="69"/>
      <c r="AM580" s="69"/>
      <c r="AN580" s="69"/>
      <c r="AO580" s="69"/>
      <c r="AP580" s="69"/>
      <c r="AQ580" s="69"/>
      <c r="AR580" s="94">
        <f t="shared" si="26"/>
        <v>3216.54</v>
      </c>
      <c r="AS580" s="69">
        <v>2054.19</v>
      </c>
      <c r="AT580" s="69">
        <v>293.3</v>
      </c>
      <c r="AU580" s="69">
        <v>730.53</v>
      </c>
      <c r="AV580" s="69">
        <v>138.52000000000001</v>
      </c>
      <c r="AW580" s="69"/>
      <c r="AX580" s="69"/>
      <c r="AY580" s="69"/>
      <c r="AZ580" s="69"/>
      <c r="BA580" s="69"/>
      <c r="BB580" s="69"/>
      <c r="BC580" s="69"/>
      <c r="BD580" s="69"/>
      <c r="BE580" s="69"/>
      <c r="BF580" s="69"/>
      <c r="BG580" s="69"/>
      <c r="BH580" s="69"/>
      <c r="BI580" s="69"/>
      <c r="BJ580" s="69"/>
      <c r="BK580" s="69"/>
      <c r="BL580" s="69"/>
      <c r="BM580" s="69"/>
      <c r="BN580" s="69"/>
      <c r="BO580" s="69"/>
      <c r="BP580" s="69"/>
      <c r="BQ580" s="69"/>
      <c r="BR580" s="69"/>
      <c r="BS580" s="69"/>
      <c r="BT580" s="69"/>
      <c r="BU580" s="69"/>
      <c r="BV580" s="69"/>
      <c r="BW580" s="69"/>
      <c r="BX580" s="69"/>
      <c r="BY580" s="69"/>
      <c r="BZ580" s="69"/>
      <c r="CA580" s="69"/>
      <c r="CB580" s="69"/>
      <c r="CC580" s="69"/>
      <c r="CD580" s="69"/>
      <c r="CE580" s="94">
        <f t="shared" si="46"/>
        <v>3216.5400000000004</v>
      </c>
      <c r="CF580" s="151">
        <f t="shared" si="48"/>
        <v>0</v>
      </c>
      <c r="CG580" s="75">
        <f t="shared" si="47"/>
        <v>4430</v>
      </c>
      <c r="CH580" s="69" t="str">
        <f t="shared" si="47"/>
        <v xml:space="preserve">خدمة عامة </v>
      </c>
    </row>
    <row r="581" spans="1:86" x14ac:dyDescent="0.25">
      <c r="A581" s="148"/>
      <c r="B581" s="82">
        <v>8140</v>
      </c>
      <c r="C581" s="149">
        <v>4431</v>
      </c>
      <c r="D581" s="69" t="s">
        <v>137</v>
      </c>
      <c r="E581" s="69" t="s">
        <v>3299</v>
      </c>
      <c r="F581" s="63"/>
      <c r="G581" s="69">
        <v>2325.79</v>
      </c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  <c r="AE581" s="69"/>
      <c r="AF581" s="69"/>
      <c r="AG581" s="69"/>
      <c r="AH581" s="69"/>
      <c r="AI581" s="69"/>
      <c r="AJ581" s="69"/>
      <c r="AK581" s="69"/>
      <c r="AL581" s="69"/>
      <c r="AM581" s="69"/>
      <c r="AN581" s="69"/>
      <c r="AO581" s="69"/>
      <c r="AP581" s="69"/>
      <c r="AQ581" s="69"/>
      <c r="AR581" s="94">
        <f t="shared" si="26"/>
        <v>2325.79</v>
      </c>
      <c r="AS581" s="69">
        <v>1486.16</v>
      </c>
      <c r="AT581" s="69">
        <v>211.28</v>
      </c>
      <c r="AU581" s="69">
        <v>528.19000000000005</v>
      </c>
      <c r="AV581" s="69">
        <v>100.16</v>
      </c>
      <c r="AW581" s="69"/>
      <c r="AX581" s="69"/>
      <c r="AY581" s="69"/>
      <c r="AZ581" s="69"/>
      <c r="BA581" s="69"/>
      <c r="BB581" s="69"/>
      <c r="BC581" s="69"/>
      <c r="BD581" s="69"/>
      <c r="BE581" s="69"/>
      <c r="BF581" s="69"/>
      <c r="BG581" s="69"/>
      <c r="BH581" s="69"/>
      <c r="BI581" s="69"/>
      <c r="BJ581" s="69"/>
      <c r="BK581" s="69"/>
      <c r="BL581" s="69"/>
      <c r="BM581" s="69"/>
      <c r="BN581" s="69"/>
      <c r="BO581" s="69"/>
      <c r="BP581" s="69"/>
      <c r="BQ581" s="69"/>
      <c r="BR581" s="69"/>
      <c r="BS581" s="69"/>
      <c r="BT581" s="69"/>
      <c r="BU581" s="69"/>
      <c r="BV581" s="69"/>
      <c r="BW581" s="69"/>
      <c r="BX581" s="69"/>
      <c r="BY581" s="69"/>
      <c r="BZ581" s="69"/>
      <c r="CA581" s="69"/>
      <c r="CB581" s="69"/>
      <c r="CC581" s="69"/>
      <c r="CD581" s="69"/>
      <c r="CE581" s="94">
        <f t="shared" si="46"/>
        <v>2325.79</v>
      </c>
      <c r="CF581" s="151">
        <f t="shared" si="48"/>
        <v>0</v>
      </c>
      <c r="CG581" s="75">
        <f t="shared" si="47"/>
        <v>4431</v>
      </c>
      <c r="CH581" s="69" t="str">
        <f t="shared" si="47"/>
        <v xml:space="preserve">خدمة عامة </v>
      </c>
    </row>
    <row r="582" spans="1:86" x14ac:dyDescent="0.25">
      <c r="A582" s="148"/>
      <c r="B582" s="82">
        <v>8407</v>
      </c>
      <c r="C582" s="149">
        <v>4432</v>
      </c>
      <c r="D582" s="69" t="s">
        <v>137</v>
      </c>
      <c r="E582" s="69" t="s">
        <v>3300</v>
      </c>
      <c r="F582" s="63"/>
      <c r="G582" s="69">
        <v>2462.25</v>
      </c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  <c r="AD582" s="69"/>
      <c r="AE582" s="69"/>
      <c r="AF582" s="69"/>
      <c r="AG582" s="69"/>
      <c r="AH582" s="69"/>
      <c r="AI582" s="69"/>
      <c r="AJ582" s="69"/>
      <c r="AK582" s="69"/>
      <c r="AL582" s="69"/>
      <c r="AM582" s="69"/>
      <c r="AN582" s="69"/>
      <c r="AO582" s="69"/>
      <c r="AP582" s="69"/>
      <c r="AQ582" s="69"/>
      <c r="AR582" s="94">
        <f t="shared" si="26"/>
        <v>2462.25</v>
      </c>
      <c r="AS582" s="69">
        <v>1540.7</v>
      </c>
      <c r="AT582" s="69">
        <v>223.3</v>
      </c>
      <c r="AU582" s="69">
        <v>593.25</v>
      </c>
      <c r="AV582" s="69">
        <v>105</v>
      </c>
      <c r="AW582" s="69"/>
      <c r="AX582" s="69"/>
      <c r="AY582" s="69"/>
      <c r="AZ582" s="69"/>
      <c r="BA582" s="69"/>
      <c r="BB582" s="69"/>
      <c r="BC582" s="69"/>
      <c r="BD582" s="69"/>
      <c r="BE582" s="69"/>
      <c r="BF582" s="69"/>
      <c r="BG582" s="69"/>
      <c r="BH582" s="69"/>
      <c r="BI582" s="69"/>
      <c r="BJ582" s="69"/>
      <c r="BK582" s="69"/>
      <c r="BL582" s="69"/>
      <c r="BM582" s="69"/>
      <c r="BN582" s="69"/>
      <c r="BO582" s="69"/>
      <c r="BP582" s="69"/>
      <c r="BQ582" s="69"/>
      <c r="BR582" s="69"/>
      <c r="BS582" s="69"/>
      <c r="BT582" s="69"/>
      <c r="BU582" s="69"/>
      <c r="BV582" s="69"/>
      <c r="BW582" s="69"/>
      <c r="BX582" s="69"/>
      <c r="BY582" s="69"/>
      <c r="BZ582" s="69"/>
      <c r="CA582" s="69"/>
      <c r="CB582" s="69"/>
      <c r="CC582" s="69"/>
      <c r="CD582" s="69"/>
      <c r="CE582" s="94">
        <f t="shared" si="46"/>
        <v>2462.25</v>
      </c>
      <c r="CF582" s="151">
        <f t="shared" si="48"/>
        <v>0</v>
      </c>
      <c r="CG582" s="75">
        <f t="shared" si="47"/>
        <v>4432</v>
      </c>
      <c r="CH582" s="69" t="str">
        <f t="shared" si="47"/>
        <v xml:space="preserve">خدمة عامة </v>
      </c>
    </row>
    <row r="583" spans="1:86" x14ac:dyDescent="0.25">
      <c r="A583" s="148"/>
      <c r="B583" s="82">
        <v>8402</v>
      </c>
      <c r="C583" s="149">
        <v>4433</v>
      </c>
      <c r="D583" s="69" t="s">
        <v>137</v>
      </c>
      <c r="E583" s="69" t="s">
        <v>3300</v>
      </c>
      <c r="F583" s="63"/>
      <c r="G583" s="69">
        <v>161016.81</v>
      </c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  <c r="AD583" s="69"/>
      <c r="AE583" s="69"/>
      <c r="AF583" s="69"/>
      <c r="AG583" s="69"/>
      <c r="AH583" s="69"/>
      <c r="AI583" s="69"/>
      <c r="AJ583" s="69"/>
      <c r="AK583" s="69"/>
      <c r="AL583" s="69"/>
      <c r="AM583" s="69"/>
      <c r="AN583" s="69"/>
      <c r="AO583" s="69"/>
      <c r="AP583" s="69"/>
      <c r="AQ583" s="69"/>
      <c r="AR583" s="94">
        <f t="shared" si="26"/>
        <v>161016.81</v>
      </c>
      <c r="AS583" s="69">
        <v>102294.48</v>
      </c>
      <c r="AT583" s="69">
        <v>14739.4</v>
      </c>
      <c r="AU583" s="69">
        <v>37063.68</v>
      </c>
      <c r="AV583" s="69">
        <v>6919.25</v>
      </c>
      <c r="AW583" s="69"/>
      <c r="AX583" s="69"/>
      <c r="AY583" s="69"/>
      <c r="AZ583" s="69"/>
      <c r="BA583" s="69"/>
      <c r="BB583" s="69"/>
      <c r="BC583" s="69"/>
      <c r="BD583" s="69"/>
      <c r="BE583" s="69"/>
      <c r="BF583" s="69"/>
      <c r="BG583" s="69"/>
      <c r="BH583" s="69"/>
      <c r="BI583" s="69"/>
      <c r="BJ583" s="69"/>
      <c r="BK583" s="69"/>
      <c r="BL583" s="69"/>
      <c r="BM583" s="69"/>
      <c r="BN583" s="69"/>
      <c r="BO583" s="69"/>
      <c r="BP583" s="69"/>
      <c r="BQ583" s="69"/>
      <c r="BR583" s="69"/>
      <c r="BS583" s="69"/>
      <c r="BT583" s="69"/>
      <c r="BU583" s="69"/>
      <c r="BV583" s="69"/>
      <c r="BW583" s="69"/>
      <c r="BX583" s="69"/>
      <c r="BY583" s="69"/>
      <c r="BZ583" s="69"/>
      <c r="CA583" s="69"/>
      <c r="CB583" s="69"/>
      <c r="CC583" s="69"/>
      <c r="CD583" s="69"/>
      <c r="CE583" s="94">
        <f t="shared" si="46"/>
        <v>161016.81</v>
      </c>
      <c r="CF583" s="151">
        <f t="shared" si="48"/>
        <v>0</v>
      </c>
      <c r="CG583" s="75">
        <f t="shared" si="47"/>
        <v>4433</v>
      </c>
      <c r="CH583" s="69" t="str">
        <f t="shared" si="47"/>
        <v xml:space="preserve">خدمة عامة </v>
      </c>
    </row>
    <row r="584" spans="1:86" x14ac:dyDescent="0.25">
      <c r="A584" s="148"/>
      <c r="B584" s="82">
        <v>8403</v>
      </c>
      <c r="C584" s="149">
        <v>4434</v>
      </c>
      <c r="D584" s="69" t="s">
        <v>137</v>
      </c>
      <c r="E584" s="69" t="s">
        <v>3300</v>
      </c>
      <c r="F584" s="63"/>
      <c r="G584" s="69">
        <v>13788.6</v>
      </c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  <c r="AD584" s="69"/>
      <c r="AE584" s="69"/>
      <c r="AF584" s="69"/>
      <c r="AG584" s="69"/>
      <c r="AH584" s="69"/>
      <c r="AI584" s="69"/>
      <c r="AJ584" s="69"/>
      <c r="AK584" s="69"/>
      <c r="AL584" s="69"/>
      <c r="AM584" s="69"/>
      <c r="AN584" s="69"/>
      <c r="AO584" s="69"/>
      <c r="AP584" s="69"/>
      <c r="AQ584" s="69"/>
      <c r="AR584" s="94">
        <f t="shared" si="26"/>
        <v>13788.6</v>
      </c>
      <c r="AS584" s="69">
        <v>8627.65</v>
      </c>
      <c r="AT584" s="69">
        <v>1250.75</v>
      </c>
      <c r="AU584" s="69">
        <v>3322.2</v>
      </c>
      <c r="AV584" s="69">
        <v>588</v>
      </c>
      <c r="AW584" s="69"/>
      <c r="AX584" s="69"/>
      <c r="AY584" s="69"/>
      <c r="AZ584" s="69"/>
      <c r="BA584" s="69"/>
      <c r="BB584" s="69"/>
      <c r="BC584" s="69"/>
      <c r="BD584" s="69"/>
      <c r="BE584" s="69"/>
      <c r="BF584" s="69"/>
      <c r="BG584" s="69"/>
      <c r="BH584" s="69"/>
      <c r="BI584" s="69"/>
      <c r="BJ584" s="69"/>
      <c r="BK584" s="69"/>
      <c r="BL584" s="69"/>
      <c r="BM584" s="69"/>
      <c r="BN584" s="69"/>
      <c r="BO584" s="69"/>
      <c r="BP584" s="69"/>
      <c r="BQ584" s="69"/>
      <c r="BR584" s="69"/>
      <c r="BS584" s="69"/>
      <c r="BT584" s="69"/>
      <c r="BU584" s="69"/>
      <c r="BV584" s="69"/>
      <c r="BW584" s="69"/>
      <c r="BX584" s="69"/>
      <c r="BY584" s="69"/>
      <c r="BZ584" s="69"/>
      <c r="CA584" s="69"/>
      <c r="CB584" s="69"/>
      <c r="CC584" s="69"/>
      <c r="CD584" s="69"/>
      <c r="CE584" s="94">
        <f t="shared" si="46"/>
        <v>13788.599999999999</v>
      </c>
      <c r="CF584" s="151">
        <f t="shared" si="48"/>
        <v>0</v>
      </c>
      <c r="CG584" s="75">
        <f t="shared" si="47"/>
        <v>4434</v>
      </c>
      <c r="CH584" s="69" t="str">
        <f t="shared" si="47"/>
        <v xml:space="preserve">خدمة عامة </v>
      </c>
    </row>
    <row r="585" spans="1:86" x14ac:dyDescent="0.25">
      <c r="A585" s="148"/>
      <c r="B585" s="82">
        <v>8404</v>
      </c>
      <c r="C585" s="149">
        <v>4435</v>
      </c>
      <c r="D585" s="69" t="s">
        <v>137</v>
      </c>
      <c r="E585" s="69" t="s">
        <v>3300</v>
      </c>
      <c r="F585" s="63"/>
      <c r="G585" s="69">
        <v>75149.429999999993</v>
      </c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  <c r="AD585" s="69"/>
      <c r="AE585" s="69"/>
      <c r="AF585" s="69"/>
      <c r="AG585" s="69"/>
      <c r="AH585" s="69"/>
      <c r="AI585" s="69"/>
      <c r="AJ585" s="69"/>
      <c r="AK585" s="69"/>
      <c r="AL585" s="69"/>
      <c r="AM585" s="69"/>
      <c r="AN585" s="69"/>
      <c r="AO585" s="69"/>
      <c r="AP585" s="69"/>
      <c r="AQ585" s="69"/>
      <c r="AR585" s="94">
        <f t="shared" si="26"/>
        <v>75149.429999999993</v>
      </c>
      <c r="AS585" s="69">
        <v>47610.720000000001</v>
      </c>
      <c r="AT585" s="69">
        <v>6873.35</v>
      </c>
      <c r="AU585" s="69">
        <v>17440.36</v>
      </c>
      <c r="AV585" s="69">
        <v>3225</v>
      </c>
      <c r="AW585" s="69"/>
      <c r="AX585" s="69"/>
      <c r="AY585" s="69"/>
      <c r="AZ585" s="69"/>
      <c r="BA585" s="69"/>
      <c r="BB585" s="69"/>
      <c r="BC585" s="69"/>
      <c r="BD585" s="69"/>
      <c r="BE585" s="69"/>
      <c r="BF585" s="69"/>
      <c r="BG585" s="69"/>
      <c r="BH585" s="69"/>
      <c r="BI585" s="69"/>
      <c r="BJ585" s="69"/>
      <c r="BK585" s="69"/>
      <c r="BL585" s="69"/>
      <c r="BM585" s="69"/>
      <c r="BN585" s="69"/>
      <c r="BO585" s="69"/>
      <c r="BP585" s="69"/>
      <c r="BQ585" s="69"/>
      <c r="BR585" s="69"/>
      <c r="BS585" s="69"/>
      <c r="BT585" s="69"/>
      <c r="BU585" s="69"/>
      <c r="BV585" s="69"/>
      <c r="BW585" s="69"/>
      <c r="BX585" s="69"/>
      <c r="BY585" s="69"/>
      <c r="BZ585" s="69"/>
      <c r="CA585" s="69"/>
      <c r="CB585" s="69"/>
      <c r="CC585" s="69"/>
      <c r="CD585" s="69"/>
      <c r="CE585" s="94">
        <f t="shared" si="46"/>
        <v>75149.429999999993</v>
      </c>
      <c r="CF585" s="151">
        <f t="shared" si="48"/>
        <v>0</v>
      </c>
      <c r="CG585" s="75">
        <f t="shared" si="47"/>
        <v>4435</v>
      </c>
      <c r="CH585" s="69" t="str">
        <f t="shared" si="47"/>
        <v xml:space="preserve">خدمة عامة </v>
      </c>
    </row>
    <row r="586" spans="1:86" x14ac:dyDescent="0.25">
      <c r="A586" s="148"/>
      <c r="B586" s="82">
        <v>8405</v>
      </c>
      <c r="C586" s="149">
        <v>4436</v>
      </c>
      <c r="D586" s="69" t="s">
        <v>137</v>
      </c>
      <c r="E586" s="69" t="s">
        <v>3300</v>
      </c>
      <c r="F586" s="63"/>
      <c r="G586" s="69">
        <v>6276.59</v>
      </c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  <c r="AD586" s="69"/>
      <c r="AE586" s="69"/>
      <c r="AF586" s="69"/>
      <c r="AG586" s="69"/>
      <c r="AH586" s="69"/>
      <c r="AI586" s="69"/>
      <c r="AJ586" s="69"/>
      <c r="AK586" s="69"/>
      <c r="AL586" s="69"/>
      <c r="AM586" s="69"/>
      <c r="AN586" s="69"/>
      <c r="AO586" s="69"/>
      <c r="AP586" s="69"/>
      <c r="AQ586" s="69"/>
      <c r="AR586" s="94">
        <f t="shared" si="26"/>
        <v>6276.59</v>
      </c>
      <c r="AS586" s="69">
        <v>3995.41</v>
      </c>
      <c r="AT586" s="69">
        <v>575.6</v>
      </c>
      <c r="AU586" s="69">
        <v>1435.58</v>
      </c>
      <c r="AV586" s="69">
        <v>270</v>
      </c>
      <c r="AW586" s="69"/>
      <c r="AX586" s="69"/>
      <c r="AY586" s="69"/>
      <c r="AZ586" s="69"/>
      <c r="BA586" s="69"/>
      <c r="BB586" s="69"/>
      <c r="BC586" s="69"/>
      <c r="BD586" s="69"/>
      <c r="BE586" s="69"/>
      <c r="BF586" s="69"/>
      <c r="BG586" s="69"/>
      <c r="BH586" s="69"/>
      <c r="BI586" s="69"/>
      <c r="BJ586" s="69"/>
      <c r="BK586" s="69"/>
      <c r="BL586" s="69"/>
      <c r="BM586" s="69"/>
      <c r="BN586" s="69"/>
      <c r="BO586" s="69"/>
      <c r="BP586" s="69"/>
      <c r="BQ586" s="69"/>
      <c r="BR586" s="69"/>
      <c r="BS586" s="69"/>
      <c r="BT586" s="69"/>
      <c r="BU586" s="69"/>
      <c r="BV586" s="69"/>
      <c r="BW586" s="69"/>
      <c r="BX586" s="69"/>
      <c r="BY586" s="69"/>
      <c r="BZ586" s="69"/>
      <c r="CA586" s="69"/>
      <c r="CB586" s="69"/>
      <c r="CC586" s="69"/>
      <c r="CD586" s="69"/>
      <c r="CE586" s="94">
        <f t="shared" si="46"/>
        <v>6276.59</v>
      </c>
      <c r="CF586" s="151">
        <f t="shared" si="48"/>
        <v>0</v>
      </c>
      <c r="CG586" s="75">
        <f t="shared" si="47"/>
        <v>4436</v>
      </c>
      <c r="CH586" s="69" t="str">
        <f t="shared" si="47"/>
        <v xml:space="preserve">خدمة عامة </v>
      </c>
    </row>
    <row r="587" spans="1:86" x14ac:dyDescent="0.25">
      <c r="A587" s="148"/>
      <c r="B587" s="82">
        <v>8406</v>
      </c>
      <c r="C587" s="149">
        <v>4437</v>
      </c>
      <c r="D587" s="69" t="s">
        <v>137</v>
      </c>
      <c r="E587" s="69" t="s">
        <v>3300</v>
      </c>
      <c r="F587" s="63"/>
      <c r="G587" s="69">
        <v>8700</v>
      </c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  <c r="AD587" s="69"/>
      <c r="AE587" s="69"/>
      <c r="AF587" s="69"/>
      <c r="AG587" s="69"/>
      <c r="AH587" s="69"/>
      <c r="AI587" s="69"/>
      <c r="AJ587" s="69"/>
      <c r="AK587" s="69"/>
      <c r="AL587" s="69"/>
      <c r="AM587" s="69"/>
      <c r="AN587" s="69"/>
      <c r="AO587" s="69"/>
      <c r="AP587" s="69"/>
      <c r="AQ587" s="69"/>
      <c r="AR587" s="94">
        <f t="shared" si="26"/>
        <v>8700</v>
      </c>
      <c r="AS587" s="69">
        <v>7330.8</v>
      </c>
      <c r="AT587" s="69">
        <v>934.2</v>
      </c>
      <c r="AU587" s="69"/>
      <c r="AV587" s="69">
        <v>435</v>
      </c>
      <c r="AW587" s="69"/>
      <c r="AX587" s="69"/>
      <c r="AY587" s="69"/>
      <c r="AZ587" s="69"/>
      <c r="BA587" s="69"/>
      <c r="BB587" s="69"/>
      <c r="BC587" s="69"/>
      <c r="BD587" s="69"/>
      <c r="BE587" s="69"/>
      <c r="BF587" s="69"/>
      <c r="BG587" s="69"/>
      <c r="BH587" s="69"/>
      <c r="BI587" s="69"/>
      <c r="BJ587" s="69"/>
      <c r="BK587" s="69"/>
      <c r="BL587" s="69"/>
      <c r="BM587" s="69"/>
      <c r="BN587" s="69"/>
      <c r="BO587" s="69"/>
      <c r="BP587" s="69"/>
      <c r="BQ587" s="69"/>
      <c r="BR587" s="69"/>
      <c r="BS587" s="69"/>
      <c r="BT587" s="69"/>
      <c r="BU587" s="69"/>
      <c r="BV587" s="69"/>
      <c r="BW587" s="69"/>
      <c r="BX587" s="69"/>
      <c r="BY587" s="69"/>
      <c r="BZ587" s="69"/>
      <c r="CA587" s="69"/>
      <c r="CB587" s="69"/>
      <c r="CC587" s="69"/>
      <c r="CD587" s="69"/>
      <c r="CE587" s="94">
        <f t="shared" si="46"/>
        <v>8700</v>
      </c>
      <c r="CF587" s="151">
        <f t="shared" si="48"/>
        <v>0</v>
      </c>
      <c r="CG587" s="75">
        <f t="shared" si="47"/>
        <v>4437</v>
      </c>
      <c r="CH587" s="69" t="str">
        <f t="shared" si="47"/>
        <v xml:space="preserve">خدمة عامة </v>
      </c>
    </row>
    <row r="588" spans="1:86" x14ac:dyDescent="0.25">
      <c r="A588" s="148"/>
      <c r="B588" s="82">
        <v>8401</v>
      </c>
      <c r="C588" s="149">
        <v>4438</v>
      </c>
      <c r="D588" s="69" t="s">
        <v>137</v>
      </c>
      <c r="E588" s="69" t="s">
        <v>3300</v>
      </c>
      <c r="F588" s="63"/>
      <c r="G588" s="69">
        <v>28843.5</v>
      </c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  <c r="AD588" s="69"/>
      <c r="AE588" s="69"/>
      <c r="AF588" s="69"/>
      <c r="AG588" s="69"/>
      <c r="AH588" s="69"/>
      <c r="AI588" s="69"/>
      <c r="AJ588" s="69"/>
      <c r="AK588" s="69"/>
      <c r="AL588" s="69"/>
      <c r="AM588" s="69"/>
      <c r="AN588" s="69"/>
      <c r="AO588" s="69"/>
      <c r="AP588" s="69"/>
      <c r="AQ588" s="69"/>
      <c r="AR588" s="94">
        <f t="shared" si="26"/>
        <v>28843.5</v>
      </c>
      <c r="AS588" s="69">
        <v>18023</v>
      </c>
      <c r="AT588" s="69">
        <f>181+2460</f>
        <v>2641</v>
      </c>
      <c r="AU588" s="69">
        <v>6949.5</v>
      </c>
      <c r="AV588" s="69">
        <v>1230</v>
      </c>
      <c r="AW588" s="69"/>
      <c r="AX588" s="69"/>
      <c r="AY588" s="69"/>
      <c r="AZ588" s="69"/>
      <c r="BA588" s="69"/>
      <c r="BB588" s="69"/>
      <c r="BC588" s="69"/>
      <c r="BD588" s="69"/>
      <c r="BE588" s="69"/>
      <c r="BF588" s="69"/>
      <c r="BG588" s="69"/>
      <c r="BH588" s="69"/>
      <c r="BI588" s="69"/>
      <c r="BJ588" s="69"/>
      <c r="BK588" s="69"/>
      <c r="BL588" s="69"/>
      <c r="BM588" s="69"/>
      <c r="BN588" s="69"/>
      <c r="BO588" s="69"/>
      <c r="BP588" s="69"/>
      <c r="BQ588" s="69"/>
      <c r="BR588" s="69"/>
      <c r="BS588" s="69"/>
      <c r="BT588" s="69"/>
      <c r="BU588" s="69"/>
      <c r="BV588" s="69"/>
      <c r="BW588" s="69"/>
      <c r="BX588" s="69"/>
      <c r="BY588" s="69"/>
      <c r="BZ588" s="69"/>
      <c r="CA588" s="69"/>
      <c r="CB588" s="69"/>
      <c r="CC588" s="69"/>
      <c r="CD588" s="69"/>
      <c r="CE588" s="94">
        <f t="shared" si="46"/>
        <v>28843.5</v>
      </c>
      <c r="CF588" s="151">
        <f t="shared" si="48"/>
        <v>0</v>
      </c>
      <c r="CG588" s="75">
        <f t="shared" si="47"/>
        <v>4438</v>
      </c>
      <c r="CH588" s="69" t="str">
        <f t="shared" si="47"/>
        <v xml:space="preserve">خدمة عامة </v>
      </c>
    </row>
    <row r="589" spans="1:86" x14ac:dyDescent="0.25">
      <c r="A589" s="148"/>
      <c r="B589" s="82">
        <v>8135</v>
      </c>
      <c r="C589" s="149">
        <v>4439</v>
      </c>
      <c r="D589" s="69" t="s">
        <v>122</v>
      </c>
      <c r="E589" s="69" t="s">
        <v>3301</v>
      </c>
      <c r="F589" s="63"/>
      <c r="G589" s="69">
        <v>4315.46</v>
      </c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  <c r="AD589" s="69"/>
      <c r="AE589" s="69"/>
      <c r="AF589" s="69"/>
      <c r="AG589" s="69"/>
      <c r="AH589" s="69"/>
      <c r="AI589" s="69"/>
      <c r="AJ589" s="69"/>
      <c r="AK589" s="69"/>
      <c r="AL589" s="69"/>
      <c r="AM589" s="69"/>
      <c r="AN589" s="69"/>
      <c r="AO589" s="69"/>
      <c r="AP589" s="69"/>
      <c r="AQ589" s="69"/>
      <c r="AR589" s="94">
        <f t="shared" si="26"/>
        <v>4315.46</v>
      </c>
      <c r="AS589" s="69">
        <v>3312.36</v>
      </c>
      <c r="AT589" s="69">
        <v>438.9</v>
      </c>
      <c r="AU589" s="69">
        <v>359.4</v>
      </c>
      <c r="AV589" s="69">
        <v>204.8</v>
      </c>
      <c r="AW589" s="69"/>
      <c r="AX589" s="69"/>
      <c r="AY589" s="69"/>
      <c r="AZ589" s="69"/>
      <c r="BA589" s="69"/>
      <c r="BB589" s="69"/>
      <c r="BC589" s="69"/>
      <c r="BD589" s="69"/>
      <c r="BE589" s="69"/>
      <c r="BF589" s="69"/>
      <c r="BG589" s="69"/>
      <c r="BH589" s="69"/>
      <c r="BI589" s="69"/>
      <c r="BJ589" s="69"/>
      <c r="BK589" s="69"/>
      <c r="BL589" s="69"/>
      <c r="BM589" s="69"/>
      <c r="BN589" s="69"/>
      <c r="BO589" s="69"/>
      <c r="BP589" s="69"/>
      <c r="BQ589" s="69"/>
      <c r="BR589" s="69"/>
      <c r="BS589" s="69"/>
      <c r="BT589" s="69"/>
      <c r="BU589" s="69"/>
      <c r="BV589" s="69"/>
      <c r="BW589" s="69"/>
      <c r="BX589" s="69"/>
      <c r="BY589" s="69"/>
      <c r="BZ589" s="69"/>
      <c r="CA589" s="69"/>
      <c r="CB589" s="69"/>
      <c r="CC589" s="69"/>
      <c r="CD589" s="69"/>
      <c r="CE589" s="94">
        <f t="shared" si="46"/>
        <v>4315.46</v>
      </c>
      <c r="CF589" s="151">
        <f t="shared" si="48"/>
        <v>0</v>
      </c>
      <c r="CG589" s="75">
        <f t="shared" si="47"/>
        <v>4439</v>
      </c>
      <c r="CH589" s="69" t="str">
        <f t="shared" si="47"/>
        <v>علاج تخصصى</v>
      </c>
    </row>
    <row r="590" spans="1:86" x14ac:dyDescent="0.25">
      <c r="A590" s="148"/>
      <c r="B590" s="82">
        <v>8134</v>
      </c>
      <c r="C590" s="149">
        <v>4440</v>
      </c>
      <c r="D590" s="69" t="s">
        <v>122</v>
      </c>
      <c r="E590" s="69" t="s">
        <v>3301</v>
      </c>
      <c r="F590" s="63"/>
      <c r="G590" s="69">
        <v>44288.49</v>
      </c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  <c r="AD590" s="69"/>
      <c r="AE590" s="69"/>
      <c r="AF590" s="69"/>
      <c r="AG590" s="69"/>
      <c r="AH590" s="69"/>
      <c r="AI590" s="69"/>
      <c r="AJ590" s="69"/>
      <c r="AK590" s="69"/>
      <c r="AL590" s="69"/>
      <c r="AM590" s="69"/>
      <c r="AN590" s="69"/>
      <c r="AO590" s="69"/>
      <c r="AP590" s="69"/>
      <c r="AQ590" s="69"/>
      <c r="AR590" s="94">
        <f t="shared" si="26"/>
        <v>44288.49</v>
      </c>
      <c r="AS590" s="69">
        <v>34534.400000000001</v>
      </c>
      <c r="AT590" s="69">
        <v>4541.3599999999997</v>
      </c>
      <c r="AU590" s="69">
        <v>3092.68</v>
      </c>
      <c r="AV590" s="69">
        <v>2120.0500000000002</v>
      </c>
      <c r="AW590" s="69"/>
      <c r="AX590" s="69"/>
      <c r="AY590" s="69"/>
      <c r="AZ590" s="69"/>
      <c r="BA590" s="69"/>
      <c r="BB590" s="69"/>
      <c r="BC590" s="69"/>
      <c r="BD590" s="69"/>
      <c r="BE590" s="69"/>
      <c r="BF590" s="69"/>
      <c r="BG590" s="69"/>
      <c r="BH590" s="69"/>
      <c r="BI590" s="69"/>
      <c r="BJ590" s="69"/>
      <c r="BK590" s="69"/>
      <c r="BL590" s="69"/>
      <c r="BM590" s="69"/>
      <c r="BN590" s="69"/>
      <c r="BO590" s="69"/>
      <c r="BP590" s="69"/>
      <c r="BQ590" s="69"/>
      <c r="BR590" s="69"/>
      <c r="BS590" s="69"/>
      <c r="BT590" s="69"/>
      <c r="BU590" s="69"/>
      <c r="BV590" s="69"/>
      <c r="BW590" s="69"/>
      <c r="BX590" s="69"/>
      <c r="BY590" s="69"/>
      <c r="BZ590" s="69"/>
      <c r="CA590" s="69"/>
      <c r="CB590" s="69"/>
      <c r="CC590" s="69"/>
      <c r="CD590" s="69"/>
      <c r="CE590" s="94">
        <f t="shared" si="46"/>
        <v>44288.490000000005</v>
      </c>
      <c r="CF590" s="151">
        <f t="shared" si="48"/>
        <v>0</v>
      </c>
      <c r="CG590" s="75">
        <f t="shared" si="47"/>
        <v>4440</v>
      </c>
      <c r="CH590" s="69" t="str">
        <f t="shared" si="47"/>
        <v>علاج تخصصى</v>
      </c>
    </row>
    <row r="591" spans="1:86" x14ac:dyDescent="0.25">
      <c r="A591" s="148"/>
      <c r="B591" s="82">
        <v>8400</v>
      </c>
      <c r="C591" s="149">
        <v>4441</v>
      </c>
      <c r="D591" s="69" t="s">
        <v>123</v>
      </c>
      <c r="E591" s="69" t="s">
        <v>3302</v>
      </c>
      <c r="F591" s="63"/>
      <c r="G591" s="69">
        <v>703.5</v>
      </c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  <c r="AD591" s="69"/>
      <c r="AE591" s="69"/>
      <c r="AF591" s="69"/>
      <c r="AG591" s="69"/>
      <c r="AH591" s="69"/>
      <c r="AI591" s="69"/>
      <c r="AJ591" s="69"/>
      <c r="AK591" s="69"/>
      <c r="AL591" s="69"/>
      <c r="AM591" s="69"/>
      <c r="AN591" s="69"/>
      <c r="AO591" s="69"/>
      <c r="AP591" s="69"/>
      <c r="AQ591" s="69"/>
      <c r="AR591" s="94">
        <f t="shared" si="26"/>
        <v>703.5</v>
      </c>
      <c r="AS591" s="69">
        <v>441.1</v>
      </c>
      <c r="AT591" s="69">
        <v>62.9</v>
      </c>
      <c r="AU591" s="69">
        <v>169.5</v>
      </c>
      <c r="AV591" s="69">
        <v>30</v>
      </c>
      <c r="AW591" s="69"/>
      <c r="AX591" s="69"/>
      <c r="AY591" s="69"/>
      <c r="AZ591" s="69"/>
      <c r="BA591" s="69"/>
      <c r="BB591" s="69"/>
      <c r="BC591" s="69"/>
      <c r="BD591" s="69"/>
      <c r="BE591" s="69"/>
      <c r="BF591" s="69"/>
      <c r="BG591" s="69"/>
      <c r="BH591" s="69"/>
      <c r="BI591" s="69"/>
      <c r="BJ591" s="69"/>
      <c r="BK591" s="69"/>
      <c r="BL591" s="69"/>
      <c r="BM591" s="69"/>
      <c r="BN591" s="69"/>
      <c r="BO591" s="69"/>
      <c r="BP591" s="69"/>
      <c r="BQ591" s="69"/>
      <c r="BR591" s="69"/>
      <c r="BS591" s="69"/>
      <c r="BT591" s="69"/>
      <c r="BU591" s="69"/>
      <c r="BV591" s="69"/>
      <c r="BW591" s="69"/>
      <c r="BX591" s="69"/>
      <c r="BY591" s="69"/>
      <c r="BZ591" s="69"/>
      <c r="CA591" s="69"/>
      <c r="CB591" s="69"/>
      <c r="CC591" s="69"/>
      <c r="CD591" s="69"/>
      <c r="CE591" s="94">
        <f t="shared" si="46"/>
        <v>703.5</v>
      </c>
      <c r="CF591" s="151">
        <f t="shared" si="48"/>
        <v>0</v>
      </c>
      <c r="CG591" s="75">
        <f t="shared" si="47"/>
        <v>4441</v>
      </c>
      <c r="CH591" s="69" t="str">
        <f t="shared" si="47"/>
        <v>خ ت اسنان</v>
      </c>
    </row>
    <row r="592" spans="1:86" x14ac:dyDescent="0.25">
      <c r="A592" s="148"/>
      <c r="B592" s="82">
        <v>8359</v>
      </c>
      <c r="C592" s="149">
        <v>4442</v>
      </c>
      <c r="D592" s="69" t="s">
        <v>123</v>
      </c>
      <c r="E592" s="69" t="s">
        <v>3302</v>
      </c>
      <c r="F592" s="63"/>
      <c r="G592" s="69">
        <v>3551.75</v>
      </c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  <c r="AE592" s="69"/>
      <c r="AF592" s="69"/>
      <c r="AG592" s="69"/>
      <c r="AH592" s="69"/>
      <c r="AI592" s="69"/>
      <c r="AJ592" s="69"/>
      <c r="AK592" s="69"/>
      <c r="AL592" s="69"/>
      <c r="AM592" s="69"/>
      <c r="AN592" s="69"/>
      <c r="AO592" s="69"/>
      <c r="AP592" s="69"/>
      <c r="AQ592" s="69"/>
      <c r="AR592" s="94">
        <f t="shared" si="26"/>
        <v>3551.75</v>
      </c>
      <c r="AS592" s="69">
        <v>2922.75</v>
      </c>
      <c r="AT592" s="69">
        <v>369.25</v>
      </c>
      <c r="AU592" s="69">
        <v>84.75</v>
      </c>
      <c r="AV592" s="69">
        <v>175</v>
      </c>
      <c r="AW592" s="69"/>
      <c r="AX592" s="69"/>
      <c r="AY592" s="69"/>
      <c r="AZ592" s="69"/>
      <c r="BA592" s="69"/>
      <c r="BB592" s="69"/>
      <c r="BC592" s="69"/>
      <c r="BD592" s="69"/>
      <c r="BE592" s="69"/>
      <c r="BF592" s="69"/>
      <c r="BG592" s="69"/>
      <c r="BH592" s="69"/>
      <c r="BI592" s="69"/>
      <c r="BJ592" s="69"/>
      <c r="BK592" s="69"/>
      <c r="BL592" s="69"/>
      <c r="BM592" s="69"/>
      <c r="BN592" s="69"/>
      <c r="BO592" s="69"/>
      <c r="BP592" s="69"/>
      <c r="BQ592" s="69"/>
      <c r="BR592" s="69"/>
      <c r="BS592" s="69"/>
      <c r="BT592" s="69"/>
      <c r="BU592" s="69"/>
      <c r="BV592" s="69"/>
      <c r="BW592" s="69"/>
      <c r="BX592" s="69"/>
      <c r="BY592" s="69"/>
      <c r="BZ592" s="69"/>
      <c r="CA592" s="69"/>
      <c r="CB592" s="69"/>
      <c r="CC592" s="69"/>
      <c r="CD592" s="69"/>
      <c r="CE592" s="94">
        <f t="shared" si="46"/>
        <v>3551.75</v>
      </c>
      <c r="CF592" s="151">
        <f t="shared" si="48"/>
        <v>0</v>
      </c>
      <c r="CG592" s="75">
        <f t="shared" si="47"/>
        <v>4442</v>
      </c>
      <c r="CH592" s="69" t="str">
        <f t="shared" si="47"/>
        <v>خ ت اسنان</v>
      </c>
    </row>
    <row r="593" spans="1:86" x14ac:dyDescent="0.25">
      <c r="A593" s="148"/>
      <c r="B593" s="82">
        <v>8555</v>
      </c>
      <c r="C593" s="149">
        <v>4443</v>
      </c>
      <c r="D593" s="69" t="s">
        <v>123</v>
      </c>
      <c r="E593" s="69" t="s">
        <v>3303</v>
      </c>
      <c r="F593" s="63"/>
      <c r="G593" s="69">
        <v>293.12</v>
      </c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  <c r="AD593" s="69"/>
      <c r="AE593" s="69"/>
      <c r="AF593" s="69"/>
      <c r="AG593" s="69"/>
      <c r="AH593" s="69"/>
      <c r="AI593" s="69"/>
      <c r="AJ593" s="69"/>
      <c r="AK593" s="69"/>
      <c r="AL593" s="69"/>
      <c r="AM593" s="69"/>
      <c r="AN593" s="69"/>
      <c r="AO593" s="69"/>
      <c r="AP593" s="69"/>
      <c r="AQ593" s="69"/>
      <c r="AR593" s="94">
        <f t="shared" si="26"/>
        <v>293.12</v>
      </c>
      <c r="AS593" s="69">
        <v>183.95</v>
      </c>
      <c r="AT593" s="69">
        <v>26.05</v>
      </c>
      <c r="AU593" s="69">
        <v>70.62</v>
      </c>
      <c r="AV593" s="69">
        <v>12.5</v>
      </c>
      <c r="AW593" s="69"/>
      <c r="AX593" s="69"/>
      <c r="AY593" s="69"/>
      <c r="AZ593" s="69"/>
      <c r="BA593" s="69"/>
      <c r="BB593" s="69"/>
      <c r="BC593" s="69"/>
      <c r="BD593" s="69"/>
      <c r="BE593" s="69"/>
      <c r="BF593" s="69"/>
      <c r="BG593" s="69"/>
      <c r="BH593" s="69"/>
      <c r="BI593" s="69"/>
      <c r="BJ593" s="69"/>
      <c r="BK593" s="69"/>
      <c r="BL593" s="69"/>
      <c r="BM593" s="69"/>
      <c r="BN593" s="69"/>
      <c r="BO593" s="69"/>
      <c r="BP593" s="69"/>
      <c r="BQ593" s="69"/>
      <c r="BR593" s="69"/>
      <c r="BS593" s="69"/>
      <c r="BT593" s="69"/>
      <c r="BU593" s="69"/>
      <c r="BV593" s="69"/>
      <c r="BW593" s="69"/>
      <c r="BX593" s="69"/>
      <c r="BY593" s="69"/>
      <c r="BZ593" s="69"/>
      <c r="CA593" s="69"/>
      <c r="CB593" s="69"/>
      <c r="CC593" s="69"/>
      <c r="CD593" s="69"/>
      <c r="CE593" s="94">
        <f t="shared" si="46"/>
        <v>293.12</v>
      </c>
      <c r="CF593" s="151">
        <f t="shared" si="48"/>
        <v>0</v>
      </c>
      <c r="CG593" s="75">
        <f t="shared" si="47"/>
        <v>4443</v>
      </c>
      <c r="CH593" s="69" t="str">
        <f t="shared" si="47"/>
        <v>خ ت اسنان</v>
      </c>
    </row>
    <row r="594" spans="1:86" x14ac:dyDescent="0.25">
      <c r="A594" s="148"/>
      <c r="B594" s="82">
        <v>8554</v>
      </c>
      <c r="C594" s="149">
        <v>4444</v>
      </c>
      <c r="D594" s="69" t="s">
        <v>123</v>
      </c>
      <c r="E594" s="69" t="s">
        <v>3304</v>
      </c>
      <c r="F594" s="63"/>
      <c r="G594" s="69">
        <v>4903.75</v>
      </c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  <c r="AD594" s="69"/>
      <c r="AE594" s="69"/>
      <c r="AF594" s="69"/>
      <c r="AG594" s="69"/>
      <c r="AH594" s="69"/>
      <c r="AI594" s="69"/>
      <c r="AJ594" s="69"/>
      <c r="AK594" s="69"/>
      <c r="AL594" s="69"/>
      <c r="AM594" s="69"/>
      <c r="AN594" s="69"/>
      <c r="AO594" s="69"/>
      <c r="AP594" s="69"/>
      <c r="AQ594" s="69"/>
      <c r="AR594" s="94">
        <f t="shared" si="26"/>
        <v>4903.75</v>
      </c>
      <c r="AS594" s="69">
        <v>3246.55</v>
      </c>
      <c r="AT594" s="69">
        <v>453.45</v>
      </c>
      <c r="AU594" s="69">
        <v>988.75</v>
      </c>
      <c r="AV594" s="69">
        <v>215</v>
      </c>
      <c r="AW594" s="69"/>
      <c r="AX594" s="69"/>
      <c r="AY594" s="69"/>
      <c r="AZ594" s="69"/>
      <c r="BA594" s="69"/>
      <c r="BB594" s="69"/>
      <c r="BC594" s="69"/>
      <c r="BD594" s="69"/>
      <c r="BE594" s="69"/>
      <c r="BF594" s="69"/>
      <c r="BG594" s="69"/>
      <c r="BH594" s="69"/>
      <c r="BI594" s="69"/>
      <c r="BJ594" s="69"/>
      <c r="BK594" s="69"/>
      <c r="BL594" s="69"/>
      <c r="BM594" s="69"/>
      <c r="BN594" s="69"/>
      <c r="BO594" s="69"/>
      <c r="BP594" s="69"/>
      <c r="BQ594" s="69"/>
      <c r="BR594" s="69"/>
      <c r="BS594" s="69"/>
      <c r="BT594" s="69"/>
      <c r="BU594" s="69"/>
      <c r="BV594" s="69"/>
      <c r="BW594" s="69"/>
      <c r="BX594" s="69"/>
      <c r="BY594" s="69"/>
      <c r="BZ594" s="69"/>
      <c r="CA594" s="69"/>
      <c r="CB594" s="69"/>
      <c r="CC594" s="69"/>
      <c r="CD594" s="69"/>
      <c r="CE594" s="94">
        <f t="shared" si="46"/>
        <v>4903.75</v>
      </c>
      <c r="CF594" s="151">
        <f t="shared" si="48"/>
        <v>0</v>
      </c>
      <c r="CG594" s="75">
        <f t="shared" si="47"/>
        <v>4444</v>
      </c>
      <c r="CH594" s="69" t="str">
        <f t="shared" si="47"/>
        <v>خ ت اسنان</v>
      </c>
    </row>
    <row r="595" spans="1:86" x14ac:dyDescent="0.25">
      <c r="A595" s="148"/>
      <c r="B595" s="82">
        <v>8553</v>
      </c>
      <c r="C595" s="149">
        <v>4445</v>
      </c>
      <c r="D595" s="69" t="s">
        <v>123</v>
      </c>
      <c r="E595" s="69" t="s">
        <v>3305</v>
      </c>
      <c r="F595" s="63"/>
      <c r="G595" s="69">
        <v>1055.24</v>
      </c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  <c r="AD595" s="69"/>
      <c r="AE595" s="69"/>
      <c r="AF595" s="69"/>
      <c r="AG595" s="69"/>
      <c r="AH595" s="69"/>
      <c r="AI595" s="69"/>
      <c r="AJ595" s="69"/>
      <c r="AK595" s="69"/>
      <c r="AL595" s="69"/>
      <c r="AM595" s="69"/>
      <c r="AN595" s="69"/>
      <c r="AO595" s="69"/>
      <c r="AP595" s="69"/>
      <c r="AQ595" s="69"/>
      <c r="AR595" s="94">
        <f t="shared" si="26"/>
        <v>1055.24</v>
      </c>
      <c r="AS595" s="69">
        <v>661.4</v>
      </c>
      <c r="AT595" s="69">
        <v>94.6</v>
      </c>
      <c r="AU595" s="69">
        <v>254.24</v>
      </c>
      <c r="AV595" s="69">
        <v>45</v>
      </c>
      <c r="AW595" s="69"/>
      <c r="AX595" s="69"/>
      <c r="AY595" s="69"/>
      <c r="AZ595" s="69"/>
      <c r="BA595" s="69"/>
      <c r="BB595" s="69"/>
      <c r="BC595" s="69"/>
      <c r="BD595" s="69"/>
      <c r="BE595" s="69"/>
      <c r="BF595" s="69"/>
      <c r="BG595" s="69"/>
      <c r="BH595" s="69"/>
      <c r="BI595" s="69"/>
      <c r="BJ595" s="69"/>
      <c r="BK595" s="69"/>
      <c r="BL595" s="69"/>
      <c r="BM595" s="69"/>
      <c r="BN595" s="69"/>
      <c r="BO595" s="69"/>
      <c r="BP595" s="69"/>
      <c r="BQ595" s="69"/>
      <c r="BR595" s="69"/>
      <c r="BS595" s="69"/>
      <c r="BT595" s="69"/>
      <c r="BU595" s="69"/>
      <c r="BV595" s="69"/>
      <c r="BW595" s="69"/>
      <c r="BX595" s="69"/>
      <c r="BY595" s="69"/>
      <c r="BZ595" s="69"/>
      <c r="CA595" s="69"/>
      <c r="CB595" s="69"/>
      <c r="CC595" s="69"/>
      <c r="CD595" s="69"/>
      <c r="CE595" s="94">
        <f t="shared" si="46"/>
        <v>1055.24</v>
      </c>
      <c r="CF595" s="151">
        <f t="shared" si="48"/>
        <v>0</v>
      </c>
      <c r="CG595" s="75">
        <f t="shared" si="47"/>
        <v>4445</v>
      </c>
      <c r="CH595" s="69" t="str">
        <f t="shared" si="47"/>
        <v>خ ت اسنان</v>
      </c>
    </row>
    <row r="596" spans="1:86" x14ac:dyDescent="0.25">
      <c r="A596" s="148"/>
      <c r="B596" s="82">
        <v>8551</v>
      </c>
      <c r="C596" s="149">
        <v>4446</v>
      </c>
      <c r="D596" s="69" t="s">
        <v>123</v>
      </c>
      <c r="E596" s="69" t="s">
        <v>3306</v>
      </c>
      <c r="F596" s="63"/>
      <c r="G596" s="69">
        <v>470.44</v>
      </c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  <c r="AD596" s="69"/>
      <c r="AE596" s="69"/>
      <c r="AF596" s="69"/>
      <c r="AG596" s="69"/>
      <c r="AH596" s="69"/>
      <c r="AI596" s="69"/>
      <c r="AJ596" s="69"/>
      <c r="AK596" s="69"/>
      <c r="AL596" s="69"/>
      <c r="AM596" s="69"/>
      <c r="AN596" s="69"/>
      <c r="AO596" s="69"/>
      <c r="AP596" s="69"/>
      <c r="AQ596" s="69"/>
      <c r="AR596" s="94">
        <f t="shared" ref="AR596:AR659" si="49">SUM(G596:AQ596)</f>
        <v>470.44</v>
      </c>
      <c r="AS596" s="69">
        <v>295.91000000000003</v>
      </c>
      <c r="AT596" s="69">
        <v>41.12</v>
      </c>
      <c r="AU596" s="69">
        <v>113.35</v>
      </c>
      <c r="AV596" s="69">
        <v>20.059999999999999</v>
      </c>
      <c r="AW596" s="69"/>
      <c r="AX596" s="69"/>
      <c r="AY596" s="69"/>
      <c r="AZ596" s="69"/>
      <c r="BA596" s="69"/>
      <c r="BB596" s="69"/>
      <c r="BC596" s="69"/>
      <c r="BD596" s="69"/>
      <c r="BE596" s="69"/>
      <c r="BF596" s="69"/>
      <c r="BG596" s="69"/>
      <c r="BH596" s="69"/>
      <c r="BI596" s="69"/>
      <c r="BJ596" s="69"/>
      <c r="BK596" s="69"/>
      <c r="BL596" s="69"/>
      <c r="BM596" s="69"/>
      <c r="BN596" s="69"/>
      <c r="BO596" s="69"/>
      <c r="BP596" s="69"/>
      <c r="BQ596" s="69"/>
      <c r="BR596" s="69"/>
      <c r="BS596" s="69"/>
      <c r="BT596" s="69"/>
      <c r="BU596" s="69"/>
      <c r="BV596" s="69"/>
      <c r="BW596" s="69"/>
      <c r="BX596" s="69"/>
      <c r="BY596" s="69"/>
      <c r="BZ596" s="69"/>
      <c r="CA596" s="69"/>
      <c r="CB596" s="69"/>
      <c r="CC596" s="69"/>
      <c r="CD596" s="69"/>
      <c r="CE596" s="94">
        <f t="shared" si="46"/>
        <v>470.44</v>
      </c>
      <c r="CF596" s="151">
        <f t="shared" si="48"/>
        <v>0</v>
      </c>
      <c r="CG596" s="75">
        <f t="shared" si="47"/>
        <v>4446</v>
      </c>
      <c r="CH596" s="69" t="str">
        <f t="shared" si="47"/>
        <v>خ ت اسنان</v>
      </c>
    </row>
    <row r="597" spans="1:86" x14ac:dyDescent="0.25">
      <c r="A597" s="148"/>
      <c r="B597" s="82">
        <v>8552</v>
      </c>
      <c r="C597" s="149">
        <v>4447</v>
      </c>
      <c r="D597" s="69" t="s">
        <v>123</v>
      </c>
      <c r="E597" s="69" t="s">
        <v>3307</v>
      </c>
      <c r="F597" s="63"/>
      <c r="G597" s="69">
        <v>351.75</v>
      </c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  <c r="AD597" s="69"/>
      <c r="AE597" s="69"/>
      <c r="AF597" s="69"/>
      <c r="AG597" s="69"/>
      <c r="AH597" s="69"/>
      <c r="AI597" s="69"/>
      <c r="AJ597" s="69"/>
      <c r="AK597" s="69"/>
      <c r="AL597" s="69"/>
      <c r="AM597" s="69"/>
      <c r="AN597" s="69"/>
      <c r="AO597" s="69"/>
      <c r="AP597" s="69"/>
      <c r="AQ597" s="69"/>
      <c r="AR597" s="94">
        <f t="shared" si="49"/>
        <v>351.75</v>
      </c>
      <c r="AS597" s="69">
        <v>221.25</v>
      </c>
      <c r="AT597" s="69">
        <v>30.75</v>
      </c>
      <c r="AU597" s="69">
        <v>84.75</v>
      </c>
      <c r="AV597" s="69">
        <v>15</v>
      </c>
      <c r="AW597" s="69"/>
      <c r="AX597" s="69"/>
      <c r="AY597" s="69"/>
      <c r="AZ597" s="69"/>
      <c r="BA597" s="69"/>
      <c r="BB597" s="69"/>
      <c r="BC597" s="69"/>
      <c r="BD597" s="69"/>
      <c r="BE597" s="69"/>
      <c r="BF597" s="69"/>
      <c r="BG597" s="69"/>
      <c r="BH597" s="69"/>
      <c r="BI597" s="69"/>
      <c r="BJ597" s="69"/>
      <c r="BK597" s="69"/>
      <c r="BL597" s="69"/>
      <c r="BM597" s="69"/>
      <c r="BN597" s="69"/>
      <c r="BO597" s="69"/>
      <c r="BP597" s="69"/>
      <c r="BQ597" s="69"/>
      <c r="BR597" s="69"/>
      <c r="BS597" s="69"/>
      <c r="BT597" s="69"/>
      <c r="BU597" s="69"/>
      <c r="BV597" s="69"/>
      <c r="BW597" s="69"/>
      <c r="BX597" s="69"/>
      <c r="BY597" s="69"/>
      <c r="BZ597" s="69"/>
      <c r="CA597" s="69"/>
      <c r="CB597" s="69"/>
      <c r="CC597" s="69"/>
      <c r="CD597" s="69"/>
      <c r="CE597" s="94">
        <f t="shared" si="46"/>
        <v>351.75</v>
      </c>
      <c r="CF597" s="151">
        <f t="shared" si="48"/>
        <v>0</v>
      </c>
      <c r="CG597" s="75">
        <f t="shared" si="47"/>
        <v>4447</v>
      </c>
      <c r="CH597" s="69" t="str">
        <f t="shared" si="47"/>
        <v>خ ت اسنان</v>
      </c>
    </row>
    <row r="598" spans="1:86" x14ac:dyDescent="0.25">
      <c r="A598" s="148"/>
      <c r="B598" s="82">
        <v>8547</v>
      </c>
      <c r="C598" s="149">
        <v>4448</v>
      </c>
      <c r="D598" s="69" t="s">
        <v>123</v>
      </c>
      <c r="E598" s="69" t="str">
        <f>+E594</f>
        <v>مكافاه تحصيل مصروفات اكتوبر</v>
      </c>
      <c r="F598" s="63"/>
      <c r="G598" s="69">
        <v>1172.5</v>
      </c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  <c r="AD598" s="69"/>
      <c r="AE598" s="69"/>
      <c r="AF598" s="69"/>
      <c r="AG598" s="69"/>
      <c r="AH598" s="69"/>
      <c r="AI598" s="69"/>
      <c r="AJ598" s="69"/>
      <c r="AK598" s="69"/>
      <c r="AL598" s="69"/>
      <c r="AM598" s="69"/>
      <c r="AN598" s="69"/>
      <c r="AO598" s="69"/>
      <c r="AP598" s="69"/>
      <c r="AQ598" s="69"/>
      <c r="AR598" s="94">
        <f t="shared" si="49"/>
        <v>1172.5</v>
      </c>
      <c r="AS598" s="69">
        <v>734.8</v>
      </c>
      <c r="AT598" s="69">
        <v>105.2</v>
      </c>
      <c r="AU598" s="69">
        <v>282.5</v>
      </c>
      <c r="AV598" s="69">
        <v>50</v>
      </c>
      <c r="AW598" s="69"/>
      <c r="AX598" s="69"/>
      <c r="AY598" s="69"/>
      <c r="AZ598" s="69"/>
      <c r="BA598" s="69"/>
      <c r="BB598" s="69"/>
      <c r="BC598" s="69"/>
      <c r="BD598" s="69"/>
      <c r="BE598" s="69"/>
      <c r="BF598" s="69"/>
      <c r="BG598" s="69"/>
      <c r="BH598" s="69"/>
      <c r="BI598" s="69"/>
      <c r="BJ598" s="69"/>
      <c r="BK598" s="69"/>
      <c r="BL598" s="69"/>
      <c r="BM598" s="69"/>
      <c r="BN598" s="69"/>
      <c r="BO598" s="69"/>
      <c r="BP598" s="69"/>
      <c r="BQ598" s="69"/>
      <c r="BR598" s="69"/>
      <c r="BS598" s="69"/>
      <c r="BT598" s="69"/>
      <c r="BU598" s="69"/>
      <c r="BV598" s="69"/>
      <c r="BW598" s="69"/>
      <c r="BX598" s="69"/>
      <c r="BY598" s="69"/>
      <c r="BZ598" s="69"/>
      <c r="CA598" s="69"/>
      <c r="CB598" s="69"/>
      <c r="CC598" s="69"/>
      <c r="CD598" s="69"/>
      <c r="CE598" s="94">
        <f t="shared" si="46"/>
        <v>1172.5</v>
      </c>
      <c r="CF598" s="151">
        <f t="shared" si="48"/>
        <v>0</v>
      </c>
      <c r="CG598" s="75">
        <f t="shared" si="47"/>
        <v>4448</v>
      </c>
      <c r="CH598" s="69" t="str">
        <f t="shared" si="47"/>
        <v>خ ت اسنان</v>
      </c>
    </row>
    <row r="599" spans="1:86" x14ac:dyDescent="0.25">
      <c r="A599" s="148"/>
      <c r="B599" s="82">
        <v>8549</v>
      </c>
      <c r="C599" s="149">
        <v>4449</v>
      </c>
      <c r="D599" s="69" t="s">
        <v>123</v>
      </c>
      <c r="E599" s="69" t="s">
        <v>3308</v>
      </c>
      <c r="F599" s="63"/>
      <c r="G599" s="69">
        <v>1000</v>
      </c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  <c r="AE599" s="69"/>
      <c r="AF599" s="69"/>
      <c r="AG599" s="69"/>
      <c r="AH599" s="69"/>
      <c r="AI599" s="69"/>
      <c r="AJ599" s="69"/>
      <c r="AK599" s="69"/>
      <c r="AL599" s="69"/>
      <c r="AM599" s="69"/>
      <c r="AN599" s="69"/>
      <c r="AO599" s="69"/>
      <c r="AP599" s="69"/>
      <c r="AQ599" s="69"/>
      <c r="AR599" s="94">
        <f t="shared" si="49"/>
        <v>1000</v>
      </c>
      <c r="AS599" s="69">
        <v>843.35</v>
      </c>
      <c r="AT599" s="69">
        <v>106.65</v>
      </c>
      <c r="AU599" s="69"/>
      <c r="AV599" s="69">
        <v>50</v>
      </c>
      <c r="AW599" s="69"/>
      <c r="AX599" s="69"/>
      <c r="AY599" s="69"/>
      <c r="AZ599" s="69"/>
      <c r="BA599" s="69"/>
      <c r="BB599" s="69"/>
      <c r="BC599" s="69"/>
      <c r="BD599" s="69"/>
      <c r="BE599" s="69"/>
      <c r="BF599" s="69"/>
      <c r="BG599" s="69"/>
      <c r="BH599" s="69"/>
      <c r="BI599" s="69"/>
      <c r="BJ599" s="69"/>
      <c r="BK599" s="69"/>
      <c r="BL599" s="69"/>
      <c r="BM599" s="69"/>
      <c r="BN599" s="69"/>
      <c r="BO599" s="69"/>
      <c r="BP599" s="69"/>
      <c r="BQ599" s="69"/>
      <c r="BR599" s="69"/>
      <c r="BS599" s="69"/>
      <c r="BT599" s="69"/>
      <c r="BU599" s="69"/>
      <c r="BV599" s="69"/>
      <c r="BW599" s="69"/>
      <c r="BX599" s="69"/>
      <c r="BY599" s="69"/>
      <c r="BZ599" s="69"/>
      <c r="CA599" s="69"/>
      <c r="CB599" s="69"/>
      <c r="CC599" s="69"/>
      <c r="CD599" s="69"/>
      <c r="CE599" s="94">
        <f t="shared" si="46"/>
        <v>1000</v>
      </c>
      <c r="CF599" s="151">
        <f t="shared" si="48"/>
        <v>0</v>
      </c>
      <c r="CG599" s="75">
        <f t="shared" si="47"/>
        <v>4449</v>
      </c>
      <c r="CH599" s="69" t="str">
        <f t="shared" si="47"/>
        <v>خ ت اسنان</v>
      </c>
    </row>
    <row r="600" spans="1:86" x14ac:dyDescent="0.25">
      <c r="A600" s="148"/>
      <c r="B600" s="82">
        <v>8232</v>
      </c>
      <c r="C600" s="149">
        <v>4450</v>
      </c>
      <c r="D600" s="69" t="s">
        <v>78</v>
      </c>
      <c r="E600" s="69" t="s">
        <v>565</v>
      </c>
      <c r="F600" s="63"/>
      <c r="G600" s="69">
        <v>562.79999999999995</v>
      </c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  <c r="AD600" s="69"/>
      <c r="AE600" s="69"/>
      <c r="AF600" s="69"/>
      <c r="AG600" s="69"/>
      <c r="AH600" s="69"/>
      <c r="AI600" s="69"/>
      <c r="AJ600" s="69"/>
      <c r="AK600" s="69"/>
      <c r="AL600" s="69"/>
      <c r="AM600" s="69"/>
      <c r="AN600" s="69"/>
      <c r="AO600" s="69"/>
      <c r="AP600" s="69"/>
      <c r="AQ600" s="69"/>
      <c r="AR600" s="94">
        <f t="shared" si="49"/>
        <v>562.79999999999995</v>
      </c>
      <c r="AS600" s="69">
        <v>376.75</v>
      </c>
      <c r="AT600" s="69">
        <v>50.45</v>
      </c>
      <c r="AU600" s="69">
        <v>135.6</v>
      </c>
      <c r="AV600" s="69"/>
      <c r="AW600" s="69"/>
      <c r="AX600" s="69"/>
      <c r="AY600" s="69"/>
      <c r="AZ600" s="69"/>
      <c r="BA600" s="69"/>
      <c r="BB600" s="69"/>
      <c r="BC600" s="69"/>
      <c r="BD600" s="69"/>
      <c r="BE600" s="69"/>
      <c r="BF600" s="69"/>
      <c r="BG600" s="69"/>
      <c r="BH600" s="69"/>
      <c r="BI600" s="69"/>
      <c r="BJ600" s="69"/>
      <c r="BK600" s="69"/>
      <c r="BL600" s="69"/>
      <c r="BM600" s="69"/>
      <c r="BN600" s="69"/>
      <c r="BO600" s="69"/>
      <c r="BP600" s="69"/>
      <c r="BQ600" s="69"/>
      <c r="BR600" s="69"/>
      <c r="BS600" s="69"/>
      <c r="BT600" s="69"/>
      <c r="BU600" s="69"/>
      <c r="BV600" s="69"/>
      <c r="BW600" s="69"/>
      <c r="BX600" s="69"/>
      <c r="BY600" s="69"/>
      <c r="BZ600" s="69"/>
      <c r="CA600" s="69"/>
      <c r="CB600" s="69"/>
      <c r="CC600" s="69"/>
      <c r="CD600" s="69"/>
      <c r="CE600" s="94">
        <f t="shared" si="46"/>
        <v>562.79999999999995</v>
      </c>
      <c r="CF600" s="151">
        <f t="shared" si="48"/>
        <v>0</v>
      </c>
      <c r="CG600" s="75">
        <f t="shared" si="47"/>
        <v>4450</v>
      </c>
      <c r="CH600" s="69" t="str">
        <f t="shared" si="47"/>
        <v>برنامج دولى</v>
      </c>
    </row>
    <row r="601" spans="1:86" x14ac:dyDescent="0.25">
      <c r="A601" s="148"/>
      <c r="B601" s="82">
        <v>8234</v>
      </c>
      <c r="C601" s="149">
        <v>4451</v>
      </c>
      <c r="D601" s="69" t="s">
        <v>78</v>
      </c>
      <c r="E601" s="69" t="s">
        <v>565</v>
      </c>
      <c r="F601" s="63"/>
      <c r="G601" s="69">
        <v>11372.75</v>
      </c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  <c r="AD601" s="69"/>
      <c r="AE601" s="69"/>
      <c r="AF601" s="69"/>
      <c r="AG601" s="69"/>
      <c r="AH601" s="69"/>
      <c r="AI601" s="69"/>
      <c r="AJ601" s="69"/>
      <c r="AK601" s="69"/>
      <c r="AL601" s="69"/>
      <c r="AM601" s="69"/>
      <c r="AN601" s="69"/>
      <c r="AO601" s="69"/>
      <c r="AP601" s="69"/>
      <c r="AQ601" s="69"/>
      <c r="AR601" s="94">
        <f t="shared" si="49"/>
        <v>11372.75</v>
      </c>
      <c r="AS601" s="69">
        <v>9651.91</v>
      </c>
      <c r="AT601" s="69">
        <v>1175.9000000000001</v>
      </c>
      <c r="AU601" s="69">
        <v>544.94000000000005</v>
      </c>
      <c r="AV601" s="69"/>
      <c r="AW601" s="69"/>
      <c r="AX601" s="69"/>
      <c r="AY601" s="69"/>
      <c r="AZ601" s="69"/>
      <c r="BA601" s="69"/>
      <c r="BB601" s="69"/>
      <c r="BC601" s="69"/>
      <c r="BD601" s="69"/>
      <c r="BE601" s="69"/>
      <c r="BF601" s="69"/>
      <c r="BG601" s="69"/>
      <c r="BH601" s="69"/>
      <c r="BI601" s="69"/>
      <c r="BJ601" s="69"/>
      <c r="BK601" s="69"/>
      <c r="BL601" s="69"/>
      <c r="BM601" s="69"/>
      <c r="BN601" s="69"/>
      <c r="BO601" s="69"/>
      <c r="BP601" s="69"/>
      <c r="BQ601" s="69"/>
      <c r="BR601" s="69"/>
      <c r="BS601" s="69"/>
      <c r="BT601" s="69"/>
      <c r="BU601" s="69"/>
      <c r="BV601" s="69"/>
      <c r="BW601" s="69"/>
      <c r="BX601" s="69"/>
      <c r="BY601" s="69"/>
      <c r="BZ601" s="69"/>
      <c r="CA601" s="69"/>
      <c r="CB601" s="69"/>
      <c r="CC601" s="69"/>
      <c r="CD601" s="69"/>
      <c r="CE601" s="94">
        <f t="shared" si="46"/>
        <v>11372.75</v>
      </c>
      <c r="CF601" s="151">
        <f t="shared" si="48"/>
        <v>0</v>
      </c>
      <c r="CG601" s="75">
        <f t="shared" si="47"/>
        <v>4451</v>
      </c>
      <c r="CH601" s="69" t="str">
        <f t="shared" si="47"/>
        <v>برنامج دولى</v>
      </c>
    </row>
    <row r="602" spans="1:86" x14ac:dyDescent="0.25">
      <c r="A602" s="148"/>
      <c r="B602" s="82">
        <v>8238</v>
      </c>
      <c r="C602" s="149">
        <v>4452</v>
      </c>
      <c r="D602" s="69" t="s">
        <v>78</v>
      </c>
      <c r="E602" s="69" t="s">
        <v>1386</v>
      </c>
      <c r="F602" s="63"/>
      <c r="G602" s="69">
        <v>3693.38</v>
      </c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  <c r="AD602" s="69"/>
      <c r="AE602" s="69"/>
      <c r="AF602" s="69"/>
      <c r="AG602" s="69"/>
      <c r="AH602" s="69"/>
      <c r="AI602" s="69"/>
      <c r="AJ602" s="69"/>
      <c r="AK602" s="69"/>
      <c r="AL602" s="69"/>
      <c r="AM602" s="69"/>
      <c r="AN602" s="69"/>
      <c r="AO602" s="69"/>
      <c r="AP602" s="69"/>
      <c r="AQ602" s="69"/>
      <c r="AR602" s="94">
        <f t="shared" si="49"/>
        <v>3693.38</v>
      </c>
      <c r="AS602" s="69">
        <v>2468.8000000000002</v>
      </c>
      <c r="AT602" s="69">
        <v>334.7</v>
      </c>
      <c r="AU602" s="69">
        <v>889.88</v>
      </c>
      <c r="AV602" s="69"/>
      <c r="AW602" s="69"/>
      <c r="AX602" s="69"/>
      <c r="AY602" s="69"/>
      <c r="AZ602" s="69"/>
      <c r="BA602" s="69"/>
      <c r="BB602" s="69"/>
      <c r="BC602" s="69"/>
      <c r="BD602" s="69"/>
      <c r="BE602" s="69"/>
      <c r="BF602" s="69"/>
      <c r="BG602" s="69"/>
      <c r="BH602" s="69"/>
      <c r="BI602" s="69"/>
      <c r="BJ602" s="69"/>
      <c r="BK602" s="69"/>
      <c r="BL602" s="69"/>
      <c r="BM602" s="69"/>
      <c r="BN602" s="69"/>
      <c r="BO602" s="69"/>
      <c r="BP602" s="69"/>
      <c r="BQ602" s="69"/>
      <c r="BR602" s="69"/>
      <c r="BS602" s="69"/>
      <c r="BT602" s="69"/>
      <c r="BU602" s="69"/>
      <c r="BV602" s="69"/>
      <c r="BW602" s="69"/>
      <c r="BX602" s="69"/>
      <c r="BY602" s="69"/>
      <c r="BZ602" s="69"/>
      <c r="CA602" s="69"/>
      <c r="CB602" s="69"/>
      <c r="CC602" s="69"/>
      <c r="CD602" s="69"/>
      <c r="CE602" s="94">
        <f t="shared" si="46"/>
        <v>3693.38</v>
      </c>
      <c r="CF602" s="151">
        <f t="shared" si="48"/>
        <v>0</v>
      </c>
      <c r="CG602" s="75">
        <f t="shared" si="47"/>
        <v>4452</v>
      </c>
      <c r="CH602" s="69" t="str">
        <f t="shared" si="47"/>
        <v>برنامج دولى</v>
      </c>
    </row>
    <row r="603" spans="1:86" x14ac:dyDescent="0.25">
      <c r="A603" s="148"/>
      <c r="B603" s="82">
        <v>8237</v>
      </c>
      <c r="C603" s="149">
        <v>4453</v>
      </c>
      <c r="D603" s="69" t="s">
        <v>78</v>
      </c>
      <c r="E603" s="69" t="s">
        <v>1386</v>
      </c>
      <c r="F603" s="63"/>
      <c r="G603" s="69">
        <v>600</v>
      </c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  <c r="AD603" s="69"/>
      <c r="AE603" s="69"/>
      <c r="AF603" s="69"/>
      <c r="AG603" s="69"/>
      <c r="AH603" s="69"/>
      <c r="AI603" s="69"/>
      <c r="AJ603" s="69"/>
      <c r="AK603" s="69"/>
      <c r="AL603" s="69"/>
      <c r="AM603" s="69"/>
      <c r="AN603" s="69"/>
      <c r="AO603" s="69"/>
      <c r="AP603" s="69"/>
      <c r="AQ603" s="69"/>
      <c r="AR603" s="94">
        <f t="shared" si="49"/>
        <v>600</v>
      </c>
      <c r="AS603" s="69">
        <v>536.15</v>
      </c>
      <c r="AT603" s="69">
        <v>63.85</v>
      </c>
      <c r="AU603" s="69"/>
      <c r="AV603" s="69"/>
      <c r="AW603" s="69"/>
      <c r="AX603" s="69"/>
      <c r="AY603" s="69"/>
      <c r="AZ603" s="69"/>
      <c r="BA603" s="69"/>
      <c r="BB603" s="69"/>
      <c r="BC603" s="69"/>
      <c r="BD603" s="69"/>
      <c r="BE603" s="69"/>
      <c r="BF603" s="69"/>
      <c r="BG603" s="69"/>
      <c r="BH603" s="69"/>
      <c r="BI603" s="69"/>
      <c r="BJ603" s="69"/>
      <c r="BK603" s="69"/>
      <c r="BL603" s="69"/>
      <c r="BM603" s="69"/>
      <c r="BN603" s="69"/>
      <c r="BO603" s="69"/>
      <c r="BP603" s="69"/>
      <c r="BQ603" s="69"/>
      <c r="BR603" s="69"/>
      <c r="BS603" s="69"/>
      <c r="BT603" s="69"/>
      <c r="BU603" s="69"/>
      <c r="BV603" s="69"/>
      <c r="BW603" s="69"/>
      <c r="BX603" s="69"/>
      <c r="BY603" s="69"/>
      <c r="BZ603" s="69"/>
      <c r="CA603" s="69"/>
      <c r="CB603" s="69"/>
      <c r="CC603" s="69"/>
      <c r="CD603" s="69"/>
      <c r="CE603" s="94">
        <f t="shared" ref="CE603:CE666" si="50">SUM(AS603:CD603)</f>
        <v>600</v>
      </c>
      <c r="CF603" s="151">
        <f t="shared" si="48"/>
        <v>0</v>
      </c>
      <c r="CG603" s="75">
        <f t="shared" si="47"/>
        <v>4453</v>
      </c>
      <c r="CH603" s="69" t="str">
        <f t="shared" si="47"/>
        <v>برنامج دولى</v>
      </c>
    </row>
    <row r="604" spans="1:86" x14ac:dyDescent="0.25">
      <c r="A604" s="148"/>
      <c r="B604" s="82">
        <v>8236</v>
      </c>
      <c r="C604" s="149">
        <v>4454</v>
      </c>
      <c r="D604" s="69" t="s">
        <v>78</v>
      </c>
      <c r="E604" s="69" t="s">
        <v>1386</v>
      </c>
      <c r="F604" s="63"/>
      <c r="G604" s="69">
        <v>14272.66</v>
      </c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  <c r="AD604" s="69"/>
      <c r="AE604" s="69"/>
      <c r="AF604" s="69"/>
      <c r="AG604" s="69"/>
      <c r="AH604" s="69"/>
      <c r="AI604" s="69"/>
      <c r="AJ604" s="69"/>
      <c r="AK604" s="69"/>
      <c r="AL604" s="69"/>
      <c r="AM604" s="69"/>
      <c r="AN604" s="69"/>
      <c r="AO604" s="69"/>
      <c r="AP604" s="69"/>
      <c r="AQ604" s="69"/>
      <c r="AR604" s="94">
        <f t="shared" si="49"/>
        <v>14272.66</v>
      </c>
      <c r="AS604" s="69">
        <v>12483.09</v>
      </c>
      <c r="AT604" s="69">
        <v>1506.8</v>
      </c>
      <c r="AU604" s="69">
        <v>282.77</v>
      </c>
      <c r="AV604" s="69"/>
      <c r="AW604" s="69"/>
      <c r="AX604" s="69"/>
      <c r="AY604" s="69"/>
      <c r="AZ604" s="69"/>
      <c r="BA604" s="69"/>
      <c r="BB604" s="69"/>
      <c r="BC604" s="69"/>
      <c r="BD604" s="69"/>
      <c r="BE604" s="69"/>
      <c r="BF604" s="69"/>
      <c r="BG604" s="69"/>
      <c r="BH604" s="69"/>
      <c r="BI604" s="69"/>
      <c r="BJ604" s="69"/>
      <c r="BK604" s="69"/>
      <c r="BL604" s="69"/>
      <c r="BM604" s="69"/>
      <c r="BN604" s="69"/>
      <c r="BO604" s="69"/>
      <c r="BP604" s="69"/>
      <c r="BQ604" s="69"/>
      <c r="BR604" s="69"/>
      <c r="BS604" s="69"/>
      <c r="BT604" s="69"/>
      <c r="BU604" s="69"/>
      <c r="BV604" s="69"/>
      <c r="BW604" s="69"/>
      <c r="BX604" s="69"/>
      <c r="BY604" s="69"/>
      <c r="BZ604" s="69"/>
      <c r="CA604" s="69"/>
      <c r="CB604" s="69"/>
      <c r="CC604" s="69"/>
      <c r="CD604" s="69"/>
      <c r="CE604" s="94">
        <f t="shared" si="50"/>
        <v>14272.66</v>
      </c>
      <c r="CF604" s="151">
        <f t="shared" si="48"/>
        <v>0</v>
      </c>
      <c r="CG604" s="75">
        <f t="shared" si="47"/>
        <v>4454</v>
      </c>
      <c r="CH604" s="69" t="str">
        <f t="shared" si="47"/>
        <v>برنامج دولى</v>
      </c>
    </row>
    <row r="605" spans="1:86" x14ac:dyDescent="0.25">
      <c r="A605" s="148"/>
      <c r="B605" s="82">
        <v>8235</v>
      </c>
      <c r="C605" s="149">
        <v>4455</v>
      </c>
      <c r="D605" s="69" t="s">
        <v>78</v>
      </c>
      <c r="E605" s="69" t="s">
        <v>1386</v>
      </c>
      <c r="F605" s="63"/>
      <c r="G605" s="69">
        <v>34128.160000000003</v>
      </c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  <c r="AD605" s="69"/>
      <c r="AE605" s="69"/>
      <c r="AF605" s="69"/>
      <c r="AG605" s="69"/>
      <c r="AH605" s="69"/>
      <c r="AI605" s="69"/>
      <c r="AJ605" s="69"/>
      <c r="AK605" s="69"/>
      <c r="AL605" s="69"/>
      <c r="AM605" s="69"/>
      <c r="AN605" s="69"/>
      <c r="AO605" s="69"/>
      <c r="AP605" s="69"/>
      <c r="AQ605" s="69"/>
      <c r="AR605" s="94">
        <f t="shared" si="49"/>
        <v>34128.160000000003</v>
      </c>
      <c r="AS605" s="69">
        <v>23859.35</v>
      </c>
      <c r="AT605" s="69">
        <v>3164.3</v>
      </c>
      <c r="AU605" s="69">
        <v>7104.51</v>
      </c>
      <c r="AV605" s="69"/>
      <c r="AW605" s="69"/>
      <c r="AX605" s="69"/>
      <c r="AY605" s="69"/>
      <c r="AZ605" s="69"/>
      <c r="BA605" s="69"/>
      <c r="BB605" s="69"/>
      <c r="BC605" s="69"/>
      <c r="BD605" s="69"/>
      <c r="BE605" s="69"/>
      <c r="BF605" s="69"/>
      <c r="BG605" s="69"/>
      <c r="BH605" s="69"/>
      <c r="BI605" s="69"/>
      <c r="BJ605" s="69"/>
      <c r="BK605" s="69"/>
      <c r="BL605" s="69"/>
      <c r="BM605" s="69"/>
      <c r="BN605" s="69"/>
      <c r="BO605" s="69"/>
      <c r="BP605" s="69"/>
      <c r="BQ605" s="69"/>
      <c r="BR605" s="69"/>
      <c r="BS605" s="69"/>
      <c r="BT605" s="69"/>
      <c r="BU605" s="69"/>
      <c r="BV605" s="69"/>
      <c r="BW605" s="69"/>
      <c r="BX605" s="69"/>
      <c r="BY605" s="69"/>
      <c r="BZ605" s="69"/>
      <c r="CA605" s="69"/>
      <c r="CB605" s="69"/>
      <c r="CC605" s="69"/>
      <c r="CD605" s="69"/>
      <c r="CE605" s="94">
        <f t="shared" si="50"/>
        <v>34128.159999999996</v>
      </c>
      <c r="CF605" s="151">
        <f t="shared" si="48"/>
        <v>0</v>
      </c>
      <c r="CG605" s="75">
        <f t="shared" ref="CG605:CH622" si="51">+C605</f>
        <v>4455</v>
      </c>
      <c r="CH605" s="69" t="str">
        <f t="shared" si="51"/>
        <v>برنامج دولى</v>
      </c>
    </row>
    <row r="606" spans="1:86" x14ac:dyDescent="0.25">
      <c r="A606" s="148"/>
      <c r="B606" s="82">
        <v>8229</v>
      </c>
      <c r="C606" s="149">
        <v>4456</v>
      </c>
      <c r="D606" s="69" t="s">
        <v>78</v>
      </c>
      <c r="E606" s="69" t="s">
        <v>3309</v>
      </c>
      <c r="F606" s="63"/>
      <c r="G606" s="69">
        <v>580.39</v>
      </c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  <c r="AD606" s="69"/>
      <c r="AE606" s="69"/>
      <c r="AF606" s="69"/>
      <c r="AG606" s="69"/>
      <c r="AH606" s="69"/>
      <c r="AI606" s="69"/>
      <c r="AJ606" s="69"/>
      <c r="AK606" s="69"/>
      <c r="AL606" s="69"/>
      <c r="AM606" s="69"/>
      <c r="AN606" s="69"/>
      <c r="AO606" s="69"/>
      <c r="AP606" s="69"/>
      <c r="AQ606" s="69"/>
      <c r="AR606" s="94">
        <f t="shared" si="49"/>
        <v>580.39</v>
      </c>
      <c r="AS606" s="69">
        <v>388.5</v>
      </c>
      <c r="AT606" s="69">
        <v>52.05</v>
      </c>
      <c r="AU606" s="69">
        <v>139.84</v>
      </c>
      <c r="AV606" s="69"/>
      <c r="AW606" s="69"/>
      <c r="AX606" s="69"/>
      <c r="AY606" s="69"/>
      <c r="AZ606" s="69"/>
      <c r="BA606" s="69"/>
      <c r="BB606" s="69"/>
      <c r="BC606" s="69"/>
      <c r="BD606" s="69"/>
      <c r="BE606" s="69"/>
      <c r="BF606" s="69"/>
      <c r="BG606" s="69"/>
      <c r="BH606" s="69"/>
      <c r="BI606" s="69"/>
      <c r="BJ606" s="69"/>
      <c r="BK606" s="69"/>
      <c r="BL606" s="69"/>
      <c r="BM606" s="69"/>
      <c r="BN606" s="69"/>
      <c r="BO606" s="69"/>
      <c r="BP606" s="69"/>
      <c r="BQ606" s="69"/>
      <c r="BR606" s="69"/>
      <c r="BS606" s="69"/>
      <c r="BT606" s="69"/>
      <c r="BU606" s="69"/>
      <c r="BV606" s="69"/>
      <c r="BW606" s="69"/>
      <c r="BX606" s="69"/>
      <c r="BY606" s="69"/>
      <c r="BZ606" s="69"/>
      <c r="CA606" s="69"/>
      <c r="CB606" s="69"/>
      <c r="CC606" s="69"/>
      <c r="CD606" s="69"/>
      <c r="CE606" s="94">
        <f t="shared" si="50"/>
        <v>580.39</v>
      </c>
      <c r="CF606" s="151">
        <f t="shared" ref="CF606:CF669" si="52">+CE606-AR606</f>
        <v>0</v>
      </c>
      <c r="CG606" s="75">
        <f t="shared" si="51"/>
        <v>4456</v>
      </c>
      <c r="CH606" s="69" t="str">
        <f t="shared" si="51"/>
        <v>برنامج دولى</v>
      </c>
    </row>
    <row r="607" spans="1:86" x14ac:dyDescent="0.25">
      <c r="A607" s="148"/>
      <c r="B607" s="82">
        <v>8240</v>
      </c>
      <c r="C607" s="149">
        <v>4457</v>
      </c>
      <c r="D607" s="69" t="s">
        <v>78</v>
      </c>
      <c r="E607" s="69" t="str">
        <f>+E605</f>
        <v>عب تدريس اطفال</v>
      </c>
      <c r="F607" s="63"/>
      <c r="G607" s="69">
        <v>3989.4</v>
      </c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  <c r="AJ607" s="69"/>
      <c r="AK607" s="69"/>
      <c r="AL607" s="69"/>
      <c r="AM607" s="69"/>
      <c r="AN607" s="69"/>
      <c r="AO607" s="69"/>
      <c r="AP607" s="69"/>
      <c r="AQ607" s="69"/>
      <c r="AR607" s="94">
        <f t="shared" si="49"/>
        <v>3989.4</v>
      </c>
      <c r="AS607" s="69">
        <v>2741.37</v>
      </c>
      <c r="AT607" s="69">
        <v>364.65</v>
      </c>
      <c r="AU607" s="69">
        <v>883.38</v>
      </c>
      <c r="AV607" s="69"/>
      <c r="AW607" s="69"/>
      <c r="AX607" s="69"/>
      <c r="AY607" s="69"/>
      <c r="AZ607" s="69"/>
      <c r="BA607" s="69"/>
      <c r="BB607" s="69"/>
      <c r="BC607" s="69"/>
      <c r="BD607" s="69"/>
      <c r="BE607" s="69"/>
      <c r="BF607" s="69"/>
      <c r="BG607" s="69"/>
      <c r="BH607" s="69"/>
      <c r="BI607" s="69"/>
      <c r="BJ607" s="69"/>
      <c r="BK607" s="69"/>
      <c r="BL607" s="69"/>
      <c r="BM607" s="69"/>
      <c r="BN607" s="69"/>
      <c r="BO607" s="69"/>
      <c r="BP607" s="69"/>
      <c r="BQ607" s="69"/>
      <c r="BR607" s="69"/>
      <c r="BS607" s="69"/>
      <c r="BT607" s="69"/>
      <c r="BU607" s="69"/>
      <c r="BV607" s="69"/>
      <c r="BW607" s="69"/>
      <c r="BX607" s="69"/>
      <c r="BY607" s="69"/>
      <c r="BZ607" s="69"/>
      <c r="CA607" s="69"/>
      <c r="CB607" s="69"/>
      <c r="CC607" s="69"/>
      <c r="CD607" s="69"/>
      <c r="CE607" s="94">
        <f t="shared" si="50"/>
        <v>3989.4</v>
      </c>
      <c r="CF607" s="151">
        <f t="shared" si="52"/>
        <v>0</v>
      </c>
      <c r="CG607" s="75">
        <f t="shared" si="51"/>
        <v>4457</v>
      </c>
      <c r="CH607" s="69" t="str">
        <f t="shared" si="51"/>
        <v>برنامج دولى</v>
      </c>
    </row>
    <row r="608" spans="1:86" x14ac:dyDescent="0.25">
      <c r="A608" s="148"/>
      <c r="B608" s="82">
        <v>8239</v>
      </c>
      <c r="C608" s="149">
        <v>4458</v>
      </c>
      <c r="D608" s="69" t="s">
        <v>78</v>
      </c>
      <c r="E608" s="69" t="str">
        <f>+E607</f>
        <v>عب تدريس اطفال</v>
      </c>
      <c r="F608" s="63"/>
      <c r="G608" s="69">
        <v>4462</v>
      </c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  <c r="AJ608" s="69"/>
      <c r="AK608" s="69"/>
      <c r="AL608" s="69"/>
      <c r="AM608" s="69"/>
      <c r="AN608" s="69"/>
      <c r="AO608" s="69"/>
      <c r="AP608" s="69"/>
      <c r="AQ608" s="69"/>
      <c r="AR608" s="94">
        <f t="shared" si="49"/>
        <v>4462</v>
      </c>
      <c r="AS608" s="69">
        <v>3107.75</v>
      </c>
      <c r="AT608" s="69">
        <v>409.3</v>
      </c>
      <c r="AU608" s="69">
        <v>944.95</v>
      </c>
      <c r="AV608" s="69"/>
      <c r="AW608" s="69"/>
      <c r="AX608" s="69"/>
      <c r="AY608" s="69"/>
      <c r="AZ608" s="69"/>
      <c r="BA608" s="69"/>
      <c r="BB608" s="69"/>
      <c r="BC608" s="69"/>
      <c r="BD608" s="69"/>
      <c r="BE608" s="69"/>
      <c r="BF608" s="69"/>
      <c r="BG608" s="69"/>
      <c r="BH608" s="69"/>
      <c r="BI608" s="69"/>
      <c r="BJ608" s="69"/>
      <c r="BK608" s="69"/>
      <c r="BL608" s="69"/>
      <c r="BM608" s="69"/>
      <c r="BN608" s="69"/>
      <c r="BO608" s="69"/>
      <c r="BP608" s="69"/>
      <c r="BQ608" s="69"/>
      <c r="BR608" s="69"/>
      <c r="BS608" s="69"/>
      <c r="BT608" s="69"/>
      <c r="BU608" s="69"/>
      <c r="BV608" s="69"/>
      <c r="BW608" s="69"/>
      <c r="BX608" s="69"/>
      <c r="BY608" s="69"/>
      <c r="BZ608" s="69"/>
      <c r="CA608" s="69"/>
      <c r="CB608" s="69"/>
      <c r="CC608" s="69"/>
      <c r="CD608" s="69"/>
      <c r="CE608" s="94">
        <f t="shared" si="50"/>
        <v>4462</v>
      </c>
      <c r="CF608" s="151">
        <f t="shared" si="52"/>
        <v>0</v>
      </c>
      <c r="CG608" s="75">
        <f t="shared" si="51"/>
        <v>4458</v>
      </c>
      <c r="CH608" s="69" t="str">
        <f t="shared" si="51"/>
        <v>برنامج دولى</v>
      </c>
    </row>
    <row r="609" spans="1:86" x14ac:dyDescent="0.25">
      <c r="A609" s="148"/>
      <c r="B609" s="82">
        <v>8241</v>
      </c>
      <c r="C609" s="149">
        <v>4459</v>
      </c>
      <c r="D609" s="69" t="s">
        <v>78</v>
      </c>
      <c r="E609" s="69" t="str">
        <f>+E608</f>
        <v>عب تدريس اطفال</v>
      </c>
      <c r="F609" s="63"/>
      <c r="G609" s="69">
        <v>633.15</v>
      </c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  <c r="AJ609" s="69"/>
      <c r="AK609" s="69"/>
      <c r="AL609" s="69"/>
      <c r="AM609" s="69"/>
      <c r="AN609" s="69"/>
      <c r="AO609" s="69"/>
      <c r="AP609" s="69"/>
      <c r="AQ609" s="69"/>
      <c r="AR609" s="94">
        <f t="shared" si="49"/>
        <v>633.15</v>
      </c>
      <c r="AS609" s="69">
        <v>423.55</v>
      </c>
      <c r="AT609" s="69">
        <v>57.05</v>
      </c>
      <c r="AU609" s="69">
        <v>152.55000000000001</v>
      </c>
      <c r="AV609" s="69"/>
      <c r="AW609" s="69"/>
      <c r="AX609" s="69"/>
      <c r="AY609" s="69"/>
      <c r="AZ609" s="69"/>
      <c r="BA609" s="69"/>
      <c r="BB609" s="69"/>
      <c r="BC609" s="69"/>
      <c r="BD609" s="69"/>
      <c r="BE609" s="69"/>
      <c r="BF609" s="69"/>
      <c r="BG609" s="69"/>
      <c r="BH609" s="69"/>
      <c r="BI609" s="69"/>
      <c r="BJ609" s="69"/>
      <c r="BK609" s="69"/>
      <c r="BL609" s="69"/>
      <c r="BM609" s="69"/>
      <c r="BN609" s="69"/>
      <c r="BO609" s="69"/>
      <c r="BP609" s="69"/>
      <c r="BQ609" s="69"/>
      <c r="BR609" s="69"/>
      <c r="BS609" s="69"/>
      <c r="BT609" s="69"/>
      <c r="BU609" s="69"/>
      <c r="BV609" s="69"/>
      <c r="BW609" s="69"/>
      <c r="BX609" s="69"/>
      <c r="BY609" s="69"/>
      <c r="BZ609" s="69"/>
      <c r="CA609" s="69"/>
      <c r="CB609" s="69"/>
      <c r="CC609" s="69"/>
      <c r="CD609" s="69"/>
      <c r="CE609" s="94">
        <f t="shared" si="50"/>
        <v>633.15000000000009</v>
      </c>
      <c r="CF609" s="151">
        <f t="shared" si="52"/>
        <v>0</v>
      </c>
      <c r="CG609" s="75">
        <f t="shared" si="51"/>
        <v>4459</v>
      </c>
      <c r="CH609" s="69" t="str">
        <f t="shared" si="51"/>
        <v>برنامج دولى</v>
      </c>
    </row>
    <row r="610" spans="1:86" x14ac:dyDescent="0.25">
      <c r="A610" s="148"/>
      <c r="B610" s="82">
        <v>8248</v>
      </c>
      <c r="C610" s="149">
        <v>4460</v>
      </c>
      <c r="D610" s="69" t="s">
        <v>78</v>
      </c>
      <c r="E610" s="69" t="s">
        <v>3223</v>
      </c>
      <c r="F610" s="63"/>
      <c r="G610" s="69">
        <v>5065.2</v>
      </c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  <c r="AD610" s="69"/>
      <c r="AE610" s="69"/>
      <c r="AF610" s="69"/>
      <c r="AG610" s="69"/>
      <c r="AH610" s="69"/>
      <c r="AI610" s="69"/>
      <c r="AJ610" s="69"/>
      <c r="AK610" s="69"/>
      <c r="AL610" s="69"/>
      <c r="AM610" s="69"/>
      <c r="AN610" s="69"/>
      <c r="AO610" s="69"/>
      <c r="AP610" s="69"/>
      <c r="AQ610" s="69"/>
      <c r="AR610" s="94">
        <f t="shared" si="49"/>
        <v>5065.2</v>
      </c>
      <c r="AS610" s="69">
        <v>3384.3</v>
      </c>
      <c r="AT610" s="69">
        <v>460.5</v>
      </c>
      <c r="AU610" s="69">
        <v>1220.4000000000001</v>
      </c>
      <c r="AV610" s="69"/>
      <c r="AW610" s="69"/>
      <c r="AX610" s="69"/>
      <c r="AY610" s="69"/>
      <c r="AZ610" s="69"/>
      <c r="BA610" s="69"/>
      <c r="BB610" s="69"/>
      <c r="BC610" s="69"/>
      <c r="BD610" s="69"/>
      <c r="BE610" s="69"/>
      <c r="BF610" s="69"/>
      <c r="BG610" s="69"/>
      <c r="BH610" s="69"/>
      <c r="BI610" s="69"/>
      <c r="BJ610" s="69"/>
      <c r="BK610" s="69"/>
      <c r="BL610" s="69"/>
      <c r="BM610" s="69"/>
      <c r="BN610" s="69"/>
      <c r="BO610" s="69"/>
      <c r="BP610" s="69"/>
      <c r="BQ610" s="69"/>
      <c r="BR610" s="69"/>
      <c r="BS610" s="69"/>
      <c r="BT610" s="69"/>
      <c r="BU610" s="69"/>
      <c r="BV610" s="69"/>
      <c r="BW610" s="69"/>
      <c r="BX610" s="69"/>
      <c r="BY610" s="69"/>
      <c r="BZ610" s="69"/>
      <c r="CA610" s="69"/>
      <c r="CB610" s="69"/>
      <c r="CC610" s="69"/>
      <c r="CD610" s="69"/>
      <c r="CE610" s="94">
        <f t="shared" si="50"/>
        <v>5065.2000000000007</v>
      </c>
      <c r="CF610" s="151">
        <f t="shared" si="52"/>
        <v>0</v>
      </c>
      <c r="CG610" s="75">
        <f t="shared" si="51"/>
        <v>4460</v>
      </c>
      <c r="CH610" s="69" t="str">
        <f t="shared" si="51"/>
        <v>برنامج دولى</v>
      </c>
    </row>
    <row r="611" spans="1:86" x14ac:dyDescent="0.25">
      <c r="A611" s="148"/>
      <c r="B611" s="82">
        <v>8249</v>
      </c>
      <c r="C611" s="149">
        <v>4461</v>
      </c>
      <c r="D611" s="69" t="s">
        <v>78</v>
      </c>
      <c r="E611" s="69" t="s">
        <v>1929</v>
      </c>
      <c r="F611" s="63"/>
      <c r="G611" s="69">
        <v>53527.78</v>
      </c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  <c r="AD611" s="69"/>
      <c r="AE611" s="69"/>
      <c r="AF611" s="69"/>
      <c r="AG611" s="69"/>
      <c r="AH611" s="69"/>
      <c r="AI611" s="69"/>
      <c r="AJ611" s="69"/>
      <c r="AK611" s="69"/>
      <c r="AL611" s="69"/>
      <c r="AM611" s="69"/>
      <c r="AN611" s="69"/>
      <c r="AO611" s="69"/>
      <c r="AP611" s="69"/>
      <c r="AQ611" s="69"/>
      <c r="AR611" s="94">
        <f t="shared" si="49"/>
        <v>53527.78</v>
      </c>
      <c r="AS611" s="69">
        <v>47486.2</v>
      </c>
      <c r="AT611" s="69">
        <v>5635.8</v>
      </c>
      <c r="AU611" s="69">
        <v>405.78</v>
      </c>
      <c r="AV611" s="69"/>
      <c r="AW611" s="69"/>
      <c r="AX611" s="69"/>
      <c r="AY611" s="69"/>
      <c r="AZ611" s="69"/>
      <c r="BA611" s="69"/>
      <c r="BB611" s="69"/>
      <c r="BC611" s="69"/>
      <c r="BD611" s="69"/>
      <c r="BE611" s="69"/>
      <c r="BF611" s="69"/>
      <c r="BG611" s="69"/>
      <c r="BH611" s="69"/>
      <c r="BI611" s="69"/>
      <c r="BJ611" s="69"/>
      <c r="BK611" s="69"/>
      <c r="BL611" s="69"/>
      <c r="BM611" s="69"/>
      <c r="BN611" s="69"/>
      <c r="BO611" s="69"/>
      <c r="BP611" s="69"/>
      <c r="BQ611" s="69"/>
      <c r="BR611" s="69"/>
      <c r="BS611" s="69"/>
      <c r="BT611" s="69"/>
      <c r="BU611" s="69"/>
      <c r="BV611" s="69"/>
      <c r="BW611" s="69"/>
      <c r="BX611" s="69"/>
      <c r="BY611" s="69"/>
      <c r="BZ611" s="69"/>
      <c r="CA611" s="69"/>
      <c r="CB611" s="69"/>
      <c r="CC611" s="69"/>
      <c r="CD611" s="69"/>
      <c r="CE611" s="94">
        <f t="shared" si="50"/>
        <v>53527.78</v>
      </c>
      <c r="CF611" s="151">
        <f t="shared" si="52"/>
        <v>0</v>
      </c>
      <c r="CG611" s="75">
        <f t="shared" si="51"/>
        <v>4461</v>
      </c>
      <c r="CH611" s="69" t="str">
        <f t="shared" si="51"/>
        <v>برنامج دولى</v>
      </c>
    </row>
    <row r="612" spans="1:86" x14ac:dyDescent="0.25">
      <c r="A612" s="148"/>
      <c r="B612" s="82">
        <v>8244</v>
      </c>
      <c r="C612" s="149">
        <v>4462</v>
      </c>
      <c r="D612" s="69" t="s">
        <v>78</v>
      </c>
      <c r="E612" s="69" t="s">
        <v>1929</v>
      </c>
      <c r="F612" s="63"/>
      <c r="G612" s="69">
        <v>20620.060000000001</v>
      </c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  <c r="AJ612" s="69"/>
      <c r="AK612" s="69"/>
      <c r="AL612" s="69"/>
      <c r="AM612" s="69"/>
      <c r="AN612" s="69"/>
      <c r="AO612" s="69"/>
      <c r="AP612" s="69"/>
      <c r="AQ612" s="69"/>
      <c r="AR612" s="94">
        <f t="shared" si="49"/>
        <v>20620.060000000001</v>
      </c>
      <c r="AS612" s="69">
        <v>17742.88</v>
      </c>
      <c r="AT612" s="69">
        <v>2123.75</v>
      </c>
      <c r="AU612" s="69">
        <v>753.43</v>
      </c>
      <c r="AV612" s="69"/>
      <c r="AW612" s="69"/>
      <c r="AX612" s="69"/>
      <c r="AY612" s="69"/>
      <c r="AZ612" s="69"/>
      <c r="BA612" s="69"/>
      <c r="BB612" s="69"/>
      <c r="BC612" s="69"/>
      <c r="BD612" s="69"/>
      <c r="BE612" s="69"/>
      <c r="BF612" s="69"/>
      <c r="BG612" s="69"/>
      <c r="BH612" s="69"/>
      <c r="BI612" s="69"/>
      <c r="BJ612" s="69"/>
      <c r="BK612" s="69"/>
      <c r="BL612" s="69"/>
      <c r="BM612" s="69"/>
      <c r="BN612" s="69"/>
      <c r="BO612" s="69"/>
      <c r="BP612" s="69"/>
      <c r="BQ612" s="69"/>
      <c r="BR612" s="69"/>
      <c r="BS612" s="69"/>
      <c r="BT612" s="69"/>
      <c r="BU612" s="69"/>
      <c r="BV612" s="69"/>
      <c r="BW612" s="69"/>
      <c r="BX612" s="69"/>
      <c r="BY612" s="69"/>
      <c r="BZ612" s="69"/>
      <c r="CA612" s="69"/>
      <c r="CB612" s="69"/>
      <c r="CC612" s="69"/>
      <c r="CD612" s="69"/>
      <c r="CE612" s="94">
        <f t="shared" si="50"/>
        <v>20620.060000000001</v>
      </c>
      <c r="CF612" s="151">
        <f t="shared" si="52"/>
        <v>0</v>
      </c>
      <c r="CG612" s="75">
        <f t="shared" si="51"/>
        <v>4462</v>
      </c>
      <c r="CH612" s="69" t="str">
        <f t="shared" si="51"/>
        <v>برنامج دولى</v>
      </c>
    </row>
    <row r="613" spans="1:86" x14ac:dyDescent="0.25">
      <c r="A613" s="148"/>
      <c r="B613" s="82">
        <v>8255</v>
      </c>
      <c r="C613" s="149">
        <v>4463</v>
      </c>
      <c r="D613" s="69" t="s">
        <v>78</v>
      </c>
      <c r="E613" s="69" t="s">
        <v>1929</v>
      </c>
      <c r="F613" s="63"/>
      <c r="G613" s="69">
        <v>5856.63</v>
      </c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  <c r="AJ613" s="69"/>
      <c r="AK613" s="69"/>
      <c r="AL613" s="69"/>
      <c r="AM613" s="69"/>
      <c r="AN613" s="69"/>
      <c r="AO613" s="69"/>
      <c r="AP613" s="69"/>
      <c r="AQ613" s="69"/>
      <c r="AR613" s="94">
        <f t="shared" si="49"/>
        <v>5856.63</v>
      </c>
      <c r="AS613" s="69">
        <v>3913.45</v>
      </c>
      <c r="AT613" s="69">
        <v>532.1</v>
      </c>
      <c r="AU613" s="69">
        <v>1411.08</v>
      </c>
      <c r="AV613" s="69"/>
      <c r="AW613" s="69"/>
      <c r="AX613" s="69"/>
      <c r="AY613" s="69"/>
      <c r="AZ613" s="69"/>
      <c r="BA613" s="69"/>
      <c r="BB613" s="69"/>
      <c r="BC613" s="69"/>
      <c r="BD613" s="69"/>
      <c r="BE613" s="69"/>
      <c r="BF613" s="69"/>
      <c r="BG613" s="69"/>
      <c r="BH613" s="69"/>
      <c r="BI613" s="69"/>
      <c r="BJ613" s="69"/>
      <c r="BK613" s="69"/>
      <c r="BL613" s="69"/>
      <c r="BM613" s="69"/>
      <c r="BN613" s="69"/>
      <c r="BO613" s="69"/>
      <c r="BP613" s="69"/>
      <c r="BQ613" s="69"/>
      <c r="BR613" s="69"/>
      <c r="BS613" s="69"/>
      <c r="BT613" s="69"/>
      <c r="BU613" s="69"/>
      <c r="BV613" s="69"/>
      <c r="BW613" s="69"/>
      <c r="BX613" s="69"/>
      <c r="BY613" s="69"/>
      <c r="BZ613" s="69"/>
      <c r="CA613" s="69"/>
      <c r="CB613" s="69"/>
      <c r="CC613" s="69"/>
      <c r="CD613" s="69"/>
      <c r="CE613" s="94">
        <f t="shared" si="50"/>
        <v>5856.63</v>
      </c>
      <c r="CF613" s="151">
        <f t="shared" si="52"/>
        <v>0</v>
      </c>
      <c r="CG613" s="75">
        <f t="shared" si="51"/>
        <v>4463</v>
      </c>
      <c r="CH613" s="69" t="str">
        <f t="shared" si="51"/>
        <v>برنامج دولى</v>
      </c>
    </row>
    <row r="614" spans="1:86" x14ac:dyDescent="0.25">
      <c r="A614" s="148"/>
      <c r="B614" s="82">
        <v>8254</v>
      </c>
      <c r="C614" s="149">
        <v>4464</v>
      </c>
      <c r="D614" s="69" t="s">
        <v>78</v>
      </c>
      <c r="E614" s="69" t="s">
        <v>1929</v>
      </c>
      <c r="F614" s="63"/>
      <c r="G614" s="69">
        <v>3740.48</v>
      </c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  <c r="AJ614" s="69"/>
      <c r="AK614" s="69"/>
      <c r="AL614" s="69"/>
      <c r="AM614" s="69"/>
      <c r="AN614" s="69"/>
      <c r="AO614" s="69"/>
      <c r="AP614" s="69"/>
      <c r="AQ614" s="69"/>
      <c r="AR614" s="94">
        <f t="shared" si="49"/>
        <v>3740.48</v>
      </c>
      <c r="AS614" s="69">
        <v>2712.59</v>
      </c>
      <c r="AT614" s="69">
        <v>355.65</v>
      </c>
      <c r="AU614" s="69">
        <v>672.24</v>
      </c>
      <c r="AV614" s="69"/>
      <c r="AW614" s="69"/>
      <c r="AX614" s="69"/>
      <c r="AY614" s="69"/>
      <c r="AZ614" s="69"/>
      <c r="BA614" s="69"/>
      <c r="BB614" s="69"/>
      <c r="BC614" s="69"/>
      <c r="BD614" s="69"/>
      <c r="BE614" s="69"/>
      <c r="BF614" s="69"/>
      <c r="BG614" s="69"/>
      <c r="BH614" s="69"/>
      <c r="BI614" s="69"/>
      <c r="BJ614" s="69"/>
      <c r="BK614" s="69"/>
      <c r="BL614" s="69"/>
      <c r="BM614" s="69"/>
      <c r="BN614" s="69"/>
      <c r="BO614" s="69"/>
      <c r="BP614" s="69"/>
      <c r="BQ614" s="69"/>
      <c r="BR614" s="69"/>
      <c r="BS614" s="69"/>
      <c r="BT614" s="69"/>
      <c r="BU614" s="69"/>
      <c r="BV614" s="69"/>
      <c r="BW614" s="69"/>
      <c r="BX614" s="69"/>
      <c r="BY614" s="69"/>
      <c r="BZ614" s="69"/>
      <c r="CA614" s="69"/>
      <c r="CB614" s="69"/>
      <c r="CC614" s="69"/>
      <c r="CD614" s="69"/>
      <c r="CE614" s="94">
        <f t="shared" si="50"/>
        <v>3740.4800000000005</v>
      </c>
      <c r="CF614" s="151">
        <f t="shared" si="52"/>
        <v>0</v>
      </c>
      <c r="CG614" s="75">
        <f t="shared" si="51"/>
        <v>4464</v>
      </c>
      <c r="CH614" s="69" t="str">
        <f t="shared" si="51"/>
        <v>برنامج دولى</v>
      </c>
    </row>
    <row r="615" spans="1:86" x14ac:dyDescent="0.25">
      <c r="A615" s="148"/>
      <c r="B615" s="82">
        <v>8253</v>
      </c>
      <c r="C615" s="149">
        <v>4465</v>
      </c>
      <c r="D615" s="69" t="s">
        <v>78</v>
      </c>
      <c r="E615" s="69" t="s">
        <v>1929</v>
      </c>
      <c r="F615" s="63"/>
      <c r="G615" s="69">
        <v>1952.21</v>
      </c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  <c r="AJ615" s="69"/>
      <c r="AK615" s="69"/>
      <c r="AL615" s="69"/>
      <c r="AM615" s="69"/>
      <c r="AN615" s="69"/>
      <c r="AO615" s="69"/>
      <c r="AP615" s="69"/>
      <c r="AQ615" s="69"/>
      <c r="AR615" s="94">
        <f t="shared" si="49"/>
        <v>1952.21</v>
      </c>
      <c r="AS615" s="69">
        <v>1304.5999999999999</v>
      </c>
      <c r="AT615" s="69">
        <v>177.25</v>
      </c>
      <c r="AU615" s="69">
        <v>470.36</v>
      </c>
      <c r="AV615" s="69"/>
      <c r="AW615" s="69"/>
      <c r="AX615" s="69"/>
      <c r="AY615" s="69"/>
      <c r="AZ615" s="69"/>
      <c r="BA615" s="69"/>
      <c r="BB615" s="69"/>
      <c r="BC615" s="69"/>
      <c r="BD615" s="69"/>
      <c r="BE615" s="69"/>
      <c r="BF615" s="69"/>
      <c r="BG615" s="69"/>
      <c r="BH615" s="69"/>
      <c r="BI615" s="69"/>
      <c r="BJ615" s="69"/>
      <c r="BK615" s="69"/>
      <c r="BL615" s="69"/>
      <c r="BM615" s="69"/>
      <c r="BN615" s="69"/>
      <c r="BO615" s="69"/>
      <c r="BP615" s="69"/>
      <c r="BQ615" s="69"/>
      <c r="BR615" s="69"/>
      <c r="BS615" s="69"/>
      <c r="BT615" s="69"/>
      <c r="BU615" s="69"/>
      <c r="BV615" s="69"/>
      <c r="BW615" s="69"/>
      <c r="BX615" s="69"/>
      <c r="BY615" s="69"/>
      <c r="BZ615" s="69"/>
      <c r="CA615" s="69"/>
      <c r="CB615" s="69"/>
      <c r="CC615" s="69"/>
      <c r="CD615" s="69"/>
      <c r="CE615" s="94">
        <f t="shared" si="50"/>
        <v>1952.21</v>
      </c>
      <c r="CF615" s="151">
        <f t="shared" si="52"/>
        <v>0</v>
      </c>
      <c r="CG615" s="75">
        <f t="shared" si="51"/>
        <v>4465</v>
      </c>
      <c r="CH615" s="69" t="str">
        <f t="shared" si="51"/>
        <v>برنامج دولى</v>
      </c>
    </row>
    <row r="616" spans="1:86" x14ac:dyDescent="0.25">
      <c r="A616" s="148"/>
      <c r="B616" s="82">
        <v>8245</v>
      </c>
      <c r="C616" s="149">
        <v>4466</v>
      </c>
      <c r="D616" s="69" t="s">
        <v>78</v>
      </c>
      <c r="E616" s="69" t="s">
        <v>1929</v>
      </c>
      <c r="F616" s="63"/>
      <c r="G616" s="69">
        <v>2532.6</v>
      </c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  <c r="AJ616" s="69"/>
      <c r="AK616" s="69"/>
      <c r="AL616" s="69"/>
      <c r="AM616" s="69"/>
      <c r="AN616" s="69"/>
      <c r="AO616" s="69"/>
      <c r="AP616" s="69"/>
      <c r="AQ616" s="69"/>
      <c r="AR616" s="94">
        <f t="shared" si="49"/>
        <v>2532.6</v>
      </c>
      <c r="AS616" s="69">
        <v>1692.35</v>
      </c>
      <c r="AT616" s="69">
        <v>230.05</v>
      </c>
      <c r="AU616" s="69">
        <v>610.20000000000005</v>
      </c>
      <c r="AV616" s="69"/>
      <c r="AW616" s="69"/>
      <c r="AX616" s="69"/>
      <c r="AY616" s="69"/>
      <c r="AZ616" s="69"/>
      <c r="BA616" s="69"/>
      <c r="BB616" s="69"/>
      <c r="BC616" s="69"/>
      <c r="BD616" s="69"/>
      <c r="BE616" s="69"/>
      <c r="BF616" s="69"/>
      <c r="BG616" s="69"/>
      <c r="BH616" s="69"/>
      <c r="BI616" s="69"/>
      <c r="BJ616" s="69"/>
      <c r="BK616" s="69"/>
      <c r="BL616" s="69"/>
      <c r="BM616" s="69"/>
      <c r="BN616" s="69"/>
      <c r="BO616" s="69"/>
      <c r="BP616" s="69"/>
      <c r="BQ616" s="69"/>
      <c r="BR616" s="69"/>
      <c r="BS616" s="69"/>
      <c r="BT616" s="69"/>
      <c r="BU616" s="69"/>
      <c r="BV616" s="69"/>
      <c r="BW616" s="69"/>
      <c r="BX616" s="69"/>
      <c r="BY616" s="69"/>
      <c r="BZ616" s="69"/>
      <c r="CA616" s="69"/>
      <c r="CB616" s="69"/>
      <c r="CC616" s="69"/>
      <c r="CD616" s="69"/>
      <c r="CE616" s="94">
        <f t="shared" si="50"/>
        <v>2532.6</v>
      </c>
      <c r="CF616" s="151">
        <f t="shared" si="52"/>
        <v>0</v>
      </c>
      <c r="CG616" s="75">
        <f t="shared" si="51"/>
        <v>4466</v>
      </c>
      <c r="CH616" s="69" t="str">
        <f t="shared" si="51"/>
        <v>برنامج دولى</v>
      </c>
    </row>
    <row r="617" spans="1:86" x14ac:dyDescent="0.25">
      <c r="A617" s="148"/>
      <c r="B617" s="82">
        <v>8270</v>
      </c>
      <c r="C617" s="149">
        <v>4467</v>
      </c>
      <c r="D617" s="69" t="s">
        <v>78</v>
      </c>
      <c r="E617" s="69" t="s">
        <v>2770</v>
      </c>
      <c r="F617" s="63"/>
      <c r="G617" s="69">
        <v>351.75</v>
      </c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  <c r="AJ617" s="69"/>
      <c r="AK617" s="69"/>
      <c r="AL617" s="69"/>
      <c r="AM617" s="69"/>
      <c r="AN617" s="69"/>
      <c r="AO617" s="69"/>
      <c r="AP617" s="69"/>
      <c r="AQ617" s="69"/>
      <c r="AR617" s="94">
        <f t="shared" si="49"/>
        <v>351.75</v>
      </c>
      <c r="AS617" s="69">
        <v>235.35</v>
      </c>
      <c r="AT617" s="69">
        <f>1.65+30</f>
        <v>31.65</v>
      </c>
      <c r="AU617" s="69">
        <v>84.75</v>
      </c>
      <c r="AV617" s="69"/>
      <c r="AW617" s="69"/>
      <c r="AX617" s="69"/>
      <c r="AY617" s="69"/>
      <c r="AZ617" s="69"/>
      <c r="BA617" s="69"/>
      <c r="BB617" s="69"/>
      <c r="BC617" s="69"/>
      <c r="BD617" s="69"/>
      <c r="BE617" s="69"/>
      <c r="BF617" s="69"/>
      <c r="BG617" s="69"/>
      <c r="BH617" s="69"/>
      <c r="BI617" s="69"/>
      <c r="BJ617" s="69"/>
      <c r="BK617" s="69"/>
      <c r="BL617" s="69"/>
      <c r="BM617" s="69"/>
      <c r="BN617" s="69"/>
      <c r="BO617" s="69"/>
      <c r="BP617" s="69"/>
      <c r="BQ617" s="69"/>
      <c r="BR617" s="69"/>
      <c r="BS617" s="69"/>
      <c r="BT617" s="69"/>
      <c r="BU617" s="69"/>
      <c r="BV617" s="69"/>
      <c r="BW617" s="69"/>
      <c r="BX617" s="69"/>
      <c r="BY617" s="69"/>
      <c r="BZ617" s="69"/>
      <c r="CA617" s="69"/>
      <c r="CB617" s="69"/>
      <c r="CC617" s="69"/>
      <c r="CD617" s="69"/>
      <c r="CE617" s="94">
        <f t="shared" si="50"/>
        <v>351.75</v>
      </c>
      <c r="CF617" s="151">
        <f t="shared" si="52"/>
        <v>0</v>
      </c>
      <c r="CG617" s="75">
        <f t="shared" si="51"/>
        <v>4467</v>
      </c>
      <c r="CH617" s="69" t="str">
        <f t="shared" si="51"/>
        <v>برنامج دولى</v>
      </c>
    </row>
    <row r="618" spans="1:86" x14ac:dyDescent="0.25">
      <c r="A618" s="148"/>
      <c r="B618" s="82">
        <v>8247</v>
      </c>
      <c r="C618" s="149">
        <v>4468</v>
      </c>
      <c r="D618" s="69" t="s">
        <v>78</v>
      </c>
      <c r="E618" s="69" t="str">
        <f>+E616</f>
        <v>عب تدريس جراحه</v>
      </c>
      <c r="F618" s="63"/>
      <c r="G618" s="69">
        <v>9696.5300000000007</v>
      </c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  <c r="AJ618" s="69"/>
      <c r="AK618" s="69"/>
      <c r="AL618" s="69"/>
      <c r="AM618" s="69"/>
      <c r="AN618" s="69"/>
      <c r="AO618" s="69"/>
      <c r="AP618" s="69"/>
      <c r="AQ618" s="69"/>
      <c r="AR618" s="94">
        <f t="shared" si="49"/>
        <v>9696.5300000000007</v>
      </c>
      <c r="AS618" s="69">
        <v>7043.21</v>
      </c>
      <c r="AT618" s="69">
        <v>923.05</v>
      </c>
      <c r="AU618" s="69">
        <v>1730.27</v>
      </c>
      <c r="AV618" s="69"/>
      <c r="AW618" s="69"/>
      <c r="AX618" s="69"/>
      <c r="AY618" s="69"/>
      <c r="AZ618" s="69"/>
      <c r="BA618" s="69"/>
      <c r="BB618" s="69"/>
      <c r="BC618" s="69"/>
      <c r="BD618" s="69"/>
      <c r="BE618" s="69"/>
      <c r="BF618" s="69"/>
      <c r="BG618" s="69"/>
      <c r="BH618" s="69"/>
      <c r="BI618" s="69"/>
      <c r="BJ618" s="69"/>
      <c r="BK618" s="69"/>
      <c r="BL618" s="69"/>
      <c r="BM618" s="69"/>
      <c r="BN618" s="69"/>
      <c r="BO618" s="69"/>
      <c r="BP618" s="69"/>
      <c r="BQ618" s="69"/>
      <c r="BR618" s="69"/>
      <c r="BS618" s="69"/>
      <c r="BT618" s="69"/>
      <c r="BU618" s="69"/>
      <c r="BV618" s="69"/>
      <c r="BW618" s="69"/>
      <c r="BX618" s="69"/>
      <c r="BY618" s="69"/>
      <c r="BZ618" s="69"/>
      <c r="CA618" s="69"/>
      <c r="CB618" s="69"/>
      <c r="CC618" s="69"/>
      <c r="CD618" s="69"/>
      <c r="CE618" s="94">
        <f t="shared" si="50"/>
        <v>9696.5300000000007</v>
      </c>
      <c r="CF618" s="151">
        <f t="shared" si="52"/>
        <v>0</v>
      </c>
      <c r="CG618" s="75">
        <f t="shared" si="51"/>
        <v>4468</v>
      </c>
      <c r="CH618" s="69" t="str">
        <f t="shared" si="51"/>
        <v>برنامج دولى</v>
      </c>
    </row>
    <row r="619" spans="1:86" x14ac:dyDescent="0.25">
      <c r="A619" s="148"/>
      <c r="B619" s="82">
        <v>8246</v>
      </c>
      <c r="C619" s="149">
        <v>4469</v>
      </c>
      <c r="D619" s="69" t="s">
        <v>78</v>
      </c>
      <c r="E619" s="69" t="str">
        <f>+E618</f>
        <v>عب تدريس جراحه</v>
      </c>
      <c r="F619" s="63"/>
      <c r="G619" s="69">
        <v>2532.6</v>
      </c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  <c r="AJ619" s="69"/>
      <c r="AK619" s="69"/>
      <c r="AL619" s="69"/>
      <c r="AM619" s="69"/>
      <c r="AN619" s="69"/>
      <c r="AO619" s="69"/>
      <c r="AP619" s="69"/>
      <c r="AQ619" s="69"/>
      <c r="AR619" s="94">
        <f t="shared" si="49"/>
        <v>2532.6</v>
      </c>
      <c r="AS619" s="69">
        <v>1692.35</v>
      </c>
      <c r="AT619" s="69">
        <v>230.05</v>
      </c>
      <c r="AU619" s="69">
        <v>610.20000000000005</v>
      </c>
      <c r="AV619" s="69"/>
      <c r="AW619" s="69"/>
      <c r="AX619" s="69"/>
      <c r="AY619" s="69"/>
      <c r="AZ619" s="69"/>
      <c r="BA619" s="69"/>
      <c r="BB619" s="69"/>
      <c r="BC619" s="69"/>
      <c r="BD619" s="69"/>
      <c r="BE619" s="69"/>
      <c r="BF619" s="69"/>
      <c r="BG619" s="69"/>
      <c r="BH619" s="69"/>
      <c r="BI619" s="69"/>
      <c r="BJ619" s="69"/>
      <c r="BK619" s="69"/>
      <c r="BL619" s="69"/>
      <c r="BM619" s="69"/>
      <c r="BN619" s="69"/>
      <c r="BO619" s="69"/>
      <c r="BP619" s="69"/>
      <c r="BQ619" s="69"/>
      <c r="BR619" s="69"/>
      <c r="BS619" s="69"/>
      <c r="BT619" s="69"/>
      <c r="BU619" s="69"/>
      <c r="BV619" s="69"/>
      <c r="BW619" s="69"/>
      <c r="BX619" s="69"/>
      <c r="BY619" s="69"/>
      <c r="BZ619" s="69"/>
      <c r="CA619" s="69"/>
      <c r="CB619" s="69"/>
      <c r="CC619" s="69"/>
      <c r="CD619" s="69"/>
      <c r="CE619" s="94">
        <f t="shared" si="50"/>
        <v>2532.6</v>
      </c>
      <c r="CF619" s="151">
        <f t="shared" si="52"/>
        <v>0</v>
      </c>
      <c r="CG619" s="75">
        <f t="shared" si="51"/>
        <v>4469</v>
      </c>
      <c r="CH619" s="69" t="str">
        <f t="shared" si="51"/>
        <v>برنامج دولى</v>
      </c>
    </row>
    <row r="620" spans="1:86" x14ac:dyDescent="0.25">
      <c r="A620" s="148"/>
      <c r="B620" s="82">
        <v>8258</v>
      </c>
      <c r="C620" s="149">
        <v>4470</v>
      </c>
      <c r="D620" s="69" t="s">
        <v>78</v>
      </c>
      <c r="E620" s="69" t="str">
        <f>+E619</f>
        <v>عب تدريس جراحه</v>
      </c>
      <c r="F620" s="63"/>
      <c r="G620" s="69">
        <v>106011.03</v>
      </c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  <c r="AJ620" s="69"/>
      <c r="AK620" s="69"/>
      <c r="AL620" s="69"/>
      <c r="AM620" s="69"/>
      <c r="AN620" s="69"/>
      <c r="AO620" s="69"/>
      <c r="AP620" s="69"/>
      <c r="AQ620" s="69"/>
      <c r="AR620" s="94">
        <f t="shared" si="49"/>
        <v>106011.03</v>
      </c>
      <c r="AS620" s="69">
        <v>93473.22</v>
      </c>
      <c r="AT620" s="69">
        <v>11078.6</v>
      </c>
      <c r="AU620" s="69">
        <v>1459.21</v>
      </c>
      <c r="AV620" s="69"/>
      <c r="AW620" s="69"/>
      <c r="AX620" s="69"/>
      <c r="AY620" s="69"/>
      <c r="AZ620" s="69"/>
      <c r="BA620" s="69"/>
      <c r="BB620" s="69"/>
      <c r="BC620" s="69"/>
      <c r="BD620" s="69"/>
      <c r="BE620" s="69"/>
      <c r="BF620" s="69"/>
      <c r="BG620" s="69"/>
      <c r="BH620" s="69"/>
      <c r="BI620" s="69"/>
      <c r="BJ620" s="69"/>
      <c r="BK620" s="69"/>
      <c r="BL620" s="69"/>
      <c r="BM620" s="69"/>
      <c r="BN620" s="69"/>
      <c r="BO620" s="69"/>
      <c r="BP620" s="69"/>
      <c r="BQ620" s="69"/>
      <c r="BR620" s="69"/>
      <c r="BS620" s="69"/>
      <c r="BT620" s="69"/>
      <c r="BU620" s="69"/>
      <c r="BV620" s="69"/>
      <c r="BW620" s="69"/>
      <c r="BX620" s="69"/>
      <c r="BY620" s="69"/>
      <c r="BZ620" s="69"/>
      <c r="CA620" s="69"/>
      <c r="CB620" s="69"/>
      <c r="CC620" s="69"/>
      <c r="CD620" s="69"/>
      <c r="CE620" s="94">
        <f t="shared" si="50"/>
        <v>106011.03000000001</v>
      </c>
      <c r="CF620" s="151">
        <f t="shared" si="52"/>
        <v>0</v>
      </c>
      <c r="CG620" s="75">
        <f t="shared" si="51"/>
        <v>4470</v>
      </c>
      <c r="CH620" s="69" t="str">
        <f t="shared" si="51"/>
        <v>برنامج دولى</v>
      </c>
    </row>
    <row r="621" spans="1:86" x14ac:dyDescent="0.25">
      <c r="A621" s="148"/>
      <c r="B621" s="82">
        <v>8681</v>
      </c>
      <c r="C621" s="149">
        <v>4471</v>
      </c>
      <c r="D621" s="69" t="s">
        <v>78</v>
      </c>
      <c r="E621" s="69" t="str">
        <f>+E620</f>
        <v>عب تدريس جراحه</v>
      </c>
      <c r="F621" s="63"/>
      <c r="G621" s="69">
        <v>3904.43</v>
      </c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  <c r="AD621" s="69"/>
      <c r="AE621" s="69"/>
      <c r="AF621" s="69"/>
      <c r="AG621" s="69"/>
      <c r="AH621" s="69"/>
      <c r="AI621" s="69"/>
      <c r="AJ621" s="69"/>
      <c r="AK621" s="69"/>
      <c r="AL621" s="69"/>
      <c r="AM621" s="69"/>
      <c r="AN621" s="69"/>
      <c r="AO621" s="69"/>
      <c r="AP621" s="69"/>
      <c r="AQ621" s="69"/>
      <c r="AR621" s="94">
        <f t="shared" si="49"/>
        <v>3904.43</v>
      </c>
      <c r="AS621" s="69">
        <v>2606.1</v>
      </c>
      <c r="AT621" s="69">
        <f>24.6+333</f>
        <v>357.6</v>
      </c>
      <c r="AU621" s="69">
        <v>940.73</v>
      </c>
      <c r="AV621" s="69"/>
      <c r="AW621" s="69"/>
      <c r="AX621" s="69"/>
      <c r="AY621" s="69"/>
      <c r="AZ621" s="69"/>
      <c r="BA621" s="69"/>
      <c r="BB621" s="69"/>
      <c r="BC621" s="69"/>
      <c r="BD621" s="69"/>
      <c r="BE621" s="69"/>
      <c r="BF621" s="69"/>
      <c r="BG621" s="69"/>
      <c r="BH621" s="69"/>
      <c r="BI621" s="69"/>
      <c r="BJ621" s="69"/>
      <c r="BK621" s="69"/>
      <c r="BL621" s="69"/>
      <c r="BM621" s="69"/>
      <c r="BN621" s="69"/>
      <c r="BO621" s="69"/>
      <c r="BP621" s="69"/>
      <c r="BQ621" s="69"/>
      <c r="BR621" s="69"/>
      <c r="BS621" s="69"/>
      <c r="BT621" s="69"/>
      <c r="BU621" s="69"/>
      <c r="BV621" s="69"/>
      <c r="BW621" s="69"/>
      <c r="BX621" s="69"/>
      <c r="BY621" s="69"/>
      <c r="BZ621" s="69"/>
      <c r="CA621" s="69"/>
      <c r="CB621" s="69"/>
      <c r="CC621" s="69"/>
      <c r="CD621" s="69"/>
      <c r="CE621" s="94">
        <f t="shared" si="50"/>
        <v>3904.43</v>
      </c>
      <c r="CF621" s="151">
        <f t="shared" si="52"/>
        <v>0</v>
      </c>
      <c r="CG621" s="75">
        <f t="shared" si="51"/>
        <v>4471</v>
      </c>
      <c r="CH621" s="69" t="str">
        <f t="shared" si="51"/>
        <v>برنامج دولى</v>
      </c>
    </row>
    <row r="622" spans="1:86" x14ac:dyDescent="0.25">
      <c r="A622" s="148"/>
      <c r="B622" s="82">
        <v>8242</v>
      </c>
      <c r="C622" s="149">
        <v>4472</v>
      </c>
      <c r="D622" s="69" t="s">
        <v>78</v>
      </c>
      <c r="E622" s="69" t="s">
        <v>1386</v>
      </c>
      <c r="F622" s="63"/>
      <c r="G622" s="69">
        <v>1336.65</v>
      </c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  <c r="AD622" s="69"/>
      <c r="AE622" s="69"/>
      <c r="AF622" s="69"/>
      <c r="AG622" s="69"/>
      <c r="AH622" s="69"/>
      <c r="AI622" s="69"/>
      <c r="AJ622" s="69"/>
      <c r="AK622" s="69"/>
      <c r="AL622" s="69"/>
      <c r="AM622" s="69"/>
      <c r="AN622" s="69"/>
      <c r="AO622" s="69"/>
      <c r="AP622" s="69"/>
      <c r="AQ622" s="69"/>
      <c r="AR622" s="94">
        <f t="shared" si="49"/>
        <v>1336.65</v>
      </c>
      <c r="AS622" s="69">
        <v>893.85</v>
      </c>
      <c r="AT622" s="69">
        <f>6.75+114</f>
        <v>120.75</v>
      </c>
      <c r="AU622" s="69">
        <v>322.05</v>
      </c>
      <c r="AV622" s="69"/>
      <c r="AW622" s="69"/>
      <c r="AX622" s="69"/>
      <c r="AY622" s="69"/>
      <c r="AZ622" s="69"/>
      <c r="BA622" s="69"/>
      <c r="BB622" s="69"/>
      <c r="BC622" s="69"/>
      <c r="BD622" s="69"/>
      <c r="BE622" s="69"/>
      <c r="BF622" s="69"/>
      <c r="BG622" s="69"/>
      <c r="BH622" s="69"/>
      <c r="BI622" s="69"/>
      <c r="BJ622" s="69"/>
      <c r="BK622" s="69"/>
      <c r="BL622" s="69"/>
      <c r="BM622" s="69"/>
      <c r="BN622" s="69"/>
      <c r="BO622" s="69"/>
      <c r="BP622" s="69"/>
      <c r="BQ622" s="69"/>
      <c r="BR622" s="69"/>
      <c r="BS622" s="69"/>
      <c r="BT622" s="69"/>
      <c r="BU622" s="69"/>
      <c r="BV622" s="69"/>
      <c r="BW622" s="69"/>
      <c r="BX622" s="69"/>
      <c r="BY622" s="69"/>
      <c r="BZ622" s="69"/>
      <c r="CA622" s="69"/>
      <c r="CB622" s="69"/>
      <c r="CC622" s="69"/>
      <c r="CD622" s="69"/>
      <c r="CE622" s="94">
        <f t="shared" si="50"/>
        <v>1336.65</v>
      </c>
      <c r="CF622" s="151">
        <f t="shared" si="52"/>
        <v>0</v>
      </c>
      <c r="CG622" s="75">
        <f t="shared" si="51"/>
        <v>4472</v>
      </c>
      <c r="CH622" s="69" t="str">
        <f t="shared" si="51"/>
        <v>برنامج دولى</v>
      </c>
    </row>
    <row r="623" spans="1:86" x14ac:dyDescent="0.25">
      <c r="A623" s="148"/>
      <c r="B623" s="82">
        <v>8257</v>
      </c>
      <c r="C623" s="149">
        <v>4473</v>
      </c>
      <c r="D623" s="69" t="s">
        <v>78</v>
      </c>
      <c r="E623" s="69" t="str">
        <f>+E621</f>
        <v>عب تدريس جراحه</v>
      </c>
      <c r="F623" s="63"/>
      <c r="G623" s="69">
        <v>6486.16</v>
      </c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  <c r="AD623" s="69"/>
      <c r="AE623" s="69"/>
      <c r="AF623" s="69"/>
      <c r="AG623" s="69"/>
      <c r="AH623" s="69"/>
      <c r="AI623" s="69"/>
      <c r="AJ623" s="69"/>
      <c r="AK623" s="69"/>
      <c r="AL623" s="69"/>
      <c r="AM623" s="69"/>
      <c r="AN623" s="69"/>
      <c r="AO623" s="69"/>
      <c r="AP623" s="69"/>
      <c r="AQ623" s="69"/>
      <c r="AR623" s="94">
        <f t="shared" si="49"/>
        <v>6486.16</v>
      </c>
      <c r="AS623" s="69">
        <v>5776.62</v>
      </c>
      <c r="AT623" s="69">
        <v>699.45</v>
      </c>
      <c r="AU623" s="69">
        <v>10.09</v>
      </c>
      <c r="AV623" s="69"/>
      <c r="AW623" s="69"/>
      <c r="AX623" s="69"/>
      <c r="AY623" s="69"/>
      <c r="AZ623" s="69"/>
      <c r="BA623" s="69"/>
      <c r="BB623" s="69"/>
      <c r="BC623" s="69"/>
      <c r="BD623" s="69"/>
      <c r="BE623" s="69"/>
      <c r="BF623" s="69"/>
      <c r="BG623" s="69"/>
      <c r="BH623" s="69"/>
      <c r="BI623" s="69"/>
      <c r="BJ623" s="69"/>
      <c r="BK623" s="69"/>
      <c r="BL623" s="69"/>
      <c r="BM623" s="69"/>
      <c r="BN623" s="69"/>
      <c r="BO623" s="69"/>
      <c r="BP623" s="69"/>
      <c r="BQ623" s="69"/>
      <c r="BR623" s="69"/>
      <c r="BS623" s="69"/>
      <c r="BT623" s="69"/>
      <c r="BU623" s="69"/>
      <c r="BV623" s="69"/>
      <c r="BW623" s="69"/>
      <c r="BX623" s="69"/>
      <c r="BY623" s="69"/>
      <c r="BZ623" s="69"/>
      <c r="CA623" s="69"/>
      <c r="CB623" s="69"/>
      <c r="CC623" s="69"/>
      <c r="CD623" s="69"/>
      <c r="CE623" s="94">
        <f t="shared" si="50"/>
        <v>6486.16</v>
      </c>
      <c r="CF623" s="151">
        <f t="shared" si="52"/>
        <v>0</v>
      </c>
      <c r="CG623" s="75">
        <f t="shared" ref="CG623:CH686" si="53">+C623</f>
        <v>4473</v>
      </c>
      <c r="CH623" s="69" t="str">
        <f t="shared" si="53"/>
        <v>برنامج دولى</v>
      </c>
    </row>
    <row r="624" spans="1:86" x14ac:dyDescent="0.25">
      <c r="A624" s="148"/>
      <c r="B624" s="82">
        <v>8256</v>
      </c>
      <c r="C624" s="149">
        <v>4474</v>
      </c>
      <c r="D624" s="69" t="s">
        <v>78</v>
      </c>
      <c r="E624" s="69" t="str">
        <f>+E623</f>
        <v>عب تدريس جراحه</v>
      </c>
      <c r="F624" s="63"/>
      <c r="G624" s="69">
        <v>3750</v>
      </c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  <c r="AD624" s="69"/>
      <c r="AE624" s="69"/>
      <c r="AF624" s="69"/>
      <c r="AG624" s="69"/>
      <c r="AH624" s="69"/>
      <c r="AI624" s="69"/>
      <c r="AJ624" s="69"/>
      <c r="AK624" s="69"/>
      <c r="AL624" s="69"/>
      <c r="AM624" s="69"/>
      <c r="AN624" s="69"/>
      <c r="AO624" s="69"/>
      <c r="AP624" s="69"/>
      <c r="AQ624" s="69"/>
      <c r="AR624" s="94">
        <f t="shared" si="49"/>
        <v>3750</v>
      </c>
      <c r="AS624" s="69">
        <v>3347.25</v>
      </c>
      <c r="AT624" s="69">
        <v>402.75</v>
      </c>
      <c r="AU624" s="69"/>
      <c r="AV624" s="69"/>
      <c r="AW624" s="69"/>
      <c r="AX624" s="69"/>
      <c r="AY624" s="69"/>
      <c r="AZ624" s="69"/>
      <c r="BA624" s="69"/>
      <c r="BB624" s="69"/>
      <c r="BC624" s="69"/>
      <c r="BD624" s="69"/>
      <c r="BE624" s="69"/>
      <c r="BF624" s="69"/>
      <c r="BG624" s="69"/>
      <c r="BH624" s="69"/>
      <c r="BI624" s="69"/>
      <c r="BJ624" s="69"/>
      <c r="BK624" s="69"/>
      <c r="BL624" s="69"/>
      <c r="BM624" s="69"/>
      <c r="BN624" s="69"/>
      <c r="BO624" s="69"/>
      <c r="BP624" s="69"/>
      <c r="BQ624" s="69"/>
      <c r="BR624" s="69"/>
      <c r="BS624" s="69"/>
      <c r="BT624" s="69"/>
      <c r="BU624" s="69"/>
      <c r="BV624" s="69"/>
      <c r="BW624" s="69"/>
      <c r="BX624" s="69"/>
      <c r="BY624" s="69"/>
      <c r="BZ624" s="69"/>
      <c r="CA624" s="69"/>
      <c r="CB624" s="69"/>
      <c r="CC624" s="69"/>
      <c r="CD624" s="69"/>
      <c r="CE624" s="94">
        <f t="shared" si="50"/>
        <v>3750</v>
      </c>
      <c r="CF624" s="151">
        <f t="shared" si="52"/>
        <v>0</v>
      </c>
      <c r="CG624" s="75">
        <f t="shared" si="53"/>
        <v>4474</v>
      </c>
      <c r="CH624" s="69" t="str">
        <f t="shared" si="53"/>
        <v>برنامج دولى</v>
      </c>
    </row>
    <row r="625" spans="1:86" x14ac:dyDescent="0.25">
      <c r="A625" s="148"/>
      <c r="B625" s="82">
        <v>8264</v>
      </c>
      <c r="C625" s="149">
        <v>4475</v>
      </c>
      <c r="D625" s="69" t="s">
        <v>78</v>
      </c>
      <c r="E625" s="69" t="s">
        <v>3310</v>
      </c>
      <c r="F625" s="63"/>
      <c r="G625" s="69">
        <v>844.2</v>
      </c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  <c r="AD625" s="69"/>
      <c r="AE625" s="69"/>
      <c r="AF625" s="69"/>
      <c r="AG625" s="69"/>
      <c r="AH625" s="69"/>
      <c r="AI625" s="69"/>
      <c r="AJ625" s="69"/>
      <c r="AK625" s="69"/>
      <c r="AL625" s="69"/>
      <c r="AM625" s="69"/>
      <c r="AN625" s="69"/>
      <c r="AO625" s="69"/>
      <c r="AP625" s="69"/>
      <c r="AQ625" s="69"/>
      <c r="AR625" s="94">
        <f t="shared" si="49"/>
        <v>844.2</v>
      </c>
      <c r="AS625" s="69">
        <v>565.20000000000005</v>
      </c>
      <c r="AT625" s="69">
        <v>75.599999999999994</v>
      </c>
      <c r="AU625" s="69">
        <v>203.4</v>
      </c>
      <c r="AV625" s="69"/>
      <c r="AW625" s="69"/>
      <c r="AX625" s="69"/>
      <c r="AY625" s="69"/>
      <c r="AZ625" s="69"/>
      <c r="BA625" s="69"/>
      <c r="BB625" s="69"/>
      <c r="BC625" s="69"/>
      <c r="BD625" s="69"/>
      <c r="BE625" s="69"/>
      <c r="BF625" s="69"/>
      <c r="BG625" s="69"/>
      <c r="BH625" s="69"/>
      <c r="BI625" s="69"/>
      <c r="BJ625" s="69"/>
      <c r="BK625" s="69"/>
      <c r="BL625" s="69"/>
      <c r="BM625" s="69"/>
      <c r="BN625" s="69"/>
      <c r="BO625" s="69"/>
      <c r="BP625" s="69"/>
      <c r="BQ625" s="69"/>
      <c r="BR625" s="69"/>
      <c r="BS625" s="69"/>
      <c r="BT625" s="69"/>
      <c r="BU625" s="69"/>
      <c r="BV625" s="69"/>
      <c r="BW625" s="69"/>
      <c r="BX625" s="69"/>
      <c r="BY625" s="69"/>
      <c r="BZ625" s="69"/>
      <c r="CA625" s="69"/>
      <c r="CB625" s="69"/>
      <c r="CC625" s="69"/>
      <c r="CD625" s="69"/>
      <c r="CE625" s="94">
        <f t="shared" si="50"/>
        <v>844.2</v>
      </c>
      <c r="CF625" s="151">
        <f t="shared" si="52"/>
        <v>0</v>
      </c>
      <c r="CG625" s="75">
        <f t="shared" si="53"/>
        <v>4475</v>
      </c>
      <c r="CH625" s="69" t="str">
        <f t="shared" si="53"/>
        <v>برنامج دولى</v>
      </c>
    </row>
    <row r="626" spans="1:86" x14ac:dyDescent="0.25">
      <c r="A626" s="148"/>
      <c r="B626" s="82">
        <v>8265</v>
      </c>
      <c r="C626" s="149">
        <v>4476</v>
      </c>
      <c r="D626" s="69" t="s">
        <v>78</v>
      </c>
      <c r="E626" s="69" t="s">
        <v>3310</v>
      </c>
      <c r="F626" s="63"/>
      <c r="G626" s="69">
        <v>4620</v>
      </c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  <c r="AD626" s="69"/>
      <c r="AE626" s="69"/>
      <c r="AF626" s="69"/>
      <c r="AG626" s="69"/>
      <c r="AH626" s="69"/>
      <c r="AI626" s="69"/>
      <c r="AJ626" s="69"/>
      <c r="AK626" s="69"/>
      <c r="AL626" s="69"/>
      <c r="AM626" s="69"/>
      <c r="AN626" s="69"/>
      <c r="AO626" s="69"/>
      <c r="AP626" s="69"/>
      <c r="AQ626" s="69"/>
      <c r="AR626" s="94">
        <f t="shared" si="49"/>
        <v>4620</v>
      </c>
      <c r="AS626" s="69">
        <v>4128.45</v>
      </c>
      <c r="AT626" s="69">
        <v>491.55</v>
      </c>
      <c r="AU626" s="69"/>
      <c r="AV626" s="69"/>
      <c r="AW626" s="69"/>
      <c r="AX626" s="69"/>
      <c r="AY626" s="69"/>
      <c r="AZ626" s="69"/>
      <c r="BA626" s="69"/>
      <c r="BB626" s="69"/>
      <c r="BC626" s="69"/>
      <c r="BD626" s="69"/>
      <c r="BE626" s="69"/>
      <c r="BF626" s="69"/>
      <c r="BG626" s="69"/>
      <c r="BH626" s="69"/>
      <c r="BI626" s="69"/>
      <c r="BJ626" s="69"/>
      <c r="BK626" s="69"/>
      <c r="BL626" s="69"/>
      <c r="BM626" s="69"/>
      <c r="BN626" s="69"/>
      <c r="BO626" s="69"/>
      <c r="BP626" s="69"/>
      <c r="BQ626" s="69"/>
      <c r="BR626" s="69"/>
      <c r="BS626" s="69"/>
      <c r="BT626" s="69"/>
      <c r="BU626" s="69"/>
      <c r="BV626" s="69"/>
      <c r="BW626" s="69"/>
      <c r="BX626" s="69"/>
      <c r="BY626" s="69"/>
      <c r="BZ626" s="69"/>
      <c r="CA626" s="69"/>
      <c r="CB626" s="69"/>
      <c r="CC626" s="69"/>
      <c r="CD626" s="69"/>
      <c r="CE626" s="94">
        <f t="shared" si="50"/>
        <v>4620</v>
      </c>
      <c r="CF626" s="151">
        <f t="shared" si="52"/>
        <v>0</v>
      </c>
      <c r="CG626" s="75">
        <f t="shared" si="53"/>
        <v>4476</v>
      </c>
      <c r="CH626" s="69" t="str">
        <f t="shared" si="53"/>
        <v>برنامج دولى</v>
      </c>
    </row>
    <row r="627" spans="1:86" x14ac:dyDescent="0.25">
      <c r="A627" s="148"/>
      <c r="B627" s="82">
        <v>8250</v>
      </c>
      <c r="C627" s="149">
        <v>4477</v>
      </c>
      <c r="D627" s="69" t="s">
        <v>78</v>
      </c>
      <c r="E627" s="69" t="str">
        <f>+E624</f>
        <v>عب تدريس جراحه</v>
      </c>
      <c r="F627" s="63"/>
      <c r="G627" s="69">
        <v>40500</v>
      </c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  <c r="AD627" s="69"/>
      <c r="AE627" s="69"/>
      <c r="AF627" s="69"/>
      <c r="AG627" s="69"/>
      <c r="AH627" s="69"/>
      <c r="AI627" s="69"/>
      <c r="AJ627" s="69"/>
      <c r="AK627" s="69"/>
      <c r="AL627" s="69"/>
      <c r="AM627" s="69"/>
      <c r="AN627" s="69"/>
      <c r="AO627" s="69"/>
      <c r="AP627" s="69"/>
      <c r="AQ627" s="69"/>
      <c r="AR627" s="94">
        <f t="shared" si="49"/>
        <v>40500</v>
      </c>
      <c r="AS627" s="69">
        <v>36247.199999999997</v>
      </c>
      <c r="AT627" s="69">
        <v>4252.8</v>
      </c>
      <c r="AU627" s="69"/>
      <c r="AV627" s="69"/>
      <c r="AW627" s="69"/>
      <c r="AX627" s="69"/>
      <c r="AY627" s="69"/>
      <c r="AZ627" s="69"/>
      <c r="BA627" s="69"/>
      <c r="BB627" s="69"/>
      <c r="BC627" s="69"/>
      <c r="BD627" s="69"/>
      <c r="BE627" s="69"/>
      <c r="BF627" s="69"/>
      <c r="BG627" s="69"/>
      <c r="BH627" s="69"/>
      <c r="BI627" s="69"/>
      <c r="BJ627" s="69"/>
      <c r="BK627" s="69"/>
      <c r="BL627" s="69"/>
      <c r="BM627" s="69"/>
      <c r="BN627" s="69"/>
      <c r="BO627" s="69"/>
      <c r="BP627" s="69"/>
      <c r="BQ627" s="69"/>
      <c r="BR627" s="69"/>
      <c r="BS627" s="69"/>
      <c r="BT627" s="69"/>
      <c r="BU627" s="69"/>
      <c r="BV627" s="69"/>
      <c r="BW627" s="69"/>
      <c r="BX627" s="69"/>
      <c r="BY627" s="69"/>
      <c r="BZ627" s="69"/>
      <c r="CA627" s="69"/>
      <c r="CB627" s="69"/>
      <c r="CC627" s="69"/>
      <c r="CD627" s="69"/>
      <c r="CE627" s="94">
        <f t="shared" si="50"/>
        <v>40500</v>
      </c>
      <c r="CF627" s="151">
        <f t="shared" si="52"/>
        <v>0</v>
      </c>
      <c r="CG627" s="75">
        <f t="shared" si="53"/>
        <v>4477</v>
      </c>
      <c r="CH627" s="69" t="str">
        <f t="shared" si="53"/>
        <v>برنامج دولى</v>
      </c>
    </row>
    <row r="628" spans="1:86" x14ac:dyDescent="0.25">
      <c r="A628" s="148"/>
      <c r="B628" s="82">
        <v>8263</v>
      </c>
      <c r="C628" s="149">
        <v>4478</v>
      </c>
      <c r="D628" s="69" t="s">
        <v>78</v>
      </c>
      <c r="E628" s="69" t="str">
        <f>+E626</f>
        <v>عب تدريس كبد</v>
      </c>
      <c r="F628" s="63"/>
      <c r="G628" s="69">
        <v>844.2</v>
      </c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  <c r="AD628" s="69"/>
      <c r="AE628" s="69"/>
      <c r="AF628" s="69"/>
      <c r="AG628" s="69"/>
      <c r="AH628" s="69"/>
      <c r="AI628" s="69"/>
      <c r="AJ628" s="69"/>
      <c r="AK628" s="69"/>
      <c r="AL628" s="69"/>
      <c r="AM628" s="69"/>
      <c r="AN628" s="69"/>
      <c r="AO628" s="69"/>
      <c r="AP628" s="69"/>
      <c r="AQ628" s="69"/>
      <c r="AR628" s="94">
        <f t="shared" si="49"/>
        <v>844.2</v>
      </c>
      <c r="AS628" s="69">
        <v>566</v>
      </c>
      <c r="AT628" s="69">
        <v>74.8</v>
      </c>
      <c r="AU628" s="69">
        <v>203.4</v>
      </c>
      <c r="AV628" s="69"/>
      <c r="AW628" s="69"/>
      <c r="AX628" s="69"/>
      <c r="AY628" s="69"/>
      <c r="AZ628" s="69"/>
      <c r="BA628" s="69"/>
      <c r="BB628" s="69"/>
      <c r="BC628" s="69"/>
      <c r="BD628" s="69"/>
      <c r="BE628" s="69"/>
      <c r="BF628" s="69"/>
      <c r="BG628" s="69"/>
      <c r="BH628" s="69"/>
      <c r="BI628" s="69"/>
      <c r="BJ628" s="69"/>
      <c r="BK628" s="69"/>
      <c r="BL628" s="69"/>
      <c r="BM628" s="69"/>
      <c r="BN628" s="69"/>
      <c r="BO628" s="69"/>
      <c r="BP628" s="69"/>
      <c r="BQ628" s="69"/>
      <c r="BR628" s="69"/>
      <c r="BS628" s="69"/>
      <c r="BT628" s="69"/>
      <c r="BU628" s="69"/>
      <c r="BV628" s="69"/>
      <c r="BW628" s="69"/>
      <c r="BX628" s="69"/>
      <c r="BY628" s="69"/>
      <c r="BZ628" s="69"/>
      <c r="CA628" s="69"/>
      <c r="CB628" s="69"/>
      <c r="CC628" s="69"/>
      <c r="CD628" s="69"/>
      <c r="CE628" s="94">
        <f t="shared" si="50"/>
        <v>844.19999999999993</v>
      </c>
      <c r="CF628" s="151">
        <f t="shared" si="52"/>
        <v>0</v>
      </c>
      <c r="CG628" s="75">
        <f t="shared" si="53"/>
        <v>4478</v>
      </c>
      <c r="CH628" s="69" t="str">
        <f t="shared" si="53"/>
        <v>برنامج دولى</v>
      </c>
    </row>
    <row r="629" spans="1:86" x14ac:dyDescent="0.25">
      <c r="A629" s="148"/>
      <c r="B629" s="82">
        <v>8262</v>
      </c>
      <c r="C629" s="149">
        <v>4479</v>
      </c>
      <c r="D629" s="69" t="s">
        <v>78</v>
      </c>
      <c r="E629" s="69" t="str">
        <f>+E628</f>
        <v>عب تدريس كبد</v>
      </c>
      <c r="F629" s="63"/>
      <c r="G629" s="69">
        <v>840</v>
      </c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  <c r="AD629" s="69"/>
      <c r="AE629" s="69"/>
      <c r="AF629" s="69"/>
      <c r="AG629" s="69"/>
      <c r="AH629" s="69"/>
      <c r="AI629" s="69"/>
      <c r="AJ629" s="69"/>
      <c r="AK629" s="69"/>
      <c r="AL629" s="69"/>
      <c r="AM629" s="69"/>
      <c r="AN629" s="69"/>
      <c r="AO629" s="69"/>
      <c r="AP629" s="69"/>
      <c r="AQ629" s="69"/>
      <c r="AR629" s="94">
        <f t="shared" si="49"/>
        <v>840</v>
      </c>
      <c r="AS629" s="69">
        <v>750.45</v>
      </c>
      <c r="AT629" s="69">
        <v>89.55</v>
      </c>
      <c r="AU629" s="69"/>
      <c r="AV629" s="69"/>
      <c r="AW629" s="69"/>
      <c r="AX629" s="69"/>
      <c r="AY629" s="69"/>
      <c r="AZ629" s="69"/>
      <c r="BA629" s="69"/>
      <c r="BB629" s="69"/>
      <c r="BC629" s="69"/>
      <c r="BD629" s="69"/>
      <c r="BE629" s="69"/>
      <c r="BF629" s="69"/>
      <c r="BG629" s="69"/>
      <c r="BH629" s="69"/>
      <c r="BI629" s="69"/>
      <c r="BJ629" s="69"/>
      <c r="BK629" s="69"/>
      <c r="BL629" s="69"/>
      <c r="BM629" s="69"/>
      <c r="BN629" s="69"/>
      <c r="BO629" s="69"/>
      <c r="BP629" s="69"/>
      <c r="BQ629" s="69"/>
      <c r="BR629" s="69"/>
      <c r="BS629" s="69"/>
      <c r="BT629" s="69"/>
      <c r="BU629" s="69"/>
      <c r="BV629" s="69"/>
      <c r="BW629" s="69"/>
      <c r="BX629" s="69"/>
      <c r="BY629" s="69"/>
      <c r="BZ629" s="69"/>
      <c r="CA629" s="69"/>
      <c r="CB629" s="69"/>
      <c r="CC629" s="69"/>
      <c r="CD629" s="69"/>
      <c r="CE629" s="94">
        <f t="shared" si="50"/>
        <v>840</v>
      </c>
      <c r="CF629" s="151">
        <f t="shared" si="52"/>
        <v>0</v>
      </c>
      <c r="CG629" s="75">
        <f t="shared" si="53"/>
        <v>4479</v>
      </c>
      <c r="CH629" s="69" t="str">
        <f t="shared" si="53"/>
        <v>برنامج دولى</v>
      </c>
    </row>
    <row r="630" spans="1:86" x14ac:dyDescent="0.25">
      <c r="A630" s="148"/>
      <c r="B630" s="82">
        <v>8269</v>
      </c>
      <c r="C630" s="149">
        <v>4480</v>
      </c>
      <c r="D630" s="69" t="s">
        <v>78</v>
      </c>
      <c r="E630" s="69" t="str">
        <f>+E629</f>
        <v>عب تدريس كبد</v>
      </c>
      <c r="F630" s="63"/>
      <c r="G630" s="69">
        <v>7042.17</v>
      </c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  <c r="AD630" s="69"/>
      <c r="AE630" s="69"/>
      <c r="AF630" s="69"/>
      <c r="AG630" s="69"/>
      <c r="AH630" s="69"/>
      <c r="AI630" s="69"/>
      <c r="AJ630" s="69"/>
      <c r="AK630" s="69"/>
      <c r="AL630" s="69"/>
      <c r="AM630" s="69"/>
      <c r="AN630" s="69"/>
      <c r="AO630" s="69"/>
      <c r="AP630" s="69"/>
      <c r="AQ630" s="69"/>
      <c r="AR630" s="94">
        <f t="shared" si="49"/>
        <v>7042.17</v>
      </c>
      <c r="AS630" s="69">
        <v>6025.31</v>
      </c>
      <c r="AT630" s="69">
        <v>734.9</v>
      </c>
      <c r="AU630" s="69">
        <v>281.95999999999998</v>
      </c>
      <c r="AV630" s="69"/>
      <c r="AW630" s="69"/>
      <c r="AX630" s="69"/>
      <c r="AY630" s="69"/>
      <c r="AZ630" s="69"/>
      <c r="BA630" s="69"/>
      <c r="BB630" s="69"/>
      <c r="BC630" s="69"/>
      <c r="BD630" s="69"/>
      <c r="BE630" s="69"/>
      <c r="BF630" s="69"/>
      <c r="BG630" s="69"/>
      <c r="BH630" s="69"/>
      <c r="BI630" s="69"/>
      <c r="BJ630" s="69"/>
      <c r="BK630" s="69"/>
      <c r="BL630" s="69"/>
      <c r="BM630" s="69"/>
      <c r="BN630" s="69"/>
      <c r="BO630" s="69"/>
      <c r="BP630" s="69"/>
      <c r="BQ630" s="69"/>
      <c r="BR630" s="69"/>
      <c r="BS630" s="69"/>
      <c r="BT630" s="69"/>
      <c r="BU630" s="69"/>
      <c r="BV630" s="69"/>
      <c r="BW630" s="69"/>
      <c r="BX630" s="69"/>
      <c r="BY630" s="69"/>
      <c r="BZ630" s="69"/>
      <c r="CA630" s="69"/>
      <c r="CB630" s="69"/>
      <c r="CC630" s="69"/>
      <c r="CD630" s="69"/>
      <c r="CE630" s="94">
        <f t="shared" si="50"/>
        <v>7042.17</v>
      </c>
      <c r="CF630" s="151">
        <f t="shared" si="52"/>
        <v>0</v>
      </c>
      <c r="CG630" s="75">
        <f t="shared" si="53"/>
        <v>4480</v>
      </c>
      <c r="CH630" s="69" t="str">
        <f t="shared" si="53"/>
        <v>برنامج دولى</v>
      </c>
    </row>
    <row r="631" spans="1:86" x14ac:dyDescent="0.25">
      <c r="A631" s="148"/>
      <c r="B631" s="82">
        <v>8268</v>
      </c>
      <c r="C631" s="149">
        <v>4481</v>
      </c>
      <c r="D631" s="69" t="s">
        <v>78</v>
      </c>
      <c r="E631" s="69" t="str">
        <f>+E630</f>
        <v>عب تدريس كبد</v>
      </c>
      <c r="F631" s="63"/>
      <c r="G631" s="69">
        <v>840</v>
      </c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  <c r="AE631" s="69"/>
      <c r="AF631" s="69"/>
      <c r="AG631" s="69"/>
      <c r="AH631" s="69"/>
      <c r="AI631" s="69"/>
      <c r="AJ631" s="69"/>
      <c r="AK631" s="69"/>
      <c r="AL631" s="69"/>
      <c r="AM631" s="69"/>
      <c r="AN631" s="69"/>
      <c r="AO631" s="69"/>
      <c r="AP631" s="69"/>
      <c r="AQ631" s="69"/>
      <c r="AR631" s="94">
        <f t="shared" si="49"/>
        <v>840</v>
      </c>
      <c r="AS631" s="69">
        <v>750.45</v>
      </c>
      <c r="AT631" s="69">
        <v>89.55</v>
      </c>
      <c r="AU631" s="69"/>
      <c r="AV631" s="69"/>
      <c r="AW631" s="69"/>
      <c r="AX631" s="69"/>
      <c r="AY631" s="69"/>
      <c r="AZ631" s="69"/>
      <c r="BA631" s="69"/>
      <c r="BB631" s="69"/>
      <c r="BC631" s="69"/>
      <c r="BD631" s="69"/>
      <c r="BE631" s="69"/>
      <c r="BF631" s="69"/>
      <c r="BG631" s="69"/>
      <c r="BH631" s="69"/>
      <c r="BI631" s="69"/>
      <c r="BJ631" s="69"/>
      <c r="BK631" s="69"/>
      <c r="BL631" s="69"/>
      <c r="BM631" s="69"/>
      <c r="BN631" s="69"/>
      <c r="BO631" s="69"/>
      <c r="BP631" s="69"/>
      <c r="BQ631" s="69"/>
      <c r="BR631" s="69"/>
      <c r="BS631" s="69"/>
      <c r="BT631" s="69"/>
      <c r="BU631" s="69"/>
      <c r="BV631" s="69"/>
      <c r="BW631" s="69"/>
      <c r="BX631" s="69"/>
      <c r="BY631" s="69"/>
      <c r="BZ631" s="69"/>
      <c r="CA631" s="69"/>
      <c r="CB631" s="69"/>
      <c r="CC631" s="69"/>
      <c r="CD631" s="69"/>
      <c r="CE631" s="94">
        <f t="shared" si="50"/>
        <v>840</v>
      </c>
      <c r="CF631" s="151">
        <f t="shared" si="52"/>
        <v>0</v>
      </c>
      <c r="CG631" s="75">
        <f t="shared" si="53"/>
        <v>4481</v>
      </c>
      <c r="CH631" s="69" t="str">
        <f t="shared" si="53"/>
        <v>برنامج دولى</v>
      </c>
    </row>
    <row r="632" spans="1:86" x14ac:dyDescent="0.25">
      <c r="A632" s="148"/>
      <c r="B632" s="82">
        <v>8267</v>
      </c>
      <c r="C632" s="149">
        <v>4482</v>
      </c>
      <c r="D632" s="69" t="s">
        <v>78</v>
      </c>
      <c r="E632" s="69" t="str">
        <f>+E631</f>
        <v>عب تدريس كبد</v>
      </c>
      <c r="F632" s="63"/>
      <c r="G632" s="69">
        <v>809.02</v>
      </c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  <c r="AD632" s="69"/>
      <c r="AE632" s="69"/>
      <c r="AF632" s="69"/>
      <c r="AG632" s="69"/>
      <c r="AH632" s="69"/>
      <c r="AI632" s="69"/>
      <c r="AJ632" s="69"/>
      <c r="AK632" s="69"/>
      <c r="AL632" s="69"/>
      <c r="AM632" s="69"/>
      <c r="AN632" s="69"/>
      <c r="AO632" s="69"/>
      <c r="AP632" s="69"/>
      <c r="AQ632" s="69"/>
      <c r="AR632" s="94">
        <f t="shared" si="49"/>
        <v>809.02</v>
      </c>
      <c r="AS632" s="69">
        <v>542.5</v>
      </c>
      <c r="AT632" s="69">
        <v>71.599999999999994</v>
      </c>
      <c r="AU632" s="69">
        <v>194.92</v>
      </c>
      <c r="AV632" s="69"/>
      <c r="AW632" s="69"/>
      <c r="AX632" s="69"/>
      <c r="AY632" s="69"/>
      <c r="AZ632" s="69"/>
      <c r="BA632" s="69"/>
      <c r="BB632" s="69"/>
      <c r="BC632" s="69"/>
      <c r="BD632" s="69"/>
      <c r="BE632" s="69"/>
      <c r="BF632" s="69"/>
      <c r="BG632" s="69"/>
      <c r="BH632" s="69"/>
      <c r="BI632" s="69"/>
      <c r="BJ632" s="69"/>
      <c r="BK632" s="69"/>
      <c r="BL632" s="69"/>
      <c r="BM632" s="69"/>
      <c r="BN632" s="69"/>
      <c r="BO632" s="69"/>
      <c r="BP632" s="69"/>
      <c r="BQ632" s="69"/>
      <c r="BR632" s="69"/>
      <c r="BS632" s="69"/>
      <c r="BT632" s="69"/>
      <c r="BU632" s="69"/>
      <c r="BV632" s="69"/>
      <c r="BW632" s="69"/>
      <c r="BX632" s="69"/>
      <c r="BY632" s="69"/>
      <c r="BZ632" s="69"/>
      <c r="CA632" s="69"/>
      <c r="CB632" s="69"/>
      <c r="CC632" s="69"/>
      <c r="CD632" s="69"/>
      <c r="CE632" s="94">
        <f t="shared" si="50"/>
        <v>809.02</v>
      </c>
      <c r="CF632" s="151">
        <f t="shared" si="52"/>
        <v>0</v>
      </c>
      <c r="CG632" s="75">
        <f t="shared" si="53"/>
        <v>4482</v>
      </c>
      <c r="CH632" s="69" t="str">
        <f t="shared" si="53"/>
        <v>برنامج دولى</v>
      </c>
    </row>
    <row r="633" spans="1:86" x14ac:dyDescent="0.25">
      <c r="A633" s="148"/>
      <c r="B633" s="82">
        <v>8266</v>
      </c>
      <c r="C633" s="149">
        <v>4483</v>
      </c>
      <c r="D633" s="69" t="s">
        <v>78</v>
      </c>
      <c r="E633" s="69" t="str">
        <f>+E632</f>
        <v>عب تدريس كبد</v>
      </c>
      <c r="F633" s="63"/>
      <c r="G633" s="69">
        <v>773.84</v>
      </c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  <c r="AE633" s="69"/>
      <c r="AF633" s="69"/>
      <c r="AG633" s="69"/>
      <c r="AH633" s="69"/>
      <c r="AI633" s="69"/>
      <c r="AJ633" s="69"/>
      <c r="AK633" s="69"/>
      <c r="AL633" s="69"/>
      <c r="AM633" s="69"/>
      <c r="AN633" s="69"/>
      <c r="AO633" s="69"/>
      <c r="AP633" s="69"/>
      <c r="AQ633" s="69"/>
      <c r="AR633" s="94">
        <f t="shared" si="49"/>
        <v>773.84</v>
      </c>
      <c r="AS633" s="69">
        <v>518.20000000000005</v>
      </c>
      <c r="AT633" s="69">
        <v>69.2</v>
      </c>
      <c r="AU633" s="69">
        <v>186.44</v>
      </c>
      <c r="AV633" s="69"/>
      <c r="AW633" s="69"/>
      <c r="AX633" s="69"/>
      <c r="AY633" s="69"/>
      <c r="AZ633" s="69"/>
      <c r="BA633" s="69"/>
      <c r="BB633" s="69"/>
      <c r="BC633" s="69"/>
      <c r="BD633" s="69"/>
      <c r="BE633" s="69"/>
      <c r="BF633" s="69"/>
      <c r="BG633" s="69"/>
      <c r="BH633" s="69"/>
      <c r="BI633" s="69"/>
      <c r="BJ633" s="69"/>
      <c r="BK633" s="69"/>
      <c r="BL633" s="69"/>
      <c r="BM633" s="69"/>
      <c r="BN633" s="69"/>
      <c r="BO633" s="69"/>
      <c r="BP633" s="69"/>
      <c r="BQ633" s="69"/>
      <c r="BR633" s="69"/>
      <c r="BS633" s="69"/>
      <c r="BT633" s="69"/>
      <c r="BU633" s="69"/>
      <c r="BV633" s="69"/>
      <c r="BW633" s="69"/>
      <c r="BX633" s="69"/>
      <c r="BY633" s="69"/>
      <c r="BZ633" s="69"/>
      <c r="CA633" s="69"/>
      <c r="CB633" s="69"/>
      <c r="CC633" s="69"/>
      <c r="CD633" s="69"/>
      <c r="CE633" s="94">
        <f t="shared" si="50"/>
        <v>773.84000000000015</v>
      </c>
      <c r="CF633" s="151">
        <f t="shared" si="52"/>
        <v>0</v>
      </c>
      <c r="CG633" s="75">
        <f t="shared" si="53"/>
        <v>4483</v>
      </c>
      <c r="CH633" s="69" t="str">
        <f t="shared" si="53"/>
        <v>برنامج دولى</v>
      </c>
    </row>
    <row r="634" spans="1:86" x14ac:dyDescent="0.25">
      <c r="A634" s="148"/>
      <c r="B634" s="82">
        <v>8275</v>
      </c>
      <c r="C634" s="149">
        <v>4484</v>
      </c>
      <c r="D634" s="69" t="s">
        <v>78</v>
      </c>
      <c r="E634" s="69" t="s">
        <v>2770</v>
      </c>
      <c r="F634" s="63"/>
      <c r="G634" s="69">
        <v>1125.5999999999999</v>
      </c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  <c r="AE634" s="69"/>
      <c r="AF634" s="69"/>
      <c r="AG634" s="69"/>
      <c r="AH634" s="69"/>
      <c r="AI634" s="69"/>
      <c r="AJ634" s="69"/>
      <c r="AK634" s="69"/>
      <c r="AL634" s="69"/>
      <c r="AM634" s="69"/>
      <c r="AN634" s="69"/>
      <c r="AO634" s="69"/>
      <c r="AP634" s="69"/>
      <c r="AQ634" s="69"/>
      <c r="AR634" s="94">
        <f t="shared" si="49"/>
        <v>1125.5999999999999</v>
      </c>
      <c r="AS634" s="69">
        <v>753.5</v>
      </c>
      <c r="AT634" s="69">
        <v>100.9</v>
      </c>
      <c r="AU634" s="69">
        <v>271.2</v>
      </c>
      <c r="AV634" s="69"/>
      <c r="AW634" s="69"/>
      <c r="AX634" s="69"/>
      <c r="AY634" s="69"/>
      <c r="AZ634" s="69"/>
      <c r="BA634" s="69"/>
      <c r="BB634" s="69"/>
      <c r="BC634" s="69"/>
      <c r="BD634" s="69"/>
      <c r="BE634" s="69"/>
      <c r="BF634" s="69"/>
      <c r="BG634" s="69"/>
      <c r="BH634" s="69"/>
      <c r="BI634" s="69"/>
      <c r="BJ634" s="69"/>
      <c r="BK634" s="69"/>
      <c r="BL634" s="69"/>
      <c r="BM634" s="69"/>
      <c r="BN634" s="69"/>
      <c r="BO634" s="69"/>
      <c r="BP634" s="69"/>
      <c r="BQ634" s="69"/>
      <c r="BR634" s="69"/>
      <c r="BS634" s="69"/>
      <c r="BT634" s="69"/>
      <c r="BU634" s="69"/>
      <c r="BV634" s="69"/>
      <c r="BW634" s="69"/>
      <c r="BX634" s="69"/>
      <c r="BY634" s="69"/>
      <c r="BZ634" s="69"/>
      <c r="CA634" s="69"/>
      <c r="CB634" s="69"/>
      <c r="CC634" s="69"/>
      <c r="CD634" s="69"/>
      <c r="CE634" s="94">
        <f t="shared" si="50"/>
        <v>1125.5999999999999</v>
      </c>
      <c r="CF634" s="151">
        <f t="shared" si="52"/>
        <v>0</v>
      </c>
      <c r="CG634" s="75">
        <f t="shared" si="53"/>
        <v>4484</v>
      </c>
      <c r="CH634" s="69" t="str">
        <f t="shared" si="53"/>
        <v>برنامج دولى</v>
      </c>
    </row>
    <row r="635" spans="1:86" x14ac:dyDescent="0.25">
      <c r="A635" s="148"/>
      <c r="B635" s="82">
        <v>8274</v>
      </c>
      <c r="C635" s="149">
        <v>4485</v>
      </c>
      <c r="D635" s="69" t="s">
        <v>78</v>
      </c>
      <c r="E635" s="69" t="s">
        <v>2770</v>
      </c>
      <c r="F635" s="63"/>
      <c r="G635" s="69">
        <v>703.5</v>
      </c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  <c r="AD635" s="69"/>
      <c r="AE635" s="69"/>
      <c r="AF635" s="69"/>
      <c r="AG635" s="69"/>
      <c r="AH635" s="69"/>
      <c r="AI635" s="69"/>
      <c r="AJ635" s="69"/>
      <c r="AK635" s="69"/>
      <c r="AL635" s="69"/>
      <c r="AM635" s="69"/>
      <c r="AN635" s="69"/>
      <c r="AO635" s="69"/>
      <c r="AP635" s="69"/>
      <c r="AQ635" s="69"/>
      <c r="AR635" s="94">
        <f t="shared" si="49"/>
        <v>703.5</v>
      </c>
      <c r="AS635" s="69">
        <v>472.25</v>
      </c>
      <c r="AT635" s="69">
        <v>61.75</v>
      </c>
      <c r="AU635" s="69">
        <v>169.5</v>
      </c>
      <c r="AV635" s="69"/>
      <c r="AW635" s="69"/>
      <c r="AX635" s="69"/>
      <c r="AY635" s="69"/>
      <c r="AZ635" s="69"/>
      <c r="BA635" s="69"/>
      <c r="BB635" s="69"/>
      <c r="BC635" s="69"/>
      <c r="BD635" s="69"/>
      <c r="BE635" s="69"/>
      <c r="BF635" s="69"/>
      <c r="BG635" s="69"/>
      <c r="BH635" s="69"/>
      <c r="BI635" s="69"/>
      <c r="BJ635" s="69"/>
      <c r="BK635" s="69"/>
      <c r="BL635" s="69"/>
      <c r="BM635" s="69"/>
      <c r="BN635" s="69"/>
      <c r="BO635" s="69"/>
      <c r="BP635" s="69"/>
      <c r="BQ635" s="69"/>
      <c r="BR635" s="69"/>
      <c r="BS635" s="69"/>
      <c r="BT635" s="69"/>
      <c r="BU635" s="69"/>
      <c r="BV635" s="69"/>
      <c r="BW635" s="69"/>
      <c r="BX635" s="69"/>
      <c r="BY635" s="69"/>
      <c r="BZ635" s="69"/>
      <c r="CA635" s="69"/>
      <c r="CB635" s="69"/>
      <c r="CC635" s="69"/>
      <c r="CD635" s="69"/>
      <c r="CE635" s="94">
        <f t="shared" si="50"/>
        <v>703.5</v>
      </c>
      <c r="CF635" s="151">
        <f t="shared" si="52"/>
        <v>0</v>
      </c>
      <c r="CG635" s="75">
        <f t="shared" si="53"/>
        <v>4485</v>
      </c>
      <c r="CH635" s="69" t="str">
        <f t="shared" si="53"/>
        <v>برنامج دولى</v>
      </c>
    </row>
    <row r="636" spans="1:86" x14ac:dyDescent="0.25">
      <c r="A636" s="148"/>
      <c r="B636" s="82">
        <v>8271</v>
      </c>
      <c r="C636" s="149">
        <v>4486</v>
      </c>
      <c r="D636" s="69" t="s">
        <v>78</v>
      </c>
      <c r="E636" s="69" t="s">
        <v>2770</v>
      </c>
      <c r="F636" s="63"/>
      <c r="G636" s="69">
        <v>70.349999999999994</v>
      </c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  <c r="AD636" s="69"/>
      <c r="AE636" s="69"/>
      <c r="AF636" s="69"/>
      <c r="AG636" s="69"/>
      <c r="AH636" s="69"/>
      <c r="AI636" s="69"/>
      <c r="AJ636" s="69"/>
      <c r="AK636" s="69"/>
      <c r="AL636" s="69"/>
      <c r="AM636" s="69"/>
      <c r="AN636" s="69"/>
      <c r="AO636" s="69"/>
      <c r="AP636" s="69"/>
      <c r="AQ636" s="69"/>
      <c r="AR636" s="94">
        <f t="shared" si="49"/>
        <v>70.349999999999994</v>
      </c>
      <c r="AS636" s="69">
        <v>47.35</v>
      </c>
      <c r="AT636" s="69">
        <v>6.05</v>
      </c>
      <c r="AU636" s="69">
        <v>16.95</v>
      </c>
      <c r="AV636" s="69"/>
      <c r="AW636" s="69"/>
      <c r="AX636" s="69"/>
      <c r="AY636" s="69"/>
      <c r="AZ636" s="69"/>
      <c r="BA636" s="69"/>
      <c r="BB636" s="69"/>
      <c r="BC636" s="69"/>
      <c r="BD636" s="69"/>
      <c r="BE636" s="69"/>
      <c r="BF636" s="69"/>
      <c r="BG636" s="69"/>
      <c r="BH636" s="69"/>
      <c r="BI636" s="69"/>
      <c r="BJ636" s="69"/>
      <c r="BK636" s="69"/>
      <c r="BL636" s="69"/>
      <c r="BM636" s="69"/>
      <c r="BN636" s="69"/>
      <c r="BO636" s="69"/>
      <c r="BP636" s="69"/>
      <c r="BQ636" s="69"/>
      <c r="BR636" s="69"/>
      <c r="BS636" s="69"/>
      <c r="BT636" s="69"/>
      <c r="BU636" s="69"/>
      <c r="BV636" s="69"/>
      <c r="BW636" s="69"/>
      <c r="BX636" s="69"/>
      <c r="BY636" s="69"/>
      <c r="BZ636" s="69"/>
      <c r="CA636" s="69"/>
      <c r="CB636" s="69"/>
      <c r="CC636" s="69"/>
      <c r="CD636" s="69"/>
      <c r="CE636" s="94">
        <f t="shared" si="50"/>
        <v>70.349999999999994</v>
      </c>
      <c r="CF636" s="151">
        <f t="shared" si="52"/>
        <v>0</v>
      </c>
      <c r="CG636" s="75">
        <f t="shared" si="53"/>
        <v>4486</v>
      </c>
      <c r="CH636" s="69" t="str">
        <f t="shared" si="53"/>
        <v>برنامج دولى</v>
      </c>
    </row>
    <row r="637" spans="1:86" x14ac:dyDescent="0.25">
      <c r="A637" s="148"/>
      <c r="B637" s="82">
        <v>8273</v>
      </c>
      <c r="C637" s="149">
        <v>4487</v>
      </c>
      <c r="D637" s="69" t="s">
        <v>78</v>
      </c>
      <c r="E637" s="69" t="s">
        <v>2770</v>
      </c>
      <c r="F637" s="63"/>
      <c r="G637" s="69">
        <v>984.9</v>
      </c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  <c r="AD637" s="69"/>
      <c r="AE637" s="69"/>
      <c r="AF637" s="69"/>
      <c r="AG637" s="69"/>
      <c r="AH637" s="69"/>
      <c r="AI637" s="69"/>
      <c r="AJ637" s="69"/>
      <c r="AK637" s="69"/>
      <c r="AL637" s="69"/>
      <c r="AM637" s="69"/>
      <c r="AN637" s="69"/>
      <c r="AO637" s="69"/>
      <c r="AP637" s="69"/>
      <c r="AQ637" s="69"/>
      <c r="AR637" s="94">
        <f t="shared" si="49"/>
        <v>984.9</v>
      </c>
      <c r="AS637" s="69">
        <v>660.9</v>
      </c>
      <c r="AT637" s="69">
        <v>86.7</v>
      </c>
      <c r="AU637" s="69">
        <v>237.3</v>
      </c>
      <c r="AV637" s="69"/>
      <c r="AW637" s="69"/>
      <c r="AX637" s="69"/>
      <c r="AY637" s="69"/>
      <c r="AZ637" s="69"/>
      <c r="BA637" s="69"/>
      <c r="BB637" s="69"/>
      <c r="BC637" s="69"/>
      <c r="BD637" s="69"/>
      <c r="BE637" s="69"/>
      <c r="BF637" s="69"/>
      <c r="BG637" s="69"/>
      <c r="BH637" s="69"/>
      <c r="BI637" s="69"/>
      <c r="BJ637" s="69"/>
      <c r="BK637" s="69"/>
      <c r="BL637" s="69"/>
      <c r="BM637" s="69"/>
      <c r="BN637" s="69"/>
      <c r="BO637" s="69"/>
      <c r="BP637" s="69"/>
      <c r="BQ637" s="69"/>
      <c r="BR637" s="69"/>
      <c r="BS637" s="69"/>
      <c r="BT637" s="69"/>
      <c r="BU637" s="69"/>
      <c r="BV637" s="69"/>
      <c r="BW637" s="69"/>
      <c r="BX637" s="69"/>
      <c r="BY637" s="69"/>
      <c r="BZ637" s="69"/>
      <c r="CA637" s="69"/>
      <c r="CB637" s="69"/>
      <c r="CC637" s="69"/>
      <c r="CD637" s="69"/>
      <c r="CE637" s="94">
        <f t="shared" si="50"/>
        <v>984.90000000000009</v>
      </c>
      <c r="CF637" s="151">
        <f t="shared" si="52"/>
        <v>0</v>
      </c>
      <c r="CG637" s="75">
        <f t="shared" si="53"/>
        <v>4487</v>
      </c>
      <c r="CH637" s="69" t="str">
        <f t="shared" si="53"/>
        <v>برنامج دولى</v>
      </c>
    </row>
    <row r="638" spans="1:86" x14ac:dyDescent="0.25">
      <c r="A638" s="148"/>
      <c r="B638" s="82">
        <v>8627</v>
      </c>
      <c r="C638" s="149">
        <v>4488</v>
      </c>
      <c r="D638" s="69" t="s">
        <v>78</v>
      </c>
      <c r="E638" s="69" t="str">
        <f>+E627</f>
        <v>عب تدريس جراحه</v>
      </c>
      <c r="F638" s="63"/>
      <c r="G638" s="69">
        <v>8442</v>
      </c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  <c r="AD638" s="69"/>
      <c r="AE638" s="69"/>
      <c r="AF638" s="69"/>
      <c r="AG638" s="69"/>
      <c r="AH638" s="69"/>
      <c r="AI638" s="69"/>
      <c r="AJ638" s="69"/>
      <c r="AK638" s="69"/>
      <c r="AL638" s="69"/>
      <c r="AM638" s="69"/>
      <c r="AN638" s="69"/>
      <c r="AO638" s="69"/>
      <c r="AP638" s="69"/>
      <c r="AQ638" s="69"/>
      <c r="AR638" s="94">
        <f t="shared" si="49"/>
        <v>8442</v>
      </c>
      <c r="AS638" s="69">
        <v>5641.05</v>
      </c>
      <c r="AT638" s="69">
        <v>766.95</v>
      </c>
      <c r="AU638" s="69">
        <v>2034</v>
      </c>
      <c r="AV638" s="69"/>
      <c r="AW638" s="69"/>
      <c r="AX638" s="69"/>
      <c r="AY638" s="69"/>
      <c r="AZ638" s="69"/>
      <c r="BA638" s="69"/>
      <c r="BB638" s="69"/>
      <c r="BC638" s="69"/>
      <c r="BD638" s="69"/>
      <c r="BE638" s="69"/>
      <c r="BF638" s="69"/>
      <c r="BG638" s="69"/>
      <c r="BH638" s="69"/>
      <c r="BI638" s="69"/>
      <c r="BJ638" s="69"/>
      <c r="BK638" s="69"/>
      <c r="BL638" s="69"/>
      <c r="BM638" s="69"/>
      <c r="BN638" s="69"/>
      <c r="BO638" s="69"/>
      <c r="BP638" s="69"/>
      <c r="BQ638" s="69"/>
      <c r="BR638" s="69"/>
      <c r="BS638" s="69"/>
      <c r="BT638" s="69"/>
      <c r="BU638" s="69"/>
      <c r="BV638" s="69"/>
      <c r="BW638" s="69"/>
      <c r="BX638" s="69"/>
      <c r="BY638" s="69"/>
      <c r="BZ638" s="69"/>
      <c r="CA638" s="69"/>
      <c r="CB638" s="69"/>
      <c r="CC638" s="69"/>
      <c r="CD638" s="69"/>
      <c r="CE638" s="94">
        <f t="shared" si="50"/>
        <v>8442</v>
      </c>
      <c r="CF638" s="151">
        <f t="shared" si="52"/>
        <v>0</v>
      </c>
      <c r="CG638" s="75">
        <f t="shared" si="53"/>
        <v>4488</v>
      </c>
      <c r="CH638" s="69" t="str">
        <f t="shared" si="53"/>
        <v>برنامج دولى</v>
      </c>
    </row>
    <row r="639" spans="1:86" x14ac:dyDescent="0.25">
      <c r="A639" s="148"/>
      <c r="B639" s="82">
        <v>8276</v>
      </c>
      <c r="C639" s="149">
        <v>4489</v>
      </c>
      <c r="D639" s="69" t="s">
        <v>78</v>
      </c>
      <c r="E639" s="69" t="str">
        <f>+E637</f>
        <v>عب تدريس تخدير</v>
      </c>
      <c r="F639" s="63"/>
      <c r="G639" s="69">
        <v>16496.68</v>
      </c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  <c r="AD639" s="69"/>
      <c r="AE639" s="69"/>
      <c r="AF639" s="69"/>
      <c r="AG639" s="69"/>
      <c r="AH639" s="69"/>
      <c r="AI639" s="69"/>
      <c r="AJ639" s="69"/>
      <c r="AK639" s="69"/>
      <c r="AL639" s="69"/>
      <c r="AM639" s="69"/>
      <c r="AN639" s="69"/>
      <c r="AO639" s="69"/>
      <c r="AP639" s="69"/>
      <c r="AQ639" s="69"/>
      <c r="AR639" s="94">
        <f t="shared" si="49"/>
        <v>16496.68</v>
      </c>
      <c r="AS639" s="69">
        <v>13182.08</v>
      </c>
      <c r="AT639" s="69">
        <v>1649.6</v>
      </c>
      <c r="AU639" s="69">
        <v>1665</v>
      </c>
      <c r="AV639" s="69"/>
      <c r="AW639" s="69"/>
      <c r="AX639" s="69"/>
      <c r="AY639" s="69"/>
      <c r="AZ639" s="69"/>
      <c r="BA639" s="69"/>
      <c r="BB639" s="69"/>
      <c r="BC639" s="69"/>
      <c r="BD639" s="69"/>
      <c r="BE639" s="69"/>
      <c r="BF639" s="69"/>
      <c r="BG639" s="69"/>
      <c r="BH639" s="69"/>
      <c r="BI639" s="69"/>
      <c r="BJ639" s="69"/>
      <c r="BK639" s="69"/>
      <c r="BL639" s="69"/>
      <c r="BM639" s="69"/>
      <c r="BN639" s="69"/>
      <c r="BO639" s="69"/>
      <c r="BP639" s="69"/>
      <c r="BQ639" s="69"/>
      <c r="BR639" s="69"/>
      <c r="BS639" s="69"/>
      <c r="BT639" s="69"/>
      <c r="BU639" s="69"/>
      <c r="BV639" s="69"/>
      <c r="BW639" s="69"/>
      <c r="BX639" s="69"/>
      <c r="BY639" s="69"/>
      <c r="BZ639" s="69"/>
      <c r="CA639" s="69"/>
      <c r="CB639" s="69"/>
      <c r="CC639" s="69"/>
      <c r="CD639" s="69"/>
      <c r="CE639" s="94">
        <f t="shared" si="50"/>
        <v>16496.68</v>
      </c>
      <c r="CF639" s="151">
        <f t="shared" si="52"/>
        <v>0</v>
      </c>
      <c r="CG639" s="75">
        <f t="shared" si="53"/>
        <v>4489</v>
      </c>
      <c r="CH639" s="69" t="str">
        <f t="shared" si="53"/>
        <v>برنامج دولى</v>
      </c>
    </row>
    <row r="640" spans="1:86" x14ac:dyDescent="0.25">
      <c r="A640" s="148"/>
      <c r="B640" s="82">
        <v>8243</v>
      </c>
      <c r="C640" s="149">
        <v>4490</v>
      </c>
      <c r="D640" s="69" t="s">
        <v>78</v>
      </c>
      <c r="E640" s="69" t="s">
        <v>361</v>
      </c>
      <c r="F640" s="63"/>
      <c r="G640" s="69">
        <v>11636.25</v>
      </c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  <c r="AD640" s="69"/>
      <c r="AE640" s="69"/>
      <c r="AF640" s="69"/>
      <c r="AG640" s="69"/>
      <c r="AH640" s="69"/>
      <c r="AI640" s="69"/>
      <c r="AJ640" s="69"/>
      <c r="AK640" s="69"/>
      <c r="AL640" s="69"/>
      <c r="AM640" s="69"/>
      <c r="AN640" s="69"/>
      <c r="AO640" s="69"/>
      <c r="AP640" s="69"/>
      <c r="AQ640" s="69"/>
      <c r="AR640" s="94">
        <f t="shared" si="49"/>
        <v>11636.25</v>
      </c>
      <c r="AS640" s="69">
        <v>10257.549999999999</v>
      </c>
      <c r="AT640" s="69">
        <v>1237.45</v>
      </c>
      <c r="AU640" s="69">
        <v>141.25</v>
      </c>
      <c r="AV640" s="69"/>
      <c r="AW640" s="69"/>
      <c r="AX640" s="69"/>
      <c r="AY640" s="69"/>
      <c r="AZ640" s="69"/>
      <c r="BA640" s="69"/>
      <c r="BB640" s="69"/>
      <c r="BC640" s="69"/>
      <c r="BD640" s="69"/>
      <c r="BE640" s="69"/>
      <c r="BF640" s="69"/>
      <c r="BG640" s="69"/>
      <c r="BH640" s="69"/>
      <c r="BI640" s="69"/>
      <c r="BJ640" s="69"/>
      <c r="BK640" s="69"/>
      <c r="BL640" s="69"/>
      <c r="BM640" s="69"/>
      <c r="BN640" s="69"/>
      <c r="BO640" s="69"/>
      <c r="BP640" s="69"/>
      <c r="BQ640" s="69"/>
      <c r="BR640" s="69"/>
      <c r="BS640" s="69"/>
      <c r="BT640" s="69"/>
      <c r="BU640" s="69"/>
      <c r="BV640" s="69"/>
      <c r="BW640" s="69"/>
      <c r="BX640" s="69"/>
      <c r="BY640" s="69"/>
      <c r="BZ640" s="69"/>
      <c r="CA640" s="69"/>
      <c r="CB640" s="69"/>
      <c r="CC640" s="69"/>
      <c r="CD640" s="69"/>
      <c r="CE640" s="94">
        <f t="shared" si="50"/>
        <v>11636.25</v>
      </c>
      <c r="CF640" s="151">
        <f t="shared" si="52"/>
        <v>0</v>
      </c>
      <c r="CG640" s="75">
        <f t="shared" si="53"/>
        <v>4490</v>
      </c>
      <c r="CH640" s="69" t="str">
        <f t="shared" si="53"/>
        <v>برنامج دولى</v>
      </c>
    </row>
    <row r="641" spans="1:86" x14ac:dyDescent="0.25">
      <c r="A641" s="148"/>
      <c r="B641" s="82">
        <v>8226</v>
      </c>
      <c r="C641" s="149">
        <v>4491</v>
      </c>
      <c r="D641" s="69" t="s">
        <v>78</v>
      </c>
      <c r="E641" s="69" t="s">
        <v>565</v>
      </c>
      <c r="F641" s="63"/>
      <c r="G641" s="69">
        <v>240</v>
      </c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  <c r="AD641" s="69"/>
      <c r="AE641" s="69"/>
      <c r="AF641" s="69"/>
      <c r="AG641" s="69"/>
      <c r="AH641" s="69"/>
      <c r="AI641" s="69"/>
      <c r="AJ641" s="69"/>
      <c r="AK641" s="69"/>
      <c r="AL641" s="69"/>
      <c r="AM641" s="69"/>
      <c r="AN641" s="69"/>
      <c r="AO641" s="69"/>
      <c r="AP641" s="69"/>
      <c r="AQ641" s="69"/>
      <c r="AR641" s="94">
        <f t="shared" si="49"/>
        <v>240</v>
      </c>
      <c r="AS641" s="69">
        <v>214.85</v>
      </c>
      <c r="AT641" s="69">
        <v>25.15</v>
      </c>
      <c r="AU641" s="69"/>
      <c r="AV641" s="69"/>
      <c r="AW641" s="69"/>
      <c r="AX641" s="69"/>
      <c r="AY641" s="69"/>
      <c r="AZ641" s="69"/>
      <c r="BA641" s="69"/>
      <c r="BB641" s="69"/>
      <c r="BC641" s="69"/>
      <c r="BD641" s="69"/>
      <c r="BE641" s="69"/>
      <c r="BF641" s="69"/>
      <c r="BG641" s="69"/>
      <c r="BH641" s="69"/>
      <c r="BI641" s="69"/>
      <c r="BJ641" s="69"/>
      <c r="BK641" s="69"/>
      <c r="BL641" s="69"/>
      <c r="BM641" s="69"/>
      <c r="BN641" s="69"/>
      <c r="BO641" s="69"/>
      <c r="BP641" s="69"/>
      <c r="BQ641" s="69"/>
      <c r="BR641" s="69"/>
      <c r="BS641" s="69"/>
      <c r="BT641" s="69"/>
      <c r="BU641" s="69"/>
      <c r="BV641" s="69"/>
      <c r="BW641" s="69"/>
      <c r="BX641" s="69"/>
      <c r="BY641" s="69"/>
      <c r="BZ641" s="69"/>
      <c r="CA641" s="69"/>
      <c r="CB641" s="69"/>
      <c r="CC641" s="69"/>
      <c r="CD641" s="69"/>
      <c r="CE641" s="94">
        <f t="shared" si="50"/>
        <v>240</v>
      </c>
      <c r="CF641" s="151">
        <f t="shared" si="52"/>
        <v>0</v>
      </c>
      <c r="CG641" s="75">
        <f t="shared" si="53"/>
        <v>4491</v>
      </c>
      <c r="CH641" s="69" t="str">
        <f t="shared" si="53"/>
        <v>برنامج دولى</v>
      </c>
    </row>
    <row r="642" spans="1:86" x14ac:dyDescent="0.25">
      <c r="A642" s="148"/>
      <c r="B642" s="82">
        <v>8230</v>
      </c>
      <c r="C642" s="149">
        <v>4492</v>
      </c>
      <c r="D642" s="69" t="s">
        <v>78</v>
      </c>
      <c r="E642" s="69" t="s">
        <v>3311</v>
      </c>
      <c r="F642" s="63"/>
      <c r="G642" s="69">
        <v>1547.7</v>
      </c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  <c r="AD642" s="69"/>
      <c r="AE642" s="69"/>
      <c r="AF642" s="69"/>
      <c r="AG642" s="69"/>
      <c r="AH642" s="69"/>
      <c r="AI642" s="69"/>
      <c r="AJ642" s="69"/>
      <c r="AK642" s="69"/>
      <c r="AL642" s="69"/>
      <c r="AM642" s="69"/>
      <c r="AN642" s="69"/>
      <c r="AO642" s="69"/>
      <c r="AP642" s="69"/>
      <c r="AQ642" s="69"/>
      <c r="AR642" s="94">
        <f t="shared" si="49"/>
        <v>1547.7</v>
      </c>
      <c r="AS642" s="69">
        <v>1034.3499999999999</v>
      </c>
      <c r="AT642" s="69">
        <v>140.44999999999999</v>
      </c>
      <c r="AU642" s="69">
        <v>372.9</v>
      </c>
      <c r="AV642" s="69"/>
      <c r="AW642" s="69"/>
      <c r="AX642" s="69"/>
      <c r="AY642" s="69"/>
      <c r="AZ642" s="69"/>
      <c r="BA642" s="69"/>
      <c r="BB642" s="69"/>
      <c r="BC642" s="69"/>
      <c r="BD642" s="69"/>
      <c r="BE642" s="69"/>
      <c r="BF642" s="69"/>
      <c r="BG642" s="69"/>
      <c r="BH642" s="69"/>
      <c r="BI642" s="69"/>
      <c r="BJ642" s="69"/>
      <c r="BK642" s="69"/>
      <c r="BL642" s="69"/>
      <c r="BM642" s="69"/>
      <c r="BN642" s="69"/>
      <c r="BO642" s="69"/>
      <c r="BP642" s="69"/>
      <c r="BQ642" s="69"/>
      <c r="BR642" s="69"/>
      <c r="BS642" s="69"/>
      <c r="BT642" s="69"/>
      <c r="BU642" s="69"/>
      <c r="BV642" s="69"/>
      <c r="BW642" s="69"/>
      <c r="BX642" s="69"/>
      <c r="BY642" s="69"/>
      <c r="BZ642" s="69"/>
      <c r="CA642" s="69"/>
      <c r="CB642" s="69"/>
      <c r="CC642" s="69"/>
      <c r="CD642" s="69"/>
      <c r="CE642" s="94">
        <f t="shared" si="50"/>
        <v>1547.6999999999998</v>
      </c>
      <c r="CF642" s="151">
        <f t="shared" si="52"/>
        <v>0</v>
      </c>
      <c r="CG642" s="75">
        <f t="shared" si="53"/>
        <v>4492</v>
      </c>
      <c r="CH642" s="69" t="str">
        <f t="shared" si="53"/>
        <v>برنامج دولى</v>
      </c>
    </row>
    <row r="643" spans="1:86" x14ac:dyDescent="0.25">
      <c r="A643" s="148"/>
      <c r="B643" s="82">
        <v>8252</v>
      </c>
      <c r="C643" s="149">
        <v>4493</v>
      </c>
      <c r="D643" s="69" t="s">
        <v>78</v>
      </c>
      <c r="E643" s="69" t="str">
        <f>+E638</f>
        <v>عب تدريس جراحه</v>
      </c>
      <c r="F643" s="63"/>
      <c r="G643" s="69">
        <v>7443.83</v>
      </c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  <c r="AD643" s="69"/>
      <c r="AE643" s="69"/>
      <c r="AF643" s="69"/>
      <c r="AG643" s="69"/>
      <c r="AH643" s="69"/>
      <c r="AI643" s="69"/>
      <c r="AJ643" s="69"/>
      <c r="AK643" s="69"/>
      <c r="AL643" s="69"/>
      <c r="AM643" s="69"/>
      <c r="AN643" s="69"/>
      <c r="AO643" s="69"/>
      <c r="AP643" s="69"/>
      <c r="AQ643" s="69"/>
      <c r="AR643" s="94">
        <f t="shared" si="49"/>
        <v>7443.83</v>
      </c>
      <c r="AS643" s="69">
        <v>6272.35</v>
      </c>
      <c r="AT643" s="69">
        <v>772.15</v>
      </c>
      <c r="AU643" s="69">
        <v>399.33</v>
      </c>
      <c r="AV643" s="69"/>
      <c r="AW643" s="69"/>
      <c r="AX643" s="69"/>
      <c r="AY643" s="69"/>
      <c r="AZ643" s="69"/>
      <c r="BA643" s="69"/>
      <c r="BB643" s="69"/>
      <c r="BC643" s="69"/>
      <c r="BD643" s="69"/>
      <c r="BE643" s="69"/>
      <c r="BF643" s="69"/>
      <c r="BG643" s="69"/>
      <c r="BH643" s="69"/>
      <c r="BI643" s="69"/>
      <c r="BJ643" s="69"/>
      <c r="BK643" s="69"/>
      <c r="BL643" s="69"/>
      <c r="BM643" s="69"/>
      <c r="BN643" s="69"/>
      <c r="BO643" s="69"/>
      <c r="BP643" s="69"/>
      <c r="BQ643" s="69"/>
      <c r="BR643" s="69"/>
      <c r="BS643" s="69"/>
      <c r="BT643" s="69"/>
      <c r="BU643" s="69"/>
      <c r="BV643" s="69"/>
      <c r="BW643" s="69"/>
      <c r="BX643" s="69"/>
      <c r="BY643" s="69"/>
      <c r="BZ643" s="69"/>
      <c r="CA643" s="69"/>
      <c r="CB643" s="69"/>
      <c r="CC643" s="69"/>
      <c r="CD643" s="69"/>
      <c r="CE643" s="94">
        <f t="shared" si="50"/>
        <v>7443.83</v>
      </c>
      <c r="CF643" s="151">
        <f t="shared" si="52"/>
        <v>0</v>
      </c>
      <c r="CG643" s="75">
        <f t="shared" si="53"/>
        <v>4493</v>
      </c>
      <c r="CH643" s="69" t="str">
        <f t="shared" si="53"/>
        <v>برنامج دولى</v>
      </c>
    </row>
    <row r="644" spans="1:86" x14ac:dyDescent="0.25">
      <c r="A644" s="148"/>
      <c r="B644" s="82">
        <v>8251</v>
      </c>
      <c r="C644" s="149">
        <v>4494</v>
      </c>
      <c r="D644" s="69" t="s">
        <v>78</v>
      </c>
      <c r="E644" s="69" t="str">
        <f>+E643</f>
        <v>عب تدريس جراحه</v>
      </c>
      <c r="F644" s="63"/>
      <c r="G644" s="69">
        <v>28172.51</v>
      </c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  <c r="AD644" s="69"/>
      <c r="AE644" s="69"/>
      <c r="AF644" s="69"/>
      <c r="AG644" s="69"/>
      <c r="AH644" s="69"/>
      <c r="AI644" s="69"/>
      <c r="AJ644" s="69"/>
      <c r="AK644" s="69"/>
      <c r="AL644" s="69"/>
      <c r="AM644" s="69"/>
      <c r="AN644" s="69"/>
      <c r="AO644" s="69"/>
      <c r="AP644" s="69"/>
      <c r="AQ644" s="69"/>
      <c r="AR644" s="94">
        <f t="shared" si="49"/>
        <v>28172.51</v>
      </c>
      <c r="AS644" s="69">
        <v>24529</v>
      </c>
      <c r="AT644" s="69">
        <v>2902.45</v>
      </c>
      <c r="AU644" s="69">
        <v>741.06</v>
      </c>
      <c r="AV644" s="69"/>
      <c r="AW644" s="69"/>
      <c r="AX644" s="69"/>
      <c r="AY644" s="69"/>
      <c r="AZ644" s="69"/>
      <c r="BA644" s="69"/>
      <c r="BB644" s="69"/>
      <c r="BC644" s="69"/>
      <c r="BD644" s="69"/>
      <c r="BE644" s="69"/>
      <c r="BF644" s="69"/>
      <c r="BG644" s="69"/>
      <c r="BH644" s="69"/>
      <c r="BI644" s="69"/>
      <c r="BJ644" s="69"/>
      <c r="BK644" s="69"/>
      <c r="BL644" s="69"/>
      <c r="BM644" s="69"/>
      <c r="BN644" s="69"/>
      <c r="BO644" s="69"/>
      <c r="BP644" s="69"/>
      <c r="BQ644" s="69"/>
      <c r="BR644" s="69"/>
      <c r="BS644" s="69"/>
      <c r="BT644" s="69"/>
      <c r="BU644" s="69"/>
      <c r="BV644" s="69"/>
      <c r="BW644" s="69"/>
      <c r="BX644" s="69"/>
      <c r="BY644" s="69"/>
      <c r="BZ644" s="69"/>
      <c r="CA644" s="69"/>
      <c r="CB644" s="69"/>
      <c r="CC644" s="69"/>
      <c r="CD644" s="69"/>
      <c r="CE644" s="94">
        <f t="shared" si="50"/>
        <v>28172.510000000002</v>
      </c>
      <c r="CF644" s="151">
        <f t="shared" si="52"/>
        <v>0</v>
      </c>
      <c r="CG644" s="75">
        <f t="shared" si="53"/>
        <v>4494</v>
      </c>
      <c r="CH644" s="69" t="str">
        <f t="shared" si="53"/>
        <v>برنامج دولى</v>
      </c>
    </row>
    <row r="645" spans="1:86" x14ac:dyDescent="0.25">
      <c r="A645" s="148"/>
      <c r="B645" s="82">
        <v>8228</v>
      </c>
      <c r="C645" s="149">
        <v>4495</v>
      </c>
      <c r="D645" s="69" t="s">
        <v>78</v>
      </c>
      <c r="E645" s="69" t="str">
        <f>+E642</f>
        <v>عب تدريس طوارئ</v>
      </c>
      <c r="F645" s="63"/>
      <c r="G645" s="69">
        <v>23376.17</v>
      </c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  <c r="AD645" s="69"/>
      <c r="AE645" s="69"/>
      <c r="AF645" s="69"/>
      <c r="AG645" s="69"/>
      <c r="AH645" s="69"/>
      <c r="AI645" s="69"/>
      <c r="AJ645" s="69"/>
      <c r="AK645" s="69"/>
      <c r="AL645" s="69"/>
      <c r="AM645" s="69"/>
      <c r="AN645" s="69"/>
      <c r="AO645" s="69"/>
      <c r="AP645" s="69"/>
      <c r="AQ645" s="69"/>
      <c r="AR645" s="94">
        <f t="shared" si="49"/>
        <v>23376.17</v>
      </c>
      <c r="AS645" s="69">
        <v>17424.82</v>
      </c>
      <c r="AT645" s="69">
        <v>2256.4499999999998</v>
      </c>
      <c r="AU645" s="69">
        <v>3694.9</v>
      </c>
      <c r="AV645" s="69"/>
      <c r="AW645" s="69"/>
      <c r="AX645" s="69"/>
      <c r="AY645" s="69"/>
      <c r="AZ645" s="69"/>
      <c r="BA645" s="69"/>
      <c r="BB645" s="69"/>
      <c r="BC645" s="69"/>
      <c r="BD645" s="69"/>
      <c r="BE645" s="69"/>
      <c r="BF645" s="69"/>
      <c r="BG645" s="69"/>
      <c r="BH645" s="69"/>
      <c r="BI645" s="69"/>
      <c r="BJ645" s="69"/>
      <c r="BK645" s="69"/>
      <c r="BL645" s="69"/>
      <c r="BM645" s="69"/>
      <c r="BN645" s="69"/>
      <c r="BO645" s="69"/>
      <c r="BP645" s="69"/>
      <c r="BQ645" s="69"/>
      <c r="BR645" s="69"/>
      <c r="BS645" s="69"/>
      <c r="BT645" s="69"/>
      <c r="BU645" s="69"/>
      <c r="BV645" s="69"/>
      <c r="BW645" s="69"/>
      <c r="BX645" s="69"/>
      <c r="BY645" s="69"/>
      <c r="BZ645" s="69"/>
      <c r="CA645" s="69"/>
      <c r="CB645" s="69"/>
      <c r="CC645" s="69"/>
      <c r="CD645" s="69"/>
      <c r="CE645" s="94">
        <f t="shared" si="50"/>
        <v>23376.170000000002</v>
      </c>
      <c r="CF645" s="151">
        <f t="shared" si="52"/>
        <v>0</v>
      </c>
      <c r="CG645" s="75">
        <f t="shared" si="53"/>
        <v>4495</v>
      </c>
      <c r="CH645" s="69" t="str">
        <f t="shared" si="53"/>
        <v>برنامج دولى</v>
      </c>
    </row>
    <row r="646" spans="1:86" x14ac:dyDescent="0.25">
      <c r="A646" s="148"/>
      <c r="B646" s="82">
        <v>8227</v>
      </c>
      <c r="C646" s="149">
        <v>4496</v>
      </c>
      <c r="D646" s="69" t="s">
        <v>78</v>
      </c>
      <c r="E646" s="69" t="str">
        <f>+E645</f>
        <v>عب تدريس طوارئ</v>
      </c>
      <c r="F646" s="63"/>
      <c r="G646" s="69">
        <v>24084.36</v>
      </c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  <c r="AD646" s="69"/>
      <c r="AE646" s="69"/>
      <c r="AF646" s="69"/>
      <c r="AG646" s="69"/>
      <c r="AH646" s="69"/>
      <c r="AI646" s="69"/>
      <c r="AJ646" s="69"/>
      <c r="AK646" s="69"/>
      <c r="AL646" s="69"/>
      <c r="AM646" s="69"/>
      <c r="AN646" s="69"/>
      <c r="AO646" s="69"/>
      <c r="AP646" s="69"/>
      <c r="AQ646" s="69"/>
      <c r="AR646" s="94">
        <f t="shared" si="49"/>
        <v>24084.36</v>
      </c>
      <c r="AS646" s="69">
        <v>18073.509999999998</v>
      </c>
      <c r="AT646" s="69">
        <v>2335.3000000000002</v>
      </c>
      <c r="AU646" s="69">
        <v>3675.55</v>
      </c>
      <c r="AV646" s="69"/>
      <c r="AW646" s="69"/>
      <c r="AX646" s="69"/>
      <c r="AY646" s="69"/>
      <c r="AZ646" s="69"/>
      <c r="BA646" s="69"/>
      <c r="BB646" s="69"/>
      <c r="BC646" s="69"/>
      <c r="BD646" s="69"/>
      <c r="BE646" s="69"/>
      <c r="BF646" s="69"/>
      <c r="BG646" s="69"/>
      <c r="BH646" s="69"/>
      <c r="BI646" s="69"/>
      <c r="BJ646" s="69"/>
      <c r="BK646" s="69"/>
      <c r="BL646" s="69"/>
      <c r="BM646" s="69"/>
      <c r="BN646" s="69"/>
      <c r="BO646" s="69"/>
      <c r="BP646" s="69"/>
      <c r="BQ646" s="69"/>
      <c r="BR646" s="69"/>
      <c r="BS646" s="69"/>
      <c r="BT646" s="69"/>
      <c r="BU646" s="69"/>
      <c r="BV646" s="69"/>
      <c r="BW646" s="69"/>
      <c r="BX646" s="69"/>
      <c r="BY646" s="69"/>
      <c r="BZ646" s="69"/>
      <c r="CA646" s="69"/>
      <c r="CB646" s="69"/>
      <c r="CC646" s="69"/>
      <c r="CD646" s="69"/>
      <c r="CE646" s="94">
        <f t="shared" si="50"/>
        <v>24084.359999999997</v>
      </c>
      <c r="CF646" s="151">
        <f t="shared" si="52"/>
        <v>0</v>
      </c>
      <c r="CG646" s="75">
        <f t="shared" si="53"/>
        <v>4496</v>
      </c>
      <c r="CH646" s="69" t="str">
        <f t="shared" si="53"/>
        <v>برنامج دولى</v>
      </c>
    </row>
    <row r="647" spans="1:86" x14ac:dyDescent="0.25">
      <c r="A647" s="148"/>
      <c r="B647" s="82">
        <v>8231</v>
      </c>
      <c r="C647" s="149">
        <v>4497</v>
      </c>
      <c r="D647" s="69" t="s">
        <v>78</v>
      </c>
      <c r="E647" s="69" t="str">
        <f>+E640</f>
        <v>مكافاه منسقين رؤوساء اقسام</v>
      </c>
      <c r="F647" s="63"/>
      <c r="G647" s="69">
        <v>15812.38</v>
      </c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  <c r="AD647" s="69"/>
      <c r="AE647" s="69"/>
      <c r="AF647" s="69"/>
      <c r="AG647" s="69"/>
      <c r="AH647" s="69"/>
      <c r="AI647" s="69"/>
      <c r="AJ647" s="69"/>
      <c r="AK647" s="69"/>
      <c r="AL647" s="69"/>
      <c r="AM647" s="69"/>
      <c r="AN647" s="69"/>
      <c r="AO647" s="69"/>
      <c r="AP647" s="69"/>
      <c r="AQ647" s="69"/>
      <c r="AR647" s="94">
        <f t="shared" si="49"/>
        <v>15812.38</v>
      </c>
      <c r="AS647" s="69">
        <v>13794.82</v>
      </c>
      <c r="AT647" s="69">
        <v>1669.75</v>
      </c>
      <c r="AU647" s="69">
        <v>347.81</v>
      </c>
      <c r="AV647" s="69"/>
      <c r="AW647" s="69"/>
      <c r="AX647" s="69"/>
      <c r="AY647" s="69"/>
      <c r="AZ647" s="69"/>
      <c r="BA647" s="69"/>
      <c r="BB647" s="69"/>
      <c r="BC647" s="69"/>
      <c r="BD647" s="69"/>
      <c r="BE647" s="69"/>
      <c r="BF647" s="69"/>
      <c r="BG647" s="69"/>
      <c r="BH647" s="69"/>
      <c r="BI647" s="69"/>
      <c r="BJ647" s="69"/>
      <c r="BK647" s="69"/>
      <c r="BL647" s="69"/>
      <c r="BM647" s="69"/>
      <c r="BN647" s="69"/>
      <c r="BO647" s="69"/>
      <c r="BP647" s="69"/>
      <c r="BQ647" s="69"/>
      <c r="BR647" s="69"/>
      <c r="BS647" s="69"/>
      <c r="BT647" s="69"/>
      <c r="BU647" s="69"/>
      <c r="BV647" s="69"/>
      <c r="BW647" s="69"/>
      <c r="BX647" s="69"/>
      <c r="BY647" s="69"/>
      <c r="BZ647" s="69"/>
      <c r="CA647" s="69"/>
      <c r="CB647" s="69"/>
      <c r="CC647" s="69"/>
      <c r="CD647" s="69"/>
      <c r="CE647" s="94">
        <f t="shared" si="50"/>
        <v>15812.38</v>
      </c>
      <c r="CF647" s="151">
        <f t="shared" si="52"/>
        <v>0</v>
      </c>
      <c r="CG647" s="75">
        <f t="shared" si="53"/>
        <v>4497</v>
      </c>
      <c r="CH647" s="69" t="str">
        <f t="shared" si="53"/>
        <v>برنامج دولى</v>
      </c>
    </row>
    <row r="648" spans="1:86" x14ac:dyDescent="0.25">
      <c r="A648" s="148"/>
      <c r="B648" s="82">
        <v>8233</v>
      </c>
      <c r="C648" s="149">
        <v>4498</v>
      </c>
      <c r="D648" s="69" t="s">
        <v>78</v>
      </c>
      <c r="E648" s="69" t="str">
        <f>+E641</f>
        <v>عب تدريس طب شرعى</v>
      </c>
      <c r="F648" s="63"/>
      <c r="G648" s="69">
        <v>540</v>
      </c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  <c r="AD648" s="69"/>
      <c r="AE648" s="69"/>
      <c r="AF648" s="69"/>
      <c r="AG648" s="69"/>
      <c r="AH648" s="69"/>
      <c r="AI648" s="69"/>
      <c r="AJ648" s="69"/>
      <c r="AK648" s="69"/>
      <c r="AL648" s="69"/>
      <c r="AM648" s="69"/>
      <c r="AN648" s="69"/>
      <c r="AO648" s="69"/>
      <c r="AP648" s="69"/>
      <c r="AQ648" s="69"/>
      <c r="AR648" s="94">
        <f t="shared" si="49"/>
        <v>540</v>
      </c>
      <c r="AS648" s="69">
        <v>482.55</v>
      </c>
      <c r="AT648" s="69">
        <v>57.45</v>
      </c>
      <c r="AU648" s="69"/>
      <c r="AV648" s="69"/>
      <c r="AW648" s="69"/>
      <c r="AX648" s="69"/>
      <c r="AY648" s="69"/>
      <c r="AZ648" s="69"/>
      <c r="BA648" s="69"/>
      <c r="BB648" s="69"/>
      <c r="BC648" s="69"/>
      <c r="BD648" s="69"/>
      <c r="BE648" s="69"/>
      <c r="BF648" s="69"/>
      <c r="BG648" s="69"/>
      <c r="BH648" s="69"/>
      <c r="BI648" s="69"/>
      <c r="BJ648" s="69"/>
      <c r="BK648" s="69"/>
      <c r="BL648" s="69"/>
      <c r="BM648" s="69"/>
      <c r="BN648" s="69"/>
      <c r="BO648" s="69"/>
      <c r="BP648" s="69"/>
      <c r="BQ648" s="69"/>
      <c r="BR648" s="69"/>
      <c r="BS648" s="69"/>
      <c r="BT648" s="69"/>
      <c r="BU648" s="69"/>
      <c r="BV648" s="69"/>
      <c r="BW648" s="69"/>
      <c r="BX648" s="69"/>
      <c r="BY648" s="69"/>
      <c r="BZ648" s="69"/>
      <c r="CA648" s="69"/>
      <c r="CB648" s="69"/>
      <c r="CC648" s="69"/>
      <c r="CD648" s="69"/>
      <c r="CE648" s="94">
        <f t="shared" si="50"/>
        <v>540</v>
      </c>
      <c r="CF648" s="151">
        <f t="shared" si="52"/>
        <v>0</v>
      </c>
      <c r="CG648" s="75">
        <f t="shared" si="53"/>
        <v>4498</v>
      </c>
      <c r="CH648" s="69" t="str">
        <f t="shared" si="53"/>
        <v>برنامج دولى</v>
      </c>
    </row>
    <row r="649" spans="1:86" x14ac:dyDescent="0.25">
      <c r="A649" s="148"/>
      <c r="B649" s="82">
        <v>8607</v>
      </c>
      <c r="C649" s="149">
        <v>4499</v>
      </c>
      <c r="D649" s="69" t="s">
        <v>78</v>
      </c>
      <c r="E649" s="69" t="str">
        <f>+E648</f>
        <v>عب تدريس طب شرعى</v>
      </c>
      <c r="F649" s="63"/>
      <c r="G649" s="69">
        <v>281.39999999999998</v>
      </c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  <c r="AD649" s="69"/>
      <c r="AE649" s="69"/>
      <c r="AF649" s="69"/>
      <c r="AG649" s="69"/>
      <c r="AH649" s="69"/>
      <c r="AI649" s="69"/>
      <c r="AJ649" s="69"/>
      <c r="AK649" s="69"/>
      <c r="AL649" s="69"/>
      <c r="AM649" s="69"/>
      <c r="AN649" s="69"/>
      <c r="AO649" s="69"/>
      <c r="AP649" s="69"/>
      <c r="AQ649" s="69"/>
      <c r="AR649" s="94">
        <f t="shared" si="49"/>
        <v>281.39999999999998</v>
      </c>
      <c r="AS649" s="69">
        <v>188.6</v>
      </c>
      <c r="AT649" s="69">
        <v>25</v>
      </c>
      <c r="AU649" s="69">
        <v>67.8</v>
      </c>
      <c r="AV649" s="69"/>
      <c r="AW649" s="69"/>
      <c r="AX649" s="69"/>
      <c r="AY649" s="69"/>
      <c r="AZ649" s="69"/>
      <c r="BA649" s="69"/>
      <c r="BB649" s="69"/>
      <c r="BC649" s="69"/>
      <c r="BD649" s="69"/>
      <c r="BE649" s="69"/>
      <c r="BF649" s="69"/>
      <c r="BG649" s="69"/>
      <c r="BH649" s="69"/>
      <c r="BI649" s="69"/>
      <c r="BJ649" s="69"/>
      <c r="BK649" s="69"/>
      <c r="BL649" s="69"/>
      <c r="BM649" s="69"/>
      <c r="BN649" s="69"/>
      <c r="BO649" s="69"/>
      <c r="BP649" s="69"/>
      <c r="BQ649" s="69"/>
      <c r="BR649" s="69"/>
      <c r="BS649" s="69"/>
      <c r="BT649" s="69"/>
      <c r="BU649" s="69"/>
      <c r="BV649" s="69"/>
      <c r="BW649" s="69"/>
      <c r="BX649" s="69"/>
      <c r="BY649" s="69"/>
      <c r="BZ649" s="69"/>
      <c r="CA649" s="69"/>
      <c r="CB649" s="69"/>
      <c r="CC649" s="69"/>
      <c r="CD649" s="69"/>
      <c r="CE649" s="94">
        <f t="shared" si="50"/>
        <v>281.39999999999998</v>
      </c>
      <c r="CF649" s="151">
        <f t="shared" si="52"/>
        <v>0</v>
      </c>
      <c r="CG649" s="75">
        <f t="shared" si="53"/>
        <v>4499</v>
      </c>
      <c r="CH649" s="69" t="str">
        <f t="shared" si="53"/>
        <v>برنامج دولى</v>
      </c>
    </row>
    <row r="650" spans="1:86" x14ac:dyDescent="0.25">
      <c r="A650" s="148"/>
      <c r="B650" s="82">
        <v>8577</v>
      </c>
      <c r="C650" s="149">
        <v>4500</v>
      </c>
      <c r="D650" s="69" t="s">
        <v>78</v>
      </c>
      <c r="E650" s="69" t="s">
        <v>3169</v>
      </c>
      <c r="F650" s="63"/>
      <c r="G650" s="69">
        <v>1562.5</v>
      </c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  <c r="AD650" s="69"/>
      <c r="AE650" s="69"/>
      <c r="AF650" s="69"/>
      <c r="AG650" s="69"/>
      <c r="AH650" s="69"/>
      <c r="AI650" s="69"/>
      <c r="AJ650" s="69"/>
      <c r="AK650" s="69"/>
      <c r="AL650" s="69"/>
      <c r="AM650" s="69"/>
      <c r="AN650" s="69"/>
      <c r="AO650" s="69"/>
      <c r="AP650" s="69"/>
      <c r="AQ650" s="69"/>
      <c r="AR650" s="94">
        <f t="shared" si="49"/>
        <v>1562.5</v>
      </c>
      <c r="AS650" s="69">
        <v>1394.9</v>
      </c>
      <c r="AT650" s="69">
        <v>167.6</v>
      </c>
      <c r="AU650" s="69"/>
      <c r="AV650" s="69"/>
      <c r="AW650" s="69"/>
      <c r="AX650" s="69"/>
      <c r="AY650" s="69"/>
      <c r="AZ650" s="69"/>
      <c r="BA650" s="69"/>
      <c r="BB650" s="69"/>
      <c r="BC650" s="69"/>
      <c r="BD650" s="69"/>
      <c r="BE650" s="69"/>
      <c r="BF650" s="69"/>
      <c r="BG650" s="69"/>
      <c r="BH650" s="69"/>
      <c r="BI650" s="69"/>
      <c r="BJ650" s="69"/>
      <c r="BK650" s="69"/>
      <c r="BL650" s="69"/>
      <c r="BM650" s="69"/>
      <c r="BN650" s="69"/>
      <c r="BO650" s="69"/>
      <c r="BP650" s="69"/>
      <c r="BQ650" s="69"/>
      <c r="BR650" s="69"/>
      <c r="BS650" s="69"/>
      <c r="BT650" s="69"/>
      <c r="BU650" s="69"/>
      <c r="BV650" s="69"/>
      <c r="BW650" s="69"/>
      <c r="BX650" s="69"/>
      <c r="BY650" s="69"/>
      <c r="BZ650" s="69"/>
      <c r="CA650" s="69"/>
      <c r="CB650" s="69"/>
      <c r="CC650" s="69"/>
      <c r="CD650" s="69"/>
      <c r="CE650" s="94">
        <f t="shared" si="50"/>
        <v>1562.5</v>
      </c>
      <c r="CF650" s="151">
        <f t="shared" si="52"/>
        <v>0</v>
      </c>
      <c r="CG650" s="75">
        <f t="shared" si="53"/>
        <v>4500</v>
      </c>
      <c r="CH650" s="69" t="str">
        <f t="shared" si="53"/>
        <v>برنامج دولى</v>
      </c>
    </row>
    <row r="651" spans="1:86" x14ac:dyDescent="0.25">
      <c r="A651" s="148"/>
      <c r="B651" s="82">
        <v>8578</v>
      </c>
      <c r="C651" s="149">
        <v>4501</v>
      </c>
      <c r="D651" s="69" t="s">
        <v>78</v>
      </c>
      <c r="E651" s="69" t="s">
        <v>3169</v>
      </c>
      <c r="F651" s="63"/>
      <c r="G651" s="69">
        <v>47066.01</v>
      </c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  <c r="AD651" s="69"/>
      <c r="AE651" s="69"/>
      <c r="AF651" s="69"/>
      <c r="AG651" s="69"/>
      <c r="AH651" s="69"/>
      <c r="AI651" s="69"/>
      <c r="AJ651" s="69"/>
      <c r="AK651" s="69"/>
      <c r="AL651" s="69"/>
      <c r="AM651" s="69"/>
      <c r="AN651" s="69"/>
      <c r="AO651" s="69"/>
      <c r="AP651" s="69"/>
      <c r="AQ651" s="69"/>
      <c r="AR651" s="94">
        <f t="shared" si="49"/>
        <v>47066.01</v>
      </c>
      <c r="AS651" s="69">
        <v>41726.1</v>
      </c>
      <c r="AT651" s="69">
        <v>5027.1000000000004</v>
      </c>
      <c r="AU651" s="69">
        <v>312.81</v>
      </c>
      <c r="AV651" s="69"/>
      <c r="AW651" s="69"/>
      <c r="AX651" s="69"/>
      <c r="AY651" s="69"/>
      <c r="AZ651" s="69"/>
      <c r="BA651" s="69"/>
      <c r="BB651" s="69"/>
      <c r="BC651" s="69"/>
      <c r="BD651" s="69"/>
      <c r="BE651" s="69"/>
      <c r="BF651" s="69"/>
      <c r="BG651" s="69"/>
      <c r="BH651" s="69"/>
      <c r="BI651" s="69"/>
      <c r="BJ651" s="69"/>
      <c r="BK651" s="69"/>
      <c r="BL651" s="69"/>
      <c r="BM651" s="69"/>
      <c r="BN651" s="69"/>
      <c r="BO651" s="69"/>
      <c r="BP651" s="69"/>
      <c r="BQ651" s="69"/>
      <c r="BR651" s="69"/>
      <c r="BS651" s="69"/>
      <c r="BT651" s="69"/>
      <c r="BU651" s="69"/>
      <c r="BV651" s="69"/>
      <c r="BW651" s="69"/>
      <c r="BX651" s="69"/>
      <c r="BY651" s="69"/>
      <c r="BZ651" s="69"/>
      <c r="CA651" s="69"/>
      <c r="CB651" s="69"/>
      <c r="CC651" s="69"/>
      <c r="CD651" s="69"/>
      <c r="CE651" s="94">
        <f t="shared" si="50"/>
        <v>47066.009999999995</v>
      </c>
      <c r="CF651" s="151">
        <f t="shared" si="52"/>
        <v>0</v>
      </c>
      <c r="CG651" s="75">
        <f t="shared" si="53"/>
        <v>4501</v>
      </c>
      <c r="CH651" s="69" t="str">
        <f t="shared" si="53"/>
        <v>برنامج دولى</v>
      </c>
    </row>
    <row r="652" spans="1:86" x14ac:dyDescent="0.25">
      <c r="A652" s="148"/>
      <c r="B652" s="82">
        <v>8576</v>
      </c>
      <c r="C652" s="149">
        <v>4502</v>
      </c>
      <c r="D652" s="69" t="s">
        <v>78</v>
      </c>
      <c r="E652" s="69" t="s">
        <v>3312</v>
      </c>
      <c r="F652" s="63"/>
      <c r="G652" s="69">
        <v>938.31</v>
      </c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  <c r="AD652" s="69"/>
      <c r="AE652" s="69"/>
      <c r="AF652" s="69"/>
      <c r="AG652" s="69"/>
      <c r="AH652" s="69"/>
      <c r="AI652" s="69"/>
      <c r="AJ652" s="69"/>
      <c r="AK652" s="69"/>
      <c r="AL652" s="69"/>
      <c r="AM652" s="69"/>
      <c r="AN652" s="69"/>
      <c r="AO652" s="69"/>
      <c r="AP652" s="69"/>
      <c r="AQ652" s="69"/>
      <c r="AR652" s="94">
        <f t="shared" si="49"/>
        <v>938.31</v>
      </c>
      <c r="AS652" s="69">
        <v>627.57000000000005</v>
      </c>
      <c r="AT652" s="69">
        <v>84.68</v>
      </c>
      <c r="AU652" s="69">
        <v>226.06</v>
      </c>
      <c r="AV652" s="69"/>
      <c r="AW652" s="69"/>
      <c r="AX652" s="69"/>
      <c r="AY652" s="69"/>
      <c r="AZ652" s="69"/>
      <c r="BA652" s="69"/>
      <c r="BB652" s="69"/>
      <c r="BC652" s="69"/>
      <c r="BD652" s="69"/>
      <c r="BE652" s="69"/>
      <c r="BF652" s="69"/>
      <c r="BG652" s="69"/>
      <c r="BH652" s="69"/>
      <c r="BI652" s="69"/>
      <c r="BJ652" s="69"/>
      <c r="BK652" s="69"/>
      <c r="BL652" s="69"/>
      <c r="BM652" s="69"/>
      <c r="BN652" s="69"/>
      <c r="BO652" s="69"/>
      <c r="BP652" s="69"/>
      <c r="BQ652" s="69"/>
      <c r="BR652" s="69"/>
      <c r="BS652" s="69"/>
      <c r="BT652" s="69"/>
      <c r="BU652" s="69"/>
      <c r="BV652" s="69"/>
      <c r="BW652" s="69"/>
      <c r="BX652" s="69"/>
      <c r="BY652" s="69"/>
      <c r="BZ652" s="69"/>
      <c r="CA652" s="69"/>
      <c r="CB652" s="69"/>
      <c r="CC652" s="69"/>
      <c r="CD652" s="69"/>
      <c r="CE652" s="94">
        <f t="shared" si="50"/>
        <v>938.31</v>
      </c>
      <c r="CF652" s="151">
        <f t="shared" si="52"/>
        <v>0</v>
      </c>
      <c r="CG652" s="75">
        <f t="shared" si="53"/>
        <v>4502</v>
      </c>
      <c r="CH652" s="69" t="str">
        <f t="shared" si="53"/>
        <v>برنامج دولى</v>
      </c>
    </row>
    <row r="653" spans="1:86" x14ac:dyDescent="0.25">
      <c r="A653" s="148"/>
      <c r="B653" s="82">
        <v>8575</v>
      </c>
      <c r="C653" s="149">
        <v>4503</v>
      </c>
      <c r="D653" s="69" t="s">
        <v>78</v>
      </c>
      <c r="E653" s="69" t="s">
        <v>3312</v>
      </c>
      <c r="F653" s="63"/>
      <c r="G653" s="69">
        <v>613.72</v>
      </c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  <c r="AD653" s="69"/>
      <c r="AE653" s="69"/>
      <c r="AF653" s="69"/>
      <c r="AG653" s="69"/>
      <c r="AH653" s="69"/>
      <c r="AI653" s="69"/>
      <c r="AJ653" s="69"/>
      <c r="AK653" s="69"/>
      <c r="AL653" s="69"/>
      <c r="AM653" s="69"/>
      <c r="AN653" s="69"/>
      <c r="AO653" s="69"/>
      <c r="AP653" s="69"/>
      <c r="AQ653" s="69"/>
      <c r="AR653" s="94">
        <f t="shared" si="49"/>
        <v>613.72</v>
      </c>
      <c r="AS653" s="69">
        <v>410.58</v>
      </c>
      <c r="AT653" s="69">
        <v>55.29</v>
      </c>
      <c r="AU653" s="69">
        <v>147.85</v>
      </c>
      <c r="AV653" s="69"/>
      <c r="AW653" s="69"/>
      <c r="AX653" s="69"/>
      <c r="AY653" s="69"/>
      <c r="AZ653" s="69"/>
      <c r="BA653" s="69"/>
      <c r="BB653" s="69"/>
      <c r="BC653" s="69"/>
      <c r="BD653" s="69"/>
      <c r="BE653" s="69"/>
      <c r="BF653" s="69"/>
      <c r="BG653" s="69"/>
      <c r="BH653" s="69"/>
      <c r="BI653" s="69"/>
      <c r="BJ653" s="69"/>
      <c r="BK653" s="69"/>
      <c r="BL653" s="69"/>
      <c r="BM653" s="69"/>
      <c r="BN653" s="69"/>
      <c r="BO653" s="69"/>
      <c r="BP653" s="69"/>
      <c r="BQ653" s="69"/>
      <c r="BR653" s="69"/>
      <c r="BS653" s="69"/>
      <c r="BT653" s="69"/>
      <c r="BU653" s="69"/>
      <c r="BV653" s="69"/>
      <c r="BW653" s="69"/>
      <c r="BX653" s="69"/>
      <c r="BY653" s="69"/>
      <c r="BZ653" s="69"/>
      <c r="CA653" s="69"/>
      <c r="CB653" s="69"/>
      <c r="CC653" s="69"/>
      <c r="CD653" s="69"/>
      <c r="CE653" s="94">
        <f t="shared" si="50"/>
        <v>613.72</v>
      </c>
      <c r="CF653" s="151">
        <f t="shared" si="52"/>
        <v>0</v>
      </c>
      <c r="CG653" s="75">
        <f t="shared" si="53"/>
        <v>4503</v>
      </c>
      <c r="CH653" s="69" t="str">
        <f t="shared" si="53"/>
        <v>برنامج دولى</v>
      </c>
    </row>
    <row r="654" spans="1:86" x14ac:dyDescent="0.25">
      <c r="A654" s="148"/>
      <c r="B654" s="82">
        <v>8574</v>
      </c>
      <c r="C654" s="149">
        <v>4504</v>
      </c>
      <c r="D654" s="69" t="s">
        <v>78</v>
      </c>
      <c r="E654" s="69" t="s">
        <v>3312</v>
      </c>
      <c r="F654" s="63"/>
      <c r="G654" s="69">
        <v>1891.22</v>
      </c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  <c r="AD654" s="69"/>
      <c r="AE654" s="69"/>
      <c r="AF654" s="69"/>
      <c r="AG654" s="69"/>
      <c r="AH654" s="69"/>
      <c r="AI654" s="69"/>
      <c r="AJ654" s="69"/>
      <c r="AK654" s="69"/>
      <c r="AL654" s="69"/>
      <c r="AM654" s="69"/>
      <c r="AN654" s="69"/>
      <c r="AO654" s="69"/>
      <c r="AP654" s="69"/>
      <c r="AQ654" s="69"/>
      <c r="AR654" s="94">
        <f t="shared" si="49"/>
        <v>1891.22</v>
      </c>
      <c r="AS654" s="69">
        <v>1374.15</v>
      </c>
      <c r="AT654" s="69">
        <v>177.96</v>
      </c>
      <c r="AU654" s="69">
        <v>339.11</v>
      </c>
      <c r="AV654" s="69"/>
      <c r="AW654" s="69"/>
      <c r="AX654" s="69"/>
      <c r="AY654" s="69"/>
      <c r="AZ654" s="69"/>
      <c r="BA654" s="69"/>
      <c r="BB654" s="69"/>
      <c r="BC654" s="69"/>
      <c r="BD654" s="69"/>
      <c r="BE654" s="69"/>
      <c r="BF654" s="69"/>
      <c r="BG654" s="69"/>
      <c r="BH654" s="69"/>
      <c r="BI654" s="69"/>
      <c r="BJ654" s="69"/>
      <c r="BK654" s="69"/>
      <c r="BL654" s="69"/>
      <c r="BM654" s="69"/>
      <c r="BN654" s="69"/>
      <c r="BO654" s="69"/>
      <c r="BP654" s="69"/>
      <c r="BQ654" s="69"/>
      <c r="BR654" s="69"/>
      <c r="BS654" s="69"/>
      <c r="BT654" s="69"/>
      <c r="BU654" s="69"/>
      <c r="BV654" s="69"/>
      <c r="BW654" s="69"/>
      <c r="BX654" s="69"/>
      <c r="BY654" s="69"/>
      <c r="BZ654" s="69"/>
      <c r="CA654" s="69"/>
      <c r="CB654" s="69"/>
      <c r="CC654" s="69"/>
      <c r="CD654" s="69"/>
      <c r="CE654" s="94">
        <f t="shared" si="50"/>
        <v>1891.2200000000003</v>
      </c>
      <c r="CF654" s="151">
        <f t="shared" si="52"/>
        <v>0</v>
      </c>
      <c r="CG654" s="75">
        <f t="shared" si="53"/>
        <v>4504</v>
      </c>
      <c r="CH654" s="69" t="str">
        <f t="shared" si="53"/>
        <v>برنامج دولى</v>
      </c>
    </row>
    <row r="655" spans="1:86" x14ac:dyDescent="0.25">
      <c r="A655" s="148"/>
      <c r="B655" s="82">
        <v>8573</v>
      </c>
      <c r="C655" s="149">
        <v>4505</v>
      </c>
      <c r="D655" s="69" t="s">
        <v>78</v>
      </c>
      <c r="E655" s="69" t="s">
        <v>3312</v>
      </c>
      <c r="F655" s="63"/>
      <c r="G655" s="69">
        <v>9667.68</v>
      </c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  <c r="AD655" s="69"/>
      <c r="AE655" s="69"/>
      <c r="AF655" s="69"/>
      <c r="AG655" s="69"/>
      <c r="AH655" s="69"/>
      <c r="AI655" s="69"/>
      <c r="AJ655" s="69"/>
      <c r="AK655" s="69"/>
      <c r="AL655" s="69"/>
      <c r="AM655" s="69"/>
      <c r="AN655" s="69"/>
      <c r="AO655" s="69"/>
      <c r="AP655" s="69"/>
      <c r="AQ655" s="69"/>
      <c r="AR655" s="94">
        <f t="shared" si="49"/>
        <v>9667.68</v>
      </c>
      <c r="AS655" s="69">
        <v>6467.88</v>
      </c>
      <c r="AT655" s="69">
        <v>870.5</v>
      </c>
      <c r="AU655" s="69">
        <v>2329.3000000000002</v>
      </c>
      <c r="AV655" s="69"/>
      <c r="AW655" s="69"/>
      <c r="AX655" s="69"/>
      <c r="AY655" s="69"/>
      <c r="AZ655" s="69"/>
      <c r="BA655" s="69"/>
      <c r="BB655" s="69"/>
      <c r="BC655" s="69"/>
      <c r="BD655" s="69"/>
      <c r="BE655" s="69"/>
      <c r="BF655" s="69"/>
      <c r="BG655" s="69"/>
      <c r="BH655" s="69"/>
      <c r="BI655" s="69"/>
      <c r="BJ655" s="69"/>
      <c r="BK655" s="69"/>
      <c r="BL655" s="69"/>
      <c r="BM655" s="69"/>
      <c r="BN655" s="69"/>
      <c r="BO655" s="69"/>
      <c r="BP655" s="69"/>
      <c r="BQ655" s="69"/>
      <c r="BR655" s="69"/>
      <c r="BS655" s="69"/>
      <c r="BT655" s="69"/>
      <c r="BU655" s="69"/>
      <c r="BV655" s="69"/>
      <c r="BW655" s="69"/>
      <c r="BX655" s="69"/>
      <c r="BY655" s="69"/>
      <c r="BZ655" s="69"/>
      <c r="CA655" s="69"/>
      <c r="CB655" s="69"/>
      <c r="CC655" s="69"/>
      <c r="CD655" s="69"/>
      <c r="CE655" s="94">
        <f t="shared" si="50"/>
        <v>9667.68</v>
      </c>
      <c r="CF655" s="151">
        <f t="shared" si="52"/>
        <v>0</v>
      </c>
      <c r="CG655" s="75">
        <f t="shared" si="53"/>
        <v>4505</v>
      </c>
      <c r="CH655" s="69" t="str">
        <f t="shared" si="53"/>
        <v>برنامج دولى</v>
      </c>
    </row>
    <row r="656" spans="1:86" x14ac:dyDescent="0.25">
      <c r="A656" s="148"/>
      <c r="B656" s="82">
        <v>8572</v>
      </c>
      <c r="C656" s="149">
        <v>4506</v>
      </c>
      <c r="D656" s="69" t="s">
        <v>78</v>
      </c>
      <c r="E656" s="69" t="s">
        <v>3312</v>
      </c>
      <c r="F656" s="63"/>
      <c r="G656" s="69">
        <v>427.73</v>
      </c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  <c r="AE656" s="69"/>
      <c r="AF656" s="69"/>
      <c r="AG656" s="69"/>
      <c r="AH656" s="69"/>
      <c r="AI656" s="69"/>
      <c r="AJ656" s="69"/>
      <c r="AK656" s="69"/>
      <c r="AL656" s="69"/>
      <c r="AM656" s="69"/>
      <c r="AN656" s="69"/>
      <c r="AO656" s="69"/>
      <c r="AP656" s="69"/>
      <c r="AQ656" s="69"/>
      <c r="AR656" s="94">
        <f t="shared" si="49"/>
        <v>427.73</v>
      </c>
      <c r="AS656" s="69">
        <v>286.39</v>
      </c>
      <c r="AT656" s="69">
        <v>38.28</v>
      </c>
      <c r="AU656" s="69">
        <v>103.06</v>
      </c>
      <c r="AV656" s="69"/>
      <c r="AW656" s="69"/>
      <c r="AX656" s="69"/>
      <c r="AY656" s="69"/>
      <c r="AZ656" s="69"/>
      <c r="BA656" s="69"/>
      <c r="BB656" s="69"/>
      <c r="BC656" s="69"/>
      <c r="BD656" s="69"/>
      <c r="BE656" s="69"/>
      <c r="BF656" s="69"/>
      <c r="BG656" s="69"/>
      <c r="BH656" s="69"/>
      <c r="BI656" s="69"/>
      <c r="BJ656" s="69"/>
      <c r="BK656" s="69"/>
      <c r="BL656" s="69"/>
      <c r="BM656" s="69"/>
      <c r="BN656" s="69"/>
      <c r="BO656" s="69"/>
      <c r="BP656" s="69"/>
      <c r="BQ656" s="69"/>
      <c r="BR656" s="69"/>
      <c r="BS656" s="69"/>
      <c r="BT656" s="69"/>
      <c r="BU656" s="69"/>
      <c r="BV656" s="69"/>
      <c r="BW656" s="69"/>
      <c r="BX656" s="69"/>
      <c r="BY656" s="69"/>
      <c r="BZ656" s="69"/>
      <c r="CA656" s="69"/>
      <c r="CB656" s="69"/>
      <c r="CC656" s="69"/>
      <c r="CD656" s="69"/>
      <c r="CE656" s="94">
        <f t="shared" si="50"/>
        <v>427.72999999999996</v>
      </c>
      <c r="CF656" s="151">
        <f t="shared" si="52"/>
        <v>0</v>
      </c>
      <c r="CG656" s="75">
        <f t="shared" si="53"/>
        <v>4506</v>
      </c>
      <c r="CH656" s="69" t="str">
        <f t="shared" si="53"/>
        <v>برنامج دولى</v>
      </c>
    </row>
    <row r="657" spans="1:86" x14ac:dyDescent="0.25">
      <c r="A657" s="148"/>
      <c r="B657" s="82">
        <v>8571</v>
      </c>
      <c r="C657" s="149">
        <v>4507</v>
      </c>
      <c r="D657" s="69" t="s">
        <v>78</v>
      </c>
      <c r="E657" s="69" t="s">
        <v>3312</v>
      </c>
      <c r="F657" s="63"/>
      <c r="G657" s="69">
        <v>28714.47</v>
      </c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  <c r="AE657" s="69"/>
      <c r="AF657" s="69"/>
      <c r="AG657" s="69"/>
      <c r="AH657" s="69"/>
      <c r="AI657" s="69"/>
      <c r="AJ657" s="69"/>
      <c r="AK657" s="69"/>
      <c r="AL657" s="69"/>
      <c r="AM657" s="69"/>
      <c r="AN657" s="69"/>
      <c r="AO657" s="69"/>
      <c r="AP657" s="69"/>
      <c r="AQ657" s="69"/>
      <c r="AR657" s="94">
        <f t="shared" si="49"/>
        <v>28714.47</v>
      </c>
      <c r="AS657" s="69">
        <v>24191.22</v>
      </c>
      <c r="AT657" s="69">
        <v>2978.8</v>
      </c>
      <c r="AU657" s="69">
        <v>1544.45</v>
      </c>
      <c r="AV657" s="69"/>
      <c r="AW657" s="69"/>
      <c r="AX657" s="69"/>
      <c r="AY657" s="69"/>
      <c r="AZ657" s="69"/>
      <c r="BA657" s="69"/>
      <c r="BB657" s="69"/>
      <c r="BC657" s="69"/>
      <c r="BD657" s="69"/>
      <c r="BE657" s="69"/>
      <c r="BF657" s="69"/>
      <c r="BG657" s="69"/>
      <c r="BH657" s="69"/>
      <c r="BI657" s="69"/>
      <c r="BJ657" s="69"/>
      <c r="BK657" s="69"/>
      <c r="BL657" s="69"/>
      <c r="BM657" s="69"/>
      <c r="BN657" s="69"/>
      <c r="BO657" s="69"/>
      <c r="BP657" s="69"/>
      <c r="BQ657" s="69"/>
      <c r="BR657" s="69"/>
      <c r="BS657" s="69"/>
      <c r="BT657" s="69"/>
      <c r="BU657" s="69"/>
      <c r="BV657" s="69"/>
      <c r="BW657" s="69"/>
      <c r="BX657" s="69"/>
      <c r="BY657" s="69"/>
      <c r="BZ657" s="69"/>
      <c r="CA657" s="69"/>
      <c r="CB657" s="69"/>
      <c r="CC657" s="69"/>
      <c r="CD657" s="69"/>
      <c r="CE657" s="94">
        <f t="shared" si="50"/>
        <v>28714.47</v>
      </c>
      <c r="CF657" s="151">
        <f t="shared" si="52"/>
        <v>0</v>
      </c>
      <c r="CG657" s="75">
        <f t="shared" si="53"/>
        <v>4507</v>
      </c>
      <c r="CH657" s="69" t="str">
        <f t="shared" si="53"/>
        <v>برنامج دولى</v>
      </c>
    </row>
    <row r="658" spans="1:86" x14ac:dyDescent="0.25">
      <c r="A658" s="148"/>
      <c r="B658" s="82">
        <v>8326</v>
      </c>
      <c r="C658" s="149">
        <v>4508</v>
      </c>
      <c r="D658" s="69" t="s">
        <v>78</v>
      </c>
      <c r="E658" s="69" t="s">
        <v>3313</v>
      </c>
      <c r="F658" s="63"/>
      <c r="G658" s="69">
        <v>2345</v>
      </c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  <c r="AD658" s="69"/>
      <c r="AE658" s="69"/>
      <c r="AF658" s="69"/>
      <c r="AG658" s="69"/>
      <c r="AH658" s="69"/>
      <c r="AI658" s="69"/>
      <c r="AJ658" s="69"/>
      <c r="AK658" s="69"/>
      <c r="AL658" s="69"/>
      <c r="AM658" s="69"/>
      <c r="AN658" s="69"/>
      <c r="AO658" s="69"/>
      <c r="AP658" s="69"/>
      <c r="AQ658" s="69"/>
      <c r="AR658" s="94">
        <f t="shared" si="49"/>
        <v>2345</v>
      </c>
      <c r="AS658" s="69">
        <v>1565.35</v>
      </c>
      <c r="AT658" s="69">
        <f>14.65+200</f>
        <v>214.65</v>
      </c>
      <c r="AU658" s="69">
        <v>565</v>
      </c>
      <c r="AV658" s="69"/>
      <c r="AW658" s="69"/>
      <c r="AX658" s="69"/>
      <c r="AY658" s="69"/>
      <c r="AZ658" s="69"/>
      <c r="BA658" s="69"/>
      <c r="BB658" s="69"/>
      <c r="BC658" s="69"/>
      <c r="BD658" s="69"/>
      <c r="BE658" s="69"/>
      <c r="BF658" s="69"/>
      <c r="BG658" s="69"/>
      <c r="BH658" s="69"/>
      <c r="BI658" s="69"/>
      <c r="BJ658" s="69"/>
      <c r="BK658" s="69"/>
      <c r="BL658" s="69"/>
      <c r="BM658" s="69"/>
      <c r="BN658" s="69"/>
      <c r="BO658" s="69"/>
      <c r="BP658" s="69"/>
      <c r="BQ658" s="69"/>
      <c r="BR658" s="69"/>
      <c r="BS658" s="69"/>
      <c r="BT658" s="69"/>
      <c r="BU658" s="69"/>
      <c r="BV658" s="69"/>
      <c r="BW658" s="69"/>
      <c r="BX658" s="69"/>
      <c r="BY658" s="69"/>
      <c r="BZ658" s="69"/>
      <c r="CA658" s="69"/>
      <c r="CB658" s="69"/>
      <c r="CC658" s="69"/>
      <c r="CD658" s="69"/>
      <c r="CE658" s="94">
        <f t="shared" si="50"/>
        <v>2345</v>
      </c>
      <c r="CF658" s="151">
        <f t="shared" si="52"/>
        <v>0</v>
      </c>
      <c r="CG658" s="75">
        <f t="shared" si="53"/>
        <v>4508</v>
      </c>
      <c r="CH658" s="69" t="str">
        <f t="shared" si="53"/>
        <v>برنامج دولى</v>
      </c>
    </row>
    <row r="659" spans="1:86" x14ac:dyDescent="0.25">
      <c r="A659" s="148"/>
      <c r="B659" s="82">
        <v>8323</v>
      </c>
      <c r="C659" s="149">
        <v>4509</v>
      </c>
      <c r="D659" s="69" t="s">
        <v>78</v>
      </c>
      <c r="E659" s="69" t="s">
        <v>3314</v>
      </c>
      <c r="F659" s="63"/>
      <c r="G659" s="69">
        <v>351.75</v>
      </c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  <c r="AE659" s="69"/>
      <c r="AF659" s="69"/>
      <c r="AG659" s="69"/>
      <c r="AH659" s="69"/>
      <c r="AI659" s="69"/>
      <c r="AJ659" s="69"/>
      <c r="AK659" s="69"/>
      <c r="AL659" s="69"/>
      <c r="AM659" s="69"/>
      <c r="AN659" s="69"/>
      <c r="AO659" s="69"/>
      <c r="AP659" s="69"/>
      <c r="AQ659" s="69"/>
      <c r="AR659" s="94">
        <f t="shared" si="49"/>
        <v>351.75</v>
      </c>
      <c r="AS659" s="69">
        <v>235.55</v>
      </c>
      <c r="AT659" s="69">
        <v>31.45</v>
      </c>
      <c r="AU659" s="69">
        <v>84.75</v>
      </c>
      <c r="AV659" s="69"/>
      <c r="AW659" s="69"/>
      <c r="AX659" s="69"/>
      <c r="AY659" s="69"/>
      <c r="AZ659" s="69"/>
      <c r="BA659" s="69"/>
      <c r="BB659" s="69"/>
      <c r="BC659" s="69"/>
      <c r="BD659" s="69"/>
      <c r="BE659" s="69"/>
      <c r="BF659" s="69"/>
      <c r="BG659" s="69"/>
      <c r="BH659" s="69"/>
      <c r="BI659" s="69"/>
      <c r="BJ659" s="69"/>
      <c r="BK659" s="69"/>
      <c r="BL659" s="69"/>
      <c r="BM659" s="69"/>
      <c r="BN659" s="69"/>
      <c r="BO659" s="69"/>
      <c r="BP659" s="69"/>
      <c r="BQ659" s="69"/>
      <c r="BR659" s="69"/>
      <c r="BS659" s="69"/>
      <c r="BT659" s="69"/>
      <c r="BU659" s="69"/>
      <c r="BV659" s="69"/>
      <c r="BW659" s="69"/>
      <c r="BX659" s="69"/>
      <c r="BY659" s="69"/>
      <c r="BZ659" s="69"/>
      <c r="CA659" s="69"/>
      <c r="CB659" s="69"/>
      <c r="CC659" s="69"/>
      <c r="CD659" s="69"/>
      <c r="CE659" s="94">
        <f t="shared" si="50"/>
        <v>351.75</v>
      </c>
      <c r="CF659" s="151">
        <f t="shared" si="52"/>
        <v>0</v>
      </c>
      <c r="CG659" s="75">
        <f t="shared" si="53"/>
        <v>4509</v>
      </c>
      <c r="CH659" s="69" t="str">
        <f t="shared" si="53"/>
        <v>برنامج دولى</v>
      </c>
    </row>
    <row r="660" spans="1:86" x14ac:dyDescent="0.25">
      <c r="A660" s="148"/>
      <c r="B660" s="82">
        <v>8324</v>
      </c>
      <c r="C660" s="149">
        <v>4510</v>
      </c>
      <c r="D660" s="69" t="s">
        <v>78</v>
      </c>
      <c r="E660" s="69" t="s">
        <v>3314</v>
      </c>
      <c r="F660" s="63"/>
      <c r="G660" s="69">
        <v>351.75</v>
      </c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  <c r="AD660" s="69"/>
      <c r="AE660" s="69"/>
      <c r="AF660" s="69"/>
      <c r="AG660" s="69"/>
      <c r="AH660" s="69"/>
      <c r="AI660" s="69"/>
      <c r="AJ660" s="69"/>
      <c r="AK660" s="69"/>
      <c r="AL660" s="69"/>
      <c r="AM660" s="69"/>
      <c r="AN660" s="69"/>
      <c r="AO660" s="69"/>
      <c r="AP660" s="69"/>
      <c r="AQ660" s="69"/>
      <c r="AR660" s="94">
        <f t="shared" ref="AR660:AR723" si="54">SUM(G660:AQ660)</f>
        <v>351.75</v>
      </c>
      <c r="AS660" s="69">
        <v>235.55</v>
      </c>
      <c r="AT660" s="69">
        <v>31.45</v>
      </c>
      <c r="AU660" s="69">
        <v>84.75</v>
      </c>
      <c r="AV660" s="69"/>
      <c r="AW660" s="69"/>
      <c r="AX660" s="69"/>
      <c r="AY660" s="69"/>
      <c r="AZ660" s="69"/>
      <c r="BA660" s="69"/>
      <c r="BB660" s="69"/>
      <c r="BC660" s="69"/>
      <c r="BD660" s="69"/>
      <c r="BE660" s="69"/>
      <c r="BF660" s="69"/>
      <c r="BG660" s="69"/>
      <c r="BH660" s="69"/>
      <c r="BI660" s="69"/>
      <c r="BJ660" s="69"/>
      <c r="BK660" s="69"/>
      <c r="BL660" s="69"/>
      <c r="BM660" s="69"/>
      <c r="BN660" s="69"/>
      <c r="BO660" s="69"/>
      <c r="BP660" s="69"/>
      <c r="BQ660" s="69"/>
      <c r="BR660" s="69"/>
      <c r="BS660" s="69"/>
      <c r="BT660" s="69"/>
      <c r="BU660" s="69"/>
      <c r="BV660" s="69"/>
      <c r="BW660" s="69"/>
      <c r="BX660" s="69"/>
      <c r="BY660" s="69"/>
      <c r="BZ660" s="69"/>
      <c r="CA660" s="69"/>
      <c r="CB660" s="69"/>
      <c r="CC660" s="69"/>
      <c r="CD660" s="69"/>
      <c r="CE660" s="94">
        <f t="shared" si="50"/>
        <v>351.75</v>
      </c>
      <c r="CF660" s="151">
        <f t="shared" si="52"/>
        <v>0</v>
      </c>
      <c r="CG660" s="75">
        <f t="shared" si="53"/>
        <v>4510</v>
      </c>
      <c r="CH660" s="69" t="str">
        <f t="shared" si="53"/>
        <v>برنامج دولى</v>
      </c>
    </row>
    <row r="661" spans="1:86" x14ac:dyDescent="0.25">
      <c r="A661" s="148"/>
      <c r="B661" s="82">
        <v>8325</v>
      </c>
      <c r="C661" s="149">
        <v>4511</v>
      </c>
      <c r="D661" s="69" t="s">
        <v>78</v>
      </c>
      <c r="E661" s="69" t="s">
        <v>3314</v>
      </c>
      <c r="F661" s="63"/>
      <c r="G661" s="69">
        <v>351.75</v>
      </c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  <c r="AD661" s="69"/>
      <c r="AE661" s="69"/>
      <c r="AF661" s="69"/>
      <c r="AG661" s="69"/>
      <c r="AH661" s="69"/>
      <c r="AI661" s="69"/>
      <c r="AJ661" s="69"/>
      <c r="AK661" s="69"/>
      <c r="AL661" s="69"/>
      <c r="AM661" s="69"/>
      <c r="AN661" s="69"/>
      <c r="AO661" s="69"/>
      <c r="AP661" s="69"/>
      <c r="AQ661" s="69"/>
      <c r="AR661" s="94">
        <f t="shared" si="54"/>
        <v>351.75</v>
      </c>
      <c r="AS661" s="69">
        <v>235.55</v>
      </c>
      <c r="AT661" s="69">
        <v>31.45</v>
      </c>
      <c r="AU661" s="69">
        <v>84.75</v>
      </c>
      <c r="AV661" s="69"/>
      <c r="AW661" s="69"/>
      <c r="AX661" s="69"/>
      <c r="AY661" s="69"/>
      <c r="AZ661" s="69"/>
      <c r="BA661" s="69"/>
      <c r="BB661" s="69"/>
      <c r="BC661" s="69"/>
      <c r="BD661" s="69"/>
      <c r="BE661" s="69"/>
      <c r="BF661" s="69"/>
      <c r="BG661" s="69"/>
      <c r="BH661" s="69"/>
      <c r="BI661" s="69"/>
      <c r="BJ661" s="69"/>
      <c r="BK661" s="69"/>
      <c r="BL661" s="69"/>
      <c r="BM661" s="69"/>
      <c r="BN661" s="69"/>
      <c r="BO661" s="69"/>
      <c r="BP661" s="69"/>
      <c r="BQ661" s="69"/>
      <c r="BR661" s="69"/>
      <c r="BS661" s="69"/>
      <c r="BT661" s="69"/>
      <c r="BU661" s="69"/>
      <c r="BV661" s="69"/>
      <c r="BW661" s="69"/>
      <c r="BX661" s="69"/>
      <c r="BY661" s="69"/>
      <c r="BZ661" s="69"/>
      <c r="CA661" s="69"/>
      <c r="CB661" s="69"/>
      <c r="CC661" s="69"/>
      <c r="CD661" s="69"/>
      <c r="CE661" s="94">
        <f t="shared" si="50"/>
        <v>351.75</v>
      </c>
      <c r="CF661" s="151">
        <f t="shared" si="52"/>
        <v>0</v>
      </c>
      <c r="CG661" s="75">
        <f t="shared" si="53"/>
        <v>4511</v>
      </c>
      <c r="CH661" s="69" t="str">
        <f t="shared" si="53"/>
        <v>برنامج دولى</v>
      </c>
    </row>
    <row r="662" spans="1:86" x14ac:dyDescent="0.25">
      <c r="A662" s="148"/>
      <c r="B662" s="82">
        <v>8322</v>
      </c>
      <c r="C662" s="149">
        <v>4512</v>
      </c>
      <c r="D662" s="69" t="s">
        <v>78</v>
      </c>
      <c r="E662" s="69" t="s">
        <v>3315</v>
      </c>
      <c r="F662" s="63"/>
      <c r="G662" s="69">
        <v>13052.28</v>
      </c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  <c r="AD662" s="69"/>
      <c r="AE662" s="69"/>
      <c r="AF662" s="69"/>
      <c r="AG662" s="69"/>
      <c r="AH662" s="69"/>
      <c r="AI662" s="69"/>
      <c r="AJ662" s="69"/>
      <c r="AK662" s="69"/>
      <c r="AL662" s="69"/>
      <c r="AM662" s="69"/>
      <c r="AN662" s="69"/>
      <c r="AO662" s="69"/>
      <c r="AP662" s="69"/>
      <c r="AQ662" s="69"/>
      <c r="AR662" s="94">
        <f t="shared" si="54"/>
        <v>13052.28</v>
      </c>
      <c r="AS662" s="69">
        <v>8712.18</v>
      </c>
      <c r="AT662" s="69">
        <f>82.1+1113.2</f>
        <v>1195.3</v>
      </c>
      <c r="AU662" s="69">
        <v>3144.8</v>
      </c>
      <c r="AV662" s="69"/>
      <c r="AW662" s="69"/>
      <c r="AX662" s="69"/>
      <c r="AY662" s="69"/>
      <c r="AZ662" s="69"/>
      <c r="BA662" s="69"/>
      <c r="BB662" s="69"/>
      <c r="BC662" s="69"/>
      <c r="BD662" s="69"/>
      <c r="BE662" s="69"/>
      <c r="BF662" s="69"/>
      <c r="BG662" s="69"/>
      <c r="BH662" s="69"/>
      <c r="BI662" s="69"/>
      <c r="BJ662" s="69"/>
      <c r="BK662" s="69"/>
      <c r="BL662" s="69"/>
      <c r="BM662" s="69"/>
      <c r="BN662" s="69"/>
      <c r="BO662" s="69"/>
      <c r="BP662" s="69"/>
      <c r="BQ662" s="69"/>
      <c r="BR662" s="69"/>
      <c r="BS662" s="69"/>
      <c r="BT662" s="69"/>
      <c r="BU662" s="69"/>
      <c r="BV662" s="69"/>
      <c r="BW662" s="69"/>
      <c r="BX662" s="69"/>
      <c r="BY662" s="69"/>
      <c r="BZ662" s="69"/>
      <c r="CA662" s="69"/>
      <c r="CB662" s="69"/>
      <c r="CC662" s="69"/>
      <c r="CD662" s="69"/>
      <c r="CE662" s="94">
        <f t="shared" si="50"/>
        <v>13052.279999999999</v>
      </c>
      <c r="CF662" s="151">
        <f t="shared" si="52"/>
        <v>0</v>
      </c>
      <c r="CG662" s="75">
        <f t="shared" si="53"/>
        <v>4512</v>
      </c>
      <c r="CH662" s="69" t="str">
        <f t="shared" si="53"/>
        <v>برنامج دولى</v>
      </c>
    </row>
    <row r="663" spans="1:86" x14ac:dyDescent="0.25">
      <c r="A663" s="148"/>
      <c r="B663" s="82">
        <v>8298</v>
      </c>
      <c r="C663" s="149">
        <v>4513</v>
      </c>
      <c r="D663" s="69" t="s">
        <v>78</v>
      </c>
      <c r="E663" s="69" t="str">
        <f>+E651</f>
        <v>مكافاه منسقين</v>
      </c>
      <c r="F663" s="63"/>
      <c r="G663" s="69">
        <v>4730.95</v>
      </c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  <c r="AD663" s="69"/>
      <c r="AE663" s="69"/>
      <c r="AF663" s="69"/>
      <c r="AG663" s="69"/>
      <c r="AH663" s="69"/>
      <c r="AI663" s="69"/>
      <c r="AJ663" s="69"/>
      <c r="AK663" s="69"/>
      <c r="AL663" s="69"/>
      <c r="AM663" s="69"/>
      <c r="AN663" s="69"/>
      <c r="AO663" s="69"/>
      <c r="AP663" s="69"/>
      <c r="AQ663" s="69"/>
      <c r="AR663" s="94">
        <f t="shared" si="54"/>
        <v>4730.95</v>
      </c>
      <c r="AS663" s="69">
        <v>3719.8</v>
      </c>
      <c r="AT663" s="69">
        <v>469.15</v>
      </c>
      <c r="AU663" s="69">
        <v>542</v>
      </c>
      <c r="AV663" s="69"/>
      <c r="AW663" s="69"/>
      <c r="AX663" s="69"/>
      <c r="AY663" s="69"/>
      <c r="AZ663" s="69"/>
      <c r="BA663" s="69"/>
      <c r="BB663" s="69"/>
      <c r="BC663" s="69"/>
      <c r="BD663" s="69"/>
      <c r="BE663" s="69"/>
      <c r="BF663" s="69"/>
      <c r="BG663" s="69"/>
      <c r="BH663" s="69"/>
      <c r="BI663" s="69"/>
      <c r="BJ663" s="69"/>
      <c r="BK663" s="69"/>
      <c r="BL663" s="69"/>
      <c r="BM663" s="69"/>
      <c r="BN663" s="69"/>
      <c r="BO663" s="69"/>
      <c r="BP663" s="69"/>
      <c r="BQ663" s="69"/>
      <c r="BR663" s="69"/>
      <c r="BS663" s="69"/>
      <c r="BT663" s="69"/>
      <c r="BU663" s="69"/>
      <c r="BV663" s="69"/>
      <c r="BW663" s="69"/>
      <c r="BX663" s="69"/>
      <c r="BY663" s="69"/>
      <c r="BZ663" s="69"/>
      <c r="CA663" s="69"/>
      <c r="CB663" s="69"/>
      <c r="CC663" s="69"/>
      <c r="CD663" s="69"/>
      <c r="CE663" s="94">
        <f t="shared" si="50"/>
        <v>4730.95</v>
      </c>
      <c r="CF663" s="151">
        <f t="shared" si="52"/>
        <v>0</v>
      </c>
      <c r="CG663" s="75">
        <f t="shared" si="53"/>
        <v>4513</v>
      </c>
      <c r="CH663" s="69" t="str">
        <f t="shared" si="53"/>
        <v>برنامج دولى</v>
      </c>
    </row>
    <row r="664" spans="1:86" x14ac:dyDescent="0.25">
      <c r="A664" s="148"/>
      <c r="B664" s="82">
        <v>8302</v>
      </c>
      <c r="C664" s="149">
        <v>4514</v>
      </c>
      <c r="D664" s="69" t="s">
        <v>78</v>
      </c>
      <c r="E664" s="69" t="str">
        <f>+E662</f>
        <v>ايرادات مركز ابحاث نوفمبر</v>
      </c>
      <c r="F664" s="63"/>
      <c r="G664" s="69">
        <v>2600</v>
      </c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  <c r="AD664" s="69"/>
      <c r="AE664" s="69"/>
      <c r="AF664" s="69"/>
      <c r="AG664" s="69"/>
      <c r="AH664" s="69"/>
      <c r="AI664" s="69"/>
      <c r="AJ664" s="69"/>
      <c r="AK664" s="69"/>
      <c r="AL664" s="69"/>
      <c r="AM664" s="69"/>
      <c r="AN664" s="69"/>
      <c r="AO664" s="69"/>
      <c r="AP664" s="69"/>
      <c r="AQ664" s="69"/>
      <c r="AR664" s="94">
        <f t="shared" si="54"/>
        <v>2600</v>
      </c>
      <c r="AS664" s="69">
        <v>2320.85</v>
      </c>
      <c r="AT664" s="69">
        <f>19.15+260</f>
        <v>279.14999999999998</v>
      </c>
      <c r="AU664" s="69"/>
      <c r="AV664" s="69"/>
      <c r="AW664" s="69"/>
      <c r="AX664" s="69"/>
      <c r="AY664" s="69"/>
      <c r="AZ664" s="69"/>
      <c r="BA664" s="69"/>
      <c r="BB664" s="69"/>
      <c r="BC664" s="69"/>
      <c r="BD664" s="69"/>
      <c r="BE664" s="69"/>
      <c r="BF664" s="69"/>
      <c r="BG664" s="69"/>
      <c r="BH664" s="69"/>
      <c r="BI664" s="69"/>
      <c r="BJ664" s="69"/>
      <c r="BK664" s="69"/>
      <c r="BL664" s="69"/>
      <c r="BM664" s="69"/>
      <c r="BN664" s="69"/>
      <c r="BO664" s="69"/>
      <c r="BP664" s="69"/>
      <c r="BQ664" s="69"/>
      <c r="BR664" s="69"/>
      <c r="BS664" s="69"/>
      <c r="BT664" s="69"/>
      <c r="BU664" s="69"/>
      <c r="BV664" s="69"/>
      <c r="BW664" s="69"/>
      <c r="BX664" s="69"/>
      <c r="BY664" s="69"/>
      <c r="BZ664" s="69"/>
      <c r="CA664" s="69"/>
      <c r="CB664" s="69"/>
      <c r="CC664" s="69"/>
      <c r="CD664" s="69"/>
      <c r="CE664" s="94">
        <f t="shared" si="50"/>
        <v>2600</v>
      </c>
      <c r="CF664" s="151">
        <f t="shared" si="52"/>
        <v>0</v>
      </c>
      <c r="CG664" s="75">
        <f t="shared" si="53"/>
        <v>4514</v>
      </c>
      <c r="CH664" s="69" t="str">
        <f t="shared" si="53"/>
        <v>برنامج دولى</v>
      </c>
    </row>
    <row r="665" spans="1:86" x14ac:dyDescent="0.25">
      <c r="A665" s="148"/>
      <c r="B665" s="82">
        <v>8303</v>
      </c>
      <c r="C665" s="149">
        <v>4515</v>
      </c>
      <c r="D665" s="69" t="s">
        <v>78</v>
      </c>
      <c r="E665" s="69" t="s">
        <v>3316</v>
      </c>
      <c r="F665" s="63"/>
      <c r="G665" s="69">
        <v>2814</v>
      </c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  <c r="AE665" s="69"/>
      <c r="AF665" s="69"/>
      <c r="AG665" s="69"/>
      <c r="AH665" s="69"/>
      <c r="AI665" s="69"/>
      <c r="AJ665" s="69"/>
      <c r="AK665" s="69"/>
      <c r="AL665" s="69"/>
      <c r="AM665" s="69"/>
      <c r="AN665" s="69"/>
      <c r="AO665" s="69"/>
      <c r="AP665" s="69"/>
      <c r="AQ665" s="69"/>
      <c r="AR665" s="94">
        <f t="shared" si="54"/>
        <v>2814</v>
      </c>
      <c r="AS665" s="69">
        <v>1880.7</v>
      </c>
      <c r="AT665" s="69">
        <v>255.3</v>
      </c>
      <c r="AU665" s="69">
        <v>678</v>
      </c>
      <c r="AV665" s="69"/>
      <c r="AW665" s="69"/>
      <c r="AX665" s="69"/>
      <c r="AY665" s="69"/>
      <c r="AZ665" s="69"/>
      <c r="BA665" s="69"/>
      <c r="BB665" s="69"/>
      <c r="BC665" s="69"/>
      <c r="BD665" s="69"/>
      <c r="BE665" s="69"/>
      <c r="BF665" s="69"/>
      <c r="BG665" s="69"/>
      <c r="BH665" s="69"/>
      <c r="BI665" s="69"/>
      <c r="BJ665" s="69"/>
      <c r="BK665" s="69"/>
      <c r="BL665" s="69"/>
      <c r="BM665" s="69"/>
      <c r="BN665" s="69"/>
      <c r="BO665" s="69"/>
      <c r="BP665" s="69"/>
      <c r="BQ665" s="69"/>
      <c r="BR665" s="69"/>
      <c r="BS665" s="69"/>
      <c r="BT665" s="69"/>
      <c r="BU665" s="69"/>
      <c r="BV665" s="69"/>
      <c r="BW665" s="69"/>
      <c r="BX665" s="69"/>
      <c r="BY665" s="69"/>
      <c r="BZ665" s="69"/>
      <c r="CA665" s="69"/>
      <c r="CB665" s="69"/>
      <c r="CC665" s="69"/>
      <c r="CD665" s="69"/>
      <c r="CE665" s="94">
        <f t="shared" si="50"/>
        <v>2814</v>
      </c>
      <c r="CF665" s="151">
        <f t="shared" si="52"/>
        <v>0</v>
      </c>
      <c r="CG665" s="75">
        <f t="shared" si="53"/>
        <v>4515</v>
      </c>
      <c r="CH665" s="69" t="str">
        <f t="shared" si="53"/>
        <v>برنامج دولى</v>
      </c>
    </row>
    <row r="666" spans="1:86" x14ac:dyDescent="0.25">
      <c r="A666" s="148"/>
      <c r="B666" s="82">
        <v>8304</v>
      </c>
      <c r="C666" s="149">
        <v>4516</v>
      </c>
      <c r="D666" s="69" t="s">
        <v>78</v>
      </c>
      <c r="E666" s="69" t="s">
        <v>3316</v>
      </c>
      <c r="F666" s="63"/>
      <c r="G666" s="69">
        <v>2814</v>
      </c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  <c r="AD666" s="69"/>
      <c r="AE666" s="69"/>
      <c r="AF666" s="69"/>
      <c r="AG666" s="69"/>
      <c r="AH666" s="69"/>
      <c r="AI666" s="69"/>
      <c r="AJ666" s="69"/>
      <c r="AK666" s="69"/>
      <c r="AL666" s="69"/>
      <c r="AM666" s="69"/>
      <c r="AN666" s="69"/>
      <c r="AO666" s="69"/>
      <c r="AP666" s="69"/>
      <c r="AQ666" s="69"/>
      <c r="AR666" s="94">
        <f t="shared" si="54"/>
        <v>2814</v>
      </c>
      <c r="AS666" s="69">
        <v>1880.7</v>
      </c>
      <c r="AT666" s="69">
        <v>255.3</v>
      </c>
      <c r="AU666" s="69">
        <v>678</v>
      </c>
      <c r="AV666" s="69"/>
      <c r="AW666" s="69"/>
      <c r="AX666" s="69"/>
      <c r="AY666" s="69"/>
      <c r="AZ666" s="69"/>
      <c r="BA666" s="69"/>
      <c r="BB666" s="69"/>
      <c r="BC666" s="69"/>
      <c r="BD666" s="69"/>
      <c r="BE666" s="69"/>
      <c r="BF666" s="69"/>
      <c r="BG666" s="69"/>
      <c r="BH666" s="69"/>
      <c r="BI666" s="69"/>
      <c r="BJ666" s="69"/>
      <c r="BK666" s="69"/>
      <c r="BL666" s="69"/>
      <c r="BM666" s="69"/>
      <c r="BN666" s="69"/>
      <c r="BO666" s="69"/>
      <c r="BP666" s="69"/>
      <c r="BQ666" s="69"/>
      <c r="BR666" s="69"/>
      <c r="BS666" s="69"/>
      <c r="BT666" s="69"/>
      <c r="BU666" s="69"/>
      <c r="BV666" s="69"/>
      <c r="BW666" s="69"/>
      <c r="BX666" s="69"/>
      <c r="BY666" s="69"/>
      <c r="BZ666" s="69"/>
      <c r="CA666" s="69"/>
      <c r="CB666" s="69"/>
      <c r="CC666" s="69"/>
      <c r="CD666" s="69"/>
      <c r="CE666" s="94">
        <f t="shared" si="50"/>
        <v>2814</v>
      </c>
      <c r="CF666" s="151">
        <f t="shared" si="52"/>
        <v>0</v>
      </c>
      <c r="CG666" s="75">
        <f t="shared" si="53"/>
        <v>4516</v>
      </c>
      <c r="CH666" s="69" t="str">
        <f t="shared" si="53"/>
        <v>برنامج دولى</v>
      </c>
    </row>
    <row r="667" spans="1:86" x14ac:dyDescent="0.25">
      <c r="A667" s="148"/>
      <c r="B667" s="82">
        <v>8305</v>
      </c>
      <c r="C667" s="149">
        <v>4517</v>
      </c>
      <c r="D667" s="69" t="s">
        <v>78</v>
      </c>
      <c r="E667" s="69" t="s">
        <v>3317</v>
      </c>
      <c r="F667" s="63"/>
      <c r="G667" s="69">
        <v>1407</v>
      </c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  <c r="AD667" s="69"/>
      <c r="AE667" s="69"/>
      <c r="AF667" s="69"/>
      <c r="AG667" s="69"/>
      <c r="AH667" s="69"/>
      <c r="AI667" s="69"/>
      <c r="AJ667" s="69"/>
      <c r="AK667" s="69"/>
      <c r="AL667" s="69"/>
      <c r="AM667" s="69"/>
      <c r="AN667" s="69"/>
      <c r="AO667" s="69"/>
      <c r="AP667" s="69"/>
      <c r="AQ667" s="69"/>
      <c r="AR667" s="94">
        <f t="shared" si="54"/>
        <v>1407</v>
      </c>
      <c r="AS667" s="69">
        <v>941.2</v>
      </c>
      <c r="AT667" s="69">
        <v>126.8</v>
      </c>
      <c r="AU667" s="69">
        <v>339</v>
      </c>
      <c r="AV667" s="69"/>
      <c r="AW667" s="69"/>
      <c r="AX667" s="69"/>
      <c r="AY667" s="69"/>
      <c r="AZ667" s="69"/>
      <c r="BA667" s="69"/>
      <c r="BB667" s="69"/>
      <c r="BC667" s="69"/>
      <c r="BD667" s="69"/>
      <c r="BE667" s="69"/>
      <c r="BF667" s="69"/>
      <c r="BG667" s="69"/>
      <c r="BH667" s="69"/>
      <c r="BI667" s="69"/>
      <c r="BJ667" s="69"/>
      <c r="BK667" s="69"/>
      <c r="BL667" s="69"/>
      <c r="BM667" s="69"/>
      <c r="BN667" s="69"/>
      <c r="BO667" s="69"/>
      <c r="BP667" s="69"/>
      <c r="BQ667" s="69"/>
      <c r="BR667" s="69"/>
      <c r="BS667" s="69"/>
      <c r="BT667" s="69"/>
      <c r="BU667" s="69"/>
      <c r="BV667" s="69"/>
      <c r="BW667" s="69"/>
      <c r="BX667" s="69"/>
      <c r="BY667" s="69"/>
      <c r="BZ667" s="69"/>
      <c r="CA667" s="69"/>
      <c r="CB667" s="69"/>
      <c r="CC667" s="69"/>
      <c r="CD667" s="69"/>
      <c r="CE667" s="94">
        <f t="shared" ref="CE667:CE684" si="55">SUM(AS667:CD667)</f>
        <v>1407</v>
      </c>
      <c r="CF667" s="151">
        <f t="shared" si="52"/>
        <v>0</v>
      </c>
      <c r="CG667" s="75">
        <f t="shared" si="53"/>
        <v>4517</v>
      </c>
      <c r="CH667" s="69" t="str">
        <f t="shared" si="53"/>
        <v>برنامج دولى</v>
      </c>
    </row>
    <row r="668" spans="1:86" x14ac:dyDescent="0.25">
      <c r="A668" s="148"/>
      <c r="B668" s="82">
        <v>8306</v>
      </c>
      <c r="C668" s="149">
        <v>4518</v>
      </c>
      <c r="D668" s="69" t="s">
        <v>78</v>
      </c>
      <c r="E668" s="69" t="s">
        <v>3317</v>
      </c>
      <c r="F668" s="63"/>
      <c r="G668" s="69">
        <v>703.5</v>
      </c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  <c r="AD668" s="69"/>
      <c r="AE668" s="69"/>
      <c r="AF668" s="69"/>
      <c r="AG668" s="69"/>
      <c r="AH668" s="69"/>
      <c r="AI668" s="69"/>
      <c r="AJ668" s="69"/>
      <c r="AK668" s="69"/>
      <c r="AL668" s="69"/>
      <c r="AM668" s="69"/>
      <c r="AN668" s="69"/>
      <c r="AO668" s="69"/>
      <c r="AP668" s="69"/>
      <c r="AQ668" s="69"/>
      <c r="AR668" s="94">
        <f t="shared" si="54"/>
        <v>703.5</v>
      </c>
      <c r="AS668" s="69">
        <v>470.6</v>
      </c>
      <c r="AT668" s="69">
        <v>63.4</v>
      </c>
      <c r="AU668" s="69">
        <v>169.5</v>
      </c>
      <c r="AV668" s="69"/>
      <c r="AW668" s="69"/>
      <c r="AX668" s="69"/>
      <c r="AY668" s="69"/>
      <c r="AZ668" s="69"/>
      <c r="BA668" s="69"/>
      <c r="BB668" s="69"/>
      <c r="BC668" s="69"/>
      <c r="BD668" s="69"/>
      <c r="BE668" s="69"/>
      <c r="BF668" s="69"/>
      <c r="BG668" s="69"/>
      <c r="BH668" s="69"/>
      <c r="BI668" s="69"/>
      <c r="BJ668" s="69"/>
      <c r="BK668" s="69"/>
      <c r="BL668" s="69"/>
      <c r="BM668" s="69"/>
      <c r="BN668" s="69"/>
      <c r="BO668" s="69"/>
      <c r="BP668" s="69"/>
      <c r="BQ668" s="69"/>
      <c r="BR668" s="69"/>
      <c r="BS668" s="69"/>
      <c r="BT668" s="69"/>
      <c r="BU668" s="69"/>
      <c r="BV668" s="69"/>
      <c r="BW668" s="69"/>
      <c r="BX668" s="69"/>
      <c r="BY668" s="69"/>
      <c r="BZ668" s="69"/>
      <c r="CA668" s="69"/>
      <c r="CB668" s="69"/>
      <c r="CC668" s="69"/>
      <c r="CD668" s="69"/>
      <c r="CE668" s="94">
        <f t="shared" si="55"/>
        <v>703.5</v>
      </c>
      <c r="CF668" s="151">
        <f t="shared" si="52"/>
        <v>0</v>
      </c>
      <c r="CG668" s="75">
        <f t="shared" si="53"/>
        <v>4518</v>
      </c>
      <c r="CH668" s="69" t="str">
        <f t="shared" si="53"/>
        <v>برنامج دولى</v>
      </c>
    </row>
    <row r="669" spans="1:86" x14ac:dyDescent="0.25">
      <c r="A669" s="148"/>
      <c r="B669" s="82">
        <v>8307</v>
      </c>
      <c r="C669" s="149">
        <v>4519</v>
      </c>
      <c r="D669" s="69" t="s">
        <v>78</v>
      </c>
      <c r="E669" s="69" t="s">
        <v>3317</v>
      </c>
      <c r="F669" s="63"/>
      <c r="G669" s="69">
        <v>703.5</v>
      </c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  <c r="AD669" s="69"/>
      <c r="AE669" s="69"/>
      <c r="AF669" s="69"/>
      <c r="AG669" s="69"/>
      <c r="AH669" s="69"/>
      <c r="AI669" s="69"/>
      <c r="AJ669" s="69"/>
      <c r="AK669" s="69"/>
      <c r="AL669" s="69"/>
      <c r="AM669" s="69"/>
      <c r="AN669" s="69"/>
      <c r="AO669" s="69"/>
      <c r="AP669" s="69"/>
      <c r="AQ669" s="69"/>
      <c r="AR669" s="94">
        <f t="shared" si="54"/>
        <v>703.5</v>
      </c>
      <c r="AS669" s="69">
        <v>470.6</v>
      </c>
      <c r="AT669" s="69">
        <v>63.4</v>
      </c>
      <c r="AU669" s="69">
        <v>169.5</v>
      </c>
      <c r="AV669" s="69"/>
      <c r="AW669" s="69"/>
      <c r="AX669" s="69"/>
      <c r="AY669" s="69"/>
      <c r="AZ669" s="69"/>
      <c r="BA669" s="69"/>
      <c r="BB669" s="69"/>
      <c r="BC669" s="69"/>
      <c r="BD669" s="69"/>
      <c r="BE669" s="69"/>
      <c r="BF669" s="69"/>
      <c r="BG669" s="69"/>
      <c r="BH669" s="69"/>
      <c r="BI669" s="69"/>
      <c r="BJ669" s="69"/>
      <c r="BK669" s="69"/>
      <c r="BL669" s="69"/>
      <c r="BM669" s="69"/>
      <c r="BN669" s="69"/>
      <c r="BO669" s="69"/>
      <c r="BP669" s="69"/>
      <c r="BQ669" s="69"/>
      <c r="BR669" s="69"/>
      <c r="BS669" s="69"/>
      <c r="BT669" s="69"/>
      <c r="BU669" s="69"/>
      <c r="BV669" s="69"/>
      <c r="BW669" s="69"/>
      <c r="BX669" s="69"/>
      <c r="BY669" s="69"/>
      <c r="BZ669" s="69"/>
      <c r="CA669" s="69"/>
      <c r="CB669" s="69"/>
      <c r="CC669" s="69"/>
      <c r="CD669" s="69"/>
      <c r="CE669" s="94">
        <f t="shared" si="55"/>
        <v>703.5</v>
      </c>
      <c r="CF669" s="151">
        <f t="shared" si="52"/>
        <v>0</v>
      </c>
      <c r="CG669" s="75">
        <f t="shared" si="53"/>
        <v>4519</v>
      </c>
      <c r="CH669" s="69" t="str">
        <f t="shared" si="53"/>
        <v>برنامج دولى</v>
      </c>
    </row>
    <row r="670" spans="1:86" x14ac:dyDescent="0.25">
      <c r="A670" s="148"/>
      <c r="B670" s="82">
        <v>8308</v>
      </c>
      <c r="C670" s="149">
        <v>4520</v>
      </c>
      <c r="D670" s="69" t="s">
        <v>78</v>
      </c>
      <c r="E670" s="69" t="s">
        <v>3317</v>
      </c>
      <c r="F670" s="63"/>
      <c r="G670" s="69">
        <v>703.5</v>
      </c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  <c r="AD670" s="69"/>
      <c r="AE670" s="69"/>
      <c r="AF670" s="69"/>
      <c r="AG670" s="69"/>
      <c r="AH670" s="69"/>
      <c r="AI670" s="69"/>
      <c r="AJ670" s="69"/>
      <c r="AK670" s="69"/>
      <c r="AL670" s="69"/>
      <c r="AM670" s="69"/>
      <c r="AN670" s="69"/>
      <c r="AO670" s="69"/>
      <c r="AP670" s="69"/>
      <c r="AQ670" s="69"/>
      <c r="AR670" s="94">
        <f t="shared" si="54"/>
        <v>703.5</v>
      </c>
      <c r="AS670" s="69">
        <v>470.6</v>
      </c>
      <c r="AT670" s="69">
        <v>63.4</v>
      </c>
      <c r="AU670" s="69">
        <v>169.5</v>
      </c>
      <c r="AV670" s="69"/>
      <c r="AW670" s="69"/>
      <c r="AX670" s="69"/>
      <c r="AY670" s="69"/>
      <c r="AZ670" s="69"/>
      <c r="BA670" s="69"/>
      <c r="BB670" s="69"/>
      <c r="BC670" s="69"/>
      <c r="BD670" s="69"/>
      <c r="BE670" s="69"/>
      <c r="BF670" s="69"/>
      <c r="BG670" s="69"/>
      <c r="BH670" s="69"/>
      <c r="BI670" s="69"/>
      <c r="BJ670" s="69"/>
      <c r="BK670" s="69"/>
      <c r="BL670" s="69"/>
      <c r="BM670" s="69"/>
      <c r="BN670" s="69"/>
      <c r="BO670" s="69"/>
      <c r="BP670" s="69"/>
      <c r="BQ670" s="69"/>
      <c r="BR670" s="69"/>
      <c r="BS670" s="69"/>
      <c r="BT670" s="69"/>
      <c r="BU670" s="69"/>
      <c r="BV670" s="69"/>
      <c r="BW670" s="69"/>
      <c r="BX670" s="69"/>
      <c r="BY670" s="69"/>
      <c r="BZ670" s="69"/>
      <c r="CA670" s="69"/>
      <c r="CB670" s="69"/>
      <c r="CC670" s="69"/>
      <c r="CD670" s="69"/>
      <c r="CE670" s="94">
        <f t="shared" si="55"/>
        <v>703.5</v>
      </c>
      <c r="CF670" s="151">
        <f t="shared" ref="CF670:CF733" si="56">+CE670-AR670</f>
        <v>0</v>
      </c>
      <c r="CG670" s="75">
        <f t="shared" si="53"/>
        <v>4520</v>
      </c>
      <c r="CH670" s="69" t="str">
        <f t="shared" si="53"/>
        <v>برنامج دولى</v>
      </c>
    </row>
    <row r="671" spans="1:86" x14ac:dyDescent="0.25">
      <c r="A671" s="148"/>
      <c r="B671" s="82"/>
      <c r="C671" s="149">
        <v>4521</v>
      </c>
      <c r="D671" s="69" t="s">
        <v>1431</v>
      </c>
      <c r="E671" s="69" t="s">
        <v>899</v>
      </c>
      <c r="F671" s="63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  <c r="AD671" s="69"/>
      <c r="AE671" s="69"/>
      <c r="AF671" s="69"/>
      <c r="AG671" s="69"/>
      <c r="AH671" s="69"/>
      <c r="AI671" s="69"/>
      <c r="AJ671" s="69"/>
      <c r="AK671" s="69"/>
      <c r="AL671" s="69"/>
      <c r="AM671" s="69"/>
      <c r="AN671" s="69"/>
      <c r="AO671" s="69"/>
      <c r="AP671" s="69"/>
      <c r="AQ671" s="69"/>
      <c r="AR671" s="94">
        <f t="shared" si="54"/>
        <v>0</v>
      </c>
      <c r="AV671" s="69"/>
      <c r="AW671" s="69"/>
      <c r="AX671" s="69"/>
      <c r="AY671" s="69"/>
      <c r="AZ671" s="69"/>
      <c r="BA671" s="69"/>
      <c r="BB671" s="69"/>
      <c r="BC671" s="69"/>
      <c r="BD671" s="69"/>
      <c r="BE671" s="69"/>
      <c r="BF671" s="69"/>
      <c r="BG671" s="69"/>
      <c r="BH671" s="69"/>
      <c r="BI671" s="69"/>
      <c r="BJ671" s="69"/>
      <c r="BK671" s="69"/>
      <c r="BL671" s="69"/>
      <c r="BM671" s="69"/>
      <c r="BN671" s="69"/>
      <c r="BO671" s="69"/>
      <c r="BP671" s="69"/>
      <c r="BQ671" s="69"/>
      <c r="BR671" s="69"/>
      <c r="BS671" s="69"/>
      <c r="BT671" s="69"/>
      <c r="BU671" s="69"/>
      <c r="BV671" s="69"/>
      <c r="BW671" s="69"/>
      <c r="BX671" s="69"/>
      <c r="BY671" s="69"/>
      <c r="BZ671" s="69"/>
      <c r="CA671" s="69"/>
      <c r="CB671" s="69"/>
      <c r="CC671" s="69"/>
      <c r="CD671" s="69"/>
      <c r="CE671" s="94">
        <f t="shared" si="55"/>
        <v>0</v>
      </c>
      <c r="CF671" s="151">
        <f t="shared" si="56"/>
        <v>0</v>
      </c>
      <c r="CG671" s="75">
        <f t="shared" si="53"/>
        <v>4521</v>
      </c>
      <c r="CH671" s="69" t="str">
        <f t="shared" si="53"/>
        <v>لاب فقط</v>
      </c>
    </row>
    <row r="672" spans="1:86" x14ac:dyDescent="0.25">
      <c r="A672" s="148"/>
      <c r="B672" s="82">
        <v>8310</v>
      </c>
      <c r="C672" s="149">
        <v>4522</v>
      </c>
      <c r="D672" s="69" t="s">
        <v>78</v>
      </c>
      <c r="E672" s="69" t="s">
        <v>3318</v>
      </c>
      <c r="F672" s="63"/>
      <c r="G672" s="69">
        <v>6448.76</v>
      </c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  <c r="AD672" s="69"/>
      <c r="AE672" s="69"/>
      <c r="AF672" s="69"/>
      <c r="AG672" s="69"/>
      <c r="AH672" s="69"/>
      <c r="AI672" s="69"/>
      <c r="AJ672" s="69"/>
      <c r="AK672" s="69"/>
      <c r="AL672" s="69"/>
      <c r="AM672" s="69"/>
      <c r="AN672" s="69"/>
      <c r="AO672" s="69"/>
      <c r="AP672" s="69"/>
      <c r="AQ672" s="69"/>
      <c r="AR672" s="94">
        <f t="shared" si="54"/>
        <v>6448.76</v>
      </c>
      <c r="AS672" s="69">
        <v>4312.6000000000004</v>
      </c>
      <c r="AT672" s="69">
        <v>582.4</v>
      </c>
      <c r="AU672" s="69">
        <v>1553.76</v>
      </c>
      <c r="AV672" s="69"/>
      <c r="AW672" s="69"/>
      <c r="AX672" s="69"/>
      <c r="AY672" s="69"/>
      <c r="AZ672" s="69"/>
      <c r="BA672" s="69"/>
      <c r="BB672" s="69"/>
      <c r="BC672" s="69"/>
      <c r="BD672" s="69"/>
      <c r="BE672" s="69"/>
      <c r="BF672" s="69"/>
      <c r="BG672" s="69"/>
      <c r="BH672" s="69"/>
      <c r="BI672" s="69"/>
      <c r="BJ672" s="69"/>
      <c r="BK672" s="69"/>
      <c r="BL672" s="69"/>
      <c r="BM672" s="69"/>
      <c r="BN672" s="69"/>
      <c r="BO672" s="69"/>
      <c r="BP672" s="69"/>
      <c r="BQ672" s="69"/>
      <c r="BR672" s="69"/>
      <c r="BS672" s="69"/>
      <c r="BT672" s="69"/>
      <c r="BU672" s="69"/>
      <c r="BV672" s="69"/>
      <c r="BW672" s="69"/>
      <c r="BX672" s="69"/>
      <c r="BY672" s="69"/>
      <c r="BZ672" s="69"/>
      <c r="CA672" s="69"/>
      <c r="CB672" s="69"/>
      <c r="CC672" s="69"/>
      <c r="CD672" s="69"/>
      <c r="CE672" s="94">
        <f t="shared" si="55"/>
        <v>6448.76</v>
      </c>
      <c r="CF672" s="151">
        <f t="shared" si="56"/>
        <v>0</v>
      </c>
      <c r="CG672" s="75">
        <f t="shared" si="53"/>
        <v>4522</v>
      </c>
      <c r="CH672" s="69" t="str">
        <f t="shared" si="53"/>
        <v>برنامج دولى</v>
      </c>
    </row>
    <row r="673" spans="1:86" x14ac:dyDescent="0.25">
      <c r="A673" s="148"/>
      <c r="B673" s="82">
        <v>8311</v>
      </c>
      <c r="C673" s="149">
        <v>4523</v>
      </c>
      <c r="D673" s="69" t="s">
        <v>78</v>
      </c>
      <c r="E673" s="69" t="s">
        <v>3318</v>
      </c>
      <c r="F673" s="63"/>
      <c r="G673" s="69">
        <v>1407</v>
      </c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  <c r="AD673" s="69"/>
      <c r="AE673" s="69"/>
      <c r="AF673" s="69"/>
      <c r="AG673" s="69"/>
      <c r="AH673" s="69"/>
      <c r="AI673" s="69"/>
      <c r="AJ673" s="69"/>
      <c r="AK673" s="69"/>
      <c r="AL673" s="69"/>
      <c r="AM673" s="69"/>
      <c r="AN673" s="69"/>
      <c r="AO673" s="69"/>
      <c r="AP673" s="69"/>
      <c r="AQ673" s="69"/>
      <c r="AR673" s="94">
        <f t="shared" si="54"/>
        <v>1407</v>
      </c>
      <c r="AS673" s="69">
        <v>941.2</v>
      </c>
      <c r="AT673" s="69">
        <v>126.8</v>
      </c>
      <c r="AU673" s="69">
        <v>339</v>
      </c>
      <c r="AV673" s="69"/>
      <c r="AW673" s="69"/>
      <c r="AX673" s="69"/>
      <c r="AY673" s="69"/>
      <c r="AZ673" s="69"/>
      <c r="BA673" s="69"/>
      <c r="BB673" s="69"/>
      <c r="BC673" s="69"/>
      <c r="BD673" s="69"/>
      <c r="BE673" s="69"/>
      <c r="BF673" s="69"/>
      <c r="BG673" s="69"/>
      <c r="BH673" s="69"/>
      <c r="BI673" s="69"/>
      <c r="BJ673" s="69"/>
      <c r="BK673" s="69"/>
      <c r="BL673" s="69"/>
      <c r="BM673" s="69"/>
      <c r="BN673" s="69"/>
      <c r="BO673" s="69"/>
      <c r="BP673" s="69"/>
      <c r="BQ673" s="69"/>
      <c r="BR673" s="69"/>
      <c r="BS673" s="69"/>
      <c r="BT673" s="69"/>
      <c r="BU673" s="69"/>
      <c r="BV673" s="69"/>
      <c r="BW673" s="69"/>
      <c r="BX673" s="69"/>
      <c r="BY673" s="69"/>
      <c r="BZ673" s="69"/>
      <c r="CA673" s="69"/>
      <c r="CB673" s="69"/>
      <c r="CC673" s="69"/>
      <c r="CD673" s="69"/>
      <c r="CE673" s="94">
        <f t="shared" si="55"/>
        <v>1407</v>
      </c>
      <c r="CF673" s="151">
        <f t="shared" si="56"/>
        <v>0</v>
      </c>
      <c r="CG673" s="75">
        <f t="shared" si="53"/>
        <v>4523</v>
      </c>
      <c r="CH673" s="69" t="str">
        <f t="shared" si="53"/>
        <v>برنامج دولى</v>
      </c>
    </row>
    <row r="674" spans="1:86" x14ac:dyDescent="0.25">
      <c r="A674" s="148"/>
      <c r="B674" s="82">
        <v>8312</v>
      </c>
      <c r="C674" s="149">
        <v>4524</v>
      </c>
      <c r="D674" s="69" t="s">
        <v>78</v>
      </c>
      <c r="E674" s="69" t="s">
        <v>2099</v>
      </c>
      <c r="F674" s="63"/>
      <c r="G674" s="69">
        <v>879.38</v>
      </c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  <c r="AD674" s="69"/>
      <c r="AE674" s="69"/>
      <c r="AF674" s="69"/>
      <c r="AG674" s="69"/>
      <c r="AH674" s="69"/>
      <c r="AI674" s="69"/>
      <c r="AJ674" s="69"/>
      <c r="AK674" s="69"/>
      <c r="AL674" s="69"/>
      <c r="AM674" s="69"/>
      <c r="AN674" s="69"/>
      <c r="AO674" s="69"/>
      <c r="AP674" s="69"/>
      <c r="AQ674" s="69"/>
      <c r="AR674" s="94">
        <f t="shared" si="54"/>
        <v>879.38</v>
      </c>
      <c r="AS674" s="69">
        <v>588.15</v>
      </c>
      <c r="AT674" s="69">
        <v>79.349999999999994</v>
      </c>
      <c r="AU674" s="69">
        <v>211.88</v>
      </c>
      <c r="AV674" s="69"/>
      <c r="AW674" s="69"/>
      <c r="AX674" s="69"/>
      <c r="AY674" s="69"/>
      <c r="AZ674" s="69"/>
      <c r="BA674" s="69"/>
      <c r="BB674" s="69"/>
      <c r="BC674" s="69"/>
      <c r="BD674" s="69"/>
      <c r="BE674" s="69"/>
      <c r="BF674" s="69"/>
      <c r="BG674" s="69"/>
      <c r="BH674" s="69"/>
      <c r="BI674" s="69"/>
      <c r="BJ674" s="69"/>
      <c r="BK674" s="69"/>
      <c r="BL674" s="69"/>
      <c r="BM674" s="69"/>
      <c r="BN674" s="69"/>
      <c r="BO674" s="69"/>
      <c r="BP674" s="69"/>
      <c r="BQ674" s="69"/>
      <c r="BR674" s="69"/>
      <c r="BS674" s="69"/>
      <c r="BT674" s="69"/>
      <c r="BU674" s="69"/>
      <c r="BV674" s="69"/>
      <c r="BW674" s="69"/>
      <c r="BX674" s="69"/>
      <c r="BY674" s="69"/>
      <c r="BZ674" s="69"/>
      <c r="CA674" s="69"/>
      <c r="CB674" s="69"/>
      <c r="CC674" s="69"/>
      <c r="CD674" s="69"/>
      <c r="CE674" s="94">
        <f t="shared" si="55"/>
        <v>879.38</v>
      </c>
      <c r="CF674" s="151">
        <f t="shared" si="56"/>
        <v>0</v>
      </c>
      <c r="CG674" s="75">
        <f t="shared" si="53"/>
        <v>4524</v>
      </c>
      <c r="CH674" s="69" t="str">
        <f t="shared" si="53"/>
        <v>برنامج دولى</v>
      </c>
    </row>
    <row r="675" spans="1:86" x14ac:dyDescent="0.25">
      <c r="A675" s="148"/>
      <c r="B675" s="82">
        <v>8313</v>
      </c>
      <c r="C675" s="149">
        <v>4525</v>
      </c>
      <c r="D675" s="69" t="s">
        <v>78</v>
      </c>
      <c r="E675" s="69" t="s">
        <v>3319</v>
      </c>
      <c r="F675" s="63"/>
      <c r="G675" s="69">
        <v>938</v>
      </c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  <c r="AD675" s="69"/>
      <c r="AE675" s="69"/>
      <c r="AF675" s="69"/>
      <c r="AG675" s="69"/>
      <c r="AH675" s="69"/>
      <c r="AI675" s="69"/>
      <c r="AJ675" s="69"/>
      <c r="AK675" s="69"/>
      <c r="AL675" s="69"/>
      <c r="AM675" s="69"/>
      <c r="AN675" s="69"/>
      <c r="AO675" s="69"/>
      <c r="AP675" s="69"/>
      <c r="AQ675" s="69"/>
      <c r="AR675" s="94">
        <f t="shared" si="54"/>
        <v>938</v>
      </c>
      <c r="AS675" s="69">
        <v>627.35</v>
      </c>
      <c r="AT675" s="69">
        <v>84.65</v>
      </c>
      <c r="AU675" s="69">
        <v>226</v>
      </c>
      <c r="AV675" s="69"/>
      <c r="AW675" s="69"/>
      <c r="AX675" s="69"/>
      <c r="AY675" s="69"/>
      <c r="AZ675" s="69"/>
      <c r="BA675" s="69"/>
      <c r="BB675" s="69"/>
      <c r="BC675" s="69"/>
      <c r="BD675" s="69"/>
      <c r="BE675" s="69"/>
      <c r="BF675" s="69"/>
      <c r="BG675" s="69"/>
      <c r="BH675" s="69"/>
      <c r="BI675" s="69"/>
      <c r="BJ675" s="69"/>
      <c r="BK675" s="69"/>
      <c r="BL675" s="69"/>
      <c r="BM675" s="69"/>
      <c r="BN675" s="69"/>
      <c r="BO675" s="69"/>
      <c r="BP675" s="69"/>
      <c r="BQ675" s="69"/>
      <c r="BR675" s="69"/>
      <c r="BS675" s="69"/>
      <c r="BT675" s="69"/>
      <c r="BU675" s="69"/>
      <c r="BV675" s="69"/>
      <c r="BW675" s="69"/>
      <c r="BX675" s="69"/>
      <c r="BY675" s="69"/>
      <c r="BZ675" s="69"/>
      <c r="CA675" s="69"/>
      <c r="CB675" s="69"/>
      <c r="CC675" s="69"/>
      <c r="CD675" s="69"/>
      <c r="CE675" s="94">
        <f t="shared" si="55"/>
        <v>938</v>
      </c>
      <c r="CF675" s="151">
        <f t="shared" si="56"/>
        <v>0</v>
      </c>
      <c r="CG675" s="75">
        <f t="shared" si="53"/>
        <v>4525</v>
      </c>
      <c r="CH675" s="69" t="str">
        <f t="shared" si="53"/>
        <v>برنامج دولى</v>
      </c>
    </row>
    <row r="676" spans="1:86" x14ac:dyDescent="0.25">
      <c r="A676" s="148"/>
      <c r="B676" s="82">
        <v>8314</v>
      </c>
      <c r="C676" s="149">
        <v>4526</v>
      </c>
      <c r="D676" s="69" t="s">
        <v>78</v>
      </c>
      <c r="E676" s="69" t="s">
        <v>3320</v>
      </c>
      <c r="F676" s="63"/>
      <c r="G676" s="69">
        <v>7269.5</v>
      </c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  <c r="AD676" s="69"/>
      <c r="AE676" s="69"/>
      <c r="AF676" s="69"/>
      <c r="AG676" s="69"/>
      <c r="AH676" s="69"/>
      <c r="AI676" s="69"/>
      <c r="AJ676" s="69"/>
      <c r="AK676" s="69"/>
      <c r="AL676" s="69"/>
      <c r="AM676" s="69"/>
      <c r="AN676" s="69"/>
      <c r="AO676" s="69"/>
      <c r="AP676" s="69"/>
      <c r="AQ676" s="69"/>
      <c r="AR676" s="94">
        <f t="shared" si="54"/>
        <v>7269.5</v>
      </c>
      <c r="AS676" s="69">
        <v>4860.8500000000004</v>
      </c>
      <c r="AT676" s="69">
        <v>657.15</v>
      </c>
      <c r="AU676" s="69">
        <v>1751.5</v>
      </c>
      <c r="AV676" s="69"/>
      <c r="AW676" s="69"/>
      <c r="AX676" s="69"/>
      <c r="AY676" s="69"/>
      <c r="AZ676" s="69"/>
      <c r="BA676" s="69"/>
      <c r="BB676" s="69"/>
      <c r="BC676" s="69"/>
      <c r="BD676" s="69"/>
      <c r="BE676" s="69"/>
      <c r="BF676" s="69"/>
      <c r="BG676" s="69"/>
      <c r="BH676" s="69"/>
      <c r="BI676" s="69"/>
      <c r="BJ676" s="69"/>
      <c r="BK676" s="69"/>
      <c r="BL676" s="69"/>
      <c r="BM676" s="69"/>
      <c r="BN676" s="69"/>
      <c r="BO676" s="69"/>
      <c r="BP676" s="69"/>
      <c r="BQ676" s="69"/>
      <c r="BR676" s="69"/>
      <c r="BS676" s="69"/>
      <c r="BT676" s="69"/>
      <c r="BU676" s="69"/>
      <c r="BV676" s="69"/>
      <c r="BW676" s="69"/>
      <c r="BX676" s="69"/>
      <c r="BY676" s="69"/>
      <c r="BZ676" s="69"/>
      <c r="CA676" s="69"/>
      <c r="CB676" s="69"/>
      <c r="CC676" s="69"/>
      <c r="CD676" s="69"/>
      <c r="CE676" s="94">
        <f t="shared" si="55"/>
        <v>7269.5</v>
      </c>
      <c r="CF676" s="151">
        <f t="shared" si="56"/>
        <v>0</v>
      </c>
      <c r="CG676" s="75">
        <f t="shared" si="53"/>
        <v>4526</v>
      </c>
      <c r="CH676" s="69" t="str">
        <f t="shared" si="53"/>
        <v>برنامج دولى</v>
      </c>
    </row>
    <row r="677" spans="1:86" x14ac:dyDescent="0.25">
      <c r="A677" s="148"/>
      <c r="B677" s="82">
        <v>8315</v>
      </c>
      <c r="C677" s="149">
        <v>4527</v>
      </c>
      <c r="D677" s="69" t="s">
        <v>78</v>
      </c>
      <c r="E677" s="69" t="s">
        <v>3320</v>
      </c>
      <c r="F677" s="63"/>
      <c r="G677" s="69">
        <v>2579.5</v>
      </c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  <c r="AD677" s="69"/>
      <c r="AE677" s="69"/>
      <c r="AF677" s="69"/>
      <c r="AG677" s="69"/>
      <c r="AH677" s="69"/>
      <c r="AI677" s="69"/>
      <c r="AJ677" s="69"/>
      <c r="AK677" s="69"/>
      <c r="AL677" s="69"/>
      <c r="AM677" s="69"/>
      <c r="AN677" s="69"/>
      <c r="AO677" s="69"/>
      <c r="AP677" s="69"/>
      <c r="AQ677" s="69"/>
      <c r="AR677" s="94">
        <f t="shared" si="54"/>
        <v>2579.5</v>
      </c>
      <c r="AS677" s="69">
        <v>1724.45</v>
      </c>
      <c r="AT677" s="69">
        <v>233.55</v>
      </c>
      <c r="AU677" s="69">
        <v>621.5</v>
      </c>
      <c r="AV677" s="69"/>
      <c r="AW677" s="69"/>
      <c r="AX677" s="69"/>
      <c r="AY677" s="69"/>
      <c r="AZ677" s="69"/>
      <c r="BA677" s="69"/>
      <c r="BB677" s="69"/>
      <c r="BC677" s="69"/>
      <c r="BD677" s="69"/>
      <c r="BE677" s="69"/>
      <c r="BF677" s="69"/>
      <c r="BG677" s="69"/>
      <c r="BH677" s="69"/>
      <c r="BI677" s="69"/>
      <c r="BJ677" s="69"/>
      <c r="BK677" s="69"/>
      <c r="BL677" s="69"/>
      <c r="BM677" s="69"/>
      <c r="BN677" s="69"/>
      <c r="BO677" s="69"/>
      <c r="BP677" s="69"/>
      <c r="BQ677" s="69"/>
      <c r="BR677" s="69"/>
      <c r="BS677" s="69"/>
      <c r="BT677" s="69"/>
      <c r="BU677" s="69"/>
      <c r="BV677" s="69"/>
      <c r="BW677" s="69"/>
      <c r="BX677" s="69"/>
      <c r="BY677" s="69"/>
      <c r="BZ677" s="69"/>
      <c r="CA677" s="69"/>
      <c r="CB677" s="69"/>
      <c r="CC677" s="69"/>
      <c r="CD677" s="69"/>
      <c r="CE677" s="94">
        <f t="shared" si="55"/>
        <v>2579.5</v>
      </c>
      <c r="CF677" s="151">
        <f t="shared" si="56"/>
        <v>0</v>
      </c>
      <c r="CG677" s="75">
        <f t="shared" si="53"/>
        <v>4527</v>
      </c>
      <c r="CH677" s="69" t="str">
        <f t="shared" si="53"/>
        <v>برنامج دولى</v>
      </c>
    </row>
    <row r="678" spans="1:86" x14ac:dyDescent="0.25">
      <c r="A678" s="148"/>
      <c r="B678" s="82">
        <v>8316</v>
      </c>
      <c r="C678" s="149">
        <v>4528</v>
      </c>
      <c r="D678" s="69" t="s">
        <v>78</v>
      </c>
      <c r="E678" s="69" t="str">
        <f>+E675</f>
        <v>مكافاه اعمال اضافيه ابحاث طبيه</v>
      </c>
      <c r="F678" s="63"/>
      <c r="G678" s="69">
        <v>1172.5</v>
      </c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  <c r="AD678" s="69"/>
      <c r="AE678" s="69"/>
      <c r="AF678" s="69"/>
      <c r="AG678" s="69"/>
      <c r="AH678" s="69"/>
      <c r="AI678" s="69"/>
      <c r="AJ678" s="69"/>
      <c r="AK678" s="69"/>
      <c r="AL678" s="69"/>
      <c r="AM678" s="69"/>
      <c r="AN678" s="69"/>
      <c r="AO678" s="69"/>
      <c r="AP678" s="69"/>
      <c r="AQ678" s="69"/>
      <c r="AR678" s="94">
        <f t="shared" si="54"/>
        <v>1172.5</v>
      </c>
      <c r="AS678" s="69">
        <v>784.1</v>
      </c>
      <c r="AT678" s="69">
        <v>105.9</v>
      </c>
      <c r="AU678" s="69">
        <v>282.5</v>
      </c>
      <c r="AV678" s="69"/>
      <c r="AW678" s="69"/>
      <c r="AX678" s="69"/>
      <c r="AY678" s="69"/>
      <c r="AZ678" s="69"/>
      <c r="BA678" s="69"/>
      <c r="BB678" s="69"/>
      <c r="BC678" s="69"/>
      <c r="BD678" s="69"/>
      <c r="BE678" s="69"/>
      <c r="BF678" s="69"/>
      <c r="BG678" s="69"/>
      <c r="BH678" s="69"/>
      <c r="BI678" s="69"/>
      <c r="BJ678" s="69"/>
      <c r="BK678" s="69"/>
      <c r="BL678" s="69"/>
      <c r="BM678" s="69"/>
      <c r="BN678" s="69"/>
      <c r="BO678" s="69"/>
      <c r="BP678" s="69"/>
      <c r="BQ678" s="69"/>
      <c r="BR678" s="69"/>
      <c r="BS678" s="69"/>
      <c r="BT678" s="69"/>
      <c r="BU678" s="69"/>
      <c r="BV678" s="69"/>
      <c r="BW678" s="69"/>
      <c r="BX678" s="69"/>
      <c r="BY678" s="69"/>
      <c r="BZ678" s="69"/>
      <c r="CA678" s="69"/>
      <c r="CB678" s="69"/>
      <c r="CC678" s="69"/>
      <c r="CD678" s="69"/>
      <c r="CE678" s="94">
        <f t="shared" si="55"/>
        <v>1172.5</v>
      </c>
      <c r="CF678" s="151">
        <f t="shared" si="56"/>
        <v>0</v>
      </c>
      <c r="CG678" s="75">
        <f t="shared" si="53"/>
        <v>4528</v>
      </c>
      <c r="CH678" s="69" t="str">
        <f t="shared" si="53"/>
        <v>برنامج دولى</v>
      </c>
    </row>
    <row r="679" spans="1:86" x14ac:dyDescent="0.25">
      <c r="A679" s="148"/>
      <c r="B679" s="82">
        <v>8317</v>
      </c>
      <c r="C679" s="149">
        <v>4529</v>
      </c>
      <c r="D679" s="69" t="s">
        <v>78</v>
      </c>
      <c r="E679" s="69" t="s">
        <v>3321</v>
      </c>
      <c r="F679" s="63"/>
      <c r="G679" s="69">
        <v>703.5</v>
      </c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  <c r="AD679" s="69"/>
      <c r="AE679" s="69"/>
      <c r="AF679" s="69"/>
      <c r="AG679" s="69"/>
      <c r="AH679" s="69"/>
      <c r="AI679" s="69"/>
      <c r="AJ679" s="69"/>
      <c r="AK679" s="69"/>
      <c r="AL679" s="69"/>
      <c r="AM679" s="69"/>
      <c r="AN679" s="69"/>
      <c r="AO679" s="69"/>
      <c r="AP679" s="69"/>
      <c r="AQ679" s="69"/>
      <c r="AR679" s="94">
        <f t="shared" si="54"/>
        <v>703.5</v>
      </c>
      <c r="AS679" s="69">
        <v>470.6</v>
      </c>
      <c r="AT679" s="69">
        <v>63.4</v>
      </c>
      <c r="AU679" s="69">
        <v>169.5</v>
      </c>
      <c r="AV679" s="69"/>
      <c r="AW679" s="69"/>
      <c r="AX679" s="69"/>
      <c r="AY679" s="69"/>
      <c r="AZ679" s="69"/>
      <c r="BA679" s="69"/>
      <c r="BB679" s="69"/>
      <c r="BC679" s="69"/>
      <c r="BD679" s="69"/>
      <c r="BE679" s="69"/>
      <c r="BF679" s="69"/>
      <c r="BG679" s="69"/>
      <c r="BH679" s="69"/>
      <c r="BI679" s="69"/>
      <c r="BJ679" s="69"/>
      <c r="BK679" s="69"/>
      <c r="BL679" s="69"/>
      <c r="BM679" s="69"/>
      <c r="BN679" s="69"/>
      <c r="BO679" s="69"/>
      <c r="BP679" s="69"/>
      <c r="BQ679" s="69"/>
      <c r="BR679" s="69"/>
      <c r="BS679" s="69"/>
      <c r="BT679" s="69"/>
      <c r="BU679" s="69"/>
      <c r="BV679" s="69"/>
      <c r="BW679" s="69"/>
      <c r="BX679" s="69"/>
      <c r="BY679" s="69"/>
      <c r="BZ679" s="69"/>
      <c r="CA679" s="69"/>
      <c r="CB679" s="69"/>
      <c r="CC679" s="69"/>
      <c r="CD679" s="69"/>
      <c r="CE679" s="94">
        <f t="shared" si="55"/>
        <v>703.5</v>
      </c>
      <c r="CF679" s="151">
        <f t="shared" si="56"/>
        <v>0</v>
      </c>
      <c r="CG679" s="75">
        <f t="shared" si="53"/>
        <v>4529</v>
      </c>
      <c r="CH679" s="69" t="str">
        <f t="shared" si="53"/>
        <v>برنامج دولى</v>
      </c>
    </row>
    <row r="680" spans="1:86" x14ac:dyDescent="0.25">
      <c r="A680" s="148"/>
      <c r="B680" s="82">
        <v>8318</v>
      </c>
      <c r="C680" s="149">
        <v>4530</v>
      </c>
      <c r="D680" s="69" t="s">
        <v>78</v>
      </c>
      <c r="E680" s="69" t="s">
        <v>3322</v>
      </c>
      <c r="F680" s="63"/>
      <c r="G680" s="69">
        <v>1641.5</v>
      </c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  <c r="AD680" s="69"/>
      <c r="AE680" s="69"/>
      <c r="AF680" s="69"/>
      <c r="AG680" s="69"/>
      <c r="AH680" s="69"/>
      <c r="AI680" s="69"/>
      <c r="AJ680" s="69"/>
      <c r="AK680" s="69"/>
      <c r="AL680" s="69"/>
      <c r="AM680" s="69"/>
      <c r="AN680" s="69"/>
      <c r="AO680" s="69"/>
      <c r="AP680" s="69"/>
      <c r="AQ680" s="69"/>
      <c r="AR680" s="94">
        <f t="shared" si="54"/>
        <v>1641.5</v>
      </c>
      <c r="AS680" s="69">
        <v>1097</v>
      </c>
      <c r="AT680" s="69">
        <v>149</v>
      </c>
      <c r="AU680" s="69">
        <v>395.5</v>
      </c>
      <c r="AV680" s="69"/>
      <c r="AW680" s="69"/>
      <c r="AX680" s="69"/>
      <c r="AY680" s="69"/>
      <c r="AZ680" s="69"/>
      <c r="BA680" s="69"/>
      <c r="BB680" s="69"/>
      <c r="BC680" s="69"/>
      <c r="BD680" s="69"/>
      <c r="BE680" s="69"/>
      <c r="BF680" s="69"/>
      <c r="BG680" s="69"/>
      <c r="BH680" s="69"/>
      <c r="BI680" s="69"/>
      <c r="BJ680" s="69"/>
      <c r="BK680" s="69"/>
      <c r="BL680" s="69"/>
      <c r="BM680" s="69"/>
      <c r="BN680" s="69"/>
      <c r="BO680" s="69"/>
      <c r="BP680" s="69"/>
      <c r="BQ680" s="69"/>
      <c r="BR680" s="69"/>
      <c r="BS680" s="69"/>
      <c r="BT680" s="69"/>
      <c r="BU680" s="69"/>
      <c r="BV680" s="69"/>
      <c r="BW680" s="69"/>
      <c r="BX680" s="69"/>
      <c r="BY680" s="69"/>
      <c r="BZ680" s="69"/>
      <c r="CA680" s="69"/>
      <c r="CB680" s="69"/>
      <c r="CC680" s="69"/>
      <c r="CD680" s="69"/>
      <c r="CE680" s="94">
        <f t="shared" si="55"/>
        <v>1641.5</v>
      </c>
      <c r="CF680" s="151">
        <f t="shared" si="56"/>
        <v>0</v>
      </c>
      <c r="CG680" s="75">
        <f t="shared" si="53"/>
        <v>4530</v>
      </c>
      <c r="CH680" s="69" t="str">
        <f t="shared" si="53"/>
        <v>برنامج دولى</v>
      </c>
    </row>
    <row r="681" spans="1:86" x14ac:dyDescent="0.25">
      <c r="A681" s="148"/>
      <c r="B681" s="82">
        <v>8301</v>
      </c>
      <c r="C681" s="149">
        <v>4531</v>
      </c>
      <c r="D681" s="69" t="s">
        <v>78</v>
      </c>
      <c r="E681" s="69" t="str">
        <f>+E664</f>
        <v>ايرادات مركز ابحاث نوفمبر</v>
      </c>
      <c r="F681" s="63"/>
      <c r="G681" s="69">
        <v>2600</v>
      </c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  <c r="AD681" s="69"/>
      <c r="AE681" s="69"/>
      <c r="AF681" s="69"/>
      <c r="AG681" s="69"/>
      <c r="AH681" s="69"/>
      <c r="AI681" s="69"/>
      <c r="AJ681" s="69"/>
      <c r="AK681" s="69"/>
      <c r="AL681" s="69"/>
      <c r="AM681" s="69"/>
      <c r="AN681" s="69"/>
      <c r="AO681" s="69"/>
      <c r="AP681" s="69"/>
      <c r="AQ681" s="69"/>
      <c r="AR681" s="94">
        <f t="shared" si="54"/>
        <v>2600</v>
      </c>
      <c r="AS681" s="69">
        <v>2320.85</v>
      </c>
      <c r="AT681" s="69">
        <f>19.15+260</f>
        <v>279.14999999999998</v>
      </c>
      <c r="AU681" s="69"/>
      <c r="AV681" s="69"/>
      <c r="AW681" s="69"/>
      <c r="AX681" s="69"/>
      <c r="AY681" s="69"/>
      <c r="AZ681" s="69"/>
      <c r="BA681" s="69"/>
      <c r="BB681" s="69"/>
      <c r="BC681" s="69"/>
      <c r="BD681" s="69"/>
      <c r="BE681" s="69"/>
      <c r="BF681" s="69"/>
      <c r="BG681" s="69"/>
      <c r="BH681" s="69"/>
      <c r="BI681" s="69"/>
      <c r="BJ681" s="69"/>
      <c r="BK681" s="69"/>
      <c r="BL681" s="69"/>
      <c r="BM681" s="69"/>
      <c r="BN681" s="69"/>
      <c r="BO681" s="69"/>
      <c r="BP681" s="69"/>
      <c r="BQ681" s="69"/>
      <c r="BR681" s="69"/>
      <c r="BS681" s="69"/>
      <c r="BT681" s="69"/>
      <c r="BU681" s="69"/>
      <c r="BV681" s="69"/>
      <c r="BW681" s="69"/>
      <c r="BX681" s="69"/>
      <c r="BY681" s="69"/>
      <c r="BZ681" s="69"/>
      <c r="CA681" s="69"/>
      <c r="CB681" s="69"/>
      <c r="CC681" s="69"/>
      <c r="CD681" s="69"/>
      <c r="CE681" s="94">
        <f t="shared" si="55"/>
        <v>2600</v>
      </c>
      <c r="CF681" s="151">
        <f t="shared" si="56"/>
        <v>0</v>
      </c>
      <c r="CG681" s="75">
        <f t="shared" si="53"/>
        <v>4531</v>
      </c>
      <c r="CH681" s="69" t="str">
        <f t="shared" si="53"/>
        <v>برنامج دولى</v>
      </c>
    </row>
    <row r="682" spans="1:86" x14ac:dyDescent="0.25">
      <c r="A682" s="148"/>
      <c r="B682" s="82">
        <v>8319</v>
      </c>
      <c r="C682" s="149">
        <v>4532</v>
      </c>
      <c r="D682" s="69" t="s">
        <v>78</v>
      </c>
      <c r="E682" s="69" t="s">
        <v>3009</v>
      </c>
      <c r="F682" s="63"/>
      <c r="G682" s="69">
        <v>9955.8799999999992</v>
      </c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  <c r="AD682" s="69"/>
      <c r="AE682" s="69"/>
      <c r="AF682" s="69"/>
      <c r="AG682" s="69"/>
      <c r="AH682" s="69"/>
      <c r="AI682" s="69"/>
      <c r="AJ682" s="69"/>
      <c r="AK682" s="69"/>
      <c r="AL682" s="69"/>
      <c r="AM682" s="69"/>
      <c r="AN682" s="69"/>
      <c r="AO682" s="69"/>
      <c r="AP682" s="69"/>
      <c r="AQ682" s="69"/>
      <c r="AR682" s="94">
        <f t="shared" si="54"/>
        <v>9955.8799999999992</v>
      </c>
      <c r="AS682" s="69">
        <v>8881.0400000000009</v>
      </c>
      <c r="AT682" s="69">
        <v>1074.8399999999999</v>
      </c>
      <c r="AU682" s="69"/>
      <c r="AV682" s="69"/>
      <c r="AW682" s="69"/>
      <c r="AX682" s="69"/>
      <c r="AY682" s="69"/>
      <c r="AZ682" s="69"/>
      <c r="BA682" s="69"/>
      <c r="BB682" s="69"/>
      <c r="BC682" s="69"/>
      <c r="BD682" s="69"/>
      <c r="BE682" s="69"/>
      <c r="BF682" s="69"/>
      <c r="BG682" s="69"/>
      <c r="BH682" s="69"/>
      <c r="BI682" s="69"/>
      <c r="BJ682" s="69"/>
      <c r="BK682" s="69"/>
      <c r="BL682" s="69"/>
      <c r="BM682" s="69"/>
      <c r="BN682" s="69"/>
      <c r="BO682" s="69"/>
      <c r="BP682" s="69"/>
      <c r="BQ682" s="69"/>
      <c r="BR682" s="69"/>
      <c r="BS682" s="69"/>
      <c r="BT682" s="69"/>
      <c r="BU682" s="69"/>
      <c r="BV682" s="69"/>
      <c r="BW682" s="69"/>
      <c r="BX682" s="69"/>
      <c r="BY682" s="69"/>
      <c r="BZ682" s="69"/>
      <c r="CA682" s="69"/>
      <c r="CB682" s="69"/>
      <c r="CC682" s="69"/>
      <c r="CD682" s="69"/>
      <c r="CE682" s="94">
        <f t="shared" si="55"/>
        <v>9955.880000000001</v>
      </c>
      <c r="CF682" s="151">
        <f t="shared" si="56"/>
        <v>0</v>
      </c>
      <c r="CG682" s="75">
        <f t="shared" si="53"/>
        <v>4532</v>
      </c>
      <c r="CH682" s="69" t="str">
        <f t="shared" si="53"/>
        <v>برنامج دولى</v>
      </c>
    </row>
    <row r="683" spans="1:86" x14ac:dyDescent="0.25">
      <c r="A683" s="148"/>
      <c r="B683" s="82">
        <v>8320</v>
      </c>
      <c r="C683" s="149">
        <v>4533</v>
      </c>
      <c r="D683" s="69" t="s">
        <v>78</v>
      </c>
      <c r="E683" s="69" t="s">
        <v>3009</v>
      </c>
      <c r="F683" s="63"/>
      <c r="G683" s="69">
        <v>3121.2</v>
      </c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  <c r="AD683" s="69"/>
      <c r="AE683" s="69"/>
      <c r="AF683" s="69"/>
      <c r="AG683" s="69"/>
      <c r="AH683" s="69"/>
      <c r="AI683" s="69"/>
      <c r="AJ683" s="69"/>
      <c r="AK683" s="69"/>
      <c r="AL683" s="69"/>
      <c r="AM683" s="69"/>
      <c r="AN683" s="69"/>
      <c r="AO683" s="69"/>
      <c r="AP683" s="69"/>
      <c r="AQ683" s="69"/>
      <c r="AR683" s="94">
        <f t="shared" si="54"/>
        <v>3121.2</v>
      </c>
      <c r="AS683" s="69">
        <v>2085.58</v>
      </c>
      <c r="AT683" s="69">
        <v>283.60000000000002</v>
      </c>
      <c r="AU683" s="69">
        <v>752.02</v>
      </c>
      <c r="AV683" s="69"/>
      <c r="AW683" s="69"/>
      <c r="AX683" s="69"/>
      <c r="AY683" s="69"/>
      <c r="AZ683" s="69"/>
      <c r="BA683" s="69"/>
      <c r="BB683" s="69"/>
      <c r="BC683" s="69"/>
      <c r="BD683" s="69"/>
      <c r="BE683" s="69"/>
      <c r="BF683" s="69"/>
      <c r="BG683" s="69"/>
      <c r="BH683" s="69"/>
      <c r="BI683" s="69"/>
      <c r="BJ683" s="69"/>
      <c r="BK683" s="69"/>
      <c r="BL683" s="69"/>
      <c r="BM683" s="69"/>
      <c r="BN683" s="69"/>
      <c r="BO683" s="69"/>
      <c r="BP683" s="69"/>
      <c r="BQ683" s="69"/>
      <c r="BR683" s="69"/>
      <c r="BS683" s="69"/>
      <c r="BT683" s="69"/>
      <c r="BU683" s="69"/>
      <c r="BV683" s="69"/>
      <c r="BW683" s="69"/>
      <c r="BX683" s="69"/>
      <c r="BY683" s="69"/>
      <c r="BZ683" s="69"/>
      <c r="CA683" s="69"/>
      <c r="CB683" s="69"/>
      <c r="CC683" s="69"/>
      <c r="CD683" s="69"/>
      <c r="CE683" s="94">
        <f t="shared" si="55"/>
        <v>3121.2</v>
      </c>
      <c r="CF683" s="151">
        <f t="shared" si="56"/>
        <v>0</v>
      </c>
      <c r="CG683" s="75">
        <f t="shared" si="53"/>
        <v>4533</v>
      </c>
      <c r="CH683" s="69" t="str">
        <f t="shared" si="53"/>
        <v>برنامج دولى</v>
      </c>
    </row>
    <row r="684" spans="1:86" x14ac:dyDescent="0.25">
      <c r="A684" s="148"/>
      <c r="B684" s="82">
        <v>8321</v>
      </c>
      <c r="C684" s="149">
        <v>4534</v>
      </c>
      <c r="D684" s="69" t="s">
        <v>78</v>
      </c>
      <c r="E684" s="69" t="s">
        <v>3009</v>
      </c>
      <c r="F684" s="63"/>
      <c r="G684" s="69">
        <v>3993</v>
      </c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  <c r="AD684" s="69"/>
      <c r="AE684" s="69"/>
      <c r="AF684" s="69"/>
      <c r="AG684" s="69"/>
      <c r="AH684" s="69"/>
      <c r="AI684" s="69"/>
      <c r="AJ684" s="69"/>
      <c r="AK684" s="69"/>
      <c r="AL684" s="69"/>
      <c r="AM684" s="69"/>
      <c r="AN684" s="69"/>
      <c r="AO684" s="69"/>
      <c r="AP684" s="69"/>
      <c r="AQ684" s="69"/>
      <c r="AR684" s="94">
        <f t="shared" si="54"/>
        <v>3993</v>
      </c>
      <c r="AS684" s="69">
        <v>3564.1</v>
      </c>
      <c r="AT684" s="69">
        <v>428.9</v>
      </c>
      <c r="AU684" s="69"/>
      <c r="AV684" s="69"/>
      <c r="AW684" s="69"/>
      <c r="AX684" s="69"/>
      <c r="AY684" s="69"/>
      <c r="AZ684" s="69"/>
      <c r="BA684" s="69"/>
      <c r="BB684" s="69"/>
      <c r="BC684" s="69"/>
      <c r="BD684" s="69"/>
      <c r="BE684" s="69"/>
      <c r="BF684" s="69"/>
      <c r="BG684" s="69"/>
      <c r="BH684" s="69"/>
      <c r="BI684" s="69"/>
      <c r="BJ684" s="69"/>
      <c r="BK684" s="69"/>
      <c r="BL684" s="69"/>
      <c r="BM684" s="69"/>
      <c r="BN684" s="69"/>
      <c r="BO684" s="69"/>
      <c r="BP684" s="69"/>
      <c r="BQ684" s="69"/>
      <c r="BR684" s="69"/>
      <c r="BS684" s="69"/>
      <c r="BT684" s="69"/>
      <c r="BU684" s="69"/>
      <c r="BV684" s="69"/>
      <c r="BW684" s="69"/>
      <c r="BX684" s="69"/>
      <c r="BY684" s="69"/>
      <c r="BZ684" s="69"/>
      <c r="CA684" s="69"/>
      <c r="CB684" s="69"/>
      <c r="CC684" s="69"/>
      <c r="CD684" s="69"/>
      <c r="CE684" s="94">
        <f t="shared" si="55"/>
        <v>3993</v>
      </c>
      <c r="CF684" s="151">
        <f t="shared" si="56"/>
        <v>0</v>
      </c>
      <c r="CG684" s="75">
        <f t="shared" si="53"/>
        <v>4534</v>
      </c>
      <c r="CH684" s="69" t="str">
        <f t="shared" si="53"/>
        <v>برنامج دولى</v>
      </c>
    </row>
    <row r="685" spans="1:86" x14ac:dyDescent="0.25">
      <c r="A685" s="148"/>
      <c r="B685" s="82">
        <v>8328</v>
      </c>
      <c r="C685" s="149">
        <v>4535</v>
      </c>
      <c r="D685" s="69" t="s">
        <v>78</v>
      </c>
      <c r="E685" s="69" t="s">
        <v>3323</v>
      </c>
      <c r="F685" s="63"/>
      <c r="G685" s="69">
        <v>351.75</v>
      </c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  <c r="AD685" s="69"/>
      <c r="AE685" s="69"/>
      <c r="AF685" s="69"/>
      <c r="AG685" s="69"/>
      <c r="AH685" s="69"/>
      <c r="AI685" s="69"/>
      <c r="AJ685" s="69"/>
      <c r="AK685" s="69"/>
      <c r="AL685" s="69"/>
      <c r="AM685" s="69"/>
      <c r="AN685" s="69"/>
      <c r="AO685" s="69"/>
      <c r="AP685" s="69"/>
      <c r="AQ685" s="69"/>
      <c r="AR685" s="94">
        <f t="shared" si="54"/>
        <v>351.75</v>
      </c>
      <c r="AS685" s="69">
        <v>235.55</v>
      </c>
      <c r="AT685" s="69">
        <v>31.45</v>
      </c>
      <c r="AU685" s="69">
        <v>84.75</v>
      </c>
      <c r="AV685" s="69"/>
      <c r="AW685" s="69"/>
      <c r="AX685" s="69"/>
      <c r="AY685" s="69"/>
      <c r="AZ685" s="69"/>
      <c r="BA685" s="69"/>
      <c r="BB685" s="69"/>
      <c r="BC685" s="69"/>
      <c r="BD685" s="69"/>
      <c r="BE685" s="69"/>
      <c r="BF685" s="69"/>
      <c r="BG685" s="69"/>
      <c r="BH685" s="69"/>
      <c r="BI685" s="69"/>
      <c r="BJ685" s="69"/>
      <c r="BK685" s="69"/>
      <c r="BL685" s="69"/>
      <c r="BM685" s="69"/>
      <c r="BN685" s="69"/>
      <c r="BO685" s="69"/>
      <c r="BP685" s="69"/>
      <c r="BQ685" s="69"/>
      <c r="BR685" s="69"/>
      <c r="BS685" s="69"/>
      <c r="BT685" s="69"/>
      <c r="BU685" s="69"/>
      <c r="BV685" s="69"/>
      <c r="BW685" s="69"/>
      <c r="BX685" s="69"/>
      <c r="BY685" s="69"/>
      <c r="BZ685" s="69"/>
      <c r="CA685" s="69"/>
      <c r="CB685" s="69"/>
      <c r="CC685" s="69"/>
      <c r="CD685" s="69"/>
      <c r="CE685" s="94">
        <f t="shared" ref="CE685:CE748" si="57">SUM(AS685:CD685)</f>
        <v>351.75</v>
      </c>
      <c r="CF685" s="151">
        <f t="shared" si="56"/>
        <v>0</v>
      </c>
      <c r="CG685" s="75">
        <f t="shared" si="53"/>
        <v>4535</v>
      </c>
      <c r="CH685" s="69" t="str">
        <f t="shared" si="53"/>
        <v>برنامج دولى</v>
      </c>
    </row>
    <row r="686" spans="1:86" x14ac:dyDescent="0.25">
      <c r="A686" s="148"/>
      <c r="B686" s="82">
        <v>8329</v>
      </c>
      <c r="C686" s="149">
        <v>4536</v>
      </c>
      <c r="D686" s="69" t="s">
        <v>78</v>
      </c>
      <c r="E686" s="69" t="s">
        <v>3323</v>
      </c>
      <c r="F686" s="63"/>
      <c r="G686" s="69">
        <v>351.75</v>
      </c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  <c r="AD686" s="69"/>
      <c r="AE686" s="69"/>
      <c r="AF686" s="69"/>
      <c r="AG686" s="69"/>
      <c r="AH686" s="69"/>
      <c r="AI686" s="69"/>
      <c r="AJ686" s="69"/>
      <c r="AK686" s="69"/>
      <c r="AL686" s="69"/>
      <c r="AM686" s="69"/>
      <c r="AN686" s="69"/>
      <c r="AO686" s="69"/>
      <c r="AP686" s="69"/>
      <c r="AQ686" s="69"/>
      <c r="AR686" s="94">
        <f t="shared" si="54"/>
        <v>351.75</v>
      </c>
      <c r="AS686" s="69">
        <v>235.55</v>
      </c>
      <c r="AT686" s="69">
        <v>31.45</v>
      </c>
      <c r="AU686" s="69">
        <v>84.75</v>
      </c>
      <c r="AV686" s="69"/>
      <c r="AW686" s="69"/>
      <c r="AX686" s="69"/>
      <c r="AY686" s="69"/>
      <c r="AZ686" s="69"/>
      <c r="BA686" s="69"/>
      <c r="BB686" s="69"/>
      <c r="BC686" s="69"/>
      <c r="BD686" s="69"/>
      <c r="BE686" s="69"/>
      <c r="BF686" s="69"/>
      <c r="BG686" s="69"/>
      <c r="BH686" s="69"/>
      <c r="BI686" s="69"/>
      <c r="BJ686" s="69"/>
      <c r="BK686" s="69"/>
      <c r="BL686" s="69"/>
      <c r="BM686" s="69"/>
      <c r="BN686" s="69"/>
      <c r="BO686" s="69"/>
      <c r="BP686" s="69"/>
      <c r="BQ686" s="69"/>
      <c r="BR686" s="69"/>
      <c r="BS686" s="69"/>
      <c r="BT686" s="69"/>
      <c r="BU686" s="69"/>
      <c r="BV686" s="69"/>
      <c r="BW686" s="69"/>
      <c r="BX686" s="69"/>
      <c r="BY686" s="69"/>
      <c r="BZ686" s="69"/>
      <c r="CA686" s="69"/>
      <c r="CB686" s="69"/>
      <c r="CC686" s="69"/>
      <c r="CD686" s="69"/>
      <c r="CE686" s="94">
        <f t="shared" si="57"/>
        <v>351.75</v>
      </c>
      <c r="CF686" s="151">
        <f t="shared" si="56"/>
        <v>0</v>
      </c>
      <c r="CG686" s="75">
        <f t="shared" si="53"/>
        <v>4536</v>
      </c>
      <c r="CH686" s="69" t="str">
        <f t="shared" si="53"/>
        <v>برنامج دولى</v>
      </c>
    </row>
    <row r="687" spans="1:86" x14ac:dyDescent="0.25">
      <c r="A687" s="148"/>
      <c r="B687" s="82">
        <v>8330</v>
      </c>
      <c r="C687" s="149">
        <v>4537</v>
      </c>
      <c r="D687" s="69" t="s">
        <v>78</v>
      </c>
      <c r="E687" s="69" t="s">
        <v>3323</v>
      </c>
      <c r="F687" s="63"/>
      <c r="G687" s="69">
        <v>351.75</v>
      </c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  <c r="AD687" s="69"/>
      <c r="AE687" s="69"/>
      <c r="AF687" s="69"/>
      <c r="AG687" s="69"/>
      <c r="AH687" s="69"/>
      <c r="AI687" s="69"/>
      <c r="AJ687" s="69"/>
      <c r="AK687" s="69"/>
      <c r="AL687" s="69"/>
      <c r="AM687" s="69"/>
      <c r="AN687" s="69"/>
      <c r="AO687" s="69"/>
      <c r="AP687" s="69"/>
      <c r="AQ687" s="69"/>
      <c r="AR687" s="94">
        <f t="shared" si="54"/>
        <v>351.75</v>
      </c>
      <c r="AS687" s="69">
        <v>235.35</v>
      </c>
      <c r="AT687" s="69">
        <f>1.65+30</f>
        <v>31.65</v>
      </c>
      <c r="AU687" s="69">
        <v>84.75</v>
      </c>
      <c r="AV687" s="69"/>
      <c r="AW687" s="69"/>
      <c r="AX687" s="69"/>
      <c r="AY687" s="69"/>
      <c r="AZ687" s="69"/>
      <c r="BA687" s="69"/>
      <c r="BB687" s="69"/>
      <c r="BC687" s="69"/>
      <c r="BD687" s="69"/>
      <c r="BE687" s="69"/>
      <c r="BF687" s="69"/>
      <c r="BG687" s="69"/>
      <c r="BH687" s="69"/>
      <c r="BI687" s="69"/>
      <c r="BJ687" s="69"/>
      <c r="BK687" s="69"/>
      <c r="BL687" s="69"/>
      <c r="BM687" s="69"/>
      <c r="BN687" s="69"/>
      <c r="BO687" s="69"/>
      <c r="BP687" s="69"/>
      <c r="BQ687" s="69"/>
      <c r="BR687" s="69"/>
      <c r="BS687" s="69"/>
      <c r="BT687" s="69"/>
      <c r="BU687" s="69"/>
      <c r="BV687" s="69"/>
      <c r="BW687" s="69"/>
      <c r="BX687" s="69"/>
      <c r="BY687" s="69"/>
      <c r="BZ687" s="69"/>
      <c r="CA687" s="69"/>
      <c r="CB687" s="69"/>
      <c r="CC687" s="69"/>
      <c r="CD687" s="69"/>
      <c r="CE687" s="94">
        <f t="shared" si="57"/>
        <v>351.75</v>
      </c>
      <c r="CF687" s="151">
        <f t="shared" si="56"/>
        <v>0</v>
      </c>
      <c r="CG687" s="75">
        <f t="shared" ref="CG687:CH750" si="58">+C687</f>
        <v>4537</v>
      </c>
      <c r="CH687" s="69" t="str">
        <f t="shared" si="58"/>
        <v>برنامج دولى</v>
      </c>
    </row>
    <row r="688" spans="1:86" x14ac:dyDescent="0.25">
      <c r="A688" s="148"/>
      <c r="B688" s="82">
        <v>8331</v>
      </c>
      <c r="C688" s="149">
        <v>4538</v>
      </c>
      <c r="D688" s="69" t="s">
        <v>78</v>
      </c>
      <c r="E688" s="69" t="s">
        <v>1654</v>
      </c>
      <c r="F688" s="63"/>
      <c r="G688" s="69">
        <v>1200</v>
      </c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  <c r="AD688" s="69"/>
      <c r="AE688" s="69"/>
      <c r="AF688" s="69"/>
      <c r="AG688" s="69"/>
      <c r="AH688" s="69"/>
      <c r="AI688" s="69"/>
      <c r="AJ688" s="69"/>
      <c r="AK688" s="69"/>
      <c r="AL688" s="69"/>
      <c r="AM688" s="69"/>
      <c r="AN688" s="69"/>
      <c r="AO688" s="69"/>
      <c r="AP688" s="69"/>
      <c r="AQ688" s="69"/>
      <c r="AR688" s="94">
        <f t="shared" si="54"/>
        <v>1200</v>
      </c>
      <c r="AS688" s="69">
        <v>1071.3499999999999</v>
      </c>
      <c r="AT688" s="69">
        <v>128.65</v>
      </c>
      <c r="AU688" s="69"/>
      <c r="AV688" s="69"/>
      <c r="AW688" s="69"/>
      <c r="AX688" s="69"/>
      <c r="AY688" s="69"/>
      <c r="AZ688" s="69"/>
      <c r="BA688" s="69"/>
      <c r="BB688" s="69"/>
      <c r="BC688" s="69"/>
      <c r="BD688" s="69"/>
      <c r="BE688" s="69"/>
      <c r="BF688" s="69"/>
      <c r="BG688" s="69"/>
      <c r="BH688" s="69"/>
      <c r="BI688" s="69"/>
      <c r="BJ688" s="69"/>
      <c r="BK688" s="69"/>
      <c r="BL688" s="69"/>
      <c r="BM688" s="69"/>
      <c r="BN688" s="69"/>
      <c r="BO688" s="69"/>
      <c r="BP688" s="69"/>
      <c r="BQ688" s="69"/>
      <c r="BR688" s="69"/>
      <c r="BS688" s="69"/>
      <c r="BT688" s="69"/>
      <c r="BU688" s="69"/>
      <c r="BV688" s="69"/>
      <c r="BW688" s="69"/>
      <c r="BX688" s="69"/>
      <c r="BY688" s="69"/>
      <c r="BZ688" s="69"/>
      <c r="CA688" s="69"/>
      <c r="CB688" s="69"/>
      <c r="CC688" s="69"/>
      <c r="CD688" s="69"/>
      <c r="CE688" s="94">
        <f t="shared" si="57"/>
        <v>1200</v>
      </c>
      <c r="CF688" s="151">
        <f t="shared" si="56"/>
        <v>0</v>
      </c>
      <c r="CG688" s="75">
        <f t="shared" si="58"/>
        <v>4538</v>
      </c>
      <c r="CH688" s="69" t="str">
        <f t="shared" si="58"/>
        <v>برنامج دولى</v>
      </c>
    </row>
    <row r="689" spans="1:86" x14ac:dyDescent="0.25">
      <c r="A689" s="148"/>
      <c r="B689" s="82">
        <v>8332</v>
      </c>
      <c r="C689" s="149">
        <v>4539</v>
      </c>
      <c r="D689" s="69" t="s">
        <v>78</v>
      </c>
      <c r="E689" s="69" t="s">
        <v>1654</v>
      </c>
      <c r="F689" s="63"/>
      <c r="G689" s="69">
        <v>1200</v>
      </c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  <c r="AD689" s="69"/>
      <c r="AE689" s="69"/>
      <c r="AF689" s="69"/>
      <c r="AG689" s="69"/>
      <c r="AH689" s="69"/>
      <c r="AI689" s="69"/>
      <c r="AJ689" s="69"/>
      <c r="AK689" s="69"/>
      <c r="AL689" s="69"/>
      <c r="AM689" s="69"/>
      <c r="AN689" s="69"/>
      <c r="AO689" s="69"/>
      <c r="AP689" s="69"/>
      <c r="AQ689" s="69"/>
      <c r="AR689" s="94">
        <f t="shared" si="54"/>
        <v>1200</v>
      </c>
      <c r="AS689" s="69">
        <v>1071.3499999999999</v>
      </c>
      <c r="AT689" s="69">
        <v>128.65</v>
      </c>
      <c r="AU689" s="69"/>
      <c r="AV689" s="69"/>
      <c r="AW689" s="69"/>
      <c r="AX689" s="69"/>
      <c r="AY689" s="69"/>
      <c r="AZ689" s="69"/>
      <c r="BA689" s="69"/>
      <c r="BB689" s="69"/>
      <c r="BC689" s="69"/>
      <c r="BD689" s="69"/>
      <c r="BE689" s="69"/>
      <c r="BF689" s="69"/>
      <c r="BG689" s="69"/>
      <c r="BH689" s="69"/>
      <c r="BI689" s="69"/>
      <c r="BJ689" s="69"/>
      <c r="BK689" s="69"/>
      <c r="BL689" s="69"/>
      <c r="BM689" s="69"/>
      <c r="BN689" s="69"/>
      <c r="BO689" s="69"/>
      <c r="BP689" s="69"/>
      <c r="BQ689" s="69"/>
      <c r="BR689" s="69"/>
      <c r="BS689" s="69"/>
      <c r="BT689" s="69"/>
      <c r="BU689" s="69"/>
      <c r="BV689" s="69"/>
      <c r="BW689" s="69"/>
      <c r="BX689" s="69"/>
      <c r="BY689" s="69"/>
      <c r="BZ689" s="69"/>
      <c r="CA689" s="69"/>
      <c r="CB689" s="69"/>
      <c r="CC689" s="69"/>
      <c r="CD689" s="69"/>
      <c r="CE689" s="94">
        <f t="shared" si="57"/>
        <v>1200</v>
      </c>
      <c r="CF689" s="151">
        <f t="shared" si="56"/>
        <v>0</v>
      </c>
      <c r="CG689" s="75">
        <f t="shared" si="58"/>
        <v>4539</v>
      </c>
      <c r="CH689" s="69" t="str">
        <f t="shared" si="58"/>
        <v>برنامج دولى</v>
      </c>
    </row>
    <row r="690" spans="1:86" x14ac:dyDescent="0.25">
      <c r="A690" s="148"/>
      <c r="B690" s="82">
        <v>8327</v>
      </c>
      <c r="C690" s="149">
        <v>4540</v>
      </c>
      <c r="D690" s="69" t="s">
        <v>78</v>
      </c>
      <c r="E690" s="69" t="s">
        <v>1654</v>
      </c>
      <c r="F690" s="63"/>
      <c r="G690" s="69">
        <v>1407</v>
      </c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  <c r="AD690" s="69"/>
      <c r="AE690" s="69"/>
      <c r="AF690" s="69"/>
      <c r="AG690" s="69"/>
      <c r="AH690" s="69"/>
      <c r="AI690" s="69"/>
      <c r="AJ690" s="69"/>
      <c r="AK690" s="69"/>
      <c r="AL690" s="69"/>
      <c r="AM690" s="69"/>
      <c r="AN690" s="69"/>
      <c r="AO690" s="69"/>
      <c r="AP690" s="69"/>
      <c r="AQ690" s="69"/>
      <c r="AR690" s="94">
        <f t="shared" si="54"/>
        <v>1407</v>
      </c>
      <c r="AS690" s="69">
        <v>939.35</v>
      </c>
      <c r="AT690" s="69">
        <f>8.65+120</f>
        <v>128.65</v>
      </c>
      <c r="AU690" s="69">
        <v>339</v>
      </c>
      <c r="AV690" s="69"/>
      <c r="AW690" s="69"/>
      <c r="AX690" s="69"/>
      <c r="AY690" s="69"/>
      <c r="AZ690" s="69"/>
      <c r="BA690" s="69"/>
      <c r="BB690" s="69"/>
      <c r="BC690" s="69"/>
      <c r="BD690" s="69"/>
      <c r="BE690" s="69"/>
      <c r="BF690" s="69"/>
      <c r="BG690" s="69"/>
      <c r="BH690" s="69"/>
      <c r="BI690" s="69"/>
      <c r="BJ690" s="69"/>
      <c r="BK690" s="69"/>
      <c r="BL690" s="69"/>
      <c r="BM690" s="69"/>
      <c r="BN690" s="69"/>
      <c r="BO690" s="69"/>
      <c r="BP690" s="69"/>
      <c r="BQ690" s="69"/>
      <c r="BR690" s="69"/>
      <c r="BS690" s="69"/>
      <c r="BT690" s="69"/>
      <c r="BU690" s="69"/>
      <c r="BV690" s="69"/>
      <c r="BW690" s="69"/>
      <c r="BX690" s="69"/>
      <c r="BY690" s="69"/>
      <c r="BZ690" s="69"/>
      <c r="CA690" s="69"/>
      <c r="CB690" s="69"/>
      <c r="CC690" s="69"/>
      <c r="CD690" s="69"/>
      <c r="CE690" s="94">
        <f t="shared" si="57"/>
        <v>1407</v>
      </c>
      <c r="CF690" s="151">
        <f t="shared" si="56"/>
        <v>0</v>
      </c>
      <c r="CG690" s="75">
        <f t="shared" si="58"/>
        <v>4540</v>
      </c>
      <c r="CH690" s="69" t="str">
        <f t="shared" si="58"/>
        <v>برنامج دولى</v>
      </c>
    </row>
    <row r="691" spans="1:86" x14ac:dyDescent="0.25">
      <c r="A691" s="148"/>
      <c r="B691" s="82">
        <v>8624</v>
      </c>
      <c r="C691" s="149">
        <v>4541</v>
      </c>
      <c r="D691" s="69" t="s">
        <v>78</v>
      </c>
      <c r="E691" s="69" t="s">
        <v>1202</v>
      </c>
      <c r="F691" s="63"/>
      <c r="G691" s="69">
        <v>51032.33</v>
      </c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  <c r="AE691" s="69"/>
      <c r="AF691" s="69"/>
      <c r="AG691" s="69"/>
      <c r="AH691" s="69"/>
      <c r="AI691" s="69"/>
      <c r="AJ691" s="69"/>
      <c r="AK691" s="69"/>
      <c r="AL691" s="69"/>
      <c r="AM691" s="69"/>
      <c r="AN691" s="69"/>
      <c r="AO691" s="69"/>
      <c r="AP691" s="69"/>
      <c r="AQ691" s="69"/>
      <c r="AR691" s="94">
        <f t="shared" si="54"/>
        <v>51032.33</v>
      </c>
      <c r="AS691" s="69">
        <v>43483.45</v>
      </c>
      <c r="AT691" s="69">
        <v>5276.85</v>
      </c>
      <c r="AU691" s="69">
        <v>2272.0300000000002</v>
      </c>
      <c r="AV691" s="69"/>
      <c r="AW691" s="69"/>
      <c r="AX691" s="69"/>
      <c r="AY691" s="69"/>
      <c r="AZ691" s="69"/>
      <c r="BA691" s="69"/>
      <c r="BB691" s="69"/>
      <c r="BC691" s="69"/>
      <c r="BD691" s="69"/>
      <c r="BE691" s="69"/>
      <c r="BF691" s="69"/>
      <c r="BG691" s="69"/>
      <c r="BH691" s="69"/>
      <c r="BI691" s="69"/>
      <c r="BJ691" s="69"/>
      <c r="BK691" s="69"/>
      <c r="BL691" s="69"/>
      <c r="BM691" s="69"/>
      <c r="BN691" s="69"/>
      <c r="BO691" s="69"/>
      <c r="BP691" s="69"/>
      <c r="BQ691" s="69"/>
      <c r="BR691" s="69"/>
      <c r="BS691" s="69"/>
      <c r="BT691" s="69"/>
      <c r="BU691" s="69"/>
      <c r="BV691" s="69"/>
      <c r="BW691" s="69"/>
      <c r="BX691" s="69"/>
      <c r="BY691" s="69"/>
      <c r="BZ691" s="69"/>
      <c r="CA691" s="69"/>
      <c r="CB691" s="69"/>
      <c r="CC691" s="69"/>
      <c r="CD691" s="69"/>
      <c r="CE691" s="94">
        <f t="shared" si="57"/>
        <v>51032.329999999994</v>
      </c>
      <c r="CF691" s="151">
        <f t="shared" si="56"/>
        <v>0</v>
      </c>
      <c r="CG691" s="75">
        <f t="shared" si="58"/>
        <v>4541</v>
      </c>
      <c r="CH691" s="69" t="str">
        <f t="shared" si="58"/>
        <v>برنامج دولى</v>
      </c>
    </row>
    <row r="692" spans="1:86" x14ac:dyDescent="0.25">
      <c r="A692" s="148"/>
      <c r="B692" s="82">
        <v>8679</v>
      </c>
      <c r="C692" s="149">
        <v>4542</v>
      </c>
      <c r="D692" s="69" t="s">
        <v>78</v>
      </c>
      <c r="E692" s="69" t="s">
        <v>3324</v>
      </c>
      <c r="F692" s="63"/>
      <c r="G692" s="69">
        <v>3060.22</v>
      </c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  <c r="AE692" s="69"/>
      <c r="AF692" s="69"/>
      <c r="AG692" s="69"/>
      <c r="AH692" s="69"/>
      <c r="AI692" s="69"/>
      <c r="AJ692" s="69"/>
      <c r="AK692" s="69"/>
      <c r="AL692" s="69"/>
      <c r="AM692" s="69"/>
      <c r="AN692" s="69"/>
      <c r="AO692" s="69"/>
      <c r="AP692" s="69"/>
      <c r="AQ692" s="69"/>
      <c r="AR692" s="94">
        <f t="shared" si="54"/>
        <v>3060.22</v>
      </c>
      <c r="AS692" s="69">
        <v>2044.85</v>
      </c>
      <c r="AT692" s="69">
        <v>278.05</v>
      </c>
      <c r="AU692" s="69">
        <v>737.32</v>
      </c>
      <c r="AV692" s="69"/>
      <c r="AW692" s="69"/>
      <c r="AX692" s="69"/>
      <c r="AY692" s="69"/>
      <c r="AZ692" s="69"/>
      <c r="BA692" s="69"/>
      <c r="BB692" s="69"/>
      <c r="BC692" s="69"/>
      <c r="BD692" s="69"/>
      <c r="BE692" s="69"/>
      <c r="BF692" s="69"/>
      <c r="BG692" s="69"/>
      <c r="BH692" s="69"/>
      <c r="BI692" s="69"/>
      <c r="BJ692" s="69"/>
      <c r="BK692" s="69"/>
      <c r="BL692" s="69"/>
      <c r="BM692" s="69"/>
      <c r="BN692" s="69"/>
      <c r="BO692" s="69"/>
      <c r="BP692" s="69"/>
      <c r="BQ692" s="69"/>
      <c r="BR692" s="69"/>
      <c r="BS692" s="69"/>
      <c r="BT692" s="69"/>
      <c r="BU692" s="69"/>
      <c r="BV692" s="69"/>
      <c r="BW692" s="69"/>
      <c r="BX692" s="69"/>
      <c r="BY692" s="69"/>
      <c r="BZ692" s="69"/>
      <c r="CA692" s="69"/>
      <c r="CB692" s="69"/>
      <c r="CC692" s="69"/>
      <c r="CD692" s="69"/>
      <c r="CE692" s="94">
        <f t="shared" si="57"/>
        <v>3060.2200000000003</v>
      </c>
      <c r="CF692" s="151">
        <f t="shared" si="56"/>
        <v>0</v>
      </c>
      <c r="CG692" s="75">
        <f t="shared" si="58"/>
        <v>4542</v>
      </c>
      <c r="CH692" s="69" t="str">
        <f t="shared" si="58"/>
        <v>برنامج دولى</v>
      </c>
    </row>
    <row r="693" spans="1:86" x14ac:dyDescent="0.25">
      <c r="A693" s="148"/>
      <c r="B693" s="82">
        <v>8680</v>
      </c>
      <c r="C693" s="149">
        <v>4543</v>
      </c>
      <c r="D693" s="69" t="s">
        <v>78</v>
      </c>
      <c r="E693" s="69" t="s">
        <v>3324</v>
      </c>
      <c r="F693" s="63"/>
      <c r="G693" s="69">
        <v>17001.419999999998</v>
      </c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  <c r="AE693" s="69"/>
      <c r="AF693" s="69"/>
      <c r="AG693" s="69"/>
      <c r="AH693" s="69"/>
      <c r="AI693" s="69"/>
      <c r="AJ693" s="69"/>
      <c r="AK693" s="69"/>
      <c r="AL693" s="69"/>
      <c r="AM693" s="69"/>
      <c r="AN693" s="69"/>
      <c r="AO693" s="69"/>
      <c r="AP693" s="69"/>
      <c r="AQ693" s="69"/>
      <c r="AR693" s="94">
        <f t="shared" si="54"/>
        <v>17001.419999999998</v>
      </c>
      <c r="AS693" s="69">
        <v>13675.16</v>
      </c>
      <c r="AT693" s="69">
        <v>1719</v>
      </c>
      <c r="AU693" s="69">
        <v>1607.26</v>
      </c>
      <c r="AV693" s="69"/>
      <c r="AW693" s="69"/>
      <c r="AX693" s="69"/>
      <c r="AY693" s="69"/>
      <c r="AZ693" s="69"/>
      <c r="BA693" s="69"/>
      <c r="BB693" s="69"/>
      <c r="BC693" s="69"/>
      <c r="BD693" s="69"/>
      <c r="BE693" s="69"/>
      <c r="BF693" s="69"/>
      <c r="BG693" s="69"/>
      <c r="BH693" s="69"/>
      <c r="BI693" s="69"/>
      <c r="BJ693" s="69"/>
      <c r="BK693" s="69"/>
      <c r="BL693" s="69"/>
      <c r="BM693" s="69"/>
      <c r="BN693" s="69"/>
      <c r="BO693" s="69"/>
      <c r="BP693" s="69"/>
      <c r="BQ693" s="69"/>
      <c r="BR693" s="69"/>
      <c r="BS693" s="69"/>
      <c r="BT693" s="69"/>
      <c r="BU693" s="69"/>
      <c r="BV693" s="69"/>
      <c r="BW693" s="69"/>
      <c r="BX693" s="69"/>
      <c r="BY693" s="69"/>
      <c r="BZ693" s="69"/>
      <c r="CA693" s="69"/>
      <c r="CB693" s="69"/>
      <c r="CC693" s="69"/>
      <c r="CD693" s="69"/>
      <c r="CE693" s="94">
        <f t="shared" si="57"/>
        <v>17001.419999999998</v>
      </c>
      <c r="CF693" s="151">
        <f t="shared" si="56"/>
        <v>0</v>
      </c>
      <c r="CG693" s="75">
        <f t="shared" si="58"/>
        <v>4543</v>
      </c>
      <c r="CH693" s="69" t="str">
        <f t="shared" si="58"/>
        <v>برنامج دولى</v>
      </c>
    </row>
    <row r="694" spans="1:86" x14ac:dyDescent="0.25">
      <c r="A694" s="148"/>
      <c r="B694" s="82">
        <v>8652</v>
      </c>
      <c r="C694" s="149">
        <v>4544</v>
      </c>
      <c r="D694" s="69" t="s">
        <v>78</v>
      </c>
      <c r="E694" s="69" t="s">
        <v>885</v>
      </c>
      <c r="F694" s="63"/>
      <c r="G694" s="69">
        <v>820.75</v>
      </c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  <c r="AE694" s="69"/>
      <c r="AF694" s="69"/>
      <c r="AG694" s="69"/>
      <c r="AH694" s="69"/>
      <c r="AI694" s="69"/>
      <c r="AJ694" s="69"/>
      <c r="AK694" s="69"/>
      <c r="AL694" s="69"/>
      <c r="AM694" s="69"/>
      <c r="AN694" s="69"/>
      <c r="AO694" s="69"/>
      <c r="AP694" s="69"/>
      <c r="AQ694" s="69"/>
      <c r="AR694" s="94">
        <f t="shared" si="54"/>
        <v>820.75</v>
      </c>
      <c r="AS694" s="69">
        <v>548.95000000000005</v>
      </c>
      <c r="AT694" s="69">
        <v>74.05</v>
      </c>
      <c r="AU694" s="69">
        <v>197.75</v>
      </c>
      <c r="AV694" s="69"/>
      <c r="AW694" s="69"/>
      <c r="AX694" s="69"/>
      <c r="AY694" s="69"/>
      <c r="AZ694" s="69"/>
      <c r="BA694" s="69"/>
      <c r="BB694" s="69"/>
      <c r="BC694" s="69"/>
      <c r="BD694" s="69"/>
      <c r="BE694" s="69"/>
      <c r="BF694" s="69"/>
      <c r="BG694" s="69"/>
      <c r="BH694" s="69"/>
      <c r="BI694" s="69"/>
      <c r="BJ694" s="69"/>
      <c r="BK694" s="69"/>
      <c r="BL694" s="69"/>
      <c r="BM694" s="69"/>
      <c r="BN694" s="69"/>
      <c r="BO694" s="69"/>
      <c r="BP694" s="69"/>
      <c r="BQ694" s="69"/>
      <c r="BR694" s="69"/>
      <c r="BS694" s="69"/>
      <c r="BT694" s="69"/>
      <c r="BU694" s="69"/>
      <c r="BV694" s="69"/>
      <c r="BW694" s="69"/>
      <c r="BX694" s="69"/>
      <c r="BY694" s="69"/>
      <c r="BZ694" s="69"/>
      <c r="CA694" s="69"/>
      <c r="CB694" s="69"/>
      <c r="CC694" s="69"/>
      <c r="CD694" s="69"/>
      <c r="CE694" s="94">
        <f t="shared" si="57"/>
        <v>820.75</v>
      </c>
      <c r="CF694" s="151">
        <f t="shared" si="56"/>
        <v>0</v>
      </c>
      <c r="CG694" s="75">
        <f t="shared" si="58"/>
        <v>4544</v>
      </c>
      <c r="CH694" s="69" t="str">
        <f t="shared" si="58"/>
        <v>برنامج دولى</v>
      </c>
    </row>
    <row r="695" spans="1:86" x14ac:dyDescent="0.25">
      <c r="A695" s="148"/>
      <c r="B695" s="82">
        <v>8728</v>
      </c>
      <c r="C695" s="149">
        <v>4545</v>
      </c>
      <c r="D695" s="69" t="s">
        <v>78</v>
      </c>
      <c r="E695" s="69" t="s">
        <v>885</v>
      </c>
      <c r="F695" s="63"/>
      <c r="G695" s="69">
        <v>1200</v>
      </c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  <c r="AE695" s="69"/>
      <c r="AF695" s="69"/>
      <c r="AG695" s="69"/>
      <c r="AH695" s="69"/>
      <c r="AI695" s="69"/>
      <c r="AJ695" s="69"/>
      <c r="AK695" s="69"/>
      <c r="AL695" s="69"/>
      <c r="AM695" s="69"/>
      <c r="AN695" s="69"/>
      <c r="AO695" s="69"/>
      <c r="AP695" s="69"/>
      <c r="AQ695" s="69"/>
      <c r="AR695" s="94">
        <f t="shared" si="54"/>
        <v>1200</v>
      </c>
      <c r="AS695" s="69">
        <v>1071.3499999999999</v>
      </c>
      <c r="AT695" s="69">
        <v>128.65</v>
      </c>
      <c r="AU695" s="69"/>
      <c r="AV695" s="69"/>
      <c r="AW695" s="69"/>
      <c r="AX695" s="69"/>
      <c r="AY695" s="69"/>
      <c r="AZ695" s="69"/>
      <c r="BA695" s="69"/>
      <c r="BB695" s="69"/>
      <c r="BC695" s="69"/>
      <c r="BD695" s="69"/>
      <c r="BE695" s="69"/>
      <c r="BF695" s="69"/>
      <c r="BG695" s="69"/>
      <c r="BH695" s="69"/>
      <c r="BI695" s="69"/>
      <c r="BJ695" s="69"/>
      <c r="BK695" s="69"/>
      <c r="BL695" s="69"/>
      <c r="BM695" s="69"/>
      <c r="BN695" s="69"/>
      <c r="BO695" s="69"/>
      <c r="BP695" s="69"/>
      <c r="BQ695" s="69"/>
      <c r="BR695" s="69"/>
      <c r="BS695" s="69"/>
      <c r="BT695" s="69"/>
      <c r="BU695" s="69"/>
      <c r="BV695" s="69"/>
      <c r="BW695" s="69"/>
      <c r="BX695" s="69"/>
      <c r="BY695" s="69"/>
      <c r="BZ695" s="69"/>
      <c r="CA695" s="69"/>
      <c r="CB695" s="69"/>
      <c r="CC695" s="69"/>
      <c r="CD695" s="69"/>
      <c r="CE695" s="94">
        <f t="shared" si="57"/>
        <v>1200</v>
      </c>
      <c r="CF695" s="151">
        <f t="shared" si="56"/>
        <v>0</v>
      </c>
      <c r="CG695" s="75">
        <f t="shared" si="58"/>
        <v>4545</v>
      </c>
      <c r="CH695" s="69" t="str">
        <f t="shared" si="58"/>
        <v>برنامج دولى</v>
      </c>
    </row>
    <row r="696" spans="1:86" x14ac:dyDescent="0.25">
      <c r="A696" s="148"/>
      <c r="B696" s="82">
        <v>8653</v>
      </c>
      <c r="C696" s="149">
        <v>4546</v>
      </c>
      <c r="D696" s="69" t="s">
        <v>78</v>
      </c>
      <c r="E696" s="69" t="s">
        <v>885</v>
      </c>
      <c r="F696" s="63"/>
      <c r="G696" s="69">
        <v>3283</v>
      </c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  <c r="AE696" s="69"/>
      <c r="AF696" s="69"/>
      <c r="AG696" s="69"/>
      <c r="AH696" s="69"/>
      <c r="AI696" s="69"/>
      <c r="AJ696" s="69"/>
      <c r="AK696" s="69"/>
      <c r="AL696" s="69"/>
      <c r="AM696" s="69"/>
      <c r="AN696" s="69"/>
      <c r="AO696" s="69"/>
      <c r="AP696" s="69"/>
      <c r="AQ696" s="69"/>
      <c r="AR696" s="94">
        <f t="shared" si="54"/>
        <v>3283</v>
      </c>
      <c r="AS696" s="69">
        <v>2195.8000000000002</v>
      </c>
      <c r="AT696" s="69">
        <v>296.2</v>
      </c>
      <c r="AU696" s="69">
        <v>791</v>
      </c>
      <c r="AV696" s="69"/>
      <c r="AW696" s="69"/>
      <c r="AX696" s="69"/>
      <c r="AY696" s="69"/>
      <c r="AZ696" s="69"/>
      <c r="BA696" s="69"/>
      <c r="BB696" s="69"/>
      <c r="BC696" s="69"/>
      <c r="BD696" s="69"/>
      <c r="BE696" s="69"/>
      <c r="BF696" s="69"/>
      <c r="BG696" s="69"/>
      <c r="BH696" s="69"/>
      <c r="BI696" s="69"/>
      <c r="BJ696" s="69"/>
      <c r="BK696" s="69"/>
      <c r="BL696" s="69"/>
      <c r="BM696" s="69"/>
      <c r="BN696" s="69"/>
      <c r="BO696" s="69"/>
      <c r="BP696" s="69"/>
      <c r="BQ696" s="69"/>
      <c r="BR696" s="69"/>
      <c r="BS696" s="69"/>
      <c r="BT696" s="69"/>
      <c r="BU696" s="69"/>
      <c r="BV696" s="69"/>
      <c r="BW696" s="69"/>
      <c r="BX696" s="69"/>
      <c r="BY696" s="69"/>
      <c r="BZ696" s="69"/>
      <c r="CA696" s="69"/>
      <c r="CB696" s="69"/>
      <c r="CC696" s="69"/>
      <c r="CD696" s="69"/>
      <c r="CE696" s="94">
        <f t="shared" si="57"/>
        <v>3283</v>
      </c>
      <c r="CF696" s="151">
        <f t="shared" si="56"/>
        <v>0</v>
      </c>
      <c r="CG696" s="75">
        <f t="shared" si="58"/>
        <v>4546</v>
      </c>
      <c r="CH696" s="69" t="str">
        <f t="shared" si="58"/>
        <v>برنامج دولى</v>
      </c>
    </row>
    <row r="697" spans="1:86" x14ac:dyDescent="0.25">
      <c r="A697" s="148"/>
      <c r="B697" s="82">
        <v>8654</v>
      </c>
      <c r="C697" s="149">
        <v>4547</v>
      </c>
      <c r="D697" s="69" t="s">
        <v>78</v>
      </c>
      <c r="E697" s="69" t="s">
        <v>885</v>
      </c>
      <c r="F697" s="63"/>
      <c r="G697" s="69">
        <v>3283</v>
      </c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  <c r="AE697" s="69"/>
      <c r="AF697" s="69"/>
      <c r="AG697" s="69"/>
      <c r="AH697" s="69"/>
      <c r="AI697" s="69"/>
      <c r="AJ697" s="69"/>
      <c r="AK697" s="69"/>
      <c r="AL697" s="69"/>
      <c r="AM697" s="69"/>
      <c r="AN697" s="69"/>
      <c r="AO697" s="69"/>
      <c r="AP697" s="69"/>
      <c r="AQ697" s="69"/>
      <c r="AR697" s="94">
        <f t="shared" si="54"/>
        <v>3283</v>
      </c>
      <c r="AS697" s="69">
        <v>2269.85</v>
      </c>
      <c r="AT697" s="69">
        <v>222.15</v>
      </c>
      <c r="AU697" s="69">
        <v>791</v>
      </c>
      <c r="AV697" s="69"/>
      <c r="AW697" s="69"/>
      <c r="AX697" s="69"/>
      <c r="AY697" s="69"/>
      <c r="AZ697" s="69"/>
      <c r="BA697" s="69"/>
      <c r="BB697" s="69"/>
      <c r="BC697" s="69"/>
      <c r="BD697" s="69"/>
      <c r="BE697" s="69"/>
      <c r="BF697" s="69"/>
      <c r="BG697" s="69"/>
      <c r="BH697" s="69"/>
      <c r="BI697" s="69"/>
      <c r="BJ697" s="69"/>
      <c r="BK697" s="69"/>
      <c r="BL697" s="69"/>
      <c r="BM697" s="69"/>
      <c r="BN697" s="69"/>
      <c r="BO697" s="69"/>
      <c r="BP697" s="69"/>
      <c r="BQ697" s="69"/>
      <c r="BR697" s="69"/>
      <c r="BS697" s="69"/>
      <c r="BT697" s="69"/>
      <c r="BU697" s="69"/>
      <c r="BV697" s="69"/>
      <c r="BW697" s="69"/>
      <c r="BX697" s="69"/>
      <c r="BY697" s="69"/>
      <c r="BZ697" s="69"/>
      <c r="CA697" s="69"/>
      <c r="CB697" s="69"/>
      <c r="CC697" s="69"/>
      <c r="CD697" s="69"/>
      <c r="CE697" s="94">
        <f t="shared" si="57"/>
        <v>3283</v>
      </c>
      <c r="CF697" s="151">
        <f t="shared" si="56"/>
        <v>0</v>
      </c>
      <c r="CG697" s="75">
        <f t="shared" si="58"/>
        <v>4547</v>
      </c>
      <c r="CH697" s="69" t="str">
        <f t="shared" si="58"/>
        <v>برنامج دولى</v>
      </c>
    </row>
    <row r="698" spans="1:86" x14ac:dyDescent="0.25">
      <c r="A698" s="148"/>
      <c r="B698" s="82">
        <v>8655</v>
      </c>
      <c r="C698" s="149">
        <v>4548</v>
      </c>
      <c r="D698" s="69" t="s">
        <v>78</v>
      </c>
      <c r="E698" s="69" t="s">
        <v>885</v>
      </c>
      <c r="F698" s="63"/>
      <c r="G698" s="69">
        <v>820.75</v>
      </c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  <c r="AE698" s="69"/>
      <c r="AF698" s="69"/>
      <c r="AG698" s="69"/>
      <c r="AH698" s="69"/>
      <c r="AI698" s="69"/>
      <c r="AJ698" s="69"/>
      <c r="AK698" s="69"/>
      <c r="AL698" s="69"/>
      <c r="AM698" s="69"/>
      <c r="AN698" s="69"/>
      <c r="AO698" s="69"/>
      <c r="AP698" s="69"/>
      <c r="AQ698" s="69"/>
      <c r="AR698" s="94">
        <f t="shared" si="54"/>
        <v>820.75</v>
      </c>
      <c r="AS698" s="69">
        <v>548.95000000000005</v>
      </c>
      <c r="AT698" s="69">
        <v>74.05</v>
      </c>
      <c r="AU698" s="69">
        <v>197.75</v>
      </c>
      <c r="AV698" s="69"/>
      <c r="AW698" s="69"/>
      <c r="AX698" s="69"/>
      <c r="AY698" s="69"/>
      <c r="AZ698" s="69"/>
      <c r="BA698" s="69"/>
      <c r="BB698" s="69"/>
      <c r="BC698" s="69"/>
      <c r="BD698" s="69"/>
      <c r="BE698" s="69"/>
      <c r="BF698" s="69"/>
      <c r="BG698" s="69"/>
      <c r="BH698" s="69"/>
      <c r="BI698" s="69"/>
      <c r="BJ698" s="69"/>
      <c r="BK698" s="69"/>
      <c r="BL698" s="69"/>
      <c r="BM698" s="69"/>
      <c r="BN698" s="69"/>
      <c r="BO698" s="69"/>
      <c r="BP698" s="69"/>
      <c r="BQ698" s="69"/>
      <c r="BR698" s="69"/>
      <c r="BS698" s="69"/>
      <c r="BT698" s="69"/>
      <c r="BU698" s="69"/>
      <c r="BV698" s="69"/>
      <c r="BW698" s="69"/>
      <c r="BX698" s="69"/>
      <c r="BY698" s="69"/>
      <c r="BZ698" s="69"/>
      <c r="CA698" s="69"/>
      <c r="CB698" s="69"/>
      <c r="CC698" s="69"/>
      <c r="CD698" s="69"/>
      <c r="CE698" s="94">
        <f t="shared" si="57"/>
        <v>820.75</v>
      </c>
      <c r="CF698" s="151">
        <f t="shared" si="56"/>
        <v>0</v>
      </c>
      <c r="CG698" s="75">
        <f t="shared" si="58"/>
        <v>4548</v>
      </c>
      <c r="CH698" s="69" t="str">
        <f t="shared" si="58"/>
        <v>برنامج دولى</v>
      </c>
    </row>
    <row r="699" spans="1:86" x14ac:dyDescent="0.25">
      <c r="A699" s="148"/>
      <c r="B699" s="82">
        <v>8656</v>
      </c>
      <c r="C699" s="149">
        <v>4549</v>
      </c>
      <c r="D699" s="69" t="s">
        <v>78</v>
      </c>
      <c r="E699" s="69" t="s">
        <v>2098</v>
      </c>
      <c r="F699" s="63"/>
      <c r="G699" s="69">
        <v>20707.240000000002</v>
      </c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  <c r="AE699" s="69"/>
      <c r="AF699" s="69"/>
      <c r="AG699" s="69"/>
      <c r="AH699" s="69"/>
      <c r="AI699" s="69"/>
      <c r="AJ699" s="69"/>
      <c r="AK699" s="69"/>
      <c r="AL699" s="69"/>
      <c r="AM699" s="69"/>
      <c r="AN699" s="69"/>
      <c r="AO699" s="69"/>
      <c r="AP699" s="69"/>
      <c r="AQ699" s="69"/>
      <c r="AR699" s="94">
        <f t="shared" si="54"/>
        <v>20707.240000000002</v>
      </c>
      <c r="AS699" s="69">
        <v>17407.509999999998</v>
      </c>
      <c r="AT699" s="69">
        <v>2141.5</v>
      </c>
      <c r="AU699" s="69">
        <v>1158.23</v>
      </c>
      <c r="AV699" s="69"/>
      <c r="AW699" s="69"/>
      <c r="AX699" s="69"/>
      <c r="AY699" s="69"/>
      <c r="AZ699" s="69"/>
      <c r="BA699" s="69"/>
      <c r="BB699" s="69"/>
      <c r="BC699" s="69"/>
      <c r="BD699" s="69"/>
      <c r="BE699" s="69"/>
      <c r="BF699" s="69"/>
      <c r="BG699" s="69"/>
      <c r="BH699" s="69"/>
      <c r="BI699" s="69"/>
      <c r="BJ699" s="69"/>
      <c r="BK699" s="69"/>
      <c r="BL699" s="69"/>
      <c r="BM699" s="69"/>
      <c r="BN699" s="69"/>
      <c r="BO699" s="69"/>
      <c r="BP699" s="69"/>
      <c r="BQ699" s="69"/>
      <c r="BR699" s="69"/>
      <c r="BS699" s="69"/>
      <c r="BT699" s="69"/>
      <c r="BU699" s="69"/>
      <c r="BV699" s="69"/>
      <c r="BW699" s="69"/>
      <c r="BX699" s="69"/>
      <c r="BY699" s="69"/>
      <c r="BZ699" s="69"/>
      <c r="CA699" s="69"/>
      <c r="CB699" s="69"/>
      <c r="CC699" s="69"/>
      <c r="CD699" s="69"/>
      <c r="CE699" s="94">
        <f t="shared" si="57"/>
        <v>20707.239999999998</v>
      </c>
      <c r="CF699" s="151">
        <f t="shared" si="56"/>
        <v>0</v>
      </c>
      <c r="CG699" s="75">
        <f t="shared" si="58"/>
        <v>4549</v>
      </c>
      <c r="CH699" s="69" t="str">
        <f t="shared" si="58"/>
        <v>برنامج دولى</v>
      </c>
    </row>
    <row r="700" spans="1:86" x14ac:dyDescent="0.25">
      <c r="A700" s="148"/>
      <c r="B700" s="82">
        <v>8657</v>
      </c>
      <c r="C700" s="149">
        <v>4550</v>
      </c>
      <c r="D700" s="69" t="s">
        <v>78</v>
      </c>
      <c r="E700" s="69" t="s">
        <v>2098</v>
      </c>
      <c r="F700" s="63"/>
      <c r="G700" s="69">
        <v>1172.5</v>
      </c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  <c r="AE700" s="69"/>
      <c r="AF700" s="69"/>
      <c r="AG700" s="69"/>
      <c r="AH700" s="69"/>
      <c r="AI700" s="69"/>
      <c r="AJ700" s="69"/>
      <c r="AK700" s="69"/>
      <c r="AL700" s="69"/>
      <c r="AM700" s="69"/>
      <c r="AN700" s="69"/>
      <c r="AO700" s="69"/>
      <c r="AP700" s="69"/>
      <c r="AQ700" s="69"/>
      <c r="AR700" s="94">
        <f t="shared" si="54"/>
        <v>1172.5</v>
      </c>
      <c r="AS700" s="69">
        <v>784.1</v>
      </c>
      <c r="AT700" s="69">
        <v>105.9</v>
      </c>
      <c r="AU700" s="69">
        <v>282.5</v>
      </c>
      <c r="AV700" s="69"/>
      <c r="AW700" s="69"/>
      <c r="AX700" s="69"/>
      <c r="AY700" s="69"/>
      <c r="AZ700" s="69"/>
      <c r="BA700" s="69"/>
      <c r="BB700" s="69"/>
      <c r="BC700" s="69"/>
      <c r="BD700" s="69"/>
      <c r="BE700" s="69"/>
      <c r="BF700" s="69"/>
      <c r="BG700" s="69"/>
      <c r="BH700" s="69"/>
      <c r="BI700" s="69"/>
      <c r="BJ700" s="69"/>
      <c r="BK700" s="69"/>
      <c r="BL700" s="69"/>
      <c r="BM700" s="69"/>
      <c r="BN700" s="69"/>
      <c r="BO700" s="69"/>
      <c r="BP700" s="69"/>
      <c r="BQ700" s="69"/>
      <c r="BR700" s="69"/>
      <c r="BS700" s="69"/>
      <c r="BT700" s="69"/>
      <c r="BU700" s="69"/>
      <c r="BV700" s="69"/>
      <c r="BW700" s="69"/>
      <c r="BX700" s="69"/>
      <c r="BY700" s="69"/>
      <c r="BZ700" s="69"/>
      <c r="CA700" s="69"/>
      <c r="CB700" s="69"/>
      <c r="CC700" s="69"/>
      <c r="CD700" s="69"/>
      <c r="CE700" s="94">
        <f t="shared" si="57"/>
        <v>1172.5</v>
      </c>
      <c r="CF700" s="151">
        <f t="shared" si="56"/>
        <v>0</v>
      </c>
      <c r="CG700" s="75">
        <f t="shared" si="58"/>
        <v>4550</v>
      </c>
      <c r="CH700" s="69" t="str">
        <f t="shared" si="58"/>
        <v>برنامج دولى</v>
      </c>
    </row>
    <row r="701" spans="1:86" x14ac:dyDescent="0.25">
      <c r="A701" s="148"/>
      <c r="B701" s="82">
        <v>8658</v>
      </c>
      <c r="C701" s="149">
        <v>4551</v>
      </c>
      <c r="D701" s="69" t="s">
        <v>78</v>
      </c>
      <c r="E701" s="69" t="s">
        <v>790</v>
      </c>
      <c r="F701" s="63"/>
      <c r="G701" s="69">
        <v>17975.560000000001</v>
      </c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  <c r="AE701" s="69"/>
      <c r="AF701" s="69"/>
      <c r="AG701" s="69"/>
      <c r="AH701" s="69"/>
      <c r="AI701" s="69"/>
      <c r="AJ701" s="69"/>
      <c r="AK701" s="69"/>
      <c r="AL701" s="69"/>
      <c r="AM701" s="69"/>
      <c r="AN701" s="69"/>
      <c r="AO701" s="69"/>
      <c r="AP701" s="69"/>
      <c r="AQ701" s="69"/>
      <c r="AR701" s="94">
        <f t="shared" si="54"/>
        <v>17975.560000000001</v>
      </c>
      <c r="AS701" s="69">
        <v>15298.98</v>
      </c>
      <c r="AT701" s="69">
        <v>1869.9</v>
      </c>
      <c r="AU701" s="69">
        <v>806.68</v>
      </c>
      <c r="AV701" s="69"/>
      <c r="AW701" s="69"/>
      <c r="AX701" s="69"/>
      <c r="AY701" s="69"/>
      <c r="AZ701" s="69"/>
      <c r="BA701" s="69"/>
      <c r="BB701" s="69"/>
      <c r="BC701" s="69"/>
      <c r="BD701" s="69"/>
      <c r="BE701" s="69"/>
      <c r="BF701" s="69"/>
      <c r="BG701" s="69"/>
      <c r="BH701" s="69"/>
      <c r="BI701" s="69"/>
      <c r="BJ701" s="69"/>
      <c r="BK701" s="69"/>
      <c r="BL701" s="69"/>
      <c r="BM701" s="69"/>
      <c r="BN701" s="69"/>
      <c r="BO701" s="69"/>
      <c r="BP701" s="69"/>
      <c r="BQ701" s="69"/>
      <c r="BR701" s="69"/>
      <c r="BS701" s="69"/>
      <c r="BT701" s="69"/>
      <c r="BU701" s="69"/>
      <c r="BV701" s="69"/>
      <c r="BW701" s="69"/>
      <c r="BX701" s="69"/>
      <c r="BY701" s="69"/>
      <c r="BZ701" s="69"/>
      <c r="CA701" s="69"/>
      <c r="CB701" s="69"/>
      <c r="CC701" s="69"/>
      <c r="CD701" s="69"/>
      <c r="CE701" s="94">
        <f t="shared" si="57"/>
        <v>17975.560000000001</v>
      </c>
      <c r="CF701" s="151">
        <f t="shared" si="56"/>
        <v>0</v>
      </c>
      <c r="CG701" s="75">
        <f t="shared" si="58"/>
        <v>4551</v>
      </c>
      <c r="CH701" s="69" t="str">
        <f t="shared" si="58"/>
        <v>برنامج دولى</v>
      </c>
    </row>
    <row r="702" spans="1:86" x14ac:dyDescent="0.25">
      <c r="A702" s="148"/>
      <c r="B702" s="82">
        <v>8659</v>
      </c>
      <c r="C702" s="149">
        <v>4552</v>
      </c>
      <c r="D702" s="69" t="s">
        <v>78</v>
      </c>
      <c r="E702" s="69" t="s">
        <v>790</v>
      </c>
      <c r="F702" s="63"/>
      <c r="G702" s="69">
        <v>1000</v>
      </c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  <c r="AE702" s="69"/>
      <c r="AF702" s="69"/>
      <c r="AG702" s="69"/>
      <c r="AH702" s="69"/>
      <c r="AI702" s="69"/>
      <c r="AJ702" s="69"/>
      <c r="AK702" s="69"/>
      <c r="AL702" s="69"/>
      <c r="AM702" s="69"/>
      <c r="AN702" s="69"/>
      <c r="AO702" s="69"/>
      <c r="AP702" s="69"/>
      <c r="AQ702" s="69"/>
      <c r="AR702" s="94">
        <f t="shared" si="54"/>
        <v>1000</v>
      </c>
      <c r="AS702" s="69">
        <v>893.35</v>
      </c>
      <c r="AT702" s="69">
        <v>106.65</v>
      </c>
      <c r="AU702" s="69"/>
      <c r="AV702" s="69"/>
      <c r="AW702" s="69"/>
      <c r="AX702" s="69"/>
      <c r="AY702" s="69"/>
      <c r="AZ702" s="69"/>
      <c r="BA702" s="69"/>
      <c r="BB702" s="69"/>
      <c r="BC702" s="69"/>
      <c r="BD702" s="69"/>
      <c r="BE702" s="69"/>
      <c r="BF702" s="69"/>
      <c r="BG702" s="69"/>
      <c r="BH702" s="69"/>
      <c r="BI702" s="69"/>
      <c r="BJ702" s="69"/>
      <c r="BK702" s="69"/>
      <c r="BL702" s="69"/>
      <c r="BM702" s="69"/>
      <c r="BN702" s="69"/>
      <c r="BO702" s="69"/>
      <c r="BP702" s="69"/>
      <c r="BQ702" s="69"/>
      <c r="BR702" s="69"/>
      <c r="BS702" s="69"/>
      <c r="BT702" s="69"/>
      <c r="BU702" s="69"/>
      <c r="BV702" s="69"/>
      <c r="BW702" s="69"/>
      <c r="BX702" s="69"/>
      <c r="BY702" s="69"/>
      <c r="BZ702" s="69"/>
      <c r="CA702" s="69"/>
      <c r="CB702" s="69"/>
      <c r="CC702" s="69"/>
      <c r="CD702" s="69"/>
      <c r="CE702" s="94">
        <f t="shared" si="57"/>
        <v>1000</v>
      </c>
      <c r="CF702" s="151">
        <f t="shared" si="56"/>
        <v>0</v>
      </c>
      <c r="CG702" s="75">
        <f t="shared" si="58"/>
        <v>4552</v>
      </c>
      <c r="CH702" s="69" t="str">
        <f t="shared" si="58"/>
        <v>برنامج دولى</v>
      </c>
    </row>
    <row r="703" spans="1:86" x14ac:dyDescent="0.25">
      <c r="A703" s="148"/>
      <c r="B703" s="82">
        <v>8660</v>
      </c>
      <c r="C703" s="149">
        <v>4553</v>
      </c>
      <c r="D703" s="69" t="s">
        <v>78</v>
      </c>
      <c r="E703" s="69" t="s">
        <v>3325</v>
      </c>
      <c r="F703" s="63"/>
      <c r="G703" s="69">
        <v>1172.5</v>
      </c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  <c r="AE703" s="69"/>
      <c r="AF703" s="69"/>
      <c r="AG703" s="69"/>
      <c r="AH703" s="69"/>
      <c r="AI703" s="69"/>
      <c r="AJ703" s="69"/>
      <c r="AK703" s="69"/>
      <c r="AL703" s="69"/>
      <c r="AM703" s="69"/>
      <c r="AN703" s="69"/>
      <c r="AO703" s="69"/>
      <c r="AP703" s="69"/>
      <c r="AQ703" s="69"/>
      <c r="AR703" s="94">
        <f t="shared" si="54"/>
        <v>1172.5</v>
      </c>
      <c r="AS703" s="69">
        <v>784.1</v>
      </c>
      <c r="AT703" s="69">
        <v>105.9</v>
      </c>
      <c r="AU703" s="69">
        <v>282.5</v>
      </c>
      <c r="AV703" s="69"/>
      <c r="AW703" s="69"/>
      <c r="AX703" s="69"/>
      <c r="AY703" s="69"/>
      <c r="AZ703" s="69"/>
      <c r="BA703" s="69"/>
      <c r="BB703" s="69"/>
      <c r="BC703" s="69"/>
      <c r="BD703" s="69"/>
      <c r="BE703" s="69"/>
      <c r="BF703" s="69"/>
      <c r="BG703" s="69"/>
      <c r="BH703" s="69"/>
      <c r="BI703" s="69"/>
      <c r="BJ703" s="69"/>
      <c r="BK703" s="69"/>
      <c r="BL703" s="69"/>
      <c r="BM703" s="69"/>
      <c r="BN703" s="69"/>
      <c r="BO703" s="69"/>
      <c r="BP703" s="69"/>
      <c r="BQ703" s="69"/>
      <c r="BR703" s="69"/>
      <c r="BS703" s="69"/>
      <c r="BT703" s="69"/>
      <c r="BU703" s="69"/>
      <c r="BV703" s="69"/>
      <c r="BW703" s="69"/>
      <c r="BX703" s="69"/>
      <c r="BY703" s="69"/>
      <c r="BZ703" s="69"/>
      <c r="CA703" s="69"/>
      <c r="CB703" s="69"/>
      <c r="CC703" s="69"/>
      <c r="CD703" s="69"/>
      <c r="CE703" s="94">
        <f t="shared" si="57"/>
        <v>1172.5</v>
      </c>
      <c r="CF703" s="151">
        <f t="shared" si="56"/>
        <v>0</v>
      </c>
      <c r="CG703" s="75">
        <f t="shared" si="58"/>
        <v>4553</v>
      </c>
      <c r="CH703" s="69" t="str">
        <f t="shared" si="58"/>
        <v>برنامج دولى</v>
      </c>
    </row>
    <row r="704" spans="1:86" x14ac:dyDescent="0.25">
      <c r="A704" s="148"/>
      <c r="B704" s="82">
        <v>8661</v>
      </c>
      <c r="C704" s="149">
        <v>4554</v>
      </c>
      <c r="D704" s="69" t="s">
        <v>78</v>
      </c>
      <c r="E704" s="69" t="s">
        <v>1452</v>
      </c>
      <c r="F704" s="63"/>
      <c r="G704" s="69">
        <v>1758.75</v>
      </c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  <c r="AE704" s="69"/>
      <c r="AF704" s="69"/>
      <c r="AG704" s="69"/>
      <c r="AH704" s="69"/>
      <c r="AI704" s="69"/>
      <c r="AJ704" s="69"/>
      <c r="AK704" s="69"/>
      <c r="AL704" s="69"/>
      <c r="AM704" s="69"/>
      <c r="AN704" s="69"/>
      <c r="AO704" s="69"/>
      <c r="AP704" s="69"/>
      <c r="AQ704" s="69"/>
      <c r="AR704" s="94">
        <f t="shared" si="54"/>
        <v>1758.75</v>
      </c>
      <c r="AS704" s="69">
        <v>1175.3499999999999</v>
      </c>
      <c r="AT704" s="69">
        <v>159.65</v>
      </c>
      <c r="AU704" s="69">
        <v>423.75</v>
      </c>
      <c r="AV704" s="69"/>
      <c r="AW704" s="69"/>
      <c r="AX704" s="69"/>
      <c r="AY704" s="69"/>
      <c r="AZ704" s="69"/>
      <c r="BA704" s="69"/>
      <c r="BB704" s="69"/>
      <c r="BC704" s="69"/>
      <c r="BD704" s="69"/>
      <c r="BE704" s="69"/>
      <c r="BF704" s="69"/>
      <c r="BG704" s="69"/>
      <c r="BH704" s="69"/>
      <c r="BI704" s="69"/>
      <c r="BJ704" s="69"/>
      <c r="BK704" s="69"/>
      <c r="BL704" s="69"/>
      <c r="BM704" s="69"/>
      <c r="BN704" s="69"/>
      <c r="BO704" s="69"/>
      <c r="BP704" s="69"/>
      <c r="BQ704" s="69"/>
      <c r="BR704" s="69"/>
      <c r="BS704" s="69"/>
      <c r="BT704" s="69"/>
      <c r="BU704" s="69"/>
      <c r="BV704" s="69"/>
      <c r="BW704" s="69"/>
      <c r="BX704" s="69"/>
      <c r="BY704" s="69"/>
      <c r="BZ704" s="69"/>
      <c r="CA704" s="69"/>
      <c r="CB704" s="69"/>
      <c r="CC704" s="69"/>
      <c r="CD704" s="69"/>
      <c r="CE704" s="94">
        <f t="shared" si="57"/>
        <v>1758.75</v>
      </c>
      <c r="CF704" s="151">
        <f t="shared" si="56"/>
        <v>0</v>
      </c>
      <c r="CG704" s="75">
        <f t="shared" si="58"/>
        <v>4554</v>
      </c>
      <c r="CH704" s="69" t="str">
        <f t="shared" si="58"/>
        <v>برنامج دولى</v>
      </c>
    </row>
    <row r="705" spans="1:86" x14ac:dyDescent="0.25">
      <c r="A705" s="148"/>
      <c r="B705" s="82">
        <v>8662</v>
      </c>
      <c r="C705" s="149">
        <v>4555</v>
      </c>
      <c r="D705" s="69" t="s">
        <v>78</v>
      </c>
      <c r="E705" s="69" t="s">
        <v>1515</v>
      </c>
      <c r="F705" s="63"/>
      <c r="G705" s="69">
        <v>20555.23</v>
      </c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  <c r="AE705" s="69"/>
      <c r="AF705" s="69"/>
      <c r="AG705" s="69"/>
      <c r="AH705" s="69"/>
      <c r="AI705" s="69"/>
      <c r="AJ705" s="69"/>
      <c r="AK705" s="69"/>
      <c r="AL705" s="69"/>
      <c r="AM705" s="69"/>
      <c r="AN705" s="69"/>
      <c r="AO705" s="69"/>
      <c r="AP705" s="69"/>
      <c r="AQ705" s="69"/>
      <c r="AR705" s="94">
        <f t="shared" si="54"/>
        <v>20555.23</v>
      </c>
      <c r="AS705" s="69">
        <v>17501.43</v>
      </c>
      <c r="AT705" s="69">
        <v>2144.5</v>
      </c>
      <c r="AU705" s="69">
        <v>909.3</v>
      </c>
      <c r="AV705" s="69"/>
      <c r="AW705" s="69"/>
      <c r="AX705" s="69"/>
      <c r="AY705" s="69"/>
      <c r="AZ705" s="69"/>
      <c r="BA705" s="69"/>
      <c r="BB705" s="69"/>
      <c r="BC705" s="69"/>
      <c r="BD705" s="69"/>
      <c r="BE705" s="69"/>
      <c r="BF705" s="69"/>
      <c r="BG705" s="69"/>
      <c r="BH705" s="69"/>
      <c r="BI705" s="69"/>
      <c r="BJ705" s="69"/>
      <c r="BK705" s="69"/>
      <c r="BL705" s="69"/>
      <c r="BM705" s="69"/>
      <c r="BN705" s="69"/>
      <c r="BO705" s="69"/>
      <c r="BP705" s="69"/>
      <c r="BQ705" s="69"/>
      <c r="BR705" s="69"/>
      <c r="BS705" s="69"/>
      <c r="BT705" s="69"/>
      <c r="BU705" s="69"/>
      <c r="BV705" s="69"/>
      <c r="BW705" s="69"/>
      <c r="BX705" s="69"/>
      <c r="BY705" s="69"/>
      <c r="BZ705" s="69"/>
      <c r="CA705" s="69"/>
      <c r="CB705" s="69"/>
      <c r="CC705" s="69"/>
      <c r="CD705" s="69"/>
      <c r="CE705" s="94">
        <f t="shared" si="57"/>
        <v>20555.23</v>
      </c>
      <c r="CF705" s="151">
        <f t="shared" si="56"/>
        <v>0</v>
      </c>
      <c r="CG705" s="75">
        <f t="shared" si="58"/>
        <v>4555</v>
      </c>
      <c r="CH705" s="69" t="str">
        <f t="shared" si="58"/>
        <v>برنامج دولى</v>
      </c>
    </row>
    <row r="706" spans="1:86" x14ac:dyDescent="0.25">
      <c r="A706" s="148"/>
      <c r="B706" s="82">
        <v>8663</v>
      </c>
      <c r="C706" s="149">
        <v>4556</v>
      </c>
      <c r="D706" s="69" t="s">
        <v>78</v>
      </c>
      <c r="E706" s="69" t="str">
        <f>+E698</f>
        <v>مكافاه كيرسيرفيس</v>
      </c>
      <c r="F706" s="63"/>
      <c r="G706" s="69">
        <v>1200</v>
      </c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  <c r="AE706" s="69"/>
      <c r="AF706" s="69"/>
      <c r="AG706" s="69"/>
      <c r="AH706" s="69"/>
      <c r="AI706" s="69"/>
      <c r="AJ706" s="69"/>
      <c r="AK706" s="69"/>
      <c r="AL706" s="69"/>
      <c r="AM706" s="69"/>
      <c r="AN706" s="69"/>
      <c r="AO706" s="69"/>
      <c r="AP706" s="69"/>
      <c r="AQ706" s="69"/>
      <c r="AR706" s="94">
        <f t="shared" si="54"/>
        <v>1200</v>
      </c>
      <c r="AS706" s="69">
        <v>1071.3499999999999</v>
      </c>
      <c r="AT706" s="69">
        <v>128.65</v>
      </c>
      <c r="AU706" s="69"/>
      <c r="AV706" s="69"/>
      <c r="AW706" s="69"/>
      <c r="AX706" s="69"/>
      <c r="AY706" s="69"/>
      <c r="AZ706" s="69"/>
      <c r="BA706" s="69"/>
      <c r="BB706" s="69"/>
      <c r="BC706" s="69"/>
      <c r="BD706" s="69"/>
      <c r="BE706" s="69"/>
      <c r="BF706" s="69"/>
      <c r="BG706" s="69"/>
      <c r="BH706" s="69"/>
      <c r="BI706" s="69"/>
      <c r="BJ706" s="69"/>
      <c r="BK706" s="69"/>
      <c r="BL706" s="69"/>
      <c r="BM706" s="69"/>
      <c r="BN706" s="69"/>
      <c r="BO706" s="69"/>
      <c r="BP706" s="69"/>
      <c r="BQ706" s="69"/>
      <c r="BR706" s="69"/>
      <c r="BS706" s="69"/>
      <c r="BT706" s="69"/>
      <c r="BU706" s="69"/>
      <c r="BV706" s="69"/>
      <c r="BW706" s="69"/>
      <c r="BX706" s="69"/>
      <c r="BY706" s="69"/>
      <c r="BZ706" s="69"/>
      <c r="CA706" s="69"/>
      <c r="CB706" s="69"/>
      <c r="CC706" s="69"/>
      <c r="CD706" s="69"/>
      <c r="CE706" s="94">
        <f t="shared" si="57"/>
        <v>1200</v>
      </c>
      <c r="CF706" s="151">
        <f t="shared" si="56"/>
        <v>0</v>
      </c>
      <c r="CG706" s="75">
        <f t="shared" si="58"/>
        <v>4556</v>
      </c>
      <c r="CH706" s="69" t="str">
        <f t="shared" si="58"/>
        <v>برنامج دولى</v>
      </c>
    </row>
    <row r="707" spans="1:86" x14ac:dyDescent="0.25">
      <c r="A707" s="148"/>
      <c r="B707" s="82">
        <v>8664</v>
      </c>
      <c r="C707" s="149">
        <v>4557</v>
      </c>
      <c r="D707" s="69" t="s">
        <v>78</v>
      </c>
      <c r="E707" s="69" t="s">
        <v>885</v>
      </c>
      <c r="F707" s="63"/>
      <c r="G707" s="69">
        <v>820.75</v>
      </c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  <c r="AE707" s="69"/>
      <c r="AF707" s="69"/>
      <c r="AG707" s="69"/>
      <c r="AH707" s="69"/>
      <c r="AI707" s="69"/>
      <c r="AJ707" s="69"/>
      <c r="AK707" s="69"/>
      <c r="AL707" s="69"/>
      <c r="AM707" s="69"/>
      <c r="AN707" s="69"/>
      <c r="AO707" s="69"/>
      <c r="AP707" s="69"/>
      <c r="AQ707" s="69"/>
      <c r="AR707" s="94">
        <f t="shared" si="54"/>
        <v>820.75</v>
      </c>
      <c r="AS707" s="69">
        <v>548.95000000000005</v>
      </c>
      <c r="AT707" s="69">
        <v>74.05</v>
      </c>
      <c r="AU707" s="69">
        <v>197.75</v>
      </c>
      <c r="AV707" s="69"/>
      <c r="AW707" s="69"/>
      <c r="AX707" s="69"/>
      <c r="AY707" s="69"/>
      <c r="AZ707" s="69"/>
      <c r="BA707" s="69"/>
      <c r="BB707" s="69"/>
      <c r="BC707" s="69"/>
      <c r="BD707" s="69"/>
      <c r="BE707" s="69"/>
      <c r="BF707" s="69"/>
      <c r="BG707" s="69"/>
      <c r="BH707" s="69"/>
      <c r="BI707" s="69"/>
      <c r="BJ707" s="69"/>
      <c r="BK707" s="69"/>
      <c r="BL707" s="69"/>
      <c r="BM707" s="69"/>
      <c r="BN707" s="69"/>
      <c r="BO707" s="69"/>
      <c r="BP707" s="69"/>
      <c r="BQ707" s="69"/>
      <c r="BR707" s="69"/>
      <c r="BS707" s="69"/>
      <c r="BT707" s="69"/>
      <c r="BU707" s="69"/>
      <c r="BV707" s="69"/>
      <c r="BW707" s="69"/>
      <c r="BX707" s="69"/>
      <c r="BY707" s="69"/>
      <c r="BZ707" s="69"/>
      <c r="CA707" s="69"/>
      <c r="CB707" s="69"/>
      <c r="CC707" s="69"/>
      <c r="CD707" s="69"/>
      <c r="CE707" s="94">
        <f t="shared" si="57"/>
        <v>820.75</v>
      </c>
      <c r="CF707" s="151">
        <f t="shared" si="56"/>
        <v>0</v>
      </c>
      <c r="CG707" s="75">
        <f t="shared" si="58"/>
        <v>4557</v>
      </c>
      <c r="CH707" s="69" t="str">
        <f t="shared" si="58"/>
        <v>برنامج دولى</v>
      </c>
    </row>
    <row r="708" spans="1:86" x14ac:dyDescent="0.25">
      <c r="A708" s="148"/>
      <c r="B708" s="82">
        <v>8665</v>
      </c>
      <c r="C708" s="149">
        <v>4558</v>
      </c>
      <c r="D708" s="69" t="s">
        <v>78</v>
      </c>
      <c r="E708" s="69" t="s">
        <v>885</v>
      </c>
      <c r="F708" s="63"/>
      <c r="G708" s="69">
        <v>3283</v>
      </c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  <c r="AE708" s="69"/>
      <c r="AF708" s="69"/>
      <c r="AG708" s="69"/>
      <c r="AH708" s="69"/>
      <c r="AI708" s="69"/>
      <c r="AJ708" s="69"/>
      <c r="AK708" s="69"/>
      <c r="AL708" s="69"/>
      <c r="AM708" s="69"/>
      <c r="AN708" s="69"/>
      <c r="AO708" s="69"/>
      <c r="AP708" s="69"/>
      <c r="AQ708" s="69"/>
      <c r="AR708" s="94">
        <f t="shared" si="54"/>
        <v>3283</v>
      </c>
      <c r="AS708" s="69">
        <v>2195.8000000000002</v>
      </c>
      <c r="AT708" s="69">
        <v>296.2</v>
      </c>
      <c r="AU708" s="69">
        <v>791</v>
      </c>
      <c r="AV708" s="69"/>
      <c r="AW708" s="69"/>
      <c r="AX708" s="69"/>
      <c r="AY708" s="69"/>
      <c r="AZ708" s="69"/>
      <c r="BA708" s="69"/>
      <c r="BB708" s="69"/>
      <c r="BC708" s="69"/>
      <c r="BD708" s="69"/>
      <c r="BE708" s="69"/>
      <c r="BF708" s="69"/>
      <c r="BG708" s="69"/>
      <c r="BH708" s="69"/>
      <c r="BI708" s="69"/>
      <c r="BJ708" s="69"/>
      <c r="BK708" s="69"/>
      <c r="BL708" s="69"/>
      <c r="BM708" s="69"/>
      <c r="BN708" s="69"/>
      <c r="BO708" s="69"/>
      <c r="BP708" s="69"/>
      <c r="BQ708" s="69"/>
      <c r="BR708" s="69"/>
      <c r="BS708" s="69"/>
      <c r="BT708" s="69"/>
      <c r="BU708" s="69"/>
      <c r="BV708" s="69"/>
      <c r="BW708" s="69"/>
      <c r="BX708" s="69"/>
      <c r="BY708" s="69"/>
      <c r="BZ708" s="69"/>
      <c r="CA708" s="69"/>
      <c r="CB708" s="69"/>
      <c r="CC708" s="69"/>
      <c r="CD708" s="69"/>
      <c r="CE708" s="94">
        <f t="shared" si="57"/>
        <v>3283</v>
      </c>
      <c r="CF708" s="151">
        <f t="shared" si="56"/>
        <v>0</v>
      </c>
      <c r="CG708" s="75">
        <f t="shared" si="58"/>
        <v>4558</v>
      </c>
      <c r="CH708" s="69" t="str">
        <f t="shared" si="58"/>
        <v>برنامج دولى</v>
      </c>
    </row>
    <row r="709" spans="1:86" x14ac:dyDescent="0.25">
      <c r="A709" s="148"/>
      <c r="B709" s="82">
        <v>8666</v>
      </c>
      <c r="C709" s="149">
        <v>4559</v>
      </c>
      <c r="D709" s="69" t="s">
        <v>78</v>
      </c>
      <c r="E709" s="69" t="s">
        <v>885</v>
      </c>
      <c r="F709" s="63"/>
      <c r="G709" s="69">
        <v>3283</v>
      </c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  <c r="AE709" s="69"/>
      <c r="AF709" s="69"/>
      <c r="AG709" s="69"/>
      <c r="AH709" s="69"/>
      <c r="AI709" s="69"/>
      <c r="AJ709" s="69"/>
      <c r="AK709" s="69"/>
      <c r="AL709" s="69"/>
      <c r="AM709" s="69"/>
      <c r="AN709" s="69"/>
      <c r="AO709" s="69"/>
      <c r="AP709" s="69"/>
      <c r="AQ709" s="69"/>
      <c r="AR709" s="94">
        <f t="shared" si="54"/>
        <v>3283</v>
      </c>
      <c r="AS709" s="69">
        <v>2269.85</v>
      </c>
      <c r="AT709" s="69">
        <v>222.15</v>
      </c>
      <c r="AU709" s="69">
        <v>791</v>
      </c>
      <c r="AV709" s="69"/>
      <c r="AW709" s="69"/>
      <c r="AX709" s="69"/>
      <c r="AY709" s="69"/>
      <c r="AZ709" s="69"/>
      <c r="BA709" s="69"/>
      <c r="BB709" s="69"/>
      <c r="BC709" s="69"/>
      <c r="BD709" s="69"/>
      <c r="BE709" s="69"/>
      <c r="BF709" s="69"/>
      <c r="BG709" s="69"/>
      <c r="BH709" s="69"/>
      <c r="BI709" s="69"/>
      <c r="BJ709" s="69"/>
      <c r="BK709" s="69"/>
      <c r="BL709" s="69"/>
      <c r="BM709" s="69"/>
      <c r="BN709" s="69"/>
      <c r="BO709" s="69"/>
      <c r="BP709" s="69"/>
      <c r="BQ709" s="69"/>
      <c r="BR709" s="69"/>
      <c r="BS709" s="69"/>
      <c r="BT709" s="69"/>
      <c r="BU709" s="69"/>
      <c r="BV709" s="69"/>
      <c r="BW709" s="69"/>
      <c r="BX709" s="69"/>
      <c r="BY709" s="69"/>
      <c r="BZ709" s="69"/>
      <c r="CA709" s="69"/>
      <c r="CB709" s="69"/>
      <c r="CC709" s="69"/>
      <c r="CD709" s="69"/>
      <c r="CE709" s="94">
        <f t="shared" si="57"/>
        <v>3283</v>
      </c>
      <c r="CF709" s="151">
        <f t="shared" si="56"/>
        <v>0</v>
      </c>
      <c r="CG709" s="75">
        <f t="shared" si="58"/>
        <v>4559</v>
      </c>
      <c r="CH709" s="69" t="str">
        <f t="shared" si="58"/>
        <v>برنامج دولى</v>
      </c>
    </row>
    <row r="710" spans="1:86" x14ac:dyDescent="0.25">
      <c r="A710" s="148"/>
      <c r="B710" s="82">
        <v>8667</v>
      </c>
      <c r="C710" s="149">
        <v>4560</v>
      </c>
      <c r="D710" s="69" t="s">
        <v>78</v>
      </c>
      <c r="E710" s="69" t="s">
        <v>885</v>
      </c>
      <c r="F710" s="63"/>
      <c r="G710" s="69">
        <v>820.75</v>
      </c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  <c r="AE710" s="69"/>
      <c r="AF710" s="69"/>
      <c r="AG710" s="69"/>
      <c r="AH710" s="69"/>
      <c r="AI710" s="69"/>
      <c r="AJ710" s="69"/>
      <c r="AK710" s="69"/>
      <c r="AL710" s="69"/>
      <c r="AM710" s="69"/>
      <c r="AN710" s="69"/>
      <c r="AO710" s="69"/>
      <c r="AP710" s="69"/>
      <c r="AQ710" s="69"/>
      <c r="AR710" s="94">
        <f t="shared" si="54"/>
        <v>820.75</v>
      </c>
      <c r="AS710" s="69">
        <v>548.95000000000005</v>
      </c>
      <c r="AT710" s="69">
        <v>74.05</v>
      </c>
      <c r="AU710" s="69">
        <v>197.75</v>
      </c>
      <c r="AV710" s="69"/>
      <c r="AW710" s="69"/>
      <c r="AX710" s="69"/>
      <c r="AY710" s="69"/>
      <c r="AZ710" s="69"/>
      <c r="BA710" s="69"/>
      <c r="BB710" s="69"/>
      <c r="BC710" s="69"/>
      <c r="BD710" s="69"/>
      <c r="BE710" s="69"/>
      <c r="BF710" s="69"/>
      <c r="BG710" s="69"/>
      <c r="BH710" s="69"/>
      <c r="BI710" s="69"/>
      <c r="BJ710" s="69"/>
      <c r="BK710" s="69"/>
      <c r="BL710" s="69"/>
      <c r="BM710" s="69"/>
      <c r="BN710" s="69"/>
      <c r="BO710" s="69"/>
      <c r="BP710" s="69"/>
      <c r="BQ710" s="69"/>
      <c r="BR710" s="69"/>
      <c r="BS710" s="69"/>
      <c r="BT710" s="69"/>
      <c r="BU710" s="69"/>
      <c r="BV710" s="69"/>
      <c r="BW710" s="69"/>
      <c r="BX710" s="69"/>
      <c r="BY710" s="69"/>
      <c r="BZ710" s="69"/>
      <c r="CA710" s="69"/>
      <c r="CB710" s="69"/>
      <c r="CC710" s="69"/>
      <c r="CD710" s="69"/>
      <c r="CE710" s="94">
        <f t="shared" si="57"/>
        <v>820.75</v>
      </c>
      <c r="CF710" s="151">
        <f t="shared" si="56"/>
        <v>0</v>
      </c>
      <c r="CG710" s="75">
        <f t="shared" si="58"/>
        <v>4560</v>
      </c>
      <c r="CH710" s="69" t="str">
        <f t="shared" si="58"/>
        <v>برنامج دولى</v>
      </c>
    </row>
    <row r="711" spans="1:86" x14ac:dyDescent="0.25">
      <c r="A711" s="148"/>
      <c r="B711" s="82">
        <v>8668</v>
      </c>
      <c r="C711" s="149">
        <v>4561</v>
      </c>
      <c r="D711" s="69" t="s">
        <v>78</v>
      </c>
      <c r="E711" s="69" t="s">
        <v>3326</v>
      </c>
      <c r="F711" s="63"/>
      <c r="G711" s="69">
        <v>9900</v>
      </c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  <c r="AE711" s="69"/>
      <c r="AF711" s="69"/>
      <c r="AG711" s="69"/>
      <c r="AH711" s="69"/>
      <c r="AI711" s="69"/>
      <c r="AJ711" s="69"/>
      <c r="AK711" s="69"/>
      <c r="AL711" s="69"/>
      <c r="AM711" s="69"/>
      <c r="AN711" s="69"/>
      <c r="AO711" s="69"/>
      <c r="AP711" s="69"/>
      <c r="AQ711" s="69"/>
      <c r="AR711" s="94">
        <f t="shared" si="54"/>
        <v>9900</v>
      </c>
      <c r="AS711" s="69">
        <v>8837.4</v>
      </c>
      <c r="AT711" s="69">
        <v>1062.5999999999999</v>
      </c>
      <c r="AU711" s="69"/>
      <c r="AV711" s="69"/>
      <c r="AW711" s="69"/>
      <c r="AX711" s="69"/>
      <c r="AY711" s="69"/>
      <c r="AZ711" s="69"/>
      <c r="BA711" s="69"/>
      <c r="BB711" s="69"/>
      <c r="BC711" s="69"/>
      <c r="BD711" s="69"/>
      <c r="BE711" s="69"/>
      <c r="BF711" s="69"/>
      <c r="BG711" s="69"/>
      <c r="BH711" s="69"/>
      <c r="BI711" s="69"/>
      <c r="BJ711" s="69"/>
      <c r="BK711" s="69"/>
      <c r="BL711" s="69"/>
      <c r="BM711" s="69"/>
      <c r="BN711" s="69"/>
      <c r="BO711" s="69"/>
      <c r="BP711" s="69"/>
      <c r="BQ711" s="69"/>
      <c r="BR711" s="69"/>
      <c r="BS711" s="69"/>
      <c r="BT711" s="69"/>
      <c r="BU711" s="69"/>
      <c r="BV711" s="69"/>
      <c r="BW711" s="69"/>
      <c r="BX711" s="69"/>
      <c r="BY711" s="69"/>
      <c r="BZ711" s="69"/>
      <c r="CA711" s="69"/>
      <c r="CB711" s="69"/>
      <c r="CC711" s="69"/>
      <c r="CD711" s="69"/>
      <c r="CE711" s="94">
        <f t="shared" si="57"/>
        <v>9900</v>
      </c>
      <c r="CF711" s="151">
        <f t="shared" si="56"/>
        <v>0</v>
      </c>
      <c r="CG711" s="75">
        <f t="shared" si="58"/>
        <v>4561</v>
      </c>
      <c r="CH711" s="69" t="str">
        <f t="shared" si="58"/>
        <v>برنامج دولى</v>
      </c>
    </row>
    <row r="712" spans="1:86" x14ac:dyDescent="0.25">
      <c r="A712" s="148"/>
      <c r="B712" s="82">
        <v>8669</v>
      </c>
      <c r="C712" s="149">
        <v>4562</v>
      </c>
      <c r="D712" s="69" t="s">
        <v>78</v>
      </c>
      <c r="E712" s="69" t="s">
        <v>3326</v>
      </c>
      <c r="F712" s="63"/>
      <c r="G712" s="69">
        <v>2750</v>
      </c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  <c r="AD712" s="69"/>
      <c r="AE712" s="69"/>
      <c r="AF712" s="69"/>
      <c r="AG712" s="69"/>
      <c r="AH712" s="69"/>
      <c r="AI712" s="69"/>
      <c r="AJ712" s="69"/>
      <c r="AK712" s="69"/>
      <c r="AL712" s="69"/>
      <c r="AM712" s="69"/>
      <c r="AN712" s="69"/>
      <c r="AO712" s="69"/>
      <c r="AP712" s="69"/>
      <c r="AQ712" s="69"/>
      <c r="AR712" s="94">
        <f t="shared" si="54"/>
        <v>2750</v>
      </c>
      <c r="AS712" s="69">
        <v>2455.1</v>
      </c>
      <c r="AT712" s="69">
        <v>294.89999999999998</v>
      </c>
      <c r="AU712" s="69"/>
      <c r="AV712" s="69"/>
      <c r="AW712" s="69"/>
      <c r="AX712" s="69"/>
      <c r="AY712" s="69"/>
      <c r="AZ712" s="69"/>
      <c r="BA712" s="69"/>
      <c r="BB712" s="69"/>
      <c r="BC712" s="69"/>
      <c r="BD712" s="69"/>
      <c r="BE712" s="69"/>
      <c r="BF712" s="69"/>
      <c r="BG712" s="69"/>
      <c r="BH712" s="69"/>
      <c r="BI712" s="69"/>
      <c r="BJ712" s="69"/>
      <c r="BK712" s="69"/>
      <c r="BL712" s="69"/>
      <c r="BM712" s="69"/>
      <c r="BN712" s="69"/>
      <c r="BO712" s="69"/>
      <c r="BP712" s="69"/>
      <c r="BQ712" s="69"/>
      <c r="BR712" s="69"/>
      <c r="BS712" s="69"/>
      <c r="BT712" s="69"/>
      <c r="BU712" s="69"/>
      <c r="BV712" s="69"/>
      <c r="BW712" s="69"/>
      <c r="BX712" s="69"/>
      <c r="BY712" s="69"/>
      <c r="BZ712" s="69"/>
      <c r="CA712" s="69"/>
      <c r="CB712" s="69"/>
      <c r="CC712" s="69"/>
      <c r="CD712" s="69"/>
      <c r="CE712" s="94">
        <f t="shared" si="57"/>
        <v>2750</v>
      </c>
      <c r="CF712" s="151">
        <f t="shared" si="56"/>
        <v>0</v>
      </c>
      <c r="CG712" s="75">
        <f t="shared" si="58"/>
        <v>4562</v>
      </c>
      <c r="CH712" s="69" t="str">
        <f t="shared" si="58"/>
        <v>برنامج دولى</v>
      </c>
    </row>
    <row r="713" spans="1:86" x14ac:dyDescent="0.25">
      <c r="A713" s="148"/>
      <c r="B713" s="82">
        <v>8670</v>
      </c>
      <c r="C713" s="149">
        <v>4563</v>
      </c>
      <c r="D713" s="69" t="s">
        <v>78</v>
      </c>
      <c r="E713" s="69" t="s">
        <v>3326</v>
      </c>
      <c r="F713" s="63"/>
      <c r="G713" s="69">
        <v>2579.5</v>
      </c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  <c r="AD713" s="69"/>
      <c r="AE713" s="69"/>
      <c r="AF713" s="69"/>
      <c r="AG713" s="69"/>
      <c r="AH713" s="69"/>
      <c r="AI713" s="69"/>
      <c r="AJ713" s="69"/>
      <c r="AK713" s="69"/>
      <c r="AL713" s="69"/>
      <c r="AM713" s="69"/>
      <c r="AN713" s="69"/>
      <c r="AO713" s="69"/>
      <c r="AP713" s="69"/>
      <c r="AQ713" s="69"/>
      <c r="AR713" s="94">
        <f t="shared" si="54"/>
        <v>2579.5</v>
      </c>
      <c r="AS713" s="69">
        <v>1724</v>
      </c>
      <c r="AT713" s="69">
        <v>234</v>
      </c>
      <c r="AU713" s="69">
        <v>621.5</v>
      </c>
      <c r="AV713" s="69"/>
      <c r="AW713" s="69"/>
      <c r="AX713" s="69"/>
      <c r="AY713" s="69"/>
      <c r="AZ713" s="69"/>
      <c r="BA713" s="69"/>
      <c r="BB713" s="69"/>
      <c r="BC713" s="69"/>
      <c r="BD713" s="69"/>
      <c r="BE713" s="69"/>
      <c r="BF713" s="69"/>
      <c r="BG713" s="69"/>
      <c r="BH713" s="69"/>
      <c r="BI713" s="69"/>
      <c r="BJ713" s="69"/>
      <c r="BK713" s="69"/>
      <c r="BL713" s="69"/>
      <c r="BM713" s="69"/>
      <c r="BN713" s="69"/>
      <c r="BO713" s="69"/>
      <c r="BP713" s="69"/>
      <c r="BQ713" s="69"/>
      <c r="BR713" s="69"/>
      <c r="BS713" s="69"/>
      <c r="BT713" s="69"/>
      <c r="BU713" s="69"/>
      <c r="BV713" s="69"/>
      <c r="BW713" s="69"/>
      <c r="BX713" s="69"/>
      <c r="BY713" s="69"/>
      <c r="BZ713" s="69"/>
      <c r="CA713" s="69"/>
      <c r="CB713" s="69"/>
      <c r="CC713" s="69"/>
      <c r="CD713" s="69"/>
      <c r="CE713" s="94">
        <f t="shared" si="57"/>
        <v>2579.5</v>
      </c>
      <c r="CF713" s="151">
        <f t="shared" si="56"/>
        <v>0</v>
      </c>
      <c r="CG713" s="75">
        <f t="shared" si="58"/>
        <v>4563</v>
      </c>
      <c r="CH713" s="69" t="str">
        <f t="shared" si="58"/>
        <v>برنامج دولى</v>
      </c>
    </row>
    <row r="714" spans="1:86" x14ac:dyDescent="0.25">
      <c r="A714" s="148"/>
      <c r="B714" s="82">
        <v>8671</v>
      </c>
      <c r="C714" s="149">
        <v>4564</v>
      </c>
      <c r="D714" s="69" t="s">
        <v>78</v>
      </c>
      <c r="E714" s="69" t="s">
        <v>3327</v>
      </c>
      <c r="F714" s="63"/>
      <c r="G714" s="69">
        <v>1758.75</v>
      </c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  <c r="AD714" s="69"/>
      <c r="AE714" s="69"/>
      <c r="AF714" s="69"/>
      <c r="AG714" s="69"/>
      <c r="AH714" s="69"/>
      <c r="AI714" s="69"/>
      <c r="AJ714" s="69"/>
      <c r="AK714" s="69"/>
      <c r="AL714" s="69"/>
      <c r="AM714" s="69"/>
      <c r="AN714" s="69"/>
      <c r="AO714" s="69"/>
      <c r="AP714" s="69"/>
      <c r="AQ714" s="69"/>
      <c r="AR714" s="94">
        <f t="shared" si="54"/>
        <v>1758.75</v>
      </c>
      <c r="AS714" s="69">
        <v>1175.3499999999999</v>
      </c>
      <c r="AT714" s="69">
        <v>159.65</v>
      </c>
      <c r="AU714" s="69">
        <v>423.75</v>
      </c>
      <c r="AV714" s="69"/>
      <c r="AW714" s="69"/>
      <c r="AX714" s="69"/>
      <c r="AY714" s="69"/>
      <c r="AZ714" s="69"/>
      <c r="BA714" s="69"/>
      <c r="BB714" s="69"/>
      <c r="BC714" s="69"/>
      <c r="BD714" s="69"/>
      <c r="BE714" s="69"/>
      <c r="BF714" s="69"/>
      <c r="BG714" s="69"/>
      <c r="BH714" s="69"/>
      <c r="BI714" s="69"/>
      <c r="BJ714" s="69"/>
      <c r="BK714" s="69"/>
      <c r="BL714" s="69"/>
      <c r="BM714" s="69"/>
      <c r="BN714" s="69"/>
      <c r="BO714" s="69"/>
      <c r="BP714" s="69"/>
      <c r="BQ714" s="69"/>
      <c r="BR714" s="69"/>
      <c r="BS714" s="69"/>
      <c r="BT714" s="69"/>
      <c r="BU714" s="69"/>
      <c r="BV714" s="69"/>
      <c r="BW714" s="69"/>
      <c r="BX714" s="69"/>
      <c r="BY714" s="69"/>
      <c r="BZ714" s="69"/>
      <c r="CA714" s="69"/>
      <c r="CB714" s="69"/>
      <c r="CC714" s="69"/>
      <c r="CD714" s="69"/>
      <c r="CE714" s="94">
        <f t="shared" si="57"/>
        <v>1758.75</v>
      </c>
      <c r="CF714" s="151">
        <f t="shared" si="56"/>
        <v>0</v>
      </c>
      <c r="CG714" s="75">
        <f t="shared" si="58"/>
        <v>4564</v>
      </c>
      <c r="CH714" s="69" t="str">
        <f t="shared" si="58"/>
        <v>برنامج دولى</v>
      </c>
    </row>
    <row r="715" spans="1:86" x14ac:dyDescent="0.25">
      <c r="A715" s="148"/>
      <c r="B715" s="82">
        <v>8672</v>
      </c>
      <c r="C715" s="149">
        <v>4565</v>
      </c>
      <c r="D715" s="69" t="s">
        <v>78</v>
      </c>
      <c r="E715" s="69" t="s">
        <v>2092</v>
      </c>
      <c r="F715" s="63"/>
      <c r="G715" s="69">
        <v>1172.5</v>
      </c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  <c r="AD715" s="69"/>
      <c r="AE715" s="69"/>
      <c r="AF715" s="69"/>
      <c r="AG715" s="69"/>
      <c r="AH715" s="69"/>
      <c r="AI715" s="69"/>
      <c r="AJ715" s="69"/>
      <c r="AK715" s="69"/>
      <c r="AL715" s="69"/>
      <c r="AM715" s="69"/>
      <c r="AN715" s="69"/>
      <c r="AO715" s="69"/>
      <c r="AP715" s="69"/>
      <c r="AQ715" s="69"/>
      <c r="AR715" s="94">
        <f t="shared" si="54"/>
        <v>1172.5</v>
      </c>
      <c r="AS715" s="69">
        <v>784.1</v>
      </c>
      <c r="AT715" s="69">
        <v>105.9</v>
      </c>
      <c r="AU715" s="69">
        <v>282.5</v>
      </c>
      <c r="AV715" s="69"/>
      <c r="AW715" s="69"/>
      <c r="AX715" s="69"/>
      <c r="AY715" s="69"/>
      <c r="AZ715" s="69"/>
      <c r="BA715" s="69"/>
      <c r="BB715" s="69"/>
      <c r="BC715" s="69"/>
      <c r="BD715" s="69"/>
      <c r="BE715" s="69"/>
      <c r="BF715" s="69"/>
      <c r="BG715" s="69"/>
      <c r="BH715" s="69"/>
      <c r="BI715" s="69"/>
      <c r="BJ715" s="69"/>
      <c r="BK715" s="69"/>
      <c r="BL715" s="69"/>
      <c r="BM715" s="69"/>
      <c r="BN715" s="69"/>
      <c r="BO715" s="69"/>
      <c r="BP715" s="69"/>
      <c r="BQ715" s="69"/>
      <c r="BR715" s="69"/>
      <c r="BS715" s="69"/>
      <c r="BT715" s="69"/>
      <c r="BU715" s="69"/>
      <c r="BV715" s="69"/>
      <c r="BW715" s="69"/>
      <c r="BX715" s="69"/>
      <c r="BY715" s="69"/>
      <c r="BZ715" s="69"/>
      <c r="CA715" s="69"/>
      <c r="CB715" s="69"/>
      <c r="CC715" s="69"/>
      <c r="CD715" s="69"/>
      <c r="CE715" s="94">
        <f t="shared" si="57"/>
        <v>1172.5</v>
      </c>
      <c r="CF715" s="151">
        <f t="shared" si="56"/>
        <v>0</v>
      </c>
      <c r="CG715" s="75">
        <f t="shared" si="58"/>
        <v>4565</v>
      </c>
      <c r="CH715" s="69" t="str">
        <f t="shared" si="58"/>
        <v>برنامج دولى</v>
      </c>
    </row>
    <row r="716" spans="1:86" x14ac:dyDescent="0.25">
      <c r="A716" s="148"/>
      <c r="B716" s="82">
        <v>8673</v>
      </c>
      <c r="C716" s="149">
        <v>4566</v>
      </c>
      <c r="D716" s="69" t="s">
        <v>78</v>
      </c>
      <c r="E716" s="69" t="s">
        <v>3328</v>
      </c>
      <c r="F716" s="63"/>
      <c r="G716" s="69">
        <v>750</v>
      </c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  <c r="AD716" s="69"/>
      <c r="AE716" s="69"/>
      <c r="AF716" s="69"/>
      <c r="AG716" s="69"/>
      <c r="AH716" s="69"/>
      <c r="AI716" s="69"/>
      <c r="AJ716" s="69"/>
      <c r="AK716" s="69"/>
      <c r="AL716" s="69"/>
      <c r="AM716" s="69"/>
      <c r="AN716" s="69"/>
      <c r="AO716" s="69"/>
      <c r="AP716" s="69"/>
      <c r="AQ716" s="69"/>
      <c r="AR716" s="94">
        <f t="shared" si="54"/>
        <v>750</v>
      </c>
      <c r="AS716" s="69">
        <v>670.1</v>
      </c>
      <c r="AT716" s="69">
        <v>79.900000000000006</v>
      </c>
      <c r="AU716" s="69"/>
      <c r="AV716" s="69"/>
      <c r="AW716" s="69"/>
      <c r="AX716" s="69"/>
      <c r="AY716" s="69"/>
      <c r="AZ716" s="69"/>
      <c r="BA716" s="69"/>
      <c r="BB716" s="69"/>
      <c r="BC716" s="69"/>
      <c r="BD716" s="69"/>
      <c r="BE716" s="69"/>
      <c r="BF716" s="69"/>
      <c r="BG716" s="69"/>
      <c r="BH716" s="69"/>
      <c r="BI716" s="69"/>
      <c r="BJ716" s="69"/>
      <c r="BK716" s="69"/>
      <c r="BL716" s="69"/>
      <c r="BM716" s="69"/>
      <c r="BN716" s="69"/>
      <c r="BO716" s="69"/>
      <c r="BP716" s="69"/>
      <c r="BQ716" s="69"/>
      <c r="BR716" s="69"/>
      <c r="BS716" s="69"/>
      <c r="BT716" s="69"/>
      <c r="BU716" s="69"/>
      <c r="BV716" s="69"/>
      <c r="BW716" s="69"/>
      <c r="BX716" s="69"/>
      <c r="BY716" s="69"/>
      <c r="BZ716" s="69"/>
      <c r="CA716" s="69"/>
      <c r="CB716" s="69"/>
      <c r="CC716" s="69"/>
      <c r="CD716" s="69"/>
      <c r="CE716" s="94">
        <f t="shared" si="57"/>
        <v>750</v>
      </c>
      <c r="CF716" s="151">
        <f t="shared" si="56"/>
        <v>0</v>
      </c>
      <c r="CG716" s="75">
        <f t="shared" si="58"/>
        <v>4566</v>
      </c>
      <c r="CH716" s="69" t="str">
        <f t="shared" si="58"/>
        <v>برنامج دولى</v>
      </c>
    </row>
    <row r="717" spans="1:86" x14ac:dyDescent="0.25">
      <c r="A717" s="148"/>
      <c r="B717" s="82">
        <v>8674</v>
      </c>
      <c r="C717" s="149">
        <v>4567</v>
      </c>
      <c r="D717" s="69" t="s">
        <v>78</v>
      </c>
      <c r="E717" s="69" t="s">
        <v>2986</v>
      </c>
      <c r="F717" s="63"/>
      <c r="G717" s="69">
        <v>2000</v>
      </c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  <c r="AD717" s="69"/>
      <c r="AE717" s="69"/>
      <c r="AF717" s="69"/>
      <c r="AG717" s="69"/>
      <c r="AH717" s="69"/>
      <c r="AI717" s="69"/>
      <c r="AJ717" s="69"/>
      <c r="AK717" s="69"/>
      <c r="AL717" s="69"/>
      <c r="AM717" s="69"/>
      <c r="AN717" s="69"/>
      <c r="AO717" s="69"/>
      <c r="AP717" s="69"/>
      <c r="AQ717" s="69"/>
      <c r="AR717" s="94">
        <f t="shared" si="54"/>
        <v>2000</v>
      </c>
      <c r="AS717" s="69">
        <v>1786.7</v>
      </c>
      <c r="AT717" s="69">
        <v>213.3</v>
      </c>
      <c r="AU717" s="69"/>
      <c r="AV717" s="69"/>
      <c r="AW717" s="69"/>
      <c r="AX717" s="69"/>
      <c r="AY717" s="69"/>
      <c r="AZ717" s="69"/>
      <c r="BA717" s="69"/>
      <c r="BB717" s="69"/>
      <c r="BC717" s="69"/>
      <c r="BD717" s="69"/>
      <c r="BE717" s="69"/>
      <c r="BF717" s="69"/>
      <c r="BG717" s="69"/>
      <c r="BH717" s="69"/>
      <c r="BI717" s="69"/>
      <c r="BJ717" s="69"/>
      <c r="BK717" s="69"/>
      <c r="BL717" s="69"/>
      <c r="BM717" s="69"/>
      <c r="BN717" s="69"/>
      <c r="BO717" s="69"/>
      <c r="BP717" s="69"/>
      <c r="BQ717" s="69"/>
      <c r="BR717" s="69"/>
      <c r="BS717" s="69"/>
      <c r="BT717" s="69"/>
      <c r="BU717" s="69"/>
      <c r="BV717" s="69"/>
      <c r="BW717" s="69"/>
      <c r="BX717" s="69"/>
      <c r="BY717" s="69"/>
      <c r="BZ717" s="69"/>
      <c r="CA717" s="69"/>
      <c r="CB717" s="69"/>
      <c r="CC717" s="69"/>
      <c r="CD717" s="69"/>
      <c r="CE717" s="94">
        <f t="shared" si="57"/>
        <v>2000</v>
      </c>
      <c r="CF717" s="151">
        <f t="shared" si="56"/>
        <v>0</v>
      </c>
      <c r="CG717" s="75">
        <f t="shared" si="58"/>
        <v>4567</v>
      </c>
      <c r="CH717" s="69" t="str">
        <f t="shared" si="58"/>
        <v>برنامج دولى</v>
      </c>
    </row>
    <row r="718" spans="1:86" x14ac:dyDescent="0.25">
      <c r="A718" s="148"/>
      <c r="B718" s="82">
        <v>8675</v>
      </c>
      <c r="C718" s="149">
        <v>4568</v>
      </c>
      <c r="D718" s="69" t="s">
        <v>78</v>
      </c>
      <c r="E718" s="69" t="s">
        <v>2986</v>
      </c>
      <c r="F718" s="63"/>
      <c r="G718" s="69">
        <v>1758.76</v>
      </c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  <c r="AD718" s="69"/>
      <c r="AE718" s="69"/>
      <c r="AF718" s="69"/>
      <c r="AG718" s="69"/>
      <c r="AH718" s="69"/>
      <c r="AI718" s="69"/>
      <c r="AJ718" s="69"/>
      <c r="AK718" s="69"/>
      <c r="AL718" s="69"/>
      <c r="AM718" s="69"/>
      <c r="AN718" s="69"/>
      <c r="AO718" s="69"/>
      <c r="AP718" s="69"/>
      <c r="AQ718" s="69"/>
      <c r="AR718" s="94">
        <f t="shared" si="54"/>
        <v>1758.76</v>
      </c>
      <c r="AS718" s="69">
        <v>1176.3</v>
      </c>
      <c r="AT718" s="69">
        <v>158.69999999999999</v>
      </c>
      <c r="AU718" s="69">
        <v>423.76</v>
      </c>
      <c r="AV718" s="69"/>
      <c r="AW718" s="69"/>
      <c r="AX718" s="69"/>
      <c r="AY718" s="69"/>
      <c r="AZ718" s="69"/>
      <c r="BA718" s="69"/>
      <c r="BB718" s="69"/>
      <c r="BC718" s="69"/>
      <c r="BD718" s="69"/>
      <c r="BE718" s="69"/>
      <c r="BF718" s="69"/>
      <c r="BG718" s="69"/>
      <c r="BH718" s="69"/>
      <c r="BI718" s="69"/>
      <c r="BJ718" s="69"/>
      <c r="BK718" s="69"/>
      <c r="BL718" s="69"/>
      <c r="BM718" s="69"/>
      <c r="BN718" s="69"/>
      <c r="BO718" s="69"/>
      <c r="BP718" s="69"/>
      <c r="BQ718" s="69"/>
      <c r="BR718" s="69"/>
      <c r="BS718" s="69"/>
      <c r="BT718" s="69"/>
      <c r="BU718" s="69"/>
      <c r="BV718" s="69"/>
      <c r="BW718" s="69"/>
      <c r="BX718" s="69"/>
      <c r="BY718" s="69"/>
      <c r="BZ718" s="69"/>
      <c r="CA718" s="69"/>
      <c r="CB718" s="69"/>
      <c r="CC718" s="69"/>
      <c r="CD718" s="69"/>
      <c r="CE718" s="94">
        <f t="shared" si="57"/>
        <v>1758.76</v>
      </c>
      <c r="CF718" s="151">
        <f t="shared" si="56"/>
        <v>0</v>
      </c>
      <c r="CG718" s="75">
        <f t="shared" si="58"/>
        <v>4568</v>
      </c>
      <c r="CH718" s="69" t="str">
        <f t="shared" si="58"/>
        <v>برنامج دولى</v>
      </c>
    </row>
    <row r="719" spans="1:86" x14ac:dyDescent="0.25">
      <c r="A719" s="148"/>
      <c r="B719" s="82">
        <v>8676</v>
      </c>
      <c r="C719" s="149">
        <v>4569</v>
      </c>
      <c r="D719" s="69" t="s">
        <v>78</v>
      </c>
      <c r="E719" s="69" t="s">
        <v>3329</v>
      </c>
      <c r="F719" s="63"/>
      <c r="G719" s="69">
        <v>586.25</v>
      </c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  <c r="AD719" s="69"/>
      <c r="AE719" s="69"/>
      <c r="AF719" s="69"/>
      <c r="AG719" s="69"/>
      <c r="AH719" s="69"/>
      <c r="AI719" s="69"/>
      <c r="AJ719" s="69"/>
      <c r="AK719" s="69"/>
      <c r="AL719" s="69"/>
      <c r="AM719" s="69"/>
      <c r="AN719" s="69"/>
      <c r="AO719" s="69"/>
      <c r="AP719" s="69"/>
      <c r="AQ719" s="69"/>
      <c r="AR719" s="94">
        <f t="shared" si="54"/>
        <v>586.25</v>
      </c>
      <c r="AS719" s="69">
        <v>392.4</v>
      </c>
      <c r="AT719" s="69">
        <v>52.6</v>
      </c>
      <c r="AU719" s="69">
        <v>141.25</v>
      </c>
      <c r="AV719" s="69"/>
      <c r="AW719" s="69"/>
      <c r="AX719" s="69"/>
      <c r="AY719" s="69"/>
      <c r="AZ719" s="69"/>
      <c r="BA719" s="69"/>
      <c r="BB719" s="69"/>
      <c r="BC719" s="69"/>
      <c r="BD719" s="69"/>
      <c r="BE719" s="69"/>
      <c r="BF719" s="69"/>
      <c r="BG719" s="69"/>
      <c r="BH719" s="69"/>
      <c r="BI719" s="69"/>
      <c r="BJ719" s="69"/>
      <c r="BK719" s="69"/>
      <c r="BL719" s="69"/>
      <c r="BM719" s="69"/>
      <c r="BN719" s="69"/>
      <c r="BO719" s="69"/>
      <c r="BP719" s="69"/>
      <c r="BQ719" s="69"/>
      <c r="BR719" s="69"/>
      <c r="BS719" s="69"/>
      <c r="BT719" s="69"/>
      <c r="BU719" s="69"/>
      <c r="BV719" s="69"/>
      <c r="BW719" s="69"/>
      <c r="BX719" s="69"/>
      <c r="BY719" s="69"/>
      <c r="BZ719" s="69"/>
      <c r="CA719" s="69"/>
      <c r="CB719" s="69"/>
      <c r="CC719" s="69"/>
      <c r="CD719" s="69"/>
      <c r="CE719" s="94">
        <f t="shared" si="57"/>
        <v>586.25</v>
      </c>
      <c r="CF719" s="151">
        <f t="shared" si="56"/>
        <v>0</v>
      </c>
      <c r="CG719" s="75">
        <f t="shared" si="58"/>
        <v>4569</v>
      </c>
      <c r="CH719" s="69" t="str">
        <f t="shared" si="58"/>
        <v>برنامج دولى</v>
      </c>
    </row>
    <row r="720" spans="1:86" x14ac:dyDescent="0.25">
      <c r="A720" s="148"/>
      <c r="B720" s="82">
        <v>8677</v>
      </c>
      <c r="C720" s="149">
        <v>4570</v>
      </c>
      <c r="D720" s="69" t="s">
        <v>78</v>
      </c>
      <c r="E720" s="69" t="s">
        <v>679</v>
      </c>
      <c r="F720" s="63"/>
      <c r="G720" s="69">
        <v>1758.75</v>
      </c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  <c r="AE720" s="69"/>
      <c r="AF720" s="69"/>
      <c r="AG720" s="69"/>
      <c r="AH720" s="69"/>
      <c r="AI720" s="69"/>
      <c r="AJ720" s="69"/>
      <c r="AK720" s="69"/>
      <c r="AL720" s="69"/>
      <c r="AM720" s="69"/>
      <c r="AN720" s="69"/>
      <c r="AO720" s="69"/>
      <c r="AP720" s="69"/>
      <c r="AQ720" s="69"/>
      <c r="AR720" s="94">
        <f t="shared" si="54"/>
        <v>1758.75</v>
      </c>
      <c r="AS720" s="69">
        <v>1177.2</v>
      </c>
      <c r="AT720" s="69">
        <v>157.80000000000001</v>
      </c>
      <c r="AU720" s="69">
        <v>423.75</v>
      </c>
      <c r="AV720" s="69"/>
      <c r="AW720" s="69"/>
      <c r="AX720" s="69"/>
      <c r="AY720" s="69"/>
      <c r="AZ720" s="69"/>
      <c r="BA720" s="69"/>
      <c r="BB720" s="69"/>
      <c r="BC720" s="69"/>
      <c r="BD720" s="69"/>
      <c r="BE720" s="69"/>
      <c r="BF720" s="69"/>
      <c r="BG720" s="69"/>
      <c r="BH720" s="69"/>
      <c r="BI720" s="69"/>
      <c r="BJ720" s="69"/>
      <c r="BK720" s="69"/>
      <c r="BL720" s="69"/>
      <c r="BM720" s="69"/>
      <c r="BN720" s="69"/>
      <c r="BO720" s="69"/>
      <c r="BP720" s="69"/>
      <c r="BQ720" s="69"/>
      <c r="BR720" s="69"/>
      <c r="BS720" s="69"/>
      <c r="BT720" s="69"/>
      <c r="BU720" s="69"/>
      <c r="BV720" s="69"/>
      <c r="BW720" s="69"/>
      <c r="BX720" s="69"/>
      <c r="BY720" s="69"/>
      <c r="BZ720" s="69"/>
      <c r="CA720" s="69"/>
      <c r="CB720" s="69"/>
      <c r="CC720" s="69"/>
      <c r="CD720" s="69"/>
      <c r="CE720" s="94">
        <f t="shared" si="57"/>
        <v>1758.75</v>
      </c>
      <c r="CF720" s="151">
        <f t="shared" si="56"/>
        <v>0</v>
      </c>
      <c r="CG720" s="75">
        <f t="shared" si="58"/>
        <v>4570</v>
      </c>
      <c r="CH720" s="69" t="str">
        <f t="shared" si="58"/>
        <v>برنامج دولى</v>
      </c>
    </row>
    <row r="721" spans="1:86" x14ac:dyDescent="0.25">
      <c r="A721" s="148"/>
      <c r="B721" s="82">
        <v>8590</v>
      </c>
      <c r="C721" s="149">
        <v>4571</v>
      </c>
      <c r="D721" s="69" t="s">
        <v>78</v>
      </c>
      <c r="E721" s="69" t="s">
        <v>2377</v>
      </c>
      <c r="F721" s="63"/>
      <c r="G721" s="69">
        <v>3810.62</v>
      </c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  <c r="AE721" s="69"/>
      <c r="AF721" s="69"/>
      <c r="AG721" s="69"/>
      <c r="AH721" s="69"/>
      <c r="AI721" s="69"/>
      <c r="AJ721" s="69"/>
      <c r="AK721" s="69"/>
      <c r="AL721" s="69"/>
      <c r="AM721" s="69"/>
      <c r="AN721" s="69"/>
      <c r="AO721" s="69"/>
      <c r="AP721" s="69"/>
      <c r="AQ721" s="69"/>
      <c r="AR721" s="94">
        <f t="shared" si="54"/>
        <v>3810.62</v>
      </c>
      <c r="AS721" s="69">
        <v>2547.25</v>
      </c>
      <c r="AT721" s="69">
        <v>345.25</v>
      </c>
      <c r="AU721" s="69">
        <v>918.12</v>
      </c>
      <c r="AV721" s="69"/>
      <c r="AW721" s="69"/>
      <c r="AX721" s="69"/>
      <c r="AY721" s="69"/>
      <c r="AZ721" s="69"/>
      <c r="BA721" s="69"/>
      <c r="BB721" s="69"/>
      <c r="BC721" s="69"/>
      <c r="BD721" s="69"/>
      <c r="BE721" s="69"/>
      <c r="BF721" s="69"/>
      <c r="BG721" s="69"/>
      <c r="BH721" s="69"/>
      <c r="BI721" s="69"/>
      <c r="BJ721" s="69"/>
      <c r="BK721" s="69"/>
      <c r="BL721" s="69"/>
      <c r="BM721" s="69"/>
      <c r="BN721" s="69"/>
      <c r="BO721" s="69"/>
      <c r="BP721" s="69"/>
      <c r="BQ721" s="69"/>
      <c r="BR721" s="69"/>
      <c r="BS721" s="69"/>
      <c r="BT721" s="69"/>
      <c r="BU721" s="69"/>
      <c r="BV721" s="69"/>
      <c r="BW721" s="69"/>
      <c r="BX721" s="69"/>
      <c r="BY721" s="69"/>
      <c r="BZ721" s="69"/>
      <c r="CA721" s="69"/>
      <c r="CB721" s="69"/>
      <c r="CC721" s="69"/>
      <c r="CD721" s="69"/>
      <c r="CE721" s="94">
        <f t="shared" si="57"/>
        <v>3810.62</v>
      </c>
      <c r="CF721" s="151">
        <f t="shared" si="56"/>
        <v>0</v>
      </c>
      <c r="CG721" s="75">
        <f t="shared" si="58"/>
        <v>4571</v>
      </c>
      <c r="CH721" s="69" t="str">
        <f t="shared" si="58"/>
        <v>برنامج دولى</v>
      </c>
    </row>
    <row r="722" spans="1:86" x14ac:dyDescent="0.25">
      <c r="A722" s="148"/>
      <c r="B722" s="82">
        <v>8589</v>
      </c>
      <c r="C722" s="149">
        <v>4572</v>
      </c>
      <c r="D722" s="69" t="s">
        <v>78</v>
      </c>
      <c r="E722" s="69" t="s">
        <v>2377</v>
      </c>
      <c r="F722" s="63"/>
      <c r="G722" s="69">
        <v>996.62</v>
      </c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  <c r="AE722" s="69"/>
      <c r="AF722" s="69"/>
      <c r="AG722" s="69"/>
      <c r="AH722" s="69"/>
      <c r="AI722" s="69"/>
      <c r="AJ722" s="69"/>
      <c r="AK722" s="69"/>
      <c r="AL722" s="69"/>
      <c r="AM722" s="69"/>
      <c r="AN722" s="69"/>
      <c r="AO722" s="69"/>
      <c r="AP722" s="69"/>
      <c r="AQ722" s="69"/>
      <c r="AR722" s="94">
        <f t="shared" si="54"/>
        <v>996.62</v>
      </c>
      <c r="AS722" s="69">
        <v>666.55</v>
      </c>
      <c r="AT722" s="69">
        <v>89.95</v>
      </c>
      <c r="AU722" s="69">
        <v>240.12</v>
      </c>
      <c r="AV722" s="69"/>
      <c r="AW722" s="69"/>
      <c r="AX722" s="69"/>
      <c r="AY722" s="69"/>
      <c r="AZ722" s="69"/>
      <c r="BA722" s="69"/>
      <c r="BB722" s="69"/>
      <c r="BC722" s="69"/>
      <c r="BD722" s="69"/>
      <c r="BE722" s="69"/>
      <c r="BF722" s="69"/>
      <c r="BG722" s="69"/>
      <c r="BH722" s="69"/>
      <c r="BI722" s="69"/>
      <c r="BJ722" s="69"/>
      <c r="BK722" s="69"/>
      <c r="BL722" s="69"/>
      <c r="BM722" s="69"/>
      <c r="BN722" s="69"/>
      <c r="BO722" s="69"/>
      <c r="BP722" s="69"/>
      <c r="BQ722" s="69"/>
      <c r="BR722" s="69"/>
      <c r="BS722" s="69"/>
      <c r="BT722" s="69"/>
      <c r="BU722" s="69"/>
      <c r="BV722" s="69"/>
      <c r="BW722" s="69"/>
      <c r="BX722" s="69"/>
      <c r="BY722" s="69"/>
      <c r="BZ722" s="69"/>
      <c r="CA722" s="69"/>
      <c r="CB722" s="69"/>
      <c r="CC722" s="69"/>
      <c r="CD722" s="69"/>
      <c r="CE722" s="94">
        <f t="shared" si="57"/>
        <v>996.62</v>
      </c>
      <c r="CF722" s="151">
        <f t="shared" si="56"/>
        <v>0</v>
      </c>
      <c r="CG722" s="75">
        <f t="shared" si="58"/>
        <v>4572</v>
      </c>
      <c r="CH722" s="69" t="str">
        <f t="shared" si="58"/>
        <v>برنامج دولى</v>
      </c>
    </row>
    <row r="723" spans="1:86" x14ac:dyDescent="0.25">
      <c r="A723" s="148"/>
      <c r="B723" s="82">
        <v>8588</v>
      </c>
      <c r="C723" s="149">
        <v>4573</v>
      </c>
      <c r="D723" s="69" t="s">
        <v>78</v>
      </c>
      <c r="E723" s="69" t="s">
        <v>2377</v>
      </c>
      <c r="F723" s="63"/>
      <c r="G723" s="69">
        <v>996.62</v>
      </c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  <c r="AD723" s="69"/>
      <c r="AE723" s="69"/>
      <c r="AF723" s="69"/>
      <c r="AG723" s="69"/>
      <c r="AH723" s="69"/>
      <c r="AI723" s="69"/>
      <c r="AJ723" s="69"/>
      <c r="AK723" s="69"/>
      <c r="AL723" s="69"/>
      <c r="AM723" s="69"/>
      <c r="AN723" s="69"/>
      <c r="AO723" s="69"/>
      <c r="AP723" s="69"/>
      <c r="AQ723" s="69"/>
      <c r="AR723" s="94">
        <f t="shared" si="54"/>
        <v>996.62</v>
      </c>
      <c r="AS723" s="69">
        <v>666.55</v>
      </c>
      <c r="AT723" s="69">
        <v>89.95</v>
      </c>
      <c r="AU723" s="69">
        <v>240.12</v>
      </c>
      <c r="AV723" s="69"/>
      <c r="AW723" s="69"/>
      <c r="AX723" s="69"/>
      <c r="AY723" s="69"/>
      <c r="AZ723" s="69"/>
      <c r="BA723" s="69"/>
      <c r="BB723" s="69"/>
      <c r="BC723" s="69"/>
      <c r="BD723" s="69"/>
      <c r="BE723" s="69"/>
      <c r="BF723" s="69"/>
      <c r="BG723" s="69"/>
      <c r="BH723" s="69"/>
      <c r="BI723" s="69"/>
      <c r="BJ723" s="69"/>
      <c r="BK723" s="69"/>
      <c r="BL723" s="69"/>
      <c r="BM723" s="69"/>
      <c r="BN723" s="69"/>
      <c r="BO723" s="69"/>
      <c r="BP723" s="69"/>
      <c r="BQ723" s="69"/>
      <c r="BR723" s="69"/>
      <c r="BS723" s="69"/>
      <c r="BT723" s="69"/>
      <c r="BU723" s="69"/>
      <c r="BV723" s="69"/>
      <c r="BW723" s="69"/>
      <c r="BX723" s="69"/>
      <c r="BY723" s="69"/>
      <c r="BZ723" s="69"/>
      <c r="CA723" s="69"/>
      <c r="CB723" s="69"/>
      <c r="CC723" s="69"/>
      <c r="CD723" s="69"/>
      <c r="CE723" s="94">
        <f t="shared" si="57"/>
        <v>996.62</v>
      </c>
      <c r="CF723" s="151">
        <f t="shared" si="56"/>
        <v>0</v>
      </c>
      <c r="CG723" s="75">
        <f t="shared" si="58"/>
        <v>4573</v>
      </c>
      <c r="CH723" s="69" t="str">
        <f t="shared" si="58"/>
        <v>برنامج دولى</v>
      </c>
    </row>
    <row r="724" spans="1:86" x14ac:dyDescent="0.25">
      <c r="A724" s="148"/>
      <c r="B724" s="82">
        <v>8587</v>
      </c>
      <c r="C724" s="149">
        <v>4574</v>
      </c>
      <c r="D724" s="69" t="s">
        <v>78</v>
      </c>
      <c r="E724" s="69" t="s">
        <v>2377</v>
      </c>
      <c r="F724" s="63"/>
      <c r="G724" s="69">
        <v>1407</v>
      </c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  <c r="AD724" s="69"/>
      <c r="AE724" s="69"/>
      <c r="AF724" s="69"/>
      <c r="AG724" s="69"/>
      <c r="AH724" s="69"/>
      <c r="AI724" s="69"/>
      <c r="AJ724" s="69"/>
      <c r="AK724" s="69"/>
      <c r="AL724" s="69"/>
      <c r="AM724" s="69"/>
      <c r="AN724" s="69"/>
      <c r="AO724" s="69"/>
      <c r="AP724" s="69"/>
      <c r="AQ724" s="69"/>
      <c r="AR724" s="94">
        <f t="shared" ref="AR724:AR835" si="59">SUM(G724:AQ724)</f>
        <v>1407</v>
      </c>
      <c r="AS724" s="69">
        <v>940.35</v>
      </c>
      <c r="AT724" s="69">
        <v>127.65</v>
      </c>
      <c r="AU724" s="69">
        <v>339</v>
      </c>
      <c r="AV724" s="69"/>
      <c r="AW724" s="69"/>
      <c r="AX724" s="69"/>
      <c r="AY724" s="69"/>
      <c r="AZ724" s="69"/>
      <c r="BA724" s="69"/>
      <c r="BB724" s="69"/>
      <c r="BC724" s="69"/>
      <c r="BD724" s="69"/>
      <c r="BE724" s="69"/>
      <c r="BF724" s="69"/>
      <c r="BG724" s="69"/>
      <c r="BH724" s="69"/>
      <c r="BI724" s="69"/>
      <c r="BJ724" s="69"/>
      <c r="BK724" s="69"/>
      <c r="BL724" s="69"/>
      <c r="BM724" s="69"/>
      <c r="BN724" s="69"/>
      <c r="BO724" s="69"/>
      <c r="BP724" s="69"/>
      <c r="BQ724" s="69"/>
      <c r="BR724" s="69"/>
      <c r="BS724" s="69"/>
      <c r="BT724" s="69"/>
      <c r="BU724" s="69"/>
      <c r="BV724" s="69"/>
      <c r="BW724" s="69"/>
      <c r="BX724" s="69"/>
      <c r="BY724" s="69"/>
      <c r="BZ724" s="69"/>
      <c r="CA724" s="69"/>
      <c r="CB724" s="69"/>
      <c r="CC724" s="69"/>
      <c r="CD724" s="69"/>
      <c r="CE724" s="94">
        <f t="shared" si="57"/>
        <v>1407</v>
      </c>
      <c r="CF724" s="151">
        <f t="shared" si="56"/>
        <v>0</v>
      </c>
      <c r="CG724" s="75">
        <f t="shared" si="58"/>
        <v>4574</v>
      </c>
      <c r="CH724" s="69" t="str">
        <f t="shared" si="58"/>
        <v>برنامج دولى</v>
      </c>
    </row>
    <row r="725" spans="1:86" x14ac:dyDescent="0.25">
      <c r="A725" s="148"/>
      <c r="B725" s="82">
        <v>8586</v>
      </c>
      <c r="C725" s="149">
        <v>4575</v>
      </c>
      <c r="D725" s="69" t="s">
        <v>78</v>
      </c>
      <c r="E725" s="69" t="s">
        <v>2377</v>
      </c>
      <c r="F725" s="63"/>
      <c r="G725" s="69">
        <v>15007.96</v>
      </c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  <c r="AD725" s="69"/>
      <c r="AE725" s="69"/>
      <c r="AF725" s="69"/>
      <c r="AG725" s="69"/>
      <c r="AH725" s="69"/>
      <c r="AI725" s="69"/>
      <c r="AJ725" s="69"/>
      <c r="AK725" s="69"/>
      <c r="AL725" s="69"/>
      <c r="AM725" s="69"/>
      <c r="AN725" s="69"/>
      <c r="AO725" s="69"/>
      <c r="AP725" s="69"/>
      <c r="AQ725" s="69"/>
      <c r="AR725" s="94">
        <f t="shared" si="59"/>
        <v>15007.96</v>
      </c>
      <c r="AS725" s="69">
        <v>10034.15</v>
      </c>
      <c r="AT725" s="69">
        <v>1357.85</v>
      </c>
      <c r="AU725" s="69">
        <v>3615.96</v>
      </c>
      <c r="AV725" s="69"/>
      <c r="AW725" s="69"/>
      <c r="AX725" s="69"/>
      <c r="AY725" s="69"/>
      <c r="AZ725" s="69"/>
      <c r="BA725" s="69"/>
      <c r="BB725" s="69"/>
      <c r="BC725" s="69"/>
      <c r="BD725" s="69"/>
      <c r="BE725" s="69"/>
      <c r="BF725" s="69"/>
      <c r="BG725" s="69"/>
      <c r="BH725" s="69"/>
      <c r="BI725" s="69"/>
      <c r="BJ725" s="69"/>
      <c r="BK725" s="69"/>
      <c r="BL725" s="69"/>
      <c r="BM725" s="69"/>
      <c r="BN725" s="69"/>
      <c r="BO725" s="69"/>
      <c r="BP725" s="69"/>
      <c r="BQ725" s="69"/>
      <c r="BR725" s="69"/>
      <c r="BS725" s="69"/>
      <c r="BT725" s="69"/>
      <c r="BU725" s="69"/>
      <c r="BV725" s="69"/>
      <c r="BW725" s="69"/>
      <c r="BX725" s="69"/>
      <c r="BY725" s="69"/>
      <c r="BZ725" s="69"/>
      <c r="CA725" s="69"/>
      <c r="CB725" s="69"/>
      <c r="CC725" s="69"/>
      <c r="CD725" s="69"/>
      <c r="CE725" s="94">
        <f t="shared" si="57"/>
        <v>15007.96</v>
      </c>
      <c r="CF725" s="151">
        <f t="shared" si="56"/>
        <v>0</v>
      </c>
      <c r="CG725" s="75">
        <f t="shared" si="58"/>
        <v>4575</v>
      </c>
      <c r="CH725" s="69" t="str">
        <f t="shared" si="58"/>
        <v>برنامج دولى</v>
      </c>
    </row>
    <row r="726" spans="1:86" x14ac:dyDescent="0.25">
      <c r="A726" s="148"/>
      <c r="B726" s="82">
        <v>8678</v>
      </c>
      <c r="C726" s="149">
        <v>4576</v>
      </c>
      <c r="D726" s="69" t="s">
        <v>78</v>
      </c>
      <c r="E726" s="69" t="s">
        <v>2377</v>
      </c>
      <c r="F726" s="63"/>
      <c r="G726" s="69">
        <v>996.62</v>
      </c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  <c r="AD726" s="69"/>
      <c r="AE726" s="69"/>
      <c r="AF726" s="69"/>
      <c r="AG726" s="69"/>
      <c r="AH726" s="69"/>
      <c r="AI726" s="69"/>
      <c r="AJ726" s="69"/>
      <c r="AK726" s="69"/>
      <c r="AL726" s="69"/>
      <c r="AM726" s="69"/>
      <c r="AN726" s="69"/>
      <c r="AO726" s="69"/>
      <c r="AP726" s="69"/>
      <c r="AQ726" s="69"/>
      <c r="AR726" s="94">
        <f t="shared" si="59"/>
        <v>996.62</v>
      </c>
      <c r="AS726" s="69">
        <v>666.55</v>
      </c>
      <c r="AT726" s="69">
        <v>89.95</v>
      </c>
      <c r="AU726" s="69">
        <v>240.12</v>
      </c>
      <c r="AV726" s="69"/>
      <c r="AW726" s="69"/>
      <c r="AX726" s="69"/>
      <c r="AY726" s="69"/>
      <c r="AZ726" s="69"/>
      <c r="BA726" s="69"/>
      <c r="BB726" s="69"/>
      <c r="BC726" s="69"/>
      <c r="BD726" s="69"/>
      <c r="BE726" s="69"/>
      <c r="BF726" s="69"/>
      <c r="BG726" s="69"/>
      <c r="BH726" s="69"/>
      <c r="BI726" s="69"/>
      <c r="BJ726" s="69"/>
      <c r="BK726" s="69"/>
      <c r="BL726" s="69"/>
      <c r="BM726" s="69"/>
      <c r="BN726" s="69"/>
      <c r="BO726" s="69"/>
      <c r="BP726" s="69"/>
      <c r="BQ726" s="69"/>
      <c r="BR726" s="69"/>
      <c r="BS726" s="69"/>
      <c r="BT726" s="69"/>
      <c r="BU726" s="69"/>
      <c r="BV726" s="69"/>
      <c r="BW726" s="69"/>
      <c r="BX726" s="69"/>
      <c r="BY726" s="69"/>
      <c r="BZ726" s="69"/>
      <c r="CA726" s="69"/>
      <c r="CB726" s="69"/>
      <c r="CC726" s="69"/>
      <c r="CD726" s="69"/>
      <c r="CE726" s="94">
        <f t="shared" si="57"/>
        <v>996.62</v>
      </c>
      <c r="CF726" s="151">
        <f t="shared" si="56"/>
        <v>0</v>
      </c>
      <c r="CG726" s="75">
        <f t="shared" si="58"/>
        <v>4576</v>
      </c>
      <c r="CH726" s="69" t="str">
        <f t="shared" si="58"/>
        <v>برنامج دولى</v>
      </c>
    </row>
    <row r="727" spans="1:86" x14ac:dyDescent="0.25">
      <c r="A727" s="148"/>
      <c r="B727" s="82">
        <v>8644</v>
      </c>
      <c r="C727" s="149">
        <v>4577</v>
      </c>
      <c r="D727" s="69" t="s">
        <v>78</v>
      </c>
      <c r="E727" s="69" t="s">
        <v>3330</v>
      </c>
      <c r="F727" s="63"/>
      <c r="G727" s="69">
        <v>3517.5</v>
      </c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  <c r="AD727" s="69"/>
      <c r="AE727" s="69"/>
      <c r="AF727" s="69"/>
      <c r="AG727" s="69"/>
      <c r="AH727" s="69"/>
      <c r="AI727" s="69"/>
      <c r="AJ727" s="69"/>
      <c r="AK727" s="69"/>
      <c r="AL727" s="69"/>
      <c r="AM727" s="69"/>
      <c r="AN727" s="69"/>
      <c r="AO727" s="69"/>
      <c r="AP727" s="69"/>
      <c r="AQ727" s="69"/>
      <c r="AR727" s="94">
        <f t="shared" si="59"/>
        <v>3517.5</v>
      </c>
      <c r="AS727" s="69">
        <v>2350.35</v>
      </c>
      <c r="AT727" s="69">
        <v>319.64999999999998</v>
      </c>
      <c r="AU727" s="69">
        <v>847.5</v>
      </c>
      <c r="AV727" s="69"/>
      <c r="AW727" s="69"/>
      <c r="AX727" s="69"/>
      <c r="AY727" s="69"/>
      <c r="AZ727" s="69"/>
      <c r="BA727" s="69"/>
      <c r="BB727" s="69"/>
      <c r="BC727" s="69"/>
      <c r="BD727" s="69"/>
      <c r="BE727" s="69"/>
      <c r="BF727" s="69"/>
      <c r="BG727" s="69"/>
      <c r="BH727" s="69"/>
      <c r="BI727" s="69"/>
      <c r="BJ727" s="69"/>
      <c r="BK727" s="69"/>
      <c r="BL727" s="69"/>
      <c r="BM727" s="69"/>
      <c r="BN727" s="69"/>
      <c r="BO727" s="69"/>
      <c r="BP727" s="69"/>
      <c r="BQ727" s="69"/>
      <c r="BR727" s="69"/>
      <c r="BS727" s="69"/>
      <c r="BT727" s="69"/>
      <c r="BU727" s="69"/>
      <c r="BV727" s="69"/>
      <c r="BW727" s="69"/>
      <c r="BX727" s="69"/>
      <c r="BY727" s="69"/>
      <c r="BZ727" s="69"/>
      <c r="CA727" s="69"/>
      <c r="CB727" s="69"/>
      <c r="CC727" s="69"/>
      <c r="CD727" s="69"/>
      <c r="CE727" s="94">
        <f t="shared" si="57"/>
        <v>3517.5</v>
      </c>
      <c r="CF727" s="151">
        <f t="shared" si="56"/>
        <v>0</v>
      </c>
      <c r="CG727" s="75">
        <f t="shared" si="58"/>
        <v>4577</v>
      </c>
      <c r="CH727" s="69" t="str">
        <f t="shared" si="58"/>
        <v>برنامج دولى</v>
      </c>
    </row>
    <row r="728" spans="1:86" x14ac:dyDescent="0.25">
      <c r="A728" s="148"/>
      <c r="B728" s="82">
        <v>8643</v>
      </c>
      <c r="C728" s="149">
        <v>4578</v>
      </c>
      <c r="D728" s="69" t="s">
        <v>78</v>
      </c>
      <c r="E728" s="69" t="s">
        <v>3330</v>
      </c>
      <c r="F728" s="63"/>
      <c r="G728" s="69">
        <v>6000</v>
      </c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  <c r="AD728" s="69"/>
      <c r="AE728" s="69"/>
      <c r="AF728" s="69"/>
      <c r="AG728" s="69"/>
      <c r="AH728" s="69"/>
      <c r="AI728" s="69"/>
      <c r="AJ728" s="69"/>
      <c r="AK728" s="69"/>
      <c r="AL728" s="69"/>
      <c r="AM728" s="69"/>
      <c r="AN728" s="69"/>
      <c r="AO728" s="69"/>
      <c r="AP728" s="69"/>
      <c r="AQ728" s="69"/>
      <c r="AR728" s="94">
        <f t="shared" si="59"/>
        <v>6000</v>
      </c>
      <c r="AS728" s="69">
        <v>5355.7</v>
      </c>
      <c r="AT728" s="69">
        <v>644.29999999999995</v>
      </c>
      <c r="AU728" s="69"/>
      <c r="AV728" s="69"/>
      <c r="AW728" s="69"/>
      <c r="AX728" s="69"/>
      <c r="AY728" s="69"/>
      <c r="AZ728" s="69"/>
      <c r="BA728" s="69"/>
      <c r="BB728" s="69"/>
      <c r="BC728" s="69"/>
      <c r="BD728" s="69"/>
      <c r="BE728" s="69"/>
      <c r="BF728" s="69"/>
      <c r="BG728" s="69"/>
      <c r="BH728" s="69"/>
      <c r="BI728" s="69"/>
      <c r="BJ728" s="69"/>
      <c r="BK728" s="69"/>
      <c r="BL728" s="69"/>
      <c r="BM728" s="69"/>
      <c r="BN728" s="69"/>
      <c r="BO728" s="69"/>
      <c r="BP728" s="69"/>
      <c r="BQ728" s="69"/>
      <c r="BR728" s="69"/>
      <c r="BS728" s="69"/>
      <c r="BT728" s="69"/>
      <c r="BU728" s="69"/>
      <c r="BV728" s="69"/>
      <c r="BW728" s="69"/>
      <c r="BX728" s="69"/>
      <c r="BY728" s="69"/>
      <c r="BZ728" s="69"/>
      <c r="CA728" s="69"/>
      <c r="CB728" s="69"/>
      <c r="CC728" s="69"/>
      <c r="CD728" s="69"/>
      <c r="CE728" s="94">
        <f t="shared" si="57"/>
        <v>6000</v>
      </c>
      <c r="CF728" s="151">
        <f t="shared" si="56"/>
        <v>0</v>
      </c>
      <c r="CG728" s="75">
        <f t="shared" si="58"/>
        <v>4578</v>
      </c>
      <c r="CH728" s="69" t="str">
        <f t="shared" si="58"/>
        <v>برنامج دولى</v>
      </c>
    </row>
    <row r="729" spans="1:86" x14ac:dyDescent="0.25">
      <c r="A729" s="148"/>
      <c r="B729" s="82">
        <v>8642</v>
      </c>
      <c r="C729" s="149">
        <v>4579</v>
      </c>
      <c r="D729" s="69" t="s">
        <v>78</v>
      </c>
      <c r="E729" s="69" t="s">
        <v>3330</v>
      </c>
      <c r="F729" s="63"/>
      <c r="G729" s="69">
        <v>3517.5</v>
      </c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  <c r="AD729" s="69"/>
      <c r="AE729" s="69"/>
      <c r="AF729" s="69"/>
      <c r="AG729" s="69"/>
      <c r="AH729" s="69"/>
      <c r="AI729" s="69"/>
      <c r="AJ729" s="69"/>
      <c r="AK729" s="69"/>
      <c r="AL729" s="69"/>
      <c r="AM729" s="69"/>
      <c r="AN729" s="69"/>
      <c r="AO729" s="69"/>
      <c r="AP729" s="69"/>
      <c r="AQ729" s="69"/>
      <c r="AR729" s="94">
        <f t="shared" si="59"/>
        <v>3517.5</v>
      </c>
      <c r="AS729" s="69">
        <v>2350.35</v>
      </c>
      <c r="AT729" s="69">
        <v>319.64999999999998</v>
      </c>
      <c r="AU729" s="69">
        <v>847.5</v>
      </c>
      <c r="AV729" s="69"/>
      <c r="AW729" s="69"/>
      <c r="AX729" s="69"/>
      <c r="AY729" s="69"/>
      <c r="AZ729" s="69"/>
      <c r="BA729" s="69"/>
      <c r="BB729" s="69"/>
      <c r="BC729" s="69"/>
      <c r="BD729" s="69"/>
      <c r="BE729" s="69"/>
      <c r="BF729" s="69"/>
      <c r="BG729" s="69"/>
      <c r="BH729" s="69"/>
      <c r="BI729" s="69"/>
      <c r="BJ729" s="69"/>
      <c r="BK729" s="69"/>
      <c r="BL729" s="69"/>
      <c r="BM729" s="69"/>
      <c r="BN729" s="69"/>
      <c r="BO729" s="69"/>
      <c r="BP729" s="69"/>
      <c r="BQ729" s="69"/>
      <c r="BR729" s="69"/>
      <c r="BS729" s="69"/>
      <c r="BT729" s="69"/>
      <c r="BU729" s="69"/>
      <c r="BV729" s="69"/>
      <c r="BW729" s="69"/>
      <c r="BX729" s="69"/>
      <c r="BY729" s="69"/>
      <c r="BZ729" s="69"/>
      <c r="CA729" s="69"/>
      <c r="CB729" s="69"/>
      <c r="CC729" s="69"/>
      <c r="CD729" s="69"/>
      <c r="CE729" s="94">
        <f t="shared" si="57"/>
        <v>3517.5</v>
      </c>
      <c r="CF729" s="151">
        <f t="shared" si="56"/>
        <v>0</v>
      </c>
      <c r="CG729" s="75">
        <f t="shared" si="58"/>
        <v>4579</v>
      </c>
      <c r="CH729" s="69" t="str">
        <f t="shared" si="58"/>
        <v>برنامج دولى</v>
      </c>
    </row>
    <row r="730" spans="1:86" x14ac:dyDescent="0.25">
      <c r="A730" s="148"/>
      <c r="B730" s="82">
        <v>8641</v>
      </c>
      <c r="C730" s="149">
        <v>4580</v>
      </c>
      <c r="D730" s="69" t="s">
        <v>78</v>
      </c>
      <c r="E730" s="69" t="s">
        <v>3330</v>
      </c>
      <c r="F730" s="63"/>
      <c r="G730" s="69">
        <v>7230.42</v>
      </c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  <c r="AD730" s="69"/>
      <c r="AE730" s="69"/>
      <c r="AF730" s="69"/>
      <c r="AG730" s="69"/>
      <c r="AH730" s="69"/>
      <c r="AI730" s="69"/>
      <c r="AJ730" s="69"/>
      <c r="AK730" s="69"/>
      <c r="AL730" s="69"/>
      <c r="AM730" s="69"/>
      <c r="AN730" s="69"/>
      <c r="AO730" s="69"/>
      <c r="AP730" s="69"/>
      <c r="AQ730" s="69"/>
      <c r="AR730" s="94">
        <f t="shared" si="59"/>
        <v>7230.42</v>
      </c>
      <c r="AS730" s="69">
        <v>5134.01</v>
      </c>
      <c r="AT730" s="69">
        <v>681.87</v>
      </c>
      <c r="AU730" s="69">
        <v>1414.54</v>
      </c>
      <c r="AV730" s="69"/>
      <c r="AW730" s="69"/>
      <c r="AX730" s="69"/>
      <c r="AY730" s="69"/>
      <c r="AZ730" s="69"/>
      <c r="BA730" s="69"/>
      <c r="BB730" s="69"/>
      <c r="BC730" s="69"/>
      <c r="BD730" s="69"/>
      <c r="BE730" s="69"/>
      <c r="BF730" s="69"/>
      <c r="BG730" s="69"/>
      <c r="BH730" s="69"/>
      <c r="BI730" s="69"/>
      <c r="BJ730" s="69"/>
      <c r="BK730" s="69"/>
      <c r="BL730" s="69"/>
      <c r="BM730" s="69"/>
      <c r="BN730" s="69"/>
      <c r="BO730" s="69"/>
      <c r="BP730" s="69"/>
      <c r="BQ730" s="69"/>
      <c r="BR730" s="69"/>
      <c r="BS730" s="69"/>
      <c r="BT730" s="69"/>
      <c r="BU730" s="69"/>
      <c r="BV730" s="69"/>
      <c r="BW730" s="69"/>
      <c r="BX730" s="69"/>
      <c r="BY730" s="69"/>
      <c r="BZ730" s="69"/>
      <c r="CA730" s="69"/>
      <c r="CB730" s="69"/>
      <c r="CC730" s="69"/>
      <c r="CD730" s="69"/>
      <c r="CE730" s="94">
        <f t="shared" si="57"/>
        <v>7230.42</v>
      </c>
      <c r="CF730" s="151">
        <f t="shared" si="56"/>
        <v>0</v>
      </c>
      <c r="CG730" s="75">
        <f t="shared" si="58"/>
        <v>4580</v>
      </c>
      <c r="CH730" s="69" t="str">
        <f t="shared" si="58"/>
        <v>برنامج دولى</v>
      </c>
    </row>
    <row r="731" spans="1:86" x14ac:dyDescent="0.25">
      <c r="A731" s="148"/>
      <c r="B731" s="82">
        <v>8640</v>
      </c>
      <c r="C731" s="149">
        <v>4581</v>
      </c>
      <c r="D731" s="69" t="s">
        <v>78</v>
      </c>
      <c r="E731" s="69" t="s">
        <v>3330</v>
      </c>
      <c r="F731" s="63"/>
      <c r="G731" s="69">
        <v>3517.5</v>
      </c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  <c r="AD731" s="69"/>
      <c r="AE731" s="69"/>
      <c r="AF731" s="69"/>
      <c r="AG731" s="69"/>
      <c r="AH731" s="69"/>
      <c r="AI731" s="69"/>
      <c r="AJ731" s="69"/>
      <c r="AK731" s="69"/>
      <c r="AL731" s="69"/>
      <c r="AM731" s="69"/>
      <c r="AN731" s="69"/>
      <c r="AO731" s="69"/>
      <c r="AP731" s="69"/>
      <c r="AQ731" s="69"/>
      <c r="AR731" s="94">
        <f t="shared" si="59"/>
        <v>3517.5</v>
      </c>
      <c r="AS731" s="69">
        <v>2350.35</v>
      </c>
      <c r="AT731" s="69">
        <v>319.64999999999998</v>
      </c>
      <c r="AU731" s="69">
        <v>847.5</v>
      </c>
      <c r="AV731" s="69"/>
      <c r="AW731" s="69"/>
      <c r="AX731" s="69"/>
      <c r="AY731" s="69"/>
      <c r="AZ731" s="69"/>
      <c r="BA731" s="69"/>
      <c r="BB731" s="69"/>
      <c r="BC731" s="69"/>
      <c r="BD731" s="69"/>
      <c r="BE731" s="69"/>
      <c r="BF731" s="69"/>
      <c r="BG731" s="69"/>
      <c r="BH731" s="69"/>
      <c r="BI731" s="69"/>
      <c r="BJ731" s="69"/>
      <c r="BK731" s="69"/>
      <c r="BL731" s="69"/>
      <c r="BM731" s="69"/>
      <c r="BN731" s="69"/>
      <c r="BO731" s="69"/>
      <c r="BP731" s="69"/>
      <c r="BQ731" s="69"/>
      <c r="BR731" s="69"/>
      <c r="BS731" s="69"/>
      <c r="BT731" s="69"/>
      <c r="BU731" s="69"/>
      <c r="BV731" s="69"/>
      <c r="BW731" s="69"/>
      <c r="BX731" s="69"/>
      <c r="BY731" s="69"/>
      <c r="BZ731" s="69"/>
      <c r="CA731" s="69"/>
      <c r="CB731" s="69"/>
      <c r="CC731" s="69"/>
      <c r="CD731" s="69"/>
      <c r="CE731" s="94">
        <f t="shared" si="57"/>
        <v>3517.5</v>
      </c>
      <c r="CF731" s="151">
        <f t="shared" si="56"/>
        <v>0</v>
      </c>
      <c r="CG731" s="75">
        <f t="shared" si="58"/>
        <v>4581</v>
      </c>
      <c r="CH731" s="69" t="str">
        <f t="shared" si="58"/>
        <v>برنامج دولى</v>
      </c>
    </row>
    <row r="732" spans="1:86" x14ac:dyDescent="0.25">
      <c r="A732" s="148"/>
      <c r="B732" s="82">
        <v>8639</v>
      </c>
      <c r="C732" s="149">
        <v>4582</v>
      </c>
      <c r="D732" s="69" t="s">
        <v>78</v>
      </c>
      <c r="E732" s="69" t="s">
        <v>3330</v>
      </c>
      <c r="F732" s="63"/>
      <c r="G732" s="69">
        <v>22846.87</v>
      </c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  <c r="AD732" s="69"/>
      <c r="AE732" s="69"/>
      <c r="AF732" s="69"/>
      <c r="AG732" s="69"/>
      <c r="AH732" s="69"/>
      <c r="AI732" s="69"/>
      <c r="AJ732" s="69"/>
      <c r="AK732" s="69"/>
      <c r="AL732" s="69"/>
      <c r="AM732" s="69"/>
      <c r="AN732" s="69"/>
      <c r="AO732" s="69"/>
      <c r="AP732" s="69"/>
      <c r="AQ732" s="69"/>
      <c r="AR732" s="94">
        <f t="shared" si="59"/>
        <v>22846.87</v>
      </c>
      <c r="AS732" s="69">
        <v>17219.64</v>
      </c>
      <c r="AT732" s="69">
        <v>2217.11</v>
      </c>
      <c r="AU732" s="69">
        <v>3410.12</v>
      </c>
      <c r="AV732" s="69"/>
      <c r="AW732" s="69"/>
      <c r="AX732" s="69"/>
      <c r="AY732" s="69"/>
      <c r="AZ732" s="69"/>
      <c r="BA732" s="69"/>
      <c r="BB732" s="69"/>
      <c r="BC732" s="69"/>
      <c r="BD732" s="69"/>
      <c r="BE732" s="69"/>
      <c r="BF732" s="69"/>
      <c r="BG732" s="69"/>
      <c r="BH732" s="69"/>
      <c r="BI732" s="69"/>
      <c r="BJ732" s="69"/>
      <c r="BK732" s="69"/>
      <c r="BL732" s="69"/>
      <c r="BM732" s="69"/>
      <c r="BN732" s="69"/>
      <c r="BO732" s="69"/>
      <c r="BP732" s="69"/>
      <c r="BQ732" s="69"/>
      <c r="BR732" s="69"/>
      <c r="BS732" s="69"/>
      <c r="BT732" s="69"/>
      <c r="BU732" s="69"/>
      <c r="BV732" s="69"/>
      <c r="BW732" s="69"/>
      <c r="BX732" s="69"/>
      <c r="BY732" s="69"/>
      <c r="BZ732" s="69"/>
      <c r="CA732" s="69"/>
      <c r="CB732" s="69"/>
      <c r="CC732" s="69"/>
      <c r="CD732" s="69"/>
      <c r="CE732" s="94">
        <f t="shared" si="57"/>
        <v>22846.87</v>
      </c>
      <c r="CF732" s="151">
        <f t="shared" si="56"/>
        <v>0</v>
      </c>
      <c r="CG732" s="75">
        <f t="shared" si="58"/>
        <v>4582</v>
      </c>
      <c r="CH732" s="69" t="str">
        <f t="shared" si="58"/>
        <v>برنامج دولى</v>
      </c>
    </row>
    <row r="733" spans="1:86" x14ac:dyDescent="0.25">
      <c r="A733" s="148"/>
      <c r="B733" s="82">
        <v>8711</v>
      </c>
      <c r="C733" s="149">
        <v>4583</v>
      </c>
      <c r="D733" s="69" t="s">
        <v>78</v>
      </c>
      <c r="E733" s="69" t="s">
        <v>3330</v>
      </c>
      <c r="F733" s="63"/>
      <c r="G733" s="69">
        <v>97089.279999999999</v>
      </c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  <c r="AD733" s="69"/>
      <c r="AE733" s="69"/>
      <c r="AF733" s="69"/>
      <c r="AG733" s="69"/>
      <c r="AH733" s="69"/>
      <c r="AI733" s="69"/>
      <c r="AJ733" s="69"/>
      <c r="AK733" s="69"/>
      <c r="AL733" s="69"/>
      <c r="AM733" s="69"/>
      <c r="AN733" s="69"/>
      <c r="AO733" s="69"/>
      <c r="AP733" s="69"/>
      <c r="AQ733" s="69"/>
      <c r="AR733" s="94">
        <f t="shared" si="59"/>
        <v>97089.279999999999</v>
      </c>
      <c r="AS733" s="69">
        <v>65804.84</v>
      </c>
      <c r="AT733" s="69">
        <v>8893.07</v>
      </c>
      <c r="AU733" s="69">
        <v>22391.37</v>
      </c>
      <c r="AV733" s="69"/>
      <c r="AW733" s="69"/>
      <c r="AX733" s="69"/>
      <c r="AY733" s="69"/>
      <c r="AZ733" s="69"/>
      <c r="BA733" s="69"/>
      <c r="BB733" s="69"/>
      <c r="BC733" s="69"/>
      <c r="BD733" s="69"/>
      <c r="BE733" s="69"/>
      <c r="BF733" s="69"/>
      <c r="BG733" s="69"/>
      <c r="BH733" s="69"/>
      <c r="BI733" s="69"/>
      <c r="BJ733" s="69"/>
      <c r="BK733" s="69"/>
      <c r="BL733" s="69"/>
      <c r="BM733" s="69"/>
      <c r="BN733" s="69"/>
      <c r="BO733" s="69"/>
      <c r="BP733" s="69"/>
      <c r="BQ733" s="69"/>
      <c r="BR733" s="69"/>
      <c r="BS733" s="69"/>
      <c r="BT733" s="69"/>
      <c r="BU733" s="69"/>
      <c r="BV733" s="69"/>
      <c r="BW733" s="69"/>
      <c r="BX733" s="69"/>
      <c r="BY733" s="69"/>
      <c r="BZ733" s="69"/>
      <c r="CA733" s="69"/>
      <c r="CB733" s="69"/>
      <c r="CC733" s="69"/>
      <c r="CD733" s="69"/>
      <c r="CE733" s="94">
        <f t="shared" si="57"/>
        <v>97089.279999999999</v>
      </c>
      <c r="CF733" s="151">
        <f t="shared" si="56"/>
        <v>0</v>
      </c>
      <c r="CG733" s="75">
        <f t="shared" si="58"/>
        <v>4583</v>
      </c>
      <c r="CH733" s="69" t="str">
        <f t="shared" si="58"/>
        <v>برنامج دولى</v>
      </c>
    </row>
    <row r="734" spans="1:86" x14ac:dyDescent="0.25">
      <c r="A734" s="148"/>
      <c r="B734" s="82">
        <v>8638</v>
      </c>
      <c r="C734" s="149">
        <v>4584</v>
      </c>
      <c r="D734" s="69" t="s">
        <v>78</v>
      </c>
      <c r="E734" s="69" t="s">
        <v>3330</v>
      </c>
      <c r="F734" s="63"/>
      <c r="G734" s="69">
        <v>41965.39</v>
      </c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  <c r="AE734" s="69"/>
      <c r="AF734" s="69"/>
      <c r="AG734" s="69"/>
      <c r="AH734" s="69"/>
      <c r="AI734" s="69"/>
      <c r="AJ734" s="69"/>
      <c r="AK734" s="69"/>
      <c r="AL734" s="69"/>
      <c r="AM734" s="69"/>
      <c r="AN734" s="69"/>
      <c r="AO734" s="69"/>
      <c r="AP734" s="69"/>
      <c r="AQ734" s="69"/>
      <c r="AR734" s="94">
        <f t="shared" si="59"/>
        <v>41965.39</v>
      </c>
      <c r="AS734" s="69">
        <v>29043.97</v>
      </c>
      <c r="AT734" s="69">
        <v>3888.95</v>
      </c>
      <c r="AU734" s="69">
        <v>9032.4699999999993</v>
      </c>
      <c r="AV734" s="69"/>
      <c r="AW734" s="69"/>
      <c r="AX734" s="69"/>
      <c r="AY734" s="69"/>
      <c r="AZ734" s="69"/>
      <c r="BA734" s="69"/>
      <c r="BB734" s="69"/>
      <c r="BC734" s="69"/>
      <c r="BD734" s="69"/>
      <c r="BE734" s="69"/>
      <c r="BF734" s="69"/>
      <c r="BG734" s="69"/>
      <c r="BH734" s="69"/>
      <c r="BI734" s="69"/>
      <c r="BJ734" s="69"/>
      <c r="BK734" s="69"/>
      <c r="BL734" s="69"/>
      <c r="BM734" s="69"/>
      <c r="BN734" s="69"/>
      <c r="BO734" s="69"/>
      <c r="BP734" s="69"/>
      <c r="BQ734" s="69"/>
      <c r="BR734" s="69"/>
      <c r="BS734" s="69"/>
      <c r="BT734" s="69"/>
      <c r="BU734" s="69"/>
      <c r="BV734" s="69"/>
      <c r="BW734" s="69"/>
      <c r="BX734" s="69"/>
      <c r="BY734" s="69"/>
      <c r="BZ734" s="69"/>
      <c r="CA734" s="69"/>
      <c r="CB734" s="69"/>
      <c r="CC734" s="69"/>
      <c r="CD734" s="69"/>
      <c r="CE734" s="94">
        <f t="shared" si="57"/>
        <v>41965.39</v>
      </c>
      <c r="CF734" s="151">
        <f t="shared" ref="CF734:CF797" si="60">+CE734-AR734</f>
        <v>0</v>
      </c>
      <c r="CG734" s="75">
        <f t="shared" si="58"/>
        <v>4584</v>
      </c>
      <c r="CH734" s="69" t="str">
        <f t="shared" si="58"/>
        <v>برنامج دولى</v>
      </c>
    </row>
    <row r="735" spans="1:86" x14ac:dyDescent="0.25">
      <c r="A735" s="148"/>
      <c r="B735" s="82">
        <v>8637</v>
      </c>
      <c r="C735" s="149">
        <v>4585</v>
      </c>
      <c r="D735" s="69" t="s">
        <v>78</v>
      </c>
      <c r="E735" s="69" t="s">
        <v>3330</v>
      </c>
      <c r="F735" s="63"/>
      <c r="G735" s="69">
        <v>10552.5</v>
      </c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  <c r="AD735" s="69"/>
      <c r="AE735" s="69"/>
      <c r="AF735" s="69"/>
      <c r="AG735" s="69"/>
      <c r="AH735" s="69"/>
      <c r="AI735" s="69"/>
      <c r="AJ735" s="69"/>
      <c r="AK735" s="69"/>
      <c r="AL735" s="69"/>
      <c r="AM735" s="69"/>
      <c r="AN735" s="69"/>
      <c r="AO735" s="69"/>
      <c r="AP735" s="69"/>
      <c r="AQ735" s="69"/>
      <c r="AR735" s="94">
        <f t="shared" si="59"/>
        <v>10552.5</v>
      </c>
      <c r="AS735" s="69">
        <v>7043.55</v>
      </c>
      <c r="AT735" s="69">
        <f>66.45+900</f>
        <v>966.45</v>
      </c>
      <c r="AU735" s="69">
        <f>3508.95-66.45-900</f>
        <v>2542.5</v>
      </c>
      <c r="AV735" s="69"/>
      <c r="AW735" s="69"/>
      <c r="AX735" s="69"/>
      <c r="AY735" s="69"/>
      <c r="AZ735" s="69"/>
      <c r="BA735" s="69"/>
      <c r="BB735" s="69"/>
      <c r="BC735" s="69"/>
      <c r="BD735" s="69"/>
      <c r="BE735" s="69"/>
      <c r="BF735" s="69"/>
      <c r="BG735" s="69"/>
      <c r="BH735" s="69"/>
      <c r="BI735" s="69"/>
      <c r="BJ735" s="69"/>
      <c r="BK735" s="69"/>
      <c r="BL735" s="69"/>
      <c r="BM735" s="69"/>
      <c r="BN735" s="69"/>
      <c r="BO735" s="69"/>
      <c r="BP735" s="69"/>
      <c r="BQ735" s="69"/>
      <c r="BR735" s="69"/>
      <c r="BS735" s="69"/>
      <c r="BT735" s="69"/>
      <c r="BU735" s="69"/>
      <c r="BV735" s="69"/>
      <c r="BW735" s="69"/>
      <c r="BX735" s="69"/>
      <c r="BY735" s="69"/>
      <c r="BZ735" s="69"/>
      <c r="CA735" s="69"/>
      <c r="CB735" s="69"/>
      <c r="CC735" s="69"/>
      <c r="CD735" s="69"/>
      <c r="CE735" s="94">
        <f t="shared" si="57"/>
        <v>10552.5</v>
      </c>
      <c r="CF735" s="151">
        <f t="shared" si="60"/>
        <v>0</v>
      </c>
      <c r="CG735" s="75">
        <f t="shared" si="58"/>
        <v>4585</v>
      </c>
      <c r="CH735" s="69" t="str">
        <f t="shared" si="58"/>
        <v>برنامج دولى</v>
      </c>
    </row>
    <row r="736" spans="1:86" x14ac:dyDescent="0.25">
      <c r="A736" s="148"/>
      <c r="B736" s="82">
        <v>8597</v>
      </c>
      <c r="C736" s="149">
        <v>4586</v>
      </c>
      <c r="D736" s="69" t="s">
        <v>78</v>
      </c>
      <c r="E736" s="69" t="s">
        <v>3331</v>
      </c>
      <c r="F736" s="63"/>
      <c r="G736" s="69">
        <v>1055.25</v>
      </c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  <c r="AD736" s="69"/>
      <c r="AE736" s="69"/>
      <c r="AF736" s="69"/>
      <c r="AG736" s="69"/>
      <c r="AH736" s="69"/>
      <c r="AI736" s="69"/>
      <c r="AJ736" s="69"/>
      <c r="AK736" s="69"/>
      <c r="AL736" s="69"/>
      <c r="AM736" s="69"/>
      <c r="AN736" s="69"/>
      <c r="AO736" s="69"/>
      <c r="AP736" s="69"/>
      <c r="AQ736" s="69"/>
      <c r="AR736" s="94">
        <f t="shared" si="59"/>
        <v>1055.25</v>
      </c>
      <c r="AS736" s="69">
        <v>705.7</v>
      </c>
      <c r="AT736" s="69">
        <f>90+5.3</f>
        <v>95.3</v>
      </c>
      <c r="AU736" s="69">
        <v>254.25</v>
      </c>
      <c r="AV736" s="69"/>
      <c r="AW736" s="69"/>
      <c r="AX736" s="69"/>
      <c r="AY736" s="69"/>
      <c r="AZ736" s="69"/>
      <c r="BA736" s="69"/>
      <c r="BB736" s="69"/>
      <c r="BC736" s="69"/>
      <c r="BD736" s="69"/>
      <c r="BE736" s="69"/>
      <c r="BF736" s="69"/>
      <c r="BG736" s="69"/>
      <c r="BH736" s="69"/>
      <c r="BI736" s="69"/>
      <c r="BJ736" s="69"/>
      <c r="BK736" s="69"/>
      <c r="BL736" s="69"/>
      <c r="BM736" s="69"/>
      <c r="BN736" s="69"/>
      <c r="BO736" s="69"/>
      <c r="BP736" s="69"/>
      <c r="BQ736" s="69"/>
      <c r="BR736" s="69"/>
      <c r="BS736" s="69"/>
      <c r="BT736" s="69"/>
      <c r="BU736" s="69"/>
      <c r="BV736" s="69"/>
      <c r="BW736" s="69"/>
      <c r="BX736" s="69"/>
      <c r="BY736" s="69"/>
      <c r="BZ736" s="69"/>
      <c r="CA736" s="69"/>
      <c r="CB736" s="69"/>
      <c r="CC736" s="69"/>
      <c r="CD736" s="69"/>
      <c r="CE736" s="94">
        <f t="shared" si="57"/>
        <v>1055.25</v>
      </c>
      <c r="CF736" s="151">
        <f t="shared" si="60"/>
        <v>0</v>
      </c>
      <c r="CG736" s="75">
        <f t="shared" si="58"/>
        <v>4586</v>
      </c>
      <c r="CH736" s="69" t="str">
        <f t="shared" si="58"/>
        <v>برنامج دولى</v>
      </c>
    </row>
    <row r="737" spans="1:86" x14ac:dyDescent="0.25">
      <c r="A737" s="148"/>
      <c r="B737" s="82">
        <v>8596</v>
      </c>
      <c r="C737" s="149">
        <v>4587</v>
      </c>
      <c r="D737" s="69" t="s">
        <v>78</v>
      </c>
      <c r="E737" s="69" t="s">
        <v>3331</v>
      </c>
      <c r="F737" s="63"/>
      <c r="G737" s="69">
        <v>2110.5</v>
      </c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  <c r="AD737" s="69"/>
      <c r="AE737" s="69"/>
      <c r="AF737" s="69"/>
      <c r="AG737" s="69"/>
      <c r="AH737" s="69"/>
      <c r="AI737" s="69"/>
      <c r="AJ737" s="69"/>
      <c r="AK737" s="69"/>
      <c r="AL737" s="69"/>
      <c r="AM737" s="69"/>
      <c r="AN737" s="69"/>
      <c r="AO737" s="69"/>
      <c r="AP737" s="69"/>
      <c r="AQ737" s="69"/>
      <c r="AR737" s="94">
        <f t="shared" si="59"/>
        <v>2110.5</v>
      </c>
      <c r="AS737" s="69">
        <v>1411.45</v>
      </c>
      <c r="AT737" s="69">
        <v>190.55</v>
      </c>
      <c r="AU737" s="69">
        <v>508.5</v>
      </c>
      <c r="AV737" s="69"/>
      <c r="AW737" s="69"/>
      <c r="AX737" s="69"/>
      <c r="AY737" s="69"/>
      <c r="AZ737" s="69"/>
      <c r="BA737" s="69"/>
      <c r="BB737" s="69"/>
      <c r="BC737" s="69"/>
      <c r="BD737" s="69"/>
      <c r="BE737" s="69"/>
      <c r="BF737" s="69"/>
      <c r="BG737" s="69"/>
      <c r="BH737" s="69"/>
      <c r="BI737" s="69"/>
      <c r="BJ737" s="69"/>
      <c r="BK737" s="69"/>
      <c r="BL737" s="69"/>
      <c r="BM737" s="69"/>
      <c r="BN737" s="69"/>
      <c r="BO737" s="69"/>
      <c r="BP737" s="69"/>
      <c r="BQ737" s="69"/>
      <c r="BR737" s="69"/>
      <c r="BS737" s="69"/>
      <c r="BT737" s="69"/>
      <c r="BU737" s="69"/>
      <c r="BV737" s="69"/>
      <c r="BW737" s="69"/>
      <c r="BX737" s="69"/>
      <c r="BY737" s="69"/>
      <c r="BZ737" s="69"/>
      <c r="CA737" s="69"/>
      <c r="CB737" s="69"/>
      <c r="CC737" s="69"/>
      <c r="CD737" s="69"/>
      <c r="CE737" s="94">
        <f t="shared" si="57"/>
        <v>2110.5</v>
      </c>
      <c r="CF737" s="151">
        <f t="shared" si="60"/>
        <v>0</v>
      </c>
      <c r="CG737" s="75">
        <f t="shared" si="58"/>
        <v>4587</v>
      </c>
      <c r="CH737" s="69" t="str">
        <f t="shared" si="58"/>
        <v>برنامج دولى</v>
      </c>
    </row>
    <row r="738" spans="1:86" x14ac:dyDescent="0.25">
      <c r="A738" s="148"/>
      <c r="B738" s="82">
        <v>8591</v>
      </c>
      <c r="C738" s="149">
        <v>4588</v>
      </c>
      <c r="D738" s="69" t="s">
        <v>78</v>
      </c>
      <c r="E738" s="69" t="s">
        <v>3332</v>
      </c>
      <c r="F738" s="63"/>
      <c r="G738" s="69">
        <v>10951.15</v>
      </c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  <c r="AD738" s="69"/>
      <c r="AE738" s="69"/>
      <c r="AF738" s="69"/>
      <c r="AG738" s="69"/>
      <c r="AH738" s="69"/>
      <c r="AI738" s="69"/>
      <c r="AJ738" s="69"/>
      <c r="AK738" s="69"/>
      <c r="AL738" s="69"/>
      <c r="AM738" s="69"/>
      <c r="AN738" s="69"/>
      <c r="AO738" s="69"/>
      <c r="AP738" s="69"/>
      <c r="AQ738" s="69"/>
      <c r="AR738" s="94">
        <f t="shared" si="59"/>
        <v>10951.15</v>
      </c>
      <c r="AS738" s="69">
        <v>7317.3</v>
      </c>
      <c r="AT738" s="69">
        <f>61.3+934</f>
        <v>995.3</v>
      </c>
      <c r="AU738" s="69">
        <v>2638.55</v>
      </c>
      <c r="AV738" s="69"/>
      <c r="AW738" s="69"/>
      <c r="AX738" s="69"/>
      <c r="AY738" s="69"/>
      <c r="AZ738" s="69"/>
      <c r="BA738" s="69"/>
      <c r="BB738" s="69"/>
      <c r="BC738" s="69"/>
      <c r="BD738" s="69"/>
      <c r="BE738" s="69"/>
      <c r="BF738" s="69"/>
      <c r="BG738" s="69"/>
      <c r="BH738" s="69"/>
      <c r="BI738" s="69"/>
      <c r="BJ738" s="69"/>
      <c r="BK738" s="69"/>
      <c r="BL738" s="69"/>
      <c r="BM738" s="69"/>
      <c r="BN738" s="69"/>
      <c r="BO738" s="69"/>
      <c r="BP738" s="69"/>
      <c r="BQ738" s="69"/>
      <c r="BR738" s="69"/>
      <c r="BS738" s="69"/>
      <c r="BT738" s="69"/>
      <c r="BU738" s="69"/>
      <c r="BV738" s="69"/>
      <c r="BW738" s="69"/>
      <c r="BX738" s="69"/>
      <c r="BY738" s="69"/>
      <c r="BZ738" s="69"/>
      <c r="CA738" s="69"/>
      <c r="CB738" s="69"/>
      <c r="CC738" s="69"/>
      <c r="CD738" s="69"/>
      <c r="CE738" s="94">
        <f t="shared" si="57"/>
        <v>10951.150000000001</v>
      </c>
      <c r="CF738" s="151">
        <f t="shared" si="60"/>
        <v>0</v>
      </c>
      <c r="CG738" s="75">
        <f t="shared" si="58"/>
        <v>4588</v>
      </c>
      <c r="CH738" s="69" t="str">
        <f t="shared" si="58"/>
        <v>برنامج دولى</v>
      </c>
    </row>
    <row r="739" spans="1:86" x14ac:dyDescent="0.25">
      <c r="A739" s="148"/>
      <c r="B739" s="82">
        <v>8584</v>
      </c>
      <c r="C739" s="149">
        <v>4589</v>
      </c>
      <c r="D739" s="69" t="s">
        <v>78</v>
      </c>
      <c r="E739" s="69" t="str">
        <f>+E725</f>
        <v>مكافاه اداره هندسيه</v>
      </c>
      <c r="F739" s="63"/>
      <c r="G739" s="69">
        <v>30350.2</v>
      </c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  <c r="AD739" s="69"/>
      <c r="AE739" s="69"/>
      <c r="AF739" s="69"/>
      <c r="AG739" s="69"/>
      <c r="AH739" s="69"/>
      <c r="AI739" s="69"/>
      <c r="AJ739" s="69"/>
      <c r="AK739" s="69"/>
      <c r="AL739" s="69"/>
      <c r="AM739" s="69"/>
      <c r="AN739" s="69"/>
      <c r="AO739" s="69"/>
      <c r="AP739" s="69"/>
      <c r="AQ739" s="69"/>
      <c r="AR739" s="94">
        <f t="shared" si="59"/>
        <v>30350.2</v>
      </c>
      <c r="AS739" s="69">
        <v>20304.64</v>
      </c>
      <c r="AT739" s="69">
        <v>2757.55</v>
      </c>
      <c r="AU739" s="69">
        <v>7288.01</v>
      </c>
      <c r="AV739" s="69"/>
      <c r="AW739" s="69"/>
      <c r="AX739" s="69"/>
      <c r="AY739" s="69"/>
      <c r="AZ739" s="69"/>
      <c r="BA739" s="69"/>
      <c r="BB739" s="69"/>
      <c r="BC739" s="69"/>
      <c r="BD739" s="69"/>
      <c r="BE739" s="69"/>
      <c r="BF739" s="69"/>
      <c r="BG739" s="69"/>
      <c r="BH739" s="69"/>
      <c r="BI739" s="69"/>
      <c r="BJ739" s="69"/>
      <c r="BK739" s="69"/>
      <c r="BL739" s="69"/>
      <c r="BM739" s="69"/>
      <c r="BN739" s="69"/>
      <c r="BO739" s="69"/>
      <c r="BP739" s="69"/>
      <c r="BQ739" s="69"/>
      <c r="BR739" s="69"/>
      <c r="BS739" s="69"/>
      <c r="BT739" s="69"/>
      <c r="BU739" s="69"/>
      <c r="BV739" s="69"/>
      <c r="BW739" s="69"/>
      <c r="BX739" s="69"/>
      <c r="BY739" s="69"/>
      <c r="BZ739" s="69"/>
      <c r="CA739" s="69"/>
      <c r="CB739" s="69"/>
      <c r="CC739" s="69"/>
      <c r="CD739" s="69"/>
      <c r="CE739" s="94">
        <f t="shared" si="57"/>
        <v>30350.199999999997</v>
      </c>
      <c r="CF739" s="151">
        <f t="shared" si="60"/>
        <v>0</v>
      </c>
      <c r="CG739" s="75">
        <f t="shared" si="58"/>
        <v>4589</v>
      </c>
      <c r="CH739" s="69" t="str">
        <f t="shared" si="58"/>
        <v>برنامج دولى</v>
      </c>
    </row>
    <row r="740" spans="1:86" x14ac:dyDescent="0.25">
      <c r="A740" s="148"/>
      <c r="B740" s="82">
        <v>8585</v>
      </c>
      <c r="C740" s="149">
        <v>4590</v>
      </c>
      <c r="D740" s="69" t="s">
        <v>78</v>
      </c>
      <c r="E740" s="69" t="str">
        <f>+E726</f>
        <v>مكافاه اداره هندسيه</v>
      </c>
      <c r="F740" s="63"/>
      <c r="G740" s="69">
        <v>1758.75</v>
      </c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  <c r="AD740" s="69"/>
      <c r="AE740" s="69"/>
      <c r="AF740" s="69"/>
      <c r="AG740" s="69"/>
      <c r="AH740" s="69"/>
      <c r="AI740" s="69"/>
      <c r="AJ740" s="69"/>
      <c r="AK740" s="69"/>
      <c r="AL740" s="69"/>
      <c r="AM740" s="69"/>
      <c r="AN740" s="69"/>
      <c r="AO740" s="69"/>
      <c r="AP740" s="69"/>
      <c r="AQ740" s="69"/>
      <c r="AR740" s="94">
        <f t="shared" si="59"/>
        <v>1758.75</v>
      </c>
      <c r="AS740" s="69">
        <v>1175.3499999999999</v>
      </c>
      <c r="AT740" s="69">
        <v>159.65</v>
      </c>
      <c r="AU740" s="69">
        <v>423.75</v>
      </c>
      <c r="AV740" s="69"/>
      <c r="AW740" s="69"/>
      <c r="AX740" s="69"/>
      <c r="AY740" s="69"/>
      <c r="AZ740" s="69"/>
      <c r="BA740" s="69"/>
      <c r="BB740" s="69"/>
      <c r="BC740" s="69"/>
      <c r="BD740" s="69"/>
      <c r="BE740" s="69"/>
      <c r="BF740" s="69"/>
      <c r="BG740" s="69"/>
      <c r="BH740" s="69"/>
      <c r="BI740" s="69"/>
      <c r="BJ740" s="69"/>
      <c r="BK740" s="69"/>
      <c r="BL740" s="69"/>
      <c r="BM740" s="69"/>
      <c r="BN740" s="69"/>
      <c r="BO740" s="69"/>
      <c r="BP740" s="69"/>
      <c r="BQ740" s="69"/>
      <c r="BR740" s="69"/>
      <c r="BS740" s="69"/>
      <c r="BT740" s="69"/>
      <c r="BU740" s="69"/>
      <c r="BV740" s="69"/>
      <c r="BW740" s="69"/>
      <c r="BX740" s="69"/>
      <c r="BY740" s="69"/>
      <c r="BZ740" s="69"/>
      <c r="CA740" s="69"/>
      <c r="CB740" s="69"/>
      <c r="CC740" s="69"/>
      <c r="CD740" s="69"/>
      <c r="CE740" s="94">
        <f t="shared" si="57"/>
        <v>1758.75</v>
      </c>
      <c r="CF740" s="151">
        <f t="shared" si="60"/>
        <v>0</v>
      </c>
      <c r="CG740" s="75">
        <f t="shared" si="58"/>
        <v>4590</v>
      </c>
      <c r="CH740" s="69" t="str">
        <f t="shared" si="58"/>
        <v>برنامج دولى</v>
      </c>
    </row>
    <row r="741" spans="1:86" x14ac:dyDescent="0.25">
      <c r="A741" s="148"/>
      <c r="B741" s="82">
        <v>8598</v>
      </c>
      <c r="C741" s="149">
        <v>4591</v>
      </c>
      <c r="D741" s="69" t="s">
        <v>78</v>
      </c>
      <c r="E741" s="69" t="s">
        <v>3333</v>
      </c>
      <c r="F741" s="63"/>
      <c r="G741" s="69">
        <v>13894.13</v>
      </c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  <c r="AD741" s="69"/>
      <c r="AE741" s="69"/>
      <c r="AF741" s="69"/>
      <c r="AG741" s="69"/>
      <c r="AH741" s="69"/>
      <c r="AI741" s="69"/>
      <c r="AJ741" s="69"/>
      <c r="AK741" s="69"/>
      <c r="AL741" s="69"/>
      <c r="AM741" s="69"/>
      <c r="AN741" s="69"/>
      <c r="AO741" s="69"/>
      <c r="AP741" s="69"/>
      <c r="AQ741" s="69"/>
      <c r="AR741" s="94">
        <f t="shared" si="59"/>
        <v>13894.13</v>
      </c>
      <c r="AS741" s="69">
        <v>9603.5499999999993</v>
      </c>
      <c r="AT741" s="69">
        <v>942.95</v>
      </c>
      <c r="AU741" s="69">
        <v>3347.63</v>
      </c>
      <c r="AV741" s="69"/>
      <c r="AW741" s="69"/>
      <c r="AX741" s="69"/>
      <c r="AY741" s="69"/>
      <c r="AZ741" s="69"/>
      <c r="BA741" s="69"/>
      <c r="BB741" s="69"/>
      <c r="BC741" s="69"/>
      <c r="BD741" s="69"/>
      <c r="BE741" s="69"/>
      <c r="BF741" s="69"/>
      <c r="BG741" s="69"/>
      <c r="BH741" s="69"/>
      <c r="BI741" s="69"/>
      <c r="BJ741" s="69"/>
      <c r="BK741" s="69"/>
      <c r="BL741" s="69"/>
      <c r="BM741" s="69"/>
      <c r="BN741" s="69"/>
      <c r="BO741" s="69"/>
      <c r="BP741" s="69"/>
      <c r="BQ741" s="69"/>
      <c r="BR741" s="69"/>
      <c r="BS741" s="69"/>
      <c r="BT741" s="69"/>
      <c r="BU741" s="69"/>
      <c r="BV741" s="69"/>
      <c r="BW741" s="69"/>
      <c r="BX741" s="69"/>
      <c r="BY741" s="69"/>
      <c r="BZ741" s="69"/>
      <c r="CA741" s="69"/>
      <c r="CB741" s="69"/>
      <c r="CC741" s="69"/>
      <c r="CD741" s="69"/>
      <c r="CE741" s="94">
        <f t="shared" si="57"/>
        <v>13894.130000000001</v>
      </c>
      <c r="CF741" s="151">
        <f t="shared" si="60"/>
        <v>0</v>
      </c>
      <c r="CG741" s="75">
        <f t="shared" si="58"/>
        <v>4591</v>
      </c>
      <c r="CH741" s="69" t="str">
        <f t="shared" si="58"/>
        <v>برنامج دولى</v>
      </c>
    </row>
    <row r="742" spans="1:86" x14ac:dyDescent="0.25">
      <c r="A742" s="148"/>
      <c r="B742" s="82">
        <v>8599</v>
      </c>
      <c r="C742" s="149">
        <v>4592</v>
      </c>
      <c r="D742" s="69" t="s">
        <v>78</v>
      </c>
      <c r="E742" s="69" t="s">
        <v>3333</v>
      </c>
      <c r="F742" s="63"/>
      <c r="G742" s="69">
        <v>3341.62</v>
      </c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  <c r="AD742" s="69"/>
      <c r="AE742" s="69"/>
      <c r="AF742" s="69"/>
      <c r="AG742" s="69"/>
      <c r="AH742" s="69"/>
      <c r="AI742" s="69"/>
      <c r="AJ742" s="69"/>
      <c r="AK742" s="69"/>
      <c r="AL742" s="69"/>
      <c r="AM742" s="69"/>
      <c r="AN742" s="69"/>
      <c r="AO742" s="69"/>
      <c r="AP742" s="69"/>
      <c r="AQ742" s="69"/>
      <c r="AR742" s="94">
        <f t="shared" si="59"/>
        <v>3341.62</v>
      </c>
      <c r="AS742" s="69">
        <v>2232.85</v>
      </c>
      <c r="AT742" s="69">
        <v>303.64999999999998</v>
      </c>
      <c r="AU742" s="69">
        <v>805.12</v>
      </c>
      <c r="AV742" s="69"/>
      <c r="AW742" s="69"/>
      <c r="AX742" s="69"/>
      <c r="AY742" s="69"/>
      <c r="AZ742" s="69"/>
      <c r="BA742" s="69"/>
      <c r="BB742" s="69"/>
      <c r="BC742" s="69"/>
      <c r="BD742" s="69"/>
      <c r="BE742" s="69"/>
      <c r="BF742" s="69"/>
      <c r="BG742" s="69"/>
      <c r="BH742" s="69"/>
      <c r="BI742" s="69"/>
      <c r="BJ742" s="69"/>
      <c r="BK742" s="69"/>
      <c r="BL742" s="69"/>
      <c r="BM742" s="69"/>
      <c r="BN742" s="69"/>
      <c r="BO742" s="69"/>
      <c r="BP742" s="69"/>
      <c r="BQ742" s="69"/>
      <c r="BR742" s="69"/>
      <c r="BS742" s="69"/>
      <c r="BT742" s="69"/>
      <c r="BU742" s="69"/>
      <c r="BV742" s="69"/>
      <c r="BW742" s="69"/>
      <c r="BX742" s="69"/>
      <c r="BY742" s="69"/>
      <c r="BZ742" s="69"/>
      <c r="CA742" s="69"/>
      <c r="CB742" s="69"/>
      <c r="CC742" s="69"/>
      <c r="CD742" s="69"/>
      <c r="CE742" s="94">
        <f t="shared" si="57"/>
        <v>3341.62</v>
      </c>
      <c r="CF742" s="151">
        <f t="shared" si="60"/>
        <v>0</v>
      </c>
      <c r="CG742" s="75">
        <f t="shared" si="58"/>
        <v>4592</v>
      </c>
      <c r="CH742" s="69" t="str">
        <f t="shared" si="58"/>
        <v>برنامج دولى</v>
      </c>
    </row>
    <row r="743" spans="1:86" x14ac:dyDescent="0.25">
      <c r="A743" s="148"/>
      <c r="B743" s="82">
        <v>8600</v>
      </c>
      <c r="C743" s="149">
        <v>4593</v>
      </c>
      <c r="D743" s="69" t="s">
        <v>78</v>
      </c>
      <c r="E743" s="69" t="s">
        <v>3334</v>
      </c>
      <c r="F743" s="63"/>
      <c r="G743" s="69">
        <v>13381.04</v>
      </c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  <c r="AD743" s="69"/>
      <c r="AE743" s="69"/>
      <c r="AF743" s="69"/>
      <c r="AG743" s="69"/>
      <c r="AH743" s="69"/>
      <c r="AI743" s="69"/>
      <c r="AJ743" s="69"/>
      <c r="AK743" s="69"/>
      <c r="AL743" s="69"/>
      <c r="AM743" s="69"/>
      <c r="AN743" s="69"/>
      <c r="AO743" s="69"/>
      <c r="AP743" s="69"/>
      <c r="AQ743" s="69"/>
      <c r="AR743" s="94">
        <f t="shared" si="59"/>
        <v>13381.04</v>
      </c>
      <c r="AS743" s="69">
        <v>8700.5</v>
      </c>
      <c r="AT743" s="69">
        <v>1190.5999999999999</v>
      </c>
      <c r="AU743" s="69">
        <v>3489.94</v>
      </c>
      <c r="AV743" s="69"/>
      <c r="AW743" s="69"/>
      <c r="AX743" s="69"/>
      <c r="AY743" s="69"/>
      <c r="AZ743" s="69"/>
      <c r="BA743" s="69"/>
      <c r="BB743" s="69"/>
      <c r="BC743" s="69"/>
      <c r="BD743" s="69"/>
      <c r="BE743" s="69"/>
      <c r="BF743" s="69"/>
      <c r="BG743" s="69"/>
      <c r="BH743" s="69"/>
      <c r="BI743" s="69"/>
      <c r="BJ743" s="69"/>
      <c r="BK743" s="69"/>
      <c r="BL743" s="69"/>
      <c r="BM743" s="69"/>
      <c r="BN743" s="69"/>
      <c r="BO743" s="69"/>
      <c r="BP743" s="69"/>
      <c r="BQ743" s="69"/>
      <c r="BR743" s="69"/>
      <c r="BS743" s="69"/>
      <c r="BT743" s="69"/>
      <c r="BU743" s="69"/>
      <c r="BV743" s="69"/>
      <c r="BW743" s="69"/>
      <c r="BX743" s="69"/>
      <c r="BY743" s="69"/>
      <c r="BZ743" s="69"/>
      <c r="CA743" s="69"/>
      <c r="CB743" s="69"/>
      <c r="CC743" s="69"/>
      <c r="CD743" s="69"/>
      <c r="CE743" s="94">
        <f t="shared" si="57"/>
        <v>13381.04</v>
      </c>
      <c r="CF743" s="151">
        <f t="shared" si="60"/>
        <v>0</v>
      </c>
      <c r="CG743" s="75">
        <f t="shared" si="58"/>
        <v>4593</v>
      </c>
      <c r="CH743" s="69" t="str">
        <f t="shared" si="58"/>
        <v>برنامج دولى</v>
      </c>
    </row>
    <row r="744" spans="1:86" x14ac:dyDescent="0.25">
      <c r="A744" s="148"/>
      <c r="B744" s="82">
        <v>8601</v>
      </c>
      <c r="C744" s="149">
        <v>4594</v>
      </c>
      <c r="D744" s="69" t="s">
        <v>78</v>
      </c>
      <c r="E744" s="69" t="s">
        <v>3334</v>
      </c>
      <c r="F744" s="63"/>
      <c r="G744" s="69">
        <v>2110.5</v>
      </c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  <c r="AD744" s="69"/>
      <c r="AE744" s="69"/>
      <c r="AF744" s="69"/>
      <c r="AG744" s="69"/>
      <c r="AH744" s="69"/>
      <c r="AI744" s="69"/>
      <c r="AJ744" s="69"/>
      <c r="AK744" s="69"/>
      <c r="AL744" s="69"/>
      <c r="AM744" s="69"/>
      <c r="AN744" s="69"/>
      <c r="AO744" s="69"/>
      <c r="AP744" s="69"/>
      <c r="AQ744" s="69"/>
      <c r="AR744" s="94">
        <f t="shared" si="59"/>
        <v>2110.5</v>
      </c>
      <c r="AS744" s="69">
        <v>1411.4</v>
      </c>
      <c r="AT744" s="69">
        <v>190.6</v>
      </c>
      <c r="AU744" s="69">
        <v>508.5</v>
      </c>
      <c r="AV744" s="69"/>
      <c r="AW744" s="69"/>
      <c r="AX744" s="69"/>
      <c r="AY744" s="69"/>
      <c r="AZ744" s="69"/>
      <c r="BA744" s="69"/>
      <c r="BB744" s="69"/>
      <c r="BC744" s="69"/>
      <c r="BD744" s="69"/>
      <c r="BE744" s="69"/>
      <c r="BF744" s="69"/>
      <c r="BG744" s="69"/>
      <c r="BH744" s="69"/>
      <c r="BI744" s="69"/>
      <c r="BJ744" s="69"/>
      <c r="BK744" s="69"/>
      <c r="BL744" s="69"/>
      <c r="BM744" s="69"/>
      <c r="BN744" s="69"/>
      <c r="BO744" s="69"/>
      <c r="BP744" s="69"/>
      <c r="BQ744" s="69"/>
      <c r="BR744" s="69"/>
      <c r="BS744" s="69"/>
      <c r="BT744" s="69"/>
      <c r="BU744" s="69"/>
      <c r="BV744" s="69"/>
      <c r="BW744" s="69"/>
      <c r="BX744" s="69"/>
      <c r="BY744" s="69"/>
      <c r="BZ744" s="69"/>
      <c r="CA744" s="69"/>
      <c r="CB744" s="69"/>
      <c r="CC744" s="69"/>
      <c r="CD744" s="69"/>
      <c r="CE744" s="94">
        <f t="shared" si="57"/>
        <v>2110.5</v>
      </c>
      <c r="CF744" s="151">
        <f t="shared" si="60"/>
        <v>0</v>
      </c>
      <c r="CG744" s="75">
        <f t="shared" si="58"/>
        <v>4594</v>
      </c>
      <c r="CH744" s="69" t="str">
        <f t="shared" si="58"/>
        <v>برنامج دولى</v>
      </c>
    </row>
    <row r="745" spans="1:86" x14ac:dyDescent="0.25">
      <c r="A745" s="148"/>
      <c r="B745" s="82">
        <v>8602</v>
      </c>
      <c r="C745" s="149">
        <v>4595</v>
      </c>
      <c r="D745" s="69" t="s">
        <v>78</v>
      </c>
      <c r="E745" s="69" t="s">
        <v>3334</v>
      </c>
      <c r="F745" s="63"/>
      <c r="G745" s="69">
        <v>1648.38</v>
      </c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  <c r="AD745" s="69"/>
      <c r="AE745" s="69"/>
      <c r="AF745" s="69"/>
      <c r="AG745" s="69"/>
      <c r="AH745" s="69"/>
      <c r="AI745" s="69"/>
      <c r="AJ745" s="69"/>
      <c r="AK745" s="69"/>
      <c r="AL745" s="69"/>
      <c r="AM745" s="69"/>
      <c r="AN745" s="69"/>
      <c r="AO745" s="69"/>
      <c r="AP745" s="69"/>
      <c r="AQ745" s="69"/>
      <c r="AR745" s="94">
        <f t="shared" si="59"/>
        <v>1648.38</v>
      </c>
      <c r="AS745" s="69">
        <v>1170.8499999999999</v>
      </c>
      <c r="AT745" s="69">
        <v>152.65</v>
      </c>
      <c r="AU745" s="69">
        <v>324.88</v>
      </c>
      <c r="AV745" s="69"/>
      <c r="AW745" s="69"/>
      <c r="AX745" s="69"/>
      <c r="AY745" s="69"/>
      <c r="AZ745" s="69"/>
      <c r="BA745" s="69"/>
      <c r="BB745" s="69"/>
      <c r="BC745" s="69"/>
      <c r="BD745" s="69"/>
      <c r="BE745" s="69"/>
      <c r="BF745" s="69"/>
      <c r="BG745" s="69"/>
      <c r="BH745" s="69"/>
      <c r="BI745" s="69"/>
      <c r="BJ745" s="69"/>
      <c r="BK745" s="69"/>
      <c r="BL745" s="69"/>
      <c r="BM745" s="69"/>
      <c r="BN745" s="69"/>
      <c r="BO745" s="69"/>
      <c r="BP745" s="69"/>
      <c r="BQ745" s="69"/>
      <c r="BR745" s="69"/>
      <c r="BS745" s="69"/>
      <c r="BT745" s="69"/>
      <c r="BU745" s="69"/>
      <c r="BV745" s="69"/>
      <c r="BW745" s="69"/>
      <c r="BX745" s="69"/>
      <c r="BY745" s="69"/>
      <c r="BZ745" s="69"/>
      <c r="CA745" s="69"/>
      <c r="CB745" s="69"/>
      <c r="CC745" s="69"/>
      <c r="CD745" s="69"/>
      <c r="CE745" s="94">
        <f t="shared" si="57"/>
        <v>1648.38</v>
      </c>
      <c r="CF745" s="151">
        <f t="shared" si="60"/>
        <v>0</v>
      </c>
      <c r="CG745" s="75">
        <f t="shared" si="58"/>
        <v>4595</v>
      </c>
      <c r="CH745" s="69" t="str">
        <f t="shared" si="58"/>
        <v>برنامج دولى</v>
      </c>
    </row>
    <row r="746" spans="1:86" x14ac:dyDescent="0.25">
      <c r="A746" s="148"/>
      <c r="B746" s="82">
        <v>8603</v>
      </c>
      <c r="C746" s="149">
        <v>4596</v>
      </c>
      <c r="D746" s="69" t="s">
        <v>78</v>
      </c>
      <c r="E746" s="69" t="s">
        <v>3334</v>
      </c>
      <c r="F746" s="63"/>
      <c r="G746" s="69">
        <v>2462.25</v>
      </c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  <c r="AD746" s="69"/>
      <c r="AE746" s="69"/>
      <c r="AF746" s="69"/>
      <c r="AG746" s="69"/>
      <c r="AH746" s="69"/>
      <c r="AI746" s="69"/>
      <c r="AJ746" s="69"/>
      <c r="AK746" s="69"/>
      <c r="AL746" s="69"/>
      <c r="AM746" s="69"/>
      <c r="AN746" s="69"/>
      <c r="AO746" s="69"/>
      <c r="AP746" s="69"/>
      <c r="AQ746" s="69"/>
      <c r="AR746" s="94">
        <f t="shared" si="59"/>
        <v>2462.25</v>
      </c>
      <c r="AS746" s="69">
        <v>1648.7</v>
      </c>
      <c r="AT746" s="69">
        <v>220.3</v>
      </c>
      <c r="AU746" s="69">
        <v>593.25</v>
      </c>
      <c r="AV746" s="69"/>
      <c r="AW746" s="69"/>
      <c r="AX746" s="69"/>
      <c r="AY746" s="69"/>
      <c r="AZ746" s="69"/>
      <c r="BA746" s="69"/>
      <c r="BB746" s="69"/>
      <c r="BC746" s="69"/>
      <c r="BD746" s="69"/>
      <c r="BE746" s="69"/>
      <c r="BF746" s="69"/>
      <c r="BG746" s="69"/>
      <c r="BH746" s="69"/>
      <c r="BI746" s="69"/>
      <c r="BJ746" s="69"/>
      <c r="BK746" s="69"/>
      <c r="BL746" s="69"/>
      <c r="BM746" s="69"/>
      <c r="BN746" s="69"/>
      <c r="BO746" s="69"/>
      <c r="BP746" s="69"/>
      <c r="BQ746" s="69"/>
      <c r="BR746" s="69"/>
      <c r="BS746" s="69"/>
      <c r="BT746" s="69"/>
      <c r="BU746" s="69"/>
      <c r="BV746" s="69"/>
      <c r="BW746" s="69"/>
      <c r="BX746" s="69"/>
      <c r="BY746" s="69"/>
      <c r="BZ746" s="69"/>
      <c r="CA746" s="69"/>
      <c r="CB746" s="69"/>
      <c r="CC746" s="69"/>
      <c r="CD746" s="69"/>
      <c r="CE746" s="94">
        <f t="shared" si="57"/>
        <v>2462.25</v>
      </c>
      <c r="CF746" s="151">
        <f t="shared" si="60"/>
        <v>0</v>
      </c>
      <c r="CG746" s="75">
        <f t="shared" si="58"/>
        <v>4596</v>
      </c>
      <c r="CH746" s="69" t="str">
        <f t="shared" si="58"/>
        <v>برنامج دولى</v>
      </c>
    </row>
    <row r="747" spans="1:86" x14ac:dyDescent="0.25">
      <c r="A747" s="148"/>
      <c r="B747" s="82">
        <v>8604</v>
      </c>
      <c r="C747" s="149">
        <v>4597</v>
      </c>
      <c r="D747" s="69" t="s">
        <v>78</v>
      </c>
      <c r="E747" s="69" t="s">
        <v>3334</v>
      </c>
      <c r="F747" s="63"/>
      <c r="G747" s="69">
        <v>879.38</v>
      </c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  <c r="AD747" s="69"/>
      <c r="AE747" s="69"/>
      <c r="AF747" s="69"/>
      <c r="AG747" s="69"/>
      <c r="AH747" s="69"/>
      <c r="AI747" s="69"/>
      <c r="AJ747" s="69"/>
      <c r="AK747" s="69"/>
      <c r="AL747" s="69"/>
      <c r="AM747" s="69"/>
      <c r="AN747" s="69"/>
      <c r="AO747" s="69"/>
      <c r="AP747" s="69"/>
      <c r="AQ747" s="69"/>
      <c r="AR747" s="94">
        <f t="shared" si="59"/>
        <v>879.38</v>
      </c>
      <c r="AS747" s="69">
        <v>588.15</v>
      </c>
      <c r="AT747" s="69">
        <v>79.349999999999994</v>
      </c>
      <c r="AU747" s="69">
        <v>211.88</v>
      </c>
      <c r="AV747" s="69"/>
      <c r="AW747" s="69"/>
      <c r="AX747" s="69"/>
      <c r="AY747" s="69"/>
      <c r="AZ747" s="69"/>
      <c r="BA747" s="69"/>
      <c r="BB747" s="69"/>
      <c r="BC747" s="69"/>
      <c r="BD747" s="69"/>
      <c r="BE747" s="69"/>
      <c r="BF747" s="69"/>
      <c r="BG747" s="69"/>
      <c r="BH747" s="69"/>
      <c r="BI747" s="69"/>
      <c r="BJ747" s="69"/>
      <c r="BK747" s="69"/>
      <c r="BL747" s="69"/>
      <c r="BM747" s="69"/>
      <c r="BN747" s="69"/>
      <c r="BO747" s="69"/>
      <c r="BP747" s="69"/>
      <c r="BQ747" s="69"/>
      <c r="BR747" s="69"/>
      <c r="BS747" s="69"/>
      <c r="BT747" s="69"/>
      <c r="BU747" s="69"/>
      <c r="BV747" s="69"/>
      <c r="BW747" s="69"/>
      <c r="BX747" s="69"/>
      <c r="BY747" s="69"/>
      <c r="BZ747" s="69"/>
      <c r="CA747" s="69"/>
      <c r="CB747" s="69"/>
      <c r="CC747" s="69"/>
      <c r="CD747" s="69"/>
      <c r="CE747" s="94">
        <f t="shared" si="57"/>
        <v>879.38</v>
      </c>
      <c r="CF747" s="151">
        <f t="shared" si="60"/>
        <v>0</v>
      </c>
      <c r="CG747" s="75">
        <f t="shared" si="58"/>
        <v>4597</v>
      </c>
      <c r="CH747" s="69" t="str">
        <f t="shared" si="58"/>
        <v>برنامج دولى</v>
      </c>
    </row>
    <row r="748" spans="1:86" x14ac:dyDescent="0.25">
      <c r="A748" s="148"/>
      <c r="B748" s="82">
        <v>8605</v>
      </c>
      <c r="C748" s="149">
        <v>4598</v>
      </c>
      <c r="D748" s="69" t="s">
        <v>78</v>
      </c>
      <c r="E748" s="69" t="s">
        <v>3334</v>
      </c>
      <c r="F748" s="63"/>
      <c r="G748" s="69">
        <v>762.12</v>
      </c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  <c r="AD748" s="69"/>
      <c r="AE748" s="69"/>
      <c r="AF748" s="69"/>
      <c r="AG748" s="69"/>
      <c r="AH748" s="69"/>
      <c r="AI748" s="69"/>
      <c r="AJ748" s="69"/>
      <c r="AK748" s="69"/>
      <c r="AL748" s="69"/>
      <c r="AM748" s="69"/>
      <c r="AN748" s="69"/>
      <c r="AO748" s="69"/>
      <c r="AP748" s="69"/>
      <c r="AQ748" s="69"/>
      <c r="AR748" s="94">
        <f t="shared" si="59"/>
        <v>762.12</v>
      </c>
      <c r="AS748" s="69">
        <v>509.8</v>
      </c>
      <c r="AT748" s="69">
        <v>68.7</v>
      </c>
      <c r="AU748" s="69">
        <v>183.62</v>
      </c>
      <c r="AV748" s="69"/>
      <c r="AW748" s="69"/>
      <c r="AX748" s="69"/>
      <c r="AY748" s="69"/>
      <c r="AZ748" s="69"/>
      <c r="BA748" s="69"/>
      <c r="BB748" s="69"/>
      <c r="BC748" s="69"/>
      <c r="BD748" s="69"/>
      <c r="BE748" s="69"/>
      <c r="BF748" s="69"/>
      <c r="BG748" s="69"/>
      <c r="BH748" s="69"/>
      <c r="BI748" s="69"/>
      <c r="BJ748" s="69"/>
      <c r="BK748" s="69"/>
      <c r="BL748" s="69"/>
      <c r="BM748" s="69"/>
      <c r="BN748" s="69"/>
      <c r="BO748" s="69"/>
      <c r="BP748" s="69"/>
      <c r="BQ748" s="69"/>
      <c r="BR748" s="69"/>
      <c r="BS748" s="69"/>
      <c r="BT748" s="69"/>
      <c r="BU748" s="69"/>
      <c r="BV748" s="69"/>
      <c r="BW748" s="69"/>
      <c r="BX748" s="69"/>
      <c r="BY748" s="69"/>
      <c r="BZ748" s="69"/>
      <c r="CA748" s="69"/>
      <c r="CB748" s="69"/>
      <c r="CC748" s="69"/>
      <c r="CD748" s="69"/>
      <c r="CE748" s="94">
        <f t="shared" si="57"/>
        <v>762.12</v>
      </c>
      <c r="CF748" s="151">
        <f t="shared" si="60"/>
        <v>0</v>
      </c>
      <c r="CG748" s="75">
        <f t="shared" si="58"/>
        <v>4598</v>
      </c>
      <c r="CH748" s="69" t="str">
        <f t="shared" si="58"/>
        <v>برنامج دولى</v>
      </c>
    </row>
    <row r="749" spans="1:86" x14ac:dyDescent="0.25">
      <c r="A749" s="148"/>
      <c r="B749" s="82">
        <v>8606</v>
      </c>
      <c r="C749" s="149">
        <v>4599</v>
      </c>
      <c r="D749" s="69" t="s">
        <v>78</v>
      </c>
      <c r="E749" s="69" t="s">
        <v>3334</v>
      </c>
      <c r="F749" s="63"/>
      <c r="G749" s="69">
        <v>879.38</v>
      </c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  <c r="AD749" s="69"/>
      <c r="AE749" s="69"/>
      <c r="AF749" s="69"/>
      <c r="AG749" s="69"/>
      <c r="AH749" s="69"/>
      <c r="AI749" s="69"/>
      <c r="AJ749" s="69"/>
      <c r="AK749" s="69"/>
      <c r="AL749" s="69"/>
      <c r="AM749" s="69"/>
      <c r="AN749" s="69"/>
      <c r="AO749" s="69"/>
      <c r="AP749" s="69"/>
      <c r="AQ749" s="69"/>
      <c r="AR749" s="94">
        <f t="shared" si="59"/>
        <v>879.38</v>
      </c>
      <c r="AS749" s="69">
        <v>588.15</v>
      </c>
      <c r="AT749" s="69">
        <v>79.349999999999994</v>
      </c>
      <c r="AU749" s="69">
        <v>211.88</v>
      </c>
      <c r="AV749" s="69"/>
      <c r="AW749" s="69"/>
      <c r="AX749" s="69"/>
      <c r="AY749" s="69"/>
      <c r="AZ749" s="69"/>
      <c r="BA749" s="69"/>
      <c r="BB749" s="69"/>
      <c r="BC749" s="69"/>
      <c r="BD749" s="69"/>
      <c r="BE749" s="69"/>
      <c r="BF749" s="69"/>
      <c r="BG749" s="69"/>
      <c r="BH749" s="69"/>
      <c r="BI749" s="69"/>
      <c r="BJ749" s="69"/>
      <c r="BK749" s="69"/>
      <c r="BL749" s="69"/>
      <c r="BM749" s="69"/>
      <c r="BN749" s="69"/>
      <c r="BO749" s="69"/>
      <c r="BP749" s="69"/>
      <c r="BQ749" s="69"/>
      <c r="BR749" s="69"/>
      <c r="BS749" s="69"/>
      <c r="BT749" s="69"/>
      <c r="BU749" s="69"/>
      <c r="BV749" s="69"/>
      <c r="BW749" s="69"/>
      <c r="BX749" s="69"/>
      <c r="BY749" s="69"/>
      <c r="BZ749" s="69"/>
      <c r="CA749" s="69"/>
      <c r="CB749" s="69"/>
      <c r="CC749" s="69"/>
      <c r="CD749" s="69"/>
      <c r="CE749" s="94">
        <f t="shared" ref="CE749:CE781" si="61">SUM(AS749:CD749)</f>
        <v>879.38</v>
      </c>
      <c r="CF749" s="151">
        <f t="shared" si="60"/>
        <v>0</v>
      </c>
      <c r="CG749" s="75">
        <f t="shared" si="58"/>
        <v>4599</v>
      </c>
      <c r="CH749" s="69" t="str">
        <f t="shared" si="58"/>
        <v>برنامج دولى</v>
      </c>
    </row>
    <row r="750" spans="1:86" x14ac:dyDescent="0.25">
      <c r="A750" s="148"/>
      <c r="B750" s="82">
        <v>8609</v>
      </c>
      <c r="C750" s="149">
        <v>4600</v>
      </c>
      <c r="D750" s="69" t="s">
        <v>78</v>
      </c>
      <c r="E750" s="69" t="s">
        <v>3334</v>
      </c>
      <c r="F750" s="63"/>
      <c r="G750" s="69">
        <v>351.75</v>
      </c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  <c r="AD750" s="69"/>
      <c r="AE750" s="69"/>
      <c r="AF750" s="69"/>
      <c r="AG750" s="69"/>
      <c r="AH750" s="69"/>
      <c r="AI750" s="69"/>
      <c r="AJ750" s="69"/>
      <c r="AK750" s="69"/>
      <c r="AL750" s="69"/>
      <c r="AM750" s="69"/>
      <c r="AN750" s="69"/>
      <c r="AO750" s="69"/>
      <c r="AP750" s="69"/>
      <c r="AQ750" s="69"/>
      <c r="AR750" s="94">
        <f t="shared" si="59"/>
        <v>351.75</v>
      </c>
      <c r="AS750" s="69">
        <v>235.55</v>
      </c>
      <c r="AT750" s="69">
        <v>31.45</v>
      </c>
      <c r="AU750" s="69">
        <v>84.75</v>
      </c>
      <c r="AV750" s="69"/>
      <c r="AW750" s="69"/>
      <c r="AX750" s="69"/>
      <c r="AY750" s="69"/>
      <c r="AZ750" s="69"/>
      <c r="BA750" s="69"/>
      <c r="BB750" s="69"/>
      <c r="BC750" s="69"/>
      <c r="BD750" s="69"/>
      <c r="BE750" s="69"/>
      <c r="BF750" s="69"/>
      <c r="BG750" s="69"/>
      <c r="BH750" s="69"/>
      <c r="BI750" s="69"/>
      <c r="BJ750" s="69"/>
      <c r="BK750" s="69"/>
      <c r="BL750" s="69"/>
      <c r="BM750" s="69"/>
      <c r="BN750" s="69"/>
      <c r="BO750" s="69"/>
      <c r="BP750" s="69"/>
      <c r="BQ750" s="69"/>
      <c r="BR750" s="69"/>
      <c r="BS750" s="69"/>
      <c r="BT750" s="69"/>
      <c r="BU750" s="69"/>
      <c r="BV750" s="69"/>
      <c r="BW750" s="69"/>
      <c r="BX750" s="69"/>
      <c r="BY750" s="69"/>
      <c r="BZ750" s="69"/>
      <c r="CA750" s="69"/>
      <c r="CB750" s="69"/>
      <c r="CC750" s="69"/>
      <c r="CD750" s="69"/>
      <c r="CE750" s="94">
        <f t="shared" si="61"/>
        <v>351.75</v>
      </c>
      <c r="CF750" s="151">
        <f t="shared" si="60"/>
        <v>0</v>
      </c>
      <c r="CG750" s="75">
        <f t="shared" si="58"/>
        <v>4600</v>
      </c>
      <c r="CH750" s="69" t="str">
        <f t="shared" si="58"/>
        <v>برنامج دولى</v>
      </c>
    </row>
    <row r="751" spans="1:86" x14ac:dyDescent="0.25">
      <c r="A751" s="148"/>
      <c r="B751" s="82">
        <v>8610</v>
      </c>
      <c r="C751" s="149">
        <v>4601</v>
      </c>
      <c r="D751" s="69" t="s">
        <v>78</v>
      </c>
      <c r="E751" s="69" t="s">
        <v>3334</v>
      </c>
      <c r="F751" s="63"/>
      <c r="G751" s="69">
        <v>351.75</v>
      </c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  <c r="AD751" s="69"/>
      <c r="AE751" s="69"/>
      <c r="AF751" s="69"/>
      <c r="AG751" s="69"/>
      <c r="AH751" s="69"/>
      <c r="AI751" s="69"/>
      <c r="AJ751" s="69"/>
      <c r="AK751" s="69"/>
      <c r="AL751" s="69"/>
      <c r="AM751" s="69"/>
      <c r="AN751" s="69"/>
      <c r="AO751" s="69"/>
      <c r="AP751" s="69"/>
      <c r="AQ751" s="69"/>
      <c r="AR751" s="94">
        <f t="shared" si="59"/>
        <v>351.75</v>
      </c>
      <c r="AS751" s="69">
        <v>235.55</v>
      </c>
      <c r="AT751" s="69">
        <v>31.45</v>
      </c>
      <c r="AU751" s="69">
        <v>84.75</v>
      </c>
      <c r="AV751" s="69"/>
      <c r="AW751" s="69"/>
      <c r="AX751" s="69"/>
      <c r="AY751" s="69"/>
      <c r="AZ751" s="69"/>
      <c r="BA751" s="69"/>
      <c r="BB751" s="69"/>
      <c r="BC751" s="69"/>
      <c r="BD751" s="69"/>
      <c r="BE751" s="69"/>
      <c r="BF751" s="69"/>
      <c r="BG751" s="69"/>
      <c r="BH751" s="69"/>
      <c r="BI751" s="69"/>
      <c r="BJ751" s="69"/>
      <c r="BK751" s="69"/>
      <c r="BL751" s="69"/>
      <c r="BM751" s="69"/>
      <c r="BN751" s="69"/>
      <c r="BO751" s="69"/>
      <c r="BP751" s="69"/>
      <c r="BQ751" s="69"/>
      <c r="BR751" s="69"/>
      <c r="BS751" s="69"/>
      <c r="BT751" s="69"/>
      <c r="BU751" s="69"/>
      <c r="BV751" s="69"/>
      <c r="BW751" s="69"/>
      <c r="BX751" s="69"/>
      <c r="BY751" s="69"/>
      <c r="BZ751" s="69"/>
      <c r="CA751" s="69"/>
      <c r="CB751" s="69"/>
      <c r="CC751" s="69"/>
      <c r="CD751" s="69"/>
      <c r="CE751" s="94">
        <f t="shared" si="61"/>
        <v>351.75</v>
      </c>
      <c r="CF751" s="151">
        <f t="shared" si="60"/>
        <v>0</v>
      </c>
      <c r="CG751" s="75">
        <f t="shared" ref="CG751:CH783" si="62">+C751</f>
        <v>4601</v>
      </c>
      <c r="CH751" s="69" t="str">
        <f t="shared" si="62"/>
        <v>برنامج دولى</v>
      </c>
    </row>
    <row r="752" spans="1:86" x14ac:dyDescent="0.25">
      <c r="A752" s="148"/>
      <c r="B752" s="82">
        <v>8611</v>
      </c>
      <c r="C752" s="149">
        <v>4602</v>
      </c>
      <c r="D752" s="69" t="s">
        <v>78</v>
      </c>
      <c r="E752" s="69" t="s">
        <v>3334</v>
      </c>
      <c r="F752" s="63"/>
      <c r="G752" s="69">
        <v>469</v>
      </c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  <c r="AD752" s="69"/>
      <c r="AE752" s="69"/>
      <c r="AF752" s="69"/>
      <c r="AG752" s="69"/>
      <c r="AH752" s="69"/>
      <c r="AI752" s="69"/>
      <c r="AJ752" s="69"/>
      <c r="AK752" s="69"/>
      <c r="AL752" s="69"/>
      <c r="AM752" s="69"/>
      <c r="AN752" s="69"/>
      <c r="AO752" s="69"/>
      <c r="AP752" s="69"/>
      <c r="AQ752" s="69"/>
      <c r="AR752" s="94">
        <f t="shared" si="59"/>
        <v>469</v>
      </c>
      <c r="AS752" s="69">
        <v>314.39999999999998</v>
      </c>
      <c r="AT752" s="69">
        <v>41.6</v>
      </c>
      <c r="AU752" s="69">
        <v>113</v>
      </c>
      <c r="AV752" s="69"/>
      <c r="AW752" s="69"/>
      <c r="AX752" s="69"/>
      <c r="AY752" s="69"/>
      <c r="AZ752" s="69"/>
      <c r="BA752" s="69"/>
      <c r="BB752" s="69"/>
      <c r="BC752" s="69"/>
      <c r="BD752" s="69"/>
      <c r="BE752" s="69"/>
      <c r="BF752" s="69"/>
      <c r="BG752" s="69"/>
      <c r="BH752" s="69"/>
      <c r="BI752" s="69"/>
      <c r="BJ752" s="69"/>
      <c r="BK752" s="69"/>
      <c r="BL752" s="69"/>
      <c r="BM752" s="69"/>
      <c r="BN752" s="69"/>
      <c r="BO752" s="69"/>
      <c r="BP752" s="69"/>
      <c r="BQ752" s="69"/>
      <c r="BR752" s="69"/>
      <c r="BS752" s="69"/>
      <c r="BT752" s="69"/>
      <c r="BU752" s="69"/>
      <c r="BV752" s="69"/>
      <c r="BW752" s="69"/>
      <c r="BX752" s="69"/>
      <c r="BY752" s="69"/>
      <c r="BZ752" s="69"/>
      <c r="CA752" s="69"/>
      <c r="CB752" s="69"/>
      <c r="CC752" s="69"/>
      <c r="CD752" s="69"/>
      <c r="CE752" s="94">
        <f t="shared" si="61"/>
        <v>469</v>
      </c>
      <c r="CF752" s="151">
        <f t="shared" si="60"/>
        <v>0</v>
      </c>
      <c r="CG752" s="75">
        <f t="shared" si="62"/>
        <v>4602</v>
      </c>
      <c r="CH752" s="69" t="str">
        <f t="shared" si="62"/>
        <v>برنامج دولى</v>
      </c>
    </row>
    <row r="753" spans="1:86" x14ac:dyDescent="0.25">
      <c r="A753" s="148"/>
      <c r="B753" s="82">
        <v>8612</v>
      </c>
      <c r="C753" s="149">
        <v>4603</v>
      </c>
      <c r="D753" s="69" t="s">
        <v>78</v>
      </c>
      <c r="E753" s="69" t="s">
        <v>3334</v>
      </c>
      <c r="F753" s="63"/>
      <c r="G753" s="69">
        <v>1772.5</v>
      </c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  <c r="AD753" s="69"/>
      <c r="AE753" s="69"/>
      <c r="AF753" s="69"/>
      <c r="AG753" s="69"/>
      <c r="AH753" s="69"/>
      <c r="AI753" s="69"/>
      <c r="AJ753" s="69"/>
      <c r="AK753" s="69"/>
      <c r="AL753" s="69"/>
      <c r="AM753" s="69"/>
      <c r="AN753" s="69"/>
      <c r="AO753" s="69"/>
      <c r="AP753" s="69"/>
      <c r="AQ753" s="69"/>
      <c r="AR753" s="94">
        <f t="shared" si="59"/>
        <v>1772.5</v>
      </c>
      <c r="AS753" s="69">
        <v>1320.25</v>
      </c>
      <c r="AT753" s="69">
        <v>169.75</v>
      </c>
      <c r="AU753" s="69">
        <v>282.5</v>
      </c>
      <c r="AV753" s="69"/>
      <c r="AW753" s="69"/>
      <c r="AX753" s="69"/>
      <c r="AY753" s="69"/>
      <c r="AZ753" s="69"/>
      <c r="BA753" s="69"/>
      <c r="BB753" s="69"/>
      <c r="BC753" s="69"/>
      <c r="BD753" s="69"/>
      <c r="BE753" s="69"/>
      <c r="BF753" s="69"/>
      <c r="BG753" s="69"/>
      <c r="BH753" s="69"/>
      <c r="BI753" s="69"/>
      <c r="BJ753" s="69"/>
      <c r="BK753" s="69"/>
      <c r="BL753" s="69"/>
      <c r="BM753" s="69"/>
      <c r="BN753" s="69"/>
      <c r="BO753" s="69"/>
      <c r="BP753" s="69"/>
      <c r="BQ753" s="69"/>
      <c r="BR753" s="69"/>
      <c r="BS753" s="69"/>
      <c r="BT753" s="69"/>
      <c r="BU753" s="69"/>
      <c r="BV753" s="69"/>
      <c r="BW753" s="69"/>
      <c r="BX753" s="69"/>
      <c r="BY753" s="69"/>
      <c r="BZ753" s="69"/>
      <c r="CA753" s="69"/>
      <c r="CB753" s="69"/>
      <c r="CC753" s="69"/>
      <c r="CD753" s="69"/>
      <c r="CE753" s="94">
        <f t="shared" si="61"/>
        <v>1772.5</v>
      </c>
      <c r="CF753" s="151">
        <f t="shared" si="60"/>
        <v>0</v>
      </c>
      <c r="CG753" s="75">
        <f t="shared" si="62"/>
        <v>4603</v>
      </c>
      <c r="CH753" s="69" t="str">
        <f t="shared" si="62"/>
        <v>برنامج دولى</v>
      </c>
    </row>
    <row r="754" spans="1:86" x14ac:dyDescent="0.25">
      <c r="A754" s="148"/>
      <c r="B754" s="82">
        <v>8613</v>
      </c>
      <c r="C754" s="149">
        <v>4604</v>
      </c>
      <c r="D754" s="69" t="s">
        <v>78</v>
      </c>
      <c r="E754" s="69" t="s">
        <v>3335</v>
      </c>
      <c r="F754" s="63"/>
      <c r="G754" s="69">
        <v>4045.12</v>
      </c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  <c r="AD754" s="69"/>
      <c r="AE754" s="69"/>
      <c r="AF754" s="69"/>
      <c r="AG754" s="69"/>
      <c r="AH754" s="69"/>
      <c r="AI754" s="69"/>
      <c r="AJ754" s="69"/>
      <c r="AK754" s="69"/>
      <c r="AL754" s="69"/>
      <c r="AM754" s="69"/>
      <c r="AN754" s="69"/>
      <c r="AO754" s="69"/>
      <c r="AP754" s="69"/>
      <c r="AQ754" s="69"/>
      <c r="AR754" s="94">
        <f t="shared" si="59"/>
        <v>4045.12</v>
      </c>
      <c r="AS754" s="69">
        <v>2706.5</v>
      </c>
      <c r="AT754" s="69">
        <f>19+345</f>
        <v>364</v>
      </c>
      <c r="AU754" s="69">
        <v>974.62</v>
      </c>
      <c r="AV754" s="69"/>
      <c r="AW754" s="69"/>
      <c r="AX754" s="69"/>
      <c r="AY754" s="69"/>
      <c r="AZ754" s="69"/>
      <c r="BA754" s="69"/>
      <c r="BB754" s="69"/>
      <c r="BC754" s="69"/>
      <c r="BD754" s="69"/>
      <c r="BE754" s="69"/>
      <c r="BF754" s="69"/>
      <c r="BG754" s="69"/>
      <c r="BH754" s="69"/>
      <c r="BI754" s="69"/>
      <c r="BJ754" s="69"/>
      <c r="BK754" s="69"/>
      <c r="BL754" s="69"/>
      <c r="BM754" s="69"/>
      <c r="BN754" s="69"/>
      <c r="BO754" s="69"/>
      <c r="BP754" s="69"/>
      <c r="BQ754" s="69"/>
      <c r="BR754" s="69"/>
      <c r="BS754" s="69"/>
      <c r="BT754" s="69"/>
      <c r="BU754" s="69"/>
      <c r="BV754" s="69"/>
      <c r="BW754" s="69"/>
      <c r="BX754" s="69"/>
      <c r="BY754" s="69"/>
      <c r="BZ754" s="69"/>
      <c r="CA754" s="69"/>
      <c r="CB754" s="69"/>
      <c r="CC754" s="69"/>
      <c r="CD754" s="69"/>
      <c r="CE754" s="94">
        <f t="shared" si="61"/>
        <v>4045.12</v>
      </c>
      <c r="CF754" s="151">
        <f t="shared" si="60"/>
        <v>0</v>
      </c>
      <c r="CG754" s="75">
        <f t="shared" si="62"/>
        <v>4604</v>
      </c>
      <c r="CH754" s="69" t="str">
        <f t="shared" si="62"/>
        <v>برنامج دولى</v>
      </c>
    </row>
    <row r="755" spans="1:86" x14ac:dyDescent="0.25">
      <c r="A755" s="148"/>
      <c r="B755" s="82">
        <v>8625</v>
      </c>
      <c r="C755" s="149">
        <v>4605</v>
      </c>
      <c r="D755" s="69" t="s">
        <v>78</v>
      </c>
      <c r="E755" s="69" t="s">
        <v>3336</v>
      </c>
      <c r="F755" s="63"/>
      <c r="G755" s="69">
        <v>3165.75</v>
      </c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  <c r="AD755" s="69"/>
      <c r="AE755" s="69"/>
      <c r="AF755" s="69"/>
      <c r="AG755" s="69"/>
      <c r="AH755" s="69"/>
      <c r="AI755" s="69"/>
      <c r="AJ755" s="69"/>
      <c r="AK755" s="69"/>
      <c r="AL755" s="69"/>
      <c r="AM755" s="69"/>
      <c r="AN755" s="69"/>
      <c r="AO755" s="69"/>
      <c r="AP755" s="69"/>
      <c r="AQ755" s="69"/>
      <c r="AR755" s="94">
        <f t="shared" si="59"/>
        <v>3165.75</v>
      </c>
      <c r="AS755" s="69">
        <v>2116.1</v>
      </c>
      <c r="AT755" s="69">
        <v>286.89999999999998</v>
      </c>
      <c r="AU755" s="69">
        <v>762.75</v>
      </c>
      <c r="AV755" s="69"/>
      <c r="AW755" s="69"/>
      <c r="AX755" s="69"/>
      <c r="AY755" s="69"/>
      <c r="AZ755" s="69"/>
      <c r="BA755" s="69"/>
      <c r="BB755" s="69"/>
      <c r="BC755" s="69"/>
      <c r="BD755" s="69"/>
      <c r="BE755" s="69"/>
      <c r="BF755" s="69"/>
      <c r="BG755" s="69"/>
      <c r="BH755" s="69"/>
      <c r="BI755" s="69"/>
      <c r="BJ755" s="69"/>
      <c r="BK755" s="69"/>
      <c r="BL755" s="69"/>
      <c r="BM755" s="69"/>
      <c r="BN755" s="69"/>
      <c r="BO755" s="69"/>
      <c r="BP755" s="69"/>
      <c r="BQ755" s="69"/>
      <c r="BR755" s="69"/>
      <c r="BS755" s="69"/>
      <c r="BT755" s="69"/>
      <c r="BU755" s="69"/>
      <c r="BV755" s="69"/>
      <c r="BW755" s="69"/>
      <c r="BX755" s="69"/>
      <c r="BY755" s="69"/>
      <c r="BZ755" s="69"/>
      <c r="CA755" s="69"/>
      <c r="CB755" s="69"/>
      <c r="CC755" s="69"/>
      <c r="CD755" s="69"/>
      <c r="CE755" s="94">
        <f t="shared" si="61"/>
        <v>3165.75</v>
      </c>
      <c r="CF755" s="151">
        <f t="shared" si="60"/>
        <v>0</v>
      </c>
      <c r="CG755" s="75">
        <f t="shared" si="62"/>
        <v>4605</v>
      </c>
      <c r="CH755" s="69" t="str">
        <f t="shared" si="62"/>
        <v>برنامج دولى</v>
      </c>
    </row>
    <row r="756" spans="1:86" x14ac:dyDescent="0.25">
      <c r="A756" s="148"/>
      <c r="B756" s="82">
        <v>8626</v>
      </c>
      <c r="C756" s="149">
        <v>4606</v>
      </c>
      <c r="D756" s="69" t="s">
        <v>78</v>
      </c>
      <c r="E756" s="69" t="s">
        <v>3336</v>
      </c>
      <c r="F756" s="63"/>
      <c r="G756" s="69">
        <v>3517.5</v>
      </c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  <c r="AD756" s="69"/>
      <c r="AE756" s="69"/>
      <c r="AF756" s="69"/>
      <c r="AG756" s="69"/>
      <c r="AH756" s="69"/>
      <c r="AI756" s="69"/>
      <c r="AJ756" s="69"/>
      <c r="AK756" s="69"/>
      <c r="AL756" s="69"/>
      <c r="AM756" s="69"/>
      <c r="AN756" s="69"/>
      <c r="AO756" s="69"/>
      <c r="AP756" s="69"/>
      <c r="AQ756" s="69"/>
      <c r="AR756" s="94">
        <f t="shared" si="59"/>
        <v>3517.5</v>
      </c>
      <c r="AS756" s="69">
        <v>2352.3000000000002</v>
      </c>
      <c r="AT756" s="69">
        <v>317.7</v>
      </c>
      <c r="AU756" s="69">
        <v>847.5</v>
      </c>
      <c r="AV756" s="69"/>
      <c r="AW756" s="69"/>
      <c r="AX756" s="69"/>
      <c r="AY756" s="69"/>
      <c r="AZ756" s="69"/>
      <c r="BA756" s="69"/>
      <c r="BB756" s="69"/>
      <c r="BC756" s="69"/>
      <c r="BD756" s="69"/>
      <c r="BE756" s="69"/>
      <c r="BF756" s="69"/>
      <c r="BG756" s="69"/>
      <c r="BH756" s="69"/>
      <c r="BI756" s="69"/>
      <c r="BJ756" s="69"/>
      <c r="BK756" s="69"/>
      <c r="BL756" s="69"/>
      <c r="BM756" s="69"/>
      <c r="BN756" s="69"/>
      <c r="BO756" s="69"/>
      <c r="BP756" s="69"/>
      <c r="BQ756" s="69"/>
      <c r="BR756" s="69"/>
      <c r="BS756" s="69"/>
      <c r="BT756" s="69"/>
      <c r="BU756" s="69"/>
      <c r="BV756" s="69"/>
      <c r="BW756" s="69"/>
      <c r="BX756" s="69"/>
      <c r="BY756" s="69"/>
      <c r="BZ756" s="69"/>
      <c r="CA756" s="69"/>
      <c r="CB756" s="69"/>
      <c r="CC756" s="69"/>
      <c r="CD756" s="69"/>
      <c r="CE756" s="94">
        <f t="shared" si="61"/>
        <v>3517.5</v>
      </c>
      <c r="CF756" s="151">
        <f t="shared" si="60"/>
        <v>0</v>
      </c>
      <c r="CG756" s="75">
        <f t="shared" si="62"/>
        <v>4606</v>
      </c>
      <c r="CH756" s="69" t="str">
        <f t="shared" si="62"/>
        <v>برنامج دولى</v>
      </c>
    </row>
    <row r="757" spans="1:86" x14ac:dyDescent="0.25">
      <c r="A757" s="148"/>
      <c r="B757" s="82">
        <v>8631</v>
      </c>
      <c r="C757" s="149">
        <v>4607</v>
      </c>
      <c r="D757" s="69" t="s">
        <v>78</v>
      </c>
      <c r="E757" s="69" t="s">
        <v>3336</v>
      </c>
      <c r="F757" s="63"/>
      <c r="G757" s="69">
        <v>1172.5</v>
      </c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  <c r="AE757" s="69"/>
      <c r="AF757" s="69"/>
      <c r="AG757" s="69"/>
      <c r="AH757" s="69"/>
      <c r="AI757" s="69"/>
      <c r="AJ757" s="69"/>
      <c r="AK757" s="69"/>
      <c r="AL757" s="69"/>
      <c r="AM757" s="69"/>
      <c r="AN757" s="69"/>
      <c r="AO757" s="69"/>
      <c r="AP757" s="69"/>
      <c r="AQ757" s="69"/>
      <c r="AR757" s="94">
        <f t="shared" si="59"/>
        <v>1172.5</v>
      </c>
      <c r="AS757" s="69">
        <v>784.1</v>
      </c>
      <c r="AT757" s="69">
        <v>105.9</v>
      </c>
      <c r="AU757" s="69">
        <v>282.5</v>
      </c>
      <c r="AV757" s="69"/>
      <c r="AW757" s="69"/>
      <c r="AX757" s="69"/>
      <c r="AY757" s="69"/>
      <c r="AZ757" s="69"/>
      <c r="BA757" s="69"/>
      <c r="BB757" s="69"/>
      <c r="BC757" s="69"/>
      <c r="BD757" s="69"/>
      <c r="BE757" s="69"/>
      <c r="BF757" s="69"/>
      <c r="BG757" s="69"/>
      <c r="BH757" s="69"/>
      <c r="BI757" s="69"/>
      <c r="BJ757" s="69"/>
      <c r="BK757" s="69"/>
      <c r="BL757" s="69"/>
      <c r="BM757" s="69"/>
      <c r="BN757" s="69"/>
      <c r="BO757" s="69"/>
      <c r="BP757" s="69"/>
      <c r="BQ757" s="69"/>
      <c r="BR757" s="69"/>
      <c r="BS757" s="69"/>
      <c r="BT757" s="69"/>
      <c r="BU757" s="69"/>
      <c r="BV757" s="69"/>
      <c r="BW757" s="69"/>
      <c r="BX757" s="69"/>
      <c r="BY757" s="69"/>
      <c r="BZ757" s="69"/>
      <c r="CA757" s="69"/>
      <c r="CB757" s="69"/>
      <c r="CC757" s="69"/>
      <c r="CD757" s="69"/>
      <c r="CE757" s="94">
        <f t="shared" si="61"/>
        <v>1172.5</v>
      </c>
      <c r="CF757" s="151">
        <f t="shared" si="60"/>
        <v>0</v>
      </c>
      <c r="CG757" s="75">
        <f t="shared" si="62"/>
        <v>4607</v>
      </c>
      <c r="CH757" s="69" t="str">
        <f t="shared" si="62"/>
        <v>برنامج دولى</v>
      </c>
    </row>
    <row r="758" spans="1:86" x14ac:dyDescent="0.25">
      <c r="A758" s="148"/>
      <c r="B758" s="82">
        <v>8622</v>
      </c>
      <c r="C758" s="149">
        <v>4608</v>
      </c>
      <c r="D758" s="69" t="s">
        <v>78</v>
      </c>
      <c r="E758" s="69" t="s">
        <v>937</v>
      </c>
      <c r="F758" s="63"/>
      <c r="G758" s="69">
        <v>10055.780000000001</v>
      </c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  <c r="AD758" s="69"/>
      <c r="AE758" s="69"/>
      <c r="AF758" s="69"/>
      <c r="AG758" s="69"/>
      <c r="AH758" s="69"/>
      <c r="AI758" s="69"/>
      <c r="AJ758" s="69"/>
      <c r="AK758" s="69"/>
      <c r="AL758" s="69"/>
      <c r="AM758" s="69"/>
      <c r="AN758" s="69"/>
      <c r="AO758" s="69"/>
      <c r="AP758" s="69"/>
      <c r="AQ758" s="69"/>
      <c r="AR758" s="94">
        <f t="shared" si="59"/>
        <v>10055.780000000001</v>
      </c>
      <c r="AS758" s="69">
        <v>7059.96</v>
      </c>
      <c r="AT758" s="69">
        <v>939.25</v>
      </c>
      <c r="AU758" s="69">
        <v>2056.5700000000002</v>
      </c>
      <c r="AV758" s="69"/>
      <c r="AW758" s="69"/>
      <c r="AX758" s="69"/>
      <c r="AY758" s="69"/>
      <c r="AZ758" s="69"/>
      <c r="BA758" s="69"/>
      <c r="BB758" s="69"/>
      <c r="BC758" s="69"/>
      <c r="BD758" s="69"/>
      <c r="BE758" s="69"/>
      <c r="BF758" s="69"/>
      <c r="BG758" s="69"/>
      <c r="BH758" s="69"/>
      <c r="BI758" s="69"/>
      <c r="BJ758" s="69"/>
      <c r="BK758" s="69"/>
      <c r="BL758" s="69"/>
      <c r="BM758" s="69"/>
      <c r="BN758" s="69"/>
      <c r="BO758" s="69"/>
      <c r="BP758" s="69"/>
      <c r="BQ758" s="69"/>
      <c r="BR758" s="69"/>
      <c r="BS758" s="69"/>
      <c r="BT758" s="69"/>
      <c r="BU758" s="69"/>
      <c r="BV758" s="69"/>
      <c r="BW758" s="69"/>
      <c r="BX758" s="69"/>
      <c r="BY758" s="69"/>
      <c r="BZ758" s="69"/>
      <c r="CA758" s="69"/>
      <c r="CB758" s="69"/>
      <c r="CC758" s="69"/>
      <c r="CD758" s="69"/>
      <c r="CE758" s="94">
        <f t="shared" si="61"/>
        <v>10055.780000000001</v>
      </c>
      <c r="CF758" s="151">
        <f t="shared" si="60"/>
        <v>0</v>
      </c>
      <c r="CG758" s="75">
        <f t="shared" si="62"/>
        <v>4608</v>
      </c>
      <c r="CH758" s="69" t="str">
        <f t="shared" si="62"/>
        <v>برنامج دولى</v>
      </c>
    </row>
    <row r="759" spans="1:86" x14ac:dyDescent="0.25">
      <c r="A759" s="148"/>
      <c r="B759" s="82">
        <v>8623</v>
      </c>
      <c r="C759" s="149">
        <v>4609</v>
      </c>
      <c r="D759" s="69" t="s">
        <v>78</v>
      </c>
      <c r="E759" s="69" t="s">
        <v>937</v>
      </c>
      <c r="F759" s="63"/>
      <c r="G759" s="69">
        <v>5393.5</v>
      </c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  <c r="AD759" s="69"/>
      <c r="AE759" s="69"/>
      <c r="AF759" s="69"/>
      <c r="AG759" s="69"/>
      <c r="AH759" s="69"/>
      <c r="AI759" s="69"/>
      <c r="AJ759" s="69"/>
      <c r="AK759" s="69"/>
      <c r="AL759" s="69"/>
      <c r="AM759" s="69"/>
      <c r="AN759" s="69"/>
      <c r="AO759" s="69"/>
      <c r="AP759" s="69"/>
      <c r="AQ759" s="69"/>
      <c r="AR759" s="94">
        <f t="shared" si="59"/>
        <v>5393.5</v>
      </c>
      <c r="AS759" s="69">
        <v>3603.65</v>
      </c>
      <c r="AT759" s="69">
        <v>490.35</v>
      </c>
      <c r="AU759" s="69">
        <v>1299.5</v>
      </c>
      <c r="AV759" s="69"/>
      <c r="AW759" s="69"/>
      <c r="AX759" s="69"/>
      <c r="AY759" s="69"/>
      <c r="AZ759" s="69"/>
      <c r="BA759" s="69"/>
      <c r="BB759" s="69"/>
      <c r="BC759" s="69"/>
      <c r="BD759" s="69"/>
      <c r="BE759" s="69"/>
      <c r="BF759" s="69"/>
      <c r="BG759" s="69"/>
      <c r="BH759" s="69"/>
      <c r="BI759" s="69"/>
      <c r="BJ759" s="69"/>
      <c r="BK759" s="69"/>
      <c r="BL759" s="69"/>
      <c r="BM759" s="69"/>
      <c r="BN759" s="69"/>
      <c r="BO759" s="69"/>
      <c r="BP759" s="69"/>
      <c r="BQ759" s="69"/>
      <c r="BR759" s="69"/>
      <c r="BS759" s="69"/>
      <c r="BT759" s="69"/>
      <c r="BU759" s="69"/>
      <c r="BV759" s="69"/>
      <c r="BW759" s="69"/>
      <c r="BX759" s="69"/>
      <c r="BY759" s="69"/>
      <c r="BZ759" s="69"/>
      <c r="CA759" s="69"/>
      <c r="CB759" s="69"/>
      <c r="CC759" s="69"/>
      <c r="CD759" s="69"/>
      <c r="CE759" s="94">
        <f t="shared" si="61"/>
        <v>5393.5</v>
      </c>
      <c r="CF759" s="151">
        <f t="shared" si="60"/>
        <v>0</v>
      </c>
      <c r="CG759" s="75">
        <f t="shared" si="62"/>
        <v>4609</v>
      </c>
      <c r="CH759" s="69" t="str">
        <f t="shared" si="62"/>
        <v>برنامج دولى</v>
      </c>
    </row>
    <row r="760" spans="1:86" x14ac:dyDescent="0.25">
      <c r="A760" s="148"/>
      <c r="B760" s="82">
        <v>8614</v>
      </c>
      <c r="C760" s="149">
        <v>4610</v>
      </c>
      <c r="D760" s="69" t="s">
        <v>78</v>
      </c>
      <c r="E760" s="69" t="s">
        <v>665</v>
      </c>
      <c r="F760" s="63"/>
      <c r="G760" s="69">
        <v>410.38</v>
      </c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  <c r="AD760" s="69"/>
      <c r="AE760" s="69"/>
      <c r="AF760" s="69"/>
      <c r="AG760" s="69"/>
      <c r="AH760" s="69"/>
      <c r="AI760" s="69"/>
      <c r="AJ760" s="69"/>
      <c r="AK760" s="69"/>
      <c r="AL760" s="69"/>
      <c r="AM760" s="69"/>
      <c r="AN760" s="69"/>
      <c r="AO760" s="69"/>
      <c r="AP760" s="69"/>
      <c r="AQ760" s="69"/>
      <c r="AR760" s="94">
        <f t="shared" si="59"/>
        <v>410.38</v>
      </c>
      <c r="AS760" s="69">
        <v>274.8</v>
      </c>
      <c r="AT760" s="69">
        <v>36.700000000000003</v>
      </c>
      <c r="AU760" s="69">
        <v>98.88</v>
      </c>
      <c r="AV760" s="69"/>
      <c r="AW760" s="69"/>
      <c r="AX760" s="69"/>
      <c r="AY760" s="69"/>
      <c r="AZ760" s="69"/>
      <c r="BA760" s="69"/>
      <c r="BB760" s="69"/>
      <c r="BC760" s="69"/>
      <c r="BD760" s="69"/>
      <c r="BE760" s="69"/>
      <c r="BF760" s="69"/>
      <c r="BG760" s="69"/>
      <c r="BH760" s="69"/>
      <c r="BI760" s="69"/>
      <c r="BJ760" s="69"/>
      <c r="BK760" s="69"/>
      <c r="BL760" s="69"/>
      <c r="BM760" s="69"/>
      <c r="BN760" s="69"/>
      <c r="BO760" s="69"/>
      <c r="BP760" s="69"/>
      <c r="BQ760" s="69"/>
      <c r="BR760" s="69"/>
      <c r="BS760" s="69"/>
      <c r="BT760" s="69"/>
      <c r="BU760" s="69"/>
      <c r="BV760" s="69"/>
      <c r="BW760" s="69"/>
      <c r="BX760" s="69"/>
      <c r="BY760" s="69"/>
      <c r="BZ760" s="69"/>
      <c r="CA760" s="69"/>
      <c r="CB760" s="69"/>
      <c r="CC760" s="69"/>
      <c r="CD760" s="69"/>
      <c r="CE760" s="94">
        <f t="shared" si="61"/>
        <v>410.38</v>
      </c>
      <c r="CF760" s="151">
        <f t="shared" si="60"/>
        <v>0</v>
      </c>
      <c r="CG760" s="75">
        <f t="shared" si="62"/>
        <v>4610</v>
      </c>
      <c r="CH760" s="69" t="str">
        <f t="shared" si="62"/>
        <v>برنامج دولى</v>
      </c>
    </row>
    <row r="761" spans="1:86" x14ac:dyDescent="0.25">
      <c r="A761" s="148"/>
      <c r="B761" s="82">
        <v>8615</v>
      </c>
      <c r="C761" s="149">
        <v>4611</v>
      </c>
      <c r="D761" s="69" t="s">
        <v>78</v>
      </c>
      <c r="E761" s="69" t="s">
        <v>3337</v>
      </c>
      <c r="F761" s="63"/>
      <c r="G761" s="69">
        <v>1465.63</v>
      </c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  <c r="AD761" s="69"/>
      <c r="AE761" s="69"/>
      <c r="AF761" s="69"/>
      <c r="AG761" s="69"/>
      <c r="AH761" s="69"/>
      <c r="AI761" s="69"/>
      <c r="AJ761" s="69"/>
      <c r="AK761" s="69"/>
      <c r="AL761" s="69"/>
      <c r="AM761" s="69"/>
      <c r="AN761" s="69"/>
      <c r="AO761" s="69"/>
      <c r="AP761" s="69"/>
      <c r="AQ761" s="69"/>
      <c r="AR761" s="94">
        <f t="shared" si="59"/>
        <v>1465.63</v>
      </c>
      <c r="AS761" s="69">
        <v>980.55</v>
      </c>
      <c r="AT761" s="69">
        <v>131.94999999999999</v>
      </c>
      <c r="AU761" s="69">
        <v>353.13</v>
      </c>
      <c r="AV761" s="69"/>
      <c r="AW761" s="69"/>
      <c r="AX761" s="69"/>
      <c r="AY761" s="69"/>
      <c r="AZ761" s="69"/>
      <c r="BA761" s="69"/>
      <c r="BB761" s="69"/>
      <c r="BC761" s="69"/>
      <c r="BD761" s="69"/>
      <c r="BE761" s="69"/>
      <c r="BF761" s="69"/>
      <c r="BG761" s="69"/>
      <c r="BH761" s="69"/>
      <c r="BI761" s="69"/>
      <c r="BJ761" s="69"/>
      <c r="BK761" s="69"/>
      <c r="BL761" s="69"/>
      <c r="BM761" s="69"/>
      <c r="BN761" s="69"/>
      <c r="BO761" s="69"/>
      <c r="BP761" s="69"/>
      <c r="BQ761" s="69"/>
      <c r="BR761" s="69"/>
      <c r="BS761" s="69"/>
      <c r="BT761" s="69"/>
      <c r="BU761" s="69"/>
      <c r="BV761" s="69"/>
      <c r="BW761" s="69"/>
      <c r="BX761" s="69"/>
      <c r="BY761" s="69"/>
      <c r="BZ761" s="69"/>
      <c r="CA761" s="69"/>
      <c r="CB761" s="69"/>
      <c r="CC761" s="69"/>
      <c r="CD761" s="69"/>
      <c r="CE761" s="94">
        <f t="shared" si="61"/>
        <v>1465.63</v>
      </c>
      <c r="CF761" s="151">
        <f t="shared" si="60"/>
        <v>0</v>
      </c>
      <c r="CG761" s="75">
        <f t="shared" si="62"/>
        <v>4611</v>
      </c>
      <c r="CH761" s="69" t="str">
        <f t="shared" si="62"/>
        <v>برنامج دولى</v>
      </c>
    </row>
    <row r="762" spans="1:86" x14ac:dyDescent="0.25">
      <c r="A762" s="148"/>
      <c r="B762" s="82">
        <v>8616</v>
      </c>
      <c r="C762" s="149">
        <v>4612</v>
      </c>
      <c r="D762" s="69" t="s">
        <v>78</v>
      </c>
      <c r="E762" s="69" t="s">
        <v>3337</v>
      </c>
      <c r="F762" s="63"/>
      <c r="G762" s="69">
        <v>1172.5</v>
      </c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  <c r="AD762" s="69"/>
      <c r="AE762" s="69"/>
      <c r="AF762" s="69"/>
      <c r="AG762" s="69"/>
      <c r="AH762" s="69"/>
      <c r="AI762" s="69"/>
      <c r="AJ762" s="69"/>
      <c r="AK762" s="69"/>
      <c r="AL762" s="69"/>
      <c r="AM762" s="69"/>
      <c r="AN762" s="69"/>
      <c r="AO762" s="69"/>
      <c r="AP762" s="69"/>
      <c r="AQ762" s="69"/>
      <c r="AR762" s="94">
        <f t="shared" si="59"/>
        <v>1172.5</v>
      </c>
      <c r="AS762" s="69">
        <v>784.8</v>
      </c>
      <c r="AT762" s="69">
        <v>105.2</v>
      </c>
      <c r="AU762" s="69">
        <v>282.5</v>
      </c>
      <c r="AV762" s="69"/>
      <c r="AW762" s="69"/>
      <c r="AX762" s="69"/>
      <c r="AY762" s="69"/>
      <c r="AZ762" s="69"/>
      <c r="BA762" s="69"/>
      <c r="BB762" s="69"/>
      <c r="BC762" s="69"/>
      <c r="BD762" s="69"/>
      <c r="BE762" s="69"/>
      <c r="BF762" s="69"/>
      <c r="BG762" s="69"/>
      <c r="BH762" s="69"/>
      <c r="BI762" s="69"/>
      <c r="BJ762" s="69"/>
      <c r="BK762" s="69"/>
      <c r="BL762" s="69"/>
      <c r="BM762" s="69"/>
      <c r="BN762" s="69"/>
      <c r="BO762" s="69"/>
      <c r="BP762" s="69"/>
      <c r="BQ762" s="69"/>
      <c r="BR762" s="69"/>
      <c r="BS762" s="69"/>
      <c r="BT762" s="69"/>
      <c r="BU762" s="69"/>
      <c r="BV762" s="69"/>
      <c r="BW762" s="69"/>
      <c r="BX762" s="69"/>
      <c r="BY762" s="69"/>
      <c r="BZ762" s="69"/>
      <c r="CA762" s="69"/>
      <c r="CB762" s="69"/>
      <c r="CC762" s="69"/>
      <c r="CD762" s="69"/>
      <c r="CE762" s="94">
        <f t="shared" si="61"/>
        <v>1172.5</v>
      </c>
      <c r="CF762" s="151">
        <f t="shared" si="60"/>
        <v>0</v>
      </c>
      <c r="CG762" s="75">
        <f t="shared" si="62"/>
        <v>4612</v>
      </c>
      <c r="CH762" s="69" t="str">
        <f t="shared" si="62"/>
        <v>برنامج دولى</v>
      </c>
    </row>
    <row r="763" spans="1:86" x14ac:dyDescent="0.25">
      <c r="A763" s="148"/>
      <c r="B763" s="82">
        <v>8617</v>
      </c>
      <c r="C763" s="149">
        <v>4613</v>
      </c>
      <c r="D763" s="69" t="s">
        <v>78</v>
      </c>
      <c r="E763" s="69" t="s">
        <v>3337</v>
      </c>
      <c r="F763" s="63"/>
      <c r="G763" s="69">
        <v>586.25</v>
      </c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  <c r="AD763" s="69"/>
      <c r="AE763" s="69"/>
      <c r="AF763" s="69"/>
      <c r="AG763" s="69"/>
      <c r="AH763" s="69"/>
      <c r="AI763" s="69"/>
      <c r="AJ763" s="69"/>
      <c r="AK763" s="69"/>
      <c r="AL763" s="69"/>
      <c r="AM763" s="69"/>
      <c r="AN763" s="69"/>
      <c r="AO763" s="69"/>
      <c r="AP763" s="69"/>
      <c r="AQ763" s="69"/>
      <c r="AR763" s="94">
        <f t="shared" si="59"/>
        <v>586.25</v>
      </c>
      <c r="AS763" s="69">
        <v>392.4</v>
      </c>
      <c r="AT763" s="69">
        <v>52.6</v>
      </c>
      <c r="AU763" s="69">
        <v>141.25</v>
      </c>
      <c r="AV763" s="69"/>
      <c r="AW763" s="69"/>
      <c r="AX763" s="69"/>
      <c r="AY763" s="69"/>
      <c r="AZ763" s="69"/>
      <c r="BA763" s="69"/>
      <c r="BB763" s="69"/>
      <c r="BC763" s="69"/>
      <c r="BD763" s="69"/>
      <c r="BE763" s="69"/>
      <c r="BF763" s="69"/>
      <c r="BG763" s="69"/>
      <c r="BH763" s="69"/>
      <c r="BI763" s="69"/>
      <c r="BJ763" s="69"/>
      <c r="BK763" s="69"/>
      <c r="BL763" s="69"/>
      <c r="BM763" s="69"/>
      <c r="BN763" s="69"/>
      <c r="BO763" s="69"/>
      <c r="BP763" s="69"/>
      <c r="BQ763" s="69"/>
      <c r="BR763" s="69"/>
      <c r="BS763" s="69"/>
      <c r="BT763" s="69"/>
      <c r="BU763" s="69"/>
      <c r="BV763" s="69"/>
      <c r="BW763" s="69"/>
      <c r="BX763" s="69"/>
      <c r="BY763" s="69"/>
      <c r="BZ763" s="69"/>
      <c r="CA763" s="69"/>
      <c r="CB763" s="69"/>
      <c r="CC763" s="69"/>
      <c r="CD763" s="69"/>
      <c r="CE763" s="94">
        <f t="shared" si="61"/>
        <v>586.25</v>
      </c>
      <c r="CF763" s="151">
        <f t="shared" si="60"/>
        <v>0</v>
      </c>
      <c r="CG763" s="75">
        <f t="shared" si="62"/>
        <v>4613</v>
      </c>
      <c r="CH763" s="69" t="str">
        <f t="shared" si="62"/>
        <v>برنامج دولى</v>
      </c>
    </row>
    <row r="764" spans="1:86" x14ac:dyDescent="0.25">
      <c r="A764" s="148"/>
      <c r="B764" s="82">
        <v>8618</v>
      </c>
      <c r="C764" s="149">
        <v>4614</v>
      </c>
      <c r="D764" s="69" t="s">
        <v>78</v>
      </c>
      <c r="E764" s="69" t="s">
        <v>3337</v>
      </c>
      <c r="F764" s="63"/>
      <c r="G764" s="69">
        <v>586.25</v>
      </c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  <c r="AE764" s="69"/>
      <c r="AF764" s="69"/>
      <c r="AG764" s="69"/>
      <c r="AH764" s="69"/>
      <c r="AI764" s="69"/>
      <c r="AJ764" s="69"/>
      <c r="AK764" s="69"/>
      <c r="AL764" s="69"/>
      <c r="AM764" s="69"/>
      <c r="AN764" s="69"/>
      <c r="AO764" s="69"/>
      <c r="AP764" s="69"/>
      <c r="AQ764" s="69"/>
      <c r="AR764" s="94">
        <f t="shared" si="59"/>
        <v>586.25</v>
      </c>
      <c r="AS764" s="69">
        <v>392.4</v>
      </c>
      <c r="AT764" s="69">
        <v>52.6</v>
      </c>
      <c r="AU764" s="69">
        <v>141.25</v>
      </c>
      <c r="AV764" s="69"/>
      <c r="AW764" s="69"/>
      <c r="AX764" s="69"/>
      <c r="AY764" s="69"/>
      <c r="AZ764" s="69"/>
      <c r="BA764" s="69"/>
      <c r="BB764" s="69"/>
      <c r="BC764" s="69"/>
      <c r="BD764" s="69"/>
      <c r="BE764" s="69"/>
      <c r="BF764" s="69"/>
      <c r="BG764" s="69"/>
      <c r="BH764" s="69"/>
      <c r="BI764" s="69"/>
      <c r="BJ764" s="69"/>
      <c r="BK764" s="69"/>
      <c r="BL764" s="69"/>
      <c r="BM764" s="69"/>
      <c r="BN764" s="69"/>
      <c r="BO764" s="69"/>
      <c r="BP764" s="69"/>
      <c r="BQ764" s="69"/>
      <c r="BR764" s="69"/>
      <c r="BS764" s="69"/>
      <c r="BT764" s="69"/>
      <c r="BU764" s="69"/>
      <c r="BV764" s="69"/>
      <c r="BW764" s="69"/>
      <c r="BX764" s="69"/>
      <c r="BY764" s="69"/>
      <c r="BZ764" s="69"/>
      <c r="CA764" s="69"/>
      <c r="CB764" s="69"/>
      <c r="CC764" s="69"/>
      <c r="CD764" s="69"/>
      <c r="CE764" s="94">
        <f t="shared" si="61"/>
        <v>586.25</v>
      </c>
      <c r="CF764" s="151">
        <f t="shared" si="60"/>
        <v>0</v>
      </c>
      <c r="CG764" s="75">
        <f t="shared" si="62"/>
        <v>4614</v>
      </c>
      <c r="CH764" s="69" t="str">
        <f t="shared" si="62"/>
        <v>برنامج دولى</v>
      </c>
    </row>
    <row r="765" spans="1:86" x14ac:dyDescent="0.25">
      <c r="A765" s="148"/>
      <c r="B765" s="82">
        <v>8619</v>
      </c>
      <c r="C765" s="149">
        <v>4615</v>
      </c>
      <c r="D765" s="69" t="s">
        <v>78</v>
      </c>
      <c r="E765" s="69" t="s">
        <v>3337</v>
      </c>
      <c r="F765" s="63"/>
      <c r="G765" s="69">
        <v>351.75</v>
      </c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  <c r="AE765" s="69"/>
      <c r="AF765" s="69"/>
      <c r="AG765" s="69"/>
      <c r="AH765" s="69"/>
      <c r="AI765" s="69"/>
      <c r="AJ765" s="69"/>
      <c r="AK765" s="69"/>
      <c r="AL765" s="69"/>
      <c r="AM765" s="69"/>
      <c r="AN765" s="69"/>
      <c r="AO765" s="69"/>
      <c r="AP765" s="69"/>
      <c r="AQ765" s="69"/>
      <c r="AR765" s="94">
        <f t="shared" si="59"/>
        <v>351.75</v>
      </c>
      <c r="AS765" s="69">
        <v>235.55</v>
      </c>
      <c r="AT765" s="69">
        <v>31.45</v>
      </c>
      <c r="AU765" s="69">
        <v>84.75</v>
      </c>
      <c r="AV765" s="69"/>
      <c r="AW765" s="69"/>
      <c r="AX765" s="69"/>
      <c r="AY765" s="69"/>
      <c r="AZ765" s="69"/>
      <c r="BA765" s="69"/>
      <c r="BB765" s="69"/>
      <c r="BC765" s="69"/>
      <c r="BD765" s="69"/>
      <c r="BE765" s="69"/>
      <c r="BF765" s="69"/>
      <c r="BG765" s="69"/>
      <c r="BH765" s="69"/>
      <c r="BI765" s="69"/>
      <c r="BJ765" s="69"/>
      <c r="BK765" s="69"/>
      <c r="BL765" s="69"/>
      <c r="BM765" s="69"/>
      <c r="BN765" s="69"/>
      <c r="BO765" s="69"/>
      <c r="BP765" s="69"/>
      <c r="BQ765" s="69"/>
      <c r="BR765" s="69"/>
      <c r="BS765" s="69"/>
      <c r="BT765" s="69"/>
      <c r="BU765" s="69"/>
      <c r="BV765" s="69"/>
      <c r="BW765" s="69"/>
      <c r="BX765" s="69"/>
      <c r="BY765" s="69"/>
      <c r="BZ765" s="69"/>
      <c r="CA765" s="69"/>
      <c r="CB765" s="69"/>
      <c r="CC765" s="69"/>
      <c r="CD765" s="69"/>
      <c r="CE765" s="94">
        <f t="shared" si="61"/>
        <v>351.75</v>
      </c>
      <c r="CF765" s="151">
        <f t="shared" si="60"/>
        <v>0</v>
      </c>
      <c r="CG765" s="75">
        <f t="shared" si="62"/>
        <v>4615</v>
      </c>
      <c r="CH765" s="69" t="str">
        <f t="shared" si="62"/>
        <v>برنامج دولى</v>
      </c>
    </row>
    <row r="766" spans="1:86" x14ac:dyDescent="0.25">
      <c r="A766" s="148"/>
      <c r="B766" s="82">
        <v>8620</v>
      </c>
      <c r="C766" s="149">
        <v>4616</v>
      </c>
      <c r="D766" s="69" t="s">
        <v>78</v>
      </c>
      <c r="E766" s="69" t="s">
        <v>3337</v>
      </c>
      <c r="F766" s="63"/>
      <c r="G766" s="69">
        <v>351.75</v>
      </c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  <c r="AD766" s="69"/>
      <c r="AE766" s="69"/>
      <c r="AF766" s="69"/>
      <c r="AG766" s="69"/>
      <c r="AH766" s="69"/>
      <c r="AI766" s="69"/>
      <c r="AJ766" s="69"/>
      <c r="AK766" s="69"/>
      <c r="AL766" s="69"/>
      <c r="AM766" s="69"/>
      <c r="AN766" s="69"/>
      <c r="AO766" s="69"/>
      <c r="AP766" s="69"/>
      <c r="AQ766" s="69"/>
      <c r="AR766" s="94">
        <f t="shared" si="59"/>
        <v>351.75</v>
      </c>
      <c r="AS766" s="69">
        <v>235.55</v>
      </c>
      <c r="AT766" s="69">
        <v>31.45</v>
      </c>
      <c r="AU766" s="69">
        <v>84.75</v>
      </c>
      <c r="AV766" s="69"/>
      <c r="AW766" s="69"/>
      <c r="AX766" s="69"/>
      <c r="AY766" s="69"/>
      <c r="AZ766" s="69"/>
      <c r="BA766" s="69"/>
      <c r="BB766" s="69"/>
      <c r="BC766" s="69"/>
      <c r="BD766" s="69"/>
      <c r="BE766" s="69"/>
      <c r="BF766" s="69"/>
      <c r="BG766" s="69"/>
      <c r="BH766" s="69"/>
      <c r="BI766" s="69"/>
      <c r="BJ766" s="69"/>
      <c r="BK766" s="69"/>
      <c r="BL766" s="69"/>
      <c r="BM766" s="69"/>
      <c r="BN766" s="69"/>
      <c r="BO766" s="69"/>
      <c r="BP766" s="69"/>
      <c r="BQ766" s="69"/>
      <c r="BR766" s="69"/>
      <c r="BS766" s="69"/>
      <c r="BT766" s="69"/>
      <c r="BU766" s="69"/>
      <c r="BV766" s="69"/>
      <c r="BW766" s="69"/>
      <c r="BX766" s="69"/>
      <c r="BY766" s="69"/>
      <c r="BZ766" s="69"/>
      <c r="CA766" s="69"/>
      <c r="CB766" s="69"/>
      <c r="CC766" s="69"/>
      <c r="CD766" s="69"/>
      <c r="CE766" s="94">
        <f t="shared" si="61"/>
        <v>351.75</v>
      </c>
      <c r="CF766" s="151">
        <f t="shared" si="60"/>
        <v>0</v>
      </c>
      <c r="CG766" s="75">
        <f t="shared" si="62"/>
        <v>4616</v>
      </c>
      <c r="CH766" s="69" t="str">
        <f t="shared" si="62"/>
        <v>برنامج دولى</v>
      </c>
    </row>
    <row r="767" spans="1:86" x14ac:dyDescent="0.25">
      <c r="A767" s="148"/>
      <c r="B767" s="82">
        <v>8621</v>
      </c>
      <c r="C767" s="149">
        <v>4617</v>
      </c>
      <c r="D767" s="69" t="s">
        <v>78</v>
      </c>
      <c r="E767" s="69" t="s">
        <v>3337</v>
      </c>
      <c r="F767" s="63"/>
      <c r="G767" s="69">
        <v>351.75</v>
      </c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  <c r="AD767" s="69"/>
      <c r="AE767" s="69"/>
      <c r="AF767" s="69"/>
      <c r="AG767" s="69"/>
      <c r="AH767" s="69"/>
      <c r="AI767" s="69"/>
      <c r="AJ767" s="69"/>
      <c r="AK767" s="69"/>
      <c r="AL767" s="69"/>
      <c r="AM767" s="69"/>
      <c r="AN767" s="69"/>
      <c r="AO767" s="69"/>
      <c r="AP767" s="69"/>
      <c r="AQ767" s="69"/>
      <c r="AR767" s="94">
        <f t="shared" si="59"/>
        <v>351.75</v>
      </c>
      <c r="AS767" s="69">
        <v>235.55</v>
      </c>
      <c r="AT767" s="69">
        <v>31.45</v>
      </c>
      <c r="AU767" s="69">
        <v>84.75</v>
      </c>
      <c r="AV767" s="69"/>
      <c r="AW767" s="69"/>
      <c r="AX767" s="69"/>
      <c r="AY767" s="69"/>
      <c r="AZ767" s="69"/>
      <c r="BA767" s="69"/>
      <c r="BB767" s="69"/>
      <c r="BC767" s="69"/>
      <c r="BD767" s="69"/>
      <c r="BE767" s="69"/>
      <c r="BF767" s="69"/>
      <c r="BG767" s="69"/>
      <c r="BH767" s="69"/>
      <c r="BI767" s="69"/>
      <c r="BJ767" s="69"/>
      <c r="BK767" s="69"/>
      <c r="BL767" s="69"/>
      <c r="BM767" s="69"/>
      <c r="BN767" s="69"/>
      <c r="BO767" s="69"/>
      <c r="BP767" s="69"/>
      <c r="BQ767" s="69"/>
      <c r="BR767" s="69"/>
      <c r="BS767" s="69"/>
      <c r="BT767" s="69"/>
      <c r="BU767" s="69"/>
      <c r="BV767" s="69"/>
      <c r="BW767" s="69"/>
      <c r="BX767" s="69"/>
      <c r="BY767" s="69"/>
      <c r="BZ767" s="69"/>
      <c r="CA767" s="69"/>
      <c r="CB767" s="69"/>
      <c r="CC767" s="69"/>
      <c r="CD767" s="69"/>
      <c r="CE767" s="94">
        <f t="shared" si="61"/>
        <v>351.75</v>
      </c>
      <c r="CF767" s="151">
        <f t="shared" si="60"/>
        <v>0</v>
      </c>
      <c r="CG767" s="75">
        <f t="shared" si="62"/>
        <v>4617</v>
      </c>
      <c r="CH767" s="69" t="str">
        <f t="shared" si="62"/>
        <v>برنامج دولى</v>
      </c>
    </row>
    <row r="768" spans="1:86" x14ac:dyDescent="0.25">
      <c r="A768" s="148"/>
      <c r="B768" s="82">
        <v>8595</v>
      </c>
      <c r="C768" s="149">
        <v>4618</v>
      </c>
      <c r="D768" s="69" t="s">
        <v>78</v>
      </c>
      <c r="E768" s="69" t="s">
        <v>3337</v>
      </c>
      <c r="F768" s="63"/>
      <c r="G768" s="69">
        <v>1172.5</v>
      </c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  <c r="AD768" s="69"/>
      <c r="AE768" s="69"/>
      <c r="AF768" s="69"/>
      <c r="AG768" s="69"/>
      <c r="AH768" s="69"/>
      <c r="AI768" s="69"/>
      <c r="AJ768" s="69"/>
      <c r="AK768" s="69"/>
      <c r="AL768" s="69"/>
      <c r="AM768" s="69"/>
      <c r="AN768" s="69"/>
      <c r="AO768" s="69"/>
      <c r="AP768" s="69"/>
      <c r="AQ768" s="69"/>
      <c r="AR768" s="94">
        <f t="shared" si="59"/>
        <v>1172.5</v>
      </c>
      <c r="AS768" s="69">
        <v>784.8</v>
      </c>
      <c r="AT768" s="69">
        <f>5.2+100</f>
        <v>105.2</v>
      </c>
      <c r="AU768" s="69">
        <f>387.7-AT768</f>
        <v>282.5</v>
      </c>
      <c r="AV768" s="69"/>
      <c r="AW768" s="69"/>
      <c r="AX768" s="69"/>
      <c r="AY768" s="69"/>
      <c r="AZ768" s="69"/>
      <c r="BA768" s="69"/>
      <c r="BB768" s="69"/>
      <c r="BC768" s="69"/>
      <c r="BD768" s="69"/>
      <c r="BE768" s="69"/>
      <c r="BF768" s="69"/>
      <c r="BG768" s="69"/>
      <c r="BH768" s="69"/>
      <c r="BI768" s="69"/>
      <c r="BJ768" s="69"/>
      <c r="BK768" s="69"/>
      <c r="BL768" s="69"/>
      <c r="BM768" s="69"/>
      <c r="BN768" s="69"/>
      <c r="BO768" s="69"/>
      <c r="BP768" s="69"/>
      <c r="BQ768" s="69"/>
      <c r="BR768" s="69"/>
      <c r="BS768" s="69"/>
      <c r="BT768" s="69"/>
      <c r="BU768" s="69"/>
      <c r="BV768" s="69"/>
      <c r="BW768" s="69"/>
      <c r="BX768" s="69"/>
      <c r="BY768" s="69"/>
      <c r="BZ768" s="69"/>
      <c r="CA768" s="69"/>
      <c r="CB768" s="69"/>
      <c r="CC768" s="69"/>
      <c r="CD768" s="69"/>
      <c r="CE768" s="94">
        <f t="shared" si="61"/>
        <v>1172.5</v>
      </c>
      <c r="CF768" s="151">
        <f t="shared" si="60"/>
        <v>0</v>
      </c>
      <c r="CG768" s="75">
        <f t="shared" si="62"/>
        <v>4618</v>
      </c>
      <c r="CH768" s="69" t="str">
        <f t="shared" si="62"/>
        <v>برنامج دولى</v>
      </c>
    </row>
    <row r="769" spans="1:95" x14ac:dyDescent="0.25">
      <c r="A769" s="148"/>
      <c r="B769" s="82">
        <v>8632</v>
      </c>
      <c r="C769" s="149">
        <v>4619</v>
      </c>
      <c r="D769" s="69" t="s">
        <v>78</v>
      </c>
      <c r="E769" s="69" t="s">
        <v>3338</v>
      </c>
      <c r="F769" s="63"/>
      <c r="G769" s="69">
        <v>5862.5</v>
      </c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  <c r="AE769" s="69"/>
      <c r="AF769" s="69"/>
      <c r="AG769" s="69"/>
      <c r="AH769" s="69"/>
      <c r="AI769" s="69"/>
      <c r="AJ769" s="69"/>
      <c r="AK769" s="69"/>
      <c r="AL769" s="69"/>
      <c r="AM769" s="69"/>
      <c r="AN769" s="69"/>
      <c r="AO769" s="69"/>
      <c r="AP769" s="69"/>
      <c r="AQ769" s="69"/>
      <c r="AR769" s="94">
        <f t="shared" si="59"/>
        <v>5862.5</v>
      </c>
      <c r="AS769" s="69">
        <v>3919.3</v>
      </c>
      <c r="AT769" s="69">
        <v>530.70000000000005</v>
      </c>
      <c r="AU769" s="69">
        <v>1412.5</v>
      </c>
      <c r="AV769" s="69"/>
      <c r="AW769" s="69"/>
      <c r="AX769" s="69"/>
      <c r="AY769" s="69"/>
      <c r="AZ769" s="69"/>
      <c r="BA769" s="69"/>
      <c r="BB769" s="69"/>
      <c r="BC769" s="69"/>
      <c r="BD769" s="69"/>
      <c r="BE769" s="69"/>
      <c r="BF769" s="69"/>
      <c r="BG769" s="69"/>
      <c r="BH769" s="69"/>
      <c r="BI769" s="69"/>
      <c r="BJ769" s="69"/>
      <c r="BK769" s="69"/>
      <c r="BL769" s="69"/>
      <c r="BM769" s="69"/>
      <c r="BN769" s="69"/>
      <c r="BO769" s="69"/>
      <c r="BP769" s="69"/>
      <c r="BQ769" s="69"/>
      <c r="BR769" s="69"/>
      <c r="BS769" s="69"/>
      <c r="BT769" s="69"/>
      <c r="BU769" s="69"/>
      <c r="BV769" s="69"/>
      <c r="BW769" s="69"/>
      <c r="BX769" s="69"/>
      <c r="BY769" s="69"/>
      <c r="BZ769" s="69"/>
      <c r="CA769" s="69"/>
      <c r="CB769" s="69"/>
      <c r="CC769" s="69"/>
      <c r="CD769" s="69"/>
      <c r="CE769" s="94">
        <f t="shared" si="61"/>
        <v>5862.5</v>
      </c>
      <c r="CF769" s="151">
        <f t="shared" si="60"/>
        <v>0</v>
      </c>
      <c r="CG769" s="75">
        <f t="shared" si="62"/>
        <v>4619</v>
      </c>
      <c r="CH769" s="69" t="str">
        <f t="shared" si="62"/>
        <v>برنامج دولى</v>
      </c>
    </row>
    <row r="770" spans="1:95" x14ac:dyDescent="0.25">
      <c r="A770" s="148"/>
      <c r="B770" s="82">
        <v>8633</v>
      </c>
      <c r="C770" s="149">
        <v>4620</v>
      </c>
      <c r="D770" s="69" t="s">
        <v>78</v>
      </c>
      <c r="E770" s="69" t="s">
        <v>3338</v>
      </c>
      <c r="F770" s="63"/>
      <c r="G770" s="69">
        <v>3165.75</v>
      </c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  <c r="AE770" s="69"/>
      <c r="AF770" s="69"/>
      <c r="AG770" s="69"/>
      <c r="AH770" s="69"/>
      <c r="AI770" s="69"/>
      <c r="AJ770" s="69"/>
      <c r="AK770" s="69"/>
      <c r="AL770" s="69"/>
      <c r="AM770" s="69"/>
      <c r="AN770" s="69"/>
      <c r="AO770" s="69"/>
      <c r="AP770" s="69"/>
      <c r="AQ770" s="69"/>
      <c r="AR770" s="94">
        <f t="shared" si="59"/>
        <v>3165.75</v>
      </c>
      <c r="AS770" s="69">
        <v>2116.1</v>
      </c>
      <c r="AT770" s="69">
        <v>286.89999999999998</v>
      </c>
      <c r="AU770" s="69">
        <v>762.75</v>
      </c>
      <c r="AV770" s="69"/>
      <c r="AW770" s="69"/>
      <c r="AX770" s="69"/>
      <c r="AY770" s="69"/>
      <c r="AZ770" s="69"/>
      <c r="BA770" s="69"/>
      <c r="BB770" s="69"/>
      <c r="BC770" s="69"/>
      <c r="BD770" s="69"/>
      <c r="BE770" s="69"/>
      <c r="BF770" s="69"/>
      <c r="BG770" s="69"/>
      <c r="BH770" s="69"/>
      <c r="BI770" s="69"/>
      <c r="BJ770" s="69"/>
      <c r="BK770" s="69"/>
      <c r="BL770" s="69"/>
      <c r="BM770" s="69"/>
      <c r="BN770" s="69"/>
      <c r="BO770" s="69"/>
      <c r="BP770" s="69"/>
      <c r="BQ770" s="69"/>
      <c r="BR770" s="69"/>
      <c r="BS770" s="69"/>
      <c r="BT770" s="69"/>
      <c r="BU770" s="69"/>
      <c r="BV770" s="69"/>
      <c r="BW770" s="69"/>
      <c r="BX770" s="69"/>
      <c r="BY770" s="69"/>
      <c r="BZ770" s="69"/>
      <c r="CA770" s="69"/>
      <c r="CB770" s="69"/>
      <c r="CC770" s="69"/>
      <c r="CD770" s="69"/>
      <c r="CE770" s="94">
        <f t="shared" si="61"/>
        <v>3165.75</v>
      </c>
      <c r="CF770" s="151">
        <f t="shared" si="60"/>
        <v>0</v>
      </c>
      <c r="CG770" s="75">
        <f t="shared" si="62"/>
        <v>4620</v>
      </c>
      <c r="CH770" s="69" t="str">
        <f t="shared" si="62"/>
        <v>برنامج دولى</v>
      </c>
    </row>
    <row r="771" spans="1:95" x14ac:dyDescent="0.25">
      <c r="A771" s="148"/>
      <c r="B771" s="82">
        <v>8634</v>
      </c>
      <c r="C771" s="149">
        <v>4621</v>
      </c>
      <c r="D771" s="69" t="s">
        <v>78</v>
      </c>
      <c r="E771" s="69" t="s">
        <v>3339</v>
      </c>
      <c r="F771" s="63"/>
      <c r="G771" s="69">
        <v>1172.5</v>
      </c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  <c r="AD771" s="69"/>
      <c r="AE771" s="69"/>
      <c r="AF771" s="69"/>
      <c r="AG771" s="69"/>
      <c r="AH771" s="69"/>
      <c r="AI771" s="69"/>
      <c r="AJ771" s="69"/>
      <c r="AK771" s="69"/>
      <c r="AL771" s="69"/>
      <c r="AM771" s="69"/>
      <c r="AN771" s="69"/>
      <c r="AO771" s="69"/>
      <c r="AP771" s="69"/>
      <c r="AQ771" s="69"/>
      <c r="AR771" s="94">
        <f t="shared" si="59"/>
        <v>1172.5</v>
      </c>
      <c r="AS771" s="69">
        <v>784.8</v>
      </c>
      <c r="AT771" s="69">
        <v>105.2</v>
      </c>
      <c r="AU771" s="69">
        <v>282.5</v>
      </c>
      <c r="AV771" s="69"/>
      <c r="AW771" s="69"/>
      <c r="AX771" s="69"/>
      <c r="AY771" s="69"/>
      <c r="AZ771" s="69"/>
      <c r="BA771" s="69"/>
      <c r="BB771" s="69"/>
      <c r="BC771" s="69"/>
      <c r="BD771" s="69"/>
      <c r="BE771" s="69"/>
      <c r="BF771" s="69"/>
      <c r="BG771" s="69"/>
      <c r="BH771" s="69"/>
      <c r="BI771" s="69"/>
      <c r="BJ771" s="69"/>
      <c r="BK771" s="69"/>
      <c r="BL771" s="69"/>
      <c r="BM771" s="69"/>
      <c r="BN771" s="69"/>
      <c r="BO771" s="69"/>
      <c r="BP771" s="69"/>
      <c r="BQ771" s="69"/>
      <c r="BR771" s="69"/>
      <c r="BS771" s="69"/>
      <c r="BT771" s="69"/>
      <c r="BU771" s="69"/>
      <c r="BV771" s="69"/>
      <c r="BW771" s="69"/>
      <c r="BX771" s="69"/>
      <c r="BY771" s="69"/>
      <c r="BZ771" s="69"/>
      <c r="CA771" s="69"/>
      <c r="CB771" s="69"/>
      <c r="CC771" s="69"/>
      <c r="CD771" s="69"/>
      <c r="CE771" s="94">
        <f t="shared" si="61"/>
        <v>1172.5</v>
      </c>
      <c r="CF771" s="151">
        <f t="shared" si="60"/>
        <v>0</v>
      </c>
      <c r="CG771" s="75">
        <f t="shared" si="62"/>
        <v>4621</v>
      </c>
      <c r="CH771" s="69" t="str">
        <f t="shared" si="62"/>
        <v>برنامج دولى</v>
      </c>
    </row>
    <row r="772" spans="1:95" x14ac:dyDescent="0.25">
      <c r="A772" s="148"/>
      <c r="B772" s="82">
        <v>8635</v>
      </c>
      <c r="C772" s="149">
        <v>4622</v>
      </c>
      <c r="D772" s="69" t="s">
        <v>78</v>
      </c>
      <c r="E772" s="69" t="s">
        <v>3340</v>
      </c>
      <c r="F772" s="63"/>
      <c r="G772" s="69">
        <v>410.38</v>
      </c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  <c r="AD772" s="69"/>
      <c r="AE772" s="69"/>
      <c r="AF772" s="69"/>
      <c r="AG772" s="69"/>
      <c r="AH772" s="69"/>
      <c r="AI772" s="69"/>
      <c r="AJ772" s="69"/>
      <c r="AK772" s="69"/>
      <c r="AL772" s="69"/>
      <c r="AM772" s="69"/>
      <c r="AN772" s="69"/>
      <c r="AO772" s="69"/>
      <c r="AP772" s="69"/>
      <c r="AQ772" s="69"/>
      <c r="AR772" s="94">
        <f t="shared" si="59"/>
        <v>410.38</v>
      </c>
      <c r="AS772" s="69">
        <v>274.8</v>
      </c>
      <c r="AT772" s="69">
        <v>36.700000000000003</v>
      </c>
      <c r="AU772" s="69">
        <v>98.88</v>
      </c>
      <c r="AV772" s="69"/>
      <c r="AW772" s="69"/>
      <c r="AX772" s="69"/>
      <c r="AY772" s="69"/>
      <c r="AZ772" s="69"/>
      <c r="BA772" s="69"/>
      <c r="BB772" s="69"/>
      <c r="BC772" s="69"/>
      <c r="BD772" s="69"/>
      <c r="BE772" s="69"/>
      <c r="BF772" s="69"/>
      <c r="BG772" s="69"/>
      <c r="BH772" s="69"/>
      <c r="BI772" s="69"/>
      <c r="BJ772" s="69"/>
      <c r="BK772" s="69"/>
      <c r="BL772" s="69"/>
      <c r="BM772" s="69"/>
      <c r="BN772" s="69"/>
      <c r="BO772" s="69"/>
      <c r="BP772" s="69"/>
      <c r="BQ772" s="69"/>
      <c r="BR772" s="69"/>
      <c r="BS772" s="69"/>
      <c r="BT772" s="69"/>
      <c r="BU772" s="69"/>
      <c r="BV772" s="69"/>
      <c r="BW772" s="69"/>
      <c r="BX772" s="69"/>
      <c r="BY772" s="69"/>
      <c r="BZ772" s="69"/>
      <c r="CA772" s="69"/>
      <c r="CB772" s="69"/>
      <c r="CC772" s="69"/>
      <c r="CD772" s="69"/>
      <c r="CE772" s="94">
        <f t="shared" si="61"/>
        <v>410.38</v>
      </c>
      <c r="CF772" s="151">
        <f t="shared" si="60"/>
        <v>0</v>
      </c>
      <c r="CG772" s="75">
        <f t="shared" si="62"/>
        <v>4622</v>
      </c>
      <c r="CH772" s="69" t="str">
        <f t="shared" si="62"/>
        <v>برنامج دولى</v>
      </c>
    </row>
    <row r="773" spans="1:95" x14ac:dyDescent="0.25">
      <c r="A773" s="148"/>
      <c r="B773" s="82">
        <v>8636</v>
      </c>
      <c r="C773" s="149">
        <v>4623</v>
      </c>
      <c r="D773" s="69" t="s">
        <v>78</v>
      </c>
      <c r="E773" s="69" t="s">
        <v>823</v>
      </c>
      <c r="F773" s="63"/>
      <c r="G773" s="69">
        <v>351.75</v>
      </c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  <c r="AD773" s="69"/>
      <c r="AE773" s="69"/>
      <c r="AF773" s="69"/>
      <c r="AG773" s="69"/>
      <c r="AH773" s="69"/>
      <c r="AI773" s="69"/>
      <c r="AJ773" s="69"/>
      <c r="AK773" s="69"/>
      <c r="AL773" s="69"/>
      <c r="AM773" s="69"/>
      <c r="AN773" s="69"/>
      <c r="AO773" s="69"/>
      <c r="AP773" s="69"/>
      <c r="AQ773" s="69"/>
      <c r="AR773" s="94">
        <f t="shared" si="59"/>
        <v>351.75</v>
      </c>
      <c r="AS773" s="69">
        <v>235.55</v>
      </c>
      <c r="AT773" s="69">
        <v>31.45</v>
      </c>
      <c r="AU773" s="69">
        <v>84.75</v>
      </c>
      <c r="AV773" s="69"/>
      <c r="AW773" s="69"/>
      <c r="AX773" s="69"/>
      <c r="AY773" s="69"/>
      <c r="AZ773" s="69"/>
      <c r="BA773" s="69"/>
      <c r="BB773" s="69"/>
      <c r="BC773" s="69"/>
      <c r="BD773" s="69"/>
      <c r="BE773" s="69"/>
      <c r="BF773" s="69"/>
      <c r="BG773" s="69"/>
      <c r="BH773" s="69"/>
      <c r="BI773" s="69"/>
      <c r="BJ773" s="69"/>
      <c r="BK773" s="69"/>
      <c r="BL773" s="69"/>
      <c r="BM773" s="69"/>
      <c r="BN773" s="69"/>
      <c r="BO773" s="69"/>
      <c r="BP773" s="69"/>
      <c r="BQ773" s="69"/>
      <c r="BR773" s="69"/>
      <c r="BS773" s="69"/>
      <c r="BT773" s="69"/>
      <c r="BU773" s="69"/>
      <c r="BV773" s="69"/>
      <c r="BW773" s="69"/>
      <c r="BX773" s="69"/>
      <c r="BY773" s="69"/>
      <c r="BZ773" s="69"/>
      <c r="CA773" s="69"/>
      <c r="CB773" s="69"/>
      <c r="CC773" s="69"/>
      <c r="CD773" s="69"/>
      <c r="CE773" s="94">
        <f t="shared" si="61"/>
        <v>351.75</v>
      </c>
      <c r="CF773" s="151">
        <f t="shared" si="60"/>
        <v>0</v>
      </c>
      <c r="CG773" s="75">
        <f t="shared" si="62"/>
        <v>4623</v>
      </c>
      <c r="CH773" s="69" t="str">
        <f t="shared" si="62"/>
        <v>برنامج دولى</v>
      </c>
    </row>
    <row r="774" spans="1:95" x14ac:dyDescent="0.25">
      <c r="A774" s="148"/>
      <c r="B774" s="82">
        <v>8592</v>
      </c>
      <c r="C774" s="149">
        <v>4624</v>
      </c>
      <c r="D774" s="69" t="s">
        <v>78</v>
      </c>
      <c r="E774" s="69" t="str">
        <f>+E768</f>
        <v>مكافاه افتتاح مشروعات</v>
      </c>
      <c r="F774" s="63"/>
      <c r="G774" s="69">
        <v>586.25</v>
      </c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  <c r="AE774" s="69"/>
      <c r="AF774" s="69"/>
      <c r="AG774" s="69"/>
      <c r="AH774" s="69"/>
      <c r="AI774" s="69"/>
      <c r="AJ774" s="69"/>
      <c r="AK774" s="69"/>
      <c r="AL774" s="69"/>
      <c r="AM774" s="69"/>
      <c r="AN774" s="69"/>
      <c r="AO774" s="69"/>
      <c r="AP774" s="69"/>
      <c r="AQ774" s="69"/>
      <c r="AR774" s="94">
        <f t="shared" si="59"/>
        <v>586.25</v>
      </c>
      <c r="AS774" s="69">
        <v>392.4</v>
      </c>
      <c r="AT774" s="69">
        <v>52.6</v>
      </c>
      <c r="AU774" s="69">
        <v>141.25</v>
      </c>
      <c r="AV774" s="69"/>
      <c r="AW774" s="69"/>
      <c r="AX774" s="69"/>
      <c r="AY774" s="69"/>
      <c r="AZ774" s="69"/>
      <c r="BA774" s="69"/>
      <c r="BB774" s="69"/>
      <c r="BC774" s="69"/>
      <c r="BD774" s="69"/>
      <c r="BE774" s="69"/>
      <c r="BF774" s="69"/>
      <c r="BG774" s="69"/>
      <c r="BH774" s="69"/>
      <c r="BI774" s="69"/>
      <c r="BJ774" s="69"/>
      <c r="BK774" s="69"/>
      <c r="BL774" s="69"/>
      <c r="BM774" s="69"/>
      <c r="BN774" s="69"/>
      <c r="BO774" s="69"/>
      <c r="BP774" s="69"/>
      <c r="BQ774" s="69"/>
      <c r="BR774" s="69"/>
      <c r="BS774" s="69"/>
      <c r="BT774" s="69"/>
      <c r="BU774" s="69"/>
      <c r="BV774" s="69"/>
      <c r="BW774" s="69"/>
      <c r="BX774" s="69"/>
      <c r="BY774" s="69"/>
      <c r="BZ774" s="69"/>
      <c r="CA774" s="69"/>
      <c r="CB774" s="69"/>
      <c r="CC774" s="69"/>
      <c r="CD774" s="69"/>
      <c r="CE774" s="94">
        <f t="shared" si="61"/>
        <v>586.25</v>
      </c>
      <c r="CF774" s="151">
        <f t="shared" si="60"/>
        <v>0</v>
      </c>
      <c r="CG774" s="75">
        <f t="shared" si="62"/>
        <v>4624</v>
      </c>
      <c r="CH774" s="69" t="str">
        <f t="shared" si="62"/>
        <v>برنامج دولى</v>
      </c>
    </row>
    <row r="775" spans="1:95" x14ac:dyDescent="0.25">
      <c r="A775" s="148"/>
      <c r="B775" s="82">
        <v>8593</v>
      </c>
      <c r="C775" s="149">
        <v>4625</v>
      </c>
      <c r="D775" s="69" t="s">
        <v>78</v>
      </c>
      <c r="E775" s="69" t="str">
        <f>+E774</f>
        <v>مكافاه افتتاح مشروعات</v>
      </c>
      <c r="F775" s="63"/>
      <c r="G775" s="69">
        <v>4103.76</v>
      </c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  <c r="AE775" s="69"/>
      <c r="AF775" s="69"/>
      <c r="AG775" s="69"/>
      <c r="AH775" s="69"/>
      <c r="AI775" s="69"/>
      <c r="AJ775" s="69"/>
      <c r="AK775" s="69"/>
      <c r="AL775" s="69"/>
      <c r="AM775" s="69"/>
      <c r="AN775" s="69"/>
      <c r="AO775" s="69"/>
      <c r="AP775" s="69"/>
      <c r="AQ775" s="69"/>
      <c r="AR775" s="94">
        <f t="shared" si="59"/>
        <v>4103.76</v>
      </c>
      <c r="AS775" s="69">
        <v>2745.2</v>
      </c>
      <c r="AT775" s="69">
        <v>369.8</v>
      </c>
      <c r="AU775" s="69">
        <v>988.76</v>
      </c>
      <c r="AV775" s="69"/>
      <c r="AW775" s="69"/>
      <c r="AX775" s="69"/>
      <c r="AY775" s="69"/>
      <c r="AZ775" s="69"/>
      <c r="BA775" s="69"/>
      <c r="BB775" s="69"/>
      <c r="BC775" s="69"/>
      <c r="BD775" s="69"/>
      <c r="BE775" s="69"/>
      <c r="BF775" s="69"/>
      <c r="BG775" s="69"/>
      <c r="BH775" s="69"/>
      <c r="BI775" s="69"/>
      <c r="BJ775" s="69"/>
      <c r="BK775" s="69"/>
      <c r="BL775" s="69"/>
      <c r="BM775" s="69"/>
      <c r="BN775" s="69"/>
      <c r="BO775" s="69"/>
      <c r="BP775" s="69"/>
      <c r="BQ775" s="69"/>
      <c r="BR775" s="69"/>
      <c r="BS775" s="69"/>
      <c r="BT775" s="69"/>
      <c r="BU775" s="69"/>
      <c r="BV775" s="69"/>
      <c r="BW775" s="69"/>
      <c r="BX775" s="69"/>
      <c r="BY775" s="69"/>
      <c r="BZ775" s="69"/>
      <c r="CA775" s="69"/>
      <c r="CB775" s="69"/>
      <c r="CC775" s="69"/>
      <c r="CD775" s="69"/>
      <c r="CE775" s="94">
        <f t="shared" si="61"/>
        <v>4103.76</v>
      </c>
      <c r="CF775" s="151">
        <f t="shared" si="60"/>
        <v>0</v>
      </c>
      <c r="CG775" s="75">
        <f t="shared" si="62"/>
        <v>4625</v>
      </c>
      <c r="CH775" s="69" t="str">
        <f t="shared" si="62"/>
        <v>برنامج دولى</v>
      </c>
    </row>
    <row r="776" spans="1:95" x14ac:dyDescent="0.25">
      <c r="A776" s="148"/>
      <c r="B776" s="82">
        <v>8594</v>
      </c>
      <c r="C776" s="149">
        <v>4626</v>
      </c>
      <c r="D776" s="69" t="s">
        <v>78</v>
      </c>
      <c r="E776" s="69" t="str">
        <f>+E775</f>
        <v>مكافاه افتتاح مشروعات</v>
      </c>
      <c r="F776" s="63"/>
      <c r="G776" s="69">
        <v>3224.38</v>
      </c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  <c r="AE776" s="69"/>
      <c r="AF776" s="69"/>
      <c r="AG776" s="69"/>
      <c r="AH776" s="69"/>
      <c r="AI776" s="69"/>
      <c r="AJ776" s="69"/>
      <c r="AK776" s="69"/>
      <c r="AL776" s="69"/>
      <c r="AM776" s="69"/>
      <c r="AN776" s="69"/>
      <c r="AO776" s="69"/>
      <c r="AP776" s="69"/>
      <c r="AQ776" s="69"/>
      <c r="AR776" s="94">
        <f t="shared" si="59"/>
        <v>3224.38</v>
      </c>
      <c r="AS776" s="69">
        <v>2155.9</v>
      </c>
      <c r="AT776" s="69">
        <v>291.60000000000002</v>
      </c>
      <c r="AU776" s="69">
        <v>776.88</v>
      </c>
      <c r="AV776" s="69"/>
      <c r="AW776" s="69"/>
      <c r="AX776" s="69"/>
      <c r="AY776" s="69"/>
      <c r="AZ776" s="69"/>
      <c r="BA776" s="69"/>
      <c r="BB776" s="69"/>
      <c r="BC776" s="69"/>
      <c r="BD776" s="69"/>
      <c r="BE776" s="69"/>
      <c r="BF776" s="69"/>
      <c r="BG776" s="69"/>
      <c r="BH776" s="69"/>
      <c r="BI776" s="69"/>
      <c r="BJ776" s="69"/>
      <c r="BK776" s="69"/>
      <c r="BL776" s="69"/>
      <c r="BM776" s="69"/>
      <c r="BN776" s="69"/>
      <c r="BO776" s="69"/>
      <c r="BP776" s="69"/>
      <c r="BQ776" s="69"/>
      <c r="BR776" s="69"/>
      <c r="BS776" s="69"/>
      <c r="BT776" s="69"/>
      <c r="BU776" s="69"/>
      <c r="BV776" s="69"/>
      <c r="BW776" s="69"/>
      <c r="BX776" s="69"/>
      <c r="BY776" s="69"/>
      <c r="BZ776" s="69"/>
      <c r="CA776" s="69"/>
      <c r="CB776" s="69"/>
      <c r="CC776" s="69"/>
      <c r="CD776" s="69"/>
      <c r="CE776" s="94">
        <f t="shared" si="61"/>
        <v>3224.38</v>
      </c>
      <c r="CF776" s="151">
        <f t="shared" si="60"/>
        <v>0</v>
      </c>
      <c r="CG776" s="75">
        <f t="shared" si="62"/>
        <v>4626</v>
      </c>
      <c r="CH776" s="69" t="str">
        <f t="shared" si="62"/>
        <v>برنامج دولى</v>
      </c>
    </row>
    <row r="777" spans="1:95" x14ac:dyDescent="0.25">
      <c r="A777" s="148"/>
      <c r="B777" s="82">
        <v>8645</v>
      </c>
      <c r="C777" s="149">
        <v>4627</v>
      </c>
      <c r="D777" s="69" t="s">
        <v>78</v>
      </c>
      <c r="E777" s="69" t="s">
        <v>3341</v>
      </c>
      <c r="F777" s="63"/>
      <c r="G777" s="69">
        <v>24375</v>
      </c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  <c r="AE777" s="69"/>
      <c r="AF777" s="69"/>
      <c r="AG777" s="69"/>
      <c r="AH777" s="69"/>
      <c r="AI777" s="69"/>
      <c r="AJ777" s="69"/>
      <c r="AK777" s="69"/>
      <c r="AL777" s="69"/>
      <c r="AM777" s="69"/>
      <c r="AN777" s="69"/>
      <c r="AO777" s="69"/>
      <c r="AP777" s="69"/>
      <c r="AQ777" s="69"/>
      <c r="AR777" s="94">
        <f t="shared" si="59"/>
        <v>24375</v>
      </c>
      <c r="AS777" s="69">
        <v>21754.3</v>
      </c>
      <c r="AT777" s="69">
        <v>2620.6999999999998</v>
      </c>
      <c r="AU777" s="69"/>
      <c r="AV777" s="69"/>
      <c r="AW777" s="69"/>
      <c r="AX777" s="69"/>
      <c r="AY777" s="69"/>
      <c r="AZ777" s="69"/>
      <c r="BA777" s="69"/>
      <c r="BB777" s="69"/>
      <c r="BC777" s="69"/>
      <c r="BD777" s="69"/>
      <c r="BE777" s="69"/>
      <c r="BF777" s="69"/>
      <c r="BG777" s="69"/>
      <c r="BH777" s="69"/>
      <c r="BI777" s="69"/>
      <c r="BJ777" s="69"/>
      <c r="BK777" s="69"/>
      <c r="BL777" s="69"/>
      <c r="BM777" s="69"/>
      <c r="BN777" s="69"/>
      <c r="BO777" s="69"/>
      <c r="BP777" s="69"/>
      <c r="BQ777" s="69"/>
      <c r="BR777" s="69"/>
      <c r="BS777" s="69"/>
      <c r="BT777" s="69"/>
      <c r="BU777" s="69"/>
      <c r="BV777" s="69"/>
      <c r="BW777" s="69"/>
      <c r="BX777" s="69"/>
      <c r="BY777" s="69"/>
      <c r="BZ777" s="69"/>
      <c r="CA777" s="69"/>
      <c r="CB777" s="69"/>
      <c r="CC777" s="69"/>
      <c r="CD777" s="69"/>
      <c r="CE777" s="94">
        <f t="shared" si="61"/>
        <v>24375</v>
      </c>
      <c r="CF777" s="151">
        <f t="shared" si="60"/>
        <v>0</v>
      </c>
      <c r="CG777" s="75">
        <f t="shared" si="62"/>
        <v>4627</v>
      </c>
      <c r="CH777" s="69" t="str">
        <f t="shared" si="62"/>
        <v>برنامج دولى</v>
      </c>
    </row>
    <row r="778" spans="1:95" x14ac:dyDescent="0.25">
      <c r="A778" s="148"/>
      <c r="B778" s="82">
        <v>8646</v>
      </c>
      <c r="C778" s="149">
        <v>4628</v>
      </c>
      <c r="D778" s="69" t="s">
        <v>78</v>
      </c>
      <c r="E778" s="69" t="s">
        <v>3341</v>
      </c>
      <c r="F778" s="63"/>
      <c r="G778" s="69">
        <v>26250</v>
      </c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  <c r="AE778" s="69"/>
      <c r="AF778" s="69"/>
      <c r="AG778" s="69"/>
      <c r="AH778" s="69"/>
      <c r="AI778" s="69"/>
      <c r="AJ778" s="69"/>
      <c r="AK778" s="69"/>
      <c r="AL778" s="69"/>
      <c r="AM778" s="69"/>
      <c r="AN778" s="69"/>
      <c r="AO778" s="69"/>
      <c r="AP778" s="69"/>
      <c r="AQ778" s="69"/>
      <c r="AR778" s="94">
        <f t="shared" si="59"/>
        <v>26250</v>
      </c>
      <c r="AS778" s="69">
        <v>23422.45</v>
      </c>
      <c r="AT778" s="69">
        <v>2827.55</v>
      </c>
      <c r="AU778" s="69"/>
      <c r="AV778" s="69"/>
      <c r="AW778" s="69"/>
      <c r="AX778" s="69"/>
      <c r="AY778" s="69"/>
      <c r="AZ778" s="69"/>
      <c r="BA778" s="69"/>
      <c r="BB778" s="69"/>
      <c r="BC778" s="69"/>
      <c r="BD778" s="69"/>
      <c r="BE778" s="69"/>
      <c r="BF778" s="69"/>
      <c r="BG778" s="69"/>
      <c r="BH778" s="69"/>
      <c r="BI778" s="69"/>
      <c r="BJ778" s="69"/>
      <c r="BK778" s="69"/>
      <c r="BL778" s="69"/>
      <c r="BM778" s="69"/>
      <c r="BN778" s="69"/>
      <c r="BO778" s="69"/>
      <c r="BP778" s="69"/>
      <c r="BQ778" s="69"/>
      <c r="BR778" s="69"/>
      <c r="BS778" s="69"/>
      <c r="BT778" s="69"/>
      <c r="BU778" s="69"/>
      <c r="BV778" s="69"/>
      <c r="BW778" s="69"/>
      <c r="BX778" s="69"/>
      <c r="BY778" s="69"/>
      <c r="BZ778" s="69"/>
      <c r="CA778" s="69"/>
      <c r="CB778" s="69"/>
      <c r="CC778" s="69"/>
      <c r="CD778" s="69"/>
      <c r="CE778" s="94">
        <f t="shared" si="61"/>
        <v>26250</v>
      </c>
      <c r="CF778" s="151">
        <f t="shared" si="60"/>
        <v>0</v>
      </c>
      <c r="CG778" s="75">
        <f t="shared" si="62"/>
        <v>4628</v>
      </c>
      <c r="CH778" s="69" t="str">
        <f t="shared" si="62"/>
        <v>برنامج دولى</v>
      </c>
    </row>
    <row r="779" spans="1:95" x14ac:dyDescent="0.25">
      <c r="A779" s="148"/>
      <c r="B779" s="82">
        <v>8647</v>
      </c>
      <c r="C779" s="149">
        <v>4629</v>
      </c>
      <c r="D779" s="69" t="s">
        <v>78</v>
      </c>
      <c r="E779" s="69" t="s">
        <v>3342</v>
      </c>
      <c r="F779" s="63"/>
      <c r="G779" s="69">
        <v>68333.33</v>
      </c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  <c r="AE779" s="69"/>
      <c r="AF779" s="69"/>
      <c r="AG779" s="69"/>
      <c r="AH779" s="69"/>
      <c r="AI779" s="69"/>
      <c r="AJ779" s="69"/>
      <c r="AK779" s="69"/>
      <c r="AL779" s="69"/>
      <c r="AM779" s="69"/>
      <c r="AN779" s="69"/>
      <c r="AO779" s="69"/>
      <c r="AP779" s="69"/>
      <c r="AQ779" s="69"/>
      <c r="AR779" s="94">
        <f t="shared" si="59"/>
        <v>68333.33</v>
      </c>
      <c r="AS779" s="69">
        <v>60971.05</v>
      </c>
      <c r="AT779" s="69">
        <v>7362.28</v>
      </c>
      <c r="AU779" s="69"/>
      <c r="AV779" s="69"/>
      <c r="AW779" s="69"/>
      <c r="AX779" s="69"/>
      <c r="AY779" s="69"/>
      <c r="AZ779" s="69"/>
      <c r="BA779" s="69"/>
      <c r="BB779" s="69"/>
      <c r="BC779" s="69"/>
      <c r="BD779" s="69"/>
      <c r="BE779" s="69"/>
      <c r="BF779" s="69"/>
      <c r="BG779" s="69"/>
      <c r="BH779" s="69"/>
      <c r="BI779" s="69"/>
      <c r="BJ779" s="69"/>
      <c r="BK779" s="69"/>
      <c r="BL779" s="69"/>
      <c r="BM779" s="69"/>
      <c r="BN779" s="69"/>
      <c r="BO779" s="69"/>
      <c r="BP779" s="69"/>
      <c r="BQ779" s="69"/>
      <c r="BR779" s="69"/>
      <c r="BS779" s="69"/>
      <c r="BT779" s="69"/>
      <c r="BU779" s="69"/>
      <c r="BV779" s="69"/>
      <c r="BW779" s="69"/>
      <c r="BX779" s="69"/>
      <c r="BY779" s="69"/>
      <c r="BZ779" s="69"/>
      <c r="CA779" s="69"/>
      <c r="CB779" s="69"/>
      <c r="CC779" s="69"/>
      <c r="CD779" s="69"/>
      <c r="CE779" s="94">
        <f t="shared" si="61"/>
        <v>68333.33</v>
      </c>
      <c r="CF779" s="151">
        <f t="shared" si="60"/>
        <v>0</v>
      </c>
      <c r="CG779" s="75">
        <f t="shared" si="62"/>
        <v>4629</v>
      </c>
      <c r="CH779" s="69" t="str">
        <f t="shared" si="62"/>
        <v>برنامج دولى</v>
      </c>
    </row>
    <row r="780" spans="1:95" x14ac:dyDescent="0.25">
      <c r="A780" s="148"/>
      <c r="B780" s="82">
        <v>8550</v>
      </c>
      <c r="C780" s="149">
        <v>4630</v>
      </c>
      <c r="D780" s="69" t="s">
        <v>124</v>
      </c>
      <c r="E780" s="69" t="s">
        <v>3343</v>
      </c>
      <c r="F780" s="63"/>
      <c r="G780" s="69">
        <v>802.76</v>
      </c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  <c r="AE780" s="69"/>
      <c r="AF780" s="69"/>
      <c r="AG780" s="69"/>
      <c r="AH780" s="69"/>
      <c r="AI780" s="69"/>
      <c r="AJ780" s="69"/>
      <c r="AK780" s="69"/>
      <c r="AL780" s="69"/>
      <c r="AM780" s="69"/>
      <c r="AN780" s="69"/>
      <c r="AO780" s="69"/>
      <c r="AP780" s="69"/>
      <c r="AQ780" s="69"/>
      <c r="AR780" s="94">
        <f t="shared" si="59"/>
        <v>802.76</v>
      </c>
      <c r="AS780" s="69">
        <v>504.33</v>
      </c>
      <c r="AT780" s="69">
        <v>70.760000000000005</v>
      </c>
      <c r="AU780" s="69">
        <v>193.44</v>
      </c>
      <c r="AV780" s="69">
        <v>34.229999999999997</v>
      </c>
      <c r="AW780" s="69"/>
      <c r="AX780" s="69"/>
      <c r="AY780" s="69"/>
      <c r="AZ780" s="69"/>
      <c r="BA780" s="69"/>
      <c r="BB780" s="69"/>
      <c r="BC780" s="69"/>
      <c r="BD780" s="69"/>
      <c r="BE780" s="69"/>
      <c r="BF780" s="69"/>
      <c r="BG780" s="69"/>
      <c r="BH780" s="69"/>
      <c r="BI780" s="69"/>
      <c r="BJ780" s="69"/>
      <c r="BK780" s="69"/>
      <c r="BL780" s="69"/>
      <c r="BM780" s="69"/>
      <c r="BN780" s="69"/>
      <c r="BO780" s="69"/>
      <c r="BP780" s="69"/>
      <c r="BQ780" s="69"/>
      <c r="BR780" s="69"/>
      <c r="BS780" s="69"/>
      <c r="BT780" s="69"/>
      <c r="BU780" s="69"/>
      <c r="BV780" s="69"/>
      <c r="BW780" s="69"/>
      <c r="BX780" s="69"/>
      <c r="BY780" s="69"/>
      <c r="BZ780" s="69"/>
      <c r="CA780" s="69"/>
      <c r="CB780" s="69"/>
      <c r="CC780" s="69"/>
      <c r="CD780" s="69"/>
      <c r="CE780" s="94">
        <f t="shared" si="61"/>
        <v>802.76</v>
      </c>
      <c r="CF780" s="151">
        <f t="shared" si="60"/>
        <v>0</v>
      </c>
      <c r="CG780" s="75">
        <f t="shared" si="62"/>
        <v>4630</v>
      </c>
      <c r="CH780" s="69" t="str">
        <f t="shared" si="62"/>
        <v>تكافل اسنان</v>
      </c>
    </row>
    <row r="781" spans="1:95" x14ac:dyDescent="0.25">
      <c r="A781" s="148"/>
      <c r="B781" s="82">
        <v>8133</v>
      </c>
      <c r="C781" s="149">
        <v>4631</v>
      </c>
      <c r="D781" s="69" t="s">
        <v>122</v>
      </c>
      <c r="E781" s="69" t="s">
        <v>3344</v>
      </c>
      <c r="F781" s="63"/>
      <c r="G781" s="69">
        <v>480.73</v>
      </c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  <c r="AD781" s="69"/>
      <c r="AE781" s="69"/>
      <c r="AF781" s="69"/>
      <c r="AG781" s="69"/>
      <c r="AH781" s="69"/>
      <c r="AI781" s="69"/>
      <c r="AJ781" s="69"/>
      <c r="AK781" s="69"/>
      <c r="AL781" s="69"/>
      <c r="AM781" s="69"/>
      <c r="AN781" s="69"/>
      <c r="AO781" s="69"/>
      <c r="AP781" s="69"/>
      <c r="AQ781" s="69"/>
      <c r="AR781" s="94">
        <f t="shared" si="59"/>
        <v>480.73</v>
      </c>
      <c r="AS781" s="69">
        <v>301.5</v>
      </c>
      <c r="AT781" s="69">
        <f>1.9+41</f>
        <v>42.9</v>
      </c>
      <c r="AU781" s="69">
        <v>115.83</v>
      </c>
      <c r="AV781" s="69">
        <v>20.5</v>
      </c>
      <c r="AW781" s="69"/>
      <c r="AX781" s="69"/>
      <c r="AY781" s="69"/>
      <c r="AZ781" s="69"/>
      <c r="BA781" s="69"/>
      <c r="BB781" s="69"/>
      <c r="BC781" s="69"/>
      <c r="BD781" s="69"/>
      <c r="BE781" s="69"/>
      <c r="BF781" s="69"/>
      <c r="BG781" s="69"/>
      <c r="BH781" s="69"/>
      <c r="BI781" s="69"/>
      <c r="BJ781" s="69"/>
      <c r="BK781" s="69"/>
      <c r="BL781" s="69"/>
      <c r="BM781" s="69"/>
      <c r="BN781" s="69"/>
      <c r="BO781" s="69"/>
      <c r="BP781" s="69"/>
      <c r="BQ781" s="69"/>
      <c r="BR781" s="69"/>
      <c r="BS781" s="69"/>
      <c r="BT781" s="69"/>
      <c r="BU781" s="69"/>
      <c r="BV781" s="69"/>
      <c r="BW781" s="69"/>
      <c r="BX781" s="69"/>
      <c r="BY781" s="69"/>
      <c r="BZ781" s="69"/>
      <c r="CA781" s="69"/>
      <c r="CB781" s="69"/>
      <c r="CC781" s="69"/>
      <c r="CD781" s="69"/>
      <c r="CE781" s="94">
        <f t="shared" si="61"/>
        <v>480.72999999999996</v>
      </c>
      <c r="CF781" s="151">
        <f t="shared" si="60"/>
        <v>0</v>
      </c>
      <c r="CG781" s="75">
        <f t="shared" si="62"/>
        <v>4631</v>
      </c>
      <c r="CH781" s="69" t="str">
        <f t="shared" si="62"/>
        <v>علاج تخصصى</v>
      </c>
    </row>
    <row r="782" spans="1:95" ht="36" x14ac:dyDescent="0.25">
      <c r="A782" s="148"/>
      <c r="B782" s="82">
        <v>8409</v>
      </c>
      <c r="C782" s="149">
        <v>4632</v>
      </c>
      <c r="D782" s="69"/>
      <c r="E782" s="77" t="s">
        <v>3345</v>
      </c>
      <c r="F782" s="63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  <c r="AD782" s="69">
        <v>51057.48</v>
      </c>
      <c r="AE782" s="69"/>
      <c r="AF782" s="69"/>
      <c r="AG782" s="69"/>
      <c r="AH782" s="69"/>
      <c r="AI782" s="69"/>
      <c r="AJ782" s="69"/>
      <c r="AK782" s="69"/>
      <c r="AL782" s="69"/>
      <c r="AM782" s="69"/>
      <c r="AN782" s="69"/>
      <c r="AO782" s="69"/>
      <c r="AP782" s="69"/>
      <c r="AQ782" s="69"/>
      <c r="AR782" s="94">
        <f t="shared" si="59"/>
        <v>51057.48</v>
      </c>
      <c r="AS782" s="69">
        <v>51057.48</v>
      </c>
      <c r="AT782" s="69"/>
      <c r="AU782" s="69"/>
      <c r="AV782" s="69"/>
      <c r="AW782" s="69"/>
      <c r="AX782" s="69"/>
      <c r="AY782" s="69"/>
      <c r="AZ782" s="69"/>
      <c r="BA782" s="69"/>
      <c r="BB782" s="69"/>
      <c r="BC782" s="69"/>
      <c r="BD782" s="69"/>
      <c r="BE782" s="69"/>
      <c r="BF782" s="69"/>
      <c r="BG782" s="69"/>
      <c r="BH782" s="69"/>
      <c r="BI782" s="69"/>
      <c r="BJ782" s="69"/>
      <c r="BK782" s="69"/>
      <c r="BL782" s="69"/>
      <c r="BM782" s="69"/>
      <c r="BN782" s="69"/>
      <c r="BO782" s="69"/>
      <c r="BP782" s="69"/>
      <c r="BQ782" s="69"/>
      <c r="BR782" s="69"/>
      <c r="BS782" s="69"/>
      <c r="BT782" s="69"/>
      <c r="BU782" s="69"/>
      <c r="BV782" s="69"/>
      <c r="BW782" s="69"/>
      <c r="BX782" s="69"/>
      <c r="BY782" s="69"/>
      <c r="BZ782" s="69"/>
      <c r="CA782" s="69"/>
      <c r="CB782" s="69"/>
      <c r="CC782" s="69"/>
      <c r="CD782" s="69"/>
      <c r="CE782" s="94">
        <f t="shared" ref="CE782:CE893" si="63">SUM(AS782:CD782)</f>
        <v>51057.48</v>
      </c>
      <c r="CF782" s="151">
        <f t="shared" si="60"/>
        <v>0</v>
      </c>
      <c r="CG782" s="75">
        <f t="shared" si="62"/>
        <v>4632</v>
      </c>
      <c r="CH782" s="69">
        <f t="shared" si="62"/>
        <v>0</v>
      </c>
    </row>
    <row r="783" spans="1:95" s="156" customFormat="1" x14ac:dyDescent="0.25">
      <c r="A783" s="153"/>
      <c r="B783" s="83"/>
      <c r="C783" s="154"/>
      <c r="D783" s="69"/>
      <c r="E783" s="68" t="s">
        <v>3346</v>
      </c>
      <c r="F783" s="68"/>
      <c r="G783" s="68">
        <f>SUM(G534:G782)</f>
        <v>2131706.3899999987</v>
      </c>
      <c r="H783" s="68">
        <f t="shared" ref="H783:BV783" si="64">SUM(H534:H782)</f>
        <v>258448.5</v>
      </c>
      <c r="I783" s="68">
        <f t="shared" si="64"/>
        <v>0</v>
      </c>
      <c r="J783" s="68">
        <f t="shared" si="64"/>
        <v>0</v>
      </c>
      <c r="K783" s="68">
        <f t="shared" si="64"/>
        <v>0</v>
      </c>
      <c r="L783" s="68">
        <f t="shared" si="64"/>
        <v>0</v>
      </c>
      <c r="M783" s="68">
        <f t="shared" si="64"/>
        <v>0</v>
      </c>
      <c r="N783" s="68">
        <f t="shared" si="64"/>
        <v>0</v>
      </c>
      <c r="O783" s="68"/>
      <c r="P783" s="68">
        <f t="shared" si="64"/>
        <v>0</v>
      </c>
      <c r="Q783" s="68">
        <f t="shared" si="64"/>
        <v>0</v>
      </c>
      <c r="R783" s="68">
        <f t="shared" si="64"/>
        <v>4766.5</v>
      </c>
      <c r="S783" s="68">
        <f t="shared" si="64"/>
        <v>0</v>
      </c>
      <c r="T783" s="68">
        <f t="shared" si="64"/>
        <v>0</v>
      </c>
      <c r="U783" s="68">
        <f t="shared" si="64"/>
        <v>0</v>
      </c>
      <c r="V783" s="68">
        <f t="shared" si="64"/>
        <v>0</v>
      </c>
      <c r="W783" s="68">
        <f t="shared" si="64"/>
        <v>0</v>
      </c>
      <c r="X783" s="68">
        <f t="shared" si="64"/>
        <v>5575</v>
      </c>
      <c r="Y783" s="68">
        <f t="shared" si="64"/>
        <v>0</v>
      </c>
      <c r="Z783" s="68">
        <f t="shared" si="64"/>
        <v>0</v>
      </c>
      <c r="AA783" s="68">
        <f t="shared" si="64"/>
        <v>0</v>
      </c>
      <c r="AB783" s="68">
        <f t="shared" si="64"/>
        <v>1379000</v>
      </c>
      <c r="AC783" s="68">
        <f t="shared" si="64"/>
        <v>0</v>
      </c>
      <c r="AD783" s="68">
        <f t="shared" si="64"/>
        <v>51057.48</v>
      </c>
      <c r="AE783" s="68">
        <f t="shared" si="64"/>
        <v>0</v>
      </c>
      <c r="AF783" s="68">
        <f t="shared" si="64"/>
        <v>0</v>
      </c>
      <c r="AG783" s="68">
        <f t="shared" si="64"/>
        <v>0</v>
      </c>
      <c r="AH783" s="68">
        <f t="shared" si="64"/>
        <v>0</v>
      </c>
      <c r="AI783" s="68">
        <f t="shared" si="64"/>
        <v>0</v>
      </c>
      <c r="AJ783" s="68">
        <f t="shared" si="64"/>
        <v>0</v>
      </c>
      <c r="AK783" s="68">
        <f t="shared" si="64"/>
        <v>0</v>
      </c>
      <c r="AL783" s="68">
        <f t="shared" si="64"/>
        <v>0</v>
      </c>
      <c r="AM783" s="68">
        <f t="shared" si="64"/>
        <v>0</v>
      </c>
      <c r="AN783" s="68">
        <f t="shared" si="64"/>
        <v>0</v>
      </c>
      <c r="AO783" s="68">
        <f t="shared" si="64"/>
        <v>0</v>
      </c>
      <c r="AP783" s="68">
        <f t="shared" si="64"/>
        <v>1125000</v>
      </c>
      <c r="AQ783" s="68">
        <f t="shared" si="64"/>
        <v>0</v>
      </c>
      <c r="AR783" s="94">
        <f t="shared" si="59"/>
        <v>4955553.8699999992</v>
      </c>
      <c r="AS783" s="68">
        <f t="shared" si="64"/>
        <v>3076017.4500000016</v>
      </c>
      <c r="AT783" s="68">
        <f t="shared" si="64"/>
        <v>205874.50999999992</v>
      </c>
      <c r="AU783" s="68">
        <f t="shared" si="64"/>
        <v>278261.86999999994</v>
      </c>
      <c r="AV783" s="68">
        <f t="shared" si="64"/>
        <v>16329.689999999997</v>
      </c>
      <c r="AW783" s="68">
        <f t="shared" si="64"/>
        <v>0</v>
      </c>
      <c r="AX783" s="68">
        <f t="shared" si="64"/>
        <v>0</v>
      </c>
      <c r="AY783" s="68">
        <f t="shared" si="64"/>
        <v>0</v>
      </c>
      <c r="AZ783" s="68">
        <f t="shared" si="64"/>
        <v>0</v>
      </c>
      <c r="BA783" s="68">
        <f t="shared" si="64"/>
        <v>0</v>
      </c>
      <c r="BB783" s="68">
        <f t="shared" si="64"/>
        <v>0</v>
      </c>
      <c r="BC783" s="68">
        <f t="shared" si="64"/>
        <v>0</v>
      </c>
      <c r="BD783" s="68">
        <f t="shared" si="64"/>
        <v>0</v>
      </c>
      <c r="BE783" s="68"/>
      <c r="BF783" s="68">
        <f t="shared" si="64"/>
        <v>0</v>
      </c>
      <c r="BG783" s="68">
        <f t="shared" si="64"/>
        <v>26.35</v>
      </c>
      <c r="BH783" s="68">
        <f t="shared" si="64"/>
        <v>36</v>
      </c>
      <c r="BI783" s="68">
        <f t="shared" si="64"/>
        <v>8</v>
      </c>
      <c r="BJ783" s="68">
        <f t="shared" si="64"/>
        <v>0</v>
      </c>
      <c r="BK783" s="68">
        <f t="shared" si="64"/>
        <v>0</v>
      </c>
      <c r="BL783" s="68">
        <f t="shared" si="64"/>
        <v>0</v>
      </c>
      <c r="BM783" s="68">
        <f t="shared" si="64"/>
        <v>0</v>
      </c>
      <c r="BN783" s="68">
        <f t="shared" si="64"/>
        <v>0</v>
      </c>
      <c r="BO783" s="68"/>
      <c r="BP783" s="68">
        <f t="shared" si="64"/>
        <v>0</v>
      </c>
      <c r="BQ783" s="68">
        <f t="shared" si="64"/>
        <v>0</v>
      </c>
      <c r="BR783" s="68">
        <f t="shared" si="64"/>
        <v>0</v>
      </c>
      <c r="BS783" s="68">
        <f t="shared" si="64"/>
        <v>1379000</v>
      </c>
      <c r="BT783" s="68">
        <f t="shared" si="64"/>
        <v>0</v>
      </c>
      <c r="BU783" s="68">
        <f t="shared" si="64"/>
        <v>0</v>
      </c>
      <c r="BV783" s="68">
        <f t="shared" si="64"/>
        <v>0</v>
      </c>
      <c r="BW783" s="68">
        <f t="shared" ref="BW783:CQ783" si="65">SUM(BW534:BW782)</f>
        <v>0</v>
      </c>
      <c r="BX783" s="68">
        <f t="shared" si="65"/>
        <v>0</v>
      </c>
      <c r="BY783" s="68">
        <f t="shared" si="65"/>
        <v>0</v>
      </c>
      <c r="BZ783" s="68">
        <f t="shared" si="65"/>
        <v>0</v>
      </c>
      <c r="CA783" s="68">
        <f t="shared" si="65"/>
        <v>0</v>
      </c>
      <c r="CB783" s="68">
        <f t="shared" si="65"/>
        <v>0</v>
      </c>
      <c r="CC783" s="68">
        <f t="shared" si="65"/>
        <v>0</v>
      </c>
      <c r="CD783" s="68">
        <f t="shared" si="65"/>
        <v>0</v>
      </c>
      <c r="CE783" s="94">
        <f t="shared" ref="CE783:CE830" si="66">SUM(AS783:CD783)</f>
        <v>4955553.870000001</v>
      </c>
      <c r="CF783" s="151">
        <f t="shared" si="60"/>
        <v>0</v>
      </c>
      <c r="CG783" s="75">
        <f t="shared" si="62"/>
        <v>0</v>
      </c>
      <c r="CH783" s="69">
        <f t="shared" si="62"/>
        <v>0</v>
      </c>
      <c r="CI783" s="68">
        <f t="shared" si="65"/>
        <v>0</v>
      </c>
      <c r="CJ783" s="68">
        <f t="shared" si="65"/>
        <v>0</v>
      </c>
      <c r="CK783" s="68">
        <f t="shared" si="65"/>
        <v>0</v>
      </c>
      <c r="CL783" s="68">
        <f t="shared" si="65"/>
        <v>0</v>
      </c>
      <c r="CM783" s="68">
        <f t="shared" si="65"/>
        <v>0</v>
      </c>
      <c r="CN783" s="68">
        <f t="shared" si="65"/>
        <v>0</v>
      </c>
      <c r="CO783" s="68">
        <f t="shared" si="65"/>
        <v>0</v>
      </c>
      <c r="CP783" s="68">
        <f t="shared" si="65"/>
        <v>0</v>
      </c>
      <c r="CQ783" s="68">
        <f t="shared" si="65"/>
        <v>0</v>
      </c>
    </row>
    <row r="784" spans="1:95" x14ac:dyDescent="0.25">
      <c r="A784" s="148"/>
      <c r="B784" s="82">
        <v>3810</v>
      </c>
      <c r="C784" s="160">
        <v>4633</v>
      </c>
      <c r="D784" s="69" t="s">
        <v>78</v>
      </c>
      <c r="E784" s="69" t="s">
        <v>3347</v>
      </c>
      <c r="F784" s="69" t="s">
        <v>220</v>
      </c>
      <c r="G784" s="69">
        <v>5261.76</v>
      </c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  <c r="AD784" s="69"/>
      <c r="AE784" s="69"/>
      <c r="AF784" s="69"/>
      <c r="AG784" s="69"/>
      <c r="AH784" s="69"/>
      <c r="AI784" s="69"/>
      <c r="AJ784" s="69"/>
      <c r="AK784" s="69"/>
      <c r="AL784" s="69"/>
      <c r="AM784" s="69"/>
      <c r="AN784" s="69"/>
      <c r="AO784" s="69"/>
      <c r="AP784" s="69"/>
      <c r="AQ784" s="69"/>
      <c r="AR784" s="94">
        <f t="shared" si="59"/>
        <v>5261.76</v>
      </c>
      <c r="AS784" s="69">
        <v>3937.7</v>
      </c>
      <c r="AT784" s="69">
        <f>21.44+29.6</f>
        <v>51.040000000000006</v>
      </c>
      <c r="AU784" s="69">
        <f>1088.27+179.51</f>
        <v>1267.78</v>
      </c>
      <c r="AV784" s="69">
        <f>3+2.24</f>
        <v>5.24</v>
      </c>
      <c r="AW784" s="69"/>
      <c r="AX784" s="69"/>
      <c r="AY784" s="69"/>
      <c r="AZ784" s="69"/>
      <c r="BA784" s="69"/>
      <c r="BB784" s="69"/>
      <c r="BC784" s="69"/>
      <c r="BD784" s="69"/>
      <c r="BE784" s="69"/>
      <c r="BF784" s="69"/>
      <c r="BG784" s="69"/>
      <c r="BH784" s="69"/>
      <c r="BI784" s="69"/>
      <c r="BJ784" s="69"/>
      <c r="BK784" s="69"/>
      <c r="BL784" s="69"/>
      <c r="BM784" s="69"/>
      <c r="BN784" s="69"/>
      <c r="BO784" s="69"/>
      <c r="BP784" s="69"/>
      <c r="BQ784" s="69"/>
      <c r="BR784" s="69"/>
      <c r="BS784" s="69"/>
      <c r="BT784" s="69"/>
      <c r="BU784" s="69"/>
      <c r="BV784" s="69"/>
      <c r="BW784" s="69"/>
      <c r="BX784" s="69"/>
      <c r="BY784" s="69"/>
      <c r="BZ784" s="69"/>
      <c r="CA784" s="69"/>
      <c r="CB784" s="69"/>
      <c r="CC784" s="69"/>
      <c r="CD784" s="69"/>
      <c r="CE784" s="94">
        <f t="shared" si="66"/>
        <v>5261.7599999999993</v>
      </c>
      <c r="CF784" s="151">
        <f t="shared" si="60"/>
        <v>0</v>
      </c>
      <c r="CG784" s="75">
        <f t="shared" ref="CG784:CH830" si="67">+C784</f>
        <v>4633</v>
      </c>
      <c r="CH784" s="69" t="str">
        <f t="shared" si="67"/>
        <v>برنامج دولى</v>
      </c>
    </row>
    <row r="785" spans="1:86" x14ac:dyDescent="0.25">
      <c r="A785" s="148"/>
      <c r="B785" s="82">
        <v>3812</v>
      </c>
      <c r="C785" s="160">
        <v>4634</v>
      </c>
      <c r="D785" s="69" t="s">
        <v>78</v>
      </c>
      <c r="E785" s="69" t="s">
        <v>3347</v>
      </c>
      <c r="F785" s="69" t="s">
        <v>220</v>
      </c>
      <c r="G785" s="69">
        <v>10484.89</v>
      </c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  <c r="AD785" s="69"/>
      <c r="AE785" s="69"/>
      <c r="AF785" s="69"/>
      <c r="AG785" s="69"/>
      <c r="AH785" s="69"/>
      <c r="AI785" s="69"/>
      <c r="AJ785" s="69"/>
      <c r="AK785" s="69"/>
      <c r="AL785" s="69"/>
      <c r="AM785" s="69"/>
      <c r="AN785" s="69"/>
      <c r="AO785" s="69"/>
      <c r="AP785" s="69"/>
      <c r="AQ785" s="69"/>
      <c r="AR785" s="94">
        <f t="shared" si="59"/>
        <v>10484.89</v>
      </c>
      <c r="AS785" s="69">
        <v>7755.22</v>
      </c>
      <c r="AT785" s="69">
        <f>39.97+59</f>
        <v>98.97</v>
      </c>
      <c r="AU785" s="69">
        <f>2168.53+357.7</f>
        <v>2526.23</v>
      </c>
      <c r="AV785" s="69">
        <f>100+4.47</f>
        <v>104.47</v>
      </c>
      <c r="AW785" s="69"/>
      <c r="AX785" s="69"/>
      <c r="AY785" s="69"/>
      <c r="AZ785" s="69"/>
      <c r="BA785" s="69"/>
      <c r="BB785" s="69"/>
      <c r="BC785" s="69"/>
      <c r="BD785" s="69"/>
      <c r="BE785" s="69"/>
      <c r="BF785" s="69"/>
      <c r="BG785" s="69"/>
      <c r="BH785" s="69"/>
      <c r="BI785" s="69"/>
      <c r="BJ785" s="69"/>
      <c r="BK785" s="69"/>
      <c r="BL785" s="69"/>
      <c r="BM785" s="69"/>
      <c r="BN785" s="69"/>
      <c r="BO785" s="69"/>
      <c r="BP785" s="69"/>
      <c r="BQ785" s="69"/>
      <c r="BR785" s="69"/>
      <c r="BS785" s="69"/>
      <c r="BT785" s="69"/>
      <c r="BU785" s="69"/>
      <c r="BV785" s="69"/>
      <c r="BW785" s="69"/>
      <c r="BX785" s="69"/>
      <c r="BY785" s="69"/>
      <c r="BZ785" s="69"/>
      <c r="CA785" s="69"/>
      <c r="CB785" s="69"/>
      <c r="CC785" s="69"/>
      <c r="CD785" s="69"/>
      <c r="CE785" s="94">
        <f t="shared" si="66"/>
        <v>10484.89</v>
      </c>
      <c r="CF785" s="151">
        <f t="shared" si="60"/>
        <v>0</v>
      </c>
      <c r="CG785" s="75">
        <f t="shared" si="67"/>
        <v>4634</v>
      </c>
      <c r="CH785" s="69" t="str">
        <f t="shared" si="67"/>
        <v>برنامج دولى</v>
      </c>
    </row>
    <row r="786" spans="1:86" x14ac:dyDescent="0.25">
      <c r="A786" s="148"/>
      <c r="B786" s="82">
        <v>3814</v>
      </c>
      <c r="C786" s="160">
        <v>4635</v>
      </c>
      <c r="D786" s="69" t="s">
        <v>78</v>
      </c>
      <c r="E786" s="69" t="s">
        <v>3347</v>
      </c>
      <c r="F786" s="69" t="s">
        <v>220</v>
      </c>
      <c r="G786" s="69">
        <v>5261.76</v>
      </c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  <c r="AD786" s="69"/>
      <c r="AE786" s="69"/>
      <c r="AF786" s="69"/>
      <c r="AG786" s="69"/>
      <c r="AH786" s="69"/>
      <c r="AI786" s="69"/>
      <c r="AJ786" s="69"/>
      <c r="AK786" s="69"/>
      <c r="AL786" s="69"/>
      <c r="AM786" s="69"/>
      <c r="AN786" s="69"/>
      <c r="AO786" s="69"/>
      <c r="AP786" s="69"/>
      <c r="AQ786" s="69"/>
      <c r="AR786" s="94">
        <f t="shared" si="59"/>
        <v>5261.76</v>
      </c>
      <c r="AS786" s="69">
        <v>3891.7</v>
      </c>
      <c r="AT786" s="69">
        <f>21.44+29.6</f>
        <v>51.040000000000006</v>
      </c>
      <c r="AU786" s="69">
        <f>1088.27+179.51</f>
        <v>1267.78</v>
      </c>
      <c r="AV786" s="69">
        <f>49+2.24</f>
        <v>51.24</v>
      </c>
      <c r="AW786" s="69"/>
      <c r="AX786" s="69"/>
      <c r="AY786" s="69"/>
      <c r="AZ786" s="69"/>
      <c r="BA786" s="69"/>
      <c r="BB786" s="69"/>
      <c r="BC786" s="69"/>
      <c r="BD786" s="69"/>
      <c r="BE786" s="69"/>
      <c r="BF786" s="69"/>
      <c r="BG786" s="69"/>
      <c r="BH786" s="69"/>
      <c r="BI786" s="69"/>
      <c r="BJ786" s="69"/>
      <c r="BK786" s="69"/>
      <c r="BL786" s="69"/>
      <c r="BM786" s="69"/>
      <c r="BN786" s="69"/>
      <c r="BO786" s="69"/>
      <c r="BP786" s="69"/>
      <c r="BQ786" s="69"/>
      <c r="BR786" s="69"/>
      <c r="BS786" s="69"/>
      <c r="BT786" s="69"/>
      <c r="BU786" s="69"/>
      <c r="BV786" s="69"/>
      <c r="BW786" s="69"/>
      <c r="BX786" s="69"/>
      <c r="BY786" s="69"/>
      <c r="BZ786" s="69"/>
      <c r="CA786" s="69"/>
      <c r="CB786" s="69"/>
      <c r="CC786" s="69"/>
      <c r="CD786" s="69"/>
      <c r="CE786" s="94">
        <f t="shared" si="66"/>
        <v>5261.7599999999993</v>
      </c>
      <c r="CF786" s="151">
        <f t="shared" si="60"/>
        <v>0</v>
      </c>
      <c r="CG786" s="75">
        <f t="shared" si="67"/>
        <v>4635</v>
      </c>
      <c r="CH786" s="69" t="str">
        <f t="shared" si="67"/>
        <v>برنامج دولى</v>
      </c>
    </row>
    <row r="787" spans="1:86" x14ac:dyDescent="0.25">
      <c r="A787" s="148"/>
      <c r="B787" s="82">
        <v>3811</v>
      </c>
      <c r="C787" s="160">
        <v>4636</v>
      </c>
      <c r="D787" s="69" t="s">
        <v>78</v>
      </c>
      <c r="E787" s="69" t="s">
        <v>3347</v>
      </c>
      <c r="F787" s="69" t="s">
        <v>220</v>
      </c>
      <c r="G787" s="69">
        <v>11102.78</v>
      </c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  <c r="AD787" s="69"/>
      <c r="AE787" s="69"/>
      <c r="AF787" s="69"/>
      <c r="AG787" s="69"/>
      <c r="AH787" s="69"/>
      <c r="AI787" s="69"/>
      <c r="AJ787" s="69"/>
      <c r="AK787" s="69"/>
      <c r="AL787" s="69"/>
      <c r="AM787" s="69"/>
      <c r="AN787" s="69"/>
      <c r="AO787" s="69"/>
      <c r="AP787" s="69"/>
      <c r="AQ787" s="69"/>
      <c r="AR787" s="94">
        <f t="shared" si="59"/>
        <v>11102.78</v>
      </c>
      <c r="AS787" s="69">
        <v>8267.92</v>
      </c>
      <c r="AT787" s="69">
        <f>86.52+62.5</f>
        <v>149.01999999999998</v>
      </c>
      <c r="AU787" s="69">
        <f>2296.32+378.78</f>
        <v>2675.1000000000004</v>
      </c>
      <c r="AV787" s="69">
        <f>6+4.74</f>
        <v>10.74</v>
      </c>
      <c r="AW787" s="69"/>
      <c r="AX787" s="69"/>
      <c r="AY787" s="69"/>
      <c r="AZ787" s="69"/>
      <c r="BA787" s="69"/>
      <c r="BB787" s="69"/>
      <c r="BC787" s="69"/>
      <c r="BD787" s="69"/>
      <c r="BE787" s="69"/>
      <c r="BF787" s="69"/>
      <c r="BG787" s="69"/>
      <c r="BH787" s="69"/>
      <c r="BI787" s="69"/>
      <c r="BJ787" s="69"/>
      <c r="BK787" s="69"/>
      <c r="BL787" s="69"/>
      <c r="BM787" s="69"/>
      <c r="BN787" s="69"/>
      <c r="BO787" s="69"/>
      <c r="BP787" s="69"/>
      <c r="BQ787" s="69"/>
      <c r="BR787" s="69"/>
      <c r="BS787" s="69"/>
      <c r="BT787" s="69"/>
      <c r="BU787" s="69"/>
      <c r="BV787" s="69"/>
      <c r="BW787" s="69"/>
      <c r="BX787" s="69"/>
      <c r="BY787" s="69"/>
      <c r="BZ787" s="69"/>
      <c r="CA787" s="69"/>
      <c r="CB787" s="69"/>
      <c r="CC787" s="69"/>
      <c r="CD787" s="69"/>
      <c r="CE787" s="94">
        <f t="shared" si="66"/>
        <v>11102.78</v>
      </c>
      <c r="CF787" s="151">
        <f t="shared" si="60"/>
        <v>0</v>
      </c>
      <c r="CG787" s="75">
        <f t="shared" si="67"/>
        <v>4636</v>
      </c>
      <c r="CH787" s="69" t="str">
        <f t="shared" si="67"/>
        <v>برنامج دولى</v>
      </c>
    </row>
    <row r="788" spans="1:86" x14ac:dyDescent="0.25">
      <c r="A788" s="148"/>
      <c r="B788" s="82">
        <v>3813</v>
      </c>
      <c r="C788" s="160">
        <v>4637</v>
      </c>
      <c r="D788" s="69" t="s">
        <v>78</v>
      </c>
      <c r="E788" s="69" t="s">
        <v>3347</v>
      </c>
      <c r="F788" s="69" t="s">
        <v>220</v>
      </c>
      <c r="G788" s="69">
        <v>5626.82</v>
      </c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  <c r="AD788" s="69"/>
      <c r="AE788" s="69"/>
      <c r="AF788" s="69"/>
      <c r="AG788" s="69"/>
      <c r="AH788" s="69"/>
      <c r="AI788" s="69"/>
      <c r="AJ788" s="69"/>
      <c r="AK788" s="69"/>
      <c r="AL788" s="69"/>
      <c r="AM788" s="69"/>
      <c r="AN788" s="69"/>
      <c r="AO788" s="69"/>
      <c r="AP788" s="69"/>
      <c r="AQ788" s="69"/>
      <c r="AR788" s="94">
        <f t="shared" si="59"/>
        <v>5626.82</v>
      </c>
      <c r="AS788" s="69">
        <v>4185.0600000000004</v>
      </c>
      <c r="AT788" s="69">
        <f>48.94+31.7</f>
        <v>80.64</v>
      </c>
      <c r="AU788" s="69">
        <f>1163.76+191.96</f>
        <v>1355.72</v>
      </c>
      <c r="AV788" s="69">
        <f>3+2.4</f>
        <v>5.4</v>
      </c>
      <c r="AW788" s="69"/>
      <c r="AX788" s="69"/>
      <c r="AY788" s="69"/>
      <c r="AZ788" s="69"/>
      <c r="BA788" s="69"/>
      <c r="BB788" s="69"/>
      <c r="BC788" s="69"/>
      <c r="BD788" s="69"/>
      <c r="BE788" s="69"/>
      <c r="BF788" s="69"/>
      <c r="BG788" s="69"/>
      <c r="BH788" s="69"/>
      <c r="BI788" s="69"/>
      <c r="BJ788" s="69"/>
      <c r="BK788" s="69"/>
      <c r="BL788" s="69"/>
      <c r="BM788" s="69"/>
      <c r="BN788" s="69"/>
      <c r="BO788" s="69"/>
      <c r="BP788" s="69"/>
      <c r="BQ788" s="69"/>
      <c r="BR788" s="69"/>
      <c r="BS788" s="69"/>
      <c r="BT788" s="69"/>
      <c r="BU788" s="69"/>
      <c r="BV788" s="69"/>
      <c r="BW788" s="69"/>
      <c r="BX788" s="69"/>
      <c r="BY788" s="69"/>
      <c r="BZ788" s="69"/>
      <c r="CA788" s="69"/>
      <c r="CB788" s="69"/>
      <c r="CC788" s="69"/>
      <c r="CD788" s="69"/>
      <c r="CE788" s="94">
        <f t="shared" si="66"/>
        <v>5626.8200000000006</v>
      </c>
      <c r="CF788" s="151">
        <f t="shared" si="60"/>
        <v>0</v>
      </c>
      <c r="CG788" s="75">
        <f t="shared" si="67"/>
        <v>4637</v>
      </c>
      <c r="CH788" s="69" t="str">
        <f t="shared" si="67"/>
        <v>برنامج دولى</v>
      </c>
    </row>
    <row r="789" spans="1:86" x14ac:dyDescent="0.25">
      <c r="A789" s="148"/>
      <c r="B789" s="82">
        <v>3815</v>
      </c>
      <c r="C789" s="160">
        <v>4638</v>
      </c>
      <c r="D789" s="69" t="s">
        <v>78</v>
      </c>
      <c r="E789" s="69" t="s">
        <v>3347</v>
      </c>
      <c r="F789" s="69" t="s">
        <v>220</v>
      </c>
      <c r="G789" s="69">
        <v>5223.13</v>
      </c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  <c r="AD789" s="69"/>
      <c r="AE789" s="69"/>
      <c r="AF789" s="69"/>
      <c r="AG789" s="69"/>
      <c r="AH789" s="69"/>
      <c r="AI789" s="69"/>
      <c r="AJ789" s="69"/>
      <c r="AK789" s="69"/>
      <c r="AL789" s="69"/>
      <c r="AM789" s="69"/>
      <c r="AN789" s="69"/>
      <c r="AO789" s="69"/>
      <c r="AP789" s="69"/>
      <c r="AQ789" s="69"/>
      <c r="AR789" s="94">
        <f t="shared" si="59"/>
        <v>5223.13</v>
      </c>
      <c r="AS789" s="69">
        <v>3911.52</v>
      </c>
      <c r="AT789" s="69">
        <f>18.53+29.4</f>
        <v>47.93</v>
      </c>
      <c r="AU789" s="69">
        <f>1080.26+178.19</f>
        <v>1258.45</v>
      </c>
      <c r="AV789" s="69">
        <f>3+2.23</f>
        <v>5.23</v>
      </c>
      <c r="AW789" s="69"/>
      <c r="AX789" s="69"/>
      <c r="AY789" s="69"/>
      <c r="AZ789" s="69"/>
      <c r="BA789" s="69"/>
      <c r="BB789" s="69"/>
      <c r="BC789" s="69"/>
      <c r="BD789" s="69"/>
      <c r="BE789" s="69"/>
      <c r="BF789" s="69"/>
      <c r="BG789" s="69"/>
      <c r="BH789" s="69"/>
      <c r="BI789" s="69"/>
      <c r="BJ789" s="69"/>
      <c r="BK789" s="69"/>
      <c r="BL789" s="69"/>
      <c r="BM789" s="69"/>
      <c r="BN789" s="69"/>
      <c r="BO789" s="69"/>
      <c r="BP789" s="69"/>
      <c r="BQ789" s="69"/>
      <c r="BR789" s="69"/>
      <c r="BS789" s="69"/>
      <c r="BT789" s="69"/>
      <c r="BU789" s="69"/>
      <c r="BV789" s="69"/>
      <c r="BW789" s="69"/>
      <c r="BX789" s="69"/>
      <c r="BY789" s="69"/>
      <c r="BZ789" s="69"/>
      <c r="CA789" s="69"/>
      <c r="CB789" s="69"/>
      <c r="CC789" s="69"/>
      <c r="CD789" s="69"/>
      <c r="CE789" s="94">
        <f t="shared" si="66"/>
        <v>5223.1299999999992</v>
      </c>
      <c r="CF789" s="151">
        <f t="shared" si="60"/>
        <v>0</v>
      </c>
      <c r="CG789" s="75">
        <f t="shared" si="67"/>
        <v>4638</v>
      </c>
      <c r="CH789" s="69" t="str">
        <f t="shared" si="67"/>
        <v>برنامج دولى</v>
      </c>
    </row>
    <row r="790" spans="1:86" x14ac:dyDescent="0.25">
      <c r="A790" s="148"/>
      <c r="B790" s="82">
        <v>3817</v>
      </c>
      <c r="C790" s="160">
        <v>4639</v>
      </c>
      <c r="D790" s="69" t="s">
        <v>78</v>
      </c>
      <c r="E790" s="69" t="s">
        <v>3347</v>
      </c>
      <c r="F790" s="69" t="s">
        <v>220</v>
      </c>
      <c r="G790" s="69">
        <v>9138.7000000000007</v>
      </c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  <c r="AD790" s="69"/>
      <c r="AE790" s="69"/>
      <c r="AF790" s="69"/>
      <c r="AG790" s="69"/>
      <c r="AH790" s="69"/>
      <c r="AI790" s="69"/>
      <c r="AJ790" s="69"/>
      <c r="AK790" s="69"/>
      <c r="AL790" s="69"/>
      <c r="AM790" s="69"/>
      <c r="AN790" s="69"/>
      <c r="AO790" s="69"/>
      <c r="AP790" s="69"/>
      <c r="AQ790" s="69"/>
      <c r="AR790" s="94">
        <f t="shared" si="59"/>
        <v>9138.7000000000007</v>
      </c>
      <c r="AS790" s="69">
        <v>6457.34</v>
      </c>
      <c r="AT790" s="69">
        <f>20.14+48.3</f>
        <v>68.44</v>
      </c>
      <c r="AU790" s="69">
        <f>2232.83+368.31</f>
        <v>2601.14</v>
      </c>
      <c r="AV790" s="69">
        <f>8+3.78</f>
        <v>11.78</v>
      </c>
      <c r="AW790" s="69"/>
      <c r="AX790" s="69"/>
      <c r="AY790" s="69"/>
      <c r="AZ790" s="69"/>
      <c r="BA790" s="69"/>
      <c r="BB790" s="69"/>
      <c r="BC790" s="69"/>
      <c r="BD790" s="69"/>
      <c r="BE790" s="69"/>
      <c r="BF790" s="69"/>
      <c r="BG790" s="69"/>
      <c r="BH790" s="69"/>
      <c r="BI790" s="69"/>
      <c r="BJ790" s="69"/>
      <c r="BK790" s="69"/>
      <c r="BL790" s="69"/>
      <c r="BM790" s="69"/>
      <c r="BN790" s="69"/>
      <c r="BO790" s="69"/>
      <c r="BP790" s="69"/>
      <c r="BQ790" s="69"/>
      <c r="BR790" s="69"/>
      <c r="BS790" s="69"/>
      <c r="BT790" s="69"/>
      <c r="BU790" s="69"/>
      <c r="BV790" s="69"/>
      <c r="BW790" s="69"/>
      <c r="BX790" s="69"/>
      <c r="BY790" s="69"/>
      <c r="BZ790" s="69"/>
      <c r="CA790" s="69"/>
      <c r="CB790" s="69"/>
      <c r="CC790" s="69"/>
      <c r="CD790" s="69"/>
      <c r="CE790" s="94">
        <f t="shared" si="66"/>
        <v>9138.7000000000007</v>
      </c>
      <c r="CF790" s="151">
        <f t="shared" si="60"/>
        <v>0</v>
      </c>
      <c r="CG790" s="75">
        <f t="shared" si="67"/>
        <v>4639</v>
      </c>
      <c r="CH790" s="69" t="str">
        <f t="shared" si="67"/>
        <v>برنامج دولى</v>
      </c>
    </row>
    <row r="791" spans="1:86" x14ac:dyDescent="0.25">
      <c r="A791" s="148"/>
      <c r="B791" s="82">
        <v>3816</v>
      </c>
      <c r="C791" s="160">
        <v>4640</v>
      </c>
      <c r="D791" s="69" t="s">
        <v>78</v>
      </c>
      <c r="E791" s="69" t="s">
        <v>3347</v>
      </c>
      <c r="F791" s="69" t="s">
        <v>220</v>
      </c>
      <c r="G791" s="69">
        <v>10813.03</v>
      </c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  <c r="AD791" s="69"/>
      <c r="AE791" s="69"/>
      <c r="AF791" s="69"/>
      <c r="AG791" s="69"/>
      <c r="AH791" s="69"/>
      <c r="AI791" s="69"/>
      <c r="AJ791" s="69"/>
      <c r="AK791" s="69"/>
      <c r="AL791" s="69"/>
      <c r="AM791" s="69"/>
      <c r="AN791" s="69"/>
      <c r="AO791" s="69"/>
      <c r="AP791" s="69"/>
      <c r="AQ791" s="69"/>
      <c r="AR791" s="94">
        <f t="shared" si="59"/>
        <v>10813.03</v>
      </c>
      <c r="AS791" s="69">
        <v>7941.57</v>
      </c>
      <c r="AT791" s="69">
        <f>64.69+60.85</f>
        <v>125.53999999999999</v>
      </c>
      <c r="AU791" s="69">
        <f>2236.41+368.9</f>
        <v>2605.31</v>
      </c>
      <c r="AV791" s="69">
        <f>136+4.61</f>
        <v>140.61000000000001</v>
      </c>
      <c r="AW791" s="69"/>
      <c r="AX791" s="69"/>
      <c r="AY791" s="69"/>
      <c r="AZ791" s="69"/>
      <c r="BA791" s="69"/>
      <c r="BB791" s="69"/>
      <c r="BC791" s="69"/>
      <c r="BD791" s="69"/>
      <c r="BE791" s="69"/>
      <c r="BF791" s="69"/>
      <c r="BG791" s="69"/>
      <c r="BH791" s="69"/>
      <c r="BI791" s="69"/>
      <c r="BJ791" s="69"/>
      <c r="BK791" s="69"/>
      <c r="BL791" s="69"/>
      <c r="BM791" s="69"/>
      <c r="BN791" s="69"/>
      <c r="BO791" s="69"/>
      <c r="BP791" s="69"/>
      <c r="BQ791" s="69"/>
      <c r="BR791" s="69"/>
      <c r="BS791" s="69"/>
      <c r="BT791" s="69"/>
      <c r="BU791" s="69"/>
      <c r="BV791" s="69"/>
      <c r="BW791" s="69"/>
      <c r="BX791" s="69"/>
      <c r="BY791" s="69"/>
      <c r="BZ791" s="69"/>
      <c r="CA791" s="69"/>
      <c r="CB791" s="69"/>
      <c r="CC791" s="69"/>
      <c r="CD791" s="69"/>
      <c r="CE791" s="94">
        <f t="shared" si="66"/>
        <v>10813.03</v>
      </c>
      <c r="CF791" s="151">
        <f t="shared" si="60"/>
        <v>0</v>
      </c>
      <c r="CG791" s="75">
        <f t="shared" si="67"/>
        <v>4640</v>
      </c>
      <c r="CH791" s="69" t="str">
        <f t="shared" si="67"/>
        <v>برنامج دولى</v>
      </c>
    </row>
    <row r="792" spans="1:86" x14ac:dyDescent="0.25">
      <c r="A792" s="148"/>
      <c r="B792" s="82">
        <v>3818</v>
      </c>
      <c r="C792" s="160">
        <v>4641</v>
      </c>
      <c r="D792" s="69" t="s">
        <v>78</v>
      </c>
      <c r="E792" s="69" t="s">
        <v>3347</v>
      </c>
      <c r="F792" s="69" t="s">
        <v>220</v>
      </c>
      <c r="G792" s="69">
        <v>64377.21</v>
      </c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  <c r="AD792" s="69"/>
      <c r="AE792" s="69"/>
      <c r="AF792" s="69"/>
      <c r="AG792" s="69"/>
      <c r="AH792" s="69"/>
      <c r="AI792" s="69"/>
      <c r="AJ792" s="69"/>
      <c r="AK792" s="69"/>
      <c r="AL792" s="69"/>
      <c r="AM792" s="69"/>
      <c r="AN792" s="69"/>
      <c r="AO792" s="69"/>
      <c r="AP792" s="69"/>
      <c r="AQ792" s="69"/>
      <c r="AR792" s="94">
        <f t="shared" si="59"/>
        <v>64377.21</v>
      </c>
      <c r="AS792" s="69">
        <v>47475.41</v>
      </c>
      <c r="AT792" s="69">
        <f>379.98+359.85</f>
        <v>739.83</v>
      </c>
      <c r="AU792" s="69">
        <f>13314.78+2196.3</f>
        <v>15511.080000000002</v>
      </c>
      <c r="AV792" s="69">
        <f>168+27.27</f>
        <v>195.27</v>
      </c>
      <c r="AW792" s="69">
        <f>122.43+1.74+107.87+123.33+33.71</f>
        <v>389.08</v>
      </c>
      <c r="AX792" s="69">
        <v>66.540000000000006</v>
      </c>
      <c r="AY792" s="69"/>
      <c r="AZ792" s="69"/>
      <c r="BA792" s="69"/>
      <c r="BB792" s="69"/>
      <c r="BC792" s="69"/>
      <c r="BD792" s="69"/>
      <c r="BE792" s="69"/>
      <c r="BF792" s="69"/>
      <c r="BG792" s="69"/>
      <c r="BH792" s="69"/>
      <c r="BI792" s="69"/>
      <c r="BJ792" s="69"/>
      <c r="BK792" s="69"/>
      <c r="BL792" s="69"/>
      <c r="BM792" s="69"/>
      <c r="BN792" s="69"/>
      <c r="BO792" s="69"/>
      <c r="BP792" s="69"/>
      <c r="BQ792" s="69"/>
      <c r="BR792" s="69"/>
      <c r="BS792" s="69"/>
      <c r="BT792" s="69"/>
      <c r="BU792" s="69"/>
      <c r="BV792" s="69"/>
      <c r="BW792" s="69"/>
      <c r="BX792" s="69"/>
      <c r="BY792" s="69"/>
      <c r="BZ792" s="69"/>
      <c r="CA792" s="69"/>
      <c r="CB792" s="69"/>
      <c r="CC792" s="69"/>
      <c r="CD792" s="69"/>
      <c r="CE792" s="94">
        <f t="shared" si="66"/>
        <v>64377.210000000006</v>
      </c>
      <c r="CF792" s="151">
        <f t="shared" si="60"/>
        <v>0</v>
      </c>
      <c r="CG792" s="75">
        <f t="shared" si="67"/>
        <v>4641</v>
      </c>
      <c r="CH792" s="69" t="str">
        <f t="shared" si="67"/>
        <v>برنامج دولى</v>
      </c>
    </row>
    <row r="793" spans="1:86" x14ac:dyDescent="0.25">
      <c r="A793" s="148"/>
      <c r="B793" s="82">
        <v>3819</v>
      </c>
      <c r="C793" s="160">
        <v>4642</v>
      </c>
      <c r="D793" s="69" t="s">
        <v>78</v>
      </c>
      <c r="E793" s="69" t="s">
        <v>3347</v>
      </c>
      <c r="F793" s="69" t="s">
        <v>220</v>
      </c>
      <c r="G793" s="69">
        <v>37595.160000000003</v>
      </c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  <c r="AD793" s="69"/>
      <c r="AE793" s="69"/>
      <c r="AF793" s="69"/>
      <c r="AG793" s="69"/>
      <c r="AH793" s="69"/>
      <c r="AI793" s="69"/>
      <c r="AJ793" s="69"/>
      <c r="AK793" s="69"/>
      <c r="AL793" s="69"/>
      <c r="AM793" s="69"/>
      <c r="AN793" s="69"/>
      <c r="AO793" s="69"/>
      <c r="AP793" s="69"/>
      <c r="AQ793" s="69"/>
      <c r="AR793" s="94">
        <f t="shared" si="59"/>
        <v>37595.160000000003</v>
      </c>
      <c r="AS793" s="69">
        <v>26856.639999999999</v>
      </c>
      <c r="AT793" s="69">
        <f>167.22+210</f>
        <v>377.22</v>
      </c>
      <c r="AU793" s="69">
        <f>7775.6+1282.59</f>
        <v>9058.19</v>
      </c>
      <c r="AV793" s="69">
        <f>374.53+633.2+15.89</f>
        <v>1023.62</v>
      </c>
      <c r="AW793" s="69">
        <f>129.11+1.83+93.67+19.33+35.55</f>
        <v>279.49</v>
      </c>
      <c r="AX793" s="69"/>
      <c r="AY793" s="69"/>
      <c r="AZ793" s="69"/>
      <c r="BA793" s="69"/>
      <c r="BB793" s="69"/>
      <c r="BC793" s="69"/>
      <c r="BD793" s="69"/>
      <c r="BE793" s="69"/>
      <c r="BF793" s="69"/>
      <c r="BG793" s="69"/>
      <c r="BH793" s="69"/>
      <c r="BI793" s="69"/>
      <c r="BJ793" s="69"/>
      <c r="BK793" s="69"/>
      <c r="BL793" s="69"/>
      <c r="BM793" s="69"/>
      <c r="BN793" s="69"/>
      <c r="BO793" s="69"/>
      <c r="BP793" s="69"/>
      <c r="BQ793" s="69"/>
      <c r="BR793" s="69"/>
      <c r="BS793" s="69"/>
      <c r="BT793" s="69"/>
      <c r="BU793" s="69"/>
      <c r="BV793" s="69"/>
      <c r="BW793" s="69"/>
      <c r="BX793" s="69"/>
      <c r="BY793" s="69"/>
      <c r="BZ793" s="69"/>
      <c r="CA793" s="69"/>
      <c r="CB793" s="69"/>
      <c r="CC793" s="69"/>
      <c r="CD793" s="69"/>
      <c r="CE793" s="94">
        <f t="shared" si="66"/>
        <v>37595.160000000003</v>
      </c>
      <c r="CF793" s="151">
        <f t="shared" si="60"/>
        <v>0</v>
      </c>
      <c r="CG793" s="75">
        <f t="shared" si="67"/>
        <v>4642</v>
      </c>
      <c r="CH793" s="69" t="str">
        <f t="shared" si="67"/>
        <v>برنامج دولى</v>
      </c>
    </row>
    <row r="794" spans="1:86" x14ac:dyDescent="0.25">
      <c r="A794" s="148"/>
      <c r="B794" s="82">
        <v>3821</v>
      </c>
      <c r="C794" s="160">
        <v>4643</v>
      </c>
      <c r="D794" s="69" t="s">
        <v>78</v>
      </c>
      <c r="E794" s="69" t="s">
        <v>3347</v>
      </c>
      <c r="F794" s="69" t="s">
        <v>220</v>
      </c>
      <c r="G794" s="69">
        <v>9445.44</v>
      </c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  <c r="AD794" s="69"/>
      <c r="AE794" s="69"/>
      <c r="AF794" s="69"/>
      <c r="AG794" s="69"/>
      <c r="AH794" s="69"/>
      <c r="AI794" s="69"/>
      <c r="AJ794" s="69"/>
      <c r="AK794" s="69"/>
      <c r="AL794" s="69"/>
      <c r="AM794" s="69"/>
      <c r="AN794" s="69"/>
      <c r="AO794" s="69"/>
      <c r="AP794" s="69"/>
      <c r="AQ794" s="69"/>
      <c r="AR794" s="94">
        <f t="shared" si="59"/>
        <v>9445.44</v>
      </c>
      <c r="AS794" s="69">
        <v>6667.17</v>
      </c>
      <c r="AT794" s="69">
        <f>43.25+50.05</f>
        <v>93.3</v>
      </c>
      <c r="AU794" s="69">
        <f>2296.28+378.78</f>
        <v>2675.0600000000004</v>
      </c>
      <c r="AV794" s="69">
        <f>6+3.91</f>
        <v>9.91</v>
      </c>
      <c r="AW794" s="69"/>
      <c r="AX794" s="69"/>
      <c r="AY794" s="69"/>
      <c r="AZ794" s="69"/>
      <c r="BA794" s="69"/>
      <c r="BB794" s="69"/>
      <c r="BC794" s="69"/>
      <c r="BD794" s="69"/>
      <c r="BE794" s="69"/>
      <c r="BF794" s="69"/>
      <c r="BG794" s="69"/>
      <c r="BH794" s="69"/>
      <c r="BI794" s="69"/>
      <c r="BJ794" s="69"/>
      <c r="BK794" s="69"/>
      <c r="BL794" s="69"/>
      <c r="BM794" s="69"/>
      <c r="BN794" s="69"/>
      <c r="BO794" s="69"/>
      <c r="BP794" s="69"/>
      <c r="BQ794" s="69"/>
      <c r="BR794" s="69"/>
      <c r="BS794" s="69"/>
      <c r="BT794" s="69"/>
      <c r="BU794" s="69"/>
      <c r="BV794" s="69"/>
      <c r="BW794" s="69"/>
      <c r="BX794" s="69"/>
      <c r="BY794" s="69"/>
      <c r="BZ794" s="69"/>
      <c r="CA794" s="69"/>
      <c r="CB794" s="69"/>
      <c r="CC794" s="69"/>
      <c r="CD794" s="69"/>
      <c r="CE794" s="94">
        <f t="shared" si="66"/>
        <v>9445.44</v>
      </c>
      <c r="CF794" s="151">
        <f t="shared" si="60"/>
        <v>0</v>
      </c>
      <c r="CG794" s="75">
        <f t="shared" si="67"/>
        <v>4643</v>
      </c>
      <c r="CH794" s="69" t="str">
        <f t="shared" si="67"/>
        <v>برنامج دولى</v>
      </c>
    </row>
    <row r="795" spans="1:86" x14ac:dyDescent="0.25">
      <c r="A795" s="148"/>
      <c r="B795" s="82">
        <v>3822</v>
      </c>
      <c r="C795" s="160">
        <v>4644</v>
      </c>
      <c r="D795" s="69" t="s">
        <v>78</v>
      </c>
      <c r="E795" s="69" t="s">
        <v>3347</v>
      </c>
      <c r="F795" s="69" t="s">
        <v>220</v>
      </c>
      <c r="G795" s="69">
        <v>5261.76</v>
      </c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  <c r="AE795" s="69"/>
      <c r="AF795" s="69"/>
      <c r="AG795" s="69"/>
      <c r="AH795" s="69"/>
      <c r="AI795" s="69"/>
      <c r="AJ795" s="69"/>
      <c r="AK795" s="69"/>
      <c r="AL795" s="69"/>
      <c r="AM795" s="69"/>
      <c r="AN795" s="69"/>
      <c r="AO795" s="69"/>
      <c r="AP795" s="69"/>
      <c r="AQ795" s="69"/>
      <c r="AR795" s="94">
        <f t="shared" si="59"/>
        <v>5261.76</v>
      </c>
      <c r="AS795" s="69">
        <v>3404.42</v>
      </c>
      <c r="AT795" s="69">
        <v>26.25</v>
      </c>
      <c r="AU795" s="69">
        <f>1088.27+179.51</f>
        <v>1267.78</v>
      </c>
      <c r="AV795" s="69">
        <f>3+1.96</f>
        <v>4.96</v>
      </c>
      <c r="AW795" s="69">
        <f>198.57+2.73+269.53+30.67+56.85</f>
        <v>558.34999999999991</v>
      </c>
      <c r="AX795" s="69"/>
      <c r="AY795" s="69"/>
      <c r="AZ795" s="69"/>
      <c r="BA795" s="69"/>
      <c r="BB795" s="69"/>
      <c r="BC795" s="69"/>
      <c r="BD795" s="69"/>
      <c r="BE795" s="69"/>
      <c r="BF795" s="69"/>
      <c r="BG795" s="69"/>
      <c r="BH795" s="69"/>
      <c r="BI795" s="69"/>
      <c r="BJ795" s="69"/>
      <c r="BK795" s="69"/>
      <c r="BL795" s="69"/>
      <c r="BM795" s="69"/>
      <c r="BN795" s="69"/>
      <c r="BO795" s="69"/>
      <c r="BP795" s="69"/>
      <c r="BQ795" s="69"/>
      <c r="BR795" s="69"/>
      <c r="BS795" s="69"/>
      <c r="BT795" s="69"/>
      <c r="BU795" s="69"/>
      <c r="BV795" s="69"/>
      <c r="BW795" s="69"/>
      <c r="BX795" s="69"/>
      <c r="BY795" s="69"/>
      <c r="BZ795" s="69"/>
      <c r="CA795" s="69"/>
      <c r="CB795" s="69"/>
      <c r="CC795" s="69"/>
      <c r="CD795" s="69"/>
      <c r="CE795" s="94">
        <f t="shared" si="66"/>
        <v>5261.76</v>
      </c>
      <c r="CF795" s="151">
        <f t="shared" si="60"/>
        <v>0</v>
      </c>
      <c r="CG795" s="75">
        <f t="shared" si="67"/>
        <v>4644</v>
      </c>
      <c r="CH795" s="69" t="str">
        <f t="shared" si="67"/>
        <v>برنامج دولى</v>
      </c>
    </row>
    <row r="796" spans="1:86" x14ac:dyDescent="0.25">
      <c r="A796" s="148"/>
      <c r="B796" s="82">
        <v>3823</v>
      </c>
      <c r="C796" s="160">
        <v>4645</v>
      </c>
      <c r="D796" s="69" t="s">
        <v>78</v>
      </c>
      <c r="E796" s="69" t="s">
        <v>3347</v>
      </c>
      <c r="F796" s="69" t="s">
        <v>220</v>
      </c>
      <c r="G796" s="69">
        <v>5261.76</v>
      </c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  <c r="AD796" s="69"/>
      <c r="AE796" s="69"/>
      <c r="AF796" s="69"/>
      <c r="AG796" s="69"/>
      <c r="AH796" s="69"/>
      <c r="AI796" s="69"/>
      <c r="AJ796" s="69"/>
      <c r="AK796" s="69"/>
      <c r="AL796" s="69"/>
      <c r="AM796" s="69"/>
      <c r="AN796" s="69"/>
      <c r="AO796" s="69"/>
      <c r="AP796" s="69"/>
      <c r="AQ796" s="69"/>
      <c r="AR796" s="94">
        <f t="shared" si="59"/>
        <v>5261.76</v>
      </c>
      <c r="AS796" s="69">
        <v>3879.7</v>
      </c>
      <c r="AT796" s="69">
        <f>21.44+29.6</f>
        <v>51.040000000000006</v>
      </c>
      <c r="AU796" s="69">
        <f>1088.27+179.51</f>
        <v>1267.78</v>
      </c>
      <c r="AV796" s="69">
        <f>61+2.24</f>
        <v>63.24</v>
      </c>
      <c r="AW796" s="69"/>
      <c r="AX796" s="69"/>
      <c r="AY796" s="69"/>
      <c r="AZ796" s="69"/>
      <c r="BA796" s="69"/>
      <c r="BB796" s="69"/>
      <c r="BC796" s="69"/>
      <c r="BD796" s="69"/>
      <c r="BE796" s="69"/>
      <c r="BF796" s="69"/>
      <c r="BG796" s="69"/>
      <c r="BH796" s="69"/>
      <c r="BI796" s="69"/>
      <c r="BJ796" s="69"/>
      <c r="BK796" s="69"/>
      <c r="BL796" s="69"/>
      <c r="BM796" s="69"/>
      <c r="BN796" s="69"/>
      <c r="BO796" s="69"/>
      <c r="BP796" s="69"/>
      <c r="BQ796" s="69"/>
      <c r="BR796" s="69"/>
      <c r="BS796" s="69"/>
      <c r="BT796" s="69"/>
      <c r="BU796" s="69"/>
      <c r="BV796" s="69"/>
      <c r="BW796" s="69"/>
      <c r="BX796" s="69"/>
      <c r="BY796" s="69"/>
      <c r="BZ796" s="69"/>
      <c r="CA796" s="69"/>
      <c r="CB796" s="69"/>
      <c r="CC796" s="69"/>
      <c r="CD796" s="69"/>
      <c r="CE796" s="94">
        <f t="shared" si="66"/>
        <v>5261.7599999999993</v>
      </c>
      <c r="CF796" s="151">
        <f t="shared" si="60"/>
        <v>0</v>
      </c>
      <c r="CG796" s="75">
        <f t="shared" si="67"/>
        <v>4645</v>
      </c>
      <c r="CH796" s="69" t="str">
        <f t="shared" si="67"/>
        <v>برنامج دولى</v>
      </c>
    </row>
    <row r="797" spans="1:86" x14ac:dyDescent="0.25">
      <c r="A797" s="148"/>
      <c r="B797" s="82">
        <v>3820</v>
      </c>
      <c r="C797" s="160">
        <v>4646</v>
      </c>
      <c r="D797" s="69" t="s">
        <v>78</v>
      </c>
      <c r="E797" s="69" t="s">
        <v>3347</v>
      </c>
      <c r="F797" s="69" t="s">
        <v>220</v>
      </c>
      <c r="G797" s="69">
        <v>1316983.93</v>
      </c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  <c r="AD797" s="69"/>
      <c r="AE797" s="69"/>
      <c r="AF797" s="69"/>
      <c r="AG797" s="69"/>
      <c r="AH797" s="69"/>
      <c r="AI797" s="69"/>
      <c r="AJ797" s="69"/>
      <c r="AK797" s="69"/>
      <c r="AL797" s="69"/>
      <c r="AM797" s="69"/>
      <c r="AN797" s="69"/>
      <c r="AO797" s="69"/>
      <c r="AP797" s="69"/>
      <c r="AQ797" s="69"/>
      <c r="AR797" s="94">
        <f t="shared" si="59"/>
        <v>1316983.93</v>
      </c>
      <c r="AS797" s="69">
        <v>965116.01</v>
      </c>
      <c r="AT797" s="69">
        <f>7570.99+7338.9</f>
        <v>14909.89</v>
      </c>
      <c r="AU797" s="69">
        <f>276464.35+45603.3+12</f>
        <v>322079.64999999997</v>
      </c>
      <c r="AV797" s="69">
        <f>6083.09+557.05</f>
        <v>6640.14</v>
      </c>
      <c r="AW797" s="69">
        <f>2830.76+41.5+2449.77+534.04+717.19</f>
        <v>6573.26</v>
      </c>
      <c r="AX797" s="69">
        <v>1664.98</v>
      </c>
      <c r="AY797" s="69"/>
      <c r="AZ797" s="69"/>
      <c r="BA797" s="69"/>
      <c r="BB797" s="69"/>
      <c r="BC797" s="69"/>
      <c r="BD797" s="69"/>
      <c r="BE797" s="69"/>
      <c r="BF797" s="69"/>
      <c r="BG797" s="69"/>
      <c r="BH797" s="69"/>
      <c r="BI797" s="69"/>
      <c r="BJ797" s="69"/>
      <c r="BK797" s="69"/>
      <c r="BL797" s="69"/>
      <c r="BM797" s="69"/>
      <c r="BN797" s="69"/>
      <c r="BO797" s="69"/>
      <c r="BP797" s="69"/>
      <c r="BQ797" s="69"/>
      <c r="BR797" s="69"/>
      <c r="BS797" s="69"/>
      <c r="BT797" s="69"/>
      <c r="BU797" s="69"/>
      <c r="BV797" s="69"/>
      <c r="BW797" s="69"/>
      <c r="BX797" s="69"/>
      <c r="BY797" s="69"/>
      <c r="BZ797" s="69"/>
      <c r="CA797" s="69"/>
      <c r="CB797" s="69"/>
      <c r="CC797" s="69"/>
      <c r="CD797" s="69"/>
      <c r="CE797" s="94">
        <f t="shared" si="66"/>
        <v>1316983.93</v>
      </c>
      <c r="CF797" s="151">
        <f t="shared" si="60"/>
        <v>0</v>
      </c>
      <c r="CG797" s="75">
        <f t="shared" si="67"/>
        <v>4646</v>
      </c>
      <c r="CH797" s="69" t="str">
        <f t="shared" si="67"/>
        <v>برنامج دولى</v>
      </c>
    </row>
    <row r="798" spans="1:86" x14ac:dyDescent="0.25">
      <c r="A798" s="148"/>
      <c r="B798" s="82">
        <v>3824</v>
      </c>
      <c r="C798" s="160">
        <v>4647</v>
      </c>
      <c r="D798" s="69" t="s">
        <v>78</v>
      </c>
      <c r="E798" s="69" t="s">
        <v>3347</v>
      </c>
      <c r="F798" s="69" t="s">
        <v>220</v>
      </c>
      <c r="G798" s="69">
        <v>5261.76</v>
      </c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  <c r="AD798" s="69"/>
      <c r="AE798" s="69"/>
      <c r="AF798" s="69"/>
      <c r="AG798" s="69"/>
      <c r="AH798" s="69"/>
      <c r="AI798" s="69"/>
      <c r="AJ798" s="69"/>
      <c r="AK798" s="69"/>
      <c r="AL798" s="69"/>
      <c r="AM798" s="69"/>
      <c r="AN798" s="69"/>
      <c r="AO798" s="69"/>
      <c r="AP798" s="69"/>
      <c r="AQ798" s="69"/>
      <c r="AR798" s="94">
        <f t="shared" si="59"/>
        <v>5261.76</v>
      </c>
      <c r="AS798" s="69">
        <v>3917.14</v>
      </c>
      <c r="AT798" s="69">
        <f>19.15+29.45</f>
        <v>48.599999999999994</v>
      </c>
      <c r="AU798" s="69">
        <f>1088.27+179.51+23</f>
        <v>1290.78</v>
      </c>
      <c r="AV798" s="69">
        <f>3+2.24</f>
        <v>5.24</v>
      </c>
      <c r="AW798" s="69"/>
      <c r="AX798" s="69"/>
      <c r="AY798" s="69"/>
      <c r="AZ798" s="69"/>
      <c r="BA798" s="69"/>
      <c r="BB798" s="69"/>
      <c r="BC798" s="69"/>
      <c r="BD798" s="69"/>
      <c r="BE798" s="69"/>
      <c r="BF798" s="69"/>
      <c r="BG798" s="69"/>
      <c r="BH798" s="69"/>
      <c r="BI798" s="69"/>
      <c r="BJ798" s="69"/>
      <c r="BK798" s="69"/>
      <c r="BL798" s="69"/>
      <c r="BM798" s="69"/>
      <c r="BN798" s="69"/>
      <c r="BO798" s="69"/>
      <c r="BP798" s="69"/>
      <c r="BQ798" s="69"/>
      <c r="BR798" s="69"/>
      <c r="BS798" s="69"/>
      <c r="BT798" s="69"/>
      <c r="BU798" s="69"/>
      <c r="BV798" s="69"/>
      <c r="BW798" s="69"/>
      <c r="BX798" s="69"/>
      <c r="BY798" s="69"/>
      <c r="BZ798" s="69"/>
      <c r="CA798" s="69"/>
      <c r="CB798" s="69"/>
      <c r="CC798" s="69"/>
      <c r="CD798" s="69"/>
      <c r="CE798" s="94">
        <f t="shared" si="66"/>
        <v>5261.7599999999993</v>
      </c>
      <c r="CF798" s="151">
        <f t="shared" ref="CF798:CF830" si="68">+CE798-AR798</f>
        <v>0</v>
      </c>
      <c r="CG798" s="75">
        <f t="shared" si="67"/>
        <v>4647</v>
      </c>
      <c r="CH798" s="69" t="str">
        <f t="shared" si="67"/>
        <v>برنامج دولى</v>
      </c>
    </row>
    <row r="799" spans="1:86" x14ac:dyDescent="0.25">
      <c r="A799" s="148"/>
      <c r="B799" s="82">
        <v>3826</v>
      </c>
      <c r="C799" s="160">
        <v>4648</v>
      </c>
      <c r="D799" s="69" t="s">
        <v>78</v>
      </c>
      <c r="E799" s="69" t="s">
        <v>3347</v>
      </c>
      <c r="F799" s="69" t="s">
        <v>220</v>
      </c>
      <c r="G799" s="69">
        <v>21405.57</v>
      </c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  <c r="AD799" s="69"/>
      <c r="AE799" s="69"/>
      <c r="AF799" s="69"/>
      <c r="AG799" s="69"/>
      <c r="AH799" s="69"/>
      <c r="AI799" s="69"/>
      <c r="AJ799" s="69"/>
      <c r="AK799" s="69"/>
      <c r="AL799" s="69"/>
      <c r="AM799" s="69"/>
      <c r="AN799" s="69"/>
      <c r="AO799" s="69"/>
      <c r="AP799" s="69"/>
      <c r="AQ799" s="69"/>
      <c r="AR799" s="94">
        <f t="shared" si="59"/>
        <v>21405.57</v>
      </c>
      <c r="AS799" s="69">
        <v>15993.78</v>
      </c>
      <c r="AT799" s="69">
        <f>112.77+120.45</f>
        <v>233.22</v>
      </c>
      <c r="AU799" s="69">
        <f>4427.18+730.26</f>
        <v>5157.4400000000005</v>
      </c>
      <c r="AV799" s="69">
        <f>12+9.13</f>
        <v>21.130000000000003</v>
      </c>
      <c r="AW799" s="69"/>
      <c r="AX799" s="69"/>
      <c r="AY799" s="69"/>
      <c r="AZ799" s="69"/>
      <c r="BA799" s="69"/>
      <c r="BB799" s="69"/>
      <c r="BC799" s="69"/>
      <c r="BD799" s="69"/>
      <c r="BE799" s="69"/>
      <c r="BF799" s="69"/>
      <c r="BG799" s="69"/>
      <c r="BH799" s="69"/>
      <c r="BI799" s="69"/>
      <c r="BJ799" s="69"/>
      <c r="BK799" s="69"/>
      <c r="BL799" s="69"/>
      <c r="BM799" s="69"/>
      <c r="BN799" s="69"/>
      <c r="BO799" s="69"/>
      <c r="BP799" s="69"/>
      <c r="BQ799" s="69"/>
      <c r="BR799" s="69"/>
      <c r="BS799" s="69"/>
      <c r="BT799" s="69"/>
      <c r="BU799" s="69"/>
      <c r="BV799" s="69"/>
      <c r="BW799" s="69"/>
      <c r="BX799" s="69"/>
      <c r="BY799" s="69"/>
      <c r="BZ799" s="69"/>
      <c r="CA799" s="69"/>
      <c r="CB799" s="69"/>
      <c r="CC799" s="69"/>
      <c r="CD799" s="69"/>
      <c r="CE799" s="94">
        <f t="shared" si="66"/>
        <v>21405.570000000003</v>
      </c>
      <c r="CF799" s="151">
        <f t="shared" si="68"/>
        <v>0</v>
      </c>
      <c r="CG799" s="75">
        <f t="shared" si="67"/>
        <v>4648</v>
      </c>
      <c r="CH799" s="69" t="str">
        <f t="shared" si="67"/>
        <v>برنامج دولى</v>
      </c>
    </row>
    <row r="800" spans="1:86" x14ac:dyDescent="0.25">
      <c r="A800" s="148"/>
      <c r="B800" s="82">
        <v>3828</v>
      </c>
      <c r="C800" s="160">
        <v>4649</v>
      </c>
      <c r="D800" s="69" t="s">
        <v>78</v>
      </c>
      <c r="E800" s="69" t="s">
        <v>3347</v>
      </c>
      <c r="F800" s="69" t="s">
        <v>220</v>
      </c>
      <c r="G800" s="69">
        <v>5266.45</v>
      </c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  <c r="AD800" s="69"/>
      <c r="AE800" s="69"/>
      <c r="AF800" s="69"/>
      <c r="AG800" s="69"/>
      <c r="AH800" s="69"/>
      <c r="AI800" s="69"/>
      <c r="AJ800" s="69"/>
      <c r="AK800" s="69"/>
      <c r="AL800" s="69"/>
      <c r="AM800" s="69"/>
      <c r="AN800" s="69"/>
      <c r="AO800" s="69"/>
      <c r="AP800" s="69"/>
      <c r="AQ800" s="69"/>
      <c r="AR800" s="94">
        <f t="shared" si="59"/>
        <v>5266.45</v>
      </c>
      <c r="AS800" s="69">
        <v>3846.85</v>
      </c>
      <c r="AT800" s="69">
        <f>21.79+29.65</f>
        <v>51.44</v>
      </c>
      <c r="AU800" s="69">
        <f>1089.24+179.67</f>
        <v>1268.9100000000001</v>
      </c>
      <c r="AV800" s="69">
        <f>97+2.25</f>
        <v>99.25</v>
      </c>
      <c r="AW800" s="69"/>
      <c r="AX800" s="69"/>
      <c r="AY800" s="69"/>
      <c r="AZ800" s="69"/>
      <c r="BA800" s="69"/>
      <c r="BB800" s="69"/>
      <c r="BC800" s="69"/>
      <c r="BD800" s="69"/>
      <c r="BE800" s="69"/>
      <c r="BF800" s="69"/>
      <c r="BG800" s="69"/>
      <c r="BH800" s="69"/>
      <c r="BI800" s="69"/>
      <c r="BJ800" s="69"/>
      <c r="BK800" s="69"/>
      <c r="BL800" s="69"/>
      <c r="BM800" s="69"/>
      <c r="BN800" s="69"/>
      <c r="BO800" s="69"/>
      <c r="BP800" s="69"/>
      <c r="BQ800" s="69"/>
      <c r="BR800" s="69"/>
      <c r="BS800" s="69"/>
      <c r="BT800" s="69"/>
      <c r="BU800" s="69"/>
      <c r="BV800" s="69"/>
      <c r="BW800" s="69"/>
      <c r="BX800" s="69"/>
      <c r="BY800" s="69"/>
      <c r="BZ800" s="69"/>
      <c r="CA800" s="69"/>
      <c r="CB800" s="69"/>
      <c r="CC800" s="69"/>
      <c r="CD800" s="69"/>
      <c r="CE800" s="94">
        <f t="shared" si="66"/>
        <v>5266.45</v>
      </c>
      <c r="CF800" s="151">
        <f t="shared" si="68"/>
        <v>0</v>
      </c>
      <c r="CG800" s="75">
        <f t="shared" si="67"/>
        <v>4649</v>
      </c>
      <c r="CH800" s="69" t="str">
        <f t="shared" si="67"/>
        <v>برنامج دولى</v>
      </c>
    </row>
    <row r="801" spans="1:86" x14ac:dyDescent="0.25">
      <c r="A801" s="148"/>
      <c r="B801" s="82">
        <v>3825</v>
      </c>
      <c r="C801" s="160">
        <v>4650</v>
      </c>
      <c r="D801" s="69" t="s">
        <v>78</v>
      </c>
      <c r="E801" s="69" t="s">
        <v>3347</v>
      </c>
      <c r="F801" s="69" t="s">
        <v>220</v>
      </c>
      <c r="G801" s="69">
        <v>5261.76</v>
      </c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  <c r="AD801" s="69"/>
      <c r="AE801" s="69"/>
      <c r="AF801" s="69"/>
      <c r="AG801" s="69"/>
      <c r="AH801" s="69"/>
      <c r="AI801" s="69"/>
      <c r="AJ801" s="69"/>
      <c r="AK801" s="69"/>
      <c r="AL801" s="69"/>
      <c r="AM801" s="69"/>
      <c r="AN801" s="69"/>
      <c r="AO801" s="69"/>
      <c r="AP801" s="69"/>
      <c r="AQ801" s="69"/>
      <c r="AR801" s="94">
        <f t="shared" si="59"/>
        <v>5261.76</v>
      </c>
      <c r="AS801" s="69">
        <v>2292.6999999999998</v>
      </c>
      <c r="AT801" s="69">
        <f>21.44+29.6</f>
        <v>51.040000000000006</v>
      </c>
      <c r="AU801" s="69">
        <f>1088.27+179.51</f>
        <v>1267.78</v>
      </c>
      <c r="AV801" s="69">
        <f>848+800+2.24</f>
        <v>1650.24</v>
      </c>
      <c r="AW801" s="69"/>
      <c r="AX801" s="69"/>
      <c r="AY801" s="69"/>
      <c r="AZ801" s="69"/>
      <c r="BA801" s="69"/>
      <c r="BB801" s="69"/>
      <c r="BC801" s="69"/>
      <c r="BD801" s="69"/>
      <c r="BE801" s="69"/>
      <c r="BF801" s="69"/>
      <c r="BG801" s="69"/>
      <c r="BH801" s="69"/>
      <c r="BI801" s="69"/>
      <c r="BJ801" s="69"/>
      <c r="BK801" s="69"/>
      <c r="BL801" s="69"/>
      <c r="BM801" s="69"/>
      <c r="BN801" s="69"/>
      <c r="BO801" s="69"/>
      <c r="BP801" s="69"/>
      <c r="BQ801" s="69"/>
      <c r="BR801" s="69"/>
      <c r="BS801" s="69"/>
      <c r="BT801" s="69"/>
      <c r="BU801" s="69"/>
      <c r="BV801" s="69"/>
      <c r="BW801" s="69"/>
      <c r="BX801" s="69"/>
      <c r="BY801" s="69"/>
      <c r="BZ801" s="69"/>
      <c r="CA801" s="69"/>
      <c r="CB801" s="69"/>
      <c r="CC801" s="69"/>
      <c r="CD801" s="69"/>
      <c r="CE801" s="94">
        <f t="shared" si="66"/>
        <v>5261.7599999999993</v>
      </c>
      <c r="CF801" s="151">
        <f t="shared" si="68"/>
        <v>0</v>
      </c>
      <c r="CG801" s="75">
        <f t="shared" si="67"/>
        <v>4650</v>
      </c>
      <c r="CH801" s="69" t="str">
        <f t="shared" si="67"/>
        <v>برنامج دولى</v>
      </c>
    </row>
    <row r="802" spans="1:86" x14ac:dyDescent="0.25">
      <c r="A802" s="148"/>
      <c r="B802" s="82">
        <v>3827</v>
      </c>
      <c r="C802" s="160">
        <v>4651</v>
      </c>
      <c r="D802" s="69" t="s">
        <v>78</v>
      </c>
      <c r="E802" s="69" t="s">
        <v>3347</v>
      </c>
      <c r="F802" s="69" t="s">
        <v>220</v>
      </c>
      <c r="G802" s="69">
        <v>5283.15</v>
      </c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  <c r="AD802" s="69"/>
      <c r="AE802" s="69"/>
      <c r="AF802" s="69"/>
      <c r="AG802" s="69"/>
      <c r="AH802" s="69"/>
      <c r="AI802" s="69"/>
      <c r="AJ802" s="69"/>
      <c r="AK802" s="69"/>
      <c r="AL802" s="69"/>
      <c r="AM802" s="69"/>
      <c r="AN802" s="69"/>
      <c r="AO802" s="69"/>
      <c r="AP802" s="69"/>
      <c r="AQ802" s="69"/>
      <c r="AR802" s="94">
        <f t="shared" si="59"/>
        <v>5283.15</v>
      </c>
      <c r="AS802" s="69">
        <v>3649.23</v>
      </c>
      <c r="AT802" s="69">
        <f>23.05+29.7</f>
        <v>52.75</v>
      </c>
      <c r="AU802" s="69">
        <f>1092.68+180.24</f>
        <v>1272.92</v>
      </c>
      <c r="AV802" s="69">
        <f>306+2.25</f>
        <v>308.25</v>
      </c>
      <c r="AW802" s="69"/>
      <c r="AX802" s="69"/>
      <c r="AY802" s="69"/>
      <c r="AZ802" s="69"/>
      <c r="BA802" s="69"/>
      <c r="BB802" s="69"/>
      <c r="BC802" s="69"/>
      <c r="BD802" s="69"/>
      <c r="BE802" s="69"/>
      <c r="BF802" s="69"/>
      <c r="BG802" s="69"/>
      <c r="BH802" s="69"/>
      <c r="BI802" s="69"/>
      <c r="BJ802" s="69"/>
      <c r="BK802" s="69"/>
      <c r="BL802" s="69"/>
      <c r="BM802" s="69"/>
      <c r="BN802" s="69"/>
      <c r="BO802" s="69"/>
      <c r="BP802" s="69"/>
      <c r="BQ802" s="69"/>
      <c r="BR802" s="69"/>
      <c r="BS802" s="69"/>
      <c r="BT802" s="69"/>
      <c r="BU802" s="69"/>
      <c r="BV802" s="69"/>
      <c r="BW802" s="69"/>
      <c r="BX802" s="69"/>
      <c r="BY802" s="69"/>
      <c r="BZ802" s="69"/>
      <c r="CA802" s="69"/>
      <c r="CB802" s="69"/>
      <c r="CC802" s="69"/>
      <c r="CD802" s="69"/>
      <c r="CE802" s="94">
        <f t="shared" si="66"/>
        <v>5283.15</v>
      </c>
      <c r="CF802" s="151">
        <f t="shared" si="68"/>
        <v>0</v>
      </c>
      <c r="CG802" s="75">
        <f t="shared" si="67"/>
        <v>4651</v>
      </c>
      <c r="CH802" s="69" t="str">
        <f t="shared" si="67"/>
        <v>برنامج دولى</v>
      </c>
    </row>
    <row r="803" spans="1:86" x14ac:dyDescent="0.25">
      <c r="A803" s="148"/>
      <c r="B803" s="82">
        <v>3829</v>
      </c>
      <c r="C803" s="160">
        <v>4652</v>
      </c>
      <c r="D803" s="69" t="s">
        <v>78</v>
      </c>
      <c r="E803" s="69" t="s">
        <v>3347</v>
      </c>
      <c r="F803" s="69" t="s">
        <v>220</v>
      </c>
      <c r="G803" s="69">
        <v>10875.27</v>
      </c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  <c r="AD803" s="69"/>
      <c r="AE803" s="69"/>
      <c r="AF803" s="69"/>
      <c r="AG803" s="69"/>
      <c r="AH803" s="69"/>
      <c r="AI803" s="69"/>
      <c r="AJ803" s="69"/>
      <c r="AK803" s="69"/>
      <c r="AL803" s="69"/>
      <c r="AM803" s="69"/>
      <c r="AN803" s="69"/>
      <c r="AO803" s="69"/>
      <c r="AP803" s="69"/>
      <c r="AQ803" s="69"/>
      <c r="AR803" s="94">
        <f t="shared" si="59"/>
        <v>10875.27</v>
      </c>
      <c r="AS803" s="69">
        <v>6880.02</v>
      </c>
      <c r="AT803" s="69">
        <f>28.68+58.15</f>
        <v>86.83</v>
      </c>
      <c r="AU803" s="69">
        <f>2249.29+371.02</f>
        <v>2620.31</v>
      </c>
      <c r="AV803" s="69">
        <f>50+4.35</f>
        <v>54.35</v>
      </c>
      <c r="AW803" s="69">
        <f>259.01+3.56+181.64+40+74.15</f>
        <v>558.36</v>
      </c>
      <c r="AX803" s="69">
        <v>675.4</v>
      </c>
      <c r="AY803" s="69"/>
      <c r="AZ803" s="69"/>
      <c r="BA803" s="69"/>
      <c r="BB803" s="69"/>
      <c r="BC803" s="69"/>
      <c r="BD803" s="69"/>
      <c r="BE803" s="69"/>
      <c r="BF803" s="69"/>
      <c r="BG803" s="69"/>
      <c r="BH803" s="69"/>
      <c r="BI803" s="69"/>
      <c r="BJ803" s="69"/>
      <c r="BK803" s="69"/>
      <c r="BL803" s="69"/>
      <c r="BM803" s="69"/>
      <c r="BN803" s="69"/>
      <c r="BO803" s="69"/>
      <c r="BP803" s="69"/>
      <c r="BQ803" s="69"/>
      <c r="BR803" s="69"/>
      <c r="BS803" s="69"/>
      <c r="BT803" s="69"/>
      <c r="BU803" s="69"/>
      <c r="BV803" s="69"/>
      <c r="BW803" s="69"/>
      <c r="BX803" s="69"/>
      <c r="BY803" s="69"/>
      <c r="BZ803" s="69"/>
      <c r="CA803" s="69"/>
      <c r="CB803" s="69"/>
      <c r="CC803" s="69"/>
      <c r="CD803" s="69"/>
      <c r="CE803" s="94">
        <f t="shared" si="66"/>
        <v>10875.27</v>
      </c>
      <c r="CF803" s="151">
        <f t="shared" si="68"/>
        <v>0</v>
      </c>
      <c r="CG803" s="75">
        <f t="shared" si="67"/>
        <v>4652</v>
      </c>
      <c r="CH803" s="69" t="str">
        <f t="shared" si="67"/>
        <v>برنامج دولى</v>
      </c>
    </row>
    <row r="804" spans="1:86" x14ac:dyDescent="0.25">
      <c r="A804" s="148"/>
      <c r="B804" s="82">
        <v>3830</v>
      </c>
      <c r="C804" s="160">
        <v>4653</v>
      </c>
      <c r="D804" s="69" t="s">
        <v>78</v>
      </c>
      <c r="E804" s="69" t="s">
        <v>3347</v>
      </c>
      <c r="F804" s="69" t="s">
        <v>220</v>
      </c>
      <c r="G804" s="69">
        <v>11102.54</v>
      </c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  <c r="AD804" s="69"/>
      <c r="AE804" s="69"/>
      <c r="AF804" s="69"/>
      <c r="AG804" s="69"/>
      <c r="AH804" s="69"/>
      <c r="AI804" s="69"/>
      <c r="AJ804" s="69"/>
      <c r="AK804" s="69"/>
      <c r="AL804" s="69"/>
      <c r="AM804" s="69"/>
      <c r="AN804" s="69"/>
      <c r="AO804" s="69"/>
      <c r="AP804" s="69"/>
      <c r="AQ804" s="69"/>
      <c r="AR804" s="94">
        <f t="shared" si="59"/>
        <v>11102.54</v>
      </c>
      <c r="AS804" s="69">
        <v>8263.74</v>
      </c>
      <c r="AT804" s="69">
        <f>86.5+62.5</f>
        <v>149</v>
      </c>
      <c r="AU804" s="69">
        <f>2296.28+378.78</f>
        <v>2675.0600000000004</v>
      </c>
      <c r="AV804" s="69">
        <f>10+4.74</f>
        <v>14.74</v>
      </c>
      <c r="AW804" s="69"/>
      <c r="AX804" s="69"/>
      <c r="AY804" s="69"/>
      <c r="AZ804" s="69"/>
      <c r="BA804" s="69"/>
      <c r="BB804" s="69"/>
      <c r="BC804" s="69"/>
      <c r="BD804" s="69"/>
      <c r="BE804" s="69"/>
      <c r="BF804" s="69"/>
      <c r="BG804" s="69"/>
      <c r="BH804" s="69"/>
      <c r="BI804" s="69"/>
      <c r="BJ804" s="69"/>
      <c r="BK804" s="69"/>
      <c r="BL804" s="69"/>
      <c r="BM804" s="69"/>
      <c r="BN804" s="69"/>
      <c r="BO804" s="69"/>
      <c r="BP804" s="69"/>
      <c r="BQ804" s="69"/>
      <c r="BR804" s="69"/>
      <c r="BS804" s="69"/>
      <c r="BT804" s="69"/>
      <c r="BU804" s="69"/>
      <c r="BV804" s="69"/>
      <c r="BW804" s="69"/>
      <c r="BX804" s="69"/>
      <c r="BY804" s="69"/>
      <c r="BZ804" s="69"/>
      <c r="CA804" s="69"/>
      <c r="CB804" s="69"/>
      <c r="CC804" s="69"/>
      <c r="CD804" s="69"/>
      <c r="CE804" s="94">
        <f t="shared" si="66"/>
        <v>11102.539999999999</v>
      </c>
      <c r="CF804" s="151">
        <f t="shared" si="68"/>
        <v>0</v>
      </c>
      <c r="CG804" s="75">
        <f t="shared" si="67"/>
        <v>4653</v>
      </c>
      <c r="CH804" s="69" t="str">
        <f t="shared" si="67"/>
        <v>برنامج دولى</v>
      </c>
    </row>
    <row r="805" spans="1:86" x14ac:dyDescent="0.25">
      <c r="A805" s="148"/>
      <c r="B805" s="82">
        <v>3831</v>
      </c>
      <c r="C805" s="160">
        <v>4654</v>
      </c>
      <c r="D805" s="69" t="s">
        <v>78</v>
      </c>
      <c r="E805" s="69" t="s">
        <v>3347</v>
      </c>
      <c r="F805" s="69" t="s">
        <v>220</v>
      </c>
      <c r="G805" s="69">
        <v>5261.76</v>
      </c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  <c r="AE805" s="69"/>
      <c r="AF805" s="69"/>
      <c r="AG805" s="69"/>
      <c r="AH805" s="69"/>
      <c r="AI805" s="69"/>
      <c r="AJ805" s="69"/>
      <c r="AK805" s="69"/>
      <c r="AL805" s="69"/>
      <c r="AM805" s="69"/>
      <c r="AN805" s="69"/>
      <c r="AO805" s="69"/>
      <c r="AP805" s="69"/>
      <c r="AQ805" s="69"/>
      <c r="AR805" s="94">
        <f t="shared" si="59"/>
        <v>5261.76</v>
      </c>
      <c r="AS805" s="69">
        <v>3781.88</v>
      </c>
      <c r="AT805" s="69">
        <f>21.44+29.6</f>
        <v>51.040000000000006</v>
      </c>
      <c r="AU805" s="69">
        <f>1088.27+179.51</f>
        <v>1267.78</v>
      </c>
      <c r="AV805" s="69">
        <f>158.82+2.24</f>
        <v>161.06</v>
      </c>
      <c r="AW805" s="69"/>
      <c r="AX805" s="69"/>
      <c r="AY805" s="69"/>
      <c r="AZ805" s="69"/>
      <c r="BA805" s="69"/>
      <c r="BB805" s="69"/>
      <c r="BC805" s="69"/>
      <c r="BD805" s="69"/>
      <c r="BE805" s="69"/>
      <c r="BF805" s="69"/>
      <c r="BG805" s="69"/>
      <c r="BH805" s="69"/>
      <c r="BI805" s="69"/>
      <c r="BJ805" s="69"/>
      <c r="BK805" s="69"/>
      <c r="BL805" s="69"/>
      <c r="BM805" s="69"/>
      <c r="BN805" s="69"/>
      <c r="BO805" s="69"/>
      <c r="BP805" s="69"/>
      <c r="BQ805" s="69"/>
      <c r="BR805" s="69"/>
      <c r="BS805" s="69"/>
      <c r="BT805" s="69"/>
      <c r="BU805" s="69"/>
      <c r="BV805" s="69"/>
      <c r="BW805" s="69"/>
      <c r="BX805" s="69"/>
      <c r="BY805" s="69"/>
      <c r="BZ805" s="69"/>
      <c r="CA805" s="69"/>
      <c r="CB805" s="69"/>
      <c r="CC805" s="69"/>
      <c r="CD805" s="69"/>
      <c r="CE805" s="94">
        <f t="shared" si="66"/>
        <v>5261.76</v>
      </c>
      <c r="CF805" s="151">
        <f t="shared" si="68"/>
        <v>0</v>
      </c>
      <c r="CG805" s="75">
        <f t="shared" si="67"/>
        <v>4654</v>
      </c>
      <c r="CH805" s="69" t="str">
        <f t="shared" si="67"/>
        <v>برنامج دولى</v>
      </c>
    </row>
    <row r="806" spans="1:86" x14ac:dyDescent="0.25">
      <c r="A806" s="148"/>
      <c r="B806" s="82">
        <v>3832</v>
      </c>
      <c r="C806" s="160">
        <v>4655</v>
      </c>
      <c r="D806" s="69" t="s">
        <v>78</v>
      </c>
      <c r="E806" s="69" t="s">
        <v>3347</v>
      </c>
      <c r="F806" s="69" t="s">
        <v>220</v>
      </c>
      <c r="G806" s="69">
        <v>10523.52</v>
      </c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  <c r="AD806" s="69"/>
      <c r="AE806" s="69"/>
      <c r="AF806" s="69"/>
      <c r="AG806" s="69"/>
      <c r="AH806" s="69"/>
      <c r="AI806" s="69"/>
      <c r="AJ806" s="69"/>
      <c r="AK806" s="69"/>
      <c r="AL806" s="69"/>
      <c r="AM806" s="69"/>
      <c r="AN806" s="69"/>
      <c r="AO806" s="69"/>
      <c r="AP806" s="69"/>
      <c r="AQ806" s="69"/>
      <c r="AR806" s="94">
        <f t="shared" si="59"/>
        <v>10523.52</v>
      </c>
      <c r="AS806" s="69">
        <v>7875.4</v>
      </c>
      <c r="AT806" s="69">
        <f>42.88+59.2</f>
        <v>102.08000000000001</v>
      </c>
      <c r="AU806" s="69">
        <f>2176.54+359.02</f>
        <v>2535.56</v>
      </c>
      <c r="AV806" s="69">
        <f>6+4.48</f>
        <v>10.48</v>
      </c>
      <c r="AW806" s="69"/>
      <c r="AX806" s="69"/>
      <c r="AY806" s="69"/>
      <c r="AZ806" s="69"/>
      <c r="BA806" s="69"/>
      <c r="BB806" s="69"/>
      <c r="BC806" s="69"/>
      <c r="BD806" s="69"/>
      <c r="BE806" s="69"/>
      <c r="BF806" s="69"/>
      <c r="BG806" s="69"/>
      <c r="BH806" s="69"/>
      <c r="BI806" s="69"/>
      <c r="BJ806" s="69"/>
      <c r="BK806" s="69"/>
      <c r="BL806" s="69"/>
      <c r="BM806" s="69"/>
      <c r="BN806" s="69"/>
      <c r="BO806" s="69"/>
      <c r="BP806" s="69"/>
      <c r="BQ806" s="69"/>
      <c r="BR806" s="69"/>
      <c r="BS806" s="69"/>
      <c r="BT806" s="69"/>
      <c r="BU806" s="69"/>
      <c r="BV806" s="69"/>
      <c r="BW806" s="69"/>
      <c r="BX806" s="69"/>
      <c r="BY806" s="69"/>
      <c r="BZ806" s="69"/>
      <c r="CA806" s="69"/>
      <c r="CB806" s="69"/>
      <c r="CC806" s="69"/>
      <c r="CD806" s="69"/>
      <c r="CE806" s="94">
        <f t="shared" si="66"/>
        <v>10523.519999999999</v>
      </c>
      <c r="CF806" s="151">
        <f t="shared" si="68"/>
        <v>0</v>
      </c>
      <c r="CG806" s="75">
        <f t="shared" si="67"/>
        <v>4655</v>
      </c>
      <c r="CH806" s="69" t="str">
        <f t="shared" si="67"/>
        <v>برنامج دولى</v>
      </c>
    </row>
    <row r="807" spans="1:86" x14ac:dyDescent="0.25">
      <c r="A807" s="148"/>
      <c r="B807" s="82">
        <v>3833</v>
      </c>
      <c r="C807" s="160">
        <v>4656</v>
      </c>
      <c r="D807" s="69" t="s">
        <v>78</v>
      </c>
      <c r="E807" s="69" t="s">
        <v>3347</v>
      </c>
      <c r="F807" s="69" t="s">
        <v>220</v>
      </c>
      <c r="G807" s="69">
        <v>15742.05</v>
      </c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  <c r="AD807" s="69"/>
      <c r="AE807" s="69"/>
      <c r="AF807" s="69"/>
      <c r="AG807" s="69"/>
      <c r="AH807" s="69"/>
      <c r="AI807" s="69"/>
      <c r="AJ807" s="69"/>
      <c r="AK807" s="69"/>
      <c r="AL807" s="69"/>
      <c r="AM807" s="69"/>
      <c r="AN807" s="69"/>
      <c r="AO807" s="69"/>
      <c r="AP807" s="69"/>
      <c r="AQ807" s="69"/>
      <c r="AR807" s="94">
        <f t="shared" si="59"/>
        <v>15742.05</v>
      </c>
      <c r="AS807" s="69">
        <v>11663.8</v>
      </c>
      <c r="AT807" s="69">
        <f>61.06+88.6</f>
        <v>149.66</v>
      </c>
      <c r="AU807" s="69">
        <f>3255.82+537.05</f>
        <v>3792.87</v>
      </c>
      <c r="AV807" s="69">
        <f>129+6.72</f>
        <v>135.72</v>
      </c>
      <c r="AW807" s="69"/>
      <c r="AX807" s="69"/>
      <c r="AY807" s="69"/>
      <c r="AZ807" s="69"/>
      <c r="BA807" s="69"/>
      <c r="BB807" s="69"/>
      <c r="BC807" s="69"/>
      <c r="BD807" s="69"/>
      <c r="BE807" s="69"/>
      <c r="BF807" s="69"/>
      <c r="BG807" s="69"/>
      <c r="BH807" s="69"/>
      <c r="BI807" s="69"/>
      <c r="BJ807" s="69"/>
      <c r="BK807" s="69"/>
      <c r="BL807" s="69"/>
      <c r="BM807" s="69"/>
      <c r="BN807" s="69"/>
      <c r="BO807" s="69"/>
      <c r="BP807" s="69"/>
      <c r="BQ807" s="69"/>
      <c r="BR807" s="69"/>
      <c r="BS807" s="69"/>
      <c r="BT807" s="69"/>
      <c r="BU807" s="69"/>
      <c r="BV807" s="69"/>
      <c r="BW807" s="69"/>
      <c r="BX807" s="69"/>
      <c r="BY807" s="69"/>
      <c r="BZ807" s="69"/>
      <c r="CA807" s="69"/>
      <c r="CB807" s="69"/>
      <c r="CC807" s="69"/>
      <c r="CD807" s="69"/>
      <c r="CE807" s="94">
        <f t="shared" si="66"/>
        <v>15742.049999999997</v>
      </c>
      <c r="CF807" s="151">
        <f t="shared" si="68"/>
        <v>0</v>
      </c>
      <c r="CG807" s="75">
        <f t="shared" si="67"/>
        <v>4656</v>
      </c>
      <c r="CH807" s="69" t="str">
        <f t="shared" si="67"/>
        <v>برنامج دولى</v>
      </c>
    </row>
    <row r="808" spans="1:86" x14ac:dyDescent="0.25">
      <c r="A808" s="148"/>
      <c r="B808" s="82">
        <v>3834</v>
      </c>
      <c r="C808" s="160">
        <v>4657</v>
      </c>
      <c r="D808" s="69" t="s">
        <v>78</v>
      </c>
      <c r="E808" s="69" t="s">
        <v>3347</v>
      </c>
      <c r="F808" s="69" t="s">
        <v>220</v>
      </c>
      <c r="G808" s="69">
        <v>5551.27</v>
      </c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  <c r="AD808" s="69"/>
      <c r="AE808" s="69"/>
      <c r="AF808" s="69"/>
      <c r="AG808" s="69"/>
      <c r="AH808" s="69"/>
      <c r="AI808" s="69"/>
      <c r="AJ808" s="69"/>
      <c r="AK808" s="69"/>
      <c r="AL808" s="69"/>
      <c r="AM808" s="69"/>
      <c r="AN808" s="69"/>
      <c r="AO808" s="69"/>
      <c r="AP808" s="69"/>
      <c r="AQ808" s="69"/>
      <c r="AR808" s="94">
        <f t="shared" si="59"/>
        <v>5551.27</v>
      </c>
      <c r="AS808" s="69">
        <v>4131.87</v>
      </c>
      <c r="AT808" s="69">
        <f>43.25+31.25</f>
        <v>74.5</v>
      </c>
      <c r="AU808" s="69">
        <f>1148.14+189.39</f>
        <v>1337.5300000000002</v>
      </c>
      <c r="AV808" s="69">
        <f>5+2.37</f>
        <v>7.37</v>
      </c>
      <c r="AW808" s="69"/>
      <c r="AX808" s="69"/>
      <c r="AY808" s="69"/>
      <c r="AZ808" s="69"/>
      <c r="BA808" s="69"/>
      <c r="BB808" s="69"/>
      <c r="BC808" s="69"/>
      <c r="BD808" s="69"/>
      <c r="BE808" s="69"/>
      <c r="BF808" s="69"/>
      <c r="BG808" s="69"/>
      <c r="BH808" s="69"/>
      <c r="BI808" s="69"/>
      <c r="BJ808" s="69"/>
      <c r="BK808" s="69"/>
      <c r="BL808" s="69"/>
      <c r="BM808" s="69"/>
      <c r="BN808" s="69"/>
      <c r="BO808" s="69"/>
      <c r="BP808" s="69"/>
      <c r="BQ808" s="69"/>
      <c r="BR808" s="69"/>
      <c r="BS808" s="69"/>
      <c r="BT808" s="69"/>
      <c r="BU808" s="69"/>
      <c r="BV808" s="69"/>
      <c r="BW808" s="69"/>
      <c r="BX808" s="69"/>
      <c r="BY808" s="69"/>
      <c r="BZ808" s="69"/>
      <c r="CA808" s="69"/>
      <c r="CB808" s="69"/>
      <c r="CC808" s="69"/>
      <c r="CD808" s="69"/>
      <c r="CE808" s="94">
        <f t="shared" si="66"/>
        <v>5551.2699999999995</v>
      </c>
      <c r="CF808" s="151">
        <f t="shared" si="68"/>
        <v>0</v>
      </c>
      <c r="CG808" s="75">
        <f t="shared" si="67"/>
        <v>4657</v>
      </c>
      <c r="CH808" s="69" t="str">
        <f t="shared" si="67"/>
        <v>برنامج دولى</v>
      </c>
    </row>
    <row r="809" spans="1:86" x14ac:dyDescent="0.25">
      <c r="A809" s="148"/>
      <c r="B809" s="82">
        <v>3835</v>
      </c>
      <c r="C809" s="160">
        <v>4658</v>
      </c>
      <c r="D809" s="69" t="s">
        <v>78</v>
      </c>
      <c r="E809" s="69" t="s">
        <v>3347</v>
      </c>
      <c r="F809" s="69" t="s">
        <v>220</v>
      </c>
      <c r="G809" s="69">
        <v>5261.76</v>
      </c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  <c r="AD809" s="69"/>
      <c r="AE809" s="69"/>
      <c r="AF809" s="69"/>
      <c r="AG809" s="69"/>
      <c r="AH809" s="69"/>
      <c r="AI809" s="69"/>
      <c r="AJ809" s="69"/>
      <c r="AK809" s="69"/>
      <c r="AL809" s="69"/>
      <c r="AM809" s="69"/>
      <c r="AN809" s="69"/>
      <c r="AO809" s="69"/>
      <c r="AP809" s="69"/>
      <c r="AQ809" s="69"/>
      <c r="AR809" s="94">
        <f t="shared" si="59"/>
        <v>5261.76</v>
      </c>
      <c r="AS809" s="69">
        <v>3937.7</v>
      </c>
      <c r="AT809" s="69">
        <f>21.44+29.6</f>
        <v>51.040000000000006</v>
      </c>
      <c r="AU809" s="69">
        <f>1088.27+179.51</f>
        <v>1267.78</v>
      </c>
      <c r="AV809" s="69">
        <f>3+2.24</f>
        <v>5.24</v>
      </c>
      <c r="AW809" s="69"/>
      <c r="AX809" s="69"/>
      <c r="AY809" s="69"/>
      <c r="AZ809" s="69"/>
      <c r="BA809" s="69"/>
      <c r="BB809" s="69"/>
      <c r="BC809" s="69"/>
      <c r="BD809" s="69"/>
      <c r="BE809" s="69"/>
      <c r="BF809" s="69"/>
      <c r="BG809" s="69"/>
      <c r="BH809" s="69"/>
      <c r="BI809" s="69"/>
      <c r="BJ809" s="69"/>
      <c r="BK809" s="69"/>
      <c r="BL809" s="69"/>
      <c r="BM809" s="69"/>
      <c r="BN809" s="69"/>
      <c r="BO809" s="69"/>
      <c r="BP809" s="69"/>
      <c r="BQ809" s="69"/>
      <c r="BR809" s="69"/>
      <c r="BS809" s="69"/>
      <c r="BT809" s="69"/>
      <c r="BU809" s="69"/>
      <c r="BV809" s="69"/>
      <c r="BW809" s="69"/>
      <c r="BX809" s="69"/>
      <c r="BY809" s="69"/>
      <c r="BZ809" s="69"/>
      <c r="CA809" s="69"/>
      <c r="CB809" s="69"/>
      <c r="CC809" s="69"/>
      <c r="CD809" s="69"/>
      <c r="CE809" s="94">
        <f t="shared" si="66"/>
        <v>5261.7599999999993</v>
      </c>
      <c r="CF809" s="151">
        <f t="shared" si="68"/>
        <v>0</v>
      </c>
      <c r="CG809" s="75">
        <f t="shared" si="67"/>
        <v>4658</v>
      </c>
      <c r="CH809" s="69" t="str">
        <f t="shared" si="67"/>
        <v>برنامج دولى</v>
      </c>
    </row>
    <row r="810" spans="1:86" x14ac:dyDescent="0.25">
      <c r="A810" s="148"/>
      <c r="B810" s="82">
        <v>3837</v>
      </c>
      <c r="C810" s="160">
        <v>4659</v>
      </c>
      <c r="D810" s="69" t="s">
        <v>78</v>
      </c>
      <c r="E810" s="69" t="s">
        <v>3347</v>
      </c>
      <c r="F810" s="69" t="s">
        <v>220</v>
      </c>
      <c r="G810" s="69">
        <v>5551.27</v>
      </c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  <c r="AD810" s="69"/>
      <c r="AE810" s="69"/>
      <c r="AF810" s="69"/>
      <c r="AG810" s="69"/>
      <c r="AH810" s="69"/>
      <c r="AI810" s="69"/>
      <c r="AJ810" s="69"/>
      <c r="AK810" s="69"/>
      <c r="AL810" s="69"/>
      <c r="AM810" s="69"/>
      <c r="AN810" s="69"/>
      <c r="AO810" s="69"/>
      <c r="AP810" s="69"/>
      <c r="AQ810" s="69"/>
      <c r="AR810" s="94">
        <f t="shared" si="59"/>
        <v>5551.27</v>
      </c>
      <c r="AS810" s="69">
        <v>4133.87</v>
      </c>
      <c r="AT810" s="69">
        <f>43.25+31.25</f>
        <v>74.5</v>
      </c>
      <c r="AU810" s="69">
        <f>1148.14+189.39</f>
        <v>1337.5300000000002</v>
      </c>
      <c r="AV810" s="69">
        <f>3+2.37</f>
        <v>5.37</v>
      </c>
      <c r="AW810" s="69"/>
      <c r="AX810" s="69"/>
      <c r="AY810" s="69"/>
      <c r="AZ810" s="69"/>
      <c r="BA810" s="69"/>
      <c r="BB810" s="69"/>
      <c r="BC810" s="69"/>
      <c r="BD810" s="69"/>
      <c r="BE810" s="69"/>
      <c r="BF810" s="69"/>
      <c r="BG810" s="69"/>
      <c r="BH810" s="69"/>
      <c r="BI810" s="69"/>
      <c r="BJ810" s="69"/>
      <c r="BK810" s="69"/>
      <c r="BL810" s="69"/>
      <c r="BM810" s="69"/>
      <c r="BN810" s="69"/>
      <c r="BO810" s="69"/>
      <c r="BP810" s="69"/>
      <c r="BQ810" s="69"/>
      <c r="BR810" s="69"/>
      <c r="BS810" s="69"/>
      <c r="BT810" s="69"/>
      <c r="BU810" s="69"/>
      <c r="BV810" s="69"/>
      <c r="BW810" s="69"/>
      <c r="BX810" s="69"/>
      <c r="BY810" s="69"/>
      <c r="BZ810" s="69"/>
      <c r="CA810" s="69"/>
      <c r="CB810" s="69"/>
      <c r="CC810" s="69"/>
      <c r="CD810" s="69"/>
      <c r="CE810" s="94">
        <f t="shared" si="66"/>
        <v>5551.2699999999995</v>
      </c>
      <c r="CF810" s="151">
        <f t="shared" si="68"/>
        <v>0</v>
      </c>
      <c r="CG810" s="75">
        <f t="shared" si="67"/>
        <v>4659</v>
      </c>
      <c r="CH810" s="69" t="str">
        <f t="shared" si="67"/>
        <v>برنامج دولى</v>
      </c>
    </row>
    <row r="811" spans="1:86" x14ac:dyDescent="0.25">
      <c r="A811" s="148"/>
      <c r="B811" s="82">
        <v>3836</v>
      </c>
      <c r="C811" s="160">
        <v>4660</v>
      </c>
      <c r="D811" s="69" t="s">
        <v>78</v>
      </c>
      <c r="E811" s="69" t="s">
        <v>3347</v>
      </c>
      <c r="F811" s="69" t="s">
        <v>220</v>
      </c>
      <c r="G811" s="69">
        <v>5261.76</v>
      </c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  <c r="AD811" s="69"/>
      <c r="AE811" s="69"/>
      <c r="AF811" s="69"/>
      <c r="AG811" s="69"/>
      <c r="AH811" s="69"/>
      <c r="AI811" s="69"/>
      <c r="AJ811" s="69"/>
      <c r="AK811" s="69"/>
      <c r="AL811" s="69"/>
      <c r="AM811" s="69"/>
      <c r="AN811" s="69"/>
      <c r="AO811" s="69"/>
      <c r="AP811" s="69"/>
      <c r="AQ811" s="69"/>
      <c r="AR811" s="94">
        <f t="shared" si="59"/>
        <v>5261.76</v>
      </c>
      <c r="AS811" s="69">
        <v>3937.7</v>
      </c>
      <c r="AT811" s="69">
        <f>21.44+29.6</f>
        <v>51.040000000000006</v>
      </c>
      <c r="AU811" s="69">
        <f>1088.27+179.51</f>
        <v>1267.78</v>
      </c>
      <c r="AV811" s="69">
        <f>3+2.24</f>
        <v>5.24</v>
      </c>
      <c r="AW811" s="69"/>
      <c r="AX811" s="69"/>
      <c r="AY811" s="69"/>
      <c r="AZ811" s="69"/>
      <c r="BA811" s="69"/>
      <c r="BB811" s="69"/>
      <c r="BC811" s="69"/>
      <c r="BD811" s="69"/>
      <c r="BE811" s="69"/>
      <c r="BF811" s="69"/>
      <c r="BG811" s="69"/>
      <c r="BH811" s="69"/>
      <c r="BI811" s="69"/>
      <c r="BJ811" s="69"/>
      <c r="BK811" s="69"/>
      <c r="BL811" s="69"/>
      <c r="BM811" s="69"/>
      <c r="BN811" s="69"/>
      <c r="BO811" s="69"/>
      <c r="BP811" s="69"/>
      <c r="BQ811" s="69"/>
      <c r="BR811" s="69"/>
      <c r="BS811" s="69"/>
      <c r="BT811" s="69"/>
      <c r="BU811" s="69"/>
      <c r="BV811" s="69"/>
      <c r="BW811" s="69"/>
      <c r="BX811" s="69"/>
      <c r="BY811" s="69"/>
      <c r="BZ811" s="69"/>
      <c r="CA811" s="69"/>
      <c r="CB811" s="69"/>
      <c r="CC811" s="69"/>
      <c r="CD811" s="69"/>
      <c r="CE811" s="94">
        <f t="shared" si="66"/>
        <v>5261.7599999999993</v>
      </c>
      <c r="CF811" s="151">
        <f t="shared" si="68"/>
        <v>0</v>
      </c>
      <c r="CG811" s="75">
        <f t="shared" si="67"/>
        <v>4660</v>
      </c>
      <c r="CH811" s="69" t="str">
        <f t="shared" si="67"/>
        <v>برنامج دولى</v>
      </c>
    </row>
    <row r="812" spans="1:86" x14ac:dyDescent="0.25">
      <c r="A812" s="148"/>
      <c r="B812" s="82">
        <v>3838</v>
      </c>
      <c r="C812" s="160">
        <v>4661</v>
      </c>
      <c r="D812" s="69" t="s">
        <v>78</v>
      </c>
      <c r="E812" s="69" t="s">
        <v>3347</v>
      </c>
      <c r="F812" s="69" t="s">
        <v>220</v>
      </c>
      <c r="G812" s="69">
        <v>5551.27</v>
      </c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  <c r="AD812" s="69"/>
      <c r="AE812" s="69"/>
      <c r="AF812" s="69"/>
      <c r="AG812" s="69"/>
      <c r="AH812" s="69"/>
      <c r="AI812" s="69"/>
      <c r="AJ812" s="69"/>
      <c r="AK812" s="69"/>
      <c r="AL812" s="69"/>
      <c r="AM812" s="69"/>
      <c r="AN812" s="69"/>
      <c r="AO812" s="69"/>
      <c r="AP812" s="69"/>
      <c r="AQ812" s="69"/>
      <c r="AR812" s="94">
        <f t="shared" si="59"/>
        <v>5551.27</v>
      </c>
      <c r="AS812" s="69">
        <v>4133.87</v>
      </c>
      <c r="AT812" s="69">
        <f>43.25+31.25</f>
        <v>74.5</v>
      </c>
      <c r="AU812" s="69">
        <f>1148.14+189.39</f>
        <v>1337.5300000000002</v>
      </c>
      <c r="AV812" s="69">
        <f>3+2.37</f>
        <v>5.37</v>
      </c>
      <c r="AW812" s="69"/>
      <c r="AX812" s="69"/>
      <c r="AY812" s="69"/>
      <c r="AZ812" s="69"/>
      <c r="BA812" s="69"/>
      <c r="BB812" s="69"/>
      <c r="BC812" s="69"/>
      <c r="BD812" s="69"/>
      <c r="BE812" s="69"/>
      <c r="BF812" s="69"/>
      <c r="BG812" s="69"/>
      <c r="BH812" s="69"/>
      <c r="BI812" s="69"/>
      <c r="BJ812" s="69"/>
      <c r="BK812" s="69"/>
      <c r="BL812" s="69"/>
      <c r="BM812" s="69"/>
      <c r="BN812" s="69"/>
      <c r="BO812" s="69"/>
      <c r="BP812" s="69"/>
      <c r="BQ812" s="69"/>
      <c r="BR812" s="69"/>
      <c r="BS812" s="69"/>
      <c r="BT812" s="69"/>
      <c r="BU812" s="69"/>
      <c r="BV812" s="69"/>
      <c r="BW812" s="69"/>
      <c r="BX812" s="69"/>
      <c r="BY812" s="69"/>
      <c r="BZ812" s="69"/>
      <c r="CA812" s="69"/>
      <c r="CB812" s="69"/>
      <c r="CC812" s="69"/>
      <c r="CD812" s="69"/>
      <c r="CE812" s="94">
        <f t="shared" si="66"/>
        <v>5551.2699999999995</v>
      </c>
      <c r="CF812" s="151">
        <f t="shared" si="68"/>
        <v>0</v>
      </c>
      <c r="CG812" s="75">
        <f t="shared" si="67"/>
        <v>4661</v>
      </c>
      <c r="CH812" s="69" t="str">
        <f t="shared" si="67"/>
        <v>برنامج دولى</v>
      </c>
    </row>
    <row r="813" spans="1:86" x14ac:dyDescent="0.25">
      <c r="A813" s="148"/>
      <c r="B813" s="82">
        <v>3839</v>
      </c>
      <c r="C813" s="160">
        <v>4662</v>
      </c>
      <c r="D813" s="69" t="s">
        <v>78</v>
      </c>
      <c r="E813" s="69" t="s">
        <v>3347</v>
      </c>
      <c r="F813" s="69" t="s">
        <v>220</v>
      </c>
      <c r="G813" s="69">
        <v>5553.62</v>
      </c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  <c r="AD813" s="69"/>
      <c r="AE813" s="69"/>
      <c r="AF813" s="69"/>
      <c r="AG813" s="69"/>
      <c r="AH813" s="69"/>
      <c r="AI813" s="69"/>
      <c r="AJ813" s="69"/>
      <c r="AK813" s="69"/>
      <c r="AL813" s="69"/>
      <c r="AM813" s="69"/>
      <c r="AN813" s="69"/>
      <c r="AO813" s="69"/>
      <c r="AP813" s="69"/>
      <c r="AQ813" s="69"/>
      <c r="AR813" s="94">
        <f t="shared" si="59"/>
        <v>5553.62</v>
      </c>
      <c r="AS813" s="69">
        <v>4135.47</v>
      </c>
      <c r="AT813" s="69">
        <f>43.43+31.25</f>
        <v>74.680000000000007</v>
      </c>
      <c r="AU813" s="69">
        <f>1148.63+189.47</f>
        <v>1338.1000000000001</v>
      </c>
      <c r="AV813" s="69">
        <f>3+2.37</f>
        <v>5.37</v>
      </c>
      <c r="AW813" s="69"/>
      <c r="AX813" s="69"/>
      <c r="AY813" s="69"/>
      <c r="AZ813" s="69"/>
      <c r="BA813" s="69"/>
      <c r="BB813" s="69"/>
      <c r="BC813" s="69"/>
      <c r="BD813" s="69"/>
      <c r="BE813" s="69"/>
      <c r="BF813" s="69"/>
      <c r="BG813" s="69"/>
      <c r="BH813" s="69"/>
      <c r="BI813" s="69"/>
      <c r="BJ813" s="69"/>
      <c r="BK813" s="69"/>
      <c r="BL813" s="69"/>
      <c r="BM813" s="69"/>
      <c r="BN813" s="69"/>
      <c r="BO813" s="69"/>
      <c r="BP813" s="69"/>
      <c r="BQ813" s="69"/>
      <c r="BR813" s="69"/>
      <c r="BS813" s="69"/>
      <c r="BT813" s="69"/>
      <c r="BU813" s="69"/>
      <c r="BV813" s="69"/>
      <c r="BW813" s="69"/>
      <c r="BX813" s="69"/>
      <c r="BY813" s="69"/>
      <c r="BZ813" s="69"/>
      <c r="CA813" s="69"/>
      <c r="CB813" s="69"/>
      <c r="CC813" s="69"/>
      <c r="CD813" s="69"/>
      <c r="CE813" s="94">
        <f t="shared" si="66"/>
        <v>5553.6200000000008</v>
      </c>
      <c r="CF813" s="151">
        <f t="shared" si="68"/>
        <v>0</v>
      </c>
      <c r="CG813" s="75">
        <f t="shared" si="67"/>
        <v>4662</v>
      </c>
      <c r="CH813" s="69" t="str">
        <f t="shared" si="67"/>
        <v>برنامج دولى</v>
      </c>
    </row>
    <row r="814" spans="1:86" x14ac:dyDescent="0.25">
      <c r="A814" s="148"/>
      <c r="B814" s="82">
        <v>3578</v>
      </c>
      <c r="C814" s="160">
        <v>4663</v>
      </c>
      <c r="D814" s="69" t="s">
        <v>132</v>
      </c>
      <c r="E814" s="69" t="s">
        <v>3347</v>
      </c>
      <c r="F814" s="69" t="s">
        <v>220</v>
      </c>
      <c r="G814" s="69">
        <v>60042.37</v>
      </c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  <c r="AE814" s="69"/>
      <c r="AF814" s="69"/>
      <c r="AG814" s="69"/>
      <c r="AH814" s="69"/>
      <c r="AI814" s="69"/>
      <c r="AJ814" s="69"/>
      <c r="AK814" s="69"/>
      <c r="AL814" s="69"/>
      <c r="AM814" s="69"/>
      <c r="AN814" s="69"/>
      <c r="AO814" s="69"/>
      <c r="AP814" s="69"/>
      <c r="AQ814" s="69"/>
      <c r="AR814" s="94">
        <f t="shared" si="59"/>
        <v>60042.37</v>
      </c>
      <c r="AS814" s="69">
        <v>43341.77</v>
      </c>
      <c r="AT814" s="69">
        <f>261.77+335.6</f>
        <v>597.37</v>
      </c>
      <c r="AU814" s="69">
        <f>12418.16+2048.36</f>
        <v>14466.52</v>
      </c>
      <c r="AV814" s="69">
        <f>1611.1+25.61</f>
        <v>1636.7099999999998</v>
      </c>
      <c r="AW814" s="69"/>
      <c r="AX814" s="69"/>
      <c r="AY814" s="69"/>
      <c r="AZ814" s="69"/>
      <c r="BA814" s="69"/>
      <c r="BB814" s="69"/>
      <c r="BC814" s="69"/>
      <c r="BD814" s="69"/>
      <c r="BE814" s="69"/>
      <c r="BF814" s="69"/>
      <c r="BG814" s="69"/>
      <c r="BH814" s="69"/>
      <c r="BI814" s="69"/>
      <c r="BJ814" s="69"/>
      <c r="BK814" s="69"/>
      <c r="BL814" s="69"/>
      <c r="BM814" s="69"/>
      <c r="BN814" s="69"/>
      <c r="BO814" s="69"/>
      <c r="BP814" s="69"/>
      <c r="BQ814" s="69"/>
      <c r="BR814" s="69"/>
      <c r="BS814" s="69"/>
      <c r="BT814" s="69"/>
      <c r="BU814" s="69"/>
      <c r="BV814" s="69"/>
      <c r="BW814" s="69"/>
      <c r="BX814" s="69"/>
      <c r="BY814" s="69"/>
      <c r="BZ814" s="69"/>
      <c r="CA814" s="69"/>
      <c r="CB814" s="69"/>
      <c r="CC814" s="69"/>
      <c r="CD814" s="69"/>
      <c r="CE814" s="94">
        <f t="shared" si="66"/>
        <v>60042.37</v>
      </c>
      <c r="CF814" s="151">
        <f t="shared" si="68"/>
        <v>0</v>
      </c>
      <c r="CG814" s="75">
        <f t="shared" si="67"/>
        <v>4663</v>
      </c>
      <c r="CH814" s="69" t="str">
        <f t="shared" si="67"/>
        <v>صيدلة اكلينيكى</v>
      </c>
    </row>
    <row r="815" spans="1:86" x14ac:dyDescent="0.25">
      <c r="A815" s="148"/>
      <c r="B815" s="82">
        <v>3579</v>
      </c>
      <c r="C815" s="160">
        <v>4664</v>
      </c>
      <c r="D815" s="69" t="s">
        <v>132</v>
      </c>
      <c r="E815" s="69" t="s">
        <v>3347</v>
      </c>
      <c r="F815" s="69" t="s">
        <v>220</v>
      </c>
      <c r="G815" s="69">
        <v>5058.34</v>
      </c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  <c r="AD815" s="69"/>
      <c r="AE815" s="69"/>
      <c r="AF815" s="69"/>
      <c r="AG815" s="69"/>
      <c r="AH815" s="69"/>
      <c r="AI815" s="69"/>
      <c r="AJ815" s="69"/>
      <c r="AK815" s="69"/>
      <c r="AL815" s="69"/>
      <c r="AM815" s="69"/>
      <c r="AN815" s="69"/>
      <c r="AO815" s="69"/>
      <c r="AP815" s="69"/>
      <c r="AQ815" s="69"/>
      <c r="AR815" s="94">
        <f t="shared" si="59"/>
        <v>5058.34</v>
      </c>
      <c r="AS815" s="69">
        <v>3661.19</v>
      </c>
      <c r="AT815" s="69">
        <f>13.8+27.45</f>
        <v>41.25</v>
      </c>
      <c r="AU815" s="69">
        <f>1046.18+172.56</f>
        <v>1218.74</v>
      </c>
      <c r="AV815" s="69">
        <f>135+2.16</f>
        <v>137.16</v>
      </c>
      <c r="AW815" s="69"/>
      <c r="AX815" s="69"/>
      <c r="AY815" s="69"/>
      <c r="AZ815" s="69"/>
      <c r="BA815" s="69"/>
      <c r="BB815" s="69"/>
      <c r="BC815" s="69"/>
      <c r="BD815" s="69"/>
      <c r="BE815" s="69"/>
      <c r="BF815" s="69"/>
      <c r="BG815" s="69"/>
      <c r="BH815" s="69"/>
      <c r="BI815" s="69"/>
      <c r="BJ815" s="69"/>
      <c r="BK815" s="69"/>
      <c r="BL815" s="69"/>
      <c r="BM815" s="69"/>
      <c r="BN815" s="69"/>
      <c r="BO815" s="69"/>
      <c r="BP815" s="69"/>
      <c r="BQ815" s="69"/>
      <c r="BR815" s="69"/>
      <c r="BS815" s="69"/>
      <c r="BT815" s="69"/>
      <c r="BU815" s="69"/>
      <c r="BV815" s="69"/>
      <c r="BW815" s="69"/>
      <c r="BX815" s="69"/>
      <c r="BY815" s="69"/>
      <c r="BZ815" s="69"/>
      <c r="CA815" s="69"/>
      <c r="CB815" s="69"/>
      <c r="CC815" s="69"/>
      <c r="CD815" s="69"/>
      <c r="CE815" s="94">
        <f t="shared" si="66"/>
        <v>5058.34</v>
      </c>
      <c r="CF815" s="151">
        <f t="shared" si="68"/>
        <v>0</v>
      </c>
      <c r="CG815" s="75">
        <f t="shared" si="67"/>
        <v>4664</v>
      </c>
      <c r="CH815" s="69" t="str">
        <f t="shared" si="67"/>
        <v>صيدلة اكلينيكى</v>
      </c>
    </row>
    <row r="816" spans="1:86" x14ac:dyDescent="0.25">
      <c r="A816" s="148"/>
      <c r="B816" s="82">
        <v>3580</v>
      </c>
      <c r="C816" s="160">
        <v>4665</v>
      </c>
      <c r="D816" s="69" t="s">
        <v>132</v>
      </c>
      <c r="E816" s="69" t="s">
        <v>3347</v>
      </c>
      <c r="F816" s="69" t="s">
        <v>220</v>
      </c>
      <c r="G816" s="69">
        <v>4828.68</v>
      </c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  <c r="AD816" s="69"/>
      <c r="AE816" s="69"/>
      <c r="AF816" s="69"/>
      <c r="AG816" s="69"/>
      <c r="AH816" s="69"/>
      <c r="AI816" s="69"/>
      <c r="AJ816" s="69"/>
      <c r="AK816" s="69"/>
      <c r="AL816" s="69"/>
      <c r="AM816" s="69"/>
      <c r="AN816" s="69"/>
      <c r="AO816" s="69"/>
      <c r="AP816" s="69"/>
      <c r="AQ816" s="69"/>
      <c r="AR816" s="94">
        <f t="shared" si="59"/>
        <v>4828.68</v>
      </c>
      <c r="AS816" s="69">
        <v>3242.11</v>
      </c>
      <c r="AT816" s="69">
        <f>15.95+27.15</f>
        <v>43.099999999999994</v>
      </c>
      <c r="AU816" s="69">
        <f>998.68+164.73</f>
        <v>1163.4099999999999</v>
      </c>
      <c r="AV816" s="69">
        <f>378+2.06</f>
        <v>380.06</v>
      </c>
      <c r="AW816" s="69"/>
      <c r="AX816" s="69"/>
      <c r="AY816" s="69"/>
      <c r="AZ816" s="69"/>
      <c r="BA816" s="69"/>
      <c r="BB816" s="69"/>
      <c r="BC816" s="69"/>
      <c r="BD816" s="69"/>
      <c r="BE816" s="69"/>
      <c r="BF816" s="69"/>
      <c r="BG816" s="69"/>
      <c r="BH816" s="69"/>
      <c r="BI816" s="69"/>
      <c r="BJ816" s="69"/>
      <c r="BK816" s="69"/>
      <c r="BL816" s="69"/>
      <c r="BM816" s="69"/>
      <c r="BN816" s="69"/>
      <c r="BO816" s="69"/>
      <c r="BP816" s="69"/>
      <c r="BQ816" s="69"/>
      <c r="BR816" s="69"/>
      <c r="BS816" s="69"/>
      <c r="BT816" s="69"/>
      <c r="BU816" s="69"/>
      <c r="BV816" s="69"/>
      <c r="BW816" s="69"/>
      <c r="BX816" s="69"/>
      <c r="BY816" s="69"/>
      <c r="BZ816" s="69"/>
      <c r="CA816" s="69"/>
      <c r="CB816" s="69"/>
      <c r="CC816" s="69"/>
      <c r="CD816" s="69"/>
      <c r="CE816" s="94">
        <f t="shared" si="66"/>
        <v>4828.68</v>
      </c>
      <c r="CF816" s="151">
        <f t="shared" si="68"/>
        <v>0</v>
      </c>
      <c r="CG816" s="75">
        <f t="shared" si="67"/>
        <v>4665</v>
      </c>
      <c r="CH816" s="69" t="str">
        <f t="shared" si="67"/>
        <v>صيدلة اكلينيكى</v>
      </c>
    </row>
    <row r="817" spans="1:92" x14ac:dyDescent="0.25">
      <c r="A817" s="148"/>
      <c r="B817" s="82">
        <v>3583</v>
      </c>
      <c r="C817" s="160">
        <v>4666</v>
      </c>
      <c r="D817" s="69" t="s">
        <v>132</v>
      </c>
      <c r="E817" s="69" t="s">
        <v>3347</v>
      </c>
      <c r="F817" s="69" t="s">
        <v>220</v>
      </c>
      <c r="G817" s="69">
        <v>5055.99</v>
      </c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  <c r="AD817" s="69"/>
      <c r="AE817" s="69"/>
      <c r="AF817" s="69"/>
      <c r="AG817" s="69"/>
      <c r="AH817" s="69"/>
      <c r="AI817" s="69"/>
      <c r="AJ817" s="69"/>
      <c r="AK817" s="69"/>
      <c r="AL817" s="69"/>
      <c r="AM817" s="69"/>
      <c r="AN817" s="69"/>
      <c r="AO817" s="69"/>
      <c r="AP817" s="69"/>
      <c r="AQ817" s="69"/>
      <c r="AR817" s="94">
        <f t="shared" si="59"/>
        <v>5055.99</v>
      </c>
      <c r="AS817" s="69">
        <v>3779.52</v>
      </c>
      <c r="AT817" s="69">
        <f>24.69+28.45</f>
        <v>53.14</v>
      </c>
      <c r="AU817" s="69">
        <f>1045.69+172.48</f>
        <v>1218.17</v>
      </c>
      <c r="AV817" s="69">
        <f>3+2.16</f>
        <v>5.16</v>
      </c>
      <c r="AW817" s="69"/>
      <c r="AX817" s="69"/>
      <c r="AY817" s="69"/>
      <c r="AZ817" s="69"/>
      <c r="BA817" s="69"/>
      <c r="BB817" s="69"/>
      <c r="BC817" s="69"/>
      <c r="BD817" s="69"/>
      <c r="BE817" s="69"/>
      <c r="BF817" s="69"/>
      <c r="BG817" s="69"/>
      <c r="BH817" s="69"/>
      <c r="BI817" s="69"/>
      <c r="BJ817" s="69"/>
      <c r="BK817" s="69"/>
      <c r="BL817" s="69"/>
      <c r="BM817" s="69"/>
      <c r="BN817" s="69"/>
      <c r="BO817" s="69"/>
      <c r="BP817" s="69"/>
      <c r="BQ817" s="69"/>
      <c r="BR817" s="69"/>
      <c r="BS817" s="69"/>
      <c r="BT817" s="69"/>
      <c r="BU817" s="69"/>
      <c r="BV817" s="69"/>
      <c r="BW817" s="69"/>
      <c r="BX817" s="69"/>
      <c r="BY817" s="69"/>
      <c r="BZ817" s="69"/>
      <c r="CA817" s="69"/>
      <c r="CB817" s="69"/>
      <c r="CC817" s="69"/>
      <c r="CD817" s="69"/>
      <c r="CE817" s="94">
        <f t="shared" si="66"/>
        <v>5055.99</v>
      </c>
      <c r="CF817" s="151">
        <f t="shared" si="68"/>
        <v>0</v>
      </c>
      <c r="CG817" s="75">
        <f t="shared" si="67"/>
        <v>4666</v>
      </c>
      <c r="CH817" s="69" t="str">
        <f t="shared" si="67"/>
        <v>صيدلة اكلينيكى</v>
      </c>
    </row>
    <row r="818" spans="1:92" x14ac:dyDescent="0.25">
      <c r="A818" s="148"/>
      <c r="B818" s="82">
        <v>3581</v>
      </c>
      <c r="C818" s="160">
        <v>4667</v>
      </c>
      <c r="D818" s="69" t="s">
        <v>132</v>
      </c>
      <c r="E818" s="69" t="s">
        <v>3347</v>
      </c>
      <c r="F818" s="69" t="s">
        <v>220</v>
      </c>
      <c r="G818" s="69">
        <v>135495.59</v>
      </c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  <c r="AD818" s="69"/>
      <c r="AE818" s="69"/>
      <c r="AF818" s="69"/>
      <c r="AG818" s="69"/>
      <c r="AH818" s="69"/>
      <c r="AI818" s="69"/>
      <c r="AJ818" s="69"/>
      <c r="AK818" s="69"/>
      <c r="AL818" s="69"/>
      <c r="AM818" s="69"/>
      <c r="AN818" s="69"/>
      <c r="AO818" s="69"/>
      <c r="AP818" s="69"/>
      <c r="AQ818" s="69"/>
      <c r="AR818" s="94">
        <f t="shared" si="59"/>
        <v>135495.59</v>
      </c>
      <c r="AS818" s="69">
        <v>95710.21</v>
      </c>
      <c r="AT818" s="69">
        <f>598.26+745.15</f>
        <v>1343.4099999999999</v>
      </c>
      <c r="AU818" s="69">
        <f>28678.82+4730.5+39</f>
        <v>33448.32</v>
      </c>
      <c r="AV818" s="69">
        <f>4936.1+57.55</f>
        <v>4993.6500000000005</v>
      </c>
      <c r="AW818" s="69"/>
      <c r="AX818" s="69"/>
      <c r="AY818" s="69"/>
      <c r="AZ818" s="69"/>
      <c r="BA818" s="69"/>
      <c r="BB818" s="69"/>
      <c r="BC818" s="69"/>
      <c r="BD818" s="69"/>
      <c r="BE818" s="69"/>
      <c r="BF818" s="69"/>
      <c r="BG818" s="69"/>
      <c r="BH818" s="69"/>
      <c r="BI818" s="69"/>
      <c r="BJ818" s="69"/>
      <c r="BK818" s="69"/>
      <c r="BL818" s="69"/>
      <c r="BM818" s="69"/>
      <c r="BN818" s="69"/>
      <c r="BO818" s="69"/>
      <c r="BP818" s="69"/>
      <c r="BQ818" s="69"/>
      <c r="BR818" s="69"/>
      <c r="BS818" s="69"/>
      <c r="BT818" s="69"/>
      <c r="BU818" s="69"/>
      <c r="BV818" s="69"/>
      <c r="BW818" s="69"/>
      <c r="BX818" s="69"/>
      <c r="BY818" s="69"/>
      <c r="BZ818" s="69"/>
      <c r="CA818" s="69"/>
      <c r="CB818" s="69"/>
      <c r="CC818" s="69"/>
      <c r="CD818" s="69"/>
      <c r="CE818" s="94">
        <f t="shared" si="66"/>
        <v>135495.59</v>
      </c>
      <c r="CF818" s="151">
        <f t="shared" si="68"/>
        <v>0</v>
      </c>
      <c r="CG818" s="75">
        <f t="shared" si="67"/>
        <v>4667</v>
      </c>
      <c r="CH818" s="69" t="str">
        <f t="shared" si="67"/>
        <v>صيدلة اكلينيكى</v>
      </c>
    </row>
    <row r="819" spans="1:92" x14ac:dyDescent="0.25">
      <c r="A819" s="148"/>
      <c r="B819" s="82">
        <v>3584</v>
      </c>
      <c r="C819" s="160">
        <v>4668</v>
      </c>
      <c r="D819" s="69" t="s">
        <v>132</v>
      </c>
      <c r="E819" s="69" t="s">
        <v>3347</v>
      </c>
      <c r="F819" s="69" t="s">
        <v>220</v>
      </c>
      <c r="G819" s="69">
        <v>5280.67</v>
      </c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  <c r="AD819" s="69"/>
      <c r="AE819" s="69"/>
      <c r="AF819" s="69"/>
      <c r="AG819" s="69"/>
      <c r="AH819" s="69"/>
      <c r="AI819" s="69"/>
      <c r="AJ819" s="69"/>
      <c r="AK819" s="69"/>
      <c r="AL819" s="69"/>
      <c r="AM819" s="69"/>
      <c r="AN819" s="69"/>
      <c r="AO819" s="69"/>
      <c r="AP819" s="69"/>
      <c r="AQ819" s="69"/>
      <c r="AR819" s="94">
        <f t="shared" si="59"/>
        <v>5280.67</v>
      </c>
      <c r="AS819" s="69">
        <v>3931.78</v>
      </c>
      <c r="AT819" s="69">
        <f>41.62+29.7</f>
        <v>71.319999999999993</v>
      </c>
      <c r="AU819" s="69">
        <f>1092.17+180.15</f>
        <v>1272.3200000000002</v>
      </c>
      <c r="AV819" s="69">
        <f>3+2.25</f>
        <v>5.25</v>
      </c>
      <c r="AW819" s="69"/>
      <c r="AX819" s="69"/>
      <c r="AY819" s="69"/>
      <c r="AZ819" s="69"/>
      <c r="BA819" s="69"/>
      <c r="BB819" s="69"/>
      <c r="BC819" s="69"/>
      <c r="BD819" s="69"/>
      <c r="BE819" s="69"/>
      <c r="BF819" s="69"/>
      <c r="BG819" s="69"/>
      <c r="BH819" s="69"/>
      <c r="BI819" s="69"/>
      <c r="BJ819" s="69"/>
      <c r="BK819" s="69"/>
      <c r="BL819" s="69"/>
      <c r="BM819" s="69"/>
      <c r="BN819" s="69"/>
      <c r="BO819" s="69"/>
      <c r="BP819" s="69"/>
      <c r="BQ819" s="69"/>
      <c r="BR819" s="69"/>
      <c r="BS819" s="69"/>
      <c r="BT819" s="69"/>
      <c r="BU819" s="69"/>
      <c r="BV819" s="69"/>
      <c r="BW819" s="69"/>
      <c r="BX819" s="69"/>
      <c r="BY819" s="69"/>
      <c r="BZ819" s="69"/>
      <c r="CA819" s="69"/>
      <c r="CB819" s="69"/>
      <c r="CC819" s="69"/>
      <c r="CD819" s="69"/>
      <c r="CE819" s="94">
        <f t="shared" si="66"/>
        <v>5280.67</v>
      </c>
      <c r="CF819" s="151">
        <f t="shared" si="68"/>
        <v>0</v>
      </c>
      <c r="CG819" s="75">
        <f t="shared" si="67"/>
        <v>4668</v>
      </c>
      <c r="CH819" s="69" t="str">
        <f t="shared" si="67"/>
        <v>صيدلة اكلينيكى</v>
      </c>
    </row>
    <row r="820" spans="1:92" x14ac:dyDescent="0.25">
      <c r="A820" s="148"/>
      <c r="B820" s="82">
        <v>3582</v>
      </c>
      <c r="C820" s="160">
        <v>4669</v>
      </c>
      <c r="D820" s="69" t="s">
        <v>132</v>
      </c>
      <c r="E820" s="69" t="s">
        <v>3347</v>
      </c>
      <c r="F820" s="69" t="s">
        <v>220</v>
      </c>
      <c r="G820" s="69">
        <v>16172.83</v>
      </c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  <c r="AD820" s="69"/>
      <c r="AE820" s="69"/>
      <c r="AF820" s="69"/>
      <c r="AG820" s="69"/>
      <c r="AH820" s="69"/>
      <c r="AI820" s="69"/>
      <c r="AJ820" s="69"/>
      <c r="AK820" s="69"/>
      <c r="AL820" s="69"/>
      <c r="AM820" s="69"/>
      <c r="AN820" s="69"/>
      <c r="AO820" s="69"/>
      <c r="AP820" s="69"/>
      <c r="AQ820" s="69"/>
      <c r="AR820" s="94">
        <f t="shared" si="59"/>
        <v>16172.83</v>
      </c>
      <c r="AS820" s="69">
        <v>11661.79</v>
      </c>
      <c r="AT820" s="69">
        <f>126.7+91</f>
        <v>217.7</v>
      </c>
      <c r="AU820" s="69">
        <f>3344.92+551.74</f>
        <v>3896.66</v>
      </c>
      <c r="AV820" s="69">
        <f>389.79+6.89</f>
        <v>396.68</v>
      </c>
      <c r="AW820" s="69"/>
      <c r="AX820" s="69"/>
      <c r="AY820" s="69"/>
      <c r="AZ820" s="69"/>
      <c r="BA820" s="69"/>
      <c r="BB820" s="69"/>
      <c r="BC820" s="69"/>
      <c r="BD820" s="69"/>
      <c r="BE820" s="69"/>
      <c r="BF820" s="69"/>
      <c r="BG820" s="69"/>
      <c r="BH820" s="69"/>
      <c r="BI820" s="69"/>
      <c r="BJ820" s="69"/>
      <c r="BK820" s="69"/>
      <c r="BL820" s="69"/>
      <c r="BM820" s="69"/>
      <c r="BN820" s="69"/>
      <c r="BO820" s="69"/>
      <c r="BP820" s="69"/>
      <c r="BQ820" s="69"/>
      <c r="BR820" s="69"/>
      <c r="BS820" s="69"/>
      <c r="BT820" s="69"/>
      <c r="BU820" s="69"/>
      <c r="BV820" s="69"/>
      <c r="BW820" s="69"/>
      <c r="BX820" s="69"/>
      <c r="BY820" s="69"/>
      <c r="BZ820" s="69"/>
      <c r="CA820" s="69"/>
      <c r="CB820" s="69"/>
      <c r="CC820" s="69"/>
      <c r="CD820" s="69"/>
      <c r="CE820" s="94">
        <f t="shared" si="66"/>
        <v>16172.830000000002</v>
      </c>
      <c r="CF820" s="151">
        <f t="shared" si="68"/>
        <v>0</v>
      </c>
      <c r="CG820" s="75">
        <f t="shared" si="67"/>
        <v>4669</v>
      </c>
      <c r="CH820" s="69" t="str">
        <f t="shared" si="67"/>
        <v>صيدلة اكلينيكى</v>
      </c>
    </row>
    <row r="821" spans="1:92" x14ac:dyDescent="0.25">
      <c r="A821" s="148"/>
      <c r="B821" s="82">
        <v>3663</v>
      </c>
      <c r="C821" s="160">
        <v>4670</v>
      </c>
      <c r="D821" s="69" t="s">
        <v>121</v>
      </c>
      <c r="E821" s="69" t="s">
        <v>3347</v>
      </c>
      <c r="F821" s="69" t="s">
        <v>220</v>
      </c>
      <c r="G821" s="69">
        <v>282502.82</v>
      </c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  <c r="AD821" s="69"/>
      <c r="AE821" s="69"/>
      <c r="AF821" s="69"/>
      <c r="AG821" s="69"/>
      <c r="AH821" s="69"/>
      <c r="AI821" s="69"/>
      <c r="AJ821" s="69"/>
      <c r="AK821" s="69"/>
      <c r="AL821" s="69"/>
      <c r="AM821" s="69"/>
      <c r="AN821" s="69"/>
      <c r="AO821" s="69"/>
      <c r="AP821" s="69"/>
      <c r="AQ821" s="69"/>
      <c r="AR821" s="94">
        <f t="shared" si="59"/>
        <v>282502.82</v>
      </c>
      <c r="AS821" s="69">
        <v>208853.68</v>
      </c>
      <c r="AT821" s="69">
        <f>2403.56+1589.4</f>
        <v>3992.96</v>
      </c>
      <c r="AU821" s="69">
        <f>58428.08+9637.57</f>
        <v>68065.649999999994</v>
      </c>
      <c r="AV821" s="69">
        <f>1457.01+120.41</f>
        <v>1577.42</v>
      </c>
      <c r="AW821" s="69"/>
      <c r="AX821" s="69"/>
      <c r="AY821" s="69"/>
      <c r="AZ821" s="69"/>
      <c r="BA821" s="69"/>
      <c r="BB821" s="69"/>
      <c r="BC821" s="69"/>
      <c r="BD821" s="69"/>
      <c r="BE821" s="69"/>
      <c r="BF821" s="69"/>
      <c r="BG821" s="69"/>
      <c r="BH821" s="69"/>
      <c r="BI821" s="69"/>
      <c r="BJ821" s="69"/>
      <c r="BK821" s="69"/>
      <c r="BL821" s="69"/>
      <c r="BM821" s="69"/>
      <c r="BN821" s="69"/>
      <c r="BO821" s="69"/>
      <c r="BP821" s="69"/>
      <c r="BQ821" s="69"/>
      <c r="BR821" s="69"/>
      <c r="BS821" s="69"/>
      <c r="BT821" s="69"/>
      <c r="BU821" s="69"/>
      <c r="BV821" s="69"/>
      <c r="BW821" s="69"/>
      <c r="BX821" s="69"/>
      <c r="BY821" s="69"/>
      <c r="BZ821" s="69"/>
      <c r="CA821" s="69"/>
      <c r="CB821" s="69"/>
      <c r="CC821" s="69"/>
      <c r="CD821" s="69">
        <v>13.11</v>
      </c>
      <c r="CE821" s="94">
        <f t="shared" si="66"/>
        <v>282502.81999999995</v>
      </c>
      <c r="CF821" s="151">
        <f t="shared" si="68"/>
        <v>0</v>
      </c>
      <c r="CG821" s="75">
        <f t="shared" si="67"/>
        <v>4670</v>
      </c>
      <c r="CH821" s="69" t="str">
        <f t="shared" si="67"/>
        <v>ماليزى اسنان</v>
      </c>
    </row>
    <row r="822" spans="1:92" x14ac:dyDescent="0.25">
      <c r="A822" s="148"/>
      <c r="B822" s="82">
        <v>3662</v>
      </c>
      <c r="C822" s="160">
        <v>4671</v>
      </c>
      <c r="D822" s="69" t="s">
        <v>121</v>
      </c>
      <c r="E822" s="69" t="s">
        <v>3347</v>
      </c>
      <c r="F822" s="69" t="s">
        <v>220</v>
      </c>
      <c r="G822" s="69">
        <v>10777.97</v>
      </c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  <c r="AD822" s="69"/>
      <c r="AE822" s="69"/>
      <c r="AF822" s="69"/>
      <c r="AG822" s="69"/>
      <c r="AH822" s="69"/>
      <c r="AI822" s="69"/>
      <c r="AJ822" s="69"/>
      <c r="AK822" s="69"/>
      <c r="AL822" s="69"/>
      <c r="AM822" s="69"/>
      <c r="AN822" s="69"/>
      <c r="AO822" s="69"/>
      <c r="AP822" s="69"/>
      <c r="AQ822" s="69"/>
      <c r="AR822" s="94">
        <f t="shared" si="59"/>
        <v>10777.97</v>
      </c>
      <c r="AS822" s="69">
        <v>7708.62</v>
      </c>
      <c r="AT822" s="69">
        <f>75.69+60.55</f>
        <v>136.24</v>
      </c>
      <c r="AU822" s="69">
        <f>2229.13+367.69+16</f>
        <v>2612.8200000000002</v>
      </c>
      <c r="AV822" s="69">
        <f>314.83+4.59</f>
        <v>319.41999999999996</v>
      </c>
      <c r="AW822" s="69"/>
      <c r="AX822" s="69"/>
      <c r="AY822" s="69"/>
      <c r="AZ822" s="69"/>
      <c r="BA822" s="69"/>
      <c r="BB822" s="69"/>
      <c r="BC822" s="69"/>
      <c r="BD822" s="69"/>
      <c r="BE822" s="69"/>
      <c r="BF822" s="69"/>
      <c r="BG822" s="69"/>
      <c r="BH822" s="69"/>
      <c r="BI822" s="69"/>
      <c r="BJ822" s="69"/>
      <c r="BK822" s="69"/>
      <c r="BL822" s="69"/>
      <c r="BM822" s="69"/>
      <c r="BN822" s="69"/>
      <c r="BO822" s="69"/>
      <c r="BP822" s="69"/>
      <c r="BQ822" s="69"/>
      <c r="BR822" s="69"/>
      <c r="BS822" s="69"/>
      <c r="BT822" s="69"/>
      <c r="BU822" s="69"/>
      <c r="BV822" s="69"/>
      <c r="BW822" s="69"/>
      <c r="BX822" s="69"/>
      <c r="BY822" s="69"/>
      <c r="BZ822" s="69"/>
      <c r="CA822" s="69"/>
      <c r="CB822" s="69"/>
      <c r="CC822" s="69"/>
      <c r="CD822" s="69">
        <v>0.87</v>
      </c>
      <c r="CE822" s="94">
        <f t="shared" si="66"/>
        <v>10777.970000000001</v>
      </c>
      <c r="CF822" s="151">
        <f t="shared" si="68"/>
        <v>0</v>
      </c>
      <c r="CG822" s="75">
        <f t="shared" si="67"/>
        <v>4671</v>
      </c>
      <c r="CH822" s="69" t="str">
        <f t="shared" si="67"/>
        <v>ماليزى اسنان</v>
      </c>
    </row>
    <row r="823" spans="1:92" x14ac:dyDescent="0.25">
      <c r="A823" s="148"/>
      <c r="B823" s="82">
        <v>3664</v>
      </c>
      <c r="C823" s="160">
        <v>4672</v>
      </c>
      <c r="D823" s="69" t="s">
        <v>121</v>
      </c>
      <c r="E823" s="69" t="s">
        <v>3347</v>
      </c>
      <c r="F823" s="69" t="s">
        <v>220</v>
      </c>
      <c r="G823" s="69">
        <v>5195.07</v>
      </c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  <c r="AD823" s="69"/>
      <c r="AE823" s="69"/>
      <c r="AF823" s="69"/>
      <c r="AG823" s="69"/>
      <c r="AH823" s="69"/>
      <c r="AI823" s="69"/>
      <c r="AJ823" s="69"/>
      <c r="AK823" s="69"/>
      <c r="AL823" s="69"/>
      <c r="AM823" s="69"/>
      <c r="AN823" s="69"/>
      <c r="AO823" s="69"/>
      <c r="AP823" s="69"/>
      <c r="AQ823" s="69"/>
      <c r="AR823" s="94">
        <f t="shared" si="59"/>
        <v>5195.07</v>
      </c>
      <c r="AS823" s="69">
        <v>3786.79</v>
      </c>
      <c r="AT823" s="69">
        <f>35.17+29.2</f>
        <v>64.37</v>
      </c>
      <c r="AU823" s="69">
        <f>1074.46+177.23</f>
        <v>1251.69</v>
      </c>
      <c r="AV823" s="69">
        <f>89.13+2.22</f>
        <v>91.35</v>
      </c>
      <c r="AW823" s="69"/>
      <c r="AX823" s="69"/>
      <c r="AY823" s="69"/>
      <c r="AZ823" s="69"/>
      <c r="BA823" s="69"/>
      <c r="BB823" s="69"/>
      <c r="BC823" s="69"/>
      <c r="BD823" s="69"/>
      <c r="BE823" s="69"/>
      <c r="BF823" s="69"/>
      <c r="BG823" s="69"/>
      <c r="BH823" s="69"/>
      <c r="BI823" s="69"/>
      <c r="BJ823" s="69"/>
      <c r="BK823" s="69"/>
      <c r="BL823" s="69"/>
      <c r="BM823" s="69"/>
      <c r="BN823" s="69"/>
      <c r="BO823" s="69"/>
      <c r="BP823" s="69"/>
      <c r="BQ823" s="69"/>
      <c r="BR823" s="69"/>
      <c r="BS823" s="69"/>
      <c r="BT823" s="69"/>
      <c r="BU823" s="69"/>
      <c r="BV823" s="69"/>
      <c r="BW823" s="69"/>
      <c r="BX823" s="69"/>
      <c r="BY823" s="69"/>
      <c r="BZ823" s="69"/>
      <c r="CA823" s="69"/>
      <c r="CB823" s="69"/>
      <c r="CC823" s="69"/>
      <c r="CD823" s="69">
        <v>0.87</v>
      </c>
      <c r="CE823" s="94">
        <f t="shared" si="66"/>
        <v>5195.0700000000006</v>
      </c>
      <c r="CF823" s="151">
        <f t="shared" si="68"/>
        <v>0</v>
      </c>
      <c r="CG823" s="75">
        <f t="shared" si="67"/>
        <v>4672</v>
      </c>
      <c r="CH823" s="69" t="str">
        <f t="shared" si="67"/>
        <v>ماليزى اسنان</v>
      </c>
    </row>
    <row r="824" spans="1:92" x14ac:dyDescent="0.25">
      <c r="A824" s="148"/>
      <c r="B824" s="82">
        <v>3665</v>
      </c>
      <c r="C824" s="160">
        <v>4673</v>
      </c>
      <c r="D824" s="69" t="s">
        <v>121</v>
      </c>
      <c r="E824" s="69" t="s">
        <v>3347</v>
      </c>
      <c r="F824" s="69" t="s">
        <v>220</v>
      </c>
      <c r="G824" s="69">
        <v>5195.07</v>
      </c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  <c r="AD824" s="69"/>
      <c r="AE824" s="69"/>
      <c r="AF824" s="69"/>
      <c r="AG824" s="69"/>
      <c r="AH824" s="69"/>
      <c r="AI824" s="69"/>
      <c r="AJ824" s="69"/>
      <c r="AK824" s="69"/>
      <c r="AL824" s="69"/>
      <c r="AM824" s="69"/>
      <c r="AN824" s="69"/>
      <c r="AO824" s="69"/>
      <c r="AP824" s="69"/>
      <c r="AQ824" s="69"/>
      <c r="AR824" s="94">
        <f t="shared" si="59"/>
        <v>5195.07</v>
      </c>
      <c r="AS824" s="69">
        <v>3873.79</v>
      </c>
      <c r="AT824" s="69">
        <f>35.17+29.2</f>
        <v>64.37</v>
      </c>
      <c r="AU824" s="69">
        <f>1074.46+177.23</f>
        <v>1251.69</v>
      </c>
      <c r="AV824" s="69">
        <f>3+2.22</f>
        <v>5.2200000000000006</v>
      </c>
      <c r="AW824" s="69"/>
      <c r="AX824" s="69"/>
      <c r="AY824" s="69"/>
      <c r="AZ824" s="69"/>
      <c r="BA824" s="69"/>
      <c r="BB824" s="69"/>
      <c r="BC824" s="69"/>
      <c r="BD824" s="69"/>
      <c r="BE824" s="69"/>
      <c r="BF824" s="69"/>
      <c r="BG824" s="69"/>
      <c r="BH824" s="69"/>
      <c r="BI824" s="69"/>
      <c r="BJ824" s="69"/>
      <c r="BK824" s="69"/>
      <c r="BL824" s="69"/>
      <c r="BM824" s="69"/>
      <c r="BN824" s="69"/>
      <c r="BO824" s="69"/>
      <c r="BP824" s="69"/>
      <c r="BQ824" s="69"/>
      <c r="BR824" s="69"/>
      <c r="BS824" s="69"/>
      <c r="BT824" s="69"/>
      <c r="BU824" s="69"/>
      <c r="BV824" s="69"/>
      <c r="BW824" s="69"/>
      <c r="BX824" s="69"/>
      <c r="BY824" s="69"/>
      <c r="BZ824" s="69"/>
      <c r="CA824" s="69"/>
      <c r="CB824" s="69"/>
      <c r="CC824" s="69"/>
      <c r="CD824" s="69"/>
      <c r="CE824" s="94">
        <f t="shared" si="66"/>
        <v>5195.0700000000006</v>
      </c>
      <c r="CF824" s="151">
        <f t="shared" si="68"/>
        <v>0</v>
      </c>
      <c r="CG824" s="75">
        <f t="shared" si="67"/>
        <v>4673</v>
      </c>
      <c r="CH824" s="69" t="str">
        <f t="shared" si="67"/>
        <v>ماليزى اسنان</v>
      </c>
    </row>
    <row r="825" spans="1:92" x14ac:dyDescent="0.25">
      <c r="A825" s="148"/>
      <c r="B825" s="82">
        <v>3667</v>
      </c>
      <c r="C825" s="160">
        <v>4674</v>
      </c>
      <c r="D825" s="69" t="s">
        <v>121</v>
      </c>
      <c r="E825" s="69" t="s">
        <v>3347</v>
      </c>
      <c r="F825" s="69" t="s">
        <v>220</v>
      </c>
      <c r="G825" s="69">
        <v>5195.07</v>
      </c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  <c r="AD825" s="69"/>
      <c r="AE825" s="69"/>
      <c r="AF825" s="69"/>
      <c r="AG825" s="69"/>
      <c r="AH825" s="69"/>
      <c r="AI825" s="69"/>
      <c r="AJ825" s="69"/>
      <c r="AK825" s="69"/>
      <c r="AL825" s="69"/>
      <c r="AM825" s="69"/>
      <c r="AN825" s="69"/>
      <c r="AO825" s="69"/>
      <c r="AP825" s="69"/>
      <c r="AQ825" s="69"/>
      <c r="AR825" s="94">
        <f t="shared" si="59"/>
        <v>5195.07</v>
      </c>
      <c r="AS825" s="69">
        <v>3873.79</v>
      </c>
      <c r="AT825" s="69">
        <f>35.17+29.2</f>
        <v>64.37</v>
      </c>
      <c r="AU825" s="69">
        <f>1074.46+177.23</f>
        <v>1251.69</v>
      </c>
      <c r="AV825" s="69">
        <f>2.22+3</f>
        <v>5.2200000000000006</v>
      </c>
      <c r="AW825" s="69"/>
      <c r="AX825" s="69"/>
      <c r="AY825" s="69"/>
      <c r="AZ825" s="69"/>
      <c r="BA825" s="69"/>
      <c r="BB825" s="69"/>
      <c r="BC825" s="69"/>
      <c r="BD825" s="69"/>
      <c r="BE825" s="69"/>
      <c r="BF825" s="69"/>
      <c r="BG825" s="69"/>
      <c r="BH825" s="69"/>
      <c r="BI825" s="69"/>
      <c r="BJ825" s="69"/>
      <c r="BK825" s="69"/>
      <c r="BL825" s="69"/>
      <c r="BM825" s="69"/>
      <c r="BN825" s="69"/>
      <c r="BO825" s="69"/>
      <c r="BP825" s="69"/>
      <c r="BQ825" s="69"/>
      <c r="BR825" s="69"/>
      <c r="BS825" s="69"/>
      <c r="BT825" s="69"/>
      <c r="BU825" s="69"/>
      <c r="BV825" s="69"/>
      <c r="BW825" s="69"/>
      <c r="BX825" s="69"/>
      <c r="BY825" s="69"/>
      <c r="BZ825" s="69"/>
      <c r="CA825" s="69"/>
      <c r="CB825" s="69"/>
      <c r="CC825" s="69"/>
      <c r="CD825" s="69"/>
      <c r="CE825" s="94">
        <f t="shared" si="66"/>
        <v>5195.0700000000006</v>
      </c>
      <c r="CF825" s="151">
        <f t="shared" si="68"/>
        <v>0</v>
      </c>
      <c r="CG825" s="75">
        <f t="shared" si="67"/>
        <v>4674</v>
      </c>
      <c r="CH825" s="69" t="str">
        <f t="shared" si="67"/>
        <v>ماليزى اسنان</v>
      </c>
    </row>
    <row r="826" spans="1:92" x14ac:dyDescent="0.25">
      <c r="A826" s="148"/>
      <c r="B826" s="82">
        <v>3666</v>
      </c>
      <c r="C826" s="160">
        <v>4675</v>
      </c>
      <c r="D826" s="69" t="s">
        <v>121</v>
      </c>
      <c r="E826" s="69" t="s">
        <v>3347</v>
      </c>
      <c r="F826" s="69" t="s">
        <v>220</v>
      </c>
      <c r="G826" s="69">
        <v>10436.74</v>
      </c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  <c r="AD826" s="69"/>
      <c r="AE826" s="69"/>
      <c r="AF826" s="69"/>
      <c r="AG826" s="69"/>
      <c r="AH826" s="69"/>
      <c r="AI826" s="69"/>
      <c r="AJ826" s="69"/>
      <c r="AK826" s="69"/>
      <c r="AL826" s="69"/>
      <c r="AM826" s="69"/>
      <c r="AN826" s="69"/>
      <c r="AO826" s="69"/>
      <c r="AP826" s="69"/>
      <c r="AQ826" s="69"/>
      <c r="AR826" s="94">
        <f t="shared" si="59"/>
        <v>10436.74</v>
      </c>
      <c r="AS826" s="69">
        <v>7561.6</v>
      </c>
      <c r="AT826" s="69">
        <f>73.84+58.7</f>
        <v>132.54000000000002</v>
      </c>
      <c r="AU826" s="69">
        <f>2158.58+356.06</f>
        <v>2514.64</v>
      </c>
      <c r="AV826" s="69">
        <f>221.33+4.45</f>
        <v>225.78</v>
      </c>
      <c r="AW826" s="69"/>
      <c r="AX826" s="69"/>
      <c r="AY826" s="69"/>
      <c r="AZ826" s="69"/>
      <c r="BA826" s="69"/>
      <c r="BB826" s="69"/>
      <c r="BC826" s="69"/>
      <c r="BD826" s="69"/>
      <c r="BE826" s="69"/>
      <c r="BF826" s="69"/>
      <c r="BG826" s="69"/>
      <c r="BH826" s="69"/>
      <c r="BI826" s="69"/>
      <c r="BJ826" s="69"/>
      <c r="BK826" s="69"/>
      <c r="BL826" s="69"/>
      <c r="BM826" s="69"/>
      <c r="BN826" s="69"/>
      <c r="BO826" s="69"/>
      <c r="BP826" s="69"/>
      <c r="BQ826" s="69"/>
      <c r="BR826" s="69"/>
      <c r="BS826" s="69"/>
      <c r="BT826" s="69"/>
      <c r="BU826" s="69"/>
      <c r="BV826" s="69"/>
      <c r="BW826" s="69"/>
      <c r="BX826" s="69"/>
      <c r="BY826" s="69"/>
      <c r="BZ826" s="69"/>
      <c r="CA826" s="69"/>
      <c r="CB826" s="69"/>
      <c r="CC826" s="69"/>
      <c r="CD826" s="69">
        <v>2.1800000000000002</v>
      </c>
      <c r="CE826" s="94">
        <f t="shared" si="66"/>
        <v>10436.740000000002</v>
      </c>
      <c r="CF826" s="151">
        <f t="shared" si="68"/>
        <v>0</v>
      </c>
      <c r="CG826" s="75">
        <f t="shared" si="67"/>
        <v>4675</v>
      </c>
      <c r="CH826" s="69" t="str">
        <f t="shared" si="67"/>
        <v>ماليزى اسنان</v>
      </c>
    </row>
    <row r="827" spans="1:92" x14ac:dyDescent="0.25">
      <c r="A827" s="148"/>
      <c r="B827" s="82">
        <v>3668</v>
      </c>
      <c r="C827" s="160">
        <v>4676</v>
      </c>
      <c r="D827" s="69" t="s">
        <v>121</v>
      </c>
      <c r="E827" s="69" t="s">
        <v>3347</v>
      </c>
      <c r="F827" s="69" t="s">
        <v>220</v>
      </c>
      <c r="G827" s="69">
        <v>31684.02</v>
      </c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  <c r="AD827" s="69"/>
      <c r="AE827" s="69"/>
      <c r="AF827" s="69"/>
      <c r="AG827" s="69"/>
      <c r="AH827" s="69"/>
      <c r="AI827" s="69"/>
      <c r="AJ827" s="69"/>
      <c r="AK827" s="69"/>
      <c r="AL827" s="69"/>
      <c r="AM827" s="69"/>
      <c r="AN827" s="69"/>
      <c r="AO827" s="69"/>
      <c r="AP827" s="69"/>
      <c r="AQ827" s="69"/>
      <c r="AR827" s="94">
        <f t="shared" si="59"/>
        <v>31684.02</v>
      </c>
      <c r="AS827" s="69">
        <v>23590.68</v>
      </c>
      <c r="AT827" s="69">
        <f>249.72+178.2</f>
        <v>427.91999999999996</v>
      </c>
      <c r="AU827" s="69">
        <f>6553.02+1080.9</f>
        <v>7633.92</v>
      </c>
      <c r="AV827" s="69">
        <f>18+13.5</f>
        <v>31.5</v>
      </c>
      <c r="AW827" s="69"/>
      <c r="AX827" s="69"/>
      <c r="AY827" s="69"/>
      <c r="AZ827" s="69"/>
      <c r="BA827" s="69"/>
      <c r="BB827" s="69"/>
      <c r="BC827" s="69"/>
      <c r="BD827" s="69"/>
      <c r="BE827" s="69"/>
      <c r="BF827" s="69"/>
      <c r="BG827" s="69"/>
      <c r="BH827" s="69"/>
      <c r="BI827" s="69"/>
      <c r="BJ827" s="69"/>
      <c r="BK827" s="69"/>
      <c r="BL827" s="69"/>
      <c r="BM827" s="69"/>
      <c r="BN827" s="69"/>
      <c r="BO827" s="69"/>
      <c r="BP827" s="69"/>
      <c r="BQ827" s="69"/>
      <c r="BR827" s="69"/>
      <c r="BS827" s="69"/>
      <c r="BT827" s="69"/>
      <c r="BU827" s="69"/>
      <c r="BV827" s="69"/>
      <c r="BW827" s="69"/>
      <c r="BX827" s="69"/>
      <c r="BY827" s="69"/>
      <c r="BZ827" s="69"/>
      <c r="CA827" s="69"/>
      <c r="CB827" s="69"/>
      <c r="CC827" s="69"/>
      <c r="CD827" s="69"/>
      <c r="CE827" s="94">
        <f t="shared" si="66"/>
        <v>31684.019999999997</v>
      </c>
      <c r="CF827" s="151">
        <f t="shared" si="68"/>
        <v>0</v>
      </c>
      <c r="CG827" s="75">
        <f t="shared" si="67"/>
        <v>4676</v>
      </c>
      <c r="CH827" s="69" t="str">
        <f t="shared" si="67"/>
        <v>ماليزى اسنان</v>
      </c>
    </row>
    <row r="828" spans="1:92" x14ac:dyDescent="0.25">
      <c r="A828" s="148"/>
      <c r="B828" s="82">
        <v>3671</v>
      </c>
      <c r="C828" s="160">
        <v>4677</v>
      </c>
      <c r="D828" s="69" t="s">
        <v>121</v>
      </c>
      <c r="E828" s="69" t="s">
        <v>3347</v>
      </c>
      <c r="F828" s="69" t="s">
        <v>220</v>
      </c>
      <c r="G828" s="69">
        <v>5228.24</v>
      </c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  <c r="AD828" s="69"/>
      <c r="AE828" s="69"/>
      <c r="AF828" s="69"/>
      <c r="AG828" s="69"/>
      <c r="AH828" s="69"/>
      <c r="AI828" s="69"/>
      <c r="AJ828" s="69"/>
      <c r="AK828" s="69"/>
      <c r="AL828" s="69"/>
      <c r="AM828" s="69"/>
      <c r="AN828" s="69"/>
      <c r="AO828" s="69"/>
      <c r="AP828" s="69"/>
      <c r="AQ828" s="69"/>
      <c r="AR828" s="94">
        <f t="shared" si="59"/>
        <v>5228.24</v>
      </c>
      <c r="AS828" s="69">
        <v>3736.5</v>
      </c>
      <c r="AT828" s="69">
        <f>18.92+29.4</f>
        <v>48.32</v>
      </c>
      <c r="AU828" s="69">
        <f>1081.32+178.36</f>
        <v>1259.6799999999998</v>
      </c>
      <c r="AV828" s="69">
        <f>179.72+2.23</f>
        <v>181.95</v>
      </c>
      <c r="AW828" s="69"/>
      <c r="AX828" s="69"/>
      <c r="AY828" s="69"/>
      <c r="AZ828" s="69"/>
      <c r="BA828" s="69"/>
      <c r="BB828" s="69"/>
      <c r="BC828" s="69"/>
      <c r="BD828" s="69"/>
      <c r="BE828" s="69"/>
      <c r="BF828" s="69"/>
      <c r="BG828" s="69"/>
      <c r="BH828" s="69"/>
      <c r="BI828" s="69"/>
      <c r="BJ828" s="69"/>
      <c r="BK828" s="69"/>
      <c r="BL828" s="69"/>
      <c r="BM828" s="69"/>
      <c r="BN828" s="69"/>
      <c r="BO828" s="69"/>
      <c r="BP828" s="69"/>
      <c r="BQ828" s="69"/>
      <c r="BR828" s="69"/>
      <c r="BS828" s="69"/>
      <c r="BT828" s="69"/>
      <c r="BU828" s="69"/>
      <c r="BV828" s="69"/>
      <c r="BW828" s="69"/>
      <c r="BX828" s="69"/>
      <c r="BY828" s="69"/>
      <c r="BZ828" s="69"/>
      <c r="CA828" s="69"/>
      <c r="CB828" s="69"/>
      <c r="CC828" s="69"/>
      <c r="CD828" s="69">
        <v>1.79</v>
      </c>
      <c r="CE828" s="94">
        <f t="shared" si="66"/>
        <v>5228.24</v>
      </c>
      <c r="CF828" s="151">
        <f t="shared" si="68"/>
        <v>0</v>
      </c>
      <c r="CG828" s="75">
        <f t="shared" si="67"/>
        <v>4677</v>
      </c>
      <c r="CH828" s="69" t="str">
        <f t="shared" si="67"/>
        <v>ماليزى اسنان</v>
      </c>
    </row>
    <row r="829" spans="1:92" x14ac:dyDescent="0.25">
      <c r="A829" s="148"/>
      <c r="B829" s="82">
        <v>3670</v>
      </c>
      <c r="C829" s="160">
        <v>4678</v>
      </c>
      <c r="D829" s="69" t="s">
        <v>121</v>
      </c>
      <c r="E829" s="69" t="s">
        <v>3347</v>
      </c>
      <c r="F829" s="69" t="s">
        <v>220</v>
      </c>
      <c r="G829" s="69">
        <v>4979.67</v>
      </c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  <c r="AD829" s="69"/>
      <c r="AE829" s="69"/>
      <c r="AF829" s="69"/>
      <c r="AG829" s="69"/>
      <c r="AH829" s="69"/>
      <c r="AI829" s="69"/>
      <c r="AJ829" s="69"/>
      <c r="AK829" s="69"/>
      <c r="AL829" s="69"/>
      <c r="AM829" s="69"/>
      <c r="AN829" s="69"/>
      <c r="AO829" s="69"/>
      <c r="AP829" s="69"/>
      <c r="AQ829" s="69"/>
      <c r="AR829" s="94">
        <f t="shared" si="59"/>
        <v>4979.67</v>
      </c>
      <c r="AS829" s="69">
        <v>3727.82</v>
      </c>
      <c r="AT829" s="69">
        <f>18.94+28</f>
        <v>46.94</v>
      </c>
      <c r="AU829" s="69">
        <f>1029.91+169.88</f>
        <v>1199.79</v>
      </c>
      <c r="AV829" s="69">
        <f>3+2.12</f>
        <v>5.12</v>
      </c>
      <c r="AW829" s="69"/>
      <c r="AX829" s="69"/>
      <c r="AY829" s="69"/>
      <c r="AZ829" s="69"/>
      <c r="BA829" s="69"/>
      <c r="BB829" s="69"/>
      <c r="BC829" s="69"/>
      <c r="BD829" s="69"/>
      <c r="BE829" s="69"/>
      <c r="BF829" s="69"/>
      <c r="BG829" s="69"/>
      <c r="BH829" s="69"/>
      <c r="BI829" s="69"/>
      <c r="BJ829" s="69"/>
      <c r="BK829" s="69"/>
      <c r="BL829" s="69"/>
      <c r="BM829" s="69"/>
      <c r="BN829" s="69"/>
      <c r="BO829" s="69"/>
      <c r="BP829" s="69"/>
      <c r="BQ829" s="69"/>
      <c r="BR829" s="69"/>
      <c r="BS829" s="69"/>
      <c r="BT829" s="69"/>
      <c r="BU829" s="69"/>
      <c r="BV829" s="69"/>
      <c r="BW829" s="69"/>
      <c r="BX829" s="69"/>
      <c r="BY829" s="69"/>
      <c r="BZ829" s="69"/>
      <c r="CA829" s="69"/>
      <c r="CB829" s="69"/>
      <c r="CC829" s="69"/>
      <c r="CD829" s="69"/>
      <c r="CE829" s="94">
        <f t="shared" si="66"/>
        <v>4979.67</v>
      </c>
      <c r="CF829" s="151">
        <f t="shared" si="68"/>
        <v>0</v>
      </c>
      <c r="CG829" s="75">
        <f t="shared" si="67"/>
        <v>4678</v>
      </c>
      <c r="CH829" s="69" t="str">
        <f t="shared" si="67"/>
        <v>ماليزى اسنان</v>
      </c>
    </row>
    <row r="830" spans="1:92" x14ac:dyDescent="0.25">
      <c r="A830" s="148"/>
      <c r="B830" s="82">
        <v>3669</v>
      </c>
      <c r="C830" s="160">
        <v>4679</v>
      </c>
      <c r="D830" s="69" t="s">
        <v>121</v>
      </c>
      <c r="E830" s="69" t="s">
        <v>3347</v>
      </c>
      <c r="F830" s="69" t="s">
        <v>220</v>
      </c>
      <c r="G830" s="69">
        <v>117360.7</v>
      </c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  <c r="AE830" s="69"/>
      <c r="AF830" s="69"/>
      <c r="AG830" s="69"/>
      <c r="AH830" s="69"/>
      <c r="AI830" s="69"/>
      <c r="AJ830" s="69"/>
      <c r="AK830" s="69"/>
      <c r="AL830" s="69"/>
      <c r="AM830" s="69"/>
      <c r="AN830" s="69"/>
      <c r="AO830" s="69"/>
      <c r="AP830" s="69"/>
      <c r="AQ830" s="69"/>
      <c r="AR830" s="94">
        <f t="shared" si="59"/>
        <v>117360.7</v>
      </c>
      <c r="AS830" s="69">
        <v>87417.32</v>
      </c>
      <c r="AT830" s="69">
        <f>425.58+659.6</f>
        <v>1085.18</v>
      </c>
      <c r="AU830" s="69">
        <f>24272.91+4003.74</f>
        <v>28276.65</v>
      </c>
      <c r="AV830" s="69">
        <f>526.92+50.02</f>
        <v>576.93999999999994</v>
      </c>
      <c r="AW830" s="69"/>
      <c r="AX830" s="69"/>
      <c r="AY830" s="69"/>
      <c r="AZ830" s="69"/>
      <c r="BA830" s="69"/>
      <c r="BB830" s="69"/>
      <c r="BC830" s="69"/>
      <c r="BD830" s="69"/>
      <c r="BE830" s="69"/>
      <c r="BF830" s="69"/>
      <c r="BG830" s="69"/>
      <c r="BH830" s="69"/>
      <c r="BI830" s="69"/>
      <c r="BJ830" s="69"/>
      <c r="BK830" s="69"/>
      <c r="BL830" s="69"/>
      <c r="BM830" s="69"/>
      <c r="BN830" s="69"/>
      <c r="BO830" s="69"/>
      <c r="BP830" s="69"/>
      <c r="BQ830" s="69"/>
      <c r="BR830" s="69"/>
      <c r="BS830" s="69"/>
      <c r="BT830" s="69"/>
      <c r="BU830" s="69"/>
      <c r="BV830" s="69"/>
      <c r="BW830" s="69"/>
      <c r="BX830" s="69"/>
      <c r="BY830" s="69"/>
      <c r="BZ830" s="69"/>
      <c r="CA830" s="69"/>
      <c r="CB830" s="69"/>
      <c r="CC830" s="69"/>
      <c r="CD830" s="69">
        <v>4.6100000000000003</v>
      </c>
      <c r="CE830" s="94">
        <f t="shared" si="66"/>
        <v>117360.7</v>
      </c>
      <c r="CF830" s="151">
        <f t="shared" si="68"/>
        <v>0</v>
      </c>
      <c r="CG830" s="75">
        <f t="shared" si="67"/>
        <v>4679</v>
      </c>
      <c r="CH830" s="69" t="str">
        <f t="shared" si="67"/>
        <v>ماليزى اسنان</v>
      </c>
    </row>
    <row r="831" spans="1:92" s="156" customFormat="1" x14ac:dyDescent="0.25">
      <c r="A831" s="153"/>
      <c r="B831" s="83"/>
      <c r="C831" s="154"/>
      <c r="D831" s="69"/>
      <c r="E831" s="68" t="s">
        <v>3348</v>
      </c>
      <c r="F831" s="68"/>
      <c r="G831" s="68">
        <f>SUM(G784:G830)</f>
        <v>2341042.7500000005</v>
      </c>
      <c r="H831" s="68">
        <f t="shared" ref="H831:BV831" si="69">SUM(H784:H830)</f>
        <v>0</v>
      </c>
      <c r="I831" s="68">
        <f t="shared" si="69"/>
        <v>0</v>
      </c>
      <c r="J831" s="68">
        <f t="shared" si="69"/>
        <v>0</v>
      </c>
      <c r="K831" s="68">
        <f t="shared" si="69"/>
        <v>0</v>
      </c>
      <c r="L831" s="68">
        <f t="shared" si="69"/>
        <v>0</v>
      </c>
      <c r="M831" s="68">
        <f t="shared" si="69"/>
        <v>0</v>
      </c>
      <c r="N831" s="68">
        <f t="shared" si="69"/>
        <v>0</v>
      </c>
      <c r="O831" s="68"/>
      <c r="P831" s="68">
        <f t="shared" si="69"/>
        <v>0</v>
      </c>
      <c r="Q831" s="68">
        <f t="shared" si="69"/>
        <v>0</v>
      </c>
      <c r="R831" s="68">
        <f t="shared" si="69"/>
        <v>0</v>
      </c>
      <c r="S831" s="68">
        <f t="shared" si="69"/>
        <v>0</v>
      </c>
      <c r="T831" s="68">
        <f t="shared" si="69"/>
        <v>0</v>
      </c>
      <c r="U831" s="68">
        <f t="shared" si="69"/>
        <v>0</v>
      </c>
      <c r="V831" s="68">
        <f t="shared" si="69"/>
        <v>0</v>
      </c>
      <c r="W831" s="68">
        <f t="shared" si="69"/>
        <v>0</v>
      </c>
      <c r="X831" s="68">
        <f t="shared" si="69"/>
        <v>0</v>
      </c>
      <c r="Y831" s="68">
        <f t="shared" si="69"/>
        <v>0</v>
      </c>
      <c r="Z831" s="68">
        <f t="shared" si="69"/>
        <v>0</v>
      </c>
      <c r="AA831" s="68">
        <f t="shared" si="69"/>
        <v>0</v>
      </c>
      <c r="AB831" s="68">
        <f t="shared" si="69"/>
        <v>0</v>
      </c>
      <c r="AC831" s="68">
        <f t="shared" si="69"/>
        <v>0</v>
      </c>
      <c r="AD831" s="68">
        <f t="shared" si="69"/>
        <v>0</v>
      </c>
      <c r="AE831" s="68">
        <f t="shared" si="69"/>
        <v>0</v>
      </c>
      <c r="AF831" s="68">
        <f t="shared" si="69"/>
        <v>0</v>
      </c>
      <c r="AG831" s="68">
        <f t="shared" si="69"/>
        <v>0</v>
      </c>
      <c r="AH831" s="68">
        <f t="shared" si="69"/>
        <v>0</v>
      </c>
      <c r="AI831" s="68">
        <f t="shared" si="69"/>
        <v>0</v>
      </c>
      <c r="AJ831" s="68">
        <f t="shared" si="69"/>
        <v>0</v>
      </c>
      <c r="AK831" s="68">
        <f t="shared" si="69"/>
        <v>0</v>
      </c>
      <c r="AL831" s="68">
        <f t="shared" si="69"/>
        <v>0</v>
      </c>
      <c r="AM831" s="68">
        <f t="shared" si="69"/>
        <v>0</v>
      </c>
      <c r="AN831" s="68">
        <f t="shared" si="69"/>
        <v>0</v>
      </c>
      <c r="AO831" s="68">
        <f t="shared" si="69"/>
        <v>0</v>
      </c>
      <c r="AP831" s="68">
        <f t="shared" si="69"/>
        <v>0</v>
      </c>
      <c r="AQ831" s="68">
        <f t="shared" si="69"/>
        <v>0</v>
      </c>
      <c r="AR831" s="91">
        <f t="shared" si="69"/>
        <v>2341042.7500000005</v>
      </c>
      <c r="AS831" s="68">
        <f t="shared" si="69"/>
        <v>1711781.3600000003</v>
      </c>
      <c r="AT831" s="68">
        <f t="shared" si="69"/>
        <v>26676.569999999996</v>
      </c>
      <c r="AU831" s="68">
        <f t="shared" si="69"/>
        <v>570455.07000000007</v>
      </c>
      <c r="AV831" s="68">
        <f t="shared" si="69"/>
        <v>21340.859999999997</v>
      </c>
      <c r="AW831" s="68">
        <f t="shared" si="69"/>
        <v>8358.5400000000009</v>
      </c>
      <c r="AX831" s="68">
        <f t="shared" si="69"/>
        <v>2406.92</v>
      </c>
      <c r="AY831" s="68">
        <f t="shared" si="69"/>
        <v>0</v>
      </c>
      <c r="AZ831" s="68">
        <f t="shared" si="69"/>
        <v>0</v>
      </c>
      <c r="BA831" s="68">
        <f t="shared" si="69"/>
        <v>0</v>
      </c>
      <c r="BB831" s="68">
        <f t="shared" si="69"/>
        <v>0</v>
      </c>
      <c r="BC831" s="68">
        <f t="shared" si="69"/>
        <v>0</v>
      </c>
      <c r="BD831" s="68">
        <f t="shared" si="69"/>
        <v>0</v>
      </c>
      <c r="BE831" s="68"/>
      <c r="BF831" s="68">
        <f t="shared" si="69"/>
        <v>0</v>
      </c>
      <c r="BG831" s="68">
        <f t="shared" si="69"/>
        <v>0</v>
      </c>
      <c r="BH831" s="68">
        <f t="shared" si="69"/>
        <v>0</v>
      </c>
      <c r="BI831" s="68">
        <f t="shared" si="69"/>
        <v>0</v>
      </c>
      <c r="BJ831" s="68">
        <f t="shared" si="69"/>
        <v>0</v>
      </c>
      <c r="BK831" s="68">
        <f t="shared" si="69"/>
        <v>0</v>
      </c>
      <c r="BL831" s="68">
        <f t="shared" si="69"/>
        <v>0</v>
      </c>
      <c r="BM831" s="68">
        <f t="shared" si="69"/>
        <v>0</v>
      </c>
      <c r="BN831" s="68">
        <f t="shared" si="69"/>
        <v>0</v>
      </c>
      <c r="BO831" s="68"/>
      <c r="BP831" s="68">
        <f t="shared" si="69"/>
        <v>0</v>
      </c>
      <c r="BQ831" s="68">
        <f t="shared" si="69"/>
        <v>0</v>
      </c>
      <c r="BR831" s="68">
        <f t="shared" si="69"/>
        <v>0</v>
      </c>
      <c r="BS831" s="68">
        <f t="shared" si="69"/>
        <v>0</v>
      </c>
      <c r="BT831" s="68">
        <f t="shared" si="69"/>
        <v>0</v>
      </c>
      <c r="BU831" s="68">
        <f t="shared" si="69"/>
        <v>0</v>
      </c>
      <c r="BV831" s="68">
        <f t="shared" si="69"/>
        <v>0</v>
      </c>
      <c r="BW831" s="68">
        <f t="shared" ref="BW831:CN831" si="70">SUM(BW784:BW830)</f>
        <v>0</v>
      </c>
      <c r="BX831" s="68">
        <f t="shared" si="70"/>
        <v>0</v>
      </c>
      <c r="BY831" s="68">
        <f t="shared" si="70"/>
        <v>0</v>
      </c>
      <c r="BZ831" s="68">
        <f t="shared" si="70"/>
        <v>0</v>
      </c>
      <c r="CA831" s="68">
        <f t="shared" si="70"/>
        <v>0</v>
      </c>
      <c r="CB831" s="68">
        <f t="shared" si="70"/>
        <v>0</v>
      </c>
      <c r="CC831" s="68">
        <f t="shared" si="70"/>
        <v>0</v>
      </c>
      <c r="CD831" s="68">
        <f t="shared" si="70"/>
        <v>23.429999999999996</v>
      </c>
      <c r="CE831" s="91">
        <f t="shared" si="70"/>
        <v>2341042.7500000005</v>
      </c>
      <c r="CF831" s="68">
        <f t="shared" si="70"/>
        <v>0</v>
      </c>
      <c r="CG831" s="68"/>
      <c r="CH831" s="68">
        <f t="shared" si="70"/>
        <v>0</v>
      </c>
      <c r="CI831" s="68">
        <f t="shared" si="70"/>
        <v>0</v>
      </c>
      <c r="CJ831" s="68">
        <f t="shared" si="70"/>
        <v>0</v>
      </c>
      <c r="CK831" s="68">
        <f t="shared" si="70"/>
        <v>0</v>
      </c>
      <c r="CL831" s="68">
        <f t="shared" si="70"/>
        <v>0</v>
      </c>
      <c r="CM831" s="68">
        <f t="shared" si="70"/>
        <v>0</v>
      </c>
      <c r="CN831" s="68">
        <f t="shared" si="70"/>
        <v>0</v>
      </c>
    </row>
    <row r="832" spans="1:92" x14ac:dyDescent="0.25">
      <c r="A832" s="148"/>
      <c r="B832" s="82">
        <v>8566</v>
      </c>
      <c r="C832" s="149">
        <v>4680</v>
      </c>
      <c r="D832" s="69" t="s">
        <v>128</v>
      </c>
      <c r="E832" s="69" t="s">
        <v>3349</v>
      </c>
      <c r="F832" s="63"/>
      <c r="G832" s="69">
        <v>31321.09</v>
      </c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  <c r="AE832" s="69"/>
      <c r="AF832" s="69"/>
      <c r="AG832" s="69"/>
      <c r="AH832" s="69"/>
      <c r="AI832" s="69"/>
      <c r="AJ832" s="69"/>
      <c r="AK832" s="69"/>
      <c r="AL832" s="69"/>
      <c r="AM832" s="69"/>
      <c r="AN832" s="69"/>
      <c r="AO832" s="69"/>
      <c r="AP832" s="69"/>
      <c r="AQ832" s="69"/>
      <c r="AR832" s="94">
        <f t="shared" si="59"/>
        <v>31321.09</v>
      </c>
      <c r="AS832" s="69">
        <v>20788.61</v>
      </c>
      <c r="AT832" s="69">
        <v>2833.5</v>
      </c>
      <c r="AU832" s="69">
        <v>7698.98</v>
      </c>
      <c r="AV832" s="69"/>
      <c r="AW832" s="69"/>
      <c r="AX832" s="69"/>
      <c r="AY832" s="69"/>
      <c r="AZ832" s="69"/>
      <c r="BA832" s="69"/>
      <c r="BB832" s="69"/>
      <c r="BC832" s="69"/>
      <c r="BD832" s="69"/>
      <c r="BE832" s="69"/>
      <c r="BF832" s="69"/>
      <c r="BG832" s="69"/>
      <c r="BH832" s="69"/>
      <c r="BI832" s="69"/>
      <c r="BJ832" s="69"/>
      <c r="BK832" s="69"/>
      <c r="BL832" s="69"/>
      <c r="BM832" s="69"/>
      <c r="BN832" s="69"/>
      <c r="BO832" s="69"/>
      <c r="BP832" s="69"/>
      <c r="BQ832" s="69"/>
      <c r="BR832" s="69"/>
      <c r="BS832" s="69"/>
      <c r="BT832" s="69"/>
      <c r="BU832" s="69"/>
      <c r="BV832" s="69"/>
      <c r="BW832" s="69"/>
      <c r="BX832" s="69"/>
      <c r="BY832" s="69"/>
      <c r="BZ832" s="69"/>
      <c r="CA832" s="69"/>
      <c r="CB832" s="69"/>
      <c r="CC832" s="69"/>
      <c r="CD832" s="69"/>
      <c r="CE832" s="94">
        <f t="shared" si="63"/>
        <v>31321.09</v>
      </c>
      <c r="CF832" s="151">
        <f t="shared" ref="CF832:CF943" si="71">+CE832-AR832</f>
        <v>0</v>
      </c>
      <c r="CG832" s="75">
        <f t="shared" ref="CG832:CH943" si="72">+C832</f>
        <v>4680</v>
      </c>
      <c r="CH832" s="69" t="str">
        <f t="shared" si="72"/>
        <v>مركز مؤتمرات</v>
      </c>
    </row>
    <row r="833" spans="1:86" x14ac:dyDescent="0.25">
      <c r="A833" s="148"/>
      <c r="B833" s="82">
        <v>8565</v>
      </c>
      <c r="C833" s="149">
        <v>4681</v>
      </c>
      <c r="D833" s="69" t="s">
        <v>128</v>
      </c>
      <c r="E833" s="69" t="s">
        <v>3349</v>
      </c>
      <c r="F833" s="63"/>
      <c r="G833" s="69">
        <v>5943.4</v>
      </c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  <c r="AE833" s="69"/>
      <c r="AF833" s="69"/>
      <c r="AG833" s="69"/>
      <c r="AH833" s="69"/>
      <c r="AI833" s="69"/>
      <c r="AJ833" s="69"/>
      <c r="AK833" s="69"/>
      <c r="AL833" s="69"/>
      <c r="AM833" s="69"/>
      <c r="AN833" s="69"/>
      <c r="AO833" s="69"/>
      <c r="AP833" s="69"/>
      <c r="AQ833" s="69"/>
      <c r="AR833" s="94">
        <f t="shared" si="59"/>
        <v>5943.4</v>
      </c>
      <c r="AS833" s="69">
        <v>3971.36</v>
      </c>
      <c r="AT833" s="69">
        <v>540.04999999999995</v>
      </c>
      <c r="AU833" s="69">
        <v>1431.99</v>
      </c>
      <c r="AV833" s="69"/>
      <c r="AW833" s="69"/>
      <c r="AX833" s="69"/>
      <c r="AY833" s="69"/>
      <c r="AZ833" s="69"/>
      <c r="BA833" s="69"/>
      <c r="BB833" s="69"/>
      <c r="BC833" s="69"/>
      <c r="BD833" s="69"/>
      <c r="BE833" s="69"/>
      <c r="BF833" s="69"/>
      <c r="BG833" s="69"/>
      <c r="BH833" s="69"/>
      <c r="BI833" s="69"/>
      <c r="BJ833" s="69"/>
      <c r="BK833" s="69"/>
      <c r="BL833" s="69"/>
      <c r="BM833" s="69"/>
      <c r="BN833" s="69"/>
      <c r="BO833" s="69"/>
      <c r="BP833" s="69"/>
      <c r="BQ833" s="69"/>
      <c r="BR833" s="69"/>
      <c r="BS833" s="69"/>
      <c r="BT833" s="69"/>
      <c r="BU833" s="69"/>
      <c r="BV833" s="69"/>
      <c r="BW833" s="69"/>
      <c r="BX833" s="69"/>
      <c r="BY833" s="69"/>
      <c r="BZ833" s="69"/>
      <c r="CA833" s="69"/>
      <c r="CB833" s="69"/>
      <c r="CC833" s="69"/>
      <c r="CD833" s="69"/>
      <c r="CE833" s="94">
        <f t="shared" si="63"/>
        <v>5943.4</v>
      </c>
      <c r="CF833" s="151">
        <f t="shared" si="71"/>
        <v>0</v>
      </c>
      <c r="CG833" s="75">
        <f t="shared" si="72"/>
        <v>4681</v>
      </c>
      <c r="CH833" s="69" t="str">
        <f t="shared" si="72"/>
        <v>مركز مؤتمرات</v>
      </c>
    </row>
    <row r="834" spans="1:86" x14ac:dyDescent="0.25">
      <c r="A834" s="148"/>
      <c r="B834" s="82">
        <v>8564</v>
      </c>
      <c r="C834" s="149">
        <v>4682</v>
      </c>
      <c r="D834" s="69" t="s">
        <v>128</v>
      </c>
      <c r="E834" s="69" t="s">
        <v>3349</v>
      </c>
      <c r="F834" s="63"/>
      <c r="G834" s="69">
        <v>2661.58</v>
      </c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  <c r="AE834" s="69"/>
      <c r="AF834" s="69"/>
      <c r="AG834" s="69"/>
      <c r="AH834" s="69"/>
      <c r="AI834" s="69"/>
      <c r="AJ834" s="69"/>
      <c r="AK834" s="69"/>
      <c r="AL834" s="69"/>
      <c r="AM834" s="69"/>
      <c r="AN834" s="69"/>
      <c r="AO834" s="69"/>
      <c r="AP834" s="69"/>
      <c r="AQ834" s="69"/>
      <c r="AR834" s="94">
        <f t="shared" si="59"/>
        <v>2661.58</v>
      </c>
      <c r="AS834" s="69">
        <v>1778.5</v>
      </c>
      <c r="AT834" s="69">
        <v>241.8</v>
      </c>
      <c r="AU834" s="69">
        <v>641.28</v>
      </c>
      <c r="AV834" s="69"/>
      <c r="AW834" s="69"/>
      <c r="AX834" s="69"/>
      <c r="AY834" s="69"/>
      <c r="AZ834" s="69"/>
      <c r="BA834" s="69"/>
      <c r="BB834" s="69"/>
      <c r="BC834" s="69"/>
      <c r="BD834" s="69"/>
      <c r="BE834" s="69"/>
      <c r="BF834" s="69"/>
      <c r="BG834" s="69"/>
      <c r="BH834" s="69"/>
      <c r="BI834" s="69"/>
      <c r="BJ834" s="69"/>
      <c r="BK834" s="69"/>
      <c r="BL834" s="69"/>
      <c r="BM834" s="69"/>
      <c r="BN834" s="69"/>
      <c r="BO834" s="69"/>
      <c r="BP834" s="69"/>
      <c r="BQ834" s="69"/>
      <c r="BR834" s="69"/>
      <c r="BS834" s="69"/>
      <c r="BT834" s="69"/>
      <c r="BU834" s="69"/>
      <c r="BV834" s="69"/>
      <c r="BW834" s="69"/>
      <c r="BX834" s="69"/>
      <c r="BY834" s="69"/>
      <c r="BZ834" s="69"/>
      <c r="CA834" s="69"/>
      <c r="CB834" s="69"/>
      <c r="CC834" s="69"/>
      <c r="CD834" s="69"/>
      <c r="CE834" s="94">
        <f t="shared" si="63"/>
        <v>2661.58</v>
      </c>
      <c r="CF834" s="151">
        <f t="shared" si="71"/>
        <v>0</v>
      </c>
      <c r="CG834" s="75">
        <f t="shared" si="72"/>
        <v>4682</v>
      </c>
      <c r="CH834" s="69" t="str">
        <f t="shared" si="72"/>
        <v>مركز مؤتمرات</v>
      </c>
    </row>
    <row r="835" spans="1:86" x14ac:dyDescent="0.25">
      <c r="A835" s="148"/>
      <c r="B835" s="82">
        <v>8563</v>
      </c>
      <c r="C835" s="149">
        <v>4683</v>
      </c>
      <c r="D835" s="69" t="s">
        <v>128</v>
      </c>
      <c r="E835" s="69" t="s">
        <v>3349</v>
      </c>
      <c r="F835" s="63"/>
      <c r="G835" s="69">
        <v>1460.35</v>
      </c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  <c r="AE835" s="69"/>
      <c r="AF835" s="69"/>
      <c r="AG835" s="69"/>
      <c r="AH835" s="69"/>
      <c r="AI835" s="69"/>
      <c r="AJ835" s="69"/>
      <c r="AK835" s="69"/>
      <c r="AL835" s="69"/>
      <c r="AM835" s="69"/>
      <c r="AN835" s="69"/>
      <c r="AO835" s="69"/>
      <c r="AP835" s="69"/>
      <c r="AQ835" s="69"/>
      <c r="AR835" s="94">
        <f t="shared" si="59"/>
        <v>1460.35</v>
      </c>
      <c r="AS835" s="69">
        <v>975.98</v>
      </c>
      <c r="AT835" s="69">
        <v>132.5</v>
      </c>
      <c r="AU835" s="69">
        <v>351.87</v>
      </c>
      <c r="AV835" s="69"/>
      <c r="AW835" s="69"/>
      <c r="AX835" s="69"/>
      <c r="AY835" s="69"/>
      <c r="AZ835" s="69"/>
      <c r="BA835" s="69"/>
      <c r="BB835" s="69"/>
      <c r="BC835" s="69"/>
      <c r="BD835" s="69"/>
      <c r="BE835" s="69"/>
      <c r="BF835" s="69"/>
      <c r="BG835" s="69"/>
      <c r="BH835" s="69"/>
      <c r="BI835" s="69"/>
      <c r="BJ835" s="69"/>
      <c r="BK835" s="69"/>
      <c r="BL835" s="69"/>
      <c r="BM835" s="69"/>
      <c r="BN835" s="69"/>
      <c r="BO835" s="69"/>
      <c r="BP835" s="69"/>
      <c r="BQ835" s="69"/>
      <c r="BR835" s="69"/>
      <c r="BS835" s="69"/>
      <c r="BT835" s="69"/>
      <c r="BU835" s="69"/>
      <c r="BV835" s="69"/>
      <c r="BW835" s="69"/>
      <c r="BX835" s="69"/>
      <c r="BY835" s="69"/>
      <c r="BZ835" s="69"/>
      <c r="CA835" s="69"/>
      <c r="CB835" s="69"/>
      <c r="CC835" s="69"/>
      <c r="CD835" s="69"/>
      <c r="CE835" s="94">
        <f t="shared" si="63"/>
        <v>1460.35</v>
      </c>
      <c r="CF835" s="151">
        <f t="shared" si="71"/>
        <v>0</v>
      </c>
      <c r="CG835" s="75">
        <f t="shared" si="72"/>
        <v>4683</v>
      </c>
      <c r="CH835" s="69" t="str">
        <f t="shared" si="72"/>
        <v>مركز مؤتمرات</v>
      </c>
    </row>
    <row r="836" spans="1:86" x14ac:dyDescent="0.25">
      <c r="A836" s="148">
        <f>15488773.17-15418540.63</f>
        <v>70232.539999999106</v>
      </c>
      <c r="B836" s="82">
        <v>8570</v>
      </c>
      <c r="C836" s="149">
        <v>4684</v>
      </c>
      <c r="D836" s="69" t="s">
        <v>128</v>
      </c>
      <c r="E836" s="69" t="s">
        <v>3350</v>
      </c>
      <c r="F836" s="63"/>
      <c r="G836" s="69">
        <v>15560.61</v>
      </c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  <c r="AE836" s="69"/>
      <c r="AF836" s="69"/>
      <c r="AG836" s="69"/>
      <c r="AH836" s="69"/>
      <c r="AI836" s="69"/>
      <c r="AJ836" s="69"/>
      <c r="AK836" s="69"/>
      <c r="AL836" s="69"/>
      <c r="AM836" s="69"/>
      <c r="AN836" s="69"/>
      <c r="AO836" s="69"/>
      <c r="AP836" s="69"/>
      <c r="AQ836" s="69"/>
      <c r="AR836" s="94">
        <f t="shared" ref="AR836:AR908" si="73">SUM(G836:AQ836)</f>
        <v>15560.61</v>
      </c>
      <c r="AS836" s="69">
        <v>10297.48</v>
      </c>
      <c r="AT836" s="69">
        <v>1397.2</v>
      </c>
      <c r="AU836" s="69">
        <v>3865.93</v>
      </c>
      <c r="AV836" s="69"/>
      <c r="AW836" s="69"/>
      <c r="AX836" s="69"/>
      <c r="AY836" s="69"/>
      <c r="AZ836" s="69"/>
      <c r="BA836" s="69"/>
      <c r="BB836" s="69"/>
      <c r="BC836" s="69"/>
      <c r="BD836" s="69"/>
      <c r="BE836" s="69"/>
      <c r="BF836" s="69"/>
      <c r="BG836" s="69"/>
      <c r="BH836" s="69"/>
      <c r="BI836" s="69"/>
      <c r="BJ836" s="69"/>
      <c r="BK836" s="69"/>
      <c r="BL836" s="69"/>
      <c r="BM836" s="69"/>
      <c r="BN836" s="69"/>
      <c r="BO836" s="69"/>
      <c r="BP836" s="69"/>
      <c r="BQ836" s="69"/>
      <c r="BR836" s="69"/>
      <c r="BS836" s="69"/>
      <c r="BT836" s="69"/>
      <c r="BU836" s="69"/>
      <c r="BV836" s="69"/>
      <c r="BW836" s="69"/>
      <c r="BX836" s="69"/>
      <c r="BY836" s="69"/>
      <c r="BZ836" s="69"/>
      <c r="CA836" s="69"/>
      <c r="CB836" s="69"/>
      <c r="CC836" s="69"/>
      <c r="CD836" s="69"/>
      <c r="CE836" s="94">
        <f t="shared" si="63"/>
        <v>15560.61</v>
      </c>
      <c r="CF836" s="151">
        <f t="shared" si="71"/>
        <v>0</v>
      </c>
      <c r="CG836" s="75">
        <f t="shared" si="72"/>
        <v>4684</v>
      </c>
      <c r="CH836" s="69" t="str">
        <f t="shared" si="72"/>
        <v>مركز مؤتمرات</v>
      </c>
    </row>
    <row r="837" spans="1:86" x14ac:dyDescent="0.25">
      <c r="A837" s="148"/>
      <c r="B837" s="82">
        <v>8569</v>
      </c>
      <c r="C837" s="149">
        <v>4685</v>
      </c>
      <c r="D837" s="69" t="s">
        <v>128</v>
      </c>
      <c r="E837" s="69" t="s">
        <v>3350</v>
      </c>
      <c r="F837" s="63"/>
      <c r="G837" s="69">
        <v>2643.39</v>
      </c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  <c r="AE837" s="69"/>
      <c r="AF837" s="69"/>
      <c r="AG837" s="69"/>
      <c r="AH837" s="69"/>
      <c r="AI837" s="69"/>
      <c r="AJ837" s="69"/>
      <c r="AK837" s="69"/>
      <c r="AL837" s="69"/>
      <c r="AM837" s="69"/>
      <c r="AN837" s="69"/>
      <c r="AO837" s="69"/>
      <c r="AP837" s="69"/>
      <c r="AQ837" s="69"/>
      <c r="AR837" s="94">
        <f t="shared" si="73"/>
        <v>2643.39</v>
      </c>
      <c r="AS837" s="69">
        <v>1989.05</v>
      </c>
      <c r="AT837" s="69">
        <v>255.75</v>
      </c>
      <c r="AU837" s="69">
        <v>398.59</v>
      </c>
      <c r="AV837" s="69"/>
      <c r="AW837" s="69"/>
      <c r="AX837" s="69"/>
      <c r="AY837" s="69"/>
      <c r="AZ837" s="69"/>
      <c r="BA837" s="69"/>
      <c r="BB837" s="69"/>
      <c r="BC837" s="69"/>
      <c r="BD837" s="69"/>
      <c r="BE837" s="69"/>
      <c r="BF837" s="69"/>
      <c r="BG837" s="69"/>
      <c r="BH837" s="69"/>
      <c r="BI837" s="69"/>
      <c r="BJ837" s="69"/>
      <c r="BK837" s="69"/>
      <c r="BL837" s="69"/>
      <c r="BM837" s="69"/>
      <c r="BN837" s="69"/>
      <c r="BO837" s="69"/>
      <c r="BP837" s="69"/>
      <c r="BQ837" s="69"/>
      <c r="BR837" s="69"/>
      <c r="BS837" s="69"/>
      <c r="BT837" s="69"/>
      <c r="BU837" s="69"/>
      <c r="BV837" s="69"/>
      <c r="BW837" s="69"/>
      <c r="BX837" s="69"/>
      <c r="BY837" s="69"/>
      <c r="BZ837" s="69"/>
      <c r="CA837" s="69"/>
      <c r="CB837" s="69"/>
      <c r="CC837" s="69"/>
      <c r="CD837" s="69"/>
      <c r="CE837" s="94">
        <f t="shared" si="63"/>
        <v>2643.3900000000003</v>
      </c>
      <c r="CF837" s="151">
        <f t="shared" si="71"/>
        <v>0</v>
      </c>
      <c r="CG837" s="75">
        <f t="shared" si="72"/>
        <v>4685</v>
      </c>
      <c r="CH837" s="69" t="str">
        <f t="shared" si="72"/>
        <v>مركز مؤتمرات</v>
      </c>
    </row>
    <row r="838" spans="1:86" x14ac:dyDescent="0.25">
      <c r="A838" s="148"/>
      <c r="B838" s="82">
        <v>8568</v>
      </c>
      <c r="C838" s="149">
        <v>4686</v>
      </c>
      <c r="D838" s="69" t="s">
        <v>128</v>
      </c>
      <c r="E838" s="69" t="s">
        <v>3350</v>
      </c>
      <c r="F838" s="63"/>
      <c r="G838" s="69">
        <v>1055.25</v>
      </c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  <c r="AE838" s="69"/>
      <c r="AF838" s="69"/>
      <c r="AG838" s="69"/>
      <c r="AH838" s="69"/>
      <c r="AI838" s="69"/>
      <c r="AJ838" s="69"/>
      <c r="AK838" s="69"/>
      <c r="AL838" s="69"/>
      <c r="AM838" s="69"/>
      <c r="AN838" s="69"/>
      <c r="AO838" s="69"/>
      <c r="AP838" s="69"/>
      <c r="AQ838" s="69"/>
      <c r="AR838" s="94">
        <f t="shared" si="73"/>
        <v>1055.25</v>
      </c>
      <c r="AS838" s="69">
        <v>705.7</v>
      </c>
      <c r="AT838" s="69">
        <v>95.3</v>
      </c>
      <c r="AU838" s="69">
        <v>254.25</v>
      </c>
      <c r="AV838" s="69"/>
      <c r="AW838" s="69"/>
      <c r="AX838" s="69"/>
      <c r="AY838" s="69"/>
      <c r="AZ838" s="69"/>
      <c r="BA838" s="69"/>
      <c r="BB838" s="69"/>
      <c r="BC838" s="69"/>
      <c r="BD838" s="69"/>
      <c r="BE838" s="69"/>
      <c r="BF838" s="69"/>
      <c r="BG838" s="69"/>
      <c r="BH838" s="69"/>
      <c r="BI838" s="69"/>
      <c r="BJ838" s="69"/>
      <c r="BK838" s="69"/>
      <c r="BL838" s="69"/>
      <c r="BM838" s="69"/>
      <c r="BN838" s="69"/>
      <c r="BO838" s="69"/>
      <c r="BP838" s="69"/>
      <c r="BQ838" s="69"/>
      <c r="BR838" s="69"/>
      <c r="BS838" s="69"/>
      <c r="BT838" s="69"/>
      <c r="BU838" s="69"/>
      <c r="BV838" s="69"/>
      <c r="BW838" s="69"/>
      <c r="BX838" s="69"/>
      <c r="BY838" s="69"/>
      <c r="BZ838" s="69"/>
      <c r="CA838" s="69"/>
      <c r="CB838" s="69"/>
      <c r="CC838" s="69"/>
      <c r="CD838" s="69"/>
      <c r="CE838" s="94">
        <f t="shared" si="63"/>
        <v>1055.25</v>
      </c>
      <c r="CF838" s="151">
        <f t="shared" si="71"/>
        <v>0</v>
      </c>
      <c r="CG838" s="75">
        <f t="shared" si="72"/>
        <v>4686</v>
      </c>
      <c r="CH838" s="69" t="str">
        <f t="shared" si="72"/>
        <v>مركز مؤتمرات</v>
      </c>
    </row>
    <row r="839" spans="1:86" x14ac:dyDescent="0.25">
      <c r="A839" s="148"/>
      <c r="B839" s="82">
        <v>8567</v>
      </c>
      <c r="C839" s="149">
        <v>4687</v>
      </c>
      <c r="D839" s="69" t="s">
        <v>128</v>
      </c>
      <c r="E839" s="69" t="s">
        <v>3350</v>
      </c>
      <c r="F839" s="63"/>
      <c r="G839" s="69">
        <v>1055.25</v>
      </c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  <c r="AE839" s="69"/>
      <c r="AF839" s="69"/>
      <c r="AG839" s="69"/>
      <c r="AH839" s="69"/>
      <c r="AI839" s="69"/>
      <c r="AJ839" s="69"/>
      <c r="AK839" s="69"/>
      <c r="AL839" s="69"/>
      <c r="AM839" s="69"/>
      <c r="AN839" s="69"/>
      <c r="AO839" s="69"/>
      <c r="AP839" s="69"/>
      <c r="AQ839" s="69"/>
      <c r="AR839" s="94">
        <f t="shared" si="73"/>
        <v>1055.25</v>
      </c>
      <c r="AS839" s="69">
        <v>705.7</v>
      </c>
      <c r="AT839" s="69">
        <v>95.3</v>
      </c>
      <c r="AU839" s="69">
        <v>254.25</v>
      </c>
      <c r="AV839" s="69"/>
      <c r="AW839" s="69"/>
      <c r="AX839" s="69"/>
      <c r="AY839" s="69"/>
      <c r="AZ839" s="69"/>
      <c r="BA839" s="69"/>
      <c r="BB839" s="69"/>
      <c r="BC839" s="69"/>
      <c r="BD839" s="69"/>
      <c r="BE839" s="69"/>
      <c r="BF839" s="69"/>
      <c r="BG839" s="69"/>
      <c r="BH839" s="69"/>
      <c r="BI839" s="69"/>
      <c r="BJ839" s="69"/>
      <c r="BK839" s="69"/>
      <c r="BL839" s="69"/>
      <c r="BM839" s="69"/>
      <c r="BN839" s="69"/>
      <c r="BO839" s="69"/>
      <c r="BP839" s="69"/>
      <c r="BQ839" s="69"/>
      <c r="BR839" s="69"/>
      <c r="BS839" s="69"/>
      <c r="BT839" s="69"/>
      <c r="BU839" s="69"/>
      <c r="BV839" s="69"/>
      <c r="BW839" s="69"/>
      <c r="BX839" s="69"/>
      <c r="BY839" s="69"/>
      <c r="BZ839" s="69"/>
      <c r="CA839" s="69"/>
      <c r="CB839" s="69"/>
      <c r="CC839" s="69"/>
      <c r="CD839" s="69"/>
      <c r="CE839" s="94">
        <f t="shared" si="63"/>
        <v>1055.25</v>
      </c>
      <c r="CF839" s="151">
        <f t="shared" si="71"/>
        <v>0</v>
      </c>
      <c r="CG839" s="75">
        <f t="shared" si="72"/>
        <v>4687</v>
      </c>
      <c r="CH839" s="69" t="str">
        <f t="shared" si="72"/>
        <v>مركز مؤتمرات</v>
      </c>
    </row>
    <row r="840" spans="1:86" x14ac:dyDescent="0.25">
      <c r="A840" s="148"/>
      <c r="B840" s="82">
        <v>8761</v>
      </c>
      <c r="C840" s="149">
        <v>4688</v>
      </c>
      <c r="D840" s="69" t="s">
        <v>121</v>
      </c>
      <c r="E840" s="69" t="s">
        <v>3351</v>
      </c>
      <c r="F840" s="63"/>
      <c r="G840" s="69">
        <v>9000</v>
      </c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  <c r="AE840" s="69"/>
      <c r="AF840" s="69"/>
      <c r="AG840" s="69"/>
      <c r="AH840" s="69"/>
      <c r="AI840" s="69"/>
      <c r="AJ840" s="69"/>
      <c r="AK840" s="69"/>
      <c r="AL840" s="69"/>
      <c r="AM840" s="69"/>
      <c r="AN840" s="69"/>
      <c r="AO840" s="69"/>
      <c r="AP840" s="69"/>
      <c r="AQ840" s="69"/>
      <c r="AR840" s="94">
        <f t="shared" si="73"/>
        <v>9000</v>
      </c>
      <c r="AS840" s="69">
        <v>8033.55</v>
      </c>
      <c r="AT840" s="69">
        <v>966.45</v>
      </c>
      <c r="AU840" s="69"/>
      <c r="AV840" s="69"/>
      <c r="AW840" s="69"/>
      <c r="AX840" s="69"/>
      <c r="AY840" s="69"/>
      <c r="AZ840" s="69"/>
      <c r="BA840" s="69"/>
      <c r="BB840" s="69"/>
      <c r="BC840" s="69"/>
      <c r="BD840" s="69"/>
      <c r="BE840" s="69"/>
      <c r="BF840" s="69"/>
      <c r="BG840" s="69"/>
      <c r="BH840" s="69"/>
      <c r="BI840" s="69"/>
      <c r="BJ840" s="69"/>
      <c r="BK840" s="69"/>
      <c r="BL840" s="69"/>
      <c r="BM840" s="69"/>
      <c r="BN840" s="69"/>
      <c r="BO840" s="69"/>
      <c r="BP840" s="69"/>
      <c r="BQ840" s="69"/>
      <c r="BR840" s="69"/>
      <c r="BS840" s="69"/>
      <c r="BT840" s="69"/>
      <c r="BU840" s="69"/>
      <c r="BV840" s="69"/>
      <c r="BW840" s="69"/>
      <c r="BX840" s="69"/>
      <c r="BY840" s="69"/>
      <c r="BZ840" s="69"/>
      <c r="CA840" s="69"/>
      <c r="CB840" s="69"/>
      <c r="CC840" s="69"/>
      <c r="CD840" s="69"/>
      <c r="CE840" s="94">
        <f t="shared" si="63"/>
        <v>9000</v>
      </c>
      <c r="CF840" s="151">
        <f t="shared" si="71"/>
        <v>0</v>
      </c>
      <c r="CG840" s="75">
        <f t="shared" si="72"/>
        <v>4688</v>
      </c>
      <c r="CH840" s="69" t="str">
        <f t="shared" si="72"/>
        <v>ماليزى اسنان</v>
      </c>
    </row>
    <row r="841" spans="1:86" x14ac:dyDescent="0.25">
      <c r="A841" s="148"/>
      <c r="B841" s="82">
        <v>8759</v>
      </c>
      <c r="C841" s="149">
        <v>4689</v>
      </c>
      <c r="D841" s="69" t="s">
        <v>121</v>
      </c>
      <c r="E841" s="69" t="s">
        <v>3351</v>
      </c>
      <c r="F841" s="63"/>
      <c r="G841" s="69">
        <v>5485.77</v>
      </c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  <c r="AE841" s="69"/>
      <c r="AF841" s="69"/>
      <c r="AG841" s="69"/>
      <c r="AH841" s="69"/>
      <c r="AI841" s="69"/>
      <c r="AJ841" s="69"/>
      <c r="AK841" s="69"/>
      <c r="AL841" s="69"/>
      <c r="AM841" s="69"/>
      <c r="AN841" s="69"/>
      <c r="AO841" s="69"/>
      <c r="AP841" s="69"/>
      <c r="AQ841" s="69"/>
      <c r="AR841" s="94">
        <f t="shared" si="73"/>
        <v>5485.77</v>
      </c>
      <c r="AS841" s="69">
        <v>4155.43</v>
      </c>
      <c r="AT841" s="69">
        <v>534.79999999999995</v>
      </c>
      <c r="AU841" s="69">
        <v>795.54</v>
      </c>
      <c r="AV841" s="69"/>
      <c r="AW841" s="69"/>
      <c r="AX841" s="69"/>
      <c r="AY841" s="69"/>
      <c r="AZ841" s="69"/>
      <c r="BA841" s="69"/>
      <c r="BB841" s="69"/>
      <c r="BC841" s="69"/>
      <c r="BD841" s="69"/>
      <c r="BE841" s="69"/>
      <c r="BF841" s="69"/>
      <c r="BG841" s="69"/>
      <c r="BH841" s="69"/>
      <c r="BI841" s="69"/>
      <c r="BJ841" s="69"/>
      <c r="BK841" s="69"/>
      <c r="BL841" s="69"/>
      <c r="BM841" s="69"/>
      <c r="BN841" s="69"/>
      <c r="BO841" s="69"/>
      <c r="BP841" s="69"/>
      <c r="BQ841" s="69"/>
      <c r="BR841" s="69"/>
      <c r="BS841" s="69"/>
      <c r="BT841" s="69"/>
      <c r="BU841" s="69"/>
      <c r="BV841" s="69"/>
      <c r="BW841" s="69"/>
      <c r="BX841" s="69"/>
      <c r="BY841" s="69"/>
      <c r="BZ841" s="69"/>
      <c r="CA841" s="69"/>
      <c r="CB841" s="69"/>
      <c r="CC841" s="69"/>
      <c r="CD841" s="69"/>
      <c r="CE841" s="94">
        <f t="shared" si="63"/>
        <v>5485.77</v>
      </c>
      <c r="CF841" s="151">
        <f t="shared" si="71"/>
        <v>0</v>
      </c>
      <c r="CG841" s="75">
        <f t="shared" si="72"/>
        <v>4689</v>
      </c>
      <c r="CH841" s="69" t="str">
        <f t="shared" si="72"/>
        <v>ماليزى اسنان</v>
      </c>
    </row>
    <row r="842" spans="1:86" x14ac:dyDescent="0.25">
      <c r="A842" s="148"/>
      <c r="B842" s="82">
        <v>8766</v>
      </c>
      <c r="C842" s="149">
        <v>4690</v>
      </c>
      <c r="D842" s="69" t="s">
        <v>121</v>
      </c>
      <c r="E842" s="69" t="s">
        <v>3352</v>
      </c>
      <c r="F842" s="63"/>
      <c r="G842" s="69">
        <v>2853.61</v>
      </c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  <c r="AE842" s="69"/>
      <c r="AF842" s="69"/>
      <c r="AG842" s="69"/>
      <c r="AH842" s="69"/>
      <c r="AI842" s="69"/>
      <c r="AJ842" s="69"/>
      <c r="AK842" s="69"/>
      <c r="AL842" s="69"/>
      <c r="AM842" s="69"/>
      <c r="AN842" s="69"/>
      <c r="AO842" s="69"/>
      <c r="AP842" s="69"/>
      <c r="AQ842" s="69"/>
      <c r="AR842" s="94">
        <f t="shared" si="73"/>
        <v>2853.61</v>
      </c>
      <c r="AS842" s="69">
        <v>2011.55</v>
      </c>
      <c r="AT842" s="69">
        <v>262.95</v>
      </c>
      <c r="AU842" s="69">
        <v>579.11</v>
      </c>
      <c r="AV842" s="69"/>
      <c r="AW842" s="69"/>
      <c r="AX842" s="69"/>
      <c r="AY842" s="69"/>
      <c r="AZ842" s="69"/>
      <c r="BA842" s="69"/>
      <c r="BB842" s="69"/>
      <c r="BC842" s="69"/>
      <c r="BD842" s="69"/>
      <c r="BE842" s="69"/>
      <c r="BF842" s="69"/>
      <c r="BG842" s="69"/>
      <c r="BH842" s="69"/>
      <c r="BI842" s="69"/>
      <c r="BJ842" s="69"/>
      <c r="BK842" s="69"/>
      <c r="BL842" s="69"/>
      <c r="BM842" s="69"/>
      <c r="BN842" s="69"/>
      <c r="BO842" s="69"/>
      <c r="BP842" s="69"/>
      <c r="BQ842" s="69"/>
      <c r="BR842" s="69"/>
      <c r="BS842" s="69"/>
      <c r="BT842" s="69"/>
      <c r="BU842" s="69"/>
      <c r="BV842" s="69"/>
      <c r="BW842" s="69"/>
      <c r="BX842" s="69"/>
      <c r="BY842" s="69"/>
      <c r="BZ842" s="69"/>
      <c r="CA842" s="69"/>
      <c r="CB842" s="69"/>
      <c r="CC842" s="69"/>
      <c r="CD842" s="69"/>
      <c r="CE842" s="94">
        <f t="shared" si="63"/>
        <v>2853.61</v>
      </c>
      <c r="CF842" s="151">
        <f t="shared" si="71"/>
        <v>0</v>
      </c>
      <c r="CG842" s="75">
        <f t="shared" si="72"/>
        <v>4690</v>
      </c>
      <c r="CH842" s="69" t="str">
        <f t="shared" si="72"/>
        <v>ماليزى اسنان</v>
      </c>
    </row>
    <row r="843" spans="1:86" x14ac:dyDescent="0.25">
      <c r="A843" s="148"/>
      <c r="B843" s="82">
        <v>8765</v>
      </c>
      <c r="C843" s="149">
        <v>4691</v>
      </c>
      <c r="D843" s="69" t="s">
        <v>121</v>
      </c>
      <c r="E843" s="69" t="s">
        <v>3352</v>
      </c>
      <c r="F843" s="63"/>
      <c r="G843" s="69">
        <v>351.75</v>
      </c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  <c r="AE843" s="69"/>
      <c r="AF843" s="69"/>
      <c r="AG843" s="69"/>
      <c r="AH843" s="69"/>
      <c r="AI843" s="69"/>
      <c r="AJ843" s="69"/>
      <c r="AK843" s="69"/>
      <c r="AL843" s="69"/>
      <c r="AM843" s="69"/>
      <c r="AN843" s="69"/>
      <c r="AO843" s="69"/>
      <c r="AP843" s="69"/>
      <c r="AQ843" s="69"/>
      <c r="AR843" s="94">
        <f t="shared" si="73"/>
        <v>351.75</v>
      </c>
      <c r="AS843" s="69">
        <v>235.55</v>
      </c>
      <c r="AT843" s="69">
        <v>31.45</v>
      </c>
      <c r="AU843" s="69">
        <v>84.75</v>
      </c>
      <c r="AV843" s="69"/>
      <c r="AW843" s="69"/>
      <c r="AX843" s="69"/>
      <c r="AY843" s="69"/>
      <c r="AZ843" s="69"/>
      <c r="BA843" s="69"/>
      <c r="BB843" s="69"/>
      <c r="BC843" s="69"/>
      <c r="BD843" s="69"/>
      <c r="BE843" s="69"/>
      <c r="BF843" s="69"/>
      <c r="BG843" s="69"/>
      <c r="BH843" s="69"/>
      <c r="BI843" s="69"/>
      <c r="BJ843" s="69"/>
      <c r="BK843" s="69"/>
      <c r="BL843" s="69"/>
      <c r="BM843" s="69"/>
      <c r="BN843" s="69"/>
      <c r="BO843" s="69"/>
      <c r="BP843" s="69"/>
      <c r="BQ843" s="69"/>
      <c r="BR843" s="69"/>
      <c r="BS843" s="69"/>
      <c r="BT843" s="69"/>
      <c r="BU843" s="69"/>
      <c r="BV843" s="69"/>
      <c r="BW843" s="69"/>
      <c r="BX843" s="69"/>
      <c r="BY843" s="69"/>
      <c r="BZ843" s="69"/>
      <c r="CA843" s="69"/>
      <c r="CB843" s="69"/>
      <c r="CC843" s="69"/>
      <c r="CD843" s="69"/>
      <c r="CE843" s="94">
        <f t="shared" si="63"/>
        <v>351.75</v>
      </c>
      <c r="CF843" s="151">
        <f t="shared" si="71"/>
        <v>0</v>
      </c>
      <c r="CG843" s="75">
        <f t="shared" si="72"/>
        <v>4691</v>
      </c>
      <c r="CH843" s="69" t="str">
        <f t="shared" si="72"/>
        <v>ماليزى اسنان</v>
      </c>
    </row>
    <row r="844" spans="1:86" x14ac:dyDescent="0.25">
      <c r="A844" s="148"/>
      <c r="B844" s="82">
        <v>8764</v>
      </c>
      <c r="C844" s="149">
        <v>4692</v>
      </c>
      <c r="D844" s="69" t="s">
        <v>121</v>
      </c>
      <c r="E844" s="69" t="s">
        <v>3352</v>
      </c>
      <c r="F844" s="63"/>
      <c r="G844" s="69">
        <v>1582.88</v>
      </c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  <c r="AE844" s="69"/>
      <c r="AF844" s="69"/>
      <c r="AG844" s="69"/>
      <c r="AH844" s="69"/>
      <c r="AI844" s="69"/>
      <c r="AJ844" s="69"/>
      <c r="AK844" s="69"/>
      <c r="AL844" s="69"/>
      <c r="AM844" s="69"/>
      <c r="AN844" s="69"/>
      <c r="AO844" s="69"/>
      <c r="AP844" s="69"/>
      <c r="AQ844" s="69"/>
      <c r="AR844" s="94">
        <f t="shared" si="73"/>
        <v>1582.88</v>
      </c>
      <c r="AS844" s="69">
        <v>1059.4000000000001</v>
      </c>
      <c r="AT844" s="69">
        <v>142.1</v>
      </c>
      <c r="AU844" s="69">
        <v>381.38</v>
      </c>
      <c r="AV844" s="69"/>
      <c r="AW844" s="69"/>
      <c r="AX844" s="69"/>
      <c r="AY844" s="69"/>
      <c r="AZ844" s="69"/>
      <c r="BA844" s="69"/>
      <c r="BB844" s="69"/>
      <c r="BC844" s="69"/>
      <c r="BD844" s="69"/>
      <c r="BE844" s="69"/>
      <c r="BF844" s="69"/>
      <c r="BG844" s="69"/>
      <c r="BH844" s="69"/>
      <c r="BI844" s="69"/>
      <c r="BJ844" s="69"/>
      <c r="BK844" s="69"/>
      <c r="BL844" s="69"/>
      <c r="BM844" s="69"/>
      <c r="BN844" s="69"/>
      <c r="BO844" s="69"/>
      <c r="BP844" s="69"/>
      <c r="BQ844" s="69"/>
      <c r="BR844" s="69"/>
      <c r="BS844" s="69"/>
      <c r="BT844" s="69"/>
      <c r="BU844" s="69"/>
      <c r="BV844" s="69"/>
      <c r="BW844" s="69"/>
      <c r="BX844" s="69"/>
      <c r="BY844" s="69"/>
      <c r="BZ844" s="69"/>
      <c r="CA844" s="69"/>
      <c r="CB844" s="69"/>
      <c r="CC844" s="69"/>
      <c r="CD844" s="69"/>
      <c r="CE844" s="94">
        <f t="shared" si="63"/>
        <v>1582.88</v>
      </c>
      <c r="CF844" s="151">
        <f t="shared" si="71"/>
        <v>0</v>
      </c>
      <c r="CG844" s="75">
        <f t="shared" si="72"/>
        <v>4692</v>
      </c>
      <c r="CH844" s="69" t="str">
        <f t="shared" si="72"/>
        <v>ماليزى اسنان</v>
      </c>
    </row>
    <row r="845" spans="1:86" x14ac:dyDescent="0.25">
      <c r="A845" s="148"/>
      <c r="B845" s="82">
        <v>8762</v>
      </c>
      <c r="C845" s="149">
        <v>4693</v>
      </c>
      <c r="D845" s="69" t="s">
        <v>121</v>
      </c>
      <c r="E845" s="69" t="s">
        <v>3353</v>
      </c>
      <c r="F845" s="63"/>
      <c r="G845" s="69">
        <v>351.76</v>
      </c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  <c r="AE845" s="69"/>
      <c r="AF845" s="69"/>
      <c r="AG845" s="69"/>
      <c r="AH845" s="69"/>
      <c r="AI845" s="69"/>
      <c r="AJ845" s="69"/>
      <c r="AK845" s="69"/>
      <c r="AL845" s="69"/>
      <c r="AM845" s="69"/>
      <c r="AN845" s="69"/>
      <c r="AO845" s="69"/>
      <c r="AP845" s="69"/>
      <c r="AQ845" s="69"/>
      <c r="AR845" s="94">
        <f t="shared" si="73"/>
        <v>351.76</v>
      </c>
      <c r="AS845" s="69">
        <v>236</v>
      </c>
      <c r="AT845" s="69">
        <v>31</v>
      </c>
      <c r="AU845" s="69">
        <v>84.76</v>
      </c>
      <c r="AV845" s="69"/>
      <c r="AW845" s="69"/>
      <c r="AX845" s="69"/>
      <c r="AY845" s="69"/>
      <c r="AZ845" s="69"/>
      <c r="BA845" s="69"/>
      <c r="BB845" s="69"/>
      <c r="BC845" s="69"/>
      <c r="BD845" s="69"/>
      <c r="BE845" s="69"/>
      <c r="BF845" s="69"/>
      <c r="BG845" s="69"/>
      <c r="BH845" s="69"/>
      <c r="BI845" s="69"/>
      <c r="BJ845" s="69"/>
      <c r="BK845" s="69"/>
      <c r="BL845" s="69"/>
      <c r="BM845" s="69"/>
      <c r="BN845" s="69"/>
      <c r="BO845" s="69"/>
      <c r="BP845" s="69"/>
      <c r="BQ845" s="69"/>
      <c r="BR845" s="69"/>
      <c r="BS845" s="69"/>
      <c r="BT845" s="69"/>
      <c r="BU845" s="69"/>
      <c r="BV845" s="69"/>
      <c r="BW845" s="69"/>
      <c r="BX845" s="69"/>
      <c r="BY845" s="69"/>
      <c r="BZ845" s="69"/>
      <c r="CA845" s="69"/>
      <c r="CB845" s="69"/>
      <c r="CC845" s="69"/>
      <c r="CD845" s="69"/>
      <c r="CE845" s="94">
        <f t="shared" si="63"/>
        <v>351.76</v>
      </c>
      <c r="CF845" s="151">
        <f t="shared" si="71"/>
        <v>0</v>
      </c>
      <c r="CG845" s="75">
        <f t="shared" si="72"/>
        <v>4693</v>
      </c>
      <c r="CH845" s="69" t="str">
        <f t="shared" si="72"/>
        <v>ماليزى اسنان</v>
      </c>
    </row>
    <row r="846" spans="1:86" x14ac:dyDescent="0.25">
      <c r="A846" s="148"/>
      <c r="B846" s="82">
        <v>8763</v>
      </c>
      <c r="C846" s="149">
        <v>4694</v>
      </c>
      <c r="D846" s="69" t="s">
        <v>121</v>
      </c>
      <c r="E846" s="69" t="s">
        <v>3353</v>
      </c>
      <c r="F846" s="63"/>
      <c r="G846" s="69">
        <v>879.4</v>
      </c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  <c r="AE846" s="69"/>
      <c r="AF846" s="69"/>
      <c r="AG846" s="69"/>
      <c r="AH846" s="69"/>
      <c r="AI846" s="69"/>
      <c r="AJ846" s="69"/>
      <c r="AK846" s="69"/>
      <c r="AL846" s="69"/>
      <c r="AM846" s="69"/>
      <c r="AN846" s="69"/>
      <c r="AO846" s="69"/>
      <c r="AP846" s="69"/>
      <c r="AQ846" s="69"/>
      <c r="AR846" s="94">
        <f t="shared" si="73"/>
        <v>879.4</v>
      </c>
      <c r="AS846" s="69">
        <v>590</v>
      </c>
      <c r="AT846" s="69">
        <v>77.5</v>
      </c>
      <c r="AU846" s="69">
        <v>211.9</v>
      </c>
      <c r="AV846" s="69"/>
      <c r="AW846" s="69"/>
      <c r="AX846" s="69"/>
      <c r="AY846" s="69"/>
      <c r="AZ846" s="69"/>
      <c r="BA846" s="69"/>
      <c r="BB846" s="69"/>
      <c r="BC846" s="69"/>
      <c r="BD846" s="69"/>
      <c r="BE846" s="69"/>
      <c r="BF846" s="69"/>
      <c r="BG846" s="69"/>
      <c r="BH846" s="69"/>
      <c r="BI846" s="69"/>
      <c r="BJ846" s="69"/>
      <c r="BK846" s="69"/>
      <c r="BL846" s="69"/>
      <c r="BM846" s="69"/>
      <c r="BN846" s="69"/>
      <c r="BO846" s="69"/>
      <c r="BP846" s="69"/>
      <c r="BQ846" s="69"/>
      <c r="BR846" s="69"/>
      <c r="BS846" s="69"/>
      <c r="BT846" s="69"/>
      <c r="BU846" s="69"/>
      <c r="BV846" s="69"/>
      <c r="BW846" s="69"/>
      <c r="BX846" s="69"/>
      <c r="BY846" s="69"/>
      <c r="BZ846" s="69"/>
      <c r="CA846" s="69"/>
      <c r="CB846" s="69"/>
      <c r="CC846" s="69"/>
      <c r="CD846" s="69"/>
      <c r="CE846" s="94">
        <f t="shared" si="63"/>
        <v>879.4</v>
      </c>
      <c r="CF846" s="151">
        <f t="shared" si="71"/>
        <v>0</v>
      </c>
      <c r="CG846" s="75">
        <f t="shared" si="72"/>
        <v>4694</v>
      </c>
      <c r="CH846" s="69" t="str">
        <f t="shared" si="72"/>
        <v>ماليزى اسنان</v>
      </c>
    </row>
    <row r="847" spans="1:86" x14ac:dyDescent="0.25">
      <c r="A847" s="148"/>
      <c r="B847" s="82">
        <v>8767</v>
      </c>
      <c r="C847" s="149">
        <v>4695</v>
      </c>
      <c r="D847" s="69" t="s">
        <v>121</v>
      </c>
      <c r="E847" s="69" t="s">
        <v>3354</v>
      </c>
      <c r="F847" s="63"/>
      <c r="G847" s="69">
        <v>5745.25</v>
      </c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  <c r="AE847" s="69"/>
      <c r="AF847" s="69"/>
      <c r="AG847" s="69"/>
      <c r="AH847" s="69"/>
      <c r="AI847" s="69"/>
      <c r="AJ847" s="69"/>
      <c r="AK847" s="69"/>
      <c r="AL847" s="69"/>
      <c r="AM847" s="69"/>
      <c r="AN847" s="69"/>
      <c r="AO847" s="69"/>
      <c r="AP847" s="69"/>
      <c r="AQ847" s="69"/>
      <c r="AR847" s="94">
        <f t="shared" si="73"/>
        <v>5745.25</v>
      </c>
      <c r="AS847" s="69">
        <v>3840.15</v>
      </c>
      <c r="AT847" s="69">
        <v>520.85</v>
      </c>
      <c r="AU847" s="69">
        <v>1384.25</v>
      </c>
      <c r="AV847" s="69"/>
      <c r="AW847" s="69"/>
      <c r="AX847" s="69"/>
      <c r="AY847" s="69"/>
      <c r="AZ847" s="69"/>
      <c r="BA847" s="69"/>
      <c r="BB847" s="69"/>
      <c r="BC847" s="69"/>
      <c r="BD847" s="69"/>
      <c r="BE847" s="69"/>
      <c r="BF847" s="69"/>
      <c r="BG847" s="69"/>
      <c r="BH847" s="69"/>
      <c r="BI847" s="69"/>
      <c r="BJ847" s="69"/>
      <c r="BK847" s="69"/>
      <c r="BL847" s="69"/>
      <c r="BM847" s="69"/>
      <c r="BN847" s="69"/>
      <c r="BO847" s="69"/>
      <c r="BP847" s="69"/>
      <c r="BQ847" s="69"/>
      <c r="BR847" s="69"/>
      <c r="BS847" s="69"/>
      <c r="BT847" s="69"/>
      <c r="BU847" s="69"/>
      <c r="BV847" s="69"/>
      <c r="BW847" s="69"/>
      <c r="BX847" s="69"/>
      <c r="BY847" s="69"/>
      <c r="BZ847" s="69"/>
      <c r="CA847" s="69"/>
      <c r="CB847" s="69"/>
      <c r="CC847" s="69"/>
      <c r="CD847" s="69"/>
      <c r="CE847" s="94">
        <f t="shared" si="63"/>
        <v>5745.25</v>
      </c>
      <c r="CF847" s="151">
        <f t="shared" si="71"/>
        <v>0</v>
      </c>
      <c r="CG847" s="75">
        <f t="shared" si="72"/>
        <v>4695</v>
      </c>
      <c r="CH847" s="69" t="str">
        <f t="shared" si="72"/>
        <v>ماليزى اسنان</v>
      </c>
    </row>
    <row r="848" spans="1:86" x14ac:dyDescent="0.25">
      <c r="A848" s="148"/>
      <c r="B848" s="82">
        <v>8768</v>
      </c>
      <c r="C848" s="149">
        <v>4696</v>
      </c>
      <c r="D848" s="69" t="s">
        <v>121</v>
      </c>
      <c r="E848" s="69" t="s">
        <v>3355</v>
      </c>
      <c r="F848" s="63"/>
      <c r="G848" s="69">
        <v>8504.6200000000008</v>
      </c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  <c r="AE848" s="69"/>
      <c r="AF848" s="69"/>
      <c r="AG848" s="69"/>
      <c r="AH848" s="69"/>
      <c r="AI848" s="69"/>
      <c r="AJ848" s="69"/>
      <c r="AK848" s="69"/>
      <c r="AL848" s="69"/>
      <c r="AM848" s="69"/>
      <c r="AN848" s="69"/>
      <c r="AO848" s="69"/>
      <c r="AP848" s="69"/>
      <c r="AQ848" s="69"/>
      <c r="AR848" s="94">
        <f t="shared" si="73"/>
        <v>8504.6200000000008</v>
      </c>
      <c r="AS848" s="69">
        <v>5754.34</v>
      </c>
      <c r="AT848" s="69">
        <v>777.5</v>
      </c>
      <c r="AU848" s="69">
        <v>1972.78</v>
      </c>
      <c r="AV848" s="69"/>
      <c r="AW848" s="69"/>
      <c r="AX848" s="69"/>
      <c r="AY848" s="69"/>
      <c r="AZ848" s="69"/>
      <c r="BA848" s="69"/>
      <c r="BB848" s="69"/>
      <c r="BC848" s="69"/>
      <c r="BD848" s="69"/>
      <c r="BE848" s="69"/>
      <c r="BF848" s="69"/>
      <c r="BG848" s="69"/>
      <c r="BH848" s="69"/>
      <c r="BI848" s="69"/>
      <c r="BJ848" s="69"/>
      <c r="BK848" s="69"/>
      <c r="BL848" s="69"/>
      <c r="BM848" s="69"/>
      <c r="BN848" s="69"/>
      <c r="BO848" s="69"/>
      <c r="BP848" s="69"/>
      <c r="BQ848" s="69"/>
      <c r="BR848" s="69"/>
      <c r="BS848" s="69"/>
      <c r="BT848" s="69"/>
      <c r="BU848" s="69"/>
      <c r="BV848" s="69"/>
      <c r="BW848" s="69"/>
      <c r="BX848" s="69"/>
      <c r="BY848" s="69"/>
      <c r="BZ848" s="69"/>
      <c r="CA848" s="69"/>
      <c r="CB848" s="69"/>
      <c r="CC848" s="69"/>
      <c r="CD848" s="69"/>
      <c r="CE848" s="94">
        <f t="shared" si="63"/>
        <v>8504.6200000000008</v>
      </c>
      <c r="CF848" s="151">
        <f t="shared" si="71"/>
        <v>0</v>
      </c>
      <c r="CG848" s="75">
        <f t="shared" si="72"/>
        <v>4696</v>
      </c>
      <c r="CH848" s="69" t="str">
        <f t="shared" si="72"/>
        <v>ماليزى اسنان</v>
      </c>
    </row>
    <row r="849" spans="1:86" x14ac:dyDescent="0.25">
      <c r="A849" s="148"/>
      <c r="B849" s="82">
        <v>8758</v>
      </c>
      <c r="C849" s="149">
        <v>4697</v>
      </c>
      <c r="D849" s="69" t="s">
        <v>121</v>
      </c>
      <c r="E849" s="69" t="s">
        <v>3356</v>
      </c>
      <c r="F849" s="63"/>
      <c r="G849" s="69">
        <v>5407</v>
      </c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  <c r="AE849" s="69"/>
      <c r="AF849" s="69"/>
      <c r="AG849" s="69"/>
      <c r="AH849" s="69"/>
      <c r="AI849" s="69"/>
      <c r="AJ849" s="69"/>
      <c r="AK849" s="69"/>
      <c r="AL849" s="69"/>
      <c r="AM849" s="69"/>
      <c r="AN849" s="69"/>
      <c r="AO849" s="69"/>
      <c r="AP849" s="69"/>
      <c r="AQ849" s="69"/>
      <c r="AR849" s="94">
        <f t="shared" si="73"/>
        <v>5407</v>
      </c>
      <c r="AS849" s="69">
        <v>4510.7</v>
      </c>
      <c r="AT849" s="69">
        <v>557.29999999999995</v>
      </c>
      <c r="AU849" s="69">
        <v>339</v>
      </c>
      <c r="AV849" s="69"/>
      <c r="AW849" s="69"/>
      <c r="AX849" s="69"/>
      <c r="AY849" s="69"/>
      <c r="AZ849" s="69"/>
      <c r="BA849" s="69"/>
      <c r="BB849" s="69"/>
      <c r="BC849" s="69"/>
      <c r="BD849" s="69"/>
      <c r="BE849" s="69"/>
      <c r="BF849" s="69"/>
      <c r="BG849" s="69"/>
      <c r="BH849" s="69"/>
      <c r="BI849" s="69"/>
      <c r="BJ849" s="69"/>
      <c r="BK849" s="69"/>
      <c r="BL849" s="69"/>
      <c r="BM849" s="69"/>
      <c r="BN849" s="69"/>
      <c r="BO849" s="69"/>
      <c r="BP849" s="69"/>
      <c r="BQ849" s="69"/>
      <c r="BR849" s="69"/>
      <c r="BS849" s="69"/>
      <c r="BT849" s="69"/>
      <c r="BU849" s="69"/>
      <c r="BV849" s="69"/>
      <c r="BW849" s="69"/>
      <c r="BX849" s="69"/>
      <c r="BY849" s="69"/>
      <c r="BZ849" s="69"/>
      <c r="CA849" s="69"/>
      <c r="CB849" s="69"/>
      <c r="CC849" s="69"/>
      <c r="CD849" s="69"/>
      <c r="CE849" s="94">
        <f t="shared" si="63"/>
        <v>5407</v>
      </c>
      <c r="CF849" s="151">
        <f t="shared" si="71"/>
        <v>0</v>
      </c>
      <c r="CG849" s="75">
        <f t="shared" si="72"/>
        <v>4697</v>
      </c>
      <c r="CH849" s="69" t="str">
        <f t="shared" si="72"/>
        <v>ماليزى اسنان</v>
      </c>
    </row>
    <row r="850" spans="1:86" x14ac:dyDescent="0.25">
      <c r="A850" s="148"/>
      <c r="B850" s="82">
        <v>8760</v>
      </c>
      <c r="C850" s="149">
        <v>4698</v>
      </c>
      <c r="D850" s="69" t="s">
        <v>121</v>
      </c>
      <c r="E850" s="69" t="s">
        <v>3357</v>
      </c>
      <c r="F850" s="63"/>
      <c r="G850" s="69">
        <v>13188.24</v>
      </c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  <c r="AE850" s="69"/>
      <c r="AF850" s="69"/>
      <c r="AG850" s="69"/>
      <c r="AH850" s="69"/>
      <c r="AI850" s="69"/>
      <c r="AJ850" s="69"/>
      <c r="AK850" s="69"/>
      <c r="AL850" s="69"/>
      <c r="AM850" s="69"/>
      <c r="AN850" s="69"/>
      <c r="AO850" s="69"/>
      <c r="AP850" s="69"/>
      <c r="AQ850" s="69"/>
      <c r="AR850" s="94">
        <f t="shared" si="73"/>
        <v>13188.24</v>
      </c>
      <c r="AS850" s="69">
        <v>11484.41</v>
      </c>
      <c r="AT850" s="69">
        <v>1395.55</v>
      </c>
      <c r="AU850" s="69">
        <v>308.27999999999997</v>
      </c>
      <c r="AV850" s="69"/>
      <c r="AW850" s="69"/>
      <c r="AX850" s="69"/>
      <c r="AY850" s="69"/>
      <c r="AZ850" s="69"/>
      <c r="BA850" s="69"/>
      <c r="BB850" s="69"/>
      <c r="BC850" s="69"/>
      <c r="BD850" s="69"/>
      <c r="BE850" s="69"/>
      <c r="BF850" s="69"/>
      <c r="BG850" s="69"/>
      <c r="BH850" s="69"/>
      <c r="BI850" s="69"/>
      <c r="BJ850" s="69"/>
      <c r="BK850" s="69"/>
      <c r="BL850" s="69"/>
      <c r="BM850" s="69"/>
      <c r="BN850" s="69"/>
      <c r="BO850" s="69"/>
      <c r="BP850" s="69"/>
      <c r="BQ850" s="69"/>
      <c r="BR850" s="69"/>
      <c r="BS850" s="69"/>
      <c r="BT850" s="69"/>
      <c r="BU850" s="69"/>
      <c r="BV850" s="69"/>
      <c r="BW850" s="69"/>
      <c r="BX850" s="69"/>
      <c r="BY850" s="69"/>
      <c r="BZ850" s="69"/>
      <c r="CA850" s="69"/>
      <c r="CB850" s="69"/>
      <c r="CC850" s="69"/>
      <c r="CD850" s="69"/>
      <c r="CE850" s="94">
        <f t="shared" si="63"/>
        <v>13188.24</v>
      </c>
      <c r="CF850" s="151">
        <f t="shared" si="71"/>
        <v>0</v>
      </c>
      <c r="CG850" s="75">
        <f t="shared" si="72"/>
        <v>4698</v>
      </c>
      <c r="CH850" s="69" t="str">
        <f t="shared" si="72"/>
        <v>ماليزى اسنان</v>
      </c>
    </row>
    <row r="851" spans="1:86" x14ac:dyDescent="0.25">
      <c r="A851" s="148"/>
      <c r="B851" s="82">
        <v>8846</v>
      </c>
      <c r="C851" s="149">
        <v>4699</v>
      </c>
      <c r="D851" s="69" t="s">
        <v>121</v>
      </c>
      <c r="E851" s="69" t="str">
        <f>+E840</f>
        <v>جهود اعداد مانشيستر ا ه ت</v>
      </c>
      <c r="F851" s="63"/>
      <c r="G851" s="69">
        <v>1500</v>
      </c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  <c r="AE851" s="69"/>
      <c r="AF851" s="69"/>
      <c r="AG851" s="69"/>
      <c r="AH851" s="69"/>
      <c r="AI851" s="69"/>
      <c r="AJ851" s="69"/>
      <c r="AK851" s="69"/>
      <c r="AL851" s="69"/>
      <c r="AM851" s="69"/>
      <c r="AN851" s="69"/>
      <c r="AO851" s="69"/>
      <c r="AP851" s="69"/>
      <c r="AQ851" s="69"/>
      <c r="AR851" s="94">
        <f t="shared" si="73"/>
        <v>1500</v>
      </c>
      <c r="AS851" s="69">
        <v>1339.1</v>
      </c>
      <c r="AT851" s="69">
        <v>160.9</v>
      </c>
      <c r="AU851" s="69"/>
      <c r="AV851" s="69"/>
      <c r="AW851" s="69"/>
      <c r="AX851" s="69"/>
      <c r="AY851" s="69"/>
      <c r="AZ851" s="69"/>
      <c r="BA851" s="69"/>
      <c r="BB851" s="69"/>
      <c r="BC851" s="69"/>
      <c r="BD851" s="69"/>
      <c r="BE851" s="69"/>
      <c r="BF851" s="69"/>
      <c r="BG851" s="69"/>
      <c r="BH851" s="69"/>
      <c r="BI851" s="69"/>
      <c r="BJ851" s="69"/>
      <c r="BK851" s="69"/>
      <c r="BL851" s="69"/>
      <c r="BM851" s="69"/>
      <c r="BN851" s="69"/>
      <c r="BO851" s="69"/>
      <c r="BP851" s="69"/>
      <c r="BQ851" s="69"/>
      <c r="BR851" s="69"/>
      <c r="BS851" s="69"/>
      <c r="BT851" s="69"/>
      <c r="BU851" s="69"/>
      <c r="BV851" s="69"/>
      <c r="BW851" s="69"/>
      <c r="BX851" s="69"/>
      <c r="BY851" s="69"/>
      <c r="BZ851" s="69"/>
      <c r="CA851" s="69"/>
      <c r="CB851" s="69"/>
      <c r="CC851" s="69"/>
      <c r="CD851" s="69"/>
      <c r="CE851" s="94">
        <f t="shared" si="63"/>
        <v>1500</v>
      </c>
      <c r="CF851" s="151">
        <f t="shared" si="71"/>
        <v>0</v>
      </c>
      <c r="CG851" s="75">
        <f t="shared" si="72"/>
        <v>4699</v>
      </c>
      <c r="CH851" s="69" t="str">
        <f t="shared" si="72"/>
        <v>ماليزى اسنان</v>
      </c>
    </row>
    <row r="852" spans="1:86" x14ac:dyDescent="0.25">
      <c r="A852" s="148"/>
      <c r="B852" s="82">
        <v>8845</v>
      </c>
      <c r="C852" s="149">
        <v>4700</v>
      </c>
      <c r="D852" s="69" t="s">
        <v>121</v>
      </c>
      <c r="E852" s="69" t="s">
        <v>3358</v>
      </c>
      <c r="F852" s="63"/>
      <c r="G852" s="69">
        <v>800</v>
      </c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  <c r="AE852" s="69"/>
      <c r="AF852" s="69"/>
      <c r="AG852" s="69"/>
      <c r="AH852" s="69"/>
      <c r="AI852" s="69"/>
      <c r="AJ852" s="69"/>
      <c r="AK852" s="69"/>
      <c r="AL852" s="69"/>
      <c r="AM852" s="69"/>
      <c r="AN852" s="69"/>
      <c r="AO852" s="69"/>
      <c r="AP852" s="69"/>
      <c r="AQ852" s="69"/>
      <c r="AR852" s="94">
        <f t="shared" si="73"/>
        <v>800</v>
      </c>
      <c r="AS852" s="69">
        <v>714.75</v>
      </c>
      <c r="AT852" s="69">
        <v>85.25</v>
      </c>
      <c r="AU852" s="69"/>
      <c r="AV852" s="69"/>
      <c r="AW852" s="69"/>
      <c r="AX852" s="69"/>
      <c r="AY852" s="69"/>
      <c r="AZ852" s="69"/>
      <c r="BA852" s="69"/>
      <c r="BB852" s="69"/>
      <c r="BC852" s="69"/>
      <c r="BD852" s="69"/>
      <c r="BE852" s="69"/>
      <c r="BF852" s="69"/>
      <c r="BG852" s="69"/>
      <c r="BH852" s="69"/>
      <c r="BI852" s="69"/>
      <c r="BJ852" s="69"/>
      <c r="BK852" s="69"/>
      <c r="BL852" s="69"/>
      <c r="BM852" s="69"/>
      <c r="BN852" s="69"/>
      <c r="BO852" s="69"/>
      <c r="BP852" s="69"/>
      <c r="BQ852" s="69"/>
      <c r="BR852" s="69"/>
      <c r="BS852" s="69"/>
      <c r="BT852" s="69"/>
      <c r="BU852" s="69"/>
      <c r="BV852" s="69"/>
      <c r="BW852" s="69"/>
      <c r="BX852" s="69"/>
      <c r="BY852" s="69"/>
      <c r="BZ852" s="69"/>
      <c r="CA852" s="69"/>
      <c r="CB852" s="69"/>
      <c r="CC852" s="69"/>
      <c r="CD852" s="69"/>
      <c r="CE852" s="94">
        <f t="shared" si="63"/>
        <v>800</v>
      </c>
      <c r="CF852" s="151">
        <f t="shared" si="71"/>
        <v>0</v>
      </c>
      <c r="CG852" s="75">
        <f t="shared" si="72"/>
        <v>4700</v>
      </c>
      <c r="CH852" s="69" t="str">
        <f t="shared" si="72"/>
        <v>ماليزى اسنان</v>
      </c>
    </row>
    <row r="853" spans="1:86" x14ac:dyDescent="0.25">
      <c r="A853" s="148"/>
      <c r="B853" s="82">
        <v>8847</v>
      </c>
      <c r="C853" s="149">
        <v>4701</v>
      </c>
      <c r="D853" s="69" t="s">
        <v>121</v>
      </c>
      <c r="E853" s="69" t="s">
        <v>3359</v>
      </c>
      <c r="F853" s="63"/>
      <c r="G853" s="69">
        <v>5628</v>
      </c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  <c r="AE853" s="69"/>
      <c r="AF853" s="69"/>
      <c r="AG853" s="69"/>
      <c r="AH853" s="69"/>
      <c r="AI853" s="69"/>
      <c r="AJ853" s="69"/>
      <c r="AK853" s="69"/>
      <c r="AL853" s="69"/>
      <c r="AM853" s="69"/>
      <c r="AN853" s="69"/>
      <c r="AO853" s="69"/>
      <c r="AP853" s="69"/>
      <c r="AQ853" s="69"/>
      <c r="AR853" s="94">
        <f t="shared" si="73"/>
        <v>5628</v>
      </c>
      <c r="AS853" s="69">
        <v>3761.4</v>
      </c>
      <c r="AT853" s="69">
        <v>510.6</v>
      </c>
      <c r="AU853" s="69">
        <v>1356</v>
      </c>
      <c r="AV853" s="69"/>
      <c r="AW853" s="69"/>
      <c r="AX853" s="69"/>
      <c r="AY853" s="69"/>
      <c r="AZ853" s="69"/>
      <c r="BA853" s="69"/>
      <c r="BB853" s="69"/>
      <c r="BC853" s="69"/>
      <c r="BD853" s="69"/>
      <c r="BE853" s="69"/>
      <c r="BF853" s="69"/>
      <c r="BG853" s="69"/>
      <c r="BH853" s="69"/>
      <c r="BI853" s="69"/>
      <c r="BJ853" s="69"/>
      <c r="BK853" s="69"/>
      <c r="BL853" s="69"/>
      <c r="BM853" s="69"/>
      <c r="BN853" s="69"/>
      <c r="BO853" s="69"/>
      <c r="BP853" s="69"/>
      <c r="BQ853" s="69"/>
      <c r="BR853" s="69"/>
      <c r="BS853" s="69"/>
      <c r="BT853" s="69"/>
      <c r="BU853" s="69"/>
      <c r="BV853" s="69"/>
      <c r="BW853" s="69"/>
      <c r="BX853" s="69"/>
      <c r="BY853" s="69"/>
      <c r="BZ853" s="69"/>
      <c r="CA853" s="69"/>
      <c r="CB853" s="69"/>
      <c r="CC853" s="69"/>
      <c r="CD853" s="69"/>
      <c r="CE853" s="94">
        <f t="shared" si="63"/>
        <v>5628</v>
      </c>
      <c r="CF853" s="151">
        <f t="shared" si="71"/>
        <v>0</v>
      </c>
      <c r="CG853" s="75">
        <f t="shared" si="72"/>
        <v>4701</v>
      </c>
      <c r="CH853" s="69" t="str">
        <f t="shared" si="72"/>
        <v>ماليزى اسنان</v>
      </c>
    </row>
    <row r="854" spans="1:86" x14ac:dyDescent="0.25">
      <c r="A854" s="148"/>
      <c r="B854" s="82">
        <v>8848</v>
      </c>
      <c r="C854" s="149">
        <v>4702</v>
      </c>
      <c r="D854" s="69" t="s">
        <v>121</v>
      </c>
      <c r="E854" s="69" t="s">
        <v>3359</v>
      </c>
      <c r="F854" s="63"/>
      <c r="G854" s="69">
        <v>1758.75</v>
      </c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  <c r="AE854" s="69"/>
      <c r="AF854" s="69"/>
      <c r="AG854" s="69"/>
      <c r="AH854" s="69"/>
      <c r="AI854" s="69"/>
      <c r="AJ854" s="69"/>
      <c r="AK854" s="69"/>
      <c r="AL854" s="69"/>
      <c r="AM854" s="69"/>
      <c r="AN854" s="69"/>
      <c r="AO854" s="69"/>
      <c r="AP854" s="69"/>
      <c r="AQ854" s="69"/>
      <c r="AR854" s="94">
        <f t="shared" si="73"/>
        <v>1758.75</v>
      </c>
      <c r="AS854" s="69">
        <v>1175.3499999999999</v>
      </c>
      <c r="AT854" s="69">
        <v>159.65</v>
      </c>
      <c r="AU854" s="69">
        <v>423.75</v>
      </c>
      <c r="AV854" s="69"/>
      <c r="AW854" s="69"/>
      <c r="AX854" s="69"/>
      <c r="AY854" s="69"/>
      <c r="AZ854" s="69"/>
      <c r="BA854" s="69"/>
      <c r="BB854" s="69"/>
      <c r="BC854" s="69"/>
      <c r="BD854" s="69"/>
      <c r="BE854" s="69"/>
      <c r="BF854" s="69"/>
      <c r="BG854" s="69"/>
      <c r="BH854" s="69"/>
      <c r="BI854" s="69"/>
      <c r="BJ854" s="69"/>
      <c r="BK854" s="69"/>
      <c r="BL854" s="69"/>
      <c r="BM854" s="69"/>
      <c r="BN854" s="69"/>
      <c r="BO854" s="69"/>
      <c r="BP854" s="69"/>
      <c r="BQ854" s="69"/>
      <c r="BR854" s="69"/>
      <c r="BS854" s="69"/>
      <c r="BT854" s="69"/>
      <c r="BU854" s="69"/>
      <c r="BV854" s="69"/>
      <c r="BW854" s="69"/>
      <c r="BX854" s="69"/>
      <c r="BY854" s="69"/>
      <c r="BZ854" s="69"/>
      <c r="CA854" s="69"/>
      <c r="CB854" s="69"/>
      <c r="CC854" s="69"/>
      <c r="CD854" s="69"/>
      <c r="CE854" s="94">
        <f t="shared" si="63"/>
        <v>1758.75</v>
      </c>
      <c r="CF854" s="151">
        <f t="shared" si="71"/>
        <v>0</v>
      </c>
      <c r="CG854" s="75">
        <f t="shared" si="72"/>
        <v>4702</v>
      </c>
      <c r="CH854" s="69" t="str">
        <f t="shared" si="72"/>
        <v>ماليزى اسنان</v>
      </c>
    </row>
    <row r="855" spans="1:86" x14ac:dyDescent="0.25">
      <c r="A855" s="148"/>
      <c r="B855" s="82">
        <v>8849</v>
      </c>
      <c r="C855" s="149">
        <v>4703</v>
      </c>
      <c r="D855" s="69" t="s">
        <v>121</v>
      </c>
      <c r="E855" s="69" t="str">
        <f>+E852</f>
        <v>جهود لاعداد مانشيستر اداريين</v>
      </c>
      <c r="F855" s="63"/>
      <c r="G855" s="69">
        <v>35947.18</v>
      </c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  <c r="AE855" s="69"/>
      <c r="AF855" s="69"/>
      <c r="AG855" s="69"/>
      <c r="AH855" s="69"/>
      <c r="AI855" s="69"/>
      <c r="AJ855" s="69"/>
      <c r="AK855" s="69"/>
      <c r="AL855" s="69"/>
      <c r="AM855" s="69"/>
      <c r="AN855" s="69"/>
      <c r="AO855" s="69"/>
      <c r="AP855" s="69"/>
      <c r="AQ855" s="69"/>
      <c r="AR855" s="94">
        <f t="shared" si="73"/>
        <v>35947.18</v>
      </c>
      <c r="AS855" s="69">
        <v>27901.72</v>
      </c>
      <c r="AT855" s="69">
        <v>3546.45</v>
      </c>
      <c r="AU855" s="69">
        <v>4499.01</v>
      </c>
      <c r="AV855" s="69"/>
      <c r="AW855" s="69"/>
      <c r="AX855" s="69"/>
      <c r="AY855" s="69"/>
      <c r="AZ855" s="69"/>
      <c r="BA855" s="69"/>
      <c r="BB855" s="69"/>
      <c r="BC855" s="69"/>
      <c r="BD855" s="69"/>
      <c r="BE855" s="69"/>
      <c r="BF855" s="69"/>
      <c r="BG855" s="69"/>
      <c r="BH855" s="69"/>
      <c r="BI855" s="69"/>
      <c r="BJ855" s="69"/>
      <c r="BK855" s="69"/>
      <c r="BL855" s="69"/>
      <c r="BM855" s="69"/>
      <c r="BN855" s="69"/>
      <c r="BO855" s="69"/>
      <c r="BP855" s="69"/>
      <c r="BQ855" s="69"/>
      <c r="BR855" s="69"/>
      <c r="BS855" s="69"/>
      <c r="BT855" s="69"/>
      <c r="BU855" s="69"/>
      <c r="BV855" s="69"/>
      <c r="BW855" s="69"/>
      <c r="BX855" s="69"/>
      <c r="BY855" s="69"/>
      <c r="BZ855" s="69"/>
      <c r="CA855" s="69"/>
      <c r="CB855" s="69"/>
      <c r="CC855" s="69"/>
      <c r="CD855" s="69"/>
      <c r="CE855" s="94">
        <f t="shared" si="63"/>
        <v>35947.18</v>
      </c>
      <c r="CF855" s="151">
        <f t="shared" si="71"/>
        <v>0</v>
      </c>
      <c r="CG855" s="75">
        <f t="shared" si="72"/>
        <v>4703</v>
      </c>
      <c r="CH855" s="69" t="str">
        <f t="shared" si="72"/>
        <v>ماليزى اسنان</v>
      </c>
    </row>
    <row r="856" spans="1:86" x14ac:dyDescent="0.25">
      <c r="A856" s="148"/>
      <c r="B856" s="82">
        <v>8850</v>
      </c>
      <c r="C856" s="149">
        <v>4704</v>
      </c>
      <c r="D856" s="69" t="s">
        <v>121</v>
      </c>
      <c r="E856" s="69" t="str">
        <f>+E850</f>
        <v>جهود اعداد مانشيستر مؤقتين</v>
      </c>
      <c r="F856" s="63"/>
      <c r="G856" s="69">
        <v>14738.57</v>
      </c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  <c r="AE856" s="69"/>
      <c r="AF856" s="69"/>
      <c r="AG856" s="69"/>
      <c r="AH856" s="69"/>
      <c r="AI856" s="69"/>
      <c r="AJ856" s="69"/>
      <c r="AK856" s="69"/>
      <c r="AL856" s="69"/>
      <c r="AM856" s="69"/>
      <c r="AN856" s="69"/>
      <c r="AO856" s="69"/>
      <c r="AP856" s="69"/>
      <c r="AQ856" s="69"/>
      <c r="AR856" s="94">
        <f t="shared" si="73"/>
        <v>14738.57</v>
      </c>
      <c r="AS856" s="69">
        <v>10810.74</v>
      </c>
      <c r="AT856" s="69">
        <v>1408.15</v>
      </c>
      <c r="AU856" s="69">
        <v>2519.6799999999998</v>
      </c>
      <c r="AV856" s="69"/>
      <c r="AW856" s="69"/>
      <c r="AX856" s="69"/>
      <c r="AY856" s="69"/>
      <c r="AZ856" s="69"/>
      <c r="BA856" s="69"/>
      <c r="BB856" s="69"/>
      <c r="BC856" s="69"/>
      <c r="BD856" s="69"/>
      <c r="BE856" s="69"/>
      <c r="BF856" s="69"/>
      <c r="BG856" s="69"/>
      <c r="BH856" s="69"/>
      <c r="BI856" s="69"/>
      <c r="BJ856" s="69"/>
      <c r="BK856" s="69"/>
      <c r="BL856" s="69"/>
      <c r="BM856" s="69"/>
      <c r="BN856" s="69"/>
      <c r="BO856" s="69"/>
      <c r="BP856" s="69"/>
      <c r="BQ856" s="69"/>
      <c r="BR856" s="69"/>
      <c r="BS856" s="69"/>
      <c r="BT856" s="69"/>
      <c r="BU856" s="69"/>
      <c r="BV856" s="69"/>
      <c r="BW856" s="69"/>
      <c r="BX856" s="69"/>
      <c r="BY856" s="69"/>
      <c r="BZ856" s="69"/>
      <c r="CA856" s="69"/>
      <c r="CB856" s="69"/>
      <c r="CC856" s="69"/>
      <c r="CD856" s="69"/>
      <c r="CE856" s="94">
        <f t="shared" si="63"/>
        <v>14738.57</v>
      </c>
      <c r="CF856" s="151">
        <f t="shared" si="71"/>
        <v>0</v>
      </c>
      <c r="CG856" s="75">
        <f t="shared" si="72"/>
        <v>4704</v>
      </c>
      <c r="CH856" s="69" t="str">
        <f t="shared" si="72"/>
        <v>ماليزى اسنان</v>
      </c>
    </row>
    <row r="857" spans="1:86" x14ac:dyDescent="0.25">
      <c r="A857" s="148"/>
      <c r="B857" s="82">
        <v>8443</v>
      </c>
      <c r="C857" s="149">
        <v>4705</v>
      </c>
      <c r="D857" s="69" t="s">
        <v>132</v>
      </c>
      <c r="E857" s="69" t="s">
        <v>3360</v>
      </c>
      <c r="F857" s="63"/>
      <c r="G857" s="69">
        <v>3300</v>
      </c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  <c r="AE857" s="69"/>
      <c r="AF857" s="69"/>
      <c r="AG857" s="69"/>
      <c r="AH857" s="69"/>
      <c r="AI857" s="69"/>
      <c r="AJ857" s="69"/>
      <c r="AK857" s="69"/>
      <c r="AL857" s="69"/>
      <c r="AM857" s="69"/>
      <c r="AN857" s="69"/>
      <c r="AO857" s="69"/>
      <c r="AP857" s="69"/>
      <c r="AQ857" s="69"/>
      <c r="AR857" s="94">
        <f t="shared" si="73"/>
        <v>3300</v>
      </c>
      <c r="AS857" s="69">
        <v>2945.95</v>
      </c>
      <c r="AT857" s="69">
        <v>354.05</v>
      </c>
      <c r="AU857" s="69"/>
      <c r="AV857" s="69"/>
      <c r="AW857" s="69"/>
      <c r="AX857" s="69"/>
      <c r="AY857" s="69"/>
      <c r="AZ857" s="69"/>
      <c r="BA857" s="69"/>
      <c r="BB857" s="69"/>
      <c r="BC857" s="69"/>
      <c r="BD857" s="69"/>
      <c r="BE857" s="69"/>
      <c r="BF857" s="69"/>
      <c r="BG857" s="69"/>
      <c r="BH857" s="69"/>
      <c r="BI857" s="69"/>
      <c r="BJ857" s="69"/>
      <c r="BK857" s="69"/>
      <c r="BL857" s="69"/>
      <c r="BM857" s="69"/>
      <c r="BN857" s="69"/>
      <c r="BO857" s="69"/>
      <c r="BP857" s="69"/>
      <c r="BQ857" s="69"/>
      <c r="BR857" s="69"/>
      <c r="BS857" s="69"/>
      <c r="BT857" s="69"/>
      <c r="BU857" s="69"/>
      <c r="BV857" s="69"/>
      <c r="BW857" s="69"/>
      <c r="BX857" s="69"/>
      <c r="BY857" s="69"/>
      <c r="BZ857" s="69"/>
      <c r="CA857" s="69"/>
      <c r="CB857" s="69"/>
      <c r="CC857" s="69"/>
      <c r="CD857" s="69"/>
      <c r="CE857" s="94">
        <f t="shared" si="63"/>
        <v>3300</v>
      </c>
      <c r="CF857" s="151">
        <f t="shared" si="71"/>
        <v>0</v>
      </c>
      <c r="CG857" s="75">
        <f t="shared" si="72"/>
        <v>4705</v>
      </c>
      <c r="CH857" s="69" t="str">
        <f t="shared" si="72"/>
        <v>صيدلة اكلينيكى</v>
      </c>
    </row>
    <row r="858" spans="1:86" x14ac:dyDescent="0.25">
      <c r="A858" s="148"/>
      <c r="B858" s="82">
        <v>8433</v>
      </c>
      <c r="C858" s="149">
        <v>4706</v>
      </c>
      <c r="D858" s="69" t="s">
        <v>132</v>
      </c>
      <c r="E858" s="69" t="s">
        <v>3361</v>
      </c>
      <c r="F858" s="63"/>
      <c r="G858" s="69">
        <v>6962.24</v>
      </c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  <c r="AE858" s="69"/>
      <c r="AF858" s="69"/>
      <c r="AG858" s="69"/>
      <c r="AH858" s="69"/>
      <c r="AI858" s="69"/>
      <c r="AJ858" s="69"/>
      <c r="AK858" s="69"/>
      <c r="AL858" s="69"/>
      <c r="AM858" s="69"/>
      <c r="AN858" s="69"/>
      <c r="AO858" s="69"/>
      <c r="AP858" s="69"/>
      <c r="AQ858" s="69"/>
      <c r="AR858" s="94">
        <f t="shared" si="73"/>
        <v>6962.24</v>
      </c>
      <c r="AS858" s="69">
        <v>5663</v>
      </c>
      <c r="AT858" s="69">
        <v>706</v>
      </c>
      <c r="AU858" s="69">
        <v>593.24</v>
      </c>
      <c r="AV858" s="69"/>
      <c r="AW858" s="69"/>
      <c r="AX858" s="69"/>
      <c r="AY858" s="69"/>
      <c r="AZ858" s="69"/>
      <c r="BA858" s="69"/>
      <c r="BB858" s="69"/>
      <c r="BC858" s="69"/>
      <c r="BD858" s="69"/>
      <c r="BE858" s="69"/>
      <c r="BF858" s="69"/>
      <c r="BG858" s="69"/>
      <c r="BH858" s="69"/>
      <c r="BI858" s="69"/>
      <c r="BJ858" s="69"/>
      <c r="BK858" s="69"/>
      <c r="BL858" s="69"/>
      <c r="BM858" s="69"/>
      <c r="BN858" s="69"/>
      <c r="BO858" s="69"/>
      <c r="BP858" s="69"/>
      <c r="BQ858" s="69"/>
      <c r="BR858" s="69"/>
      <c r="BS858" s="69"/>
      <c r="BT858" s="69"/>
      <c r="BU858" s="69"/>
      <c r="BV858" s="69"/>
      <c r="BW858" s="69"/>
      <c r="BX858" s="69"/>
      <c r="BY858" s="69"/>
      <c r="BZ858" s="69"/>
      <c r="CA858" s="69"/>
      <c r="CB858" s="69"/>
      <c r="CC858" s="69"/>
      <c r="CD858" s="69"/>
      <c r="CE858" s="94">
        <f t="shared" si="63"/>
        <v>6962.24</v>
      </c>
      <c r="CF858" s="151">
        <f t="shared" si="71"/>
        <v>0</v>
      </c>
      <c r="CG858" s="75">
        <f t="shared" si="72"/>
        <v>4706</v>
      </c>
      <c r="CH858" s="69" t="str">
        <f t="shared" si="72"/>
        <v>صيدلة اكلينيكى</v>
      </c>
    </row>
    <row r="859" spans="1:86" x14ac:dyDescent="0.25">
      <c r="A859" s="148"/>
      <c r="B859" s="82">
        <v>8454</v>
      </c>
      <c r="C859" s="149">
        <v>4707</v>
      </c>
      <c r="D859" s="69" t="s">
        <v>132</v>
      </c>
      <c r="E859" s="69" t="s">
        <v>3362</v>
      </c>
      <c r="F859" s="63"/>
      <c r="G859" s="69">
        <v>293.12</v>
      </c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  <c r="AE859" s="69"/>
      <c r="AF859" s="69"/>
      <c r="AG859" s="69"/>
      <c r="AH859" s="69"/>
      <c r="AI859" s="69"/>
      <c r="AJ859" s="69"/>
      <c r="AK859" s="69"/>
      <c r="AL859" s="69"/>
      <c r="AM859" s="69"/>
      <c r="AN859" s="69"/>
      <c r="AO859" s="69"/>
      <c r="AP859" s="69"/>
      <c r="AQ859" s="69"/>
      <c r="AR859" s="94">
        <f t="shared" si="73"/>
        <v>293.12</v>
      </c>
      <c r="AS859" s="69">
        <v>196.45</v>
      </c>
      <c r="AT859" s="69">
        <v>26.05</v>
      </c>
      <c r="AU859" s="69">
        <v>70.62</v>
      </c>
      <c r="AV859" s="69"/>
      <c r="AW859" s="69"/>
      <c r="AX859" s="69"/>
      <c r="AY859" s="69"/>
      <c r="AZ859" s="69"/>
      <c r="BA859" s="69"/>
      <c r="BB859" s="69"/>
      <c r="BC859" s="69"/>
      <c r="BD859" s="69"/>
      <c r="BE859" s="69"/>
      <c r="BF859" s="69"/>
      <c r="BG859" s="69"/>
      <c r="BH859" s="69"/>
      <c r="BI859" s="69"/>
      <c r="BJ859" s="69"/>
      <c r="BK859" s="69"/>
      <c r="BL859" s="69"/>
      <c r="BM859" s="69"/>
      <c r="BN859" s="69"/>
      <c r="BO859" s="69"/>
      <c r="BP859" s="69"/>
      <c r="BQ859" s="69"/>
      <c r="BR859" s="69"/>
      <c r="BS859" s="69"/>
      <c r="BT859" s="69"/>
      <c r="BU859" s="69"/>
      <c r="BV859" s="69"/>
      <c r="BW859" s="69"/>
      <c r="BX859" s="69"/>
      <c r="BY859" s="69"/>
      <c r="BZ859" s="69"/>
      <c r="CA859" s="69"/>
      <c r="CB859" s="69"/>
      <c r="CC859" s="69"/>
      <c r="CD859" s="69"/>
      <c r="CE859" s="94">
        <f t="shared" si="63"/>
        <v>293.12</v>
      </c>
      <c r="CF859" s="151">
        <f t="shared" si="71"/>
        <v>0</v>
      </c>
      <c r="CG859" s="75">
        <f t="shared" si="72"/>
        <v>4707</v>
      </c>
      <c r="CH859" s="69" t="str">
        <f t="shared" si="72"/>
        <v>صيدلة اكلينيكى</v>
      </c>
    </row>
    <row r="860" spans="1:86" x14ac:dyDescent="0.25">
      <c r="A860" s="148"/>
      <c r="B860" s="82">
        <v>8434</v>
      </c>
      <c r="C860" s="149">
        <v>4708</v>
      </c>
      <c r="D860" s="69" t="s">
        <v>132</v>
      </c>
      <c r="E860" s="69" t="str">
        <f>+E858</f>
        <v>مكافاه جلسات شفهيه</v>
      </c>
      <c r="F860" s="63"/>
      <c r="G860" s="69">
        <v>3000</v>
      </c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  <c r="AE860" s="69"/>
      <c r="AF860" s="69"/>
      <c r="AG860" s="69"/>
      <c r="AH860" s="69"/>
      <c r="AI860" s="69"/>
      <c r="AJ860" s="69"/>
      <c r="AK860" s="69"/>
      <c r="AL860" s="69"/>
      <c r="AM860" s="69"/>
      <c r="AN860" s="69"/>
      <c r="AO860" s="69"/>
      <c r="AP860" s="69"/>
      <c r="AQ860" s="69"/>
      <c r="AR860" s="94">
        <f t="shared" si="73"/>
        <v>3000</v>
      </c>
      <c r="AS860" s="69">
        <v>2678.2</v>
      </c>
      <c r="AT860" s="69">
        <v>321.8</v>
      </c>
      <c r="AU860" s="69"/>
      <c r="AV860" s="69"/>
      <c r="AW860" s="69"/>
      <c r="AX860" s="69"/>
      <c r="AY860" s="69"/>
      <c r="AZ860" s="69"/>
      <c r="BA860" s="69"/>
      <c r="BB860" s="69"/>
      <c r="BC860" s="69"/>
      <c r="BD860" s="69"/>
      <c r="BE860" s="69"/>
      <c r="BF860" s="69"/>
      <c r="BG860" s="69"/>
      <c r="BH860" s="69"/>
      <c r="BI860" s="69"/>
      <c r="BJ860" s="69"/>
      <c r="BK860" s="69"/>
      <c r="BL860" s="69"/>
      <c r="BM860" s="69"/>
      <c r="BN860" s="69"/>
      <c r="BO860" s="69"/>
      <c r="BP860" s="69"/>
      <c r="BQ860" s="69"/>
      <c r="BR860" s="69"/>
      <c r="BS860" s="69"/>
      <c r="BT860" s="69"/>
      <c r="BU860" s="69"/>
      <c r="BV860" s="69"/>
      <c r="BW860" s="69"/>
      <c r="BX860" s="69"/>
      <c r="BY860" s="69"/>
      <c r="BZ860" s="69"/>
      <c r="CA860" s="69"/>
      <c r="CB860" s="69"/>
      <c r="CC860" s="69"/>
      <c r="CD860" s="69"/>
      <c r="CE860" s="94">
        <f t="shared" si="63"/>
        <v>3000</v>
      </c>
      <c r="CF860" s="151">
        <f t="shared" si="71"/>
        <v>0</v>
      </c>
      <c r="CG860" s="75">
        <f t="shared" si="72"/>
        <v>4708</v>
      </c>
      <c r="CH860" s="69" t="str">
        <f t="shared" si="72"/>
        <v>صيدلة اكلينيكى</v>
      </c>
    </row>
    <row r="861" spans="1:86" x14ac:dyDescent="0.25">
      <c r="A861" s="148"/>
      <c r="B861" s="82">
        <v>8435</v>
      </c>
      <c r="C861" s="149">
        <v>4709</v>
      </c>
      <c r="D861" s="69" t="s">
        <v>132</v>
      </c>
      <c r="E861" s="69" t="str">
        <f t="shared" ref="E861:E868" si="74">+E860</f>
        <v>مكافاه جلسات شفهيه</v>
      </c>
      <c r="F861" s="63"/>
      <c r="G861" s="69">
        <v>1062.92</v>
      </c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  <c r="AE861" s="69"/>
      <c r="AF861" s="69"/>
      <c r="AG861" s="69"/>
      <c r="AH861" s="69"/>
      <c r="AI861" s="69"/>
      <c r="AJ861" s="69"/>
      <c r="AK861" s="69"/>
      <c r="AL861" s="69"/>
      <c r="AM861" s="69"/>
      <c r="AN861" s="69"/>
      <c r="AO861" s="69"/>
      <c r="AP861" s="69"/>
      <c r="AQ861" s="69"/>
      <c r="AR861" s="94">
        <f t="shared" si="73"/>
        <v>1062.92</v>
      </c>
      <c r="AS861" s="69">
        <v>609.29999999999995</v>
      </c>
      <c r="AT861" s="69">
        <v>88.55</v>
      </c>
      <c r="AU861" s="69">
        <v>365.07</v>
      </c>
      <c r="AV861" s="69"/>
      <c r="AW861" s="69"/>
      <c r="AX861" s="69"/>
      <c r="AY861" s="69"/>
      <c r="AZ861" s="69"/>
      <c r="BA861" s="69"/>
      <c r="BB861" s="69"/>
      <c r="BC861" s="69"/>
      <c r="BD861" s="69"/>
      <c r="BE861" s="69"/>
      <c r="BF861" s="69"/>
      <c r="BG861" s="69"/>
      <c r="BH861" s="69"/>
      <c r="BI861" s="69"/>
      <c r="BJ861" s="69"/>
      <c r="BK861" s="69"/>
      <c r="BL861" s="69"/>
      <c r="BM861" s="69"/>
      <c r="BN861" s="69"/>
      <c r="BO861" s="69"/>
      <c r="BP861" s="69"/>
      <c r="BQ861" s="69"/>
      <c r="BR861" s="69"/>
      <c r="BS861" s="69"/>
      <c r="BT861" s="69"/>
      <c r="BU861" s="69"/>
      <c r="BV861" s="69"/>
      <c r="BW861" s="69"/>
      <c r="BX861" s="69"/>
      <c r="BY861" s="69"/>
      <c r="BZ861" s="69"/>
      <c r="CA861" s="69"/>
      <c r="CB861" s="69"/>
      <c r="CC861" s="69"/>
      <c r="CD861" s="69"/>
      <c r="CE861" s="94">
        <f t="shared" si="63"/>
        <v>1062.9199999999998</v>
      </c>
      <c r="CF861" s="151">
        <f t="shared" si="71"/>
        <v>0</v>
      </c>
      <c r="CG861" s="75">
        <f t="shared" si="72"/>
        <v>4709</v>
      </c>
      <c r="CH861" s="69" t="str">
        <f t="shared" si="72"/>
        <v>صيدلة اكلينيكى</v>
      </c>
    </row>
    <row r="862" spans="1:86" x14ac:dyDescent="0.25">
      <c r="A862" s="148"/>
      <c r="B862" s="82">
        <v>8436</v>
      </c>
      <c r="C862" s="149">
        <v>4710</v>
      </c>
      <c r="D862" s="69" t="s">
        <v>132</v>
      </c>
      <c r="E862" s="69" t="str">
        <f t="shared" si="74"/>
        <v>مكافاه جلسات شفهيه</v>
      </c>
      <c r="F862" s="63"/>
      <c r="G862" s="69">
        <v>984.9</v>
      </c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  <c r="AE862" s="69"/>
      <c r="AF862" s="69"/>
      <c r="AG862" s="69"/>
      <c r="AH862" s="69"/>
      <c r="AI862" s="69"/>
      <c r="AJ862" s="69"/>
      <c r="AK862" s="69"/>
      <c r="AL862" s="69"/>
      <c r="AM862" s="69"/>
      <c r="AN862" s="69"/>
      <c r="AO862" s="69"/>
      <c r="AP862" s="69"/>
      <c r="AQ862" s="69"/>
      <c r="AR862" s="94">
        <f t="shared" si="73"/>
        <v>984.9</v>
      </c>
      <c r="AS862" s="69">
        <v>658.7</v>
      </c>
      <c r="AT862" s="69">
        <v>88.9</v>
      </c>
      <c r="AU862" s="69">
        <v>237.3</v>
      </c>
      <c r="AV862" s="69"/>
      <c r="AW862" s="69"/>
      <c r="AX862" s="69"/>
      <c r="AY862" s="69"/>
      <c r="AZ862" s="69"/>
      <c r="BA862" s="69"/>
      <c r="BB862" s="69"/>
      <c r="BC862" s="69"/>
      <c r="BD862" s="69"/>
      <c r="BE862" s="69"/>
      <c r="BF862" s="69"/>
      <c r="BG862" s="69"/>
      <c r="BH862" s="69"/>
      <c r="BI862" s="69"/>
      <c r="BJ862" s="69"/>
      <c r="BK862" s="69"/>
      <c r="BL862" s="69"/>
      <c r="BM862" s="69"/>
      <c r="BN862" s="69"/>
      <c r="BO862" s="69"/>
      <c r="BP862" s="69"/>
      <c r="BQ862" s="69"/>
      <c r="BR862" s="69"/>
      <c r="BS862" s="69"/>
      <c r="BT862" s="69"/>
      <c r="BU862" s="69"/>
      <c r="BV862" s="69"/>
      <c r="BW862" s="69"/>
      <c r="BX862" s="69"/>
      <c r="BY862" s="69"/>
      <c r="BZ862" s="69"/>
      <c r="CA862" s="69"/>
      <c r="CB862" s="69"/>
      <c r="CC862" s="69"/>
      <c r="CD862" s="69"/>
      <c r="CE862" s="94">
        <f t="shared" si="63"/>
        <v>984.90000000000009</v>
      </c>
      <c r="CF862" s="151">
        <f t="shared" si="71"/>
        <v>0</v>
      </c>
      <c r="CG862" s="75">
        <f t="shared" si="72"/>
        <v>4710</v>
      </c>
      <c r="CH862" s="69" t="str">
        <f t="shared" si="72"/>
        <v>صيدلة اكلينيكى</v>
      </c>
    </row>
    <row r="863" spans="1:86" x14ac:dyDescent="0.25">
      <c r="A863" s="148"/>
      <c r="B863" s="82">
        <v>8440</v>
      </c>
      <c r="C863" s="149">
        <v>4711</v>
      </c>
      <c r="D863" s="69" t="s">
        <v>132</v>
      </c>
      <c r="E863" s="69" t="str">
        <f t="shared" si="74"/>
        <v>مكافاه جلسات شفهيه</v>
      </c>
      <c r="F863" s="63"/>
      <c r="G863" s="69">
        <v>410.37</v>
      </c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  <c r="AE863" s="69"/>
      <c r="AF863" s="69"/>
      <c r="AG863" s="69"/>
      <c r="AH863" s="69"/>
      <c r="AI863" s="69"/>
      <c r="AJ863" s="69"/>
      <c r="AK863" s="69"/>
      <c r="AL863" s="69"/>
      <c r="AM863" s="69"/>
      <c r="AN863" s="69"/>
      <c r="AO863" s="69"/>
      <c r="AP863" s="69"/>
      <c r="AQ863" s="69"/>
      <c r="AR863" s="94">
        <f t="shared" si="73"/>
        <v>410.37</v>
      </c>
      <c r="AS863" s="69">
        <v>275.2</v>
      </c>
      <c r="AT863" s="69">
        <v>36.299999999999997</v>
      </c>
      <c r="AU863" s="69">
        <v>98.87</v>
      </c>
      <c r="AV863" s="69"/>
      <c r="AW863" s="69"/>
      <c r="AX863" s="69"/>
      <c r="AY863" s="69"/>
      <c r="AZ863" s="69"/>
      <c r="BA863" s="69"/>
      <c r="BB863" s="69"/>
      <c r="BC863" s="69"/>
      <c r="BD863" s="69"/>
      <c r="BE863" s="69"/>
      <c r="BF863" s="69"/>
      <c r="BG863" s="69"/>
      <c r="BH863" s="69"/>
      <c r="BI863" s="69"/>
      <c r="BJ863" s="69"/>
      <c r="BK863" s="69"/>
      <c r="BL863" s="69"/>
      <c r="BM863" s="69"/>
      <c r="BN863" s="69"/>
      <c r="BO863" s="69"/>
      <c r="BP863" s="69"/>
      <c r="BQ863" s="69"/>
      <c r="BR863" s="69"/>
      <c r="BS863" s="69"/>
      <c r="BT863" s="69"/>
      <c r="BU863" s="69"/>
      <c r="BV863" s="69"/>
      <c r="BW863" s="69"/>
      <c r="BX863" s="69"/>
      <c r="BY863" s="69"/>
      <c r="BZ863" s="69"/>
      <c r="CA863" s="69"/>
      <c r="CB863" s="69"/>
      <c r="CC863" s="69"/>
      <c r="CD863" s="69"/>
      <c r="CE863" s="94">
        <f t="shared" si="63"/>
        <v>410.37</v>
      </c>
      <c r="CF863" s="151">
        <f t="shared" si="71"/>
        <v>0</v>
      </c>
      <c r="CG863" s="75">
        <f t="shared" si="72"/>
        <v>4711</v>
      </c>
      <c r="CH863" s="69" t="str">
        <f t="shared" si="72"/>
        <v>صيدلة اكلينيكى</v>
      </c>
    </row>
    <row r="864" spans="1:86" x14ac:dyDescent="0.25">
      <c r="A864" s="148"/>
      <c r="B864" s="82">
        <v>8438</v>
      </c>
      <c r="C864" s="149">
        <v>4712</v>
      </c>
      <c r="D864" s="69" t="s">
        <v>132</v>
      </c>
      <c r="E864" s="69" t="str">
        <f t="shared" si="74"/>
        <v>مكافاه جلسات شفهيه</v>
      </c>
      <c r="F864" s="63"/>
      <c r="G864" s="69">
        <v>2403.61</v>
      </c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  <c r="AE864" s="69"/>
      <c r="AF864" s="69"/>
      <c r="AG864" s="69"/>
      <c r="AH864" s="69"/>
      <c r="AI864" s="69"/>
      <c r="AJ864" s="69"/>
      <c r="AK864" s="69"/>
      <c r="AL864" s="69"/>
      <c r="AM864" s="69"/>
      <c r="AN864" s="69"/>
      <c r="AO864" s="69"/>
      <c r="AP864" s="69"/>
      <c r="AQ864" s="69"/>
      <c r="AR864" s="94">
        <f t="shared" si="73"/>
        <v>2403.61</v>
      </c>
      <c r="AS864" s="69">
        <v>1613.1</v>
      </c>
      <c r="AT864" s="69">
        <v>211.4</v>
      </c>
      <c r="AU864" s="69">
        <v>579.11</v>
      </c>
      <c r="AV864" s="69"/>
      <c r="AW864" s="69"/>
      <c r="AX864" s="69"/>
      <c r="AY864" s="69"/>
      <c r="AZ864" s="69"/>
      <c r="BA864" s="69"/>
      <c r="BB864" s="69"/>
      <c r="BC864" s="69"/>
      <c r="BD864" s="69"/>
      <c r="BE864" s="69"/>
      <c r="BF864" s="69"/>
      <c r="BG864" s="69"/>
      <c r="BH864" s="69"/>
      <c r="BI864" s="69"/>
      <c r="BJ864" s="69"/>
      <c r="BK864" s="69"/>
      <c r="BL864" s="69"/>
      <c r="BM864" s="69"/>
      <c r="BN864" s="69"/>
      <c r="BO864" s="69"/>
      <c r="BP864" s="69"/>
      <c r="BQ864" s="69"/>
      <c r="BR864" s="69"/>
      <c r="BS864" s="69"/>
      <c r="BT864" s="69"/>
      <c r="BU864" s="69"/>
      <c r="BV864" s="69"/>
      <c r="BW864" s="69"/>
      <c r="BX864" s="69"/>
      <c r="BY864" s="69"/>
      <c r="BZ864" s="69"/>
      <c r="CA864" s="69"/>
      <c r="CB864" s="69"/>
      <c r="CC864" s="69"/>
      <c r="CD864" s="69"/>
      <c r="CE864" s="94">
        <f t="shared" si="63"/>
        <v>2403.61</v>
      </c>
      <c r="CF864" s="151">
        <f t="shared" si="71"/>
        <v>0</v>
      </c>
      <c r="CG864" s="75">
        <f t="shared" si="72"/>
        <v>4712</v>
      </c>
      <c r="CH864" s="69" t="str">
        <f t="shared" si="72"/>
        <v>صيدلة اكلينيكى</v>
      </c>
    </row>
    <row r="865" spans="1:86" x14ac:dyDescent="0.25">
      <c r="A865" s="148"/>
      <c r="B865" s="82">
        <v>8442</v>
      </c>
      <c r="C865" s="149">
        <v>4713</v>
      </c>
      <c r="D865" s="69" t="s">
        <v>132</v>
      </c>
      <c r="E865" s="69" t="str">
        <f t="shared" si="74"/>
        <v>مكافاه جلسات شفهيه</v>
      </c>
      <c r="F865" s="63"/>
      <c r="G865" s="69">
        <v>234.5</v>
      </c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  <c r="AE865" s="69"/>
      <c r="AF865" s="69"/>
      <c r="AG865" s="69"/>
      <c r="AH865" s="69"/>
      <c r="AI865" s="69"/>
      <c r="AJ865" s="69"/>
      <c r="AK865" s="69"/>
      <c r="AL865" s="69"/>
      <c r="AM865" s="69"/>
      <c r="AN865" s="69"/>
      <c r="AO865" s="69"/>
      <c r="AP865" s="69"/>
      <c r="AQ865" s="69"/>
      <c r="AR865" s="94">
        <f t="shared" si="73"/>
        <v>234.5</v>
      </c>
      <c r="AS865" s="69">
        <v>157.5</v>
      </c>
      <c r="AT865" s="69">
        <v>20.5</v>
      </c>
      <c r="AU865" s="69">
        <v>56.5</v>
      </c>
      <c r="AV865" s="69"/>
      <c r="AW865" s="69"/>
      <c r="AX865" s="69"/>
      <c r="AY865" s="69"/>
      <c r="AZ865" s="69"/>
      <c r="BA865" s="69"/>
      <c r="BB865" s="69"/>
      <c r="BC865" s="69"/>
      <c r="BD865" s="69"/>
      <c r="BE865" s="69"/>
      <c r="BF865" s="69"/>
      <c r="BG865" s="69"/>
      <c r="BH865" s="69"/>
      <c r="BI865" s="69"/>
      <c r="BJ865" s="69"/>
      <c r="BK865" s="69"/>
      <c r="BL865" s="69"/>
      <c r="BM865" s="69"/>
      <c r="BN865" s="69"/>
      <c r="BO865" s="69"/>
      <c r="BP865" s="69"/>
      <c r="BQ865" s="69"/>
      <c r="BR865" s="69"/>
      <c r="BS865" s="69"/>
      <c r="BT865" s="69"/>
      <c r="BU865" s="69"/>
      <c r="BV865" s="69"/>
      <c r="BW865" s="69"/>
      <c r="BX865" s="69"/>
      <c r="BY865" s="69"/>
      <c r="BZ865" s="69"/>
      <c r="CA865" s="69"/>
      <c r="CB865" s="69"/>
      <c r="CC865" s="69"/>
      <c r="CD865" s="69"/>
      <c r="CE865" s="94">
        <f t="shared" si="63"/>
        <v>234.5</v>
      </c>
      <c r="CF865" s="151">
        <f t="shared" si="71"/>
        <v>0</v>
      </c>
      <c r="CG865" s="75">
        <f t="shared" si="72"/>
        <v>4713</v>
      </c>
      <c r="CH865" s="69" t="str">
        <f t="shared" si="72"/>
        <v>صيدلة اكلينيكى</v>
      </c>
    </row>
    <row r="866" spans="1:86" x14ac:dyDescent="0.25">
      <c r="A866" s="148"/>
      <c r="B866" s="82">
        <v>8441</v>
      </c>
      <c r="C866" s="149">
        <v>4714</v>
      </c>
      <c r="D866" s="69" t="s">
        <v>132</v>
      </c>
      <c r="E866" s="69" t="str">
        <f t="shared" si="74"/>
        <v>مكافاه جلسات شفهيه</v>
      </c>
      <c r="F866" s="63"/>
      <c r="G866" s="69">
        <v>117.25</v>
      </c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  <c r="AE866" s="69"/>
      <c r="AF866" s="69"/>
      <c r="AG866" s="69"/>
      <c r="AH866" s="69"/>
      <c r="AI866" s="69"/>
      <c r="AJ866" s="69"/>
      <c r="AK866" s="69"/>
      <c r="AL866" s="69"/>
      <c r="AM866" s="69"/>
      <c r="AN866" s="69"/>
      <c r="AO866" s="69"/>
      <c r="AP866" s="69"/>
      <c r="AQ866" s="69"/>
      <c r="AR866" s="94">
        <f t="shared" si="73"/>
        <v>117.25</v>
      </c>
      <c r="AS866" s="69">
        <v>78.75</v>
      </c>
      <c r="AT866" s="69">
        <v>10.25</v>
      </c>
      <c r="AU866" s="69">
        <v>28.25</v>
      </c>
      <c r="AV866" s="69"/>
      <c r="AW866" s="69"/>
      <c r="AX866" s="69"/>
      <c r="AY866" s="69"/>
      <c r="AZ866" s="69"/>
      <c r="BA866" s="69"/>
      <c r="BB866" s="69"/>
      <c r="BC866" s="69"/>
      <c r="BD866" s="69"/>
      <c r="BE866" s="69"/>
      <c r="BF866" s="69"/>
      <c r="BG866" s="69"/>
      <c r="BH866" s="69"/>
      <c r="BI866" s="69"/>
      <c r="BJ866" s="69"/>
      <c r="BK866" s="69"/>
      <c r="BL866" s="69"/>
      <c r="BM866" s="69"/>
      <c r="BN866" s="69"/>
      <c r="BO866" s="69"/>
      <c r="BP866" s="69"/>
      <c r="BQ866" s="69"/>
      <c r="BR866" s="69"/>
      <c r="BS866" s="69"/>
      <c r="BT866" s="69"/>
      <c r="BU866" s="69"/>
      <c r="BV866" s="69"/>
      <c r="BW866" s="69"/>
      <c r="BX866" s="69"/>
      <c r="BY866" s="69"/>
      <c r="BZ866" s="69"/>
      <c r="CA866" s="69"/>
      <c r="CB866" s="69"/>
      <c r="CC866" s="69"/>
      <c r="CD866" s="69"/>
      <c r="CE866" s="94">
        <f t="shared" si="63"/>
        <v>117.25</v>
      </c>
      <c r="CF866" s="151">
        <f t="shared" si="71"/>
        <v>0</v>
      </c>
      <c r="CG866" s="75">
        <f t="shared" si="72"/>
        <v>4714</v>
      </c>
      <c r="CH866" s="69" t="str">
        <f t="shared" si="72"/>
        <v>صيدلة اكلينيكى</v>
      </c>
    </row>
    <row r="867" spans="1:86" x14ac:dyDescent="0.25">
      <c r="A867" s="148"/>
      <c r="B867" s="82">
        <v>8439</v>
      </c>
      <c r="C867" s="149">
        <v>4715</v>
      </c>
      <c r="D867" s="69" t="s">
        <v>132</v>
      </c>
      <c r="E867" s="69" t="str">
        <f t="shared" si="74"/>
        <v>مكافاه جلسات شفهيه</v>
      </c>
      <c r="F867" s="63"/>
      <c r="G867" s="69">
        <v>200</v>
      </c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  <c r="AE867" s="69"/>
      <c r="AF867" s="69"/>
      <c r="AG867" s="69"/>
      <c r="AH867" s="69"/>
      <c r="AI867" s="69"/>
      <c r="AJ867" s="69"/>
      <c r="AK867" s="69"/>
      <c r="AL867" s="69"/>
      <c r="AM867" s="69"/>
      <c r="AN867" s="69"/>
      <c r="AO867" s="69"/>
      <c r="AP867" s="69"/>
      <c r="AQ867" s="69"/>
      <c r="AR867" s="94">
        <f t="shared" si="73"/>
        <v>200</v>
      </c>
      <c r="AS867" s="69">
        <v>179.4</v>
      </c>
      <c r="AT867" s="69">
        <v>20.6</v>
      </c>
      <c r="AU867" s="69"/>
      <c r="AV867" s="69"/>
      <c r="AW867" s="69"/>
      <c r="AX867" s="69"/>
      <c r="AY867" s="69"/>
      <c r="AZ867" s="69"/>
      <c r="BA867" s="69"/>
      <c r="BB867" s="69"/>
      <c r="BC867" s="69"/>
      <c r="BD867" s="69"/>
      <c r="BE867" s="69"/>
      <c r="BF867" s="69"/>
      <c r="BG867" s="69"/>
      <c r="BH867" s="69"/>
      <c r="BI867" s="69"/>
      <c r="BJ867" s="69"/>
      <c r="BK867" s="69"/>
      <c r="BL867" s="69"/>
      <c r="BM867" s="69"/>
      <c r="BN867" s="69"/>
      <c r="BO867" s="69"/>
      <c r="BP867" s="69"/>
      <c r="BQ867" s="69"/>
      <c r="BR867" s="69"/>
      <c r="BS867" s="69"/>
      <c r="BT867" s="69"/>
      <c r="BU867" s="69"/>
      <c r="BV867" s="69"/>
      <c r="BW867" s="69"/>
      <c r="BX867" s="69"/>
      <c r="BY867" s="69"/>
      <c r="BZ867" s="69"/>
      <c r="CA867" s="69"/>
      <c r="CB867" s="69"/>
      <c r="CC867" s="69"/>
      <c r="CD867" s="69"/>
      <c r="CE867" s="94">
        <f t="shared" si="63"/>
        <v>200</v>
      </c>
      <c r="CF867" s="151">
        <f t="shared" si="71"/>
        <v>0</v>
      </c>
      <c r="CG867" s="75">
        <f t="shared" si="72"/>
        <v>4715</v>
      </c>
      <c r="CH867" s="69" t="str">
        <f t="shared" si="72"/>
        <v>صيدلة اكلينيكى</v>
      </c>
    </row>
    <row r="868" spans="1:86" x14ac:dyDescent="0.25">
      <c r="A868" s="148"/>
      <c r="B868" s="82">
        <v>8437</v>
      </c>
      <c r="C868" s="149">
        <v>4716</v>
      </c>
      <c r="D868" s="69" t="s">
        <v>132</v>
      </c>
      <c r="E868" s="69" t="str">
        <f t="shared" si="74"/>
        <v>مكافاه جلسات شفهيه</v>
      </c>
      <c r="F868" s="63"/>
      <c r="G868" s="69">
        <v>12660</v>
      </c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  <c r="AE868" s="69"/>
      <c r="AF868" s="69"/>
      <c r="AG868" s="69"/>
      <c r="AH868" s="69"/>
      <c r="AI868" s="69"/>
      <c r="AJ868" s="69"/>
      <c r="AK868" s="69"/>
      <c r="AL868" s="69"/>
      <c r="AM868" s="69"/>
      <c r="AN868" s="69"/>
      <c r="AO868" s="69"/>
      <c r="AP868" s="69"/>
      <c r="AQ868" s="69"/>
      <c r="AR868" s="94">
        <f t="shared" si="73"/>
        <v>12660</v>
      </c>
      <c r="AS868" s="69">
        <v>11303.85</v>
      </c>
      <c r="AT868" s="69">
        <v>1356.15</v>
      </c>
      <c r="AU868" s="69"/>
      <c r="AV868" s="69"/>
      <c r="AW868" s="69"/>
      <c r="AX868" s="69"/>
      <c r="AY868" s="69"/>
      <c r="AZ868" s="69"/>
      <c r="BA868" s="69"/>
      <c r="BB868" s="69"/>
      <c r="BC868" s="69"/>
      <c r="BD868" s="69"/>
      <c r="BE868" s="69"/>
      <c r="BF868" s="69"/>
      <c r="BG868" s="69"/>
      <c r="BH868" s="69"/>
      <c r="BI868" s="69"/>
      <c r="BJ868" s="69"/>
      <c r="BK868" s="69"/>
      <c r="BL868" s="69"/>
      <c r="BM868" s="69"/>
      <c r="BN868" s="69"/>
      <c r="BO868" s="69"/>
      <c r="BP868" s="69"/>
      <c r="BQ868" s="69"/>
      <c r="BR868" s="69"/>
      <c r="BS868" s="69"/>
      <c r="BT868" s="69"/>
      <c r="BU868" s="69"/>
      <c r="BV868" s="69"/>
      <c r="BW868" s="69"/>
      <c r="BX868" s="69"/>
      <c r="BY868" s="69"/>
      <c r="BZ868" s="69"/>
      <c r="CA868" s="69"/>
      <c r="CB868" s="69"/>
      <c r="CC868" s="69"/>
      <c r="CD868" s="69"/>
      <c r="CE868" s="94">
        <f t="shared" si="63"/>
        <v>12660</v>
      </c>
      <c r="CF868" s="151">
        <f t="shared" si="71"/>
        <v>0</v>
      </c>
      <c r="CG868" s="75">
        <f t="shared" si="72"/>
        <v>4716</v>
      </c>
      <c r="CH868" s="69" t="str">
        <f t="shared" si="72"/>
        <v>صيدلة اكلينيكى</v>
      </c>
    </row>
    <row r="869" spans="1:86" x14ac:dyDescent="0.25">
      <c r="A869" s="148"/>
      <c r="B869" s="82">
        <v>8432</v>
      </c>
      <c r="C869" s="149">
        <v>4717</v>
      </c>
      <c r="D869" s="69" t="s">
        <v>132</v>
      </c>
      <c r="E869" s="69" t="s">
        <v>3363</v>
      </c>
      <c r="F869" s="63"/>
      <c r="G869" s="69">
        <v>586.25</v>
      </c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  <c r="AE869" s="69"/>
      <c r="AF869" s="69"/>
      <c r="AG869" s="69"/>
      <c r="AH869" s="69"/>
      <c r="AI869" s="69"/>
      <c r="AJ869" s="69"/>
      <c r="AK869" s="69"/>
      <c r="AL869" s="69"/>
      <c r="AM869" s="69"/>
      <c r="AN869" s="69"/>
      <c r="AO869" s="69"/>
      <c r="AP869" s="69"/>
      <c r="AQ869" s="69"/>
      <c r="AR869" s="94">
        <f t="shared" si="73"/>
        <v>586.25</v>
      </c>
      <c r="AS869" s="69">
        <v>392.4</v>
      </c>
      <c r="AT869" s="69">
        <v>52.6</v>
      </c>
      <c r="AU869" s="69">
        <v>141.25</v>
      </c>
      <c r="AV869" s="69"/>
      <c r="AW869" s="69"/>
      <c r="AX869" s="69"/>
      <c r="AY869" s="69"/>
      <c r="AZ869" s="69"/>
      <c r="BA869" s="69"/>
      <c r="BB869" s="69"/>
      <c r="BC869" s="69"/>
      <c r="BD869" s="69"/>
      <c r="BE869" s="69"/>
      <c r="BF869" s="69"/>
      <c r="BG869" s="69"/>
      <c r="BH869" s="69"/>
      <c r="BI869" s="69"/>
      <c r="BJ869" s="69"/>
      <c r="BK869" s="69"/>
      <c r="BL869" s="69"/>
      <c r="BM869" s="69"/>
      <c r="BN869" s="69"/>
      <c r="BO869" s="69"/>
      <c r="BP869" s="69"/>
      <c r="BQ869" s="69"/>
      <c r="BR869" s="69"/>
      <c r="BS869" s="69"/>
      <c r="BT869" s="69"/>
      <c r="BU869" s="69"/>
      <c r="BV869" s="69"/>
      <c r="BW869" s="69"/>
      <c r="BX869" s="69"/>
      <c r="BY869" s="69"/>
      <c r="BZ869" s="69"/>
      <c r="CA869" s="69"/>
      <c r="CB869" s="69"/>
      <c r="CC869" s="69"/>
      <c r="CD869" s="69"/>
      <c r="CE869" s="94">
        <f t="shared" si="63"/>
        <v>586.25</v>
      </c>
      <c r="CF869" s="151">
        <f t="shared" si="71"/>
        <v>0</v>
      </c>
      <c r="CG869" s="75">
        <f t="shared" si="72"/>
        <v>4717</v>
      </c>
      <c r="CH869" s="69" t="str">
        <f t="shared" si="72"/>
        <v>صيدلة اكلينيكى</v>
      </c>
    </row>
    <row r="870" spans="1:86" x14ac:dyDescent="0.25">
      <c r="A870" s="148"/>
      <c r="B870" s="82">
        <v>8428</v>
      </c>
      <c r="C870" s="149">
        <v>4718</v>
      </c>
      <c r="D870" s="69" t="s">
        <v>132</v>
      </c>
      <c r="E870" s="69" t="s">
        <v>3363</v>
      </c>
      <c r="F870" s="63"/>
      <c r="G870" s="69">
        <v>586.25</v>
      </c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  <c r="AE870" s="69"/>
      <c r="AF870" s="69"/>
      <c r="AG870" s="69"/>
      <c r="AH870" s="69"/>
      <c r="AI870" s="69"/>
      <c r="AJ870" s="69"/>
      <c r="AK870" s="69"/>
      <c r="AL870" s="69"/>
      <c r="AM870" s="69"/>
      <c r="AN870" s="69"/>
      <c r="AO870" s="69"/>
      <c r="AP870" s="69"/>
      <c r="AQ870" s="69"/>
      <c r="AR870" s="94">
        <f t="shared" si="73"/>
        <v>586.25</v>
      </c>
      <c r="AS870" s="69">
        <v>392.4</v>
      </c>
      <c r="AT870" s="69">
        <v>52.6</v>
      </c>
      <c r="AU870" s="69">
        <v>141.25</v>
      </c>
      <c r="AV870" s="69"/>
      <c r="AW870" s="69"/>
      <c r="AX870" s="69"/>
      <c r="AY870" s="69"/>
      <c r="AZ870" s="69"/>
      <c r="BA870" s="69"/>
      <c r="BB870" s="69"/>
      <c r="BC870" s="69"/>
      <c r="BD870" s="69"/>
      <c r="BE870" s="69"/>
      <c r="BF870" s="69"/>
      <c r="BG870" s="69"/>
      <c r="BH870" s="69"/>
      <c r="BI870" s="69"/>
      <c r="BJ870" s="69"/>
      <c r="BK870" s="69"/>
      <c r="BL870" s="69"/>
      <c r="BM870" s="69"/>
      <c r="BN870" s="69"/>
      <c r="BO870" s="69"/>
      <c r="BP870" s="69"/>
      <c r="BQ870" s="69"/>
      <c r="BR870" s="69"/>
      <c r="BS870" s="69"/>
      <c r="BT870" s="69"/>
      <c r="BU870" s="69"/>
      <c r="BV870" s="69"/>
      <c r="BW870" s="69"/>
      <c r="BX870" s="69"/>
      <c r="BY870" s="69"/>
      <c r="BZ870" s="69"/>
      <c r="CA870" s="69"/>
      <c r="CB870" s="69"/>
      <c r="CC870" s="69"/>
      <c r="CD870" s="69"/>
      <c r="CE870" s="94">
        <f t="shared" si="63"/>
        <v>586.25</v>
      </c>
      <c r="CF870" s="151">
        <f t="shared" si="71"/>
        <v>0</v>
      </c>
      <c r="CG870" s="75">
        <f t="shared" si="72"/>
        <v>4718</v>
      </c>
      <c r="CH870" s="69" t="str">
        <f t="shared" si="72"/>
        <v>صيدلة اكلينيكى</v>
      </c>
    </row>
    <row r="871" spans="1:86" x14ac:dyDescent="0.25">
      <c r="A871" s="148"/>
      <c r="B871" s="82">
        <v>8431</v>
      </c>
      <c r="C871" s="149">
        <v>4719</v>
      </c>
      <c r="D871" s="69" t="s">
        <v>132</v>
      </c>
      <c r="E871" s="69" t="s">
        <v>3363</v>
      </c>
      <c r="F871" s="63"/>
      <c r="G871" s="69">
        <v>703.5</v>
      </c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  <c r="AE871" s="69"/>
      <c r="AF871" s="69"/>
      <c r="AG871" s="69"/>
      <c r="AH871" s="69"/>
      <c r="AI871" s="69"/>
      <c r="AJ871" s="69"/>
      <c r="AK871" s="69"/>
      <c r="AL871" s="69"/>
      <c r="AM871" s="69"/>
      <c r="AN871" s="69"/>
      <c r="AO871" s="69"/>
      <c r="AP871" s="69"/>
      <c r="AQ871" s="69"/>
      <c r="AR871" s="94">
        <f t="shared" si="73"/>
        <v>703.5</v>
      </c>
      <c r="AS871" s="69">
        <v>471.25</v>
      </c>
      <c r="AT871" s="69">
        <v>62.75</v>
      </c>
      <c r="AU871" s="69">
        <v>169.5</v>
      </c>
      <c r="AV871" s="69"/>
      <c r="AW871" s="69"/>
      <c r="AX871" s="69"/>
      <c r="AY871" s="69"/>
      <c r="AZ871" s="69"/>
      <c r="BA871" s="69"/>
      <c r="BB871" s="69"/>
      <c r="BC871" s="69"/>
      <c r="BD871" s="69"/>
      <c r="BE871" s="69"/>
      <c r="BF871" s="69"/>
      <c r="BG871" s="69"/>
      <c r="BH871" s="69"/>
      <c r="BI871" s="69"/>
      <c r="BJ871" s="69"/>
      <c r="BK871" s="69"/>
      <c r="BL871" s="69"/>
      <c r="BM871" s="69"/>
      <c r="BN871" s="69"/>
      <c r="BO871" s="69"/>
      <c r="BP871" s="69"/>
      <c r="BQ871" s="69"/>
      <c r="BR871" s="69"/>
      <c r="BS871" s="69"/>
      <c r="BT871" s="69"/>
      <c r="BU871" s="69"/>
      <c r="BV871" s="69"/>
      <c r="BW871" s="69"/>
      <c r="BX871" s="69"/>
      <c r="BY871" s="69"/>
      <c r="BZ871" s="69"/>
      <c r="CA871" s="69"/>
      <c r="CB871" s="69"/>
      <c r="CC871" s="69"/>
      <c r="CD871" s="69"/>
      <c r="CE871" s="94">
        <f t="shared" si="63"/>
        <v>703.5</v>
      </c>
      <c r="CF871" s="151">
        <f t="shared" si="71"/>
        <v>0</v>
      </c>
      <c r="CG871" s="75">
        <f t="shared" si="72"/>
        <v>4719</v>
      </c>
      <c r="CH871" s="69" t="str">
        <f t="shared" si="72"/>
        <v>صيدلة اكلينيكى</v>
      </c>
    </row>
    <row r="872" spans="1:86" x14ac:dyDescent="0.25">
      <c r="A872" s="148"/>
      <c r="B872" s="82">
        <v>8429</v>
      </c>
      <c r="C872" s="149">
        <v>4720</v>
      </c>
      <c r="D872" s="69" t="s">
        <v>132</v>
      </c>
      <c r="E872" s="69" t="s">
        <v>3363</v>
      </c>
      <c r="F872" s="63"/>
      <c r="G872" s="69">
        <v>8793.7000000000007</v>
      </c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  <c r="AE872" s="69"/>
      <c r="AF872" s="69"/>
      <c r="AG872" s="69"/>
      <c r="AH872" s="69"/>
      <c r="AI872" s="69"/>
      <c r="AJ872" s="69"/>
      <c r="AK872" s="69"/>
      <c r="AL872" s="69"/>
      <c r="AM872" s="69"/>
      <c r="AN872" s="69"/>
      <c r="AO872" s="69"/>
      <c r="AP872" s="69"/>
      <c r="AQ872" s="69"/>
      <c r="AR872" s="94">
        <f t="shared" si="73"/>
        <v>8793.7000000000007</v>
      </c>
      <c r="AS872" s="69">
        <v>5886.75</v>
      </c>
      <c r="AT872" s="69">
        <v>788.25</v>
      </c>
      <c r="AU872" s="69">
        <v>2118.6999999999998</v>
      </c>
      <c r="AV872" s="69"/>
      <c r="AW872" s="69"/>
      <c r="AX872" s="69"/>
      <c r="AY872" s="69"/>
      <c r="AZ872" s="69"/>
      <c r="BA872" s="69"/>
      <c r="BB872" s="69"/>
      <c r="BC872" s="69"/>
      <c r="BD872" s="69"/>
      <c r="BE872" s="69"/>
      <c r="BF872" s="69"/>
      <c r="BG872" s="69"/>
      <c r="BH872" s="69"/>
      <c r="BI872" s="69"/>
      <c r="BJ872" s="69"/>
      <c r="BK872" s="69"/>
      <c r="BL872" s="69"/>
      <c r="BM872" s="69"/>
      <c r="BN872" s="69"/>
      <c r="BO872" s="69"/>
      <c r="BP872" s="69"/>
      <c r="BQ872" s="69"/>
      <c r="BR872" s="69"/>
      <c r="BS872" s="69"/>
      <c r="BT872" s="69"/>
      <c r="BU872" s="69"/>
      <c r="BV872" s="69"/>
      <c r="BW872" s="69"/>
      <c r="BX872" s="69"/>
      <c r="BY872" s="69"/>
      <c r="BZ872" s="69"/>
      <c r="CA872" s="69"/>
      <c r="CB872" s="69"/>
      <c r="CC872" s="69"/>
      <c r="CD872" s="69"/>
      <c r="CE872" s="94">
        <f t="shared" si="63"/>
        <v>8793.7000000000007</v>
      </c>
      <c r="CF872" s="151">
        <f t="shared" si="71"/>
        <v>0</v>
      </c>
      <c r="CG872" s="75">
        <f t="shared" si="72"/>
        <v>4720</v>
      </c>
      <c r="CH872" s="69" t="str">
        <f t="shared" si="72"/>
        <v>صيدلة اكلينيكى</v>
      </c>
    </row>
    <row r="873" spans="1:86" x14ac:dyDescent="0.25">
      <c r="A873" s="148"/>
      <c r="B873" s="82">
        <v>8430</v>
      </c>
      <c r="C873" s="149">
        <v>4721</v>
      </c>
      <c r="D873" s="69" t="s">
        <v>132</v>
      </c>
      <c r="E873" s="69" t="s">
        <v>3363</v>
      </c>
      <c r="F873" s="63"/>
      <c r="G873" s="69">
        <v>10148.879999999999</v>
      </c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  <c r="AE873" s="69"/>
      <c r="AF873" s="69"/>
      <c r="AG873" s="69"/>
      <c r="AH873" s="69"/>
      <c r="AI873" s="69"/>
      <c r="AJ873" s="69"/>
      <c r="AK873" s="69"/>
      <c r="AL873" s="69"/>
      <c r="AM873" s="69"/>
      <c r="AN873" s="69"/>
      <c r="AO873" s="69"/>
      <c r="AP873" s="69"/>
      <c r="AQ873" s="69"/>
      <c r="AR873" s="94">
        <f t="shared" si="73"/>
        <v>10148.879999999999</v>
      </c>
      <c r="AS873" s="69">
        <v>7239.3</v>
      </c>
      <c r="AT873" s="69">
        <f>51.2+895</f>
        <v>946.2</v>
      </c>
      <c r="AU873" s="69">
        <v>1963.38</v>
      </c>
      <c r="AV873" s="69"/>
      <c r="AW873" s="69"/>
      <c r="AX873" s="69"/>
      <c r="AY873" s="69"/>
      <c r="AZ873" s="69"/>
      <c r="BA873" s="69"/>
      <c r="BB873" s="69"/>
      <c r="BC873" s="69"/>
      <c r="BD873" s="69"/>
      <c r="BE873" s="69"/>
      <c r="BF873" s="69"/>
      <c r="BG873" s="69"/>
      <c r="BH873" s="69"/>
      <c r="BI873" s="69"/>
      <c r="BJ873" s="69"/>
      <c r="BK873" s="69"/>
      <c r="BL873" s="69"/>
      <c r="BM873" s="69"/>
      <c r="BN873" s="69"/>
      <c r="BO873" s="69"/>
      <c r="BP873" s="69"/>
      <c r="BQ873" s="69"/>
      <c r="BR873" s="69"/>
      <c r="BS873" s="69"/>
      <c r="BT873" s="69"/>
      <c r="BU873" s="69"/>
      <c r="BV873" s="69"/>
      <c r="BW873" s="69"/>
      <c r="BX873" s="69"/>
      <c r="BY873" s="69"/>
      <c r="BZ873" s="69"/>
      <c r="CA873" s="69"/>
      <c r="CB873" s="69"/>
      <c r="CC873" s="69"/>
      <c r="CD873" s="69"/>
      <c r="CE873" s="94">
        <f t="shared" si="63"/>
        <v>10148.880000000001</v>
      </c>
      <c r="CF873" s="151">
        <f t="shared" si="71"/>
        <v>0</v>
      </c>
      <c r="CG873" s="75">
        <f t="shared" si="72"/>
        <v>4721</v>
      </c>
      <c r="CH873" s="69" t="str">
        <f t="shared" si="72"/>
        <v>صيدلة اكلينيكى</v>
      </c>
    </row>
    <row r="874" spans="1:86" x14ac:dyDescent="0.25">
      <c r="A874" s="148"/>
      <c r="C874" s="149">
        <v>4722</v>
      </c>
      <c r="D874" s="152" t="s">
        <v>1431</v>
      </c>
      <c r="E874" s="152" t="s">
        <v>899</v>
      </c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  <c r="AE874" s="69"/>
      <c r="AF874" s="69"/>
      <c r="AG874" s="69"/>
      <c r="AH874" s="69"/>
      <c r="AI874" s="69"/>
      <c r="AJ874" s="69"/>
      <c r="AK874" s="69"/>
      <c r="AL874" s="69"/>
      <c r="AM874" s="69"/>
      <c r="AN874" s="69"/>
      <c r="AO874" s="69"/>
      <c r="AP874" s="69"/>
      <c r="AQ874" s="69"/>
      <c r="AR874" s="94">
        <f t="shared" si="73"/>
        <v>0</v>
      </c>
      <c r="AU874" s="69"/>
      <c r="AV874" s="69"/>
      <c r="AW874" s="69"/>
      <c r="AX874" s="69"/>
      <c r="AY874" s="69"/>
      <c r="AZ874" s="69"/>
      <c r="BA874" s="69"/>
      <c r="BB874" s="69"/>
      <c r="BC874" s="69"/>
      <c r="BD874" s="69"/>
      <c r="BE874" s="69"/>
      <c r="BF874" s="69"/>
      <c r="BG874" s="69"/>
      <c r="BH874" s="69"/>
      <c r="BI874" s="69"/>
      <c r="BJ874" s="69"/>
      <c r="BK874" s="69"/>
      <c r="BL874" s="69"/>
      <c r="BM874" s="69"/>
      <c r="BN874" s="69"/>
      <c r="BO874" s="69"/>
      <c r="BP874" s="69"/>
      <c r="BQ874" s="69"/>
      <c r="BR874" s="69"/>
      <c r="BS874" s="69"/>
      <c r="BT874" s="69"/>
      <c r="BU874" s="69"/>
      <c r="BV874" s="69"/>
      <c r="BW874" s="69"/>
      <c r="BX874" s="69"/>
      <c r="BY874" s="69"/>
      <c r="BZ874" s="69"/>
      <c r="CA874" s="69"/>
      <c r="CB874" s="69"/>
      <c r="CC874" s="69"/>
      <c r="CD874" s="69"/>
      <c r="CE874" s="94">
        <f t="shared" si="63"/>
        <v>0</v>
      </c>
      <c r="CF874" s="151">
        <f t="shared" si="71"/>
        <v>0</v>
      </c>
      <c r="CG874" s="75">
        <f t="shared" si="72"/>
        <v>4722</v>
      </c>
      <c r="CH874" s="69" t="str">
        <f>+D938</f>
        <v>صيدلة اكلينيكى</v>
      </c>
    </row>
    <row r="875" spans="1:86" x14ac:dyDescent="0.25">
      <c r="A875" s="148"/>
      <c r="B875" s="82">
        <v>8463</v>
      </c>
      <c r="C875" s="149">
        <v>4723</v>
      </c>
      <c r="D875" s="69" t="s">
        <v>132</v>
      </c>
      <c r="E875" s="69" t="s">
        <v>3364</v>
      </c>
      <c r="F875" s="63"/>
      <c r="G875" s="69">
        <v>3350</v>
      </c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  <c r="AE875" s="69"/>
      <c r="AF875" s="69"/>
      <c r="AG875" s="69"/>
      <c r="AH875" s="69"/>
      <c r="AI875" s="69"/>
      <c r="AJ875" s="69"/>
      <c r="AK875" s="69"/>
      <c r="AL875" s="69"/>
      <c r="AM875" s="69"/>
      <c r="AN875" s="69"/>
      <c r="AO875" s="69"/>
      <c r="AP875" s="69"/>
      <c r="AQ875" s="69"/>
      <c r="AR875" s="94">
        <f t="shared" si="73"/>
        <v>3350</v>
      </c>
      <c r="AS875" s="69">
        <v>2991.45</v>
      </c>
      <c r="AT875" s="69">
        <v>358.55</v>
      </c>
      <c r="AU875" s="69"/>
      <c r="AV875" s="69"/>
      <c r="AW875" s="69"/>
      <c r="AX875" s="69"/>
      <c r="AY875" s="69"/>
      <c r="AZ875" s="69"/>
      <c r="BA875" s="69"/>
      <c r="BB875" s="69"/>
      <c r="BC875" s="69"/>
      <c r="BD875" s="69"/>
      <c r="BE875" s="69"/>
      <c r="BF875" s="69"/>
      <c r="BG875" s="69"/>
      <c r="BH875" s="69"/>
      <c r="BI875" s="69"/>
      <c r="BJ875" s="69"/>
      <c r="BK875" s="69"/>
      <c r="BL875" s="69"/>
      <c r="BM875" s="69"/>
      <c r="BN875" s="69"/>
      <c r="BO875" s="69"/>
      <c r="BP875" s="69"/>
      <c r="BQ875" s="69"/>
      <c r="BR875" s="69"/>
      <c r="BS875" s="69"/>
      <c r="BT875" s="69"/>
      <c r="BU875" s="69"/>
      <c r="BV875" s="69"/>
      <c r="BW875" s="69"/>
      <c r="BX875" s="69"/>
      <c r="BY875" s="69"/>
      <c r="BZ875" s="69"/>
      <c r="CA875" s="69"/>
      <c r="CB875" s="69"/>
      <c r="CC875" s="69"/>
      <c r="CD875" s="69"/>
      <c r="CE875" s="94">
        <f t="shared" si="63"/>
        <v>3350</v>
      </c>
      <c r="CF875" s="151">
        <f t="shared" si="71"/>
        <v>0</v>
      </c>
      <c r="CG875" s="75">
        <f t="shared" si="72"/>
        <v>4723</v>
      </c>
      <c r="CH875" s="69" t="str">
        <f t="shared" si="72"/>
        <v>صيدلة اكلينيكى</v>
      </c>
    </row>
    <row r="876" spans="1:86" x14ac:dyDescent="0.25">
      <c r="A876" s="148"/>
      <c r="B876" s="82">
        <v>8461</v>
      </c>
      <c r="C876" s="149">
        <v>4724</v>
      </c>
      <c r="D876" s="69" t="s">
        <v>132</v>
      </c>
      <c r="E876" s="69" t="s">
        <v>3364</v>
      </c>
      <c r="F876" s="63"/>
      <c r="G876" s="69">
        <v>1395.27</v>
      </c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69"/>
      <c r="AJ876" s="69"/>
      <c r="AK876" s="69"/>
      <c r="AL876" s="69"/>
      <c r="AM876" s="69"/>
      <c r="AN876" s="69"/>
      <c r="AO876" s="69"/>
      <c r="AP876" s="69"/>
      <c r="AQ876" s="69"/>
      <c r="AR876" s="94">
        <f t="shared" si="73"/>
        <v>1395.27</v>
      </c>
      <c r="AS876" s="69">
        <v>933.9</v>
      </c>
      <c r="AT876" s="69">
        <v>125.2</v>
      </c>
      <c r="AU876" s="69">
        <v>336.17</v>
      </c>
      <c r="AV876" s="69"/>
      <c r="AW876" s="69"/>
      <c r="AX876" s="69"/>
      <c r="AY876" s="69"/>
      <c r="AZ876" s="69"/>
      <c r="BA876" s="69"/>
      <c r="BB876" s="69"/>
      <c r="BC876" s="69"/>
      <c r="BD876" s="69"/>
      <c r="BE876" s="69"/>
      <c r="BF876" s="69"/>
      <c r="BG876" s="69"/>
      <c r="BH876" s="69"/>
      <c r="BI876" s="69"/>
      <c r="BJ876" s="69"/>
      <c r="BK876" s="69"/>
      <c r="BL876" s="69"/>
      <c r="BM876" s="69"/>
      <c r="BN876" s="69"/>
      <c r="BO876" s="69"/>
      <c r="BP876" s="69"/>
      <c r="BQ876" s="69"/>
      <c r="BR876" s="69"/>
      <c r="BS876" s="69"/>
      <c r="BT876" s="69"/>
      <c r="BU876" s="69"/>
      <c r="BV876" s="69"/>
      <c r="BW876" s="69"/>
      <c r="BX876" s="69"/>
      <c r="BY876" s="69"/>
      <c r="BZ876" s="69"/>
      <c r="CA876" s="69"/>
      <c r="CB876" s="69"/>
      <c r="CC876" s="69"/>
      <c r="CD876" s="69"/>
      <c r="CE876" s="94">
        <f t="shared" si="63"/>
        <v>1395.27</v>
      </c>
      <c r="CF876" s="151">
        <f t="shared" si="71"/>
        <v>0</v>
      </c>
      <c r="CG876" s="75">
        <f t="shared" si="72"/>
        <v>4724</v>
      </c>
      <c r="CH876" s="69" t="str">
        <f t="shared" si="72"/>
        <v>صيدلة اكلينيكى</v>
      </c>
    </row>
    <row r="877" spans="1:86" x14ac:dyDescent="0.25">
      <c r="A877" s="148"/>
      <c r="B877" s="82">
        <v>8457</v>
      </c>
      <c r="C877" s="149">
        <v>4725</v>
      </c>
      <c r="D877" s="69" t="s">
        <v>132</v>
      </c>
      <c r="E877" s="69" t="s">
        <v>3364</v>
      </c>
      <c r="F877" s="63"/>
      <c r="G877" s="69">
        <v>3710.95</v>
      </c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69"/>
      <c r="AJ877" s="69"/>
      <c r="AK877" s="69"/>
      <c r="AL877" s="69"/>
      <c r="AM877" s="69"/>
      <c r="AN877" s="69"/>
      <c r="AO877" s="69"/>
      <c r="AP877" s="69"/>
      <c r="AQ877" s="69"/>
      <c r="AR877" s="94">
        <f t="shared" si="73"/>
        <v>3710.95</v>
      </c>
      <c r="AS877" s="69">
        <v>2485.1999999999998</v>
      </c>
      <c r="AT877" s="69">
        <v>331.65</v>
      </c>
      <c r="AU877" s="69">
        <v>894.1</v>
      </c>
      <c r="AV877" s="69"/>
      <c r="AW877" s="69"/>
      <c r="AX877" s="69"/>
      <c r="AY877" s="69"/>
      <c r="AZ877" s="69"/>
      <c r="BA877" s="69"/>
      <c r="BB877" s="69"/>
      <c r="BC877" s="69"/>
      <c r="BD877" s="69"/>
      <c r="BE877" s="69"/>
      <c r="BF877" s="69"/>
      <c r="BG877" s="69"/>
      <c r="BH877" s="69"/>
      <c r="BI877" s="69"/>
      <c r="BJ877" s="69"/>
      <c r="BK877" s="69"/>
      <c r="BL877" s="69"/>
      <c r="BM877" s="69"/>
      <c r="BN877" s="69"/>
      <c r="BO877" s="69"/>
      <c r="BP877" s="69"/>
      <c r="BQ877" s="69"/>
      <c r="BR877" s="69"/>
      <c r="BS877" s="69"/>
      <c r="BT877" s="69"/>
      <c r="BU877" s="69"/>
      <c r="BV877" s="69"/>
      <c r="BW877" s="69"/>
      <c r="BX877" s="69"/>
      <c r="BY877" s="69"/>
      <c r="BZ877" s="69"/>
      <c r="CA877" s="69"/>
      <c r="CB877" s="69"/>
      <c r="CC877" s="69"/>
      <c r="CD877" s="69"/>
      <c r="CE877" s="94">
        <f t="shared" si="63"/>
        <v>3710.95</v>
      </c>
      <c r="CF877" s="151">
        <f t="shared" si="71"/>
        <v>0</v>
      </c>
      <c r="CG877" s="75">
        <f t="shared" si="72"/>
        <v>4725</v>
      </c>
      <c r="CH877" s="69" t="str">
        <f t="shared" si="72"/>
        <v>صيدلة اكلينيكى</v>
      </c>
    </row>
    <row r="878" spans="1:86" x14ac:dyDescent="0.25">
      <c r="A878" s="148"/>
      <c r="B878" s="82">
        <v>8458</v>
      </c>
      <c r="C878" s="149">
        <v>4726</v>
      </c>
      <c r="D878" s="69" t="s">
        <v>132</v>
      </c>
      <c r="E878" s="69" t="s">
        <v>3364</v>
      </c>
      <c r="F878" s="63"/>
      <c r="G878" s="69">
        <v>351.75</v>
      </c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69"/>
      <c r="AJ878" s="69"/>
      <c r="AK878" s="69"/>
      <c r="AL878" s="69"/>
      <c r="AM878" s="69"/>
      <c r="AN878" s="69"/>
      <c r="AO878" s="69"/>
      <c r="AP878" s="69"/>
      <c r="AQ878" s="69"/>
      <c r="AR878" s="94">
        <f t="shared" si="73"/>
        <v>351.75</v>
      </c>
      <c r="AS878" s="69">
        <v>235.55</v>
      </c>
      <c r="AT878" s="69">
        <v>31.45</v>
      </c>
      <c r="AU878" s="69">
        <v>84.75</v>
      </c>
      <c r="AV878" s="69"/>
      <c r="AW878" s="69"/>
      <c r="AX878" s="69"/>
      <c r="AY878" s="69"/>
      <c r="AZ878" s="69"/>
      <c r="BA878" s="69"/>
      <c r="BB878" s="69"/>
      <c r="BC878" s="69"/>
      <c r="BD878" s="69"/>
      <c r="BE878" s="69"/>
      <c r="BF878" s="69"/>
      <c r="BG878" s="69"/>
      <c r="BH878" s="69"/>
      <c r="BI878" s="69"/>
      <c r="BJ878" s="69"/>
      <c r="BK878" s="69"/>
      <c r="BL878" s="69"/>
      <c r="BM878" s="69"/>
      <c r="BN878" s="69"/>
      <c r="BO878" s="69"/>
      <c r="BP878" s="69"/>
      <c r="BQ878" s="69"/>
      <c r="BR878" s="69"/>
      <c r="BS878" s="69"/>
      <c r="BT878" s="69"/>
      <c r="BU878" s="69"/>
      <c r="BV878" s="69"/>
      <c r="BW878" s="69"/>
      <c r="BX878" s="69"/>
      <c r="BY878" s="69"/>
      <c r="BZ878" s="69"/>
      <c r="CA878" s="69"/>
      <c r="CB878" s="69"/>
      <c r="CC878" s="69"/>
      <c r="CD878" s="69"/>
      <c r="CE878" s="94">
        <f t="shared" si="63"/>
        <v>351.75</v>
      </c>
      <c r="CF878" s="151">
        <f t="shared" si="71"/>
        <v>0</v>
      </c>
      <c r="CG878" s="75">
        <f t="shared" si="72"/>
        <v>4726</v>
      </c>
      <c r="CH878" s="69" t="str">
        <f t="shared" si="72"/>
        <v>صيدلة اكلينيكى</v>
      </c>
    </row>
    <row r="879" spans="1:86" x14ac:dyDescent="0.25">
      <c r="A879" s="148"/>
      <c r="B879" s="82">
        <v>8455</v>
      </c>
      <c r="C879" s="149">
        <v>4727</v>
      </c>
      <c r="D879" s="69" t="s">
        <v>132</v>
      </c>
      <c r="E879" s="69" t="s">
        <v>3364</v>
      </c>
      <c r="F879" s="63"/>
      <c r="G879" s="69">
        <v>26897.16</v>
      </c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69"/>
      <c r="AJ879" s="69"/>
      <c r="AK879" s="69"/>
      <c r="AL879" s="69"/>
      <c r="AM879" s="69"/>
      <c r="AN879" s="69"/>
      <c r="AO879" s="69"/>
      <c r="AP879" s="69"/>
      <c r="AQ879" s="69"/>
      <c r="AR879" s="94">
        <f t="shared" si="73"/>
        <v>26897.16</v>
      </c>
      <c r="AS879" s="69">
        <v>18011.650000000001</v>
      </c>
      <c r="AT879" s="69">
        <v>2404.9499999999998</v>
      </c>
      <c r="AU879" s="69">
        <v>6480.56</v>
      </c>
      <c r="AV879" s="69"/>
      <c r="AW879" s="69"/>
      <c r="AX879" s="69"/>
      <c r="AY879" s="69"/>
      <c r="AZ879" s="69"/>
      <c r="BA879" s="69"/>
      <c r="BB879" s="69"/>
      <c r="BC879" s="69"/>
      <c r="BD879" s="69"/>
      <c r="BE879" s="69"/>
      <c r="BF879" s="69"/>
      <c r="BG879" s="69"/>
      <c r="BH879" s="69"/>
      <c r="BI879" s="69"/>
      <c r="BJ879" s="69"/>
      <c r="BK879" s="69"/>
      <c r="BL879" s="69"/>
      <c r="BM879" s="69"/>
      <c r="BN879" s="69"/>
      <c r="BO879" s="69"/>
      <c r="BP879" s="69"/>
      <c r="BQ879" s="69"/>
      <c r="BR879" s="69"/>
      <c r="BS879" s="69"/>
      <c r="BT879" s="69"/>
      <c r="BU879" s="69"/>
      <c r="BV879" s="69"/>
      <c r="BW879" s="69"/>
      <c r="BX879" s="69"/>
      <c r="BY879" s="69"/>
      <c r="BZ879" s="69"/>
      <c r="CA879" s="69"/>
      <c r="CB879" s="69"/>
      <c r="CC879" s="69"/>
      <c r="CD879" s="69"/>
      <c r="CE879" s="94">
        <f t="shared" si="63"/>
        <v>26897.160000000003</v>
      </c>
      <c r="CF879" s="151">
        <f t="shared" si="71"/>
        <v>0</v>
      </c>
      <c r="CG879" s="75">
        <f t="shared" si="72"/>
        <v>4727</v>
      </c>
      <c r="CH879" s="69" t="str">
        <f t="shared" si="72"/>
        <v>صيدلة اكلينيكى</v>
      </c>
    </row>
    <row r="880" spans="1:86" x14ac:dyDescent="0.25">
      <c r="A880" s="148"/>
      <c r="B880" s="82">
        <v>8459</v>
      </c>
      <c r="C880" s="149">
        <v>4728</v>
      </c>
      <c r="D880" s="69" t="s">
        <v>132</v>
      </c>
      <c r="E880" s="69" t="s">
        <v>3364</v>
      </c>
      <c r="F880" s="63"/>
      <c r="G880" s="69">
        <v>703.5</v>
      </c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  <c r="AE880" s="69"/>
      <c r="AF880" s="69"/>
      <c r="AG880" s="69"/>
      <c r="AH880" s="69"/>
      <c r="AI880" s="69"/>
      <c r="AJ880" s="69"/>
      <c r="AK880" s="69"/>
      <c r="AL880" s="69"/>
      <c r="AM880" s="69"/>
      <c r="AN880" s="69"/>
      <c r="AO880" s="69"/>
      <c r="AP880" s="69"/>
      <c r="AQ880" s="69"/>
      <c r="AR880" s="94">
        <f t="shared" si="73"/>
        <v>703.5</v>
      </c>
      <c r="AS880" s="69">
        <v>470.6</v>
      </c>
      <c r="AT880" s="69">
        <v>63.4</v>
      </c>
      <c r="AU880" s="69">
        <v>169.5</v>
      </c>
      <c r="AV880" s="69"/>
      <c r="AW880" s="69"/>
      <c r="AX880" s="69"/>
      <c r="AY880" s="69"/>
      <c r="AZ880" s="69"/>
      <c r="BA880" s="69"/>
      <c r="BB880" s="69"/>
      <c r="BC880" s="69"/>
      <c r="BD880" s="69"/>
      <c r="BE880" s="69"/>
      <c r="BF880" s="69"/>
      <c r="BG880" s="69"/>
      <c r="BH880" s="69"/>
      <c r="BI880" s="69"/>
      <c r="BJ880" s="69"/>
      <c r="BK880" s="69"/>
      <c r="BL880" s="69"/>
      <c r="BM880" s="69"/>
      <c r="BN880" s="69"/>
      <c r="BO880" s="69"/>
      <c r="BP880" s="69"/>
      <c r="BQ880" s="69"/>
      <c r="BR880" s="69"/>
      <c r="BS880" s="69"/>
      <c r="BT880" s="69"/>
      <c r="BU880" s="69"/>
      <c r="BV880" s="69"/>
      <c r="BW880" s="69"/>
      <c r="BX880" s="69"/>
      <c r="BY880" s="69"/>
      <c r="BZ880" s="69"/>
      <c r="CA880" s="69"/>
      <c r="CB880" s="69"/>
      <c r="CC880" s="69"/>
      <c r="CD880" s="69"/>
      <c r="CE880" s="94">
        <f t="shared" si="63"/>
        <v>703.5</v>
      </c>
      <c r="CF880" s="151">
        <f t="shared" si="71"/>
        <v>0</v>
      </c>
      <c r="CG880" s="75">
        <f t="shared" si="72"/>
        <v>4728</v>
      </c>
      <c r="CH880" s="69" t="str">
        <f t="shared" si="72"/>
        <v>صيدلة اكلينيكى</v>
      </c>
    </row>
    <row r="881" spans="1:86" x14ac:dyDescent="0.25">
      <c r="A881" s="148"/>
      <c r="B881" s="82">
        <v>8456</v>
      </c>
      <c r="C881" s="149">
        <v>4729</v>
      </c>
      <c r="D881" s="69" t="s">
        <v>132</v>
      </c>
      <c r="E881" s="69" t="s">
        <v>3364</v>
      </c>
      <c r="F881" s="63"/>
      <c r="G881" s="69">
        <v>500</v>
      </c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  <c r="AE881" s="69"/>
      <c r="AF881" s="69"/>
      <c r="AG881" s="69"/>
      <c r="AH881" s="69"/>
      <c r="AI881" s="69"/>
      <c r="AJ881" s="69"/>
      <c r="AK881" s="69"/>
      <c r="AL881" s="69"/>
      <c r="AM881" s="69"/>
      <c r="AN881" s="69"/>
      <c r="AO881" s="69"/>
      <c r="AP881" s="69"/>
      <c r="AQ881" s="69"/>
      <c r="AR881" s="94">
        <f t="shared" si="73"/>
        <v>500</v>
      </c>
      <c r="AS881" s="69">
        <v>447.05</v>
      </c>
      <c r="AT881" s="69">
        <v>52.95</v>
      </c>
      <c r="AU881" s="69"/>
      <c r="AV881" s="69"/>
      <c r="AW881" s="69"/>
      <c r="AX881" s="69"/>
      <c r="AY881" s="69"/>
      <c r="AZ881" s="69"/>
      <c r="BA881" s="69"/>
      <c r="BB881" s="69"/>
      <c r="BC881" s="69"/>
      <c r="BD881" s="69"/>
      <c r="BE881" s="69"/>
      <c r="BF881" s="69"/>
      <c r="BG881" s="69"/>
      <c r="BH881" s="69"/>
      <c r="BI881" s="69"/>
      <c r="BJ881" s="69"/>
      <c r="BK881" s="69"/>
      <c r="BL881" s="69"/>
      <c r="BM881" s="69"/>
      <c r="BN881" s="69"/>
      <c r="BO881" s="69"/>
      <c r="BP881" s="69"/>
      <c r="BQ881" s="69"/>
      <c r="BR881" s="69"/>
      <c r="BS881" s="69"/>
      <c r="BT881" s="69"/>
      <c r="BU881" s="69"/>
      <c r="BV881" s="69"/>
      <c r="BW881" s="69"/>
      <c r="BX881" s="69"/>
      <c r="BY881" s="69"/>
      <c r="BZ881" s="69"/>
      <c r="CA881" s="69"/>
      <c r="CB881" s="69"/>
      <c r="CC881" s="69"/>
      <c r="CD881" s="69"/>
      <c r="CE881" s="94">
        <f t="shared" si="63"/>
        <v>500</v>
      </c>
      <c r="CF881" s="151">
        <f t="shared" si="71"/>
        <v>0</v>
      </c>
      <c r="CG881" s="75">
        <f t="shared" si="72"/>
        <v>4729</v>
      </c>
      <c r="CH881" s="69" t="str">
        <f t="shared" si="72"/>
        <v>صيدلة اكلينيكى</v>
      </c>
    </row>
    <row r="882" spans="1:86" x14ac:dyDescent="0.25">
      <c r="A882" s="148"/>
      <c r="B882" s="82">
        <v>8460</v>
      </c>
      <c r="C882" s="149">
        <v>4730</v>
      </c>
      <c r="D882" s="69" t="s">
        <v>132</v>
      </c>
      <c r="E882" s="69" t="s">
        <v>3364</v>
      </c>
      <c r="F882" s="63"/>
      <c r="G882" s="69">
        <v>350</v>
      </c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  <c r="AE882" s="69"/>
      <c r="AF882" s="69"/>
      <c r="AG882" s="69"/>
      <c r="AH882" s="69"/>
      <c r="AI882" s="69"/>
      <c r="AJ882" s="69"/>
      <c r="AK882" s="69"/>
      <c r="AL882" s="69"/>
      <c r="AM882" s="69"/>
      <c r="AN882" s="69"/>
      <c r="AO882" s="69"/>
      <c r="AP882" s="69"/>
      <c r="AQ882" s="69"/>
      <c r="AR882" s="94">
        <f t="shared" si="73"/>
        <v>350</v>
      </c>
      <c r="AS882" s="69">
        <v>313.05</v>
      </c>
      <c r="AT882" s="69">
        <v>36.950000000000003</v>
      </c>
      <c r="AU882" s="69"/>
      <c r="AV882" s="69"/>
      <c r="AW882" s="69"/>
      <c r="AX882" s="69"/>
      <c r="AY882" s="69"/>
      <c r="AZ882" s="69"/>
      <c r="BA882" s="69"/>
      <c r="BB882" s="69"/>
      <c r="BC882" s="69"/>
      <c r="BD882" s="69"/>
      <c r="BE882" s="69"/>
      <c r="BF882" s="69"/>
      <c r="BG882" s="69"/>
      <c r="BH882" s="69"/>
      <c r="BI882" s="69"/>
      <c r="BJ882" s="69"/>
      <c r="BK882" s="69"/>
      <c r="BL882" s="69"/>
      <c r="BM882" s="69"/>
      <c r="BN882" s="69"/>
      <c r="BO882" s="69"/>
      <c r="BP882" s="69"/>
      <c r="BQ882" s="69"/>
      <c r="BR882" s="69"/>
      <c r="BS882" s="69"/>
      <c r="BT882" s="69"/>
      <c r="BU882" s="69"/>
      <c r="BV882" s="69"/>
      <c r="BW882" s="69"/>
      <c r="BX882" s="69"/>
      <c r="BY882" s="69"/>
      <c r="BZ882" s="69"/>
      <c r="CA882" s="69"/>
      <c r="CB882" s="69"/>
      <c r="CC882" s="69"/>
      <c r="CD882" s="69"/>
      <c r="CE882" s="94">
        <f t="shared" si="63"/>
        <v>350</v>
      </c>
      <c r="CF882" s="151">
        <f t="shared" si="71"/>
        <v>0</v>
      </c>
      <c r="CG882" s="75">
        <f t="shared" si="72"/>
        <v>4730</v>
      </c>
      <c r="CH882" s="69" t="str">
        <f t="shared" si="72"/>
        <v>صيدلة اكلينيكى</v>
      </c>
    </row>
    <row r="883" spans="1:86" x14ac:dyDescent="0.25">
      <c r="A883" s="148"/>
      <c r="B883" s="82">
        <v>8464</v>
      </c>
      <c r="C883" s="149">
        <v>4731</v>
      </c>
      <c r="D883" s="69" t="s">
        <v>132</v>
      </c>
      <c r="E883" s="69" t="s">
        <v>3364</v>
      </c>
      <c r="F883" s="63"/>
      <c r="G883" s="69">
        <v>3850.95</v>
      </c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  <c r="AE883" s="69"/>
      <c r="AF883" s="69"/>
      <c r="AG883" s="69"/>
      <c r="AH883" s="69"/>
      <c r="AI883" s="69"/>
      <c r="AJ883" s="69"/>
      <c r="AK883" s="69"/>
      <c r="AL883" s="69"/>
      <c r="AM883" s="69"/>
      <c r="AN883" s="69"/>
      <c r="AO883" s="69"/>
      <c r="AP883" s="69"/>
      <c r="AQ883" s="69"/>
      <c r="AR883" s="94">
        <f t="shared" si="73"/>
        <v>3850.95</v>
      </c>
      <c r="AS883" s="69">
        <v>2723.1</v>
      </c>
      <c r="AT883" s="69">
        <f>18.6+338</f>
        <v>356.6</v>
      </c>
      <c r="AU883" s="69">
        <v>771.25</v>
      </c>
      <c r="AV883" s="69"/>
      <c r="AW883" s="69"/>
      <c r="AX883" s="69"/>
      <c r="AY883" s="69"/>
      <c r="AZ883" s="69"/>
      <c r="BA883" s="69"/>
      <c r="BB883" s="69"/>
      <c r="BC883" s="69"/>
      <c r="BD883" s="69"/>
      <c r="BE883" s="69"/>
      <c r="BF883" s="69"/>
      <c r="BG883" s="69"/>
      <c r="BH883" s="69"/>
      <c r="BI883" s="69"/>
      <c r="BJ883" s="69"/>
      <c r="BK883" s="69"/>
      <c r="BL883" s="69"/>
      <c r="BM883" s="69"/>
      <c r="BN883" s="69"/>
      <c r="BO883" s="69"/>
      <c r="BP883" s="69"/>
      <c r="BQ883" s="69"/>
      <c r="BR883" s="69"/>
      <c r="BS883" s="69"/>
      <c r="BT883" s="69"/>
      <c r="BU883" s="69"/>
      <c r="BV883" s="69"/>
      <c r="BW883" s="69"/>
      <c r="BX883" s="69"/>
      <c r="BY883" s="69"/>
      <c r="BZ883" s="69"/>
      <c r="CA883" s="69"/>
      <c r="CB883" s="69"/>
      <c r="CC883" s="69"/>
      <c r="CD883" s="69"/>
      <c r="CE883" s="94">
        <f t="shared" si="63"/>
        <v>3850.95</v>
      </c>
      <c r="CF883" s="151">
        <f t="shared" si="71"/>
        <v>0</v>
      </c>
      <c r="CG883" s="75">
        <f t="shared" si="72"/>
        <v>4731</v>
      </c>
      <c r="CH883" s="69" t="str">
        <f t="shared" si="72"/>
        <v>صيدلة اكلينيكى</v>
      </c>
    </row>
    <row r="884" spans="1:86" x14ac:dyDescent="0.25">
      <c r="A884" s="148"/>
      <c r="B884" s="82">
        <v>8542</v>
      </c>
      <c r="C884" s="149">
        <v>4732</v>
      </c>
      <c r="D884" s="69" t="s">
        <v>132</v>
      </c>
      <c r="E884" s="69" t="s">
        <v>3365</v>
      </c>
      <c r="F884" s="63"/>
      <c r="G884" s="69">
        <v>13200</v>
      </c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  <c r="AE884" s="69"/>
      <c r="AF884" s="69"/>
      <c r="AG884" s="69"/>
      <c r="AH884" s="69"/>
      <c r="AI884" s="69"/>
      <c r="AJ884" s="69"/>
      <c r="AK884" s="69"/>
      <c r="AL884" s="69"/>
      <c r="AM884" s="69"/>
      <c r="AN884" s="69"/>
      <c r="AO884" s="69"/>
      <c r="AP884" s="69"/>
      <c r="AQ884" s="69"/>
      <c r="AR884" s="94">
        <f t="shared" si="73"/>
        <v>13200</v>
      </c>
      <c r="AS884" s="69">
        <v>11947.45</v>
      </c>
      <c r="AT884" s="69">
        <f>96.2+306.35</f>
        <v>402.55</v>
      </c>
      <c r="AU884" s="69"/>
      <c r="AV884" s="69">
        <v>850</v>
      </c>
      <c r="AW884" s="69"/>
      <c r="AX884" s="69"/>
      <c r="AY884" s="69"/>
      <c r="AZ884" s="69"/>
      <c r="BA884" s="69"/>
      <c r="BB884" s="69"/>
      <c r="BC884" s="69"/>
      <c r="BD884" s="69"/>
      <c r="BE884" s="69"/>
      <c r="BF884" s="69"/>
      <c r="BG884" s="69"/>
      <c r="BH884" s="69"/>
      <c r="BI884" s="69"/>
      <c r="BJ884" s="69"/>
      <c r="BK884" s="69"/>
      <c r="BL884" s="69"/>
      <c r="BM884" s="69"/>
      <c r="BN884" s="69"/>
      <c r="BO884" s="69"/>
      <c r="BP884" s="69"/>
      <c r="BQ884" s="69"/>
      <c r="BR884" s="69"/>
      <c r="BS884" s="69"/>
      <c r="BT884" s="69"/>
      <c r="BU884" s="69"/>
      <c r="BV884" s="69"/>
      <c r="BW884" s="69"/>
      <c r="BX884" s="69"/>
      <c r="BY884" s="69"/>
      <c r="BZ884" s="69"/>
      <c r="CA884" s="69"/>
      <c r="CB884" s="69"/>
      <c r="CC884" s="69"/>
      <c r="CD884" s="69"/>
      <c r="CE884" s="94">
        <f t="shared" si="63"/>
        <v>13200</v>
      </c>
      <c r="CF884" s="151">
        <f t="shared" si="71"/>
        <v>0</v>
      </c>
      <c r="CG884" s="75">
        <f t="shared" si="72"/>
        <v>4732</v>
      </c>
      <c r="CH884" s="69" t="str">
        <f t="shared" si="72"/>
        <v>صيدلة اكلينيكى</v>
      </c>
    </row>
    <row r="885" spans="1:86" x14ac:dyDescent="0.25">
      <c r="A885" s="148"/>
      <c r="B885" s="82">
        <v>8510</v>
      </c>
      <c r="C885" s="149">
        <v>4733</v>
      </c>
      <c r="D885" s="69" t="s">
        <v>132</v>
      </c>
      <c r="E885" s="69" t="s">
        <v>3365</v>
      </c>
      <c r="F885" s="63"/>
      <c r="G885" s="69">
        <v>43030.76</v>
      </c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  <c r="AE885" s="69"/>
      <c r="AF885" s="69"/>
      <c r="AG885" s="69"/>
      <c r="AH885" s="69"/>
      <c r="AI885" s="69"/>
      <c r="AJ885" s="69"/>
      <c r="AK885" s="69"/>
      <c r="AL885" s="69"/>
      <c r="AM885" s="69"/>
      <c r="AN885" s="69"/>
      <c r="AO885" s="69"/>
      <c r="AP885" s="69"/>
      <c r="AQ885" s="69"/>
      <c r="AR885" s="94">
        <f t="shared" si="73"/>
        <v>43030.76</v>
      </c>
      <c r="AS885" s="69">
        <v>31320.17</v>
      </c>
      <c r="AT885" s="69">
        <f>239.8+803.03</f>
        <v>1042.83</v>
      </c>
      <c r="AU885" s="69">
        <v>10367.76</v>
      </c>
      <c r="AV885" s="69">
        <v>300</v>
      </c>
      <c r="AW885" s="69"/>
      <c r="AX885" s="69"/>
      <c r="AY885" s="69"/>
      <c r="AZ885" s="69"/>
      <c r="BA885" s="69"/>
      <c r="BB885" s="69"/>
      <c r="BC885" s="69"/>
      <c r="BD885" s="69"/>
      <c r="BE885" s="69"/>
      <c r="BF885" s="69"/>
      <c r="BG885" s="69"/>
      <c r="BH885" s="69"/>
      <c r="BI885" s="69"/>
      <c r="BJ885" s="69"/>
      <c r="BK885" s="69"/>
      <c r="BL885" s="69"/>
      <c r="BM885" s="69"/>
      <c r="BN885" s="69"/>
      <c r="BO885" s="69"/>
      <c r="BP885" s="69"/>
      <c r="BQ885" s="69"/>
      <c r="BR885" s="69"/>
      <c r="BS885" s="69"/>
      <c r="BT885" s="69"/>
      <c r="BU885" s="69"/>
      <c r="BV885" s="69"/>
      <c r="BW885" s="69"/>
      <c r="BX885" s="69"/>
      <c r="BY885" s="69"/>
      <c r="BZ885" s="69"/>
      <c r="CA885" s="69"/>
      <c r="CB885" s="69"/>
      <c r="CC885" s="69"/>
      <c r="CD885" s="69"/>
      <c r="CE885" s="94">
        <f t="shared" si="63"/>
        <v>43030.76</v>
      </c>
      <c r="CF885" s="151">
        <f t="shared" si="71"/>
        <v>0</v>
      </c>
      <c r="CG885" s="75">
        <f t="shared" si="72"/>
        <v>4733</v>
      </c>
      <c r="CH885" s="69" t="str">
        <f t="shared" si="72"/>
        <v>صيدلة اكلينيكى</v>
      </c>
    </row>
    <row r="886" spans="1:86" x14ac:dyDescent="0.25">
      <c r="A886" s="148"/>
      <c r="B886" s="82">
        <v>8512</v>
      </c>
      <c r="C886" s="149">
        <v>4734</v>
      </c>
      <c r="D886" s="69" t="s">
        <v>132</v>
      </c>
      <c r="E886" s="69" t="s">
        <v>3366</v>
      </c>
      <c r="F886" s="63"/>
      <c r="G886" s="69">
        <v>2100</v>
      </c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  <c r="AE886" s="69"/>
      <c r="AF886" s="69"/>
      <c r="AG886" s="69"/>
      <c r="AH886" s="69"/>
      <c r="AI886" s="69"/>
      <c r="AJ886" s="69"/>
      <c r="AK886" s="69"/>
      <c r="AL886" s="69"/>
      <c r="AM886" s="69"/>
      <c r="AN886" s="69"/>
      <c r="AO886" s="69"/>
      <c r="AP886" s="69"/>
      <c r="AQ886" s="69"/>
      <c r="AR886" s="94">
        <f t="shared" si="73"/>
        <v>2100</v>
      </c>
      <c r="AS886" s="69">
        <v>1874.62</v>
      </c>
      <c r="AT886" s="69">
        <v>225.38</v>
      </c>
      <c r="AU886" s="69"/>
      <c r="AV886" s="69"/>
      <c r="AW886" s="69"/>
      <c r="AX886" s="69"/>
      <c r="AY886" s="69"/>
      <c r="AZ886" s="69"/>
      <c r="BA886" s="69"/>
      <c r="BB886" s="69"/>
      <c r="BC886" s="69"/>
      <c r="BD886" s="69"/>
      <c r="BE886" s="69"/>
      <c r="BF886" s="69"/>
      <c r="BG886" s="69"/>
      <c r="BH886" s="69"/>
      <c r="BI886" s="69"/>
      <c r="BJ886" s="69"/>
      <c r="BK886" s="69"/>
      <c r="BL886" s="69"/>
      <c r="BM886" s="69"/>
      <c r="BN886" s="69"/>
      <c r="BO886" s="69"/>
      <c r="BP886" s="69"/>
      <c r="BQ886" s="69"/>
      <c r="BR886" s="69"/>
      <c r="BS886" s="69"/>
      <c r="BT886" s="69"/>
      <c r="BU886" s="69"/>
      <c r="BV886" s="69"/>
      <c r="BW886" s="69"/>
      <c r="BX886" s="69"/>
      <c r="BY886" s="69"/>
      <c r="BZ886" s="69"/>
      <c r="CA886" s="69"/>
      <c r="CB886" s="69"/>
      <c r="CC886" s="69"/>
      <c r="CD886" s="69"/>
      <c r="CE886" s="94">
        <f t="shared" si="63"/>
        <v>2100</v>
      </c>
      <c r="CF886" s="151">
        <f t="shared" si="71"/>
        <v>0</v>
      </c>
      <c r="CG886" s="75">
        <f t="shared" si="72"/>
        <v>4734</v>
      </c>
      <c r="CH886" s="69" t="str">
        <f t="shared" si="72"/>
        <v>صيدلة اكلينيكى</v>
      </c>
    </row>
    <row r="887" spans="1:86" x14ac:dyDescent="0.25">
      <c r="A887" s="148"/>
      <c r="B887" s="82">
        <v>8541</v>
      </c>
      <c r="C887" s="149">
        <v>4735</v>
      </c>
      <c r="D887" s="69" t="s">
        <v>132</v>
      </c>
      <c r="E887" s="69" t="s">
        <v>3367</v>
      </c>
      <c r="F887" s="63"/>
      <c r="G887" s="69">
        <v>13207.94</v>
      </c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  <c r="AE887" s="69"/>
      <c r="AF887" s="69"/>
      <c r="AG887" s="69"/>
      <c r="AH887" s="69"/>
      <c r="AI887" s="69"/>
      <c r="AJ887" s="69"/>
      <c r="AK887" s="69"/>
      <c r="AL887" s="69"/>
      <c r="AM887" s="69"/>
      <c r="AN887" s="69"/>
      <c r="AO887" s="69"/>
      <c r="AP887" s="69"/>
      <c r="AQ887" s="69"/>
      <c r="AR887" s="94">
        <f t="shared" si="73"/>
        <v>13207.94</v>
      </c>
      <c r="AS887" s="69">
        <v>9260.8700000000008</v>
      </c>
      <c r="AT887" s="69">
        <v>1231.9000000000001</v>
      </c>
      <c r="AU887" s="69">
        <v>2715.17</v>
      </c>
      <c r="AV887" s="69"/>
      <c r="AW887" s="69"/>
      <c r="AX887" s="69"/>
      <c r="AY887" s="69"/>
      <c r="AZ887" s="69"/>
      <c r="BA887" s="69"/>
      <c r="BB887" s="69"/>
      <c r="BC887" s="69"/>
      <c r="BD887" s="69"/>
      <c r="BE887" s="69"/>
      <c r="BF887" s="69"/>
      <c r="BG887" s="69"/>
      <c r="BH887" s="69"/>
      <c r="BI887" s="69"/>
      <c r="BJ887" s="69"/>
      <c r="BK887" s="69"/>
      <c r="BL887" s="69"/>
      <c r="BM887" s="69"/>
      <c r="BN887" s="69"/>
      <c r="BO887" s="69"/>
      <c r="BP887" s="69"/>
      <c r="BQ887" s="69"/>
      <c r="BR887" s="69"/>
      <c r="BS887" s="69"/>
      <c r="BT887" s="69"/>
      <c r="BU887" s="69"/>
      <c r="BV887" s="69"/>
      <c r="BW887" s="69"/>
      <c r="BX887" s="69"/>
      <c r="BY887" s="69"/>
      <c r="BZ887" s="69"/>
      <c r="CA887" s="69"/>
      <c r="CB887" s="69"/>
      <c r="CC887" s="69"/>
      <c r="CD887" s="69"/>
      <c r="CE887" s="94">
        <f t="shared" si="63"/>
        <v>13207.94</v>
      </c>
      <c r="CF887" s="151">
        <f t="shared" si="71"/>
        <v>0</v>
      </c>
      <c r="CG887" s="75">
        <f t="shared" si="72"/>
        <v>4735</v>
      </c>
      <c r="CH887" s="69" t="str">
        <f t="shared" si="72"/>
        <v>صيدلة اكلينيكى</v>
      </c>
    </row>
    <row r="888" spans="1:86" x14ac:dyDescent="0.25">
      <c r="A888" s="148"/>
      <c r="B888" s="82">
        <v>8511</v>
      </c>
      <c r="C888" s="149">
        <v>4736</v>
      </c>
      <c r="D888" s="69" t="s">
        <v>132</v>
      </c>
      <c r="E888" s="69" t="s">
        <v>3368</v>
      </c>
      <c r="F888" s="63"/>
      <c r="G888" s="69">
        <v>4000</v>
      </c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  <c r="AE888" s="69"/>
      <c r="AF888" s="69"/>
      <c r="AG888" s="69"/>
      <c r="AH888" s="69"/>
      <c r="AI888" s="69"/>
      <c r="AJ888" s="69"/>
      <c r="AK888" s="69"/>
      <c r="AL888" s="69"/>
      <c r="AM888" s="69"/>
      <c r="AN888" s="69"/>
      <c r="AO888" s="69"/>
      <c r="AP888" s="69"/>
      <c r="AQ888" s="69"/>
      <c r="AR888" s="94">
        <f t="shared" si="73"/>
        <v>4000</v>
      </c>
      <c r="AS888" s="69">
        <v>3570.37</v>
      </c>
      <c r="AT888" s="69">
        <v>429.63</v>
      </c>
      <c r="AU888" s="69"/>
      <c r="AV888" s="69"/>
      <c r="AW888" s="69"/>
      <c r="AX888" s="69"/>
      <c r="AY888" s="69"/>
      <c r="AZ888" s="69"/>
      <c r="BA888" s="69"/>
      <c r="BB888" s="69"/>
      <c r="BC888" s="69"/>
      <c r="BD888" s="69"/>
      <c r="BE888" s="69"/>
      <c r="BF888" s="69"/>
      <c r="BG888" s="69"/>
      <c r="BH888" s="69"/>
      <c r="BI888" s="69"/>
      <c r="BJ888" s="69"/>
      <c r="BK888" s="69"/>
      <c r="BL888" s="69"/>
      <c r="BM888" s="69"/>
      <c r="BN888" s="69"/>
      <c r="BO888" s="69"/>
      <c r="BP888" s="69"/>
      <c r="BQ888" s="69"/>
      <c r="BR888" s="69"/>
      <c r="BS888" s="69"/>
      <c r="BT888" s="69"/>
      <c r="BU888" s="69"/>
      <c r="BV888" s="69"/>
      <c r="BW888" s="69"/>
      <c r="BX888" s="69"/>
      <c r="BY888" s="69"/>
      <c r="BZ888" s="69"/>
      <c r="CA888" s="69"/>
      <c r="CB888" s="69"/>
      <c r="CC888" s="69"/>
      <c r="CD888" s="69"/>
      <c r="CE888" s="94">
        <f t="shared" si="63"/>
        <v>4000</v>
      </c>
      <c r="CF888" s="151">
        <f t="shared" si="71"/>
        <v>0</v>
      </c>
      <c r="CG888" s="75">
        <f t="shared" si="72"/>
        <v>4736</v>
      </c>
      <c r="CH888" s="69" t="str">
        <f t="shared" si="72"/>
        <v>صيدلة اكلينيكى</v>
      </c>
    </row>
    <row r="889" spans="1:86" x14ac:dyDescent="0.25">
      <c r="A889" s="148"/>
      <c r="B889" s="82">
        <v>8513</v>
      </c>
      <c r="C889" s="149">
        <v>4737</v>
      </c>
      <c r="D889" s="69" t="s">
        <v>132</v>
      </c>
      <c r="E889" s="69" t="s">
        <v>2702</v>
      </c>
      <c r="F889" s="63"/>
      <c r="G889" s="69">
        <v>4221</v>
      </c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  <c r="AE889" s="69"/>
      <c r="AF889" s="69"/>
      <c r="AG889" s="69"/>
      <c r="AH889" s="69"/>
      <c r="AI889" s="69"/>
      <c r="AJ889" s="69"/>
      <c r="AK889" s="69"/>
      <c r="AL889" s="69"/>
      <c r="AM889" s="69"/>
      <c r="AN889" s="69"/>
      <c r="AO889" s="69"/>
      <c r="AP889" s="69"/>
      <c r="AQ889" s="69"/>
      <c r="AR889" s="94">
        <f t="shared" si="73"/>
        <v>4221</v>
      </c>
      <c r="AS889" s="69">
        <v>3100.79</v>
      </c>
      <c r="AT889" s="69">
        <f>23.7+79.51</f>
        <v>103.21000000000001</v>
      </c>
      <c r="AU889" s="69">
        <f>1120.21-23.7-79.51</f>
        <v>1017</v>
      </c>
      <c r="AV889" s="69"/>
      <c r="AW889" s="69"/>
      <c r="AX889" s="69"/>
      <c r="AY889" s="69"/>
      <c r="AZ889" s="69"/>
      <c r="BA889" s="69"/>
      <c r="BB889" s="69"/>
      <c r="BC889" s="69"/>
      <c r="BD889" s="69"/>
      <c r="BE889" s="69"/>
      <c r="BF889" s="69"/>
      <c r="BG889" s="69"/>
      <c r="BH889" s="69"/>
      <c r="BI889" s="69"/>
      <c r="BJ889" s="69"/>
      <c r="BK889" s="69"/>
      <c r="BL889" s="69"/>
      <c r="BM889" s="69"/>
      <c r="BN889" s="69"/>
      <c r="BO889" s="69"/>
      <c r="BP889" s="69"/>
      <c r="BQ889" s="69"/>
      <c r="BR889" s="69"/>
      <c r="BS889" s="69"/>
      <c r="BT889" s="69"/>
      <c r="BU889" s="69"/>
      <c r="BV889" s="69"/>
      <c r="BW889" s="69"/>
      <c r="BX889" s="69"/>
      <c r="BY889" s="69"/>
      <c r="BZ889" s="69"/>
      <c r="CA889" s="69"/>
      <c r="CB889" s="69"/>
      <c r="CC889" s="69"/>
      <c r="CD889" s="69"/>
      <c r="CE889" s="94">
        <f t="shared" si="63"/>
        <v>4221</v>
      </c>
      <c r="CF889" s="151">
        <f t="shared" si="71"/>
        <v>0</v>
      </c>
      <c r="CG889" s="75">
        <f t="shared" si="72"/>
        <v>4737</v>
      </c>
      <c r="CH889" s="69" t="str">
        <f t="shared" si="72"/>
        <v>صيدلة اكلينيكى</v>
      </c>
    </row>
    <row r="890" spans="1:86" x14ac:dyDescent="0.25">
      <c r="A890" s="148"/>
      <c r="B890" s="82">
        <v>8515</v>
      </c>
      <c r="C890" s="149">
        <v>4738</v>
      </c>
      <c r="D890" s="69" t="s">
        <v>132</v>
      </c>
      <c r="E890" s="69" t="str">
        <f>+E887</f>
        <v>ج عن ختم استمارات مدينه جامعيه</v>
      </c>
      <c r="F890" s="63"/>
      <c r="G890" s="69">
        <v>2638.12</v>
      </c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  <c r="AD890" s="69"/>
      <c r="AE890" s="69"/>
      <c r="AF890" s="69"/>
      <c r="AG890" s="69"/>
      <c r="AH890" s="69"/>
      <c r="AI890" s="69"/>
      <c r="AJ890" s="69"/>
      <c r="AK890" s="69"/>
      <c r="AL890" s="69"/>
      <c r="AM890" s="69"/>
      <c r="AN890" s="69"/>
      <c r="AO890" s="69"/>
      <c r="AP890" s="69"/>
      <c r="AQ890" s="69"/>
      <c r="AR890" s="94">
        <f t="shared" si="73"/>
        <v>2638.12</v>
      </c>
      <c r="AS890" s="69">
        <v>1762.85</v>
      </c>
      <c r="AT890" s="69">
        <v>239.65</v>
      </c>
      <c r="AU890" s="69">
        <v>635.62</v>
      </c>
      <c r="AV890" s="69"/>
      <c r="AW890" s="69"/>
      <c r="AX890" s="69"/>
      <c r="AY890" s="69"/>
      <c r="AZ890" s="69"/>
      <c r="BA890" s="69"/>
      <c r="BB890" s="69"/>
      <c r="BC890" s="69"/>
      <c r="BD890" s="69"/>
      <c r="BE890" s="69"/>
      <c r="BF890" s="69"/>
      <c r="BG890" s="69"/>
      <c r="BH890" s="69"/>
      <c r="BI890" s="69"/>
      <c r="BJ890" s="69"/>
      <c r="BK890" s="69"/>
      <c r="BL890" s="69"/>
      <c r="BM890" s="69"/>
      <c r="BN890" s="69"/>
      <c r="BO890" s="69"/>
      <c r="BP890" s="69"/>
      <c r="BQ890" s="69"/>
      <c r="BR890" s="69"/>
      <c r="BS890" s="69"/>
      <c r="BT890" s="69"/>
      <c r="BU890" s="69"/>
      <c r="BV890" s="69"/>
      <c r="BW890" s="69"/>
      <c r="BX890" s="69"/>
      <c r="BY890" s="69"/>
      <c r="BZ890" s="69"/>
      <c r="CA890" s="69"/>
      <c r="CB890" s="69"/>
      <c r="CC890" s="69"/>
      <c r="CD890" s="69"/>
      <c r="CE890" s="94">
        <f t="shared" si="63"/>
        <v>2638.12</v>
      </c>
      <c r="CF890" s="151">
        <f t="shared" si="71"/>
        <v>0</v>
      </c>
      <c r="CG890" s="75">
        <f t="shared" si="72"/>
        <v>4738</v>
      </c>
      <c r="CH890" s="69" t="str">
        <f t="shared" si="72"/>
        <v>صيدلة اكلينيكى</v>
      </c>
    </row>
    <row r="891" spans="1:86" x14ac:dyDescent="0.25">
      <c r="A891" s="148"/>
      <c r="B891" s="82">
        <v>8514</v>
      </c>
      <c r="C891" s="149">
        <v>4739</v>
      </c>
      <c r="D891" s="69" t="s">
        <v>132</v>
      </c>
      <c r="E891" s="69" t="s">
        <v>3369</v>
      </c>
      <c r="F891" s="63"/>
      <c r="G891" s="69">
        <v>3517.5</v>
      </c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  <c r="AD891" s="69"/>
      <c r="AE891" s="69"/>
      <c r="AF891" s="69"/>
      <c r="AG891" s="69"/>
      <c r="AH891" s="69"/>
      <c r="AI891" s="69"/>
      <c r="AJ891" s="69"/>
      <c r="AK891" s="69"/>
      <c r="AL891" s="69"/>
      <c r="AM891" s="69"/>
      <c r="AN891" s="69"/>
      <c r="AO891" s="69"/>
      <c r="AP891" s="69"/>
      <c r="AQ891" s="69"/>
      <c r="AR891" s="94">
        <f t="shared" si="73"/>
        <v>3517.5</v>
      </c>
      <c r="AS891" s="69">
        <v>2347.87</v>
      </c>
      <c r="AT891" s="69">
        <f>300+22.13</f>
        <v>322.13</v>
      </c>
      <c r="AU891" s="69">
        <v>847.5</v>
      </c>
      <c r="AV891" s="69"/>
      <c r="AW891" s="69"/>
      <c r="AX891" s="69"/>
      <c r="AY891" s="69"/>
      <c r="AZ891" s="69"/>
      <c r="BA891" s="69"/>
      <c r="BB891" s="69"/>
      <c r="BC891" s="69"/>
      <c r="BD891" s="69"/>
      <c r="BE891" s="69"/>
      <c r="BF891" s="69"/>
      <c r="BG891" s="69"/>
      <c r="BH891" s="69"/>
      <c r="BI891" s="69"/>
      <c r="BJ891" s="69"/>
      <c r="BK891" s="69"/>
      <c r="BL891" s="69"/>
      <c r="BM891" s="69"/>
      <c r="BN891" s="69"/>
      <c r="BO891" s="69"/>
      <c r="BP891" s="69"/>
      <c r="BQ891" s="69"/>
      <c r="BR891" s="69"/>
      <c r="BS891" s="69"/>
      <c r="BT891" s="69"/>
      <c r="BU891" s="69"/>
      <c r="BV891" s="69"/>
      <c r="BW891" s="69"/>
      <c r="BX891" s="69"/>
      <c r="BY891" s="69"/>
      <c r="BZ891" s="69"/>
      <c r="CA891" s="69"/>
      <c r="CB891" s="69"/>
      <c r="CC891" s="69"/>
      <c r="CD891" s="69"/>
      <c r="CE891" s="94">
        <f t="shared" si="63"/>
        <v>3517.5</v>
      </c>
      <c r="CF891" s="151">
        <f t="shared" si="71"/>
        <v>0</v>
      </c>
      <c r="CG891" s="75">
        <f t="shared" si="72"/>
        <v>4739</v>
      </c>
      <c r="CH891" s="69" t="str">
        <f t="shared" si="72"/>
        <v>صيدلة اكلينيكى</v>
      </c>
    </row>
    <row r="892" spans="1:86" x14ac:dyDescent="0.25">
      <c r="A892" s="148"/>
      <c r="B892" s="82">
        <v>8453</v>
      </c>
      <c r="C892" s="149">
        <v>4740</v>
      </c>
      <c r="D892" s="69" t="s">
        <v>132</v>
      </c>
      <c r="E892" s="69" t="str">
        <f>+E889</f>
        <v>مكافاه تكنولوجيا معلومات نوفمبر</v>
      </c>
      <c r="F892" s="63"/>
      <c r="G892" s="69">
        <v>586.25</v>
      </c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  <c r="AD892" s="69"/>
      <c r="AE892" s="69"/>
      <c r="AF892" s="69"/>
      <c r="AG892" s="69"/>
      <c r="AH892" s="69"/>
      <c r="AI892" s="69"/>
      <c r="AJ892" s="69"/>
      <c r="AK892" s="69"/>
      <c r="AL892" s="69"/>
      <c r="AM892" s="69"/>
      <c r="AN892" s="69"/>
      <c r="AO892" s="69"/>
      <c r="AP892" s="69"/>
      <c r="AQ892" s="69"/>
      <c r="AR892" s="94">
        <f t="shared" si="73"/>
        <v>586.25</v>
      </c>
      <c r="AS892" s="69">
        <v>392.4</v>
      </c>
      <c r="AT892" s="69">
        <f>2.6+50</f>
        <v>52.6</v>
      </c>
      <c r="AU892" s="69">
        <v>141.25</v>
      </c>
      <c r="AV892" s="69"/>
      <c r="AW892" s="69"/>
      <c r="AX892" s="69"/>
      <c r="AY892" s="69"/>
      <c r="AZ892" s="69"/>
      <c r="BA892" s="69"/>
      <c r="BB892" s="69"/>
      <c r="BC892" s="69"/>
      <c r="BD892" s="69"/>
      <c r="BE892" s="69"/>
      <c r="BF892" s="69"/>
      <c r="BG892" s="69"/>
      <c r="BH892" s="69"/>
      <c r="BI892" s="69"/>
      <c r="BJ892" s="69"/>
      <c r="BK892" s="69"/>
      <c r="BL892" s="69"/>
      <c r="BM892" s="69"/>
      <c r="BN892" s="69"/>
      <c r="BO892" s="69"/>
      <c r="BP892" s="69"/>
      <c r="BQ892" s="69"/>
      <c r="BR892" s="69"/>
      <c r="BS892" s="69"/>
      <c r="BT892" s="69"/>
      <c r="BU892" s="69"/>
      <c r="BV892" s="69"/>
      <c r="BW892" s="69"/>
      <c r="BX892" s="69"/>
      <c r="BY892" s="69"/>
      <c r="BZ892" s="69"/>
      <c r="CA892" s="69"/>
      <c r="CB892" s="69"/>
      <c r="CC892" s="69"/>
      <c r="CD892" s="69"/>
      <c r="CE892" s="94">
        <f t="shared" si="63"/>
        <v>586.25</v>
      </c>
      <c r="CF892" s="151">
        <f t="shared" si="71"/>
        <v>0</v>
      </c>
      <c r="CG892" s="75">
        <f t="shared" si="72"/>
        <v>4740</v>
      </c>
      <c r="CH892" s="69" t="str">
        <f t="shared" si="72"/>
        <v>صيدلة اكلينيكى</v>
      </c>
    </row>
    <row r="893" spans="1:86" x14ac:dyDescent="0.25">
      <c r="A893" s="148"/>
      <c r="B893" s="82">
        <v>8445</v>
      </c>
      <c r="C893" s="149">
        <v>4741</v>
      </c>
      <c r="D893" s="69" t="s">
        <v>132</v>
      </c>
      <c r="E893" s="69" t="s">
        <v>3370</v>
      </c>
      <c r="F893" s="63"/>
      <c r="G893" s="69">
        <v>3061.88</v>
      </c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  <c r="AD893" s="69"/>
      <c r="AE893" s="69"/>
      <c r="AF893" s="69"/>
      <c r="AG893" s="69"/>
      <c r="AH893" s="69"/>
      <c r="AI893" s="69"/>
      <c r="AJ893" s="69"/>
      <c r="AK893" s="69"/>
      <c r="AL893" s="69"/>
      <c r="AM893" s="69"/>
      <c r="AN893" s="69"/>
      <c r="AO893" s="69"/>
      <c r="AP893" s="69"/>
      <c r="AQ893" s="69"/>
      <c r="AR893" s="94">
        <f t="shared" si="73"/>
        <v>3061.88</v>
      </c>
      <c r="AS893" s="69">
        <v>2643.08</v>
      </c>
      <c r="AT893" s="69">
        <v>317.45</v>
      </c>
      <c r="AU893" s="69">
        <v>101.35</v>
      </c>
      <c r="AV893" s="69"/>
      <c r="AW893" s="69"/>
      <c r="AX893" s="69"/>
      <c r="AY893" s="69"/>
      <c r="AZ893" s="69"/>
      <c r="BA893" s="69"/>
      <c r="BB893" s="69"/>
      <c r="BC893" s="69"/>
      <c r="BD893" s="69"/>
      <c r="BE893" s="69"/>
      <c r="BF893" s="69"/>
      <c r="BG893" s="69"/>
      <c r="BH893" s="69"/>
      <c r="BI893" s="69"/>
      <c r="BJ893" s="69"/>
      <c r="BK893" s="69"/>
      <c r="BL893" s="69"/>
      <c r="BM893" s="69"/>
      <c r="BN893" s="69"/>
      <c r="BO893" s="69"/>
      <c r="BP893" s="69"/>
      <c r="BQ893" s="69"/>
      <c r="BR893" s="69"/>
      <c r="BS893" s="69"/>
      <c r="BT893" s="69"/>
      <c r="BU893" s="69"/>
      <c r="BV893" s="69"/>
      <c r="BW893" s="69"/>
      <c r="BX893" s="69"/>
      <c r="BY893" s="69"/>
      <c r="BZ893" s="69"/>
      <c r="CA893" s="69"/>
      <c r="CB893" s="69"/>
      <c r="CC893" s="69"/>
      <c r="CD893" s="69"/>
      <c r="CE893" s="94">
        <f t="shared" si="63"/>
        <v>3061.8799999999997</v>
      </c>
      <c r="CF893" s="151">
        <f t="shared" si="71"/>
        <v>0</v>
      </c>
      <c r="CG893" s="75">
        <f t="shared" si="72"/>
        <v>4741</v>
      </c>
      <c r="CH893" s="69" t="str">
        <f t="shared" si="72"/>
        <v>صيدلة اكلينيكى</v>
      </c>
    </row>
    <row r="894" spans="1:86" x14ac:dyDescent="0.25">
      <c r="A894" s="148"/>
      <c r="B894" s="82">
        <v>8444</v>
      </c>
      <c r="C894" s="149">
        <v>4742</v>
      </c>
      <c r="D894" s="69" t="s">
        <v>132</v>
      </c>
      <c r="E894" s="69" t="s">
        <v>3371</v>
      </c>
      <c r="F894" s="63"/>
      <c r="G894" s="69">
        <v>19200</v>
      </c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  <c r="AD894" s="69"/>
      <c r="AE894" s="69"/>
      <c r="AF894" s="69"/>
      <c r="AG894" s="69"/>
      <c r="AH894" s="69"/>
      <c r="AI894" s="69"/>
      <c r="AJ894" s="69"/>
      <c r="AK894" s="69"/>
      <c r="AL894" s="69"/>
      <c r="AM894" s="69"/>
      <c r="AN894" s="69"/>
      <c r="AO894" s="69"/>
      <c r="AP894" s="69"/>
      <c r="AQ894" s="69"/>
      <c r="AR894" s="94">
        <f t="shared" si="73"/>
        <v>19200</v>
      </c>
      <c r="AS894" s="69">
        <v>17129.650000000001</v>
      </c>
      <c r="AT894" s="69">
        <v>2070.35</v>
      </c>
      <c r="AU894" s="69"/>
      <c r="AV894" s="69"/>
      <c r="AW894" s="69"/>
      <c r="AX894" s="69"/>
      <c r="AY894" s="69"/>
      <c r="AZ894" s="69"/>
      <c r="BA894" s="69"/>
      <c r="BB894" s="69"/>
      <c r="BC894" s="69"/>
      <c r="BD894" s="69"/>
      <c r="BE894" s="69"/>
      <c r="BF894" s="69"/>
      <c r="BG894" s="69"/>
      <c r="BH894" s="69"/>
      <c r="BI894" s="69"/>
      <c r="BJ894" s="69"/>
      <c r="BK894" s="69"/>
      <c r="BL894" s="69"/>
      <c r="BM894" s="69"/>
      <c r="BN894" s="69"/>
      <c r="BO894" s="69"/>
      <c r="BP894" s="69"/>
      <c r="BQ894" s="69"/>
      <c r="BR894" s="69"/>
      <c r="BS894" s="69"/>
      <c r="BT894" s="69"/>
      <c r="BU894" s="69"/>
      <c r="BV894" s="69"/>
      <c r="BW894" s="69"/>
      <c r="BX894" s="69"/>
      <c r="BY894" s="69"/>
      <c r="BZ894" s="69"/>
      <c r="CA894" s="69"/>
      <c r="CB894" s="69"/>
      <c r="CC894" s="69"/>
      <c r="CD894" s="69"/>
      <c r="CE894" s="94">
        <f t="shared" ref="CE894:CE901" si="75">SUM(AS894:CD894)</f>
        <v>19200</v>
      </c>
      <c r="CF894" s="151">
        <f t="shared" si="71"/>
        <v>0</v>
      </c>
      <c r="CG894" s="75">
        <f t="shared" si="72"/>
        <v>4742</v>
      </c>
      <c r="CH894" s="69" t="str">
        <f t="shared" si="72"/>
        <v>صيدلة اكلينيكى</v>
      </c>
    </row>
    <row r="895" spans="1:86" x14ac:dyDescent="0.25">
      <c r="A895" s="148"/>
      <c r="B895" s="82">
        <v>8446</v>
      </c>
      <c r="C895" s="149">
        <v>4743</v>
      </c>
      <c r="D895" s="69" t="s">
        <v>132</v>
      </c>
      <c r="E895" s="69" t="s">
        <v>3372</v>
      </c>
      <c r="F895" s="63"/>
      <c r="G895" s="69">
        <v>351.75</v>
      </c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  <c r="AE895" s="69"/>
      <c r="AF895" s="69"/>
      <c r="AG895" s="69"/>
      <c r="AH895" s="69"/>
      <c r="AI895" s="69"/>
      <c r="AJ895" s="69"/>
      <c r="AK895" s="69"/>
      <c r="AL895" s="69"/>
      <c r="AM895" s="69"/>
      <c r="AN895" s="69"/>
      <c r="AO895" s="69"/>
      <c r="AP895" s="69"/>
      <c r="AQ895" s="69"/>
      <c r="AR895" s="94">
        <f t="shared" si="73"/>
        <v>351.75</v>
      </c>
      <c r="AS895" s="69">
        <v>235.55</v>
      </c>
      <c r="AT895" s="69">
        <v>31.45</v>
      </c>
      <c r="AU895" s="69">
        <v>84.75</v>
      </c>
      <c r="AV895" s="69"/>
      <c r="AW895" s="69"/>
      <c r="AX895" s="69"/>
      <c r="AY895" s="69"/>
      <c r="AZ895" s="69"/>
      <c r="BA895" s="69"/>
      <c r="BB895" s="69"/>
      <c r="BC895" s="69"/>
      <c r="BD895" s="69"/>
      <c r="BE895" s="69"/>
      <c r="BF895" s="69"/>
      <c r="BG895" s="69"/>
      <c r="BH895" s="69"/>
      <c r="BI895" s="69"/>
      <c r="BJ895" s="69"/>
      <c r="BK895" s="69"/>
      <c r="BL895" s="69"/>
      <c r="BM895" s="69"/>
      <c r="BN895" s="69"/>
      <c r="BO895" s="69"/>
      <c r="BP895" s="69"/>
      <c r="BQ895" s="69"/>
      <c r="BR895" s="69"/>
      <c r="BS895" s="69"/>
      <c r="BT895" s="69"/>
      <c r="BU895" s="69"/>
      <c r="BV895" s="69"/>
      <c r="BW895" s="69"/>
      <c r="BX895" s="69"/>
      <c r="BY895" s="69"/>
      <c r="BZ895" s="69"/>
      <c r="CA895" s="69"/>
      <c r="CB895" s="69"/>
      <c r="CC895" s="69"/>
      <c r="CD895" s="69"/>
      <c r="CE895" s="94">
        <f t="shared" si="75"/>
        <v>351.75</v>
      </c>
      <c r="CF895" s="151">
        <f t="shared" si="71"/>
        <v>0</v>
      </c>
      <c r="CG895" s="75">
        <f t="shared" si="72"/>
        <v>4743</v>
      </c>
      <c r="CH895" s="69" t="str">
        <f t="shared" si="72"/>
        <v>صيدلة اكلينيكى</v>
      </c>
    </row>
    <row r="896" spans="1:86" x14ac:dyDescent="0.25">
      <c r="A896" s="148"/>
      <c r="B896" s="82">
        <v>8447</v>
      </c>
      <c r="C896" s="149">
        <v>4744</v>
      </c>
      <c r="D896" s="69" t="s">
        <v>132</v>
      </c>
      <c r="E896" s="69" t="s">
        <v>3373</v>
      </c>
      <c r="F896" s="63"/>
      <c r="G896" s="69">
        <v>3278.29</v>
      </c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  <c r="AE896" s="69"/>
      <c r="AF896" s="69"/>
      <c r="AG896" s="69"/>
      <c r="AH896" s="69"/>
      <c r="AI896" s="69"/>
      <c r="AJ896" s="69"/>
      <c r="AK896" s="69"/>
      <c r="AL896" s="69"/>
      <c r="AM896" s="69"/>
      <c r="AN896" s="69"/>
      <c r="AO896" s="69"/>
      <c r="AP896" s="69"/>
      <c r="AQ896" s="69"/>
      <c r="AR896" s="94">
        <f t="shared" si="73"/>
        <v>3278.29</v>
      </c>
      <c r="AS896" s="69">
        <v>2533.35</v>
      </c>
      <c r="AT896" s="69">
        <v>321.95</v>
      </c>
      <c r="AU896" s="69">
        <v>422.99</v>
      </c>
      <c r="AV896" s="69"/>
      <c r="AW896" s="69"/>
      <c r="AX896" s="69"/>
      <c r="AY896" s="69"/>
      <c r="AZ896" s="69"/>
      <c r="BA896" s="69"/>
      <c r="BB896" s="69"/>
      <c r="BC896" s="69"/>
      <c r="BD896" s="69"/>
      <c r="BE896" s="69"/>
      <c r="BF896" s="69"/>
      <c r="BG896" s="69"/>
      <c r="BH896" s="69"/>
      <c r="BI896" s="69"/>
      <c r="BJ896" s="69"/>
      <c r="BK896" s="69"/>
      <c r="BL896" s="69"/>
      <c r="BM896" s="69"/>
      <c r="BN896" s="69"/>
      <c r="BO896" s="69"/>
      <c r="BP896" s="69"/>
      <c r="BQ896" s="69"/>
      <c r="BR896" s="69"/>
      <c r="BS896" s="69"/>
      <c r="BT896" s="69"/>
      <c r="BU896" s="69"/>
      <c r="BV896" s="69"/>
      <c r="BW896" s="69"/>
      <c r="BX896" s="69"/>
      <c r="BY896" s="69"/>
      <c r="BZ896" s="69"/>
      <c r="CA896" s="69"/>
      <c r="CB896" s="69"/>
      <c r="CC896" s="69"/>
      <c r="CD896" s="69"/>
      <c r="CE896" s="94">
        <f t="shared" si="75"/>
        <v>3278.29</v>
      </c>
      <c r="CF896" s="151">
        <f t="shared" si="71"/>
        <v>0</v>
      </c>
      <c r="CG896" s="75">
        <f t="shared" si="72"/>
        <v>4744</v>
      </c>
      <c r="CH896" s="69" t="str">
        <f t="shared" si="72"/>
        <v>صيدلة اكلينيكى</v>
      </c>
    </row>
    <row r="897" spans="1:86" x14ac:dyDescent="0.25">
      <c r="A897" s="148"/>
      <c r="B897" s="82">
        <v>8448</v>
      </c>
      <c r="C897" s="149">
        <v>4745</v>
      </c>
      <c r="D897" s="69" t="s">
        <v>132</v>
      </c>
      <c r="E897" s="69" t="s">
        <v>3374</v>
      </c>
      <c r="F897" s="63"/>
      <c r="G897" s="69">
        <v>1758.75</v>
      </c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  <c r="AE897" s="69"/>
      <c r="AF897" s="69"/>
      <c r="AG897" s="69"/>
      <c r="AH897" s="69"/>
      <c r="AI897" s="69"/>
      <c r="AJ897" s="69"/>
      <c r="AK897" s="69"/>
      <c r="AL897" s="69"/>
      <c r="AM897" s="69"/>
      <c r="AN897" s="69"/>
      <c r="AO897" s="69"/>
      <c r="AP897" s="69"/>
      <c r="AQ897" s="69"/>
      <c r="AR897" s="94">
        <f t="shared" si="73"/>
        <v>1758.75</v>
      </c>
      <c r="AS897" s="69">
        <v>1175.3499999999999</v>
      </c>
      <c r="AT897" s="69">
        <v>159.65</v>
      </c>
      <c r="AU897" s="69">
        <v>423.75</v>
      </c>
      <c r="AV897" s="69"/>
      <c r="AW897" s="69"/>
      <c r="AX897" s="69"/>
      <c r="AY897" s="69"/>
      <c r="AZ897" s="69"/>
      <c r="BA897" s="69"/>
      <c r="BB897" s="69"/>
      <c r="BC897" s="69"/>
      <c r="BD897" s="69"/>
      <c r="BE897" s="69"/>
      <c r="BF897" s="69"/>
      <c r="BG897" s="69"/>
      <c r="BH897" s="69"/>
      <c r="BI897" s="69"/>
      <c r="BJ897" s="69"/>
      <c r="BK897" s="69"/>
      <c r="BL897" s="69"/>
      <c r="BM897" s="69"/>
      <c r="BN897" s="69"/>
      <c r="BO897" s="69"/>
      <c r="BP897" s="69"/>
      <c r="BQ897" s="69"/>
      <c r="BR897" s="69"/>
      <c r="BS897" s="69"/>
      <c r="BT897" s="69"/>
      <c r="BU897" s="69"/>
      <c r="BV897" s="69"/>
      <c r="BW897" s="69"/>
      <c r="BX897" s="69"/>
      <c r="BY897" s="69"/>
      <c r="BZ897" s="69"/>
      <c r="CA897" s="69"/>
      <c r="CB897" s="69"/>
      <c r="CC897" s="69"/>
      <c r="CD897" s="69"/>
      <c r="CE897" s="94">
        <f t="shared" si="75"/>
        <v>1758.75</v>
      </c>
      <c r="CF897" s="151">
        <f t="shared" si="71"/>
        <v>0</v>
      </c>
      <c r="CG897" s="75">
        <f t="shared" si="72"/>
        <v>4745</v>
      </c>
      <c r="CH897" s="69" t="str">
        <f t="shared" si="72"/>
        <v>صيدلة اكلينيكى</v>
      </c>
    </row>
    <row r="898" spans="1:86" x14ac:dyDescent="0.25">
      <c r="A898" s="148"/>
      <c r="B898" s="82">
        <v>8449</v>
      </c>
      <c r="C898" s="149">
        <v>4746</v>
      </c>
      <c r="D898" s="69" t="s">
        <v>132</v>
      </c>
      <c r="E898" s="69" t="s">
        <v>3374</v>
      </c>
      <c r="F898" s="63"/>
      <c r="G898" s="69">
        <v>1524.25</v>
      </c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  <c r="AE898" s="69"/>
      <c r="AF898" s="69"/>
      <c r="AG898" s="69"/>
      <c r="AH898" s="69"/>
      <c r="AI898" s="69"/>
      <c r="AJ898" s="69"/>
      <c r="AK898" s="69"/>
      <c r="AL898" s="69"/>
      <c r="AM898" s="69"/>
      <c r="AN898" s="69"/>
      <c r="AO898" s="69"/>
      <c r="AP898" s="69"/>
      <c r="AQ898" s="69"/>
      <c r="AR898" s="94">
        <f t="shared" si="73"/>
        <v>1524.25</v>
      </c>
      <c r="AS898" s="69">
        <v>1018.7</v>
      </c>
      <c r="AT898" s="69">
        <v>138.30000000000001</v>
      </c>
      <c r="AU898" s="69">
        <v>367.25</v>
      </c>
      <c r="AV898" s="69"/>
      <c r="AW898" s="69"/>
      <c r="AX898" s="69"/>
      <c r="AY898" s="69"/>
      <c r="AZ898" s="69"/>
      <c r="BA898" s="69"/>
      <c r="BB898" s="69"/>
      <c r="BC898" s="69"/>
      <c r="BD898" s="69"/>
      <c r="BE898" s="69"/>
      <c r="BF898" s="69"/>
      <c r="BG898" s="69"/>
      <c r="BH898" s="69"/>
      <c r="BI898" s="69"/>
      <c r="BJ898" s="69"/>
      <c r="BK898" s="69"/>
      <c r="BL898" s="69"/>
      <c r="BM898" s="69"/>
      <c r="BN898" s="69"/>
      <c r="BO898" s="69"/>
      <c r="BP898" s="69"/>
      <c r="BQ898" s="69"/>
      <c r="BR898" s="69"/>
      <c r="BS898" s="69"/>
      <c r="BT898" s="69"/>
      <c r="BU898" s="69"/>
      <c r="BV898" s="69"/>
      <c r="BW898" s="69"/>
      <c r="BX898" s="69"/>
      <c r="BY898" s="69"/>
      <c r="BZ898" s="69"/>
      <c r="CA898" s="69"/>
      <c r="CB898" s="69"/>
      <c r="CC898" s="69"/>
      <c r="CD898" s="69"/>
      <c r="CE898" s="94">
        <f t="shared" si="75"/>
        <v>1524.25</v>
      </c>
      <c r="CF898" s="151">
        <f t="shared" si="71"/>
        <v>0</v>
      </c>
      <c r="CG898" s="75">
        <f t="shared" si="72"/>
        <v>4746</v>
      </c>
      <c r="CH898" s="69" t="str">
        <f t="shared" si="72"/>
        <v>صيدلة اكلينيكى</v>
      </c>
    </row>
    <row r="899" spans="1:86" x14ac:dyDescent="0.25">
      <c r="A899" s="148"/>
      <c r="B899" s="82">
        <v>8451</v>
      </c>
      <c r="C899" s="149">
        <v>4747</v>
      </c>
      <c r="D899" s="69" t="s">
        <v>132</v>
      </c>
      <c r="E899" s="69" t="s">
        <v>3375</v>
      </c>
      <c r="F899" s="63"/>
      <c r="G899" s="69">
        <v>879.38</v>
      </c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  <c r="AD899" s="69"/>
      <c r="AE899" s="69"/>
      <c r="AF899" s="69"/>
      <c r="AG899" s="69"/>
      <c r="AH899" s="69"/>
      <c r="AI899" s="69"/>
      <c r="AJ899" s="69"/>
      <c r="AK899" s="69"/>
      <c r="AL899" s="69"/>
      <c r="AM899" s="69"/>
      <c r="AN899" s="69"/>
      <c r="AO899" s="69"/>
      <c r="AP899" s="69"/>
      <c r="AQ899" s="69"/>
      <c r="AR899" s="94">
        <f t="shared" si="73"/>
        <v>879.38</v>
      </c>
      <c r="AS899" s="69">
        <v>588.15</v>
      </c>
      <c r="AT899" s="69">
        <v>79.349999999999994</v>
      </c>
      <c r="AU899" s="69">
        <v>211.88</v>
      </c>
      <c r="AV899" s="69"/>
      <c r="AW899" s="69"/>
      <c r="AX899" s="69"/>
      <c r="AY899" s="69"/>
      <c r="AZ899" s="69"/>
      <c r="BA899" s="69"/>
      <c r="BB899" s="69"/>
      <c r="BC899" s="69"/>
      <c r="BD899" s="69"/>
      <c r="BE899" s="69"/>
      <c r="BF899" s="69"/>
      <c r="BG899" s="69"/>
      <c r="BH899" s="69"/>
      <c r="BI899" s="69"/>
      <c r="BJ899" s="69"/>
      <c r="BK899" s="69"/>
      <c r="BL899" s="69"/>
      <c r="BM899" s="69"/>
      <c r="BN899" s="69"/>
      <c r="BO899" s="69"/>
      <c r="BP899" s="69"/>
      <c r="BQ899" s="69"/>
      <c r="BR899" s="69"/>
      <c r="BS899" s="69"/>
      <c r="BT899" s="69"/>
      <c r="BU899" s="69"/>
      <c r="BV899" s="69"/>
      <c r="BW899" s="69"/>
      <c r="BX899" s="69"/>
      <c r="BY899" s="69"/>
      <c r="BZ899" s="69"/>
      <c r="CA899" s="69"/>
      <c r="CB899" s="69"/>
      <c r="CC899" s="69"/>
      <c r="CD899" s="69"/>
      <c r="CE899" s="94">
        <f t="shared" si="75"/>
        <v>879.38</v>
      </c>
      <c r="CF899" s="151">
        <f t="shared" si="71"/>
        <v>0</v>
      </c>
      <c r="CG899" s="75">
        <f t="shared" si="72"/>
        <v>4747</v>
      </c>
      <c r="CH899" s="69" t="str">
        <f t="shared" si="72"/>
        <v>صيدلة اكلينيكى</v>
      </c>
    </row>
    <row r="900" spans="1:86" x14ac:dyDescent="0.25">
      <c r="A900" s="148">
        <f>20134.64+39648.3</f>
        <v>59782.94</v>
      </c>
      <c r="B900" s="82">
        <v>8450</v>
      </c>
      <c r="C900" s="149">
        <v>4748</v>
      </c>
      <c r="D900" s="69" t="s">
        <v>132</v>
      </c>
      <c r="E900" s="69" t="s">
        <v>3375</v>
      </c>
      <c r="F900" s="63"/>
      <c r="G900" s="69">
        <v>586.25</v>
      </c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  <c r="AE900" s="69"/>
      <c r="AF900" s="69"/>
      <c r="AG900" s="69"/>
      <c r="AH900" s="69"/>
      <c r="AI900" s="69"/>
      <c r="AJ900" s="69"/>
      <c r="AK900" s="69"/>
      <c r="AL900" s="69"/>
      <c r="AM900" s="69"/>
      <c r="AN900" s="69"/>
      <c r="AO900" s="69"/>
      <c r="AP900" s="69"/>
      <c r="AQ900" s="69"/>
      <c r="AR900" s="94">
        <f t="shared" si="73"/>
        <v>586.25</v>
      </c>
      <c r="AS900" s="69">
        <v>392.4</v>
      </c>
      <c r="AT900" s="69">
        <v>52.6</v>
      </c>
      <c r="AU900" s="69">
        <v>141.25</v>
      </c>
      <c r="AV900" s="69"/>
      <c r="AW900" s="69"/>
      <c r="AX900" s="69"/>
      <c r="AY900" s="69"/>
      <c r="AZ900" s="69"/>
      <c r="BA900" s="69"/>
      <c r="BB900" s="69"/>
      <c r="BC900" s="69"/>
      <c r="BD900" s="69"/>
      <c r="BE900" s="69"/>
      <c r="BF900" s="69"/>
      <c r="BG900" s="69"/>
      <c r="BH900" s="69"/>
      <c r="BI900" s="69"/>
      <c r="BJ900" s="69"/>
      <c r="BK900" s="69"/>
      <c r="BL900" s="69"/>
      <c r="BM900" s="69"/>
      <c r="BN900" s="69"/>
      <c r="BO900" s="69"/>
      <c r="BP900" s="69"/>
      <c r="BQ900" s="69"/>
      <c r="BR900" s="69"/>
      <c r="BS900" s="69"/>
      <c r="BT900" s="69"/>
      <c r="BU900" s="69"/>
      <c r="BV900" s="69"/>
      <c r="BW900" s="69"/>
      <c r="BX900" s="69"/>
      <c r="BY900" s="69"/>
      <c r="BZ900" s="69"/>
      <c r="CA900" s="69"/>
      <c r="CB900" s="69"/>
      <c r="CC900" s="69"/>
      <c r="CD900" s="69"/>
      <c r="CE900" s="94">
        <f t="shared" si="75"/>
        <v>586.25</v>
      </c>
      <c r="CF900" s="151">
        <f t="shared" si="71"/>
        <v>0</v>
      </c>
      <c r="CG900" s="75">
        <f t="shared" si="72"/>
        <v>4748</v>
      </c>
      <c r="CH900" s="69" t="str">
        <f t="shared" si="72"/>
        <v>صيدلة اكلينيكى</v>
      </c>
    </row>
    <row r="901" spans="1:86" x14ac:dyDescent="0.25">
      <c r="A901" s="148"/>
      <c r="B901" s="82">
        <v>8452</v>
      </c>
      <c r="C901" s="149">
        <v>4749</v>
      </c>
      <c r="D901" s="69" t="s">
        <v>132</v>
      </c>
      <c r="E901" s="69" t="s">
        <v>3375</v>
      </c>
      <c r="F901" s="63"/>
      <c r="G901" s="69">
        <v>9408.17</v>
      </c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  <c r="AE901" s="69"/>
      <c r="AF901" s="69"/>
      <c r="AG901" s="69"/>
      <c r="AH901" s="69"/>
      <c r="AI901" s="69"/>
      <c r="AJ901" s="69"/>
      <c r="AK901" s="69"/>
      <c r="AL901" s="69"/>
      <c r="AM901" s="69"/>
      <c r="AN901" s="69"/>
      <c r="AO901" s="69"/>
      <c r="AP901" s="69"/>
      <c r="AQ901" s="69"/>
      <c r="AR901" s="94">
        <f t="shared" si="73"/>
        <v>9408.17</v>
      </c>
      <c r="AS901" s="69">
        <v>7396.61</v>
      </c>
      <c r="AT901" s="69">
        <v>933.7</v>
      </c>
      <c r="AU901" s="69">
        <v>1077.8599999999999</v>
      </c>
      <c r="AV901" s="69"/>
      <c r="AW901" s="69"/>
      <c r="AX901" s="69"/>
      <c r="AY901" s="69"/>
      <c r="AZ901" s="69"/>
      <c r="BA901" s="69"/>
      <c r="BB901" s="69"/>
      <c r="BC901" s="69"/>
      <c r="BD901" s="69"/>
      <c r="BE901" s="69"/>
      <c r="BF901" s="69"/>
      <c r="BG901" s="69"/>
      <c r="BH901" s="69"/>
      <c r="BI901" s="69"/>
      <c r="BJ901" s="69"/>
      <c r="BK901" s="69"/>
      <c r="BL901" s="69"/>
      <c r="BM901" s="69"/>
      <c r="BN901" s="69"/>
      <c r="BO901" s="69"/>
      <c r="BP901" s="69"/>
      <c r="BQ901" s="69"/>
      <c r="BR901" s="69"/>
      <c r="BS901" s="69"/>
      <c r="BT901" s="69"/>
      <c r="BU901" s="69"/>
      <c r="BV901" s="69"/>
      <c r="BW901" s="69"/>
      <c r="BX901" s="69"/>
      <c r="BY901" s="69"/>
      <c r="BZ901" s="69"/>
      <c r="CA901" s="69"/>
      <c r="CB901" s="69"/>
      <c r="CC901" s="69"/>
      <c r="CD901" s="69"/>
      <c r="CE901" s="94">
        <f t="shared" si="75"/>
        <v>9408.17</v>
      </c>
      <c r="CF901" s="151">
        <f t="shared" si="71"/>
        <v>0</v>
      </c>
      <c r="CG901" s="75">
        <f t="shared" si="72"/>
        <v>4749</v>
      </c>
      <c r="CH901" s="69" t="str">
        <f t="shared" si="72"/>
        <v>صيدلة اكلينيكى</v>
      </c>
    </row>
    <row r="902" spans="1:86" x14ac:dyDescent="0.25">
      <c r="A902" s="148"/>
      <c r="B902" s="82">
        <v>8852</v>
      </c>
      <c r="C902" s="149">
        <v>4750</v>
      </c>
      <c r="D902" s="69" t="s">
        <v>123</v>
      </c>
      <c r="E902" s="69" t="s">
        <v>3376</v>
      </c>
      <c r="F902" s="63"/>
      <c r="G902" s="69">
        <v>2000</v>
      </c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  <c r="AD902" s="69"/>
      <c r="AE902" s="69"/>
      <c r="AF902" s="69"/>
      <c r="AG902" s="69"/>
      <c r="AH902" s="69"/>
      <c r="AI902" s="69"/>
      <c r="AJ902" s="69"/>
      <c r="AK902" s="69"/>
      <c r="AL902" s="69"/>
      <c r="AM902" s="69"/>
      <c r="AN902" s="69"/>
      <c r="AO902" s="69"/>
      <c r="AP902" s="69"/>
      <c r="AQ902" s="69"/>
      <c r="AR902" s="94">
        <f t="shared" si="73"/>
        <v>2000</v>
      </c>
      <c r="AS902" s="69">
        <v>1685.35</v>
      </c>
      <c r="AT902" s="69">
        <v>214.65</v>
      </c>
      <c r="AU902" s="69"/>
      <c r="AV902" s="69">
        <v>100</v>
      </c>
      <c r="AW902" s="69"/>
      <c r="AX902" s="69"/>
      <c r="AY902" s="69"/>
      <c r="AZ902" s="69"/>
      <c r="BA902" s="69"/>
      <c r="BB902" s="69"/>
      <c r="BC902" s="69"/>
      <c r="BD902" s="69"/>
      <c r="BE902" s="69"/>
      <c r="BF902" s="69"/>
      <c r="BG902" s="69"/>
      <c r="BH902" s="69"/>
      <c r="BI902" s="69"/>
      <c r="BJ902" s="69"/>
      <c r="BK902" s="69"/>
      <c r="BL902" s="69"/>
      <c r="BM902" s="69"/>
      <c r="BN902" s="69"/>
      <c r="BO902" s="69"/>
      <c r="BP902" s="69"/>
      <c r="BQ902" s="69"/>
      <c r="BR902" s="69"/>
      <c r="BS902" s="69"/>
      <c r="BT902" s="69"/>
      <c r="BU902" s="69"/>
      <c r="BV902" s="69"/>
      <c r="BW902" s="69"/>
      <c r="BX902" s="69"/>
      <c r="BY902" s="69"/>
      <c r="BZ902" s="69"/>
      <c r="CA902" s="69"/>
      <c r="CB902" s="69"/>
      <c r="CC902" s="69"/>
      <c r="CD902" s="69"/>
      <c r="CE902" s="94">
        <f t="shared" ref="CE902:CE965" si="76">SUM(AS902:CD902)</f>
        <v>2000</v>
      </c>
      <c r="CF902" s="151">
        <f t="shared" si="71"/>
        <v>0</v>
      </c>
      <c r="CG902" s="75">
        <f t="shared" si="72"/>
        <v>4750</v>
      </c>
      <c r="CH902" s="69" t="str">
        <f t="shared" si="72"/>
        <v>خ ت اسنان</v>
      </c>
    </row>
    <row r="903" spans="1:86" x14ac:dyDescent="0.25">
      <c r="A903" s="148"/>
      <c r="B903" s="82">
        <v>8853</v>
      </c>
      <c r="C903" s="149">
        <v>4751</v>
      </c>
      <c r="D903" s="69" t="s">
        <v>123</v>
      </c>
      <c r="E903" s="69" t="s">
        <v>3377</v>
      </c>
      <c r="F903" s="63"/>
      <c r="G903" s="69">
        <v>1155.9100000000001</v>
      </c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  <c r="AE903" s="69"/>
      <c r="AF903" s="69"/>
      <c r="AG903" s="69"/>
      <c r="AH903" s="69"/>
      <c r="AI903" s="69"/>
      <c r="AJ903" s="69"/>
      <c r="AK903" s="69"/>
      <c r="AL903" s="69"/>
      <c r="AM903" s="69"/>
      <c r="AN903" s="69"/>
      <c r="AO903" s="69"/>
      <c r="AP903" s="69"/>
      <c r="AQ903" s="69"/>
      <c r="AR903" s="94">
        <f t="shared" si="73"/>
        <v>1155.9100000000001</v>
      </c>
      <c r="AS903" s="69">
        <v>744.63</v>
      </c>
      <c r="AT903" s="69">
        <v>105.95</v>
      </c>
      <c r="AU903" s="69">
        <v>255.33</v>
      </c>
      <c r="AV903" s="69">
        <v>50</v>
      </c>
      <c r="AW903" s="69"/>
      <c r="AX903" s="69"/>
      <c r="AY903" s="69"/>
      <c r="AZ903" s="69"/>
      <c r="BA903" s="69"/>
      <c r="BB903" s="69"/>
      <c r="BC903" s="69"/>
      <c r="BD903" s="69"/>
      <c r="BE903" s="69"/>
      <c r="BF903" s="69"/>
      <c r="BG903" s="69"/>
      <c r="BH903" s="69"/>
      <c r="BI903" s="69"/>
      <c r="BJ903" s="69"/>
      <c r="BK903" s="69"/>
      <c r="BL903" s="69"/>
      <c r="BM903" s="69"/>
      <c r="BN903" s="69"/>
      <c r="BO903" s="69"/>
      <c r="BP903" s="69"/>
      <c r="BQ903" s="69"/>
      <c r="BR903" s="69"/>
      <c r="BS903" s="69"/>
      <c r="BT903" s="69"/>
      <c r="BU903" s="69"/>
      <c r="BV903" s="69"/>
      <c r="BW903" s="69"/>
      <c r="BX903" s="69"/>
      <c r="BY903" s="69"/>
      <c r="BZ903" s="69"/>
      <c r="CA903" s="69"/>
      <c r="CB903" s="69"/>
      <c r="CC903" s="69"/>
      <c r="CD903" s="69"/>
      <c r="CE903" s="94">
        <f t="shared" si="76"/>
        <v>1155.9100000000001</v>
      </c>
      <c r="CF903" s="151">
        <f t="shared" si="71"/>
        <v>0</v>
      </c>
      <c r="CG903" s="75">
        <f t="shared" si="72"/>
        <v>4751</v>
      </c>
      <c r="CH903" s="69" t="str">
        <f t="shared" si="72"/>
        <v>خ ت اسنان</v>
      </c>
    </row>
    <row r="904" spans="1:86" x14ac:dyDescent="0.25">
      <c r="A904" s="148"/>
      <c r="B904" s="82">
        <v>8854</v>
      </c>
      <c r="C904" s="149">
        <v>4752</v>
      </c>
      <c r="D904" s="69" t="s">
        <v>123</v>
      </c>
      <c r="E904" s="69" t="s">
        <v>3377</v>
      </c>
      <c r="F904" s="63"/>
      <c r="G904" s="69">
        <v>1172.5</v>
      </c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  <c r="AE904" s="69"/>
      <c r="AF904" s="69"/>
      <c r="AG904" s="69"/>
      <c r="AH904" s="69"/>
      <c r="AI904" s="69"/>
      <c r="AJ904" s="69"/>
      <c r="AK904" s="69"/>
      <c r="AL904" s="69"/>
      <c r="AM904" s="69"/>
      <c r="AN904" s="69"/>
      <c r="AO904" s="69"/>
      <c r="AP904" s="69"/>
      <c r="AQ904" s="69"/>
      <c r="AR904" s="94">
        <f t="shared" si="73"/>
        <v>1172.5</v>
      </c>
      <c r="AS904" s="69">
        <v>734.1</v>
      </c>
      <c r="AT904" s="69">
        <v>105.9</v>
      </c>
      <c r="AU904" s="69">
        <v>282.5</v>
      </c>
      <c r="AV904" s="69">
        <v>50</v>
      </c>
      <c r="AW904" s="69"/>
      <c r="AX904" s="69"/>
      <c r="AY904" s="69"/>
      <c r="AZ904" s="69"/>
      <c r="BA904" s="69"/>
      <c r="BB904" s="69"/>
      <c r="BC904" s="69"/>
      <c r="BD904" s="69"/>
      <c r="BE904" s="69"/>
      <c r="BF904" s="69"/>
      <c r="BG904" s="69"/>
      <c r="BH904" s="69"/>
      <c r="BI904" s="69"/>
      <c r="BJ904" s="69"/>
      <c r="BK904" s="69"/>
      <c r="BL904" s="69"/>
      <c r="BM904" s="69"/>
      <c r="BN904" s="69"/>
      <c r="BO904" s="69"/>
      <c r="BP904" s="69"/>
      <c r="BQ904" s="69"/>
      <c r="BR904" s="69"/>
      <c r="BS904" s="69"/>
      <c r="BT904" s="69"/>
      <c r="BU904" s="69"/>
      <c r="BV904" s="69"/>
      <c r="BW904" s="69"/>
      <c r="BX904" s="69"/>
      <c r="BY904" s="69"/>
      <c r="BZ904" s="69"/>
      <c r="CA904" s="69"/>
      <c r="CB904" s="69"/>
      <c r="CC904" s="69"/>
      <c r="CD904" s="69"/>
      <c r="CE904" s="94">
        <f t="shared" si="76"/>
        <v>1172.5</v>
      </c>
      <c r="CF904" s="151">
        <f t="shared" si="71"/>
        <v>0</v>
      </c>
      <c r="CG904" s="75">
        <f t="shared" si="72"/>
        <v>4752</v>
      </c>
      <c r="CH904" s="69" t="str">
        <f t="shared" si="72"/>
        <v>خ ت اسنان</v>
      </c>
    </row>
    <row r="905" spans="1:86" x14ac:dyDescent="0.25">
      <c r="A905" s="148"/>
      <c r="B905" s="82">
        <v>8855</v>
      </c>
      <c r="C905" s="149">
        <v>4753</v>
      </c>
      <c r="D905" s="69" t="s">
        <v>123</v>
      </c>
      <c r="E905" s="69" t="s">
        <v>3378</v>
      </c>
      <c r="F905" s="63"/>
      <c r="G905" s="69">
        <v>3000</v>
      </c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  <c r="AE905" s="69"/>
      <c r="AF905" s="69"/>
      <c r="AG905" s="69"/>
      <c r="AH905" s="69"/>
      <c r="AI905" s="69"/>
      <c r="AJ905" s="69"/>
      <c r="AK905" s="69"/>
      <c r="AL905" s="69"/>
      <c r="AM905" s="69"/>
      <c r="AN905" s="69"/>
      <c r="AO905" s="69"/>
      <c r="AP905" s="69"/>
      <c r="AQ905" s="69"/>
      <c r="AR905" s="94">
        <f t="shared" si="73"/>
        <v>3000</v>
      </c>
      <c r="AS905" s="69">
        <v>2528.1999999999998</v>
      </c>
      <c r="AT905" s="69">
        <v>321.8</v>
      </c>
      <c r="AU905" s="69"/>
      <c r="AV905" s="69">
        <v>150</v>
      </c>
      <c r="AW905" s="69"/>
      <c r="AX905" s="69"/>
      <c r="AY905" s="69"/>
      <c r="AZ905" s="69"/>
      <c r="BA905" s="69"/>
      <c r="BB905" s="69"/>
      <c r="BC905" s="69"/>
      <c r="BD905" s="69"/>
      <c r="BE905" s="69"/>
      <c r="BF905" s="69"/>
      <c r="BG905" s="69"/>
      <c r="BH905" s="69"/>
      <c r="BI905" s="69"/>
      <c r="BJ905" s="69"/>
      <c r="BK905" s="69"/>
      <c r="BL905" s="69"/>
      <c r="BM905" s="69"/>
      <c r="BN905" s="69"/>
      <c r="BO905" s="69"/>
      <c r="BP905" s="69"/>
      <c r="BQ905" s="69"/>
      <c r="BR905" s="69"/>
      <c r="BS905" s="69"/>
      <c r="BT905" s="69"/>
      <c r="BU905" s="69"/>
      <c r="BV905" s="69"/>
      <c r="BW905" s="69"/>
      <c r="BX905" s="69"/>
      <c r="BY905" s="69"/>
      <c r="BZ905" s="69"/>
      <c r="CA905" s="69"/>
      <c r="CB905" s="69"/>
      <c r="CC905" s="69"/>
      <c r="CD905" s="69"/>
      <c r="CE905" s="94">
        <f t="shared" si="76"/>
        <v>3000</v>
      </c>
      <c r="CF905" s="151">
        <f t="shared" si="71"/>
        <v>0</v>
      </c>
      <c r="CG905" s="75">
        <f t="shared" si="72"/>
        <v>4753</v>
      </c>
      <c r="CH905" s="69" t="str">
        <f t="shared" si="72"/>
        <v>خ ت اسنان</v>
      </c>
    </row>
    <row r="906" spans="1:86" x14ac:dyDescent="0.25">
      <c r="A906" s="148"/>
      <c r="B906" s="82">
        <v>8856</v>
      </c>
      <c r="C906" s="149">
        <v>4754</v>
      </c>
      <c r="D906" s="69" t="s">
        <v>123</v>
      </c>
      <c r="E906" s="69" t="s">
        <v>3378</v>
      </c>
      <c r="F906" s="63"/>
      <c r="G906" s="69">
        <v>1572.6</v>
      </c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  <c r="AE906" s="69"/>
      <c r="AF906" s="69"/>
      <c r="AG906" s="69"/>
      <c r="AH906" s="69"/>
      <c r="AI906" s="69"/>
      <c r="AJ906" s="69"/>
      <c r="AK906" s="69"/>
      <c r="AL906" s="69"/>
      <c r="AM906" s="69"/>
      <c r="AN906" s="69"/>
      <c r="AO906" s="69"/>
      <c r="AP906" s="69"/>
      <c r="AQ906" s="69"/>
      <c r="AR906" s="94">
        <f t="shared" si="73"/>
        <v>1572.6</v>
      </c>
      <c r="AS906" s="69">
        <v>1218.1500000000001</v>
      </c>
      <c r="AT906" s="69">
        <v>160.55000000000001</v>
      </c>
      <c r="AU906" s="69">
        <v>118.9</v>
      </c>
      <c r="AV906" s="69">
        <v>75</v>
      </c>
      <c r="AW906" s="69"/>
      <c r="AX906" s="69"/>
      <c r="AY906" s="69"/>
      <c r="AZ906" s="69"/>
      <c r="BA906" s="69"/>
      <c r="BB906" s="69"/>
      <c r="BC906" s="69"/>
      <c r="BD906" s="69"/>
      <c r="BE906" s="69"/>
      <c r="BF906" s="69"/>
      <c r="BG906" s="69"/>
      <c r="BH906" s="69"/>
      <c r="BI906" s="69"/>
      <c r="BJ906" s="69"/>
      <c r="BK906" s="69"/>
      <c r="BL906" s="69"/>
      <c r="BM906" s="69"/>
      <c r="BN906" s="69"/>
      <c r="BO906" s="69"/>
      <c r="BP906" s="69"/>
      <c r="BQ906" s="69"/>
      <c r="BR906" s="69"/>
      <c r="BS906" s="69"/>
      <c r="BT906" s="69"/>
      <c r="BU906" s="69"/>
      <c r="BV906" s="69"/>
      <c r="BW906" s="69"/>
      <c r="BX906" s="69"/>
      <c r="BY906" s="69"/>
      <c r="BZ906" s="69"/>
      <c r="CA906" s="69"/>
      <c r="CB906" s="69"/>
      <c r="CC906" s="69"/>
      <c r="CD906" s="69"/>
      <c r="CE906" s="94">
        <f t="shared" si="76"/>
        <v>1572.6000000000001</v>
      </c>
      <c r="CF906" s="151">
        <f t="shared" si="71"/>
        <v>0</v>
      </c>
      <c r="CG906" s="75">
        <f t="shared" si="72"/>
        <v>4754</v>
      </c>
      <c r="CH906" s="69" t="str">
        <f t="shared" si="72"/>
        <v>خ ت اسنان</v>
      </c>
    </row>
    <row r="907" spans="1:86" x14ac:dyDescent="0.25">
      <c r="A907" s="148"/>
      <c r="B907" s="82">
        <v>8851</v>
      </c>
      <c r="C907" s="149">
        <v>4755</v>
      </c>
      <c r="D907" s="69" t="s">
        <v>123</v>
      </c>
      <c r="E907" s="69" t="str">
        <f>+E902</f>
        <v>مكافاه اعمال اضافيه ا ه ت</v>
      </c>
      <c r="F907" s="63"/>
      <c r="G907" s="69">
        <v>55809.99</v>
      </c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  <c r="AE907" s="69"/>
      <c r="AF907" s="69"/>
      <c r="AG907" s="69"/>
      <c r="AH907" s="69"/>
      <c r="AI907" s="69"/>
      <c r="AJ907" s="69"/>
      <c r="AK907" s="69"/>
      <c r="AL907" s="69"/>
      <c r="AM907" s="69"/>
      <c r="AN907" s="69"/>
      <c r="AO907" s="69"/>
      <c r="AP907" s="69"/>
      <c r="AQ907" s="69"/>
      <c r="AR907" s="94">
        <f t="shared" si="73"/>
        <v>55809.99</v>
      </c>
      <c r="AS907" s="69">
        <v>42159.77</v>
      </c>
      <c r="AT907" s="69">
        <v>5604.5</v>
      </c>
      <c r="AU907" s="69">
        <v>5420.72</v>
      </c>
      <c r="AV907" s="69">
        <v>2625</v>
      </c>
      <c r="AW907" s="69"/>
      <c r="AX907" s="69"/>
      <c r="AY907" s="69"/>
      <c r="AZ907" s="69"/>
      <c r="BA907" s="69"/>
      <c r="BB907" s="69"/>
      <c r="BC907" s="69"/>
      <c r="BD907" s="69"/>
      <c r="BE907" s="69"/>
      <c r="BF907" s="69"/>
      <c r="BG907" s="69"/>
      <c r="BH907" s="69"/>
      <c r="BI907" s="69"/>
      <c r="BJ907" s="69"/>
      <c r="BK907" s="69"/>
      <c r="BL907" s="69"/>
      <c r="BM907" s="69"/>
      <c r="BN907" s="69"/>
      <c r="BO907" s="69"/>
      <c r="BP907" s="69"/>
      <c r="BQ907" s="69"/>
      <c r="BR907" s="69"/>
      <c r="BS907" s="69"/>
      <c r="BT907" s="69"/>
      <c r="BU907" s="69"/>
      <c r="BV907" s="69"/>
      <c r="BW907" s="69"/>
      <c r="BX907" s="69"/>
      <c r="BY907" s="69"/>
      <c r="BZ907" s="69"/>
      <c r="CA907" s="69"/>
      <c r="CB907" s="69"/>
      <c r="CC907" s="69"/>
      <c r="CD907" s="69"/>
      <c r="CE907" s="94">
        <f t="shared" si="76"/>
        <v>55809.99</v>
      </c>
      <c r="CF907" s="151">
        <f t="shared" si="71"/>
        <v>0</v>
      </c>
      <c r="CG907" s="75">
        <f t="shared" si="72"/>
        <v>4755</v>
      </c>
      <c r="CH907" s="69" t="str">
        <f t="shared" si="72"/>
        <v>خ ت اسنان</v>
      </c>
    </row>
    <row r="908" spans="1:86" x14ac:dyDescent="0.25">
      <c r="A908" s="148"/>
      <c r="B908" s="82">
        <v>8309</v>
      </c>
      <c r="C908" s="149">
        <v>4756</v>
      </c>
      <c r="D908" s="69" t="s">
        <v>78</v>
      </c>
      <c r="E908" s="69" t="s">
        <v>3318</v>
      </c>
      <c r="F908" s="63"/>
      <c r="G908" s="69">
        <v>3458.88</v>
      </c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  <c r="AE908" s="69"/>
      <c r="AF908" s="69"/>
      <c r="AG908" s="69"/>
      <c r="AH908" s="69"/>
      <c r="AI908" s="69"/>
      <c r="AJ908" s="69"/>
      <c r="AK908" s="69"/>
      <c r="AL908" s="69"/>
      <c r="AM908" s="69"/>
      <c r="AN908" s="69"/>
      <c r="AO908" s="69"/>
      <c r="AP908" s="69"/>
      <c r="AQ908" s="69"/>
      <c r="AR908" s="94">
        <f t="shared" si="73"/>
        <v>3458.88</v>
      </c>
      <c r="AS908" s="69">
        <v>2312.6</v>
      </c>
      <c r="AT908" s="69">
        <v>312.89999999999998</v>
      </c>
      <c r="AU908" s="69">
        <v>833.38</v>
      </c>
      <c r="AV908" s="69"/>
      <c r="AW908" s="69"/>
      <c r="AX908" s="69"/>
      <c r="AY908" s="69"/>
      <c r="AZ908" s="69"/>
      <c r="BA908" s="69"/>
      <c r="BB908" s="69"/>
      <c r="BC908" s="69"/>
      <c r="BD908" s="69"/>
      <c r="BE908" s="69"/>
      <c r="BF908" s="69"/>
      <c r="BG908" s="69"/>
      <c r="BH908" s="69"/>
      <c r="BI908" s="69"/>
      <c r="BJ908" s="69"/>
      <c r="BK908" s="69"/>
      <c r="BL908" s="69"/>
      <c r="BM908" s="69"/>
      <c r="BN908" s="69"/>
      <c r="BO908" s="69"/>
      <c r="BP908" s="69"/>
      <c r="BQ908" s="69"/>
      <c r="BR908" s="69"/>
      <c r="BS908" s="69"/>
      <c r="BT908" s="69"/>
      <c r="BU908" s="69"/>
      <c r="BV908" s="69"/>
      <c r="BW908" s="69"/>
      <c r="BX908" s="69"/>
      <c r="BY908" s="69"/>
      <c r="BZ908" s="69"/>
      <c r="CA908" s="69"/>
      <c r="CB908" s="69"/>
      <c r="CC908" s="69"/>
      <c r="CD908" s="69"/>
      <c r="CE908" s="94">
        <f t="shared" si="76"/>
        <v>3458.88</v>
      </c>
      <c r="CF908" s="151">
        <f t="shared" si="71"/>
        <v>0</v>
      </c>
      <c r="CG908" s="75">
        <f t="shared" si="72"/>
        <v>4756</v>
      </c>
      <c r="CH908" s="69" t="str">
        <f t="shared" si="72"/>
        <v>برنامج دولى</v>
      </c>
    </row>
    <row r="909" spans="1:86" x14ac:dyDescent="0.25">
      <c r="A909" s="148"/>
      <c r="B909" s="82">
        <v>8651</v>
      </c>
      <c r="C909" s="149">
        <v>4757</v>
      </c>
      <c r="D909" s="69" t="s">
        <v>78</v>
      </c>
      <c r="E909" s="69" t="s">
        <v>3379</v>
      </c>
      <c r="F909" s="63"/>
      <c r="G909" s="69">
        <v>3517.5</v>
      </c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  <c r="AD909" s="69"/>
      <c r="AE909" s="69"/>
      <c r="AF909" s="69"/>
      <c r="AG909" s="69"/>
      <c r="AH909" s="69"/>
      <c r="AI909" s="69"/>
      <c r="AJ909" s="69"/>
      <c r="AK909" s="69"/>
      <c r="AL909" s="69"/>
      <c r="AM909" s="69"/>
      <c r="AN909" s="69"/>
      <c r="AO909" s="69"/>
      <c r="AP909" s="69"/>
      <c r="AQ909" s="69"/>
      <c r="AR909" s="94">
        <f t="shared" ref="AR909:AR1156" si="77">SUM(G909:AQ909)</f>
        <v>3517.5</v>
      </c>
      <c r="AS909" s="69">
        <v>2350.6999999999998</v>
      </c>
      <c r="AT909" s="69">
        <v>319.3</v>
      </c>
      <c r="AU909" s="69">
        <v>847.5</v>
      </c>
      <c r="AV909" s="69"/>
      <c r="AW909" s="69"/>
      <c r="AX909" s="69"/>
      <c r="AY909" s="69"/>
      <c r="AZ909" s="69"/>
      <c r="BA909" s="69"/>
      <c r="BB909" s="69"/>
      <c r="BC909" s="69"/>
      <c r="BD909" s="69"/>
      <c r="BE909" s="69"/>
      <c r="BF909" s="69"/>
      <c r="BG909" s="69"/>
      <c r="BH909" s="69"/>
      <c r="BI909" s="69"/>
      <c r="BJ909" s="69"/>
      <c r="BK909" s="69"/>
      <c r="BL909" s="69"/>
      <c r="BM909" s="69"/>
      <c r="BN909" s="69"/>
      <c r="BO909" s="69"/>
      <c r="BP909" s="69"/>
      <c r="BQ909" s="69"/>
      <c r="BR909" s="69"/>
      <c r="BS909" s="69"/>
      <c r="BT909" s="69"/>
      <c r="BU909" s="69"/>
      <c r="BV909" s="69"/>
      <c r="BW909" s="69"/>
      <c r="BX909" s="69"/>
      <c r="BY909" s="69"/>
      <c r="BZ909" s="69"/>
      <c r="CA909" s="69"/>
      <c r="CB909" s="69"/>
      <c r="CC909" s="69"/>
      <c r="CD909" s="69"/>
      <c r="CE909" s="94">
        <f t="shared" si="76"/>
        <v>3517.5</v>
      </c>
      <c r="CF909" s="151">
        <f t="shared" si="71"/>
        <v>0</v>
      </c>
      <c r="CG909" s="75">
        <f t="shared" si="72"/>
        <v>4757</v>
      </c>
      <c r="CH909" s="69" t="str">
        <f t="shared" si="72"/>
        <v>برنامج دولى</v>
      </c>
    </row>
    <row r="910" spans="1:86" x14ac:dyDescent="0.25">
      <c r="A910" s="148"/>
      <c r="B910" s="82">
        <v>8648</v>
      </c>
      <c r="C910" s="149">
        <v>4758</v>
      </c>
      <c r="D910" s="69" t="s">
        <v>78</v>
      </c>
      <c r="E910" s="69" t="s">
        <v>3379</v>
      </c>
      <c r="F910" s="63"/>
      <c r="G910" s="69">
        <v>6331.5</v>
      </c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  <c r="AD910" s="69"/>
      <c r="AE910" s="69"/>
      <c r="AF910" s="69"/>
      <c r="AG910" s="69"/>
      <c r="AH910" s="69"/>
      <c r="AI910" s="69"/>
      <c r="AJ910" s="69"/>
      <c r="AK910" s="69"/>
      <c r="AL910" s="69"/>
      <c r="AM910" s="69"/>
      <c r="AN910" s="69"/>
      <c r="AO910" s="69"/>
      <c r="AP910" s="69"/>
      <c r="AQ910" s="69"/>
      <c r="AR910" s="94">
        <f t="shared" si="77"/>
        <v>6331.5</v>
      </c>
      <c r="AS910" s="69">
        <v>4228.45</v>
      </c>
      <c r="AT910" s="69">
        <f>37.55+540</f>
        <v>577.54999999999995</v>
      </c>
      <c r="AU910" s="69">
        <v>1525.5</v>
      </c>
      <c r="AV910" s="69"/>
      <c r="AW910" s="69"/>
      <c r="AX910" s="69"/>
      <c r="AY910" s="69"/>
      <c r="AZ910" s="69"/>
      <c r="BA910" s="69"/>
      <c r="BB910" s="69"/>
      <c r="BC910" s="69"/>
      <c r="BD910" s="69"/>
      <c r="BE910" s="69"/>
      <c r="BF910" s="69"/>
      <c r="BG910" s="69"/>
      <c r="BH910" s="69"/>
      <c r="BI910" s="69"/>
      <c r="BJ910" s="69"/>
      <c r="BK910" s="69"/>
      <c r="BL910" s="69"/>
      <c r="BM910" s="69"/>
      <c r="BN910" s="69"/>
      <c r="BO910" s="69"/>
      <c r="BP910" s="69"/>
      <c r="BQ910" s="69"/>
      <c r="BR910" s="69"/>
      <c r="BS910" s="69"/>
      <c r="BT910" s="69"/>
      <c r="BU910" s="69"/>
      <c r="BV910" s="69"/>
      <c r="BW910" s="69"/>
      <c r="BX910" s="69"/>
      <c r="BY910" s="69"/>
      <c r="BZ910" s="69"/>
      <c r="CA910" s="69"/>
      <c r="CB910" s="69"/>
      <c r="CC910" s="69"/>
      <c r="CD910" s="69"/>
      <c r="CE910" s="94">
        <f t="shared" si="76"/>
        <v>6331.5</v>
      </c>
      <c r="CF910" s="151">
        <f t="shared" si="71"/>
        <v>0</v>
      </c>
      <c r="CG910" s="75">
        <f t="shared" si="72"/>
        <v>4758</v>
      </c>
      <c r="CH910" s="69" t="str">
        <f t="shared" si="72"/>
        <v>برنامج دولى</v>
      </c>
    </row>
    <row r="911" spans="1:86" x14ac:dyDescent="0.25">
      <c r="A911" s="148"/>
      <c r="B911" s="82">
        <v>8650</v>
      </c>
      <c r="C911" s="149">
        <v>4759</v>
      </c>
      <c r="D911" s="69" t="s">
        <v>78</v>
      </c>
      <c r="E911" s="69" t="s">
        <v>3379</v>
      </c>
      <c r="F911" s="63"/>
      <c r="G911" s="69">
        <v>1758.75</v>
      </c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  <c r="AD911" s="69"/>
      <c r="AE911" s="69"/>
      <c r="AF911" s="69"/>
      <c r="AG911" s="69"/>
      <c r="AH911" s="69"/>
      <c r="AI911" s="69"/>
      <c r="AJ911" s="69"/>
      <c r="AK911" s="69"/>
      <c r="AL911" s="69"/>
      <c r="AM911" s="69"/>
      <c r="AN911" s="69"/>
      <c r="AO911" s="69"/>
      <c r="AP911" s="69"/>
      <c r="AQ911" s="69"/>
      <c r="AR911" s="94">
        <f t="shared" si="77"/>
        <v>1758.75</v>
      </c>
      <c r="AS911" s="69">
        <v>1175.3499999999999</v>
      </c>
      <c r="AT911" s="69">
        <v>159.65</v>
      </c>
      <c r="AU911" s="69">
        <v>423.75</v>
      </c>
      <c r="AV911" s="69"/>
      <c r="AW911" s="69"/>
      <c r="AX911" s="69"/>
      <c r="AY911" s="69"/>
      <c r="AZ911" s="69"/>
      <c r="BA911" s="69"/>
      <c r="BB911" s="69"/>
      <c r="BC911" s="69"/>
      <c r="BD911" s="69"/>
      <c r="BE911" s="69"/>
      <c r="BF911" s="69"/>
      <c r="BG911" s="69"/>
      <c r="BH911" s="69"/>
      <c r="BI911" s="69"/>
      <c r="BJ911" s="69"/>
      <c r="BK911" s="69"/>
      <c r="BL911" s="69"/>
      <c r="BM911" s="69"/>
      <c r="BN911" s="69"/>
      <c r="BO911" s="69"/>
      <c r="BP911" s="69"/>
      <c r="BQ911" s="69"/>
      <c r="BR911" s="69"/>
      <c r="BS911" s="69"/>
      <c r="BT911" s="69"/>
      <c r="BU911" s="69"/>
      <c r="BV911" s="69"/>
      <c r="BW911" s="69"/>
      <c r="BX911" s="69"/>
      <c r="BY911" s="69"/>
      <c r="BZ911" s="69"/>
      <c r="CA911" s="69"/>
      <c r="CB911" s="69"/>
      <c r="CC911" s="69"/>
      <c r="CD911" s="69"/>
      <c r="CE911" s="94">
        <f t="shared" si="76"/>
        <v>1758.75</v>
      </c>
      <c r="CF911" s="151">
        <f t="shared" si="71"/>
        <v>0</v>
      </c>
      <c r="CG911" s="75">
        <f t="shared" si="72"/>
        <v>4759</v>
      </c>
      <c r="CH911" s="69" t="str">
        <f t="shared" si="72"/>
        <v>برنامج دولى</v>
      </c>
    </row>
    <row r="912" spans="1:86" x14ac:dyDescent="0.25">
      <c r="A912" s="148"/>
      <c r="B912" s="82">
        <v>8649</v>
      </c>
      <c r="C912" s="149">
        <v>4760</v>
      </c>
      <c r="D912" s="69" t="s">
        <v>78</v>
      </c>
      <c r="E912" s="69" t="s">
        <v>3379</v>
      </c>
      <c r="F912" s="63"/>
      <c r="G912" s="69">
        <v>13111.25</v>
      </c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  <c r="AD912" s="69"/>
      <c r="AE912" s="69"/>
      <c r="AF912" s="69"/>
      <c r="AG912" s="69"/>
      <c r="AH912" s="69"/>
      <c r="AI912" s="69"/>
      <c r="AJ912" s="69"/>
      <c r="AK912" s="69"/>
      <c r="AL912" s="69"/>
      <c r="AM912" s="69"/>
      <c r="AN912" s="69"/>
      <c r="AO912" s="69"/>
      <c r="AP912" s="69"/>
      <c r="AQ912" s="69"/>
      <c r="AR912" s="94">
        <f t="shared" si="77"/>
        <v>13111.25</v>
      </c>
      <c r="AS912" s="69">
        <v>8942.2000000000007</v>
      </c>
      <c r="AT912" s="69">
        <v>1202.8</v>
      </c>
      <c r="AU912" s="69">
        <v>2966.25</v>
      </c>
      <c r="AV912" s="69"/>
      <c r="AW912" s="69"/>
      <c r="AX912" s="69"/>
      <c r="AY912" s="69"/>
      <c r="AZ912" s="69"/>
      <c r="BA912" s="69"/>
      <c r="BB912" s="69"/>
      <c r="BC912" s="69"/>
      <c r="BD912" s="69"/>
      <c r="BE912" s="69"/>
      <c r="BF912" s="69"/>
      <c r="BG912" s="69"/>
      <c r="BH912" s="69"/>
      <c r="BI912" s="69"/>
      <c r="BJ912" s="69"/>
      <c r="BK912" s="69"/>
      <c r="BL912" s="69"/>
      <c r="BM912" s="69"/>
      <c r="BN912" s="69"/>
      <c r="BO912" s="69"/>
      <c r="BP912" s="69"/>
      <c r="BQ912" s="69"/>
      <c r="BR912" s="69"/>
      <c r="BS912" s="69"/>
      <c r="BT912" s="69"/>
      <c r="BU912" s="69"/>
      <c r="BV912" s="69"/>
      <c r="BW912" s="69"/>
      <c r="BX912" s="69"/>
      <c r="BY912" s="69"/>
      <c r="BZ912" s="69"/>
      <c r="CA912" s="69"/>
      <c r="CB912" s="69"/>
      <c r="CC912" s="69"/>
      <c r="CD912" s="69"/>
      <c r="CE912" s="94">
        <f t="shared" si="76"/>
        <v>13111.25</v>
      </c>
      <c r="CF912" s="151">
        <f t="shared" si="71"/>
        <v>0</v>
      </c>
      <c r="CG912" s="75">
        <f t="shared" si="72"/>
        <v>4760</v>
      </c>
      <c r="CH912" s="69" t="str">
        <f t="shared" si="72"/>
        <v>برنامج دولى</v>
      </c>
    </row>
    <row r="913" spans="1:86" x14ac:dyDescent="0.25">
      <c r="A913" s="148"/>
      <c r="B913" s="82">
        <v>8827</v>
      </c>
      <c r="C913" s="149">
        <v>4761</v>
      </c>
      <c r="D913" s="69" t="s">
        <v>78</v>
      </c>
      <c r="E913" s="69" t="s">
        <v>1506</v>
      </c>
      <c r="F913" s="63"/>
      <c r="G913" s="69">
        <v>1758.75</v>
      </c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  <c r="AD913" s="69"/>
      <c r="AE913" s="69"/>
      <c r="AF913" s="69"/>
      <c r="AG913" s="69"/>
      <c r="AH913" s="69"/>
      <c r="AI913" s="69"/>
      <c r="AJ913" s="69"/>
      <c r="AK913" s="69"/>
      <c r="AL913" s="69"/>
      <c r="AM913" s="69"/>
      <c r="AN913" s="69"/>
      <c r="AO913" s="69"/>
      <c r="AP913" s="69"/>
      <c r="AQ913" s="69"/>
      <c r="AR913" s="94">
        <f t="shared" si="77"/>
        <v>1758.75</v>
      </c>
      <c r="AS913" s="69">
        <v>1175.3499999999999</v>
      </c>
      <c r="AT913" s="69">
        <v>159.65</v>
      </c>
      <c r="AU913" s="69">
        <v>423.75</v>
      </c>
      <c r="AV913" s="69"/>
      <c r="AW913" s="69"/>
      <c r="AX913" s="69"/>
      <c r="AY913" s="69"/>
      <c r="AZ913" s="69"/>
      <c r="BA913" s="69"/>
      <c r="BB913" s="69"/>
      <c r="BC913" s="69"/>
      <c r="BD913" s="69"/>
      <c r="BE913" s="69"/>
      <c r="BF913" s="69"/>
      <c r="BG913" s="69"/>
      <c r="BH913" s="69"/>
      <c r="BI913" s="69"/>
      <c r="BJ913" s="69"/>
      <c r="BK913" s="69"/>
      <c r="BL913" s="69"/>
      <c r="BM913" s="69"/>
      <c r="BN913" s="69"/>
      <c r="BO913" s="69"/>
      <c r="BP913" s="69"/>
      <c r="BQ913" s="69"/>
      <c r="BR913" s="69"/>
      <c r="BS913" s="69"/>
      <c r="BT913" s="69"/>
      <c r="BU913" s="69"/>
      <c r="BV913" s="69"/>
      <c r="BW913" s="69"/>
      <c r="BX913" s="69"/>
      <c r="BY913" s="69"/>
      <c r="BZ913" s="69"/>
      <c r="CA913" s="69"/>
      <c r="CB913" s="69"/>
      <c r="CC913" s="69"/>
      <c r="CD913" s="69"/>
      <c r="CE913" s="94">
        <f t="shared" si="76"/>
        <v>1758.75</v>
      </c>
      <c r="CF913" s="151">
        <f t="shared" si="71"/>
        <v>0</v>
      </c>
      <c r="CG913" s="75">
        <f t="shared" si="72"/>
        <v>4761</v>
      </c>
      <c r="CH913" s="69" t="str">
        <f t="shared" si="72"/>
        <v>برنامج دولى</v>
      </c>
    </row>
    <row r="914" spans="1:86" x14ac:dyDescent="0.25">
      <c r="A914" s="148"/>
      <c r="B914" s="82">
        <v>8828</v>
      </c>
      <c r="C914" s="149">
        <v>4762</v>
      </c>
      <c r="D914" s="69" t="s">
        <v>78</v>
      </c>
      <c r="E914" s="69" t="s">
        <v>3380</v>
      </c>
      <c r="F914" s="63"/>
      <c r="G914" s="69">
        <v>5628</v>
      </c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  <c r="AD914" s="69"/>
      <c r="AE914" s="69"/>
      <c r="AF914" s="69"/>
      <c r="AG914" s="69"/>
      <c r="AH914" s="69"/>
      <c r="AI914" s="69"/>
      <c r="AJ914" s="69"/>
      <c r="AK914" s="69"/>
      <c r="AL914" s="69"/>
      <c r="AM914" s="69"/>
      <c r="AN914" s="69"/>
      <c r="AO914" s="69"/>
      <c r="AP914" s="69"/>
      <c r="AQ914" s="69"/>
      <c r="AR914" s="94">
        <f t="shared" si="77"/>
        <v>5628</v>
      </c>
      <c r="AS914" s="69">
        <v>3761.4</v>
      </c>
      <c r="AT914" s="69">
        <v>510.6</v>
      </c>
      <c r="AU914" s="69">
        <v>1356</v>
      </c>
      <c r="AV914" s="69"/>
      <c r="AW914" s="69"/>
      <c r="AX914" s="69"/>
      <c r="AY914" s="69"/>
      <c r="AZ914" s="69"/>
      <c r="BA914" s="69"/>
      <c r="BB914" s="69"/>
      <c r="BC914" s="69"/>
      <c r="BD914" s="69"/>
      <c r="BE914" s="69"/>
      <c r="BF914" s="69"/>
      <c r="BG914" s="69"/>
      <c r="BH914" s="69"/>
      <c r="BI914" s="69"/>
      <c r="BJ914" s="69"/>
      <c r="BK914" s="69"/>
      <c r="BL914" s="69"/>
      <c r="BM914" s="69"/>
      <c r="BN914" s="69"/>
      <c r="BO914" s="69"/>
      <c r="BP914" s="69"/>
      <c r="BQ914" s="69"/>
      <c r="BR914" s="69"/>
      <c r="BS914" s="69"/>
      <c r="BT914" s="69"/>
      <c r="BU914" s="69"/>
      <c r="BV914" s="69"/>
      <c r="BW914" s="69"/>
      <c r="BX914" s="69"/>
      <c r="BY914" s="69"/>
      <c r="BZ914" s="69"/>
      <c r="CA914" s="69"/>
      <c r="CB914" s="69"/>
      <c r="CC914" s="69"/>
      <c r="CD914" s="69"/>
      <c r="CE914" s="94">
        <f t="shared" si="76"/>
        <v>5628</v>
      </c>
      <c r="CF914" s="151">
        <f t="shared" si="71"/>
        <v>0</v>
      </c>
      <c r="CG914" s="75">
        <f t="shared" si="72"/>
        <v>4762</v>
      </c>
      <c r="CH914" s="69" t="str">
        <f t="shared" si="72"/>
        <v>برنامج دولى</v>
      </c>
    </row>
    <row r="915" spans="1:86" x14ac:dyDescent="0.25">
      <c r="A915" s="148"/>
      <c r="B915" s="82">
        <v>8829</v>
      </c>
      <c r="C915" s="149">
        <v>4763</v>
      </c>
      <c r="D915" s="69" t="s">
        <v>78</v>
      </c>
      <c r="E915" s="69" t="s">
        <v>3380</v>
      </c>
      <c r="F915" s="63"/>
      <c r="G915" s="69">
        <v>1407</v>
      </c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  <c r="AD915" s="69"/>
      <c r="AE915" s="69"/>
      <c r="AF915" s="69"/>
      <c r="AG915" s="69"/>
      <c r="AH915" s="69"/>
      <c r="AI915" s="69"/>
      <c r="AJ915" s="69"/>
      <c r="AK915" s="69"/>
      <c r="AL915" s="69"/>
      <c r="AM915" s="69"/>
      <c r="AN915" s="69"/>
      <c r="AO915" s="69"/>
      <c r="AP915" s="69"/>
      <c r="AQ915" s="69"/>
      <c r="AR915" s="94">
        <f t="shared" si="77"/>
        <v>1407</v>
      </c>
      <c r="AS915" s="69">
        <v>940.35</v>
      </c>
      <c r="AT915" s="69">
        <v>127.65</v>
      </c>
      <c r="AU915" s="69">
        <v>339</v>
      </c>
      <c r="AV915" s="69"/>
      <c r="AW915" s="69"/>
      <c r="AX915" s="69"/>
      <c r="AY915" s="69"/>
      <c r="AZ915" s="69"/>
      <c r="BA915" s="69"/>
      <c r="BB915" s="69"/>
      <c r="BC915" s="69"/>
      <c r="BD915" s="69"/>
      <c r="BE915" s="69"/>
      <c r="BF915" s="69"/>
      <c r="BG915" s="69"/>
      <c r="BH915" s="69"/>
      <c r="BI915" s="69"/>
      <c r="BJ915" s="69"/>
      <c r="BK915" s="69"/>
      <c r="BL915" s="69"/>
      <c r="BM915" s="69"/>
      <c r="BN915" s="69"/>
      <c r="BO915" s="69"/>
      <c r="BP915" s="69"/>
      <c r="BQ915" s="69"/>
      <c r="BR915" s="69"/>
      <c r="BS915" s="69"/>
      <c r="BT915" s="69"/>
      <c r="BU915" s="69"/>
      <c r="BV915" s="69"/>
      <c r="BW915" s="69"/>
      <c r="BX915" s="69"/>
      <c r="BY915" s="69"/>
      <c r="BZ915" s="69"/>
      <c r="CA915" s="69"/>
      <c r="CB915" s="69"/>
      <c r="CC915" s="69"/>
      <c r="CD915" s="69"/>
      <c r="CE915" s="94">
        <f t="shared" si="76"/>
        <v>1407</v>
      </c>
      <c r="CF915" s="151">
        <f t="shared" si="71"/>
        <v>0</v>
      </c>
      <c r="CG915" s="75">
        <f t="shared" si="72"/>
        <v>4763</v>
      </c>
      <c r="CH915" s="69" t="str">
        <f t="shared" si="72"/>
        <v>برنامج دولى</v>
      </c>
    </row>
    <row r="916" spans="1:86" x14ac:dyDescent="0.25">
      <c r="A916" s="148"/>
      <c r="B916" s="82">
        <v>8830</v>
      </c>
      <c r="C916" s="149">
        <v>4764</v>
      </c>
      <c r="D916" s="69" t="s">
        <v>78</v>
      </c>
      <c r="E916" s="69" t="s">
        <v>3381</v>
      </c>
      <c r="F916" s="63"/>
      <c r="G916" s="69">
        <v>703.5</v>
      </c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  <c r="AD916" s="69"/>
      <c r="AE916" s="69"/>
      <c r="AF916" s="69"/>
      <c r="AG916" s="69"/>
      <c r="AH916" s="69"/>
      <c r="AI916" s="69"/>
      <c r="AJ916" s="69"/>
      <c r="AK916" s="69"/>
      <c r="AL916" s="69"/>
      <c r="AM916" s="69"/>
      <c r="AN916" s="69"/>
      <c r="AO916" s="69"/>
      <c r="AP916" s="69"/>
      <c r="AQ916" s="69"/>
      <c r="AR916" s="94">
        <f t="shared" si="77"/>
        <v>703.5</v>
      </c>
      <c r="AS916" s="69">
        <v>470.6</v>
      </c>
      <c r="AT916" s="69">
        <v>63.4</v>
      </c>
      <c r="AU916" s="69">
        <v>169.5</v>
      </c>
      <c r="AV916" s="69"/>
      <c r="AW916" s="69"/>
      <c r="AX916" s="69"/>
      <c r="AY916" s="69"/>
      <c r="AZ916" s="69"/>
      <c r="BA916" s="69"/>
      <c r="BB916" s="69"/>
      <c r="BC916" s="69"/>
      <c r="BD916" s="69"/>
      <c r="BE916" s="69"/>
      <c r="BF916" s="69"/>
      <c r="BG916" s="69"/>
      <c r="BH916" s="69"/>
      <c r="BI916" s="69"/>
      <c r="BJ916" s="69"/>
      <c r="BK916" s="69"/>
      <c r="BL916" s="69"/>
      <c r="BM916" s="69"/>
      <c r="BN916" s="69"/>
      <c r="BO916" s="69"/>
      <c r="BP916" s="69"/>
      <c r="BQ916" s="69"/>
      <c r="BR916" s="69"/>
      <c r="BS916" s="69"/>
      <c r="BT916" s="69"/>
      <c r="BU916" s="69"/>
      <c r="BV916" s="69"/>
      <c r="BW916" s="69"/>
      <c r="BX916" s="69"/>
      <c r="BY916" s="69"/>
      <c r="BZ916" s="69"/>
      <c r="CA916" s="69"/>
      <c r="CB916" s="69"/>
      <c r="CC916" s="69"/>
      <c r="CD916" s="69"/>
      <c r="CE916" s="94">
        <f t="shared" si="76"/>
        <v>703.5</v>
      </c>
      <c r="CF916" s="151">
        <f t="shared" si="71"/>
        <v>0</v>
      </c>
      <c r="CG916" s="75">
        <f t="shared" si="72"/>
        <v>4764</v>
      </c>
      <c r="CH916" s="69" t="str">
        <f t="shared" si="72"/>
        <v>برنامج دولى</v>
      </c>
    </row>
    <row r="917" spans="1:86" x14ac:dyDescent="0.25">
      <c r="A917" s="148"/>
      <c r="B917" s="82">
        <v>6085</v>
      </c>
      <c r="C917" s="149">
        <v>4765</v>
      </c>
      <c r="D917" s="69" t="s">
        <v>78</v>
      </c>
      <c r="E917" s="69" t="s">
        <v>3382</v>
      </c>
      <c r="F917" s="63"/>
      <c r="G917" s="69">
        <v>351.75</v>
      </c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  <c r="AE917" s="69"/>
      <c r="AF917" s="69"/>
      <c r="AG917" s="69"/>
      <c r="AH917" s="69"/>
      <c r="AI917" s="69"/>
      <c r="AJ917" s="69"/>
      <c r="AK917" s="69"/>
      <c r="AL917" s="69"/>
      <c r="AM917" s="69"/>
      <c r="AN917" s="69"/>
      <c r="AO917" s="69"/>
      <c r="AP917" s="69"/>
      <c r="AQ917" s="69"/>
      <c r="AR917" s="94">
        <f t="shared" si="77"/>
        <v>351.75</v>
      </c>
      <c r="AS917" s="69">
        <v>246.27</v>
      </c>
      <c r="AT917" s="69">
        <v>20.73</v>
      </c>
      <c r="AU917" s="69">
        <v>84.75</v>
      </c>
      <c r="AV917" s="69"/>
      <c r="AW917" s="69"/>
      <c r="AX917" s="69"/>
      <c r="AY917" s="69"/>
      <c r="AZ917" s="69"/>
      <c r="BA917" s="69"/>
      <c r="BB917" s="69"/>
      <c r="BC917" s="69"/>
      <c r="BD917" s="69"/>
      <c r="BE917" s="69"/>
      <c r="BF917" s="69"/>
      <c r="BG917" s="69"/>
      <c r="BH917" s="69"/>
      <c r="BI917" s="69"/>
      <c r="BJ917" s="69"/>
      <c r="BK917" s="69"/>
      <c r="BL917" s="69"/>
      <c r="BM917" s="69"/>
      <c r="BN917" s="69"/>
      <c r="BO917" s="69"/>
      <c r="BP917" s="69"/>
      <c r="BQ917" s="69"/>
      <c r="BR917" s="69"/>
      <c r="BS917" s="69"/>
      <c r="BT917" s="69"/>
      <c r="BU917" s="69"/>
      <c r="BV917" s="69"/>
      <c r="BW917" s="69"/>
      <c r="BX917" s="69"/>
      <c r="BY917" s="69"/>
      <c r="BZ917" s="69"/>
      <c r="CA917" s="69"/>
      <c r="CB917" s="69"/>
      <c r="CC917" s="69"/>
      <c r="CD917" s="69"/>
      <c r="CE917" s="94">
        <f t="shared" si="76"/>
        <v>351.75</v>
      </c>
      <c r="CF917" s="151">
        <f t="shared" si="71"/>
        <v>0</v>
      </c>
      <c r="CG917" s="75">
        <f t="shared" si="72"/>
        <v>4765</v>
      </c>
      <c r="CH917" s="69" t="str">
        <f t="shared" si="72"/>
        <v>برنامج دولى</v>
      </c>
    </row>
    <row r="918" spans="1:86" x14ac:dyDescent="0.25">
      <c r="A918" s="148"/>
      <c r="B918" s="82">
        <v>8831</v>
      </c>
      <c r="C918" s="149">
        <v>4766</v>
      </c>
      <c r="D918" s="69" t="s">
        <v>78</v>
      </c>
      <c r="E918" s="69" t="s">
        <v>3383</v>
      </c>
      <c r="F918" s="63"/>
      <c r="G918" s="69">
        <v>820.75</v>
      </c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  <c r="AD918" s="69"/>
      <c r="AE918" s="69"/>
      <c r="AF918" s="69"/>
      <c r="AG918" s="69"/>
      <c r="AH918" s="69"/>
      <c r="AI918" s="69"/>
      <c r="AJ918" s="69"/>
      <c r="AK918" s="69"/>
      <c r="AL918" s="69"/>
      <c r="AM918" s="69"/>
      <c r="AN918" s="69"/>
      <c r="AO918" s="69"/>
      <c r="AP918" s="69"/>
      <c r="AQ918" s="69"/>
      <c r="AR918" s="94">
        <f t="shared" si="77"/>
        <v>820.75</v>
      </c>
      <c r="AS918" s="69">
        <v>548.95000000000005</v>
      </c>
      <c r="AT918" s="69">
        <v>74.05</v>
      </c>
      <c r="AU918" s="69">
        <v>197.75</v>
      </c>
      <c r="AV918" s="69"/>
      <c r="AW918" s="69"/>
      <c r="AX918" s="69"/>
      <c r="AY918" s="69"/>
      <c r="AZ918" s="69"/>
      <c r="BA918" s="69"/>
      <c r="BB918" s="69"/>
      <c r="BC918" s="69"/>
      <c r="BD918" s="69"/>
      <c r="BE918" s="69"/>
      <c r="BF918" s="69"/>
      <c r="BG918" s="69"/>
      <c r="BH918" s="69"/>
      <c r="BI918" s="69"/>
      <c r="BJ918" s="69"/>
      <c r="BK918" s="69"/>
      <c r="BL918" s="69"/>
      <c r="BM918" s="69"/>
      <c r="BN918" s="69"/>
      <c r="BO918" s="69"/>
      <c r="BP918" s="69"/>
      <c r="BQ918" s="69"/>
      <c r="BR918" s="69"/>
      <c r="BS918" s="69"/>
      <c r="BT918" s="69"/>
      <c r="BU918" s="69"/>
      <c r="BV918" s="69"/>
      <c r="BW918" s="69"/>
      <c r="BX918" s="69"/>
      <c r="BY918" s="69"/>
      <c r="BZ918" s="69"/>
      <c r="CA918" s="69"/>
      <c r="CB918" s="69"/>
      <c r="CC918" s="69"/>
      <c r="CD918" s="69"/>
      <c r="CE918" s="94">
        <f t="shared" si="76"/>
        <v>820.75</v>
      </c>
      <c r="CF918" s="151">
        <f t="shared" si="71"/>
        <v>0</v>
      </c>
      <c r="CG918" s="75">
        <f t="shared" si="72"/>
        <v>4766</v>
      </c>
      <c r="CH918" s="69" t="str">
        <f t="shared" si="72"/>
        <v>برنامج دولى</v>
      </c>
    </row>
    <row r="919" spans="1:86" x14ac:dyDescent="0.25">
      <c r="A919" s="148"/>
      <c r="B919" s="82">
        <v>8832</v>
      </c>
      <c r="C919" s="149">
        <v>4767</v>
      </c>
      <c r="D919" s="69" t="s">
        <v>78</v>
      </c>
      <c r="E919" s="69" t="s">
        <v>3384</v>
      </c>
      <c r="F919" s="63"/>
      <c r="G919" s="69">
        <v>1407</v>
      </c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  <c r="AD919" s="69"/>
      <c r="AE919" s="69"/>
      <c r="AF919" s="69"/>
      <c r="AG919" s="69"/>
      <c r="AH919" s="69"/>
      <c r="AI919" s="69"/>
      <c r="AJ919" s="69"/>
      <c r="AK919" s="69"/>
      <c r="AL919" s="69"/>
      <c r="AM919" s="69"/>
      <c r="AN919" s="69"/>
      <c r="AO919" s="69"/>
      <c r="AP919" s="69"/>
      <c r="AQ919" s="69"/>
      <c r="AR919" s="94">
        <f t="shared" si="77"/>
        <v>1407</v>
      </c>
      <c r="AS919" s="69">
        <v>940.35</v>
      </c>
      <c r="AT919" s="69">
        <v>127.65</v>
      </c>
      <c r="AU919" s="69">
        <v>339</v>
      </c>
      <c r="AV919" s="69"/>
      <c r="AW919" s="69"/>
      <c r="AX919" s="69"/>
      <c r="AY919" s="69"/>
      <c r="AZ919" s="69"/>
      <c r="BA919" s="69"/>
      <c r="BB919" s="69"/>
      <c r="BC919" s="69"/>
      <c r="BD919" s="69"/>
      <c r="BE919" s="69"/>
      <c r="BF919" s="69"/>
      <c r="BG919" s="69"/>
      <c r="BH919" s="69"/>
      <c r="BI919" s="69"/>
      <c r="BJ919" s="69"/>
      <c r="BK919" s="69"/>
      <c r="BL919" s="69"/>
      <c r="BM919" s="69"/>
      <c r="BN919" s="69"/>
      <c r="BO919" s="69"/>
      <c r="BP919" s="69"/>
      <c r="BQ919" s="69"/>
      <c r="BR919" s="69"/>
      <c r="BS919" s="69"/>
      <c r="BT919" s="69"/>
      <c r="BU919" s="69"/>
      <c r="BV919" s="69"/>
      <c r="BW919" s="69"/>
      <c r="BX919" s="69"/>
      <c r="BY919" s="69"/>
      <c r="BZ919" s="69"/>
      <c r="CA919" s="69"/>
      <c r="CB919" s="69"/>
      <c r="CC919" s="69"/>
      <c r="CD919" s="69"/>
      <c r="CE919" s="94">
        <f t="shared" si="76"/>
        <v>1407</v>
      </c>
      <c r="CF919" s="151">
        <f t="shared" si="71"/>
        <v>0</v>
      </c>
      <c r="CG919" s="75">
        <f t="shared" si="72"/>
        <v>4767</v>
      </c>
      <c r="CH919" s="69" t="str">
        <f t="shared" si="72"/>
        <v>برنامج دولى</v>
      </c>
    </row>
    <row r="920" spans="1:86" x14ac:dyDescent="0.25">
      <c r="A920" s="148"/>
      <c r="B920" s="82">
        <v>8833</v>
      </c>
      <c r="C920" s="149">
        <v>4768</v>
      </c>
      <c r="D920" s="69" t="s">
        <v>78</v>
      </c>
      <c r="E920" s="69" t="s">
        <v>3384</v>
      </c>
      <c r="F920" s="63"/>
      <c r="G920" s="69">
        <v>1407</v>
      </c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  <c r="AD920" s="69"/>
      <c r="AE920" s="69"/>
      <c r="AF920" s="69"/>
      <c r="AG920" s="69"/>
      <c r="AH920" s="69"/>
      <c r="AI920" s="69"/>
      <c r="AJ920" s="69"/>
      <c r="AK920" s="69"/>
      <c r="AL920" s="69"/>
      <c r="AM920" s="69"/>
      <c r="AN920" s="69"/>
      <c r="AO920" s="69"/>
      <c r="AP920" s="69"/>
      <c r="AQ920" s="69"/>
      <c r="AR920" s="94">
        <f t="shared" si="77"/>
        <v>1407</v>
      </c>
      <c r="AS920" s="69">
        <v>940.35</v>
      </c>
      <c r="AT920" s="69">
        <v>127.65</v>
      </c>
      <c r="AU920" s="69">
        <v>339</v>
      </c>
      <c r="AV920" s="69"/>
      <c r="AW920" s="69"/>
      <c r="AX920" s="69"/>
      <c r="AY920" s="69"/>
      <c r="AZ920" s="69"/>
      <c r="BA920" s="69"/>
      <c r="BB920" s="69"/>
      <c r="BC920" s="69"/>
      <c r="BD920" s="69"/>
      <c r="BE920" s="69"/>
      <c r="BF920" s="69"/>
      <c r="BG920" s="69"/>
      <c r="BH920" s="69"/>
      <c r="BI920" s="69"/>
      <c r="BJ920" s="69"/>
      <c r="BK920" s="69"/>
      <c r="BL920" s="69"/>
      <c r="BM920" s="69"/>
      <c r="BN920" s="69"/>
      <c r="BO920" s="69"/>
      <c r="BP920" s="69"/>
      <c r="BQ920" s="69"/>
      <c r="BR920" s="69"/>
      <c r="BS920" s="69"/>
      <c r="BT920" s="69"/>
      <c r="BU920" s="69"/>
      <c r="BV920" s="69"/>
      <c r="BW920" s="69"/>
      <c r="BX920" s="69"/>
      <c r="BY920" s="69"/>
      <c r="BZ920" s="69"/>
      <c r="CA920" s="69"/>
      <c r="CB920" s="69"/>
      <c r="CC920" s="69"/>
      <c r="CD920" s="69"/>
      <c r="CE920" s="94">
        <f t="shared" si="76"/>
        <v>1407</v>
      </c>
      <c r="CF920" s="151">
        <f t="shared" si="71"/>
        <v>0</v>
      </c>
      <c r="CG920" s="75">
        <f t="shared" si="72"/>
        <v>4768</v>
      </c>
      <c r="CH920" s="69" t="str">
        <f t="shared" si="72"/>
        <v>برنامج دولى</v>
      </c>
    </row>
    <row r="921" spans="1:86" x14ac:dyDescent="0.25">
      <c r="A921" s="148"/>
      <c r="B921" s="82">
        <v>8695</v>
      </c>
      <c r="C921" s="149">
        <v>4769</v>
      </c>
      <c r="D921" s="69" t="s">
        <v>78</v>
      </c>
      <c r="E921" s="69" t="s">
        <v>3385</v>
      </c>
      <c r="F921" s="63"/>
      <c r="G921" s="69">
        <v>547.16</v>
      </c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  <c r="AD921" s="69"/>
      <c r="AE921" s="69"/>
      <c r="AF921" s="69"/>
      <c r="AG921" s="69"/>
      <c r="AH921" s="69"/>
      <c r="AI921" s="69"/>
      <c r="AJ921" s="69"/>
      <c r="AK921" s="69"/>
      <c r="AL921" s="69"/>
      <c r="AM921" s="69"/>
      <c r="AN921" s="69"/>
      <c r="AO921" s="69"/>
      <c r="AP921" s="69"/>
      <c r="AQ921" s="69"/>
      <c r="AR921" s="94">
        <f t="shared" si="77"/>
        <v>547.16</v>
      </c>
      <c r="AS921" s="69">
        <v>366.25</v>
      </c>
      <c r="AT921" s="69">
        <v>49.07</v>
      </c>
      <c r="AU921" s="69">
        <v>131.84</v>
      </c>
      <c r="AV921" s="69"/>
      <c r="AW921" s="69"/>
      <c r="AX921" s="69"/>
      <c r="AY921" s="69"/>
      <c r="AZ921" s="69"/>
      <c r="BA921" s="69"/>
      <c r="BB921" s="69"/>
      <c r="BC921" s="69"/>
      <c r="BD921" s="69"/>
      <c r="BE921" s="69"/>
      <c r="BF921" s="69"/>
      <c r="BG921" s="69"/>
      <c r="BH921" s="69"/>
      <c r="BI921" s="69"/>
      <c r="BJ921" s="69"/>
      <c r="BK921" s="69"/>
      <c r="BL921" s="69"/>
      <c r="BM921" s="69"/>
      <c r="BN921" s="69"/>
      <c r="BO921" s="69"/>
      <c r="BP921" s="69"/>
      <c r="BQ921" s="69"/>
      <c r="BR921" s="69"/>
      <c r="BS921" s="69"/>
      <c r="BT921" s="69"/>
      <c r="BU921" s="69"/>
      <c r="BV921" s="69"/>
      <c r="BW921" s="69"/>
      <c r="BX921" s="69"/>
      <c r="BY921" s="69"/>
      <c r="BZ921" s="69"/>
      <c r="CA921" s="69"/>
      <c r="CB921" s="69"/>
      <c r="CC921" s="69"/>
      <c r="CD921" s="69"/>
      <c r="CE921" s="94">
        <f t="shared" si="76"/>
        <v>547.16</v>
      </c>
      <c r="CF921" s="151">
        <f t="shared" si="71"/>
        <v>0</v>
      </c>
      <c r="CG921" s="75">
        <f t="shared" si="72"/>
        <v>4769</v>
      </c>
      <c r="CH921" s="69" t="str">
        <f t="shared" si="72"/>
        <v>برنامج دولى</v>
      </c>
    </row>
    <row r="922" spans="1:86" x14ac:dyDescent="0.25">
      <c r="A922" s="148"/>
      <c r="B922" s="82">
        <v>8702</v>
      </c>
      <c r="C922" s="149">
        <v>4770</v>
      </c>
      <c r="D922" s="69" t="s">
        <v>78</v>
      </c>
      <c r="E922" s="69" t="s">
        <v>3386</v>
      </c>
      <c r="F922" s="63"/>
      <c r="G922" s="69">
        <v>547.16</v>
      </c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  <c r="AD922" s="69"/>
      <c r="AE922" s="69"/>
      <c r="AF922" s="69"/>
      <c r="AG922" s="69"/>
      <c r="AH922" s="69"/>
      <c r="AI922" s="69"/>
      <c r="AJ922" s="69"/>
      <c r="AK922" s="69"/>
      <c r="AL922" s="69"/>
      <c r="AM922" s="69"/>
      <c r="AN922" s="69"/>
      <c r="AO922" s="69"/>
      <c r="AP922" s="69"/>
      <c r="AQ922" s="69"/>
      <c r="AR922" s="94">
        <f t="shared" si="77"/>
        <v>547.16</v>
      </c>
      <c r="AS922" s="69">
        <v>366.25</v>
      </c>
      <c r="AT922" s="69">
        <v>49.07</v>
      </c>
      <c r="AU922" s="69">
        <v>131.84</v>
      </c>
      <c r="AV922" s="69"/>
      <c r="AW922" s="69"/>
      <c r="AX922" s="69"/>
      <c r="AY922" s="69"/>
      <c r="AZ922" s="69"/>
      <c r="BA922" s="69"/>
      <c r="BB922" s="69"/>
      <c r="BC922" s="69"/>
      <c r="BD922" s="69"/>
      <c r="BE922" s="69"/>
      <c r="BF922" s="69"/>
      <c r="BG922" s="69"/>
      <c r="BH922" s="69"/>
      <c r="BI922" s="69"/>
      <c r="BJ922" s="69"/>
      <c r="BK922" s="69"/>
      <c r="BL922" s="69"/>
      <c r="BM922" s="69"/>
      <c r="BN922" s="69"/>
      <c r="BO922" s="69"/>
      <c r="BP922" s="69"/>
      <c r="BQ922" s="69"/>
      <c r="BR922" s="69"/>
      <c r="BS922" s="69"/>
      <c r="BT922" s="69"/>
      <c r="BU922" s="69"/>
      <c r="BV922" s="69"/>
      <c r="BW922" s="69"/>
      <c r="BX922" s="69"/>
      <c r="BY922" s="69"/>
      <c r="BZ922" s="69"/>
      <c r="CA922" s="69"/>
      <c r="CB922" s="69"/>
      <c r="CC922" s="69"/>
      <c r="CD922" s="69"/>
      <c r="CE922" s="94">
        <f t="shared" si="76"/>
        <v>547.16</v>
      </c>
      <c r="CF922" s="151">
        <f t="shared" si="71"/>
        <v>0</v>
      </c>
      <c r="CG922" s="75">
        <f t="shared" si="72"/>
        <v>4770</v>
      </c>
      <c r="CH922" s="69" t="str">
        <f t="shared" si="72"/>
        <v>برنامج دولى</v>
      </c>
    </row>
    <row r="923" spans="1:86" x14ac:dyDescent="0.25">
      <c r="A923" s="148"/>
      <c r="B923" s="82">
        <v>8812</v>
      </c>
      <c r="C923" s="149">
        <v>4771</v>
      </c>
      <c r="D923" s="69" t="s">
        <v>123</v>
      </c>
      <c r="E923" s="69" t="s">
        <v>1891</v>
      </c>
      <c r="F923" s="63"/>
      <c r="G923" s="69">
        <v>790.03</v>
      </c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  <c r="AD923" s="69"/>
      <c r="AE923" s="69"/>
      <c r="AF923" s="69"/>
      <c r="AG923" s="69"/>
      <c r="AH923" s="69"/>
      <c r="AI923" s="69"/>
      <c r="AJ923" s="69"/>
      <c r="AK923" s="69"/>
      <c r="AL923" s="69"/>
      <c r="AM923" s="69"/>
      <c r="AN923" s="69"/>
      <c r="AO923" s="69"/>
      <c r="AP923" s="69"/>
      <c r="AQ923" s="69"/>
      <c r="AR923" s="94">
        <f t="shared" si="77"/>
        <v>790.03</v>
      </c>
      <c r="AS923" s="69">
        <v>498.51</v>
      </c>
      <c r="AT923" s="69">
        <v>67.48</v>
      </c>
      <c r="AU923" s="69">
        <v>190.35</v>
      </c>
      <c r="AV923" s="69">
        <v>33.69</v>
      </c>
      <c r="AW923" s="69"/>
      <c r="AX923" s="69"/>
      <c r="AY923" s="69"/>
      <c r="AZ923" s="69"/>
      <c r="BA923" s="69"/>
      <c r="BB923" s="69"/>
      <c r="BC923" s="69"/>
      <c r="BD923" s="69"/>
      <c r="BE923" s="69"/>
      <c r="BF923" s="69"/>
      <c r="BG923" s="69"/>
      <c r="BH923" s="69"/>
      <c r="BI923" s="69"/>
      <c r="BJ923" s="69"/>
      <c r="BK923" s="69"/>
      <c r="BL923" s="69"/>
      <c r="BM923" s="69"/>
      <c r="BN923" s="69"/>
      <c r="BO923" s="69"/>
      <c r="BP923" s="69"/>
      <c r="BQ923" s="69"/>
      <c r="BR923" s="69"/>
      <c r="BS923" s="69"/>
      <c r="BT923" s="69"/>
      <c r="BU923" s="69"/>
      <c r="BV923" s="69"/>
      <c r="BW923" s="69"/>
      <c r="BX923" s="69"/>
      <c r="BY923" s="69"/>
      <c r="BZ923" s="69"/>
      <c r="CA923" s="69"/>
      <c r="CB923" s="69"/>
      <c r="CC923" s="69"/>
      <c r="CD923" s="69"/>
      <c r="CE923" s="94">
        <f t="shared" si="76"/>
        <v>790.03</v>
      </c>
      <c r="CF923" s="151">
        <f t="shared" si="71"/>
        <v>0</v>
      </c>
      <c r="CG923" s="75">
        <f t="shared" si="72"/>
        <v>4771</v>
      </c>
      <c r="CH923" s="69" t="str">
        <f t="shared" si="72"/>
        <v>خ ت اسنان</v>
      </c>
    </row>
    <row r="924" spans="1:86" x14ac:dyDescent="0.25">
      <c r="A924" s="148"/>
      <c r="B924" s="82">
        <v>8814</v>
      </c>
      <c r="C924" s="149">
        <v>4772</v>
      </c>
      <c r="D924" s="69" t="s">
        <v>123</v>
      </c>
      <c r="E924" s="69" t="s">
        <v>1891</v>
      </c>
      <c r="F924" s="63"/>
      <c r="G924" s="69">
        <v>298.99</v>
      </c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  <c r="AD924" s="69"/>
      <c r="AE924" s="69"/>
      <c r="AF924" s="69"/>
      <c r="AG924" s="69"/>
      <c r="AH924" s="69"/>
      <c r="AI924" s="69"/>
      <c r="AJ924" s="69"/>
      <c r="AK924" s="69"/>
      <c r="AL924" s="69"/>
      <c r="AM924" s="69"/>
      <c r="AN924" s="69"/>
      <c r="AO924" s="69"/>
      <c r="AP924" s="69"/>
      <c r="AQ924" s="69"/>
      <c r="AR924" s="94">
        <f t="shared" si="77"/>
        <v>298.99</v>
      </c>
      <c r="AS924" s="69">
        <v>188.45</v>
      </c>
      <c r="AT924" s="69">
        <v>25.75</v>
      </c>
      <c r="AU924" s="69">
        <v>72.040000000000006</v>
      </c>
      <c r="AV924" s="69">
        <v>12.75</v>
      </c>
      <c r="AW924" s="69"/>
      <c r="AX924" s="69"/>
      <c r="AY924" s="69"/>
      <c r="AZ924" s="69"/>
      <c r="BA924" s="69"/>
      <c r="BB924" s="69"/>
      <c r="BC924" s="69"/>
      <c r="BD924" s="69"/>
      <c r="BE924" s="69"/>
      <c r="BF924" s="69"/>
      <c r="BG924" s="69"/>
      <c r="BH924" s="69"/>
      <c r="BI924" s="69"/>
      <c r="BJ924" s="69"/>
      <c r="BK924" s="69"/>
      <c r="BL924" s="69"/>
      <c r="BM924" s="69"/>
      <c r="BN924" s="69"/>
      <c r="BO924" s="69"/>
      <c r="BP924" s="69"/>
      <c r="BQ924" s="69"/>
      <c r="BR924" s="69"/>
      <c r="BS924" s="69"/>
      <c r="BT924" s="69"/>
      <c r="BU924" s="69"/>
      <c r="BV924" s="69"/>
      <c r="BW924" s="69"/>
      <c r="BX924" s="69"/>
      <c r="BY924" s="69"/>
      <c r="BZ924" s="69"/>
      <c r="CA924" s="69"/>
      <c r="CB924" s="69"/>
      <c r="CC924" s="69"/>
      <c r="CD924" s="69"/>
      <c r="CE924" s="94">
        <f t="shared" si="76"/>
        <v>298.99</v>
      </c>
      <c r="CF924" s="151">
        <f t="shared" si="71"/>
        <v>0</v>
      </c>
      <c r="CG924" s="75">
        <f t="shared" si="72"/>
        <v>4772</v>
      </c>
      <c r="CH924" s="69" t="str">
        <f t="shared" si="72"/>
        <v>خ ت اسنان</v>
      </c>
    </row>
    <row r="925" spans="1:86" x14ac:dyDescent="0.25">
      <c r="A925" s="148"/>
      <c r="B925" s="82">
        <v>8813</v>
      </c>
      <c r="C925" s="149">
        <v>4773</v>
      </c>
      <c r="D925" s="69" t="s">
        <v>123</v>
      </c>
      <c r="E925" s="69" t="s">
        <v>1891</v>
      </c>
      <c r="F925" s="63"/>
      <c r="G925" s="69">
        <v>75</v>
      </c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  <c r="AE925" s="69"/>
      <c r="AF925" s="69"/>
      <c r="AG925" s="69"/>
      <c r="AH925" s="69"/>
      <c r="AI925" s="69"/>
      <c r="AJ925" s="69"/>
      <c r="AK925" s="69"/>
      <c r="AL925" s="69"/>
      <c r="AM925" s="69"/>
      <c r="AN925" s="69"/>
      <c r="AO925" s="69"/>
      <c r="AP925" s="69"/>
      <c r="AQ925" s="69"/>
      <c r="AR925" s="94">
        <f t="shared" si="77"/>
        <v>75</v>
      </c>
      <c r="AS925" s="69">
        <v>63.6</v>
      </c>
      <c r="AT925" s="69">
        <v>7.65</v>
      </c>
      <c r="AU925" s="69"/>
      <c r="AV925" s="69">
        <v>3.75</v>
      </c>
      <c r="AW925" s="69"/>
      <c r="AX925" s="69"/>
      <c r="AY925" s="69"/>
      <c r="AZ925" s="69"/>
      <c r="BA925" s="69"/>
      <c r="BB925" s="69"/>
      <c r="BC925" s="69"/>
      <c r="BD925" s="69"/>
      <c r="BE925" s="69"/>
      <c r="BF925" s="69"/>
      <c r="BG925" s="69"/>
      <c r="BH925" s="69"/>
      <c r="BI925" s="69"/>
      <c r="BJ925" s="69"/>
      <c r="BK925" s="69"/>
      <c r="BL925" s="69"/>
      <c r="BM925" s="69"/>
      <c r="BN925" s="69"/>
      <c r="BO925" s="69"/>
      <c r="BP925" s="69"/>
      <c r="BQ925" s="69"/>
      <c r="BR925" s="69"/>
      <c r="BS925" s="69"/>
      <c r="BT925" s="69"/>
      <c r="BU925" s="69"/>
      <c r="BV925" s="69"/>
      <c r="BW925" s="69"/>
      <c r="BX925" s="69"/>
      <c r="BY925" s="69"/>
      <c r="BZ925" s="69"/>
      <c r="CA925" s="69"/>
      <c r="CB925" s="69"/>
      <c r="CC925" s="69"/>
      <c r="CD925" s="69"/>
      <c r="CE925" s="94">
        <f t="shared" si="76"/>
        <v>75</v>
      </c>
      <c r="CF925" s="151">
        <f t="shared" si="71"/>
        <v>0</v>
      </c>
      <c r="CG925" s="75">
        <f t="shared" si="72"/>
        <v>4773</v>
      </c>
      <c r="CH925" s="69" t="str">
        <f t="shared" si="72"/>
        <v>خ ت اسنان</v>
      </c>
    </row>
    <row r="926" spans="1:86" x14ac:dyDescent="0.25">
      <c r="A926" s="148"/>
      <c r="B926" s="82">
        <v>8815</v>
      </c>
      <c r="C926" s="149">
        <v>4774</v>
      </c>
      <c r="D926" s="69" t="s">
        <v>123</v>
      </c>
      <c r="E926" s="69" t="s">
        <v>1891</v>
      </c>
      <c r="F926" s="63"/>
      <c r="G926" s="69">
        <v>46.9</v>
      </c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  <c r="AD926" s="69"/>
      <c r="AE926" s="69"/>
      <c r="AF926" s="69"/>
      <c r="AG926" s="69"/>
      <c r="AH926" s="69"/>
      <c r="AI926" s="69"/>
      <c r="AJ926" s="69"/>
      <c r="AK926" s="69"/>
      <c r="AL926" s="69"/>
      <c r="AM926" s="69"/>
      <c r="AN926" s="69"/>
      <c r="AO926" s="69"/>
      <c r="AP926" s="69"/>
      <c r="AQ926" s="69"/>
      <c r="AR926" s="94">
        <f t="shared" si="77"/>
        <v>46.9</v>
      </c>
      <c r="AS926" s="69">
        <v>29.6</v>
      </c>
      <c r="AT926" s="69">
        <v>4</v>
      </c>
      <c r="AU926" s="69">
        <v>11.3</v>
      </c>
      <c r="AV926" s="69">
        <v>2</v>
      </c>
      <c r="AW926" s="69"/>
      <c r="AX926" s="69"/>
      <c r="AY926" s="69"/>
      <c r="AZ926" s="69"/>
      <c r="BA926" s="69"/>
      <c r="BB926" s="69"/>
      <c r="BC926" s="69"/>
      <c r="BD926" s="69"/>
      <c r="BE926" s="69"/>
      <c r="BF926" s="69"/>
      <c r="BG926" s="69"/>
      <c r="BH926" s="69"/>
      <c r="BI926" s="69"/>
      <c r="BJ926" s="69"/>
      <c r="BK926" s="69"/>
      <c r="BL926" s="69"/>
      <c r="BM926" s="69"/>
      <c r="BN926" s="69"/>
      <c r="BO926" s="69"/>
      <c r="BP926" s="69"/>
      <c r="BQ926" s="69"/>
      <c r="BR926" s="69"/>
      <c r="BS926" s="69"/>
      <c r="BT926" s="69"/>
      <c r="BU926" s="69"/>
      <c r="BV926" s="69"/>
      <c r="BW926" s="69"/>
      <c r="BX926" s="69"/>
      <c r="BY926" s="69"/>
      <c r="BZ926" s="69"/>
      <c r="CA926" s="69"/>
      <c r="CB926" s="69"/>
      <c r="CC926" s="69"/>
      <c r="CD926" s="69"/>
      <c r="CE926" s="94">
        <f t="shared" si="76"/>
        <v>46.900000000000006</v>
      </c>
      <c r="CF926" s="151">
        <f t="shared" si="71"/>
        <v>0</v>
      </c>
      <c r="CG926" s="75">
        <f t="shared" si="72"/>
        <v>4774</v>
      </c>
      <c r="CH926" s="69" t="str">
        <f t="shared" si="72"/>
        <v>خ ت اسنان</v>
      </c>
    </row>
    <row r="927" spans="1:86" x14ac:dyDescent="0.25">
      <c r="A927" s="148"/>
      <c r="B927" s="82"/>
      <c r="C927" s="149">
        <v>4775</v>
      </c>
      <c r="D927" s="69" t="s">
        <v>1431</v>
      </c>
      <c r="E927" s="69" t="s">
        <v>899</v>
      </c>
      <c r="F927" s="63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  <c r="AD927" s="69"/>
      <c r="AE927" s="69"/>
      <c r="AF927" s="69"/>
      <c r="AG927" s="69"/>
      <c r="AH927" s="69"/>
      <c r="AI927" s="69"/>
      <c r="AJ927" s="69"/>
      <c r="AK927" s="69"/>
      <c r="AL927" s="69"/>
      <c r="AM927" s="69"/>
      <c r="AN927" s="69"/>
      <c r="AO927" s="69"/>
      <c r="AP927" s="69"/>
      <c r="AQ927" s="69"/>
      <c r="AR927" s="94">
        <f t="shared" si="77"/>
        <v>0</v>
      </c>
      <c r="AS927" s="69"/>
      <c r="AT927" s="52"/>
      <c r="AU927" s="69"/>
      <c r="AW927" s="69"/>
      <c r="AX927" s="69"/>
      <c r="AY927" s="69"/>
      <c r="AZ927" s="69"/>
      <c r="BA927" s="69"/>
      <c r="BB927" s="69"/>
      <c r="BC927" s="69"/>
      <c r="BD927" s="69"/>
      <c r="BE927" s="69"/>
      <c r="BF927" s="69"/>
      <c r="BG927" s="69"/>
      <c r="BH927" s="69"/>
      <c r="BI927" s="69"/>
      <c r="BJ927" s="69"/>
      <c r="BK927" s="69"/>
      <c r="BL927" s="69"/>
      <c r="BM927" s="69"/>
      <c r="BN927" s="69"/>
      <c r="BO927" s="69"/>
      <c r="BP927" s="69"/>
      <c r="BQ927" s="69"/>
      <c r="BR927" s="69"/>
      <c r="BS927" s="69"/>
      <c r="BT927" s="69"/>
      <c r="BU927" s="69"/>
      <c r="BV927" s="69"/>
      <c r="BW927" s="69"/>
      <c r="BX927" s="69"/>
      <c r="BY927" s="69"/>
      <c r="BZ927" s="69"/>
      <c r="CA927" s="69"/>
      <c r="CB927" s="69"/>
      <c r="CC927" s="69"/>
      <c r="CD927" s="69"/>
      <c r="CE927" s="94">
        <f t="shared" si="76"/>
        <v>0</v>
      </c>
      <c r="CF927" s="151">
        <f t="shared" si="71"/>
        <v>0</v>
      </c>
      <c r="CG927" s="75">
        <f t="shared" si="72"/>
        <v>4775</v>
      </c>
      <c r="CH927" s="69" t="str">
        <f t="shared" si="72"/>
        <v>لاب فقط</v>
      </c>
    </row>
    <row r="928" spans="1:86" x14ac:dyDescent="0.25">
      <c r="A928" s="148"/>
      <c r="B928" s="82">
        <v>8807</v>
      </c>
      <c r="C928" s="149">
        <v>4776</v>
      </c>
      <c r="D928" s="69" t="s">
        <v>1431</v>
      </c>
      <c r="E928" s="69" t="s">
        <v>899</v>
      </c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  <c r="AD928" s="69"/>
      <c r="AE928" s="69"/>
      <c r="AF928" s="69"/>
      <c r="AG928" s="69"/>
      <c r="AH928" s="69"/>
      <c r="AI928" s="69"/>
      <c r="AJ928" s="69"/>
      <c r="AK928" s="69"/>
      <c r="AL928" s="69"/>
      <c r="AM928" s="69"/>
      <c r="AN928" s="69"/>
      <c r="AO928" s="69"/>
      <c r="AP928" s="69"/>
      <c r="AQ928" s="69"/>
      <c r="AR928" s="94">
        <f t="shared" si="77"/>
        <v>0</v>
      </c>
      <c r="AS928" s="69"/>
      <c r="AT928" s="52"/>
      <c r="AU928" s="69"/>
      <c r="AW928" s="69"/>
      <c r="AX928" s="69"/>
      <c r="AY928" s="69"/>
      <c r="AZ928" s="69"/>
      <c r="BA928" s="69"/>
      <c r="BB928" s="69"/>
      <c r="BC928" s="69"/>
      <c r="BD928" s="69"/>
      <c r="BE928" s="69"/>
      <c r="BF928" s="69"/>
      <c r="BG928" s="69"/>
      <c r="BH928" s="69"/>
      <c r="BI928" s="69"/>
      <c r="BJ928" s="69"/>
      <c r="BK928" s="69"/>
      <c r="BL928" s="69"/>
      <c r="BM928" s="69"/>
      <c r="BN928" s="69"/>
      <c r="BO928" s="69"/>
      <c r="BP928" s="69"/>
      <c r="BQ928" s="69"/>
      <c r="BR928" s="69"/>
      <c r="BS928" s="69"/>
      <c r="BT928" s="69"/>
      <c r="BU928" s="69"/>
      <c r="BV928" s="69"/>
      <c r="BW928" s="69"/>
      <c r="BX928" s="69"/>
      <c r="BY928" s="69"/>
      <c r="BZ928" s="69"/>
      <c r="CA928" s="69"/>
      <c r="CB928" s="69"/>
      <c r="CC928" s="69"/>
      <c r="CD928" s="69"/>
      <c r="CE928" s="94">
        <f t="shared" si="76"/>
        <v>0</v>
      </c>
      <c r="CF928" s="151">
        <f t="shared" si="71"/>
        <v>0</v>
      </c>
      <c r="CG928" s="75">
        <f t="shared" si="72"/>
        <v>4776</v>
      </c>
      <c r="CH928" s="69" t="str">
        <f>+D982</f>
        <v>خ ت اسنان</v>
      </c>
    </row>
    <row r="929" spans="1:86" x14ac:dyDescent="0.25">
      <c r="A929" s="148"/>
      <c r="B929" s="82">
        <v>8808</v>
      </c>
      <c r="C929" s="149">
        <v>4777</v>
      </c>
      <c r="D929" s="69" t="s">
        <v>123</v>
      </c>
      <c r="E929" s="69" t="s">
        <v>3387</v>
      </c>
      <c r="F929" s="63"/>
      <c r="G929" s="69">
        <v>8760.11</v>
      </c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  <c r="AD929" s="69"/>
      <c r="AE929" s="69"/>
      <c r="AF929" s="69"/>
      <c r="AG929" s="69"/>
      <c r="AH929" s="69"/>
      <c r="AI929" s="69"/>
      <c r="AJ929" s="69"/>
      <c r="AK929" s="69"/>
      <c r="AL929" s="69"/>
      <c r="AM929" s="69"/>
      <c r="AN929" s="69"/>
      <c r="AO929" s="69"/>
      <c r="AP929" s="69"/>
      <c r="AQ929" s="69"/>
      <c r="AR929" s="94">
        <f t="shared" si="77"/>
        <v>8760.11</v>
      </c>
      <c r="AS929" s="69">
        <v>5788.22</v>
      </c>
      <c r="AT929" s="69">
        <v>819</v>
      </c>
      <c r="AU929" s="69">
        <v>1768.89</v>
      </c>
      <c r="AV929" s="69">
        <v>384</v>
      </c>
      <c r="AW929" s="69"/>
      <c r="AX929" s="69"/>
      <c r="AY929" s="69"/>
      <c r="AZ929" s="69"/>
      <c r="BA929" s="69"/>
      <c r="BB929" s="69"/>
      <c r="BC929" s="69"/>
      <c r="BD929" s="69"/>
      <c r="BE929" s="69"/>
      <c r="BF929" s="69"/>
      <c r="BG929" s="69"/>
      <c r="BH929" s="69"/>
      <c r="BI929" s="69"/>
      <c r="BJ929" s="69"/>
      <c r="BK929" s="69"/>
      <c r="BL929" s="69"/>
      <c r="BM929" s="69"/>
      <c r="BN929" s="69"/>
      <c r="BO929" s="69"/>
      <c r="BP929" s="69"/>
      <c r="BQ929" s="69"/>
      <c r="BR929" s="69"/>
      <c r="BS929" s="69"/>
      <c r="BT929" s="69"/>
      <c r="BU929" s="69"/>
      <c r="BV929" s="69"/>
      <c r="BW929" s="69"/>
      <c r="BX929" s="69"/>
      <c r="BY929" s="69"/>
      <c r="BZ929" s="69"/>
      <c r="CA929" s="69"/>
      <c r="CB929" s="69"/>
      <c r="CC929" s="69"/>
      <c r="CD929" s="69"/>
      <c r="CE929" s="94">
        <f t="shared" si="76"/>
        <v>8760.11</v>
      </c>
      <c r="CF929" s="151">
        <f t="shared" si="71"/>
        <v>0</v>
      </c>
      <c r="CG929" s="75">
        <f t="shared" si="72"/>
        <v>4777</v>
      </c>
      <c r="CH929" s="69" t="str">
        <f t="shared" si="72"/>
        <v>خ ت اسنان</v>
      </c>
    </row>
    <row r="930" spans="1:86" x14ac:dyDescent="0.25">
      <c r="A930" s="148"/>
      <c r="B930" s="82">
        <v>8803</v>
      </c>
      <c r="C930" s="149">
        <v>4778</v>
      </c>
      <c r="D930" s="69" t="s">
        <v>123</v>
      </c>
      <c r="E930" s="69" t="s">
        <v>3387</v>
      </c>
      <c r="F930" s="63"/>
      <c r="G930" s="69">
        <v>21797.11</v>
      </c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  <c r="AD930" s="69"/>
      <c r="AE930" s="69"/>
      <c r="AF930" s="69"/>
      <c r="AG930" s="69"/>
      <c r="AH930" s="69"/>
      <c r="AI930" s="69"/>
      <c r="AJ930" s="69"/>
      <c r="AK930" s="69"/>
      <c r="AL930" s="69"/>
      <c r="AM930" s="69"/>
      <c r="AN930" s="69"/>
      <c r="AO930" s="69"/>
      <c r="AP930" s="69"/>
      <c r="AQ930" s="69"/>
      <c r="AR930" s="94">
        <f t="shared" si="77"/>
        <v>21797.11</v>
      </c>
      <c r="AS930" s="69">
        <v>16069.52</v>
      </c>
      <c r="AT930" s="69">
        <v>2165.5500000000002</v>
      </c>
      <c r="AU930" s="69">
        <v>2550.04</v>
      </c>
      <c r="AV930" s="69">
        <v>1012</v>
      </c>
      <c r="AW930" s="69"/>
      <c r="AX930" s="69"/>
      <c r="AY930" s="69"/>
      <c r="AZ930" s="69"/>
      <c r="BA930" s="69"/>
      <c r="BB930" s="69"/>
      <c r="BC930" s="69"/>
      <c r="BD930" s="69"/>
      <c r="BE930" s="69"/>
      <c r="BF930" s="69"/>
      <c r="BG930" s="69"/>
      <c r="BH930" s="69"/>
      <c r="BI930" s="69"/>
      <c r="BJ930" s="69"/>
      <c r="BK930" s="69"/>
      <c r="BL930" s="69"/>
      <c r="BM930" s="69"/>
      <c r="BN930" s="69"/>
      <c r="BO930" s="69"/>
      <c r="BP930" s="69"/>
      <c r="BQ930" s="69"/>
      <c r="BR930" s="69"/>
      <c r="BS930" s="69"/>
      <c r="BT930" s="69"/>
      <c r="BU930" s="69"/>
      <c r="BV930" s="69"/>
      <c r="BW930" s="69"/>
      <c r="BX930" s="69"/>
      <c r="BY930" s="69"/>
      <c r="BZ930" s="69"/>
      <c r="CA930" s="69"/>
      <c r="CB930" s="69"/>
      <c r="CC930" s="69"/>
      <c r="CD930" s="69"/>
      <c r="CE930" s="94">
        <f t="shared" si="76"/>
        <v>21797.11</v>
      </c>
      <c r="CF930" s="151">
        <f t="shared" si="71"/>
        <v>0</v>
      </c>
      <c r="CG930" s="75">
        <f t="shared" si="72"/>
        <v>4778</v>
      </c>
      <c r="CH930" s="69" t="str">
        <f t="shared" si="72"/>
        <v>خ ت اسنان</v>
      </c>
    </row>
    <row r="931" spans="1:86" x14ac:dyDescent="0.25">
      <c r="A931" s="148"/>
      <c r="B931" s="82">
        <v>8805</v>
      </c>
      <c r="C931" s="149">
        <v>4779</v>
      </c>
      <c r="D931" s="69" t="s">
        <v>123</v>
      </c>
      <c r="E931" s="69" t="s">
        <v>3387</v>
      </c>
      <c r="F931" s="63"/>
      <c r="G931" s="69">
        <v>844.2</v>
      </c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  <c r="AD931" s="69"/>
      <c r="AE931" s="69"/>
      <c r="AF931" s="69"/>
      <c r="AG931" s="69"/>
      <c r="AH931" s="69"/>
      <c r="AI931" s="69"/>
      <c r="AJ931" s="69"/>
      <c r="AK931" s="69"/>
      <c r="AL931" s="69"/>
      <c r="AM931" s="69"/>
      <c r="AN931" s="69"/>
      <c r="AO931" s="69"/>
      <c r="AP931" s="69"/>
      <c r="AQ931" s="69"/>
      <c r="AR931" s="94">
        <f t="shared" si="77"/>
        <v>844.2</v>
      </c>
      <c r="AS931" s="69">
        <v>564.65</v>
      </c>
      <c r="AT931" s="69">
        <v>76.150000000000006</v>
      </c>
      <c r="AU931" s="69">
        <v>203.4</v>
      </c>
      <c r="AV931" s="69"/>
      <c r="AW931" s="69"/>
      <c r="AX931" s="69"/>
      <c r="AY931" s="69"/>
      <c r="AZ931" s="69"/>
      <c r="BA931" s="69"/>
      <c r="BB931" s="69"/>
      <c r="BC931" s="69"/>
      <c r="BD931" s="69"/>
      <c r="BE931" s="69"/>
      <c r="BF931" s="69"/>
      <c r="BG931" s="69"/>
      <c r="BH931" s="69"/>
      <c r="BI931" s="69"/>
      <c r="BJ931" s="69"/>
      <c r="BK931" s="69"/>
      <c r="BL931" s="69"/>
      <c r="BM931" s="69"/>
      <c r="BN931" s="69"/>
      <c r="BO931" s="69"/>
      <c r="BP931" s="69"/>
      <c r="BQ931" s="69"/>
      <c r="BR931" s="69"/>
      <c r="BS931" s="69"/>
      <c r="BT931" s="69"/>
      <c r="BU931" s="69"/>
      <c r="BV931" s="69"/>
      <c r="BW931" s="69"/>
      <c r="BX931" s="69"/>
      <c r="BY931" s="69"/>
      <c r="BZ931" s="69"/>
      <c r="CA931" s="69"/>
      <c r="CB931" s="69"/>
      <c r="CC931" s="69"/>
      <c r="CD931" s="69"/>
      <c r="CE931" s="94">
        <f t="shared" si="76"/>
        <v>844.19999999999993</v>
      </c>
      <c r="CF931" s="151">
        <f t="shared" si="71"/>
        <v>0</v>
      </c>
      <c r="CG931" s="75">
        <f t="shared" si="72"/>
        <v>4779</v>
      </c>
      <c r="CH931" s="69" t="str">
        <f t="shared" si="72"/>
        <v>خ ت اسنان</v>
      </c>
    </row>
    <row r="932" spans="1:86" x14ac:dyDescent="0.25">
      <c r="A932" s="148"/>
      <c r="B932" s="82">
        <v>8806</v>
      </c>
      <c r="C932" s="149">
        <v>4780</v>
      </c>
      <c r="D932" s="69" t="s">
        <v>123</v>
      </c>
      <c r="E932" s="69" t="s">
        <v>3387</v>
      </c>
      <c r="F932" s="63"/>
      <c r="G932" s="69">
        <v>2110.5</v>
      </c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  <c r="AD932" s="69"/>
      <c r="AE932" s="69"/>
      <c r="AF932" s="69"/>
      <c r="AG932" s="69"/>
      <c r="AH932" s="69"/>
      <c r="AI932" s="69"/>
      <c r="AJ932" s="69"/>
      <c r="AK932" s="69"/>
      <c r="AL932" s="69"/>
      <c r="AM932" s="69"/>
      <c r="AN932" s="69"/>
      <c r="AO932" s="69"/>
      <c r="AP932" s="69"/>
      <c r="AQ932" s="69"/>
      <c r="AR932" s="94">
        <f t="shared" si="77"/>
        <v>2110.5</v>
      </c>
      <c r="AS932" s="69">
        <v>1320.35</v>
      </c>
      <c r="AT932" s="69">
        <v>191.65</v>
      </c>
      <c r="AU932" s="69">
        <v>508.5</v>
      </c>
      <c r="AV932" s="69">
        <v>90</v>
      </c>
      <c r="AW932" s="69"/>
      <c r="AX932" s="69"/>
      <c r="AY932" s="69"/>
      <c r="AZ932" s="69"/>
      <c r="BA932" s="69"/>
      <c r="BB932" s="69"/>
      <c r="BC932" s="69"/>
      <c r="BD932" s="69"/>
      <c r="BE932" s="69"/>
      <c r="BF932" s="69"/>
      <c r="BG932" s="69"/>
      <c r="BH932" s="69"/>
      <c r="BI932" s="69"/>
      <c r="BJ932" s="69"/>
      <c r="BK932" s="69"/>
      <c r="BL932" s="69"/>
      <c r="BM932" s="69"/>
      <c r="BN932" s="69"/>
      <c r="BO932" s="69"/>
      <c r="BP932" s="69"/>
      <c r="BQ932" s="69"/>
      <c r="BR932" s="69"/>
      <c r="BS932" s="69"/>
      <c r="BT932" s="69"/>
      <c r="BU932" s="69"/>
      <c r="BV932" s="69"/>
      <c r="BW932" s="69"/>
      <c r="BX932" s="69"/>
      <c r="BY932" s="69"/>
      <c r="BZ932" s="69"/>
      <c r="CA932" s="69"/>
      <c r="CB932" s="69"/>
      <c r="CC932" s="69"/>
      <c r="CD932" s="69"/>
      <c r="CE932" s="94">
        <f t="shared" si="76"/>
        <v>2110.5</v>
      </c>
      <c r="CF932" s="151">
        <f t="shared" si="71"/>
        <v>0</v>
      </c>
      <c r="CG932" s="75">
        <f t="shared" si="72"/>
        <v>4780</v>
      </c>
      <c r="CH932" s="69" t="str">
        <f t="shared" si="72"/>
        <v>خ ت اسنان</v>
      </c>
    </row>
    <row r="933" spans="1:86" x14ac:dyDescent="0.25">
      <c r="A933" s="148"/>
      <c r="B933" s="82">
        <v>8804</v>
      </c>
      <c r="C933" s="149">
        <v>4781</v>
      </c>
      <c r="D933" s="69" t="s">
        <v>123</v>
      </c>
      <c r="E933" s="69" t="s">
        <v>3387</v>
      </c>
      <c r="F933" s="63"/>
      <c r="G933" s="69">
        <v>2954.7</v>
      </c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  <c r="AD933" s="69"/>
      <c r="AE933" s="69"/>
      <c r="AF933" s="69"/>
      <c r="AG933" s="69"/>
      <c r="AH933" s="69"/>
      <c r="AI933" s="69"/>
      <c r="AJ933" s="69"/>
      <c r="AK933" s="69"/>
      <c r="AL933" s="69"/>
      <c r="AM933" s="69"/>
      <c r="AN933" s="69"/>
      <c r="AO933" s="69"/>
      <c r="AP933" s="69"/>
      <c r="AQ933" s="69"/>
      <c r="AR933" s="94">
        <f t="shared" si="77"/>
        <v>2954.7</v>
      </c>
      <c r="AS933" s="69">
        <v>1975</v>
      </c>
      <c r="AT933" s="69">
        <v>267.8</v>
      </c>
      <c r="AU933" s="69">
        <v>711.9</v>
      </c>
      <c r="AV933" s="69"/>
      <c r="AW933" s="69"/>
      <c r="AX933" s="69"/>
      <c r="AY933" s="69"/>
      <c r="AZ933" s="69"/>
      <c r="BA933" s="69"/>
      <c r="BB933" s="69"/>
      <c r="BC933" s="69"/>
      <c r="BD933" s="69"/>
      <c r="BE933" s="69"/>
      <c r="BF933" s="69"/>
      <c r="BG933" s="69"/>
      <c r="BH933" s="69"/>
      <c r="BI933" s="69"/>
      <c r="BJ933" s="69"/>
      <c r="BK933" s="69"/>
      <c r="BL933" s="69"/>
      <c r="BM933" s="69"/>
      <c r="BN933" s="69"/>
      <c r="BO933" s="69"/>
      <c r="BP933" s="69"/>
      <c r="BQ933" s="69"/>
      <c r="BR933" s="69"/>
      <c r="BS933" s="69"/>
      <c r="BT933" s="69"/>
      <c r="BU933" s="69"/>
      <c r="BV933" s="69"/>
      <c r="BW933" s="69"/>
      <c r="BX933" s="69"/>
      <c r="BY933" s="69"/>
      <c r="BZ933" s="69"/>
      <c r="CA933" s="69"/>
      <c r="CB933" s="69"/>
      <c r="CC933" s="69"/>
      <c r="CD933" s="69"/>
      <c r="CE933" s="94">
        <f t="shared" si="76"/>
        <v>2954.7000000000003</v>
      </c>
      <c r="CF933" s="151">
        <f t="shared" si="71"/>
        <v>0</v>
      </c>
      <c r="CG933" s="75">
        <f t="shared" si="72"/>
        <v>4781</v>
      </c>
      <c r="CH933" s="69" t="str">
        <f t="shared" si="72"/>
        <v>خ ت اسنان</v>
      </c>
    </row>
    <row r="934" spans="1:86" x14ac:dyDescent="0.25">
      <c r="A934" s="148"/>
      <c r="B934" s="82">
        <v>8835</v>
      </c>
      <c r="C934" s="149">
        <v>4782</v>
      </c>
      <c r="D934" s="69" t="s">
        <v>123</v>
      </c>
      <c r="E934" s="69" t="s">
        <v>3387</v>
      </c>
      <c r="F934" s="63"/>
      <c r="G934" s="69">
        <v>11607.75</v>
      </c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  <c r="AD934" s="69"/>
      <c r="AE934" s="69"/>
      <c r="AF934" s="69"/>
      <c r="AG934" s="69"/>
      <c r="AH934" s="69"/>
      <c r="AI934" s="69"/>
      <c r="AJ934" s="69"/>
      <c r="AK934" s="69"/>
      <c r="AL934" s="69"/>
      <c r="AM934" s="69"/>
      <c r="AN934" s="69"/>
      <c r="AO934" s="69"/>
      <c r="AP934" s="69"/>
      <c r="AQ934" s="69"/>
      <c r="AR934" s="94">
        <f t="shared" si="77"/>
        <v>11607.75</v>
      </c>
      <c r="AS934" s="69">
        <v>7262.45</v>
      </c>
      <c r="AT934" s="69">
        <f>63.55+990</f>
        <v>1053.55</v>
      </c>
      <c r="AU934" s="69">
        <v>2796.75</v>
      </c>
      <c r="AV934" s="69">
        <v>495</v>
      </c>
      <c r="AW934" s="69"/>
      <c r="AX934" s="69"/>
      <c r="AY934" s="69"/>
      <c r="AZ934" s="69"/>
      <c r="BA934" s="69"/>
      <c r="BB934" s="69"/>
      <c r="BC934" s="69"/>
      <c r="BD934" s="69"/>
      <c r="BE934" s="69"/>
      <c r="BF934" s="69"/>
      <c r="BG934" s="69"/>
      <c r="BH934" s="69"/>
      <c r="BI934" s="69"/>
      <c r="BJ934" s="69"/>
      <c r="BK934" s="69"/>
      <c r="BL934" s="69"/>
      <c r="BM934" s="69"/>
      <c r="BN934" s="69"/>
      <c r="BO934" s="69"/>
      <c r="BP934" s="69"/>
      <c r="BQ934" s="69"/>
      <c r="BR934" s="69"/>
      <c r="BS934" s="69"/>
      <c r="BT934" s="69"/>
      <c r="BU934" s="69"/>
      <c r="BV934" s="69"/>
      <c r="BW934" s="69"/>
      <c r="BX934" s="69"/>
      <c r="BY934" s="69"/>
      <c r="BZ934" s="69"/>
      <c r="CA934" s="69"/>
      <c r="CB934" s="69"/>
      <c r="CC934" s="69"/>
      <c r="CD934" s="69"/>
      <c r="CE934" s="94">
        <f t="shared" si="76"/>
        <v>11607.75</v>
      </c>
      <c r="CF934" s="151">
        <f t="shared" si="71"/>
        <v>0</v>
      </c>
      <c r="CG934" s="75">
        <f t="shared" si="72"/>
        <v>4782</v>
      </c>
      <c r="CH934" s="69" t="str">
        <f t="shared" si="72"/>
        <v>خ ت اسنان</v>
      </c>
    </row>
    <row r="935" spans="1:86" x14ac:dyDescent="0.25">
      <c r="A935" s="148"/>
      <c r="B935" s="82">
        <v>8810</v>
      </c>
      <c r="C935" s="149">
        <v>4783</v>
      </c>
      <c r="D935" s="69" t="s">
        <v>123</v>
      </c>
      <c r="E935" s="69" t="s">
        <v>3387</v>
      </c>
      <c r="F935" s="63"/>
      <c r="G935" s="69">
        <v>6600</v>
      </c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  <c r="AD935" s="69"/>
      <c r="AE935" s="69"/>
      <c r="AF935" s="69"/>
      <c r="AG935" s="69"/>
      <c r="AH935" s="69"/>
      <c r="AI935" s="69"/>
      <c r="AJ935" s="69"/>
      <c r="AK935" s="69"/>
      <c r="AL935" s="69"/>
      <c r="AM935" s="69"/>
      <c r="AN935" s="69"/>
      <c r="AO935" s="69"/>
      <c r="AP935" s="69"/>
      <c r="AQ935" s="69"/>
      <c r="AR935" s="94">
        <f t="shared" si="77"/>
        <v>6600</v>
      </c>
      <c r="AS935" s="69">
        <v>5561.55</v>
      </c>
      <c r="AT935" s="69">
        <v>708.45</v>
      </c>
      <c r="AU935" s="69"/>
      <c r="AV935" s="69">
        <v>330</v>
      </c>
      <c r="AW935" s="69"/>
      <c r="AX935" s="69"/>
      <c r="AY935" s="69"/>
      <c r="AZ935" s="69"/>
      <c r="BA935" s="69"/>
      <c r="BB935" s="69"/>
      <c r="BC935" s="69"/>
      <c r="BD935" s="69"/>
      <c r="BE935" s="69"/>
      <c r="BF935" s="69"/>
      <c r="BG935" s="69"/>
      <c r="BH935" s="69"/>
      <c r="BI935" s="69"/>
      <c r="BJ935" s="69"/>
      <c r="BK935" s="69"/>
      <c r="BL935" s="69"/>
      <c r="BM935" s="69"/>
      <c r="BN935" s="69"/>
      <c r="BO935" s="69"/>
      <c r="BP935" s="69"/>
      <c r="BQ935" s="69"/>
      <c r="BR935" s="69"/>
      <c r="BS935" s="69"/>
      <c r="BT935" s="69"/>
      <c r="BU935" s="69"/>
      <c r="BV935" s="69"/>
      <c r="BW935" s="69"/>
      <c r="BX935" s="69"/>
      <c r="BY935" s="69"/>
      <c r="BZ935" s="69"/>
      <c r="CA935" s="69"/>
      <c r="CB935" s="69"/>
      <c r="CC935" s="69"/>
      <c r="CD935" s="69"/>
      <c r="CE935" s="94">
        <f t="shared" si="76"/>
        <v>6600</v>
      </c>
      <c r="CF935" s="151">
        <f t="shared" si="71"/>
        <v>0</v>
      </c>
      <c r="CG935" s="75">
        <f t="shared" si="72"/>
        <v>4783</v>
      </c>
      <c r="CH935" s="69" t="str">
        <f t="shared" si="72"/>
        <v>خ ت اسنان</v>
      </c>
    </row>
    <row r="936" spans="1:86" x14ac:dyDescent="0.25">
      <c r="A936" s="148"/>
      <c r="B936" s="82">
        <v>8811</v>
      </c>
      <c r="C936" s="149">
        <v>4784</v>
      </c>
      <c r="D936" s="69" t="s">
        <v>123</v>
      </c>
      <c r="E936" s="69" t="str">
        <f>+E924</f>
        <v>مكافاه خ ت اكتوبر</v>
      </c>
      <c r="F936" s="63"/>
      <c r="G936" s="69">
        <v>3131.05</v>
      </c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  <c r="AD936" s="69"/>
      <c r="AE936" s="69"/>
      <c r="AF936" s="69"/>
      <c r="AG936" s="69"/>
      <c r="AH936" s="69"/>
      <c r="AI936" s="69"/>
      <c r="AJ936" s="69"/>
      <c r="AK936" s="69"/>
      <c r="AL936" s="69"/>
      <c r="AM936" s="69"/>
      <c r="AN936" s="69"/>
      <c r="AO936" s="69"/>
      <c r="AP936" s="69"/>
      <c r="AQ936" s="69"/>
      <c r="AR936" s="94">
        <f t="shared" si="77"/>
        <v>3131.05</v>
      </c>
      <c r="AS936" s="69">
        <v>1992.79</v>
      </c>
      <c r="AT936" s="69">
        <v>272.55</v>
      </c>
      <c r="AU936" s="69">
        <v>731.5</v>
      </c>
      <c r="AV936" s="69">
        <v>134.21</v>
      </c>
      <c r="AW936" s="69"/>
      <c r="AX936" s="69"/>
      <c r="AY936" s="69"/>
      <c r="AZ936" s="69"/>
      <c r="BA936" s="69"/>
      <c r="BB936" s="69"/>
      <c r="BC936" s="69"/>
      <c r="BD936" s="69"/>
      <c r="BE936" s="69"/>
      <c r="BF936" s="69"/>
      <c r="BG936" s="69"/>
      <c r="BH936" s="69"/>
      <c r="BI936" s="69"/>
      <c r="BJ936" s="69"/>
      <c r="BK936" s="69"/>
      <c r="BL936" s="69"/>
      <c r="BM936" s="69"/>
      <c r="BN936" s="69"/>
      <c r="BO936" s="69"/>
      <c r="BP936" s="69"/>
      <c r="BQ936" s="69"/>
      <c r="BR936" s="69"/>
      <c r="BS936" s="69"/>
      <c r="BT936" s="69"/>
      <c r="BU936" s="69"/>
      <c r="BV936" s="69"/>
      <c r="BW936" s="69"/>
      <c r="BX936" s="69"/>
      <c r="BY936" s="69"/>
      <c r="BZ936" s="69"/>
      <c r="CA936" s="69"/>
      <c r="CB936" s="69"/>
      <c r="CC936" s="69"/>
      <c r="CD936" s="69"/>
      <c r="CE936" s="94">
        <f t="shared" si="76"/>
        <v>3131.05</v>
      </c>
      <c r="CF936" s="151">
        <f t="shared" si="71"/>
        <v>0</v>
      </c>
      <c r="CG936" s="75">
        <f t="shared" si="72"/>
        <v>4784</v>
      </c>
      <c r="CH936" s="69" t="str">
        <f t="shared" si="72"/>
        <v>خ ت اسنان</v>
      </c>
    </row>
    <row r="937" spans="1:86" x14ac:dyDescent="0.25">
      <c r="A937" s="148"/>
      <c r="B937" s="82">
        <v>8816</v>
      </c>
      <c r="C937" s="149">
        <v>4785</v>
      </c>
      <c r="D937" s="69" t="s">
        <v>125</v>
      </c>
      <c r="E937" s="69" t="s">
        <v>3388</v>
      </c>
      <c r="F937" s="63"/>
      <c r="G937" s="69">
        <v>4900.22</v>
      </c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  <c r="AD937" s="69"/>
      <c r="AE937" s="69"/>
      <c r="AF937" s="69"/>
      <c r="AG937" s="69"/>
      <c r="AH937" s="69"/>
      <c r="AI937" s="69"/>
      <c r="AJ937" s="69"/>
      <c r="AK937" s="69"/>
      <c r="AL937" s="69"/>
      <c r="AM937" s="69"/>
      <c r="AN937" s="69"/>
      <c r="AO937" s="69"/>
      <c r="AP937" s="69"/>
      <c r="AQ937" s="69"/>
      <c r="AR937" s="94">
        <f t="shared" si="77"/>
        <v>4900.22</v>
      </c>
      <c r="AS937" s="69">
        <v>3154.62</v>
      </c>
      <c r="AT937" s="69">
        <v>449.2</v>
      </c>
      <c r="AU937" s="69">
        <v>1084.5</v>
      </c>
      <c r="AV937" s="69">
        <v>211.9</v>
      </c>
      <c r="AW937" s="69"/>
      <c r="AX937" s="69"/>
      <c r="AY937" s="69"/>
      <c r="AZ937" s="69"/>
      <c r="BA937" s="69"/>
      <c r="BB937" s="69"/>
      <c r="BC937" s="69"/>
      <c r="BD937" s="69"/>
      <c r="BE937" s="69"/>
      <c r="BF937" s="69"/>
      <c r="BG937" s="69"/>
      <c r="BH937" s="69"/>
      <c r="BI937" s="69"/>
      <c r="BJ937" s="69"/>
      <c r="BK937" s="69"/>
      <c r="BL937" s="69"/>
      <c r="BM937" s="69"/>
      <c r="BN937" s="69"/>
      <c r="BO937" s="69"/>
      <c r="BP937" s="69"/>
      <c r="BQ937" s="69"/>
      <c r="BR937" s="69"/>
      <c r="BS937" s="69"/>
      <c r="BT937" s="69"/>
      <c r="BU937" s="69"/>
      <c r="BV937" s="69"/>
      <c r="BW937" s="69"/>
      <c r="BX937" s="69"/>
      <c r="BY937" s="69"/>
      <c r="BZ937" s="69"/>
      <c r="CA937" s="69"/>
      <c r="CB937" s="69"/>
      <c r="CC937" s="69"/>
      <c r="CD937" s="69"/>
      <c r="CE937" s="94">
        <f t="shared" si="76"/>
        <v>4900.2199999999993</v>
      </c>
      <c r="CF937" s="151">
        <f t="shared" si="71"/>
        <v>0</v>
      </c>
      <c r="CG937" s="75">
        <f t="shared" si="72"/>
        <v>4785</v>
      </c>
      <c r="CH937" s="69" t="str">
        <f t="shared" si="72"/>
        <v>اختبار مواد</v>
      </c>
    </row>
    <row r="938" spans="1:86" x14ac:dyDescent="0.25">
      <c r="A938" s="148"/>
      <c r="B938" s="82">
        <v>8462</v>
      </c>
      <c r="C938" s="149">
        <v>4786</v>
      </c>
      <c r="D938" s="69" t="s">
        <v>132</v>
      </c>
      <c r="E938" s="69" t="s">
        <v>3364</v>
      </c>
      <c r="F938" s="63"/>
      <c r="G938" s="69">
        <v>1000</v>
      </c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  <c r="AD938" s="69"/>
      <c r="AE938" s="69"/>
      <c r="AF938" s="69"/>
      <c r="AG938" s="69"/>
      <c r="AH938" s="69"/>
      <c r="AI938" s="69"/>
      <c r="AJ938" s="69"/>
      <c r="AK938" s="69"/>
      <c r="AL938" s="69"/>
      <c r="AM938" s="69"/>
      <c r="AN938" s="69"/>
      <c r="AO938" s="69"/>
      <c r="AP938" s="69"/>
      <c r="AQ938" s="69"/>
      <c r="AR938" s="94">
        <f t="shared" si="77"/>
        <v>1000</v>
      </c>
      <c r="AS938" s="69">
        <v>893.35</v>
      </c>
      <c r="AT938" s="69">
        <v>106.65</v>
      </c>
      <c r="AU938" s="69"/>
      <c r="AV938" s="69"/>
      <c r="AW938" s="69"/>
      <c r="AX938" s="69"/>
      <c r="AY938" s="69"/>
      <c r="AZ938" s="69"/>
      <c r="BA938" s="69"/>
      <c r="BB938" s="69"/>
      <c r="BC938" s="69"/>
      <c r="BD938" s="69"/>
      <c r="BE938" s="69"/>
      <c r="BF938" s="69"/>
      <c r="BG938" s="69"/>
      <c r="BH938" s="69"/>
      <c r="BI938" s="69"/>
      <c r="BJ938" s="69"/>
      <c r="BK938" s="69"/>
      <c r="BL938" s="69"/>
      <c r="BM938" s="69"/>
      <c r="BN938" s="69"/>
      <c r="BO938" s="69"/>
      <c r="BP938" s="69"/>
      <c r="BQ938" s="69"/>
      <c r="BR938" s="69"/>
      <c r="BS938" s="69"/>
      <c r="BT938" s="69"/>
      <c r="BU938" s="69"/>
      <c r="BV938" s="69"/>
      <c r="BW938" s="69"/>
      <c r="BX938" s="69"/>
      <c r="BY938" s="69"/>
      <c r="BZ938" s="69"/>
      <c r="CA938" s="69"/>
      <c r="CB938" s="69"/>
      <c r="CC938" s="69"/>
      <c r="CD938" s="69"/>
      <c r="CE938" s="94">
        <f t="shared" si="76"/>
        <v>1000</v>
      </c>
      <c r="CF938" s="151">
        <f t="shared" si="71"/>
        <v>0</v>
      </c>
      <c r="CG938" s="75">
        <f t="shared" si="72"/>
        <v>4786</v>
      </c>
      <c r="CH938" s="69" t="str">
        <f t="shared" si="72"/>
        <v>صيدلة اكلينيكى</v>
      </c>
    </row>
    <row r="939" spans="1:86" x14ac:dyDescent="0.25">
      <c r="A939" s="148"/>
      <c r="B939" s="82">
        <v>8467</v>
      </c>
      <c r="C939" s="149">
        <v>4787</v>
      </c>
      <c r="D939" s="69" t="s">
        <v>119</v>
      </c>
      <c r="E939" s="69" t="s">
        <v>3389</v>
      </c>
      <c r="F939" s="63"/>
      <c r="G939" s="69">
        <v>750</v>
      </c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  <c r="AE939" s="69"/>
      <c r="AF939" s="69"/>
      <c r="AG939" s="69"/>
      <c r="AH939" s="69"/>
      <c r="AI939" s="69"/>
      <c r="AJ939" s="69"/>
      <c r="AK939" s="69"/>
      <c r="AL939" s="69"/>
      <c r="AM939" s="69"/>
      <c r="AN939" s="69"/>
      <c r="AO939" s="69"/>
      <c r="AP939" s="69"/>
      <c r="AQ939" s="69"/>
      <c r="AR939" s="94">
        <f t="shared" si="77"/>
        <v>750</v>
      </c>
      <c r="AS939" s="69">
        <v>670.1</v>
      </c>
      <c r="AT939" s="69">
        <v>79.900000000000006</v>
      </c>
      <c r="AU939" s="69"/>
      <c r="AV939" s="69"/>
      <c r="AW939" s="69"/>
      <c r="AX939" s="69"/>
      <c r="AY939" s="69"/>
      <c r="AZ939" s="69"/>
      <c r="BA939" s="69"/>
      <c r="BB939" s="69"/>
      <c r="BC939" s="69"/>
      <c r="BD939" s="69"/>
      <c r="BE939" s="69"/>
      <c r="BF939" s="69"/>
      <c r="BG939" s="69"/>
      <c r="BH939" s="69"/>
      <c r="BI939" s="69"/>
      <c r="BJ939" s="69"/>
      <c r="BK939" s="69"/>
      <c r="BL939" s="69"/>
      <c r="BM939" s="69"/>
      <c r="BN939" s="69"/>
      <c r="BO939" s="69"/>
      <c r="BP939" s="69"/>
      <c r="BQ939" s="69"/>
      <c r="BR939" s="69"/>
      <c r="BS939" s="69"/>
      <c r="BT939" s="69"/>
      <c r="BU939" s="69"/>
      <c r="BV939" s="69"/>
      <c r="BW939" s="69"/>
      <c r="BX939" s="69"/>
      <c r="BY939" s="69"/>
      <c r="BZ939" s="69"/>
      <c r="CA939" s="69"/>
      <c r="CB939" s="69"/>
      <c r="CC939" s="69"/>
      <c r="CD939" s="69"/>
      <c r="CE939" s="94">
        <f t="shared" si="76"/>
        <v>750</v>
      </c>
      <c r="CF939" s="151">
        <f t="shared" si="71"/>
        <v>0</v>
      </c>
      <c r="CG939" s="75">
        <f t="shared" si="72"/>
        <v>4787</v>
      </c>
      <c r="CH939" s="69" t="str">
        <f t="shared" si="72"/>
        <v>خ ت صيدلة</v>
      </c>
    </row>
    <row r="940" spans="1:86" x14ac:dyDescent="0.25">
      <c r="A940" s="148">
        <f>SUM(G939:G980)</f>
        <v>549506.88000000012</v>
      </c>
      <c r="B940" s="82">
        <v>8504</v>
      </c>
      <c r="C940" s="149">
        <v>4788</v>
      </c>
      <c r="D940" s="69" t="s">
        <v>119</v>
      </c>
      <c r="E940" s="69" t="s">
        <v>3390</v>
      </c>
      <c r="F940" s="63"/>
      <c r="G940" s="69">
        <v>29453.200000000001</v>
      </c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  <c r="AD940" s="69"/>
      <c r="AE940" s="69"/>
      <c r="AF940" s="69"/>
      <c r="AG940" s="69"/>
      <c r="AH940" s="69"/>
      <c r="AI940" s="69"/>
      <c r="AJ940" s="69"/>
      <c r="AK940" s="69"/>
      <c r="AL940" s="69"/>
      <c r="AM940" s="69"/>
      <c r="AN940" s="69"/>
      <c r="AO940" s="69"/>
      <c r="AP940" s="69"/>
      <c r="AQ940" s="69"/>
      <c r="AR940" s="94">
        <f t="shared" si="77"/>
        <v>29453.200000000001</v>
      </c>
      <c r="AS940" s="69">
        <v>18400.3</v>
      </c>
      <c r="AT940" s="69">
        <f>188.5+2512</f>
        <v>2700.5</v>
      </c>
      <c r="AU940" s="69">
        <v>7096.4</v>
      </c>
      <c r="AV940" s="69">
        <v>1256</v>
      </c>
      <c r="AW940" s="69"/>
      <c r="AX940" s="69"/>
      <c r="AY940" s="69"/>
      <c r="AZ940" s="69"/>
      <c r="BA940" s="69"/>
      <c r="BB940" s="69"/>
      <c r="BC940" s="69"/>
      <c r="BD940" s="69"/>
      <c r="BE940" s="69"/>
      <c r="BF940" s="69"/>
      <c r="BG940" s="69"/>
      <c r="BH940" s="69"/>
      <c r="BI940" s="69"/>
      <c r="BJ940" s="69"/>
      <c r="BK940" s="69"/>
      <c r="BL940" s="69"/>
      <c r="BM940" s="69"/>
      <c r="BN940" s="69"/>
      <c r="BO940" s="69"/>
      <c r="BP940" s="69"/>
      <c r="BQ940" s="69"/>
      <c r="BR940" s="69"/>
      <c r="BS940" s="69"/>
      <c r="BT940" s="69"/>
      <c r="BU940" s="69"/>
      <c r="BV940" s="69"/>
      <c r="BW940" s="69"/>
      <c r="BX940" s="69"/>
      <c r="BY940" s="69"/>
      <c r="BZ940" s="69"/>
      <c r="CA940" s="69"/>
      <c r="CB940" s="69"/>
      <c r="CC940" s="69"/>
      <c r="CD940" s="69"/>
      <c r="CE940" s="94">
        <f t="shared" si="76"/>
        <v>29453.199999999997</v>
      </c>
      <c r="CF940" s="151">
        <f t="shared" si="71"/>
        <v>0</v>
      </c>
      <c r="CG940" s="75">
        <f t="shared" si="72"/>
        <v>4788</v>
      </c>
      <c r="CH940" s="69" t="str">
        <f t="shared" si="72"/>
        <v>خ ت صيدلة</v>
      </c>
    </row>
    <row r="941" spans="1:86" x14ac:dyDescent="0.25">
      <c r="A941" s="148"/>
      <c r="B941" s="82">
        <v>8499</v>
      </c>
      <c r="C941" s="149">
        <v>4789</v>
      </c>
      <c r="D941" s="69" t="s">
        <v>119</v>
      </c>
      <c r="E941" s="69" t="s">
        <v>3390</v>
      </c>
      <c r="F941" s="63"/>
      <c r="G941" s="69">
        <v>5795.14</v>
      </c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  <c r="AD941" s="69"/>
      <c r="AE941" s="69"/>
      <c r="AF941" s="69"/>
      <c r="AG941" s="69"/>
      <c r="AH941" s="69"/>
      <c r="AI941" s="69"/>
      <c r="AJ941" s="69"/>
      <c r="AK941" s="69"/>
      <c r="AL941" s="69"/>
      <c r="AM941" s="69"/>
      <c r="AN941" s="69"/>
      <c r="AO941" s="69"/>
      <c r="AP941" s="69"/>
      <c r="AQ941" s="69"/>
      <c r="AR941" s="94">
        <f t="shared" si="77"/>
        <v>5795.14</v>
      </c>
      <c r="AS941" s="69">
        <v>4141.87</v>
      </c>
      <c r="AT941" s="69">
        <v>1053.7</v>
      </c>
      <c r="AU941" s="69">
        <v>319.57</v>
      </c>
      <c r="AV941" s="69">
        <v>280</v>
      </c>
      <c r="AW941" s="69"/>
      <c r="AX941" s="69"/>
      <c r="AY941" s="69"/>
      <c r="AZ941" s="69"/>
      <c r="BA941" s="69"/>
      <c r="BB941" s="69"/>
      <c r="BC941" s="69"/>
      <c r="BD941" s="69"/>
      <c r="BE941" s="69"/>
      <c r="BF941" s="69"/>
      <c r="BG941" s="69"/>
      <c r="BH941" s="69"/>
      <c r="BI941" s="69"/>
      <c r="BJ941" s="69"/>
      <c r="BK941" s="69"/>
      <c r="BL941" s="69"/>
      <c r="BM941" s="69"/>
      <c r="BN941" s="69"/>
      <c r="BO941" s="69"/>
      <c r="BP941" s="69"/>
      <c r="BQ941" s="69"/>
      <c r="BR941" s="69"/>
      <c r="BS941" s="69"/>
      <c r="BT941" s="69"/>
      <c r="BU941" s="69"/>
      <c r="BV941" s="69"/>
      <c r="BW941" s="69"/>
      <c r="BX941" s="69"/>
      <c r="BY941" s="69"/>
      <c r="BZ941" s="69"/>
      <c r="CA941" s="69"/>
      <c r="CB941" s="69"/>
      <c r="CC941" s="69"/>
      <c r="CD941" s="69"/>
      <c r="CE941" s="94">
        <f t="shared" si="76"/>
        <v>5795.1399999999994</v>
      </c>
      <c r="CF941" s="151">
        <f t="shared" si="71"/>
        <v>0</v>
      </c>
      <c r="CG941" s="75">
        <f t="shared" si="72"/>
        <v>4789</v>
      </c>
      <c r="CH941" s="69" t="str">
        <f t="shared" si="72"/>
        <v>خ ت صيدلة</v>
      </c>
    </row>
    <row r="942" spans="1:86" x14ac:dyDescent="0.25">
      <c r="A942" s="148"/>
      <c r="B942" s="82">
        <v>8500</v>
      </c>
      <c r="C942" s="149">
        <v>4790</v>
      </c>
      <c r="D942" s="69" t="s">
        <v>119</v>
      </c>
      <c r="E942" s="69" t="s">
        <v>3390</v>
      </c>
      <c r="F942" s="63"/>
      <c r="G942" s="69">
        <v>320</v>
      </c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  <c r="AD942" s="69"/>
      <c r="AE942" s="69"/>
      <c r="AF942" s="69"/>
      <c r="AG942" s="69"/>
      <c r="AH942" s="69"/>
      <c r="AI942" s="69"/>
      <c r="AJ942" s="69"/>
      <c r="AK942" s="69"/>
      <c r="AL942" s="69"/>
      <c r="AM942" s="69"/>
      <c r="AN942" s="69"/>
      <c r="AO942" s="69"/>
      <c r="AP942" s="69"/>
      <c r="AQ942" s="69"/>
      <c r="AR942" s="94">
        <f t="shared" si="77"/>
        <v>320</v>
      </c>
      <c r="AS942" s="69">
        <v>241.76</v>
      </c>
      <c r="AT942" s="69">
        <v>62.24</v>
      </c>
      <c r="AU942" s="69"/>
      <c r="AV942" s="69">
        <v>16</v>
      </c>
      <c r="AW942" s="69"/>
      <c r="AX942" s="69"/>
      <c r="AY942" s="69"/>
      <c r="AZ942" s="69"/>
      <c r="BA942" s="69"/>
      <c r="BB942" s="69"/>
      <c r="BC942" s="69"/>
      <c r="BD942" s="69"/>
      <c r="BE942" s="69"/>
      <c r="BF942" s="69"/>
      <c r="BG942" s="69"/>
      <c r="BH942" s="69"/>
      <c r="BI942" s="69"/>
      <c r="BJ942" s="69"/>
      <c r="BK942" s="69"/>
      <c r="BL942" s="69"/>
      <c r="BM942" s="69"/>
      <c r="BN942" s="69"/>
      <c r="BO942" s="69"/>
      <c r="BP942" s="69"/>
      <c r="BQ942" s="69"/>
      <c r="BR942" s="69"/>
      <c r="BS942" s="69"/>
      <c r="BT942" s="69"/>
      <c r="BU942" s="69"/>
      <c r="BV942" s="69"/>
      <c r="BW942" s="69"/>
      <c r="BX942" s="69"/>
      <c r="BY942" s="69"/>
      <c r="BZ942" s="69"/>
      <c r="CA942" s="69"/>
      <c r="CB942" s="69"/>
      <c r="CC942" s="69"/>
      <c r="CD942" s="69"/>
      <c r="CE942" s="94">
        <f t="shared" si="76"/>
        <v>320</v>
      </c>
      <c r="CF942" s="151">
        <f t="shared" si="71"/>
        <v>0</v>
      </c>
      <c r="CG942" s="75">
        <f t="shared" si="72"/>
        <v>4790</v>
      </c>
      <c r="CH942" s="69" t="str">
        <f t="shared" si="72"/>
        <v>خ ت صيدلة</v>
      </c>
    </row>
    <row r="943" spans="1:86" x14ac:dyDescent="0.25">
      <c r="A943" s="148"/>
      <c r="B943" s="82">
        <v>8501</v>
      </c>
      <c r="C943" s="149">
        <v>4791</v>
      </c>
      <c r="D943" s="69" t="s">
        <v>119</v>
      </c>
      <c r="E943" s="69" t="s">
        <v>3390</v>
      </c>
      <c r="F943" s="63"/>
      <c r="G943" s="69">
        <v>3840</v>
      </c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  <c r="AE943" s="69"/>
      <c r="AF943" s="69"/>
      <c r="AG943" s="69"/>
      <c r="AH943" s="69"/>
      <c r="AI943" s="69"/>
      <c r="AJ943" s="69"/>
      <c r="AK943" s="69"/>
      <c r="AL943" s="69"/>
      <c r="AM943" s="69"/>
      <c r="AN943" s="69"/>
      <c r="AO943" s="69"/>
      <c r="AP943" s="69"/>
      <c r="AQ943" s="69"/>
      <c r="AR943" s="94">
        <f t="shared" si="77"/>
        <v>3840</v>
      </c>
      <c r="AS943" s="69">
        <v>2895.92</v>
      </c>
      <c r="AT943" s="69">
        <v>752.08</v>
      </c>
      <c r="AU943" s="69"/>
      <c r="AV943" s="69">
        <v>192</v>
      </c>
      <c r="AW943" s="69"/>
      <c r="AX943" s="69"/>
      <c r="AY943" s="69"/>
      <c r="AZ943" s="69"/>
      <c r="BA943" s="69"/>
      <c r="BB943" s="69"/>
      <c r="BC943" s="69"/>
      <c r="BD943" s="69"/>
      <c r="BE943" s="69"/>
      <c r="BF943" s="69"/>
      <c r="BG943" s="69"/>
      <c r="BH943" s="69"/>
      <c r="BI943" s="69"/>
      <c r="BJ943" s="69"/>
      <c r="BK943" s="69"/>
      <c r="BL943" s="69"/>
      <c r="BM943" s="69"/>
      <c r="BN943" s="69"/>
      <c r="BO943" s="69"/>
      <c r="BP943" s="69"/>
      <c r="BQ943" s="69"/>
      <c r="BR943" s="69"/>
      <c r="BS943" s="69"/>
      <c r="BT943" s="69"/>
      <c r="BU943" s="69"/>
      <c r="BV943" s="69"/>
      <c r="BW943" s="69"/>
      <c r="BX943" s="69"/>
      <c r="BY943" s="69"/>
      <c r="BZ943" s="69"/>
      <c r="CA943" s="69"/>
      <c r="CB943" s="69"/>
      <c r="CC943" s="69"/>
      <c r="CD943" s="69"/>
      <c r="CE943" s="94">
        <f t="shared" si="76"/>
        <v>3840</v>
      </c>
      <c r="CF943" s="151">
        <f t="shared" si="71"/>
        <v>0</v>
      </c>
      <c r="CG943" s="75">
        <f t="shared" si="72"/>
        <v>4791</v>
      </c>
      <c r="CH943" s="69" t="str">
        <f t="shared" si="72"/>
        <v>خ ت صيدلة</v>
      </c>
    </row>
    <row r="944" spans="1:86" x14ac:dyDescent="0.25">
      <c r="A944" s="148"/>
      <c r="B944" s="82">
        <v>8502</v>
      </c>
      <c r="C944" s="149">
        <v>4792</v>
      </c>
      <c r="D944" s="69" t="s">
        <v>119</v>
      </c>
      <c r="E944" s="69" t="s">
        <v>3390</v>
      </c>
      <c r="F944" s="63"/>
      <c r="G944" s="69">
        <v>562.79999999999995</v>
      </c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  <c r="AE944" s="69"/>
      <c r="AF944" s="69"/>
      <c r="AG944" s="69"/>
      <c r="AH944" s="69"/>
      <c r="AI944" s="69"/>
      <c r="AJ944" s="69"/>
      <c r="AK944" s="69"/>
      <c r="AL944" s="69"/>
      <c r="AM944" s="69"/>
      <c r="AN944" s="69"/>
      <c r="AO944" s="69"/>
      <c r="AP944" s="69"/>
      <c r="AQ944" s="69"/>
      <c r="AR944" s="94">
        <f t="shared" si="77"/>
        <v>562.79999999999995</v>
      </c>
      <c r="AS944" s="69">
        <v>333.07</v>
      </c>
      <c r="AT944" s="69">
        <v>70.13</v>
      </c>
      <c r="AU944" s="69">
        <v>135.6</v>
      </c>
      <c r="AV944" s="69">
        <v>24</v>
      </c>
      <c r="AW944" s="69"/>
      <c r="AX944" s="69"/>
      <c r="AY944" s="69"/>
      <c r="AZ944" s="69"/>
      <c r="BA944" s="69"/>
      <c r="BB944" s="69"/>
      <c r="BC944" s="69"/>
      <c r="BD944" s="69"/>
      <c r="BE944" s="69"/>
      <c r="BF944" s="69"/>
      <c r="BG944" s="69"/>
      <c r="BH944" s="69"/>
      <c r="BI944" s="69"/>
      <c r="BJ944" s="69"/>
      <c r="BK944" s="69"/>
      <c r="BL944" s="69"/>
      <c r="BM944" s="69"/>
      <c r="BN944" s="69"/>
      <c r="BO944" s="69"/>
      <c r="BP944" s="69"/>
      <c r="BQ944" s="69"/>
      <c r="BR944" s="69"/>
      <c r="BS944" s="69"/>
      <c r="BT944" s="69"/>
      <c r="BU944" s="69"/>
      <c r="BV944" s="69"/>
      <c r="BW944" s="69"/>
      <c r="BX944" s="69"/>
      <c r="BY944" s="69"/>
      <c r="BZ944" s="69"/>
      <c r="CA944" s="69"/>
      <c r="CB944" s="69"/>
      <c r="CC944" s="69"/>
      <c r="CD944" s="69"/>
      <c r="CE944" s="94">
        <f t="shared" si="76"/>
        <v>562.79999999999995</v>
      </c>
      <c r="CF944" s="151">
        <f t="shared" ref="CF944:CF1007" si="78">+CE944-AR944</f>
        <v>0</v>
      </c>
      <c r="CG944" s="75">
        <f t="shared" ref="CG944:CH1007" si="79">+C944</f>
        <v>4792</v>
      </c>
      <c r="CH944" s="69" t="str">
        <f t="shared" si="79"/>
        <v>خ ت صيدلة</v>
      </c>
    </row>
    <row r="945" spans="1:86" x14ac:dyDescent="0.25">
      <c r="A945" s="148"/>
      <c r="B945" s="82">
        <v>8933</v>
      </c>
      <c r="C945" s="149">
        <v>4793</v>
      </c>
      <c r="D945" s="69" t="s">
        <v>119</v>
      </c>
      <c r="E945" s="69" t="s">
        <v>3390</v>
      </c>
      <c r="F945" s="63"/>
      <c r="G945" s="69">
        <v>3001.6</v>
      </c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  <c r="AE945" s="69"/>
      <c r="AF945" s="69"/>
      <c r="AG945" s="69"/>
      <c r="AH945" s="69"/>
      <c r="AI945" s="69"/>
      <c r="AJ945" s="69"/>
      <c r="AK945" s="69"/>
      <c r="AL945" s="69"/>
      <c r="AM945" s="69"/>
      <c r="AN945" s="69"/>
      <c r="AO945" s="69"/>
      <c r="AP945" s="69"/>
      <c r="AQ945" s="69"/>
      <c r="AR945" s="94">
        <f t="shared" si="77"/>
        <v>3001.6</v>
      </c>
      <c r="AS945" s="69">
        <v>1876.11</v>
      </c>
      <c r="AT945" s="69">
        <v>274.29000000000002</v>
      </c>
      <c r="AU945" s="69">
        <v>723.2</v>
      </c>
      <c r="AV945" s="69">
        <v>128</v>
      </c>
      <c r="AW945" s="69"/>
      <c r="AX945" s="69"/>
      <c r="AY945" s="69"/>
      <c r="AZ945" s="69"/>
      <c r="BA945" s="69"/>
      <c r="BB945" s="69"/>
      <c r="BC945" s="69"/>
      <c r="BD945" s="69"/>
      <c r="BE945" s="69"/>
      <c r="BF945" s="69"/>
      <c r="BG945" s="69"/>
      <c r="BH945" s="69"/>
      <c r="BI945" s="69"/>
      <c r="BJ945" s="69"/>
      <c r="BK945" s="69"/>
      <c r="BL945" s="69"/>
      <c r="BM945" s="69"/>
      <c r="BN945" s="69"/>
      <c r="BO945" s="69"/>
      <c r="BP945" s="69"/>
      <c r="BQ945" s="69"/>
      <c r="BR945" s="69"/>
      <c r="BS945" s="69"/>
      <c r="BT945" s="69"/>
      <c r="BU945" s="69"/>
      <c r="BV945" s="69"/>
      <c r="BW945" s="69"/>
      <c r="BX945" s="69"/>
      <c r="BY945" s="69"/>
      <c r="BZ945" s="69"/>
      <c r="CA945" s="69"/>
      <c r="CB945" s="69"/>
      <c r="CC945" s="69"/>
      <c r="CD945" s="69"/>
      <c r="CE945" s="94">
        <f t="shared" si="76"/>
        <v>3001.6000000000004</v>
      </c>
      <c r="CF945" s="151">
        <f t="shared" si="78"/>
        <v>0</v>
      </c>
      <c r="CG945" s="75">
        <f t="shared" si="79"/>
        <v>4793</v>
      </c>
      <c r="CH945" s="69" t="str">
        <f t="shared" si="79"/>
        <v>خ ت صيدلة</v>
      </c>
    </row>
    <row r="946" spans="1:86" x14ac:dyDescent="0.25">
      <c r="A946" s="148"/>
      <c r="B946" s="82">
        <v>8503</v>
      </c>
      <c r="C946" s="149">
        <v>4794</v>
      </c>
      <c r="D946" s="69" t="s">
        <v>119</v>
      </c>
      <c r="E946" s="69" t="s">
        <v>3390</v>
      </c>
      <c r="F946" s="63"/>
      <c r="G946" s="69">
        <v>2574.4499999999998</v>
      </c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  <c r="AE946" s="69"/>
      <c r="AF946" s="69"/>
      <c r="AG946" s="69"/>
      <c r="AH946" s="69"/>
      <c r="AI946" s="69"/>
      <c r="AJ946" s="69"/>
      <c r="AK946" s="69"/>
      <c r="AL946" s="69"/>
      <c r="AM946" s="69"/>
      <c r="AN946" s="69"/>
      <c r="AO946" s="69"/>
      <c r="AP946" s="69"/>
      <c r="AQ946" s="69"/>
      <c r="AR946" s="94">
        <f t="shared" si="77"/>
        <v>2574.4499999999998</v>
      </c>
      <c r="AS946" s="69">
        <v>1923.18</v>
      </c>
      <c r="AT946" s="69">
        <v>499.6</v>
      </c>
      <c r="AU946" s="69">
        <v>23.67</v>
      </c>
      <c r="AV946" s="69">
        <v>128</v>
      </c>
      <c r="AW946" s="69"/>
      <c r="AX946" s="69"/>
      <c r="AY946" s="69"/>
      <c r="AZ946" s="69"/>
      <c r="BA946" s="69"/>
      <c r="BB946" s="69"/>
      <c r="BC946" s="69"/>
      <c r="BD946" s="69"/>
      <c r="BE946" s="69"/>
      <c r="BF946" s="69"/>
      <c r="BG946" s="69"/>
      <c r="BH946" s="69"/>
      <c r="BI946" s="69"/>
      <c r="BJ946" s="69"/>
      <c r="BK946" s="69"/>
      <c r="BL946" s="69"/>
      <c r="BM946" s="69"/>
      <c r="BN946" s="69"/>
      <c r="BO946" s="69"/>
      <c r="BP946" s="69"/>
      <c r="BQ946" s="69"/>
      <c r="BR946" s="69"/>
      <c r="BS946" s="69"/>
      <c r="BT946" s="69"/>
      <c r="BU946" s="69"/>
      <c r="BV946" s="69"/>
      <c r="BW946" s="69"/>
      <c r="BX946" s="69"/>
      <c r="BY946" s="69"/>
      <c r="BZ946" s="69"/>
      <c r="CA946" s="69"/>
      <c r="CB946" s="69"/>
      <c r="CC946" s="69"/>
      <c r="CD946" s="69"/>
      <c r="CE946" s="94">
        <f t="shared" si="76"/>
        <v>2574.4500000000003</v>
      </c>
      <c r="CF946" s="151">
        <f t="shared" si="78"/>
        <v>0</v>
      </c>
      <c r="CG946" s="75">
        <f t="shared" si="79"/>
        <v>4794</v>
      </c>
      <c r="CH946" s="69" t="str">
        <f t="shared" si="79"/>
        <v>خ ت صيدلة</v>
      </c>
    </row>
    <row r="947" spans="1:86" x14ac:dyDescent="0.25">
      <c r="A947" s="148"/>
      <c r="B947" s="82">
        <v>8504</v>
      </c>
      <c r="C947" s="149">
        <v>4795</v>
      </c>
      <c r="D947" s="69" t="s">
        <v>119</v>
      </c>
      <c r="E947" s="69" t="s">
        <v>3390</v>
      </c>
      <c r="F947" s="63"/>
      <c r="G947" s="69">
        <v>62795.72</v>
      </c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  <c r="AE947" s="69"/>
      <c r="AF947" s="69"/>
      <c r="AG947" s="69"/>
      <c r="AH947" s="69"/>
      <c r="AI947" s="69"/>
      <c r="AJ947" s="69"/>
      <c r="AK947" s="69"/>
      <c r="AL947" s="69"/>
      <c r="AM947" s="69"/>
      <c r="AN947" s="69"/>
      <c r="AO947" s="69"/>
      <c r="AP947" s="69"/>
      <c r="AQ947" s="69"/>
      <c r="AR947" s="94">
        <f t="shared" si="77"/>
        <v>62795.72</v>
      </c>
      <c r="AS947" s="69">
        <v>45657.46</v>
      </c>
      <c r="AT947" s="69">
        <v>10139.549999999999</v>
      </c>
      <c r="AU947" s="69">
        <v>3979.51</v>
      </c>
      <c r="AV947" s="69">
        <v>3019.2</v>
      </c>
      <c r="AW947" s="69"/>
      <c r="AX947" s="69"/>
      <c r="AY947" s="69"/>
      <c r="AZ947" s="69"/>
      <c r="BA947" s="69"/>
      <c r="BB947" s="69"/>
      <c r="BC947" s="69"/>
      <c r="BD947" s="69"/>
      <c r="BE947" s="69"/>
      <c r="BF947" s="69"/>
      <c r="BG947" s="69"/>
      <c r="BH947" s="69"/>
      <c r="BI947" s="69"/>
      <c r="BJ947" s="69"/>
      <c r="BK947" s="69"/>
      <c r="BL947" s="69"/>
      <c r="BM947" s="69"/>
      <c r="BN947" s="69"/>
      <c r="BO947" s="69"/>
      <c r="BP947" s="69"/>
      <c r="BQ947" s="69"/>
      <c r="BR947" s="69"/>
      <c r="BS947" s="69"/>
      <c r="BT947" s="69"/>
      <c r="BU947" s="69"/>
      <c r="BV947" s="69"/>
      <c r="BW947" s="69"/>
      <c r="BX947" s="69"/>
      <c r="BY947" s="69"/>
      <c r="BZ947" s="69"/>
      <c r="CA947" s="69"/>
      <c r="CB947" s="69"/>
      <c r="CC947" s="69"/>
      <c r="CD947" s="69"/>
      <c r="CE947" s="94">
        <f t="shared" si="76"/>
        <v>62795.719999999994</v>
      </c>
      <c r="CF947" s="151">
        <f t="shared" si="78"/>
        <v>0</v>
      </c>
      <c r="CG947" s="75">
        <f t="shared" si="79"/>
        <v>4795</v>
      </c>
      <c r="CH947" s="69" t="str">
        <f t="shared" si="79"/>
        <v>خ ت صيدلة</v>
      </c>
    </row>
    <row r="948" spans="1:86" x14ac:dyDescent="0.25">
      <c r="A948" s="148"/>
      <c r="B948" s="82">
        <v>8479</v>
      </c>
      <c r="C948" s="149">
        <v>4796</v>
      </c>
      <c r="D948" s="69" t="s">
        <v>119</v>
      </c>
      <c r="E948" s="69" t="s">
        <v>1575</v>
      </c>
      <c r="F948" s="63"/>
      <c r="G948" s="69">
        <v>1440</v>
      </c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  <c r="AE948" s="69"/>
      <c r="AF948" s="69"/>
      <c r="AG948" s="69"/>
      <c r="AH948" s="69"/>
      <c r="AI948" s="69"/>
      <c r="AJ948" s="69"/>
      <c r="AK948" s="69"/>
      <c r="AL948" s="69"/>
      <c r="AM948" s="69"/>
      <c r="AN948" s="69"/>
      <c r="AO948" s="69"/>
      <c r="AP948" s="69"/>
      <c r="AQ948" s="69"/>
      <c r="AR948" s="94">
        <f t="shared" si="77"/>
        <v>1440</v>
      </c>
      <c r="AS948" s="69">
        <v>1086.04</v>
      </c>
      <c r="AT948" s="69">
        <v>281.95999999999998</v>
      </c>
      <c r="AU948" s="69"/>
      <c r="AV948" s="69">
        <v>72</v>
      </c>
      <c r="AW948" s="69"/>
      <c r="AX948" s="69"/>
      <c r="AY948" s="69"/>
      <c r="AZ948" s="69"/>
      <c r="BA948" s="69"/>
      <c r="BB948" s="69"/>
      <c r="BC948" s="69"/>
      <c r="BD948" s="69"/>
      <c r="BE948" s="69"/>
      <c r="BF948" s="69"/>
      <c r="BG948" s="69"/>
      <c r="BH948" s="69"/>
      <c r="BI948" s="69"/>
      <c r="BJ948" s="69"/>
      <c r="BK948" s="69"/>
      <c r="BL948" s="69"/>
      <c r="BM948" s="69"/>
      <c r="BN948" s="69"/>
      <c r="BO948" s="69"/>
      <c r="BP948" s="69"/>
      <c r="BQ948" s="69"/>
      <c r="BR948" s="69"/>
      <c r="BS948" s="69"/>
      <c r="BT948" s="69"/>
      <c r="BU948" s="69"/>
      <c r="BV948" s="69"/>
      <c r="BW948" s="69"/>
      <c r="BX948" s="69"/>
      <c r="BY948" s="69"/>
      <c r="BZ948" s="69"/>
      <c r="CA948" s="69"/>
      <c r="CB948" s="69"/>
      <c r="CC948" s="69"/>
      <c r="CD948" s="69"/>
      <c r="CE948" s="94">
        <f t="shared" si="76"/>
        <v>1440</v>
      </c>
      <c r="CF948" s="151">
        <f t="shared" si="78"/>
        <v>0</v>
      </c>
      <c r="CG948" s="75">
        <f t="shared" si="79"/>
        <v>4796</v>
      </c>
      <c r="CH948" s="69" t="str">
        <f t="shared" si="79"/>
        <v>خ ت صيدلة</v>
      </c>
    </row>
    <row r="949" spans="1:86" x14ac:dyDescent="0.25">
      <c r="A949" s="148"/>
      <c r="B949" s="82">
        <v>8466</v>
      </c>
      <c r="C949" s="149">
        <v>4797</v>
      </c>
      <c r="D949" s="69" t="s">
        <v>119</v>
      </c>
      <c r="E949" s="69" t="s">
        <v>3391</v>
      </c>
      <c r="F949" s="63"/>
      <c r="G949" s="69">
        <v>351.75</v>
      </c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  <c r="AD949" s="69"/>
      <c r="AE949" s="69"/>
      <c r="AF949" s="69"/>
      <c r="AG949" s="69"/>
      <c r="AH949" s="69"/>
      <c r="AI949" s="69"/>
      <c r="AJ949" s="69"/>
      <c r="AK949" s="69"/>
      <c r="AL949" s="69"/>
      <c r="AM949" s="69"/>
      <c r="AN949" s="69"/>
      <c r="AO949" s="69"/>
      <c r="AP949" s="69"/>
      <c r="AQ949" s="69"/>
      <c r="AR949" s="94">
        <f t="shared" si="77"/>
        <v>351.75</v>
      </c>
      <c r="AS949" s="69">
        <v>235.55</v>
      </c>
      <c r="AT949" s="69">
        <v>31.45</v>
      </c>
      <c r="AU949" s="69">
        <v>84.75</v>
      </c>
      <c r="AV949" s="69"/>
      <c r="AW949" s="69"/>
      <c r="AX949" s="69"/>
      <c r="AY949" s="69"/>
      <c r="AZ949" s="69"/>
      <c r="BA949" s="69"/>
      <c r="BB949" s="69"/>
      <c r="BC949" s="69"/>
      <c r="BD949" s="69"/>
      <c r="BE949" s="69"/>
      <c r="BF949" s="69"/>
      <c r="BG949" s="69"/>
      <c r="BH949" s="69"/>
      <c r="BI949" s="69"/>
      <c r="BJ949" s="69"/>
      <c r="BK949" s="69"/>
      <c r="BL949" s="69"/>
      <c r="BM949" s="69"/>
      <c r="BN949" s="69"/>
      <c r="BO949" s="69"/>
      <c r="BP949" s="69"/>
      <c r="BQ949" s="69"/>
      <c r="BR949" s="69"/>
      <c r="BS949" s="69"/>
      <c r="BT949" s="69"/>
      <c r="BU949" s="69"/>
      <c r="BV949" s="69"/>
      <c r="BW949" s="69"/>
      <c r="BX949" s="69"/>
      <c r="BY949" s="69"/>
      <c r="BZ949" s="69"/>
      <c r="CA949" s="69"/>
      <c r="CB949" s="69"/>
      <c r="CC949" s="69"/>
      <c r="CD949" s="69"/>
      <c r="CE949" s="94">
        <f t="shared" si="76"/>
        <v>351.75</v>
      </c>
      <c r="CF949" s="151">
        <f t="shared" si="78"/>
        <v>0</v>
      </c>
      <c r="CG949" s="75">
        <f t="shared" si="79"/>
        <v>4797</v>
      </c>
      <c r="CH949" s="69" t="str">
        <f t="shared" si="79"/>
        <v>خ ت صيدلة</v>
      </c>
    </row>
    <row r="950" spans="1:86" x14ac:dyDescent="0.25">
      <c r="A950" s="148"/>
      <c r="B950" s="82">
        <v>8470</v>
      </c>
      <c r="C950" s="149">
        <v>4798</v>
      </c>
      <c r="D950" s="69" t="s">
        <v>119</v>
      </c>
      <c r="E950" s="69" t="s">
        <v>3392</v>
      </c>
      <c r="F950" s="63"/>
      <c r="G950" s="69">
        <v>1233.9100000000001</v>
      </c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  <c r="AD950" s="69"/>
      <c r="AE950" s="69"/>
      <c r="AF950" s="69"/>
      <c r="AG950" s="69"/>
      <c r="AH950" s="69"/>
      <c r="AI950" s="69"/>
      <c r="AJ950" s="69"/>
      <c r="AK950" s="69"/>
      <c r="AL950" s="69"/>
      <c r="AM950" s="69"/>
      <c r="AN950" s="69"/>
      <c r="AO950" s="69"/>
      <c r="AP950" s="69"/>
      <c r="AQ950" s="69"/>
      <c r="AR950" s="94">
        <f t="shared" si="77"/>
        <v>1233.9100000000001</v>
      </c>
      <c r="AS950" s="69">
        <v>749.24</v>
      </c>
      <c r="AT950" s="69">
        <v>88.1</v>
      </c>
      <c r="AU950" s="69">
        <v>345.42</v>
      </c>
      <c r="AV950" s="69">
        <v>51.15</v>
      </c>
      <c r="AW950" s="69"/>
      <c r="AX950" s="69"/>
      <c r="AY950" s="69"/>
      <c r="AZ950" s="69"/>
      <c r="BA950" s="69"/>
      <c r="BB950" s="69"/>
      <c r="BC950" s="69"/>
      <c r="BD950" s="69"/>
      <c r="BE950" s="69"/>
      <c r="BF950" s="69"/>
      <c r="BG950" s="69"/>
      <c r="BH950" s="69"/>
      <c r="BI950" s="69"/>
      <c r="BJ950" s="69"/>
      <c r="BK950" s="69"/>
      <c r="BL950" s="69"/>
      <c r="BM950" s="69"/>
      <c r="BN950" s="69"/>
      <c r="BO950" s="69"/>
      <c r="BP950" s="69"/>
      <c r="BQ950" s="69"/>
      <c r="BR950" s="69"/>
      <c r="BS950" s="69"/>
      <c r="BT950" s="69"/>
      <c r="BU950" s="69"/>
      <c r="BV950" s="69"/>
      <c r="BW950" s="69"/>
      <c r="BX950" s="69"/>
      <c r="BY950" s="69"/>
      <c r="BZ950" s="69"/>
      <c r="CA950" s="69"/>
      <c r="CB950" s="69"/>
      <c r="CC950" s="69"/>
      <c r="CD950" s="69"/>
      <c r="CE950" s="94">
        <f t="shared" si="76"/>
        <v>1233.9100000000001</v>
      </c>
      <c r="CF950" s="151">
        <f t="shared" si="78"/>
        <v>0</v>
      </c>
      <c r="CG950" s="75">
        <f t="shared" si="79"/>
        <v>4798</v>
      </c>
      <c r="CH950" s="69" t="str">
        <f t="shared" si="79"/>
        <v>خ ت صيدلة</v>
      </c>
    </row>
    <row r="951" spans="1:86" x14ac:dyDescent="0.25">
      <c r="A951" s="148"/>
      <c r="B951" s="82">
        <v>8469</v>
      </c>
      <c r="C951" s="149">
        <v>4799</v>
      </c>
      <c r="D951" s="69" t="s">
        <v>119</v>
      </c>
      <c r="E951" s="69" t="s">
        <v>3392</v>
      </c>
      <c r="F951" s="63"/>
      <c r="G951" s="69">
        <v>1395.41</v>
      </c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  <c r="AD951" s="69"/>
      <c r="AE951" s="69"/>
      <c r="AF951" s="69"/>
      <c r="AG951" s="69"/>
      <c r="AH951" s="69"/>
      <c r="AI951" s="69"/>
      <c r="AJ951" s="69"/>
      <c r="AK951" s="69"/>
      <c r="AL951" s="69"/>
      <c r="AM951" s="69"/>
      <c r="AN951" s="69"/>
      <c r="AO951" s="69"/>
      <c r="AP951" s="69"/>
      <c r="AQ951" s="69"/>
      <c r="AR951" s="94">
        <f t="shared" si="77"/>
        <v>1395.41</v>
      </c>
      <c r="AS951" s="69">
        <v>843.97</v>
      </c>
      <c r="AT951" s="69">
        <v>155.72999999999999</v>
      </c>
      <c r="AU951" s="69">
        <v>336.2</v>
      </c>
      <c r="AV951" s="69">
        <v>59.51</v>
      </c>
      <c r="AW951" s="69"/>
      <c r="AX951" s="69"/>
      <c r="AY951" s="69"/>
      <c r="AZ951" s="69"/>
      <c r="BA951" s="69"/>
      <c r="BB951" s="69"/>
      <c r="BC951" s="69"/>
      <c r="BD951" s="69"/>
      <c r="BE951" s="69"/>
      <c r="BF951" s="69"/>
      <c r="BG951" s="69"/>
      <c r="BH951" s="69"/>
      <c r="BI951" s="69"/>
      <c r="BJ951" s="69"/>
      <c r="BK951" s="69"/>
      <c r="BL951" s="69"/>
      <c r="BM951" s="69"/>
      <c r="BN951" s="69"/>
      <c r="BO951" s="69"/>
      <c r="BP951" s="69"/>
      <c r="BQ951" s="69"/>
      <c r="BR951" s="69"/>
      <c r="BS951" s="69"/>
      <c r="BT951" s="69"/>
      <c r="BU951" s="69"/>
      <c r="BV951" s="69"/>
      <c r="BW951" s="69"/>
      <c r="BX951" s="69"/>
      <c r="BY951" s="69"/>
      <c r="BZ951" s="69"/>
      <c r="CA951" s="69"/>
      <c r="CB951" s="69"/>
      <c r="CC951" s="69"/>
      <c r="CD951" s="69"/>
      <c r="CE951" s="94">
        <f t="shared" si="76"/>
        <v>1395.41</v>
      </c>
      <c r="CF951" s="151">
        <f t="shared" si="78"/>
        <v>0</v>
      </c>
      <c r="CG951" s="75">
        <f t="shared" si="79"/>
        <v>4799</v>
      </c>
      <c r="CH951" s="69" t="str">
        <f t="shared" si="79"/>
        <v>خ ت صيدلة</v>
      </c>
    </row>
    <row r="952" spans="1:86" x14ac:dyDescent="0.25">
      <c r="A952" s="148"/>
      <c r="B952" s="82">
        <v>8471</v>
      </c>
      <c r="C952" s="149">
        <v>4800</v>
      </c>
      <c r="D952" s="69" t="s">
        <v>119</v>
      </c>
      <c r="E952" s="69" t="s">
        <v>3392</v>
      </c>
      <c r="F952" s="63"/>
      <c r="G952" s="69">
        <v>351.75</v>
      </c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  <c r="AD952" s="69"/>
      <c r="AE952" s="69"/>
      <c r="AF952" s="69"/>
      <c r="AG952" s="69"/>
      <c r="AH952" s="69"/>
      <c r="AI952" s="69"/>
      <c r="AJ952" s="69"/>
      <c r="AK952" s="69"/>
      <c r="AL952" s="69"/>
      <c r="AM952" s="69"/>
      <c r="AN952" s="69"/>
      <c r="AO952" s="69"/>
      <c r="AP952" s="69"/>
      <c r="AQ952" s="69"/>
      <c r="AR952" s="94">
        <f t="shared" si="77"/>
        <v>351.75</v>
      </c>
      <c r="AS952" s="69">
        <v>258.91000000000003</v>
      </c>
      <c r="AT952" s="69">
        <f>1.45+6.64</f>
        <v>8.09</v>
      </c>
      <c r="AU952" s="69">
        <v>84.75</v>
      </c>
      <c r="AV952" s="69"/>
      <c r="AW952" s="69"/>
      <c r="AX952" s="69"/>
      <c r="AY952" s="69"/>
      <c r="AZ952" s="69"/>
      <c r="BA952" s="69"/>
      <c r="BB952" s="69"/>
      <c r="BC952" s="69"/>
      <c r="BD952" s="69"/>
      <c r="BE952" s="69"/>
      <c r="BF952" s="69"/>
      <c r="BG952" s="69"/>
      <c r="BH952" s="69"/>
      <c r="BI952" s="69"/>
      <c r="BJ952" s="69"/>
      <c r="BK952" s="69"/>
      <c r="BL952" s="69"/>
      <c r="BM952" s="69"/>
      <c r="BN952" s="69"/>
      <c r="BO952" s="69"/>
      <c r="BP952" s="69"/>
      <c r="BQ952" s="69"/>
      <c r="BR952" s="69"/>
      <c r="BS952" s="69"/>
      <c r="BT952" s="69"/>
      <c r="BU952" s="69"/>
      <c r="BV952" s="69"/>
      <c r="BW952" s="69"/>
      <c r="BX952" s="69"/>
      <c r="BY952" s="69"/>
      <c r="BZ952" s="69"/>
      <c r="CA952" s="69"/>
      <c r="CB952" s="69"/>
      <c r="CC952" s="69"/>
      <c r="CD952" s="69"/>
      <c r="CE952" s="94">
        <f t="shared" si="76"/>
        <v>351.75</v>
      </c>
      <c r="CF952" s="151">
        <f t="shared" si="78"/>
        <v>0</v>
      </c>
      <c r="CG952" s="75">
        <f t="shared" si="79"/>
        <v>4800</v>
      </c>
      <c r="CH952" s="69" t="str">
        <f t="shared" si="79"/>
        <v>خ ت صيدلة</v>
      </c>
    </row>
    <row r="953" spans="1:86" x14ac:dyDescent="0.25">
      <c r="A953" s="148"/>
      <c r="B953" s="82">
        <v>8468</v>
      </c>
      <c r="C953" s="149">
        <v>4801</v>
      </c>
      <c r="D953" s="69" t="s">
        <v>119</v>
      </c>
      <c r="E953" s="69" t="str">
        <f>+E949</f>
        <v>مكافاه لجنه صندوق دعم الرسائل</v>
      </c>
      <c r="F953" s="63"/>
      <c r="G953" s="69">
        <v>8250</v>
      </c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  <c r="AD953" s="69"/>
      <c r="AE953" s="69"/>
      <c r="AF953" s="69"/>
      <c r="AG953" s="69"/>
      <c r="AH953" s="69"/>
      <c r="AI953" s="69"/>
      <c r="AJ953" s="69"/>
      <c r="AK953" s="69"/>
      <c r="AL953" s="69"/>
      <c r="AM953" s="69"/>
      <c r="AN953" s="69"/>
      <c r="AO953" s="69"/>
      <c r="AP953" s="69"/>
      <c r="AQ953" s="69"/>
      <c r="AR953" s="94">
        <f t="shared" si="77"/>
        <v>8250</v>
      </c>
      <c r="AS953" s="69">
        <v>7370.95</v>
      </c>
      <c r="AT953" s="69">
        <v>879.05</v>
      </c>
      <c r="AU953" s="69"/>
      <c r="AV953" s="69"/>
      <c r="AW953" s="69"/>
      <c r="AX953" s="69"/>
      <c r="AY953" s="69"/>
      <c r="AZ953" s="69"/>
      <c r="BA953" s="69"/>
      <c r="BB953" s="69"/>
      <c r="BC953" s="69"/>
      <c r="BD953" s="69"/>
      <c r="BE953" s="69"/>
      <c r="BF953" s="69"/>
      <c r="BG953" s="69"/>
      <c r="BH953" s="69"/>
      <c r="BI953" s="69"/>
      <c r="BJ953" s="69"/>
      <c r="BK953" s="69"/>
      <c r="BL953" s="69"/>
      <c r="BM953" s="69"/>
      <c r="BN953" s="69"/>
      <c r="BO953" s="69"/>
      <c r="BP953" s="69"/>
      <c r="BQ953" s="69"/>
      <c r="BR953" s="69"/>
      <c r="BS953" s="69"/>
      <c r="BT953" s="69"/>
      <c r="BU953" s="69"/>
      <c r="BV953" s="69"/>
      <c r="BW953" s="69"/>
      <c r="BX953" s="69"/>
      <c r="BY953" s="69"/>
      <c r="BZ953" s="69"/>
      <c r="CA953" s="69"/>
      <c r="CB953" s="69"/>
      <c r="CC953" s="69"/>
      <c r="CD953" s="69"/>
      <c r="CE953" s="94">
        <f t="shared" si="76"/>
        <v>8250</v>
      </c>
      <c r="CF953" s="151">
        <f t="shared" si="78"/>
        <v>0</v>
      </c>
      <c r="CG953" s="75">
        <f t="shared" si="79"/>
        <v>4801</v>
      </c>
      <c r="CH953" s="69" t="str">
        <f t="shared" si="79"/>
        <v>خ ت صيدلة</v>
      </c>
    </row>
    <row r="954" spans="1:86" x14ac:dyDescent="0.25">
      <c r="A954" s="148"/>
      <c r="B954" s="82">
        <v>8494</v>
      </c>
      <c r="C954" s="149">
        <v>4802</v>
      </c>
      <c r="D954" s="69" t="s">
        <v>119</v>
      </c>
      <c r="E954" s="69" t="s">
        <v>3393</v>
      </c>
      <c r="F954" s="63"/>
      <c r="G954" s="69">
        <v>300</v>
      </c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  <c r="AD954" s="69"/>
      <c r="AE954" s="69"/>
      <c r="AF954" s="69"/>
      <c r="AG954" s="69"/>
      <c r="AH954" s="69"/>
      <c r="AI954" s="69"/>
      <c r="AJ954" s="69"/>
      <c r="AK954" s="69"/>
      <c r="AL954" s="69"/>
      <c r="AM954" s="69"/>
      <c r="AN954" s="69"/>
      <c r="AO954" s="69"/>
      <c r="AP954" s="69"/>
      <c r="AQ954" s="69"/>
      <c r="AR954" s="94">
        <f t="shared" si="77"/>
        <v>300</v>
      </c>
      <c r="AS954" s="69">
        <v>226.68</v>
      </c>
      <c r="AT954" s="69">
        <v>58.32</v>
      </c>
      <c r="AU954" s="69"/>
      <c r="AV954" s="69">
        <v>15</v>
      </c>
      <c r="AW954" s="69"/>
      <c r="AX954" s="69"/>
      <c r="AY954" s="69"/>
      <c r="AZ954" s="69"/>
      <c r="BA954" s="69"/>
      <c r="BB954" s="69"/>
      <c r="BC954" s="69"/>
      <c r="BD954" s="69"/>
      <c r="BE954" s="69"/>
      <c r="BF954" s="69"/>
      <c r="BG954" s="69"/>
      <c r="BH954" s="69"/>
      <c r="BI954" s="69"/>
      <c r="BJ954" s="69"/>
      <c r="BK954" s="69"/>
      <c r="BL954" s="69"/>
      <c r="BM954" s="69"/>
      <c r="BN954" s="69"/>
      <c r="BO954" s="69"/>
      <c r="BP954" s="69"/>
      <c r="BQ954" s="69"/>
      <c r="BR954" s="69"/>
      <c r="BS954" s="69"/>
      <c r="BT954" s="69"/>
      <c r="BU954" s="69"/>
      <c r="BV954" s="69"/>
      <c r="BW954" s="69"/>
      <c r="BX954" s="69"/>
      <c r="BY954" s="69"/>
      <c r="BZ954" s="69"/>
      <c r="CA954" s="69"/>
      <c r="CB954" s="69"/>
      <c r="CC954" s="69"/>
      <c r="CD954" s="69"/>
      <c r="CE954" s="94">
        <f t="shared" si="76"/>
        <v>300</v>
      </c>
      <c r="CF954" s="151">
        <f t="shared" si="78"/>
        <v>0</v>
      </c>
      <c r="CG954" s="75">
        <f t="shared" si="79"/>
        <v>4802</v>
      </c>
      <c r="CH954" s="69" t="str">
        <f t="shared" si="79"/>
        <v>خ ت صيدلة</v>
      </c>
    </row>
    <row r="955" spans="1:86" x14ac:dyDescent="0.25">
      <c r="A955" s="148"/>
      <c r="B955" s="82">
        <v>8493</v>
      </c>
      <c r="C955" s="149">
        <v>4803</v>
      </c>
      <c r="D955" s="69" t="s">
        <v>119</v>
      </c>
      <c r="E955" s="69" t="s">
        <v>3393</v>
      </c>
      <c r="F955" s="63"/>
      <c r="G955" s="69">
        <v>13058.51</v>
      </c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  <c r="AD955" s="69"/>
      <c r="AE955" s="69"/>
      <c r="AF955" s="69"/>
      <c r="AG955" s="69"/>
      <c r="AH955" s="69"/>
      <c r="AI955" s="69"/>
      <c r="AJ955" s="69"/>
      <c r="AK955" s="69"/>
      <c r="AL955" s="69"/>
      <c r="AM955" s="69"/>
      <c r="AN955" s="69"/>
      <c r="AO955" s="69"/>
      <c r="AP955" s="69"/>
      <c r="AQ955" s="69"/>
      <c r="AR955" s="94">
        <f t="shared" si="77"/>
        <v>13058.51</v>
      </c>
      <c r="AS955" s="69">
        <v>9591.9</v>
      </c>
      <c r="AT955" s="69">
        <v>2482.63</v>
      </c>
      <c r="AU955" s="69">
        <v>341.48</v>
      </c>
      <c r="AV955" s="69">
        <v>642.5</v>
      </c>
      <c r="AW955" s="69"/>
      <c r="AX955" s="69"/>
      <c r="AY955" s="69"/>
      <c r="AZ955" s="69"/>
      <c r="BA955" s="69"/>
      <c r="BB955" s="69"/>
      <c r="BC955" s="69"/>
      <c r="BD955" s="69"/>
      <c r="BE955" s="69"/>
      <c r="BF955" s="69"/>
      <c r="BG955" s="69"/>
      <c r="BH955" s="69"/>
      <c r="BI955" s="69"/>
      <c r="BJ955" s="69"/>
      <c r="BK955" s="69"/>
      <c r="BL955" s="69"/>
      <c r="BM955" s="69"/>
      <c r="BN955" s="69"/>
      <c r="BO955" s="69"/>
      <c r="BP955" s="69"/>
      <c r="BQ955" s="69"/>
      <c r="BR955" s="69"/>
      <c r="BS955" s="69"/>
      <c r="BT955" s="69"/>
      <c r="BU955" s="69"/>
      <c r="BV955" s="69"/>
      <c r="BW955" s="69"/>
      <c r="BX955" s="69"/>
      <c r="BY955" s="69"/>
      <c r="BZ955" s="69"/>
      <c r="CA955" s="69"/>
      <c r="CB955" s="69"/>
      <c r="CC955" s="69"/>
      <c r="CD955" s="69"/>
      <c r="CE955" s="94">
        <f t="shared" si="76"/>
        <v>13058.509999999998</v>
      </c>
      <c r="CF955" s="151">
        <f t="shared" si="78"/>
        <v>0</v>
      </c>
      <c r="CG955" s="75">
        <f t="shared" si="79"/>
        <v>4803</v>
      </c>
      <c r="CH955" s="69" t="str">
        <f t="shared" si="79"/>
        <v>خ ت صيدلة</v>
      </c>
    </row>
    <row r="956" spans="1:86" x14ac:dyDescent="0.25">
      <c r="A956" s="148"/>
      <c r="B956" s="82">
        <v>8497</v>
      </c>
      <c r="C956" s="149">
        <v>4804</v>
      </c>
      <c r="D956" s="69" t="s">
        <v>119</v>
      </c>
      <c r="E956" s="69" t="s">
        <v>1858</v>
      </c>
      <c r="F956" s="63"/>
      <c r="G956" s="69">
        <v>14070</v>
      </c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  <c r="AD956" s="69"/>
      <c r="AE956" s="69"/>
      <c r="AF956" s="69"/>
      <c r="AG956" s="69"/>
      <c r="AH956" s="69"/>
      <c r="AI956" s="69"/>
      <c r="AJ956" s="69"/>
      <c r="AK956" s="69"/>
      <c r="AL956" s="69"/>
      <c r="AM956" s="69"/>
      <c r="AN956" s="69"/>
      <c r="AO956" s="69"/>
      <c r="AP956" s="69"/>
      <c r="AQ956" s="69"/>
      <c r="AR956" s="94">
        <f t="shared" si="77"/>
        <v>14070</v>
      </c>
      <c r="AS956" s="69">
        <v>8787.65</v>
      </c>
      <c r="AT956" s="69">
        <f>1200+92.35</f>
        <v>1292.3499999999999</v>
      </c>
      <c r="AU956" s="69">
        <v>3390</v>
      </c>
      <c r="AV956" s="69">
        <v>600</v>
      </c>
      <c r="AW956" s="69"/>
      <c r="AX956" s="69"/>
      <c r="AY956" s="69"/>
      <c r="AZ956" s="69"/>
      <c r="BA956" s="69"/>
      <c r="BB956" s="69"/>
      <c r="BC956" s="69"/>
      <c r="BD956" s="69"/>
      <c r="BE956" s="69"/>
      <c r="BF956" s="69"/>
      <c r="BG956" s="69"/>
      <c r="BH956" s="69"/>
      <c r="BI956" s="69"/>
      <c r="BJ956" s="69"/>
      <c r="BK956" s="69"/>
      <c r="BL956" s="69"/>
      <c r="BM956" s="69"/>
      <c r="BN956" s="69"/>
      <c r="BO956" s="69"/>
      <c r="BP956" s="69"/>
      <c r="BQ956" s="69"/>
      <c r="BR956" s="69"/>
      <c r="BS956" s="69"/>
      <c r="BT956" s="69"/>
      <c r="BU956" s="69"/>
      <c r="BV956" s="69"/>
      <c r="BW956" s="69"/>
      <c r="BX956" s="69"/>
      <c r="BY956" s="69"/>
      <c r="BZ956" s="69"/>
      <c r="CA956" s="69"/>
      <c r="CB956" s="69"/>
      <c r="CC956" s="69"/>
      <c r="CD956" s="69"/>
      <c r="CE956" s="94">
        <f t="shared" si="76"/>
        <v>14070</v>
      </c>
      <c r="CF956" s="151">
        <f t="shared" si="78"/>
        <v>0</v>
      </c>
      <c r="CG956" s="75">
        <f t="shared" si="79"/>
        <v>4804</v>
      </c>
      <c r="CH956" s="69" t="str">
        <f t="shared" si="79"/>
        <v>خ ت صيدلة</v>
      </c>
    </row>
    <row r="957" spans="1:86" x14ac:dyDescent="0.25">
      <c r="A957" s="148"/>
      <c r="B957" s="82">
        <v>8496</v>
      </c>
      <c r="C957" s="149">
        <v>4805</v>
      </c>
      <c r="D957" s="69" t="s">
        <v>119</v>
      </c>
      <c r="E957" s="69" t="s">
        <v>1858</v>
      </c>
      <c r="F957" s="63"/>
      <c r="G957" s="69">
        <v>1200</v>
      </c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  <c r="AD957" s="69"/>
      <c r="AE957" s="69"/>
      <c r="AF957" s="69"/>
      <c r="AG957" s="69"/>
      <c r="AH957" s="69"/>
      <c r="AI957" s="69"/>
      <c r="AJ957" s="69"/>
      <c r="AK957" s="69"/>
      <c r="AL957" s="69"/>
      <c r="AM957" s="69"/>
      <c r="AN957" s="69"/>
      <c r="AO957" s="69"/>
      <c r="AP957" s="69"/>
      <c r="AQ957" s="69"/>
      <c r="AR957" s="94">
        <f t="shared" si="77"/>
        <v>1200</v>
      </c>
      <c r="AS957" s="69">
        <v>905.08</v>
      </c>
      <c r="AT957" s="69">
        <v>234.92</v>
      </c>
      <c r="AU957" s="69"/>
      <c r="AV957" s="69">
        <v>60</v>
      </c>
      <c r="AW957" s="69"/>
      <c r="AX957" s="69"/>
      <c r="AY957" s="69"/>
      <c r="AZ957" s="69"/>
      <c r="BA957" s="69"/>
      <c r="BB957" s="69"/>
      <c r="BC957" s="69"/>
      <c r="BD957" s="69"/>
      <c r="BE957" s="69"/>
      <c r="BF957" s="69"/>
      <c r="BG957" s="69"/>
      <c r="BH957" s="69"/>
      <c r="BI957" s="69"/>
      <c r="BJ957" s="69"/>
      <c r="BK957" s="69"/>
      <c r="BL957" s="69"/>
      <c r="BM957" s="69"/>
      <c r="BN957" s="69"/>
      <c r="BO957" s="69"/>
      <c r="BP957" s="69"/>
      <c r="BQ957" s="69"/>
      <c r="BR957" s="69"/>
      <c r="BS957" s="69"/>
      <c r="BT957" s="69"/>
      <c r="BU957" s="69"/>
      <c r="BV957" s="69"/>
      <c r="BW957" s="69"/>
      <c r="BX957" s="69"/>
      <c r="BY957" s="69"/>
      <c r="BZ957" s="69"/>
      <c r="CA957" s="69"/>
      <c r="CB957" s="69"/>
      <c r="CC957" s="69"/>
      <c r="CD957" s="69"/>
      <c r="CE957" s="94">
        <f t="shared" si="76"/>
        <v>1200</v>
      </c>
      <c r="CF957" s="151">
        <f t="shared" si="78"/>
        <v>0</v>
      </c>
      <c r="CG957" s="75">
        <f t="shared" si="79"/>
        <v>4805</v>
      </c>
      <c r="CH957" s="69" t="str">
        <f t="shared" si="79"/>
        <v>خ ت صيدلة</v>
      </c>
    </row>
    <row r="958" spans="1:86" x14ac:dyDescent="0.25">
      <c r="A958" s="148"/>
      <c r="B958" s="82">
        <v>8498</v>
      </c>
      <c r="C958" s="149">
        <v>4806</v>
      </c>
      <c r="D958" s="69" t="s">
        <v>119</v>
      </c>
      <c r="E958" s="69" t="s">
        <v>1858</v>
      </c>
      <c r="F958" s="63"/>
      <c r="G958" s="69">
        <v>1600</v>
      </c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  <c r="AD958" s="69"/>
      <c r="AE958" s="69"/>
      <c r="AF958" s="69"/>
      <c r="AG958" s="69"/>
      <c r="AH958" s="69"/>
      <c r="AI958" s="69"/>
      <c r="AJ958" s="69"/>
      <c r="AK958" s="69"/>
      <c r="AL958" s="69"/>
      <c r="AM958" s="69"/>
      <c r="AN958" s="69"/>
      <c r="AO958" s="69"/>
      <c r="AP958" s="69"/>
      <c r="AQ958" s="69"/>
      <c r="AR958" s="94">
        <f t="shared" si="77"/>
        <v>1600</v>
      </c>
      <c r="AS958" s="69">
        <v>1206.68</v>
      </c>
      <c r="AT958" s="69">
        <v>313.32</v>
      </c>
      <c r="AU958" s="69"/>
      <c r="AV958" s="69">
        <v>80</v>
      </c>
      <c r="AW958" s="69"/>
      <c r="AX958" s="69"/>
      <c r="AY958" s="69"/>
      <c r="AZ958" s="69"/>
      <c r="BA958" s="69"/>
      <c r="BB958" s="69"/>
      <c r="BC958" s="69"/>
      <c r="BD958" s="69"/>
      <c r="BE958" s="69"/>
      <c r="BF958" s="69"/>
      <c r="BG958" s="69"/>
      <c r="BH958" s="69"/>
      <c r="BI958" s="69"/>
      <c r="BJ958" s="69"/>
      <c r="BK958" s="69"/>
      <c r="BL958" s="69"/>
      <c r="BM958" s="69"/>
      <c r="BN958" s="69"/>
      <c r="BO958" s="69"/>
      <c r="BP958" s="69"/>
      <c r="BQ958" s="69"/>
      <c r="BR958" s="69"/>
      <c r="BS958" s="69"/>
      <c r="BT958" s="69"/>
      <c r="BU958" s="69"/>
      <c r="BV958" s="69"/>
      <c r="BW958" s="69"/>
      <c r="BX958" s="69"/>
      <c r="BY958" s="69"/>
      <c r="BZ958" s="69"/>
      <c r="CA958" s="69"/>
      <c r="CB958" s="69"/>
      <c r="CC958" s="69"/>
      <c r="CD958" s="69"/>
      <c r="CE958" s="94">
        <f t="shared" si="76"/>
        <v>1600</v>
      </c>
      <c r="CF958" s="151">
        <f t="shared" si="78"/>
        <v>0</v>
      </c>
      <c r="CG958" s="75">
        <f t="shared" si="79"/>
        <v>4806</v>
      </c>
      <c r="CH958" s="69" t="str">
        <f t="shared" si="79"/>
        <v>خ ت صيدلة</v>
      </c>
    </row>
    <row r="959" spans="1:86" x14ac:dyDescent="0.25">
      <c r="A959" s="148"/>
      <c r="B959" s="82">
        <v>8934</v>
      </c>
      <c r="C959" s="149">
        <v>4807</v>
      </c>
      <c r="D959" s="69" t="s">
        <v>119</v>
      </c>
      <c r="E959" s="69" t="s">
        <v>1858</v>
      </c>
      <c r="F959" s="63"/>
      <c r="G959" s="69">
        <v>469</v>
      </c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  <c r="AD959" s="69"/>
      <c r="AE959" s="69"/>
      <c r="AF959" s="69"/>
      <c r="AG959" s="69"/>
      <c r="AH959" s="69"/>
      <c r="AI959" s="69"/>
      <c r="AJ959" s="69"/>
      <c r="AK959" s="69"/>
      <c r="AL959" s="69"/>
      <c r="AM959" s="69"/>
      <c r="AN959" s="69"/>
      <c r="AO959" s="69"/>
      <c r="AP959" s="69"/>
      <c r="AQ959" s="69"/>
      <c r="AR959" s="94">
        <f t="shared" si="77"/>
        <v>469</v>
      </c>
      <c r="AS959" s="69">
        <v>283.89999999999998</v>
      </c>
      <c r="AT959" s="69">
        <v>52.1</v>
      </c>
      <c r="AU959" s="69">
        <v>113</v>
      </c>
      <c r="AV959" s="69">
        <v>20</v>
      </c>
      <c r="AW959" s="69"/>
      <c r="AX959" s="69"/>
      <c r="AY959" s="69"/>
      <c r="AZ959" s="69"/>
      <c r="BA959" s="69"/>
      <c r="BB959" s="69"/>
      <c r="BC959" s="69"/>
      <c r="BD959" s="69"/>
      <c r="BE959" s="69"/>
      <c r="BF959" s="69"/>
      <c r="BG959" s="69"/>
      <c r="BH959" s="69"/>
      <c r="BI959" s="69"/>
      <c r="BJ959" s="69"/>
      <c r="BK959" s="69"/>
      <c r="BL959" s="69"/>
      <c r="BM959" s="69"/>
      <c r="BN959" s="69"/>
      <c r="BO959" s="69"/>
      <c r="BP959" s="69"/>
      <c r="BQ959" s="69"/>
      <c r="BR959" s="69"/>
      <c r="BS959" s="69"/>
      <c r="BT959" s="69"/>
      <c r="BU959" s="69"/>
      <c r="BV959" s="69"/>
      <c r="BW959" s="69"/>
      <c r="BX959" s="69"/>
      <c r="BY959" s="69"/>
      <c r="BZ959" s="69"/>
      <c r="CA959" s="69"/>
      <c r="CB959" s="69"/>
      <c r="CC959" s="69"/>
      <c r="CD959" s="69"/>
      <c r="CE959" s="94">
        <f t="shared" si="76"/>
        <v>469</v>
      </c>
      <c r="CF959" s="151">
        <f t="shared" si="78"/>
        <v>0</v>
      </c>
      <c r="CG959" s="75">
        <f t="shared" si="79"/>
        <v>4807</v>
      </c>
      <c r="CH959" s="69" t="str">
        <f t="shared" si="79"/>
        <v>خ ت صيدلة</v>
      </c>
    </row>
    <row r="960" spans="1:86" x14ac:dyDescent="0.25">
      <c r="A960" s="148"/>
      <c r="B960" s="82">
        <v>8483</v>
      </c>
      <c r="C960" s="149">
        <v>4808</v>
      </c>
      <c r="D960" s="69" t="s">
        <v>119</v>
      </c>
      <c r="E960" s="69" t="s">
        <v>1858</v>
      </c>
      <c r="F960" s="63"/>
      <c r="G960" s="69">
        <v>3500</v>
      </c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  <c r="AD960" s="69"/>
      <c r="AE960" s="69"/>
      <c r="AF960" s="69"/>
      <c r="AG960" s="69"/>
      <c r="AH960" s="69"/>
      <c r="AI960" s="69"/>
      <c r="AJ960" s="69"/>
      <c r="AK960" s="69"/>
      <c r="AL960" s="69"/>
      <c r="AM960" s="69"/>
      <c r="AN960" s="69"/>
      <c r="AO960" s="69"/>
      <c r="AP960" s="69"/>
      <c r="AQ960" s="69"/>
      <c r="AR960" s="94">
        <f t="shared" si="77"/>
        <v>3500</v>
      </c>
      <c r="AS960" s="69">
        <v>2639.28</v>
      </c>
      <c r="AT960" s="69">
        <v>685.72</v>
      </c>
      <c r="AU960" s="69"/>
      <c r="AV960" s="69">
        <v>175</v>
      </c>
      <c r="AW960" s="69"/>
      <c r="AX960" s="69"/>
      <c r="AY960" s="69"/>
      <c r="AZ960" s="69"/>
      <c r="BA960" s="69"/>
      <c r="BB960" s="69"/>
      <c r="BC960" s="69"/>
      <c r="BD960" s="69"/>
      <c r="BE960" s="69"/>
      <c r="BF960" s="69"/>
      <c r="BG960" s="69"/>
      <c r="BH960" s="69"/>
      <c r="BI960" s="69"/>
      <c r="BJ960" s="69"/>
      <c r="BK960" s="69"/>
      <c r="BL960" s="69"/>
      <c r="BM960" s="69"/>
      <c r="BN960" s="69"/>
      <c r="BO960" s="69"/>
      <c r="BP960" s="69"/>
      <c r="BQ960" s="69"/>
      <c r="BR960" s="69"/>
      <c r="BS960" s="69"/>
      <c r="BT960" s="69"/>
      <c r="BU960" s="69"/>
      <c r="BV960" s="69"/>
      <c r="BW960" s="69"/>
      <c r="BX960" s="69"/>
      <c r="BY960" s="69"/>
      <c r="BZ960" s="69"/>
      <c r="CA960" s="69"/>
      <c r="CB960" s="69"/>
      <c r="CC960" s="69"/>
      <c r="CD960" s="69"/>
      <c r="CE960" s="94">
        <f t="shared" si="76"/>
        <v>3500</v>
      </c>
      <c r="CF960" s="151">
        <f t="shared" si="78"/>
        <v>0</v>
      </c>
      <c r="CG960" s="75">
        <f t="shared" si="79"/>
        <v>4808</v>
      </c>
      <c r="CH960" s="69" t="str">
        <f t="shared" si="79"/>
        <v>خ ت صيدلة</v>
      </c>
    </row>
    <row r="961" spans="1:86" x14ac:dyDescent="0.25">
      <c r="A961" s="148"/>
      <c r="B961" s="82">
        <v>8485</v>
      </c>
      <c r="C961" s="149">
        <v>4809</v>
      </c>
      <c r="D961" s="69" t="s">
        <v>119</v>
      </c>
      <c r="E961" s="69" t="s">
        <v>1858</v>
      </c>
      <c r="F961" s="63"/>
      <c r="G961" s="69">
        <v>2110.5</v>
      </c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  <c r="AD961" s="69"/>
      <c r="AE961" s="69"/>
      <c r="AF961" s="69"/>
      <c r="AG961" s="69"/>
      <c r="AH961" s="69"/>
      <c r="AI961" s="69"/>
      <c r="AJ961" s="69"/>
      <c r="AK961" s="69"/>
      <c r="AL961" s="69"/>
      <c r="AM961" s="69"/>
      <c r="AN961" s="69"/>
      <c r="AO961" s="69"/>
      <c r="AP961" s="69"/>
      <c r="AQ961" s="69"/>
      <c r="AR961" s="94">
        <f t="shared" si="77"/>
        <v>2110.5</v>
      </c>
      <c r="AS961" s="69">
        <v>1276.79</v>
      </c>
      <c r="AT961" s="69">
        <v>235.21</v>
      </c>
      <c r="AU961" s="69">
        <v>508.5</v>
      </c>
      <c r="AV961" s="69">
        <v>90</v>
      </c>
      <c r="AW961" s="69"/>
      <c r="AX961" s="69"/>
      <c r="AY961" s="69"/>
      <c r="AZ961" s="69"/>
      <c r="BA961" s="69"/>
      <c r="BB961" s="69"/>
      <c r="BC961" s="69"/>
      <c r="BD961" s="69"/>
      <c r="BE961" s="69"/>
      <c r="BF961" s="69"/>
      <c r="BG961" s="69"/>
      <c r="BH961" s="69"/>
      <c r="BI961" s="69"/>
      <c r="BJ961" s="69"/>
      <c r="BK961" s="69"/>
      <c r="BL961" s="69"/>
      <c r="BM961" s="69"/>
      <c r="BN961" s="69"/>
      <c r="BO961" s="69"/>
      <c r="BP961" s="69"/>
      <c r="BQ961" s="69"/>
      <c r="BR961" s="69"/>
      <c r="BS961" s="69"/>
      <c r="BT961" s="69"/>
      <c r="BU961" s="69"/>
      <c r="BV961" s="69"/>
      <c r="BW961" s="69"/>
      <c r="BX961" s="69"/>
      <c r="BY961" s="69"/>
      <c r="BZ961" s="69"/>
      <c r="CA961" s="69"/>
      <c r="CB961" s="69"/>
      <c r="CC961" s="69"/>
      <c r="CD961" s="69"/>
      <c r="CE961" s="94">
        <f t="shared" si="76"/>
        <v>2110.5</v>
      </c>
      <c r="CF961" s="151">
        <f t="shared" si="78"/>
        <v>0</v>
      </c>
      <c r="CG961" s="75">
        <f t="shared" si="79"/>
        <v>4809</v>
      </c>
      <c r="CH961" s="69" t="str">
        <f t="shared" si="79"/>
        <v>خ ت صيدلة</v>
      </c>
    </row>
    <row r="962" spans="1:86" x14ac:dyDescent="0.25">
      <c r="A962" s="148"/>
      <c r="B962" s="82">
        <v>8486</v>
      </c>
      <c r="C962" s="149">
        <v>4810</v>
      </c>
      <c r="D962" s="69" t="s">
        <v>119</v>
      </c>
      <c r="E962" s="69" t="s">
        <v>1858</v>
      </c>
      <c r="F962" s="63"/>
      <c r="G962" s="69">
        <v>1407</v>
      </c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  <c r="AE962" s="69"/>
      <c r="AF962" s="69"/>
      <c r="AG962" s="69"/>
      <c r="AH962" s="69"/>
      <c r="AI962" s="69"/>
      <c r="AJ962" s="69"/>
      <c r="AK962" s="69"/>
      <c r="AL962" s="69"/>
      <c r="AM962" s="69"/>
      <c r="AN962" s="69"/>
      <c r="AO962" s="69"/>
      <c r="AP962" s="69"/>
      <c r="AQ962" s="69"/>
      <c r="AR962" s="94">
        <f t="shared" si="77"/>
        <v>1407</v>
      </c>
      <c r="AS962" s="69">
        <v>876.94</v>
      </c>
      <c r="AT962" s="69">
        <v>131.06</v>
      </c>
      <c r="AU962" s="69">
        <v>339</v>
      </c>
      <c r="AV962" s="69">
        <v>60</v>
      </c>
      <c r="AW962" s="69"/>
      <c r="AX962" s="69"/>
      <c r="AY962" s="69"/>
      <c r="AZ962" s="69"/>
      <c r="BA962" s="69"/>
      <c r="BB962" s="69"/>
      <c r="BC962" s="69"/>
      <c r="BD962" s="69"/>
      <c r="BE962" s="69"/>
      <c r="BF962" s="69"/>
      <c r="BG962" s="69"/>
      <c r="BH962" s="69"/>
      <c r="BI962" s="69"/>
      <c r="BJ962" s="69"/>
      <c r="BK962" s="69"/>
      <c r="BL962" s="69"/>
      <c r="BM962" s="69"/>
      <c r="BN962" s="69"/>
      <c r="BO962" s="69"/>
      <c r="BP962" s="69"/>
      <c r="BQ962" s="69"/>
      <c r="BR962" s="69"/>
      <c r="BS962" s="69"/>
      <c r="BT962" s="69"/>
      <c r="BU962" s="69"/>
      <c r="BV962" s="69"/>
      <c r="BW962" s="69"/>
      <c r="BX962" s="69"/>
      <c r="BY962" s="69"/>
      <c r="BZ962" s="69"/>
      <c r="CA962" s="69"/>
      <c r="CB962" s="69"/>
      <c r="CC962" s="69"/>
      <c r="CD962" s="69"/>
      <c r="CE962" s="94">
        <f t="shared" si="76"/>
        <v>1407</v>
      </c>
      <c r="CF962" s="151">
        <f t="shared" si="78"/>
        <v>0</v>
      </c>
      <c r="CG962" s="75">
        <f t="shared" si="79"/>
        <v>4810</v>
      </c>
      <c r="CH962" s="69" t="str">
        <f t="shared" si="79"/>
        <v>خ ت صيدلة</v>
      </c>
    </row>
    <row r="963" spans="1:86" x14ac:dyDescent="0.25">
      <c r="A963" s="148"/>
      <c r="B963" s="82">
        <v>8487</v>
      </c>
      <c r="C963" s="149">
        <v>4811</v>
      </c>
      <c r="D963" s="69" t="s">
        <v>119</v>
      </c>
      <c r="E963" s="69" t="s">
        <v>1858</v>
      </c>
      <c r="F963" s="63"/>
      <c r="G963" s="69">
        <v>18770.21</v>
      </c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  <c r="AD963" s="69"/>
      <c r="AE963" s="69"/>
      <c r="AF963" s="69"/>
      <c r="AG963" s="69"/>
      <c r="AH963" s="69"/>
      <c r="AI963" s="69"/>
      <c r="AJ963" s="69"/>
      <c r="AK963" s="69"/>
      <c r="AL963" s="69"/>
      <c r="AM963" s="69"/>
      <c r="AN963" s="69"/>
      <c r="AO963" s="69"/>
      <c r="AP963" s="69"/>
      <c r="AQ963" s="69"/>
      <c r="AR963" s="94">
        <f t="shared" si="77"/>
        <v>18770.21</v>
      </c>
      <c r="AS963" s="69">
        <v>11154.94</v>
      </c>
      <c r="AT963" s="69">
        <v>1921.31</v>
      </c>
      <c r="AU963" s="69">
        <v>4905.21</v>
      </c>
      <c r="AV963" s="69">
        <v>788.75</v>
      </c>
      <c r="AW963" s="69"/>
      <c r="AX963" s="69"/>
      <c r="AY963" s="69"/>
      <c r="AZ963" s="69"/>
      <c r="BA963" s="69"/>
      <c r="BB963" s="69"/>
      <c r="BC963" s="69"/>
      <c r="BD963" s="69"/>
      <c r="BE963" s="69"/>
      <c r="BF963" s="69"/>
      <c r="BG963" s="69"/>
      <c r="BH963" s="69"/>
      <c r="BI963" s="69"/>
      <c r="BJ963" s="69"/>
      <c r="BK963" s="69"/>
      <c r="BL963" s="69"/>
      <c r="BM963" s="69"/>
      <c r="BN963" s="69"/>
      <c r="BO963" s="69"/>
      <c r="BP963" s="69"/>
      <c r="BQ963" s="69"/>
      <c r="BR963" s="69"/>
      <c r="BS963" s="69"/>
      <c r="BT963" s="69"/>
      <c r="BU963" s="69"/>
      <c r="BV963" s="69"/>
      <c r="BW963" s="69"/>
      <c r="BX963" s="69"/>
      <c r="BY963" s="69"/>
      <c r="BZ963" s="69"/>
      <c r="CA963" s="69"/>
      <c r="CB963" s="69"/>
      <c r="CC963" s="69"/>
      <c r="CD963" s="69"/>
      <c r="CE963" s="94">
        <f t="shared" si="76"/>
        <v>18770.21</v>
      </c>
      <c r="CF963" s="151">
        <f t="shared" si="78"/>
        <v>0</v>
      </c>
      <c r="CG963" s="75">
        <f t="shared" si="79"/>
        <v>4811</v>
      </c>
      <c r="CH963" s="69" t="str">
        <f t="shared" si="79"/>
        <v>خ ت صيدلة</v>
      </c>
    </row>
    <row r="964" spans="1:86" x14ac:dyDescent="0.25">
      <c r="A964" s="148"/>
      <c r="B964" s="82">
        <v>8488</v>
      </c>
      <c r="C964" s="149">
        <v>4812</v>
      </c>
      <c r="D964" s="69" t="s">
        <v>119</v>
      </c>
      <c r="E964" s="69" t="s">
        <v>1858</v>
      </c>
      <c r="F964" s="63"/>
      <c r="G964" s="69">
        <v>6940.99</v>
      </c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  <c r="AD964" s="69"/>
      <c r="AE964" s="69"/>
      <c r="AF964" s="69"/>
      <c r="AG964" s="69"/>
      <c r="AH964" s="69"/>
      <c r="AI964" s="69"/>
      <c r="AJ964" s="69"/>
      <c r="AK964" s="69"/>
      <c r="AL964" s="69"/>
      <c r="AM964" s="69"/>
      <c r="AN964" s="69"/>
      <c r="AO964" s="69"/>
      <c r="AP964" s="69"/>
      <c r="AQ964" s="69"/>
      <c r="AR964" s="94">
        <f t="shared" si="77"/>
        <v>6940.99</v>
      </c>
      <c r="AS964" s="69">
        <v>4364.78</v>
      </c>
      <c r="AT964" s="69">
        <v>576.4</v>
      </c>
      <c r="AU964" s="69">
        <v>1704.81</v>
      </c>
      <c r="AV964" s="69">
        <v>295</v>
      </c>
      <c r="AW964" s="69"/>
      <c r="AX964" s="69"/>
      <c r="AY964" s="69"/>
      <c r="AZ964" s="69"/>
      <c r="BA964" s="69"/>
      <c r="BB964" s="69"/>
      <c r="BC964" s="69"/>
      <c r="BD964" s="69"/>
      <c r="BE964" s="69"/>
      <c r="BF964" s="69"/>
      <c r="BG964" s="69"/>
      <c r="BH964" s="69"/>
      <c r="BI964" s="69"/>
      <c r="BJ964" s="69"/>
      <c r="BK964" s="69"/>
      <c r="BL964" s="69"/>
      <c r="BM964" s="69"/>
      <c r="BN964" s="69"/>
      <c r="BO964" s="69"/>
      <c r="BP964" s="69"/>
      <c r="BQ964" s="69"/>
      <c r="BR964" s="69"/>
      <c r="BS964" s="69"/>
      <c r="BT964" s="69"/>
      <c r="BU964" s="69"/>
      <c r="BV964" s="69"/>
      <c r="BW964" s="69"/>
      <c r="BX964" s="69"/>
      <c r="BY964" s="69"/>
      <c r="BZ964" s="69"/>
      <c r="CA964" s="69"/>
      <c r="CB964" s="69"/>
      <c r="CC964" s="69"/>
      <c r="CD964" s="69"/>
      <c r="CE964" s="94">
        <f t="shared" si="76"/>
        <v>6940.99</v>
      </c>
      <c r="CF964" s="151">
        <f t="shared" si="78"/>
        <v>0</v>
      </c>
      <c r="CG964" s="75">
        <f t="shared" si="79"/>
        <v>4812</v>
      </c>
      <c r="CH964" s="69" t="str">
        <f t="shared" si="79"/>
        <v>خ ت صيدلة</v>
      </c>
    </row>
    <row r="965" spans="1:86" x14ac:dyDescent="0.25">
      <c r="A965" s="148"/>
      <c r="B965" s="82">
        <v>8489</v>
      </c>
      <c r="C965" s="149">
        <v>4813</v>
      </c>
      <c r="D965" s="69" t="s">
        <v>119</v>
      </c>
      <c r="E965" s="69" t="s">
        <v>1858</v>
      </c>
      <c r="F965" s="63"/>
      <c r="G965" s="69">
        <v>3048.5</v>
      </c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  <c r="AD965" s="69"/>
      <c r="AE965" s="69"/>
      <c r="AF965" s="69"/>
      <c r="AG965" s="69"/>
      <c r="AH965" s="69"/>
      <c r="AI965" s="69"/>
      <c r="AJ965" s="69"/>
      <c r="AK965" s="69"/>
      <c r="AL965" s="69"/>
      <c r="AM965" s="69"/>
      <c r="AN965" s="69"/>
      <c r="AO965" s="69"/>
      <c r="AP965" s="69"/>
      <c r="AQ965" s="69"/>
      <c r="AR965" s="94">
        <f t="shared" si="77"/>
        <v>3048.5</v>
      </c>
      <c r="AS965" s="69">
        <v>1851.89</v>
      </c>
      <c r="AT965" s="69">
        <v>332.11</v>
      </c>
      <c r="AU965" s="69">
        <v>734.5</v>
      </c>
      <c r="AV965" s="69">
        <v>130</v>
      </c>
      <c r="AW965" s="69"/>
      <c r="AX965" s="69"/>
      <c r="AY965" s="69"/>
      <c r="AZ965" s="69"/>
      <c r="BA965" s="69"/>
      <c r="BB965" s="69"/>
      <c r="BC965" s="69"/>
      <c r="BD965" s="69"/>
      <c r="BE965" s="69"/>
      <c r="BF965" s="69"/>
      <c r="BG965" s="69"/>
      <c r="BH965" s="69"/>
      <c r="BI965" s="69"/>
      <c r="BJ965" s="69"/>
      <c r="BK965" s="69"/>
      <c r="BL965" s="69"/>
      <c r="BM965" s="69"/>
      <c r="BN965" s="69"/>
      <c r="BO965" s="69"/>
      <c r="BP965" s="69"/>
      <c r="BQ965" s="69"/>
      <c r="BR965" s="69"/>
      <c r="BS965" s="69"/>
      <c r="BT965" s="69"/>
      <c r="BU965" s="69"/>
      <c r="BV965" s="69"/>
      <c r="BW965" s="69"/>
      <c r="BX965" s="69"/>
      <c r="BY965" s="69"/>
      <c r="BZ965" s="69"/>
      <c r="CA965" s="69"/>
      <c r="CB965" s="69"/>
      <c r="CC965" s="69"/>
      <c r="CD965" s="69"/>
      <c r="CE965" s="94">
        <f t="shared" si="76"/>
        <v>3048.5</v>
      </c>
      <c r="CF965" s="151">
        <f t="shared" si="78"/>
        <v>0</v>
      </c>
      <c r="CG965" s="75">
        <f t="shared" si="79"/>
        <v>4813</v>
      </c>
      <c r="CH965" s="69" t="str">
        <f t="shared" si="79"/>
        <v>خ ت صيدلة</v>
      </c>
    </row>
    <row r="966" spans="1:86" x14ac:dyDescent="0.25">
      <c r="A966" s="148"/>
      <c r="B966" s="82">
        <v>8490</v>
      </c>
      <c r="C966" s="149">
        <v>4814</v>
      </c>
      <c r="D966" s="69" t="s">
        <v>119</v>
      </c>
      <c r="E966" s="69" t="s">
        <v>1858</v>
      </c>
      <c r="F966" s="63"/>
      <c r="G966" s="69">
        <v>6100</v>
      </c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  <c r="AD966" s="69"/>
      <c r="AE966" s="69"/>
      <c r="AF966" s="69"/>
      <c r="AG966" s="69"/>
      <c r="AH966" s="69"/>
      <c r="AI966" s="69"/>
      <c r="AJ966" s="69"/>
      <c r="AK966" s="69"/>
      <c r="AL966" s="69"/>
      <c r="AM966" s="69"/>
      <c r="AN966" s="69"/>
      <c r="AO966" s="69"/>
      <c r="AP966" s="69"/>
      <c r="AQ966" s="69"/>
      <c r="AR966" s="94">
        <f t="shared" si="77"/>
        <v>6100</v>
      </c>
      <c r="AS966" s="69">
        <v>4597.28</v>
      </c>
      <c r="AT966" s="69">
        <v>1197.72</v>
      </c>
      <c r="AU966" s="69"/>
      <c r="AV966" s="69">
        <v>305</v>
      </c>
      <c r="AW966" s="69"/>
      <c r="AX966" s="69"/>
      <c r="AY966" s="69"/>
      <c r="AZ966" s="69"/>
      <c r="BA966" s="69"/>
      <c r="BB966" s="69"/>
      <c r="BC966" s="69"/>
      <c r="BD966" s="69"/>
      <c r="BE966" s="69"/>
      <c r="BF966" s="69"/>
      <c r="BG966" s="69"/>
      <c r="BH966" s="69"/>
      <c r="BI966" s="69"/>
      <c r="BJ966" s="69"/>
      <c r="BK966" s="69"/>
      <c r="BL966" s="69"/>
      <c r="BM966" s="69"/>
      <c r="BN966" s="69"/>
      <c r="BO966" s="69"/>
      <c r="BP966" s="69"/>
      <c r="BQ966" s="69"/>
      <c r="BR966" s="69"/>
      <c r="BS966" s="69"/>
      <c r="BT966" s="69"/>
      <c r="BU966" s="69"/>
      <c r="BV966" s="69"/>
      <c r="BW966" s="69"/>
      <c r="BX966" s="69"/>
      <c r="BY966" s="69"/>
      <c r="BZ966" s="69"/>
      <c r="CA966" s="69"/>
      <c r="CB966" s="69"/>
      <c r="CC966" s="69"/>
      <c r="CD966" s="69"/>
      <c r="CE966" s="94">
        <f t="shared" ref="CE966:CE974" si="80">SUM(AS966:CD966)</f>
        <v>6100</v>
      </c>
      <c r="CF966" s="151">
        <f t="shared" si="78"/>
        <v>0</v>
      </c>
      <c r="CG966" s="75">
        <f t="shared" si="79"/>
        <v>4814</v>
      </c>
      <c r="CH966" s="69" t="str">
        <f t="shared" si="79"/>
        <v>خ ت صيدلة</v>
      </c>
    </row>
    <row r="967" spans="1:86" x14ac:dyDescent="0.25">
      <c r="A967" s="148"/>
      <c r="B967" s="82">
        <v>8492</v>
      </c>
      <c r="C967" s="149">
        <v>4815</v>
      </c>
      <c r="D967" s="69" t="s">
        <v>119</v>
      </c>
      <c r="E967" s="69" t="s">
        <v>1858</v>
      </c>
      <c r="F967" s="63"/>
      <c r="G967" s="69">
        <v>586.25</v>
      </c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  <c r="AE967" s="69"/>
      <c r="AF967" s="69"/>
      <c r="AG967" s="69"/>
      <c r="AH967" s="69"/>
      <c r="AI967" s="69"/>
      <c r="AJ967" s="69"/>
      <c r="AK967" s="69"/>
      <c r="AL967" s="69"/>
      <c r="AM967" s="69"/>
      <c r="AN967" s="69"/>
      <c r="AO967" s="69"/>
      <c r="AP967" s="69"/>
      <c r="AQ967" s="69"/>
      <c r="AR967" s="94">
        <f t="shared" si="77"/>
        <v>586.25</v>
      </c>
      <c r="AS967" s="69">
        <v>375.66</v>
      </c>
      <c r="AT967" s="69">
        <v>44.34</v>
      </c>
      <c r="AU967" s="69">
        <v>141.25</v>
      </c>
      <c r="AV967" s="69">
        <v>25</v>
      </c>
      <c r="AW967" s="69"/>
      <c r="AX967" s="69"/>
      <c r="AY967" s="69"/>
      <c r="AZ967" s="69"/>
      <c r="BA967" s="69"/>
      <c r="BB967" s="69"/>
      <c r="BC967" s="69"/>
      <c r="BD967" s="69"/>
      <c r="BE967" s="69"/>
      <c r="BF967" s="69"/>
      <c r="BG967" s="69"/>
      <c r="BH967" s="69"/>
      <c r="BI967" s="69"/>
      <c r="BJ967" s="69"/>
      <c r="BK967" s="69"/>
      <c r="BL967" s="69"/>
      <c r="BM967" s="69"/>
      <c r="BN967" s="69"/>
      <c r="BO967" s="69"/>
      <c r="BP967" s="69"/>
      <c r="BQ967" s="69"/>
      <c r="BR967" s="69"/>
      <c r="BS967" s="69"/>
      <c r="BT967" s="69"/>
      <c r="BU967" s="69"/>
      <c r="BV967" s="69"/>
      <c r="BW967" s="69"/>
      <c r="BX967" s="69"/>
      <c r="BY967" s="69"/>
      <c r="BZ967" s="69"/>
      <c r="CA967" s="69"/>
      <c r="CB967" s="69"/>
      <c r="CC967" s="69"/>
      <c r="CD967" s="69"/>
      <c r="CE967" s="94">
        <f t="shared" si="80"/>
        <v>586.25</v>
      </c>
      <c r="CF967" s="151">
        <f t="shared" si="78"/>
        <v>0</v>
      </c>
      <c r="CG967" s="75">
        <f t="shared" si="79"/>
        <v>4815</v>
      </c>
      <c r="CH967" s="69" t="str">
        <f t="shared" si="79"/>
        <v>خ ت صيدلة</v>
      </c>
    </row>
    <row r="968" spans="1:86" x14ac:dyDescent="0.25">
      <c r="A968" s="148"/>
      <c r="B968" s="82">
        <v>8491</v>
      </c>
      <c r="C968" s="149">
        <v>4816</v>
      </c>
      <c r="D968" s="69" t="s">
        <v>119</v>
      </c>
      <c r="E968" s="69" t="s">
        <v>1858</v>
      </c>
      <c r="F968" s="63"/>
      <c r="G968" s="69">
        <v>556.94000000000005</v>
      </c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  <c r="AE968" s="69"/>
      <c r="AF968" s="69"/>
      <c r="AG968" s="69"/>
      <c r="AH968" s="69"/>
      <c r="AI968" s="69"/>
      <c r="AJ968" s="69"/>
      <c r="AK968" s="69"/>
      <c r="AL968" s="69"/>
      <c r="AM968" s="69"/>
      <c r="AN968" s="69"/>
      <c r="AO968" s="69"/>
      <c r="AP968" s="69"/>
      <c r="AQ968" s="69"/>
      <c r="AR968" s="94">
        <f t="shared" si="77"/>
        <v>556.94000000000005</v>
      </c>
      <c r="AS968" s="69">
        <v>356.9</v>
      </c>
      <c r="AT968" s="69">
        <v>42.1</v>
      </c>
      <c r="AU968" s="69">
        <v>134.19</v>
      </c>
      <c r="AV968" s="69">
        <v>23.75</v>
      </c>
      <c r="AW968" s="69"/>
      <c r="AX968" s="69"/>
      <c r="AY968" s="69"/>
      <c r="AZ968" s="69"/>
      <c r="BA968" s="69"/>
      <c r="BB968" s="69"/>
      <c r="BC968" s="69"/>
      <c r="BD968" s="69"/>
      <c r="BE968" s="69"/>
      <c r="BF968" s="69"/>
      <c r="BG968" s="69"/>
      <c r="BH968" s="69"/>
      <c r="BI968" s="69"/>
      <c r="BJ968" s="69"/>
      <c r="BK968" s="69"/>
      <c r="BL968" s="69"/>
      <c r="BM968" s="69"/>
      <c r="BN968" s="69"/>
      <c r="BO968" s="69"/>
      <c r="BP968" s="69"/>
      <c r="BQ968" s="69"/>
      <c r="BR968" s="69"/>
      <c r="BS968" s="69"/>
      <c r="BT968" s="69"/>
      <c r="BU968" s="69"/>
      <c r="BV968" s="69"/>
      <c r="BW968" s="69"/>
      <c r="BX968" s="69"/>
      <c r="BY968" s="69"/>
      <c r="BZ968" s="69"/>
      <c r="CA968" s="69"/>
      <c r="CB968" s="69"/>
      <c r="CC968" s="69"/>
      <c r="CD968" s="69"/>
      <c r="CE968" s="94">
        <f t="shared" si="80"/>
        <v>556.94000000000005</v>
      </c>
      <c r="CF968" s="151">
        <f t="shared" si="78"/>
        <v>0</v>
      </c>
      <c r="CG968" s="75">
        <f t="shared" si="79"/>
        <v>4816</v>
      </c>
      <c r="CH968" s="69" t="str">
        <f t="shared" si="79"/>
        <v>خ ت صيدلة</v>
      </c>
    </row>
    <row r="969" spans="1:86" x14ac:dyDescent="0.25">
      <c r="A969" s="148"/>
      <c r="B969" s="82">
        <v>8473</v>
      </c>
      <c r="C969" s="149">
        <v>4817</v>
      </c>
      <c r="D969" s="69" t="s">
        <v>119</v>
      </c>
      <c r="E969" s="69" t="s">
        <v>3394</v>
      </c>
      <c r="F969" s="63"/>
      <c r="G969" s="69">
        <v>7951.42</v>
      </c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  <c r="AD969" s="69"/>
      <c r="AE969" s="69"/>
      <c r="AF969" s="69"/>
      <c r="AG969" s="69"/>
      <c r="AH969" s="69"/>
      <c r="AI969" s="69"/>
      <c r="AJ969" s="69"/>
      <c r="AK969" s="69"/>
      <c r="AL969" s="69"/>
      <c r="AM969" s="69"/>
      <c r="AN969" s="69"/>
      <c r="AO969" s="69"/>
      <c r="AP969" s="69"/>
      <c r="AQ969" s="69"/>
      <c r="AR969" s="94">
        <f t="shared" si="77"/>
        <v>7951.42</v>
      </c>
      <c r="AS969" s="69">
        <v>5174.22</v>
      </c>
      <c r="AT969" s="69">
        <v>456.28</v>
      </c>
      <c r="AU969" s="69">
        <v>1983.92</v>
      </c>
      <c r="AV969" s="69">
        <v>337</v>
      </c>
      <c r="AW969" s="69"/>
      <c r="AX969" s="69"/>
      <c r="AY969" s="69"/>
      <c r="AZ969" s="69"/>
      <c r="BA969" s="69"/>
      <c r="BB969" s="69"/>
      <c r="BC969" s="69"/>
      <c r="BD969" s="69"/>
      <c r="BE969" s="69"/>
      <c r="BF969" s="69"/>
      <c r="BG969" s="69"/>
      <c r="BH969" s="69"/>
      <c r="BI969" s="69"/>
      <c r="BJ969" s="69"/>
      <c r="BK969" s="69"/>
      <c r="BL969" s="69"/>
      <c r="BM969" s="69"/>
      <c r="BN969" s="69"/>
      <c r="BO969" s="69"/>
      <c r="BP969" s="69"/>
      <c r="BQ969" s="69"/>
      <c r="BR969" s="69"/>
      <c r="BS969" s="69"/>
      <c r="BT969" s="69"/>
      <c r="BU969" s="69"/>
      <c r="BV969" s="69"/>
      <c r="BW969" s="69"/>
      <c r="BX969" s="69"/>
      <c r="BY969" s="69"/>
      <c r="BZ969" s="69"/>
      <c r="CA969" s="69"/>
      <c r="CB969" s="69"/>
      <c r="CC969" s="69"/>
      <c r="CD969" s="69"/>
      <c r="CE969" s="94">
        <f t="shared" si="80"/>
        <v>7951.42</v>
      </c>
      <c r="CF969" s="151">
        <f t="shared" si="78"/>
        <v>0</v>
      </c>
      <c r="CG969" s="75">
        <f t="shared" si="79"/>
        <v>4817</v>
      </c>
      <c r="CH969" s="69" t="str">
        <f t="shared" si="79"/>
        <v>خ ت صيدلة</v>
      </c>
    </row>
    <row r="970" spans="1:86" x14ac:dyDescent="0.25">
      <c r="A970" s="148"/>
      <c r="B970" s="82">
        <v>8484</v>
      </c>
      <c r="C970" s="149">
        <v>4818</v>
      </c>
      <c r="D970" s="69" t="s">
        <v>119</v>
      </c>
      <c r="E970" s="69" t="str">
        <f>+E968</f>
        <v>مكافاه تدريس ربيع</v>
      </c>
      <c r="F970" s="63"/>
      <c r="G970" s="69">
        <v>4900</v>
      </c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  <c r="AD970" s="69"/>
      <c r="AE970" s="69"/>
      <c r="AF970" s="69"/>
      <c r="AG970" s="69"/>
      <c r="AH970" s="69"/>
      <c r="AI970" s="69"/>
      <c r="AJ970" s="69"/>
      <c r="AK970" s="69"/>
      <c r="AL970" s="69"/>
      <c r="AM970" s="69"/>
      <c r="AN970" s="69"/>
      <c r="AO970" s="69"/>
      <c r="AP970" s="69"/>
      <c r="AQ970" s="69"/>
      <c r="AR970" s="94">
        <f t="shared" si="77"/>
        <v>4900</v>
      </c>
      <c r="AS970" s="69">
        <v>3695.16</v>
      </c>
      <c r="AT970" s="69">
        <v>959.84</v>
      </c>
      <c r="AU970" s="69"/>
      <c r="AV970" s="69">
        <v>245</v>
      </c>
      <c r="AW970" s="69"/>
      <c r="AX970" s="69"/>
      <c r="AY970" s="69"/>
      <c r="AZ970" s="69"/>
      <c r="BA970" s="69"/>
      <c r="BB970" s="69"/>
      <c r="BC970" s="69"/>
      <c r="BD970" s="69"/>
      <c r="BE970" s="69"/>
      <c r="BF970" s="69"/>
      <c r="BG970" s="69"/>
      <c r="BH970" s="69"/>
      <c r="BI970" s="69"/>
      <c r="BJ970" s="69"/>
      <c r="BK970" s="69"/>
      <c r="BL970" s="69"/>
      <c r="BM970" s="69"/>
      <c r="BN970" s="69"/>
      <c r="BO970" s="69"/>
      <c r="BP970" s="69"/>
      <c r="BQ970" s="69"/>
      <c r="BR970" s="69"/>
      <c r="BS970" s="69"/>
      <c r="BT970" s="69"/>
      <c r="BU970" s="69"/>
      <c r="BV970" s="69"/>
      <c r="BW970" s="69"/>
      <c r="BX970" s="69"/>
      <c r="BY970" s="69"/>
      <c r="BZ970" s="69"/>
      <c r="CA970" s="69"/>
      <c r="CB970" s="69"/>
      <c r="CC970" s="69"/>
      <c r="CD970" s="69"/>
      <c r="CE970" s="94">
        <f t="shared" si="80"/>
        <v>4900</v>
      </c>
      <c r="CF970" s="151">
        <f t="shared" si="78"/>
        <v>0</v>
      </c>
      <c r="CG970" s="75">
        <f t="shared" si="79"/>
        <v>4818</v>
      </c>
      <c r="CH970" s="69" t="str">
        <f t="shared" si="79"/>
        <v>خ ت صيدلة</v>
      </c>
    </row>
    <row r="971" spans="1:86" x14ac:dyDescent="0.25">
      <c r="A971" s="148"/>
      <c r="B971" s="82">
        <v>8477</v>
      </c>
      <c r="C971" s="149">
        <v>4819</v>
      </c>
      <c r="D971" s="69" t="s">
        <v>119</v>
      </c>
      <c r="E971" s="69" t="str">
        <f>+E969</f>
        <v>ج غ عاديه خ ت</v>
      </c>
      <c r="F971" s="63"/>
      <c r="G971" s="69">
        <v>6460.48</v>
      </c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  <c r="AD971" s="69"/>
      <c r="AE971" s="69"/>
      <c r="AF971" s="69"/>
      <c r="AG971" s="69"/>
      <c r="AH971" s="69"/>
      <c r="AI971" s="69"/>
      <c r="AJ971" s="69"/>
      <c r="AK971" s="69"/>
      <c r="AL971" s="69"/>
      <c r="AM971" s="69"/>
      <c r="AN971" s="69"/>
      <c r="AO971" s="69"/>
      <c r="AP971" s="69"/>
      <c r="AQ971" s="69"/>
      <c r="AR971" s="94">
        <f t="shared" si="77"/>
        <v>6460.48</v>
      </c>
      <c r="AS971" s="69">
        <v>4321.3999999999996</v>
      </c>
      <c r="AT971" s="69">
        <f>551+31.5</f>
        <v>582.5</v>
      </c>
      <c r="AU971" s="69">
        <v>1556.58</v>
      </c>
      <c r="AV971" s="69"/>
      <c r="AW971" s="69"/>
      <c r="AX971" s="69"/>
      <c r="AY971" s="69"/>
      <c r="AZ971" s="69"/>
      <c r="BA971" s="69"/>
      <c r="BB971" s="69"/>
      <c r="BC971" s="69"/>
      <c r="BD971" s="69"/>
      <c r="BE971" s="69"/>
      <c r="BF971" s="69"/>
      <c r="BG971" s="69"/>
      <c r="BH971" s="69"/>
      <c r="BI971" s="69"/>
      <c r="BJ971" s="69"/>
      <c r="BK971" s="69"/>
      <c r="BL971" s="69"/>
      <c r="BM971" s="69"/>
      <c r="BN971" s="69"/>
      <c r="BO971" s="69"/>
      <c r="BP971" s="69"/>
      <c r="BQ971" s="69"/>
      <c r="BR971" s="69"/>
      <c r="BS971" s="69"/>
      <c r="BT971" s="69"/>
      <c r="BU971" s="69"/>
      <c r="BV971" s="69"/>
      <c r="BW971" s="69"/>
      <c r="BX971" s="69"/>
      <c r="BY971" s="69"/>
      <c r="BZ971" s="69"/>
      <c r="CA971" s="69"/>
      <c r="CB971" s="69"/>
      <c r="CC971" s="69"/>
      <c r="CD971" s="69"/>
      <c r="CE971" s="94">
        <f t="shared" si="80"/>
        <v>6460.48</v>
      </c>
      <c r="CF971" s="151">
        <f t="shared" si="78"/>
        <v>0</v>
      </c>
      <c r="CG971" s="75">
        <f t="shared" si="79"/>
        <v>4819</v>
      </c>
      <c r="CH971" s="69" t="str">
        <f t="shared" si="79"/>
        <v>خ ت صيدلة</v>
      </c>
    </row>
    <row r="972" spans="1:86" x14ac:dyDescent="0.25">
      <c r="A972" s="148"/>
      <c r="B972" s="82">
        <v>8472</v>
      </c>
      <c r="C972" s="149">
        <v>4820</v>
      </c>
      <c r="D972" s="69" t="s">
        <v>119</v>
      </c>
      <c r="E972" s="69" t="str">
        <f>+E971</f>
        <v>ج غ عاديه خ ت</v>
      </c>
      <c r="F972" s="63"/>
      <c r="G972" s="69">
        <v>36905.99</v>
      </c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  <c r="AD972" s="69"/>
      <c r="AE972" s="69"/>
      <c r="AF972" s="69"/>
      <c r="AG972" s="69"/>
      <c r="AH972" s="69"/>
      <c r="AI972" s="69"/>
      <c r="AJ972" s="69"/>
      <c r="AK972" s="69"/>
      <c r="AL972" s="69"/>
      <c r="AM972" s="69"/>
      <c r="AN972" s="69"/>
      <c r="AO972" s="69"/>
      <c r="AP972" s="69"/>
      <c r="AQ972" s="69"/>
      <c r="AR972" s="94">
        <f t="shared" si="77"/>
        <v>36905.99</v>
      </c>
      <c r="AS972" s="69">
        <v>22655.26</v>
      </c>
      <c r="AT972" s="69">
        <v>3806.59</v>
      </c>
      <c r="AU972" s="69">
        <v>8869.64</v>
      </c>
      <c r="AV972" s="69">
        <v>1574.5</v>
      </c>
      <c r="AW972" s="69"/>
      <c r="AX972" s="69"/>
      <c r="AY972" s="69"/>
      <c r="AZ972" s="69"/>
      <c r="BA972" s="69"/>
      <c r="BB972" s="69"/>
      <c r="BC972" s="69"/>
      <c r="BD972" s="69"/>
      <c r="BE972" s="69"/>
      <c r="BF972" s="69"/>
      <c r="BG972" s="69"/>
      <c r="BH972" s="69"/>
      <c r="BI972" s="69"/>
      <c r="BJ972" s="69"/>
      <c r="BK972" s="69"/>
      <c r="BL972" s="69"/>
      <c r="BM972" s="69"/>
      <c r="BN972" s="69"/>
      <c r="BO972" s="69"/>
      <c r="BP972" s="69"/>
      <c r="BQ972" s="69"/>
      <c r="BR972" s="69"/>
      <c r="BS972" s="69"/>
      <c r="BT972" s="69"/>
      <c r="BU972" s="69"/>
      <c r="BV972" s="69"/>
      <c r="BW972" s="69"/>
      <c r="BX972" s="69"/>
      <c r="BY972" s="69"/>
      <c r="BZ972" s="69"/>
      <c r="CA972" s="69"/>
      <c r="CB972" s="69"/>
      <c r="CC972" s="69"/>
      <c r="CD972" s="69"/>
      <c r="CE972" s="94">
        <f t="shared" si="80"/>
        <v>36905.99</v>
      </c>
      <c r="CF972" s="151">
        <f t="shared" si="78"/>
        <v>0</v>
      </c>
      <c r="CG972" s="75">
        <f t="shared" si="79"/>
        <v>4820</v>
      </c>
      <c r="CH972" s="69" t="str">
        <f t="shared" si="79"/>
        <v>خ ت صيدلة</v>
      </c>
    </row>
    <row r="973" spans="1:86" x14ac:dyDescent="0.25">
      <c r="A973" s="148"/>
      <c r="B973" s="82">
        <v>8482</v>
      </c>
      <c r="C973" s="149">
        <v>4821</v>
      </c>
      <c r="D973" s="69" t="s">
        <v>119</v>
      </c>
      <c r="E973" s="69" t="str">
        <f>+E968</f>
        <v>مكافاه تدريس ربيع</v>
      </c>
      <c r="F973" s="63"/>
      <c r="G973" s="69">
        <v>214080</v>
      </c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  <c r="AE973" s="69"/>
      <c r="AF973" s="69"/>
      <c r="AG973" s="69"/>
      <c r="AH973" s="69"/>
      <c r="AI973" s="69"/>
      <c r="AJ973" s="69"/>
      <c r="AK973" s="69"/>
      <c r="AL973" s="69"/>
      <c r="AM973" s="69"/>
      <c r="AN973" s="69"/>
      <c r="AO973" s="69"/>
      <c r="AP973" s="69"/>
      <c r="AQ973" s="69"/>
      <c r="AR973" s="94">
        <f t="shared" si="77"/>
        <v>214080</v>
      </c>
      <c r="AS973" s="69">
        <v>161443.12</v>
      </c>
      <c r="AT973" s="69">
        <v>41932.879999999997</v>
      </c>
      <c r="AU973" s="69"/>
      <c r="AV973" s="69">
        <v>10704</v>
      </c>
      <c r="AW973" s="69"/>
      <c r="AX973" s="69"/>
      <c r="AY973" s="69"/>
      <c r="AZ973" s="69"/>
      <c r="BA973" s="69"/>
      <c r="BB973" s="69"/>
      <c r="BC973" s="69"/>
      <c r="BD973" s="69"/>
      <c r="BE973" s="69"/>
      <c r="BF973" s="69"/>
      <c r="BG973" s="69"/>
      <c r="BH973" s="69"/>
      <c r="BI973" s="69"/>
      <c r="BJ973" s="69"/>
      <c r="BK973" s="69"/>
      <c r="BL973" s="69"/>
      <c r="BM973" s="69"/>
      <c r="BN973" s="69"/>
      <c r="BO973" s="69"/>
      <c r="BP973" s="69"/>
      <c r="BQ973" s="69"/>
      <c r="BR973" s="69"/>
      <c r="BS973" s="69"/>
      <c r="BT973" s="69"/>
      <c r="BU973" s="69"/>
      <c r="BV973" s="69"/>
      <c r="BW973" s="69"/>
      <c r="BX973" s="69"/>
      <c r="BY973" s="69"/>
      <c r="BZ973" s="69"/>
      <c r="CA973" s="69"/>
      <c r="CB973" s="69"/>
      <c r="CC973" s="69"/>
      <c r="CD973" s="69"/>
      <c r="CE973" s="94">
        <f t="shared" si="80"/>
        <v>214080</v>
      </c>
      <c r="CF973" s="151">
        <f t="shared" si="78"/>
        <v>0</v>
      </c>
      <c r="CG973" s="75">
        <f t="shared" si="79"/>
        <v>4821</v>
      </c>
      <c r="CH973" s="69" t="str">
        <f t="shared" si="79"/>
        <v>خ ت صيدلة</v>
      </c>
    </row>
    <row r="974" spans="1:86" x14ac:dyDescent="0.25">
      <c r="A974" s="148"/>
      <c r="B974" s="82">
        <v>8481</v>
      </c>
      <c r="C974" s="149">
        <v>4822</v>
      </c>
      <c r="D974" s="69" t="s">
        <v>119</v>
      </c>
      <c r="E974" s="69" t="str">
        <f>+E973</f>
        <v>مكافاه تدريس ربيع</v>
      </c>
      <c r="F974" s="63"/>
      <c r="G974" s="69">
        <v>11520</v>
      </c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  <c r="AD974" s="69"/>
      <c r="AE974" s="69"/>
      <c r="AF974" s="69"/>
      <c r="AG974" s="69"/>
      <c r="AH974" s="69"/>
      <c r="AI974" s="69"/>
      <c r="AJ974" s="69"/>
      <c r="AK974" s="69"/>
      <c r="AL974" s="69"/>
      <c r="AM974" s="69"/>
      <c r="AN974" s="69"/>
      <c r="AO974" s="69"/>
      <c r="AP974" s="69"/>
      <c r="AQ974" s="69"/>
      <c r="AR974" s="94">
        <f t="shared" si="77"/>
        <v>11520</v>
      </c>
      <c r="AS974" s="69">
        <v>8682.08</v>
      </c>
      <c r="AT974" s="69">
        <v>2261.92</v>
      </c>
      <c r="AU974" s="69"/>
      <c r="AV974" s="69">
        <v>576</v>
      </c>
      <c r="AW974" s="69"/>
      <c r="AX974" s="69"/>
      <c r="AY974" s="69"/>
      <c r="AZ974" s="69"/>
      <c r="BA974" s="69"/>
      <c r="BB974" s="69"/>
      <c r="BC974" s="69"/>
      <c r="BD974" s="69"/>
      <c r="BE974" s="69"/>
      <c r="BF974" s="69"/>
      <c r="BG974" s="69"/>
      <c r="BH974" s="69"/>
      <c r="BI974" s="69"/>
      <c r="BJ974" s="69"/>
      <c r="BK974" s="69"/>
      <c r="BL974" s="69"/>
      <c r="BM974" s="69"/>
      <c r="BN974" s="69"/>
      <c r="BO974" s="69"/>
      <c r="BP974" s="69"/>
      <c r="BQ974" s="69"/>
      <c r="BR974" s="69"/>
      <c r="BS974" s="69"/>
      <c r="BT974" s="69"/>
      <c r="BU974" s="69"/>
      <c r="BV974" s="69"/>
      <c r="BW974" s="69"/>
      <c r="BX974" s="69"/>
      <c r="BY974" s="69"/>
      <c r="BZ974" s="69"/>
      <c r="CA974" s="69"/>
      <c r="CB974" s="69"/>
      <c r="CC974" s="69"/>
      <c r="CD974" s="69"/>
      <c r="CE974" s="94">
        <f t="shared" si="80"/>
        <v>11520</v>
      </c>
      <c r="CF974" s="151">
        <f t="shared" si="78"/>
        <v>0</v>
      </c>
      <c r="CG974" s="75">
        <f t="shared" si="79"/>
        <v>4822</v>
      </c>
      <c r="CH974" s="69" t="str">
        <f t="shared" si="79"/>
        <v>خ ت صيدلة</v>
      </c>
    </row>
    <row r="975" spans="1:86" x14ac:dyDescent="0.25">
      <c r="A975" s="148"/>
      <c r="B975" s="82">
        <v>8480</v>
      </c>
      <c r="C975" s="149">
        <v>4823</v>
      </c>
      <c r="D975" s="69" t="s">
        <v>119</v>
      </c>
      <c r="E975" s="69" t="str">
        <f>+E974</f>
        <v>مكافاه تدريس ربيع</v>
      </c>
      <c r="F975" s="63"/>
      <c r="G975" s="69">
        <v>4320</v>
      </c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  <c r="AD975" s="69"/>
      <c r="AE975" s="69"/>
      <c r="AF975" s="69"/>
      <c r="AG975" s="69"/>
      <c r="AH975" s="69"/>
      <c r="AI975" s="69"/>
      <c r="AJ975" s="69"/>
      <c r="AK975" s="69"/>
      <c r="AL975" s="69"/>
      <c r="AM975" s="69"/>
      <c r="AN975" s="69"/>
      <c r="AO975" s="69"/>
      <c r="AP975" s="69"/>
      <c r="AQ975" s="69"/>
      <c r="AR975" s="94">
        <f t="shared" si="77"/>
        <v>4320</v>
      </c>
      <c r="AS975" s="69">
        <v>3258.84</v>
      </c>
      <c r="AT975" s="69">
        <v>845.16</v>
      </c>
      <c r="AU975" s="69"/>
      <c r="AV975" s="69">
        <v>216</v>
      </c>
      <c r="AW975" s="69"/>
      <c r="AX975" s="69"/>
      <c r="AY975" s="69"/>
      <c r="AZ975" s="69"/>
      <c r="BA975" s="69"/>
      <c r="BB975" s="69"/>
      <c r="BC975" s="69"/>
      <c r="BD975" s="69"/>
      <c r="BE975" s="69"/>
      <c r="BF975" s="69"/>
      <c r="BG975" s="69"/>
      <c r="BH975" s="69"/>
      <c r="BI975" s="69"/>
      <c r="BJ975" s="69"/>
      <c r="BK975" s="69"/>
      <c r="BL975" s="69"/>
      <c r="BM975" s="69"/>
      <c r="BN975" s="69"/>
      <c r="BO975" s="69"/>
      <c r="BP975" s="69"/>
      <c r="BQ975" s="69"/>
      <c r="BR975" s="69"/>
      <c r="BS975" s="69"/>
      <c r="BT975" s="69"/>
      <c r="BU975" s="69"/>
      <c r="BV975" s="69"/>
      <c r="BW975" s="69"/>
      <c r="BX975" s="69"/>
      <c r="BY975" s="69"/>
      <c r="BZ975" s="69"/>
      <c r="CA975" s="69"/>
      <c r="CB975" s="69"/>
      <c r="CC975" s="69"/>
      <c r="CD975" s="69"/>
      <c r="CE975" s="94">
        <f t="shared" ref="CE975:CE1038" si="81">SUM(AS975:CD975)</f>
        <v>4320</v>
      </c>
      <c r="CF975" s="151">
        <f t="shared" si="78"/>
        <v>0</v>
      </c>
      <c r="CG975" s="75">
        <f t="shared" si="79"/>
        <v>4823</v>
      </c>
      <c r="CH975" s="69" t="str">
        <f t="shared" si="79"/>
        <v>خ ت صيدلة</v>
      </c>
    </row>
    <row r="976" spans="1:86" x14ac:dyDescent="0.25">
      <c r="A976" s="148"/>
      <c r="B976" s="82">
        <v>8478</v>
      </c>
      <c r="C976" s="149">
        <v>4824</v>
      </c>
      <c r="D976" s="69" t="s">
        <v>119</v>
      </c>
      <c r="E976" s="69" t="str">
        <f>+E975</f>
        <v>مكافاه تدريس ربيع</v>
      </c>
      <c r="F976" s="63"/>
      <c r="G976" s="69">
        <v>20400</v>
      </c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  <c r="AD976" s="69"/>
      <c r="AE976" s="69"/>
      <c r="AF976" s="69"/>
      <c r="AG976" s="69"/>
      <c r="AH976" s="69"/>
      <c r="AI976" s="69"/>
      <c r="AJ976" s="69"/>
      <c r="AK976" s="69"/>
      <c r="AL976" s="69"/>
      <c r="AM976" s="69"/>
      <c r="AN976" s="69"/>
      <c r="AO976" s="69"/>
      <c r="AP976" s="69"/>
      <c r="AQ976" s="69"/>
      <c r="AR976" s="94">
        <f t="shared" si="77"/>
        <v>20400</v>
      </c>
      <c r="AS976" s="69">
        <v>15377.52</v>
      </c>
      <c r="AT976" s="69">
        <v>4002.48</v>
      </c>
      <c r="AU976" s="69"/>
      <c r="AV976" s="69">
        <v>1020</v>
      </c>
      <c r="AW976" s="69"/>
      <c r="AX976" s="69"/>
      <c r="AY976" s="69"/>
      <c r="AZ976" s="69"/>
      <c r="BA976" s="69"/>
      <c r="BB976" s="69"/>
      <c r="BC976" s="69"/>
      <c r="BD976" s="69"/>
      <c r="BE976" s="69"/>
      <c r="BF976" s="69"/>
      <c r="BG976" s="69"/>
      <c r="BH976" s="69"/>
      <c r="BI976" s="69"/>
      <c r="BJ976" s="69"/>
      <c r="BK976" s="69"/>
      <c r="BL976" s="69"/>
      <c r="BM976" s="69"/>
      <c r="BN976" s="69"/>
      <c r="BO976" s="69"/>
      <c r="BP976" s="69"/>
      <c r="BQ976" s="69"/>
      <c r="BR976" s="69"/>
      <c r="BS976" s="69"/>
      <c r="BT976" s="69"/>
      <c r="BU976" s="69"/>
      <c r="BV976" s="69"/>
      <c r="BW976" s="69"/>
      <c r="BX976" s="69"/>
      <c r="BY976" s="69"/>
      <c r="BZ976" s="69"/>
      <c r="CA976" s="69"/>
      <c r="CB976" s="69"/>
      <c r="CC976" s="69"/>
      <c r="CD976" s="69"/>
      <c r="CE976" s="94">
        <f t="shared" si="81"/>
        <v>20400</v>
      </c>
      <c r="CF976" s="151">
        <f t="shared" si="78"/>
        <v>0</v>
      </c>
      <c r="CG976" s="75">
        <f t="shared" si="79"/>
        <v>4824</v>
      </c>
      <c r="CH976" s="69" t="str">
        <f t="shared" si="79"/>
        <v>خ ت صيدلة</v>
      </c>
    </row>
    <row r="977" spans="1:96" x14ac:dyDescent="0.25">
      <c r="A977" s="148"/>
      <c r="B977" s="82">
        <v>8495</v>
      </c>
      <c r="C977" s="149">
        <v>4825</v>
      </c>
      <c r="D977" s="69" t="s">
        <v>119</v>
      </c>
      <c r="E977" s="69" t="str">
        <f>+E976</f>
        <v>مكافاه تدريس ربيع</v>
      </c>
      <c r="F977" s="63"/>
      <c r="G977" s="69">
        <v>44720</v>
      </c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  <c r="AE977" s="69"/>
      <c r="AF977" s="69"/>
      <c r="AG977" s="69"/>
      <c r="AH977" s="69"/>
      <c r="AI977" s="69"/>
      <c r="AJ977" s="69"/>
      <c r="AK977" s="69"/>
      <c r="AL977" s="69"/>
      <c r="AM977" s="69"/>
      <c r="AN977" s="69"/>
      <c r="AO977" s="69"/>
      <c r="AP977" s="69"/>
      <c r="AQ977" s="69"/>
      <c r="AR977" s="94">
        <f t="shared" si="77"/>
        <v>44720</v>
      </c>
      <c r="AS977" s="69">
        <v>33727.86</v>
      </c>
      <c r="AT977" s="69">
        <v>8756.14</v>
      </c>
      <c r="AU977" s="69"/>
      <c r="AV977" s="69">
        <v>2236</v>
      </c>
      <c r="AW977" s="69"/>
      <c r="AX977" s="69"/>
      <c r="AY977" s="69"/>
      <c r="AZ977" s="69"/>
      <c r="BA977" s="69"/>
      <c r="BB977" s="69"/>
      <c r="BC977" s="69"/>
      <c r="BD977" s="69"/>
      <c r="BE977" s="69"/>
      <c r="BF977" s="69"/>
      <c r="BG977" s="69"/>
      <c r="BH977" s="69"/>
      <c r="BI977" s="69"/>
      <c r="BJ977" s="69"/>
      <c r="BK977" s="69"/>
      <c r="BL977" s="69"/>
      <c r="BM977" s="69"/>
      <c r="BN977" s="69"/>
      <c r="BO977" s="69"/>
      <c r="BP977" s="69"/>
      <c r="BQ977" s="69"/>
      <c r="BR977" s="69"/>
      <c r="BS977" s="69"/>
      <c r="BT977" s="69"/>
      <c r="BU977" s="69"/>
      <c r="BV977" s="69"/>
      <c r="BW977" s="69"/>
      <c r="BX977" s="69"/>
      <c r="BY977" s="69"/>
      <c r="BZ977" s="69"/>
      <c r="CA977" s="69"/>
      <c r="CB977" s="69"/>
      <c r="CC977" s="69"/>
      <c r="CD977" s="69"/>
      <c r="CE977" s="94">
        <f t="shared" si="81"/>
        <v>44720</v>
      </c>
      <c r="CF977" s="151">
        <f t="shared" si="78"/>
        <v>0</v>
      </c>
      <c r="CG977" s="75">
        <f t="shared" si="79"/>
        <v>4825</v>
      </c>
      <c r="CH977" s="69" t="str">
        <f t="shared" si="79"/>
        <v>خ ت صيدلة</v>
      </c>
    </row>
    <row r="978" spans="1:96" x14ac:dyDescent="0.25">
      <c r="A978" s="148"/>
      <c r="B978" s="82">
        <v>8476</v>
      </c>
      <c r="C978" s="149">
        <v>4826</v>
      </c>
      <c r="D978" s="69" t="s">
        <v>119</v>
      </c>
      <c r="E978" s="69" t="str">
        <f>+E972</f>
        <v>ج غ عاديه خ ت</v>
      </c>
      <c r="F978" s="63"/>
      <c r="G978" s="69">
        <v>738.68</v>
      </c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  <c r="AD978" s="69"/>
      <c r="AE978" s="69"/>
      <c r="AF978" s="69"/>
      <c r="AG978" s="69"/>
      <c r="AH978" s="69"/>
      <c r="AI978" s="69"/>
      <c r="AJ978" s="69"/>
      <c r="AK978" s="69"/>
      <c r="AL978" s="69"/>
      <c r="AM978" s="69"/>
      <c r="AN978" s="69"/>
      <c r="AO978" s="69"/>
      <c r="AP978" s="69"/>
      <c r="AQ978" s="69"/>
      <c r="AR978" s="94">
        <f t="shared" si="77"/>
        <v>738.68</v>
      </c>
      <c r="AS978" s="69">
        <v>543.16999999999996</v>
      </c>
      <c r="AT978" s="69">
        <f>3.6+13.93</f>
        <v>17.53</v>
      </c>
      <c r="AU978" s="69">
        <v>177.98</v>
      </c>
      <c r="AV978" s="69"/>
      <c r="AW978" s="69"/>
      <c r="AX978" s="69"/>
      <c r="AY978" s="69"/>
      <c r="AZ978" s="69"/>
      <c r="BA978" s="69"/>
      <c r="BB978" s="69"/>
      <c r="BC978" s="69"/>
      <c r="BD978" s="69"/>
      <c r="BE978" s="69"/>
      <c r="BF978" s="69"/>
      <c r="BG978" s="69"/>
      <c r="BH978" s="69"/>
      <c r="BI978" s="69"/>
      <c r="BJ978" s="69"/>
      <c r="BK978" s="69"/>
      <c r="BL978" s="69"/>
      <c r="BM978" s="69"/>
      <c r="BN978" s="69"/>
      <c r="BO978" s="69"/>
      <c r="BP978" s="69"/>
      <c r="BQ978" s="69"/>
      <c r="BR978" s="69"/>
      <c r="BS978" s="69"/>
      <c r="BT978" s="69"/>
      <c r="BU978" s="69"/>
      <c r="BV978" s="69"/>
      <c r="BW978" s="69"/>
      <c r="BX978" s="69"/>
      <c r="BY978" s="69"/>
      <c r="BZ978" s="69"/>
      <c r="CA978" s="69"/>
      <c r="CB978" s="69"/>
      <c r="CC978" s="69"/>
      <c r="CD978" s="69"/>
      <c r="CE978" s="94">
        <f t="shared" si="81"/>
        <v>738.68</v>
      </c>
      <c r="CF978" s="151">
        <f t="shared" si="78"/>
        <v>0</v>
      </c>
      <c r="CG978" s="75">
        <f t="shared" si="79"/>
        <v>4826</v>
      </c>
      <c r="CH978" s="69" t="str">
        <f t="shared" si="79"/>
        <v>خ ت صيدلة</v>
      </c>
    </row>
    <row r="979" spans="1:96" x14ac:dyDescent="0.25">
      <c r="A979" s="148"/>
      <c r="B979" s="82">
        <v>8475</v>
      </c>
      <c r="C979" s="149">
        <v>4827</v>
      </c>
      <c r="D979" s="69" t="s">
        <v>119</v>
      </c>
      <c r="E979" s="69" t="str">
        <f>+E978</f>
        <v>ج غ عاديه خ ت</v>
      </c>
      <c r="F979" s="63"/>
      <c r="G979" s="69">
        <v>738.68</v>
      </c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  <c r="AE979" s="69"/>
      <c r="AF979" s="69"/>
      <c r="AG979" s="69"/>
      <c r="AH979" s="69"/>
      <c r="AI979" s="69"/>
      <c r="AJ979" s="69"/>
      <c r="AK979" s="69"/>
      <c r="AL979" s="69"/>
      <c r="AM979" s="69"/>
      <c r="AN979" s="69"/>
      <c r="AO979" s="69"/>
      <c r="AP979" s="69"/>
      <c r="AQ979" s="69"/>
      <c r="AR979" s="94">
        <f t="shared" si="77"/>
        <v>738.68</v>
      </c>
      <c r="AS979" s="69">
        <v>473.04</v>
      </c>
      <c r="AT979" s="69">
        <v>56.16</v>
      </c>
      <c r="AU979" s="69">
        <v>177.98</v>
      </c>
      <c r="AV979" s="69">
        <v>31.5</v>
      </c>
      <c r="AW979" s="69"/>
      <c r="AX979" s="69"/>
      <c r="AY979" s="69"/>
      <c r="AZ979" s="69"/>
      <c r="BA979" s="69"/>
      <c r="BB979" s="69"/>
      <c r="BC979" s="69"/>
      <c r="BD979" s="69"/>
      <c r="BE979" s="69"/>
      <c r="BF979" s="69"/>
      <c r="BG979" s="69"/>
      <c r="BH979" s="69"/>
      <c r="BI979" s="69"/>
      <c r="BJ979" s="69"/>
      <c r="BK979" s="69"/>
      <c r="BL979" s="69"/>
      <c r="BM979" s="69"/>
      <c r="BN979" s="69"/>
      <c r="BO979" s="69"/>
      <c r="BP979" s="69"/>
      <c r="BQ979" s="69"/>
      <c r="BR979" s="69"/>
      <c r="BS979" s="69"/>
      <c r="BT979" s="69"/>
      <c r="BU979" s="69"/>
      <c r="BV979" s="69"/>
      <c r="BW979" s="69"/>
      <c r="BX979" s="69"/>
      <c r="BY979" s="69"/>
      <c r="BZ979" s="69"/>
      <c r="CA979" s="69"/>
      <c r="CB979" s="69"/>
      <c r="CC979" s="69"/>
      <c r="CD979" s="69"/>
      <c r="CE979" s="94">
        <f t="shared" si="81"/>
        <v>738.68000000000006</v>
      </c>
      <c r="CF979" s="151">
        <f t="shared" si="78"/>
        <v>0</v>
      </c>
      <c r="CG979" s="75">
        <f t="shared" si="79"/>
        <v>4827</v>
      </c>
      <c r="CH979" s="69" t="str">
        <f t="shared" si="79"/>
        <v>خ ت صيدلة</v>
      </c>
    </row>
    <row r="980" spans="1:96" x14ac:dyDescent="0.25">
      <c r="A980" s="148"/>
      <c r="B980" s="82">
        <v>8474</v>
      </c>
      <c r="C980" s="149">
        <v>4828</v>
      </c>
      <c r="D980" s="69" t="s">
        <v>119</v>
      </c>
      <c r="E980" s="69" t="str">
        <f>+E979</f>
        <v>ج غ عاديه خ ت</v>
      </c>
      <c r="F980" s="63"/>
      <c r="G980" s="69">
        <v>938</v>
      </c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  <c r="AD980" s="69"/>
      <c r="AE980" s="69"/>
      <c r="AF980" s="69"/>
      <c r="AG980" s="69"/>
      <c r="AH980" s="69"/>
      <c r="AI980" s="69"/>
      <c r="AJ980" s="69"/>
      <c r="AK980" s="69"/>
      <c r="AL980" s="69"/>
      <c r="AM980" s="69"/>
      <c r="AN980" s="69"/>
      <c r="AO980" s="69"/>
      <c r="AP980" s="69"/>
      <c r="AQ980" s="69"/>
      <c r="AR980" s="94">
        <f t="shared" si="77"/>
        <v>938</v>
      </c>
      <c r="AS980" s="69">
        <v>651.29999999999995</v>
      </c>
      <c r="AT980" s="69">
        <v>20.7</v>
      </c>
      <c r="AU980" s="69">
        <v>226</v>
      </c>
      <c r="AV980" s="69">
        <v>40</v>
      </c>
      <c r="AW980" s="69"/>
      <c r="AX980" s="69"/>
      <c r="AY980" s="69"/>
      <c r="AZ980" s="69"/>
      <c r="BA980" s="69"/>
      <c r="BB980" s="69"/>
      <c r="BC980" s="69"/>
      <c r="BD980" s="69"/>
      <c r="BE980" s="69"/>
      <c r="BF980" s="69"/>
      <c r="BG980" s="69"/>
      <c r="BH980" s="69"/>
      <c r="BI980" s="69"/>
      <c r="BJ980" s="69"/>
      <c r="BK980" s="69"/>
      <c r="BL980" s="69"/>
      <c r="BM980" s="69"/>
      <c r="BN980" s="69"/>
      <c r="BO980" s="69"/>
      <c r="BP980" s="69"/>
      <c r="BQ980" s="69"/>
      <c r="BR980" s="69"/>
      <c r="BS980" s="69"/>
      <c r="BT980" s="69"/>
      <c r="BU980" s="69"/>
      <c r="BV980" s="69"/>
      <c r="BW980" s="69"/>
      <c r="BX980" s="69"/>
      <c r="BY980" s="69"/>
      <c r="BZ980" s="69"/>
      <c r="CA980" s="69"/>
      <c r="CB980" s="69"/>
      <c r="CC980" s="69"/>
      <c r="CD980" s="69"/>
      <c r="CE980" s="94">
        <f t="shared" si="81"/>
        <v>938</v>
      </c>
      <c r="CF980" s="151">
        <f t="shared" si="78"/>
        <v>0</v>
      </c>
      <c r="CG980" s="75">
        <f t="shared" si="79"/>
        <v>4828</v>
      </c>
      <c r="CH980" s="69" t="str">
        <f t="shared" si="79"/>
        <v>خ ت صيدلة</v>
      </c>
    </row>
    <row r="981" spans="1:96" x14ac:dyDescent="0.25">
      <c r="A981" s="148"/>
      <c r="B981" s="82">
        <v>8809</v>
      </c>
      <c r="C981" s="149">
        <v>4829</v>
      </c>
      <c r="D981" s="69" t="s">
        <v>123</v>
      </c>
      <c r="E981" s="69" t="s">
        <v>3387</v>
      </c>
      <c r="F981" s="63"/>
      <c r="G981" s="69">
        <v>2251.1999999999998</v>
      </c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  <c r="AI981" s="69"/>
      <c r="AJ981" s="69"/>
      <c r="AK981" s="69"/>
      <c r="AL981" s="69"/>
      <c r="AM981" s="69"/>
      <c r="AN981" s="69"/>
      <c r="AO981" s="69"/>
      <c r="AP981" s="69"/>
      <c r="AQ981" s="69"/>
      <c r="AR981" s="94">
        <f t="shared" si="77"/>
        <v>2251.1999999999998</v>
      </c>
      <c r="AS981" s="69">
        <v>1408.35</v>
      </c>
      <c r="AT981" s="69">
        <v>204.45</v>
      </c>
      <c r="AU981" s="69">
        <v>542.4</v>
      </c>
      <c r="AV981" s="69">
        <v>96</v>
      </c>
      <c r="AW981" s="69"/>
      <c r="AX981" s="69"/>
      <c r="AY981" s="69"/>
      <c r="AZ981" s="69"/>
      <c r="BA981" s="69"/>
      <c r="BB981" s="69"/>
      <c r="BC981" s="69"/>
      <c r="BD981" s="69"/>
      <c r="BE981" s="69"/>
      <c r="BF981" s="69"/>
      <c r="BG981" s="69"/>
      <c r="BH981" s="69"/>
      <c r="BI981" s="69"/>
      <c r="BJ981" s="69"/>
      <c r="BK981" s="69"/>
      <c r="BL981" s="69"/>
      <c r="BM981" s="69"/>
      <c r="BN981" s="69"/>
      <c r="BO981" s="69"/>
      <c r="BP981" s="69"/>
      <c r="BQ981" s="69"/>
      <c r="BR981" s="69"/>
      <c r="BS981" s="69"/>
      <c r="BT981" s="69"/>
      <c r="BU981" s="69"/>
      <c r="BV981" s="69"/>
      <c r="BW981" s="69"/>
      <c r="BX981" s="69"/>
      <c r="BY981" s="69"/>
      <c r="BZ981" s="69"/>
      <c r="CA981" s="69"/>
      <c r="CB981" s="69"/>
      <c r="CC981" s="69"/>
      <c r="CD981" s="69"/>
      <c r="CE981" s="94">
        <f>SUM(AS981:CD981)</f>
        <v>2251.1999999999998</v>
      </c>
      <c r="CF981" s="151">
        <f t="shared" si="78"/>
        <v>0</v>
      </c>
      <c r="CG981" s="75">
        <f t="shared" si="79"/>
        <v>4829</v>
      </c>
      <c r="CH981" s="69" t="str">
        <f t="shared" si="79"/>
        <v>خ ت اسنان</v>
      </c>
    </row>
    <row r="982" spans="1:96" x14ac:dyDescent="0.25">
      <c r="A982" s="148"/>
      <c r="B982" s="82"/>
      <c r="C982" s="149">
        <v>4830</v>
      </c>
      <c r="D982" s="69" t="s">
        <v>123</v>
      </c>
      <c r="E982" s="69" t="s">
        <v>3387</v>
      </c>
      <c r="F982" s="63"/>
      <c r="G982" s="69">
        <v>1941.07</v>
      </c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  <c r="AI982" s="69"/>
      <c r="AJ982" s="69"/>
      <c r="AK982" s="69"/>
      <c r="AL982" s="69"/>
      <c r="AM982" s="69"/>
      <c r="AN982" s="69"/>
      <c r="AO982" s="69"/>
      <c r="AP982" s="69"/>
      <c r="AQ982" s="69"/>
      <c r="AR982" s="94">
        <f t="shared" si="77"/>
        <v>1941.07</v>
      </c>
      <c r="AS982" s="69">
        <v>1604.62</v>
      </c>
      <c r="AT982" s="69">
        <v>205.95</v>
      </c>
      <c r="AU982" s="69">
        <v>34.5</v>
      </c>
      <c r="AV982" s="69">
        <v>96</v>
      </c>
      <c r="AW982" s="69"/>
      <c r="AX982" s="69"/>
      <c r="AY982" s="69"/>
      <c r="AZ982" s="69"/>
      <c r="BA982" s="69"/>
      <c r="BB982" s="69"/>
      <c r="BC982" s="69"/>
      <c r="BD982" s="69"/>
      <c r="BE982" s="69"/>
      <c r="BF982" s="69"/>
      <c r="BG982" s="69"/>
      <c r="BH982" s="69"/>
      <c r="BI982" s="69"/>
      <c r="BJ982" s="69"/>
      <c r="BK982" s="69"/>
      <c r="BL982" s="69"/>
      <c r="BM982" s="69"/>
      <c r="BN982" s="69"/>
      <c r="BO982" s="69"/>
      <c r="BP982" s="69"/>
      <c r="BQ982" s="69"/>
      <c r="BR982" s="69"/>
      <c r="BS982" s="69"/>
      <c r="BT982" s="69"/>
      <c r="BU982" s="69"/>
      <c r="BV982" s="69"/>
      <c r="BW982" s="69"/>
      <c r="BX982" s="69"/>
      <c r="BY982" s="69"/>
      <c r="BZ982" s="69"/>
      <c r="CA982" s="69"/>
      <c r="CB982" s="69"/>
      <c r="CC982" s="69"/>
      <c r="CD982" s="69"/>
      <c r="CE982" s="94">
        <f>SUM(AS982:CD982)</f>
        <v>1941.07</v>
      </c>
      <c r="CF982" s="151">
        <f t="shared" si="78"/>
        <v>0</v>
      </c>
      <c r="CG982" s="75">
        <f t="shared" si="79"/>
        <v>4830</v>
      </c>
      <c r="CH982" s="69" t="str">
        <f t="shared" si="79"/>
        <v>خ ت اسنان</v>
      </c>
    </row>
    <row r="983" spans="1:96" x14ac:dyDescent="0.25">
      <c r="A983" s="148"/>
      <c r="B983" s="82">
        <v>8843</v>
      </c>
      <c r="C983" s="149">
        <v>4831</v>
      </c>
      <c r="D983" s="69" t="s">
        <v>78</v>
      </c>
      <c r="E983" s="69" t="s">
        <v>3395</v>
      </c>
      <c r="F983" s="63"/>
      <c r="G983" s="69"/>
      <c r="H983" s="69">
        <v>6000</v>
      </c>
      <c r="I983" s="69"/>
      <c r="J983" s="69"/>
      <c r="K983" s="69"/>
      <c r="L983" s="69"/>
      <c r="M983" s="69"/>
      <c r="N983" s="69"/>
      <c r="O983" s="69"/>
      <c r="P983" s="69">
        <v>6000</v>
      </c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  <c r="AE983" s="69"/>
      <c r="AF983" s="69"/>
      <c r="AG983" s="69"/>
      <c r="AH983" s="69"/>
      <c r="AI983" s="69"/>
      <c r="AJ983" s="69"/>
      <c r="AK983" s="69"/>
      <c r="AL983" s="69"/>
      <c r="AM983" s="69"/>
      <c r="AN983" s="69"/>
      <c r="AO983" s="69"/>
      <c r="AP983" s="69"/>
      <c r="AQ983" s="69"/>
      <c r="AR983" s="94">
        <f t="shared" si="77"/>
        <v>12000</v>
      </c>
      <c r="AS983" s="69">
        <v>6000</v>
      </c>
      <c r="AT983" s="69"/>
      <c r="AU983" s="69"/>
      <c r="AV983" s="69"/>
      <c r="AW983" s="69"/>
      <c r="AX983" s="69"/>
      <c r="AY983" s="69"/>
      <c r="AZ983" s="69"/>
      <c r="BA983" s="69"/>
      <c r="BB983" s="69"/>
      <c r="BC983" s="69"/>
      <c r="BD983" s="69"/>
      <c r="BE983" s="69"/>
      <c r="BF983" s="69"/>
      <c r="BG983" s="69"/>
      <c r="BH983" s="69"/>
      <c r="BI983" s="69"/>
      <c r="BJ983" s="69"/>
      <c r="BK983" s="69"/>
      <c r="BL983" s="69"/>
      <c r="BM983" s="69"/>
      <c r="BN983" s="69"/>
      <c r="BO983" s="69"/>
      <c r="BP983" s="69">
        <v>6000</v>
      </c>
      <c r="BQ983" s="69"/>
      <c r="BR983" s="69"/>
      <c r="BS983" s="69"/>
      <c r="BT983" s="69"/>
      <c r="BU983" s="69"/>
      <c r="BV983" s="69"/>
      <c r="BW983" s="69"/>
      <c r="BX983" s="69"/>
      <c r="BY983" s="69"/>
      <c r="BZ983" s="69"/>
      <c r="CA983" s="69"/>
      <c r="CB983" s="69"/>
      <c r="CC983" s="69"/>
      <c r="CD983" s="69"/>
      <c r="CE983" s="94">
        <f t="shared" si="81"/>
        <v>12000</v>
      </c>
      <c r="CF983" s="151">
        <f t="shared" si="78"/>
        <v>0</v>
      </c>
      <c r="CG983" s="75">
        <f t="shared" si="79"/>
        <v>4831</v>
      </c>
      <c r="CH983" s="69" t="str">
        <f t="shared" si="79"/>
        <v>برنامج دولى</v>
      </c>
    </row>
    <row r="984" spans="1:96" x14ac:dyDescent="0.25">
      <c r="A984" s="148"/>
      <c r="B984" s="82">
        <v>8842</v>
      </c>
      <c r="C984" s="149">
        <v>4832</v>
      </c>
      <c r="D984" s="69" t="s">
        <v>78</v>
      </c>
      <c r="E984" s="69" t="s">
        <v>3396</v>
      </c>
      <c r="F984" s="63"/>
      <c r="G984" s="69"/>
      <c r="H984" s="69">
        <v>16000</v>
      </c>
      <c r="I984" s="69"/>
      <c r="J984" s="69"/>
      <c r="K984" s="69"/>
      <c r="L984" s="69"/>
      <c r="M984" s="69"/>
      <c r="N984" s="69"/>
      <c r="O984" s="69"/>
      <c r="P984" s="69">
        <v>16000</v>
      </c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  <c r="AE984" s="69"/>
      <c r="AF984" s="69"/>
      <c r="AG984" s="69"/>
      <c r="AH984" s="69"/>
      <c r="AI984" s="69"/>
      <c r="AJ984" s="69"/>
      <c r="AK984" s="69"/>
      <c r="AL984" s="69"/>
      <c r="AM984" s="69"/>
      <c r="AN984" s="69"/>
      <c r="AO984" s="69"/>
      <c r="AP984" s="69"/>
      <c r="AQ984" s="69"/>
      <c r="AR984" s="94">
        <f t="shared" si="77"/>
        <v>32000</v>
      </c>
      <c r="AS984" s="69">
        <v>16000</v>
      </c>
      <c r="AT984" s="69"/>
      <c r="AU984" s="69"/>
      <c r="AV984" s="69"/>
      <c r="AW984" s="69"/>
      <c r="AX984" s="69"/>
      <c r="AY984" s="69"/>
      <c r="AZ984" s="69"/>
      <c r="BA984" s="69"/>
      <c r="BB984" s="69"/>
      <c r="BC984" s="69"/>
      <c r="BD984" s="69"/>
      <c r="BE984" s="69"/>
      <c r="BF984" s="69"/>
      <c r="BG984" s="69"/>
      <c r="BH984" s="69"/>
      <c r="BI984" s="69"/>
      <c r="BJ984" s="69"/>
      <c r="BK984" s="69"/>
      <c r="BL984" s="69"/>
      <c r="BM984" s="69"/>
      <c r="BN984" s="69"/>
      <c r="BO984" s="69"/>
      <c r="BP984" s="69">
        <v>16000</v>
      </c>
      <c r="BQ984" s="69"/>
      <c r="BR984" s="69"/>
      <c r="BS984" s="69"/>
      <c r="BT984" s="69"/>
      <c r="BU984" s="69"/>
      <c r="BV984" s="69"/>
      <c r="BW984" s="69"/>
      <c r="BX984" s="69"/>
      <c r="BY984" s="69"/>
      <c r="BZ984" s="69"/>
      <c r="CA984" s="69"/>
      <c r="CB984" s="69"/>
      <c r="CC984" s="69"/>
      <c r="CD984" s="69"/>
      <c r="CE984" s="94">
        <f t="shared" si="81"/>
        <v>32000</v>
      </c>
      <c r="CF984" s="151">
        <f t="shared" si="78"/>
        <v>0</v>
      </c>
      <c r="CG984" s="75">
        <f t="shared" si="79"/>
        <v>4832</v>
      </c>
      <c r="CH984" s="69" t="str">
        <f t="shared" si="79"/>
        <v>برنامج دولى</v>
      </c>
    </row>
    <row r="985" spans="1:96" ht="36" x14ac:dyDescent="0.25">
      <c r="A985" s="148"/>
      <c r="B985" s="82">
        <v>8787</v>
      </c>
      <c r="C985" s="149">
        <v>4833</v>
      </c>
      <c r="D985" s="69" t="s">
        <v>121</v>
      </c>
      <c r="E985" s="77" t="s">
        <v>3397</v>
      </c>
      <c r="F985" s="63"/>
      <c r="G985" s="69"/>
      <c r="H985" s="69">
        <v>3990</v>
      </c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  <c r="AE985" s="69"/>
      <c r="AF985" s="69"/>
      <c r="AG985" s="69"/>
      <c r="AH985" s="69"/>
      <c r="AI985" s="69"/>
      <c r="AJ985" s="69"/>
      <c r="AK985" s="69"/>
      <c r="AL985" s="69"/>
      <c r="AM985" s="69"/>
      <c r="AN985" s="69"/>
      <c r="AO985" s="69"/>
      <c r="AP985" s="69"/>
      <c r="AQ985" s="69"/>
      <c r="AR985" s="94">
        <f t="shared" si="77"/>
        <v>3990</v>
      </c>
      <c r="AS985" s="69">
        <v>3334.7</v>
      </c>
      <c r="AT985" s="69">
        <f>51.75+155.25+33.3</f>
        <v>240.3</v>
      </c>
      <c r="AU985" s="69"/>
      <c r="AV985" s="69">
        <v>5</v>
      </c>
      <c r="AW985" s="69"/>
      <c r="AX985" s="69"/>
      <c r="AY985" s="69"/>
      <c r="AZ985" s="69"/>
      <c r="BA985" s="69"/>
      <c r="BB985" s="69"/>
      <c r="BC985" s="69"/>
      <c r="BD985" s="69"/>
      <c r="BE985" s="69"/>
      <c r="BF985" s="69"/>
      <c r="BG985" s="69">
        <v>105</v>
      </c>
      <c r="BH985" s="69">
        <v>74</v>
      </c>
      <c r="BI985" s="69">
        <f>15.75*2</f>
        <v>31.5</v>
      </c>
      <c r="BJ985" s="69"/>
      <c r="BK985" s="69">
        <v>199.5</v>
      </c>
      <c r="BL985" s="69"/>
      <c r="BM985" s="69"/>
      <c r="BN985" s="69"/>
      <c r="BO985" s="69"/>
      <c r="BP985" s="69"/>
      <c r="BQ985" s="69"/>
      <c r="BR985" s="69"/>
      <c r="BS985" s="69"/>
      <c r="BT985" s="69"/>
      <c r="BU985" s="69"/>
      <c r="BV985" s="69"/>
      <c r="BW985" s="69"/>
      <c r="BX985" s="69"/>
      <c r="BY985" s="69"/>
      <c r="BZ985" s="69"/>
      <c r="CA985" s="69"/>
      <c r="CB985" s="69"/>
      <c r="CC985" s="69"/>
      <c r="CD985" s="69"/>
      <c r="CE985" s="94">
        <f t="shared" si="81"/>
        <v>3990</v>
      </c>
      <c r="CF985" s="151">
        <f t="shared" si="78"/>
        <v>0</v>
      </c>
      <c r="CG985" s="75">
        <f t="shared" si="79"/>
        <v>4833</v>
      </c>
      <c r="CH985" s="69" t="str">
        <f t="shared" si="79"/>
        <v>ماليزى اسنان</v>
      </c>
    </row>
    <row r="986" spans="1:96" x14ac:dyDescent="0.25">
      <c r="A986" s="148"/>
      <c r="B986" s="82">
        <v>6498</v>
      </c>
      <c r="C986" s="149">
        <v>4834</v>
      </c>
      <c r="D986" s="69" t="s">
        <v>128</v>
      </c>
      <c r="E986" s="69" t="s">
        <v>3398</v>
      </c>
      <c r="F986" s="63"/>
      <c r="G986" s="69"/>
      <c r="H986" s="69"/>
      <c r="I986" s="69"/>
      <c r="J986" s="69"/>
      <c r="K986" s="69">
        <v>87925</v>
      </c>
      <c r="L986" s="69">
        <v>87925</v>
      </c>
      <c r="M986" s="69">
        <v>87925</v>
      </c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  <c r="AE986" s="69"/>
      <c r="AF986" s="69"/>
      <c r="AG986" s="69"/>
      <c r="AH986" s="69"/>
      <c r="AI986" s="69"/>
      <c r="AJ986" s="69"/>
      <c r="AK986" s="69"/>
      <c r="AL986" s="69"/>
      <c r="AM986" s="69"/>
      <c r="AN986" s="69"/>
      <c r="AO986" s="69"/>
      <c r="AP986" s="69"/>
      <c r="AQ986" s="69"/>
      <c r="AR986" s="94">
        <f t="shared" si="77"/>
        <v>263775</v>
      </c>
      <c r="AS986" s="69">
        <v>80170.75</v>
      </c>
      <c r="AT986" s="69">
        <v>2287.1999999999998</v>
      </c>
      <c r="AU986" s="69"/>
      <c r="AV986" s="69"/>
      <c r="AW986" s="69"/>
      <c r="AX986" s="69"/>
      <c r="AY986" s="69"/>
      <c r="AZ986" s="69"/>
      <c r="BA986" s="69"/>
      <c r="BB986" s="69"/>
      <c r="BC986" s="69"/>
      <c r="BD986" s="69"/>
      <c r="BE986" s="69"/>
      <c r="BF986" s="69"/>
      <c r="BG986" s="69">
        <v>771.3</v>
      </c>
      <c r="BH986" s="69">
        <v>80</v>
      </c>
      <c r="BI986" s="69"/>
      <c r="BJ986" s="69">
        <v>4396.25</v>
      </c>
      <c r="BK986" s="69"/>
      <c r="BL986" s="69">
        <v>87925</v>
      </c>
      <c r="BM986" s="69">
        <v>87925</v>
      </c>
      <c r="BN986" s="69"/>
      <c r="BO986" s="69"/>
      <c r="BP986" s="69"/>
      <c r="BQ986" s="69"/>
      <c r="BR986" s="69"/>
      <c r="BS986" s="69"/>
      <c r="BT986" s="69"/>
      <c r="BU986" s="69"/>
      <c r="BV986" s="69"/>
      <c r="BW986" s="69"/>
      <c r="BX986" s="69"/>
      <c r="BY986" s="69"/>
      <c r="BZ986" s="69"/>
      <c r="CA986" s="69"/>
      <c r="CB986" s="69"/>
      <c r="CC986" s="69"/>
      <c r="CD986" s="69">
        <v>219.5</v>
      </c>
      <c r="CE986" s="94">
        <f t="shared" si="81"/>
        <v>263775</v>
      </c>
      <c r="CF986" s="151">
        <f t="shared" si="78"/>
        <v>0</v>
      </c>
      <c r="CG986" s="75">
        <f t="shared" si="79"/>
        <v>4834</v>
      </c>
      <c r="CH986" s="69" t="str">
        <f t="shared" si="79"/>
        <v>مركز مؤتمرات</v>
      </c>
    </row>
    <row r="987" spans="1:96" x14ac:dyDescent="0.25">
      <c r="A987" s="148"/>
      <c r="B987" s="82">
        <v>8410</v>
      </c>
      <c r="C987" s="149">
        <v>4835</v>
      </c>
      <c r="D987" s="69" t="s">
        <v>1431</v>
      </c>
      <c r="E987" s="69" t="s">
        <v>3399</v>
      </c>
      <c r="F987" s="63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  <c r="AE987" s="69"/>
      <c r="AF987" s="69"/>
      <c r="AG987" s="69"/>
      <c r="AH987" s="69"/>
      <c r="AI987" s="69"/>
      <c r="AJ987" s="69"/>
      <c r="AK987" s="69"/>
      <c r="AL987" s="69"/>
      <c r="AM987" s="69"/>
      <c r="AN987" s="69"/>
      <c r="AO987" s="69"/>
      <c r="AP987" s="69"/>
      <c r="AQ987" s="69"/>
      <c r="AR987" s="94">
        <f t="shared" si="77"/>
        <v>0</v>
      </c>
      <c r="AS987" s="69"/>
      <c r="AT987" s="69"/>
      <c r="AU987" s="69"/>
      <c r="AV987" s="69"/>
      <c r="AW987" s="69"/>
      <c r="AX987" s="69"/>
      <c r="AY987" s="69"/>
      <c r="AZ987" s="69"/>
      <c r="BA987" s="69"/>
      <c r="BB987" s="69"/>
      <c r="BC987" s="69"/>
      <c r="BD987" s="69"/>
      <c r="BE987" s="69"/>
      <c r="BF987" s="69"/>
      <c r="BG987" s="69"/>
      <c r="BH987" s="69"/>
      <c r="BI987" s="69"/>
      <c r="BJ987" s="69"/>
      <c r="BK987" s="69"/>
      <c r="BL987" s="69"/>
      <c r="BM987" s="69"/>
      <c r="BN987" s="69"/>
      <c r="BO987" s="69"/>
      <c r="BP987" s="69"/>
      <c r="BQ987" s="69"/>
      <c r="BR987" s="69"/>
      <c r="BS987" s="69"/>
      <c r="BT987" s="69"/>
      <c r="BU987" s="69"/>
      <c r="BV987" s="69"/>
      <c r="BW987" s="69"/>
      <c r="BX987" s="69"/>
      <c r="BY987" s="69"/>
      <c r="BZ987" s="69"/>
      <c r="CA987" s="69"/>
      <c r="CB987" s="69"/>
      <c r="CC987" s="69"/>
      <c r="CD987" s="69"/>
      <c r="CE987" s="94">
        <f t="shared" si="81"/>
        <v>0</v>
      </c>
      <c r="CF987" s="151">
        <f t="shared" si="78"/>
        <v>0</v>
      </c>
      <c r="CG987" s="75">
        <f t="shared" si="79"/>
        <v>4835</v>
      </c>
      <c r="CH987" s="69" t="str">
        <f t="shared" si="79"/>
        <v>لاب فقط</v>
      </c>
    </row>
    <row r="988" spans="1:96" s="156" customFormat="1" x14ac:dyDescent="0.25">
      <c r="A988" s="153"/>
      <c r="B988" s="83"/>
      <c r="C988" s="154"/>
      <c r="D988" s="69"/>
      <c r="E988" s="68" t="s">
        <v>3400</v>
      </c>
      <c r="F988" s="68"/>
      <c r="G988" s="68">
        <f>SUM(G832:G987)</f>
        <v>1121613.7199999997</v>
      </c>
      <c r="H988" s="68">
        <f t="shared" ref="H988:BS988" si="82">SUM(H832:H987)</f>
        <v>25990</v>
      </c>
      <c r="I988" s="68">
        <f t="shared" si="82"/>
        <v>0</v>
      </c>
      <c r="J988" s="68">
        <f t="shared" si="82"/>
        <v>0</v>
      </c>
      <c r="K988" s="68">
        <f t="shared" si="82"/>
        <v>87925</v>
      </c>
      <c r="L988" s="68">
        <f t="shared" si="82"/>
        <v>87925</v>
      </c>
      <c r="M988" s="68">
        <f t="shared" si="82"/>
        <v>87925</v>
      </c>
      <c r="N988" s="68">
        <f t="shared" si="82"/>
        <v>0</v>
      </c>
      <c r="O988" s="68">
        <f t="shared" si="82"/>
        <v>0</v>
      </c>
      <c r="P988" s="68">
        <f t="shared" si="82"/>
        <v>22000</v>
      </c>
      <c r="Q988" s="68">
        <f t="shared" si="82"/>
        <v>0</v>
      </c>
      <c r="R988" s="68">
        <f t="shared" si="82"/>
        <v>0</v>
      </c>
      <c r="S988" s="68">
        <f t="shared" si="82"/>
        <v>0</v>
      </c>
      <c r="T988" s="68">
        <f t="shared" si="82"/>
        <v>0</v>
      </c>
      <c r="U988" s="68">
        <f t="shared" si="82"/>
        <v>0</v>
      </c>
      <c r="V988" s="68">
        <f t="shared" si="82"/>
        <v>0</v>
      </c>
      <c r="W988" s="68">
        <f t="shared" si="82"/>
        <v>0</v>
      </c>
      <c r="X988" s="68">
        <f t="shared" si="82"/>
        <v>0</v>
      </c>
      <c r="Y988" s="68">
        <f t="shared" si="82"/>
        <v>0</v>
      </c>
      <c r="Z988" s="68">
        <f t="shared" si="82"/>
        <v>0</v>
      </c>
      <c r="AA988" s="68">
        <f t="shared" si="82"/>
        <v>0</v>
      </c>
      <c r="AB988" s="68">
        <f t="shared" si="82"/>
        <v>0</v>
      </c>
      <c r="AC988" s="68">
        <f t="shared" si="82"/>
        <v>0</v>
      </c>
      <c r="AD988" s="68">
        <f t="shared" si="82"/>
        <v>0</v>
      </c>
      <c r="AE988" s="68">
        <f t="shared" si="82"/>
        <v>0</v>
      </c>
      <c r="AF988" s="68">
        <f t="shared" si="82"/>
        <v>0</v>
      </c>
      <c r="AG988" s="68">
        <f t="shared" si="82"/>
        <v>0</v>
      </c>
      <c r="AH988" s="68">
        <f t="shared" si="82"/>
        <v>0</v>
      </c>
      <c r="AI988" s="68">
        <f t="shared" si="82"/>
        <v>0</v>
      </c>
      <c r="AJ988" s="68">
        <f t="shared" si="82"/>
        <v>0</v>
      </c>
      <c r="AK988" s="68">
        <f t="shared" si="82"/>
        <v>0</v>
      </c>
      <c r="AL988" s="68">
        <f t="shared" si="82"/>
        <v>0</v>
      </c>
      <c r="AM988" s="68">
        <f t="shared" si="82"/>
        <v>0</v>
      </c>
      <c r="AN988" s="68">
        <f t="shared" si="82"/>
        <v>0</v>
      </c>
      <c r="AO988" s="68">
        <f t="shared" si="82"/>
        <v>0</v>
      </c>
      <c r="AP988" s="68">
        <f t="shared" si="82"/>
        <v>0</v>
      </c>
      <c r="AQ988" s="68">
        <f t="shared" si="82"/>
        <v>0</v>
      </c>
      <c r="AR988" s="68">
        <f t="shared" si="82"/>
        <v>1433378.7199999997</v>
      </c>
      <c r="AS988" s="68">
        <f t="shared" si="82"/>
        <v>923770.25</v>
      </c>
      <c r="AT988" s="68">
        <f t="shared" si="82"/>
        <v>143741.74000000011</v>
      </c>
      <c r="AU988" s="68">
        <f t="shared" si="82"/>
        <v>129517.51999999995</v>
      </c>
      <c r="AV988" s="68">
        <f t="shared" si="82"/>
        <v>32622.16</v>
      </c>
      <c r="AW988" s="68">
        <f t="shared" si="82"/>
        <v>0</v>
      </c>
      <c r="AX988" s="68">
        <f t="shared" si="82"/>
        <v>0</v>
      </c>
      <c r="AY988" s="68">
        <f t="shared" si="82"/>
        <v>0</v>
      </c>
      <c r="AZ988" s="68">
        <f t="shared" si="82"/>
        <v>0</v>
      </c>
      <c r="BA988" s="68">
        <f t="shared" si="82"/>
        <v>0</v>
      </c>
      <c r="BB988" s="68">
        <f t="shared" si="82"/>
        <v>0</v>
      </c>
      <c r="BC988" s="68">
        <f t="shared" si="82"/>
        <v>0</v>
      </c>
      <c r="BD988" s="68">
        <f t="shared" si="82"/>
        <v>0</v>
      </c>
      <c r="BE988" s="68">
        <f t="shared" si="82"/>
        <v>0</v>
      </c>
      <c r="BF988" s="68">
        <f t="shared" si="82"/>
        <v>0</v>
      </c>
      <c r="BG988" s="68">
        <f t="shared" si="82"/>
        <v>876.3</v>
      </c>
      <c r="BH988" s="68">
        <f t="shared" si="82"/>
        <v>154</v>
      </c>
      <c r="BI988" s="68">
        <f t="shared" si="82"/>
        <v>31.5</v>
      </c>
      <c r="BJ988" s="68">
        <f t="shared" si="82"/>
        <v>4396.25</v>
      </c>
      <c r="BK988" s="68">
        <f t="shared" si="82"/>
        <v>199.5</v>
      </c>
      <c r="BL988" s="68">
        <f t="shared" si="82"/>
        <v>87925</v>
      </c>
      <c r="BM988" s="68">
        <f t="shared" si="82"/>
        <v>87925</v>
      </c>
      <c r="BN988" s="68">
        <f t="shared" si="82"/>
        <v>0</v>
      </c>
      <c r="BO988" s="68">
        <f t="shared" si="82"/>
        <v>0</v>
      </c>
      <c r="BP988" s="68">
        <f t="shared" si="82"/>
        <v>22000</v>
      </c>
      <c r="BQ988" s="68">
        <f t="shared" si="82"/>
        <v>0</v>
      </c>
      <c r="BR988" s="68">
        <f t="shared" si="82"/>
        <v>0</v>
      </c>
      <c r="BS988" s="68">
        <f t="shared" si="82"/>
        <v>0</v>
      </c>
      <c r="BT988" s="68">
        <f t="shared" ref="BT988:CK988" si="83">SUM(BT832:BT987)</f>
        <v>0</v>
      </c>
      <c r="BU988" s="68">
        <f t="shared" si="83"/>
        <v>0</v>
      </c>
      <c r="BV988" s="68">
        <f t="shared" si="83"/>
        <v>0</v>
      </c>
      <c r="BW988" s="68">
        <f t="shared" si="83"/>
        <v>0</v>
      </c>
      <c r="BX988" s="68">
        <f t="shared" si="83"/>
        <v>0</v>
      </c>
      <c r="BY988" s="68">
        <f t="shared" si="83"/>
        <v>0</v>
      </c>
      <c r="BZ988" s="68">
        <f t="shared" si="83"/>
        <v>0</v>
      </c>
      <c r="CA988" s="68">
        <f t="shared" si="83"/>
        <v>0</v>
      </c>
      <c r="CB988" s="68">
        <f t="shared" si="83"/>
        <v>0</v>
      </c>
      <c r="CC988" s="68">
        <f t="shared" si="83"/>
        <v>0</v>
      </c>
      <c r="CD988" s="68">
        <f t="shared" si="83"/>
        <v>219.5</v>
      </c>
      <c r="CE988" s="68">
        <f t="shared" si="83"/>
        <v>1433378.7199999997</v>
      </c>
      <c r="CF988" s="68">
        <f t="shared" si="83"/>
        <v>0</v>
      </c>
      <c r="CG988" s="68"/>
      <c r="CH988" s="68">
        <f t="shared" si="83"/>
        <v>0</v>
      </c>
      <c r="CI988" s="68">
        <f t="shared" si="83"/>
        <v>0</v>
      </c>
      <c r="CJ988" s="68">
        <f t="shared" si="83"/>
        <v>0</v>
      </c>
      <c r="CK988" s="68">
        <f t="shared" si="83"/>
        <v>0</v>
      </c>
      <c r="CL988" s="68">
        <f t="shared" ref="CL988:CR988" ca="1" si="84">SUM(CL832:CL991)</f>
        <v>0</v>
      </c>
      <c r="CM988" s="68">
        <f t="shared" ca="1" si="84"/>
        <v>0</v>
      </c>
      <c r="CN988" s="68">
        <f t="shared" ca="1" si="84"/>
        <v>0</v>
      </c>
      <c r="CO988" s="68">
        <f t="shared" ca="1" si="84"/>
        <v>0</v>
      </c>
      <c r="CP988" s="68">
        <f t="shared" ca="1" si="84"/>
        <v>0</v>
      </c>
      <c r="CQ988" s="68">
        <f t="shared" ca="1" si="84"/>
        <v>0</v>
      </c>
      <c r="CR988" s="68">
        <f t="shared" ca="1" si="84"/>
        <v>0</v>
      </c>
    </row>
    <row r="989" spans="1:96" x14ac:dyDescent="0.25">
      <c r="A989" s="148"/>
      <c r="B989" s="82">
        <v>4248</v>
      </c>
      <c r="C989" s="149">
        <v>4836</v>
      </c>
      <c r="D989" s="69" t="s">
        <v>78</v>
      </c>
      <c r="E989" s="69" t="s">
        <v>3401</v>
      </c>
      <c r="F989" s="63" t="s">
        <v>220</v>
      </c>
      <c r="G989" s="69">
        <v>1231.47</v>
      </c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  <c r="AE989" s="69"/>
      <c r="AF989" s="69"/>
      <c r="AG989" s="69"/>
      <c r="AH989" s="69"/>
      <c r="AI989" s="69"/>
      <c r="AJ989" s="69"/>
      <c r="AK989" s="69"/>
      <c r="AL989" s="69"/>
      <c r="AM989" s="69"/>
      <c r="AN989" s="69"/>
      <c r="AO989" s="69"/>
      <c r="AP989" s="69"/>
      <c r="AQ989" s="69"/>
      <c r="AR989" s="94">
        <f>SUM(G989:AQ989)</f>
        <v>1231.47</v>
      </c>
      <c r="AS989" s="69"/>
      <c r="AT989" s="69"/>
      <c r="AU989" s="69">
        <v>1231.47</v>
      </c>
      <c r="AV989" s="69"/>
      <c r="AW989" s="69"/>
      <c r="AX989" s="69"/>
      <c r="AY989" s="69"/>
      <c r="AZ989" s="69"/>
      <c r="BA989" s="69"/>
      <c r="BB989" s="69"/>
      <c r="BC989" s="69"/>
      <c r="BD989" s="69"/>
      <c r="BE989" s="69"/>
      <c r="BF989" s="69"/>
      <c r="BG989" s="69"/>
      <c r="BH989" s="69"/>
      <c r="BI989" s="69"/>
      <c r="BJ989" s="69"/>
      <c r="BK989" s="69"/>
      <c r="BL989" s="69"/>
      <c r="BM989" s="69"/>
      <c r="BN989" s="69"/>
      <c r="BO989" s="69"/>
      <c r="BP989" s="69"/>
      <c r="BQ989" s="69"/>
      <c r="BR989" s="69"/>
      <c r="BS989" s="69"/>
      <c r="BT989" s="69"/>
      <c r="BU989" s="69"/>
      <c r="BV989" s="69"/>
      <c r="BW989" s="69"/>
      <c r="BX989" s="69"/>
      <c r="BY989" s="69"/>
      <c r="BZ989" s="69"/>
      <c r="CA989" s="69"/>
      <c r="CB989" s="69"/>
      <c r="CC989" s="69"/>
      <c r="CD989" s="69"/>
      <c r="CE989" s="94">
        <f>SUM(AS989:CD989)</f>
        <v>1231.47</v>
      </c>
      <c r="CF989" s="151">
        <f>+CE989-AR989</f>
        <v>0</v>
      </c>
      <c r="CG989" s="75">
        <f>+C989</f>
        <v>4836</v>
      </c>
      <c r="CH989" s="69" t="str">
        <f>+D989</f>
        <v>برنامج دولى</v>
      </c>
    </row>
    <row r="990" spans="1:96" s="156" customFormat="1" x14ac:dyDescent="0.25">
      <c r="A990" s="153"/>
      <c r="B990" s="83"/>
      <c r="C990" s="154"/>
      <c r="D990" s="69"/>
      <c r="E990" s="68" t="s">
        <v>3402</v>
      </c>
      <c r="F990" s="68"/>
      <c r="G990" s="68">
        <f>SUM(G989)</f>
        <v>1231.47</v>
      </c>
      <c r="H990" s="68">
        <f t="shared" ref="H990:BS990" si="85">SUM(H989)</f>
        <v>0</v>
      </c>
      <c r="I990" s="68">
        <f t="shared" si="85"/>
        <v>0</v>
      </c>
      <c r="J990" s="68">
        <f t="shared" si="85"/>
        <v>0</v>
      </c>
      <c r="K990" s="68">
        <f t="shared" si="85"/>
        <v>0</v>
      </c>
      <c r="L990" s="68">
        <f t="shared" si="85"/>
        <v>0</v>
      </c>
      <c r="M990" s="68">
        <f t="shared" si="85"/>
        <v>0</v>
      </c>
      <c r="N990" s="68">
        <f t="shared" si="85"/>
        <v>0</v>
      </c>
      <c r="O990" s="68">
        <f t="shared" si="85"/>
        <v>0</v>
      </c>
      <c r="P990" s="68">
        <f t="shared" si="85"/>
        <v>0</v>
      </c>
      <c r="Q990" s="68">
        <f t="shared" si="85"/>
        <v>0</v>
      </c>
      <c r="R990" s="68">
        <f t="shared" si="85"/>
        <v>0</v>
      </c>
      <c r="S990" s="68">
        <f t="shared" si="85"/>
        <v>0</v>
      </c>
      <c r="T990" s="68">
        <f t="shared" si="85"/>
        <v>0</v>
      </c>
      <c r="U990" s="68">
        <f t="shared" si="85"/>
        <v>0</v>
      </c>
      <c r="V990" s="68">
        <f t="shared" si="85"/>
        <v>0</v>
      </c>
      <c r="W990" s="68">
        <f t="shared" si="85"/>
        <v>0</v>
      </c>
      <c r="X990" s="68">
        <f t="shared" si="85"/>
        <v>0</v>
      </c>
      <c r="Y990" s="68">
        <f t="shared" si="85"/>
        <v>0</v>
      </c>
      <c r="Z990" s="68">
        <f t="shared" si="85"/>
        <v>0</v>
      </c>
      <c r="AA990" s="68">
        <f t="shared" si="85"/>
        <v>0</v>
      </c>
      <c r="AB990" s="68">
        <f t="shared" si="85"/>
        <v>0</v>
      </c>
      <c r="AC990" s="68">
        <f t="shared" si="85"/>
        <v>0</v>
      </c>
      <c r="AD990" s="68">
        <f t="shared" si="85"/>
        <v>0</v>
      </c>
      <c r="AE990" s="68">
        <f t="shared" si="85"/>
        <v>0</v>
      </c>
      <c r="AF990" s="68">
        <f t="shared" si="85"/>
        <v>0</v>
      </c>
      <c r="AG990" s="68">
        <f t="shared" si="85"/>
        <v>0</v>
      </c>
      <c r="AH990" s="68">
        <f t="shared" si="85"/>
        <v>0</v>
      </c>
      <c r="AI990" s="68">
        <f t="shared" si="85"/>
        <v>0</v>
      </c>
      <c r="AJ990" s="68">
        <f t="shared" si="85"/>
        <v>0</v>
      </c>
      <c r="AK990" s="68">
        <f t="shared" si="85"/>
        <v>0</v>
      </c>
      <c r="AL990" s="68">
        <f t="shared" si="85"/>
        <v>0</v>
      </c>
      <c r="AM990" s="68">
        <f t="shared" si="85"/>
        <v>0</v>
      </c>
      <c r="AN990" s="68">
        <f t="shared" si="85"/>
        <v>0</v>
      </c>
      <c r="AO990" s="68">
        <f t="shared" si="85"/>
        <v>0</v>
      </c>
      <c r="AP990" s="68">
        <f t="shared" si="85"/>
        <v>0</v>
      </c>
      <c r="AQ990" s="68">
        <f t="shared" si="85"/>
        <v>0</v>
      </c>
      <c r="AR990" s="91">
        <f t="shared" si="85"/>
        <v>1231.47</v>
      </c>
      <c r="AS990" s="68">
        <f t="shared" si="85"/>
        <v>0</v>
      </c>
      <c r="AT990" s="68">
        <f t="shared" si="85"/>
        <v>0</v>
      </c>
      <c r="AU990" s="68">
        <f t="shared" si="85"/>
        <v>1231.47</v>
      </c>
      <c r="AV990" s="68">
        <f t="shared" si="85"/>
        <v>0</v>
      </c>
      <c r="AW990" s="68">
        <f t="shared" si="85"/>
        <v>0</v>
      </c>
      <c r="AX990" s="68">
        <f t="shared" si="85"/>
        <v>0</v>
      </c>
      <c r="AY990" s="68">
        <f t="shared" si="85"/>
        <v>0</v>
      </c>
      <c r="AZ990" s="68">
        <f t="shared" si="85"/>
        <v>0</v>
      </c>
      <c r="BA990" s="68">
        <f t="shared" si="85"/>
        <v>0</v>
      </c>
      <c r="BB990" s="68">
        <f t="shared" si="85"/>
        <v>0</v>
      </c>
      <c r="BC990" s="68">
        <f t="shared" si="85"/>
        <v>0</v>
      </c>
      <c r="BD990" s="68">
        <f t="shared" si="85"/>
        <v>0</v>
      </c>
      <c r="BE990" s="68">
        <f t="shared" si="85"/>
        <v>0</v>
      </c>
      <c r="BF990" s="68">
        <f t="shared" si="85"/>
        <v>0</v>
      </c>
      <c r="BG990" s="68">
        <f t="shared" si="85"/>
        <v>0</v>
      </c>
      <c r="BH990" s="68">
        <f t="shared" si="85"/>
        <v>0</v>
      </c>
      <c r="BI990" s="68">
        <f t="shared" si="85"/>
        <v>0</v>
      </c>
      <c r="BJ990" s="68">
        <f t="shared" si="85"/>
        <v>0</v>
      </c>
      <c r="BK990" s="68">
        <f t="shared" si="85"/>
        <v>0</v>
      </c>
      <c r="BL990" s="68">
        <f t="shared" si="85"/>
        <v>0</v>
      </c>
      <c r="BM990" s="68">
        <f t="shared" si="85"/>
        <v>0</v>
      </c>
      <c r="BN990" s="68">
        <f t="shared" si="85"/>
        <v>0</v>
      </c>
      <c r="BO990" s="68">
        <f t="shared" si="85"/>
        <v>0</v>
      </c>
      <c r="BP990" s="68">
        <f t="shared" si="85"/>
        <v>0</v>
      </c>
      <c r="BQ990" s="68">
        <f t="shared" si="85"/>
        <v>0</v>
      </c>
      <c r="BR990" s="68">
        <f t="shared" si="85"/>
        <v>0</v>
      </c>
      <c r="BS990" s="68">
        <f t="shared" si="85"/>
        <v>0</v>
      </c>
      <c r="BT990" s="68">
        <f t="shared" ref="BT990:CI990" si="86">SUM(BT989)</f>
        <v>0</v>
      </c>
      <c r="BU990" s="68">
        <f t="shared" si="86"/>
        <v>0</v>
      </c>
      <c r="BV990" s="68">
        <f t="shared" si="86"/>
        <v>0</v>
      </c>
      <c r="BW990" s="68">
        <f t="shared" si="86"/>
        <v>0</v>
      </c>
      <c r="BX990" s="68">
        <f t="shared" si="86"/>
        <v>0</v>
      </c>
      <c r="BY990" s="68">
        <f t="shared" si="86"/>
        <v>0</v>
      </c>
      <c r="BZ990" s="68">
        <f t="shared" si="86"/>
        <v>0</v>
      </c>
      <c r="CA990" s="68">
        <f t="shared" si="86"/>
        <v>0</v>
      </c>
      <c r="CB990" s="68">
        <f t="shared" si="86"/>
        <v>0</v>
      </c>
      <c r="CC990" s="68">
        <f t="shared" si="86"/>
        <v>0</v>
      </c>
      <c r="CD990" s="68">
        <f t="shared" si="86"/>
        <v>0</v>
      </c>
      <c r="CE990" s="91">
        <f t="shared" si="86"/>
        <v>1231.47</v>
      </c>
      <c r="CF990" s="68">
        <f t="shared" si="86"/>
        <v>0</v>
      </c>
      <c r="CG990" s="68"/>
      <c r="CH990" s="68">
        <f t="shared" si="86"/>
        <v>0</v>
      </c>
      <c r="CI990" s="68">
        <f t="shared" si="86"/>
        <v>0</v>
      </c>
    </row>
    <row r="991" spans="1:96" x14ac:dyDescent="0.25">
      <c r="A991" s="148"/>
      <c r="B991" s="82">
        <v>4272</v>
      </c>
      <c r="C991" s="149">
        <v>4837</v>
      </c>
      <c r="D991" s="69" t="s">
        <v>121</v>
      </c>
      <c r="E991" s="69" t="s">
        <v>3403</v>
      </c>
      <c r="F991" s="63" t="s">
        <v>220</v>
      </c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>
        <v>2311.2399999999998</v>
      </c>
      <c r="AE991" s="69"/>
      <c r="AF991" s="69"/>
      <c r="AG991" s="69"/>
      <c r="AH991" s="69"/>
      <c r="AI991" s="69"/>
      <c r="AJ991" s="69"/>
      <c r="AK991" s="69"/>
      <c r="AL991" s="69"/>
      <c r="AM991" s="69"/>
      <c r="AN991" s="69"/>
      <c r="AO991" s="69"/>
      <c r="AP991" s="69"/>
      <c r="AQ991" s="69"/>
      <c r="AR991" s="94">
        <f>SUM(G991:AQ991)</f>
        <v>2311.2399999999998</v>
      </c>
      <c r="AS991" s="69">
        <v>2311.2399999999998</v>
      </c>
      <c r="AT991" s="69"/>
      <c r="AU991" s="69"/>
      <c r="AV991" s="69"/>
      <c r="AW991" s="69"/>
      <c r="AX991" s="69"/>
      <c r="AY991" s="69"/>
      <c r="AZ991" s="69"/>
      <c r="BA991" s="69"/>
      <c r="BB991" s="69"/>
      <c r="BC991" s="69"/>
      <c r="BD991" s="69"/>
      <c r="BE991" s="69"/>
      <c r="BF991" s="69"/>
      <c r="BG991" s="69"/>
      <c r="BH991" s="69"/>
      <c r="BI991" s="69"/>
      <c r="BJ991" s="69"/>
      <c r="BK991" s="69"/>
      <c r="BL991" s="69"/>
      <c r="BM991" s="69"/>
      <c r="BN991" s="69"/>
      <c r="BO991" s="69"/>
      <c r="BP991" s="69"/>
      <c r="BQ991" s="69"/>
      <c r="BR991" s="69"/>
      <c r="BS991" s="69"/>
      <c r="BT991" s="69"/>
      <c r="BU991" s="69"/>
      <c r="BV991" s="69"/>
      <c r="BW991" s="69"/>
      <c r="BX991" s="69"/>
      <c r="BY991" s="69"/>
      <c r="BZ991" s="69"/>
      <c r="CA991" s="69"/>
      <c r="CB991" s="69"/>
      <c r="CC991" s="69"/>
      <c r="CD991" s="69"/>
      <c r="CE991" s="94">
        <f>SUM(AS991:CD991)</f>
        <v>2311.2399999999998</v>
      </c>
      <c r="CF991" s="151">
        <f>+CE991-AR991</f>
        <v>0</v>
      </c>
      <c r="CG991" s="75">
        <f>+C991</f>
        <v>4837</v>
      </c>
      <c r="CH991" s="69" t="str">
        <f>+D991</f>
        <v>ماليزى اسنان</v>
      </c>
    </row>
    <row r="992" spans="1:96" s="156" customFormat="1" x14ac:dyDescent="0.25">
      <c r="A992" s="153"/>
      <c r="B992" s="83"/>
      <c r="C992" s="154"/>
      <c r="D992" s="69"/>
      <c r="E992" s="68" t="s">
        <v>3404</v>
      </c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  <c r="AB992" s="68"/>
      <c r="AC992" s="68"/>
      <c r="AD992" s="68">
        <f>SUM(AD991)</f>
        <v>2311.2399999999998</v>
      </c>
      <c r="AE992" s="68">
        <f t="shared" ref="AE992:CJ992" si="87">SUM(AE991)</f>
        <v>0</v>
      </c>
      <c r="AF992" s="68">
        <f t="shared" si="87"/>
        <v>0</v>
      </c>
      <c r="AG992" s="68">
        <f t="shared" si="87"/>
        <v>0</v>
      </c>
      <c r="AH992" s="68">
        <f t="shared" si="87"/>
        <v>0</v>
      </c>
      <c r="AI992" s="68">
        <f t="shared" si="87"/>
        <v>0</v>
      </c>
      <c r="AJ992" s="68">
        <f t="shared" si="87"/>
        <v>0</v>
      </c>
      <c r="AK992" s="68">
        <f t="shared" si="87"/>
        <v>0</v>
      </c>
      <c r="AL992" s="68">
        <f t="shared" si="87"/>
        <v>0</v>
      </c>
      <c r="AM992" s="68">
        <f t="shared" si="87"/>
        <v>0</v>
      </c>
      <c r="AN992" s="68">
        <f t="shared" si="87"/>
        <v>0</v>
      </c>
      <c r="AO992" s="68">
        <f t="shared" si="87"/>
        <v>0</v>
      </c>
      <c r="AP992" s="68">
        <f t="shared" si="87"/>
        <v>0</v>
      </c>
      <c r="AQ992" s="68">
        <f t="shared" si="87"/>
        <v>0</v>
      </c>
      <c r="AR992" s="91">
        <f t="shared" si="87"/>
        <v>2311.2399999999998</v>
      </c>
      <c r="AS992" s="68">
        <f t="shared" si="87"/>
        <v>2311.2399999999998</v>
      </c>
      <c r="AT992" s="68">
        <f t="shared" si="87"/>
        <v>0</v>
      </c>
      <c r="AU992" s="68">
        <f t="shared" si="87"/>
        <v>0</v>
      </c>
      <c r="AV992" s="68">
        <f t="shared" si="87"/>
        <v>0</v>
      </c>
      <c r="AW992" s="68">
        <f t="shared" si="87"/>
        <v>0</v>
      </c>
      <c r="AX992" s="68">
        <f t="shared" si="87"/>
        <v>0</v>
      </c>
      <c r="AY992" s="68">
        <f t="shared" si="87"/>
        <v>0</v>
      </c>
      <c r="AZ992" s="68">
        <f t="shared" si="87"/>
        <v>0</v>
      </c>
      <c r="BA992" s="68">
        <f t="shared" si="87"/>
        <v>0</v>
      </c>
      <c r="BB992" s="68">
        <f t="shared" si="87"/>
        <v>0</v>
      </c>
      <c r="BC992" s="68">
        <f t="shared" si="87"/>
        <v>0</v>
      </c>
      <c r="BD992" s="68">
        <f t="shared" si="87"/>
        <v>0</v>
      </c>
      <c r="BE992" s="68">
        <f t="shared" si="87"/>
        <v>0</v>
      </c>
      <c r="BF992" s="68">
        <f t="shared" si="87"/>
        <v>0</v>
      </c>
      <c r="BG992" s="68">
        <f t="shared" si="87"/>
        <v>0</v>
      </c>
      <c r="BH992" s="68">
        <f t="shared" si="87"/>
        <v>0</v>
      </c>
      <c r="BI992" s="68">
        <f t="shared" si="87"/>
        <v>0</v>
      </c>
      <c r="BJ992" s="68">
        <f t="shared" si="87"/>
        <v>0</v>
      </c>
      <c r="BK992" s="68">
        <f t="shared" si="87"/>
        <v>0</v>
      </c>
      <c r="BL992" s="68">
        <f t="shared" si="87"/>
        <v>0</v>
      </c>
      <c r="BM992" s="68">
        <f t="shared" si="87"/>
        <v>0</v>
      </c>
      <c r="BN992" s="68">
        <f t="shared" si="87"/>
        <v>0</v>
      </c>
      <c r="BO992" s="68">
        <f t="shared" si="87"/>
        <v>0</v>
      </c>
      <c r="BP992" s="68">
        <f t="shared" si="87"/>
        <v>0</v>
      </c>
      <c r="BQ992" s="68">
        <f t="shared" si="87"/>
        <v>0</v>
      </c>
      <c r="BR992" s="68">
        <f t="shared" si="87"/>
        <v>0</v>
      </c>
      <c r="BS992" s="68">
        <f t="shared" si="87"/>
        <v>0</v>
      </c>
      <c r="BT992" s="68">
        <f t="shared" si="87"/>
        <v>0</v>
      </c>
      <c r="BU992" s="68">
        <f t="shared" si="87"/>
        <v>0</v>
      </c>
      <c r="BV992" s="68">
        <f t="shared" si="87"/>
        <v>0</v>
      </c>
      <c r="BW992" s="68">
        <f t="shared" si="87"/>
        <v>0</v>
      </c>
      <c r="BX992" s="68">
        <f t="shared" si="87"/>
        <v>0</v>
      </c>
      <c r="BY992" s="68">
        <f t="shared" si="87"/>
        <v>0</v>
      </c>
      <c r="BZ992" s="68">
        <f t="shared" si="87"/>
        <v>0</v>
      </c>
      <c r="CA992" s="68">
        <f t="shared" si="87"/>
        <v>0</v>
      </c>
      <c r="CB992" s="68">
        <f t="shared" si="87"/>
        <v>0</v>
      </c>
      <c r="CC992" s="68">
        <f t="shared" si="87"/>
        <v>0</v>
      </c>
      <c r="CD992" s="68">
        <f t="shared" si="87"/>
        <v>0</v>
      </c>
      <c r="CE992" s="91">
        <f t="shared" si="87"/>
        <v>2311.2399999999998</v>
      </c>
      <c r="CF992" s="68">
        <f t="shared" si="87"/>
        <v>0</v>
      </c>
      <c r="CG992" s="68"/>
      <c r="CH992" s="68">
        <f t="shared" si="87"/>
        <v>0</v>
      </c>
      <c r="CI992" s="68">
        <f t="shared" si="87"/>
        <v>0</v>
      </c>
      <c r="CJ992" s="68">
        <f t="shared" si="87"/>
        <v>0</v>
      </c>
    </row>
    <row r="993" spans="1:86" x14ac:dyDescent="0.25">
      <c r="A993" s="148"/>
      <c r="B993" s="82">
        <v>286</v>
      </c>
      <c r="C993" s="149">
        <v>4838</v>
      </c>
      <c r="D993" s="69" t="s">
        <v>130</v>
      </c>
      <c r="E993" s="69" t="s">
        <v>3405</v>
      </c>
      <c r="F993" s="63"/>
      <c r="G993" s="69">
        <v>120</v>
      </c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  <c r="AE993" s="69"/>
      <c r="AF993" s="69"/>
      <c r="AG993" s="69"/>
      <c r="AH993" s="69"/>
      <c r="AI993" s="69"/>
      <c r="AJ993" s="69"/>
      <c r="AK993" s="69"/>
      <c r="AL993" s="69"/>
      <c r="AM993" s="69"/>
      <c r="AN993" s="69"/>
      <c r="AO993" s="69"/>
      <c r="AP993" s="69"/>
      <c r="AQ993" s="69"/>
      <c r="AR993" s="94">
        <f t="shared" si="77"/>
        <v>120</v>
      </c>
      <c r="AS993" s="69">
        <v>119.55</v>
      </c>
      <c r="AT993" s="69">
        <v>0.45</v>
      </c>
      <c r="AU993" s="69"/>
      <c r="AV993" s="69"/>
      <c r="AW993" s="69"/>
      <c r="AX993" s="69"/>
      <c r="AY993" s="69"/>
      <c r="AZ993" s="69"/>
      <c r="BA993" s="69"/>
      <c r="BB993" s="69"/>
      <c r="BC993" s="69"/>
      <c r="BD993" s="69"/>
      <c r="BE993" s="69"/>
      <c r="BF993" s="69"/>
      <c r="BG993" s="69"/>
      <c r="BH993" s="69"/>
      <c r="BI993" s="69"/>
      <c r="BJ993" s="69"/>
      <c r="BK993" s="69"/>
      <c r="BL993" s="69"/>
      <c r="BM993" s="69"/>
      <c r="BN993" s="69"/>
      <c r="BO993" s="69"/>
      <c r="BP993" s="69"/>
      <c r="BQ993" s="69"/>
      <c r="BR993" s="69"/>
      <c r="BS993" s="69"/>
      <c r="BT993" s="69"/>
      <c r="BU993" s="69"/>
      <c r="BV993" s="69"/>
      <c r="BW993" s="69"/>
      <c r="BX993" s="69"/>
      <c r="BY993" s="69"/>
      <c r="BZ993" s="69"/>
      <c r="CA993" s="69"/>
      <c r="CB993" s="69"/>
      <c r="CC993" s="69"/>
      <c r="CD993" s="69"/>
      <c r="CE993" s="94">
        <f t="shared" si="81"/>
        <v>120</v>
      </c>
      <c r="CF993" s="151">
        <f t="shared" si="78"/>
        <v>0</v>
      </c>
      <c r="CG993" s="75">
        <f t="shared" si="79"/>
        <v>4838</v>
      </c>
      <c r="CH993" s="69" t="str">
        <f t="shared" si="79"/>
        <v>خ ت طب</v>
      </c>
    </row>
    <row r="994" spans="1:86" x14ac:dyDescent="0.25">
      <c r="A994" s="148"/>
      <c r="B994" s="82">
        <v>8961</v>
      </c>
      <c r="C994" s="149">
        <v>4839</v>
      </c>
      <c r="D994" s="69" t="s">
        <v>130</v>
      </c>
      <c r="E994" s="69" t="s">
        <v>3406</v>
      </c>
      <c r="F994" s="63"/>
      <c r="G994" s="69">
        <v>134.84</v>
      </c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  <c r="AE994" s="69"/>
      <c r="AF994" s="69"/>
      <c r="AG994" s="69"/>
      <c r="AH994" s="69"/>
      <c r="AI994" s="69"/>
      <c r="AJ994" s="69"/>
      <c r="AK994" s="69"/>
      <c r="AL994" s="69"/>
      <c r="AM994" s="69"/>
      <c r="AN994" s="69"/>
      <c r="AO994" s="69"/>
      <c r="AP994" s="69"/>
      <c r="AQ994" s="69"/>
      <c r="AR994" s="94">
        <f t="shared" si="77"/>
        <v>134.84</v>
      </c>
      <c r="AS994" s="69">
        <v>83.7</v>
      </c>
      <c r="AT994" s="69">
        <v>12.9</v>
      </c>
      <c r="AU994" s="69">
        <v>32.49</v>
      </c>
      <c r="AV994" s="69">
        <v>5.75</v>
      </c>
      <c r="AW994" s="69"/>
      <c r="AX994" s="69"/>
      <c r="AY994" s="69"/>
      <c r="AZ994" s="69"/>
      <c r="BA994" s="69"/>
      <c r="BB994" s="69"/>
      <c r="BC994" s="69"/>
      <c r="BD994" s="69"/>
      <c r="BE994" s="69"/>
      <c r="BF994" s="69"/>
      <c r="BG994" s="69"/>
      <c r="BH994" s="69"/>
      <c r="BI994" s="69"/>
      <c r="BJ994" s="69"/>
      <c r="BK994" s="69"/>
      <c r="BL994" s="69"/>
      <c r="BM994" s="69"/>
      <c r="BN994" s="69"/>
      <c r="BO994" s="69"/>
      <c r="BP994" s="69"/>
      <c r="BQ994" s="69"/>
      <c r="BR994" s="69"/>
      <c r="BS994" s="69"/>
      <c r="BT994" s="69"/>
      <c r="BU994" s="69"/>
      <c r="BV994" s="69"/>
      <c r="BW994" s="69"/>
      <c r="BX994" s="69"/>
      <c r="BY994" s="69"/>
      <c r="BZ994" s="69"/>
      <c r="CA994" s="69"/>
      <c r="CB994" s="69"/>
      <c r="CC994" s="69"/>
      <c r="CD994" s="69"/>
      <c r="CE994" s="94">
        <f t="shared" si="81"/>
        <v>134.84</v>
      </c>
      <c r="CF994" s="151">
        <f t="shared" si="78"/>
        <v>0</v>
      </c>
      <c r="CG994" s="75">
        <f t="shared" si="79"/>
        <v>4839</v>
      </c>
      <c r="CH994" s="69" t="str">
        <f t="shared" si="79"/>
        <v>خ ت طب</v>
      </c>
    </row>
    <row r="995" spans="1:86" x14ac:dyDescent="0.25">
      <c r="A995" s="148"/>
      <c r="B995" s="82">
        <v>8960</v>
      </c>
      <c r="C995" s="149">
        <v>4840</v>
      </c>
      <c r="D995" s="69" t="s">
        <v>130</v>
      </c>
      <c r="E995" s="69" t="s">
        <v>3406</v>
      </c>
      <c r="F995" s="63"/>
      <c r="G995" s="69">
        <v>515.9</v>
      </c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  <c r="AE995" s="69"/>
      <c r="AF995" s="69"/>
      <c r="AG995" s="69"/>
      <c r="AH995" s="69"/>
      <c r="AI995" s="69"/>
      <c r="AJ995" s="69"/>
      <c r="AK995" s="69"/>
      <c r="AL995" s="69"/>
      <c r="AM995" s="69"/>
      <c r="AN995" s="69"/>
      <c r="AO995" s="69"/>
      <c r="AP995" s="69"/>
      <c r="AQ995" s="69"/>
      <c r="AR995" s="94">
        <f t="shared" si="77"/>
        <v>515.9</v>
      </c>
      <c r="AS995" s="69">
        <v>345.24</v>
      </c>
      <c r="AT995" s="69">
        <v>24.36</v>
      </c>
      <c r="AU995" s="69">
        <v>124.3</v>
      </c>
      <c r="AV995" s="69">
        <v>22</v>
      </c>
      <c r="AW995" s="69"/>
      <c r="AX995" s="69"/>
      <c r="AY995" s="69"/>
      <c r="AZ995" s="69"/>
      <c r="BA995" s="69"/>
      <c r="BB995" s="69"/>
      <c r="BC995" s="69"/>
      <c r="BD995" s="69"/>
      <c r="BE995" s="69"/>
      <c r="BF995" s="69"/>
      <c r="BG995" s="69"/>
      <c r="BH995" s="69"/>
      <c r="BI995" s="69"/>
      <c r="BJ995" s="69"/>
      <c r="BK995" s="69"/>
      <c r="BL995" s="69"/>
      <c r="BM995" s="69"/>
      <c r="BN995" s="69"/>
      <c r="BO995" s="69"/>
      <c r="BP995" s="69"/>
      <c r="BQ995" s="69"/>
      <c r="BR995" s="69"/>
      <c r="BS995" s="69"/>
      <c r="BT995" s="69"/>
      <c r="BU995" s="69"/>
      <c r="BV995" s="69"/>
      <c r="BW995" s="69"/>
      <c r="BX995" s="69"/>
      <c r="BY995" s="69"/>
      <c r="BZ995" s="69"/>
      <c r="CA995" s="69"/>
      <c r="CB995" s="69"/>
      <c r="CC995" s="69"/>
      <c r="CD995" s="69"/>
      <c r="CE995" s="94">
        <f t="shared" si="81"/>
        <v>515.90000000000009</v>
      </c>
      <c r="CF995" s="151">
        <f t="shared" si="78"/>
        <v>0</v>
      </c>
      <c r="CG995" s="75">
        <f t="shared" si="79"/>
        <v>4840</v>
      </c>
      <c r="CH995" s="69" t="str">
        <f t="shared" si="79"/>
        <v>خ ت طب</v>
      </c>
    </row>
    <row r="996" spans="1:86" x14ac:dyDescent="0.25">
      <c r="A996" s="148"/>
      <c r="B996" s="82">
        <v>8959</v>
      </c>
      <c r="C996" s="149">
        <v>4841</v>
      </c>
      <c r="D996" s="69" t="s">
        <v>130</v>
      </c>
      <c r="E996" s="69" t="s">
        <v>3407</v>
      </c>
      <c r="F996" s="63"/>
      <c r="G996" s="69">
        <v>357.62</v>
      </c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  <c r="AE996" s="69"/>
      <c r="AF996" s="69"/>
      <c r="AG996" s="69"/>
      <c r="AH996" s="69"/>
      <c r="AI996" s="69"/>
      <c r="AJ996" s="69"/>
      <c r="AK996" s="69"/>
      <c r="AL996" s="69"/>
      <c r="AM996" s="69"/>
      <c r="AN996" s="69"/>
      <c r="AO996" s="69"/>
      <c r="AP996" s="69"/>
      <c r="AQ996" s="69"/>
      <c r="AR996" s="94">
        <f t="shared" si="77"/>
        <v>357.62</v>
      </c>
      <c r="AS996" s="69">
        <v>224.01</v>
      </c>
      <c r="AT996" s="69">
        <v>32.19</v>
      </c>
      <c r="AU996" s="69">
        <v>86.17</v>
      </c>
      <c r="AV996" s="69">
        <v>15.25</v>
      </c>
      <c r="AW996" s="69"/>
      <c r="AX996" s="69"/>
      <c r="AY996" s="69"/>
      <c r="AZ996" s="69"/>
      <c r="BA996" s="69"/>
      <c r="BB996" s="69"/>
      <c r="BC996" s="69"/>
      <c r="BD996" s="69"/>
      <c r="BE996" s="69"/>
      <c r="BF996" s="69"/>
      <c r="BG996" s="69"/>
      <c r="BH996" s="69"/>
      <c r="BI996" s="69"/>
      <c r="BJ996" s="69"/>
      <c r="BK996" s="69"/>
      <c r="BL996" s="69"/>
      <c r="BM996" s="69"/>
      <c r="BN996" s="69"/>
      <c r="BO996" s="69"/>
      <c r="BP996" s="69"/>
      <c r="BQ996" s="69"/>
      <c r="BR996" s="69"/>
      <c r="BS996" s="69"/>
      <c r="BT996" s="69"/>
      <c r="BU996" s="69"/>
      <c r="BV996" s="69"/>
      <c r="BW996" s="69"/>
      <c r="BX996" s="69"/>
      <c r="BY996" s="69"/>
      <c r="BZ996" s="69"/>
      <c r="CA996" s="69"/>
      <c r="CB996" s="69"/>
      <c r="CC996" s="69"/>
      <c r="CD996" s="69"/>
      <c r="CE996" s="94">
        <f t="shared" si="81"/>
        <v>357.62</v>
      </c>
      <c r="CF996" s="151">
        <f t="shared" si="78"/>
        <v>0</v>
      </c>
      <c r="CG996" s="75">
        <f t="shared" si="79"/>
        <v>4841</v>
      </c>
      <c r="CH996" s="69" t="str">
        <f t="shared" si="79"/>
        <v>خ ت طب</v>
      </c>
    </row>
    <row r="997" spans="1:86" x14ac:dyDescent="0.25">
      <c r="A997" s="148"/>
      <c r="B997" s="82">
        <v>8958</v>
      </c>
      <c r="C997" s="149">
        <v>4842</v>
      </c>
      <c r="D997" s="69" t="s">
        <v>130</v>
      </c>
      <c r="E997" s="69" t="s">
        <v>3407</v>
      </c>
      <c r="F997" s="63"/>
      <c r="G997" s="69">
        <v>515.9</v>
      </c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  <c r="AD997" s="69"/>
      <c r="AE997" s="69"/>
      <c r="AF997" s="69"/>
      <c r="AG997" s="69"/>
      <c r="AH997" s="69"/>
      <c r="AI997" s="69"/>
      <c r="AJ997" s="69"/>
      <c r="AK997" s="69"/>
      <c r="AL997" s="69"/>
      <c r="AM997" s="69"/>
      <c r="AN997" s="69"/>
      <c r="AO997" s="69"/>
      <c r="AP997" s="69"/>
      <c r="AQ997" s="69"/>
      <c r="AR997" s="94">
        <f t="shared" si="77"/>
        <v>515.9</v>
      </c>
      <c r="AS997" s="69">
        <v>342.72</v>
      </c>
      <c r="AT997" s="69">
        <v>26.88</v>
      </c>
      <c r="AU997" s="69">
        <v>124.3</v>
      </c>
      <c r="AV997" s="69">
        <v>22</v>
      </c>
      <c r="AW997" s="69"/>
      <c r="AX997" s="69"/>
      <c r="AY997" s="69"/>
      <c r="AZ997" s="69"/>
      <c r="BA997" s="69"/>
      <c r="BB997" s="69"/>
      <c r="BC997" s="69"/>
      <c r="BD997" s="69"/>
      <c r="BE997" s="69"/>
      <c r="BF997" s="69"/>
      <c r="BG997" s="69"/>
      <c r="BH997" s="69"/>
      <c r="BI997" s="69"/>
      <c r="BJ997" s="69"/>
      <c r="BK997" s="69"/>
      <c r="BL997" s="69"/>
      <c r="BM997" s="69"/>
      <c r="BN997" s="69"/>
      <c r="BO997" s="69"/>
      <c r="BP997" s="69"/>
      <c r="BQ997" s="69"/>
      <c r="BR997" s="69"/>
      <c r="BS997" s="69"/>
      <c r="BT997" s="69"/>
      <c r="BU997" s="69"/>
      <c r="BV997" s="69"/>
      <c r="BW997" s="69"/>
      <c r="BX997" s="69"/>
      <c r="BY997" s="69"/>
      <c r="BZ997" s="69"/>
      <c r="CA997" s="69"/>
      <c r="CB997" s="69"/>
      <c r="CC997" s="69"/>
      <c r="CD997" s="69"/>
      <c r="CE997" s="94">
        <f t="shared" si="81"/>
        <v>515.90000000000009</v>
      </c>
      <c r="CF997" s="151">
        <f t="shared" si="78"/>
        <v>0</v>
      </c>
      <c r="CG997" s="75">
        <f t="shared" si="79"/>
        <v>4842</v>
      </c>
      <c r="CH997" s="69" t="str">
        <f t="shared" si="79"/>
        <v>خ ت طب</v>
      </c>
    </row>
    <row r="998" spans="1:86" x14ac:dyDescent="0.25">
      <c r="A998" s="148"/>
      <c r="B998" s="82">
        <v>8957</v>
      </c>
      <c r="C998" s="149">
        <v>4843</v>
      </c>
      <c r="D998" s="69" t="s">
        <v>130</v>
      </c>
      <c r="E998" s="69" t="s">
        <v>1893</v>
      </c>
      <c r="F998" s="63"/>
      <c r="G998" s="69">
        <v>373.99</v>
      </c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  <c r="AE998" s="69"/>
      <c r="AF998" s="69"/>
      <c r="AG998" s="69"/>
      <c r="AH998" s="69"/>
      <c r="AI998" s="69"/>
      <c r="AJ998" s="69"/>
      <c r="AK998" s="69"/>
      <c r="AL998" s="69"/>
      <c r="AM998" s="69"/>
      <c r="AN998" s="69"/>
      <c r="AO998" s="69"/>
      <c r="AP998" s="69"/>
      <c r="AQ998" s="69"/>
      <c r="AR998" s="94">
        <f t="shared" si="77"/>
        <v>373.99</v>
      </c>
      <c r="AS998" s="69">
        <v>246.69</v>
      </c>
      <c r="AT998" s="69">
        <v>38.76</v>
      </c>
      <c r="AU998" s="69">
        <v>72.040000000000006</v>
      </c>
      <c r="AV998" s="69">
        <v>16.5</v>
      </c>
      <c r="AW998" s="69"/>
      <c r="AX998" s="69"/>
      <c r="AY998" s="69"/>
      <c r="AZ998" s="69"/>
      <c r="BA998" s="69"/>
      <c r="BB998" s="69"/>
      <c r="BC998" s="69"/>
      <c r="BD998" s="69"/>
      <c r="BE998" s="69"/>
      <c r="BF998" s="69"/>
      <c r="BG998" s="69"/>
      <c r="BH998" s="69"/>
      <c r="BI998" s="69"/>
      <c r="BJ998" s="69"/>
      <c r="BK998" s="69"/>
      <c r="BL998" s="69"/>
      <c r="BM998" s="69"/>
      <c r="BN998" s="69"/>
      <c r="BO998" s="69"/>
      <c r="BP998" s="69"/>
      <c r="BQ998" s="69"/>
      <c r="BR998" s="69"/>
      <c r="BS998" s="69"/>
      <c r="BT998" s="69"/>
      <c r="BU998" s="69"/>
      <c r="BV998" s="69"/>
      <c r="BW998" s="69"/>
      <c r="BX998" s="69"/>
      <c r="BY998" s="69"/>
      <c r="BZ998" s="69"/>
      <c r="CA998" s="69"/>
      <c r="CB998" s="69"/>
      <c r="CC998" s="69"/>
      <c r="CD998" s="69"/>
      <c r="CE998" s="94">
        <f t="shared" si="81"/>
        <v>373.99</v>
      </c>
      <c r="CF998" s="151">
        <f t="shared" si="78"/>
        <v>0</v>
      </c>
      <c r="CG998" s="75">
        <f t="shared" si="79"/>
        <v>4843</v>
      </c>
      <c r="CH998" s="69" t="str">
        <f t="shared" si="79"/>
        <v>خ ت طب</v>
      </c>
    </row>
    <row r="999" spans="1:86" x14ac:dyDescent="0.25">
      <c r="A999" s="148"/>
      <c r="B999" s="82">
        <v>8956</v>
      </c>
      <c r="C999" s="149">
        <v>4844</v>
      </c>
      <c r="D999" s="69" t="s">
        <v>130</v>
      </c>
      <c r="E999" s="69" t="s">
        <v>1893</v>
      </c>
      <c r="F999" s="63"/>
      <c r="G999" s="69">
        <v>469</v>
      </c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  <c r="AE999" s="69"/>
      <c r="AF999" s="69"/>
      <c r="AG999" s="69"/>
      <c r="AH999" s="69"/>
      <c r="AI999" s="69"/>
      <c r="AJ999" s="69"/>
      <c r="AK999" s="69"/>
      <c r="AL999" s="69"/>
      <c r="AM999" s="69"/>
      <c r="AN999" s="69"/>
      <c r="AO999" s="69"/>
      <c r="AP999" s="69"/>
      <c r="AQ999" s="69"/>
      <c r="AR999" s="94">
        <f t="shared" si="77"/>
        <v>469</v>
      </c>
      <c r="AS999" s="69">
        <v>317.52</v>
      </c>
      <c r="AT999" s="69">
        <v>18.48</v>
      </c>
      <c r="AU999" s="69">
        <v>113</v>
      </c>
      <c r="AV999" s="69">
        <v>20</v>
      </c>
      <c r="AW999" s="69"/>
      <c r="AX999" s="69"/>
      <c r="AY999" s="69"/>
      <c r="AZ999" s="69"/>
      <c r="BA999" s="69"/>
      <c r="BB999" s="69"/>
      <c r="BC999" s="69"/>
      <c r="BD999" s="69"/>
      <c r="BE999" s="69"/>
      <c r="BF999" s="69"/>
      <c r="BG999" s="69"/>
      <c r="BH999" s="69"/>
      <c r="BI999" s="69"/>
      <c r="BJ999" s="69"/>
      <c r="BK999" s="69"/>
      <c r="BL999" s="69"/>
      <c r="BM999" s="69"/>
      <c r="BN999" s="69"/>
      <c r="BO999" s="69"/>
      <c r="BP999" s="69"/>
      <c r="BQ999" s="69"/>
      <c r="BR999" s="69"/>
      <c r="BS999" s="69"/>
      <c r="BT999" s="69"/>
      <c r="BU999" s="69"/>
      <c r="BV999" s="69"/>
      <c r="BW999" s="69"/>
      <c r="BX999" s="69"/>
      <c r="BY999" s="69"/>
      <c r="BZ999" s="69"/>
      <c r="CA999" s="69"/>
      <c r="CB999" s="69"/>
      <c r="CC999" s="69"/>
      <c r="CD999" s="69"/>
      <c r="CE999" s="94">
        <f t="shared" si="81"/>
        <v>469</v>
      </c>
      <c r="CF999" s="151">
        <f t="shared" si="78"/>
        <v>0</v>
      </c>
      <c r="CG999" s="75">
        <f t="shared" si="79"/>
        <v>4844</v>
      </c>
      <c r="CH999" s="69" t="str">
        <f t="shared" si="79"/>
        <v>خ ت طب</v>
      </c>
    </row>
    <row r="1000" spans="1:86" x14ac:dyDescent="0.25">
      <c r="A1000" s="148"/>
      <c r="B1000" s="82">
        <v>8955</v>
      </c>
      <c r="C1000" s="149">
        <v>4845</v>
      </c>
      <c r="D1000" s="69" t="s">
        <v>130</v>
      </c>
      <c r="E1000" s="69" t="s">
        <v>3408</v>
      </c>
      <c r="F1000" s="63"/>
      <c r="G1000" s="69">
        <v>234.5</v>
      </c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  <c r="AD1000" s="69"/>
      <c r="AE1000" s="69"/>
      <c r="AF1000" s="69"/>
      <c r="AG1000" s="69"/>
      <c r="AH1000" s="69"/>
      <c r="AI1000" s="69"/>
      <c r="AJ1000" s="69"/>
      <c r="AK1000" s="69"/>
      <c r="AL1000" s="69"/>
      <c r="AM1000" s="69"/>
      <c r="AN1000" s="69"/>
      <c r="AO1000" s="69"/>
      <c r="AP1000" s="69"/>
      <c r="AQ1000" s="69"/>
      <c r="AR1000" s="94">
        <f t="shared" si="77"/>
        <v>234.5</v>
      </c>
      <c r="AS1000" s="69">
        <v>156.24</v>
      </c>
      <c r="AT1000" s="69">
        <v>11.76</v>
      </c>
      <c r="AU1000" s="69">
        <v>56.5</v>
      </c>
      <c r="AV1000" s="69">
        <v>10</v>
      </c>
      <c r="AW1000" s="69"/>
      <c r="AX1000" s="69"/>
      <c r="AY1000" s="69"/>
      <c r="AZ1000" s="69"/>
      <c r="BA1000" s="69"/>
      <c r="BB1000" s="69"/>
      <c r="BC1000" s="69"/>
      <c r="BD1000" s="69"/>
      <c r="BE1000" s="69"/>
      <c r="BF1000" s="69"/>
      <c r="BG1000" s="69"/>
      <c r="BH1000" s="69"/>
      <c r="BI1000" s="69"/>
      <c r="BJ1000" s="69"/>
      <c r="BK1000" s="69"/>
      <c r="BL1000" s="69"/>
      <c r="BM1000" s="69"/>
      <c r="BN1000" s="69"/>
      <c r="BO1000" s="69"/>
      <c r="BP1000" s="69"/>
      <c r="BQ1000" s="69"/>
      <c r="BR1000" s="69"/>
      <c r="BS1000" s="69"/>
      <c r="BT1000" s="69"/>
      <c r="BU1000" s="69"/>
      <c r="BV1000" s="69"/>
      <c r="BW1000" s="69"/>
      <c r="BX1000" s="69"/>
      <c r="BY1000" s="69"/>
      <c r="BZ1000" s="69"/>
      <c r="CA1000" s="69"/>
      <c r="CB1000" s="69"/>
      <c r="CC1000" s="69"/>
      <c r="CD1000" s="69"/>
      <c r="CE1000" s="94">
        <f t="shared" si="81"/>
        <v>234.5</v>
      </c>
      <c r="CF1000" s="151">
        <f t="shared" si="78"/>
        <v>0</v>
      </c>
      <c r="CG1000" s="75">
        <f t="shared" si="79"/>
        <v>4845</v>
      </c>
      <c r="CH1000" s="69" t="str">
        <f t="shared" si="79"/>
        <v>خ ت طب</v>
      </c>
    </row>
    <row r="1001" spans="1:86" x14ac:dyDescent="0.25">
      <c r="A1001" s="148"/>
      <c r="B1001" s="82">
        <v>8954</v>
      </c>
      <c r="C1001" s="149">
        <v>4846</v>
      </c>
      <c r="D1001" s="69" t="s">
        <v>130</v>
      </c>
      <c r="E1001" s="69" t="s">
        <v>3408</v>
      </c>
      <c r="F1001" s="63"/>
      <c r="G1001" s="69">
        <v>140.69999999999999</v>
      </c>
      <c r="H1001" s="69"/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69"/>
      <c r="U1001" s="69"/>
      <c r="V1001" s="69"/>
      <c r="W1001" s="69"/>
      <c r="X1001" s="69"/>
      <c r="Y1001" s="69"/>
      <c r="Z1001" s="69"/>
      <c r="AA1001" s="69"/>
      <c r="AB1001" s="69"/>
      <c r="AC1001" s="69"/>
      <c r="AD1001" s="69"/>
      <c r="AE1001" s="69"/>
      <c r="AF1001" s="69"/>
      <c r="AG1001" s="69"/>
      <c r="AH1001" s="69"/>
      <c r="AI1001" s="69"/>
      <c r="AJ1001" s="69"/>
      <c r="AK1001" s="69"/>
      <c r="AL1001" s="69"/>
      <c r="AM1001" s="69"/>
      <c r="AN1001" s="69"/>
      <c r="AO1001" s="69"/>
      <c r="AP1001" s="69"/>
      <c r="AQ1001" s="69"/>
      <c r="AR1001" s="94">
        <f t="shared" si="77"/>
        <v>140.69999999999999</v>
      </c>
      <c r="AS1001" s="69">
        <v>90.72</v>
      </c>
      <c r="AT1001" s="69">
        <v>10.08</v>
      </c>
      <c r="AU1001" s="69">
        <v>33.9</v>
      </c>
      <c r="AV1001" s="69">
        <v>6</v>
      </c>
      <c r="AW1001" s="69"/>
      <c r="AX1001" s="69"/>
      <c r="AY1001" s="69"/>
      <c r="AZ1001" s="69"/>
      <c r="BA1001" s="69"/>
      <c r="BB1001" s="69"/>
      <c r="BC1001" s="69"/>
      <c r="BD1001" s="69"/>
      <c r="BE1001" s="69"/>
      <c r="BF1001" s="69"/>
      <c r="BG1001" s="69"/>
      <c r="BH1001" s="69"/>
      <c r="BI1001" s="69"/>
      <c r="BJ1001" s="69"/>
      <c r="BK1001" s="69"/>
      <c r="BL1001" s="69"/>
      <c r="BM1001" s="69"/>
      <c r="BN1001" s="69"/>
      <c r="BO1001" s="69"/>
      <c r="BP1001" s="69"/>
      <c r="BQ1001" s="69"/>
      <c r="BR1001" s="69"/>
      <c r="BS1001" s="69"/>
      <c r="BT1001" s="69"/>
      <c r="BU1001" s="69"/>
      <c r="BV1001" s="69"/>
      <c r="BW1001" s="69"/>
      <c r="BX1001" s="69"/>
      <c r="BY1001" s="69"/>
      <c r="BZ1001" s="69"/>
      <c r="CA1001" s="69"/>
      <c r="CB1001" s="69"/>
      <c r="CC1001" s="69"/>
      <c r="CD1001" s="69"/>
      <c r="CE1001" s="94">
        <f t="shared" si="81"/>
        <v>140.69999999999999</v>
      </c>
      <c r="CF1001" s="151">
        <f t="shared" si="78"/>
        <v>0</v>
      </c>
      <c r="CG1001" s="75">
        <f t="shared" si="79"/>
        <v>4846</v>
      </c>
      <c r="CH1001" s="69" t="str">
        <f t="shared" si="79"/>
        <v>خ ت طب</v>
      </c>
    </row>
    <row r="1002" spans="1:86" x14ac:dyDescent="0.25">
      <c r="A1002" s="148"/>
      <c r="B1002" s="82">
        <v>8953</v>
      </c>
      <c r="C1002" s="149">
        <v>4847</v>
      </c>
      <c r="D1002" s="69" t="s">
        <v>130</v>
      </c>
      <c r="E1002" s="69" t="s">
        <v>3408</v>
      </c>
      <c r="F1002" s="63"/>
      <c r="G1002" s="69">
        <v>46.9</v>
      </c>
      <c r="H1002" s="69"/>
      <c r="I1002" s="69"/>
      <c r="J1002" s="69"/>
      <c r="K1002" s="69"/>
      <c r="L1002" s="69"/>
      <c r="M1002" s="69"/>
      <c r="N1002" s="69"/>
      <c r="O1002" s="69"/>
      <c r="P1002" s="69"/>
      <c r="Q1002" s="69"/>
      <c r="R1002" s="69"/>
      <c r="S1002" s="69"/>
      <c r="T1002" s="69"/>
      <c r="U1002" s="69"/>
      <c r="V1002" s="69"/>
      <c r="W1002" s="69"/>
      <c r="X1002" s="69"/>
      <c r="Y1002" s="69"/>
      <c r="Z1002" s="69"/>
      <c r="AA1002" s="69"/>
      <c r="AB1002" s="69"/>
      <c r="AC1002" s="69"/>
      <c r="AD1002" s="69"/>
      <c r="AE1002" s="69"/>
      <c r="AF1002" s="69"/>
      <c r="AG1002" s="69"/>
      <c r="AH1002" s="69"/>
      <c r="AI1002" s="69"/>
      <c r="AJ1002" s="69"/>
      <c r="AK1002" s="69"/>
      <c r="AL1002" s="69"/>
      <c r="AM1002" s="69"/>
      <c r="AN1002" s="69"/>
      <c r="AO1002" s="69"/>
      <c r="AP1002" s="69"/>
      <c r="AQ1002" s="69"/>
      <c r="AR1002" s="94">
        <f t="shared" si="77"/>
        <v>46.9</v>
      </c>
      <c r="AS1002" s="69">
        <v>32.76</v>
      </c>
      <c r="AT1002" s="69">
        <v>0.84</v>
      </c>
      <c r="AU1002" s="69">
        <v>11.3</v>
      </c>
      <c r="AV1002" s="69">
        <v>2</v>
      </c>
      <c r="AW1002" s="69"/>
      <c r="AX1002" s="69"/>
      <c r="AY1002" s="69"/>
      <c r="AZ1002" s="69"/>
      <c r="BA1002" s="69"/>
      <c r="BB1002" s="69"/>
      <c r="BC1002" s="69"/>
      <c r="BD1002" s="69"/>
      <c r="BE1002" s="69"/>
      <c r="BF1002" s="69"/>
      <c r="BG1002" s="69"/>
      <c r="BH1002" s="69"/>
      <c r="BI1002" s="69"/>
      <c r="BJ1002" s="69"/>
      <c r="BK1002" s="69"/>
      <c r="BL1002" s="69"/>
      <c r="BM1002" s="69"/>
      <c r="BN1002" s="69"/>
      <c r="BO1002" s="69"/>
      <c r="BP1002" s="69"/>
      <c r="BQ1002" s="69"/>
      <c r="BR1002" s="69"/>
      <c r="BS1002" s="69"/>
      <c r="BT1002" s="69"/>
      <c r="BU1002" s="69"/>
      <c r="BV1002" s="69"/>
      <c r="BW1002" s="69"/>
      <c r="BX1002" s="69"/>
      <c r="BY1002" s="69"/>
      <c r="BZ1002" s="69"/>
      <c r="CA1002" s="69"/>
      <c r="CB1002" s="69"/>
      <c r="CC1002" s="69"/>
      <c r="CD1002" s="69"/>
      <c r="CE1002" s="94">
        <f t="shared" si="81"/>
        <v>46.900000000000006</v>
      </c>
      <c r="CF1002" s="151">
        <f t="shared" si="78"/>
        <v>0</v>
      </c>
      <c r="CG1002" s="75">
        <f t="shared" si="79"/>
        <v>4847</v>
      </c>
      <c r="CH1002" s="69" t="str">
        <f t="shared" si="79"/>
        <v>خ ت طب</v>
      </c>
    </row>
    <row r="1003" spans="1:86" x14ac:dyDescent="0.25">
      <c r="A1003" s="148"/>
      <c r="B1003" s="82">
        <v>8952</v>
      </c>
      <c r="C1003" s="149">
        <v>4848</v>
      </c>
      <c r="D1003" s="69" t="s">
        <v>130</v>
      </c>
      <c r="E1003" s="69" t="s">
        <v>3409</v>
      </c>
      <c r="F1003" s="63"/>
      <c r="G1003" s="69">
        <v>314.5</v>
      </c>
      <c r="H1003" s="69"/>
      <c r="I1003" s="69"/>
      <c r="J1003" s="69"/>
      <c r="K1003" s="69"/>
      <c r="L1003" s="69"/>
      <c r="M1003" s="69"/>
      <c r="N1003" s="69"/>
      <c r="O1003" s="69"/>
      <c r="P1003" s="69"/>
      <c r="Q1003" s="69"/>
      <c r="R1003" s="69"/>
      <c r="S1003" s="69"/>
      <c r="T1003" s="69"/>
      <c r="U1003" s="69"/>
      <c r="V1003" s="69"/>
      <c r="W1003" s="69"/>
      <c r="X1003" s="69"/>
      <c r="Y1003" s="69"/>
      <c r="Z1003" s="69"/>
      <c r="AA1003" s="69"/>
      <c r="AB1003" s="69"/>
      <c r="AC1003" s="69"/>
      <c r="AD1003" s="69"/>
      <c r="AE1003" s="69"/>
      <c r="AF1003" s="69"/>
      <c r="AG1003" s="69"/>
      <c r="AH1003" s="69"/>
      <c r="AI1003" s="69"/>
      <c r="AJ1003" s="69"/>
      <c r="AK1003" s="69"/>
      <c r="AL1003" s="69"/>
      <c r="AM1003" s="69"/>
      <c r="AN1003" s="69"/>
      <c r="AO1003" s="69"/>
      <c r="AP1003" s="69"/>
      <c r="AQ1003" s="69"/>
      <c r="AR1003" s="94">
        <f t="shared" si="77"/>
        <v>314.5</v>
      </c>
      <c r="AS1003" s="69">
        <v>224.64</v>
      </c>
      <c r="AT1003" s="69">
        <v>19.36</v>
      </c>
      <c r="AU1003" s="69">
        <v>56.5</v>
      </c>
      <c r="AV1003" s="69">
        <v>14</v>
      </c>
      <c r="AW1003" s="69"/>
      <c r="AX1003" s="69"/>
      <c r="AY1003" s="69"/>
      <c r="AZ1003" s="69"/>
      <c r="BA1003" s="69"/>
      <c r="BB1003" s="69"/>
      <c r="BC1003" s="69"/>
      <c r="BD1003" s="69"/>
      <c r="BE1003" s="69"/>
      <c r="BF1003" s="69"/>
      <c r="BG1003" s="69"/>
      <c r="BH1003" s="69"/>
      <c r="BI1003" s="69"/>
      <c r="BJ1003" s="69"/>
      <c r="BK1003" s="69"/>
      <c r="BL1003" s="69"/>
      <c r="BM1003" s="69"/>
      <c r="BN1003" s="69"/>
      <c r="BO1003" s="69"/>
      <c r="BP1003" s="69"/>
      <c r="BQ1003" s="69"/>
      <c r="BR1003" s="69"/>
      <c r="BS1003" s="69"/>
      <c r="BT1003" s="69"/>
      <c r="BU1003" s="69"/>
      <c r="BV1003" s="69"/>
      <c r="BW1003" s="69"/>
      <c r="BX1003" s="69"/>
      <c r="BY1003" s="69"/>
      <c r="BZ1003" s="69"/>
      <c r="CA1003" s="69"/>
      <c r="CB1003" s="69"/>
      <c r="CC1003" s="69"/>
      <c r="CD1003" s="69"/>
      <c r="CE1003" s="94">
        <f t="shared" si="81"/>
        <v>314.5</v>
      </c>
      <c r="CF1003" s="151">
        <f t="shared" si="78"/>
        <v>0</v>
      </c>
      <c r="CG1003" s="75">
        <f t="shared" si="79"/>
        <v>4848</v>
      </c>
      <c r="CH1003" s="69" t="str">
        <f t="shared" si="79"/>
        <v>خ ت طب</v>
      </c>
    </row>
    <row r="1004" spans="1:86" x14ac:dyDescent="0.25">
      <c r="A1004" s="148"/>
      <c r="B1004" s="82">
        <v>8951</v>
      </c>
      <c r="C1004" s="149">
        <v>4849</v>
      </c>
      <c r="D1004" s="69" t="s">
        <v>130</v>
      </c>
      <c r="E1004" s="69" t="s">
        <v>3409</v>
      </c>
      <c r="F1004" s="63"/>
      <c r="G1004" s="69">
        <v>140.69999999999999</v>
      </c>
      <c r="H1004" s="69"/>
      <c r="I1004" s="69"/>
      <c r="J1004" s="69"/>
      <c r="K1004" s="69"/>
      <c r="L1004" s="69"/>
      <c r="M1004" s="69"/>
      <c r="N1004" s="69"/>
      <c r="O1004" s="69"/>
      <c r="P1004" s="69"/>
      <c r="Q1004" s="69"/>
      <c r="R1004" s="69"/>
      <c r="S1004" s="69"/>
      <c r="T1004" s="69"/>
      <c r="U1004" s="69"/>
      <c r="V1004" s="69"/>
      <c r="W1004" s="69"/>
      <c r="X1004" s="69"/>
      <c r="Y1004" s="69"/>
      <c r="Z1004" s="69"/>
      <c r="AA1004" s="69"/>
      <c r="AB1004" s="69"/>
      <c r="AC1004" s="69"/>
      <c r="AD1004" s="69"/>
      <c r="AE1004" s="69"/>
      <c r="AF1004" s="69"/>
      <c r="AG1004" s="69"/>
      <c r="AH1004" s="69"/>
      <c r="AI1004" s="69"/>
      <c r="AJ1004" s="69"/>
      <c r="AK1004" s="69"/>
      <c r="AL1004" s="69"/>
      <c r="AM1004" s="69"/>
      <c r="AN1004" s="69"/>
      <c r="AO1004" s="69"/>
      <c r="AP1004" s="69"/>
      <c r="AQ1004" s="69"/>
      <c r="AR1004" s="94">
        <f t="shared" si="77"/>
        <v>140.69999999999999</v>
      </c>
      <c r="AS1004" s="69">
        <v>89.04</v>
      </c>
      <c r="AT1004" s="69">
        <v>11.76</v>
      </c>
      <c r="AU1004" s="69">
        <v>33.9</v>
      </c>
      <c r="AV1004" s="69">
        <v>6</v>
      </c>
      <c r="AW1004" s="69"/>
      <c r="AX1004" s="69"/>
      <c r="AY1004" s="69"/>
      <c r="AZ1004" s="69"/>
      <c r="BA1004" s="69"/>
      <c r="BB1004" s="69"/>
      <c r="BC1004" s="69"/>
      <c r="BD1004" s="69"/>
      <c r="BE1004" s="69"/>
      <c r="BF1004" s="69"/>
      <c r="BG1004" s="69"/>
      <c r="BH1004" s="69"/>
      <c r="BI1004" s="69"/>
      <c r="BJ1004" s="69"/>
      <c r="BK1004" s="69"/>
      <c r="BL1004" s="69"/>
      <c r="BM1004" s="69"/>
      <c r="BN1004" s="69"/>
      <c r="BO1004" s="69"/>
      <c r="BP1004" s="69"/>
      <c r="BQ1004" s="69"/>
      <c r="BR1004" s="69"/>
      <c r="BS1004" s="69"/>
      <c r="BT1004" s="69"/>
      <c r="BU1004" s="69"/>
      <c r="BV1004" s="69"/>
      <c r="BW1004" s="69"/>
      <c r="BX1004" s="69"/>
      <c r="BY1004" s="69"/>
      <c r="BZ1004" s="69"/>
      <c r="CA1004" s="69"/>
      <c r="CB1004" s="69"/>
      <c r="CC1004" s="69"/>
      <c r="CD1004" s="69"/>
      <c r="CE1004" s="94">
        <f t="shared" si="81"/>
        <v>140.70000000000002</v>
      </c>
      <c r="CF1004" s="151">
        <f t="shared" si="78"/>
        <v>0</v>
      </c>
      <c r="CG1004" s="75">
        <f t="shared" si="79"/>
        <v>4849</v>
      </c>
      <c r="CH1004" s="69" t="str">
        <f t="shared" si="79"/>
        <v>خ ت طب</v>
      </c>
    </row>
    <row r="1005" spans="1:86" x14ac:dyDescent="0.25">
      <c r="A1005" s="148"/>
      <c r="B1005" s="82">
        <v>8950</v>
      </c>
      <c r="C1005" s="149">
        <v>4850</v>
      </c>
      <c r="D1005" s="69" t="s">
        <v>130</v>
      </c>
      <c r="E1005" s="69" t="s">
        <v>3410</v>
      </c>
      <c r="F1005" s="63"/>
      <c r="G1005" s="69">
        <v>361.2</v>
      </c>
      <c r="H1005" s="69"/>
      <c r="I1005" s="69"/>
      <c r="J1005" s="69"/>
      <c r="K1005" s="69"/>
      <c r="L1005" s="69"/>
      <c r="M1005" s="69"/>
      <c r="N1005" s="69"/>
      <c r="O1005" s="69"/>
      <c r="P1005" s="69"/>
      <c r="Q1005" s="69"/>
      <c r="R1005" s="69"/>
      <c r="S1005" s="69"/>
      <c r="T1005" s="69"/>
      <c r="U1005" s="69"/>
      <c r="V1005" s="69"/>
      <c r="W1005" s="69"/>
      <c r="X1005" s="69"/>
      <c r="Y1005" s="69"/>
      <c r="Z1005" s="69"/>
      <c r="AA1005" s="69"/>
      <c r="AB1005" s="69"/>
      <c r="AC1005" s="69"/>
      <c r="AD1005" s="69"/>
      <c r="AE1005" s="69"/>
      <c r="AF1005" s="69"/>
      <c r="AG1005" s="69"/>
      <c r="AH1005" s="69"/>
      <c r="AI1005" s="69"/>
      <c r="AJ1005" s="69"/>
      <c r="AK1005" s="69"/>
      <c r="AL1005" s="69"/>
      <c r="AM1005" s="69"/>
      <c r="AN1005" s="69"/>
      <c r="AO1005" s="69"/>
      <c r="AP1005" s="69"/>
      <c r="AQ1005" s="69"/>
      <c r="AR1005" s="94">
        <f t="shared" si="77"/>
        <v>361.2</v>
      </c>
      <c r="AS1005" s="69">
        <v>239.03</v>
      </c>
      <c r="AT1005" s="69">
        <v>16.47</v>
      </c>
      <c r="AU1005" s="69">
        <v>90.4</v>
      </c>
      <c r="AV1005" s="69">
        <v>15.3</v>
      </c>
      <c r="AW1005" s="69"/>
      <c r="AX1005" s="69"/>
      <c r="AY1005" s="69"/>
      <c r="AZ1005" s="69"/>
      <c r="BA1005" s="69"/>
      <c r="BB1005" s="69"/>
      <c r="BC1005" s="69"/>
      <c r="BD1005" s="69"/>
      <c r="BE1005" s="69"/>
      <c r="BF1005" s="69"/>
      <c r="BG1005" s="69"/>
      <c r="BH1005" s="69"/>
      <c r="BI1005" s="69"/>
      <c r="BJ1005" s="69"/>
      <c r="BK1005" s="69"/>
      <c r="BL1005" s="69"/>
      <c r="BM1005" s="69"/>
      <c r="BN1005" s="69"/>
      <c r="BO1005" s="69"/>
      <c r="BP1005" s="69"/>
      <c r="BQ1005" s="69"/>
      <c r="BR1005" s="69"/>
      <c r="BS1005" s="69"/>
      <c r="BT1005" s="69"/>
      <c r="BU1005" s="69"/>
      <c r="BV1005" s="69"/>
      <c r="BW1005" s="69"/>
      <c r="BX1005" s="69"/>
      <c r="BY1005" s="69"/>
      <c r="BZ1005" s="69"/>
      <c r="CA1005" s="69"/>
      <c r="CB1005" s="69"/>
      <c r="CC1005" s="69"/>
      <c r="CD1005" s="69"/>
      <c r="CE1005" s="94">
        <f t="shared" si="81"/>
        <v>361.2</v>
      </c>
      <c r="CF1005" s="151">
        <f t="shared" si="78"/>
        <v>0</v>
      </c>
      <c r="CG1005" s="75">
        <f t="shared" si="79"/>
        <v>4850</v>
      </c>
      <c r="CH1005" s="69" t="str">
        <f t="shared" si="79"/>
        <v>خ ت طب</v>
      </c>
    </row>
    <row r="1006" spans="1:86" x14ac:dyDescent="0.25">
      <c r="A1006" s="148"/>
      <c r="B1006" s="82">
        <v>8949</v>
      </c>
      <c r="C1006" s="149">
        <v>4851</v>
      </c>
      <c r="D1006" s="69" t="s">
        <v>130</v>
      </c>
      <c r="E1006" s="69" t="s">
        <v>3411</v>
      </c>
      <c r="F1006" s="63"/>
      <c r="G1006" s="69">
        <v>812.06</v>
      </c>
      <c r="H1006" s="69"/>
      <c r="I1006" s="69"/>
      <c r="J1006" s="69"/>
      <c r="K1006" s="69"/>
      <c r="L1006" s="69"/>
      <c r="M1006" s="69"/>
      <c r="N1006" s="69"/>
      <c r="O1006" s="69"/>
      <c r="P1006" s="69"/>
      <c r="Q1006" s="69"/>
      <c r="R1006" s="69"/>
      <c r="S1006" s="69"/>
      <c r="T1006" s="69"/>
      <c r="U1006" s="69"/>
      <c r="V1006" s="69"/>
      <c r="W1006" s="69"/>
      <c r="X1006" s="69"/>
      <c r="Y1006" s="69"/>
      <c r="Z1006" s="69"/>
      <c r="AA1006" s="69"/>
      <c r="AB1006" s="69"/>
      <c r="AC1006" s="69"/>
      <c r="AD1006" s="69"/>
      <c r="AE1006" s="69"/>
      <c r="AF1006" s="69"/>
      <c r="AG1006" s="69"/>
      <c r="AH1006" s="69"/>
      <c r="AI1006" s="69"/>
      <c r="AJ1006" s="69"/>
      <c r="AK1006" s="69"/>
      <c r="AL1006" s="69"/>
      <c r="AM1006" s="69"/>
      <c r="AN1006" s="69"/>
      <c r="AO1006" s="69"/>
      <c r="AP1006" s="69"/>
      <c r="AQ1006" s="69"/>
      <c r="AR1006" s="94">
        <f t="shared" si="77"/>
        <v>812.06</v>
      </c>
      <c r="AS1006" s="69">
        <v>496.08</v>
      </c>
      <c r="AT1006" s="69">
        <v>97.42</v>
      </c>
      <c r="AU1006" s="69">
        <v>183.56</v>
      </c>
      <c r="AV1006" s="69">
        <v>35</v>
      </c>
      <c r="AW1006" s="69"/>
      <c r="AX1006" s="69"/>
      <c r="AY1006" s="69"/>
      <c r="AZ1006" s="69"/>
      <c r="BA1006" s="69"/>
      <c r="BB1006" s="69"/>
      <c r="BC1006" s="69"/>
      <c r="BD1006" s="69"/>
      <c r="BE1006" s="69"/>
      <c r="BF1006" s="69"/>
      <c r="BG1006" s="69"/>
      <c r="BH1006" s="69"/>
      <c r="BI1006" s="69"/>
      <c r="BJ1006" s="69"/>
      <c r="BK1006" s="69"/>
      <c r="BL1006" s="69"/>
      <c r="BM1006" s="69"/>
      <c r="BN1006" s="69"/>
      <c r="BO1006" s="69"/>
      <c r="BP1006" s="69"/>
      <c r="BQ1006" s="69"/>
      <c r="BR1006" s="69"/>
      <c r="BS1006" s="69"/>
      <c r="BT1006" s="69"/>
      <c r="BU1006" s="69"/>
      <c r="BV1006" s="69"/>
      <c r="BW1006" s="69"/>
      <c r="BX1006" s="69"/>
      <c r="BY1006" s="69"/>
      <c r="BZ1006" s="69"/>
      <c r="CA1006" s="69"/>
      <c r="CB1006" s="69"/>
      <c r="CC1006" s="69"/>
      <c r="CD1006" s="69"/>
      <c r="CE1006" s="94">
        <f t="shared" si="81"/>
        <v>812.06</v>
      </c>
      <c r="CF1006" s="151">
        <f t="shared" si="78"/>
        <v>0</v>
      </c>
      <c r="CG1006" s="75">
        <f t="shared" si="79"/>
        <v>4851</v>
      </c>
      <c r="CH1006" s="69" t="str">
        <f t="shared" si="79"/>
        <v>خ ت طب</v>
      </c>
    </row>
    <row r="1007" spans="1:86" x14ac:dyDescent="0.25">
      <c r="A1007" s="148"/>
      <c r="B1007" s="82"/>
      <c r="C1007" s="149">
        <v>4852</v>
      </c>
      <c r="D1007" s="152" t="s">
        <v>1431</v>
      </c>
      <c r="E1007" s="152" t="s">
        <v>899</v>
      </c>
      <c r="H1007" s="69"/>
      <c r="I1007" s="69"/>
      <c r="J1007" s="69"/>
      <c r="K1007" s="69"/>
      <c r="L1007" s="69"/>
      <c r="M1007" s="69"/>
      <c r="N1007" s="69"/>
      <c r="O1007" s="69"/>
      <c r="P1007" s="69"/>
      <c r="Q1007" s="69"/>
      <c r="R1007" s="69"/>
      <c r="S1007" s="69"/>
      <c r="T1007" s="69"/>
      <c r="U1007" s="69"/>
      <c r="V1007" s="69"/>
      <c r="W1007" s="69"/>
      <c r="X1007" s="69"/>
      <c r="Y1007" s="69"/>
      <c r="Z1007" s="69"/>
      <c r="AA1007" s="69"/>
      <c r="AB1007" s="69"/>
      <c r="AC1007" s="69"/>
      <c r="AD1007" s="69"/>
      <c r="AE1007" s="69"/>
      <c r="AF1007" s="69"/>
      <c r="AG1007" s="69"/>
      <c r="AH1007" s="69"/>
      <c r="AI1007" s="69"/>
      <c r="AJ1007" s="69"/>
      <c r="AK1007" s="69"/>
      <c r="AL1007" s="69"/>
      <c r="AM1007" s="69"/>
      <c r="AN1007" s="69"/>
      <c r="AO1007" s="69"/>
      <c r="AP1007" s="69"/>
      <c r="AQ1007" s="69"/>
      <c r="AR1007" s="94">
        <f t="shared" si="77"/>
        <v>0</v>
      </c>
      <c r="AW1007" s="69"/>
      <c r="AX1007" s="69"/>
      <c r="AY1007" s="69"/>
      <c r="AZ1007" s="69"/>
      <c r="BA1007" s="69"/>
      <c r="BB1007" s="69"/>
      <c r="BC1007" s="69"/>
      <c r="BD1007" s="69"/>
      <c r="BE1007" s="69"/>
      <c r="BF1007" s="69"/>
      <c r="BG1007" s="69"/>
      <c r="BH1007" s="69"/>
      <c r="BI1007" s="69"/>
      <c r="BJ1007" s="69"/>
      <c r="BK1007" s="69"/>
      <c r="BL1007" s="69"/>
      <c r="BM1007" s="69"/>
      <c r="BN1007" s="69"/>
      <c r="BO1007" s="69"/>
      <c r="BP1007" s="69"/>
      <c r="BQ1007" s="69"/>
      <c r="BR1007" s="69"/>
      <c r="BS1007" s="69"/>
      <c r="BT1007" s="69"/>
      <c r="BU1007" s="69"/>
      <c r="BV1007" s="69"/>
      <c r="BW1007" s="69"/>
      <c r="BX1007" s="69"/>
      <c r="BY1007" s="69"/>
      <c r="BZ1007" s="69"/>
      <c r="CA1007" s="69"/>
      <c r="CB1007" s="69"/>
      <c r="CC1007" s="69"/>
      <c r="CD1007" s="69"/>
      <c r="CE1007" s="94">
        <f t="shared" si="81"/>
        <v>0</v>
      </c>
      <c r="CF1007" s="151">
        <f t="shared" si="78"/>
        <v>0</v>
      </c>
      <c r="CG1007" s="75">
        <f t="shared" si="79"/>
        <v>4852</v>
      </c>
      <c r="CH1007" s="69" t="str">
        <f>+D1027</f>
        <v>خ ت طب</v>
      </c>
    </row>
    <row r="1008" spans="1:86" x14ac:dyDescent="0.25">
      <c r="A1008" s="148"/>
      <c r="B1008" s="82">
        <v>8947</v>
      </c>
      <c r="C1008" s="149">
        <v>4853</v>
      </c>
      <c r="D1008" s="69" t="s">
        <v>130</v>
      </c>
      <c r="E1008" s="69" t="s">
        <v>3412</v>
      </c>
      <c r="F1008" s="63"/>
      <c r="G1008" s="69">
        <v>175.86</v>
      </c>
      <c r="H1008" s="69"/>
      <c r="I1008" s="69"/>
      <c r="J1008" s="69"/>
      <c r="K1008" s="69"/>
      <c r="L1008" s="69"/>
      <c r="M1008" s="69"/>
      <c r="N1008" s="69"/>
      <c r="O1008" s="69"/>
      <c r="P1008" s="69"/>
      <c r="Q1008" s="69"/>
      <c r="R1008" s="69"/>
      <c r="S1008" s="69"/>
      <c r="T1008" s="69"/>
      <c r="U1008" s="69"/>
      <c r="V1008" s="69"/>
      <c r="W1008" s="69"/>
      <c r="X1008" s="69"/>
      <c r="Y1008" s="69"/>
      <c r="Z1008" s="69"/>
      <c r="AA1008" s="69"/>
      <c r="AB1008" s="69"/>
      <c r="AC1008" s="69"/>
      <c r="AD1008" s="69"/>
      <c r="AE1008" s="69"/>
      <c r="AF1008" s="69"/>
      <c r="AG1008" s="69"/>
      <c r="AH1008" s="69"/>
      <c r="AI1008" s="69"/>
      <c r="AJ1008" s="69"/>
      <c r="AK1008" s="69"/>
      <c r="AL1008" s="69"/>
      <c r="AM1008" s="69"/>
      <c r="AN1008" s="69"/>
      <c r="AO1008" s="69"/>
      <c r="AP1008" s="69"/>
      <c r="AQ1008" s="69"/>
      <c r="AR1008" s="94">
        <f t="shared" si="77"/>
        <v>175.86</v>
      </c>
      <c r="AS1008" s="69">
        <v>113.4</v>
      </c>
      <c r="AT1008" s="69">
        <v>12.6</v>
      </c>
      <c r="AU1008" s="69">
        <v>42.36</v>
      </c>
      <c r="AV1008" s="69">
        <v>7.5</v>
      </c>
      <c r="AW1008" s="69"/>
      <c r="AX1008" s="69"/>
      <c r="AY1008" s="69"/>
      <c r="AZ1008" s="69"/>
      <c r="BA1008" s="69"/>
      <c r="BB1008" s="69"/>
      <c r="BC1008" s="69"/>
      <c r="BD1008" s="69"/>
      <c r="BE1008" s="69"/>
      <c r="BF1008" s="69"/>
      <c r="BG1008" s="69"/>
      <c r="BH1008" s="69"/>
      <c r="BI1008" s="69"/>
      <c r="BJ1008" s="69"/>
      <c r="BK1008" s="69"/>
      <c r="BL1008" s="69"/>
      <c r="BM1008" s="69"/>
      <c r="BN1008" s="69"/>
      <c r="BO1008" s="69"/>
      <c r="BP1008" s="69"/>
      <c r="BQ1008" s="69"/>
      <c r="BR1008" s="69"/>
      <c r="BS1008" s="69"/>
      <c r="BT1008" s="69"/>
      <c r="BU1008" s="69"/>
      <c r="BV1008" s="69"/>
      <c r="BW1008" s="69"/>
      <c r="BX1008" s="69"/>
      <c r="BY1008" s="69"/>
      <c r="BZ1008" s="69"/>
      <c r="CA1008" s="69"/>
      <c r="CB1008" s="69"/>
      <c r="CC1008" s="69"/>
      <c r="CD1008" s="69"/>
      <c r="CE1008" s="94">
        <f t="shared" si="81"/>
        <v>175.86</v>
      </c>
      <c r="CF1008" s="151">
        <f t="shared" ref="CF1008:CF1071" si="88">+CE1008-AR1008</f>
        <v>0</v>
      </c>
      <c r="CG1008" s="75">
        <f t="shared" ref="CG1008:CH1023" si="89">+C1008</f>
        <v>4853</v>
      </c>
      <c r="CH1008" s="69" t="str">
        <f t="shared" si="89"/>
        <v>خ ت طب</v>
      </c>
    </row>
    <row r="1009" spans="1:86" x14ac:dyDescent="0.25">
      <c r="A1009" s="148"/>
      <c r="B1009" s="82">
        <v>8946</v>
      </c>
      <c r="C1009" s="149">
        <v>4854</v>
      </c>
      <c r="D1009" s="69" t="s">
        <v>130</v>
      </c>
      <c r="E1009" s="69" t="s">
        <v>3413</v>
      </c>
      <c r="F1009" s="63"/>
      <c r="G1009" s="69">
        <v>211.05</v>
      </c>
      <c r="H1009" s="69"/>
      <c r="I1009" s="69"/>
      <c r="J1009" s="69"/>
      <c r="K1009" s="69"/>
      <c r="L1009" s="69"/>
      <c r="M1009" s="69"/>
      <c r="N1009" s="69"/>
      <c r="O1009" s="69"/>
      <c r="P1009" s="69"/>
      <c r="Q1009" s="69"/>
      <c r="R1009" s="69"/>
      <c r="S1009" s="69"/>
      <c r="T1009" s="69"/>
      <c r="U1009" s="69"/>
      <c r="V1009" s="69"/>
      <c r="W1009" s="69"/>
      <c r="X1009" s="69"/>
      <c r="Y1009" s="69"/>
      <c r="Z1009" s="69"/>
      <c r="AA1009" s="69"/>
      <c r="AB1009" s="69"/>
      <c r="AC1009" s="69"/>
      <c r="AD1009" s="69"/>
      <c r="AE1009" s="69"/>
      <c r="AF1009" s="69"/>
      <c r="AG1009" s="69"/>
      <c r="AH1009" s="69"/>
      <c r="AI1009" s="69"/>
      <c r="AJ1009" s="69"/>
      <c r="AK1009" s="69"/>
      <c r="AL1009" s="69"/>
      <c r="AM1009" s="69"/>
      <c r="AN1009" s="69"/>
      <c r="AO1009" s="69"/>
      <c r="AP1009" s="69"/>
      <c r="AQ1009" s="69"/>
      <c r="AR1009" s="94">
        <f t="shared" si="77"/>
        <v>211.05</v>
      </c>
      <c r="AS1009" s="69">
        <v>131.84</v>
      </c>
      <c r="AT1009" s="69">
        <v>19.36</v>
      </c>
      <c r="AU1009" s="69">
        <v>50.85</v>
      </c>
      <c r="AV1009" s="69">
        <v>9</v>
      </c>
      <c r="AW1009" s="69"/>
      <c r="AX1009" s="69"/>
      <c r="AY1009" s="69"/>
      <c r="AZ1009" s="69"/>
      <c r="BA1009" s="69"/>
      <c r="BB1009" s="69"/>
      <c r="BC1009" s="69"/>
      <c r="BD1009" s="69"/>
      <c r="BE1009" s="69"/>
      <c r="BF1009" s="69"/>
      <c r="BG1009" s="69"/>
      <c r="BH1009" s="69"/>
      <c r="BI1009" s="69"/>
      <c r="BJ1009" s="69"/>
      <c r="BK1009" s="69"/>
      <c r="BL1009" s="69"/>
      <c r="BM1009" s="69"/>
      <c r="BN1009" s="69"/>
      <c r="BO1009" s="69"/>
      <c r="BP1009" s="69"/>
      <c r="BQ1009" s="69"/>
      <c r="BR1009" s="69"/>
      <c r="BS1009" s="69"/>
      <c r="BT1009" s="69"/>
      <c r="BU1009" s="69"/>
      <c r="BV1009" s="69"/>
      <c r="BW1009" s="69"/>
      <c r="BX1009" s="69"/>
      <c r="BY1009" s="69"/>
      <c r="BZ1009" s="69"/>
      <c r="CA1009" s="69"/>
      <c r="CB1009" s="69"/>
      <c r="CC1009" s="69"/>
      <c r="CD1009" s="69"/>
      <c r="CE1009" s="94">
        <f t="shared" si="81"/>
        <v>211.04999999999998</v>
      </c>
      <c r="CF1009" s="151">
        <f t="shared" si="88"/>
        <v>0</v>
      </c>
      <c r="CG1009" s="75">
        <f t="shared" si="89"/>
        <v>4854</v>
      </c>
      <c r="CH1009" s="69" t="str">
        <f t="shared" si="89"/>
        <v>خ ت طب</v>
      </c>
    </row>
    <row r="1010" spans="1:86" x14ac:dyDescent="0.25">
      <c r="A1010" s="148"/>
      <c r="B1010" s="82">
        <v>8945</v>
      </c>
      <c r="C1010" s="149">
        <v>4855</v>
      </c>
      <c r="D1010" s="69" t="s">
        <v>130</v>
      </c>
      <c r="E1010" s="69" t="s">
        <v>3413</v>
      </c>
      <c r="F1010" s="63"/>
      <c r="G1010" s="69">
        <v>46.9</v>
      </c>
      <c r="H1010" s="69"/>
      <c r="I1010" s="69"/>
      <c r="J1010" s="69"/>
      <c r="K1010" s="69"/>
      <c r="L1010" s="69"/>
      <c r="M1010" s="69"/>
      <c r="N1010" s="69"/>
      <c r="O1010" s="69"/>
      <c r="P1010" s="69"/>
      <c r="Q1010" s="69"/>
      <c r="R1010" s="69"/>
      <c r="S1010" s="69"/>
      <c r="T1010" s="69"/>
      <c r="U1010" s="69"/>
      <c r="V1010" s="69"/>
      <c r="W1010" s="69"/>
      <c r="X1010" s="69"/>
      <c r="Y1010" s="69"/>
      <c r="Z1010" s="69"/>
      <c r="AA1010" s="69"/>
      <c r="AB1010" s="69"/>
      <c r="AC1010" s="69"/>
      <c r="AD1010" s="69"/>
      <c r="AE1010" s="69"/>
      <c r="AF1010" s="69"/>
      <c r="AG1010" s="69"/>
      <c r="AH1010" s="69"/>
      <c r="AI1010" s="69"/>
      <c r="AJ1010" s="69"/>
      <c r="AK1010" s="69"/>
      <c r="AL1010" s="69"/>
      <c r="AM1010" s="69"/>
      <c r="AN1010" s="69"/>
      <c r="AO1010" s="69"/>
      <c r="AP1010" s="69"/>
      <c r="AQ1010" s="69"/>
      <c r="AR1010" s="94">
        <f t="shared" si="77"/>
        <v>46.9</v>
      </c>
      <c r="AS1010" s="69">
        <v>32.76</v>
      </c>
      <c r="AT1010" s="69">
        <v>0.84</v>
      </c>
      <c r="AU1010" s="69">
        <v>11.3</v>
      </c>
      <c r="AV1010" s="69">
        <v>2</v>
      </c>
      <c r="AW1010" s="69"/>
      <c r="AX1010" s="69"/>
      <c r="AY1010" s="69"/>
      <c r="AZ1010" s="69"/>
      <c r="BA1010" s="69"/>
      <c r="BB1010" s="69"/>
      <c r="BC1010" s="69"/>
      <c r="BD1010" s="69"/>
      <c r="BE1010" s="69"/>
      <c r="BF1010" s="69"/>
      <c r="BG1010" s="69"/>
      <c r="BH1010" s="69"/>
      <c r="BI1010" s="69"/>
      <c r="BJ1010" s="69"/>
      <c r="BK1010" s="69"/>
      <c r="BL1010" s="69"/>
      <c r="BM1010" s="69"/>
      <c r="BN1010" s="69"/>
      <c r="BO1010" s="69"/>
      <c r="BP1010" s="69"/>
      <c r="BQ1010" s="69"/>
      <c r="BR1010" s="69"/>
      <c r="BS1010" s="69"/>
      <c r="BT1010" s="69"/>
      <c r="BU1010" s="69"/>
      <c r="BV1010" s="69"/>
      <c r="BW1010" s="69"/>
      <c r="BX1010" s="69"/>
      <c r="BY1010" s="69"/>
      <c r="BZ1010" s="69"/>
      <c r="CA1010" s="69"/>
      <c r="CB1010" s="69"/>
      <c r="CC1010" s="69"/>
      <c r="CD1010" s="69"/>
      <c r="CE1010" s="94">
        <f t="shared" si="81"/>
        <v>46.900000000000006</v>
      </c>
      <c r="CF1010" s="151">
        <f t="shared" si="88"/>
        <v>0</v>
      </c>
      <c r="CG1010" s="75">
        <f t="shared" si="89"/>
        <v>4855</v>
      </c>
      <c r="CH1010" s="69" t="str">
        <f t="shared" si="89"/>
        <v>خ ت طب</v>
      </c>
    </row>
    <row r="1011" spans="1:86" x14ac:dyDescent="0.25">
      <c r="A1011" s="148"/>
      <c r="B1011" s="82">
        <v>8944</v>
      </c>
      <c r="C1011" s="149">
        <v>4856</v>
      </c>
      <c r="D1011" s="69" t="s">
        <v>130</v>
      </c>
      <c r="E1011" s="69" t="s">
        <v>3414</v>
      </c>
      <c r="F1011" s="63"/>
      <c r="G1011" s="69">
        <v>58.62</v>
      </c>
      <c r="H1011" s="69"/>
      <c r="I1011" s="69"/>
      <c r="J1011" s="69"/>
      <c r="K1011" s="69"/>
      <c r="L1011" s="69"/>
      <c r="M1011" s="69"/>
      <c r="N1011" s="69"/>
      <c r="O1011" s="69"/>
      <c r="P1011" s="69"/>
      <c r="Q1011" s="69"/>
      <c r="R1011" s="69"/>
      <c r="S1011" s="69"/>
      <c r="T1011" s="69"/>
      <c r="U1011" s="69"/>
      <c r="V1011" s="69"/>
      <c r="W1011" s="69"/>
      <c r="X1011" s="69"/>
      <c r="Y1011" s="69"/>
      <c r="Z1011" s="69"/>
      <c r="AA1011" s="69"/>
      <c r="AB1011" s="69"/>
      <c r="AC1011" s="69"/>
      <c r="AD1011" s="69"/>
      <c r="AE1011" s="69"/>
      <c r="AF1011" s="69"/>
      <c r="AG1011" s="69"/>
      <c r="AH1011" s="69"/>
      <c r="AI1011" s="69"/>
      <c r="AJ1011" s="69"/>
      <c r="AK1011" s="69"/>
      <c r="AL1011" s="69"/>
      <c r="AM1011" s="69"/>
      <c r="AN1011" s="69"/>
      <c r="AO1011" s="69"/>
      <c r="AP1011" s="69"/>
      <c r="AQ1011" s="69"/>
      <c r="AR1011" s="94">
        <f t="shared" si="77"/>
        <v>58.62</v>
      </c>
      <c r="AS1011" s="69">
        <v>35.700000000000003</v>
      </c>
      <c r="AT1011" s="69">
        <v>6.3</v>
      </c>
      <c r="AU1011" s="69">
        <v>14.12</v>
      </c>
      <c r="AV1011" s="69">
        <v>2.5</v>
      </c>
      <c r="AW1011" s="69"/>
      <c r="AX1011" s="69"/>
      <c r="AY1011" s="69"/>
      <c r="AZ1011" s="69"/>
      <c r="BA1011" s="69"/>
      <c r="BB1011" s="69"/>
      <c r="BC1011" s="69"/>
      <c r="BD1011" s="69"/>
      <c r="BE1011" s="69"/>
      <c r="BF1011" s="69"/>
      <c r="BG1011" s="69"/>
      <c r="BH1011" s="69"/>
      <c r="BI1011" s="69"/>
      <c r="BJ1011" s="69"/>
      <c r="BK1011" s="69"/>
      <c r="BL1011" s="69"/>
      <c r="BM1011" s="69"/>
      <c r="BN1011" s="69"/>
      <c r="BO1011" s="69"/>
      <c r="BP1011" s="69"/>
      <c r="BQ1011" s="69"/>
      <c r="BR1011" s="69"/>
      <c r="BS1011" s="69"/>
      <c r="BT1011" s="69"/>
      <c r="BU1011" s="69"/>
      <c r="BV1011" s="69"/>
      <c r="BW1011" s="69"/>
      <c r="BX1011" s="69"/>
      <c r="BY1011" s="69"/>
      <c r="BZ1011" s="69"/>
      <c r="CA1011" s="69"/>
      <c r="CB1011" s="69"/>
      <c r="CC1011" s="69"/>
      <c r="CD1011" s="69"/>
      <c r="CE1011" s="94">
        <f t="shared" si="81"/>
        <v>58.62</v>
      </c>
      <c r="CF1011" s="151">
        <f t="shared" si="88"/>
        <v>0</v>
      </c>
      <c r="CG1011" s="75">
        <f t="shared" si="89"/>
        <v>4856</v>
      </c>
      <c r="CH1011" s="69" t="str">
        <f t="shared" si="89"/>
        <v>خ ت طب</v>
      </c>
    </row>
    <row r="1012" spans="1:86" x14ac:dyDescent="0.25">
      <c r="A1012" s="148"/>
      <c r="B1012" s="82">
        <v>8943</v>
      </c>
      <c r="C1012" s="149">
        <v>4857</v>
      </c>
      <c r="D1012" s="69" t="s">
        <v>130</v>
      </c>
      <c r="E1012" s="69" t="s">
        <v>3415</v>
      </c>
      <c r="F1012" s="63"/>
      <c r="G1012" s="69">
        <v>158.29</v>
      </c>
      <c r="H1012" s="69"/>
      <c r="I1012" s="69"/>
      <c r="J1012" s="69"/>
      <c r="K1012" s="69"/>
      <c r="L1012" s="69"/>
      <c r="M1012" s="69"/>
      <c r="N1012" s="69"/>
      <c r="O1012" s="69"/>
      <c r="P1012" s="69"/>
      <c r="Q1012" s="69"/>
      <c r="R1012" s="69"/>
      <c r="S1012" s="69"/>
      <c r="T1012" s="69"/>
      <c r="U1012" s="69"/>
      <c r="V1012" s="69"/>
      <c r="W1012" s="69"/>
      <c r="X1012" s="69"/>
      <c r="Y1012" s="69"/>
      <c r="Z1012" s="69"/>
      <c r="AA1012" s="69"/>
      <c r="AB1012" s="69"/>
      <c r="AC1012" s="69"/>
      <c r="AD1012" s="69"/>
      <c r="AE1012" s="69"/>
      <c r="AF1012" s="69"/>
      <c r="AG1012" s="69"/>
      <c r="AH1012" s="69"/>
      <c r="AI1012" s="69"/>
      <c r="AJ1012" s="69"/>
      <c r="AK1012" s="69"/>
      <c r="AL1012" s="69"/>
      <c r="AM1012" s="69"/>
      <c r="AN1012" s="69"/>
      <c r="AO1012" s="69"/>
      <c r="AP1012" s="69"/>
      <c r="AQ1012" s="69"/>
      <c r="AR1012" s="94">
        <f t="shared" si="77"/>
        <v>158.29</v>
      </c>
      <c r="AS1012" s="69">
        <v>95.63</v>
      </c>
      <c r="AT1012" s="69">
        <v>17.77</v>
      </c>
      <c r="AU1012" s="69">
        <v>38.14</v>
      </c>
      <c r="AV1012" s="69">
        <v>6.75</v>
      </c>
      <c r="AW1012" s="69"/>
      <c r="AX1012" s="69"/>
      <c r="AY1012" s="69"/>
      <c r="AZ1012" s="69"/>
      <c r="BA1012" s="69"/>
      <c r="BB1012" s="69"/>
      <c r="BC1012" s="69"/>
      <c r="BD1012" s="69"/>
      <c r="BE1012" s="69"/>
      <c r="BF1012" s="69"/>
      <c r="BG1012" s="69"/>
      <c r="BH1012" s="69"/>
      <c r="BI1012" s="69"/>
      <c r="BJ1012" s="69"/>
      <c r="BK1012" s="69"/>
      <c r="BL1012" s="69"/>
      <c r="BM1012" s="69"/>
      <c r="BN1012" s="69"/>
      <c r="BO1012" s="69"/>
      <c r="BP1012" s="69"/>
      <c r="BQ1012" s="69"/>
      <c r="BR1012" s="69"/>
      <c r="BS1012" s="69"/>
      <c r="BT1012" s="69"/>
      <c r="BU1012" s="69"/>
      <c r="BV1012" s="69"/>
      <c r="BW1012" s="69"/>
      <c r="BX1012" s="69"/>
      <c r="BY1012" s="69"/>
      <c r="BZ1012" s="69"/>
      <c r="CA1012" s="69"/>
      <c r="CB1012" s="69"/>
      <c r="CC1012" s="69"/>
      <c r="CD1012" s="69"/>
      <c r="CE1012" s="94">
        <f t="shared" si="81"/>
        <v>158.29</v>
      </c>
      <c r="CF1012" s="151">
        <f t="shared" si="88"/>
        <v>0</v>
      </c>
      <c r="CG1012" s="75">
        <f t="shared" si="89"/>
        <v>4857</v>
      </c>
      <c r="CH1012" s="69" t="str">
        <f t="shared" si="89"/>
        <v>خ ت طب</v>
      </c>
    </row>
    <row r="1013" spans="1:86" x14ac:dyDescent="0.25">
      <c r="A1013" s="148"/>
      <c r="B1013" s="82">
        <v>8942</v>
      </c>
      <c r="C1013" s="149">
        <v>4858</v>
      </c>
      <c r="D1013" s="69" t="s">
        <v>130</v>
      </c>
      <c r="E1013" s="69" t="s">
        <v>3416</v>
      </c>
      <c r="F1013" s="63"/>
      <c r="G1013" s="69">
        <v>93.8</v>
      </c>
      <c r="H1013" s="69"/>
      <c r="I1013" s="69"/>
      <c r="J1013" s="69"/>
      <c r="K1013" s="69"/>
      <c r="L1013" s="69"/>
      <c r="M1013" s="69"/>
      <c r="N1013" s="69"/>
      <c r="O1013" s="69"/>
      <c r="P1013" s="69"/>
      <c r="Q1013" s="69"/>
      <c r="R1013" s="69"/>
      <c r="S1013" s="69"/>
      <c r="T1013" s="69"/>
      <c r="U1013" s="69"/>
      <c r="V1013" s="69"/>
      <c r="W1013" s="69"/>
      <c r="X1013" s="69"/>
      <c r="Y1013" s="69"/>
      <c r="Z1013" s="69"/>
      <c r="AA1013" s="69"/>
      <c r="AB1013" s="69"/>
      <c r="AC1013" s="69"/>
      <c r="AD1013" s="69"/>
      <c r="AE1013" s="69"/>
      <c r="AF1013" s="69"/>
      <c r="AG1013" s="69"/>
      <c r="AH1013" s="69"/>
      <c r="AI1013" s="69"/>
      <c r="AJ1013" s="69"/>
      <c r="AK1013" s="69"/>
      <c r="AL1013" s="69"/>
      <c r="AM1013" s="69"/>
      <c r="AN1013" s="69"/>
      <c r="AO1013" s="69"/>
      <c r="AP1013" s="69"/>
      <c r="AQ1013" s="69"/>
      <c r="AR1013" s="94">
        <f t="shared" si="77"/>
        <v>93.8</v>
      </c>
      <c r="AS1013" s="69">
        <v>58.8</v>
      </c>
      <c r="AT1013" s="69">
        <v>8.4</v>
      </c>
      <c r="AU1013" s="69">
        <v>22.6</v>
      </c>
      <c r="AV1013" s="69">
        <v>4</v>
      </c>
      <c r="AW1013" s="69"/>
      <c r="AX1013" s="69"/>
      <c r="AY1013" s="69"/>
      <c r="AZ1013" s="69"/>
      <c r="BA1013" s="69"/>
      <c r="BB1013" s="69"/>
      <c r="BC1013" s="69"/>
      <c r="BD1013" s="69"/>
      <c r="BE1013" s="69"/>
      <c r="BF1013" s="69"/>
      <c r="BG1013" s="69"/>
      <c r="BH1013" s="69"/>
      <c r="BI1013" s="69"/>
      <c r="BJ1013" s="69"/>
      <c r="BK1013" s="69"/>
      <c r="BL1013" s="69"/>
      <c r="BM1013" s="69"/>
      <c r="BN1013" s="69"/>
      <c r="BO1013" s="69"/>
      <c r="BP1013" s="69"/>
      <c r="BQ1013" s="69"/>
      <c r="BR1013" s="69"/>
      <c r="BS1013" s="69"/>
      <c r="BT1013" s="69"/>
      <c r="BU1013" s="69"/>
      <c r="BV1013" s="69"/>
      <c r="BW1013" s="69"/>
      <c r="BX1013" s="69"/>
      <c r="BY1013" s="69"/>
      <c r="BZ1013" s="69"/>
      <c r="CA1013" s="69"/>
      <c r="CB1013" s="69"/>
      <c r="CC1013" s="69"/>
      <c r="CD1013" s="69"/>
      <c r="CE1013" s="94">
        <f t="shared" si="81"/>
        <v>93.800000000000011</v>
      </c>
      <c r="CF1013" s="151">
        <f t="shared" si="88"/>
        <v>0</v>
      </c>
      <c r="CG1013" s="75">
        <f t="shared" si="89"/>
        <v>4858</v>
      </c>
      <c r="CH1013" s="69" t="str">
        <f t="shared" si="89"/>
        <v>خ ت طب</v>
      </c>
    </row>
    <row r="1014" spans="1:86" x14ac:dyDescent="0.25">
      <c r="A1014" s="148"/>
      <c r="B1014" s="82">
        <v>8941</v>
      </c>
      <c r="C1014" s="149">
        <v>4859</v>
      </c>
      <c r="D1014" s="69" t="s">
        <v>130</v>
      </c>
      <c r="E1014" s="69" t="s">
        <v>3417</v>
      </c>
      <c r="F1014" s="63"/>
      <c r="G1014" s="69">
        <v>140.69999999999999</v>
      </c>
      <c r="H1014" s="69"/>
      <c r="I1014" s="69"/>
      <c r="J1014" s="69"/>
      <c r="K1014" s="69"/>
      <c r="L1014" s="69"/>
      <c r="M1014" s="69"/>
      <c r="N1014" s="69"/>
      <c r="O1014" s="69"/>
      <c r="P1014" s="69"/>
      <c r="Q1014" s="69"/>
      <c r="R1014" s="69"/>
      <c r="S1014" s="69"/>
      <c r="T1014" s="69"/>
      <c r="U1014" s="69"/>
      <c r="V1014" s="69"/>
      <c r="W1014" s="69"/>
      <c r="X1014" s="69"/>
      <c r="Y1014" s="69"/>
      <c r="Z1014" s="69"/>
      <c r="AA1014" s="69"/>
      <c r="AB1014" s="69"/>
      <c r="AC1014" s="69"/>
      <c r="AD1014" s="69"/>
      <c r="AE1014" s="69"/>
      <c r="AF1014" s="69"/>
      <c r="AG1014" s="69"/>
      <c r="AH1014" s="69"/>
      <c r="AI1014" s="69"/>
      <c r="AJ1014" s="69"/>
      <c r="AK1014" s="69"/>
      <c r="AL1014" s="69"/>
      <c r="AM1014" s="69"/>
      <c r="AN1014" s="69"/>
      <c r="AO1014" s="69"/>
      <c r="AP1014" s="69"/>
      <c r="AQ1014" s="69"/>
      <c r="AR1014" s="94">
        <f t="shared" si="77"/>
        <v>140.69999999999999</v>
      </c>
      <c r="AS1014" s="69">
        <v>92.82</v>
      </c>
      <c r="AT1014" s="69">
        <v>7.98</v>
      </c>
      <c r="AU1014" s="69">
        <v>33.9</v>
      </c>
      <c r="AV1014" s="69">
        <v>6</v>
      </c>
      <c r="AW1014" s="69"/>
      <c r="AX1014" s="69"/>
      <c r="AY1014" s="69"/>
      <c r="AZ1014" s="69"/>
      <c r="BA1014" s="69"/>
      <c r="BB1014" s="69"/>
      <c r="BC1014" s="69"/>
      <c r="BD1014" s="69"/>
      <c r="BE1014" s="69"/>
      <c r="BF1014" s="69"/>
      <c r="BG1014" s="69"/>
      <c r="BH1014" s="69"/>
      <c r="BI1014" s="69"/>
      <c r="BJ1014" s="69"/>
      <c r="BK1014" s="69"/>
      <c r="BL1014" s="69"/>
      <c r="BM1014" s="69"/>
      <c r="BN1014" s="69"/>
      <c r="BO1014" s="69"/>
      <c r="BP1014" s="69"/>
      <c r="BQ1014" s="69"/>
      <c r="BR1014" s="69"/>
      <c r="BS1014" s="69"/>
      <c r="BT1014" s="69"/>
      <c r="BU1014" s="69"/>
      <c r="BV1014" s="69"/>
      <c r="BW1014" s="69"/>
      <c r="BX1014" s="69"/>
      <c r="BY1014" s="69"/>
      <c r="BZ1014" s="69"/>
      <c r="CA1014" s="69"/>
      <c r="CB1014" s="69"/>
      <c r="CC1014" s="69"/>
      <c r="CD1014" s="69"/>
      <c r="CE1014" s="94">
        <f t="shared" si="81"/>
        <v>140.69999999999999</v>
      </c>
      <c r="CF1014" s="151">
        <f t="shared" si="88"/>
        <v>0</v>
      </c>
      <c r="CG1014" s="75">
        <f t="shared" si="89"/>
        <v>4859</v>
      </c>
      <c r="CH1014" s="69" t="str">
        <f t="shared" si="89"/>
        <v>خ ت طب</v>
      </c>
    </row>
    <row r="1015" spans="1:86" x14ac:dyDescent="0.25">
      <c r="A1015" s="148"/>
      <c r="B1015" s="82">
        <v>8940</v>
      </c>
      <c r="C1015" s="149">
        <v>4860</v>
      </c>
      <c r="D1015" s="69" t="s">
        <v>130</v>
      </c>
      <c r="E1015" s="69" t="str">
        <f>+E1013</f>
        <v>مكافاه قسم الارشيف اكتوبر</v>
      </c>
      <c r="F1015" s="63"/>
      <c r="G1015" s="69">
        <v>175.88</v>
      </c>
      <c r="H1015" s="69"/>
      <c r="I1015" s="69"/>
      <c r="J1015" s="69"/>
      <c r="K1015" s="69"/>
      <c r="L1015" s="69"/>
      <c r="M1015" s="69"/>
      <c r="N1015" s="69"/>
      <c r="O1015" s="69"/>
      <c r="P1015" s="69"/>
      <c r="Q1015" s="69"/>
      <c r="R1015" s="69"/>
      <c r="S1015" s="69"/>
      <c r="T1015" s="69"/>
      <c r="U1015" s="69"/>
      <c r="V1015" s="69"/>
      <c r="W1015" s="69"/>
      <c r="X1015" s="69"/>
      <c r="Y1015" s="69"/>
      <c r="Z1015" s="69"/>
      <c r="AA1015" s="69"/>
      <c r="AB1015" s="69"/>
      <c r="AC1015" s="69"/>
      <c r="AD1015" s="69"/>
      <c r="AE1015" s="69"/>
      <c r="AF1015" s="69"/>
      <c r="AG1015" s="69"/>
      <c r="AH1015" s="69"/>
      <c r="AI1015" s="69"/>
      <c r="AJ1015" s="69"/>
      <c r="AK1015" s="69"/>
      <c r="AL1015" s="69"/>
      <c r="AM1015" s="69"/>
      <c r="AN1015" s="69"/>
      <c r="AO1015" s="69"/>
      <c r="AP1015" s="69"/>
      <c r="AQ1015" s="69"/>
      <c r="AR1015" s="94">
        <f t="shared" si="77"/>
        <v>175.88</v>
      </c>
      <c r="AS1015" s="69">
        <v>106.68</v>
      </c>
      <c r="AT1015" s="69">
        <v>19.32</v>
      </c>
      <c r="AU1015" s="69">
        <v>42.38</v>
      </c>
      <c r="AV1015" s="69">
        <v>7.5</v>
      </c>
      <c r="AW1015" s="69"/>
      <c r="AX1015" s="69"/>
      <c r="AY1015" s="69"/>
      <c r="AZ1015" s="69"/>
      <c r="BA1015" s="69"/>
      <c r="BB1015" s="69"/>
      <c r="BC1015" s="69"/>
      <c r="BD1015" s="69"/>
      <c r="BE1015" s="69"/>
      <c r="BF1015" s="69"/>
      <c r="BG1015" s="69"/>
      <c r="BH1015" s="69"/>
      <c r="BI1015" s="69"/>
      <c r="BJ1015" s="69"/>
      <c r="BK1015" s="69"/>
      <c r="BL1015" s="69"/>
      <c r="BM1015" s="69"/>
      <c r="BN1015" s="69"/>
      <c r="BO1015" s="69"/>
      <c r="BP1015" s="69"/>
      <c r="BQ1015" s="69"/>
      <c r="BR1015" s="69"/>
      <c r="BS1015" s="69"/>
      <c r="BT1015" s="69"/>
      <c r="BU1015" s="69"/>
      <c r="BV1015" s="69"/>
      <c r="BW1015" s="69"/>
      <c r="BX1015" s="69"/>
      <c r="BY1015" s="69"/>
      <c r="BZ1015" s="69"/>
      <c r="CA1015" s="69"/>
      <c r="CB1015" s="69"/>
      <c r="CC1015" s="69"/>
      <c r="CD1015" s="69"/>
      <c r="CE1015" s="94">
        <f t="shared" si="81"/>
        <v>175.88</v>
      </c>
      <c r="CF1015" s="151">
        <f t="shared" si="88"/>
        <v>0</v>
      </c>
      <c r="CG1015" s="75">
        <f t="shared" si="89"/>
        <v>4860</v>
      </c>
      <c r="CH1015" s="69" t="str">
        <f t="shared" si="89"/>
        <v>خ ت طب</v>
      </c>
    </row>
    <row r="1016" spans="1:86" x14ac:dyDescent="0.25">
      <c r="A1016" s="148"/>
      <c r="B1016" s="82">
        <v>8939</v>
      </c>
      <c r="C1016" s="149">
        <v>4861</v>
      </c>
      <c r="D1016" s="69" t="s">
        <v>130</v>
      </c>
      <c r="E1016" s="69" t="s">
        <v>3418</v>
      </c>
      <c r="F1016" s="63"/>
      <c r="G1016" s="69">
        <v>175.88</v>
      </c>
      <c r="H1016" s="69"/>
      <c r="I1016" s="69"/>
      <c r="J1016" s="69"/>
      <c r="K1016" s="69"/>
      <c r="L1016" s="69"/>
      <c r="M1016" s="69"/>
      <c r="N1016" s="69"/>
      <c r="O1016" s="69"/>
      <c r="P1016" s="69"/>
      <c r="Q1016" s="69"/>
      <c r="R1016" s="69"/>
      <c r="S1016" s="69"/>
      <c r="T1016" s="69"/>
      <c r="U1016" s="69"/>
      <c r="V1016" s="69"/>
      <c r="W1016" s="69"/>
      <c r="X1016" s="69"/>
      <c r="Y1016" s="69"/>
      <c r="Z1016" s="69"/>
      <c r="AA1016" s="69"/>
      <c r="AB1016" s="69"/>
      <c r="AC1016" s="69"/>
      <c r="AD1016" s="69"/>
      <c r="AE1016" s="69"/>
      <c r="AF1016" s="69"/>
      <c r="AG1016" s="69"/>
      <c r="AH1016" s="69"/>
      <c r="AI1016" s="69"/>
      <c r="AJ1016" s="69"/>
      <c r="AK1016" s="69"/>
      <c r="AL1016" s="69"/>
      <c r="AM1016" s="69"/>
      <c r="AN1016" s="69"/>
      <c r="AO1016" s="69"/>
      <c r="AP1016" s="69"/>
      <c r="AQ1016" s="69"/>
      <c r="AR1016" s="94">
        <f t="shared" si="77"/>
        <v>175.88</v>
      </c>
      <c r="AS1016" s="69">
        <v>112.95</v>
      </c>
      <c r="AT1016" s="69">
        <v>13.05</v>
      </c>
      <c r="AU1016" s="69">
        <v>42.38</v>
      </c>
      <c r="AV1016" s="69">
        <v>7.5</v>
      </c>
      <c r="AW1016" s="69"/>
      <c r="AX1016" s="69"/>
      <c r="AY1016" s="69"/>
      <c r="AZ1016" s="69"/>
      <c r="BA1016" s="69"/>
      <c r="BB1016" s="69"/>
      <c r="BC1016" s="69"/>
      <c r="BD1016" s="69"/>
      <c r="BE1016" s="69"/>
      <c r="BF1016" s="69"/>
      <c r="BG1016" s="69"/>
      <c r="BH1016" s="69"/>
      <c r="BI1016" s="69"/>
      <c r="BJ1016" s="69"/>
      <c r="BK1016" s="69"/>
      <c r="BL1016" s="69"/>
      <c r="BM1016" s="69"/>
      <c r="BN1016" s="69"/>
      <c r="BO1016" s="69"/>
      <c r="BP1016" s="69"/>
      <c r="BQ1016" s="69"/>
      <c r="BR1016" s="69"/>
      <c r="BS1016" s="69"/>
      <c r="BT1016" s="69"/>
      <c r="BU1016" s="69"/>
      <c r="BV1016" s="69"/>
      <c r="BW1016" s="69"/>
      <c r="BX1016" s="69"/>
      <c r="BY1016" s="69"/>
      <c r="BZ1016" s="69"/>
      <c r="CA1016" s="69"/>
      <c r="CB1016" s="69"/>
      <c r="CC1016" s="69"/>
      <c r="CD1016" s="69"/>
      <c r="CE1016" s="94">
        <f t="shared" si="81"/>
        <v>175.88</v>
      </c>
      <c r="CF1016" s="151">
        <f t="shared" si="88"/>
        <v>0</v>
      </c>
      <c r="CG1016" s="75">
        <f t="shared" si="89"/>
        <v>4861</v>
      </c>
      <c r="CH1016" s="69" t="str">
        <f t="shared" si="89"/>
        <v>خ ت طب</v>
      </c>
    </row>
    <row r="1017" spans="1:86" x14ac:dyDescent="0.25">
      <c r="A1017" s="148"/>
      <c r="B1017" s="82">
        <v>8938</v>
      </c>
      <c r="C1017" s="149">
        <v>4862</v>
      </c>
      <c r="D1017" s="69" t="s">
        <v>130</v>
      </c>
      <c r="E1017" s="69" t="s">
        <v>3419</v>
      </c>
      <c r="F1017" s="63"/>
      <c r="G1017" s="69">
        <v>87.94</v>
      </c>
      <c r="H1017" s="69"/>
      <c r="I1017" s="69"/>
      <c r="J1017" s="69"/>
      <c r="K1017" s="69"/>
      <c r="L1017" s="69"/>
      <c r="M1017" s="69"/>
      <c r="N1017" s="69"/>
      <c r="O1017" s="69"/>
      <c r="P1017" s="69"/>
      <c r="Q1017" s="69"/>
      <c r="R1017" s="69"/>
      <c r="S1017" s="69"/>
      <c r="T1017" s="69"/>
      <c r="U1017" s="69"/>
      <c r="V1017" s="69"/>
      <c r="W1017" s="69"/>
      <c r="X1017" s="69"/>
      <c r="Y1017" s="69"/>
      <c r="Z1017" s="69"/>
      <c r="AA1017" s="69"/>
      <c r="AB1017" s="69"/>
      <c r="AC1017" s="69"/>
      <c r="AD1017" s="69"/>
      <c r="AE1017" s="69"/>
      <c r="AF1017" s="69"/>
      <c r="AG1017" s="69"/>
      <c r="AH1017" s="69"/>
      <c r="AI1017" s="69"/>
      <c r="AJ1017" s="69"/>
      <c r="AK1017" s="69"/>
      <c r="AL1017" s="69"/>
      <c r="AM1017" s="69"/>
      <c r="AN1017" s="69"/>
      <c r="AO1017" s="69"/>
      <c r="AP1017" s="69"/>
      <c r="AQ1017" s="69"/>
      <c r="AR1017" s="94">
        <f t="shared" si="77"/>
        <v>87.94</v>
      </c>
      <c r="AS1017" s="69">
        <v>53.46</v>
      </c>
      <c r="AT1017" s="69">
        <v>9.5399999999999991</v>
      </c>
      <c r="AU1017" s="69">
        <v>21.19</v>
      </c>
      <c r="AV1017" s="69">
        <v>3.75</v>
      </c>
      <c r="AW1017" s="69"/>
      <c r="AX1017" s="69"/>
      <c r="AY1017" s="69"/>
      <c r="AZ1017" s="69"/>
      <c r="BA1017" s="69"/>
      <c r="BB1017" s="69"/>
      <c r="BC1017" s="69"/>
      <c r="BD1017" s="69"/>
      <c r="BE1017" s="69"/>
      <c r="BF1017" s="69"/>
      <c r="BG1017" s="69"/>
      <c r="BH1017" s="69"/>
      <c r="BI1017" s="69"/>
      <c r="BJ1017" s="69"/>
      <c r="BK1017" s="69"/>
      <c r="BL1017" s="69"/>
      <c r="BM1017" s="69"/>
      <c r="BN1017" s="69"/>
      <c r="BO1017" s="69"/>
      <c r="BP1017" s="69"/>
      <c r="BQ1017" s="69"/>
      <c r="BR1017" s="69"/>
      <c r="BS1017" s="69"/>
      <c r="BT1017" s="69"/>
      <c r="BU1017" s="69"/>
      <c r="BV1017" s="69"/>
      <c r="BW1017" s="69"/>
      <c r="BX1017" s="69"/>
      <c r="BY1017" s="69"/>
      <c r="BZ1017" s="69"/>
      <c r="CA1017" s="69"/>
      <c r="CB1017" s="69"/>
      <c r="CC1017" s="69"/>
      <c r="CD1017" s="69"/>
      <c r="CE1017" s="94">
        <f t="shared" si="81"/>
        <v>87.94</v>
      </c>
      <c r="CF1017" s="151">
        <f t="shared" si="88"/>
        <v>0</v>
      </c>
      <c r="CG1017" s="75">
        <f t="shared" si="89"/>
        <v>4862</v>
      </c>
      <c r="CH1017" s="69" t="str">
        <f t="shared" si="89"/>
        <v>خ ت طب</v>
      </c>
    </row>
    <row r="1018" spans="1:86" x14ac:dyDescent="0.25">
      <c r="A1018" s="148"/>
      <c r="B1018" s="82">
        <v>8937</v>
      </c>
      <c r="C1018" s="149">
        <v>4863</v>
      </c>
      <c r="D1018" s="69" t="s">
        <v>130</v>
      </c>
      <c r="E1018" s="69" t="s">
        <v>3420</v>
      </c>
      <c r="F1018" s="63"/>
      <c r="G1018" s="69">
        <v>311.12</v>
      </c>
      <c r="H1018" s="69"/>
      <c r="I1018" s="69"/>
      <c r="J1018" s="69"/>
      <c r="K1018" s="69"/>
      <c r="L1018" s="69"/>
      <c r="M1018" s="69"/>
      <c r="N1018" s="69"/>
      <c r="O1018" s="69"/>
      <c r="P1018" s="69"/>
      <c r="Q1018" s="69"/>
      <c r="R1018" s="69"/>
      <c r="S1018" s="69"/>
      <c r="T1018" s="69"/>
      <c r="U1018" s="69"/>
      <c r="V1018" s="69"/>
      <c r="W1018" s="69"/>
      <c r="X1018" s="69"/>
      <c r="Y1018" s="69"/>
      <c r="Z1018" s="69"/>
      <c r="AA1018" s="69"/>
      <c r="AB1018" s="69"/>
      <c r="AC1018" s="69"/>
      <c r="AD1018" s="69"/>
      <c r="AE1018" s="69"/>
      <c r="AF1018" s="69"/>
      <c r="AG1018" s="69"/>
      <c r="AH1018" s="69"/>
      <c r="AI1018" s="69"/>
      <c r="AJ1018" s="69"/>
      <c r="AK1018" s="69"/>
      <c r="AL1018" s="69"/>
      <c r="AM1018" s="69"/>
      <c r="AN1018" s="69"/>
      <c r="AO1018" s="69"/>
      <c r="AP1018" s="69"/>
      <c r="AQ1018" s="69"/>
      <c r="AR1018" s="94">
        <f t="shared" si="77"/>
        <v>311.12</v>
      </c>
      <c r="AS1018" s="69">
        <v>195.32</v>
      </c>
      <c r="AT1018" s="69">
        <v>27.57</v>
      </c>
      <c r="AU1018" s="69">
        <v>74.95</v>
      </c>
      <c r="AV1018" s="69">
        <v>13.28</v>
      </c>
      <c r="AW1018" s="69"/>
      <c r="AX1018" s="69"/>
      <c r="AY1018" s="69"/>
      <c r="AZ1018" s="69"/>
      <c r="BA1018" s="69"/>
      <c r="BB1018" s="69"/>
      <c r="BC1018" s="69"/>
      <c r="BD1018" s="69"/>
      <c r="BE1018" s="69"/>
      <c r="BF1018" s="69"/>
      <c r="BG1018" s="69"/>
      <c r="BH1018" s="69"/>
      <c r="BI1018" s="69"/>
      <c r="BJ1018" s="69"/>
      <c r="BK1018" s="69"/>
      <c r="BL1018" s="69"/>
      <c r="BM1018" s="69"/>
      <c r="BN1018" s="69"/>
      <c r="BO1018" s="69"/>
      <c r="BP1018" s="69"/>
      <c r="BQ1018" s="69"/>
      <c r="BR1018" s="69"/>
      <c r="BS1018" s="69"/>
      <c r="BT1018" s="69"/>
      <c r="BU1018" s="69"/>
      <c r="BV1018" s="69"/>
      <c r="BW1018" s="69"/>
      <c r="BX1018" s="69"/>
      <c r="BY1018" s="69"/>
      <c r="BZ1018" s="69"/>
      <c r="CA1018" s="69"/>
      <c r="CB1018" s="69"/>
      <c r="CC1018" s="69"/>
      <c r="CD1018" s="69"/>
      <c r="CE1018" s="94">
        <f t="shared" si="81"/>
        <v>311.11999999999995</v>
      </c>
      <c r="CF1018" s="151">
        <f t="shared" si="88"/>
        <v>0</v>
      </c>
      <c r="CG1018" s="75">
        <f t="shared" si="89"/>
        <v>4863</v>
      </c>
      <c r="CH1018" s="69" t="str">
        <f t="shared" si="89"/>
        <v>خ ت طب</v>
      </c>
    </row>
    <row r="1019" spans="1:86" x14ac:dyDescent="0.25">
      <c r="A1019" s="148"/>
      <c r="B1019" s="82">
        <v>8936</v>
      </c>
      <c r="C1019" s="149">
        <v>4864</v>
      </c>
      <c r="D1019" s="69" t="s">
        <v>130</v>
      </c>
      <c r="E1019" s="69" t="s">
        <v>3421</v>
      </c>
      <c r="F1019" s="63"/>
      <c r="G1019" s="69">
        <v>2000</v>
      </c>
      <c r="H1019" s="69"/>
      <c r="I1019" s="69"/>
      <c r="J1019" s="69"/>
      <c r="K1019" s="69"/>
      <c r="L1019" s="69"/>
      <c r="M1019" s="69"/>
      <c r="N1019" s="69"/>
      <c r="O1019" s="69"/>
      <c r="P1019" s="69"/>
      <c r="Q1019" s="69"/>
      <c r="R1019" s="69"/>
      <c r="S1019" s="69"/>
      <c r="T1019" s="69"/>
      <c r="U1019" s="69"/>
      <c r="V1019" s="69"/>
      <c r="W1019" s="69"/>
      <c r="X1019" s="69"/>
      <c r="Y1019" s="69"/>
      <c r="Z1019" s="69"/>
      <c r="AA1019" s="69"/>
      <c r="AB1019" s="69"/>
      <c r="AC1019" s="69"/>
      <c r="AD1019" s="69"/>
      <c r="AE1019" s="69"/>
      <c r="AF1019" s="69"/>
      <c r="AG1019" s="69"/>
      <c r="AH1019" s="69"/>
      <c r="AI1019" s="69"/>
      <c r="AJ1019" s="69"/>
      <c r="AK1019" s="69"/>
      <c r="AL1019" s="69"/>
      <c r="AM1019" s="69"/>
      <c r="AN1019" s="69"/>
      <c r="AO1019" s="69"/>
      <c r="AP1019" s="69"/>
      <c r="AQ1019" s="69"/>
      <c r="AR1019" s="94">
        <f t="shared" si="77"/>
        <v>2000</v>
      </c>
      <c r="AS1019" s="69">
        <v>1603.7</v>
      </c>
      <c r="AT1019" s="69">
        <v>296.3</v>
      </c>
      <c r="AU1019" s="69"/>
      <c r="AV1019" s="69">
        <v>100</v>
      </c>
      <c r="AW1019" s="69"/>
      <c r="AX1019" s="69"/>
      <c r="AY1019" s="69"/>
      <c r="AZ1019" s="69"/>
      <c r="BA1019" s="69"/>
      <c r="BB1019" s="69"/>
      <c r="BC1019" s="69"/>
      <c r="BD1019" s="69"/>
      <c r="BE1019" s="69"/>
      <c r="BF1019" s="69"/>
      <c r="BG1019" s="69"/>
      <c r="BH1019" s="69"/>
      <c r="BI1019" s="69"/>
      <c r="BJ1019" s="69"/>
      <c r="BK1019" s="69"/>
      <c r="BL1019" s="69"/>
      <c r="BM1019" s="69"/>
      <c r="BN1019" s="69"/>
      <c r="BO1019" s="69"/>
      <c r="BP1019" s="69"/>
      <c r="BQ1019" s="69"/>
      <c r="BR1019" s="69"/>
      <c r="BS1019" s="69"/>
      <c r="BT1019" s="69"/>
      <c r="BU1019" s="69"/>
      <c r="BV1019" s="69"/>
      <c r="BW1019" s="69"/>
      <c r="BX1019" s="69"/>
      <c r="BY1019" s="69"/>
      <c r="BZ1019" s="69"/>
      <c r="CA1019" s="69"/>
      <c r="CB1019" s="69"/>
      <c r="CC1019" s="69"/>
      <c r="CD1019" s="69"/>
      <c r="CE1019" s="94">
        <f t="shared" si="81"/>
        <v>2000</v>
      </c>
      <c r="CF1019" s="151">
        <f t="shared" si="88"/>
        <v>0</v>
      </c>
      <c r="CG1019" s="75">
        <f t="shared" si="89"/>
        <v>4864</v>
      </c>
      <c r="CH1019" s="69" t="str">
        <f t="shared" si="89"/>
        <v>خ ت طب</v>
      </c>
    </row>
    <row r="1020" spans="1:86" x14ac:dyDescent="0.25">
      <c r="A1020" s="148"/>
      <c r="B1020" s="82">
        <v>8968</v>
      </c>
      <c r="C1020" s="149">
        <v>4865</v>
      </c>
      <c r="D1020" s="69" t="s">
        <v>130</v>
      </c>
      <c r="E1020" s="69" t="s">
        <v>3422</v>
      </c>
      <c r="F1020" s="63"/>
      <c r="G1020" s="69">
        <v>1050.46</v>
      </c>
      <c r="H1020" s="69"/>
      <c r="I1020" s="69"/>
      <c r="J1020" s="69"/>
      <c r="K1020" s="69"/>
      <c r="L1020" s="69"/>
      <c r="M1020" s="69"/>
      <c r="N1020" s="69"/>
      <c r="O1020" s="69"/>
      <c r="P1020" s="69"/>
      <c r="Q1020" s="69"/>
      <c r="R1020" s="69"/>
      <c r="S1020" s="69"/>
      <c r="T1020" s="69"/>
      <c r="U1020" s="69"/>
      <c r="V1020" s="69"/>
      <c r="W1020" s="69"/>
      <c r="X1020" s="69"/>
      <c r="Y1020" s="69"/>
      <c r="Z1020" s="69"/>
      <c r="AA1020" s="69"/>
      <c r="AB1020" s="69"/>
      <c r="AC1020" s="69"/>
      <c r="AD1020" s="69"/>
      <c r="AE1020" s="69"/>
      <c r="AF1020" s="69"/>
      <c r="AG1020" s="69"/>
      <c r="AH1020" s="69"/>
      <c r="AI1020" s="69"/>
      <c r="AJ1020" s="69"/>
      <c r="AK1020" s="69"/>
      <c r="AL1020" s="69"/>
      <c r="AM1020" s="69"/>
      <c r="AN1020" s="69"/>
      <c r="AO1020" s="69"/>
      <c r="AP1020" s="69"/>
      <c r="AQ1020" s="69"/>
      <c r="AR1020" s="94">
        <f t="shared" si="77"/>
        <v>1050.46</v>
      </c>
      <c r="AS1020" s="69">
        <v>633.16999999999996</v>
      </c>
      <c r="AT1020" s="69">
        <v>119.39</v>
      </c>
      <c r="AU1020" s="69">
        <v>253.11</v>
      </c>
      <c r="AV1020" s="69">
        <v>44.79</v>
      </c>
      <c r="AW1020" s="69"/>
      <c r="AX1020" s="69"/>
      <c r="AY1020" s="69"/>
      <c r="AZ1020" s="69"/>
      <c r="BA1020" s="69"/>
      <c r="BB1020" s="69"/>
      <c r="BC1020" s="69"/>
      <c r="BD1020" s="69"/>
      <c r="BE1020" s="69"/>
      <c r="BF1020" s="69"/>
      <c r="BG1020" s="69"/>
      <c r="BH1020" s="69"/>
      <c r="BI1020" s="69"/>
      <c r="BJ1020" s="69"/>
      <c r="BK1020" s="69"/>
      <c r="BL1020" s="69"/>
      <c r="BM1020" s="69"/>
      <c r="BN1020" s="69"/>
      <c r="BO1020" s="69"/>
      <c r="BP1020" s="69"/>
      <c r="BQ1020" s="69"/>
      <c r="BR1020" s="69"/>
      <c r="BS1020" s="69"/>
      <c r="BT1020" s="69"/>
      <c r="BU1020" s="69"/>
      <c r="BV1020" s="69"/>
      <c r="BW1020" s="69"/>
      <c r="BX1020" s="69"/>
      <c r="BY1020" s="69"/>
      <c r="BZ1020" s="69"/>
      <c r="CA1020" s="69"/>
      <c r="CB1020" s="69"/>
      <c r="CC1020" s="69"/>
      <c r="CD1020" s="69"/>
      <c r="CE1020" s="94">
        <f t="shared" si="81"/>
        <v>1050.46</v>
      </c>
      <c r="CF1020" s="151">
        <f t="shared" si="88"/>
        <v>0</v>
      </c>
      <c r="CG1020" s="75">
        <f t="shared" si="89"/>
        <v>4865</v>
      </c>
      <c r="CH1020" s="69" t="str">
        <f t="shared" si="89"/>
        <v>خ ت طب</v>
      </c>
    </row>
    <row r="1021" spans="1:86" x14ac:dyDescent="0.25">
      <c r="A1021" s="148">
        <v>1</v>
      </c>
      <c r="B1021" s="82">
        <v>8967</v>
      </c>
      <c r="C1021" s="149">
        <v>4866</v>
      </c>
      <c r="D1021" s="69" t="s">
        <v>130</v>
      </c>
      <c r="E1021" s="69" t="s">
        <v>3422</v>
      </c>
      <c r="F1021" s="63"/>
      <c r="G1021" s="69">
        <v>515.9</v>
      </c>
      <c r="H1021" s="69"/>
      <c r="I1021" s="69"/>
      <c r="J1021" s="69"/>
      <c r="K1021" s="69"/>
      <c r="L1021" s="69"/>
      <c r="M1021" s="69"/>
      <c r="N1021" s="69"/>
      <c r="O1021" s="69"/>
      <c r="P1021" s="69"/>
      <c r="Q1021" s="69"/>
      <c r="R1021" s="69"/>
      <c r="S1021" s="69"/>
      <c r="T1021" s="69"/>
      <c r="U1021" s="69"/>
      <c r="V1021" s="69"/>
      <c r="W1021" s="69"/>
      <c r="X1021" s="69"/>
      <c r="Y1021" s="69"/>
      <c r="Z1021" s="69"/>
      <c r="AA1021" s="69"/>
      <c r="AB1021" s="69"/>
      <c r="AC1021" s="69"/>
      <c r="AD1021" s="69"/>
      <c r="AE1021" s="69"/>
      <c r="AF1021" s="69"/>
      <c r="AG1021" s="69"/>
      <c r="AH1021" s="69"/>
      <c r="AI1021" s="69"/>
      <c r="AJ1021" s="69"/>
      <c r="AK1021" s="69"/>
      <c r="AL1021" s="69"/>
      <c r="AM1021" s="69"/>
      <c r="AN1021" s="69"/>
      <c r="AO1021" s="69"/>
      <c r="AP1021" s="69"/>
      <c r="AQ1021" s="69"/>
      <c r="AR1021" s="94">
        <f t="shared" si="77"/>
        <v>515.9</v>
      </c>
      <c r="AS1021" s="69">
        <v>342.72</v>
      </c>
      <c r="AT1021" s="69">
        <v>26.88</v>
      </c>
      <c r="AU1021" s="69">
        <v>124.3</v>
      </c>
      <c r="AV1021" s="69">
        <v>22</v>
      </c>
      <c r="AW1021" s="69"/>
      <c r="AX1021" s="69"/>
      <c r="AY1021" s="69"/>
      <c r="AZ1021" s="69"/>
      <c r="BA1021" s="69"/>
      <c r="BB1021" s="69"/>
      <c r="BC1021" s="69"/>
      <c r="BD1021" s="69"/>
      <c r="BE1021" s="69"/>
      <c r="BF1021" s="69"/>
      <c r="BG1021" s="69"/>
      <c r="BH1021" s="69"/>
      <c r="BI1021" s="69"/>
      <c r="BJ1021" s="69"/>
      <c r="BK1021" s="69"/>
      <c r="BL1021" s="69"/>
      <c r="BM1021" s="69"/>
      <c r="BN1021" s="69"/>
      <c r="BO1021" s="69"/>
      <c r="BP1021" s="69"/>
      <c r="BQ1021" s="69"/>
      <c r="BR1021" s="69"/>
      <c r="BS1021" s="69"/>
      <c r="BT1021" s="69"/>
      <c r="BU1021" s="69"/>
      <c r="BV1021" s="69"/>
      <c r="BW1021" s="69"/>
      <c r="BX1021" s="69"/>
      <c r="BY1021" s="69"/>
      <c r="BZ1021" s="69"/>
      <c r="CA1021" s="69"/>
      <c r="CB1021" s="69"/>
      <c r="CC1021" s="69"/>
      <c r="CD1021" s="69"/>
      <c r="CE1021" s="94">
        <f t="shared" si="81"/>
        <v>515.90000000000009</v>
      </c>
      <c r="CF1021" s="151">
        <f t="shared" si="88"/>
        <v>0</v>
      </c>
      <c r="CG1021" s="75">
        <f t="shared" si="89"/>
        <v>4866</v>
      </c>
      <c r="CH1021" s="69" t="str">
        <f t="shared" si="89"/>
        <v>خ ت طب</v>
      </c>
    </row>
    <row r="1022" spans="1:86" x14ac:dyDescent="0.25">
      <c r="A1022" s="148">
        <v>2</v>
      </c>
      <c r="B1022" s="82">
        <v>8966</v>
      </c>
      <c r="C1022" s="149">
        <v>4867</v>
      </c>
      <c r="D1022" s="69" t="s">
        <v>130</v>
      </c>
      <c r="E1022" s="69" t="s">
        <v>3422</v>
      </c>
      <c r="F1022" s="63"/>
      <c r="G1022" s="69">
        <v>164.15</v>
      </c>
      <c r="H1022" s="69"/>
      <c r="I1022" s="69"/>
      <c r="J1022" s="69"/>
      <c r="K1022" s="69"/>
      <c r="L1022" s="69"/>
      <c r="M1022" s="69"/>
      <c r="N1022" s="69"/>
      <c r="O1022" s="69"/>
      <c r="P1022" s="69"/>
      <c r="Q1022" s="69"/>
      <c r="R1022" s="69"/>
      <c r="S1022" s="69"/>
      <c r="T1022" s="69"/>
      <c r="U1022" s="69"/>
      <c r="V1022" s="69"/>
      <c r="W1022" s="69"/>
      <c r="X1022" s="69"/>
      <c r="Y1022" s="69"/>
      <c r="Z1022" s="69"/>
      <c r="AA1022" s="69"/>
      <c r="AB1022" s="69"/>
      <c r="AC1022" s="69"/>
      <c r="AD1022" s="69"/>
      <c r="AE1022" s="69"/>
      <c r="AF1022" s="69"/>
      <c r="AG1022" s="69"/>
      <c r="AH1022" s="69"/>
      <c r="AI1022" s="69"/>
      <c r="AJ1022" s="69"/>
      <c r="AK1022" s="69"/>
      <c r="AL1022" s="69"/>
      <c r="AM1022" s="69"/>
      <c r="AN1022" s="69"/>
      <c r="AO1022" s="69"/>
      <c r="AP1022" s="69"/>
      <c r="AQ1022" s="69"/>
      <c r="AR1022" s="94">
        <f t="shared" si="77"/>
        <v>164.15</v>
      </c>
      <c r="AS1022" s="69">
        <v>99.92</v>
      </c>
      <c r="AT1022" s="69">
        <v>17.68</v>
      </c>
      <c r="AU1022" s="69">
        <v>39.549999999999997</v>
      </c>
      <c r="AV1022" s="69">
        <v>7</v>
      </c>
      <c r="AW1022" s="69"/>
      <c r="AX1022" s="69"/>
      <c r="AY1022" s="69"/>
      <c r="AZ1022" s="69"/>
      <c r="BA1022" s="69"/>
      <c r="BB1022" s="69"/>
      <c r="BC1022" s="69"/>
      <c r="BD1022" s="69"/>
      <c r="BE1022" s="69"/>
      <c r="BF1022" s="69"/>
      <c r="BG1022" s="69"/>
      <c r="BH1022" s="69"/>
      <c r="BI1022" s="69"/>
      <c r="BJ1022" s="69"/>
      <c r="BK1022" s="69"/>
      <c r="BL1022" s="69"/>
      <c r="BM1022" s="69"/>
      <c r="BN1022" s="69"/>
      <c r="BO1022" s="69"/>
      <c r="BP1022" s="69"/>
      <c r="BQ1022" s="69"/>
      <c r="BR1022" s="69"/>
      <c r="BS1022" s="69"/>
      <c r="BT1022" s="69"/>
      <c r="BU1022" s="69"/>
      <c r="BV1022" s="69"/>
      <c r="BW1022" s="69"/>
      <c r="BX1022" s="69"/>
      <c r="BY1022" s="69"/>
      <c r="BZ1022" s="69"/>
      <c r="CA1022" s="69"/>
      <c r="CB1022" s="69"/>
      <c r="CC1022" s="69"/>
      <c r="CD1022" s="69"/>
      <c r="CE1022" s="94">
        <f t="shared" si="81"/>
        <v>164.14999999999998</v>
      </c>
      <c r="CF1022" s="151">
        <f t="shared" si="88"/>
        <v>0</v>
      </c>
      <c r="CG1022" s="75">
        <f t="shared" si="89"/>
        <v>4867</v>
      </c>
      <c r="CH1022" s="69" t="str">
        <f t="shared" si="89"/>
        <v>خ ت طب</v>
      </c>
    </row>
    <row r="1023" spans="1:86" x14ac:dyDescent="0.25">
      <c r="A1023" s="148">
        <v>3</v>
      </c>
      <c r="B1023" s="82">
        <v>8965</v>
      </c>
      <c r="C1023" s="149">
        <v>4868</v>
      </c>
      <c r="D1023" s="69" t="s">
        <v>130</v>
      </c>
      <c r="E1023" s="69" t="s">
        <v>3423</v>
      </c>
      <c r="F1023" s="63"/>
      <c r="G1023" s="69">
        <v>515.91</v>
      </c>
      <c r="H1023" s="69"/>
      <c r="I1023" s="69"/>
      <c r="J1023" s="69"/>
      <c r="K1023" s="69"/>
      <c r="L1023" s="69"/>
      <c r="M1023" s="69"/>
      <c r="N1023" s="69"/>
      <c r="O1023" s="69"/>
      <c r="P1023" s="69"/>
      <c r="Q1023" s="69"/>
      <c r="R1023" s="69"/>
      <c r="S1023" s="69"/>
      <c r="T1023" s="69"/>
      <c r="U1023" s="69"/>
      <c r="V1023" s="69"/>
      <c r="W1023" s="69"/>
      <c r="X1023" s="69"/>
      <c r="Y1023" s="69"/>
      <c r="Z1023" s="69"/>
      <c r="AA1023" s="69"/>
      <c r="AB1023" s="69"/>
      <c r="AC1023" s="69"/>
      <c r="AD1023" s="69"/>
      <c r="AE1023" s="69"/>
      <c r="AF1023" s="69"/>
      <c r="AG1023" s="69"/>
      <c r="AH1023" s="69"/>
      <c r="AI1023" s="69"/>
      <c r="AJ1023" s="69"/>
      <c r="AK1023" s="69"/>
      <c r="AL1023" s="69"/>
      <c r="AM1023" s="69"/>
      <c r="AN1023" s="69"/>
      <c r="AO1023" s="69"/>
      <c r="AP1023" s="69"/>
      <c r="AQ1023" s="69"/>
      <c r="AR1023" s="94">
        <f t="shared" si="77"/>
        <v>515.91</v>
      </c>
      <c r="AS1023" s="69">
        <v>313.35000000000002</v>
      </c>
      <c r="AT1023" s="69">
        <v>56.25</v>
      </c>
      <c r="AU1023" s="69">
        <v>124.31</v>
      </c>
      <c r="AV1023" s="69">
        <v>22</v>
      </c>
      <c r="AW1023" s="69"/>
      <c r="AX1023" s="69"/>
      <c r="AY1023" s="69"/>
      <c r="AZ1023" s="69"/>
      <c r="BA1023" s="69"/>
      <c r="BB1023" s="69"/>
      <c r="BC1023" s="69"/>
      <c r="BD1023" s="69"/>
      <c r="BE1023" s="69"/>
      <c r="BF1023" s="69"/>
      <c r="BG1023" s="69"/>
      <c r="BH1023" s="69"/>
      <c r="BI1023" s="69"/>
      <c r="BJ1023" s="69"/>
      <c r="BK1023" s="69"/>
      <c r="BL1023" s="69"/>
      <c r="BM1023" s="69"/>
      <c r="BN1023" s="69"/>
      <c r="BO1023" s="69"/>
      <c r="BP1023" s="69"/>
      <c r="BQ1023" s="69"/>
      <c r="BR1023" s="69"/>
      <c r="BS1023" s="69"/>
      <c r="BT1023" s="69"/>
      <c r="BU1023" s="69"/>
      <c r="BV1023" s="69"/>
      <c r="BW1023" s="69"/>
      <c r="BX1023" s="69"/>
      <c r="BY1023" s="69"/>
      <c r="BZ1023" s="69"/>
      <c r="CA1023" s="69"/>
      <c r="CB1023" s="69"/>
      <c r="CC1023" s="69"/>
      <c r="CD1023" s="69"/>
      <c r="CE1023" s="94">
        <f t="shared" si="81"/>
        <v>515.91000000000008</v>
      </c>
      <c r="CF1023" s="151">
        <f t="shared" si="88"/>
        <v>0</v>
      </c>
      <c r="CG1023" s="75">
        <f t="shared" si="89"/>
        <v>4868</v>
      </c>
      <c r="CH1023" s="69" t="str">
        <f t="shared" si="89"/>
        <v>خ ت طب</v>
      </c>
    </row>
    <row r="1024" spans="1:86" x14ac:dyDescent="0.25">
      <c r="A1024" s="148">
        <v>4</v>
      </c>
      <c r="B1024" s="82">
        <v>8964</v>
      </c>
      <c r="C1024" s="149">
        <v>4869</v>
      </c>
      <c r="D1024" s="69" t="s">
        <v>130</v>
      </c>
      <c r="E1024" s="69" t="s">
        <v>3423</v>
      </c>
      <c r="F1024" s="63"/>
      <c r="G1024" s="69">
        <v>689.5</v>
      </c>
      <c r="H1024" s="69"/>
      <c r="I1024" s="69"/>
      <c r="J1024" s="69"/>
      <c r="K1024" s="69"/>
      <c r="L1024" s="69"/>
      <c r="M1024" s="69"/>
      <c r="N1024" s="69"/>
      <c r="O1024" s="69"/>
      <c r="P1024" s="69"/>
      <c r="Q1024" s="69"/>
      <c r="R1024" s="69"/>
      <c r="S1024" s="69"/>
      <c r="T1024" s="69"/>
      <c r="U1024" s="69"/>
      <c r="V1024" s="69"/>
      <c r="W1024" s="69"/>
      <c r="X1024" s="69"/>
      <c r="Y1024" s="69"/>
      <c r="Z1024" s="69"/>
      <c r="AA1024" s="69"/>
      <c r="AB1024" s="69"/>
      <c r="AC1024" s="69"/>
      <c r="AD1024" s="69"/>
      <c r="AE1024" s="69"/>
      <c r="AF1024" s="69"/>
      <c r="AG1024" s="69"/>
      <c r="AH1024" s="69"/>
      <c r="AI1024" s="69"/>
      <c r="AJ1024" s="69"/>
      <c r="AK1024" s="69"/>
      <c r="AL1024" s="69"/>
      <c r="AM1024" s="69"/>
      <c r="AN1024" s="69"/>
      <c r="AO1024" s="69"/>
      <c r="AP1024" s="69"/>
      <c r="AQ1024" s="69"/>
      <c r="AR1024" s="94">
        <f t="shared" si="77"/>
        <v>689.5</v>
      </c>
      <c r="AS1024" s="69">
        <v>459.27</v>
      </c>
      <c r="AT1024" s="69">
        <v>31.43</v>
      </c>
      <c r="AU1024" s="69">
        <v>169.5</v>
      </c>
      <c r="AV1024" s="69">
        <v>29.3</v>
      </c>
      <c r="AW1024" s="69"/>
      <c r="AX1024" s="69"/>
      <c r="AY1024" s="69"/>
      <c r="AZ1024" s="69"/>
      <c r="BA1024" s="69"/>
      <c r="BB1024" s="69"/>
      <c r="BC1024" s="69"/>
      <c r="BD1024" s="69"/>
      <c r="BE1024" s="69"/>
      <c r="BF1024" s="69"/>
      <c r="BG1024" s="69"/>
      <c r="BH1024" s="69"/>
      <c r="BI1024" s="69"/>
      <c r="BJ1024" s="69"/>
      <c r="BK1024" s="69"/>
      <c r="BL1024" s="69"/>
      <c r="BM1024" s="69"/>
      <c r="BN1024" s="69"/>
      <c r="BO1024" s="69"/>
      <c r="BP1024" s="69"/>
      <c r="BQ1024" s="69"/>
      <c r="BR1024" s="69"/>
      <c r="BS1024" s="69"/>
      <c r="BT1024" s="69"/>
      <c r="BU1024" s="69"/>
      <c r="BV1024" s="69"/>
      <c r="BW1024" s="69"/>
      <c r="BX1024" s="69"/>
      <c r="BY1024" s="69"/>
      <c r="BZ1024" s="69"/>
      <c r="CA1024" s="69"/>
      <c r="CB1024" s="69"/>
      <c r="CC1024" s="69"/>
      <c r="CD1024" s="69"/>
      <c r="CE1024" s="94">
        <f t="shared" si="81"/>
        <v>689.5</v>
      </c>
      <c r="CF1024" s="151">
        <f t="shared" si="88"/>
        <v>0</v>
      </c>
      <c r="CG1024" s="75">
        <f t="shared" ref="CG1024:CH1039" si="90">+C1024</f>
        <v>4869</v>
      </c>
      <c r="CH1024" s="69" t="str">
        <f t="shared" si="90"/>
        <v>خ ت طب</v>
      </c>
    </row>
    <row r="1025" spans="1:86" x14ac:dyDescent="0.25">
      <c r="A1025" s="148">
        <v>5</v>
      </c>
      <c r="B1025" s="82">
        <v>8963</v>
      </c>
      <c r="C1025" s="149">
        <v>4870</v>
      </c>
      <c r="D1025" s="69" t="s">
        <v>130</v>
      </c>
      <c r="E1025" s="69" t="str">
        <f>+E996</f>
        <v>مكافاه قسم شؤن طلبه اكتوبر</v>
      </c>
      <c r="F1025" s="63"/>
      <c r="G1025" s="69">
        <v>1119.5899999999999</v>
      </c>
      <c r="H1025" s="69"/>
      <c r="I1025" s="69"/>
      <c r="J1025" s="69"/>
      <c r="K1025" s="69"/>
      <c r="L1025" s="69"/>
      <c r="M1025" s="69"/>
      <c r="N1025" s="69"/>
      <c r="O1025" s="69"/>
      <c r="P1025" s="69"/>
      <c r="Q1025" s="69"/>
      <c r="R1025" s="69"/>
      <c r="S1025" s="69"/>
      <c r="T1025" s="69"/>
      <c r="U1025" s="69"/>
      <c r="V1025" s="69"/>
      <c r="W1025" s="69"/>
      <c r="X1025" s="69"/>
      <c r="Y1025" s="69"/>
      <c r="Z1025" s="69"/>
      <c r="AA1025" s="69"/>
      <c r="AB1025" s="69"/>
      <c r="AC1025" s="69"/>
      <c r="AD1025" s="69"/>
      <c r="AE1025" s="69"/>
      <c r="AF1025" s="69"/>
      <c r="AG1025" s="69"/>
      <c r="AH1025" s="69"/>
      <c r="AI1025" s="69"/>
      <c r="AJ1025" s="69"/>
      <c r="AK1025" s="69"/>
      <c r="AL1025" s="69"/>
      <c r="AM1025" s="69"/>
      <c r="AN1025" s="69"/>
      <c r="AO1025" s="69"/>
      <c r="AP1025" s="69"/>
      <c r="AQ1025" s="69"/>
      <c r="AR1025" s="94">
        <f t="shared" si="77"/>
        <v>1119.5899999999999</v>
      </c>
      <c r="AS1025" s="69">
        <v>725.63</v>
      </c>
      <c r="AT1025" s="69">
        <v>118.37</v>
      </c>
      <c r="AU1025" s="69">
        <v>226.52</v>
      </c>
      <c r="AV1025" s="69">
        <v>49.07</v>
      </c>
      <c r="AW1025" s="69"/>
      <c r="AX1025" s="69"/>
      <c r="AY1025" s="69"/>
      <c r="AZ1025" s="69"/>
      <c r="BA1025" s="69"/>
      <c r="BB1025" s="69"/>
      <c r="BC1025" s="69"/>
      <c r="BD1025" s="69"/>
      <c r="BE1025" s="69"/>
      <c r="BF1025" s="69"/>
      <c r="BG1025" s="69"/>
      <c r="BH1025" s="69"/>
      <c r="BI1025" s="69"/>
      <c r="BJ1025" s="69"/>
      <c r="BK1025" s="69"/>
      <c r="BL1025" s="69"/>
      <c r="BM1025" s="69"/>
      <c r="BN1025" s="69"/>
      <c r="BO1025" s="69"/>
      <c r="BP1025" s="69"/>
      <c r="BQ1025" s="69"/>
      <c r="BR1025" s="69"/>
      <c r="BS1025" s="69"/>
      <c r="BT1025" s="69"/>
      <c r="BU1025" s="69"/>
      <c r="BV1025" s="69"/>
      <c r="BW1025" s="69"/>
      <c r="BX1025" s="69"/>
      <c r="BY1025" s="69"/>
      <c r="BZ1025" s="69"/>
      <c r="CA1025" s="69"/>
      <c r="CB1025" s="69"/>
      <c r="CC1025" s="69"/>
      <c r="CD1025" s="69"/>
      <c r="CE1025" s="94">
        <f t="shared" si="81"/>
        <v>1119.5899999999999</v>
      </c>
      <c r="CF1025" s="151">
        <f t="shared" si="88"/>
        <v>0</v>
      </c>
      <c r="CG1025" s="75">
        <f t="shared" si="90"/>
        <v>4870</v>
      </c>
      <c r="CH1025" s="69" t="str">
        <f t="shared" si="90"/>
        <v>خ ت طب</v>
      </c>
    </row>
    <row r="1026" spans="1:86" x14ac:dyDescent="0.25">
      <c r="A1026" s="148">
        <v>6</v>
      </c>
      <c r="B1026" s="82">
        <v>8962</v>
      </c>
      <c r="C1026" s="149">
        <v>4871</v>
      </c>
      <c r="D1026" s="69" t="s">
        <v>130</v>
      </c>
      <c r="E1026" s="69" t="s">
        <v>3424</v>
      </c>
      <c r="F1026" s="63"/>
      <c r="G1026" s="69">
        <v>436.75</v>
      </c>
      <c r="H1026" s="69"/>
      <c r="I1026" s="69"/>
      <c r="J1026" s="69"/>
      <c r="K1026" s="69"/>
      <c r="L1026" s="69"/>
      <c r="M1026" s="69"/>
      <c r="N1026" s="69"/>
      <c r="O1026" s="69"/>
      <c r="P1026" s="69"/>
      <c r="Q1026" s="69"/>
      <c r="R1026" s="69"/>
      <c r="S1026" s="69"/>
      <c r="T1026" s="69"/>
      <c r="U1026" s="69"/>
      <c r="V1026" s="69"/>
      <c r="W1026" s="69"/>
      <c r="X1026" s="69"/>
      <c r="Y1026" s="69"/>
      <c r="Z1026" s="69"/>
      <c r="AA1026" s="69"/>
      <c r="AB1026" s="69"/>
      <c r="AC1026" s="69"/>
      <c r="AD1026" s="69"/>
      <c r="AE1026" s="69"/>
      <c r="AF1026" s="69"/>
      <c r="AG1026" s="69"/>
      <c r="AH1026" s="69"/>
      <c r="AI1026" s="69"/>
      <c r="AJ1026" s="69"/>
      <c r="AK1026" s="69"/>
      <c r="AL1026" s="69"/>
      <c r="AM1026" s="69"/>
      <c r="AN1026" s="69"/>
      <c r="AO1026" s="69"/>
      <c r="AP1026" s="69"/>
      <c r="AQ1026" s="69"/>
      <c r="AR1026" s="94">
        <f t="shared" si="77"/>
        <v>436.75</v>
      </c>
      <c r="AS1026" s="69">
        <v>297.35000000000002</v>
      </c>
      <c r="AT1026" s="69">
        <v>15.55</v>
      </c>
      <c r="AU1026" s="69">
        <v>105.23</v>
      </c>
      <c r="AV1026" s="69">
        <v>18.62</v>
      </c>
      <c r="AW1026" s="69"/>
      <c r="AX1026" s="69"/>
      <c r="AY1026" s="69"/>
      <c r="AZ1026" s="69"/>
      <c r="BA1026" s="69"/>
      <c r="BB1026" s="69"/>
      <c r="BC1026" s="69"/>
      <c r="BD1026" s="69"/>
      <c r="BE1026" s="69"/>
      <c r="BF1026" s="69"/>
      <c r="BG1026" s="69"/>
      <c r="BH1026" s="69"/>
      <c r="BI1026" s="69"/>
      <c r="BJ1026" s="69"/>
      <c r="BK1026" s="69"/>
      <c r="BL1026" s="69"/>
      <c r="BM1026" s="69"/>
      <c r="BN1026" s="69"/>
      <c r="BO1026" s="69"/>
      <c r="BP1026" s="69"/>
      <c r="BQ1026" s="69"/>
      <c r="BR1026" s="69"/>
      <c r="BS1026" s="69"/>
      <c r="BT1026" s="69"/>
      <c r="BU1026" s="69"/>
      <c r="BV1026" s="69"/>
      <c r="BW1026" s="69"/>
      <c r="BX1026" s="69"/>
      <c r="BY1026" s="69"/>
      <c r="BZ1026" s="69"/>
      <c r="CA1026" s="69"/>
      <c r="CB1026" s="69"/>
      <c r="CC1026" s="69"/>
      <c r="CD1026" s="69"/>
      <c r="CE1026" s="94">
        <f t="shared" si="81"/>
        <v>436.75000000000006</v>
      </c>
      <c r="CF1026" s="151">
        <f t="shared" si="88"/>
        <v>0</v>
      </c>
      <c r="CG1026" s="75">
        <f t="shared" si="90"/>
        <v>4871</v>
      </c>
      <c r="CH1026" s="69" t="str">
        <f t="shared" si="90"/>
        <v>خ ت طب</v>
      </c>
    </row>
    <row r="1027" spans="1:86" x14ac:dyDescent="0.25">
      <c r="A1027" s="148">
        <v>7</v>
      </c>
      <c r="B1027" s="82">
        <v>8948</v>
      </c>
      <c r="C1027" s="149">
        <v>4872</v>
      </c>
      <c r="D1027" s="69" t="s">
        <v>130</v>
      </c>
      <c r="E1027" s="69" t="s">
        <v>3412</v>
      </c>
      <c r="F1027" s="63"/>
      <c r="G1027" s="69">
        <v>58.62</v>
      </c>
      <c r="H1027" s="69"/>
      <c r="I1027" s="69"/>
      <c r="J1027" s="69"/>
      <c r="K1027" s="69"/>
      <c r="L1027" s="69"/>
      <c r="M1027" s="69"/>
      <c r="N1027" s="69"/>
      <c r="O1027" s="69"/>
      <c r="P1027" s="69"/>
      <c r="Q1027" s="69"/>
      <c r="R1027" s="69"/>
      <c r="S1027" s="69"/>
      <c r="T1027" s="69"/>
      <c r="U1027" s="69"/>
      <c r="V1027" s="69"/>
      <c r="W1027" s="69"/>
      <c r="X1027" s="69"/>
      <c r="Y1027" s="69"/>
      <c r="Z1027" s="69"/>
      <c r="AA1027" s="69"/>
      <c r="AB1027" s="69"/>
      <c r="AC1027" s="69"/>
      <c r="AD1027" s="69"/>
      <c r="AE1027" s="69"/>
      <c r="AF1027" s="69"/>
      <c r="AG1027" s="69"/>
      <c r="AH1027" s="69"/>
      <c r="AI1027" s="69"/>
      <c r="AJ1027" s="69"/>
      <c r="AK1027" s="69"/>
      <c r="AL1027" s="69"/>
      <c r="AM1027" s="69"/>
      <c r="AN1027" s="69"/>
      <c r="AO1027" s="69"/>
      <c r="AP1027" s="69"/>
      <c r="AQ1027" s="69"/>
      <c r="AR1027" s="94">
        <f t="shared" si="77"/>
        <v>58.62</v>
      </c>
      <c r="AS1027" s="69">
        <v>33.6</v>
      </c>
      <c r="AT1027" s="69">
        <v>8.4</v>
      </c>
      <c r="AU1027" s="69">
        <v>14.12</v>
      </c>
      <c r="AV1027" s="69">
        <v>2.5</v>
      </c>
      <c r="AW1027" s="69"/>
      <c r="AX1027" s="69"/>
      <c r="AY1027" s="69"/>
      <c r="AZ1027" s="69"/>
      <c r="BA1027" s="69"/>
      <c r="BB1027" s="69"/>
      <c r="BC1027" s="69"/>
      <c r="BD1027" s="69"/>
      <c r="BE1027" s="69"/>
      <c r="BF1027" s="69"/>
      <c r="BG1027" s="69"/>
      <c r="BH1027" s="69"/>
      <c r="BI1027" s="69"/>
      <c r="BJ1027" s="69"/>
      <c r="BK1027" s="69"/>
      <c r="BL1027" s="69"/>
      <c r="BM1027" s="69"/>
      <c r="BN1027" s="69"/>
      <c r="BO1027" s="69"/>
      <c r="BP1027" s="69"/>
      <c r="BQ1027" s="69"/>
      <c r="BR1027" s="69"/>
      <c r="BS1027" s="69"/>
      <c r="BT1027" s="69"/>
      <c r="BU1027" s="69"/>
      <c r="BV1027" s="69"/>
      <c r="BW1027" s="69"/>
      <c r="BX1027" s="69"/>
      <c r="BY1027" s="69"/>
      <c r="BZ1027" s="69"/>
      <c r="CA1027" s="69"/>
      <c r="CB1027" s="69"/>
      <c r="CC1027" s="69"/>
      <c r="CD1027" s="69"/>
      <c r="CE1027" s="94">
        <f>SUM(AS1027:CD1027)</f>
        <v>58.62</v>
      </c>
      <c r="CF1027" s="151">
        <f t="shared" si="88"/>
        <v>0</v>
      </c>
      <c r="CG1027" s="75">
        <f t="shared" si="90"/>
        <v>4872</v>
      </c>
      <c r="CH1027" s="69" t="str">
        <f t="shared" si="90"/>
        <v>خ ت طب</v>
      </c>
    </row>
    <row r="1028" spans="1:86" x14ac:dyDescent="0.25">
      <c r="A1028" s="148"/>
      <c r="B1028" s="82">
        <v>8841</v>
      </c>
      <c r="C1028" s="149">
        <v>4873</v>
      </c>
      <c r="D1028" s="69" t="s">
        <v>78</v>
      </c>
      <c r="E1028" s="69" t="s">
        <v>3425</v>
      </c>
      <c r="F1028" s="63"/>
      <c r="G1028" s="69"/>
      <c r="H1028" s="69">
        <v>129000</v>
      </c>
      <c r="I1028" s="69"/>
      <c r="J1028" s="69"/>
      <c r="K1028" s="69"/>
      <c r="L1028" s="69"/>
      <c r="M1028" s="69"/>
      <c r="N1028" s="69"/>
      <c r="O1028" s="69"/>
      <c r="P1028" s="69"/>
      <c r="Q1028" s="69"/>
      <c r="R1028" s="69"/>
      <c r="S1028" s="69"/>
      <c r="T1028" s="69"/>
      <c r="U1028" s="69"/>
      <c r="V1028" s="69"/>
      <c r="W1028" s="69"/>
      <c r="X1028" s="69"/>
      <c r="Y1028" s="69"/>
      <c r="Z1028" s="69"/>
      <c r="AA1028" s="69"/>
      <c r="AB1028" s="69">
        <v>129000</v>
      </c>
      <c r="AC1028" s="69"/>
      <c r="AD1028" s="69"/>
      <c r="AE1028" s="69"/>
      <c r="AF1028" s="69"/>
      <c r="AG1028" s="69"/>
      <c r="AH1028" s="69"/>
      <c r="AI1028" s="69"/>
      <c r="AJ1028" s="69"/>
      <c r="AK1028" s="69"/>
      <c r="AL1028" s="69"/>
      <c r="AM1028" s="69"/>
      <c r="AN1028" s="69"/>
      <c r="AO1028" s="69"/>
      <c r="AP1028" s="69"/>
      <c r="AQ1028" s="69"/>
      <c r="AR1028" s="94">
        <f t="shared" si="77"/>
        <v>258000</v>
      </c>
      <c r="AS1028" s="69">
        <v>123770.1</v>
      </c>
      <c r="AT1028" s="69">
        <v>2542.5</v>
      </c>
      <c r="AU1028" s="69"/>
      <c r="AV1028" s="69">
        <v>5</v>
      </c>
      <c r="AW1028" s="69"/>
      <c r="AX1028" s="69"/>
      <c r="AY1028" s="69"/>
      <c r="AZ1028" s="69"/>
      <c r="BA1028" s="69"/>
      <c r="BB1028" s="69"/>
      <c r="BC1028" s="69"/>
      <c r="BD1028" s="69"/>
      <c r="BE1028" s="69"/>
      <c r="BF1028" s="69"/>
      <c r="BG1028" s="69">
        <v>2672.4</v>
      </c>
      <c r="BH1028" s="69">
        <v>10</v>
      </c>
      <c r="BI1028" s="69"/>
      <c r="BJ1028" s="69"/>
      <c r="BK1028" s="69"/>
      <c r="BL1028" s="69"/>
      <c r="BM1028" s="69"/>
      <c r="BN1028" s="69"/>
      <c r="BO1028" s="69"/>
      <c r="BP1028" s="69"/>
      <c r="BQ1028" s="69"/>
      <c r="BR1028" s="69"/>
      <c r="BS1028" s="69">
        <v>129000</v>
      </c>
      <c r="BT1028" s="69"/>
      <c r="BU1028" s="69"/>
      <c r="BV1028" s="69"/>
      <c r="BW1028" s="69"/>
      <c r="BX1028" s="69"/>
      <c r="BY1028" s="69"/>
      <c r="BZ1028" s="69"/>
      <c r="CA1028" s="69"/>
      <c r="CB1028" s="69"/>
      <c r="CC1028" s="69"/>
      <c r="CD1028" s="69"/>
      <c r="CE1028" s="94">
        <f t="shared" si="81"/>
        <v>258000</v>
      </c>
      <c r="CF1028" s="151">
        <f t="shared" si="88"/>
        <v>0</v>
      </c>
      <c r="CG1028" s="75">
        <f t="shared" si="90"/>
        <v>4873</v>
      </c>
      <c r="CH1028" s="69" t="str">
        <f t="shared" si="90"/>
        <v>برنامج دولى</v>
      </c>
    </row>
    <row r="1029" spans="1:86" x14ac:dyDescent="0.25">
      <c r="A1029" s="148"/>
      <c r="B1029" s="82">
        <v>9116</v>
      </c>
      <c r="C1029" s="149">
        <v>4874</v>
      </c>
      <c r="D1029" s="69" t="s">
        <v>78</v>
      </c>
      <c r="E1029" s="69" t="s">
        <v>3426</v>
      </c>
      <c r="F1029" s="63"/>
      <c r="G1029" s="69"/>
      <c r="H1029" s="69">
        <v>15000</v>
      </c>
      <c r="I1029" s="69"/>
      <c r="J1029" s="69"/>
      <c r="K1029" s="69"/>
      <c r="L1029" s="69"/>
      <c r="M1029" s="69"/>
      <c r="N1029" s="69"/>
      <c r="O1029" s="69"/>
      <c r="P1029" s="69"/>
      <c r="Q1029" s="69"/>
      <c r="R1029" s="69"/>
      <c r="S1029" s="69"/>
      <c r="T1029" s="69"/>
      <c r="U1029" s="69"/>
      <c r="V1029" s="69"/>
      <c r="W1029" s="69"/>
      <c r="X1029" s="69"/>
      <c r="Y1029" s="69"/>
      <c r="Z1029" s="69"/>
      <c r="AA1029" s="69"/>
      <c r="AB1029" s="69">
        <v>15000</v>
      </c>
      <c r="AC1029" s="69"/>
      <c r="AD1029" s="69"/>
      <c r="AE1029" s="69"/>
      <c r="AF1029" s="69"/>
      <c r="AG1029" s="69"/>
      <c r="AH1029" s="69"/>
      <c r="AI1029" s="69"/>
      <c r="AJ1029" s="69"/>
      <c r="AK1029" s="69"/>
      <c r="AL1029" s="69"/>
      <c r="AM1029" s="69"/>
      <c r="AN1029" s="69"/>
      <c r="AO1029" s="69"/>
      <c r="AP1029" s="69"/>
      <c r="AQ1029" s="69"/>
      <c r="AR1029" s="94">
        <f t="shared" si="77"/>
        <v>30000</v>
      </c>
      <c r="AS1029" s="69">
        <v>14163.2</v>
      </c>
      <c r="AT1029" s="69">
        <v>751.8</v>
      </c>
      <c r="AU1029" s="69"/>
      <c r="AV1029" s="69">
        <v>5</v>
      </c>
      <c r="AW1029" s="69"/>
      <c r="AX1029" s="69"/>
      <c r="AY1029" s="69"/>
      <c r="AZ1029" s="69"/>
      <c r="BA1029" s="69"/>
      <c r="BB1029" s="69"/>
      <c r="BC1029" s="69"/>
      <c r="BD1029" s="69"/>
      <c r="BE1029" s="69"/>
      <c r="BF1029" s="69"/>
      <c r="BG1029" s="69"/>
      <c r="BH1029" s="69">
        <v>80</v>
      </c>
      <c r="BI1029" s="69"/>
      <c r="BJ1029" s="69"/>
      <c r="BK1029" s="69"/>
      <c r="BL1029" s="69"/>
      <c r="BM1029" s="69"/>
      <c r="BN1029" s="69"/>
      <c r="BO1029" s="69"/>
      <c r="BP1029" s="69"/>
      <c r="BQ1029" s="69"/>
      <c r="BR1029" s="69"/>
      <c r="BS1029" s="69">
        <v>15000</v>
      </c>
      <c r="BT1029" s="69"/>
      <c r="BU1029" s="69"/>
      <c r="BV1029" s="69"/>
      <c r="BW1029" s="69"/>
      <c r="BX1029" s="69"/>
      <c r="BY1029" s="69"/>
      <c r="BZ1029" s="69"/>
      <c r="CA1029" s="69"/>
      <c r="CB1029" s="69"/>
      <c r="CC1029" s="69"/>
      <c r="CD1029" s="69"/>
      <c r="CE1029" s="94">
        <f t="shared" si="81"/>
        <v>30000</v>
      </c>
      <c r="CF1029" s="151">
        <f t="shared" si="88"/>
        <v>0</v>
      </c>
      <c r="CG1029" s="75">
        <f t="shared" si="90"/>
        <v>4874</v>
      </c>
      <c r="CH1029" s="69" t="str">
        <f t="shared" si="90"/>
        <v>برنامج دولى</v>
      </c>
    </row>
    <row r="1030" spans="1:86" ht="36" x14ac:dyDescent="0.25">
      <c r="A1030" s="148"/>
      <c r="B1030" s="82">
        <v>8788</v>
      </c>
      <c r="C1030" s="149">
        <v>4875</v>
      </c>
      <c r="D1030" s="69" t="s">
        <v>121</v>
      </c>
      <c r="E1030" s="77" t="s">
        <v>3427</v>
      </c>
      <c r="F1030" s="63"/>
      <c r="G1030" s="69"/>
      <c r="H1030" s="69">
        <v>332167.5</v>
      </c>
      <c r="I1030" s="69"/>
      <c r="J1030" s="69"/>
      <c r="K1030" s="69"/>
      <c r="L1030" s="69"/>
      <c r="M1030" s="69"/>
      <c r="N1030" s="69"/>
      <c r="O1030" s="69"/>
      <c r="P1030" s="69"/>
      <c r="Q1030" s="69"/>
      <c r="R1030" s="69"/>
      <c r="S1030" s="69"/>
      <c r="T1030" s="69"/>
      <c r="U1030" s="69"/>
      <c r="V1030" s="69"/>
      <c r="W1030" s="69"/>
      <c r="X1030" s="69"/>
      <c r="Y1030" s="69"/>
      <c r="Z1030" s="69"/>
      <c r="AA1030" s="69"/>
      <c r="AB1030" s="69"/>
      <c r="AC1030" s="69"/>
      <c r="AD1030" s="69"/>
      <c r="AE1030" s="69"/>
      <c r="AF1030" s="69"/>
      <c r="AG1030" s="69"/>
      <c r="AH1030" s="69"/>
      <c r="AI1030" s="69"/>
      <c r="AJ1030" s="69"/>
      <c r="AK1030" s="69"/>
      <c r="AL1030" s="69"/>
      <c r="AM1030" s="69"/>
      <c r="AN1030" s="69"/>
      <c r="AO1030" s="69"/>
      <c r="AP1030" s="69"/>
      <c r="AQ1030" s="69"/>
      <c r="AR1030" s="94">
        <f t="shared" si="77"/>
        <v>332167.5</v>
      </c>
      <c r="AS1030" s="69">
        <v>332167.5</v>
      </c>
      <c r="AT1030" s="69"/>
      <c r="AU1030" s="69"/>
      <c r="AV1030" s="69"/>
      <c r="AW1030" s="69"/>
      <c r="AX1030" s="69"/>
      <c r="AY1030" s="69"/>
      <c r="AZ1030" s="69"/>
      <c r="BA1030" s="69"/>
      <c r="BB1030" s="69"/>
      <c r="BC1030" s="69"/>
      <c r="BD1030" s="69"/>
      <c r="BE1030" s="69"/>
      <c r="BF1030" s="69"/>
      <c r="BG1030" s="69"/>
      <c r="BH1030" s="69"/>
      <c r="BI1030" s="69"/>
      <c r="BJ1030" s="69"/>
      <c r="BK1030" s="69"/>
      <c r="BL1030" s="69"/>
      <c r="BM1030" s="69"/>
      <c r="BN1030" s="69"/>
      <c r="BO1030" s="69"/>
      <c r="BP1030" s="69"/>
      <c r="BQ1030" s="69"/>
      <c r="BR1030" s="69"/>
      <c r="BS1030" s="69"/>
      <c r="BT1030" s="69"/>
      <c r="BU1030" s="69"/>
      <c r="BV1030" s="69"/>
      <c r="BW1030" s="69"/>
      <c r="BX1030" s="69"/>
      <c r="BY1030" s="69"/>
      <c r="BZ1030" s="69"/>
      <c r="CA1030" s="69"/>
      <c r="CB1030" s="69"/>
      <c r="CC1030" s="69"/>
      <c r="CD1030" s="69"/>
      <c r="CE1030" s="94">
        <f t="shared" si="81"/>
        <v>332167.5</v>
      </c>
      <c r="CF1030" s="151">
        <f t="shared" si="88"/>
        <v>0</v>
      </c>
      <c r="CG1030" s="75">
        <f t="shared" si="90"/>
        <v>4875</v>
      </c>
      <c r="CH1030" s="69" t="str">
        <f t="shared" si="90"/>
        <v>ماليزى اسنان</v>
      </c>
    </row>
    <row r="1031" spans="1:86" x14ac:dyDescent="0.25">
      <c r="A1031" s="148"/>
      <c r="B1031" s="82">
        <v>8335</v>
      </c>
      <c r="C1031" s="149">
        <v>4876</v>
      </c>
      <c r="D1031" s="69" t="s">
        <v>130</v>
      </c>
      <c r="E1031" s="69" t="s">
        <v>3428</v>
      </c>
      <c r="F1031" s="63"/>
      <c r="G1031" s="69"/>
      <c r="H1031" s="69">
        <v>320</v>
      </c>
      <c r="I1031" s="69"/>
      <c r="J1031" s="69"/>
      <c r="K1031" s="69"/>
      <c r="L1031" s="69"/>
      <c r="M1031" s="69"/>
      <c r="N1031" s="69"/>
      <c r="O1031" s="69"/>
      <c r="P1031" s="69"/>
      <c r="Q1031" s="69"/>
      <c r="R1031" s="69"/>
      <c r="S1031" s="69"/>
      <c r="T1031" s="69"/>
      <c r="U1031" s="69"/>
      <c r="V1031" s="69"/>
      <c r="W1031" s="69"/>
      <c r="X1031" s="69"/>
      <c r="Y1031" s="69"/>
      <c r="Z1031" s="69"/>
      <c r="AA1031" s="69"/>
      <c r="AB1031" s="69"/>
      <c r="AC1031" s="69"/>
      <c r="AD1031" s="69"/>
      <c r="AE1031" s="69"/>
      <c r="AF1031" s="69"/>
      <c r="AG1031" s="69"/>
      <c r="AH1031" s="69"/>
      <c r="AI1031" s="69"/>
      <c r="AJ1031" s="69"/>
      <c r="AK1031" s="69"/>
      <c r="AL1031" s="69"/>
      <c r="AM1031" s="69"/>
      <c r="AN1031" s="69"/>
      <c r="AO1031" s="69"/>
      <c r="AP1031" s="69"/>
      <c r="AQ1031" s="69"/>
      <c r="AR1031" s="94">
        <f t="shared" si="77"/>
        <v>320</v>
      </c>
      <c r="AS1031" s="69">
        <v>300.10000000000002</v>
      </c>
      <c r="AT1031" s="69">
        <v>13.9</v>
      </c>
      <c r="AU1031" s="69"/>
      <c r="AV1031" s="69"/>
      <c r="AW1031" s="69"/>
      <c r="AX1031" s="69"/>
      <c r="AY1031" s="69"/>
      <c r="AZ1031" s="69"/>
      <c r="BA1031" s="69"/>
      <c r="BB1031" s="69"/>
      <c r="BC1031" s="69"/>
      <c r="BD1031" s="69"/>
      <c r="BE1031" s="69"/>
      <c r="BF1031" s="69"/>
      <c r="BG1031" s="69"/>
      <c r="BH1031" s="69">
        <v>6</v>
      </c>
      <c r="BI1031" s="69"/>
      <c r="BJ1031" s="69"/>
      <c r="BK1031" s="69"/>
      <c r="BL1031" s="69"/>
      <c r="BM1031" s="69"/>
      <c r="BN1031" s="69"/>
      <c r="BO1031" s="69"/>
      <c r="BP1031" s="69"/>
      <c r="BQ1031" s="69"/>
      <c r="BR1031" s="69"/>
      <c r="BS1031" s="69"/>
      <c r="BT1031" s="69"/>
      <c r="BU1031" s="69"/>
      <c r="BV1031" s="69"/>
      <c r="BW1031" s="69"/>
      <c r="BX1031" s="69"/>
      <c r="BY1031" s="69"/>
      <c r="BZ1031" s="69"/>
      <c r="CA1031" s="69"/>
      <c r="CB1031" s="69"/>
      <c r="CC1031" s="69"/>
      <c r="CD1031" s="69"/>
      <c r="CE1031" s="94">
        <f t="shared" si="81"/>
        <v>320</v>
      </c>
      <c r="CF1031" s="151">
        <f t="shared" si="88"/>
        <v>0</v>
      </c>
      <c r="CG1031" s="75">
        <f t="shared" si="90"/>
        <v>4876</v>
      </c>
      <c r="CH1031" s="69" t="str">
        <f t="shared" si="90"/>
        <v>خ ت طب</v>
      </c>
    </row>
    <row r="1032" spans="1:86" x14ac:dyDescent="0.25">
      <c r="A1032" s="148"/>
      <c r="B1032" s="82">
        <v>8410</v>
      </c>
      <c r="C1032" s="149">
        <v>4877</v>
      </c>
      <c r="D1032" s="69" t="s">
        <v>128</v>
      </c>
      <c r="E1032" s="69" t="s">
        <v>3429</v>
      </c>
      <c r="F1032" s="63"/>
      <c r="G1032" s="69"/>
      <c r="H1032" s="69"/>
      <c r="I1032" s="69"/>
      <c r="J1032" s="69"/>
      <c r="K1032" s="69"/>
      <c r="L1032" s="69"/>
      <c r="M1032" s="69"/>
      <c r="N1032" s="69"/>
      <c r="O1032" s="69"/>
      <c r="P1032" s="69"/>
      <c r="Q1032" s="69"/>
      <c r="R1032" s="69"/>
      <c r="S1032" s="69"/>
      <c r="T1032" s="69"/>
      <c r="U1032" s="69"/>
      <c r="V1032" s="69"/>
      <c r="W1032" s="69"/>
      <c r="X1032" s="69">
        <v>1713.6</v>
      </c>
      <c r="Y1032" s="69"/>
      <c r="Z1032" s="69"/>
      <c r="AA1032" s="69"/>
      <c r="AB1032" s="69"/>
      <c r="AC1032" s="69"/>
      <c r="AD1032" s="69"/>
      <c r="AE1032" s="69"/>
      <c r="AF1032" s="69"/>
      <c r="AG1032" s="69"/>
      <c r="AH1032" s="69"/>
      <c r="AI1032" s="69"/>
      <c r="AJ1032" s="69"/>
      <c r="AK1032" s="69"/>
      <c r="AL1032" s="69"/>
      <c r="AM1032" s="69"/>
      <c r="AN1032" s="69"/>
      <c r="AO1032" s="69"/>
      <c r="AP1032" s="69"/>
      <c r="AQ1032" s="69"/>
      <c r="AR1032" s="94">
        <f t="shared" si="77"/>
        <v>1713.6</v>
      </c>
      <c r="AS1032" s="69">
        <v>1713.6</v>
      </c>
      <c r="AT1032" s="69"/>
      <c r="AU1032" s="69"/>
      <c r="AV1032" s="69"/>
      <c r="AW1032" s="69"/>
      <c r="AX1032" s="69"/>
      <c r="AY1032" s="69"/>
      <c r="AZ1032" s="69"/>
      <c r="BA1032" s="69"/>
      <c r="BB1032" s="69"/>
      <c r="BC1032" s="69"/>
      <c r="BD1032" s="69"/>
      <c r="BE1032" s="69"/>
      <c r="BF1032" s="69"/>
      <c r="BG1032" s="69"/>
      <c r="BH1032" s="69"/>
      <c r="BI1032" s="69"/>
      <c r="BJ1032" s="69"/>
      <c r="BK1032" s="69"/>
      <c r="BL1032" s="69"/>
      <c r="BM1032" s="69"/>
      <c r="BN1032" s="69"/>
      <c r="BO1032" s="69"/>
      <c r="BP1032" s="69"/>
      <c r="BQ1032" s="69"/>
      <c r="BR1032" s="69"/>
      <c r="BS1032" s="69"/>
      <c r="BT1032" s="69"/>
      <c r="BU1032" s="69"/>
      <c r="BV1032" s="69"/>
      <c r="BW1032" s="69"/>
      <c r="BX1032" s="69"/>
      <c r="BY1032" s="69"/>
      <c r="BZ1032" s="69"/>
      <c r="CA1032" s="69"/>
      <c r="CB1032" s="69"/>
      <c r="CC1032" s="69"/>
      <c r="CD1032" s="69"/>
      <c r="CE1032" s="94">
        <f t="shared" si="81"/>
        <v>1713.6</v>
      </c>
      <c r="CF1032" s="151">
        <f t="shared" si="88"/>
        <v>0</v>
      </c>
      <c r="CG1032" s="75">
        <f t="shared" si="90"/>
        <v>4877</v>
      </c>
      <c r="CH1032" s="69" t="str">
        <f t="shared" si="90"/>
        <v>مركز مؤتمرات</v>
      </c>
    </row>
    <row r="1033" spans="1:86" x14ac:dyDescent="0.25">
      <c r="A1033" s="148"/>
      <c r="B1033" s="82">
        <v>8749</v>
      </c>
      <c r="C1033" s="149">
        <v>4878</v>
      </c>
      <c r="D1033" s="69" t="s">
        <v>137</v>
      </c>
      <c r="E1033" s="69" t="s">
        <v>3430</v>
      </c>
      <c r="F1033" s="63"/>
      <c r="G1033" s="69"/>
      <c r="H1033" s="69"/>
      <c r="I1033" s="69"/>
      <c r="J1033" s="69"/>
      <c r="K1033" s="69"/>
      <c r="L1033" s="69"/>
      <c r="M1033" s="69"/>
      <c r="N1033" s="69"/>
      <c r="O1033" s="69"/>
      <c r="P1033" s="69"/>
      <c r="Q1033" s="69"/>
      <c r="R1033" s="69"/>
      <c r="S1033" s="69"/>
      <c r="T1033" s="69"/>
      <c r="U1033" s="69"/>
      <c r="V1033" s="69"/>
      <c r="W1033" s="69"/>
      <c r="X1033" s="69">
        <v>4250</v>
      </c>
      <c r="Y1033" s="69"/>
      <c r="Z1033" s="69"/>
      <c r="AA1033" s="69"/>
      <c r="AB1033" s="69"/>
      <c r="AC1033" s="69"/>
      <c r="AD1033" s="69"/>
      <c r="AE1033" s="69"/>
      <c r="AF1033" s="69"/>
      <c r="AG1033" s="69"/>
      <c r="AH1033" s="69"/>
      <c r="AI1033" s="69"/>
      <c r="AJ1033" s="69"/>
      <c r="AK1033" s="69"/>
      <c r="AL1033" s="69"/>
      <c r="AM1033" s="69"/>
      <c r="AN1033" s="69"/>
      <c r="AO1033" s="69"/>
      <c r="AP1033" s="69"/>
      <c r="AQ1033" s="69"/>
      <c r="AR1033" s="94">
        <f t="shared" si="77"/>
        <v>4250</v>
      </c>
      <c r="AS1033" s="69">
        <v>4250</v>
      </c>
      <c r="AT1033" s="69"/>
      <c r="AU1033" s="69"/>
      <c r="AV1033" s="69"/>
      <c r="AW1033" s="69"/>
      <c r="AX1033" s="69"/>
      <c r="AY1033" s="69"/>
      <c r="AZ1033" s="69"/>
      <c r="BA1033" s="69"/>
      <c r="BB1033" s="69"/>
      <c r="BC1033" s="69"/>
      <c r="BD1033" s="69"/>
      <c r="BE1033" s="69"/>
      <c r="BF1033" s="69"/>
      <c r="BG1033" s="69"/>
      <c r="BH1033" s="69"/>
      <c r="BI1033" s="69"/>
      <c r="BJ1033" s="69"/>
      <c r="BK1033" s="69"/>
      <c r="BL1033" s="69"/>
      <c r="BM1033" s="69"/>
      <c r="BN1033" s="69"/>
      <c r="BO1033" s="69"/>
      <c r="BP1033" s="69"/>
      <c r="BQ1033" s="69"/>
      <c r="BR1033" s="69"/>
      <c r="BS1033" s="69"/>
      <c r="BT1033" s="69"/>
      <c r="BU1033" s="69"/>
      <c r="BV1033" s="69"/>
      <c r="BW1033" s="69"/>
      <c r="BX1033" s="69"/>
      <c r="BY1033" s="69"/>
      <c r="BZ1033" s="69"/>
      <c r="CA1033" s="69"/>
      <c r="CB1033" s="69"/>
      <c r="CC1033" s="69"/>
      <c r="CD1033" s="69"/>
      <c r="CE1033" s="94">
        <f t="shared" si="81"/>
        <v>4250</v>
      </c>
      <c r="CF1033" s="151">
        <f t="shared" si="88"/>
        <v>0</v>
      </c>
      <c r="CG1033" s="75">
        <f t="shared" si="90"/>
        <v>4878</v>
      </c>
      <c r="CH1033" s="69" t="str">
        <f t="shared" si="90"/>
        <v xml:space="preserve">خدمة عامة </v>
      </c>
    </row>
    <row r="1034" spans="1:86" x14ac:dyDescent="0.25">
      <c r="A1034" s="148"/>
      <c r="B1034" s="82">
        <v>8935</v>
      </c>
      <c r="C1034" s="149">
        <v>4879</v>
      </c>
      <c r="D1034" s="69" t="s">
        <v>132</v>
      </c>
      <c r="E1034" s="69" t="s">
        <v>3431</v>
      </c>
      <c r="F1034" s="63"/>
      <c r="G1034" s="69">
        <v>800</v>
      </c>
      <c r="H1034" s="69"/>
      <c r="I1034" s="69"/>
      <c r="J1034" s="69"/>
      <c r="K1034" s="69"/>
      <c r="L1034" s="69"/>
      <c r="M1034" s="69"/>
      <c r="N1034" s="69"/>
      <c r="O1034" s="69"/>
      <c r="P1034" s="69"/>
      <c r="Q1034" s="69"/>
      <c r="R1034" s="69"/>
      <c r="S1034" s="69"/>
      <c r="T1034" s="69"/>
      <c r="U1034" s="69"/>
      <c r="V1034" s="69"/>
      <c r="W1034" s="69"/>
      <c r="X1034" s="69"/>
      <c r="Y1034" s="69"/>
      <c r="Z1034" s="69"/>
      <c r="AA1034" s="69"/>
      <c r="AB1034" s="69"/>
      <c r="AC1034" s="69"/>
      <c r="AD1034" s="69"/>
      <c r="AE1034" s="69"/>
      <c r="AF1034" s="69"/>
      <c r="AG1034" s="69"/>
      <c r="AH1034" s="69"/>
      <c r="AI1034" s="69"/>
      <c r="AJ1034" s="69"/>
      <c r="AK1034" s="69"/>
      <c r="AL1034" s="69"/>
      <c r="AM1034" s="69"/>
      <c r="AN1034" s="69"/>
      <c r="AO1034" s="69"/>
      <c r="AP1034" s="69"/>
      <c r="AQ1034" s="69"/>
      <c r="AR1034" s="94">
        <f t="shared" si="77"/>
        <v>800</v>
      </c>
      <c r="AS1034" s="69">
        <v>714.75</v>
      </c>
      <c r="AT1034" s="69">
        <v>85.25</v>
      </c>
      <c r="AU1034" s="69"/>
      <c r="AV1034" s="69"/>
      <c r="AW1034" s="69"/>
      <c r="AX1034" s="69"/>
      <c r="AY1034" s="69"/>
      <c r="AZ1034" s="69"/>
      <c r="BA1034" s="69"/>
      <c r="BB1034" s="69"/>
      <c r="BC1034" s="69"/>
      <c r="BD1034" s="69"/>
      <c r="BE1034" s="69"/>
      <c r="BF1034" s="69"/>
      <c r="BG1034" s="69"/>
      <c r="BH1034" s="69"/>
      <c r="BI1034" s="69"/>
      <c r="BJ1034" s="69"/>
      <c r="BK1034" s="69"/>
      <c r="BL1034" s="69"/>
      <c r="BM1034" s="69"/>
      <c r="BN1034" s="69"/>
      <c r="BO1034" s="69"/>
      <c r="BP1034" s="69"/>
      <c r="BQ1034" s="69"/>
      <c r="BR1034" s="69"/>
      <c r="BS1034" s="69"/>
      <c r="BT1034" s="69"/>
      <c r="BU1034" s="69"/>
      <c r="BV1034" s="69"/>
      <c r="BW1034" s="69"/>
      <c r="BX1034" s="69"/>
      <c r="BY1034" s="69"/>
      <c r="BZ1034" s="69"/>
      <c r="CA1034" s="69"/>
      <c r="CB1034" s="69"/>
      <c r="CC1034" s="69"/>
      <c r="CD1034" s="69"/>
      <c r="CE1034" s="94">
        <f t="shared" si="81"/>
        <v>800</v>
      </c>
      <c r="CF1034" s="151">
        <f t="shared" si="88"/>
        <v>0</v>
      </c>
      <c r="CG1034" s="75">
        <f t="shared" si="90"/>
        <v>4879</v>
      </c>
      <c r="CH1034" s="69" t="str">
        <f t="shared" si="90"/>
        <v>صيدلة اكلينيكى</v>
      </c>
    </row>
    <row r="1035" spans="1:86" x14ac:dyDescent="0.25">
      <c r="A1035" s="148"/>
      <c r="B1035" s="82">
        <v>2288</v>
      </c>
      <c r="C1035" s="149">
        <v>4880</v>
      </c>
      <c r="D1035" s="69" t="s">
        <v>78</v>
      </c>
      <c r="E1035" s="69" t="s">
        <v>3432</v>
      </c>
      <c r="F1035" s="63"/>
      <c r="G1035" s="69">
        <v>2077.34</v>
      </c>
      <c r="H1035" s="69"/>
      <c r="I1035" s="69"/>
      <c r="J1035" s="69"/>
      <c r="K1035" s="69"/>
      <c r="L1035" s="69"/>
      <c r="M1035" s="69"/>
      <c r="N1035" s="69"/>
      <c r="O1035" s="69"/>
      <c r="P1035" s="69"/>
      <c r="Q1035" s="69"/>
      <c r="R1035" s="69"/>
      <c r="S1035" s="69"/>
      <c r="T1035" s="69"/>
      <c r="U1035" s="69"/>
      <c r="V1035" s="69"/>
      <c r="W1035" s="69"/>
      <c r="X1035" s="69"/>
      <c r="Y1035" s="69"/>
      <c r="Z1035" s="69"/>
      <c r="AA1035" s="69"/>
      <c r="AB1035" s="69"/>
      <c r="AC1035" s="69"/>
      <c r="AD1035" s="69"/>
      <c r="AE1035" s="69"/>
      <c r="AF1035" s="69"/>
      <c r="AG1035" s="69"/>
      <c r="AH1035" s="69"/>
      <c r="AI1035" s="69"/>
      <c r="AJ1035" s="69"/>
      <c r="AK1035" s="69"/>
      <c r="AL1035" s="69"/>
      <c r="AM1035" s="69"/>
      <c r="AN1035" s="69"/>
      <c r="AO1035" s="69"/>
      <c r="AP1035" s="69"/>
      <c r="AQ1035" s="69"/>
      <c r="AR1035" s="94">
        <f t="shared" si="77"/>
        <v>2077.34</v>
      </c>
      <c r="AS1035" s="69">
        <v>1568.64</v>
      </c>
      <c r="AT1035" s="69">
        <v>201.9</v>
      </c>
      <c r="AU1035" s="69">
        <v>306.8</v>
      </c>
      <c r="AV1035" s="69"/>
      <c r="AW1035" s="69"/>
      <c r="AX1035" s="69"/>
      <c r="AY1035" s="69"/>
      <c r="AZ1035" s="69"/>
      <c r="BA1035" s="69"/>
      <c r="BB1035" s="69"/>
      <c r="BC1035" s="69"/>
      <c r="BD1035" s="69"/>
      <c r="BE1035" s="69"/>
      <c r="BF1035" s="69"/>
      <c r="BG1035" s="69"/>
      <c r="BH1035" s="69"/>
      <c r="BI1035" s="69"/>
      <c r="BJ1035" s="69"/>
      <c r="BK1035" s="69"/>
      <c r="BL1035" s="69"/>
      <c r="BM1035" s="69"/>
      <c r="BN1035" s="69"/>
      <c r="BO1035" s="69"/>
      <c r="BP1035" s="69"/>
      <c r="BQ1035" s="69"/>
      <c r="BR1035" s="69"/>
      <c r="BS1035" s="69"/>
      <c r="BT1035" s="69"/>
      <c r="BU1035" s="69"/>
      <c r="BV1035" s="69"/>
      <c r="BW1035" s="69"/>
      <c r="BX1035" s="69"/>
      <c r="BY1035" s="69"/>
      <c r="BZ1035" s="69"/>
      <c r="CA1035" s="69"/>
      <c r="CB1035" s="69"/>
      <c r="CC1035" s="69"/>
      <c r="CD1035" s="69"/>
      <c r="CE1035" s="94">
        <f t="shared" si="81"/>
        <v>2077.34</v>
      </c>
      <c r="CF1035" s="151">
        <f t="shared" si="88"/>
        <v>0</v>
      </c>
      <c r="CG1035" s="75">
        <f t="shared" si="90"/>
        <v>4880</v>
      </c>
      <c r="CH1035" s="69" t="str">
        <f t="shared" si="90"/>
        <v>برنامج دولى</v>
      </c>
    </row>
    <row r="1036" spans="1:86" x14ac:dyDescent="0.25">
      <c r="A1036" s="148"/>
      <c r="B1036" s="82">
        <v>6377</v>
      </c>
      <c r="C1036" s="149">
        <v>4881</v>
      </c>
      <c r="D1036" s="69" t="s">
        <v>78</v>
      </c>
      <c r="E1036" s="69" t="s">
        <v>1005</v>
      </c>
      <c r="F1036" s="63"/>
      <c r="G1036" s="69">
        <v>9293.42</v>
      </c>
      <c r="H1036" s="69"/>
      <c r="I1036" s="69"/>
      <c r="J1036" s="69"/>
      <c r="K1036" s="69"/>
      <c r="L1036" s="69"/>
      <c r="M1036" s="69"/>
      <c r="N1036" s="69"/>
      <c r="O1036" s="69"/>
      <c r="P1036" s="69"/>
      <c r="Q1036" s="69"/>
      <c r="R1036" s="69"/>
      <c r="S1036" s="69"/>
      <c r="T1036" s="69"/>
      <c r="U1036" s="69"/>
      <c r="V1036" s="69"/>
      <c r="W1036" s="69"/>
      <c r="X1036" s="69"/>
      <c r="Y1036" s="69"/>
      <c r="Z1036" s="69"/>
      <c r="AA1036" s="69"/>
      <c r="AB1036" s="69"/>
      <c r="AC1036" s="69"/>
      <c r="AD1036" s="69"/>
      <c r="AE1036" s="69"/>
      <c r="AF1036" s="69"/>
      <c r="AG1036" s="69"/>
      <c r="AH1036" s="69"/>
      <c r="AI1036" s="69"/>
      <c r="AJ1036" s="69"/>
      <c r="AK1036" s="69"/>
      <c r="AL1036" s="69"/>
      <c r="AM1036" s="69"/>
      <c r="AN1036" s="69"/>
      <c r="AO1036" s="69"/>
      <c r="AP1036" s="69"/>
      <c r="AQ1036" s="69"/>
      <c r="AR1036" s="94">
        <f t="shared" si="77"/>
        <v>9293.42</v>
      </c>
      <c r="AS1036" s="69">
        <v>7664.81</v>
      </c>
      <c r="AT1036" s="69">
        <v>951.55</v>
      </c>
      <c r="AU1036" s="69">
        <v>677.06</v>
      </c>
      <c r="AV1036" s="69"/>
      <c r="AW1036" s="69"/>
      <c r="AX1036" s="69"/>
      <c r="AY1036" s="69"/>
      <c r="AZ1036" s="69"/>
      <c r="BA1036" s="69"/>
      <c r="BB1036" s="69"/>
      <c r="BC1036" s="69"/>
      <c r="BD1036" s="69"/>
      <c r="BE1036" s="69"/>
      <c r="BF1036" s="69"/>
      <c r="BG1036" s="69"/>
      <c r="BH1036" s="69"/>
      <c r="BI1036" s="69"/>
      <c r="BJ1036" s="69"/>
      <c r="BK1036" s="69"/>
      <c r="BL1036" s="69"/>
      <c r="BM1036" s="69"/>
      <c r="BN1036" s="69"/>
      <c r="BO1036" s="69"/>
      <c r="BP1036" s="69"/>
      <c r="BQ1036" s="69"/>
      <c r="BR1036" s="69"/>
      <c r="BS1036" s="69"/>
      <c r="BT1036" s="69"/>
      <c r="BU1036" s="69"/>
      <c r="BV1036" s="69"/>
      <c r="BW1036" s="69"/>
      <c r="BX1036" s="69"/>
      <c r="BY1036" s="69"/>
      <c r="BZ1036" s="69"/>
      <c r="CA1036" s="69"/>
      <c r="CB1036" s="69"/>
      <c r="CC1036" s="69"/>
      <c r="CD1036" s="69"/>
      <c r="CE1036" s="94">
        <f t="shared" si="81"/>
        <v>9293.42</v>
      </c>
      <c r="CF1036" s="151">
        <f t="shared" si="88"/>
        <v>0</v>
      </c>
      <c r="CG1036" s="75">
        <f t="shared" si="90"/>
        <v>4881</v>
      </c>
      <c r="CH1036" s="69" t="str">
        <f t="shared" si="90"/>
        <v>برنامج دولى</v>
      </c>
    </row>
    <row r="1037" spans="1:86" x14ac:dyDescent="0.25">
      <c r="A1037" s="148"/>
      <c r="B1037" s="82">
        <v>8583</v>
      </c>
      <c r="C1037" s="149">
        <v>4882</v>
      </c>
      <c r="D1037" s="69" t="s">
        <v>78</v>
      </c>
      <c r="E1037" s="69" t="s">
        <v>3433</v>
      </c>
      <c r="F1037" s="63"/>
      <c r="G1037" s="69">
        <v>1758.75</v>
      </c>
      <c r="H1037" s="69"/>
      <c r="I1037" s="69"/>
      <c r="J1037" s="69"/>
      <c r="K1037" s="69"/>
      <c r="L1037" s="69"/>
      <c r="M1037" s="69"/>
      <c r="N1037" s="69"/>
      <c r="O1037" s="69"/>
      <c r="P1037" s="69"/>
      <c r="Q1037" s="69"/>
      <c r="R1037" s="69"/>
      <c r="S1037" s="69"/>
      <c r="T1037" s="69"/>
      <c r="U1037" s="69"/>
      <c r="V1037" s="69"/>
      <c r="W1037" s="69"/>
      <c r="X1037" s="69"/>
      <c r="Y1037" s="69"/>
      <c r="Z1037" s="69"/>
      <c r="AA1037" s="69"/>
      <c r="AB1037" s="69"/>
      <c r="AC1037" s="69"/>
      <c r="AD1037" s="69"/>
      <c r="AE1037" s="69"/>
      <c r="AF1037" s="69"/>
      <c r="AG1037" s="69"/>
      <c r="AH1037" s="69"/>
      <c r="AI1037" s="69"/>
      <c r="AJ1037" s="69"/>
      <c r="AK1037" s="69"/>
      <c r="AL1037" s="69"/>
      <c r="AM1037" s="69"/>
      <c r="AN1037" s="69"/>
      <c r="AO1037" s="69"/>
      <c r="AP1037" s="69"/>
      <c r="AQ1037" s="69"/>
      <c r="AR1037" s="94">
        <f t="shared" si="77"/>
        <v>1758.75</v>
      </c>
      <c r="AS1037" s="69">
        <v>1174.0999999999999</v>
      </c>
      <c r="AT1037" s="69">
        <f>10.9+150</f>
        <v>160.9</v>
      </c>
      <c r="AU1037" s="69">
        <v>423.75</v>
      </c>
      <c r="AV1037" s="69"/>
      <c r="AW1037" s="69"/>
      <c r="AX1037" s="69"/>
      <c r="AY1037" s="69"/>
      <c r="AZ1037" s="69"/>
      <c r="BA1037" s="69"/>
      <c r="BB1037" s="69"/>
      <c r="BC1037" s="69"/>
      <c r="BD1037" s="69"/>
      <c r="BE1037" s="69"/>
      <c r="BF1037" s="69"/>
      <c r="BG1037" s="69"/>
      <c r="BH1037" s="69"/>
      <c r="BI1037" s="69"/>
      <c r="BJ1037" s="69"/>
      <c r="BK1037" s="69"/>
      <c r="BL1037" s="69"/>
      <c r="BM1037" s="69"/>
      <c r="BN1037" s="69"/>
      <c r="BO1037" s="69"/>
      <c r="BP1037" s="69"/>
      <c r="BQ1037" s="69"/>
      <c r="BR1037" s="69"/>
      <c r="BS1037" s="69"/>
      <c r="BT1037" s="69"/>
      <c r="BU1037" s="69"/>
      <c r="BV1037" s="69"/>
      <c r="BW1037" s="69"/>
      <c r="BX1037" s="69"/>
      <c r="BY1037" s="69"/>
      <c r="BZ1037" s="69"/>
      <c r="CA1037" s="69"/>
      <c r="CB1037" s="69"/>
      <c r="CC1037" s="69"/>
      <c r="CD1037" s="69"/>
      <c r="CE1037" s="94">
        <f t="shared" si="81"/>
        <v>1758.75</v>
      </c>
      <c r="CF1037" s="151">
        <f t="shared" si="88"/>
        <v>0</v>
      </c>
      <c r="CG1037" s="75">
        <f t="shared" si="90"/>
        <v>4882</v>
      </c>
      <c r="CH1037" s="69" t="str">
        <f t="shared" si="90"/>
        <v>برنامج دولى</v>
      </c>
    </row>
    <row r="1038" spans="1:86" x14ac:dyDescent="0.25">
      <c r="A1038" s="148"/>
      <c r="B1038" s="82">
        <v>8826</v>
      </c>
      <c r="C1038" s="149">
        <v>4883</v>
      </c>
      <c r="D1038" s="69" t="s">
        <v>78</v>
      </c>
      <c r="E1038" s="69" t="s">
        <v>3434</v>
      </c>
      <c r="F1038" s="63"/>
      <c r="G1038" s="69">
        <v>9157.7900000000009</v>
      </c>
      <c r="H1038" s="69"/>
      <c r="I1038" s="69"/>
      <c r="J1038" s="69"/>
      <c r="K1038" s="69"/>
      <c r="L1038" s="69"/>
      <c r="M1038" s="69"/>
      <c r="N1038" s="69"/>
      <c r="O1038" s="69"/>
      <c r="P1038" s="69"/>
      <c r="Q1038" s="69"/>
      <c r="R1038" s="69"/>
      <c r="S1038" s="69"/>
      <c r="T1038" s="69"/>
      <c r="U1038" s="69"/>
      <c r="V1038" s="69"/>
      <c r="W1038" s="69"/>
      <c r="X1038" s="69"/>
      <c r="Y1038" s="69"/>
      <c r="Z1038" s="69"/>
      <c r="AA1038" s="69"/>
      <c r="AB1038" s="69"/>
      <c r="AC1038" s="69"/>
      <c r="AD1038" s="69"/>
      <c r="AE1038" s="69"/>
      <c r="AF1038" s="69"/>
      <c r="AG1038" s="69"/>
      <c r="AH1038" s="69"/>
      <c r="AI1038" s="69"/>
      <c r="AJ1038" s="69"/>
      <c r="AK1038" s="69"/>
      <c r="AL1038" s="69"/>
      <c r="AM1038" s="69"/>
      <c r="AN1038" s="69"/>
      <c r="AO1038" s="69"/>
      <c r="AP1038" s="69"/>
      <c r="AQ1038" s="69"/>
      <c r="AR1038" s="94">
        <f t="shared" si="77"/>
        <v>9157.7900000000009</v>
      </c>
      <c r="AS1038" s="69">
        <v>7930.37</v>
      </c>
      <c r="AT1038" s="69">
        <v>969</v>
      </c>
      <c r="AU1038" s="69">
        <v>258.42</v>
      </c>
      <c r="AV1038" s="69"/>
      <c r="AW1038" s="69"/>
      <c r="AX1038" s="69"/>
      <c r="AY1038" s="69"/>
      <c r="AZ1038" s="69"/>
      <c r="BA1038" s="69"/>
      <c r="BB1038" s="69"/>
      <c r="BC1038" s="69"/>
      <c r="BD1038" s="69"/>
      <c r="BE1038" s="69"/>
      <c r="BF1038" s="69"/>
      <c r="BG1038" s="69"/>
      <c r="BH1038" s="69"/>
      <c r="BI1038" s="69"/>
      <c r="BJ1038" s="69"/>
      <c r="BK1038" s="69"/>
      <c r="BL1038" s="69"/>
      <c r="BM1038" s="69"/>
      <c r="BN1038" s="69"/>
      <c r="BO1038" s="69"/>
      <c r="BP1038" s="69"/>
      <c r="BQ1038" s="69"/>
      <c r="BR1038" s="69"/>
      <c r="BS1038" s="69"/>
      <c r="BT1038" s="69"/>
      <c r="BU1038" s="69"/>
      <c r="BV1038" s="69"/>
      <c r="BW1038" s="69"/>
      <c r="BX1038" s="69"/>
      <c r="BY1038" s="69"/>
      <c r="BZ1038" s="69"/>
      <c r="CA1038" s="69"/>
      <c r="CB1038" s="69"/>
      <c r="CC1038" s="69"/>
      <c r="CD1038" s="69"/>
      <c r="CE1038" s="94">
        <f t="shared" si="81"/>
        <v>9157.7899999999991</v>
      </c>
      <c r="CF1038" s="151">
        <f t="shared" si="88"/>
        <v>0</v>
      </c>
      <c r="CG1038" s="75">
        <f t="shared" si="90"/>
        <v>4883</v>
      </c>
      <c r="CH1038" s="69" t="str">
        <f t="shared" si="90"/>
        <v>برنامج دولى</v>
      </c>
    </row>
    <row r="1039" spans="1:86" x14ac:dyDescent="0.25">
      <c r="A1039" s="148"/>
      <c r="B1039" s="82">
        <v>8289</v>
      </c>
      <c r="C1039" s="149">
        <v>4884</v>
      </c>
      <c r="D1039" s="69" t="s">
        <v>78</v>
      </c>
      <c r="E1039" s="69" t="s">
        <v>1004</v>
      </c>
      <c r="F1039" s="63"/>
      <c r="G1039" s="69">
        <v>23247.07</v>
      </c>
      <c r="H1039" s="69"/>
      <c r="I1039" s="69"/>
      <c r="J1039" s="69"/>
      <c r="K1039" s="69"/>
      <c r="L1039" s="69"/>
      <c r="M1039" s="69"/>
      <c r="N1039" s="69"/>
      <c r="O1039" s="69"/>
      <c r="P1039" s="69"/>
      <c r="Q1039" s="69"/>
      <c r="R1039" s="69"/>
      <c r="S1039" s="69"/>
      <c r="T1039" s="69"/>
      <c r="U1039" s="69"/>
      <c r="V1039" s="69"/>
      <c r="W1039" s="69"/>
      <c r="X1039" s="69"/>
      <c r="Y1039" s="69"/>
      <c r="Z1039" s="69"/>
      <c r="AA1039" s="69"/>
      <c r="AB1039" s="69"/>
      <c r="AC1039" s="69"/>
      <c r="AD1039" s="69"/>
      <c r="AE1039" s="69"/>
      <c r="AF1039" s="69"/>
      <c r="AG1039" s="69"/>
      <c r="AH1039" s="69"/>
      <c r="AI1039" s="69"/>
      <c r="AJ1039" s="69"/>
      <c r="AK1039" s="69"/>
      <c r="AL1039" s="69"/>
      <c r="AM1039" s="69"/>
      <c r="AN1039" s="69"/>
      <c r="AO1039" s="69"/>
      <c r="AP1039" s="69"/>
      <c r="AQ1039" s="69"/>
      <c r="AR1039" s="94">
        <f t="shared" si="77"/>
        <v>23247.07</v>
      </c>
      <c r="AS1039" s="69">
        <v>19867.02</v>
      </c>
      <c r="AT1039" s="69">
        <v>2402.25</v>
      </c>
      <c r="AU1039" s="69">
        <v>977.8</v>
      </c>
      <c r="AV1039" s="69"/>
      <c r="AW1039" s="69"/>
      <c r="AX1039" s="69"/>
      <c r="AY1039" s="69"/>
      <c r="AZ1039" s="69"/>
      <c r="BA1039" s="69"/>
      <c r="BB1039" s="69"/>
      <c r="BC1039" s="69"/>
      <c r="BD1039" s="69"/>
      <c r="BE1039" s="69"/>
      <c r="BF1039" s="69"/>
      <c r="BG1039" s="69"/>
      <c r="BH1039" s="69"/>
      <c r="BI1039" s="69"/>
      <c r="BJ1039" s="69"/>
      <c r="BK1039" s="69"/>
      <c r="BL1039" s="69"/>
      <c r="BM1039" s="69"/>
      <c r="BN1039" s="69"/>
      <c r="BO1039" s="69"/>
      <c r="BP1039" s="69"/>
      <c r="BQ1039" s="69"/>
      <c r="BR1039" s="69"/>
      <c r="BS1039" s="69"/>
      <c r="BT1039" s="69"/>
      <c r="BU1039" s="69"/>
      <c r="BV1039" s="69"/>
      <c r="BW1039" s="69"/>
      <c r="BX1039" s="69"/>
      <c r="BY1039" s="69"/>
      <c r="BZ1039" s="69"/>
      <c r="CA1039" s="69"/>
      <c r="CB1039" s="69"/>
      <c r="CC1039" s="69"/>
      <c r="CD1039" s="69"/>
      <c r="CE1039" s="94">
        <f t="shared" ref="CE1039:CE1100" si="91">SUM(AS1039:CD1039)</f>
        <v>23247.07</v>
      </c>
      <c r="CF1039" s="151">
        <f t="shared" si="88"/>
        <v>0</v>
      </c>
      <c r="CG1039" s="75">
        <f t="shared" si="90"/>
        <v>4884</v>
      </c>
      <c r="CH1039" s="69" t="str">
        <f t="shared" si="90"/>
        <v>برنامج دولى</v>
      </c>
    </row>
    <row r="1040" spans="1:86" x14ac:dyDescent="0.25">
      <c r="A1040" s="148"/>
      <c r="B1040" s="82">
        <v>8290</v>
      </c>
      <c r="C1040" s="149">
        <v>4885</v>
      </c>
      <c r="D1040" s="69" t="s">
        <v>78</v>
      </c>
      <c r="E1040" s="69" t="s">
        <v>1004</v>
      </c>
      <c r="F1040" s="63"/>
      <c r="G1040" s="69">
        <v>4590.33</v>
      </c>
      <c r="H1040" s="69"/>
      <c r="I1040" s="69"/>
      <c r="J1040" s="69"/>
      <c r="K1040" s="69"/>
      <c r="L1040" s="69"/>
      <c r="M1040" s="69"/>
      <c r="N1040" s="69"/>
      <c r="O1040" s="69"/>
      <c r="P1040" s="69"/>
      <c r="Q1040" s="69"/>
      <c r="R1040" s="69"/>
      <c r="S1040" s="69"/>
      <c r="T1040" s="69"/>
      <c r="U1040" s="69"/>
      <c r="V1040" s="69"/>
      <c r="W1040" s="69"/>
      <c r="X1040" s="69"/>
      <c r="Y1040" s="69"/>
      <c r="Z1040" s="69"/>
      <c r="AA1040" s="69"/>
      <c r="AB1040" s="69"/>
      <c r="AC1040" s="69"/>
      <c r="AD1040" s="69"/>
      <c r="AE1040" s="69"/>
      <c r="AF1040" s="69"/>
      <c r="AG1040" s="69"/>
      <c r="AH1040" s="69"/>
      <c r="AI1040" s="69"/>
      <c r="AJ1040" s="69"/>
      <c r="AK1040" s="69"/>
      <c r="AL1040" s="69"/>
      <c r="AM1040" s="69"/>
      <c r="AN1040" s="69"/>
      <c r="AO1040" s="69"/>
      <c r="AP1040" s="69"/>
      <c r="AQ1040" s="69"/>
      <c r="AR1040" s="94">
        <f t="shared" si="77"/>
        <v>4590.33</v>
      </c>
      <c r="AS1040" s="69">
        <v>3067.45</v>
      </c>
      <c r="AT1040" s="69">
        <v>416.9</v>
      </c>
      <c r="AU1040" s="69">
        <v>1105.98</v>
      </c>
      <c r="AV1040" s="69"/>
      <c r="AW1040" s="69"/>
      <c r="AX1040" s="69"/>
      <c r="AY1040" s="69"/>
      <c r="AZ1040" s="69"/>
      <c r="BA1040" s="69"/>
      <c r="BB1040" s="69"/>
      <c r="BC1040" s="69"/>
      <c r="BD1040" s="69"/>
      <c r="BE1040" s="69"/>
      <c r="BF1040" s="69"/>
      <c r="BG1040" s="69"/>
      <c r="BH1040" s="69"/>
      <c r="BI1040" s="69"/>
      <c r="BJ1040" s="69"/>
      <c r="BK1040" s="69"/>
      <c r="BL1040" s="69"/>
      <c r="BM1040" s="69"/>
      <c r="BN1040" s="69"/>
      <c r="BO1040" s="69"/>
      <c r="BP1040" s="69"/>
      <c r="BQ1040" s="69"/>
      <c r="BR1040" s="69"/>
      <c r="BS1040" s="69"/>
      <c r="BT1040" s="69"/>
      <c r="BU1040" s="69"/>
      <c r="BV1040" s="69"/>
      <c r="BW1040" s="69"/>
      <c r="BX1040" s="69"/>
      <c r="BY1040" s="69"/>
      <c r="BZ1040" s="69"/>
      <c r="CA1040" s="69"/>
      <c r="CB1040" s="69"/>
      <c r="CC1040" s="69"/>
      <c r="CD1040" s="69"/>
      <c r="CE1040" s="94">
        <f t="shared" si="91"/>
        <v>4590.33</v>
      </c>
      <c r="CF1040" s="151">
        <f t="shared" si="88"/>
        <v>0</v>
      </c>
      <c r="CG1040" s="75">
        <f t="shared" ref="CG1040:CH1110" si="92">+C1040</f>
        <v>4885</v>
      </c>
      <c r="CH1040" s="69" t="str">
        <f t="shared" si="92"/>
        <v>برنامج دولى</v>
      </c>
    </row>
    <row r="1041" spans="1:86" x14ac:dyDescent="0.25">
      <c r="A1041" s="148"/>
      <c r="B1041" s="82">
        <v>7897</v>
      </c>
      <c r="C1041" s="149">
        <v>4886</v>
      </c>
      <c r="D1041" s="69" t="s">
        <v>78</v>
      </c>
      <c r="E1041" s="69" t="s">
        <v>3435</v>
      </c>
      <c r="F1041" s="63"/>
      <c r="G1041" s="69">
        <v>6160.28</v>
      </c>
      <c r="H1041" s="69"/>
      <c r="I1041" s="69"/>
      <c r="J1041" s="69"/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69"/>
      <c r="V1041" s="69"/>
      <c r="W1041" s="69"/>
      <c r="X1041" s="69"/>
      <c r="Y1041" s="69"/>
      <c r="Z1041" s="69"/>
      <c r="AA1041" s="69"/>
      <c r="AB1041" s="69"/>
      <c r="AC1041" s="69"/>
      <c r="AD1041" s="69"/>
      <c r="AE1041" s="69"/>
      <c r="AF1041" s="69"/>
      <c r="AG1041" s="69"/>
      <c r="AH1041" s="69"/>
      <c r="AI1041" s="69"/>
      <c r="AJ1041" s="69"/>
      <c r="AK1041" s="69"/>
      <c r="AL1041" s="69"/>
      <c r="AM1041" s="69"/>
      <c r="AN1041" s="69"/>
      <c r="AO1041" s="69"/>
      <c r="AP1041" s="69"/>
      <c r="AQ1041" s="69"/>
      <c r="AR1041" s="94">
        <f t="shared" si="77"/>
        <v>6160.28</v>
      </c>
      <c r="AS1041" s="69">
        <v>5209.0600000000004</v>
      </c>
      <c r="AT1041" s="69">
        <v>639.6</v>
      </c>
      <c r="AU1041" s="69">
        <v>311.62</v>
      </c>
      <c r="AV1041" s="69"/>
      <c r="AW1041" s="69"/>
      <c r="AX1041" s="69"/>
      <c r="AY1041" s="69"/>
      <c r="AZ1041" s="69"/>
      <c r="BA1041" s="69"/>
      <c r="BB1041" s="69"/>
      <c r="BC1041" s="69"/>
      <c r="BD1041" s="69"/>
      <c r="BE1041" s="69"/>
      <c r="BF1041" s="69"/>
      <c r="BG1041" s="69"/>
      <c r="BH1041" s="69"/>
      <c r="BI1041" s="69"/>
      <c r="BJ1041" s="69"/>
      <c r="BK1041" s="69"/>
      <c r="BL1041" s="69"/>
      <c r="BM1041" s="69"/>
      <c r="BN1041" s="69"/>
      <c r="BO1041" s="69"/>
      <c r="BP1041" s="69"/>
      <c r="BQ1041" s="69"/>
      <c r="BR1041" s="69"/>
      <c r="BS1041" s="69"/>
      <c r="BT1041" s="69"/>
      <c r="BU1041" s="69"/>
      <c r="BV1041" s="69"/>
      <c r="BW1041" s="69"/>
      <c r="BX1041" s="69"/>
      <c r="BY1041" s="69"/>
      <c r="BZ1041" s="69"/>
      <c r="CA1041" s="69"/>
      <c r="CB1041" s="69"/>
      <c r="CC1041" s="69"/>
      <c r="CD1041" s="69"/>
      <c r="CE1041" s="94">
        <f t="shared" si="91"/>
        <v>6160.2800000000007</v>
      </c>
      <c r="CF1041" s="151">
        <f t="shared" si="88"/>
        <v>0</v>
      </c>
      <c r="CG1041" s="75">
        <f t="shared" si="92"/>
        <v>4886</v>
      </c>
      <c r="CH1041" s="69" t="str">
        <f t="shared" si="92"/>
        <v>برنامج دولى</v>
      </c>
    </row>
    <row r="1042" spans="1:86" x14ac:dyDescent="0.25">
      <c r="A1042" s="148"/>
      <c r="B1042" s="82">
        <v>7895</v>
      </c>
      <c r="C1042" s="149">
        <v>4887</v>
      </c>
      <c r="D1042" s="69" t="s">
        <v>78</v>
      </c>
      <c r="E1042" s="69" t="s">
        <v>3435</v>
      </c>
      <c r="F1042" s="63"/>
      <c r="G1042" s="69">
        <v>33522.61</v>
      </c>
      <c r="H1042" s="69"/>
      <c r="I1042" s="69"/>
      <c r="J1042" s="69"/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69"/>
      <c r="V1042" s="69"/>
      <c r="W1042" s="69"/>
      <c r="X1042" s="69"/>
      <c r="Y1042" s="69"/>
      <c r="Z1042" s="69"/>
      <c r="AA1042" s="69"/>
      <c r="AB1042" s="69"/>
      <c r="AC1042" s="69"/>
      <c r="AD1042" s="69"/>
      <c r="AE1042" s="69"/>
      <c r="AF1042" s="69"/>
      <c r="AG1042" s="69"/>
      <c r="AH1042" s="69"/>
      <c r="AI1042" s="69"/>
      <c r="AJ1042" s="69"/>
      <c r="AK1042" s="69"/>
      <c r="AL1042" s="69"/>
      <c r="AM1042" s="69"/>
      <c r="AN1042" s="69"/>
      <c r="AO1042" s="69"/>
      <c r="AP1042" s="69"/>
      <c r="AQ1042" s="69"/>
      <c r="AR1042" s="94">
        <f t="shared" si="77"/>
        <v>33522.61</v>
      </c>
      <c r="AS1042" s="69">
        <v>28620.51</v>
      </c>
      <c r="AT1042" s="69">
        <v>3505.8</v>
      </c>
      <c r="AU1042" s="69">
        <v>1396.3</v>
      </c>
      <c r="AV1042" s="69"/>
      <c r="AW1042" s="69"/>
      <c r="AX1042" s="69"/>
      <c r="AY1042" s="69"/>
      <c r="AZ1042" s="69"/>
      <c r="BA1042" s="69"/>
      <c r="BB1042" s="69"/>
      <c r="BC1042" s="69"/>
      <c r="BD1042" s="69"/>
      <c r="BE1042" s="69"/>
      <c r="BF1042" s="69"/>
      <c r="BG1042" s="69"/>
      <c r="BH1042" s="69"/>
      <c r="BI1042" s="69"/>
      <c r="BJ1042" s="69"/>
      <c r="BK1042" s="69"/>
      <c r="BL1042" s="69"/>
      <c r="BM1042" s="69"/>
      <c r="BN1042" s="69"/>
      <c r="BO1042" s="69"/>
      <c r="BP1042" s="69"/>
      <c r="BQ1042" s="69"/>
      <c r="BR1042" s="69"/>
      <c r="BS1042" s="69"/>
      <c r="BT1042" s="69"/>
      <c r="BU1042" s="69"/>
      <c r="BV1042" s="69"/>
      <c r="BW1042" s="69"/>
      <c r="BX1042" s="69"/>
      <c r="BY1042" s="69"/>
      <c r="BZ1042" s="69"/>
      <c r="CA1042" s="69"/>
      <c r="CB1042" s="69"/>
      <c r="CC1042" s="69"/>
      <c r="CD1042" s="69"/>
      <c r="CE1042" s="94">
        <f t="shared" si="91"/>
        <v>33522.61</v>
      </c>
      <c r="CF1042" s="151">
        <f t="shared" si="88"/>
        <v>0</v>
      </c>
      <c r="CG1042" s="75">
        <f t="shared" si="92"/>
        <v>4887</v>
      </c>
      <c r="CH1042" s="69" t="str">
        <f t="shared" si="92"/>
        <v>برنامج دولى</v>
      </c>
    </row>
    <row r="1043" spans="1:86" x14ac:dyDescent="0.25">
      <c r="A1043" s="148"/>
      <c r="B1043" s="82">
        <v>7896</v>
      </c>
      <c r="C1043" s="149">
        <v>4888</v>
      </c>
      <c r="D1043" s="69" t="s">
        <v>78</v>
      </c>
      <c r="E1043" s="69" t="s">
        <v>3435</v>
      </c>
      <c r="F1043" s="63"/>
      <c r="G1043" s="69">
        <v>6024.62</v>
      </c>
      <c r="H1043" s="69"/>
      <c r="I1043" s="69"/>
      <c r="J1043" s="69"/>
      <c r="K1043" s="69"/>
      <c r="L1043" s="69"/>
      <c r="M1043" s="69"/>
      <c r="N1043" s="69"/>
      <c r="O1043" s="69"/>
      <c r="P1043" s="69"/>
      <c r="Q1043" s="69"/>
      <c r="R1043" s="69"/>
      <c r="S1043" s="69"/>
      <c r="T1043" s="69"/>
      <c r="U1043" s="69"/>
      <c r="V1043" s="69"/>
      <c r="W1043" s="69"/>
      <c r="X1043" s="69"/>
      <c r="Y1043" s="69"/>
      <c r="Z1043" s="69"/>
      <c r="AA1043" s="69"/>
      <c r="AB1043" s="69"/>
      <c r="AC1043" s="69"/>
      <c r="AD1043" s="69"/>
      <c r="AE1043" s="69"/>
      <c r="AF1043" s="69"/>
      <c r="AG1043" s="69"/>
      <c r="AH1043" s="69"/>
      <c r="AI1043" s="69"/>
      <c r="AJ1043" s="69"/>
      <c r="AK1043" s="69"/>
      <c r="AL1043" s="69"/>
      <c r="AM1043" s="69"/>
      <c r="AN1043" s="69"/>
      <c r="AO1043" s="69"/>
      <c r="AP1043" s="69"/>
      <c r="AQ1043" s="69"/>
      <c r="AR1043" s="94">
        <f t="shared" si="77"/>
        <v>6024.62</v>
      </c>
      <c r="AS1043" s="69">
        <v>4241.87</v>
      </c>
      <c r="AT1043" s="69">
        <v>563.29999999999995</v>
      </c>
      <c r="AU1043" s="69">
        <v>1219.45</v>
      </c>
      <c r="AV1043" s="69"/>
      <c r="AW1043" s="69"/>
      <c r="AX1043" s="69"/>
      <c r="AY1043" s="69"/>
      <c r="AZ1043" s="69"/>
      <c r="BA1043" s="69"/>
      <c r="BB1043" s="69"/>
      <c r="BC1043" s="69"/>
      <c r="BD1043" s="69"/>
      <c r="BE1043" s="69"/>
      <c r="BF1043" s="69"/>
      <c r="BG1043" s="69"/>
      <c r="BH1043" s="69"/>
      <c r="BI1043" s="69"/>
      <c r="BJ1043" s="69"/>
      <c r="BK1043" s="69"/>
      <c r="BL1043" s="69"/>
      <c r="BM1043" s="69"/>
      <c r="BN1043" s="69"/>
      <c r="BO1043" s="69"/>
      <c r="BP1043" s="69"/>
      <c r="BQ1043" s="69"/>
      <c r="BR1043" s="69"/>
      <c r="BS1043" s="69"/>
      <c r="BT1043" s="69"/>
      <c r="BU1043" s="69"/>
      <c r="BV1043" s="69"/>
      <c r="BW1043" s="69"/>
      <c r="BX1043" s="69"/>
      <c r="BY1043" s="69"/>
      <c r="BZ1043" s="69"/>
      <c r="CA1043" s="69"/>
      <c r="CB1043" s="69"/>
      <c r="CC1043" s="69"/>
      <c r="CD1043" s="69"/>
      <c r="CE1043" s="94">
        <f t="shared" si="91"/>
        <v>6024.62</v>
      </c>
      <c r="CF1043" s="151">
        <f t="shared" si="88"/>
        <v>0</v>
      </c>
      <c r="CG1043" s="75">
        <f t="shared" si="92"/>
        <v>4888</v>
      </c>
      <c r="CH1043" s="69" t="str">
        <f t="shared" si="92"/>
        <v>برنامج دولى</v>
      </c>
    </row>
    <row r="1044" spans="1:86" x14ac:dyDescent="0.25">
      <c r="A1044" s="148"/>
      <c r="B1044" s="82">
        <v>7894</v>
      </c>
      <c r="C1044" s="149">
        <v>4889</v>
      </c>
      <c r="D1044" s="69" t="s">
        <v>78</v>
      </c>
      <c r="E1044" s="69" t="s">
        <v>3435</v>
      </c>
      <c r="F1044" s="63"/>
      <c r="G1044" s="69">
        <v>4783.8</v>
      </c>
      <c r="H1044" s="69"/>
      <c r="I1044" s="69"/>
      <c r="J1044" s="69"/>
      <c r="K1044" s="69"/>
      <c r="L1044" s="69"/>
      <c r="M1044" s="69"/>
      <c r="N1044" s="69"/>
      <c r="O1044" s="69"/>
      <c r="P1044" s="69"/>
      <c r="Q1044" s="69"/>
      <c r="R1044" s="69"/>
      <c r="S1044" s="69"/>
      <c r="T1044" s="69"/>
      <c r="U1044" s="69"/>
      <c r="V1044" s="69"/>
      <c r="W1044" s="69"/>
      <c r="X1044" s="69"/>
      <c r="Y1044" s="69"/>
      <c r="Z1044" s="69"/>
      <c r="AA1044" s="69"/>
      <c r="AB1044" s="69"/>
      <c r="AC1044" s="69"/>
      <c r="AD1044" s="69"/>
      <c r="AE1044" s="69"/>
      <c r="AF1044" s="69"/>
      <c r="AG1044" s="69"/>
      <c r="AH1044" s="69"/>
      <c r="AI1044" s="69"/>
      <c r="AJ1044" s="69"/>
      <c r="AK1044" s="69"/>
      <c r="AL1044" s="69"/>
      <c r="AM1044" s="69"/>
      <c r="AN1044" s="69"/>
      <c r="AO1044" s="69"/>
      <c r="AP1044" s="69"/>
      <c r="AQ1044" s="69"/>
      <c r="AR1044" s="94">
        <f t="shared" si="77"/>
        <v>4783.8</v>
      </c>
      <c r="AS1044" s="69">
        <v>3197.85</v>
      </c>
      <c r="AT1044" s="69">
        <v>433.35</v>
      </c>
      <c r="AU1044" s="69">
        <v>1152.5999999999999</v>
      </c>
      <c r="AV1044" s="69"/>
      <c r="AW1044" s="69"/>
      <c r="AX1044" s="69"/>
      <c r="AY1044" s="69"/>
      <c r="AZ1044" s="69"/>
      <c r="BA1044" s="69"/>
      <c r="BB1044" s="69"/>
      <c r="BC1044" s="69"/>
      <c r="BD1044" s="69"/>
      <c r="BE1044" s="69"/>
      <c r="BF1044" s="69"/>
      <c r="BG1044" s="69"/>
      <c r="BH1044" s="69"/>
      <c r="BI1044" s="69"/>
      <c r="BJ1044" s="69"/>
      <c r="BK1044" s="69"/>
      <c r="BL1044" s="69"/>
      <c r="BM1044" s="69"/>
      <c r="BN1044" s="69"/>
      <c r="BO1044" s="69"/>
      <c r="BP1044" s="69"/>
      <c r="BQ1044" s="69"/>
      <c r="BR1044" s="69"/>
      <c r="BS1044" s="69"/>
      <c r="BT1044" s="69"/>
      <c r="BU1044" s="69"/>
      <c r="BV1044" s="69"/>
      <c r="BW1044" s="69"/>
      <c r="BX1044" s="69"/>
      <c r="BY1044" s="69"/>
      <c r="BZ1044" s="69"/>
      <c r="CA1044" s="69"/>
      <c r="CB1044" s="69"/>
      <c r="CC1044" s="69"/>
      <c r="CD1044" s="69"/>
      <c r="CE1044" s="94">
        <f t="shared" si="91"/>
        <v>4783.7999999999993</v>
      </c>
      <c r="CF1044" s="151">
        <f t="shared" si="88"/>
        <v>0</v>
      </c>
      <c r="CG1044" s="75">
        <f t="shared" si="92"/>
        <v>4889</v>
      </c>
      <c r="CH1044" s="69" t="str">
        <f t="shared" si="92"/>
        <v>برنامج دولى</v>
      </c>
    </row>
    <row r="1045" spans="1:86" x14ac:dyDescent="0.25">
      <c r="A1045" s="148"/>
      <c r="B1045" s="82">
        <v>8288</v>
      </c>
      <c r="C1045" s="149">
        <v>4890</v>
      </c>
      <c r="D1045" s="69" t="s">
        <v>78</v>
      </c>
      <c r="E1045" s="69" t="str">
        <f>+E1040</f>
        <v>عب تدريس باطنه</v>
      </c>
      <c r="F1045" s="63"/>
      <c r="G1045" s="69">
        <v>984.9</v>
      </c>
      <c r="H1045" s="69"/>
      <c r="I1045" s="69"/>
      <c r="J1045" s="69"/>
      <c r="K1045" s="69"/>
      <c r="L1045" s="69"/>
      <c r="M1045" s="69"/>
      <c r="N1045" s="69"/>
      <c r="O1045" s="69"/>
      <c r="P1045" s="69"/>
      <c r="Q1045" s="69"/>
      <c r="R1045" s="69"/>
      <c r="S1045" s="69"/>
      <c r="T1045" s="69"/>
      <c r="U1045" s="69"/>
      <c r="V1045" s="69"/>
      <c r="W1045" s="69"/>
      <c r="X1045" s="69"/>
      <c r="Y1045" s="69"/>
      <c r="Z1045" s="69"/>
      <c r="AA1045" s="69"/>
      <c r="AB1045" s="69"/>
      <c r="AC1045" s="69"/>
      <c r="AD1045" s="69"/>
      <c r="AE1045" s="69"/>
      <c r="AF1045" s="69"/>
      <c r="AG1045" s="69"/>
      <c r="AH1045" s="69"/>
      <c r="AI1045" s="69"/>
      <c r="AJ1045" s="69"/>
      <c r="AK1045" s="69"/>
      <c r="AL1045" s="69"/>
      <c r="AM1045" s="69"/>
      <c r="AN1045" s="69"/>
      <c r="AO1045" s="69"/>
      <c r="AP1045" s="69"/>
      <c r="AQ1045" s="69"/>
      <c r="AR1045" s="94">
        <f t="shared" si="77"/>
        <v>984.9</v>
      </c>
      <c r="AS1045" s="69">
        <v>658.7</v>
      </c>
      <c r="AT1045" s="69">
        <v>88.9</v>
      </c>
      <c r="AU1045" s="69">
        <v>237.3</v>
      </c>
      <c r="AV1045" s="69"/>
      <c r="AW1045" s="69"/>
      <c r="AX1045" s="69"/>
      <c r="AY1045" s="69"/>
      <c r="AZ1045" s="69"/>
      <c r="BA1045" s="69"/>
      <c r="BB1045" s="69"/>
      <c r="BC1045" s="69"/>
      <c r="BD1045" s="69"/>
      <c r="BE1045" s="69"/>
      <c r="BF1045" s="69"/>
      <c r="BG1045" s="69"/>
      <c r="BH1045" s="69"/>
      <c r="BI1045" s="69"/>
      <c r="BJ1045" s="69"/>
      <c r="BK1045" s="69"/>
      <c r="BL1045" s="69"/>
      <c r="BM1045" s="69"/>
      <c r="BN1045" s="69"/>
      <c r="BO1045" s="69"/>
      <c r="BP1045" s="69"/>
      <c r="BQ1045" s="69"/>
      <c r="BR1045" s="69"/>
      <c r="BS1045" s="69"/>
      <c r="BT1045" s="69"/>
      <c r="BU1045" s="69"/>
      <c r="BV1045" s="69"/>
      <c r="BW1045" s="69"/>
      <c r="BX1045" s="69"/>
      <c r="BY1045" s="69"/>
      <c r="BZ1045" s="69"/>
      <c r="CA1045" s="69"/>
      <c r="CB1045" s="69"/>
      <c r="CC1045" s="69"/>
      <c r="CD1045" s="69"/>
      <c r="CE1045" s="94">
        <f t="shared" si="91"/>
        <v>984.90000000000009</v>
      </c>
      <c r="CF1045" s="151">
        <f t="shared" si="88"/>
        <v>0</v>
      </c>
      <c r="CG1045" s="75">
        <f t="shared" si="92"/>
        <v>4890</v>
      </c>
      <c r="CH1045" s="69" t="str">
        <f t="shared" si="92"/>
        <v>برنامج دولى</v>
      </c>
    </row>
    <row r="1046" spans="1:86" x14ac:dyDescent="0.25">
      <c r="A1046" s="148"/>
      <c r="B1046" s="82">
        <v>8683</v>
      </c>
      <c r="C1046" s="149">
        <v>4891</v>
      </c>
      <c r="D1046" s="69" t="s">
        <v>78</v>
      </c>
      <c r="E1046" s="69" t="str">
        <f>+E1045</f>
        <v>عب تدريس باطنه</v>
      </c>
      <c r="F1046" s="63"/>
      <c r="G1046" s="69">
        <v>1195.95</v>
      </c>
      <c r="H1046" s="69"/>
      <c r="I1046" s="69"/>
      <c r="J1046" s="69"/>
      <c r="K1046" s="69"/>
      <c r="L1046" s="69"/>
      <c r="M1046" s="69"/>
      <c r="N1046" s="69"/>
      <c r="O1046" s="69"/>
      <c r="P1046" s="69"/>
      <c r="Q1046" s="69"/>
      <c r="R1046" s="69"/>
      <c r="S1046" s="69"/>
      <c r="T1046" s="69"/>
      <c r="U1046" s="69"/>
      <c r="V1046" s="69"/>
      <c r="W1046" s="69"/>
      <c r="X1046" s="69"/>
      <c r="Y1046" s="69"/>
      <c r="Z1046" s="69"/>
      <c r="AA1046" s="69"/>
      <c r="AB1046" s="69"/>
      <c r="AC1046" s="69"/>
      <c r="AD1046" s="69"/>
      <c r="AE1046" s="69"/>
      <c r="AF1046" s="69"/>
      <c r="AG1046" s="69"/>
      <c r="AH1046" s="69"/>
      <c r="AI1046" s="69"/>
      <c r="AJ1046" s="69"/>
      <c r="AK1046" s="69"/>
      <c r="AL1046" s="69"/>
      <c r="AM1046" s="69"/>
      <c r="AN1046" s="69"/>
      <c r="AO1046" s="69"/>
      <c r="AP1046" s="69"/>
      <c r="AQ1046" s="69"/>
      <c r="AR1046" s="94">
        <f t="shared" si="77"/>
        <v>1195.95</v>
      </c>
      <c r="AS1046" s="69">
        <v>799.35</v>
      </c>
      <c r="AT1046" s="69">
        <v>108.45</v>
      </c>
      <c r="AU1046" s="69">
        <v>288.14999999999998</v>
      </c>
      <c r="AV1046" s="69"/>
      <c r="AW1046" s="69"/>
      <c r="AX1046" s="69"/>
      <c r="AY1046" s="69"/>
      <c r="AZ1046" s="69"/>
      <c r="BA1046" s="69"/>
      <c r="BB1046" s="69"/>
      <c r="BC1046" s="69"/>
      <c r="BD1046" s="69"/>
      <c r="BE1046" s="69"/>
      <c r="BF1046" s="69"/>
      <c r="BG1046" s="69"/>
      <c r="BH1046" s="69"/>
      <c r="BI1046" s="69"/>
      <c r="BJ1046" s="69"/>
      <c r="BK1046" s="69"/>
      <c r="BL1046" s="69"/>
      <c r="BM1046" s="69"/>
      <c r="BN1046" s="69"/>
      <c r="BO1046" s="69"/>
      <c r="BP1046" s="69"/>
      <c r="BQ1046" s="69"/>
      <c r="BR1046" s="69"/>
      <c r="BS1046" s="69"/>
      <c r="BT1046" s="69"/>
      <c r="BU1046" s="69"/>
      <c r="BV1046" s="69"/>
      <c r="BW1046" s="69"/>
      <c r="BX1046" s="69"/>
      <c r="BY1046" s="69"/>
      <c r="BZ1046" s="69"/>
      <c r="CA1046" s="69"/>
      <c r="CB1046" s="69"/>
      <c r="CC1046" s="69"/>
      <c r="CD1046" s="69"/>
      <c r="CE1046" s="94">
        <f t="shared" si="91"/>
        <v>1195.95</v>
      </c>
      <c r="CF1046" s="151">
        <f t="shared" si="88"/>
        <v>0</v>
      </c>
      <c r="CG1046" s="75">
        <f t="shared" si="92"/>
        <v>4891</v>
      </c>
      <c r="CH1046" s="69" t="str">
        <f t="shared" si="92"/>
        <v>برنامج دولى</v>
      </c>
    </row>
    <row r="1047" spans="1:86" x14ac:dyDescent="0.25">
      <c r="A1047" s="148"/>
      <c r="B1047" s="82">
        <v>8687</v>
      </c>
      <c r="C1047" s="149">
        <v>4892</v>
      </c>
      <c r="D1047" s="69" t="s">
        <v>78</v>
      </c>
      <c r="E1047" s="69" t="str">
        <f>+E1046</f>
        <v>عب تدريس باطنه</v>
      </c>
      <c r="F1047" s="63"/>
      <c r="G1047" s="69">
        <v>4783.3100000000004</v>
      </c>
      <c r="H1047" s="69"/>
      <c r="I1047" s="69"/>
      <c r="J1047" s="69"/>
      <c r="K1047" s="69"/>
      <c r="L1047" s="69"/>
      <c r="M1047" s="69"/>
      <c r="N1047" s="69"/>
      <c r="O1047" s="69"/>
      <c r="P1047" s="69"/>
      <c r="Q1047" s="69"/>
      <c r="R1047" s="69"/>
      <c r="S1047" s="69"/>
      <c r="T1047" s="69"/>
      <c r="U1047" s="69"/>
      <c r="V1047" s="69"/>
      <c r="W1047" s="69"/>
      <c r="X1047" s="69"/>
      <c r="Y1047" s="69"/>
      <c r="Z1047" s="69"/>
      <c r="AA1047" s="69"/>
      <c r="AB1047" s="69"/>
      <c r="AC1047" s="69"/>
      <c r="AD1047" s="69"/>
      <c r="AE1047" s="69"/>
      <c r="AF1047" s="69"/>
      <c r="AG1047" s="69"/>
      <c r="AH1047" s="69"/>
      <c r="AI1047" s="69"/>
      <c r="AJ1047" s="69"/>
      <c r="AK1047" s="69"/>
      <c r="AL1047" s="69"/>
      <c r="AM1047" s="69"/>
      <c r="AN1047" s="69"/>
      <c r="AO1047" s="69"/>
      <c r="AP1047" s="69"/>
      <c r="AQ1047" s="69"/>
      <c r="AR1047" s="94">
        <f t="shared" si="77"/>
        <v>4783.3100000000004</v>
      </c>
      <c r="AS1047" s="69">
        <v>3197.01</v>
      </c>
      <c r="AT1047" s="69">
        <v>434.5</v>
      </c>
      <c r="AU1047" s="69">
        <v>1151.8</v>
      </c>
      <c r="AV1047" s="69"/>
      <c r="AW1047" s="69"/>
      <c r="AX1047" s="69"/>
      <c r="AY1047" s="69"/>
      <c r="AZ1047" s="69"/>
      <c r="BA1047" s="69"/>
      <c r="BB1047" s="69"/>
      <c r="BC1047" s="69"/>
      <c r="BD1047" s="69"/>
      <c r="BE1047" s="69"/>
      <c r="BF1047" s="69"/>
      <c r="BG1047" s="69"/>
      <c r="BH1047" s="69"/>
      <c r="BI1047" s="69"/>
      <c r="BJ1047" s="69"/>
      <c r="BK1047" s="69"/>
      <c r="BL1047" s="69"/>
      <c r="BM1047" s="69"/>
      <c r="BN1047" s="69"/>
      <c r="BO1047" s="69"/>
      <c r="BP1047" s="69"/>
      <c r="BQ1047" s="69"/>
      <c r="BR1047" s="69"/>
      <c r="BS1047" s="69"/>
      <c r="BT1047" s="69"/>
      <c r="BU1047" s="69"/>
      <c r="BV1047" s="69"/>
      <c r="BW1047" s="69"/>
      <c r="BX1047" s="69"/>
      <c r="BY1047" s="69"/>
      <c r="BZ1047" s="69"/>
      <c r="CA1047" s="69"/>
      <c r="CB1047" s="69"/>
      <c r="CC1047" s="69"/>
      <c r="CD1047" s="69"/>
      <c r="CE1047" s="94">
        <f t="shared" si="91"/>
        <v>4783.3100000000004</v>
      </c>
      <c r="CF1047" s="151">
        <f t="shared" si="88"/>
        <v>0</v>
      </c>
      <c r="CG1047" s="75">
        <f t="shared" si="92"/>
        <v>4892</v>
      </c>
      <c r="CH1047" s="69" t="str">
        <f t="shared" si="92"/>
        <v>برنامج دولى</v>
      </c>
    </row>
    <row r="1048" spans="1:86" x14ac:dyDescent="0.25">
      <c r="A1048" s="148"/>
      <c r="B1048" s="82">
        <v>8684</v>
      </c>
      <c r="C1048" s="149">
        <v>4893</v>
      </c>
      <c r="D1048" s="69" t="s">
        <v>78</v>
      </c>
      <c r="E1048" s="69" t="str">
        <f>+E1047</f>
        <v>عب تدريس باطنه</v>
      </c>
      <c r="F1048" s="63"/>
      <c r="G1048" s="69">
        <v>7808.85</v>
      </c>
      <c r="H1048" s="69"/>
      <c r="I1048" s="69"/>
      <c r="J1048" s="69"/>
      <c r="K1048" s="69"/>
      <c r="L1048" s="69"/>
      <c r="M1048" s="69"/>
      <c r="N1048" s="69"/>
      <c r="O1048" s="69"/>
      <c r="P1048" s="69"/>
      <c r="Q1048" s="69"/>
      <c r="R1048" s="69"/>
      <c r="S1048" s="69"/>
      <c r="T1048" s="69"/>
      <c r="U1048" s="69"/>
      <c r="V1048" s="69"/>
      <c r="W1048" s="69"/>
      <c r="X1048" s="69"/>
      <c r="Y1048" s="69"/>
      <c r="Z1048" s="69"/>
      <c r="AA1048" s="69"/>
      <c r="AB1048" s="69"/>
      <c r="AC1048" s="69"/>
      <c r="AD1048" s="69"/>
      <c r="AE1048" s="69"/>
      <c r="AF1048" s="69"/>
      <c r="AG1048" s="69"/>
      <c r="AH1048" s="69"/>
      <c r="AI1048" s="69"/>
      <c r="AJ1048" s="69"/>
      <c r="AK1048" s="69"/>
      <c r="AL1048" s="69"/>
      <c r="AM1048" s="69"/>
      <c r="AN1048" s="69"/>
      <c r="AO1048" s="69"/>
      <c r="AP1048" s="69"/>
      <c r="AQ1048" s="69"/>
      <c r="AR1048" s="94">
        <f t="shared" si="77"/>
        <v>7808.85</v>
      </c>
      <c r="AS1048" s="69">
        <v>5218</v>
      </c>
      <c r="AT1048" s="69">
        <f>43.4+666</f>
        <v>709.4</v>
      </c>
      <c r="AU1048" s="69">
        <v>1881.45</v>
      </c>
      <c r="AV1048" s="69"/>
      <c r="AW1048" s="69"/>
      <c r="AX1048" s="69"/>
      <c r="AY1048" s="69"/>
      <c r="AZ1048" s="69"/>
      <c r="BA1048" s="69"/>
      <c r="BB1048" s="69"/>
      <c r="BC1048" s="69"/>
      <c r="BD1048" s="69"/>
      <c r="BE1048" s="69"/>
      <c r="BF1048" s="69"/>
      <c r="BG1048" s="69"/>
      <c r="BH1048" s="69"/>
      <c r="BI1048" s="69"/>
      <c r="BJ1048" s="69"/>
      <c r="BK1048" s="69"/>
      <c r="BL1048" s="69"/>
      <c r="BM1048" s="69"/>
      <c r="BN1048" s="69"/>
      <c r="BO1048" s="69"/>
      <c r="BP1048" s="69"/>
      <c r="BQ1048" s="69"/>
      <c r="BR1048" s="69"/>
      <c r="BS1048" s="69"/>
      <c r="BT1048" s="69"/>
      <c r="BU1048" s="69"/>
      <c r="BV1048" s="69"/>
      <c r="BW1048" s="69"/>
      <c r="BX1048" s="69"/>
      <c r="BY1048" s="69"/>
      <c r="BZ1048" s="69"/>
      <c r="CA1048" s="69"/>
      <c r="CB1048" s="69"/>
      <c r="CC1048" s="69"/>
      <c r="CD1048" s="69"/>
      <c r="CE1048" s="94">
        <f t="shared" si="91"/>
        <v>7808.8499999999995</v>
      </c>
      <c r="CF1048" s="151">
        <f t="shared" si="88"/>
        <v>0</v>
      </c>
      <c r="CG1048" s="75">
        <f t="shared" si="92"/>
        <v>4893</v>
      </c>
      <c r="CH1048" s="69" t="str">
        <f t="shared" si="92"/>
        <v>برنامج دولى</v>
      </c>
    </row>
    <row r="1049" spans="1:86" x14ac:dyDescent="0.25">
      <c r="A1049" s="148"/>
      <c r="B1049" s="82">
        <v>8685</v>
      </c>
      <c r="C1049" s="149">
        <v>4894</v>
      </c>
      <c r="D1049" s="69" t="s">
        <v>78</v>
      </c>
      <c r="E1049" s="69" t="str">
        <f>+E1048</f>
        <v>عب تدريس باطنه</v>
      </c>
      <c r="F1049" s="63"/>
      <c r="G1049" s="69">
        <v>8780.42</v>
      </c>
      <c r="H1049" s="69"/>
      <c r="I1049" s="69"/>
      <c r="J1049" s="69"/>
      <c r="K1049" s="69"/>
      <c r="L1049" s="69"/>
      <c r="M1049" s="69"/>
      <c r="N1049" s="69"/>
      <c r="O1049" s="69"/>
      <c r="P1049" s="69"/>
      <c r="Q1049" s="69"/>
      <c r="R1049" s="69"/>
      <c r="S1049" s="69"/>
      <c r="T1049" s="69"/>
      <c r="U1049" s="69"/>
      <c r="V1049" s="69"/>
      <c r="W1049" s="69"/>
      <c r="X1049" s="69"/>
      <c r="Y1049" s="69"/>
      <c r="Z1049" s="69"/>
      <c r="AA1049" s="69"/>
      <c r="AB1049" s="69"/>
      <c r="AC1049" s="69"/>
      <c r="AD1049" s="69"/>
      <c r="AE1049" s="69"/>
      <c r="AF1049" s="69"/>
      <c r="AG1049" s="69"/>
      <c r="AH1049" s="69"/>
      <c r="AI1049" s="69"/>
      <c r="AJ1049" s="69"/>
      <c r="AK1049" s="69"/>
      <c r="AL1049" s="69"/>
      <c r="AM1049" s="69"/>
      <c r="AN1049" s="69"/>
      <c r="AO1049" s="69"/>
      <c r="AP1049" s="69"/>
      <c r="AQ1049" s="69"/>
      <c r="AR1049" s="94">
        <f t="shared" si="77"/>
        <v>8780.42</v>
      </c>
      <c r="AS1049" s="69">
        <v>6616.28</v>
      </c>
      <c r="AT1049" s="69">
        <v>853.3</v>
      </c>
      <c r="AU1049" s="69">
        <v>1310.84</v>
      </c>
      <c r="AV1049" s="69"/>
      <c r="AW1049" s="69"/>
      <c r="AX1049" s="69"/>
      <c r="AY1049" s="69"/>
      <c r="AZ1049" s="69"/>
      <c r="BA1049" s="69"/>
      <c r="BB1049" s="69"/>
      <c r="BC1049" s="69"/>
      <c r="BD1049" s="69"/>
      <c r="BE1049" s="69"/>
      <c r="BF1049" s="69"/>
      <c r="BG1049" s="69"/>
      <c r="BH1049" s="69"/>
      <c r="BI1049" s="69"/>
      <c r="BJ1049" s="69"/>
      <c r="BK1049" s="69"/>
      <c r="BL1049" s="69"/>
      <c r="BM1049" s="69"/>
      <c r="BN1049" s="69"/>
      <c r="BO1049" s="69"/>
      <c r="BP1049" s="69"/>
      <c r="BQ1049" s="69"/>
      <c r="BR1049" s="69"/>
      <c r="BS1049" s="69"/>
      <c r="BT1049" s="69"/>
      <c r="BU1049" s="69"/>
      <c r="BV1049" s="69"/>
      <c r="BW1049" s="69"/>
      <c r="BX1049" s="69"/>
      <c r="BY1049" s="69"/>
      <c r="BZ1049" s="69"/>
      <c r="CA1049" s="69"/>
      <c r="CB1049" s="69"/>
      <c r="CC1049" s="69"/>
      <c r="CD1049" s="69"/>
      <c r="CE1049" s="94">
        <f t="shared" si="91"/>
        <v>8780.42</v>
      </c>
      <c r="CF1049" s="151">
        <f t="shared" si="88"/>
        <v>0</v>
      </c>
      <c r="CG1049" s="75">
        <f t="shared" si="92"/>
        <v>4894</v>
      </c>
      <c r="CH1049" s="69" t="str">
        <f t="shared" si="92"/>
        <v>برنامج دولى</v>
      </c>
    </row>
    <row r="1050" spans="1:86" x14ac:dyDescent="0.25">
      <c r="A1050" s="148"/>
      <c r="B1050" s="82">
        <v>8686</v>
      </c>
      <c r="C1050" s="149">
        <v>4895</v>
      </c>
      <c r="D1050" s="69" t="s">
        <v>78</v>
      </c>
      <c r="E1050" s="69" t="str">
        <f>+E1049</f>
        <v>عب تدريس باطنه</v>
      </c>
      <c r="F1050" s="63"/>
      <c r="G1050" s="69">
        <v>4650.2700000000004</v>
      </c>
      <c r="H1050" s="69"/>
      <c r="I1050" s="69"/>
      <c r="J1050" s="69"/>
      <c r="K1050" s="69"/>
      <c r="L1050" s="69"/>
      <c r="M1050" s="69"/>
      <c r="N1050" s="69"/>
      <c r="O1050" s="69"/>
      <c r="P1050" s="69"/>
      <c r="Q1050" s="69"/>
      <c r="R1050" s="69"/>
      <c r="S1050" s="69"/>
      <c r="T1050" s="69"/>
      <c r="U1050" s="69"/>
      <c r="V1050" s="69"/>
      <c r="W1050" s="69"/>
      <c r="X1050" s="69"/>
      <c r="Y1050" s="69"/>
      <c r="Z1050" s="69"/>
      <c r="AA1050" s="69"/>
      <c r="AB1050" s="69"/>
      <c r="AC1050" s="69"/>
      <c r="AD1050" s="69"/>
      <c r="AE1050" s="69"/>
      <c r="AF1050" s="69"/>
      <c r="AG1050" s="69"/>
      <c r="AH1050" s="69"/>
      <c r="AI1050" s="69"/>
      <c r="AJ1050" s="69"/>
      <c r="AK1050" s="69"/>
      <c r="AL1050" s="69"/>
      <c r="AM1050" s="69"/>
      <c r="AN1050" s="69"/>
      <c r="AO1050" s="69"/>
      <c r="AP1050" s="69"/>
      <c r="AQ1050" s="69"/>
      <c r="AR1050" s="94">
        <f t="shared" si="77"/>
        <v>4650.2700000000004</v>
      </c>
      <c r="AS1050" s="69">
        <v>3463.87</v>
      </c>
      <c r="AT1050" s="69">
        <v>449</v>
      </c>
      <c r="AU1050" s="69">
        <v>737.4</v>
      </c>
      <c r="AV1050" s="69"/>
      <c r="AW1050" s="69"/>
      <c r="AX1050" s="69"/>
      <c r="AY1050" s="69"/>
      <c r="AZ1050" s="69"/>
      <c r="BA1050" s="69"/>
      <c r="BB1050" s="69"/>
      <c r="BC1050" s="69"/>
      <c r="BD1050" s="69"/>
      <c r="BE1050" s="69"/>
      <c r="BF1050" s="69"/>
      <c r="BG1050" s="69"/>
      <c r="BH1050" s="69"/>
      <c r="BI1050" s="69"/>
      <c r="BJ1050" s="69"/>
      <c r="BK1050" s="69"/>
      <c r="BL1050" s="69"/>
      <c r="BM1050" s="69"/>
      <c r="BN1050" s="69"/>
      <c r="BO1050" s="69"/>
      <c r="BP1050" s="69"/>
      <c r="BQ1050" s="69"/>
      <c r="BR1050" s="69"/>
      <c r="BS1050" s="69"/>
      <c r="BT1050" s="69"/>
      <c r="BU1050" s="69"/>
      <c r="BV1050" s="69"/>
      <c r="BW1050" s="69"/>
      <c r="BX1050" s="69"/>
      <c r="BY1050" s="69"/>
      <c r="BZ1050" s="69"/>
      <c r="CA1050" s="69"/>
      <c r="CB1050" s="69"/>
      <c r="CC1050" s="69"/>
      <c r="CD1050" s="69"/>
      <c r="CE1050" s="94">
        <f t="shared" si="91"/>
        <v>4650.2699999999995</v>
      </c>
      <c r="CF1050" s="151">
        <f t="shared" si="88"/>
        <v>0</v>
      </c>
      <c r="CG1050" s="75">
        <f t="shared" si="92"/>
        <v>4895</v>
      </c>
      <c r="CH1050" s="69" t="str">
        <f t="shared" si="92"/>
        <v>برنامج دولى</v>
      </c>
    </row>
    <row r="1051" spans="1:86" x14ac:dyDescent="0.25">
      <c r="A1051" s="148"/>
      <c r="B1051" s="82">
        <v>8299</v>
      </c>
      <c r="C1051" s="149">
        <v>4896</v>
      </c>
      <c r="D1051" s="69" t="s">
        <v>78</v>
      </c>
      <c r="E1051" s="69" t="str">
        <f>+E1038</f>
        <v>مكافاه مراجعات نظريه</v>
      </c>
      <c r="F1051" s="63"/>
      <c r="G1051" s="69">
        <v>58518.49</v>
      </c>
      <c r="H1051" s="69"/>
      <c r="I1051" s="69"/>
      <c r="J1051" s="69"/>
      <c r="K1051" s="69"/>
      <c r="L1051" s="69"/>
      <c r="M1051" s="69"/>
      <c r="N1051" s="69"/>
      <c r="O1051" s="69"/>
      <c r="P1051" s="69"/>
      <c r="Q1051" s="69"/>
      <c r="R1051" s="69"/>
      <c r="S1051" s="69"/>
      <c r="T1051" s="69"/>
      <c r="U1051" s="69"/>
      <c r="V1051" s="69"/>
      <c r="W1051" s="69"/>
      <c r="X1051" s="69"/>
      <c r="Y1051" s="69"/>
      <c r="Z1051" s="69"/>
      <c r="AA1051" s="69"/>
      <c r="AB1051" s="69"/>
      <c r="AC1051" s="69"/>
      <c r="AD1051" s="69"/>
      <c r="AE1051" s="69"/>
      <c r="AF1051" s="69"/>
      <c r="AG1051" s="69"/>
      <c r="AH1051" s="69"/>
      <c r="AI1051" s="69"/>
      <c r="AJ1051" s="69"/>
      <c r="AK1051" s="69"/>
      <c r="AL1051" s="69"/>
      <c r="AM1051" s="69"/>
      <c r="AN1051" s="69"/>
      <c r="AO1051" s="69"/>
      <c r="AP1051" s="69"/>
      <c r="AQ1051" s="69"/>
      <c r="AR1051" s="94">
        <f t="shared" si="77"/>
        <v>58518.49</v>
      </c>
      <c r="AS1051" s="69">
        <v>49842.94</v>
      </c>
      <c r="AT1051" s="69">
        <v>6124.37</v>
      </c>
      <c r="AU1051" s="69">
        <v>2551.1799999999998</v>
      </c>
      <c r="AV1051" s="69"/>
      <c r="AW1051" s="69"/>
      <c r="AX1051" s="69"/>
      <c r="AY1051" s="69"/>
      <c r="AZ1051" s="69"/>
      <c r="BA1051" s="69"/>
      <c r="BB1051" s="69"/>
      <c r="BC1051" s="69"/>
      <c r="BD1051" s="69"/>
      <c r="BE1051" s="69"/>
      <c r="BF1051" s="69"/>
      <c r="BG1051" s="69"/>
      <c r="BH1051" s="69"/>
      <c r="BI1051" s="69"/>
      <c r="BJ1051" s="69"/>
      <c r="BK1051" s="69"/>
      <c r="BL1051" s="69"/>
      <c r="BM1051" s="69"/>
      <c r="BN1051" s="69"/>
      <c r="BO1051" s="69"/>
      <c r="BP1051" s="69"/>
      <c r="BQ1051" s="69"/>
      <c r="BR1051" s="69"/>
      <c r="BS1051" s="69"/>
      <c r="BT1051" s="69"/>
      <c r="BU1051" s="69"/>
      <c r="BV1051" s="69"/>
      <c r="BW1051" s="69"/>
      <c r="BX1051" s="69"/>
      <c r="BY1051" s="69"/>
      <c r="BZ1051" s="69"/>
      <c r="CA1051" s="69"/>
      <c r="CB1051" s="69"/>
      <c r="CC1051" s="69"/>
      <c r="CD1051" s="69"/>
      <c r="CE1051" s="94">
        <f t="shared" si="91"/>
        <v>58518.490000000005</v>
      </c>
      <c r="CF1051" s="151">
        <f t="shared" si="88"/>
        <v>0</v>
      </c>
      <c r="CG1051" s="75">
        <f t="shared" si="92"/>
        <v>4896</v>
      </c>
      <c r="CH1051" s="69" t="str">
        <f t="shared" si="92"/>
        <v>برنامج دولى</v>
      </c>
    </row>
    <row r="1052" spans="1:86" x14ac:dyDescent="0.25">
      <c r="A1052" s="148"/>
      <c r="B1052" s="82">
        <v>8287</v>
      </c>
      <c r="C1052" s="149">
        <v>4897</v>
      </c>
      <c r="D1052" s="69" t="s">
        <v>78</v>
      </c>
      <c r="E1052" s="69" t="s">
        <v>2900</v>
      </c>
      <c r="F1052" s="63"/>
      <c r="G1052" s="69">
        <v>12718.15</v>
      </c>
      <c r="H1052" s="69"/>
      <c r="I1052" s="69"/>
      <c r="J1052" s="69"/>
      <c r="K1052" s="69"/>
      <c r="L1052" s="69"/>
      <c r="M1052" s="69"/>
      <c r="N1052" s="69"/>
      <c r="O1052" s="69"/>
      <c r="P1052" s="69"/>
      <c r="Q1052" s="69"/>
      <c r="R1052" s="69"/>
      <c r="S1052" s="69"/>
      <c r="T1052" s="69"/>
      <c r="U1052" s="69"/>
      <c r="V1052" s="69"/>
      <c r="W1052" s="69"/>
      <c r="X1052" s="69"/>
      <c r="Y1052" s="69"/>
      <c r="Z1052" s="69"/>
      <c r="AA1052" s="69"/>
      <c r="AB1052" s="69"/>
      <c r="AC1052" s="69"/>
      <c r="AD1052" s="69"/>
      <c r="AE1052" s="69"/>
      <c r="AF1052" s="69"/>
      <c r="AG1052" s="69"/>
      <c r="AH1052" s="69"/>
      <c r="AI1052" s="69"/>
      <c r="AJ1052" s="69"/>
      <c r="AK1052" s="69"/>
      <c r="AL1052" s="69"/>
      <c r="AM1052" s="69"/>
      <c r="AN1052" s="69"/>
      <c r="AO1052" s="69"/>
      <c r="AP1052" s="69"/>
      <c r="AQ1052" s="69"/>
      <c r="AR1052" s="94">
        <f t="shared" si="77"/>
        <v>12718.15</v>
      </c>
      <c r="AS1052" s="69">
        <v>10391.049999999999</v>
      </c>
      <c r="AT1052" s="69">
        <v>1298.4000000000001</v>
      </c>
      <c r="AU1052" s="69">
        <v>1028.7</v>
      </c>
      <c r="AV1052" s="69"/>
      <c r="AW1052" s="69"/>
      <c r="AX1052" s="69"/>
      <c r="AY1052" s="69"/>
      <c r="AZ1052" s="69"/>
      <c r="BA1052" s="69"/>
      <c r="BB1052" s="69"/>
      <c r="BC1052" s="69"/>
      <c r="BD1052" s="69"/>
      <c r="BE1052" s="69"/>
      <c r="BF1052" s="69"/>
      <c r="BG1052" s="69"/>
      <c r="BH1052" s="69"/>
      <c r="BI1052" s="69"/>
      <c r="BJ1052" s="69"/>
      <c r="BK1052" s="69"/>
      <c r="BL1052" s="69"/>
      <c r="BM1052" s="69"/>
      <c r="BN1052" s="69"/>
      <c r="BO1052" s="69"/>
      <c r="BP1052" s="69"/>
      <c r="BQ1052" s="69"/>
      <c r="BR1052" s="69"/>
      <c r="BS1052" s="69"/>
      <c r="BT1052" s="69"/>
      <c r="BU1052" s="69"/>
      <c r="BV1052" s="69"/>
      <c r="BW1052" s="69"/>
      <c r="BX1052" s="69"/>
      <c r="BY1052" s="69"/>
      <c r="BZ1052" s="69"/>
      <c r="CA1052" s="69"/>
      <c r="CB1052" s="69"/>
      <c r="CC1052" s="69"/>
      <c r="CD1052" s="69"/>
      <c r="CE1052" s="94">
        <f t="shared" si="91"/>
        <v>12718.15</v>
      </c>
      <c r="CF1052" s="151">
        <f t="shared" si="88"/>
        <v>0</v>
      </c>
      <c r="CG1052" s="75">
        <f t="shared" si="92"/>
        <v>4897</v>
      </c>
      <c r="CH1052" s="69" t="str">
        <f t="shared" si="92"/>
        <v>برنامج دولى</v>
      </c>
    </row>
    <row r="1053" spans="1:86" x14ac:dyDescent="0.25">
      <c r="A1053" s="148"/>
      <c r="B1053" s="82">
        <v>8286</v>
      </c>
      <c r="C1053" s="149">
        <v>4898</v>
      </c>
      <c r="D1053" s="69" t="s">
        <v>78</v>
      </c>
      <c r="E1053" s="69" t="s">
        <v>2900</v>
      </c>
      <c r="F1053" s="63"/>
      <c r="G1053" s="69">
        <v>211.05</v>
      </c>
      <c r="H1053" s="69"/>
      <c r="I1053" s="69"/>
      <c r="J1053" s="69"/>
      <c r="K1053" s="69"/>
      <c r="L1053" s="69"/>
      <c r="M1053" s="69"/>
      <c r="N1053" s="69"/>
      <c r="O1053" s="69"/>
      <c r="P1053" s="69"/>
      <c r="Q1053" s="69"/>
      <c r="R1053" s="69"/>
      <c r="S1053" s="69"/>
      <c r="T1053" s="69"/>
      <c r="U1053" s="69"/>
      <c r="V1053" s="69"/>
      <c r="W1053" s="69"/>
      <c r="X1053" s="69"/>
      <c r="Y1053" s="69"/>
      <c r="Z1053" s="69"/>
      <c r="AA1053" s="69"/>
      <c r="AB1053" s="69"/>
      <c r="AC1053" s="69"/>
      <c r="AD1053" s="69"/>
      <c r="AE1053" s="69"/>
      <c r="AF1053" s="69"/>
      <c r="AG1053" s="69"/>
      <c r="AH1053" s="69"/>
      <c r="AI1053" s="69"/>
      <c r="AJ1053" s="69"/>
      <c r="AK1053" s="69"/>
      <c r="AL1053" s="69"/>
      <c r="AM1053" s="69"/>
      <c r="AN1053" s="69"/>
      <c r="AO1053" s="69"/>
      <c r="AP1053" s="69"/>
      <c r="AQ1053" s="69"/>
      <c r="AR1053" s="94">
        <f t="shared" si="77"/>
        <v>211.05</v>
      </c>
      <c r="AS1053" s="69">
        <v>141.5</v>
      </c>
      <c r="AT1053" s="69">
        <v>18.7</v>
      </c>
      <c r="AU1053" s="69">
        <v>50.85</v>
      </c>
      <c r="AV1053" s="69"/>
      <c r="AW1053" s="69"/>
      <c r="AX1053" s="69"/>
      <c r="AY1053" s="69"/>
      <c r="AZ1053" s="69"/>
      <c r="BA1053" s="69"/>
      <c r="BB1053" s="69"/>
      <c r="BC1053" s="69"/>
      <c r="BD1053" s="69"/>
      <c r="BE1053" s="69"/>
      <c r="BF1053" s="69"/>
      <c r="BG1053" s="69"/>
      <c r="BH1053" s="69"/>
      <c r="BI1053" s="69"/>
      <c r="BJ1053" s="69"/>
      <c r="BK1053" s="69"/>
      <c r="BL1053" s="69"/>
      <c r="BM1053" s="69"/>
      <c r="BN1053" s="69"/>
      <c r="BO1053" s="69"/>
      <c r="BP1053" s="69"/>
      <c r="BQ1053" s="69"/>
      <c r="BR1053" s="69"/>
      <c r="BS1053" s="69"/>
      <c r="BT1053" s="69"/>
      <c r="BU1053" s="69"/>
      <c r="BV1053" s="69"/>
      <c r="BW1053" s="69"/>
      <c r="BX1053" s="69"/>
      <c r="BY1053" s="69"/>
      <c r="BZ1053" s="69"/>
      <c r="CA1053" s="69"/>
      <c r="CB1053" s="69"/>
      <c r="CC1053" s="69"/>
      <c r="CD1053" s="69"/>
      <c r="CE1053" s="94">
        <f t="shared" si="91"/>
        <v>211.04999999999998</v>
      </c>
      <c r="CF1053" s="151">
        <f t="shared" si="88"/>
        <v>0</v>
      </c>
      <c r="CG1053" s="75">
        <f t="shared" si="92"/>
        <v>4898</v>
      </c>
      <c r="CH1053" s="69" t="str">
        <f t="shared" si="92"/>
        <v>برنامج دولى</v>
      </c>
    </row>
    <row r="1054" spans="1:86" x14ac:dyDescent="0.25">
      <c r="A1054" s="148"/>
      <c r="B1054" s="82">
        <v>8582</v>
      </c>
      <c r="C1054" s="149">
        <v>4899</v>
      </c>
      <c r="D1054" s="69" t="s">
        <v>78</v>
      </c>
      <c r="E1054" s="69" t="s">
        <v>2546</v>
      </c>
      <c r="F1054" s="63"/>
      <c r="G1054" s="69">
        <v>7035</v>
      </c>
      <c r="H1054" s="69"/>
      <c r="I1054" s="69"/>
      <c r="J1054" s="69"/>
      <c r="K1054" s="69"/>
      <c r="L1054" s="69"/>
      <c r="M1054" s="69"/>
      <c r="N1054" s="69"/>
      <c r="O1054" s="69"/>
      <c r="P1054" s="69"/>
      <c r="Q1054" s="69"/>
      <c r="R1054" s="69"/>
      <c r="S1054" s="69"/>
      <c r="T1054" s="69"/>
      <c r="U1054" s="69"/>
      <c r="V1054" s="69"/>
      <c r="W1054" s="69"/>
      <c r="X1054" s="69"/>
      <c r="Y1054" s="69"/>
      <c r="Z1054" s="69"/>
      <c r="AA1054" s="69"/>
      <c r="AB1054" s="69"/>
      <c r="AC1054" s="69"/>
      <c r="AD1054" s="69"/>
      <c r="AE1054" s="69"/>
      <c r="AF1054" s="69"/>
      <c r="AG1054" s="69"/>
      <c r="AH1054" s="69"/>
      <c r="AI1054" s="69"/>
      <c r="AJ1054" s="69"/>
      <c r="AK1054" s="69"/>
      <c r="AL1054" s="69"/>
      <c r="AM1054" s="69"/>
      <c r="AN1054" s="69"/>
      <c r="AO1054" s="69"/>
      <c r="AP1054" s="69"/>
      <c r="AQ1054" s="69"/>
      <c r="AR1054" s="94">
        <f t="shared" si="77"/>
        <v>7035</v>
      </c>
      <c r="AS1054" s="69">
        <v>4701.3999999999996</v>
      </c>
      <c r="AT1054" s="69">
        <v>638.6</v>
      </c>
      <c r="AU1054" s="69">
        <v>1695</v>
      </c>
      <c r="AV1054" s="69"/>
      <c r="AW1054" s="69"/>
      <c r="AX1054" s="69"/>
      <c r="AY1054" s="69"/>
      <c r="AZ1054" s="69"/>
      <c r="BA1054" s="69"/>
      <c r="BB1054" s="69"/>
      <c r="BC1054" s="69"/>
      <c r="BD1054" s="69"/>
      <c r="BE1054" s="69"/>
      <c r="BF1054" s="69"/>
      <c r="BG1054" s="69"/>
      <c r="BH1054" s="69"/>
      <c r="BI1054" s="69"/>
      <c r="BJ1054" s="69"/>
      <c r="BK1054" s="69"/>
      <c r="BL1054" s="69"/>
      <c r="BM1054" s="69"/>
      <c r="BN1054" s="69"/>
      <c r="BO1054" s="69"/>
      <c r="BP1054" s="69"/>
      <c r="BQ1054" s="69"/>
      <c r="BR1054" s="69"/>
      <c r="BS1054" s="69"/>
      <c r="BT1054" s="69"/>
      <c r="BU1054" s="69"/>
      <c r="BV1054" s="69"/>
      <c r="BW1054" s="69"/>
      <c r="BX1054" s="69"/>
      <c r="BY1054" s="69"/>
      <c r="BZ1054" s="69"/>
      <c r="CA1054" s="69"/>
      <c r="CB1054" s="69"/>
      <c r="CC1054" s="69"/>
      <c r="CD1054" s="69"/>
      <c r="CE1054" s="94">
        <f t="shared" si="91"/>
        <v>7035</v>
      </c>
      <c r="CF1054" s="151">
        <f t="shared" si="88"/>
        <v>0</v>
      </c>
      <c r="CG1054" s="75">
        <f t="shared" si="92"/>
        <v>4899</v>
      </c>
      <c r="CH1054" s="69" t="str">
        <f t="shared" si="92"/>
        <v>برنامج دولى</v>
      </c>
    </row>
    <row r="1055" spans="1:86" x14ac:dyDescent="0.25">
      <c r="A1055" s="148"/>
      <c r="B1055" s="82">
        <v>8581</v>
      </c>
      <c r="C1055" s="149">
        <v>4900</v>
      </c>
      <c r="D1055" s="69" t="s">
        <v>78</v>
      </c>
      <c r="E1055" s="69" t="s">
        <v>2546</v>
      </c>
      <c r="F1055" s="63"/>
      <c r="G1055" s="69">
        <v>23303.439999999999</v>
      </c>
      <c r="H1055" s="69"/>
      <c r="I1055" s="69"/>
      <c r="J1055" s="69"/>
      <c r="K1055" s="69"/>
      <c r="L1055" s="69"/>
      <c r="M1055" s="69"/>
      <c r="N1055" s="69"/>
      <c r="O1055" s="69"/>
      <c r="P1055" s="69"/>
      <c r="Q1055" s="69"/>
      <c r="R1055" s="69"/>
      <c r="S1055" s="69"/>
      <c r="T1055" s="69"/>
      <c r="U1055" s="69"/>
      <c r="V1055" s="69"/>
      <c r="W1055" s="69"/>
      <c r="X1055" s="69"/>
      <c r="Y1055" s="69"/>
      <c r="Z1055" s="69"/>
      <c r="AA1055" s="69"/>
      <c r="AB1055" s="69"/>
      <c r="AC1055" s="69"/>
      <c r="AD1055" s="69"/>
      <c r="AE1055" s="69"/>
      <c r="AF1055" s="69"/>
      <c r="AG1055" s="69"/>
      <c r="AH1055" s="69"/>
      <c r="AI1055" s="69"/>
      <c r="AJ1055" s="69"/>
      <c r="AK1055" s="69"/>
      <c r="AL1055" s="69"/>
      <c r="AM1055" s="69"/>
      <c r="AN1055" s="69"/>
      <c r="AO1055" s="69"/>
      <c r="AP1055" s="69"/>
      <c r="AQ1055" s="69"/>
      <c r="AR1055" s="94">
        <f t="shared" si="77"/>
        <v>23303.439999999999</v>
      </c>
      <c r="AS1055" s="69">
        <v>15575.4</v>
      </c>
      <c r="AT1055" s="69">
        <v>2113.35</v>
      </c>
      <c r="AU1055" s="69">
        <v>5614.69</v>
      </c>
      <c r="AV1055" s="69"/>
      <c r="AW1055" s="69"/>
      <c r="AX1055" s="69"/>
      <c r="AY1055" s="69"/>
      <c r="AZ1055" s="69"/>
      <c r="BA1055" s="69"/>
      <c r="BB1055" s="69"/>
      <c r="BC1055" s="69"/>
      <c r="BD1055" s="69"/>
      <c r="BE1055" s="69"/>
      <c r="BF1055" s="69"/>
      <c r="BG1055" s="69"/>
      <c r="BH1055" s="69"/>
      <c r="BI1055" s="69"/>
      <c r="BJ1055" s="69"/>
      <c r="BK1055" s="69"/>
      <c r="BL1055" s="69"/>
      <c r="BM1055" s="69"/>
      <c r="BN1055" s="69"/>
      <c r="BO1055" s="69"/>
      <c r="BP1055" s="69"/>
      <c r="BQ1055" s="69"/>
      <c r="BR1055" s="69"/>
      <c r="BS1055" s="69"/>
      <c r="BT1055" s="69"/>
      <c r="BU1055" s="69"/>
      <c r="BV1055" s="69"/>
      <c r="BW1055" s="69"/>
      <c r="BX1055" s="69"/>
      <c r="BY1055" s="69"/>
      <c r="BZ1055" s="69"/>
      <c r="CA1055" s="69"/>
      <c r="CB1055" s="69"/>
      <c r="CC1055" s="69"/>
      <c r="CD1055" s="69"/>
      <c r="CE1055" s="94">
        <f t="shared" si="91"/>
        <v>23303.439999999999</v>
      </c>
      <c r="CF1055" s="151">
        <f t="shared" si="88"/>
        <v>0</v>
      </c>
      <c r="CG1055" s="75">
        <f t="shared" si="92"/>
        <v>4900</v>
      </c>
      <c r="CH1055" s="69" t="str">
        <f t="shared" si="92"/>
        <v>برنامج دولى</v>
      </c>
    </row>
    <row r="1056" spans="1:86" x14ac:dyDescent="0.25">
      <c r="A1056" s="148"/>
      <c r="B1056" s="82">
        <v>8300</v>
      </c>
      <c r="C1056" s="149">
        <v>4901</v>
      </c>
      <c r="D1056" s="69" t="s">
        <v>78</v>
      </c>
      <c r="E1056" s="69" t="str">
        <f>+E1051</f>
        <v>مكافاه مراجعات نظريه</v>
      </c>
      <c r="F1056" s="63"/>
      <c r="G1056" s="69">
        <v>25217.3</v>
      </c>
      <c r="H1056" s="69"/>
      <c r="I1056" s="69"/>
      <c r="J1056" s="69"/>
      <c r="K1056" s="69"/>
      <c r="L1056" s="69"/>
      <c r="M1056" s="69"/>
      <c r="N1056" s="69"/>
      <c r="O1056" s="69"/>
      <c r="P1056" s="69"/>
      <c r="Q1056" s="69"/>
      <c r="R1056" s="69"/>
      <c r="S1056" s="69"/>
      <c r="T1056" s="69"/>
      <c r="U1056" s="69"/>
      <c r="V1056" s="69"/>
      <c r="W1056" s="69"/>
      <c r="X1056" s="69"/>
      <c r="Y1056" s="69"/>
      <c r="Z1056" s="69"/>
      <c r="AA1056" s="69"/>
      <c r="AB1056" s="69"/>
      <c r="AC1056" s="69"/>
      <c r="AD1056" s="69"/>
      <c r="AE1056" s="69"/>
      <c r="AF1056" s="69"/>
      <c r="AG1056" s="69"/>
      <c r="AH1056" s="69"/>
      <c r="AI1056" s="69"/>
      <c r="AJ1056" s="69"/>
      <c r="AK1056" s="69"/>
      <c r="AL1056" s="69"/>
      <c r="AM1056" s="69"/>
      <c r="AN1056" s="69"/>
      <c r="AO1056" s="69"/>
      <c r="AP1056" s="69"/>
      <c r="AQ1056" s="69"/>
      <c r="AR1056" s="94">
        <f t="shared" si="77"/>
        <v>25217.3</v>
      </c>
      <c r="AS1056" s="69">
        <v>20622.830000000002</v>
      </c>
      <c r="AT1056" s="69">
        <v>2569.96</v>
      </c>
      <c r="AU1056" s="69">
        <v>2024.51</v>
      </c>
      <c r="AV1056" s="69"/>
      <c r="AW1056" s="69"/>
      <c r="AX1056" s="69"/>
      <c r="AY1056" s="69"/>
      <c r="AZ1056" s="69"/>
      <c r="BA1056" s="69"/>
      <c r="BB1056" s="69"/>
      <c r="BC1056" s="69"/>
      <c r="BD1056" s="69"/>
      <c r="BE1056" s="69"/>
      <c r="BF1056" s="69"/>
      <c r="BG1056" s="69"/>
      <c r="BH1056" s="69"/>
      <c r="BI1056" s="69"/>
      <c r="BJ1056" s="69"/>
      <c r="BK1056" s="69"/>
      <c r="BL1056" s="69"/>
      <c r="BM1056" s="69"/>
      <c r="BN1056" s="69"/>
      <c r="BO1056" s="69"/>
      <c r="BP1056" s="69"/>
      <c r="BQ1056" s="69"/>
      <c r="BR1056" s="69"/>
      <c r="BS1056" s="69"/>
      <c r="BT1056" s="69"/>
      <c r="BU1056" s="69"/>
      <c r="BV1056" s="69"/>
      <c r="BW1056" s="69"/>
      <c r="BX1056" s="69"/>
      <c r="BY1056" s="69"/>
      <c r="BZ1056" s="69"/>
      <c r="CA1056" s="69"/>
      <c r="CB1056" s="69"/>
      <c r="CC1056" s="69"/>
      <c r="CD1056" s="69"/>
      <c r="CE1056" s="94">
        <f t="shared" si="91"/>
        <v>25217.3</v>
      </c>
      <c r="CF1056" s="151">
        <f t="shared" si="88"/>
        <v>0</v>
      </c>
      <c r="CG1056" s="75">
        <f t="shared" si="92"/>
        <v>4901</v>
      </c>
      <c r="CH1056" s="69" t="str">
        <f t="shared" si="92"/>
        <v>برنامج دولى</v>
      </c>
    </row>
    <row r="1057" spans="1:86" x14ac:dyDescent="0.25">
      <c r="A1057" s="148"/>
      <c r="B1057" s="82">
        <v>6096</v>
      </c>
      <c r="C1057" s="149">
        <v>4902</v>
      </c>
      <c r="D1057" s="69" t="s">
        <v>78</v>
      </c>
      <c r="E1057" s="69" t="s">
        <v>3436</v>
      </c>
      <c r="F1057" s="63"/>
      <c r="G1057" s="69">
        <v>18994.5</v>
      </c>
      <c r="H1057" s="69"/>
      <c r="I1057" s="69"/>
      <c r="J1057" s="69"/>
      <c r="K1057" s="69"/>
      <c r="L1057" s="69"/>
      <c r="M1057" s="69"/>
      <c r="N1057" s="69"/>
      <c r="O1057" s="69"/>
      <c r="P1057" s="69"/>
      <c r="Q1057" s="69"/>
      <c r="R1057" s="69"/>
      <c r="S1057" s="69"/>
      <c r="T1057" s="69"/>
      <c r="U1057" s="69"/>
      <c r="V1057" s="69"/>
      <c r="W1057" s="69"/>
      <c r="X1057" s="69"/>
      <c r="Y1057" s="69"/>
      <c r="Z1057" s="69"/>
      <c r="AA1057" s="69"/>
      <c r="AB1057" s="69"/>
      <c r="AC1057" s="69"/>
      <c r="AD1057" s="69"/>
      <c r="AE1057" s="69"/>
      <c r="AF1057" s="69"/>
      <c r="AG1057" s="69"/>
      <c r="AH1057" s="69"/>
      <c r="AI1057" s="69"/>
      <c r="AJ1057" s="69"/>
      <c r="AK1057" s="69"/>
      <c r="AL1057" s="69"/>
      <c r="AM1057" s="69"/>
      <c r="AN1057" s="69"/>
      <c r="AO1057" s="69"/>
      <c r="AP1057" s="69"/>
      <c r="AQ1057" s="69"/>
      <c r="AR1057" s="94">
        <f t="shared" si="77"/>
        <v>18994.5</v>
      </c>
      <c r="AS1057" s="69">
        <v>12712.75</v>
      </c>
      <c r="AT1057" s="69">
        <f>85.25+1620</f>
        <v>1705.25</v>
      </c>
      <c r="AU1057" s="69">
        <v>4576.5</v>
      </c>
      <c r="AV1057" s="69"/>
      <c r="AW1057" s="69"/>
      <c r="AX1057" s="69"/>
      <c r="AY1057" s="69"/>
      <c r="AZ1057" s="69"/>
      <c r="BA1057" s="69"/>
      <c r="BB1057" s="69"/>
      <c r="BC1057" s="69"/>
      <c r="BD1057" s="69"/>
      <c r="BE1057" s="69"/>
      <c r="BF1057" s="69"/>
      <c r="BG1057" s="69"/>
      <c r="BH1057" s="69"/>
      <c r="BI1057" s="69"/>
      <c r="BJ1057" s="69"/>
      <c r="BK1057" s="69"/>
      <c r="BL1057" s="69"/>
      <c r="BM1057" s="69"/>
      <c r="BN1057" s="69"/>
      <c r="BO1057" s="69"/>
      <c r="BP1057" s="69"/>
      <c r="BQ1057" s="69"/>
      <c r="BR1057" s="69"/>
      <c r="BS1057" s="69"/>
      <c r="BT1057" s="69"/>
      <c r="BU1057" s="69"/>
      <c r="BV1057" s="69"/>
      <c r="BW1057" s="69"/>
      <c r="BX1057" s="69"/>
      <c r="BY1057" s="69"/>
      <c r="BZ1057" s="69"/>
      <c r="CA1057" s="69"/>
      <c r="CB1057" s="69"/>
      <c r="CC1057" s="69"/>
      <c r="CD1057" s="69"/>
      <c r="CE1057" s="94">
        <f t="shared" si="91"/>
        <v>18994.5</v>
      </c>
      <c r="CF1057" s="151">
        <f t="shared" si="88"/>
        <v>0</v>
      </c>
      <c r="CG1057" s="75">
        <f t="shared" si="92"/>
        <v>4902</v>
      </c>
      <c r="CH1057" s="69" t="str">
        <f t="shared" si="92"/>
        <v>برنامج دولى</v>
      </c>
    </row>
    <row r="1058" spans="1:86" x14ac:dyDescent="0.25">
      <c r="A1058" s="148"/>
      <c r="B1058" s="82">
        <v>5123</v>
      </c>
      <c r="C1058" s="149">
        <v>4903</v>
      </c>
      <c r="D1058" s="69" t="s">
        <v>78</v>
      </c>
      <c r="E1058" s="69" t="s">
        <v>3436</v>
      </c>
      <c r="F1058" s="63"/>
      <c r="G1058" s="69">
        <v>1055.25</v>
      </c>
      <c r="H1058" s="69"/>
      <c r="I1058" s="69"/>
      <c r="J1058" s="69"/>
      <c r="K1058" s="69"/>
      <c r="L1058" s="69"/>
      <c r="M1058" s="69"/>
      <c r="N1058" s="69"/>
      <c r="O1058" s="69"/>
      <c r="P1058" s="69"/>
      <c r="Q1058" s="69"/>
      <c r="R1058" s="69"/>
      <c r="S1058" s="69"/>
      <c r="T1058" s="69"/>
      <c r="U1058" s="69"/>
      <c r="V1058" s="69"/>
      <c r="W1058" s="69"/>
      <c r="X1058" s="69"/>
      <c r="Y1058" s="69"/>
      <c r="Z1058" s="69"/>
      <c r="AA1058" s="69"/>
      <c r="AB1058" s="69"/>
      <c r="AC1058" s="69"/>
      <c r="AD1058" s="69"/>
      <c r="AE1058" s="69"/>
      <c r="AF1058" s="69"/>
      <c r="AG1058" s="69"/>
      <c r="AH1058" s="69"/>
      <c r="AI1058" s="69"/>
      <c r="AJ1058" s="69"/>
      <c r="AK1058" s="69"/>
      <c r="AL1058" s="69"/>
      <c r="AM1058" s="69"/>
      <c r="AN1058" s="69"/>
      <c r="AO1058" s="69"/>
      <c r="AP1058" s="69"/>
      <c r="AQ1058" s="69"/>
      <c r="AR1058" s="94">
        <f t="shared" si="77"/>
        <v>1055.25</v>
      </c>
      <c r="AS1058" s="69">
        <v>705.7</v>
      </c>
      <c r="AT1058" s="69">
        <f>90+5.3</f>
        <v>95.3</v>
      </c>
      <c r="AU1058" s="69">
        <v>254.25</v>
      </c>
      <c r="AV1058" s="69"/>
      <c r="AW1058" s="69"/>
      <c r="AX1058" s="69"/>
      <c r="AY1058" s="69"/>
      <c r="AZ1058" s="69"/>
      <c r="BA1058" s="69"/>
      <c r="BB1058" s="69"/>
      <c r="BC1058" s="69"/>
      <c r="BD1058" s="69"/>
      <c r="BE1058" s="69"/>
      <c r="BF1058" s="69"/>
      <c r="BG1058" s="69"/>
      <c r="BH1058" s="69"/>
      <c r="BI1058" s="69"/>
      <c r="BJ1058" s="69"/>
      <c r="BK1058" s="69"/>
      <c r="BL1058" s="69"/>
      <c r="BM1058" s="69"/>
      <c r="BN1058" s="69"/>
      <c r="BO1058" s="69"/>
      <c r="BP1058" s="69"/>
      <c r="BQ1058" s="69"/>
      <c r="BR1058" s="69"/>
      <c r="BS1058" s="69"/>
      <c r="BT1058" s="69"/>
      <c r="BU1058" s="69"/>
      <c r="BV1058" s="69"/>
      <c r="BW1058" s="69"/>
      <c r="BX1058" s="69"/>
      <c r="BY1058" s="69"/>
      <c r="BZ1058" s="69"/>
      <c r="CA1058" s="69"/>
      <c r="CB1058" s="69"/>
      <c r="CC1058" s="69"/>
      <c r="CD1058" s="69"/>
      <c r="CE1058" s="94">
        <f t="shared" si="91"/>
        <v>1055.25</v>
      </c>
      <c r="CF1058" s="151">
        <f t="shared" si="88"/>
        <v>0</v>
      </c>
      <c r="CG1058" s="75">
        <f t="shared" si="92"/>
        <v>4903</v>
      </c>
      <c r="CH1058" s="69" t="str">
        <f t="shared" si="92"/>
        <v>برنامج دولى</v>
      </c>
    </row>
    <row r="1059" spans="1:86" x14ac:dyDescent="0.25">
      <c r="A1059" s="148"/>
      <c r="B1059" s="82">
        <v>8285</v>
      </c>
      <c r="C1059" s="149">
        <v>4904</v>
      </c>
      <c r="D1059" s="69" t="s">
        <v>78</v>
      </c>
      <c r="E1059" s="69" t="str">
        <f>+E1052</f>
        <v>عب تدريس جلديه</v>
      </c>
      <c r="F1059" s="63"/>
      <c r="G1059" s="69">
        <v>1653.23</v>
      </c>
      <c r="H1059" s="69"/>
      <c r="I1059" s="69"/>
      <c r="J1059" s="69"/>
      <c r="K1059" s="69"/>
      <c r="L1059" s="69"/>
      <c r="M1059" s="69"/>
      <c r="N1059" s="69"/>
      <c r="O1059" s="69"/>
      <c r="P1059" s="69"/>
      <c r="Q1059" s="69"/>
      <c r="R1059" s="69"/>
      <c r="S1059" s="69"/>
      <c r="T1059" s="69"/>
      <c r="U1059" s="69"/>
      <c r="V1059" s="69"/>
      <c r="W1059" s="69"/>
      <c r="X1059" s="69"/>
      <c r="Y1059" s="69"/>
      <c r="Z1059" s="69"/>
      <c r="AA1059" s="69"/>
      <c r="AB1059" s="69"/>
      <c r="AC1059" s="69"/>
      <c r="AD1059" s="69"/>
      <c r="AE1059" s="69"/>
      <c r="AF1059" s="69"/>
      <c r="AG1059" s="69"/>
      <c r="AH1059" s="69"/>
      <c r="AI1059" s="69"/>
      <c r="AJ1059" s="69"/>
      <c r="AK1059" s="69"/>
      <c r="AL1059" s="69"/>
      <c r="AM1059" s="69"/>
      <c r="AN1059" s="69"/>
      <c r="AO1059" s="69"/>
      <c r="AP1059" s="69"/>
      <c r="AQ1059" s="69"/>
      <c r="AR1059" s="94">
        <f t="shared" si="77"/>
        <v>1653.23</v>
      </c>
      <c r="AS1059" s="69">
        <v>1105.4000000000001</v>
      </c>
      <c r="AT1059" s="69">
        <f>8.5+141</f>
        <v>149.5</v>
      </c>
      <c r="AU1059" s="69">
        <v>398.33</v>
      </c>
      <c r="AV1059" s="69"/>
      <c r="AW1059" s="69"/>
      <c r="AX1059" s="69"/>
      <c r="AY1059" s="69"/>
      <c r="AZ1059" s="69"/>
      <c r="BA1059" s="69"/>
      <c r="BB1059" s="69"/>
      <c r="BC1059" s="69"/>
      <c r="BD1059" s="69"/>
      <c r="BE1059" s="69"/>
      <c r="BF1059" s="69"/>
      <c r="BG1059" s="69"/>
      <c r="BH1059" s="69"/>
      <c r="BI1059" s="69"/>
      <c r="BJ1059" s="69"/>
      <c r="BK1059" s="69"/>
      <c r="BL1059" s="69"/>
      <c r="BM1059" s="69"/>
      <c r="BN1059" s="69"/>
      <c r="BO1059" s="69"/>
      <c r="BP1059" s="69"/>
      <c r="BQ1059" s="69"/>
      <c r="BR1059" s="69"/>
      <c r="BS1059" s="69"/>
      <c r="BT1059" s="69"/>
      <c r="BU1059" s="69"/>
      <c r="BV1059" s="69"/>
      <c r="BW1059" s="69"/>
      <c r="BX1059" s="69"/>
      <c r="BY1059" s="69"/>
      <c r="BZ1059" s="69"/>
      <c r="CA1059" s="69"/>
      <c r="CB1059" s="69"/>
      <c r="CC1059" s="69"/>
      <c r="CD1059" s="69"/>
      <c r="CE1059" s="94">
        <f t="shared" si="91"/>
        <v>1653.23</v>
      </c>
      <c r="CF1059" s="151">
        <f t="shared" si="88"/>
        <v>0</v>
      </c>
      <c r="CG1059" s="75">
        <f t="shared" si="92"/>
        <v>4904</v>
      </c>
      <c r="CH1059" s="69" t="str">
        <f t="shared" si="92"/>
        <v>برنامج دولى</v>
      </c>
    </row>
    <row r="1060" spans="1:86" x14ac:dyDescent="0.25">
      <c r="A1060" s="148"/>
      <c r="B1060" s="82">
        <v>8969</v>
      </c>
      <c r="C1060" s="149">
        <v>4905</v>
      </c>
      <c r="D1060" s="69" t="s">
        <v>78</v>
      </c>
      <c r="E1060" s="69" t="s">
        <v>2570</v>
      </c>
      <c r="F1060" s="63"/>
      <c r="G1060" s="69">
        <v>1758.75</v>
      </c>
      <c r="H1060" s="69"/>
      <c r="I1060" s="69"/>
      <c r="J1060" s="69"/>
      <c r="K1060" s="69"/>
      <c r="L1060" s="69"/>
      <c r="M1060" s="69"/>
      <c r="N1060" s="69"/>
      <c r="O1060" s="69"/>
      <c r="P1060" s="69"/>
      <c r="Q1060" s="69"/>
      <c r="R1060" s="69"/>
      <c r="S1060" s="69"/>
      <c r="T1060" s="69"/>
      <c r="U1060" s="69"/>
      <c r="V1060" s="69"/>
      <c r="W1060" s="69"/>
      <c r="X1060" s="69"/>
      <c r="Y1060" s="69"/>
      <c r="Z1060" s="69"/>
      <c r="AA1060" s="69"/>
      <c r="AB1060" s="69"/>
      <c r="AC1060" s="69"/>
      <c r="AD1060" s="69"/>
      <c r="AE1060" s="69"/>
      <c r="AF1060" s="69"/>
      <c r="AG1060" s="69"/>
      <c r="AH1060" s="69"/>
      <c r="AI1060" s="69"/>
      <c r="AJ1060" s="69"/>
      <c r="AK1060" s="69"/>
      <c r="AL1060" s="69"/>
      <c r="AM1060" s="69"/>
      <c r="AN1060" s="69"/>
      <c r="AO1060" s="69"/>
      <c r="AP1060" s="69"/>
      <c r="AQ1060" s="69"/>
      <c r="AR1060" s="94">
        <f t="shared" si="77"/>
        <v>1758.75</v>
      </c>
      <c r="AS1060" s="69">
        <v>1175.3499999999999</v>
      </c>
      <c r="AT1060" s="69">
        <v>159.65</v>
      </c>
      <c r="AU1060" s="69">
        <v>423.75</v>
      </c>
      <c r="AV1060" s="69"/>
      <c r="AW1060" s="69"/>
      <c r="AX1060" s="69"/>
      <c r="AY1060" s="69"/>
      <c r="AZ1060" s="69"/>
      <c r="BA1060" s="69"/>
      <c r="BB1060" s="69"/>
      <c r="BC1060" s="69"/>
      <c r="BD1060" s="69"/>
      <c r="BE1060" s="69"/>
      <c r="BF1060" s="69"/>
      <c r="BG1060" s="69"/>
      <c r="BH1060" s="69"/>
      <c r="BI1060" s="69"/>
      <c r="BJ1060" s="69"/>
      <c r="BK1060" s="69"/>
      <c r="BL1060" s="69"/>
      <c r="BM1060" s="69"/>
      <c r="BN1060" s="69"/>
      <c r="BO1060" s="69"/>
      <c r="BP1060" s="69"/>
      <c r="BQ1060" s="69"/>
      <c r="BR1060" s="69"/>
      <c r="BS1060" s="69"/>
      <c r="BT1060" s="69"/>
      <c r="BU1060" s="69"/>
      <c r="BV1060" s="69"/>
      <c r="BW1060" s="69"/>
      <c r="BX1060" s="69"/>
      <c r="BY1060" s="69"/>
      <c r="BZ1060" s="69"/>
      <c r="CA1060" s="69"/>
      <c r="CB1060" s="69"/>
      <c r="CC1060" s="69"/>
      <c r="CD1060" s="69"/>
      <c r="CE1060" s="94">
        <f t="shared" si="91"/>
        <v>1758.75</v>
      </c>
      <c r="CF1060" s="151">
        <f t="shared" si="88"/>
        <v>0</v>
      </c>
      <c r="CG1060" s="75">
        <f t="shared" si="92"/>
        <v>4905</v>
      </c>
      <c r="CH1060" s="69" t="str">
        <f t="shared" si="92"/>
        <v>برنامج دولى</v>
      </c>
    </row>
    <row r="1061" spans="1:86" x14ac:dyDescent="0.25">
      <c r="A1061" s="148"/>
      <c r="B1061" s="82">
        <v>8970</v>
      </c>
      <c r="C1061" s="149">
        <v>4906</v>
      </c>
      <c r="D1061" s="69" t="s">
        <v>78</v>
      </c>
      <c r="E1061" s="69" t="s">
        <v>3437</v>
      </c>
      <c r="F1061" s="63"/>
      <c r="G1061" s="69">
        <v>540</v>
      </c>
      <c r="H1061" s="69"/>
      <c r="I1061" s="69"/>
      <c r="J1061" s="69"/>
      <c r="K1061" s="69"/>
      <c r="L1061" s="69"/>
      <c r="M1061" s="69"/>
      <c r="N1061" s="69"/>
      <c r="O1061" s="69"/>
      <c r="P1061" s="69"/>
      <c r="Q1061" s="69"/>
      <c r="R1061" s="69"/>
      <c r="S1061" s="69"/>
      <c r="T1061" s="69"/>
      <c r="U1061" s="69"/>
      <c r="V1061" s="69"/>
      <c r="W1061" s="69"/>
      <c r="X1061" s="69"/>
      <c r="Y1061" s="69"/>
      <c r="Z1061" s="69"/>
      <c r="AA1061" s="69"/>
      <c r="AB1061" s="69"/>
      <c r="AC1061" s="69"/>
      <c r="AD1061" s="69"/>
      <c r="AE1061" s="69"/>
      <c r="AF1061" s="69"/>
      <c r="AG1061" s="69"/>
      <c r="AH1061" s="69"/>
      <c r="AI1061" s="69"/>
      <c r="AJ1061" s="69"/>
      <c r="AK1061" s="69"/>
      <c r="AL1061" s="69"/>
      <c r="AM1061" s="69"/>
      <c r="AN1061" s="69"/>
      <c r="AO1061" s="69"/>
      <c r="AP1061" s="69"/>
      <c r="AQ1061" s="69"/>
      <c r="AR1061" s="94">
        <f t="shared" si="77"/>
        <v>540</v>
      </c>
      <c r="AS1061" s="69">
        <v>482.55</v>
      </c>
      <c r="AT1061" s="69">
        <v>57.45</v>
      </c>
      <c r="AU1061" s="69"/>
      <c r="AV1061" s="69"/>
      <c r="AW1061" s="69"/>
      <c r="AX1061" s="69"/>
      <c r="AY1061" s="69"/>
      <c r="AZ1061" s="69"/>
      <c r="BA1061" s="69"/>
      <c r="BB1061" s="69"/>
      <c r="BC1061" s="69"/>
      <c r="BD1061" s="69"/>
      <c r="BE1061" s="69"/>
      <c r="BF1061" s="69"/>
      <c r="BG1061" s="69"/>
      <c r="BH1061" s="69"/>
      <c r="BI1061" s="69"/>
      <c r="BJ1061" s="69"/>
      <c r="BK1061" s="69"/>
      <c r="BL1061" s="69"/>
      <c r="BM1061" s="69"/>
      <c r="BN1061" s="69"/>
      <c r="BO1061" s="69"/>
      <c r="BP1061" s="69"/>
      <c r="BQ1061" s="69"/>
      <c r="BR1061" s="69"/>
      <c r="BS1061" s="69"/>
      <c r="BT1061" s="69"/>
      <c r="BU1061" s="69"/>
      <c r="BV1061" s="69"/>
      <c r="BW1061" s="69"/>
      <c r="BX1061" s="69"/>
      <c r="BY1061" s="69"/>
      <c r="BZ1061" s="69"/>
      <c r="CA1061" s="69"/>
      <c r="CB1061" s="69"/>
      <c r="CC1061" s="69"/>
      <c r="CD1061" s="69"/>
      <c r="CE1061" s="94">
        <f t="shared" si="91"/>
        <v>540</v>
      </c>
      <c r="CF1061" s="151">
        <f t="shared" si="88"/>
        <v>0</v>
      </c>
      <c r="CG1061" s="75">
        <f t="shared" si="92"/>
        <v>4906</v>
      </c>
      <c r="CH1061" s="69" t="str">
        <f t="shared" si="92"/>
        <v>برنامج دولى</v>
      </c>
    </row>
    <row r="1062" spans="1:86" x14ac:dyDescent="0.25">
      <c r="A1062" s="148"/>
      <c r="B1062" s="82">
        <v>8972</v>
      </c>
      <c r="C1062" s="149">
        <v>4907</v>
      </c>
      <c r="D1062" s="69" t="s">
        <v>78</v>
      </c>
      <c r="E1062" s="69" t="s">
        <v>1875</v>
      </c>
      <c r="F1062" s="63"/>
      <c r="G1062" s="69">
        <v>1172.5</v>
      </c>
      <c r="H1062" s="69"/>
      <c r="I1062" s="69"/>
      <c r="J1062" s="69"/>
      <c r="K1062" s="69"/>
      <c r="L1062" s="69"/>
      <c r="M1062" s="69"/>
      <c r="N1062" s="69"/>
      <c r="O1062" s="69"/>
      <c r="P1062" s="69"/>
      <c r="Q1062" s="69"/>
      <c r="R1062" s="69"/>
      <c r="S1062" s="69"/>
      <c r="T1062" s="69"/>
      <c r="U1062" s="69"/>
      <c r="V1062" s="69"/>
      <c r="W1062" s="69"/>
      <c r="X1062" s="69"/>
      <c r="Y1062" s="69"/>
      <c r="Z1062" s="69"/>
      <c r="AA1062" s="69"/>
      <c r="AB1062" s="69"/>
      <c r="AC1062" s="69"/>
      <c r="AD1062" s="69"/>
      <c r="AE1062" s="69"/>
      <c r="AF1062" s="69"/>
      <c r="AG1062" s="69"/>
      <c r="AH1062" s="69"/>
      <c r="AI1062" s="69"/>
      <c r="AJ1062" s="69"/>
      <c r="AK1062" s="69"/>
      <c r="AL1062" s="69"/>
      <c r="AM1062" s="69"/>
      <c r="AN1062" s="69"/>
      <c r="AO1062" s="69"/>
      <c r="AP1062" s="69"/>
      <c r="AQ1062" s="69"/>
      <c r="AR1062" s="94">
        <f t="shared" si="77"/>
        <v>1172.5</v>
      </c>
      <c r="AS1062" s="69">
        <v>784.1</v>
      </c>
      <c r="AT1062" s="69">
        <v>105.9</v>
      </c>
      <c r="AU1062" s="69">
        <v>282.5</v>
      </c>
      <c r="AV1062" s="69"/>
      <c r="AW1062" s="69"/>
      <c r="AX1062" s="69"/>
      <c r="AY1062" s="69"/>
      <c r="AZ1062" s="69"/>
      <c r="BA1062" s="69"/>
      <c r="BB1062" s="69"/>
      <c r="BC1062" s="69"/>
      <c r="BD1062" s="69"/>
      <c r="BE1062" s="69"/>
      <c r="BF1062" s="69"/>
      <c r="BG1062" s="69"/>
      <c r="BH1062" s="69"/>
      <c r="BI1062" s="69"/>
      <c r="BJ1062" s="69"/>
      <c r="BK1062" s="69"/>
      <c r="BL1062" s="69"/>
      <c r="BM1062" s="69"/>
      <c r="BN1062" s="69"/>
      <c r="BO1062" s="69"/>
      <c r="BP1062" s="69"/>
      <c r="BQ1062" s="69"/>
      <c r="BR1062" s="69"/>
      <c r="BS1062" s="69"/>
      <c r="BT1062" s="69"/>
      <c r="BU1062" s="69"/>
      <c r="BV1062" s="69"/>
      <c r="BW1062" s="69"/>
      <c r="BX1062" s="69"/>
      <c r="BY1062" s="69"/>
      <c r="BZ1062" s="69"/>
      <c r="CA1062" s="69"/>
      <c r="CB1062" s="69"/>
      <c r="CC1062" s="69"/>
      <c r="CD1062" s="69"/>
      <c r="CE1062" s="94">
        <f t="shared" si="91"/>
        <v>1172.5</v>
      </c>
      <c r="CF1062" s="151">
        <f t="shared" si="88"/>
        <v>0</v>
      </c>
      <c r="CG1062" s="75">
        <f t="shared" si="92"/>
        <v>4907</v>
      </c>
      <c r="CH1062" s="69" t="str">
        <f t="shared" si="92"/>
        <v>برنامج دولى</v>
      </c>
    </row>
    <row r="1063" spans="1:86" x14ac:dyDescent="0.25">
      <c r="A1063" s="148"/>
      <c r="B1063" s="82">
        <v>8973</v>
      </c>
      <c r="C1063" s="149">
        <v>4908</v>
      </c>
      <c r="D1063" s="69" t="s">
        <v>78</v>
      </c>
      <c r="E1063" s="69" t="s">
        <v>1875</v>
      </c>
      <c r="F1063" s="63"/>
      <c r="G1063" s="69">
        <v>1758.76</v>
      </c>
      <c r="H1063" s="69"/>
      <c r="I1063" s="69"/>
      <c r="J1063" s="69"/>
      <c r="K1063" s="69"/>
      <c r="L1063" s="69"/>
      <c r="M1063" s="69"/>
      <c r="N1063" s="69"/>
      <c r="O1063" s="69"/>
      <c r="P1063" s="69"/>
      <c r="Q1063" s="69"/>
      <c r="R1063" s="69"/>
      <c r="S1063" s="69"/>
      <c r="T1063" s="69"/>
      <c r="U1063" s="69"/>
      <c r="V1063" s="69"/>
      <c r="W1063" s="69"/>
      <c r="X1063" s="69"/>
      <c r="Y1063" s="69"/>
      <c r="Z1063" s="69"/>
      <c r="AA1063" s="69"/>
      <c r="AB1063" s="69"/>
      <c r="AC1063" s="69"/>
      <c r="AD1063" s="69"/>
      <c r="AE1063" s="69"/>
      <c r="AF1063" s="69"/>
      <c r="AG1063" s="69"/>
      <c r="AH1063" s="69"/>
      <c r="AI1063" s="69"/>
      <c r="AJ1063" s="69"/>
      <c r="AK1063" s="69"/>
      <c r="AL1063" s="69"/>
      <c r="AM1063" s="69"/>
      <c r="AN1063" s="69"/>
      <c r="AO1063" s="69"/>
      <c r="AP1063" s="69"/>
      <c r="AQ1063" s="69"/>
      <c r="AR1063" s="94">
        <f t="shared" si="77"/>
        <v>1758.76</v>
      </c>
      <c r="AS1063" s="69">
        <v>1176.3</v>
      </c>
      <c r="AT1063" s="69">
        <v>158.69999999999999</v>
      </c>
      <c r="AU1063" s="69">
        <v>423.76</v>
      </c>
      <c r="AV1063" s="69"/>
      <c r="AW1063" s="69"/>
      <c r="AX1063" s="69"/>
      <c r="AY1063" s="69"/>
      <c r="AZ1063" s="69"/>
      <c r="BA1063" s="69"/>
      <c r="BB1063" s="69"/>
      <c r="BC1063" s="69"/>
      <c r="BD1063" s="69"/>
      <c r="BE1063" s="69"/>
      <c r="BF1063" s="69"/>
      <c r="BG1063" s="69"/>
      <c r="BH1063" s="69"/>
      <c r="BI1063" s="69"/>
      <c r="BJ1063" s="69"/>
      <c r="BK1063" s="69"/>
      <c r="BL1063" s="69"/>
      <c r="BM1063" s="69"/>
      <c r="BN1063" s="69"/>
      <c r="BO1063" s="69"/>
      <c r="BP1063" s="69"/>
      <c r="BQ1063" s="69"/>
      <c r="BR1063" s="69"/>
      <c r="BS1063" s="69"/>
      <c r="BT1063" s="69"/>
      <c r="BU1063" s="69"/>
      <c r="BV1063" s="69"/>
      <c r="BW1063" s="69"/>
      <c r="BX1063" s="69"/>
      <c r="BY1063" s="69"/>
      <c r="BZ1063" s="69"/>
      <c r="CA1063" s="69"/>
      <c r="CB1063" s="69"/>
      <c r="CC1063" s="69"/>
      <c r="CD1063" s="69"/>
      <c r="CE1063" s="94">
        <f t="shared" si="91"/>
        <v>1758.76</v>
      </c>
      <c r="CF1063" s="151">
        <f t="shared" si="88"/>
        <v>0</v>
      </c>
      <c r="CG1063" s="75">
        <f t="shared" si="92"/>
        <v>4908</v>
      </c>
      <c r="CH1063" s="69" t="str">
        <f t="shared" si="92"/>
        <v>برنامج دولى</v>
      </c>
    </row>
    <row r="1064" spans="1:86" x14ac:dyDescent="0.25">
      <c r="A1064" s="148"/>
      <c r="B1064" s="82">
        <v>8974</v>
      </c>
      <c r="C1064" s="149">
        <v>4909</v>
      </c>
      <c r="D1064" s="69" t="s">
        <v>78</v>
      </c>
      <c r="E1064" s="69" t="s">
        <v>3438</v>
      </c>
      <c r="F1064" s="63"/>
      <c r="G1064" s="69">
        <v>1407</v>
      </c>
      <c r="H1064" s="69"/>
      <c r="I1064" s="69"/>
      <c r="J1064" s="69"/>
      <c r="K1064" s="69"/>
      <c r="L1064" s="69"/>
      <c r="M1064" s="69"/>
      <c r="N1064" s="69"/>
      <c r="O1064" s="69"/>
      <c r="P1064" s="69"/>
      <c r="Q1064" s="69"/>
      <c r="R1064" s="69"/>
      <c r="S1064" s="69"/>
      <c r="T1064" s="69"/>
      <c r="U1064" s="69"/>
      <c r="V1064" s="69"/>
      <c r="W1064" s="69"/>
      <c r="X1064" s="69"/>
      <c r="Y1064" s="69"/>
      <c r="Z1064" s="69"/>
      <c r="AA1064" s="69"/>
      <c r="AB1064" s="69"/>
      <c r="AC1064" s="69"/>
      <c r="AD1064" s="69"/>
      <c r="AE1064" s="69"/>
      <c r="AF1064" s="69"/>
      <c r="AG1064" s="69"/>
      <c r="AH1064" s="69"/>
      <c r="AI1064" s="69"/>
      <c r="AJ1064" s="69"/>
      <c r="AK1064" s="69"/>
      <c r="AL1064" s="69"/>
      <c r="AM1064" s="69"/>
      <c r="AN1064" s="69"/>
      <c r="AO1064" s="69"/>
      <c r="AP1064" s="69"/>
      <c r="AQ1064" s="69"/>
      <c r="AR1064" s="94">
        <f t="shared" si="77"/>
        <v>1407</v>
      </c>
      <c r="AS1064" s="69">
        <v>940.35</v>
      </c>
      <c r="AT1064" s="69">
        <v>127.65</v>
      </c>
      <c r="AU1064" s="69">
        <v>339</v>
      </c>
      <c r="AV1064" s="69"/>
      <c r="AW1064" s="69"/>
      <c r="AX1064" s="69"/>
      <c r="AY1064" s="69"/>
      <c r="AZ1064" s="69"/>
      <c r="BA1064" s="69"/>
      <c r="BB1064" s="69"/>
      <c r="BC1064" s="69"/>
      <c r="BD1064" s="69"/>
      <c r="BE1064" s="69"/>
      <c r="BF1064" s="69"/>
      <c r="BG1064" s="69"/>
      <c r="BH1064" s="69"/>
      <c r="BI1064" s="69"/>
      <c r="BJ1064" s="69"/>
      <c r="BK1064" s="69"/>
      <c r="BL1064" s="69"/>
      <c r="BM1064" s="69"/>
      <c r="BN1064" s="69"/>
      <c r="BO1064" s="69"/>
      <c r="BP1064" s="69"/>
      <c r="BQ1064" s="69"/>
      <c r="BR1064" s="69"/>
      <c r="BS1064" s="69"/>
      <c r="BT1064" s="69"/>
      <c r="BU1064" s="69"/>
      <c r="BV1064" s="69"/>
      <c r="BW1064" s="69"/>
      <c r="BX1064" s="69"/>
      <c r="BY1064" s="69"/>
      <c r="BZ1064" s="69"/>
      <c r="CA1064" s="69"/>
      <c r="CB1064" s="69"/>
      <c r="CC1064" s="69"/>
      <c r="CD1064" s="69"/>
      <c r="CE1064" s="94">
        <f t="shared" si="91"/>
        <v>1407</v>
      </c>
      <c r="CF1064" s="151">
        <f t="shared" si="88"/>
        <v>0</v>
      </c>
      <c r="CG1064" s="75">
        <f t="shared" si="92"/>
        <v>4909</v>
      </c>
      <c r="CH1064" s="69" t="str">
        <f t="shared" si="92"/>
        <v>برنامج دولى</v>
      </c>
    </row>
    <row r="1065" spans="1:86" x14ac:dyDescent="0.25">
      <c r="A1065" s="148"/>
      <c r="B1065" s="82">
        <v>8975</v>
      </c>
      <c r="C1065" s="149">
        <v>4910</v>
      </c>
      <c r="D1065" s="69" t="s">
        <v>78</v>
      </c>
      <c r="E1065" s="69" t="s">
        <v>3438</v>
      </c>
      <c r="F1065" s="63"/>
      <c r="G1065" s="69">
        <v>1200</v>
      </c>
      <c r="H1065" s="69"/>
      <c r="I1065" s="69"/>
      <c r="J1065" s="69"/>
      <c r="K1065" s="69"/>
      <c r="L1065" s="69"/>
      <c r="M1065" s="69"/>
      <c r="N1065" s="69"/>
      <c r="O1065" s="69"/>
      <c r="P1065" s="69"/>
      <c r="Q1065" s="69"/>
      <c r="R1065" s="69"/>
      <c r="S1065" s="69"/>
      <c r="T1065" s="69"/>
      <c r="U1065" s="69"/>
      <c r="V1065" s="69"/>
      <c r="W1065" s="69"/>
      <c r="X1065" s="69"/>
      <c r="Y1065" s="69"/>
      <c r="Z1065" s="69"/>
      <c r="AA1065" s="69"/>
      <c r="AB1065" s="69"/>
      <c r="AC1065" s="69"/>
      <c r="AD1065" s="69"/>
      <c r="AE1065" s="69"/>
      <c r="AF1065" s="69"/>
      <c r="AG1065" s="69"/>
      <c r="AH1065" s="69"/>
      <c r="AI1065" s="69"/>
      <c r="AJ1065" s="69"/>
      <c r="AK1065" s="69"/>
      <c r="AL1065" s="69"/>
      <c r="AM1065" s="69"/>
      <c r="AN1065" s="69"/>
      <c r="AO1065" s="69"/>
      <c r="AP1065" s="69"/>
      <c r="AQ1065" s="69"/>
      <c r="AR1065" s="94">
        <f t="shared" si="77"/>
        <v>1200</v>
      </c>
      <c r="AS1065" s="69">
        <v>1071.3499999999999</v>
      </c>
      <c r="AT1065" s="69">
        <v>128.65</v>
      </c>
      <c r="AU1065" s="69"/>
      <c r="AV1065" s="69"/>
      <c r="AW1065" s="69"/>
      <c r="AX1065" s="69"/>
      <c r="AY1065" s="69"/>
      <c r="AZ1065" s="69"/>
      <c r="BA1065" s="69"/>
      <c r="BB1065" s="69"/>
      <c r="BC1065" s="69"/>
      <c r="BD1065" s="69"/>
      <c r="BE1065" s="69"/>
      <c r="BF1065" s="69"/>
      <c r="BG1065" s="69"/>
      <c r="BH1065" s="69"/>
      <c r="BI1065" s="69"/>
      <c r="BJ1065" s="69"/>
      <c r="BK1065" s="69"/>
      <c r="BL1065" s="69"/>
      <c r="BM1065" s="69"/>
      <c r="BN1065" s="69"/>
      <c r="BO1065" s="69"/>
      <c r="BP1065" s="69"/>
      <c r="BQ1065" s="69"/>
      <c r="BR1065" s="69"/>
      <c r="BS1065" s="69"/>
      <c r="BT1065" s="69"/>
      <c r="BU1065" s="69"/>
      <c r="BV1065" s="69"/>
      <c r="BW1065" s="69"/>
      <c r="BX1065" s="69"/>
      <c r="BY1065" s="69"/>
      <c r="BZ1065" s="69"/>
      <c r="CA1065" s="69"/>
      <c r="CB1065" s="69"/>
      <c r="CC1065" s="69"/>
      <c r="CD1065" s="69"/>
      <c r="CE1065" s="94">
        <f t="shared" si="91"/>
        <v>1200</v>
      </c>
      <c r="CF1065" s="151">
        <f t="shared" si="88"/>
        <v>0</v>
      </c>
      <c r="CG1065" s="75">
        <f t="shared" si="92"/>
        <v>4910</v>
      </c>
      <c r="CH1065" s="69" t="str">
        <f t="shared" si="92"/>
        <v>برنامج دولى</v>
      </c>
    </row>
    <row r="1066" spans="1:86" x14ac:dyDescent="0.25">
      <c r="A1066" s="148"/>
      <c r="B1066" s="82">
        <v>8976</v>
      </c>
      <c r="C1066" s="149">
        <v>4911</v>
      </c>
      <c r="D1066" s="69" t="s">
        <v>78</v>
      </c>
      <c r="E1066" s="69" t="s">
        <v>3438</v>
      </c>
      <c r="F1066" s="63"/>
      <c r="G1066" s="69">
        <v>975.15</v>
      </c>
      <c r="H1066" s="69"/>
      <c r="I1066" s="69"/>
      <c r="J1066" s="69"/>
      <c r="K1066" s="69"/>
      <c r="L1066" s="69"/>
      <c r="M1066" s="69"/>
      <c r="N1066" s="69"/>
      <c r="O1066" s="69"/>
      <c r="P1066" s="69"/>
      <c r="Q1066" s="69"/>
      <c r="R1066" s="69"/>
      <c r="S1066" s="69"/>
      <c r="T1066" s="69"/>
      <c r="U1066" s="69"/>
      <c r="V1066" s="69"/>
      <c r="W1066" s="69"/>
      <c r="X1066" s="69"/>
      <c r="Y1066" s="69"/>
      <c r="Z1066" s="69"/>
      <c r="AA1066" s="69"/>
      <c r="AB1066" s="69"/>
      <c r="AC1066" s="69"/>
      <c r="AD1066" s="69"/>
      <c r="AE1066" s="69"/>
      <c r="AF1066" s="69"/>
      <c r="AG1066" s="69"/>
      <c r="AH1066" s="69"/>
      <c r="AI1066" s="69"/>
      <c r="AJ1066" s="69"/>
      <c r="AK1066" s="69"/>
      <c r="AL1066" s="69"/>
      <c r="AM1066" s="69"/>
      <c r="AN1066" s="69"/>
      <c r="AO1066" s="69"/>
      <c r="AP1066" s="69"/>
      <c r="AQ1066" s="69"/>
      <c r="AR1066" s="94">
        <f t="shared" si="77"/>
        <v>975.15</v>
      </c>
      <c r="AS1066" s="69">
        <v>604.47</v>
      </c>
      <c r="AT1066" s="69">
        <v>83.85</v>
      </c>
      <c r="AU1066" s="69">
        <v>286.83</v>
      </c>
      <c r="AV1066" s="69"/>
      <c r="AW1066" s="69"/>
      <c r="AX1066" s="69"/>
      <c r="AY1066" s="69"/>
      <c r="AZ1066" s="69"/>
      <c r="BA1066" s="69"/>
      <c r="BB1066" s="69"/>
      <c r="BC1066" s="69"/>
      <c r="BD1066" s="69"/>
      <c r="BE1066" s="69"/>
      <c r="BF1066" s="69"/>
      <c r="BG1066" s="69"/>
      <c r="BH1066" s="69"/>
      <c r="BI1066" s="69"/>
      <c r="BJ1066" s="69"/>
      <c r="BK1066" s="69"/>
      <c r="BL1066" s="69"/>
      <c r="BM1066" s="69"/>
      <c r="BN1066" s="69"/>
      <c r="BO1066" s="69"/>
      <c r="BP1066" s="69"/>
      <c r="BQ1066" s="69"/>
      <c r="BR1066" s="69"/>
      <c r="BS1066" s="69"/>
      <c r="BT1066" s="69"/>
      <c r="BU1066" s="69"/>
      <c r="BV1066" s="69"/>
      <c r="BW1066" s="69"/>
      <c r="BX1066" s="69"/>
      <c r="BY1066" s="69"/>
      <c r="BZ1066" s="69"/>
      <c r="CA1066" s="69"/>
      <c r="CB1066" s="69"/>
      <c r="CC1066" s="69"/>
      <c r="CD1066" s="69"/>
      <c r="CE1066" s="94">
        <f t="shared" si="91"/>
        <v>975.15000000000009</v>
      </c>
      <c r="CF1066" s="151">
        <f t="shared" si="88"/>
        <v>0</v>
      </c>
      <c r="CG1066" s="75">
        <f t="shared" si="92"/>
        <v>4911</v>
      </c>
      <c r="CH1066" s="69" t="str">
        <f t="shared" si="92"/>
        <v>برنامج دولى</v>
      </c>
    </row>
    <row r="1067" spans="1:86" x14ac:dyDescent="0.25">
      <c r="A1067" s="148"/>
      <c r="B1067" s="82">
        <v>8977</v>
      </c>
      <c r="C1067" s="149">
        <v>4912</v>
      </c>
      <c r="D1067" s="69" t="s">
        <v>78</v>
      </c>
      <c r="E1067" s="69" t="s">
        <v>798</v>
      </c>
      <c r="F1067" s="63"/>
      <c r="G1067" s="69">
        <v>8548.42</v>
      </c>
      <c r="H1067" s="69"/>
      <c r="I1067" s="69"/>
      <c r="J1067" s="69"/>
      <c r="K1067" s="69"/>
      <c r="L1067" s="69"/>
      <c r="M1067" s="69"/>
      <c r="N1067" s="69"/>
      <c r="O1067" s="69"/>
      <c r="P1067" s="69"/>
      <c r="Q1067" s="69"/>
      <c r="R1067" s="69"/>
      <c r="S1067" s="69"/>
      <c r="T1067" s="69"/>
      <c r="U1067" s="69"/>
      <c r="V1067" s="69"/>
      <c r="W1067" s="69"/>
      <c r="X1067" s="69"/>
      <c r="Y1067" s="69"/>
      <c r="Z1067" s="69"/>
      <c r="AA1067" s="69"/>
      <c r="AB1067" s="69"/>
      <c r="AC1067" s="69"/>
      <c r="AD1067" s="69"/>
      <c r="AE1067" s="69"/>
      <c r="AF1067" s="69"/>
      <c r="AG1067" s="69"/>
      <c r="AH1067" s="69"/>
      <c r="AI1067" s="69"/>
      <c r="AJ1067" s="69"/>
      <c r="AK1067" s="69"/>
      <c r="AL1067" s="69"/>
      <c r="AM1067" s="69"/>
      <c r="AN1067" s="69"/>
      <c r="AO1067" s="69"/>
      <c r="AP1067" s="69"/>
      <c r="AQ1067" s="69"/>
      <c r="AR1067" s="94">
        <f t="shared" si="77"/>
        <v>8548.42</v>
      </c>
      <c r="AS1067" s="69">
        <v>5780.5</v>
      </c>
      <c r="AT1067" s="69">
        <v>764.35</v>
      </c>
      <c r="AU1067" s="69">
        <v>2003.57</v>
      </c>
      <c r="AV1067" s="69"/>
      <c r="AW1067" s="69"/>
      <c r="AX1067" s="69"/>
      <c r="AY1067" s="69"/>
      <c r="AZ1067" s="69"/>
      <c r="BA1067" s="69"/>
      <c r="BB1067" s="69"/>
      <c r="BC1067" s="69"/>
      <c r="BD1067" s="69"/>
      <c r="BE1067" s="69"/>
      <c r="BF1067" s="69"/>
      <c r="BG1067" s="69"/>
      <c r="BH1067" s="69"/>
      <c r="BI1067" s="69"/>
      <c r="BJ1067" s="69"/>
      <c r="BK1067" s="69"/>
      <c r="BL1067" s="69"/>
      <c r="BM1067" s="69"/>
      <c r="BN1067" s="69"/>
      <c r="BO1067" s="69"/>
      <c r="BP1067" s="69"/>
      <c r="BQ1067" s="69"/>
      <c r="BR1067" s="69"/>
      <c r="BS1067" s="69"/>
      <c r="BT1067" s="69"/>
      <c r="BU1067" s="69"/>
      <c r="BV1067" s="69"/>
      <c r="BW1067" s="69"/>
      <c r="BX1067" s="69"/>
      <c r="BY1067" s="69"/>
      <c r="BZ1067" s="69"/>
      <c r="CA1067" s="69"/>
      <c r="CB1067" s="69"/>
      <c r="CC1067" s="69"/>
      <c r="CD1067" s="69"/>
      <c r="CE1067" s="94">
        <f t="shared" si="91"/>
        <v>8548.42</v>
      </c>
      <c r="CF1067" s="151">
        <f t="shared" si="88"/>
        <v>0</v>
      </c>
      <c r="CG1067" s="75">
        <f t="shared" si="92"/>
        <v>4912</v>
      </c>
      <c r="CH1067" s="69" t="str">
        <f t="shared" si="92"/>
        <v>برنامج دولى</v>
      </c>
    </row>
    <row r="1068" spans="1:86" x14ac:dyDescent="0.25">
      <c r="A1068" s="148"/>
      <c r="B1068" s="82">
        <v>8978</v>
      </c>
      <c r="C1068" s="149">
        <v>4913</v>
      </c>
      <c r="D1068" s="69" t="s">
        <v>78</v>
      </c>
      <c r="E1068" s="69" t="s">
        <v>798</v>
      </c>
      <c r="F1068" s="63"/>
      <c r="G1068" s="69">
        <v>234.5</v>
      </c>
      <c r="H1068" s="69"/>
      <c r="I1068" s="69"/>
      <c r="J1068" s="69"/>
      <c r="K1068" s="69"/>
      <c r="L1068" s="69"/>
      <c r="M1068" s="69"/>
      <c r="N1068" s="69"/>
      <c r="O1068" s="69"/>
      <c r="P1068" s="69"/>
      <c r="Q1068" s="69"/>
      <c r="R1068" s="69"/>
      <c r="S1068" s="69"/>
      <c r="T1068" s="69"/>
      <c r="U1068" s="69"/>
      <c r="V1068" s="69"/>
      <c r="W1068" s="69"/>
      <c r="X1068" s="69"/>
      <c r="Y1068" s="69"/>
      <c r="Z1068" s="69"/>
      <c r="AA1068" s="69"/>
      <c r="AB1068" s="69"/>
      <c r="AC1068" s="69"/>
      <c r="AD1068" s="69"/>
      <c r="AE1068" s="69"/>
      <c r="AF1068" s="69"/>
      <c r="AG1068" s="69"/>
      <c r="AH1068" s="69"/>
      <c r="AI1068" s="69"/>
      <c r="AJ1068" s="69"/>
      <c r="AK1068" s="69"/>
      <c r="AL1068" s="69"/>
      <c r="AM1068" s="69"/>
      <c r="AN1068" s="69"/>
      <c r="AO1068" s="69"/>
      <c r="AP1068" s="69"/>
      <c r="AQ1068" s="69"/>
      <c r="AR1068" s="94">
        <f t="shared" si="77"/>
        <v>234.5</v>
      </c>
      <c r="AS1068" s="69">
        <v>157.19999999999999</v>
      </c>
      <c r="AT1068" s="69">
        <v>20.8</v>
      </c>
      <c r="AU1068" s="69">
        <v>56.5</v>
      </c>
      <c r="AV1068" s="69"/>
      <c r="AW1068" s="69"/>
      <c r="AX1068" s="69"/>
      <c r="AY1068" s="69"/>
      <c r="AZ1068" s="69"/>
      <c r="BA1068" s="69"/>
      <c r="BB1068" s="69"/>
      <c r="BC1068" s="69"/>
      <c r="BD1068" s="69"/>
      <c r="BE1068" s="69"/>
      <c r="BF1068" s="69"/>
      <c r="BG1068" s="69"/>
      <c r="BH1068" s="69"/>
      <c r="BI1068" s="69"/>
      <c r="BJ1068" s="69"/>
      <c r="BK1068" s="69"/>
      <c r="BL1068" s="69"/>
      <c r="BM1068" s="69"/>
      <c r="BN1068" s="69"/>
      <c r="BO1068" s="69"/>
      <c r="BP1068" s="69"/>
      <c r="BQ1068" s="69"/>
      <c r="BR1068" s="69"/>
      <c r="BS1068" s="69"/>
      <c r="BT1068" s="69"/>
      <c r="BU1068" s="69"/>
      <c r="BV1068" s="69"/>
      <c r="BW1068" s="69"/>
      <c r="BX1068" s="69"/>
      <c r="BY1068" s="69"/>
      <c r="BZ1068" s="69"/>
      <c r="CA1068" s="69"/>
      <c r="CB1068" s="69"/>
      <c r="CC1068" s="69"/>
      <c r="CD1068" s="69"/>
      <c r="CE1068" s="94">
        <f t="shared" si="91"/>
        <v>234.5</v>
      </c>
      <c r="CF1068" s="151">
        <f t="shared" si="88"/>
        <v>0</v>
      </c>
      <c r="CG1068" s="75">
        <f t="shared" si="92"/>
        <v>4913</v>
      </c>
      <c r="CH1068" s="69" t="str">
        <f t="shared" si="92"/>
        <v>برنامج دولى</v>
      </c>
    </row>
    <row r="1069" spans="1:86" x14ac:dyDescent="0.25">
      <c r="A1069" s="148"/>
      <c r="B1069" s="82">
        <v>8979</v>
      </c>
      <c r="C1069" s="149">
        <v>4914</v>
      </c>
      <c r="D1069" s="69" t="s">
        <v>78</v>
      </c>
      <c r="E1069" s="69" t="s">
        <v>798</v>
      </c>
      <c r="F1069" s="63"/>
      <c r="G1069" s="69">
        <v>351.75</v>
      </c>
      <c r="H1069" s="69"/>
      <c r="I1069" s="69"/>
      <c r="J1069" s="69"/>
      <c r="K1069" s="69"/>
      <c r="L1069" s="69"/>
      <c r="M1069" s="69"/>
      <c r="N1069" s="69"/>
      <c r="O1069" s="69"/>
      <c r="P1069" s="69"/>
      <c r="Q1069" s="69"/>
      <c r="R1069" s="69"/>
      <c r="S1069" s="69"/>
      <c r="T1069" s="69"/>
      <c r="U1069" s="69"/>
      <c r="V1069" s="69"/>
      <c r="W1069" s="69"/>
      <c r="X1069" s="69"/>
      <c r="Y1069" s="69"/>
      <c r="Z1069" s="69"/>
      <c r="AA1069" s="69"/>
      <c r="AB1069" s="69"/>
      <c r="AC1069" s="69"/>
      <c r="AD1069" s="69"/>
      <c r="AE1069" s="69"/>
      <c r="AF1069" s="69"/>
      <c r="AG1069" s="69"/>
      <c r="AH1069" s="69"/>
      <c r="AI1069" s="69"/>
      <c r="AJ1069" s="69"/>
      <c r="AK1069" s="69"/>
      <c r="AL1069" s="69"/>
      <c r="AM1069" s="69"/>
      <c r="AN1069" s="69"/>
      <c r="AO1069" s="69"/>
      <c r="AP1069" s="69"/>
      <c r="AQ1069" s="69"/>
      <c r="AR1069" s="94">
        <f t="shared" si="77"/>
        <v>351.75</v>
      </c>
      <c r="AS1069" s="69">
        <v>235.55</v>
      </c>
      <c r="AT1069" s="69">
        <v>31.45</v>
      </c>
      <c r="AU1069" s="69">
        <v>84.75</v>
      </c>
      <c r="AV1069" s="69"/>
      <c r="AW1069" s="69"/>
      <c r="AX1069" s="69"/>
      <c r="AY1069" s="69"/>
      <c r="AZ1069" s="69"/>
      <c r="BA1069" s="69"/>
      <c r="BB1069" s="69"/>
      <c r="BC1069" s="69"/>
      <c r="BD1069" s="69"/>
      <c r="BE1069" s="69"/>
      <c r="BF1069" s="69"/>
      <c r="BG1069" s="69"/>
      <c r="BH1069" s="69"/>
      <c r="BI1069" s="69"/>
      <c r="BJ1069" s="69"/>
      <c r="BK1069" s="69"/>
      <c r="BL1069" s="69"/>
      <c r="BM1069" s="69"/>
      <c r="BN1069" s="69"/>
      <c r="BO1069" s="69"/>
      <c r="BP1069" s="69"/>
      <c r="BQ1069" s="69"/>
      <c r="BR1069" s="69"/>
      <c r="BS1069" s="69"/>
      <c r="BT1069" s="69"/>
      <c r="BU1069" s="69"/>
      <c r="BV1069" s="69"/>
      <c r="BW1069" s="69"/>
      <c r="BX1069" s="69"/>
      <c r="BY1069" s="69"/>
      <c r="BZ1069" s="69"/>
      <c r="CA1069" s="69"/>
      <c r="CB1069" s="69"/>
      <c r="CC1069" s="69"/>
      <c r="CD1069" s="69"/>
      <c r="CE1069" s="94">
        <f t="shared" si="91"/>
        <v>351.75</v>
      </c>
      <c r="CF1069" s="151">
        <f t="shared" si="88"/>
        <v>0</v>
      </c>
      <c r="CG1069" s="75">
        <f t="shared" si="92"/>
        <v>4914</v>
      </c>
      <c r="CH1069" s="69" t="str">
        <f t="shared" si="92"/>
        <v>برنامج دولى</v>
      </c>
    </row>
    <row r="1070" spans="1:86" x14ac:dyDescent="0.25">
      <c r="A1070" s="148"/>
      <c r="B1070" s="82">
        <v>8980</v>
      </c>
      <c r="C1070" s="149">
        <v>4915</v>
      </c>
      <c r="D1070" s="69" t="s">
        <v>78</v>
      </c>
      <c r="E1070" s="69" t="s">
        <v>3439</v>
      </c>
      <c r="F1070" s="63"/>
      <c r="G1070" s="69">
        <v>738.68</v>
      </c>
      <c r="H1070" s="69"/>
      <c r="I1070" s="69"/>
      <c r="J1070" s="69"/>
      <c r="K1070" s="69"/>
      <c r="L1070" s="69"/>
      <c r="M1070" s="69"/>
      <c r="N1070" s="69"/>
      <c r="O1070" s="69"/>
      <c r="P1070" s="69"/>
      <c r="Q1070" s="69"/>
      <c r="R1070" s="69"/>
      <c r="S1070" s="69"/>
      <c r="T1070" s="69"/>
      <c r="U1070" s="69"/>
      <c r="V1070" s="69"/>
      <c r="W1070" s="69"/>
      <c r="X1070" s="69"/>
      <c r="Y1070" s="69"/>
      <c r="Z1070" s="69"/>
      <c r="AA1070" s="69"/>
      <c r="AB1070" s="69"/>
      <c r="AC1070" s="69"/>
      <c r="AD1070" s="69"/>
      <c r="AE1070" s="69"/>
      <c r="AF1070" s="69"/>
      <c r="AG1070" s="69"/>
      <c r="AH1070" s="69"/>
      <c r="AI1070" s="69"/>
      <c r="AJ1070" s="69"/>
      <c r="AK1070" s="69"/>
      <c r="AL1070" s="69"/>
      <c r="AM1070" s="69"/>
      <c r="AN1070" s="69"/>
      <c r="AO1070" s="69"/>
      <c r="AP1070" s="69"/>
      <c r="AQ1070" s="69"/>
      <c r="AR1070" s="94">
        <f t="shared" si="77"/>
        <v>738.68</v>
      </c>
      <c r="AS1070" s="69">
        <v>494.75</v>
      </c>
      <c r="AT1070" s="69">
        <v>65.95</v>
      </c>
      <c r="AU1070" s="69">
        <v>177.98</v>
      </c>
      <c r="AV1070" s="69"/>
      <c r="AW1070" s="69"/>
      <c r="AX1070" s="69"/>
      <c r="AY1070" s="69"/>
      <c r="AZ1070" s="69"/>
      <c r="BA1070" s="69"/>
      <c r="BB1070" s="69"/>
      <c r="BC1070" s="69"/>
      <c r="BD1070" s="69"/>
      <c r="BE1070" s="69"/>
      <c r="BF1070" s="69"/>
      <c r="BG1070" s="69"/>
      <c r="BH1070" s="69"/>
      <c r="BI1070" s="69"/>
      <c r="BJ1070" s="69"/>
      <c r="BK1070" s="69"/>
      <c r="BL1070" s="69"/>
      <c r="BM1070" s="69"/>
      <c r="BN1070" s="69"/>
      <c r="BO1070" s="69"/>
      <c r="BP1070" s="69"/>
      <c r="BQ1070" s="69"/>
      <c r="BR1070" s="69"/>
      <c r="BS1070" s="69"/>
      <c r="BT1070" s="69"/>
      <c r="BU1070" s="69"/>
      <c r="BV1070" s="69"/>
      <c r="BW1070" s="69"/>
      <c r="BX1070" s="69"/>
      <c r="BY1070" s="69"/>
      <c r="BZ1070" s="69"/>
      <c r="CA1070" s="69"/>
      <c r="CB1070" s="69"/>
      <c r="CC1070" s="69"/>
      <c r="CD1070" s="69"/>
      <c r="CE1070" s="94">
        <f t="shared" si="91"/>
        <v>738.68000000000006</v>
      </c>
      <c r="CF1070" s="151">
        <f t="shared" si="88"/>
        <v>0</v>
      </c>
      <c r="CG1070" s="75">
        <f t="shared" si="92"/>
        <v>4915</v>
      </c>
      <c r="CH1070" s="69" t="str">
        <f t="shared" si="92"/>
        <v>برنامج دولى</v>
      </c>
    </row>
    <row r="1071" spans="1:86" x14ac:dyDescent="0.25">
      <c r="A1071" s="148"/>
      <c r="B1071" s="82">
        <v>8981</v>
      </c>
      <c r="C1071" s="149">
        <v>4916</v>
      </c>
      <c r="D1071" s="69" t="s">
        <v>78</v>
      </c>
      <c r="E1071" s="69" t="s">
        <v>3439</v>
      </c>
      <c r="F1071" s="63"/>
      <c r="G1071" s="69">
        <v>281.39999999999998</v>
      </c>
      <c r="H1071" s="69"/>
      <c r="I1071" s="69"/>
      <c r="J1071" s="69"/>
      <c r="K1071" s="69"/>
      <c r="L1071" s="69"/>
      <c r="M1071" s="69"/>
      <c r="N1071" s="69"/>
      <c r="O1071" s="69"/>
      <c r="P1071" s="69"/>
      <c r="Q1071" s="69"/>
      <c r="R1071" s="69"/>
      <c r="S1071" s="69"/>
      <c r="T1071" s="69"/>
      <c r="U1071" s="69"/>
      <c r="V1071" s="69"/>
      <c r="W1071" s="69"/>
      <c r="X1071" s="69"/>
      <c r="Y1071" s="69"/>
      <c r="Z1071" s="69"/>
      <c r="AA1071" s="69"/>
      <c r="AB1071" s="69"/>
      <c r="AC1071" s="69"/>
      <c r="AD1071" s="69"/>
      <c r="AE1071" s="69"/>
      <c r="AF1071" s="69"/>
      <c r="AG1071" s="69"/>
      <c r="AH1071" s="69"/>
      <c r="AI1071" s="69"/>
      <c r="AJ1071" s="69"/>
      <c r="AK1071" s="69"/>
      <c r="AL1071" s="69"/>
      <c r="AM1071" s="69"/>
      <c r="AN1071" s="69"/>
      <c r="AO1071" s="69"/>
      <c r="AP1071" s="69"/>
      <c r="AQ1071" s="69"/>
      <c r="AR1071" s="94">
        <f t="shared" si="77"/>
        <v>281.39999999999998</v>
      </c>
      <c r="AS1071" s="69">
        <v>188.6</v>
      </c>
      <c r="AT1071" s="69">
        <v>25</v>
      </c>
      <c r="AU1071" s="69">
        <v>67.8</v>
      </c>
      <c r="AV1071" s="69"/>
      <c r="AW1071" s="69"/>
      <c r="AX1071" s="69"/>
      <c r="AY1071" s="69"/>
      <c r="AZ1071" s="69"/>
      <c r="BA1071" s="69"/>
      <c r="BB1071" s="69"/>
      <c r="BC1071" s="69"/>
      <c r="BD1071" s="69"/>
      <c r="BE1071" s="69"/>
      <c r="BF1071" s="69"/>
      <c r="BG1071" s="69"/>
      <c r="BH1071" s="69"/>
      <c r="BI1071" s="69"/>
      <c r="BJ1071" s="69"/>
      <c r="BK1071" s="69"/>
      <c r="BL1071" s="69"/>
      <c r="BM1071" s="69"/>
      <c r="BN1071" s="69"/>
      <c r="BO1071" s="69"/>
      <c r="BP1071" s="69"/>
      <c r="BQ1071" s="69"/>
      <c r="BR1071" s="69"/>
      <c r="BS1071" s="69"/>
      <c r="BT1071" s="69"/>
      <c r="BU1071" s="69"/>
      <c r="BV1071" s="69"/>
      <c r="BW1071" s="69"/>
      <c r="BX1071" s="69"/>
      <c r="BY1071" s="69"/>
      <c r="BZ1071" s="69"/>
      <c r="CA1071" s="69"/>
      <c r="CB1071" s="69"/>
      <c r="CC1071" s="69"/>
      <c r="CD1071" s="69"/>
      <c r="CE1071" s="94">
        <f t="shared" si="91"/>
        <v>281.39999999999998</v>
      </c>
      <c r="CF1071" s="151">
        <f t="shared" si="88"/>
        <v>0</v>
      </c>
      <c r="CG1071" s="75">
        <f t="shared" si="92"/>
        <v>4916</v>
      </c>
      <c r="CH1071" s="69" t="str">
        <f t="shared" si="92"/>
        <v>برنامج دولى</v>
      </c>
    </row>
    <row r="1072" spans="1:86" x14ac:dyDescent="0.25">
      <c r="A1072" s="148"/>
      <c r="B1072" s="82">
        <v>8982</v>
      </c>
      <c r="C1072" s="149">
        <v>4917</v>
      </c>
      <c r="D1072" s="69" t="s">
        <v>78</v>
      </c>
      <c r="E1072" s="69" t="s">
        <v>889</v>
      </c>
      <c r="F1072" s="63"/>
      <c r="G1072" s="69">
        <v>586.25</v>
      </c>
      <c r="H1072" s="69"/>
      <c r="I1072" s="69"/>
      <c r="J1072" s="69"/>
      <c r="K1072" s="69"/>
      <c r="L1072" s="69"/>
      <c r="M1072" s="69"/>
      <c r="N1072" s="69"/>
      <c r="O1072" s="69"/>
      <c r="P1072" s="69"/>
      <c r="Q1072" s="69"/>
      <c r="R1072" s="69"/>
      <c r="S1072" s="69"/>
      <c r="T1072" s="69"/>
      <c r="U1072" s="69"/>
      <c r="V1072" s="69"/>
      <c r="W1072" s="69"/>
      <c r="X1072" s="69"/>
      <c r="Y1072" s="69"/>
      <c r="Z1072" s="69"/>
      <c r="AA1072" s="69"/>
      <c r="AB1072" s="69"/>
      <c r="AC1072" s="69"/>
      <c r="AD1072" s="69"/>
      <c r="AE1072" s="69"/>
      <c r="AF1072" s="69"/>
      <c r="AG1072" s="69"/>
      <c r="AH1072" s="69"/>
      <c r="AI1072" s="69"/>
      <c r="AJ1072" s="69"/>
      <c r="AK1072" s="69"/>
      <c r="AL1072" s="69"/>
      <c r="AM1072" s="69"/>
      <c r="AN1072" s="69"/>
      <c r="AO1072" s="69"/>
      <c r="AP1072" s="69"/>
      <c r="AQ1072" s="69"/>
      <c r="AR1072" s="94">
        <f t="shared" si="77"/>
        <v>586.25</v>
      </c>
      <c r="AS1072" s="69">
        <v>392.4</v>
      </c>
      <c r="AT1072" s="69">
        <v>52.6</v>
      </c>
      <c r="AU1072" s="69">
        <v>141.25</v>
      </c>
      <c r="AV1072" s="69"/>
      <c r="AW1072" s="69"/>
      <c r="AX1072" s="69"/>
      <c r="AY1072" s="69"/>
      <c r="AZ1072" s="69"/>
      <c r="BA1072" s="69"/>
      <c r="BB1072" s="69"/>
      <c r="BC1072" s="69"/>
      <c r="BD1072" s="69"/>
      <c r="BE1072" s="69"/>
      <c r="BF1072" s="69"/>
      <c r="BG1072" s="69"/>
      <c r="BH1072" s="69"/>
      <c r="BI1072" s="69"/>
      <c r="BJ1072" s="69"/>
      <c r="BK1072" s="69"/>
      <c r="BL1072" s="69"/>
      <c r="BM1072" s="69"/>
      <c r="BN1072" s="69"/>
      <c r="BO1072" s="69"/>
      <c r="BP1072" s="69"/>
      <c r="BQ1072" s="69"/>
      <c r="BR1072" s="69"/>
      <c r="BS1072" s="69"/>
      <c r="BT1072" s="69"/>
      <c r="BU1072" s="69"/>
      <c r="BV1072" s="69"/>
      <c r="BW1072" s="69"/>
      <c r="BX1072" s="69"/>
      <c r="BY1072" s="69"/>
      <c r="BZ1072" s="69"/>
      <c r="CA1072" s="69"/>
      <c r="CB1072" s="69"/>
      <c r="CC1072" s="69"/>
      <c r="CD1072" s="69"/>
      <c r="CE1072" s="94">
        <f t="shared" si="91"/>
        <v>586.25</v>
      </c>
      <c r="CF1072" s="151">
        <f t="shared" ref="CF1072:CF1135" si="93">+CE1072-AR1072</f>
        <v>0</v>
      </c>
      <c r="CG1072" s="75">
        <f t="shared" si="92"/>
        <v>4917</v>
      </c>
      <c r="CH1072" s="69" t="str">
        <f t="shared" si="92"/>
        <v>برنامج دولى</v>
      </c>
    </row>
    <row r="1073" spans="1:86" x14ac:dyDescent="0.25">
      <c r="A1073" s="148"/>
      <c r="B1073" s="82">
        <v>8983</v>
      </c>
      <c r="C1073" s="149">
        <v>4918</v>
      </c>
      <c r="D1073" s="69" t="s">
        <v>78</v>
      </c>
      <c r="E1073" s="69" t="s">
        <v>889</v>
      </c>
      <c r="F1073" s="63"/>
      <c r="G1073" s="69">
        <v>586.25</v>
      </c>
      <c r="H1073" s="69"/>
      <c r="I1073" s="69"/>
      <c r="J1073" s="69"/>
      <c r="K1073" s="69"/>
      <c r="L1073" s="69"/>
      <c r="M1073" s="69"/>
      <c r="N1073" s="69"/>
      <c r="O1073" s="69"/>
      <c r="P1073" s="69"/>
      <c r="Q1073" s="69"/>
      <c r="R1073" s="69"/>
      <c r="S1073" s="69"/>
      <c r="T1073" s="69"/>
      <c r="U1073" s="69"/>
      <c r="V1073" s="69"/>
      <c r="W1073" s="69"/>
      <c r="X1073" s="69"/>
      <c r="Y1073" s="69"/>
      <c r="Z1073" s="69"/>
      <c r="AA1073" s="69"/>
      <c r="AB1073" s="69"/>
      <c r="AC1073" s="69"/>
      <c r="AD1073" s="69"/>
      <c r="AE1073" s="69"/>
      <c r="AF1073" s="69"/>
      <c r="AG1073" s="69"/>
      <c r="AH1073" s="69"/>
      <c r="AI1073" s="69"/>
      <c r="AJ1073" s="69"/>
      <c r="AK1073" s="69"/>
      <c r="AL1073" s="69"/>
      <c r="AM1073" s="69"/>
      <c r="AN1073" s="69"/>
      <c r="AO1073" s="69"/>
      <c r="AP1073" s="69"/>
      <c r="AQ1073" s="69"/>
      <c r="AR1073" s="94">
        <f t="shared" si="77"/>
        <v>586.25</v>
      </c>
      <c r="AS1073" s="69">
        <v>392.4</v>
      </c>
      <c r="AT1073" s="69">
        <v>52.6</v>
      </c>
      <c r="AU1073" s="69">
        <v>141.25</v>
      </c>
      <c r="AV1073" s="69"/>
      <c r="AW1073" s="69"/>
      <c r="AX1073" s="69"/>
      <c r="AY1073" s="69"/>
      <c r="AZ1073" s="69"/>
      <c r="BA1073" s="69"/>
      <c r="BB1073" s="69"/>
      <c r="BC1073" s="69"/>
      <c r="BD1073" s="69"/>
      <c r="BE1073" s="69"/>
      <c r="BF1073" s="69"/>
      <c r="BG1073" s="69"/>
      <c r="BH1073" s="69"/>
      <c r="BI1073" s="69"/>
      <c r="BJ1073" s="69"/>
      <c r="BK1073" s="69"/>
      <c r="BL1073" s="69"/>
      <c r="BM1073" s="69"/>
      <c r="BN1073" s="69"/>
      <c r="BO1073" s="69"/>
      <c r="BP1073" s="69"/>
      <c r="BQ1073" s="69"/>
      <c r="BR1073" s="69"/>
      <c r="BS1073" s="69"/>
      <c r="BT1073" s="69"/>
      <c r="BU1073" s="69"/>
      <c r="BV1073" s="69"/>
      <c r="BW1073" s="69"/>
      <c r="BX1073" s="69"/>
      <c r="BY1073" s="69"/>
      <c r="BZ1073" s="69"/>
      <c r="CA1073" s="69"/>
      <c r="CB1073" s="69"/>
      <c r="CC1073" s="69"/>
      <c r="CD1073" s="69"/>
      <c r="CE1073" s="94">
        <f t="shared" si="91"/>
        <v>586.25</v>
      </c>
      <c r="CF1073" s="151">
        <f t="shared" si="93"/>
        <v>0</v>
      </c>
      <c r="CG1073" s="75">
        <f t="shared" si="92"/>
        <v>4918</v>
      </c>
      <c r="CH1073" s="69" t="str">
        <f t="shared" si="92"/>
        <v>برنامج دولى</v>
      </c>
    </row>
    <row r="1074" spans="1:86" x14ac:dyDescent="0.25">
      <c r="A1074" s="148"/>
      <c r="B1074" s="82">
        <v>8984</v>
      </c>
      <c r="C1074" s="149">
        <v>4919</v>
      </c>
      <c r="D1074" s="69" t="s">
        <v>78</v>
      </c>
      <c r="E1074" s="69" t="s">
        <v>3440</v>
      </c>
      <c r="F1074" s="63"/>
      <c r="G1074" s="69">
        <v>984.9</v>
      </c>
      <c r="H1074" s="69"/>
      <c r="I1074" s="69"/>
      <c r="J1074" s="69"/>
      <c r="K1074" s="69"/>
      <c r="L1074" s="69"/>
      <c r="M1074" s="69"/>
      <c r="N1074" s="69"/>
      <c r="O1074" s="69"/>
      <c r="P1074" s="69"/>
      <c r="Q1074" s="69"/>
      <c r="R1074" s="69"/>
      <c r="S1074" s="69"/>
      <c r="T1074" s="69"/>
      <c r="U1074" s="69"/>
      <c r="V1074" s="69"/>
      <c r="W1074" s="69"/>
      <c r="X1074" s="69"/>
      <c r="Y1074" s="69"/>
      <c r="Z1074" s="69"/>
      <c r="AA1074" s="69"/>
      <c r="AB1074" s="69"/>
      <c r="AC1074" s="69"/>
      <c r="AD1074" s="69"/>
      <c r="AE1074" s="69"/>
      <c r="AF1074" s="69"/>
      <c r="AG1074" s="69"/>
      <c r="AH1074" s="69"/>
      <c r="AI1074" s="69"/>
      <c r="AJ1074" s="69"/>
      <c r="AK1074" s="69"/>
      <c r="AL1074" s="69"/>
      <c r="AM1074" s="69"/>
      <c r="AN1074" s="69"/>
      <c r="AO1074" s="69"/>
      <c r="AP1074" s="69"/>
      <c r="AQ1074" s="69"/>
      <c r="AR1074" s="94">
        <f t="shared" si="77"/>
        <v>984.9</v>
      </c>
      <c r="AS1074" s="69">
        <v>658.7</v>
      </c>
      <c r="AT1074" s="69">
        <f>84+4.9</f>
        <v>88.9</v>
      </c>
      <c r="AU1074" s="69">
        <v>237.3</v>
      </c>
      <c r="AV1074" s="69"/>
      <c r="AW1074" s="69"/>
      <c r="AX1074" s="69"/>
      <c r="AY1074" s="69"/>
      <c r="AZ1074" s="69"/>
      <c r="BA1074" s="69"/>
      <c r="BB1074" s="69"/>
      <c r="BC1074" s="69"/>
      <c r="BD1074" s="69"/>
      <c r="BE1074" s="69"/>
      <c r="BF1074" s="69"/>
      <c r="BG1074" s="69"/>
      <c r="BH1074" s="69"/>
      <c r="BI1074" s="69"/>
      <c r="BJ1074" s="69"/>
      <c r="BK1074" s="69"/>
      <c r="BL1074" s="69"/>
      <c r="BM1074" s="69"/>
      <c r="BN1074" s="69"/>
      <c r="BO1074" s="69"/>
      <c r="BP1074" s="69"/>
      <c r="BQ1074" s="69"/>
      <c r="BR1074" s="69"/>
      <c r="BS1074" s="69"/>
      <c r="BT1074" s="69"/>
      <c r="BU1074" s="69"/>
      <c r="BV1074" s="69"/>
      <c r="BW1074" s="69"/>
      <c r="BX1074" s="69"/>
      <c r="BY1074" s="69"/>
      <c r="BZ1074" s="69"/>
      <c r="CA1074" s="69"/>
      <c r="CB1074" s="69"/>
      <c r="CC1074" s="69"/>
      <c r="CD1074" s="69"/>
      <c r="CE1074" s="94">
        <f t="shared" si="91"/>
        <v>984.90000000000009</v>
      </c>
      <c r="CF1074" s="151">
        <f t="shared" si="93"/>
        <v>0</v>
      </c>
      <c r="CG1074" s="75">
        <f t="shared" si="92"/>
        <v>4919</v>
      </c>
      <c r="CH1074" s="69" t="str">
        <f t="shared" si="92"/>
        <v>برنامج دولى</v>
      </c>
    </row>
    <row r="1075" spans="1:86" x14ac:dyDescent="0.25">
      <c r="A1075" s="148"/>
      <c r="B1075" s="82">
        <v>8985</v>
      </c>
      <c r="C1075" s="149">
        <v>4920</v>
      </c>
      <c r="D1075" s="69" t="s">
        <v>78</v>
      </c>
      <c r="E1075" s="69" t="s">
        <v>3441</v>
      </c>
      <c r="F1075" s="63"/>
      <c r="G1075" s="69">
        <v>4374.28</v>
      </c>
      <c r="H1075" s="69"/>
      <c r="I1075" s="69"/>
      <c r="J1075" s="69"/>
      <c r="K1075" s="69"/>
      <c r="L1075" s="69"/>
      <c r="M1075" s="69"/>
      <c r="N1075" s="69"/>
      <c r="O1075" s="69"/>
      <c r="P1075" s="69"/>
      <c r="Q1075" s="69"/>
      <c r="R1075" s="69"/>
      <c r="S1075" s="69"/>
      <c r="T1075" s="69"/>
      <c r="U1075" s="69"/>
      <c r="V1075" s="69"/>
      <c r="W1075" s="69"/>
      <c r="X1075" s="69"/>
      <c r="Y1075" s="69"/>
      <c r="Z1075" s="69"/>
      <c r="AA1075" s="69"/>
      <c r="AB1075" s="69"/>
      <c r="AC1075" s="69"/>
      <c r="AD1075" s="69"/>
      <c r="AE1075" s="69"/>
      <c r="AF1075" s="69"/>
      <c r="AG1075" s="69"/>
      <c r="AH1075" s="69"/>
      <c r="AI1075" s="69"/>
      <c r="AJ1075" s="69"/>
      <c r="AK1075" s="69"/>
      <c r="AL1075" s="69"/>
      <c r="AM1075" s="69"/>
      <c r="AN1075" s="69"/>
      <c r="AO1075" s="69"/>
      <c r="AP1075" s="69"/>
      <c r="AQ1075" s="69"/>
      <c r="AR1075" s="94">
        <f t="shared" si="77"/>
        <v>4374.28</v>
      </c>
      <c r="AS1075" s="69">
        <v>3868.42</v>
      </c>
      <c r="AT1075" s="69">
        <v>466.1</v>
      </c>
      <c r="AU1075" s="69">
        <v>39.76</v>
      </c>
      <c r="AV1075" s="69"/>
      <c r="AW1075" s="69"/>
      <c r="AX1075" s="69"/>
      <c r="AY1075" s="69"/>
      <c r="AZ1075" s="69"/>
      <c r="BA1075" s="69"/>
      <c r="BB1075" s="69"/>
      <c r="BC1075" s="69"/>
      <c r="BD1075" s="69"/>
      <c r="BE1075" s="69"/>
      <c r="BF1075" s="69"/>
      <c r="BG1075" s="69"/>
      <c r="BH1075" s="69"/>
      <c r="BI1075" s="69"/>
      <c r="BJ1075" s="69"/>
      <c r="BK1075" s="69"/>
      <c r="BL1075" s="69"/>
      <c r="BM1075" s="69"/>
      <c r="BN1075" s="69"/>
      <c r="BO1075" s="69"/>
      <c r="BP1075" s="69"/>
      <c r="BQ1075" s="69"/>
      <c r="BR1075" s="69"/>
      <c r="BS1075" s="69"/>
      <c r="BT1075" s="69"/>
      <c r="BU1075" s="69"/>
      <c r="BV1075" s="69"/>
      <c r="BW1075" s="69"/>
      <c r="BX1075" s="69"/>
      <c r="BY1075" s="69"/>
      <c r="BZ1075" s="69"/>
      <c r="CA1075" s="69"/>
      <c r="CB1075" s="69"/>
      <c r="CC1075" s="69"/>
      <c r="CD1075" s="69"/>
      <c r="CE1075" s="94">
        <f t="shared" si="91"/>
        <v>4374.2800000000007</v>
      </c>
      <c r="CF1075" s="151">
        <f t="shared" si="93"/>
        <v>0</v>
      </c>
      <c r="CG1075" s="75">
        <f t="shared" si="92"/>
        <v>4920</v>
      </c>
      <c r="CH1075" s="69" t="str">
        <f t="shared" si="92"/>
        <v>برنامج دولى</v>
      </c>
    </row>
    <row r="1076" spans="1:86" x14ac:dyDescent="0.25">
      <c r="A1076" s="148"/>
      <c r="B1076" s="82">
        <v>8986</v>
      </c>
      <c r="C1076" s="149">
        <v>4921</v>
      </c>
      <c r="D1076" s="69" t="s">
        <v>78</v>
      </c>
      <c r="E1076" s="69" t="s">
        <v>3441</v>
      </c>
      <c r="F1076" s="63"/>
      <c r="G1076" s="69">
        <v>2345</v>
      </c>
      <c r="H1076" s="69"/>
      <c r="I1076" s="69"/>
      <c r="J1076" s="69"/>
      <c r="K1076" s="69"/>
      <c r="L1076" s="69"/>
      <c r="M1076" s="69"/>
      <c r="N1076" s="69"/>
      <c r="O1076" s="69"/>
      <c r="P1076" s="69"/>
      <c r="Q1076" s="69"/>
      <c r="R1076" s="69"/>
      <c r="S1076" s="69"/>
      <c r="T1076" s="69"/>
      <c r="U1076" s="69"/>
      <c r="V1076" s="69"/>
      <c r="W1076" s="69"/>
      <c r="X1076" s="69"/>
      <c r="Y1076" s="69"/>
      <c r="Z1076" s="69"/>
      <c r="AA1076" s="69"/>
      <c r="AB1076" s="69"/>
      <c r="AC1076" s="69"/>
      <c r="AD1076" s="69"/>
      <c r="AE1076" s="69"/>
      <c r="AF1076" s="69"/>
      <c r="AG1076" s="69"/>
      <c r="AH1076" s="69"/>
      <c r="AI1076" s="69"/>
      <c r="AJ1076" s="69"/>
      <c r="AK1076" s="69"/>
      <c r="AL1076" s="69"/>
      <c r="AM1076" s="69"/>
      <c r="AN1076" s="69"/>
      <c r="AO1076" s="69"/>
      <c r="AP1076" s="69"/>
      <c r="AQ1076" s="69"/>
      <c r="AR1076" s="94">
        <f t="shared" si="77"/>
        <v>2345</v>
      </c>
      <c r="AS1076" s="69">
        <v>1567</v>
      </c>
      <c r="AT1076" s="69">
        <v>213</v>
      </c>
      <c r="AU1076" s="69">
        <v>565</v>
      </c>
      <c r="AV1076" s="69"/>
      <c r="AW1076" s="69"/>
      <c r="AX1076" s="69"/>
      <c r="AY1076" s="69"/>
      <c r="AZ1076" s="69"/>
      <c r="BA1076" s="69"/>
      <c r="BB1076" s="69"/>
      <c r="BC1076" s="69"/>
      <c r="BD1076" s="69"/>
      <c r="BE1076" s="69"/>
      <c r="BF1076" s="69"/>
      <c r="BG1076" s="69"/>
      <c r="BH1076" s="69"/>
      <c r="BI1076" s="69"/>
      <c r="BJ1076" s="69"/>
      <c r="BK1076" s="69"/>
      <c r="BL1076" s="69"/>
      <c r="BM1076" s="69"/>
      <c r="BN1076" s="69"/>
      <c r="BO1076" s="69"/>
      <c r="BP1076" s="69"/>
      <c r="BQ1076" s="69"/>
      <c r="BR1076" s="69"/>
      <c r="BS1076" s="69"/>
      <c r="BT1076" s="69"/>
      <c r="BU1076" s="69"/>
      <c r="BV1076" s="69"/>
      <c r="BW1076" s="69"/>
      <c r="BX1076" s="69"/>
      <c r="BY1076" s="69"/>
      <c r="BZ1076" s="69"/>
      <c r="CA1076" s="69"/>
      <c r="CB1076" s="69"/>
      <c r="CC1076" s="69"/>
      <c r="CD1076" s="69"/>
      <c r="CE1076" s="94">
        <f t="shared" si="91"/>
        <v>2345</v>
      </c>
      <c r="CF1076" s="151">
        <f t="shared" si="93"/>
        <v>0</v>
      </c>
      <c r="CG1076" s="75">
        <f t="shared" si="92"/>
        <v>4921</v>
      </c>
      <c r="CH1076" s="69" t="str">
        <f t="shared" si="92"/>
        <v>برنامج دولى</v>
      </c>
    </row>
    <row r="1077" spans="1:86" x14ac:dyDescent="0.25">
      <c r="A1077" s="148"/>
      <c r="B1077" s="82">
        <v>8987</v>
      </c>
      <c r="C1077" s="149">
        <v>4922</v>
      </c>
      <c r="D1077" s="69" t="s">
        <v>78</v>
      </c>
      <c r="E1077" s="69" t="s">
        <v>3441</v>
      </c>
      <c r="F1077" s="63"/>
      <c r="G1077" s="69">
        <v>3004.86</v>
      </c>
      <c r="H1077" s="69"/>
      <c r="I1077" s="69"/>
      <c r="J1077" s="69"/>
      <c r="K1077" s="69"/>
      <c r="L1077" s="69"/>
      <c r="M1077" s="69"/>
      <c r="N1077" s="69"/>
      <c r="O1077" s="69"/>
      <c r="P1077" s="69"/>
      <c r="Q1077" s="69"/>
      <c r="R1077" s="69"/>
      <c r="S1077" s="69"/>
      <c r="T1077" s="69"/>
      <c r="U1077" s="69"/>
      <c r="V1077" s="69"/>
      <c r="W1077" s="69"/>
      <c r="X1077" s="69"/>
      <c r="Y1077" s="69"/>
      <c r="Z1077" s="69"/>
      <c r="AA1077" s="69"/>
      <c r="AB1077" s="69"/>
      <c r="AC1077" s="69"/>
      <c r="AD1077" s="69"/>
      <c r="AE1077" s="69"/>
      <c r="AF1077" s="69"/>
      <c r="AG1077" s="69"/>
      <c r="AH1077" s="69"/>
      <c r="AI1077" s="69"/>
      <c r="AJ1077" s="69"/>
      <c r="AK1077" s="69"/>
      <c r="AL1077" s="69"/>
      <c r="AM1077" s="69"/>
      <c r="AN1077" s="69"/>
      <c r="AO1077" s="69"/>
      <c r="AP1077" s="69"/>
      <c r="AQ1077" s="69"/>
      <c r="AR1077" s="94">
        <f t="shared" si="77"/>
        <v>3004.86</v>
      </c>
      <c r="AS1077" s="69">
        <v>2522.23</v>
      </c>
      <c r="AT1077" s="69">
        <v>310.89999999999998</v>
      </c>
      <c r="AU1077" s="69">
        <v>171.73</v>
      </c>
      <c r="AV1077" s="69"/>
      <c r="AW1077" s="69"/>
      <c r="AX1077" s="69"/>
      <c r="AY1077" s="69"/>
      <c r="AZ1077" s="69"/>
      <c r="BA1077" s="69"/>
      <c r="BB1077" s="69"/>
      <c r="BC1077" s="69"/>
      <c r="BD1077" s="69"/>
      <c r="BE1077" s="69"/>
      <c r="BF1077" s="69"/>
      <c r="BG1077" s="69"/>
      <c r="BH1077" s="69"/>
      <c r="BI1077" s="69"/>
      <c r="BJ1077" s="69"/>
      <c r="BK1077" s="69"/>
      <c r="BL1077" s="69"/>
      <c r="BM1077" s="69"/>
      <c r="BN1077" s="69"/>
      <c r="BO1077" s="69"/>
      <c r="BP1077" s="69"/>
      <c r="BQ1077" s="69"/>
      <c r="BR1077" s="69"/>
      <c r="BS1077" s="69"/>
      <c r="BT1077" s="69"/>
      <c r="BU1077" s="69"/>
      <c r="BV1077" s="69"/>
      <c r="BW1077" s="69"/>
      <c r="BX1077" s="69"/>
      <c r="BY1077" s="69"/>
      <c r="BZ1077" s="69"/>
      <c r="CA1077" s="69"/>
      <c r="CB1077" s="69"/>
      <c r="CC1077" s="69"/>
      <c r="CD1077" s="69"/>
      <c r="CE1077" s="94">
        <f t="shared" si="91"/>
        <v>3004.86</v>
      </c>
      <c r="CF1077" s="151">
        <f t="shared" si="93"/>
        <v>0</v>
      </c>
      <c r="CG1077" s="75">
        <f t="shared" si="92"/>
        <v>4922</v>
      </c>
      <c r="CH1077" s="69" t="str">
        <f t="shared" si="92"/>
        <v>برنامج دولى</v>
      </c>
    </row>
    <row r="1078" spans="1:86" x14ac:dyDescent="0.25">
      <c r="A1078" s="148"/>
      <c r="B1078" s="82">
        <v>8988</v>
      </c>
      <c r="C1078" s="149">
        <v>4923</v>
      </c>
      <c r="D1078" s="69" t="s">
        <v>78</v>
      </c>
      <c r="E1078" s="69" t="s">
        <v>3441</v>
      </c>
      <c r="F1078" s="63"/>
      <c r="G1078" s="69">
        <v>8875.64</v>
      </c>
      <c r="H1078" s="69"/>
      <c r="I1078" s="69"/>
      <c r="J1078" s="69"/>
      <c r="K1078" s="69"/>
      <c r="L1078" s="69"/>
      <c r="M1078" s="69"/>
      <c r="N1078" s="69"/>
      <c r="O1078" s="69"/>
      <c r="P1078" s="69"/>
      <c r="Q1078" s="69"/>
      <c r="R1078" s="69"/>
      <c r="S1078" s="69"/>
      <c r="T1078" s="69"/>
      <c r="U1078" s="69"/>
      <c r="V1078" s="69"/>
      <c r="W1078" s="69"/>
      <c r="X1078" s="69"/>
      <c r="Y1078" s="69"/>
      <c r="Z1078" s="69"/>
      <c r="AA1078" s="69"/>
      <c r="AB1078" s="69"/>
      <c r="AC1078" s="69"/>
      <c r="AD1078" s="69"/>
      <c r="AE1078" s="69"/>
      <c r="AF1078" s="69"/>
      <c r="AG1078" s="69"/>
      <c r="AH1078" s="69"/>
      <c r="AI1078" s="69"/>
      <c r="AJ1078" s="69"/>
      <c r="AK1078" s="69"/>
      <c r="AL1078" s="69"/>
      <c r="AM1078" s="69"/>
      <c r="AN1078" s="69"/>
      <c r="AO1078" s="69"/>
      <c r="AP1078" s="69"/>
      <c r="AQ1078" s="69"/>
      <c r="AR1078" s="94">
        <f t="shared" si="77"/>
        <v>8875.64</v>
      </c>
      <c r="AS1078" s="69">
        <v>5907.38</v>
      </c>
      <c r="AT1078" s="69">
        <v>797.3</v>
      </c>
      <c r="AU1078" s="69">
        <v>2170.96</v>
      </c>
      <c r="AV1078" s="69"/>
      <c r="AW1078" s="69"/>
      <c r="AX1078" s="69"/>
      <c r="AY1078" s="69"/>
      <c r="AZ1078" s="69"/>
      <c r="BA1078" s="69"/>
      <c r="BB1078" s="69"/>
      <c r="BC1078" s="69"/>
      <c r="BD1078" s="69"/>
      <c r="BE1078" s="69"/>
      <c r="BF1078" s="69"/>
      <c r="BG1078" s="69"/>
      <c r="BH1078" s="69"/>
      <c r="BI1078" s="69"/>
      <c r="BJ1078" s="69"/>
      <c r="BK1078" s="69"/>
      <c r="BL1078" s="69"/>
      <c r="BM1078" s="69"/>
      <c r="BN1078" s="69"/>
      <c r="BO1078" s="69"/>
      <c r="BP1078" s="69"/>
      <c r="BQ1078" s="69"/>
      <c r="BR1078" s="69"/>
      <c r="BS1078" s="69"/>
      <c r="BT1078" s="69"/>
      <c r="BU1078" s="69"/>
      <c r="BV1078" s="69"/>
      <c r="BW1078" s="69"/>
      <c r="BX1078" s="69"/>
      <c r="BY1078" s="69"/>
      <c r="BZ1078" s="69"/>
      <c r="CA1078" s="69"/>
      <c r="CB1078" s="69"/>
      <c r="CC1078" s="69"/>
      <c r="CD1078" s="69"/>
      <c r="CE1078" s="94">
        <f t="shared" si="91"/>
        <v>8875.64</v>
      </c>
      <c r="CF1078" s="151">
        <f t="shared" si="93"/>
        <v>0</v>
      </c>
      <c r="CG1078" s="75">
        <f t="shared" si="92"/>
        <v>4923</v>
      </c>
      <c r="CH1078" s="69" t="str">
        <f t="shared" si="92"/>
        <v>برنامج دولى</v>
      </c>
    </row>
    <row r="1079" spans="1:86" x14ac:dyDescent="0.25">
      <c r="A1079" s="148"/>
      <c r="B1079" s="82">
        <v>8989</v>
      </c>
      <c r="C1079" s="149">
        <v>4924</v>
      </c>
      <c r="D1079" s="69" t="s">
        <v>78</v>
      </c>
      <c r="E1079" s="69" t="s">
        <v>3441</v>
      </c>
      <c r="F1079" s="63"/>
      <c r="G1079" s="69">
        <v>2638.14</v>
      </c>
      <c r="H1079" s="69"/>
      <c r="I1079" s="69"/>
      <c r="J1079" s="69"/>
      <c r="K1079" s="69"/>
      <c r="L1079" s="69"/>
      <c r="M1079" s="69"/>
      <c r="N1079" s="69"/>
      <c r="O1079" s="69"/>
      <c r="P1079" s="69"/>
      <c r="Q1079" s="69"/>
      <c r="R1079" s="69"/>
      <c r="S1079" s="69"/>
      <c r="T1079" s="69"/>
      <c r="U1079" s="69"/>
      <c r="V1079" s="69"/>
      <c r="W1079" s="69"/>
      <c r="X1079" s="69"/>
      <c r="Y1079" s="69"/>
      <c r="Z1079" s="69"/>
      <c r="AA1079" s="69"/>
      <c r="AB1079" s="69"/>
      <c r="AC1079" s="69"/>
      <c r="AD1079" s="69"/>
      <c r="AE1079" s="69"/>
      <c r="AF1079" s="69"/>
      <c r="AG1079" s="69"/>
      <c r="AH1079" s="69"/>
      <c r="AI1079" s="69"/>
      <c r="AJ1079" s="69"/>
      <c r="AK1079" s="69"/>
      <c r="AL1079" s="69"/>
      <c r="AM1079" s="69"/>
      <c r="AN1079" s="69"/>
      <c r="AO1079" s="69"/>
      <c r="AP1079" s="69"/>
      <c r="AQ1079" s="69"/>
      <c r="AR1079" s="94">
        <f t="shared" si="77"/>
        <v>2638.14</v>
      </c>
      <c r="AS1079" s="69">
        <v>1764.95</v>
      </c>
      <c r="AT1079" s="69">
        <v>237.55</v>
      </c>
      <c r="AU1079" s="69">
        <v>635.64</v>
      </c>
      <c r="AV1079" s="69"/>
      <c r="AW1079" s="69"/>
      <c r="AX1079" s="69"/>
      <c r="AY1079" s="69"/>
      <c r="AZ1079" s="69"/>
      <c r="BA1079" s="69"/>
      <c r="BB1079" s="69"/>
      <c r="BC1079" s="69"/>
      <c r="BD1079" s="69"/>
      <c r="BE1079" s="69"/>
      <c r="BF1079" s="69"/>
      <c r="BG1079" s="69"/>
      <c r="BH1079" s="69"/>
      <c r="BI1079" s="69"/>
      <c r="BJ1079" s="69"/>
      <c r="BK1079" s="69"/>
      <c r="BL1079" s="69"/>
      <c r="BM1079" s="69"/>
      <c r="BN1079" s="69"/>
      <c r="BO1079" s="69"/>
      <c r="BP1079" s="69"/>
      <c r="BQ1079" s="69"/>
      <c r="BR1079" s="69"/>
      <c r="BS1079" s="69"/>
      <c r="BT1079" s="69"/>
      <c r="BU1079" s="69"/>
      <c r="BV1079" s="69"/>
      <c r="BW1079" s="69"/>
      <c r="BX1079" s="69"/>
      <c r="BY1079" s="69"/>
      <c r="BZ1079" s="69"/>
      <c r="CA1079" s="69"/>
      <c r="CB1079" s="69"/>
      <c r="CC1079" s="69"/>
      <c r="CD1079" s="69"/>
      <c r="CE1079" s="94">
        <f t="shared" si="91"/>
        <v>2638.14</v>
      </c>
      <c r="CF1079" s="151">
        <f t="shared" si="93"/>
        <v>0</v>
      </c>
      <c r="CG1079" s="75">
        <f t="shared" si="92"/>
        <v>4924</v>
      </c>
      <c r="CH1079" s="69" t="str">
        <f t="shared" si="92"/>
        <v>برنامج دولى</v>
      </c>
    </row>
    <row r="1080" spans="1:86" x14ac:dyDescent="0.25">
      <c r="A1080" s="148"/>
      <c r="B1080" s="82">
        <v>8990</v>
      </c>
      <c r="C1080" s="149">
        <v>4925</v>
      </c>
      <c r="D1080" s="69" t="s">
        <v>78</v>
      </c>
      <c r="E1080" s="69" t="s">
        <v>3441</v>
      </c>
      <c r="F1080" s="63"/>
      <c r="G1080" s="69">
        <v>703.5</v>
      </c>
      <c r="H1080" s="69"/>
      <c r="I1080" s="69"/>
      <c r="J1080" s="69"/>
      <c r="K1080" s="69"/>
      <c r="L1080" s="69"/>
      <c r="M1080" s="69"/>
      <c r="N1080" s="69"/>
      <c r="O1080" s="69"/>
      <c r="P1080" s="69"/>
      <c r="Q1080" s="69"/>
      <c r="R1080" s="69"/>
      <c r="S1080" s="69"/>
      <c r="T1080" s="69"/>
      <c r="U1080" s="69"/>
      <c r="V1080" s="69"/>
      <c r="W1080" s="69"/>
      <c r="X1080" s="69"/>
      <c r="Y1080" s="69"/>
      <c r="Z1080" s="69"/>
      <c r="AA1080" s="69"/>
      <c r="AB1080" s="69"/>
      <c r="AC1080" s="69"/>
      <c r="AD1080" s="69"/>
      <c r="AE1080" s="69"/>
      <c r="AF1080" s="69"/>
      <c r="AG1080" s="69"/>
      <c r="AH1080" s="69"/>
      <c r="AI1080" s="69"/>
      <c r="AJ1080" s="69"/>
      <c r="AK1080" s="69"/>
      <c r="AL1080" s="69"/>
      <c r="AM1080" s="69"/>
      <c r="AN1080" s="69"/>
      <c r="AO1080" s="69"/>
      <c r="AP1080" s="69"/>
      <c r="AQ1080" s="69"/>
      <c r="AR1080" s="94">
        <f t="shared" si="77"/>
        <v>703.5</v>
      </c>
      <c r="AS1080" s="69">
        <v>470.6</v>
      </c>
      <c r="AT1080" s="69">
        <v>63.4</v>
      </c>
      <c r="AU1080" s="69">
        <v>169.5</v>
      </c>
      <c r="AV1080" s="69"/>
      <c r="AW1080" s="69"/>
      <c r="AX1080" s="69"/>
      <c r="AY1080" s="69"/>
      <c r="AZ1080" s="69"/>
      <c r="BA1080" s="69"/>
      <c r="BB1080" s="69"/>
      <c r="BC1080" s="69"/>
      <c r="BD1080" s="69"/>
      <c r="BE1080" s="69"/>
      <c r="BF1080" s="69"/>
      <c r="BG1080" s="69"/>
      <c r="BH1080" s="69"/>
      <c r="BI1080" s="69"/>
      <c r="BJ1080" s="69"/>
      <c r="BK1080" s="69"/>
      <c r="BL1080" s="69"/>
      <c r="BM1080" s="69"/>
      <c r="BN1080" s="69"/>
      <c r="BO1080" s="69"/>
      <c r="BP1080" s="69"/>
      <c r="BQ1080" s="69"/>
      <c r="BR1080" s="69"/>
      <c r="BS1080" s="69"/>
      <c r="BT1080" s="69"/>
      <c r="BU1080" s="69"/>
      <c r="BV1080" s="69"/>
      <c r="BW1080" s="69"/>
      <c r="BX1080" s="69"/>
      <c r="BY1080" s="69"/>
      <c r="BZ1080" s="69"/>
      <c r="CA1080" s="69"/>
      <c r="CB1080" s="69"/>
      <c r="CC1080" s="69"/>
      <c r="CD1080" s="69"/>
      <c r="CE1080" s="94">
        <f t="shared" si="91"/>
        <v>703.5</v>
      </c>
      <c r="CF1080" s="151">
        <f t="shared" si="93"/>
        <v>0</v>
      </c>
      <c r="CG1080" s="75">
        <f t="shared" si="92"/>
        <v>4925</v>
      </c>
      <c r="CH1080" s="69" t="str">
        <f t="shared" si="92"/>
        <v>برنامج دولى</v>
      </c>
    </row>
    <row r="1081" spans="1:86" x14ac:dyDescent="0.25">
      <c r="A1081" s="148"/>
      <c r="B1081" s="82">
        <v>8991</v>
      </c>
      <c r="C1081" s="149">
        <v>4926</v>
      </c>
      <c r="D1081" s="69" t="s">
        <v>78</v>
      </c>
      <c r="E1081" s="69" t="s">
        <v>3442</v>
      </c>
      <c r="F1081" s="63"/>
      <c r="G1081" s="69">
        <v>11623.89</v>
      </c>
      <c r="H1081" s="69"/>
      <c r="I1081" s="69"/>
      <c r="J1081" s="69"/>
      <c r="K1081" s="69"/>
      <c r="L1081" s="69"/>
      <c r="M1081" s="69"/>
      <c r="N1081" s="69"/>
      <c r="O1081" s="69"/>
      <c r="P1081" s="69"/>
      <c r="Q1081" s="69"/>
      <c r="R1081" s="69"/>
      <c r="S1081" s="69"/>
      <c r="T1081" s="69"/>
      <c r="U1081" s="69"/>
      <c r="V1081" s="69"/>
      <c r="W1081" s="69"/>
      <c r="X1081" s="69"/>
      <c r="Y1081" s="69"/>
      <c r="Z1081" s="69"/>
      <c r="AA1081" s="69"/>
      <c r="AB1081" s="69"/>
      <c r="AC1081" s="69"/>
      <c r="AD1081" s="69"/>
      <c r="AE1081" s="69"/>
      <c r="AF1081" s="69"/>
      <c r="AG1081" s="69"/>
      <c r="AH1081" s="69"/>
      <c r="AI1081" s="69"/>
      <c r="AJ1081" s="69"/>
      <c r="AK1081" s="69"/>
      <c r="AL1081" s="69"/>
      <c r="AM1081" s="69"/>
      <c r="AN1081" s="69"/>
      <c r="AO1081" s="69"/>
      <c r="AP1081" s="69"/>
      <c r="AQ1081" s="69"/>
      <c r="AR1081" s="94">
        <f t="shared" si="77"/>
        <v>11623.89</v>
      </c>
      <c r="AS1081" s="69">
        <v>9445.82</v>
      </c>
      <c r="AT1081" s="69">
        <v>1185.1600000000001</v>
      </c>
      <c r="AU1081" s="69">
        <v>992.91</v>
      </c>
      <c r="AV1081" s="69"/>
      <c r="AW1081" s="69"/>
      <c r="AX1081" s="69"/>
      <c r="AY1081" s="69"/>
      <c r="AZ1081" s="69"/>
      <c r="BA1081" s="69"/>
      <c r="BB1081" s="69"/>
      <c r="BC1081" s="69"/>
      <c r="BD1081" s="69"/>
      <c r="BE1081" s="69"/>
      <c r="BF1081" s="69"/>
      <c r="BG1081" s="69"/>
      <c r="BH1081" s="69"/>
      <c r="BI1081" s="69"/>
      <c r="BJ1081" s="69"/>
      <c r="BK1081" s="69"/>
      <c r="BL1081" s="69"/>
      <c r="BM1081" s="69"/>
      <c r="BN1081" s="69"/>
      <c r="BO1081" s="69"/>
      <c r="BP1081" s="69"/>
      <c r="BQ1081" s="69"/>
      <c r="BR1081" s="69"/>
      <c r="BS1081" s="69"/>
      <c r="BT1081" s="69"/>
      <c r="BU1081" s="69"/>
      <c r="BV1081" s="69"/>
      <c r="BW1081" s="69"/>
      <c r="BX1081" s="69"/>
      <c r="BY1081" s="69"/>
      <c r="BZ1081" s="69"/>
      <c r="CA1081" s="69"/>
      <c r="CB1081" s="69"/>
      <c r="CC1081" s="69"/>
      <c r="CD1081" s="69"/>
      <c r="CE1081" s="94">
        <f t="shared" si="91"/>
        <v>11623.89</v>
      </c>
      <c r="CF1081" s="151">
        <f t="shared" si="93"/>
        <v>0</v>
      </c>
      <c r="CG1081" s="75">
        <f t="shared" si="92"/>
        <v>4926</v>
      </c>
      <c r="CH1081" s="69" t="str">
        <f t="shared" si="92"/>
        <v>برنامج دولى</v>
      </c>
    </row>
    <row r="1082" spans="1:86" x14ac:dyDescent="0.25">
      <c r="A1082" s="148"/>
      <c r="B1082" s="82">
        <v>8992</v>
      </c>
      <c r="C1082" s="149">
        <v>4927</v>
      </c>
      <c r="D1082" s="69" t="s">
        <v>78</v>
      </c>
      <c r="E1082" s="69" t="s">
        <v>3443</v>
      </c>
      <c r="F1082" s="63"/>
      <c r="G1082" s="69">
        <v>11571.17</v>
      </c>
      <c r="H1082" s="69"/>
      <c r="I1082" s="69"/>
      <c r="J1082" s="69"/>
      <c r="K1082" s="69"/>
      <c r="L1082" s="69"/>
      <c r="M1082" s="69"/>
      <c r="N1082" s="69"/>
      <c r="O1082" s="69"/>
      <c r="P1082" s="69"/>
      <c r="Q1082" s="69"/>
      <c r="R1082" s="69"/>
      <c r="S1082" s="69"/>
      <c r="T1082" s="69"/>
      <c r="U1082" s="69"/>
      <c r="V1082" s="69"/>
      <c r="W1082" s="69"/>
      <c r="X1082" s="69"/>
      <c r="Y1082" s="69"/>
      <c r="Z1082" s="69"/>
      <c r="AA1082" s="69"/>
      <c r="AB1082" s="69"/>
      <c r="AC1082" s="69"/>
      <c r="AD1082" s="69"/>
      <c r="AE1082" s="69"/>
      <c r="AF1082" s="69"/>
      <c r="AG1082" s="69"/>
      <c r="AH1082" s="69"/>
      <c r="AI1082" s="69"/>
      <c r="AJ1082" s="69"/>
      <c r="AK1082" s="69"/>
      <c r="AL1082" s="69"/>
      <c r="AM1082" s="69"/>
      <c r="AN1082" s="69"/>
      <c r="AO1082" s="69"/>
      <c r="AP1082" s="69"/>
      <c r="AQ1082" s="69"/>
      <c r="AR1082" s="94">
        <f t="shared" si="77"/>
        <v>11571.17</v>
      </c>
      <c r="AS1082" s="69">
        <v>7718.95</v>
      </c>
      <c r="AT1082" s="69">
        <f>986.88+77.4</f>
        <v>1064.28</v>
      </c>
      <c r="AU1082" s="69">
        <v>2787.94</v>
      </c>
      <c r="AV1082" s="69"/>
      <c r="AW1082" s="69"/>
      <c r="AX1082" s="69"/>
      <c r="AY1082" s="69"/>
      <c r="AZ1082" s="69"/>
      <c r="BA1082" s="69"/>
      <c r="BB1082" s="69"/>
      <c r="BC1082" s="69"/>
      <c r="BD1082" s="69"/>
      <c r="BE1082" s="69"/>
      <c r="BF1082" s="69"/>
      <c r="BG1082" s="69"/>
      <c r="BH1082" s="69"/>
      <c r="BI1082" s="69"/>
      <c r="BJ1082" s="69"/>
      <c r="BK1082" s="69"/>
      <c r="BL1082" s="69"/>
      <c r="BM1082" s="69"/>
      <c r="BN1082" s="69"/>
      <c r="BO1082" s="69"/>
      <c r="BP1082" s="69"/>
      <c r="BQ1082" s="69"/>
      <c r="BR1082" s="69"/>
      <c r="BS1082" s="69"/>
      <c r="BT1082" s="69"/>
      <c r="BU1082" s="69"/>
      <c r="BV1082" s="69"/>
      <c r="BW1082" s="69"/>
      <c r="BX1082" s="69"/>
      <c r="BY1082" s="69"/>
      <c r="BZ1082" s="69"/>
      <c r="CA1082" s="69"/>
      <c r="CB1082" s="69"/>
      <c r="CC1082" s="69"/>
      <c r="CD1082" s="69"/>
      <c r="CE1082" s="94">
        <f t="shared" si="91"/>
        <v>11571.17</v>
      </c>
      <c r="CF1082" s="151">
        <f t="shared" si="93"/>
        <v>0</v>
      </c>
      <c r="CG1082" s="75">
        <f t="shared" si="92"/>
        <v>4927</v>
      </c>
      <c r="CH1082" s="69" t="str">
        <f t="shared" si="92"/>
        <v>برنامج دولى</v>
      </c>
    </row>
    <row r="1083" spans="1:86" x14ac:dyDescent="0.25">
      <c r="A1083" s="148"/>
      <c r="B1083" s="82">
        <v>8993</v>
      </c>
      <c r="C1083" s="149">
        <v>4928</v>
      </c>
      <c r="D1083" s="69" t="s">
        <v>78</v>
      </c>
      <c r="E1083" s="69" t="s">
        <v>3197</v>
      </c>
      <c r="F1083" s="63"/>
      <c r="G1083" s="69">
        <v>1289.75</v>
      </c>
      <c r="H1083" s="69"/>
      <c r="I1083" s="69"/>
      <c r="J1083" s="69"/>
      <c r="K1083" s="69"/>
      <c r="L1083" s="69"/>
      <c r="M1083" s="69"/>
      <c r="N1083" s="69"/>
      <c r="O1083" s="69"/>
      <c r="P1083" s="69"/>
      <c r="Q1083" s="69"/>
      <c r="R1083" s="69"/>
      <c r="S1083" s="69"/>
      <c r="T1083" s="69"/>
      <c r="U1083" s="69"/>
      <c r="V1083" s="69"/>
      <c r="W1083" s="69"/>
      <c r="X1083" s="69"/>
      <c r="Y1083" s="69"/>
      <c r="Z1083" s="69"/>
      <c r="AA1083" s="69"/>
      <c r="AB1083" s="69"/>
      <c r="AC1083" s="69"/>
      <c r="AD1083" s="69"/>
      <c r="AE1083" s="69"/>
      <c r="AF1083" s="69"/>
      <c r="AG1083" s="69"/>
      <c r="AH1083" s="69"/>
      <c r="AI1083" s="69"/>
      <c r="AJ1083" s="69"/>
      <c r="AK1083" s="69"/>
      <c r="AL1083" s="69"/>
      <c r="AM1083" s="69"/>
      <c r="AN1083" s="69"/>
      <c r="AO1083" s="69"/>
      <c r="AP1083" s="69"/>
      <c r="AQ1083" s="69"/>
      <c r="AR1083" s="94">
        <f t="shared" si="77"/>
        <v>1289.75</v>
      </c>
      <c r="AS1083" s="69">
        <v>863</v>
      </c>
      <c r="AT1083" s="69">
        <v>116</v>
      </c>
      <c r="AU1083" s="69">
        <v>310.75</v>
      </c>
      <c r="AV1083" s="69"/>
      <c r="AW1083" s="69"/>
      <c r="AX1083" s="69"/>
      <c r="AY1083" s="69"/>
      <c r="AZ1083" s="69"/>
      <c r="BA1083" s="69"/>
      <c r="BB1083" s="69"/>
      <c r="BC1083" s="69"/>
      <c r="BD1083" s="69"/>
      <c r="BE1083" s="69"/>
      <c r="BF1083" s="69"/>
      <c r="BG1083" s="69"/>
      <c r="BH1083" s="69"/>
      <c r="BI1083" s="69"/>
      <c r="BJ1083" s="69"/>
      <c r="BK1083" s="69"/>
      <c r="BL1083" s="69"/>
      <c r="BM1083" s="69"/>
      <c r="BN1083" s="69"/>
      <c r="BO1083" s="69"/>
      <c r="BP1083" s="69"/>
      <c r="BQ1083" s="69"/>
      <c r="BR1083" s="69"/>
      <c r="BS1083" s="69"/>
      <c r="BT1083" s="69"/>
      <c r="BU1083" s="69"/>
      <c r="BV1083" s="69"/>
      <c r="BW1083" s="69"/>
      <c r="BX1083" s="69"/>
      <c r="BY1083" s="69"/>
      <c r="BZ1083" s="69"/>
      <c r="CA1083" s="69"/>
      <c r="CB1083" s="69"/>
      <c r="CC1083" s="69"/>
      <c r="CD1083" s="69"/>
      <c r="CE1083" s="94">
        <f t="shared" si="91"/>
        <v>1289.75</v>
      </c>
      <c r="CF1083" s="151">
        <f t="shared" si="93"/>
        <v>0</v>
      </c>
      <c r="CG1083" s="75">
        <f t="shared" si="92"/>
        <v>4928</v>
      </c>
      <c r="CH1083" s="69" t="str">
        <f t="shared" si="92"/>
        <v>برنامج دولى</v>
      </c>
    </row>
    <row r="1084" spans="1:86" x14ac:dyDescent="0.25">
      <c r="A1084" s="148"/>
      <c r="B1084" s="82">
        <v>8994</v>
      </c>
      <c r="C1084" s="149">
        <v>4929</v>
      </c>
      <c r="D1084" s="69" t="s">
        <v>78</v>
      </c>
      <c r="E1084" s="69" t="s">
        <v>2098</v>
      </c>
      <c r="F1084" s="63"/>
      <c r="G1084" s="69">
        <v>20517.5</v>
      </c>
      <c r="H1084" s="69"/>
      <c r="I1084" s="69"/>
      <c r="J1084" s="69"/>
      <c r="K1084" s="69"/>
      <c r="L1084" s="69"/>
      <c r="M1084" s="69"/>
      <c r="N1084" s="69"/>
      <c r="O1084" s="69"/>
      <c r="P1084" s="69"/>
      <c r="Q1084" s="69"/>
      <c r="R1084" s="69"/>
      <c r="S1084" s="69"/>
      <c r="T1084" s="69"/>
      <c r="U1084" s="69"/>
      <c r="V1084" s="69"/>
      <c r="W1084" s="69"/>
      <c r="X1084" s="69"/>
      <c r="Y1084" s="69"/>
      <c r="Z1084" s="69"/>
      <c r="AA1084" s="69"/>
      <c r="AB1084" s="69"/>
      <c r="AC1084" s="69"/>
      <c r="AD1084" s="69"/>
      <c r="AE1084" s="69"/>
      <c r="AF1084" s="69"/>
      <c r="AG1084" s="69"/>
      <c r="AH1084" s="69"/>
      <c r="AI1084" s="69"/>
      <c r="AJ1084" s="69"/>
      <c r="AK1084" s="69"/>
      <c r="AL1084" s="69"/>
      <c r="AM1084" s="69"/>
      <c r="AN1084" s="69"/>
      <c r="AO1084" s="69"/>
      <c r="AP1084" s="69"/>
      <c r="AQ1084" s="69"/>
      <c r="AR1084" s="94">
        <f t="shared" si="77"/>
        <v>20517.5</v>
      </c>
      <c r="AS1084" s="69">
        <v>17527.599999999999</v>
      </c>
      <c r="AT1084" s="69">
        <v>2142.4</v>
      </c>
      <c r="AU1084" s="69">
        <v>847.5</v>
      </c>
      <c r="AV1084" s="69"/>
      <c r="AW1084" s="69"/>
      <c r="AX1084" s="69"/>
      <c r="AY1084" s="69"/>
      <c r="AZ1084" s="69"/>
      <c r="BA1084" s="69"/>
      <c r="BB1084" s="69"/>
      <c r="BC1084" s="69"/>
      <c r="BD1084" s="69"/>
      <c r="BE1084" s="69"/>
      <c r="BF1084" s="69"/>
      <c r="BG1084" s="69"/>
      <c r="BH1084" s="69"/>
      <c r="BI1084" s="69"/>
      <c r="BJ1084" s="69"/>
      <c r="BK1084" s="69"/>
      <c r="BL1084" s="69"/>
      <c r="BM1084" s="69"/>
      <c r="BN1084" s="69"/>
      <c r="BO1084" s="69"/>
      <c r="BP1084" s="69"/>
      <c r="BQ1084" s="69"/>
      <c r="BR1084" s="69"/>
      <c r="BS1084" s="69"/>
      <c r="BT1084" s="69"/>
      <c r="BU1084" s="69"/>
      <c r="BV1084" s="69"/>
      <c r="BW1084" s="69"/>
      <c r="BX1084" s="69"/>
      <c r="BY1084" s="69"/>
      <c r="BZ1084" s="69"/>
      <c r="CA1084" s="69"/>
      <c r="CB1084" s="69"/>
      <c r="CC1084" s="69"/>
      <c r="CD1084" s="69"/>
      <c r="CE1084" s="94">
        <f t="shared" si="91"/>
        <v>20517.5</v>
      </c>
      <c r="CF1084" s="151">
        <f t="shared" si="93"/>
        <v>0</v>
      </c>
      <c r="CG1084" s="75">
        <f t="shared" si="92"/>
        <v>4929</v>
      </c>
      <c r="CH1084" s="69" t="str">
        <f t="shared" si="92"/>
        <v>برنامج دولى</v>
      </c>
    </row>
    <row r="1085" spans="1:86" x14ac:dyDescent="0.25">
      <c r="A1085" s="148"/>
      <c r="B1085" s="82">
        <v>8994</v>
      </c>
      <c r="C1085" s="149">
        <v>4930</v>
      </c>
      <c r="D1085" s="69" t="s">
        <v>78</v>
      </c>
      <c r="E1085" s="69" t="s">
        <v>2098</v>
      </c>
      <c r="F1085" s="63"/>
      <c r="G1085" s="69">
        <v>1172.5</v>
      </c>
      <c r="H1085" s="69"/>
      <c r="I1085" s="69"/>
      <c r="J1085" s="69"/>
      <c r="K1085" s="69"/>
      <c r="L1085" s="69"/>
      <c r="M1085" s="69"/>
      <c r="N1085" s="69"/>
      <c r="O1085" s="69"/>
      <c r="P1085" s="69"/>
      <c r="Q1085" s="69"/>
      <c r="R1085" s="69"/>
      <c r="S1085" s="69"/>
      <c r="T1085" s="69"/>
      <c r="U1085" s="69"/>
      <c r="V1085" s="69"/>
      <c r="W1085" s="69"/>
      <c r="X1085" s="69"/>
      <c r="Y1085" s="69"/>
      <c r="Z1085" s="69"/>
      <c r="AA1085" s="69"/>
      <c r="AB1085" s="69"/>
      <c r="AC1085" s="69"/>
      <c r="AD1085" s="69"/>
      <c r="AE1085" s="69"/>
      <c r="AF1085" s="69"/>
      <c r="AG1085" s="69"/>
      <c r="AH1085" s="69"/>
      <c r="AI1085" s="69"/>
      <c r="AJ1085" s="69"/>
      <c r="AK1085" s="69"/>
      <c r="AL1085" s="69"/>
      <c r="AM1085" s="69"/>
      <c r="AN1085" s="69"/>
      <c r="AO1085" s="69"/>
      <c r="AP1085" s="69"/>
      <c r="AQ1085" s="69"/>
      <c r="AR1085" s="94">
        <f t="shared" si="77"/>
        <v>1172.5</v>
      </c>
      <c r="AS1085" s="69">
        <v>784.1</v>
      </c>
      <c r="AT1085" s="69">
        <v>105.9</v>
      </c>
      <c r="AU1085" s="69">
        <v>282.5</v>
      </c>
      <c r="AV1085" s="69"/>
      <c r="AW1085" s="69"/>
      <c r="AX1085" s="69"/>
      <c r="AY1085" s="69"/>
      <c r="AZ1085" s="69"/>
      <c r="BA1085" s="69"/>
      <c r="BB1085" s="69"/>
      <c r="BC1085" s="69"/>
      <c r="BD1085" s="69"/>
      <c r="BE1085" s="69"/>
      <c r="BF1085" s="69"/>
      <c r="BG1085" s="69"/>
      <c r="BH1085" s="69"/>
      <c r="BI1085" s="69"/>
      <c r="BJ1085" s="69"/>
      <c r="BK1085" s="69"/>
      <c r="BL1085" s="69"/>
      <c r="BM1085" s="69"/>
      <c r="BN1085" s="69"/>
      <c r="BO1085" s="69"/>
      <c r="BP1085" s="69"/>
      <c r="BQ1085" s="69"/>
      <c r="BR1085" s="69"/>
      <c r="BS1085" s="69"/>
      <c r="BT1085" s="69"/>
      <c r="BU1085" s="69"/>
      <c r="BV1085" s="69"/>
      <c r="BW1085" s="69"/>
      <c r="BX1085" s="69"/>
      <c r="BY1085" s="69"/>
      <c r="BZ1085" s="69"/>
      <c r="CA1085" s="69"/>
      <c r="CB1085" s="69"/>
      <c r="CC1085" s="69"/>
      <c r="CD1085" s="69"/>
      <c r="CE1085" s="94">
        <f t="shared" si="91"/>
        <v>1172.5</v>
      </c>
      <c r="CF1085" s="151">
        <f t="shared" si="93"/>
        <v>0</v>
      </c>
      <c r="CG1085" s="75">
        <f t="shared" si="92"/>
        <v>4930</v>
      </c>
      <c r="CH1085" s="69" t="str">
        <f t="shared" si="92"/>
        <v>برنامج دولى</v>
      </c>
    </row>
    <row r="1086" spans="1:86" x14ac:dyDescent="0.25">
      <c r="A1086" s="148"/>
      <c r="B1086" s="82">
        <v>8995</v>
      </c>
      <c r="C1086" s="149">
        <v>4931</v>
      </c>
      <c r="D1086" s="69" t="s">
        <v>78</v>
      </c>
      <c r="E1086" s="69" t="s">
        <v>3444</v>
      </c>
      <c r="F1086" s="63"/>
      <c r="G1086" s="69">
        <v>351.75</v>
      </c>
      <c r="H1086" s="69"/>
      <c r="I1086" s="69"/>
      <c r="J1086" s="69"/>
      <c r="K1086" s="69"/>
      <c r="L1086" s="69"/>
      <c r="M1086" s="69"/>
      <c r="N1086" s="69"/>
      <c r="O1086" s="69"/>
      <c r="P1086" s="69"/>
      <c r="Q1086" s="69"/>
      <c r="R1086" s="69"/>
      <c r="S1086" s="69"/>
      <c r="T1086" s="69"/>
      <c r="U1086" s="69"/>
      <c r="V1086" s="69"/>
      <c r="W1086" s="69"/>
      <c r="X1086" s="69"/>
      <c r="Y1086" s="69"/>
      <c r="Z1086" s="69"/>
      <c r="AA1086" s="69"/>
      <c r="AB1086" s="69"/>
      <c r="AC1086" s="69"/>
      <c r="AD1086" s="69"/>
      <c r="AE1086" s="69"/>
      <c r="AF1086" s="69"/>
      <c r="AG1086" s="69"/>
      <c r="AH1086" s="69"/>
      <c r="AI1086" s="69"/>
      <c r="AJ1086" s="69"/>
      <c r="AK1086" s="69"/>
      <c r="AL1086" s="69"/>
      <c r="AM1086" s="69"/>
      <c r="AN1086" s="69"/>
      <c r="AO1086" s="69"/>
      <c r="AP1086" s="69"/>
      <c r="AQ1086" s="69"/>
      <c r="AR1086" s="94">
        <f t="shared" si="77"/>
        <v>351.75</v>
      </c>
      <c r="AS1086" s="69">
        <v>235.55</v>
      </c>
      <c r="AT1086" s="69">
        <v>31.45</v>
      </c>
      <c r="AU1086" s="69">
        <v>84.75</v>
      </c>
      <c r="AV1086" s="69"/>
      <c r="AW1086" s="69"/>
      <c r="AX1086" s="69"/>
      <c r="AY1086" s="69"/>
      <c r="AZ1086" s="69"/>
      <c r="BA1086" s="69"/>
      <c r="BB1086" s="69"/>
      <c r="BC1086" s="69"/>
      <c r="BD1086" s="69"/>
      <c r="BE1086" s="69"/>
      <c r="BF1086" s="69"/>
      <c r="BG1086" s="69"/>
      <c r="BH1086" s="69"/>
      <c r="BI1086" s="69"/>
      <c r="BJ1086" s="69"/>
      <c r="BK1086" s="69"/>
      <c r="BL1086" s="69"/>
      <c r="BM1086" s="69"/>
      <c r="BN1086" s="69"/>
      <c r="BO1086" s="69"/>
      <c r="BP1086" s="69"/>
      <c r="BQ1086" s="69"/>
      <c r="BR1086" s="69"/>
      <c r="BS1086" s="69"/>
      <c r="BT1086" s="69"/>
      <c r="BU1086" s="69"/>
      <c r="BV1086" s="69"/>
      <c r="BW1086" s="69"/>
      <c r="BX1086" s="69"/>
      <c r="BY1086" s="69"/>
      <c r="BZ1086" s="69"/>
      <c r="CA1086" s="69"/>
      <c r="CB1086" s="69"/>
      <c r="CC1086" s="69"/>
      <c r="CD1086" s="69"/>
      <c r="CE1086" s="94">
        <f t="shared" si="91"/>
        <v>351.75</v>
      </c>
      <c r="CF1086" s="151">
        <f t="shared" si="93"/>
        <v>0</v>
      </c>
      <c r="CG1086" s="75">
        <f t="shared" si="92"/>
        <v>4931</v>
      </c>
      <c r="CH1086" s="69" t="str">
        <f t="shared" si="92"/>
        <v>برنامج دولى</v>
      </c>
    </row>
    <row r="1087" spans="1:86" x14ac:dyDescent="0.25">
      <c r="A1087" s="148"/>
      <c r="B1087" s="82">
        <v>7893</v>
      </c>
      <c r="C1087" s="149">
        <v>4932</v>
      </c>
      <c r="D1087" s="69" t="s">
        <v>78</v>
      </c>
      <c r="E1087" s="69" t="s">
        <v>1004</v>
      </c>
      <c r="F1087" s="63"/>
      <c r="G1087" s="69">
        <v>967.32</v>
      </c>
      <c r="H1087" s="69"/>
      <c r="I1087" s="69"/>
      <c r="J1087" s="69"/>
      <c r="K1087" s="69"/>
      <c r="L1087" s="69"/>
      <c r="M1087" s="69"/>
      <c r="N1087" s="69"/>
      <c r="O1087" s="69"/>
      <c r="P1087" s="69"/>
      <c r="Q1087" s="69"/>
      <c r="R1087" s="69"/>
      <c r="S1087" s="69"/>
      <c r="T1087" s="69"/>
      <c r="U1087" s="69"/>
      <c r="V1087" s="69"/>
      <c r="W1087" s="69"/>
      <c r="X1087" s="69"/>
      <c r="Y1087" s="69"/>
      <c r="Z1087" s="69"/>
      <c r="AA1087" s="69"/>
      <c r="AB1087" s="69"/>
      <c r="AC1087" s="69"/>
      <c r="AD1087" s="69"/>
      <c r="AE1087" s="69"/>
      <c r="AF1087" s="69"/>
      <c r="AG1087" s="69"/>
      <c r="AH1087" s="69"/>
      <c r="AI1087" s="69"/>
      <c r="AJ1087" s="69"/>
      <c r="AK1087" s="69"/>
      <c r="AL1087" s="69"/>
      <c r="AM1087" s="69"/>
      <c r="AN1087" s="69"/>
      <c r="AO1087" s="69"/>
      <c r="AP1087" s="69"/>
      <c r="AQ1087" s="69"/>
      <c r="AR1087" s="94">
        <f t="shared" si="77"/>
        <v>967.32</v>
      </c>
      <c r="AS1087" s="69">
        <v>647.4</v>
      </c>
      <c r="AT1087" s="69">
        <f>82.5+4.35</f>
        <v>86.85</v>
      </c>
      <c r="AU1087" s="69">
        <f>319.92-AT1087</f>
        <v>233.07000000000002</v>
      </c>
      <c r="AV1087" s="69"/>
      <c r="AW1087" s="69"/>
      <c r="AX1087" s="69"/>
      <c r="AY1087" s="69"/>
      <c r="AZ1087" s="69"/>
      <c r="BA1087" s="69"/>
      <c r="BB1087" s="69"/>
      <c r="BC1087" s="69"/>
      <c r="BD1087" s="69"/>
      <c r="BE1087" s="69"/>
      <c r="BF1087" s="69"/>
      <c r="BG1087" s="69"/>
      <c r="BH1087" s="69"/>
      <c r="BI1087" s="69"/>
      <c r="BJ1087" s="69"/>
      <c r="BK1087" s="69"/>
      <c r="BL1087" s="69"/>
      <c r="BM1087" s="69"/>
      <c r="BN1087" s="69"/>
      <c r="BO1087" s="69"/>
      <c r="BP1087" s="69"/>
      <c r="BQ1087" s="69"/>
      <c r="BR1087" s="69"/>
      <c r="BS1087" s="69"/>
      <c r="BT1087" s="69"/>
      <c r="BU1087" s="69"/>
      <c r="BV1087" s="69"/>
      <c r="BW1087" s="69"/>
      <c r="BX1087" s="69"/>
      <c r="BY1087" s="69"/>
      <c r="BZ1087" s="69"/>
      <c r="CA1087" s="69"/>
      <c r="CB1087" s="69"/>
      <c r="CC1087" s="69"/>
      <c r="CD1087" s="69"/>
      <c r="CE1087" s="94">
        <f t="shared" si="91"/>
        <v>967.32</v>
      </c>
      <c r="CF1087" s="151">
        <f t="shared" si="93"/>
        <v>0</v>
      </c>
      <c r="CG1087" s="75">
        <f t="shared" si="92"/>
        <v>4932</v>
      </c>
      <c r="CH1087" s="69" t="str">
        <f t="shared" si="92"/>
        <v>برنامج دولى</v>
      </c>
    </row>
    <row r="1088" spans="1:86" x14ac:dyDescent="0.25">
      <c r="A1088" s="148"/>
      <c r="B1088" s="82">
        <v>6389</v>
      </c>
      <c r="C1088" s="149">
        <v>4933</v>
      </c>
      <c r="D1088" s="69" t="s">
        <v>78</v>
      </c>
      <c r="E1088" s="69" t="s">
        <v>3445</v>
      </c>
      <c r="F1088" s="63"/>
      <c r="G1088" s="69">
        <v>105.52</v>
      </c>
      <c r="H1088" s="69"/>
      <c r="I1088" s="69"/>
      <c r="J1088" s="69"/>
      <c r="K1088" s="69"/>
      <c r="L1088" s="69"/>
      <c r="M1088" s="69"/>
      <c r="N1088" s="69"/>
      <c r="O1088" s="69"/>
      <c r="P1088" s="69"/>
      <c r="Q1088" s="69"/>
      <c r="R1088" s="69"/>
      <c r="S1088" s="69"/>
      <c r="T1088" s="69"/>
      <c r="U1088" s="69"/>
      <c r="V1088" s="69"/>
      <c r="W1088" s="69"/>
      <c r="X1088" s="69"/>
      <c r="Y1088" s="69"/>
      <c r="Z1088" s="69"/>
      <c r="AA1088" s="69"/>
      <c r="AB1088" s="69"/>
      <c r="AC1088" s="69"/>
      <c r="AD1088" s="69"/>
      <c r="AE1088" s="69"/>
      <c r="AF1088" s="69"/>
      <c r="AG1088" s="69"/>
      <c r="AH1088" s="69"/>
      <c r="AI1088" s="69"/>
      <c r="AJ1088" s="69"/>
      <c r="AK1088" s="69"/>
      <c r="AL1088" s="69"/>
      <c r="AM1088" s="69"/>
      <c r="AN1088" s="69"/>
      <c r="AO1088" s="69"/>
      <c r="AP1088" s="69"/>
      <c r="AQ1088" s="69"/>
      <c r="AR1088" s="94">
        <f t="shared" si="77"/>
        <v>105.52</v>
      </c>
      <c r="AS1088" s="69">
        <v>70.900000000000006</v>
      </c>
      <c r="AT1088" s="69">
        <v>9.1999999999999993</v>
      </c>
      <c r="AU1088" s="69">
        <v>25.42</v>
      </c>
      <c r="AV1088" s="69"/>
      <c r="AW1088" s="69"/>
      <c r="AX1088" s="69"/>
      <c r="AY1088" s="69"/>
      <c r="AZ1088" s="69"/>
      <c r="BA1088" s="69"/>
      <c r="BB1088" s="69"/>
      <c r="BC1088" s="69"/>
      <c r="BD1088" s="69"/>
      <c r="BE1088" s="69"/>
      <c r="BF1088" s="69"/>
      <c r="BG1088" s="69"/>
      <c r="BH1088" s="69"/>
      <c r="BI1088" s="69"/>
      <c r="BJ1088" s="69"/>
      <c r="BK1088" s="69"/>
      <c r="BL1088" s="69"/>
      <c r="BM1088" s="69"/>
      <c r="BN1088" s="69"/>
      <c r="BO1088" s="69"/>
      <c r="BP1088" s="69"/>
      <c r="BQ1088" s="69"/>
      <c r="BR1088" s="69"/>
      <c r="BS1088" s="69"/>
      <c r="BT1088" s="69"/>
      <c r="BU1088" s="69"/>
      <c r="BV1088" s="69"/>
      <c r="BW1088" s="69"/>
      <c r="BX1088" s="69"/>
      <c r="BY1088" s="69"/>
      <c r="BZ1088" s="69"/>
      <c r="CA1088" s="69"/>
      <c r="CB1088" s="69"/>
      <c r="CC1088" s="69"/>
      <c r="CD1088" s="69"/>
      <c r="CE1088" s="94">
        <f t="shared" si="91"/>
        <v>105.52000000000001</v>
      </c>
      <c r="CF1088" s="151">
        <f t="shared" si="93"/>
        <v>0</v>
      </c>
      <c r="CG1088" s="75">
        <f t="shared" si="92"/>
        <v>4933</v>
      </c>
      <c r="CH1088" s="69" t="str">
        <f t="shared" si="92"/>
        <v>برنامج دولى</v>
      </c>
    </row>
    <row r="1089" spans="1:86" x14ac:dyDescent="0.25">
      <c r="A1089" s="148"/>
      <c r="B1089" s="82">
        <v>6388</v>
      </c>
      <c r="C1089" s="149">
        <v>4934</v>
      </c>
      <c r="D1089" s="69" t="s">
        <v>78</v>
      </c>
      <c r="E1089" s="69" t="s">
        <v>3445</v>
      </c>
      <c r="F1089" s="63"/>
      <c r="G1089" s="69">
        <v>105.52</v>
      </c>
      <c r="H1089" s="69"/>
      <c r="I1089" s="69"/>
      <c r="J1089" s="69"/>
      <c r="K1089" s="69"/>
      <c r="L1089" s="69"/>
      <c r="M1089" s="69"/>
      <c r="N1089" s="69"/>
      <c r="O1089" s="69"/>
      <c r="P1089" s="69"/>
      <c r="Q1089" s="69"/>
      <c r="R1089" s="69"/>
      <c r="S1089" s="69"/>
      <c r="T1089" s="69"/>
      <c r="U1089" s="69"/>
      <c r="V1089" s="69"/>
      <c r="W1089" s="69"/>
      <c r="X1089" s="69"/>
      <c r="Y1089" s="69"/>
      <c r="Z1089" s="69"/>
      <c r="AA1089" s="69"/>
      <c r="AB1089" s="69"/>
      <c r="AC1089" s="69"/>
      <c r="AD1089" s="69"/>
      <c r="AE1089" s="69"/>
      <c r="AF1089" s="69"/>
      <c r="AG1089" s="69"/>
      <c r="AH1089" s="69"/>
      <c r="AI1089" s="69"/>
      <c r="AJ1089" s="69"/>
      <c r="AK1089" s="69"/>
      <c r="AL1089" s="69"/>
      <c r="AM1089" s="69"/>
      <c r="AN1089" s="69"/>
      <c r="AO1089" s="69"/>
      <c r="AP1089" s="69"/>
      <c r="AQ1089" s="69"/>
      <c r="AR1089" s="94">
        <f t="shared" si="77"/>
        <v>105.52</v>
      </c>
      <c r="AS1089" s="69">
        <v>70.900000000000006</v>
      </c>
      <c r="AT1089" s="69">
        <v>9.1999999999999993</v>
      </c>
      <c r="AU1089" s="69">
        <v>25.42</v>
      </c>
      <c r="AV1089" s="69"/>
      <c r="AW1089" s="69"/>
      <c r="AX1089" s="69"/>
      <c r="AY1089" s="69"/>
      <c r="AZ1089" s="69"/>
      <c r="BA1089" s="69"/>
      <c r="BB1089" s="69"/>
      <c r="BC1089" s="69"/>
      <c r="BD1089" s="69"/>
      <c r="BE1089" s="69"/>
      <c r="BF1089" s="69"/>
      <c r="BG1089" s="69"/>
      <c r="BH1089" s="69"/>
      <c r="BI1089" s="69"/>
      <c r="BJ1089" s="69"/>
      <c r="BK1089" s="69"/>
      <c r="BL1089" s="69"/>
      <c r="BM1089" s="69"/>
      <c r="BN1089" s="69"/>
      <c r="BO1089" s="69"/>
      <c r="BP1089" s="69"/>
      <c r="BQ1089" s="69"/>
      <c r="BR1089" s="69"/>
      <c r="BS1089" s="69"/>
      <c r="BT1089" s="69"/>
      <c r="BU1089" s="69"/>
      <c r="BV1089" s="69"/>
      <c r="BW1089" s="69"/>
      <c r="BX1089" s="69"/>
      <c r="BY1089" s="69"/>
      <c r="BZ1089" s="69"/>
      <c r="CA1089" s="69"/>
      <c r="CB1089" s="69"/>
      <c r="CC1089" s="69"/>
      <c r="CD1089" s="69"/>
      <c r="CE1089" s="94">
        <f t="shared" si="91"/>
        <v>105.52000000000001</v>
      </c>
      <c r="CF1089" s="151">
        <f t="shared" si="93"/>
        <v>0</v>
      </c>
      <c r="CG1089" s="75">
        <f t="shared" si="92"/>
        <v>4934</v>
      </c>
      <c r="CH1089" s="69" t="str">
        <f t="shared" si="92"/>
        <v>برنامج دولى</v>
      </c>
    </row>
    <row r="1090" spans="1:86" x14ac:dyDescent="0.25">
      <c r="A1090" s="148"/>
      <c r="B1090" s="82">
        <v>6390</v>
      </c>
      <c r="C1090" s="149">
        <v>4935</v>
      </c>
      <c r="D1090" s="69" t="s">
        <v>78</v>
      </c>
      <c r="E1090" s="69" t="s">
        <v>3445</v>
      </c>
      <c r="F1090" s="63"/>
      <c r="G1090" s="69">
        <v>5430</v>
      </c>
      <c r="H1090" s="69"/>
      <c r="I1090" s="69"/>
      <c r="J1090" s="69"/>
      <c r="K1090" s="69"/>
      <c r="L1090" s="69"/>
      <c r="M1090" s="69"/>
      <c r="N1090" s="69"/>
      <c r="O1090" s="69"/>
      <c r="P1090" s="69"/>
      <c r="Q1090" s="69"/>
      <c r="R1090" s="69"/>
      <c r="S1090" s="69"/>
      <c r="T1090" s="69"/>
      <c r="U1090" s="69"/>
      <c r="V1090" s="69"/>
      <c r="W1090" s="69"/>
      <c r="X1090" s="69"/>
      <c r="Y1090" s="69"/>
      <c r="Z1090" s="69"/>
      <c r="AA1090" s="69"/>
      <c r="AB1090" s="69"/>
      <c r="AC1090" s="69"/>
      <c r="AD1090" s="69"/>
      <c r="AE1090" s="69"/>
      <c r="AF1090" s="69"/>
      <c r="AG1090" s="69"/>
      <c r="AH1090" s="69"/>
      <c r="AI1090" s="69"/>
      <c r="AJ1090" s="69"/>
      <c r="AK1090" s="69"/>
      <c r="AL1090" s="69"/>
      <c r="AM1090" s="69"/>
      <c r="AN1090" s="69"/>
      <c r="AO1090" s="69"/>
      <c r="AP1090" s="69"/>
      <c r="AQ1090" s="69"/>
      <c r="AR1090" s="94">
        <f t="shared" si="77"/>
        <v>5430</v>
      </c>
      <c r="AS1090" s="69">
        <v>4853.75</v>
      </c>
      <c r="AT1090" s="69">
        <v>576.25</v>
      </c>
      <c r="AU1090" s="69"/>
      <c r="AV1090" s="69"/>
      <c r="AW1090" s="69"/>
      <c r="AX1090" s="69"/>
      <c r="AY1090" s="69"/>
      <c r="AZ1090" s="69"/>
      <c r="BA1090" s="69"/>
      <c r="BB1090" s="69"/>
      <c r="BC1090" s="69"/>
      <c r="BD1090" s="69"/>
      <c r="BE1090" s="69"/>
      <c r="BF1090" s="69"/>
      <c r="BG1090" s="69"/>
      <c r="BH1090" s="69"/>
      <c r="BI1090" s="69"/>
      <c r="BJ1090" s="69"/>
      <c r="BK1090" s="69"/>
      <c r="BL1090" s="69"/>
      <c r="BM1090" s="69"/>
      <c r="BN1090" s="69"/>
      <c r="BO1090" s="69"/>
      <c r="BP1090" s="69"/>
      <c r="BQ1090" s="69"/>
      <c r="BR1090" s="69"/>
      <c r="BS1090" s="69"/>
      <c r="BT1090" s="69"/>
      <c r="BU1090" s="69"/>
      <c r="BV1090" s="69"/>
      <c r="BW1090" s="69"/>
      <c r="BX1090" s="69"/>
      <c r="BY1090" s="69"/>
      <c r="BZ1090" s="69"/>
      <c r="CA1090" s="69"/>
      <c r="CB1090" s="69"/>
      <c r="CC1090" s="69"/>
      <c r="CD1090" s="69"/>
      <c r="CE1090" s="94">
        <f t="shared" si="91"/>
        <v>5430</v>
      </c>
      <c r="CF1090" s="151">
        <f t="shared" si="93"/>
        <v>0</v>
      </c>
      <c r="CG1090" s="75">
        <f t="shared" si="92"/>
        <v>4935</v>
      </c>
      <c r="CH1090" s="69" t="str">
        <f t="shared" si="92"/>
        <v>برنامج دولى</v>
      </c>
    </row>
    <row r="1091" spans="1:86" x14ac:dyDescent="0.25">
      <c r="A1091" s="148"/>
      <c r="B1091" s="82">
        <v>6395</v>
      </c>
      <c r="C1091" s="149">
        <v>4936</v>
      </c>
      <c r="D1091" s="69" t="s">
        <v>78</v>
      </c>
      <c r="E1091" s="69" t="s">
        <v>1252</v>
      </c>
      <c r="F1091" s="63"/>
      <c r="G1091" s="69">
        <v>19620</v>
      </c>
      <c r="H1091" s="69"/>
      <c r="I1091" s="69"/>
      <c r="J1091" s="69"/>
      <c r="K1091" s="69"/>
      <c r="L1091" s="69"/>
      <c r="M1091" s="69"/>
      <c r="N1091" s="69"/>
      <c r="O1091" s="69"/>
      <c r="P1091" s="69"/>
      <c r="Q1091" s="69"/>
      <c r="R1091" s="69"/>
      <c r="S1091" s="69"/>
      <c r="T1091" s="69"/>
      <c r="U1091" s="69"/>
      <c r="V1091" s="69"/>
      <c r="W1091" s="69"/>
      <c r="X1091" s="69"/>
      <c r="Y1091" s="69"/>
      <c r="Z1091" s="69"/>
      <c r="AA1091" s="69"/>
      <c r="AB1091" s="69"/>
      <c r="AC1091" s="69"/>
      <c r="AD1091" s="69"/>
      <c r="AE1091" s="69"/>
      <c r="AF1091" s="69"/>
      <c r="AG1091" s="69"/>
      <c r="AH1091" s="69"/>
      <c r="AI1091" s="69"/>
      <c r="AJ1091" s="69"/>
      <c r="AK1091" s="69"/>
      <c r="AL1091" s="69"/>
      <c r="AM1091" s="69"/>
      <c r="AN1091" s="69"/>
      <c r="AO1091" s="69"/>
      <c r="AP1091" s="69"/>
      <c r="AQ1091" s="69"/>
      <c r="AR1091" s="94">
        <f t="shared" si="77"/>
        <v>19620</v>
      </c>
      <c r="AS1091" s="69">
        <v>17503.95</v>
      </c>
      <c r="AT1091" s="69">
        <v>2116.0500000000002</v>
      </c>
      <c r="AU1091" s="69"/>
      <c r="AV1091" s="69"/>
      <c r="AW1091" s="69"/>
      <c r="AX1091" s="69"/>
      <c r="AY1091" s="69"/>
      <c r="AZ1091" s="69"/>
      <c r="BA1091" s="69"/>
      <c r="BB1091" s="69"/>
      <c r="BC1091" s="69"/>
      <c r="BD1091" s="69"/>
      <c r="BE1091" s="69"/>
      <c r="BF1091" s="69"/>
      <c r="BG1091" s="69"/>
      <c r="BH1091" s="69"/>
      <c r="BI1091" s="69"/>
      <c r="BJ1091" s="69"/>
      <c r="BK1091" s="69"/>
      <c r="BL1091" s="69"/>
      <c r="BM1091" s="69"/>
      <c r="BN1091" s="69"/>
      <c r="BO1091" s="69"/>
      <c r="BP1091" s="69"/>
      <c r="BQ1091" s="69"/>
      <c r="BR1091" s="69"/>
      <c r="BS1091" s="69"/>
      <c r="BT1091" s="69"/>
      <c r="BU1091" s="69"/>
      <c r="BV1091" s="69"/>
      <c r="BW1091" s="69"/>
      <c r="BX1091" s="69"/>
      <c r="BY1091" s="69"/>
      <c r="BZ1091" s="69"/>
      <c r="CA1091" s="69"/>
      <c r="CB1091" s="69"/>
      <c r="CC1091" s="69"/>
      <c r="CD1091" s="69"/>
      <c r="CE1091" s="94">
        <f t="shared" si="91"/>
        <v>19620</v>
      </c>
      <c r="CF1091" s="151">
        <f t="shared" si="93"/>
        <v>0</v>
      </c>
      <c r="CG1091" s="75">
        <f t="shared" si="92"/>
        <v>4936</v>
      </c>
      <c r="CH1091" s="69" t="str">
        <f t="shared" si="92"/>
        <v>برنامج دولى</v>
      </c>
    </row>
    <row r="1092" spans="1:86" x14ac:dyDescent="0.25">
      <c r="A1092" s="148"/>
      <c r="B1092" s="82">
        <v>6393</v>
      </c>
      <c r="C1092" s="149">
        <v>4937</v>
      </c>
      <c r="D1092" s="69" t="s">
        <v>78</v>
      </c>
      <c r="E1092" s="69" t="s">
        <v>1252</v>
      </c>
      <c r="F1092" s="63"/>
      <c r="G1092" s="69">
        <v>1650</v>
      </c>
      <c r="H1092" s="69"/>
      <c r="I1092" s="69"/>
      <c r="J1092" s="69"/>
      <c r="K1092" s="69"/>
      <c r="L1092" s="69"/>
      <c r="M1092" s="69"/>
      <c r="N1092" s="69"/>
      <c r="O1092" s="69"/>
      <c r="P1092" s="69"/>
      <c r="Q1092" s="69"/>
      <c r="R1092" s="69"/>
      <c r="S1092" s="69"/>
      <c r="T1092" s="69"/>
      <c r="U1092" s="69"/>
      <c r="V1092" s="69"/>
      <c r="W1092" s="69"/>
      <c r="X1092" s="69"/>
      <c r="Y1092" s="69"/>
      <c r="Z1092" s="69"/>
      <c r="AA1092" s="69"/>
      <c r="AB1092" s="69"/>
      <c r="AC1092" s="69"/>
      <c r="AD1092" s="69"/>
      <c r="AE1092" s="69"/>
      <c r="AF1092" s="69"/>
      <c r="AG1092" s="69"/>
      <c r="AH1092" s="69"/>
      <c r="AI1092" s="69"/>
      <c r="AJ1092" s="69"/>
      <c r="AK1092" s="69"/>
      <c r="AL1092" s="69"/>
      <c r="AM1092" s="69"/>
      <c r="AN1092" s="69"/>
      <c r="AO1092" s="69"/>
      <c r="AP1092" s="69"/>
      <c r="AQ1092" s="69"/>
      <c r="AR1092" s="94">
        <f t="shared" si="77"/>
        <v>1650</v>
      </c>
      <c r="AS1092" s="69">
        <v>1473</v>
      </c>
      <c r="AT1092" s="69">
        <v>177</v>
      </c>
      <c r="AU1092" s="69"/>
      <c r="AV1092" s="69"/>
      <c r="AW1092" s="69"/>
      <c r="AX1092" s="69"/>
      <c r="AY1092" s="69"/>
      <c r="AZ1092" s="69"/>
      <c r="BA1092" s="69"/>
      <c r="BB1092" s="69"/>
      <c r="BC1092" s="69"/>
      <c r="BD1092" s="69"/>
      <c r="BE1092" s="69"/>
      <c r="BF1092" s="69"/>
      <c r="BG1092" s="69"/>
      <c r="BH1092" s="69"/>
      <c r="BI1092" s="69"/>
      <c r="BJ1092" s="69"/>
      <c r="BK1092" s="69"/>
      <c r="BL1092" s="69"/>
      <c r="BM1092" s="69"/>
      <c r="BN1092" s="69"/>
      <c r="BO1092" s="69"/>
      <c r="BP1092" s="69"/>
      <c r="BQ1092" s="69"/>
      <c r="BR1092" s="69"/>
      <c r="BS1092" s="69"/>
      <c r="BT1092" s="69"/>
      <c r="BU1092" s="69"/>
      <c r="BV1092" s="69"/>
      <c r="BW1092" s="69"/>
      <c r="BX1092" s="69"/>
      <c r="BY1092" s="69"/>
      <c r="BZ1092" s="69"/>
      <c r="CA1092" s="69"/>
      <c r="CB1092" s="69"/>
      <c r="CC1092" s="69"/>
      <c r="CD1092" s="69"/>
      <c r="CE1092" s="94">
        <f t="shared" ref="CE1092:CE1098" si="94">SUM(AS1092:CD1092)</f>
        <v>1650</v>
      </c>
      <c r="CF1092" s="151">
        <f t="shared" si="93"/>
        <v>0</v>
      </c>
      <c r="CG1092" s="75">
        <f t="shared" si="92"/>
        <v>4937</v>
      </c>
      <c r="CH1092" s="69" t="str">
        <f t="shared" si="92"/>
        <v>برنامج دولى</v>
      </c>
    </row>
    <row r="1093" spans="1:86" x14ac:dyDescent="0.25">
      <c r="A1093" s="148"/>
      <c r="B1093" s="82">
        <v>6392</v>
      </c>
      <c r="C1093" s="149">
        <v>4938</v>
      </c>
      <c r="D1093" s="69" t="s">
        <v>78</v>
      </c>
      <c r="E1093" s="69" t="s">
        <v>1252</v>
      </c>
      <c r="F1093" s="63"/>
      <c r="G1093" s="69">
        <v>422.1</v>
      </c>
      <c r="H1093" s="69"/>
      <c r="I1093" s="69"/>
      <c r="J1093" s="69"/>
      <c r="K1093" s="69"/>
      <c r="L1093" s="69"/>
      <c r="M1093" s="69"/>
      <c r="N1093" s="69"/>
      <c r="O1093" s="69"/>
      <c r="P1093" s="69"/>
      <c r="Q1093" s="69"/>
      <c r="R1093" s="69"/>
      <c r="S1093" s="69"/>
      <c r="T1093" s="69"/>
      <c r="U1093" s="69"/>
      <c r="V1093" s="69"/>
      <c r="W1093" s="69"/>
      <c r="X1093" s="69"/>
      <c r="Y1093" s="69"/>
      <c r="Z1093" s="69"/>
      <c r="AA1093" s="69"/>
      <c r="AB1093" s="69"/>
      <c r="AC1093" s="69"/>
      <c r="AD1093" s="69"/>
      <c r="AE1093" s="69"/>
      <c r="AF1093" s="69"/>
      <c r="AG1093" s="69"/>
      <c r="AH1093" s="69"/>
      <c r="AI1093" s="69"/>
      <c r="AJ1093" s="69"/>
      <c r="AK1093" s="69"/>
      <c r="AL1093" s="69"/>
      <c r="AM1093" s="69"/>
      <c r="AN1093" s="69"/>
      <c r="AO1093" s="69"/>
      <c r="AP1093" s="69"/>
      <c r="AQ1093" s="69"/>
      <c r="AR1093" s="94">
        <f t="shared" si="77"/>
        <v>422.1</v>
      </c>
      <c r="AS1093" s="69">
        <v>282.60000000000002</v>
      </c>
      <c r="AT1093" s="69">
        <v>37.799999999999997</v>
      </c>
      <c r="AU1093" s="69">
        <v>101.7</v>
      </c>
      <c r="AV1093" s="69"/>
      <c r="AW1093" s="69"/>
      <c r="AX1093" s="69"/>
      <c r="AY1093" s="69"/>
      <c r="AZ1093" s="69"/>
      <c r="BA1093" s="69"/>
      <c r="BB1093" s="69"/>
      <c r="BC1093" s="69"/>
      <c r="BD1093" s="69"/>
      <c r="BE1093" s="69"/>
      <c r="BF1093" s="69"/>
      <c r="BG1093" s="69"/>
      <c r="BH1093" s="69"/>
      <c r="BI1093" s="69"/>
      <c r="BJ1093" s="69"/>
      <c r="BK1093" s="69"/>
      <c r="BL1093" s="69"/>
      <c r="BM1093" s="69"/>
      <c r="BN1093" s="69"/>
      <c r="BO1093" s="69"/>
      <c r="BP1093" s="69"/>
      <c r="BQ1093" s="69"/>
      <c r="BR1093" s="69"/>
      <c r="BS1093" s="69"/>
      <c r="BT1093" s="69"/>
      <c r="BU1093" s="69"/>
      <c r="BV1093" s="69"/>
      <c r="BW1093" s="69"/>
      <c r="BX1093" s="69"/>
      <c r="BY1093" s="69"/>
      <c r="BZ1093" s="69"/>
      <c r="CA1093" s="69"/>
      <c r="CB1093" s="69"/>
      <c r="CC1093" s="69"/>
      <c r="CD1093" s="69"/>
      <c r="CE1093" s="94">
        <f t="shared" si="94"/>
        <v>422.1</v>
      </c>
      <c r="CF1093" s="151">
        <f t="shared" si="93"/>
        <v>0</v>
      </c>
      <c r="CG1093" s="75">
        <f t="shared" si="92"/>
        <v>4938</v>
      </c>
      <c r="CH1093" s="69" t="str">
        <f t="shared" si="92"/>
        <v>برنامج دولى</v>
      </c>
    </row>
    <row r="1094" spans="1:86" x14ac:dyDescent="0.25">
      <c r="A1094" s="148"/>
      <c r="B1094" s="82">
        <v>6391</v>
      </c>
      <c r="C1094" s="149">
        <v>4939</v>
      </c>
      <c r="D1094" s="69" t="s">
        <v>78</v>
      </c>
      <c r="E1094" s="69" t="s">
        <v>1252</v>
      </c>
      <c r="F1094" s="63"/>
      <c r="G1094" s="69">
        <v>1266.3</v>
      </c>
      <c r="H1094" s="69"/>
      <c r="I1094" s="69"/>
      <c r="J1094" s="69"/>
      <c r="K1094" s="69"/>
      <c r="L1094" s="69"/>
      <c r="M1094" s="69"/>
      <c r="N1094" s="69"/>
      <c r="O1094" s="69"/>
      <c r="P1094" s="69"/>
      <c r="Q1094" s="69"/>
      <c r="R1094" s="69"/>
      <c r="S1094" s="69"/>
      <c r="T1094" s="69"/>
      <c r="U1094" s="69"/>
      <c r="V1094" s="69"/>
      <c r="W1094" s="69"/>
      <c r="X1094" s="69"/>
      <c r="Y1094" s="69"/>
      <c r="Z1094" s="69"/>
      <c r="AA1094" s="69"/>
      <c r="AB1094" s="69"/>
      <c r="AC1094" s="69"/>
      <c r="AD1094" s="69"/>
      <c r="AE1094" s="69"/>
      <c r="AF1094" s="69"/>
      <c r="AG1094" s="69"/>
      <c r="AH1094" s="69"/>
      <c r="AI1094" s="69"/>
      <c r="AJ1094" s="69"/>
      <c r="AK1094" s="69"/>
      <c r="AL1094" s="69"/>
      <c r="AM1094" s="69"/>
      <c r="AN1094" s="69"/>
      <c r="AO1094" s="69"/>
      <c r="AP1094" s="69"/>
      <c r="AQ1094" s="69"/>
      <c r="AR1094" s="94">
        <f t="shared" si="77"/>
        <v>1266.3</v>
      </c>
      <c r="AS1094" s="69">
        <v>847.25</v>
      </c>
      <c r="AT1094" s="69">
        <v>113.95</v>
      </c>
      <c r="AU1094" s="69">
        <v>305.10000000000002</v>
      </c>
      <c r="AV1094" s="69"/>
      <c r="AW1094" s="69"/>
      <c r="AX1094" s="69"/>
      <c r="AY1094" s="69"/>
      <c r="AZ1094" s="69"/>
      <c r="BA1094" s="69"/>
      <c r="BB1094" s="69"/>
      <c r="BC1094" s="69"/>
      <c r="BD1094" s="69"/>
      <c r="BE1094" s="69"/>
      <c r="BF1094" s="69"/>
      <c r="BG1094" s="69"/>
      <c r="BH1094" s="69"/>
      <c r="BI1094" s="69"/>
      <c r="BJ1094" s="69"/>
      <c r="BK1094" s="69"/>
      <c r="BL1094" s="69"/>
      <c r="BM1094" s="69"/>
      <c r="BN1094" s="69"/>
      <c r="BO1094" s="69"/>
      <c r="BP1094" s="69"/>
      <c r="BQ1094" s="69"/>
      <c r="BR1094" s="69"/>
      <c r="BS1094" s="69"/>
      <c r="BT1094" s="69"/>
      <c r="BU1094" s="69"/>
      <c r="BV1094" s="69"/>
      <c r="BW1094" s="69"/>
      <c r="BX1094" s="69"/>
      <c r="BY1094" s="69"/>
      <c r="BZ1094" s="69"/>
      <c r="CA1094" s="69"/>
      <c r="CB1094" s="69"/>
      <c r="CC1094" s="69"/>
      <c r="CD1094" s="69"/>
      <c r="CE1094" s="94">
        <f t="shared" si="94"/>
        <v>1266.3000000000002</v>
      </c>
      <c r="CF1094" s="151">
        <f t="shared" si="93"/>
        <v>0</v>
      </c>
      <c r="CG1094" s="75">
        <f t="shared" si="92"/>
        <v>4939</v>
      </c>
      <c r="CH1094" s="69" t="str">
        <f t="shared" si="92"/>
        <v>برنامج دولى</v>
      </c>
    </row>
    <row r="1095" spans="1:86" x14ac:dyDescent="0.25">
      <c r="A1095" s="148"/>
      <c r="B1095" s="82">
        <v>6394</v>
      </c>
      <c r="C1095" s="149">
        <v>4940</v>
      </c>
      <c r="D1095" s="69" t="s">
        <v>78</v>
      </c>
      <c r="E1095" s="69" t="s">
        <v>1252</v>
      </c>
      <c r="F1095" s="63"/>
      <c r="G1095" s="69">
        <v>1440</v>
      </c>
      <c r="H1095" s="69"/>
      <c r="I1095" s="69"/>
      <c r="J1095" s="69"/>
      <c r="K1095" s="69"/>
      <c r="L1095" s="69"/>
      <c r="M1095" s="69"/>
      <c r="N1095" s="69"/>
      <c r="O1095" s="69"/>
      <c r="P1095" s="69"/>
      <c r="Q1095" s="69"/>
      <c r="R1095" s="69"/>
      <c r="S1095" s="69"/>
      <c r="T1095" s="69"/>
      <c r="U1095" s="69"/>
      <c r="V1095" s="69"/>
      <c r="W1095" s="69"/>
      <c r="X1095" s="69"/>
      <c r="Y1095" s="69"/>
      <c r="Z1095" s="69"/>
      <c r="AA1095" s="69"/>
      <c r="AB1095" s="69"/>
      <c r="AC1095" s="69"/>
      <c r="AD1095" s="69"/>
      <c r="AE1095" s="69"/>
      <c r="AF1095" s="69"/>
      <c r="AG1095" s="69"/>
      <c r="AH1095" s="69"/>
      <c r="AI1095" s="69"/>
      <c r="AJ1095" s="69"/>
      <c r="AK1095" s="69"/>
      <c r="AL1095" s="69"/>
      <c r="AM1095" s="69"/>
      <c r="AN1095" s="69"/>
      <c r="AO1095" s="69"/>
      <c r="AP1095" s="69"/>
      <c r="AQ1095" s="69"/>
      <c r="AR1095" s="94">
        <f t="shared" si="77"/>
        <v>1440</v>
      </c>
      <c r="AS1095" s="69">
        <v>1286.5999999999999</v>
      </c>
      <c r="AT1095" s="69">
        <v>153.4</v>
      </c>
      <c r="AU1095" s="69"/>
      <c r="AV1095" s="69"/>
      <c r="AW1095" s="69"/>
      <c r="AX1095" s="69"/>
      <c r="AY1095" s="69"/>
      <c r="AZ1095" s="69"/>
      <c r="BA1095" s="69"/>
      <c r="BB1095" s="69"/>
      <c r="BC1095" s="69"/>
      <c r="BD1095" s="69"/>
      <c r="BE1095" s="69"/>
      <c r="BF1095" s="69"/>
      <c r="BG1095" s="69"/>
      <c r="BH1095" s="69"/>
      <c r="BI1095" s="69"/>
      <c r="BJ1095" s="69"/>
      <c r="BK1095" s="69"/>
      <c r="BL1095" s="69"/>
      <c r="BM1095" s="69"/>
      <c r="BN1095" s="69"/>
      <c r="BO1095" s="69"/>
      <c r="BP1095" s="69"/>
      <c r="BQ1095" s="69"/>
      <c r="BR1095" s="69"/>
      <c r="BS1095" s="69"/>
      <c r="BT1095" s="69"/>
      <c r="BU1095" s="69"/>
      <c r="BV1095" s="69"/>
      <c r="BW1095" s="69"/>
      <c r="BX1095" s="69"/>
      <c r="BY1095" s="69"/>
      <c r="BZ1095" s="69"/>
      <c r="CA1095" s="69"/>
      <c r="CB1095" s="69"/>
      <c r="CC1095" s="69"/>
      <c r="CD1095" s="69"/>
      <c r="CE1095" s="94">
        <f t="shared" si="94"/>
        <v>1440</v>
      </c>
      <c r="CF1095" s="151">
        <f t="shared" si="93"/>
        <v>0</v>
      </c>
      <c r="CG1095" s="75">
        <f t="shared" si="92"/>
        <v>4940</v>
      </c>
      <c r="CH1095" s="69" t="str">
        <f t="shared" si="92"/>
        <v>برنامج دولى</v>
      </c>
    </row>
    <row r="1096" spans="1:86" x14ac:dyDescent="0.25">
      <c r="A1096" s="148"/>
      <c r="B1096" s="82">
        <v>6396</v>
      </c>
      <c r="C1096" s="149">
        <v>4941</v>
      </c>
      <c r="D1096" s="69" t="s">
        <v>78</v>
      </c>
      <c r="E1096" s="69" t="s">
        <v>3446</v>
      </c>
      <c r="F1096" s="63"/>
      <c r="G1096" s="69">
        <v>14400</v>
      </c>
      <c r="H1096" s="69"/>
      <c r="I1096" s="69"/>
      <c r="J1096" s="69"/>
      <c r="K1096" s="69"/>
      <c r="L1096" s="69"/>
      <c r="M1096" s="69"/>
      <c r="N1096" s="69"/>
      <c r="O1096" s="69"/>
      <c r="P1096" s="69"/>
      <c r="Q1096" s="69"/>
      <c r="R1096" s="69"/>
      <c r="S1096" s="69"/>
      <c r="T1096" s="69"/>
      <c r="U1096" s="69"/>
      <c r="V1096" s="69"/>
      <c r="W1096" s="69"/>
      <c r="X1096" s="69"/>
      <c r="Y1096" s="69"/>
      <c r="Z1096" s="69"/>
      <c r="AA1096" s="69"/>
      <c r="AB1096" s="69"/>
      <c r="AC1096" s="69"/>
      <c r="AD1096" s="69"/>
      <c r="AE1096" s="69"/>
      <c r="AF1096" s="69"/>
      <c r="AG1096" s="69"/>
      <c r="AH1096" s="69"/>
      <c r="AI1096" s="69"/>
      <c r="AJ1096" s="69"/>
      <c r="AK1096" s="69"/>
      <c r="AL1096" s="69"/>
      <c r="AM1096" s="69"/>
      <c r="AN1096" s="69"/>
      <c r="AO1096" s="69"/>
      <c r="AP1096" s="69"/>
      <c r="AQ1096" s="69"/>
      <c r="AR1096" s="94">
        <f t="shared" si="77"/>
        <v>14400</v>
      </c>
      <c r="AS1096" s="69">
        <v>12850.45</v>
      </c>
      <c r="AT1096" s="69">
        <v>1549.55</v>
      </c>
      <c r="AU1096" s="69"/>
      <c r="AV1096" s="69"/>
      <c r="AW1096" s="69"/>
      <c r="AX1096" s="69"/>
      <c r="AY1096" s="69"/>
      <c r="AZ1096" s="69"/>
      <c r="BA1096" s="69"/>
      <c r="BB1096" s="69"/>
      <c r="BC1096" s="69"/>
      <c r="BD1096" s="69"/>
      <c r="BE1096" s="69"/>
      <c r="BF1096" s="69"/>
      <c r="BG1096" s="69"/>
      <c r="BH1096" s="69"/>
      <c r="BI1096" s="69"/>
      <c r="BJ1096" s="69"/>
      <c r="BK1096" s="69"/>
      <c r="BL1096" s="69"/>
      <c r="BM1096" s="69"/>
      <c r="BN1096" s="69"/>
      <c r="BO1096" s="69"/>
      <c r="BP1096" s="69"/>
      <c r="BQ1096" s="69"/>
      <c r="BR1096" s="69"/>
      <c r="BS1096" s="69"/>
      <c r="BT1096" s="69"/>
      <c r="BU1096" s="69"/>
      <c r="BV1096" s="69"/>
      <c r="BW1096" s="69"/>
      <c r="BX1096" s="69"/>
      <c r="BY1096" s="69"/>
      <c r="BZ1096" s="69"/>
      <c r="CA1096" s="69"/>
      <c r="CB1096" s="69"/>
      <c r="CC1096" s="69"/>
      <c r="CD1096" s="69"/>
      <c r="CE1096" s="94">
        <f t="shared" si="94"/>
        <v>14400</v>
      </c>
      <c r="CF1096" s="151">
        <f t="shared" si="93"/>
        <v>0</v>
      </c>
      <c r="CG1096" s="75">
        <f t="shared" si="92"/>
        <v>4941</v>
      </c>
      <c r="CH1096" s="69" t="str">
        <f t="shared" si="92"/>
        <v>برنامج دولى</v>
      </c>
    </row>
    <row r="1097" spans="1:86" x14ac:dyDescent="0.25">
      <c r="A1097" s="148"/>
      <c r="B1097" s="82">
        <v>6126</v>
      </c>
      <c r="C1097" s="149">
        <v>4942</v>
      </c>
      <c r="D1097" s="69" t="s">
        <v>78</v>
      </c>
      <c r="E1097" s="69" t="s">
        <v>2900</v>
      </c>
      <c r="F1097" s="63"/>
      <c r="G1097" s="69">
        <v>4009.98</v>
      </c>
      <c r="H1097" s="69"/>
      <c r="I1097" s="69"/>
      <c r="J1097" s="69"/>
      <c r="K1097" s="69"/>
      <c r="L1097" s="69"/>
      <c r="M1097" s="69"/>
      <c r="N1097" s="69"/>
      <c r="O1097" s="69"/>
      <c r="P1097" s="69"/>
      <c r="Q1097" s="69"/>
      <c r="R1097" s="69"/>
      <c r="S1097" s="69"/>
      <c r="T1097" s="69"/>
      <c r="U1097" s="69"/>
      <c r="V1097" s="69"/>
      <c r="W1097" s="69"/>
      <c r="X1097" s="69"/>
      <c r="Y1097" s="69"/>
      <c r="Z1097" s="69"/>
      <c r="AA1097" s="69"/>
      <c r="AB1097" s="69"/>
      <c r="AC1097" s="69"/>
      <c r="AD1097" s="69"/>
      <c r="AE1097" s="69"/>
      <c r="AF1097" s="69"/>
      <c r="AG1097" s="69"/>
      <c r="AH1097" s="69"/>
      <c r="AI1097" s="69"/>
      <c r="AJ1097" s="69"/>
      <c r="AK1097" s="69"/>
      <c r="AL1097" s="69"/>
      <c r="AM1097" s="69"/>
      <c r="AN1097" s="69"/>
      <c r="AO1097" s="69"/>
      <c r="AP1097" s="69"/>
      <c r="AQ1097" s="69"/>
      <c r="AR1097" s="94">
        <f t="shared" si="77"/>
        <v>4009.98</v>
      </c>
      <c r="AS1097" s="69">
        <v>2687</v>
      </c>
      <c r="AT1097" s="69">
        <f>14.8+342</f>
        <v>356.8</v>
      </c>
      <c r="AU1097" s="69">
        <f>1322.98-14.8-342</f>
        <v>966.18000000000006</v>
      </c>
      <c r="AV1097" s="69"/>
      <c r="AW1097" s="69"/>
      <c r="AX1097" s="69"/>
      <c r="AY1097" s="69"/>
      <c r="AZ1097" s="69"/>
      <c r="BA1097" s="69"/>
      <c r="BB1097" s="69"/>
      <c r="BC1097" s="69"/>
      <c r="BD1097" s="69"/>
      <c r="BE1097" s="69"/>
      <c r="BF1097" s="69"/>
      <c r="BG1097" s="69"/>
      <c r="BH1097" s="69"/>
      <c r="BI1097" s="69"/>
      <c r="BJ1097" s="69"/>
      <c r="BK1097" s="69"/>
      <c r="BL1097" s="69"/>
      <c r="BM1097" s="69"/>
      <c r="BN1097" s="69"/>
      <c r="BO1097" s="69"/>
      <c r="BP1097" s="69"/>
      <c r="BQ1097" s="69"/>
      <c r="BR1097" s="69"/>
      <c r="BS1097" s="69"/>
      <c r="BT1097" s="69"/>
      <c r="BU1097" s="69"/>
      <c r="BV1097" s="69"/>
      <c r="BW1097" s="69"/>
      <c r="BX1097" s="69"/>
      <c r="BY1097" s="69"/>
      <c r="BZ1097" s="69"/>
      <c r="CA1097" s="69"/>
      <c r="CB1097" s="69"/>
      <c r="CC1097" s="69"/>
      <c r="CD1097" s="69"/>
      <c r="CE1097" s="94">
        <f t="shared" si="94"/>
        <v>4009.9800000000005</v>
      </c>
      <c r="CF1097" s="151">
        <f t="shared" si="93"/>
        <v>0</v>
      </c>
      <c r="CG1097" s="75">
        <f t="shared" si="92"/>
        <v>4942</v>
      </c>
      <c r="CH1097" s="69" t="str">
        <f t="shared" si="92"/>
        <v>برنامج دولى</v>
      </c>
    </row>
    <row r="1098" spans="1:86" x14ac:dyDescent="0.25">
      <c r="A1098" s="148"/>
      <c r="B1098" s="82">
        <v>6127</v>
      </c>
      <c r="C1098" s="149">
        <v>4943</v>
      </c>
      <c r="D1098" s="69" t="s">
        <v>78</v>
      </c>
      <c r="E1098" s="69" t="s">
        <v>2900</v>
      </c>
      <c r="F1098" s="63"/>
      <c r="G1098" s="69">
        <v>14070</v>
      </c>
      <c r="H1098" s="69"/>
      <c r="I1098" s="69"/>
      <c r="J1098" s="69"/>
      <c r="K1098" s="69"/>
      <c r="L1098" s="69"/>
      <c r="M1098" s="69"/>
      <c r="N1098" s="69"/>
      <c r="O1098" s="69"/>
      <c r="P1098" s="69"/>
      <c r="Q1098" s="69"/>
      <c r="R1098" s="69"/>
      <c r="S1098" s="69"/>
      <c r="T1098" s="69"/>
      <c r="U1098" s="69"/>
      <c r="V1098" s="69"/>
      <c r="W1098" s="69"/>
      <c r="X1098" s="69"/>
      <c r="Y1098" s="69"/>
      <c r="Z1098" s="69"/>
      <c r="AA1098" s="69"/>
      <c r="AB1098" s="69"/>
      <c r="AC1098" s="69"/>
      <c r="AD1098" s="69"/>
      <c r="AE1098" s="69"/>
      <c r="AF1098" s="69"/>
      <c r="AG1098" s="69"/>
      <c r="AH1098" s="69"/>
      <c r="AI1098" s="69"/>
      <c r="AJ1098" s="69"/>
      <c r="AK1098" s="69"/>
      <c r="AL1098" s="69"/>
      <c r="AM1098" s="69"/>
      <c r="AN1098" s="69"/>
      <c r="AO1098" s="69"/>
      <c r="AP1098" s="69"/>
      <c r="AQ1098" s="69"/>
      <c r="AR1098" s="94">
        <f t="shared" si="77"/>
        <v>14070</v>
      </c>
      <c r="AS1098" s="69">
        <v>12572</v>
      </c>
      <c r="AT1098" s="69">
        <v>1498</v>
      </c>
      <c r="AU1098" s="69"/>
      <c r="AV1098" s="69"/>
      <c r="AW1098" s="69"/>
      <c r="AX1098" s="69"/>
      <c r="AY1098" s="69"/>
      <c r="AZ1098" s="69"/>
      <c r="BA1098" s="69"/>
      <c r="BB1098" s="69"/>
      <c r="BC1098" s="69"/>
      <c r="BD1098" s="69"/>
      <c r="BE1098" s="69"/>
      <c r="BF1098" s="69"/>
      <c r="BG1098" s="69"/>
      <c r="BH1098" s="69"/>
      <c r="BI1098" s="69"/>
      <c r="BJ1098" s="69"/>
      <c r="BK1098" s="69"/>
      <c r="BL1098" s="69"/>
      <c r="BM1098" s="69"/>
      <c r="BN1098" s="69"/>
      <c r="BO1098" s="69"/>
      <c r="BP1098" s="69"/>
      <c r="BQ1098" s="69"/>
      <c r="BR1098" s="69"/>
      <c r="BS1098" s="69"/>
      <c r="BT1098" s="69"/>
      <c r="BU1098" s="69"/>
      <c r="BV1098" s="69"/>
      <c r="BW1098" s="69"/>
      <c r="BX1098" s="69"/>
      <c r="BY1098" s="69"/>
      <c r="BZ1098" s="69"/>
      <c r="CA1098" s="69"/>
      <c r="CB1098" s="69"/>
      <c r="CC1098" s="69"/>
      <c r="CD1098" s="69"/>
      <c r="CE1098" s="94">
        <f t="shared" si="94"/>
        <v>14070</v>
      </c>
      <c r="CF1098" s="151">
        <f t="shared" si="93"/>
        <v>0</v>
      </c>
      <c r="CG1098" s="75">
        <f t="shared" si="92"/>
        <v>4943</v>
      </c>
      <c r="CH1098" s="69" t="str">
        <f t="shared" si="92"/>
        <v>برنامج دولى</v>
      </c>
    </row>
    <row r="1099" spans="1:86" x14ac:dyDescent="0.25">
      <c r="A1099" s="148"/>
      <c r="B1099" s="82">
        <v>6125</v>
      </c>
      <c r="C1099" s="149">
        <v>4944</v>
      </c>
      <c r="D1099" s="69" t="s">
        <v>78</v>
      </c>
      <c r="E1099" s="69" t="s">
        <v>3227</v>
      </c>
      <c r="F1099" s="63"/>
      <c r="G1099" s="69">
        <v>1125.5999999999999</v>
      </c>
      <c r="H1099" s="69"/>
      <c r="I1099" s="69"/>
      <c r="J1099" s="69"/>
      <c r="K1099" s="69"/>
      <c r="L1099" s="69"/>
      <c r="M1099" s="69"/>
      <c r="N1099" s="69"/>
      <c r="O1099" s="69"/>
      <c r="P1099" s="69"/>
      <c r="Q1099" s="69"/>
      <c r="R1099" s="69"/>
      <c r="S1099" s="69"/>
      <c r="T1099" s="69"/>
      <c r="U1099" s="69"/>
      <c r="V1099" s="69"/>
      <c r="W1099" s="69"/>
      <c r="X1099" s="69"/>
      <c r="Y1099" s="69"/>
      <c r="Z1099" s="69"/>
      <c r="AA1099" s="69"/>
      <c r="AB1099" s="69"/>
      <c r="AC1099" s="69"/>
      <c r="AD1099" s="69"/>
      <c r="AE1099" s="69"/>
      <c r="AF1099" s="69"/>
      <c r="AG1099" s="69"/>
      <c r="AH1099" s="69"/>
      <c r="AI1099" s="69"/>
      <c r="AJ1099" s="69"/>
      <c r="AK1099" s="69"/>
      <c r="AL1099" s="69"/>
      <c r="AM1099" s="69"/>
      <c r="AN1099" s="69"/>
      <c r="AO1099" s="69"/>
      <c r="AP1099" s="69"/>
      <c r="AQ1099" s="69"/>
      <c r="AR1099" s="94">
        <f t="shared" si="77"/>
        <v>1125.5999999999999</v>
      </c>
      <c r="AS1099" s="69">
        <v>752.75</v>
      </c>
      <c r="AT1099" s="69">
        <v>101.65</v>
      </c>
      <c r="AU1099" s="69">
        <v>271.2</v>
      </c>
      <c r="AV1099" s="69"/>
      <c r="AW1099" s="69"/>
      <c r="AX1099" s="69"/>
      <c r="AY1099" s="69"/>
      <c r="AZ1099" s="69"/>
      <c r="BA1099" s="69"/>
      <c r="BB1099" s="69"/>
      <c r="BC1099" s="69"/>
      <c r="BD1099" s="69"/>
      <c r="BE1099" s="69"/>
      <c r="BF1099" s="69"/>
      <c r="BG1099" s="69"/>
      <c r="BH1099" s="69"/>
      <c r="BI1099" s="69"/>
      <c r="BJ1099" s="69"/>
      <c r="BK1099" s="69"/>
      <c r="BL1099" s="69"/>
      <c r="BM1099" s="69"/>
      <c r="BN1099" s="69"/>
      <c r="BO1099" s="69"/>
      <c r="BP1099" s="69"/>
      <c r="BQ1099" s="69"/>
      <c r="BR1099" s="69"/>
      <c r="BS1099" s="69"/>
      <c r="BT1099" s="69"/>
      <c r="BU1099" s="69"/>
      <c r="BV1099" s="69"/>
      <c r="BW1099" s="69"/>
      <c r="BX1099" s="69"/>
      <c r="BY1099" s="69"/>
      <c r="BZ1099" s="69"/>
      <c r="CA1099" s="69"/>
      <c r="CB1099" s="69"/>
      <c r="CC1099" s="69"/>
      <c r="CD1099" s="69"/>
      <c r="CE1099" s="94">
        <f t="shared" si="91"/>
        <v>1125.5999999999999</v>
      </c>
      <c r="CF1099" s="151">
        <f t="shared" si="93"/>
        <v>0</v>
      </c>
      <c r="CG1099" s="75">
        <f t="shared" si="92"/>
        <v>4944</v>
      </c>
      <c r="CH1099" s="69" t="str">
        <f t="shared" si="92"/>
        <v>برنامج دولى</v>
      </c>
    </row>
    <row r="1100" spans="1:86" x14ac:dyDescent="0.25">
      <c r="A1100" s="148"/>
      <c r="B1100" s="82">
        <v>6124</v>
      </c>
      <c r="C1100" s="149">
        <v>4945</v>
      </c>
      <c r="D1100" s="69" t="s">
        <v>78</v>
      </c>
      <c r="E1100" s="69" t="s">
        <v>3227</v>
      </c>
      <c r="F1100" s="63"/>
      <c r="G1100" s="69">
        <v>8818.5</v>
      </c>
      <c r="H1100" s="69"/>
      <c r="I1100" s="69"/>
      <c r="J1100" s="69"/>
      <c r="K1100" s="69"/>
      <c r="L1100" s="69"/>
      <c r="M1100" s="69"/>
      <c r="N1100" s="69"/>
      <c r="O1100" s="69"/>
      <c r="P1100" s="69"/>
      <c r="Q1100" s="69"/>
      <c r="R1100" s="69"/>
      <c r="S1100" s="69"/>
      <c r="T1100" s="69"/>
      <c r="U1100" s="69"/>
      <c r="V1100" s="69"/>
      <c r="W1100" s="69"/>
      <c r="X1100" s="69"/>
      <c r="Y1100" s="69"/>
      <c r="Z1100" s="69"/>
      <c r="AA1100" s="69"/>
      <c r="AB1100" s="69"/>
      <c r="AC1100" s="69"/>
      <c r="AD1100" s="69"/>
      <c r="AE1100" s="69"/>
      <c r="AF1100" s="69"/>
      <c r="AG1100" s="69"/>
      <c r="AH1100" s="69"/>
      <c r="AI1100" s="69"/>
      <c r="AJ1100" s="69"/>
      <c r="AK1100" s="69"/>
      <c r="AL1100" s="69"/>
      <c r="AM1100" s="69"/>
      <c r="AN1100" s="69"/>
      <c r="AO1100" s="69"/>
      <c r="AP1100" s="69"/>
      <c r="AQ1100" s="69"/>
      <c r="AR1100" s="94">
        <f t="shared" si="77"/>
        <v>8818.5</v>
      </c>
      <c r="AS1100" s="69">
        <v>6139.45</v>
      </c>
      <c r="AT1100" s="69">
        <v>814.55</v>
      </c>
      <c r="AU1100" s="69">
        <v>1864.5</v>
      </c>
      <c r="AV1100" s="69"/>
      <c r="AW1100" s="69"/>
      <c r="AX1100" s="69"/>
      <c r="AY1100" s="69"/>
      <c r="AZ1100" s="69"/>
      <c r="BA1100" s="69"/>
      <c r="BB1100" s="69"/>
      <c r="BC1100" s="69"/>
      <c r="BD1100" s="69"/>
      <c r="BE1100" s="69"/>
      <c r="BF1100" s="69"/>
      <c r="BG1100" s="69"/>
      <c r="BH1100" s="69"/>
      <c r="BI1100" s="69"/>
      <c r="BJ1100" s="69"/>
      <c r="BK1100" s="69"/>
      <c r="BL1100" s="69"/>
      <c r="BM1100" s="69"/>
      <c r="BN1100" s="69"/>
      <c r="BO1100" s="69"/>
      <c r="BP1100" s="69"/>
      <c r="BQ1100" s="69"/>
      <c r="BR1100" s="69"/>
      <c r="BS1100" s="69"/>
      <c r="BT1100" s="69"/>
      <c r="BU1100" s="69"/>
      <c r="BV1100" s="69"/>
      <c r="BW1100" s="69"/>
      <c r="BX1100" s="69"/>
      <c r="BY1100" s="69"/>
      <c r="BZ1100" s="69"/>
      <c r="CA1100" s="69"/>
      <c r="CB1100" s="69"/>
      <c r="CC1100" s="69"/>
      <c r="CD1100" s="69"/>
      <c r="CE1100" s="94">
        <f t="shared" si="91"/>
        <v>8818.5</v>
      </c>
      <c r="CF1100" s="151">
        <f t="shared" si="93"/>
        <v>0</v>
      </c>
      <c r="CG1100" s="75">
        <f t="shared" si="92"/>
        <v>4945</v>
      </c>
      <c r="CH1100" s="69" t="str">
        <f t="shared" si="92"/>
        <v>برنامج دولى</v>
      </c>
    </row>
    <row r="1101" spans="1:86" x14ac:dyDescent="0.25">
      <c r="A1101" s="148"/>
      <c r="B1101" s="82">
        <v>9119</v>
      </c>
      <c r="C1101" s="149">
        <v>4946</v>
      </c>
      <c r="D1101" s="69" t="s">
        <v>78</v>
      </c>
      <c r="E1101" s="69" t="s">
        <v>2378</v>
      </c>
      <c r="F1101" s="63"/>
      <c r="G1101" s="69">
        <v>57099.45</v>
      </c>
      <c r="H1101" s="69"/>
      <c r="I1101" s="69"/>
      <c r="J1101" s="69"/>
      <c r="K1101" s="69"/>
      <c r="L1101" s="69"/>
      <c r="M1101" s="69"/>
      <c r="N1101" s="69"/>
      <c r="O1101" s="69"/>
      <c r="P1101" s="69"/>
      <c r="Q1101" s="69"/>
      <c r="R1101" s="69"/>
      <c r="S1101" s="69"/>
      <c r="T1101" s="69"/>
      <c r="U1101" s="69"/>
      <c r="V1101" s="69"/>
      <c r="W1101" s="69"/>
      <c r="X1101" s="69"/>
      <c r="Y1101" s="69"/>
      <c r="Z1101" s="69"/>
      <c r="AA1101" s="69"/>
      <c r="AB1101" s="69"/>
      <c r="AC1101" s="69"/>
      <c r="AD1101" s="69"/>
      <c r="AE1101" s="69"/>
      <c r="AF1101" s="69"/>
      <c r="AG1101" s="69"/>
      <c r="AH1101" s="69"/>
      <c r="AI1101" s="69"/>
      <c r="AJ1101" s="69"/>
      <c r="AK1101" s="69"/>
      <c r="AL1101" s="69"/>
      <c r="AM1101" s="69"/>
      <c r="AN1101" s="69"/>
      <c r="AO1101" s="69"/>
      <c r="AP1101" s="69"/>
      <c r="AQ1101" s="69"/>
      <c r="AR1101" s="94">
        <f t="shared" si="77"/>
        <v>57099.45</v>
      </c>
      <c r="AS1101" s="69">
        <v>38112.54</v>
      </c>
      <c r="AT1101" s="69">
        <f>359.55+4869.9</f>
        <v>5229.45</v>
      </c>
      <c r="AU1101" s="69">
        <v>13757.46</v>
      </c>
      <c r="AV1101" s="69"/>
      <c r="AW1101" s="69"/>
      <c r="AX1101" s="69"/>
      <c r="AY1101" s="69"/>
      <c r="AZ1101" s="69"/>
      <c r="BA1101" s="69"/>
      <c r="BB1101" s="69"/>
      <c r="BC1101" s="69"/>
      <c r="BD1101" s="69"/>
      <c r="BE1101" s="69"/>
      <c r="BF1101" s="69"/>
      <c r="BG1101" s="69"/>
      <c r="BH1101" s="69"/>
      <c r="BI1101" s="69"/>
      <c r="BJ1101" s="69"/>
      <c r="BK1101" s="69"/>
      <c r="BL1101" s="69"/>
      <c r="BM1101" s="69"/>
      <c r="BN1101" s="69"/>
      <c r="BO1101" s="69"/>
      <c r="BP1101" s="69"/>
      <c r="BQ1101" s="69"/>
      <c r="BR1101" s="69"/>
      <c r="BS1101" s="69"/>
      <c r="BT1101" s="69"/>
      <c r="BU1101" s="69"/>
      <c r="BV1101" s="69"/>
      <c r="BW1101" s="69"/>
      <c r="BX1101" s="69"/>
      <c r="BY1101" s="69"/>
      <c r="BZ1101" s="69"/>
      <c r="CA1101" s="69"/>
      <c r="CB1101" s="69"/>
      <c r="CC1101" s="69"/>
      <c r="CD1101" s="69"/>
      <c r="CE1101" s="94">
        <f t="shared" ref="CE1101:CE1105" si="95">SUM(AS1101:CD1101)</f>
        <v>57099.45</v>
      </c>
      <c r="CF1101" s="151">
        <f t="shared" si="93"/>
        <v>0</v>
      </c>
      <c r="CG1101" s="75">
        <f t="shared" si="92"/>
        <v>4946</v>
      </c>
      <c r="CH1101" s="69" t="str">
        <f t="shared" si="92"/>
        <v>برنامج دولى</v>
      </c>
    </row>
    <row r="1102" spans="1:86" x14ac:dyDescent="0.25">
      <c r="A1102" s="148"/>
      <c r="B1102" s="82">
        <v>9117</v>
      </c>
      <c r="C1102" s="149">
        <v>4947</v>
      </c>
      <c r="D1102" s="69" t="s">
        <v>78</v>
      </c>
      <c r="E1102" s="69" t="s">
        <v>3447</v>
      </c>
      <c r="F1102" s="63"/>
      <c r="G1102" s="69">
        <v>6873.81</v>
      </c>
      <c r="H1102" s="69"/>
      <c r="I1102" s="69"/>
      <c r="J1102" s="69"/>
      <c r="K1102" s="69"/>
      <c r="L1102" s="69"/>
      <c r="M1102" s="69"/>
      <c r="N1102" s="69"/>
      <c r="O1102" s="69"/>
      <c r="P1102" s="69"/>
      <c r="Q1102" s="69"/>
      <c r="R1102" s="69"/>
      <c r="S1102" s="69"/>
      <c r="T1102" s="69"/>
      <c r="U1102" s="69"/>
      <c r="V1102" s="69"/>
      <c r="W1102" s="69"/>
      <c r="X1102" s="69"/>
      <c r="Y1102" s="69"/>
      <c r="Z1102" s="69"/>
      <c r="AA1102" s="69"/>
      <c r="AB1102" s="69"/>
      <c r="AC1102" s="69"/>
      <c r="AD1102" s="69"/>
      <c r="AE1102" s="69"/>
      <c r="AF1102" s="69"/>
      <c r="AG1102" s="69"/>
      <c r="AH1102" s="69"/>
      <c r="AI1102" s="69"/>
      <c r="AJ1102" s="69"/>
      <c r="AK1102" s="69"/>
      <c r="AL1102" s="69"/>
      <c r="AM1102" s="69"/>
      <c r="AN1102" s="69"/>
      <c r="AO1102" s="69"/>
      <c r="AP1102" s="69"/>
      <c r="AQ1102" s="69"/>
      <c r="AR1102" s="94">
        <f t="shared" si="77"/>
        <v>6873.81</v>
      </c>
      <c r="AS1102" s="69">
        <v>4592.53</v>
      </c>
      <c r="AT1102" s="69">
        <f>38.8+586.25</f>
        <v>625.04999999999995</v>
      </c>
      <c r="AU1102" s="69">
        <v>1656.23</v>
      </c>
      <c r="AV1102" s="69"/>
      <c r="AW1102" s="69"/>
      <c r="AX1102" s="69"/>
      <c r="AY1102" s="69"/>
      <c r="AZ1102" s="69"/>
      <c r="BA1102" s="69"/>
      <c r="BB1102" s="69"/>
      <c r="BC1102" s="69"/>
      <c r="BD1102" s="69"/>
      <c r="BE1102" s="69"/>
      <c r="BF1102" s="69"/>
      <c r="BG1102" s="69"/>
      <c r="BH1102" s="69"/>
      <c r="BI1102" s="69"/>
      <c r="BJ1102" s="69"/>
      <c r="BK1102" s="69"/>
      <c r="BL1102" s="69"/>
      <c r="BM1102" s="69"/>
      <c r="BN1102" s="69"/>
      <c r="BO1102" s="69"/>
      <c r="BP1102" s="69"/>
      <c r="BQ1102" s="69"/>
      <c r="BR1102" s="69"/>
      <c r="BS1102" s="69"/>
      <c r="BT1102" s="69"/>
      <c r="BU1102" s="69"/>
      <c r="BV1102" s="69"/>
      <c r="BW1102" s="69"/>
      <c r="BX1102" s="69"/>
      <c r="BY1102" s="69"/>
      <c r="BZ1102" s="69"/>
      <c r="CA1102" s="69"/>
      <c r="CB1102" s="69"/>
      <c r="CC1102" s="69"/>
      <c r="CD1102" s="69"/>
      <c r="CE1102" s="94">
        <f t="shared" si="95"/>
        <v>6873.8099999999995</v>
      </c>
      <c r="CF1102" s="151">
        <f t="shared" si="93"/>
        <v>0</v>
      </c>
      <c r="CG1102" s="75">
        <f t="shared" si="92"/>
        <v>4947</v>
      </c>
      <c r="CH1102" s="69" t="str">
        <f t="shared" si="92"/>
        <v>برنامج دولى</v>
      </c>
    </row>
    <row r="1103" spans="1:86" x14ac:dyDescent="0.25">
      <c r="A1103" s="148"/>
      <c r="B1103" s="82">
        <v>9118</v>
      </c>
      <c r="C1103" s="149">
        <v>4948</v>
      </c>
      <c r="D1103" s="69" t="s">
        <v>78</v>
      </c>
      <c r="E1103" s="69" t="s">
        <v>3447</v>
      </c>
      <c r="F1103" s="63"/>
      <c r="G1103" s="69">
        <v>1465.62</v>
      </c>
      <c r="H1103" s="69"/>
      <c r="I1103" s="69"/>
      <c r="J1103" s="69"/>
      <c r="K1103" s="69"/>
      <c r="L1103" s="69"/>
      <c r="M1103" s="69"/>
      <c r="N1103" s="69"/>
      <c r="O1103" s="69"/>
      <c r="P1103" s="69"/>
      <c r="Q1103" s="69"/>
      <c r="R1103" s="69"/>
      <c r="S1103" s="69"/>
      <c r="T1103" s="69"/>
      <c r="U1103" s="69"/>
      <c r="V1103" s="69"/>
      <c r="W1103" s="69"/>
      <c r="X1103" s="69"/>
      <c r="Y1103" s="69"/>
      <c r="Z1103" s="69"/>
      <c r="AA1103" s="69"/>
      <c r="AB1103" s="69"/>
      <c r="AC1103" s="69"/>
      <c r="AD1103" s="69"/>
      <c r="AE1103" s="69"/>
      <c r="AF1103" s="69"/>
      <c r="AG1103" s="69"/>
      <c r="AH1103" s="69"/>
      <c r="AI1103" s="69"/>
      <c r="AJ1103" s="69"/>
      <c r="AK1103" s="69"/>
      <c r="AL1103" s="69"/>
      <c r="AM1103" s="69"/>
      <c r="AN1103" s="69"/>
      <c r="AO1103" s="69"/>
      <c r="AP1103" s="69"/>
      <c r="AQ1103" s="69"/>
      <c r="AR1103" s="94">
        <f t="shared" si="77"/>
        <v>1465.62</v>
      </c>
      <c r="AS1103" s="69">
        <v>979.4</v>
      </c>
      <c r="AT1103" s="69">
        <f>8.1+125</f>
        <v>133.1</v>
      </c>
      <c r="AU1103" s="69">
        <v>353.12</v>
      </c>
      <c r="AV1103" s="69"/>
      <c r="AW1103" s="69"/>
      <c r="AX1103" s="69"/>
      <c r="AY1103" s="69"/>
      <c r="AZ1103" s="69"/>
      <c r="BA1103" s="69"/>
      <c r="BB1103" s="69"/>
      <c r="BC1103" s="69"/>
      <c r="BD1103" s="69"/>
      <c r="BE1103" s="69"/>
      <c r="BF1103" s="69"/>
      <c r="BG1103" s="69"/>
      <c r="BH1103" s="69"/>
      <c r="BI1103" s="69"/>
      <c r="BJ1103" s="69"/>
      <c r="BK1103" s="69"/>
      <c r="BL1103" s="69"/>
      <c r="BM1103" s="69"/>
      <c r="BN1103" s="69"/>
      <c r="BO1103" s="69"/>
      <c r="BP1103" s="69"/>
      <c r="BQ1103" s="69"/>
      <c r="BR1103" s="69"/>
      <c r="BS1103" s="69"/>
      <c r="BT1103" s="69"/>
      <c r="BU1103" s="69"/>
      <c r="BV1103" s="69"/>
      <c r="BW1103" s="69"/>
      <c r="BX1103" s="69"/>
      <c r="BY1103" s="69"/>
      <c r="BZ1103" s="69"/>
      <c r="CA1103" s="69"/>
      <c r="CB1103" s="69"/>
      <c r="CC1103" s="69"/>
      <c r="CD1103" s="69"/>
      <c r="CE1103" s="94">
        <f t="shared" si="95"/>
        <v>1465.62</v>
      </c>
      <c r="CF1103" s="151">
        <f t="shared" si="93"/>
        <v>0</v>
      </c>
      <c r="CG1103" s="75">
        <f t="shared" si="92"/>
        <v>4948</v>
      </c>
      <c r="CH1103" s="69" t="str">
        <f t="shared" si="92"/>
        <v>برنامج دولى</v>
      </c>
    </row>
    <row r="1104" spans="1:86" x14ac:dyDescent="0.25">
      <c r="A1104" s="148"/>
      <c r="B1104" s="82">
        <v>9120</v>
      </c>
      <c r="C1104" s="149">
        <v>4949</v>
      </c>
      <c r="D1104" s="69" t="s">
        <v>78</v>
      </c>
      <c r="E1104" s="69" t="s">
        <v>3448</v>
      </c>
      <c r="F1104" s="63"/>
      <c r="G1104" s="69">
        <v>38135.800000000003</v>
      </c>
      <c r="H1104" s="69"/>
      <c r="I1104" s="69"/>
      <c r="J1104" s="69"/>
      <c r="K1104" s="69"/>
      <c r="L1104" s="69"/>
      <c r="M1104" s="69"/>
      <c r="N1104" s="69"/>
      <c r="O1104" s="69"/>
      <c r="P1104" s="69"/>
      <c r="Q1104" s="69"/>
      <c r="R1104" s="69"/>
      <c r="S1104" s="69"/>
      <c r="T1104" s="69"/>
      <c r="U1104" s="69"/>
      <c r="V1104" s="69"/>
      <c r="W1104" s="69"/>
      <c r="X1104" s="69"/>
      <c r="Y1104" s="69"/>
      <c r="Z1104" s="69"/>
      <c r="AA1104" s="69"/>
      <c r="AB1104" s="69"/>
      <c r="AC1104" s="69"/>
      <c r="AD1104" s="69"/>
      <c r="AE1104" s="69"/>
      <c r="AF1104" s="69"/>
      <c r="AG1104" s="69"/>
      <c r="AH1104" s="69"/>
      <c r="AI1104" s="69"/>
      <c r="AJ1104" s="69"/>
      <c r="AK1104" s="69"/>
      <c r="AL1104" s="69"/>
      <c r="AM1104" s="69"/>
      <c r="AN1104" s="69"/>
      <c r="AO1104" s="69"/>
      <c r="AP1104" s="69"/>
      <c r="AQ1104" s="69"/>
      <c r="AR1104" s="94">
        <f t="shared" si="77"/>
        <v>38135.800000000003</v>
      </c>
      <c r="AS1104" s="69">
        <v>26020.47</v>
      </c>
      <c r="AT1104" s="69">
        <f>3289.3+240</f>
        <v>3529.3</v>
      </c>
      <c r="AU1104" s="69">
        <v>8586.0300000000007</v>
      </c>
      <c r="AV1104" s="69"/>
      <c r="AW1104" s="69"/>
      <c r="AX1104" s="69"/>
      <c r="AY1104" s="69"/>
      <c r="AZ1104" s="69"/>
      <c r="BA1104" s="69"/>
      <c r="BB1104" s="69"/>
      <c r="BC1104" s="69"/>
      <c r="BD1104" s="69"/>
      <c r="BE1104" s="69"/>
      <c r="BF1104" s="69"/>
      <c r="BG1104" s="69"/>
      <c r="BH1104" s="69"/>
      <c r="BI1104" s="69"/>
      <c r="BJ1104" s="69"/>
      <c r="BK1104" s="69"/>
      <c r="BL1104" s="69"/>
      <c r="BM1104" s="69"/>
      <c r="BN1104" s="69"/>
      <c r="BO1104" s="69"/>
      <c r="BP1104" s="69"/>
      <c r="BQ1104" s="69"/>
      <c r="BR1104" s="69"/>
      <c r="BS1104" s="69"/>
      <c r="BT1104" s="69"/>
      <c r="BU1104" s="69"/>
      <c r="BV1104" s="69"/>
      <c r="BW1104" s="69"/>
      <c r="BX1104" s="69"/>
      <c r="BY1104" s="69"/>
      <c r="BZ1104" s="69"/>
      <c r="CA1104" s="69"/>
      <c r="CB1104" s="69"/>
      <c r="CC1104" s="69"/>
      <c r="CD1104" s="69"/>
      <c r="CE1104" s="94">
        <f t="shared" si="95"/>
        <v>38135.800000000003</v>
      </c>
      <c r="CF1104" s="151">
        <f t="shared" si="93"/>
        <v>0</v>
      </c>
      <c r="CG1104" s="75">
        <f t="shared" si="92"/>
        <v>4949</v>
      </c>
      <c r="CH1104" s="69" t="str">
        <f t="shared" si="92"/>
        <v>برنامج دولى</v>
      </c>
    </row>
    <row r="1105" spans="1:86" x14ac:dyDescent="0.25">
      <c r="A1105" s="148"/>
      <c r="B1105" s="82">
        <v>9121</v>
      </c>
      <c r="C1105" s="149">
        <v>4950</v>
      </c>
      <c r="D1105" s="69" t="s">
        <v>78</v>
      </c>
      <c r="E1105" s="69" t="s">
        <v>3448</v>
      </c>
      <c r="F1105" s="63"/>
      <c r="G1105" s="69">
        <v>523548.95</v>
      </c>
      <c r="H1105" s="69"/>
      <c r="I1105" s="69"/>
      <c r="J1105" s="69"/>
      <c r="K1105" s="69"/>
      <c r="L1105" s="69"/>
      <c r="M1105" s="69"/>
      <c r="N1105" s="69"/>
      <c r="O1105" s="69"/>
      <c r="P1105" s="69"/>
      <c r="Q1105" s="69"/>
      <c r="R1105" s="69"/>
      <c r="S1105" s="69"/>
      <c r="T1105" s="69"/>
      <c r="U1105" s="69"/>
      <c r="V1105" s="69"/>
      <c r="W1105" s="69"/>
      <c r="X1105" s="69"/>
      <c r="Y1105" s="69"/>
      <c r="Z1105" s="69"/>
      <c r="AA1105" s="69"/>
      <c r="AB1105" s="69"/>
      <c r="AC1105" s="69"/>
      <c r="AD1105" s="69"/>
      <c r="AE1105" s="69"/>
      <c r="AF1105" s="69"/>
      <c r="AG1105" s="69"/>
      <c r="AH1105" s="69"/>
      <c r="AI1105" s="69"/>
      <c r="AJ1105" s="69"/>
      <c r="AK1105" s="69"/>
      <c r="AL1105" s="69"/>
      <c r="AM1105" s="69"/>
      <c r="AN1105" s="69"/>
      <c r="AO1105" s="69"/>
      <c r="AP1105" s="69"/>
      <c r="AQ1105" s="69"/>
      <c r="AR1105" s="94">
        <f t="shared" si="77"/>
        <v>523548.95</v>
      </c>
      <c r="AS1105" s="69">
        <v>357157.91</v>
      </c>
      <c r="AT1105" s="69">
        <v>48062.63</v>
      </c>
      <c r="AU1105" s="69">
        <v>118328.41</v>
      </c>
      <c r="AV1105" s="69"/>
      <c r="AW1105" s="69"/>
      <c r="AX1105" s="69"/>
      <c r="AY1105" s="69"/>
      <c r="AZ1105" s="69"/>
      <c r="BA1105" s="69"/>
      <c r="BB1105" s="69"/>
      <c r="BC1105" s="69"/>
      <c r="BD1105" s="69"/>
      <c r="BE1105" s="69"/>
      <c r="BF1105" s="69"/>
      <c r="BG1105" s="69"/>
      <c r="BH1105" s="69"/>
      <c r="BI1105" s="69"/>
      <c r="BJ1105" s="69"/>
      <c r="BK1105" s="69"/>
      <c r="BL1105" s="69"/>
      <c r="BM1105" s="69"/>
      <c r="BN1105" s="69"/>
      <c r="BO1105" s="69"/>
      <c r="BP1105" s="69"/>
      <c r="BQ1105" s="69"/>
      <c r="BR1105" s="69"/>
      <c r="BS1105" s="69"/>
      <c r="BT1105" s="69"/>
      <c r="BU1105" s="69"/>
      <c r="BV1105" s="69"/>
      <c r="BW1105" s="69"/>
      <c r="BX1105" s="69"/>
      <c r="BY1105" s="69"/>
      <c r="BZ1105" s="69"/>
      <c r="CA1105" s="69"/>
      <c r="CB1105" s="69"/>
      <c r="CC1105" s="69"/>
      <c r="CD1105" s="69"/>
      <c r="CE1105" s="94">
        <f t="shared" si="95"/>
        <v>523548.94999999995</v>
      </c>
      <c r="CF1105" s="151">
        <f t="shared" si="93"/>
        <v>0</v>
      </c>
      <c r="CG1105" s="75">
        <f t="shared" si="92"/>
        <v>4950</v>
      </c>
      <c r="CH1105" s="69" t="str">
        <f t="shared" si="92"/>
        <v>برنامج دولى</v>
      </c>
    </row>
    <row r="1106" spans="1:86" x14ac:dyDescent="0.25">
      <c r="A1106" s="148"/>
      <c r="B1106" s="82">
        <v>9122</v>
      </c>
      <c r="C1106" s="149">
        <v>4951</v>
      </c>
      <c r="D1106" s="69" t="s">
        <v>78</v>
      </c>
      <c r="E1106" s="69" t="s">
        <v>3448</v>
      </c>
      <c r="F1106" s="63"/>
      <c r="G1106" s="69">
        <v>36921.269999999997</v>
      </c>
      <c r="H1106" s="69"/>
      <c r="I1106" s="69"/>
      <c r="J1106" s="69"/>
      <c r="K1106" s="69"/>
      <c r="L1106" s="69"/>
      <c r="M1106" s="69"/>
      <c r="N1106" s="69"/>
      <c r="O1106" s="69"/>
      <c r="P1106" s="69"/>
      <c r="Q1106" s="69"/>
      <c r="R1106" s="69"/>
      <c r="S1106" s="69"/>
      <c r="T1106" s="69"/>
      <c r="U1106" s="69"/>
      <c r="V1106" s="69"/>
      <c r="W1106" s="69"/>
      <c r="X1106" s="69"/>
      <c r="Y1106" s="69"/>
      <c r="Z1106" s="69"/>
      <c r="AA1106" s="69"/>
      <c r="AB1106" s="69"/>
      <c r="AC1106" s="69"/>
      <c r="AD1106" s="69"/>
      <c r="AE1106" s="69"/>
      <c r="AF1106" s="69"/>
      <c r="AG1106" s="69"/>
      <c r="AH1106" s="69"/>
      <c r="AI1106" s="69"/>
      <c r="AJ1106" s="69"/>
      <c r="AK1106" s="69"/>
      <c r="AL1106" s="69"/>
      <c r="AM1106" s="69"/>
      <c r="AN1106" s="69"/>
      <c r="AO1106" s="69"/>
      <c r="AP1106" s="69"/>
      <c r="AQ1106" s="69"/>
      <c r="AR1106" s="94">
        <f t="shared" si="77"/>
        <v>36921.269999999997</v>
      </c>
      <c r="AS1106" s="69">
        <v>27342.27</v>
      </c>
      <c r="AT1106" s="69">
        <v>3545.35</v>
      </c>
      <c r="AU1106" s="69">
        <v>6033.65</v>
      </c>
      <c r="AV1106" s="69"/>
      <c r="AW1106" s="69"/>
      <c r="AX1106" s="69"/>
      <c r="AY1106" s="69"/>
      <c r="AZ1106" s="69"/>
      <c r="BA1106" s="69"/>
      <c r="BB1106" s="69"/>
      <c r="BC1106" s="69"/>
      <c r="BD1106" s="69"/>
      <c r="BE1106" s="69"/>
      <c r="BF1106" s="69"/>
      <c r="BG1106" s="69"/>
      <c r="BH1106" s="69"/>
      <c r="BI1106" s="69"/>
      <c r="BJ1106" s="69"/>
      <c r="BK1106" s="69"/>
      <c r="BL1106" s="69"/>
      <c r="BM1106" s="69"/>
      <c r="BN1106" s="69"/>
      <c r="BO1106" s="69"/>
      <c r="BP1106" s="69"/>
      <c r="BQ1106" s="69"/>
      <c r="BR1106" s="69"/>
      <c r="BS1106" s="69"/>
      <c r="BT1106" s="69"/>
      <c r="BU1106" s="69"/>
      <c r="BV1106" s="69"/>
      <c r="BW1106" s="69"/>
      <c r="BX1106" s="69"/>
      <c r="BY1106" s="69"/>
      <c r="BZ1106" s="69"/>
      <c r="CA1106" s="69"/>
      <c r="CB1106" s="69"/>
      <c r="CC1106" s="69"/>
      <c r="CD1106" s="69"/>
      <c r="CE1106" s="94">
        <f t="shared" ref="CE1106:CE1155" si="96">SUM(AS1106:CD1106)</f>
        <v>36921.269999999997</v>
      </c>
      <c r="CF1106" s="151">
        <f t="shared" si="93"/>
        <v>0</v>
      </c>
      <c r="CG1106" s="75">
        <f t="shared" si="92"/>
        <v>4951</v>
      </c>
      <c r="CH1106" s="69" t="str">
        <f t="shared" si="92"/>
        <v>برنامج دولى</v>
      </c>
    </row>
    <row r="1107" spans="1:86" x14ac:dyDescent="0.25">
      <c r="A1107" s="148"/>
      <c r="B1107" s="82">
        <v>9123</v>
      </c>
      <c r="C1107" s="149">
        <v>4952</v>
      </c>
      <c r="D1107" s="69" t="s">
        <v>78</v>
      </c>
      <c r="E1107" s="69" t="s">
        <v>3448</v>
      </c>
      <c r="F1107" s="63"/>
      <c r="G1107" s="69">
        <v>2500</v>
      </c>
      <c r="H1107" s="69"/>
      <c r="I1107" s="69"/>
      <c r="J1107" s="69"/>
      <c r="K1107" s="69"/>
      <c r="L1107" s="69"/>
      <c r="M1107" s="69"/>
      <c r="N1107" s="69"/>
      <c r="O1107" s="69"/>
      <c r="P1107" s="69"/>
      <c r="Q1107" s="69"/>
      <c r="R1107" s="69"/>
      <c r="S1107" s="69"/>
      <c r="T1107" s="69"/>
      <c r="U1107" s="69"/>
      <c r="V1107" s="69"/>
      <c r="W1107" s="69"/>
      <c r="X1107" s="69"/>
      <c r="Y1107" s="69"/>
      <c r="Z1107" s="69"/>
      <c r="AA1107" s="69"/>
      <c r="AB1107" s="69"/>
      <c r="AC1107" s="69"/>
      <c r="AD1107" s="69"/>
      <c r="AE1107" s="69"/>
      <c r="AF1107" s="69"/>
      <c r="AG1107" s="69"/>
      <c r="AH1107" s="69"/>
      <c r="AI1107" s="69"/>
      <c r="AJ1107" s="69"/>
      <c r="AK1107" s="69"/>
      <c r="AL1107" s="69"/>
      <c r="AM1107" s="69"/>
      <c r="AN1107" s="69"/>
      <c r="AO1107" s="69"/>
      <c r="AP1107" s="69"/>
      <c r="AQ1107" s="69"/>
      <c r="AR1107" s="94">
        <f t="shared" si="77"/>
        <v>2500</v>
      </c>
      <c r="AS1107" s="69">
        <v>2231.6</v>
      </c>
      <c r="AT1107" s="69">
        <v>268.39999999999998</v>
      </c>
      <c r="AU1107" s="69"/>
      <c r="AV1107" s="69"/>
      <c r="AW1107" s="69"/>
      <c r="AX1107" s="69"/>
      <c r="AY1107" s="69"/>
      <c r="AZ1107" s="69"/>
      <c r="BA1107" s="69"/>
      <c r="BB1107" s="69"/>
      <c r="BC1107" s="69"/>
      <c r="BD1107" s="69"/>
      <c r="BE1107" s="69"/>
      <c r="BF1107" s="69"/>
      <c r="BG1107" s="69"/>
      <c r="BH1107" s="69"/>
      <c r="BI1107" s="69"/>
      <c r="BJ1107" s="69"/>
      <c r="BK1107" s="69"/>
      <c r="BL1107" s="69"/>
      <c r="BM1107" s="69"/>
      <c r="BN1107" s="69"/>
      <c r="BO1107" s="69"/>
      <c r="BP1107" s="69"/>
      <c r="BQ1107" s="69"/>
      <c r="BR1107" s="69"/>
      <c r="BS1107" s="69"/>
      <c r="BT1107" s="69"/>
      <c r="BU1107" s="69"/>
      <c r="BV1107" s="69"/>
      <c r="BW1107" s="69"/>
      <c r="BX1107" s="69"/>
      <c r="BY1107" s="69"/>
      <c r="BZ1107" s="69"/>
      <c r="CA1107" s="69"/>
      <c r="CB1107" s="69"/>
      <c r="CC1107" s="69"/>
      <c r="CD1107" s="69"/>
      <c r="CE1107" s="94">
        <f t="shared" si="96"/>
        <v>2500</v>
      </c>
      <c r="CF1107" s="151">
        <f t="shared" si="93"/>
        <v>0</v>
      </c>
      <c r="CG1107" s="75">
        <f t="shared" si="92"/>
        <v>4952</v>
      </c>
      <c r="CH1107" s="69" t="str">
        <f t="shared" si="92"/>
        <v>برنامج دولى</v>
      </c>
    </row>
    <row r="1108" spans="1:86" x14ac:dyDescent="0.25">
      <c r="A1108" s="148"/>
      <c r="B1108" s="82">
        <v>9124</v>
      </c>
      <c r="C1108" s="149">
        <v>4953</v>
      </c>
      <c r="D1108" s="69" t="s">
        <v>78</v>
      </c>
      <c r="E1108" s="69" t="s">
        <v>3448</v>
      </c>
      <c r="F1108" s="63"/>
      <c r="G1108" s="69">
        <v>9743.76</v>
      </c>
      <c r="H1108" s="69"/>
      <c r="I1108" s="69"/>
      <c r="J1108" s="69"/>
      <c r="K1108" s="69"/>
      <c r="L1108" s="69"/>
      <c r="M1108" s="69"/>
      <c r="N1108" s="69"/>
      <c r="O1108" s="69"/>
      <c r="P1108" s="69"/>
      <c r="Q1108" s="69"/>
      <c r="R1108" s="69"/>
      <c r="S1108" s="69"/>
      <c r="T1108" s="69"/>
      <c r="U1108" s="69"/>
      <c r="V1108" s="69"/>
      <c r="W1108" s="69"/>
      <c r="X1108" s="69"/>
      <c r="Y1108" s="69"/>
      <c r="Z1108" s="69"/>
      <c r="AA1108" s="69"/>
      <c r="AB1108" s="69"/>
      <c r="AC1108" s="69"/>
      <c r="AD1108" s="69"/>
      <c r="AE1108" s="69"/>
      <c r="AF1108" s="69"/>
      <c r="AG1108" s="69"/>
      <c r="AH1108" s="69"/>
      <c r="AI1108" s="69"/>
      <c r="AJ1108" s="69"/>
      <c r="AK1108" s="69"/>
      <c r="AL1108" s="69"/>
      <c r="AM1108" s="69"/>
      <c r="AN1108" s="69"/>
      <c r="AO1108" s="69"/>
      <c r="AP1108" s="69"/>
      <c r="AQ1108" s="69"/>
      <c r="AR1108" s="94">
        <f t="shared" si="77"/>
        <v>9743.76</v>
      </c>
      <c r="AS1108" s="69">
        <v>7259.34</v>
      </c>
      <c r="AT1108" s="69">
        <v>938.85</v>
      </c>
      <c r="AU1108" s="69">
        <v>1545.57</v>
      </c>
      <c r="AV1108" s="69"/>
      <c r="AW1108" s="69"/>
      <c r="AX1108" s="69"/>
      <c r="AY1108" s="69"/>
      <c r="AZ1108" s="69"/>
      <c r="BA1108" s="69"/>
      <c r="BB1108" s="69"/>
      <c r="BC1108" s="69"/>
      <c r="BD1108" s="69"/>
      <c r="BE1108" s="69"/>
      <c r="BF1108" s="69"/>
      <c r="BG1108" s="69"/>
      <c r="BH1108" s="69"/>
      <c r="BI1108" s="69"/>
      <c r="BJ1108" s="69"/>
      <c r="BK1108" s="69"/>
      <c r="BL1108" s="69"/>
      <c r="BM1108" s="69"/>
      <c r="BN1108" s="69"/>
      <c r="BO1108" s="69"/>
      <c r="BP1108" s="69"/>
      <c r="BQ1108" s="69"/>
      <c r="BR1108" s="69"/>
      <c r="BS1108" s="69"/>
      <c r="BT1108" s="69"/>
      <c r="BU1108" s="69"/>
      <c r="BV1108" s="69"/>
      <c r="BW1108" s="69"/>
      <c r="BX1108" s="69"/>
      <c r="BY1108" s="69"/>
      <c r="BZ1108" s="69"/>
      <c r="CA1108" s="69"/>
      <c r="CB1108" s="69"/>
      <c r="CC1108" s="69"/>
      <c r="CD1108" s="69"/>
      <c r="CE1108" s="94">
        <f t="shared" si="96"/>
        <v>9743.76</v>
      </c>
      <c r="CF1108" s="151">
        <f t="shared" si="93"/>
        <v>0</v>
      </c>
      <c r="CG1108" s="75">
        <f t="shared" si="92"/>
        <v>4953</v>
      </c>
      <c r="CH1108" s="69" t="str">
        <f t="shared" si="92"/>
        <v>برنامج دولى</v>
      </c>
    </row>
    <row r="1109" spans="1:86" x14ac:dyDescent="0.25">
      <c r="A1109" s="148"/>
      <c r="B1109" s="82">
        <v>9125</v>
      </c>
      <c r="C1109" s="149">
        <v>4954</v>
      </c>
      <c r="D1109" s="69" t="s">
        <v>78</v>
      </c>
      <c r="E1109" s="69" t="s">
        <v>3448</v>
      </c>
      <c r="F1109" s="63"/>
      <c r="G1109" s="69">
        <v>23787.78</v>
      </c>
      <c r="H1109" s="69"/>
      <c r="I1109" s="69"/>
      <c r="J1109" s="69"/>
      <c r="K1109" s="69"/>
      <c r="L1109" s="69"/>
      <c r="M1109" s="69"/>
      <c r="N1109" s="69"/>
      <c r="O1109" s="69"/>
      <c r="P1109" s="69"/>
      <c r="Q1109" s="69"/>
      <c r="R1109" s="69"/>
      <c r="S1109" s="69"/>
      <c r="T1109" s="69"/>
      <c r="U1109" s="69"/>
      <c r="V1109" s="69"/>
      <c r="W1109" s="69"/>
      <c r="X1109" s="69"/>
      <c r="Y1109" s="69"/>
      <c r="Z1109" s="69"/>
      <c r="AA1109" s="69"/>
      <c r="AB1109" s="69"/>
      <c r="AC1109" s="69"/>
      <c r="AD1109" s="69"/>
      <c r="AE1109" s="69"/>
      <c r="AF1109" s="69"/>
      <c r="AG1109" s="69"/>
      <c r="AH1109" s="69"/>
      <c r="AI1109" s="69"/>
      <c r="AJ1109" s="69"/>
      <c r="AK1109" s="69"/>
      <c r="AL1109" s="69"/>
      <c r="AM1109" s="69"/>
      <c r="AN1109" s="69"/>
      <c r="AO1109" s="69"/>
      <c r="AP1109" s="69"/>
      <c r="AQ1109" s="69"/>
      <c r="AR1109" s="94">
        <f t="shared" si="77"/>
        <v>23787.78</v>
      </c>
      <c r="AS1109" s="69">
        <v>16012.16</v>
      </c>
      <c r="AT1109" s="69">
        <v>2168.02</v>
      </c>
      <c r="AU1109" s="69">
        <v>5607.6</v>
      </c>
      <c r="AV1109" s="69"/>
      <c r="AW1109" s="69"/>
      <c r="AX1109" s="69"/>
      <c r="AY1109" s="69"/>
      <c r="AZ1109" s="69"/>
      <c r="BA1109" s="69"/>
      <c r="BB1109" s="69"/>
      <c r="BC1109" s="69"/>
      <c r="BD1109" s="69"/>
      <c r="BE1109" s="69"/>
      <c r="BF1109" s="69"/>
      <c r="BG1109" s="69"/>
      <c r="BH1109" s="69"/>
      <c r="BI1109" s="69"/>
      <c r="BJ1109" s="69"/>
      <c r="BK1109" s="69"/>
      <c r="BL1109" s="69"/>
      <c r="BM1109" s="69"/>
      <c r="BN1109" s="69"/>
      <c r="BO1109" s="69"/>
      <c r="BP1109" s="69"/>
      <c r="BQ1109" s="69"/>
      <c r="BR1109" s="69"/>
      <c r="BS1109" s="69"/>
      <c r="BT1109" s="69"/>
      <c r="BU1109" s="69"/>
      <c r="BV1109" s="69"/>
      <c r="BW1109" s="69"/>
      <c r="BX1109" s="69"/>
      <c r="BY1109" s="69"/>
      <c r="BZ1109" s="69"/>
      <c r="CA1109" s="69"/>
      <c r="CB1109" s="69"/>
      <c r="CC1109" s="69"/>
      <c r="CD1109" s="69"/>
      <c r="CE1109" s="94">
        <f t="shared" si="96"/>
        <v>23787.78</v>
      </c>
      <c r="CF1109" s="151">
        <f t="shared" si="93"/>
        <v>0</v>
      </c>
      <c r="CG1109" s="75">
        <f t="shared" si="92"/>
        <v>4954</v>
      </c>
      <c r="CH1109" s="69" t="str">
        <f t="shared" si="92"/>
        <v>برنامج دولى</v>
      </c>
    </row>
    <row r="1110" spans="1:86" x14ac:dyDescent="0.25">
      <c r="A1110" s="148"/>
      <c r="B1110" s="82">
        <v>9126</v>
      </c>
      <c r="C1110" s="149">
        <v>4955</v>
      </c>
      <c r="D1110" s="69" t="s">
        <v>78</v>
      </c>
      <c r="E1110" s="69" t="s">
        <v>3448</v>
      </c>
      <c r="F1110" s="63"/>
      <c r="G1110" s="69">
        <v>1993.25</v>
      </c>
      <c r="H1110" s="69"/>
      <c r="I1110" s="69"/>
      <c r="J1110" s="69"/>
      <c r="K1110" s="69"/>
      <c r="L1110" s="69"/>
      <c r="M1110" s="69"/>
      <c r="N1110" s="69"/>
      <c r="O1110" s="69"/>
      <c r="P1110" s="69"/>
      <c r="Q1110" s="69"/>
      <c r="R1110" s="69"/>
      <c r="S1110" s="69"/>
      <c r="T1110" s="69"/>
      <c r="U1110" s="69"/>
      <c r="V1110" s="69"/>
      <c r="W1110" s="69"/>
      <c r="X1110" s="69"/>
      <c r="Y1110" s="69"/>
      <c r="Z1110" s="69"/>
      <c r="AA1110" s="69"/>
      <c r="AB1110" s="69"/>
      <c r="AC1110" s="69"/>
      <c r="AD1110" s="69"/>
      <c r="AE1110" s="69"/>
      <c r="AF1110" s="69"/>
      <c r="AG1110" s="69"/>
      <c r="AH1110" s="69"/>
      <c r="AI1110" s="69"/>
      <c r="AJ1110" s="69"/>
      <c r="AK1110" s="69"/>
      <c r="AL1110" s="69"/>
      <c r="AM1110" s="69"/>
      <c r="AN1110" s="69"/>
      <c r="AO1110" s="69"/>
      <c r="AP1110" s="69"/>
      <c r="AQ1110" s="69"/>
      <c r="AR1110" s="94">
        <f t="shared" si="77"/>
        <v>1993.25</v>
      </c>
      <c r="AS1110" s="69">
        <v>1332</v>
      </c>
      <c r="AT1110" s="69">
        <v>181</v>
      </c>
      <c r="AU1110" s="69">
        <v>480.25</v>
      </c>
      <c r="AV1110" s="69"/>
      <c r="AW1110" s="69"/>
      <c r="AX1110" s="69"/>
      <c r="AY1110" s="69"/>
      <c r="AZ1110" s="69"/>
      <c r="BA1110" s="69"/>
      <c r="BB1110" s="69"/>
      <c r="BC1110" s="69"/>
      <c r="BD1110" s="69"/>
      <c r="BE1110" s="69"/>
      <c r="BF1110" s="69"/>
      <c r="BG1110" s="69"/>
      <c r="BH1110" s="69"/>
      <c r="BI1110" s="69"/>
      <c r="BJ1110" s="69"/>
      <c r="BK1110" s="69"/>
      <c r="BL1110" s="69"/>
      <c r="BM1110" s="69"/>
      <c r="BN1110" s="69"/>
      <c r="BO1110" s="69"/>
      <c r="BP1110" s="69"/>
      <c r="BQ1110" s="69"/>
      <c r="BR1110" s="69"/>
      <c r="BS1110" s="69"/>
      <c r="BT1110" s="69"/>
      <c r="BU1110" s="69"/>
      <c r="BV1110" s="69"/>
      <c r="BW1110" s="69"/>
      <c r="BX1110" s="69"/>
      <c r="BY1110" s="69"/>
      <c r="BZ1110" s="69"/>
      <c r="CA1110" s="69"/>
      <c r="CB1110" s="69"/>
      <c r="CC1110" s="69"/>
      <c r="CD1110" s="69"/>
      <c r="CE1110" s="94">
        <f t="shared" si="96"/>
        <v>1993.25</v>
      </c>
      <c r="CF1110" s="151">
        <f t="shared" si="93"/>
        <v>0</v>
      </c>
      <c r="CG1110" s="75">
        <f t="shared" si="92"/>
        <v>4955</v>
      </c>
      <c r="CH1110" s="69" t="str">
        <f t="shared" si="92"/>
        <v>برنامج دولى</v>
      </c>
    </row>
    <row r="1111" spans="1:86" x14ac:dyDescent="0.25">
      <c r="A1111" s="148"/>
      <c r="B1111" s="82">
        <v>9127</v>
      </c>
      <c r="C1111" s="149">
        <v>4956</v>
      </c>
      <c r="D1111" s="69" t="s">
        <v>78</v>
      </c>
      <c r="E1111" s="69" t="s">
        <v>3448</v>
      </c>
      <c r="F1111" s="63"/>
      <c r="G1111" s="69">
        <v>316728.78000000003</v>
      </c>
      <c r="H1111" s="69"/>
      <c r="I1111" s="69"/>
      <c r="J1111" s="69"/>
      <c r="K1111" s="69"/>
      <c r="L1111" s="69"/>
      <c r="M1111" s="69"/>
      <c r="N1111" s="69"/>
      <c r="O1111" s="69"/>
      <c r="P1111" s="69"/>
      <c r="Q1111" s="69"/>
      <c r="R1111" s="69"/>
      <c r="S1111" s="69"/>
      <c r="T1111" s="69"/>
      <c r="U1111" s="69"/>
      <c r="V1111" s="69"/>
      <c r="W1111" s="69"/>
      <c r="X1111" s="69"/>
      <c r="Y1111" s="69"/>
      <c r="Z1111" s="69"/>
      <c r="AA1111" s="69"/>
      <c r="AB1111" s="69"/>
      <c r="AC1111" s="69"/>
      <c r="AD1111" s="69"/>
      <c r="AE1111" s="69"/>
      <c r="AF1111" s="69"/>
      <c r="AG1111" s="69"/>
      <c r="AH1111" s="69"/>
      <c r="AI1111" s="69"/>
      <c r="AJ1111" s="69"/>
      <c r="AK1111" s="69"/>
      <c r="AL1111" s="69"/>
      <c r="AM1111" s="69"/>
      <c r="AN1111" s="69"/>
      <c r="AO1111" s="69"/>
      <c r="AP1111" s="69"/>
      <c r="AQ1111" s="69"/>
      <c r="AR1111" s="94">
        <f t="shared" si="77"/>
        <v>316728.78000000003</v>
      </c>
      <c r="AS1111" s="69">
        <v>217372.15</v>
      </c>
      <c r="AT1111" s="69">
        <v>28968.880000000001</v>
      </c>
      <c r="AU1111" s="69">
        <v>70387.75</v>
      </c>
      <c r="AV1111" s="69"/>
      <c r="AW1111" s="69"/>
      <c r="AX1111" s="69"/>
      <c r="AY1111" s="69"/>
      <c r="AZ1111" s="69"/>
      <c r="BA1111" s="69"/>
      <c r="BB1111" s="69"/>
      <c r="BC1111" s="69"/>
      <c r="BD1111" s="69"/>
      <c r="BE1111" s="69"/>
      <c r="BF1111" s="69"/>
      <c r="BG1111" s="69"/>
      <c r="BH1111" s="69"/>
      <c r="BI1111" s="69"/>
      <c r="BJ1111" s="69"/>
      <c r="BK1111" s="69"/>
      <c r="BL1111" s="69"/>
      <c r="BM1111" s="69"/>
      <c r="BN1111" s="69"/>
      <c r="BO1111" s="69"/>
      <c r="BP1111" s="69"/>
      <c r="BQ1111" s="69"/>
      <c r="BR1111" s="69"/>
      <c r="BS1111" s="69"/>
      <c r="BT1111" s="69"/>
      <c r="BU1111" s="69"/>
      <c r="BV1111" s="69"/>
      <c r="BW1111" s="69"/>
      <c r="BX1111" s="69"/>
      <c r="BY1111" s="69"/>
      <c r="BZ1111" s="69"/>
      <c r="CA1111" s="69"/>
      <c r="CB1111" s="69"/>
      <c r="CC1111" s="69"/>
      <c r="CD1111" s="69"/>
      <c r="CE1111" s="94">
        <f t="shared" si="96"/>
        <v>316728.78000000003</v>
      </c>
      <c r="CF1111" s="151">
        <f t="shared" si="93"/>
        <v>0</v>
      </c>
      <c r="CG1111" s="75">
        <f t="shared" ref="CG1111:CH1142" si="97">+C1111</f>
        <v>4956</v>
      </c>
      <c r="CH1111" s="69" t="str">
        <f t="shared" si="97"/>
        <v>برنامج دولى</v>
      </c>
    </row>
    <row r="1112" spans="1:86" x14ac:dyDescent="0.25">
      <c r="A1112" s="148"/>
      <c r="B1112" s="82">
        <v>9128</v>
      </c>
      <c r="C1112" s="149">
        <v>4957</v>
      </c>
      <c r="D1112" s="69" t="s">
        <v>78</v>
      </c>
      <c r="E1112" s="69" t="s">
        <v>3448</v>
      </c>
      <c r="F1112" s="63"/>
      <c r="G1112" s="69">
        <v>3204.44</v>
      </c>
      <c r="H1112" s="69"/>
      <c r="I1112" s="69"/>
      <c r="J1112" s="69"/>
      <c r="K1112" s="69"/>
      <c r="L1112" s="69"/>
      <c r="M1112" s="69"/>
      <c r="N1112" s="69"/>
      <c r="O1112" s="69"/>
      <c r="P1112" s="69"/>
      <c r="Q1112" s="69"/>
      <c r="R1112" s="69"/>
      <c r="S1112" s="69"/>
      <c r="T1112" s="69"/>
      <c r="U1112" s="69"/>
      <c r="V1112" s="69"/>
      <c r="W1112" s="69"/>
      <c r="X1112" s="69"/>
      <c r="Y1112" s="69"/>
      <c r="Z1112" s="69"/>
      <c r="AA1112" s="69"/>
      <c r="AB1112" s="69"/>
      <c r="AC1112" s="69"/>
      <c r="AD1112" s="69"/>
      <c r="AE1112" s="69"/>
      <c r="AF1112" s="69"/>
      <c r="AG1112" s="69"/>
      <c r="AH1112" s="69"/>
      <c r="AI1112" s="69"/>
      <c r="AJ1112" s="69"/>
      <c r="AK1112" s="69"/>
      <c r="AL1112" s="69"/>
      <c r="AM1112" s="69"/>
      <c r="AN1112" s="69"/>
      <c r="AO1112" s="69"/>
      <c r="AP1112" s="69"/>
      <c r="AQ1112" s="69"/>
      <c r="AR1112" s="94">
        <f t="shared" si="77"/>
        <v>3204.44</v>
      </c>
      <c r="AS1112" s="69">
        <v>2141.92</v>
      </c>
      <c r="AT1112" s="69">
        <v>290.45</v>
      </c>
      <c r="AU1112" s="69">
        <v>772.07</v>
      </c>
      <c r="AV1112" s="69"/>
      <c r="AW1112" s="69"/>
      <c r="AX1112" s="69"/>
      <c r="AY1112" s="69"/>
      <c r="AZ1112" s="69"/>
      <c r="BA1112" s="69"/>
      <c r="BB1112" s="69"/>
      <c r="BC1112" s="69"/>
      <c r="BD1112" s="69"/>
      <c r="BE1112" s="69"/>
      <c r="BF1112" s="69"/>
      <c r="BG1112" s="69"/>
      <c r="BH1112" s="69"/>
      <c r="BI1112" s="69"/>
      <c r="BJ1112" s="69"/>
      <c r="BK1112" s="69"/>
      <c r="BL1112" s="69"/>
      <c r="BM1112" s="69"/>
      <c r="BN1112" s="69"/>
      <c r="BO1112" s="69"/>
      <c r="BP1112" s="69"/>
      <c r="BQ1112" s="69"/>
      <c r="BR1112" s="69"/>
      <c r="BS1112" s="69"/>
      <c r="BT1112" s="69"/>
      <c r="BU1112" s="69"/>
      <c r="BV1112" s="69"/>
      <c r="BW1112" s="69"/>
      <c r="BX1112" s="69"/>
      <c r="BY1112" s="69"/>
      <c r="BZ1112" s="69"/>
      <c r="CA1112" s="69"/>
      <c r="CB1112" s="69"/>
      <c r="CC1112" s="69"/>
      <c r="CD1112" s="69"/>
      <c r="CE1112" s="94">
        <f t="shared" si="96"/>
        <v>3204.44</v>
      </c>
      <c r="CF1112" s="151">
        <f t="shared" si="93"/>
        <v>0</v>
      </c>
      <c r="CG1112" s="75">
        <f t="shared" si="97"/>
        <v>4957</v>
      </c>
      <c r="CH1112" s="69" t="str">
        <f t="shared" si="97"/>
        <v>برنامج دولى</v>
      </c>
    </row>
    <row r="1113" spans="1:86" x14ac:dyDescent="0.25">
      <c r="A1113" s="148"/>
      <c r="B1113" s="82">
        <v>9129</v>
      </c>
      <c r="C1113" s="149">
        <v>4958</v>
      </c>
      <c r="D1113" s="69" t="s">
        <v>78</v>
      </c>
      <c r="E1113" s="69" t="s">
        <v>3448</v>
      </c>
      <c r="F1113" s="63"/>
      <c r="G1113" s="69">
        <v>6516.33</v>
      </c>
      <c r="H1113" s="69"/>
      <c r="I1113" s="69"/>
      <c r="J1113" s="69"/>
      <c r="K1113" s="69"/>
      <c r="L1113" s="69"/>
      <c r="M1113" s="69"/>
      <c r="N1113" s="69"/>
      <c r="O1113" s="69"/>
      <c r="P1113" s="69"/>
      <c r="Q1113" s="69"/>
      <c r="R1113" s="69"/>
      <c r="S1113" s="69"/>
      <c r="T1113" s="69"/>
      <c r="U1113" s="69"/>
      <c r="V1113" s="69"/>
      <c r="W1113" s="69"/>
      <c r="X1113" s="69"/>
      <c r="Y1113" s="69"/>
      <c r="Z1113" s="69"/>
      <c r="AA1113" s="69"/>
      <c r="AB1113" s="69"/>
      <c r="AC1113" s="69"/>
      <c r="AD1113" s="69"/>
      <c r="AE1113" s="69"/>
      <c r="AF1113" s="69"/>
      <c r="AG1113" s="69"/>
      <c r="AH1113" s="69"/>
      <c r="AI1113" s="69"/>
      <c r="AJ1113" s="69"/>
      <c r="AK1113" s="69"/>
      <c r="AL1113" s="69"/>
      <c r="AM1113" s="69"/>
      <c r="AN1113" s="69"/>
      <c r="AO1113" s="69"/>
      <c r="AP1113" s="69"/>
      <c r="AQ1113" s="69"/>
      <c r="AR1113" s="94">
        <f t="shared" si="77"/>
        <v>6516.33</v>
      </c>
      <c r="AS1113" s="69">
        <v>5080.55</v>
      </c>
      <c r="AT1113" s="69">
        <v>644.78</v>
      </c>
      <c r="AU1113" s="69">
        <v>791</v>
      </c>
      <c r="AV1113" s="69"/>
      <c r="AW1113" s="69"/>
      <c r="AX1113" s="69"/>
      <c r="AY1113" s="69"/>
      <c r="AZ1113" s="69"/>
      <c r="BA1113" s="69"/>
      <c r="BB1113" s="69"/>
      <c r="BC1113" s="69"/>
      <c r="BD1113" s="69"/>
      <c r="BE1113" s="69"/>
      <c r="BF1113" s="69"/>
      <c r="BG1113" s="69"/>
      <c r="BH1113" s="69"/>
      <c r="BI1113" s="69"/>
      <c r="BJ1113" s="69"/>
      <c r="BK1113" s="69"/>
      <c r="BL1113" s="69"/>
      <c r="BM1113" s="69"/>
      <c r="BN1113" s="69"/>
      <c r="BO1113" s="69"/>
      <c r="BP1113" s="69"/>
      <c r="BQ1113" s="69"/>
      <c r="BR1113" s="69"/>
      <c r="BS1113" s="69"/>
      <c r="BT1113" s="69"/>
      <c r="BU1113" s="69"/>
      <c r="BV1113" s="69"/>
      <c r="BW1113" s="69"/>
      <c r="BX1113" s="69"/>
      <c r="BY1113" s="69"/>
      <c r="BZ1113" s="69"/>
      <c r="CA1113" s="69"/>
      <c r="CB1113" s="69"/>
      <c r="CC1113" s="69"/>
      <c r="CD1113" s="69"/>
      <c r="CE1113" s="94">
        <f t="shared" si="96"/>
        <v>6516.33</v>
      </c>
      <c r="CF1113" s="151">
        <f t="shared" si="93"/>
        <v>0</v>
      </c>
      <c r="CG1113" s="75">
        <f t="shared" si="97"/>
        <v>4958</v>
      </c>
      <c r="CH1113" s="69" t="str">
        <f t="shared" si="97"/>
        <v>برنامج دولى</v>
      </c>
    </row>
    <row r="1114" spans="1:86" x14ac:dyDescent="0.25">
      <c r="A1114" s="148"/>
      <c r="B1114" s="82">
        <v>9130</v>
      </c>
      <c r="C1114" s="149">
        <v>4959</v>
      </c>
      <c r="D1114" s="69" t="s">
        <v>78</v>
      </c>
      <c r="E1114" s="69" t="s">
        <v>3448</v>
      </c>
      <c r="F1114" s="63"/>
      <c r="G1114" s="69">
        <v>5041.75</v>
      </c>
      <c r="H1114" s="69"/>
      <c r="I1114" s="69"/>
      <c r="J1114" s="69"/>
      <c r="K1114" s="69"/>
      <c r="L1114" s="69"/>
      <c r="M1114" s="69"/>
      <c r="N1114" s="69"/>
      <c r="O1114" s="69"/>
      <c r="P1114" s="69"/>
      <c r="Q1114" s="69"/>
      <c r="R1114" s="69"/>
      <c r="S1114" s="69"/>
      <c r="T1114" s="69"/>
      <c r="U1114" s="69"/>
      <c r="V1114" s="69"/>
      <c r="W1114" s="69"/>
      <c r="X1114" s="69"/>
      <c r="Y1114" s="69"/>
      <c r="Z1114" s="69"/>
      <c r="AA1114" s="69"/>
      <c r="AB1114" s="69"/>
      <c r="AC1114" s="69"/>
      <c r="AD1114" s="69"/>
      <c r="AE1114" s="69"/>
      <c r="AF1114" s="69"/>
      <c r="AG1114" s="69"/>
      <c r="AH1114" s="69"/>
      <c r="AI1114" s="69"/>
      <c r="AJ1114" s="69"/>
      <c r="AK1114" s="69"/>
      <c r="AL1114" s="69"/>
      <c r="AM1114" s="69"/>
      <c r="AN1114" s="69"/>
      <c r="AO1114" s="69"/>
      <c r="AP1114" s="69"/>
      <c r="AQ1114" s="69"/>
      <c r="AR1114" s="94">
        <f t="shared" si="77"/>
        <v>5041.75</v>
      </c>
      <c r="AS1114" s="69">
        <v>3369</v>
      </c>
      <c r="AT1114" s="69">
        <v>458</v>
      </c>
      <c r="AU1114" s="69">
        <v>1214.75</v>
      </c>
      <c r="AV1114" s="69"/>
      <c r="AW1114" s="69"/>
      <c r="AX1114" s="69"/>
      <c r="AY1114" s="69"/>
      <c r="AZ1114" s="69"/>
      <c r="BA1114" s="69"/>
      <c r="BB1114" s="69"/>
      <c r="BC1114" s="69"/>
      <c r="BD1114" s="69"/>
      <c r="BE1114" s="69"/>
      <c r="BF1114" s="69"/>
      <c r="BG1114" s="69"/>
      <c r="BH1114" s="69"/>
      <c r="BI1114" s="69"/>
      <c r="BJ1114" s="69"/>
      <c r="BK1114" s="69"/>
      <c r="BL1114" s="69"/>
      <c r="BM1114" s="69"/>
      <c r="BN1114" s="69"/>
      <c r="BO1114" s="69"/>
      <c r="BP1114" s="69"/>
      <c r="BQ1114" s="69"/>
      <c r="BR1114" s="69"/>
      <c r="BS1114" s="69"/>
      <c r="BT1114" s="69"/>
      <c r="BU1114" s="69"/>
      <c r="BV1114" s="69"/>
      <c r="BW1114" s="69"/>
      <c r="BX1114" s="69"/>
      <c r="BY1114" s="69"/>
      <c r="BZ1114" s="69"/>
      <c r="CA1114" s="69"/>
      <c r="CB1114" s="69"/>
      <c r="CC1114" s="69"/>
      <c r="CD1114" s="69"/>
      <c r="CE1114" s="94">
        <f t="shared" si="96"/>
        <v>5041.75</v>
      </c>
      <c r="CF1114" s="151">
        <f t="shared" si="93"/>
        <v>0</v>
      </c>
      <c r="CG1114" s="75">
        <f t="shared" si="97"/>
        <v>4959</v>
      </c>
      <c r="CH1114" s="69" t="str">
        <f t="shared" si="97"/>
        <v>برنامج دولى</v>
      </c>
    </row>
    <row r="1115" spans="1:86" x14ac:dyDescent="0.25">
      <c r="A1115" s="148"/>
      <c r="B1115" s="82">
        <v>9131</v>
      </c>
      <c r="C1115" s="149">
        <v>4960</v>
      </c>
      <c r="D1115" s="69" t="s">
        <v>78</v>
      </c>
      <c r="E1115" s="69" t="s">
        <v>3448</v>
      </c>
      <c r="F1115" s="63"/>
      <c r="G1115" s="69">
        <v>6882.57</v>
      </c>
      <c r="H1115" s="69"/>
      <c r="I1115" s="69"/>
      <c r="J1115" s="69"/>
      <c r="K1115" s="69"/>
      <c r="L1115" s="69"/>
      <c r="M1115" s="69"/>
      <c r="N1115" s="69"/>
      <c r="O1115" s="69"/>
      <c r="P1115" s="69"/>
      <c r="Q1115" s="69"/>
      <c r="R1115" s="69"/>
      <c r="S1115" s="69"/>
      <c r="T1115" s="69"/>
      <c r="U1115" s="69"/>
      <c r="V1115" s="69"/>
      <c r="W1115" s="69"/>
      <c r="X1115" s="69"/>
      <c r="Y1115" s="69"/>
      <c r="Z1115" s="69"/>
      <c r="AA1115" s="69"/>
      <c r="AB1115" s="69"/>
      <c r="AC1115" s="69"/>
      <c r="AD1115" s="69"/>
      <c r="AE1115" s="69"/>
      <c r="AF1115" s="69"/>
      <c r="AG1115" s="69"/>
      <c r="AH1115" s="69"/>
      <c r="AI1115" s="69"/>
      <c r="AJ1115" s="69"/>
      <c r="AK1115" s="69"/>
      <c r="AL1115" s="69"/>
      <c r="AM1115" s="69"/>
      <c r="AN1115" s="69"/>
      <c r="AO1115" s="69"/>
      <c r="AP1115" s="69"/>
      <c r="AQ1115" s="69"/>
      <c r="AR1115" s="94">
        <f t="shared" si="77"/>
        <v>6882.57</v>
      </c>
      <c r="AS1115" s="69">
        <v>4601.1499999999996</v>
      </c>
      <c r="AT1115" s="69">
        <v>623.15</v>
      </c>
      <c r="AU1115" s="69">
        <v>1658.27</v>
      </c>
      <c r="AV1115" s="69"/>
      <c r="AW1115" s="69"/>
      <c r="AX1115" s="69"/>
      <c r="AY1115" s="69"/>
      <c r="AZ1115" s="69"/>
      <c r="BA1115" s="69"/>
      <c r="BB1115" s="69"/>
      <c r="BC1115" s="69"/>
      <c r="BD1115" s="69"/>
      <c r="BE1115" s="69"/>
      <c r="BF1115" s="69"/>
      <c r="BG1115" s="69"/>
      <c r="BH1115" s="69"/>
      <c r="BI1115" s="69"/>
      <c r="BJ1115" s="69"/>
      <c r="BK1115" s="69"/>
      <c r="BL1115" s="69"/>
      <c r="BM1115" s="69"/>
      <c r="BN1115" s="69"/>
      <c r="BO1115" s="69"/>
      <c r="BP1115" s="69"/>
      <c r="BQ1115" s="69"/>
      <c r="BR1115" s="69"/>
      <c r="BS1115" s="69"/>
      <c r="BT1115" s="69"/>
      <c r="BU1115" s="69"/>
      <c r="BV1115" s="69"/>
      <c r="BW1115" s="69"/>
      <c r="BX1115" s="69"/>
      <c r="BY1115" s="69"/>
      <c r="BZ1115" s="69"/>
      <c r="CA1115" s="69"/>
      <c r="CB1115" s="69"/>
      <c r="CC1115" s="69"/>
      <c r="CD1115" s="69"/>
      <c r="CE1115" s="94">
        <f t="shared" si="96"/>
        <v>6882.57</v>
      </c>
      <c r="CF1115" s="151">
        <f t="shared" si="93"/>
        <v>0</v>
      </c>
      <c r="CG1115" s="75">
        <f t="shared" si="97"/>
        <v>4960</v>
      </c>
      <c r="CH1115" s="69" t="str">
        <f t="shared" si="97"/>
        <v>برنامج دولى</v>
      </c>
    </row>
    <row r="1116" spans="1:86" x14ac:dyDescent="0.25">
      <c r="A1116" s="148"/>
      <c r="B1116" s="82">
        <v>9132</v>
      </c>
      <c r="C1116" s="149">
        <v>4961</v>
      </c>
      <c r="D1116" s="69" t="s">
        <v>78</v>
      </c>
      <c r="E1116" s="69" t="s">
        <v>3448</v>
      </c>
      <c r="F1116" s="63"/>
      <c r="G1116" s="69">
        <v>1993.25</v>
      </c>
      <c r="H1116" s="69"/>
      <c r="I1116" s="69"/>
      <c r="J1116" s="69"/>
      <c r="K1116" s="69"/>
      <c r="L1116" s="69"/>
      <c r="M1116" s="69"/>
      <c r="N1116" s="69"/>
      <c r="O1116" s="69"/>
      <c r="P1116" s="69"/>
      <c r="Q1116" s="69"/>
      <c r="R1116" s="69"/>
      <c r="S1116" s="69"/>
      <c r="T1116" s="69"/>
      <c r="U1116" s="69"/>
      <c r="V1116" s="69"/>
      <c r="W1116" s="69"/>
      <c r="X1116" s="69"/>
      <c r="Y1116" s="69"/>
      <c r="Z1116" s="69"/>
      <c r="AA1116" s="69"/>
      <c r="AB1116" s="69"/>
      <c r="AC1116" s="69"/>
      <c r="AD1116" s="69"/>
      <c r="AE1116" s="69"/>
      <c r="AF1116" s="69"/>
      <c r="AG1116" s="69"/>
      <c r="AH1116" s="69"/>
      <c r="AI1116" s="69"/>
      <c r="AJ1116" s="69"/>
      <c r="AK1116" s="69"/>
      <c r="AL1116" s="69"/>
      <c r="AM1116" s="69"/>
      <c r="AN1116" s="69"/>
      <c r="AO1116" s="69"/>
      <c r="AP1116" s="69"/>
      <c r="AQ1116" s="69"/>
      <c r="AR1116" s="94">
        <f t="shared" si="77"/>
        <v>1993.25</v>
      </c>
      <c r="AS1116" s="69">
        <v>1332</v>
      </c>
      <c r="AT1116" s="69">
        <v>181</v>
      </c>
      <c r="AU1116" s="69">
        <v>480.25</v>
      </c>
      <c r="AV1116" s="69"/>
      <c r="AW1116" s="69"/>
      <c r="AX1116" s="69"/>
      <c r="AY1116" s="69"/>
      <c r="AZ1116" s="69"/>
      <c r="BA1116" s="69"/>
      <c r="BB1116" s="69"/>
      <c r="BC1116" s="69"/>
      <c r="BD1116" s="69"/>
      <c r="BE1116" s="69"/>
      <c r="BF1116" s="69"/>
      <c r="BG1116" s="69"/>
      <c r="BH1116" s="69"/>
      <c r="BI1116" s="69"/>
      <c r="BJ1116" s="69"/>
      <c r="BK1116" s="69"/>
      <c r="BL1116" s="69"/>
      <c r="BM1116" s="69"/>
      <c r="BN1116" s="69"/>
      <c r="BO1116" s="69"/>
      <c r="BP1116" s="69"/>
      <c r="BQ1116" s="69"/>
      <c r="BR1116" s="69"/>
      <c r="BS1116" s="69"/>
      <c r="BT1116" s="69"/>
      <c r="BU1116" s="69"/>
      <c r="BV1116" s="69"/>
      <c r="BW1116" s="69"/>
      <c r="BX1116" s="69"/>
      <c r="BY1116" s="69"/>
      <c r="BZ1116" s="69"/>
      <c r="CA1116" s="69"/>
      <c r="CB1116" s="69"/>
      <c r="CC1116" s="69"/>
      <c r="CD1116" s="69"/>
      <c r="CE1116" s="94">
        <f t="shared" si="96"/>
        <v>1993.25</v>
      </c>
      <c r="CF1116" s="151">
        <f t="shared" si="93"/>
        <v>0</v>
      </c>
      <c r="CG1116" s="75">
        <f t="shared" si="97"/>
        <v>4961</v>
      </c>
      <c r="CH1116" s="69" t="str">
        <f t="shared" si="97"/>
        <v>برنامج دولى</v>
      </c>
    </row>
    <row r="1117" spans="1:86" x14ac:dyDescent="0.25">
      <c r="A1117" s="148"/>
      <c r="B1117" s="82">
        <v>9133</v>
      </c>
      <c r="C1117" s="149">
        <v>4962</v>
      </c>
      <c r="D1117" s="69" t="s">
        <v>78</v>
      </c>
      <c r="E1117" s="69" t="s">
        <v>3448</v>
      </c>
      <c r="F1117" s="63"/>
      <c r="G1117" s="69">
        <v>2040.15</v>
      </c>
      <c r="H1117" s="69"/>
      <c r="I1117" s="69"/>
      <c r="J1117" s="69"/>
      <c r="K1117" s="69"/>
      <c r="L1117" s="69"/>
      <c r="M1117" s="69"/>
      <c r="N1117" s="69"/>
      <c r="O1117" s="69"/>
      <c r="P1117" s="69"/>
      <c r="Q1117" s="69"/>
      <c r="R1117" s="69"/>
      <c r="S1117" s="69"/>
      <c r="T1117" s="69"/>
      <c r="U1117" s="69"/>
      <c r="V1117" s="69"/>
      <c r="W1117" s="69"/>
      <c r="X1117" s="69"/>
      <c r="Y1117" s="69"/>
      <c r="Z1117" s="69"/>
      <c r="AA1117" s="69"/>
      <c r="AB1117" s="69"/>
      <c r="AC1117" s="69"/>
      <c r="AD1117" s="69"/>
      <c r="AE1117" s="69"/>
      <c r="AF1117" s="69"/>
      <c r="AG1117" s="69"/>
      <c r="AH1117" s="69"/>
      <c r="AI1117" s="69"/>
      <c r="AJ1117" s="69"/>
      <c r="AK1117" s="69"/>
      <c r="AL1117" s="69"/>
      <c r="AM1117" s="69"/>
      <c r="AN1117" s="69"/>
      <c r="AO1117" s="69"/>
      <c r="AP1117" s="69"/>
      <c r="AQ1117" s="69"/>
      <c r="AR1117" s="94">
        <f t="shared" si="77"/>
        <v>2040.15</v>
      </c>
      <c r="AS1117" s="69">
        <v>1363.35</v>
      </c>
      <c r="AT1117" s="69">
        <v>185.25</v>
      </c>
      <c r="AU1117" s="69">
        <v>491.55</v>
      </c>
      <c r="AV1117" s="69"/>
      <c r="AW1117" s="69"/>
      <c r="AX1117" s="69"/>
      <c r="AY1117" s="69"/>
      <c r="AZ1117" s="69"/>
      <c r="BA1117" s="69"/>
      <c r="BB1117" s="69"/>
      <c r="BC1117" s="69"/>
      <c r="BD1117" s="69"/>
      <c r="BE1117" s="69"/>
      <c r="BF1117" s="69"/>
      <c r="BG1117" s="69"/>
      <c r="BH1117" s="69"/>
      <c r="BI1117" s="69"/>
      <c r="BJ1117" s="69"/>
      <c r="BK1117" s="69"/>
      <c r="BL1117" s="69"/>
      <c r="BM1117" s="69"/>
      <c r="BN1117" s="69"/>
      <c r="BO1117" s="69"/>
      <c r="BP1117" s="69"/>
      <c r="BQ1117" s="69"/>
      <c r="BR1117" s="69"/>
      <c r="BS1117" s="69"/>
      <c r="BT1117" s="69"/>
      <c r="BU1117" s="69"/>
      <c r="BV1117" s="69"/>
      <c r="BW1117" s="69"/>
      <c r="BX1117" s="69"/>
      <c r="BY1117" s="69"/>
      <c r="BZ1117" s="69"/>
      <c r="CA1117" s="69"/>
      <c r="CB1117" s="69"/>
      <c r="CC1117" s="69"/>
      <c r="CD1117" s="69"/>
      <c r="CE1117" s="94">
        <f t="shared" si="96"/>
        <v>2040.1499999999999</v>
      </c>
      <c r="CF1117" s="151">
        <f t="shared" si="93"/>
        <v>0</v>
      </c>
      <c r="CG1117" s="75">
        <f t="shared" si="97"/>
        <v>4962</v>
      </c>
      <c r="CH1117" s="69" t="str">
        <f t="shared" si="97"/>
        <v>برنامج دولى</v>
      </c>
    </row>
    <row r="1118" spans="1:86" x14ac:dyDescent="0.25">
      <c r="A1118" s="148"/>
      <c r="B1118" s="82">
        <v>9133</v>
      </c>
      <c r="C1118" s="149">
        <v>4963</v>
      </c>
      <c r="D1118" s="69" t="s">
        <v>78</v>
      </c>
      <c r="E1118" s="69" t="s">
        <v>3448</v>
      </c>
      <c r="F1118" s="63"/>
      <c r="G1118" s="69">
        <v>2500</v>
      </c>
      <c r="H1118" s="69"/>
      <c r="I1118" s="69"/>
      <c r="J1118" s="69"/>
      <c r="K1118" s="69"/>
      <c r="L1118" s="69"/>
      <c r="M1118" s="69"/>
      <c r="N1118" s="69"/>
      <c r="O1118" s="69"/>
      <c r="P1118" s="69"/>
      <c r="Q1118" s="69"/>
      <c r="R1118" s="69"/>
      <c r="S1118" s="69"/>
      <c r="T1118" s="69"/>
      <c r="U1118" s="69"/>
      <c r="V1118" s="69"/>
      <c r="W1118" s="69"/>
      <c r="X1118" s="69"/>
      <c r="Y1118" s="69"/>
      <c r="Z1118" s="69"/>
      <c r="AA1118" s="69"/>
      <c r="AB1118" s="69"/>
      <c r="AC1118" s="69"/>
      <c r="AD1118" s="69"/>
      <c r="AE1118" s="69"/>
      <c r="AF1118" s="69"/>
      <c r="AG1118" s="69"/>
      <c r="AH1118" s="69"/>
      <c r="AI1118" s="69"/>
      <c r="AJ1118" s="69"/>
      <c r="AK1118" s="69"/>
      <c r="AL1118" s="69"/>
      <c r="AM1118" s="69"/>
      <c r="AN1118" s="69"/>
      <c r="AO1118" s="69"/>
      <c r="AP1118" s="69"/>
      <c r="AQ1118" s="69"/>
      <c r="AR1118" s="94">
        <f t="shared" si="77"/>
        <v>2500</v>
      </c>
      <c r="AS1118" s="69">
        <v>2231.6</v>
      </c>
      <c r="AT1118" s="69">
        <v>268.39999999999998</v>
      </c>
      <c r="AU1118" s="69"/>
      <c r="AV1118" s="69"/>
      <c r="AW1118" s="69"/>
      <c r="AX1118" s="69"/>
      <c r="AY1118" s="69"/>
      <c r="AZ1118" s="69"/>
      <c r="BA1118" s="69"/>
      <c r="BB1118" s="69"/>
      <c r="BC1118" s="69"/>
      <c r="BD1118" s="69"/>
      <c r="BE1118" s="69"/>
      <c r="BF1118" s="69"/>
      <c r="BG1118" s="69"/>
      <c r="BH1118" s="69"/>
      <c r="BI1118" s="69"/>
      <c r="BJ1118" s="69"/>
      <c r="BK1118" s="69"/>
      <c r="BL1118" s="69"/>
      <c r="BM1118" s="69"/>
      <c r="BN1118" s="69"/>
      <c r="BO1118" s="69"/>
      <c r="BP1118" s="69"/>
      <c r="BQ1118" s="69"/>
      <c r="BR1118" s="69"/>
      <c r="BS1118" s="69"/>
      <c r="BT1118" s="69"/>
      <c r="BU1118" s="69"/>
      <c r="BV1118" s="69"/>
      <c r="BW1118" s="69"/>
      <c r="BX1118" s="69"/>
      <c r="BY1118" s="69"/>
      <c r="BZ1118" s="69"/>
      <c r="CA1118" s="69"/>
      <c r="CB1118" s="69"/>
      <c r="CC1118" s="69"/>
      <c r="CD1118" s="69"/>
      <c r="CE1118" s="94">
        <f t="shared" si="96"/>
        <v>2500</v>
      </c>
      <c r="CF1118" s="151">
        <f t="shared" si="93"/>
        <v>0</v>
      </c>
      <c r="CG1118" s="75">
        <f t="shared" si="97"/>
        <v>4963</v>
      </c>
      <c r="CH1118" s="69" t="str">
        <f t="shared" si="97"/>
        <v>برنامج دولى</v>
      </c>
    </row>
    <row r="1119" spans="1:86" x14ac:dyDescent="0.25">
      <c r="A1119" s="148"/>
      <c r="B1119" s="82">
        <v>9134</v>
      </c>
      <c r="C1119" s="149">
        <v>4964</v>
      </c>
      <c r="D1119" s="69" t="s">
        <v>78</v>
      </c>
      <c r="E1119" s="69" t="s">
        <v>3448</v>
      </c>
      <c r="F1119" s="63"/>
      <c r="G1119" s="69">
        <v>4221</v>
      </c>
      <c r="H1119" s="69"/>
      <c r="I1119" s="69"/>
      <c r="J1119" s="69"/>
      <c r="K1119" s="69"/>
      <c r="L1119" s="69"/>
      <c r="M1119" s="69"/>
      <c r="N1119" s="69"/>
      <c r="O1119" s="69"/>
      <c r="P1119" s="69"/>
      <c r="Q1119" s="69"/>
      <c r="R1119" s="69"/>
      <c r="S1119" s="69"/>
      <c r="T1119" s="69"/>
      <c r="U1119" s="69"/>
      <c r="V1119" s="69"/>
      <c r="W1119" s="69"/>
      <c r="X1119" s="69"/>
      <c r="Y1119" s="69"/>
      <c r="Z1119" s="69"/>
      <c r="AA1119" s="69"/>
      <c r="AB1119" s="69"/>
      <c r="AC1119" s="69"/>
      <c r="AD1119" s="69"/>
      <c r="AE1119" s="69"/>
      <c r="AF1119" s="69"/>
      <c r="AG1119" s="69"/>
      <c r="AH1119" s="69"/>
      <c r="AI1119" s="69"/>
      <c r="AJ1119" s="69"/>
      <c r="AK1119" s="69"/>
      <c r="AL1119" s="69"/>
      <c r="AM1119" s="69"/>
      <c r="AN1119" s="69"/>
      <c r="AO1119" s="69"/>
      <c r="AP1119" s="69"/>
      <c r="AQ1119" s="69"/>
      <c r="AR1119" s="94">
        <f t="shared" si="77"/>
        <v>4221</v>
      </c>
      <c r="AS1119" s="69">
        <v>2820.35</v>
      </c>
      <c r="AT1119" s="69">
        <v>383.65</v>
      </c>
      <c r="AU1119" s="69">
        <v>1017</v>
      </c>
      <c r="AV1119" s="69"/>
      <c r="AW1119" s="69"/>
      <c r="AX1119" s="69"/>
      <c r="AY1119" s="69"/>
      <c r="AZ1119" s="69"/>
      <c r="BA1119" s="69"/>
      <c r="BB1119" s="69"/>
      <c r="BC1119" s="69"/>
      <c r="BD1119" s="69"/>
      <c r="BE1119" s="69"/>
      <c r="BF1119" s="69"/>
      <c r="BG1119" s="69"/>
      <c r="BH1119" s="69"/>
      <c r="BI1119" s="69"/>
      <c r="BJ1119" s="69"/>
      <c r="BK1119" s="69"/>
      <c r="BL1119" s="69"/>
      <c r="BM1119" s="69"/>
      <c r="BN1119" s="69"/>
      <c r="BO1119" s="69"/>
      <c r="BP1119" s="69"/>
      <c r="BQ1119" s="69"/>
      <c r="BR1119" s="69"/>
      <c r="BS1119" s="69"/>
      <c r="BT1119" s="69"/>
      <c r="BU1119" s="69"/>
      <c r="BV1119" s="69"/>
      <c r="BW1119" s="69"/>
      <c r="BX1119" s="69"/>
      <c r="BY1119" s="69"/>
      <c r="BZ1119" s="69"/>
      <c r="CA1119" s="69"/>
      <c r="CB1119" s="69"/>
      <c r="CC1119" s="69"/>
      <c r="CD1119" s="69"/>
      <c r="CE1119" s="94">
        <f t="shared" si="96"/>
        <v>4221</v>
      </c>
      <c r="CF1119" s="151">
        <f t="shared" si="93"/>
        <v>0</v>
      </c>
      <c r="CG1119" s="75">
        <f t="shared" si="97"/>
        <v>4964</v>
      </c>
      <c r="CH1119" s="69" t="str">
        <f t="shared" si="97"/>
        <v>برنامج دولى</v>
      </c>
    </row>
    <row r="1120" spans="1:86" x14ac:dyDescent="0.25">
      <c r="A1120" s="148"/>
      <c r="B1120" s="82">
        <v>9135</v>
      </c>
      <c r="C1120" s="149">
        <v>4965</v>
      </c>
      <c r="D1120" s="69" t="s">
        <v>78</v>
      </c>
      <c r="E1120" s="69" t="s">
        <v>3448</v>
      </c>
      <c r="F1120" s="63"/>
      <c r="G1120" s="69">
        <v>2500</v>
      </c>
      <c r="H1120" s="69"/>
      <c r="I1120" s="69"/>
      <c r="J1120" s="69"/>
      <c r="K1120" s="69"/>
      <c r="L1120" s="69"/>
      <c r="M1120" s="69"/>
      <c r="N1120" s="69"/>
      <c r="O1120" s="69"/>
      <c r="P1120" s="69"/>
      <c r="Q1120" s="69"/>
      <c r="R1120" s="69"/>
      <c r="S1120" s="69"/>
      <c r="T1120" s="69"/>
      <c r="U1120" s="69"/>
      <c r="V1120" s="69"/>
      <c r="W1120" s="69"/>
      <c r="X1120" s="69"/>
      <c r="Y1120" s="69"/>
      <c r="Z1120" s="69"/>
      <c r="AA1120" s="69"/>
      <c r="AB1120" s="69"/>
      <c r="AC1120" s="69"/>
      <c r="AD1120" s="69"/>
      <c r="AE1120" s="69"/>
      <c r="AF1120" s="69"/>
      <c r="AG1120" s="69"/>
      <c r="AH1120" s="69"/>
      <c r="AI1120" s="69"/>
      <c r="AJ1120" s="69"/>
      <c r="AK1120" s="69"/>
      <c r="AL1120" s="69"/>
      <c r="AM1120" s="69"/>
      <c r="AN1120" s="69"/>
      <c r="AO1120" s="69"/>
      <c r="AP1120" s="69"/>
      <c r="AQ1120" s="69"/>
      <c r="AR1120" s="94">
        <f t="shared" si="77"/>
        <v>2500</v>
      </c>
      <c r="AS1120" s="69">
        <v>2231.6</v>
      </c>
      <c r="AT1120" s="69">
        <v>268.39999999999998</v>
      </c>
      <c r="AU1120" s="69"/>
      <c r="AV1120" s="69"/>
      <c r="AW1120" s="69"/>
      <c r="AX1120" s="69"/>
      <c r="AY1120" s="69"/>
      <c r="AZ1120" s="69"/>
      <c r="BA1120" s="69"/>
      <c r="BB1120" s="69"/>
      <c r="BC1120" s="69"/>
      <c r="BD1120" s="69"/>
      <c r="BE1120" s="69"/>
      <c r="BF1120" s="69"/>
      <c r="BG1120" s="69"/>
      <c r="BH1120" s="69"/>
      <c r="BI1120" s="69"/>
      <c r="BJ1120" s="69"/>
      <c r="BK1120" s="69"/>
      <c r="BL1120" s="69"/>
      <c r="BM1120" s="69"/>
      <c r="BN1120" s="69"/>
      <c r="BO1120" s="69"/>
      <c r="BP1120" s="69"/>
      <c r="BQ1120" s="69"/>
      <c r="BR1120" s="69"/>
      <c r="BS1120" s="69"/>
      <c r="BT1120" s="69"/>
      <c r="BU1120" s="69"/>
      <c r="BV1120" s="69"/>
      <c r="BW1120" s="69"/>
      <c r="BX1120" s="69"/>
      <c r="BY1120" s="69"/>
      <c r="BZ1120" s="69"/>
      <c r="CA1120" s="69"/>
      <c r="CB1120" s="69"/>
      <c r="CC1120" s="69"/>
      <c r="CD1120" s="69"/>
      <c r="CE1120" s="94">
        <f t="shared" si="96"/>
        <v>2500</v>
      </c>
      <c r="CF1120" s="151">
        <f t="shared" si="93"/>
        <v>0</v>
      </c>
      <c r="CG1120" s="75">
        <f t="shared" si="97"/>
        <v>4965</v>
      </c>
      <c r="CH1120" s="69" t="str">
        <f t="shared" si="97"/>
        <v>برنامج دولى</v>
      </c>
    </row>
    <row r="1121" spans="1:86" x14ac:dyDescent="0.25">
      <c r="A1121" s="148"/>
      <c r="B1121" s="82">
        <v>8914</v>
      </c>
      <c r="C1121" s="149">
        <v>4966</v>
      </c>
      <c r="D1121" s="69" t="s">
        <v>78</v>
      </c>
      <c r="E1121" s="69" t="s">
        <v>3449</v>
      </c>
      <c r="F1121" s="63"/>
      <c r="G1121" s="69">
        <v>7597</v>
      </c>
      <c r="H1121" s="69"/>
      <c r="I1121" s="69"/>
      <c r="J1121" s="69"/>
      <c r="K1121" s="69"/>
      <c r="L1121" s="69"/>
      <c r="M1121" s="69"/>
      <c r="N1121" s="69"/>
      <c r="O1121" s="69"/>
      <c r="P1121" s="69"/>
      <c r="Q1121" s="69"/>
      <c r="R1121" s="69"/>
      <c r="S1121" s="69"/>
      <c r="T1121" s="69"/>
      <c r="U1121" s="69"/>
      <c r="V1121" s="69"/>
      <c r="W1121" s="69"/>
      <c r="X1121" s="69"/>
      <c r="Y1121" s="69"/>
      <c r="Z1121" s="69"/>
      <c r="AA1121" s="69"/>
      <c r="AB1121" s="69"/>
      <c r="AC1121" s="69"/>
      <c r="AD1121" s="69"/>
      <c r="AE1121" s="69"/>
      <c r="AF1121" s="69"/>
      <c r="AG1121" s="69"/>
      <c r="AH1121" s="69"/>
      <c r="AI1121" s="69"/>
      <c r="AJ1121" s="69"/>
      <c r="AK1121" s="69"/>
      <c r="AL1121" s="69"/>
      <c r="AM1121" s="69"/>
      <c r="AN1121" s="69"/>
      <c r="AO1121" s="69"/>
      <c r="AP1121" s="69"/>
      <c r="AQ1121" s="69"/>
      <c r="AR1121" s="94">
        <f t="shared" si="77"/>
        <v>7597</v>
      </c>
      <c r="AS1121" s="69">
        <v>5416.2</v>
      </c>
      <c r="AT1121" s="69">
        <v>711.8</v>
      </c>
      <c r="AU1121" s="69">
        <v>1469</v>
      </c>
      <c r="AV1121" s="69"/>
      <c r="AW1121" s="69"/>
      <c r="AX1121" s="69"/>
      <c r="AY1121" s="69"/>
      <c r="AZ1121" s="69"/>
      <c r="BA1121" s="69"/>
      <c r="BB1121" s="69"/>
      <c r="BC1121" s="69"/>
      <c r="BD1121" s="69"/>
      <c r="BE1121" s="69"/>
      <c r="BF1121" s="69"/>
      <c r="BG1121" s="69"/>
      <c r="BH1121" s="69"/>
      <c r="BI1121" s="69"/>
      <c r="BJ1121" s="69"/>
      <c r="BK1121" s="69"/>
      <c r="BL1121" s="69"/>
      <c r="BM1121" s="69"/>
      <c r="BN1121" s="69"/>
      <c r="BO1121" s="69"/>
      <c r="BP1121" s="69"/>
      <c r="BQ1121" s="69"/>
      <c r="BR1121" s="69"/>
      <c r="BS1121" s="69"/>
      <c r="BT1121" s="69"/>
      <c r="BU1121" s="69"/>
      <c r="BV1121" s="69"/>
      <c r="BW1121" s="69"/>
      <c r="BX1121" s="69"/>
      <c r="BY1121" s="69"/>
      <c r="BZ1121" s="69"/>
      <c r="CA1121" s="69"/>
      <c r="CB1121" s="69"/>
      <c r="CC1121" s="69"/>
      <c r="CD1121" s="69"/>
      <c r="CE1121" s="94">
        <f t="shared" si="96"/>
        <v>7597</v>
      </c>
      <c r="CF1121" s="151">
        <f t="shared" si="93"/>
        <v>0</v>
      </c>
      <c r="CG1121" s="75">
        <f t="shared" si="97"/>
        <v>4966</v>
      </c>
      <c r="CH1121" s="69" t="str">
        <f t="shared" si="97"/>
        <v>برنامج دولى</v>
      </c>
    </row>
    <row r="1122" spans="1:86" x14ac:dyDescent="0.25">
      <c r="A1122" s="148"/>
      <c r="B1122" s="82">
        <v>8915</v>
      </c>
      <c r="C1122" s="149">
        <v>4967</v>
      </c>
      <c r="D1122" s="69" t="s">
        <v>78</v>
      </c>
      <c r="E1122" s="69" t="s">
        <v>3449</v>
      </c>
      <c r="F1122" s="63"/>
      <c r="G1122" s="69">
        <v>8207.5</v>
      </c>
      <c r="H1122" s="69"/>
      <c r="I1122" s="69"/>
      <c r="J1122" s="69"/>
      <c r="K1122" s="69"/>
      <c r="L1122" s="69"/>
      <c r="M1122" s="69"/>
      <c r="N1122" s="69"/>
      <c r="O1122" s="69"/>
      <c r="P1122" s="69"/>
      <c r="Q1122" s="69"/>
      <c r="R1122" s="69"/>
      <c r="S1122" s="69"/>
      <c r="T1122" s="69"/>
      <c r="U1122" s="69"/>
      <c r="V1122" s="69"/>
      <c r="W1122" s="69"/>
      <c r="X1122" s="69"/>
      <c r="Y1122" s="69"/>
      <c r="Z1122" s="69"/>
      <c r="AA1122" s="69"/>
      <c r="AB1122" s="69"/>
      <c r="AC1122" s="69"/>
      <c r="AD1122" s="69"/>
      <c r="AE1122" s="69"/>
      <c r="AF1122" s="69"/>
      <c r="AG1122" s="69"/>
      <c r="AH1122" s="69"/>
      <c r="AI1122" s="69"/>
      <c r="AJ1122" s="69"/>
      <c r="AK1122" s="69"/>
      <c r="AL1122" s="69"/>
      <c r="AM1122" s="69"/>
      <c r="AN1122" s="69"/>
      <c r="AO1122" s="69"/>
      <c r="AP1122" s="69"/>
      <c r="AQ1122" s="69"/>
      <c r="AR1122" s="94">
        <f t="shared" si="77"/>
        <v>8207.5</v>
      </c>
      <c r="AS1122" s="69">
        <v>5489.9</v>
      </c>
      <c r="AT1122" s="69">
        <v>740.1</v>
      </c>
      <c r="AU1122" s="69">
        <v>1977.5</v>
      </c>
      <c r="AV1122" s="69"/>
      <c r="AW1122" s="69"/>
      <c r="AX1122" s="69"/>
      <c r="AY1122" s="69"/>
      <c r="AZ1122" s="69"/>
      <c r="BA1122" s="69"/>
      <c r="BB1122" s="69"/>
      <c r="BC1122" s="69"/>
      <c r="BD1122" s="69"/>
      <c r="BE1122" s="69"/>
      <c r="BF1122" s="69"/>
      <c r="BG1122" s="69"/>
      <c r="BH1122" s="69"/>
      <c r="BI1122" s="69"/>
      <c r="BJ1122" s="69"/>
      <c r="BK1122" s="69"/>
      <c r="BL1122" s="69"/>
      <c r="BM1122" s="69"/>
      <c r="BN1122" s="69"/>
      <c r="BO1122" s="69"/>
      <c r="BP1122" s="69"/>
      <c r="BQ1122" s="69"/>
      <c r="BR1122" s="69"/>
      <c r="BS1122" s="69"/>
      <c r="BT1122" s="69"/>
      <c r="BU1122" s="69"/>
      <c r="BV1122" s="69"/>
      <c r="BW1122" s="69"/>
      <c r="BX1122" s="69"/>
      <c r="BY1122" s="69"/>
      <c r="BZ1122" s="69"/>
      <c r="CA1122" s="69"/>
      <c r="CB1122" s="69"/>
      <c r="CC1122" s="69"/>
      <c r="CD1122" s="69"/>
      <c r="CE1122" s="94">
        <f t="shared" si="96"/>
        <v>8207.5</v>
      </c>
      <c r="CF1122" s="151">
        <f t="shared" si="93"/>
        <v>0</v>
      </c>
      <c r="CG1122" s="75">
        <f t="shared" si="97"/>
        <v>4967</v>
      </c>
      <c r="CH1122" s="69" t="str">
        <f t="shared" si="97"/>
        <v>برنامج دولى</v>
      </c>
    </row>
    <row r="1123" spans="1:86" x14ac:dyDescent="0.25">
      <c r="A1123" s="148"/>
      <c r="B1123" s="82">
        <v>8916</v>
      </c>
      <c r="C1123" s="149">
        <v>4968</v>
      </c>
      <c r="D1123" s="69" t="s">
        <v>78</v>
      </c>
      <c r="E1123" s="69" t="s">
        <v>3449</v>
      </c>
      <c r="F1123" s="63"/>
      <c r="G1123" s="69">
        <v>938</v>
      </c>
      <c r="H1123" s="69"/>
      <c r="I1123" s="69"/>
      <c r="J1123" s="69"/>
      <c r="K1123" s="69"/>
      <c r="L1123" s="69"/>
      <c r="M1123" s="69"/>
      <c r="N1123" s="69"/>
      <c r="O1123" s="69"/>
      <c r="P1123" s="69"/>
      <c r="Q1123" s="69"/>
      <c r="R1123" s="69"/>
      <c r="S1123" s="69"/>
      <c r="T1123" s="69"/>
      <c r="U1123" s="69"/>
      <c r="V1123" s="69"/>
      <c r="W1123" s="69"/>
      <c r="X1123" s="69"/>
      <c r="Y1123" s="69"/>
      <c r="Z1123" s="69"/>
      <c r="AA1123" s="69"/>
      <c r="AB1123" s="69"/>
      <c r="AC1123" s="69"/>
      <c r="AD1123" s="69"/>
      <c r="AE1123" s="69"/>
      <c r="AF1123" s="69"/>
      <c r="AG1123" s="69"/>
      <c r="AH1123" s="69"/>
      <c r="AI1123" s="69"/>
      <c r="AJ1123" s="69"/>
      <c r="AK1123" s="69"/>
      <c r="AL1123" s="69"/>
      <c r="AM1123" s="69"/>
      <c r="AN1123" s="69"/>
      <c r="AO1123" s="69"/>
      <c r="AP1123" s="69"/>
      <c r="AQ1123" s="69"/>
      <c r="AR1123" s="94">
        <f t="shared" si="77"/>
        <v>938</v>
      </c>
      <c r="AS1123" s="69">
        <v>628</v>
      </c>
      <c r="AT1123" s="69">
        <v>84</v>
      </c>
      <c r="AU1123" s="69">
        <v>226</v>
      </c>
      <c r="AV1123" s="69"/>
      <c r="AW1123" s="69"/>
      <c r="AX1123" s="69"/>
      <c r="AY1123" s="69"/>
      <c r="AZ1123" s="69"/>
      <c r="BA1123" s="69"/>
      <c r="BB1123" s="69"/>
      <c r="BC1123" s="69"/>
      <c r="BD1123" s="69"/>
      <c r="BE1123" s="69"/>
      <c r="BF1123" s="69"/>
      <c r="BG1123" s="69"/>
      <c r="BH1123" s="69"/>
      <c r="BI1123" s="69"/>
      <c r="BJ1123" s="69"/>
      <c r="BK1123" s="69"/>
      <c r="BL1123" s="69"/>
      <c r="BM1123" s="69"/>
      <c r="BN1123" s="69"/>
      <c r="BO1123" s="69"/>
      <c r="BP1123" s="69"/>
      <c r="BQ1123" s="69"/>
      <c r="BR1123" s="69"/>
      <c r="BS1123" s="69"/>
      <c r="BT1123" s="69"/>
      <c r="BU1123" s="69"/>
      <c r="BV1123" s="69"/>
      <c r="BW1123" s="69"/>
      <c r="BX1123" s="69"/>
      <c r="BY1123" s="69"/>
      <c r="BZ1123" s="69"/>
      <c r="CA1123" s="69"/>
      <c r="CB1123" s="69"/>
      <c r="CC1123" s="69"/>
      <c r="CD1123" s="69"/>
      <c r="CE1123" s="94">
        <f t="shared" si="96"/>
        <v>938</v>
      </c>
      <c r="CF1123" s="151">
        <f t="shared" si="93"/>
        <v>0</v>
      </c>
      <c r="CG1123" s="75">
        <f t="shared" si="97"/>
        <v>4968</v>
      </c>
      <c r="CH1123" s="69" t="str">
        <f t="shared" si="97"/>
        <v>برنامج دولى</v>
      </c>
    </row>
    <row r="1124" spans="1:86" x14ac:dyDescent="0.25">
      <c r="A1124" s="148"/>
      <c r="B1124" s="82">
        <v>8917</v>
      </c>
      <c r="C1124" s="149">
        <v>4969</v>
      </c>
      <c r="D1124" s="69" t="s">
        <v>78</v>
      </c>
      <c r="E1124" s="69" t="s">
        <v>3450</v>
      </c>
      <c r="F1124" s="63"/>
      <c r="G1124" s="69">
        <v>20000</v>
      </c>
      <c r="H1124" s="69"/>
      <c r="I1124" s="69"/>
      <c r="J1124" s="69"/>
      <c r="K1124" s="69"/>
      <c r="L1124" s="69"/>
      <c r="M1124" s="69"/>
      <c r="N1124" s="69"/>
      <c r="O1124" s="69"/>
      <c r="P1124" s="69"/>
      <c r="Q1124" s="69"/>
      <c r="R1124" s="69"/>
      <c r="S1124" s="69"/>
      <c r="T1124" s="69"/>
      <c r="U1124" s="69"/>
      <c r="V1124" s="69"/>
      <c r="W1124" s="69"/>
      <c r="X1124" s="69"/>
      <c r="Y1124" s="69"/>
      <c r="Z1124" s="69"/>
      <c r="AA1124" s="69"/>
      <c r="AB1124" s="69"/>
      <c r="AC1124" s="69"/>
      <c r="AD1124" s="69"/>
      <c r="AE1124" s="69"/>
      <c r="AF1124" s="69"/>
      <c r="AG1124" s="69"/>
      <c r="AH1124" s="69"/>
      <c r="AI1124" s="69"/>
      <c r="AJ1124" s="69"/>
      <c r="AK1124" s="69"/>
      <c r="AL1124" s="69"/>
      <c r="AM1124" s="69"/>
      <c r="AN1124" s="69"/>
      <c r="AO1124" s="69"/>
      <c r="AP1124" s="69"/>
      <c r="AQ1124" s="69"/>
      <c r="AR1124" s="94">
        <f t="shared" si="77"/>
        <v>20000</v>
      </c>
      <c r="AS1124" s="69">
        <v>17840.8</v>
      </c>
      <c r="AT1124" s="69">
        <v>2159.1999999999998</v>
      </c>
      <c r="AU1124" s="69"/>
      <c r="AV1124" s="69"/>
      <c r="AW1124" s="69"/>
      <c r="AX1124" s="69"/>
      <c r="AY1124" s="69"/>
      <c r="AZ1124" s="69"/>
      <c r="BA1124" s="69"/>
      <c r="BB1124" s="69"/>
      <c r="BC1124" s="69"/>
      <c r="BD1124" s="69"/>
      <c r="BE1124" s="69"/>
      <c r="BF1124" s="69"/>
      <c r="BG1124" s="69"/>
      <c r="BH1124" s="69"/>
      <c r="BI1124" s="69"/>
      <c r="BJ1124" s="69"/>
      <c r="BK1124" s="69"/>
      <c r="BL1124" s="69"/>
      <c r="BM1124" s="69"/>
      <c r="BN1124" s="69"/>
      <c r="BO1124" s="69"/>
      <c r="BP1124" s="69"/>
      <c r="BQ1124" s="69"/>
      <c r="BR1124" s="69"/>
      <c r="BS1124" s="69"/>
      <c r="BT1124" s="69"/>
      <c r="BU1124" s="69"/>
      <c r="BV1124" s="69"/>
      <c r="BW1124" s="69"/>
      <c r="BX1124" s="69"/>
      <c r="BY1124" s="69"/>
      <c r="BZ1124" s="69"/>
      <c r="CA1124" s="69"/>
      <c r="CB1124" s="69"/>
      <c r="CC1124" s="69"/>
      <c r="CD1124" s="69"/>
      <c r="CE1124" s="94">
        <f t="shared" si="96"/>
        <v>20000</v>
      </c>
      <c r="CF1124" s="151">
        <f t="shared" si="93"/>
        <v>0</v>
      </c>
      <c r="CG1124" s="75">
        <f t="shared" si="97"/>
        <v>4969</v>
      </c>
      <c r="CH1124" s="69" t="str">
        <f t="shared" si="97"/>
        <v>برنامج دولى</v>
      </c>
    </row>
    <row r="1125" spans="1:86" x14ac:dyDescent="0.25">
      <c r="A1125" s="148"/>
      <c r="B1125" s="82">
        <v>8918</v>
      </c>
      <c r="C1125" s="149">
        <v>4970</v>
      </c>
      <c r="D1125" s="69" t="s">
        <v>78</v>
      </c>
      <c r="E1125" s="69" t="s">
        <v>3450</v>
      </c>
      <c r="F1125" s="63"/>
      <c r="G1125" s="69">
        <v>1586.25</v>
      </c>
      <c r="H1125" s="69"/>
      <c r="I1125" s="69"/>
      <c r="J1125" s="69"/>
      <c r="K1125" s="69"/>
      <c r="L1125" s="69"/>
      <c r="M1125" s="69"/>
      <c r="N1125" s="69"/>
      <c r="O1125" s="69"/>
      <c r="P1125" s="69"/>
      <c r="Q1125" s="69"/>
      <c r="R1125" s="69"/>
      <c r="S1125" s="69"/>
      <c r="T1125" s="69"/>
      <c r="U1125" s="69"/>
      <c r="V1125" s="69"/>
      <c r="W1125" s="69"/>
      <c r="X1125" s="69"/>
      <c r="Y1125" s="69"/>
      <c r="Z1125" s="69"/>
      <c r="AA1125" s="69"/>
      <c r="AB1125" s="69"/>
      <c r="AC1125" s="69"/>
      <c r="AD1125" s="69"/>
      <c r="AE1125" s="69"/>
      <c r="AF1125" s="69"/>
      <c r="AG1125" s="69"/>
      <c r="AH1125" s="69"/>
      <c r="AI1125" s="69"/>
      <c r="AJ1125" s="69"/>
      <c r="AK1125" s="69"/>
      <c r="AL1125" s="69"/>
      <c r="AM1125" s="69"/>
      <c r="AN1125" s="69"/>
      <c r="AO1125" s="69"/>
      <c r="AP1125" s="69"/>
      <c r="AQ1125" s="69"/>
      <c r="AR1125" s="94">
        <f t="shared" si="77"/>
        <v>1586.25</v>
      </c>
      <c r="AS1125" s="69">
        <v>1285.75</v>
      </c>
      <c r="AT1125" s="69">
        <v>159.25</v>
      </c>
      <c r="AU1125" s="69">
        <v>141.25</v>
      </c>
      <c r="AV1125" s="69"/>
      <c r="AW1125" s="69"/>
      <c r="AX1125" s="69"/>
      <c r="AY1125" s="69"/>
      <c r="AZ1125" s="69"/>
      <c r="BA1125" s="69"/>
      <c r="BB1125" s="69"/>
      <c r="BC1125" s="69"/>
      <c r="BD1125" s="69"/>
      <c r="BE1125" s="69"/>
      <c r="BF1125" s="69"/>
      <c r="BG1125" s="69"/>
      <c r="BH1125" s="69"/>
      <c r="BI1125" s="69"/>
      <c r="BJ1125" s="69"/>
      <c r="BK1125" s="69"/>
      <c r="BL1125" s="69"/>
      <c r="BM1125" s="69"/>
      <c r="BN1125" s="69"/>
      <c r="BO1125" s="69"/>
      <c r="BP1125" s="69"/>
      <c r="BQ1125" s="69"/>
      <c r="BR1125" s="69"/>
      <c r="BS1125" s="69"/>
      <c r="BT1125" s="69"/>
      <c r="BU1125" s="69"/>
      <c r="BV1125" s="69"/>
      <c r="BW1125" s="69"/>
      <c r="BX1125" s="69"/>
      <c r="BY1125" s="69"/>
      <c r="BZ1125" s="69"/>
      <c r="CA1125" s="69"/>
      <c r="CB1125" s="69"/>
      <c r="CC1125" s="69"/>
      <c r="CD1125" s="69"/>
      <c r="CE1125" s="94">
        <f t="shared" si="96"/>
        <v>1586.25</v>
      </c>
      <c r="CF1125" s="151">
        <f t="shared" si="93"/>
        <v>0</v>
      </c>
      <c r="CG1125" s="75">
        <f t="shared" si="97"/>
        <v>4970</v>
      </c>
      <c r="CH1125" s="69" t="str">
        <f t="shared" si="97"/>
        <v>برنامج دولى</v>
      </c>
    </row>
    <row r="1126" spans="1:86" x14ac:dyDescent="0.25">
      <c r="A1126" s="148"/>
      <c r="B1126" s="82">
        <v>8919</v>
      </c>
      <c r="C1126" s="149">
        <v>4971</v>
      </c>
      <c r="D1126" s="69" t="s">
        <v>78</v>
      </c>
      <c r="E1126" s="69" t="s">
        <v>3450</v>
      </c>
      <c r="F1126" s="63"/>
      <c r="G1126" s="69">
        <v>879.38</v>
      </c>
      <c r="H1126" s="69"/>
      <c r="I1126" s="69"/>
      <c r="J1126" s="69"/>
      <c r="K1126" s="69"/>
      <c r="L1126" s="69"/>
      <c r="M1126" s="69"/>
      <c r="N1126" s="69"/>
      <c r="O1126" s="69"/>
      <c r="P1126" s="69"/>
      <c r="Q1126" s="69"/>
      <c r="R1126" s="69"/>
      <c r="S1126" s="69"/>
      <c r="T1126" s="69"/>
      <c r="U1126" s="69"/>
      <c r="V1126" s="69"/>
      <c r="W1126" s="69"/>
      <c r="X1126" s="69"/>
      <c r="Y1126" s="69"/>
      <c r="Z1126" s="69"/>
      <c r="AA1126" s="69"/>
      <c r="AB1126" s="69"/>
      <c r="AC1126" s="69"/>
      <c r="AD1126" s="69"/>
      <c r="AE1126" s="69"/>
      <c r="AF1126" s="69"/>
      <c r="AG1126" s="69"/>
      <c r="AH1126" s="69"/>
      <c r="AI1126" s="69"/>
      <c r="AJ1126" s="69"/>
      <c r="AK1126" s="69"/>
      <c r="AL1126" s="69"/>
      <c r="AM1126" s="69"/>
      <c r="AN1126" s="69"/>
      <c r="AO1126" s="69"/>
      <c r="AP1126" s="69"/>
      <c r="AQ1126" s="69"/>
      <c r="AR1126" s="94">
        <f t="shared" si="77"/>
        <v>879.38</v>
      </c>
      <c r="AS1126" s="69">
        <v>588.15</v>
      </c>
      <c r="AT1126" s="69">
        <v>79.349999999999994</v>
      </c>
      <c r="AU1126" s="69">
        <v>211.88</v>
      </c>
      <c r="AV1126" s="69"/>
      <c r="AW1126" s="69"/>
      <c r="AX1126" s="69"/>
      <c r="AY1126" s="69"/>
      <c r="AZ1126" s="69"/>
      <c r="BA1126" s="69"/>
      <c r="BB1126" s="69"/>
      <c r="BC1126" s="69"/>
      <c r="BD1126" s="69"/>
      <c r="BE1126" s="69"/>
      <c r="BF1126" s="69"/>
      <c r="BG1126" s="69"/>
      <c r="BH1126" s="69"/>
      <c r="BI1126" s="69"/>
      <c r="BJ1126" s="69"/>
      <c r="BK1126" s="69"/>
      <c r="BL1126" s="69"/>
      <c r="BM1126" s="69"/>
      <c r="BN1126" s="69"/>
      <c r="BO1126" s="69"/>
      <c r="BP1126" s="69"/>
      <c r="BQ1126" s="69"/>
      <c r="BR1126" s="69"/>
      <c r="BS1126" s="69"/>
      <c r="BT1126" s="69"/>
      <c r="BU1126" s="69"/>
      <c r="BV1126" s="69"/>
      <c r="BW1126" s="69"/>
      <c r="BX1126" s="69"/>
      <c r="BY1126" s="69"/>
      <c r="BZ1126" s="69"/>
      <c r="CA1126" s="69"/>
      <c r="CB1126" s="69"/>
      <c r="CC1126" s="69"/>
      <c r="CD1126" s="69"/>
      <c r="CE1126" s="94">
        <f t="shared" si="96"/>
        <v>879.38</v>
      </c>
      <c r="CF1126" s="151">
        <f t="shared" si="93"/>
        <v>0</v>
      </c>
      <c r="CG1126" s="75">
        <f t="shared" si="97"/>
        <v>4971</v>
      </c>
      <c r="CH1126" s="69" t="str">
        <f t="shared" si="97"/>
        <v>برنامج دولى</v>
      </c>
    </row>
    <row r="1127" spans="1:86" x14ac:dyDescent="0.25">
      <c r="A1127" s="148"/>
      <c r="B1127" s="82">
        <v>8920</v>
      </c>
      <c r="C1127" s="149">
        <v>4972</v>
      </c>
      <c r="D1127" s="69" t="s">
        <v>78</v>
      </c>
      <c r="E1127" s="69" t="s">
        <v>3450</v>
      </c>
      <c r="F1127" s="63"/>
      <c r="G1127" s="69">
        <v>879.38</v>
      </c>
      <c r="H1127" s="69"/>
      <c r="I1127" s="69"/>
      <c r="J1127" s="69"/>
      <c r="K1127" s="69"/>
      <c r="L1127" s="69"/>
      <c r="M1127" s="69"/>
      <c r="N1127" s="69"/>
      <c r="O1127" s="69"/>
      <c r="P1127" s="69"/>
      <c r="Q1127" s="69"/>
      <c r="R1127" s="69"/>
      <c r="S1127" s="69"/>
      <c r="T1127" s="69"/>
      <c r="U1127" s="69"/>
      <c r="V1127" s="69"/>
      <c r="W1127" s="69"/>
      <c r="X1127" s="69"/>
      <c r="Y1127" s="69"/>
      <c r="Z1127" s="69"/>
      <c r="AA1127" s="69"/>
      <c r="AB1127" s="69"/>
      <c r="AC1127" s="69"/>
      <c r="AD1127" s="69"/>
      <c r="AE1127" s="69"/>
      <c r="AF1127" s="69"/>
      <c r="AG1127" s="69"/>
      <c r="AH1127" s="69"/>
      <c r="AI1127" s="69"/>
      <c r="AJ1127" s="69"/>
      <c r="AK1127" s="69"/>
      <c r="AL1127" s="69"/>
      <c r="AM1127" s="69"/>
      <c r="AN1127" s="69"/>
      <c r="AO1127" s="69"/>
      <c r="AP1127" s="69"/>
      <c r="AQ1127" s="69"/>
      <c r="AR1127" s="94">
        <f t="shared" si="77"/>
        <v>879.38</v>
      </c>
      <c r="AS1127" s="69">
        <v>588.15</v>
      </c>
      <c r="AT1127" s="69">
        <v>79.349999999999994</v>
      </c>
      <c r="AU1127" s="69">
        <v>211.88</v>
      </c>
      <c r="AV1127" s="69"/>
      <c r="AW1127" s="69"/>
      <c r="AX1127" s="69"/>
      <c r="AY1127" s="69"/>
      <c r="AZ1127" s="69"/>
      <c r="BA1127" s="69"/>
      <c r="BB1127" s="69"/>
      <c r="BC1127" s="69"/>
      <c r="BD1127" s="69"/>
      <c r="BE1127" s="69"/>
      <c r="BF1127" s="69"/>
      <c r="BG1127" s="69"/>
      <c r="BH1127" s="69"/>
      <c r="BI1127" s="69"/>
      <c r="BJ1127" s="69"/>
      <c r="BK1127" s="69"/>
      <c r="BL1127" s="69"/>
      <c r="BM1127" s="69"/>
      <c r="BN1127" s="69"/>
      <c r="BO1127" s="69"/>
      <c r="BP1127" s="69"/>
      <c r="BQ1127" s="69"/>
      <c r="BR1127" s="69"/>
      <c r="BS1127" s="69"/>
      <c r="BT1127" s="69"/>
      <c r="BU1127" s="69"/>
      <c r="BV1127" s="69"/>
      <c r="BW1127" s="69"/>
      <c r="BX1127" s="69"/>
      <c r="BY1127" s="69"/>
      <c r="BZ1127" s="69"/>
      <c r="CA1127" s="69"/>
      <c r="CB1127" s="69"/>
      <c r="CC1127" s="69"/>
      <c r="CD1127" s="69"/>
      <c r="CE1127" s="94">
        <f t="shared" si="96"/>
        <v>879.38</v>
      </c>
      <c r="CF1127" s="151">
        <f t="shared" si="93"/>
        <v>0</v>
      </c>
      <c r="CG1127" s="75">
        <f t="shared" si="97"/>
        <v>4972</v>
      </c>
      <c r="CH1127" s="69" t="str">
        <f t="shared" si="97"/>
        <v>برنامج دولى</v>
      </c>
    </row>
    <row r="1128" spans="1:86" x14ac:dyDescent="0.25">
      <c r="A1128" s="148"/>
      <c r="B1128" s="82">
        <v>8921</v>
      </c>
      <c r="C1128" s="149">
        <v>4973</v>
      </c>
      <c r="D1128" s="69" t="s">
        <v>78</v>
      </c>
      <c r="E1128" s="69" t="s">
        <v>3450</v>
      </c>
      <c r="F1128" s="63"/>
      <c r="G1128" s="69">
        <v>2465.63</v>
      </c>
      <c r="H1128" s="69"/>
      <c r="I1128" s="69"/>
      <c r="J1128" s="69"/>
      <c r="K1128" s="69"/>
      <c r="L1128" s="69"/>
      <c r="M1128" s="69"/>
      <c r="N1128" s="69"/>
      <c r="O1128" s="69"/>
      <c r="P1128" s="69"/>
      <c r="Q1128" s="69"/>
      <c r="R1128" s="69"/>
      <c r="S1128" s="69"/>
      <c r="T1128" s="69"/>
      <c r="U1128" s="69"/>
      <c r="V1128" s="69"/>
      <c r="W1128" s="69"/>
      <c r="X1128" s="69"/>
      <c r="Y1128" s="69"/>
      <c r="Z1128" s="69"/>
      <c r="AA1128" s="69"/>
      <c r="AB1128" s="69"/>
      <c r="AC1128" s="69"/>
      <c r="AD1128" s="69"/>
      <c r="AE1128" s="69"/>
      <c r="AF1128" s="69"/>
      <c r="AG1128" s="69"/>
      <c r="AH1128" s="69"/>
      <c r="AI1128" s="69"/>
      <c r="AJ1128" s="69"/>
      <c r="AK1128" s="69"/>
      <c r="AL1128" s="69"/>
      <c r="AM1128" s="69"/>
      <c r="AN1128" s="69"/>
      <c r="AO1128" s="69"/>
      <c r="AP1128" s="69"/>
      <c r="AQ1128" s="69"/>
      <c r="AR1128" s="94">
        <f t="shared" si="77"/>
        <v>2465.63</v>
      </c>
      <c r="AS1128" s="69">
        <v>1874.65</v>
      </c>
      <c r="AT1128" s="69">
        <v>237.85</v>
      </c>
      <c r="AU1128" s="69">
        <v>353.13</v>
      </c>
      <c r="AV1128" s="69"/>
      <c r="AW1128" s="69"/>
      <c r="AX1128" s="69"/>
      <c r="AY1128" s="69"/>
      <c r="AZ1128" s="69"/>
      <c r="BA1128" s="69"/>
      <c r="BB1128" s="69"/>
      <c r="BC1128" s="69"/>
      <c r="BD1128" s="69"/>
      <c r="BE1128" s="69"/>
      <c r="BF1128" s="69"/>
      <c r="BG1128" s="69"/>
      <c r="BH1128" s="69"/>
      <c r="BI1128" s="69"/>
      <c r="BJ1128" s="69"/>
      <c r="BK1128" s="69"/>
      <c r="BL1128" s="69"/>
      <c r="BM1128" s="69"/>
      <c r="BN1128" s="69"/>
      <c r="BO1128" s="69"/>
      <c r="BP1128" s="69"/>
      <c r="BQ1128" s="69"/>
      <c r="BR1128" s="69"/>
      <c r="BS1128" s="69"/>
      <c r="BT1128" s="69"/>
      <c r="BU1128" s="69"/>
      <c r="BV1128" s="69"/>
      <c r="BW1128" s="69"/>
      <c r="BX1128" s="69"/>
      <c r="BY1128" s="69"/>
      <c r="BZ1128" s="69"/>
      <c r="CA1128" s="69"/>
      <c r="CB1128" s="69"/>
      <c r="CC1128" s="69"/>
      <c r="CD1128" s="69"/>
      <c r="CE1128" s="94">
        <f t="shared" si="96"/>
        <v>2465.63</v>
      </c>
      <c r="CF1128" s="151">
        <f t="shared" si="93"/>
        <v>0</v>
      </c>
      <c r="CG1128" s="75">
        <f t="shared" si="97"/>
        <v>4973</v>
      </c>
      <c r="CH1128" s="69" t="str">
        <f t="shared" si="97"/>
        <v>برنامج دولى</v>
      </c>
    </row>
    <row r="1129" spans="1:86" x14ac:dyDescent="0.25">
      <c r="A1129" s="148"/>
      <c r="B1129" s="82">
        <v>8922</v>
      </c>
      <c r="C1129" s="149">
        <v>4974</v>
      </c>
      <c r="D1129" s="69" t="s">
        <v>78</v>
      </c>
      <c r="E1129" s="69" t="s">
        <v>3450</v>
      </c>
      <c r="F1129" s="63"/>
      <c r="G1129" s="69">
        <v>5799.88</v>
      </c>
      <c r="H1129" s="69"/>
      <c r="I1129" s="69"/>
      <c r="J1129" s="69"/>
      <c r="K1129" s="69"/>
      <c r="L1129" s="69"/>
      <c r="M1129" s="69"/>
      <c r="N1129" s="69"/>
      <c r="O1129" s="69"/>
      <c r="P1129" s="69"/>
      <c r="Q1129" s="69"/>
      <c r="R1129" s="69"/>
      <c r="S1129" s="69"/>
      <c r="T1129" s="69"/>
      <c r="U1129" s="69"/>
      <c r="V1129" s="69"/>
      <c r="W1129" s="69"/>
      <c r="X1129" s="69"/>
      <c r="Y1129" s="69"/>
      <c r="Z1129" s="69"/>
      <c r="AA1129" s="69"/>
      <c r="AB1129" s="69"/>
      <c r="AC1129" s="69"/>
      <c r="AD1129" s="69"/>
      <c r="AE1129" s="69"/>
      <c r="AF1129" s="69"/>
      <c r="AG1129" s="69"/>
      <c r="AH1129" s="69"/>
      <c r="AI1129" s="69"/>
      <c r="AJ1129" s="69"/>
      <c r="AK1129" s="69"/>
      <c r="AL1129" s="69"/>
      <c r="AM1129" s="69"/>
      <c r="AN1129" s="69"/>
      <c r="AO1129" s="69"/>
      <c r="AP1129" s="69"/>
      <c r="AQ1129" s="69"/>
      <c r="AR1129" s="94">
        <f t="shared" si="77"/>
        <v>5799.88</v>
      </c>
      <c r="AS1129" s="69">
        <v>4716.68</v>
      </c>
      <c r="AT1129" s="69">
        <v>592.1</v>
      </c>
      <c r="AU1129" s="69">
        <v>491.1</v>
      </c>
      <c r="AV1129" s="69"/>
      <c r="AW1129" s="69"/>
      <c r="AX1129" s="69"/>
      <c r="AY1129" s="69"/>
      <c r="AZ1129" s="69"/>
      <c r="BA1129" s="69"/>
      <c r="BB1129" s="69"/>
      <c r="BC1129" s="69"/>
      <c r="BD1129" s="69"/>
      <c r="BE1129" s="69"/>
      <c r="BF1129" s="69"/>
      <c r="BG1129" s="69"/>
      <c r="BH1129" s="69"/>
      <c r="BI1129" s="69"/>
      <c r="BJ1129" s="69"/>
      <c r="BK1129" s="69"/>
      <c r="BL1129" s="69"/>
      <c r="BM1129" s="69"/>
      <c r="BN1129" s="69"/>
      <c r="BO1129" s="69"/>
      <c r="BP1129" s="69"/>
      <c r="BQ1129" s="69"/>
      <c r="BR1129" s="69"/>
      <c r="BS1129" s="69"/>
      <c r="BT1129" s="69"/>
      <c r="BU1129" s="69"/>
      <c r="BV1129" s="69"/>
      <c r="BW1129" s="69"/>
      <c r="BX1129" s="69"/>
      <c r="BY1129" s="69"/>
      <c r="BZ1129" s="69"/>
      <c r="CA1129" s="69"/>
      <c r="CB1129" s="69"/>
      <c r="CC1129" s="69"/>
      <c r="CD1129" s="69"/>
      <c r="CE1129" s="94">
        <f t="shared" si="96"/>
        <v>5799.880000000001</v>
      </c>
      <c r="CF1129" s="151">
        <f t="shared" si="93"/>
        <v>0</v>
      </c>
      <c r="CG1129" s="75">
        <f t="shared" si="97"/>
        <v>4974</v>
      </c>
      <c r="CH1129" s="69" t="str">
        <f t="shared" si="97"/>
        <v>برنامج دولى</v>
      </c>
    </row>
    <row r="1130" spans="1:86" x14ac:dyDescent="0.25">
      <c r="A1130" s="148"/>
      <c r="B1130" s="82">
        <v>8923</v>
      </c>
      <c r="C1130" s="149">
        <v>4975</v>
      </c>
      <c r="D1130" s="69" t="s">
        <v>78</v>
      </c>
      <c r="E1130" s="69" t="s">
        <v>3450</v>
      </c>
      <c r="F1130" s="63"/>
      <c r="G1130" s="69">
        <v>15621.25</v>
      </c>
      <c r="H1130" s="69"/>
      <c r="I1130" s="69"/>
      <c r="J1130" s="69"/>
      <c r="K1130" s="69"/>
      <c r="L1130" s="69"/>
      <c r="M1130" s="69"/>
      <c r="N1130" s="69"/>
      <c r="O1130" s="69"/>
      <c r="P1130" s="69"/>
      <c r="Q1130" s="69"/>
      <c r="R1130" s="69"/>
      <c r="S1130" s="69"/>
      <c r="T1130" s="69"/>
      <c r="U1130" s="69"/>
      <c r="V1130" s="69"/>
      <c r="W1130" s="69"/>
      <c r="X1130" s="69"/>
      <c r="Y1130" s="69"/>
      <c r="Z1130" s="69"/>
      <c r="AA1130" s="69"/>
      <c r="AB1130" s="69"/>
      <c r="AC1130" s="69"/>
      <c r="AD1130" s="69"/>
      <c r="AE1130" s="69"/>
      <c r="AF1130" s="69"/>
      <c r="AG1130" s="69"/>
      <c r="AH1130" s="69"/>
      <c r="AI1130" s="69"/>
      <c r="AJ1130" s="69"/>
      <c r="AK1130" s="69"/>
      <c r="AL1130" s="69"/>
      <c r="AM1130" s="69"/>
      <c r="AN1130" s="69"/>
      <c r="AO1130" s="69"/>
      <c r="AP1130" s="69"/>
      <c r="AQ1130" s="69"/>
      <c r="AR1130" s="94">
        <f t="shared" si="77"/>
        <v>15621.25</v>
      </c>
      <c r="AS1130" s="69">
        <v>12229.8</v>
      </c>
      <c r="AT1130" s="69">
        <f>105.2+1450</f>
        <v>1555.2</v>
      </c>
      <c r="AU1130" s="69">
        <v>1836.25</v>
      </c>
      <c r="AV1130" s="69"/>
      <c r="AW1130" s="69"/>
      <c r="AX1130" s="69"/>
      <c r="AY1130" s="69"/>
      <c r="AZ1130" s="69"/>
      <c r="BA1130" s="69"/>
      <c r="BB1130" s="69"/>
      <c r="BC1130" s="69"/>
      <c r="BD1130" s="69"/>
      <c r="BE1130" s="69"/>
      <c r="BF1130" s="69"/>
      <c r="BG1130" s="69"/>
      <c r="BH1130" s="69"/>
      <c r="BI1130" s="69"/>
      <c r="BJ1130" s="69"/>
      <c r="BK1130" s="69"/>
      <c r="BL1130" s="69"/>
      <c r="BM1130" s="69"/>
      <c r="BN1130" s="69"/>
      <c r="BO1130" s="69"/>
      <c r="BP1130" s="69"/>
      <c r="BQ1130" s="69"/>
      <c r="BR1130" s="69"/>
      <c r="BS1130" s="69"/>
      <c r="BT1130" s="69"/>
      <c r="BU1130" s="69"/>
      <c r="BV1130" s="69"/>
      <c r="BW1130" s="69"/>
      <c r="BX1130" s="69"/>
      <c r="BY1130" s="69"/>
      <c r="BZ1130" s="69"/>
      <c r="CA1130" s="69"/>
      <c r="CB1130" s="69"/>
      <c r="CC1130" s="69"/>
      <c r="CD1130" s="69"/>
      <c r="CE1130" s="94">
        <f t="shared" si="96"/>
        <v>15621.25</v>
      </c>
      <c r="CF1130" s="151">
        <f t="shared" si="93"/>
        <v>0</v>
      </c>
      <c r="CG1130" s="75">
        <f t="shared" si="97"/>
        <v>4975</v>
      </c>
      <c r="CH1130" s="69" t="str">
        <f t="shared" si="97"/>
        <v>برنامج دولى</v>
      </c>
    </row>
    <row r="1131" spans="1:86" x14ac:dyDescent="0.25">
      <c r="A1131" s="148"/>
      <c r="B1131" s="82">
        <v>8924</v>
      </c>
      <c r="C1131" s="149">
        <v>4976</v>
      </c>
      <c r="D1131" s="69" t="s">
        <v>78</v>
      </c>
      <c r="E1131" s="69" t="s">
        <v>3450</v>
      </c>
      <c r="F1131" s="63"/>
      <c r="G1131" s="69">
        <v>2931.25</v>
      </c>
      <c r="H1131" s="69"/>
      <c r="I1131" s="69"/>
      <c r="J1131" s="69"/>
      <c r="K1131" s="69"/>
      <c r="L1131" s="69"/>
      <c r="M1131" s="69"/>
      <c r="N1131" s="69"/>
      <c r="O1131" s="69"/>
      <c r="P1131" s="69"/>
      <c r="Q1131" s="69"/>
      <c r="R1131" s="69"/>
      <c r="S1131" s="69"/>
      <c r="T1131" s="69"/>
      <c r="U1131" s="69"/>
      <c r="V1131" s="69"/>
      <c r="W1131" s="69"/>
      <c r="X1131" s="69"/>
      <c r="Y1131" s="69"/>
      <c r="Z1131" s="69"/>
      <c r="AA1131" s="69"/>
      <c r="AB1131" s="69"/>
      <c r="AC1131" s="69"/>
      <c r="AD1131" s="69"/>
      <c r="AE1131" s="69"/>
      <c r="AF1131" s="69"/>
      <c r="AG1131" s="69"/>
      <c r="AH1131" s="69"/>
      <c r="AI1131" s="69"/>
      <c r="AJ1131" s="69"/>
      <c r="AK1131" s="69"/>
      <c r="AL1131" s="69"/>
      <c r="AM1131" s="69"/>
      <c r="AN1131" s="69"/>
      <c r="AO1131" s="69"/>
      <c r="AP1131" s="69"/>
      <c r="AQ1131" s="69"/>
      <c r="AR1131" s="94">
        <f t="shared" si="77"/>
        <v>2931.25</v>
      </c>
      <c r="AS1131" s="69">
        <v>1958.65</v>
      </c>
      <c r="AT1131" s="69">
        <f>16.35+250</f>
        <v>266.35000000000002</v>
      </c>
      <c r="AU1131" s="69">
        <v>706.25</v>
      </c>
      <c r="AV1131" s="69"/>
      <c r="AW1131" s="69"/>
      <c r="AX1131" s="69"/>
      <c r="AY1131" s="69"/>
      <c r="AZ1131" s="69"/>
      <c r="BA1131" s="69"/>
      <c r="BB1131" s="69"/>
      <c r="BC1131" s="69"/>
      <c r="BD1131" s="69"/>
      <c r="BE1131" s="69"/>
      <c r="BF1131" s="69"/>
      <c r="BG1131" s="69"/>
      <c r="BH1131" s="69"/>
      <c r="BI1131" s="69"/>
      <c r="BJ1131" s="69"/>
      <c r="BK1131" s="69"/>
      <c r="BL1131" s="69"/>
      <c r="BM1131" s="69"/>
      <c r="BN1131" s="69"/>
      <c r="BO1131" s="69"/>
      <c r="BP1131" s="69"/>
      <c r="BQ1131" s="69"/>
      <c r="BR1131" s="69"/>
      <c r="BS1131" s="69"/>
      <c r="BT1131" s="69"/>
      <c r="BU1131" s="69"/>
      <c r="BV1131" s="69"/>
      <c r="BW1131" s="69"/>
      <c r="BX1131" s="69"/>
      <c r="BY1131" s="69"/>
      <c r="BZ1131" s="69"/>
      <c r="CA1131" s="69"/>
      <c r="CB1131" s="69"/>
      <c r="CC1131" s="69"/>
      <c r="CD1131" s="69"/>
      <c r="CE1131" s="94">
        <f t="shared" si="96"/>
        <v>2931.25</v>
      </c>
      <c r="CF1131" s="151">
        <f t="shared" si="93"/>
        <v>0</v>
      </c>
      <c r="CG1131" s="75">
        <f t="shared" si="97"/>
        <v>4976</v>
      </c>
      <c r="CH1131" s="69" t="str">
        <f t="shared" si="97"/>
        <v>برنامج دولى</v>
      </c>
    </row>
    <row r="1132" spans="1:86" x14ac:dyDescent="0.25">
      <c r="A1132" s="148"/>
      <c r="B1132" s="82">
        <v>8925</v>
      </c>
      <c r="C1132" s="149">
        <v>4977</v>
      </c>
      <c r="D1132" s="69" t="s">
        <v>78</v>
      </c>
      <c r="E1132" s="69" t="s">
        <v>3175</v>
      </c>
      <c r="F1132" s="63"/>
      <c r="G1132" s="69">
        <v>25242.84</v>
      </c>
      <c r="H1132" s="69"/>
      <c r="I1132" s="69"/>
      <c r="J1132" s="69"/>
      <c r="K1132" s="69"/>
      <c r="L1132" s="69"/>
      <c r="M1132" s="69"/>
      <c r="N1132" s="69"/>
      <c r="O1132" s="69"/>
      <c r="P1132" s="69"/>
      <c r="Q1132" s="69"/>
      <c r="R1132" s="69"/>
      <c r="S1132" s="69"/>
      <c r="T1132" s="69"/>
      <c r="U1132" s="69"/>
      <c r="V1132" s="69"/>
      <c r="W1132" s="69"/>
      <c r="X1132" s="69"/>
      <c r="Y1132" s="69"/>
      <c r="Z1132" s="69"/>
      <c r="AA1132" s="69"/>
      <c r="AB1132" s="69"/>
      <c r="AC1132" s="69"/>
      <c r="AD1132" s="69"/>
      <c r="AE1132" s="69"/>
      <c r="AF1132" s="69"/>
      <c r="AG1132" s="69"/>
      <c r="AH1132" s="69"/>
      <c r="AI1132" s="69"/>
      <c r="AJ1132" s="69"/>
      <c r="AK1132" s="69"/>
      <c r="AL1132" s="69"/>
      <c r="AM1132" s="69"/>
      <c r="AN1132" s="69"/>
      <c r="AO1132" s="69"/>
      <c r="AP1132" s="69"/>
      <c r="AQ1132" s="69"/>
      <c r="AR1132" s="94">
        <f t="shared" si="77"/>
        <v>25242.84</v>
      </c>
      <c r="AS1132" s="69">
        <v>16829.52</v>
      </c>
      <c r="AT1132" s="69">
        <v>2263.35</v>
      </c>
      <c r="AU1132" s="69">
        <v>6149.97</v>
      </c>
      <c r="AV1132" s="69"/>
      <c r="AW1132" s="69"/>
      <c r="AX1132" s="69"/>
      <c r="AY1132" s="69"/>
      <c r="AZ1132" s="69"/>
      <c r="BA1132" s="69"/>
      <c r="BB1132" s="69"/>
      <c r="BC1132" s="69"/>
      <c r="BD1132" s="69"/>
      <c r="BE1132" s="69"/>
      <c r="BF1132" s="69"/>
      <c r="BG1132" s="69"/>
      <c r="BH1132" s="69"/>
      <c r="BI1132" s="69"/>
      <c r="BJ1132" s="69"/>
      <c r="BK1132" s="69"/>
      <c r="BL1132" s="69"/>
      <c r="BM1132" s="69"/>
      <c r="BN1132" s="69"/>
      <c r="BO1132" s="69"/>
      <c r="BP1132" s="69"/>
      <c r="BQ1132" s="69"/>
      <c r="BR1132" s="69"/>
      <c r="BS1132" s="69"/>
      <c r="BT1132" s="69"/>
      <c r="BU1132" s="69"/>
      <c r="BV1132" s="69"/>
      <c r="BW1132" s="69"/>
      <c r="BX1132" s="69"/>
      <c r="BY1132" s="69"/>
      <c r="BZ1132" s="69"/>
      <c r="CA1132" s="69"/>
      <c r="CB1132" s="69"/>
      <c r="CC1132" s="69"/>
      <c r="CD1132" s="69"/>
      <c r="CE1132" s="94">
        <f t="shared" si="96"/>
        <v>25242.84</v>
      </c>
      <c r="CF1132" s="151">
        <f t="shared" si="93"/>
        <v>0</v>
      </c>
      <c r="CG1132" s="75">
        <f t="shared" si="97"/>
        <v>4977</v>
      </c>
      <c r="CH1132" s="69" t="str">
        <f t="shared" si="97"/>
        <v>برنامج دولى</v>
      </c>
    </row>
    <row r="1133" spans="1:86" x14ac:dyDescent="0.25">
      <c r="A1133" s="148"/>
      <c r="B1133" s="82">
        <v>8926</v>
      </c>
      <c r="C1133" s="149">
        <v>4978</v>
      </c>
      <c r="D1133" s="69" t="s">
        <v>78</v>
      </c>
      <c r="E1133" s="69" t="s">
        <v>3175</v>
      </c>
      <c r="F1133" s="63"/>
      <c r="G1133" s="69">
        <v>87.94</v>
      </c>
      <c r="H1133" s="69"/>
      <c r="I1133" s="69"/>
      <c r="J1133" s="69"/>
      <c r="K1133" s="69"/>
      <c r="L1133" s="69"/>
      <c r="M1133" s="69"/>
      <c r="N1133" s="69"/>
      <c r="O1133" s="69"/>
      <c r="P1133" s="69"/>
      <c r="Q1133" s="69"/>
      <c r="R1133" s="69"/>
      <c r="S1133" s="69"/>
      <c r="T1133" s="69"/>
      <c r="U1133" s="69"/>
      <c r="V1133" s="69"/>
      <c r="W1133" s="69"/>
      <c r="X1133" s="69"/>
      <c r="Y1133" s="69"/>
      <c r="Z1133" s="69"/>
      <c r="AA1133" s="69"/>
      <c r="AB1133" s="69"/>
      <c r="AC1133" s="69"/>
      <c r="AD1133" s="69"/>
      <c r="AE1133" s="69"/>
      <c r="AF1133" s="69"/>
      <c r="AG1133" s="69"/>
      <c r="AH1133" s="69"/>
      <c r="AI1133" s="69"/>
      <c r="AJ1133" s="69"/>
      <c r="AK1133" s="69"/>
      <c r="AL1133" s="69"/>
      <c r="AM1133" s="69"/>
      <c r="AN1133" s="69"/>
      <c r="AO1133" s="69"/>
      <c r="AP1133" s="69"/>
      <c r="AQ1133" s="69"/>
      <c r="AR1133" s="94">
        <f t="shared" si="77"/>
        <v>87.94</v>
      </c>
      <c r="AS1133" s="69">
        <v>59.15</v>
      </c>
      <c r="AT1133" s="69">
        <v>7.6</v>
      </c>
      <c r="AU1133" s="69">
        <v>21.19</v>
      </c>
      <c r="AV1133" s="69"/>
      <c r="AW1133" s="69"/>
      <c r="AX1133" s="69"/>
      <c r="AY1133" s="69"/>
      <c r="AZ1133" s="69"/>
      <c r="BA1133" s="69"/>
      <c r="BB1133" s="69"/>
      <c r="BC1133" s="69"/>
      <c r="BD1133" s="69"/>
      <c r="BE1133" s="69"/>
      <c r="BF1133" s="69"/>
      <c r="BG1133" s="69"/>
      <c r="BH1133" s="69"/>
      <c r="BI1133" s="69"/>
      <c r="BJ1133" s="69"/>
      <c r="BK1133" s="69"/>
      <c r="BL1133" s="69"/>
      <c r="BM1133" s="69"/>
      <c r="BN1133" s="69"/>
      <c r="BO1133" s="69"/>
      <c r="BP1133" s="69"/>
      <c r="BQ1133" s="69"/>
      <c r="BR1133" s="69"/>
      <c r="BS1133" s="69"/>
      <c r="BT1133" s="69"/>
      <c r="BU1133" s="69"/>
      <c r="BV1133" s="69"/>
      <c r="BW1133" s="69"/>
      <c r="BX1133" s="69"/>
      <c r="BY1133" s="69"/>
      <c r="BZ1133" s="69"/>
      <c r="CA1133" s="69"/>
      <c r="CB1133" s="69"/>
      <c r="CC1133" s="69"/>
      <c r="CD1133" s="69"/>
      <c r="CE1133" s="94">
        <f t="shared" si="96"/>
        <v>87.94</v>
      </c>
      <c r="CF1133" s="151">
        <f t="shared" si="93"/>
        <v>0</v>
      </c>
      <c r="CG1133" s="75">
        <f t="shared" si="97"/>
        <v>4978</v>
      </c>
      <c r="CH1133" s="69" t="str">
        <f t="shared" si="97"/>
        <v>برنامج دولى</v>
      </c>
    </row>
    <row r="1134" spans="1:86" x14ac:dyDescent="0.25">
      <c r="A1134" s="148"/>
      <c r="B1134" s="82">
        <v>8927</v>
      </c>
      <c r="C1134" s="149">
        <v>4979</v>
      </c>
      <c r="D1134" s="69" t="s">
        <v>78</v>
      </c>
      <c r="E1134" s="69" t="s">
        <v>3175</v>
      </c>
      <c r="F1134" s="63"/>
      <c r="G1134" s="69">
        <v>205.19</v>
      </c>
      <c r="H1134" s="69"/>
      <c r="I1134" s="69"/>
      <c r="J1134" s="69"/>
      <c r="K1134" s="69"/>
      <c r="L1134" s="69"/>
      <c r="M1134" s="69"/>
      <c r="N1134" s="69"/>
      <c r="O1134" s="69"/>
      <c r="P1134" s="69"/>
      <c r="Q1134" s="69"/>
      <c r="R1134" s="69"/>
      <c r="S1134" s="69"/>
      <c r="T1134" s="69"/>
      <c r="U1134" s="69"/>
      <c r="V1134" s="69"/>
      <c r="W1134" s="69"/>
      <c r="X1134" s="69"/>
      <c r="Y1134" s="69"/>
      <c r="Z1134" s="69"/>
      <c r="AA1134" s="69"/>
      <c r="AB1134" s="69"/>
      <c r="AC1134" s="69"/>
      <c r="AD1134" s="69"/>
      <c r="AE1134" s="69"/>
      <c r="AF1134" s="69"/>
      <c r="AG1134" s="69"/>
      <c r="AH1134" s="69"/>
      <c r="AI1134" s="69"/>
      <c r="AJ1134" s="69"/>
      <c r="AK1134" s="69"/>
      <c r="AL1134" s="69"/>
      <c r="AM1134" s="69"/>
      <c r="AN1134" s="69"/>
      <c r="AO1134" s="69"/>
      <c r="AP1134" s="69"/>
      <c r="AQ1134" s="69"/>
      <c r="AR1134" s="94">
        <f t="shared" si="77"/>
        <v>205.19</v>
      </c>
      <c r="AS1134" s="69">
        <v>137.6</v>
      </c>
      <c r="AT1134" s="69">
        <v>18.149999999999999</v>
      </c>
      <c r="AU1134" s="69">
        <v>49.44</v>
      </c>
      <c r="AV1134" s="69"/>
      <c r="AW1134" s="69"/>
      <c r="AX1134" s="69"/>
      <c r="AY1134" s="69"/>
      <c r="AZ1134" s="69"/>
      <c r="BA1134" s="69"/>
      <c r="BB1134" s="69"/>
      <c r="BC1134" s="69"/>
      <c r="BD1134" s="69"/>
      <c r="BE1134" s="69"/>
      <c r="BF1134" s="69"/>
      <c r="BG1134" s="69"/>
      <c r="BH1134" s="69"/>
      <c r="BI1134" s="69"/>
      <c r="BJ1134" s="69"/>
      <c r="BK1134" s="69"/>
      <c r="BL1134" s="69"/>
      <c r="BM1134" s="69"/>
      <c r="BN1134" s="69"/>
      <c r="BO1134" s="69"/>
      <c r="BP1134" s="69"/>
      <c r="BQ1134" s="69"/>
      <c r="BR1134" s="69"/>
      <c r="BS1134" s="69"/>
      <c r="BT1134" s="69"/>
      <c r="BU1134" s="69"/>
      <c r="BV1134" s="69"/>
      <c r="BW1134" s="69"/>
      <c r="BX1134" s="69"/>
      <c r="BY1134" s="69"/>
      <c r="BZ1134" s="69"/>
      <c r="CA1134" s="69"/>
      <c r="CB1134" s="69"/>
      <c r="CC1134" s="69"/>
      <c r="CD1134" s="69"/>
      <c r="CE1134" s="94">
        <f t="shared" si="96"/>
        <v>205.19</v>
      </c>
      <c r="CF1134" s="151">
        <f t="shared" si="93"/>
        <v>0</v>
      </c>
      <c r="CG1134" s="75">
        <f t="shared" si="97"/>
        <v>4979</v>
      </c>
      <c r="CH1134" s="69" t="str">
        <f t="shared" si="97"/>
        <v>برنامج دولى</v>
      </c>
    </row>
    <row r="1135" spans="1:86" x14ac:dyDescent="0.25">
      <c r="A1135" s="148"/>
      <c r="B1135" s="82">
        <v>8928</v>
      </c>
      <c r="C1135" s="149">
        <v>4980</v>
      </c>
      <c r="D1135" s="69" t="s">
        <v>78</v>
      </c>
      <c r="E1135" s="69" t="s">
        <v>3175</v>
      </c>
      <c r="F1135" s="63"/>
      <c r="G1135" s="69">
        <v>1484.05</v>
      </c>
      <c r="H1135" s="69"/>
      <c r="I1135" s="69"/>
      <c r="J1135" s="69"/>
      <c r="K1135" s="69"/>
      <c r="L1135" s="69"/>
      <c r="M1135" s="69"/>
      <c r="N1135" s="69"/>
      <c r="O1135" s="69"/>
      <c r="P1135" s="69"/>
      <c r="Q1135" s="69"/>
      <c r="R1135" s="69"/>
      <c r="S1135" s="69"/>
      <c r="T1135" s="69"/>
      <c r="U1135" s="69"/>
      <c r="V1135" s="69"/>
      <c r="W1135" s="69"/>
      <c r="X1135" s="69"/>
      <c r="Y1135" s="69"/>
      <c r="Z1135" s="69"/>
      <c r="AA1135" s="69"/>
      <c r="AB1135" s="69"/>
      <c r="AC1135" s="69"/>
      <c r="AD1135" s="69"/>
      <c r="AE1135" s="69"/>
      <c r="AF1135" s="69"/>
      <c r="AG1135" s="69"/>
      <c r="AH1135" s="69"/>
      <c r="AI1135" s="69"/>
      <c r="AJ1135" s="69"/>
      <c r="AK1135" s="69"/>
      <c r="AL1135" s="69"/>
      <c r="AM1135" s="69"/>
      <c r="AN1135" s="69"/>
      <c r="AO1135" s="69"/>
      <c r="AP1135" s="69"/>
      <c r="AQ1135" s="69"/>
      <c r="AR1135" s="94">
        <f t="shared" si="77"/>
        <v>1484.05</v>
      </c>
      <c r="AS1135" s="69">
        <v>1236.8</v>
      </c>
      <c r="AT1135" s="69">
        <v>150.55000000000001</v>
      </c>
      <c r="AU1135" s="69">
        <v>96.7</v>
      </c>
      <c r="AV1135" s="69"/>
      <c r="AW1135" s="69"/>
      <c r="AX1135" s="69"/>
      <c r="AY1135" s="69"/>
      <c r="AZ1135" s="69"/>
      <c r="BA1135" s="69"/>
      <c r="BB1135" s="69"/>
      <c r="BC1135" s="69"/>
      <c r="BD1135" s="69"/>
      <c r="BE1135" s="69"/>
      <c r="BF1135" s="69"/>
      <c r="BG1135" s="69"/>
      <c r="BH1135" s="69"/>
      <c r="BI1135" s="69"/>
      <c r="BJ1135" s="69"/>
      <c r="BK1135" s="69"/>
      <c r="BL1135" s="69"/>
      <c r="BM1135" s="69"/>
      <c r="BN1135" s="69"/>
      <c r="BO1135" s="69"/>
      <c r="BP1135" s="69"/>
      <c r="BQ1135" s="69"/>
      <c r="BR1135" s="69"/>
      <c r="BS1135" s="69"/>
      <c r="BT1135" s="69"/>
      <c r="BU1135" s="69"/>
      <c r="BV1135" s="69"/>
      <c r="BW1135" s="69"/>
      <c r="BX1135" s="69"/>
      <c r="BY1135" s="69"/>
      <c r="BZ1135" s="69"/>
      <c r="CA1135" s="69"/>
      <c r="CB1135" s="69"/>
      <c r="CC1135" s="69"/>
      <c r="CD1135" s="69"/>
      <c r="CE1135" s="94">
        <f t="shared" si="96"/>
        <v>1484.05</v>
      </c>
      <c r="CF1135" s="151">
        <f t="shared" si="93"/>
        <v>0</v>
      </c>
      <c r="CG1135" s="75">
        <f t="shared" si="97"/>
        <v>4980</v>
      </c>
      <c r="CH1135" s="69" t="str">
        <f t="shared" si="97"/>
        <v>برنامج دولى</v>
      </c>
    </row>
    <row r="1136" spans="1:86" x14ac:dyDescent="0.25">
      <c r="A1136" s="148"/>
      <c r="B1136" s="82">
        <v>8929</v>
      </c>
      <c r="C1136" s="149">
        <v>4981</v>
      </c>
      <c r="D1136" s="69" t="s">
        <v>78</v>
      </c>
      <c r="E1136" s="69" t="s">
        <v>3175</v>
      </c>
      <c r="F1136" s="63"/>
      <c r="G1136" s="69">
        <v>263.81</v>
      </c>
      <c r="H1136" s="69"/>
      <c r="I1136" s="69"/>
      <c r="J1136" s="69"/>
      <c r="K1136" s="69"/>
      <c r="L1136" s="69"/>
      <c r="M1136" s="69"/>
      <c r="N1136" s="69"/>
      <c r="O1136" s="69"/>
      <c r="P1136" s="69"/>
      <c r="Q1136" s="69"/>
      <c r="R1136" s="69"/>
      <c r="S1136" s="69"/>
      <c r="T1136" s="69"/>
      <c r="U1136" s="69"/>
      <c r="V1136" s="69"/>
      <c r="W1136" s="69"/>
      <c r="X1136" s="69"/>
      <c r="Y1136" s="69"/>
      <c r="Z1136" s="69"/>
      <c r="AA1136" s="69"/>
      <c r="AB1136" s="69"/>
      <c r="AC1136" s="69"/>
      <c r="AD1136" s="69"/>
      <c r="AE1136" s="69"/>
      <c r="AF1136" s="69"/>
      <c r="AG1136" s="69"/>
      <c r="AH1136" s="69"/>
      <c r="AI1136" s="69"/>
      <c r="AJ1136" s="69"/>
      <c r="AK1136" s="69"/>
      <c r="AL1136" s="69"/>
      <c r="AM1136" s="69"/>
      <c r="AN1136" s="69"/>
      <c r="AO1136" s="69"/>
      <c r="AP1136" s="69"/>
      <c r="AQ1136" s="69"/>
      <c r="AR1136" s="94">
        <f t="shared" si="77"/>
        <v>263.81</v>
      </c>
      <c r="AS1136" s="69">
        <v>176.85</v>
      </c>
      <c r="AT1136" s="69">
        <v>23.4</v>
      </c>
      <c r="AU1136" s="69">
        <v>63.56</v>
      </c>
      <c r="AV1136" s="69"/>
      <c r="AW1136" s="69"/>
      <c r="AX1136" s="69"/>
      <c r="AY1136" s="69"/>
      <c r="AZ1136" s="69"/>
      <c r="BA1136" s="69"/>
      <c r="BB1136" s="69"/>
      <c r="BC1136" s="69"/>
      <c r="BD1136" s="69"/>
      <c r="BE1136" s="69"/>
      <c r="BF1136" s="69"/>
      <c r="BG1136" s="69"/>
      <c r="BH1136" s="69"/>
      <c r="BI1136" s="69"/>
      <c r="BJ1136" s="69"/>
      <c r="BK1136" s="69"/>
      <c r="BL1136" s="69"/>
      <c r="BM1136" s="69"/>
      <c r="BN1136" s="69"/>
      <c r="BO1136" s="69"/>
      <c r="BP1136" s="69"/>
      <c r="BQ1136" s="69"/>
      <c r="BR1136" s="69"/>
      <c r="BS1136" s="69"/>
      <c r="BT1136" s="69"/>
      <c r="BU1136" s="69"/>
      <c r="BV1136" s="69"/>
      <c r="BW1136" s="69"/>
      <c r="BX1136" s="69"/>
      <c r="BY1136" s="69"/>
      <c r="BZ1136" s="69"/>
      <c r="CA1136" s="69"/>
      <c r="CB1136" s="69"/>
      <c r="CC1136" s="69"/>
      <c r="CD1136" s="69"/>
      <c r="CE1136" s="94">
        <f t="shared" si="96"/>
        <v>263.81</v>
      </c>
      <c r="CF1136" s="151">
        <f t="shared" ref="CF1136:CF1156" si="98">+CE1136-AR1136</f>
        <v>0</v>
      </c>
      <c r="CG1136" s="75">
        <f t="shared" si="97"/>
        <v>4981</v>
      </c>
      <c r="CH1136" s="69" t="str">
        <f t="shared" si="97"/>
        <v>برنامج دولى</v>
      </c>
    </row>
    <row r="1137" spans="1:86" x14ac:dyDescent="0.25">
      <c r="A1137" s="148"/>
      <c r="B1137" s="82">
        <v>8930</v>
      </c>
      <c r="C1137" s="149">
        <v>4982</v>
      </c>
      <c r="D1137" s="69" t="s">
        <v>78</v>
      </c>
      <c r="E1137" s="69" t="s">
        <v>3175</v>
      </c>
      <c r="F1137" s="63"/>
      <c r="G1137" s="69">
        <v>87.94</v>
      </c>
      <c r="H1137" s="69"/>
      <c r="I1137" s="69"/>
      <c r="J1137" s="69"/>
      <c r="K1137" s="69"/>
      <c r="L1137" s="69"/>
      <c r="M1137" s="69"/>
      <c r="N1137" s="69"/>
      <c r="O1137" s="69"/>
      <c r="P1137" s="69"/>
      <c r="Q1137" s="69"/>
      <c r="R1137" s="69"/>
      <c r="S1137" s="69"/>
      <c r="T1137" s="69"/>
      <c r="U1137" s="69"/>
      <c r="V1137" s="69"/>
      <c r="W1137" s="69"/>
      <c r="X1137" s="69"/>
      <c r="Y1137" s="69"/>
      <c r="Z1137" s="69"/>
      <c r="AA1137" s="69"/>
      <c r="AB1137" s="69"/>
      <c r="AC1137" s="69"/>
      <c r="AD1137" s="69"/>
      <c r="AE1137" s="69"/>
      <c r="AF1137" s="69"/>
      <c r="AG1137" s="69"/>
      <c r="AH1137" s="69"/>
      <c r="AI1137" s="69"/>
      <c r="AJ1137" s="69"/>
      <c r="AK1137" s="69"/>
      <c r="AL1137" s="69"/>
      <c r="AM1137" s="69"/>
      <c r="AN1137" s="69"/>
      <c r="AO1137" s="69"/>
      <c r="AP1137" s="69"/>
      <c r="AQ1137" s="69"/>
      <c r="AR1137" s="94">
        <f t="shared" si="77"/>
        <v>87.94</v>
      </c>
      <c r="AS1137" s="69">
        <v>59.15</v>
      </c>
      <c r="AT1137" s="69">
        <v>7.6</v>
      </c>
      <c r="AU1137" s="69">
        <v>21.19</v>
      </c>
      <c r="AV1137" s="69"/>
      <c r="AW1137" s="69"/>
      <c r="AX1137" s="69"/>
      <c r="AY1137" s="69"/>
      <c r="AZ1137" s="69"/>
      <c r="BA1137" s="69"/>
      <c r="BB1137" s="69"/>
      <c r="BC1137" s="69"/>
      <c r="BD1137" s="69"/>
      <c r="BE1137" s="69"/>
      <c r="BF1137" s="69"/>
      <c r="BG1137" s="69"/>
      <c r="BH1137" s="69"/>
      <c r="BI1137" s="69"/>
      <c r="BJ1137" s="69"/>
      <c r="BK1137" s="69"/>
      <c r="BL1137" s="69"/>
      <c r="BM1137" s="69"/>
      <c r="BN1137" s="69"/>
      <c r="BO1137" s="69"/>
      <c r="BP1137" s="69"/>
      <c r="BQ1137" s="69"/>
      <c r="BR1137" s="69"/>
      <c r="BS1137" s="69"/>
      <c r="BT1137" s="69"/>
      <c r="BU1137" s="69"/>
      <c r="BV1137" s="69"/>
      <c r="BW1137" s="69"/>
      <c r="BX1137" s="69"/>
      <c r="BY1137" s="69"/>
      <c r="BZ1137" s="69"/>
      <c r="CA1137" s="69"/>
      <c r="CB1137" s="69"/>
      <c r="CC1137" s="69"/>
      <c r="CD1137" s="69"/>
      <c r="CE1137" s="94">
        <f t="shared" si="96"/>
        <v>87.94</v>
      </c>
      <c r="CF1137" s="151">
        <f t="shared" si="98"/>
        <v>0</v>
      </c>
      <c r="CG1137" s="75">
        <f t="shared" si="97"/>
        <v>4982</v>
      </c>
      <c r="CH1137" s="69" t="str">
        <f t="shared" si="97"/>
        <v>برنامج دولى</v>
      </c>
    </row>
    <row r="1138" spans="1:86" x14ac:dyDescent="0.25">
      <c r="A1138" s="148"/>
      <c r="B1138" s="82">
        <v>8931</v>
      </c>
      <c r="C1138" s="149">
        <v>4983</v>
      </c>
      <c r="D1138" s="69" t="s">
        <v>78</v>
      </c>
      <c r="E1138" s="69" t="s">
        <v>3175</v>
      </c>
      <c r="F1138" s="63"/>
      <c r="G1138" s="69">
        <v>6346.39</v>
      </c>
      <c r="H1138" s="69"/>
      <c r="I1138" s="69"/>
      <c r="J1138" s="69"/>
      <c r="K1138" s="69"/>
      <c r="L1138" s="69"/>
      <c r="M1138" s="69"/>
      <c r="N1138" s="69"/>
      <c r="O1138" s="69"/>
      <c r="P1138" s="69"/>
      <c r="Q1138" s="69"/>
      <c r="R1138" s="69"/>
      <c r="S1138" s="69"/>
      <c r="T1138" s="69"/>
      <c r="U1138" s="69"/>
      <c r="V1138" s="69"/>
      <c r="W1138" s="69"/>
      <c r="X1138" s="69"/>
      <c r="Y1138" s="69"/>
      <c r="Z1138" s="69"/>
      <c r="AA1138" s="69"/>
      <c r="AB1138" s="69"/>
      <c r="AC1138" s="69"/>
      <c r="AD1138" s="69"/>
      <c r="AE1138" s="69"/>
      <c r="AF1138" s="69"/>
      <c r="AG1138" s="69"/>
      <c r="AH1138" s="69"/>
      <c r="AI1138" s="69"/>
      <c r="AJ1138" s="69"/>
      <c r="AK1138" s="69"/>
      <c r="AL1138" s="69"/>
      <c r="AM1138" s="69"/>
      <c r="AN1138" s="69"/>
      <c r="AO1138" s="69"/>
      <c r="AP1138" s="69"/>
      <c r="AQ1138" s="69"/>
      <c r="AR1138" s="94">
        <f t="shared" si="77"/>
        <v>6346.39</v>
      </c>
      <c r="AS1138" s="69">
        <v>4949.6899999999996</v>
      </c>
      <c r="AT1138" s="69">
        <v>624.70000000000005</v>
      </c>
      <c r="AU1138" s="69">
        <v>772</v>
      </c>
      <c r="AV1138" s="69"/>
      <c r="AW1138" s="69"/>
      <c r="AX1138" s="69"/>
      <c r="AY1138" s="69"/>
      <c r="AZ1138" s="69"/>
      <c r="BA1138" s="69"/>
      <c r="BB1138" s="69"/>
      <c r="BC1138" s="69"/>
      <c r="BD1138" s="69"/>
      <c r="BE1138" s="69"/>
      <c r="BF1138" s="69"/>
      <c r="BG1138" s="69"/>
      <c r="BH1138" s="69"/>
      <c r="BI1138" s="69"/>
      <c r="BJ1138" s="69"/>
      <c r="BK1138" s="69"/>
      <c r="BL1138" s="69"/>
      <c r="BM1138" s="69"/>
      <c r="BN1138" s="69"/>
      <c r="BO1138" s="69"/>
      <c r="BP1138" s="69"/>
      <c r="BQ1138" s="69"/>
      <c r="BR1138" s="69"/>
      <c r="BS1138" s="69"/>
      <c r="BT1138" s="69"/>
      <c r="BU1138" s="69"/>
      <c r="BV1138" s="69"/>
      <c r="BW1138" s="69"/>
      <c r="BX1138" s="69"/>
      <c r="BY1138" s="69"/>
      <c r="BZ1138" s="69"/>
      <c r="CA1138" s="69"/>
      <c r="CB1138" s="69"/>
      <c r="CC1138" s="69"/>
      <c r="CD1138" s="69"/>
      <c r="CE1138" s="94">
        <f t="shared" si="96"/>
        <v>6346.3899999999994</v>
      </c>
      <c r="CF1138" s="151">
        <f t="shared" si="98"/>
        <v>0</v>
      </c>
      <c r="CG1138" s="75">
        <f t="shared" si="97"/>
        <v>4983</v>
      </c>
      <c r="CH1138" s="69" t="str">
        <f t="shared" si="97"/>
        <v>برنامج دولى</v>
      </c>
    </row>
    <row r="1139" spans="1:86" x14ac:dyDescent="0.25">
      <c r="A1139" s="148"/>
      <c r="B1139" s="82">
        <v>8932</v>
      </c>
      <c r="C1139" s="149">
        <v>4984</v>
      </c>
      <c r="D1139" s="69" t="s">
        <v>78</v>
      </c>
      <c r="E1139" s="69" t="s">
        <v>3175</v>
      </c>
      <c r="F1139" s="63"/>
      <c r="G1139" s="69">
        <v>9353.25</v>
      </c>
      <c r="H1139" s="69"/>
      <c r="I1139" s="69"/>
      <c r="J1139" s="69"/>
      <c r="K1139" s="69"/>
      <c r="L1139" s="69"/>
      <c r="M1139" s="69"/>
      <c r="N1139" s="69"/>
      <c r="O1139" s="69"/>
      <c r="P1139" s="69"/>
      <c r="Q1139" s="69"/>
      <c r="R1139" s="69"/>
      <c r="S1139" s="69"/>
      <c r="T1139" s="69"/>
      <c r="U1139" s="69"/>
      <c r="V1139" s="69"/>
      <c r="W1139" s="69"/>
      <c r="X1139" s="69"/>
      <c r="Y1139" s="69"/>
      <c r="Z1139" s="69"/>
      <c r="AA1139" s="69"/>
      <c r="AB1139" s="69"/>
      <c r="AC1139" s="69"/>
      <c r="AD1139" s="69"/>
      <c r="AE1139" s="69"/>
      <c r="AF1139" s="69"/>
      <c r="AG1139" s="69"/>
      <c r="AH1139" s="69"/>
      <c r="AI1139" s="69"/>
      <c r="AJ1139" s="69"/>
      <c r="AK1139" s="69"/>
      <c r="AL1139" s="69"/>
      <c r="AM1139" s="69"/>
      <c r="AN1139" s="69"/>
      <c r="AO1139" s="69"/>
      <c r="AP1139" s="69"/>
      <c r="AQ1139" s="69"/>
      <c r="AR1139" s="94">
        <f t="shared" si="77"/>
        <v>9353.25</v>
      </c>
      <c r="AS1139" s="69">
        <v>6348.15</v>
      </c>
      <c r="AT1139" s="69">
        <f>50.85+810</f>
        <v>860.85</v>
      </c>
      <c r="AU1139" s="69">
        <v>2144.25</v>
      </c>
      <c r="AV1139" s="69"/>
      <c r="AW1139" s="69"/>
      <c r="AX1139" s="69"/>
      <c r="AY1139" s="69"/>
      <c r="AZ1139" s="69"/>
      <c r="BA1139" s="69"/>
      <c r="BB1139" s="69"/>
      <c r="BC1139" s="69"/>
      <c r="BD1139" s="69"/>
      <c r="BE1139" s="69"/>
      <c r="BF1139" s="69"/>
      <c r="BG1139" s="69"/>
      <c r="BH1139" s="69"/>
      <c r="BI1139" s="69"/>
      <c r="BJ1139" s="69"/>
      <c r="BK1139" s="69"/>
      <c r="BL1139" s="69"/>
      <c r="BM1139" s="69"/>
      <c r="BN1139" s="69"/>
      <c r="BO1139" s="69"/>
      <c r="BP1139" s="69"/>
      <c r="BQ1139" s="69"/>
      <c r="BR1139" s="69"/>
      <c r="BS1139" s="69"/>
      <c r="BT1139" s="69"/>
      <c r="BU1139" s="69"/>
      <c r="BV1139" s="69"/>
      <c r="BW1139" s="69"/>
      <c r="BX1139" s="69"/>
      <c r="BY1139" s="69"/>
      <c r="BZ1139" s="69"/>
      <c r="CA1139" s="69"/>
      <c r="CB1139" s="69"/>
      <c r="CC1139" s="69"/>
      <c r="CD1139" s="69"/>
      <c r="CE1139" s="94">
        <f t="shared" si="96"/>
        <v>9353.25</v>
      </c>
      <c r="CF1139" s="151">
        <f t="shared" si="98"/>
        <v>0</v>
      </c>
      <c r="CG1139" s="75">
        <f t="shared" si="97"/>
        <v>4984</v>
      </c>
      <c r="CH1139" s="69" t="str">
        <f t="shared" si="97"/>
        <v>برنامج دولى</v>
      </c>
    </row>
    <row r="1140" spans="1:86" x14ac:dyDescent="0.25">
      <c r="A1140" s="148"/>
      <c r="B1140" s="82">
        <v>6276</v>
      </c>
      <c r="C1140" s="149">
        <v>4985</v>
      </c>
      <c r="D1140" s="69" t="s">
        <v>137</v>
      </c>
      <c r="E1140" s="69" t="s">
        <v>3451</v>
      </c>
      <c r="F1140" s="63"/>
      <c r="G1140" s="69">
        <v>700</v>
      </c>
      <c r="H1140" s="69"/>
      <c r="I1140" s="69"/>
      <c r="J1140" s="69"/>
      <c r="K1140" s="69"/>
      <c r="L1140" s="69"/>
      <c r="M1140" s="69"/>
      <c r="N1140" s="69"/>
      <c r="O1140" s="69"/>
      <c r="P1140" s="69"/>
      <c r="Q1140" s="69"/>
      <c r="R1140" s="69"/>
      <c r="S1140" s="69"/>
      <c r="T1140" s="69"/>
      <c r="U1140" s="69"/>
      <c r="V1140" s="69"/>
      <c r="W1140" s="69"/>
      <c r="X1140" s="69"/>
      <c r="Y1140" s="69"/>
      <c r="Z1140" s="69"/>
      <c r="AA1140" s="69"/>
      <c r="AB1140" s="69"/>
      <c r="AC1140" s="69"/>
      <c r="AD1140" s="69"/>
      <c r="AE1140" s="69"/>
      <c r="AF1140" s="69"/>
      <c r="AG1140" s="69"/>
      <c r="AH1140" s="69"/>
      <c r="AI1140" s="69"/>
      <c r="AJ1140" s="69"/>
      <c r="AK1140" s="69"/>
      <c r="AL1140" s="69"/>
      <c r="AM1140" s="69"/>
      <c r="AN1140" s="69"/>
      <c r="AO1140" s="69"/>
      <c r="AP1140" s="69"/>
      <c r="AQ1140" s="69"/>
      <c r="AR1140" s="94">
        <f t="shared" si="77"/>
        <v>700</v>
      </c>
      <c r="AS1140" s="69">
        <v>700</v>
      </c>
      <c r="AT1140" s="69"/>
      <c r="AU1140" s="69"/>
      <c r="AV1140" s="69"/>
      <c r="AW1140" s="69"/>
      <c r="AX1140" s="69"/>
      <c r="AY1140" s="69"/>
      <c r="AZ1140" s="69"/>
      <c r="BA1140" s="69"/>
      <c r="BB1140" s="69"/>
      <c r="BC1140" s="69"/>
      <c r="BD1140" s="69"/>
      <c r="BE1140" s="69"/>
      <c r="BF1140" s="69"/>
      <c r="BG1140" s="69"/>
      <c r="BH1140" s="69"/>
      <c r="BI1140" s="69"/>
      <c r="BJ1140" s="69"/>
      <c r="BK1140" s="69"/>
      <c r="BL1140" s="69"/>
      <c r="BM1140" s="69"/>
      <c r="BN1140" s="69"/>
      <c r="BO1140" s="69"/>
      <c r="BP1140" s="69"/>
      <c r="BQ1140" s="69"/>
      <c r="BR1140" s="69"/>
      <c r="BS1140" s="69"/>
      <c r="BT1140" s="69"/>
      <c r="BU1140" s="69"/>
      <c r="BV1140" s="69"/>
      <c r="BW1140" s="69"/>
      <c r="BX1140" s="69"/>
      <c r="BY1140" s="69"/>
      <c r="BZ1140" s="69"/>
      <c r="CA1140" s="69"/>
      <c r="CB1140" s="69"/>
      <c r="CC1140" s="69"/>
      <c r="CD1140" s="69"/>
      <c r="CE1140" s="94">
        <f t="shared" si="96"/>
        <v>700</v>
      </c>
      <c r="CF1140" s="151">
        <f t="shared" si="98"/>
        <v>0</v>
      </c>
      <c r="CG1140" s="75">
        <f t="shared" si="97"/>
        <v>4985</v>
      </c>
      <c r="CH1140" s="69" t="str">
        <f t="shared" si="97"/>
        <v xml:space="preserve">خدمة عامة </v>
      </c>
    </row>
    <row r="1141" spans="1:86" x14ac:dyDescent="0.25">
      <c r="A1141" s="148"/>
      <c r="B1141" s="82">
        <v>6467</v>
      </c>
      <c r="C1141" s="149">
        <v>4986</v>
      </c>
      <c r="D1141" s="69" t="s">
        <v>137</v>
      </c>
      <c r="E1141" s="69" t="s">
        <v>3452</v>
      </c>
      <c r="F1141" s="63"/>
      <c r="G1141" s="69">
        <v>1000</v>
      </c>
      <c r="H1141" s="69"/>
      <c r="I1141" s="69"/>
      <c r="J1141" s="69"/>
      <c r="K1141" s="69"/>
      <c r="L1141" s="69"/>
      <c r="M1141" s="69"/>
      <c r="N1141" s="69"/>
      <c r="O1141" s="69"/>
      <c r="P1141" s="69"/>
      <c r="Q1141" s="69"/>
      <c r="R1141" s="69"/>
      <c r="S1141" s="69"/>
      <c r="T1141" s="69"/>
      <c r="U1141" s="69"/>
      <c r="V1141" s="69"/>
      <c r="W1141" s="69"/>
      <c r="X1141" s="69"/>
      <c r="Y1141" s="69"/>
      <c r="Z1141" s="69"/>
      <c r="AA1141" s="69"/>
      <c r="AB1141" s="69"/>
      <c r="AC1141" s="69"/>
      <c r="AD1141" s="69"/>
      <c r="AE1141" s="69"/>
      <c r="AF1141" s="69"/>
      <c r="AG1141" s="69"/>
      <c r="AH1141" s="69"/>
      <c r="AI1141" s="69"/>
      <c r="AJ1141" s="69"/>
      <c r="AK1141" s="69"/>
      <c r="AL1141" s="69"/>
      <c r="AM1141" s="69"/>
      <c r="AN1141" s="69"/>
      <c r="AO1141" s="69"/>
      <c r="AP1141" s="69"/>
      <c r="AQ1141" s="69"/>
      <c r="AR1141" s="94">
        <f t="shared" si="77"/>
        <v>1000</v>
      </c>
      <c r="AS1141" s="69">
        <v>893.35</v>
      </c>
      <c r="AT1141" s="69">
        <v>106.65</v>
      </c>
      <c r="AU1141" s="69"/>
      <c r="AV1141" s="69"/>
      <c r="AW1141" s="69"/>
      <c r="AX1141" s="69"/>
      <c r="AY1141" s="69"/>
      <c r="AZ1141" s="69"/>
      <c r="BA1141" s="69"/>
      <c r="BB1141" s="69"/>
      <c r="BC1141" s="69"/>
      <c r="BD1141" s="69"/>
      <c r="BE1141" s="69"/>
      <c r="BF1141" s="69"/>
      <c r="BG1141" s="69"/>
      <c r="BH1141" s="69"/>
      <c r="BI1141" s="69"/>
      <c r="BJ1141" s="69"/>
      <c r="BK1141" s="69"/>
      <c r="BL1141" s="69"/>
      <c r="BM1141" s="69"/>
      <c r="BN1141" s="69"/>
      <c r="BO1141" s="69"/>
      <c r="BP1141" s="69"/>
      <c r="BQ1141" s="69"/>
      <c r="BR1141" s="69"/>
      <c r="BS1141" s="69"/>
      <c r="BT1141" s="69"/>
      <c r="BU1141" s="69"/>
      <c r="BV1141" s="69"/>
      <c r="BW1141" s="69"/>
      <c r="BX1141" s="69"/>
      <c r="BY1141" s="69"/>
      <c r="BZ1141" s="69"/>
      <c r="CA1141" s="69"/>
      <c r="CB1141" s="69"/>
      <c r="CC1141" s="69"/>
      <c r="CD1141" s="69"/>
      <c r="CE1141" s="94">
        <f t="shared" si="96"/>
        <v>1000</v>
      </c>
      <c r="CF1141" s="151">
        <f t="shared" si="98"/>
        <v>0</v>
      </c>
      <c r="CG1141" s="75">
        <f t="shared" si="97"/>
        <v>4986</v>
      </c>
      <c r="CH1141" s="69" t="str">
        <f t="shared" si="97"/>
        <v xml:space="preserve">خدمة عامة </v>
      </c>
    </row>
    <row r="1142" spans="1:86" ht="36" x14ac:dyDescent="0.25">
      <c r="A1142" s="148"/>
      <c r="B1142" s="82">
        <v>8785</v>
      </c>
      <c r="C1142" s="149">
        <v>4987</v>
      </c>
      <c r="D1142" s="69" t="s">
        <v>121</v>
      </c>
      <c r="E1142" s="77" t="s">
        <v>3453</v>
      </c>
      <c r="F1142" s="63"/>
      <c r="G1142" s="69"/>
      <c r="H1142" s="69">
        <v>80000</v>
      </c>
      <c r="I1142" s="69"/>
      <c r="J1142" s="69"/>
      <c r="K1142" s="69"/>
      <c r="L1142" s="69"/>
      <c r="M1142" s="69"/>
      <c r="N1142" s="69"/>
      <c r="O1142" s="69"/>
      <c r="P1142" s="69"/>
      <c r="Q1142" s="69"/>
      <c r="R1142" s="69"/>
      <c r="S1142" s="69"/>
      <c r="T1142" s="69"/>
      <c r="U1142" s="69"/>
      <c r="V1142" s="69"/>
      <c r="W1142" s="69"/>
      <c r="X1142" s="69"/>
      <c r="Y1142" s="69"/>
      <c r="Z1142" s="69"/>
      <c r="AA1142" s="69"/>
      <c r="AB1142" s="69"/>
      <c r="AC1142" s="69"/>
      <c r="AD1142" s="69"/>
      <c r="AE1142" s="69"/>
      <c r="AF1142" s="69"/>
      <c r="AG1142" s="69"/>
      <c r="AH1142" s="69"/>
      <c r="AI1142" s="69"/>
      <c r="AJ1142" s="69"/>
      <c r="AK1142" s="69"/>
      <c r="AL1142" s="69"/>
      <c r="AM1142" s="69"/>
      <c r="AN1142" s="69"/>
      <c r="AO1142" s="69"/>
      <c r="AP1142" s="69"/>
      <c r="AQ1142" s="69"/>
      <c r="AR1142" s="94">
        <f t="shared" si="77"/>
        <v>80000</v>
      </c>
      <c r="AS1142" s="69">
        <v>70463.199999999997</v>
      </c>
      <c r="AT1142" s="69">
        <f>579.75+1739.25+28.8</f>
        <v>2347.8000000000002</v>
      </c>
      <c r="AU1142" s="69"/>
      <c r="AV1142" s="69">
        <v>5</v>
      </c>
      <c r="AW1142" s="69"/>
      <c r="AX1142" s="69"/>
      <c r="AY1142" s="69"/>
      <c r="AZ1142" s="69"/>
      <c r="BA1142" s="69"/>
      <c r="BB1142" s="69"/>
      <c r="BC1142" s="69"/>
      <c r="BD1142" s="69"/>
      <c r="BE1142" s="69"/>
      <c r="BF1142" s="69"/>
      <c r="BG1142" s="69">
        <v>2400</v>
      </c>
      <c r="BH1142" s="69">
        <v>64</v>
      </c>
      <c r="BI1142" s="69">
        <f>360*2</f>
        <v>720</v>
      </c>
      <c r="BJ1142" s="69"/>
      <c r="BK1142" s="69">
        <v>4000</v>
      </c>
      <c r="BL1142" s="69"/>
      <c r="BM1142" s="69"/>
      <c r="BN1142" s="69"/>
      <c r="BO1142" s="69"/>
      <c r="BP1142" s="69"/>
      <c r="BQ1142" s="69"/>
      <c r="BR1142" s="69"/>
      <c r="BS1142" s="69"/>
      <c r="BT1142" s="69"/>
      <c r="BU1142" s="69"/>
      <c r="BV1142" s="69"/>
      <c r="BW1142" s="69"/>
      <c r="BX1142" s="69"/>
      <c r="BY1142" s="69"/>
      <c r="BZ1142" s="69"/>
      <c r="CA1142" s="69"/>
      <c r="CB1142" s="69"/>
      <c r="CC1142" s="69"/>
      <c r="CD1142" s="69"/>
      <c r="CE1142" s="94">
        <f t="shared" si="96"/>
        <v>80000</v>
      </c>
      <c r="CF1142" s="151">
        <f t="shared" si="98"/>
        <v>0</v>
      </c>
      <c r="CG1142" s="75">
        <f t="shared" si="97"/>
        <v>4987</v>
      </c>
      <c r="CH1142" s="69" t="str">
        <f t="shared" si="97"/>
        <v>ماليزى اسنان</v>
      </c>
    </row>
    <row r="1143" spans="1:86" x14ac:dyDescent="0.25">
      <c r="A1143" s="148"/>
      <c r="B1143" s="82">
        <v>9048</v>
      </c>
      <c r="C1143" s="149">
        <v>4988</v>
      </c>
      <c r="D1143" s="69" t="s">
        <v>130</v>
      </c>
      <c r="E1143" s="69" t="s">
        <v>3454</v>
      </c>
      <c r="F1143" s="63"/>
      <c r="G1143" s="69"/>
      <c r="H1143" s="69">
        <v>17000</v>
      </c>
      <c r="I1143" s="69"/>
      <c r="J1143" s="69"/>
      <c r="K1143" s="69"/>
      <c r="L1143" s="69"/>
      <c r="M1143" s="69"/>
      <c r="N1143" s="69"/>
      <c r="O1143" s="69"/>
      <c r="P1143" s="69"/>
      <c r="Q1143" s="69"/>
      <c r="R1143" s="69"/>
      <c r="S1143" s="69"/>
      <c r="T1143" s="69"/>
      <c r="U1143" s="69"/>
      <c r="V1143" s="69"/>
      <c r="W1143" s="69"/>
      <c r="X1143" s="69"/>
      <c r="Y1143" s="69"/>
      <c r="Z1143" s="69"/>
      <c r="AA1143" s="69"/>
      <c r="AB1143" s="69">
        <v>17000</v>
      </c>
      <c r="AC1143" s="69"/>
      <c r="AD1143" s="69"/>
      <c r="AE1143" s="69"/>
      <c r="AF1143" s="69"/>
      <c r="AG1143" s="69"/>
      <c r="AH1143" s="69"/>
      <c r="AI1143" s="69"/>
      <c r="AJ1143" s="69"/>
      <c r="AK1143" s="69"/>
      <c r="AL1143" s="69"/>
      <c r="AM1143" s="69"/>
      <c r="AN1143" s="69"/>
      <c r="AO1143" s="69"/>
      <c r="AP1143" s="69"/>
      <c r="AQ1143" s="69"/>
      <c r="AR1143" s="94">
        <f t="shared" si="77"/>
        <v>34000</v>
      </c>
      <c r="AS1143" s="69">
        <v>17000</v>
      </c>
      <c r="AT1143" s="69"/>
      <c r="AU1143" s="69"/>
      <c r="AV1143" s="69"/>
      <c r="AW1143" s="69"/>
      <c r="AX1143" s="69"/>
      <c r="AY1143" s="69"/>
      <c r="AZ1143" s="69"/>
      <c r="BA1143" s="69"/>
      <c r="BB1143" s="69"/>
      <c r="BC1143" s="69"/>
      <c r="BD1143" s="69"/>
      <c r="BE1143" s="69"/>
      <c r="BF1143" s="69"/>
      <c r="BG1143" s="69"/>
      <c r="BH1143" s="69"/>
      <c r="BI1143" s="69"/>
      <c r="BJ1143" s="69"/>
      <c r="BK1143" s="69"/>
      <c r="BL1143" s="69"/>
      <c r="BM1143" s="69"/>
      <c r="BN1143" s="69"/>
      <c r="BO1143" s="69"/>
      <c r="BP1143" s="69"/>
      <c r="BQ1143" s="69"/>
      <c r="BR1143" s="69"/>
      <c r="BS1143" s="69">
        <v>17000</v>
      </c>
      <c r="BT1143" s="69"/>
      <c r="BU1143" s="69"/>
      <c r="BV1143" s="69"/>
      <c r="BW1143" s="69"/>
      <c r="BX1143" s="69"/>
      <c r="BY1143" s="69"/>
      <c r="BZ1143" s="69"/>
      <c r="CA1143" s="69"/>
      <c r="CB1143" s="69"/>
      <c r="CC1143" s="69"/>
      <c r="CD1143" s="69"/>
      <c r="CE1143" s="94">
        <f t="shared" si="96"/>
        <v>34000</v>
      </c>
      <c r="CF1143" s="151">
        <f t="shared" si="98"/>
        <v>0</v>
      </c>
      <c r="CG1143" s="75">
        <f t="shared" ref="CG1143:CH1156" si="99">+C1143</f>
        <v>4988</v>
      </c>
      <c r="CH1143" s="69" t="str">
        <f t="shared" si="99"/>
        <v>خ ت طب</v>
      </c>
    </row>
    <row r="1144" spans="1:86" x14ac:dyDescent="0.25">
      <c r="A1144" s="148"/>
      <c r="B1144" s="82">
        <v>9049</v>
      </c>
      <c r="C1144" s="149">
        <v>4989</v>
      </c>
      <c r="D1144" s="69" t="s">
        <v>130</v>
      </c>
      <c r="E1144" s="69" t="s">
        <v>3455</v>
      </c>
      <c r="F1144" s="63"/>
      <c r="G1144" s="69"/>
      <c r="H1144" s="69">
        <v>14250</v>
      </c>
      <c r="I1144" s="69"/>
      <c r="J1144" s="69"/>
      <c r="K1144" s="69"/>
      <c r="L1144" s="69"/>
      <c r="M1144" s="69"/>
      <c r="N1144" s="69"/>
      <c r="O1144" s="69"/>
      <c r="P1144" s="69"/>
      <c r="Q1144" s="69"/>
      <c r="R1144" s="69"/>
      <c r="S1144" s="69"/>
      <c r="T1144" s="69"/>
      <c r="U1144" s="69"/>
      <c r="V1144" s="69"/>
      <c r="W1144" s="69"/>
      <c r="X1144" s="69"/>
      <c r="Y1144" s="69"/>
      <c r="Z1144" s="69"/>
      <c r="AA1144" s="69"/>
      <c r="AB1144" s="69"/>
      <c r="AC1144" s="69"/>
      <c r="AD1144" s="69"/>
      <c r="AE1144" s="69"/>
      <c r="AF1144" s="69"/>
      <c r="AG1144" s="69"/>
      <c r="AH1144" s="69"/>
      <c r="AI1144" s="69"/>
      <c r="AJ1144" s="69"/>
      <c r="AK1144" s="69"/>
      <c r="AL1144" s="69"/>
      <c r="AM1144" s="69"/>
      <c r="AN1144" s="69"/>
      <c r="AO1144" s="69"/>
      <c r="AP1144" s="69"/>
      <c r="AQ1144" s="69"/>
      <c r="AR1144" s="94">
        <f t="shared" si="77"/>
        <v>14250</v>
      </c>
      <c r="AS1144" s="69">
        <v>13053.8</v>
      </c>
      <c r="AT1144" s="69">
        <f>175+525+2.7</f>
        <v>702.7</v>
      </c>
      <c r="AU1144" s="69"/>
      <c r="AV1144" s="69"/>
      <c r="AW1144" s="69"/>
      <c r="AX1144" s="69"/>
      <c r="AY1144" s="69"/>
      <c r="AZ1144" s="69"/>
      <c r="BA1144" s="69"/>
      <c r="BB1144" s="69"/>
      <c r="BC1144" s="69"/>
      <c r="BD1144" s="69"/>
      <c r="BE1144" s="69"/>
      <c r="BF1144" s="69"/>
      <c r="BG1144" s="69">
        <v>375</v>
      </c>
      <c r="BH1144" s="69">
        <v>6</v>
      </c>
      <c r="BI1144" s="69">
        <f>56.25*2</f>
        <v>112.5</v>
      </c>
      <c r="BJ1144" s="69"/>
      <c r="BK1144" s="69"/>
      <c r="BL1144" s="69"/>
      <c r="BM1144" s="69"/>
      <c r="BN1144" s="69"/>
      <c r="BO1144" s="69"/>
      <c r="BP1144" s="69"/>
      <c r="BQ1144" s="69"/>
      <c r="BR1144" s="69"/>
      <c r="BS1144" s="69"/>
      <c r="BT1144" s="69"/>
      <c r="BU1144" s="69"/>
      <c r="BV1144" s="69"/>
      <c r="BW1144" s="69"/>
      <c r="BX1144" s="69"/>
      <c r="BY1144" s="69"/>
      <c r="BZ1144" s="69"/>
      <c r="CA1144" s="69"/>
      <c r="CB1144" s="69"/>
      <c r="CC1144" s="69"/>
      <c r="CD1144" s="69"/>
      <c r="CE1144" s="94">
        <f t="shared" si="96"/>
        <v>14250</v>
      </c>
      <c r="CF1144" s="151">
        <f t="shared" si="98"/>
        <v>0</v>
      </c>
      <c r="CG1144" s="75">
        <f t="shared" si="99"/>
        <v>4989</v>
      </c>
      <c r="CH1144" s="69" t="str">
        <f t="shared" si="99"/>
        <v>خ ت طب</v>
      </c>
    </row>
    <row r="1145" spans="1:86" x14ac:dyDescent="0.25">
      <c r="A1145" s="148"/>
      <c r="B1145" s="82">
        <v>8411</v>
      </c>
      <c r="C1145" s="149">
        <v>4990</v>
      </c>
      <c r="D1145" s="69" t="s">
        <v>78</v>
      </c>
      <c r="E1145" s="69" t="s">
        <v>3456</v>
      </c>
      <c r="F1145" s="63"/>
      <c r="G1145" s="69"/>
      <c r="H1145" s="69">
        <v>9013.44</v>
      </c>
      <c r="I1145" s="69"/>
      <c r="J1145" s="69"/>
      <c r="K1145" s="69"/>
      <c r="L1145" s="69"/>
      <c r="M1145" s="69"/>
      <c r="N1145" s="69"/>
      <c r="O1145" s="69"/>
      <c r="P1145" s="69"/>
      <c r="Q1145" s="69"/>
      <c r="R1145" s="69"/>
      <c r="S1145" s="69"/>
      <c r="T1145" s="69"/>
      <c r="U1145" s="69"/>
      <c r="V1145" s="69"/>
      <c r="W1145" s="69"/>
      <c r="X1145" s="69"/>
      <c r="Y1145" s="69"/>
      <c r="Z1145" s="69"/>
      <c r="AA1145" s="69"/>
      <c r="AB1145" s="69"/>
      <c r="AC1145" s="69"/>
      <c r="AD1145" s="69"/>
      <c r="AE1145" s="69"/>
      <c r="AF1145" s="69"/>
      <c r="AG1145" s="69"/>
      <c r="AH1145" s="69"/>
      <c r="AI1145" s="69"/>
      <c r="AJ1145" s="69"/>
      <c r="AK1145" s="69"/>
      <c r="AL1145" s="69"/>
      <c r="AM1145" s="69"/>
      <c r="AN1145" s="69"/>
      <c r="AO1145" s="69"/>
      <c r="AP1145" s="69"/>
      <c r="AQ1145" s="69"/>
      <c r="AR1145" s="94">
        <f t="shared" si="77"/>
        <v>9013.44</v>
      </c>
      <c r="AS1145" s="69">
        <v>9013.44</v>
      </c>
      <c r="AT1145" s="69"/>
      <c r="AU1145" s="69"/>
      <c r="AV1145" s="69"/>
      <c r="AW1145" s="69"/>
      <c r="AX1145" s="69"/>
      <c r="AY1145" s="69"/>
      <c r="AZ1145" s="69"/>
      <c r="BA1145" s="69"/>
      <c r="BB1145" s="69"/>
      <c r="BC1145" s="69"/>
      <c r="BD1145" s="69"/>
      <c r="BE1145" s="69"/>
      <c r="BF1145" s="69"/>
      <c r="BG1145" s="69"/>
      <c r="BH1145" s="69"/>
      <c r="BI1145" s="69"/>
      <c r="BJ1145" s="69"/>
      <c r="BK1145" s="69"/>
      <c r="BL1145" s="69"/>
      <c r="BM1145" s="69"/>
      <c r="BN1145" s="69"/>
      <c r="BO1145" s="69"/>
      <c r="BP1145" s="69"/>
      <c r="BQ1145" s="69"/>
      <c r="BR1145" s="69"/>
      <c r="BS1145" s="69"/>
      <c r="BT1145" s="69"/>
      <c r="BU1145" s="69"/>
      <c r="BV1145" s="69"/>
      <c r="BW1145" s="69"/>
      <c r="BX1145" s="69"/>
      <c r="BY1145" s="69"/>
      <c r="BZ1145" s="69"/>
      <c r="CA1145" s="69"/>
      <c r="CB1145" s="69"/>
      <c r="CC1145" s="69"/>
      <c r="CD1145" s="69"/>
      <c r="CE1145" s="94">
        <f t="shared" si="96"/>
        <v>9013.44</v>
      </c>
      <c r="CF1145" s="151">
        <f t="shared" si="98"/>
        <v>0</v>
      </c>
      <c r="CG1145" s="75">
        <f t="shared" si="99"/>
        <v>4990</v>
      </c>
      <c r="CH1145" s="69" t="str">
        <f t="shared" si="99"/>
        <v>برنامج دولى</v>
      </c>
    </row>
    <row r="1146" spans="1:86" x14ac:dyDescent="0.25">
      <c r="A1146" s="148">
        <v>5</v>
      </c>
      <c r="B1146" s="82">
        <v>9026</v>
      </c>
      <c r="C1146" s="149">
        <v>4991</v>
      </c>
      <c r="D1146" s="69" t="s">
        <v>78</v>
      </c>
      <c r="E1146" s="69" t="s">
        <v>3457</v>
      </c>
      <c r="F1146" s="63"/>
      <c r="G1146" s="69"/>
      <c r="H1146" s="69">
        <v>2000</v>
      </c>
      <c r="I1146" s="69"/>
      <c r="J1146" s="69"/>
      <c r="K1146" s="69"/>
      <c r="L1146" s="69"/>
      <c r="M1146" s="69"/>
      <c r="N1146" s="69"/>
      <c r="O1146" s="69"/>
      <c r="P1146" s="69">
        <v>2000</v>
      </c>
      <c r="Q1146" s="69"/>
      <c r="R1146" s="69"/>
      <c r="S1146" s="69"/>
      <c r="T1146" s="69"/>
      <c r="U1146" s="69"/>
      <c r="V1146" s="69"/>
      <c r="W1146" s="69"/>
      <c r="X1146" s="69"/>
      <c r="Y1146" s="69"/>
      <c r="Z1146" s="69"/>
      <c r="AA1146" s="69"/>
      <c r="AB1146" s="69"/>
      <c r="AC1146" s="69"/>
      <c r="AD1146" s="69"/>
      <c r="AE1146" s="69"/>
      <c r="AF1146" s="69"/>
      <c r="AG1146" s="69"/>
      <c r="AH1146" s="69"/>
      <c r="AI1146" s="69"/>
      <c r="AJ1146" s="69"/>
      <c r="AK1146" s="69"/>
      <c r="AL1146" s="69"/>
      <c r="AM1146" s="69"/>
      <c r="AN1146" s="69"/>
      <c r="AO1146" s="69"/>
      <c r="AP1146" s="69"/>
      <c r="AQ1146" s="69"/>
      <c r="AR1146" s="94">
        <f t="shared" si="77"/>
        <v>4000</v>
      </c>
      <c r="AS1146" s="69">
        <v>2000</v>
      </c>
      <c r="AT1146" s="69"/>
      <c r="AU1146" s="69"/>
      <c r="AV1146" s="69"/>
      <c r="AW1146" s="69"/>
      <c r="AX1146" s="69"/>
      <c r="AY1146" s="69"/>
      <c r="AZ1146" s="69"/>
      <c r="BA1146" s="69"/>
      <c r="BB1146" s="69"/>
      <c r="BC1146" s="69"/>
      <c r="BD1146" s="69"/>
      <c r="BE1146" s="69"/>
      <c r="BF1146" s="69"/>
      <c r="BG1146" s="69"/>
      <c r="BH1146" s="69"/>
      <c r="BI1146" s="69"/>
      <c r="BJ1146" s="69"/>
      <c r="BK1146" s="69"/>
      <c r="BL1146" s="69"/>
      <c r="BM1146" s="69"/>
      <c r="BN1146" s="69"/>
      <c r="BO1146" s="69"/>
      <c r="BP1146" s="69">
        <v>2000</v>
      </c>
      <c r="BQ1146" s="69"/>
      <c r="BR1146" s="69"/>
      <c r="BS1146" s="69"/>
      <c r="BT1146" s="69"/>
      <c r="BU1146" s="69"/>
      <c r="BV1146" s="69"/>
      <c r="BW1146" s="69"/>
      <c r="BX1146" s="69"/>
      <c r="BY1146" s="69"/>
      <c r="BZ1146" s="69"/>
      <c r="CA1146" s="69"/>
      <c r="CB1146" s="69"/>
      <c r="CC1146" s="69"/>
      <c r="CD1146" s="69"/>
      <c r="CE1146" s="94">
        <f t="shared" si="96"/>
        <v>4000</v>
      </c>
      <c r="CF1146" s="151">
        <f t="shared" si="98"/>
        <v>0</v>
      </c>
      <c r="CG1146" s="75">
        <f t="shared" si="99"/>
        <v>4991</v>
      </c>
      <c r="CH1146" s="69" t="str">
        <f t="shared" si="99"/>
        <v>برنامج دولى</v>
      </c>
    </row>
    <row r="1147" spans="1:86" x14ac:dyDescent="0.25">
      <c r="A1147" s="148"/>
      <c r="B1147" s="82">
        <v>9027</v>
      </c>
      <c r="C1147" s="149">
        <v>4992</v>
      </c>
      <c r="D1147" s="69" t="s">
        <v>78</v>
      </c>
      <c r="E1147" s="69" t="s">
        <v>3003</v>
      </c>
      <c r="F1147" s="63"/>
      <c r="G1147" s="69"/>
      <c r="H1147" s="69">
        <v>8000</v>
      </c>
      <c r="I1147" s="69"/>
      <c r="J1147" s="69"/>
      <c r="K1147" s="69"/>
      <c r="L1147" s="69"/>
      <c r="M1147" s="69"/>
      <c r="N1147" s="69"/>
      <c r="O1147" s="69"/>
      <c r="P1147" s="69">
        <v>8000</v>
      </c>
      <c r="Q1147" s="69"/>
      <c r="R1147" s="69"/>
      <c r="S1147" s="69"/>
      <c r="T1147" s="69"/>
      <c r="U1147" s="69"/>
      <c r="V1147" s="69"/>
      <c r="W1147" s="69"/>
      <c r="X1147" s="69"/>
      <c r="Y1147" s="69"/>
      <c r="Z1147" s="69"/>
      <c r="AA1147" s="69"/>
      <c r="AB1147" s="69"/>
      <c r="AC1147" s="69"/>
      <c r="AD1147" s="69"/>
      <c r="AE1147" s="69"/>
      <c r="AF1147" s="69"/>
      <c r="AG1147" s="69"/>
      <c r="AH1147" s="69"/>
      <c r="AI1147" s="69"/>
      <c r="AJ1147" s="69"/>
      <c r="AK1147" s="69"/>
      <c r="AL1147" s="69"/>
      <c r="AM1147" s="69"/>
      <c r="AN1147" s="69"/>
      <c r="AO1147" s="69"/>
      <c r="AP1147" s="69"/>
      <c r="AQ1147" s="69"/>
      <c r="AR1147" s="94">
        <f t="shared" si="77"/>
        <v>16000</v>
      </c>
      <c r="AS1147" s="69">
        <v>8000</v>
      </c>
      <c r="AT1147" s="69"/>
      <c r="AU1147" s="69"/>
      <c r="AV1147" s="69"/>
      <c r="AW1147" s="69"/>
      <c r="AX1147" s="69"/>
      <c r="AY1147" s="69"/>
      <c r="AZ1147" s="69"/>
      <c r="BA1147" s="69"/>
      <c r="BB1147" s="69"/>
      <c r="BC1147" s="69"/>
      <c r="BD1147" s="69"/>
      <c r="BE1147" s="69"/>
      <c r="BF1147" s="69"/>
      <c r="BG1147" s="69"/>
      <c r="BH1147" s="69"/>
      <c r="BI1147" s="69"/>
      <c r="BJ1147" s="69"/>
      <c r="BK1147" s="69"/>
      <c r="BL1147" s="69"/>
      <c r="BM1147" s="69"/>
      <c r="BN1147" s="69"/>
      <c r="BO1147" s="69"/>
      <c r="BP1147" s="69">
        <v>8000</v>
      </c>
      <c r="BQ1147" s="69"/>
      <c r="BR1147" s="69"/>
      <c r="BS1147" s="69"/>
      <c r="BT1147" s="69"/>
      <c r="BU1147" s="69"/>
      <c r="BV1147" s="69"/>
      <c r="BW1147" s="69"/>
      <c r="BX1147" s="69"/>
      <c r="BY1147" s="69"/>
      <c r="BZ1147" s="69"/>
      <c r="CA1147" s="69"/>
      <c r="CB1147" s="69"/>
      <c r="CC1147" s="69"/>
      <c r="CD1147" s="69"/>
      <c r="CE1147" s="94">
        <f t="shared" si="96"/>
        <v>16000</v>
      </c>
      <c r="CF1147" s="151">
        <f t="shared" si="98"/>
        <v>0</v>
      </c>
      <c r="CG1147" s="75">
        <f t="shared" si="99"/>
        <v>4992</v>
      </c>
      <c r="CH1147" s="69" t="str">
        <f t="shared" si="99"/>
        <v>برنامج دولى</v>
      </c>
    </row>
    <row r="1148" spans="1:86" x14ac:dyDescent="0.25">
      <c r="A1148" s="148"/>
      <c r="B1148" s="82">
        <v>8839</v>
      </c>
      <c r="C1148" s="149">
        <v>4993</v>
      </c>
      <c r="D1148" s="69" t="s">
        <v>78</v>
      </c>
      <c r="E1148" s="69" t="s">
        <v>3458</v>
      </c>
      <c r="F1148" s="63"/>
      <c r="G1148" s="69"/>
      <c r="H1148" s="69">
        <v>49500</v>
      </c>
      <c r="I1148" s="69"/>
      <c r="J1148" s="69"/>
      <c r="K1148" s="69"/>
      <c r="L1148" s="69"/>
      <c r="M1148" s="69"/>
      <c r="N1148" s="69"/>
      <c r="O1148" s="69"/>
      <c r="P1148" s="69"/>
      <c r="Q1148" s="69"/>
      <c r="R1148" s="69"/>
      <c r="S1148" s="69"/>
      <c r="T1148" s="69"/>
      <c r="U1148" s="69"/>
      <c r="V1148" s="69"/>
      <c r="W1148" s="69"/>
      <c r="X1148" s="69"/>
      <c r="Y1148" s="69"/>
      <c r="Z1148" s="69"/>
      <c r="AA1148" s="69"/>
      <c r="AB1148" s="69"/>
      <c r="AC1148" s="69"/>
      <c r="AD1148" s="69"/>
      <c r="AE1148" s="69"/>
      <c r="AF1148" s="69"/>
      <c r="AG1148" s="69"/>
      <c r="AH1148" s="69"/>
      <c r="AI1148" s="69"/>
      <c r="AJ1148" s="69"/>
      <c r="AK1148" s="69"/>
      <c r="AL1148" s="69"/>
      <c r="AM1148" s="69"/>
      <c r="AN1148" s="69"/>
      <c r="AO1148" s="69"/>
      <c r="AP1148" s="69"/>
      <c r="AQ1148" s="69"/>
      <c r="AR1148" s="94">
        <f t="shared" si="77"/>
        <v>49500</v>
      </c>
      <c r="AS1148" s="69">
        <v>45027.35</v>
      </c>
      <c r="AT1148" s="69">
        <v>1478.4</v>
      </c>
      <c r="AU1148" s="69"/>
      <c r="AV1148" s="69">
        <v>5</v>
      </c>
      <c r="AW1148" s="69"/>
      <c r="AX1148" s="69"/>
      <c r="AY1148" s="69"/>
      <c r="AZ1148" s="69"/>
      <c r="BA1148" s="69"/>
      <c r="BB1148" s="69"/>
      <c r="BC1148" s="69"/>
      <c r="BD1148" s="69"/>
      <c r="BE1148" s="69"/>
      <c r="BF1148" s="69"/>
      <c r="BG1148" s="69">
        <v>434.25</v>
      </c>
      <c r="BH1148" s="69">
        <v>80</v>
      </c>
      <c r="BI1148" s="69"/>
      <c r="BJ1148" s="69">
        <v>2475</v>
      </c>
      <c r="BK1148" s="69"/>
      <c r="BL1148" s="69"/>
      <c r="BM1148" s="69"/>
      <c r="BN1148" s="69"/>
      <c r="BO1148" s="69"/>
      <c r="BP1148" s="69"/>
      <c r="BQ1148" s="69"/>
      <c r="BR1148" s="69"/>
      <c r="BS1148" s="69"/>
      <c r="BT1148" s="69"/>
      <c r="BU1148" s="69"/>
      <c r="BV1148" s="69"/>
      <c r="BW1148" s="69"/>
      <c r="BX1148" s="69"/>
      <c r="BY1148" s="69"/>
      <c r="BZ1148" s="69"/>
      <c r="CA1148" s="69"/>
      <c r="CB1148" s="69"/>
      <c r="CC1148" s="69"/>
      <c r="CD1148" s="69"/>
      <c r="CE1148" s="94">
        <f t="shared" si="96"/>
        <v>49500</v>
      </c>
      <c r="CF1148" s="151">
        <f t="shared" si="98"/>
        <v>0</v>
      </c>
      <c r="CG1148" s="75">
        <f t="shared" si="99"/>
        <v>4993</v>
      </c>
      <c r="CH1148" s="69" t="str">
        <f t="shared" si="99"/>
        <v>برنامج دولى</v>
      </c>
    </row>
    <row r="1149" spans="1:86" x14ac:dyDescent="0.25">
      <c r="A1149" s="148"/>
      <c r="B1149" s="82">
        <v>8837</v>
      </c>
      <c r="C1149" s="149">
        <v>4994</v>
      </c>
      <c r="D1149" s="69" t="s">
        <v>78</v>
      </c>
      <c r="E1149" s="69" t="s">
        <v>3459</v>
      </c>
      <c r="F1149" s="63"/>
      <c r="G1149" s="69"/>
      <c r="H1149" s="69"/>
      <c r="I1149" s="69"/>
      <c r="J1149" s="69"/>
      <c r="K1149" s="69"/>
      <c r="L1149" s="69"/>
      <c r="M1149" s="69"/>
      <c r="N1149" s="69"/>
      <c r="O1149" s="69"/>
      <c r="P1149" s="69"/>
      <c r="Q1149" s="69"/>
      <c r="R1149" s="69"/>
      <c r="S1149" s="69"/>
      <c r="T1149" s="69"/>
      <c r="U1149" s="69"/>
      <c r="V1149" s="69"/>
      <c r="W1149" s="69"/>
      <c r="X1149" s="69">
        <v>624213.65</v>
      </c>
      <c r="Y1149" s="69"/>
      <c r="Z1149" s="69"/>
      <c r="AA1149" s="69"/>
      <c r="AB1149" s="69"/>
      <c r="AC1149" s="69"/>
      <c r="AD1149" s="69"/>
      <c r="AE1149" s="69"/>
      <c r="AF1149" s="69"/>
      <c r="AG1149" s="69"/>
      <c r="AH1149" s="69"/>
      <c r="AI1149" s="69"/>
      <c r="AJ1149" s="69"/>
      <c r="AK1149" s="69"/>
      <c r="AL1149" s="69"/>
      <c r="AM1149" s="69"/>
      <c r="AN1149" s="69"/>
      <c r="AO1149" s="69"/>
      <c r="AP1149" s="69"/>
      <c r="AQ1149" s="69"/>
      <c r="AR1149" s="94">
        <f t="shared" si="77"/>
        <v>624213.65</v>
      </c>
      <c r="AS1149" s="69">
        <v>624213.65</v>
      </c>
      <c r="AT1149" s="69"/>
      <c r="AU1149" s="69"/>
      <c r="AV1149" s="69"/>
      <c r="AW1149" s="69"/>
      <c r="AX1149" s="69"/>
      <c r="AY1149" s="69"/>
      <c r="AZ1149" s="69"/>
      <c r="BA1149" s="69"/>
      <c r="BB1149" s="69"/>
      <c r="BC1149" s="69"/>
      <c r="BD1149" s="69"/>
      <c r="BE1149" s="69"/>
      <c r="BF1149" s="69"/>
      <c r="BG1149" s="69"/>
      <c r="BH1149" s="69"/>
      <c r="BI1149" s="69"/>
      <c r="BJ1149" s="69"/>
      <c r="BK1149" s="69"/>
      <c r="BL1149" s="69"/>
      <c r="BM1149" s="69"/>
      <c r="BN1149" s="69"/>
      <c r="BO1149" s="69"/>
      <c r="BP1149" s="69"/>
      <c r="BQ1149" s="69"/>
      <c r="BR1149" s="69"/>
      <c r="BS1149" s="69"/>
      <c r="BT1149" s="69"/>
      <c r="BU1149" s="69"/>
      <c r="BV1149" s="69"/>
      <c r="BW1149" s="69"/>
      <c r="BX1149" s="69"/>
      <c r="BY1149" s="69"/>
      <c r="BZ1149" s="69"/>
      <c r="CA1149" s="69"/>
      <c r="CB1149" s="69"/>
      <c r="CC1149" s="69"/>
      <c r="CD1149" s="69"/>
      <c r="CE1149" s="94">
        <f t="shared" si="96"/>
        <v>624213.65</v>
      </c>
      <c r="CF1149" s="151">
        <f t="shared" si="98"/>
        <v>0</v>
      </c>
      <c r="CG1149" s="75">
        <f t="shared" si="99"/>
        <v>4994</v>
      </c>
      <c r="CH1149" s="69" t="str">
        <f t="shared" si="99"/>
        <v>برنامج دولى</v>
      </c>
    </row>
    <row r="1150" spans="1:86" x14ac:dyDescent="0.25">
      <c r="A1150" s="148"/>
      <c r="B1150" s="82">
        <v>8838</v>
      </c>
      <c r="C1150" s="149">
        <v>4995</v>
      </c>
      <c r="D1150" s="69" t="s">
        <v>78</v>
      </c>
      <c r="E1150" s="69" t="s">
        <v>3460</v>
      </c>
      <c r="F1150" s="63"/>
      <c r="G1150" s="69"/>
      <c r="H1150" s="69"/>
      <c r="I1150" s="69"/>
      <c r="J1150" s="69"/>
      <c r="K1150" s="69"/>
      <c r="L1150" s="69"/>
      <c r="M1150" s="69"/>
      <c r="N1150" s="69"/>
      <c r="O1150" s="69"/>
      <c r="P1150" s="69"/>
      <c r="Q1150" s="69"/>
      <c r="R1150" s="69"/>
      <c r="S1150" s="69"/>
      <c r="T1150" s="69"/>
      <c r="U1150" s="69"/>
      <c r="V1150" s="69"/>
      <c r="W1150" s="69"/>
      <c r="X1150" s="69">
        <v>982.5</v>
      </c>
      <c r="Y1150" s="69"/>
      <c r="Z1150" s="69"/>
      <c r="AA1150" s="69"/>
      <c r="AB1150" s="69"/>
      <c r="AC1150" s="69"/>
      <c r="AD1150" s="69"/>
      <c r="AE1150" s="69"/>
      <c r="AF1150" s="69"/>
      <c r="AG1150" s="69"/>
      <c r="AH1150" s="69"/>
      <c r="AI1150" s="69"/>
      <c r="AJ1150" s="69"/>
      <c r="AK1150" s="69"/>
      <c r="AL1150" s="69"/>
      <c r="AM1150" s="69"/>
      <c r="AN1150" s="69"/>
      <c r="AO1150" s="69"/>
      <c r="AP1150" s="69"/>
      <c r="AQ1150" s="69"/>
      <c r="AR1150" s="94">
        <f t="shared" si="77"/>
        <v>982.5</v>
      </c>
      <c r="AS1150" s="69">
        <v>982.5</v>
      </c>
      <c r="AT1150" s="69"/>
      <c r="AU1150" s="69"/>
      <c r="AV1150" s="69"/>
      <c r="AW1150" s="69"/>
      <c r="AX1150" s="69"/>
      <c r="AY1150" s="69"/>
      <c r="AZ1150" s="69"/>
      <c r="BA1150" s="69"/>
      <c r="BB1150" s="69"/>
      <c r="BC1150" s="69"/>
      <c r="BD1150" s="69"/>
      <c r="BE1150" s="69"/>
      <c r="BF1150" s="69"/>
      <c r="BG1150" s="69"/>
      <c r="BH1150" s="69"/>
      <c r="BI1150" s="69"/>
      <c r="BJ1150" s="69"/>
      <c r="BK1150" s="69"/>
      <c r="BL1150" s="69"/>
      <c r="BM1150" s="69"/>
      <c r="BN1150" s="69"/>
      <c r="BO1150" s="69"/>
      <c r="BP1150" s="69"/>
      <c r="BQ1150" s="69"/>
      <c r="BR1150" s="69"/>
      <c r="BS1150" s="69"/>
      <c r="BT1150" s="69"/>
      <c r="BU1150" s="69"/>
      <c r="BV1150" s="69"/>
      <c r="BW1150" s="69"/>
      <c r="BX1150" s="69"/>
      <c r="BY1150" s="69"/>
      <c r="BZ1150" s="69"/>
      <c r="CA1150" s="69"/>
      <c r="CB1150" s="69"/>
      <c r="CC1150" s="69"/>
      <c r="CD1150" s="69"/>
      <c r="CE1150" s="94">
        <f t="shared" si="96"/>
        <v>982.5</v>
      </c>
      <c r="CF1150" s="151">
        <f t="shared" si="98"/>
        <v>0</v>
      </c>
      <c r="CG1150" s="75">
        <f t="shared" si="99"/>
        <v>4995</v>
      </c>
      <c r="CH1150" s="69" t="str">
        <f t="shared" si="99"/>
        <v>برنامج دولى</v>
      </c>
    </row>
    <row r="1151" spans="1:86" ht="36" x14ac:dyDescent="0.25">
      <c r="A1151" s="148"/>
      <c r="B1151" s="82">
        <v>9025</v>
      </c>
      <c r="C1151" s="149">
        <v>4996</v>
      </c>
      <c r="D1151" s="69" t="s">
        <v>128</v>
      </c>
      <c r="E1151" s="77" t="s">
        <v>3461</v>
      </c>
      <c r="F1151" s="63"/>
      <c r="G1151" s="69"/>
      <c r="H1151" s="69"/>
      <c r="I1151" s="69"/>
      <c r="J1151" s="69"/>
      <c r="K1151" s="69"/>
      <c r="L1151" s="69"/>
      <c r="M1151" s="69"/>
      <c r="N1151" s="69"/>
      <c r="O1151" s="69"/>
      <c r="P1151" s="69"/>
      <c r="Q1151" s="69"/>
      <c r="R1151" s="69"/>
      <c r="S1151" s="69"/>
      <c r="T1151" s="69"/>
      <c r="U1151" s="69"/>
      <c r="V1151" s="69"/>
      <c r="W1151" s="69"/>
      <c r="X1151" s="69">
        <v>2548</v>
      </c>
      <c r="Y1151" s="69"/>
      <c r="Z1151" s="69"/>
      <c r="AA1151" s="69"/>
      <c r="AB1151" s="69"/>
      <c r="AC1151" s="69"/>
      <c r="AD1151" s="69"/>
      <c r="AE1151" s="69"/>
      <c r="AF1151" s="69"/>
      <c r="AG1151" s="69"/>
      <c r="AH1151" s="69"/>
      <c r="AI1151" s="69"/>
      <c r="AJ1151" s="69"/>
      <c r="AK1151" s="69"/>
      <c r="AL1151" s="69"/>
      <c r="AM1151" s="69"/>
      <c r="AN1151" s="69"/>
      <c r="AO1151" s="69"/>
      <c r="AP1151" s="69"/>
      <c r="AQ1151" s="69"/>
      <c r="AR1151" s="94">
        <f t="shared" si="77"/>
        <v>2548</v>
      </c>
      <c r="AS1151" s="69">
        <v>2548</v>
      </c>
      <c r="AT1151" s="69"/>
      <c r="AU1151" s="69"/>
      <c r="AV1151" s="69"/>
      <c r="AW1151" s="69"/>
      <c r="AX1151" s="69"/>
      <c r="AY1151" s="69"/>
      <c r="AZ1151" s="69"/>
      <c r="BA1151" s="69"/>
      <c r="BB1151" s="69"/>
      <c r="BC1151" s="69"/>
      <c r="BD1151" s="69"/>
      <c r="BE1151" s="69"/>
      <c r="BF1151" s="69"/>
      <c r="BG1151" s="69"/>
      <c r="BH1151" s="69"/>
      <c r="BI1151" s="69"/>
      <c r="BJ1151" s="69"/>
      <c r="BK1151" s="69"/>
      <c r="BL1151" s="69"/>
      <c r="BM1151" s="69"/>
      <c r="BN1151" s="69"/>
      <c r="BO1151" s="69"/>
      <c r="BP1151" s="69"/>
      <c r="BQ1151" s="69"/>
      <c r="BR1151" s="69"/>
      <c r="BS1151" s="69"/>
      <c r="BT1151" s="69"/>
      <c r="BU1151" s="69"/>
      <c r="BV1151" s="69"/>
      <c r="BW1151" s="69"/>
      <c r="BX1151" s="69"/>
      <c r="BY1151" s="69"/>
      <c r="BZ1151" s="69"/>
      <c r="CA1151" s="69"/>
      <c r="CB1151" s="69"/>
      <c r="CC1151" s="69"/>
      <c r="CD1151" s="69"/>
      <c r="CE1151" s="94">
        <f t="shared" si="96"/>
        <v>2548</v>
      </c>
      <c r="CF1151" s="151">
        <f t="shared" si="98"/>
        <v>0</v>
      </c>
      <c r="CG1151" s="75">
        <f t="shared" si="99"/>
        <v>4996</v>
      </c>
      <c r="CH1151" s="69" t="str">
        <f t="shared" si="99"/>
        <v>مركز مؤتمرات</v>
      </c>
    </row>
    <row r="1152" spans="1:86" x14ac:dyDescent="0.25">
      <c r="A1152" s="148"/>
      <c r="B1152" s="82">
        <v>9282</v>
      </c>
      <c r="C1152" s="149">
        <v>4997</v>
      </c>
      <c r="D1152" s="69" t="s">
        <v>1431</v>
      </c>
      <c r="E1152" s="69" t="s">
        <v>1694</v>
      </c>
      <c r="F1152" s="63"/>
      <c r="G1152" s="69"/>
      <c r="H1152" s="69"/>
      <c r="I1152" s="69"/>
      <c r="J1152" s="69"/>
      <c r="K1152" s="69"/>
      <c r="L1152" s="69"/>
      <c r="M1152" s="69"/>
      <c r="N1152" s="69"/>
      <c r="O1152" s="69"/>
      <c r="P1152" s="69"/>
      <c r="Q1152" s="69"/>
      <c r="R1152" s="69"/>
      <c r="S1152" s="69"/>
      <c r="T1152" s="69"/>
      <c r="U1152" s="69"/>
      <c r="V1152" s="69"/>
      <c r="W1152" s="69"/>
      <c r="X1152" s="69"/>
      <c r="Y1152" s="69"/>
      <c r="Z1152" s="69"/>
      <c r="AA1152" s="69"/>
      <c r="AB1152" s="69"/>
      <c r="AC1152" s="69"/>
      <c r="AD1152" s="69"/>
      <c r="AE1152" s="69"/>
      <c r="AF1152" s="69"/>
      <c r="AG1152" s="69"/>
      <c r="AH1152" s="69"/>
      <c r="AI1152" s="69"/>
      <c r="AJ1152" s="69"/>
      <c r="AK1152" s="69"/>
      <c r="AL1152" s="69"/>
      <c r="AM1152" s="69"/>
      <c r="AN1152" s="69"/>
      <c r="AO1152" s="69"/>
      <c r="AP1152" s="69"/>
      <c r="AQ1152" s="69"/>
      <c r="AR1152" s="94">
        <f t="shared" si="77"/>
        <v>0</v>
      </c>
      <c r="AS1152" s="69"/>
      <c r="AT1152" s="69"/>
      <c r="AU1152" s="69"/>
      <c r="AV1152" s="69"/>
      <c r="AW1152" s="69"/>
      <c r="AX1152" s="69"/>
      <c r="AY1152" s="69"/>
      <c r="AZ1152" s="69"/>
      <c r="BA1152" s="69"/>
      <c r="BB1152" s="69"/>
      <c r="BC1152" s="69"/>
      <c r="BD1152" s="69"/>
      <c r="BE1152" s="69"/>
      <c r="BF1152" s="69"/>
      <c r="BG1152" s="69"/>
      <c r="BH1152" s="69"/>
      <c r="BI1152" s="69"/>
      <c r="BJ1152" s="69"/>
      <c r="BK1152" s="69"/>
      <c r="BL1152" s="69"/>
      <c r="BM1152" s="69"/>
      <c r="BN1152" s="69"/>
      <c r="BO1152" s="69"/>
      <c r="BP1152" s="69"/>
      <c r="BQ1152" s="69"/>
      <c r="BR1152" s="69"/>
      <c r="BS1152" s="69"/>
      <c r="BT1152" s="69"/>
      <c r="BU1152" s="69"/>
      <c r="BV1152" s="69"/>
      <c r="BW1152" s="69"/>
      <c r="BX1152" s="69"/>
      <c r="BY1152" s="69"/>
      <c r="BZ1152" s="69"/>
      <c r="CA1152" s="69"/>
      <c r="CB1152" s="69"/>
      <c r="CC1152" s="69"/>
      <c r="CD1152" s="69"/>
      <c r="CE1152" s="94">
        <f t="shared" si="96"/>
        <v>0</v>
      </c>
      <c r="CF1152" s="151">
        <f t="shared" si="98"/>
        <v>0</v>
      </c>
      <c r="CG1152" s="75">
        <f t="shared" si="99"/>
        <v>4997</v>
      </c>
      <c r="CH1152" s="69" t="str">
        <f t="shared" si="99"/>
        <v>لاب فقط</v>
      </c>
    </row>
    <row r="1153" spans="1:91" x14ac:dyDescent="0.25">
      <c r="A1153" s="148"/>
      <c r="B1153" s="82">
        <v>9283</v>
      </c>
      <c r="C1153" s="149">
        <v>4998</v>
      </c>
      <c r="D1153" s="69" t="s">
        <v>1431</v>
      </c>
      <c r="E1153" s="69" t="s">
        <v>1694</v>
      </c>
      <c r="F1153" s="63"/>
      <c r="G1153" s="69"/>
      <c r="H1153" s="69"/>
      <c r="I1153" s="69"/>
      <c r="J1153" s="69"/>
      <c r="K1153" s="69"/>
      <c r="L1153" s="69"/>
      <c r="M1153" s="69"/>
      <c r="N1153" s="69"/>
      <c r="O1153" s="69"/>
      <c r="P1153" s="69"/>
      <c r="Q1153" s="69"/>
      <c r="R1153" s="69"/>
      <c r="S1153" s="69"/>
      <c r="T1153" s="69"/>
      <c r="U1153" s="69"/>
      <c r="V1153" s="69"/>
      <c r="W1153" s="69"/>
      <c r="X1153" s="69"/>
      <c r="Y1153" s="69"/>
      <c r="Z1153" s="69"/>
      <c r="AA1153" s="69"/>
      <c r="AB1153" s="69"/>
      <c r="AC1153" s="69"/>
      <c r="AD1153" s="69"/>
      <c r="AE1153" s="69"/>
      <c r="AF1153" s="69"/>
      <c r="AG1153" s="69"/>
      <c r="AH1153" s="69"/>
      <c r="AI1153" s="69"/>
      <c r="AJ1153" s="69"/>
      <c r="AK1153" s="69"/>
      <c r="AL1153" s="69"/>
      <c r="AM1153" s="69"/>
      <c r="AN1153" s="69"/>
      <c r="AO1153" s="69"/>
      <c r="AP1153" s="69"/>
      <c r="AQ1153" s="69"/>
      <c r="AR1153" s="94">
        <f t="shared" si="77"/>
        <v>0</v>
      </c>
      <c r="AS1153" s="69"/>
      <c r="AT1153" s="69"/>
      <c r="AU1153" s="69"/>
      <c r="AV1153" s="69"/>
      <c r="AW1153" s="69"/>
      <c r="AX1153" s="69"/>
      <c r="AY1153" s="69"/>
      <c r="AZ1153" s="69"/>
      <c r="BA1153" s="69"/>
      <c r="BB1153" s="69"/>
      <c r="BC1153" s="69"/>
      <c r="BD1153" s="69"/>
      <c r="BE1153" s="69"/>
      <c r="BF1153" s="69"/>
      <c r="BG1153" s="69"/>
      <c r="BH1153" s="69"/>
      <c r="BI1153" s="69"/>
      <c r="BJ1153" s="69"/>
      <c r="BK1153" s="69"/>
      <c r="BL1153" s="69"/>
      <c r="BM1153" s="69"/>
      <c r="BN1153" s="69"/>
      <c r="BO1153" s="69"/>
      <c r="BP1153" s="69"/>
      <c r="BQ1153" s="69"/>
      <c r="BR1153" s="69"/>
      <c r="BS1153" s="69"/>
      <c r="BT1153" s="69"/>
      <c r="BU1153" s="69"/>
      <c r="BV1153" s="69"/>
      <c r="BW1153" s="69"/>
      <c r="BX1153" s="69"/>
      <c r="BY1153" s="69"/>
      <c r="BZ1153" s="69"/>
      <c r="CA1153" s="69"/>
      <c r="CB1153" s="69"/>
      <c r="CC1153" s="69"/>
      <c r="CD1153" s="69"/>
      <c r="CE1153" s="94">
        <f t="shared" si="96"/>
        <v>0</v>
      </c>
      <c r="CF1153" s="151">
        <f t="shared" si="98"/>
        <v>0</v>
      </c>
      <c r="CG1153" s="75">
        <f t="shared" si="99"/>
        <v>4998</v>
      </c>
      <c r="CH1153" s="69" t="str">
        <f t="shared" si="99"/>
        <v>لاب فقط</v>
      </c>
    </row>
    <row r="1154" spans="1:91" x14ac:dyDescent="0.25">
      <c r="A1154" s="148"/>
      <c r="B1154" s="82">
        <v>9284</v>
      </c>
      <c r="C1154" s="149">
        <v>4999</v>
      </c>
      <c r="D1154" s="69" t="s">
        <v>1431</v>
      </c>
      <c r="E1154" s="69" t="s">
        <v>1694</v>
      </c>
      <c r="F1154" s="63"/>
      <c r="G1154" s="69"/>
      <c r="H1154" s="69"/>
      <c r="I1154" s="69"/>
      <c r="J1154" s="69"/>
      <c r="K1154" s="69"/>
      <c r="L1154" s="69"/>
      <c r="M1154" s="69"/>
      <c r="N1154" s="69"/>
      <c r="O1154" s="69"/>
      <c r="P1154" s="69"/>
      <c r="Q1154" s="69"/>
      <c r="R1154" s="69"/>
      <c r="S1154" s="69"/>
      <c r="T1154" s="69"/>
      <c r="U1154" s="69"/>
      <c r="V1154" s="69"/>
      <c r="W1154" s="69"/>
      <c r="X1154" s="69"/>
      <c r="Y1154" s="69"/>
      <c r="Z1154" s="69"/>
      <c r="AA1154" s="69"/>
      <c r="AB1154" s="69"/>
      <c r="AC1154" s="69"/>
      <c r="AD1154" s="69"/>
      <c r="AE1154" s="69"/>
      <c r="AF1154" s="69"/>
      <c r="AG1154" s="69"/>
      <c r="AH1154" s="69"/>
      <c r="AI1154" s="69"/>
      <c r="AJ1154" s="69"/>
      <c r="AK1154" s="69"/>
      <c r="AL1154" s="69"/>
      <c r="AM1154" s="69"/>
      <c r="AN1154" s="69"/>
      <c r="AO1154" s="69"/>
      <c r="AP1154" s="69"/>
      <c r="AQ1154" s="69"/>
      <c r="AR1154" s="94">
        <f t="shared" si="77"/>
        <v>0</v>
      </c>
      <c r="AS1154" s="69"/>
      <c r="AT1154" s="69"/>
      <c r="AU1154" s="69"/>
      <c r="AV1154" s="69"/>
      <c r="AW1154" s="69"/>
      <c r="AX1154" s="69"/>
      <c r="AY1154" s="69"/>
      <c r="AZ1154" s="69"/>
      <c r="BA1154" s="69"/>
      <c r="BB1154" s="69"/>
      <c r="BC1154" s="69"/>
      <c r="BD1154" s="69"/>
      <c r="BE1154" s="69"/>
      <c r="BF1154" s="69"/>
      <c r="BG1154" s="69"/>
      <c r="BH1154" s="69"/>
      <c r="BI1154" s="69"/>
      <c r="BJ1154" s="69"/>
      <c r="BK1154" s="69"/>
      <c r="BL1154" s="69"/>
      <c r="BM1154" s="69"/>
      <c r="BN1154" s="69"/>
      <c r="BO1154" s="69"/>
      <c r="BP1154" s="69"/>
      <c r="BQ1154" s="69"/>
      <c r="BR1154" s="69"/>
      <c r="BS1154" s="69"/>
      <c r="BT1154" s="69"/>
      <c r="BU1154" s="69"/>
      <c r="BV1154" s="69"/>
      <c r="BW1154" s="69"/>
      <c r="BX1154" s="69"/>
      <c r="BY1154" s="69"/>
      <c r="BZ1154" s="69"/>
      <c r="CA1154" s="69"/>
      <c r="CB1154" s="69"/>
      <c r="CC1154" s="69"/>
      <c r="CD1154" s="69"/>
      <c r="CE1154" s="94">
        <f t="shared" si="96"/>
        <v>0</v>
      </c>
      <c r="CF1154" s="151">
        <f t="shared" si="98"/>
        <v>0</v>
      </c>
      <c r="CG1154" s="75">
        <f t="shared" si="99"/>
        <v>4999</v>
      </c>
      <c r="CH1154" s="69" t="str">
        <f t="shared" si="99"/>
        <v>لاب فقط</v>
      </c>
    </row>
    <row r="1155" spans="1:91" x14ac:dyDescent="0.25">
      <c r="A1155" s="148"/>
      <c r="B1155" s="82"/>
      <c r="C1155" s="149">
        <v>5000</v>
      </c>
      <c r="D1155" s="69" t="s">
        <v>1431</v>
      </c>
      <c r="E1155" s="69" t="s">
        <v>1694</v>
      </c>
      <c r="F1155" s="63"/>
      <c r="G1155" s="69"/>
      <c r="H1155" s="69"/>
      <c r="I1155" s="69"/>
      <c r="J1155" s="69"/>
      <c r="K1155" s="69"/>
      <c r="L1155" s="69"/>
      <c r="M1155" s="69"/>
      <c r="N1155" s="69"/>
      <c r="O1155" s="69"/>
      <c r="P1155" s="69"/>
      <c r="Q1155" s="69"/>
      <c r="R1155" s="69"/>
      <c r="S1155" s="69"/>
      <c r="T1155" s="69"/>
      <c r="U1155" s="69"/>
      <c r="V1155" s="69"/>
      <c r="W1155" s="69"/>
      <c r="X1155" s="69"/>
      <c r="Y1155" s="69"/>
      <c r="Z1155" s="69"/>
      <c r="AA1155" s="69"/>
      <c r="AB1155" s="69"/>
      <c r="AC1155" s="69"/>
      <c r="AD1155" s="69"/>
      <c r="AE1155" s="69"/>
      <c r="AF1155" s="69"/>
      <c r="AG1155" s="69"/>
      <c r="AH1155" s="69"/>
      <c r="AI1155" s="69"/>
      <c r="AJ1155" s="69"/>
      <c r="AK1155" s="69"/>
      <c r="AL1155" s="69"/>
      <c r="AM1155" s="69"/>
      <c r="AN1155" s="69"/>
      <c r="AO1155" s="69"/>
      <c r="AP1155" s="69"/>
      <c r="AQ1155" s="69"/>
      <c r="AR1155" s="94">
        <f t="shared" si="77"/>
        <v>0</v>
      </c>
      <c r="AS1155" s="69"/>
      <c r="AT1155" s="69"/>
      <c r="AU1155" s="69"/>
      <c r="AV1155" s="69"/>
      <c r="AW1155" s="69"/>
      <c r="AX1155" s="69"/>
      <c r="AY1155" s="69"/>
      <c r="AZ1155" s="69"/>
      <c r="BA1155" s="69"/>
      <c r="BB1155" s="69"/>
      <c r="BC1155" s="69"/>
      <c r="BD1155" s="69"/>
      <c r="BE1155" s="69"/>
      <c r="BF1155" s="69"/>
      <c r="BG1155" s="69"/>
      <c r="BH1155" s="69"/>
      <c r="BI1155" s="69"/>
      <c r="BJ1155" s="69"/>
      <c r="BK1155" s="69"/>
      <c r="BL1155" s="69"/>
      <c r="BM1155" s="69"/>
      <c r="BN1155" s="69"/>
      <c r="BO1155" s="69"/>
      <c r="BP1155" s="69"/>
      <c r="BQ1155" s="69"/>
      <c r="BR1155" s="69"/>
      <c r="BS1155" s="69"/>
      <c r="BT1155" s="69"/>
      <c r="BU1155" s="69"/>
      <c r="BV1155" s="69"/>
      <c r="BW1155" s="69"/>
      <c r="BX1155" s="69"/>
      <c r="BY1155" s="69"/>
      <c r="BZ1155" s="69"/>
      <c r="CA1155" s="69"/>
      <c r="CB1155" s="69"/>
      <c r="CC1155" s="69"/>
      <c r="CD1155" s="69"/>
      <c r="CE1155" s="94">
        <f t="shared" si="96"/>
        <v>0</v>
      </c>
      <c r="CF1155" s="151">
        <f t="shared" si="98"/>
        <v>0</v>
      </c>
      <c r="CG1155" s="75">
        <f t="shared" si="99"/>
        <v>5000</v>
      </c>
      <c r="CH1155" s="69" t="str">
        <f t="shared" si="99"/>
        <v>لاب فقط</v>
      </c>
    </row>
    <row r="1156" spans="1:91" x14ac:dyDescent="0.25">
      <c r="A1156" s="148"/>
      <c r="B1156" s="82"/>
      <c r="C1156" s="149">
        <v>5001</v>
      </c>
      <c r="D1156" s="69" t="s">
        <v>1431</v>
      </c>
      <c r="E1156" s="69" t="s">
        <v>3462</v>
      </c>
      <c r="F1156" s="63"/>
      <c r="G1156" s="69"/>
      <c r="H1156" s="69"/>
      <c r="I1156" s="69"/>
      <c r="J1156" s="69"/>
      <c r="K1156" s="69"/>
      <c r="L1156" s="69"/>
      <c r="M1156" s="69"/>
      <c r="N1156" s="69"/>
      <c r="O1156" s="69"/>
      <c r="P1156" s="69"/>
      <c r="Q1156" s="69"/>
      <c r="R1156" s="69"/>
      <c r="S1156" s="69"/>
      <c r="T1156" s="69"/>
      <c r="U1156" s="69"/>
      <c r="V1156" s="69"/>
      <c r="W1156" s="69"/>
      <c r="X1156" s="69"/>
      <c r="Y1156" s="69"/>
      <c r="Z1156" s="69"/>
      <c r="AA1156" s="69"/>
      <c r="AB1156" s="69"/>
      <c r="AC1156" s="69"/>
      <c r="AD1156" s="69"/>
      <c r="AE1156" s="69"/>
      <c r="AF1156" s="69"/>
      <c r="AG1156" s="69"/>
      <c r="AH1156" s="69"/>
      <c r="AI1156" s="69"/>
      <c r="AJ1156" s="69"/>
      <c r="AK1156" s="69"/>
      <c r="AL1156" s="69"/>
      <c r="AM1156" s="69"/>
      <c r="AN1156" s="69"/>
      <c r="AO1156" s="69"/>
      <c r="AP1156" s="69"/>
      <c r="AQ1156" s="69"/>
      <c r="AR1156" s="94">
        <f t="shared" si="77"/>
        <v>0</v>
      </c>
      <c r="AS1156" s="69"/>
      <c r="AT1156" s="69"/>
      <c r="AU1156" s="69"/>
      <c r="AV1156" s="69"/>
      <c r="AW1156" s="69"/>
      <c r="AX1156" s="69"/>
      <c r="AY1156" s="69"/>
      <c r="AZ1156" s="69"/>
      <c r="BA1156" s="69"/>
      <c r="BB1156" s="69"/>
      <c r="BC1156" s="69"/>
      <c r="BD1156" s="69"/>
      <c r="BE1156" s="69"/>
      <c r="BF1156" s="69"/>
      <c r="BG1156" s="69"/>
      <c r="BH1156" s="69"/>
      <c r="BI1156" s="69"/>
      <c r="BJ1156" s="69"/>
      <c r="BK1156" s="69"/>
      <c r="BL1156" s="69"/>
      <c r="BM1156" s="69"/>
      <c r="BN1156" s="69"/>
      <c r="BO1156" s="69"/>
      <c r="BP1156" s="69"/>
      <c r="BQ1156" s="69"/>
      <c r="BR1156" s="69"/>
      <c r="BS1156" s="69"/>
      <c r="BT1156" s="69"/>
      <c r="BU1156" s="69"/>
      <c r="BV1156" s="69"/>
      <c r="BW1156" s="69"/>
      <c r="BX1156" s="69"/>
      <c r="BY1156" s="69"/>
      <c r="BZ1156" s="69"/>
      <c r="CA1156" s="69"/>
      <c r="CB1156" s="69"/>
      <c r="CC1156" s="69"/>
      <c r="CD1156" s="69"/>
      <c r="CE1156" s="94">
        <f t="shared" ref="CE1156" si="100">SUM(AS1156:CD1156)</f>
        <v>0</v>
      </c>
      <c r="CF1156" s="151">
        <f t="shared" si="98"/>
        <v>0</v>
      </c>
      <c r="CG1156" s="75">
        <f t="shared" si="99"/>
        <v>5001</v>
      </c>
      <c r="CH1156" s="69" t="str">
        <f t="shared" si="99"/>
        <v>لاب فقط</v>
      </c>
    </row>
    <row r="1157" spans="1:91" s="156" customFormat="1" x14ac:dyDescent="0.25">
      <c r="A1157" s="153"/>
      <c r="B1157" s="83"/>
      <c r="C1157" s="154"/>
      <c r="D1157" s="69"/>
      <c r="E1157" s="68" t="s">
        <v>3463</v>
      </c>
      <c r="F1157" s="68"/>
      <c r="G1157" s="68">
        <f>SUM(G993:G1156)</f>
        <v>1619448.8699999996</v>
      </c>
      <c r="H1157" s="68">
        <f t="shared" ref="H1157:BS1157" si="101">SUM(H993:H1156)</f>
        <v>656250.93999999994</v>
      </c>
      <c r="I1157" s="68">
        <f t="shared" si="101"/>
        <v>0</v>
      </c>
      <c r="J1157" s="68">
        <f t="shared" si="101"/>
        <v>0</v>
      </c>
      <c r="K1157" s="68">
        <f t="shared" si="101"/>
        <v>0</v>
      </c>
      <c r="L1157" s="68">
        <f t="shared" si="101"/>
        <v>0</v>
      </c>
      <c r="M1157" s="68">
        <f t="shared" si="101"/>
        <v>0</v>
      </c>
      <c r="N1157" s="68">
        <f t="shared" si="101"/>
        <v>0</v>
      </c>
      <c r="O1157" s="68">
        <f t="shared" si="101"/>
        <v>0</v>
      </c>
      <c r="P1157" s="68">
        <f t="shared" si="101"/>
        <v>10000</v>
      </c>
      <c r="Q1157" s="68">
        <f t="shared" si="101"/>
        <v>0</v>
      </c>
      <c r="R1157" s="68">
        <f t="shared" si="101"/>
        <v>0</v>
      </c>
      <c r="S1157" s="68">
        <f t="shared" si="101"/>
        <v>0</v>
      </c>
      <c r="T1157" s="68">
        <f t="shared" si="101"/>
        <v>0</v>
      </c>
      <c r="U1157" s="68">
        <f t="shared" si="101"/>
        <v>0</v>
      </c>
      <c r="V1157" s="68">
        <f t="shared" si="101"/>
        <v>0</v>
      </c>
      <c r="W1157" s="68">
        <f t="shared" si="101"/>
        <v>0</v>
      </c>
      <c r="X1157" s="68">
        <f t="shared" si="101"/>
        <v>633707.75</v>
      </c>
      <c r="Y1157" s="68">
        <f t="shared" si="101"/>
        <v>0</v>
      </c>
      <c r="Z1157" s="68">
        <f t="shared" si="101"/>
        <v>0</v>
      </c>
      <c r="AA1157" s="68">
        <f t="shared" si="101"/>
        <v>0</v>
      </c>
      <c r="AB1157" s="68">
        <f t="shared" si="101"/>
        <v>161000</v>
      </c>
      <c r="AC1157" s="68">
        <f t="shared" si="101"/>
        <v>0</v>
      </c>
      <c r="AD1157" s="68">
        <f t="shared" si="101"/>
        <v>0</v>
      </c>
      <c r="AE1157" s="68">
        <f t="shared" si="101"/>
        <v>0</v>
      </c>
      <c r="AF1157" s="68">
        <f t="shared" si="101"/>
        <v>0</v>
      </c>
      <c r="AG1157" s="68">
        <f t="shared" si="101"/>
        <v>0</v>
      </c>
      <c r="AH1157" s="68">
        <f t="shared" si="101"/>
        <v>0</v>
      </c>
      <c r="AI1157" s="68">
        <f t="shared" si="101"/>
        <v>0</v>
      </c>
      <c r="AJ1157" s="68">
        <f t="shared" si="101"/>
        <v>0</v>
      </c>
      <c r="AK1157" s="68">
        <f t="shared" si="101"/>
        <v>0</v>
      </c>
      <c r="AL1157" s="68">
        <f t="shared" si="101"/>
        <v>0</v>
      </c>
      <c r="AM1157" s="68">
        <f t="shared" si="101"/>
        <v>0</v>
      </c>
      <c r="AN1157" s="68">
        <f t="shared" si="101"/>
        <v>0</v>
      </c>
      <c r="AO1157" s="68">
        <f t="shared" si="101"/>
        <v>0</v>
      </c>
      <c r="AP1157" s="68">
        <f t="shared" si="101"/>
        <v>0</v>
      </c>
      <c r="AQ1157" s="68">
        <f t="shared" si="101"/>
        <v>0</v>
      </c>
      <c r="AR1157" s="91">
        <f t="shared" si="101"/>
        <v>3080407.5599999996</v>
      </c>
      <c r="AS1157" s="68">
        <f t="shared" si="101"/>
        <v>2433060.11</v>
      </c>
      <c r="AT1157" s="68">
        <f t="shared" si="101"/>
        <v>160616.27000000005</v>
      </c>
      <c r="AU1157" s="68">
        <f t="shared" si="101"/>
        <v>301721.17</v>
      </c>
      <c r="AV1157" s="68">
        <f t="shared" si="101"/>
        <v>574.86</v>
      </c>
      <c r="AW1157" s="68">
        <f t="shared" si="101"/>
        <v>0</v>
      </c>
      <c r="AX1157" s="68">
        <f t="shared" si="101"/>
        <v>0</v>
      </c>
      <c r="AY1157" s="68">
        <f t="shared" si="101"/>
        <v>0</v>
      </c>
      <c r="AZ1157" s="68">
        <f t="shared" si="101"/>
        <v>0</v>
      </c>
      <c r="BA1157" s="68">
        <f t="shared" si="101"/>
        <v>0</v>
      </c>
      <c r="BB1157" s="68">
        <f t="shared" si="101"/>
        <v>0</v>
      </c>
      <c r="BC1157" s="68">
        <f t="shared" si="101"/>
        <v>0</v>
      </c>
      <c r="BD1157" s="68">
        <f t="shared" si="101"/>
        <v>0</v>
      </c>
      <c r="BE1157" s="68">
        <f t="shared" si="101"/>
        <v>0</v>
      </c>
      <c r="BF1157" s="68">
        <f t="shared" si="101"/>
        <v>0</v>
      </c>
      <c r="BG1157" s="68">
        <f t="shared" si="101"/>
        <v>5881.65</v>
      </c>
      <c r="BH1157" s="68">
        <f t="shared" si="101"/>
        <v>246</v>
      </c>
      <c r="BI1157" s="68">
        <f t="shared" si="101"/>
        <v>832.5</v>
      </c>
      <c r="BJ1157" s="68">
        <f t="shared" si="101"/>
        <v>2475</v>
      </c>
      <c r="BK1157" s="68">
        <f t="shared" si="101"/>
        <v>4000</v>
      </c>
      <c r="BL1157" s="68">
        <f t="shared" si="101"/>
        <v>0</v>
      </c>
      <c r="BM1157" s="68">
        <f t="shared" si="101"/>
        <v>0</v>
      </c>
      <c r="BN1157" s="68">
        <f t="shared" si="101"/>
        <v>0</v>
      </c>
      <c r="BO1157" s="68">
        <f t="shared" si="101"/>
        <v>0</v>
      </c>
      <c r="BP1157" s="68">
        <f t="shared" si="101"/>
        <v>10000</v>
      </c>
      <c r="BQ1157" s="68">
        <f t="shared" si="101"/>
        <v>0</v>
      </c>
      <c r="BR1157" s="68">
        <f t="shared" si="101"/>
        <v>0</v>
      </c>
      <c r="BS1157" s="68">
        <f t="shared" si="101"/>
        <v>161000</v>
      </c>
      <c r="BT1157" s="68">
        <f t="shared" ref="BT1157:CL1157" si="102">SUM(BT993:BT1156)</f>
        <v>0</v>
      </c>
      <c r="BU1157" s="68">
        <f t="shared" si="102"/>
        <v>0</v>
      </c>
      <c r="BV1157" s="68">
        <f t="shared" si="102"/>
        <v>0</v>
      </c>
      <c r="BW1157" s="68">
        <f t="shared" si="102"/>
        <v>0</v>
      </c>
      <c r="BX1157" s="68">
        <f t="shared" si="102"/>
        <v>0</v>
      </c>
      <c r="BY1157" s="68">
        <f t="shared" si="102"/>
        <v>0</v>
      </c>
      <c r="BZ1157" s="68">
        <f t="shared" si="102"/>
        <v>0</v>
      </c>
      <c r="CA1157" s="68">
        <f t="shared" si="102"/>
        <v>0</v>
      </c>
      <c r="CB1157" s="68">
        <f t="shared" si="102"/>
        <v>0</v>
      </c>
      <c r="CC1157" s="68">
        <f t="shared" si="102"/>
        <v>0</v>
      </c>
      <c r="CD1157" s="68">
        <f t="shared" si="102"/>
        <v>0</v>
      </c>
      <c r="CE1157" s="91">
        <f t="shared" si="102"/>
        <v>3080407.5599999996</v>
      </c>
      <c r="CF1157" s="68">
        <f t="shared" si="102"/>
        <v>0</v>
      </c>
      <c r="CG1157" s="68"/>
      <c r="CH1157" s="68">
        <f t="shared" si="102"/>
        <v>0</v>
      </c>
      <c r="CI1157" s="68">
        <f t="shared" si="102"/>
        <v>0</v>
      </c>
      <c r="CJ1157" s="68">
        <f t="shared" si="102"/>
        <v>0</v>
      </c>
      <c r="CK1157" s="68">
        <f t="shared" si="102"/>
        <v>0</v>
      </c>
      <c r="CL1157" s="68">
        <f t="shared" si="102"/>
        <v>0</v>
      </c>
    </row>
    <row r="1158" spans="1:91" ht="36" x14ac:dyDescent="0.25">
      <c r="A1158" s="148"/>
      <c r="B1158" s="82"/>
      <c r="C1158" s="149">
        <v>5002</v>
      </c>
      <c r="D1158" s="69" t="s">
        <v>128</v>
      </c>
      <c r="E1158" s="77" t="s">
        <v>3464</v>
      </c>
      <c r="F1158" s="63"/>
      <c r="G1158" s="69"/>
      <c r="H1158" s="69"/>
      <c r="I1158" s="69"/>
      <c r="J1158" s="69"/>
      <c r="K1158" s="69"/>
      <c r="L1158" s="69"/>
      <c r="M1158" s="69"/>
      <c r="N1158" s="69">
        <v>87925</v>
      </c>
      <c r="O1158" s="69">
        <v>87925</v>
      </c>
      <c r="P1158" s="69"/>
      <c r="Q1158" s="69"/>
      <c r="R1158" s="69">
        <v>4396.25</v>
      </c>
      <c r="S1158" s="69"/>
      <c r="T1158" s="69"/>
      <c r="U1158" s="69">
        <v>2287.1999999999998</v>
      </c>
      <c r="V1158" s="69">
        <v>80</v>
      </c>
      <c r="W1158" s="69">
        <v>771.3</v>
      </c>
      <c r="X1158" s="69">
        <v>219.5</v>
      </c>
      <c r="Y1158" s="69"/>
      <c r="Z1158" s="69"/>
      <c r="AA1158" s="69"/>
      <c r="AB1158" s="69"/>
      <c r="AC1158" s="69"/>
      <c r="AD1158" s="69"/>
      <c r="AE1158" s="69">
        <v>80170.75</v>
      </c>
      <c r="AF1158" s="69"/>
      <c r="AG1158" s="69"/>
      <c r="AH1158" s="69"/>
      <c r="AI1158" s="69"/>
      <c r="AJ1158" s="69"/>
      <c r="AK1158" s="69"/>
      <c r="AL1158" s="69"/>
      <c r="AM1158" s="69"/>
      <c r="AN1158" s="69"/>
      <c r="AO1158" s="69"/>
      <c r="AP1158" s="69"/>
      <c r="AQ1158" s="69"/>
      <c r="AR1158" s="94">
        <f>SUM(G1158:AQ1158)</f>
        <v>263775</v>
      </c>
      <c r="AS1158" s="69"/>
      <c r="AT1158" s="69"/>
      <c r="AU1158" s="69"/>
      <c r="AV1158" s="69"/>
      <c r="AW1158" s="69"/>
      <c r="AX1158" s="69"/>
      <c r="AY1158" s="69"/>
      <c r="AZ1158" s="69"/>
      <c r="BA1158" s="69"/>
      <c r="BB1158" s="69"/>
      <c r="BC1158" s="69"/>
      <c r="BD1158" s="69"/>
      <c r="BE1158" s="69">
        <v>87925</v>
      </c>
      <c r="BF1158" s="69"/>
      <c r="BG1158" s="69"/>
      <c r="BH1158" s="69"/>
      <c r="BI1158" s="69"/>
      <c r="BJ1158" s="69"/>
      <c r="BK1158" s="69"/>
      <c r="BL1158" s="69"/>
      <c r="BM1158" s="69"/>
      <c r="BN1158" s="69">
        <v>87925</v>
      </c>
      <c r="BO1158" s="69">
        <v>87925</v>
      </c>
      <c r="BP1158" s="69"/>
      <c r="BQ1158" s="69"/>
      <c r="BR1158" s="69"/>
      <c r="BS1158" s="69"/>
      <c r="BT1158" s="69"/>
      <c r="BU1158" s="69"/>
      <c r="BV1158" s="69"/>
      <c r="BW1158" s="69"/>
      <c r="BX1158" s="69"/>
      <c r="BY1158" s="69"/>
      <c r="BZ1158" s="69"/>
      <c r="CA1158" s="69"/>
      <c r="CB1158" s="69"/>
      <c r="CC1158" s="69"/>
      <c r="CD1158" s="69"/>
      <c r="CE1158" s="94">
        <f>SUM(AS1158:CD1158)</f>
        <v>263775</v>
      </c>
      <c r="CF1158" s="151">
        <f>+CE1158-AR1158</f>
        <v>0</v>
      </c>
      <c r="CG1158" s="75">
        <f>+C1158</f>
        <v>5002</v>
      </c>
      <c r="CH1158" s="69" t="str">
        <f>+D1158</f>
        <v>مركز مؤتمرات</v>
      </c>
    </row>
    <row r="1159" spans="1:91" x14ac:dyDescent="0.25">
      <c r="A1159" s="148"/>
      <c r="B1159" s="82"/>
      <c r="C1159" s="149">
        <v>5003</v>
      </c>
      <c r="D1159" s="69" t="s">
        <v>1431</v>
      </c>
      <c r="E1159" s="69" t="s">
        <v>3465</v>
      </c>
      <c r="F1159" s="63"/>
      <c r="G1159" s="69"/>
      <c r="H1159" s="69"/>
      <c r="I1159" s="69"/>
      <c r="J1159" s="69"/>
      <c r="K1159" s="69"/>
      <c r="L1159" s="69"/>
      <c r="M1159" s="69"/>
      <c r="N1159" s="69"/>
      <c r="O1159" s="69"/>
      <c r="P1159" s="69"/>
      <c r="Q1159" s="69"/>
      <c r="R1159" s="69"/>
      <c r="S1159" s="69"/>
      <c r="T1159" s="69"/>
      <c r="U1159" s="69"/>
      <c r="V1159" s="69"/>
      <c r="W1159" s="69"/>
      <c r="X1159" s="69"/>
      <c r="Y1159" s="69"/>
      <c r="Z1159" s="69"/>
      <c r="AA1159" s="69"/>
      <c r="AB1159" s="69"/>
      <c r="AC1159" s="69"/>
      <c r="AD1159" s="69"/>
      <c r="AE1159" s="69"/>
      <c r="AF1159" s="69"/>
      <c r="AG1159" s="69"/>
      <c r="AH1159" s="69"/>
      <c r="AI1159" s="69"/>
      <c r="AJ1159" s="69"/>
      <c r="AK1159" s="69"/>
      <c r="AL1159" s="69"/>
      <c r="AM1159" s="69"/>
      <c r="AN1159" s="69"/>
      <c r="AO1159" s="69"/>
      <c r="AP1159" s="69"/>
      <c r="AQ1159" s="69"/>
      <c r="AR1159" s="94">
        <f>SUM(G1159:AQ1159)</f>
        <v>0</v>
      </c>
      <c r="AS1159" s="69"/>
      <c r="AT1159" s="69"/>
      <c r="AU1159" s="69"/>
      <c r="AV1159" s="69"/>
      <c r="AW1159" s="69"/>
      <c r="AX1159" s="69"/>
      <c r="AY1159" s="69"/>
      <c r="AZ1159" s="69"/>
      <c r="BA1159" s="69"/>
      <c r="BB1159" s="69"/>
      <c r="BC1159" s="69"/>
      <c r="BD1159" s="69"/>
      <c r="BE1159" s="69"/>
      <c r="BF1159" s="69"/>
      <c r="BG1159" s="69"/>
      <c r="BH1159" s="69"/>
      <c r="BI1159" s="69"/>
      <c r="BJ1159" s="69"/>
      <c r="BK1159" s="69"/>
      <c r="BL1159" s="69"/>
      <c r="BM1159" s="69"/>
      <c r="BN1159" s="69"/>
      <c r="BO1159" s="69"/>
      <c r="BP1159" s="69"/>
      <c r="BQ1159" s="69"/>
      <c r="BR1159" s="69"/>
      <c r="BS1159" s="69"/>
      <c r="BT1159" s="69"/>
      <c r="BU1159" s="69"/>
      <c r="BV1159" s="69"/>
      <c r="BW1159" s="69"/>
      <c r="BX1159" s="69"/>
      <c r="BY1159" s="69"/>
      <c r="BZ1159" s="69"/>
      <c r="CA1159" s="69"/>
      <c r="CB1159" s="69"/>
      <c r="CC1159" s="69"/>
      <c r="CD1159" s="69"/>
      <c r="CE1159" s="94">
        <f>SUM(AS1159:CD1159)</f>
        <v>0</v>
      </c>
      <c r="CF1159" s="151">
        <f>+CE1159-AR1159</f>
        <v>0</v>
      </c>
      <c r="CG1159" s="75">
        <f>+C1159</f>
        <v>5003</v>
      </c>
      <c r="CH1159" s="69" t="str">
        <f>+D1159</f>
        <v>لاب فقط</v>
      </c>
    </row>
    <row r="1160" spans="1:91" x14ac:dyDescent="0.25">
      <c r="A1160" s="148"/>
      <c r="B1160" s="82">
        <v>9282</v>
      </c>
      <c r="C1160" s="149">
        <v>5004</v>
      </c>
      <c r="D1160" s="69" t="s">
        <v>2820</v>
      </c>
      <c r="E1160" s="69" t="s">
        <v>3466</v>
      </c>
      <c r="F1160" s="63"/>
      <c r="G1160" s="69">
        <v>996.62</v>
      </c>
      <c r="H1160" s="69"/>
      <c r="I1160" s="69"/>
      <c r="J1160" s="69"/>
      <c r="K1160" s="69"/>
      <c r="L1160" s="69"/>
      <c r="M1160" s="69"/>
      <c r="N1160" s="69"/>
      <c r="O1160" s="69"/>
      <c r="P1160" s="69"/>
      <c r="Q1160" s="69"/>
      <c r="R1160" s="69"/>
      <c r="S1160" s="69"/>
      <c r="T1160" s="69"/>
      <c r="U1160" s="69"/>
      <c r="V1160" s="69"/>
      <c r="W1160" s="69"/>
      <c r="X1160" s="69"/>
      <c r="Y1160" s="69"/>
      <c r="Z1160" s="69"/>
      <c r="AA1160" s="69"/>
      <c r="AB1160" s="69"/>
      <c r="AC1160" s="69"/>
      <c r="AD1160" s="69"/>
      <c r="AE1160" s="69"/>
      <c r="AF1160" s="69"/>
      <c r="AG1160" s="69"/>
      <c r="AH1160" s="69"/>
      <c r="AI1160" s="69"/>
      <c r="AJ1160" s="69"/>
      <c r="AK1160" s="69"/>
      <c r="AL1160" s="69"/>
      <c r="AM1160" s="69"/>
      <c r="AN1160" s="69"/>
      <c r="AO1160" s="69"/>
      <c r="AP1160" s="69"/>
      <c r="AQ1160" s="69"/>
      <c r="AR1160" s="94">
        <f t="shared" ref="AR1160:AR1209" si="103">SUM(G1160:AQ1160)</f>
        <v>996.62</v>
      </c>
      <c r="AS1160" s="69">
        <v>666.55</v>
      </c>
      <c r="AT1160" s="69">
        <v>89.95</v>
      </c>
      <c r="AU1160" s="69">
        <v>240.12</v>
      </c>
      <c r="AV1160" s="69"/>
      <c r="AW1160" s="69"/>
      <c r="AX1160" s="69"/>
      <c r="AY1160" s="69"/>
      <c r="AZ1160" s="69"/>
      <c r="BA1160" s="69"/>
      <c r="BB1160" s="69"/>
      <c r="BC1160" s="69"/>
      <c r="BD1160" s="69"/>
      <c r="BE1160" s="69"/>
      <c r="BF1160" s="69"/>
      <c r="BG1160" s="69"/>
      <c r="BH1160" s="69"/>
      <c r="BI1160" s="69"/>
      <c r="BJ1160" s="69"/>
      <c r="BK1160" s="69"/>
      <c r="BL1160" s="69"/>
      <c r="BM1160" s="69"/>
      <c r="BN1160" s="69"/>
      <c r="BO1160" s="69"/>
      <c r="BP1160" s="69"/>
      <c r="BQ1160" s="69"/>
      <c r="BR1160" s="69"/>
      <c r="BS1160" s="69"/>
      <c r="BT1160" s="69"/>
      <c r="BU1160" s="69"/>
      <c r="BV1160" s="69"/>
      <c r="BW1160" s="69"/>
      <c r="BX1160" s="69"/>
      <c r="BY1160" s="69"/>
      <c r="BZ1160" s="69"/>
      <c r="CA1160" s="69"/>
      <c r="CB1160" s="69"/>
      <c r="CC1160" s="69"/>
      <c r="CD1160" s="69"/>
      <c r="CE1160" s="94">
        <f t="shared" ref="CE1160:CE1209" si="104">SUM(AS1160:CD1160)</f>
        <v>996.62</v>
      </c>
      <c r="CF1160" s="151">
        <f t="shared" ref="CF1160:CF1209" si="105">+CE1160-AR1160</f>
        <v>0</v>
      </c>
      <c r="CG1160" s="75">
        <f t="shared" ref="CG1160:CH1176" si="106">+C1160</f>
        <v>5004</v>
      </c>
      <c r="CH1160" s="69" t="str">
        <f t="shared" si="106"/>
        <v xml:space="preserve">خ ت طب </v>
      </c>
    </row>
    <row r="1161" spans="1:91" x14ac:dyDescent="0.25">
      <c r="A1161" s="148"/>
      <c r="B1161" s="82">
        <v>9283</v>
      </c>
      <c r="C1161" s="149">
        <v>5005</v>
      </c>
      <c r="D1161" s="69" t="s">
        <v>2820</v>
      </c>
      <c r="E1161" s="69" t="s">
        <v>3467</v>
      </c>
      <c r="F1161" s="63"/>
      <c r="G1161" s="69">
        <v>293.12</v>
      </c>
      <c r="H1161" s="69"/>
      <c r="I1161" s="69"/>
      <c r="J1161" s="69"/>
      <c r="K1161" s="69"/>
      <c r="L1161" s="69"/>
      <c r="M1161" s="69"/>
      <c r="N1161" s="69"/>
      <c r="O1161" s="69"/>
      <c r="P1161" s="69"/>
      <c r="Q1161" s="69"/>
      <c r="R1161" s="69"/>
      <c r="S1161" s="69"/>
      <c r="T1161" s="69"/>
      <c r="U1161" s="69"/>
      <c r="V1161" s="69"/>
      <c r="W1161" s="69"/>
      <c r="X1161" s="69"/>
      <c r="Y1161" s="69"/>
      <c r="Z1161" s="69"/>
      <c r="AA1161" s="69"/>
      <c r="AB1161" s="69"/>
      <c r="AC1161" s="69"/>
      <c r="AD1161" s="69"/>
      <c r="AE1161" s="69"/>
      <c r="AF1161" s="69"/>
      <c r="AG1161" s="69"/>
      <c r="AH1161" s="69"/>
      <c r="AI1161" s="69"/>
      <c r="AJ1161" s="69"/>
      <c r="AK1161" s="69"/>
      <c r="AL1161" s="69"/>
      <c r="AM1161" s="69"/>
      <c r="AN1161" s="69"/>
      <c r="AO1161" s="69"/>
      <c r="AP1161" s="69"/>
      <c r="AQ1161" s="69"/>
      <c r="AR1161" s="94">
        <f t="shared" si="103"/>
        <v>293.12</v>
      </c>
      <c r="AS1161" s="69">
        <v>188.06</v>
      </c>
      <c r="AT1161" s="69">
        <v>21.94</v>
      </c>
      <c r="AU1161" s="69">
        <v>70.62</v>
      </c>
      <c r="AV1161" s="69">
        <v>12.5</v>
      </c>
      <c r="AW1161" s="69"/>
      <c r="AX1161" s="69"/>
      <c r="AY1161" s="69"/>
      <c r="AZ1161" s="69"/>
      <c r="BA1161" s="69"/>
      <c r="BB1161" s="69"/>
      <c r="BC1161" s="69"/>
      <c r="BD1161" s="69"/>
      <c r="BE1161" s="69"/>
      <c r="BF1161" s="69"/>
      <c r="BG1161" s="69"/>
      <c r="BH1161" s="69"/>
      <c r="BI1161" s="69"/>
      <c r="BJ1161" s="69"/>
      <c r="BK1161" s="69"/>
      <c r="BL1161" s="69"/>
      <c r="BM1161" s="69"/>
      <c r="BN1161" s="69"/>
      <c r="BO1161" s="69"/>
      <c r="BP1161" s="69"/>
      <c r="BQ1161" s="69"/>
      <c r="BR1161" s="69"/>
      <c r="BS1161" s="69"/>
      <c r="BT1161" s="69"/>
      <c r="BU1161" s="69"/>
      <c r="BV1161" s="69"/>
      <c r="BW1161" s="69"/>
      <c r="BX1161" s="69"/>
      <c r="BY1161" s="69"/>
      <c r="BZ1161" s="69"/>
      <c r="CA1161" s="69"/>
      <c r="CB1161" s="69"/>
      <c r="CC1161" s="69"/>
      <c r="CD1161" s="69"/>
      <c r="CE1161" s="94">
        <f t="shared" si="104"/>
        <v>293.12</v>
      </c>
      <c r="CF1161" s="151">
        <f t="shared" si="105"/>
        <v>0</v>
      </c>
      <c r="CG1161" s="75">
        <f t="shared" si="106"/>
        <v>5005</v>
      </c>
      <c r="CH1161" s="69" t="str">
        <f t="shared" si="106"/>
        <v xml:space="preserve">خ ت طب </v>
      </c>
    </row>
    <row r="1162" spans="1:91" x14ac:dyDescent="0.25">
      <c r="A1162" s="148"/>
      <c r="B1162" s="82">
        <v>9284</v>
      </c>
      <c r="C1162" s="149">
        <v>5006</v>
      </c>
      <c r="D1162" s="69" t="s">
        <v>2820</v>
      </c>
      <c r="E1162" s="69" t="s">
        <v>3467</v>
      </c>
      <c r="F1162" s="63"/>
      <c r="G1162" s="69">
        <v>762.12</v>
      </c>
      <c r="H1162" s="69"/>
      <c r="I1162" s="69"/>
      <c r="J1162" s="69"/>
      <c r="K1162" s="69"/>
      <c r="L1162" s="69"/>
      <c r="M1162" s="69"/>
      <c r="N1162" s="69"/>
      <c r="O1162" s="69"/>
      <c r="P1162" s="69"/>
      <c r="Q1162" s="69"/>
      <c r="R1162" s="69"/>
      <c r="S1162" s="69"/>
      <c r="T1162" s="69"/>
      <c r="U1162" s="69"/>
      <c r="V1162" s="69"/>
      <c r="W1162" s="69"/>
      <c r="X1162" s="69"/>
      <c r="Y1162" s="69"/>
      <c r="Z1162" s="69"/>
      <c r="AA1162" s="69"/>
      <c r="AB1162" s="69"/>
      <c r="AC1162" s="69"/>
      <c r="AD1162" s="69"/>
      <c r="AE1162" s="69"/>
      <c r="AF1162" s="69"/>
      <c r="AG1162" s="69"/>
      <c r="AH1162" s="69"/>
      <c r="AI1162" s="69"/>
      <c r="AJ1162" s="69"/>
      <c r="AK1162" s="69"/>
      <c r="AL1162" s="69"/>
      <c r="AM1162" s="69"/>
      <c r="AN1162" s="69"/>
      <c r="AO1162" s="69"/>
      <c r="AP1162" s="69"/>
      <c r="AQ1162" s="69"/>
      <c r="AR1162" s="94">
        <f t="shared" si="103"/>
        <v>762.12</v>
      </c>
      <c r="AS1162" s="69">
        <v>517.23</v>
      </c>
      <c r="AT1162" s="69">
        <v>28.77</v>
      </c>
      <c r="AU1162" s="69">
        <v>183.62</v>
      </c>
      <c r="AV1162" s="69">
        <v>32.5</v>
      </c>
      <c r="AW1162" s="69"/>
      <c r="AX1162" s="69"/>
      <c r="AY1162" s="69"/>
      <c r="AZ1162" s="69"/>
      <c r="BA1162" s="69"/>
      <c r="BB1162" s="69"/>
      <c r="BC1162" s="69"/>
      <c r="BD1162" s="69"/>
      <c r="BE1162" s="69"/>
      <c r="BF1162" s="69"/>
      <c r="BG1162" s="69"/>
      <c r="BH1162" s="69"/>
      <c r="BI1162" s="69"/>
      <c r="BJ1162" s="69"/>
      <c r="BK1162" s="69"/>
      <c r="BL1162" s="69"/>
      <c r="BM1162" s="69"/>
      <c r="BN1162" s="69"/>
      <c r="BO1162" s="69"/>
      <c r="BP1162" s="69"/>
      <c r="BQ1162" s="69"/>
      <c r="BR1162" s="69"/>
      <c r="BS1162" s="69"/>
      <c r="BT1162" s="69"/>
      <c r="BU1162" s="69"/>
      <c r="BV1162" s="69"/>
      <c r="BW1162" s="69"/>
      <c r="BX1162" s="69"/>
      <c r="BY1162" s="69"/>
      <c r="BZ1162" s="69"/>
      <c r="CA1162" s="69"/>
      <c r="CB1162" s="69"/>
      <c r="CC1162" s="69"/>
      <c r="CD1162" s="69"/>
      <c r="CE1162" s="94">
        <f t="shared" si="104"/>
        <v>762.12</v>
      </c>
      <c r="CF1162" s="151">
        <f t="shared" si="105"/>
        <v>0</v>
      </c>
      <c r="CG1162" s="75">
        <f t="shared" si="106"/>
        <v>5006</v>
      </c>
      <c r="CH1162" s="69" t="str">
        <f t="shared" si="106"/>
        <v xml:space="preserve">خ ت طب </v>
      </c>
    </row>
    <row r="1163" spans="1:91" x14ac:dyDescent="0.25">
      <c r="A1163" s="148"/>
      <c r="B1163" s="82">
        <v>9300</v>
      </c>
      <c r="C1163" s="149">
        <v>5007</v>
      </c>
      <c r="D1163" s="69" t="s">
        <v>121</v>
      </c>
      <c r="E1163" s="69" t="s">
        <v>3468</v>
      </c>
      <c r="F1163" s="63"/>
      <c r="G1163" s="69">
        <v>1000</v>
      </c>
      <c r="H1163" s="69"/>
      <c r="I1163" s="69"/>
      <c r="J1163" s="69"/>
      <c r="K1163" s="69"/>
      <c r="L1163" s="69"/>
      <c r="M1163" s="69"/>
      <c r="N1163" s="69"/>
      <c r="O1163" s="69"/>
      <c r="P1163" s="69"/>
      <c r="Q1163" s="69"/>
      <c r="R1163" s="69"/>
      <c r="S1163" s="69"/>
      <c r="T1163" s="69"/>
      <c r="U1163" s="69"/>
      <c r="V1163" s="69"/>
      <c r="W1163" s="69"/>
      <c r="X1163" s="69"/>
      <c r="Y1163" s="69"/>
      <c r="Z1163" s="69"/>
      <c r="AA1163" s="69"/>
      <c r="AB1163" s="69"/>
      <c r="AC1163" s="69"/>
      <c r="AD1163" s="69"/>
      <c r="AE1163" s="69"/>
      <c r="AF1163" s="69"/>
      <c r="AG1163" s="69"/>
      <c r="AH1163" s="69"/>
      <c r="AI1163" s="69"/>
      <c r="AJ1163" s="69"/>
      <c r="AK1163" s="69"/>
      <c r="AL1163" s="69"/>
      <c r="AM1163" s="69"/>
      <c r="AN1163" s="69"/>
      <c r="AO1163" s="69"/>
      <c r="AP1163" s="69"/>
      <c r="AQ1163" s="69"/>
      <c r="AR1163" s="94">
        <f t="shared" si="103"/>
        <v>1000</v>
      </c>
      <c r="AS1163" s="69">
        <v>894.1</v>
      </c>
      <c r="AT1163" s="69">
        <v>105.9</v>
      </c>
      <c r="AU1163" s="69"/>
      <c r="AV1163" s="69"/>
      <c r="AW1163" s="69"/>
      <c r="AX1163" s="69"/>
      <c r="AY1163" s="69"/>
      <c r="AZ1163" s="69"/>
      <c r="BA1163" s="69"/>
      <c r="BB1163" s="69"/>
      <c r="BC1163" s="69"/>
      <c r="BD1163" s="69"/>
      <c r="BE1163" s="69"/>
      <c r="BF1163" s="69"/>
      <c r="BG1163" s="69"/>
      <c r="BH1163" s="69"/>
      <c r="BI1163" s="69"/>
      <c r="BJ1163" s="69"/>
      <c r="BK1163" s="69"/>
      <c r="BL1163" s="69"/>
      <c r="BM1163" s="69"/>
      <c r="BN1163" s="69"/>
      <c r="BO1163" s="69"/>
      <c r="BP1163" s="69"/>
      <c r="BQ1163" s="69"/>
      <c r="BR1163" s="69"/>
      <c r="BS1163" s="69"/>
      <c r="BT1163" s="69"/>
      <c r="BU1163" s="69"/>
      <c r="BV1163" s="69"/>
      <c r="BW1163" s="69"/>
      <c r="BX1163" s="69"/>
      <c r="BY1163" s="69"/>
      <c r="BZ1163" s="69"/>
      <c r="CA1163" s="69"/>
      <c r="CB1163" s="69"/>
      <c r="CC1163" s="69"/>
      <c r="CD1163" s="69"/>
      <c r="CE1163" s="94">
        <f t="shared" si="104"/>
        <v>1000</v>
      </c>
      <c r="CF1163" s="151">
        <f t="shared" si="105"/>
        <v>0</v>
      </c>
      <c r="CG1163" s="75">
        <f t="shared" si="106"/>
        <v>5007</v>
      </c>
      <c r="CH1163" s="69" t="str">
        <f t="shared" si="106"/>
        <v>ماليزى اسنان</v>
      </c>
    </row>
    <row r="1164" spans="1:91" x14ac:dyDescent="0.25">
      <c r="A1164" s="148"/>
      <c r="B1164" s="82">
        <v>9301</v>
      </c>
      <c r="C1164" s="149">
        <v>5008</v>
      </c>
      <c r="D1164" s="69" t="s">
        <v>121</v>
      </c>
      <c r="E1164" s="69" t="s">
        <v>3468</v>
      </c>
      <c r="F1164" s="63"/>
      <c r="G1164" s="69">
        <v>3000</v>
      </c>
      <c r="H1164" s="69"/>
      <c r="I1164" s="69"/>
      <c r="J1164" s="69"/>
      <c r="K1164" s="69"/>
      <c r="L1164" s="69"/>
      <c r="M1164" s="69"/>
      <c r="N1164" s="69"/>
      <c r="O1164" s="69"/>
      <c r="P1164" s="69"/>
      <c r="Q1164" s="69"/>
      <c r="R1164" s="69"/>
      <c r="S1164" s="69"/>
      <c r="T1164" s="69"/>
      <c r="U1164" s="69"/>
      <c r="V1164" s="69"/>
      <c r="W1164" s="69"/>
      <c r="X1164" s="69"/>
      <c r="Y1164" s="69"/>
      <c r="Z1164" s="69"/>
      <c r="AA1164" s="69"/>
      <c r="AB1164" s="69"/>
      <c r="AC1164" s="69"/>
      <c r="AD1164" s="69"/>
      <c r="AE1164" s="69"/>
      <c r="AF1164" s="69"/>
      <c r="AG1164" s="69"/>
      <c r="AH1164" s="69"/>
      <c r="AI1164" s="69"/>
      <c r="AJ1164" s="69"/>
      <c r="AK1164" s="69"/>
      <c r="AL1164" s="69"/>
      <c r="AM1164" s="69"/>
      <c r="AN1164" s="69"/>
      <c r="AO1164" s="69"/>
      <c r="AP1164" s="69"/>
      <c r="AQ1164" s="69"/>
      <c r="AR1164" s="94">
        <f t="shared" si="103"/>
        <v>3000</v>
      </c>
      <c r="AS1164" s="69">
        <v>2682.3</v>
      </c>
      <c r="AT1164" s="69">
        <v>317.7</v>
      </c>
      <c r="AU1164" s="69"/>
      <c r="AV1164" s="69"/>
      <c r="AW1164" s="69"/>
      <c r="AX1164" s="69"/>
      <c r="AY1164" s="69"/>
      <c r="AZ1164" s="69"/>
      <c r="BA1164" s="69"/>
      <c r="BB1164" s="69"/>
      <c r="BC1164" s="69"/>
      <c r="BD1164" s="69"/>
      <c r="BE1164" s="69"/>
      <c r="BF1164" s="69"/>
      <c r="BG1164" s="69"/>
      <c r="BH1164" s="69"/>
      <c r="BI1164" s="69"/>
      <c r="BJ1164" s="69"/>
      <c r="BK1164" s="69"/>
      <c r="BL1164" s="69"/>
      <c r="BM1164" s="69"/>
      <c r="BN1164" s="69"/>
      <c r="BO1164" s="69"/>
      <c r="BP1164" s="69"/>
      <c r="BQ1164" s="69"/>
      <c r="BR1164" s="69"/>
      <c r="BS1164" s="69"/>
      <c r="BT1164" s="69"/>
      <c r="BU1164" s="69"/>
      <c r="BV1164" s="69"/>
      <c r="BW1164" s="69"/>
      <c r="BX1164" s="69"/>
      <c r="BY1164" s="69"/>
      <c r="BZ1164" s="69"/>
      <c r="CA1164" s="69"/>
      <c r="CB1164" s="69"/>
      <c r="CC1164" s="69"/>
      <c r="CD1164" s="69"/>
      <c r="CE1164" s="94">
        <f t="shared" si="104"/>
        <v>3000</v>
      </c>
      <c r="CF1164" s="151">
        <f t="shared" si="105"/>
        <v>0</v>
      </c>
      <c r="CG1164" s="75">
        <f t="shared" si="106"/>
        <v>5008</v>
      </c>
      <c r="CH1164" s="69" t="str">
        <f t="shared" si="106"/>
        <v>ماليزى اسنان</v>
      </c>
    </row>
    <row r="1165" spans="1:91" s="156" customFormat="1" x14ac:dyDescent="0.25">
      <c r="A1165" s="153"/>
      <c r="B1165" s="83"/>
      <c r="C1165" s="154"/>
      <c r="D1165" s="69"/>
      <c r="E1165" s="68" t="s">
        <v>3469</v>
      </c>
      <c r="F1165" s="68"/>
      <c r="G1165" s="68">
        <f>SUM(G1158:G1164)</f>
        <v>6051.8600000000006</v>
      </c>
      <c r="H1165" s="68">
        <f t="shared" ref="H1165:BS1165" si="107">SUM(H1158:H1164)</f>
        <v>0</v>
      </c>
      <c r="I1165" s="68">
        <f t="shared" si="107"/>
        <v>0</v>
      </c>
      <c r="J1165" s="68">
        <f t="shared" si="107"/>
        <v>0</v>
      </c>
      <c r="K1165" s="68">
        <f t="shared" si="107"/>
        <v>0</v>
      </c>
      <c r="L1165" s="68">
        <f t="shared" si="107"/>
        <v>0</v>
      </c>
      <c r="M1165" s="68">
        <f t="shared" si="107"/>
        <v>0</v>
      </c>
      <c r="N1165" s="68">
        <f t="shared" si="107"/>
        <v>87925</v>
      </c>
      <c r="O1165" s="68">
        <f t="shared" si="107"/>
        <v>87925</v>
      </c>
      <c r="P1165" s="68">
        <f t="shared" si="107"/>
        <v>0</v>
      </c>
      <c r="Q1165" s="68">
        <f t="shared" si="107"/>
        <v>0</v>
      </c>
      <c r="R1165" s="68">
        <f t="shared" si="107"/>
        <v>4396.25</v>
      </c>
      <c r="S1165" s="68">
        <f t="shared" si="107"/>
        <v>0</v>
      </c>
      <c r="T1165" s="68">
        <f t="shared" si="107"/>
        <v>0</v>
      </c>
      <c r="U1165" s="68">
        <f t="shared" si="107"/>
        <v>2287.1999999999998</v>
      </c>
      <c r="V1165" s="68">
        <f t="shared" si="107"/>
        <v>80</v>
      </c>
      <c r="W1165" s="68">
        <f t="shared" si="107"/>
        <v>771.3</v>
      </c>
      <c r="X1165" s="68">
        <f t="shared" si="107"/>
        <v>219.5</v>
      </c>
      <c r="Y1165" s="68">
        <f t="shared" si="107"/>
        <v>0</v>
      </c>
      <c r="Z1165" s="68">
        <f t="shared" si="107"/>
        <v>0</v>
      </c>
      <c r="AA1165" s="68">
        <f t="shared" si="107"/>
        <v>0</v>
      </c>
      <c r="AB1165" s="68">
        <f t="shared" si="107"/>
        <v>0</v>
      </c>
      <c r="AC1165" s="68">
        <f t="shared" si="107"/>
        <v>0</v>
      </c>
      <c r="AD1165" s="68">
        <f t="shared" si="107"/>
        <v>0</v>
      </c>
      <c r="AE1165" s="68">
        <f t="shared" si="107"/>
        <v>80170.75</v>
      </c>
      <c r="AF1165" s="68">
        <f t="shared" si="107"/>
        <v>0</v>
      </c>
      <c r="AG1165" s="68">
        <f t="shared" si="107"/>
        <v>0</v>
      </c>
      <c r="AH1165" s="68">
        <f t="shared" si="107"/>
        <v>0</v>
      </c>
      <c r="AI1165" s="68">
        <f t="shared" si="107"/>
        <v>0</v>
      </c>
      <c r="AJ1165" s="68">
        <f t="shared" si="107"/>
        <v>0</v>
      </c>
      <c r="AK1165" s="68">
        <f t="shared" si="107"/>
        <v>0</v>
      </c>
      <c r="AL1165" s="68">
        <f t="shared" si="107"/>
        <v>0</v>
      </c>
      <c r="AM1165" s="68">
        <f t="shared" si="107"/>
        <v>0</v>
      </c>
      <c r="AN1165" s="68">
        <f t="shared" si="107"/>
        <v>0</v>
      </c>
      <c r="AO1165" s="68">
        <f t="shared" si="107"/>
        <v>0</v>
      </c>
      <c r="AP1165" s="68">
        <f t="shared" si="107"/>
        <v>0</v>
      </c>
      <c r="AQ1165" s="68">
        <f t="shared" si="107"/>
        <v>0</v>
      </c>
      <c r="AR1165" s="91">
        <f t="shared" si="107"/>
        <v>269826.86</v>
      </c>
      <c r="AS1165" s="68">
        <f t="shared" si="107"/>
        <v>4948.24</v>
      </c>
      <c r="AT1165" s="68">
        <f t="shared" si="107"/>
        <v>564.26</v>
      </c>
      <c r="AU1165" s="68">
        <f t="shared" si="107"/>
        <v>494.36</v>
      </c>
      <c r="AV1165" s="68">
        <f t="shared" si="107"/>
        <v>45</v>
      </c>
      <c r="AW1165" s="68">
        <f t="shared" si="107"/>
        <v>0</v>
      </c>
      <c r="AX1165" s="68">
        <f t="shared" si="107"/>
        <v>0</v>
      </c>
      <c r="AY1165" s="68">
        <f t="shared" si="107"/>
        <v>0</v>
      </c>
      <c r="AZ1165" s="68">
        <f t="shared" si="107"/>
        <v>0</v>
      </c>
      <c r="BA1165" s="68">
        <f t="shared" si="107"/>
        <v>0</v>
      </c>
      <c r="BB1165" s="68">
        <f t="shared" si="107"/>
        <v>0</v>
      </c>
      <c r="BC1165" s="68">
        <f t="shared" si="107"/>
        <v>0</v>
      </c>
      <c r="BD1165" s="68">
        <f t="shared" si="107"/>
        <v>0</v>
      </c>
      <c r="BE1165" s="68">
        <f t="shared" si="107"/>
        <v>87925</v>
      </c>
      <c r="BF1165" s="68">
        <f t="shared" si="107"/>
        <v>0</v>
      </c>
      <c r="BG1165" s="68">
        <f t="shared" si="107"/>
        <v>0</v>
      </c>
      <c r="BH1165" s="68">
        <f t="shared" si="107"/>
        <v>0</v>
      </c>
      <c r="BI1165" s="68">
        <f t="shared" si="107"/>
        <v>0</v>
      </c>
      <c r="BJ1165" s="68">
        <f t="shared" si="107"/>
        <v>0</v>
      </c>
      <c r="BK1165" s="68">
        <f t="shared" si="107"/>
        <v>0</v>
      </c>
      <c r="BL1165" s="68">
        <f t="shared" si="107"/>
        <v>0</v>
      </c>
      <c r="BM1165" s="68">
        <f t="shared" si="107"/>
        <v>0</v>
      </c>
      <c r="BN1165" s="68">
        <f t="shared" si="107"/>
        <v>87925</v>
      </c>
      <c r="BO1165" s="68">
        <f t="shared" si="107"/>
        <v>87925</v>
      </c>
      <c r="BP1165" s="68">
        <f t="shared" si="107"/>
        <v>0</v>
      </c>
      <c r="BQ1165" s="68">
        <f t="shared" si="107"/>
        <v>0</v>
      </c>
      <c r="BR1165" s="68">
        <f t="shared" si="107"/>
        <v>0</v>
      </c>
      <c r="BS1165" s="68">
        <f t="shared" si="107"/>
        <v>0</v>
      </c>
      <c r="BT1165" s="68">
        <f t="shared" ref="BT1165:CJ1165" si="108">SUM(BT1158:BT1164)</f>
        <v>0</v>
      </c>
      <c r="BU1165" s="68">
        <f t="shared" si="108"/>
        <v>0</v>
      </c>
      <c r="BV1165" s="68">
        <f t="shared" si="108"/>
        <v>0</v>
      </c>
      <c r="BW1165" s="68">
        <f t="shared" si="108"/>
        <v>0</v>
      </c>
      <c r="BX1165" s="68">
        <f t="shared" si="108"/>
        <v>0</v>
      </c>
      <c r="BY1165" s="68">
        <f t="shared" si="108"/>
        <v>0</v>
      </c>
      <c r="BZ1165" s="68">
        <f t="shared" si="108"/>
        <v>0</v>
      </c>
      <c r="CA1165" s="68">
        <f t="shared" si="108"/>
        <v>0</v>
      </c>
      <c r="CB1165" s="68">
        <f t="shared" si="108"/>
        <v>0</v>
      </c>
      <c r="CC1165" s="68">
        <f t="shared" si="108"/>
        <v>0</v>
      </c>
      <c r="CD1165" s="68">
        <f t="shared" si="108"/>
        <v>0</v>
      </c>
      <c r="CE1165" s="91">
        <f t="shared" si="108"/>
        <v>269826.86</v>
      </c>
      <c r="CF1165" s="68">
        <f t="shared" si="108"/>
        <v>0</v>
      </c>
      <c r="CG1165" s="68"/>
      <c r="CH1165" s="68"/>
      <c r="CI1165" s="68">
        <f t="shared" si="108"/>
        <v>0</v>
      </c>
      <c r="CJ1165" s="68">
        <f t="shared" si="108"/>
        <v>0</v>
      </c>
    </row>
    <row r="1166" spans="1:91" x14ac:dyDescent="0.25">
      <c r="A1166" s="148"/>
      <c r="B1166" s="82">
        <v>9251</v>
      </c>
      <c r="C1166" s="149">
        <v>5009</v>
      </c>
      <c r="D1166" s="69" t="s">
        <v>132</v>
      </c>
      <c r="E1166" s="69" t="s">
        <v>3470</v>
      </c>
      <c r="F1166" s="63"/>
      <c r="G1166" s="69"/>
      <c r="H1166" s="69">
        <v>6000</v>
      </c>
      <c r="I1166" s="69"/>
      <c r="J1166" s="69"/>
      <c r="K1166" s="69"/>
      <c r="L1166" s="69"/>
      <c r="M1166" s="69"/>
      <c r="N1166" s="69"/>
      <c r="O1166" s="69"/>
      <c r="P1166" s="69">
        <v>6000</v>
      </c>
      <c r="Q1166" s="69"/>
      <c r="R1166" s="69"/>
      <c r="S1166" s="69"/>
      <c r="T1166" s="69"/>
      <c r="U1166" s="69"/>
      <c r="V1166" s="69"/>
      <c r="W1166" s="69"/>
      <c r="X1166" s="69"/>
      <c r="Y1166" s="69"/>
      <c r="Z1166" s="69"/>
      <c r="AA1166" s="69"/>
      <c r="AB1166" s="69"/>
      <c r="AC1166" s="69"/>
      <c r="AD1166" s="69"/>
      <c r="AE1166" s="69"/>
      <c r="AF1166" s="69"/>
      <c r="AG1166" s="69"/>
      <c r="AH1166" s="69"/>
      <c r="AI1166" s="69"/>
      <c r="AJ1166" s="69"/>
      <c r="AK1166" s="69"/>
      <c r="AL1166" s="69"/>
      <c r="AM1166" s="69"/>
      <c r="AN1166" s="69"/>
      <c r="AO1166" s="69"/>
      <c r="AP1166" s="69"/>
      <c r="AQ1166" s="69"/>
      <c r="AR1166" s="94">
        <f t="shared" si="103"/>
        <v>12000</v>
      </c>
      <c r="AS1166" s="69">
        <v>6000</v>
      </c>
      <c r="AT1166" s="69"/>
      <c r="AU1166" s="69"/>
      <c r="AV1166" s="69"/>
      <c r="AW1166" s="69"/>
      <c r="AX1166" s="69"/>
      <c r="AY1166" s="69"/>
      <c r="AZ1166" s="69"/>
      <c r="BA1166" s="69"/>
      <c r="BB1166" s="69"/>
      <c r="BC1166" s="69"/>
      <c r="BD1166" s="69"/>
      <c r="BE1166" s="69"/>
      <c r="BF1166" s="69"/>
      <c r="BG1166" s="69"/>
      <c r="BH1166" s="69"/>
      <c r="BI1166" s="69"/>
      <c r="BJ1166" s="69"/>
      <c r="BK1166" s="69"/>
      <c r="BL1166" s="69"/>
      <c r="BM1166" s="69"/>
      <c r="BN1166" s="69"/>
      <c r="BO1166" s="69"/>
      <c r="BP1166" s="69">
        <v>6000</v>
      </c>
      <c r="BQ1166" s="69"/>
      <c r="BR1166" s="69"/>
      <c r="BS1166" s="69"/>
      <c r="BT1166" s="69"/>
      <c r="BU1166" s="69"/>
      <c r="BV1166" s="69"/>
      <c r="BW1166" s="69"/>
      <c r="BX1166" s="69"/>
      <c r="BY1166" s="69"/>
      <c r="BZ1166" s="69"/>
      <c r="CA1166" s="69"/>
      <c r="CB1166" s="69"/>
      <c r="CC1166" s="69"/>
      <c r="CD1166" s="69"/>
      <c r="CE1166" s="94">
        <f t="shared" si="104"/>
        <v>12000</v>
      </c>
      <c r="CF1166" s="151">
        <f t="shared" si="105"/>
        <v>0</v>
      </c>
      <c r="CG1166" s="75">
        <f t="shared" si="106"/>
        <v>5009</v>
      </c>
      <c r="CH1166" s="69" t="str">
        <f t="shared" si="106"/>
        <v>صيدلة اكلينيكى</v>
      </c>
    </row>
    <row r="1167" spans="1:91" x14ac:dyDescent="0.25">
      <c r="A1167" s="148"/>
      <c r="B1167" s="82">
        <v>9252</v>
      </c>
      <c r="C1167" s="149">
        <v>5010</v>
      </c>
      <c r="D1167" s="69" t="s">
        <v>119</v>
      </c>
      <c r="E1167" s="69" t="s">
        <v>3471</v>
      </c>
      <c r="F1167" s="63"/>
      <c r="G1167" s="69">
        <v>2743.13</v>
      </c>
      <c r="H1167" s="69"/>
      <c r="I1167" s="69"/>
      <c r="J1167" s="69"/>
      <c r="K1167" s="69"/>
      <c r="L1167" s="69"/>
      <c r="M1167" s="69"/>
      <c r="N1167" s="69"/>
      <c r="O1167" s="69"/>
      <c r="P1167" s="69"/>
      <c r="Q1167" s="69"/>
      <c r="R1167" s="69"/>
      <c r="S1167" s="69"/>
      <c r="T1167" s="69"/>
      <c r="U1167" s="69"/>
      <c r="V1167" s="69"/>
      <c r="W1167" s="69"/>
      <c r="X1167" s="69"/>
      <c r="Y1167" s="69"/>
      <c r="Z1167" s="69"/>
      <c r="AA1167" s="69"/>
      <c r="AB1167" s="69"/>
      <c r="AC1167" s="69"/>
      <c r="AD1167" s="69"/>
      <c r="AE1167" s="69"/>
      <c r="AF1167" s="69"/>
      <c r="AG1167" s="69"/>
      <c r="AH1167" s="69"/>
      <c r="AI1167" s="69"/>
      <c r="AJ1167" s="69"/>
      <c r="AK1167" s="69"/>
      <c r="AL1167" s="69"/>
      <c r="AM1167" s="69"/>
      <c r="AN1167" s="69"/>
      <c r="AO1167" s="69"/>
      <c r="AP1167" s="69"/>
      <c r="AQ1167" s="69"/>
      <c r="AR1167" s="94">
        <f t="shared" si="103"/>
        <v>2743.13</v>
      </c>
      <c r="AS1167" s="69">
        <v>2440.23</v>
      </c>
      <c r="AT1167" s="69">
        <f>19.7+62.57</f>
        <v>82.27</v>
      </c>
      <c r="AU1167" s="69">
        <v>70.63</v>
      </c>
      <c r="AV1167" s="69">
        <v>150</v>
      </c>
      <c r="AW1167" s="69"/>
      <c r="AX1167" s="69"/>
      <c r="AY1167" s="69"/>
      <c r="AZ1167" s="69"/>
      <c r="BA1167" s="69"/>
      <c r="BB1167" s="69"/>
      <c r="BC1167" s="69"/>
      <c r="BD1167" s="69"/>
      <c r="BE1167" s="69"/>
      <c r="BF1167" s="69"/>
      <c r="BG1167" s="69"/>
      <c r="BH1167" s="69"/>
      <c r="BI1167" s="69"/>
      <c r="BJ1167" s="69"/>
      <c r="BK1167" s="69"/>
      <c r="BL1167" s="69"/>
      <c r="BM1167" s="69"/>
      <c r="BN1167" s="69"/>
      <c r="BO1167" s="69"/>
      <c r="BP1167" s="69"/>
      <c r="BQ1167" s="69"/>
      <c r="BR1167" s="69"/>
      <c r="BS1167" s="69"/>
      <c r="BT1167" s="69"/>
      <c r="BU1167" s="69"/>
      <c r="BV1167" s="69"/>
      <c r="BW1167" s="69"/>
      <c r="BX1167" s="69"/>
      <c r="BY1167" s="69"/>
      <c r="BZ1167" s="69"/>
      <c r="CA1167" s="69"/>
      <c r="CB1167" s="69"/>
      <c r="CC1167" s="69"/>
      <c r="CD1167" s="69"/>
      <c r="CE1167" s="94">
        <f t="shared" si="104"/>
        <v>2743.13</v>
      </c>
      <c r="CF1167" s="151">
        <f t="shared" si="105"/>
        <v>0</v>
      </c>
      <c r="CG1167" s="75">
        <f t="shared" si="106"/>
        <v>5010</v>
      </c>
      <c r="CH1167" s="69" t="str">
        <f t="shared" si="106"/>
        <v>خ ت صيدلة</v>
      </c>
      <c r="CM1167" s="152" t="s">
        <v>1179</v>
      </c>
    </row>
    <row r="1168" spans="1:91" x14ac:dyDescent="0.25">
      <c r="A1168" s="148"/>
      <c r="B1168" s="82">
        <v>9253</v>
      </c>
      <c r="C1168" s="149">
        <v>5011</v>
      </c>
      <c r="D1168" s="69" t="s">
        <v>130</v>
      </c>
      <c r="E1168" s="69" t="s">
        <v>3472</v>
      </c>
      <c r="F1168" s="63"/>
      <c r="G1168" s="69"/>
      <c r="H1168" s="69"/>
      <c r="I1168" s="69"/>
      <c r="J1168" s="69"/>
      <c r="K1168" s="69"/>
      <c r="L1168" s="69"/>
      <c r="M1168" s="69"/>
      <c r="N1168" s="69"/>
      <c r="O1168" s="69"/>
      <c r="P1168" s="69"/>
      <c r="Q1168" s="69"/>
      <c r="R1168" s="69"/>
      <c r="S1168" s="69"/>
      <c r="T1168" s="69"/>
      <c r="U1168" s="69"/>
      <c r="V1168" s="69"/>
      <c r="W1168" s="69"/>
      <c r="X1168" s="69"/>
      <c r="Y1168" s="69"/>
      <c r="Z1168" s="69"/>
      <c r="AA1168" s="69"/>
      <c r="AB1168" s="69"/>
      <c r="AC1168" s="69"/>
      <c r="AD1168" s="69">
        <v>599.86</v>
      </c>
      <c r="AE1168" s="69"/>
      <c r="AF1168" s="69"/>
      <c r="AG1168" s="69"/>
      <c r="AH1168" s="69"/>
      <c r="AI1168" s="69"/>
      <c r="AJ1168" s="69"/>
      <c r="AK1168" s="69"/>
      <c r="AL1168" s="69"/>
      <c r="AM1168" s="69"/>
      <c r="AN1168" s="69"/>
      <c r="AO1168" s="69"/>
      <c r="AP1168" s="69"/>
      <c r="AQ1168" s="69"/>
      <c r="AR1168" s="94">
        <f t="shared" si="103"/>
        <v>599.86</v>
      </c>
      <c r="AS1168" s="69">
        <v>599.86</v>
      </c>
      <c r="AT1168" s="69"/>
      <c r="AU1168" s="69"/>
      <c r="AV1168" s="69"/>
      <c r="AW1168" s="69"/>
      <c r="AX1168" s="69"/>
      <c r="AY1168" s="69"/>
      <c r="AZ1168" s="69"/>
      <c r="BA1168" s="69"/>
      <c r="BB1168" s="69"/>
      <c r="BC1168" s="69"/>
      <c r="BD1168" s="69"/>
      <c r="BE1168" s="69"/>
      <c r="BF1168" s="69"/>
      <c r="BG1168" s="69"/>
      <c r="BH1168" s="69"/>
      <c r="BI1168" s="69"/>
      <c r="BJ1168" s="69"/>
      <c r="BK1168" s="69"/>
      <c r="BL1168" s="69"/>
      <c r="BM1168" s="69"/>
      <c r="BN1168" s="69"/>
      <c r="BO1168" s="69"/>
      <c r="BP1168" s="69"/>
      <c r="BQ1168" s="69"/>
      <c r="BR1168" s="69"/>
      <c r="BS1168" s="69"/>
      <c r="BT1168" s="69"/>
      <c r="BU1168" s="69"/>
      <c r="BV1168" s="69"/>
      <c r="BW1168" s="69"/>
      <c r="BX1168" s="69"/>
      <c r="BY1168" s="69"/>
      <c r="BZ1168" s="69"/>
      <c r="CA1168" s="69"/>
      <c r="CB1168" s="69"/>
      <c r="CC1168" s="69"/>
      <c r="CD1168" s="69"/>
      <c r="CE1168" s="94">
        <f t="shared" si="104"/>
        <v>599.86</v>
      </c>
      <c r="CF1168" s="151">
        <f t="shared" si="105"/>
        <v>0</v>
      </c>
      <c r="CG1168" s="75">
        <f t="shared" si="106"/>
        <v>5011</v>
      </c>
      <c r="CH1168" s="69" t="str">
        <f t="shared" si="106"/>
        <v>خ ت طب</v>
      </c>
    </row>
    <row r="1169" spans="1:88" s="156" customFormat="1" x14ac:dyDescent="0.25">
      <c r="A1169" s="153"/>
      <c r="B1169" s="83"/>
      <c r="C1169" s="154"/>
      <c r="D1169" s="68"/>
      <c r="E1169" s="68" t="s">
        <v>3473</v>
      </c>
      <c r="F1169" s="68"/>
      <c r="G1169" s="68">
        <f>SUM(G1166:G1168)</f>
        <v>2743.13</v>
      </c>
      <c r="H1169" s="68">
        <f t="shared" ref="H1169:BS1169" si="109">SUM(H1166:H1168)</f>
        <v>6000</v>
      </c>
      <c r="I1169" s="68">
        <f t="shared" si="109"/>
        <v>0</v>
      </c>
      <c r="J1169" s="68">
        <f t="shared" si="109"/>
        <v>0</v>
      </c>
      <c r="K1169" s="68">
        <f t="shared" si="109"/>
        <v>0</v>
      </c>
      <c r="L1169" s="68">
        <f t="shared" si="109"/>
        <v>0</v>
      </c>
      <c r="M1169" s="68">
        <f t="shared" si="109"/>
        <v>0</v>
      </c>
      <c r="N1169" s="68">
        <f t="shared" si="109"/>
        <v>0</v>
      </c>
      <c r="O1169" s="68">
        <f t="shared" si="109"/>
        <v>0</v>
      </c>
      <c r="P1169" s="68">
        <f t="shared" si="109"/>
        <v>6000</v>
      </c>
      <c r="Q1169" s="68">
        <f t="shared" si="109"/>
        <v>0</v>
      </c>
      <c r="R1169" s="68">
        <f t="shared" si="109"/>
        <v>0</v>
      </c>
      <c r="S1169" s="68">
        <f t="shared" si="109"/>
        <v>0</v>
      </c>
      <c r="T1169" s="68">
        <f t="shared" si="109"/>
        <v>0</v>
      </c>
      <c r="U1169" s="68">
        <f t="shared" si="109"/>
        <v>0</v>
      </c>
      <c r="V1169" s="68">
        <f t="shared" si="109"/>
        <v>0</v>
      </c>
      <c r="W1169" s="68">
        <f t="shared" si="109"/>
        <v>0</v>
      </c>
      <c r="X1169" s="68">
        <f t="shared" si="109"/>
        <v>0</v>
      </c>
      <c r="Y1169" s="68">
        <f t="shared" si="109"/>
        <v>0</v>
      </c>
      <c r="Z1169" s="68">
        <f t="shared" si="109"/>
        <v>0</v>
      </c>
      <c r="AA1169" s="68">
        <f t="shared" si="109"/>
        <v>0</v>
      </c>
      <c r="AB1169" s="68">
        <f t="shared" si="109"/>
        <v>0</v>
      </c>
      <c r="AC1169" s="68">
        <f t="shared" si="109"/>
        <v>0</v>
      </c>
      <c r="AD1169" s="68">
        <f t="shared" si="109"/>
        <v>599.86</v>
      </c>
      <c r="AE1169" s="68">
        <f t="shared" si="109"/>
        <v>0</v>
      </c>
      <c r="AF1169" s="68">
        <f t="shared" si="109"/>
        <v>0</v>
      </c>
      <c r="AG1169" s="68">
        <f t="shared" si="109"/>
        <v>0</v>
      </c>
      <c r="AH1169" s="68">
        <f t="shared" si="109"/>
        <v>0</v>
      </c>
      <c r="AI1169" s="68">
        <f t="shared" si="109"/>
        <v>0</v>
      </c>
      <c r="AJ1169" s="68">
        <f t="shared" si="109"/>
        <v>0</v>
      </c>
      <c r="AK1169" s="68">
        <f t="shared" si="109"/>
        <v>0</v>
      </c>
      <c r="AL1169" s="68">
        <f t="shared" si="109"/>
        <v>0</v>
      </c>
      <c r="AM1169" s="68">
        <f t="shared" si="109"/>
        <v>0</v>
      </c>
      <c r="AN1169" s="68">
        <f t="shared" si="109"/>
        <v>0</v>
      </c>
      <c r="AO1169" s="68">
        <f t="shared" si="109"/>
        <v>0</v>
      </c>
      <c r="AP1169" s="68">
        <f t="shared" si="109"/>
        <v>0</v>
      </c>
      <c r="AQ1169" s="68">
        <f t="shared" si="109"/>
        <v>0</v>
      </c>
      <c r="AR1169" s="91">
        <f t="shared" si="109"/>
        <v>15342.990000000002</v>
      </c>
      <c r="AS1169" s="68">
        <f t="shared" si="109"/>
        <v>9040.09</v>
      </c>
      <c r="AT1169" s="68">
        <f t="shared" si="109"/>
        <v>82.27</v>
      </c>
      <c r="AU1169" s="68">
        <f t="shared" si="109"/>
        <v>70.63</v>
      </c>
      <c r="AV1169" s="68">
        <f t="shared" si="109"/>
        <v>150</v>
      </c>
      <c r="AW1169" s="68">
        <f t="shared" si="109"/>
        <v>0</v>
      </c>
      <c r="AX1169" s="68">
        <f t="shared" si="109"/>
        <v>0</v>
      </c>
      <c r="AY1169" s="68">
        <f t="shared" si="109"/>
        <v>0</v>
      </c>
      <c r="AZ1169" s="68">
        <f t="shared" si="109"/>
        <v>0</v>
      </c>
      <c r="BA1169" s="68">
        <f t="shared" si="109"/>
        <v>0</v>
      </c>
      <c r="BB1169" s="68">
        <f t="shared" si="109"/>
        <v>0</v>
      </c>
      <c r="BC1169" s="68">
        <f t="shared" si="109"/>
        <v>0</v>
      </c>
      <c r="BD1169" s="68">
        <f t="shared" si="109"/>
        <v>0</v>
      </c>
      <c r="BE1169" s="68">
        <f t="shared" si="109"/>
        <v>0</v>
      </c>
      <c r="BF1169" s="68">
        <f t="shared" si="109"/>
        <v>0</v>
      </c>
      <c r="BG1169" s="68">
        <f t="shared" si="109"/>
        <v>0</v>
      </c>
      <c r="BH1169" s="68">
        <f t="shared" si="109"/>
        <v>0</v>
      </c>
      <c r="BI1169" s="68">
        <f t="shared" si="109"/>
        <v>0</v>
      </c>
      <c r="BJ1169" s="68">
        <f t="shared" si="109"/>
        <v>0</v>
      </c>
      <c r="BK1169" s="68">
        <f t="shared" si="109"/>
        <v>0</v>
      </c>
      <c r="BL1169" s="68">
        <f t="shared" si="109"/>
        <v>0</v>
      </c>
      <c r="BM1169" s="68">
        <f t="shared" si="109"/>
        <v>0</v>
      </c>
      <c r="BN1169" s="68">
        <f t="shared" si="109"/>
        <v>0</v>
      </c>
      <c r="BO1169" s="68">
        <f t="shared" si="109"/>
        <v>0</v>
      </c>
      <c r="BP1169" s="68">
        <f t="shared" si="109"/>
        <v>6000</v>
      </c>
      <c r="BQ1169" s="68">
        <f t="shared" si="109"/>
        <v>0</v>
      </c>
      <c r="BR1169" s="68">
        <f t="shared" si="109"/>
        <v>0</v>
      </c>
      <c r="BS1169" s="68">
        <f t="shared" si="109"/>
        <v>0</v>
      </c>
      <c r="BT1169" s="68">
        <f t="shared" ref="BT1169:CJ1169" si="110">SUM(BT1166:BT1168)</f>
        <v>0</v>
      </c>
      <c r="BU1169" s="68">
        <f t="shared" si="110"/>
        <v>0</v>
      </c>
      <c r="BV1169" s="68">
        <f t="shared" si="110"/>
        <v>0</v>
      </c>
      <c r="BW1169" s="68">
        <f t="shared" si="110"/>
        <v>0</v>
      </c>
      <c r="BX1169" s="68">
        <f t="shared" si="110"/>
        <v>0</v>
      </c>
      <c r="BY1169" s="68">
        <f t="shared" si="110"/>
        <v>0</v>
      </c>
      <c r="BZ1169" s="68">
        <f t="shared" si="110"/>
        <v>0</v>
      </c>
      <c r="CA1169" s="68">
        <f t="shared" si="110"/>
        <v>0</v>
      </c>
      <c r="CB1169" s="68">
        <f t="shared" si="110"/>
        <v>0</v>
      </c>
      <c r="CC1169" s="68">
        <f t="shared" si="110"/>
        <v>0</v>
      </c>
      <c r="CD1169" s="68">
        <f t="shared" si="110"/>
        <v>0</v>
      </c>
      <c r="CE1169" s="91">
        <f t="shared" si="110"/>
        <v>15342.990000000002</v>
      </c>
      <c r="CF1169" s="68">
        <f t="shared" si="110"/>
        <v>0</v>
      </c>
      <c r="CG1169" s="68"/>
      <c r="CH1169" s="68">
        <f t="shared" si="110"/>
        <v>0</v>
      </c>
      <c r="CI1169" s="68">
        <f t="shared" si="110"/>
        <v>0</v>
      </c>
      <c r="CJ1169" s="68">
        <f t="shared" si="110"/>
        <v>0</v>
      </c>
    </row>
    <row r="1170" spans="1:88" x14ac:dyDescent="0.25">
      <c r="A1170" s="148"/>
      <c r="B1170" s="82">
        <v>2903</v>
      </c>
      <c r="C1170" s="149">
        <v>5012</v>
      </c>
      <c r="D1170" s="69" t="s">
        <v>132</v>
      </c>
      <c r="E1170" s="69" t="s">
        <v>3474</v>
      </c>
      <c r="F1170" s="63"/>
      <c r="G1170" s="69">
        <v>5703.47</v>
      </c>
      <c r="H1170" s="69"/>
      <c r="I1170" s="69"/>
      <c r="J1170" s="69"/>
      <c r="K1170" s="69"/>
      <c r="L1170" s="69"/>
      <c r="M1170" s="69"/>
      <c r="N1170" s="69"/>
      <c r="O1170" s="69"/>
      <c r="P1170" s="69"/>
      <c r="Q1170" s="69"/>
      <c r="R1170" s="69"/>
      <c r="S1170" s="69"/>
      <c r="T1170" s="69"/>
      <c r="U1170" s="69"/>
      <c r="V1170" s="69"/>
      <c r="W1170" s="69"/>
      <c r="X1170" s="69"/>
      <c r="Y1170" s="69"/>
      <c r="Z1170" s="69"/>
      <c r="AA1170" s="69"/>
      <c r="AB1170" s="69"/>
      <c r="AC1170" s="69"/>
      <c r="AD1170" s="69"/>
      <c r="AE1170" s="69"/>
      <c r="AF1170" s="69"/>
      <c r="AG1170" s="69"/>
      <c r="AH1170" s="69"/>
      <c r="AI1170" s="69"/>
      <c r="AJ1170" s="69"/>
      <c r="AK1170" s="69"/>
      <c r="AL1170" s="69"/>
      <c r="AM1170" s="69"/>
      <c r="AN1170" s="69"/>
      <c r="AO1170" s="69"/>
      <c r="AP1170" s="69"/>
      <c r="AQ1170" s="69"/>
      <c r="AR1170" s="94">
        <f t="shared" si="103"/>
        <v>5703.47</v>
      </c>
      <c r="AS1170" s="69">
        <v>3960.82</v>
      </c>
      <c r="AT1170" s="69">
        <v>529.57000000000005</v>
      </c>
      <c r="AU1170" s="69">
        <v>1213.08</v>
      </c>
      <c r="AV1170" s="69"/>
      <c r="AW1170" s="69"/>
      <c r="AX1170" s="69"/>
      <c r="AY1170" s="69"/>
      <c r="AZ1170" s="69"/>
      <c r="BA1170" s="69"/>
      <c r="BB1170" s="69"/>
      <c r="BC1170" s="69"/>
      <c r="BD1170" s="69"/>
      <c r="BE1170" s="69"/>
      <c r="BF1170" s="69"/>
      <c r="BG1170" s="69"/>
      <c r="BH1170" s="69"/>
      <c r="BI1170" s="69"/>
      <c r="BJ1170" s="69"/>
      <c r="BK1170" s="69"/>
      <c r="BL1170" s="69"/>
      <c r="BM1170" s="69"/>
      <c r="BN1170" s="69"/>
      <c r="BO1170" s="69"/>
      <c r="BP1170" s="69"/>
      <c r="BQ1170" s="69"/>
      <c r="BR1170" s="69"/>
      <c r="BS1170" s="69"/>
      <c r="BT1170" s="69"/>
      <c r="BU1170" s="69"/>
      <c r="BV1170" s="69"/>
      <c r="BW1170" s="69"/>
      <c r="BX1170" s="69"/>
      <c r="BY1170" s="69"/>
      <c r="BZ1170" s="69"/>
      <c r="CA1170" s="69"/>
      <c r="CB1170" s="69"/>
      <c r="CC1170" s="69"/>
      <c r="CD1170" s="69"/>
      <c r="CE1170" s="94">
        <f t="shared" si="104"/>
        <v>5703.47</v>
      </c>
      <c r="CF1170" s="151">
        <f t="shared" si="105"/>
        <v>0</v>
      </c>
      <c r="CG1170" s="75">
        <f t="shared" si="106"/>
        <v>5012</v>
      </c>
      <c r="CH1170" s="69" t="str">
        <f t="shared" si="106"/>
        <v>صيدلة اكلينيكى</v>
      </c>
    </row>
    <row r="1171" spans="1:88" x14ac:dyDescent="0.25">
      <c r="A1171" s="148"/>
      <c r="B1171" s="82">
        <v>9302</v>
      </c>
      <c r="C1171" s="149">
        <v>5013</v>
      </c>
      <c r="D1171" s="69" t="s">
        <v>132</v>
      </c>
      <c r="E1171" s="69" t="s">
        <v>3474</v>
      </c>
      <c r="F1171" s="63"/>
      <c r="G1171" s="69">
        <v>20797.84</v>
      </c>
      <c r="H1171" s="69"/>
      <c r="I1171" s="69"/>
      <c r="J1171" s="69"/>
      <c r="K1171" s="69"/>
      <c r="L1171" s="69"/>
      <c r="M1171" s="69"/>
      <c r="N1171" s="69"/>
      <c r="O1171" s="69"/>
      <c r="P1171" s="69"/>
      <c r="Q1171" s="69"/>
      <c r="R1171" s="69"/>
      <c r="S1171" s="69"/>
      <c r="T1171" s="69"/>
      <c r="U1171" s="69"/>
      <c r="V1171" s="69"/>
      <c r="W1171" s="69"/>
      <c r="X1171" s="69"/>
      <c r="Y1171" s="69"/>
      <c r="Z1171" s="69"/>
      <c r="AA1171" s="69"/>
      <c r="AB1171" s="69"/>
      <c r="AC1171" s="69"/>
      <c r="AD1171" s="69"/>
      <c r="AE1171" s="69"/>
      <c r="AF1171" s="69"/>
      <c r="AG1171" s="69"/>
      <c r="AH1171" s="69"/>
      <c r="AI1171" s="69"/>
      <c r="AJ1171" s="69"/>
      <c r="AK1171" s="69"/>
      <c r="AL1171" s="69"/>
      <c r="AM1171" s="69"/>
      <c r="AN1171" s="69"/>
      <c r="AO1171" s="69"/>
      <c r="AP1171" s="69"/>
      <c r="AQ1171" s="69"/>
      <c r="AR1171" s="94">
        <f t="shared" si="103"/>
        <v>20797.84</v>
      </c>
      <c r="AS1171" s="69">
        <v>14294.82</v>
      </c>
      <c r="AT1171" s="69">
        <v>1922.55</v>
      </c>
      <c r="AU1171" s="69">
        <v>4580.47</v>
      </c>
      <c r="AV1171" s="69"/>
      <c r="AW1171" s="69"/>
      <c r="AX1171" s="69"/>
      <c r="AY1171" s="69"/>
      <c r="AZ1171" s="69"/>
      <c r="BA1171" s="69"/>
      <c r="BB1171" s="69"/>
      <c r="BC1171" s="69"/>
      <c r="BD1171" s="69"/>
      <c r="BE1171" s="69"/>
      <c r="BF1171" s="69"/>
      <c r="BG1171" s="69"/>
      <c r="BH1171" s="69"/>
      <c r="BI1171" s="69"/>
      <c r="BJ1171" s="69"/>
      <c r="BK1171" s="69"/>
      <c r="BL1171" s="69"/>
      <c r="BM1171" s="69"/>
      <c r="BN1171" s="69"/>
      <c r="BO1171" s="69"/>
      <c r="BP1171" s="69"/>
      <c r="BQ1171" s="69"/>
      <c r="BR1171" s="69"/>
      <c r="BS1171" s="69"/>
      <c r="BT1171" s="69"/>
      <c r="BU1171" s="69"/>
      <c r="BV1171" s="69"/>
      <c r="BW1171" s="69"/>
      <c r="BX1171" s="69"/>
      <c r="BY1171" s="69"/>
      <c r="BZ1171" s="69"/>
      <c r="CA1171" s="69"/>
      <c r="CB1171" s="69"/>
      <c r="CC1171" s="69"/>
      <c r="CD1171" s="69"/>
      <c r="CE1171" s="94">
        <f t="shared" si="104"/>
        <v>20797.84</v>
      </c>
      <c r="CF1171" s="151">
        <f t="shared" si="105"/>
        <v>0</v>
      </c>
      <c r="CG1171" s="75">
        <f t="shared" si="106"/>
        <v>5013</v>
      </c>
      <c r="CH1171" s="69" t="str">
        <f t="shared" si="106"/>
        <v>صيدلة اكلينيكى</v>
      </c>
    </row>
    <row r="1172" spans="1:88" x14ac:dyDescent="0.25">
      <c r="A1172" s="148"/>
      <c r="B1172" s="82">
        <v>9299</v>
      </c>
      <c r="C1172" s="149">
        <v>5014</v>
      </c>
      <c r="D1172" s="69" t="s">
        <v>121</v>
      </c>
      <c r="E1172" s="69" t="s">
        <v>3474</v>
      </c>
      <c r="F1172" s="63"/>
      <c r="G1172" s="69">
        <v>6227.44</v>
      </c>
      <c r="H1172" s="69"/>
      <c r="I1172" s="69"/>
      <c r="J1172" s="69"/>
      <c r="K1172" s="69"/>
      <c r="L1172" s="69"/>
      <c r="M1172" s="69"/>
      <c r="N1172" s="69"/>
      <c r="O1172" s="69"/>
      <c r="P1172" s="69"/>
      <c r="Q1172" s="69"/>
      <c r="R1172" s="69"/>
      <c r="S1172" s="69"/>
      <c r="T1172" s="69"/>
      <c r="U1172" s="69"/>
      <c r="V1172" s="69"/>
      <c r="W1172" s="69"/>
      <c r="X1172" s="69"/>
      <c r="Y1172" s="69"/>
      <c r="Z1172" s="69"/>
      <c r="AA1172" s="69"/>
      <c r="AB1172" s="69"/>
      <c r="AC1172" s="69"/>
      <c r="AD1172" s="69"/>
      <c r="AE1172" s="69"/>
      <c r="AF1172" s="69"/>
      <c r="AG1172" s="69"/>
      <c r="AH1172" s="69"/>
      <c r="AI1172" s="69"/>
      <c r="AJ1172" s="69"/>
      <c r="AK1172" s="69"/>
      <c r="AL1172" s="69"/>
      <c r="AM1172" s="69"/>
      <c r="AN1172" s="69"/>
      <c r="AO1172" s="69"/>
      <c r="AP1172" s="69"/>
      <c r="AQ1172" s="69"/>
      <c r="AR1172" s="94">
        <f t="shared" si="103"/>
        <v>6227.44</v>
      </c>
      <c r="AS1172" s="69">
        <v>4158.4399999999996</v>
      </c>
      <c r="AT1172" s="69">
        <v>568.58000000000004</v>
      </c>
      <c r="AU1172" s="69">
        <v>1500.42</v>
      </c>
      <c r="AV1172" s="69"/>
      <c r="AW1172" s="69"/>
      <c r="AX1172" s="69"/>
      <c r="AY1172" s="69"/>
      <c r="AZ1172" s="69"/>
      <c r="BA1172" s="69"/>
      <c r="BB1172" s="69"/>
      <c r="BC1172" s="69"/>
      <c r="BD1172" s="69"/>
      <c r="BE1172" s="69"/>
      <c r="BF1172" s="69"/>
      <c r="BG1172" s="69"/>
      <c r="BH1172" s="69"/>
      <c r="BI1172" s="69"/>
      <c r="BJ1172" s="69"/>
      <c r="BK1172" s="69"/>
      <c r="BL1172" s="69"/>
      <c r="BM1172" s="69"/>
      <c r="BN1172" s="69"/>
      <c r="BO1172" s="69"/>
      <c r="BP1172" s="69"/>
      <c r="BQ1172" s="69"/>
      <c r="BR1172" s="69"/>
      <c r="BS1172" s="69"/>
      <c r="BT1172" s="69"/>
      <c r="BU1172" s="69"/>
      <c r="BV1172" s="69"/>
      <c r="BW1172" s="69"/>
      <c r="BX1172" s="69"/>
      <c r="BY1172" s="69"/>
      <c r="BZ1172" s="69"/>
      <c r="CA1172" s="69"/>
      <c r="CB1172" s="69"/>
      <c r="CC1172" s="69"/>
      <c r="CD1172" s="69"/>
      <c r="CE1172" s="94">
        <f t="shared" si="104"/>
        <v>6227.44</v>
      </c>
      <c r="CF1172" s="151">
        <f t="shared" si="105"/>
        <v>0</v>
      </c>
      <c r="CG1172" s="75">
        <f t="shared" si="106"/>
        <v>5014</v>
      </c>
      <c r="CH1172" s="69" t="str">
        <f t="shared" si="106"/>
        <v>ماليزى اسنان</v>
      </c>
    </row>
    <row r="1173" spans="1:88" x14ac:dyDescent="0.25">
      <c r="A1173" s="148"/>
      <c r="B1173" s="82">
        <v>9298</v>
      </c>
      <c r="C1173" s="149">
        <v>5015</v>
      </c>
      <c r="D1173" s="69" t="s">
        <v>121</v>
      </c>
      <c r="E1173" s="69" t="s">
        <v>3474</v>
      </c>
      <c r="F1173" s="63"/>
      <c r="G1173" s="69">
        <v>22702.52</v>
      </c>
      <c r="H1173" s="69"/>
      <c r="I1173" s="69"/>
      <c r="J1173" s="69"/>
      <c r="K1173" s="69"/>
      <c r="L1173" s="69"/>
      <c r="M1173" s="69"/>
      <c r="N1173" s="69"/>
      <c r="O1173" s="69"/>
      <c r="P1173" s="69"/>
      <c r="Q1173" s="69"/>
      <c r="R1173" s="69"/>
      <c r="S1173" s="69"/>
      <c r="T1173" s="69"/>
      <c r="U1173" s="69"/>
      <c r="V1173" s="69"/>
      <c r="W1173" s="69"/>
      <c r="X1173" s="69"/>
      <c r="Y1173" s="69"/>
      <c r="Z1173" s="69"/>
      <c r="AA1173" s="69"/>
      <c r="AB1173" s="69"/>
      <c r="AC1173" s="69"/>
      <c r="AD1173" s="69"/>
      <c r="AE1173" s="69"/>
      <c r="AF1173" s="69"/>
      <c r="AG1173" s="69"/>
      <c r="AH1173" s="69"/>
      <c r="AI1173" s="69"/>
      <c r="AJ1173" s="69"/>
      <c r="AK1173" s="69"/>
      <c r="AL1173" s="69"/>
      <c r="AM1173" s="69"/>
      <c r="AN1173" s="69"/>
      <c r="AO1173" s="69"/>
      <c r="AP1173" s="69"/>
      <c r="AQ1173" s="69"/>
      <c r="AR1173" s="94">
        <f t="shared" si="103"/>
        <v>22702.52</v>
      </c>
      <c r="AS1173" s="69">
        <v>15253.31</v>
      </c>
      <c r="AT1173" s="69">
        <v>2075.21</v>
      </c>
      <c r="AU1173" s="69">
        <v>5374</v>
      </c>
      <c r="AV1173" s="69"/>
      <c r="AW1173" s="69"/>
      <c r="AX1173" s="69"/>
      <c r="AY1173" s="69"/>
      <c r="AZ1173" s="69"/>
      <c r="BA1173" s="69"/>
      <c r="BB1173" s="69"/>
      <c r="BC1173" s="69"/>
      <c r="BD1173" s="69"/>
      <c r="BE1173" s="69"/>
      <c r="BF1173" s="69"/>
      <c r="BG1173" s="69"/>
      <c r="BH1173" s="69"/>
      <c r="BI1173" s="69"/>
      <c r="BJ1173" s="69"/>
      <c r="BK1173" s="69"/>
      <c r="BL1173" s="69"/>
      <c r="BM1173" s="69"/>
      <c r="BN1173" s="69"/>
      <c r="BO1173" s="69"/>
      <c r="BP1173" s="69"/>
      <c r="BQ1173" s="69"/>
      <c r="BR1173" s="69"/>
      <c r="BS1173" s="69"/>
      <c r="BT1173" s="69"/>
      <c r="BU1173" s="69"/>
      <c r="BV1173" s="69"/>
      <c r="BW1173" s="69"/>
      <c r="BX1173" s="69"/>
      <c r="BY1173" s="69"/>
      <c r="BZ1173" s="69"/>
      <c r="CA1173" s="69"/>
      <c r="CB1173" s="69"/>
      <c r="CC1173" s="69"/>
      <c r="CD1173" s="69"/>
      <c r="CE1173" s="94">
        <f t="shared" si="104"/>
        <v>22702.52</v>
      </c>
      <c r="CF1173" s="151">
        <f t="shared" si="105"/>
        <v>0</v>
      </c>
      <c r="CG1173" s="75">
        <f t="shared" si="106"/>
        <v>5015</v>
      </c>
      <c r="CH1173" s="69" t="str">
        <f t="shared" si="106"/>
        <v>ماليزى اسنان</v>
      </c>
    </row>
    <row r="1174" spans="1:88" x14ac:dyDescent="0.25">
      <c r="A1174" s="148"/>
      <c r="B1174" s="82">
        <v>9297</v>
      </c>
      <c r="C1174" s="149">
        <v>5016</v>
      </c>
      <c r="D1174" s="69" t="s">
        <v>78</v>
      </c>
      <c r="E1174" s="69" t="s">
        <v>3474</v>
      </c>
      <c r="F1174" s="63"/>
      <c r="G1174" s="69">
        <v>17656.29</v>
      </c>
      <c r="H1174" s="69"/>
      <c r="I1174" s="69"/>
      <c r="J1174" s="69"/>
      <c r="K1174" s="69"/>
      <c r="L1174" s="69"/>
      <c r="M1174" s="69"/>
      <c r="N1174" s="69"/>
      <c r="O1174" s="69"/>
      <c r="P1174" s="69"/>
      <c r="Q1174" s="69"/>
      <c r="R1174" s="69"/>
      <c r="S1174" s="69"/>
      <c r="T1174" s="69"/>
      <c r="U1174" s="69"/>
      <c r="V1174" s="69"/>
      <c r="W1174" s="69"/>
      <c r="X1174" s="69"/>
      <c r="Y1174" s="69"/>
      <c r="Z1174" s="69"/>
      <c r="AA1174" s="69"/>
      <c r="AB1174" s="69"/>
      <c r="AC1174" s="69"/>
      <c r="AD1174" s="69"/>
      <c r="AE1174" s="69"/>
      <c r="AF1174" s="69"/>
      <c r="AG1174" s="69"/>
      <c r="AH1174" s="69"/>
      <c r="AI1174" s="69"/>
      <c r="AJ1174" s="69"/>
      <c r="AK1174" s="69"/>
      <c r="AL1174" s="69"/>
      <c r="AM1174" s="69"/>
      <c r="AN1174" s="69"/>
      <c r="AO1174" s="69"/>
      <c r="AP1174" s="69"/>
      <c r="AQ1174" s="69"/>
      <c r="AR1174" s="94">
        <f t="shared" si="103"/>
        <v>17656.29</v>
      </c>
      <c r="AS1174" s="69">
        <v>11967.23</v>
      </c>
      <c r="AT1174" s="69">
        <v>1622.74</v>
      </c>
      <c r="AU1174" s="69">
        <v>4066.32</v>
      </c>
      <c r="AV1174" s="69"/>
      <c r="AW1174" s="69"/>
      <c r="AX1174" s="69"/>
      <c r="AY1174" s="69"/>
      <c r="AZ1174" s="69"/>
      <c r="BA1174" s="69"/>
      <c r="BB1174" s="69"/>
      <c r="BC1174" s="69"/>
      <c r="BD1174" s="69"/>
      <c r="BE1174" s="69"/>
      <c r="BF1174" s="69"/>
      <c r="BG1174" s="69"/>
      <c r="BH1174" s="69"/>
      <c r="BI1174" s="69"/>
      <c r="BJ1174" s="69"/>
      <c r="BK1174" s="69"/>
      <c r="BL1174" s="69"/>
      <c r="BM1174" s="69"/>
      <c r="BN1174" s="69"/>
      <c r="BO1174" s="69"/>
      <c r="BP1174" s="69"/>
      <c r="BQ1174" s="69"/>
      <c r="BR1174" s="69"/>
      <c r="BS1174" s="69"/>
      <c r="BT1174" s="69"/>
      <c r="BU1174" s="69"/>
      <c r="BV1174" s="69"/>
      <c r="BW1174" s="69"/>
      <c r="BX1174" s="69"/>
      <c r="BY1174" s="69"/>
      <c r="BZ1174" s="69"/>
      <c r="CA1174" s="69"/>
      <c r="CB1174" s="69"/>
      <c r="CC1174" s="69"/>
      <c r="CD1174" s="69"/>
      <c r="CE1174" s="94">
        <f t="shared" si="104"/>
        <v>17656.29</v>
      </c>
      <c r="CF1174" s="151">
        <f t="shared" si="105"/>
        <v>0</v>
      </c>
      <c r="CG1174" s="75">
        <f t="shared" si="106"/>
        <v>5016</v>
      </c>
      <c r="CH1174" s="69" t="str">
        <f t="shared" si="106"/>
        <v>برنامج دولى</v>
      </c>
    </row>
    <row r="1175" spans="1:88" x14ac:dyDescent="0.25">
      <c r="A1175" s="148"/>
      <c r="B1175" s="82">
        <v>9296</v>
      </c>
      <c r="C1175" s="149">
        <v>5017</v>
      </c>
      <c r="D1175" s="69" t="s">
        <v>78</v>
      </c>
      <c r="E1175" s="69" t="s">
        <v>3474</v>
      </c>
      <c r="F1175" s="63"/>
      <c r="G1175" s="69">
        <v>55024.62</v>
      </c>
      <c r="H1175" s="69"/>
      <c r="I1175" s="69"/>
      <c r="J1175" s="69"/>
      <c r="K1175" s="69"/>
      <c r="L1175" s="69"/>
      <c r="M1175" s="69"/>
      <c r="N1175" s="69"/>
      <c r="O1175" s="69"/>
      <c r="P1175" s="69"/>
      <c r="Q1175" s="69"/>
      <c r="R1175" s="69"/>
      <c r="S1175" s="69"/>
      <c r="T1175" s="69"/>
      <c r="U1175" s="69"/>
      <c r="V1175" s="69"/>
      <c r="W1175" s="69"/>
      <c r="X1175" s="69"/>
      <c r="Y1175" s="69"/>
      <c r="Z1175" s="69"/>
      <c r="AA1175" s="69"/>
      <c r="AB1175" s="69"/>
      <c r="AC1175" s="69"/>
      <c r="AD1175" s="69"/>
      <c r="AE1175" s="69"/>
      <c r="AF1175" s="69"/>
      <c r="AG1175" s="69"/>
      <c r="AH1175" s="69"/>
      <c r="AI1175" s="69"/>
      <c r="AJ1175" s="69"/>
      <c r="AK1175" s="69"/>
      <c r="AL1175" s="69"/>
      <c r="AM1175" s="69"/>
      <c r="AN1175" s="69"/>
      <c r="AO1175" s="69"/>
      <c r="AP1175" s="69"/>
      <c r="AQ1175" s="69"/>
      <c r="AR1175" s="94">
        <f t="shared" si="103"/>
        <v>55024.62</v>
      </c>
      <c r="AS1175" s="69">
        <v>36747.449999999997</v>
      </c>
      <c r="AT1175" s="69">
        <v>5019.71</v>
      </c>
      <c r="AU1175" s="69">
        <v>13257.46</v>
      </c>
      <c r="AV1175" s="69"/>
      <c r="AW1175" s="69"/>
      <c r="AX1175" s="69"/>
      <c r="AY1175" s="69"/>
      <c r="AZ1175" s="69"/>
      <c r="BA1175" s="69"/>
      <c r="BB1175" s="69"/>
      <c r="BC1175" s="69"/>
      <c r="BD1175" s="69"/>
      <c r="BE1175" s="69"/>
      <c r="BF1175" s="69"/>
      <c r="BG1175" s="69"/>
      <c r="BH1175" s="69"/>
      <c r="BI1175" s="69"/>
      <c r="BJ1175" s="69"/>
      <c r="BK1175" s="69"/>
      <c r="BL1175" s="69"/>
      <c r="BM1175" s="69"/>
      <c r="BN1175" s="69"/>
      <c r="BO1175" s="69"/>
      <c r="BP1175" s="69"/>
      <c r="BQ1175" s="69"/>
      <c r="BR1175" s="69"/>
      <c r="BS1175" s="69"/>
      <c r="BT1175" s="69"/>
      <c r="BU1175" s="69"/>
      <c r="BV1175" s="69"/>
      <c r="BW1175" s="69"/>
      <c r="BX1175" s="69"/>
      <c r="BY1175" s="69"/>
      <c r="BZ1175" s="69"/>
      <c r="CA1175" s="69"/>
      <c r="CB1175" s="69"/>
      <c r="CC1175" s="69"/>
      <c r="CD1175" s="69"/>
      <c r="CE1175" s="94">
        <f t="shared" si="104"/>
        <v>55024.619999999995</v>
      </c>
      <c r="CF1175" s="151">
        <f t="shared" si="105"/>
        <v>0</v>
      </c>
      <c r="CG1175" s="75">
        <f t="shared" si="106"/>
        <v>5017</v>
      </c>
      <c r="CH1175" s="69" t="str">
        <f t="shared" si="106"/>
        <v>برنامج دولى</v>
      </c>
    </row>
    <row r="1176" spans="1:88" x14ac:dyDescent="0.25">
      <c r="A1176" s="148"/>
      <c r="B1176" s="82">
        <v>9295</v>
      </c>
      <c r="C1176" s="149">
        <v>5018</v>
      </c>
      <c r="D1176" s="69" t="s">
        <v>78</v>
      </c>
      <c r="E1176" s="69" t="s">
        <v>3474</v>
      </c>
      <c r="F1176" s="63"/>
      <c r="G1176" s="69">
        <v>5641.19</v>
      </c>
      <c r="H1176" s="69"/>
      <c r="I1176" s="69"/>
      <c r="J1176" s="69"/>
      <c r="K1176" s="69"/>
      <c r="L1176" s="69"/>
      <c r="M1176" s="69"/>
      <c r="N1176" s="69"/>
      <c r="O1176" s="69"/>
      <c r="P1176" s="69"/>
      <c r="Q1176" s="69"/>
      <c r="R1176" s="69"/>
      <c r="S1176" s="69"/>
      <c r="T1176" s="69"/>
      <c r="U1176" s="69"/>
      <c r="V1176" s="69"/>
      <c r="W1176" s="69"/>
      <c r="X1176" s="69"/>
      <c r="Y1176" s="69"/>
      <c r="Z1176" s="69"/>
      <c r="AA1176" s="69"/>
      <c r="AB1176" s="69"/>
      <c r="AC1176" s="69"/>
      <c r="AD1176" s="69"/>
      <c r="AE1176" s="69"/>
      <c r="AF1176" s="69"/>
      <c r="AG1176" s="69"/>
      <c r="AH1176" s="69"/>
      <c r="AI1176" s="69"/>
      <c r="AJ1176" s="69"/>
      <c r="AK1176" s="69"/>
      <c r="AL1176" s="69"/>
      <c r="AM1176" s="69"/>
      <c r="AN1176" s="69"/>
      <c r="AO1176" s="69"/>
      <c r="AP1176" s="69"/>
      <c r="AQ1176" s="69"/>
      <c r="AR1176" s="94">
        <f t="shared" si="103"/>
        <v>5641.19</v>
      </c>
      <c r="AS1176" s="69">
        <v>3769.14</v>
      </c>
      <c r="AT1176" s="69">
        <v>512.88</v>
      </c>
      <c r="AU1176" s="69">
        <v>1359.17</v>
      </c>
      <c r="AV1176" s="69"/>
      <c r="AW1176" s="69"/>
      <c r="AX1176" s="69"/>
      <c r="AY1176" s="69"/>
      <c r="AZ1176" s="69"/>
      <c r="BA1176" s="69"/>
      <c r="BB1176" s="69"/>
      <c r="BC1176" s="69"/>
      <c r="BD1176" s="69"/>
      <c r="BE1176" s="69"/>
      <c r="BF1176" s="69"/>
      <c r="BG1176" s="69"/>
      <c r="BH1176" s="69"/>
      <c r="BI1176" s="69"/>
      <c r="BJ1176" s="69"/>
      <c r="BK1176" s="69"/>
      <c r="BL1176" s="69"/>
      <c r="BM1176" s="69"/>
      <c r="BN1176" s="69"/>
      <c r="BO1176" s="69"/>
      <c r="BP1176" s="69"/>
      <c r="BQ1176" s="69"/>
      <c r="BR1176" s="69"/>
      <c r="BS1176" s="69"/>
      <c r="BT1176" s="69"/>
      <c r="BU1176" s="69"/>
      <c r="BV1176" s="69"/>
      <c r="BW1176" s="69"/>
      <c r="BX1176" s="69"/>
      <c r="BY1176" s="69"/>
      <c r="BZ1176" s="69"/>
      <c r="CA1176" s="69"/>
      <c r="CB1176" s="69"/>
      <c r="CC1176" s="69"/>
      <c r="CD1176" s="69"/>
      <c r="CE1176" s="94">
        <f t="shared" si="104"/>
        <v>5641.19</v>
      </c>
      <c r="CF1176" s="151">
        <f t="shared" si="105"/>
        <v>0</v>
      </c>
      <c r="CG1176" s="75">
        <f t="shared" si="106"/>
        <v>5018</v>
      </c>
      <c r="CH1176" s="69" t="str">
        <f t="shared" si="106"/>
        <v>برنامج دولى</v>
      </c>
    </row>
    <row r="1177" spans="1:88" x14ac:dyDescent="0.25">
      <c r="A1177" s="148"/>
      <c r="B1177" s="82">
        <v>9294</v>
      </c>
      <c r="C1177" s="149">
        <v>5019</v>
      </c>
      <c r="D1177" s="69" t="s">
        <v>78</v>
      </c>
      <c r="E1177" s="69" t="s">
        <v>3474</v>
      </c>
      <c r="F1177" s="63"/>
      <c r="G1177" s="69">
        <v>7080.83</v>
      </c>
      <c r="H1177" s="69"/>
      <c r="I1177" s="69"/>
      <c r="J1177" s="69"/>
      <c r="K1177" s="69"/>
      <c r="L1177" s="69"/>
      <c r="M1177" s="69"/>
      <c r="N1177" s="69"/>
      <c r="O1177" s="69"/>
      <c r="P1177" s="69"/>
      <c r="Q1177" s="69"/>
      <c r="R1177" s="69"/>
      <c r="S1177" s="69"/>
      <c r="T1177" s="69"/>
      <c r="U1177" s="69"/>
      <c r="V1177" s="69"/>
      <c r="W1177" s="69"/>
      <c r="X1177" s="69"/>
      <c r="Y1177" s="69"/>
      <c r="Z1177" s="69"/>
      <c r="AA1177" s="69"/>
      <c r="AB1177" s="69"/>
      <c r="AC1177" s="69"/>
      <c r="AD1177" s="69"/>
      <c r="AE1177" s="69"/>
      <c r="AF1177" s="69"/>
      <c r="AG1177" s="69"/>
      <c r="AH1177" s="69"/>
      <c r="AI1177" s="69"/>
      <c r="AJ1177" s="69"/>
      <c r="AK1177" s="69"/>
      <c r="AL1177" s="69"/>
      <c r="AM1177" s="69"/>
      <c r="AN1177" s="69"/>
      <c r="AO1177" s="69"/>
      <c r="AP1177" s="69"/>
      <c r="AQ1177" s="69"/>
      <c r="AR1177" s="94">
        <f t="shared" si="103"/>
        <v>7080.83</v>
      </c>
      <c r="AS1177" s="69">
        <v>5316.63</v>
      </c>
      <c r="AT1177" s="69">
        <v>690.15</v>
      </c>
      <c r="AU1177" s="69">
        <v>1074.05</v>
      </c>
      <c r="AV1177" s="69"/>
      <c r="AW1177" s="69"/>
      <c r="AX1177" s="69"/>
      <c r="AY1177" s="69"/>
      <c r="AZ1177" s="69"/>
      <c r="BA1177" s="69"/>
      <c r="BB1177" s="69"/>
      <c r="BC1177" s="69"/>
      <c r="BD1177" s="69"/>
      <c r="BE1177" s="69"/>
      <c r="BF1177" s="69"/>
      <c r="BG1177" s="69"/>
      <c r="BH1177" s="69"/>
      <c r="BI1177" s="69"/>
      <c r="BJ1177" s="69"/>
      <c r="BK1177" s="69"/>
      <c r="BL1177" s="69"/>
      <c r="BM1177" s="69"/>
      <c r="BN1177" s="69"/>
      <c r="BO1177" s="69"/>
      <c r="BP1177" s="69"/>
      <c r="BQ1177" s="69"/>
      <c r="BR1177" s="69"/>
      <c r="BS1177" s="69"/>
      <c r="BT1177" s="69"/>
      <c r="BU1177" s="69"/>
      <c r="BV1177" s="69"/>
      <c r="BW1177" s="69"/>
      <c r="BX1177" s="69"/>
      <c r="BY1177" s="69"/>
      <c r="BZ1177" s="69"/>
      <c r="CA1177" s="69"/>
      <c r="CB1177" s="69"/>
      <c r="CC1177" s="69"/>
      <c r="CD1177" s="69"/>
      <c r="CE1177" s="94">
        <f t="shared" si="104"/>
        <v>7080.83</v>
      </c>
      <c r="CF1177" s="151">
        <f t="shared" si="105"/>
        <v>0</v>
      </c>
      <c r="CG1177" s="75">
        <f t="shared" ref="CG1177:CH1192" si="111">+C1177</f>
        <v>5019</v>
      </c>
      <c r="CH1177" s="69" t="str">
        <f t="shared" si="111"/>
        <v>برنامج دولى</v>
      </c>
    </row>
    <row r="1178" spans="1:88" x14ac:dyDescent="0.25">
      <c r="A1178" s="148"/>
      <c r="B1178" s="82">
        <v>9301</v>
      </c>
      <c r="C1178" s="149">
        <v>5020</v>
      </c>
      <c r="D1178" s="69" t="s">
        <v>78</v>
      </c>
      <c r="E1178" s="69" t="s">
        <v>3474</v>
      </c>
      <c r="F1178" s="63"/>
      <c r="G1178" s="69">
        <v>5659.08</v>
      </c>
      <c r="H1178" s="69"/>
      <c r="I1178" s="69"/>
      <c r="J1178" s="69"/>
      <c r="K1178" s="69"/>
      <c r="L1178" s="69"/>
      <c r="M1178" s="69"/>
      <c r="N1178" s="69"/>
      <c r="O1178" s="69"/>
      <c r="P1178" s="69"/>
      <c r="Q1178" s="69"/>
      <c r="R1178" s="69"/>
      <c r="S1178" s="69"/>
      <c r="T1178" s="69"/>
      <c r="U1178" s="69"/>
      <c r="V1178" s="69"/>
      <c r="W1178" s="69"/>
      <c r="X1178" s="69"/>
      <c r="Y1178" s="69"/>
      <c r="Z1178" s="69"/>
      <c r="AA1178" s="69"/>
      <c r="AB1178" s="69"/>
      <c r="AC1178" s="69"/>
      <c r="AD1178" s="69"/>
      <c r="AE1178" s="69"/>
      <c r="AF1178" s="69"/>
      <c r="AG1178" s="69"/>
      <c r="AH1178" s="69"/>
      <c r="AI1178" s="69"/>
      <c r="AJ1178" s="69"/>
      <c r="AK1178" s="69"/>
      <c r="AL1178" s="69"/>
      <c r="AM1178" s="69"/>
      <c r="AN1178" s="69"/>
      <c r="AO1178" s="69"/>
      <c r="AP1178" s="69"/>
      <c r="AQ1178" s="69"/>
      <c r="AR1178" s="94">
        <f t="shared" si="103"/>
        <v>5659.08</v>
      </c>
      <c r="AS1178" s="69">
        <v>4136.84</v>
      </c>
      <c r="AT1178" s="69">
        <v>543.17999999999995</v>
      </c>
      <c r="AU1178" s="69">
        <v>979.06</v>
      </c>
      <c r="AV1178" s="69"/>
      <c r="AW1178" s="69"/>
      <c r="AX1178" s="69"/>
      <c r="AY1178" s="69"/>
      <c r="AZ1178" s="69"/>
      <c r="BA1178" s="69"/>
      <c r="BB1178" s="69"/>
      <c r="BC1178" s="69"/>
      <c r="BD1178" s="69"/>
      <c r="BE1178" s="69"/>
      <c r="BF1178" s="69"/>
      <c r="BG1178" s="69"/>
      <c r="BH1178" s="69"/>
      <c r="BI1178" s="69"/>
      <c r="BJ1178" s="69"/>
      <c r="BK1178" s="69"/>
      <c r="BL1178" s="69"/>
      <c r="BM1178" s="69"/>
      <c r="BN1178" s="69"/>
      <c r="BO1178" s="69"/>
      <c r="BP1178" s="69"/>
      <c r="BQ1178" s="69"/>
      <c r="BR1178" s="69"/>
      <c r="BS1178" s="69"/>
      <c r="BT1178" s="69"/>
      <c r="BU1178" s="69"/>
      <c r="BV1178" s="69"/>
      <c r="BW1178" s="69"/>
      <c r="BX1178" s="69"/>
      <c r="BY1178" s="69"/>
      <c r="BZ1178" s="69"/>
      <c r="CA1178" s="69"/>
      <c r="CB1178" s="69"/>
      <c r="CC1178" s="69"/>
      <c r="CD1178" s="69"/>
      <c r="CE1178" s="94">
        <f t="shared" si="104"/>
        <v>5659.08</v>
      </c>
      <c r="CF1178" s="151">
        <f t="shared" si="105"/>
        <v>0</v>
      </c>
      <c r="CG1178" s="75">
        <f t="shared" si="111"/>
        <v>5020</v>
      </c>
      <c r="CH1178" s="69" t="str">
        <f t="shared" si="111"/>
        <v>برنامج دولى</v>
      </c>
    </row>
    <row r="1179" spans="1:88" x14ac:dyDescent="0.25">
      <c r="A1179" s="148"/>
      <c r="B1179" s="82">
        <v>9300</v>
      </c>
      <c r="C1179" s="149">
        <v>5021</v>
      </c>
      <c r="D1179" s="69" t="s">
        <v>78</v>
      </c>
      <c r="E1179" s="69" t="s">
        <v>3474</v>
      </c>
      <c r="F1179" s="63"/>
      <c r="G1179" s="69">
        <v>48103.78</v>
      </c>
      <c r="H1179" s="69"/>
      <c r="I1179" s="69"/>
      <c r="J1179" s="69"/>
      <c r="K1179" s="69"/>
      <c r="L1179" s="69"/>
      <c r="M1179" s="69"/>
      <c r="N1179" s="69"/>
      <c r="O1179" s="69"/>
      <c r="P1179" s="69"/>
      <c r="Q1179" s="69"/>
      <c r="R1179" s="69"/>
      <c r="S1179" s="69"/>
      <c r="T1179" s="69"/>
      <c r="U1179" s="69"/>
      <c r="V1179" s="69"/>
      <c r="W1179" s="69"/>
      <c r="X1179" s="69"/>
      <c r="Y1179" s="69"/>
      <c r="Z1179" s="69"/>
      <c r="AA1179" s="69"/>
      <c r="AB1179" s="69"/>
      <c r="AC1179" s="69"/>
      <c r="AD1179" s="69"/>
      <c r="AE1179" s="69"/>
      <c r="AF1179" s="69"/>
      <c r="AG1179" s="69"/>
      <c r="AH1179" s="69"/>
      <c r="AI1179" s="69"/>
      <c r="AJ1179" s="69"/>
      <c r="AK1179" s="69"/>
      <c r="AL1179" s="69"/>
      <c r="AM1179" s="69"/>
      <c r="AN1179" s="69"/>
      <c r="AO1179" s="69"/>
      <c r="AP1179" s="69"/>
      <c r="AQ1179" s="69"/>
      <c r="AR1179" s="94">
        <f t="shared" si="103"/>
        <v>48103.78</v>
      </c>
      <c r="AS1179" s="69">
        <v>33416.65</v>
      </c>
      <c r="AT1179" s="69">
        <v>4483.7700000000004</v>
      </c>
      <c r="AU1179" s="69">
        <v>10203.36</v>
      </c>
      <c r="AV1179" s="69"/>
      <c r="AW1179" s="69"/>
      <c r="AX1179" s="69"/>
      <c r="AY1179" s="69"/>
      <c r="AZ1179" s="69"/>
      <c r="BA1179" s="69"/>
      <c r="BB1179" s="69"/>
      <c r="BC1179" s="69"/>
      <c r="BD1179" s="69"/>
      <c r="BE1179" s="69"/>
      <c r="BF1179" s="69"/>
      <c r="BG1179" s="69"/>
      <c r="BH1179" s="69"/>
      <c r="BI1179" s="69"/>
      <c r="BJ1179" s="69"/>
      <c r="BK1179" s="69"/>
      <c r="BL1179" s="69"/>
      <c r="BM1179" s="69"/>
      <c r="BN1179" s="69"/>
      <c r="BO1179" s="69"/>
      <c r="BP1179" s="69"/>
      <c r="BQ1179" s="69"/>
      <c r="BR1179" s="69"/>
      <c r="BS1179" s="69"/>
      <c r="BT1179" s="69"/>
      <c r="BU1179" s="69"/>
      <c r="BV1179" s="69"/>
      <c r="BW1179" s="69"/>
      <c r="BX1179" s="69"/>
      <c r="BY1179" s="69"/>
      <c r="BZ1179" s="69"/>
      <c r="CA1179" s="69"/>
      <c r="CB1179" s="69"/>
      <c r="CC1179" s="69"/>
      <c r="CD1179" s="69"/>
      <c r="CE1179" s="94">
        <f t="shared" si="104"/>
        <v>48103.78</v>
      </c>
      <c r="CF1179" s="151">
        <f t="shared" si="105"/>
        <v>0</v>
      </c>
      <c r="CG1179" s="75">
        <f t="shared" si="111"/>
        <v>5021</v>
      </c>
      <c r="CH1179" s="69" t="str">
        <f t="shared" si="111"/>
        <v>برنامج دولى</v>
      </c>
    </row>
    <row r="1180" spans="1:88" x14ac:dyDescent="0.25">
      <c r="A1180" s="148"/>
      <c r="B1180" s="82">
        <v>9304</v>
      </c>
      <c r="C1180" s="149">
        <v>5022</v>
      </c>
      <c r="D1180" s="69" t="s">
        <v>137</v>
      </c>
      <c r="E1180" s="69" t="s">
        <v>3475</v>
      </c>
      <c r="F1180" s="63"/>
      <c r="G1180" s="69">
        <v>32783.1</v>
      </c>
      <c r="H1180" s="69"/>
      <c r="I1180" s="69"/>
      <c r="J1180" s="69"/>
      <c r="K1180" s="69"/>
      <c r="L1180" s="69"/>
      <c r="M1180" s="69"/>
      <c r="N1180" s="69"/>
      <c r="O1180" s="69"/>
      <c r="P1180" s="69"/>
      <c r="Q1180" s="69"/>
      <c r="R1180" s="69"/>
      <c r="S1180" s="69"/>
      <c r="T1180" s="69"/>
      <c r="U1180" s="69"/>
      <c r="V1180" s="69"/>
      <c r="W1180" s="69"/>
      <c r="X1180" s="69"/>
      <c r="Y1180" s="69"/>
      <c r="Z1180" s="69"/>
      <c r="AA1180" s="69"/>
      <c r="AB1180" s="69"/>
      <c r="AC1180" s="69"/>
      <c r="AD1180" s="69"/>
      <c r="AE1180" s="69"/>
      <c r="AF1180" s="69"/>
      <c r="AG1180" s="69"/>
      <c r="AH1180" s="69"/>
      <c r="AI1180" s="69"/>
      <c r="AJ1180" s="69"/>
      <c r="AK1180" s="69"/>
      <c r="AL1180" s="69"/>
      <c r="AM1180" s="69"/>
      <c r="AN1180" s="69"/>
      <c r="AO1180" s="69"/>
      <c r="AP1180" s="69"/>
      <c r="AQ1180" s="69"/>
      <c r="AR1180" s="94">
        <f t="shared" si="103"/>
        <v>32783.1</v>
      </c>
      <c r="AS1180" s="69">
        <v>20484.599999999999</v>
      </c>
      <c r="AT1180" s="69">
        <f>205.8+2796</f>
        <v>3001.8</v>
      </c>
      <c r="AU1180" s="69">
        <v>7898.7</v>
      </c>
      <c r="AV1180" s="69">
        <v>1398</v>
      </c>
      <c r="AW1180" s="69"/>
      <c r="AX1180" s="69"/>
      <c r="AY1180" s="69"/>
      <c r="AZ1180" s="69"/>
      <c r="BA1180" s="69"/>
      <c r="BB1180" s="69"/>
      <c r="BC1180" s="69"/>
      <c r="BD1180" s="69"/>
      <c r="BE1180" s="69"/>
      <c r="BF1180" s="69"/>
      <c r="BG1180" s="69"/>
      <c r="BH1180" s="69"/>
      <c r="BI1180" s="69"/>
      <c r="BJ1180" s="69"/>
      <c r="BK1180" s="69"/>
      <c r="BL1180" s="69"/>
      <c r="BM1180" s="69"/>
      <c r="BN1180" s="69"/>
      <c r="BO1180" s="69"/>
      <c r="BP1180" s="69"/>
      <c r="BQ1180" s="69"/>
      <c r="BR1180" s="69"/>
      <c r="BS1180" s="69"/>
      <c r="BT1180" s="69"/>
      <c r="BU1180" s="69"/>
      <c r="BV1180" s="69"/>
      <c r="BW1180" s="69"/>
      <c r="BX1180" s="69"/>
      <c r="BY1180" s="69"/>
      <c r="BZ1180" s="69"/>
      <c r="CA1180" s="69"/>
      <c r="CB1180" s="69"/>
      <c r="CC1180" s="69"/>
      <c r="CD1180" s="69"/>
      <c r="CE1180" s="94">
        <f t="shared" si="104"/>
        <v>32783.1</v>
      </c>
      <c r="CF1180" s="151">
        <f t="shared" si="105"/>
        <v>0</v>
      </c>
      <c r="CG1180" s="75">
        <f t="shared" si="111"/>
        <v>5022</v>
      </c>
      <c r="CH1180" s="69" t="str">
        <f t="shared" si="111"/>
        <v xml:space="preserve">خدمة عامة </v>
      </c>
    </row>
    <row r="1181" spans="1:88" x14ac:dyDescent="0.25">
      <c r="A1181" s="148"/>
      <c r="B1181" s="82">
        <v>9307</v>
      </c>
      <c r="C1181" s="149">
        <v>5023</v>
      </c>
      <c r="D1181" s="69" t="s">
        <v>137</v>
      </c>
      <c r="E1181" s="69" t="s">
        <v>3475</v>
      </c>
      <c r="F1181" s="63"/>
      <c r="G1181" s="69">
        <v>13243.39</v>
      </c>
      <c r="H1181" s="69"/>
      <c r="I1181" s="69"/>
      <c r="J1181" s="69"/>
      <c r="K1181" s="69"/>
      <c r="L1181" s="69"/>
      <c r="M1181" s="69"/>
      <c r="N1181" s="69"/>
      <c r="O1181" s="69"/>
      <c r="P1181" s="69"/>
      <c r="Q1181" s="69"/>
      <c r="R1181" s="69"/>
      <c r="S1181" s="69"/>
      <c r="T1181" s="69"/>
      <c r="U1181" s="69"/>
      <c r="V1181" s="69"/>
      <c r="W1181" s="69"/>
      <c r="X1181" s="69"/>
      <c r="Y1181" s="69"/>
      <c r="Z1181" s="69"/>
      <c r="AA1181" s="69"/>
      <c r="AB1181" s="69"/>
      <c r="AC1181" s="69"/>
      <c r="AD1181" s="69"/>
      <c r="AE1181" s="69"/>
      <c r="AF1181" s="69"/>
      <c r="AG1181" s="69"/>
      <c r="AH1181" s="69"/>
      <c r="AI1181" s="69"/>
      <c r="AJ1181" s="69"/>
      <c r="AK1181" s="69"/>
      <c r="AL1181" s="69"/>
      <c r="AM1181" s="69"/>
      <c r="AN1181" s="69"/>
      <c r="AO1181" s="69"/>
      <c r="AP1181" s="69"/>
      <c r="AQ1181" s="69"/>
      <c r="AR1181" s="94">
        <f t="shared" si="103"/>
        <v>13243.39</v>
      </c>
      <c r="AS1181" s="69">
        <v>8286.2000000000007</v>
      </c>
      <c r="AT1181" s="69">
        <v>1201.5999999999999</v>
      </c>
      <c r="AU1181" s="69">
        <v>3190.84</v>
      </c>
      <c r="AV1181" s="69">
        <v>564.75</v>
      </c>
      <c r="AW1181" s="69"/>
      <c r="AX1181" s="69"/>
      <c r="AY1181" s="69"/>
      <c r="AZ1181" s="69"/>
      <c r="BA1181" s="69"/>
      <c r="BB1181" s="69"/>
      <c r="BC1181" s="69"/>
      <c r="BD1181" s="69"/>
      <c r="BE1181" s="69"/>
      <c r="BF1181" s="69"/>
      <c r="BG1181" s="69"/>
      <c r="BH1181" s="69"/>
      <c r="BI1181" s="69"/>
      <c r="BJ1181" s="69"/>
      <c r="BK1181" s="69"/>
      <c r="BL1181" s="69"/>
      <c r="BM1181" s="69"/>
      <c r="BN1181" s="69"/>
      <c r="BO1181" s="69"/>
      <c r="BP1181" s="69"/>
      <c r="BQ1181" s="69"/>
      <c r="BR1181" s="69"/>
      <c r="BS1181" s="69"/>
      <c r="BT1181" s="69"/>
      <c r="BU1181" s="69"/>
      <c r="BV1181" s="69"/>
      <c r="BW1181" s="69"/>
      <c r="BX1181" s="69"/>
      <c r="BY1181" s="69"/>
      <c r="BZ1181" s="69"/>
      <c r="CA1181" s="69"/>
      <c r="CB1181" s="69"/>
      <c r="CC1181" s="69"/>
      <c r="CD1181" s="69"/>
      <c r="CE1181" s="94">
        <f t="shared" si="104"/>
        <v>13243.390000000001</v>
      </c>
      <c r="CF1181" s="151">
        <f t="shared" si="105"/>
        <v>0</v>
      </c>
      <c r="CG1181" s="75">
        <f t="shared" si="111"/>
        <v>5023</v>
      </c>
      <c r="CH1181" s="69" t="str">
        <f t="shared" si="111"/>
        <v xml:space="preserve">خدمة عامة </v>
      </c>
    </row>
    <row r="1182" spans="1:88" x14ac:dyDescent="0.25">
      <c r="A1182" s="148"/>
      <c r="B1182" s="82">
        <v>9308</v>
      </c>
      <c r="C1182" s="149">
        <v>5024</v>
      </c>
      <c r="D1182" s="69" t="s">
        <v>137</v>
      </c>
      <c r="E1182" s="69" t="s">
        <v>3475</v>
      </c>
      <c r="F1182" s="63"/>
      <c r="G1182" s="69">
        <v>9720</v>
      </c>
      <c r="H1182" s="69"/>
      <c r="I1182" s="69"/>
      <c r="J1182" s="69"/>
      <c r="K1182" s="69"/>
      <c r="L1182" s="69"/>
      <c r="M1182" s="69"/>
      <c r="N1182" s="69"/>
      <c r="O1182" s="69"/>
      <c r="P1182" s="69"/>
      <c r="Q1182" s="69"/>
      <c r="R1182" s="69"/>
      <c r="S1182" s="69"/>
      <c r="T1182" s="69"/>
      <c r="U1182" s="69"/>
      <c r="V1182" s="69"/>
      <c r="W1182" s="69"/>
      <c r="X1182" s="69"/>
      <c r="Y1182" s="69"/>
      <c r="Z1182" s="69"/>
      <c r="AA1182" s="69"/>
      <c r="AB1182" s="69"/>
      <c r="AC1182" s="69"/>
      <c r="AD1182" s="69"/>
      <c r="AE1182" s="69"/>
      <c r="AF1182" s="69"/>
      <c r="AG1182" s="69"/>
      <c r="AH1182" s="69"/>
      <c r="AI1182" s="69"/>
      <c r="AJ1182" s="69"/>
      <c r="AK1182" s="69"/>
      <c r="AL1182" s="69"/>
      <c r="AM1182" s="69"/>
      <c r="AN1182" s="69"/>
      <c r="AO1182" s="69"/>
      <c r="AP1182" s="69"/>
      <c r="AQ1182" s="69"/>
      <c r="AR1182" s="94">
        <f t="shared" si="103"/>
        <v>9720</v>
      </c>
      <c r="AS1182" s="69">
        <v>8187.65</v>
      </c>
      <c r="AT1182" s="69">
        <v>1046.3499999999999</v>
      </c>
      <c r="AU1182" s="69"/>
      <c r="AV1182" s="69">
        <v>486</v>
      </c>
      <c r="AW1182" s="69"/>
      <c r="AX1182" s="69"/>
      <c r="AY1182" s="69"/>
      <c r="AZ1182" s="69"/>
      <c r="BA1182" s="69"/>
      <c r="BB1182" s="69"/>
      <c r="BC1182" s="69"/>
      <c r="BD1182" s="69"/>
      <c r="BE1182" s="69"/>
      <c r="BF1182" s="69"/>
      <c r="BG1182" s="69"/>
      <c r="BH1182" s="69"/>
      <c r="BI1182" s="69"/>
      <c r="BJ1182" s="69"/>
      <c r="BK1182" s="69"/>
      <c r="BL1182" s="69"/>
      <c r="BM1182" s="69"/>
      <c r="BN1182" s="69"/>
      <c r="BO1182" s="69"/>
      <c r="BP1182" s="69"/>
      <c r="BQ1182" s="69"/>
      <c r="BR1182" s="69"/>
      <c r="BS1182" s="69"/>
      <c r="BT1182" s="69"/>
      <c r="BU1182" s="69"/>
      <c r="BV1182" s="69"/>
      <c r="BW1182" s="69"/>
      <c r="BX1182" s="69"/>
      <c r="BY1182" s="69"/>
      <c r="BZ1182" s="69"/>
      <c r="CA1182" s="69"/>
      <c r="CB1182" s="69"/>
      <c r="CC1182" s="69"/>
      <c r="CD1182" s="69"/>
      <c r="CE1182" s="94">
        <f t="shared" si="104"/>
        <v>9720</v>
      </c>
      <c r="CF1182" s="151">
        <f t="shared" si="105"/>
        <v>0</v>
      </c>
      <c r="CG1182" s="75">
        <f t="shared" si="111"/>
        <v>5024</v>
      </c>
      <c r="CH1182" s="69" t="str">
        <f t="shared" si="111"/>
        <v xml:space="preserve">خدمة عامة </v>
      </c>
    </row>
    <row r="1183" spans="1:88" x14ac:dyDescent="0.25">
      <c r="A1183" s="148"/>
      <c r="B1183" s="82">
        <v>9306</v>
      </c>
      <c r="C1183" s="149">
        <v>5025</v>
      </c>
      <c r="D1183" s="69" t="s">
        <v>137</v>
      </c>
      <c r="E1183" s="69" t="s">
        <v>3475</v>
      </c>
      <c r="F1183" s="63"/>
      <c r="G1183" s="69">
        <v>156496.32999999999</v>
      </c>
      <c r="H1183" s="69"/>
      <c r="I1183" s="69"/>
      <c r="J1183" s="69"/>
      <c r="K1183" s="69"/>
      <c r="L1183" s="69"/>
      <c r="M1183" s="69"/>
      <c r="N1183" s="69"/>
      <c r="O1183" s="69"/>
      <c r="P1183" s="69"/>
      <c r="Q1183" s="69"/>
      <c r="R1183" s="69"/>
      <c r="S1183" s="69"/>
      <c r="T1183" s="69"/>
      <c r="U1183" s="69"/>
      <c r="V1183" s="69"/>
      <c r="W1183" s="69"/>
      <c r="X1183" s="69"/>
      <c r="Y1183" s="69"/>
      <c r="Z1183" s="69"/>
      <c r="AA1183" s="69"/>
      <c r="AB1183" s="69"/>
      <c r="AC1183" s="69"/>
      <c r="AD1183" s="69"/>
      <c r="AE1183" s="69"/>
      <c r="AF1183" s="69"/>
      <c r="AG1183" s="69"/>
      <c r="AH1183" s="69"/>
      <c r="AI1183" s="69"/>
      <c r="AJ1183" s="69"/>
      <c r="AK1183" s="69"/>
      <c r="AL1183" s="69"/>
      <c r="AM1183" s="69"/>
      <c r="AN1183" s="69"/>
      <c r="AO1183" s="69"/>
      <c r="AP1183" s="69"/>
      <c r="AQ1183" s="69"/>
      <c r="AR1183" s="94">
        <f t="shared" si="103"/>
        <v>156496.32999999999</v>
      </c>
      <c r="AS1183" s="69">
        <v>107145.21</v>
      </c>
      <c r="AT1183" s="69">
        <v>14914.65</v>
      </c>
      <c r="AU1183" s="69">
        <v>27449.72</v>
      </c>
      <c r="AV1183" s="69">
        <v>6986.75</v>
      </c>
      <c r="AW1183" s="69"/>
      <c r="AX1183" s="69"/>
      <c r="AY1183" s="69"/>
      <c r="AZ1183" s="69"/>
      <c r="BA1183" s="69"/>
      <c r="BB1183" s="69"/>
      <c r="BC1183" s="69"/>
      <c r="BD1183" s="69"/>
      <c r="BE1183" s="69"/>
      <c r="BF1183" s="69"/>
      <c r="BG1183" s="69"/>
      <c r="BH1183" s="69"/>
      <c r="BI1183" s="69"/>
      <c r="BJ1183" s="69"/>
      <c r="BK1183" s="69"/>
      <c r="BL1183" s="69"/>
      <c r="BM1183" s="69"/>
      <c r="BN1183" s="69"/>
      <c r="BO1183" s="69"/>
      <c r="BP1183" s="69"/>
      <c r="BQ1183" s="69"/>
      <c r="BR1183" s="69"/>
      <c r="BS1183" s="69"/>
      <c r="BT1183" s="69"/>
      <c r="BU1183" s="69"/>
      <c r="BV1183" s="69"/>
      <c r="BW1183" s="69"/>
      <c r="BX1183" s="69"/>
      <c r="BY1183" s="69"/>
      <c r="BZ1183" s="69"/>
      <c r="CA1183" s="69"/>
      <c r="CB1183" s="69"/>
      <c r="CC1183" s="69"/>
      <c r="CD1183" s="69"/>
      <c r="CE1183" s="94">
        <f t="shared" si="104"/>
        <v>156496.33000000002</v>
      </c>
      <c r="CF1183" s="151">
        <f t="shared" si="105"/>
        <v>0</v>
      </c>
      <c r="CG1183" s="75">
        <f t="shared" si="111"/>
        <v>5025</v>
      </c>
      <c r="CH1183" s="69" t="str">
        <f t="shared" si="111"/>
        <v xml:space="preserve">خدمة عامة </v>
      </c>
    </row>
    <row r="1184" spans="1:88" x14ac:dyDescent="0.25">
      <c r="A1184" s="148"/>
      <c r="B1184" s="82">
        <v>9305</v>
      </c>
      <c r="C1184" s="149">
        <v>5026</v>
      </c>
      <c r="D1184" s="69" t="s">
        <v>137</v>
      </c>
      <c r="E1184" s="69" t="s">
        <v>3475</v>
      </c>
      <c r="F1184" s="63"/>
      <c r="G1184" s="69">
        <v>106417.27</v>
      </c>
      <c r="H1184" s="69"/>
      <c r="I1184" s="69"/>
      <c r="J1184" s="69"/>
      <c r="K1184" s="69"/>
      <c r="L1184" s="69"/>
      <c r="M1184" s="69"/>
      <c r="N1184" s="69"/>
      <c r="O1184" s="69"/>
      <c r="P1184" s="69"/>
      <c r="Q1184" s="69"/>
      <c r="R1184" s="69"/>
      <c r="S1184" s="69"/>
      <c r="T1184" s="69"/>
      <c r="U1184" s="69"/>
      <c r="V1184" s="69"/>
      <c r="W1184" s="69"/>
      <c r="X1184" s="69"/>
      <c r="Y1184" s="69"/>
      <c r="Z1184" s="69"/>
      <c r="AA1184" s="69"/>
      <c r="AB1184" s="69"/>
      <c r="AC1184" s="69"/>
      <c r="AD1184" s="69"/>
      <c r="AE1184" s="69"/>
      <c r="AF1184" s="69"/>
      <c r="AG1184" s="69"/>
      <c r="AH1184" s="69"/>
      <c r="AI1184" s="69"/>
      <c r="AJ1184" s="69"/>
      <c r="AK1184" s="69"/>
      <c r="AL1184" s="69"/>
      <c r="AM1184" s="69"/>
      <c r="AN1184" s="69"/>
      <c r="AO1184" s="69"/>
      <c r="AP1184" s="69"/>
      <c r="AQ1184" s="69"/>
      <c r="AR1184" s="94">
        <f t="shared" si="103"/>
        <v>106417.27</v>
      </c>
      <c r="AS1184" s="69">
        <v>79959.44</v>
      </c>
      <c r="AT1184" s="69">
        <v>10694.4</v>
      </c>
      <c r="AU1184" s="69">
        <v>10771.43</v>
      </c>
      <c r="AV1184" s="69">
        <v>4992</v>
      </c>
      <c r="AW1184" s="69"/>
      <c r="AX1184" s="69"/>
      <c r="AY1184" s="69"/>
      <c r="AZ1184" s="69"/>
      <c r="BA1184" s="69"/>
      <c r="BB1184" s="69"/>
      <c r="BC1184" s="69"/>
      <c r="BD1184" s="69"/>
      <c r="BE1184" s="69"/>
      <c r="BF1184" s="69"/>
      <c r="BG1184" s="69"/>
      <c r="BH1184" s="69"/>
      <c r="BI1184" s="69"/>
      <c r="BJ1184" s="69"/>
      <c r="BK1184" s="69"/>
      <c r="BL1184" s="69"/>
      <c r="BM1184" s="69"/>
      <c r="BN1184" s="69"/>
      <c r="BO1184" s="69"/>
      <c r="BP1184" s="69"/>
      <c r="BQ1184" s="69"/>
      <c r="BR1184" s="69"/>
      <c r="BS1184" s="69"/>
      <c r="BT1184" s="69"/>
      <c r="BU1184" s="69"/>
      <c r="BV1184" s="69"/>
      <c r="BW1184" s="69"/>
      <c r="BX1184" s="69"/>
      <c r="BY1184" s="69"/>
      <c r="BZ1184" s="69"/>
      <c r="CA1184" s="69"/>
      <c r="CB1184" s="69"/>
      <c r="CC1184" s="69"/>
      <c r="CD1184" s="69"/>
      <c r="CE1184" s="94">
        <f t="shared" si="104"/>
        <v>106417.26999999999</v>
      </c>
      <c r="CF1184" s="151">
        <f t="shared" si="105"/>
        <v>0</v>
      </c>
      <c r="CG1184" s="75">
        <f t="shared" si="111"/>
        <v>5026</v>
      </c>
      <c r="CH1184" s="69" t="str">
        <f t="shared" si="111"/>
        <v xml:space="preserve">خدمة عامة </v>
      </c>
    </row>
    <row r="1185" spans="1:95" x14ac:dyDescent="0.25">
      <c r="A1185" s="148"/>
      <c r="B1185" s="82"/>
      <c r="C1185" s="149">
        <v>5027</v>
      </c>
      <c r="D1185" s="69" t="s">
        <v>1431</v>
      </c>
      <c r="E1185" s="69" t="s">
        <v>3476</v>
      </c>
      <c r="F1185" s="63"/>
      <c r="G1185" s="69"/>
      <c r="H1185" s="69"/>
      <c r="I1185" s="69"/>
      <c r="J1185" s="69"/>
      <c r="K1185" s="69"/>
      <c r="L1185" s="69"/>
      <c r="M1185" s="69"/>
      <c r="N1185" s="69"/>
      <c r="O1185" s="69"/>
      <c r="P1185" s="69"/>
      <c r="Q1185" s="69"/>
      <c r="R1185" s="69"/>
      <c r="S1185" s="69"/>
      <c r="T1185" s="69"/>
      <c r="U1185" s="69"/>
      <c r="V1185" s="69"/>
      <c r="W1185" s="69"/>
      <c r="X1185" s="69"/>
      <c r="Y1185" s="69"/>
      <c r="Z1185" s="69"/>
      <c r="AA1185" s="69"/>
      <c r="AB1185" s="69"/>
      <c r="AC1185" s="69"/>
      <c r="AD1185" s="69"/>
      <c r="AE1185" s="69"/>
      <c r="AF1185" s="69"/>
      <c r="AG1185" s="69"/>
      <c r="AH1185" s="69"/>
      <c r="AI1185" s="69"/>
      <c r="AJ1185" s="69"/>
      <c r="AK1185" s="69"/>
      <c r="AL1185" s="69"/>
      <c r="AM1185" s="69"/>
      <c r="AN1185" s="69"/>
      <c r="AO1185" s="69"/>
      <c r="AP1185" s="69"/>
      <c r="AQ1185" s="69"/>
      <c r="AR1185" s="94">
        <f t="shared" si="103"/>
        <v>0</v>
      </c>
      <c r="AS1185" s="69"/>
      <c r="AT1185" s="69"/>
      <c r="AU1185" s="69"/>
      <c r="AV1185" s="69"/>
      <c r="AW1185" s="69"/>
      <c r="AX1185" s="69"/>
      <c r="AY1185" s="69"/>
      <c r="AZ1185" s="69"/>
      <c r="BA1185" s="69"/>
      <c r="BB1185" s="69"/>
      <c r="BC1185" s="69"/>
      <c r="BD1185" s="69"/>
      <c r="BE1185" s="69"/>
      <c r="BF1185" s="69"/>
      <c r="BG1185" s="69"/>
      <c r="BH1185" s="69"/>
      <c r="BI1185" s="69"/>
      <c r="BJ1185" s="69"/>
      <c r="BK1185" s="69"/>
      <c r="BL1185" s="69"/>
      <c r="BM1185" s="69"/>
      <c r="BN1185" s="69"/>
      <c r="BO1185" s="69"/>
      <c r="BP1185" s="69"/>
      <c r="BQ1185" s="69"/>
      <c r="BR1185" s="69"/>
      <c r="BS1185" s="69"/>
      <c r="BT1185" s="69"/>
      <c r="BU1185" s="69"/>
      <c r="BV1185" s="69"/>
      <c r="BW1185" s="69"/>
      <c r="BX1185" s="69"/>
      <c r="BY1185" s="69"/>
      <c r="BZ1185" s="69"/>
      <c r="CA1185" s="69"/>
      <c r="CB1185" s="69"/>
      <c r="CC1185" s="69"/>
      <c r="CD1185" s="69"/>
      <c r="CE1185" s="94">
        <f t="shared" si="104"/>
        <v>0</v>
      </c>
      <c r="CF1185" s="151">
        <f t="shared" si="105"/>
        <v>0</v>
      </c>
      <c r="CG1185" s="75">
        <f t="shared" si="111"/>
        <v>5027</v>
      </c>
      <c r="CH1185" s="69" t="str">
        <f t="shared" si="111"/>
        <v>لاب فقط</v>
      </c>
    </row>
    <row r="1186" spans="1:95" x14ac:dyDescent="0.25">
      <c r="A1186" s="148"/>
      <c r="B1186" s="82"/>
      <c r="C1186" s="149">
        <v>5028</v>
      </c>
      <c r="D1186" s="69" t="s">
        <v>1431</v>
      </c>
      <c r="E1186" s="69" t="s">
        <v>3477</v>
      </c>
      <c r="F1186" s="63"/>
      <c r="G1186" s="69"/>
      <c r="H1186" s="69"/>
      <c r="I1186" s="69"/>
      <c r="J1186" s="69"/>
      <c r="K1186" s="69"/>
      <c r="L1186" s="69"/>
      <c r="M1186" s="69"/>
      <c r="N1186" s="69"/>
      <c r="O1186" s="69"/>
      <c r="P1186" s="69"/>
      <c r="Q1186" s="69"/>
      <c r="R1186" s="69"/>
      <c r="S1186" s="69"/>
      <c r="T1186" s="69"/>
      <c r="U1186" s="69"/>
      <c r="V1186" s="69"/>
      <c r="W1186" s="69"/>
      <c r="X1186" s="69"/>
      <c r="Y1186" s="69"/>
      <c r="Z1186" s="69"/>
      <c r="AA1186" s="69"/>
      <c r="AB1186" s="69"/>
      <c r="AC1186" s="69"/>
      <c r="AD1186" s="69"/>
      <c r="AE1186" s="69"/>
      <c r="AF1186" s="69"/>
      <c r="AG1186" s="69"/>
      <c r="AH1186" s="69"/>
      <c r="AI1186" s="69"/>
      <c r="AJ1186" s="69"/>
      <c r="AK1186" s="69"/>
      <c r="AL1186" s="69"/>
      <c r="AM1186" s="69"/>
      <c r="AN1186" s="69"/>
      <c r="AO1186" s="69"/>
      <c r="AP1186" s="69"/>
      <c r="AQ1186" s="69"/>
      <c r="AR1186" s="94">
        <f t="shared" si="103"/>
        <v>0</v>
      </c>
      <c r="AS1186" s="69"/>
      <c r="AT1186" s="69"/>
      <c r="AU1186" s="69"/>
      <c r="AV1186" s="69"/>
      <c r="AW1186" s="69"/>
      <c r="AX1186" s="69"/>
      <c r="AY1186" s="69"/>
      <c r="AZ1186" s="69"/>
      <c r="BA1186" s="69"/>
      <c r="BB1186" s="69"/>
      <c r="BC1186" s="69"/>
      <c r="BD1186" s="69"/>
      <c r="BE1186" s="69"/>
      <c r="BF1186" s="69"/>
      <c r="BG1186" s="69"/>
      <c r="BH1186" s="69"/>
      <c r="BI1186" s="69"/>
      <c r="BJ1186" s="69"/>
      <c r="BK1186" s="69"/>
      <c r="BL1186" s="69"/>
      <c r="BM1186" s="69"/>
      <c r="BN1186" s="69"/>
      <c r="BO1186" s="69"/>
      <c r="BP1186" s="69"/>
      <c r="BQ1186" s="69"/>
      <c r="BR1186" s="69"/>
      <c r="BS1186" s="69"/>
      <c r="BT1186" s="69"/>
      <c r="BU1186" s="69"/>
      <c r="BV1186" s="69"/>
      <c r="BW1186" s="69"/>
      <c r="BX1186" s="69"/>
      <c r="BY1186" s="69"/>
      <c r="BZ1186" s="69"/>
      <c r="CA1186" s="69"/>
      <c r="CB1186" s="69"/>
      <c r="CC1186" s="69"/>
      <c r="CD1186" s="69"/>
      <c r="CE1186" s="94">
        <f t="shared" si="104"/>
        <v>0</v>
      </c>
      <c r="CF1186" s="151">
        <f t="shared" si="105"/>
        <v>0</v>
      </c>
      <c r="CG1186" s="75">
        <f t="shared" si="111"/>
        <v>5028</v>
      </c>
      <c r="CH1186" s="69" t="str">
        <f t="shared" si="111"/>
        <v>لاب فقط</v>
      </c>
    </row>
    <row r="1187" spans="1:95" s="156" customFormat="1" x14ac:dyDescent="0.25">
      <c r="A1187" s="153"/>
      <c r="B1187" s="83"/>
      <c r="C1187" s="154"/>
      <c r="D1187" s="68"/>
      <c r="E1187" s="68" t="s">
        <v>3478</v>
      </c>
      <c r="F1187" s="68"/>
      <c r="G1187" s="68">
        <f t="shared" ref="G1187:BR1187" si="112">SUM(G1170:G1186)</f>
        <v>513257.15</v>
      </c>
      <c r="H1187" s="68">
        <f t="shared" si="112"/>
        <v>0</v>
      </c>
      <c r="I1187" s="68">
        <f t="shared" si="112"/>
        <v>0</v>
      </c>
      <c r="J1187" s="68">
        <f t="shared" si="112"/>
        <v>0</v>
      </c>
      <c r="K1187" s="68">
        <f t="shared" si="112"/>
        <v>0</v>
      </c>
      <c r="L1187" s="68">
        <f t="shared" si="112"/>
        <v>0</v>
      </c>
      <c r="M1187" s="68">
        <f t="shared" si="112"/>
        <v>0</v>
      </c>
      <c r="N1187" s="68">
        <f t="shared" si="112"/>
        <v>0</v>
      </c>
      <c r="O1187" s="68">
        <f t="shared" si="112"/>
        <v>0</v>
      </c>
      <c r="P1187" s="68">
        <f t="shared" si="112"/>
        <v>0</v>
      </c>
      <c r="Q1187" s="68">
        <f t="shared" si="112"/>
        <v>0</v>
      </c>
      <c r="R1187" s="68">
        <f t="shared" si="112"/>
        <v>0</v>
      </c>
      <c r="S1187" s="68">
        <f t="shared" si="112"/>
        <v>0</v>
      </c>
      <c r="T1187" s="68">
        <f t="shared" si="112"/>
        <v>0</v>
      </c>
      <c r="U1187" s="68">
        <f t="shared" si="112"/>
        <v>0</v>
      </c>
      <c r="V1187" s="68">
        <f t="shared" si="112"/>
        <v>0</v>
      </c>
      <c r="W1187" s="68">
        <f t="shared" si="112"/>
        <v>0</v>
      </c>
      <c r="X1187" s="68">
        <f t="shared" si="112"/>
        <v>0</v>
      </c>
      <c r="Y1187" s="68">
        <f t="shared" si="112"/>
        <v>0</v>
      </c>
      <c r="Z1187" s="68">
        <f t="shared" si="112"/>
        <v>0</v>
      </c>
      <c r="AA1187" s="68">
        <f t="shared" si="112"/>
        <v>0</v>
      </c>
      <c r="AB1187" s="68">
        <f t="shared" si="112"/>
        <v>0</v>
      </c>
      <c r="AC1187" s="68">
        <f t="shared" si="112"/>
        <v>0</v>
      </c>
      <c r="AD1187" s="68">
        <f t="shared" si="112"/>
        <v>0</v>
      </c>
      <c r="AE1187" s="68">
        <f t="shared" si="112"/>
        <v>0</v>
      </c>
      <c r="AF1187" s="68">
        <f t="shared" si="112"/>
        <v>0</v>
      </c>
      <c r="AG1187" s="68">
        <f t="shared" si="112"/>
        <v>0</v>
      </c>
      <c r="AH1187" s="68">
        <f t="shared" si="112"/>
        <v>0</v>
      </c>
      <c r="AI1187" s="68">
        <f t="shared" si="112"/>
        <v>0</v>
      </c>
      <c r="AJ1187" s="68">
        <f t="shared" si="112"/>
        <v>0</v>
      </c>
      <c r="AK1187" s="68">
        <f t="shared" si="112"/>
        <v>0</v>
      </c>
      <c r="AL1187" s="68">
        <f t="shared" si="112"/>
        <v>0</v>
      </c>
      <c r="AM1187" s="68">
        <f t="shared" si="112"/>
        <v>0</v>
      </c>
      <c r="AN1187" s="68">
        <f t="shared" si="112"/>
        <v>0</v>
      </c>
      <c r="AO1187" s="68">
        <f t="shared" si="112"/>
        <v>0</v>
      </c>
      <c r="AP1187" s="68">
        <f t="shared" si="112"/>
        <v>0</v>
      </c>
      <c r="AQ1187" s="68">
        <f t="shared" si="112"/>
        <v>0</v>
      </c>
      <c r="AR1187" s="94">
        <f t="shared" si="103"/>
        <v>513257.15</v>
      </c>
      <c r="AS1187" s="68">
        <f t="shared" si="112"/>
        <v>357084.43</v>
      </c>
      <c r="AT1187" s="68">
        <f t="shared" si="112"/>
        <v>48827.14</v>
      </c>
      <c r="AU1187" s="68">
        <f t="shared" si="112"/>
        <v>92918.079999999987</v>
      </c>
      <c r="AV1187" s="68">
        <f t="shared" si="112"/>
        <v>14427.5</v>
      </c>
      <c r="AW1187" s="68">
        <f t="shared" si="112"/>
        <v>0</v>
      </c>
      <c r="AX1187" s="68">
        <f t="shared" si="112"/>
        <v>0</v>
      </c>
      <c r="AY1187" s="68">
        <f t="shared" si="112"/>
        <v>0</v>
      </c>
      <c r="AZ1187" s="68">
        <f t="shared" si="112"/>
        <v>0</v>
      </c>
      <c r="BA1187" s="68">
        <f t="shared" si="112"/>
        <v>0</v>
      </c>
      <c r="BB1187" s="68">
        <f t="shared" si="112"/>
        <v>0</v>
      </c>
      <c r="BC1187" s="68">
        <f t="shared" si="112"/>
        <v>0</v>
      </c>
      <c r="BD1187" s="68">
        <f t="shared" si="112"/>
        <v>0</v>
      </c>
      <c r="BE1187" s="68">
        <f t="shared" si="112"/>
        <v>0</v>
      </c>
      <c r="BF1187" s="68">
        <f t="shared" si="112"/>
        <v>0</v>
      </c>
      <c r="BG1187" s="68">
        <f t="shared" si="112"/>
        <v>0</v>
      </c>
      <c r="BH1187" s="68">
        <f t="shared" si="112"/>
        <v>0</v>
      </c>
      <c r="BI1187" s="68">
        <f t="shared" si="112"/>
        <v>0</v>
      </c>
      <c r="BJ1187" s="68">
        <f t="shared" si="112"/>
        <v>0</v>
      </c>
      <c r="BK1187" s="68">
        <f t="shared" si="112"/>
        <v>0</v>
      </c>
      <c r="BL1187" s="68">
        <f t="shared" si="112"/>
        <v>0</v>
      </c>
      <c r="BM1187" s="68">
        <f t="shared" si="112"/>
        <v>0</v>
      </c>
      <c r="BN1187" s="68">
        <f t="shared" si="112"/>
        <v>0</v>
      </c>
      <c r="BO1187" s="68">
        <f t="shared" si="112"/>
        <v>0</v>
      </c>
      <c r="BP1187" s="68">
        <f t="shared" si="112"/>
        <v>0</v>
      </c>
      <c r="BQ1187" s="68">
        <f t="shared" si="112"/>
        <v>0</v>
      </c>
      <c r="BR1187" s="68">
        <f t="shared" si="112"/>
        <v>0</v>
      </c>
      <c r="BS1187" s="68">
        <f t="shared" ref="BS1187:CD1187" si="113">SUM(BS1170:BS1186)</f>
        <v>0</v>
      </c>
      <c r="BT1187" s="68">
        <f t="shared" si="113"/>
        <v>0</v>
      </c>
      <c r="BU1187" s="68">
        <f t="shared" si="113"/>
        <v>0</v>
      </c>
      <c r="BV1187" s="68">
        <f t="shared" si="113"/>
        <v>0</v>
      </c>
      <c r="BW1187" s="68">
        <f t="shared" si="113"/>
        <v>0</v>
      </c>
      <c r="BX1187" s="68">
        <f t="shared" si="113"/>
        <v>0</v>
      </c>
      <c r="BY1187" s="68">
        <f t="shared" si="113"/>
        <v>0</v>
      </c>
      <c r="BZ1187" s="68">
        <f t="shared" si="113"/>
        <v>0</v>
      </c>
      <c r="CA1187" s="68">
        <f t="shared" si="113"/>
        <v>0</v>
      </c>
      <c r="CB1187" s="68">
        <f t="shared" si="113"/>
        <v>0</v>
      </c>
      <c r="CC1187" s="68">
        <f t="shared" si="113"/>
        <v>0</v>
      </c>
      <c r="CD1187" s="68">
        <f t="shared" si="113"/>
        <v>0</v>
      </c>
      <c r="CE1187" s="94">
        <f t="shared" si="104"/>
        <v>513257.15</v>
      </c>
      <c r="CF1187" s="151">
        <f t="shared" si="105"/>
        <v>0</v>
      </c>
      <c r="CG1187" s="75">
        <f t="shared" si="111"/>
        <v>0</v>
      </c>
      <c r="CH1187" s="69">
        <f t="shared" si="111"/>
        <v>0</v>
      </c>
      <c r="CI1187" s="68">
        <f t="shared" ref="CI1187:CQ1187" si="114">SUM(CI1170:CI1186)</f>
        <v>0</v>
      </c>
      <c r="CJ1187" s="68">
        <f t="shared" si="114"/>
        <v>0</v>
      </c>
      <c r="CK1187" s="68">
        <f t="shared" si="114"/>
        <v>0</v>
      </c>
      <c r="CL1187" s="68">
        <f t="shared" si="114"/>
        <v>0</v>
      </c>
      <c r="CM1187" s="68">
        <f t="shared" si="114"/>
        <v>0</v>
      </c>
      <c r="CN1187" s="68">
        <f t="shared" si="114"/>
        <v>0</v>
      </c>
      <c r="CO1187" s="68">
        <f t="shared" si="114"/>
        <v>0</v>
      </c>
      <c r="CP1187" s="68">
        <f t="shared" si="114"/>
        <v>0</v>
      </c>
      <c r="CQ1187" s="68">
        <f t="shared" si="114"/>
        <v>0</v>
      </c>
    </row>
    <row r="1188" spans="1:95" x14ac:dyDescent="0.25">
      <c r="A1188" s="148"/>
      <c r="B1188" s="82"/>
      <c r="C1188" s="160">
        <v>5029</v>
      </c>
      <c r="D1188" s="69"/>
      <c r="E1188" s="69" t="s">
        <v>3479</v>
      </c>
      <c r="F1188" s="69"/>
      <c r="G1188" s="69"/>
      <c r="H1188" s="69"/>
      <c r="I1188" s="69"/>
      <c r="J1188" s="69"/>
      <c r="K1188" s="69"/>
      <c r="L1188" s="69"/>
      <c r="M1188" s="69"/>
      <c r="N1188" s="69"/>
      <c r="O1188" s="69"/>
      <c r="P1188" s="69"/>
      <c r="Q1188" s="69"/>
      <c r="R1188" s="69"/>
      <c r="S1188" s="69"/>
      <c r="T1188" s="69"/>
      <c r="U1188" s="69"/>
      <c r="V1188" s="69"/>
      <c r="W1188" s="69"/>
      <c r="X1188" s="69"/>
      <c r="Y1188" s="69"/>
      <c r="Z1188" s="69"/>
      <c r="AA1188" s="69"/>
      <c r="AB1188" s="69"/>
      <c r="AC1188" s="69"/>
      <c r="AD1188" s="69"/>
      <c r="AE1188" s="69"/>
      <c r="AF1188" s="69"/>
      <c r="AG1188" s="69"/>
      <c r="AH1188" s="69"/>
      <c r="AI1188" s="69"/>
      <c r="AJ1188" s="69"/>
      <c r="AK1188" s="69"/>
      <c r="AL1188" s="69"/>
      <c r="AM1188" s="69"/>
      <c r="AN1188" s="69"/>
      <c r="AO1188" s="69"/>
      <c r="AP1188" s="69"/>
      <c r="AQ1188" s="69"/>
      <c r="AR1188" s="94">
        <f t="shared" si="103"/>
        <v>0</v>
      </c>
      <c r="AS1188" s="69"/>
      <c r="AT1188" s="69"/>
      <c r="AU1188" s="69"/>
      <c r="AV1188" s="69"/>
      <c r="AW1188" s="69"/>
      <c r="AX1188" s="69"/>
      <c r="AY1188" s="69"/>
      <c r="AZ1188" s="69"/>
      <c r="BA1188" s="69"/>
      <c r="BB1188" s="69"/>
      <c r="BC1188" s="69"/>
      <c r="BD1188" s="69"/>
      <c r="BE1188" s="69"/>
      <c r="BF1188" s="69"/>
      <c r="BG1188" s="69"/>
      <c r="BH1188" s="69"/>
      <c r="BI1188" s="69"/>
      <c r="BJ1188" s="69"/>
      <c r="BK1188" s="69"/>
      <c r="BL1188" s="69"/>
      <c r="BM1188" s="69"/>
      <c r="BN1188" s="69"/>
      <c r="BO1188" s="69"/>
      <c r="BP1188" s="69"/>
      <c r="BQ1188" s="69"/>
      <c r="BR1188" s="69"/>
      <c r="BS1188" s="69"/>
      <c r="BT1188" s="69"/>
      <c r="BU1188" s="69"/>
      <c r="BV1188" s="69"/>
      <c r="BW1188" s="69"/>
      <c r="BX1188" s="69"/>
      <c r="BY1188" s="69"/>
      <c r="BZ1188" s="69"/>
      <c r="CA1188" s="69"/>
      <c r="CB1188" s="69"/>
      <c r="CC1188" s="69"/>
      <c r="CD1188" s="69"/>
      <c r="CE1188" s="94">
        <f t="shared" si="104"/>
        <v>0</v>
      </c>
      <c r="CF1188" s="151">
        <f t="shared" si="105"/>
        <v>0</v>
      </c>
      <c r="CG1188" s="75">
        <f t="shared" si="111"/>
        <v>5029</v>
      </c>
      <c r="CH1188" s="69">
        <f t="shared" si="111"/>
        <v>0</v>
      </c>
    </row>
    <row r="1189" spans="1:95" x14ac:dyDescent="0.25">
      <c r="A1189" s="148"/>
      <c r="B1189" s="82"/>
      <c r="C1189" s="160">
        <v>5030</v>
      </c>
      <c r="D1189" s="69"/>
      <c r="E1189" s="69" t="s">
        <v>3479</v>
      </c>
      <c r="F1189" s="69"/>
      <c r="G1189" s="69"/>
      <c r="H1189" s="69"/>
      <c r="I1189" s="69"/>
      <c r="J1189" s="69"/>
      <c r="K1189" s="69"/>
      <c r="L1189" s="69"/>
      <c r="M1189" s="69"/>
      <c r="N1189" s="69"/>
      <c r="O1189" s="69"/>
      <c r="P1189" s="69"/>
      <c r="Q1189" s="69"/>
      <c r="R1189" s="69"/>
      <c r="S1189" s="69"/>
      <c r="T1189" s="69"/>
      <c r="U1189" s="69"/>
      <c r="V1189" s="69"/>
      <c r="W1189" s="69"/>
      <c r="X1189" s="69"/>
      <c r="Y1189" s="69"/>
      <c r="Z1189" s="69"/>
      <c r="AA1189" s="69"/>
      <c r="AB1189" s="69"/>
      <c r="AC1189" s="69"/>
      <c r="AD1189" s="69"/>
      <c r="AE1189" s="69"/>
      <c r="AF1189" s="69"/>
      <c r="AG1189" s="69"/>
      <c r="AH1189" s="69"/>
      <c r="AI1189" s="69"/>
      <c r="AJ1189" s="69"/>
      <c r="AK1189" s="69"/>
      <c r="AL1189" s="69"/>
      <c r="AM1189" s="69"/>
      <c r="AN1189" s="69"/>
      <c r="AO1189" s="69"/>
      <c r="AP1189" s="69"/>
      <c r="AQ1189" s="69"/>
      <c r="AR1189" s="94">
        <f t="shared" si="103"/>
        <v>0</v>
      </c>
      <c r="AS1189" s="69"/>
      <c r="AT1189" s="69"/>
      <c r="AU1189" s="69"/>
      <c r="AV1189" s="69"/>
      <c r="AW1189" s="69"/>
      <c r="AX1189" s="69"/>
      <c r="AY1189" s="69"/>
      <c r="AZ1189" s="69"/>
      <c r="BA1189" s="69"/>
      <c r="BB1189" s="69"/>
      <c r="BC1189" s="69"/>
      <c r="BD1189" s="69"/>
      <c r="BE1189" s="69"/>
      <c r="BF1189" s="69"/>
      <c r="BG1189" s="69"/>
      <c r="BH1189" s="69"/>
      <c r="BI1189" s="69"/>
      <c r="BJ1189" s="69"/>
      <c r="BK1189" s="69"/>
      <c r="BL1189" s="69"/>
      <c r="BM1189" s="69"/>
      <c r="BN1189" s="69"/>
      <c r="BO1189" s="69"/>
      <c r="BP1189" s="69"/>
      <c r="BQ1189" s="69"/>
      <c r="BR1189" s="69"/>
      <c r="BS1189" s="69"/>
      <c r="BT1189" s="69"/>
      <c r="BU1189" s="69"/>
      <c r="BV1189" s="69"/>
      <c r="BW1189" s="69"/>
      <c r="BX1189" s="69"/>
      <c r="BY1189" s="69"/>
      <c r="BZ1189" s="69"/>
      <c r="CA1189" s="69"/>
      <c r="CB1189" s="69"/>
      <c r="CC1189" s="69"/>
      <c r="CD1189" s="69"/>
      <c r="CE1189" s="94">
        <f t="shared" si="104"/>
        <v>0</v>
      </c>
      <c r="CF1189" s="151">
        <f t="shared" si="105"/>
        <v>0</v>
      </c>
      <c r="CG1189" s="75">
        <f t="shared" si="111"/>
        <v>5030</v>
      </c>
      <c r="CH1189" s="69">
        <f t="shared" si="111"/>
        <v>0</v>
      </c>
    </row>
    <row r="1190" spans="1:95" x14ac:dyDescent="0.25">
      <c r="A1190" s="148"/>
      <c r="B1190" s="82"/>
      <c r="C1190" s="160">
        <v>5031</v>
      </c>
      <c r="D1190" s="69"/>
      <c r="E1190" s="69" t="s">
        <v>3479</v>
      </c>
      <c r="F1190" s="69"/>
      <c r="G1190" s="69"/>
      <c r="H1190" s="69"/>
      <c r="I1190" s="69"/>
      <c r="J1190" s="69"/>
      <c r="K1190" s="69"/>
      <c r="L1190" s="69"/>
      <c r="M1190" s="69"/>
      <c r="N1190" s="69"/>
      <c r="O1190" s="69"/>
      <c r="P1190" s="69"/>
      <c r="Q1190" s="69"/>
      <c r="R1190" s="69"/>
      <c r="S1190" s="69"/>
      <c r="T1190" s="69"/>
      <c r="U1190" s="69"/>
      <c r="V1190" s="69"/>
      <c r="W1190" s="69"/>
      <c r="X1190" s="69"/>
      <c r="Y1190" s="69"/>
      <c r="Z1190" s="69"/>
      <c r="AA1190" s="69"/>
      <c r="AB1190" s="69"/>
      <c r="AC1190" s="69"/>
      <c r="AD1190" s="69"/>
      <c r="AE1190" s="69"/>
      <c r="AF1190" s="69"/>
      <c r="AG1190" s="69"/>
      <c r="AH1190" s="69"/>
      <c r="AI1190" s="69"/>
      <c r="AJ1190" s="69"/>
      <c r="AK1190" s="69"/>
      <c r="AL1190" s="69"/>
      <c r="AM1190" s="69"/>
      <c r="AN1190" s="69"/>
      <c r="AO1190" s="69"/>
      <c r="AP1190" s="69"/>
      <c r="AQ1190" s="69"/>
      <c r="AR1190" s="94">
        <f t="shared" si="103"/>
        <v>0</v>
      </c>
      <c r="AS1190" s="69"/>
      <c r="AT1190" s="69"/>
      <c r="AU1190" s="69"/>
      <c r="AV1190" s="69"/>
      <c r="AW1190" s="69"/>
      <c r="AX1190" s="69"/>
      <c r="AY1190" s="69"/>
      <c r="AZ1190" s="69"/>
      <c r="BA1190" s="69"/>
      <c r="BB1190" s="69"/>
      <c r="BC1190" s="69"/>
      <c r="BD1190" s="69"/>
      <c r="BE1190" s="69"/>
      <c r="BF1190" s="69"/>
      <c r="BG1190" s="69"/>
      <c r="BH1190" s="69"/>
      <c r="BI1190" s="69"/>
      <c r="BJ1190" s="69"/>
      <c r="BK1190" s="69"/>
      <c r="BL1190" s="69"/>
      <c r="BM1190" s="69"/>
      <c r="BN1190" s="69"/>
      <c r="BO1190" s="69"/>
      <c r="BP1190" s="69"/>
      <c r="BQ1190" s="69"/>
      <c r="BR1190" s="69"/>
      <c r="BS1190" s="69"/>
      <c r="BT1190" s="69"/>
      <c r="BU1190" s="69"/>
      <c r="BV1190" s="69"/>
      <c r="BW1190" s="69"/>
      <c r="BX1190" s="69"/>
      <c r="BY1190" s="69"/>
      <c r="BZ1190" s="69"/>
      <c r="CA1190" s="69"/>
      <c r="CB1190" s="69"/>
      <c r="CC1190" s="69"/>
      <c r="CD1190" s="69"/>
      <c r="CE1190" s="94">
        <f t="shared" si="104"/>
        <v>0</v>
      </c>
      <c r="CF1190" s="151">
        <f t="shared" si="105"/>
        <v>0</v>
      </c>
      <c r="CG1190" s="75">
        <f t="shared" si="111"/>
        <v>5031</v>
      </c>
      <c r="CH1190" s="69">
        <f t="shared" si="111"/>
        <v>0</v>
      </c>
    </row>
    <row r="1191" spans="1:95" x14ac:dyDescent="0.25">
      <c r="A1191" s="148"/>
      <c r="B1191" s="82"/>
      <c r="C1191" s="160">
        <v>5032</v>
      </c>
      <c r="D1191" s="69"/>
      <c r="E1191" s="69" t="s">
        <v>3479</v>
      </c>
      <c r="F1191" s="69"/>
      <c r="G1191" s="69"/>
      <c r="H1191" s="69"/>
      <c r="I1191" s="69"/>
      <c r="J1191" s="69"/>
      <c r="K1191" s="69"/>
      <c r="L1191" s="69"/>
      <c r="M1191" s="69"/>
      <c r="N1191" s="69"/>
      <c r="O1191" s="69"/>
      <c r="P1191" s="69"/>
      <c r="Q1191" s="69"/>
      <c r="R1191" s="69"/>
      <c r="S1191" s="69"/>
      <c r="T1191" s="69"/>
      <c r="U1191" s="69"/>
      <c r="V1191" s="69"/>
      <c r="W1191" s="69"/>
      <c r="X1191" s="69"/>
      <c r="Y1191" s="69"/>
      <c r="Z1191" s="69"/>
      <c r="AA1191" s="69"/>
      <c r="AB1191" s="69"/>
      <c r="AC1191" s="69"/>
      <c r="AD1191" s="69"/>
      <c r="AE1191" s="69"/>
      <c r="AF1191" s="69"/>
      <c r="AG1191" s="69"/>
      <c r="AH1191" s="69"/>
      <c r="AI1191" s="69"/>
      <c r="AJ1191" s="69"/>
      <c r="AK1191" s="69"/>
      <c r="AL1191" s="69"/>
      <c r="AM1191" s="69"/>
      <c r="AN1191" s="69"/>
      <c r="AO1191" s="69"/>
      <c r="AP1191" s="69"/>
      <c r="AQ1191" s="69"/>
      <c r="AR1191" s="94">
        <f t="shared" si="103"/>
        <v>0</v>
      </c>
      <c r="AS1191" s="69"/>
      <c r="AT1191" s="69"/>
      <c r="AU1191" s="69"/>
      <c r="AV1191" s="69"/>
      <c r="AW1191" s="69"/>
      <c r="AX1191" s="69"/>
      <c r="AY1191" s="69"/>
      <c r="AZ1191" s="69"/>
      <c r="BA1191" s="69"/>
      <c r="BB1191" s="69"/>
      <c r="BC1191" s="69"/>
      <c r="BD1191" s="69"/>
      <c r="BE1191" s="69"/>
      <c r="BF1191" s="69"/>
      <c r="BG1191" s="69"/>
      <c r="BH1191" s="69"/>
      <c r="BI1191" s="69"/>
      <c r="BJ1191" s="69"/>
      <c r="BK1191" s="69"/>
      <c r="BL1191" s="69"/>
      <c r="BM1191" s="69"/>
      <c r="BN1191" s="69"/>
      <c r="BO1191" s="69"/>
      <c r="BP1191" s="69"/>
      <c r="BQ1191" s="69"/>
      <c r="BR1191" s="69"/>
      <c r="BS1191" s="69"/>
      <c r="BT1191" s="69"/>
      <c r="BU1191" s="69"/>
      <c r="BV1191" s="69"/>
      <c r="BW1191" s="69"/>
      <c r="BX1191" s="69"/>
      <c r="BY1191" s="69"/>
      <c r="BZ1191" s="69"/>
      <c r="CA1191" s="69"/>
      <c r="CB1191" s="69"/>
      <c r="CC1191" s="69"/>
      <c r="CD1191" s="69"/>
      <c r="CE1191" s="94">
        <f t="shared" si="104"/>
        <v>0</v>
      </c>
      <c r="CF1191" s="151">
        <f t="shared" si="105"/>
        <v>0</v>
      </c>
      <c r="CG1191" s="75">
        <f t="shared" si="111"/>
        <v>5032</v>
      </c>
      <c r="CH1191" s="69">
        <f t="shared" si="111"/>
        <v>0</v>
      </c>
    </row>
    <row r="1192" spans="1:95" x14ac:dyDescent="0.25">
      <c r="A1192" s="148"/>
      <c r="B1192" s="82"/>
      <c r="C1192" s="160">
        <v>5033</v>
      </c>
      <c r="D1192" s="69"/>
      <c r="E1192" s="69" t="s">
        <v>3479</v>
      </c>
      <c r="F1192" s="69"/>
      <c r="G1192" s="69"/>
      <c r="H1192" s="69"/>
      <c r="I1192" s="69"/>
      <c r="J1192" s="69"/>
      <c r="K1192" s="69"/>
      <c r="L1192" s="69"/>
      <c r="M1192" s="69"/>
      <c r="N1192" s="69"/>
      <c r="O1192" s="69"/>
      <c r="P1192" s="69"/>
      <c r="Q1192" s="69"/>
      <c r="R1192" s="69"/>
      <c r="S1192" s="69"/>
      <c r="T1192" s="69"/>
      <c r="U1192" s="69"/>
      <c r="V1192" s="69"/>
      <c r="W1192" s="69"/>
      <c r="X1192" s="69"/>
      <c r="Y1192" s="69"/>
      <c r="Z1192" s="69"/>
      <c r="AA1192" s="69"/>
      <c r="AB1192" s="69"/>
      <c r="AC1192" s="69"/>
      <c r="AD1192" s="69"/>
      <c r="AE1192" s="69"/>
      <c r="AF1192" s="69"/>
      <c r="AG1192" s="69"/>
      <c r="AH1192" s="69"/>
      <c r="AI1192" s="69"/>
      <c r="AJ1192" s="69"/>
      <c r="AK1192" s="69"/>
      <c r="AL1192" s="69"/>
      <c r="AM1192" s="69"/>
      <c r="AN1192" s="69"/>
      <c r="AO1192" s="69"/>
      <c r="AP1192" s="69"/>
      <c r="AQ1192" s="69"/>
      <c r="AR1192" s="94">
        <f t="shared" si="103"/>
        <v>0</v>
      </c>
      <c r="AS1192" s="69"/>
      <c r="AT1192" s="69"/>
      <c r="AU1192" s="69"/>
      <c r="AV1192" s="69"/>
      <c r="AW1192" s="69"/>
      <c r="AX1192" s="69"/>
      <c r="AY1192" s="69"/>
      <c r="AZ1192" s="69"/>
      <c r="BA1192" s="69"/>
      <c r="BB1192" s="69"/>
      <c r="BC1192" s="69"/>
      <c r="BD1192" s="69"/>
      <c r="BE1192" s="69"/>
      <c r="BF1192" s="69"/>
      <c r="BG1192" s="69"/>
      <c r="BH1192" s="69"/>
      <c r="BI1192" s="69"/>
      <c r="BJ1192" s="69"/>
      <c r="BK1192" s="69"/>
      <c r="BL1192" s="69"/>
      <c r="BM1192" s="69"/>
      <c r="BN1192" s="69"/>
      <c r="BO1192" s="69"/>
      <c r="BP1192" s="69"/>
      <c r="BQ1192" s="69"/>
      <c r="BR1192" s="69"/>
      <c r="BS1192" s="69"/>
      <c r="BT1192" s="69"/>
      <c r="BU1192" s="69"/>
      <c r="BV1192" s="69"/>
      <c r="BW1192" s="69"/>
      <c r="BX1192" s="69"/>
      <c r="BY1192" s="69"/>
      <c r="BZ1192" s="69"/>
      <c r="CA1192" s="69"/>
      <c r="CB1192" s="69"/>
      <c r="CC1192" s="69"/>
      <c r="CD1192" s="69"/>
      <c r="CE1192" s="94">
        <f t="shared" si="104"/>
        <v>0</v>
      </c>
      <c r="CF1192" s="151">
        <f t="shared" si="105"/>
        <v>0</v>
      </c>
      <c r="CG1192" s="75">
        <f t="shared" si="111"/>
        <v>5033</v>
      </c>
      <c r="CH1192" s="69">
        <f t="shared" si="111"/>
        <v>0</v>
      </c>
    </row>
    <row r="1193" spans="1:95" x14ac:dyDescent="0.25">
      <c r="A1193" s="148"/>
      <c r="B1193" s="82"/>
      <c r="C1193" s="160">
        <v>5034</v>
      </c>
      <c r="D1193" s="69"/>
      <c r="E1193" s="69" t="s">
        <v>3479</v>
      </c>
      <c r="F1193" s="69"/>
      <c r="G1193" s="69"/>
      <c r="H1193" s="69"/>
      <c r="I1193" s="69"/>
      <c r="J1193" s="69"/>
      <c r="K1193" s="69"/>
      <c r="L1193" s="69"/>
      <c r="M1193" s="69"/>
      <c r="N1193" s="69"/>
      <c r="O1193" s="69"/>
      <c r="P1193" s="69"/>
      <c r="Q1193" s="69"/>
      <c r="R1193" s="69"/>
      <c r="S1193" s="69"/>
      <c r="T1193" s="69"/>
      <c r="U1193" s="69"/>
      <c r="V1193" s="69"/>
      <c r="W1193" s="69"/>
      <c r="X1193" s="69"/>
      <c r="Y1193" s="69"/>
      <c r="Z1193" s="69"/>
      <c r="AA1193" s="69"/>
      <c r="AB1193" s="69"/>
      <c r="AC1193" s="69"/>
      <c r="AD1193" s="69"/>
      <c r="AE1193" s="69"/>
      <c r="AF1193" s="69"/>
      <c r="AG1193" s="69"/>
      <c r="AH1193" s="69"/>
      <c r="AI1193" s="69"/>
      <c r="AJ1193" s="69"/>
      <c r="AK1193" s="69"/>
      <c r="AL1193" s="69"/>
      <c r="AM1193" s="69"/>
      <c r="AN1193" s="69"/>
      <c r="AO1193" s="69"/>
      <c r="AP1193" s="69"/>
      <c r="AQ1193" s="69"/>
      <c r="AR1193" s="94">
        <f t="shared" si="103"/>
        <v>0</v>
      </c>
      <c r="AS1193" s="69"/>
      <c r="AT1193" s="69"/>
      <c r="AU1193" s="69"/>
      <c r="AV1193" s="69"/>
      <c r="AW1193" s="69"/>
      <c r="AX1193" s="69"/>
      <c r="AY1193" s="69"/>
      <c r="AZ1193" s="69"/>
      <c r="BA1193" s="69"/>
      <c r="BB1193" s="69"/>
      <c r="BC1193" s="69"/>
      <c r="BD1193" s="69"/>
      <c r="BE1193" s="69"/>
      <c r="BF1193" s="69"/>
      <c r="BG1193" s="69"/>
      <c r="BH1193" s="69"/>
      <c r="BI1193" s="69"/>
      <c r="BJ1193" s="69"/>
      <c r="BK1193" s="69"/>
      <c r="BL1193" s="69"/>
      <c r="BM1193" s="69"/>
      <c r="BN1193" s="69"/>
      <c r="BO1193" s="69"/>
      <c r="BP1193" s="69"/>
      <c r="BQ1193" s="69"/>
      <c r="BR1193" s="69"/>
      <c r="BS1193" s="69"/>
      <c r="BT1193" s="69"/>
      <c r="BU1193" s="69"/>
      <c r="BV1193" s="69"/>
      <c r="BW1193" s="69"/>
      <c r="BX1193" s="69"/>
      <c r="BY1193" s="69"/>
      <c r="BZ1193" s="69"/>
      <c r="CA1193" s="69"/>
      <c r="CB1193" s="69"/>
      <c r="CC1193" s="69"/>
      <c r="CD1193" s="69"/>
      <c r="CE1193" s="94">
        <f t="shared" si="104"/>
        <v>0</v>
      </c>
      <c r="CF1193" s="151">
        <f t="shared" si="105"/>
        <v>0</v>
      </c>
      <c r="CG1193" s="75">
        <f t="shared" ref="CG1193:CH1209" si="115">+C1193</f>
        <v>5034</v>
      </c>
      <c r="CH1193" s="69">
        <f t="shared" si="115"/>
        <v>0</v>
      </c>
    </row>
    <row r="1194" spans="1:95" x14ac:dyDescent="0.25">
      <c r="A1194" s="148"/>
      <c r="B1194" s="82"/>
      <c r="C1194" s="160">
        <v>5035</v>
      </c>
      <c r="D1194" s="69"/>
      <c r="E1194" s="69" t="s">
        <v>3479</v>
      </c>
      <c r="F1194" s="69"/>
      <c r="G1194" s="69"/>
      <c r="H1194" s="69"/>
      <c r="I1194" s="69"/>
      <c r="J1194" s="69"/>
      <c r="K1194" s="69"/>
      <c r="L1194" s="69"/>
      <c r="M1194" s="69"/>
      <c r="N1194" s="69"/>
      <c r="O1194" s="69"/>
      <c r="P1194" s="69"/>
      <c r="Q1194" s="69"/>
      <c r="R1194" s="69"/>
      <c r="S1194" s="69"/>
      <c r="T1194" s="69"/>
      <c r="U1194" s="69"/>
      <c r="V1194" s="69"/>
      <c r="W1194" s="69"/>
      <c r="X1194" s="69"/>
      <c r="Y1194" s="69"/>
      <c r="Z1194" s="69"/>
      <c r="AA1194" s="69"/>
      <c r="AB1194" s="69"/>
      <c r="AC1194" s="69"/>
      <c r="AD1194" s="69"/>
      <c r="AE1194" s="69"/>
      <c r="AF1194" s="69"/>
      <c r="AG1194" s="69"/>
      <c r="AH1194" s="69"/>
      <c r="AI1194" s="69"/>
      <c r="AJ1194" s="69"/>
      <c r="AK1194" s="69"/>
      <c r="AL1194" s="69"/>
      <c r="AM1194" s="69"/>
      <c r="AN1194" s="69"/>
      <c r="AO1194" s="69"/>
      <c r="AP1194" s="69"/>
      <c r="AQ1194" s="69"/>
      <c r="AR1194" s="94">
        <f t="shared" si="103"/>
        <v>0</v>
      </c>
      <c r="AS1194" s="69"/>
      <c r="AT1194" s="69"/>
      <c r="AU1194" s="69"/>
      <c r="AV1194" s="69"/>
      <c r="AW1194" s="69"/>
      <c r="AX1194" s="69"/>
      <c r="AY1194" s="69"/>
      <c r="AZ1194" s="69"/>
      <c r="BA1194" s="69"/>
      <c r="BB1194" s="69"/>
      <c r="BC1194" s="69"/>
      <c r="BD1194" s="69"/>
      <c r="BE1194" s="69"/>
      <c r="BF1194" s="69"/>
      <c r="BG1194" s="69"/>
      <c r="BH1194" s="69"/>
      <c r="BI1194" s="69"/>
      <c r="BJ1194" s="69"/>
      <c r="BK1194" s="69"/>
      <c r="BL1194" s="69"/>
      <c r="BM1194" s="69"/>
      <c r="BN1194" s="69"/>
      <c r="BO1194" s="69"/>
      <c r="BP1194" s="69"/>
      <c r="BQ1194" s="69"/>
      <c r="BR1194" s="69"/>
      <c r="BS1194" s="69"/>
      <c r="BT1194" s="69"/>
      <c r="BU1194" s="69"/>
      <c r="BV1194" s="69"/>
      <c r="BW1194" s="69"/>
      <c r="BX1194" s="69"/>
      <c r="BY1194" s="69"/>
      <c r="BZ1194" s="69"/>
      <c r="CA1194" s="69"/>
      <c r="CB1194" s="69"/>
      <c r="CC1194" s="69"/>
      <c r="CD1194" s="69"/>
      <c r="CE1194" s="94">
        <f t="shared" si="104"/>
        <v>0</v>
      </c>
      <c r="CF1194" s="151">
        <f t="shared" si="105"/>
        <v>0</v>
      </c>
      <c r="CG1194" s="75">
        <f t="shared" si="115"/>
        <v>5035</v>
      </c>
      <c r="CH1194" s="69">
        <f t="shared" si="115"/>
        <v>0</v>
      </c>
    </row>
    <row r="1195" spans="1:95" x14ac:dyDescent="0.25">
      <c r="A1195" s="148"/>
      <c r="B1195" s="82"/>
      <c r="C1195" s="160">
        <v>5036</v>
      </c>
      <c r="D1195" s="69"/>
      <c r="E1195" s="69" t="s">
        <v>3479</v>
      </c>
      <c r="F1195" s="69"/>
      <c r="G1195" s="69"/>
      <c r="H1195" s="69"/>
      <c r="I1195" s="69"/>
      <c r="J1195" s="69"/>
      <c r="K1195" s="69"/>
      <c r="L1195" s="69"/>
      <c r="M1195" s="69"/>
      <c r="N1195" s="69"/>
      <c r="O1195" s="69"/>
      <c r="P1195" s="69"/>
      <c r="Q1195" s="69"/>
      <c r="R1195" s="69"/>
      <c r="S1195" s="69"/>
      <c r="T1195" s="69"/>
      <c r="U1195" s="69"/>
      <c r="V1195" s="69"/>
      <c r="W1195" s="69"/>
      <c r="X1195" s="69"/>
      <c r="Y1195" s="69"/>
      <c r="Z1195" s="69"/>
      <c r="AA1195" s="69"/>
      <c r="AB1195" s="69"/>
      <c r="AC1195" s="69"/>
      <c r="AD1195" s="69"/>
      <c r="AE1195" s="69"/>
      <c r="AF1195" s="69"/>
      <c r="AG1195" s="69"/>
      <c r="AH1195" s="69"/>
      <c r="AI1195" s="69"/>
      <c r="AJ1195" s="69"/>
      <c r="AK1195" s="69"/>
      <c r="AL1195" s="69"/>
      <c r="AM1195" s="69"/>
      <c r="AN1195" s="69"/>
      <c r="AO1195" s="69"/>
      <c r="AP1195" s="69"/>
      <c r="AQ1195" s="69"/>
      <c r="AR1195" s="94">
        <f t="shared" si="103"/>
        <v>0</v>
      </c>
      <c r="AS1195" s="69"/>
      <c r="AT1195" s="69"/>
      <c r="AU1195" s="69"/>
      <c r="AV1195" s="69"/>
      <c r="AW1195" s="69"/>
      <c r="AX1195" s="69"/>
      <c r="AY1195" s="69"/>
      <c r="AZ1195" s="69"/>
      <c r="BA1195" s="69"/>
      <c r="BB1195" s="69"/>
      <c r="BC1195" s="69"/>
      <c r="BD1195" s="69"/>
      <c r="BE1195" s="69"/>
      <c r="BF1195" s="69"/>
      <c r="BG1195" s="69"/>
      <c r="BH1195" s="69"/>
      <c r="BI1195" s="69"/>
      <c r="BJ1195" s="69"/>
      <c r="BK1195" s="69"/>
      <c r="BL1195" s="69"/>
      <c r="BM1195" s="69"/>
      <c r="BN1195" s="69"/>
      <c r="BO1195" s="69"/>
      <c r="BP1195" s="69"/>
      <c r="BQ1195" s="69"/>
      <c r="BR1195" s="69"/>
      <c r="BS1195" s="69"/>
      <c r="BT1195" s="69"/>
      <c r="BU1195" s="69"/>
      <c r="BV1195" s="69"/>
      <c r="BW1195" s="69"/>
      <c r="BX1195" s="69"/>
      <c r="BY1195" s="69"/>
      <c r="BZ1195" s="69"/>
      <c r="CA1195" s="69"/>
      <c r="CB1195" s="69"/>
      <c r="CC1195" s="69"/>
      <c r="CD1195" s="69"/>
      <c r="CE1195" s="94">
        <f t="shared" si="104"/>
        <v>0</v>
      </c>
      <c r="CF1195" s="151">
        <f t="shared" si="105"/>
        <v>0</v>
      </c>
      <c r="CG1195" s="75">
        <f t="shared" si="115"/>
        <v>5036</v>
      </c>
      <c r="CH1195" s="69">
        <f t="shared" si="115"/>
        <v>0</v>
      </c>
    </row>
    <row r="1196" spans="1:95" x14ac:dyDescent="0.25">
      <c r="A1196" s="148"/>
      <c r="B1196" s="82"/>
      <c r="C1196" s="160">
        <v>5037</v>
      </c>
      <c r="D1196" s="69"/>
      <c r="E1196" s="69" t="s">
        <v>3479</v>
      </c>
      <c r="F1196" s="69"/>
      <c r="G1196" s="69"/>
      <c r="H1196" s="69"/>
      <c r="I1196" s="69"/>
      <c r="J1196" s="69"/>
      <c r="K1196" s="69"/>
      <c r="L1196" s="69"/>
      <c r="M1196" s="69"/>
      <c r="N1196" s="69"/>
      <c r="O1196" s="69"/>
      <c r="P1196" s="69"/>
      <c r="Q1196" s="69"/>
      <c r="R1196" s="69"/>
      <c r="S1196" s="69"/>
      <c r="T1196" s="69"/>
      <c r="U1196" s="69"/>
      <c r="V1196" s="69"/>
      <c r="W1196" s="69"/>
      <c r="X1196" s="69"/>
      <c r="Y1196" s="69"/>
      <c r="Z1196" s="69"/>
      <c r="AA1196" s="69"/>
      <c r="AB1196" s="69"/>
      <c r="AC1196" s="69"/>
      <c r="AD1196" s="69"/>
      <c r="AE1196" s="69"/>
      <c r="AF1196" s="69"/>
      <c r="AG1196" s="69"/>
      <c r="AH1196" s="69"/>
      <c r="AI1196" s="69"/>
      <c r="AJ1196" s="69"/>
      <c r="AK1196" s="69"/>
      <c r="AL1196" s="69"/>
      <c r="AM1196" s="69"/>
      <c r="AN1196" s="69"/>
      <c r="AO1196" s="69"/>
      <c r="AP1196" s="69"/>
      <c r="AQ1196" s="69"/>
      <c r="AR1196" s="94">
        <f t="shared" si="103"/>
        <v>0</v>
      </c>
      <c r="AS1196" s="69"/>
      <c r="AT1196" s="69"/>
      <c r="AU1196" s="69"/>
      <c r="AV1196" s="69"/>
      <c r="AW1196" s="69"/>
      <c r="AX1196" s="69"/>
      <c r="AY1196" s="69"/>
      <c r="AZ1196" s="69"/>
      <c r="BA1196" s="69"/>
      <c r="BB1196" s="69"/>
      <c r="BC1196" s="69"/>
      <c r="BD1196" s="69"/>
      <c r="BE1196" s="69"/>
      <c r="BF1196" s="69"/>
      <c r="BG1196" s="69"/>
      <c r="BH1196" s="69"/>
      <c r="BI1196" s="69"/>
      <c r="BJ1196" s="69"/>
      <c r="BK1196" s="69"/>
      <c r="BL1196" s="69"/>
      <c r="BM1196" s="69"/>
      <c r="BN1196" s="69"/>
      <c r="BO1196" s="69"/>
      <c r="BP1196" s="69"/>
      <c r="BQ1196" s="69"/>
      <c r="BR1196" s="69"/>
      <c r="BS1196" s="69"/>
      <c r="BT1196" s="69"/>
      <c r="BU1196" s="69"/>
      <c r="BV1196" s="69"/>
      <c r="BW1196" s="69"/>
      <c r="BX1196" s="69"/>
      <c r="BY1196" s="69"/>
      <c r="BZ1196" s="69"/>
      <c r="CA1196" s="69"/>
      <c r="CB1196" s="69"/>
      <c r="CC1196" s="69"/>
      <c r="CD1196" s="69"/>
      <c r="CE1196" s="94">
        <f t="shared" si="104"/>
        <v>0</v>
      </c>
      <c r="CF1196" s="151">
        <f t="shared" si="105"/>
        <v>0</v>
      </c>
      <c r="CG1196" s="75">
        <f t="shared" si="115"/>
        <v>5037</v>
      </c>
      <c r="CH1196" s="69">
        <f t="shared" si="115"/>
        <v>0</v>
      </c>
    </row>
    <row r="1197" spans="1:95" x14ac:dyDescent="0.25">
      <c r="A1197" s="148"/>
      <c r="B1197" s="82"/>
      <c r="C1197" s="160">
        <v>5038</v>
      </c>
      <c r="D1197" s="69"/>
      <c r="E1197" s="69" t="s">
        <v>3479</v>
      </c>
      <c r="F1197" s="69"/>
      <c r="G1197" s="69"/>
      <c r="H1197" s="69"/>
      <c r="I1197" s="69"/>
      <c r="J1197" s="69"/>
      <c r="K1197" s="69"/>
      <c r="L1197" s="69"/>
      <c r="M1197" s="69"/>
      <c r="N1197" s="69"/>
      <c r="O1197" s="69"/>
      <c r="P1197" s="69"/>
      <c r="Q1197" s="69"/>
      <c r="R1197" s="69"/>
      <c r="S1197" s="69"/>
      <c r="T1197" s="69"/>
      <c r="U1197" s="69"/>
      <c r="V1197" s="69"/>
      <c r="W1197" s="69"/>
      <c r="X1197" s="69"/>
      <c r="Y1197" s="69"/>
      <c r="Z1197" s="69"/>
      <c r="AA1197" s="69"/>
      <c r="AB1197" s="69"/>
      <c r="AC1197" s="69"/>
      <c r="AD1197" s="69"/>
      <c r="AE1197" s="69"/>
      <c r="AF1197" s="69"/>
      <c r="AG1197" s="69"/>
      <c r="AH1197" s="69"/>
      <c r="AI1197" s="69"/>
      <c r="AJ1197" s="69"/>
      <c r="AK1197" s="69"/>
      <c r="AL1197" s="69"/>
      <c r="AM1197" s="69"/>
      <c r="AN1197" s="69"/>
      <c r="AO1197" s="69"/>
      <c r="AP1197" s="69"/>
      <c r="AQ1197" s="69"/>
      <c r="AR1197" s="94">
        <f t="shared" si="103"/>
        <v>0</v>
      </c>
      <c r="AS1197" s="69"/>
      <c r="AT1197" s="69"/>
      <c r="AU1197" s="69"/>
      <c r="AV1197" s="69"/>
      <c r="AW1197" s="69"/>
      <c r="AX1197" s="69"/>
      <c r="AY1197" s="69"/>
      <c r="AZ1197" s="69"/>
      <c r="BA1197" s="69"/>
      <c r="BB1197" s="69"/>
      <c r="BC1197" s="69"/>
      <c r="BD1197" s="69"/>
      <c r="BE1197" s="69"/>
      <c r="BF1197" s="69"/>
      <c r="BG1197" s="69"/>
      <c r="BH1197" s="69"/>
      <c r="BI1197" s="69"/>
      <c r="BJ1197" s="69"/>
      <c r="BK1197" s="69"/>
      <c r="BL1197" s="69"/>
      <c r="BM1197" s="69"/>
      <c r="BN1197" s="69"/>
      <c r="BO1197" s="69"/>
      <c r="BP1197" s="69"/>
      <c r="BQ1197" s="69"/>
      <c r="BR1197" s="69"/>
      <c r="BS1197" s="69"/>
      <c r="BT1197" s="69"/>
      <c r="BU1197" s="69"/>
      <c r="BV1197" s="69"/>
      <c r="BW1197" s="69"/>
      <c r="BX1197" s="69"/>
      <c r="BY1197" s="69"/>
      <c r="BZ1197" s="69"/>
      <c r="CA1197" s="69"/>
      <c r="CB1197" s="69"/>
      <c r="CC1197" s="69"/>
      <c r="CD1197" s="69"/>
      <c r="CE1197" s="94">
        <f t="shared" si="104"/>
        <v>0</v>
      </c>
      <c r="CF1197" s="151">
        <f t="shared" si="105"/>
        <v>0</v>
      </c>
      <c r="CG1197" s="75">
        <f t="shared" si="115"/>
        <v>5038</v>
      </c>
      <c r="CH1197" s="69">
        <f t="shared" si="115"/>
        <v>0</v>
      </c>
    </row>
    <row r="1198" spans="1:95" x14ac:dyDescent="0.25">
      <c r="A1198" s="148"/>
      <c r="B1198" s="82"/>
      <c r="C1198" s="160">
        <v>5039</v>
      </c>
      <c r="D1198" s="69"/>
      <c r="E1198" s="69" t="s">
        <v>3479</v>
      </c>
      <c r="F1198" s="69"/>
      <c r="G1198" s="69"/>
      <c r="H1198" s="69"/>
      <c r="I1198" s="69"/>
      <c r="J1198" s="69"/>
      <c r="K1198" s="69"/>
      <c r="L1198" s="69"/>
      <c r="M1198" s="69"/>
      <c r="N1198" s="69"/>
      <c r="O1198" s="69"/>
      <c r="P1198" s="69"/>
      <c r="Q1198" s="69"/>
      <c r="R1198" s="69"/>
      <c r="S1198" s="69"/>
      <c r="T1198" s="69"/>
      <c r="U1198" s="69"/>
      <c r="V1198" s="69"/>
      <c r="W1198" s="69"/>
      <c r="X1198" s="69"/>
      <c r="Y1198" s="69"/>
      <c r="Z1198" s="69"/>
      <c r="AA1198" s="69"/>
      <c r="AB1198" s="69"/>
      <c r="AC1198" s="69"/>
      <c r="AD1198" s="69"/>
      <c r="AE1198" s="69"/>
      <c r="AF1198" s="69"/>
      <c r="AG1198" s="69"/>
      <c r="AH1198" s="69"/>
      <c r="AI1198" s="69"/>
      <c r="AJ1198" s="69"/>
      <c r="AK1198" s="69"/>
      <c r="AL1198" s="69"/>
      <c r="AM1198" s="69"/>
      <c r="AN1198" s="69"/>
      <c r="AO1198" s="69"/>
      <c r="AP1198" s="69"/>
      <c r="AQ1198" s="69"/>
      <c r="AR1198" s="94">
        <f t="shared" si="103"/>
        <v>0</v>
      </c>
      <c r="AS1198" s="69"/>
      <c r="AT1198" s="69"/>
      <c r="AU1198" s="69"/>
      <c r="AV1198" s="69"/>
      <c r="AW1198" s="69"/>
      <c r="AX1198" s="69"/>
      <c r="AY1198" s="69"/>
      <c r="AZ1198" s="69"/>
      <c r="BA1198" s="69"/>
      <c r="BB1198" s="69"/>
      <c r="BC1198" s="69"/>
      <c r="BD1198" s="69"/>
      <c r="BE1198" s="69"/>
      <c r="BF1198" s="69"/>
      <c r="BG1198" s="69"/>
      <c r="BH1198" s="69"/>
      <c r="BI1198" s="69"/>
      <c r="BJ1198" s="69"/>
      <c r="BK1198" s="69"/>
      <c r="BL1198" s="69"/>
      <c r="BM1198" s="69"/>
      <c r="BN1198" s="69"/>
      <c r="BO1198" s="69"/>
      <c r="BP1198" s="69"/>
      <c r="BQ1198" s="69"/>
      <c r="BR1198" s="69"/>
      <c r="BS1198" s="69"/>
      <c r="BT1198" s="69"/>
      <c r="BU1198" s="69"/>
      <c r="BV1198" s="69"/>
      <c r="BW1198" s="69"/>
      <c r="BX1198" s="69"/>
      <c r="BY1198" s="69"/>
      <c r="BZ1198" s="69"/>
      <c r="CA1198" s="69"/>
      <c r="CB1198" s="69"/>
      <c r="CC1198" s="69"/>
      <c r="CD1198" s="69"/>
      <c r="CE1198" s="94">
        <f t="shared" si="104"/>
        <v>0</v>
      </c>
      <c r="CF1198" s="151">
        <f t="shared" si="105"/>
        <v>0</v>
      </c>
      <c r="CG1198" s="75">
        <f t="shared" si="115"/>
        <v>5039</v>
      </c>
      <c r="CH1198" s="69">
        <f t="shared" si="115"/>
        <v>0</v>
      </c>
    </row>
    <row r="1199" spans="1:95" x14ac:dyDescent="0.25">
      <c r="A1199" s="148"/>
      <c r="B1199" s="82"/>
      <c r="C1199" s="160">
        <v>5040</v>
      </c>
      <c r="D1199" s="69"/>
      <c r="E1199" s="69" t="s">
        <v>3479</v>
      </c>
      <c r="F1199" s="69"/>
      <c r="G1199" s="69"/>
      <c r="H1199" s="69"/>
      <c r="I1199" s="69"/>
      <c r="J1199" s="69"/>
      <c r="K1199" s="69"/>
      <c r="L1199" s="69"/>
      <c r="M1199" s="69"/>
      <c r="N1199" s="69"/>
      <c r="O1199" s="69"/>
      <c r="P1199" s="69"/>
      <c r="Q1199" s="69"/>
      <c r="R1199" s="69"/>
      <c r="S1199" s="69"/>
      <c r="T1199" s="69"/>
      <c r="U1199" s="69"/>
      <c r="V1199" s="69"/>
      <c r="W1199" s="69"/>
      <c r="X1199" s="69"/>
      <c r="Y1199" s="69"/>
      <c r="Z1199" s="69"/>
      <c r="AA1199" s="69"/>
      <c r="AB1199" s="69"/>
      <c r="AC1199" s="69"/>
      <c r="AD1199" s="69"/>
      <c r="AE1199" s="69"/>
      <c r="AF1199" s="69"/>
      <c r="AG1199" s="69"/>
      <c r="AH1199" s="69"/>
      <c r="AI1199" s="69"/>
      <c r="AJ1199" s="69"/>
      <c r="AK1199" s="69"/>
      <c r="AL1199" s="69"/>
      <c r="AM1199" s="69"/>
      <c r="AN1199" s="69"/>
      <c r="AO1199" s="69"/>
      <c r="AP1199" s="69"/>
      <c r="AQ1199" s="69"/>
      <c r="AR1199" s="94">
        <f t="shared" si="103"/>
        <v>0</v>
      </c>
      <c r="AS1199" s="69"/>
      <c r="AT1199" s="69"/>
      <c r="AU1199" s="69"/>
      <c r="AV1199" s="69"/>
      <c r="AW1199" s="69"/>
      <c r="AX1199" s="69"/>
      <c r="AY1199" s="69"/>
      <c r="AZ1199" s="69"/>
      <c r="BA1199" s="69"/>
      <c r="BB1199" s="69"/>
      <c r="BC1199" s="69"/>
      <c r="BD1199" s="69"/>
      <c r="BE1199" s="69"/>
      <c r="BF1199" s="69"/>
      <c r="BG1199" s="69"/>
      <c r="BH1199" s="69"/>
      <c r="BI1199" s="69"/>
      <c r="BJ1199" s="69"/>
      <c r="BK1199" s="69"/>
      <c r="BL1199" s="69"/>
      <c r="BM1199" s="69"/>
      <c r="BN1199" s="69"/>
      <c r="BO1199" s="69"/>
      <c r="BP1199" s="69"/>
      <c r="BQ1199" s="69"/>
      <c r="BR1199" s="69"/>
      <c r="BS1199" s="69"/>
      <c r="BT1199" s="69"/>
      <c r="BU1199" s="69"/>
      <c r="BV1199" s="69"/>
      <c r="BW1199" s="69"/>
      <c r="BX1199" s="69"/>
      <c r="BY1199" s="69"/>
      <c r="BZ1199" s="69"/>
      <c r="CA1199" s="69"/>
      <c r="CB1199" s="69"/>
      <c r="CC1199" s="69"/>
      <c r="CD1199" s="69"/>
      <c r="CE1199" s="94">
        <f t="shared" si="104"/>
        <v>0</v>
      </c>
      <c r="CF1199" s="151">
        <f t="shared" si="105"/>
        <v>0</v>
      </c>
      <c r="CG1199" s="75">
        <f t="shared" si="115"/>
        <v>5040</v>
      </c>
      <c r="CH1199" s="69">
        <f t="shared" si="115"/>
        <v>0</v>
      </c>
    </row>
    <row r="1200" spans="1:95" x14ac:dyDescent="0.25">
      <c r="A1200" s="148"/>
      <c r="B1200" s="82"/>
      <c r="C1200" s="160">
        <v>5041</v>
      </c>
      <c r="D1200" s="69"/>
      <c r="E1200" s="69" t="s">
        <v>3479</v>
      </c>
      <c r="F1200" s="69"/>
      <c r="G1200" s="69"/>
      <c r="H1200" s="69"/>
      <c r="I1200" s="69"/>
      <c r="J1200" s="69"/>
      <c r="K1200" s="69"/>
      <c r="L1200" s="69"/>
      <c r="M1200" s="69"/>
      <c r="N1200" s="69"/>
      <c r="O1200" s="69"/>
      <c r="P1200" s="69"/>
      <c r="Q1200" s="69"/>
      <c r="R1200" s="69"/>
      <c r="S1200" s="69"/>
      <c r="T1200" s="69"/>
      <c r="U1200" s="69"/>
      <c r="V1200" s="69"/>
      <c r="W1200" s="69"/>
      <c r="X1200" s="69"/>
      <c r="Y1200" s="69"/>
      <c r="Z1200" s="69"/>
      <c r="AA1200" s="69"/>
      <c r="AB1200" s="69"/>
      <c r="AC1200" s="69"/>
      <c r="AD1200" s="69"/>
      <c r="AE1200" s="69"/>
      <c r="AF1200" s="69"/>
      <c r="AG1200" s="69"/>
      <c r="AH1200" s="69"/>
      <c r="AI1200" s="69"/>
      <c r="AJ1200" s="69"/>
      <c r="AK1200" s="69"/>
      <c r="AL1200" s="69"/>
      <c r="AM1200" s="69"/>
      <c r="AN1200" s="69"/>
      <c r="AO1200" s="69"/>
      <c r="AP1200" s="69"/>
      <c r="AQ1200" s="69"/>
      <c r="AR1200" s="94">
        <f t="shared" si="103"/>
        <v>0</v>
      </c>
      <c r="AS1200" s="69"/>
      <c r="AT1200" s="69"/>
      <c r="AU1200" s="69"/>
      <c r="AV1200" s="69"/>
      <c r="AW1200" s="69"/>
      <c r="AX1200" s="69"/>
      <c r="AY1200" s="69"/>
      <c r="AZ1200" s="69"/>
      <c r="BA1200" s="69"/>
      <c r="BB1200" s="69"/>
      <c r="BC1200" s="69"/>
      <c r="BD1200" s="69"/>
      <c r="BE1200" s="69"/>
      <c r="BF1200" s="69"/>
      <c r="BG1200" s="69"/>
      <c r="BH1200" s="69"/>
      <c r="BI1200" s="69"/>
      <c r="BJ1200" s="69"/>
      <c r="BK1200" s="69"/>
      <c r="BL1200" s="69"/>
      <c r="BM1200" s="69"/>
      <c r="BN1200" s="69"/>
      <c r="BO1200" s="69"/>
      <c r="BP1200" s="69"/>
      <c r="BQ1200" s="69"/>
      <c r="BR1200" s="69"/>
      <c r="BS1200" s="69"/>
      <c r="BT1200" s="69"/>
      <c r="BU1200" s="69"/>
      <c r="BV1200" s="69"/>
      <c r="BW1200" s="69"/>
      <c r="BX1200" s="69"/>
      <c r="BY1200" s="69"/>
      <c r="BZ1200" s="69"/>
      <c r="CA1200" s="69"/>
      <c r="CB1200" s="69"/>
      <c r="CC1200" s="69"/>
      <c r="CD1200" s="69"/>
      <c r="CE1200" s="94">
        <f t="shared" si="104"/>
        <v>0</v>
      </c>
      <c r="CF1200" s="151">
        <f t="shared" si="105"/>
        <v>0</v>
      </c>
      <c r="CG1200" s="75">
        <f t="shared" si="115"/>
        <v>5041</v>
      </c>
      <c r="CH1200" s="69">
        <f t="shared" si="115"/>
        <v>0</v>
      </c>
    </row>
    <row r="1201" spans="1:100" x14ac:dyDescent="0.25">
      <c r="A1201" s="148"/>
      <c r="B1201" s="82"/>
      <c r="C1201" s="160">
        <v>5042</v>
      </c>
      <c r="D1201" s="69"/>
      <c r="E1201" s="69" t="s">
        <v>3479</v>
      </c>
      <c r="F1201" s="69"/>
      <c r="G1201" s="69"/>
      <c r="H1201" s="69"/>
      <c r="I1201" s="69"/>
      <c r="J1201" s="69"/>
      <c r="K1201" s="69"/>
      <c r="L1201" s="69"/>
      <c r="M1201" s="69"/>
      <c r="N1201" s="69"/>
      <c r="O1201" s="69"/>
      <c r="P1201" s="69"/>
      <c r="Q1201" s="69"/>
      <c r="R1201" s="69"/>
      <c r="S1201" s="69"/>
      <c r="T1201" s="69"/>
      <c r="U1201" s="69"/>
      <c r="V1201" s="69"/>
      <c r="W1201" s="69"/>
      <c r="X1201" s="69"/>
      <c r="Y1201" s="69"/>
      <c r="Z1201" s="69"/>
      <c r="AA1201" s="69"/>
      <c r="AB1201" s="69"/>
      <c r="AC1201" s="69"/>
      <c r="AD1201" s="69"/>
      <c r="AE1201" s="69"/>
      <c r="AF1201" s="69"/>
      <c r="AG1201" s="69"/>
      <c r="AH1201" s="69"/>
      <c r="AI1201" s="69"/>
      <c r="AJ1201" s="69"/>
      <c r="AK1201" s="69"/>
      <c r="AL1201" s="69"/>
      <c r="AM1201" s="69"/>
      <c r="AN1201" s="69"/>
      <c r="AO1201" s="69"/>
      <c r="AP1201" s="69"/>
      <c r="AQ1201" s="69"/>
      <c r="AR1201" s="94">
        <f t="shared" si="103"/>
        <v>0</v>
      </c>
      <c r="AS1201" s="69"/>
      <c r="AT1201" s="69"/>
      <c r="AU1201" s="69"/>
      <c r="AV1201" s="69"/>
      <c r="AW1201" s="69"/>
      <c r="AX1201" s="69"/>
      <c r="AY1201" s="69"/>
      <c r="AZ1201" s="69"/>
      <c r="BA1201" s="69"/>
      <c r="BB1201" s="69"/>
      <c r="BC1201" s="69"/>
      <c r="BD1201" s="69"/>
      <c r="BE1201" s="69"/>
      <c r="BF1201" s="69"/>
      <c r="BG1201" s="69"/>
      <c r="BH1201" s="69"/>
      <c r="BI1201" s="69"/>
      <c r="BJ1201" s="69"/>
      <c r="BK1201" s="69"/>
      <c r="BL1201" s="69"/>
      <c r="BM1201" s="69"/>
      <c r="BN1201" s="69"/>
      <c r="BO1201" s="69"/>
      <c r="BP1201" s="69"/>
      <c r="BQ1201" s="69"/>
      <c r="BR1201" s="69"/>
      <c r="BS1201" s="69"/>
      <c r="BT1201" s="69"/>
      <c r="BU1201" s="69"/>
      <c r="BV1201" s="69"/>
      <c r="BW1201" s="69"/>
      <c r="BX1201" s="69"/>
      <c r="BY1201" s="69"/>
      <c r="BZ1201" s="69"/>
      <c r="CA1201" s="69"/>
      <c r="CB1201" s="69"/>
      <c r="CC1201" s="69"/>
      <c r="CD1201" s="69"/>
      <c r="CE1201" s="94">
        <f t="shared" si="104"/>
        <v>0</v>
      </c>
      <c r="CF1201" s="151">
        <f t="shared" si="105"/>
        <v>0</v>
      </c>
      <c r="CG1201" s="75">
        <f t="shared" si="115"/>
        <v>5042</v>
      </c>
      <c r="CH1201" s="69">
        <f t="shared" si="115"/>
        <v>0</v>
      </c>
    </row>
    <row r="1202" spans="1:100" x14ac:dyDescent="0.25">
      <c r="A1202" s="148"/>
      <c r="B1202" s="82"/>
      <c r="C1202" s="160">
        <v>5043</v>
      </c>
      <c r="D1202" s="69"/>
      <c r="E1202" s="69" t="s">
        <v>3479</v>
      </c>
      <c r="F1202" s="69"/>
      <c r="G1202" s="69"/>
      <c r="H1202" s="69"/>
      <c r="I1202" s="69"/>
      <c r="J1202" s="69"/>
      <c r="K1202" s="69"/>
      <c r="L1202" s="69"/>
      <c r="M1202" s="69"/>
      <c r="N1202" s="69"/>
      <c r="O1202" s="69"/>
      <c r="P1202" s="69"/>
      <c r="Q1202" s="69"/>
      <c r="R1202" s="69"/>
      <c r="S1202" s="69"/>
      <c r="T1202" s="69"/>
      <c r="U1202" s="69"/>
      <c r="V1202" s="69"/>
      <c r="W1202" s="69"/>
      <c r="X1202" s="69"/>
      <c r="Y1202" s="69"/>
      <c r="Z1202" s="69"/>
      <c r="AA1202" s="69"/>
      <c r="AB1202" s="69"/>
      <c r="AC1202" s="69"/>
      <c r="AD1202" s="69"/>
      <c r="AE1202" s="69"/>
      <c r="AF1202" s="69"/>
      <c r="AG1202" s="69"/>
      <c r="AH1202" s="69"/>
      <c r="AI1202" s="69"/>
      <c r="AJ1202" s="69"/>
      <c r="AK1202" s="69"/>
      <c r="AL1202" s="69"/>
      <c r="AM1202" s="69"/>
      <c r="AN1202" s="69"/>
      <c r="AO1202" s="69"/>
      <c r="AP1202" s="69"/>
      <c r="AQ1202" s="69"/>
      <c r="AR1202" s="94">
        <f t="shared" si="103"/>
        <v>0</v>
      </c>
      <c r="AS1202" s="69"/>
      <c r="AT1202" s="69"/>
      <c r="AU1202" s="69"/>
      <c r="AV1202" s="69"/>
      <c r="AW1202" s="69"/>
      <c r="AX1202" s="69"/>
      <c r="AY1202" s="69"/>
      <c r="AZ1202" s="69"/>
      <c r="BA1202" s="69"/>
      <c r="BB1202" s="69"/>
      <c r="BC1202" s="69"/>
      <c r="BD1202" s="69"/>
      <c r="BE1202" s="69"/>
      <c r="BF1202" s="69"/>
      <c r="BG1202" s="69"/>
      <c r="BH1202" s="69"/>
      <c r="BI1202" s="69"/>
      <c r="BJ1202" s="69"/>
      <c r="BK1202" s="69"/>
      <c r="BL1202" s="69"/>
      <c r="BM1202" s="69"/>
      <c r="BN1202" s="69"/>
      <c r="BO1202" s="69"/>
      <c r="BP1202" s="69"/>
      <c r="BQ1202" s="69"/>
      <c r="BR1202" s="69"/>
      <c r="BS1202" s="69"/>
      <c r="BT1202" s="69"/>
      <c r="BU1202" s="69"/>
      <c r="BV1202" s="69"/>
      <c r="BW1202" s="69"/>
      <c r="BX1202" s="69"/>
      <c r="BY1202" s="69"/>
      <c r="BZ1202" s="69"/>
      <c r="CA1202" s="69"/>
      <c r="CB1202" s="69"/>
      <c r="CC1202" s="69"/>
      <c r="CD1202" s="69"/>
      <c r="CE1202" s="94">
        <f t="shared" si="104"/>
        <v>0</v>
      </c>
      <c r="CF1202" s="151">
        <f t="shared" si="105"/>
        <v>0</v>
      </c>
      <c r="CG1202" s="75">
        <f t="shared" si="115"/>
        <v>5043</v>
      </c>
      <c r="CH1202" s="69">
        <f t="shared" si="115"/>
        <v>0</v>
      </c>
    </row>
    <row r="1203" spans="1:100" x14ac:dyDescent="0.25">
      <c r="A1203" s="148"/>
      <c r="B1203" s="82"/>
      <c r="C1203" s="160">
        <v>5044</v>
      </c>
      <c r="D1203" s="69"/>
      <c r="E1203" s="69" t="s">
        <v>3479</v>
      </c>
      <c r="F1203" s="69"/>
      <c r="G1203" s="69"/>
      <c r="H1203" s="69"/>
      <c r="I1203" s="69"/>
      <c r="J1203" s="69"/>
      <c r="K1203" s="69"/>
      <c r="L1203" s="69"/>
      <c r="M1203" s="69"/>
      <c r="N1203" s="69"/>
      <c r="O1203" s="69"/>
      <c r="P1203" s="69"/>
      <c r="Q1203" s="69"/>
      <c r="R1203" s="69"/>
      <c r="S1203" s="69"/>
      <c r="T1203" s="69"/>
      <c r="U1203" s="69"/>
      <c r="V1203" s="69"/>
      <c r="W1203" s="69"/>
      <c r="X1203" s="69"/>
      <c r="Y1203" s="69"/>
      <c r="Z1203" s="69"/>
      <c r="AA1203" s="69"/>
      <c r="AB1203" s="69"/>
      <c r="AC1203" s="69"/>
      <c r="AD1203" s="69"/>
      <c r="AE1203" s="69"/>
      <c r="AF1203" s="69"/>
      <c r="AG1203" s="69"/>
      <c r="AH1203" s="69"/>
      <c r="AI1203" s="69"/>
      <c r="AJ1203" s="69"/>
      <c r="AK1203" s="69"/>
      <c r="AL1203" s="69"/>
      <c r="AM1203" s="69"/>
      <c r="AN1203" s="69"/>
      <c r="AO1203" s="69"/>
      <c r="AP1203" s="69"/>
      <c r="AQ1203" s="69"/>
      <c r="AR1203" s="94">
        <f t="shared" si="103"/>
        <v>0</v>
      </c>
      <c r="AS1203" s="69"/>
      <c r="AT1203" s="69"/>
      <c r="AU1203" s="69"/>
      <c r="AV1203" s="69"/>
      <c r="AW1203" s="69"/>
      <c r="AX1203" s="69"/>
      <c r="AY1203" s="69"/>
      <c r="AZ1203" s="69"/>
      <c r="BA1203" s="69"/>
      <c r="BB1203" s="69"/>
      <c r="BC1203" s="69"/>
      <c r="BD1203" s="69"/>
      <c r="BE1203" s="69"/>
      <c r="BF1203" s="69"/>
      <c r="BG1203" s="69"/>
      <c r="BH1203" s="69"/>
      <c r="BI1203" s="69"/>
      <c r="BJ1203" s="69"/>
      <c r="BK1203" s="69"/>
      <c r="BL1203" s="69"/>
      <c r="BM1203" s="69"/>
      <c r="BN1203" s="69"/>
      <c r="BO1203" s="69"/>
      <c r="BP1203" s="69"/>
      <c r="BQ1203" s="69"/>
      <c r="BR1203" s="69"/>
      <c r="BS1203" s="69"/>
      <c r="BT1203" s="69"/>
      <c r="BU1203" s="69"/>
      <c r="BV1203" s="69"/>
      <c r="BW1203" s="69"/>
      <c r="BX1203" s="69"/>
      <c r="BY1203" s="69"/>
      <c r="BZ1203" s="69"/>
      <c r="CA1203" s="69"/>
      <c r="CB1203" s="69"/>
      <c r="CC1203" s="69"/>
      <c r="CD1203" s="69"/>
      <c r="CE1203" s="94">
        <f t="shared" si="104"/>
        <v>0</v>
      </c>
      <c r="CF1203" s="151">
        <f t="shared" si="105"/>
        <v>0</v>
      </c>
      <c r="CG1203" s="75">
        <f t="shared" si="115"/>
        <v>5044</v>
      </c>
      <c r="CH1203" s="69">
        <f t="shared" si="115"/>
        <v>0</v>
      </c>
    </row>
    <row r="1204" spans="1:100" x14ac:dyDescent="0.25">
      <c r="A1204" s="148"/>
      <c r="B1204" s="82"/>
      <c r="C1204" s="160">
        <v>5045</v>
      </c>
      <c r="D1204" s="69"/>
      <c r="E1204" s="69" t="s">
        <v>3479</v>
      </c>
      <c r="F1204" s="69"/>
      <c r="G1204" s="69"/>
      <c r="H1204" s="69"/>
      <c r="I1204" s="69"/>
      <c r="J1204" s="69"/>
      <c r="K1204" s="69"/>
      <c r="L1204" s="69"/>
      <c r="M1204" s="69"/>
      <c r="N1204" s="69"/>
      <c r="O1204" s="69"/>
      <c r="P1204" s="69"/>
      <c r="Q1204" s="69"/>
      <c r="R1204" s="69"/>
      <c r="S1204" s="69"/>
      <c r="T1204" s="69"/>
      <c r="U1204" s="69"/>
      <c r="V1204" s="69"/>
      <c r="W1204" s="69"/>
      <c r="X1204" s="69"/>
      <c r="Y1204" s="69"/>
      <c r="Z1204" s="69"/>
      <c r="AA1204" s="69"/>
      <c r="AB1204" s="69"/>
      <c r="AC1204" s="69"/>
      <c r="AD1204" s="69"/>
      <c r="AE1204" s="69"/>
      <c r="AF1204" s="69"/>
      <c r="AG1204" s="69"/>
      <c r="AH1204" s="69"/>
      <c r="AI1204" s="69"/>
      <c r="AJ1204" s="69"/>
      <c r="AK1204" s="69"/>
      <c r="AL1204" s="69"/>
      <c r="AM1204" s="69"/>
      <c r="AN1204" s="69"/>
      <c r="AO1204" s="69"/>
      <c r="AP1204" s="69"/>
      <c r="AQ1204" s="69"/>
      <c r="AR1204" s="94">
        <f t="shared" si="103"/>
        <v>0</v>
      </c>
      <c r="AS1204" s="69"/>
      <c r="AT1204" s="69"/>
      <c r="AU1204" s="69"/>
      <c r="AV1204" s="69"/>
      <c r="AW1204" s="69"/>
      <c r="AX1204" s="69"/>
      <c r="AY1204" s="69"/>
      <c r="AZ1204" s="69"/>
      <c r="BA1204" s="69"/>
      <c r="BB1204" s="69"/>
      <c r="BC1204" s="69"/>
      <c r="BD1204" s="69"/>
      <c r="BE1204" s="69"/>
      <c r="BF1204" s="69"/>
      <c r="BG1204" s="69"/>
      <c r="BH1204" s="69"/>
      <c r="BI1204" s="69"/>
      <c r="BJ1204" s="69"/>
      <c r="BK1204" s="69"/>
      <c r="BL1204" s="69"/>
      <c r="BM1204" s="69"/>
      <c r="BN1204" s="69"/>
      <c r="BO1204" s="69"/>
      <c r="BP1204" s="69"/>
      <c r="BQ1204" s="69"/>
      <c r="BR1204" s="69"/>
      <c r="BS1204" s="69"/>
      <c r="BT1204" s="69"/>
      <c r="BU1204" s="69"/>
      <c r="BV1204" s="69"/>
      <c r="BW1204" s="69"/>
      <c r="BX1204" s="69"/>
      <c r="BY1204" s="69"/>
      <c r="BZ1204" s="69"/>
      <c r="CA1204" s="69"/>
      <c r="CB1204" s="69"/>
      <c r="CC1204" s="69"/>
      <c r="CD1204" s="69"/>
      <c r="CE1204" s="94">
        <f t="shared" si="104"/>
        <v>0</v>
      </c>
      <c r="CF1204" s="151">
        <f t="shared" si="105"/>
        <v>0</v>
      </c>
      <c r="CG1204" s="75">
        <f t="shared" si="115"/>
        <v>5045</v>
      </c>
      <c r="CH1204" s="69">
        <f t="shared" si="115"/>
        <v>0</v>
      </c>
    </row>
    <row r="1205" spans="1:100" x14ac:dyDescent="0.25">
      <c r="A1205" s="148"/>
      <c r="B1205" s="82"/>
      <c r="C1205" s="160">
        <v>5046</v>
      </c>
      <c r="D1205" s="69"/>
      <c r="E1205" s="69" t="s">
        <v>3479</v>
      </c>
      <c r="F1205" s="69"/>
      <c r="G1205" s="69"/>
      <c r="H1205" s="69"/>
      <c r="I1205" s="69"/>
      <c r="J1205" s="69"/>
      <c r="K1205" s="69"/>
      <c r="L1205" s="69"/>
      <c r="M1205" s="69"/>
      <c r="N1205" s="69"/>
      <c r="O1205" s="69"/>
      <c r="P1205" s="69"/>
      <c r="Q1205" s="69"/>
      <c r="R1205" s="69"/>
      <c r="S1205" s="69"/>
      <c r="T1205" s="69"/>
      <c r="U1205" s="69"/>
      <c r="V1205" s="69"/>
      <c r="W1205" s="69"/>
      <c r="X1205" s="69"/>
      <c r="Y1205" s="69"/>
      <c r="Z1205" s="69"/>
      <c r="AA1205" s="69"/>
      <c r="AB1205" s="69"/>
      <c r="AC1205" s="69"/>
      <c r="AD1205" s="69"/>
      <c r="AE1205" s="69"/>
      <c r="AF1205" s="69"/>
      <c r="AG1205" s="69"/>
      <c r="AH1205" s="69"/>
      <c r="AI1205" s="69"/>
      <c r="AJ1205" s="69"/>
      <c r="AK1205" s="69"/>
      <c r="AL1205" s="69"/>
      <c r="AM1205" s="69"/>
      <c r="AN1205" s="69"/>
      <c r="AO1205" s="69"/>
      <c r="AP1205" s="69"/>
      <c r="AQ1205" s="69"/>
      <c r="AR1205" s="94">
        <f t="shared" si="103"/>
        <v>0</v>
      </c>
      <c r="AS1205" s="69"/>
      <c r="AT1205" s="69"/>
      <c r="AU1205" s="69"/>
      <c r="AV1205" s="69"/>
      <c r="AW1205" s="69"/>
      <c r="AX1205" s="69"/>
      <c r="AY1205" s="69"/>
      <c r="AZ1205" s="69"/>
      <c r="BA1205" s="69"/>
      <c r="BB1205" s="69"/>
      <c r="BC1205" s="69"/>
      <c r="BD1205" s="69"/>
      <c r="BE1205" s="69"/>
      <c r="BF1205" s="69"/>
      <c r="BG1205" s="69"/>
      <c r="BH1205" s="69"/>
      <c r="BI1205" s="69"/>
      <c r="BJ1205" s="69"/>
      <c r="BK1205" s="69"/>
      <c r="BL1205" s="69"/>
      <c r="BM1205" s="69"/>
      <c r="BN1205" s="69"/>
      <c r="BO1205" s="69"/>
      <c r="BP1205" s="69"/>
      <c r="BQ1205" s="69"/>
      <c r="BR1205" s="69"/>
      <c r="BS1205" s="69"/>
      <c r="BT1205" s="69"/>
      <c r="BU1205" s="69"/>
      <c r="BV1205" s="69"/>
      <c r="BW1205" s="69"/>
      <c r="BX1205" s="69"/>
      <c r="BY1205" s="69"/>
      <c r="BZ1205" s="69"/>
      <c r="CA1205" s="69"/>
      <c r="CB1205" s="69"/>
      <c r="CC1205" s="69"/>
      <c r="CD1205" s="69"/>
      <c r="CE1205" s="94">
        <f t="shared" si="104"/>
        <v>0</v>
      </c>
      <c r="CF1205" s="151">
        <f t="shared" si="105"/>
        <v>0</v>
      </c>
      <c r="CG1205" s="75">
        <f t="shared" si="115"/>
        <v>5046</v>
      </c>
      <c r="CH1205" s="69">
        <f t="shared" si="115"/>
        <v>0</v>
      </c>
    </row>
    <row r="1206" spans="1:100" x14ac:dyDescent="0.25">
      <c r="A1206" s="148"/>
      <c r="B1206" s="82"/>
      <c r="C1206" s="160">
        <v>5047</v>
      </c>
      <c r="D1206" s="69"/>
      <c r="E1206" s="69" t="s">
        <v>3479</v>
      </c>
      <c r="F1206" s="69"/>
      <c r="G1206" s="69"/>
      <c r="H1206" s="69"/>
      <c r="I1206" s="69"/>
      <c r="J1206" s="69"/>
      <c r="K1206" s="69"/>
      <c r="L1206" s="69"/>
      <c r="M1206" s="69"/>
      <c r="N1206" s="69"/>
      <c r="O1206" s="69"/>
      <c r="P1206" s="69"/>
      <c r="Q1206" s="69"/>
      <c r="R1206" s="69"/>
      <c r="S1206" s="69"/>
      <c r="T1206" s="69"/>
      <c r="U1206" s="69"/>
      <c r="V1206" s="69"/>
      <c r="W1206" s="69"/>
      <c r="X1206" s="69"/>
      <c r="Y1206" s="69"/>
      <c r="Z1206" s="69"/>
      <c r="AA1206" s="69"/>
      <c r="AB1206" s="69"/>
      <c r="AC1206" s="69"/>
      <c r="AD1206" s="69"/>
      <c r="AE1206" s="69"/>
      <c r="AF1206" s="69"/>
      <c r="AG1206" s="69"/>
      <c r="AH1206" s="69"/>
      <c r="AI1206" s="69"/>
      <c r="AJ1206" s="69"/>
      <c r="AK1206" s="69"/>
      <c r="AL1206" s="69"/>
      <c r="AM1206" s="69"/>
      <c r="AN1206" s="69"/>
      <c r="AO1206" s="69"/>
      <c r="AP1206" s="69"/>
      <c r="AQ1206" s="69"/>
      <c r="AR1206" s="94">
        <f t="shared" si="103"/>
        <v>0</v>
      </c>
      <c r="AS1206" s="69"/>
      <c r="AT1206" s="69"/>
      <c r="AU1206" s="69"/>
      <c r="AV1206" s="69"/>
      <c r="AW1206" s="69"/>
      <c r="AX1206" s="69"/>
      <c r="AY1206" s="69"/>
      <c r="AZ1206" s="69"/>
      <c r="BA1206" s="69"/>
      <c r="BB1206" s="69"/>
      <c r="BC1206" s="69"/>
      <c r="BD1206" s="69"/>
      <c r="BE1206" s="69"/>
      <c r="BF1206" s="69"/>
      <c r="BG1206" s="69"/>
      <c r="BH1206" s="69"/>
      <c r="BI1206" s="69"/>
      <c r="BJ1206" s="69"/>
      <c r="BK1206" s="69"/>
      <c r="BL1206" s="69"/>
      <c r="BM1206" s="69"/>
      <c r="BN1206" s="69"/>
      <c r="BO1206" s="69"/>
      <c r="BP1206" s="69"/>
      <c r="BQ1206" s="69"/>
      <c r="BR1206" s="69"/>
      <c r="BS1206" s="69"/>
      <c r="BT1206" s="69"/>
      <c r="BU1206" s="69"/>
      <c r="BV1206" s="69"/>
      <c r="BW1206" s="69"/>
      <c r="BX1206" s="69"/>
      <c r="BY1206" s="69"/>
      <c r="BZ1206" s="69"/>
      <c r="CA1206" s="69"/>
      <c r="CB1206" s="69"/>
      <c r="CC1206" s="69"/>
      <c r="CD1206" s="69"/>
      <c r="CE1206" s="94">
        <f t="shared" si="104"/>
        <v>0</v>
      </c>
      <c r="CF1206" s="151">
        <f t="shared" si="105"/>
        <v>0</v>
      </c>
      <c r="CG1206" s="75">
        <f t="shared" si="115"/>
        <v>5047</v>
      </c>
      <c r="CH1206" s="69">
        <f t="shared" si="115"/>
        <v>0</v>
      </c>
    </row>
    <row r="1207" spans="1:100" x14ac:dyDescent="0.25">
      <c r="A1207" s="148"/>
      <c r="B1207" s="82" t="s">
        <v>3480</v>
      </c>
      <c r="C1207" s="160">
        <v>5048</v>
      </c>
      <c r="D1207" s="69" t="s">
        <v>78</v>
      </c>
      <c r="E1207" s="69" t="s">
        <v>2668</v>
      </c>
      <c r="F1207" s="69"/>
      <c r="G1207" s="69"/>
      <c r="H1207" s="69"/>
      <c r="I1207" s="69"/>
      <c r="J1207" s="69"/>
      <c r="K1207" s="69"/>
      <c r="L1207" s="69"/>
      <c r="M1207" s="69"/>
      <c r="N1207" s="69"/>
      <c r="O1207" s="69"/>
      <c r="P1207" s="69"/>
      <c r="Q1207" s="69"/>
      <c r="R1207" s="69"/>
      <c r="S1207" s="69"/>
      <c r="T1207" s="69"/>
      <c r="U1207" s="69"/>
      <c r="V1207" s="69"/>
      <c r="W1207" s="69"/>
      <c r="X1207" s="69"/>
      <c r="Y1207" s="69"/>
      <c r="Z1207" s="69"/>
      <c r="AA1207" s="69"/>
      <c r="AB1207" s="69"/>
      <c r="AC1207" s="69"/>
      <c r="AD1207" s="69"/>
      <c r="AE1207" s="69">
        <v>25759.02</v>
      </c>
      <c r="AF1207" s="69"/>
      <c r="AG1207" s="69"/>
      <c r="AH1207" s="69"/>
      <c r="AI1207" s="69"/>
      <c r="AJ1207" s="69"/>
      <c r="AK1207" s="69"/>
      <c r="AL1207" s="69"/>
      <c r="AM1207" s="69"/>
      <c r="AN1207" s="69"/>
      <c r="AO1207" s="69"/>
      <c r="AP1207" s="69"/>
      <c r="AQ1207" s="69"/>
      <c r="AR1207" s="94">
        <f t="shared" si="103"/>
        <v>25759.02</v>
      </c>
      <c r="AS1207" s="69"/>
      <c r="AT1207" s="69"/>
      <c r="AU1207" s="69"/>
      <c r="AV1207" s="69"/>
      <c r="AW1207" s="69"/>
      <c r="AX1207" s="69"/>
      <c r="AY1207" s="69"/>
      <c r="AZ1207" s="69"/>
      <c r="BA1207" s="69"/>
      <c r="BB1207" s="69"/>
      <c r="BC1207" s="69"/>
      <c r="BD1207" s="69"/>
      <c r="BE1207" s="69"/>
      <c r="BF1207" s="69"/>
      <c r="BG1207" s="69"/>
      <c r="BH1207" s="69"/>
      <c r="BI1207" s="69"/>
      <c r="BJ1207" s="69"/>
      <c r="BK1207" s="69"/>
      <c r="BL1207" s="69"/>
      <c r="BM1207" s="69"/>
      <c r="BN1207" s="69"/>
      <c r="BO1207" s="69"/>
      <c r="BP1207" s="69"/>
      <c r="BQ1207" s="69"/>
      <c r="BR1207" s="69"/>
      <c r="BS1207" s="69"/>
      <c r="BT1207" s="69"/>
      <c r="BU1207" s="69"/>
      <c r="BV1207" s="69"/>
      <c r="BW1207" s="69"/>
      <c r="BX1207" s="69"/>
      <c r="BY1207" s="69"/>
      <c r="BZ1207" s="69"/>
      <c r="CA1207" s="69"/>
      <c r="CB1207" s="69"/>
      <c r="CC1207" s="69"/>
      <c r="CD1207" s="69">
        <v>25759.02</v>
      </c>
      <c r="CE1207" s="94">
        <f t="shared" si="104"/>
        <v>25759.02</v>
      </c>
      <c r="CF1207" s="151">
        <f t="shared" si="105"/>
        <v>0</v>
      </c>
      <c r="CG1207" s="75">
        <f t="shared" si="115"/>
        <v>5048</v>
      </c>
      <c r="CH1207" s="69" t="str">
        <f t="shared" si="115"/>
        <v>برنامج دولى</v>
      </c>
    </row>
    <row r="1208" spans="1:100" ht="72" x14ac:dyDescent="0.25">
      <c r="A1208" s="159" t="s">
        <v>3481</v>
      </c>
      <c r="B1208" s="82" t="s">
        <v>3480</v>
      </c>
      <c r="C1208" s="160">
        <v>5049</v>
      </c>
      <c r="D1208" s="69" t="s">
        <v>121</v>
      </c>
      <c r="E1208" s="69" t="s">
        <v>2669</v>
      </c>
      <c r="F1208" s="69"/>
      <c r="G1208" s="69"/>
      <c r="H1208" s="69"/>
      <c r="I1208" s="69"/>
      <c r="J1208" s="69"/>
      <c r="K1208" s="69"/>
      <c r="L1208" s="69"/>
      <c r="M1208" s="69"/>
      <c r="N1208" s="69"/>
      <c r="O1208" s="69"/>
      <c r="P1208" s="69"/>
      <c r="Q1208" s="69"/>
      <c r="R1208" s="69"/>
      <c r="S1208" s="69"/>
      <c r="T1208" s="69"/>
      <c r="U1208" s="69"/>
      <c r="V1208" s="69"/>
      <c r="W1208" s="69"/>
      <c r="X1208" s="69"/>
      <c r="Y1208" s="69"/>
      <c r="Z1208" s="69"/>
      <c r="AA1208" s="69"/>
      <c r="AB1208" s="69"/>
      <c r="AC1208" s="69"/>
      <c r="AD1208" s="69"/>
      <c r="AE1208" s="69">
        <v>18.350000000000001</v>
      </c>
      <c r="AF1208" s="69"/>
      <c r="AG1208" s="69"/>
      <c r="AH1208" s="69"/>
      <c r="AI1208" s="69"/>
      <c r="AJ1208" s="69"/>
      <c r="AK1208" s="69"/>
      <c r="AL1208" s="69"/>
      <c r="AM1208" s="69"/>
      <c r="AN1208" s="69"/>
      <c r="AO1208" s="69"/>
      <c r="AP1208" s="69"/>
      <c r="AQ1208" s="69"/>
      <c r="AR1208" s="94">
        <f t="shared" si="103"/>
        <v>18.350000000000001</v>
      </c>
      <c r="AS1208" s="69"/>
      <c r="AT1208" s="69"/>
      <c r="AU1208" s="69"/>
      <c r="AV1208" s="69"/>
      <c r="AW1208" s="69"/>
      <c r="AX1208" s="69"/>
      <c r="AY1208" s="69"/>
      <c r="AZ1208" s="69"/>
      <c r="BA1208" s="69"/>
      <c r="BB1208" s="69"/>
      <c r="BC1208" s="69"/>
      <c r="BD1208" s="69"/>
      <c r="BE1208" s="69"/>
      <c r="BF1208" s="69"/>
      <c r="BG1208" s="69"/>
      <c r="BH1208" s="69"/>
      <c r="BI1208" s="69"/>
      <c r="BJ1208" s="69"/>
      <c r="BK1208" s="69"/>
      <c r="BL1208" s="69"/>
      <c r="BM1208" s="69"/>
      <c r="BN1208" s="69"/>
      <c r="BO1208" s="69"/>
      <c r="BP1208" s="69"/>
      <c r="BQ1208" s="69"/>
      <c r="BR1208" s="69"/>
      <c r="BS1208" s="69"/>
      <c r="BT1208" s="69"/>
      <c r="BU1208" s="69"/>
      <c r="BV1208" s="69"/>
      <c r="BW1208" s="69"/>
      <c r="BX1208" s="69"/>
      <c r="BY1208" s="69"/>
      <c r="BZ1208" s="69"/>
      <c r="CA1208" s="69"/>
      <c r="CB1208" s="69"/>
      <c r="CC1208" s="69"/>
      <c r="CD1208" s="69">
        <v>18.350000000000001</v>
      </c>
      <c r="CE1208" s="94">
        <f t="shared" si="104"/>
        <v>18.350000000000001</v>
      </c>
      <c r="CF1208" s="151">
        <f t="shared" si="105"/>
        <v>0</v>
      </c>
      <c r="CG1208" s="75">
        <f t="shared" si="115"/>
        <v>5049</v>
      </c>
      <c r="CH1208" s="69" t="str">
        <f t="shared" si="115"/>
        <v>ماليزى اسنان</v>
      </c>
    </row>
    <row r="1209" spans="1:100" x14ac:dyDescent="0.25">
      <c r="A1209" s="148"/>
      <c r="B1209" s="82" t="s">
        <v>3480</v>
      </c>
      <c r="C1209" s="160">
        <v>5168</v>
      </c>
      <c r="D1209" s="69" t="s">
        <v>121</v>
      </c>
      <c r="E1209" s="69" t="s">
        <v>3482</v>
      </c>
      <c r="F1209" s="69"/>
      <c r="G1209" s="69"/>
      <c r="H1209" s="69"/>
      <c r="I1209" s="69"/>
      <c r="J1209" s="69"/>
      <c r="K1209" s="69"/>
      <c r="L1209" s="69"/>
      <c r="M1209" s="69"/>
      <c r="N1209" s="69"/>
      <c r="O1209" s="69"/>
      <c r="P1209" s="69"/>
      <c r="Q1209" s="69"/>
      <c r="R1209" s="69"/>
      <c r="S1209" s="69"/>
      <c r="T1209" s="69"/>
      <c r="U1209" s="69"/>
      <c r="V1209" s="69"/>
      <c r="W1209" s="69"/>
      <c r="X1209" s="69"/>
      <c r="Y1209" s="69"/>
      <c r="Z1209" s="69"/>
      <c r="AA1209" s="69"/>
      <c r="AB1209" s="69"/>
      <c r="AC1209" s="69"/>
      <c r="AD1209" s="69"/>
      <c r="AE1209" s="69">
        <v>10</v>
      </c>
      <c r="AF1209" s="69"/>
      <c r="AG1209" s="69"/>
      <c r="AH1209" s="69"/>
      <c r="AI1209" s="69"/>
      <c r="AJ1209" s="69"/>
      <c r="AK1209" s="69"/>
      <c r="AL1209" s="69"/>
      <c r="AM1209" s="69"/>
      <c r="AN1209" s="69"/>
      <c r="AO1209" s="69"/>
      <c r="AP1209" s="69"/>
      <c r="AQ1209" s="69"/>
      <c r="AR1209" s="94">
        <f t="shared" si="103"/>
        <v>10</v>
      </c>
      <c r="AS1209" s="69"/>
      <c r="AT1209" s="69"/>
      <c r="AU1209" s="69"/>
      <c r="AV1209" s="69"/>
      <c r="AW1209" s="69"/>
      <c r="AX1209" s="69"/>
      <c r="AY1209" s="69"/>
      <c r="AZ1209" s="69"/>
      <c r="BA1209" s="69"/>
      <c r="BB1209" s="69"/>
      <c r="BC1209" s="69"/>
      <c r="BD1209" s="69">
        <v>10</v>
      </c>
      <c r="BE1209" s="69"/>
      <c r="BF1209" s="69"/>
      <c r="BG1209" s="69"/>
      <c r="BH1209" s="69"/>
      <c r="BI1209" s="69"/>
      <c r="BJ1209" s="69"/>
      <c r="BK1209" s="69"/>
      <c r="BL1209" s="69"/>
      <c r="BM1209" s="69"/>
      <c r="BN1209" s="69"/>
      <c r="BO1209" s="69"/>
      <c r="BP1209" s="69"/>
      <c r="BQ1209" s="69"/>
      <c r="BR1209" s="69"/>
      <c r="BS1209" s="69"/>
      <c r="BT1209" s="69"/>
      <c r="BU1209" s="69"/>
      <c r="BV1209" s="69"/>
      <c r="BW1209" s="69"/>
      <c r="BX1209" s="69"/>
      <c r="BY1209" s="69"/>
      <c r="BZ1209" s="69"/>
      <c r="CA1209" s="69"/>
      <c r="CB1209" s="69"/>
      <c r="CC1209" s="69"/>
      <c r="CD1209" s="69"/>
      <c r="CE1209" s="94">
        <f t="shared" si="104"/>
        <v>10</v>
      </c>
      <c r="CF1209" s="151">
        <f t="shared" si="105"/>
        <v>0</v>
      </c>
      <c r="CG1209" s="75">
        <f t="shared" si="115"/>
        <v>5168</v>
      </c>
      <c r="CH1209" s="69" t="str">
        <f t="shared" si="115"/>
        <v>ماليزى اسنان</v>
      </c>
    </row>
    <row r="1210" spans="1:100" s="156" customFormat="1" x14ac:dyDescent="0.25">
      <c r="A1210" s="153"/>
      <c r="B1210" s="83"/>
      <c r="C1210" s="154"/>
      <c r="D1210" s="68"/>
      <c r="E1210" s="68" t="s">
        <v>3483</v>
      </c>
      <c r="F1210" s="68"/>
      <c r="G1210" s="68"/>
      <c r="H1210" s="68"/>
      <c r="I1210" s="68"/>
      <c r="J1210" s="68"/>
      <c r="K1210" s="68"/>
      <c r="L1210" s="68"/>
      <c r="M1210" s="68"/>
      <c r="N1210" s="68"/>
      <c r="O1210" s="68"/>
      <c r="P1210" s="68"/>
      <c r="Q1210" s="68"/>
      <c r="R1210" s="68"/>
      <c r="S1210" s="68"/>
      <c r="T1210" s="68"/>
      <c r="U1210" s="68"/>
      <c r="V1210" s="68"/>
      <c r="W1210" s="68"/>
      <c r="X1210" s="68"/>
      <c r="Y1210" s="68"/>
      <c r="Z1210" s="68"/>
      <c r="AA1210" s="68"/>
      <c r="AB1210" s="68"/>
      <c r="AC1210" s="68"/>
      <c r="AD1210" s="68"/>
      <c r="AE1210" s="68">
        <f>SUM(AE1207:AE1209)</f>
        <v>25787.37</v>
      </c>
      <c r="AF1210" s="68">
        <f t="shared" ref="AF1210:CJ1210" si="116">SUM(AF1207:AF1209)</f>
        <v>0</v>
      </c>
      <c r="AG1210" s="68">
        <f t="shared" si="116"/>
        <v>0</v>
      </c>
      <c r="AH1210" s="68">
        <f t="shared" si="116"/>
        <v>0</v>
      </c>
      <c r="AI1210" s="68">
        <f t="shared" si="116"/>
        <v>0</v>
      </c>
      <c r="AJ1210" s="68">
        <f t="shared" si="116"/>
        <v>0</v>
      </c>
      <c r="AK1210" s="68">
        <f t="shared" si="116"/>
        <v>0</v>
      </c>
      <c r="AL1210" s="68">
        <f t="shared" si="116"/>
        <v>0</v>
      </c>
      <c r="AM1210" s="68">
        <f t="shared" si="116"/>
        <v>0</v>
      </c>
      <c r="AN1210" s="68">
        <f t="shared" si="116"/>
        <v>0</v>
      </c>
      <c r="AO1210" s="68">
        <f t="shared" si="116"/>
        <v>0</v>
      </c>
      <c r="AP1210" s="68">
        <f t="shared" si="116"/>
        <v>0</v>
      </c>
      <c r="AQ1210" s="68">
        <f t="shared" si="116"/>
        <v>0</v>
      </c>
      <c r="AR1210" s="68">
        <f t="shared" si="116"/>
        <v>25787.37</v>
      </c>
      <c r="AS1210" s="68">
        <f t="shared" si="116"/>
        <v>0</v>
      </c>
      <c r="AT1210" s="68">
        <f t="shared" si="116"/>
        <v>0</v>
      </c>
      <c r="AU1210" s="68">
        <f t="shared" si="116"/>
        <v>0</v>
      </c>
      <c r="AV1210" s="68">
        <f t="shared" si="116"/>
        <v>0</v>
      </c>
      <c r="AW1210" s="68">
        <f t="shared" si="116"/>
        <v>0</v>
      </c>
      <c r="AX1210" s="68">
        <f t="shared" si="116"/>
        <v>0</v>
      </c>
      <c r="AY1210" s="68">
        <f t="shared" si="116"/>
        <v>0</v>
      </c>
      <c r="AZ1210" s="68">
        <f t="shared" si="116"/>
        <v>0</v>
      </c>
      <c r="BA1210" s="68">
        <f t="shared" si="116"/>
        <v>0</v>
      </c>
      <c r="BB1210" s="68">
        <f t="shared" si="116"/>
        <v>0</v>
      </c>
      <c r="BC1210" s="68">
        <f t="shared" si="116"/>
        <v>0</v>
      </c>
      <c r="BD1210" s="68">
        <f t="shared" si="116"/>
        <v>10</v>
      </c>
      <c r="BE1210" s="68">
        <f t="shared" si="116"/>
        <v>0</v>
      </c>
      <c r="BF1210" s="68">
        <f t="shared" si="116"/>
        <v>0</v>
      </c>
      <c r="BG1210" s="68">
        <f t="shared" si="116"/>
        <v>0</v>
      </c>
      <c r="BH1210" s="68">
        <f t="shared" si="116"/>
        <v>0</v>
      </c>
      <c r="BI1210" s="68">
        <f t="shared" si="116"/>
        <v>0</v>
      </c>
      <c r="BJ1210" s="68">
        <f t="shared" si="116"/>
        <v>0</v>
      </c>
      <c r="BK1210" s="68">
        <f t="shared" si="116"/>
        <v>0</v>
      </c>
      <c r="BL1210" s="68">
        <f t="shared" si="116"/>
        <v>0</v>
      </c>
      <c r="BM1210" s="68">
        <f t="shared" si="116"/>
        <v>0</v>
      </c>
      <c r="BN1210" s="68">
        <f t="shared" si="116"/>
        <v>0</v>
      </c>
      <c r="BO1210" s="68">
        <f t="shared" si="116"/>
        <v>0</v>
      </c>
      <c r="BP1210" s="68">
        <f t="shared" si="116"/>
        <v>0</v>
      </c>
      <c r="BQ1210" s="68">
        <f t="shared" si="116"/>
        <v>0</v>
      </c>
      <c r="BR1210" s="68">
        <f t="shared" si="116"/>
        <v>0</v>
      </c>
      <c r="BS1210" s="68">
        <f t="shared" si="116"/>
        <v>0</v>
      </c>
      <c r="BT1210" s="68">
        <f t="shared" si="116"/>
        <v>0</v>
      </c>
      <c r="BU1210" s="68">
        <f t="shared" si="116"/>
        <v>0</v>
      </c>
      <c r="BV1210" s="68">
        <f t="shared" si="116"/>
        <v>0</v>
      </c>
      <c r="BW1210" s="68">
        <f t="shared" si="116"/>
        <v>0</v>
      </c>
      <c r="BX1210" s="68">
        <f t="shared" si="116"/>
        <v>0</v>
      </c>
      <c r="BY1210" s="68">
        <f t="shared" si="116"/>
        <v>0</v>
      </c>
      <c r="BZ1210" s="68">
        <f t="shared" si="116"/>
        <v>0</v>
      </c>
      <c r="CA1210" s="68">
        <f t="shared" si="116"/>
        <v>0</v>
      </c>
      <c r="CB1210" s="68">
        <f t="shared" si="116"/>
        <v>0</v>
      </c>
      <c r="CC1210" s="68">
        <f t="shared" si="116"/>
        <v>0</v>
      </c>
      <c r="CD1210" s="68">
        <f t="shared" si="116"/>
        <v>25777.37</v>
      </c>
      <c r="CE1210" s="68">
        <f t="shared" si="116"/>
        <v>25787.37</v>
      </c>
      <c r="CF1210" s="68">
        <f t="shared" si="116"/>
        <v>0</v>
      </c>
      <c r="CG1210" s="68">
        <f t="shared" si="116"/>
        <v>15265</v>
      </c>
      <c r="CH1210" s="68">
        <f t="shared" si="116"/>
        <v>0</v>
      </c>
      <c r="CI1210" s="68">
        <f t="shared" si="116"/>
        <v>0</v>
      </c>
      <c r="CJ1210" s="68">
        <f t="shared" si="116"/>
        <v>0</v>
      </c>
    </row>
    <row r="1211" spans="1:100" s="144" customFormat="1" x14ac:dyDescent="0.25">
      <c r="A1211" s="162">
        <v>0</v>
      </c>
      <c r="B1211" s="86">
        <v>0</v>
      </c>
      <c r="C1211" s="163">
        <v>0</v>
      </c>
      <c r="D1211" s="69">
        <v>0</v>
      </c>
      <c r="E1211" s="57">
        <v>0</v>
      </c>
      <c r="F1211" s="63"/>
      <c r="G1211" s="57">
        <f t="shared" ref="G1211:N1211" si="117">SUM(G26:G1210)</f>
        <v>21623632.919999979</v>
      </c>
      <c r="H1211" s="57">
        <f t="shared" si="117"/>
        <v>7074360.0600000005</v>
      </c>
      <c r="I1211" s="57">
        <f t="shared" si="117"/>
        <v>0</v>
      </c>
      <c r="J1211" s="57">
        <f t="shared" si="117"/>
        <v>0</v>
      </c>
      <c r="K1211" s="57">
        <f t="shared" si="117"/>
        <v>175850</v>
      </c>
      <c r="L1211" s="57">
        <f t="shared" si="117"/>
        <v>175850</v>
      </c>
      <c r="M1211" s="57">
        <f t="shared" si="117"/>
        <v>175850</v>
      </c>
      <c r="N1211" s="57">
        <f t="shared" si="117"/>
        <v>175850</v>
      </c>
      <c r="O1211" s="57"/>
      <c r="P1211" s="57">
        <f t="shared" ref="P1211:AQ1211" si="118">SUM(P26:P1210)</f>
        <v>76000</v>
      </c>
      <c r="Q1211" s="57">
        <f t="shared" si="118"/>
        <v>0</v>
      </c>
      <c r="R1211" s="57">
        <f t="shared" si="118"/>
        <v>64163</v>
      </c>
      <c r="S1211" s="57">
        <f t="shared" si="118"/>
        <v>0</v>
      </c>
      <c r="T1211" s="57">
        <f t="shared" si="118"/>
        <v>2332964.64</v>
      </c>
      <c r="U1211" s="57">
        <f t="shared" si="118"/>
        <v>1538409.3199999996</v>
      </c>
      <c r="V1211" s="57">
        <f t="shared" si="118"/>
        <v>2260</v>
      </c>
      <c r="W1211" s="57">
        <f t="shared" si="118"/>
        <v>1542.6</v>
      </c>
      <c r="X1211" s="57">
        <f t="shared" si="118"/>
        <v>1308004.5</v>
      </c>
      <c r="Y1211" s="57">
        <f t="shared" si="118"/>
        <v>0</v>
      </c>
      <c r="Z1211" s="57">
        <f t="shared" si="118"/>
        <v>0</v>
      </c>
      <c r="AA1211" s="57">
        <f t="shared" si="118"/>
        <v>0</v>
      </c>
      <c r="AB1211" s="57">
        <f t="shared" si="118"/>
        <v>3080000</v>
      </c>
      <c r="AC1211" s="57">
        <f t="shared" si="118"/>
        <v>0</v>
      </c>
      <c r="AD1211" s="57">
        <f t="shared" si="118"/>
        <v>155257.45999999996</v>
      </c>
      <c r="AE1211" s="57">
        <f t="shared" si="118"/>
        <v>214598.53999999998</v>
      </c>
      <c r="AF1211" s="57">
        <f t="shared" si="118"/>
        <v>0</v>
      </c>
      <c r="AG1211" s="57">
        <f t="shared" si="118"/>
        <v>0</v>
      </c>
      <c r="AH1211" s="57">
        <f t="shared" si="118"/>
        <v>0</v>
      </c>
      <c r="AI1211" s="57">
        <f t="shared" si="118"/>
        <v>0</v>
      </c>
      <c r="AJ1211" s="57">
        <f t="shared" si="118"/>
        <v>0</v>
      </c>
      <c r="AK1211" s="57">
        <f t="shared" si="118"/>
        <v>0</v>
      </c>
      <c r="AL1211" s="57">
        <f t="shared" si="118"/>
        <v>0</v>
      </c>
      <c r="AM1211" s="57">
        <f t="shared" si="118"/>
        <v>0</v>
      </c>
      <c r="AN1211" s="57">
        <f t="shared" si="118"/>
        <v>0</v>
      </c>
      <c r="AO1211" s="57">
        <f t="shared" si="118"/>
        <v>0</v>
      </c>
      <c r="AP1211" s="57">
        <f t="shared" si="118"/>
        <v>2250000</v>
      </c>
      <c r="AQ1211" s="57">
        <f t="shared" si="118"/>
        <v>0</v>
      </c>
      <c r="AR1211" s="94">
        <f t="shared" si="26"/>
        <v>40424593.039999984</v>
      </c>
      <c r="AS1211" s="57">
        <f t="shared" ref="AS1211:BD1211" si="119">SUM(AS26:AS1210)</f>
        <v>30603973.360000018</v>
      </c>
      <c r="AT1211" s="57">
        <f t="shared" si="119"/>
        <v>1882985.379999999</v>
      </c>
      <c r="AU1211" s="57">
        <f t="shared" si="119"/>
        <v>3638836.5599999973</v>
      </c>
      <c r="AV1211" s="57">
        <f t="shared" si="119"/>
        <v>173092.59999999995</v>
      </c>
      <c r="AW1211" s="57">
        <f t="shared" si="119"/>
        <v>19718.100000000002</v>
      </c>
      <c r="AX1211" s="57">
        <f t="shared" si="119"/>
        <v>4813.84</v>
      </c>
      <c r="AY1211" s="57">
        <f t="shared" si="119"/>
        <v>0</v>
      </c>
      <c r="AZ1211" s="57">
        <f t="shared" si="119"/>
        <v>0</v>
      </c>
      <c r="BA1211" s="57">
        <f t="shared" si="119"/>
        <v>0</v>
      </c>
      <c r="BB1211" s="57">
        <f t="shared" si="119"/>
        <v>0</v>
      </c>
      <c r="BC1211" s="57">
        <f t="shared" si="119"/>
        <v>0</v>
      </c>
      <c r="BD1211" s="57">
        <f t="shared" si="119"/>
        <v>20</v>
      </c>
      <c r="BE1211" s="57"/>
      <c r="BF1211" s="57">
        <f t="shared" ref="BF1211:BN1211" si="120">SUM(BF26:BF1210)</f>
        <v>0</v>
      </c>
      <c r="BG1211" s="57">
        <f t="shared" si="120"/>
        <v>127398.20000000001</v>
      </c>
      <c r="BH1211" s="57">
        <f t="shared" si="120"/>
        <v>2336</v>
      </c>
      <c r="BI1211" s="57">
        <f t="shared" si="120"/>
        <v>36532.6</v>
      </c>
      <c r="BJ1211" s="57">
        <f t="shared" si="120"/>
        <v>15046.8</v>
      </c>
      <c r="BK1211" s="57">
        <f t="shared" si="120"/>
        <v>8399</v>
      </c>
      <c r="BL1211" s="57">
        <f t="shared" si="120"/>
        <v>175850</v>
      </c>
      <c r="BM1211" s="57">
        <f t="shared" si="120"/>
        <v>175850</v>
      </c>
      <c r="BN1211" s="57">
        <f t="shared" si="120"/>
        <v>175850</v>
      </c>
      <c r="BO1211" s="57"/>
      <c r="BP1211" s="57">
        <f t="shared" ref="BP1211:CF1211" si="121">SUM(BP26:BP1210)</f>
        <v>76000</v>
      </c>
      <c r="BQ1211" s="57">
        <f t="shared" si="121"/>
        <v>0</v>
      </c>
      <c r="BR1211" s="57">
        <f t="shared" si="121"/>
        <v>0</v>
      </c>
      <c r="BS1211" s="57">
        <f t="shared" si="121"/>
        <v>3080000</v>
      </c>
      <c r="BT1211" s="57">
        <f t="shared" si="121"/>
        <v>0</v>
      </c>
      <c r="BU1211" s="57">
        <f t="shared" si="121"/>
        <v>0</v>
      </c>
      <c r="BV1211" s="57">
        <f t="shared" si="121"/>
        <v>0</v>
      </c>
      <c r="BW1211" s="57">
        <f t="shared" si="121"/>
        <v>0</v>
      </c>
      <c r="BX1211" s="57">
        <f t="shared" si="121"/>
        <v>0</v>
      </c>
      <c r="BY1211" s="57">
        <f t="shared" si="121"/>
        <v>0</v>
      </c>
      <c r="BZ1211" s="57">
        <f t="shared" si="121"/>
        <v>0</v>
      </c>
      <c r="CA1211" s="57">
        <f t="shared" si="121"/>
        <v>0</v>
      </c>
      <c r="CB1211" s="57">
        <f t="shared" si="121"/>
        <v>0</v>
      </c>
      <c r="CC1211" s="57">
        <f t="shared" si="121"/>
        <v>0</v>
      </c>
      <c r="CD1211" s="57">
        <f t="shared" si="121"/>
        <v>52040.6</v>
      </c>
      <c r="CE1211" s="91">
        <f t="shared" si="121"/>
        <v>40600443.039999984</v>
      </c>
      <c r="CF1211" s="162">
        <f t="shared" si="121"/>
        <v>0</v>
      </c>
      <c r="CG1211" s="75">
        <f t="shared" ref="CG1211:CH1269" si="122">+C1211</f>
        <v>0</v>
      </c>
      <c r="CH1211" s="69">
        <f t="shared" si="122"/>
        <v>0</v>
      </c>
      <c r="CI1211" s="164">
        <f t="shared" ref="CI1211:CV1211" si="123">SUM(CI26:CI1210)</f>
        <v>0</v>
      </c>
      <c r="CJ1211" s="57">
        <f t="shared" si="123"/>
        <v>0</v>
      </c>
      <c r="CK1211" s="57">
        <f t="shared" si="123"/>
        <v>0</v>
      </c>
      <c r="CL1211" s="57">
        <f t="shared" ca="1" si="123"/>
        <v>0</v>
      </c>
      <c r="CM1211" s="57">
        <f t="shared" ca="1" si="123"/>
        <v>0</v>
      </c>
      <c r="CN1211" s="57">
        <f t="shared" ca="1" si="123"/>
        <v>0</v>
      </c>
      <c r="CO1211" s="57">
        <f t="shared" ca="1" si="123"/>
        <v>0</v>
      </c>
      <c r="CP1211" s="57">
        <f t="shared" ca="1" si="123"/>
        <v>0</v>
      </c>
      <c r="CQ1211" s="57">
        <f t="shared" ca="1" si="123"/>
        <v>0</v>
      </c>
      <c r="CR1211" s="57">
        <f t="shared" ca="1" si="123"/>
        <v>0</v>
      </c>
      <c r="CS1211" s="57">
        <f t="shared" si="123"/>
        <v>0</v>
      </c>
      <c r="CT1211" s="57">
        <f t="shared" si="123"/>
        <v>0</v>
      </c>
      <c r="CU1211" s="57">
        <f t="shared" si="123"/>
        <v>0</v>
      </c>
      <c r="CV1211" s="57">
        <f t="shared" si="123"/>
        <v>0</v>
      </c>
    </row>
    <row r="1212" spans="1:100" x14ac:dyDescent="0.25">
      <c r="A1212" s="148"/>
      <c r="B1212" s="70"/>
      <c r="C1212" s="149">
        <v>167</v>
      </c>
      <c r="D1212" s="165" t="s">
        <v>123</v>
      </c>
      <c r="E1212" s="69" t="s">
        <v>3484</v>
      </c>
      <c r="F1212" s="63"/>
      <c r="G1212" s="69">
        <v>1000.3</v>
      </c>
      <c r="H1212" s="69"/>
      <c r="I1212" s="69"/>
      <c r="J1212" s="69"/>
      <c r="K1212" s="69"/>
      <c r="L1212" s="69"/>
      <c r="M1212" s="69"/>
      <c r="N1212" s="69"/>
      <c r="O1212" s="69"/>
      <c r="P1212" s="69"/>
      <c r="Q1212" s="69"/>
      <c r="R1212" s="69"/>
      <c r="S1212" s="69"/>
      <c r="T1212" s="69"/>
      <c r="U1212" s="69"/>
      <c r="V1212" s="69"/>
      <c r="W1212" s="69"/>
      <c r="X1212" s="69"/>
      <c r="Y1212" s="69"/>
      <c r="Z1212" s="69"/>
      <c r="AA1212" s="69"/>
      <c r="AB1212" s="69"/>
      <c r="AC1212" s="69"/>
      <c r="AD1212" s="69"/>
      <c r="AE1212" s="69"/>
      <c r="AF1212" s="69"/>
      <c r="AG1212" s="69"/>
      <c r="AH1212" s="69"/>
      <c r="AI1212" s="69"/>
      <c r="AJ1212" s="69"/>
      <c r="AK1212" s="69"/>
      <c r="AL1212" s="69"/>
      <c r="AM1212" s="69"/>
      <c r="AN1212" s="69"/>
      <c r="AO1212" s="69"/>
      <c r="AP1212" s="69"/>
      <c r="AQ1212" s="69"/>
      <c r="AR1212" s="94">
        <f t="shared" si="26"/>
        <v>1000.3</v>
      </c>
      <c r="AS1212" s="69"/>
      <c r="AT1212" s="69">
        <f>100.03+6.17</f>
        <v>106.2</v>
      </c>
      <c r="AU1212" s="69"/>
      <c r="AV1212" s="69"/>
      <c r="AW1212" s="69"/>
      <c r="AX1212" s="69"/>
      <c r="AY1212" s="69"/>
      <c r="AZ1212" s="69"/>
      <c r="BA1212" s="69"/>
      <c r="BB1212" s="69"/>
      <c r="BC1212" s="69"/>
      <c r="BD1212" s="69"/>
      <c r="BE1212" s="69"/>
      <c r="BF1212" s="69">
        <v>894.1</v>
      </c>
      <c r="BG1212" s="69"/>
      <c r="BH1212" s="69"/>
      <c r="BI1212" s="69"/>
      <c r="BJ1212" s="69"/>
      <c r="BK1212" s="69"/>
      <c r="BL1212" s="69"/>
      <c r="BM1212" s="69"/>
      <c r="BN1212" s="69"/>
      <c r="BO1212" s="69"/>
      <c r="BP1212" s="69"/>
      <c r="BQ1212" s="69"/>
      <c r="BR1212" s="69"/>
      <c r="BS1212" s="69"/>
      <c r="BT1212" s="69"/>
      <c r="BU1212" s="69"/>
      <c r="BV1212" s="69"/>
      <c r="BW1212" s="69"/>
      <c r="BX1212" s="69"/>
      <c r="BY1212" s="69"/>
      <c r="BZ1212" s="69"/>
      <c r="CA1212" s="69"/>
      <c r="CB1212" s="69"/>
      <c r="CC1212" s="69"/>
      <c r="CD1212" s="69"/>
      <c r="CE1212" s="94">
        <f t="shared" ref="CE1212:CE1263" si="124">SUM(AS1212:CD1212)</f>
        <v>1000.3000000000001</v>
      </c>
      <c r="CF1212" s="151">
        <f t="shared" ref="CF1212:CF1269" si="125">+CE1212-AR1212</f>
        <v>0</v>
      </c>
      <c r="CG1212" s="75">
        <f t="shared" si="122"/>
        <v>167</v>
      </c>
      <c r="CH1212" s="69" t="str">
        <f t="shared" si="122"/>
        <v>خ ت اسنان</v>
      </c>
    </row>
    <row r="1213" spans="1:100" x14ac:dyDescent="0.25">
      <c r="A1213" s="148"/>
      <c r="B1213" s="70"/>
      <c r="C1213" s="149">
        <v>168</v>
      </c>
      <c r="D1213" s="165" t="s">
        <v>123</v>
      </c>
      <c r="E1213" s="69" t="s">
        <v>3485</v>
      </c>
      <c r="F1213" s="63"/>
      <c r="G1213" s="69">
        <v>500.21</v>
      </c>
      <c r="H1213" s="69"/>
      <c r="I1213" s="69"/>
      <c r="J1213" s="69"/>
      <c r="K1213" s="69"/>
      <c r="L1213" s="69"/>
      <c r="M1213" s="69"/>
      <c r="N1213" s="69"/>
      <c r="O1213" s="69"/>
      <c r="P1213" s="69"/>
      <c r="Q1213" s="69"/>
      <c r="R1213" s="69"/>
      <c r="S1213" s="69"/>
      <c r="T1213" s="69"/>
      <c r="U1213" s="69"/>
      <c r="V1213" s="69"/>
      <c r="W1213" s="69"/>
      <c r="X1213" s="69"/>
      <c r="Y1213" s="69"/>
      <c r="Z1213" s="69"/>
      <c r="AA1213" s="69"/>
      <c r="AB1213" s="69"/>
      <c r="AC1213" s="69"/>
      <c r="AD1213" s="69"/>
      <c r="AE1213" s="69"/>
      <c r="AF1213" s="69"/>
      <c r="AG1213" s="69"/>
      <c r="AH1213" s="69"/>
      <c r="AI1213" s="69"/>
      <c r="AJ1213" s="69"/>
      <c r="AK1213" s="69"/>
      <c r="AL1213" s="69"/>
      <c r="AM1213" s="69"/>
      <c r="AN1213" s="69"/>
      <c r="AO1213" s="69"/>
      <c r="AP1213" s="69"/>
      <c r="AQ1213" s="69"/>
      <c r="AR1213" s="94">
        <f t="shared" si="26"/>
        <v>500.21</v>
      </c>
      <c r="AS1213" s="69"/>
      <c r="AT1213" s="69">
        <f>50.02+3.14</f>
        <v>53.160000000000004</v>
      </c>
      <c r="AU1213" s="69"/>
      <c r="AV1213" s="69"/>
      <c r="AW1213" s="69"/>
      <c r="AX1213" s="69"/>
      <c r="AY1213" s="69"/>
      <c r="AZ1213" s="69"/>
      <c r="BA1213" s="69"/>
      <c r="BB1213" s="69"/>
      <c r="BC1213" s="69"/>
      <c r="BD1213" s="69"/>
      <c r="BE1213" s="69"/>
      <c r="BF1213" s="69">
        <v>447.05</v>
      </c>
      <c r="BG1213" s="69"/>
      <c r="BH1213" s="69"/>
      <c r="BI1213" s="69"/>
      <c r="BJ1213" s="69"/>
      <c r="BK1213" s="69"/>
      <c r="BL1213" s="69"/>
      <c r="BM1213" s="69"/>
      <c r="BN1213" s="69"/>
      <c r="BO1213" s="69"/>
      <c r="BP1213" s="69"/>
      <c r="BQ1213" s="69"/>
      <c r="BR1213" s="69"/>
      <c r="BS1213" s="69"/>
      <c r="BT1213" s="69"/>
      <c r="BU1213" s="69"/>
      <c r="BV1213" s="69"/>
      <c r="BW1213" s="69"/>
      <c r="BX1213" s="69"/>
      <c r="BY1213" s="69"/>
      <c r="BZ1213" s="69"/>
      <c r="CA1213" s="69"/>
      <c r="CB1213" s="69"/>
      <c r="CC1213" s="69"/>
      <c r="CD1213" s="69"/>
      <c r="CE1213" s="94">
        <f t="shared" si="124"/>
        <v>500.21000000000004</v>
      </c>
      <c r="CF1213" s="151">
        <f t="shared" si="125"/>
        <v>0</v>
      </c>
      <c r="CG1213" s="75">
        <f t="shared" si="122"/>
        <v>168</v>
      </c>
      <c r="CH1213" s="69" t="str">
        <f t="shared" si="122"/>
        <v>خ ت اسنان</v>
      </c>
    </row>
    <row r="1214" spans="1:100" x14ac:dyDescent="0.25">
      <c r="A1214" s="148"/>
      <c r="B1214" s="70"/>
      <c r="C1214" s="149">
        <v>169</v>
      </c>
      <c r="D1214" s="165" t="s">
        <v>332</v>
      </c>
      <c r="E1214" s="69" t="s">
        <v>2636</v>
      </c>
      <c r="F1214" s="63"/>
      <c r="G1214" s="69"/>
      <c r="H1214" s="69"/>
      <c r="I1214" s="69"/>
      <c r="J1214" s="69"/>
      <c r="K1214" s="69"/>
      <c r="L1214" s="69"/>
      <c r="M1214" s="69"/>
      <c r="N1214" s="69"/>
      <c r="O1214" s="69"/>
      <c r="P1214" s="69"/>
      <c r="Q1214" s="69"/>
      <c r="R1214" s="69"/>
      <c r="S1214" s="69"/>
      <c r="T1214" s="69"/>
      <c r="U1214" s="69"/>
      <c r="V1214" s="69"/>
      <c r="W1214" s="69"/>
      <c r="X1214" s="69"/>
      <c r="Y1214" s="69"/>
      <c r="Z1214" s="69"/>
      <c r="AA1214" s="69"/>
      <c r="AB1214" s="69"/>
      <c r="AC1214" s="69"/>
      <c r="AD1214" s="69"/>
      <c r="AE1214" s="69"/>
      <c r="AF1214" s="69"/>
      <c r="AG1214" s="69"/>
      <c r="AH1214" s="69"/>
      <c r="AI1214" s="69"/>
      <c r="AJ1214" s="69"/>
      <c r="AK1214" s="69"/>
      <c r="AL1214" s="69"/>
      <c r="AM1214" s="69"/>
      <c r="AN1214" s="69"/>
      <c r="AO1214" s="69"/>
      <c r="AP1214" s="69"/>
      <c r="AQ1214" s="69"/>
      <c r="AR1214" s="94">
        <f t="shared" si="26"/>
        <v>0</v>
      </c>
      <c r="AS1214" s="69"/>
      <c r="AT1214" s="69"/>
      <c r="AU1214" s="69"/>
      <c r="AV1214" s="69"/>
      <c r="AW1214" s="69"/>
      <c r="AX1214" s="69"/>
      <c r="AY1214" s="69"/>
      <c r="AZ1214" s="69"/>
      <c r="BA1214" s="69"/>
      <c r="BB1214" s="69"/>
      <c r="BC1214" s="69"/>
      <c r="BD1214" s="69"/>
      <c r="BE1214" s="69"/>
      <c r="BF1214" s="69"/>
      <c r="BG1214" s="69"/>
      <c r="BH1214" s="69"/>
      <c r="BI1214" s="69"/>
      <c r="BJ1214" s="69"/>
      <c r="BK1214" s="69"/>
      <c r="BL1214" s="69"/>
      <c r="BM1214" s="69"/>
      <c r="BN1214" s="69"/>
      <c r="BO1214" s="69"/>
      <c r="BP1214" s="69"/>
      <c r="BQ1214" s="69"/>
      <c r="BR1214" s="69"/>
      <c r="BS1214" s="69"/>
      <c r="BT1214" s="69"/>
      <c r="BU1214" s="69"/>
      <c r="BV1214" s="69"/>
      <c r="BW1214" s="69"/>
      <c r="BX1214" s="69"/>
      <c r="BY1214" s="69"/>
      <c r="BZ1214" s="69"/>
      <c r="CA1214" s="69"/>
      <c r="CB1214" s="69"/>
      <c r="CC1214" s="69"/>
      <c r="CD1214" s="69"/>
      <c r="CE1214" s="94">
        <f t="shared" ref="CE1214" si="126">SUM(AS1214:CD1214)</f>
        <v>0</v>
      </c>
      <c r="CF1214" s="151">
        <f t="shared" si="125"/>
        <v>0</v>
      </c>
      <c r="CG1214" s="75">
        <f t="shared" si="122"/>
        <v>169</v>
      </c>
      <c r="CH1214" s="69" t="str">
        <f t="shared" si="122"/>
        <v xml:space="preserve">لاب فقط </v>
      </c>
    </row>
    <row r="1215" spans="1:100" x14ac:dyDescent="0.25">
      <c r="A1215" s="148"/>
      <c r="B1215" s="70"/>
      <c r="C1215" s="149">
        <v>170</v>
      </c>
      <c r="D1215" s="166"/>
      <c r="E1215" s="69" t="s">
        <v>3486</v>
      </c>
      <c r="F1215" s="63"/>
      <c r="G1215" s="69"/>
      <c r="H1215" s="69"/>
      <c r="I1215" s="69"/>
      <c r="J1215" s="69"/>
      <c r="K1215" s="69"/>
      <c r="L1215" s="69"/>
      <c r="M1215" s="69"/>
      <c r="N1215" s="69"/>
      <c r="O1215" s="69"/>
      <c r="P1215" s="69"/>
      <c r="Q1215" s="69">
        <v>8000</v>
      </c>
      <c r="R1215" s="69"/>
      <c r="S1215" s="69"/>
      <c r="T1215" s="69"/>
      <c r="U1215" s="69"/>
      <c r="V1215" s="69"/>
      <c r="W1215" s="69"/>
      <c r="X1215" s="69"/>
      <c r="Y1215" s="69"/>
      <c r="Z1215" s="69"/>
      <c r="AA1215" s="69"/>
      <c r="AB1215" s="69"/>
      <c r="AC1215" s="69"/>
      <c r="AD1215" s="69"/>
      <c r="AE1215" s="69"/>
      <c r="AF1215" s="69"/>
      <c r="AG1215" s="69"/>
      <c r="AH1215" s="69"/>
      <c r="AI1215" s="69"/>
      <c r="AJ1215" s="69"/>
      <c r="AK1215" s="69"/>
      <c r="AL1215" s="69"/>
      <c r="AM1215" s="69"/>
      <c r="AN1215" s="69"/>
      <c r="AO1215" s="69"/>
      <c r="AP1215" s="69"/>
      <c r="AQ1215" s="69"/>
      <c r="AR1215" s="94">
        <f t="shared" si="26"/>
        <v>8000</v>
      </c>
      <c r="AS1215" s="69"/>
      <c r="AT1215" s="69"/>
      <c r="AU1215" s="69"/>
      <c r="AV1215" s="69"/>
      <c r="AW1215" s="69"/>
      <c r="AX1215" s="69"/>
      <c r="AY1215" s="69"/>
      <c r="AZ1215" s="69"/>
      <c r="BA1215" s="69"/>
      <c r="BB1215" s="69"/>
      <c r="BC1215" s="69"/>
      <c r="BD1215" s="69"/>
      <c r="BE1215" s="69"/>
      <c r="BF1215" s="69"/>
      <c r="BG1215" s="69"/>
      <c r="BH1215" s="69"/>
      <c r="BI1215" s="69"/>
      <c r="BJ1215" s="69"/>
      <c r="BK1215" s="69"/>
      <c r="BL1215" s="69"/>
      <c r="BM1215" s="69"/>
      <c r="BN1215" s="69"/>
      <c r="BO1215" s="69"/>
      <c r="BP1215" s="69"/>
      <c r="BQ1215" s="69">
        <v>8000</v>
      </c>
      <c r="BR1215" s="69"/>
      <c r="BS1215" s="69"/>
      <c r="BT1215" s="69"/>
      <c r="BU1215" s="69"/>
      <c r="BV1215" s="69"/>
      <c r="BW1215" s="69"/>
      <c r="BX1215" s="69"/>
      <c r="BY1215" s="69"/>
      <c r="BZ1215" s="69"/>
      <c r="CA1215" s="69"/>
      <c r="CB1215" s="69"/>
      <c r="CC1215" s="69"/>
      <c r="CD1215" s="69"/>
      <c r="CE1215" s="94">
        <f t="shared" si="124"/>
        <v>8000</v>
      </c>
      <c r="CF1215" s="151">
        <f t="shared" si="125"/>
        <v>0</v>
      </c>
      <c r="CG1215" s="75">
        <f t="shared" si="122"/>
        <v>170</v>
      </c>
      <c r="CH1215" s="69">
        <f t="shared" si="122"/>
        <v>0</v>
      </c>
    </row>
    <row r="1216" spans="1:100" x14ac:dyDescent="0.25">
      <c r="A1216" s="148"/>
      <c r="B1216" s="70"/>
      <c r="C1216" s="149">
        <v>171</v>
      </c>
      <c r="D1216" s="166"/>
      <c r="E1216" s="69" t="s">
        <v>3487</v>
      </c>
      <c r="F1216" s="63"/>
      <c r="G1216" s="69"/>
      <c r="H1216" s="69"/>
      <c r="I1216" s="69"/>
      <c r="J1216" s="69"/>
      <c r="K1216" s="69"/>
      <c r="L1216" s="69"/>
      <c r="M1216" s="69"/>
      <c r="N1216" s="69"/>
      <c r="O1216" s="69"/>
      <c r="P1216" s="69"/>
      <c r="Q1216" s="69">
        <v>10000</v>
      </c>
      <c r="R1216" s="69"/>
      <c r="S1216" s="69"/>
      <c r="T1216" s="69"/>
      <c r="U1216" s="69"/>
      <c r="V1216" s="69"/>
      <c r="W1216" s="69"/>
      <c r="X1216" s="69"/>
      <c r="Y1216" s="69"/>
      <c r="Z1216" s="69"/>
      <c r="AA1216" s="69"/>
      <c r="AB1216" s="69"/>
      <c r="AC1216" s="69"/>
      <c r="AD1216" s="69"/>
      <c r="AE1216" s="69"/>
      <c r="AF1216" s="69"/>
      <c r="AG1216" s="69">
        <v>555</v>
      </c>
      <c r="AH1216" s="69"/>
      <c r="AI1216" s="69"/>
      <c r="AJ1216" s="69"/>
      <c r="AK1216" s="69"/>
      <c r="AL1216" s="69"/>
      <c r="AM1216" s="69"/>
      <c r="AN1216" s="69"/>
      <c r="AO1216" s="69"/>
      <c r="AP1216" s="69">
        <v>3665.67</v>
      </c>
      <c r="AQ1216" s="69"/>
      <c r="AR1216" s="94">
        <f t="shared" si="26"/>
        <v>14220.67</v>
      </c>
      <c r="AS1216" s="69"/>
      <c r="AT1216" s="69"/>
      <c r="AU1216" s="69"/>
      <c r="AV1216" s="69"/>
      <c r="AW1216" s="69"/>
      <c r="AX1216" s="69"/>
      <c r="AY1216" s="69"/>
      <c r="AZ1216" s="69"/>
      <c r="BA1216" s="69"/>
      <c r="BB1216" s="69"/>
      <c r="BC1216" s="69"/>
      <c r="BD1216" s="69">
        <f>3665.67+555</f>
        <v>4220.67</v>
      </c>
      <c r="BE1216" s="69"/>
      <c r="BF1216" s="69"/>
      <c r="BG1216" s="69"/>
      <c r="BH1216" s="69"/>
      <c r="BI1216" s="69"/>
      <c r="BJ1216" s="69"/>
      <c r="BK1216" s="69"/>
      <c r="BL1216" s="69"/>
      <c r="BM1216" s="69"/>
      <c r="BN1216" s="69"/>
      <c r="BO1216" s="69"/>
      <c r="BP1216" s="69"/>
      <c r="BQ1216" s="69">
        <v>10000</v>
      </c>
      <c r="BR1216" s="69"/>
      <c r="BS1216" s="69"/>
      <c r="BT1216" s="69"/>
      <c r="BU1216" s="69"/>
      <c r="BV1216" s="69"/>
      <c r="BW1216" s="69"/>
      <c r="BX1216" s="69"/>
      <c r="BY1216" s="69"/>
      <c r="BZ1216" s="69"/>
      <c r="CA1216" s="69"/>
      <c r="CB1216" s="69"/>
      <c r="CC1216" s="69"/>
      <c r="CD1216" s="69"/>
      <c r="CE1216" s="94">
        <f t="shared" si="124"/>
        <v>14220.67</v>
      </c>
      <c r="CF1216" s="151">
        <f t="shared" si="125"/>
        <v>0</v>
      </c>
      <c r="CG1216" s="75">
        <f t="shared" si="122"/>
        <v>171</v>
      </c>
      <c r="CH1216" s="69">
        <f t="shared" si="122"/>
        <v>0</v>
      </c>
    </row>
    <row r="1217" spans="1:92" x14ac:dyDescent="0.25">
      <c r="A1217" s="148"/>
      <c r="B1217" s="70"/>
      <c r="C1217" s="149">
        <v>172</v>
      </c>
      <c r="D1217" s="166"/>
      <c r="E1217" s="69" t="s">
        <v>3488</v>
      </c>
      <c r="F1217" s="63"/>
      <c r="G1217" s="69"/>
      <c r="H1217" s="69"/>
      <c r="I1217" s="69"/>
      <c r="J1217" s="69"/>
      <c r="K1217" s="69"/>
      <c r="L1217" s="69"/>
      <c r="M1217" s="69"/>
      <c r="N1217" s="69"/>
      <c r="O1217" s="69"/>
      <c r="P1217" s="69"/>
      <c r="Q1217" s="69"/>
      <c r="R1217" s="69"/>
      <c r="S1217" s="69"/>
      <c r="T1217" s="69"/>
      <c r="U1217" s="69"/>
      <c r="V1217" s="69"/>
      <c r="W1217" s="69"/>
      <c r="X1217" s="69"/>
      <c r="Y1217" s="69"/>
      <c r="Z1217" s="69"/>
      <c r="AA1217" s="69"/>
      <c r="AB1217" s="69"/>
      <c r="AC1217" s="69">
        <v>250000</v>
      </c>
      <c r="AD1217" s="69"/>
      <c r="AE1217" s="69"/>
      <c r="AF1217" s="69"/>
      <c r="AG1217" s="69"/>
      <c r="AH1217" s="69"/>
      <c r="AI1217" s="69"/>
      <c r="AJ1217" s="69"/>
      <c r="AK1217" s="69"/>
      <c r="AL1217" s="69"/>
      <c r="AM1217" s="69"/>
      <c r="AN1217" s="69"/>
      <c r="AO1217" s="69"/>
      <c r="AP1217" s="69"/>
      <c r="AQ1217" s="69"/>
      <c r="AR1217" s="94">
        <f t="shared" si="26"/>
        <v>250000</v>
      </c>
      <c r="AS1217" s="69"/>
      <c r="AT1217" s="69"/>
      <c r="AU1217" s="69"/>
      <c r="AV1217" s="69"/>
      <c r="AW1217" s="69"/>
      <c r="AX1217" s="69"/>
      <c r="AY1217" s="69"/>
      <c r="AZ1217" s="69"/>
      <c r="BA1217" s="69"/>
      <c r="BB1217" s="69"/>
      <c r="BC1217" s="69"/>
      <c r="BD1217" s="69"/>
      <c r="BE1217" s="69"/>
      <c r="BF1217" s="69"/>
      <c r="BG1217" s="69"/>
      <c r="BH1217" s="69"/>
      <c r="BI1217" s="69"/>
      <c r="BJ1217" s="69"/>
      <c r="BK1217" s="69"/>
      <c r="BL1217" s="69"/>
      <c r="BM1217" s="69"/>
      <c r="BN1217" s="69"/>
      <c r="BO1217" s="69"/>
      <c r="BP1217" s="69"/>
      <c r="BQ1217" s="69"/>
      <c r="BR1217" s="69">
        <v>250000</v>
      </c>
      <c r="BS1217" s="69"/>
      <c r="BT1217" s="69"/>
      <c r="BU1217" s="69"/>
      <c r="BV1217" s="69"/>
      <c r="BW1217" s="69"/>
      <c r="BX1217" s="69"/>
      <c r="BY1217" s="69"/>
      <c r="BZ1217" s="69"/>
      <c r="CA1217" s="69"/>
      <c r="CB1217" s="69"/>
      <c r="CC1217" s="69"/>
      <c r="CD1217" s="69"/>
      <c r="CE1217" s="94">
        <f t="shared" si="124"/>
        <v>250000</v>
      </c>
      <c r="CF1217" s="151">
        <f t="shared" si="125"/>
        <v>0</v>
      </c>
      <c r="CG1217" s="75">
        <f t="shared" si="122"/>
        <v>172</v>
      </c>
      <c r="CH1217" s="69">
        <f t="shared" si="122"/>
        <v>0</v>
      </c>
    </row>
    <row r="1218" spans="1:92" x14ac:dyDescent="0.25">
      <c r="A1218" s="148"/>
      <c r="B1218" s="70"/>
      <c r="C1218" s="149">
        <v>173</v>
      </c>
      <c r="D1218" s="166"/>
      <c r="E1218" s="69" t="s">
        <v>3489</v>
      </c>
      <c r="F1218" s="63"/>
      <c r="G1218" s="69"/>
      <c r="H1218" s="69"/>
      <c r="I1218" s="69"/>
      <c r="J1218" s="69"/>
      <c r="K1218" s="69"/>
      <c r="L1218" s="69"/>
      <c r="M1218" s="69"/>
      <c r="N1218" s="69"/>
      <c r="O1218" s="69"/>
      <c r="P1218" s="69"/>
      <c r="Q1218" s="69"/>
      <c r="R1218" s="69"/>
      <c r="S1218" s="69"/>
      <c r="T1218" s="69"/>
      <c r="U1218" s="69"/>
      <c r="V1218" s="69"/>
      <c r="W1218" s="69"/>
      <c r="X1218" s="69"/>
      <c r="Y1218" s="69"/>
      <c r="Z1218" s="69"/>
      <c r="AA1218" s="69"/>
      <c r="AB1218" s="69"/>
      <c r="AC1218" s="69">
        <v>265191.27</v>
      </c>
      <c r="AD1218" s="69"/>
      <c r="AE1218" s="69"/>
      <c r="AF1218" s="69"/>
      <c r="AG1218" s="69"/>
      <c r="AH1218" s="69"/>
      <c r="AI1218" s="69"/>
      <c r="AJ1218" s="69"/>
      <c r="AK1218" s="69"/>
      <c r="AL1218" s="69"/>
      <c r="AM1218" s="69"/>
      <c r="AN1218" s="69"/>
      <c r="AO1218" s="69"/>
      <c r="AP1218" s="69"/>
      <c r="AQ1218" s="69"/>
      <c r="AR1218" s="94">
        <f t="shared" ref="AR1218:AR1271" si="127">SUM(G1218:AQ1218)</f>
        <v>265191.27</v>
      </c>
      <c r="AS1218" s="69"/>
      <c r="AT1218" s="69"/>
      <c r="AU1218" s="69"/>
      <c r="AV1218" s="69"/>
      <c r="AW1218" s="69"/>
      <c r="AX1218" s="69"/>
      <c r="AY1218" s="69"/>
      <c r="AZ1218" s="69"/>
      <c r="BA1218" s="69"/>
      <c r="BB1218" s="69"/>
      <c r="BC1218" s="69"/>
      <c r="BD1218" s="69"/>
      <c r="BE1218" s="69"/>
      <c r="BF1218" s="69"/>
      <c r="BG1218" s="69"/>
      <c r="BH1218" s="69"/>
      <c r="BI1218" s="69"/>
      <c r="BJ1218" s="69"/>
      <c r="BK1218" s="69"/>
      <c r="BL1218" s="69"/>
      <c r="BM1218" s="69"/>
      <c r="BN1218" s="69"/>
      <c r="BO1218" s="69"/>
      <c r="BP1218" s="69"/>
      <c r="BQ1218" s="69"/>
      <c r="BR1218" s="69">
        <v>265191.27</v>
      </c>
      <c r="BS1218" s="69"/>
      <c r="BT1218" s="69"/>
      <c r="BU1218" s="69"/>
      <c r="BV1218" s="69"/>
      <c r="BW1218" s="69"/>
      <c r="BX1218" s="69"/>
      <c r="BY1218" s="69"/>
      <c r="BZ1218" s="69"/>
      <c r="CA1218" s="69"/>
      <c r="CB1218" s="69"/>
      <c r="CC1218" s="69"/>
      <c r="CD1218" s="69"/>
      <c r="CE1218" s="94">
        <f t="shared" si="124"/>
        <v>265191.27</v>
      </c>
      <c r="CF1218" s="151">
        <f t="shared" si="125"/>
        <v>0</v>
      </c>
      <c r="CG1218" s="75">
        <f t="shared" si="122"/>
        <v>173</v>
      </c>
      <c r="CH1218" s="69">
        <f t="shared" si="122"/>
        <v>0</v>
      </c>
    </row>
    <row r="1219" spans="1:92" x14ac:dyDescent="0.25">
      <c r="A1219" s="148"/>
      <c r="B1219" s="70"/>
      <c r="C1219" s="149">
        <v>174</v>
      </c>
      <c r="D1219" s="166"/>
      <c r="E1219" s="69" t="s">
        <v>3489</v>
      </c>
      <c r="F1219" s="63"/>
      <c r="G1219" s="69"/>
      <c r="H1219" s="69"/>
      <c r="I1219" s="69"/>
      <c r="J1219" s="69"/>
      <c r="K1219" s="69"/>
      <c r="L1219" s="69"/>
      <c r="M1219" s="69"/>
      <c r="N1219" s="69"/>
      <c r="O1219" s="69"/>
      <c r="P1219" s="69"/>
      <c r="Q1219" s="69"/>
      <c r="R1219" s="69"/>
      <c r="S1219" s="69"/>
      <c r="T1219" s="69"/>
      <c r="U1219" s="69"/>
      <c r="V1219" s="69"/>
      <c r="W1219" s="69"/>
      <c r="X1219" s="69"/>
      <c r="Y1219" s="69"/>
      <c r="Z1219" s="69"/>
      <c r="AA1219" s="69"/>
      <c r="AB1219" s="69"/>
      <c r="AC1219" s="69">
        <v>9587.39</v>
      </c>
      <c r="AD1219" s="69"/>
      <c r="AE1219" s="69"/>
      <c r="AF1219" s="69"/>
      <c r="AG1219" s="69"/>
      <c r="AH1219" s="69"/>
      <c r="AI1219" s="69"/>
      <c r="AJ1219" s="69"/>
      <c r="AK1219" s="69"/>
      <c r="AL1219" s="69"/>
      <c r="AM1219" s="69"/>
      <c r="AN1219" s="69"/>
      <c r="AO1219" s="69"/>
      <c r="AP1219" s="69"/>
      <c r="AQ1219" s="69"/>
      <c r="AR1219" s="94">
        <f t="shared" si="127"/>
        <v>9587.39</v>
      </c>
      <c r="AS1219" s="69"/>
      <c r="AT1219" s="69"/>
      <c r="AU1219" s="69"/>
      <c r="AV1219" s="69"/>
      <c r="AW1219" s="69"/>
      <c r="AX1219" s="69"/>
      <c r="AY1219" s="69"/>
      <c r="AZ1219" s="69"/>
      <c r="BA1219" s="69"/>
      <c r="BB1219" s="69"/>
      <c r="BC1219" s="69"/>
      <c r="BD1219" s="69"/>
      <c r="BE1219" s="69"/>
      <c r="BF1219" s="69"/>
      <c r="BG1219" s="69"/>
      <c r="BH1219" s="69"/>
      <c r="BI1219" s="69"/>
      <c r="BJ1219" s="69"/>
      <c r="BK1219" s="69"/>
      <c r="BL1219" s="69"/>
      <c r="BM1219" s="69"/>
      <c r="BN1219" s="69"/>
      <c r="BO1219" s="69"/>
      <c r="BP1219" s="69"/>
      <c r="BQ1219" s="69"/>
      <c r="BR1219" s="69">
        <v>9587.39</v>
      </c>
      <c r="BS1219" s="69"/>
      <c r="BT1219" s="69"/>
      <c r="BU1219" s="69"/>
      <c r="BV1219" s="69"/>
      <c r="BW1219" s="69"/>
      <c r="BX1219" s="69"/>
      <c r="BY1219" s="69"/>
      <c r="BZ1219" s="69"/>
      <c r="CA1219" s="69"/>
      <c r="CB1219" s="69"/>
      <c r="CC1219" s="69"/>
      <c r="CD1219" s="69"/>
      <c r="CE1219" s="94">
        <f t="shared" si="124"/>
        <v>9587.39</v>
      </c>
      <c r="CF1219" s="151">
        <f t="shared" si="125"/>
        <v>0</v>
      </c>
      <c r="CG1219" s="75">
        <f t="shared" si="122"/>
        <v>174</v>
      </c>
      <c r="CH1219" s="69">
        <f t="shared" si="122"/>
        <v>0</v>
      </c>
    </row>
    <row r="1220" spans="1:92" x14ac:dyDescent="0.25">
      <c r="A1220" s="148"/>
      <c r="B1220" s="70"/>
      <c r="C1220" s="149">
        <v>175</v>
      </c>
      <c r="D1220" s="166"/>
      <c r="E1220" s="69" t="s">
        <v>3489</v>
      </c>
      <c r="F1220" s="63"/>
      <c r="G1220" s="69"/>
      <c r="H1220" s="69"/>
      <c r="I1220" s="69"/>
      <c r="J1220" s="69"/>
      <c r="K1220" s="69"/>
      <c r="L1220" s="69"/>
      <c r="M1220" s="69"/>
      <c r="N1220" s="69"/>
      <c r="O1220" s="69"/>
      <c r="P1220" s="69"/>
      <c r="Q1220" s="69"/>
      <c r="R1220" s="69"/>
      <c r="S1220" s="69"/>
      <c r="T1220" s="69"/>
      <c r="U1220" s="69"/>
      <c r="V1220" s="69"/>
      <c r="W1220" s="69"/>
      <c r="X1220" s="69"/>
      <c r="Y1220" s="69"/>
      <c r="Z1220" s="69"/>
      <c r="AA1220" s="69"/>
      <c r="AB1220" s="69"/>
      <c r="AC1220" s="69">
        <v>425605.88</v>
      </c>
      <c r="AD1220" s="69"/>
      <c r="AE1220" s="69"/>
      <c r="AF1220" s="69"/>
      <c r="AG1220" s="69"/>
      <c r="AH1220" s="69"/>
      <c r="AI1220" s="69"/>
      <c r="AJ1220" s="69"/>
      <c r="AK1220" s="69"/>
      <c r="AL1220" s="69"/>
      <c r="AM1220" s="69"/>
      <c r="AN1220" s="69"/>
      <c r="AO1220" s="69"/>
      <c r="AP1220" s="69"/>
      <c r="AQ1220" s="69"/>
      <c r="AR1220" s="94">
        <f t="shared" si="127"/>
        <v>425605.88</v>
      </c>
      <c r="AS1220" s="69"/>
      <c r="AT1220" s="69"/>
      <c r="AU1220" s="69"/>
      <c r="AV1220" s="69"/>
      <c r="AW1220" s="69"/>
      <c r="AX1220" s="69"/>
      <c r="AY1220" s="69"/>
      <c r="AZ1220" s="69"/>
      <c r="BA1220" s="69"/>
      <c r="BB1220" s="69"/>
      <c r="BC1220" s="69"/>
      <c r="BD1220" s="69"/>
      <c r="BE1220" s="69"/>
      <c r="BF1220" s="69"/>
      <c r="BG1220" s="69"/>
      <c r="BH1220" s="69"/>
      <c r="BI1220" s="69"/>
      <c r="BJ1220" s="69"/>
      <c r="BK1220" s="69"/>
      <c r="BL1220" s="69"/>
      <c r="BM1220" s="69"/>
      <c r="BN1220" s="69"/>
      <c r="BO1220" s="69"/>
      <c r="BP1220" s="69"/>
      <c r="BQ1220" s="69"/>
      <c r="BR1220" s="69">
        <v>425605.88</v>
      </c>
      <c r="BS1220" s="69"/>
      <c r="BT1220" s="69"/>
      <c r="BU1220" s="69"/>
      <c r="BV1220" s="69"/>
      <c r="BW1220" s="69"/>
      <c r="BX1220" s="69"/>
      <c r="BY1220" s="69"/>
      <c r="BZ1220" s="69"/>
      <c r="CA1220" s="69"/>
      <c r="CB1220" s="69"/>
      <c r="CC1220" s="69"/>
      <c r="CD1220" s="69"/>
      <c r="CE1220" s="94">
        <f t="shared" si="124"/>
        <v>425605.88</v>
      </c>
      <c r="CF1220" s="151">
        <f t="shared" si="125"/>
        <v>0</v>
      </c>
      <c r="CG1220" s="75">
        <f t="shared" si="122"/>
        <v>175</v>
      </c>
      <c r="CH1220" s="69">
        <f t="shared" si="122"/>
        <v>0</v>
      </c>
    </row>
    <row r="1221" spans="1:92" x14ac:dyDescent="0.25">
      <c r="A1221" s="148"/>
      <c r="B1221" s="70"/>
      <c r="C1221" s="149">
        <v>176</v>
      </c>
      <c r="D1221" s="166"/>
      <c r="E1221" s="69" t="s">
        <v>3489</v>
      </c>
      <c r="F1221" s="63"/>
      <c r="G1221" s="69"/>
      <c r="H1221" s="69"/>
      <c r="I1221" s="69"/>
      <c r="J1221" s="69"/>
      <c r="K1221" s="69"/>
      <c r="L1221" s="69"/>
      <c r="M1221" s="69"/>
      <c r="N1221" s="69"/>
      <c r="O1221" s="69"/>
      <c r="P1221" s="69"/>
      <c r="Q1221" s="69"/>
      <c r="R1221" s="69"/>
      <c r="S1221" s="69"/>
      <c r="T1221" s="69"/>
      <c r="U1221" s="69"/>
      <c r="V1221" s="69"/>
      <c r="W1221" s="69"/>
      <c r="X1221" s="69"/>
      <c r="Y1221" s="69"/>
      <c r="Z1221" s="69"/>
      <c r="AA1221" s="69"/>
      <c r="AB1221" s="69"/>
      <c r="AC1221" s="69">
        <v>70563</v>
      </c>
      <c r="AD1221" s="69"/>
      <c r="AE1221" s="69"/>
      <c r="AF1221" s="69"/>
      <c r="AG1221" s="69"/>
      <c r="AH1221" s="69"/>
      <c r="AI1221" s="69"/>
      <c r="AJ1221" s="69"/>
      <c r="AK1221" s="69"/>
      <c r="AL1221" s="69"/>
      <c r="AM1221" s="69"/>
      <c r="AN1221" s="69"/>
      <c r="AO1221" s="69"/>
      <c r="AP1221" s="69"/>
      <c r="AQ1221" s="69"/>
      <c r="AR1221" s="94">
        <f t="shared" si="127"/>
        <v>70563</v>
      </c>
      <c r="AS1221" s="69"/>
      <c r="AT1221" s="69"/>
      <c r="AU1221" s="69"/>
      <c r="AV1221" s="69"/>
      <c r="AW1221" s="69"/>
      <c r="AX1221" s="69"/>
      <c r="AY1221" s="69"/>
      <c r="AZ1221" s="69"/>
      <c r="BA1221" s="69"/>
      <c r="BB1221" s="69"/>
      <c r="BC1221" s="69"/>
      <c r="BD1221" s="69"/>
      <c r="BE1221" s="69"/>
      <c r="BF1221" s="69"/>
      <c r="BG1221" s="69"/>
      <c r="BH1221" s="69"/>
      <c r="BI1221" s="69"/>
      <c r="BJ1221" s="69"/>
      <c r="BK1221" s="69"/>
      <c r="BL1221" s="69"/>
      <c r="BM1221" s="69"/>
      <c r="BN1221" s="69"/>
      <c r="BO1221" s="69"/>
      <c r="BP1221" s="69"/>
      <c r="BQ1221" s="69"/>
      <c r="BR1221" s="69">
        <v>70563</v>
      </c>
      <c r="BS1221" s="69"/>
      <c r="BT1221" s="69"/>
      <c r="BU1221" s="69"/>
      <c r="BV1221" s="69"/>
      <c r="BW1221" s="69"/>
      <c r="BX1221" s="69"/>
      <c r="BY1221" s="69"/>
      <c r="BZ1221" s="69"/>
      <c r="CA1221" s="69"/>
      <c r="CB1221" s="69"/>
      <c r="CC1221" s="69"/>
      <c r="CD1221" s="69"/>
      <c r="CE1221" s="94">
        <f t="shared" si="124"/>
        <v>70563</v>
      </c>
      <c r="CF1221" s="151">
        <f t="shared" si="125"/>
        <v>0</v>
      </c>
      <c r="CG1221" s="75">
        <f t="shared" si="122"/>
        <v>176</v>
      </c>
      <c r="CH1221" s="69">
        <f t="shared" si="122"/>
        <v>0</v>
      </c>
    </row>
    <row r="1222" spans="1:92" x14ac:dyDescent="0.25">
      <c r="A1222" s="148"/>
      <c r="B1222" s="70"/>
      <c r="C1222" s="149">
        <v>177</v>
      </c>
      <c r="D1222" s="166"/>
      <c r="E1222" s="69" t="s">
        <v>3489</v>
      </c>
      <c r="F1222" s="63"/>
      <c r="G1222" s="69"/>
      <c r="H1222" s="69"/>
      <c r="I1222" s="69"/>
      <c r="J1222" s="69"/>
      <c r="K1222" s="69"/>
      <c r="L1222" s="69"/>
      <c r="M1222" s="69"/>
      <c r="N1222" s="69"/>
      <c r="O1222" s="69"/>
      <c r="P1222" s="69"/>
      <c r="Q1222" s="69"/>
      <c r="R1222" s="69"/>
      <c r="S1222" s="69"/>
      <c r="T1222" s="69"/>
      <c r="U1222" s="69"/>
      <c r="V1222" s="69"/>
      <c r="W1222" s="69"/>
      <c r="X1222" s="69"/>
      <c r="Y1222" s="69"/>
      <c r="Z1222" s="69"/>
      <c r="AA1222" s="69"/>
      <c r="AB1222" s="69"/>
      <c r="AC1222" s="69">
        <v>22210.53</v>
      </c>
      <c r="AD1222" s="69"/>
      <c r="AE1222" s="69"/>
      <c r="AF1222" s="69"/>
      <c r="AG1222" s="69"/>
      <c r="AH1222" s="69"/>
      <c r="AI1222" s="69"/>
      <c r="AJ1222" s="69"/>
      <c r="AK1222" s="69"/>
      <c r="AL1222" s="69"/>
      <c r="AM1222" s="69"/>
      <c r="AN1222" s="69"/>
      <c r="AO1222" s="69"/>
      <c r="AP1222" s="69"/>
      <c r="AQ1222" s="69"/>
      <c r="AR1222" s="94">
        <f t="shared" si="127"/>
        <v>22210.53</v>
      </c>
      <c r="AS1222" s="69"/>
      <c r="AT1222" s="69"/>
      <c r="AU1222" s="69"/>
      <c r="AV1222" s="69"/>
      <c r="AW1222" s="69"/>
      <c r="AX1222" s="69"/>
      <c r="AY1222" s="69"/>
      <c r="AZ1222" s="69"/>
      <c r="BA1222" s="69"/>
      <c r="BB1222" s="69"/>
      <c r="BC1222" s="69"/>
      <c r="BD1222" s="69"/>
      <c r="BE1222" s="69"/>
      <c r="BF1222" s="69"/>
      <c r="BG1222" s="69"/>
      <c r="BH1222" s="69"/>
      <c r="BI1222" s="69"/>
      <c r="BJ1222" s="69"/>
      <c r="BK1222" s="69"/>
      <c r="BL1222" s="69"/>
      <c r="BM1222" s="69"/>
      <c r="BN1222" s="69"/>
      <c r="BO1222" s="69"/>
      <c r="BP1222" s="69"/>
      <c r="BQ1222" s="69"/>
      <c r="BR1222" s="69">
        <v>22210.53</v>
      </c>
      <c r="BS1222" s="69"/>
      <c r="BT1222" s="69"/>
      <c r="BU1222" s="69"/>
      <c r="BV1222" s="69"/>
      <c r="BW1222" s="69"/>
      <c r="BX1222" s="69"/>
      <c r="BY1222" s="69"/>
      <c r="BZ1222" s="69"/>
      <c r="CA1222" s="69"/>
      <c r="CB1222" s="69"/>
      <c r="CC1222" s="69"/>
      <c r="CD1222" s="69"/>
      <c r="CE1222" s="94">
        <f t="shared" si="124"/>
        <v>22210.53</v>
      </c>
      <c r="CF1222" s="151">
        <f t="shared" si="125"/>
        <v>0</v>
      </c>
      <c r="CG1222" s="75">
        <f t="shared" si="122"/>
        <v>177</v>
      </c>
      <c r="CH1222" s="69">
        <f t="shared" si="122"/>
        <v>0</v>
      </c>
    </row>
    <row r="1223" spans="1:92" x14ac:dyDescent="0.25">
      <c r="A1223" s="148"/>
      <c r="B1223" s="70"/>
      <c r="C1223" s="149">
        <v>178</v>
      </c>
      <c r="D1223" s="166"/>
      <c r="E1223" s="69" t="s">
        <v>3489</v>
      </c>
      <c r="F1223" s="63"/>
      <c r="G1223" s="69"/>
      <c r="H1223" s="69"/>
      <c r="I1223" s="69"/>
      <c r="J1223" s="69"/>
      <c r="K1223" s="69"/>
      <c r="L1223" s="69"/>
      <c r="M1223" s="69"/>
      <c r="N1223" s="69"/>
      <c r="O1223" s="69"/>
      <c r="P1223" s="69"/>
      <c r="Q1223" s="69"/>
      <c r="R1223" s="69"/>
      <c r="S1223" s="69"/>
      <c r="T1223" s="69"/>
      <c r="U1223" s="69"/>
      <c r="V1223" s="69"/>
      <c r="W1223" s="69"/>
      <c r="X1223" s="69"/>
      <c r="Y1223" s="69"/>
      <c r="Z1223" s="69"/>
      <c r="AA1223" s="69"/>
      <c r="AB1223" s="69"/>
      <c r="AC1223" s="69">
        <v>212172.71</v>
      </c>
      <c r="AD1223" s="69"/>
      <c r="AE1223" s="69"/>
      <c r="AF1223" s="69"/>
      <c r="AG1223" s="69"/>
      <c r="AH1223" s="69"/>
      <c r="AI1223" s="69"/>
      <c r="AJ1223" s="69"/>
      <c r="AK1223" s="69"/>
      <c r="AL1223" s="69"/>
      <c r="AM1223" s="69"/>
      <c r="AN1223" s="69"/>
      <c r="AO1223" s="69"/>
      <c r="AP1223" s="69"/>
      <c r="AQ1223" s="69"/>
      <c r="AR1223" s="94">
        <f t="shared" si="127"/>
        <v>212172.71</v>
      </c>
      <c r="AS1223" s="69"/>
      <c r="AT1223" s="69"/>
      <c r="AU1223" s="69"/>
      <c r="AV1223" s="69"/>
      <c r="AW1223" s="69"/>
      <c r="AX1223" s="69"/>
      <c r="AY1223" s="69"/>
      <c r="AZ1223" s="69"/>
      <c r="BA1223" s="69"/>
      <c r="BB1223" s="69"/>
      <c r="BC1223" s="69"/>
      <c r="BD1223" s="69"/>
      <c r="BE1223" s="69"/>
      <c r="BF1223" s="69"/>
      <c r="BG1223" s="69"/>
      <c r="BH1223" s="69"/>
      <c r="BI1223" s="69"/>
      <c r="BJ1223" s="69"/>
      <c r="BK1223" s="69"/>
      <c r="BL1223" s="69"/>
      <c r="BM1223" s="69"/>
      <c r="BN1223" s="69"/>
      <c r="BO1223" s="69"/>
      <c r="BP1223" s="69"/>
      <c r="BQ1223" s="69"/>
      <c r="BR1223" s="69">
        <v>212172.71</v>
      </c>
      <c r="BS1223" s="69"/>
      <c r="BT1223" s="69"/>
      <c r="BU1223" s="69"/>
      <c r="BV1223" s="69"/>
      <c r="BW1223" s="69"/>
      <c r="BX1223" s="69"/>
      <c r="BY1223" s="69"/>
      <c r="BZ1223" s="69"/>
      <c r="CA1223" s="69"/>
      <c r="CB1223" s="69"/>
      <c r="CC1223" s="69"/>
      <c r="CD1223" s="69"/>
      <c r="CE1223" s="94">
        <f t="shared" si="124"/>
        <v>212172.71</v>
      </c>
      <c r="CF1223" s="151">
        <f t="shared" si="125"/>
        <v>0</v>
      </c>
      <c r="CG1223" s="75">
        <f t="shared" si="122"/>
        <v>178</v>
      </c>
      <c r="CH1223" s="69">
        <f t="shared" si="122"/>
        <v>0</v>
      </c>
    </row>
    <row r="1224" spans="1:92" x14ac:dyDescent="0.25">
      <c r="A1224" s="148"/>
      <c r="B1224" s="70"/>
      <c r="C1224" s="149">
        <v>179</v>
      </c>
      <c r="D1224" s="166" t="s">
        <v>325</v>
      </c>
      <c r="E1224" s="69" t="s">
        <v>3490</v>
      </c>
      <c r="F1224" s="63"/>
      <c r="G1224" s="69">
        <v>13250</v>
      </c>
      <c r="H1224" s="69"/>
      <c r="I1224" s="69"/>
      <c r="J1224" s="69"/>
      <c r="K1224" s="69"/>
      <c r="L1224" s="69"/>
      <c r="M1224" s="69"/>
      <c r="N1224" s="69"/>
      <c r="O1224" s="69"/>
      <c r="P1224" s="69"/>
      <c r="Q1224" s="69"/>
      <c r="R1224" s="69"/>
      <c r="S1224" s="69"/>
      <c r="T1224" s="69"/>
      <c r="U1224" s="69"/>
      <c r="V1224" s="69"/>
      <c r="W1224" s="69"/>
      <c r="X1224" s="69"/>
      <c r="Y1224" s="69"/>
      <c r="Z1224" s="69"/>
      <c r="AA1224" s="69"/>
      <c r="AB1224" s="69"/>
      <c r="AC1224" s="69"/>
      <c r="AD1224" s="69"/>
      <c r="AE1224" s="69"/>
      <c r="AF1224" s="69"/>
      <c r="AG1224" s="69"/>
      <c r="AH1224" s="69"/>
      <c r="AI1224" s="69"/>
      <c r="AJ1224" s="69"/>
      <c r="AK1224" s="69"/>
      <c r="AL1224" s="69"/>
      <c r="AM1224" s="69"/>
      <c r="AN1224" s="69"/>
      <c r="AO1224" s="69"/>
      <c r="AP1224" s="69"/>
      <c r="AQ1224" s="69"/>
      <c r="AR1224" s="94">
        <f t="shared" si="127"/>
        <v>13250</v>
      </c>
      <c r="AS1224" s="69"/>
      <c r="AT1224" s="69"/>
      <c r="AU1224" s="69"/>
      <c r="AV1224" s="69"/>
      <c r="AW1224" s="69"/>
      <c r="AX1224" s="69"/>
      <c r="AY1224" s="69"/>
      <c r="AZ1224" s="69"/>
      <c r="BA1224" s="69"/>
      <c r="BB1224" s="69"/>
      <c r="BC1224" s="69"/>
      <c r="BD1224" s="69"/>
      <c r="BE1224" s="69"/>
      <c r="BF1224" s="69"/>
      <c r="BG1224" s="69"/>
      <c r="BH1224" s="69"/>
      <c r="BI1224" s="69"/>
      <c r="BJ1224" s="69"/>
      <c r="BK1224" s="69"/>
      <c r="BL1224" s="69"/>
      <c r="BM1224" s="69"/>
      <c r="BN1224" s="69"/>
      <c r="BO1224" s="69"/>
      <c r="BP1224" s="69"/>
      <c r="BQ1224" s="69"/>
      <c r="BR1224" s="69"/>
      <c r="BS1224" s="69"/>
      <c r="BT1224" s="69"/>
      <c r="BU1224" s="69"/>
      <c r="BV1224" s="69"/>
      <c r="BW1224" s="69"/>
      <c r="BX1224" s="69"/>
      <c r="BY1224" s="69"/>
      <c r="BZ1224" s="69"/>
      <c r="CA1224" s="69"/>
      <c r="CB1224" s="69"/>
      <c r="CC1224" s="69"/>
      <c r="CD1224" s="69">
        <v>13250</v>
      </c>
      <c r="CE1224" s="94">
        <f t="shared" si="124"/>
        <v>13250</v>
      </c>
      <c r="CF1224" s="151">
        <f t="shared" si="125"/>
        <v>0</v>
      </c>
      <c r="CG1224" s="75">
        <f t="shared" si="122"/>
        <v>179</v>
      </c>
      <c r="CH1224" s="69" t="str">
        <f t="shared" si="122"/>
        <v xml:space="preserve">برنامج دولى </v>
      </c>
    </row>
    <row r="1225" spans="1:92" x14ac:dyDescent="0.25">
      <c r="A1225" s="148"/>
      <c r="B1225" s="70"/>
      <c r="C1225" s="149">
        <v>180</v>
      </c>
      <c r="D1225" s="166"/>
      <c r="E1225" s="69" t="s">
        <v>3491</v>
      </c>
      <c r="F1225" s="63"/>
      <c r="G1225" s="69"/>
      <c r="H1225" s="69"/>
      <c r="I1225" s="69"/>
      <c r="J1225" s="69"/>
      <c r="K1225" s="69"/>
      <c r="L1225" s="69"/>
      <c r="M1225" s="69"/>
      <c r="N1225" s="69"/>
      <c r="O1225" s="69"/>
      <c r="P1225" s="69"/>
      <c r="Q1225" s="69">
        <v>11250</v>
      </c>
      <c r="R1225" s="69"/>
      <c r="S1225" s="69"/>
      <c r="T1225" s="69"/>
      <c r="U1225" s="69"/>
      <c r="V1225" s="69"/>
      <c r="W1225" s="69"/>
      <c r="X1225" s="69"/>
      <c r="Y1225" s="69"/>
      <c r="Z1225" s="69"/>
      <c r="AA1225" s="69"/>
      <c r="AB1225" s="69"/>
      <c r="AC1225" s="69"/>
      <c r="AD1225" s="69"/>
      <c r="AE1225" s="69"/>
      <c r="AF1225" s="69"/>
      <c r="AG1225" s="69"/>
      <c r="AH1225" s="69"/>
      <c r="AI1225" s="69"/>
      <c r="AJ1225" s="69"/>
      <c r="AK1225" s="69"/>
      <c r="AL1225" s="69"/>
      <c r="AM1225" s="69"/>
      <c r="AN1225" s="69"/>
      <c r="AO1225" s="69"/>
      <c r="AP1225" s="69"/>
      <c r="AQ1225" s="69"/>
      <c r="AR1225" s="94">
        <f>SUM(G1225:AQ1225)</f>
        <v>11250</v>
      </c>
      <c r="AS1225" s="69"/>
      <c r="AT1225" s="69"/>
      <c r="AU1225" s="69"/>
      <c r="AV1225" s="69"/>
      <c r="AW1225" s="69"/>
      <c r="AX1225" s="69"/>
      <c r="AY1225" s="69"/>
      <c r="AZ1225" s="69"/>
      <c r="BA1225" s="69"/>
      <c r="BB1225" s="69"/>
      <c r="BC1225" s="69"/>
      <c r="BD1225" s="69"/>
      <c r="BE1225" s="69"/>
      <c r="BF1225" s="69"/>
      <c r="BG1225" s="69"/>
      <c r="BH1225" s="69"/>
      <c r="BI1225" s="69"/>
      <c r="BJ1225" s="69"/>
      <c r="BK1225" s="69"/>
      <c r="BL1225" s="69"/>
      <c r="BM1225" s="69"/>
      <c r="BN1225" s="69"/>
      <c r="BO1225" s="69"/>
      <c r="BP1225" s="69"/>
      <c r="BQ1225" s="69">
        <v>11250</v>
      </c>
      <c r="BR1225" s="69"/>
      <c r="BS1225" s="69"/>
      <c r="BT1225" s="69"/>
      <c r="BU1225" s="69"/>
      <c r="BV1225" s="69"/>
      <c r="BW1225" s="69"/>
      <c r="BX1225" s="69"/>
      <c r="BY1225" s="69"/>
      <c r="BZ1225" s="69"/>
      <c r="CA1225" s="69"/>
      <c r="CB1225" s="69"/>
      <c r="CC1225" s="69"/>
      <c r="CD1225" s="69"/>
      <c r="CE1225" s="94">
        <f>SUM(AS1225:CD1225)</f>
        <v>11250</v>
      </c>
      <c r="CF1225" s="151">
        <f>+CE1225-AR1225</f>
        <v>0</v>
      </c>
      <c r="CG1225" s="75">
        <f>+C1225</f>
        <v>180</v>
      </c>
      <c r="CH1225" s="69">
        <f>+D1225</f>
        <v>0</v>
      </c>
    </row>
    <row r="1226" spans="1:92" s="156" customFormat="1" x14ac:dyDescent="0.25">
      <c r="A1226" s="153"/>
      <c r="B1226" s="84"/>
      <c r="C1226" s="154"/>
      <c r="D1226" s="167"/>
      <c r="E1226" s="68" t="s">
        <v>3492</v>
      </c>
      <c r="F1226" s="68"/>
      <c r="G1226" s="68">
        <f>SUM(G1212:G1225)</f>
        <v>14750.51</v>
      </c>
      <c r="H1226" s="68">
        <f t="shared" ref="H1226:BS1226" si="128">SUM(H1212:H1225)</f>
        <v>0</v>
      </c>
      <c r="I1226" s="68">
        <f t="shared" si="128"/>
        <v>0</v>
      </c>
      <c r="J1226" s="68">
        <f t="shared" si="128"/>
        <v>0</v>
      </c>
      <c r="K1226" s="68">
        <f t="shared" si="128"/>
        <v>0</v>
      </c>
      <c r="L1226" s="68">
        <f t="shared" si="128"/>
        <v>0</v>
      </c>
      <c r="M1226" s="68">
        <f t="shared" si="128"/>
        <v>0</v>
      </c>
      <c r="N1226" s="68">
        <f t="shared" si="128"/>
        <v>0</v>
      </c>
      <c r="O1226" s="68">
        <f t="shared" si="128"/>
        <v>0</v>
      </c>
      <c r="P1226" s="68">
        <f t="shared" si="128"/>
        <v>0</v>
      </c>
      <c r="Q1226" s="68">
        <f t="shared" si="128"/>
        <v>29250</v>
      </c>
      <c r="R1226" s="68">
        <f t="shared" si="128"/>
        <v>0</v>
      </c>
      <c r="S1226" s="68">
        <f t="shared" si="128"/>
        <v>0</v>
      </c>
      <c r="T1226" s="68">
        <f t="shared" si="128"/>
        <v>0</v>
      </c>
      <c r="U1226" s="68">
        <f t="shared" si="128"/>
        <v>0</v>
      </c>
      <c r="V1226" s="68">
        <f t="shared" si="128"/>
        <v>0</v>
      </c>
      <c r="W1226" s="68">
        <f t="shared" si="128"/>
        <v>0</v>
      </c>
      <c r="X1226" s="68">
        <f t="shared" si="128"/>
        <v>0</v>
      </c>
      <c r="Y1226" s="68">
        <f t="shared" si="128"/>
        <v>0</v>
      </c>
      <c r="Z1226" s="68">
        <f t="shared" si="128"/>
        <v>0</v>
      </c>
      <c r="AA1226" s="68">
        <f t="shared" si="128"/>
        <v>0</v>
      </c>
      <c r="AB1226" s="68">
        <f t="shared" si="128"/>
        <v>0</v>
      </c>
      <c r="AC1226" s="68">
        <f t="shared" si="128"/>
        <v>1255330.78</v>
      </c>
      <c r="AD1226" s="68">
        <f t="shared" si="128"/>
        <v>0</v>
      </c>
      <c r="AE1226" s="68">
        <f t="shared" si="128"/>
        <v>0</v>
      </c>
      <c r="AF1226" s="68">
        <f t="shared" si="128"/>
        <v>0</v>
      </c>
      <c r="AG1226" s="68">
        <f t="shared" si="128"/>
        <v>555</v>
      </c>
      <c r="AH1226" s="68">
        <f t="shared" si="128"/>
        <v>0</v>
      </c>
      <c r="AI1226" s="68">
        <f t="shared" si="128"/>
        <v>0</v>
      </c>
      <c r="AJ1226" s="68">
        <f t="shared" si="128"/>
        <v>0</v>
      </c>
      <c r="AK1226" s="68">
        <f t="shared" si="128"/>
        <v>0</v>
      </c>
      <c r="AL1226" s="68">
        <f t="shared" si="128"/>
        <v>0</v>
      </c>
      <c r="AM1226" s="68">
        <f t="shared" si="128"/>
        <v>0</v>
      </c>
      <c r="AN1226" s="68">
        <f t="shared" si="128"/>
        <v>0</v>
      </c>
      <c r="AO1226" s="68">
        <f t="shared" si="128"/>
        <v>0</v>
      </c>
      <c r="AP1226" s="68">
        <f t="shared" si="128"/>
        <v>3665.67</v>
      </c>
      <c r="AQ1226" s="68">
        <f t="shared" si="128"/>
        <v>0</v>
      </c>
      <c r="AR1226" s="91">
        <f t="shared" si="128"/>
        <v>1303551.96</v>
      </c>
      <c r="AS1226" s="68">
        <f t="shared" si="128"/>
        <v>0</v>
      </c>
      <c r="AT1226" s="68">
        <f t="shared" si="128"/>
        <v>159.36000000000001</v>
      </c>
      <c r="AU1226" s="68">
        <f t="shared" si="128"/>
        <v>0</v>
      </c>
      <c r="AV1226" s="68">
        <f t="shared" si="128"/>
        <v>0</v>
      </c>
      <c r="AW1226" s="68">
        <f t="shared" si="128"/>
        <v>0</v>
      </c>
      <c r="AX1226" s="68">
        <f t="shared" si="128"/>
        <v>0</v>
      </c>
      <c r="AY1226" s="68">
        <f t="shared" si="128"/>
        <v>0</v>
      </c>
      <c r="AZ1226" s="68">
        <f t="shared" si="128"/>
        <v>0</v>
      </c>
      <c r="BA1226" s="68">
        <f t="shared" si="128"/>
        <v>0</v>
      </c>
      <c r="BB1226" s="68">
        <f t="shared" si="128"/>
        <v>0</v>
      </c>
      <c r="BC1226" s="68">
        <f t="shared" si="128"/>
        <v>0</v>
      </c>
      <c r="BD1226" s="68">
        <f t="shared" si="128"/>
        <v>4220.67</v>
      </c>
      <c r="BE1226" s="68">
        <f t="shared" si="128"/>
        <v>0</v>
      </c>
      <c r="BF1226" s="68">
        <f t="shared" si="128"/>
        <v>1341.15</v>
      </c>
      <c r="BG1226" s="68">
        <f t="shared" si="128"/>
        <v>0</v>
      </c>
      <c r="BH1226" s="68">
        <f t="shared" si="128"/>
        <v>0</v>
      </c>
      <c r="BI1226" s="68">
        <f t="shared" si="128"/>
        <v>0</v>
      </c>
      <c r="BJ1226" s="68">
        <f t="shared" si="128"/>
        <v>0</v>
      </c>
      <c r="BK1226" s="68">
        <f t="shared" si="128"/>
        <v>0</v>
      </c>
      <c r="BL1226" s="68">
        <f t="shared" si="128"/>
        <v>0</v>
      </c>
      <c r="BM1226" s="68">
        <f t="shared" si="128"/>
        <v>0</v>
      </c>
      <c r="BN1226" s="68">
        <f t="shared" si="128"/>
        <v>0</v>
      </c>
      <c r="BO1226" s="68">
        <f t="shared" si="128"/>
        <v>0</v>
      </c>
      <c r="BP1226" s="68">
        <f t="shared" si="128"/>
        <v>0</v>
      </c>
      <c r="BQ1226" s="68">
        <f t="shared" si="128"/>
        <v>29250</v>
      </c>
      <c r="BR1226" s="68">
        <f t="shared" si="128"/>
        <v>1255330.78</v>
      </c>
      <c r="BS1226" s="68">
        <f t="shared" si="128"/>
        <v>0</v>
      </c>
      <c r="BT1226" s="68">
        <f t="shared" ref="BT1226:CN1226" si="129">SUM(BT1212:BT1225)</f>
        <v>0</v>
      </c>
      <c r="BU1226" s="68">
        <f t="shared" si="129"/>
        <v>0</v>
      </c>
      <c r="BV1226" s="68">
        <f t="shared" si="129"/>
        <v>0</v>
      </c>
      <c r="BW1226" s="68">
        <f t="shared" si="129"/>
        <v>0</v>
      </c>
      <c r="BX1226" s="68">
        <f t="shared" si="129"/>
        <v>0</v>
      </c>
      <c r="BY1226" s="68">
        <f t="shared" si="129"/>
        <v>0</v>
      </c>
      <c r="BZ1226" s="68">
        <f t="shared" si="129"/>
        <v>0</v>
      </c>
      <c r="CA1226" s="68">
        <f t="shared" si="129"/>
        <v>0</v>
      </c>
      <c r="CB1226" s="68">
        <f t="shared" si="129"/>
        <v>0</v>
      </c>
      <c r="CC1226" s="68">
        <f t="shared" si="129"/>
        <v>0</v>
      </c>
      <c r="CD1226" s="68">
        <f t="shared" si="129"/>
        <v>13250</v>
      </c>
      <c r="CE1226" s="91">
        <f t="shared" si="129"/>
        <v>1303551.96</v>
      </c>
      <c r="CF1226" s="68">
        <f t="shared" si="129"/>
        <v>0</v>
      </c>
      <c r="CG1226" s="68"/>
      <c r="CH1226" s="68">
        <f t="shared" si="129"/>
        <v>0</v>
      </c>
      <c r="CI1226" s="68">
        <f t="shared" si="129"/>
        <v>0</v>
      </c>
      <c r="CJ1226" s="68">
        <f t="shared" si="129"/>
        <v>0</v>
      </c>
      <c r="CK1226" s="68">
        <f t="shared" si="129"/>
        <v>0</v>
      </c>
      <c r="CL1226" s="68">
        <f t="shared" si="129"/>
        <v>0</v>
      </c>
      <c r="CM1226" s="68">
        <f t="shared" si="129"/>
        <v>0</v>
      </c>
      <c r="CN1226" s="68">
        <f t="shared" si="129"/>
        <v>0</v>
      </c>
    </row>
    <row r="1227" spans="1:92" x14ac:dyDescent="0.25">
      <c r="A1227" s="148"/>
      <c r="B1227" s="70"/>
      <c r="C1227" s="149">
        <v>181</v>
      </c>
      <c r="D1227" s="166"/>
      <c r="E1227" s="69" t="s">
        <v>3493</v>
      </c>
      <c r="F1227" s="63"/>
      <c r="G1227" s="69"/>
      <c r="H1227" s="69"/>
      <c r="I1227" s="69"/>
      <c r="J1227" s="69"/>
      <c r="K1227" s="69"/>
      <c r="L1227" s="69"/>
      <c r="M1227" s="69"/>
      <c r="N1227" s="69"/>
      <c r="O1227" s="69"/>
      <c r="P1227" s="69"/>
      <c r="Q1227" s="69">
        <v>6000</v>
      </c>
      <c r="R1227" s="69"/>
      <c r="S1227" s="69"/>
      <c r="T1227" s="69"/>
      <c r="U1227" s="69"/>
      <c r="V1227" s="69"/>
      <c r="W1227" s="69"/>
      <c r="X1227" s="69"/>
      <c r="Y1227" s="69"/>
      <c r="Z1227" s="69"/>
      <c r="AA1227" s="69"/>
      <c r="AB1227" s="69"/>
      <c r="AC1227" s="69"/>
      <c r="AD1227" s="69"/>
      <c r="AE1227" s="69"/>
      <c r="AF1227" s="69"/>
      <c r="AG1227" s="69"/>
      <c r="AH1227" s="69"/>
      <c r="AI1227" s="69"/>
      <c r="AJ1227" s="69"/>
      <c r="AK1227" s="69"/>
      <c r="AL1227" s="69"/>
      <c r="AM1227" s="69"/>
      <c r="AN1227" s="69"/>
      <c r="AO1227" s="69"/>
      <c r="AP1227" s="69"/>
      <c r="AQ1227" s="69"/>
      <c r="AR1227" s="94">
        <f t="shared" si="127"/>
        <v>6000</v>
      </c>
      <c r="AS1227" s="69"/>
      <c r="AT1227" s="69"/>
      <c r="AU1227" s="69"/>
      <c r="AV1227" s="69"/>
      <c r="AW1227" s="69"/>
      <c r="AX1227" s="69"/>
      <c r="AY1227" s="69"/>
      <c r="AZ1227" s="69"/>
      <c r="BA1227" s="69"/>
      <c r="BB1227" s="69"/>
      <c r="BC1227" s="69"/>
      <c r="BD1227" s="69"/>
      <c r="BE1227" s="69"/>
      <c r="BF1227" s="69"/>
      <c r="BG1227" s="69"/>
      <c r="BH1227" s="69"/>
      <c r="BI1227" s="69"/>
      <c r="BJ1227" s="69"/>
      <c r="BK1227" s="69"/>
      <c r="BL1227" s="69"/>
      <c r="BM1227" s="69"/>
      <c r="BN1227" s="69"/>
      <c r="BO1227" s="69"/>
      <c r="BP1227" s="69"/>
      <c r="BQ1227" s="69">
        <v>6000</v>
      </c>
      <c r="BR1227" s="69"/>
      <c r="BS1227" s="69"/>
      <c r="BT1227" s="69"/>
      <c r="BU1227" s="69"/>
      <c r="BV1227" s="69"/>
      <c r="BW1227" s="69"/>
      <c r="BX1227" s="69"/>
      <c r="BY1227" s="69"/>
      <c r="BZ1227" s="69"/>
      <c r="CA1227" s="69"/>
      <c r="CB1227" s="69"/>
      <c r="CC1227" s="69"/>
      <c r="CD1227" s="69"/>
      <c r="CE1227" s="94">
        <f t="shared" si="124"/>
        <v>6000</v>
      </c>
      <c r="CF1227" s="151">
        <f t="shared" si="125"/>
        <v>0</v>
      </c>
      <c r="CG1227" s="75">
        <f t="shared" si="122"/>
        <v>181</v>
      </c>
      <c r="CH1227" s="69">
        <f t="shared" si="122"/>
        <v>0</v>
      </c>
    </row>
    <row r="1228" spans="1:92" x14ac:dyDescent="0.25">
      <c r="A1228" s="148"/>
      <c r="B1228" s="70"/>
      <c r="C1228" s="149">
        <v>182</v>
      </c>
      <c r="D1228" s="166"/>
      <c r="E1228" s="69" t="s">
        <v>3489</v>
      </c>
      <c r="F1228" s="63"/>
      <c r="G1228" s="69"/>
      <c r="H1228" s="69"/>
      <c r="I1228" s="69"/>
      <c r="J1228" s="69"/>
      <c r="K1228" s="69"/>
      <c r="L1228" s="69"/>
      <c r="M1228" s="69"/>
      <c r="N1228" s="69"/>
      <c r="O1228" s="69"/>
      <c r="P1228" s="69"/>
      <c r="Q1228" s="69"/>
      <c r="R1228" s="69"/>
      <c r="S1228" s="69"/>
      <c r="T1228" s="69"/>
      <c r="U1228" s="69"/>
      <c r="V1228" s="69"/>
      <c r="W1228" s="69"/>
      <c r="X1228" s="69"/>
      <c r="Y1228" s="69"/>
      <c r="Z1228" s="69"/>
      <c r="AA1228" s="69"/>
      <c r="AB1228" s="69"/>
      <c r="AC1228" s="69">
        <v>307850</v>
      </c>
      <c r="AD1228" s="69"/>
      <c r="AE1228" s="69"/>
      <c r="AF1228" s="69"/>
      <c r="AG1228" s="69"/>
      <c r="AH1228" s="69"/>
      <c r="AI1228" s="69"/>
      <c r="AJ1228" s="69"/>
      <c r="AK1228" s="69"/>
      <c r="AL1228" s="69"/>
      <c r="AM1228" s="69"/>
      <c r="AN1228" s="69"/>
      <c r="AO1228" s="69"/>
      <c r="AP1228" s="69"/>
      <c r="AQ1228" s="69"/>
      <c r="AR1228" s="94">
        <f t="shared" si="127"/>
        <v>307850</v>
      </c>
      <c r="AS1228" s="69"/>
      <c r="AT1228" s="69"/>
      <c r="AU1228" s="69"/>
      <c r="AV1228" s="69"/>
      <c r="AW1228" s="69"/>
      <c r="AX1228" s="69"/>
      <c r="AY1228" s="69"/>
      <c r="AZ1228" s="69"/>
      <c r="BA1228" s="69"/>
      <c r="BB1228" s="69"/>
      <c r="BC1228" s="69"/>
      <c r="BD1228" s="69"/>
      <c r="BE1228" s="69"/>
      <c r="BF1228" s="69"/>
      <c r="BG1228" s="69"/>
      <c r="BH1228" s="69"/>
      <c r="BI1228" s="69"/>
      <c r="BJ1228" s="69"/>
      <c r="BK1228" s="69"/>
      <c r="BL1228" s="69"/>
      <c r="BM1228" s="69"/>
      <c r="BN1228" s="69"/>
      <c r="BO1228" s="69"/>
      <c r="BP1228" s="69"/>
      <c r="BQ1228" s="69"/>
      <c r="BR1228" s="69">
        <v>307850</v>
      </c>
      <c r="BS1228" s="69"/>
      <c r="BT1228" s="69"/>
      <c r="BU1228" s="69"/>
      <c r="BV1228" s="69"/>
      <c r="BW1228" s="69"/>
      <c r="BX1228" s="69"/>
      <c r="BY1228" s="69"/>
      <c r="BZ1228" s="69"/>
      <c r="CA1228" s="69"/>
      <c r="CB1228" s="69"/>
      <c r="CC1228" s="69"/>
      <c r="CD1228" s="69"/>
      <c r="CE1228" s="94">
        <f t="shared" si="124"/>
        <v>307850</v>
      </c>
      <c r="CF1228" s="151">
        <f t="shared" si="125"/>
        <v>0</v>
      </c>
      <c r="CG1228" s="75">
        <f t="shared" si="122"/>
        <v>182</v>
      </c>
      <c r="CH1228" s="69">
        <f t="shared" si="122"/>
        <v>0</v>
      </c>
    </row>
    <row r="1229" spans="1:92" x14ac:dyDescent="0.25">
      <c r="A1229" s="148"/>
      <c r="B1229" s="70"/>
      <c r="C1229" s="149">
        <v>183</v>
      </c>
      <c r="D1229" s="166" t="s">
        <v>122</v>
      </c>
      <c r="E1229" s="69" t="s">
        <v>3494</v>
      </c>
      <c r="F1229" s="63"/>
      <c r="G1229" s="69"/>
      <c r="H1229" s="69"/>
      <c r="I1229" s="69"/>
      <c r="J1229" s="69"/>
      <c r="K1229" s="69"/>
      <c r="L1229" s="69"/>
      <c r="M1229" s="69"/>
      <c r="N1229" s="69"/>
      <c r="O1229" s="69"/>
      <c r="P1229" s="69"/>
      <c r="Q1229" s="69"/>
      <c r="R1229" s="69"/>
      <c r="S1229" s="69"/>
      <c r="T1229" s="69"/>
      <c r="U1229" s="69"/>
      <c r="V1229" s="69"/>
      <c r="W1229" s="69"/>
      <c r="X1229" s="69"/>
      <c r="Y1229" s="69"/>
      <c r="Z1229" s="69"/>
      <c r="AA1229" s="69"/>
      <c r="AB1229" s="69"/>
      <c r="AC1229" s="69"/>
      <c r="AD1229" s="69"/>
      <c r="AE1229" s="69"/>
      <c r="AF1229" s="69"/>
      <c r="AG1229" s="69"/>
      <c r="AH1229" s="69"/>
      <c r="AI1229" s="69"/>
      <c r="AJ1229" s="69"/>
      <c r="AK1229" s="69"/>
      <c r="AL1229" s="69"/>
      <c r="AM1229" s="69"/>
      <c r="AN1229" s="69"/>
      <c r="AO1229" s="69"/>
      <c r="AP1229" s="69"/>
      <c r="AQ1229" s="69">
        <v>100</v>
      </c>
      <c r="AR1229" s="94">
        <f t="shared" si="127"/>
        <v>100</v>
      </c>
      <c r="AS1229" s="69"/>
      <c r="AT1229" s="69"/>
      <c r="AU1229" s="69"/>
      <c r="AV1229" s="69"/>
      <c r="AW1229" s="69"/>
      <c r="AX1229" s="69"/>
      <c r="AY1229" s="69"/>
      <c r="AZ1229" s="69"/>
      <c r="BA1229" s="69"/>
      <c r="BB1229" s="69"/>
      <c r="BC1229" s="69"/>
      <c r="BD1229" s="69"/>
      <c r="BE1229" s="69"/>
      <c r="BF1229" s="69"/>
      <c r="BG1229" s="69"/>
      <c r="BH1229" s="69"/>
      <c r="BI1229" s="69"/>
      <c r="BJ1229" s="69"/>
      <c r="BK1229" s="69"/>
      <c r="BL1229" s="69"/>
      <c r="BM1229" s="69"/>
      <c r="BN1229" s="69"/>
      <c r="BO1229" s="69"/>
      <c r="BP1229" s="69"/>
      <c r="BQ1229" s="69"/>
      <c r="BR1229" s="69"/>
      <c r="BS1229" s="69"/>
      <c r="BT1229" s="69"/>
      <c r="BU1229" s="69"/>
      <c r="BV1229" s="69"/>
      <c r="BW1229" s="69"/>
      <c r="BX1229" s="69"/>
      <c r="BY1229" s="69"/>
      <c r="BZ1229" s="69"/>
      <c r="CA1229" s="69"/>
      <c r="CB1229" s="69"/>
      <c r="CC1229" s="69"/>
      <c r="CD1229" s="69">
        <v>100</v>
      </c>
      <c r="CE1229" s="94">
        <f t="shared" si="124"/>
        <v>100</v>
      </c>
      <c r="CF1229" s="151">
        <f t="shared" si="125"/>
        <v>0</v>
      </c>
      <c r="CG1229" s="75">
        <f t="shared" si="122"/>
        <v>183</v>
      </c>
      <c r="CH1229" s="69" t="str">
        <f t="shared" si="122"/>
        <v>علاج تخصصى</v>
      </c>
    </row>
    <row r="1230" spans="1:92" x14ac:dyDescent="0.25">
      <c r="A1230" s="148"/>
      <c r="B1230" s="82"/>
      <c r="C1230" s="149">
        <v>184</v>
      </c>
      <c r="D1230" s="166" t="s">
        <v>122</v>
      </c>
      <c r="E1230" s="69" t="s">
        <v>3495</v>
      </c>
      <c r="F1230" s="63"/>
      <c r="G1230" s="69"/>
      <c r="H1230" s="69"/>
      <c r="I1230" s="69"/>
      <c r="J1230" s="69"/>
      <c r="K1230" s="69"/>
      <c r="L1230" s="69"/>
      <c r="M1230" s="69"/>
      <c r="N1230" s="69"/>
      <c r="O1230" s="69"/>
      <c r="P1230" s="69"/>
      <c r="Q1230" s="69"/>
      <c r="R1230" s="69"/>
      <c r="S1230" s="69"/>
      <c r="T1230" s="69"/>
      <c r="U1230" s="69"/>
      <c r="V1230" s="69"/>
      <c r="W1230" s="69"/>
      <c r="X1230" s="69"/>
      <c r="Y1230" s="69"/>
      <c r="Z1230" s="69"/>
      <c r="AA1230" s="69"/>
      <c r="AB1230" s="69"/>
      <c r="AC1230" s="69"/>
      <c r="AD1230" s="69"/>
      <c r="AE1230" s="69"/>
      <c r="AF1230" s="69"/>
      <c r="AG1230" s="69"/>
      <c r="AH1230" s="69"/>
      <c r="AI1230" s="69"/>
      <c r="AJ1230" s="69"/>
      <c r="AK1230" s="69"/>
      <c r="AL1230" s="69"/>
      <c r="AM1230" s="69"/>
      <c r="AN1230" s="69"/>
      <c r="AO1230" s="69"/>
      <c r="AP1230" s="69"/>
      <c r="AQ1230" s="69">
        <v>300</v>
      </c>
      <c r="AR1230" s="94">
        <f t="shared" si="127"/>
        <v>300</v>
      </c>
      <c r="AS1230" s="69"/>
      <c r="AT1230" s="69"/>
      <c r="AU1230" s="69"/>
      <c r="AV1230" s="69"/>
      <c r="AW1230" s="69"/>
      <c r="AX1230" s="69"/>
      <c r="AY1230" s="69"/>
      <c r="AZ1230" s="69"/>
      <c r="BA1230" s="69"/>
      <c r="BB1230" s="69"/>
      <c r="BC1230" s="69"/>
      <c r="BD1230" s="69"/>
      <c r="BE1230" s="69"/>
      <c r="BF1230" s="69"/>
      <c r="BG1230" s="69"/>
      <c r="BH1230" s="69"/>
      <c r="BI1230" s="69"/>
      <c r="BJ1230" s="69"/>
      <c r="BK1230" s="69"/>
      <c r="BL1230" s="69"/>
      <c r="BM1230" s="69"/>
      <c r="BN1230" s="69"/>
      <c r="BO1230" s="69"/>
      <c r="BP1230" s="69"/>
      <c r="BQ1230" s="69"/>
      <c r="BR1230" s="69"/>
      <c r="BS1230" s="69"/>
      <c r="BT1230" s="69"/>
      <c r="BU1230" s="69"/>
      <c r="BV1230" s="69"/>
      <c r="BW1230" s="69"/>
      <c r="BX1230" s="69"/>
      <c r="BY1230" s="69"/>
      <c r="BZ1230" s="69"/>
      <c r="CA1230" s="69"/>
      <c r="CB1230" s="69"/>
      <c r="CC1230" s="69"/>
      <c r="CD1230" s="69">
        <v>300</v>
      </c>
      <c r="CE1230" s="94">
        <f t="shared" si="124"/>
        <v>300</v>
      </c>
      <c r="CF1230" s="151">
        <f t="shared" si="125"/>
        <v>0</v>
      </c>
      <c r="CG1230" s="75">
        <f t="shared" si="122"/>
        <v>184</v>
      </c>
      <c r="CH1230" s="69" t="str">
        <f t="shared" si="122"/>
        <v>علاج تخصصى</v>
      </c>
    </row>
    <row r="1231" spans="1:92" x14ac:dyDescent="0.25">
      <c r="A1231" s="148"/>
      <c r="B1231" s="82"/>
      <c r="C1231" s="149">
        <v>185</v>
      </c>
      <c r="D1231" s="166" t="s">
        <v>122</v>
      </c>
      <c r="E1231" s="69" t="s">
        <v>3496</v>
      </c>
      <c r="F1231" s="63"/>
      <c r="G1231" s="69"/>
      <c r="H1231" s="69"/>
      <c r="I1231" s="69"/>
      <c r="J1231" s="69"/>
      <c r="K1231" s="69"/>
      <c r="L1231" s="69"/>
      <c r="M1231" s="69"/>
      <c r="N1231" s="69"/>
      <c r="O1231" s="69"/>
      <c r="P1231" s="69"/>
      <c r="Q1231" s="69"/>
      <c r="R1231" s="69"/>
      <c r="S1231" s="69"/>
      <c r="T1231" s="69"/>
      <c r="U1231" s="69"/>
      <c r="V1231" s="69"/>
      <c r="W1231" s="69"/>
      <c r="X1231" s="69"/>
      <c r="Y1231" s="69"/>
      <c r="Z1231" s="69"/>
      <c r="AA1231" s="69"/>
      <c r="AB1231" s="69"/>
      <c r="AC1231" s="69"/>
      <c r="AD1231" s="69"/>
      <c r="AE1231" s="69"/>
      <c r="AF1231" s="69"/>
      <c r="AG1231" s="69"/>
      <c r="AH1231" s="69"/>
      <c r="AI1231" s="69"/>
      <c r="AJ1231" s="69"/>
      <c r="AK1231" s="69"/>
      <c r="AL1231" s="69"/>
      <c r="AM1231" s="69"/>
      <c r="AN1231" s="69"/>
      <c r="AO1231" s="69"/>
      <c r="AP1231" s="69"/>
      <c r="AQ1231" s="69">
        <v>550</v>
      </c>
      <c r="AR1231" s="94">
        <f t="shared" si="127"/>
        <v>550</v>
      </c>
      <c r="AS1231" s="69"/>
      <c r="AT1231" s="69"/>
      <c r="AU1231" s="69"/>
      <c r="AV1231" s="69"/>
      <c r="AW1231" s="69"/>
      <c r="AX1231" s="69"/>
      <c r="AY1231" s="69"/>
      <c r="AZ1231" s="69"/>
      <c r="BA1231" s="69"/>
      <c r="BB1231" s="69"/>
      <c r="BC1231" s="69"/>
      <c r="BD1231" s="69"/>
      <c r="BE1231" s="69"/>
      <c r="BF1231" s="69"/>
      <c r="BG1231" s="69"/>
      <c r="BH1231" s="69"/>
      <c r="BI1231" s="69"/>
      <c r="BJ1231" s="69"/>
      <c r="BK1231" s="69"/>
      <c r="BL1231" s="69"/>
      <c r="BM1231" s="69"/>
      <c r="BN1231" s="69"/>
      <c r="BO1231" s="69"/>
      <c r="BP1231" s="69"/>
      <c r="BQ1231" s="69"/>
      <c r="BR1231" s="69"/>
      <c r="BS1231" s="69"/>
      <c r="BT1231" s="69"/>
      <c r="BU1231" s="69"/>
      <c r="BV1231" s="69"/>
      <c r="BW1231" s="69"/>
      <c r="BX1231" s="69"/>
      <c r="BY1231" s="69"/>
      <c r="BZ1231" s="69"/>
      <c r="CA1231" s="69"/>
      <c r="CB1231" s="69"/>
      <c r="CC1231" s="69"/>
      <c r="CD1231" s="69">
        <v>550</v>
      </c>
      <c r="CE1231" s="94">
        <f t="shared" si="124"/>
        <v>550</v>
      </c>
      <c r="CF1231" s="151">
        <f t="shared" si="125"/>
        <v>0</v>
      </c>
      <c r="CG1231" s="75">
        <f t="shared" si="122"/>
        <v>185</v>
      </c>
      <c r="CH1231" s="69" t="str">
        <f t="shared" si="122"/>
        <v>علاج تخصصى</v>
      </c>
    </row>
    <row r="1232" spans="1:92" x14ac:dyDescent="0.25">
      <c r="A1232" s="148"/>
      <c r="B1232" s="82"/>
      <c r="C1232" s="149">
        <v>186</v>
      </c>
      <c r="D1232" s="166" t="s">
        <v>122</v>
      </c>
      <c r="E1232" s="69" t="s">
        <v>3497</v>
      </c>
      <c r="F1232" s="63"/>
      <c r="G1232" s="69"/>
      <c r="H1232" s="69"/>
      <c r="I1232" s="69"/>
      <c r="J1232" s="69"/>
      <c r="K1232" s="69"/>
      <c r="L1232" s="69"/>
      <c r="M1232" s="69"/>
      <c r="N1232" s="69"/>
      <c r="O1232" s="69"/>
      <c r="P1232" s="69"/>
      <c r="Q1232" s="69"/>
      <c r="R1232" s="69"/>
      <c r="S1232" s="69"/>
      <c r="T1232" s="69"/>
      <c r="U1232" s="69"/>
      <c r="V1232" s="69"/>
      <c r="W1232" s="69"/>
      <c r="X1232" s="69"/>
      <c r="Y1232" s="69"/>
      <c r="Z1232" s="69"/>
      <c r="AA1232" s="69"/>
      <c r="AB1232" s="69"/>
      <c r="AC1232" s="69"/>
      <c r="AD1232" s="69"/>
      <c r="AE1232" s="69"/>
      <c r="AF1232" s="69"/>
      <c r="AG1232" s="69"/>
      <c r="AH1232" s="69"/>
      <c r="AI1232" s="69"/>
      <c r="AJ1232" s="69"/>
      <c r="AK1232" s="69"/>
      <c r="AL1232" s="69"/>
      <c r="AM1232" s="69"/>
      <c r="AN1232" s="69"/>
      <c r="AO1232" s="69"/>
      <c r="AP1232" s="69"/>
      <c r="AQ1232" s="69">
        <v>250</v>
      </c>
      <c r="AR1232" s="94">
        <f t="shared" si="127"/>
        <v>250</v>
      </c>
      <c r="AS1232" s="69"/>
      <c r="AT1232" s="69"/>
      <c r="AU1232" s="69"/>
      <c r="AV1232" s="69"/>
      <c r="AW1232" s="69"/>
      <c r="AX1232" s="69"/>
      <c r="AY1232" s="69"/>
      <c r="AZ1232" s="69"/>
      <c r="BA1232" s="69"/>
      <c r="BB1232" s="69"/>
      <c r="BC1232" s="69"/>
      <c r="BD1232" s="69"/>
      <c r="BE1232" s="69"/>
      <c r="BF1232" s="69"/>
      <c r="BG1232" s="69"/>
      <c r="BH1232" s="69"/>
      <c r="BI1232" s="69"/>
      <c r="BJ1232" s="69"/>
      <c r="BK1232" s="69"/>
      <c r="BL1232" s="69"/>
      <c r="BM1232" s="69"/>
      <c r="BN1232" s="69"/>
      <c r="BO1232" s="69"/>
      <c r="BP1232" s="69"/>
      <c r="BQ1232" s="69"/>
      <c r="BR1232" s="69"/>
      <c r="BS1232" s="69"/>
      <c r="BT1232" s="69"/>
      <c r="BU1232" s="69"/>
      <c r="BV1232" s="69"/>
      <c r="BW1232" s="69"/>
      <c r="BX1232" s="69"/>
      <c r="BY1232" s="69"/>
      <c r="BZ1232" s="69"/>
      <c r="CA1232" s="69"/>
      <c r="CB1232" s="69"/>
      <c r="CC1232" s="69"/>
      <c r="CD1232" s="69">
        <v>250</v>
      </c>
      <c r="CE1232" s="94">
        <f t="shared" si="124"/>
        <v>250</v>
      </c>
      <c r="CF1232" s="151">
        <f t="shared" si="125"/>
        <v>0</v>
      </c>
      <c r="CG1232" s="75">
        <f t="shared" si="122"/>
        <v>186</v>
      </c>
      <c r="CH1232" s="69" t="str">
        <f t="shared" si="122"/>
        <v>علاج تخصصى</v>
      </c>
    </row>
    <row r="1233" spans="1:86" x14ac:dyDescent="0.25">
      <c r="A1233" s="148"/>
      <c r="B1233" s="82"/>
      <c r="C1233" s="149">
        <v>187</v>
      </c>
      <c r="D1233" s="166" t="s">
        <v>122</v>
      </c>
      <c r="E1233" s="69" t="s">
        <v>3498</v>
      </c>
      <c r="F1233" s="63"/>
      <c r="G1233" s="69"/>
      <c r="H1233" s="69"/>
      <c r="I1233" s="69"/>
      <c r="J1233" s="69"/>
      <c r="K1233" s="69"/>
      <c r="L1233" s="69"/>
      <c r="M1233" s="69"/>
      <c r="N1233" s="69"/>
      <c r="O1233" s="69"/>
      <c r="P1233" s="69"/>
      <c r="Q1233" s="69"/>
      <c r="R1233" s="69"/>
      <c r="S1233" s="69"/>
      <c r="T1233" s="69"/>
      <c r="U1233" s="69"/>
      <c r="V1233" s="69"/>
      <c r="W1233" s="69"/>
      <c r="X1233" s="69"/>
      <c r="Y1233" s="69"/>
      <c r="Z1233" s="69"/>
      <c r="AA1233" s="69"/>
      <c r="AB1233" s="69"/>
      <c r="AC1233" s="69"/>
      <c r="AD1233" s="69"/>
      <c r="AE1233" s="69"/>
      <c r="AF1233" s="69"/>
      <c r="AG1233" s="69"/>
      <c r="AH1233" s="69"/>
      <c r="AI1233" s="69"/>
      <c r="AJ1233" s="69"/>
      <c r="AK1233" s="69"/>
      <c r="AL1233" s="69"/>
      <c r="AM1233" s="69"/>
      <c r="AN1233" s="69"/>
      <c r="AO1233" s="69"/>
      <c r="AP1233" s="69"/>
      <c r="AQ1233" s="69">
        <v>300</v>
      </c>
      <c r="AR1233" s="94">
        <f t="shared" si="127"/>
        <v>300</v>
      </c>
      <c r="AS1233" s="69"/>
      <c r="AT1233" s="69"/>
      <c r="AU1233" s="69"/>
      <c r="AV1233" s="69"/>
      <c r="AW1233" s="69"/>
      <c r="AX1233" s="69"/>
      <c r="AY1233" s="69"/>
      <c r="AZ1233" s="69"/>
      <c r="BA1233" s="69"/>
      <c r="BB1233" s="69"/>
      <c r="BC1233" s="69"/>
      <c r="BD1233" s="69"/>
      <c r="BE1233" s="69"/>
      <c r="BF1233" s="69"/>
      <c r="BG1233" s="69"/>
      <c r="BH1233" s="69"/>
      <c r="BI1233" s="69"/>
      <c r="BJ1233" s="69"/>
      <c r="BK1233" s="69"/>
      <c r="BL1233" s="69"/>
      <c r="BM1233" s="69"/>
      <c r="BN1233" s="69"/>
      <c r="BO1233" s="69"/>
      <c r="BP1233" s="69"/>
      <c r="BQ1233" s="69"/>
      <c r="BR1233" s="69"/>
      <c r="BS1233" s="69"/>
      <c r="BT1233" s="69"/>
      <c r="BU1233" s="69"/>
      <c r="BV1233" s="69"/>
      <c r="BW1233" s="69"/>
      <c r="BX1233" s="69"/>
      <c r="BY1233" s="69"/>
      <c r="BZ1233" s="69"/>
      <c r="CA1233" s="69"/>
      <c r="CB1233" s="69"/>
      <c r="CC1233" s="69"/>
      <c r="CD1233" s="69">
        <v>300</v>
      </c>
      <c r="CE1233" s="94">
        <f t="shared" si="124"/>
        <v>300</v>
      </c>
      <c r="CF1233" s="151">
        <f t="shared" si="125"/>
        <v>0</v>
      </c>
      <c r="CG1233" s="75">
        <f t="shared" si="122"/>
        <v>187</v>
      </c>
      <c r="CH1233" s="69" t="str">
        <f t="shared" si="122"/>
        <v>علاج تخصصى</v>
      </c>
    </row>
    <row r="1234" spans="1:86" x14ac:dyDescent="0.25">
      <c r="A1234" s="148"/>
      <c r="B1234" s="82"/>
      <c r="C1234" s="149">
        <v>188</v>
      </c>
      <c r="D1234" s="166" t="s">
        <v>122</v>
      </c>
      <c r="E1234" s="69" t="s">
        <v>3499</v>
      </c>
      <c r="F1234" s="63"/>
      <c r="G1234" s="69"/>
      <c r="H1234" s="69"/>
      <c r="I1234" s="69"/>
      <c r="J1234" s="69"/>
      <c r="K1234" s="69"/>
      <c r="L1234" s="69"/>
      <c r="M1234" s="69"/>
      <c r="N1234" s="69"/>
      <c r="O1234" s="69"/>
      <c r="P1234" s="69"/>
      <c r="Q1234" s="69"/>
      <c r="R1234" s="69"/>
      <c r="S1234" s="69"/>
      <c r="T1234" s="69"/>
      <c r="U1234" s="69"/>
      <c r="V1234" s="69"/>
      <c r="W1234" s="69"/>
      <c r="X1234" s="69"/>
      <c r="Y1234" s="69"/>
      <c r="Z1234" s="69"/>
      <c r="AA1234" s="69"/>
      <c r="AB1234" s="69"/>
      <c r="AC1234" s="69"/>
      <c r="AD1234" s="69"/>
      <c r="AE1234" s="69"/>
      <c r="AF1234" s="69"/>
      <c r="AG1234" s="69"/>
      <c r="AH1234" s="69"/>
      <c r="AI1234" s="69"/>
      <c r="AJ1234" s="69"/>
      <c r="AK1234" s="69"/>
      <c r="AL1234" s="69"/>
      <c r="AM1234" s="69"/>
      <c r="AN1234" s="69"/>
      <c r="AO1234" s="69"/>
      <c r="AP1234" s="69"/>
      <c r="AQ1234" s="69">
        <v>450</v>
      </c>
      <c r="AR1234" s="94">
        <f t="shared" si="127"/>
        <v>450</v>
      </c>
      <c r="AS1234" s="69"/>
      <c r="AT1234" s="69"/>
      <c r="AU1234" s="69"/>
      <c r="AV1234" s="69"/>
      <c r="AW1234" s="69"/>
      <c r="AX1234" s="69"/>
      <c r="AY1234" s="69"/>
      <c r="AZ1234" s="69"/>
      <c r="BA1234" s="69"/>
      <c r="BB1234" s="69"/>
      <c r="BC1234" s="69"/>
      <c r="BD1234" s="69"/>
      <c r="BE1234" s="69"/>
      <c r="BF1234" s="69"/>
      <c r="BG1234" s="69"/>
      <c r="BH1234" s="69"/>
      <c r="BI1234" s="69"/>
      <c r="BJ1234" s="69"/>
      <c r="BK1234" s="69"/>
      <c r="BL1234" s="69"/>
      <c r="BM1234" s="69"/>
      <c r="BN1234" s="69"/>
      <c r="BO1234" s="69"/>
      <c r="BP1234" s="69"/>
      <c r="BQ1234" s="69"/>
      <c r="BR1234" s="69"/>
      <c r="BS1234" s="69"/>
      <c r="BT1234" s="69"/>
      <c r="BU1234" s="69"/>
      <c r="BV1234" s="69"/>
      <c r="BW1234" s="69"/>
      <c r="BX1234" s="69"/>
      <c r="BY1234" s="69"/>
      <c r="BZ1234" s="69"/>
      <c r="CA1234" s="69"/>
      <c r="CB1234" s="69"/>
      <c r="CC1234" s="69"/>
      <c r="CD1234" s="69">
        <v>450</v>
      </c>
      <c r="CE1234" s="94">
        <f t="shared" si="124"/>
        <v>450</v>
      </c>
      <c r="CF1234" s="151">
        <f t="shared" si="125"/>
        <v>0</v>
      </c>
      <c r="CG1234" s="75">
        <f t="shared" si="122"/>
        <v>188</v>
      </c>
      <c r="CH1234" s="69" t="str">
        <f t="shared" si="122"/>
        <v>علاج تخصصى</v>
      </c>
    </row>
    <row r="1235" spans="1:86" x14ac:dyDescent="0.25">
      <c r="A1235" s="148"/>
      <c r="B1235" s="82"/>
      <c r="C1235" s="149">
        <v>189</v>
      </c>
      <c r="D1235" s="166" t="s">
        <v>122</v>
      </c>
      <c r="E1235" s="69" t="s">
        <v>3500</v>
      </c>
      <c r="F1235" s="63"/>
      <c r="G1235" s="69"/>
      <c r="H1235" s="69"/>
      <c r="I1235" s="69"/>
      <c r="J1235" s="69"/>
      <c r="K1235" s="69"/>
      <c r="L1235" s="69"/>
      <c r="M1235" s="69"/>
      <c r="N1235" s="69"/>
      <c r="O1235" s="69"/>
      <c r="P1235" s="69"/>
      <c r="Q1235" s="69"/>
      <c r="R1235" s="69"/>
      <c r="S1235" s="69"/>
      <c r="T1235" s="69"/>
      <c r="U1235" s="69"/>
      <c r="V1235" s="69"/>
      <c r="W1235" s="69"/>
      <c r="X1235" s="69"/>
      <c r="Y1235" s="69"/>
      <c r="Z1235" s="69"/>
      <c r="AA1235" s="69"/>
      <c r="AB1235" s="69"/>
      <c r="AC1235" s="69"/>
      <c r="AD1235" s="69"/>
      <c r="AE1235" s="69"/>
      <c r="AF1235" s="69"/>
      <c r="AG1235" s="69"/>
      <c r="AH1235" s="69"/>
      <c r="AI1235" s="69"/>
      <c r="AJ1235" s="69"/>
      <c r="AK1235" s="69"/>
      <c r="AL1235" s="69"/>
      <c r="AM1235" s="69"/>
      <c r="AN1235" s="69"/>
      <c r="AO1235" s="69"/>
      <c r="AP1235" s="69"/>
      <c r="AQ1235" s="69">
        <v>350</v>
      </c>
      <c r="AR1235" s="94">
        <f t="shared" si="127"/>
        <v>350</v>
      </c>
      <c r="AS1235" s="69"/>
      <c r="AT1235" s="69"/>
      <c r="AU1235" s="69"/>
      <c r="AV1235" s="69"/>
      <c r="AW1235" s="69"/>
      <c r="AX1235" s="69"/>
      <c r="AY1235" s="69"/>
      <c r="AZ1235" s="69"/>
      <c r="BA1235" s="69"/>
      <c r="BB1235" s="69"/>
      <c r="BC1235" s="69"/>
      <c r="BD1235" s="69"/>
      <c r="BE1235" s="69"/>
      <c r="BF1235" s="69"/>
      <c r="BG1235" s="69"/>
      <c r="BH1235" s="69"/>
      <c r="BI1235" s="69"/>
      <c r="BJ1235" s="69"/>
      <c r="BK1235" s="69"/>
      <c r="BL1235" s="69"/>
      <c r="BM1235" s="69"/>
      <c r="BN1235" s="69"/>
      <c r="BO1235" s="69"/>
      <c r="BP1235" s="69"/>
      <c r="BQ1235" s="69"/>
      <c r="BR1235" s="69"/>
      <c r="BS1235" s="69"/>
      <c r="BT1235" s="69"/>
      <c r="BU1235" s="69"/>
      <c r="BV1235" s="69"/>
      <c r="BW1235" s="69"/>
      <c r="BX1235" s="69"/>
      <c r="BY1235" s="69"/>
      <c r="BZ1235" s="69"/>
      <c r="CA1235" s="69"/>
      <c r="CB1235" s="69"/>
      <c r="CC1235" s="69"/>
      <c r="CD1235" s="69">
        <v>350</v>
      </c>
      <c r="CE1235" s="94">
        <f t="shared" si="124"/>
        <v>350</v>
      </c>
      <c r="CF1235" s="151">
        <f t="shared" si="125"/>
        <v>0</v>
      </c>
      <c r="CG1235" s="75">
        <f t="shared" si="122"/>
        <v>189</v>
      </c>
      <c r="CH1235" s="69" t="str">
        <f t="shared" si="122"/>
        <v>علاج تخصصى</v>
      </c>
    </row>
    <row r="1236" spans="1:86" x14ac:dyDescent="0.25">
      <c r="A1236" s="148"/>
      <c r="B1236" s="82"/>
      <c r="C1236" s="149">
        <v>190</v>
      </c>
      <c r="D1236" s="69" t="s">
        <v>249</v>
      </c>
      <c r="E1236" s="69" t="s">
        <v>3501</v>
      </c>
      <c r="F1236" s="63"/>
      <c r="G1236" s="69"/>
      <c r="H1236" s="69"/>
      <c r="I1236" s="69"/>
      <c r="J1236" s="69"/>
      <c r="K1236" s="69"/>
      <c r="L1236" s="69"/>
      <c r="M1236" s="69"/>
      <c r="N1236" s="69"/>
      <c r="O1236" s="69"/>
      <c r="P1236" s="69"/>
      <c r="Q1236" s="69"/>
      <c r="R1236" s="69"/>
      <c r="S1236" s="69"/>
      <c r="T1236" s="69"/>
      <c r="U1236" s="69"/>
      <c r="V1236" s="69"/>
      <c r="W1236" s="69"/>
      <c r="X1236" s="69"/>
      <c r="Y1236" s="69"/>
      <c r="Z1236" s="69"/>
      <c r="AA1236" s="69"/>
      <c r="AB1236" s="69"/>
      <c r="AC1236" s="69"/>
      <c r="AD1236" s="69"/>
      <c r="AE1236" s="69"/>
      <c r="AF1236" s="69"/>
      <c r="AG1236" s="69"/>
      <c r="AH1236" s="69"/>
      <c r="AI1236" s="69"/>
      <c r="AJ1236" s="69"/>
      <c r="AK1236" s="69"/>
      <c r="AL1236" s="69"/>
      <c r="AM1236" s="69"/>
      <c r="AN1236" s="69"/>
      <c r="AO1236" s="69"/>
      <c r="AP1236" s="69"/>
      <c r="AQ1236" s="69">
        <v>8030</v>
      </c>
      <c r="AR1236" s="94">
        <f t="shared" si="127"/>
        <v>8030</v>
      </c>
      <c r="AS1236" s="69"/>
      <c r="AT1236" s="69"/>
      <c r="AU1236" s="69"/>
      <c r="AV1236" s="69"/>
      <c r="AW1236" s="69"/>
      <c r="AX1236" s="69"/>
      <c r="AY1236" s="69"/>
      <c r="AZ1236" s="69"/>
      <c r="BA1236" s="69"/>
      <c r="BB1236" s="69"/>
      <c r="BC1236" s="69"/>
      <c r="BD1236" s="69"/>
      <c r="BE1236" s="69"/>
      <c r="BF1236" s="69"/>
      <c r="BG1236" s="69"/>
      <c r="BH1236" s="69"/>
      <c r="BI1236" s="69"/>
      <c r="BJ1236" s="69"/>
      <c r="BK1236" s="69"/>
      <c r="BL1236" s="69"/>
      <c r="BM1236" s="69"/>
      <c r="BN1236" s="69"/>
      <c r="BO1236" s="69"/>
      <c r="BP1236" s="69"/>
      <c r="BQ1236" s="69"/>
      <c r="BR1236" s="69"/>
      <c r="BS1236" s="69"/>
      <c r="BT1236" s="69"/>
      <c r="BU1236" s="69"/>
      <c r="BV1236" s="69"/>
      <c r="BW1236" s="69"/>
      <c r="BX1236" s="69"/>
      <c r="BY1236" s="69"/>
      <c r="BZ1236" s="69"/>
      <c r="CA1236" s="69"/>
      <c r="CB1236" s="69"/>
      <c r="CC1236" s="69"/>
      <c r="CD1236" s="69">
        <v>8030</v>
      </c>
      <c r="CE1236" s="94">
        <f t="shared" si="124"/>
        <v>8030</v>
      </c>
      <c r="CF1236" s="151">
        <f t="shared" si="125"/>
        <v>0</v>
      </c>
      <c r="CG1236" s="75">
        <f t="shared" si="122"/>
        <v>190</v>
      </c>
      <c r="CH1236" s="69" t="str">
        <f t="shared" si="122"/>
        <v>خدمة عامة</v>
      </c>
    </row>
    <row r="1237" spans="1:86" x14ac:dyDescent="0.25">
      <c r="A1237" s="148"/>
      <c r="B1237" s="82"/>
      <c r="C1237" s="149">
        <v>191</v>
      </c>
      <c r="D1237" s="69" t="s">
        <v>249</v>
      </c>
      <c r="E1237" s="69" t="s">
        <v>3502</v>
      </c>
      <c r="F1237" s="63"/>
      <c r="G1237" s="69"/>
      <c r="H1237" s="69"/>
      <c r="I1237" s="69"/>
      <c r="J1237" s="69"/>
      <c r="K1237" s="69"/>
      <c r="L1237" s="69"/>
      <c r="M1237" s="69"/>
      <c r="N1237" s="69"/>
      <c r="O1237" s="69"/>
      <c r="P1237" s="69"/>
      <c r="Q1237" s="69"/>
      <c r="R1237" s="69"/>
      <c r="S1237" s="69"/>
      <c r="T1237" s="69"/>
      <c r="U1237" s="69"/>
      <c r="V1237" s="69"/>
      <c r="W1237" s="69"/>
      <c r="X1237" s="69"/>
      <c r="Y1237" s="69"/>
      <c r="Z1237" s="69"/>
      <c r="AA1237" s="69"/>
      <c r="AB1237" s="69"/>
      <c r="AC1237" s="69"/>
      <c r="AD1237" s="69"/>
      <c r="AE1237" s="69"/>
      <c r="AF1237" s="69"/>
      <c r="AG1237" s="69"/>
      <c r="AH1237" s="69"/>
      <c r="AI1237" s="69"/>
      <c r="AJ1237" s="69"/>
      <c r="AK1237" s="69"/>
      <c r="AL1237" s="69"/>
      <c r="AM1237" s="69"/>
      <c r="AN1237" s="69"/>
      <c r="AO1237" s="69"/>
      <c r="AP1237" s="69"/>
      <c r="AQ1237" s="69">
        <v>11805</v>
      </c>
      <c r="AR1237" s="94">
        <f t="shared" si="127"/>
        <v>11805</v>
      </c>
      <c r="AS1237" s="69"/>
      <c r="AT1237" s="69"/>
      <c r="AU1237" s="69"/>
      <c r="AV1237" s="69"/>
      <c r="AW1237" s="69"/>
      <c r="AX1237" s="69"/>
      <c r="AY1237" s="69"/>
      <c r="AZ1237" s="69"/>
      <c r="BA1237" s="69"/>
      <c r="BB1237" s="69"/>
      <c r="BC1237" s="69"/>
      <c r="BD1237" s="69"/>
      <c r="BE1237" s="69"/>
      <c r="BF1237" s="69"/>
      <c r="BG1237" s="69"/>
      <c r="BH1237" s="69"/>
      <c r="BI1237" s="69"/>
      <c r="BJ1237" s="69"/>
      <c r="BK1237" s="69"/>
      <c r="BL1237" s="69"/>
      <c r="BM1237" s="69"/>
      <c r="BN1237" s="69"/>
      <c r="BO1237" s="69"/>
      <c r="BP1237" s="69"/>
      <c r="BQ1237" s="69"/>
      <c r="BR1237" s="69"/>
      <c r="BS1237" s="69"/>
      <c r="BT1237" s="69"/>
      <c r="BU1237" s="69"/>
      <c r="BV1237" s="69"/>
      <c r="BW1237" s="69"/>
      <c r="BX1237" s="69"/>
      <c r="BY1237" s="69"/>
      <c r="BZ1237" s="69"/>
      <c r="CA1237" s="69"/>
      <c r="CB1237" s="69"/>
      <c r="CC1237" s="69"/>
      <c r="CD1237" s="69">
        <v>11805</v>
      </c>
      <c r="CE1237" s="94">
        <f t="shared" si="124"/>
        <v>11805</v>
      </c>
      <c r="CF1237" s="151">
        <f t="shared" si="125"/>
        <v>0</v>
      </c>
      <c r="CG1237" s="75">
        <f t="shared" si="122"/>
        <v>191</v>
      </c>
      <c r="CH1237" s="69" t="str">
        <f t="shared" si="122"/>
        <v>خدمة عامة</v>
      </c>
    </row>
    <row r="1238" spans="1:86" x14ac:dyDescent="0.25">
      <c r="A1238" s="148"/>
      <c r="B1238" s="82"/>
      <c r="C1238" s="149">
        <v>192</v>
      </c>
      <c r="D1238" s="69" t="s">
        <v>249</v>
      </c>
      <c r="E1238" s="69" t="s">
        <v>3503</v>
      </c>
      <c r="F1238" s="63"/>
      <c r="G1238" s="69"/>
      <c r="H1238" s="69"/>
      <c r="I1238" s="69"/>
      <c r="J1238" s="69"/>
      <c r="K1238" s="69"/>
      <c r="L1238" s="69"/>
      <c r="M1238" s="69"/>
      <c r="N1238" s="69"/>
      <c r="O1238" s="69"/>
      <c r="P1238" s="69"/>
      <c r="Q1238" s="69"/>
      <c r="R1238" s="69"/>
      <c r="S1238" s="69"/>
      <c r="T1238" s="69"/>
      <c r="U1238" s="69"/>
      <c r="V1238" s="69"/>
      <c r="W1238" s="69"/>
      <c r="X1238" s="69"/>
      <c r="Y1238" s="69"/>
      <c r="Z1238" s="69"/>
      <c r="AA1238" s="69"/>
      <c r="AB1238" s="69"/>
      <c r="AC1238" s="69"/>
      <c r="AD1238" s="69"/>
      <c r="AE1238" s="69"/>
      <c r="AF1238" s="69"/>
      <c r="AG1238" s="69"/>
      <c r="AH1238" s="69"/>
      <c r="AI1238" s="69"/>
      <c r="AJ1238" s="69"/>
      <c r="AK1238" s="69"/>
      <c r="AL1238" s="69"/>
      <c r="AM1238" s="69"/>
      <c r="AN1238" s="69"/>
      <c r="AO1238" s="69"/>
      <c r="AP1238" s="69"/>
      <c r="AQ1238" s="69">
        <v>3480</v>
      </c>
      <c r="AR1238" s="94">
        <f t="shared" si="127"/>
        <v>3480</v>
      </c>
      <c r="AS1238" s="69"/>
      <c r="AT1238" s="69"/>
      <c r="AU1238" s="69"/>
      <c r="AV1238" s="69"/>
      <c r="AW1238" s="69"/>
      <c r="AX1238" s="69"/>
      <c r="AY1238" s="69"/>
      <c r="AZ1238" s="69"/>
      <c r="BA1238" s="69"/>
      <c r="BB1238" s="69"/>
      <c r="BC1238" s="69"/>
      <c r="BD1238" s="69"/>
      <c r="BE1238" s="69"/>
      <c r="BF1238" s="69"/>
      <c r="BG1238" s="69"/>
      <c r="BH1238" s="69"/>
      <c r="BI1238" s="69"/>
      <c r="BJ1238" s="69"/>
      <c r="BK1238" s="69"/>
      <c r="BL1238" s="69"/>
      <c r="BM1238" s="69"/>
      <c r="BN1238" s="69"/>
      <c r="BO1238" s="69"/>
      <c r="BP1238" s="69"/>
      <c r="BQ1238" s="69"/>
      <c r="BR1238" s="69"/>
      <c r="BS1238" s="69"/>
      <c r="BT1238" s="69"/>
      <c r="BU1238" s="69"/>
      <c r="BV1238" s="69"/>
      <c r="BW1238" s="69"/>
      <c r="BX1238" s="69"/>
      <c r="BY1238" s="69"/>
      <c r="BZ1238" s="69"/>
      <c r="CA1238" s="69"/>
      <c r="CB1238" s="69"/>
      <c r="CC1238" s="69"/>
      <c r="CD1238" s="69">
        <v>3480</v>
      </c>
      <c r="CE1238" s="94">
        <f t="shared" si="124"/>
        <v>3480</v>
      </c>
      <c r="CF1238" s="151">
        <f t="shared" si="125"/>
        <v>0</v>
      </c>
      <c r="CG1238" s="75">
        <f t="shared" si="122"/>
        <v>192</v>
      </c>
      <c r="CH1238" s="69" t="str">
        <f t="shared" si="122"/>
        <v>خدمة عامة</v>
      </c>
    </row>
    <row r="1239" spans="1:86" x14ac:dyDescent="0.25">
      <c r="A1239" s="148"/>
      <c r="B1239" s="82"/>
      <c r="C1239" s="149">
        <v>193</v>
      </c>
      <c r="D1239" s="69" t="s">
        <v>249</v>
      </c>
      <c r="E1239" s="69" t="s">
        <v>3504</v>
      </c>
      <c r="F1239" s="63"/>
      <c r="G1239" s="69"/>
      <c r="H1239" s="69"/>
      <c r="I1239" s="69"/>
      <c r="J1239" s="69"/>
      <c r="K1239" s="69"/>
      <c r="L1239" s="69"/>
      <c r="M1239" s="69"/>
      <c r="N1239" s="69"/>
      <c r="O1239" s="69"/>
      <c r="P1239" s="69"/>
      <c r="Q1239" s="69"/>
      <c r="R1239" s="69"/>
      <c r="S1239" s="69"/>
      <c r="T1239" s="69"/>
      <c r="U1239" s="69"/>
      <c r="V1239" s="69"/>
      <c r="W1239" s="69"/>
      <c r="X1239" s="69"/>
      <c r="Y1239" s="69"/>
      <c r="Z1239" s="69"/>
      <c r="AA1239" s="69"/>
      <c r="AB1239" s="69"/>
      <c r="AC1239" s="69"/>
      <c r="AD1239" s="69"/>
      <c r="AE1239" s="69"/>
      <c r="AF1239" s="69"/>
      <c r="AG1239" s="69"/>
      <c r="AH1239" s="69"/>
      <c r="AI1239" s="69"/>
      <c r="AJ1239" s="69"/>
      <c r="AK1239" s="69"/>
      <c r="AL1239" s="69"/>
      <c r="AM1239" s="69"/>
      <c r="AN1239" s="69"/>
      <c r="AO1239" s="69"/>
      <c r="AP1239" s="69"/>
      <c r="AQ1239" s="69">
        <v>12020</v>
      </c>
      <c r="AR1239" s="94">
        <f t="shared" si="127"/>
        <v>12020</v>
      </c>
      <c r="AS1239" s="69"/>
      <c r="AT1239" s="69"/>
      <c r="AU1239" s="69"/>
      <c r="AV1239" s="69"/>
      <c r="AW1239" s="69"/>
      <c r="AX1239" s="69"/>
      <c r="AY1239" s="69"/>
      <c r="AZ1239" s="69"/>
      <c r="BA1239" s="69"/>
      <c r="BB1239" s="69"/>
      <c r="BC1239" s="69"/>
      <c r="BD1239" s="69"/>
      <c r="BE1239" s="69"/>
      <c r="BF1239" s="69"/>
      <c r="BG1239" s="69"/>
      <c r="BH1239" s="69"/>
      <c r="BI1239" s="69"/>
      <c r="BJ1239" s="69"/>
      <c r="BK1239" s="69"/>
      <c r="BL1239" s="69"/>
      <c r="BM1239" s="69"/>
      <c r="BN1239" s="69"/>
      <c r="BO1239" s="69"/>
      <c r="BP1239" s="69"/>
      <c r="BQ1239" s="69"/>
      <c r="BR1239" s="69"/>
      <c r="BS1239" s="69"/>
      <c r="BT1239" s="69"/>
      <c r="BU1239" s="69"/>
      <c r="BV1239" s="69"/>
      <c r="BW1239" s="69"/>
      <c r="BX1239" s="69"/>
      <c r="BY1239" s="69"/>
      <c r="BZ1239" s="69"/>
      <c r="CA1239" s="69"/>
      <c r="CB1239" s="69"/>
      <c r="CC1239" s="69"/>
      <c r="CD1239" s="69">
        <v>12020</v>
      </c>
      <c r="CE1239" s="94">
        <f t="shared" si="124"/>
        <v>12020</v>
      </c>
      <c r="CF1239" s="151">
        <f t="shared" si="125"/>
        <v>0</v>
      </c>
      <c r="CG1239" s="75">
        <f t="shared" si="122"/>
        <v>193</v>
      </c>
      <c r="CH1239" s="69" t="str">
        <f t="shared" si="122"/>
        <v>خدمة عامة</v>
      </c>
    </row>
    <row r="1240" spans="1:86" x14ac:dyDescent="0.25">
      <c r="A1240" s="148"/>
      <c r="B1240" s="82"/>
      <c r="C1240" s="149">
        <v>194</v>
      </c>
      <c r="D1240" s="69" t="s">
        <v>249</v>
      </c>
      <c r="E1240" s="69" t="s">
        <v>3505</v>
      </c>
      <c r="F1240" s="63"/>
      <c r="G1240" s="69"/>
      <c r="H1240" s="69"/>
      <c r="I1240" s="69"/>
      <c r="J1240" s="69"/>
      <c r="K1240" s="69"/>
      <c r="L1240" s="69"/>
      <c r="M1240" s="69"/>
      <c r="N1240" s="69"/>
      <c r="O1240" s="69"/>
      <c r="P1240" s="69"/>
      <c r="Q1240" s="69"/>
      <c r="R1240" s="69"/>
      <c r="S1240" s="69"/>
      <c r="T1240" s="69"/>
      <c r="U1240" s="69"/>
      <c r="V1240" s="69"/>
      <c r="W1240" s="69"/>
      <c r="X1240" s="69"/>
      <c r="Y1240" s="69"/>
      <c r="Z1240" s="69"/>
      <c r="AA1240" s="69"/>
      <c r="AB1240" s="69"/>
      <c r="AC1240" s="69"/>
      <c r="AD1240" s="69"/>
      <c r="AE1240" s="69"/>
      <c r="AF1240" s="69"/>
      <c r="AG1240" s="69"/>
      <c r="AH1240" s="69"/>
      <c r="AI1240" s="69"/>
      <c r="AJ1240" s="69"/>
      <c r="AK1240" s="69"/>
      <c r="AL1240" s="69"/>
      <c r="AM1240" s="69"/>
      <c r="AN1240" s="69"/>
      <c r="AO1240" s="69"/>
      <c r="AP1240" s="69"/>
      <c r="AQ1240" s="69">
        <v>5450</v>
      </c>
      <c r="AR1240" s="94">
        <f t="shared" si="127"/>
        <v>5450</v>
      </c>
      <c r="AS1240" s="69"/>
      <c r="AT1240" s="69"/>
      <c r="AU1240" s="69"/>
      <c r="AV1240" s="69"/>
      <c r="AW1240" s="69"/>
      <c r="AX1240" s="69"/>
      <c r="AY1240" s="69"/>
      <c r="AZ1240" s="69"/>
      <c r="BA1240" s="69"/>
      <c r="BB1240" s="69"/>
      <c r="BC1240" s="69"/>
      <c r="BD1240" s="69"/>
      <c r="BE1240" s="69"/>
      <c r="BF1240" s="69"/>
      <c r="BG1240" s="69"/>
      <c r="BH1240" s="69"/>
      <c r="BI1240" s="69"/>
      <c r="BJ1240" s="69"/>
      <c r="BK1240" s="69"/>
      <c r="BL1240" s="69"/>
      <c r="BM1240" s="69"/>
      <c r="BN1240" s="69"/>
      <c r="BO1240" s="69"/>
      <c r="BP1240" s="69"/>
      <c r="BQ1240" s="69"/>
      <c r="BR1240" s="69"/>
      <c r="BS1240" s="69"/>
      <c r="BT1240" s="69"/>
      <c r="BU1240" s="69"/>
      <c r="BV1240" s="69"/>
      <c r="BW1240" s="69"/>
      <c r="BX1240" s="69"/>
      <c r="BY1240" s="69"/>
      <c r="BZ1240" s="69"/>
      <c r="CA1240" s="69"/>
      <c r="CB1240" s="69"/>
      <c r="CC1240" s="69"/>
      <c r="CD1240" s="69">
        <v>5450</v>
      </c>
      <c r="CE1240" s="94">
        <f t="shared" si="124"/>
        <v>5450</v>
      </c>
      <c r="CF1240" s="151">
        <f t="shared" si="125"/>
        <v>0</v>
      </c>
      <c r="CG1240" s="75">
        <f t="shared" si="122"/>
        <v>194</v>
      </c>
      <c r="CH1240" s="69" t="str">
        <f t="shared" si="122"/>
        <v>خدمة عامة</v>
      </c>
    </row>
    <row r="1241" spans="1:86" x14ac:dyDescent="0.25">
      <c r="A1241" s="148"/>
      <c r="B1241" s="82"/>
      <c r="C1241" s="149">
        <v>195</v>
      </c>
      <c r="D1241" s="69" t="s">
        <v>249</v>
      </c>
      <c r="E1241" s="69" t="s">
        <v>3506</v>
      </c>
      <c r="F1241" s="63"/>
      <c r="G1241" s="69"/>
      <c r="H1241" s="69"/>
      <c r="I1241" s="69"/>
      <c r="J1241" s="69"/>
      <c r="K1241" s="69"/>
      <c r="L1241" s="69"/>
      <c r="M1241" s="69"/>
      <c r="N1241" s="69"/>
      <c r="O1241" s="69"/>
      <c r="P1241" s="69"/>
      <c r="Q1241" s="69"/>
      <c r="R1241" s="69"/>
      <c r="S1241" s="69"/>
      <c r="T1241" s="69"/>
      <c r="U1241" s="69"/>
      <c r="V1241" s="69"/>
      <c r="W1241" s="69"/>
      <c r="X1241" s="69"/>
      <c r="Y1241" s="69"/>
      <c r="Z1241" s="69"/>
      <c r="AA1241" s="69"/>
      <c r="AB1241" s="69"/>
      <c r="AC1241" s="69"/>
      <c r="AD1241" s="69"/>
      <c r="AE1241" s="69"/>
      <c r="AF1241" s="69"/>
      <c r="AG1241" s="69"/>
      <c r="AH1241" s="69"/>
      <c r="AI1241" s="69"/>
      <c r="AJ1241" s="69"/>
      <c r="AK1241" s="69"/>
      <c r="AL1241" s="69"/>
      <c r="AM1241" s="69"/>
      <c r="AN1241" s="69"/>
      <c r="AO1241" s="69"/>
      <c r="AP1241" s="69"/>
      <c r="AQ1241" s="69">
        <v>10960</v>
      </c>
      <c r="AR1241" s="94">
        <f t="shared" si="127"/>
        <v>10960</v>
      </c>
      <c r="AS1241" s="69"/>
      <c r="AT1241" s="69"/>
      <c r="AU1241" s="69"/>
      <c r="AV1241" s="69"/>
      <c r="AW1241" s="69"/>
      <c r="AX1241" s="69"/>
      <c r="AY1241" s="69"/>
      <c r="AZ1241" s="69"/>
      <c r="BA1241" s="69"/>
      <c r="BB1241" s="69"/>
      <c r="BC1241" s="69"/>
      <c r="BD1241" s="69"/>
      <c r="BE1241" s="69"/>
      <c r="BF1241" s="69"/>
      <c r="BG1241" s="69"/>
      <c r="BH1241" s="69"/>
      <c r="BI1241" s="69"/>
      <c r="BJ1241" s="69"/>
      <c r="BK1241" s="69"/>
      <c r="BL1241" s="69"/>
      <c r="BM1241" s="69"/>
      <c r="BN1241" s="69"/>
      <c r="BO1241" s="69"/>
      <c r="BP1241" s="69"/>
      <c r="BQ1241" s="69"/>
      <c r="BR1241" s="69"/>
      <c r="BS1241" s="69"/>
      <c r="BT1241" s="69"/>
      <c r="BU1241" s="69"/>
      <c r="BV1241" s="69"/>
      <c r="BW1241" s="69"/>
      <c r="BX1241" s="69"/>
      <c r="BY1241" s="69"/>
      <c r="BZ1241" s="69"/>
      <c r="CA1241" s="69"/>
      <c r="CB1241" s="69"/>
      <c r="CC1241" s="69"/>
      <c r="CD1241" s="69">
        <v>10960</v>
      </c>
      <c r="CE1241" s="94">
        <f t="shared" si="124"/>
        <v>10960</v>
      </c>
      <c r="CF1241" s="151">
        <f t="shared" si="125"/>
        <v>0</v>
      </c>
      <c r="CG1241" s="75">
        <f t="shared" si="122"/>
        <v>195</v>
      </c>
      <c r="CH1241" s="69" t="str">
        <f t="shared" si="122"/>
        <v>خدمة عامة</v>
      </c>
    </row>
    <row r="1242" spans="1:86" x14ac:dyDescent="0.25">
      <c r="A1242" s="148"/>
      <c r="B1242" s="82"/>
      <c r="C1242" s="149">
        <v>196</v>
      </c>
      <c r="D1242" s="69" t="s">
        <v>249</v>
      </c>
      <c r="E1242" s="69" t="s">
        <v>3507</v>
      </c>
      <c r="F1242" s="63"/>
      <c r="G1242" s="69"/>
      <c r="H1242" s="69"/>
      <c r="I1242" s="69"/>
      <c r="J1242" s="69"/>
      <c r="K1242" s="69"/>
      <c r="L1242" s="69"/>
      <c r="M1242" s="69"/>
      <c r="N1242" s="69"/>
      <c r="O1242" s="69"/>
      <c r="P1242" s="69"/>
      <c r="Q1242" s="69"/>
      <c r="R1242" s="69"/>
      <c r="S1242" s="69"/>
      <c r="T1242" s="69"/>
      <c r="U1242" s="69"/>
      <c r="V1242" s="69"/>
      <c r="W1242" s="69"/>
      <c r="X1242" s="69"/>
      <c r="Y1242" s="69"/>
      <c r="Z1242" s="69"/>
      <c r="AA1242" s="69"/>
      <c r="AB1242" s="69"/>
      <c r="AC1242" s="69"/>
      <c r="AD1242" s="69"/>
      <c r="AE1242" s="69"/>
      <c r="AF1242" s="69"/>
      <c r="AG1242" s="69"/>
      <c r="AH1242" s="69"/>
      <c r="AI1242" s="69"/>
      <c r="AJ1242" s="69"/>
      <c r="AK1242" s="69"/>
      <c r="AL1242" s="69"/>
      <c r="AM1242" s="69"/>
      <c r="AN1242" s="69"/>
      <c r="AO1242" s="69"/>
      <c r="AP1242" s="69"/>
      <c r="AQ1242" s="69">
        <v>4840</v>
      </c>
      <c r="AR1242" s="94">
        <f t="shared" si="127"/>
        <v>4840</v>
      </c>
      <c r="AS1242" s="69"/>
      <c r="AT1242" s="69"/>
      <c r="AU1242" s="69"/>
      <c r="AV1242" s="69"/>
      <c r="AW1242" s="69"/>
      <c r="AX1242" s="69"/>
      <c r="AY1242" s="69"/>
      <c r="AZ1242" s="69"/>
      <c r="BA1242" s="69"/>
      <c r="BB1242" s="69"/>
      <c r="BC1242" s="69"/>
      <c r="BD1242" s="69"/>
      <c r="BE1242" s="69"/>
      <c r="BF1242" s="69"/>
      <c r="BG1242" s="69"/>
      <c r="BH1242" s="69"/>
      <c r="BI1242" s="69"/>
      <c r="BJ1242" s="69"/>
      <c r="BK1242" s="69"/>
      <c r="BL1242" s="69"/>
      <c r="BM1242" s="69"/>
      <c r="BN1242" s="69"/>
      <c r="BO1242" s="69"/>
      <c r="BP1242" s="69"/>
      <c r="BQ1242" s="69"/>
      <c r="BR1242" s="69"/>
      <c r="BS1242" s="69"/>
      <c r="BT1242" s="69"/>
      <c r="BU1242" s="69"/>
      <c r="BV1242" s="69"/>
      <c r="BW1242" s="69"/>
      <c r="BX1242" s="69"/>
      <c r="BY1242" s="69"/>
      <c r="BZ1242" s="69"/>
      <c r="CA1242" s="69"/>
      <c r="CB1242" s="69"/>
      <c r="CC1242" s="69"/>
      <c r="CD1242" s="69">
        <v>4840</v>
      </c>
      <c r="CE1242" s="94">
        <f t="shared" si="124"/>
        <v>4840</v>
      </c>
      <c r="CF1242" s="151">
        <f t="shared" si="125"/>
        <v>0</v>
      </c>
      <c r="CG1242" s="75">
        <f t="shared" si="122"/>
        <v>196</v>
      </c>
      <c r="CH1242" s="69" t="str">
        <f t="shared" si="122"/>
        <v>خدمة عامة</v>
      </c>
    </row>
    <row r="1243" spans="1:86" x14ac:dyDescent="0.25">
      <c r="A1243" s="148"/>
      <c r="B1243" s="82"/>
      <c r="C1243" s="149">
        <v>197</v>
      </c>
      <c r="D1243" s="69" t="s">
        <v>249</v>
      </c>
      <c r="E1243" s="69" t="s">
        <v>3508</v>
      </c>
      <c r="F1243" s="63"/>
      <c r="G1243" s="69"/>
      <c r="H1243" s="69"/>
      <c r="I1243" s="69"/>
      <c r="J1243" s="69"/>
      <c r="K1243" s="69"/>
      <c r="L1243" s="69"/>
      <c r="M1243" s="69"/>
      <c r="N1243" s="69"/>
      <c r="O1243" s="69"/>
      <c r="P1243" s="69"/>
      <c r="Q1243" s="69"/>
      <c r="R1243" s="69"/>
      <c r="S1243" s="69"/>
      <c r="T1243" s="69"/>
      <c r="U1243" s="69"/>
      <c r="V1243" s="69"/>
      <c r="W1243" s="69"/>
      <c r="X1243" s="69"/>
      <c r="Y1243" s="69"/>
      <c r="Z1243" s="69"/>
      <c r="AA1243" s="69"/>
      <c r="AB1243" s="69"/>
      <c r="AC1243" s="69"/>
      <c r="AD1243" s="69"/>
      <c r="AE1243" s="69"/>
      <c r="AF1243" s="69"/>
      <c r="AG1243" s="69"/>
      <c r="AH1243" s="69"/>
      <c r="AI1243" s="69"/>
      <c r="AJ1243" s="69"/>
      <c r="AK1243" s="69"/>
      <c r="AL1243" s="69"/>
      <c r="AM1243" s="69"/>
      <c r="AN1243" s="69"/>
      <c r="AO1243" s="69"/>
      <c r="AP1243" s="69"/>
      <c r="AQ1243" s="69">
        <v>11685</v>
      </c>
      <c r="AR1243" s="94">
        <f t="shared" si="127"/>
        <v>11685</v>
      </c>
      <c r="AS1243" s="69"/>
      <c r="AT1243" s="69"/>
      <c r="AU1243" s="69"/>
      <c r="AV1243" s="69"/>
      <c r="AW1243" s="69"/>
      <c r="AX1243" s="69"/>
      <c r="AY1243" s="69"/>
      <c r="AZ1243" s="69"/>
      <c r="BA1243" s="69"/>
      <c r="BB1243" s="69"/>
      <c r="BC1243" s="69"/>
      <c r="BD1243" s="69"/>
      <c r="BE1243" s="69"/>
      <c r="BF1243" s="69"/>
      <c r="BG1243" s="69"/>
      <c r="BH1243" s="69"/>
      <c r="BI1243" s="69"/>
      <c r="BJ1243" s="69"/>
      <c r="BK1243" s="69"/>
      <c r="BL1243" s="69"/>
      <c r="BM1243" s="69"/>
      <c r="BN1243" s="69"/>
      <c r="BO1243" s="69"/>
      <c r="BP1243" s="69"/>
      <c r="BQ1243" s="69"/>
      <c r="BR1243" s="69"/>
      <c r="BS1243" s="69"/>
      <c r="BT1243" s="69"/>
      <c r="BU1243" s="69"/>
      <c r="BV1243" s="69"/>
      <c r="BW1243" s="69"/>
      <c r="BX1243" s="69"/>
      <c r="BY1243" s="69"/>
      <c r="BZ1243" s="69"/>
      <c r="CA1243" s="69"/>
      <c r="CB1243" s="69"/>
      <c r="CC1243" s="69"/>
      <c r="CD1243" s="69">
        <v>11685</v>
      </c>
      <c r="CE1243" s="94">
        <f t="shared" ref="CE1243:CE1252" si="130">SUM(AS1243:CD1243)</f>
        <v>11685</v>
      </c>
      <c r="CF1243" s="151">
        <f t="shared" si="125"/>
        <v>0</v>
      </c>
      <c r="CG1243" s="75">
        <f t="shared" si="122"/>
        <v>197</v>
      </c>
      <c r="CH1243" s="69" t="str">
        <f t="shared" si="122"/>
        <v>خدمة عامة</v>
      </c>
    </row>
    <row r="1244" spans="1:86" x14ac:dyDescent="0.25">
      <c r="A1244" s="148"/>
      <c r="B1244" s="82"/>
      <c r="C1244" s="149">
        <v>198</v>
      </c>
      <c r="D1244" s="69" t="s">
        <v>249</v>
      </c>
      <c r="E1244" s="69" t="s">
        <v>3509</v>
      </c>
      <c r="F1244" s="63"/>
      <c r="G1244" s="69"/>
      <c r="H1244" s="69"/>
      <c r="I1244" s="69"/>
      <c r="J1244" s="69"/>
      <c r="K1244" s="69"/>
      <c r="L1244" s="69"/>
      <c r="M1244" s="69"/>
      <c r="N1244" s="69"/>
      <c r="O1244" s="69"/>
      <c r="P1244" s="69"/>
      <c r="Q1244" s="69"/>
      <c r="R1244" s="69"/>
      <c r="S1244" s="69"/>
      <c r="T1244" s="69"/>
      <c r="U1244" s="69"/>
      <c r="V1244" s="69"/>
      <c r="W1244" s="69"/>
      <c r="X1244" s="69"/>
      <c r="Y1244" s="69"/>
      <c r="Z1244" s="69"/>
      <c r="AA1244" s="69"/>
      <c r="AB1244" s="69"/>
      <c r="AC1244" s="69"/>
      <c r="AD1244" s="69"/>
      <c r="AE1244" s="69"/>
      <c r="AF1244" s="69"/>
      <c r="AG1244" s="69"/>
      <c r="AH1244" s="69"/>
      <c r="AI1244" s="69"/>
      <c r="AJ1244" s="69"/>
      <c r="AK1244" s="69"/>
      <c r="AL1244" s="69"/>
      <c r="AM1244" s="69"/>
      <c r="AN1244" s="69"/>
      <c r="AO1244" s="69"/>
      <c r="AP1244" s="69"/>
      <c r="AQ1244" s="69">
        <v>6590</v>
      </c>
      <c r="AR1244" s="94">
        <f t="shared" si="127"/>
        <v>6590</v>
      </c>
      <c r="AS1244" s="69"/>
      <c r="AT1244" s="69"/>
      <c r="AU1244" s="69"/>
      <c r="AV1244" s="69"/>
      <c r="AW1244" s="69"/>
      <c r="AX1244" s="69"/>
      <c r="AY1244" s="69"/>
      <c r="AZ1244" s="69"/>
      <c r="BA1244" s="69"/>
      <c r="BB1244" s="69"/>
      <c r="BC1244" s="69"/>
      <c r="BD1244" s="69"/>
      <c r="BE1244" s="69"/>
      <c r="BF1244" s="69"/>
      <c r="BG1244" s="69"/>
      <c r="BH1244" s="69"/>
      <c r="BI1244" s="69"/>
      <c r="BJ1244" s="69"/>
      <c r="BK1244" s="69"/>
      <c r="BL1244" s="69"/>
      <c r="BM1244" s="69"/>
      <c r="BN1244" s="69"/>
      <c r="BO1244" s="69"/>
      <c r="BP1244" s="69"/>
      <c r="BQ1244" s="69"/>
      <c r="BR1244" s="69"/>
      <c r="BS1244" s="69"/>
      <c r="BT1244" s="69"/>
      <c r="BU1244" s="69"/>
      <c r="BV1244" s="69"/>
      <c r="BW1244" s="69"/>
      <c r="BX1244" s="69"/>
      <c r="BY1244" s="69"/>
      <c r="BZ1244" s="69"/>
      <c r="CA1244" s="69"/>
      <c r="CB1244" s="69"/>
      <c r="CC1244" s="69"/>
      <c r="CD1244" s="69">
        <v>6590</v>
      </c>
      <c r="CE1244" s="94">
        <f t="shared" si="130"/>
        <v>6590</v>
      </c>
      <c r="CF1244" s="151">
        <f t="shared" si="125"/>
        <v>0</v>
      </c>
      <c r="CG1244" s="75">
        <f t="shared" si="122"/>
        <v>198</v>
      </c>
      <c r="CH1244" s="69" t="str">
        <f t="shared" si="122"/>
        <v>خدمة عامة</v>
      </c>
    </row>
    <row r="1245" spans="1:86" x14ac:dyDescent="0.25">
      <c r="A1245" s="148"/>
      <c r="B1245" s="82"/>
      <c r="C1245" s="149">
        <v>199</v>
      </c>
      <c r="D1245" s="69" t="s">
        <v>249</v>
      </c>
      <c r="E1245" s="69" t="s">
        <v>3510</v>
      </c>
      <c r="F1245" s="63"/>
      <c r="G1245" s="69"/>
      <c r="H1245" s="69"/>
      <c r="I1245" s="69"/>
      <c r="J1245" s="69"/>
      <c r="K1245" s="69"/>
      <c r="L1245" s="69"/>
      <c r="M1245" s="69"/>
      <c r="N1245" s="69"/>
      <c r="O1245" s="69"/>
      <c r="P1245" s="69"/>
      <c r="Q1245" s="69"/>
      <c r="R1245" s="69"/>
      <c r="S1245" s="69"/>
      <c r="T1245" s="69"/>
      <c r="U1245" s="69"/>
      <c r="V1245" s="69"/>
      <c r="W1245" s="69"/>
      <c r="X1245" s="69"/>
      <c r="Y1245" s="69"/>
      <c r="Z1245" s="69"/>
      <c r="AA1245" s="69"/>
      <c r="AB1245" s="69"/>
      <c r="AC1245" s="69"/>
      <c r="AD1245" s="69"/>
      <c r="AE1245" s="69"/>
      <c r="AF1245" s="69"/>
      <c r="AG1245" s="69"/>
      <c r="AH1245" s="69"/>
      <c r="AI1245" s="69"/>
      <c r="AJ1245" s="69"/>
      <c r="AK1245" s="69"/>
      <c r="AL1245" s="69"/>
      <c r="AM1245" s="69"/>
      <c r="AN1245" s="69"/>
      <c r="AO1245" s="69">
        <v>19725</v>
      </c>
      <c r="AP1245" s="69"/>
      <c r="AQ1245" s="69"/>
      <c r="AR1245" s="94">
        <f t="shared" si="127"/>
        <v>19725</v>
      </c>
      <c r="AS1245" s="69"/>
      <c r="AT1245" s="69"/>
      <c r="AU1245" s="69"/>
      <c r="AV1245" s="69"/>
      <c r="AW1245" s="69"/>
      <c r="AX1245" s="69"/>
      <c r="AY1245" s="69"/>
      <c r="AZ1245" s="69"/>
      <c r="BA1245" s="69"/>
      <c r="BB1245" s="69"/>
      <c r="BC1245" s="69"/>
      <c r="BD1245" s="69"/>
      <c r="BE1245" s="69"/>
      <c r="BF1245" s="69"/>
      <c r="BG1245" s="69"/>
      <c r="BH1245" s="69"/>
      <c r="BI1245" s="69"/>
      <c r="BJ1245" s="69"/>
      <c r="BK1245" s="69"/>
      <c r="BL1245" s="69"/>
      <c r="BM1245" s="69"/>
      <c r="BN1245" s="69"/>
      <c r="BO1245" s="69"/>
      <c r="BP1245" s="69"/>
      <c r="BQ1245" s="69"/>
      <c r="BR1245" s="69"/>
      <c r="BS1245" s="69"/>
      <c r="BT1245" s="69"/>
      <c r="BU1245" s="69"/>
      <c r="BV1245" s="69"/>
      <c r="BW1245" s="69"/>
      <c r="BX1245" s="69"/>
      <c r="BY1245" s="69"/>
      <c r="BZ1245" s="69"/>
      <c r="CA1245" s="69"/>
      <c r="CB1245" s="69"/>
      <c r="CC1245" s="69">
        <v>19725</v>
      </c>
      <c r="CD1245" s="69"/>
      <c r="CE1245" s="94">
        <f t="shared" si="130"/>
        <v>19725</v>
      </c>
      <c r="CF1245" s="151">
        <f t="shared" si="125"/>
        <v>0</v>
      </c>
      <c r="CG1245" s="75">
        <f t="shared" si="122"/>
        <v>199</v>
      </c>
      <c r="CH1245" s="69" t="str">
        <f t="shared" si="122"/>
        <v>خدمة عامة</v>
      </c>
    </row>
    <row r="1246" spans="1:86" x14ac:dyDescent="0.25">
      <c r="A1246" s="148"/>
      <c r="B1246" s="82"/>
      <c r="C1246" s="149">
        <v>200</v>
      </c>
      <c r="D1246" s="69"/>
      <c r="E1246" s="69" t="s">
        <v>2645</v>
      </c>
      <c r="F1246" s="63"/>
      <c r="G1246" s="69"/>
      <c r="H1246" s="69"/>
      <c r="I1246" s="69"/>
      <c r="J1246" s="69"/>
      <c r="K1246" s="69"/>
      <c r="L1246" s="69"/>
      <c r="M1246" s="69"/>
      <c r="N1246" s="69"/>
      <c r="O1246" s="69"/>
      <c r="P1246" s="69"/>
      <c r="Q1246" s="69"/>
      <c r="R1246" s="69"/>
      <c r="S1246" s="69"/>
      <c r="T1246" s="69"/>
      <c r="U1246" s="69"/>
      <c r="V1246" s="69"/>
      <c r="W1246" s="69"/>
      <c r="X1246" s="69"/>
      <c r="Y1246" s="69"/>
      <c r="Z1246" s="69"/>
      <c r="AA1246" s="69"/>
      <c r="AB1246" s="69"/>
      <c r="AC1246" s="69"/>
      <c r="AD1246" s="69"/>
      <c r="AE1246" s="69"/>
      <c r="AF1246" s="69"/>
      <c r="AG1246" s="69"/>
      <c r="AH1246" s="69"/>
      <c r="AI1246" s="69"/>
      <c r="AJ1246" s="69">
        <v>12420</v>
      </c>
      <c r="AK1246" s="69"/>
      <c r="AL1246" s="69"/>
      <c r="AM1246" s="69"/>
      <c r="AN1246" s="69"/>
      <c r="AO1246" s="69"/>
      <c r="AP1246" s="69"/>
      <c r="AQ1246" s="69"/>
      <c r="AR1246" s="94">
        <f t="shared" si="127"/>
        <v>12420</v>
      </c>
      <c r="AS1246" s="69"/>
      <c r="AT1246" s="69"/>
      <c r="AU1246" s="69"/>
      <c r="AV1246" s="69"/>
      <c r="AW1246" s="69"/>
      <c r="AX1246" s="69"/>
      <c r="AY1246" s="69"/>
      <c r="AZ1246" s="69"/>
      <c r="BA1246" s="69"/>
      <c r="BB1246" s="69"/>
      <c r="BC1246" s="69"/>
      <c r="BD1246" s="69"/>
      <c r="BE1246" s="69"/>
      <c r="BF1246" s="69"/>
      <c r="BG1246" s="69"/>
      <c r="BH1246" s="69"/>
      <c r="BI1246" s="69"/>
      <c r="BJ1246" s="69"/>
      <c r="BK1246" s="69"/>
      <c r="BL1246" s="69"/>
      <c r="BM1246" s="69"/>
      <c r="BN1246" s="69"/>
      <c r="BO1246" s="69"/>
      <c r="BP1246" s="69"/>
      <c r="BQ1246" s="69"/>
      <c r="BR1246" s="69"/>
      <c r="BS1246" s="69"/>
      <c r="BT1246" s="69"/>
      <c r="BU1246" s="69"/>
      <c r="BV1246" s="69">
        <v>12420</v>
      </c>
      <c r="BW1246" s="69"/>
      <c r="BX1246" s="69"/>
      <c r="BY1246" s="69"/>
      <c r="BZ1246" s="69"/>
      <c r="CA1246" s="69"/>
      <c r="CB1246" s="69"/>
      <c r="CC1246" s="69"/>
      <c r="CD1246" s="69"/>
      <c r="CE1246" s="94">
        <f t="shared" si="130"/>
        <v>12420</v>
      </c>
      <c r="CF1246" s="151">
        <f t="shared" si="125"/>
        <v>0</v>
      </c>
      <c r="CG1246" s="75">
        <f t="shared" si="122"/>
        <v>200</v>
      </c>
      <c r="CH1246" s="69">
        <f t="shared" si="122"/>
        <v>0</v>
      </c>
    </row>
    <row r="1247" spans="1:86" x14ac:dyDescent="0.25">
      <c r="A1247" s="148"/>
      <c r="B1247" s="82"/>
      <c r="C1247" s="149">
        <v>201</v>
      </c>
      <c r="D1247" s="69"/>
      <c r="E1247" s="69" t="s">
        <v>3511</v>
      </c>
      <c r="F1247" s="63"/>
      <c r="G1247" s="69"/>
      <c r="H1247" s="69"/>
      <c r="I1247" s="69"/>
      <c r="J1247" s="69"/>
      <c r="K1247" s="69"/>
      <c r="L1247" s="69"/>
      <c r="M1247" s="69"/>
      <c r="N1247" s="69"/>
      <c r="O1247" s="69"/>
      <c r="P1247" s="69"/>
      <c r="Q1247" s="69"/>
      <c r="R1247" s="69"/>
      <c r="S1247" s="69"/>
      <c r="T1247" s="69"/>
      <c r="U1247" s="69"/>
      <c r="V1247" s="69"/>
      <c r="W1247" s="69"/>
      <c r="X1247" s="69"/>
      <c r="Y1247" s="69"/>
      <c r="Z1247" s="69"/>
      <c r="AA1247" s="69"/>
      <c r="AB1247" s="69"/>
      <c r="AC1247" s="69"/>
      <c r="AD1247" s="69"/>
      <c r="AE1247" s="69"/>
      <c r="AF1247" s="69"/>
      <c r="AG1247" s="69"/>
      <c r="AH1247" s="69"/>
      <c r="AI1247" s="69"/>
      <c r="AJ1247" s="69">
        <v>12300</v>
      </c>
      <c r="AK1247" s="69"/>
      <c r="AL1247" s="69"/>
      <c r="AM1247" s="69"/>
      <c r="AN1247" s="69"/>
      <c r="AO1247" s="69"/>
      <c r="AP1247" s="69"/>
      <c r="AQ1247" s="69"/>
      <c r="AR1247" s="94">
        <f t="shared" si="127"/>
        <v>12300</v>
      </c>
      <c r="AS1247" s="69"/>
      <c r="AT1247" s="69"/>
      <c r="AU1247" s="69"/>
      <c r="AV1247" s="69"/>
      <c r="AW1247" s="69"/>
      <c r="AX1247" s="69"/>
      <c r="AY1247" s="69"/>
      <c r="AZ1247" s="69"/>
      <c r="BA1247" s="69"/>
      <c r="BB1247" s="69"/>
      <c r="BC1247" s="69"/>
      <c r="BD1247" s="69"/>
      <c r="BE1247" s="69"/>
      <c r="BF1247" s="69"/>
      <c r="BG1247" s="69"/>
      <c r="BH1247" s="69"/>
      <c r="BI1247" s="69"/>
      <c r="BJ1247" s="69"/>
      <c r="BK1247" s="69"/>
      <c r="BL1247" s="69"/>
      <c r="BM1247" s="69"/>
      <c r="BN1247" s="69"/>
      <c r="BO1247" s="69"/>
      <c r="BP1247" s="69"/>
      <c r="BQ1247" s="69"/>
      <c r="BR1247" s="69"/>
      <c r="BS1247" s="69"/>
      <c r="BT1247" s="69"/>
      <c r="BU1247" s="69"/>
      <c r="BV1247" s="69">
        <v>12300</v>
      </c>
      <c r="BW1247" s="69"/>
      <c r="BX1247" s="69"/>
      <c r="BY1247" s="69"/>
      <c r="BZ1247" s="69"/>
      <c r="CA1247" s="69"/>
      <c r="CB1247" s="69"/>
      <c r="CC1247" s="69"/>
      <c r="CD1247" s="69"/>
      <c r="CE1247" s="94">
        <f t="shared" si="130"/>
        <v>12300</v>
      </c>
      <c r="CF1247" s="151">
        <f t="shared" si="125"/>
        <v>0</v>
      </c>
      <c r="CG1247" s="75">
        <f t="shared" si="122"/>
        <v>201</v>
      </c>
      <c r="CH1247" s="69">
        <f t="shared" si="122"/>
        <v>0</v>
      </c>
    </row>
    <row r="1248" spans="1:86" x14ac:dyDescent="0.25">
      <c r="A1248" s="148"/>
      <c r="B1248" s="82"/>
      <c r="C1248" s="149">
        <v>202</v>
      </c>
      <c r="D1248" s="69"/>
      <c r="E1248" s="69" t="str">
        <f>+E1246</f>
        <v>خطاب ضمان مكتب الاندلس للمقاولات</v>
      </c>
      <c r="F1248" s="63"/>
      <c r="G1248" s="69"/>
      <c r="H1248" s="69"/>
      <c r="I1248" s="69"/>
      <c r="J1248" s="69"/>
      <c r="K1248" s="69"/>
      <c r="L1248" s="69"/>
      <c r="M1248" s="69"/>
      <c r="N1248" s="69"/>
      <c r="O1248" s="69"/>
      <c r="P1248" s="69"/>
      <c r="Q1248" s="69"/>
      <c r="R1248" s="69"/>
      <c r="S1248" s="69"/>
      <c r="T1248" s="69"/>
      <c r="U1248" s="69"/>
      <c r="V1248" s="69"/>
      <c r="W1248" s="69"/>
      <c r="X1248" s="69"/>
      <c r="Y1248" s="69"/>
      <c r="Z1248" s="69"/>
      <c r="AA1248" s="69"/>
      <c r="AB1248" s="69"/>
      <c r="AC1248" s="69"/>
      <c r="AD1248" s="69"/>
      <c r="AE1248" s="69"/>
      <c r="AF1248" s="69"/>
      <c r="AG1248" s="69"/>
      <c r="AH1248" s="69"/>
      <c r="AI1248" s="69"/>
      <c r="AJ1248" s="69">
        <v>24900</v>
      </c>
      <c r="AK1248" s="69"/>
      <c r="AL1248" s="69"/>
      <c r="AM1248" s="69"/>
      <c r="AN1248" s="69"/>
      <c r="AO1248" s="69"/>
      <c r="AP1248" s="69"/>
      <c r="AQ1248" s="69"/>
      <c r="AR1248" s="94">
        <f t="shared" si="127"/>
        <v>24900</v>
      </c>
      <c r="AS1248" s="69"/>
      <c r="AT1248" s="69"/>
      <c r="AU1248" s="69"/>
      <c r="AV1248" s="69"/>
      <c r="AW1248" s="69"/>
      <c r="AX1248" s="69"/>
      <c r="AY1248" s="69"/>
      <c r="AZ1248" s="69"/>
      <c r="BA1248" s="69"/>
      <c r="BB1248" s="69"/>
      <c r="BC1248" s="69"/>
      <c r="BD1248" s="69"/>
      <c r="BE1248" s="69"/>
      <c r="BF1248" s="69"/>
      <c r="BG1248" s="69"/>
      <c r="BH1248" s="69"/>
      <c r="BI1248" s="69"/>
      <c r="BJ1248" s="69"/>
      <c r="BK1248" s="69"/>
      <c r="BL1248" s="69"/>
      <c r="BM1248" s="69"/>
      <c r="BN1248" s="69"/>
      <c r="BO1248" s="69"/>
      <c r="BP1248" s="69"/>
      <c r="BQ1248" s="69"/>
      <c r="BR1248" s="69"/>
      <c r="BS1248" s="69"/>
      <c r="BT1248" s="69"/>
      <c r="BU1248" s="69"/>
      <c r="BV1248" s="69">
        <v>24900</v>
      </c>
      <c r="BW1248" s="69"/>
      <c r="BX1248" s="69"/>
      <c r="BY1248" s="69"/>
      <c r="BZ1248" s="69"/>
      <c r="CA1248" s="69"/>
      <c r="CB1248" s="69"/>
      <c r="CC1248" s="69"/>
      <c r="CD1248" s="69"/>
      <c r="CE1248" s="94">
        <f t="shared" si="130"/>
        <v>24900</v>
      </c>
      <c r="CF1248" s="151">
        <f t="shared" si="125"/>
        <v>0</v>
      </c>
      <c r="CG1248" s="75">
        <f t="shared" si="122"/>
        <v>202</v>
      </c>
      <c r="CH1248" s="69">
        <f t="shared" si="122"/>
        <v>0</v>
      </c>
    </row>
    <row r="1249" spans="1:92" x14ac:dyDescent="0.25">
      <c r="A1249" s="148"/>
      <c r="B1249" s="82"/>
      <c r="C1249" s="149">
        <v>203</v>
      </c>
      <c r="D1249" s="69" t="s">
        <v>249</v>
      </c>
      <c r="E1249" s="69" t="s">
        <v>3512</v>
      </c>
      <c r="F1249" s="63"/>
      <c r="G1249" s="69"/>
      <c r="H1249" s="69"/>
      <c r="I1249" s="69"/>
      <c r="J1249" s="69"/>
      <c r="K1249" s="69"/>
      <c r="L1249" s="69"/>
      <c r="M1249" s="69"/>
      <c r="N1249" s="69"/>
      <c r="O1249" s="69"/>
      <c r="P1249" s="69"/>
      <c r="Q1249" s="69"/>
      <c r="R1249" s="69"/>
      <c r="S1249" s="69"/>
      <c r="T1249" s="69"/>
      <c r="U1249" s="69"/>
      <c r="V1249" s="69"/>
      <c r="W1249" s="69"/>
      <c r="X1249" s="69"/>
      <c r="Y1249" s="69"/>
      <c r="Z1249" s="69"/>
      <c r="AA1249" s="69"/>
      <c r="AB1249" s="69"/>
      <c r="AC1249" s="69"/>
      <c r="AD1249" s="69"/>
      <c r="AE1249" s="69"/>
      <c r="AF1249" s="69"/>
      <c r="AG1249" s="69"/>
      <c r="AH1249" s="69"/>
      <c r="AI1249" s="69"/>
      <c r="AJ1249" s="69"/>
      <c r="AK1249" s="69"/>
      <c r="AL1249" s="69"/>
      <c r="AM1249" s="69"/>
      <c r="AN1249" s="69"/>
      <c r="AO1249" s="69"/>
      <c r="AP1249" s="69"/>
      <c r="AQ1249" s="69">
        <v>4590</v>
      </c>
      <c r="AR1249" s="94">
        <f t="shared" si="127"/>
        <v>4590</v>
      </c>
      <c r="AS1249" s="69"/>
      <c r="AT1249" s="69"/>
      <c r="AU1249" s="69"/>
      <c r="AV1249" s="69"/>
      <c r="AW1249" s="69"/>
      <c r="AX1249" s="69"/>
      <c r="AY1249" s="69"/>
      <c r="AZ1249" s="69"/>
      <c r="BA1249" s="69"/>
      <c r="BB1249" s="69"/>
      <c r="BC1249" s="69"/>
      <c r="BD1249" s="69"/>
      <c r="BE1249" s="69"/>
      <c r="BF1249" s="69"/>
      <c r="BG1249" s="69"/>
      <c r="BH1249" s="69"/>
      <c r="BI1249" s="69"/>
      <c r="BJ1249" s="69"/>
      <c r="BK1249" s="69"/>
      <c r="BL1249" s="69"/>
      <c r="BM1249" s="69"/>
      <c r="BN1249" s="69"/>
      <c r="BO1249" s="69"/>
      <c r="BP1249" s="69"/>
      <c r="BQ1249" s="69"/>
      <c r="BR1249" s="69"/>
      <c r="BS1249" s="69"/>
      <c r="BT1249" s="69"/>
      <c r="BU1249" s="69"/>
      <c r="BV1249" s="69"/>
      <c r="BW1249" s="69"/>
      <c r="BX1249" s="69"/>
      <c r="BY1249" s="69"/>
      <c r="BZ1249" s="69"/>
      <c r="CA1249" s="69"/>
      <c r="CB1249" s="69"/>
      <c r="CC1249" s="69"/>
      <c r="CD1249" s="69">
        <v>4590</v>
      </c>
      <c r="CE1249" s="94">
        <f t="shared" si="130"/>
        <v>4590</v>
      </c>
      <c r="CF1249" s="151">
        <f t="shared" si="125"/>
        <v>0</v>
      </c>
      <c r="CG1249" s="75">
        <f t="shared" si="122"/>
        <v>203</v>
      </c>
      <c r="CH1249" s="69" t="str">
        <f t="shared" si="122"/>
        <v>خدمة عامة</v>
      </c>
    </row>
    <row r="1250" spans="1:92" x14ac:dyDescent="0.25">
      <c r="A1250" s="148"/>
      <c r="B1250" s="82"/>
      <c r="C1250" s="149">
        <v>204</v>
      </c>
      <c r="D1250" s="69" t="s">
        <v>249</v>
      </c>
      <c r="E1250" s="69" t="s">
        <v>3513</v>
      </c>
      <c r="F1250" s="63"/>
      <c r="G1250" s="69"/>
      <c r="H1250" s="69"/>
      <c r="I1250" s="69"/>
      <c r="J1250" s="69"/>
      <c r="K1250" s="69"/>
      <c r="L1250" s="69"/>
      <c r="M1250" s="69"/>
      <c r="N1250" s="69"/>
      <c r="O1250" s="69"/>
      <c r="P1250" s="69"/>
      <c r="Q1250" s="69"/>
      <c r="R1250" s="69"/>
      <c r="S1250" s="69"/>
      <c r="T1250" s="69"/>
      <c r="U1250" s="69"/>
      <c r="V1250" s="69"/>
      <c r="W1250" s="69"/>
      <c r="X1250" s="69"/>
      <c r="Y1250" s="69"/>
      <c r="Z1250" s="69"/>
      <c r="AA1250" s="69"/>
      <c r="AB1250" s="69"/>
      <c r="AC1250" s="69"/>
      <c r="AD1250" s="69"/>
      <c r="AE1250" s="69"/>
      <c r="AF1250" s="69"/>
      <c r="AG1250" s="69"/>
      <c r="AH1250" s="69"/>
      <c r="AI1250" s="69"/>
      <c r="AJ1250" s="69"/>
      <c r="AK1250" s="69"/>
      <c r="AL1250" s="69"/>
      <c r="AM1250" s="69"/>
      <c r="AN1250" s="69"/>
      <c r="AO1250" s="69"/>
      <c r="AP1250" s="69"/>
      <c r="AQ1250" s="69">
        <v>10195</v>
      </c>
      <c r="AR1250" s="94">
        <f t="shared" si="127"/>
        <v>10195</v>
      </c>
      <c r="AS1250" s="69"/>
      <c r="AT1250" s="69"/>
      <c r="AU1250" s="69"/>
      <c r="AV1250" s="69"/>
      <c r="AW1250" s="69"/>
      <c r="AX1250" s="69"/>
      <c r="AY1250" s="69"/>
      <c r="AZ1250" s="69"/>
      <c r="BA1250" s="69"/>
      <c r="BB1250" s="69"/>
      <c r="BC1250" s="69"/>
      <c r="BD1250" s="69"/>
      <c r="BE1250" s="69"/>
      <c r="BF1250" s="69"/>
      <c r="BG1250" s="69"/>
      <c r="BH1250" s="69"/>
      <c r="BI1250" s="69"/>
      <c r="BJ1250" s="69"/>
      <c r="BK1250" s="69"/>
      <c r="BL1250" s="69"/>
      <c r="BM1250" s="69"/>
      <c r="BN1250" s="69"/>
      <c r="BO1250" s="69"/>
      <c r="BP1250" s="69"/>
      <c r="BQ1250" s="69"/>
      <c r="BR1250" s="69"/>
      <c r="BS1250" s="69"/>
      <c r="BT1250" s="69"/>
      <c r="BU1250" s="69"/>
      <c r="BV1250" s="69"/>
      <c r="BW1250" s="69"/>
      <c r="BX1250" s="69"/>
      <c r="BY1250" s="69"/>
      <c r="BZ1250" s="69"/>
      <c r="CA1250" s="69"/>
      <c r="CB1250" s="69"/>
      <c r="CC1250" s="69"/>
      <c r="CD1250" s="69">
        <v>10195</v>
      </c>
      <c r="CE1250" s="94">
        <f t="shared" si="130"/>
        <v>10195</v>
      </c>
      <c r="CF1250" s="151">
        <f t="shared" si="125"/>
        <v>0</v>
      </c>
      <c r="CG1250" s="75">
        <f t="shared" si="122"/>
        <v>204</v>
      </c>
      <c r="CH1250" s="69" t="str">
        <f t="shared" si="122"/>
        <v>خدمة عامة</v>
      </c>
    </row>
    <row r="1251" spans="1:92" x14ac:dyDescent="0.25">
      <c r="A1251" s="148"/>
      <c r="B1251" s="82"/>
      <c r="C1251" s="149">
        <v>205</v>
      </c>
      <c r="D1251" s="69" t="s">
        <v>122</v>
      </c>
      <c r="E1251" s="69" t="s">
        <v>3514</v>
      </c>
      <c r="F1251" s="63"/>
      <c r="G1251" s="69"/>
      <c r="H1251" s="69"/>
      <c r="I1251" s="69"/>
      <c r="J1251" s="69"/>
      <c r="K1251" s="69"/>
      <c r="L1251" s="69"/>
      <c r="M1251" s="69"/>
      <c r="N1251" s="69"/>
      <c r="O1251" s="69"/>
      <c r="P1251" s="69"/>
      <c r="Q1251" s="69"/>
      <c r="R1251" s="69"/>
      <c r="S1251" s="69"/>
      <c r="T1251" s="69"/>
      <c r="U1251" s="69"/>
      <c r="V1251" s="69"/>
      <c r="W1251" s="69"/>
      <c r="X1251" s="69"/>
      <c r="Y1251" s="69"/>
      <c r="Z1251" s="69"/>
      <c r="AA1251" s="69"/>
      <c r="AB1251" s="69"/>
      <c r="AC1251" s="69"/>
      <c r="AD1251" s="69"/>
      <c r="AE1251" s="69"/>
      <c r="AF1251" s="69"/>
      <c r="AG1251" s="69"/>
      <c r="AH1251" s="69"/>
      <c r="AI1251" s="69"/>
      <c r="AJ1251" s="69"/>
      <c r="AK1251" s="69"/>
      <c r="AL1251" s="69"/>
      <c r="AM1251" s="69"/>
      <c r="AN1251" s="69"/>
      <c r="AO1251" s="69"/>
      <c r="AP1251" s="69"/>
      <c r="AQ1251" s="69">
        <v>150</v>
      </c>
      <c r="AR1251" s="94">
        <f t="shared" si="127"/>
        <v>150</v>
      </c>
      <c r="AS1251" s="69"/>
      <c r="AT1251" s="69"/>
      <c r="AU1251" s="69"/>
      <c r="AV1251" s="69"/>
      <c r="AW1251" s="69"/>
      <c r="AX1251" s="69"/>
      <c r="AY1251" s="69"/>
      <c r="AZ1251" s="69"/>
      <c r="BA1251" s="69"/>
      <c r="BB1251" s="69"/>
      <c r="BC1251" s="69"/>
      <c r="BD1251" s="69"/>
      <c r="BE1251" s="69"/>
      <c r="BF1251" s="69"/>
      <c r="BG1251" s="69"/>
      <c r="BH1251" s="69"/>
      <c r="BI1251" s="69"/>
      <c r="BJ1251" s="69"/>
      <c r="BK1251" s="69"/>
      <c r="BL1251" s="69"/>
      <c r="BM1251" s="69"/>
      <c r="BN1251" s="69"/>
      <c r="BO1251" s="69"/>
      <c r="BP1251" s="69"/>
      <c r="BQ1251" s="69"/>
      <c r="BR1251" s="69"/>
      <c r="BS1251" s="69"/>
      <c r="BT1251" s="69"/>
      <c r="BU1251" s="69"/>
      <c r="BV1251" s="69"/>
      <c r="BW1251" s="69"/>
      <c r="BX1251" s="69"/>
      <c r="BY1251" s="69"/>
      <c r="BZ1251" s="69"/>
      <c r="CA1251" s="69"/>
      <c r="CB1251" s="69"/>
      <c r="CC1251" s="69"/>
      <c r="CD1251" s="69">
        <v>150</v>
      </c>
      <c r="CE1251" s="94">
        <f t="shared" si="130"/>
        <v>150</v>
      </c>
      <c r="CF1251" s="151">
        <f t="shared" si="125"/>
        <v>0</v>
      </c>
      <c r="CG1251" s="75">
        <f t="shared" si="122"/>
        <v>205</v>
      </c>
      <c r="CH1251" s="69" t="str">
        <f t="shared" si="122"/>
        <v>علاج تخصصى</v>
      </c>
    </row>
    <row r="1252" spans="1:92" x14ac:dyDescent="0.25">
      <c r="A1252" s="148"/>
      <c r="B1252" s="82"/>
      <c r="C1252" s="149">
        <v>206</v>
      </c>
      <c r="D1252" s="69" t="s">
        <v>122</v>
      </c>
      <c r="E1252" s="69" t="s">
        <v>3515</v>
      </c>
      <c r="F1252" s="63"/>
      <c r="G1252" s="69"/>
      <c r="H1252" s="69"/>
      <c r="I1252" s="69"/>
      <c r="J1252" s="69"/>
      <c r="K1252" s="69"/>
      <c r="L1252" s="69"/>
      <c r="M1252" s="69"/>
      <c r="N1252" s="69"/>
      <c r="O1252" s="69"/>
      <c r="P1252" s="69"/>
      <c r="Q1252" s="69"/>
      <c r="R1252" s="69"/>
      <c r="S1252" s="69"/>
      <c r="T1252" s="69"/>
      <c r="U1252" s="69"/>
      <c r="V1252" s="69"/>
      <c r="W1252" s="69"/>
      <c r="X1252" s="69"/>
      <c r="Y1252" s="69"/>
      <c r="Z1252" s="69"/>
      <c r="AA1252" s="69"/>
      <c r="AB1252" s="69"/>
      <c r="AC1252" s="69"/>
      <c r="AD1252" s="69"/>
      <c r="AE1252" s="69"/>
      <c r="AF1252" s="69"/>
      <c r="AG1252" s="69"/>
      <c r="AH1252" s="69"/>
      <c r="AI1252" s="69"/>
      <c r="AJ1252" s="69"/>
      <c r="AK1252" s="69"/>
      <c r="AL1252" s="69"/>
      <c r="AM1252" s="69"/>
      <c r="AN1252" s="69"/>
      <c r="AO1252" s="69"/>
      <c r="AP1252" s="69"/>
      <c r="AQ1252" s="69">
        <v>550</v>
      </c>
      <c r="AR1252" s="94">
        <f t="shared" si="127"/>
        <v>550</v>
      </c>
      <c r="AS1252" s="69"/>
      <c r="AT1252" s="69"/>
      <c r="AU1252" s="69"/>
      <c r="AV1252" s="69"/>
      <c r="AW1252" s="69"/>
      <c r="AX1252" s="69"/>
      <c r="AY1252" s="69"/>
      <c r="AZ1252" s="69"/>
      <c r="BA1252" s="69"/>
      <c r="BB1252" s="69"/>
      <c r="BC1252" s="69"/>
      <c r="BD1252" s="69"/>
      <c r="BE1252" s="69"/>
      <c r="BF1252" s="69"/>
      <c r="BG1252" s="69"/>
      <c r="BH1252" s="69"/>
      <c r="BI1252" s="69"/>
      <c r="BJ1252" s="69"/>
      <c r="BK1252" s="69"/>
      <c r="BL1252" s="69"/>
      <c r="BM1252" s="69"/>
      <c r="BN1252" s="69"/>
      <c r="BO1252" s="69"/>
      <c r="BP1252" s="69"/>
      <c r="BQ1252" s="69"/>
      <c r="BR1252" s="69"/>
      <c r="BS1252" s="69"/>
      <c r="BT1252" s="69"/>
      <c r="BU1252" s="69"/>
      <c r="BV1252" s="69"/>
      <c r="BW1252" s="69"/>
      <c r="BX1252" s="69"/>
      <c r="BY1252" s="69"/>
      <c r="BZ1252" s="69"/>
      <c r="CA1252" s="69"/>
      <c r="CB1252" s="69"/>
      <c r="CC1252" s="69"/>
      <c r="CD1252" s="69">
        <v>550</v>
      </c>
      <c r="CE1252" s="94">
        <f t="shared" si="130"/>
        <v>550</v>
      </c>
      <c r="CF1252" s="151">
        <f t="shared" si="125"/>
        <v>0</v>
      </c>
      <c r="CG1252" s="75">
        <f t="shared" si="122"/>
        <v>206</v>
      </c>
      <c r="CH1252" s="69" t="str">
        <f t="shared" si="122"/>
        <v>علاج تخصصى</v>
      </c>
    </row>
    <row r="1253" spans="1:92" s="156" customFormat="1" x14ac:dyDescent="0.25">
      <c r="A1253" s="153"/>
      <c r="B1253" s="83"/>
      <c r="C1253" s="154"/>
      <c r="D1253" s="69"/>
      <c r="E1253" s="68" t="s">
        <v>3516</v>
      </c>
      <c r="F1253" s="68"/>
      <c r="G1253" s="68"/>
      <c r="H1253" s="68"/>
      <c r="I1253" s="68"/>
      <c r="J1253" s="68"/>
      <c r="K1253" s="68"/>
      <c r="L1253" s="68"/>
      <c r="M1253" s="68"/>
      <c r="N1253" s="68"/>
      <c r="O1253" s="68"/>
      <c r="P1253" s="68"/>
      <c r="Q1253" s="68">
        <f>SUM(Q1227:Q1252)</f>
        <v>6000</v>
      </c>
      <c r="R1253" s="68">
        <f t="shared" ref="R1253:CC1253" si="131">SUM(R1227:R1252)</f>
        <v>0</v>
      </c>
      <c r="S1253" s="68">
        <f t="shared" si="131"/>
        <v>0</v>
      </c>
      <c r="T1253" s="68">
        <f t="shared" si="131"/>
        <v>0</v>
      </c>
      <c r="U1253" s="68">
        <f t="shared" si="131"/>
        <v>0</v>
      </c>
      <c r="V1253" s="68">
        <f t="shared" si="131"/>
        <v>0</v>
      </c>
      <c r="W1253" s="68">
        <f t="shared" si="131"/>
        <v>0</v>
      </c>
      <c r="X1253" s="68">
        <f t="shared" si="131"/>
        <v>0</v>
      </c>
      <c r="Y1253" s="68">
        <f t="shared" si="131"/>
        <v>0</v>
      </c>
      <c r="Z1253" s="68">
        <f t="shared" si="131"/>
        <v>0</v>
      </c>
      <c r="AA1253" s="68">
        <f t="shared" si="131"/>
        <v>0</v>
      </c>
      <c r="AB1253" s="68">
        <f t="shared" si="131"/>
        <v>0</v>
      </c>
      <c r="AC1253" s="68">
        <f t="shared" si="131"/>
        <v>307850</v>
      </c>
      <c r="AD1253" s="68">
        <f t="shared" si="131"/>
        <v>0</v>
      </c>
      <c r="AE1253" s="68">
        <f t="shared" si="131"/>
        <v>0</v>
      </c>
      <c r="AF1253" s="68">
        <f t="shared" si="131"/>
        <v>0</v>
      </c>
      <c r="AG1253" s="68">
        <f t="shared" si="131"/>
        <v>0</v>
      </c>
      <c r="AH1253" s="68">
        <f t="shared" si="131"/>
        <v>0</v>
      </c>
      <c r="AI1253" s="68">
        <f t="shared" si="131"/>
        <v>0</v>
      </c>
      <c r="AJ1253" s="68">
        <f t="shared" si="131"/>
        <v>49620</v>
      </c>
      <c r="AK1253" s="68">
        <f t="shared" si="131"/>
        <v>0</v>
      </c>
      <c r="AL1253" s="68">
        <f t="shared" si="131"/>
        <v>0</v>
      </c>
      <c r="AM1253" s="68">
        <f t="shared" si="131"/>
        <v>0</v>
      </c>
      <c r="AN1253" s="68">
        <f t="shared" si="131"/>
        <v>0</v>
      </c>
      <c r="AO1253" s="68">
        <f t="shared" si="131"/>
        <v>19725</v>
      </c>
      <c r="AP1253" s="68">
        <f t="shared" si="131"/>
        <v>0</v>
      </c>
      <c r="AQ1253" s="68">
        <f t="shared" si="131"/>
        <v>92645</v>
      </c>
      <c r="AR1253" s="68">
        <f t="shared" si="131"/>
        <v>475840</v>
      </c>
      <c r="AS1253" s="68">
        <f t="shared" si="131"/>
        <v>0</v>
      </c>
      <c r="AT1253" s="68">
        <f t="shared" si="131"/>
        <v>0</v>
      </c>
      <c r="AU1253" s="68">
        <f t="shared" si="131"/>
        <v>0</v>
      </c>
      <c r="AV1253" s="68">
        <f t="shared" si="131"/>
        <v>0</v>
      </c>
      <c r="AW1253" s="68">
        <f t="shared" si="131"/>
        <v>0</v>
      </c>
      <c r="AX1253" s="68">
        <f t="shared" si="131"/>
        <v>0</v>
      </c>
      <c r="AY1253" s="68">
        <f t="shared" si="131"/>
        <v>0</v>
      </c>
      <c r="AZ1253" s="68">
        <f t="shared" si="131"/>
        <v>0</v>
      </c>
      <c r="BA1253" s="68">
        <f t="shared" si="131"/>
        <v>0</v>
      </c>
      <c r="BB1253" s="68">
        <f t="shared" si="131"/>
        <v>0</v>
      </c>
      <c r="BC1253" s="68">
        <f t="shared" si="131"/>
        <v>0</v>
      </c>
      <c r="BD1253" s="68">
        <f t="shared" si="131"/>
        <v>0</v>
      </c>
      <c r="BE1253" s="68">
        <f t="shared" si="131"/>
        <v>0</v>
      </c>
      <c r="BF1253" s="68">
        <f t="shared" si="131"/>
        <v>0</v>
      </c>
      <c r="BG1253" s="68">
        <f t="shared" si="131"/>
        <v>0</v>
      </c>
      <c r="BH1253" s="68">
        <f t="shared" si="131"/>
        <v>0</v>
      </c>
      <c r="BI1253" s="68">
        <f t="shared" si="131"/>
        <v>0</v>
      </c>
      <c r="BJ1253" s="68">
        <f t="shared" si="131"/>
        <v>0</v>
      </c>
      <c r="BK1253" s="68">
        <f t="shared" si="131"/>
        <v>0</v>
      </c>
      <c r="BL1253" s="68">
        <f t="shared" si="131"/>
        <v>0</v>
      </c>
      <c r="BM1253" s="68">
        <f t="shared" si="131"/>
        <v>0</v>
      </c>
      <c r="BN1253" s="68">
        <f t="shared" si="131"/>
        <v>0</v>
      </c>
      <c r="BO1253" s="68">
        <f t="shared" si="131"/>
        <v>0</v>
      </c>
      <c r="BP1253" s="68">
        <f t="shared" si="131"/>
        <v>0</v>
      </c>
      <c r="BQ1253" s="68">
        <f t="shared" si="131"/>
        <v>6000</v>
      </c>
      <c r="BR1253" s="68">
        <f t="shared" si="131"/>
        <v>307850</v>
      </c>
      <c r="BS1253" s="68">
        <f t="shared" si="131"/>
        <v>0</v>
      </c>
      <c r="BT1253" s="68">
        <f t="shared" si="131"/>
        <v>0</v>
      </c>
      <c r="BU1253" s="68">
        <f t="shared" si="131"/>
        <v>0</v>
      </c>
      <c r="BV1253" s="68">
        <f t="shared" si="131"/>
        <v>49620</v>
      </c>
      <c r="BW1253" s="68">
        <f t="shared" si="131"/>
        <v>0</v>
      </c>
      <c r="BX1253" s="68">
        <f t="shared" si="131"/>
        <v>0</v>
      </c>
      <c r="BY1253" s="68">
        <f t="shared" si="131"/>
        <v>0</v>
      </c>
      <c r="BZ1253" s="68">
        <f t="shared" si="131"/>
        <v>0</v>
      </c>
      <c r="CA1253" s="68">
        <f t="shared" si="131"/>
        <v>0</v>
      </c>
      <c r="CB1253" s="68">
        <f t="shared" si="131"/>
        <v>0</v>
      </c>
      <c r="CC1253" s="68">
        <f t="shared" si="131"/>
        <v>19725</v>
      </c>
      <c r="CD1253" s="68">
        <f t="shared" ref="CD1253:CJ1253" si="132">SUM(CD1227:CD1252)</f>
        <v>92645</v>
      </c>
      <c r="CE1253" s="68">
        <f t="shared" si="132"/>
        <v>475840</v>
      </c>
      <c r="CF1253" s="68">
        <f t="shared" si="132"/>
        <v>0</v>
      </c>
      <c r="CG1253" s="68"/>
      <c r="CH1253" s="68">
        <f t="shared" si="132"/>
        <v>0</v>
      </c>
      <c r="CI1253" s="68">
        <f t="shared" si="132"/>
        <v>0</v>
      </c>
      <c r="CJ1253" s="68">
        <f t="shared" si="132"/>
        <v>0</v>
      </c>
      <c r="CK1253" s="68">
        <f>SUM(CK1227:CK1252)</f>
        <v>0</v>
      </c>
      <c r="CL1253" s="68">
        <f>SUM(CL1227:CL1252)</f>
        <v>0</v>
      </c>
      <c r="CM1253" s="68">
        <f>SUM(CM1227:CM1252)</f>
        <v>0</v>
      </c>
      <c r="CN1253" s="68">
        <f>SUM(CN1227:CN1252)</f>
        <v>0</v>
      </c>
    </row>
    <row r="1254" spans="1:92" ht="72" x14ac:dyDescent="0.25">
      <c r="A1254" s="148"/>
      <c r="B1254" s="82"/>
      <c r="C1254" s="149">
        <v>207</v>
      </c>
      <c r="D1254" s="69"/>
      <c r="E1254" s="77" t="s">
        <v>3517</v>
      </c>
      <c r="F1254" s="63"/>
      <c r="G1254" s="69"/>
      <c r="H1254" s="69">
        <v>1400000</v>
      </c>
      <c r="I1254" s="69"/>
      <c r="J1254" s="69"/>
      <c r="K1254" s="69"/>
      <c r="L1254" s="69"/>
      <c r="M1254" s="69"/>
      <c r="N1254" s="69"/>
      <c r="O1254" s="69"/>
      <c r="P1254" s="69"/>
      <c r="Q1254" s="69"/>
      <c r="R1254" s="69"/>
      <c r="S1254" s="69"/>
      <c r="T1254" s="69"/>
      <c r="U1254" s="69"/>
      <c r="V1254" s="69"/>
      <c r="W1254" s="69"/>
      <c r="X1254" s="69"/>
      <c r="Y1254" s="69"/>
      <c r="Z1254" s="69"/>
      <c r="AA1254" s="69"/>
      <c r="AB1254" s="69"/>
      <c r="AC1254" s="69"/>
      <c r="AD1254" s="69"/>
      <c r="AE1254" s="69"/>
      <c r="AF1254" s="69"/>
      <c r="AG1254" s="69"/>
      <c r="AH1254" s="69"/>
      <c r="AI1254" s="69"/>
      <c r="AJ1254" s="69"/>
      <c r="AK1254" s="69"/>
      <c r="AL1254" s="69"/>
      <c r="AM1254" s="69"/>
      <c r="AN1254" s="69"/>
      <c r="AO1254" s="69"/>
      <c r="AP1254" s="69"/>
      <c r="AQ1254" s="69"/>
      <c r="AR1254" s="94">
        <f t="shared" si="127"/>
        <v>1400000</v>
      </c>
      <c r="AS1254" s="69"/>
      <c r="AT1254" s="69"/>
      <c r="AU1254" s="69"/>
      <c r="AV1254" s="69"/>
      <c r="AW1254" s="69"/>
      <c r="AX1254" s="69"/>
      <c r="AY1254" s="69"/>
      <c r="AZ1254" s="69"/>
      <c r="BA1254" s="69"/>
      <c r="BB1254" s="69"/>
      <c r="BC1254" s="69"/>
      <c r="BD1254" s="69"/>
      <c r="BE1254" s="69"/>
      <c r="BF1254" s="69">
        <v>1400000</v>
      </c>
      <c r="BG1254" s="69"/>
      <c r="BH1254" s="69"/>
      <c r="BI1254" s="69"/>
      <c r="BJ1254" s="69"/>
      <c r="BK1254" s="69"/>
      <c r="BL1254" s="69"/>
      <c r="BM1254" s="69"/>
      <c r="BN1254" s="69"/>
      <c r="BO1254" s="69"/>
      <c r="BP1254" s="69"/>
      <c r="BQ1254" s="69"/>
      <c r="BR1254" s="69"/>
      <c r="BS1254" s="69"/>
      <c r="BT1254" s="69"/>
      <c r="BU1254" s="69"/>
      <c r="BV1254" s="69"/>
      <c r="BW1254" s="69"/>
      <c r="BX1254" s="69"/>
      <c r="BY1254" s="69"/>
      <c r="BZ1254" s="69"/>
      <c r="CA1254" s="69"/>
      <c r="CB1254" s="69"/>
      <c r="CC1254" s="69"/>
      <c r="CD1254" s="69"/>
      <c r="CE1254" s="94">
        <f t="shared" ref="CE1254:CE1260" si="133">SUM(AS1254:CD1254)</f>
        <v>1400000</v>
      </c>
      <c r="CF1254" s="151">
        <f t="shared" ref="CF1254:CF1258" si="134">+CE1254-AR1254</f>
        <v>0</v>
      </c>
      <c r="CG1254" s="75">
        <f t="shared" ref="CG1254:CH1260" si="135">+C1254</f>
        <v>207</v>
      </c>
      <c r="CH1254" s="69">
        <f t="shared" si="135"/>
        <v>0</v>
      </c>
    </row>
    <row r="1255" spans="1:92" ht="36" x14ac:dyDescent="0.25">
      <c r="A1255" s="148"/>
      <c r="B1255" s="82"/>
      <c r="C1255" s="149">
        <v>208</v>
      </c>
      <c r="D1255" s="69" t="s">
        <v>121</v>
      </c>
      <c r="E1255" s="77" t="s">
        <v>3518</v>
      </c>
      <c r="F1255" s="63"/>
      <c r="G1255" s="69"/>
      <c r="H1255" s="69"/>
      <c r="I1255" s="69"/>
      <c r="J1255" s="69"/>
      <c r="K1255" s="69"/>
      <c r="L1255" s="69"/>
      <c r="M1255" s="69"/>
      <c r="N1255" s="69"/>
      <c r="O1255" s="69"/>
      <c r="P1255" s="69"/>
      <c r="Q1255" s="69"/>
      <c r="R1255" s="69"/>
      <c r="S1255" s="69"/>
      <c r="T1255" s="69"/>
      <c r="U1255" s="69"/>
      <c r="V1255" s="69"/>
      <c r="W1255" s="69"/>
      <c r="X1255" s="69"/>
      <c r="Y1255" s="69"/>
      <c r="Z1255" s="69"/>
      <c r="AA1255" s="69"/>
      <c r="AB1255" s="69"/>
      <c r="AC1255" s="69"/>
      <c r="AD1255" s="69"/>
      <c r="AE1255" s="69"/>
      <c r="AF1255" s="69"/>
      <c r="AG1255" s="69"/>
      <c r="AH1255" s="69"/>
      <c r="AI1255" s="69"/>
      <c r="AJ1255" s="69"/>
      <c r="AK1255" s="69"/>
      <c r="AL1255" s="69"/>
      <c r="AM1255" s="69"/>
      <c r="AN1255" s="69"/>
      <c r="AO1255" s="69"/>
      <c r="AP1255" s="69">
        <v>250000</v>
      </c>
      <c r="AQ1255" s="69"/>
      <c r="AR1255" s="94">
        <f t="shared" si="127"/>
        <v>250000</v>
      </c>
      <c r="AS1255" s="69"/>
      <c r="AT1255" s="69"/>
      <c r="AU1255" s="69"/>
      <c r="AV1255" s="69"/>
      <c r="AW1255" s="69"/>
      <c r="AX1255" s="69"/>
      <c r="AY1255" s="69"/>
      <c r="AZ1255" s="69"/>
      <c r="BA1255" s="69"/>
      <c r="BB1255" s="69"/>
      <c r="BC1255" s="69"/>
      <c r="BD1255" s="69"/>
      <c r="BE1255" s="69"/>
      <c r="BF1255" s="69">
        <v>250000</v>
      </c>
      <c r="BG1255" s="69"/>
      <c r="BH1255" s="69"/>
      <c r="BI1255" s="69"/>
      <c r="BJ1255" s="69"/>
      <c r="BK1255" s="69"/>
      <c r="BL1255" s="69"/>
      <c r="BM1255" s="69"/>
      <c r="BN1255" s="69"/>
      <c r="BO1255" s="69"/>
      <c r="BP1255" s="69"/>
      <c r="BQ1255" s="69"/>
      <c r="BR1255" s="69"/>
      <c r="BS1255" s="69"/>
      <c r="BT1255" s="69"/>
      <c r="BU1255" s="69"/>
      <c r="BV1255" s="69"/>
      <c r="BW1255" s="69"/>
      <c r="BX1255" s="69"/>
      <c r="BY1255" s="69"/>
      <c r="BZ1255" s="69"/>
      <c r="CA1255" s="69"/>
      <c r="CB1255" s="69"/>
      <c r="CC1255" s="69"/>
      <c r="CD1255" s="69"/>
      <c r="CE1255" s="94">
        <f t="shared" si="133"/>
        <v>250000</v>
      </c>
      <c r="CF1255" s="151">
        <f t="shared" si="134"/>
        <v>0</v>
      </c>
      <c r="CG1255" s="75">
        <f t="shared" si="135"/>
        <v>208</v>
      </c>
      <c r="CH1255" s="69" t="str">
        <f t="shared" si="135"/>
        <v>ماليزى اسنان</v>
      </c>
    </row>
    <row r="1256" spans="1:92" s="156" customFormat="1" x14ac:dyDescent="0.25">
      <c r="A1256" s="153"/>
      <c r="B1256" s="83"/>
      <c r="C1256" s="154"/>
      <c r="D1256" s="68"/>
      <c r="E1256" s="68" t="s">
        <v>3519</v>
      </c>
      <c r="F1256" s="68"/>
      <c r="G1256" s="68"/>
      <c r="H1256" s="68">
        <f>SUM(H1254:H1255)</f>
        <v>1400000</v>
      </c>
      <c r="I1256" s="68">
        <f t="shared" ref="I1256:BT1256" si="136">SUM(I1254:I1255)</f>
        <v>0</v>
      </c>
      <c r="J1256" s="68">
        <f t="shared" si="136"/>
        <v>0</v>
      </c>
      <c r="K1256" s="68">
        <f t="shared" si="136"/>
        <v>0</v>
      </c>
      <c r="L1256" s="68">
        <f t="shared" si="136"/>
        <v>0</v>
      </c>
      <c r="M1256" s="68">
        <f t="shared" si="136"/>
        <v>0</v>
      </c>
      <c r="N1256" s="68">
        <f t="shared" si="136"/>
        <v>0</v>
      </c>
      <c r="O1256" s="68">
        <f t="shared" si="136"/>
        <v>0</v>
      </c>
      <c r="P1256" s="68">
        <f t="shared" si="136"/>
        <v>0</v>
      </c>
      <c r="Q1256" s="68">
        <f t="shared" si="136"/>
        <v>0</v>
      </c>
      <c r="R1256" s="68">
        <f t="shared" si="136"/>
        <v>0</v>
      </c>
      <c r="S1256" s="68">
        <f t="shared" si="136"/>
        <v>0</v>
      </c>
      <c r="T1256" s="68">
        <f t="shared" si="136"/>
        <v>0</v>
      </c>
      <c r="U1256" s="68">
        <f t="shared" si="136"/>
        <v>0</v>
      </c>
      <c r="V1256" s="68">
        <f t="shared" si="136"/>
        <v>0</v>
      </c>
      <c r="W1256" s="68">
        <f t="shared" si="136"/>
        <v>0</v>
      </c>
      <c r="X1256" s="68">
        <f t="shared" si="136"/>
        <v>0</v>
      </c>
      <c r="Y1256" s="68">
        <f t="shared" si="136"/>
        <v>0</v>
      </c>
      <c r="Z1256" s="68">
        <f t="shared" si="136"/>
        <v>0</v>
      </c>
      <c r="AA1256" s="68">
        <f t="shared" si="136"/>
        <v>0</v>
      </c>
      <c r="AB1256" s="68">
        <f t="shared" si="136"/>
        <v>0</v>
      </c>
      <c r="AC1256" s="68">
        <f t="shared" si="136"/>
        <v>0</v>
      </c>
      <c r="AD1256" s="68">
        <f t="shared" si="136"/>
        <v>0</v>
      </c>
      <c r="AE1256" s="68">
        <f t="shared" si="136"/>
        <v>0</v>
      </c>
      <c r="AF1256" s="68">
        <f t="shared" si="136"/>
        <v>0</v>
      </c>
      <c r="AG1256" s="68">
        <f t="shared" si="136"/>
        <v>0</v>
      </c>
      <c r="AH1256" s="68">
        <f t="shared" si="136"/>
        <v>0</v>
      </c>
      <c r="AI1256" s="68">
        <f t="shared" si="136"/>
        <v>0</v>
      </c>
      <c r="AJ1256" s="68">
        <f t="shared" si="136"/>
        <v>0</v>
      </c>
      <c r="AK1256" s="68">
        <f t="shared" si="136"/>
        <v>0</v>
      </c>
      <c r="AL1256" s="68">
        <f t="shared" si="136"/>
        <v>0</v>
      </c>
      <c r="AM1256" s="68">
        <f t="shared" si="136"/>
        <v>0</v>
      </c>
      <c r="AN1256" s="68">
        <f t="shared" si="136"/>
        <v>0</v>
      </c>
      <c r="AO1256" s="68">
        <f t="shared" si="136"/>
        <v>0</v>
      </c>
      <c r="AP1256" s="68">
        <f t="shared" si="136"/>
        <v>250000</v>
      </c>
      <c r="AQ1256" s="68">
        <f t="shared" si="136"/>
        <v>0</v>
      </c>
      <c r="AR1256" s="91">
        <f t="shared" si="136"/>
        <v>1650000</v>
      </c>
      <c r="AS1256" s="68">
        <f t="shared" si="136"/>
        <v>0</v>
      </c>
      <c r="AT1256" s="68">
        <f t="shared" si="136"/>
        <v>0</v>
      </c>
      <c r="AU1256" s="68">
        <f t="shared" si="136"/>
        <v>0</v>
      </c>
      <c r="AV1256" s="68">
        <f t="shared" si="136"/>
        <v>0</v>
      </c>
      <c r="AW1256" s="68">
        <f t="shared" si="136"/>
        <v>0</v>
      </c>
      <c r="AX1256" s="68">
        <f t="shared" si="136"/>
        <v>0</v>
      </c>
      <c r="AY1256" s="68">
        <f t="shared" si="136"/>
        <v>0</v>
      </c>
      <c r="AZ1256" s="68">
        <f t="shared" si="136"/>
        <v>0</v>
      </c>
      <c r="BA1256" s="68">
        <f t="shared" si="136"/>
        <v>0</v>
      </c>
      <c r="BB1256" s="68">
        <f t="shared" si="136"/>
        <v>0</v>
      </c>
      <c r="BC1256" s="68">
        <f t="shared" si="136"/>
        <v>0</v>
      </c>
      <c r="BD1256" s="68">
        <f t="shared" si="136"/>
        <v>0</v>
      </c>
      <c r="BE1256" s="68">
        <f t="shared" si="136"/>
        <v>0</v>
      </c>
      <c r="BF1256" s="68">
        <f t="shared" si="136"/>
        <v>1650000</v>
      </c>
      <c r="BG1256" s="68">
        <f t="shared" si="136"/>
        <v>0</v>
      </c>
      <c r="BH1256" s="68">
        <f t="shared" si="136"/>
        <v>0</v>
      </c>
      <c r="BI1256" s="68">
        <f t="shared" si="136"/>
        <v>0</v>
      </c>
      <c r="BJ1256" s="68">
        <f t="shared" si="136"/>
        <v>0</v>
      </c>
      <c r="BK1256" s="68">
        <f t="shared" si="136"/>
        <v>0</v>
      </c>
      <c r="BL1256" s="68">
        <f t="shared" si="136"/>
        <v>0</v>
      </c>
      <c r="BM1256" s="68">
        <f t="shared" si="136"/>
        <v>0</v>
      </c>
      <c r="BN1256" s="68">
        <f t="shared" si="136"/>
        <v>0</v>
      </c>
      <c r="BO1256" s="68">
        <f t="shared" si="136"/>
        <v>0</v>
      </c>
      <c r="BP1256" s="68">
        <f t="shared" si="136"/>
        <v>0</v>
      </c>
      <c r="BQ1256" s="68">
        <f t="shared" si="136"/>
        <v>0</v>
      </c>
      <c r="BR1256" s="68">
        <f t="shared" si="136"/>
        <v>0</v>
      </c>
      <c r="BS1256" s="68">
        <f t="shared" si="136"/>
        <v>0</v>
      </c>
      <c r="BT1256" s="68">
        <f t="shared" si="136"/>
        <v>0</v>
      </c>
      <c r="BU1256" s="68">
        <f t="shared" ref="BU1256:CN1256" si="137">SUM(BU1254:BU1255)</f>
        <v>0</v>
      </c>
      <c r="BV1256" s="68">
        <f t="shared" si="137"/>
        <v>0</v>
      </c>
      <c r="BW1256" s="68">
        <f t="shared" si="137"/>
        <v>0</v>
      </c>
      <c r="BX1256" s="68">
        <f t="shared" si="137"/>
        <v>0</v>
      </c>
      <c r="BY1256" s="68">
        <f t="shared" si="137"/>
        <v>0</v>
      </c>
      <c r="BZ1256" s="68">
        <f t="shared" si="137"/>
        <v>0</v>
      </c>
      <c r="CA1256" s="68">
        <f t="shared" si="137"/>
        <v>0</v>
      </c>
      <c r="CB1256" s="68">
        <f t="shared" si="137"/>
        <v>0</v>
      </c>
      <c r="CC1256" s="68">
        <f t="shared" si="137"/>
        <v>0</v>
      </c>
      <c r="CD1256" s="68">
        <f t="shared" si="137"/>
        <v>0</v>
      </c>
      <c r="CE1256" s="91">
        <f t="shared" si="137"/>
        <v>1650000</v>
      </c>
      <c r="CF1256" s="68"/>
      <c r="CG1256" s="68"/>
      <c r="CH1256" s="68">
        <f t="shared" si="137"/>
        <v>0</v>
      </c>
      <c r="CI1256" s="68">
        <f t="shared" si="137"/>
        <v>0</v>
      </c>
      <c r="CJ1256" s="68">
        <f t="shared" si="137"/>
        <v>0</v>
      </c>
      <c r="CK1256" s="68">
        <f t="shared" si="137"/>
        <v>0</v>
      </c>
      <c r="CL1256" s="68">
        <f t="shared" si="137"/>
        <v>0</v>
      </c>
      <c r="CM1256" s="68">
        <f t="shared" si="137"/>
        <v>0</v>
      </c>
      <c r="CN1256" s="68">
        <f t="shared" si="137"/>
        <v>0</v>
      </c>
    </row>
    <row r="1257" spans="1:92" ht="36" x14ac:dyDescent="0.25">
      <c r="A1257" s="148"/>
      <c r="B1257" s="82" t="s">
        <v>3520</v>
      </c>
      <c r="C1257" s="149">
        <v>209</v>
      </c>
      <c r="D1257" s="69" t="s">
        <v>332</v>
      </c>
      <c r="E1257" s="69" t="s">
        <v>3521</v>
      </c>
      <c r="F1257" s="63"/>
      <c r="G1257" s="69"/>
      <c r="H1257" s="69"/>
      <c r="I1257" s="69"/>
      <c r="J1257" s="69"/>
      <c r="K1257" s="69"/>
      <c r="L1257" s="69"/>
      <c r="M1257" s="69"/>
      <c r="N1257" s="69"/>
      <c r="O1257" s="69"/>
      <c r="P1257" s="69"/>
      <c r="Q1257" s="69"/>
      <c r="R1257" s="69"/>
      <c r="S1257" s="69"/>
      <c r="T1257" s="69"/>
      <c r="U1257" s="69"/>
      <c r="V1257" s="69"/>
      <c r="W1257" s="69"/>
      <c r="X1257" s="69"/>
      <c r="Y1257" s="69"/>
      <c r="Z1257" s="69"/>
      <c r="AA1257" s="69"/>
      <c r="AB1257" s="69"/>
      <c r="AC1257" s="69"/>
      <c r="AD1257" s="69"/>
      <c r="AE1257" s="69"/>
      <c r="AF1257" s="69"/>
      <c r="AG1257" s="69"/>
      <c r="AH1257" s="69"/>
      <c r="AI1257" s="69"/>
      <c r="AJ1257" s="69"/>
      <c r="AK1257" s="69"/>
      <c r="AL1257" s="69"/>
      <c r="AM1257" s="69"/>
      <c r="AN1257" s="69"/>
      <c r="AO1257" s="69"/>
      <c r="AP1257" s="69"/>
      <c r="AQ1257" s="69"/>
      <c r="AR1257" s="94">
        <f t="shared" si="127"/>
        <v>0</v>
      </c>
      <c r="AS1257" s="69"/>
      <c r="AT1257" s="69"/>
      <c r="AU1257" s="69"/>
      <c r="AV1257" s="69"/>
      <c r="AW1257" s="69"/>
      <c r="AX1257" s="69"/>
      <c r="AY1257" s="69"/>
      <c r="AZ1257" s="69"/>
      <c r="BA1257" s="69"/>
      <c r="BB1257" s="69"/>
      <c r="BC1257" s="69"/>
      <c r="BD1257" s="69"/>
      <c r="BE1257" s="69"/>
      <c r="BF1257" s="69"/>
      <c r="BG1257" s="69"/>
      <c r="BH1257" s="69"/>
      <c r="BI1257" s="69"/>
      <c r="BJ1257" s="69"/>
      <c r="BK1257" s="69"/>
      <c r="BL1257" s="69"/>
      <c r="BM1257" s="69"/>
      <c r="BN1257" s="69"/>
      <c r="BO1257" s="69"/>
      <c r="BP1257" s="69"/>
      <c r="BQ1257" s="69"/>
      <c r="BR1257" s="69"/>
      <c r="BS1257" s="69"/>
      <c r="BT1257" s="69"/>
      <c r="BU1257" s="69"/>
      <c r="BV1257" s="69"/>
      <c r="BW1257" s="69"/>
      <c r="BX1257" s="69"/>
      <c r="BY1257" s="69"/>
      <c r="BZ1257" s="69"/>
      <c r="CA1257" s="69"/>
      <c r="CB1257" s="69"/>
      <c r="CC1257" s="69"/>
      <c r="CD1257" s="69"/>
      <c r="CE1257" s="94">
        <f t="shared" si="133"/>
        <v>0</v>
      </c>
      <c r="CF1257" s="151">
        <f t="shared" si="134"/>
        <v>0</v>
      </c>
      <c r="CG1257" s="75">
        <f t="shared" si="135"/>
        <v>209</v>
      </c>
      <c r="CH1257" s="69" t="str">
        <f t="shared" si="135"/>
        <v xml:space="preserve">لاب فقط </v>
      </c>
    </row>
    <row r="1258" spans="1:92" ht="36" x14ac:dyDescent="0.25">
      <c r="A1258" s="148"/>
      <c r="B1258" s="82" t="s">
        <v>3520</v>
      </c>
      <c r="C1258" s="149">
        <v>210</v>
      </c>
      <c r="D1258" s="69" t="s">
        <v>332</v>
      </c>
      <c r="E1258" s="69" t="s">
        <v>3522</v>
      </c>
      <c r="F1258" s="63"/>
      <c r="G1258" s="69"/>
      <c r="H1258" s="69"/>
      <c r="I1258" s="69"/>
      <c r="J1258" s="69"/>
      <c r="K1258" s="69"/>
      <c r="L1258" s="69"/>
      <c r="M1258" s="69"/>
      <c r="N1258" s="69"/>
      <c r="O1258" s="69"/>
      <c r="P1258" s="69"/>
      <c r="Q1258" s="69"/>
      <c r="R1258" s="69"/>
      <c r="S1258" s="69"/>
      <c r="T1258" s="69"/>
      <c r="U1258" s="69"/>
      <c r="V1258" s="69"/>
      <c r="W1258" s="69"/>
      <c r="X1258" s="69"/>
      <c r="Y1258" s="69"/>
      <c r="Z1258" s="69"/>
      <c r="AA1258" s="69"/>
      <c r="AB1258" s="69"/>
      <c r="AC1258" s="69"/>
      <c r="AD1258" s="69"/>
      <c r="AE1258" s="69"/>
      <c r="AF1258" s="69"/>
      <c r="AG1258" s="69"/>
      <c r="AH1258" s="69"/>
      <c r="AI1258" s="69"/>
      <c r="AJ1258" s="69"/>
      <c r="AK1258" s="69"/>
      <c r="AL1258" s="69"/>
      <c r="AM1258" s="69"/>
      <c r="AN1258" s="69"/>
      <c r="AO1258" s="69"/>
      <c r="AP1258" s="69"/>
      <c r="AQ1258" s="69"/>
      <c r="AR1258" s="94">
        <f t="shared" si="127"/>
        <v>0</v>
      </c>
      <c r="AS1258" s="69"/>
      <c r="AT1258" s="69"/>
      <c r="AU1258" s="69"/>
      <c r="AV1258" s="69"/>
      <c r="AW1258" s="69"/>
      <c r="AX1258" s="69"/>
      <c r="AY1258" s="69"/>
      <c r="AZ1258" s="69"/>
      <c r="BA1258" s="69"/>
      <c r="BB1258" s="69"/>
      <c r="BC1258" s="69"/>
      <c r="BD1258" s="69"/>
      <c r="BE1258" s="69"/>
      <c r="BF1258" s="69"/>
      <c r="BG1258" s="69"/>
      <c r="BH1258" s="69"/>
      <c r="BI1258" s="69"/>
      <c r="BJ1258" s="69"/>
      <c r="BK1258" s="69"/>
      <c r="BL1258" s="69"/>
      <c r="BM1258" s="69"/>
      <c r="BN1258" s="69"/>
      <c r="BO1258" s="69"/>
      <c r="BP1258" s="69"/>
      <c r="BQ1258" s="69"/>
      <c r="BR1258" s="69"/>
      <c r="BS1258" s="69"/>
      <c r="BT1258" s="69"/>
      <c r="BU1258" s="69"/>
      <c r="BV1258" s="69"/>
      <c r="BW1258" s="69"/>
      <c r="BX1258" s="69"/>
      <c r="BY1258" s="69"/>
      <c r="BZ1258" s="69"/>
      <c r="CA1258" s="69"/>
      <c r="CB1258" s="69"/>
      <c r="CC1258" s="69"/>
      <c r="CD1258" s="69"/>
      <c r="CE1258" s="94">
        <f t="shared" si="133"/>
        <v>0</v>
      </c>
      <c r="CF1258" s="151">
        <f t="shared" si="134"/>
        <v>0</v>
      </c>
      <c r="CG1258" s="75">
        <f t="shared" si="135"/>
        <v>210</v>
      </c>
      <c r="CH1258" s="69" t="str">
        <f t="shared" si="135"/>
        <v xml:space="preserve">لاب فقط </v>
      </c>
    </row>
    <row r="1259" spans="1:92" x14ac:dyDescent="0.25">
      <c r="A1259" s="148"/>
      <c r="B1259" s="82"/>
      <c r="C1259" s="149">
        <v>211</v>
      </c>
      <c r="D1259" s="69" t="s">
        <v>332</v>
      </c>
      <c r="E1259" s="69" t="s">
        <v>3523</v>
      </c>
      <c r="F1259" s="63"/>
      <c r="G1259" s="69"/>
      <c r="H1259" s="69"/>
      <c r="I1259" s="69"/>
      <c r="J1259" s="69"/>
      <c r="K1259" s="69"/>
      <c r="L1259" s="69"/>
      <c r="M1259" s="69"/>
      <c r="N1259" s="69"/>
      <c r="O1259" s="69"/>
      <c r="P1259" s="69"/>
      <c r="Q1259" s="69"/>
      <c r="R1259" s="69"/>
      <c r="S1259" s="69"/>
      <c r="T1259" s="69"/>
      <c r="U1259" s="69"/>
      <c r="V1259" s="69"/>
      <c r="W1259" s="69"/>
      <c r="X1259" s="69"/>
      <c r="Y1259" s="69"/>
      <c r="Z1259" s="69"/>
      <c r="AA1259" s="69"/>
      <c r="AB1259" s="69"/>
      <c r="AC1259" s="69"/>
      <c r="AD1259" s="69"/>
      <c r="AE1259" s="69"/>
      <c r="AF1259" s="69"/>
      <c r="AG1259" s="69"/>
      <c r="AH1259" s="69"/>
      <c r="AI1259" s="69"/>
      <c r="AJ1259" s="69"/>
      <c r="AK1259" s="69"/>
      <c r="AL1259" s="69"/>
      <c r="AM1259" s="69"/>
      <c r="AN1259" s="69"/>
      <c r="AO1259" s="69"/>
      <c r="AP1259" s="69"/>
      <c r="AQ1259" s="69"/>
      <c r="AR1259" s="94"/>
      <c r="AS1259" s="69"/>
      <c r="AT1259" s="69"/>
      <c r="AU1259" s="69"/>
      <c r="AV1259" s="69"/>
      <c r="AW1259" s="69"/>
      <c r="AX1259" s="69"/>
      <c r="AY1259" s="69"/>
      <c r="AZ1259" s="69"/>
      <c r="BA1259" s="69"/>
      <c r="BB1259" s="69"/>
      <c r="BC1259" s="69"/>
      <c r="BD1259" s="69"/>
      <c r="BE1259" s="69"/>
      <c r="BF1259" s="69"/>
      <c r="BG1259" s="69"/>
      <c r="BH1259" s="69"/>
      <c r="BI1259" s="69"/>
      <c r="BJ1259" s="69"/>
      <c r="BK1259" s="69"/>
      <c r="BL1259" s="69"/>
      <c r="BM1259" s="69"/>
      <c r="BN1259" s="69"/>
      <c r="BO1259" s="69"/>
      <c r="BP1259" s="69"/>
      <c r="BQ1259" s="69"/>
      <c r="BR1259" s="69"/>
      <c r="BS1259" s="69"/>
      <c r="BT1259" s="69"/>
      <c r="BU1259" s="69"/>
      <c r="BV1259" s="69"/>
      <c r="BW1259" s="69"/>
      <c r="BX1259" s="69"/>
      <c r="BY1259" s="69"/>
      <c r="BZ1259" s="69"/>
      <c r="CA1259" s="69"/>
      <c r="CB1259" s="69"/>
      <c r="CC1259" s="69"/>
      <c r="CD1259" s="69"/>
      <c r="CE1259" s="94">
        <f t="shared" si="133"/>
        <v>0</v>
      </c>
      <c r="CF1259" s="151"/>
      <c r="CG1259" s="75">
        <f t="shared" si="135"/>
        <v>211</v>
      </c>
      <c r="CH1259" s="69" t="str">
        <f t="shared" si="135"/>
        <v xml:space="preserve">لاب فقط </v>
      </c>
    </row>
    <row r="1260" spans="1:92" x14ac:dyDescent="0.25">
      <c r="A1260" s="148"/>
      <c r="B1260" s="82"/>
      <c r="C1260" s="149">
        <v>212</v>
      </c>
      <c r="D1260" s="69" t="s">
        <v>332</v>
      </c>
      <c r="E1260" s="69" t="s">
        <v>3524</v>
      </c>
      <c r="F1260" s="63"/>
      <c r="G1260" s="69"/>
      <c r="H1260" s="69"/>
      <c r="I1260" s="69"/>
      <c r="J1260" s="69"/>
      <c r="K1260" s="69"/>
      <c r="L1260" s="69"/>
      <c r="M1260" s="69"/>
      <c r="N1260" s="69"/>
      <c r="O1260" s="69"/>
      <c r="P1260" s="69"/>
      <c r="Q1260" s="69"/>
      <c r="R1260" s="69"/>
      <c r="S1260" s="69"/>
      <c r="T1260" s="69"/>
      <c r="U1260" s="69"/>
      <c r="V1260" s="69"/>
      <c r="W1260" s="69"/>
      <c r="X1260" s="69"/>
      <c r="Y1260" s="69"/>
      <c r="Z1260" s="69"/>
      <c r="AA1260" s="69"/>
      <c r="AB1260" s="69"/>
      <c r="AC1260" s="69"/>
      <c r="AD1260" s="69"/>
      <c r="AE1260" s="69"/>
      <c r="AF1260" s="69"/>
      <c r="AG1260" s="69"/>
      <c r="AH1260" s="69"/>
      <c r="AI1260" s="69"/>
      <c r="AJ1260" s="69"/>
      <c r="AK1260" s="69"/>
      <c r="AL1260" s="69"/>
      <c r="AM1260" s="69"/>
      <c r="AN1260" s="69"/>
      <c r="AO1260" s="69"/>
      <c r="AP1260" s="69"/>
      <c r="AQ1260" s="69"/>
      <c r="AR1260" s="94"/>
      <c r="AS1260" s="69"/>
      <c r="AT1260" s="69"/>
      <c r="AU1260" s="69"/>
      <c r="AV1260" s="69"/>
      <c r="AW1260" s="69"/>
      <c r="AX1260" s="69"/>
      <c r="AY1260" s="69"/>
      <c r="AZ1260" s="69"/>
      <c r="BA1260" s="69"/>
      <c r="BB1260" s="69"/>
      <c r="BC1260" s="69"/>
      <c r="BD1260" s="69"/>
      <c r="BE1260" s="69"/>
      <c r="BF1260" s="69"/>
      <c r="BG1260" s="69"/>
      <c r="BH1260" s="69"/>
      <c r="BI1260" s="69"/>
      <c r="BJ1260" s="69"/>
      <c r="BK1260" s="69"/>
      <c r="BL1260" s="69"/>
      <c r="BM1260" s="69"/>
      <c r="BN1260" s="69"/>
      <c r="BO1260" s="69"/>
      <c r="BP1260" s="69"/>
      <c r="BQ1260" s="69"/>
      <c r="BR1260" s="69"/>
      <c r="BS1260" s="69"/>
      <c r="BT1260" s="69"/>
      <c r="BU1260" s="69"/>
      <c r="BV1260" s="69"/>
      <c r="BW1260" s="69"/>
      <c r="BX1260" s="69"/>
      <c r="BY1260" s="69"/>
      <c r="BZ1260" s="69"/>
      <c r="CA1260" s="69"/>
      <c r="CB1260" s="69"/>
      <c r="CC1260" s="69"/>
      <c r="CD1260" s="69"/>
      <c r="CE1260" s="94">
        <f t="shared" si="133"/>
        <v>0</v>
      </c>
      <c r="CF1260" s="151"/>
      <c r="CG1260" s="75">
        <f t="shared" si="135"/>
        <v>212</v>
      </c>
      <c r="CH1260" s="69" t="str">
        <f t="shared" si="135"/>
        <v xml:space="preserve">لاب فقط </v>
      </c>
    </row>
    <row r="1261" spans="1:92" x14ac:dyDescent="0.25">
      <c r="A1261" s="148"/>
      <c r="B1261" s="70"/>
      <c r="C1261" s="149">
        <v>213</v>
      </c>
      <c r="D1261" s="69" t="s">
        <v>122</v>
      </c>
      <c r="E1261" s="69" t="s">
        <v>3525</v>
      </c>
      <c r="F1261" s="63"/>
      <c r="G1261" s="69"/>
      <c r="H1261" s="69"/>
      <c r="I1261" s="69"/>
      <c r="J1261" s="69"/>
      <c r="K1261" s="69"/>
      <c r="L1261" s="69"/>
      <c r="M1261" s="69"/>
      <c r="N1261" s="69"/>
      <c r="O1261" s="69"/>
      <c r="P1261" s="69"/>
      <c r="Q1261" s="69"/>
      <c r="R1261" s="69"/>
      <c r="S1261" s="69"/>
      <c r="T1261" s="69"/>
      <c r="U1261" s="69"/>
      <c r="V1261" s="69"/>
      <c r="W1261" s="69"/>
      <c r="X1261" s="69"/>
      <c r="Y1261" s="69"/>
      <c r="Z1261" s="69"/>
      <c r="AA1261" s="69"/>
      <c r="AB1261" s="69"/>
      <c r="AC1261" s="69"/>
      <c r="AD1261" s="69"/>
      <c r="AE1261" s="69"/>
      <c r="AF1261" s="69"/>
      <c r="AG1261" s="69"/>
      <c r="AH1261" s="69"/>
      <c r="AI1261" s="69"/>
      <c r="AJ1261" s="69"/>
      <c r="AK1261" s="69"/>
      <c r="AL1261" s="69"/>
      <c r="AM1261" s="69"/>
      <c r="AN1261" s="69"/>
      <c r="AO1261" s="69"/>
      <c r="AP1261" s="69"/>
      <c r="AQ1261" s="69">
        <v>50</v>
      </c>
      <c r="AR1261" s="94">
        <f t="shared" si="127"/>
        <v>50</v>
      </c>
      <c r="AS1261" s="69"/>
      <c r="AT1261" s="69"/>
      <c r="AU1261" s="69"/>
      <c r="AV1261" s="69"/>
      <c r="AW1261" s="69"/>
      <c r="AX1261" s="69"/>
      <c r="AY1261" s="69"/>
      <c r="AZ1261" s="69"/>
      <c r="BA1261" s="69"/>
      <c r="BB1261" s="69"/>
      <c r="BC1261" s="69"/>
      <c r="BD1261" s="69"/>
      <c r="BE1261" s="69"/>
      <c r="BF1261" s="69"/>
      <c r="BG1261" s="69"/>
      <c r="BH1261" s="69"/>
      <c r="BI1261" s="69"/>
      <c r="BJ1261" s="69"/>
      <c r="BK1261" s="69"/>
      <c r="BL1261" s="69"/>
      <c r="BM1261" s="69"/>
      <c r="BN1261" s="69"/>
      <c r="BO1261" s="69"/>
      <c r="BP1261" s="69"/>
      <c r="BQ1261" s="69"/>
      <c r="BR1261" s="69"/>
      <c r="BS1261" s="69"/>
      <c r="BT1261" s="69"/>
      <c r="BU1261" s="69"/>
      <c r="BV1261" s="69"/>
      <c r="BW1261" s="69"/>
      <c r="BX1261" s="69"/>
      <c r="BY1261" s="69"/>
      <c r="BZ1261" s="69"/>
      <c r="CA1261" s="69"/>
      <c r="CB1261" s="69"/>
      <c r="CC1261" s="69"/>
      <c r="CD1261" s="69">
        <v>50</v>
      </c>
      <c r="CE1261" s="94">
        <f t="shared" si="124"/>
        <v>50</v>
      </c>
      <c r="CF1261" s="151">
        <f t="shared" si="125"/>
        <v>0</v>
      </c>
      <c r="CG1261" s="75">
        <f t="shared" si="122"/>
        <v>213</v>
      </c>
      <c r="CH1261" s="69" t="str">
        <f t="shared" si="122"/>
        <v>علاج تخصصى</v>
      </c>
    </row>
    <row r="1262" spans="1:92" x14ac:dyDescent="0.25">
      <c r="A1262" s="148"/>
      <c r="B1262" s="70"/>
      <c r="C1262" s="149">
        <v>214</v>
      </c>
      <c r="D1262" s="69" t="s">
        <v>249</v>
      </c>
      <c r="E1262" s="69" t="s">
        <v>3526</v>
      </c>
      <c r="F1262" s="63"/>
      <c r="G1262" s="69"/>
      <c r="H1262" s="69"/>
      <c r="I1262" s="69"/>
      <c r="J1262" s="69"/>
      <c r="K1262" s="69"/>
      <c r="L1262" s="69"/>
      <c r="M1262" s="69"/>
      <c r="N1262" s="69"/>
      <c r="O1262" s="69"/>
      <c r="P1262" s="69"/>
      <c r="Q1262" s="69"/>
      <c r="R1262" s="69"/>
      <c r="S1262" s="69"/>
      <c r="T1262" s="69"/>
      <c r="U1262" s="69"/>
      <c r="V1262" s="69"/>
      <c r="W1262" s="69"/>
      <c r="X1262" s="69"/>
      <c r="Y1262" s="69"/>
      <c r="Z1262" s="69"/>
      <c r="AA1262" s="69"/>
      <c r="AB1262" s="69"/>
      <c r="AC1262" s="69"/>
      <c r="AD1262" s="69"/>
      <c r="AE1262" s="69"/>
      <c r="AF1262" s="69"/>
      <c r="AG1262" s="69"/>
      <c r="AH1262" s="69"/>
      <c r="AI1262" s="69"/>
      <c r="AJ1262" s="69"/>
      <c r="AK1262" s="69"/>
      <c r="AL1262" s="69"/>
      <c r="AM1262" s="69"/>
      <c r="AN1262" s="69"/>
      <c r="AO1262" s="69"/>
      <c r="AP1262" s="69"/>
      <c r="AQ1262" s="69">
        <v>1785</v>
      </c>
      <c r="AR1262" s="94">
        <f t="shared" si="127"/>
        <v>1785</v>
      </c>
      <c r="AS1262" s="69"/>
      <c r="AT1262" s="69"/>
      <c r="AU1262" s="69"/>
      <c r="AV1262" s="69"/>
      <c r="AW1262" s="69"/>
      <c r="AX1262" s="69"/>
      <c r="AY1262" s="69"/>
      <c r="AZ1262" s="69"/>
      <c r="BA1262" s="69"/>
      <c r="BB1262" s="69"/>
      <c r="BC1262" s="69"/>
      <c r="BD1262" s="69"/>
      <c r="BE1262" s="69"/>
      <c r="BF1262" s="69"/>
      <c r="BG1262" s="69"/>
      <c r="BH1262" s="69"/>
      <c r="BI1262" s="69"/>
      <c r="BJ1262" s="69"/>
      <c r="BK1262" s="69"/>
      <c r="BL1262" s="69"/>
      <c r="BM1262" s="69"/>
      <c r="BN1262" s="69"/>
      <c r="BO1262" s="69"/>
      <c r="BP1262" s="69"/>
      <c r="BQ1262" s="69"/>
      <c r="BR1262" s="69"/>
      <c r="BS1262" s="69"/>
      <c r="BT1262" s="69"/>
      <c r="BU1262" s="69"/>
      <c r="BV1262" s="69"/>
      <c r="BW1262" s="69"/>
      <c r="BX1262" s="69"/>
      <c r="BY1262" s="69"/>
      <c r="BZ1262" s="69"/>
      <c r="CA1262" s="69"/>
      <c r="CB1262" s="69"/>
      <c r="CC1262" s="69"/>
      <c r="CD1262" s="69">
        <v>1785</v>
      </c>
      <c r="CE1262" s="94">
        <f t="shared" si="124"/>
        <v>1785</v>
      </c>
      <c r="CF1262" s="151">
        <f t="shared" si="125"/>
        <v>0</v>
      </c>
      <c r="CG1262" s="75">
        <f t="shared" si="122"/>
        <v>214</v>
      </c>
      <c r="CH1262" s="69" t="str">
        <f t="shared" si="122"/>
        <v>خدمة عامة</v>
      </c>
    </row>
    <row r="1263" spans="1:92" x14ac:dyDescent="0.25">
      <c r="A1263" s="148"/>
      <c r="B1263" s="82"/>
      <c r="C1263" s="149">
        <v>215</v>
      </c>
      <c r="D1263" s="69" t="s">
        <v>249</v>
      </c>
      <c r="E1263" s="69" t="s">
        <v>3527</v>
      </c>
      <c r="F1263" s="63"/>
      <c r="G1263" s="69"/>
      <c r="H1263" s="69"/>
      <c r="I1263" s="69"/>
      <c r="J1263" s="69"/>
      <c r="K1263" s="69"/>
      <c r="L1263" s="69"/>
      <c r="M1263" s="69"/>
      <c r="N1263" s="69"/>
      <c r="O1263" s="69"/>
      <c r="P1263" s="69"/>
      <c r="Q1263" s="69"/>
      <c r="R1263" s="69"/>
      <c r="S1263" s="69"/>
      <c r="T1263" s="69"/>
      <c r="U1263" s="69"/>
      <c r="V1263" s="69"/>
      <c r="W1263" s="69"/>
      <c r="X1263" s="69"/>
      <c r="Y1263" s="69"/>
      <c r="Z1263" s="69"/>
      <c r="AA1263" s="69"/>
      <c r="AB1263" s="69"/>
      <c r="AC1263" s="69"/>
      <c r="AD1263" s="69"/>
      <c r="AE1263" s="69"/>
      <c r="AF1263" s="69"/>
      <c r="AG1263" s="69"/>
      <c r="AH1263" s="69"/>
      <c r="AI1263" s="69"/>
      <c r="AJ1263" s="69"/>
      <c r="AK1263" s="69"/>
      <c r="AL1263" s="69"/>
      <c r="AM1263" s="69"/>
      <c r="AN1263" s="69"/>
      <c r="AO1263" s="69"/>
      <c r="AP1263" s="69"/>
      <c r="AQ1263" s="69">
        <v>2520</v>
      </c>
      <c r="AR1263" s="94">
        <f t="shared" si="127"/>
        <v>2520</v>
      </c>
      <c r="AS1263" s="69"/>
      <c r="AT1263" s="69"/>
      <c r="AU1263" s="69"/>
      <c r="AV1263" s="69"/>
      <c r="AW1263" s="69"/>
      <c r="AX1263" s="69"/>
      <c r="AY1263" s="69"/>
      <c r="AZ1263" s="69"/>
      <c r="BA1263" s="69"/>
      <c r="BB1263" s="69"/>
      <c r="BC1263" s="69"/>
      <c r="BD1263" s="69"/>
      <c r="BE1263" s="69"/>
      <c r="BF1263" s="69"/>
      <c r="BG1263" s="69"/>
      <c r="BH1263" s="69"/>
      <c r="BI1263" s="69"/>
      <c r="BJ1263" s="69"/>
      <c r="BK1263" s="69"/>
      <c r="BL1263" s="69"/>
      <c r="BM1263" s="69"/>
      <c r="BN1263" s="69"/>
      <c r="BO1263" s="69"/>
      <c r="BP1263" s="69"/>
      <c r="BQ1263" s="69"/>
      <c r="BR1263" s="69"/>
      <c r="BS1263" s="69"/>
      <c r="BT1263" s="69"/>
      <c r="BU1263" s="69"/>
      <c r="BV1263" s="69"/>
      <c r="BW1263" s="69"/>
      <c r="BX1263" s="69"/>
      <c r="BY1263" s="69"/>
      <c r="BZ1263" s="69"/>
      <c r="CA1263" s="69"/>
      <c r="CB1263" s="69"/>
      <c r="CC1263" s="69"/>
      <c r="CD1263" s="69">
        <v>2520</v>
      </c>
      <c r="CE1263" s="94">
        <f t="shared" si="124"/>
        <v>2520</v>
      </c>
      <c r="CF1263" s="151">
        <f t="shared" si="125"/>
        <v>0</v>
      </c>
      <c r="CG1263" s="75">
        <f t="shared" si="122"/>
        <v>215</v>
      </c>
      <c r="CH1263" s="69" t="str">
        <f t="shared" si="122"/>
        <v>خدمة عامة</v>
      </c>
    </row>
    <row r="1264" spans="1:92" x14ac:dyDescent="0.25">
      <c r="A1264" s="148"/>
      <c r="B1264" s="82"/>
      <c r="C1264" s="149">
        <v>216</v>
      </c>
      <c r="D1264" s="69" t="s">
        <v>325</v>
      </c>
      <c r="E1264" s="77" t="s">
        <v>3528</v>
      </c>
      <c r="F1264" s="63"/>
      <c r="G1264" s="69">
        <v>800</v>
      </c>
      <c r="H1264" s="69"/>
      <c r="I1264" s="69"/>
      <c r="J1264" s="69"/>
      <c r="K1264" s="69"/>
      <c r="L1264" s="69"/>
      <c r="M1264" s="69"/>
      <c r="N1264" s="69"/>
      <c r="O1264" s="69"/>
      <c r="P1264" s="69"/>
      <c r="Q1264" s="69"/>
      <c r="R1264" s="69"/>
      <c r="S1264" s="69"/>
      <c r="T1264" s="69"/>
      <c r="U1264" s="69"/>
      <c r="V1264" s="69"/>
      <c r="W1264" s="69"/>
      <c r="X1264" s="69"/>
      <c r="Y1264" s="69"/>
      <c r="Z1264" s="69"/>
      <c r="AA1264" s="69"/>
      <c r="AB1264" s="69"/>
      <c r="AC1264" s="69"/>
      <c r="AD1264" s="69"/>
      <c r="AE1264" s="69"/>
      <c r="AF1264" s="69"/>
      <c r="AG1264" s="69"/>
      <c r="AH1264" s="69"/>
      <c r="AI1264" s="69"/>
      <c r="AJ1264" s="69"/>
      <c r="AK1264" s="69"/>
      <c r="AL1264" s="69"/>
      <c r="AM1264" s="69"/>
      <c r="AN1264" s="69"/>
      <c r="AO1264" s="69"/>
      <c r="AP1264" s="69"/>
      <c r="AQ1264" s="69"/>
      <c r="AR1264" s="94">
        <f t="shared" si="127"/>
        <v>800</v>
      </c>
      <c r="AS1264" s="69"/>
      <c r="AT1264" s="69"/>
      <c r="AU1264" s="69"/>
      <c r="AV1264" s="69"/>
      <c r="AW1264" s="69"/>
      <c r="AX1264" s="69"/>
      <c r="AY1264" s="69"/>
      <c r="AZ1264" s="69"/>
      <c r="BA1264" s="69"/>
      <c r="BB1264" s="69"/>
      <c r="BC1264" s="69"/>
      <c r="BD1264" s="69"/>
      <c r="BE1264" s="69"/>
      <c r="BF1264" s="69"/>
      <c r="BG1264" s="69"/>
      <c r="BH1264" s="69"/>
      <c r="BI1264" s="69"/>
      <c r="BJ1264" s="69"/>
      <c r="BK1264" s="69"/>
      <c r="BL1264" s="69"/>
      <c r="BM1264" s="69"/>
      <c r="BN1264" s="69"/>
      <c r="BO1264" s="69"/>
      <c r="BP1264" s="69"/>
      <c r="BQ1264" s="69"/>
      <c r="BR1264" s="69"/>
      <c r="BS1264" s="69"/>
      <c r="BT1264" s="69"/>
      <c r="BU1264" s="69"/>
      <c r="BV1264" s="69"/>
      <c r="BW1264" s="69"/>
      <c r="BX1264" s="69"/>
      <c r="BY1264" s="69"/>
      <c r="BZ1264" s="69"/>
      <c r="CA1264" s="69"/>
      <c r="CB1264" s="69"/>
      <c r="CC1264" s="69"/>
      <c r="CD1264" s="69">
        <v>800</v>
      </c>
      <c r="CE1264" s="94">
        <f t="shared" ref="CE1264:CE1271" si="138">SUM(AS1264:CD1264)</f>
        <v>800</v>
      </c>
      <c r="CF1264" s="151">
        <f t="shared" si="125"/>
        <v>0</v>
      </c>
      <c r="CG1264" s="75">
        <f t="shared" si="122"/>
        <v>216</v>
      </c>
      <c r="CH1264" s="69" t="str">
        <f t="shared" si="122"/>
        <v xml:space="preserve">برنامج دولى </v>
      </c>
    </row>
    <row r="1265" spans="1:87" ht="36" x14ac:dyDescent="0.25">
      <c r="A1265" s="148"/>
      <c r="B1265" s="82"/>
      <c r="C1265" s="149">
        <v>217</v>
      </c>
      <c r="D1265" s="69"/>
      <c r="E1265" s="77" t="s">
        <v>3529</v>
      </c>
      <c r="F1265" s="63"/>
      <c r="G1265" s="69"/>
      <c r="H1265" s="69"/>
      <c r="I1265" s="69"/>
      <c r="J1265" s="69"/>
      <c r="K1265" s="69"/>
      <c r="L1265" s="69"/>
      <c r="M1265" s="69"/>
      <c r="N1265" s="69"/>
      <c r="O1265" s="69"/>
      <c r="P1265" s="69"/>
      <c r="Q1265" s="69"/>
      <c r="R1265" s="69">
        <v>246367.5</v>
      </c>
      <c r="S1265" s="69">
        <v>1135.8</v>
      </c>
      <c r="T1265" s="69"/>
      <c r="U1265" s="69"/>
      <c r="V1265" s="69"/>
      <c r="W1265" s="69"/>
      <c r="X1265" s="69"/>
      <c r="Y1265" s="69"/>
      <c r="Z1265" s="69"/>
      <c r="AA1265" s="69"/>
      <c r="AB1265" s="69"/>
      <c r="AC1265" s="69"/>
      <c r="AD1265" s="69"/>
      <c r="AE1265" s="69"/>
      <c r="AF1265" s="69"/>
      <c r="AG1265" s="69"/>
      <c r="AH1265" s="69"/>
      <c r="AI1265" s="69"/>
      <c r="AJ1265" s="69"/>
      <c r="AK1265" s="69"/>
      <c r="AL1265" s="69"/>
      <c r="AM1265" s="69"/>
      <c r="AN1265" s="69"/>
      <c r="AO1265" s="69"/>
      <c r="AP1265" s="69"/>
      <c r="AQ1265" s="69"/>
      <c r="AR1265" s="94">
        <f t="shared" si="127"/>
        <v>247503.3</v>
      </c>
      <c r="AS1265" s="69"/>
      <c r="AT1265" s="69"/>
      <c r="AU1265" s="69"/>
      <c r="AV1265" s="69"/>
      <c r="AW1265" s="69"/>
      <c r="AX1265" s="69"/>
      <c r="AY1265" s="69"/>
      <c r="AZ1265" s="69"/>
      <c r="BA1265" s="69"/>
      <c r="BB1265" s="69"/>
      <c r="BC1265" s="69"/>
      <c r="BD1265" s="69"/>
      <c r="BE1265" s="69"/>
      <c r="BF1265" s="69"/>
      <c r="BG1265" s="69"/>
      <c r="BH1265" s="69"/>
      <c r="BI1265" s="69"/>
      <c r="BJ1265" s="69"/>
      <c r="BK1265" s="69"/>
      <c r="BL1265" s="69"/>
      <c r="BM1265" s="69"/>
      <c r="BN1265" s="69"/>
      <c r="BO1265" s="69"/>
      <c r="BP1265" s="69"/>
      <c r="BQ1265" s="69"/>
      <c r="BR1265" s="69"/>
      <c r="BS1265" s="69"/>
      <c r="BT1265" s="69"/>
      <c r="BU1265" s="69"/>
      <c r="BV1265" s="69"/>
      <c r="BW1265" s="69"/>
      <c r="BX1265" s="69"/>
      <c r="BY1265" s="69"/>
      <c r="BZ1265" s="69"/>
      <c r="CA1265" s="69"/>
      <c r="CB1265" s="69"/>
      <c r="CC1265" s="69"/>
      <c r="CD1265" s="69">
        <v>247503.3</v>
      </c>
      <c r="CE1265" s="94">
        <f t="shared" si="138"/>
        <v>247503.3</v>
      </c>
      <c r="CF1265" s="151">
        <f t="shared" si="125"/>
        <v>0</v>
      </c>
      <c r="CG1265" s="75">
        <f t="shared" si="122"/>
        <v>217</v>
      </c>
      <c r="CH1265" s="69">
        <f t="shared" si="122"/>
        <v>0</v>
      </c>
    </row>
    <row r="1266" spans="1:87" x14ac:dyDescent="0.25">
      <c r="A1266" s="148"/>
      <c r="B1266" s="82"/>
      <c r="C1266" s="149">
        <v>218</v>
      </c>
      <c r="D1266" s="69" t="s">
        <v>3530</v>
      </c>
      <c r="E1266" s="69" t="s">
        <v>3531</v>
      </c>
      <c r="F1266" s="63"/>
      <c r="G1266" s="69"/>
      <c r="H1266" s="69"/>
      <c r="I1266" s="69"/>
      <c r="J1266" s="69">
        <v>930492.2</v>
      </c>
      <c r="K1266" s="69"/>
      <c r="L1266" s="69"/>
      <c r="M1266" s="69"/>
      <c r="N1266" s="69"/>
      <c r="O1266" s="69"/>
      <c r="P1266" s="69"/>
      <c r="Q1266" s="69"/>
      <c r="R1266" s="69"/>
      <c r="S1266" s="69"/>
      <c r="T1266" s="69"/>
      <c r="U1266" s="69"/>
      <c r="V1266" s="69"/>
      <c r="W1266" s="69"/>
      <c r="X1266" s="69"/>
      <c r="Y1266" s="69"/>
      <c r="Z1266" s="69"/>
      <c r="AA1266" s="69"/>
      <c r="AB1266" s="69"/>
      <c r="AC1266" s="69"/>
      <c r="AD1266" s="69"/>
      <c r="AE1266" s="69">
        <v>15220474.779999999</v>
      </c>
      <c r="AF1266" s="69">
        <v>44941075.229999997</v>
      </c>
      <c r="AG1266" s="69"/>
      <c r="AH1266" s="69"/>
      <c r="AI1266" s="69"/>
      <c r="AJ1266" s="69"/>
      <c r="AK1266" s="69"/>
      <c r="AL1266" s="69"/>
      <c r="AM1266" s="69"/>
      <c r="AN1266" s="69"/>
      <c r="AO1266" s="69"/>
      <c r="AP1266" s="69"/>
      <c r="AQ1266" s="69"/>
      <c r="AR1266" s="94">
        <f t="shared" si="127"/>
        <v>61092042.209999993</v>
      </c>
      <c r="AS1266" s="69"/>
      <c r="AT1266" s="69"/>
      <c r="AU1266" s="69"/>
      <c r="AV1266" s="69"/>
      <c r="AW1266" s="69"/>
      <c r="AX1266" s="69"/>
      <c r="AY1266" s="69">
        <v>16150966.98</v>
      </c>
      <c r="AZ1266" s="69"/>
      <c r="BA1266" s="69"/>
      <c r="BB1266" s="69"/>
      <c r="BC1266" s="69"/>
      <c r="BD1266" s="69"/>
      <c r="BE1266" s="69"/>
      <c r="BF1266" s="69"/>
      <c r="BG1266" s="69"/>
      <c r="BH1266" s="69"/>
      <c r="BI1266" s="69"/>
      <c r="BJ1266" s="69"/>
      <c r="BK1266" s="69"/>
      <c r="BL1266" s="69"/>
      <c r="BM1266" s="69"/>
      <c r="BN1266" s="69"/>
      <c r="BO1266" s="69"/>
      <c r="BP1266" s="69"/>
      <c r="BQ1266" s="69"/>
      <c r="BR1266" s="69"/>
      <c r="BS1266" s="69"/>
      <c r="BT1266" s="69"/>
      <c r="BU1266" s="69"/>
      <c r="BV1266" s="69"/>
      <c r="BW1266" s="69"/>
      <c r="BX1266" s="69"/>
      <c r="BY1266" s="69"/>
      <c r="BZ1266" s="69"/>
      <c r="CA1266" s="69"/>
      <c r="CB1266" s="69"/>
      <c r="CC1266" s="69"/>
      <c r="CD1266" s="69">
        <v>44941075.229999997</v>
      </c>
      <c r="CE1266" s="94">
        <f t="shared" si="138"/>
        <v>61092042.209999993</v>
      </c>
      <c r="CF1266" s="151">
        <f t="shared" si="125"/>
        <v>0</v>
      </c>
      <c r="CG1266" s="75">
        <f t="shared" si="122"/>
        <v>218</v>
      </c>
      <c r="CH1266" s="69" t="str">
        <f t="shared" si="122"/>
        <v>وحده</v>
      </c>
    </row>
    <row r="1267" spans="1:87" x14ac:dyDescent="0.25">
      <c r="A1267" s="148"/>
      <c r="B1267" s="82"/>
      <c r="C1267" s="149">
        <v>219</v>
      </c>
      <c r="D1267" s="69" t="s">
        <v>3530</v>
      </c>
      <c r="E1267" s="69" t="s">
        <v>3532</v>
      </c>
      <c r="F1267" s="63"/>
      <c r="G1267" s="69"/>
      <c r="H1267" s="69"/>
      <c r="I1267" s="69"/>
      <c r="J1267" s="69"/>
      <c r="K1267" s="69"/>
      <c r="L1267" s="69"/>
      <c r="M1267" s="69"/>
      <c r="N1267" s="69"/>
      <c r="O1267" s="69"/>
      <c r="P1267" s="69"/>
      <c r="Q1267" s="69"/>
      <c r="R1267" s="69"/>
      <c r="S1267" s="69"/>
      <c r="T1267" s="69"/>
      <c r="U1267" s="69"/>
      <c r="V1267" s="69"/>
      <c r="W1267" s="69"/>
      <c r="X1267" s="69"/>
      <c r="Y1267" s="69"/>
      <c r="Z1267" s="69"/>
      <c r="AA1267" s="69"/>
      <c r="AB1267" s="69"/>
      <c r="AC1267" s="69"/>
      <c r="AD1267" s="69"/>
      <c r="AE1267" s="69"/>
      <c r="AF1267" s="69"/>
      <c r="AG1267" s="69"/>
      <c r="AH1267" s="69">
        <v>15220474.779999999</v>
      </c>
      <c r="AI1267" s="69"/>
      <c r="AJ1267" s="69"/>
      <c r="AK1267" s="69"/>
      <c r="AL1267" s="69"/>
      <c r="AM1267" s="69"/>
      <c r="AN1267" s="69"/>
      <c r="AO1267" s="69"/>
      <c r="AP1267" s="69"/>
      <c r="AQ1267" s="69"/>
      <c r="AR1267" s="94">
        <f t="shared" si="127"/>
        <v>15220474.779999999</v>
      </c>
      <c r="AS1267" s="69">
        <v>116553.95</v>
      </c>
      <c r="AT1267" s="69"/>
      <c r="AU1267" s="69"/>
      <c r="AV1267" s="69"/>
      <c r="AW1267" s="69"/>
      <c r="AX1267" s="69"/>
      <c r="AY1267" s="69"/>
      <c r="AZ1267" s="69">
        <v>15103920.83</v>
      </c>
      <c r="BA1267" s="69"/>
      <c r="BB1267" s="69"/>
      <c r="BC1267" s="69"/>
      <c r="BD1267" s="69"/>
      <c r="BE1267" s="69"/>
      <c r="BF1267" s="69"/>
      <c r="BG1267" s="69"/>
      <c r="BH1267" s="69"/>
      <c r="BI1267" s="69"/>
      <c r="BJ1267" s="69"/>
      <c r="BK1267" s="69"/>
      <c r="BL1267" s="69"/>
      <c r="BM1267" s="69"/>
      <c r="BN1267" s="69"/>
      <c r="BO1267" s="69"/>
      <c r="BP1267" s="69"/>
      <c r="BQ1267" s="69"/>
      <c r="BR1267" s="69"/>
      <c r="BS1267" s="69"/>
      <c r="BT1267" s="69"/>
      <c r="BU1267" s="69"/>
      <c r="BV1267" s="69"/>
      <c r="BW1267" s="69"/>
      <c r="BX1267" s="69"/>
      <c r="BY1267" s="69"/>
      <c r="BZ1267" s="69"/>
      <c r="CA1267" s="69"/>
      <c r="CB1267" s="69"/>
      <c r="CC1267" s="69"/>
      <c r="CD1267" s="69"/>
      <c r="CE1267" s="94">
        <f t="shared" si="138"/>
        <v>15220474.779999999</v>
      </c>
      <c r="CF1267" s="151">
        <f t="shared" si="125"/>
        <v>0</v>
      </c>
      <c r="CG1267" s="75">
        <f t="shared" si="122"/>
        <v>219</v>
      </c>
      <c r="CH1267" s="69" t="str">
        <f t="shared" si="122"/>
        <v>وحده</v>
      </c>
    </row>
    <row r="1268" spans="1:87" x14ac:dyDescent="0.25">
      <c r="A1268" s="148"/>
      <c r="B1268" s="82"/>
      <c r="C1268" s="160">
        <v>220</v>
      </c>
      <c r="D1268" s="69" t="s">
        <v>1431</v>
      </c>
      <c r="E1268" s="69" t="s">
        <v>3075</v>
      </c>
      <c r="F1268" s="69"/>
      <c r="G1268" s="69"/>
      <c r="H1268" s="69"/>
      <c r="I1268" s="69"/>
      <c r="J1268" s="69"/>
      <c r="K1268" s="69"/>
      <c r="L1268" s="69"/>
      <c r="M1268" s="69"/>
      <c r="N1268" s="69"/>
      <c r="O1268" s="69"/>
      <c r="P1268" s="69"/>
      <c r="Q1268" s="69"/>
      <c r="R1268" s="69"/>
      <c r="S1268" s="69"/>
      <c r="T1268" s="69"/>
      <c r="U1268" s="69"/>
      <c r="V1268" s="69"/>
      <c r="W1268" s="69"/>
      <c r="X1268" s="69"/>
      <c r="Y1268" s="69"/>
      <c r="Z1268" s="69"/>
      <c r="AA1268" s="69"/>
      <c r="AB1268" s="69"/>
      <c r="AC1268" s="69"/>
      <c r="AD1268" s="69"/>
      <c r="AE1268" s="69"/>
      <c r="AF1268" s="69"/>
      <c r="AG1268" s="69"/>
      <c r="AH1268" s="69"/>
      <c r="AI1268" s="69"/>
      <c r="AJ1268" s="69"/>
      <c r="AK1268" s="69"/>
      <c r="AL1268" s="69"/>
      <c r="AM1268" s="69"/>
      <c r="AN1268" s="69"/>
      <c r="AO1268" s="69"/>
      <c r="AP1268" s="69"/>
      <c r="AQ1268" s="69"/>
      <c r="AR1268" s="94">
        <f t="shared" si="127"/>
        <v>0</v>
      </c>
      <c r="AS1268" s="69"/>
      <c r="AT1268" s="69"/>
      <c r="AU1268" s="69"/>
      <c r="AV1268" s="69"/>
      <c r="AW1268" s="69"/>
      <c r="AX1268" s="69"/>
      <c r="AY1268" s="69"/>
      <c r="AZ1268" s="69"/>
      <c r="BA1268" s="69"/>
      <c r="BB1268" s="69"/>
      <c r="BC1268" s="69"/>
      <c r="BD1268" s="69"/>
      <c r="BE1268" s="69"/>
      <c r="BF1268" s="69"/>
      <c r="BG1268" s="69"/>
      <c r="BH1268" s="69"/>
      <c r="BI1268" s="69"/>
      <c r="BJ1268" s="69"/>
      <c r="BK1268" s="69"/>
      <c r="BL1268" s="69"/>
      <c r="BM1268" s="69"/>
      <c r="BN1268" s="69"/>
      <c r="BO1268" s="69"/>
      <c r="BP1268" s="69"/>
      <c r="BQ1268" s="69"/>
      <c r="BR1268" s="69"/>
      <c r="BS1268" s="69"/>
      <c r="BT1268" s="69"/>
      <c r="BU1268" s="69"/>
      <c r="BV1268" s="69"/>
      <c r="BW1268" s="69"/>
      <c r="BX1268" s="69"/>
      <c r="BY1268" s="69"/>
      <c r="BZ1268" s="69"/>
      <c r="CA1268" s="69"/>
      <c r="CB1268" s="69"/>
      <c r="CC1268" s="69"/>
      <c r="CD1268" s="69"/>
      <c r="CE1268" s="94">
        <f t="shared" si="138"/>
        <v>0</v>
      </c>
      <c r="CF1268" s="151">
        <f t="shared" si="125"/>
        <v>0</v>
      </c>
      <c r="CG1268" s="75">
        <f t="shared" si="122"/>
        <v>220</v>
      </c>
      <c r="CH1268" s="69" t="str">
        <f t="shared" si="122"/>
        <v>لاب فقط</v>
      </c>
    </row>
    <row r="1269" spans="1:87" x14ac:dyDescent="0.25">
      <c r="A1269" s="148"/>
      <c r="B1269" s="82"/>
      <c r="C1269" s="160">
        <v>221</v>
      </c>
      <c r="D1269" s="69" t="s">
        <v>1431</v>
      </c>
      <c r="E1269" s="69" t="s">
        <v>3533</v>
      </c>
      <c r="F1269" s="69"/>
      <c r="G1269" s="69"/>
      <c r="H1269" s="69"/>
      <c r="I1269" s="69"/>
      <c r="J1269" s="69"/>
      <c r="K1269" s="69"/>
      <c r="L1269" s="69"/>
      <c r="M1269" s="69"/>
      <c r="N1269" s="69"/>
      <c r="O1269" s="69"/>
      <c r="P1269" s="69"/>
      <c r="Q1269" s="69"/>
      <c r="R1269" s="69"/>
      <c r="S1269" s="69"/>
      <c r="T1269" s="69"/>
      <c r="U1269" s="69"/>
      <c r="V1269" s="69"/>
      <c r="W1269" s="69"/>
      <c r="X1269" s="69"/>
      <c r="Y1269" s="69"/>
      <c r="Z1269" s="69"/>
      <c r="AA1269" s="69"/>
      <c r="AB1269" s="69"/>
      <c r="AC1269" s="69"/>
      <c r="AD1269" s="69"/>
      <c r="AE1269" s="69"/>
      <c r="AF1269" s="69"/>
      <c r="AG1269" s="69"/>
      <c r="AH1269" s="69"/>
      <c r="AI1269" s="69"/>
      <c r="AJ1269" s="69"/>
      <c r="AK1269" s="69"/>
      <c r="AL1269" s="69"/>
      <c r="AM1269" s="69"/>
      <c r="AN1269" s="69"/>
      <c r="AO1269" s="69"/>
      <c r="AP1269" s="69"/>
      <c r="AQ1269" s="69"/>
      <c r="AR1269" s="94">
        <f t="shared" si="127"/>
        <v>0</v>
      </c>
      <c r="AS1269" s="69"/>
      <c r="AT1269" s="69"/>
      <c r="AU1269" s="69"/>
      <c r="AV1269" s="69"/>
      <c r="AW1269" s="69"/>
      <c r="AX1269" s="69"/>
      <c r="AY1269" s="69"/>
      <c r="AZ1269" s="69"/>
      <c r="BA1269" s="69"/>
      <c r="BB1269" s="69"/>
      <c r="BC1269" s="69"/>
      <c r="BD1269" s="69"/>
      <c r="BE1269" s="69"/>
      <c r="BF1269" s="69"/>
      <c r="BG1269" s="69"/>
      <c r="BH1269" s="69"/>
      <c r="BI1269" s="69"/>
      <c r="BJ1269" s="69"/>
      <c r="BK1269" s="69"/>
      <c r="BL1269" s="69"/>
      <c r="BM1269" s="69"/>
      <c r="BN1269" s="69"/>
      <c r="BO1269" s="69"/>
      <c r="BP1269" s="69"/>
      <c r="BQ1269" s="69"/>
      <c r="BR1269" s="69"/>
      <c r="BS1269" s="69"/>
      <c r="BT1269" s="69"/>
      <c r="BU1269" s="69"/>
      <c r="BV1269" s="69"/>
      <c r="BW1269" s="69"/>
      <c r="BX1269" s="69"/>
      <c r="BY1269" s="69"/>
      <c r="BZ1269" s="69"/>
      <c r="CA1269" s="69"/>
      <c r="CB1269" s="69"/>
      <c r="CC1269" s="69"/>
      <c r="CD1269" s="69"/>
      <c r="CE1269" s="94">
        <f t="shared" si="138"/>
        <v>0</v>
      </c>
      <c r="CF1269" s="151">
        <f t="shared" si="125"/>
        <v>0</v>
      </c>
      <c r="CG1269" s="75">
        <f t="shared" si="122"/>
        <v>221</v>
      </c>
      <c r="CH1269" s="69" t="str">
        <f t="shared" si="122"/>
        <v>لاب فقط</v>
      </c>
    </row>
    <row r="1270" spans="1:87" x14ac:dyDescent="0.25">
      <c r="A1270" s="148"/>
      <c r="B1270" s="82"/>
      <c r="C1270" s="149">
        <v>222</v>
      </c>
      <c r="D1270" s="69" t="s">
        <v>332</v>
      </c>
      <c r="E1270" s="69" t="s">
        <v>3534</v>
      </c>
      <c r="F1270" s="63"/>
      <c r="G1270" s="69"/>
      <c r="H1270" s="69"/>
      <c r="I1270" s="69"/>
      <c r="J1270" s="69"/>
      <c r="K1270" s="69"/>
      <c r="L1270" s="69"/>
      <c r="M1270" s="69"/>
      <c r="N1270" s="69"/>
      <c r="O1270" s="69"/>
      <c r="P1270" s="69"/>
      <c r="Q1270" s="69"/>
      <c r="R1270" s="69"/>
      <c r="S1270" s="69"/>
      <c r="T1270" s="69"/>
      <c r="U1270" s="69"/>
      <c r="V1270" s="69"/>
      <c r="W1270" s="69"/>
      <c r="X1270" s="69"/>
      <c r="Y1270" s="69"/>
      <c r="Z1270" s="69"/>
      <c r="AA1270" s="69"/>
      <c r="AB1270" s="69"/>
      <c r="AC1270" s="69"/>
      <c r="AD1270" s="69"/>
      <c r="AE1270" s="69"/>
      <c r="AF1270" s="69"/>
      <c r="AG1270" s="69"/>
      <c r="AH1270" s="69"/>
      <c r="AI1270" s="69"/>
      <c r="AJ1270" s="69"/>
      <c r="AK1270" s="69"/>
      <c r="AL1270" s="69"/>
      <c r="AM1270" s="69"/>
      <c r="AN1270" s="69"/>
      <c r="AO1270" s="69"/>
      <c r="AP1270" s="69"/>
      <c r="AQ1270" s="69"/>
      <c r="AR1270" s="94">
        <f t="shared" si="127"/>
        <v>0</v>
      </c>
      <c r="AS1270" s="69"/>
      <c r="AT1270" s="69"/>
      <c r="AU1270" s="69"/>
      <c r="AV1270" s="69"/>
      <c r="AW1270" s="69"/>
      <c r="AX1270" s="69"/>
      <c r="AY1270" s="69"/>
      <c r="AZ1270" s="69"/>
      <c r="BA1270" s="69"/>
      <c r="BB1270" s="69"/>
      <c r="BC1270" s="69"/>
      <c r="BD1270" s="69"/>
      <c r="BE1270" s="69"/>
      <c r="BF1270" s="69"/>
      <c r="BG1270" s="69"/>
      <c r="BH1270" s="69"/>
      <c r="BI1270" s="69"/>
      <c r="BJ1270" s="69"/>
      <c r="BK1270" s="69"/>
      <c r="BL1270" s="69"/>
      <c r="BM1270" s="69"/>
      <c r="BN1270" s="69"/>
      <c r="BO1270" s="69"/>
      <c r="BP1270" s="69"/>
      <c r="BQ1270" s="69"/>
      <c r="BR1270" s="69"/>
      <c r="BS1270" s="69"/>
      <c r="BT1270" s="69"/>
      <c r="BU1270" s="69"/>
      <c r="BV1270" s="69"/>
      <c r="BW1270" s="69"/>
      <c r="BX1270" s="69"/>
      <c r="BY1270" s="69"/>
      <c r="BZ1270" s="69"/>
      <c r="CA1270" s="69"/>
      <c r="CB1270" s="69"/>
      <c r="CC1270" s="69"/>
      <c r="CD1270" s="69"/>
      <c r="CE1270" s="94">
        <f t="shared" si="138"/>
        <v>0</v>
      </c>
      <c r="CF1270" s="151">
        <f>+CE1270-AR1270</f>
        <v>0</v>
      </c>
      <c r="CG1270" s="75">
        <f>+C1270</f>
        <v>222</v>
      </c>
      <c r="CH1270" s="69" t="str">
        <f>+D1270</f>
        <v xml:space="preserve">لاب فقط </v>
      </c>
    </row>
    <row r="1271" spans="1:87" x14ac:dyDescent="0.25">
      <c r="A1271" s="148"/>
      <c r="C1271" s="168">
        <v>223</v>
      </c>
      <c r="D1271" s="166" t="s">
        <v>1431</v>
      </c>
      <c r="E1271" s="69" t="s">
        <v>3075</v>
      </c>
      <c r="F1271" s="63"/>
      <c r="G1271" s="69"/>
      <c r="H1271" s="69"/>
      <c r="I1271" s="69"/>
      <c r="J1271" s="69"/>
      <c r="K1271" s="69"/>
      <c r="L1271" s="69"/>
      <c r="M1271" s="69"/>
      <c r="N1271" s="69"/>
      <c r="O1271" s="69"/>
      <c r="P1271" s="69"/>
      <c r="Q1271" s="69"/>
      <c r="R1271" s="69"/>
      <c r="S1271" s="69"/>
      <c r="T1271" s="69"/>
      <c r="U1271" s="69"/>
      <c r="V1271" s="69"/>
      <c r="W1271" s="69"/>
      <c r="X1271" s="69"/>
      <c r="Y1271" s="69"/>
      <c r="Z1271" s="69"/>
      <c r="AA1271" s="69"/>
      <c r="AB1271" s="69"/>
      <c r="AC1271" s="69"/>
      <c r="AD1271" s="69"/>
      <c r="AE1271" s="69"/>
      <c r="AF1271" s="69"/>
      <c r="AG1271" s="69"/>
      <c r="AH1271" s="69"/>
      <c r="AI1271" s="69"/>
      <c r="AJ1271" s="69"/>
      <c r="AK1271" s="69"/>
      <c r="AL1271" s="69"/>
      <c r="AM1271" s="69"/>
      <c r="AN1271" s="69"/>
      <c r="AO1271" s="69"/>
      <c r="AP1271" s="69"/>
      <c r="AQ1271" s="69"/>
      <c r="AR1271" s="94">
        <f t="shared" si="127"/>
        <v>0</v>
      </c>
      <c r="AS1271" s="69"/>
      <c r="AT1271" s="69"/>
      <c r="AU1271" s="69"/>
      <c r="AV1271" s="69"/>
      <c r="AW1271" s="69"/>
      <c r="AX1271" s="69"/>
      <c r="AY1271" s="69"/>
      <c r="AZ1271" s="69"/>
      <c r="BA1271" s="69"/>
      <c r="BB1271" s="69"/>
      <c r="BC1271" s="69"/>
      <c r="BD1271" s="69"/>
      <c r="BE1271" s="69"/>
      <c r="BF1271" s="69"/>
      <c r="BG1271" s="69"/>
      <c r="BH1271" s="69"/>
      <c r="BI1271" s="69"/>
      <c r="BJ1271" s="69"/>
      <c r="BK1271" s="69"/>
      <c r="BL1271" s="69"/>
      <c r="BM1271" s="69"/>
      <c r="BN1271" s="69"/>
      <c r="BO1271" s="69"/>
      <c r="BP1271" s="69"/>
      <c r="BQ1271" s="69"/>
      <c r="BR1271" s="69"/>
      <c r="BS1271" s="69"/>
      <c r="BT1271" s="69"/>
      <c r="BU1271" s="69"/>
      <c r="BV1271" s="69"/>
      <c r="BW1271" s="69"/>
      <c r="BX1271" s="69"/>
      <c r="BY1271" s="69"/>
      <c r="BZ1271" s="69"/>
      <c r="CA1271" s="69"/>
      <c r="CB1271" s="69"/>
      <c r="CC1271" s="69"/>
      <c r="CD1271" s="69"/>
      <c r="CE1271" s="94">
        <f t="shared" si="138"/>
        <v>0</v>
      </c>
      <c r="CF1271" s="151">
        <f>+CE1271-AR1271</f>
        <v>0</v>
      </c>
      <c r="CG1271" s="75">
        <f>+C1271</f>
        <v>223</v>
      </c>
      <c r="CH1271" s="69" t="str">
        <f>+D1271</f>
        <v>لاب فقط</v>
      </c>
    </row>
    <row r="1272" spans="1:87" s="156" customFormat="1" x14ac:dyDescent="0.25">
      <c r="A1272" s="153"/>
      <c r="B1272" s="83"/>
      <c r="C1272" s="154"/>
      <c r="D1272" s="68"/>
      <c r="E1272" s="68" t="s">
        <v>3535</v>
      </c>
      <c r="F1272" s="68"/>
      <c r="G1272" s="68">
        <f t="shared" ref="G1272:BR1272" si="139">SUM(G1257:G1267)</f>
        <v>800</v>
      </c>
      <c r="H1272" s="68">
        <f t="shared" si="139"/>
        <v>0</v>
      </c>
      <c r="I1272" s="68">
        <f t="shared" si="139"/>
        <v>0</v>
      </c>
      <c r="J1272" s="68">
        <f t="shared" si="139"/>
        <v>930492.2</v>
      </c>
      <c r="K1272" s="68">
        <f t="shared" si="139"/>
        <v>0</v>
      </c>
      <c r="L1272" s="68">
        <f t="shared" si="139"/>
        <v>0</v>
      </c>
      <c r="M1272" s="68">
        <f t="shared" si="139"/>
        <v>0</v>
      </c>
      <c r="N1272" s="68">
        <f t="shared" si="139"/>
        <v>0</v>
      </c>
      <c r="O1272" s="68">
        <f t="shared" si="139"/>
        <v>0</v>
      </c>
      <c r="P1272" s="68">
        <f t="shared" si="139"/>
        <v>0</v>
      </c>
      <c r="Q1272" s="68">
        <f t="shared" si="139"/>
        <v>0</v>
      </c>
      <c r="R1272" s="68">
        <f t="shared" si="139"/>
        <v>246367.5</v>
      </c>
      <c r="S1272" s="68">
        <f t="shared" si="139"/>
        <v>1135.8</v>
      </c>
      <c r="T1272" s="68">
        <f t="shared" si="139"/>
        <v>0</v>
      </c>
      <c r="U1272" s="68">
        <f t="shared" si="139"/>
        <v>0</v>
      </c>
      <c r="V1272" s="68">
        <f t="shared" si="139"/>
        <v>0</v>
      </c>
      <c r="W1272" s="68">
        <f t="shared" si="139"/>
        <v>0</v>
      </c>
      <c r="X1272" s="68">
        <f t="shared" si="139"/>
        <v>0</v>
      </c>
      <c r="Y1272" s="68">
        <f t="shared" si="139"/>
        <v>0</v>
      </c>
      <c r="Z1272" s="68">
        <f t="shared" si="139"/>
        <v>0</v>
      </c>
      <c r="AA1272" s="68">
        <f t="shared" si="139"/>
        <v>0</v>
      </c>
      <c r="AB1272" s="68">
        <f t="shared" si="139"/>
        <v>0</v>
      </c>
      <c r="AC1272" s="68">
        <f t="shared" si="139"/>
        <v>0</v>
      </c>
      <c r="AD1272" s="68">
        <f t="shared" si="139"/>
        <v>0</v>
      </c>
      <c r="AE1272" s="68">
        <f t="shared" si="139"/>
        <v>15220474.779999999</v>
      </c>
      <c r="AF1272" s="68">
        <f t="shared" si="139"/>
        <v>44941075.229999997</v>
      </c>
      <c r="AG1272" s="68">
        <f t="shared" si="139"/>
        <v>0</v>
      </c>
      <c r="AH1272" s="68">
        <f t="shared" si="139"/>
        <v>15220474.779999999</v>
      </c>
      <c r="AI1272" s="68">
        <f t="shared" si="139"/>
        <v>0</v>
      </c>
      <c r="AJ1272" s="68">
        <f t="shared" si="139"/>
        <v>0</v>
      </c>
      <c r="AK1272" s="68">
        <f t="shared" si="139"/>
        <v>0</v>
      </c>
      <c r="AL1272" s="68">
        <f t="shared" si="139"/>
        <v>0</v>
      </c>
      <c r="AM1272" s="68">
        <f t="shared" si="139"/>
        <v>0</v>
      </c>
      <c r="AN1272" s="68">
        <f t="shared" si="139"/>
        <v>0</v>
      </c>
      <c r="AO1272" s="68">
        <f t="shared" si="139"/>
        <v>0</v>
      </c>
      <c r="AP1272" s="68">
        <f t="shared" si="139"/>
        <v>0</v>
      </c>
      <c r="AQ1272" s="68">
        <f t="shared" si="139"/>
        <v>4355</v>
      </c>
      <c r="AR1272" s="68">
        <f t="shared" si="139"/>
        <v>76565175.289999992</v>
      </c>
      <c r="AS1272" s="68">
        <f t="shared" si="139"/>
        <v>116553.95</v>
      </c>
      <c r="AT1272" s="68">
        <f t="shared" si="139"/>
        <v>0</v>
      </c>
      <c r="AU1272" s="68">
        <f t="shared" si="139"/>
        <v>0</v>
      </c>
      <c r="AV1272" s="68">
        <f t="shared" si="139"/>
        <v>0</v>
      </c>
      <c r="AW1272" s="68">
        <f t="shared" si="139"/>
        <v>0</v>
      </c>
      <c r="AX1272" s="68">
        <f t="shared" si="139"/>
        <v>0</v>
      </c>
      <c r="AY1272" s="68">
        <f t="shared" si="139"/>
        <v>16150966.98</v>
      </c>
      <c r="AZ1272" s="68">
        <f t="shared" si="139"/>
        <v>15103920.83</v>
      </c>
      <c r="BA1272" s="68">
        <f t="shared" si="139"/>
        <v>0</v>
      </c>
      <c r="BB1272" s="68">
        <f t="shared" si="139"/>
        <v>0</v>
      </c>
      <c r="BC1272" s="68">
        <f t="shared" si="139"/>
        <v>0</v>
      </c>
      <c r="BD1272" s="68">
        <f t="shared" si="139"/>
        <v>0</v>
      </c>
      <c r="BE1272" s="68">
        <f t="shared" si="139"/>
        <v>0</v>
      </c>
      <c r="BF1272" s="68">
        <f t="shared" si="139"/>
        <v>0</v>
      </c>
      <c r="BG1272" s="68">
        <f t="shared" si="139"/>
        <v>0</v>
      </c>
      <c r="BH1272" s="68">
        <f t="shared" si="139"/>
        <v>0</v>
      </c>
      <c r="BI1272" s="68">
        <f t="shared" si="139"/>
        <v>0</v>
      </c>
      <c r="BJ1272" s="68">
        <f t="shared" si="139"/>
        <v>0</v>
      </c>
      <c r="BK1272" s="68">
        <f t="shared" si="139"/>
        <v>0</v>
      </c>
      <c r="BL1272" s="68">
        <f t="shared" si="139"/>
        <v>0</v>
      </c>
      <c r="BM1272" s="68">
        <f t="shared" si="139"/>
        <v>0</v>
      </c>
      <c r="BN1272" s="68">
        <f t="shared" si="139"/>
        <v>0</v>
      </c>
      <c r="BO1272" s="68">
        <f t="shared" si="139"/>
        <v>0</v>
      </c>
      <c r="BP1272" s="68">
        <f t="shared" si="139"/>
        <v>0</v>
      </c>
      <c r="BQ1272" s="68">
        <f t="shared" si="139"/>
        <v>0</v>
      </c>
      <c r="BR1272" s="68">
        <f t="shared" si="139"/>
        <v>0</v>
      </c>
      <c r="BS1272" s="68">
        <f t="shared" ref="BS1272:CF1272" si="140">SUM(BS1257:BS1267)</f>
        <v>0</v>
      </c>
      <c r="BT1272" s="68">
        <f t="shared" si="140"/>
        <v>0</v>
      </c>
      <c r="BU1272" s="68">
        <f t="shared" si="140"/>
        <v>0</v>
      </c>
      <c r="BV1272" s="68">
        <f t="shared" si="140"/>
        <v>0</v>
      </c>
      <c r="BW1272" s="68">
        <f t="shared" si="140"/>
        <v>0</v>
      </c>
      <c r="BX1272" s="68">
        <f t="shared" si="140"/>
        <v>0</v>
      </c>
      <c r="BY1272" s="68">
        <f t="shared" si="140"/>
        <v>0</v>
      </c>
      <c r="BZ1272" s="68">
        <f t="shared" si="140"/>
        <v>0</v>
      </c>
      <c r="CA1272" s="68">
        <f t="shared" si="140"/>
        <v>0</v>
      </c>
      <c r="CB1272" s="68">
        <f t="shared" si="140"/>
        <v>0</v>
      </c>
      <c r="CC1272" s="68">
        <f t="shared" si="140"/>
        <v>0</v>
      </c>
      <c r="CD1272" s="68">
        <f t="shared" si="140"/>
        <v>45193733.529999994</v>
      </c>
      <c r="CE1272" s="68">
        <f t="shared" si="140"/>
        <v>76565175.289999992</v>
      </c>
      <c r="CF1272" s="68">
        <f t="shared" si="140"/>
        <v>0</v>
      </c>
      <c r="CG1272" s="68"/>
      <c r="CH1272" s="68">
        <f>SUM(CH1257:CH1267)</f>
        <v>0</v>
      </c>
      <c r="CI1272" s="68">
        <f>SUM(CI1257:CI1267)</f>
        <v>0</v>
      </c>
    </row>
  </sheetData>
  <autoFilter ref="D2:D1272" xr:uid="{8A26BE83-AB2F-4DA6-9719-EEA85FE3A40F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55162-1C11-481F-B858-F7DEFD400170}">
  <dimension ref="A1:CU1167"/>
  <sheetViews>
    <sheetView rightToLeft="1" topLeftCell="B1058" workbookViewId="0">
      <selection activeCell="D2" sqref="D2"/>
    </sheetView>
  </sheetViews>
  <sheetFormatPr defaultColWidth="9.140625" defaultRowHeight="18" x14ac:dyDescent="0.25"/>
  <cols>
    <col min="1" max="1" width="15.5703125" style="69" customWidth="1"/>
    <col min="2" max="2" width="19.140625" style="75" customWidth="1"/>
    <col min="3" max="3" width="9.7109375" style="75" customWidth="1"/>
    <col min="4" max="4" width="16.42578125" style="69" customWidth="1"/>
    <col min="5" max="5" width="36.28515625" style="69" customWidth="1"/>
    <col min="6" max="6" width="11" style="63" customWidth="1"/>
    <col min="7" max="7" width="13.7109375" style="69" customWidth="1"/>
    <col min="8" max="8" width="13.85546875" style="69" customWidth="1"/>
    <col min="9" max="9" width="15.5703125" style="69" customWidth="1"/>
    <col min="10" max="10" width="15.28515625" style="69" customWidth="1"/>
    <col min="11" max="11" width="11.85546875" style="69" customWidth="1"/>
    <col min="12" max="12" width="11.42578125" style="69" customWidth="1"/>
    <col min="13" max="13" width="11.7109375" style="69" customWidth="1"/>
    <col min="14" max="14" width="12.85546875" style="69" customWidth="1"/>
    <col min="15" max="15" width="10.85546875" style="69" customWidth="1"/>
    <col min="16" max="16" width="11.85546875" style="69" customWidth="1"/>
    <col min="17" max="17" width="9.5703125" style="69" customWidth="1"/>
    <col min="18" max="18" width="13.5703125" style="69" customWidth="1"/>
    <col min="19" max="19" width="13.28515625" style="69" customWidth="1"/>
    <col min="20" max="20" width="11.140625" style="52" customWidth="1"/>
    <col min="21" max="21" width="12.85546875" style="52" customWidth="1"/>
    <col min="22" max="22" width="5" style="69" customWidth="1"/>
    <col min="23" max="23" width="9.140625" style="69"/>
    <col min="24" max="24" width="12.85546875" style="69" customWidth="1"/>
    <col min="25" max="25" width="13.28515625" style="69" customWidth="1"/>
    <col min="26" max="26" width="0.7109375" style="69" customWidth="1"/>
    <col min="27" max="27" width="17.85546875" style="69" customWidth="1"/>
    <col min="28" max="28" width="12.28515625" style="69" customWidth="1"/>
    <col min="29" max="29" width="11.42578125" style="69" customWidth="1"/>
    <col min="30" max="30" width="16" style="69" customWidth="1"/>
    <col min="31" max="31" width="17.5703125" style="69" customWidth="1"/>
    <col min="32" max="32" width="10.140625" style="69" customWidth="1"/>
    <col min="33" max="33" width="17.7109375" style="69" customWidth="1"/>
    <col min="34" max="39" width="10.140625" style="69" customWidth="1"/>
    <col min="40" max="40" width="9" style="69" customWidth="1"/>
    <col min="41" max="41" width="11.42578125" style="69" customWidth="1"/>
    <col min="42" max="42" width="10.140625" style="69" customWidth="1"/>
    <col min="43" max="43" width="14.42578125" style="69" customWidth="1"/>
    <col min="44" max="44" width="16.5703125" style="91" customWidth="1"/>
    <col min="45" max="45" width="13.85546875" style="69" customWidth="1"/>
    <col min="46" max="46" width="11.140625" style="52" customWidth="1"/>
    <col min="47" max="47" width="14.140625" style="69" customWidth="1"/>
    <col min="48" max="48" width="11.5703125" style="69" customWidth="1"/>
    <col min="49" max="49" width="12.140625" style="69" customWidth="1"/>
    <col min="50" max="50" width="12.7109375" style="69" customWidth="1"/>
    <col min="51" max="51" width="15.85546875" style="69" customWidth="1"/>
    <col min="52" max="52" width="18.28515625" style="69" customWidth="1"/>
    <col min="53" max="53" width="13.7109375" style="69" customWidth="1"/>
    <col min="54" max="54" width="12.140625" style="69" customWidth="1"/>
    <col min="55" max="55" width="18.140625" style="57" customWidth="1"/>
    <col min="56" max="56" width="12.5703125" style="57" customWidth="1"/>
    <col min="57" max="57" width="8.7109375" style="69" customWidth="1"/>
    <col min="58" max="58" width="11.7109375" style="69" customWidth="1"/>
    <col min="59" max="59" width="10" style="69" customWidth="1"/>
    <col min="60" max="60" width="9.140625" style="69"/>
    <col min="61" max="61" width="11.5703125" style="69" customWidth="1"/>
    <col min="62" max="62" width="9.140625" style="69"/>
    <col min="63" max="63" width="12.140625" style="69" customWidth="1"/>
    <col min="64" max="64" width="11.140625" style="69" customWidth="1"/>
    <col min="65" max="65" width="8.140625" style="69" customWidth="1"/>
    <col min="66" max="66" width="9.7109375" style="69" customWidth="1"/>
    <col min="67" max="67" width="11.140625" style="69" customWidth="1"/>
    <col min="68" max="68" width="13.28515625" style="69" customWidth="1"/>
    <col min="69" max="69" width="14.28515625" style="69" customWidth="1"/>
    <col min="70" max="71" width="9.140625" style="69"/>
    <col min="72" max="72" width="10" style="69" customWidth="1"/>
    <col min="73" max="73" width="11.140625" style="69" customWidth="1"/>
    <col min="74" max="75" width="9.140625" style="69"/>
    <col min="76" max="76" width="10.85546875" style="69" customWidth="1"/>
    <col min="77" max="78" width="10.42578125" style="69" customWidth="1"/>
    <col min="79" max="79" width="15.140625" style="69" customWidth="1"/>
    <col min="80" max="80" width="12.28515625" style="69" customWidth="1"/>
    <col min="81" max="81" width="16.7109375" style="69" customWidth="1"/>
    <col min="82" max="82" width="13" style="91" customWidth="1"/>
    <col min="83" max="83" width="12.85546875" style="69" customWidth="1"/>
    <col min="84" max="84" width="10.140625" style="69" customWidth="1"/>
    <col min="85" max="85" width="14" style="69" customWidth="1"/>
    <col min="86" max="16384" width="9.140625" style="69"/>
  </cols>
  <sheetData>
    <row r="1" spans="1:83" x14ac:dyDescent="0.25">
      <c r="K1" s="69">
        <v>0</v>
      </c>
    </row>
    <row r="2" spans="1:83" s="52" customFormat="1" ht="36" customHeight="1" x14ac:dyDescent="0.25">
      <c r="F2" s="53"/>
      <c r="G2" s="54" t="s">
        <v>1</v>
      </c>
      <c r="H2" s="54" t="s">
        <v>2</v>
      </c>
      <c r="I2" s="54" t="s">
        <v>3</v>
      </c>
      <c r="J2" s="54" t="s">
        <v>4</v>
      </c>
      <c r="K2" s="54" t="s">
        <v>5</v>
      </c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90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6"/>
      <c r="BD2" s="56"/>
      <c r="BN2" s="52" t="s">
        <v>6</v>
      </c>
      <c r="CD2" s="91"/>
    </row>
    <row r="3" spans="1:83" s="56" customFormat="1" ht="72" customHeight="1" x14ac:dyDescent="0.25">
      <c r="A3" s="52" t="s">
        <v>7</v>
      </c>
      <c r="B3" s="59" t="s">
        <v>8</v>
      </c>
      <c r="C3" s="59" t="s">
        <v>9</v>
      </c>
      <c r="D3" s="54" t="s">
        <v>10</v>
      </c>
      <c r="E3" s="60" t="s">
        <v>11</v>
      </c>
      <c r="F3" s="53" t="s">
        <v>12</v>
      </c>
      <c r="G3" s="54" t="s">
        <v>13</v>
      </c>
      <c r="H3" s="54" t="s">
        <v>14</v>
      </c>
      <c r="I3" s="54" t="s">
        <v>15</v>
      </c>
      <c r="J3" s="54" t="s">
        <v>16</v>
      </c>
      <c r="K3" s="54" t="s">
        <v>17</v>
      </c>
      <c r="L3" s="54" t="s">
        <v>18</v>
      </c>
      <c r="M3" s="54" t="s">
        <v>19</v>
      </c>
      <c r="N3" s="54" t="s">
        <v>20</v>
      </c>
      <c r="O3" s="54" t="s">
        <v>21</v>
      </c>
      <c r="P3" s="54" t="s">
        <v>22</v>
      </c>
      <c r="Q3" s="54" t="s">
        <v>23</v>
      </c>
      <c r="R3" s="54" t="s">
        <v>24</v>
      </c>
      <c r="S3" s="54" t="s">
        <v>25</v>
      </c>
      <c r="T3" s="54" t="s">
        <v>26</v>
      </c>
      <c r="U3" s="54" t="s">
        <v>27</v>
      </c>
      <c r="V3" s="54" t="s">
        <v>28</v>
      </c>
      <c r="W3" s="54" t="s">
        <v>29</v>
      </c>
      <c r="X3" s="54" t="s">
        <v>30</v>
      </c>
      <c r="Y3" s="54" t="s">
        <v>31</v>
      </c>
      <c r="Z3" s="54" t="s">
        <v>32</v>
      </c>
      <c r="AA3" s="54" t="s">
        <v>33</v>
      </c>
      <c r="AB3" s="54" t="s">
        <v>34</v>
      </c>
      <c r="AC3" s="54" t="s">
        <v>35</v>
      </c>
      <c r="AD3" s="54" t="s">
        <v>36</v>
      </c>
      <c r="AE3" s="54" t="s">
        <v>37</v>
      </c>
      <c r="AF3" s="54" t="s">
        <v>38</v>
      </c>
      <c r="AG3" s="54" t="s">
        <v>39</v>
      </c>
      <c r="AH3" s="54" t="s">
        <v>40</v>
      </c>
      <c r="AI3" s="54" t="s">
        <v>41</v>
      </c>
      <c r="AJ3" s="54" t="s">
        <v>42</v>
      </c>
      <c r="AK3" s="54" t="s">
        <v>43</v>
      </c>
      <c r="AL3" s="54" t="s">
        <v>44</v>
      </c>
      <c r="AM3" s="54" t="s">
        <v>45</v>
      </c>
      <c r="AN3" s="54" t="s">
        <v>55</v>
      </c>
      <c r="AO3" s="54" t="s">
        <v>46</v>
      </c>
      <c r="AP3" s="54" t="s">
        <v>47</v>
      </c>
      <c r="AQ3" s="54" t="s">
        <v>48</v>
      </c>
      <c r="AR3" s="90" t="s">
        <v>50</v>
      </c>
      <c r="AS3" s="54" t="s">
        <v>51</v>
      </c>
      <c r="AT3" s="54" t="s">
        <v>52</v>
      </c>
      <c r="AU3" s="54" t="s">
        <v>25</v>
      </c>
      <c r="AV3" s="54" t="s">
        <v>53</v>
      </c>
      <c r="AW3" s="54" t="s">
        <v>54</v>
      </c>
      <c r="AX3" s="54" t="s">
        <v>55</v>
      </c>
      <c r="AY3" s="54" t="s">
        <v>37</v>
      </c>
      <c r="AZ3" s="54" t="s">
        <v>39</v>
      </c>
      <c r="BA3" s="54" t="s">
        <v>56</v>
      </c>
      <c r="BB3" s="54" t="s">
        <v>57</v>
      </c>
      <c r="BC3" s="56" t="s">
        <v>58</v>
      </c>
      <c r="BD3" s="56" t="s">
        <v>59</v>
      </c>
      <c r="BE3" s="56" t="s">
        <v>31</v>
      </c>
      <c r="BF3" s="56" t="s">
        <v>60</v>
      </c>
      <c r="BG3" s="56" t="s">
        <v>27</v>
      </c>
      <c r="BH3" s="56" t="s">
        <v>61</v>
      </c>
      <c r="BI3" s="56" t="s">
        <v>62</v>
      </c>
      <c r="BJ3" s="56" t="s">
        <v>24</v>
      </c>
      <c r="BK3" s="56" t="s">
        <v>63</v>
      </c>
      <c r="BL3" s="56" t="s">
        <v>64</v>
      </c>
      <c r="BM3" s="56" t="s">
        <v>18</v>
      </c>
      <c r="BN3" s="56" t="s">
        <v>65</v>
      </c>
      <c r="BO3" s="56" t="s">
        <v>21</v>
      </c>
      <c r="BP3" s="56" t="s">
        <v>66</v>
      </c>
      <c r="BQ3" s="56" t="s">
        <v>67</v>
      </c>
      <c r="BR3" s="56" t="s">
        <v>40</v>
      </c>
      <c r="BS3" s="56" t="s">
        <v>68</v>
      </c>
      <c r="BT3" s="56" t="s">
        <v>69</v>
      </c>
      <c r="BU3" s="56" t="s">
        <v>41</v>
      </c>
      <c r="BV3" s="56" t="s">
        <v>70</v>
      </c>
      <c r="BW3" s="56" t="s">
        <v>71</v>
      </c>
      <c r="BX3" s="56" t="s">
        <v>72</v>
      </c>
      <c r="BY3" s="56" t="s">
        <v>46</v>
      </c>
      <c r="BZ3" s="56" t="s">
        <v>723</v>
      </c>
      <c r="CA3" s="56" t="s">
        <v>73</v>
      </c>
      <c r="CB3" s="56" t="s">
        <v>74</v>
      </c>
      <c r="CC3" s="56" t="s">
        <v>75</v>
      </c>
      <c r="CD3" s="92" t="s">
        <v>76</v>
      </c>
      <c r="CE3" s="56" t="s">
        <v>77</v>
      </c>
    </row>
    <row r="4" spans="1:83" s="63" customFormat="1" ht="15" customHeight="1" x14ac:dyDescent="0.25">
      <c r="B4" s="64"/>
      <c r="C4" s="64"/>
      <c r="D4" s="63" t="s">
        <v>78</v>
      </c>
      <c r="AR4" s="91"/>
      <c r="AT4" s="52"/>
      <c r="BC4" s="57"/>
      <c r="BD4" s="57"/>
      <c r="CD4" s="91"/>
    </row>
    <row r="5" spans="1:83" s="63" customFormat="1" x14ac:dyDescent="0.25">
      <c r="B5" s="64"/>
      <c r="C5" s="64"/>
      <c r="D5" s="63" t="s">
        <v>128</v>
      </c>
      <c r="AR5" s="91"/>
      <c r="AT5" s="52"/>
      <c r="BC5" s="57"/>
      <c r="BD5" s="57"/>
      <c r="CD5" s="91"/>
    </row>
    <row r="6" spans="1:83" s="63" customFormat="1" x14ac:dyDescent="0.25">
      <c r="B6" s="64"/>
      <c r="C6" s="64"/>
      <c r="D6" s="63" t="s">
        <v>130</v>
      </c>
      <c r="AR6" s="91"/>
      <c r="AT6" s="52"/>
      <c r="BC6" s="57"/>
      <c r="BD6" s="57"/>
      <c r="CD6" s="91"/>
    </row>
    <row r="7" spans="1:83" s="63" customFormat="1" x14ac:dyDescent="0.25">
      <c r="B7" s="64"/>
      <c r="C7" s="64"/>
      <c r="D7" s="63" t="s">
        <v>724</v>
      </c>
      <c r="AR7" s="91"/>
      <c r="AT7" s="52"/>
      <c r="BC7" s="57"/>
      <c r="BD7" s="57"/>
      <c r="CD7" s="91"/>
    </row>
    <row r="8" spans="1:83" s="63" customFormat="1" x14ac:dyDescent="0.25">
      <c r="B8" s="64"/>
      <c r="C8" s="64"/>
      <c r="D8" s="63" t="s">
        <v>725</v>
      </c>
      <c r="AR8" s="91"/>
      <c r="AT8" s="52"/>
      <c r="BC8" s="57"/>
      <c r="BD8" s="57"/>
      <c r="CD8" s="91"/>
    </row>
    <row r="9" spans="1:83" s="63" customFormat="1" x14ac:dyDescent="0.25">
      <c r="B9" s="64"/>
      <c r="C9" s="64"/>
      <c r="D9" s="63" t="s">
        <v>726</v>
      </c>
      <c r="AR9" s="91"/>
      <c r="AT9" s="52"/>
      <c r="BC9" s="57"/>
      <c r="BD9" s="57"/>
      <c r="CD9" s="91"/>
    </row>
    <row r="10" spans="1:83" s="63" customFormat="1" x14ac:dyDescent="0.25">
      <c r="B10" s="64"/>
      <c r="C10" s="64"/>
      <c r="D10" s="63" t="s">
        <v>121</v>
      </c>
      <c r="AR10" s="91"/>
      <c r="AT10" s="52"/>
      <c r="BC10" s="57"/>
      <c r="BD10" s="57"/>
      <c r="CD10" s="91"/>
    </row>
    <row r="11" spans="1:83" s="63" customFormat="1" x14ac:dyDescent="0.25">
      <c r="B11" s="64"/>
      <c r="C11" s="64"/>
      <c r="D11" s="63" t="s">
        <v>123</v>
      </c>
      <c r="AR11" s="91"/>
      <c r="AT11" s="52"/>
      <c r="BC11" s="57"/>
      <c r="BD11" s="57"/>
      <c r="CD11" s="91"/>
    </row>
    <row r="12" spans="1:83" s="63" customFormat="1" x14ac:dyDescent="0.25">
      <c r="B12" s="64"/>
      <c r="C12" s="64"/>
      <c r="D12" s="63" t="s">
        <v>122</v>
      </c>
      <c r="AR12" s="91"/>
      <c r="AT12" s="52"/>
      <c r="BC12" s="57"/>
      <c r="BD12" s="57"/>
      <c r="CD12" s="91"/>
    </row>
    <row r="13" spans="1:83" s="63" customFormat="1" x14ac:dyDescent="0.25">
      <c r="B13" s="64"/>
      <c r="C13" s="64"/>
      <c r="D13" s="63" t="s">
        <v>137</v>
      </c>
      <c r="AR13" s="91"/>
      <c r="AT13" s="52"/>
      <c r="BC13" s="57"/>
      <c r="BD13" s="57"/>
      <c r="CD13" s="91"/>
    </row>
    <row r="14" spans="1:83" s="63" customFormat="1" x14ac:dyDescent="0.25">
      <c r="B14" s="64"/>
      <c r="C14" s="64"/>
      <c r="D14" s="63" t="s">
        <v>125</v>
      </c>
      <c r="AR14" s="91"/>
      <c r="AT14" s="52"/>
      <c r="BC14" s="57"/>
      <c r="BD14" s="57"/>
      <c r="CD14" s="91"/>
    </row>
    <row r="15" spans="1:83" s="63" customFormat="1" x14ac:dyDescent="0.25">
      <c r="B15" s="64"/>
      <c r="C15" s="64"/>
      <c r="D15" s="63" t="s">
        <v>727</v>
      </c>
      <c r="AR15" s="91"/>
      <c r="AT15" s="52"/>
      <c r="BC15" s="57"/>
      <c r="BD15" s="57"/>
      <c r="CD15" s="91"/>
    </row>
    <row r="16" spans="1:83" s="63" customFormat="1" x14ac:dyDescent="0.25">
      <c r="B16" s="64"/>
      <c r="C16" s="64"/>
      <c r="D16" s="63" t="s">
        <v>728</v>
      </c>
      <c r="AR16" s="91"/>
      <c r="AT16" s="52"/>
      <c r="BC16" s="57"/>
      <c r="BD16" s="57"/>
      <c r="CD16" s="91"/>
    </row>
    <row r="17" spans="2:85" s="63" customFormat="1" x14ac:dyDescent="0.25">
      <c r="B17" s="64"/>
      <c r="C17" s="64"/>
      <c r="D17" s="63" t="s">
        <v>124</v>
      </c>
      <c r="AR17" s="91"/>
      <c r="AT17" s="52"/>
      <c r="BC17" s="57"/>
      <c r="BD17" s="57"/>
      <c r="CD17" s="91"/>
    </row>
    <row r="18" spans="2:85" s="63" customFormat="1" x14ac:dyDescent="0.25">
      <c r="B18" s="64"/>
      <c r="C18" s="64"/>
      <c r="D18" s="63" t="s">
        <v>132</v>
      </c>
      <c r="AR18" s="91"/>
      <c r="AT18" s="52"/>
      <c r="BC18" s="57"/>
      <c r="BD18" s="57"/>
      <c r="CD18" s="91"/>
    </row>
    <row r="19" spans="2:85" s="63" customFormat="1" x14ac:dyDescent="0.25">
      <c r="B19" s="64"/>
      <c r="C19" s="64"/>
      <c r="D19" s="63" t="s">
        <v>119</v>
      </c>
      <c r="AR19" s="91"/>
      <c r="AT19" s="52"/>
      <c r="BC19" s="57"/>
      <c r="BD19" s="57"/>
      <c r="CD19" s="91"/>
    </row>
    <row r="20" spans="2:85" s="63" customFormat="1" x14ac:dyDescent="0.25">
      <c r="B20" s="64"/>
      <c r="C20" s="64"/>
      <c r="D20" s="63" t="s">
        <v>729</v>
      </c>
      <c r="AR20" s="91"/>
      <c r="AT20" s="52"/>
      <c r="BC20" s="57"/>
      <c r="BD20" s="57"/>
      <c r="CD20" s="91"/>
    </row>
    <row r="21" spans="2:85" s="63" customFormat="1" x14ac:dyDescent="0.25">
      <c r="B21" s="64"/>
      <c r="C21" s="64"/>
      <c r="D21" s="63" t="s">
        <v>730</v>
      </c>
      <c r="AR21" s="91"/>
      <c r="AT21" s="52"/>
      <c r="BC21" s="57"/>
      <c r="BD21" s="57"/>
      <c r="CD21" s="91"/>
    </row>
    <row r="22" spans="2:85" s="63" customFormat="1" x14ac:dyDescent="0.25">
      <c r="B22" s="64"/>
      <c r="C22" s="64"/>
      <c r="D22" s="63" t="s">
        <v>731</v>
      </c>
      <c r="AR22" s="91"/>
      <c r="AT22" s="52"/>
      <c r="BC22" s="57"/>
      <c r="BD22" s="57"/>
      <c r="CD22" s="91"/>
    </row>
    <row r="23" spans="2:85" s="63" customFormat="1" x14ac:dyDescent="0.25">
      <c r="B23" s="64"/>
      <c r="C23" s="64"/>
      <c r="D23" s="63" t="s">
        <v>116</v>
      </c>
      <c r="AR23" s="91"/>
      <c r="AT23" s="52"/>
      <c r="BC23" s="57"/>
      <c r="BD23" s="57"/>
      <c r="CD23" s="91"/>
    </row>
    <row r="24" spans="2:85" s="63" customFormat="1" x14ac:dyDescent="0.25">
      <c r="B24" s="64"/>
      <c r="C24" s="64"/>
      <c r="D24" s="63" t="s">
        <v>732</v>
      </c>
      <c r="AR24" s="91"/>
      <c r="AT24" s="52"/>
      <c r="BC24" s="57"/>
      <c r="BD24" s="57"/>
      <c r="CD24" s="91"/>
    </row>
    <row r="25" spans="2:85" s="63" customFormat="1" x14ac:dyDescent="0.25">
      <c r="B25" s="64"/>
      <c r="C25" s="64"/>
      <c r="D25" s="63" t="s">
        <v>733</v>
      </c>
      <c r="AR25" s="91"/>
      <c r="AT25" s="52"/>
      <c r="BC25" s="57"/>
      <c r="BD25" s="57"/>
      <c r="CD25" s="91"/>
    </row>
    <row r="26" spans="2:85" ht="18.75" x14ac:dyDescent="0.25">
      <c r="B26" s="70">
        <v>4291</v>
      </c>
      <c r="C26" s="71">
        <v>5029</v>
      </c>
      <c r="E26" s="72" t="s">
        <v>2649</v>
      </c>
      <c r="F26" s="63" t="s">
        <v>220</v>
      </c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>
        <v>571686.54</v>
      </c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94">
        <f t="shared" ref="AR26:AR46" si="0">SUM(G26:AQ26)</f>
        <v>571686.54</v>
      </c>
      <c r="AS26" s="73">
        <v>571686.54</v>
      </c>
      <c r="AT26" s="73"/>
      <c r="AU26" s="73"/>
      <c r="AV26" s="73"/>
      <c r="AW26" s="73"/>
      <c r="AX26" s="73"/>
      <c r="AY26" s="73"/>
      <c r="AZ26" s="73"/>
      <c r="BA26" s="73"/>
      <c r="BB26" s="73"/>
      <c r="BC26" s="69"/>
      <c r="BD26" s="69"/>
      <c r="CD26" s="94">
        <f t="shared" ref="CD26:CD46" si="1">SUM(AS26:CC26)</f>
        <v>571686.54</v>
      </c>
      <c r="CE26" s="73">
        <f t="shared" ref="CE26:CE46" si="2">+CD26-AR26</f>
        <v>0</v>
      </c>
      <c r="CF26" s="75">
        <f t="shared" ref="CF26:CG46" si="3">+C26</f>
        <v>5029</v>
      </c>
      <c r="CG26" s="69">
        <f t="shared" si="3"/>
        <v>0</v>
      </c>
    </row>
    <row r="27" spans="2:85" ht="18.75" x14ac:dyDescent="0.25">
      <c r="B27" s="70">
        <v>4300</v>
      </c>
      <c r="C27" s="71">
        <v>5030</v>
      </c>
      <c r="E27" s="72" t="s">
        <v>2650</v>
      </c>
      <c r="F27" s="63" t="s">
        <v>220</v>
      </c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>
        <v>633.20000000000005</v>
      </c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94">
        <f t="shared" si="0"/>
        <v>633.20000000000005</v>
      </c>
      <c r="AS27" s="73">
        <v>633.20000000000005</v>
      </c>
      <c r="AT27" s="73"/>
      <c r="AU27" s="73"/>
      <c r="AV27" s="73"/>
      <c r="AW27" s="73"/>
      <c r="AX27" s="73"/>
      <c r="AY27" s="73"/>
      <c r="AZ27" s="73"/>
      <c r="BA27" s="73"/>
      <c r="BB27" s="73"/>
      <c r="BC27" s="69"/>
      <c r="BD27" s="69"/>
      <c r="CD27" s="94">
        <f t="shared" si="1"/>
        <v>633.20000000000005</v>
      </c>
      <c r="CE27" s="73">
        <f t="shared" si="2"/>
        <v>0</v>
      </c>
      <c r="CF27" s="75">
        <f t="shared" si="3"/>
        <v>5030</v>
      </c>
      <c r="CG27" s="69">
        <f t="shared" si="3"/>
        <v>0</v>
      </c>
    </row>
    <row r="28" spans="2:85" ht="18.75" x14ac:dyDescent="0.25">
      <c r="B28" s="70">
        <v>4299</v>
      </c>
      <c r="C28" s="71">
        <v>5031</v>
      </c>
      <c r="E28" s="72" t="s">
        <v>2651</v>
      </c>
      <c r="F28" s="63" t="s">
        <v>220</v>
      </c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>
        <v>800</v>
      </c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94">
        <f t="shared" si="0"/>
        <v>800</v>
      </c>
      <c r="AS28" s="73">
        <v>800</v>
      </c>
      <c r="AT28" s="73"/>
      <c r="AU28" s="73"/>
      <c r="AV28" s="73"/>
      <c r="AW28" s="73"/>
      <c r="AX28" s="73"/>
      <c r="AY28" s="73"/>
      <c r="AZ28" s="73"/>
      <c r="BA28" s="73"/>
      <c r="BB28" s="73"/>
      <c r="BC28" s="69"/>
      <c r="BD28" s="69"/>
      <c r="CD28" s="94">
        <f t="shared" si="1"/>
        <v>800</v>
      </c>
      <c r="CE28" s="73">
        <f t="shared" si="2"/>
        <v>0</v>
      </c>
      <c r="CF28" s="75">
        <f t="shared" si="3"/>
        <v>5031</v>
      </c>
      <c r="CG28" s="69">
        <f t="shared" si="3"/>
        <v>0</v>
      </c>
    </row>
    <row r="29" spans="2:85" ht="18.75" x14ac:dyDescent="0.25">
      <c r="B29" s="70">
        <v>4301</v>
      </c>
      <c r="C29" s="71">
        <v>5032</v>
      </c>
      <c r="E29" s="72" t="s">
        <v>2652</v>
      </c>
      <c r="F29" s="63" t="s">
        <v>220</v>
      </c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>
        <v>13613.92</v>
      </c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94">
        <f t="shared" si="0"/>
        <v>13613.92</v>
      </c>
      <c r="AS29" s="73">
        <v>13613.92</v>
      </c>
      <c r="AT29" s="73"/>
      <c r="AU29" s="73"/>
      <c r="AV29" s="73"/>
      <c r="AW29" s="73"/>
      <c r="AX29" s="73"/>
      <c r="AY29" s="73"/>
      <c r="AZ29" s="73"/>
      <c r="BA29" s="73"/>
      <c r="BB29" s="73"/>
      <c r="BC29" s="69"/>
      <c r="BD29" s="69"/>
      <c r="CD29" s="94">
        <f t="shared" si="1"/>
        <v>13613.92</v>
      </c>
      <c r="CE29" s="73">
        <f t="shared" si="2"/>
        <v>0</v>
      </c>
      <c r="CF29" s="75">
        <f t="shared" si="3"/>
        <v>5032</v>
      </c>
      <c r="CG29" s="69">
        <f t="shared" si="3"/>
        <v>0</v>
      </c>
    </row>
    <row r="30" spans="2:85" ht="18.75" x14ac:dyDescent="0.25">
      <c r="B30" s="70">
        <v>4302</v>
      </c>
      <c r="C30" s="71">
        <v>5033</v>
      </c>
      <c r="E30" s="72" t="s">
        <v>2653</v>
      </c>
      <c r="F30" s="63" t="s">
        <v>220</v>
      </c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>
        <v>13062.65</v>
      </c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94">
        <f t="shared" si="0"/>
        <v>13062.65</v>
      </c>
      <c r="AS30" s="73">
        <v>13062.65</v>
      </c>
      <c r="AT30" s="73"/>
      <c r="AU30" s="73"/>
      <c r="AV30" s="73"/>
      <c r="AW30" s="73"/>
      <c r="AX30" s="73"/>
      <c r="AY30" s="73"/>
      <c r="AZ30" s="73"/>
      <c r="BA30" s="73"/>
      <c r="BB30" s="73"/>
      <c r="BC30" s="69"/>
      <c r="BD30" s="69"/>
      <c r="CD30" s="94">
        <f t="shared" si="1"/>
        <v>13062.65</v>
      </c>
      <c r="CE30" s="73">
        <f t="shared" si="2"/>
        <v>0</v>
      </c>
      <c r="CF30" s="75">
        <f t="shared" si="3"/>
        <v>5033</v>
      </c>
      <c r="CG30" s="69">
        <f t="shared" si="3"/>
        <v>0</v>
      </c>
    </row>
    <row r="31" spans="2:85" ht="18.75" x14ac:dyDescent="0.25">
      <c r="B31" s="70">
        <v>4276</v>
      </c>
      <c r="C31" s="71">
        <v>5034</v>
      </c>
      <c r="D31" s="69" t="s">
        <v>121</v>
      </c>
      <c r="E31" s="72" t="s">
        <v>2654</v>
      </c>
      <c r="F31" s="63" t="s">
        <v>220</v>
      </c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>
        <v>23.43</v>
      </c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94">
        <f t="shared" si="0"/>
        <v>23.43</v>
      </c>
      <c r="AS31" s="73">
        <v>23.43</v>
      </c>
      <c r="AT31" s="73"/>
      <c r="AU31" s="73"/>
      <c r="AV31" s="73"/>
      <c r="AW31" s="73"/>
      <c r="AX31" s="73"/>
      <c r="AY31" s="73"/>
      <c r="AZ31" s="73"/>
      <c r="BA31" s="73"/>
      <c r="BB31" s="73"/>
      <c r="BC31" s="69"/>
      <c r="BD31" s="69"/>
      <c r="CD31" s="94">
        <f t="shared" si="1"/>
        <v>23.43</v>
      </c>
      <c r="CE31" s="73">
        <f t="shared" si="2"/>
        <v>0</v>
      </c>
      <c r="CF31" s="75">
        <f t="shared" si="3"/>
        <v>5034</v>
      </c>
      <c r="CG31" s="69" t="str">
        <f t="shared" si="3"/>
        <v>ماليزى اسنان</v>
      </c>
    </row>
    <row r="32" spans="2:85" ht="18.75" x14ac:dyDescent="0.25">
      <c r="B32" s="70">
        <v>4256</v>
      </c>
      <c r="C32" s="71">
        <v>5035</v>
      </c>
      <c r="E32" s="72" t="s">
        <v>2655</v>
      </c>
      <c r="F32" s="63" t="s">
        <v>220</v>
      </c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>
        <v>1865.82</v>
      </c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94">
        <f t="shared" si="0"/>
        <v>1865.82</v>
      </c>
      <c r="AS32" s="73">
        <v>1865.82</v>
      </c>
      <c r="AT32" s="73"/>
      <c r="AU32" s="73"/>
      <c r="AV32" s="73"/>
      <c r="AW32" s="73"/>
      <c r="AX32" s="73"/>
      <c r="AY32" s="73"/>
      <c r="AZ32" s="73"/>
      <c r="BA32" s="73"/>
      <c r="BB32" s="73"/>
      <c r="BC32" s="69"/>
      <c r="BD32" s="69"/>
      <c r="CD32" s="94">
        <f t="shared" si="1"/>
        <v>1865.82</v>
      </c>
      <c r="CE32" s="73">
        <f t="shared" si="2"/>
        <v>0</v>
      </c>
      <c r="CF32" s="75">
        <f t="shared" si="3"/>
        <v>5035</v>
      </c>
      <c r="CG32" s="69">
        <f t="shared" si="3"/>
        <v>0</v>
      </c>
    </row>
    <row r="33" spans="2:90" ht="18.75" x14ac:dyDescent="0.25">
      <c r="B33" s="70">
        <v>4283</v>
      </c>
      <c r="C33" s="71">
        <v>5036</v>
      </c>
      <c r="E33" s="72" t="s">
        <v>2656</v>
      </c>
      <c r="F33" s="63" t="s">
        <v>220</v>
      </c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>
        <v>85</v>
      </c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94">
        <f t="shared" si="0"/>
        <v>85</v>
      </c>
      <c r="AS33" s="73">
        <v>85</v>
      </c>
      <c r="AT33" s="73"/>
      <c r="AU33" s="73"/>
      <c r="AV33" s="73"/>
      <c r="AW33" s="73"/>
      <c r="AX33" s="73"/>
      <c r="AY33" s="73"/>
      <c r="AZ33" s="73"/>
      <c r="BA33" s="73"/>
      <c r="BB33" s="73"/>
      <c r="BC33" s="69"/>
      <c r="BD33" s="69"/>
      <c r="CD33" s="94">
        <f t="shared" si="1"/>
        <v>85</v>
      </c>
      <c r="CE33" s="73">
        <f t="shared" si="2"/>
        <v>0</v>
      </c>
      <c r="CF33" s="75">
        <f t="shared" si="3"/>
        <v>5036</v>
      </c>
      <c r="CG33" s="69">
        <f t="shared" si="3"/>
        <v>0</v>
      </c>
    </row>
    <row r="34" spans="2:90" ht="18.75" x14ac:dyDescent="0.25">
      <c r="B34" s="70">
        <v>4264</v>
      </c>
      <c r="C34" s="71">
        <v>5037</v>
      </c>
      <c r="E34" s="72" t="s">
        <v>2657</v>
      </c>
      <c r="F34" s="63" t="s">
        <v>220</v>
      </c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>
        <v>2</v>
      </c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94">
        <f t="shared" si="0"/>
        <v>2</v>
      </c>
      <c r="AS34" s="73">
        <v>2</v>
      </c>
      <c r="AT34" s="73"/>
      <c r="AU34" s="73"/>
      <c r="AV34" s="73"/>
      <c r="AW34" s="73"/>
      <c r="AX34" s="73"/>
      <c r="AY34" s="73"/>
      <c r="AZ34" s="73"/>
      <c r="BA34" s="73"/>
      <c r="BB34" s="73"/>
      <c r="BC34" s="69"/>
      <c r="BD34" s="69"/>
      <c r="CD34" s="94">
        <f t="shared" si="1"/>
        <v>2</v>
      </c>
      <c r="CE34" s="73">
        <f t="shared" si="2"/>
        <v>0</v>
      </c>
      <c r="CF34" s="75">
        <f t="shared" si="3"/>
        <v>5037</v>
      </c>
      <c r="CG34" s="69">
        <f t="shared" si="3"/>
        <v>0</v>
      </c>
    </row>
    <row r="35" spans="2:90" ht="18.75" x14ac:dyDescent="0.25">
      <c r="B35" s="70">
        <v>4270</v>
      </c>
      <c r="C35" s="71">
        <v>5038</v>
      </c>
      <c r="E35" s="72" t="s">
        <v>2657</v>
      </c>
      <c r="F35" s="63" t="s">
        <v>220</v>
      </c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>
        <v>2</v>
      </c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94">
        <f t="shared" si="0"/>
        <v>2</v>
      </c>
      <c r="AS35" s="73">
        <v>2</v>
      </c>
      <c r="AT35" s="73"/>
      <c r="AU35" s="73"/>
      <c r="AV35" s="73"/>
      <c r="AW35" s="73"/>
      <c r="AX35" s="73"/>
      <c r="AY35" s="73"/>
      <c r="AZ35" s="73"/>
      <c r="BA35" s="73"/>
      <c r="BB35" s="73"/>
      <c r="BC35" s="69"/>
      <c r="BD35" s="69"/>
      <c r="CD35" s="94">
        <f t="shared" si="1"/>
        <v>2</v>
      </c>
      <c r="CE35" s="73">
        <f t="shared" si="2"/>
        <v>0</v>
      </c>
      <c r="CF35" s="75">
        <f t="shared" si="3"/>
        <v>5038</v>
      </c>
      <c r="CG35" s="69">
        <f t="shared" si="3"/>
        <v>0</v>
      </c>
    </row>
    <row r="36" spans="2:90" ht="18.75" x14ac:dyDescent="0.25">
      <c r="B36" s="70">
        <v>4284</v>
      </c>
      <c r="C36" s="71">
        <v>5039</v>
      </c>
      <c r="E36" s="72" t="s">
        <v>2658</v>
      </c>
      <c r="F36" s="63" t="s">
        <v>220</v>
      </c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>
        <v>14</v>
      </c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94">
        <f t="shared" si="0"/>
        <v>14</v>
      </c>
      <c r="AS36" s="73">
        <v>14</v>
      </c>
      <c r="AT36" s="73"/>
      <c r="AU36" s="73"/>
      <c r="AV36" s="73"/>
      <c r="AW36" s="73"/>
      <c r="AX36" s="73"/>
      <c r="AY36" s="73"/>
      <c r="AZ36" s="73"/>
      <c r="BA36" s="73"/>
      <c r="BB36" s="73"/>
      <c r="BC36" s="69"/>
      <c r="BD36" s="69"/>
      <c r="CD36" s="94">
        <f t="shared" si="1"/>
        <v>14</v>
      </c>
      <c r="CE36" s="73">
        <f t="shared" si="2"/>
        <v>0</v>
      </c>
      <c r="CF36" s="75">
        <f t="shared" si="3"/>
        <v>5039</v>
      </c>
      <c r="CG36" s="69">
        <f t="shared" si="3"/>
        <v>0</v>
      </c>
    </row>
    <row r="37" spans="2:90" ht="18.75" x14ac:dyDescent="0.25">
      <c r="B37" s="70">
        <v>4259</v>
      </c>
      <c r="C37" s="71">
        <v>5040</v>
      </c>
      <c r="E37" s="72" t="s">
        <v>2659</v>
      </c>
      <c r="F37" s="63" t="s">
        <v>220</v>
      </c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>
        <v>700</v>
      </c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94">
        <f t="shared" si="0"/>
        <v>700</v>
      </c>
      <c r="AS37" s="73">
        <v>700</v>
      </c>
      <c r="AT37" s="73"/>
      <c r="AU37" s="73"/>
      <c r="AV37" s="73"/>
      <c r="AW37" s="73"/>
      <c r="AX37" s="73"/>
      <c r="AY37" s="73"/>
      <c r="AZ37" s="73"/>
      <c r="BA37" s="73"/>
      <c r="BB37" s="73"/>
      <c r="BC37" s="69"/>
      <c r="BD37" s="69"/>
      <c r="CD37" s="94">
        <f t="shared" si="1"/>
        <v>700</v>
      </c>
      <c r="CE37" s="73">
        <f t="shared" si="2"/>
        <v>0</v>
      </c>
      <c r="CF37" s="75">
        <f t="shared" si="3"/>
        <v>5040</v>
      </c>
      <c r="CG37" s="69">
        <f t="shared" si="3"/>
        <v>0</v>
      </c>
    </row>
    <row r="38" spans="2:90" ht="18.75" x14ac:dyDescent="0.25">
      <c r="B38" s="70">
        <v>4277</v>
      </c>
      <c r="C38" s="71">
        <v>5041</v>
      </c>
      <c r="E38" s="72" t="s">
        <v>2660</v>
      </c>
      <c r="F38" s="63" t="s">
        <v>220</v>
      </c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>
        <v>5646</v>
      </c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94">
        <f t="shared" si="0"/>
        <v>5646</v>
      </c>
      <c r="AS38" s="73">
        <v>5646</v>
      </c>
      <c r="AT38" s="73"/>
      <c r="AU38" s="73"/>
      <c r="AV38" s="73"/>
      <c r="AW38" s="73"/>
      <c r="AX38" s="73"/>
      <c r="AY38" s="73"/>
      <c r="AZ38" s="73"/>
      <c r="BA38" s="73"/>
      <c r="BB38" s="73"/>
      <c r="BC38" s="69"/>
      <c r="BD38" s="69"/>
      <c r="CD38" s="94">
        <f t="shared" si="1"/>
        <v>5646</v>
      </c>
      <c r="CE38" s="73">
        <f t="shared" si="2"/>
        <v>0</v>
      </c>
      <c r="CF38" s="75">
        <f t="shared" si="3"/>
        <v>5041</v>
      </c>
      <c r="CG38" s="69">
        <f t="shared" si="3"/>
        <v>0</v>
      </c>
    </row>
    <row r="39" spans="2:90" ht="18.75" x14ac:dyDescent="0.25">
      <c r="B39" s="70">
        <v>4257</v>
      </c>
      <c r="C39" s="71">
        <v>5042</v>
      </c>
      <c r="E39" s="72" t="s">
        <v>2661</v>
      </c>
      <c r="F39" s="63" t="s">
        <v>220</v>
      </c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>
        <v>1177.31</v>
      </c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94">
        <f t="shared" si="0"/>
        <v>1177.31</v>
      </c>
      <c r="AS39" s="73">
        <v>1177.31</v>
      </c>
      <c r="AT39" s="73"/>
      <c r="AU39" s="73"/>
      <c r="AV39" s="73"/>
      <c r="AW39" s="73"/>
      <c r="AX39" s="73"/>
      <c r="AY39" s="73"/>
      <c r="AZ39" s="73"/>
      <c r="BA39" s="73"/>
      <c r="BB39" s="73"/>
      <c r="BC39" s="69"/>
      <c r="BD39" s="69"/>
      <c r="CD39" s="94">
        <f t="shared" si="1"/>
        <v>1177.31</v>
      </c>
      <c r="CE39" s="73">
        <f t="shared" si="2"/>
        <v>0</v>
      </c>
      <c r="CF39" s="75">
        <f t="shared" si="3"/>
        <v>5042</v>
      </c>
      <c r="CG39" s="69">
        <f t="shared" si="3"/>
        <v>0</v>
      </c>
    </row>
    <row r="40" spans="2:90" ht="18.75" x14ac:dyDescent="0.25">
      <c r="B40" s="70">
        <v>4261</v>
      </c>
      <c r="C40" s="71">
        <v>5043</v>
      </c>
      <c r="E40" s="72" t="s">
        <v>2662</v>
      </c>
      <c r="F40" s="63" t="s">
        <v>220</v>
      </c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>
        <v>1825</v>
      </c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94">
        <f t="shared" si="0"/>
        <v>1825</v>
      </c>
      <c r="AS40" s="73">
        <v>1825</v>
      </c>
      <c r="AT40" s="73"/>
      <c r="AU40" s="73"/>
      <c r="AV40" s="73"/>
      <c r="AW40" s="73"/>
      <c r="AX40" s="73"/>
      <c r="AY40" s="73"/>
      <c r="AZ40" s="73"/>
      <c r="BA40" s="73"/>
      <c r="BB40" s="73"/>
      <c r="BC40" s="69"/>
      <c r="BD40" s="69"/>
      <c r="CD40" s="94">
        <f t="shared" si="1"/>
        <v>1825</v>
      </c>
      <c r="CE40" s="73">
        <f t="shared" si="2"/>
        <v>0</v>
      </c>
      <c r="CF40" s="75">
        <f t="shared" si="3"/>
        <v>5043</v>
      </c>
      <c r="CG40" s="69">
        <f t="shared" si="3"/>
        <v>0</v>
      </c>
    </row>
    <row r="41" spans="2:90" ht="18.75" x14ac:dyDescent="0.25">
      <c r="B41" s="70">
        <v>4265</v>
      </c>
      <c r="C41" s="71">
        <v>5044</v>
      </c>
      <c r="E41" s="72" t="s">
        <v>2663</v>
      </c>
      <c r="F41" s="63" t="s">
        <v>220</v>
      </c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>
        <v>992.29</v>
      </c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94">
        <f t="shared" si="0"/>
        <v>992.29</v>
      </c>
      <c r="AS41" s="73">
        <v>992.29</v>
      </c>
      <c r="AT41" s="73"/>
      <c r="AU41" s="73"/>
      <c r="AV41" s="73"/>
      <c r="AW41" s="73"/>
      <c r="AX41" s="73"/>
      <c r="AY41" s="73"/>
      <c r="AZ41" s="73"/>
      <c r="BA41" s="73"/>
      <c r="BB41" s="73"/>
      <c r="BC41" s="69"/>
      <c r="BD41" s="69"/>
      <c r="CD41" s="94">
        <f t="shared" si="1"/>
        <v>992.29</v>
      </c>
      <c r="CE41" s="73">
        <f t="shared" si="2"/>
        <v>0</v>
      </c>
      <c r="CF41" s="75">
        <f t="shared" si="3"/>
        <v>5044</v>
      </c>
      <c r="CG41" s="69">
        <f t="shared" si="3"/>
        <v>0</v>
      </c>
    </row>
    <row r="42" spans="2:90" ht="18.75" x14ac:dyDescent="0.25">
      <c r="B42" s="70">
        <v>4260</v>
      </c>
      <c r="C42" s="71">
        <v>5045</v>
      </c>
      <c r="E42" s="72" t="s">
        <v>2664</v>
      </c>
      <c r="F42" s="63" t="s">
        <v>220</v>
      </c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>
        <v>1331</v>
      </c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94">
        <f t="shared" si="0"/>
        <v>1331</v>
      </c>
      <c r="AS42" s="73">
        <v>1331</v>
      </c>
      <c r="AT42" s="73"/>
      <c r="AU42" s="73"/>
      <c r="AV42" s="73"/>
      <c r="AW42" s="73"/>
      <c r="AX42" s="73"/>
      <c r="AY42" s="73"/>
      <c r="AZ42" s="73"/>
      <c r="BA42" s="73"/>
      <c r="BB42" s="73"/>
      <c r="BC42" s="69"/>
      <c r="BD42" s="69"/>
      <c r="CD42" s="94">
        <f t="shared" si="1"/>
        <v>1331</v>
      </c>
      <c r="CE42" s="73">
        <f t="shared" si="2"/>
        <v>0</v>
      </c>
      <c r="CF42" s="75">
        <f t="shared" si="3"/>
        <v>5045</v>
      </c>
      <c r="CG42" s="69">
        <f t="shared" si="3"/>
        <v>0</v>
      </c>
    </row>
    <row r="43" spans="2:90" ht="18.75" x14ac:dyDescent="0.25">
      <c r="B43" s="70">
        <v>4281</v>
      </c>
      <c r="C43" s="71">
        <v>5046</v>
      </c>
      <c r="E43" s="72" t="s">
        <v>2665</v>
      </c>
      <c r="F43" s="63" t="s">
        <v>220</v>
      </c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>
        <v>3850</v>
      </c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94">
        <f t="shared" si="0"/>
        <v>3850</v>
      </c>
      <c r="AS43" s="73">
        <v>3850</v>
      </c>
      <c r="AT43" s="73"/>
      <c r="AU43" s="73"/>
      <c r="AV43" s="73"/>
      <c r="AW43" s="73"/>
      <c r="AX43" s="73"/>
      <c r="AY43" s="73"/>
      <c r="AZ43" s="73"/>
      <c r="BA43" s="73"/>
      <c r="BB43" s="73"/>
      <c r="BC43" s="69"/>
      <c r="BD43" s="69"/>
      <c r="CD43" s="94">
        <f t="shared" si="1"/>
        <v>3850</v>
      </c>
      <c r="CE43" s="73">
        <f t="shared" si="2"/>
        <v>0</v>
      </c>
      <c r="CF43" s="75">
        <f t="shared" si="3"/>
        <v>5046</v>
      </c>
      <c r="CG43" s="69">
        <f t="shared" si="3"/>
        <v>0</v>
      </c>
    </row>
    <row r="44" spans="2:90" ht="18.75" x14ac:dyDescent="0.25">
      <c r="B44" s="70">
        <v>4269</v>
      </c>
      <c r="C44" s="71">
        <v>5047</v>
      </c>
      <c r="E44" s="72" t="s">
        <v>2666</v>
      </c>
      <c r="F44" s="63" t="s">
        <v>220</v>
      </c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>
        <v>106</v>
      </c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94">
        <f t="shared" si="0"/>
        <v>106</v>
      </c>
      <c r="AS44" s="73">
        <v>106</v>
      </c>
      <c r="AT44" s="73"/>
      <c r="AU44" s="73"/>
      <c r="AV44" s="73"/>
      <c r="AW44" s="73"/>
      <c r="AX44" s="73"/>
      <c r="AY44" s="73"/>
      <c r="AZ44" s="73"/>
      <c r="BA44" s="73"/>
      <c r="BB44" s="73"/>
      <c r="BC44" s="69"/>
      <c r="BD44" s="69"/>
      <c r="CD44" s="94">
        <f t="shared" si="1"/>
        <v>106</v>
      </c>
      <c r="CE44" s="73">
        <f t="shared" si="2"/>
        <v>0</v>
      </c>
      <c r="CF44" s="75">
        <f t="shared" si="3"/>
        <v>5047</v>
      </c>
      <c r="CG44" s="69">
        <f t="shared" si="3"/>
        <v>0</v>
      </c>
    </row>
    <row r="45" spans="2:90" ht="36" x14ac:dyDescent="0.25">
      <c r="B45" s="70" t="s">
        <v>2667</v>
      </c>
      <c r="C45" s="71">
        <v>5048</v>
      </c>
      <c r="D45" s="69" t="s">
        <v>78</v>
      </c>
      <c r="E45" s="76" t="s">
        <v>2668</v>
      </c>
      <c r="F45" s="63" t="s">
        <v>220</v>
      </c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94">
        <f t="shared" si="0"/>
        <v>0</v>
      </c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69"/>
      <c r="BD45" s="69"/>
      <c r="CD45" s="94">
        <f t="shared" si="1"/>
        <v>0</v>
      </c>
      <c r="CE45" s="73">
        <f t="shared" si="2"/>
        <v>0</v>
      </c>
      <c r="CF45" s="75">
        <f t="shared" si="3"/>
        <v>5048</v>
      </c>
      <c r="CG45" s="69" t="str">
        <f t="shared" si="3"/>
        <v>برنامج دولى</v>
      </c>
    </row>
    <row r="46" spans="2:90" ht="36" x14ac:dyDescent="0.25">
      <c r="B46" s="70" t="s">
        <v>2667</v>
      </c>
      <c r="C46" s="71">
        <v>5049</v>
      </c>
      <c r="D46" s="69" t="s">
        <v>121</v>
      </c>
      <c r="E46" s="76" t="s">
        <v>2669</v>
      </c>
      <c r="F46" s="63" t="s">
        <v>220</v>
      </c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94">
        <f t="shared" si="0"/>
        <v>0</v>
      </c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69"/>
      <c r="BD46" s="69"/>
      <c r="CD46" s="94">
        <f t="shared" si="1"/>
        <v>0</v>
      </c>
      <c r="CE46" s="73">
        <f t="shared" si="2"/>
        <v>0</v>
      </c>
      <c r="CF46" s="75">
        <f t="shared" si="3"/>
        <v>5049</v>
      </c>
      <c r="CG46" s="69" t="str">
        <f t="shared" si="3"/>
        <v>ماليزى اسنان</v>
      </c>
    </row>
    <row r="47" spans="2:90" s="68" customFormat="1" ht="18.75" x14ac:dyDescent="0.25">
      <c r="B47" s="84"/>
      <c r="C47" s="84"/>
      <c r="D47" s="85"/>
      <c r="E47" s="105" t="s">
        <v>2670</v>
      </c>
      <c r="G47" s="106"/>
      <c r="H47" s="106"/>
      <c r="I47" s="106"/>
      <c r="J47" s="106"/>
      <c r="K47" s="106"/>
      <c r="L47" s="106"/>
      <c r="M47" s="106"/>
      <c r="N47" s="106"/>
      <c r="O47" s="106"/>
      <c r="P47" s="106"/>
      <c r="Q47" s="106"/>
      <c r="R47" s="106"/>
      <c r="S47" s="106">
        <f t="shared" ref="S47:CD47" si="4">SUM(S26:S46)</f>
        <v>571686.54</v>
      </c>
      <c r="T47" s="106">
        <f t="shared" si="4"/>
        <v>26676.57</v>
      </c>
      <c r="U47" s="106">
        <f t="shared" si="4"/>
        <v>0</v>
      </c>
      <c r="V47" s="106">
        <f t="shared" si="4"/>
        <v>0</v>
      </c>
      <c r="W47" s="106">
        <f t="shared" si="4"/>
        <v>23.43</v>
      </c>
      <c r="X47" s="106">
        <f t="shared" si="4"/>
        <v>0</v>
      </c>
      <c r="Y47" s="106">
        <f t="shared" si="4"/>
        <v>0</v>
      </c>
      <c r="Z47" s="106">
        <f t="shared" si="4"/>
        <v>0</v>
      </c>
      <c r="AA47" s="106">
        <f t="shared" si="4"/>
        <v>0</v>
      </c>
      <c r="AB47" s="106">
        <f t="shared" si="4"/>
        <v>0</v>
      </c>
      <c r="AC47" s="106">
        <f t="shared" si="4"/>
        <v>19029.62</v>
      </c>
      <c r="AD47" s="106">
        <f t="shared" si="4"/>
        <v>0</v>
      </c>
      <c r="AE47" s="106">
        <f t="shared" si="4"/>
        <v>0</v>
      </c>
      <c r="AF47" s="106">
        <f t="shared" si="4"/>
        <v>0</v>
      </c>
      <c r="AG47" s="106">
        <f t="shared" si="4"/>
        <v>0</v>
      </c>
      <c r="AH47" s="106">
        <f t="shared" si="4"/>
        <v>0</v>
      </c>
      <c r="AI47" s="106">
        <f t="shared" si="4"/>
        <v>0</v>
      </c>
      <c r="AJ47" s="106">
        <f t="shared" si="4"/>
        <v>0</v>
      </c>
      <c r="AK47" s="106">
        <f t="shared" si="4"/>
        <v>0</v>
      </c>
      <c r="AL47" s="106">
        <f t="shared" si="4"/>
        <v>0</v>
      </c>
      <c r="AM47" s="106">
        <f t="shared" si="4"/>
        <v>0</v>
      </c>
      <c r="AN47" s="106"/>
      <c r="AO47" s="106">
        <f t="shared" si="4"/>
        <v>0</v>
      </c>
      <c r="AP47" s="106">
        <f t="shared" si="4"/>
        <v>0</v>
      </c>
      <c r="AQ47" s="106">
        <f t="shared" si="4"/>
        <v>0</v>
      </c>
      <c r="AR47" s="106">
        <f t="shared" si="4"/>
        <v>617416.16000000015</v>
      </c>
      <c r="AS47" s="106">
        <f t="shared" si="4"/>
        <v>617416.16000000015</v>
      </c>
      <c r="AT47" s="106">
        <f t="shared" si="4"/>
        <v>0</v>
      </c>
      <c r="AU47" s="106">
        <f t="shared" si="4"/>
        <v>0</v>
      </c>
      <c r="AV47" s="106">
        <f t="shared" si="4"/>
        <v>0</v>
      </c>
      <c r="AW47" s="106">
        <f t="shared" si="4"/>
        <v>0</v>
      </c>
      <c r="AX47" s="106">
        <f t="shared" si="4"/>
        <v>0</v>
      </c>
      <c r="AY47" s="106">
        <f t="shared" si="4"/>
        <v>0</v>
      </c>
      <c r="AZ47" s="106">
        <f t="shared" si="4"/>
        <v>0</v>
      </c>
      <c r="BA47" s="106">
        <f t="shared" si="4"/>
        <v>0</v>
      </c>
      <c r="BB47" s="106">
        <f t="shared" si="4"/>
        <v>0</v>
      </c>
      <c r="BC47" s="106">
        <f t="shared" si="4"/>
        <v>0</v>
      </c>
      <c r="BD47" s="106">
        <f t="shared" si="4"/>
        <v>0</v>
      </c>
      <c r="BE47" s="106">
        <f t="shared" si="4"/>
        <v>0</v>
      </c>
      <c r="BF47" s="106">
        <f t="shared" si="4"/>
        <v>0</v>
      </c>
      <c r="BG47" s="106">
        <f t="shared" si="4"/>
        <v>0</v>
      </c>
      <c r="BH47" s="106">
        <f t="shared" si="4"/>
        <v>0</v>
      </c>
      <c r="BI47" s="106">
        <f t="shared" si="4"/>
        <v>0</v>
      </c>
      <c r="BJ47" s="106">
        <f t="shared" si="4"/>
        <v>0</v>
      </c>
      <c r="BK47" s="106">
        <f t="shared" si="4"/>
        <v>0</v>
      </c>
      <c r="BL47" s="106">
        <f t="shared" si="4"/>
        <v>0</v>
      </c>
      <c r="BM47" s="106">
        <f t="shared" si="4"/>
        <v>0</v>
      </c>
      <c r="BN47" s="106">
        <f t="shared" si="4"/>
        <v>0</v>
      </c>
      <c r="BO47" s="106">
        <f t="shared" si="4"/>
        <v>0</v>
      </c>
      <c r="BP47" s="106">
        <f t="shared" si="4"/>
        <v>0</v>
      </c>
      <c r="BQ47" s="106">
        <f t="shared" si="4"/>
        <v>0</v>
      </c>
      <c r="BR47" s="106">
        <f t="shared" si="4"/>
        <v>0</v>
      </c>
      <c r="BS47" s="106">
        <f t="shared" si="4"/>
        <v>0</v>
      </c>
      <c r="BT47" s="106">
        <f t="shared" si="4"/>
        <v>0</v>
      </c>
      <c r="BU47" s="106">
        <f t="shared" si="4"/>
        <v>0</v>
      </c>
      <c r="BV47" s="106">
        <f t="shared" si="4"/>
        <v>0</v>
      </c>
      <c r="BW47" s="106">
        <f t="shared" si="4"/>
        <v>0</v>
      </c>
      <c r="BX47" s="106">
        <f t="shared" si="4"/>
        <v>0</v>
      </c>
      <c r="BY47" s="106">
        <f t="shared" si="4"/>
        <v>0</v>
      </c>
      <c r="BZ47" s="106"/>
      <c r="CA47" s="106">
        <f t="shared" si="4"/>
        <v>0</v>
      </c>
      <c r="CB47" s="106">
        <f t="shared" si="4"/>
        <v>0</v>
      </c>
      <c r="CC47" s="106">
        <f t="shared" si="4"/>
        <v>0</v>
      </c>
      <c r="CD47" s="106">
        <f t="shared" si="4"/>
        <v>617416.16000000015</v>
      </c>
      <c r="CE47" s="106">
        <f t="shared" ref="CE47" si="5">SUM(CE26:CE46)</f>
        <v>0</v>
      </c>
      <c r="CF47" s="106"/>
      <c r="CG47" s="106">
        <f t="shared" ref="CG47:CL47" si="6">SUM(CG26:CG46)</f>
        <v>0</v>
      </c>
      <c r="CH47" s="106">
        <f t="shared" si="6"/>
        <v>0</v>
      </c>
      <c r="CI47" s="106">
        <f t="shared" si="6"/>
        <v>0</v>
      </c>
      <c r="CJ47" s="106">
        <f t="shared" si="6"/>
        <v>0</v>
      </c>
      <c r="CK47" s="106">
        <f t="shared" si="6"/>
        <v>0</v>
      </c>
      <c r="CL47" s="106">
        <f t="shared" si="6"/>
        <v>0</v>
      </c>
    </row>
    <row r="48" spans="2:90" ht="18.75" x14ac:dyDescent="0.25">
      <c r="B48" s="70">
        <v>9224</v>
      </c>
      <c r="C48" s="70">
        <v>5050</v>
      </c>
      <c r="D48" s="71" t="s">
        <v>78</v>
      </c>
      <c r="E48" s="72" t="s">
        <v>2671</v>
      </c>
      <c r="G48" s="73">
        <v>4221</v>
      </c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94">
        <f t="shared" ref="AR48:AR111" si="7">SUM(G48:AQ48)</f>
        <v>4221</v>
      </c>
      <c r="AS48" s="73">
        <v>2821.9</v>
      </c>
      <c r="AT48" s="73">
        <v>382.1</v>
      </c>
      <c r="AU48" s="73">
        <v>1017</v>
      </c>
      <c r="AV48" s="73"/>
      <c r="AW48" s="73"/>
      <c r="AX48" s="73"/>
      <c r="AY48" s="73"/>
      <c r="AZ48" s="73"/>
      <c r="BA48" s="73"/>
      <c r="BB48" s="73"/>
      <c r="BC48" s="69"/>
      <c r="BD48" s="69"/>
      <c r="CD48" s="94">
        <f t="shared" ref="CD48:CD111" si="8">SUM(AS48:CC48)</f>
        <v>4221</v>
      </c>
      <c r="CE48" s="73">
        <f t="shared" ref="CE48:CE111" si="9">+CD48-AR48</f>
        <v>0</v>
      </c>
      <c r="CF48" s="75">
        <f t="shared" ref="CF48:CG79" si="10">+C48</f>
        <v>5050</v>
      </c>
      <c r="CG48" s="69" t="str">
        <f t="shared" si="10"/>
        <v>برنامج دولى</v>
      </c>
    </row>
    <row r="49" spans="1:85" ht="18.75" x14ac:dyDescent="0.25">
      <c r="B49" s="70">
        <v>9365</v>
      </c>
      <c r="C49" s="70">
        <v>5051</v>
      </c>
      <c r="D49" s="71" t="s">
        <v>78</v>
      </c>
      <c r="E49" s="72" t="s">
        <v>2672</v>
      </c>
      <c r="G49" s="73">
        <v>2814</v>
      </c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94">
        <f t="shared" si="7"/>
        <v>2814</v>
      </c>
      <c r="AS49" s="73">
        <v>1880.7</v>
      </c>
      <c r="AT49" s="73">
        <v>255.3</v>
      </c>
      <c r="AU49" s="73">
        <v>678</v>
      </c>
      <c r="AV49" s="73"/>
      <c r="AW49" s="73"/>
      <c r="AX49" s="73"/>
      <c r="AY49" s="73"/>
      <c r="AZ49" s="73"/>
      <c r="BA49" s="73"/>
      <c r="BB49" s="73"/>
      <c r="BC49" s="69"/>
      <c r="BD49" s="69"/>
      <c r="CD49" s="94">
        <f t="shared" si="8"/>
        <v>2814</v>
      </c>
      <c r="CE49" s="73">
        <f t="shared" si="9"/>
        <v>0</v>
      </c>
      <c r="CF49" s="75">
        <f t="shared" si="10"/>
        <v>5051</v>
      </c>
      <c r="CG49" s="69" t="str">
        <f t="shared" si="10"/>
        <v>برنامج دولى</v>
      </c>
    </row>
    <row r="50" spans="1:85" ht="18.75" x14ac:dyDescent="0.25">
      <c r="B50" s="70">
        <v>9225</v>
      </c>
      <c r="C50" s="70">
        <v>5052</v>
      </c>
      <c r="D50" s="71" t="s">
        <v>78</v>
      </c>
      <c r="E50" s="72" t="s">
        <v>2672</v>
      </c>
      <c r="G50" s="73">
        <v>4079.38</v>
      </c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94">
        <f t="shared" si="7"/>
        <v>4079.38</v>
      </c>
      <c r="AS50" s="73">
        <v>2605.98</v>
      </c>
      <c r="AT50" s="73">
        <v>360.8</v>
      </c>
      <c r="AU50" s="73">
        <v>1112.5999999999999</v>
      </c>
      <c r="AV50" s="73"/>
      <c r="AW50" s="73"/>
      <c r="AX50" s="73"/>
      <c r="AY50" s="73"/>
      <c r="AZ50" s="73"/>
      <c r="BA50" s="73"/>
      <c r="BB50" s="73"/>
      <c r="BC50" s="69"/>
      <c r="BD50" s="69"/>
      <c r="CD50" s="94">
        <f t="shared" si="8"/>
        <v>4079.38</v>
      </c>
      <c r="CE50" s="73">
        <f t="shared" si="9"/>
        <v>0</v>
      </c>
      <c r="CF50" s="75">
        <f t="shared" si="10"/>
        <v>5052</v>
      </c>
      <c r="CG50" s="69" t="str">
        <f t="shared" si="10"/>
        <v>برنامج دولى</v>
      </c>
    </row>
    <row r="51" spans="1:85" ht="18.75" x14ac:dyDescent="0.25">
      <c r="B51" s="70">
        <v>9226</v>
      </c>
      <c r="C51" s="70">
        <v>5053</v>
      </c>
      <c r="D51" s="71" t="s">
        <v>78</v>
      </c>
      <c r="E51" s="72" t="s">
        <v>2673</v>
      </c>
      <c r="G51" s="73">
        <v>1000</v>
      </c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94">
        <f t="shared" si="7"/>
        <v>1000</v>
      </c>
      <c r="AS51" s="73">
        <v>893.35</v>
      </c>
      <c r="AT51" s="73">
        <v>106.65</v>
      </c>
      <c r="AU51" s="73"/>
      <c r="AV51" s="73"/>
      <c r="AW51" s="73"/>
      <c r="AX51" s="73"/>
      <c r="AY51" s="73"/>
      <c r="AZ51" s="73"/>
      <c r="BA51" s="73"/>
      <c r="BB51" s="73"/>
      <c r="BC51" s="69"/>
      <c r="BD51" s="69"/>
      <c r="CD51" s="94">
        <f t="shared" si="8"/>
        <v>1000</v>
      </c>
      <c r="CE51" s="73">
        <f t="shared" si="9"/>
        <v>0</v>
      </c>
      <c r="CF51" s="75">
        <f t="shared" si="10"/>
        <v>5053</v>
      </c>
      <c r="CG51" s="69" t="str">
        <f t="shared" si="10"/>
        <v>برنامج دولى</v>
      </c>
    </row>
    <row r="52" spans="1:85" ht="18.75" x14ac:dyDescent="0.25">
      <c r="B52" s="70">
        <v>9227</v>
      </c>
      <c r="C52" s="70">
        <v>5054</v>
      </c>
      <c r="D52" s="71" t="s">
        <v>78</v>
      </c>
      <c r="E52" s="72" t="s">
        <v>2673</v>
      </c>
      <c r="G52" s="73">
        <v>703.5</v>
      </c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94">
        <f t="shared" si="7"/>
        <v>703.5</v>
      </c>
      <c r="AS52" s="73">
        <v>470.6</v>
      </c>
      <c r="AT52" s="73">
        <v>63.4</v>
      </c>
      <c r="AU52" s="73">
        <v>169.5</v>
      </c>
      <c r="AV52" s="73"/>
      <c r="AW52" s="73"/>
      <c r="AX52" s="73"/>
      <c r="AY52" s="73"/>
      <c r="AZ52" s="73"/>
      <c r="BA52" s="73"/>
      <c r="BB52" s="73"/>
      <c r="BC52" s="69"/>
      <c r="BD52" s="69"/>
      <c r="CD52" s="94">
        <f t="shared" si="8"/>
        <v>703.5</v>
      </c>
      <c r="CE52" s="73">
        <f t="shared" si="9"/>
        <v>0</v>
      </c>
      <c r="CF52" s="75">
        <f t="shared" si="10"/>
        <v>5054</v>
      </c>
      <c r="CG52" s="69" t="str">
        <f t="shared" si="10"/>
        <v>برنامج دولى</v>
      </c>
    </row>
    <row r="53" spans="1:85" ht="18.75" x14ac:dyDescent="0.25">
      <c r="B53" s="70">
        <v>9228</v>
      </c>
      <c r="C53" s="70">
        <v>5055</v>
      </c>
      <c r="D53" s="71" t="s">
        <v>78</v>
      </c>
      <c r="E53" s="72" t="s">
        <v>2673</v>
      </c>
      <c r="G53" s="73">
        <v>938</v>
      </c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94">
        <f t="shared" si="7"/>
        <v>938</v>
      </c>
      <c r="AS53" s="73">
        <v>627.35</v>
      </c>
      <c r="AT53" s="73">
        <v>84.65</v>
      </c>
      <c r="AU53" s="73">
        <v>226</v>
      </c>
      <c r="AV53" s="73"/>
      <c r="AW53" s="73"/>
      <c r="AX53" s="73"/>
      <c r="AY53" s="73"/>
      <c r="AZ53" s="73"/>
      <c r="BA53" s="73"/>
      <c r="BB53" s="73"/>
      <c r="BC53" s="69"/>
      <c r="BD53" s="69"/>
      <c r="CD53" s="94">
        <f t="shared" si="8"/>
        <v>938</v>
      </c>
      <c r="CE53" s="73">
        <f t="shared" si="9"/>
        <v>0</v>
      </c>
      <c r="CF53" s="75">
        <f t="shared" si="10"/>
        <v>5055</v>
      </c>
      <c r="CG53" s="69" t="str">
        <f t="shared" si="10"/>
        <v>برنامج دولى</v>
      </c>
    </row>
    <row r="54" spans="1:85" ht="18.75" x14ac:dyDescent="0.25">
      <c r="B54" s="70">
        <v>9229</v>
      </c>
      <c r="C54" s="70">
        <v>5056</v>
      </c>
      <c r="D54" s="71" t="s">
        <v>78</v>
      </c>
      <c r="E54" s="72" t="s">
        <v>2674</v>
      </c>
      <c r="G54" s="73">
        <v>14811.57</v>
      </c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94">
        <f t="shared" si="7"/>
        <v>14811.57</v>
      </c>
      <c r="AS54" s="73">
        <v>13236.36</v>
      </c>
      <c r="AT54" s="73">
        <v>1575.21</v>
      </c>
      <c r="AU54" s="73"/>
      <c r="AV54" s="73"/>
      <c r="AW54" s="73"/>
      <c r="AX54" s="73"/>
      <c r="AY54" s="73"/>
      <c r="AZ54" s="73"/>
      <c r="BA54" s="73"/>
      <c r="BB54" s="73"/>
      <c r="BC54" s="69"/>
      <c r="BD54" s="69"/>
      <c r="CD54" s="94">
        <f t="shared" si="8"/>
        <v>14811.57</v>
      </c>
      <c r="CE54" s="73">
        <f t="shared" si="9"/>
        <v>0</v>
      </c>
      <c r="CF54" s="75">
        <f t="shared" si="10"/>
        <v>5056</v>
      </c>
      <c r="CG54" s="69" t="str">
        <f t="shared" si="10"/>
        <v>برنامج دولى</v>
      </c>
    </row>
    <row r="55" spans="1:85" ht="18.75" x14ac:dyDescent="0.25">
      <c r="B55" s="70">
        <v>9231</v>
      </c>
      <c r="C55" s="70">
        <v>5057</v>
      </c>
      <c r="D55" s="71" t="s">
        <v>78</v>
      </c>
      <c r="E55" s="72" t="s">
        <v>2674</v>
      </c>
      <c r="G55" s="73">
        <v>1470.29</v>
      </c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94">
        <f t="shared" si="7"/>
        <v>1470.29</v>
      </c>
      <c r="AS55" s="73">
        <v>1312.61</v>
      </c>
      <c r="AT55" s="73">
        <v>157.68</v>
      </c>
      <c r="AU55" s="73"/>
      <c r="AV55" s="73"/>
      <c r="AW55" s="73"/>
      <c r="AX55" s="73"/>
      <c r="AY55" s="73"/>
      <c r="AZ55" s="73"/>
      <c r="BA55" s="73"/>
      <c r="BB55" s="73"/>
      <c r="BC55" s="69"/>
      <c r="BD55" s="69"/>
      <c r="CD55" s="94">
        <f t="shared" si="8"/>
        <v>1470.29</v>
      </c>
      <c r="CE55" s="73">
        <f t="shared" si="9"/>
        <v>0</v>
      </c>
      <c r="CF55" s="75">
        <f t="shared" si="10"/>
        <v>5057</v>
      </c>
      <c r="CG55" s="69" t="str">
        <f t="shared" si="10"/>
        <v>برنامج دولى</v>
      </c>
    </row>
    <row r="56" spans="1:85" ht="18.75" x14ac:dyDescent="0.25">
      <c r="B56" s="70">
        <v>9230</v>
      </c>
      <c r="C56" s="70">
        <v>5058</v>
      </c>
      <c r="D56" s="71" t="s">
        <v>78</v>
      </c>
      <c r="E56" s="72" t="s">
        <v>2674</v>
      </c>
      <c r="G56" s="73">
        <v>13580.82</v>
      </c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94">
        <f t="shared" si="7"/>
        <v>13580.82</v>
      </c>
      <c r="AS56" s="73">
        <v>12132.39</v>
      </c>
      <c r="AT56" s="73">
        <v>1448.43</v>
      </c>
      <c r="AU56" s="73"/>
      <c r="AV56" s="73"/>
      <c r="AW56" s="73"/>
      <c r="AX56" s="73"/>
      <c r="AY56" s="73"/>
      <c r="AZ56" s="73"/>
      <c r="BA56" s="73"/>
      <c r="BB56" s="73"/>
      <c r="BC56" s="69"/>
      <c r="BD56" s="69"/>
      <c r="CD56" s="94">
        <f t="shared" si="8"/>
        <v>13580.82</v>
      </c>
      <c r="CE56" s="73">
        <f t="shared" si="9"/>
        <v>0</v>
      </c>
      <c r="CF56" s="75">
        <f t="shared" si="10"/>
        <v>5058</v>
      </c>
      <c r="CG56" s="69" t="str">
        <f t="shared" si="10"/>
        <v>برنامج دولى</v>
      </c>
    </row>
    <row r="57" spans="1:85" ht="18.75" x14ac:dyDescent="0.25">
      <c r="B57" s="70">
        <v>9233</v>
      </c>
      <c r="C57" s="70">
        <v>5059</v>
      </c>
      <c r="D57" s="71" t="s">
        <v>78</v>
      </c>
      <c r="E57" s="72" t="s">
        <v>2675</v>
      </c>
      <c r="G57" s="73">
        <v>3693.38</v>
      </c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94">
        <f t="shared" si="7"/>
        <v>3693.38</v>
      </c>
      <c r="AS57" s="73">
        <v>2468.9</v>
      </c>
      <c r="AT57" s="73">
        <v>334.6</v>
      </c>
      <c r="AU57" s="73">
        <v>889.88</v>
      </c>
      <c r="AV57" s="73"/>
      <c r="AW57" s="73"/>
      <c r="AX57" s="73"/>
      <c r="AY57" s="73"/>
      <c r="AZ57" s="73"/>
      <c r="BA57" s="73"/>
      <c r="BB57" s="73"/>
      <c r="BC57" s="69"/>
      <c r="BD57" s="69"/>
      <c r="CD57" s="94">
        <f t="shared" si="8"/>
        <v>3693.38</v>
      </c>
      <c r="CE57" s="73">
        <f t="shared" si="9"/>
        <v>0</v>
      </c>
      <c r="CF57" s="75">
        <f t="shared" si="10"/>
        <v>5059</v>
      </c>
      <c r="CG57" s="69" t="str">
        <f t="shared" si="10"/>
        <v>برنامج دولى</v>
      </c>
    </row>
    <row r="58" spans="1:85" ht="18.75" x14ac:dyDescent="0.25">
      <c r="B58" s="70">
        <v>9234</v>
      </c>
      <c r="C58" s="70">
        <v>5060</v>
      </c>
      <c r="D58" s="71" t="s">
        <v>78</v>
      </c>
      <c r="E58" s="72" t="s">
        <v>2675</v>
      </c>
      <c r="G58" s="73">
        <v>1113.8800000000001</v>
      </c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94">
        <f t="shared" si="7"/>
        <v>1113.8800000000001</v>
      </c>
      <c r="AS58" s="73">
        <v>744.9</v>
      </c>
      <c r="AT58" s="73">
        <v>100.6</v>
      </c>
      <c r="AU58" s="73">
        <v>268.38</v>
      </c>
      <c r="AV58" s="73"/>
      <c r="AW58" s="73"/>
      <c r="AX58" s="73"/>
      <c r="AY58" s="73"/>
      <c r="AZ58" s="73"/>
      <c r="BA58" s="73"/>
      <c r="BB58" s="73"/>
      <c r="BC58" s="69"/>
      <c r="BD58" s="69"/>
      <c r="CD58" s="94">
        <f t="shared" si="8"/>
        <v>1113.8800000000001</v>
      </c>
      <c r="CE58" s="73">
        <f t="shared" si="9"/>
        <v>0</v>
      </c>
      <c r="CF58" s="75">
        <f t="shared" si="10"/>
        <v>5060</v>
      </c>
      <c r="CG58" s="69" t="str">
        <f t="shared" si="10"/>
        <v>برنامج دولى</v>
      </c>
    </row>
    <row r="59" spans="1:85" ht="18.75" x14ac:dyDescent="0.25">
      <c r="A59" s="77"/>
      <c r="B59" s="78">
        <v>9236</v>
      </c>
      <c r="C59" s="70">
        <v>5061</v>
      </c>
      <c r="D59" s="71" t="s">
        <v>78</v>
      </c>
      <c r="E59" s="79" t="s">
        <v>2676</v>
      </c>
      <c r="G59" s="73">
        <v>1289.75</v>
      </c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94">
        <f t="shared" si="7"/>
        <v>1289.75</v>
      </c>
      <c r="AS59" s="73">
        <v>861.1</v>
      </c>
      <c r="AT59" s="73">
        <f>7.9+110</f>
        <v>117.9</v>
      </c>
      <c r="AU59" s="73">
        <v>310.75</v>
      </c>
      <c r="AV59" s="73"/>
      <c r="AW59" s="73"/>
      <c r="AX59" s="73"/>
      <c r="AY59" s="73"/>
      <c r="AZ59" s="73"/>
      <c r="BA59" s="73"/>
      <c r="BB59" s="73"/>
      <c r="BC59" s="69"/>
      <c r="BD59" s="69"/>
      <c r="CD59" s="94">
        <f t="shared" si="8"/>
        <v>1289.75</v>
      </c>
      <c r="CE59" s="73">
        <f t="shared" si="9"/>
        <v>0</v>
      </c>
      <c r="CF59" s="75">
        <f t="shared" si="10"/>
        <v>5061</v>
      </c>
      <c r="CG59" s="69" t="str">
        <f t="shared" si="10"/>
        <v>برنامج دولى</v>
      </c>
    </row>
    <row r="60" spans="1:85" ht="18.75" x14ac:dyDescent="0.25">
      <c r="B60" s="70">
        <v>9237</v>
      </c>
      <c r="C60" s="70">
        <v>5062</v>
      </c>
      <c r="D60" s="71" t="s">
        <v>78</v>
      </c>
      <c r="E60" s="72" t="s">
        <v>823</v>
      </c>
      <c r="G60" s="73">
        <v>351.75</v>
      </c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94">
        <f t="shared" si="7"/>
        <v>351.75</v>
      </c>
      <c r="AS60" s="73">
        <v>235.55</v>
      </c>
      <c r="AT60" s="73">
        <v>31.45</v>
      </c>
      <c r="AU60" s="73">
        <v>84.75</v>
      </c>
      <c r="AV60" s="73"/>
      <c r="AW60" s="73"/>
      <c r="AX60" s="73"/>
      <c r="AY60" s="73"/>
      <c r="AZ60" s="73"/>
      <c r="BA60" s="73"/>
      <c r="BB60" s="73"/>
      <c r="BC60" s="69"/>
      <c r="BD60" s="69"/>
      <c r="CD60" s="94">
        <f t="shared" si="8"/>
        <v>351.75</v>
      </c>
      <c r="CE60" s="73">
        <f t="shared" si="9"/>
        <v>0</v>
      </c>
      <c r="CF60" s="75">
        <f t="shared" si="10"/>
        <v>5062</v>
      </c>
      <c r="CG60" s="69" t="str">
        <f t="shared" si="10"/>
        <v>برنامج دولى</v>
      </c>
    </row>
    <row r="61" spans="1:85" ht="18.75" x14ac:dyDescent="0.25">
      <c r="B61" s="70">
        <v>9238</v>
      </c>
      <c r="C61" s="70">
        <v>5063</v>
      </c>
      <c r="D61" s="71" t="s">
        <v>78</v>
      </c>
      <c r="E61" s="72" t="s">
        <v>823</v>
      </c>
      <c r="G61" s="73">
        <v>351.75</v>
      </c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94">
        <f t="shared" si="7"/>
        <v>351.75</v>
      </c>
      <c r="AS61" s="73">
        <v>235.55</v>
      </c>
      <c r="AT61" s="73">
        <v>31.45</v>
      </c>
      <c r="AU61" s="73">
        <v>84.75</v>
      </c>
      <c r="AV61" s="73"/>
      <c r="AW61" s="73"/>
      <c r="AX61" s="73"/>
      <c r="AY61" s="73"/>
      <c r="AZ61" s="73"/>
      <c r="BA61" s="73"/>
      <c r="BB61" s="73"/>
      <c r="BC61" s="69"/>
      <c r="BD61" s="69"/>
      <c r="CD61" s="94">
        <f t="shared" si="8"/>
        <v>351.75</v>
      </c>
      <c r="CE61" s="73">
        <f t="shared" si="9"/>
        <v>0</v>
      </c>
      <c r="CF61" s="75">
        <f t="shared" si="10"/>
        <v>5063</v>
      </c>
      <c r="CG61" s="69" t="str">
        <f t="shared" si="10"/>
        <v>برنامج دولى</v>
      </c>
    </row>
    <row r="62" spans="1:85" ht="18.75" x14ac:dyDescent="0.25">
      <c r="B62" s="70">
        <v>9239</v>
      </c>
      <c r="C62" s="70">
        <v>5064</v>
      </c>
      <c r="D62" s="71" t="s">
        <v>78</v>
      </c>
      <c r="E62" s="72" t="s">
        <v>822</v>
      </c>
      <c r="G62" s="73">
        <v>1200</v>
      </c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94">
        <f t="shared" si="7"/>
        <v>1200</v>
      </c>
      <c r="AS62" s="73">
        <v>1072.3</v>
      </c>
      <c r="AT62" s="73">
        <v>127.7</v>
      </c>
      <c r="AU62" s="73"/>
      <c r="AV62" s="73"/>
      <c r="AW62" s="73"/>
      <c r="AX62" s="73"/>
      <c r="AY62" s="73"/>
      <c r="AZ62" s="73"/>
      <c r="BA62" s="73"/>
      <c r="BB62" s="73"/>
      <c r="BC62" s="69"/>
      <c r="BD62" s="69"/>
      <c r="CD62" s="94">
        <f t="shared" si="8"/>
        <v>1200</v>
      </c>
      <c r="CE62" s="73">
        <f t="shared" si="9"/>
        <v>0</v>
      </c>
      <c r="CF62" s="75">
        <f t="shared" si="10"/>
        <v>5064</v>
      </c>
      <c r="CG62" s="69" t="str">
        <f t="shared" si="10"/>
        <v>برنامج دولى</v>
      </c>
    </row>
    <row r="63" spans="1:85" ht="18.75" x14ac:dyDescent="0.25">
      <c r="B63" s="70">
        <v>9240</v>
      </c>
      <c r="C63" s="70">
        <v>5065</v>
      </c>
      <c r="D63" s="71" t="s">
        <v>78</v>
      </c>
      <c r="E63" s="72" t="s">
        <v>822</v>
      </c>
      <c r="G63" s="73">
        <v>600</v>
      </c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94">
        <f t="shared" si="7"/>
        <v>600</v>
      </c>
      <c r="AS63" s="73">
        <v>536.15</v>
      </c>
      <c r="AT63" s="73">
        <v>63.85</v>
      </c>
      <c r="AU63" s="73"/>
      <c r="AV63" s="73"/>
      <c r="AW63" s="73"/>
      <c r="AX63" s="73"/>
      <c r="AY63" s="73"/>
      <c r="AZ63" s="73"/>
      <c r="BA63" s="73"/>
      <c r="BB63" s="73"/>
      <c r="BC63" s="69"/>
      <c r="BD63" s="69"/>
      <c r="CD63" s="94">
        <f t="shared" si="8"/>
        <v>600</v>
      </c>
      <c r="CE63" s="73">
        <f t="shared" si="9"/>
        <v>0</v>
      </c>
      <c r="CF63" s="75">
        <f t="shared" si="10"/>
        <v>5065</v>
      </c>
      <c r="CG63" s="69" t="str">
        <f t="shared" si="10"/>
        <v>برنامج دولى</v>
      </c>
    </row>
    <row r="64" spans="1:85" ht="18.75" x14ac:dyDescent="0.25">
      <c r="B64" s="70">
        <v>9241</v>
      </c>
      <c r="C64" s="70">
        <v>5066</v>
      </c>
      <c r="D64" s="71" t="s">
        <v>78</v>
      </c>
      <c r="E64" s="72" t="s">
        <v>822</v>
      </c>
      <c r="G64" s="73">
        <v>600</v>
      </c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94">
        <f t="shared" si="7"/>
        <v>600</v>
      </c>
      <c r="AS64" s="73">
        <v>536.15</v>
      </c>
      <c r="AT64" s="73">
        <v>63.85</v>
      </c>
      <c r="AU64" s="73"/>
      <c r="AV64" s="73"/>
      <c r="AW64" s="73"/>
      <c r="AX64" s="73"/>
      <c r="AY64" s="73"/>
      <c r="AZ64" s="73"/>
      <c r="BA64" s="73"/>
      <c r="BB64" s="73"/>
      <c r="BC64" s="69"/>
      <c r="BD64" s="69"/>
      <c r="CD64" s="94">
        <f t="shared" si="8"/>
        <v>600</v>
      </c>
      <c r="CE64" s="73">
        <f t="shared" si="9"/>
        <v>0</v>
      </c>
      <c r="CF64" s="75">
        <f t="shared" si="10"/>
        <v>5066</v>
      </c>
      <c r="CG64" s="69" t="str">
        <f t="shared" si="10"/>
        <v>برنامج دولى</v>
      </c>
    </row>
    <row r="65" spans="2:85" ht="18.75" x14ac:dyDescent="0.25">
      <c r="B65" s="70">
        <v>9242</v>
      </c>
      <c r="C65" s="70">
        <v>5067</v>
      </c>
      <c r="D65" s="71" t="s">
        <v>78</v>
      </c>
      <c r="E65" s="72" t="s">
        <v>822</v>
      </c>
      <c r="G65" s="73">
        <v>600</v>
      </c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94">
        <f t="shared" si="7"/>
        <v>600</v>
      </c>
      <c r="AS65" s="73">
        <v>536.15</v>
      </c>
      <c r="AT65" s="73">
        <v>63.85</v>
      </c>
      <c r="AU65" s="73"/>
      <c r="AV65" s="73"/>
      <c r="AW65" s="73"/>
      <c r="AX65" s="73"/>
      <c r="AY65" s="73"/>
      <c r="AZ65" s="73"/>
      <c r="BA65" s="73"/>
      <c r="BB65" s="73"/>
      <c r="BC65" s="69"/>
      <c r="BD65" s="69"/>
      <c r="CD65" s="94">
        <f t="shared" si="8"/>
        <v>600</v>
      </c>
      <c r="CE65" s="73">
        <f t="shared" si="9"/>
        <v>0</v>
      </c>
      <c r="CF65" s="75">
        <f t="shared" si="10"/>
        <v>5067</v>
      </c>
      <c r="CG65" s="69" t="str">
        <f t="shared" si="10"/>
        <v>برنامج دولى</v>
      </c>
    </row>
    <row r="66" spans="2:85" ht="18.75" x14ac:dyDescent="0.25">
      <c r="B66" s="70">
        <v>9243</v>
      </c>
      <c r="C66" s="70">
        <v>5068</v>
      </c>
      <c r="D66" s="71" t="s">
        <v>78</v>
      </c>
      <c r="E66" s="72" t="s">
        <v>2677</v>
      </c>
      <c r="G66" s="73">
        <v>1500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94">
        <f t="shared" si="7"/>
        <v>1500</v>
      </c>
      <c r="AS66" s="73">
        <v>1339.1</v>
      </c>
      <c r="AT66" s="73">
        <v>160.9</v>
      </c>
      <c r="AU66" s="73"/>
      <c r="AV66" s="73"/>
      <c r="AW66" s="73"/>
      <c r="AX66" s="73"/>
      <c r="AY66" s="73"/>
      <c r="AZ66" s="73"/>
      <c r="BA66" s="73"/>
      <c r="BB66" s="73"/>
      <c r="BC66" s="69"/>
      <c r="BD66" s="69"/>
      <c r="CD66" s="94">
        <f t="shared" si="8"/>
        <v>1500</v>
      </c>
      <c r="CE66" s="73">
        <f t="shared" si="9"/>
        <v>0</v>
      </c>
      <c r="CF66" s="75">
        <f t="shared" si="10"/>
        <v>5068</v>
      </c>
      <c r="CG66" s="69" t="str">
        <f t="shared" si="10"/>
        <v>برنامج دولى</v>
      </c>
    </row>
    <row r="67" spans="2:85" ht="18.75" x14ac:dyDescent="0.25">
      <c r="B67" s="70">
        <v>9244</v>
      </c>
      <c r="C67" s="70">
        <v>5069</v>
      </c>
      <c r="D67" s="71" t="s">
        <v>78</v>
      </c>
      <c r="E67" s="72" t="s">
        <v>2678</v>
      </c>
      <c r="G67" s="73">
        <v>644.88</v>
      </c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94">
        <f t="shared" si="7"/>
        <v>644.88</v>
      </c>
      <c r="AS67" s="73">
        <v>431.4</v>
      </c>
      <c r="AT67" s="73">
        <v>58.1</v>
      </c>
      <c r="AU67" s="73">
        <v>155.38</v>
      </c>
      <c r="AV67" s="73"/>
      <c r="AW67" s="73"/>
      <c r="AX67" s="73"/>
      <c r="AY67" s="73"/>
      <c r="AZ67" s="73"/>
      <c r="BA67" s="73"/>
      <c r="BB67" s="73"/>
      <c r="BC67" s="69"/>
      <c r="BD67" s="69"/>
      <c r="CD67" s="94">
        <f t="shared" si="8"/>
        <v>644.88</v>
      </c>
      <c r="CE67" s="73">
        <f t="shared" si="9"/>
        <v>0</v>
      </c>
      <c r="CF67" s="75">
        <f t="shared" si="10"/>
        <v>5069</v>
      </c>
      <c r="CG67" s="69" t="str">
        <f t="shared" si="10"/>
        <v>برنامج دولى</v>
      </c>
    </row>
    <row r="68" spans="2:85" ht="18.75" x14ac:dyDescent="0.25">
      <c r="B68" s="70">
        <v>9232</v>
      </c>
      <c r="C68" s="70">
        <v>5070</v>
      </c>
      <c r="D68" s="71" t="s">
        <v>78</v>
      </c>
      <c r="E68" s="72" t="s">
        <v>2679</v>
      </c>
      <c r="G68" s="73">
        <v>630.12</v>
      </c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94">
        <f t="shared" si="7"/>
        <v>630.12</v>
      </c>
      <c r="AS68" s="73">
        <v>563.01</v>
      </c>
      <c r="AT68" s="73">
        <v>67.11</v>
      </c>
      <c r="AU68" s="73"/>
      <c r="AV68" s="73"/>
      <c r="AW68" s="73"/>
      <c r="AX68" s="73"/>
      <c r="AY68" s="73"/>
      <c r="AZ68" s="73"/>
      <c r="BA68" s="73"/>
      <c r="BB68" s="73"/>
      <c r="BC68" s="69"/>
      <c r="BD68" s="69"/>
      <c r="CD68" s="94">
        <f t="shared" si="8"/>
        <v>630.12</v>
      </c>
      <c r="CE68" s="73">
        <f t="shared" si="9"/>
        <v>0</v>
      </c>
      <c r="CF68" s="75">
        <f t="shared" si="10"/>
        <v>5070</v>
      </c>
      <c r="CG68" s="69" t="str">
        <f t="shared" si="10"/>
        <v>برنامج دولى</v>
      </c>
    </row>
    <row r="69" spans="2:85" ht="18.75" x14ac:dyDescent="0.25">
      <c r="B69" s="70">
        <v>9235</v>
      </c>
      <c r="C69" s="70">
        <v>5071</v>
      </c>
      <c r="D69" s="71" t="s">
        <v>78</v>
      </c>
      <c r="E69" s="72" t="str">
        <f>+E58</f>
        <v>مكافاه بعد المواعيد عاملين بالقنصليه</v>
      </c>
      <c r="G69" s="73">
        <v>3079.5</v>
      </c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94">
        <f t="shared" si="7"/>
        <v>3079.5</v>
      </c>
      <c r="AS69" s="73">
        <v>2171.0500000000002</v>
      </c>
      <c r="AT69" s="73">
        <v>286.95</v>
      </c>
      <c r="AU69" s="73">
        <v>621.5</v>
      </c>
      <c r="AV69" s="73"/>
      <c r="AW69" s="73"/>
      <c r="AX69" s="73"/>
      <c r="AY69" s="73"/>
      <c r="AZ69" s="73"/>
      <c r="BA69" s="73"/>
      <c r="BB69" s="73"/>
      <c r="BC69" s="69"/>
      <c r="BD69" s="69"/>
      <c r="CD69" s="94">
        <f t="shared" si="8"/>
        <v>3079.5</v>
      </c>
      <c r="CE69" s="73">
        <f t="shared" si="9"/>
        <v>0</v>
      </c>
      <c r="CF69" s="75">
        <f t="shared" si="10"/>
        <v>5071</v>
      </c>
      <c r="CG69" s="69" t="str">
        <f t="shared" si="10"/>
        <v>برنامج دولى</v>
      </c>
    </row>
    <row r="70" spans="2:85" ht="18.75" x14ac:dyDescent="0.25">
      <c r="B70" s="70">
        <v>9260</v>
      </c>
      <c r="C70" s="70">
        <v>5072</v>
      </c>
      <c r="D70" s="71" t="s">
        <v>78</v>
      </c>
      <c r="E70" s="72" t="s">
        <v>2680</v>
      </c>
      <c r="G70" s="73">
        <v>2800</v>
      </c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94">
        <f t="shared" si="7"/>
        <v>2800</v>
      </c>
      <c r="AS70" s="73">
        <v>2499.35</v>
      </c>
      <c r="AT70" s="73">
        <v>300.64999999999998</v>
      </c>
      <c r="AU70" s="73"/>
      <c r="AV70" s="73"/>
      <c r="AW70" s="73"/>
      <c r="AX70" s="73"/>
      <c r="AY70" s="73"/>
      <c r="AZ70" s="73"/>
      <c r="BA70" s="73"/>
      <c r="BB70" s="73"/>
      <c r="BC70" s="69"/>
      <c r="BD70" s="69"/>
      <c r="CD70" s="94">
        <f t="shared" si="8"/>
        <v>2800</v>
      </c>
      <c r="CE70" s="73">
        <f t="shared" si="9"/>
        <v>0</v>
      </c>
      <c r="CF70" s="75">
        <f t="shared" si="10"/>
        <v>5072</v>
      </c>
      <c r="CG70" s="69" t="str">
        <f t="shared" si="10"/>
        <v>برنامج دولى</v>
      </c>
    </row>
    <row r="71" spans="2:85" ht="18.75" x14ac:dyDescent="0.25">
      <c r="B71" s="70">
        <v>9309</v>
      </c>
      <c r="C71" s="70">
        <v>5073</v>
      </c>
      <c r="D71" s="71" t="s">
        <v>78</v>
      </c>
      <c r="E71" s="72" t="s">
        <v>2681</v>
      </c>
      <c r="G71" s="73">
        <v>200</v>
      </c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94">
        <f t="shared" si="7"/>
        <v>200</v>
      </c>
      <c r="AS71" s="73">
        <v>179.1</v>
      </c>
      <c r="AT71" s="73">
        <v>20.9</v>
      </c>
      <c r="AU71" s="73"/>
      <c r="AV71" s="73"/>
      <c r="AW71" s="73"/>
      <c r="AX71" s="73"/>
      <c r="AY71" s="73"/>
      <c r="AZ71" s="73"/>
      <c r="BA71" s="73"/>
      <c r="BB71" s="73"/>
      <c r="BC71" s="69"/>
      <c r="BD71" s="69"/>
      <c r="CD71" s="94">
        <f t="shared" si="8"/>
        <v>200</v>
      </c>
      <c r="CE71" s="73">
        <f t="shared" si="9"/>
        <v>0</v>
      </c>
      <c r="CF71" s="75">
        <f t="shared" si="10"/>
        <v>5073</v>
      </c>
      <c r="CG71" s="69" t="str">
        <f t="shared" si="10"/>
        <v>برنامج دولى</v>
      </c>
    </row>
    <row r="72" spans="2:85" ht="18.75" x14ac:dyDescent="0.25">
      <c r="B72" s="78">
        <v>9310</v>
      </c>
      <c r="C72" s="70">
        <v>5074</v>
      </c>
      <c r="D72" s="71" t="s">
        <v>78</v>
      </c>
      <c r="E72" s="72" t="s">
        <v>2681</v>
      </c>
      <c r="G72" s="73">
        <v>400</v>
      </c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94">
        <f t="shared" si="7"/>
        <v>400</v>
      </c>
      <c r="AS72" s="73">
        <v>357.7</v>
      </c>
      <c r="AT72" s="73">
        <v>42.3</v>
      </c>
      <c r="AU72" s="73"/>
      <c r="AV72" s="73"/>
      <c r="AW72" s="73"/>
      <c r="AX72" s="73"/>
      <c r="AY72" s="73"/>
      <c r="AZ72" s="73"/>
      <c r="BA72" s="73"/>
      <c r="BB72" s="73"/>
      <c r="BC72" s="69"/>
      <c r="BD72" s="69"/>
      <c r="CD72" s="94">
        <f t="shared" si="8"/>
        <v>400</v>
      </c>
      <c r="CE72" s="73">
        <f t="shared" si="9"/>
        <v>0</v>
      </c>
      <c r="CF72" s="75">
        <f t="shared" si="10"/>
        <v>5074</v>
      </c>
      <c r="CG72" s="69" t="str">
        <f t="shared" si="10"/>
        <v>برنامج دولى</v>
      </c>
    </row>
    <row r="73" spans="2:85" ht="18.75" x14ac:dyDescent="0.25">
      <c r="B73" s="78">
        <v>9311</v>
      </c>
      <c r="C73" s="70">
        <v>5075</v>
      </c>
      <c r="D73" s="71" t="s">
        <v>78</v>
      </c>
      <c r="E73" s="72" t="s">
        <v>2681</v>
      </c>
      <c r="G73" s="73">
        <v>1400</v>
      </c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94">
        <f t="shared" si="7"/>
        <v>1400</v>
      </c>
      <c r="AS73" s="73">
        <v>1249.8499999999999</v>
      </c>
      <c r="AT73" s="73">
        <v>150.15</v>
      </c>
      <c r="AU73" s="73"/>
      <c r="AV73" s="73"/>
      <c r="AW73" s="73"/>
      <c r="AX73" s="73"/>
      <c r="AY73" s="73"/>
      <c r="AZ73" s="73"/>
      <c r="BA73" s="73"/>
      <c r="BB73" s="73"/>
      <c r="BC73" s="69"/>
      <c r="BD73" s="69"/>
      <c r="CD73" s="94">
        <f t="shared" si="8"/>
        <v>1400</v>
      </c>
      <c r="CE73" s="73">
        <f t="shared" si="9"/>
        <v>0</v>
      </c>
      <c r="CF73" s="75">
        <f t="shared" si="10"/>
        <v>5075</v>
      </c>
      <c r="CG73" s="69" t="str">
        <f t="shared" si="10"/>
        <v>برنامج دولى</v>
      </c>
    </row>
    <row r="74" spans="2:85" ht="18.75" x14ac:dyDescent="0.25">
      <c r="B74" s="78">
        <v>9281</v>
      </c>
      <c r="C74" s="70">
        <v>5076</v>
      </c>
      <c r="D74" s="71" t="s">
        <v>78</v>
      </c>
      <c r="E74" s="79" t="s">
        <v>2574</v>
      </c>
      <c r="G74" s="73">
        <v>820.75</v>
      </c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94">
        <f t="shared" si="7"/>
        <v>820.75</v>
      </c>
      <c r="AS74" s="73">
        <v>548.95000000000005</v>
      </c>
      <c r="AT74" s="73">
        <v>74.05</v>
      </c>
      <c r="AU74" s="73">
        <v>197.75</v>
      </c>
      <c r="AV74" s="73"/>
      <c r="AW74" s="73"/>
      <c r="AX74" s="73"/>
      <c r="AY74" s="73"/>
      <c r="AZ74" s="73"/>
      <c r="BA74" s="73"/>
      <c r="BB74" s="73"/>
      <c r="BC74" s="69"/>
      <c r="BD74" s="69"/>
      <c r="CD74" s="94">
        <f t="shared" si="8"/>
        <v>820.75</v>
      </c>
      <c r="CE74" s="73">
        <f t="shared" si="9"/>
        <v>0</v>
      </c>
      <c r="CF74" s="75">
        <f t="shared" si="10"/>
        <v>5076</v>
      </c>
      <c r="CG74" s="69" t="str">
        <f t="shared" si="10"/>
        <v>برنامج دولى</v>
      </c>
    </row>
    <row r="75" spans="2:85" ht="18.75" x14ac:dyDescent="0.25">
      <c r="B75" s="78">
        <v>9280</v>
      </c>
      <c r="C75" s="70">
        <v>5077</v>
      </c>
      <c r="D75" s="71" t="s">
        <v>78</v>
      </c>
      <c r="E75" s="79" t="s">
        <v>2574</v>
      </c>
      <c r="G75" s="73">
        <v>1570.75</v>
      </c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94">
        <f t="shared" si="7"/>
        <v>1570.75</v>
      </c>
      <c r="AS75" s="73">
        <v>1219.05</v>
      </c>
      <c r="AT75" s="73">
        <v>153.94999999999999</v>
      </c>
      <c r="AU75" s="73">
        <v>197.75</v>
      </c>
      <c r="AV75" s="73"/>
      <c r="AW75" s="73"/>
      <c r="AX75" s="73"/>
      <c r="AY75" s="73"/>
      <c r="AZ75" s="73"/>
      <c r="BA75" s="73"/>
      <c r="BB75" s="73"/>
      <c r="BC75" s="69"/>
      <c r="BD75" s="69"/>
      <c r="CD75" s="94">
        <f t="shared" si="8"/>
        <v>1570.75</v>
      </c>
      <c r="CE75" s="73">
        <f t="shared" si="9"/>
        <v>0</v>
      </c>
      <c r="CF75" s="75">
        <f t="shared" si="10"/>
        <v>5077</v>
      </c>
      <c r="CG75" s="69" t="str">
        <f t="shared" si="10"/>
        <v>برنامج دولى</v>
      </c>
    </row>
    <row r="76" spans="2:85" ht="18.75" x14ac:dyDescent="0.25">
      <c r="B76" s="78">
        <v>9279</v>
      </c>
      <c r="C76" s="70">
        <v>5078</v>
      </c>
      <c r="D76" s="71" t="s">
        <v>78</v>
      </c>
      <c r="E76" s="79" t="s">
        <v>2682</v>
      </c>
      <c r="G76" s="73">
        <v>1407</v>
      </c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94">
        <f t="shared" si="7"/>
        <v>1407</v>
      </c>
      <c r="AS76" s="73">
        <v>940.35</v>
      </c>
      <c r="AT76" s="73">
        <v>127.65</v>
      </c>
      <c r="AU76" s="73">
        <v>339</v>
      </c>
      <c r="AV76" s="73"/>
      <c r="AW76" s="73"/>
      <c r="AX76" s="73"/>
      <c r="AY76" s="73"/>
      <c r="AZ76" s="73"/>
      <c r="BA76" s="73"/>
      <c r="BB76" s="73"/>
      <c r="BC76" s="69"/>
      <c r="BD76" s="69"/>
      <c r="CD76" s="94">
        <f t="shared" si="8"/>
        <v>1407</v>
      </c>
      <c r="CE76" s="73">
        <f t="shared" si="9"/>
        <v>0</v>
      </c>
      <c r="CF76" s="75">
        <f t="shared" si="10"/>
        <v>5078</v>
      </c>
      <c r="CG76" s="69" t="str">
        <f t="shared" si="10"/>
        <v>برنامج دولى</v>
      </c>
    </row>
    <row r="77" spans="2:85" ht="18.75" x14ac:dyDescent="0.25">
      <c r="B77" s="78">
        <v>9278</v>
      </c>
      <c r="C77" s="70">
        <v>5079</v>
      </c>
      <c r="D77" s="71" t="s">
        <v>78</v>
      </c>
      <c r="E77" s="79" t="s">
        <v>2683</v>
      </c>
      <c r="G77" s="73">
        <v>1172.5</v>
      </c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94">
        <f t="shared" si="7"/>
        <v>1172.5</v>
      </c>
      <c r="AS77" s="73">
        <v>784.1</v>
      </c>
      <c r="AT77" s="73">
        <v>105.9</v>
      </c>
      <c r="AU77" s="73">
        <v>282.5</v>
      </c>
      <c r="AV77" s="73"/>
      <c r="AW77" s="73"/>
      <c r="AX77" s="73"/>
      <c r="AY77" s="73"/>
      <c r="AZ77" s="73"/>
      <c r="BA77" s="73"/>
      <c r="BB77" s="73"/>
      <c r="BC77" s="69"/>
      <c r="BD77" s="69"/>
      <c r="CD77" s="94">
        <f t="shared" si="8"/>
        <v>1172.5</v>
      </c>
      <c r="CE77" s="73">
        <f t="shared" si="9"/>
        <v>0</v>
      </c>
      <c r="CF77" s="75">
        <f t="shared" si="10"/>
        <v>5079</v>
      </c>
      <c r="CG77" s="69" t="str">
        <f t="shared" si="10"/>
        <v>برنامج دولى</v>
      </c>
    </row>
    <row r="78" spans="2:85" ht="18.75" x14ac:dyDescent="0.25">
      <c r="B78" s="78">
        <v>9113</v>
      </c>
      <c r="C78" s="70">
        <v>5080</v>
      </c>
      <c r="D78" s="71" t="s">
        <v>78</v>
      </c>
      <c r="E78" s="79" t="s">
        <v>2684</v>
      </c>
      <c r="G78" s="73">
        <v>10500</v>
      </c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94">
        <f t="shared" si="7"/>
        <v>10500</v>
      </c>
      <c r="AS78" s="73">
        <v>9367.5</v>
      </c>
      <c r="AT78" s="73">
        <v>1132.5</v>
      </c>
      <c r="AU78" s="73"/>
      <c r="AV78" s="73"/>
      <c r="AW78" s="73"/>
      <c r="AX78" s="73"/>
      <c r="AY78" s="73"/>
      <c r="AZ78" s="73"/>
      <c r="BA78" s="73"/>
      <c r="BB78" s="73"/>
      <c r="BC78" s="69"/>
      <c r="BD78" s="69"/>
      <c r="CD78" s="94">
        <f t="shared" si="8"/>
        <v>10500</v>
      </c>
      <c r="CE78" s="73">
        <f t="shared" si="9"/>
        <v>0</v>
      </c>
      <c r="CF78" s="75">
        <f t="shared" si="10"/>
        <v>5080</v>
      </c>
      <c r="CG78" s="69" t="str">
        <f t="shared" si="10"/>
        <v>برنامج دولى</v>
      </c>
    </row>
    <row r="79" spans="2:85" ht="18.75" x14ac:dyDescent="0.25">
      <c r="B79" s="78">
        <v>9114</v>
      </c>
      <c r="C79" s="70">
        <v>5081</v>
      </c>
      <c r="D79" s="71" t="s">
        <v>78</v>
      </c>
      <c r="E79" s="79" t="s">
        <v>2685</v>
      </c>
      <c r="G79" s="73">
        <v>234.5</v>
      </c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94">
        <f t="shared" si="7"/>
        <v>234.5</v>
      </c>
      <c r="AS79" s="73">
        <v>157.19999999999999</v>
      </c>
      <c r="AT79" s="73">
        <v>20.8</v>
      </c>
      <c r="AU79" s="73">
        <v>56.5</v>
      </c>
      <c r="AV79" s="73"/>
      <c r="AW79" s="73"/>
      <c r="AX79" s="73"/>
      <c r="AY79" s="73"/>
      <c r="AZ79" s="73"/>
      <c r="BA79" s="73"/>
      <c r="BB79" s="73"/>
      <c r="BC79" s="69"/>
      <c r="BD79" s="69"/>
      <c r="CD79" s="94">
        <f t="shared" si="8"/>
        <v>234.5</v>
      </c>
      <c r="CE79" s="73">
        <f t="shared" si="9"/>
        <v>0</v>
      </c>
      <c r="CF79" s="75">
        <f t="shared" si="10"/>
        <v>5081</v>
      </c>
      <c r="CG79" s="69" t="str">
        <f t="shared" si="10"/>
        <v>برنامج دولى</v>
      </c>
    </row>
    <row r="80" spans="2:85" ht="18.75" x14ac:dyDescent="0.25">
      <c r="B80" s="78">
        <v>9115</v>
      </c>
      <c r="C80" s="70">
        <v>5082</v>
      </c>
      <c r="D80" s="71" t="s">
        <v>78</v>
      </c>
      <c r="E80" s="79" t="s">
        <v>2685</v>
      </c>
      <c r="G80" s="73">
        <v>234.5</v>
      </c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94">
        <f t="shared" si="7"/>
        <v>234.5</v>
      </c>
      <c r="AS80" s="73">
        <v>157.19999999999999</v>
      </c>
      <c r="AT80" s="73">
        <v>20.8</v>
      </c>
      <c r="AU80" s="73">
        <v>56.5</v>
      </c>
      <c r="AV80" s="73"/>
      <c r="AW80" s="73"/>
      <c r="AX80" s="73"/>
      <c r="AY80" s="73"/>
      <c r="AZ80" s="73"/>
      <c r="BA80" s="73"/>
      <c r="BB80" s="73"/>
      <c r="BC80" s="69"/>
      <c r="BD80" s="69"/>
      <c r="CD80" s="94">
        <f t="shared" si="8"/>
        <v>234.5</v>
      </c>
      <c r="CE80" s="73">
        <f t="shared" si="9"/>
        <v>0</v>
      </c>
      <c r="CF80" s="75">
        <f t="shared" ref="CF80:CG111" si="11">+C80</f>
        <v>5082</v>
      </c>
      <c r="CG80" s="69" t="str">
        <f t="shared" si="11"/>
        <v>برنامج دولى</v>
      </c>
    </row>
    <row r="81" spans="2:85" ht="18.75" x14ac:dyDescent="0.25">
      <c r="B81" s="78">
        <v>9136</v>
      </c>
      <c r="C81" s="70">
        <v>5083</v>
      </c>
      <c r="D81" s="71" t="s">
        <v>78</v>
      </c>
      <c r="E81" s="79" t="s">
        <v>2685</v>
      </c>
      <c r="G81" s="73">
        <v>200</v>
      </c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94">
        <f t="shared" si="7"/>
        <v>200</v>
      </c>
      <c r="AS81" s="73">
        <v>179.1</v>
      </c>
      <c r="AT81" s="73">
        <v>20.9</v>
      </c>
      <c r="AU81" s="73"/>
      <c r="AV81" s="73"/>
      <c r="AW81" s="73"/>
      <c r="AX81" s="73"/>
      <c r="AY81" s="73"/>
      <c r="AZ81" s="73"/>
      <c r="BA81" s="73"/>
      <c r="BB81" s="73"/>
      <c r="BC81" s="69"/>
      <c r="BD81" s="69"/>
      <c r="CD81" s="94">
        <f t="shared" si="8"/>
        <v>200</v>
      </c>
      <c r="CE81" s="73">
        <f t="shared" si="9"/>
        <v>0</v>
      </c>
      <c r="CF81" s="75">
        <f t="shared" si="11"/>
        <v>5083</v>
      </c>
      <c r="CG81" s="69" t="str">
        <f t="shared" si="11"/>
        <v>برنامج دولى</v>
      </c>
    </row>
    <row r="82" spans="2:85" ht="18.75" x14ac:dyDescent="0.25">
      <c r="B82" s="78">
        <v>9137</v>
      </c>
      <c r="C82" s="70">
        <v>5084</v>
      </c>
      <c r="D82" s="71" t="s">
        <v>78</v>
      </c>
      <c r="E82" s="79" t="s">
        <v>2685</v>
      </c>
      <c r="G82" s="73">
        <v>234.5</v>
      </c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94">
        <f t="shared" si="7"/>
        <v>234.5</v>
      </c>
      <c r="AS82" s="73">
        <v>157.19999999999999</v>
      </c>
      <c r="AT82" s="73">
        <v>20.8</v>
      </c>
      <c r="AU82" s="73">
        <v>56.5</v>
      </c>
      <c r="AV82" s="73"/>
      <c r="AW82" s="73"/>
      <c r="AX82" s="73"/>
      <c r="AY82" s="73"/>
      <c r="AZ82" s="73"/>
      <c r="BA82" s="73"/>
      <c r="BB82" s="73"/>
      <c r="BC82" s="69"/>
      <c r="BD82" s="69"/>
      <c r="CD82" s="94">
        <f t="shared" si="8"/>
        <v>234.5</v>
      </c>
      <c r="CE82" s="73">
        <f t="shared" si="9"/>
        <v>0</v>
      </c>
      <c r="CF82" s="75">
        <f t="shared" si="11"/>
        <v>5084</v>
      </c>
      <c r="CG82" s="69" t="str">
        <f t="shared" si="11"/>
        <v>برنامج دولى</v>
      </c>
    </row>
    <row r="83" spans="2:85" ht="18.75" x14ac:dyDescent="0.25">
      <c r="B83" s="78">
        <v>9138</v>
      </c>
      <c r="C83" s="70">
        <v>5085</v>
      </c>
      <c r="D83" s="71" t="s">
        <v>78</v>
      </c>
      <c r="E83" s="79" t="s">
        <v>2685</v>
      </c>
      <c r="G83" s="73">
        <v>3752</v>
      </c>
      <c r="H83" s="73"/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94">
        <f t="shared" si="7"/>
        <v>3752</v>
      </c>
      <c r="AS83" s="73">
        <v>2508.9499999999998</v>
      </c>
      <c r="AT83" s="73">
        <v>339.05</v>
      </c>
      <c r="AU83" s="73">
        <v>904</v>
      </c>
      <c r="AV83" s="73"/>
      <c r="AW83" s="73"/>
      <c r="AX83" s="73"/>
      <c r="AY83" s="73"/>
      <c r="AZ83" s="73"/>
      <c r="BA83" s="73"/>
      <c r="BB83" s="73"/>
      <c r="BC83" s="69"/>
      <c r="BD83" s="69"/>
      <c r="CD83" s="94">
        <f t="shared" si="8"/>
        <v>3752</v>
      </c>
      <c r="CE83" s="73">
        <f t="shared" si="9"/>
        <v>0</v>
      </c>
      <c r="CF83" s="75">
        <f t="shared" si="11"/>
        <v>5085</v>
      </c>
      <c r="CG83" s="69" t="str">
        <f t="shared" si="11"/>
        <v>برنامج دولى</v>
      </c>
    </row>
    <row r="84" spans="2:85" ht="18.75" x14ac:dyDescent="0.25">
      <c r="B84" s="78">
        <v>9139</v>
      </c>
      <c r="C84" s="70">
        <v>5086</v>
      </c>
      <c r="D84" s="71" t="s">
        <v>78</v>
      </c>
      <c r="E84" s="79" t="s">
        <v>2685</v>
      </c>
      <c r="G84" s="73">
        <v>938</v>
      </c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94">
        <f t="shared" si="7"/>
        <v>938</v>
      </c>
      <c r="AS84" s="73">
        <v>627.35</v>
      </c>
      <c r="AT84" s="73">
        <v>84.65</v>
      </c>
      <c r="AU84" s="73">
        <v>226</v>
      </c>
      <c r="AV84" s="73"/>
      <c r="AW84" s="73"/>
      <c r="AX84" s="73"/>
      <c r="AY84" s="73"/>
      <c r="AZ84" s="73"/>
      <c r="BA84" s="73"/>
      <c r="BB84" s="73"/>
      <c r="BC84" s="69"/>
      <c r="BD84" s="69"/>
      <c r="CD84" s="94">
        <f t="shared" si="8"/>
        <v>938</v>
      </c>
      <c r="CE84" s="73">
        <f t="shared" si="9"/>
        <v>0</v>
      </c>
      <c r="CF84" s="75">
        <f t="shared" si="11"/>
        <v>5086</v>
      </c>
      <c r="CG84" s="69" t="str">
        <f t="shared" si="11"/>
        <v>برنامج دولى</v>
      </c>
    </row>
    <row r="85" spans="2:85" ht="18.75" x14ac:dyDescent="0.25">
      <c r="B85" s="78">
        <v>9145</v>
      </c>
      <c r="C85" s="70">
        <v>5087</v>
      </c>
      <c r="D85" s="71" t="s">
        <v>78</v>
      </c>
      <c r="E85" s="79" t="s">
        <v>2685</v>
      </c>
      <c r="G85" s="73">
        <v>469</v>
      </c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94">
        <f t="shared" si="7"/>
        <v>469</v>
      </c>
      <c r="AS85" s="73">
        <v>314.39999999999998</v>
      </c>
      <c r="AT85" s="73">
        <v>41.6</v>
      </c>
      <c r="AU85" s="73">
        <v>113</v>
      </c>
      <c r="AV85" s="73"/>
      <c r="AW85" s="73"/>
      <c r="AX85" s="73"/>
      <c r="AY85" s="73"/>
      <c r="AZ85" s="73"/>
      <c r="BA85" s="73"/>
      <c r="BB85" s="73"/>
      <c r="BC85" s="69"/>
      <c r="BD85" s="69"/>
      <c r="CD85" s="94">
        <f t="shared" si="8"/>
        <v>469</v>
      </c>
      <c r="CE85" s="73">
        <f t="shared" si="9"/>
        <v>0</v>
      </c>
      <c r="CF85" s="75">
        <f t="shared" si="11"/>
        <v>5087</v>
      </c>
      <c r="CG85" s="69" t="str">
        <f t="shared" si="11"/>
        <v>برنامج دولى</v>
      </c>
    </row>
    <row r="86" spans="2:85" ht="18.75" x14ac:dyDescent="0.25">
      <c r="B86" s="78">
        <v>9144</v>
      </c>
      <c r="C86" s="70">
        <v>5088</v>
      </c>
      <c r="D86" s="71" t="s">
        <v>78</v>
      </c>
      <c r="E86" s="79" t="s">
        <v>2685</v>
      </c>
      <c r="G86" s="73">
        <v>469</v>
      </c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94">
        <f t="shared" si="7"/>
        <v>469</v>
      </c>
      <c r="AS86" s="73">
        <v>314.39999999999998</v>
      </c>
      <c r="AT86" s="73">
        <v>41.6</v>
      </c>
      <c r="AU86" s="73">
        <v>113</v>
      </c>
      <c r="AV86" s="73"/>
      <c r="AW86" s="73"/>
      <c r="AX86" s="73"/>
      <c r="AY86" s="73"/>
      <c r="AZ86" s="73"/>
      <c r="BA86" s="73"/>
      <c r="BB86" s="73"/>
      <c r="BC86" s="69"/>
      <c r="BD86" s="69"/>
      <c r="CD86" s="94">
        <f t="shared" si="8"/>
        <v>469</v>
      </c>
      <c r="CE86" s="73">
        <f t="shared" si="9"/>
        <v>0</v>
      </c>
      <c r="CF86" s="75">
        <f t="shared" si="11"/>
        <v>5088</v>
      </c>
      <c r="CG86" s="69" t="str">
        <f t="shared" si="11"/>
        <v>برنامج دولى</v>
      </c>
    </row>
    <row r="87" spans="2:85" ht="18.75" x14ac:dyDescent="0.25">
      <c r="B87" s="78">
        <v>9143</v>
      </c>
      <c r="C87" s="70">
        <v>5089</v>
      </c>
      <c r="D87" s="71" t="s">
        <v>78</v>
      </c>
      <c r="E87" s="79" t="s">
        <v>2685</v>
      </c>
      <c r="G87" s="73">
        <v>669</v>
      </c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94">
        <f t="shared" si="7"/>
        <v>669</v>
      </c>
      <c r="AS87" s="73">
        <v>493.1</v>
      </c>
      <c r="AT87" s="73">
        <v>62.9</v>
      </c>
      <c r="AU87" s="73">
        <v>113</v>
      </c>
      <c r="AV87" s="73"/>
      <c r="AW87" s="73"/>
      <c r="AX87" s="73"/>
      <c r="AY87" s="73"/>
      <c r="AZ87" s="73"/>
      <c r="BA87" s="73"/>
      <c r="BB87" s="73"/>
      <c r="BC87" s="69"/>
      <c r="BD87" s="69"/>
      <c r="CD87" s="94">
        <f t="shared" si="8"/>
        <v>669</v>
      </c>
      <c r="CE87" s="73">
        <f t="shared" si="9"/>
        <v>0</v>
      </c>
      <c r="CF87" s="75">
        <f t="shared" si="11"/>
        <v>5089</v>
      </c>
      <c r="CG87" s="69" t="str">
        <f t="shared" si="11"/>
        <v>برنامج دولى</v>
      </c>
    </row>
    <row r="88" spans="2:85" ht="18.75" x14ac:dyDescent="0.25">
      <c r="B88" s="78">
        <v>9142</v>
      </c>
      <c r="C88" s="70">
        <v>5090</v>
      </c>
      <c r="D88" s="71" t="s">
        <v>78</v>
      </c>
      <c r="E88" s="79" t="s">
        <v>2686</v>
      </c>
      <c r="G88" s="73">
        <v>234.5</v>
      </c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94">
        <f t="shared" si="7"/>
        <v>234.5</v>
      </c>
      <c r="AS88" s="73">
        <v>157.1</v>
      </c>
      <c r="AT88" s="73">
        <f>20+0.9</f>
        <v>20.9</v>
      </c>
      <c r="AU88" s="73">
        <v>56.5</v>
      </c>
      <c r="AV88" s="73"/>
      <c r="AW88" s="73"/>
      <c r="AX88" s="73"/>
      <c r="AY88" s="73"/>
      <c r="AZ88" s="73"/>
      <c r="BA88" s="73"/>
      <c r="BB88" s="73"/>
      <c r="BC88" s="69"/>
      <c r="BD88" s="69"/>
      <c r="CD88" s="94">
        <f t="shared" si="8"/>
        <v>234.5</v>
      </c>
      <c r="CE88" s="73">
        <f t="shared" si="9"/>
        <v>0</v>
      </c>
      <c r="CF88" s="75">
        <f t="shared" si="11"/>
        <v>5090</v>
      </c>
      <c r="CG88" s="69" t="str">
        <f t="shared" si="11"/>
        <v>برنامج دولى</v>
      </c>
    </row>
    <row r="89" spans="2:85" ht="18.75" x14ac:dyDescent="0.25">
      <c r="B89" s="78">
        <v>9141</v>
      </c>
      <c r="C89" s="70">
        <v>5091</v>
      </c>
      <c r="D89" s="71" t="s">
        <v>78</v>
      </c>
      <c r="E89" s="79" t="str">
        <f>+E87</f>
        <v xml:space="preserve">مكافاه لجان توريدات </v>
      </c>
      <c r="G89" s="73">
        <v>1400</v>
      </c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94">
        <f t="shared" si="7"/>
        <v>1400</v>
      </c>
      <c r="AS89" s="73">
        <v>1249.8499999999999</v>
      </c>
      <c r="AT89" s="73">
        <v>150.15</v>
      </c>
      <c r="AU89" s="73"/>
      <c r="AV89" s="73"/>
      <c r="AW89" s="73"/>
      <c r="AX89" s="73"/>
      <c r="AY89" s="73"/>
      <c r="AZ89" s="73"/>
      <c r="BA89" s="73"/>
      <c r="BB89" s="73"/>
      <c r="BC89" s="69"/>
      <c r="BD89" s="69"/>
      <c r="CD89" s="94">
        <f t="shared" si="8"/>
        <v>1400</v>
      </c>
      <c r="CE89" s="73">
        <f t="shared" si="9"/>
        <v>0</v>
      </c>
      <c r="CF89" s="75">
        <f t="shared" si="11"/>
        <v>5091</v>
      </c>
      <c r="CG89" s="69" t="str">
        <f t="shared" si="11"/>
        <v>برنامج دولى</v>
      </c>
    </row>
    <row r="90" spans="2:85" ht="18.75" x14ac:dyDescent="0.25">
      <c r="B90" s="78">
        <v>9140</v>
      </c>
      <c r="C90" s="70">
        <v>5092</v>
      </c>
      <c r="D90" s="71" t="s">
        <v>78</v>
      </c>
      <c r="E90" s="79" t="str">
        <f>+E89</f>
        <v xml:space="preserve">مكافاه لجان توريدات </v>
      </c>
      <c r="G90" s="73">
        <v>1738</v>
      </c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94">
        <f t="shared" si="7"/>
        <v>1738</v>
      </c>
      <c r="AS90" s="73">
        <v>1342.1</v>
      </c>
      <c r="AT90" s="73">
        <v>169.9</v>
      </c>
      <c r="AU90" s="73">
        <v>226</v>
      </c>
      <c r="AV90" s="73"/>
      <c r="AW90" s="73"/>
      <c r="AX90" s="73"/>
      <c r="AY90" s="73"/>
      <c r="AZ90" s="73"/>
      <c r="BA90" s="73"/>
      <c r="BB90" s="73"/>
      <c r="BC90" s="69"/>
      <c r="BD90" s="69"/>
      <c r="CD90" s="94">
        <f t="shared" si="8"/>
        <v>1738</v>
      </c>
      <c r="CE90" s="73">
        <f t="shared" si="9"/>
        <v>0</v>
      </c>
      <c r="CF90" s="75">
        <f t="shared" si="11"/>
        <v>5092</v>
      </c>
      <c r="CG90" s="69" t="str">
        <f t="shared" si="11"/>
        <v>برنامج دولى</v>
      </c>
    </row>
    <row r="91" spans="2:85" ht="18.75" x14ac:dyDescent="0.25">
      <c r="B91" s="78">
        <v>9146</v>
      </c>
      <c r="C91" s="70">
        <v>5093</v>
      </c>
      <c r="D91" s="71" t="s">
        <v>78</v>
      </c>
      <c r="E91" s="79" t="str">
        <f>+E90</f>
        <v xml:space="preserve">مكافاه لجان توريدات </v>
      </c>
      <c r="G91" s="73">
        <v>400</v>
      </c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94">
        <f t="shared" si="7"/>
        <v>400</v>
      </c>
      <c r="AS91" s="73">
        <v>357.7</v>
      </c>
      <c r="AT91" s="73">
        <v>42.3</v>
      </c>
      <c r="AU91" s="73"/>
      <c r="AV91" s="73"/>
      <c r="AW91" s="73"/>
      <c r="AX91" s="73"/>
      <c r="AY91" s="73"/>
      <c r="AZ91" s="73"/>
      <c r="BA91" s="73"/>
      <c r="BB91" s="73"/>
      <c r="BC91" s="69"/>
      <c r="BD91" s="69"/>
      <c r="CD91" s="94">
        <f t="shared" si="8"/>
        <v>400</v>
      </c>
      <c r="CE91" s="73">
        <f t="shared" si="9"/>
        <v>0</v>
      </c>
      <c r="CF91" s="75">
        <f t="shared" si="11"/>
        <v>5093</v>
      </c>
      <c r="CG91" s="69" t="str">
        <f t="shared" si="11"/>
        <v>برنامج دولى</v>
      </c>
    </row>
    <row r="92" spans="2:85" ht="18.75" x14ac:dyDescent="0.25">
      <c r="B92" s="78">
        <v>9147</v>
      </c>
      <c r="C92" s="70">
        <v>5094</v>
      </c>
      <c r="D92" s="71" t="s">
        <v>78</v>
      </c>
      <c r="E92" s="79" t="s">
        <v>2687</v>
      </c>
      <c r="G92" s="73">
        <v>4162.3599999999997</v>
      </c>
      <c r="H92" s="73"/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94">
        <f t="shared" si="7"/>
        <v>4162.3599999999997</v>
      </c>
      <c r="AS92" s="73">
        <v>2783.75</v>
      </c>
      <c r="AT92" s="73">
        <v>375.75</v>
      </c>
      <c r="AU92" s="73">
        <v>1002.86</v>
      </c>
      <c r="AV92" s="73"/>
      <c r="AW92" s="73"/>
      <c r="AX92" s="73"/>
      <c r="AY92" s="73"/>
      <c r="AZ92" s="73"/>
      <c r="BA92" s="73"/>
      <c r="BB92" s="73"/>
      <c r="BC92" s="69"/>
      <c r="BD92" s="69"/>
      <c r="CD92" s="94">
        <f t="shared" si="8"/>
        <v>4162.3599999999997</v>
      </c>
      <c r="CE92" s="73">
        <f t="shared" si="9"/>
        <v>0</v>
      </c>
      <c r="CF92" s="75">
        <f t="shared" si="11"/>
        <v>5094</v>
      </c>
      <c r="CG92" s="69" t="str">
        <f t="shared" si="11"/>
        <v>برنامج دولى</v>
      </c>
    </row>
    <row r="93" spans="2:85" ht="18.75" x14ac:dyDescent="0.25">
      <c r="B93" s="78">
        <v>9148</v>
      </c>
      <c r="C93" s="70">
        <v>5095</v>
      </c>
      <c r="D93" s="71" t="s">
        <v>78</v>
      </c>
      <c r="E93" s="79" t="s">
        <v>2687</v>
      </c>
      <c r="G93" s="73">
        <v>1360.1</v>
      </c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94">
        <f t="shared" si="7"/>
        <v>1360.1</v>
      </c>
      <c r="AS93" s="73">
        <v>909</v>
      </c>
      <c r="AT93" s="73">
        <v>123.4</v>
      </c>
      <c r="AU93" s="73">
        <v>327.7</v>
      </c>
      <c r="AV93" s="73"/>
      <c r="AW93" s="73"/>
      <c r="AX93" s="73"/>
      <c r="AY93" s="73"/>
      <c r="AZ93" s="73"/>
      <c r="BA93" s="73"/>
      <c r="BB93" s="73"/>
      <c r="BC93" s="69"/>
      <c r="BD93" s="69"/>
      <c r="CD93" s="94">
        <f t="shared" si="8"/>
        <v>1360.1000000000001</v>
      </c>
      <c r="CE93" s="73">
        <f t="shared" si="9"/>
        <v>0</v>
      </c>
      <c r="CF93" s="75">
        <f t="shared" si="11"/>
        <v>5095</v>
      </c>
      <c r="CG93" s="69" t="str">
        <f t="shared" si="11"/>
        <v>برنامج دولى</v>
      </c>
    </row>
    <row r="94" spans="2:85" ht="18.75" x14ac:dyDescent="0.25">
      <c r="B94" s="78">
        <v>9149</v>
      </c>
      <c r="C94" s="70">
        <v>5096</v>
      </c>
      <c r="D94" s="71" t="s">
        <v>78</v>
      </c>
      <c r="E94" s="79" t="s">
        <v>2687</v>
      </c>
      <c r="G94" s="73">
        <v>6372.52</v>
      </c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94">
        <f t="shared" si="7"/>
        <v>6372.52</v>
      </c>
      <c r="AS94" s="73">
        <v>4261.3</v>
      </c>
      <c r="AT94" s="73">
        <v>575.85</v>
      </c>
      <c r="AU94" s="73">
        <v>1535.37</v>
      </c>
      <c r="AV94" s="73"/>
      <c r="AW94" s="73"/>
      <c r="AX94" s="73"/>
      <c r="AY94" s="73"/>
      <c r="AZ94" s="73"/>
      <c r="BA94" s="73"/>
      <c r="BB94" s="73"/>
      <c r="BC94" s="69"/>
      <c r="BD94" s="69"/>
      <c r="CD94" s="94">
        <f t="shared" si="8"/>
        <v>6372.52</v>
      </c>
      <c r="CE94" s="73">
        <f t="shared" si="9"/>
        <v>0</v>
      </c>
      <c r="CF94" s="75">
        <f t="shared" si="11"/>
        <v>5096</v>
      </c>
      <c r="CG94" s="69" t="str">
        <f t="shared" si="11"/>
        <v>برنامج دولى</v>
      </c>
    </row>
    <row r="95" spans="2:85" ht="18.75" x14ac:dyDescent="0.25">
      <c r="B95" s="78">
        <v>9150</v>
      </c>
      <c r="C95" s="70">
        <v>5097</v>
      </c>
      <c r="D95" s="71" t="s">
        <v>78</v>
      </c>
      <c r="E95" s="79" t="s">
        <v>2687</v>
      </c>
      <c r="G95" s="73">
        <v>1758.75</v>
      </c>
      <c r="H95" s="73"/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94">
        <f t="shared" si="7"/>
        <v>1758.75</v>
      </c>
      <c r="AS95" s="73">
        <v>1175.3499999999999</v>
      </c>
      <c r="AT95" s="73">
        <v>159.65</v>
      </c>
      <c r="AU95" s="73">
        <v>423.75</v>
      </c>
      <c r="AV95" s="73"/>
      <c r="AW95" s="73"/>
      <c r="AX95" s="73"/>
      <c r="AY95" s="73"/>
      <c r="AZ95" s="73"/>
      <c r="BA95" s="73"/>
      <c r="BB95" s="73"/>
      <c r="BC95" s="69"/>
      <c r="BD95" s="69"/>
      <c r="CD95" s="94">
        <f t="shared" si="8"/>
        <v>1758.75</v>
      </c>
      <c r="CE95" s="73">
        <f t="shared" si="9"/>
        <v>0</v>
      </c>
      <c r="CF95" s="75">
        <f t="shared" si="11"/>
        <v>5097</v>
      </c>
      <c r="CG95" s="69" t="str">
        <f t="shared" si="11"/>
        <v>برنامج دولى</v>
      </c>
    </row>
    <row r="96" spans="2:85" ht="18.75" x14ac:dyDescent="0.25">
      <c r="B96" s="78">
        <v>9159</v>
      </c>
      <c r="C96" s="70">
        <v>5098</v>
      </c>
      <c r="D96" s="71" t="s">
        <v>78</v>
      </c>
      <c r="E96" s="79" t="s">
        <v>1650</v>
      </c>
      <c r="G96" s="73">
        <v>351.75</v>
      </c>
      <c r="H96" s="73"/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94">
        <f t="shared" si="7"/>
        <v>351.75</v>
      </c>
      <c r="AS96" s="73">
        <v>235.55</v>
      </c>
      <c r="AT96" s="73">
        <v>31.45</v>
      </c>
      <c r="AU96" s="73">
        <v>84.75</v>
      </c>
      <c r="AV96" s="73"/>
      <c r="AW96" s="73"/>
      <c r="AX96" s="73"/>
      <c r="AY96" s="73"/>
      <c r="AZ96" s="73"/>
      <c r="BA96" s="73"/>
      <c r="BB96" s="73"/>
      <c r="BC96" s="69"/>
      <c r="BD96" s="69"/>
      <c r="CD96" s="94">
        <f t="shared" si="8"/>
        <v>351.75</v>
      </c>
      <c r="CE96" s="73">
        <f t="shared" si="9"/>
        <v>0</v>
      </c>
      <c r="CF96" s="75">
        <f t="shared" si="11"/>
        <v>5098</v>
      </c>
      <c r="CG96" s="69" t="str">
        <f t="shared" si="11"/>
        <v>برنامج دولى</v>
      </c>
    </row>
    <row r="97" spans="2:85" ht="18.75" x14ac:dyDescent="0.25">
      <c r="B97" s="78">
        <v>9154</v>
      </c>
      <c r="C97" s="70">
        <v>5099</v>
      </c>
      <c r="D97" s="71" t="s">
        <v>78</v>
      </c>
      <c r="E97" s="79" t="str">
        <f>+E94</f>
        <v>مكافاه اداره هندسيه مواساه</v>
      </c>
      <c r="G97" s="73">
        <v>1758.75</v>
      </c>
      <c r="H97" s="73"/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94">
        <f t="shared" si="7"/>
        <v>1758.75</v>
      </c>
      <c r="AS97" s="73">
        <v>1175.3499999999999</v>
      </c>
      <c r="AT97" s="73">
        <v>159.65</v>
      </c>
      <c r="AU97" s="73">
        <v>423.75</v>
      </c>
      <c r="AV97" s="73"/>
      <c r="AW97" s="73"/>
      <c r="AX97" s="73"/>
      <c r="AY97" s="73"/>
      <c r="AZ97" s="73"/>
      <c r="BA97" s="73"/>
      <c r="BB97" s="73"/>
      <c r="BC97" s="69"/>
      <c r="BD97" s="69"/>
      <c r="CD97" s="94">
        <f t="shared" si="8"/>
        <v>1758.75</v>
      </c>
      <c r="CE97" s="73">
        <f t="shared" si="9"/>
        <v>0</v>
      </c>
      <c r="CF97" s="75">
        <f t="shared" si="11"/>
        <v>5099</v>
      </c>
      <c r="CG97" s="69" t="str">
        <f t="shared" si="11"/>
        <v>برنامج دولى</v>
      </c>
    </row>
    <row r="98" spans="2:85" ht="18.75" x14ac:dyDescent="0.25">
      <c r="B98" s="78">
        <v>9153</v>
      </c>
      <c r="C98" s="70">
        <v>5100</v>
      </c>
      <c r="D98" s="71" t="s">
        <v>78</v>
      </c>
      <c r="E98" s="79" t="str">
        <f>+E95</f>
        <v>مكافاه اداره هندسيه مواساه</v>
      </c>
      <c r="G98" s="73">
        <v>1407</v>
      </c>
      <c r="H98" s="73"/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94">
        <f t="shared" si="7"/>
        <v>1407</v>
      </c>
      <c r="AS98" s="73">
        <v>940.35</v>
      </c>
      <c r="AT98" s="73">
        <v>127.65</v>
      </c>
      <c r="AU98" s="73">
        <v>339</v>
      </c>
      <c r="AV98" s="73"/>
      <c r="AW98" s="73"/>
      <c r="AX98" s="73"/>
      <c r="AY98" s="73"/>
      <c r="AZ98" s="73"/>
      <c r="BA98" s="73"/>
      <c r="BB98" s="73"/>
      <c r="BC98" s="69"/>
      <c r="BD98" s="69"/>
      <c r="CD98" s="94">
        <f t="shared" si="8"/>
        <v>1407</v>
      </c>
      <c r="CE98" s="73">
        <f t="shared" si="9"/>
        <v>0</v>
      </c>
      <c r="CF98" s="75">
        <f t="shared" si="11"/>
        <v>5100</v>
      </c>
      <c r="CG98" s="69" t="str">
        <f t="shared" si="11"/>
        <v>برنامج دولى</v>
      </c>
    </row>
    <row r="99" spans="2:85" ht="18.75" x14ac:dyDescent="0.25">
      <c r="B99" s="78">
        <v>9151</v>
      </c>
      <c r="C99" s="70">
        <v>5101</v>
      </c>
      <c r="D99" s="71" t="s">
        <v>78</v>
      </c>
      <c r="E99" s="79" t="str">
        <f>+E98</f>
        <v>مكافاه اداره هندسيه مواساه</v>
      </c>
      <c r="G99" s="73">
        <v>4162.3599999999997</v>
      </c>
      <c r="H99" s="73"/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94">
        <f t="shared" si="7"/>
        <v>4162.3599999999997</v>
      </c>
      <c r="AS99" s="73">
        <v>2783.75</v>
      </c>
      <c r="AT99" s="73">
        <v>375.75</v>
      </c>
      <c r="AU99" s="73">
        <v>1002.86</v>
      </c>
      <c r="AV99" s="73"/>
      <c r="AW99" s="73"/>
      <c r="AX99" s="73"/>
      <c r="AY99" s="73"/>
      <c r="AZ99" s="73"/>
      <c r="BA99" s="73"/>
      <c r="BB99" s="73"/>
      <c r="BC99" s="69"/>
      <c r="BD99" s="69"/>
      <c r="CD99" s="94">
        <f t="shared" si="8"/>
        <v>4162.3599999999997</v>
      </c>
      <c r="CE99" s="73">
        <f t="shared" si="9"/>
        <v>0</v>
      </c>
      <c r="CF99" s="75">
        <f t="shared" si="11"/>
        <v>5101</v>
      </c>
      <c r="CG99" s="69" t="str">
        <f t="shared" si="11"/>
        <v>برنامج دولى</v>
      </c>
    </row>
    <row r="100" spans="2:85" ht="18.75" x14ac:dyDescent="0.25">
      <c r="B100" s="78">
        <v>9152</v>
      </c>
      <c r="C100" s="70">
        <v>5102</v>
      </c>
      <c r="D100" s="71" t="s">
        <v>78</v>
      </c>
      <c r="E100" s="79" t="str">
        <f>+E99</f>
        <v>مكافاه اداره هندسيه مواساه</v>
      </c>
      <c r="G100" s="73">
        <v>6501.5</v>
      </c>
      <c r="H100" s="73"/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94">
        <f t="shared" si="7"/>
        <v>6501.5</v>
      </c>
      <c r="AS100" s="73">
        <v>4347.55</v>
      </c>
      <c r="AT100" s="73">
        <v>587.5</v>
      </c>
      <c r="AU100" s="73">
        <v>1566.45</v>
      </c>
      <c r="AV100" s="73"/>
      <c r="AW100" s="73"/>
      <c r="AX100" s="73"/>
      <c r="AY100" s="73"/>
      <c r="AZ100" s="73"/>
      <c r="BA100" s="73"/>
      <c r="BB100" s="73"/>
      <c r="BC100" s="69"/>
      <c r="BD100" s="69"/>
      <c r="CD100" s="94">
        <f t="shared" si="8"/>
        <v>6501.5</v>
      </c>
      <c r="CE100" s="73">
        <f t="shared" si="9"/>
        <v>0</v>
      </c>
      <c r="CF100" s="75">
        <f t="shared" si="11"/>
        <v>5102</v>
      </c>
      <c r="CG100" s="69" t="str">
        <f t="shared" si="11"/>
        <v>برنامج دولى</v>
      </c>
    </row>
    <row r="101" spans="2:85" ht="18.75" x14ac:dyDescent="0.25">
      <c r="B101" s="78">
        <v>9412</v>
      </c>
      <c r="C101" s="70">
        <v>5103</v>
      </c>
      <c r="D101" s="71" t="s">
        <v>78</v>
      </c>
      <c r="E101" s="79" t="s">
        <v>2688</v>
      </c>
      <c r="G101" s="73">
        <v>938</v>
      </c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94">
        <f t="shared" si="7"/>
        <v>938</v>
      </c>
      <c r="AS101" s="73">
        <v>627.4</v>
      </c>
      <c r="AT101" s="73">
        <f>80+4.6</f>
        <v>84.6</v>
      </c>
      <c r="AU101" s="73">
        <v>226</v>
      </c>
      <c r="AV101" s="73"/>
      <c r="AW101" s="73"/>
      <c r="AX101" s="73"/>
      <c r="AY101" s="73"/>
      <c r="AZ101" s="73"/>
      <c r="BA101" s="73"/>
      <c r="BB101" s="73"/>
      <c r="BC101" s="69"/>
      <c r="BD101" s="69"/>
      <c r="CD101" s="94">
        <f t="shared" si="8"/>
        <v>938</v>
      </c>
      <c r="CE101" s="73">
        <f t="shared" si="9"/>
        <v>0</v>
      </c>
      <c r="CF101" s="75">
        <f t="shared" si="11"/>
        <v>5103</v>
      </c>
      <c r="CG101" s="69" t="str">
        <f t="shared" si="11"/>
        <v>برنامج دولى</v>
      </c>
    </row>
    <row r="102" spans="2:85" x14ac:dyDescent="0.25">
      <c r="B102" s="78">
        <v>7888</v>
      </c>
      <c r="C102" s="70">
        <v>5104</v>
      </c>
      <c r="D102" s="69" t="s">
        <v>137</v>
      </c>
      <c r="E102" s="79" t="s">
        <v>2689</v>
      </c>
      <c r="G102" s="73">
        <v>850</v>
      </c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94">
        <f t="shared" si="7"/>
        <v>850</v>
      </c>
      <c r="AS102" s="73">
        <v>716.9</v>
      </c>
      <c r="AT102" s="73">
        <v>90.6</v>
      </c>
      <c r="AU102" s="73"/>
      <c r="AV102" s="73">
        <v>42.5</v>
      </c>
      <c r="AW102" s="73"/>
      <c r="AX102" s="73"/>
      <c r="AY102" s="73"/>
      <c r="AZ102" s="73"/>
      <c r="BA102" s="73"/>
      <c r="BB102" s="73"/>
      <c r="BC102" s="69"/>
      <c r="BD102" s="69"/>
      <c r="CD102" s="94">
        <f t="shared" si="8"/>
        <v>850</v>
      </c>
      <c r="CE102" s="73">
        <f t="shared" si="9"/>
        <v>0</v>
      </c>
      <c r="CF102" s="75">
        <f t="shared" si="11"/>
        <v>5104</v>
      </c>
      <c r="CG102" s="69" t="str">
        <f t="shared" si="11"/>
        <v xml:space="preserve">خدمة عامة </v>
      </c>
    </row>
    <row r="103" spans="2:85" x14ac:dyDescent="0.25">
      <c r="B103" s="78">
        <v>7891</v>
      </c>
      <c r="C103" s="70">
        <v>5105</v>
      </c>
      <c r="D103" s="69" t="s">
        <v>137</v>
      </c>
      <c r="E103" s="79" t="s">
        <v>2689</v>
      </c>
      <c r="G103" s="73">
        <v>700</v>
      </c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94">
        <f t="shared" si="7"/>
        <v>700</v>
      </c>
      <c r="AS103" s="73">
        <v>590.45000000000005</v>
      </c>
      <c r="AT103" s="73">
        <v>74.55</v>
      </c>
      <c r="AU103" s="73"/>
      <c r="AV103" s="73">
        <v>35</v>
      </c>
      <c r="AW103" s="73"/>
      <c r="AX103" s="73"/>
      <c r="AY103" s="73"/>
      <c r="AZ103" s="73"/>
      <c r="BA103" s="73"/>
      <c r="BB103" s="73"/>
      <c r="BC103" s="69"/>
      <c r="BD103" s="69"/>
      <c r="CD103" s="94">
        <f t="shared" si="8"/>
        <v>700</v>
      </c>
      <c r="CE103" s="73">
        <f t="shared" si="9"/>
        <v>0</v>
      </c>
      <c r="CF103" s="75">
        <f t="shared" si="11"/>
        <v>5105</v>
      </c>
      <c r="CG103" s="69" t="str">
        <f t="shared" si="11"/>
        <v xml:space="preserve">خدمة عامة </v>
      </c>
    </row>
    <row r="104" spans="2:85" x14ac:dyDescent="0.25">
      <c r="B104" s="78">
        <v>7890</v>
      </c>
      <c r="C104" s="70">
        <v>5106</v>
      </c>
      <c r="D104" s="69" t="s">
        <v>137</v>
      </c>
      <c r="E104" s="79" t="s">
        <v>2689</v>
      </c>
      <c r="G104" s="73">
        <v>3517.5</v>
      </c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94">
        <f t="shared" si="7"/>
        <v>3517.5</v>
      </c>
      <c r="AS104" s="73">
        <v>2203</v>
      </c>
      <c r="AT104" s="73">
        <v>317</v>
      </c>
      <c r="AU104" s="73">
        <v>847.5</v>
      </c>
      <c r="AV104" s="73">
        <v>150</v>
      </c>
      <c r="AW104" s="73"/>
      <c r="AX104" s="73"/>
      <c r="AY104" s="73"/>
      <c r="AZ104" s="73"/>
      <c r="BA104" s="73"/>
      <c r="BB104" s="73"/>
      <c r="BC104" s="69"/>
      <c r="BD104" s="69"/>
      <c r="CD104" s="94">
        <f t="shared" si="8"/>
        <v>3517.5</v>
      </c>
      <c r="CE104" s="73">
        <f t="shared" si="9"/>
        <v>0</v>
      </c>
      <c r="CF104" s="75">
        <f t="shared" si="11"/>
        <v>5106</v>
      </c>
      <c r="CG104" s="69" t="str">
        <f t="shared" si="11"/>
        <v xml:space="preserve">خدمة عامة </v>
      </c>
    </row>
    <row r="105" spans="2:85" x14ac:dyDescent="0.25">
      <c r="B105" s="78">
        <v>7887</v>
      </c>
      <c r="C105" s="70">
        <v>5107</v>
      </c>
      <c r="D105" s="69" t="s">
        <v>137</v>
      </c>
      <c r="E105" s="79" t="s">
        <v>2689</v>
      </c>
      <c r="G105" s="73">
        <v>16534.79</v>
      </c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94">
        <f t="shared" si="7"/>
        <v>16534.79</v>
      </c>
      <c r="AS105" s="73">
        <v>10498.3</v>
      </c>
      <c r="AT105" s="73">
        <v>1502.85</v>
      </c>
      <c r="AU105" s="73">
        <v>3823.64</v>
      </c>
      <c r="AV105" s="73">
        <v>710</v>
      </c>
      <c r="AW105" s="73"/>
      <c r="AX105" s="73"/>
      <c r="AY105" s="73"/>
      <c r="AZ105" s="73"/>
      <c r="BA105" s="73"/>
      <c r="BB105" s="73"/>
      <c r="BC105" s="69"/>
      <c r="BD105" s="69"/>
      <c r="CD105" s="94">
        <f t="shared" si="8"/>
        <v>16534.79</v>
      </c>
      <c r="CE105" s="73">
        <f t="shared" si="9"/>
        <v>0</v>
      </c>
      <c r="CF105" s="75">
        <f t="shared" si="11"/>
        <v>5107</v>
      </c>
      <c r="CG105" s="69" t="str">
        <f t="shared" si="11"/>
        <v xml:space="preserve">خدمة عامة </v>
      </c>
    </row>
    <row r="106" spans="2:85" x14ac:dyDescent="0.25">
      <c r="B106" s="78">
        <v>7889</v>
      </c>
      <c r="C106" s="70">
        <v>5108</v>
      </c>
      <c r="D106" s="69" t="s">
        <v>137</v>
      </c>
      <c r="E106" s="79" t="s">
        <v>2689</v>
      </c>
      <c r="G106" s="73">
        <v>2541.5</v>
      </c>
      <c r="H106" s="73"/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94">
        <f t="shared" si="7"/>
        <v>2541.5</v>
      </c>
      <c r="AS106" s="73">
        <v>1786.95</v>
      </c>
      <c r="AT106" s="73">
        <v>244.05</v>
      </c>
      <c r="AU106" s="73">
        <v>395.5</v>
      </c>
      <c r="AV106" s="73">
        <v>115</v>
      </c>
      <c r="AW106" s="73"/>
      <c r="AX106" s="73"/>
      <c r="AY106" s="73"/>
      <c r="AZ106" s="73"/>
      <c r="BA106" s="73"/>
      <c r="BB106" s="73"/>
      <c r="BC106" s="69"/>
      <c r="BD106" s="69"/>
      <c r="CD106" s="94">
        <f t="shared" si="8"/>
        <v>2541.5</v>
      </c>
      <c r="CE106" s="73">
        <f t="shared" si="9"/>
        <v>0</v>
      </c>
      <c r="CF106" s="75">
        <f t="shared" si="11"/>
        <v>5108</v>
      </c>
      <c r="CG106" s="69" t="str">
        <f t="shared" si="11"/>
        <v xml:space="preserve">خدمة عامة </v>
      </c>
    </row>
    <row r="107" spans="2:85" x14ac:dyDescent="0.25">
      <c r="B107" s="78" t="s">
        <v>2690</v>
      </c>
      <c r="C107" s="70">
        <v>5109</v>
      </c>
      <c r="D107" s="69" t="s">
        <v>137</v>
      </c>
      <c r="E107" s="79" t="s">
        <v>2689</v>
      </c>
      <c r="G107" s="73">
        <v>703.5</v>
      </c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94">
        <f t="shared" si="7"/>
        <v>703.5</v>
      </c>
      <c r="AS107" s="73">
        <v>440.6</v>
      </c>
      <c r="AT107" s="73">
        <v>63.4</v>
      </c>
      <c r="AU107" s="73">
        <v>169.5</v>
      </c>
      <c r="AV107" s="73">
        <v>30</v>
      </c>
      <c r="AW107" s="73"/>
      <c r="AX107" s="73"/>
      <c r="AY107" s="73"/>
      <c r="AZ107" s="73"/>
      <c r="BA107" s="73"/>
      <c r="BB107" s="73"/>
      <c r="BC107" s="69"/>
      <c r="BD107" s="69"/>
      <c r="CD107" s="94">
        <f t="shared" si="8"/>
        <v>703.5</v>
      </c>
      <c r="CE107" s="73">
        <f t="shared" si="9"/>
        <v>0</v>
      </c>
      <c r="CF107" s="75">
        <f t="shared" si="11"/>
        <v>5109</v>
      </c>
      <c r="CG107" s="69" t="str">
        <f t="shared" si="11"/>
        <v xml:space="preserve">خدمة عامة </v>
      </c>
    </row>
    <row r="108" spans="2:85" x14ac:dyDescent="0.25">
      <c r="B108" s="78">
        <v>7886</v>
      </c>
      <c r="C108" s="70">
        <v>5110</v>
      </c>
      <c r="D108" s="69" t="s">
        <v>137</v>
      </c>
      <c r="E108" s="79" t="s">
        <v>2689</v>
      </c>
      <c r="G108" s="73">
        <v>60174.83</v>
      </c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94">
        <f t="shared" si="7"/>
        <v>60174.83</v>
      </c>
      <c r="AS108" s="73">
        <v>40890.1</v>
      </c>
      <c r="AT108" s="73">
        <v>5678.5</v>
      </c>
      <c r="AU108" s="73">
        <v>10931.23</v>
      </c>
      <c r="AV108" s="73">
        <v>2675</v>
      </c>
      <c r="AW108" s="73"/>
      <c r="AX108" s="73"/>
      <c r="AY108" s="73"/>
      <c r="AZ108" s="73"/>
      <c r="BA108" s="73"/>
      <c r="BB108" s="73"/>
      <c r="BC108" s="69"/>
      <c r="BD108" s="69"/>
      <c r="CD108" s="94">
        <f t="shared" si="8"/>
        <v>60174.83</v>
      </c>
      <c r="CE108" s="73">
        <f t="shared" si="9"/>
        <v>0</v>
      </c>
      <c r="CF108" s="75">
        <f t="shared" si="11"/>
        <v>5110</v>
      </c>
      <c r="CG108" s="69" t="str">
        <f t="shared" si="11"/>
        <v xml:space="preserve">خدمة عامة </v>
      </c>
    </row>
    <row r="109" spans="2:85" x14ac:dyDescent="0.25">
      <c r="B109" s="78">
        <v>6571</v>
      </c>
      <c r="C109" s="70">
        <v>5111</v>
      </c>
      <c r="D109" s="69" t="s">
        <v>137</v>
      </c>
      <c r="E109" s="79" t="s">
        <v>2691</v>
      </c>
      <c r="G109" s="73">
        <v>2110.5</v>
      </c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94">
        <f t="shared" si="7"/>
        <v>2110.5</v>
      </c>
      <c r="AS109" s="73">
        <v>1320.35</v>
      </c>
      <c r="AT109" s="73">
        <f>11.65+180</f>
        <v>191.65</v>
      </c>
      <c r="AU109" s="73">
        <v>508.5</v>
      </c>
      <c r="AV109" s="73">
        <v>90</v>
      </c>
      <c r="AW109" s="73"/>
      <c r="AX109" s="73"/>
      <c r="AY109" s="73"/>
      <c r="AZ109" s="73"/>
      <c r="BA109" s="73"/>
      <c r="BB109" s="73"/>
      <c r="BC109" s="69"/>
      <c r="BD109" s="69"/>
      <c r="CD109" s="94">
        <f t="shared" si="8"/>
        <v>2110.5</v>
      </c>
      <c r="CE109" s="73">
        <f t="shared" si="9"/>
        <v>0</v>
      </c>
      <c r="CF109" s="75">
        <f t="shared" si="11"/>
        <v>5111</v>
      </c>
      <c r="CG109" s="69" t="str">
        <f t="shared" si="11"/>
        <v xml:space="preserve">خدمة عامة </v>
      </c>
    </row>
    <row r="110" spans="2:85" x14ac:dyDescent="0.25">
      <c r="B110" s="78">
        <v>6572</v>
      </c>
      <c r="C110" s="70">
        <v>5112</v>
      </c>
      <c r="D110" s="69" t="s">
        <v>137</v>
      </c>
      <c r="E110" s="79" t="s">
        <v>2692</v>
      </c>
      <c r="G110" s="73">
        <v>3283</v>
      </c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94">
        <f t="shared" si="7"/>
        <v>3283</v>
      </c>
      <c r="AS110" s="73">
        <v>2051.35</v>
      </c>
      <c r="AT110" s="73">
        <f>20.65+280</f>
        <v>300.64999999999998</v>
      </c>
      <c r="AU110" s="73">
        <v>791</v>
      </c>
      <c r="AV110" s="73">
        <v>140</v>
      </c>
      <c r="AW110" s="73"/>
      <c r="AX110" s="73"/>
      <c r="AY110" s="73"/>
      <c r="AZ110" s="73"/>
      <c r="BA110" s="73"/>
      <c r="BB110" s="73"/>
      <c r="BC110" s="69"/>
      <c r="BD110" s="69"/>
      <c r="CD110" s="94">
        <f t="shared" si="8"/>
        <v>3283</v>
      </c>
      <c r="CE110" s="73">
        <f t="shared" si="9"/>
        <v>0</v>
      </c>
      <c r="CF110" s="75">
        <f t="shared" si="11"/>
        <v>5112</v>
      </c>
      <c r="CG110" s="69" t="str">
        <f t="shared" si="11"/>
        <v xml:space="preserve">خدمة عامة </v>
      </c>
    </row>
    <row r="111" spans="2:85" x14ac:dyDescent="0.25">
      <c r="B111" s="78">
        <v>9369</v>
      </c>
      <c r="C111" s="70">
        <v>5113</v>
      </c>
      <c r="D111" s="69" t="s">
        <v>137</v>
      </c>
      <c r="E111" s="79" t="s">
        <v>2693</v>
      </c>
      <c r="G111" s="73">
        <v>1755.88</v>
      </c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94">
        <f t="shared" si="7"/>
        <v>1755.88</v>
      </c>
      <c r="AS111" s="73">
        <v>1100.52</v>
      </c>
      <c r="AT111" s="73">
        <v>157.4</v>
      </c>
      <c r="AU111" s="73">
        <v>423.08</v>
      </c>
      <c r="AV111" s="73">
        <v>74.88</v>
      </c>
      <c r="AW111" s="73"/>
      <c r="AX111" s="73"/>
      <c r="AY111" s="73"/>
      <c r="AZ111" s="73"/>
      <c r="BA111" s="73"/>
      <c r="BB111" s="73"/>
      <c r="BC111" s="69"/>
      <c r="BD111" s="69"/>
      <c r="CD111" s="94">
        <f t="shared" si="8"/>
        <v>1755.88</v>
      </c>
      <c r="CE111" s="73">
        <f t="shared" si="9"/>
        <v>0</v>
      </c>
      <c r="CF111" s="75">
        <f t="shared" si="11"/>
        <v>5113</v>
      </c>
      <c r="CG111" s="69" t="str">
        <f t="shared" si="11"/>
        <v xml:space="preserve">خدمة عامة </v>
      </c>
    </row>
    <row r="112" spans="2:85" x14ac:dyDescent="0.25">
      <c r="B112" s="78">
        <v>9368</v>
      </c>
      <c r="C112" s="70">
        <v>5114</v>
      </c>
      <c r="D112" s="69" t="s">
        <v>137</v>
      </c>
      <c r="E112" s="79" t="s">
        <v>2693</v>
      </c>
      <c r="G112" s="73">
        <v>12037.26</v>
      </c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94">
        <f t="shared" ref="AR112:AR143" si="12">SUM(G112:AQ112)</f>
        <v>12037.26</v>
      </c>
      <c r="AS112" s="73">
        <v>8625.33</v>
      </c>
      <c r="AT112" s="73">
        <v>1160.05</v>
      </c>
      <c r="AU112" s="106">
        <v>1701.98</v>
      </c>
      <c r="AV112" s="73">
        <v>549.9</v>
      </c>
      <c r="AW112" s="73"/>
      <c r="AX112" s="73"/>
      <c r="AY112" s="73"/>
      <c r="AZ112" s="73"/>
      <c r="BA112" s="73"/>
      <c r="BB112" s="73"/>
      <c r="BC112" s="69"/>
      <c r="BD112" s="69"/>
      <c r="CD112" s="94">
        <f t="shared" ref="CD112:CD143" si="13">SUM(AS112:CC112)</f>
        <v>12037.259999999998</v>
      </c>
      <c r="CE112" s="73">
        <f t="shared" ref="CE112:CE175" si="14">+CD112-AR112</f>
        <v>0</v>
      </c>
      <c r="CF112" s="75">
        <f t="shared" ref="CF112:CG143" si="15">+C112</f>
        <v>5114</v>
      </c>
      <c r="CG112" s="69" t="str">
        <f t="shared" si="15"/>
        <v xml:space="preserve">خدمة عامة </v>
      </c>
    </row>
    <row r="113" spans="2:85" x14ac:dyDescent="0.25">
      <c r="B113" s="78">
        <v>9371</v>
      </c>
      <c r="C113" s="70">
        <v>5115</v>
      </c>
      <c r="D113" s="69" t="s">
        <v>137</v>
      </c>
      <c r="E113" s="79" t="s">
        <v>2694</v>
      </c>
      <c r="G113" s="73">
        <v>2695.28</v>
      </c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94">
        <f t="shared" si="12"/>
        <v>2695.28</v>
      </c>
      <c r="AS113" s="73">
        <v>1688.95</v>
      </c>
      <c r="AT113" s="73">
        <v>241.98</v>
      </c>
      <c r="AU113" s="73">
        <v>649.41</v>
      </c>
      <c r="AV113" s="73">
        <v>114.94</v>
      </c>
      <c r="AW113" s="73"/>
      <c r="AX113" s="73"/>
      <c r="AY113" s="73"/>
      <c r="AZ113" s="73"/>
      <c r="BA113" s="73"/>
      <c r="BB113" s="73"/>
      <c r="BC113" s="69"/>
      <c r="BD113" s="69"/>
      <c r="CD113" s="94">
        <f t="shared" si="13"/>
        <v>2695.28</v>
      </c>
      <c r="CE113" s="73">
        <f t="shared" si="14"/>
        <v>0</v>
      </c>
      <c r="CF113" s="75">
        <f t="shared" si="15"/>
        <v>5115</v>
      </c>
      <c r="CG113" s="69" t="str">
        <f t="shared" si="15"/>
        <v xml:space="preserve">خدمة عامة </v>
      </c>
    </row>
    <row r="114" spans="2:85" x14ac:dyDescent="0.25">
      <c r="B114" s="78">
        <v>9370</v>
      </c>
      <c r="C114" s="70">
        <v>5116</v>
      </c>
      <c r="D114" s="69" t="s">
        <v>137</v>
      </c>
      <c r="E114" s="79" t="s">
        <v>2694</v>
      </c>
      <c r="G114" s="73">
        <v>17637.740000000002</v>
      </c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94">
        <f t="shared" si="12"/>
        <v>17637.740000000002</v>
      </c>
      <c r="AS114" s="73">
        <v>12305.94</v>
      </c>
      <c r="AT114" s="73">
        <v>1685</v>
      </c>
      <c r="AU114" s="73">
        <v>2852</v>
      </c>
      <c r="AV114" s="73">
        <v>794.8</v>
      </c>
      <c r="AW114" s="73"/>
      <c r="AX114" s="73"/>
      <c r="AY114" s="73"/>
      <c r="AZ114" s="73"/>
      <c r="BA114" s="73"/>
      <c r="BB114" s="73"/>
      <c r="BC114" s="69"/>
      <c r="BD114" s="69"/>
      <c r="CD114" s="94">
        <f t="shared" si="13"/>
        <v>17637.740000000002</v>
      </c>
      <c r="CE114" s="73">
        <f t="shared" si="14"/>
        <v>0</v>
      </c>
      <c r="CF114" s="75">
        <f t="shared" si="15"/>
        <v>5116</v>
      </c>
      <c r="CG114" s="69" t="str">
        <f t="shared" si="15"/>
        <v xml:space="preserve">خدمة عامة </v>
      </c>
    </row>
    <row r="115" spans="2:85" x14ac:dyDescent="0.25">
      <c r="B115" s="78">
        <v>9374</v>
      </c>
      <c r="C115" s="70">
        <v>5117</v>
      </c>
      <c r="D115" s="69" t="s">
        <v>137</v>
      </c>
      <c r="E115" s="79" t="s">
        <v>2695</v>
      </c>
      <c r="G115" s="69">
        <v>505.35</v>
      </c>
      <c r="T115" s="69"/>
      <c r="U115" s="69"/>
      <c r="AR115" s="94">
        <f t="shared" si="12"/>
        <v>505.35</v>
      </c>
      <c r="AS115" s="69">
        <v>316.74</v>
      </c>
      <c r="AT115" s="69">
        <v>45.3</v>
      </c>
      <c r="AU115" s="69">
        <v>121.76</v>
      </c>
      <c r="AV115" s="69">
        <v>21.55</v>
      </c>
      <c r="BC115" s="69"/>
      <c r="BD115" s="69"/>
      <c r="CD115" s="94">
        <f t="shared" si="13"/>
        <v>505.35</v>
      </c>
      <c r="CE115" s="73">
        <f t="shared" si="14"/>
        <v>0</v>
      </c>
      <c r="CF115" s="75">
        <f t="shared" si="15"/>
        <v>5117</v>
      </c>
      <c r="CG115" s="69" t="str">
        <f t="shared" si="15"/>
        <v xml:space="preserve">خدمة عامة </v>
      </c>
    </row>
    <row r="116" spans="2:85" x14ac:dyDescent="0.25">
      <c r="B116" s="78">
        <v>9373</v>
      </c>
      <c r="C116" s="70">
        <v>5118</v>
      </c>
      <c r="D116" s="69" t="s">
        <v>137</v>
      </c>
      <c r="E116" s="79" t="s">
        <v>2695</v>
      </c>
      <c r="G116" s="69">
        <v>4138.6499999999996</v>
      </c>
      <c r="T116" s="69"/>
      <c r="U116" s="69"/>
      <c r="AR116" s="94">
        <f t="shared" si="12"/>
        <v>4138.6499999999996</v>
      </c>
      <c r="AS116" s="69">
        <v>2591.46</v>
      </c>
      <c r="AT116" s="69">
        <v>373.53</v>
      </c>
      <c r="AU116" s="69">
        <v>997.17</v>
      </c>
      <c r="AV116" s="69">
        <v>176.49</v>
      </c>
      <c r="BC116" s="69"/>
      <c r="BD116" s="69"/>
      <c r="CD116" s="94">
        <f t="shared" si="13"/>
        <v>4138.6499999999996</v>
      </c>
      <c r="CE116" s="73">
        <f t="shared" si="14"/>
        <v>0</v>
      </c>
      <c r="CF116" s="75">
        <f t="shared" si="15"/>
        <v>5118</v>
      </c>
      <c r="CG116" s="69" t="str">
        <f t="shared" si="15"/>
        <v xml:space="preserve">خدمة عامة </v>
      </c>
    </row>
    <row r="117" spans="2:85" x14ac:dyDescent="0.25">
      <c r="B117" s="78">
        <v>9372</v>
      </c>
      <c r="C117" s="70">
        <v>5119</v>
      </c>
      <c r="D117" s="69" t="s">
        <v>137</v>
      </c>
      <c r="E117" s="79" t="s">
        <v>2695</v>
      </c>
      <c r="G117" s="69">
        <v>24431.01</v>
      </c>
      <c r="T117" s="69"/>
      <c r="U117" s="69"/>
      <c r="AR117" s="94">
        <f t="shared" si="12"/>
        <v>24431.01</v>
      </c>
      <c r="AS117" s="69">
        <v>16899.84</v>
      </c>
      <c r="AT117" s="69">
        <v>2329.3000000000002</v>
      </c>
      <c r="AU117" s="69">
        <v>4105.67</v>
      </c>
      <c r="AV117" s="69">
        <v>1096.2</v>
      </c>
      <c r="BC117" s="69"/>
      <c r="BD117" s="69"/>
      <c r="CD117" s="94">
        <f t="shared" si="13"/>
        <v>24431.01</v>
      </c>
      <c r="CE117" s="73">
        <f t="shared" si="14"/>
        <v>0</v>
      </c>
      <c r="CF117" s="75">
        <f t="shared" si="15"/>
        <v>5119</v>
      </c>
      <c r="CG117" s="69" t="str">
        <f t="shared" si="15"/>
        <v xml:space="preserve">خدمة عامة </v>
      </c>
    </row>
    <row r="118" spans="2:85" x14ac:dyDescent="0.25">
      <c r="B118" s="78">
        <v>8971</v>
      </c>
      <c r="C118" s="70">
        <v>5120</v>
      </c>
      <c r="D118" s="69" t="s">
        <v>137</v>
      </c>
      <c r="E118" s="79" t="s">
        <v>2696</v>
      </c>
      <c r="G118" s="69">
        <v>2400</v>
      </c>
      <c r="T118" s="69"/>
      <c r="U118" s="69"/>
      <c r="AR118" s="94">
        <f t="shared" si="12"/>
        <v>2400</v>
      </c>
      <c r="AS118" s="69">
        <v>2022.35</v>
      </c>
      <c r="AT118" s="69">
        <v>257.64999999999998</v>
      </c>
      <c r="AV118" s="69">
        <v>120</v>
      </c>
      <c r="BC118" s="69"/>
      <c r="BD118" s="69"/>
      <c r="CD118" s="94">
        <f t="shared" si="13"/>
        <v>2400</v>
      </c>
      <c r="CE118" s="73">
        <f t="shared" si="14"/>
        <v>0</v>
      </c>
      <c r="CF118" s="75">
        <f t="shared" si="15"/>
        <v>5120</v>
      </c>
      <c r="CG118" s="69" t="str">
        <f t="shared" si="15"/>
        <v xml:space="preserve">خدمة عامة </v>
      </c>
    </row>
    <row r="119" spans="2:85" x14ac:dyDescent="0.25">
      <c r="B119" s="78">
        <v>8817</v>
      </c>
      <c r="C119" s="70">
        <v>5121</v>
      </c>
      <c r="D119" s="69" t="s">
        <v>137</v>
      </c>
      <c r="E119" s="79" t="s">
        <v>2696</v>
      </c>
      <c r="G119" s="69">
        <v>1289.75</v>
      </c>
      <c r="T119" s="69"/>
      <c r="U119" s="69"/>
      <c r="AR119" s="94">
        <f t="shared" si="12"/>
        <v>1289.75</v>
      </c>
      <c r="AS119" s="69">
        <v>807.95</v>
      </c>
      <c r="AT119" s="69">
        <f>6.05+110</f>
        <v>116.05</v>
      </c>
      <c r="AU119" s="69">
        <v>310.75</v>
      </c>
      <c r="AV119" s="69">
        <v>55</v>
      </c>
      <c r="BC119" s="69"/>
      <c r="BD119" s="69"/>
      <c r="CD119" s="94">
        <f t="shared" si="13"/>
        <v>1289.75</v>
      </c>
      <c r="CE119" s="73">
        <f t="shared" si="14"/>
        <v>0</v>
      </c>
      <c r="CF119" s="75">
        <f t="shared" si="15"/>
        <v>5121</v>
      </c>
      <c r="CG119" s="69" t="str">
        <f t="shared" si="15"/>
        <v xml:space="preserve">خدمة عامة </v>
      </c>
    </row>
    <row r="120" spans="2:85" x14ac:dyDescent="0.25">
      <c r="B120" s="78">
        <v>8818</v>
      </c>
      <c r="C120" s="70">
        <v>5122</v>
      </c>
      <c r="D120" s="69" t="s">
        <v>137</v>
      </c>
      <c r="E120" s="79" t="s">
        <v>2696</v>
      </c>
      <c r="G120" s="69">
        <v>820.75</v>
      </c>
      <c r="T120" s="69"/>
      <c r="U120" s="69"/>
      <c r="AR120" s="94">
        <f t="shared" si="12"/>
        <v>820.75</v>
      </c>
      <c r="AS120" s="69">
        <v>513.95000000000005</v>
      </c>
      <c r="AT120" s="69">
        <v>74.05</v>
      </c>
      <c r="AU120" s="69">
        <v>197.75</v>
      </c>
      <c r="AV120" s="69">
        <v>35</v>
      </c>
      <c r="BC120" s="69"/>
      <c r="BD120" s="69"/>
      <c r="CD120" s="94">
        <f t="shared" si="13"/>
        <v>820.75</v>
      </c>
      <c r="CE120" s="73">
        <f t="shared" si="14"/>
        <v>0</v>
      </c>
      <c r="CF120" s="75">
        <f t="shared" si="15"/>
        <v>5122</v>
      </c>
      <c r="CG120" s="69" t="str">
        <f t="shared" si="15"/>
        <v xml:space="preserve">خدمة عامة </v>
      </c>
    </row>
    <row r="121" spans="2:85" x14ac:dyDescent="0.25">
      <c r="B121" s="78">
        <v>9265</v>
      </c>
      <c r="C121" s="70">
        <v>5123</v>
      </c>
      <c r="D121" s="69" t="s">
        <v>125</v>
      </c>
      <c r="E121" s="79" t="s">
        <v>2697</v>
      </c>
      <c r="G121" s="69">
        <v>10404.25</v>
      </c>
      <c r="T121" s="69"/>
      <c r="U121" s="69"/>
      <c r="AR121" s="94">
        <f t="shared" si="12"/>
        <v>10404.25</v>
      </c>
      <c r="AS121" s="69">
        <v>7419.65</v>
      </c>
      <c r="AT121" s="69">
        <v>1012.85</v>
      </c>
      <c r="AU121" s="69">
        <v>1497.25</v>
      </c>
      <c r="AV121" s="69">
        <v>474.5</v>
      </c>
      <c r="BC121" s="69"/>
      <c r="BD121" s="69"/>
      <c r="CD121" s="94">
        <f t="shared" si="13"/>
        <v>10404.25</v>
      </c>
      <c r="CE121" s="73">
        <f t="shared" si="14"/>
        <v>0</v>
      </c>
      <c r="CF121" s="75">
        <f t="shared" si="15"/>
        <v>5123</v>
      </c>
      <c r="CG121" s="69" t="str">
        <f t="shared" si="15"/>
        <v>اختبار مواد</v>
      </c>
    </row>
    <row r="122" spans="2:85" x14ac:dyDescent="0.25">
      <c r="B122" s="78">
        <v>9262</v>
      </c>
      <c r="C122" s="70">
        <v>5124</v>
      </c>
      <c r="D122" s="69" t="s">
        <v>122</v>
      </c>
      <c r="E122" s="79" t="s">
        <v>2698</v>
      </c>
      <c r="G122" s="69">
        <v>3797.31</v>
      </c>
      <c r="T122" s="69"/>
      <c r="U122" s="69"/>
      <c r="AR122" s="94">
        <f t="shared" si="12"/>
        <v>3797.31</v>
      </c>
      <c r="AS122" s="69">
        <v>2589.71</v>
      </c>
      <c r="AT122" s="69">
        <v>355.2</v>
      </c>
      <c r="AU122" s="69">
        <v>683.4</v>
      </c>
      <c r="AV122" s="69">
        <v>169</v>
      </c>
      <c r="BC122" s="69"/>
      <c r="BD122" s="69"/>
      <c r="CD122" s="94">
        <f t="shared" si="13"/>
        <v>3797.31</v>
      </c>
      <c r="CE122" s="73">
        <f t="shared" si="14"/>
        <v>0</v>
      </c>
      <c r="CF122" s="75">
        <f t="shared" si="15"/>
        <v>5124</v>
      </c>
      <c r="CG122" s="69" t="str">
        <f t="shared" si="15"/>
        <v>علاج تخصصى</v>
      </c>
    </row>
    <row r="123" spans="2:85" x14ac:dyDescent="0.25">
      <c r="B123" s="78">
        <v>9263</v>
      </c>
      <c r="C123" s="70">
        <v>5125</v>
      </c>
      <c r="D123" s="69" t="s">
        <v>122</v>
      </c>
      <c r="E123" s="79" t="s">
        <v>2698</v>
      </c>
      <c r="G123" s="69">
        <v>396.31</v>
      </c>
      <c r="T123" s="69"/>
      <c r="U123" s="69"/>
      <c r="AR123" s="94">
        <f t="shared" si="12"/>
        <v>396.31</v>
      </c>
      <c r="AS123" s="69">
        <v>248.47</v>
      </c>
      <c r="AT123" s="69">
        <v>35.450000000000003</v>
      </c>
      <c r="AU123" s="69">
        <v>95.49</v>
      </c>
      <c r="AV123" s="69">
        <v>16.899999999999999</v>
      </c>
      <c r="BC123" s="69"/>
      <c r="BD123" s="69"/>
      <c r="CD123" s="94">
        <f t="shared" si="13"/>
        <v>396.31</v>
      </c>
      <c r="CE123" s="73">
        <f t="shared" si="14"/>
        <v>0</v>
      </c>
      <c r="CF123" s="75">
        <f t="shared" si="15"/>
        <v>5125</v>
      </c>
      <c r="CG123" s="69" t="str">
        <f t="shared" si="15"/>
        <v>علاج تخصصى</v>
      </c>
    </row>
    <row r="124" spans="2:85" x14ac:dyDescent="0.25">
      <c r="B124" s="78">
        <v>9262</v>
      </c>
      <c r="C124" s="70">
        <v>5126</v>
      </c>
      <c r="D124" s="69" t="s">
        <v>123</v>
      </c>
      <c r="E124" s="79" t="s">
        <v>2699</v>
      </c>
      <c r="G124" s="69">
        <v>3327.56</v>
      </c>
      <c r="T124" s="69"/>
      <c r="U124" s="69"/>
      <c r="AR124" s="94">
        <f t="shared" si="12"/>
        <v>3327.56</v>
      </c>
      <c r="AS124" s="69">
        <v>2083.02</v>
      </c>
      <c r="AT124" s="69">
        <v>300.89999999999998</v>
      </c>
      <c r="AU124" s="69">
        <v>801.74</v>
      </c>
      <c r="AV124" s="69">
        <v>141.9</v>
      </c>
      <c r="BC124" s="69"/>
      <c r="BD124" s="69"/>
      <c r="CD124" s="94">
        <f t="shared" si="13"/>
        <v>3327.56</v>
      </c>
      <c r="CE124" s="73">
        <f t="shared" si="14"/>
        <v>0</v>
      </c>
      <c r="CF124" s="75">
        <f t="shared" si="15"/>
        <v>5126</v>
      </c>
      <c r="CG124" s="69" t="str">
        <f t="shared" si="15"/>
        <v>خ ت اسنان</v>
      </c>
    </row>
    <row r="125" spans="2:85" x14ac:dyDescent="0.25">
      <c r="B125" s="78">
        <v>9261</v>
      </c>
      <c r="C125" s="70">
        <v>5127</v>
      </c>
      <c r="D125" s="69" t="s">
        <v>123</v>
      </c>
      <c r="E125" s="79" t="s">
        <v>2699</v>
      </c>
      <c r="G125" s="69">
        <v>31902.22</v>
      </c>
      <c r="T125" s="69"/>
      <c r="U125" s="69"/>
      <c r="AR125" s="94">
        <f t="shared" si="12"/>
        <v>31902.22</v>
      </c>
      <c r="AS125" s="69">
        <v>24937.79</v>
      </c>
      <c r="AT125" s="69">
        <v>3276.4</v>
      </c>
      <c r="AU125" s="69">
        <v>2158.83</v>
      </c>
      <c r="AV125" s="69">
        <v>1529.2</v>
      </c>
      <c r="BC125" s="69"/>
      <c r="BD125" s="69"/>
      <c r="CD125" s="94">
        <f t="shared" si="13"/>
        <v>31902.220000000005</v>
      </c>
      <c r="CE125" s="73">
        <f t="shared" si="14"/>
        <v>0</v>
      </c>
      <c r="CF125" s="75">
        <f t="shared" si="15"/>
        <v>5127</v>
      </c>
      <c r="CG125" s="69" t="str">
        <f t="shared" si="15"/>
        <v>خ ت اسنان</v>
      </c>
    </row>
    <row r="126" spans="2:85" x14ac:dyDescent="0.25">
      <c r="B126" s="78">
        <v>9096</v>
      </c>
      <c r="C126" s="70">
        <v>5128</v>
      </c>
      <c r="D126" s="69" t="s">
        <v>123</v>
      </c>
      <c r="E126" s="79" t="s">
        <v>1562</v>
      </c>
      <c r="G126" s="69">
        <v>950</v>
      </c>
      <c r="T126" s="69"/>
      <c r="U126" s="69"/>
      <c r="AR126" s="94">
        <f t="shared" si="12"/>
        <v>950</v>
      </c>
      <c r="AS126" s="69">
        <v>716.96</v>
      </c>
      <c r="AT126" s="69">
        <v>185.54</v>
      </c>
      <c r="AV126" s="69">
        <v>47.5</v>
      </c>
      <c r="BC126" s="69"/>
      <c r="BD126" s="69"/>
      <c r="CD126" s="94">
        <f t="shared" si="13"/>
        <v>950</v>
      </c>
      <c r="CE126" s="73">
        <f t="shared" si="14"/>
        <v>0</v>
      </c>
      <c r="CF126" s="75">
        <f t="shared" si="15"/>
        <v>5128</v>
      </c>
      <c r="CG126" s="69" t="str">
        <f t="shared" si="15"/>
        <v>خ ت اسنان</v>
      </c>
    </row>
    <row r="127" spans="2:85" x14ac:dyDescent="0.25">
      <c r="B127" s="78">
        <v>9095</v>
      </c>
      <c r="C127" s="70">
        <v>5129</v>
      </c>
      <c r="D127" s="69" t="s">
        <v>123</v>
      </c>
      <c r="E127" s="79" t="s">
        <v>1562</v>
      </c>
      <c r="G127" s="69">
        <v>400</v>
      </c>
      <c r="T127" s="69"/>
      <c r="U127" s="69"/>
      <c r="AR127" s="94">
        <f t="shared" si="12"/>
        <v>400</v>
      </c>
      <c r="AS127" s="69">
        <v>302.16000000000003</v>
      </c>
      <c r="AT127" s="69">
        <v>77.84</v>
      </c>
      <c r="AV127" s="69">
        <v>20</v>
      </c>
      <c r="BC127" s="69"/>
      <c r="BD127" s="69"/>
      <c r="CD127" s="94">
        <f t="shared" si="13"/>
        <v>400</v>
      </c>
      <c r="CE127" s="73">
        <f t="shared" si="14"/>
        <v>0</v>
      </c>
      <c r="CF127" s="75">
        <f t="shared" si="15"/>
        <v>5129</v>
      </c>
      <c r="CG127" s="69" t="str">
        <f t="shared" si="15"/>
        <v>خ ت اسنان</v>
      </c>
    </row>
    <row r="128" spans="2:85" x14ac:dyDescent="0.25">
      <c r="B128" s="78">
        <v>9087</v>
      </c>
      <c r="C128" s="70">
        <v>5130</v>
      </c>
      <c r="D128" s="69" t="s">
        <v>123</v>
      </c>
      <c r="E128" s="79" t="s">
        <v>1562</v>
      </c>
      <c r="G128" s="69">
        <v>1594.88</v>
      </c>
      <c r="T128" s="69"/>
      <c r="U128" s="69"/>
      <c r="AR128" s="94">
        <f t="shared" si="12"/>
        <v>1594.88</v>
      </c>
      <c r="AS128" s="69">
        <v>1084.08</v>
      </c>
      <c r="AT128" s="69">
        <v>280.42</v>
      </c>
      <c r="AU128" s="69">
        <v>155.38</v>
      </c>
      <c r="AV128" s="69">
        <v>75</v>
      </c>
      <c r="BC128" s="69"/>
      <c r="BD128" s="69"/>
      <c r="CD128" s="94">
        <f t="shared" si="13"/>
        <v>1594.88</v>
      </c>
      <c r="CE128" s="73">
        <f t="shared" si="14"/>
        <v>0</v>
      </c>
      <c r="CF128" s="75">
        <f t="shared" si="15"/>
        <v>5130</v>
      </c>
      <c r="CG128" s="69" t="str">
        <f t="shared" si="15"/>
        <v>خ ت اسنان</v>
      </c>
    </row>
    <row r="129" spans="2:85" x14ac:dyDescent="0.25">
      <c r="B129" s="78">
        <v>9088</v>
      </c>
      <c r="C129" s="70">
        <v>5131</v>
      </c>
      <c r="D129" s="69" t="s">
        <v>123</v>
      </c>
      <c r="E129" s="79" t="s">
        <v>1562</v>
      </c>
      <c r="G129" s="69">
        <v>400</v>
      </c>
      <c r="T129" s="69"/>
      <c r="U129" s="69"/>
      <c r="AR129" s="94">
        <f t="shared" si="12"/>
        <v>400</v>
      </c>
      <c r="AS129" s="69">
        <v>302.16000000000003</v>
      </c>
      <c r="AT129" s="69">
        <v>77.84</v>
      </c>
      <c r="AV129" s="69">
        <v>20</v>
      </c>
      <c r="BC129" s="69"/>
      <c r="BD129" s="69"/>
      <c r="CD129" s="94">
        <f t="shared" si="13"/>
        <v>400</v>
      </c>
      <c r="CE129" s="73">
        <f t="shared" si="14"/>
        <v>0</v>
      </c>
      <c r="CF129" s="75">
        <f t="shared" si="15"/>
        <v>5131</v>
      </c>
      <c r="CG129" s="69" t="str">
        <f t="shared" si="15"/>
        <v>خ ت اسنان</v>
      </c>
    </row>
    <row r="130" spans="2:85" x14ac:dyDescent="0.25">
      <c r="B130" s="78">
        <v>9092</v>
      </c>
      <c r="C130" s="70">
        <v>5132</v>
      </c>
      <c r="D130" s="69" t="s">
        <v>123</v>
      </c>
      <c r="E130" s="79" t="s">
        <v>1562</v>
      </c>
      <c r="G130" s="69">
        <v>950</v>
      </c>
      <c r="T130" s="69"/>
      <c r="U130" s="69"/>
      <c r="AR130" s="94">
        <f t="shared" si="12"/>
        <v>950</v>
      </c>
      <c r="AS130" s="69">
        <v>716.96</v>
      </c>
      <c r="AT130" s="69">
        <v>185.54</v>
      </c>
      <c r="AV130" s="69">
        <v>47.5</v>
      </c>
      <c r="BC130" s="69"/>
      <c r="BD130" s="69"/>
      <c r="CD130" s="94">
        <f t="shared" si="13"/>
        <v>950</v>
      </c>
      <c r="CE130" s="73">
        <f t="shared" si="14"/>
        <v>0</v>
      </c>
      <c r="CF130" s="75">
        <f t="shared" si="15"/>
        <v>5132</v>
      </c>
      <c r="CG130" s="69" t="str">
        <f t="shared" si="15"/>
        <v>خ ت اسنان</v>
      </c>
    </row>
    <row r="131" spans="2:85" x14ac:dyDescent="0.25">
      <c r="B131" s="78">
        <v>9052</v>
      </c>
      <c r="C131" s="70">
        <v>5133</v>
      </c>
      <c r="D131" s="69" t="s">
        <v>123</v>
      </c>
      <c r="E131" s="79" t="s">
        <v>1562</v>
      </c>
      <c r="G131" s="69">
        <v>469</v>
      </c>
      <c r="T131" s="69"/>
      <c r="U131" s="69"/>
      <c r="AR131" s="94">
        <f t="shared" si="12"/>
        <v>469</v>
      </c>
      <c r="AS131" s="69">
        <v>314</v>
      </c>
      <c r="AT131" s="69">
        <v>42</v>
      </c>
      <c r="AU131" s="69">
        <v>113</v>
      </c>
      <c r="BC131" s="69"/>
      <c r="BD131" s="69"/>
      <c r="CD131" s="94">
        <f t="shared" si="13"/>
        <v>469</v>
      </c>
      <c r="CE131" s="73">
        <f t="shared" si="14"/>
        <v>0</v>
      </c>
      <c r="CF131" s="75">
        <f t="shared" si="15"/>
        <v>5133</v>
      </c>
      <c r="CG131" s="69" t="str">
        <f t="shared" si="15"/>
        <v>خ ت اسنان</v>
      </c>
    </row>
    <row r="132" spans="2:85" x14ac:dyDescent="0.25">
      <c r="B132" s="78">
        <v>9059</v>
      </c>
      <c r="C132" s="70">
        <v>5134</v>
      </c>
      <c r="D132" s="69" t="s">
        <v>123</v>
      </c>
      <c r="E132" s="79" t="s">
        <v>1562</v>
      </c>
      <c r="G132" s="69">
        <v>469</v>
      </c>
      <c r="T132" s="69"/>
      <c r="U132" s="69"/>
      <c r="AR132" s="94">
        <f t="shared" si="12"/>
        <v>469</v>
      </c>
      <c r="AS132" s="69">
        <v>314</v>
      </c>
      <c r="AT132" s="69">
        <v>42</v>
      </c>
      <c r="AU132" s="69">
        <v>113</v>
      </c>
      <c r="BC132" s="69"/>
      <c r="BD132" s="69"/>
      <c r="CD132" s="94">
        <f t="shared" si="13"/>
        <v>469</v>
      </c>
      <c r="CE132" s="73">
        <f t="shared" si="14"/>
        <v>0</v>
      </c>
      <c r="CF132" s="75">
        <f t="shared" si="15"/>
        <v>5134</v>
      </c>
      <c r="CG132" s="69" t="str">
        <f t="shared" si="15"/>
        <v>خ ت اسنان</v>
      </c>
    </row>
    <row r="133" spans="2:85" x14ac:dyDescent="0.25">
      <c r="B133" s="78">
        <v>9066</v>
      </c>
      <c r="C133" s="70">
        <v>5135</v>
      </c>
      <c r="D133" s="69" t="s">
        <v>123</v>
      </c>
      <c r="E133" s="79" t="s">
        <v>1562</v>
      </c>
      <c r="G133" s="69">
        <v>469</v>
      </c>
      <c r="T133" s="69"/>
      <c r="U133" s="69"/>
      <c r="AR133" s="94">
        <f t="shared" si="12"/>
        <v>469</v>
      </c>
      <c r="AS133" s="69">
        <v>314</v>
      </c>
      <c r="AT133" s="69">
        <v>42</v>
      </c>
      <c r="AU133" s="69">
        <v>113</v>
      </c>
      <c r="BC133" s="69"/>
      <c r="BD133" s="69"/>
      <c r="CD133" s="94">
        <f t="shared" si="13"/>
        <v>469</v>
      </c>
      <c r="CE133" s="73">
        <f t="shared" si="14"/>
        <v>0</v>
      </c>
      <c r="CF133" s="75">
        <f t="shared" si="15"/>
        <v>5135</v>
      </c>
      <c r="CG133" s="69" t="str">
        <f t="shared" si="15"/>
        <v>خ ت اسنان</v>
      </c>
    </row>
    <row r="134" spans="2:85" x14ac:dyDescent="0.25">
      <c r="B134" s="78">
        <v>9078</v>
      </c>
      <c r="C134" s="70">
        <v>5136</v>
      </c>
      <c r="D134" s="69" t="s">
        <v>123</v>
      </c>
      <c r="E134" s="79" t="s">
        <v>1562</v>
      </c>
      <c r="G134" s="69">
        <v>469</v>
      </c>
      <c r="T134" s="69"/>
      <c r="U134" s="69"/>
      <c r="AR134" s="94">
        <f t="shared" si="12"/>
        <v>469</v>
      </c>
      <c r="AS134" s="69">
        <v>314</v>
      </c>
      <c r="AT134" s="69">
        <v>42</v>
      </c>
      <c r="AU134" s="69">
        <v>113</v>
      </c>
      <c r="BC134" s="69"/>
      <c r="BD134" s="69"/>
      <c r="CD134" s="94">
        <f t="shared" si="13"/>
        <v>469</v>
      </c>
      <c r="CE134" s="73">
        <f t="shared" si="14"/>
        <v>0</v>
      </c>
      <c r="CF134" s="75">
        <f t="shared" si="15"/>
        <v>5136</v>
      </c>
      <c r="CG134" s="69" t="str">
        <f t="shared" si="15"/>
        <v>خ ت اسنان</v>
      </c>
    </row>
    <row r="135" spans="2:85" x14ac:dyDescent="0.25">
      <c r="B135" s="78">
        <v>9085</v>
      </c>
      <c r="C135" s="70">
        <v>5137</v>
      </c>
      <c r="D135" s="69" t="s">
        <v>123</v>
      </c>
      <c r="E135" s="79" t="s">
        <v>1562</v>
      </c>
      <c r="G135" s="69">
        <v>469</v>
      </c>
      <c r="T135" s="69"/>
      <c r="U135" s="69"/>
      <c r="AR135" s="94">
        <f t="shared" si="12"/>
        <v>469</v>
      </c>
      <c r="AS135" s="69">
        <v>314</v>
      </c>
      <c r="AT135" s="69">
        <v>42</v>
      </c>
      <c r="AU135" s="69">
        <v>113</v>
      </c>
      <c r="BC135" s="69"/>
      <c r="BD135" s="69"/>
      <c r="CD135" s="94">
        <f t="shared" si="13"/>
        <v>469</v>
      </c>
      <c r="CE135" s="73">
        <f t="shared" si="14"/>
        <v>0</v>
      </c>
      <c r="CF135" s="75">
        <f t="shared" si="15"/>
        <v>5137</v>
      </c>
      <c r="CG135" s="69" t="str">
        <f t="shared" si="15"/>
        <v>خ ت اسنان</v>
      </c>
    </row>
    <row r="136" spans="2:85" x14ac:dyDescent="0.25">
      <c r="B136" s="78">
        <v>9109</v>
      </c>
      <c r="C136" s="70">
        <v>5138</v>
      </c>
      <c r="D136" s="69" t="s">
        <v>123</v>
      </c>
      <c r="E136" s="79" t="s">
        <v>1562</v>
      </c>
      <c r="G136" s="69">
        <v>1661.04</v>
      </c>
      <c r="T136" s="69"/>
      <c r="U136" s="69"/>
      <c r="AR136" s="94">
        <f t="shared" si="12"/>
        <v>1661.04</v>
      </c>
      <c r="AS136" s="69">
        <v>1110.95</v>
      </c>
      <c r="AT136" s="69">
        <f>8.2+141.67</f>
        <v>149.86999999999998</v>
      </c>
      <c r="AU136" s="69">
        <v>400.22</v>
      </c>
      <c r="BC136" s="69"/>
      <c r="BD136" s="69"/>
      <c r="CD136" s="94">
        <f t="shared" si="13"/>
        <v>1661.04</v>
      </c>
      <c r="CE136" s="73">
        <f t="shared" si="14"/>
        <v>0</v>
      </c>
      <c r="CF136" s="75">
        <f t="shared" si="15"/>
        <v>5138</v>
      </c>
      <c r="CG136" s="69" t="str">
        <f t="shared" si="15"/>
        <v>خ ت اسنان</v>
      </c>
    </row>
    <row r="137" spans="2:85" x14ac:dyDescent="0.25">
      <c r="B137" s="78">
        <v>9090</v>
      </c>
      <c r="C137" s="70">
        <v>5139</v>
      </c>
      <c r="D137" s="69" t="s">
        <v>123</v>
      </c>
      <c r="E137" s="79" t="s">
        <v>1562</v>
      </c>
      <c r="G137" s="69">
        <v>469</v>
      </c>
      <c r="T137" s="69"/>
      <c r="U137" s="69"/>
      <c r="AR137" s="94">
        <f t="shared" si="12"/>
        <v>469</v>
      </c>
      <c r="AS137" s="69">
        <v>314</v>
      </c>
      <c r="AT137" s="69">
        <v>42</v>
      </c>
      <c r="AU137" s="69">
        <v>113</v>
      </c>
      <c r="BC137" s="69"/>
      <c r="BD137" s="69"/>
      <c r="CD137" s="94">
        <f t="shared" si="13"/>
        <v>469</v>
      </c>
      <c r="CE137" s="73">
        <f t="shared" si="14"/>
        <v>0</v>
      </c>
      <c r="CF137" s="75">
        <f t="shared" si="15"/>
        <v>5139</v>
      </c>
      <c r="CG137" s="69" t="str">
        <f t="shared" si="15"/>
        <v>خ ت اسنان</v>
      </c>
    </row>
    <row r="138" spans="2:85" x14ac:dyDescent="0.25">
      <c r="B138" s="78">
        <v>9051</v>
      </c>
      <c r="C138" s="70">
        <v>5140</v>
      </c>
      <c r="D138" s="69" t="s">
        <v>123</v>
      </c>
      <c r="E138" s="79" t="s">
        <v>1562</v>
      </c>
      <c r="G138" s="69">
        <v>366.66</v>
      </c>
      <c r="T138" s="69"/>
      <c r="U138" s="69"/>
      <c r="AR138" s="94">
        <f t="shared" si="12"/>
        <v>366.66</v>
      </c>
      <c r="AS138" s="69">
        <v>276.98</v>
      </c>
      <c r="AT138" s="69">
        <v>71.349999999999994</v>
      </c>
      <c r="AV138" s="69">
        <v>18.329999999999998</v>
      </c>
      <c r="BC138" s="69"/>
      <c r="BD138" s="69"/>
      <c r="CD138" s="94">
        <f t="shared" si="13"/>
        <v>366.66</v>
      </c>
      <c r="CE138" s="73">
        <f t="shared" si="14"/>
        <v>0</v>
      </c>
      <c r="CF138" s="75">
        <f t="shared" si="15"/>
        <v>5140</v>
      </c>
      <c r="CG138" s="69" t="str">
        <f t="shared" si="15"/>
        <v>خ ت اسنان</v>
      </c>
    </row>
    <row r="139" spans="2:85" x14ac:dyDescent="0.25">
      <c r="B139" s="78">
        <v>9055</v>
      </c>
      <c r="C139" s="70">
        <v>5141</v>
      </c>
      <c r="D139" s="69" t="s">
        <v>123</v>
      </c>
      <c r="E139" s="79" t="s">
        <v>1562</v>
      </c>
      <c r="G139" s="69">
        <v>766.66</v>
      </c>
      <c r="T139" s="69"/>
      <c r="U139" s="69"/>
      <c r="AR139" s="94">
        <f t="shared" si="12"/>
        <v>766.66</v>
      </c>
      <c r="AS139" s="69">
        <v>578.62</v>
      </c>
      <c r="AT139" s="69">
        <v>149.71</v>
      </c>
      <c r="AV139" s="69">
        <v>38.33</v>
      </c>
      <c r="BC139" s="69"/>
      <c r="BD139" s="69"/>
      <c r="CD139" s="94">
        <f t="shared" si="13"/>
        <v>766.66000000000008</v>
      </c>
      <c r="CE139" s="73">
        <f t="shared" si="14"/>
        <v>0</v>
      </c>
      <c r="CF139" s="75">
        <f t="shared" si="15"/>
        <v>5141</v>
      </c>
      <c r="CG139" s="69" t="str">
        <f t="shared" si="15"/>
        <v>خ ت اسنان</v>
      </c>
    </row>
    <row r="140" spans="2:85" x14ac:dyDescent="0.25">
      <c r="B140" s="78">
        <v>9057</v>
      </c>
      <c r="C140" s="70">
        <v>5142</v>
      </c>
      <c r="D140" s="69" t="s">
        <v>123</v>
      </c>
      <c r="E140" s="79" t="s">
        <v>1562</v>
      </c>
      <c r="G140" s="69">
        <v>1166.6600000000001</v>
      </c>
      <c r="T140" s="69"/>
      <c r="U140" s="69"/>
      <c r="AR140" s="94">
        <f t="shared" si="12"/>
        <v>1166.6600000000001</v>
      </c>
      <c r="AS140" s="69">
        <v>916.95</v>
      </c>
      <c r="AT140" s="69">
        <v>191.38</v>
      </c>
      <c r="AV140" s="69">
        <v>58.33</v>
      </c>
      <c r="BC140" s="69"/>
      <c r="BD140" s="69"/>
      <c r="CD140" s="94">
        <f t="shared" si="13"/>
        <v>1166.6599999999999</v>
      </c>
      <c r="CE140" s="73">
        <f t="shared" si="14"/>
        <v>0</v>
      </c>
      <c r="CF140" s="75">
        <f t="shared" si="15"/>
        <v>5142</v>
      </c>
      <c r="CG140" s="69" t="str">
        <f t="shared" si="15"/>
        <v>خ ت اسنان</v>
      </c>
    </row>
    <row r="141" spans="2:85" x14ac:dyDescent="0.25">
      <c r="B141" s="78">
        <v>9061</v>
      </c>
      <c r="C141" s="70">
        <v>5143</v>
      </c>
      <c r="D141" s="69" t="s">
        <v>123</v>
      </c>
      <c r="E141" s="79" t="s">
        <v>1562</v>
      </c>
      <c r="G141" s="69">
        <v>400</v>
      </c>
      <c r="T141" s="69"/>
      <c r="U141" s="69"/>
      <c r="AR141" s="94">
        <f t="shared" si="12"/>
        <v>400</v>
      </c>
      <c r="AS141" s="69">
        <v>302.16000000000003</v>
      </c>
      <c r="AT141" s="69">
        <v>77.84</v>
      </c>
      <c r="AV141" s="69">
        <v>20</v>
      </c>
      <c r="BC141" s="69"/>
      <c r="BD141" s="69"/>
      <c r="CD141" s="94">
        <f t="shared" si="13"/>
        <v>400</v>
      </c>
      <c r="CE141" s="73">
        <f t="shared" si="14"/>
        <v>0</v>
      </c>
      <c r="CF141" s="75">
        <f t="shared" si="15"/>
        <v>5143</v>
      </c>
      <c r="CG141" s="69" t="str">
        <f t="shared" si="15"/>
        <v>خ ت اسنان</v>
      </c>
    </row>
    <row r="142" spans="2:85" x14ac:dyDescent="0.25">
      <c r="B142" s="78">
        <v>9063</v>
      </c>
      <c r="C142" s="70">
        <v>5144</v>
      </c>
      <c r="D142" s="69" t="s">
        <v>123</v>
      </c>
      <c r="E142" s="79" t="s">
        <v>1562</v>
      </c>
      <c r="G142" s="69">
        <v>366.66</v>
      </c>
      <c r="T142" s="69"/>
      <c r="U142" s="69"/>
      <c r="AR142" s="94">
        <f t="shared" si="12"/>
        <v>366.66</v>
      </c>
      <c r="AS142" s="69">
        <v>276.98</v>
      </c>
      <c r="AT142" s="69">
        <v>71.349999999999994</v>
      </c>
      <c r="AV142" s="69">
        <v>18.329999999999998</v>
      </c>
      <c r="BC142" s="69"/>
      <c r="BD142" s="69"/>
      <c r="CD142" s="94">
        <f t="shared" si="13"/>
        <v>366.66</v>
      </c>
      <c r="CE142" s="73">
        <f t="shared" si="14"/>
        <v>0</v>
      </c>
      <c r="CF142" s="75">
        <f t="shared" si="15"/>
        <v>5144</v>
      </c>
      <c r="CG142" s="69" t="str">
        <f t="shared" si="15"/>
        <v>خ ت اسنان</v>
      </c>
    </row>
    <row r="143" spans="2:85" x14ac:dyDescent="0.25">
      <c r="B143" s="78">
        <v>9065</v>
      </c>
      <c r="C143" s="70">
        <v>5145</v>
      </c>
      <c r="D143" s="69" t="s">
        <v>123</v>
      </c>
      <c r="E143" s="79" t="s">
        <v>1562</v>
      </c>
      <c r="G143" s="69">
        <v>1533.32</v>
      </c>
      <c r="T143" s="69"/>
      <c r="U143" s="69"/>
      <c r="AR143" s="94">
        <f t="shared" si="12"/>
        <v>1533.32</v>
      </c>
      <c r="AS143" s="69">
        <v>1193.4100000000001</v>
      </c>
      <c r="AT143" s="69">
        <v>263.25</v>
      </c>
      <c r="AV143" s="69">
        <v>76.66</v>
      </c>
      <c r="BC143" s="69"/>
      <c r="BD143" s="69"/>
      <c r="CD143" s="94">
        <f t="shared" si="13"/>
        <v>1533.3200000000002</v>
      </c>
      <c r="CE143" s="73">
        <f t="shared" si="14"/>
        <v>0</v>
      </c>
      <c r="CF143" s="75">
        <f t="shared" si="15"/>
        <v>5145</v>
      </c>
      <c r="CG143" s="69" t="str">
        <f t="shared" si="15"/>
        <v>خ ت اسنان</v>
      </c>
    </row>
    <row r="144" spans="2:85" x14ac:dyDescent="0.25">
      <c r="B144" s="78">
        <v>9069</v>
      </c>
      <c r="C144" s="70">
        <v>5146</v>
      </c>
      <c r="D144" s="69" t="s">
        <v>123</v>
      </c>
      <c r="E144" s="79" t="s">
        <v>1562</v>
      </c>
      <c r="G144" s="69">
        <v>1596.57</v>
      </c>
      <c r="T144" s="69"/>
      <c r="U144" s="69"/>
      <c r="AR144" s="94">
        <f t="shared" ref="AR144:AR175" si="16">SUM(G144:AQ144)</f>
        <v>1596.57</v>
      </c>
      <c r="AS144" s="69">
        <v>1141.04</v>
      </c>
      <c r="AT144" s="69">
        <v>275.27999999999997</v>
      </c>
      <c r="AU144" s="69">
        <v>103.59</v>
      </c>
      <c r="AV144" s="69">
        <v>76.66</v>
      </c>
      <c r="BC144" s="69"/>
      <c r="BD144" s="69"/>
      <c r="CD144" s="94">
        <f t="shared" ref="CD144:CD207" si="17">SUM(AS144:CC144)</f>
        <v>1596.57</v>
      </c>
      <c r="CE144" s="73">
        <f t="shared" si="14"/>
        <v>0</v>
      </c>
      <c r="CF144" s="75">
        <f t="shared" ref="CF144:CG175" si="18">+C144</f>
        <v>5146</v>
      </c>
      <c r="CG144" s="69" t="str">
        <f t="shared" si="18"/>
        <v>خ ت اسنان</v>
      </c>
    </row>
    <row r="145" spans="2:85" x14ac:dyDescent="0.25">
      <c r="B145" s="78">
        <v>9070</v>
      </c>
      <c r="C145" s="70">
        <v>5147</v>
      </c>
      <c r="D145" s="69" t="s">
        <v>123</v>
      </c>
      <c r="E145" s="79" t="s">
        <v>1562</v>
      </c>
      <c r="G145" s="69">
        <v>366.66</v>
      </c>
      <c r="T145" s="69"/>
      <c r="U145" s="69"/>
      <c r="AR145" s="94">
        <f t="shared" si="16"/>
        <v>366.66</v>
      </c>
      <c r="AS145" s="69">
        <v>276.98</v>
      </c>
      <c r="AT145" s="69">
        <v>71.349999999999994</v>
      </c>
      <c r="AV145" s="69">
        <v>18.329999999999998</v>
      </c>
      <c r="BC145" s="69"/>
      <c r="BD145" s="69"/>
      <c r="CD145" s="94">
        <f t="shared" si="17"/>
        <v>366.66</v>
      </c>
      <c r="CE145" s="73">
        <f t="shared" si="14"/>
        <v>0</v>
      </c>
      <c r="CF145" s="75">
        <f t="shared" si="18"/>
        <v>5147</v>
      </c>
      <c r="CG145" s="69" t="str">
        <f t="shared" si="18"/>
        <v>خ ت اسنان</v>
      </c>
    </row>
    <row r="146" spans="2:85" x14ac:dyDescent="0.25">
      <c r="B146" s="78">
        <v>9073</v>
      </c>
      <c r="C146" s="70">
        <v>5148</v>
      </c>
      <c r="D146" s="69" t="s">
        <v>123</v>
      </c>
      <c r="E146" s="79" t="s">
        <v>1562</v>
      </c>
      <c r="G146" s="69">
        <v>950</v>
      </c>
      <c r="T146" s="69"/>
      <c r="U146" s="69"/>
      <c r="AR146" s="94">
        <f t="shared" si="16"/>
        <v>950</v>
      </c>
      <c r="AS146" s="69">
        <v>743.31</v>
      </c>
      <c r="AT146" s="69">
        <v>159.19</v>
      </c>
      <c r="AV146" s="69">
        <v>47.5</v>
      </c>
      <c r="BC146" s="69"/>
      <c r="BD146" s="69"/>
      <c r="CD146" s="94">
        <f t="shared" si="17"/>
        <v>950</v>
      </c>
      <c r="CE146" s="73">
        <f t="shared" si="14"/>
        <v>0</v>
      </c>
      <c r="CF146" s="75">
        <f t="shared" si="18"/>
        <v>5148</v>
      </c>
      <c r="CG146" s="69" t="str">
        <f t="shared" si="18"/>
        <v>خ ت اسنان</v>
      </c>
    </row>
    <row r="147" spans="2:85" x14ac:dyDescent="0.25">
      <c r="B147" s="78">
        <v>9075</v>
      </c>
      <c r="C147" s="70">
        <v>5149</v>
      </c>
      <c r="D147" s="69" t="s">
        <v>123</v>
      </c>
      <c r="E147" s="79" t="s">
        <v>1562</v>
      </c>
      <c r="G147" s="69">
        <v>950</v>
      </c>
      <c r="T147" s="69"/>
      <c r="U147" s="69"/>
      <c r="AR147" s="94">
        <f t="shared" si="16"/>
        <v>950</v>
      </c>
      <c r="AS147" s="69">
        <v>716.96</v>
      </c>
      <c r="AT147" s="69">
        <v>185.54</v>
      </c>
      <c r="AV147" s="69">
        <v>47.5</v>
      </c>
      <c r="BC147" s="69"/>
      <c r="BD147" s="69"/>
      <c r="CD147" s="94">
        <f t="shared" si="17"/>
        <v>950</v>
      </c>
      <c r="CE147" s="73">
        <f t="shared" si="14"/>
        <v>0</v>
      </c>
      <c r="CF147" s="75">
        <f t="shared" si="18"/>
        <v>5149</v>
      </c>
      <c r="CG147" s="69" t="str">
        <f t="shared" si="18"/>
        <v>خ ت اسنان</v>
      </c>
    </row>
    <row r="148" spans="2:85" x14ac:dyDescent="0.25">
      <c r="B148" s="78">
        <v>9079</v>
      </c>
      <c r="C148" s="70">
        <v>5150</v>
      </c>
      <c r="D148" s="69" t="s">
        <v>123</v>
      </c>
      <c r="E148" s="79" t="s">
        <v>1562</v>
      </c>
      <c r="G148" s="69">
        <v>400</v>
      </c>
      <c r="T148" s="69"/>
      <c r="U148" s="69"/>
      <c r="AR148" s="94">
        <f t="shared" si="16"/>
        <v>400</v>
      </c>
      <c r="AS148" s="69">
        <v>302.16000000000003</v>
      </c>
      <c r="AT148" s="69">
        <v>77.84</v>
      </c>
      <c r="AV148" s="69">
        <v>20</v>
      </c>
      <c r="BC148" s="69"/>
      <c r="BD148" s="69"/>
      <c r="CD148" s="94">
        <f t="shared" si="17"/>
        <v>400</v>
      </c>
      <c r="CE148" s="73">
        <f t="shared" si="14"/>
        <v>0</v>
      </c>
      <c r="CF148" s="75">
        <f t="shared" si="18"/>
        <v>5150</v>
      </c>
      <c r="CG148" s="69" t="str">
        <f t="shared" si="18"/>
        <v>خ ت اسنان</v>
      </c>
    </row>
    <row r="149" spans="2:85" x14ac:dyDescent="0.25">
      <c r="B149" s="78">
        <v>9082</v>
      </c>
      <c r="C149" s="70">
        <v>5151</v>
      </c>
      <c r="D149" s="69" t="s">
        <v>123</v>
      </c>
      <c r="E149" s="79" t="s">
        <v>1562</v>
      </c>
      <c r="G149" s="69">
        <v>1589.53</v>
      </c>
      <c r="T149" s="69"/>
      <c r="U149" s="69"/>
      <c r="AR149" s="94">
        <f t="shared" si="16"/>
        <v>1589.53</v>
      </c>
      <c r="AS149" s="69">
        <v>1109.92</v>
      </c>
      <c r="AT149" s="69">
        <v>257.99</v>
      </c>
      <c r="AU149" s="69">
        <v>146.62</v>
      </c>
      <c r="AV149" s="69">
        <v>75</v>
      </c>
      <c r="BC149" s="69"/>
      <c r="BD149" s="69"/>
      <c r="CD149" s="94">
        <f t="shared" si="17"/>
        <v>1589.5300000000002</v>
      </c>
      <c r="CE149" s="73">
        <f t="shared" si="14"/>
        <v>0</v>
      </c>
      <c r="CF149" s="75">
        <f t="shared" si="18"/>
        <v>5151</v>
      </c>
      <c r="CG149" s="69" t="str">
        <f t="shared" si="18"/>
        <v>خ ت اسنان</v>
      </c>
    </row>
    <row r="150" spans="2:85" x14ac:dyDescent="0.25">
      <c r="B150" s="78">
        <v>9101</v>
      </c>
      <c r="C150" s="70">
        <v>5152</v>
      </c>
      <c r="D150" s="69" t="s">
        <v>123</v>
      </c>
      <c r="E150" s="79" t="s">
        <v>425</v>
      </c>
      <c r="G150" s="69">
        <v>2166.66</v>
      </c>
      <c r="T150" s="69"/>
      <c r="U150" s="69"/>
      <c r="AR150" s="94">
        <f t="shared" si="16"/>
        <v>2166.66</v>
      </c>
      <c r="AS150" s="69">
        <v>1634.54</v>
      </c>
      <c r="AT150" s="69">
        <v>423.79</v>
      </c>
      <c r="AV150" s="69">
        <v>108.33</v>
      </c>
      <c r="BC150" s="69"/>
      <c r="BD150" s="69"/>
      <c r="CD150" s="94">
        <f t="shared" si="17"/>
        <v>2166.66</v>
      </c>
      <c r="CE150" s="73">
        <f t="shared" si="14"/>
        <v>0</v>
      </c>
      <c r="CF150" s="75">
        <f t="shared" si="18"/>
        <v>5152</v>
      </c>
      <c r="CG150" s="69" t="str">
        <f t="shared" si="18"/>
        <v>خ ت اسنان</v>
      </c>
    </row>
    <row r="151" spans="2:85" x14ac:dyDescent="0.25">
      <c r="B151" s="78">
        <v>9102</v>
      </c>
      <c r="C151" s="70">
        <v>5153</v>
      </c>
      <c r="D151" s="69" t="s">
        <v>123</v>
      </c>
      <c r="E151" s="79" t="s">
        <v>425</v>
      </c>
      <c r="G151" s="69">
        <v>1416.66</v>
      </c>
      <c r="T151" s="69"/>
      <c r="U151" s="69"/>
      <c r="AR151" s="94">
        <f t="shared" si="16"/>
        <v>1416.66</v>
      </c>
      <c r="AS151" s="69">
        <v>1068.46</v>
      </c>
      <c r="AT151" s="69">
        <v>277.37</v>
      </c>
      <c r="AV151" s="69">
        <v>70.83</v>
      </c>
      <c r="BC151" s="69"/>
      <c r="BD151" s="69"/>
      <c r="CD151" s="94">
        <f t="shared" si="17"/>
        <v>1416.6599999999999</v>
      </c>
      <c r="CE151" s="73">
        <f t="shared" si="14"/>
        <v>0</v>
      </c>
      <c r="CF151" s="75">
        <f t="shared" si="18"/>
        <v>5153</v>
      </c>
      <c r="CG151" s="69" t="str">
        <f t="shared" si="18"/>
        <v>خ ت اسنان</v>
      </c>
    </row>
    <row r="152" spans="2:85" x14ac:dyDescent="0.25">
      <c r="B152" s="78">
        <v>9107</v>
      </c>
      <c r="C152" s="70">
        <v>5154</v>
      </c>
      <c r="D152" s="69" t="s">
        <v>123</v>
      </c>
      <c r="E152" s="79" t="s">
        <v>425</v>
      </c>
      <c r="G152" s="69">
        <v>2166.66</v>
      </c>
      <c r="T152" s="69"/>
      <c r="U152" s="69"/>
      <c r="AR152" s="94">
        <f t="shared" si="16"/>
        <v>2166.66</v>
      </c>
      <c r="AS152" s="69">
        <v>1634.54</v>
      </c>
      <c r="AT152" s="69">
        <v>423.79</v>
      </c>
      <c r="AV152" s="69">
        <v>108.33</v>
      </c>
      <c r="BC152" s="69"/>
      <c r="BD152" s="69"/>
      <c r="CD152" s="94">
        <f t="shared" si="17"/>
        <v>2166.66</v>
      </c>
      <c r="CE152" s="73">
        <f t="shared" si="14"/>
        <v>0</v>
      </c>
      <c r="CF152" s="75">
        <f t="shared" si="18"/>
        <v>5154</v>
      </c>
      <c r="CG152" s="69" t="str">
        <f t="shared" si="18"/>
        <v>خ ت اسنان</v>
      </c>
    </row>
    <row r="153" spans="2:85" x14ac:dyDescent="0.25">
      <c r="B153" s="78">
        <v>9110</v>
      </c>
      <c r="C153" s="70">
        <v>5155</v>
      </c>
      <c r="D153" s="69" t="s">
        <v>123</v>
      </c>
      <c r="E153" s="79" t="s">
        <v>425</v>
      </c>
      <c r="G153" s="69">
        <v>1416.66</v>
      </c>
      <c r="T153" s="69"/>
      <c r="U153" s="69"/>
      <c r="AR153" s="94">
        <f t="shared" si="16"/>
        <v>1416.66</v>
      </c>
      <c r="AS153" s="69">
        <v>1068.46</v>
      </c>
      <c r="AT153" s="69">
        <v>277.37</v>
      </c>
      <c r="AV153" s="69">
        <v>70.83</v>
      </c>
      <c r="BC153" s="69"/>
      <c r="BD153" s="69"/>
      <c r="CD153" s="94">
        <f t="shared" si="17"/>
        <v>1416.6599999999999</v>
      </c>
      <c r="CE153" s="73">
        <f t="shared" si="14"/>
        <v>0</v>
      </c>
      <c r="CF153" s="75">
        <f t="shared" si="18"/>
        <v>5155</v>
      </c>
      <c r="CG153" s="69" t="str">
        <f t="shared" si="18"/>
        <v>خ ت اسنان</v>
      </c>
    </row>
    <row r="154" spans="2:85" x14ac:dyDescent="0.25">
      <c r="B154" s="78">
        <v>9076</v>
      </c>
      <c r="C154" s="70">
        <v>5156</v>
      </c>
      <c r="D154" s="69" t="s">
        <v>123</v>
      </c>
      <c r="E154" s="79" t="str">
        <f>+E149</f>
        <v>مكافاه مناقشه ماجستير</v>
      </c>
      <c r="G154" s="69">
        <v>469</v>
      </c>
      <c r="T154" s="69"/>
      <c r="U154" s="69"/>
      <c r="AR154" s="94">
        <f t="shared" si="16"/>
        <v>469</v>
      </c>
      <c r="AS154" s="69">
        <v>314</v>
      </c>
      <c r="AT154" s="69">
        <v>42</v>
      </c>
      <c r="AU154" s="69">
        <v>113</v>
      </c>
      <c r="BC154" s="69"/>
      <c r="BD154" s="69"/>
      <c r="CD154" s="94">
        <f t="shared" si="17"/>
        <v>469</v>
      </c>
      <c r="CE154" s="73">
        <f t="shared" si="14"/>
        <v>0</v>
      </c>
      <c r="CF154" s="75">
        <f t="shared" si="18"/>
        <v>5156</v>
      </c>
      <c r="CG154" s="69" t="str">
        <f t="shared" si="18"/>
        <v>خ ت اسنان</v>
      </c>
    </row>
    <row r="155" spans="2:85" x14ac:dyDescent="0.25">
      <c r="B155" s="78">
        <v>8902</v>
      </c>
      <c r="C155" s="70">
        <v>5157</v>
      </c>
      <c r="D155" s="69" t="s">
        <v>132</v>
      </c>
      <c r="E155" s="79" t="s">
        <v>2700</v>
      </c>
      <c r="G155" s="69">
        <v>5000</v>
      </c>
      <c r="T155" s="69"/>
      <c r="U155" s="69"/>
      <c r="AR155" s="94">
        <f t="shared" si="16"/>
        <v>5000</v>
      </c>
      <c r="AS155" s="69">
        <v>4462.8500000000004</v>
      </c>
      <c r="AT155" s="69">
        <v>537.15</v>
      </c>
      <c r="BC155" s="69"/>
      <c r="BD155" s="69"/>
      <c r="CD155" s="94">
        <f t="shared" si="17"/>
        <v>5000</v>
      </c>
      <c r="CE155" s="73">
        <f t="shared" si="14"/>
        <v>0</v>
      </c>
      <c r="CF155" s="75">
        <f t="shared" si="18"/>
        <v>5157</v>
      </c>
      <c r="CG155" s="69" t="str">
        <f t="shared" si="18"/>
        <v>صيدلة اكلينيكى</v>
      </c>
    </row>
    <row r="156" spans="2:85" x14ac:dyDescent="0.25">
      <c r="B156" s="78">
        <v>8907</v>
      </c>
      <c r="C156" s="70">
        <v>5158</v>
      </c>
      <c r="D156" s="69" t="s">
        <v>132</v>
      </c>
      <c r="E156" s="79" t="s">
        <v>2700</v>
      </c>
      <c r="G156" s="69">
        <v>25000</v>
      </c>
      <c r="T156" s="69"/>
      <c r="U156" s="69"/>
      <c r="AR156" s="94">
        <f t="shared" si="16"/>
        <v>25000</v>
      </c>
      <c r="AS156" s="69">
        <v>22375.4</v>
      </c>
      <c r="AT156" s="69">
        <v>2624.6</v>
      </c>
      <c r="BC156" s="69"/>
      <c r="BD156" s="69"/>
      <c r="CD156" s="94">
        <f t="shared" si="17"/>
        <v>25000</v>
      </c>
      <c r="CE156" s="73">
        <f t="shared" si="14"/>
        <v>0</v>
      </c>
      <c r="CF156" s="75">
        <f t="shared" si="18"/>
        <v>5158</v>
      </c>
      <c r="CG156" s="69" t="str">
        <f t="shared" si="18"/>
        <v>صيدلة اكلينيكى</v>
      </c>
    </row>
    <row r="157" spans="2:85" x14ac:dyDescent="0.25">
      <c r="B157" s="78">
        <v>8913</v>
      </c>
      <c r="C157" s="70">
        <v>5159</v>
      </c>
      <c r="D157" s="69" t="s">
        <v>132</v>
      </c>
      <c r="E157" s="79" t="s">
        <v>2700</v>
      </c>
      <c r="G157" s="69">
        <v>76000</v>
      </c>
      <c r="T157" s="69"/>
      <c r="U157" s="69"/>
      <c r="AR157" s="94">
        <f t="shared" si="16"/>
        <v>76000</v>
      </c>
      <c r="AS157" s="69">
        <v>67879.399999999994</v>
      </c>
      <c r="AT157" s="69">
        <v>8120.6</v>
      </c>
      <c r="BC157" s="69"/>
      <c r="BD157" s="69"/>
      <c r="CD157" s="94">
        <f t="shared" si="17"/>
        <v>76000</v>
      </c>
      <c r="CE157" s="73">
        <f t="shared" si="14"/>
        <v>0</v>
      </c>
      <c r="CF157" s="75">
        <f t="shared" si="18"/>
        <v>5159</v>
      </c>
      <c r="CG157" s="69" t="str">
        <f t="shared" si="18"/>
        <v>صيدلة اكلينيكى</v>
      </c>
    </row>
    <row r="158" spans="2:85" x14ac:dyDescent="0.25">
      <c r="B158" s="78">
        <v>8904</v>
      </c>
      <c r="C158" s="70">
        <v>5160</v>
      </c>
      <c r="D158" s="69" t="s">
        <v>132</v>
      </c>
      <c r="E158" s="79" t="s">
        <v>2700</v>
      </c>
      <c r="G158" s="69">
        <v>44000</v>
      </c>
      <c r="T158" s="69"/>
      <c r="U158" s="69"/>
      <c r="AR158" s="94">
        <f t="shared" si="16"/>
        <v>44000</v>
      </c>
      <c r="AS158" s="69">
        <v>39297.050000000003</v>
      </c>
      <c r="AT158" s="69">
        <v>4702.95</v>
      </c>
      <c r="BC158" s="69"/>
      <c r="BD158" s="69"/>
      <c r="CD158" s="94">
        <f t="shared" si="17"/>
        <v>44000</v>
      </c>
      <c r="CE158" s="73">
        <f t="shared" si="14"/>
        <v>0</v>
      </c>
      <c r="CF158" s="75">
        <f t="shared" si="18"/>
        <v>5160</v>
      </c>
      <c r="CG158" s="69" t="str">
        <f t="shared" si="18"/>
        <v>صيدلة اكلينيكى</v>
      </c>
    </row>
    <row r="159" spans="2:85" x14ac:dyDescent="0.25">
      <c r="B159" s="78">
        <v>8906</v>
      </c>
      <c r="C159" s="70">
        <v>5161</v>
      </c>
      <c r="D159" s="69" t="s">
        <v>132</v>
      </c>
      <c r="E159" s="79" t="s">
        <v>2700</v>
      </c>
      <c r="G159" s="69">
        <v>36000</v>
      </c>
      <c r="T159" s="69"/>
      <c r="U159" s="69"/>
      <c r="AR159" s="94">
        <f t="shared" si="16"/>
        <v>36000</v>
      </c>
      <c r="AS159" s="69">
        <v>32242.400000000001</v>
      </c>
      <c r="AT159" s="69">
        <v>3757.6</v>
      </c>
      <c r="BC159" s="69"/>
      <c r="BD159" s="69"/>
      <c r="CD159" s="94">
        <f t="shared" si="17"/>
        <v>36000</v>
      </c>
      <c r="CE159" s="73">
        <f t="shared" si="14"/>
        <v>0</v>
      </c>
      <c r="CF159" s="75">
        <f t="shared" si="18"/>
        <v>5161</v>
      </c>
      <c r="CG159" s="69" t="str">
        <f t="shared" si="18"/>
        <v>صيدلة اكلينيكى</v>
      </c>
    </row>
    <row r="160" spans="2:85" x14ac:dyDescent="0.25">
      <c r="B160" s="78">
        <v>8903</v>
      </c>
      <c r="C160" s="70">
        <v>5162</v>
      </c>
      <c r="D160" s="69" t="s">
        <v>132</v>
      </c>
      <c r="E160" s="79" t="s">
        <v>2700</v>
      </c>
      <c r="G160" s="69">
        <v>17820</v>
      </c>
      <c r="T160" s="69"/>
      <c r="U160" s="69"/>
      <c r="AR160" s="94">
        <f t="shared" si="16"/>
        <v>17820</v>
      </c>
      <c r="AS160" s="69">
        <v>17820</v>
      </c>
      <c r="AT160" s="69"/>
      <c r="BC160" s="69"/>
      <c r="BD160" s="69"/>
      <c r="CD160" s="94">
        <f t="shared" si="17"/>
        <v>17820</v>
      </c>
      <c r="CE160" s="73">
        <f t="shared" si="14"/>
        <v>0</v>
      </c>
      <c r="CF160" s="75">
        <f t="shared" si="18"/>
        <v>5162</v>
      </c>
      <c r="CG160" s="69" t="str">
        <f t="shared" si="18"/>
        <v>صيدلة اكلينيكى</v>
      </c>
    </row>
    <row r="161" spans="2:85" x14ac:dyDescent="0.25">
      <c r="B161" s="78">
        <v>8905</v>
      </c>
      <c r="C161" s="70">
        <v>5163</v>
      </c>
      <c r="D161" s="69" t="s">
        <v>132</v>
      </c>
      <c r="E161" s="79" t="s">
        <v>2700</v>
      </c>
      <c r="G161" s="69">
        <v>21780.48</v>
      </c>
      <c r="T161" s="69"/>
      <c r="U161" s="69"/>
      <c r="AR161" s="94">
        <f t="shared" si="16"/>
        <v>21780.48</v>
      </c>
      <c r="AS161" s="69">
        <v>21780.48</v>
      </c>
      <c r="AT161" s="69"/>
      <c r="BC161" s="69"/>
      <c r="BD161" s="69"/>
      <c r="CD161" s="94">
        <f t="shared" si="17"/>
        <v>21780.48</v>
      </c>
      <c r="CE161" s="73">
        <f t="shared" si="14"/>
        <v>0</v>
      </c>
      <c r="CF161" s="75">
        <f t="shared" si="18"/>
        <v>5163</v>
      </c>
      <c r="CG161" s="69" t="str">
        <f t="shared" si="18"/>
        <v>صيدلة اكلينيكى</v>
      </c>
    </row>
    <row r="162" spans="2:85" x14ac:dyDescent="0.25">
      <c r="B162" s="78">
        <v>8908</v>
      </c>
      <c r="C162" s="70">
        <v>5164</v>
      </c>
      <c r="D162" s="69" t="s">
        <v>132</v>
      </c>
      <c r="E162" s="79" t="s">
        <v>2700</v>
      </c>
      <c r="G162" s="69">
        <v>35000</v>
      </c>
      <c r="T162" s="69"/>
      <c r="U162" s="69"/>
      <c r="AR162" s="94">
        <f t="shared" si="16"/>
        <v>35000</v>
      </c>
      <c r="AS162" s="69">
        <v>31234.05</v>
      </c>
      <c r="AT162" s="69">
        <v>3765.95</v>
      </c>
      <c r="BC162" s="69"/>
      <c r="BD162" s="69"/>
      <c r="CD162" s="94">
        <f t="shared" si="17"/>
        <v>35000</v>
      </c>
      <c r="CE162" s="73">
        <f t="shared" si="14"/>
        <v>0</v>
      </c>
      <c r="CF162" s="75">
        <f t="shared" si="18"/>
        <v>5164</v>
      </c>
      <c r="CG162" s="69" t="str">
        <f t="shared" si="18"/>
        <v>صيدلة اكلينيكى</v>
      </c>
    </row>
    <row r="163" spans="2:85" x14ac:dyDescent="0.25">
      <c r="B163" s="78">
        <v>8910</v>
      </c>
      <c r="C163" s="70">
        <v>5165</v>
      </c>
      <c r="D163" s="69" t="s">
        <v>132</v>
      </c>
      <c r="E163" s="79" t="s">
        <v>2700</v>
      </c>
      <c r="G163" s="69">
        <v>37000</v>
      </c>
      <c r="T163" s="69"/>
      <c r="U163" s="69"/>
      <c r="AR163" s="94">
        <f t="shared" si="16"/>
        <v>37000</v>
      </c>
      <c r="AS163" s="69">
        <v>33089.800000000003</v>
      </c>
      <c r="AT163" s="69">
        <v>3910.2</v>
      </c>
      <c r="BC163" s="69"/>
      <c r="BD163" s="69"/>
      <c r="CD163" s="94">
        <f t="shared" si="17"/>
        <v>37000</v>
      </c>
      <c r="CE163" s="73">
        <f t="shared" si="14"/>
        <v>0</v>
      </c>
      <c r="CF163" s="75">
        <f t="shared" si="18"/>
        <v>5165</v>
      </c>
      <c r="CG163" s="69" t="str">
        <f t="shared" si="18"/>
        <v>صيدلة اكلينيكى</v>
      </c>
    </row>
    <row r="164" spans="2:85" x14ac:dyDescent="0.25">
      <c r="B164" s="78">
        <v>8909</v>
      </c>
      <c r="C164" s="70">
        <v>5166</v>
      </c>
      <c r="D164" s="69" t="s">
        <v>132</v>
      </c>
      <c r="E164" s="79" t="s">
        <v>2700</v>
      </c>
      <c r="G164" s="69">
        <v>38000</v>
      </c>
      <c r="T164" s="69"/>
      <c r="U164" s="69"/>
      <c r="AR164" s="94">
        <f t="shared" si="16"/>
        <v>38000</v>
      </c>
      <c r="AS164" s="69">
        <v>33969.65</v>
      </c>
      <c r="AT164" s="69">
        <v>4030.35</v>
      </c>
      <c r="BC164" s="69"/>
      <c r="BD164" s="69"/>
      <c r="CD164" s="94">
        <f t="shared" si="17"/>
        <v>38000</v>
      </c>
      <c r="CE164" s="73">
        <f t="shared" si="14"/>
        <v>0</v>
      </c>
      <c r="CF164" s="75">
        <f t="shared" si="18"/>
        <v>5166</v>
      </c>
      <c r="CG164" s="69" t="str">
        <f t="shared" si="18"/>
        <v>صيدلة اكلينيكى</v>
      </c>
    </row>
    <row r="165" spans="2:85" x14ac:dyDescent="0.25">
      <c r="B165" s="78">
        <v>8911</v>
      </c>
      <c r="C165" s="70">
        <v>5167</v>
      </c>
      <c r="D165" s="69" t="s">
        <v>132</v>
      </c>
      <c r="E165" s="79" t="s">
        <v>2700</v>
      </c>
      <c r="G165" s="69">
        <v>100000</v>
      </c>
      <c r="T165" s="69"/>
      <c r="U165" s="69"/>
      <c r="AR165" s="94">
        <f t="shared" si="16"/>
        <v>100000</v>
      </c>
      <c r="AS165" s="69">
        <v>89434.85</v>
      </c>
      <c r="AT165" s="69">
        <v>10565.15</v>
      </c>
      <c r="BC165" s="69"/>
      <c r="BD165" s="69"/>
      <c r="CD165" s="94">
        <f t="shared" si="17"/>
        <v>100000</v>
      </c>
      <c r="CE165" s="73">
        <f t="shared" si="14"/>
        <v>0</v>
      </c>
      <c r="CF165" s="75">
        <f t="shared" si="18"/>
        <v>5167</v>
      </c>
      <c r="CG165" s="69" t="str">
        <f t="shared" si="18"/>
        <v>صيدلة اكلينيكى</v>
      </c>
    </row>
    <row r="166" spans="2:85" ht="36" x14ac:dyDescent="0.25">
      <c r="B166" s="78"/>
      <c r="C166" s="70">
        <v>5168</v>
      </c>
      <c r="E166" s="99" t="s">
        <v>2701</v>
      </c>
      <c r="T166" s="69"/>
      <c r="U166" s="69"/>
      <c r="AR166" s="94">
        <f t="shared" si="16"/>
        <v>0</v>
      </c>
      <c r="AT166" s="69"/>
      <c r="BC166" s="69"/>
      <c r="BD166" s="69"/>
      <c r="CD166" s="94">
        <f t="shared" si="17"/>
        <v>0</v>
      </c>
      <c r="CE166" s="73">
        <f t="shared" si="14"/>
        <v>0</v>
      </c>
      <c r="CF166" s="75">
        <f t="shared" si="18"/>
        <v>5168</v>
      </c>
      <c r="CG166" s="69">
        <f t="shared" si="18"/>
        <v>0</v>
      </c>
    </row>
    <row r="167" spans="2:85" x14ac:dyDescent="0.25">
      <c r="B167" s="78">
        <v>8912</v>
      </c>
      <c r="C167" s="70">
        <v>5169</v>
      </c>
      <c r="D167" s="69" t="s">
        <v>132</v>
      </c>
      <c r="E167" s="79" t="str">
        <f>+E165</f>
        <v xml:space="preserve">مكافاه نشر علمى </v>
      </c>
      <c r="G167" s="69">
        <v>21858.47</v>
      </c>
      <c r="T167" s="69"/>
      <c r="U167" s="69"/>
      <c r="AR167" s="94">
        <f t="shared" si="16"/>
        <v>21858.47</v>
      </c>
      <c r="AS167" s="69">
        <v>21858.47</v>
      </c>
      <c r="AT167" s="69"/>
      <c r="BC167" s="69"/>
      <c r="BD167" s="69"/>
      <c r="CD167" s="94">
        <f t="shared" si="17"/>
        <v>21858.47</v>
      </c>
      <c r="CE167" s="73">
        <f t="shared" si="14"/>
        <v>0</v>
      </c>
      <c r="CF167" s="75">
        <f t="shared" si="18"/>
        <v>5169</v>
      </c>
      <c r="CG167" s="69" t="str">
        <f t="shared" si="18"/>
        <v>صيدلة اكلينيكى</v>
      </c>
    </row>
    <row r="168" spans="2:85" x14ac:dyDescent="0.25">
      <c r="B168" s="78">
        <v>9100</v>
      </c>
      <c r="C168" s="70">
        <v>5170</v>
      </c>
      <c r="D168" s="69" t="s">
        <v>132</v>
      </c>
      <c r="E168" s="79" t="s">
        <v>2700</v>
      </c>
      <c r="G168" s="69">
        <v>21858.47</v>
      </c>
      <c r="T168" s="69"/>
      <c r="U168" s="69"/>
      <c r="AR168" s="94">
        <f t="shared" si="16"/>
        <v>21858.47</v>
      </c>
      <c r="AS168" s="69">
        <v>21858.47</v>
      </c>
      <c r="AT168" s="69"/>
      <c r="BC168" s="69"/>
      <c r="BD168" s="69"/>
      <c r="CD168" s="94">
        <f t="shared" si="17"/>
        <v>21858.47</v>
      </c>
      <c r="CE168" s="73">
        <f t="shared" si="14"/>
        <v>0</v>
      </c>
      <c r="CF168" s="75">
        <f t="shared" si="18"/>
        <v>5170</v>
      </c>
      <c r="CG168" s="69" t="str">
        <f t="shared" si="18"/>
        <v>صيدلة اكلينيكى</v>
      </c>
    </row>
    <row r="169" spans="2:85" x14ac:dyDescent="0.25">
      <c r="B169" s="78">
        <v>9176</v>
      </c>
      <c r="C169" s="70">
        <v>5171</v>
      </c>
      <c r="D169" s="69" t="s">
        <v>132</v>
      </c>
      <c r="E169" s="79" t="s">
        <v>2702</v>
      </c>
      <c r="G169" s="69">
        <v>586.25</v>
      </c>
      <c r="T169" s="69"/>
      <c r="U169" s="69"/>
      <c r="AR169" s="94">
        <f t="shared" si="16"/>
        <v>586.25</v>
      </c>
      <c r="AS169" s="69">
        <v>391.85</v>
      </c>
      <c r="AT169" s="69">
        <f>3.15+50</f>
        <v>53.15</v>
      </c>
      <c r="AU169" s="69">
        <v>141.25</v>
      </c>
      <c r="BC169" s="69"/>
      <c r="BD169" s="69"/>
      <c r="CD169" s="94">
        <f t="shared" si="17"/>
        <v>586.25</v>
      </c>
      <c r="CE169" s="73">
        <f t="shared" si="14"/>
        <v>0</v>
      </c>
      <c r="CF169" s="75">
        <f t="shared" si="18"/>
        <v>5171</v>
      </c>
      <c r="CG169" s="69" t="str">
        <f t="shared" si="18"/>
        <v>صيدلة اكلينيكى</v>
      </c>
    </row>
    <row r="170" spans="2:85" x14ac:dyDescent="0.25">
      <c r="B170" s="78">
        <v>9172</v>
      </c>
      <c r="C170" s="70">
        <v>5172</v>
      </c>
      <c r="D170" s="69" t="s">
        <v>132</v>
      </c>
      <c r="E170" s="79" t="s">
        <v>2703</v>
      </c>
      <c r="G170" s="69">
        <v>351.75</v>
      </c>
      <c r="T170" s="69"/>
      <c r="U170" s="69"/>
      <c r="AR170" s="94">
        <f t="shared" si="16"/>
        <v>351.75</v>
      </c>
      <c r="AS170" s="69">
        <v>235.55</v>
      </c>
      <c r="AT170" s="69">
        <v>31.45</v>
      </c>
      <c r="AU170" s="69">
        <v>84.75</v>
      </c>
      <c r="BC170" s="69"/>
      <c r="BD170" s="69"/>
      <c r="CD170" s="94">
        <f t="shared" si="17"/>
        <v>351.75</v>
      </c>
      <c r="CE170" s="73">
        <f t="shared" si="14"/>
        <v>0</v>
      </c>
      <c r="CF170" s="75">
        <f t="shared" si="18"/>
        <v>5172</v>
      </c>
      <c r="CG170" s="69" t="str">
        <f t="shared" si="18"/>
        <v>صيدلة اكلينيكى</v>
      </c>
    </row>
    <row r="171" spans="2:85" x14ac:dyDescent="0.25">
      <c r="B171" s="78">
        <v>9339</v>
      </c>
      <c r="C171" s="70">
        <v>5173</v>
      </c>
      <c r="D171" s="69" t="s">
        <v>132</v>
      </c>
      <c r="E171" s="79" t="s">
        <v>2704</v>
      </c>
      <c r="G171" s="69">
        <v>586.25</v>
      </c>
      <c r="T171" s="69"/>
      <c r="U171" s="69"/>
      <c r="AR171" s="94">
        <f t="shared" si="16"/>
        <v>586.25</v>
      </c>
      <c r="AS171" s="69">
        <v>392.4</v>
      </c>
      <c r="AT171" s="69">
        <v>52.6</v>
      </c>
      <c r="AU171" s="69">
        <v>141.25</v>
      </c>
      <c r="BC171" s="69"/>
      <c r="BD171" s="69"/>
      <c r="CD171" s="94">
        <f t="shared" si="17"/>
        <v>586.25</v>
      </c>
      <c r="CE171" s="73">
        <f t="shared" si="14"/>
        <v>0</v>
      </c>
      <c r="CF171" s="75">
        <f t="shared" si="18"/>
        <v>5173</v>
      </c>
      <c r="CG171" s="69" t="str">
        <f t="shared" si="18"/>
        <v>صيدلة اكلينيكى</v>
      </c>
    </row>
    <row r="172" spans="2:85" x14ac:dyDescent="0.25">
      <c r="B172" s="78">
        <v>9171</v>
      </c>
      <c r="C172" s="70">
        <v>5174</v>
      </c>
      <c r="D172" s="69" t="s">
        <v>132</v>
      </c>
      <c r="E172" s="79" t="s">
        <v>2705</v>
      </c>
      <c r="G172" s="69">
        <v>3106.25</v>
      </c>
      <c r="T172" s="69"/>
      <c r="U172" s="69"/>
      <c r="AR172" s="94">
        <f t="shared" si="16"/>
        <v>3106.25</v>
      </c>
      <c r="AS172" s="69">
        <v>2642.2</v>
      </c>
      <c r="AT172" s="69">
        <v>322.8</v>
      </c>
      <c r="AU172" s="69">
        <v>141.25</v>
      </c>
      <c r="BC172" s="69"/>
      <c r="BD172" s="69"/>
      <c r="CD172" s="94">
        <f t="shared" si="17"/>
        <v>3106.25</v>
      </c>
      <c r="CE172" s="73">
        <f t="shared" si="14"/>
        <v>0</v>
      </c>
      <c r="CF172" s="75">
        <f t="shared" si="18"/>
        <v>5174</v>
      </c>
      <c r="CG172" s="69" t="str">
        <f t="shared" si="18"/>
        <v>صيدلة اكلينيكى</v>
      </c>
    </row>
    <row r="173" spans="2:85" x14ac:dyDescent="0.25">
      <c r="B173" s="78">
        <v>9340</v>
      </c>
      <c r="C173" s="70">
        <v>5175</v>
      </c>
      <c r="D173" s="69" t="s">
        <v>132</v>
      </c>
      <c r="E173" s="79" t="s">
        <v>2706</v>
      </c>
      <c r="G173" s="69">
        <v>3500</v>
      </c>
      <c r="T173" s="69"/>
      <c r="U173" s="69"/>
      <c r="AR173" s="94">
        <f t="shared" si="16"/>
        <v>3500</v>
      </c>
      <c r="AS173" s="69">
        <v>3129.35</v>
      </c>
      <c r="AT173" s="69">
        <v>370.65</v>
      </c>
      <c r="BC173" s="69"/>
      <c r="BD173" s="69"/>
      <c r="CD173" s="94">
        <f t="shared" si="17"/>
        <v>3500</v>
      </c>
      <c r="CE173" s="73">
        <f t="shared" si="14"/>
        <v>0</v>
      </c>
      <c r="CF173" s="75">
        <f t="shared" si="18"/>
        <v>5175</v>
      </c>
      <c r="CG173" s="69" t="str">
        <f t="shared" si="18"/>
        <v>صيدلة اكلينيكى</v>
      </c>
    </row>
    <row r="174" spans="2:85" x14ac:dyDescent="0.25">
      <c r="B174" s="78">
        <v>9169</v>
      </c>
      <c r="C174" s="70">
        <v>5176</v>
      </c>
      <c r="D174" s="69" t="s">
        <v>132</v>
      </c>
      <c r="E174" s="79" t="s">
        <v>2707</v>
      </c>
      <c r="G174" s="69">
        <v>3300</v>
      </c>
      <c r="T174" s="69"/>
      <c r="U174" s="69"/>
      <c r="AR174" s="94">
        <f t="shared" si="16"/>
        <v>3300</v>
      </c>
      <c r="AS174" s="69">
        <v>2945.95</v>
      </c>
      <c r="AT174" s="69">
        <v>354.05</v>
      </c>
      <c r="BC174" s="69"/>
      <c r="BD174" s="69"/>
      <c r="CD174" s="94">
        <f t="shared" si="17"/>
        <v>3300</v>
      </c>
      <c r="CE174" s="73">
        <f t="shared" si="14"/>
        <v>0</v>
      </c>
      <c r="CF174" s="75">
        <f t="shared" si="18"/>
        <v>5176</v>
      </c>
      <c r="CG174" s="69" t="str">
        <f t="shared" si="18"/>
        <v>صيدلة اكلينيكى</v>
      </c>
    </row>
    <row r="175" spans="2:85" x14ac:dyDescent="0.25">
      <c r="B175" s="78">
        <v>9359</v>
      </c>
      <c r="C175" s="70">
        <v>5177</v>
      </c>
      <c r="D175" s="69" t="s">
        <v>132</v>
      </c>
      <c r="E175" s="79" t="s">
        <v>2708</v>
      </c>
      <c r="G175" s="69">
        <v>8182.88</v>
      </c>
      <c r="T175" s="69"/>
      <c r="U175" s="69"/>
      <c r="AR175" s="94">
        <f t="shared" si="16"/>
        <v>8182.88</v>
      </c>
      <c r="AS175" s="69">
        <v>7615.31</v>
      </c>
      <c r="AT175" s="69">
        <f>135+51.19</f>
        <v>186.19</v>
      </c>
      <c r="AU175" s="69">
        <v>381.38</v>
      </c>
      <c r="BC175" s="69"/>
      <c r="BD175" s="69"/>
      <c r="CD175" s="94">
        <f t="shared" si="17"/>
        <v>8182.88</v>
      </c>
      <c r="CE175" s="73">
        <f t="shared" si="14"/>
        <v>0</v>
      </c>
      <c r="CF175" s="75">
        <f t="shared" si="18"/>
        <v>5177</v>
      </c>
      <c r="CG175" s="69" t="str">
        <f t="shared" si="18"/>
        <v>صيدلة اكلينيكى</v>
      </c>
    </row>
    <row r="176" spans="2:85" x14ac:dyDescent="0.25">
      <c r="B176" s="78">
        <v>9337</v>
      </c>
      <c r="C176" s="70">
        <v>5178</v>
      </c>
      <c r="D176" s="69" t="s">
        <v>132</v>
      </c>
      <c r="E176" s="79" t="s">
        <v>2708</v>
      </c>
      <c r="G176" s="69">
        <v>586.25</v>
      </c>
      <c r="T176" s="69"/>
      <c r="U176" s="69"/>
      <c r="AR176" s="94">
        <f t="shared" ref="AR176:AR207" si="19">SUM(G176:AQ176)</f>
        <v>586.25</v>
      </c>
      <c r="AS176" s="69">
        <v>392.4</v>
      </c>
      <c r="AT176" s="69">
        <v>52.6</v>
      </c>
      <c r="AU176" s="69">
        <v>141.25</v>
      </c>
      <c r="BC176" s="69"/>
      <c r="BD176" s="69"/>
      <c r="CD176" s="94">
        <f t="shared" si="17"/>
        <v>586.25</v>
      </c>
      <c r="CE176" s="73">
        <f t="shared" ref="CE176:CE239" si="20">+CD176-AR176</f>
        <v>0</v>
      </c>
      <c r="CF176" s="75">
        <f t="shared" ref="CF176:CG207" si="21">+C176</f>
        <v>5178</v>
      </c>
      <c r="CG176" s="69" t="str">
        <f t="shared" si="21"/>
        <v>صيدلة اكلينيكى</v>
      </c>
    </row>
    <row r="177" spans="1:85" x14ac:dyDescent="0.25">
      <c r="B177" s="78">
        <v>9336</v>
      </c>
      <c r="C177" s="70">
        <v>5179</v>
      </c>
      <c r="D177" s="69" t="s">
        <v>132</v>
      </c>
      <c r="E177" s="79" t="s">
        <v>2708</v>
      </c>
      <c r="G177" s="69">
        <v>500</v>
      </c>
      <c r="T177" s="69"/>
      <c r="U177" s="69"/>
      <c r="AR177" s="94">
        <f t="shared" si="19"/>
        <v>500</v>
      </c>
      <c r="AS177" s="69">
        <v>447.05</v>
      </c>
      <c r="AT177" s="69">
        <v>52.95</v>
      </c>
      <c r="BC177" s="69"/>
      <c r="BD177" s="69"/>
      <c r="CD177" s="94">
        <f t="shared" si="17"/>
        <v>500</v>
      </c>
      <c r="CE177" s="73">
        <f t="shared" si="20"/>
        <v>0</v>
      </c>
      <c r="CF177" s="75">
        <f t="shared" si="21"/>
        <v>5179</v>
      </c>
      <c r="CG177" s="69" t="str">
        <f t="shared" si="21"/>
        <v>صيدلة اكلينيكى</v>
      </c>
    </row>
    <row r="178" spans="1:85" x14ac:dyDescent="0.25">
      <c r="B178" s="78">
        <v>9338</v>
      </c>
      <c r="C178" s="70">
        <v>5180</v>
      </c>
      <c r="D178" s="69" t="s">
        <v>132</v>
      </c>
      <c r="E178" s="79" t="s">
        <v>2708</v>
      </c>
      <c r="G178" s="69">
        <v>5910.61</v>
      </c>
      <c r="T178" s="69"/>
      <c r="U178" s="69"/>
      <c r="AR178" s="94">
        <f t="shared" si="19"/>
        <v>5910.61</v>
      </c>
      <c r="AS178" s="69">
        <v>4428.8</v>
      </c>
      <c r="AT178" s="69">
        <v>563.70000000000005</v>
      </c>
      <c r="AU178" s="69">
        <v>918.11</v>
      </c>
      <c r="BC178" s="69"/>
      <c r="BD178" s="69"/>
      <c r="CD178" s="94">
        <f t="shared" si="17"/>
        <v>5910.61</v>
      </c>
      <c r="CE178" s="73">
        <f t="shared" si="20"/>
        <v>0</v>
      </c>
      <c r="CF178" s="75">
        <f t="shared" si="21"/>
        <v>5180</v>
      </c>
      <c r="CG178" s="69" t="str">
        <f t="shared" si="21"/>
        <v>صيدلة اكلينيكى</v>
      </c>
    </row>
    <row r="179" spans="1:85" x14ac:dyDescent="0.25">
      <c r="B179" s="78">
        <v>9343</v>
      </c>
      <c r="C179" s="70">
        <v>5181</v>
      </c>
      <c r="D179" s="69" t="s">
        <v>132</v>
      </c>
      <c r="E179" s="79" t="s">
        <v>2709</v>
      </c>
      <c r="G179" s="69">
        <v>3570.27</v>
      </c>
      <c r="T179" s="69"/>
      <c r="U179" s="69"/>
      <c r="AR179" s="94">
        <f t="shared" si="19"/>
        <v>3570.27</v>
      </c>
      <c r="AS179" s="69">
        <v>2391.15</v>
      </c>
      <c r="AT179" s="69">
        <v>318.89999999999998</v>
      </c>
      <c r="AU179" s="69">
        <v>860.22</v>
      </c>
      <c r="BC179" s="69"/>
      <c r="BD179" s="69"/>
      <c r="CD179" s="94">
        <f t="shared" si="17"/>
        <v>3570.2700000000004</v>
      </c>
      <c r="CE179" s="73">
        <f t="shared" si="20"/>
        <v>0</v>
      </c>
      <c r="CF179" s="75">
        <f t="shared" si="21"/>
        <v>5181</v>
      </c>
      <c r="CG179" s="69" t="str">
        <f t="shared" si="21"/>
        <v>صيدلة اكلينيكى</v>
      </c>
    </row>
    <row r="180" spans="1:85" x14ac:dyDescent="0.25">
      <c r="B180" s="78">
        <v>9346</v>
      </c>
      <c r="C180" s="70">
        <v>5182</v>
      </c>
      <c r="D180" s="69" t="s">
        <v>132</v>
      </c>
      <c r="E180" s="79" t="s">
        <v>2709</v>
      </c>
      <c r="G180" s="69">
        <v>500</v>
      </c>
      <c r="T180" s="69"/>
      <c r="U180" s="69"/>
      <c r="AR180" s="94">
        <f t="shared" si="19"/>
        <v>500</v>
      </c>
      <c r="AS180" s="69">
        <v>447.05</v>
      </c>
      <c r="AT180" s="69">
        <v>52.95</v>
      </c>
      <c r="BC180" s="69"/>
      <c r="BD180" s="69"/>
      <c r="CD180" s="94">
        <f t="shared" si="17"/>
        <v>500</v>
      </c>
      <c r="CE180" s="73">
        <f t="shared" si="20"/>
        <v>0</v>
      </c>
      <c r="CF180" s="75">
        <f t="shared" si="21"/>
        <v>5182</v>
      </c>
      <c r="CG180" s="69" t="str">
        <f t="shared" si="21"/>
        <v>صيدلة اكلينيكى</v>
      </c>
    </row>
    <row r="181" spans="1:85" x14ac:dyDescent="0.25">
      <c r="B181" s="78">
        <v>9342</v>
      </c>
      <c r="C181" s="70">
        <v>5183</v>
      </c>
      <c r="D181" s="69" t="s">
        <v>132</v>
      </c>
      <c r="E181" s="79" t="s">
        <v>2709</v>
      </c>
      <c r="G181" s="69">
        <v>1360.1</v>
      </c>
      <c r="T181" s="69"/>
      <c r="U181" s="69"/>
      <c r="AR181" s="94">
        <f t="shared" si="19"/>
        <v>1360.1</v>
      </c>
      <c r="AS181" s="69">
        <v>910.35</v>
      </c>
      <c r="AT181" s="69">
        <v>122.05</v>
      </c>
      <c r="AU181" s="69">
        <v>327.7</v>
      </c>
      <c r="BC181" s="69"/>
      <c r="BD181" s="69"/>
      <c r="CD181" s="94">
        <f t="shared" si="17"/>
        <v>1360.1000000000001</v>
      </c>
      <c r="CE181" s="73">
        <f t="shared" si="20"/>
        <v>0</v>
      </c>
      <c r="CF181" s="75">
        <f t="shared" si="21"/>
        <v>5183</v>
      </c>
      <c r="CG181" s="69" t="str">
        <f t="shared" si="21"/>
        <v>صيدلة اكلينيكى</v>
      </c>
    </row>
    <row r="182" spans="1:85" x14ac:dyDescent="0.25">
      <c r="B182" s="78">
        <v>9341</v>
      </c>
      <c r="C182" s="70">
        <v>5184</v>
      </c>
      <c r="D182" s="69" t="s">
        <v>132</v>
      </c>
      <c r="E182" s="79" t="s">
        <v>2709</v>
      </c>
      <c r="G182" s="69">
        <v>703.5</v>
      </c>
      <c r="T182" s="69"/>
      <c r="U182" s="69"/>
      <c r="AR182" s="94">
        <f t="shared" si="19"/>
        <v>703.5</v>
      </c>
      <c r="AS182" s="69">
        <v>470.6</v>
      </c>
      <c r="AT182" s="69">
        <v>63.4</v>
      </c>
      <c r="AU182" s="69">
        <v>169.5</v>
      </c>
      <c r="BC182" s="69"/>
      <c r="BD182" s="69"/>
      <c r="CD182" s="94">
        <f t="shared" si="17"/>
        <v>703.5</v>
      </c>
      <c r="CE182" s="73">
        <f t="shared" si="20"/>
        <v>0</v>
      </c>
      <c r="CF182" s="75">
        <f t="shared" si="21"/>
        <v>5184</v>
      </c>
      <c r="CG182" s="69" t="str">
        <f t="shared" si="21"/>
        <v>صيدلة اكلينيكى</v>
      </c>
    </row>
    <row r="183" spans="1:85" x14ac:dyDescent="0.25">
      <c r="B183" s="78">
        <v>9347</v>
      </c>
      <c r="C183" s="70">
        <v>5185</v>
      </c>
      <c r="D183" s="69" t="s">
        <v>132</v>
      </c>
      <c r="E183" s="79" t="s">
        <v>2709</v>
      </c>
      <c r="G183" s="69">
        <v>350</v>
      </c>
      <c r="T183" s="69"/>
      <c r="U183" s="69"/>
      <c r="AR183" s="94">
        <f t="shared" si="19"/>
        <v>350</v>
      </c>
      <c r="AS183" s="69">
        <v>313.05</v>
      </c>
      <c r="AT183" s="69">
        <v>36.950000000000003</v>
      </c>
      <c r="BC183" s="69"/>
      <c r="BD183" s="69"/>
      <c r="CD183" s="94">
        <f t="shared" si="17"/>
        <v>350</v>
      </c>
      <c r="CE183" s="73">
        <f t="shared" si="20"/>
        <v>0</v>
      </c>
      <c r="CF183" s="75">
        <f t="shared" si="21"/>
        <v>5185</v>
      </c>
      <c r="CG183" s="69" t="str">
        <f t="shared" si="21"/>
        <v>صيدلة اكلينيكى</v>
      </c>
    </row>
    <row r="184" spans="1:85" x14ac:dyDescent="0.25">
      <c r="B184" s="78">
        <v>9344</v>
      </c>
      <c r="C184" s="70">
        <v>5186</v>
      </c>
      <c r="D184" s="69" t="s">
        <v>132</v>
      </c>
      <c r="E184" s="79" t="s">
        <v>2709</v>
      </c>
      <c r="G184" s="69">
        <v>351.75</v>
      </c>
      <c r="T184" s="69"/>
      <c r="U184" s="69"/>
      <c r="AR184" s="94">
        <f t="shared" si="19"/>
        <v>351.75</v>
      </c>
      <c r="AS184" s="69">
        <v>235.55</v>
      </c>
      <c r="AT184" s="69">
        <v>31.45</v>
      </c>
      <c r="AU184" s="69">
        <v>84.75</v>
      </c>
      <c r="BC184" s="69"/>
      <c r="BD184" s="69"/>
      <c r="CD184" s="94">
        <f t="shared" si="17"/>
        <v>351.75</v>
      </c>
      <c r="CE184" s="73">
        <f t="shared" si="20"/>
        <v>0</v>
      </c>
      <c r="CF184" s="75">
        <f t="shared" si="21"/>
        <v>5186</v>
      </c>
      <c r="CG184" s="69" t="str">
        <f t="shared" si="21"/>
        <v>صيدلة اكلينيكى</v>
      </c>
    </row>
    <row r="185" spans="1:85" x14ac:dyDescent="0.25">
      <c r="B185" s="78">
        <v>9345</v>
      </c>
      <c r="C185" s="70">
        <v>5187</v>
      </c>
      <c r="D185" s="69" t="s">
        <v>132</v>
      </c>
      <c r="E185" s="79" t="s">
        <v>2709</v>
      </c>
      <c r="G185" s="69">
        <v>26874.57</v>
      </c>
      <c r="T185" s="69"/>
      <c r="U185" s="69"/>
      <c r="AR185" s="94">
        <f t="shared" si="19"/>
        <v>26874.57</v>
      </c>
      <c r="AS185" s="69">
        <v>18369.46</v>
      </c>
      <c r="AT185" s="69">
        <v>2430</v>
      </c>
      <c r="AU185" s="69">
        <v>6075.11</v>
      </c>
      <c r="BC185" s="69"/>
      <c r="BD185" s="69"/>
      <c r="CD185" s="94">
        <f t="shared" si="17"/>
        <v>26874.57</v>
      </c>
      <c r="CE185" s="73">
        <f t="shared" si="20"/>
        <v>0</v>
      </c>
      <c r="CF185" s="75">
        <f t="shared" si="21"/>
        <v>5187</v>
      </c>
      <c r="CG185" s="69" t="str">
        <f t="shared" si="21"/>
        <v>صيدلة اكلينيكى</v>
      </c>
    </row>
    <row r="186" spans="1:85" x14ac:dyDescent="0.25">
      <c r="B186" s="78">
        <v>9358</v>
      </c>
      <c r="C186" s="70">
        <v>5188</v>
      </c>
      <c r="D186" s="69" t="s">
        <v>132</v>
      </c>
      <c r="E186" s="79" t="s">
        <v>2709</v>
      </c>
      <c r="G186" s="69">
        <v>293.13</v>
      </c>
      <c r="T186" s="69"/>
      <c r="U186" s="69"/>
      <c r="AR186" s="94">
        <f t="shared" si="19"/>
        <v>293.13</v>
      </c>
      <c r="AS186" s="69">
        <v>196.2</v>
      </c>
      <c r="AT186" s="69">
        <f>25+1.3</f>
        <v>26.3</v>
      </c>
      <c r="AU186" s="69">
        <v>70.63</v>
      </c>
      <c r="BC186" s="69"/>
      <c r="BD186" s="69"/>
      <c r="CD186" s="94">
        <f t="shared" si="17"/>
        <v>293.13</v>
      </c>
      <c r="CE186" s="73">
        <f t="shared" si="20"/>
        <v>0</v>
      </c>
      <c r="CF186" s="75">
        <f t="shared" si="21"/>
        <v>5188</v>
      </c>
      <c r="CG186" s="69" t="str">
        <f t="shared" si="21"/>
        <v>صيدلة اكلينيكى</v>
      </c>
    </row>
    <row r="187" spans="1:85" x14ac:dyDescent="0.25">
      <c r="B187" s="78">
        <v>9170</v>
      </c>
      <c r="C187" s="70">
        <v>5189</v>
      </c>
      <c r="D187" s="69" t="s">
        <v>132</v>
      </c>
      <c r="E187" s="79" t="s">
        <v>2710</v>
      </c>
      <c r="G187" s="69">
        <v>19200</v>
      </c>
      <c r="T187" s="69"/>
      <c r="U187" s="69"/>
      <c r="AR187" s="94">
        <f t="shared" si="19"/>
        <v>19200</v>
      </c>
      <c r="AS187" s="69">
        <v>17129.650000000001</v>
      </c>
      <c r="AT187" s="69">
        <v>2070.35</v>
      </c>
      <c r="BC187" s="69"/>
      <c r="BD187" s="69"/>
      <c r="CD187" s="94">
        <f t="shared" si="17"/>
        <v>19200</v>
      </c>
      <c r="CE187" s="73">
        <f t="shared" si="20"/>
        <v>0</v>
      </c>
      <c r="CF187" s="75">
        <f t="shared" si="21"/>
        <v>5189</v>
      </c>
      <c r="CG187" s="69" t="str">
        <f t="shared" si="21"/>
        <v>صيدلة اكلينيكى</v>
      </c>
    </row>
    <row r="188" spans="1:85" ht="27" customHeight="1" x14ac:dyDescent="0.25">
      <c r="B188" s="78">
        <v>9175</v>
      </c>
      <c r="C188" s="70">
        <v>5190</v>
      </c>
      <c r="D188" s="69" t="s">
        <v>132</v>
      </c>
      <c r="E188" s="79" t="s">
        <v>2702</v>
      </c>
      <c r="G188" s="69">
        <v>9224.39</v>
      </c>
      <c r="T188" s="69"/>
      <c r="U188" s="69"/>
      <c r="AR188" s="94">
        <f t="shared" si="19"/>
        <v>9224.39</v>
      </c>
      <c r="AS188" s="69">
        <v>7512.9</v>
      </c>
      <c r="AT188" s="69">
        <v>934.6</v>
      </c>
      <c r="AU188" s="69">
        <v>776.89</v>
      </c>
      <c r="BC188" s="69"/>
      <c r="BD188" s="69"/>
      <c r="CD188" s="94">
        <f t="shared" si="17"/>
        <v>9224.39</v>
      </c>
      <c r="CE188" s="73">
        <f t="shared" si="20"/>
        <v>0</v>
      </c>
      <c r="CF188" s="75">
        <f t="shared" si="21"/>
        <v>5190</v>
      </c>
      <c r="CG188" s="69" t="str">
        <f t="shared" si="21"/>
        <v>صيدلة اكلينيكى</v>
      </c>
    </row>
    <row r="189" spans="1:85" x14ac:dyDescent="0.25">
      <c r="B189" s="78">
        <v>9174</v>
      </c>
      <c r="C189" s="70">
        <v>5191</v>
      </c>
      <c r="D189" s="69" t="s">
        <v>132</v>
      </c>
      <c r="E189" s="79" t="s">
        <v>2702</v>
      </c>
      <c r="G189" s="69">
        <v>879.38</v>
      </c>
      <c r="T189" s="69"/>
      <c r="U189" s="69"/>
      <c r="AR189" s="94">
        <f t="shared" si="19"/>
        <v>879.38</v>
      </c>
      <c r="AS189" s="69">
        <v>588.15</v>
      </c>
      <c r="AT189" s="69">
        <v>79.349999999999994</v>
      </c>
      <c r="AU189" s="69">
        <v>211.88</v>
      </c>
      <c r="BC189" s="69"/>
      <c r="BD189" s="69"/>
      <c r="CD189" s="94">
        <f t="shared" si="17"/>
        <v>879.38</v>
      </c>
      <c r="CE189" s="73">
        <f t="shared" si="20"/>
        <v>0</v>
      </c>
      <c r="CF189" s="75">
        <f t="shared" si="21"/>
        <v>5191</v>
      </c>
      <c r="CG189" s="69" t="str">
        <f t="shared" si="21"/>
        <v>صيدلة اكلينيكى</v>
      </c>
    </row>
    <row r="190" spans="1:85" x14ac:dyDescent="0.25">
      <c r="A190" s="77"/>
      <c r="B190" s="78">
        <v>9173</v>
      </c>
      <c r="C190" s="70">
        <v>5192</v>
      </c>
      <c r="D190" s="69" t="s">
        <v>132</v>
      </c>
      <c r="E190" s="79" t="s">
        <v>2702</v>
      </c>
      <c r="G190" s="69">
        <v>586.25</v>
      </c>
      <c r="T190" s="69"/>
      <c r="U190" s="69"/>
      <c r="AR190" s="94">
        <f t="shared" si="19"/>
        <v>586.25</v>
      </c>
      <c r="AS190" s="69">
        <v>392.4</v>
      </c>
      <c r="AT190" s="69">
        <v>52.6</v>
      </c>
      <c r="AU190" s="69">
        <v>141.25</v>
      </c>
      <c r="BC190" s="69"/>
      <c r="BD190" s="69"/>
      <c r="CD190" s="94">
        <f t="shared" si="17"/>
        <v>586.25</v>
      </c>
      <c r="CE190" s="73">
        <f t="shared" si="20"/>
        <v>0</v>
      </c>
      <c r="CF190" s="75">
        <f t="shared" si="21"/>
        <v>5192</v>
      </c>
      <c r="CG190" s="69" t="str">
        <f t="shared" si="21"/>
        <v>صيدلة اكلينيكى</v>
      </c>
    </row>
    <row r="191" spans="1:85" x14ac:dyDescent="0.25">
      <c r="B191" s="78">
        <v>9361</v>
      </c>
      <c r="C191" s="70">
        <v>5193</v>
      </c>
      <c r="D191" s="69" t="s">
        <v>132</v>
      </c>
      <c r="E191" s="79" t="s">
        <v>2711</v>
      </c>
      <c r="G191" s="69">
        <v>1500</v>
      </c>
      <c r="T191" s="69"/>
      <c r="U191" s="69"/>
      <c r="AR191" s="94">
        <f t="shared" si="19"/>
        <v>1500</v>
      </c>
      <c r="AS191" s="69">
        <v>1339.1</v>
      </c>
      <c r="AT191" s="69">
        <v>160.9</v>
      </c>
      <c r="BC191" s="69"/>
      <c r="BD191" s="69"/>
      <c r="CD191" s="94">
        <f t="shared" si="17"/>
        <v>1500</v>
      </c>
      <c r="CE191" s="73">
        <f t="shared" si="20"/>
        <v>0</v>
      </c>
      <c r="CF191" s="75">
        <f t="shared" si="21"/>
        <v>5193</v>
      </c>
      <c r="CG191" s="69" t="str">
        <f t="shared" si="21"/>
        <v>صيدلة اكلينيكى</v>
      </c>
    </row>
    <row r="192" spans="1:85" x14ac:dyDescent="0.25">
      <c r="B192" s="78">
        <v>9360</v>
      </c>
      <c r="C192" s="70">
        <v>5194</v>
      </c>
      <c r="D192" s="69" t="s">
        <v>132</v>
      </c>
      <c r="E192" s="79" t="s">
        <v>2711</v>
      </c>
      <c r="G192" s="69">
        <v>1524.25</v>
      </c>
      <c r="T192" s="69"/>
      <c r="U192" s="69"/>
      <c r="AR192" s="94">
        <f t="shared" si="19"/>
        <v>1524.25</v>
      </c>
      <c r="AS192" s="69">
        <v>1018.7</v>
      </c>
      <c r="AT192" s="69">
        <v>138.30000000000001</v>
      </c>
      <c r="AU192" s="69">
        <v>367.25</v>
      </c>
      <c r="BC192" s="69"/>
      <c r="BD192" s="69"/>
      <c r="CD192" s="94">
        <f t="shared" si="17"/>
        <v>1524.25</v>
      </c>
      <c r="CE192" s="73">
        <f t="shared" si="20"/>
        <v>0</v>
      </c>
      <c r="CF192" s="75">
        <f t="shared" si="21"/>
        <v>5194</v>
      </c>
      <c r="CG192" s="69" t="str">
        <f t="shared" si="21"/>
        <v>صيدلة اكلينيكى</v>
      </c>
    </row>
    <row r="193" spans="2:85" x14ac:dyDescent="0.25">
      <c r="B193" s="78">
        <v>9348</v>
      </c>
      <c r="C193" s="70">
        <v>5195</v>
      </c>
      <c r="D193" s="69" t="s">
        <v>132</v>
      </c>
      <c r="E193" s="79" t="str">
        <f>+E186</f>
        <v>مكافاه اداريين وعمال نوفمبر</v>
      </c>
      <c r="G193" s="69">
        <v>8047.67</v>
      </c>
      <c r="T193" s="69"/>
      <c r="U193" s="69"/>
      <c r="AR193" s="94">
        <f t="shared" si="19"/>
        <v>8047.67</v>
      </c>
      <c r="AS193" s="69">
        <v>7005.73</v>
      </c>
      <c r="AT193" s="69">
        <f>259.5+49.32</f>
        <v>308.82</v>
      </c>
      <c r="AU193" s="69">
        <f>1041.94-259.5-49.32</f>
        <v>733.12</v>
      </c>
      <c r="BC193" s="69"/>
      <c r="BD193" s="69"/>
      <c r="CD193" s="94">
        <f t="shared" si="17"/>
        <v>8047.6699999999992</v>
      </c>
      <c r="CE193" s="73">
        <f t="shared" si="20"/>
        <v>0</v>
      </c>
      <c r="CF193" s="75">
        <f t="shared" si="21"/>
        <v>5195</v>
      </c>
      <c r="CG193" s="69" t="str">
        <f t="shared" si="21"/>
        <v>صيدلة اكلينيكى</v>
      </c>
    </row>
    <row r="194" spans="2:85" x14ac:dyDescent="0.25">
      <c r="B194" s="82">
        <v>9335</v>
      </c>
      <c r="C194" s="70">
        <v>5196</v>
      </c>
      <c r="D194" s="69" t="s">
        <v>132</v>
      </c>
      <c r="E194" s="69" t="str">
        <f>+E177</f>
        <v>حافز اداء نوفمبر</v>
      </c>
      <c r="G194" s="69">
        <v>1876</v>
      </c>
      <c r="T194" s="69"/>
      <c r="U194" s="69"/>
      <c r="AR194" s="94">
        <f t="shared" si="19"/>
        <v>1876</v>
      </c>
      <c r="AS194" s="69">
        <v>1255.3499999999999</v>
      </c>
      <c r="AT194" s="69">
        <v>168.65</v>
      </c>
      <c r="AU194" s="69">
        <v>452</v>
      </c>
      <c r="BC194" s="69"/>
      <c r="BD194" s="69"/>
      <c r="CD194" s="94">
        <f t="shared" si="17"/>
        <v>1876</v>
      </c>
      <c r="CE194" s="73">
        <f t="shared" si="20"/>
        <v>0</v>
      </c>
      <c r="CF194" s="75">
        <f t="shared" si="21"/>
        <v>5196</v>
      </c>
      <c r="CG194" s="69" t="str">
        <f t="shared" si="21"/>
        <v>صيدلة اكلينيكى</v>
      </c>
    </row>
    <row r="195" spans="2:85" ht="18.75" x14ac:dyDescent="0.25">
      <c r="B195" s="82">
        <v>9545</v>
      </c>
      <c r="C195" s="70">
        <v>5197</v>
      </c>
      <c r="D195" s="71" t="s">
        <v>121</v>
      </c>
      <c r="E195" s="69" t="s">
        <v>2712</v>
      </c>
      <c r="G195" s="69">
        <v>7621.24</v>
      </c>
      <c r="T195" s="69"/>
      <c r="U195" s="69"/>
      <c r="AR195" s="94">
        <f t="shared" si="19"/>
        <v>7621.24</v>
      </c>
      <c r="AS195" s="69">
        <v>5092.3</v>
      </c>
      <c r="AT195" s="69">
        <v>692.7</v>
      </c>
      <c r="AU195" s="69">
        <v>1836.24</v>
      </c>
      <c r="BC195" s="69"/>
      <c r="BD195" s="69"/>
      <c r="CD195" s="94">
        <f t="shared" si="17"/>
        <v>7621.24</v>
      </c>
      <c r="CE195" s="73">
        <f t="shared" si="20"/>
        <v>0</v>
      </c>
      <c r="CF195" s="75">
        <f t="shared" si="21"/>
        <v>5197</v>
      </c>
      <c r="CG195" s="69" t="str">
        <f t="shared" si="21"/>
        <v>ماليزى اسنان</v>
      </c>
    </row>
    <row r="196" spans="2:85" ht="18.75" x14ac:dyDescent="0.25">
      <c r="B196" s="82">
        <v>9544</v>
      </c>
      <c r="C196" s="70">
        <v>5198</v>
      </c>
      <c r="D196" s="71" t="s">
        <v>121</v>
      </c>
      <c r="E196" s="69" t="s">
        <v>2712</v>
      </c>
      <c r="G196" s="69">
        <v>7506.21</v>
      </c>
      <c r="T196" s="69"/>
      <c r="U196" s="69"/>
      <c r="AR196" s="94">
        <f t="shared" si="19"/>
        <v>7506.21</v>
      </c>
      <c r="AS196" s="69">
        <v>5165.16</v>
      </c>
      <c r="AT196" s="69">
        <v>693.2</v>
      </c>
      <c r="AU196" s="69">
        <v>1647.85</v>
      </c>
      <c r="BC196" s="69"/>
      <c r="BD196" s="69"/>
      <c r="CD196" s="94">
        <f t="shared" si="17"/>
        <v>7506.2099999999991</v>
      </c>
      <c r="CE196" s="73">
        <f t="shared" si="20"/>
        <v>0</v>
      </c>
      <c r="CF196" s="75">
        <f t="shared" si="21"/>
        <v>5198</v>
      </c>
      <c r="CG196" s="69" t="str">
        <f t="shared" si="21"/>
        <v>ماليزى اسنان</v>
      </c>
    </row>
    <row r="197" spans="2:85" ht="18.75" x14ac:dyDescent="0.25">
      <c r="B197" s="82">
        <v>9526</v>
      </c>
      <c r="C197" s="70">
        <v>5199</v>
      </c>
      <c r="D197" s="71" t="s">
        <v>121</v>
      </c>
      <c r="E197" s="69" t="s">
        <v>2713</v>
      </c>
      <c r="G197" s="69">
        <v>62963.25</v>
      </c>
      <c r="T197" s="69"/>
      <c r="U197" s="69"/>
      <c r="AR197" s="94">
        <f t="shared" si="19"/>
        <v>62963.25</v>
      </c>
      <c r="AS197" s="69">
        <v>42084.55</v>
      </c>
      <c r="AT197" s="69">
        <v>5708.45</v>
      </c>
      <c r="AU197" s="69">
        <v>15170.25</v>
      </c>
      <c r="BC197" s="69"/>
      <c r="BD197" s="69"/>
      <c r="CD197" s="94">
        <f t="shared" si="17"/>
        <v>62963.25</v>
      </c>
      <c r="CE197" s="73">
        <f t="shared" si="20"/>
        <v>0</v>
      </c>
      <c r="CF197" s="75">
        <f t="shared" si="21"/>
        <v>5199</v>
      </c>
      <c r="CG197" s="69" t="str">
        <f t="shared" si="21"/>
        <v>ماليزى اسنان</v>
      </c>
    </row>
    <row r="198" spans="2:85" ht="18.75" x14ac:dyDescent="0.25">
      <c r="B198" s="82">
        <v>9524</v>
      </c>
      <c r="C198" s="70">
        <v>5200</v>
      </c>
      <c r="D198" s="71" t="s">
        <v>121</v>
      </c>
      <c r="E198" s="69" t="s">
        <v>2714</v>
      </c>
      <c r="G198" s="69">
        <v>550</v>
      </c>
      <c r="T198" s="69"/>
      <c r="U198" s="69"/>
      <c r="AR198" s="94">
        <f t="shared" si="19"/>
        <v>550</v>
      </c>
      <c r="AS198" s="69">
        <v>491.5</v>
      </c>
      <c r="AT198" s="69">
        <v>58.5</v>
      </c>
      <c r="BC198" s="69"/>
      <c r="BD198" s="69"/>
      <c r="CD198" s="94">
        <f t="shared" si="17"/>
        <v>550</v>
      </c>
      <c r="CE198" s="73">
        <f t="shared" si="20"/>
        <v>0</v>
      </c>
      <c r="CF198" s="75">
        <f t="shared" si="21"/>
        <v>5200</v>
      </c>
      <c r="CG198" s="69" t="str">
        <f t="shared" si="21"/>
        <v>ماليزى اسنان</v>
      </c>
    </row>
    <row r="199" spans="2:85" ht="18.75" x14ac:dyDescent="0.25">
      <c r="B199" s="82">
        <v>9523</v>
      </c>
      <c r="C199" s="70">
        <v>5201</v>
      </c>
      <c r="D199" s="71" t="s">
        <v>121</v>
      </c>
      <c r="E199" s="69" t="s">
        <v>2714</v>
      </c>
      <c r="G199" s="69">
        <v>2051.9</v>
      </c>
      <c r="T199" s="69"/>
      <c r="U199" s="69"/>
      <c r="AR199" s="94">
        <f t="shared" si="19"/>
        <v>2051.9</v>
      </c>
      <c r="AS199" s="69">
        <v>1374</v>
      </c>
      <c r="AT199" s="69">
        <v>183.5</v>
      </c>
      <c r="AU199" s="69">
        <v>494.4</v>
      </c>
      <c r="BC199" s="69"/>
      <c r="BD199" s="69"/>
      <c r="CD199" s="94">
        <f t="shared" si="17"/>
        <v>2051.9</v>
      </c>
      <c r="CE199" s="73">
        <f t="shared" si="20"/>
        <v>0</v>
      </c>
      <c r="CF199" s="75">
        <f t="shared" si="21"/>
        <v>5201</v>
      </c>
      <c r="CG199" s="69" t="str">
        <f t="shared" si="21"/>
        <v>ماليزى اسنان</v>
      </c>
    </row>
    <row r="200" spans="2:85" ht="18.75" x14ac:dyDescent="0.25">
      <c r="B200" s="82">
        <v>9522</v>
      </c>
      <c r="C200" s="70">
        <v>5202</v>
      </c>
      <c r="D200" s="71" t="s">
        <v>121</v>
      </c>
      <c r="E200" s="69" t="s">
        <v>2714</v>
      </c>
      <c r="G200" s="69">
        <v>820.76</v>
      </c>
      <c r="T200" s="69"/>
      <c r="U200" s="69"/>
      <c r="AR200" s="94">
        <f t="shared" si="19"/>
        <v>820.76</v>
      </c>
      <c r="AS200" s="69">
        <v>549.6</v>
      </c>
      <c r="AT200" s="69">
        <v>73.400000000000006</v>
      </c>
      <c r="AU200" s="69">
        <v>197.76</v>
      </c>
      <c r="BC200" s="69"/>
      <c r="BD200" s="69"/>
      <c r="CD200" s="94">
        <f t="shared" si="17"/>
        <v>820.76</v>
      </c>
      <c r="CE200" s="73">
        <f t="shared" si="20"/>
        <v>0</v>
      </c>
      <c r="CF200" s="75">
        <f t="shared" si="21"/>
        <v>5202</v>
      </c>
      <c r="CG200" s="69" t="str">
        <f t="shared" si="21"/>
        <v>ماليزى اسنان</v>
      </c>
    </row>
    <row r="201" spans="2:85" ht="18.75" x14ac:dyDescent="0.25">
      <c r="B201" s="82">
        <v>9521</v>
      </c>
      <c r="C201" s="70">
        <v>5203</v>
      </c>
      <c r="D201" s="71" t="s">
        <v>121</v>
      </c>
      <c r="E201" s="69" t="s">
        <v>2714</v>
      </c>
      <c r="G201" s="69">
        <v>4045.14</v>
      </c>
      <c r="T201" s="69"/>
      <c r="U201" s="69"/>
      <c r="AR201" s="94">
        <f t="shared" si="19"/>
        <v>4045.14</v>
      </c>
      <c r="AS201" s="69">
        <v>2562.0500000000002</v>
      </c>
      <c r="AT201" s="69">
        <v>362.1</v>
      </c>
      <c r="AU201" s="69">
        <v>974.64</v>
      </c>
      <c r="BC201" s="69"/>
      <c r="BD201" s="69"/>
      <c r="BE201" s="69">
        <v>146.35</v>
      </c>
      <c r="CD201" s="94">
        <f t="shared" si="17"/>
        <v>4045.14</v>
      </c>
      <c r="CE201" s="73">
        <f t="shared" si="20"/>
        <v>0</v>
      </c>
      <c r="CF201" s="75">
        <f t="shared" si="21"/>
        <v>5203</v>
      </c>
      <c r="CG201" s="69" t="str">
        <f t="shared" si="21"/>
        <v>ماليزى اسنان</v>
      </c>
    </row>
    <row r="202" spans="2:85" ht="18.75" x14ac:dyDescent="0.25">
      <c r="B202" s="82">
        <v>9539</v>
      </c>
      <c r="C202" s="70">
        <v>5204</v>
      </c>
      <c r="D202" s="71" t="s">
        <v>121</v>
      </c>
      <c r="E202" s="69" t="s">
        <v>2715</v>
      </c>
      <c r="G202" s="69">
        <v>5510.75</v>
      </c>
      <c r="T202" s="69"/>
      <c r="U202" s="69"/>
      <c r="AR202" s="94">
        <f t="shared" si="19"/>
        <v>5510.75</v>
      </c>
      <c r="AS202" s="69">
        <v>3682.7</v>
      </c>
      <c r="AT202" s="69">
        <v>500.3</v>
      </c>
      <c r="AU202" s="69">
        <v>1327.75</v>
      </c>
      <c r="BC202" s="69"/>
      <c r="BD202" s="69"/>
      <c r="CD202" s="94">
        <f t="shared" si="17"/>
        <v>5510.75</v>
      </c>
      <c r="CE202" s="73">
        <f t="shared" si="20"/>
        <v>0</v>
      </c>
      <c r="CF202" s="75">
        <f t="shared" si="21"/>
        <v>5204</v>
      </c>
      <c r="CG202" s="69" t="str">
        <f t="shared" si="21"/>
        <v>ماليزى اسنان</v>
      </c>
    </row>
    <row r="203" spans="2:85" ht="18.75" x14ac:dyDescent="0.25">
      <c r="B203" s="82">
        <v>9546</v>
      </c>
      <c r="C203" s="70">
        <v>5205</v>
      </c>
      <c r="D203" s="71" t="s">
        <v>121</v>
      </c>
      <c r="E203" s="69" t="s">
        <v>2716</v>
      </c>
      <c r="G203" s="69">
        <v>4338.25</v>
      </c>
      <c r="T203" s="69"/>
      <c r="U203" s="69"/>
      <c r="AR203" s="94">
        <f t="shared" si="19"/>
        <v>4338.25</v>
      </c>
      <c r="AS203" s="69">
        <v>2901.2</v>
      </c>
      <c r="AT203" s="69">
        <v>391.8</v>
      </c>
      <c r="AU203" s="69">
        <v>1045.25</v>
      </c>
      <c r="BC203" s="69"/>
      <c r="BD203" s="69"/>
      <c r="CD203" s="94">
        <f t="shared" si="17"/>
        <v>4338.25</v>
      </c>
      <c r="CE203" s="73">
        <f t="shared" si="20"/>
        <v>0</v>
      </c>
      <c r="CF203" s="75">
        <f t="shared" si="21"/>
        <v>5205</v>
      </c>
      <c r="CG203" s="69" t="str">
        <f t="shared" si="21"/>
        <v>ماليزى اسنان</v>
      </c>
    </row>
    <row r="204" spans="2:85" ht="18.75" x14ac:dyDescent="0.25">
      <c r="B204" s="82">
        <v>9531</v>
      </c>
      <c r="C204" s="70">
        <v>5206</v>
      </c>
      <c r="D204" s="71" t="s">
        <v>121</v>
      </c>
      <c r="E204" s="69" t="s">
        <v>2717</v>
      </c>
      <c r="G204" s="69">
        <v>4221</v>
      </c>
      <c r="T204" s="69"/>
      <c r="U204" s="69"/>
      <c r="AR204" s="94">
        <f t="shared" si="19"/>
        <v>4221</v>
      </c>
      <c r="AS204" s="69">
        <v>2821.5</v>
      </c>
      <c r="AT204" s="69">
        <v>382.5</v>
      </c>
      <c r="AU204" s="69">
        <v>1017</v>
      </c>
      <c r="BC204" s="69"/>
      <c r="BD204" s="69"/>
      <c r="CD204" s="94">
        <f t="shared" si="17"/>
        <v>4221</v>
      </c>
      <c r="CE204" s="73">
        <f t="shared" si="20"/>
        <v>0</v>
      </c>
      <c r="CF204" s="75">
        <f t="shared" si="21"/>
        <v>5206</v>
      </c>
      <c r="CG204" s="69" t="str">
        <f t="shared" si="21"/>
        <v>ماليزى اسنان</v>
      </c>
    </row>
    <row r="205" spans="2:85" ht="18.75" x14ac:dyDescent="0.25">
      <c r="B205" s="82">
        <v>9548</v>
      </c>
      <c r="C205" s="70">
        <v>5207</v>
      </c>
      <c r="D205" s="71" t="s">
        <v>121</v>
      </c>
      <c r="E205" s="69" t="s">
        <v>2718</v>
      </c>
      <c r="G205" s="69">
        <v>9905.69</v>
      </c>
      <c r="T205" s="69"/>
      <c r="U205" s="69"/>
      <c r="AR205" s="94">
        <f t="shared" si="19"/>
        <v>9905.69</v>
      </c>
      <c r="AS205" s="69">
        <v>7498.51</v>
      </c>
      <c r="AT205" s="69">
        <v>964.9</v>
      </c>
      <c r="AU205" s="69">
        <v>1442.28</v>
      </c>
      <c r="BC205" s="69"/>
      <c r="BD205" s="69"/>
      <c r="CD205" s="94">
        <f t="shared" si="17"/>
        <v>9905.69</v>
      </c>
      <c r="CE205" s="73">
        <f t="shared" si="20"/>
        <v>0</v>
      </c>
      <c r="CF205" s="75">
        <f t="shared" si="21"/>
        <v>5207</v>
      </c>
      <c r="CG205" s="69" t="str">
        <f t="shared" si="21"/>
        <v>ماليزى اسنان</v>
      </c>
    </row>
    <row r="206" spans="2:85" ht="18.75" x14ac:dyDescent="0.25">
      <c r="B206" s="82">
        <v>9547</v>
      </c>
      <c r="C206" s="70">
        <v>5208</v>
      </c>
      <c r="D206" s="71" t="s">
        <v>121</v>
      </c>
      <c r="E206" s="69" t="s">
        <v>2719</v>
      </c>
      <c r="G206" s="69">
        <v>2345</v>
      </c>
      <c r="T206" s="69"/>
      <c r="U206" s="69"/>
      <c r="AR206" s="94">
        <f t="shared" si="19"/>
        <v>2345</v>
      </c>
      <c r="AS206" s="69">
        <v>1570</v>
      </c>
      <c r="AT206" s="69">
        <v>210</v>
      </c>
      <c r="AU206" s="69">
        <v>565</v>
      </c>
      <c r="BC206" s="69"/>
      <c r="BD206" s="69"/>
      <c r="CD206" s="94">
        <f t="shared" si="17"/>
        <v>2345</v>
      </c>
      <c r="CE206" s="73">
        <f t="shared" si="20"/>
        <v>0</v>
      </c>
      <c r="CF206" s="75">
        <f t="shared" si="21"/>
        <v>5208</v>
      </c>
      <c r="CG206" s="69" t="str">
        <f t="shared" si="21"/>
        <v>ماليزى اسنان</v>
      </c>
    </row>
    <row r="207" spans="2:85" ht="18.75" x14ac:dyDescent="0.25">
      <c r="B207" s="82">
        <v>9534</v>
      </c>
      <c r="C207" s="70">
        <v>5209</v>
      </c>
      <c r="D207" s="71" t="s">
        <v>121</v>
      </c>
      <c r="E207" s="69" t="s">
        <v>2720</v>
      </c>
      <c r="G207" s="69">
        <v>3869.25</v>
      </c>
      <c r="T207" s="69"/>
      <c r="U207" s="69"/>
      <c r="AR207" s="94">
        <f t="shared" si="19"/>
        <v>3869.25</v>
      </c>
      <c r="AS207" s="69">
        <v>2587.6999999999998</v>
      </c>
      <c r="AT207" s="69">
        <v>349.3</v>
      </c>
      <c r="AU207" s="69">
        <v>932.25</v>
      </c>
      <c r="BC207" s="69"/>
      <c r="BD207" s="69"/>
      <c r="CD207" s="94">
        <f t="shared" si="17"/>
        <v>3869.25</v>
      </c>
      <c r="CE207" s="73">
        <f t="shared" si="20"/>
        <v>0</v>
      </c>
      <c r="CF207" s="75">
        <f t="shared" si="21"/>
        <v>5209</v>
      </c>
      <c r="CG207" s="69" t="str">
        <f t="shared" si="21"/>
        <v>ماليزى اسنان</v>
      </c>
    </row>
    <row r="208" spans="2:85" ht="18.75" x14ac:dyDescent="0.25">
      <c r="B208" s="82">
        <v>9532</v>
      </c>
      <c r="C208" s="70">
        <v>5210</v>
      </c>
      <c r="D208" s="71" t="s">
        <v>121</v>
      </c>
      <c r="E208" s="69" t="s">
        <v>2721</v>
      </c>
      <c r="G208" s="69">
        <v>4478.9399999999996</v>
      </c>
      <c r="T208" s="69"/>
      <c r="U208" s="69"/>
      <c r="AR208" s="94">
        <f t="shared" ref="AR208:AR239" si="22">SUM(G208:AQ208)</f>
        <v>4478.9399999999996</v>
      </c>
      <c r="AS208" s="69">
        <v>2998.2</v>
      </c>
      <c r="AT208" s="69">
        <v>401.6</v>
      </c>
      <c r="AU208" s="69">
        <v>1079.1400000000001</v>
      </c>
      <c r="BC208" s="69"/>
      <c r="BD208" s="69"/>
      <c r="CD208" s="94">
        <f t="shared" ref="CD208:CD246" si="23">SUM(AS208:CC208)</f>
        <v>4478.9399999999996</v>
      </c>
      <c r="CE208" s="73">
        <f t="shared" si="20"/>
        <v>0</v>
      </c>
      <c r="CF208" s="75">
        <f t="shared" ref="CF208:CG239" si="24">+C208</f>
        <v>5210</v>
      </c>
      <c r="CG208" s="69" t="str">
        <f t="shared" si="24"/>
        <v>ماليزى اسنان</v>
      </c>
    </row>
    <row r="209" spans="1:85" ht="18.75" x14ac:dyDescent="0.25">
      <c r="B209" s="82">
        <v>9543</v>
      </c>
      <c r="C209" s="70">
        <v>5211</v>
      </c>
      <c r="D209" s="71" t="s">
        <v>121</v>
      </c>
      <c r="E209" s="69" t="s">
        <v>2722</v>
      </c>
      <c r="G209" s="69">
        <v>15480</v>
      </c>
      <c r="T209" s="69"/>
      <c r="U209" s="69"/>
      <c r="AR209" s="94">
        <f t="shared" si="22"/>
        <v>15480</v>
      </c>
      <c r="AS209" s="69">
        <v>11714.55</v>
      </c>
      <c r="AT209" s="69">
        <v>1505.45</v>
      </c>
      <c r="AU209" s="69">
        <v>2260</v>
      </c>
      <c r="BC209" s="69"/>
      <c r="BD209" s="69"/>
      <c r="CD209" s="94">
        <f t="shared" si="23"/>
        <v>15480</v>
      </c>
      <c r="CE209" s="73">
        <f t="shared" si="20"/>
        <v>0</v>
      </c>
      <c r="CF209" s="75">
        <f t="shared" si="24"/>
        <v>5211</v>
      </c>
      <c r="CG209" s="69" t="str">
        <f t="shared" si="24"/>
        <v>ماليزى اسنان</v>
      </c>
    </row>
    <row r="210" spans="1:85" ht="18.75" x14ac:dyDescent="0.25">
      <c r="B210" s="82">
        <v>9529</v>
      </c>
      <c r="C210" s="70">
        <v>5212</v>
      </c>
      <c r="D210" s="71" t="s">
        <v>121</v>
      </c>
      <c r="E210" s="69" t="s">
        <v>2723</v>
      </c>
      <c r="G210" s="69">
        <v>8820.81</v>
      </c>
      <c r="T210" s="69"/>
      <c r="U210" s="69"/>
      <c r="AR210" s="94">
        <f t="shared" si="22"/>
        <v>8820.81</v>
      </c>
      <c r="AS210" s="69">
        <v>6622.65</v>
      </c>
      <c r="AT210" s="69">
        <v>853.95</v>
      </c>
      <c r="AU210" s="69">
        <v>1344.21</v>
      </c>
      <c r="BC210" s="69"/>
      <c r="BD210" s="69"/>
      <c r="CD210" s="94">
        <f t="shared" si="23"/>
        <v>8820.81</v>
      </c>
      <c r="CE210" s="73">
        <f t="shared" si="20"/>
        <v>0</v>
      </c>
      <c r="CF210" s="75">
        <f t="shared" si="24"/>
        <v>5212</v>
      </c>
      <c r="CG210" s="69" t="str">
        <f t="shared" si="24"/>
        <v>ماليزى اسنان</v>
      </c>
    </row>
    <row r="211" spans="1:85" ht="18.75" x14ac:dyDescent="0.25">
      <c r="B211" s="82">
        <v>9528</v>
      </c>
      <c r="C211" s="70">
        <v>5213</v>
      </c>
      <c r="D211" s="71" t="s">
        <v>121</v>
      </c>
      <c r="E211" s="69" t="s">
        <v>2724</v>
      </c>
      <c r="G211" s="69">
        <v>5862.5</v>
      </c>
      <c r="T211" s="69"/>
      <c r="U211" s="69"/>
      <c r="AR211" s="94">
        <f t="shared" si="22"/>
        <v>5862.5</v>
      </c>
      <c r="AS211" s="69">
        <v>3917.3</v>
      </c>
      <c r="AT211" s="69">
        <v>532.70000000000005</v>
      </c>
      <c r="AU211" s="69">
        <v>1412.5</v>
      </c>
      <c r="BC211" s="69"/>
      <c r="BD211" s="69"/>
      <c r="CD211" s="94">
        <f t="shared" si="23"/>
        <v>5862.5</v>
      </c>
      <c r="CE211" s="73">
        <f t="shared" si="20"/>
        <v>0</v>
      </c>
      <c r="CF211" s="75">
        <f t="shared" si="24"/>
        <v>5213</v>
      </c>
      <c r="CG211" s="69" t="str">
        <f t="shared" si="24"/>
        <v>ماليزى اسنان</v>
      </c>
    </row>
    <row r="212" spans="1:85" ht="18.75" x14ac:dyDescent="0.25">
      <c r="B212" s="82">
        <v>9527</v>
      </c>
      <c r="C212" s="70">
        <v>5214</v>
      </c>
      <c r="D212" s="71" t="s">
        <v>121</v>
      </c>
      <c r="E212" s="69" t="s">
        <v>2725</v>
      </c>
      <c r="G212" s="69">
        <v>938</v>
      </c>
      <c r="T212" s="69"/>
      <c r="U212" s="69"/>
      <c r="AR212" s="94">
        <f t="shared" si="22"/>
        <v>938</v>
      </c>
      <c r="AS212" s="69">
        <v>627.35</v>
      </c>
      <c r="AT212" s="69">
        <v>84.65</v>
      </c>
      <c r="AU212" s="69">
        <v>226</v>
      </c>
      <c r="BC212" s="69"/>
      <c r="BD212" s="69"/>
      <c r="CD212" s="94">
        <f t="shared" si="23"/>
        <v>938</v>
      </c>
      <c r="CE212" s="73">
        <f t="shared" si="20"/>
        <v>0</v>
      </c>
      <c r="CF212" s="75">
        <f t="shared" si="24"/>
        <v>5214</v>
      </c>
      <c r="CG212" s="69" t="str">
        <f t="shared" si="24"/>
        <v>ماليزى اسنان</v>
      </c>
    </row>
    <row r="213" spans="1:85" ht="18.75" x14ac:dyDescent="0.25">
      <c r="B213" s="82">
        <v>9538</v>
      </c>
      <c r="C213" s="70">
        <v>5215</v>
      </c>
      <c r="D213" s="71" t="s">
        <v>121</v>
      </c>
      <c r="E213" s="69" t="s">
        <v>2726</v>
      </c>
      <c r="G213" s="69">
        <v>2532.6</v>
      </c>
      <c r="T213" s="69"/>
      <c r="U213" s="69"/>
      <c r="AR213" s="94">
        <f t="shared" si="22"/>
        <v>2532.6</v>
      </c>
      <c r="AS213" s="69">
        <v>1692.35</v>
      </c>
      <c r="AT213" s="69">
        <v>230.05</v>
      </c>
      <c r="AU213" s="69">
        <v>610.20000000000005</v>
      </c>
      <c r="BC213" s="69"/>
      <c r="BD213" s="69"/>
      <c r="CD213" s="94">
        <f t="shared" si="23"/>
        <v>2532.6</v>
      </c>
      <c r="CE213" s="73">
        <f t="shared" si="20"/>
        <v>0</v>
      </c>
      <c r="CF213" s="75">
        <f t="shared" si="24"/>
        <v>5215</v>
      </c>
      <c r="CG213" s="69" t="str">
        <f t="shared" si="24"/>
        <v>ماليزى اسنان</v>
      </c>
    </row>
    <row r="214" spans="1:85" ht="18.75" x14ac:dyDescent="0.25">
      <c r="B214" s="82">
        <v>9541</v>
      </c>
      <c r="C214" s="70">
        <v>5216</v>
      </c>
      <c r="D214" s="71" t="s">
        <v>121</v>
      </c>
      <c r="E214" s="69" t="str">
        <f>+E202</f>
        <v>مكافاه مشاركه فى البرنامج نوفمبر اداريين</v>
      </c>
      <c r="G214" s="69">
        <v>5082.25</v>
      </c>
      <c r="T214" s="69"/>
      <c r="U214" s="69"/>
      <c r="AR214" s="94">
        <f t="shared" si="22"/>
        <v>5082.25</v>
      </c>
      <c r="AS214" s="69">
        <v>3648.12</v>
      </c>
      <c r="AT214" s="69">
        <v>480.6</v>
      </c>
      <c r="AU214" s="69">
        <v>953.53</v>
      </c>
      <c r="BC214" s="69"/>
      <c r="BD214" s="69"/>
      <c r="CD214" s="94">
        <f t="shared" si="23"/>
        <v>5082.25</v>
      </c>
      <c r="CE214" s="73">
        <f t="shared" si="20"/>
        <v>0</v>
      </c>
      <c r="CF214" s="75">
        <f t="shared" si="24"/>
        <v>5216</v>
      </c>
      <c r="CG214" s="69" t="str">
        <f t="shared" si="24"/>
        <v>ماليزى اسنان</v>
      </c>
    </row>
    <row r="215" spans="1:85" ht="18.75" x14ac:dyDescent="0.25">
      <c r="B215" s="82">
        <v>9536</v>
      </c>
      <c r="C215" s="70">
        <v>5217</v>
      </c>
      <c r="D215" s="71" t="s">
        <v>121</v>
      </c>
      <c r="E215" s="69" t="s">
        <v>2727</v>
      </c>
      <c r="G215" s="69">
        <v>9847</v>
      </c>
      <c r="T215" s="69"/>
      <c r="U215" s="69"/>
      <c r="AR215" s="94">
        <f t="shared" si="22"/>
        <v>9847</v>
      </c>
      <c r="AS215" s="69">
        <v>7422.8</v>
      </c>
      <c r="AT215" s="69">
        <v>955.2</v>
      </c>
      <c r="AU215" s="69">
        <v>1469</v>
      </c>
      <c r="BC215" s="69"/>
      <c r="BD215" s="69"/>
      <c r="CD215" s="94">
        <f t="shared" si="23"/>
        <v>9847</v>
      </c>
      <c r="CE215" s="73">
        <f t="shared" si="20"/>
        <v>0</v>
      </c>
      <c r="CF215" s="75">
        <f t="shared" si="24"/>
        <v>5217</v>
      </c>
      <c r="CG215" s="69" t="str">
        <f t="shared" si="24"/>
        <v>ماليزى اسنان</v>
      </c>
    </row>
    <row r="216" spans="1:85" ht="18.75" x14ac:dyDescent="0.25">
      <c r="B216" s="82">
        <v>9525</v>
      </c>
      <c r="C216" s="70">
        <v>5218</v>
      </c>
      <c r="D216" s="71" t="s">
        <v>121</v>
      </c>
      <c r="E216" s="69" t="s">
        <v>2728</v>
      </c>
      <c r="G216" s="69">
        <v>27202.02</v>
      </c>
      <c r="T216" s="69"/>
      <c r="U216" s="69"/>
      <c r="AR216" s="94">
        <f t="shared" si="22"/>
        <v>27202.02</v>
      </c>
      <c r="AS216" s="69">
        <v>18183.5</v>
      </c>
      <c r="AT216" s="69">
        <v>2464.5</v>
      </c>
      <c r="AU216" s="69">
        <v>6554.02</v>
      </c>
      <c r="BC216" s="69"/>
      <c r="BD216" s="69"/>
      <c r="CD216" s="94">
        <f t="shared" si="23"/>
        <v>27202.02</v>
      </c>
      <c r="CE216" s="73">
        <f t="shared" si="20"/>
        <v>0</v>
      </c>
      <c r="CF216" s="75">
        <f t="shared" si="24"/>
        <v>5218</v>
      </c>
      <c r="CG216" s="69" t="str">
        <f t="shared" si="24"/>
        <v>ماليزى اسنان</v>
      </c>
    </row>
    <row r="217" spans="1:85" ht="18.75" x14ac:dyDescent="0.25">
      <c r="B217" s="82">
        <v>9537</v>
      </c>
      <c r="C217" s="70">
        <v>5219</v>
      </c>
      <c r="D217" s="71" t="s">
        <v>121</v>
      </c>
      <c r="E217" s="69" t="s">
        <v>2729</v>
      </c>
      <c r="G217" s="69">
        <v>5569.38</v>
      </c>
      <c r="T217" s="69"/>
      <c r="U217" s="69"/>
      <c r="AR217" s="94">
        <f t="shared" si="22"/>
        <v>5569.38</v>
      </c>
      <c r="AS217" s="69">
        <v>3722.25</v>
      </c>
      <c r="AT217" s="69">
        <v>505.25</v>
      </c>
      <c r="AU217" s="69">
        <v>1341.88</v>
      </c>
      <c r="BC217" s="69"/>
      <c r="BD217" s="69"/>
      <c r="CD217" s="94">
        <f t="shared" si="23"/>
        <v>5569.38</v>
      </c>
      <c r="CE217" s="73">
        <f t="shared" si="20"/>
        <v>0</v>
      </c>
      <c r="CF217" s="75">
        <f t="shared" si="24"/>
        <v>5219</v>
      </c>
      <c r="CG217" s="69" t="str">
        <f t="shared" si="24"/>
        <v>ماليزى اسنان</v>
      </c>
    </row>
    <row r="218" spans="1:85" ht="18.75" x14ac:dyDescent="0.25">
      <c r="B218" s="82">
        <v>9540</v>
      </c>
      <c r="C218" s="70">
        <v>5220</v>
      </c>
      <c r="D218" s="71" t="s">
        <v>121</v>
      </c>
      <c r="E218" s="69" t="s">
        <v>2730</v>
      </c>
      <c r="G218" s="69">
        <v>2931.25</v>
      </c>
      <c r="T218" s="69"/>
      <c r="U218" s="69"/>
      <c r="AR218" s="94">
        <f t="shared" si="22"/>
        <v>2931.25</v>
      </c>
      <c r="AS218" s="69">
        <v>1958.65</v>
      </c>
      <c r="AT218" s="69">
        <v>266.35000000000002</v>
      </c>
      <c r="AU218" s="69">
        <v>706.25</v>
      </c>
      <c r="BC218" s="69"/>
      <c r="BD218" s="69"/>
      <c r="CD218" s="94">
        <f t="shared" si="23"/>
        <v>2931.25</v>
      </c>
      <c r="CE218" s="73">
        <f t="shared" si="20"/>
        <v>0</v>
      </c>
      <c r="CF218" s="75">
        <f t="shared" si="24"/>
        <v>5220</v>
      </c>
      <c r="CG218" s="69" t="str">
        <f t="shared" si="24"/>
        <v>ماليزى اسنان</v>
      </c>
    </row>
    <row r="219" spans="1:85" ht="18.75" x14ac:dyDescent="0.25">
      <c r="B219" s="82">
        <v>9542</v>
      </c>
      <c r="C219" s="70">
        <v>5221</v>
      </c>
      <c r="D219" s="71" t="s">
        <v>121</v>
      </c>
      <c r="E219" s="69" t="s">
        <v>2731</v>
      </c>
      <c r="G219" s="69">
        <v>4103.75</v>
      </c>
      <c r="T219" s="69"/>
      <c r="U219" s="69"/>
      <c r="AR219" s="94">
        <f t="shared" si="22"/>
        <v>4103.75</v>
      </c>
      <c r="AS219" s="69">
        <v>2742.35</v>
      </c>
      <c r="AT219" s="69">
        <v>372.65</v>
      </c>
      <c r="AU219" s="69">
        <v>988.75</v>
      </c>
      <c r="BC219" s="69"/>
      <c r="BD219" s="69"/>
      <c r="CD219" s="94">
        <f t="shared" si="23"/>
        <v>4103.75</v>
      </c>
      <c r="CE219" s="73">
        <f t="shared" si="20"/>
        <v>0</v>
      </c>
      <c r="CF219" s="75">
        <f t="shared" si="24"/>
        <v>5221</v>
      </c>
      <c r="CG219" s="69" t="str">
        <f t="shared" si="24"/>
        <v>ماليزى اسنان</v>
      </c>
    </row>
    <row r="220" spans="1:85" ht="18.75" x14ac:dyDescent="0.25">
      <c r="B220" s="82">
        <v>9533</v>
      </c>
      <c r="C220" s="70">
        <v>5222</v>
      </c>
      <c r="D220" s="71" t="s">
        <v>121</v>
      </c>
      <c r="E220" s="69" t="s">
        <v>2732</v>
      </c>
      <c r="G220" s="69">
        <v>2204.31</v>
      </c>
      <c r="T220" s="69"/>
      <c r="U220" s="69"/>
      <c r="AR220" s="94">
        <f t="shared" si="22"/>
        <v>2204.31</v>
      </c>
      <c r="AS220" s="69">
        <v>1475.6</v>
      </c>
      <c r="AT220" s="69">
        <v>197.6</v>
      </c>
      <c r="AU220" s="69">
        <v>531.11</v>
      </c>
      <c r="BC220" s="69"/>
      <c r="BD220" s="69"/>
      <c r="CD220" s="94">
        <f t="shared" si="23"/>
        <v>2204.31</v>
      </c>
      <c r="CE220" s="73">
        <f t="shared" si="20"/>
        <v>0</v>
      </c>
      <c r="CF220" s="75">
        <f t="shared" si="24"/>
        <v>5222</v>
      </c>
      <c r="CG220" s="69" t="str">
        <f t="shared" si="24"/>
        <v>ماليزى اسنان</v>
      </c>
    </row>
    <row r="221" spans="1:85" ht="18.75" x14ac:dyDescent="0.25">
      <c r="B221" s="82">
        <v>9535</v>
      </c>
      <c r="C221" s="70">
        <v>5223</v>
      </c>
      <c r="D221" s="71" t="s">
        <v>121</v>
      </c>
      <c r="E221" s="69" t="s">
        <v>2733</v>
      </c>
      <c r="G221" s="69">
        <v>4338.25</v>
      </c>
      <c r="T221" s="69"/>
      <c r="U221" s="69"/>
      <c r="AR221" s="94">
        <f t="shared" si="22"/>
        <v>4338.25</v>
      </c>
      <c r="AS221" s="69">
        <v>2901.5</v>
      </c>
      <c r="AT221" s="69">
        <v>391.5</v>
      </c>
      <c r="AU221" s="69">
        <v>1045.25</v>
      </c>
      <c r="BC221" s="69"/>
      <c r="BD221" s="69"/>
      <c r="CD221" s="94">
        <f t="shared" si="23"/>
        <v>4338.25</v>
      </c>
      <c r="CE221" s="73">
        <f t="shared" si="20"/>
        <v>0</v>
      </c>
      <c r="CF221" s="75">
        <f t="shared" si="24"/>
        <v>5223</v>
      </c>
      <c r="CG221" s="69" t="str">
        <f t="shared" si="24"/>
        <v>ماليزى اسنان</v>
      </c>
    </row>
    <row r="222" spans="1:85" ht="18.75" x14ac:dyDescent="0.25">
      <c r="B222" s="82">
        <v>9549</v>
      </c>
      <c r="C222" s="70">
        <v>5224</v>
      </c>
      <c r="D222" s="71" t="s">
        <v>121</v>
      </c>
      <c r="E222" s="69" t="s">
        <v>2734</v>
      </c>
      <c r="G222" s="69">
        <v>1758.75</v>
      </c>
      <c r="T222" s="69"/>
      <c r="U222" s="69"/>
      <c r="AR222" s="94">
        <f t="shared" si="22"/>
        <v>1758.75</v>
      </c>
      <c r="AS222" s="69">
        <v>1175.3499999999999</v>
      </c>
      <c r="AT222" s="69">
        <v>159.65</v>
      </c>
      <c r="AU222" s="69">
        <v>423.75</v>
      </c>
      <c r="BC222" s="69"/>
      <c r="BD222" s="69"/>
      <c r="CD222" s="94">
        <f t="shared" si="23"/>
        <v>1758.75</v>
      </c>
      <c r="CE222" s="73">
        <f t="shared" si="20"/>
        <v>0</v>
      </c>
      <c r="CF222" s="75">
        <f t="shared" si="24"/>
        <v>5224</v>
      </c>
      <c r="CG222" s="69" t="str">
        <f t="shared" si="24"/>
        <v>ماليزى اسنان</v>
      </c>
    </row>
    <row r="223" spans="1:85" ht="18.75" x14ac:dyDescent="0.25">
      <c r="B223" s="82">
        <v>9530</v>
      </c>
      <c r="C223" s="70">
        <v>5225</v>
      </c>
      <c r="D223" s="71" t="s">
        <v>121</v>
      </c>
      <c r="E223" s="69" t="s">
        <v>2735</v>
      </c>
      <c r="G223" s="69">
        <v>9438.64</v>
      </c>
      <c r="T223" s="69"/>
      <c r="U223" s="69"/>
      <c r="AR223" s="94">
        <f t="shared" si="22"/>
        <v>9438.64</v>
      </c>
      <c r="AS223" s="69">
        <v>6309.85</v>
      </c>
      <c r="AT223" s="69">
        <v>854.65</v>
      </c>
      <c r="AU223" s="69">
        <v>2274.14</v>
      </c>
      <c r="BC223" s="69"/>
      <c r="BD223" s="69"/>
      <c r="CD223" s="94">
        <f t="shared" si="23"/>
        <v>9438.64</v>
      </c>
      <c r="CE223" s="73">
        <f t="shared" si="20"/>
        <v>0</v>
      </c>
      <c r="CF223" s="75">
        <f t="shared" si="24"/>
        <v>5225</v>
      </c>
      <c r="CG223" s="69" t="str">
        <f t="shared" si="24"/>
        <v>ماليزى اسنان</v>
      </c>
    </row>
    <row r="224" spans="1:85" ht="18.75" x14ac:dyDescent="0.25">
      <c r="A224" s="69" t="s">
        <v>599</v>
      </c>
      <c r="B224" s="82">
        <v>9519</v>
      </c>
      <c r="C224" s="70">
        <v>5226</v>
      </c>
      <c r="D224" s="71" t="s">
        <v>121</v>
      </c>
      <c r="E224" s="69" t="s">
        <v>2736</v>
      </c>
      <c r="G224" s="69">
        <v>2051.88</v>
      </c>
      <c r="T224" s="69"/>
      <c r="U224" s="69"/>
      <c r="AR224" s="94">
        <f t="shared" si="22"/>
        <v>2051.88</v>
      </c>
      <c r="AS224" s="69">
        <v>1372.25</v>
      </c>
      <c r="AT224" s="69">
        <v>185.25</v>
      </c>
      <c r="AU224" s="69">
        <v>494.38</v>
      </c>
      <c r="BC224" s="69"/>
      <c r="BD224" s="69"/>
      <c r="CD224" s="94">
        <f t="shared" si="23"/>
        <v>2051.88</v>
      </c>
      <c r="CE224" s="73">
        <f t="shared" si="20"/>
        <v>0</v>
      </c>
      <c r="CF224" s="75">
        <f t="shared" si="24"/>
        <v>5226</v>
      </c>
      <c r="CG224" s="69" t="str">
        <f t="shared" si="24"/>
        <v>ماليزى اسنان</v>
      </c>
    </row>
    <row r="225" spans="1:87" ht="18.75" x14ac:dyDescent="0.25">
      <c r="A225" s="69" t="s">
        <v>599</v>
      </c>
      <c r="B225" s="82">
        <v>9520</v>
      </c>
      <c r="C225" s="70">
        <v>5227</v>
      </c>
      <c r="D225" s="71" t="s">
        <v>121</v>
      </c>
      <c r="E225" s="69" t="s">
        <v>2737</v>
      </c>
      <c r="G225" s="69">
        <v>18408.25</v>
      </c>
      <c r="T225" s="69"/>
      <c r="U225" s="69"/>
      <c r="AR225" s="94">
        <f t="shared" si="22"/>
        <v>18408.25</v>
      </c>
      <c r="AS225" s="69">
        <v>12300.9</v>
      </c>
      <c r="AT225" s="69">
        <v>1672.1</v>
      </c>
      <c r="AU225" s="69">
        <v>4435.25</v>
      </c>
      <c r="BC225" s="69"/>
      <c r="BD225" s="69"/>
      <c r="CD225" s="94">
        <f t="shared" si="23"/>
        <v>18408.25</v>
      </c>
      <c r="CE225" s="73">
        <f t="shared" si="20"/>
        <v>0</v>
      </c>
      <c r="CF225" s="75">
        <f t="shared" si="24"/>
        <v>5227</v>
      </c>
      <c r="CG225" s="69" t="str">
        <f t="shared" si="24"/>
        <v>ماليزى اسنان</v>
      </c>
      <c r="CI225" s="69">
        <f>172-48</f>
        <v>124</v>
      </c>
    </row>
    <row r="226" spans="1:87" ht="54" x14ac:dyDescent="0.25">
      <c r="B226" s="82">
        <v>9266</v>
      </c>
      <c r="C226" s="70">
        <v>5228</v>
      </c>
      <c r="D226" s="71" t="s">
        <v>121</v>
      </c>
      <c r="E226" s="77" t="s">
        <v>2738</v>
      </c>
      <c r="H226" s="69">
        <v>239913</v>
      </c>
      <c r="T226" s="69"/>
      <c r="U226" s="69"/>
      <c r="AR226" s="94">
        <f t="shared" si="22"/>
        <v>239913</v>
      </c>
      <c r="AS226" s="69">
        <v>232496.8</v>
      </c>
      <c r="AT226" s="69">
        <f>1362.4+4087.2+22.5</f>
        <v>5472.1</v>
      </c>
      <c r="BC226" s="69"/>
      <c r="BD226" s="69"/>
      <c r="BG226" s="69">
        <v>50</v>
      </c>
      <c r="BH226" s="69">
        <f>947.05*2</f>
        <v>1894.1</v>
      </c>
      <c r="CD226" s="94">
        <f t="shared" si="23"/>
        <v>239913</v>
      </c>
      <c r="CE226" s="73">
        <f t="shared" si="20"/>
        <v>0</v>
      </c>
      <c r="CF226" s="75">
        <f t="shared" si="24"/>
        <v>5228</v>
      </c>
      <c r="CG226" s="69" t="str">
        <f t="shared" si="24"/>
        <v>ماليزى اسنان</v>
      </c>
    </row>
    <row r="227" spans="1:87" ht="36" x14ac:dyDescent="0.25">
      <c r="B227" s="82">
        <v>9265</v>
      </c>
      <c r="C227" s="70">
        <v>5229</v>
      </c>
      <c r="D227" s="71" t="s">
        <v>121</v>
      </c>
      <c r="E227" s="77" t="s">
        <v>2739</v>
      </c>
      <c r="H227" s="69">
        <v>2000</v>
      </c>
      <c r="T227" s="69"/>
      <c r="U227" s="69"/>
      <c r="AR227" s="94">
        <f t="shared" si="22"/>
        <v>2000</v>
      </c>
      <c r="AS227" s="69">
        <v>1759.55</v>
      </c>
      <c r="AT227" s="69">
        <f>25.6+76.8+21.6</f>
        <v>124</v>
      </c>
      <c r="BC227" s="69"/>
      <c r="BD227" s="69"/>
      <c r="BF227" s="69">
        <v>52.65</v>
      </c>
      <c r="BG227" s="69">
        <v>48</v>
      </c>
      <c r="BH227" s="69">
        <f>7.9*2</f>
        <v>15.8</v>
      </c>
      <c r="CD227" s="94">
        <f t="shared" si="23"/>
        <v>2000</v>
      </c>
      <c r="CE227" s="73">
        <f t="shared" si="20"/>
        <v>0</v>
      </c>
      <c r="CF227" s="75">
        <f t="shared" si="24"/>
        <v>5229</v>
      </c>
      <c r="CG227" s="69" t="str">
        <f t="shared" si="24"/>
        <v>ماليزى اسنان</v>
      </c>
    </row>
    <row r="228" spans="1:87" ht="36" x14ac:dyDescent="0.25">
      <c r="B228" s="82">
        <v>9248</v>
      </c>
      <c r="C228" s="70">
        <v>5230</v>
      </c>
      <c r="D228" s="71" t="s">
        <v>121</v>
      </c>
      <c r="E228" s="77" t="s">
        <v>2740</v>
      </c>
      <c r="H228" s="69">
        <v>1938</v>
      </c>
      <c r="T228" s="69"/>
      <c r="U228" s="69"/>
      <c r="AA228" s="69">
        <v>1938</v>
      </c>
      <c r="AR228" s="94">
        <f t="shared" si="22"/>
        <v>3876</v>
      </c>
      <c r="AS228" s="69">
        <v>1938</v>
      </c>
      <c r="AT228" s="69"/>
      <c r="BC228" s="69"/>
      <c r="BD228" s="69"/>
      <c r="BQ228" s="69">
        <v>1938</v>
      </c>
      <c r="CD228" s="94">
        <f t="shared" si="23"/>
        <v>3876</v>
      </c>
      <c r="CE228" s="73">
        <f t="shared" si="20"/>
        <v>0</v>
      </c>
      <c r="CF228" s="75">
        <f t="shared" si="24"/>
        <v>5230</v>
      </c>
      <c r="CG228" s="69" t="str">
        <f t="shared" si="24"/>
        <v>ماليزى اسنان</v>
      </c>
    </row>
    <row r="229" spans="1:87" ht="18.75" x14ac:dyDescent="0.25">
      <c r="B229" s="82">
        <v>9254</v>
      </c>
      <c r="C229" s="70">
        <v>5231</v>
      </c>
      <c r="D229" s="71" t="s">
        <v>121</v>
      </c>
      <c r="E229" s="69" t="s">
        <v>2741</v>
      </c>
      <c r="H229" s="69">
        <v>102731</v>
      </c>
      <c r="T229" s="69"/>
      <c r="U229" s="69"/>
      <c r="AR229" s="94">
        <f t="shared" si="22"/>
        <v>102731</v>
      </c>
      <c r="AS229" s="69">
        <v>92661.75</v>
      </c>
      <c r="AT229" s="69">
        <f>716.25+2148.75+34.2</f>
        <v>2899.2</v>
      </c>
      <c r="AV229" s="69">
        <v>5</v>
      </c>
      <c r="BC229" s="69"/>
      <c r="BD229" s="69"/>
      <c r="BF229" s="69">
        <v>1027.5</v>
      </c>
      <c r="BG229" s="69">
        <v>76</v>
      </c>
      <c r="BH229" s="69">
        <f>462.5*2</f>
        <v>925</v>
      </c>
      <c r="BJ229" s="69">
        <v>5136.55</v>
      </c>
      <c r="CD229" s="94">
        <f t="shared" si="23"/>
        <v>102731</v>
      </c>
      <c r="CE229" s="73">
        <f t="shared" si="20"/>
        <v>0</v>
      </c>
      <c r="CF229" s="75">
        <f t="shared" si="24"/>
        <v>5231</v>
      </c>
      <c r="CG229" s="69" t="str">
        <f t="shared" si="24"/>
        <v>ماليزى اسنان</v>
      </c>
    </row>
    <row r="230" spans="1:87" ht="18.75" x14ac:dyDescent="0.25">
      <c r="B230" s="82">
        <v>8561</v>
      </c>
      <c r="C230" s="70">
        <v>5232</v>
      </c>
      <c r="D230" s="71" t="s">
        <v>137</v>
      </c>
      <c r="E230" s="69" t="s">
        <v>2742</v>
      </c>
      <c r="H230" s="69">
        <v>29868</v>
      </c>
      <c r="T230" s="69"/>
      <c r="U230" s="69"/>
      <c r="AR230" s="94">
        <f t="shared" si="22"/>
        <v>29868</v>
      </c>
      <c r="AS230" s="69">
        <v>28467.599999999999</v>
      </c>
      <c r="AT230" s="69">
        <f>257.25+771.75+32.4</f>
        <v>1061.4000000000001</v>
      </c>
      <c r="AV230" s="69">
        <v>5</v>
      </c>
      <c r="BC230" s="69"/>
      <c r="BD230" s="69"/>
      <c r="BF230" s="69">
        <v>262</v>
      </c>
      <c r="BG230" s="69">
        <v>72</v>
      </c>
      <c r="CD230" s="94">
        <f t="shared" si="23"/>
        <v>29868</v>
      </c>
      <c r="CE230" s="73">
        <f t="shared" si="20"/>
        <v>0</v>
      </c>
      <c r="CF230" s="75">
        <f t="shared" si="24"/>
        <v>5232</v>
      </c>
      <c r="CG230" s="69" t="str">
        <f t="shared" si="24"/>
        <v xml:space="preserve">خدمة عامة </v>
      </c>
    </row>
    <row r="231" spans="1:87" ht="18.75" x14ac:dyDescent="0.25">
      <c r="B231" s="82">
        <v>8558</v>
      </c>
      <c r="C231" s="70">
        <v>5233</v>
      </c>
      <c r="D231" s="71" t="s">
        <v>137</v>
      </c>
      <c r="E231" s="69" t="s">
        <v>2743</v>
      </c>
      <c r="H231" s="69">
        <v>24800</v>
      </c>
      <c r="T231" s="69"/>
      <c r="U231" s="69"/>
      <c r="AR231" s="94">
        <f t="shared" si="22"/>
        <v>24800</v>
      </c>
      <c r="AS231" s="69">
        <v>22117.75</v>
      </c>
      <c r="AT231" s="69">
        <f>230.5+691.5+31.5</f>
        <v>953.5</v>
      </c>
      <c r="AV231" s="69">
        <v>5</v>
      </c>
      <c r="BC231" s="69"/>
      <c r="BD231" s="69"/>
      <c r="BF231" s="69">
        <v>217.75</v>
      </c>
      <c r="BG231" s="69">
        <v>70</v>
      </c>
      <c r="BH231" s="69">
        <f>98*2</f>
        <v>196</v>
      </c>
      <c r="BI231" s="69">
        <v>1240</v>
      </c>
      <c r="CD231" s="94">
        <f t="shared" si="23"/>
        <v>24800</v>
      </c>
      <c r="CE231" s="73">
        <f t="shared" si="20"/>
        <v>0</v>
      </c>
      <c r="CF231" s="75">
        <f t="shared" si="24"/>
        <v>5233</v>
      </c>
      <c r="CG231" s="69" t="str">
        <f t="shared" si="24"/>
        <v xml:space="preserve">خدمة عامة </v>
      </c>
    </row>
    <row r="232" spans="1:87" ht="36" x14ac:dyDescent="0.25">
      <c r="B232" s="82">
        <v>8560</v>
      </c>
      <c r="C232" s="70">
        <v>5234</v>
      </c>
      <c r="D232" s="71" t="s">
        <v>137</v>
      </c>
      <c r="E232" s="77" t="s">
        <v>2744</v>
      </c>
      <c r="H232" s="69">
        <v>35568</v>
      </c>
      <c r="T232" s="69"/>
      <c r="U232" s="69"/>
      <c r="AR232" s="94">
        <f t="shared" si="22"/>
        <v>35568</v>
      </c>
      <c r="AS232" s="69">
        <v>33994.699999999997</v>
      </c>
      <c r="AT232" s="69">
        <f>287.25+861.75+33.3</f>
        <v>1182.3</v>
      </c>
      <c r="AV232" s="69">
        <v>5</v>
      </c>
      <c r="BC232" s="69"/>
      <c r="BD232" s="69"/>
      <c r="BF232" s="69">
        <v>312</v>
      </c>
      <c r="BG232" s="69">
        <v>74</v>
      </c>
      <c r="CD232" s="94">
        <f t="shared" si="23"/>
        <v>35568</v>
      </c>
      <c r="CE232" s="73">
        <f t="shared" si="20"/>
        <v>0</v>
      </c>
      <c r="CF232" s="75">
        <f t="shared" si="24"/>
        <v>5234</v>
      </c>
      <c r="CG232" s="69" t="str">
        <f t="shared" si="24"/>
        <v xml:space="preserve">خدمة عامة </v>
      </c>
    </row>
    <row r="233" spans="1:87" ht="36" x14ac:dyDescent="0.25">
      <c r="B233" s="82">
        <v>9255</v>
      </c>
      <c r="C233" s="70">
        <v>5235</v>
      </c>
      <c r="D233" s="71" t="s">
        <v>137</v>
      </c>
      <c r="E233" s="77" t="s">
        <v>2744</v>
      </c>
      <c r="H233" s="69">
        <v>6060.81</v>
      </c>
      <c r="T233" s="69"/>
      <c r="U233" s="69"/>
      <c r="AR233" s="94">
        <f t="shared" si="22"/>
        <v>6060.81</v>
      </c>
      <c r="AS233" s="69">
        <v>5562.81</v>
      </c>
      <c r="AT233" s="69">
        <f>84.5+253.5+31.5</f>
        <v>369.5</v>
      </c>
      <c r="AV233" s="69">
        <v>5</v>
      </c>
      <c r="BC233" s="69"/>
      <c r="BD233" s="69"/>
      <c r="BF233" s="69">
        <v>53.5</v>
      </c>
      <c r="BG233" s="69">
        <v>70</v>
      </c>
      <c r="CD233" s="94">
        <f t="shared" si="23"/>
        <v>6060.81</v>
      </c>
      <c r="CE233" s="73">
        <f t="shared" si="20"/>
        <v>0</v>
      </c>
      <c r="CF233" s="75">
        <f t="shared" si="24"/>
        <v>5235</v>
      </c>
      <c r="CG233" s="69" t="str">
        <f t="shared" si="24"/>
        <v xml:space="preserve">خدمة عامة </v>
      </c>
    </row>
    <row r="234" spans="1:87" ht="18.75" x14ac:dyDescent="0.25">
      <c r="B234" s="82">
        <v>9264</v>
      </c>
      <c r="C234" s="70">
        <v>5236</v>
      </c>
      <c r="D234" s="71" t="s">
        <v>130</v>
      </c>
      <c r="E234" s="69" t="s">
        <v>2745</v>
      </c>
      <c r="H234" s="69">
        <v>102600</v>
      </c>
      <c r="T234" s="69"/>
      <c r="U234" s="69"/>
      <c r="AR234" s="94">
        <f t="shared" si="22"/>
        <v>102600</v>
      </c>
      <c r="AS234" s="69">
        <v>91279</v>
      </c>
      <c r="AT234" s="69">
        <v>2596</v>
      </c>
      <c r="AV234" s="69">
        <v>5</v>
      </c>
      <c r="BC234" s="69"/>
      <c r="BD234" s="69"/>
      <c r="BF234" s="69">
        <v>2700</v>
      </c>
      <c r="BG234" s="69">
        <v>80</v>
      </c>
      <c r="BH234" s="69">
        <f>405*2</f>
        <v>810</v>
      </c>
      <c r="BI234" s="69">
        <v>5130</v>
      </c>
      <c r="CD234" s="94">
        <f t="shared" si="23"/>
        <v>102600</v>
      </c>
      <c r="CE234" s="73">
        <f t="shared" si="20"/>
        <v>0</v>
      </c>
      <c r="CF234" s="75">
        <f t="shared" si="24"/>
        <v>5236</v>
      </c>
      <c r="CG234" s="69" t="str">
        <f t="shared" si="24"/>
        <v>خ ت طب</v>
      </c>
    </row>
    <row r="235" spans="1:87" ht="18.75" x14ac:dyDescent="0.25">
      <c r="B235" s="82">
        <v>9263</v>
      </c>
      <c r="C235" s="70">
        <v>5237</v>
      </c>
      <c r="D235" s="71" t="s">
        <v>130</v>
      </c>
      <c r="E235" s="69" t="s">
        <v>2746</v>
      </c>
      <c r="H235" s="69">
        <v>1650</v>
      </c>
      <c r="T235" s="69"/>
      <c r="U235" s="69"/>
      <c r="AR235" s="94">
        <f t="shared" si="22"/>
        <v>1650</v>
      </c>
      <c r="AS235" s="69">
        <v>1492</v>
      </c>
      <c r="AT235" s="69">
        <v>89.4</v>
      </c>
      <c r="BC235" s="69"/>
      <c r="BD235" s="69"/>
      <c r="BF235" s="69">
        <v>43.5</v>
      </c>
      <c r="BG235" s="69">
        <v>12</v>
      </c>
      <c r="BH235" s="69">
        <f>6.55*2</f>
        <v>13.1</v>
      </c>
      <c r="CD235" s="94">
        <f t="shared" si="23"/>
        <v>1650</v>
      </c>
      <c r="CE235" s="73">
        <f t="shared" si="20"/>
        <v>0</v>
      </c>
      <c r="CF235" s="75">
        <f t="shared" si="24"/>
        <v>5237</v>
      </c>
      <c r="CG235" s="69" t="str">
        <f t="shared" si="24"/>
        <v>خ ت طب</v>
      </c>
    </row>
    <row r="236" spans="1:87" ht="18.75" x14ac:dyDescent="0.25">
      <c r="B236" s="82">
        <v>9267</v>
      </c>
      <c r="C236" s="70">
        <v>5238</v>
      </c>
      <c r="D236" s="71" t="s">
        <v>130</v>
      </c>
      <c r="E236" s="69" t="s">
        <v>2747</v>
      </c>
      <c r="H236" s="69">
        <v>27474</v>
      </c>
      <c r="T236" s="69"/>
      <c r="U236" s="69"/>
      <c r="AR236" s="94">
        <f t="shared" si="22"/>
        <v>27474</v>
      </c>
      <c r="AS236" s="69">
        <v>24784</v>
      </c>
      <c r="AT236" s="69">
        <v>1014.4</v>
      </c>
      <c r="AV236" s="69">
        <v>5</v>
      </c>
      <c r="BC236" s="69"/>
      <c r="BD236" s="69"/>
      <c r="BG236" s="69">
        <v>80</v>
      </c>
      <c r="BH236" s="69">
        <f>108.45*2</f>
        <v>216.9</v>
      </c>
      <c r="BI236" s="69">
        <v>1373.7</v>
      </c>
      <c r="CD236" s="94">
        <f t="shared" si="23"/>
        <v>27474.000000000004</v>
      </c>
      <c r="CE236" s="73">
        <f t="shared" si="20"/>
        <v>0</v>
      </c>
      <c r="CF236" s="75">
        <f t="shared" si="24"/>
        <v>5238</v>
      </c>
      <c r="CG236" s="69" t="str">
        <f t="shared" si="24"/>
        <v>خ ت طب</v>
      </c>
    </row>
    <row r="237" spans="1:87" ht="18.75" x14ac:dyDescent="0.25">
      <c r="B237" s="82">
        <v>9256</v>
      </c>
      <c r="C237" s="70">
        <v>5239</v>
      </c>
      <c r="D237" s="71" t="s">
        <v>78</v>
      </c>
      <c r="E237" s="69" t="s">
        <v>615</v>
      </c>
      <c r="H237" s="69">
        <v>1425</v>
      </c>
      <c r="T237" s="69"/>
      <c r="U237" s="69"/>
      <c r="AR237" s="94">
        <f t="shared" si="22"/>
        <v>1425</v>
      </c>
      <c r="AS237" s="69">
        <v>1295.3</v>
      </c>
      <c r="AT237" s="69">
        <v>74.7</v>
      </c>
      <c r="BC237" s="69"/>
      <c r="BD237" s="69"/>
      <c r="BF237" s="69">
        <v>37.5</v>
      </c>
      <c r="BG237" s="69">
        <v>6</v>
      </c>
      <c r="BH237" s="69">
        <f>5.75*2</f>
        <v>11.5</v>
      </c>
      <c r="CD237" s="94">
        <f t="shared" si="23"/>
        <v>1425</v>
      </c>
      <c r="CE237" s="73">
        <f t="shared" si="20"/>
        <v>0</v>
      </c>
      <c r="CF237" s="75">
        <f t="shared" si="24"/>
        <v>5239</v>
      </c>
      <c r="CG237" s="69" t="str">
        <f t="shared" si="24"/>
        <v>برنامج دولى</v>
      </c>
    </row>
    <row r="238" spans="1:87" ht="18.75" x14ac:dyDescent="0.25">
      <c r="B238" s="82">
        <v>8844</v>
      </c>
      <c r="C238" s="70">
        <v>5240</v>
      </c>
      <c r="D238" s="71" t="s">
        <v>78</v>
      </c>
      <c r="E238" s="69" t="s">
        <v>2748</v>
      </c>
      <c r="H238" s="69">
        <v>45280</v>
      </c>
      <c r="T238" s="69"/>
      <c r="U238" s="69"/>
      <c r="AR238" s="94">
        <f t="shared" si="22"/>
        <v>45280</v>
      </c>
      <c r="AS238" s="69">
        <v>41541.599999999999</v>
      </c>
      <c r="AT238" s="69">
        <v>1389.4</v>
      </c>
      <c r="AV238" s="69">
        <v>5</v>
      </c>
      <c r="BC238" s="69"/>
      <c r="BD238" s="69"/>
      <c r="BG238" s="69">
        <v>80</v>
      </c>
      <c r="BI238" s="69">
        <v>2264</v>
      </c>
      <c r="CD238" s="94">
        <f t="shared" si="23"/>
        <v>45280</v>
      </c>
      <c r="CE238" s="73">
        <f t="shared" si="20"/>
        <v>0</v>
      </c>
      <c r="CF238" s="75">
        <f t="shared" si="24"/>
        <v>5240</v>
      </c>
      <c r="CG238" s="69" t="str">
        <f t="shared" si="24"/>
        <v>برنامج دولى</v>
      </c>
    </row>
    <row r="239" spans="1:87" ht="18.75" x14ac:dyDescent="0.25">
      <c r="B239" s="82">
        <v>5358</v>
      </c>
      <c r="C239" s="70">
        <v>5241</v>
      </c>
      <c r="D239" s="71" t="s">
        <v>119</v>
      </c>
      <c r="E239" s="69" t="s">
        <v>2749</v>
      </c>
      <c r="H239" s="69">
        <v>4856.3999999999996</v>
      </c>
      <c r="T239" s="69"/>
      <c r="U239" s="69"/>
      <c r="AR239" s="94">
        <f t="shared" si="22"/>
        <v>4856.3999999999996</v>
      </c>
      <c r="AS239" s="69">
        <v>4491.6000000000004</v>
      </c>
      <c r="AT239" s="69">
        <v>274.2</v>
      </c>
      <c r="BC239" s="69"/>
      <c r="BD239" s="69"/>
      <c r="BF239" s="69">
        <v>42.6</v>
      </c>
      <c r="BG239" s="69">
        <v>48</v>
      </c>
      <c r="CD239" s="94">
        <f t="shared" si="23"/>
        <v>4856.4000000000005</v>
      </c>
      <c r="CE239" s="73">
        <f t="shared" si="20"/>
        <v>0</v>
      </c>
      <c r="CF239" s="75">
        <f t="shared" si="24"/>
        <v>5241</v>
      </c>
      <c r="CG239" s="69" t="str">
        <f t="shared" si="24"/>
        <v>خ ت صيدلة</v>
      </c>
    </row>
    <row r="240" spans="1:87" ht="18.75" x14ac:dyDescent="0.25">
      <c r="B240" s="82">
        <v>8427</v>
      </c>
      <c r="C240" s="70">
        <v>5242</v>
      </c>
      <c r="D240" s="71" t="s">
        <v>132</v>
      </c>
      <c r="E240" s="69" t="s">
        <v>2750</v>
      </c>
      <c r="G240" s="69">
        <v>5000</v>
      </c>
      <c r="T240" s="69"/>
      <c r="U240" s="69"/>
      <c r="AR240" s="94">
        <f t="shared" ref="AR240:AR246" si="25">SUM(G240:AQ240)</f>
        <v>5000</v>
      </c>
      <c r="AS240" s="69">
        <v>5000</v>
      </c>
      <c r="AT240" s="69"/>
      <c r="BC240" s="69"/>
      <c r="BD240" s="69"/>
      <c r="CD240" s="94">
        <f t="shared" si="23"/>
        <v>5000</v>
      </c>
      <c r="CE240" s="73">
        <f t="shared" ref="CE240:CE246" si="26">+CD240-AR240</f>
        <v>0</v>
      </c>
      <c r="CF240" s="75">
        <f t="shared" ref="CF240:CG246" si="27">+C240</f>
        <v>5242</v>
      </c>
      <c r="CG240" s="69" t="str">
        <f t="shared" si="27"/>
        <v>صيدلة اكلينيكى</v>
      </c>
    </row>
    <row r="241" spans="1:89" ht="18.75" x14ac:dyDescent="0.25">
      <c r="B241" s="82">
        <v>8748</v>
      </c>
      <c r="C241" s="70">
        <v>5243</v>
      </c>
      <c r="D241" s="71" t="s">
        <v>132</v>
      </c>
      <c r="E241" s="69" t="s">
        <v>2751</v>
      </c>
      <c r="H241" s="69">
        <v>7400</v>
      </c>
      <c r="T241" s="69"/>
      <c r="U241" s="69"/>
      <c r="AR241" s="94">
        <f t="shared" si="25"/>
        <v>7400</v>
      </c>
      <c r="AS241" s="69">
        <v>7400</v>
      </c>
      <c r="AT241" s="69"/>
      <c r="BC241" s="69"/>
      <c r="BD241" s="69"/>
      <c r="CD241" s="94">
        <f t="shared" si="23"/>
        <v>7400</v>
      </c>
      <c r="CE241" s="73">
        <f t="shared" si="26"/>
        <v>0</v>
      </c>
      <c r="CF241" s="75">
        <f t="shared" si="27"/>
        <v>5243</v>
      </c>
      <c r="CG241" s="69" t="str">
        <f t="shared" si="27"/>
        <v>صيدلة اكلينيكى</v>
      </c>
    </row>
    <row r="242" spans="1:89" ht="18.75" x14ac:dyDescent="0.25">
      <c r="B242" s="82">
        <v>9249</v>
      </c>
      <c r="C242" s="70">
        <v>5244</v>
      </c>
      <c r="D242" s="71" t="s">
        <v>132</v>
      </c>
      <c r="E242" s="69" t="s">
        <v>2752</v>
      </c>
      <c r="H242" s="69">
        <v>1433.95</v>
      </c>
      <c r="T242" s="69"/>
      <c r="U242" s="69"/>
      <c r="AR242" s="94">
        <f t="shared" si="25"/>
        <v>1433.95</v>
      </c>
      <c r="AS242" s="69">
        <v>1433.95</v>
      </c>
      <c r="AT242" s="69"/>
      <c r="BC242" s="69"/>
      <c r="BD242" s="69"/>
      <c r="CD242" s="94">
        <f t="shared" si="23"/>
        <v>1433.95</v>
      </c>
      <c r="CE242" s="73">
        <f t="shared" si="26"/>
        <v>0</v>
      </c>
      <c r="CF242" s="75">
        <f t="shared" si="27"/>
        <v>5244</v>
      </c>
      <c r="CG242" s="69" t="str">
        <f t="shared" si="27"/>
        <v>صيدلة اكلينيكى</v>
      </c>
    </row>
    <row r="243" spans="1:89" s="121" customFormat="1" ht="36" x14ac:dyDescent="0.25">
      <c r="A243" s="117" t="s">
        <v>2753</v>
      </c>
      <c r="B243" s="118">
        <v>8747</v>
      </c>
      <c r="C243" s="119">
        <v>5245</v>
      </c>
      <c r="D243" s="120" t="s">
        <v>132</v>
      </c>
      <c r="E243" s="121" t="s">
        <v>2372</v>
      </c>
      <c r="F243" s="122"/>
      <c r="H243" s="121">
        <v>10656</v>
      </c>
      <c r="AR243" s="123">
        <f t="shared" si="25"/>
        <v>10656</v>
      </c>
      <c r="AS243" s="121">
        <v>9848.4</v>
      </c>
      <c r="AT243" s="121">
        <v>669</v>
      </c>
      <c r="BF243" s="121">
        <v>106.6</v>
      </c>
      <c r="BG243" s="121">
        <v>32</v>
      </c>
      <c r="CD243" s="123">
        <f t="shared" si="23"/>
        <v>10656</v>
      </c>
      <c r="CE243" s="124">
        <f t="shared" si="26"/>
        <v>0</v>
      </c>
      <c r="CF243" s="125">
        <f t="shared" si="27"/>
        <v>5245</v>
      </c>
      <c r="CG243" s="121" t="str">
        <f t="shared" si="27"/>
        <v>صيدلة اكلينيكى</v>
      </c>
    </row>
    <row r="244" spans="1:89" ht="18.75" x14ac:dyDescent="0.25">
      <c r="B244" s="82">
        <v>6368</v>
      </c>
      <c r="C244" s="70">
        <v>5246</v>
      </c>
      <c r="D244" s="71" t="s">
        <v>132</v>
      </c>
      <c r="E244" s="69" t="s">
        <v>2754</v>
      </c>
      <c r="H244" s="69">
        <v>4902</v>
      </c>
      <c r="T244" s="69"/>
      <c r="U244" s="69"/>
      <c r="AR244" s="94">
        <f t="shared" si="25"/>
        <v>4902</v>
      </c>
      <c r="AS244" s="69">
        <v>4548.8999999999996</v>
      </c>
      <c r="AT244" s="69">
        <v>272.10000000000002</v>
      </c>
      <c r="BC244" s="69"/>
      <c r="BD244" s="69"/>
      <c r="BF244" s="69">
        <v>43</v>
      </c>
      <c r="BG244" s="69">
        <v>38</v>
      </c>
      <c r="CD244" s="94">
        <f t="shared" si="23"/>
        <v>4902</v>
      </c>
      <c r="CE244" s="73">
        <f t="shared" si="26"/>
        <v>0</v>
      </c>
      <c r="CF244" s="75">
        <f t="shared" si="27"/>
        <v>5246</v>
      </c>
      <c r="CG244" s="69" t="str">
        <f t="shared" si="27"/>
        <v>صيدلة اكلينيكى</v>
      </c>
    </row>
    <row r="245" spans="1:89" ht="18.75" x14ac:dyDescent="0.25">
      <c r="B245" s="82">
        <v>8746</v>
      </c>
      <c r="C245" s="70">
        <v>5247</v>
      </c>
      <c r="D245" s="71" t="s">
        <v>132</v>
      </c>
      <c r="E245" s="69" t="s">
        <v>2755</v>
      </c>
      <c r="K245" s="69">
        <v>2793</v>
      </c>
      <c r="L245" s="69">
        <v>2793</v>
      </c>
      <c r="M245" s="69">
        <v>2793</v>
      </c>
      <c r="T245" s="69"/>
      <c r="U245" s="69"/>
      <c r="AR245" s="94">
        <f t="shared" si="25"/>
        <v>8379</v>
      </c>
      <c r="AS245" s="69">
        <v>2440.85</v>
      </c>
      <c r="AT245" s="69">
        <v>158.4</v>
      </c>
      <c r="BC245" s="69"/>
      <c r="BD245" s="69"/>
      <c r="BG245" s="69">
        <v>32</v>
      </c>
      <c r="BH245" s="69">
        <f>11.05*2</f>
        <v>22.1</v>
      </c>
      <c r="BI245" s="69">
        <v>139.65</v>
      </c>
      <c r="BK245" s="69">
        <v>2793</v>
      </c>
      <c r="BL245" s="69">
        <v>2793</v>
      </c>
      <c r="CD245" s="94">
        <f t="shared" si="23"/>
        <v>8379</v>
      </c>
      <c r="CE245" s="73">
        <f t="shared" si="26"/>
        <v>0</v>
      </c>
      <c r="CF245" s="75">
        <f t="shared" si="27"/>
        <v>5247</v>
      </c>
      <c r="CG245" s="69" t="str">
        <f t="shared" si="27"/>
        <v>صيدلة اكلينيكى</v>
      </c>
    </row>
    <row r="246" spans="1:89" ht="18.75" x14ac:dyDescent="0.25">
      <c r="B246" s="82">
        <v>9112</v>
      </c>
      <c r="C246" s="70">
        <v>5248</v>
      </c>
      <c r="D246" s="71" t="s">
        <v>78</v>
      </c>
      <c r="E246" s="69" t="s">
        <v>2756</v>
      </c>
      <c r="K246" s="69">
        <v>220499.94</v>
      </c>
      <c r="L246" s="69">
        <v>220499.94</v>
      </c>
      <c r="M246" s="69">
        <v>220499.94</v>
      </c>
      <c r="T246" s="69"/>
      <c r="U246" s="69"/>
      <c r="AR246" s="94">
        <f t="shared" si="25"/>
        <v>661499.82000000007</v>
      </c>
      <c r="AS246" s="69">
        <v>202377.74</v>
      </c>
      <c r="AT246" s="69">
        <f>1260.55+3781.65+36</f>
        <v>5078.2</v>
      </c>
      <c r="AV246" s="69">
        <v>5</v>
      </c>
      <c r="BC246" s="69"/>
      <c r="BD246" s="69"/>
      <c r="BF246" s="69">
        <v>1934</v>
      </c>
      <c r="BG246" s="69">
        <v>80</v>
      </c>
      <c r="BI246" s="69">
        <v>11025</v>
      </c>
      <c r="BK246" s="69">
        <v>220499.94</v>
      </c>
      <c r="BL246" s="69">
        <v>220499.94</v>
      </c>
      <c r="CD246" s="94">
        <f t="shared" si="23"/>
        <v>661499.82000000007</v>
      </c>
      <c r="CE246" s="73">
        <f t="shared" si="26"/>
        <v>0</v>
      </c>
      <c r="CF246" s="75">
        <f t="shared" si="27"/>
        <v>5248</v>
      </c>
      <c r="CG246" s="69" t="str">
        <f t="shared" si="27"/>
        <v>برنامج دولى</v>
      </c>
    </row>
    <row r="247" spans="1:89" s="68" customFormat="1" ht="18.75" x14ac:dyDescent="0.25">
      <c r="B247" s="83"/>
      <c r="C247" s="84"/>
      <c r="D247" s="85"/>
      <c r="E247" s="68" t="s">
        <v>2757</v>
      </c>
      <c r="G247" s="68">
        <f t="shared" ref="G247:AL247" si="28">SUM(G48:G246)</f>
        <v>1188669.8199999996</v>
      </c>
      <c r="H247" s="68">
        <f t="shared" si="28"/>
        <v>650556.16000000003</v>
      </c>
      <c r="I247" s="68">
        <f t="shared" si="28"/>
        <v>0</v>
      </c>
      <c r="J247" s="68">
        <f t="shared" si="28"/>
        <v>0</v>
      </c>
      <c r="K247" s="68">
        <f t="shared" si="28"/>
        <v>223292.94</v>
      </c>
      <c r="L247" s="68">
        <f t="shared" si="28"/>
        <v>223292.94</v>
      </c>
      <c r="M247" s="68">
        <f t="shared" si="28"/>
        <v>223292.94</v>
      </c>
      <c r="N247" s="68">
        <f t="shared" si="28"/>
        <v>0</v>
      </c>
      <c r="O247" s="68">
        <f t="shared" si="28"/>
        <v>0</v>
      </c>
      <c r="P247" s="68">
        <f t="shared" si="28"/>
        <v>0</v>
      </c>
      <c r="Q247" s="68">
        <f t="shared" si="28"/>
        <v>0</v>
      </c>
      <c r="R247" s="68">
        <f t="shared" si="28"/>
        <v>0</v>
      </c>
      <c r="S247" s="68">
        <f t="shared" si="28"/>
        <v>0</v>
      </c>
      <c r="T247" s="68">
        <f t="shared" si="28"/>
        <v>0</v>
      </c>
      <c r="U247" s="68">
        <f t="shared" si="28"/>
        <v>0</v>
      </c>
      <c r="V247" s="68">
        <f t="shared" si="28"/>
        <v>0</v>
      </c>
      <c r="W247" s="68">
        <f t="shared" si="28"/>
        <v>0</v>
      </c>
      <c r="X247" s="68">
        <f t="shared" si="28"/>
        <v>0</v>
      </c>
      <c r="Y247" s="68">
        <f t="shared" si="28"/>
        <v>0</v>
      </c>
      <c r="Z247" s="68">
        <f t="shared" si="28"/>
        <v>0</v>
      </c>
      <c r="AA247" s="68">
        <f t="shared" si="28"/>
        <v>1938</v>
      </c>
      <c r="AB247" s="68">
        <f t="shared" si="28"/>
        <v>0</v>
      </c>
      <c r="AC247" s="68">
        <f t="shared" si="28"/>
        <v>0</v>
      </c>
      <c r="AD247" s="68">
        <f t="shared" si="28"/>
        <v>0</v>
      </c>
      <c r="AE247" s="68">
        <f t="shared" si="28"/>
        <v>0</v>
      </c>
      <c r="AF247" s="68">
        <f t="shared" si="28"/>
        <v>0</v>
      </c>
      <c r="AG247" s="68">
        <f t="shared" si="28"/>
        <v>0</v>
      </c>
      <c r="AH247" s="68">
        <f t="shared" si="28"/>
        <v>0</v>
      </c>
      <c r="AI247" s="68">
        <f t="shared" si="28"/>
        <v>0</v>
      </c>
      <c r="AJ247" s="68">
        <f t="shared" si="28"/>
        <v>0</v>
      </c>
      <c r="AK247" s="68">
        <f t="shared" si="28"/>
        <v>0</v>
      </c>
      <c r="AL247" s="68">
        <f t="shared" si="28"/>
        <v>0</v>
      </c>
      <c r="AM247" s="68">
        <f t="shared" ref="AM247:CE247" si="29">SUM(AM48:AM246)</f>
        <v>0</v>
      </c>
      <c r="AO247" s="68">
        <f t="shared" si="29"/>
        <v>0</v>
      </c>
      <c r="AP247" s="68">
        <f t="shared" si="29"/>
        <v>0</v>
      </c>
      <c r="AQ247" s="68">
        <f t="shared" si="29"/>
        <v>0</v>
      </c>
      <c r="AR247" s="68">
        <f t="shared" si="29"/>
        <v>2511042.7999999998</v>
      </c>
      <c r="AS247" s="68">
        <f t="shared" si="29"/>
        <v>1762033.6200000003</v>
      </c>
      <c r="AT247" s="68">
        <f t="shared" si="29"/>
        <v>133490.38999999996</v>
      </c>
      <c r="AU247" s="68">
        <f t="shared" si="29"/>
        <v>118168.51000000001</v>
      </c>
      <c r="AV247" s="68">
        <f t="shared" si="29"/>
        <v>10486.049999999997</v>
      </c>
      <c r="AW247" s="68">
        <f t="shared" si="29"/>
        <v>0</v>
      </c>
      <c r="AX247" s="68">
        <f t="shared" si="29"/>
        <v>0</v>
      </c>
      <c r="AY247" s="68">
        <f t="shared" si="29"/>
        <v>0</v>
      </c>
      <c r="AZ247" s="68">
        <f t="shared" si="29"/>
        <v>0</v>
      </c>
      <c r="BA247" s="68">
        <f t="shared" si="29"/>
        <v>0</v>
      </c>
      <c r="BB247" s="68">
        <f t="shared" si="29"/>
        <v>0</v>
      </c>
      <c r="BC247" s="68">
        <f t="shared" si="29"/>
        <v>0</v>
      </c>
      <c r="BD247" s="68">
        <f t="shared" si="29"/>
        <v>0</v>
      </c>
      <c r="BE247" s="68">
        <f t="shared" si="29"/>
        <v>146.35</v>
      </c>
      <c r="BF247" s="68">
        <f t="shared" si="29"/>
        <v>6832.6</v>
      </c>
      <c r="BG247" s="68">
        <f t="shared" si="29"/>
        <v>948</v>
      </c>
      <c r="BH247" s="68">
        <f t="shared" si="29"/>
        <v>4104.5</v>
      </c>
      <c r="BI247" s="68">
        <f t="shared" si="29"/>
        <v>21172.35</v>
      </c>
      <c r="BJ247" s="68">
        <f t="shared" si="29"/>
        <v>5136.55</v>
      </c>
      <c r="BK247" s="68">
        <f t="shared" si="29"/>
        <v>223292.94</v>
      </c>
      <c r="BL247" s="68">
        <f t="shared" si="29"/>
        <v>223292.94</v>
      </c>
      <c r="BM247" s="68">
        <f t="shared" si="29"/>
        <v>0</v>
      </c>
      <c r="BN247" s="68">
        <f t="shared" si="29"/>
        <v>0</v>
      </c>
      <c r="BO247" s="68">
        <f t="shared" si="29"/>
        <v>0</v>
      </c>
      <c r="BP247" s="68">
        <f t="shared" si="29"/>
        <v>0</v>
      </c>
      <c r="BQ247" s="68">
        <f t="shared" si="29"/>
        <v>1938</v>
      </c>
      <c r="BR247" s="68">
        <f t="shared" si="29"/>
        <v>0</v>
      </c>
      <c r="BS247" s="68">
        <f t="shared" si="29"/>
        <v>0</v>
      </c>
      <c r="BT247" s="68">
        <f t="shared" si="29"/>
        <v>0</v>
      </c>
      <c r="BU247" s="68">
        <f t="shared" si="29"/>
        <v>0</v>
      </c>
      <c r="BV247" s="68">
        <f t="shared" si="29"/>
        <v>0</v>
      </c>
      <c r="BW247" s="68">
        <f t="shared" si="29"/>
        <v>0</v>
      </c>
      <c r="BX247" s="68">
        <f t="shared" si="29"/>
        <v>0</v>
      </c>
      <c r="BY247" s="68">
        <f t="shared" si="29"/>
        <v>0</v>
      </c>
      <c r="CA247" s="68">
        <f t="shared" si="29"/>
        <v>0</v>
      </c>
      <c r="CB247" s="68">
        <f t="shared" si="29"/>
        <v>0</v>
      </c>
      <c r="CC247" s="68">
        <f t="shared" si="29"/>
        <v>0</v>
      </c>
      <c r="CD247" s="68">
        <f t="shared" si="29"/>
        <v>2511042.7999999998</v>
      </c>
      <c r="CE247" s="68">
        <f t="shared" si="29"/>
        <v>0</v>
      </c>
      <c r="CF247" s="75"/>
      <c r="CG247" s="69"/>
      <c r="CH247" s="68">
        <f>SUM(CH48:CH246)</f>
        <v>0</v>
      </c>
      <c r="CI247" s="68">
        <f>SUM(CI48:CI246)</f>
        <v>124</v>
      </c>
      <c r="CJ247" s="68">
        <f>SUM(CJ48:CJ246)</f>
        <v>0</v>
      </c>
      <c r="CK247" s="68">
        <f>SUM(CK48:CK246)</f>
        <v>0</v>
      </c>
    </row>
    <row r="248" spans="1:89" ht="18.75" x14ac:dyDescent="0.25">
      <c r="B248" s="82">
        <v>9561</v>
      </c>
      <c r="C248" s="70">
        <v>5249</v>
      </c>
      <c r="D248" s="71" t="s">
        <v>124</v>
      </c>
      <c r="E248" s="69" t="s">
        <v>2758</v>
      </c>
      <c r="S248" s="69">
        <v>193.44</v>
      </c>
      <c r="T248" s="69"/>
      <c r="U248" s="69"/>
      <c r="AR248" s="94">
        <f t="shared" ref="AR248:AR279" si="30">SUM(G248:AQ248)</f>
        <v>193.44</v>
      </c>
      <c r="AS248" s="69">
        <v>193.44</v>
      </c>
      <c r="AT248" s="69"/>
      <c r="BC248" s="69"/>
      <c r="BD248" s="69"/>
      <c r="CD248" s="94">
        <f t="shared" ref="CD248:CD311" si="31">SUM(AS248:CC248)</f>
        <v>193.44</v>
      </c>
      <c r="CE248" s="73">
        <f t="shared" ref="CE248:CE311" si="32">+CD248-AR248</f>
        <v>0</v>
      </c>
      <c r="CF248" s="75">
        <f t="shared" ref="CF248:CG279" si="33">+C248</f>
        <v>5249</v>
      </c>
      <c r="CG248" s="69" t="str">
        <f t="shared" si="33"/>
        <v>تكافل اسنان</v>
      </c>
    </row>
    <row r="249" spans="1:89" ht="18.75" x14ac:dyDescent="0.25">
      <c r="B249" s="82">
        <v>9560</v>
      </c>
      <c r="C249" s="70">
        <v>5250</v>
      </c>
      <c r="D249" s="71" t="s">
        <v>122</v>
      </c>
      <c r="E249" s="69" t="s">
        <v>2758</v>
      </c>
      <c r="S249" s="69">
        <v>3567.91</v>
      </c>
      <c r="T249" s="69"/>
      <c r="U249" s="69"/>
      <c r="AR249" s="94">
        <f t="shared" si="30"/>
        <v>3567.91</v>
      </c>
      <c r="AS249" s="69">
        <v>3567.91</v>
      </c>
      <c r="AT249" s="69"/>
      <c r="BC249" s="69"/>
      <c r="BD249" s="69"/>
      <c r="CD249" s="94">
        <f t="shared" si="31"/>
        <v>3567.91</v>
      </c>
      <c r="CE249" s="73">
        <f t="shared" si="32"/>
        <v>0</v>
      </c>
      <c r="CF249" s="75">
        <f t="shared" si="33"/>
        <v>5250</v>
      </c>
      <c r="CG249" s="69" t="str">
        <f t="shared" si="33"/>
        <v>علاج تخصصى</v>
      </c>
    </row>
    <row r="250" spans="1:89" ht="18.75" x14ac:dyDescent="0.25">
      <c r="B250" s="82">
        <v>9559</v>
      </c>
      <c r="C250" s="70">
        <v>5251</v>
      </c>
      <c r="D250" s="71" t="s">
        <v>123</v>
      </c>
      <c r="E250" s="69" t="s">
        <v>2758</v>
      </c>
      <c r="S250" s="69">
        <v>18247.48</v>
      </c>
      <c r="T250" s="69"/>
      <c r="U250" s="69"/>
      <c r="AR250" s="94">
        <f t="shared" si="30"/>
        <v>18247.48</v>
      </c>
      <c r="AS250" s="69">
        <v>18247.48</v>
      </c>
      <c r="AT250" s="69"/>
      <c r="BC250" s="69"/>
      <c r="BD250" s="69"/>
      <c r="CD250" s="94">
        <f t="shared" si="31"/>
        <v>18247.48</v>
      </c>
      <c r="CE250" s="73">
        <f t="shared" si="32"/>
        <v>0</v>
      </c>
      <c r="CF250" s="75">
        <f t="shared" si="33"/>
        <v>5251</v>
      </c>
      <c r="CG250" s="69" t="str">
        <f t="shared" si="33"/>
        <v>خ ت اسنان</v>
      </c>
    </row>
    <row r="251" spans="1:89" ht="18.75" x14ac:dyDescent="0.25">
      <c r="B251" s="82">
        <v>9558</v>
      </c>
      <c r="C251" s="70">
        <v>5252</v>
      </c>
      <c r="D251" s="71" t="s">
        <v>137</v>
      </c>
      <c r="E251" s="69" t="s">
        <v>2758</v>
      </c>
      <c r="S251" s="69">
        <v>119069.86</v>
      </c>
      <c r="T251" s="69"/>
      <c r="U251" s="69"/>
      <c r="AR251" s="94">
        <f t="shared" si="30"/>
        <v>119069.86</v>
      </c>
      <c r="AS251" s="69">
        <v>119069.86</v>
      </c>
      <c r="AT251" s="69"/>
      <c r="BC251" s="69"/>
      <c r="BD251" s="69"/>
      <c r="CD251" s="94">
        <f t="shared" si="31"/>
        <v>119069.86</v>
      </c>
      <c r="CE251" s="73">
        <f t="shared" si="32"/>
        <v>0</v>
      </c>
      <c r="CF251" s="75">
        <f t="shared" si="33"/>
        <v>5252</v>
      </c>
      <c r="CG251" s="69" t="str">
        <f t="shared" si="33"/>
        <v xml:space="preserve">خدمة عامة </v>
      </c>
    </row>
    <row r="252" spans="1:89" ht="18.75" x14ac:dyDescent="0.25">
      <c r="B252" s="82">
        <v>9557</v>
      </c>
      <c r="C252" s="70">
        <v>5253</v>
      </c>
      <c r="D252" s="71" t="s">
        <v>125</v>
      </c>
      <c r="E252" s="69" t="s">
        <v>2758</v>
      </c>
      <c r="S252" s="69">
        <v>2282.9</v>
      </c>
      <c r="T252" s="69"/>
      <c r="U252" s="69"/>
      <c r="AR252" s="94">
        <f t="shared" si="30"/>
        <v>2282.9</v>
      </c>
      <c r="AS252" s="69">
        <v>2282.9</v>
      </c>
      <c r="AT252" s="69"/>
      <c r="BC252" s="69"/>
      <c r="BD252" s="69"/>
      <c r="CD252" s="94">
        <f t="shared" si="31"/>
        <v>2282.9</v>
      </c>
      <c r="CE252" s="73">
        <f t="shared" si="32"/>
        <v>0</v>
      </c>
      <c r="CF252" s="75">
        <f t="shared" si="33"/>
        <v>5253</v>
      </c>
      <c r="CG252" s="69" t="str">
        <f t="shared" si="33"/>
        <v>اختبار مواد</v>
      </c>
    </row>
    <row r="253" spans="1:89" ht="18.75" x14ac:dyDescent="0.25">
      <c r="B253" s="82">
        <v>9556</v>
      </c>
      <c r="C253" s="70">
        <v>5254</v>
      </c>
      <c r="D253" s="71" t="s">
        <v>121</v>
      </c>
      <c r="E253" s="69" t="s">
        <v>2758</v>
      </c>
      <c r="S253" s="69">
        <v>125639.09</v>
      </c>
      <c r="T253" s="69"/>
      <c r="U253" s="69"/>
      <c r="AR253" s="94">
        <f t="shared" si="30"/>
        <v>125639.09</v>
      </c>
      <c r="AS253" s="69">
        <v>125639.09</v>
      </c>
      <c r="AT253" s="69"/>
      <c r="BC253" s="69"/>
      <c r="BD253" s="69"/>
      <c r="CD253" s="94">
        <f t="shared" si="31"/>
        <v>125639.09</v>
      </c>
      <c r="CE253" s="73">
        <f t="shared" si="32"/>
        <v>0</v>
      </c>
      <c r="CF253" s="75">
        <f t="shared" si="33"/>
        <v>5254</v>
      </c>
      <c r="CG253" s="69" t="str">
        <f t="shared" si="33"/>
        <v>ماليزى اسنان</v>
      </c>
    </row>
    <row r="254" spans="1:89" ht="18.75" x14ac:dyDescent="0.25">
      <c r="B254" s="82">
        <v>9552</v>
      </c>
      <c r="C254" s="70">
        <v>5255</v>
      </c>
      <c r="D254" s="71" t="s">
        <v>128</v>
      </c>
      <c r="E254" s="69" t="s">
        <v>2758</v>
      </c>
      <c r="S254" s="69">
        <v>17520.509999999998</v>
      </c>
      <c r="T254" s="69"/>
      <c r="U254" s="69"/>
      <c r="AR254" s="94">
        <f t="shared" si="30"/>
        <v>17520.509999999998</v>
      </c>
      <c r="AS254" s="69">
        <v>17520.509999999998</v>
      </c>
      <c r="AT254" s="69"/>
      <c r="BC254" s="69"/>
      <c r="BD254" s="69"/>
      <c r="CD254" s="94">
        <f t="shared" si="31"/>
        <v>17520.509999999998</v>
      </c>
      <c r="CE254" s="73">
        <f t="shared" si="32"/>
        <v>0</v>
      </c>
      <c r="CF254" s="75">
        <f t="shared" si="33"/>
        <v>5255</v>
      </c>
      <c r="CG254" s="69" t="str">
        <f t="shared" si="33"/>
        <v>مركز مؤتمرات</v>
      </c>
    </row>
    <row r="255" spans="1:89" ht="18.75" x14ac:dyDescent="0.25">
      <c r="B255" s="82">
        <v>9551</v>
      </c>
      <c r="C255" s="70">
        <v>5256</v>
      </c>
      <c r="D255" s="71" t="s">
        <v>130</v>
      </c>
      <c r="E255" s="69" t="s">
        <v>2758</v>
      </c>
      <c r="S255" s="69">
        <v>3049.7</v>
      </c>
      <c r="T255" s="69"/>
      <c r="U255" s="69"/>
      <c r="AR255" s="94">
        <f t="shared" si="30"/>
        <v>3049.7</v>
      </c>
      <c r="AS255" s="69">
        <v>3049.7</v>
      </c>
      <c r="AT255" s="69"/>
      <c r="BC255" s="69"/>
      <c r="BD255" s="69"/>
      <c r="CD255" s="94">
        <f t="shared" si="31"/>
        <v>3049.7</v>
      </c>
      <c r="CE255" s="73">
        <f t="shared" si="32"/>
        <v>0</v>
      </c>
      <c r="CF255" s="75">
        <f t="shared" si="33"/>
        <v>5256</v>
      </c>
      <c r="CG255" s="69" t="str">
        <f t="shared" si="33"/>
        <v>خ ت طب</v>
      </c>
    </row>
    <row r="256" spans="1:89" ht="18.75" x14ac:dyDescent="0.25">
      <c r="B256" s="82">
        <v>9550</v>
      </c>
      <c r="C256" s="70">
        <v>5257</v>
      </c>
      <c r="D256" s="71" t="s">
        <v>78</v>
      </c>
      <c r="E256" s="69" t="s">
        <v>2758</v>
      </c>
      <c r="S256" s="69">
        <v>854665.73</v>
      </c>
      <c r="T256" s="69"/>
      <c r="U256" s="69"/>
      <c r="AR256" s="94">
        <f t="shared" si="30"/>
        <v>854665.73</v>
      </c>
      <c r="AS256" s="69">
        <v>854665.73</v>
      </c>
      <c r="AT256" s="69"/>
      <c r="BC256" s="69"/>
      <c r="BD256" s="69"/>
      <c r="CD256" s="94">
        <f t="shared" si="31"/>
        <v>854665.73</v>
      </c>
      <c r="CE256" s="73">
        <f t="shared" si="32"/>
        <v>0</v>
      </c>
      <c r="CF256" s="75">
        <f t="shared" si="33"/>
        <v>5257</v>
      </c>
      <c r="CG256" s="69" t="str">
        <f t="shared" si="33"/>
        <v>برنامج دولى</v>
      </c>
    </row>
    <row r="257" spans="2:85" ht="18.75" x14ac:dyDescent="0.25">
      <c r="B257" s="82">
        <v>9555</v>
      </c>
      <c r="C257" s="70">
        <v>5258</v>
      </c>
      <c r="D257" s="71" t="s">
        <v>729</v>
      </c>
      <c r="E257" s="69" t="s">
        <v>2758</v>
      </c>
      <c r="S257" s="69">
        <v>1272.45</v>
      </c>
      <c r="T257" s="69"/>
      <c r="U257" s="69"/>
      <c r="AR257" s="94">
        <f t="shared" si="30"/>
        <v>1272.45</v>
      </c>
      <c r="AS257" s="69">
        <v>1272.45</v>
      </c>
      <c r="AT257" s="69"/>
      <c r="BC257" s="69"/>
      <c r="BD257" s="69"/>
      <c r="CD257" s="94">
        <f t="shared" si="31"/>
        <v>1272.45</v>
      </c>
      <c r="CE257" s="73">
        <f t="shared" si="32"/>
        <v>0</v>
      </c>
      <c r="CF257" s="75">
        <f t="shared" si="33"/>
        <v>5258</v>
      </c>
      <c r="CG257" s="69" t="str">
        <f t="shared" si="33"/>
        <v>خدمات صيدلة</v>
      </c>
    </row>
    <row r="258" spans="2:85" ht="18.75" x14ac:dyDescent="0.25">
      <c r="B258" s="82">
        <v>9554</v>
      </c>
      <c r="C258" s="70">
        <v>5259</v>
      </c>
      <c r="D258" s="71" t="s">
        <v>119</v>
      </c>
      <c r="E258" s="69" t="s">
        <v>2758</v>
      </c>
      <c r="S258" s="69">
        <v>41839.730000000003</v>
      </c>
      <c r="T258" s="69"/>
      <c r="U258" s="69"/>
      <c r="AR258" s="94">
        <f t="shared" si="30"/>
        <v>41839.730000000003</v>
      </c>
      <c r="AS258" s="69">
        <v>41839.730000000003</v>
      </c>
      <c r="AT258" s="69"/>
      <c r="BC258" s="69"/>
      <c r="BD258" s="69"/>
      <c r="CD258" s="94">
        <f t="shared" si="31"/>
        <v>41839.730000000003</v>
      </c>
      <c r="CE258" s="73">
        <f t="shared" si="32"/>
        <v>0</v>
      </c>
      <c r="CF258" s="75">
        <f t="shared" si="33"/>
        <v>5259</v>
      </c>
      <c r="CG258" s="69" t="str">
        <f t="shared" si="33"/>
        <v>خ ت صيدلة</v>
      </c>
    </row>
    <row r="259" spans="2:85" ht="18.75" x14ac:dyDescent="0.25">
      <c r="B259" s="82">
        <v>9553</v>
      </c>
      <c r="C259" s="70">
        <v>5260</v>
      </c>
      <c r="D259" s="71" t="s">
        <v>132</v>
      </c>
      <c r="E259" s="69" t="s">
        <v>2758</v>
      </c>
      <c r="S259" s="69">
        <v>59782.94</v>
      </c>
      <c r="T259" s="69"/>
      <c r="U259" s="69"/>
      <c r="AR259" s="94">
        <f t="shared" si="30"/>
        <v>59782.94</v>
      </c>
      <c r="AS259" s="69">
        <v>59782.94</v>
      </c>
      <c r="AT259" s="69"/>
      <c r="BC259" s="69"/>
      <c r="BD259" s="69"/>
      <c r="CD259" s="94">
        <f t="shared" si="31"/>
        <v>59782.94</v>
      </c>
      <c r="CE259" s="73">
        <f t="shared" si="32"/>
        <v>0</v>
      </c>
      <c r="CF259" s="75">
        <f t="shared" si="33"/>
        <v>5260</v>
      </c>
      <c r="CG259" s="69" t="str">
        <f t="shared" si="33"/>
        <v>صيدلة اكلينيكى</v>
      </c>
    </row>
    <row r="260" spans="2:85" ht="18.75" x14ac:dyDescent="0.25">
      <c r="B260" s="82">
        <v>9266</v>
      </c>
      <c r="C260" s="70">
        <v>5261</v>
      </c>
      <c r="D260" s="71" t="s">
        <v>137</v>
      </c>
      <c r="E260" s="69" t="s">
        <v>2759</v>
      </c>
      <c r="G260" s="69">
        <v>1231.1400000000001</v>
      </c>
      <c r="T260" s="69"/>
      <c r="U260" s="69"/>
      <c r="AR260" s="94">
        <f t="shared" si="30"/>
        <v>1231.1400000000001</v>
      </c>
      <c r="AS260" s="69">
        <v>771.9</v>
      </c>
      <c r="AT260" s="69">
        <v>110.1</v>
      </c>
      <c r="AU260" s="69">
        <v>296.64</v>
      </c>
      <c r="AV260" s="69">
        <v>52.5</v>
      </c>
      <c r="BC260" s="69"/>
      <c r="BD260" s="69"/>
      <c r="CD260" s="94">
        <f t="shared" si="31"/>
        <v>1231.1399999999999</v>
      </c>
      <c r="CE260" s="73">
        <f t="shared" si="32"/>
        <v>0</v>
      </c>
      <c r="CF260" s="75">
        <f t="shared" si="33"/>
        <v>5261</v>
      </c>
      <c r="CG260" s="69" t="str">
        <f t="shared" si="33"/>
        <v xml:space="preserve">خدمة عامة </v>
      </c>
    </row>
    <row r="261" spans="2:85" ht="18.75" x14ac:dyDescent="0.25">
      <c r="B261" s="82">
        <v>8212</v>
      </c>
      <c r="C261" s="70">
        <v>5262</v>
      </c>
      <c r="D261" s="71" t="s">
        <v>78</v>
      </c>
      <c r="E261" s="69" t="s">
        <v>2760</v>
      </c>
      <c r="G261" s="69">
        <v>2567.7800000000002</v>
      </c>
      <c r="T261" s="69"/>
      <c r="U261" s="69"/>
      <c r="AR261" s="94">
        <f t="shared" si="30"/>
        <v>2567.7800000000002</v>
      </c>
      <c r="AS261" s="69">
        <v>1714.4</v>
      </c>
      <c r="AT261" s="69">
        <f>219+15.7</f>
        <v>234.7</v>
      </c>
      <c r="AU261" s="69">
        <v>618.67999999999995</v>
      </c>
      <c r="BC261" s="69"/>
      <c r="BD261" s="69"/>
      <c r="CD261" s="94">
        <f t="shared" si="31"/>
        <v>2567.7800000000002</v>
      </c>
      <c r="CE261" s="73">
        <f t="shared" si="32"/>
        <v>0</v>
      </c>
      <c r="CF261" s="75">
        <f t="shared" si="33"/>
        <v>5262</v>
      </c>
      <c r="CG261" s="69" t="str">
        <f t="shared" si="33"/>
        <v>برنامج دولى</v>
      </c>
    </row>
    <row r="262" spans="2:85" ht="18.75" x14ac:dyDescent="0.25">
      <c r="B262" s="82">
        <v>8168</v>
      </c>
      <c r="C262" s="70">
        <v>5263</v>
      </c>
      <c r="D262" s="71" t="s">
        <v>78</v>
      </c>
      <c r="E262" s="69" t="s">
        <v>2761</v>
      </c>
      <c r="G262" s="69">
        <v>1618.05</v>
      </c>
      <c r="T262" s="69"/>
      <c r="U262" s="69"/>
      <c r="AR262" s="94">
        <f t="shared" si="30"/>
        <v>1618.05</v>
      </c>
      <c r="AS262" s="69">
        <v>1080.2</v>
      </c>
      <c r="AT262" s="69">
        <f>138+10</f>
        <v>148</v>
      </c>
      <c r="AU262" s="69">
        <v>389.85</v>
      </c>
      <c r="BC262" s="69"/>
      <c r="BD262" s="69"/>
      <c r="CD262" s="94">
        <f t="shared" si="31"/>
        <v>1618.0500000000002</v>
      </c>
      <c r="CE262" s="73">
        <f t="shared" si="32"/>
        <v>0</v>
      </c>
      <c r="CF262" s="75">
        <f t="shared" si="33"/>
        <v>5263</v>
      </c>
      <c r="CG262" s="69" t="str">
        <f t="shared" si="33"/>
        <v>برنامج دولى</v>
      </c>
    </row>
    <row r="263" spans="2:85" ht="18.75" x14ac:dyDescent="0.25">
      <c r="B263" s="82">
        <v>9209</v>
      </c>
      <c r="C263" s="70">
        <v>5264</v>
      </c>
      <c r="D263" s="71" t="s">
        <v>78</v>
      </c>
      <c r="E263" s="69" t="s">
        <v>1007</v>
      </c>
      <c r="G263" s="69">
        <v>1758.75</v>
      </c>
      <c r="T263" s="69"/>
      <c r="U263" s="69"/>
      <c r="AR263" s="94">
        <f t="shared" si="30"/>
        <v>1758.75</v>
      </c>
      <c r="AS263" s="69">
        <v>1175.3499999999999</v>
      </c>
      <c r="AT263" s="69">
        <f>9.65+150</f>
        <v>159.65</v>
      </c>
      <c r="AU263" s="69">
        <v>423.75</v>
      </c>
      <c r="BC263" s="69"/>
      <c r="BD263" s="69"/>
      <c r="CD263" s="94">
        <f t="shared" si="31"/>
        <v>1758.75</v>
      </c>
      <c r="CE263" s="73">
        <f t="shared" si="32"/>
        <v>0</v>
      </c>
      <c r="CF263" s="75">
        <f t="shared" si="33"/>
        <v>5264</v>
      </c>
      <c r="CG263" s="69" t="str">
        <f t="shared" si="33"/>
        <v>برنامج دولى</v>
      </c>
    </row>
    <row r="264" spans="2:85" ht="18.75" x14ac:dyDescent="0.25">
      <c r="B264" s="82">
        <v>9202</v>
      </c>
      <c r="C264" s="70">
        <v>5265</v>
      </c>
      <c r="D264" s="71" t="s">
        <v>78</v>
      </c>
      <c r="E264" s="69" t="s">
        <v>1007</v>
      </c>
      <c r="G264" s="69">
        <v>4181.2700000000004</v>
      </c>
      <c r="T264" s="69"/>
      <c r="U264" s="69"/>
      <c r="AR264" s="94">
        <f t="shared" si="30"/>
        <v>4181.2700000000004</v>
      </c>
      <c r="AS264" s="69">
        <v>3151.58</v>
      </c>
      <c r="AT264" s="69">
        <v>405.3</v>
      </c>
      <c r="AU264" s="69">
        <v>624.39</v>
      </c>
      <c r="BC264" s="69"/>
      <c r="BD264" s="69"/>
      <c r="CD264" s="94">
        <f t="shared" si="31"/>
        <v>4181.2700000000004</v>
      </c>
      <c r="CE264" s="73">
        <f t="shared" si="32"/>
        <v>0</v>
      </c>
      <c r="CF264" s="75">
        <f t="shared" si="33"/>
        <v>5265</v>
      </c>
      <c r="CG264" s="69" t="str">
        <f t="shared" si="33"/>
        <v>برنامج دولى</v>
      </c>
    </row>
    <row r="265" spans="2:85" ht="18.75" x14ac:dyDescent="0.25">
      <c r="B265" s="82">
        <v>9201</v>
      </c>
      <c r="C265" s="70">
        <v>5266</v>
      </c>
      <c r="D265" s="71" t="s">
        <v>78</v>
      </c>
      <c r="E265" s="69" t="s">
        <v>1007</v>
      </c>
      <c r="G265" s="69">
        <v>8090.25</v>
      </c>
      <c r="T265" s="69"/>
      <c r="U265" s="69"/>
      <c r="AR265" s="94">
        <f t="shared" si="30"/>
        <v>8090.25</v>
      </c>
      <c r="AS265" s="69">
        <v>5408.1</v>
      </c>
      <c r="AT265" s="69">
        <f>42.9+690</f>
        <v>732.9</v>
      </c>
      <c r="AU265" s="69">
        <f>2682.15-42.9-690</f>
        <v>1949.25</v>
      </c>
      <c r="BC265" s="69"/>
      <c r="BD265" s="69"/>
      <c r="CD265" s="94">
        <f t="shared" si="31"/>
        <v>8090.25</v>
      </c>
      <c r="CE265" s="73">
        <f t="shared" si="32"/>
        <v>0</v>
      </c>
      <c r="CF265" s="75">
        <f t="shared" si="33"/>
        <v>5266</v>
      </c>
      <c r="CG265" s="69" t="str">
        <f t="shared" si="33"/>
        <v>برنامج دولى</v>
      </c>
    </row>
    <row r="266" spans="2:85" ht="18.75" x14ac:dyDescent="0.25">
      <c r="B266" s="82">
        <v>9312</v>
      </c>
      <c r="C266" s="70">
        <v>5267</v>
      </c>
      <c r="D266" s="71" t="s">
        <v>78</v>
      </c>
      <c r="E266" s="69" t="s">
        <v>2762</v>
      </c>
      <c r="G266" s="69">
        <v>2989.88</v>
      </c>
      <c r="T266" s="69"/>
      <c r="U266" s="69"/>
      <c r="AR266" s="94">
        <f t="shared" si="30"/>
        <v>2989.88</v>
      </c>
      <c r="AS266" s="69">
        <v>1996.9</v>
      </c>
      <c r="AT266" s="69">
        <f>17.6+255</f>
        <v>272.60000000000002</v>
      </c>
      <c r="AU266" s="69">
        <v>720.38</v>
      </c>
      <c r="BC266" s="69"/>
      <c r="BD266" s="69"/>
      <c r="CD266" s="94">
        <f t="shared" si="31"/>
        <v>2989.88</v>
      </c>
      <c r="CE266" s="73">
        <f t="shared" si="32"/>
        <v>0</v>
      </c>
      <c r="CF266" s="75">
        <f t="shared" si="33"/>
        <v>5267</v>
      </c>
      <c r="CG266" s="69" t="str">
        <f t="shared" si="33"/>
        <v>برنامج دولى</v>
      </c>
    </row>
    <row r="267" spans="2:85" ht="18.75" x14ac:dyDescent="0.25">
      <c r="B267" s="82">
        <v>9214</v>
      </c>
      <c r="C267" s="70">
        <v>5268</v>
      </c>
      <c r="D267" s="71" t="s">
        <v>78</v>
      </c>
      <c r="E267" s="69" t="s">
        <v>2762</v>
      </c>
      <c r="G267" s="69">
        <v>902.1</v>
      </c>
      <c r="T267" s="69"/>
      <c r="U267" s="69"/>
      <c r="AR267" s="94">
        <f t="shared" si="30"/>
        <v>902.1</v>
      </c>
      <c r="AS267" s="69">
        <v>711.8</v>
      </c>
      <c r="AT267" s="69">
        <v>88.6</v>
      </c>
      <c r="AU267" s="69">
        <v>101.7</v>
      </c>
      <c r="BC267" s="69"/>
      <c r="BD267" s="69"/>
      <c r="CD267" s="94">
        <f t="shared" si="31"/>
        <v>902.1</v>
      </c>
      <c r="CE267" s="73">
        <f t="shared" si="32"/>
        <v>0</v>
      </c>
      <c r="CF267" s="75">
        <f t="shared" si="33"/>
        <v>5268</v>
      </c>
      <c r="CG267" s="69" t="str">
        <f t="shared" si="33"/>
        <v>برنامج دولى</v>
      </c>
    </row>
    <row r="268" spans="2:85" ht="18.75" x14ac:dyDescent="0.25">
      <c r="B268" s="82">
        <v>9213</v>
      </c>
      <c r="C268" s="70">
        <v>5269</v>
      </c>
      <c r="D268" s="71" t="s">
        <v>78</v>
      </c>
      <c r="E268" s="69" t="s">
        <v>2762</v>
      </c>
      <c r="G268" s="69">
        <v>25612.85</v>
      </c>
      <c r="T268" s="69"/>
      <c r="U268" s="69"/>
      <c r="AR268" s="94">
        <f t="shared" si="30"/>
        <v>25612.85</v>
      </c>
      <c r="AS268" s="69">
        <v>21139.360000000001</v>
      </c>
      <c r="AT268" s="69">
        <v>2618.25</v>
      </c>
      <c r="AU268" s="69">
        <v>1855.24</v>
      </c>
      <c r="BC268" s="69"/>
      <c r="BD268" s="69"/>
      <c r="CD268" s="94">
        <f t="shared" si="31"/>
        <v>25612.850000000002</v>
      </c>
      <c r="CE268" s="73">
        <f t="shared" si="32"/>
        <v>0</v>
      </c>
      <c r="CF268" s="75">
        <f t="shared" si="33"/>
        <v>5269</v>
      </c>
      <c r="CG268" s="69" t="str">
        <f t="shared" si="33"/>
        <v>برنامج دولى</v>
      </c>
    </row>
    <row r="269" spans="2:85" ht="18.75" x14ac:dyDescent="0.25">
      <c r="B269" s="82">
        <v>9212</v>
      </c>
      <c r="C269" s="70">
        <v>5270</v>
      </c>
      <c r="D269" s="71" t="s">
        <v>78</v>
      </c>
      <c r="E269" s="69" t="s">
        <v>2763</v>
      </c>
      <c r="G269" s="69">
        <v>39704.720000000001</v>
      </c>
      <c r="T269" s="69"/>
      <c r="U269" s="69"/>
      <c r="AR269" s="94">
        <f t="shared" si="30"/>
        <v>39704.720000000001</v>
      </c>
      <c r="AS269" s="69">
        <v>34449.78</v>
      </c>
      <c r="AT269" s="69">
        <v>4199.1000000000004</v>
      </c>
      <c r="AU269" s="69">
        <v>1055.8399999999999</v>
      </c>
      <c r="BC269" s="69"/>
      <c r="BD269" s="69"/>
      <c r="CD269" s="94">
        <f t="shared" si="31"/>
        <v>39704.719999999994</v>
      </c>
      <c r="CE269" s="73">
        <f t="shared" si="32"/>
        <v>0</v>
      </c>
      <c r="CF269" s="75">
        <f t="shared" si="33"/>
        <v>5270</v>
      </c>
      <c r="CG269" s="69" t="str">
        <f t="shared" si="33"/>
        <v>برنامج دولى</v>
      </c>
    </row>
    <row r="270" spans="2:85" ht="18.75" x14ac:dyDescent="0.25">
      <c r="B270" s="82">
        <v>9210</v>
      </c>
      <c r="C270" s="70">
        <v>5271</v>
      </c>
      <c r="D270" s="71" t="s">
        <v>78</v>
      </c>
      <c r="E270" s="69" t="str">
        <f>+E265</f>
        <v>مكافاه كنترول مصرى</v>
      </c>
      <c r="G270" s="69">
        <v>3258.75</v>
      </c>
      <c r="T270" s="69"/>
      <c r="U270" s="69"/>
      <c r="AR270" s="94">
        <f t="shared" si="30"/>
        <v>3258.75</v>
      </c>
      <c r="AS270" s="69">
        <v>2514.4499999999998</v>
      </c>
      <c r="AT270" s="69">
        <v>320.55</v>
      </c>
      <c r="AU270" s="69">
        <v>423.75</v>
      </c>
      <c r="BC270" s="69"/>
      <c r="BD270" s="69"/>
      <c r="CD270" s="94">
        <f t="shared" si="31"/>
        <v>3258.75</v>
      </c>
      <c r="CE270" s="73">
        <f t="shared" si="32"/>
        <v>0</v>
      </c>
      <c r="CF270" s="75">
        <f t="shared" si="33"/>
        <v>5271</v>
      </c>
      <c r="CG270" s="69" t="str">
        <f t="shared" si="33"/>
        <v>برنامج دولى</v>
      </c>
    </row>
    <row r="271" spans="2:85" ht="18.75" x14ac:dyDescent="0.25">
      <c r="B271" s="82">
        <v>9211</v>
      </c>
      <c r="C271" s="70">
        <v>5272</v>
      </c>
      <c r="D271" s="71" t="s">
        <v>78</v>
      </c>
      <c r="E271" s="69" t="s">
        <v>1007</v>
      </c>
      <c r="G271" s="69">
        <v>20179.75</v>
      </c>
      <c r="T271" s="69"/>
      <c r="U271" s="69"/>
      <c r="AR271" s="94">
        <f t="shared" si="30"/>
        <v>20179.75</v>
      </c>
      <c r="AS271" s="69">
        <v>14042.85</v>
      </c>
      <c r="AT271" s="69">
        <v>1871.15</v>
      </c>
      <c r="AU271" s="69">
        <v>4265.75</v>
      </c>
      <c r="BC271" s="69"/>
      <c r="BD271" s="69"/>
      <c r="CD271" s="94">
        <f t="shared" si="31"/>
        <v>20179.75</v>
      </c>
      <c r="CE271" s="73">
        <f t="shared" si="32"/>
        <v>0</v>
      </c>
      <c r="CF271" s="75">
        <f t="shared" si="33"/>
        <v>5272</v>
      </c>
      <c r="CG271" s="69" t="str">
        <f t="shared" si="33"/>
        <v>برنامج دولى</v>
      </c>
    </row>
    <row r="272" spans="2:85" ht="18.75" x14ac:dyDescent="0.25">
      <c r="B272" s="82">
        <v>9213</v>
      </c>
      <c r="C272" s="70">
        <v>5273</v>
      </c>
      <c r="D272" s="71" t="s">
        <v>78</v>
      </c>
      <c r="E272" s="69" t="s">
        <v>935</v>
      </c>
      <c r="G272" s="69">
        <v>12703.5</v>
      </c>
      <c r="T272" s="69"/>
      <c r="U272" s="69"/>
      <c r="AR272" s="94">
        <f t="shared" si="30"/>
        <v>12703.5</v>
      </c>
      <c r="AS272" s="69">
        <v>11176.85</v>
      </c>
      <c r="AT272" s="69">
        <v>1357.15</v>
      </c>
      <c r="AU272" s="69">
        <v>169.5</v>
      </c>
      <c r="BC272" s="69"/>
      <c r="BD272" s="69"/>
      <c r="CD272" s="94">
        <f t="shared" si="31"/>
        <v>12703.5</v>
      </c>
      <c r="CE272" s="73">
        <f t="shared" si="32"/>
        <v>0</v>
      </c>
      <c r="CF272" s="75">
        <f t="shared" si="33"/>
        <v>5273</v>
      </c>
      <c r="CG272" s="69" t="str">
        <f t="shared" si="33"/>
        <v>برنامج دولى</v>
      </c>
    </row>
    <row r="273" spans="2:85" ht="18.75" x14ac:dyDescent="0.25">
      <c r="B273" s="82">
        <v>9204</v>
      </c>
      <c r="C273" s="70">
        <v>5274</v>
      </c>
      <c r="D273" s="71" t="s">
        <v>78</v>
      </c>
      <c r="E273" s="69" t="s">
        <v>1007</v>
      </c>
      <c r="G273" s="69">
        <v>10035</v>
      </c>
      <c r="T273" s="69"/>
      <c r="U273" s="69"/>
      <c r="AR273" s="94">
        <f t="shared" si="30"/>
        <v>10035</v>
      </c>
      <c r="AS273" s="69">
        <v>7379.6</v>
      </c>
      <c r="AT273" s="69">
        <v>960.4</v>
      </c>
      <c r="AU273" s="69">
        <v>1695</v>
      </c>
      <c r="BC273" s="69"/>
      <c r="BD273" s="69"/>
      <c r="CD273" s="94">
        <f t="shared" si="31"/>
        <v>10035</v>
      </c>
      <c r="CE273" s="73">
        <f t="shared" si="32"/>
        <v>0</v>
      </c>
      <c r="CF273" s="75">
        <f t="shared" si="33"/>
        <v>5274</v>
      </c>
      <c r="CG273" s="69" t="str">
        <f t="shared" si="33"/>
        <v>برنامج دولى</v>
      </c>
    </row>
    <row r="274" spans="2:85" ht="18.75" x14ac:dyDescent="0.25">
      <c r="B274" s="82">
        <v>9203</v>
      </c>
      <c r="C274" s="70">
        <v>5275</v>
      </c>
      <c r="D274" s="71" t="s">
        <v>78</v>
      </c>
      <c r="E274" s="69" t="s">
        <v>1007</v>
      </c>
      <c r="G274" s="69">
        <v>1604.77</v>
      </c>
      <c r="T274" s="69"/>
      <c r="U274" s="69"/>
      <c r="AR274" s="94">
        <f t="shared" si="30"/>
        <v>1604.77</v>
      </c>
      <c r="AS274" s="69">
        <v>1272.79</v>
      </c>
      <c r="AT274" s="69">
        <v>160.4</v>
      </c>
      <c r="AU274" s="69">
        <v>171.58</v>
      </c>
      <c r="BC274" s="69"/>
      <c r="BD274" s="69"/>
      <c r="CD274" s="94">
        <f t="shared" si="31"/>
        <v>1604.77</v>
      </c>
      <c r="CE274" s="73">
        <f t="shared" si="32"/>
        <v>0</v>
      </c>
      <c r="CF274" s="75">
        <f t="shared" si="33"/>
        <v>5275</v>
      </c>
      <c r="CG274" s="69" t="str">
        <f t="shared" si="33"/>
        <v>برنامج دولى</v>
      </c>
    </row>
    <row r="275" spans="2:85" ht="18.75" x14ac:dyDescent="0.25">
      <c r="B275" s="82">
        <v>8216</v>
      </c>
      <c r="C275" s="70">
        <v>5276</v>
      </c>
      <c r="D275" s="71" t="s">
        <v>78</v>
      </c>
      <c r="E275" s="69" t="s">
        <v>2760</v>
      </c>
      <c r="G275" s="69">
        <v>5205.8999999999996</v>
      </c>
      <c r="T275" s="69"/>
      <c r="U275" s="69"/>
      <c r="AR275" s="94">
        <f t="shared" si="30"/>
        <v>5205.8999999999996</v>
      </c>
      <c r="AS275" s="69">
        <v>3478.7</v>
      </c>
      <c r="AT275" s="69">
        <v>472.9</v>
      </c>
      <c r="AU275" s="69">
        <v>1254.3</v>
      </c>
      <c r="BC275" s="69"/>
      <c r="BD275" s="69"/>
      <c r="CD275" s="94">
        <f t="shared" si="31"/>
        <v>5205.8999999999996</v>
      </c>
      <c r="CE275" s="73">
        <f t="shared" si="32"/>
        <v>0</v>
      </c>
      <c r="CF275" s="75">
        <f t="shared" si="33"/>
        <v>5276</v>
      </c>
      <c r="CG275" s="69" t="str">
        <f t="shared" si="33"/>
        <v>برنامج دولى</v>
      </c>
    </row>
    <row r="276" spans="2:85" ht="18.75" x14ac:dyDescent="0.25">
      <c r="B276" s="82">
        <v>8217</v>
      </c>
      <c r="C276" s="70">
        <v>5277</v>
      </c>
      <c r="D276" s="71" t="s">
        <v>78</v>
      </c>
      <c r="E276" s="69" t="s">
        <v>2764</v>
      </c>
      <c r="G276" s="69">
        <v>1893.01</v>
      </c>
      <c r="T276" s="69"/>
      <c r="U276" s="69"/>
      <c r="AR276" s="94">
        <f t="shared" si="30"/>
        <v>1893.01</v>
      </c>
      <c r="AS276" s="69">
        <v>1274.45</v>
      </c>
      <c r="AT276" s="69">
        <v>171.45</v>
      </c>
      <c r="AU276" s="69">
        <v>447.11</v>
      </c>
      <c r="BC276" s="69"/>
      <c r="BD276" s="69"/>
      <c r="CD276" s="94">
        <f t="shared" si="31"/>
        <v>1893.0100000000002</v>
      </c>
      <c r="CE276" s="73">
        <f t="shared" si="32"/>
        <v>0</v>
      </c>
      <c r="CF276" s="75">
        <f t="shared" si="33"/>
        <v>5277</v>
      </c>
      <c r="CG276" s="69" t="str">
        <f t="shared" si="33"/>
        <v>برنامج دولى</v>
      </c>
    </row>
    <row r="277" spans="2:85" ht="18.75" x14ac:dyDescent="0.25">
      <c r="B277" s="82">
        <v>8218</v>
      </c>
      <c r="C277" s="70">
        <v>5278</v>
      </c>
      <c r="D277" s="71" t="s">
        <v>78</v>
      </c>
      <c r="E277" s="69" t="s">
        <v>2764</v>
      </c>
      <c r="G277" s="69">
        <v>1424.58</v>
      </c>
      <c r="T277" s="69"/>
      <c r="U277" s="69"/>
      <c r="AR277" s="94">
        <f t="shared" si="30"/>
        <v>1424.58</v>
      </c>
      <c r="AS277" s="69">
        <v>953.1</v>
      </c>
      <c r="AT277" s="69">
        <v>128.25</v>
      </c>
      <c r="AU277" s="69">
        <v>343.23</v>
      </c>
      <c r="BC277" s="69"/>
      <c r="BD277" s="69"/>
      <c r="CD277" s="94">
        <f t="shared" si="31"/>
        <v>1424.58</v>
      </c>
      <c r="CE277" s="73">
        <f t="shared" si="32"/>
        <v>0</v>
      </c>
      <c r="CF277" s="75">
        <f t="shared" si="33"/>
        <v>5278</v>
      </c>
      <c r="CG277" s="69" t="str">
        <f t="shared" si="33"/>
        <v>برنامج دولى</v>
      </c>
    </row>
    <row r="278" spans="2:85" ht="18.75" x14ac:dyDescent="0.25">
      <c r="B278" s="82">
        <v>8222</v>
      </c>
      <c r="C278" s="70">
        <v>5279</v>
      </c>
      <c r="D278" s="71" t="s">
        <v>78</v>
      </c>
      <c r="E278" s="69" t="s">
        <v>2764</v>
      </c>
      <c r="G278" s="69">
        <v>420</v>
      </c>
      <c r="T278" s="69"/>
      <c r="U278" s="69"/>
      <c r="AR278" s="94">
        <f t="shared" si="30"/>
        <v>420</v>
      </c>
      <c r="AS278" s="69">
        <v>375.55</v>
      </c>
      <c r="AT278" s="69">
        <v>44.45</v>
      </c>
      <c r="BC278" s="69"/>
      <c r="BD278" s="69"/>
      <c r="CD278" s="94">
        <f t="shared" si="31"/>
        <v>420</v>
      </c>
      <c r="CE278" s="73">
        <f t="shared" si="32"/>
        <v>0</v>
      </c>
      <c r="CF278" s="75">
        <f t="shared" si="33"/>
        <v>5279</v>
      </c>
      <c r="CG278" s="69" t="str">
        <f t="shared" si="33"/>
        <v>برنامج دولى</v>
      </c>
    </row>
    <row r="279" spans="2:85" ht="18.75" x14ac:dyDescent="0.25">
      <c r="B279" s="82">
        <v>8223</v>
      </c>
      <c r="C279" s="70">
        <v>5280</v>
      </c>
      <c r="D279" s="71" t="s">
        <v>78</v>
      </c>
      <c r="E279" s="69" t="s">
        <v>2764</v>
      </c>
      <c r="G279" s="69">
        <v>5610</v>
      </c>
      <c r="T279" s="69"/>
      <c r="U279" s="69"/>
      <c r="AR279" s="94">
        <f t="shared" si="30"/>
        <v>5610</v>
      </c>
      <c r="AS279" s="69">
        <v>5011.55</v>
      </c>
      <c r="AT279" s="69">
        <v>598.45000000000005</v>
      </c>
      <c r="BC279" s="69"/>
      <c r="BD279" s="69"/>
      <c r="CD279" s="94">
        <f t="shared" si="31"/>
        <v>5610</v>
      </c>
      <c r="CE279" s="73">
        <f t="shared" si="32"/>
        <v>0</v>
      </c>
      <c r="CF279" s="75">
        <f t="shared" si="33"/>
        <v>5280</v>
      </c>
      <c r="CG279" s="69" t="str">
        <f t="shared" si="33"/>
        <v>برنامج دولى</v>
      </c>
    </row>
    <row r="280" spans="2:85" ht="18.75" x14ac:dyDescent="0.25">
      <c r="B280" s="82">
        <v>9334</v>
      </c>
      <c r="C280" s="70">
        <v>5281</v>
      </c>
      <c r="D280" s="71" t="s">
        <v>78</v>
      </c>
      <c r="E280" s="69" t="s">
        <v>2765</v>
      </c>
      <c r="G280" s="69">
        <v>19470.3</v>
      </c>
      <c r="T280" s="69"/>
      <c r="U280" s="69"/>
      <c r="AR280" s="94">
        <f t="shared" ref="AR280:AR311" si="34">SUM(G280:AQ280)</f>
        <v>19470.3</v>
      </c>
      <c r="AS280" s="69">
        <v>16241.74</v>
      </c>
      <c r="AT280" s="69">
        <v>1999.8</v>
      </c>
      <c r="AU280" s="69">
        <v>1228.76</v>
      </c>
      <c r="BC280" s="69"/>
      <c r="BD280" s="69"/>
      <c r="CD280" s="94">
        <f t="shared" si="31"/>
        <v>19470.3</v>
      </c>
      <c r="CE280" s="73">
        <f t="shared" si="32"/>
        <v>0</v>
      </c>
      <c r="CF280" s="75">
        <f t="shared" ref="CF280:CG311" si="35">+C280</f>
        <v>5281</v>
      </c>
      <c r="CG280" s="69" t="str">
        <f t="shared" si="35"/>
        <v>برنامج دولى</v>
      </c>
    </row>
    <row r="281" spans="2:85" ht="18.75" x14ac:dyDescent="0.25">
      <c r="B281" s="82">
        <v>9400</v>
      </c>
      <c r="C281" s="70">
        <v>5282</v>
      </c>
      <c r="D281" s="71" t="s">
        <v>78</v>
      </c>
      <c r="E281" s="69" t="s">
        <v>935</v>
      </c>
      <c r="G281" s="69">
        <v>19759.93</v>
      </c>
      <c r="T281" s="69"/>
      <c r="U281" s="69"/>
      <c r="AR281" s="94">
        <f t="shared" si="34"/>
        <v>19759.93</v>
      </c>
      <c r="AS281" s="69">
        <v>17510.830000000002</v>
      </c>
      <c r="AT281" s="69">
        <v>2118.1999999999998</v>
      </c>
      <c r="AU281" s="69">
        <v>130.9</v>
      </c>
      <c r="BC281" s="69"/>
      <c r="BD281" s="69"/>
      <c r="CD281" s="94">
        <f t="shared" si="31"/>
        <v>19759.930000000004</v>
      </c>
      <c r="CE281" s="73">
        <f t="shared" si="32"/>
        <v>0</v>
      </c>
      <c r="CF281" s="75">
        <f t="shared" si="35"/>
        <v>5282</v>
      </c>
      <c r="CG281" s="69" t="str">
        <f t="shared" si="35"/>
        <v>برنامج دولى</v>
      </c>
    </row>
    <row r="282" spans="2:85" ht="18.75" x14ac:dyDescent="0.25">
      <c r="B282" s="82">
        <v>8207</v>
      </c>
      <c r="C282" s="70">
        <v>5283</v>
      </c>
      <c r="D282" s="71" t="s">
        <v>78</v>
      </c>
      <c r="E282" s="69" t="str">
        <f>+E279</f>
        <v>عب تدريس امراض باطنه</v>
      </c>
      <c r="G282" s="69">
        <v>6401.86</v>
      </c>
      <c r="T282" s="69"/>
      <c r="U282" s="69"/>
      <c r="AR282" s="94">
        <f t="shared" si="34"/>
        <v>6401.86</v>
      </c>
      <c r="AS282" s="69">
        <v>4275.55</v>
      </c>
      <c r="AT282" s="69">
        <f>546+37.85</f>
        <v>583.85</v>
      </c>
      <c r="AU282" s="69">
        <v>1542.46</v>
      </c>
      <c r="BC282" s="69"/>
      <c r="BD282" s="69"/>
      <c r="CD282" s="94">
        <f t="shared" si="31"/>
        <v>6401.8600000000006</v>
      </c>
      <c r="CE282" s="73">
        <f t="shared" si="32"/>
        <v>0</v>
      </c>
      <c r="CF282" s="75">
        <f t="shared" si="35"/>
        <v>5283</v>
      </c>
      <c r="CG282" s="69" t="str">
        <f t="shared" si="35"/>
        <v>برنامج دولى</v>
      </c>
    </row>
    <row r="283" spans="2:85" ht="18.75" x14ac:dyDescent="0.25">
      <c r="B283" s="82">
        <v>9133</v>
      </c>
      <c r="C283" s="70">
        <v>5284</v>
      </c>
      <c r="D283" s="71" t="s">
        <v>78</v>
      </c>
      <c r="E283" s="69" t="s">
        <v>1005</v>
      </c>
      <c r="G283" s="69">
        <v>5065.2</v>
      </c>
      <c r="T283" s="69"/>
      <c r="U283" s="69"/>
      <c r="AR283" s="94">
        <f t="shared" si="34"/>
        <v>5065.2</v>
      </c>
      <c r="AS283" s="69">
        <v>3387.55</v>
      </c>
      <c r="AT283" s="69">
        <v>457.25</v>
      </c>
      <c r="AU283" s="69">
        <v>1220.4000000000001</v>
      </c>
      <c r="BC283" s="69"/>
      <c r="BD283" s="69"/>
      <c r="CD283" s="94">
        <f t="shared" si="31"/>
        <v>5065.2000000000007</v>
      </c>
      <c r="CE283" s="73">
        <f t="shared" si="32"/>
        <v>0</v>
      </c>
      <c r="CF283" s="75">
        <f t="shared" si="35"/>
        <v>5284</v>
      </c>
      <c r="CG283" s="69" t="str">
        <f t="shared" si="35"/>
        <v>برنامج دولى</v>
      </c>
    </row>
    <row r="284" spans="2:85" ht="18.75" x14ac:dyDescent="0.25">
      <c r="B284" s="82">
        <v>9332</v>
      </c>
      <c r="C284" s="70">
        <v>5285</v>
      </c>
      <c r="D284" s="71" t="s">
        <v>78</v>
      </c>
      <c r="E284" s="69" t="s">
        <v>1005</v>
      </c>
      <c r="G284" s="69">
        <v>18065.25</v>
      </c>
      <c r="T284" s="69"/>
      <c r="U284" s="69"/>
      <c r="AR284" s="94">
        <f t="shared" si="34"/>
        <v>18065.25</v>
      </c>
      <c r="AS284" s="69">
        <v>13649.75</v>
      </c>
      <c r="AT284" s="69">
        <v>1745.65</v>
      </c>
      <c r="AU284" s="69">
        <v>2669.85</v>
      </c>
      <c r="BC284" s="69"/>
      <c r="BD284" s="69"/>
      <c r="CD284" s="94">
        <f t="shared" si="31"/>
        <v>18065.25</v>
      </c>
      <c r="CE284" s="73">
        <f t="shared" si="32"/>
        <v>0</v>
      </c>
      <c r="CF284" s="75">
        <f t="shared" si="35"/>
        <v>5285</v>
      </c>
      <c r="CG284" s="69" t="str">
        <f t="shared" si="35"/>
        <v>برنامج دولى</v>
      </c>
    </row>
    <row r="285" spans="2:85" ht="18.75" x14ac:dyDescent="0.25">
      <c r="B285" s="82">
        <v>8224</v>
      </c>
      <c r="C285" s="70">
        <v>5286</v>
      </c>
      <c r="D285" s="71" t="s">
        <v>78</v>
      </c>
      <c r="E285" s="69" t="str">
        <f>+E282</f>
        <v>عب تدريس امراض باطنه</v>
      </c>
      <c r="G285" s="69">
        <v>3090.3</v>
      </c>
      <c r="T285" s="69"/>
      <c r="U285" s="69"/>
      <c r="AR285" s="94">
        <f t="shared" si="34"/>
        <v>3090.3</v>
      </c>
      <c r="AS285" s="69">
        <v>2208.84</v>
      </c>
      <c r="AT285" s="69">
        <v>291.39999999999998</v>
      </c>
      <c r="AU285" s="69">
        <v>590.05999999999995</v>
      </c>
      <c r="BC285" s="69"/>
      <c r="BD285" s="69"/>
      <c r="CD285" s="94">
        <f t="shared" si="31"/>
        <v>3090.3</v>
      </c>
      <c r="CE285" s="73">
        <f t="shared" si="32"/>
        <v>0</v>
      </c>
      <c r="CF285" s="75">
        <f t="shared" si="35"/>
        <v>5286</v>
      </c>
      <c r="CG285" s="69" t="str">
        <f t="shared" si="35"/>
        <v>برنامج دولى</v>
      </c>
    </row>
    <row r="286" spans="2:85" ht="18.75" x14ac:dyDescent="0.25">
      <c r="B286" s="82">
        <v>8221</v>
      </c>
      <c r="C286" s="70">
        <v>5287</v>
      </c>
      <c r="D286" s="71" t="s">
        <v>78</v>
      </c>
      <c r="E286" s="69" t="str">
        <f>+E285</f>
        <v>عب تدريس امراض باطنه</v>
      </c>
      <c r="G286" s="69">
        <v>16678.11</v>
      </c>
      <c r="T286" s="69"/>
      <c r="U286" s="69"/>
      <c r="AR286" s="94">
        <f t="shared" si="34"/>
        <v>16678.11</v>
      </c>
      <c r="AS286" s="69">
        <v>12739.06</v>
      </c>
      <c r="AT286" s="69">
        <v>1633</v>
      </c>
      <c r="AU286" s="69">
        <v>2306.0500000000002</v>
      </c>
      <c r="BC286" s="69"/>
      <c r="BD286" s="69"/>
      <c r="CD286" s="94">
        <f t="shared" si="31"/>
        <v>16678.11</v>
      </c>
      <c r="CE286" s="73">
        <f t="shared" si="32"/>
        <v>0</v>
      </c>
      <c r="CF286" s="75">
        <f t="shared" si="35"/>
        <v>5287</v>
      </c>
      <c r="CG286" s="69" t="str">
        <f t="shared" si="35"/>
        <v>برنامج دولى</v>
      </c>
    </row>
    <row r="287" spans="2:85" ht="18.75" x14ac:dyDescent="0.25">
      <c r="B287" s="82">
        <v>8220</v>
      </c>
      <c r="C287" s="70">
        <v>5288</v>
      </c>
      <c r="D287" s="71" t="s">
        <v>78</v>
      </c>
      <c r="E287" s="69" t="str">
        <f>+E286</f>
        <v>عب تدريس امراض باطنه</v>
      </c>
      <c r="G287" s="69">
        <v>1407</v>
      </c>
      <c r="T287" s="69"/>
      <c r="U287" s="69"/>
      <c r="AR287" s="94">
        <f t="shared" si="34"/>
        <v>1407</v>
      </c>
      <c r="AS287" s="69">
        <v>941.2</v>
      </c>
      <c r="AT287" s="69">
        <v>126.8</v>
      </c>
      <c r="AU287" s="69">
        <v>339</v>
      </c>
      <c r="BC287" s="69"/>
      <c r="BD287" s="69"/>
      <c r="CD287" s="94">
        <f t="shared" si="31"/>
        <v>1407</v>
      </c>
      <c r="CE287" s="73">
        <f t="shared" si="32"/>
        <v>0</v>
      </c>
      <c r="CF287" s="75">
        <f t="shared" si="35"/>
        <v>5288</v>
      </c>
      <c r="CG287" s="69" t="str">
        <f t="shared" si="35"/>
        <v>برنامج دولى</v>
      </c>
    </row>
    <row r="288" spans="2:85" ht="18.75" x14ac:dyDescent="0.25">
      <c r="B288" s="82">
        <v>8213</v>
      </c>
      <c r="C288" s="70">
        <v>5289</v>
      </c>
      <c r="D288" s="71" t="s">
        <v>78</v>
      </c>
      <c r="E288" s="69" t="str">
        <f>+E275</f>
        <v>عب تدريس وحده سكر</v>
      </c>
      <c r="G288" s="69">
        <v>26722.92</v>
      </c>
      <c r="T288" s="69"/>
      <c r="U288" s="69"/>
      <c r="AR288" s="94">
        <f t="shared" si="34"/>
        <v>26722.92</v>
      </c>
      <c r="AS288" s="69">
        <v>22538.22</v>
      </c>
      <c r="AT288" s="69">
        <v>2771.5</v>
      </c>
      <c r="AU288" s="69">
        <v>1413.2</v>
      </c>
      <c r="BC288" s="69"/>
      <c r="BD288" s="69"/>
      <c r="CD288" s="94">
        <f t="shared" si="31"/>
        <v>26722.920000000002</v>
      </c>
      <c r="CE288" s="73">
        <f t="shared" si="32"/>
        <v>0</v>
      </c>
      <c r="CF288" s="75">
        <f t="shared" si="35"/>
        <v>5289</v>
      </c>
      <c r="CG288" s="69" t="str">
        <f t="shared" si="35"/>
        <v>برنامج دولى</v>
      </c>
    </row>
    <row r="289" spans="2:85" ht="18.75" x14ac:dyDescent="0.25">
      <c r="B289" s="82">
        <v>8214</v>
      </c>
      <c r="C289" s="70">
        <v>5290</v>
      </c>
      <c r="D289" s="71" t="s">
        <v>78</v>
      </c>
      <c r="E289" s="69" t="str">
        <f>+E288</f>
        <v>عب تدريس وحده سكر</v>
      </c>
      <c r="G289" s="69">
        <v>4230.87</v>
      </c>
      <c r="T289" s="69"/>
      <c r="U289" s="69"/>
      <c r="AR289" s="94">
        <f t="shared" si="34"/>
        <v>4230.87</v>
      </c>
      <c r="AS289" s="69">
        <v>3088.63</v>
      </c>
      <c r="AT289" s="69">
        <v>403.85</v>
      </c>
      <c r="AU289" s="69">
        <v>738.39</v>
      </c>
      <c r="BC289" s="69"/>
      <c r="BD289" s="69"/>
      <c r="CD289" s="94">
        <f t="shared" si="31"/>
        <v>4230.87</v>
      </c>
      <c r="CE289" s="73">
        <f t="shared" si="32"/>
        <v>0</v>
      </c>
      <c r="CF289" s="75">
        <f t="shared" si="35"/>
        <v>5290</v>
      </c>
      <c r="CG289" s="69" t="str">
        <f t="shared" si="35"/>
        <v>برنامج دولى</v>
      </c>
    </row>
    <row r="290" spans="2:85" ht="18.75" x14ac:dyDescent="0.25">
      <c r="B290" s="82">
        <v>8215</v>
      </c>
      <c r="C290" s="70">
        <v>5291</v>
      </c>
      <c r="D290" s="71" t="s">
        <v>78</v>
      </c>
      <c r="E290" s="69" t="str">
        <f>+E289</f>
        <v>عب تدريس وحده سكر</v>
      </c>
      <c r="G290" s="69">
        <v>2638.13</v>
      </c>
      <c r="T290" s="69"/>
      <c r="U290" s="69"/>
      <c r="AR290" s="94">
        <f t="shared" si="34"/>
        <v>2638.13</v>
      </c>
      <c r="AS290" s="69">
        <v>1763.2</v>
      </c>
      <c r="AT290" s="69">
        <v>239.3</v>
      </c>
      <c r="AU290" s="69">
        <v>635.63</v>
      </c>
      <c r="BC290" s="69"/>
      <c r="BD290" s="69"/>
      <c r="CD290" s="94">
        <f t="shared" si="31"/>
        <v>2638.13</v>
      </c>
      <c r="CE290" s="73">
        <f t="shared" si="32"/>
        <v>0</v>
      </c>
      <c r="CF290" s="75">
        <f t="shared" si="35"/>
        <v>5291</v>
      </c>
      <c r="CG290" s="69" t="str">
        <f t="shared" si="35"/>
        <v>برنامج دولى</v>
      </c>
    </row>
    <row r="291" spans="2:85" ht="18.75" x14ac:dyDescent="0.25">
      <c r="B291" s="82">
        <v>8211</v>
      </c>
      <c r="C291" s="70">
        <v>5292</v>
      </c>
      <c r="D291" s="71" t="s">
        <v>78</v>
      </c>
      <c r="E291" s="69" t="str">
        <f>+E287</f>
        <v>عب تدريس امراض باطنه</v>
      </c>
      <c r="G291" s="69">
        <v>5909.4</v>
      </c>
      <c r="T291" s="69"/>
      <c r="U291" s="69"/>
      <c r="AR291" s="94">
        <f t="shared" si="34"/>
        <v>5909.4</v>
      </c>
      <c r="AS291" s="69">
        <v>3948.7</v>
      </c>
      <c r="AT291" s="69">
        <v>536.9</v>
      </c>
      <c r="AU291" s="69">
        <v>1423.8</v>
      </c>
      <c r="BC291" s="69"/>
      <c r="BD291" s="69"/>
      <c r="CD291" s="94">
        <f t="shared" si="31"/>
        <v>5909.4</v>
      </c>
      <c r="CE291" s="73">
        <f t="shared" si="32"/>
        <v>0</v>
      </c>
      <c r="CF291" s="75">
        <f t="shared" si="35"/>
        <v>5292</v>
      </c>
      <c r="CG291" s="69" t="str">
        <f t="shared" si="35"/>
        <v>برنامج دولى</v>
      </c>
    </row>
    <row r="292" spans="2:85" ht="18.75" x14ac:dyDescent="0.25">
      <c r="B292" s="82">
        <v>8209</v>
      </c>
      <c r="C292" s="70">
        <v>5293</v>
      </c>
      <c r="D292" s="71" t="s">
        <v>78</v>
      </c>
      <c r="E292" s="69" t="str">
        <f>+E291</f>
        <v>عب تدريس امراض باطنه</v>
      </c>
      <c r="G292" s="69">
        <v>4432.05</v>
      </c>
      <c r="T292" s="69"/>
      <c r="U292" s="69"/>
      <c r="AR292" s="94">
        <f t="shared" si="34"/>
        <v>4432.05</v>
      </c>
      <c r="AS292" s="69">
        <v>2961.7</v>
      </c>
      <c r="AT292" s="69">
        <v>402.5</v>
      </c>
      <c r="AU292" s="69">
        <v>1067.8499999999999</v>
      </c>
      <c r="BC292" s="69"/>
      <c r="BD292" s="69"/>
      <c r="CD292" s="94">
        <f t="shared" si="31"/>
        <v>4432.0499999999993</v>
      </c>
      <c r="CE292" s="73">
        <f t="shared" si="32"/>
        <v>0</v>
      </c>
      <c r="CF292" s="75">
        <f t="shared" si="35"/>
        <v>5293</v>
      </c>
      <c r="CG292" s="69" t="str">
        <f t="shared" si="35"/>
        <v>برنامج دولى</v>
      </c>
    </row>
    <row r="293" spans="2:85" ht="18.75" x14ac:dyDescent="0.25">
      <c r="B293" s="82">
        <v>8210</v>
      </c>
      <c r="C293" s="70">
        <v>5294</v>
      </c>
      <c r="D293" s="71" t="s">
        <v>78</v>
      </c>
      <c r="E293" s="69" t="str">
        <f>+E292</f>
        <v>عب تدريس امراض باطنه</v>
      </c>
      <c r="G293" s="69">
        <v>16492.150000000001</v>
      </c>
      <c r="T293" s="69"/>
      <c r="U293" s="69"/>
      <c r="AR293" s="94">
        <f t="shared" si="34"/>
        <v>16492.150000000001</v>
      </c>
      <c r="AS293" s="69">
        <v>12354.36</v>
      </c>
      <c r="AT293" s="69">
        <v>1595.85</v>
      </c>
      <c r="AU293" s="69">
        <v>2541.94</v>
      </c>
      <c r="BC293" s="69"/>
      <c r="BD293" s="69"/>
      <c r="CD293" s="94">
        <f t="shared" si="31"/>
        <v>16492.150000000001</v>
      </c>
      <c r="CE293" s="73">
        <f t="shared" si="32"/>
        <v>0</v>
      </c>
      <c r="CF293" s="75">
        <f t="shared" si="35"/>
        <v>5294</v>
      </c>
      <c r="CG293" s="69" t="str">
        <f t="shared" si="35"/>
        <v>برنامج دولى</v>
      </c>
    </row>
    <row r="294" spans="2:85" ht="18.75" x14ac:dyDescent="0.25">
      <c r="B294" s="82">
        <v>8208</v>
      </c>
      <c r="C294" s="70">
        <v>5295</v>
      </c>
      <c r="D294" s="71" t="s">
        <v>78</v>
      </c>
      <c r="E294" s="69" t="str">
        <f>+E293</f>
        <v>عب تدريس امراض باطنه</v>
      </c>
      <c r="G294" s="69">
        <v>3390.27</v>
      </c>
      <c r="T294" s="69"/>
      <c r="U294" s="69"/>
      <c r="AR294" s="94">
        <f t="shared" si="34"/>
        <v>3390.27</v>
      </c>
      <c r="AS294" s="69">
        <v>2339.3200000000002</v>
      </c>
      <c r="AT294" s="69">
        <v>313.55</v>
      </c>
      <c r="AU294" s="69">
        <v>737.4</v>
      </c>
      <c r="BC294" s="69"/>
      <c r="BD294" s="69"/>
      <c r="CD294" s="94">
        <f t="shared" si="31"/>
        <v>3390.2700000000004</v>
      </c>
      <c r="CE294" s="73">
        <f t="shared" si="32"/>
        <v>0</v>
      </c>
      <c r="CF294" s="75">
        <f t="shared" si="35"/>
        <v>5295</v>
      </c>
      <c r="CG294" s="69" t="str">
        <f t="shared" si="35"/>
        <v>برنامج دولى</v>
      </c>
    </row>
    <row r="295" spans="2:85" ht="18.75" x14ac:dyDescent="0.25">
      <c r="B295" s="82">
        <v>8219</v>
      </c>
      <c r="C295" s="70">
        <v>5296</v>
      </c>
      <c r="D295" s="71" t="s">
        <v>78</v>
      </c>
      <c r="E295" s="69" t="str">
        <f>+E294</f>
        <v>عب تدريس امراض باطنه</v>
      </c>
      <c r="G295" s="69">
        <v>2110.5</v>
      </c>
      <c r="T295" s="69"/>
      <c r="U295" s="69"/>
      <c r="AR295" s="94">
        <f t="shared" si="34"/>
        <v>2110.5</v>
      </c>
      <c r="AS295" s="69">
        <v>1412.3</v>
      </c>
      <c r="AT295" s="69">
        <v>189.7</v>
      </c>
      <c r="AU295" s="69">
        <v>508.5</v>
      </c>
      <c r="BC295" s="69"/>
      <c r="BD295" s="69"/>
      <c r="CD295" s="94">
        <f t="shared" si="31"/>
        <v>2110.5</v>
      </c>
      <c r="CE295" s="73">
        <f t="shared" si="32"/>
        <v>0</v>
      </c>
      <c r="CF295" s="75">
        <f t="shared" si="35"/>
        <v>5296</v>
      </c>
      <c r="CG295" s="69" t="str">
        <f t="shared" si="35"/>
        <v>برنامج دولى</v>
      </c>
    </row>
    <row r="296" spans="2:85" ht="18.75" x14ac:dyDescent="0.25">
      <c r="B296" s="82">
        <v>9214</v>
      </c>
      <c r="C296" s="70">
        <v>5297</v>
      </c>
      <c r="D296" s="71" t="s">
        <v>78</v>
      </c>
      <c r="E296" s="69" t="s">
        <v>565</v>
      </c>
      <c r="G296" s="69">
        <v>57341.75</v>
      </c>
      <c r="T296" s="69"/>
      <c r="U296" s="69"/>
      <c r="AR296" s="94">
        <f t="shared" si="34"/>
        <v>57341.75</v>
      </c>
      <c r="AS296" s="69">
        <v>46139.99</v>
      </c>
      <c r="AT296" s="69">
        <v>5778.15</v>
      </c>
      <c r="AU296" s="69">
        <v>5423.61</v>
      </c>
      <c r="BC296" s="69"/>
      <c r="BD296" s="69"/>
      <c r="CD296" s="94">
        <f t="shared" si="31"/>
        <v>57341.75</v>
      </c>
      <c r="CE296" s="73">
        <f t="shared" si="32"/>
        <v>0</v>
      </c>
      <c r="CF296" s="75">
        <f t="shared" si="35"/>
        <v>5297</v>
      </c>
      <c r="CG296" s="69" t="str">
        <f t="shared" si="35"/>
        <v>برنامج دولى</v>
      </c>
    </row>
    <row r="297" spans="2:85" ht="18.75" x14ac:dyDescent="0.25">
      <c r="B297" s="82">
        <v>9217</v>
      </c>
      <c r="C297" s="70">
        <v>5298</v>
      </c>
      <c r="D297" s="71" t="s">
        <v>78</v>
      </c>
      <c r="E297" s="69" t="s">
        <v>565</v>
      </c>
      <c r="G297" s="69">
        <v>1477.35</v>
      </c>
      <c r="T297" s="69"/>
      <c r="U297" s="69"/>
      <c r="AR297" s="94">
        <f t="shared" si="34"/>
        <v>1477.35</v>
      </c>
      <c r="AS297" s="69">
        <v>987.35</v>
      </c>
      <c r="AT297" s="69">
        <v>134.05000000000001</v>
      </c>
      <c r="AU297" s="69">
        <v>355.95</v>
      </c>
      <c r="BC297" s="69"/>
      <c r="BD297" s="69"/>
      <c r="CD297" s="94">
        <f t="shared" si="31"/>
        <v>1477.3500000000001</v>
      </c>
      <c r="CE297" s="73">
        <f t="shared" si="32"/>
        <v>0</v>
      </c>
      <c r="CF297" s="75">
        <f t="shared" si="35"/>
        <v>5298</v>
      </c>
      <c r="CG297" s="69" t="str">
        <f t="shared" si="35"/>
        <v>برنامج دولى</v>
      </c>
    </row>
    <row r="298" spans="2:85" ht="18.75" x14ac:dyDescent="0.25">
      <c r="B298" s="82">
        <v>9216</v>
      </c>
      <c r="C298" s="70">
        <v>5299</v>
      </c>
      <c r="D298" s="71" t="s">
        <v>78</v>
      </c>
      <c r="E298" s="69" t="s">
        <v>565</v>
      </c>
      <c r="G298" s="69">
        <v>1688.4</v>
      </c>
      <c r="T298" s="69"/>
      <c r="U298" s="69"/>
      <c r="AR298" s="94">
        <f t="shared" si="34"/>
        <v>1688.4</v>
      </c>
      <c r="AS298" s="69">
        <v>1129.05</v>
      </c>
      <c r="AT298" s="69">
        <v>152.55000000000001</v>
      </c>
      <c r="AU298" s="69">
        <v>406.8</v>
      </c>
      <c r="BC298" s="69"/>
      <c r="BD298" s="69"/>
      <c r="CD298" s="94">
        <f t="shared" si="31"/>
        <v>1688.3999999999999</v>
      </c>
      <c r="CE298" s="73">
        <f t="shared" si="32"/>
        <v>0</v>
      </c>
      <c r="CF298" s="75">
        <f t="shared" si="35"/>
        <v>5299</v>
      </c>
      <c r="CG298" s="69" t="str">
        <f t="shared" si="35"/>
        <v>برنامج دولى</v>
      </c>
    </row>
    <row r="299" spans="2:85" ht="18.75" x14ac:dyDescent="0.25">
      <c r="B299" s="82">
        <v>9215</v>
      </c>
      <c r="C299" s="70">
        <v>5300</v>
      </c>
      <c r="D299" s="71" t="s">
        <v>78</v>
      </c>
      <c r="E299" s="69" t="s">
        <v>565</v>
      </c>
      <c r="G299" s="69">
        <v>1125.5999999999999</v>
      </c>
      <c r="T299" s="69"/>
      <c r="U299" s="69"/>
      <c r="AR299" s="94">
        <f t="shared" si="34"/>
        <v>1125.5999999999999</v>
      </c>
      <c r="AS299" s="69">
        <v>752.75</v>
      </c>
      <c r="AT299" s="69">
        <v>101.65</v>
      </c>
      <c r="AU299" s="69">
        <v>271.2</v>
      </c>
      <c r="BC299" s="69"/>
      <c r="BD299" s="69"/>
      <c r="CD299" s="94">
        <f t="shared" si="31"/>
        <v>1125.5999999999999</v>
      </c>
      <c r="CE299" s="73">
        <f t="shared" si="32"/>
        <v>0</v>
      </c>
      <c r="CF299" s="75">
        <f t="shared" si="35"/>
        <v>5300</v>
      </c>
      <c r="CG299" s="69" t="str">
        <f t="shared" si="35"/>
        <v>برنامج دولى</v>
      </c>
    </row>
    <row r="300" spans="2:85" ht="18.75" x14ac:dyDescent="0.25">
      <c r="B300" s="82">
        <v>9218</v>
      </c>
      <c r="C300" s="70">
        <v>5301</v>
      </c>
      <c r="D300" s="71" t="s">
        <v>78</v>
      </c>
      <c r="E300" s="69" t="s">
        <v>565</v>
      </c>
      <c r="G300" s="69">
        <v>633.15</v>
      </c>
      <c r="T300" s="69"/>
      <c r="U300" s="69"/>
      <c r="AR300" s="94">
        <f t="shared" si="34"/>
        <v>633.15</v>
      </c>
      <c r="AS300" s="69">
        <v>424.15</v>
      </c>
      <c r="AT300" s="69">
        <f>2.45+54</f>
        <v>56.45</v>
      </c>
      <c r="AU300" s="69">
        <v>152.55000000000001</v>
      </c>
      <c r="BC300" s="69"/>
      <c r="BD300" s="69"/>
      <c r="CD300" s="94">
        <f t="shared" si="31"/>
        <v>633.15</v>
      </c>
      <c r="CE300" s="73">
        <f t="shared" si="32"/>
        <v>0</v>
      </c>
      <c r="CF300" s="75">
        <f t="shared" si="35"/>
        <v>5301</v>
      </c>
      <c r="CG300" s="69" t="str">
        <f t="shared" si="35"/>
        <v>برنامج دولى</v>
      </c>
    </row>
    <row r="301" spans="2:85" ht="18.75" x14ac:dyDescent="0.25">
      <c r="B301" s="82">
        <v>9232</v>
      </c>
      <c r="C301" s="70">
        <v>5302</v>
      </c>
      <c r="D301" s="71" t="s">
        <v>78</v>
      </c>
      <c r="E301" s="69" t="s">
        <v>2766</v>
      </c>
      <c r="G301" s="69">
        <v>15994.8</v>
      </c>
      <c r="T301" s="69"/>
      <c r="U301" s="69"/>
      <c r="AR301" s="94">
        <f t="shared" si="34"/>
        <v>15994.8</v>
      </c>
      <c r="AS301" s="69">
        <v>14272.42</v>
      </c>
      <c r="AT301" s="69">
        <v>1722.38</v>
      </c>
      <c r="BC301" s="69"/>
      <c r="BD301" s="69"/>
      <c r="CD301" s="94">
        <f t="shared" si="31"/>
        <v>15994.8</v>
      </c>
      <c r="CE301" s="73">
        <f t="shared" si="32"/>
        <v>0</v>
      </c>
      <c r="CF301" s="75">
        <f t="shared" si="35"/>
        <v>5302</v>
      </c>
      <c r="CG301" s="69" t="str">
        <f t="shared" si="35"/>
        <v>برنامج دولى</v>
      </c>
    </row>
    <row r="302" spans="2:85" ht="18.75" x14ac:dyDescent="0.25">
      <c r="B302" s="82">
        <v>9226</v>
      </c>
      <c r="C302" s="70">
        <v>5303</v>
      </c>
      <c r="D302" s="71" t="s">
        <v>78</v>
      </c>
      <c r="E302" s="69" t="s">
        <v>2767</v>
      </c>
      <c r="G302" s="69">
        <v>550</v>
      </c>
      <c r="T302" s="69"/>
      <c r="U302" s="69"/>
      <c r="AR302" s="94">
        <f t="shared" si="34"/>
        <v>550</v>
      </c>
      <c r="AS302" s="69">
        <v>492.15</v>
      </c>
      <c r="AT302" s="69">
        <v>57.85</v>
      </c>
      <c r="BC302" s="69"/>
      <c r="BD302" s="69"/>
      <c r="CD302" s="94">
        <f t="shared" si="31"/>
        <v>550</v>
      </c>
      <c r="CE302" s="73">
        <f t="shared" si="32"/>
        <v>0</v>
      </c>
      <c r="CF302" s="75">
        <f t="shared" si="35"/>
        <v>5303</v>
      </c>
      <c r="CG302" s="69" t="str">
        <f t="shared" si="35"/>
        <v>برنامج دولى</v>
      </c>
    </row>
    <row r="303" spans="2:85" ht="18.75" x14ac:dyDescent="0.25">
      <c r="B303" s="82">
        <v>9235</v>
      </c>
      <c r="C303" s="70">
        <v>5304</v>
      </c>
      <c r="D303" s="71" t="s">
        <v>78</v>
      </c>
      <c r="E303" s="69" t="s">
        <v>1862</v>
      </c>
      <c r="G303" s="69">
        <v>18832.5</v>
      </c>
      <c r="T303" s="69"/>
      <c r="U303" s="69"/>
      <c r="AR303" s="94">
        <f t="shared" si="34"/>
        <v>18832.5</v>
      </c>
      <c r="AS303" s="69">
        <v>15576.96</v>
      </c>
      <c r="AT303" s="69">
        <v>1931.98</v>
      </c>
      <c r="AU303" s="69">
        <v>1323.56</v>
      </c>
      <c r="BC303" s="69"/>
      <c r="BD303" s="69"/>
      <c r="CD303" s="94">
        <f t="shared" si="31"/>
        <v>18832.5</v>
      </c>
      <c r="CE303" s="73">
        <f t="shared" si="32"/>
        <v>0</v>
      </c>
      <c r="CF303" s="75">
        <f t="shared" si="35"/>
        <v>5304</v>
      </c>
      <c r="CG303" s="69" t="str">
        <f t="shared" si="35"/>
        <v>برنامج دولى</v>
      </c>
    </row>
    <row r="304" spans="2:85" ht="18.75" x14ac:dyDescent="0.25">
      <c r="B304" s="82">
        <v>9236</v>
      </c>
      <c r="C304" s="70">
        <v>5305</v>
      </c>
      <c r="D304" s="71" t="s">
        <v>78</v>
      </c>
      <c r="E304" s="69" t="s">
        <v>2768</v>
      </c>
      <c r="G304" s="69">
        <v>11700</v>
      </c>
      <c r="T304" s="69"/>
      <c r="U304" s="69"/>
      <c r="AR304" s="94">
        <f t="shared" si="34"/>
        <v>11700</v>
      </c>
      <c r="AS304" s="69">
        <v>10445.299999999999</v>
      </c>
      <c r="AT304" s="69">
        <v>1254.7</v>
      </c>
      <c r="BC304" s="69"/>
      <c r="BD304" s="69"/>
      <c r="CD304" s="94">
        <f t="shared" si="31"/>
        <v>11700</v>
      </c>
      <c r="CE304" s="73">
        <f t="shared" si="32"/>
        <v>0</v>
      </c>
      <c r="CF304" s="75">
        <f t="shared" si="35"/>
        <v>5305</v>
      </c>
      <c r="CG304" s="69" t="str">
        <f t="shared" si="35"/>
        <v>برنامج دولى</v>
      </c>
    </row>
    <row r="305" spans="2:85" ht="18.75" x14ac:dyDescent="0.25">
      <c r="B305" s="82">
        <v>9237</v>
      </c>
      <c r="C305" s="70">
        <v>5306</v>
      </c>
      <c r="D305" s="71" t="s">
        <v>78</v>
      </c>
      <c r="E305" s="69" t="s">
        <v>2768</v>
      </c>
      <c r="G305" s="69">
        <v>8650.06</v>
      </c>
      <c r="T305" s="69"/>
      <c r="U305" s="69"/>
      <c r="AR305" s="94">
        <f t="shared" si="34"/>
        <v>8650.06</v>
      </c>
      <c r="AS305" s="69">
        <v>7014.83</v>
      </c>
      <c r="AT305" s="69">
        <v>881.8</v>
      </c>
      <c r="AU305" s="69">
        <v>753.43</v>
      </c>
      <c r="BC305" s="69"/>
      <c r="BD305" s="69"/>
      <c r="CD305" s="94">
        <f t="shared" si="31"/>
        <v>8650.06</v>
      </c>
      <c r="CE305" s="73">
        <f t="shared" si="32"/>
        <v>0</v>
      </c>
      <c r="CF305" s="75">
        <f t="shared" si="35"/>
        <v>5306</v>
      </c>
      <c r="CG305" s="69" t="str">
        <f t="shared" si="35"/>
        <v>برنامج دولى</v>
      </c>
    </row>
    <row r="306" spans="2:85" ht="18.75" x14ac:dyDescent="0.25">
      <c r="B306" s="82">
        <v>9238</v>
      </c>
      <c r="C306" s="70">
        <v>5307</v>
      </c>
      <c r="D306" s="71" t="s">
        <v>78</v>
      </c>
      <c r="E306" s="69" t="s">
        <v>2768</v>
      </c>
      <c r="G306" s="69">
        <v>1371.82</v>
      </c>
      <c r="T306" s="69"/>
      <c r="U306" s="69"/>
      <c r="AR306" s="94">
        <f t="shared" si="34"/>
        <v>1371.82</v>
      </c>
      <c r="AS306" s="69">
        <v>916.85</v>
      </c>
      <c r="AT306" s="69">
        <v>124.45</v>
      </c>
      <c r="AU306" s="69">
        <v>330.52</v>
      </c>
      <c r="BC306" s="69"/>
      <c r="BD306" s="69"/>
      <c r="CD306" s="94">
        <f t="shared" si="31"/>
        <v>1371.82</v>
      </c>
      <c r="CE306" s="73">
        <f t="shared" si="32"/>
        <v>0</v>
      </c>
      <c r="CF306" s="75">
        <f t="shared" si="35"/>
        <v>5307</v>
      </c>
      <c r="CG306" s="69" t="str">
        <f t="shared" si="35"/>
        <v>برنامج دولى</v>
      </c>
    </row>
    <row r="307" spans="2:85" ht="18.75" x14ac:dyDescent="0.25">
      <c r="B307" s="82">
        <v>9240</v>
      </c>
      <c r="C307" s="70">
        <v>5308</v>
      </c>
      <c r="D307" s="71" t="s">
        <v>78</v>
      </c>
      <c r="E307" s="69" t="s">
        <v>2769</v>
      </c>
      <c r="G307" s="69">
        <v>1371.82</v>
      </c>
      <c r="T307" s="69"/>
      <c r="U307" s="69"/>
      <c r="AR307" s="94">
        <f t="shared" si="34"/>
        <v>1371.82</v>
      </c>
      <c r="AS307" s="69">
        <v>916.85</v>
      </c>
      <c r="AT307" s="69">
        <v>124.45</v>
      </c>
      <c r="AU307" s="69">
        <v>330.52</v>
      </c>
      <c r="BC307" s="69"/>
      <c r="BD307" s="69"/>
      <c r="CD307" s="94">
        <f t="shared" si="31"/>
        <v>1371.82</v>
      </c>
      <c r="CE307" s="73">
        <f t="shared" si="32"/>
        <v>0</v>
      </c>
      <c r="CF307" s="75">
        <f t="shared" si="35"/>
        <v>5308</v>
      </c>
      <c r="CG307" s="69" t="str">
        <f t="shared" si="35"/>
        <v>برنامج دولى</v>
      </c>
    </row>
    <row r="308" spans="2:85" ht="18.75" x14ac:dyDescent="0.25">
      <c r="B308" s="82">
        <v>9239</v>
      </c>
      <c r="C308" s="70">
        <v>5309</v>
      </c>
      <c r="D308" s="71" t="s">
        <v>78</v>
      </c>
      <c r="E308" s="69" t="s">
        <v>2769</v>
      </c>
      <c r="G308" s="69">
        <v>685.91</v>
      </c>
      <c r="T308" s="69"/>
      <c r="U308" s="69"/>
      <c r="AR308" s="94">
        <f t="shared" si="34"/>
        <v>685.91</v>
      </c>
      <c r="AS308" s="69">
        <v>458.85</v>
      </c>
      <c r="AT308" s="69">
        <v>61.8</v>
      </c>
      <c r="AU308" s="69">
        <v>165.26</v>
      </c>
      <c r="BC308" s="69"/>
      <c r="BD308" s="69"/>
      <c r="CD308" s="94">
        <f t="shared" si="31"/>
        <v>685.91</v>
      </c>
      <c r="CE308" s="73">
        <f t="shared" si="32"/>
        <v>0</v>
      </c>
      <c r="CF308" s="75">
        <f t="shared" si="35"/>
        <v>5309</v>
      </c>
      <c r="CG308" s="69" t="str">
        <f t="shared" si="35"/>
        <v>برنامج دولى</v>
      </c>
    </row>
    <row r="309" spans="2:85" ht="18.75" x14ac:dyDescent="0.25">
      <c r="B309" s="82">
        <v>9221</v>
      </c>
      <c r="C309" s="70">
        <v>5310</v>
      </c>
      <c r="D309" s="71" t="s">
        <v>78</v>
      </c>
      <c r="E309" s="69" t="s">
        <v>2770</v>
      </c>
      <c r="G309" s="69">
        <v>612.45000000000005</v>
      </c>
      <c r="T309" s="69"/>
      <c r="U309" s="69"/>
      <c r="AR309" s="94">
        <f t="shared" si="34"/>
        <v>612.45000000000005</v>
      </c>
      <c r="AS309" s="69">
        <v>438.25</v>
      </c>
      <c r="AT309" s="69">
        <v>55.55</v>
      </c>
      <c r="AU309" s="69">
        <v>118.65</v>
      </c>
      <c r="BC309" s="69"/>
      <c r="BD309" s="69"/>
      <c r="CD309" s="94">
        <f t="shared" si="31"/>
        <v>612.45000000000005</v>
      </c>
      <c r="CE309" s="73">
        <f t="shared" si="32"/>
        <v>0</v>
      </c>
      <c r="CF309" s="75">
        <f t="shared" si="35"/>
        <v>5310</v>
      </c>
      <c r="CG309" s="69" t="str">
        <f t="shared" si="35"/>
        <v>برنامج دولى</v>
      </c>
    </row>
    <row r="310" spans="2:85" ht="18.75" x14ac:dyDescent="0.25">
      <c r="B310" s="82">
        <v>9222</v>
      </c>
      <c r="C310" s="70">
        <v>5311</v>
      </c>
      <c r="D310" s="71" t="s">
        <v>78</v>
      </c>
      <c r="E310" s="69" t="s">
        <v>2770</v>
      </c>
      <c r="G310" s="69">
        <v>960</v>
      </c>
      <c r="T310" s="69"/>
      <c r="U310" s="69"/>
      <c r="AR310" s="94">
        <f t="shared" si="34"/>
        <v>960</v>
      </c>
      <c r="AS310" s="69">
        <v>857.6</v>
      </c>
      <c r="AT310" s="69">
        <v>102.4</v>
      </c>
      <c r="BC310" s="69"/>
      <c r="BD310" s="69"/>
      <c r="CD310" s="94">
        <f t="shared" si="31"/>
        <v>960</v>
      </c>
      <c r="CE310" s="73">
        <f t="shared" si="32"/>
        <v>0</v>
      </c>
      <c r="CF310" s="75">
        <f t="shared" si="35"/>
        <v>5311</v>
      </c>
      <c r="CG310" s="69" t="str">
        <f t="shared" si="35"/>
        <v>برنامج دولى</v>
      </c>
    </row>
    <row r="311" spans="2:85" ht="18.75" x14ac:dyDescent="0.25">
      <c r="B311" s="82">
        <v>9224</v>
      </c>
      <c r="C311" s="70">
        <v>5312</v>
      </c>
      <c r="D311" s="71" t="s">
        <v>78</v>
      </c>
      <c r="E311" s="69" t="s">
        <v>2770</v>
      </c>
      <c r="G311" s="69">
        <v>17906.5</v>
      </c>
      <c r="T311" s="69"/>
      <c r="U311" s="69"/>
      <c r="AR311" s="94">
        <f t="shared" si="34"/>
        <v>17906.5</v>
      </c>
      <c r="AS311" s="69">
        <v>13754.61</v>
      </c>
      <c r="AT311" s="69">
        <v>1750.25</v>
      </c>
      <c r="AU311" s="69">
        <v>2401.64</v>
      </c>
      <c r="BC311" s="69"/>
      <c r="BD311" s="69"/>
      <c r="CD311" s="94">
        <f t="shared" si="31"/>
        <v>17906.5</v>
      </c>
      <c r="CE311" s="73">
        <f t="shared" si="32"/>
        <v>0</v>
      </c>
      <c r="CF311" s="75">
        <f t="shared" si="35"/>
        <v>5312</v>
      </c>
      <c r="CG311" s="69" t="str">
        <f t="shared" si="35"/>
        <v>برنامج دولى</v>
      </c>
    </row>
    <row r="312" spans="2:85" ht="18.75" x14ac:dyDescent="0.25">
      <c r="B312" s="82">
        <v>9223</v>
      </c>
      <c r="C312" s="70">
        <v>5313</v>
      </c>
      <c r="D312" s="71" t="s">
        <v>78</v>
      </c>
      <c r="E312" s="69" t="s">
        <v>2770</v>
      </c>
      <c r="G312" s="69">
        <v>1125.5999999999999</v>
      </c>
      <c r="T312" s="69"/>
      <c r="U312" s="69"/>
      <c r="AR312" s="94">
        <f t="shared" ref="AR312:AR375" si="36">SUM(G312:AQ312)</f>
        <v>1125.5999999999999</v>
      </c>
      <c r="AS312" s="69">
        <v>753.5</v>
      </c>
      <c r="AT312" s="69">
        <v>100.9</v>
      </c>
      <c r="AU312" s="69">
        <v>271.2</v>
      </c>
      <c r="BC312" s="69"/>
      <c r="BD312" s="69"/>
      <c r="CD312" s="94">
        <f t="shared" ref="CD312:CD375" si="37">SUM(AS312:CC312)</f>
        <v>1125.5999999999999</v>
      </c>
      <c r="CE312" s="73">
        <f t="shared" ref="CE312:CE375" si="38">+CD312-AR312</f>
        <v>0</v>
      </c>
      <c r="CF312" s="75">
        <f t="shared" ref="CF312:CG343" si="39">+C312</f>
        <v>5313</v>
      </c>
      <c r="CG312" s="69" t="str">
        <f t="shared" si="39"/>
        <v>برنامج دولى</v>
      </c>
    </row>
    <row r="313" spans="2:85" ht="18.75" x14ac:dyDescent="0.25">
      <c r="B313" s="82">
        <v>9219</v>
      </c>
      <c r="C313" s="70">
        <v>5314</v>
      </c>
      <c r="D313" s="71" t="s">
        <v>78</v>
      </c>
      <c r="E313" s="69" t="s">
        <v>2770</v>
      </c>
      <c r="G313" s="69">
        <v>738.68</v>
      </c>
      <c r="T313" s="69"/>
      <c r="U313" s="69"/>
      <c r="AR313" s="94">
        <f t="shared" si="36"/>
        <v>738.68</v>
      </c>
      <c r="AS313" s="69">
        <v>496.1</v>
      </c>
      <c r="AT313" s="69">
        <v>64.599999999999994</v>
      </c>
      <c r="AU313" s="69">
        <v>177.98</v>
      </c>
      <c r="BC313" s="69"/>
      <c r="BD313" s="69"/>
      <c r="CD313" s="94">
        <f t="shared" si="37"/>
        <v>738.68000000000006</v>
      </c>
      <c r="CE313" s="73">
        <f t="shared" si="38"/>
        <v>0</v>
      </c>
      <c r="CF313" s="75">
        <f t="shared" si="39"/>
        <v>5314</v>
      </c>
      <c r="CG313" s="69" t="str">
        <f t="shared" si="39"/>
        <v>برنامج دولى</v>
      </c>
    </row>
    <row r="314" spans="2:85" ht="18.75" x14ac:dyDescent="0.25">
      <c r="B314" s="82">
        <v>9220</v>
      </c>
      <c r="C314" s="70">
        <v>5315</v>
      </c>
      <c r="D314" s="71" t="s">
        <v>78</v>
      </c>
      <c r="E314" s="69" t="s">
        <v>2770</v>
      </c>
      <c r="G314" s="69">
        <v>351.75</v>
      </c>
      <c r="T314" s="69"/>
      <c r="U314" s="69"/>
      <c r="AR314" s="94">
        <f t="shared" si="36"/>
        <v>351.75</v>
      </c>
      <c r="AS314" s="69">
        <v>235.95</v>
      </c>
      <c r="AT314" s="69">
        <v>31.05</v>
      </c>
      <c r="AU314" s="69">
        <v>84.75</v>
      </c>
      <c r="BC314" s="69"/>
      <c r="BD314" s="69"/>
      <c r="CD314" s="94">
        <f t="shared" si="37"/>
        <v>351.75</v>
      </c>
      <c r="CE314" s="73">
        <f t="shared" si="38"/>
        <v>0</v>
      </c>
      <c r="CF314" s="75">
        <f t="shared" si="39"/>
        <v>5315</v>
      </c>
      <c r="CG314" s="69" t="str">
        <f t="shared" si="39"/>
        <v>برنامج دولى</v>
      </c>
    </row>
    <row r="315" spans="2:85" ht="18.75" x14ac:dyDescent="0.25">
      <c r="B315" s="82">
        <v>9245</v>
      </c>
      <c r="C315" s="70">
        <v>5316</v>
      </c>
      <c r="D315" s="71" t="s">
        <v>78</v>
      </c>
      <c r="E315" s="69" t="s">
        <v>2771</v>
      </c>
      <c r="G315" s="69">
        <v>500</v>
      </c>
      <c r="T315" s="69"/>
      <c r="U315" s="69"/>
      <c r="AR315" s="94">
        <f t="shared" si="36"/>
        <v>500</v>
      </c>
      <c r="AS315" s="69">
        <v>447.05</v>
      </c>
      <c r="AT315" s="69">
        <v>52.95</v>
      </c>
      <c r="BC315" s="69"/>
      <c r="BD315" s="69"/>
      <c r="CD315" s="94">
        <f t="shared" si="37"/>
        <v>500</v>
      </c>
      <c r="CE315" s="73">
        <f t="shared" si="38"/>
        <v>0</v>
      </c>
      <c r="CF315" s="75">
        <f t="shared" si="39"/>
        <v>5316</v>
      </c>
      <c r="CG315" s="69" t="str">
        <f t="shared" si="39"/>
        <v>برنامج دولى</v>
      </c>
    </row>
    <row r="316" spans="2:85" ht="18.75" x14ac:dyDescent="0.25">
      <c r="B316" s="82">
        <v>9205</v>
      </c>
      <c r="C316" s="70">
        <v>5317</v>
      </c>
      <c r="D316" s="71" t="s">
        <v>78</v>
      </c>
      <c r="E316" s="69" t="s">
        <v>1996</v>
      </c>
      <c r="G316" s="69">
        <v>1758.75</v>
      </c>
      <c r="T316" s="69"/>
      <c r="U316" s="69"/>
      <c r="AR316" s="94">
        <f t="shared" si="36"/>
        <v>1758.75</v>
      </c>
      <c r="AS316" s="69">
        <v>1175.3499999999999</v>
      </c>
      <c r="AT316" s="69">
        <f>9.65+150</f>
        <v>159.65</v>
      </c>
      <c r="AU316" s="69">
        <v>423.75</v>
      </c>
      <c r="BC316" s="69"/>
      <c r="BD316" s="69"/>
      <c r="CD316" s="94">
        <f t="shared" si="37"/>
        <v>1758.75</v>
      </c>
      <c r="CE316" s="73">
        <f t="shared" si="38"/>
        <v>0</v>
      </c>
      <c r="CF316" s="75">
        <f t="shared" si="39"/>
        <v>5317</v>
      </c>
      <c r="CG316" s="69" t="str">
        <f t="shared" si="39"/>
        <v>برنامج دولى</v>
      </c>
    </row>
    <row r="317" spans="2:85" ht="18.75" x14ac:dyDescent="0.25">
      <c r="B317" s="82">
        <v>9206</v>
      </c>
      <c r="C317" s="70">
        <v>5318</v>
      </c>
      <c r="D317" s="71" t="s">
        <v>78</v>
      </c>
      <c r="E317" s="69" t="s">
        <v>1996</v>
      </c>
      <c r="G317" s="69">
        <v>5114.1000000000004</v>
      </c>
      <c r="T317" s="69"/>
      <c r="U317" s="69"/>
      <c r="AR317" s="94">
        <f t="shared" si="36"/>
        <v>5114.1000000000004</v>
      </c>
      <c r="AS317" s="69">
        <v>3628.65</v>
      </c>
      <c r="AT317" s="69">
        <v>479.75</v>
      </c>
      <c r="AU317" s="69">
        <v>1005.7</v>
      </c>
      <c r="BC317" s="69"/>
      <c r="BD317" s="69"/>
      <c r="CD317" s="94">
        <f t="shared" si="37"/>
        <v>5114.0999999999995</v>
      </c>
      <c r="CE317" s="73">
        <f t="shared" si="38"/>
        <v>0</v>
      </c>
      <c r="CF317" s="75">
        <f t="shared" si="39"/>
        <v>5318</v>
      </c>
      <c r="CG317" s="69" t="str">
        <f t="shared" si="39"/>
        <v>برنامج دولى</v>
      </c>
    </row>
    <row r="318" spans="2:85" ht="18.75" x14ac:dyDescent="0.25">
      <c r="B318" s="82">
        <v>9207</v>
      </c>
      <c r="C318" s="70">
        <v>5319</v>
      </c>
      <c r="D318" s="71" t="s">
        <v>78</v>
      </c>
      <c r="E318" s="69" t="s">
        <v>1996</v>
      </c>
      <c r="G318" s="69">
        <v>21938.5</v>
      </c>
      <c r="T318" s="69"/>
      <c r="U318" s="69"/>
      <c r="AR318" s="94">
        <f t="shared" si="36"/>
        <v>21938.5</v>
      </c>
      <c r="AS318" s="69">
        <v>15218.2</v>
      </c>
      <c r="AT318" s="69">
        <v>2030.8</v>
      </c>
      <c r="AU318" s="69">
        <v>4689.5</v>
      </c>
      <c r="BC318" s="69"/>
      <c r="BD318" s="69"/>
      <c r="CD318" s="94">
        <f t="shared" si="37"/>
        <v>21938.5</v>
      </c>
      <c r="CE318" s="73">
        <f t="shared" si="38"/>
        <v>0</v>
      </c>
      <c r="CF318" s="75">
        <f t="shared" si="39"/>
        <v>5319</v>
      </c>
      <c r="CG318" s="69" t="str">
        <f t="shared" si="39"/>
        <v>برنامج دولى</v>
      </c>
    </row>
    <row r="319" spans="2:85" ht="18.75" x14ac:dyDescent="0.25">
      <c r="B319" s="82">
        <v>9227</v>
      </c>
      <c r="C319" s="70">
        <v>5320</v>
      </c>
      <c r="D319" s="71" t="s">
        <v>78</v>
      </c>
      <c r="E319" s="69" t="s">
        <v>357</v>
      </c>
      <c r="G319" s="69">
        <v>1758.75</v>
      </c>
      <c r="T319" s="69"/>
      <c r="U319" s="69"/>
      <c r="AR319" s="94">
        <f t="shared" si="36"/>
        <v>1758.75</v>
      </c>
      <c r="AS319" s="69">
        <v>1174.1199999999999</v>
      </c>
      <c r="AT319" s="69">
        <f>150+10.88</f>
        <v>160.88</v>
      </c>
      <c r="AU319" s="69">
        <v>423.75</v>
      </c>
      <c r="BC319" s="69"/>
      <c r="BD319" s="69"/>
      <c r="CD319" s="94">
        <f t="shared" si="37"/>
        <v>1758.75</v>
      </c>
      <c r="CE319" s="73">
        <f t="shared" si="38"/>
        <v>0</v>
      </c>
      <c r="CF319" s="75">
        <f t="shared" si="39"/>
        <v>5320</v>
      </c>
      <c r="CG319" s="69" t="str">
        <f t="shared" si="39"/>
        <v>برنامج دولى</v>
      </c>
    </row>
    <row r="320" spans="2:85" ht="18.75" x14ac:dyDescent="0.25">
      <c r="B320" s="82">
        <v>9228</v>
      </c>
      <c r="C320" s="70">
        <v>5321</v>
      </c>
      <c r="D320" s="71" t="s">
        <v>78</v>
      </c>
      <c r="E320" s="69" t="s">
        <v>357</v>
      </c>
      <c r="G320" s="69">
        <v>5484.97</v>
      </c>
      <c r="T320" s="69"/>
      <c r="U320" s="69"/>
      <c r="AR320" s="94">
        <f t="shared" si="36"/>
        <v>5484.97</v>
      </c>
      <c r="AS320" s="69">
        <v>4614.95</v>
      </c>
      <c r="AT320" s="69">
        <v>567.1</v>
      </c>
      <c r="AU320" s="69">
        <v>302.92</v>
      </c>
      <c r="BC320" s="69"/>
      <c r="BD320" s="69"/>
      <c r="CD320" s="94">
        <f t="shared" si="37"/>
        <v>5484.97</v>
      </c>
      <c r="CE320" s="73">
        <f t="shared" si="38"/>
        <v>0</v>
      </c>
      <c r="CF320" s="75">
        <f t="shared" si="39"/>
        <v>5321</v>
      </c>
      <c r="CG320" s="69" t="str">
        <f t="shared" si="39"/>
        <v>برنامج دولى</v>
      </c>
    </row>
    <row r="321" spans="2:85" ht="18.75" x14ac:dyDescent="0.25">
      <c r="B321" s="82">
        <v>9229</v>
      </c>
      <c r="C321" s="70">
        <v>5322</v>
      </c>
      <c r="D321" s="71" t="s">
        <v>78</v>
      </c>
      <c r="E321" s="69" t="s">
        <v>357</v>
      </c>
      <c r="G321" s="69">
        <v>18062.16</v>
      </c>
      <c r="T321" s="69"/>
      <c r="U321" s="69"/>
      <c r="AR321" s="94">
        <f t="shared" si="36"/>
        <v>18062.16</v>
      </c>
      <c r="AS321" s="69">
        <v>13818.73</v>
      </c>
      <c r="AT321" s="69">
        <v>1767</v>
      </c>
      <c r="AU321" s="69">
        <v>2476.4299999999998</v>
      </c>
      <c r="BC321" s="69"/>
      <c r="BD321" s="69"/>
      <c r="CD321" s="94">
        <f t="shared" si="37"/>
        <v>18062.16</v>
      </c>
      <c r="CE321" s="73">
        <f t="shared" si="38"/>
        <v>0</v>
      </c>
      <c r="CF321" s="75">
        <f t="shared" si="39"/>
        <v>5322</v>
      </c>
      <c r="CG321" s="69" t="str">
        <f t="shared" si="39"/>
        <v>برنامج دولى</v>
      </c>
    </row>
    <row r="322" spans="2:85" ht="18.75" x14ac:dyDescent="0.25">
      <c r="B322" s="82">
        <v>9501</v>
      </c>
      <c r="C322" s="70">
        <v>5323</v>
      </c>
      <c r="D322" s="71" t="s">
        <v>78</v>
      </c>
      <c r="E322" s="69" t="s">
        <v>565</v>
      </c>
      <c r="G322" s="69">
        <v>7860</v>
      </c>
      <c r="T322" s="69"/>
      <c r="U322" s="69"/>
      <c r="AR322" s="94">
        <f t="shared" si="36"/>
        <v>7860</v>
      </c>
      <c r="AS322" s="69">
        <v>7027.25</v>
      </c>
      <c r="AT322" s="69">
        <v>832.75</v>
      </c>
      <c r="BC322" s="69"/>
      <c r="BD322" s="69"/>
      <c r="CD322" s="94">
        <f t="shared" si="37"/>
        <v>7860</v>
      </c>
      <c r="CE322" s="73">
        <f t="shared" si="38"/>
        <v>0</v>
      </c>
      <c r="CF322" s="75">
        <f t="shared" si="39"/>
        <v>5323</v>
      </c>
      <c r="CG322" s="69" t="str">
        <f t="shared" si="39"/>
        <v>برنامج دولى</v>
      </c>
    </row>
    <row r="323" spans="2:85" ht="18.75" x14ac:dyDescent="0.25">
      <c r="B323" s="82">
        <v>9502</v>
      </c>
      <c r="C323" s="70">
        <v>5324</v>
      </c>
      <c r="D323" s="71" t="s">
        <v>78</v>
      </c>
      <c r="E323" s="69" t="s">
        <v>2772</v>
      </c>
      <c r="G323" s="69">
        <v>540</v>
      </c>
      <c r="T323" s="69"/>
      <c r="U323" s="69"/>
      <c r="AR323" s="94">
        <f t="shared" si="36"/>
        <v>540</v>
      </c>
      <c r="AS323" s="69">
        <v>482.55</v>
      </c>
      <c r="AT323" s="69">
        <v>57.45</v>
      </c>
      <c r="BC323" s="69"/>
      <c r="BD323" s="69"/>
      <c r="CD323" s="94">
        <f t="shared" si="37"/>
        <v>540</v>
      </c>
      <c r="CE323" s="73">
        <f t="shared" si="38"/>
        <v>0</v>
      </c>
      <c r="CF323" s="75">
        <f t="shared" si="39"/>
        <v>5324</v>
      </c>
      <c r="CG323" s="69" t="str">
        <f t="shared" si="39"/>
        <v>برنامج دولى</v>
      </c>
    </row>
    <row r="324" spans="2:85" ht="18.75" x14ac:dyDescent="0.25">
      <c r="B324" s="82">
        <v>9503</v>
      </c>
      <c r="C324" s="70">
        <v>5325</v>
      </c>
      <c r="D324" s="71" t="s">
        <v>78</v>
      </c>
      <c r="E324" s="69" t="s">
        <v>575</v>
      </c>
      <c r="G324" s="69">
        <v>12960</v>
      </c>
      <c r="T324" s="69"/>
      <c r="U324" s="69"/>
      <c r="AR324" s="94">
        <f t="shared" si="36"/>
        <v>12960</v>
      </c>
      <c r="AS324" s="69">
        <v>11576.75</v>
      </c>
      <c r="AT324" s="69">
        <v>1383.25</v>
      </c>
      <c r="BC324" s="69"/>
      <c r="BD324" s="69"/>
      <c r="CD324" s="94">
        <f t="shared" si="37"/>
        <v>12960</v>
      </c>
      <c r="CE324" s="73">
        <f t="shared" si="38"/>
        <v>0</v>
      </c>
      <c r="CF324" s="75">
        <f t="shared" si="39"/>
        <v>5325</v>
      </c>
      <c r="CG324" s="69" t="str">
        <f t="shared" si="39"/>
        <v>برنامج دولى</v>
      </c>
    </row>
    <row r="325" spans="2:85" ht="18.75" x14ac:dyDescent="0.25">
      <c r="B325" s="82">
        <v>9504</v>
      </c>
      <c r="C325" s="70">
        <v>5326</v>
      </c>
      <c r="D325" s="71" t="s">
        <v>78</v>
      </c>
      <c r="E325" s="69" t="s">
        <v>575</v>
      </c>
      <c r="G325" s="69">
        <v>600</v>
      </c>
      <c r="T325" s="69"/>
      <c r="U325" s="69"/>
      <c r="AR325" s="94">
        <f t="shared" si="36"/>
        <v>600</v>
      </c>
      <c r="AS325" s="69">
        <v>536.15</v>
      </c>
      <c r="AT325" s="69">
        <v>63.85</v>
      </c>
      <c r="BC325" s="69"/>
      <c r="BD325" s="69"/>
      <c r="CD325" s="94">
        <f t="shared" si="37"/>
        <v>600</v>
      </c>
      <c r="CE325" s="73">
        <f t="shared" si="38"/>
        <v>0</v>
      </c>
      <c r="CF325" s="75">
        <f t="shared" si="39"/>
        <v>5326</v>
      </c>
      <c r="CG325" s="69" t="str">
        <f t="shared" si="39"/>
        <v>برنامج دولى</v>
      </c>
    </row>
    <row r="326" spans="2:85" ht="18.75" x14ac:dyDescent="0.25">
      <c r="B326" s="82">
        <v>9505</v>
      </c>
      <c r="C326" s="70">
        <v>5327</v>
      </c>
      <c r="D326" s="71" t="s">
        <v>78</v>
      </c>
      <c r="E326" s="69" t="str">
        <f>+E323</f>
        <v>عب تدريس طفيليات</v>
      </c>
      <c r="G326" s="69">
        <v>600</v>
      </c>
      <c r="T326" s="69"/>
      <c r="U326" s="69"/>
      <c r="AR326" s="94">
        <f t="shared" si="36"/>
        <v>600</v>
      </c>
      <c r="AS326" s="69">
        <v>536.15</v>
      </c>
      <c r="AT326" s="69">
        <v>63.85</v>
      </c>
      <c r="BC326" s="69"/>
      <c r="BD326" s="69"/>
      <c r="CD326" s="94">
        <f t="shared" si="37"/>
        <v>600</v>
      </c>
      <c r="CE326" s="73">
        <f t="shared" si="38"/>
        <v>0</v>
      </c>
      <c r="CF326" s="75">
        <f t="shared" si="39"/>
        <v>5327</v>
      </c>
      <c r="CG326" s="69" t="str">
        <f t="shared" si="39"/>
        <v>برنامج دولى</v>
      </c>
    </row>
    <row r="327" spans="2:85" ht="18.75" x14ac:dyDescent="0.25">
      <c r="B327" s="82">
        <v>9506</v>
      </c>
      <c r="C327" s="70">
        <v>5328</v>
      </c>
      <c r="D327" s="71" t="s">
        <v>78</v>
      </c>
      <c r="E327" s="69" t="str">
        <f>+E326</f>
        <v>عب تدريس طفيليات</v>
      </c>
      <c r="G327" s="69">
        <v>540</v>
      </c>
      <c r="T327" s="69"/>
      <c r="U327" s="69"/>
      <c r="AR327" s="94">
        <f t="shared" si="36"/>
        <v>540</v>
      </c>
      <c r="AS327" s="69">
        <v>482.55</v>
      </c>
      <c r="AT327" s="69">
        <v>57.45</v>
      </c>
      <c r="BC327" s="69"/>
      <c r="BD327" s="69"/>
      <c r="CD327" s="94">
        <f t="shared" si="37"/>
        <v>540</v>
      </c>
      <c r="CE327" s="73">
        <f t="shared" si="38"/>
        <v>0</v>
      </c>
      <c r="CF327" s="75">
        <f t="shared" si="39"/>
        <v>5328</v>
      </c>
      <c r="CG327" s="69" t="str">
        <f t="shared" si="39"/>
        <v>برنامج دولى</v>
      </c>
    </row>
    <row r="328" spans="2:85" ht="18.75" x14ac:dyDescent="0.25">
      <c r="B328" s="82">
        <v>9246</v>
      </c>
      <c r="C328" s="70">
        <v>5329</v>
      </c>
      <c r="D328" s="71" t="s">
        <v>78</v>
      </c>
      <c r="E328" s="69" t="s">
        <v>2773</v>
      </c>
      <c r="G328" s="69">
        <v>10552.54</v>
      </c>
      <c r="T328" s="69"/>
      <c r="U328" s="69"/>
      <c r="AR328" s="94">
        <f t="shared" si="36"/>
        <v>10552.54</v>
      </c>
      <c r="AS328" s="69">
        <v>7058.15</v>
      </c>
      <c r="AT328" s="69">
        <f>51.85+900</f>
        <v>951.85</v>
      </c>
      <c r="AU328" s="69">
        <v>2542.54</v>
      </c>
      <c r="BC328" s="69"/>
      <c r="BD328" s="69"/>
      <c r="CD328" s="94">
        <f t="shared" si="37"/>
        <v>10552.54</v>
      </c>
      <c r="CE328" s="73">
        <f t="shared" si="38"/>
        <v>0</v>
      </c>
      <c r="CF328" s="75">
        <f t="shared" si="39"/>
        <v>5329</v>
      </c>
      <c r="CG328" s="69" t="str">
        <f t="shared" si="39"/>
        <v>برنامج دولى</v>
      </c>
    </row>
    <row r="329" spans="2:85" ht="18.75" x14ac:dyDescent="0.25">
      <c r="B329" s="82">
        <v>9247</v>
      </c>
      <c r="C329" s="70">
        <v>5330</v>
      </c>
      <c r="D329" s="71" t="s">
        <v>78</v>
      </c>
      <c r="E329" s="69" t="s">
        <v>2774</v>
      </c>
      <c r="G329" s="69">
        <v>2931.24</v>
      </c>
      <c r="T329" s="69"/>
      <c r="U329" s="69"/>
      <c r="AR329" s="94">
        <f t="shared" si="36"/>
        <v>2931.24</v>
      </c>
      <c r="AS329" s="69">
        <v>1959</v>
      </c>
      <c r="AT329" s="69">
        <v>266</v>
      </c>
      <c r="AU329" s="69">
        <v>706.24</v>
      </c>
      <c r="BC329" s="69"/>
      <c r="BD329" s="69"/>
      <c r="CD329" s="94">
        <f t="shared" si="37"/>
        <v>2931.24</v>
      </c>
      <c r="CE329" s="73">
        <f t="shared" si="38"/>
        <v>0</v>
      </c>
      <c r="CF329" s="75">
        <f t="shared" si="39"/>
        <v>5330</v>
      </c>
      <c r="CG329" s="69" t="str">
        <f t="shared" si="39"/>
        <v>برنامج دولى</v>
      </c>
    </row>
    <row r="330" spans="2:85" ht="18.75" x14ac:dyDescent="0.25">
      <c r="B330" s="82">
        <v>9233</v>
      </c>
      <c r="C330" s="70">
        <v>5331</v>
      </c>
      <c r="D330" s="71" t="s">
        <v>78</v>
      </c>
      <c r="E330" s="69" t="s">
        <v>2775</v>
      </c>
      <c r="G330" s="69">
        <v>19993.2</v>
      </c>
      <c r="T330" s="69"/>
      <c r="U330" s="69"/>
      <c r="AR330" s="94">
        <f t="shared" si="36"/>
        <v>19993.2</v>
      </c>
      <c r="AS330" s="69">
        <v>17841.330000000002</v>
      </c>
      <c r="AT330" s="69">
        <v>2151.87</v>
      </c>
      <c r="BC330" s="69"/>
      <c r="BD330" s="69"/>
      <c r="CD330" s="94">
        <f t="shared" si="37"/>
        <v>19993.2</v>
      </c>
      <c r="CE330" s="73">
        <f t="shared" si="38"/>
        <v>0</v>
      </c>
      <c r="CF330" s="75">
        <f t="shared" si="39"/>
        <v>5331</v>
      </c>
      <c r="CG330" s="69" t="str">
        <f t="shared" si="39"/>
        <v>برنامج دولى</v>
      </c>
    </row>
    <row r="331" spans="2:85" ht="18.75" x14ac:dyDescent="0.25">
      <c r="B331" s="82">
        <v>9225</v>
      </c>
      <c r="C331" s="70">
        <v>5332</v>
      </c>
      <c r="D331" s="71" t="s">
        <v>78</v>
      </c>
      <c r="E331" s="69" t="s">
        <v>2585</v>
      </c>
      <c r="G331" s="69">
        <v>7738.5</v>
      </c>
      <c r="T331" s="69"/>
      <c r="U331" s="69"/>
      <c r="AR331" s="94">
        <f t="shared" si="36"/>
        <v>7738.5</v>
      </c>
      <c r="AS331" s="69">
        <v>5167.3999999999996</v>
      </c>
      <c r="AT331" s="69">
        <f>46.6+660</f>
        <v>706.6</v>
      </c>
      <c r="AU331" s="69">
        <v>1864.5</v>
      </c>
      <c r="BC331" s="69"/>
      <c r="BD331" s="69"/>
      <c r="CD331" s="94">
        <f t="shared" si="37"/>
        <v>7738.5</v>
      </c>
      <c r="CE331" s="73">
        <f t="shared" si="38"/>
        <v>0</v>
      </c>
      <c r="CF331" s="75">
        <f t="shared" si="39"/>
        <v>5332</v>
      </c>
      <c r="CG331" s="69" t="str">
        <f t="shared" si="39"/>
        <v>برنامج دولى</v>
      </c>
    </row>
    <row r="332" spans="2:85" ht="18.75" x14ac:dyDescent="0.25">
      <c r="B332" s="82">
        <v>9241</v>
      </c>
      <c r="C332" s="70">
        <v>5333</v>
      </c>
      <c r="D332" s="71" t="s">
        <v>78</v>
      </c>
      <c r="E332" s="69" t="s">
        <v>1389</v>
      </c>
      <c r="G332" s="69">
        <v>3938</v>
      </c>
      <c r="T332" s="69"/>
      <c r="U332" s="69"/>
      <c r="AR332" s="94">
        <f t="shared" si="36"/>
        <v>3938</v>
      </c>
      <c r="AS332" s="69">
        <v>3305.55</v>
      </c>
      <c r="AT332" s="69">
        <v>406.45</v>
      </c>
      <c r="AU332" s="69">
        <v>226</v>
      </c>
      <c r="BC332" s="69"/>
      <c r="BD332" s="69"/>
      <c r="CD332" s="94">
        <f t="shared" si="37"/>
        <v>3938</v>
      </c>
      <c r="CE332" s="73">
        <f t="shared" si="38"/>
        <v>0</v>
      </c>
      <c r="CF332" s="75">
        <f t="shared" si="39"/>
        <v>5333</v>
      </c>
      <c r="CG332" s="69" t="str">
        <f t="shared" si="39"/>
        <v>برنامج دولى</v>
      </c>
    </row>
    <row r="333" spans="2:85" ht="18.75" x14ac:dyDescent="0.25">
      <c r="B333" s="82">
        <v>9242</v>
      </c>
      <c r="C333" s="70">
        <v>5334</v>
      </c>
      <c r="D333" s="71" t="s">
        <v>78</v>
      </c>
      <c r="E333" s="69" t="s">
        <v>1389</v>
      </c>
      <c r="G333" s="69">
        <v>1500</v>
      </c>
      <c r="T333" s="69"/>
      <c r="U333" s="69"/>
      <c r="AR333" s="94">
        <f t="shared" si="36"/>
        <v>1500</v>
      </c>
      <c r="AS333" s="69">
        <v>1339.1</v>
      </c>
      <c r="AT333" s="69">
        <v>160.9</v>
      </c>
      <c r="BC333" s="69"/>
      <c r="BD333" s="69"/>
      <c r="CD333" s="94">
        <f t="shared" si="37"/>
        <v>1500</v>
      </c>
      <c r="CE333" s="73">
        <f t="shared" si="38"/>
        <v>0</v>
      </c>
      <c r="CF333" s="75">
        <f t="shared" si="39"/>
        <v>5334</v>
      </c>
      <c r="CG333" s="69" t="str">
        <f t="shared" si="39"/>
        <v>برنامج دولى</v>
      </c>
    </row>
    <row r="334" spans="2:85" ht="18.75" x14ac:dyDescent="0.25">
      <c r="B334" s="82">
        <v>9223</v>
      </c>
      <c r="C334" s="70">
        <v>5335</v>
      </c>
      <c r="D334" s="71" t="s">
        <v>78</v>
      </c>
      <c r="E334" s="69" t="s">
        <v>2776</v>
      </c>
      <c r="G334" s="69">
        <v>1758.75</v>
      </c>
      <c r="T334" s="69"/>
      <c r="U334" s="69"/>
      <c r="AR334" s="94">
        <f t="shared" si="36"/>
        <v>1758.75</v>
      </c>
      <c r="AS334" s="69">
        <v>1175.3499999999999</v>
      </c>
      <c r="AT334" s="69">
        <v>159.65</v>
      </c>
      <c r="AU334" s="69">
        <v>423.75</v>
      </c>
      <c r="BC334" s="69"/>
      <c r="BD334" s="69"/>
      <c r="CD334" s="94">
        <f t="shared" si="37"/>
        <v>1758.75</v>
      </c>
      <c r="CE334" s="73">
        <f t="shared" si="38"/>
        <v>0</v>
      </c>
      <c r="CF334" s="75">
        <f t="shared" si="39"/>
        <v>5335</v>
      </c>
      <c r="CG334" s="69" t="str">
        <f t="shared" si="39"/>
        <v>برنامج دولى</v>
      </c>
    </row>
    <row r="335" spans="2:85" ht="18.75" x14ac:dyDescent="0.25">
      <c r="B335" s="82">
        <v>9243</v>
      </c>
      <c r="C335" s="70">
        <v>5336</v>
      </c>
      <c r="D335" s="71" t="s">
        <v>78</v>
      </c>
      <c r="E335" s="69" t="str">
        <f>+E333</f>
        <v>مكافاه كنترول دور اول</v>
      </c>
      <c r="G335" s="69">
        <v>3830.28</v>
      </c>
      <c r="T335" s="69"/>
      <c r="U335" s="69"/>
      <c r="AR335" s="94">
        <f t="shared" si="36"/>
        <v>3830.28</v>
      </c>
      <c r="AS335" s="69">
        <v>3297.51</v>
      </c>
      <c r="AT335" s="69">
        <v>401.3</v>
      </c>
      <c r="AU335" s="69">
        <v>131.47</v>
      </c>
      <c r="BC335" s="69"/>
      <c r="BD335" s="69"/>
      <c r="CD335" s="94">
        <f t="shared" si="37"/>
        <v>3830.28</v>
      </c>
      <c r="CE335" s="73">
        <f t="shared" si="38"/>
        <v>0</v>
      </c>
      <c r="CF335" s="75">
        <f t="shared" si="39"/>
        <v>5336</v>
      </c>
      <c r="CG335" s="69" t="str">
        <f t="shared" si="39"/>
        <v>برنامج دولى</v>
      </c>
    </row>
    <row r="336" spans="2:85" ht="18.75" x14ac:dyDescent="0.25">
      <c r="B336" s="82">
        <v>9234</v>
      </c>
      <c r="C336" s="70">
        <v>5337</v>
      </c>
      <c r="D336" s="71" t="s">
        <v>78</v>
      </c>
      <c r="E336" s="69" t="s">
        <v>1389</v>
      </c>
      <c r="G336" s="69">
        <v>8090.25</v>
      </c>
      <c r="T336" s="69"/>
      <c r="U336" s="69"/>
      <c r="AR336" s="94">
        <f t="shared" si="36"/>
        <v>8090.25</v>
      </c>
      <c r="AS336" s="69">
        <v>5408.1</v>
      </c>
      <c r="AT336" s="69">
        <f>42.9+690</f>
        <v>732.9</v>
      </c>
      <c r="AU336" s="69">
        <v>1949.25</v>
      </c>
      <c r="BC336" s="69"/>
      <c r="BD336" s="69"/>
      <c r="CD336" s="94">
        <f t="shared" si="37"/>
        <v>8090.25</v>
      </c>
      <c r="CE336" s="73">
        <f t="shared" si="38"/>
        <v>0</v>
      </c>
      <c r="CF336" s="75">
        <f t="shared" si="39"/>
        <v>5337</v>
      </c>
      <c r="CG336" s="69" t="str">
        <f t="shared" si="39"/>
        <v>برنامج دولى</v>
      </c>
    </row>
    <row r="337" spans="2:85" ht="18.75" x14ac:dyDescent="0.25">
      <c r="B337" s="82">
        <v>9222</v>
      </c>
      <c r="C337" s="70">
        <v>5338</v>
      </c>
      <c r="D337" s="71" t="s">
        <v>78</v>
      </c>
      <c r="E337" s="69" t="str">
        <f>+E334</f>
        <v>مكافاه كنترول دور ثانى</v>
      </c>
      <c r="G337" s="69">
        <v>1500</v>
      </c>
      <c r="T337" s="69"/>
      <c r="U337" s="69"/>
      <c r="AR337" s="94">
        <f t="shared" si="36"/>
        <v>1500</v>
      </c>
      <c r="AS337" s="69">
        <v>1339.1</v>
      </c>
      <c r="AT337" s="69">
        <v>160.9</v>
      </c>
      <c r="BC337" s="69"/>
      <c r="BD337" s="69"/>
      <c r="CD337" s="94">
        <f t="shared" si="37"/>
        <v>1500</v>
      </c>
      <c r="CE337" s="73">
        <f t="shared" si="38"/>
        <v>0</v>
      </c>
      <c r="CF337" s="75">
        <f t="shared" si="39"/>
        <v>5338</v>
      </c>
      <c r="CG337" s="69" t="str">
        <f t="shared" si="39"/>
        <v>برنامج دولى</v>
      </c>
    </row>
    <row r="338" spans="2:85" ht="18.75" x14ac:dyDescent="0.25">
      <c r="B338" s="82">
        <v>9157</v>
      </c>
      <c r="C338" s="70">
        <v>5339</v>
      </c>
      <c r="D338" s="71" t="s">
        <v>78</v>
      </c>
      <c r="E338" s="69" t="str">
        <f>+E331</f>
        <v>عب تدريس جراحه تجميل</v>
      </c>
      <c r="G338" s="69">
        <v>2110.5</v>
      </c>
      <c r="T338" s="69"/>
      <c r="U338" s="69"/>
      <c r="AR338" s="94">
        <f t="shared" si="36"/>
        <v>2110.5</v>
      </c>
      <c r="AS338" s="69">
        <v>1410.35</v>
      </c>
      <c r="AT338" s="69">
        <f>11.65+180</f>
        <v>191.65</v>
      </c>
      <c r="AU338" s="69">
        <v>508.5</v>
      </c>
      <c r="BC338" s="69"/>
      <c r="BD338" s="69"/>
      <c r="CD338" s="94">
        <f t="shared" si="37"/>
        <v>2110.5</v>
      </c>
      <c r="CE338" s="73">
        <f t="shared" si="38"/>
        <v>0</v>
      </c>
      <c r="CF338" s="75">
        <f t="shared" si="39"/>
        <v>5339</v>
      </c>
      <c r="CG338" s="69" t="str">
        <f t="shared" si="39"/>
        <v>برنامج دولى</v>
      </c>
    </row>
    <row r="339" spans="2:85" ht="18.75" x14ac:dyDescent="0.25">
      <c r="B339" s="82">
        <v>9159</v>
      </c>
      <c r="C339" s="70">
        <v>5340</v>
      </c>
      <c r="D339" s="71" t="s">
        <v>78</v>
      </c>
      <c r="E339" s="69" t="str">
        <f t="shared" ref="E339:E345" si="40">+E338</f>
        <v>عب تدريس جراحه تجميل</v>
      </c>
      <c r="G339" s="69">
        <v>2505.36</v>
      </c>
      <c r="T339" s="69"/>
      <c r="U339" s="69"/>
      <c r="AR339" s="94">
        <f t="shared" si="36"/>
        <v>2505.36</v>
      </c>
      <c r="AS339" s="69">
        <v>1710.67</v>
      </c>
      <c r="AT339" s="69">
        <v>229.1</v>
      </c>
      <c r="AU339" s="69">
        <v>565.59</v>
      </c>
      <c r="BC339" s="69"/>
      <c r="BD339" s="69"/>
      <c r="CD339" s="94">
        <f t="shared" si="37"/>
        <v>2505.36</v>
      </c>
      <c r="CE339" s="73">
        <f t="shared" si="38"/>
        <v>0</v>
      </c>
      <c r="CF339" s="75">
        <f t="shared" si="39"/>
        <v>5340</v>
      </c>
      <c r="CG339" s="69" t="str">
        <f t="shared" si="39"/>
        <v>برنامج دولى</v>
      </c>
    </row>
    <row r="340" spans="2:85" ht="18.75" x14ac:dyDescent="0.25">
      <c r="B340" s="82">
        <v>9246</v>
      </c>
      <c r="C340" s="70">
        <v>5341</v>
      </c>
      <c r="D340" s="71" t="s">
        <v>78</v>
      </c>
      <c r="E340" s="69" t="str">
        <f t="shared" si="40"/>
        <v>عب تدريس جراحه تجميل</v>
      </c>
      <c r="G340" s="69">
        <v>8870</v>
      </c>
      <c r="T340" s="69"/>
      <c r="U340" s="69"/>
      <c r="AR340" s="94">
        <f t="shared" si="36"/>
        <v>8870</v>
      </c>
      <c r="AS340" s="69">
        <v>7291.74</v>
      </c>
      <c r="AT340" s="69">
        <v>906.8</v>
      </c>
      <c r="AU340" s="69">
        <v>671.46</v>
      </c>
      <c r="BC340" s="69"/>
      <c r="BD340" s="69"/>
      <c r="CD340" s="94">
        <f t="shared" si="37"/>
        <v>8870</v>
      </c>
      <c r="CE340" s="73">
        <f t="shared" si="38"/>
        <v>0</v>
      </c>
      <c r="CF340" s="75">
        <f t="shared" si="39"/>
        <v>5341</v>
      </c>
      <c r="CG340" s="69" t="str">
        <f t="shared" si="39"/>
        <v>برنامج دولى</v>
      </c>
    </row>
    <row r="341" spans="2:85" ht="18.75" x14ac:dyDescent="0.25">
      <c r="B341" s="82">
        <v>9245</v>
      </c>
      <c r="C341" s="70">
        <v>5342</v>
      </c>
      <c r="D341" s="71" t="s">
        <v>78</v>
      </c>
      <c r="E341" s="69" t="str">
        <f t="shared" si="40"/>
        <v>عب تدريس جراحه تجميل</v>
      </c>
      <c r="G341" s="69">
        <v>8653.06</v>
      </c>
      <c r="T341" s="69"/>
      <c r="U341" s="69"/>
      <c r="AR341" s="94">
        <f t="shared" si="36"/>
        <v>8653.06</v>
      </c>
      <c r="AS341" s="69">
        <v>5782.05</v>
      </c>
      <c r="AT341" s="69">
        <v>786.15</v>
      </c>
      <c r="AU341" s="69">
        <v>2084.86</v>
      </c>
      <c r="BC341" s="69"/>
      <c r="BD341" s="69"/>
      <c r="CD341" s="94">
        <f t="shared" si="37"/>
        <v>8653.06</v>
      </c>
      <c r="CE341" s="73">
        <f t="shared" si="38"/>
        <v>0</v>
      </c>
      <c r="CF341" s="75">
        <f t="shared" si="39"/>
        <v>5342</v>
      </c>
      <c r="CG341" s="69" t="str">
        <f t="shared" si="39"/>
        <v>برنامج دولى</v>
      </c>
    </row>
    <row r="342" spans="2:85" ht="18.75" x14ac:dyDescent="0.25">
      <c r="B342" s="82">
        <v>9244</v>
      </c>
      <c r="C342" s="70">
        <v>5343</v>
      </c>
      <c r="D342" s="71" t="s">
        <v>78</v>
      </c>
      <c r="E342" s="69" t="str">
        <f t="shared" si="40"/>
        <v>عب تدريس جراحه تجميل</v>
      </c>
      <c r="G342" s="69">
        <v>35595.949999999997</v>
      </c>
      <c r="T342" s="69"/>
      <c r="U342" s="69"/>
      <c r="AR342" s="94">
        <f t="shared" si="36"/>
        <v>35595.949999999997</v>
      </c>
      <c r="AS342" s="69">
        <v>30760.799999999999</v>
      </c>
      <c r="AT342" s="69">
        <v>3728.15</v>
      </c>
      <c r="AU342" s="69">
        <v>1107</v>
      </c>
      <c r="BC342" s="69"/>
      <c r="BD342" s="69"/>
      <c r="CD342" s="94">
        <f t="shared" si="37"/>
        <v>35595.949999999997</v>
      </c>
      <c r="CE342" s="73">
        <f t="shared" si="38"/>
        <v>0</v>
      </c>
      <c r="CF342" s="75">
        <f t="shared" si="39"/>
        <v>5343</v>
      </c>
      <c r="CG342" s="69" t="str">
        <f t="shared" si="39"/>
        <v>برنامج دولى</v>
      </c>
    </row>
    <row r="343" spans="2:85" ht="18.75" x14ac:dyDescent="0.25">
      <c r="B343" s="82">
        <v>9247</v>
      </c>
      <c r="C343" s="70">
        <v>5344</v>
      </c>
      <c r="D343" s="71" t="s">
        <v>78</v>
      </c>
      <c r="E343" s="69" t="str">
        <f t="shared" si="40"/>
        <v>عب تدريس جراحه تجميل</v>
      </c>
      <c r="G343" s="69">
        <v>34872.57</v>
      </c>
      <c r="T343" s="69"/>
      <c r="U343" s="69"/>
      <c r="AR343" s="94">
        <f t="shared" si="36"/>
        <v>34872.57</v>
      </c>
      <c r="AS343" s="69">
        <v>30639.82</v>
      </c>
      <c r="AT343" s="69">
        <v>3720.85</v>
      </c>
      <c r="AU343" s="69">
        <v>511.9</v>
      </c>
      <c r="BC343" s="69"/>
      <c r="BD343" s="69"/>
      <c r="CD343" s="94">
        <f t="shared" si="37"/>
        <v>34872.57</v>
      </c>
      <c r="CE343" s="73">
        <f t="shared" si="38"/>
        <v>0</v>
      </c>
      <c r="CF343" s="75">
        <f t="shared" si="39"/>
        <v>5344</v>
      </c>
      <c r="CG343" s="69" t="str">
        <f t="shared" si="39"/>
        <v>برنامج دولى</v>
      </c>
    </row>
    <row r="344" spans="2:85" ht="18.75" x14ac:dyDescent="0.25">
      <c r="B344" s="82">
        <v>9158</v>
      </c>
      <c r="C344" s="70">
        <v>5345</v>
      </c>
      <c r="D344" s="71" t="s">
        <v>78</v>
      </c>
      <c r="E344" s="69" t="str">
        <f t="shared" si="40"/>
        <v>عب تدريس جراحه تجميل</v>
      </c>
      <c r="G344" s="69">
        <v>2160</v>
      </c>
      <c r="T344" s="69"/>
      <c r="U344" s="69"/>
      <c r="AR344" s="94">
        <f t="shared" si="36"/>
        <v>2160</v>
      </c>
      <c r="AS344" s="69">
        <v>1928.5</v>
      </c>
      <c r="AT344" s="69">
        <v>231.5</v>
      </c>
      <c r="BC344" s="69"/>
      <c r="BD344" s="69"/>
      <c r="CD344" s="94">
        <f t="shared" si="37"/>
        <v>2160</v>
      </c>
      <c r="CE344" s="73">
        <f t="shared" si="38"/>
        <v>0</v>
      </c>
      <c r="CF344" s="75">
        <f t="shared" ref="CF344:CG375" si="41">+C344</f>
        <v>5345</v>
      </c>
      <c r="CG344" s="69" t="str">
        <f t="shared" si="41"/>
        <v>برنامج دولى</v>
      </c>
    </row>
    <row r="345" spans="2:85" ht="18.75" x14ac:dyDescent="0.25">
      <c r="B345" s="82">
        <v>9160</v>
      </c>
      <c r="C345" s="70">
        <v>5346</v>
      </c>
      <c r="D345" s="71" t="s">
        <v>78</v>
      </c>
      <c r="E345" s="69" t="str">
        <f t="shared" si="40"/>
        <v>عب تدريس جراحه تجميل</v>
      </c>
      <c r="G345" s="69">
        <v>9720</v>
      </c>
      <c r="T345" s="69"/>
      <c r="U345" s="69"/>
      <c r="AR345" s="94">
        <f t="shared" si="36"/>
        <v>9720</v>
      </c>
      <c r="AS345" s="69">
        <v>8670.6</v>
      </c>
      <c r="AT345" s="69">
        <v>1049.4000000000001</v>
      </c>
      <c r="BC345" s="69"/>
      <c r="BD345" s="69"/>
      <c r="CD345" s="94">
        <f t="shared" si="37"/>
        <v>9720</v>
      </c>
      <c r="CE345" s="73">
        <f t="shared" si="38"/>
        <v>0</v>
      </c>
      <c r="CF345" s="75">
        <f t="shared" si="41"/>
        <v>5346</v>
      </c>
      <c r="CG345" s="69" t="str">
        <f t="shared" si="41"/>
        <v>برنامج دولى</v>
      </c>
    </row>
    <row r="346" spans="2:85" ht="18.75" x14ac:dyDescent="0.25">
      <c r="B346" s="82">
        <v>9208</v>
      </c>
      <c r="C346" s="70">
        <v>5347</v>
      </c>
      <c r="D346" s="71" t="s">
        <v>78</v>
      </c>
      <c r="E346" s="69" t="s">
        <v>2775</v>
      </c>
      <c r="G346" s="69">
        <v>11996.4</v>
      </c>
      <c r="T346" s="69"/>
      <c r="U346" s="69"/>
      <c r="AR346" s="94">
        <f t="shared" si="36"/>
        <v>11996.4</v>
      </c>
      <c r="AS346" s="69">
        <v>10703.51</v>
      </c>
      <c r="AT346" s="69">
        <v>1292.8900000000001</v>
      </c>
      <c r="BC346" s="69"/>
      <c r="BD346" s="69"/>
      <c r="CD346" s="94">
        <f t="shared" si="37"/>
        <v>11996.4</v>
      </c>
      <c r="CE346" s="73">
        <f t="shared" si="38"/>
        <v>0</v>
      </c>
      <c r="CF346" s="75">
        <f t="shared" si="41"/>
        <v>5347</v>
      </c>
      <c r="CG346" s="69" t="str">
        <f t="shared" si="41"/>
        <v>برنامج دولى</v>
      </c>
    </row>
    <row r="347" spans="2:85" ht="18.75" x14ac:dyDescent="0.25">
      <c r="B347" s="82">
        <v>9161</v>
      </c>
      <c r="C347" s="70">
        <v>5348</v>
      </c>
      <c r="D347" s="71" t="s">
        <v>78</v>
      </c>
      <c r="E347" s="69" t="str">
        <f>+E345</f>
        <v>عب تدريس جراحه تجميل</v>
      </c>
      <c r="G347" s="69">
        <v>7560</v>
      </c>
      <c r="T347" s="69"/>
      <c r="U347" s="69"/>
      <c r="AR347" s="94">
        <f t="shared" si="36"/>
        <v>7560</v>
      </c>
      <c r="AS347" s="69">
        <v>6743.9</v>
      </c>
      <c r="AT347" s="69">
        <v>816.1</v>
      </c>
      <c r="BC347" s="69"/>
      <c r="BD347" s="69"/>
      <c r="CD347" s="94">
        <f t="shared" si="37"/>
        <v>7560</v>
      </c>
      <c r="CE347" s="73">
        <f t="shared" si="38"/>
        <v>0</v>
      </c>
      <c r="CF347" s="75">
        <f t="shared" si="41"/>
        <v>5348</v>
      </c>
      <c r="CG347" s="69" t="str">
        <f t="shared" si="41"/>
        <v>برنامج دولى</v>
      </c>
    </row>
    <row r="348" spans="2:85" ht="18.75" x14ac:dyDescent="0.25">
      <c r="B348" s="82">
        <v>9231</v>
      </c>
      <c r="C348" s="70">
        <v>5349</v>
      </c>
      <c r="D348" s="71" t="s">
        <v>78</v>
      </c>
      <c r="E348" s="69" t="s">
        <v>2777</v>
      </c>
      <c r="G348" s="69">
        <v>13178.5</v>
      </c>
      <c r="T348" s="69"/>
      <c r="U348" s="69"/>
      <c r="AR348" s="94">
        <f t="shared" si="36"/>
        <v>13178.5</v>
      </c>
      <c r="AS348" s="69">
        <v>8976.9</v>
      </c>
      <c r="AT348" s="69">
        <v>1207.0999999999999</v>
      </c>
      <c r="AU348" s="69">
        <v>2994.5</v>
      </c>
      <c r="BC348" s="69"/>
      <c r="BD348" s="69"/>
      <c r="CD348" s="94">
        <f t="shared" si="37"/>
        <v>13178.5</v>
      </c>
      <c r="CE348" s="73">
        <f t="shared" si="38"/>
        <v>0</v>
      </c>
      <c r="CF348" s="75">
        <f t="shared" si="41"/>
        <v>5349</v>
      </c>
      <c r="CG348" s="69" t="str">
        <f t="shared" si="41"/>
        <v>برنامج دولى</v>
      </c>
    </row>
    <row r="349" spans="2:85" ht="18.75" x14ac:dyDescent="0.25">
      <c r="B349" s="82">
        <v>9230</v>
      </c>
      <c r="C349" s="70">
        <v>5350</v>
      </c>
      <c r="D349" s="71" t="s">
        <v>78</v>
      </c>
      <c r="E349" s="69" t="s">
        <v>2777</v>
      </c>
      <c r="G349" s="69">
        <v>4871.8</v>
      </c>
      <c r="T349" s="69"/>
      <c r="U349" s="69"/>
      <c r="AR349" s="94">
        <f t="shared" si="36"/>
        <v>4871.8</v>
      </c>
      <c r="AS349" s="69">
        <v>3782.01</v>
      </c>
      <c r="AT349" s="69">
        <v>480.9</v>
      </c>
      <c r="AU349" s="69">
        <v>608.89</v>
      </c>
      <c r="BC349" s="69"/>
      <c r="BD349" s="69"/>
      <c r="CD349" s="94">
        <f t="shared" si="37"/>
        <v>4871.8</v>
      </c>
      <c r="CE349" s="73">
        <f t="shared" si="38"/>
        <v>0</v>
      </c>
      <c r="CF349" s="75">
        <f t="shared" si="41"/>
        <v>5350</v>
      </c>
      <c r="CG349" s="69" t="str">
        <f t="shared" si="41"/>
        <v>برنامج دولى</v>
      </c>
    </row>
    <row r="350" spans="2:85" ht="36" x14ac:dyDescent="0.25">
      <c r="B350" s="82">
        <v>9713</v>
      </c>
      <c r="C350" s="70">
        <v>5351</v>
      </c>
      <c r="D350" s="71" t="s">
        <v>121</v>
      </c>
      <c r="E350" s="77" t="s">
        <v>2778</v>
      </c>
      <c r="H350" s="69">
        <v>237393.6</v>
      </c>
      <c r="T350" s="69"/>
      <c r="U350" s="69"/>
      <c r="AR350" s="94">
        <f t="shared" si="36"/>
        <v>237393.6</v>
      </c>
      <c r="AS350" s="69">
        <v>231927.4</v>
      </c>
      <c r="AT350" s="69">
        <f>1349.15+4047.45+21.6</f>
        <v>5418.2000000000007</v>
      </c>
      <c r="BC350" s="69"/>
      <c r="BD350" s="69"/>
      <c r="BG350" s="69">
        <v>48</v>
      </c>
      <c r="CD350" s="94">
        <f t="shared" si="37"/>
        <v>237393.6</v>
      </c>
      <c r="CE350" s="73">
        <f t="shared" si="38"/>
        <v>0</v>
      </c>
      <c r="CF350" s="75">
        <f t="shared" si="41"/>
        <v>5351</v>
      </c>
      <c r="CG350" s="69" t="str">
        <f t="shared" si="41"/>
        <v>ماليزى اسنان</v>
      </c>
    </row>
    <row r="351" spans="2:85" ht="18.75" x14ac:dyDescent="0.25">
      <c r="B351" s="82">
        <v>9424</v>
      </c>
      <c r="C351" s="70">
        <v>5352</v>
      </c>
      <c r="D351" s="71" t="s">
        <v>78</v>
      </c>
      <c r="E351" s="69" t="s">
        <v>2779</v>
      </c>
      <c r="G351" s="69">
        <v>3869.25</v>
      </c>
      <c r="T351" s="69"/>
      <c r="U351" s="69"/>
      <c r="AR351" s="94">
        <f t="shared" si="36"/>
        <v>3869.25</v>
      </c>
      <c r="AS351" s="69">
        <v>2587.75</v>
      </c>
      <c r="AT351" s="69">
        <f>19.25+330</f>
        <v>349.25</v>
      </c>
      <c r="AU351" s="69">
        <v>932.25</v>
      </c>
      <c r="BC351" s="69"/>
      <c r="BD351" s="69"/>
      <c r="CD351" s="94">
        <f t="shared" si="37"/>
        <v>3869.25</v>
      </c>
      <c r="CE351" s="73">
        <f t="shared" si="38"/>
        <v>0</v>
      </c>
      <c r="CF351" s="75">
        <f t="shared" si="41"/>
        <v>5352</v>
      </c>
      <c r="CG351" s="69" t="str">
        <f t="shared" si="41"/>
        <v>برنامج دولى</v>
      </c>
    </row>
    <row r="352" spans="2:85" ht="18.75" x14ac:dyDescent="0.25">
      <c r="B352" s="82">
        <v>9426</v>
      </c>
      <c r="C352" s="70">
        <v>5353</v>
      </c>
      <c r="D352" s="71" t="s">
        <v>78</v>
      </c>
      <c r="E352" s="69" t="s">
        <v>849</v>
      </c>
      <c r="G352" s="69">
        <v>6204.01</v>
      </c>
      <c r="T352" s="69"/>
      <c r="U352" s="69"/>
      <c r="AR352" s="94">
        <f t="shared" si="36"/>
        <v>6204.01</v>
      </c>
      <c r="AS352" s="69">
        <v>5227.75</v>
      </c>
      <c r="AT352" s="69">
        <v>642.15</v>
      </c>
      <c r="AU352" s="69">
        <v>334.11</v>
      </c>
      <c r="BC352" s="69"/>
      <c r="BD352" s="69"/>
      <c r="CD352" s="94">
        <f t="shared" si="37"/>
        <v>6204.0099999999993</v>
      </c>
      <c r="CE352" s="73">
        <f t="shared" si="38"/>
        <v>0</v>
      </c>
      <c r="CF352" s="75">
        <f t="shared" si="41"/>
        <v>5353</v>
      </c>
      <c r="CG352" s="69" t="str">
        <f t="shared" si="41"/>
        <v>برنامج دولى</v>
      </c>
    </row>
    <row r="353" spans="2:85" ht="18.75" x14ac:dyDescent="0.25">
      <c r="B353" s="82">
        <v>9427</v>
      </c>
      <c r="C353" s="70">
        <v>5354</v>
      </c>
      <c r="D353" s="71" t="s">
        <v>78</v>
      </c>
      <c r="E353" s="69" t="s">
        <v>849</v>
      </c>
      <c r="G353" s="69">
        <v>1758.75</v>
      </c>
      <c r="T353" s="69"/>
      <c r="U353" s="69"/>
      <c r="AR353" s="94">
        <f t="shared" si="36"/>
        <v>1758.75</v>
      </c>
      <c r="AS353" s="69">
        <v>1175.3499999999999</v>
      </c>
      <c r="AT353" s="69">
        <v>159.65</v>
      </c>
      <c r="AU353" s="69">
        <v>423.75</v>
      </c>
      <c r="BC353" s="69"/>
      <c r="BD353" s="69"/>
      <c r="CD353" s="94">
        <f t="shared" si="37"/>
        <v>1758.75</v>
      </c>
      <c r="CE353" s="73">
        <f t="shared" si="38"/>
        <v>0</v>
      </c>
      <c r="CF353" s="75">
        <f t="shared" si="41"/>
        <v>5354</v>
      </c>
      <c r="CG353" s="69" t="str">
        <f t="shared" si="41"/>
        <v>برنامج دولى</v>
      </c>
    </row>
    <row r="354" spans="2:85" ht="18.75" x14ac:dyDescent="0.25">
      <c r="B354" s="82">
        <v>9428</v>
      </c>
      <c r="C354" s="70">
        <v>5355</v>
      </c>
      <c r="D354" s="71" t="s">
        <v>78</v>
      </c>
      <c r="E354" s="69" t="s">
        <v>849</v>
      </c>
      <c r="G354" s="69">
        <v>8211.6299999999992</v>
      </c>
      <c r="T354" s="69"/>
      <c r="U354" s="69"/>
      <c r="AR354" s="94">
        <f t="shared" si="36"/>
        <v>8211.6299999999992</v>
      </c>
      <c r="AS354" s="69">
        <v>6245.51</v>
      </c>
      <c r="AT354" s="69">
        <v>800.7</v>
      </c>
      <c r="AU354" s="69">
        <v>1165.42</v>
      </c>
      <c r="BC354" s="69"/>
      <c r="BD354" s="69"/>
      <c r="CD354" s="94">
        <f t="shared" si="37"/>
        <v>8211.630000000001</v>
      </c>
      <c r="CE354" s="73">
        <f t="shared" si="38"/>
        <v>0</v>
      </c>
      <c r="CF354" s="75">
        <f t="shared" si="41"/>
        <v>5355</v>
      </c>
      <c r="CG354" s="69" t="str">
        <f t="shared" si="41"/>
        <v>برنامج دولى</v>
      </c>
    </row>
    <row r="355" spans="2:85" ht="18.75" x14ac:dyDescent="0.25">
      <c r="B355" s="82">
        <v>9429</v>
      </c>
      <c r="C355" s="70">
        <v>5356</v>
      </c>
      <c r="D355" s="71" t="s">
        <v>78</v>
      </c>
      <c r="E355" s="69" t="s">
        <v>849</v>
      </c>
      <c r="G355" s="69">
        <v>586.25</v>
      </c>
      <c r="T355" s="69"/>
      <c r="U355" s="69"/>
      <c r="AR355" s="94">
        <f t="shared" si="36"/>
        <v>586.25</v>
      </c>
      <c r="AS355" s="69">
        <v>392.4</v>
      </c>
      <c r="AT355" s="69">
        <v>52.6</v>
      </c>
      <c r="AU355" s="69">
        <v>141.25</v>
      </c>
      <c r="BC355" s="69"/>
      <c r="BD355" s="69"/>
      <c r="CD355" s="94">
        <f t="shared" si="37"/>
        <v>586.25</v>
      </c>
      <c r="CE355" s="73">
        <f t="shared" si="38"/>
        <v>0</v>
      </c>
      <c r="CF355" s="75">
        <f t="shared" si="41"/>
        <v>5356</v>
      </c>
      <c r="CG355" s="69" t="str">
        <f t="shared" si="41"/>
        <v>برنامج دولى</v>
      </c>
    </row>
    <row r="356" spans="2:85" ht="18.75" x14ac:dyDescent="0.25">
      <c r="B356" s="82">
        <v>9430</v>
      </c>
      <c r="C356" s="70">
        <v>5357</v>
      </c>
      <c r="D356" s="71" t="s">
        <v>78</v>
      </c>
      <c r="E356" s="69" t="s">
        <v>849</v>
      </c>
      <c r="G356" s="69">
        <v>586.25</v>
      </c>
      <c r="T356" s="69"/>
      <c r="U356" s="69"/>
      <c r="AR356" s="94">
        <f t="shared" si="36"/>
        <v>586.25</v>
      </c>
      <c r="AS356" s="69">
        <v>392.4</v>
      </c>
      <c r="AT356" s="69">
        <v>52.6</v>
      </c>
      <c r="AU356" s="69">
        <v>141.25</v>
      </c>
      <c r="BC356" s="69"/>
      <c r="BD356" s="69"/>
      <c r="CD356" s="94">
        <f t="shared" si="37"/>
        <v>586.25</v>
      </c>
      <c r="CE356" s="73">
        <f t="shared" si="38"/>
        <v>0</v>
      </c>
      <c r="CF356" s="75">
        <f t="shared" si="41"/>
        <v>5357</v>
      </c>
      <c r="CG356" s="69" t="str">
        <f t="shared" si="41"/>
        <v>برنامج دولى</v>
      </c>
    </row>
    <row r="357" spans="2:85" ht="18.75" x14ac:dyDescent="0.25">
      <c r="B357" s="82">
        <v>9431</v>
      </c>
      <c r="C357" s="70">
        <v>5358</v>
      </c>
      <c r="D357" s="71" t="s">
        <v>78</v>
      </c>
      <c r="E357" s="69" t="s">
        <v>849</v>
      </c>
      <c r="G357" s="69">
        <v>586.25</v>
      </c>
      <c r="T357" s="69"/>
      <c r="U357" s="69"/>
      <c r="AR357" s="94">
        <f t="shared" si="36"/>
        <v>586.25</v>
      </c>
      <c r="AS357" s="69">
        <v>392.4</v>
      </c>
      <c r="AT357" s="69">
        <v>52.6</v>
      </c>
      <c r="AU357" s="69">
        <v>141.25</v>
      </c>
      <c r="BC357" s="69"/>
      <c r="BD357" s="69"/>
      <c r="CD357" s="94">
        <f t="shared" si="37"/>
        <v>586.25</v>
      </c>
      <c r="CE357" s="73">
        <f t="shared" si="38"/>
        <v>0</v>
      </c>
      <c r="CF357" s="75">
        <f t="shared" si="41"/>
        <v>5358</v>
      </c>
      <c r="CG357" s="69" t="str">
        <f t="shared" si="41"/>
        <v>برنامج دولى</v>
      </c>
    </row>
    <row r="358" spans="2:85" ht="18.75" x14ac:dyDescent="0.25">
      <c r="B358" s="82">
        <v>9432</v>
      </c>
      <c r="C358" s="70">
        <v>5359</v>
      </c>
      <c r="D358" s="71" t="s">
        <v>78</v>
      </c>
      <c r="E358" s="69" t="s">
        <v>2780</v>
      </c>
      <c r="G358" s="69">
        <v>27069.57</v>
      </c>
      <c r="T358" s="69"/>
      <c r="U358" s="69"/>
      <c r="AR358" s="94">
        <f t="shared" si="36"/>
        <v>27069.57</v>
      </c>
      <c r="AS358" s="69">
        <v>22304.58</v>
      </c>
      <c r="AT358" s="69">
        <v>2767.7</v>
      </c>
      <c r="AU358" s="69">
        <v>1997.29</v>
      </c>
      <c r="BC358" s="69"/>
      <c r="BD358" s="69"/>
      <c r="CD358" s="94">
        <f t="shared" si="37"/>
        <v>27069.570000000003</v>
      </c>
      <c r="CE358" s="73">
        <f t="shared" si="38"/>
        <v>0</v>
      </c>
      <c r="CF358" s="75">
        <f t="shared" si="41"/>
        <v>5359</v>
      </c>
      <c r="CG358" s="69" t="str">
        <f t="shared" si="41"/>
        <v>برنامج دولى</v>
      </c>
    </row>
    <row r="359" spans="2:85" ht="18.75" x14ac:dyDescent="0.25">
      <c r="B359" s="82">
        <v>9433</v>
      </c>
      <c r="C359" s="70">
        <v>5360</v>
      </c>
      <c r="D359" s="71" t="s">
        <v>78</v>
      </c>
      <c r="E359" s="69" t="s">
        <v>2780</v>
      </c>
      <c r="G359" s="69">
        <v>1639.51</v>
      </c>
      <c r="T359" s="69"/>
      <c r="U359" s="69"/>
      <c r="AR359" s="94">
        <f t="shared" si="36"/>
        <v>1639.51</v>
      </c>
      <c r="AS359" s="69">
        <v>1250.78</v>
      </c>
      <c r="AT359" s="69">
        <v>160.25</v>
      </c>
      <c r="AU359" s="69">
        <v>228.48</v>
      </c>
      <c r="BC359" s="69"/>
      <c r="BD359" s="69"/>
      <c r="CD359" s="94">
        <f t="shared" si="37"/>
        <v>1639.51</v>
      </c>
      <c r="CE359" s="73">
        <f t="shared" si="38"/>
        <v>0</v>
      </c>
      <c r="CF359" s="75">
        <f t="shared" si="41"/>
        <v>5360</v>
      </c>
      <c r="CG359" s="69" t="str">
        <f t="shared" si="41"/>
        <v>برنامج دولى</v>
      </c>
    </row>
    <row r="360" spans="2:85" ht="18.75" x14ac:dyDescent="0.25">
      <c r="B360" s="82">
        <v>9434</v>
      </c>
      <c r="C360" s="70">
        <v>5361</v>
      </c>
      <c r="D360" s="71" t="s">
        <v>78</v>
      </c>
      <c r="E360" s="69" t="s">
        <v>2780</v>
      </c>
      <c r="G360" s="69">
        <v>19334.349999999999</v>
      </c>
      <c r="T360" s="69"/>
      <c r="U360" s="69"/>
      <c r="AR360" s="94">
        <f t="shared" si="36"/>
        <v>19334.349999999999</v>
      </c>
      <c r="AS360" s="69">
        <v>12927.13</v>
      </c>
      <c r="AT360" s="69">
        <v>1749.05</v>
      </c>
      <c r="AU360" s="69">
        <v>4658.17</v>
      </c>
      <c r="BC360" s="69"/>
      <c r="BD360" s="69"/>
      <c r="CD360" s="94">
        <f t="shared" si="37"/>
        <v>19334.349999999999</v>
      </c>
      <c r="CE360" s="73">
        <f t="shared" si="38"/>
        <v>0</v>
      </c>
      <c r="CF360" s="75">
        <f t="shared" si="41"/>
        <v>5361</v>
      </c>
      <c r="CG360" s="69" t="str">
        <f t="shared" si="41"/>
        <v>برنامج دولى</v>
      </c>
    </row>
    <row r="361" spans="2:85" ht="18.75" x14ac:dyDescent="0.25">
      <c r="B361" s="82">
        <v>9435</v>
      </c>
      <c r="C361" s="70">
        <v>5362</v>
      </c>
      <c r="D361" s="71" t="s">
        <v>78</v>
      </c>
      <c r="E361" s="69" t="s">
        <v>2780</v>
      </c>
      <c r="G361" s="69">
        <v>1407</v>
      </c>
      <c r="T361" s="69"/>
      <c r="U361" s="69"/>
      <c r="AR361" s="94">
        <f t="shared" si="36"/>
        <v>1407</v>
      </c>
      <c r="AS361" s="69">
        <v>940.35</v>
      </c>
      <c r="AT361" s="69">
        <v>127.65</v>
      </c>
      <c r="AU361" s="69">
        <v>339</v>
      </c>
      <c r="BC361" s="69"/>
      <c r="BD361" s="69"/>
      <c r="CD361" s="94">
        <f t="shared" si="37"/>
        <v>1407</v>
      </c>
      <c r="CE361" s="73">
        <f t="shared" si="38"/>
        <v>0</v>
      </c>
      <c r="CF361" s="75">
        <f t="shared" si="41"/>
        <v>5362</v>
      </c>
      <c r="CG361" s="69" t="str">
        <f t="shared" si="41"/>
        <v>برنامج دولى</v>
      </c>
    </row>
    <row r="362" spans="2:85" ht="18.75" x14ac:dyDescent="0.25">
      <c r="B362" s="82">
        <v>9436</v>
      </c>
      <c r="C362" s="70">
        <v>5363</v>
      </c>
      <c r="D362" s="71" t="s">
        <v>78</v>
      </c>
      <c r="E362" s="69" t="s">
        <v>2780</v>
      </c>
      <c r="G362" s="69">
        <v>1313.2</v>
      </c>
      <c r="T362" s="69"/>
      <c r="U362" s="69"/>
      <c r="AR362" s="94">
        <f t="shared" si="36"/>
        <v>1313.2</v>
      </c>
      <c r="AS362" s="69">
        <v>877.7</v>
      </c>
      <c r="AT362" s="69">
        <v>119.1</v>
      </c>
      <c r="AU362" s="69">
        <v>316.39999999999998</v>
      </c>
      <c r="BC362" s="69"/>
      <c r="BD362" s="69"/>
      <c r="CD362" s="94">
        <f t="shared" si="37"/>
        <v>1313.2</v>
      </c>
      <c r="CE362" s="73">
        <f t="shared" si="38"/>
        <v>0</v>
      </c>
      <c r="CF362" s="75">
        <f t="shared" si="41"/>
        <v>5363</v>
      </c>
      <c r="CG362" s="69" t="str">
        <f t="shared" si="41"/>
        <v>برنامج دولى</v>
      </c>
    </row>
    <row r="363" spans="2:85" ht="18.75" x14ac:dyDescent="0.25">
      <c r="B363" s="82">
        <v>9437</v>
      </c>
      <c r="C363" s="70">
        <v>5364</v>
      </c>
      <c r="D363" s="71" t="s">
        <v>78</v>
      </c>
      <c r="E363" s="69" t="s">
        <v>2780</v>
      </c>
      <c r="G363" s="69">
        <v>1407</v>
      </c>
      <c r="T363" s="69"/>
      <c r="U363" s="69"/>
      <c r="AR363" s="94">
        <f t="shared" si="36"/>
        <v>1407</v>
      </c>
      <c r="AS363" s="69">
        <v>940.35</v>
      </c>
      <c r="AT363" s="69">
        <v>127.65</v>
      </c>
      <c r="AU363" s="69">
        <v>339</v>
      </c>
      <c r="BC363" s="69"/>
      <c r="BD363" s="69"/>
      <c r="CD363" s="94">
        <f t="shared" si="37"/>
        <v>1407</v>
      </c>
      <c r="CE363" s="73">
        <f t="shared" si="38"/>
        <v>0</v>
      </c>
      <c r="CF363" s="75">
        <f t="shared" si="41"/>
        <v>5364</v>
      </c>
      <c r="CG363" s="69" t="str">
        <f t="shared" si="41"/>
        <v>برنامج دولى</v>
      </c>
    </row>
    <row r="364" spans="2:85" ht="18.75" x14ac:dyDescent="0.25">
      <c r="B364" s="82">
        <v>9438</v>
      </c>
      <c r="C364" s="70">
        <v>5365</v>
      </c>
      <c r="D364" s="71" t="s">
        <v>78</v>
      </c>
      <c r="E364" s="69" t="s">
        <v>2780</v>
      </c>
      <c r="G364" s="69">
        <v>996.62</v>
      </c>
      <c r="T364" s="69"/>
      <c r="U364" s="69"/>
      <c r="AR364" s="94">
        <f t="shared" si="36"/>
        <v>996.62</v>
      </c>
      <c r="AS364" s="69">
        <v>666.55</v>
      </c>
      <c r="AT364" s="69">
        <v>89.95</v>
      </c>
      <c r="AU364" s="69">
        <v>240.12</v>
      </c>
      <c r="BC364" s="69"/>
      <c r="BD364" s="69"/>
      <c r="CD364" s="94">
        <f t="shared" si="37"/>
        <v>996.62</v>
      </c>
      <c r="CE364" s="73">
        <f t="shared" si="38"/>
        <v>0</v>
      </c>
      <c r="CF364" s="75">
        <f t="shared" si="41"/>
        <v>5365</v>
      </c>
      <c r="CG364" s="69" t="str">
        <f t="shared" si="41"/>
        <v>برنامج دولى</v>
      </c>
    </row>
    <row r="365" spans="2:85" ht="18.75" x14ac:dyDescent="0.25">
      <c r="B365" s="82">
        <v>9439</v>
      </c>
      <c r="C365" s="70">
        <v>5366</v>
      </c>
      <c r="D365" s="71" t="s">
        <v>78</v>
      </c>
      <c r="E365" s="69" t="s">
        <v>2781</v>
      </c>
      <c r="G365" s="69">
        <v>6331.51</v>
      </c>
      <c r="T365" s="69"/>
      <c r="U365" s="69"/>
      <c r="AR365" s="94">
        <f t="shared" si="36"/>
        <v>6331.51</v>
      </c>
      <c r="AS365" s="69">
        <v>4232.8500000000004</v>
      </c>
      <c r="AT365" s="69">
        <v>573.15</v>
      </c>
      <c r="AU365" s="69">
        <v>1525.51</v>
      </c>
      <c r="BC365" s="69"/>
      <c r="BD365" s="69"/>
      <c r="CD365" s="94">
        <f t="shared" si="37"/>
        <v>6331.51</v>
      </c>
      <c r="CE365" s="73">
        <f t="shared" si="38"/>
        <v>0</v>
      </c>
      <c r="CF365" s="75">
        <f t="shared" si="41"/>
        <v>5366</v>
      </c>
      <c r="CG365" s="69" t="str">
        <f t="shared" si="41"/>
        <v>برنامج دولى</v>
      </c>
    </row>
    <row r="366" spans="2:85" ht="18.75" x14ac:dyDescent="0.25">
      <c r="B366" s="82">
        <v>9440</v>
      </c>
      <c r="C366" s="70">
        <v>5367</v>
      </c>
      <c r="D366" s="71" t="s">
        <v>78</v>
      </c>
      <c r="E366" s="69" t="s">
        <v>2781</v>
      </c>
      <c r="G366" s="69">
        <v>938</v>
      </c>
      <c r="T366" s="69"/>
      <c r="U366" s="69"/>
      <c r="AR366" s="94">
        <f t="shared" si="36"/>
        <v>938</v>
      </c>
      <c r="AS366" s="69">
        <v>627.35</v>
      </c>
      <c r="AT366" s="69">
        <v>84.65</v>
      </c>
      <c r="AU366" s="69">
        <v>226</v>
      </c>
      <c r="BC366" s="69"/>
      <c r="BD366" s="69"/>
      <c r="CD366" s="94">
        <f t="shared" si="37"/>
        <v>938</v>
      </c>
      <c r="CE366" s="73">
        <f t="shared" si="38"/>
        <v>0</v>
      </c>
      <c r="CF366" s="75">
        <f t="shared" si="41"/>
        <v>5367</v>
      </c>
      <c r="CG366" s="69" t="str">
        <f t="shared" si="41"/>
        <v>برنامج دولى</v>
      </c>
    </row>
    <row r="367" spans="2:85" ht="18.75" x14ac:dyDescent="0.25">
      <c r="B367" s="82">
        <v>9441</v>
      </c>
      <c r="C367" s="70">
        <v>5368</v>
      </c>
      <c r="D367" s="71" t="s">
        <v>78</v>
      </c>
      <c r="E367" s="69" t="s">
        <v>2781</v>
      </c>
      <c r="G367" s="69">
        <v>2931.24</v>
      </c>
      <c r="T367" s="69"/>
      <c r="U367" s="69"/>
      <c r="AR367" s="94">
        <f t="shared" si="36"/>
        <v>2931.24</v>
      </c>
      <c r="AS367" s="69">
        <v>1960.45</v>
      </c>
      <c r="AT367" s="69">
        <v>264.55</v>
      </c>
      <c r="AU367" s="69">
        <v>706.24</v>
      </c>
      <c r="BC367" s="69"/>
      <c r="BD367" s="69"/>
      <c r="CD367" s="94">
        <f t="shared" si="37"/>
        <v>2931.24</v>
      </c>
      <c r="CE367" s="73">
        <f t="shared" si="38"/>
        <v>0</v>
      </c>
      <c r="CF367" s="75">
        <f t="shared" si="41"/>
        <v>5368</v>
      </c>
      <c r="CG367" s="69" t="str">
        <f t="shared" si="41"/>
        <v>برنامج دولى</v>
      </c>
    </row>
    <row r="368" spans="2:85" ht="18.75" x14ac:dyDescent="0.25">
      <c r="B368" s="82">
        <v>9442</v>
      </c>
      <c r="C368" s="70">
        <v>5369</v>
      </c>
      <c r="D368" s="71" t="s">
        <v>78</v>
      </c>
      <c r="E368" s="69" t="s">
        <v>2781</v>
      </c>
      <c r="G368" s="69">
        <v>1055.25</v>
      </c>
      <c r="T368" s="69"/>
      <c r="U368" s="69"/>
      <c r="AR368" s="94">
        <f t="shared" si="36"/>
        <v>1055.25</v>
      </c>
      <c r="AS368" s="69">
        <v>705.7</v>
      </c>
      <c r="AT368" s="69">
        <v>95.3</v>
      </c>
      <c r="AU368" s="69">
        <v>254.25</v>
      </c>
      <c r="BC368" s="69"/>
      <c r="BD368" s="69"/>
      <c r="CD368" s="94">
        <f t="shared" si="37"/>
        <v>1055.25</v>
      </c>
      <c r="CE368" s="73">
        <f t="shared" si="38"/>
        <v>0</v>
      </c>
      <c r="CF368" s="75">
        <f t="shared" si="41"/>
        <v>5369</v>
      </c>
      <c r="CG368" s="69" t="str">
        <f t="shared" si="41"/>
        <v>برنامج دولى</v>
      </c>
    </row>
    <row r="369" spans="2:85" ht="18.75" x14ac:dyDescent="0.25">
      <c r="B369" s="82">
        <v>9401</v>
      </c>
      <c r="C369" s="70">
        <v>5370</v>
      </c>
      <c r="D369" s="71" t="s">
        <v>78</v>
      </c>
      <c r="E369" s="69" t="s">
        <v>883</v>
      </c>
      <c r="G369" s="69">
        <v>1465.62</v>
      </c>
      <c r="T369" s="69"/>
      <c r="U369" s="69"/>
      <c r="AR369" s="94">
        <f t="shared" si="36"/>
        <v>1465.62</v>
      </c>
      <c r="AS369" s="69">
        <v>979.5</v>
      </c>
      <c r="AT369" s="69">
        <v>133</v>
      </c>
      <c r="AU369" s="69">
        <v>353.12</v>
      </c>
      <c r="BC369" s="69"/>
      <c r="BD369" s="69"/>
      <c r="CD369" s="94">
        <f t="shared" si="37"/>
        <v>1465.62</v>
      </c>
      <c r="CE369" s="73">
        <f t="shared" si="38"/>
        <v>0</v>
      </c>
      <c r="CF369" s="75">
        <f t="shared" si="41"/>
        <v>5370</v>
      </c>
      <c r="CG369" s="69" t="str">
        <f t="shared" si="41"/>
        <v>برنامج دولى</v>
      </c>
    </row>
    <row r="370" spans="2:85" ht="18.75" x14ac:dyDescent="0.25">
      <c r="B370" s="82">
        <v>9402</v>
      </c>
      <c r="C370" s="70">
        <v>5371</v>
      </c>
      <c r="D370" s="71" t="s">
        <v>78</v>
      </c>
      <c r="E370" s="69" t="s">
        <v>883</v>
      </c>
      <c r="G370" s="69">
        <v>1465.62</v>
      </c>
      <c r="T370" s="69"/>
      <c r="U370" s="69"/>
      <c r="AR370" s="94">
        <f t="shared" si="36"/>
        <v>1465.62</v>
      </c>
      <c r="AS370" s="69">
        <v>979.5</v>
      </c>
      <c r="AT370" s="69">
        <v>133</v>
      </c>
      <c r="AU370" s="69">
        <v>353.12</v>
      </c>
      <c r="BC370" s="69"/>
      <c r="BD370" s="69"/>
      <c r="CD370" s="94">
        <f t="shared" si="37"/>
        <v>1465.62</v>
      </c>
      <c r="CE370" s="73">
        <f t="shared" si="38"/>
        <v>0</v>
      </c>
      <c r="CF370" s="75">
        <f t="shared" si="41"/>
        <v>5371</v>
      </c>
      <c r="CG370" s="69" t="str">
        <f t="shared" si="41"/>
        <v>برنامج دولى</v>
      </c>
    </row>
    <row r="371" spans="2:85" ht="18.75" x14ac:dyDescent="0.25">
      <c r="B371" s="82">
        <v>9403</v>
      </c>
      <c r="C371" s="70">
        <v>5372</v>
      </c>
      <c r="D371" s="71" t="s">
        <v>78</v>
      </c>
      <c r="E371" s="69" t="s">
        <v>883</v>
      </c>
      <c r="G371" s="69">
        <v>1465.62</v>
      </c>
      <c r="T371" s="69"/>
      <c r="U371" s="69"/>
      <c r="AR371" s="94">
        <f t="shared" si="36"/>
        <v>1465.62</v>
      </c>
      <c r="AS371" s="69">
        <v>979.5</v>
      </c>
      <c r="AT371" s="69">
        <v>133</v>
      </c>
      <c r="AU371" s="69">
        <v>353.12</v>
      </c>
      <c r="BC371" s="69"/>
      <c r="BD371" s="69"/>
      <c r="CD371" s="94">
        <f t="shared" si="37"/>
        <v>1465.62</v>
      </c>
      <c r="CE371" s="73">
        <f t="shared" si="38"/>
        <v>0</v>
      </c>
      <c r="CF371" s="75">
        <f t="shared" si="41"/>
        <v>5372</v>
      </c>
      <c r="CG371" s="69" t="str">
        <f t="shared" si="41"/>
        <v>برنامج دولى</v>
      </c>
    </row>
    <row r="372" spans="2:85" ht="18.75" x14ac:dyDescent="0.25">
      <c r="B372" s="82">
        <v>9404</v>
      </c>
      <c r="C372" s="78">
        <v>5373</v>
      </c>
      <c r="D372" s="71" t="s">
        <v>78</v>
      </c>
      <c r="E372" s="69" t="s">
        <v>2782</v>
      </c>
      <c r="F372" s="69"/>
      <c r="G372" s="69">
        <v>5572.19</v>
      </c>
      <c r="T372" s="69"/>
      <c r="U372" s="69"/>
      <c r="AR372" s="94">
        <f t="shared" si="36"/>
        <v>5572.19</v>
      </c>
      <c r="AS372" s="69">
        <v>3796.75</v>
      </c>
      <c r="AT372" s="69">
        <v>510.85</v>
      </c>
      <c r="AU372" s="69">
        <v>1264.5899999999999</v>
      </c>
      <c r="BC372" s="69"/>
      <c r="BD372" s="69"/>
      <c r="CD372" s="94">
        <f t="shared" si="37"/>
        <v>5572.1900000000005</v>
      </c>
      <c r="CE372" s="73">
        <f t="shared" si="38"/>
        <v>0</v>
      </c>
      <c r="CF372" s="75">
        <f t="shared" si="41"/>
        <v>5373</v>
      </c>
      <c r="CG372" s="69" t="str">
        <f t="shared" si="41"/>
        <v>برنامج دولى</v>
      </c>
    </row>
    <row r="373" spans="2:85" ht="18.75" x14ac:dyDescent="0.25">
      <c r="B373" s="82">
        <v>9405</v>
      </c>
      <c r="C373" s="70">
        <v>5374</v>
      </c>
      <c r="D373" s="71" t="s">
        <v>78</v>
      </c>
      <c r="E373" s="69" t="s">
        <v>2782</v>
      </c>
      <c r="G373" s="69">
        <v>1407</v>
      </c>
      <c r="T373" s="69"/>
      <c r="U373" s="69"/>
      <c r="AR373" s="94">
        <f t="shared" si="36"/>
        <v>1407</v>
      </c>
      <c r="AS373" s="69">
        <v>940.35</v>
      </c>
      <c r="AT373" s="69">
        <v>127.65</v>
      </c>
      <c r="AU373" s="69">
        <v>339</v>
      </c>
      <c r="BC373" s="69"/>
      <c r="BD373" s="69"/>
      <c r="CD373" s="94">
        <f t="shared" si="37"/>
        <v>1407</v>
      </c>
      <c r="CE373" s="73">
        <f t="shared" si="38"/>
        <v>0</v>
      </c>
      <c r="CF373" s="75">
        <f t="shared" si="41"/>
        <v>5374</v>
      </c>
      <c r="CG373" s="69" t="str">
        <f t="shared" si="41"/>
        <v>برنامج دولى</v>
      </c>
    </row>
    <row r="374" spans="2:85" ht="18.75" x14ac:dyDescent="0.25">
      <c r="B374" s="82">
        <v>9406</v>
      </c>
      <c r="C374" s="70">
        <v>5375</v>
      </c>
      <c r="D374" s="71" t="s">
        <v>78</v>
      </c>
      <c r="E374" s="69" t="s">
        <v>2783</v>
      </c>
      <c r="G374" s="69">
        <v>11174.78</v>
      </c>
      <c r="T374" s="69"/>
      <c r="U374" s="69"/>
      <c r="AR374" s="94">
        <f t="shared" si="36"/>
        <v>11174.78</v>
      </c>
      <c r="AS374" s="69">
        <v>8183.62</v>
      </c>
      <c r="AT374" s="69">
        <v>1067.25</v>
      </c>
      <c r="AU374" s="69">
        <v>1923.91</v>
      </c>
      <c r="BC374" s="69"/>
      <c r="BD374" s="69"/>
      <c r="CD374" s="94">
        <f t="shared" si="37"/>
        <v>11174.779999999999</v>
      </c>
      <c r="CE374" s="73">
        <f t="shared" si="38"/>
        <v>0</v>
      </c>
      <c r="CF374" s="75">
        <f t="shared" si="41"/>
        <v>5375</v>
      </c>
      <c r="CG374" s="69" t="str">
        <f t="shared" si="41"/>
        <v>برنامج دولى</v>
      </c>
    </row>
    <row r="375" spans="2:85" ht="18.75" x14ac:dyDescent="0.25">
      <c r="B375" s="82">
        <v>9407</v>
      </c>
      <c r="C375" s="70">
        <v>5376</v>
      </c>
      <c r="D375" s="71" t="s">
        <v>78</v>
      </c>
      <c r="E375" s="69" t="s">
        <v>2783</v>
      </c>
      <c r="G375" s="69">
        <v>1758.75</v>
      </c>
      <c r="T375" s="69"/>
      <c r="U375" s="69"/>
      <c r="AR375" s="94">
        <f t="shared" si="36"/>
        <v>1758.75</v>
      </c>
      <c r="AS375" s="69">
        <v>1175.3499999999999</v>
      </c>
      <c r="AT375" s="69">
        <v>159.65</v>
      </c>
      <c r="AU375" s="69">
        <v>423.75</v>
      </c>
      <c r="BC375" s="69"/>
      <c r="BD375" s="69"/>
      <c r="CD375" s="94">
        <f t="shared" si="37"/>
        <v>1758.75</v>
      </c>
      <c r="CE375" s="73">
        <f t="shared" si="38"/>
        <v>0</v>
      </c>
      <c r="CF375" s="75">
        <f t="shared" si="41"/>
        <v>5376</v>
      </c>
      <c r="CG375" s="69" t="str">
        <f t="shared" si="41"/>
        <v>برنامج دولى</v>
      </c>
    </row>
    <row r="376" spans="2:85" ht="18.75" x14ac:dyDescent="0.25">
      <c r="B376" s="82">
        <v>9408</v>
      </c>
      <c r="C376" s="70">
        <v>5377</v>
      </c>
      <c r="D376" s="71" t="s">
        <v>78</v>
      </c>
      <c r="E376" s="69" t="s">
        <v>2784</v>
      </c>
      <c r="G376" s="69">
        <v>1231.1199999999999</v>
      </c>
      <c r="T376" s="69"/>
      <c r="U376" s="69"/>
      <c r="AR376" s="94">
        <f t="shared" ref="AR376:AR394" si="42">SUM(G376:AQ376)</f>
        <v>1231.1199999999999</v>
      </c>
      <c r="AS376" s="69">
        <v>823.8</v>
      </c>
      <c r="AT376" s="69">
        <v>110.7</v>
      </c>
      <c r="AU376" s="69">
        <v>296.62</v>
      </c>
      <c r="BC376" s="69"/>
      <c r="BD376" s="69"/>
      <c r="CD376" s="94">
        <f t="shared" ref="CD376:CD394" si="43">SUM(AS376:CC376)</f>
        <v>1231.1199999999999</v>
      </c>
      <c r="CE376" s="73">
        <f t="shared" ref="CE376:CE394" si="44">+CD376-AR376</f>
        <v>0</v>
      </c>
      <c r="CF376" s="75">
        <f t="shared" ref="CF376:CG394" si="45">+C376</f>
        <v>5377</v>
      </c>
      <c r="CG376" s="69" t="str">
        <f t="shared" si="45"/>
        <v>برنامج دولى</v>
      </c>
    </row>
    <row r="377" spans="2:85" ht="18.75" x14ac:dyDescent="0.25">
      <c r="B377" s="82">
        <v>9409</v>
      </c>
      <c r="C377" s="70">
        <v>5378</v>
      </c>
      <c r="D377" s="71" t="s">
        <v>78</v>
      </c>
      <c r="E377" s="69" t="s">
        <v>665</v>
      </c>
      <c r="G377" s="69">
        <v>351.75</v>
      </c>
      <c r="T377" s="69"/>
      <c r="U377" s="69"/>
      <c r="AR377" s="94">
        <f t="shared" si="42"/>
        <v>351.75</v>
      </c>
      <c r="AS377" s="69">
        <v>235.55</v>
      </c>
      <c r="AT377" s="69">
        <v>31.45</v>
      </c>
      <c r="AU377" s="69">
        <v>84.75</v>
      </c>
      <c r="BC377" s="69"/>
      <c r="BD377" s="69"/>
      <c r="CD377" s="94">
        <f t="shared" si="43"/>
        <v>351.75</v>
      </c>
      <c r="CE377" s="73">
        <f t="shared" si="44"/>
        <v>0</v>
      </c>
      <c r="CF377" s="75">
        <f t="shared" si="45"/>
        <v>5378</v>
      </c>
      <c r="CG377" s="69" t="str">
        <f t="shared" si="45"/>
        <v>برنامج دولى</v>
      </c>
    </row>
    <row r="378" spans="2:85" ht="18.75" x14ac:dyDescent="0.25">
      <c r="B378" s="82">
        <v>9410</v>
      </c>
      <c r="C378" s="70">
        <v>5379</v>
      </c>
      <c r="D378" s="71" t="s">
        <v>78</v>
      </c>
      <c r="E378" s="69" t="s">
        <v>823</v>
      </c>
      <c r="G378" s="69">
        <v>410.38</v>
      </c>
      <c r="T378" s="69"/>
      <c r="U378" s="69"/>
      <c r="AR378" s="94">
        <f t="shared" si="42"/>
        <v>410.38</v>
      </c>
      <c r="AS378" s="69">
        <v>274.8</v>
      </c>
      <c r="AT378" s="69">
        <v>36.700000000000003</v>
      </c>
      <c r="AU378" s="69">
        <v>98.88</v>
      </c>
      <c r="BC378" s="69"/>
      <c r="BD378" s="69"/>
      <c r="CD378" s="94">
        <f t="shared" si="43"/>
        <v>410.38</v>
      </c>
      <c r="CE378" s="73">
        <f t="shared" si="44"/>
        <v>0</v>
      </c>
      <c r="CF378" s="75">
        <f t="shared" si="45"/>
        <v>5379</v>
      </c>
      <c r="CG378" s="69" t="str">
        <f t="shared" si="45"/>
        <v>برنامج دولى</v>
      </c>
    </row>
    <row r="379" spans="2:85" ht="18.75" x14ac:dyDescent="0.25">
      <c r="B379" s="82">
        <v>9411</v>
      </c>
      <c r="C379" s="70">
        <v>5380</v>
      </c>
      <c r="D379" s="71" t="s">
        <v>78</v>
      </c>
      <c r="E379" s="69" t="s">
        <v>2785</v>
      </c>
      <c r="G379" s="69">
        <v>351.75</v>
      </c>
      <c r="T379" s="69"/>
      <c r="U379" s="69"/>
      <c r="AR379" s="94">
        <f t="shared" si="42"/>
        <v>351.75</v>
      </c>
      <c r="AS379" s="69">
        <v>235.55</v>
      </c>
      <c r="AT379" s="69">
        <v>31.45</v>
      </c>
      <c r="AU379" s="69">
        <v>84.75</v>
      </c>
      <c r="BC379" s="69"/>
      <c r="BD379" s="69"/>
      <c r="CD379" s="94">
        <f t="shared" si="43"/>
        <v>351.75</v>
      </c>
      <c r="CE379" s="73">
        <f t="shared" si="44"/>
        <v>0</v>
      </c>
      <c r="CF379" s="75">
        <f t="shared" si="45"/>
        <v>5380</v>
      </c>
      <c r="CG379" s="69" t="str">
        <f t="shared" si="45"/>
        <v>برنامج دولى</v>
      </c>
    </row>
    <row r="380" spans="2:85" ht="18.75" x14ac:dyDescent="0.25">
      <c r="B380" s="82">
        <v>9413</v>
      </c>
      <c r="C380" s="70">
        <v>5381</v>
      </c>
      <c r="D380" s="71" t="s">
        <v>78</v>
      </c>
      <c r="E380" s="69" t="s">
        <v>2786</v>
      </c>
      <c r="G380" s="69">
        <v>5100</v>
      </c>
      <c r="T380" s="69"/>
      <c r="U380" s="69"/>
      <c r="AR380" s="94">
        <f t="shared" si="42"/>
        <v>5100</v>
      </c>
      <c r="AS380" s="69">
        <v>4552.45</v>
      </c>
      <c r="AT380" s="69">
        <v>547.54999999999995</v>
      </c>
      <c r="BC380" s="69"/>
      <c r="BD380" s="69"/>
      <c r="CD380" s="94">
        <f t="shared" si="43"/>
        <v>5100</v>
      </c>
      <c r="CE380" s="73">
        <f t="shared" si="44"/>
        <v>0</v>
      </c>
      <c r="CF380" s="75">
        <f t="shared" si="45"/>
        <v>5381</v>
      </c>
      <c r="CG380" s="69" t="str">
        <f t="shared" si="45"/>
        <v>برنامج دولى</v>
      </c>
    </row>
    <row r="381" spans="2:85" ht="18.75" x14ac:dyDescent="0.25">
      <c r="B381" s="82">
        <v>9414</v>
      </c>
      <c r="C381" s="70">
        <v>5382</v>
      </c>
      <c r="D381" s="71" t="s">
        <v>78</v>
      </c>
      <c r="E381" s="69" t="s">
        <v>2787</v>
      </c>
      <c r="G381" s="69">
        <v>9707.5</v>
      </c>
      <c r="T381" s="69"/>
      <c r="U381" s="69"/>
      <c r="AR381" s="94">
        <f t="shared" si="42"/>
        <v>9707.5</v>
      </c>
      <c r="AS381" s="69">
        <v>6828.65</v>
      </c>
      <c r="AT381" s="69">
        <v>901.35</v>
      </c>
      <c r="AU381" s="69">
        <v>1977.5</v>
      </c>
      <c r="BC381" s="69"/>
      <c r="BD381" s="69"/>
      <c r="CD381" s="94">
        <f t="shared" si="43"/>
        <v>9707.5</v>
      </c>
      <c r="CE381" s="73">
        <f t="shared" si="44"/>
        <v>0</v>
      </c>
      <c r="CF381" s="75">
        <f t="shared" si="45"/>
        <v>5382</v>
      </c>
      <c r="CG381" s="69" t="str">
        <f t="shared" si="45"/>
        <v>برنامج دولى</v>
      </c>
    </row>
    <row r="382" spans="2:85" ht="18.75" x14ac:dyDescent="0.25">
      <c r="B382" s="82">
        <v>9415</v>
      </c>
      <c r="C382" s="70">
        <v>5383</v>
      </c>
      <c r="D382" s="71" t="s">
        <v>78</v>
      </c>
      <c r="E382" s="69" t="s">
        <v>2787</v>
      </c>
      <c r="G382" s="69">
        <v>1876</v>
      </c>
      <c r="T382" s="69"/>
      <c r="U382" s="69"/>
      <c r="AR382" s="94">
        <f t="shared" si="42"/>
        <v>1876</v>
      </c>
      <c r="AS382" s="69">
        <v>1254.7</v>
      </c>
      <c r="AT382" s="69">
        <v>169.3</v>
      </c>
      <c r="AU382" s="69">
        <v>452</v>
      </c>
      <c r="BC382" s="69"/>
      <c r="BD382" s="69"/>
      <c r="CD382" s="94">
        <f t="shared" si="43"/>
        <v>1876</v>
      </c>
      <c r="CE382" s="73">
        <f t="shared" si="44"/>
        <v>0</v>
      </c>
      <c r="CF382" s="75">
        <f t="shared" si="45"/>
        <v>5383</v>
      </c>
      <c r="CG382" s="69" t="str">
        <f t="shared" si="45"/>
        <v>برنامج دولى</v>
      </c>
    </row>
    <row r="383" spans="2:85" ht="18.75" x14ac:dyDescent="0.25">
      <c r="B383" s="82">
        <v>9416</v>
      </c>
      <c r="C383" s="70">
        <v>5384</v>
      </c>
      <c r="D383" s="71" t="s">
        <v>78</v>
      </c>
      <c r="E383" s="69" t="s">
        <v>2788</v>
      </c>
      <c r="G383" s="69">
        <v>10468.4</v>
      </c>
      <c r="T383" s="69"/>
      <c r="U383" s="69"/>
      <c r="AR383" s="94">
        <f t="shared" si="42"/>
        <v>10468.4</v>
      </c>
      <c r="AS383" s="69">
        <v>7416.07</v>
      </c>
      <c r="AT383" s="69">
        <v>975.1</v>
      </c>
      <c r="AU383" s="69">
        <v>2077.23</v>
      </c>
      <c r="BC383" s="69"/>
      <c r="BD383" s="69"/>
      <c r="CD383" s="94">
        <f t="shared" si="43"/>
        <v>10468.4</v>
      </c>
      <c r="CE383" s="73">
        <f t="shared" si="44"/>
        <v>0</v>
      </c>
      <c r="CF383" s="75">
        <f t="shared" si="45"/>
        <v>5384</v>
      </c>
      <c r="CG383" s="69" t="str">
        <f t="shared" si="45"/>
        <v>برنامج دولى</v>
      </c>
    </row>
    <row r="384" spans="2:85" ht="18.75" x14ac:dyDescent="0.25">
      <c r="B384" s="82">
        <v>9417</v>
      </c>
      <c r="C384" s="70">
        <v>5385</v>
      </c>
      <c r="D384" s="71" t="s">
        <v>78</v>
      </c>
      <c r="E384" s="69" t="s">
        <v>2788</v>
      </c>
      <c r="G384" s="69">
        <v>7717.38</v>
      </c>
      <c r="T384" s="69"/>
      <c r="U384" s="69"/>
      <c r="AR384" s="94">
        <f t="shared" si="42"/>
        <v>7717.38</v>
      </c>
      <c r="AS384" s="69">
        <v>6482.7</v>
      </c>
      <c r="AT384" s="69">
        <v>796.8</v>
      </c>
      <c r="AU384" s="69">
        <v>437.88</v>
      </c>
      <c r="BC384" s="69"/>
      <c r="BD384" s="69"/>
      <c r="CD384" s="94">
        <f t="shared" si="43"/>
        <v>7717.38</v>
      </c>
      <c r="CE384" s="73">
        <f t="shared" si="44"/>
        <v>0</v>
      </c>
      <c r="CF384" s="75">
        <f t="shared" si="45"/>
        <v>5385</v>
      </c>
      <c r="CG384" s="69" t="str">
        <f t="shared" si="45"/>
        <v>برنامج دولى</v>
      </c>
    </row>
    <row r="385" spans="1:90" ht="18.75" x14ac:dyDescent="0.25">
      <c r="B385" s="82">
        <v>9418</v>
      </c>
      <c r="C385" s="70">
        <v>5386</v>
      </c>
      <c r="D385" s="71" t="s">
        <v>78</v>
      </c>
      <c r="E385" s="69" t="s">
        <v>2788</v>
      </c>
      <c r="G385" s="69">
        <v>2700</v>
      </c>
      <c r="T385" s="69"/>
      <c r="U385" s="69"/>
      <c r="AR385" s="94">
        <f t="shared" si="42"/>
        <v>2700</v>
      </c>
      <c r="AS385" s="69">
        <v>2410.4499999999998</v>
      </c>
      <c r="AT385" s="69">
        <v>289.55</v>
      </c>
      <c r="BC385" s="69"/>
      <c r="BD385" s="69"/>
      <c r="CD385" s="94">
        <f t="shared" si="43"/>
        <v>2700</v>
      </c>
      <c r="CE385" s="73">
        <f t="shared" si="44"/>
        <v>0</v>
      </c>
      <c r="CF385" s="75">
        <f t="shared" si="45"/>
        <v>5386</v>
      </c>
      <c r="CG385" s="69" t="str">
        <f t="shared" si="45"/>
        <v>برنامج دولى</v>
      </c>
    </row>
    <row r="386" spans="1:90" ht="18.75" x14ac:dyDescent="0.25">
      <c r="B386" s="82">
        <v>9419</v>
      </c>
      <c r="C386" s="70">
        <v>5387</v>
      </c>
      <c r="D386" s="71" t="s">
        <v>78</v>
      </c>
      <c r="E386" s="69" t="s">
        <v>2788</v>
      </c>
      <c r="G386" s="69">
        <v>750</v>
      </c>
      <c r="T386" s="69"/>
      <c r="U386" s="69"/>
      <c r="AR386" s="94">
        <f t="shared" si="42"/>
        <v>750</v>
      </c>
      <c r="AS386" s="69">
        <v>670.1</v>
      </c>
      <c r="AT386" s="69">
        <v>79.900000000000006</v>
      </c>
      <c r="BC386" s="69"/>
      <c r="BD386" s="69"/>
      <c r="CD386" s="94">
        <f t="shared" si="43"/>
        <v>750</v>
      </c>
      <c r="CE386" s="73">
        <f t="shared" si="44"/>
        <v>0</v>
      </c>
      <c r="CF386" s="75">
        <f t="shared" si="45"/>
        <v>5387</v>
      </c>
      <c r="CG386" s="69" t="str">
        <f t="shared" si="45"/>
        <v>برنامج دولى</v>
      </c>
    </row>
    <row r="387" spans="1:90" ht="18.75" x14ac:dyDescent="0.25">
      <c r="B387" s="82">
        <v>9420</v>
      </c>
      <c r="C387" s="70">
        <v>5388</v>
      </c>
      <c r="D387" s="71" t="s">
        <v>78</v>
      </c>
      <c r="E387" s="69" t="s">
        <v>2788</v>
      </c>
      <c r="G387" s="69">
        <v>1500</v>
      </c>
      <c r="T387" s="69"/>
      <c r="U387" s="69"/>
      <c r="AR387" s="94">
        <f t="shared" si="42"/>
        <v>1500</v>
      </c>
      <c r="AS387" s="69">
        <v>1339.1</v>
      </c>
      <c r="AT387" s="69">
        <v>160.9</v>
      </c>
      <c r="BC387" s="69"/>
      <c r="BD387" s="69"/>
      <c r="CD387" s="94">
        <f t="shared" si="43"/>
        <v>1500</v>
      </c>
      <c r="CE387" s="73">
        <f t="shared" si="44"/>
        <v>0</v>
      </c>
      <c r="CF387" s="75">
        <f t="shared" si="45"/>
        <v>5388</v>
      </c>
      <c r="CG387" s="69" t="str">
        <f t="shared" si="45"/>
        <v>برنامج دولى</v>
      </c>
    </row>
    <row r="388" spans="1:90" ht="18.75" x14ac:dyDescent="0.25">
      <c r="B388" s="82">
        <v>9421</v>
      </c>
      <c r="C388" s="70">
        <v>5389</v>
      </c>
      <c r="D388" s="71" t="s">
        <v>78</v>
      </c>
      <c r="E388" s="69" t="s">
        <v>2789</v>
      </c>
      <c r="G388" s="69">
        <v>1758.76</v>
      </c>
      <c r="T388" s="69"/>
      <c r="U388" s="69"/>
      <c r="AR388" s="94">
        <f t="shared" si="42"/>
        <v>1758.76</v>
      </c>
      <c r="AS388" s="69">
        <v>1175.2</v>
      </c>
      <c r="AT388" s="69">
        <f>9.8+150</f>
        <v>159.80000000000001</v>
      </c>
      <c r="AU388" s="69">
        <v>423.76</v>
      </c>
      <c r="BC388" s="69"/>
      <c r="BD388" s="69"/>
      <c r="CD388" s="94">
        <f t="shared" si="43"/>
        <v>1758.76</v>
      </c>
      <c r="CE388" s="73">
        <f t="shared" si="44"/>
        <v>0</v>
      </c>
      <c r="CF388" s="75">
        <f t="shared" si="45"/>
        <v>5389</v>
      </c>
      <c r="CG388" s="69" t="str">
        <f t="shared" si="45"/>
        <v>برنامج دولى</v>
      </c>
    </row>
    <row r="389" spans="1:90" ht="18.75" x14ac:dyDescent="0.25">
      <c r="B389" s="82">
        <v>9422</v>
      </c>
      <c r="C389" s="70">
        <v>5390</v>
      </c>
      <c r="D389" s="71" t="s">
        <v>78</v>
      </c>
      <c r="E389" s="69" t="s">
        <v>2790</v>
      </c>
      <c r="G389" s="69">
        <v>5862.5</v>
      </c>
      <c r="T389" s="69"/>
      <c r="U389" s="69"/>
      <c r="AR389" s="94">
        <f t="shared" si="42"/>
        <v>5862.5</v>
      </c>
      <c r="AS389" s="69">
        <v>3920</v>
      </c>
      <c r="AT389" s="69">
        <v>530</v>
      </c>
      <c r="AU389" s="69">
        <v>1412.5</v>
      </c>
      <c r="BC389" s="69"/>
      <c r="BD389" s="69"/>
      <c r="CD389" s="94">
        <f t="shared" si="43"/>
        <v>5862.5</v>
      </c>
      <c r="CE389" s="73">
        <f t="shared" si="44"/>
        <v>0</v>
      </c>
      <c r="CF389" s="75">
        <f t="shared" si="45"/>
        <v>5390</v>
      </c>
      <c r="CG389" s="69" t="str">
        <f t="shared" si="45"/>
        <v>برنامج دولى</v>
      </c>
    </row>
    <row r="390" spans="1:90" ht="18.75" x14ac:dyDescent="0.25">
      <c r="B390" s="82">
        <v>9423</v>
      </c>
      <c r="C390" s="70">
        <v>5391</v>
      </c>
      <c r="D390" s="71" t="s">
        <v>78</v>
      </c>
      <c r="E390" s="69" t="s">
        <v>2790</v>
      </c>
      <c r="G390" s="69">
        <v>938</v>
      </c>
      <c r="T390" s="69"/>
      <c r="U390" s="69"/>
      <c r="AR390" s="94">
        <f t="shared" si="42"/>
        <v>938</v>
      </c>
      <c r="AS390" s="69">
        <v>627.35</v>
      </c>
      <c r="AT390" s="69">
        <v>84.65</v>
      </c>
      <c r="AU390" s="69">
        <v>226</v>
      </c>
      <c r="BC390" s="69"/>
      <c r="BD390" s="69"/>
      <c r="CD390" s="94">
        <f t="shared" si="43"/>
        <v>938</v>
      </c>
      <c r="CE390" s="73">
        <f t="shared" si="44"/>
        <v>0</v>
      </c>
      <c r="CF390" s="75">
        <f t="shared" si="45"/>
        <v>5391</v>
      </c>
      <c r="CG390" s="69" t="str">
        <f t="shared" si="45"/>
        <v>برنامج دولى</v>
      </c>
    </row>
    <row r="391" spans="1:90" ht="18.75" x14ac:dyDescent="0.25">
      <c r="B391" s="82">
        <v>9425</v>
      </c>
      <c r="C391" s="70">
        <v>5392</v>
      </c>
      <c r="D391" s="71" t="s">
        <v>78</v>
      </c>
      <c r="E391" s="69" t="s">
        <v>2380</v>
      </c>
      <c r="G391" s="69">
        <v>879.38</v>
      </c>
      <c r="T391" s="69"/>
      <c r="U391" s="69"/>
      <c r="AR391" s="94">
        <f t="shared" si="42"/>
        <v>879.38</v>
      </c>
      <c r="AS391" s="69">
        <v>588.15</v>
      </c>
      <c r="AT391" s="69">
        <v>79.349999999999994</v>
      </c>
      <c r="AU391" s="69">
        <v>211.88</v>
      </c>
      <c r="BC391" s="69"/>
      <c r="BD391" s="69"/>
      <c r="CD391" s="94">
        <f t="shared" si="43"/>
        <v>879.38</v>
      </c>
      <c r="CE391" s="73">
        <f t="shared" si="44"/>
        <v>0</v>
      </c>
      <c r="CF391" s="75">
        <f t="shared" si="45"/>
        <v>5392</v>
      </c>
      <c r="CG391" s="69" t="str">
        <f t="shared" si="45"/>
        <v>برنامج دولى</v>
      </c>
    </row>
    <row r="392" spans="1:90" ht="18.75" x14ac:dyDescent="0.25">
      <c r="B392" s="82">
        <v>9712</v>
      </c>
      <c r="C392" s="70">
        <v>5393</v>
      </c>
      <c r="D392" s="71" t="s">
        <v>123</v>
      </c>
      <c r="E392" s="69" t="s">
        <v>2791</v>
      </c>
      <c r="G392" s="69">
        <v>4000</v>
      </c>
      <c r="T392" s="69"/>
      <c r="U392" s="69"/>
      <c r="AR392" s="94">
        <f t="shared" si="42"/>
        <v>4000</v>
      </c>
      <c r="AS392" s="69">
        <v>3016.56</v>
      </c>
      <c r="AT392" s="69">
        <v>783.44</v>
      </c>
      <c r="AV392" s="69">
        <v>200</v>
      </c>
      <c r="BC392" s="69"/>
      <c r="BD392" s="69"/>
      <c r="CD392" s="94">
        <f t="shared" si="43"/>
        <v>4000</v>
      </c>
      <c r="CE392" s="73">
        <f t="shared" si="44"/>
        <v>0</v>
      </c>
      <c r="CF392" s="75">
        <f t="shared" si="45"/>
        <v>5393</v>
      </c>
      <c r="CG392" s="69" t="str">
        <f t="shared" si="45"/>
        <v>خ ت اسنان</v>
      </c>
    </row>
    <row r="393" spans="1:90" ht="18.75" x14ac:dyDescent="0.25">
      <c r="B393" s="82">
        <v>9711</v>
      </c>
      <c r="C393" s="70">
        <v>5394</v>
      </c>
      <c r="D393" s="71" t="s">
        <v>123</v>
      </c>
      <c r="E393" s="69" t="s">
        <v>2791</v>
      </c>
      <c r="G393" s="69">
        <v>4000</v>
      </c>
      <c r="T393" s="69"/>
      <c r="U393" s="69"/>
      <c r="AR393" s="94">
        <f t="shared" si="42"/>
        <v>4000</v>
      </c>
      <c r="AS393" s="69">
        <v>3016.56</v>
      </c>
      <c r="AT393" s="69">
        <v>783.44</v>
      </c>
      <c r="AV393" s="69">
        <v>200</v>
      </c>
      <c r="BC393" s="69"/>
      <c r="BD393" s="69"/>
      <c r="CD393" s="94">
        <f t="shared" si="43"/>
        <v>4000</v>
      </c>
      <c r="CE393" s="73">
        <f t="shared" si="44"/>
        <v>0</v>
      </c>
      <c r="CF393" s="75">
        <f t="shared" si="45"/>
        <v>5394</v>
      </c>
      <c r="CG393" s="69" t="str">
        <f t="shared" si="45"/>
        <v>خ ت اسنان</v>
      </c>
    </row>
    <row r="394" spans="1:90" ht="18.75" x14ac:dyDescent="0.25">
      <c r="B394" s="82"/>
      <c r="C394" s="70">
        <v>5395</v>
      </c>
      <c r="D394" s="71" t="s">
        <v>1431</v>
      </c>
      <c r="E394" s="69" t="s">
        <v>2792</v>
      </c>
      <c r="T394" s="69"/>
      <c r="U394" s="69"/>
      <c r="AR394" s="94">
        <f t="shared" si="42"/>
        <v>0</v>
      </c>
      <c r="AT394" s="69"/>
      <c r="BC394" s="69"/>
      <c r="BD394" s="69"/>
      <c r="CD394" s="94">
        <f t="shared" si="43"/>
        <v>0</v>
      </c>
      <c r="CE394" s="73">
        <f t="shared" si="44"/>
        <v>0</v>
      </c>
      <c r="CF394" s="75">
        <f t="shared" si="45"/>
        <v>5395</v>
      </c>
      <c r="CG394" s="69" t="str">
        <f t="shared" si="45"/>
        <v>لاب فقط</v>
      </c>
    </row>
    <row r="395" spans="1:90" s="68" customFormat="1" ht="18.75" x14ac:dyDescent="0.25">
      <c r="B395" s="83"/>
      <c r="C395" s="84"/>
      <c r="D395" s="85"/>
      <c r="E395" s="68" t="s">
        <v>2793</v>
      </c>
      <c r="G395" s="68">
        <f t="shared" ref="G395:BR395" si="46">SUM(G248:G393)</f>
        <v>901756.69999999984</v>
      </c>
      <c r="H395" s="68">
        <f t="shared" si="46"/>
        <v>237393.6</v>
      </c>
      <c r="I395" s="68">
        <f t="shared" si="46"/>
        <v>0</v>
      </c>
      <c r="J395" s="68">
        <f t="shared" si="46"/>
        <v>0</v>
      </c>
      <c r="K395" s="68">
        <f t="shared" si="46"/>
        <v>0</v>
      </c>
      <c r="L395" s="68">
        <f t="shared" si="46"/>
        <v>0</v>
      </c>
      <c r="M395" s="68">
        <f t="shared" si="46"/>
        <v>0</v>
      </c>
      <c r="N395" s="68">
        <f t="shared" si="46"/>
        <v>0</v>
      </c>
      <c r="O395" s="68">
        <f t="shared" si="46"/>
        <v>0</v>
      </c>
      <c r="P395" s="68">
        <f t="shared" si="46"/>
        <v>0</v>
      </c>
      <c r="Q395" s="68">
        <f t="shared" si="46"/>
        <v>0</v>
      </c>
      <c r="R395" s="68">
        <f t="shared" si="46"/>
        <v>0</v>
      </c>
      <c r="S395" s="68">
        <f t="shared" si="46"/>
        <v>1247131.74</v>
      </c>
      <c r="T395" s="68">
        <f t="shared" si="46"/>
        <v>0</v>
      </c>
      <c r="U395" s="68">
        <f t="shared" si="46"/>
        <v>0</v>
      </c>
      <c r="V395" s="68">
        <f t="shared" si="46"/>
        <v>0</v>
      </c>
      <c r="W395" s="68">
        <f t="shared" si="46"/>
        <v>0</v>
      </c>
      <c r="X395" s="68">
        <f t="shared" si="46"/>
        <v>0</v>
      </c>
      <c r="Y395" s="68">
        <f t="shared" si="46"/>
        <v>0</v>
      </c>
      <c r="Z395" s="68">
        <f t="shared" si="46"/>
        <v>0</v>
      </c>
      <c r="AA395" s="68">
        <f t="shared" si="46"/>
        <v>0</v>
      </c>
      <c r="AB395" s="68">
        <f t="shared" si="46"/>
        <v>0</v>
      </c>
      <c r="AC395" s="68">
        <f t="shared" si="46"/>
        <v>0</v>
      </c>
      <c r="AD395" s="68">
        <f t="shared" si="46"/>
        <v>0</v>
      </c>
      <c r="AE395" s="68">
        <f t="shared" si="46"/>
        <v>0</v>
      </c>
      <c r="AF395" s="68">
        <f t="shared" si="46"/>
        <v>0</v>
      </c>
      <c r="AG395" s="68">
        <f t="shared" si="46"/>
        <v>0</v>
      </c>
      <c r="AH395" s="68">
        <f t="shared" si="46"/>
        <v>0</v>
      </c>
      <c r="AI395" s="68">
        <f t="shared" si="46"/>
        <v>0</v>
      </c>
      <c r="AJ395" s="68">
        <f t="shared" si="46"/>
        <v>0</v>
      </c>
      <c r="AK395" s="68">
        <f t="shared" si="46"/>
        <v>0</v>
      </c>
      <c r="AL395" s="68">
        <f t="shared" si="46"/>
        <v>0</v>
      </c>
      <c r="AM395" s="68">
        <f t="shared" si="46"/>
        <v>0</v>
      </c>
      <c r="AO395" s="68">
        <f t="shared" si="46"/>
        <v>0</v>
      </c>
      <c r="AP395" s="68">
        <f t="shared" si="46"/>
        <v>0</v>
      </c>
      <c r="AQ395" s="68">
        <f t="shared" si="46"/>
        <v>0</v>
      </c>
      <c r="AR395" s="68">
        <f t="shared" si="46"/>
        <v>2386282.0399999996</v>
      </c>
      <c r="AS395" s="68">
        <f t="shared" si="46"/>
        <v>2188322.410000002</v>
      </c>
      <c r="AT395" s="68">
        <f t="shared" si="46"/>
        <v>95868.78</v>
      </c>
      <c r="AU395" s="68">
        <f t="shared" si="46"/>
        <v>101590.34999999995</v>
      </c>
      <c r="AV395" s="68">
        <f t="shared" si="46"/>
        <v>452.5</v>
      </c>
      <c r="AW395" s="68">
        <f t="shared" si="46"/>
        <v>0</v>
      </c>
      <c r="AX395" s="68">
        <f t="shared" si="46"/>
        <v>0</v>
      </c>
      <c r="AY395" s="68">
        <f t="shared" si="46"/>
        <v>0</v>
      </c>
      <c r="AZ395" s="68">
        <f t="shared" si="46"/>
        <v>0</v>
      </c>
      <c r="BA395" s="68">
        <f t="shared" si="46"/>
        <v>0</v>
      </c>
      <c r="BB395" s="68">
        <f t="shared" si="46"/>
        <v>0</v>
      </c>
      <c r="BC395" s="68">
        <f t="shared" si="46"/>
        <v>0</v>
      </c>
      <c r="BD395" s="68">
        <f t="shared" si="46"/>
        <v>0</v>
      </c>
      <c r="BE395" s="68">
        <f t="shared" si="46"/>
        <v>0</v>
      </c>
      <c r="BF395" s="68">
        <f t="shared" si="46"/>
        <v>0</v>
      </c>
      <c r="BG395" s="68">
        <f t="shared" si="46"/>
        <v>48</v>
      </c>
      <c r="BH395" s="68">
        <f t="shared" si="46"/>
        <v>0</v>
      </c>
      <c r="BI395" s="68">
        <f t="shared" si="46"/>
        <v>0</v>
      </c>
      <c r="BJ395" s="68">
        <f t="shared" si="46"/>
        <v>0</v>
      </c>
      <c r="BK395" s="68">
        <f t="shared" si="46"/>
        <v>0</v>
      </c>
      <c r="BL395" s="68">
        <f t="shared" si="46"/>
        <v>0</v>
      </c>
      <c r="BM395" s="68">
        <f t="shared" si="46"/>
        <v>0</v>
      </c>
      <c r="BN395" s="68">
        <f t="shared" si="46"/>
        <v>0</v>
      </c>
      <c r="BO395" s="68">
        <f t="shared" si="46"/>
        <v>0</v>
      </c>
      <c r="BP395" s="68">
        <f t="shared" si="46"/>
        <v>0</v>
      </c>
      <c r="BQ395" s="68">
        <f t="shared" si="46"/>
        <v>0</v>
      </c>
      <c r="BR395" s="68">
        <f t="shared" si="46"/>
        <v>0</v>
      </c>
      <c r="BS395" s="68">
        <f t="shared" ref="BS395:CE395" si="47">SUM(BS248:BS393)</f>
        <v>0</v>
      </c>
      <c r="BT395" s="68">
        <f t="shared" si="47"/>
        <v>0</v>
      </c>
      <c r="BU395" s="68">
        <f t="shared" si="47"/>
        <v>0</v>
      </c>
      <c r="BV395" s="68">
        <f t="shared" si="47"/>
        <v>0</v>
      </c>
      <c r="BW395" s="68">
        <f t="shared" si="47"/>
        <v>0</v>
      </c>
      <c r="BX395" s="68">
        <f t="shared" si="47"/>
        <v>0</v>
      </c>
      <c r="BY395" s="68">
        <f t="shared" si="47"/>
        <v>0</v>
      </c>
      <c r="CA395" s="68">
        <f t="shared" si="47"/>
        <v>0</v>
      </c>
      <c r="CB395" s="68">
        <f t="shared" si="47"/>
        <v>0</v>
      </c>
      <c r="CC395" s="68">
        <f t="shared" si="47"/>
        <v>0</v>
      </c>
      <c r="CD395" s="68">
        <f t="shared" si="47"/>
        <v>2386282.0399999996</v>
      </c>
      <c r="CE395" s="68">
        <f t="shared" si="47"/>
        <v>0</v>
      </c>
      <c r="CH395" s="68">
        <f>SUM(CH248:CH393)</f>
        <v>0</v>
      </c>
      <c r="CI395" s="68">
        <f>SUM(CI248:CI393)</f>
        <v>0</v>
      </c>
      <c r="CJ395" s="68">
        <f>SUM(CJ248:CJ393)</f>
        <v>0</v>
      </c>
      <c r="CK395" s="68">
        <f>SUM(CK248:CK393)</f>
        <v>0</v>
      </c>
      <c r="CL395" s="68">
        <f>SUM(CL248:CL393)</f>
        <v>0</v>
      </c>
    </row>
    <row r="396" spans="1:90" ht="36" x14ac:dyDescent="0.25">
      <c r="B396" s="82">
        <v>9764</v>
      </c>
      <c r="C396" s="70">
        <v>5396</v>
      </c>
      <c r="D396" s="71" t="s">
        <v>125</v>
      </c>
      <c r="E396" s="77" t="s">
        <v>2794</v>
      </c>
      <c r="S396" s="69">
        <v>600</v>
      </c>
      <c r="T396" s="69"/>
      <c r="U396" s="69"/>
      <c r="AR396" s="94">
        <f t="shared" ref="AR396:AR429" si="48">SUM(G396:AQ396)</f>
        <v>600</v>
      </c>
      <c r="AS396" s="69">
        <v>600</v>
      </c>
      <c r="AT396" s="69"/>
      <c r="BC396" s="69"/>
      <c r="BD396" s="69"/>
      <c r="CD396" s="94">
        <f t="shared" ref="CD396:CD442" si="49">SUM(AS396:CC396)</f>
        <v>600</v>
      </c>
      <c r="CE396" s="73">
        <f t="shared" ref="CE396:CE442" si="50">+CD396-AR396</f>
        <v>0</v>
      </c>
      <c r="CF396" s="75">
        <f t="shared" ref="CF396:CG442" si="51">+C396</f>
        <v>5396</v>
      </c>
      <c r="CG396" s="69" t="str">
        <f t="shared" si="51"/>
        <v>اختبار مواد</v>
      </c>
    </row>
    <row r="397" spans="1:90" ht="18.75" x14ac:dyDescent="0.25">
      <c r="B397" s="82">
        <v>9495</v>
      </c>
      <c r="C397" s="70">
        <v>5397</v>
      </c>
      <c r="D397" s="71" t="s">
        <v>78</v>
      </c>
      <c r="E397" s="69" t="s">
        <v>2795</v>
      </c>
      <c r="G397" s="69">
        <v>820.75</v>
      </c>
      <c r="T397" s="69"/>
      <c r="U397" s="69"/>
      <c r="AR397" s="94">
        <f t="shared" si="48"/>
        <v>820.75</v>
      </c>
      <c r="AS397" s="69">
        <v>548.45000000000005</v>
      </c>
      <c r="AT397" s="69">
        <f>70+4.55</f>
        <v>74.55</v>
      </c>
      <c r="AU397" s="69">
        <v>197.75</v>
      </c>
      <c r="BC397" s="69"/>
      <c r="BD397" s="69"/>
      <c r="CD397" s="94">
        <f t="shared" si="49"/>
        <v>820.75</v>
      </c>
      <c r="CE397" s="73">
        <f t="shared" si="50"/>
        <v>0</v>
      </c>
      <c r="CF397" s="75">
        <f t="shared" si="51"/>
        <v>5397</v>
      </c>
      <c r="CG397" s="69" t="str">
        <f t="shared" si="51"/>
        <v>برنامج دولى</v>
      </c>
    </row>
    <row r="398" spans="1:90" ht="18.75" x14ac:dyDescent="0.25">
      <c r="B398" s="82">
        <v>9499</v>
      </c>
      <c r="C398" s="70">
        <v>5398</v>
      </c>
      <c r="D398" s="71" t="s">
        <v>78</v>
      </c>
      <c r="E398" s="69" t="s">
        <v>2796</v>
      </c>
      <c r="G398" s="69">
        <v>12500</v>
      </c>
      <c r="T398" s="69"/>
      <c r="U398" s="69"/>
      <c r="AR398" s="94">
        <f t="shared" si="48"/>
        <v>12500</v>
      </c>
      <c r="AS398" s="69">
        <v>11162.9</v>
      </c>
      <c r="AT398" s="69">
        <v>1337.1</v>
      </c>
      <c r="BC398" s="69"/>
      <c r="BD398" s="69"/>
      <c r="CD398" s="94">
        <f t="shared" si="49"/>
        <v>12500</v>
      </c>
      <c r="CE398" s="73">
        <f t="shared" si="50"/>
        <v>0</v>
      </c>
      <c r="CF398" s="75">
        <f t="shared" si="51"/>
        <v>5398</v>
      </c>
      <c r="CG398" s="69" t="str">
        <f t="shared" si="51"/>
        <v>برنامج دولى</v>
      </c>
    </row>
    <row r="399" spans="1:90" ht="18.75" x14ac:dyDescent="0.25">
      <c r="A399" s="69" t="s">
        <v>2797</v>
      </c>
      <c r="B399" s="82">
        <v>9498</v>
      </c>
      <c r="C399" s="70">
        <v>5399</v>
      </c>
      <c r="D399" s="71" t="s">
        <v>1431</v>
      </c>
      <c r="E399" s="69" t="s">
        <v>2792</v>
      </c>
      <c r="T399" s="69"/>
      <c r="U399" s="69"/>
      <c r="AR399" s="94">
        <f t="shared" si="48"/>
        <v>0</v>
      </c>
      <c r="AT399" s="69"/>
      <c r="BC399" s="69"/>
      <c r="BD399" s="69"/>
      <c r="CD399" s="94">
        <f t="shared" si="49"/>
        <v>0</v>
      </c>
      <c r="CE399" s="73">
        <f t="shared" si="50"/>
        <v>0</v>
      </c>
      <c r="CF399" s="75">
        <f t="shared" si="51"/>
        <v>5399</v>
      </c>
      <c r="CG399" s="69" t="str">
        <f t="shared" si="51"/>
        <v>لاب فقط</v>
      </c>
    </row>
    <row r="400" spans="1:90" ht="18.75" x14ac:dyDescent="0.25">
      <c r="B400" s="82">
        <v>9497</v>
      </c>
      <c r="C400" s="70">
        <v>5400</v>
      </c>
      <c r="D400" s="71" t="s">
        <v>78</v>
      </c>
      <c r="E400" s="69" t="s">
        <v>2673</v>
      </c>
      <c r="G400" s="69">
        <v>938</v>
      </c>
      <c r="T400" s="69"/>
      <c r="U400" s="69"/>
      <c r="AR400" s="94">
        <f t="shared" si="48"/>
        <v>938</v>
      </c>
      <c r="AS400" s="69">
        <v>627.35</v>
      </c>
      <c r="AT400" s="69">
        <v>84.65</v>
      </c>
      <c r="AU400" s="69">
        <v>226</v>
      </c>
      <c r="BC400" s="69"/>
      <c r="BD400" s="69"/>
      <c r="CD400" s="94">
        <f t="shared" si="49"/>
        <v>938</v>
      </c>
      <c r="CE400" s="73">
        <f t="shared" si="50"/>
        <v>0</v>
      </c>
      <c r="CF400" s="75">
        <f t="shared" si="51"/>
        <v>5400</v>
      </c>
      <c r="CG400" s="69" t="str">
        <f t="shared" si="51"/>
        <v>برنامج دولى</v>
      </c>
    </row>
    <row r="401" spans="2:85" ht="18.75" x14ac:dyDescent="0.25">
      <c r="B401" s="82">
        <v>9496</v>
      </c>
      <c r="C401" s="70">
        <v>5401</v>
      </c>
      <c r="D401" s="71" t="s">
        <v>78</v>
      </c>
      <c r="E401" s="69" t="s">
        <v>2673</v>
      </c>
      <c r="G401" s="69">
        <v>1000</v>
      </c>
      <c r="T401" s="69"/>
      <c r="U401" s="69"/>
      <c r="AR401" s="94">
        <f t="shared" si="48"/>
        <v>1000</v>
      </c>
      <c r="AS401" s="69">
        <v>893.35</v>
      </c>
      <c r="AT401" s="69">
        <v>106.65</v>
      </c>
      <c r="BC401" s="69"/>
      <c r="BD401" s="69"/>
      <c r="CD401" s="94">
        <f t="shared" si="49"/>
        <v>1000</v>
      </c>
      <c r="CE401" s="73">
        <f t="shared" si="50"/>
        <v>0</v>
      </c>
      <c r="CF401" s="75">
        <f t="shared" si="51"/>
        <v>5401</v>
      </c>
      <c r="CG401" s="69" t="str">
        <f t="shared" si="51"/>
        <v>برنامج دولى</v>
      </c>
    </row>
    <row r="402" spans="2:85" ht="18.75" x14ac:dyDescent="0.25">
      <c r="B402" s="82">
        <v>9494</v>
      </c>
      <c r="C402" s="70">
        <v>5402</v>
      </c>
      <c r="D402" s="71" t="s">
        <v>78</v>
      </c>
      <c r="E402" s="69" t="s">
        <v>851</v>
      </c>
      <c r="G402" s="69">
        <v>2001.1</v>
      </c>
      <c r="T402" s="69"/>
      <c r="U402" s="69"/>
      <c r="AR402" s="94">
        <f t="shared" si="48"/>
        <v>2001.1</v>
      </c>
      <c r="AS402" s="69">
        <v>1784.65</v>
      </c>
      <c r="AT402" s="69">
        <v>214.65</v>
      </c>
      <c r="AU402" s="69">
        <v>1.8</v>
      </c>
      <c r="BC402" s="69"/>
      <c r="BD402" s="69"/>
      <c r="CD402" s="94">
        <f t="shared" si="49"/>
        <v>2001.1000000000001</v>
      </c>
      <c r="CE402" s="73">
        <f t="shared" si="50"/>
        <v>0</v>
      </c>
      <c r="CF402" s="75">
        <f t="shared" si="51"/>
        <v>5402</v>
      </c>
      <c r="CG402" s="69" t="str">
        <f t="shared" si="51"/>
        <v>برنامج دولى</v>
      </c>
    </row>
    <row r="403" spans="2:85" ht="18.75" x14ac:dyDescent="0.25">
      <c r="B403" s="82">
        <v>9493</v>
      </c>
      <c r="C403" s="70">
        <v>5403</v>
      </c>
      <c r="D403" s="71" t="s">
        <v>78</v>
      </c>
      <c r="E403" s="69" t="s">
        <v>851</v>
      </c>
      <c r="G403" s="69">
        <v>2000</v>
      </c>
      <c r="T403" s="69"/>
      <c r="U403" s="69"/>
      <c r="AR403" s="94">
        <f t="shared" si="48"/>
        <v>2000</v>
      </c>
      <c r="AS403" s="69">
        <v>1785.35</v>
      </c>
      <c r="AT403" s="69">
        <v>214.65</v>
      </c>
      <c r="BC403" s="69"/>
      <c r="BD403" s="69"/>
      <c r="CD403" s="94">
        <f t="shared" si="49"/>
        <v>2000</v>
      </c>
      <c r="CE403" s="73">
        <f t="shared" si="50"/>
        <v>0</v>
      </c>
      <c r="CF403" s="75">
        <f t="shared" si="51"/>
        <v>5403</v>
      </c>
      <c r="CG403" s="69" t="str">
        <f t="shared" si="51"/>
        <v>برنامج دولى</v>
      </c>
    </row>
    <row r="404" spans="2:85" ht="18.75" x14ac:dyDescent="0.25">
      <c r="B404" s="82">
        <v>9492</v>
      </c>
      <c r="C404" s="70">
        <v>5404</v>
      </c>
      <c r="D404" s="71" t="s">
        <v>78</v>
      </c>
      <c r="E404" s="69" t="s">
        <v>851</v>
      </c>
      <c r="G404" s="69">
        <v>2500</v>
      </c>
      <c r="T404" s="69"/>
      <c r="U404" s="69"/>
      <c r="AR404" s="94">
        <f t="shared" si="48"/>
        <v>2500</v>
      </c>
      <c r="AS404" s="69">
        <v>2231.6</v>
      </c>
      <c r="AT404" s="69">
        <v>268.39999999999998</v>
      </c>
      <c r="BC404" s="69"/>
      <c r="BD404" s="69"/>
      <c r="CD404" s="94">
        <f t="shared" si="49"/>
        <v>2500</v>
      </c>
      <c r="CE404" s="73">
        <f t="shared" si="50"/>
        <v>0</v>
      </c>
      <c r="CF404" s="75">
        <f t="shared" si="51"/>
        <v>5404</v>
      </c>
      <c r="CG404" s="69" t="str">
        <f t="shared" si="51"/>
        <v>برنامج دولى</v>
      </c>
    </row>
    <row r="405" spans="2:85" ht="18.75" x14ac:dyDescent="0.25">
      <c r="B405" s="82">
        <v>9456</v>
      </c>
      <c r="C405" s="70">
        <v>5405</v>
      </c>
      <c r="D405" s="71" t="s">
        <v>78</v>
      </c>
      <c r="E405" s="69" t="s">
        <v>2798</v>
      </c>
      <c r="G405" s="69">
        <v>750</v>
      </c>
      <c r="T405" s="69"/>
      <c r="U405" s="69"/>
      <c r="AR405" s="94">
        <f t="shared" si="48"/>
        <v>750</v>
      </c>
      <c r="AS405" s="69">
        <v>670.1</v>
      </c>
      <c r="AT405" s="69">
        <v>79.900000000000006</v>
      </c>
      <c r="BC405" s="69"/>
      <c r="BD405" s="69"/>
      <c r="CD405" s="94">
        <f t="shared" si="49"/>
        <v>750</v>
      </c>
      <c r="CE405" s="73">
        <f t="shared" si="50"/>
        <v>0</v>
      </c>
      <c r="CF405" s="75">
        <f t="shared" si="51"/>
        <v>5405</v>
      </c>
      <c r="CG405" s="69" t="str">
        <f t="shared" si="51"/>
        <v>برنامج دولى</v>
      </c>
    </row>
    <row r="406" spans="2:85" ht="18.75" x14ac:dyDescent="0.25">
      <c r="B406" s="82">
        <v>9455</v>
      </c>
      <c r="C406" s="70">
        <v>5406</v>
      </c>
      <c r="D406" s="71" t="s">
        <v>78</v>
      </c>
      <c r="E406" s="69" t="s">
        <v>823</v>
      </c>
      <c r="G406" s="69">
        <v>351.75</v>
      </c>
      <c r="T406" s="69"/>
      <c r="U406" s="69"/>
      <c r="AR406" s="94">
        <f t="shared" si="48"/>
        <v>351.75</v>
      </c>
      <c r="AS406" s="69">
        <v>235.55</v>
      </c>
      <c r="AT406" s="69">
        <v>31.45</v>
      </c>
      <c r="AU406" s="69">
        <v>84.75</v>
      </c>
      <c r="BC406" s="69"/>
      <c r="BD406" s="69"/>
      <c r="CD406" s="94">
        <f t="shared" si="49"/>
        <v>351.75</v>
      </c>
      <c r="CE406" s="73">
        <f t="shared" si="50"/>
        <v>0</v>
      </c>
      <c r="CF406" s="75">
        <f t="shared" si="51"/>
        <v>5406</v>
      </c>
      <c r="CG406" s="69" t="str">
        <f t="shared" si="51"/>
        <v>برنامج دولى</v>
      </c>
    </row>
    <row r="407" spans="2:85" ht="18.75" x14ac:dyDescent="0.25">
      <c r="B407" s="82">
        <v>9454</v>
      </c>
      <c r="C407" s="70">
        <v>5407</v>
      </c>
      <c r="D407" s="71" t="s">
        <v>78</v>
      </c>
      <c r="E407" s="69" t="s">
        <v>1909</v>
      </c>
      <c r="G407" s="69">
        <v>1080.5899999999999</v>
      </c>
      <c r="T407" s="69"/>
      <c r="U407" s="69"/>
      <c r="AR407" s="94">
        <f t="shared" si="48"/>
        <v>1080.5899999999999</v>
      </c>
      <c r="AS407" s="69">
        <v>842.31</v>
      </c>
      <c r="AT407" s="69">
        <v>106.3</v>
      </c>
      <c r="AU407" s="69">
        <v>131.97999999999999</v>
      </c>
      <c r="BC407" s="69"/>
      <c r="BD407" s="69"/>
      <c r="CD407" s="94">
        <f t="shared" si="49"/>
        <v>1080.5899999999999</v>
      </c>
      <c r="CE407" s="73">
        <f t="shared" si="50"/>
        <v>0</v>
      </c>
      <c r="CF407" s="75">
        <f t="shared" si="51"/>
        <v>5407</v>
      </c>
      <c r="CG407" s="69" t="str">
        <f t="shared" si="51"/>
        <v>برنامج دولى</v>
      </c>
    </row>
    <row r="408" spans="2:85" ht="18.75" x14ac:dyDescent="0.25">
      <c r="B408" s="82">
        <v>9453</v>
      </c>
      <c r="C408" s="70">
        <v>5408</v>
      </c>
      <c r="D408" s="71" t="s">
        <v>78</v>
      </c>
      <c r="E408" s="69" t="s">
        <v>1909</v>
      </c>
      <c r="G408" s="69">
        <v>1172.5</v>
      </c>
      <c r="T408" s="69"/>
      <c r="U408" s="69"/>
      <c r="AR408" s="94">
        <f t="shared" si="48"/>
        <v>1172.5</v>
      </c>
      <c r="AS408" s="69">
        <v>784.1</v>
      </c>
      <c r="AT408" s="69">
        <v>105.9</v>
      </c>
      <c r="AU408" s="69">
        <v>282.5</v>
      </c>
      <c r="BC408" s="69"/>
      <c r="BD408" s="69"/>
      <c r="CD408" s="94">
        <f t="shared" si="49"/>
        <v>1172.5</v>
      </c>
      <c r="CE408" s="73">
        <f t="shared" si="50"/>
        <v>0</v>
      </c>
      <c r="CF408" s="75">
        <f t="shared" si="51"/>
        <v>5408</v>
      </c>
      <c r="CG408" s="69" t="str">
        <f t="shared" si="51"/>
        <v>برنامج دولى</v>
      </c>
    </row>
    <row r="409" spans="2:85" ht="18.75" x14ac:dyDescent="0.25">
      <c r="B409" s="82">
        <v>9452</v>
      </c>
      <c r="C409" s="70">
        <v>5409</v>
      </c>
      <c r="D409" s="71" t="s">
        <v>78</v>
      </c>
      <c r="E409" s="69" t="s">
        <v>2799</v>
      </c>
      <c r="G409" s="69">
        <v>586.25</v>
      </c>
      <c r="T409" s="69"/>
      <c r="U409" s="69"/>
      <c r="AR409" s="94">
        <f t="shared" si="48"/>
        <v>586.25</v>
      </c>
      <c r="AS409" s="69">
        <v>392.4</v>
      </c>
      <c r="AT409" s="69">
        <v>52.6</v>
      </c>
      <c r="AU409" s="69">
        <v>141.25</v>
      </c>
      <c r="BC409" s="69"/>
      <c r="BD409" s="69"/>
      <c r="CD409" s="94">
        <f t="shared" si="49"/>
        <v>586.25</v>
      </c>
      <c r="CE409" s="73">
        <f t="shared" si="50"/>
        <v>0</v>
      </c>
      <c r="CF409" s="75">
        <f t="shared" si="51"/>
        <v>5409</v>
      </c>
      <c r="CG409" s="69" t="str">
        <f t="shared" si="51"/>
        <v>برنامج دولى</v>
      </c>
    </row>
    <row r="410" spans="2:85" ht="18.75" x14ac:dyDescent="0.25">
      <c r="B410" s="82">
        <v>9451</v>
      </c>
      <c r="C410" s="70">
        <v>5410</v>
      </c>
      <c r="D410" s="71" t="s">
        <v>78</v>
      </c>
      <c r="E410" s="69" t="s">
        <v>2799</v>
      </c>
      <c r="G410" s="69">
        <v>1758.75</v>
      </c>
      <c r="T410" s="69"/>
      <c r="U410" s="69"/>
      <c r="AR410" s="94">
        <f t="shared" si="48"/>
        <v>1758.75</v>
      </c>
      <c r="AS410" s="69">
        <v>1177.2</v>
      </c>
      <c r="AT410" s="69">
        <v>157.80000000000001</v>
      </c>
      <c r="AU410" s="69">
        <v>423.75</v>
      </c>
      <c r="BC410" s="69"/>
      <c r="BD410" s="69"/>
      <c r="CD410" s="94">
        <f t="shared" si="49"/>
        <v>1758.75</v>
      </c>
      <c r="CE410" s="73">
        <f t="shared" si="50"/>
        <v>0</v>
      </c>
      <c r="CF410" s="75">
        <f t="shared" si="51"/>
        <v>5410</v>
      </c>
      <c r="CG410" s="69" t="str">
        <f t="shared" si="51"/>
        <v>برنامج دولى</v>
      </c>
    </row>
    <row r="411" spans="2:85" ht="18.75" x14ac:dyDescent="0.25">
      <c r="B411" s="82">
        <v>9450</v>
      </c>
      <c r="C411" s="70">
        <v>5411</v>
      </c>
      <c r="D411" s="71" t="s">
        <v>78</v>
      </c>
      <c r="E411" s="69" t="s">
        <v>2799</v>
      </c>
      <c r="G411" s="69">
        <v>2000</v>
      </c>
      <c r="T411" s="69"/>
      <c r="U411" s="69"/>
      <c r="AR411" s="94">
        <f t="shared" si="48"/>
        <v>2000</v>
      </c>
      <c r="AS411" s="69">
        <v>1785.35</v>
      </c>
      <c r="AT411" s="69">
        <v>214.65</v>
      </c>
      <c r="BC411" s="69"/>
      <c r="BD411" s="69"/>
      <c r="CD411" s="94">
        <f t="shared" si="49"/>
        <v>2000</v>
      </c>
      <c r="CE411" s="73">
        <f t="shared" si="50"/>
        <v>0</v>
      </c>
      <c r="CF411" s="75">
        <f t="shared" si="51"/>
        <v>5411</v>
      </c>
      <c r="CG411" s="69" t="str">
        <f t="shared" si="51"/>
        <v>برنامج دولى</v>
      </c>
    </row>
    <row r="412" spans="2:85" ht="18.75" x14ac:dyDescent="0.25">
      <c r="B412" s="82">
        <v>9449</v>
      </c>
      <c r="C412" s="70">
        <v>5412</v>
      </c>
      <c r="D412" s="71" t="s">
        <v>78</v>
      </c>
      <c r="E412" s="69" t="s">
        <v>2800</v>
      </c>
      <c r="G412" s="69">
        <v>1586.25</v>
      </c>
      <c r="T412" s="69"/>
      <c r="U412" s="69"/>
      <c r="AR412" s="94">
        <f t="shared" si="48"/>
        <v>1586.25</v>
      </c>
      <c r="AS412" s="69">
        <v>1285.75</v>
      </c>
      <c r="AT412" s="69">
        <v>159.25</v>
      </c>
      <c r="AU412" s="69">
        <v>141.25</v>
      </c>
      <c r="BC412" s="69"/>
      <c r="BD412" s="69"/>
      <c r="CD412" s="94">
        <f t="shared" si="49"/>
        <v>1586.25</v>
      </c>
      <c r="CE412" s="73">
        <f t="shared" si="50"/>
        <v>0</v>
      </c>
      <c r="CF412" s="75">
        <f t="shared" si="51"/>
        <v>5412</v>
      </c>
      <c r="CG412" s="69" t="str">
        <f t="shared" si="51"/>
        <v>برنامج دولى</v>
      </c>
    </row>
    <row r="413" spans="2:85" ht="18.75" x14ac:dyDescent="0.25">
      <c r="B413" s="82">
        <v>9448</v>
      </c>
      <c r="C413" s="70">
        <v>5413</v>
      </c>
      <c r="D413" s="71" t="s">
        <v>78</v>
      </c>
      <c r="E413" s="69" t="s">
        <v>2800</v>
      </c>
      <c r="G413" s="69">
        <v>1172.5</v>
      </c>
      <c r="T413" s="69"/>
      <c r="U413" s="69"/>
      <c r="AR413" s="94">
        <f t="shared" si="48"/>
        <v>1172.5</v>
      </c>
      <c r="AS413" s="69">
        <v>784.1</v>
      </c>
      <c r="AT413" s="69">
        <v>105.9</v>
      </c>
      <c r="AU413" s="69">
        <v>282.5</v>
      </c>
      <c r="BC413" s="69"/>
      <c r="BD413" s="69"/>
      <c r="CD413" s="94">
        <f t="shared" si="49"/>
        <v>1172.5</v>
      </c>
      <c r="CE413" s="73">
        <f t="shared" si="50"/>
        <v>0</v>
      </c>
      <c r="CF413" s="75">
        <f t="shared" si="51"/>
        <v>5413</v>
      </c>
      <c r="CG413" s="69" t="str">
        <f t="shared" si="51"/>
        <v>برنامج دولى</v>
      </c>
    </row>
    <row r="414" spans="2:85" ht="18.75" x14ac:dyDescent="0.25">
      <c r="B414" s="82">
        <v>9447</v>
      </c>
      <c r="C414" s="70">
        <v>5414</v>
      </c>
      <c r="D414" s="71" t="s">
        <v>78</v>
      </c>
      <c r="E414" s="69" t="s">
        <v>2800</v>
      </c>
      <c r="G414" s="69">
        <v>2372.5</v>
      </c>
      <c r="T414" s="69"/>
      <c r="U414" s="69"/>
      <c r="AR414" s="94">
        <f t="shared" si="48"/>
        <v>2372.5</v>
      </c>
      <c r="AS414" s="69">
        <v>1855.45</v>
      </c>
      <c r="AT414" s="69">
        <v>234.55</v>
      </c>
      <c r="AU414" s="69">
        <v>282.5</v>
      </c>
      <c r="BC414" s="69"/>
      <c r="BD414" s="69"/>
      <c r="CD414" s="94">
        <f t="shared" si="49"/>
        <v>2372.5</v>
      </c>
      <c r="CE414" s="73">
        <f t="shared" si="50"/>
        <v>0</v>
      </c>
      <c r="CF414" s="75">
        <f t="shared" si="51"/>
        <v>5414</v>
      </c>
      <c r="CG414" s="69" t="str">
        <f t="shared" si="51"/>
        <v>برنامج دولى</v>
      </c>
    </row>
    <row r="415" spans="2:85" ht="18.75" x14ac:dyDescent="0.25">
      <c r="B415" s="82">
        <v>9446</v>
      </c>
      <c r="C415" s="70">
        <v>5415</v>
      </c>
      <c r="D415" s="71" t="s">
        <v>78</v>
      </c>
      <c r="E415" s="69" t="s">
        <v>2781</v>
      </c>
      <c r="G415" s="69">
        <v>1524.25</v>
      </c>
      <c r="T415" s="69"/>
      <c r="U415" s="69"/>
      <c r="AR415" s="94">
        <f t="shared" si="48"/>
        <v>1524.25</v>
      </c>
      <c r="AS415" s="69">
        <v>1018.7</v>
      </c>
      <c r="AT415" s="69">
        <v>138.30000000000001</v>
      </c>
      <c r="AU415" s="69">
        <v>367.25</v>
      </c>
      <c r="BC415" s="69"/>
      <c r="BD415" s="69"/>
      <c r="CD415" s="94">
        <f t="shared" si="49"/>
        <v>1524.25</v>
      </c>
      <c r="CE415" s="73">
        <f t="shared" si="50"/>
        <v>0</v>
      </c>
      <c r="CF415" s="75">
        <f t="shared" si="51"/>
        <v>5415</v>
      </c>
      <c r="CG415" s="69" t="str">
        <f t="shared" si="51"/>
        <v>برنامج دولى</v>
      </c>
    </row>
    <row r="416" spans="2:85" ht="18.75" x14ac:dyDescent="0.25">
      <c r="B416" s="82">
        <v>9445</v>
      </c>
      <c r="C416" s="70">
        <v>5416</v>
      </c>
      <c r="D416" s="71" t="s">
        <v>78</v>
      </c>
      <c r="E416" s="69" t="s">
        <v>2781</v>
      </c>
      <c r="G416" s="69">
        <v>4071.88</v>
      </c>
      <c r="T416" s="69"/>
      <c r="U416" s="69"/>
      <c r="AR416" s="94">
        <f t="shared" si="48"/>
        <v>4071.88</v>
      </c>
      <c r="AS416" s="69">
        <v>2839.16</v>
      </c>
      <c r="AT416" s="69">
        <v>378.05</v>
      </c>
      <c r="AU416" s="69">
        <v>854.67</v>
      </c>
      <c r="BC416" s="69"/>
      <c r="BD416" s="69"/>
      <c r="CD416" s="94">
        <f t="shared" si="49"/>
        <v>4071.88</v>
      </c>
      <c r="CE416" s="73">
        <f t="shared" si="50"/>
        <v>0</v>
      </c>
      <c r="CF416" s="75">
        <f t="shared" si="51"/>
        <v>5416</v>
      </c>
      <c r="CG416" s="69" t="str">
        <f t="shared" si="51"/>
        <v>برنامج دولى</v>
      </c>
    </row>
    <row r="417" spans="2:85" ht="18.75" x14ac:dyDescent="0.25">
      <c r="B417" s="82">
        <v>9444</v>
      </c>
      <c r="C417" s="70">
        <v>5417</v>
      </c>
      <c r="D417" s="71" t="s">
        <v>78</v>
      </c>
      <c r="E417" s="69" t="s">
        <v>2781</v>
      </c>
      <c r="G417" s="69">
        <v>1524.25</v>
      </c>
      <c r="T417" s="69"/>
      <c r="U417" s="69"/>
      <c r="AR417" s="94">
        <f t="shared" si="48"/>
        <v>1524.25</v>
      </c>
      <c r="AS417" s="69">
        <v>1018.7</v>
      </c>
      <c r="AT417" s="69">
        <v>138.30000000000001</v>
      </c>
      <c r="AU417" s="69">
        <v>367.25</v>
      </c>
      <c r="BC417" s="69"/>
      <c r="BD417" s="69"/>
      <c r="CD417" s="94">
        <f t="shared" si="49"/>
        <v>1524.25</v>
      </c>
      <c r="CE417" s="73">
        <f t="shared" si="50"/>
        <v>0</v>
      </c>
      <c r="CF417" s="75">
        <f t="shared" si="51"/>
        <v>5417</v>
      </c>
      <c r="CG417" s="69" t="str">
        <f t="shared" si="51"/>
        <v>برنامج دولى</v>
      </c>
    </row>
    <row r="418" spans="2:85" ht="18.75" x14ac:dyDescent="0.25">
      <c r="B418" s="82">
        <v>9443</v>
      </c>
      <c r="C418" s="70">
        <v>5418</v>
      </c>
      <c r="D418" s="71" t="s">
        <v>78</v>
      </c>
      <c r="E418" s="69" t="s">
        <v>2781</v>
      </c>
      <c r="G418" s="69">
        <v>8383.3799999999992</v>
      </c>
      <c r="T418" s="69"/>
      <c r="U418" s="69"/>
      <c r="AR418" s="94">
        <f t="shared" si="48"/>
        <v>8383.3799999999992</v>
      </c>
      <c r="AS418" s="69">
        <v>5602.95</v>
      </c>
      <c r="AT418" s="69">
        <v>760.55</v>
      </c>
      <c r="AU418" s="69">
        <v>2019.88</v>
      </c>
      <c r="BC418" s="69"/>
      <c r="BD418" s="69"/>
      <c r="CD418" s="94">
        <f t="shared" si="49"/>
        <v>8383.380000000001</v>
      </c>
      <c r="CE418" s="73">
        <f t="shared" si="50"/>
        <v>0</v>
      </c>
      <c r="CF418" s="75">
        <f t="shared" si="51"/>
        <v>5418</v>
      </c>
      <c r="CG418" s="69" t="str">
        <f t="shared" si="51"/>
        <v>برنامج دولى</v>
      </c>
    </row>
    <row r="419" spans="2:85" x14ac:dyDescent="0.25">
      <c r="B419" s="82">
        <v>9721</v>
      </c>
      <c r="C419" s="70">
        <v>5419</v>
      </c>
      <c r="D419" s="69" t="s">
        <v>128</v>
      </c>
      <c r="E419" s="69" t="s">
        <v>2801</v>
      </c>
      <c r="G419" s="69">
        <v>26756.03</v>
      </c>
      <c r="T419" s="69"/>
      <c r="U419" s="69"/>
      <c r="AR419" s="94">
        <f t="shared" si="48"/>
        <v>26756.03</v>
      </c>
      <c r="AS419" s="69">
        <v>18034.09</v>
      </c>
      <c r="AT419" s="69">
        <v>2439.6999999999998</v>
      </c>
      <c r="AU419" s="69">
        <v>6282.24</v>
      </c>
      <c r="BC419" s="69"/>
      <c r="BD419" s="69"/>
      <c r="CD419" s="94">
        <f t="shared" si="49"/>
        <v>26756.03</v>
      </c>
      <c r="CE419" s="73">
        <f t="shared" si="50"/>
        <v>0</v>
      </c>
      <c r="CF419" s="75">
        <f t="shared" si="51"/>
        <v>5419</v>
      </c>
      <c r="CG419" s="69" t="str">
        <f t="shared" si="51"/>
        <v>مركز مؤتمرات</v>
      </c>
    </row>
    <row r="420" spans="2:85" x14ac:dyDescent="0.25">
      <c r="B420" s="82">
        <v>9718</v>
      </c>
      <c r="C420" s="70">
        <v>5420</v>
      </c>
      <c r="D420" s="69" t="s">
        <v>128</v>
      </c>
      <c r="E420" s="69" t="s">
        <v>2801</v>
      </c>
      <c r="G420" s="69">
        <v>2664.51</v>
      </c>
      <c r="T420" s="69"/>
      <c r="U420" s="69"/>
      <c r="AR420" s="94">
        <f t="shared" si="48"/>
        <v>2664.51</v>
      </c>
      <c r="AS420" s="69">
        <v>1780.49</v>
      </c>
      <c r="AT420" s="69">
        <v>242.05</v>
      </c>
      <c r="AU420" s="69">
        <v>641.97</v>
      </c>
      <c r="BC420" s="69"/>
      <c r="BD420" s="69"/>
      <c r="CD420" s="94">
        <f t="shared" si="49"/>
        <v>2664.51</v>
      </c>
      <c r="CE420" s="73">
        <f t="shared" si="50"/>
        <v>0</v>
      </c>
      <c r="CF420" s="75">
        <f t="shared" si="51"/>
        <v>5420</v>
      </c>
      <c r="CG420" s="69" t="str">
        <f t="shared" si="51"/>
        <v>مركز مؤتمرات</v>
      </c>
    </row>
    <row r="421" spans="2:85" x14ac:dyDescent="0.25">
      <c r="B421" s="82">
        <v>9720</v>
      </c>
      <c r="C421" s="70">
        <v>5421</v>
      </c>
      <c r="D421" s="69" t="s">
        <v>128</v>
      </c>
      <c r="E421" s="69" t="s">
        <v>2801</v>
      </c>
      <c r="G421" s="69">
        <v>3834.08</v>
      </c>
      <c r="T421" s="69"/>
      <c r="U421" s="69"/>
      <c r="AR421" s="94">
        <f t="shared" si="48"/>
        <v>3834.08</v>
      </c>
      <c r="AS421" s="69">
        <v>2562.1999999999998</v>
      </c>
      <c r="AT421" s="69">
        <v>348.1</v>
      </c>
      <c r="AU421" s="69">
        <v>923.78</v>
      </c>
      <c r="BC421" s="69"/>
      <c r="BD421" s="69"/>
      <c r="CD421" s="94">
        <f t="shared" si="49"/>
        <v>3834.08</v>
      </c>
      <c r="CE421" s="73">
        <f t="shared" si="50"/>
        <v>0</v>
      </c>
      <c r="CF421" s="75">
        <f t="shared" si="51"/>
        <v>5421</v>
      </c>
      <c r="CG421" s="69" t="str">
        <f t="shared" si="51"/>
        <v>مركز مؤتمرات</v>
      </c>
    </row>
    <row r="422" spans="2:85" x14ac:dyDescent="0.25">
      <c r="B422" s="82">
        <v>9719</v>
      </c>
      <c r="C422" s="70">
        <v>5422</v>
      </c>
      <c r="D422" s="69" t="s">
        <v>128</v>
      </c>
      <c r="E422" s="69" t="s">
        <v>2801</v>
      </c>
      <c r="G422" s="69">
        <v>4018.74</v>
      </c>
      <c r="T422" s="69"/>
      <c r="U422" s="69"/>
      <c r="AR422" s="94">
        <f t="shared" si="48"/>
        <v>4018.74</v>
      </c>
      <c r="AS422" s="69">
        <v>2685.56</v>
      </c>
      <c r="AT422" s="69">
        <v>364.9</v>
      </c>
      <c r="AU422" s="69">
        <v>968.28</v>
      </c>
      <c r="BC422" s="69"/>
      <c r="BD422" s="69"/>
      <c r="CD422" s="94">
        <f t="shared" si="49"/>
        <v>4018.74</v>
      </c>
      <c r="CE422" s="73">
        <f t="shared" si="50"/>
        <v>0</v>
      </c>
      <c r="CF422" s="75">
        <f t="shared" si="51"/>
        <v>5422</v>
      </c>
      <c r="CG422" s="69" t="str">
        <f t="shared" si="51"/>
        <v>مركز مؤتمرات</v>
      </c>
    </row>
    <row r="423" spans="2:85" x14ac:dyDescent="0.25">
      <c r="B423" s="82">
        <v>9722</v>
      </c>
      <c r="C423" s="70">
        <v>5423</v>
      </c>
      <c r="D423" s="69" t="s">
        <v>128</v>
      </c>
      <c r="E423" s="69" t="s">
        <v>2802</v>
      </c>
      <c r="G423" s="69">
        <v>773.85</v>
      </c>
      <c r="T423" s="69"/>
      <c r="U423" s="69"/>
      <c r="AR423" s="94">
        <f t="shared" si="48"/>
        <v>773.85</v>
      </c>
      <c r="AS423" s="69">
        <v>517.6</v>
      </c>
      <c r="AT423" s="69">
        <v>69.8</v>
      </c>
      <c r="AU423" s="69">
        <v>186.45</v>
      </c>
      <c r="BC423" s="69"/>
      <c r="BD423" s="69"/>
      <c r="CD423" s="94">
        <f t="shared" si="49"/>
        <v>773.84999999999991</v>
      </c>
      <c r="CE423" s="73">
        <f t="shared" si="50"/>
        <v>0</v>
      </c>
      <c r="CF423" s="75">
        <f t="shared" si="51"/>
        <v>5423</v>
      </c>
      <c r="CG423" s="69" t="str">
        <f t="shared" si="51"/>
        <v>مركز مؤتمرات</v>
      </c>
    </row>
    <row r="424" spans="2:85" x14ac:dyDescent="0.25">
      <c r="B424" s="82">
        <v>9715</v>
      </c>
      <c r="C424" s="70">
        <v>5424</v>
      </c>
      <c r="D424" s="69" t="s">
        <v>128</v>
      </c>
      <c r="E424" s="69" t="s">
        <v>2803</v>
      </c>
      <c r="G424" s="69">
        <v>4143.49</v>
      </c>
      <c r="T424" s="69"/>
      <c r="U424" s="69"/>
      <c r="AR424" s="94">
        <f t="shared" si="48"/>
        <v>4143.49</v>
      </c>
      <c r="AS424" s="69">
        <v>2768.88</v>
      </c>
      <c r="AT424" s="69">
        <v>376.28</v>
      </c>
      <c r="AU424" s="69">
        <v>998.33</v>
      </c>
      <c r="BC424" s="69"/>
      <c r="BD424" s="69"/>
      <c r="CD424" s="94">
        <f t="shared" si="49"/>
        <v>4143.49</v>
      </c>
      <c r="CE424" s="73">
        <f t="shared" si="50"/>
        <v>0</v>
      </c>
      <c r="CF424" s="75">
        <f t="shared" si="51"/>
        <v>5424</v>
      </c>
      <c r="CG424" s="69" t="str">
        <f t="shared" si="51"/>
        <v>مركز مؤتمرات</v>
      </c>
    </row>
    <row r="425" spans="2:85" x14ac:dyDescent="0.25">
      <c r="B425" s="82">
        <v>9714</v>
      </c>
      <c r="C425" s="70">
        <v>5425</v>
      </c>
      <c r="D425" s="69" t="s">
        <v>128</v>
      </c>
      <c r="E425" s="69" t="s">
        <v>2803</v>
      </c>
      <c r="G425" s="69">
        <v>4509.16</v>
      </c>
      <c r="T425" s="69"/>
      <c r="U425" s="69"/>
      <c r="AR425" s="94">
        <f t="shared" si="48"/>
        <v>4509.16</v>
      </c>
      <c r="AS425" s="69">
        <v>3013.19</v>
      </c>
      <c r="AT425" s="69">
        <v>409.53</v>
      </c>
      <c r="AU425" s="69">
        <v>1086.44</v>
      </c>
      <c r="BC425" s="69"/>
      <c r="BD425" s="69"/>
      <c r="CD425" s="94">
        <f t="shared" si="49"/>
        <v>4509.16</v>
      </c>
      <c r="CE425" s="73">
        <f t="shared" si="50"/>
        <v>0</v>
      </c>
      <c r="CF425" s="75">
        <f t="shared" si="51"/>
        <v>5425</v>
      </c>
      <c r="CG425" s="69" t="str">
        <f t="shared" si="51"/>
        <v>مركز مؤتمرات</v>
      </c>
    </row>
    <row r="426" spans="2:85" x14ac:dyDescent="0.25">
      <c r="B426" s="82">
        <v>9717</v>
      </c>
      <c r="C426" s="70">
        <v>5426</v>
      </c>
      <c r="D426" s="69" t="s">
        <v>128</v>
      </c>
      <c r="E426" s="69" t="s">
        <v>2803</v>
      </c>
      <c r="G426" s="69">
        <v>18538.54</v>
      </c>
      <c r="T426" s="69"/>
      <c r="U426" s="69"/>
      <c r="AR426" s="94">
        <f t="shared" si="48"/>
        <v>18538.54</v>
      </c>
      <c r="AS426" s="69">
        <v>12294.43</v>
      </c>
      <c r="AT426" s="69">
        <v>1673.78</v>
      </c>
      <c r="AU426" s="69">
        <v>4570.33</v>
      </c>
      <c r="BC426" s="69"/>
      <c r="BD426" s="69"/>
      <c r="CD426" s="94">
        <f t="shared" si="49"/>
        <v>18538.54</v>
      </c>
      <c r="CE426" s="73">
        <f t="shared" si="50"/>
        <v>0</v>
      </c>
      <c r="CF426" s="75">
        <f t="shared" si="51"/>
        <v>5426</v>
      </c>
      <c r="CG426" s="69" t="str">
        <f t="shared" si="51"/>
        <v>مركز مؤتمرات</v>
      </c>
    </row>
    <row r="427" spans="2:85" x14ac:dyDescent="0.25">
      <c r="B427" s="82">
        <v>9716</v>
      </c>
      <c r="C427" s="70">
        <v>5427</v>
      </c>
      <c r="D427" s="69" t="s">
        <v>128</v>
      </c>
      <c r="E427" s="69" t="s">
        <v>2803</v>
      </c>
      <c r="G427" s="69">
        <v>3486.31</v>
      </c>
      <c r="T427" s="69"/>
      <c r="U427" s="69"/>
      <c r="AR427" s="94">
        <f t="shared" si="48"/>
        <v>3486.31</v>
      </c>
      <c r="AS427" s="69">
        <v>2329.84</v>
      </c>
      <c r="AT427" s="69">
        <v>316.49</v>
      </c>
      <c r="AU427" s="69">
        <v>839.98</v>
      </c>
      <c r="BC427" s="69"/>
      <c r="BD427" s="69"/>
      <c r="CD427" s="94">
        <f t="shared" si="49"/>
        <v>3486.31</v>
      </c>
      <c r="CE427" s="73">
        <f t="shared" si="50"/>
        <v>0</v>
      </c>
      <c r="CF427" s="75">
        <f t="shared" si="51"/>
        <v>5427</v>
      </c>
      <c r="CG427" s="69" t="str">
        <f t="shared" si="51"/>
        <v>مركز مؤتمرات</v>
      </c>
    </row>
    <row r="428" spans="2:85" x14ac:dyDescent="0.25">
      <c r="B428" s="82">
        <v>9724</v>
      </c>
      <c r="C428" s="70">
        <v>5428</v>
      </c>
      <c r="D428" s="69" t="s">
        <v>128</v>
      </c>
      <c r="E428" s="69" t="s">
        <v>2804</v>
      </c>
      <c r="G428" s="69">
        <v>4000</v>
      </c>
      <c r="T428" s="69"/>
      <c r="U428" s="69"/>
      <c r="AR428" s="94">
        <f t="shared" si="48"/>
        <v>4000</v>
      </c>
      <c r="AS428" s="69">
        <v>3570.35</v>
      </c>
      <c r="AT428" s="69">
        <v>429.65</v>
      </c>
      <c r="BC428" s="69"/>
      <c r="BD428" s="69"/>
      <c r="CD428" s="94">
        <f t="shared" si="49"/>
        <v>4000</v>
      </c>
      <c r="CE428" s="73">
        <f t="shared" si="50"/>
        <v>0</v>
      </c>
      <c r="CF428" s="75">
        <f t="shared" si="51"/>
        <v>5428</v>
      </c>
      <c r="CG428" s="69" t="str">
        <f t="shared" si="51"/>
        <v>مركز مؤتمرات</v>
      </c>
    </row>
    <row r="429" spans="2:85" x14ac:dyDescent="0.25">
      <c r="B429" s="82">
        <v>9723</v>
      </c>
      <c r="C429" s="70">
        <v>5429</v>
      </c>
      <c r="D429" s="69" t="s">
        <v>128</v>
      </c>
      <c r="E429" s="69" t="s">
        <v>2805</v>
      </c>
      <c r="G429" s="69">
        <v>4000</v>
      </c>
      <c r="T429" s="69"/>
      <c r="U429" s="69"/>
      <c r="AR429" s="94">
        <f t="shared" si="48"/>
        <v>4000</v>
      </c>
      <c r="AS429" s="69">
        <v>3570.35</v>
      </c>
      <c r="AT429" s="69">
        <v>429.65</v>
      </c>
      <c r="BC429" s="69"/>
      <c r="BD429" s="69"/>
      <c r="CD429" s="94">
        <f t="shared" si="49"/>
        <v>4000</v>
      </c>
      <c r="CE429" s="73">
        <f t="shared" si="50"/>
        <v>0</v>
      </c>
      <c r="CF429" s="75">
        <f t="shared" si="51"/>
        <v>5429</v>
      </c>
      <c r="CG429" s="69" t="str">
        <f t="shared" si="51"/>
        <v>مركز مؤتمرات</v>
      </c>
    </row>
    <row r="430" spans="2:85" x14ac:dyDescent="0.25">
      <c r="B430" s="82">
        <v>9498</v>
      </c>
      <c r="C430" s="70">
        <v>5430</v>
      </c>
      <c r="D430" s="69" t="s">
        <v>78</v>
      </c>
      <c r="E430" s="69" t="s">
        <v>2673</v>
      </c>
      <c r="G430" s="69">
        <v>658.15</v>
      </c>
      <c r="T430" s="69"/>
      <c r="U430" s="69"/>
      <c r="AR430" s="94">
        <v>658.15</v>
      </c>
      <c r="AS430" s="69">
        <v>499.32</v>
      </c>
      <c r="AT430" s="69">
        <v>63.6</v>
      </c>
      <c r="AU430" s="69">
        <v>95.23</v>
      </c>
      <c r="BC430" s="69"/>
      <c r="BD430" s="69"/>
      <c r="CD430" s="94">
        <f t="shared" si="49"/>
        <v>658.15</v>
      </c>
      <c r="CE430" s="73">
        <f t="shared" si="50"/>
        <v>0</v>
      </c>
      <c r="CF430" s="75">
        <f t="shared" si="51"/>
        <v>5430</v>
      </c>
      <c r="CG430" s="69" t="str">
        <f t="shared" si="51"/>
        <v>برنامج دولى</v>
      </c>
    </row>
    <row r="431" spans="2:85" x14ac:dyDescent="0.25">
      <c r="B431" s="82">
        <v>9200</v>
      </c>
      <c r="C431" s="70">
        <v>5431</v>
      </c>
      <c r="D431" s="69" t="s">
        <v>78</v>
      </c>
      <c r="E431" s="69" t="s">
        <v>2585</v>
      </c>
      <c r="G431" s="69">
        <v>2532.6</v>
      </c>
      <c r="T431" s="69"/>
      <c r="U431" s="69"/>
      <c r="AR431" s="94">
        <f t="shared" ref="AR431:AR442" si="52">SUM(G431:AQ431)</f>
        <v>2532.6</v>
      </c>
      <c r="AS431" s="69">
        <v>1693.45</v>
      </c>
      <c r="AT431" s="69">
        <v>228.95</v>
      </c>
      <c r="AU431" s="69">
        <v>610.20000000000005</v>
      </c>
      <c r="BC431" s="69"/>
      <c r="BD431" s="69"/>
      <c r="CD431" s="94">
        <f t="shared" si="49"/>
        <v>2532.6000000000004</v>
      </c>
      <c r="CE431" s="73">
        <f t="shared" si="50"/>
        <v>0</v>
      </c>
      <c r="CF431" s="75">
        <f t="shared" si="51"/>
        <v>5431</v>
      </c>
      <c r="CG431" s="69" t="str">
        <f t="shared" si="51"/>
        <v>برنامج دولى</v>
      </c>
    </row>
    <row r="432" spans="2:85" x14ac:dyDescent="0.25">
      <c r="B432" s="82">
        <v>9196</v>
      </c>
      <c r="C432" s="70">
        <v>5432</v>
      </c>
      <c r="D432" s="69" t="s">
        <v>78</v>
      </c>
      <c r="E432" s="69" t="s">
        <v>2585</v>
      </c>
      <c r="G432" s="69">
        <v>2532.6</v>
      </c>
      <c r="T432" s="69"/>
      <c r="U432" s="69"/>
      <c r="AR432" s="94">
        <f t="shared" si="52"/>
        <v>2532.6</v>
      </c>
      <c r="AS432" s="69">
        <v>1690.55</v>
      </c>
      <c r="AT432" s="69">
        <f>15.85+216</f>
        <v>231.85</v>
      </c>
      <c r="AU432" s="69">
        <v>610.20000000000005</v>
      </c>
      <c r="BC432" s="69"/>
      <c r="BD432" s="69"/>
      <c r="CD432" s="94">
        <f t="shared" si="49"/>
        <v>2532.6</v>
      </c>
      <c r="CE432" s="73">
        <f t="shared" si="50"/>
        <v>0</v>
      </c>
      <c r="CF432" s="75">
        <f t="shared" si="51"/>
        <v>5432</v>
      </c>
      <c r="CG432" s="69" t="str">
        <f t="shared" si="51"/>
        <v>برنامج دولى</v>
      </c>
    </row>
    <row r="433" spans="1:94" x14ac:dyDescent="0.25">
      <c r="B433" s="82">
        <v>9197</v>
      </c>
      <c r="C433" s="70">
        <v>5433</v>
      </c>
      <c r="D433" s="69" t="s">
        <v>78</v>
      </c>
      <c r="E433" s="69" t="s">
        <v>2585</v>
      </c>
      <c r="G433" s="69">
        <v>7361.55</v>
      </c>
      <c r="T433" s="69"/>
      <c r="U433" s="69"/>
      <c r="AR433" s="94">
        <f t="shared" si="52"/>
        <v>7361.55</v>
      </c>
      <c r="AS433" s="69">
        <v>6052.35</v>
      </c>
      <c r="AT433" s="69">
        <v>749.85</v>
      </c>
      <c r="AU433" s="69">
        <v>559.35</v>
      </c>
      <c r="BC433" s="69"/>
      <c r="BD433" s="69"/>
      <c r="CD433" s="94">
        <f t="shared" si="49"/>
        <v>7361.5500000000011</v>
      </c>
      <c r="CE433" s="73">
        <f t="shared" si="50"/>
        <v>0</v>
      </c>
      <c r="CF433" s="75">
        <f t="shared" si="51"/>
        <v>5433</v>
      </c>
      <c r="CG433" s="69" t="str">
        <f t="shared" si="51"/>
        <v>برنامج دولى</v>
      </c>
    </row>
    <row r="434" spans="1:94" x14ac:dyDescent="0.25">
      <c r="B434" s="82">
        <v>9199</v>
      </c>
      <c r="C434" s="70">
        <v>5434</v>
      </c>
      <c r="D434" s="69" t="s">
        <v>78</v>
      </c>
      <c r="E434" s="69" t="s">
        <v>2585</v>
      </c>
      <c r="G434" s="69">
        <v>2532.6</v>
      </c>
      <c r="T434" s="69"/>
      <c r="U434" s="69"/>
      <c r="AR434" s="94">
        <f t="shared" si="52"/>
        <v>2532.6</v>
      </c>
      <c r="AS434" s="69">
        <v>1692.7</v>
      </c>
      <c r="AT434" s="69">
        <v>229.7</v>
      </c>
      <c r="AU434" s="69">
        <v>610.20000000000005</v>
      </c>
      <c r="BC434" s="69"/>
      <c r="BD434" s="69"/>
      <c r="CD434" s="94">
        <f t="shared" si="49"/>
        <v>2532.6000000000004</v>
      </c>
      <c r="CE434" s="73">
        <f t="shared" si="50"/>
        <v>0</v>
      </c>
      <c r="CF434" s="75">
        <f t="shared" si="51"/>
        <v>5434</v>
      </c>
      <c r="CG434" s="69" t="str">
        <f t="shared" si="51"/>
        <v>برنامج دولى</v>
      </c>
    </row>
    <row r="435" spans="1:94" x14ac:dyDescent="0.25">
      <c r="B435" s="82">
        <v>9198</v>
      </c>
      <c r="C435" s="70">
        <v>5435</v>
      </c>
      <c r="D435" s="69" t="s">
        <v>78</v>
      </c>
      <c r="E435" s="69" t="s">
        <v>2585</v>
      </c>
      <c r="G435" s="69">
        <v>10695.42</v>
      </c>
      <c r="T435" s="69"/>
      <c r="U435" s="69"/>
      <c r="AR435" s="94">
        <f t="shared" si="52"/>
        <v>10695.42</v>
      </c>
      <c r="AS435" s="69">
        <v>8056.16</v>
      </c>
      <c r="AT435" s="69">
        <v>1041.8499999999999</v>
      </c>
      <c r="AU435" s="69">
        <v>1597.41</v>
      </c>
      <c r="BC435" s="69"/>
      <c r="BD435" s="69"/>
      <c r="CD435" s="94">
        <f t="shared" si="49"/>
        <v>10695.42</v>
      </c>
      <c r="CE435" s="73">
        <f t="shared" si="50"/>
        <v>0</v>
      </c>
      <c r="CF435" s="75">
        <f t="shared" si="51"/>
        <v>5435</v>
      </c>
      <c r="CG435" s="69" t="str">
        <f t="shared" si="51"/>
        <v>برنامج دولى</v>
      </c>
    </row>
    <row r="436" spans="1:94" x14ac:dyDescent="0.25">
      <c r="B436" s="82">
        <v>9183</v>
      </c>
      <c r="C436" s="70">
        <v>5436</v>
      </c>
      <c r="D436" s="69" t="s">
        <v>78</v>
      </c>
      <c r="E436" s="69" t="s">
        <v>2585</v>
      </c>
      <c r="G436" s="69">
        <v>7560</v>
      </c>
      <c r="T436" s="69"/>
      <c r="U436" s="69"/>
      <c r="AR436" s="94">
        <f t="shared" si="52"/>
        <v>7560</v>
      </c>
      <c r="AS436" s="69">
        <v>6743.9</v>
      </c>
      <c r="AT436" s="69">
        <v>816.1</v>
      </c>
      <c r="BC436" s="69"/>
      <c r="BD436" s="69"/>
      <c r="CD436" s="94">
        <f t="shared" si="49"/>
        <v>7560</v>
      </c>
      <c r="CE436" s="73">
        <f t="shared" si="50"/>
        <v>0</v>
      </c>
      <c r="CF436" s="75">
        <f t="shared" si="51"/>
        <v>5436</v>
      </c>
      <c r="CG436" s="69" t="str">
        <f t="shared" si="51"/>
        <v>برنامج دولى</v>
      </c>
    </row>
    <row r="437" spans="1:94" x14ac:dyDescent="0.25">
      <c r="B437" s="82">
        <v>9186</v>
      </c>
      <c r="C437" s="70">
        <v>5437</v>
      </c>
      <c r="D437" s="69" t="s">
        <v>78</v>
      </c>
      <c r="E437" s="69" t="s">
        <v>2585</v>
      </c>
      <c r="G437" s="69">
        <v>2346.3000000000002</v>
      </c>
      <c r="T437" s="69"/>
      <c r="U437" s="69"/>
      <c r="AR437" s="94">
        <f t="shared" si="52"/>
        <v>2346.3000000000002</v>
      </c>
      <c r="AS437" s="69">
        <v>1811.35</v>
      </c>
      <c r="AT437" s="69">
        <v>229.85</v>
      </c>
      <c r="AU437" s="69">
        <v>305.10000000000002</v>
      </c>
      <c r="BC437" s="69"/>
      <c r="BD437" s="69"/>
      <c r="CD437" s="94">
        <f t="shared" si="49"/>
        <v>2346.2999999999997</v>
      </c>
      <c r="CE437" s="73">
        <f t="shared" si="50"/>
        <v>0</v>
      </c>
      <c r="CF437" s="75">
        <f t="shared" si="51"/>
        <v>5437</v>
      </c>
      <c r="CG437" s="69" t="str">
        <f t="shared" si="51"/>
        <v>برنامج دولى</v>
      </c>
    </row>
    <row r="438" spans="1:94" x14ac:dyDescent="0.25">
      <c r="B438" s="82">
        <v>9185</v>
      </c>
      <c r="C438" s="70">
        <v>5438</v>
      </c>
      <c r="D438" s="69" t="s">
        <v>78</v>
      </c>
      <c r="E438" s="69" t="s">
        <v>2585</v>
      </c>
      <c r="G438" s="69">
        <v>2160</v>
      </c>
      <c r="T438" s="69"/>
      <c r="U438" s="69"/>
      <c r="AR438" s="94">
        <f t="shared" si="52"/>
        <v>2160</v>
      </c>
      <c r="AS438" s="69">
        <v>1928.5</v>
      </c>
      <c r="AT438" s="69">
        <v>231.5</v>
      </c>
      <c r="BC438" s="69"/>
      <c r="BD438" s="69"/>
      <c r="CD438" s="94">
        <f t="shared" si="49"/>
        <v>2160</v>
      </c>
      <c r="CE438" s="73">
        <f t="shared" si="50"/>
        <v>0</v>
      </c>
      <c r="CF438" s="75">
        <f t="shared" si="51"/>
        <v>5438</v>
      </c>
      <c r="CG438" s="69" t="str">
        <f t="shared" si="51"/>
        <v>برنامج دولى</v>
      </c>
    </row>
    <row r="439" spans="1:94" x14ac:dyDescent="0.25">
      <c r="B439" s="82">
        <v>9184</v>
      </c>
      <c r="C439" s="70">
        <v>5439</v>
      </c>
      <c r="D439" s="69" t="s">
        <v>78</v>
      </c>
      <c r="E439" s="69" t="s">
        <v>2585</v>
      </c>
      <c r="G439" s="69">
        <v>9720</v>
      </c>
      <c r="T439" s="69"/>
      <c r="U439" s="69"/>
      <c r="AR439" s="94">
        <f t="shared" si="52"/>
        <v>9720</v>
      </c>
      <c r="AS439" s="69">
        <v>8670.6</v>
      </c>
      <c r="AT439" s="69">
        <v>1049.4000000000001</v>
      </c>
      <c r="BC439" s="69"/>
      <c r="BD439" s="69"/>
      <c r="CD439" s="94">
        <f t="shared" si="49"/>
        <v>9720</v>
      </c>
      <c r="CE439" s="73">
        <f t="shared" si="50"/>
        <v>0</v>
      </c>
      <c r="CF439" s="75">
        <f t="shared" si="51"/>
        <v>5439</v>
      </c>
      <c r="CG439" s="69" t="str">
        <f t="shared" si="51"/>
        <v>برنامج دولى</v>
      </c>
    </row>
    <row r="440" spans="1:94" x14ac:dyDescent="0.25">
      <c r="B440" s="82">
        <v>9182</v>
      </c>
      <c r="C440" s="70">
        <v>5440</v>
      </c>
      <c r="D440" s="69" t="s">
        <v>78</v>
      </c>
      <c r="E440" s="69" t="s">
        <v>2585</v>
      </c>
      <c r="G440" s="69">
        <v>2110.5</v>
      </c>
      <c r="T440" s="69"/>
      <c r="U440" s="69"/>
      <c r="AR440" s="94">
        <f t="shared" si="52"/>
        <v>2110.5</v>
      </c>
      <c r="AS440" s="69">
        <v>1410.35</v>
      </c>
      <c r="AT440" s="69">
        <f>11.65+180</f>
        <v>191.65</v>
      </c>
      <c r="AU440" s="69">
        <f>700.15-180-11.65</f>
        <v>508.5</v>
      </c>
      <c r="BC440" s="69"/>
      <c r="BD440" s="69"/>
      <c r="CD440" s="94">
        <f t="shared" si="49"/>
        <v>2110.5</v>
      </c>
      <c r="CE440" s="73">
        <f t="shared" si="50"/>
        <v>0</v>
      </c>
      <c r="CF440" s="75">
        <f t="shared" si="51"/>
        <v>5440</v>
      </c>
      <c r="CG440" s="69" t="str">
        <f t="shared" si="51"/>
        <v>برنامج دولى</v>
      </c>
    </row>
    <row r="441" spans="1:94" s="68" customFormat="1" x14ac:dyDescent="0.25">
      <c r="B441" s="83"/>
      <c r="C441" s="84"/>
      <c r="E441" s="68" t="s">
        <v>2806</v>
      </c>
      <c r="G441" s="68">
        <f t="shared" ref="G441:AQ441" si="53">SUM(G396:G440)</f>
        <v>177029.13</v>
      </c>
      <c r="H441" s="68">
        <f t="shared" si="53"/>
        <v>0</v>
      </c>
      <c r="I441" s="68">
        <f t="shared" si="53"/>
        <v>0</v>
      </c>
      <c r="J441" s="68">
        <f t="shared" si="53"/>
        <v>0</v>
      </c>
      <c r="K441" s="68">
        <f t="shared" si="53"/>
        <v>0</v>
      </c>
      <c r="L441" s="68">
        <f t="shared" si="53"/>
        <v>0</v>
      </c>
      <c r="M441" s="68">
        <f t="shared" si="53"/>
        <v>0</v>
      </c>
      <c r="N441" s="68">
        <f t="shared" si="53"/>
        <v>0</v>
      </c>
      <c r="O441" s="68">
        <f t="shared" si="53"/>
        <v>0</v>
      </c>
      <c r="P441" s="68">
        <f t="shared" si="53"/>
        <v>0</v>
      </c>
      <c r="Q441" s="68">
        <f t="shared" si="53"/>
        <v>0</v>
      </c>
      <c r="R441" s="68">
        <f t="shared" si="53"/>
        <v>0</v>
      </c>
      <c r="S441" s="68">
        <f t="shared" si="53"/>
        <v>600</v>
      </c>
      <c r="T441" s="68">
        <f t="shared" si="53"/>
        <v>0</v>
      </c>
      <c r="U441" s="68">
        <f t="shared" si="53"/>
        <v>0</v>
      </c>
      <c r="V441" s="68">
        <f t="shared" si="53"/>
        <v>0</v>
      </c>
      <c r="W441" s="68">
        <f t="shared" si="53"/>
        <v>0</v>
      </c>
      <c r="X441" s="68">
        <f t="shared" si="53"/>
        <v>0</v>
      </c>
      <c r="Y441" s="68">
        <f t="shared" si="53"/>
        <v>0</v>
      </c>
      <c r="Z441" s="68">
        <f t="shared" si="53"/>
        <v>0</v>
      </c>
      <c r="AA441" s="68">
        <f t="shared" si="53"/>
        <v>0</v>
      </c>
      <c r="AB441" s="68">
        <f t="shared" si="53"/>
        <v>0</v>
      </c>
      <c r="AC441" s="68">
        <f t="shared" si="53"/>
        <v>0</v>
      </c>
      <c r="AD441" s="68">
        <f t="shared" si="53"/>
        <v>0</v>
      </c>
      <c r="AE441" s="68">
        <f t="shared" si="53"/>
        <v>0</v>
      </c>
      <c r="AF441" s="68">
        <f t="shared" si="53"/>
        <v>0</v>
      </c>
      <c r="AG441" s="68">
        <f t="shared" si="53"/>
        <v>0</v>
      </c>
      <c r="AH441" s="68">
        <f t="shared" si="53"/>
        <v>0</v>
      </c>
      <c r="AI441" s="68">
        <f t="shared" si="53"/>
        <v>0</v>
      </c>
      <c r="AJ441" s="68">
        <f t="shared" si="53"/>
        <v>0</v>
      </c>
      <c r="AK441" s="68">
        <f t="shared" si="53"/>
        <v>0</v>
      </c>
      <c r="AL441" s="68">
        <f t="shared" si="53"/>
        <v>0</v>
      </c>
      <c r="AM441" s="68">
        <f t="shared" si="53"/>
        <v>0</v>
      </c>
      <c r="AO441" s="68">
        <f t="shared" si="53"/>
        <v>0</v>
      </c>
      <c r="AP441" s="68">
        <f t="shared" si="53"/>
        <v>0</v>
      </c>
      <c r="AQ441" s="68">
        <f t="shared" si="53"/>
        <v>0</v>
      </c>
      <c r="AR441" s="106">
        <f t="shared" si="52"/>
        <v>177629.13</v>
      </c>
      <c r="AS441" s="68">
        <f t="shared" ref="AS441:CC441" si="54">SUM(AS396:AS440)</f>
        <v>133301.68</v>
      </c>
      <c r="AT441" s="68">
        <f t="shared" si="54"/>
        <v>17128.380000000008</v>
      </c>
      <c r="AU441" s="68">
        <f t="shared" si="54"/>
        <v>27199.07</v>
      </c>
      <c r="AV441" s="68">
        <f t="shared" si="54"/>
        <v>0</v>
      </c>
      <c r="AW441" s="68">
        <f t="shared" si="54"/>
        <v>0</v>
      </c>
      <c r="AX441" s="68">
        <f t="shared" si="54"/>
        <v>0</v>
      </c>
      <c r="AY441" s="68">
        <f t="shared" si="54"/>
        <v>0</v>
      </c>
      <c r="AZ441" s="68">
        <f t="shared" si="54"/>
        <v>0</v>
      </c>
      <c r="BA441" s="68">
        <f t="shared" si="54"/>
        <v>0</v>
      </c>
      <c r="BB441" s="68">
        <f t="shared" si="54"/>
        <v>0</v>
      </c>
      <c r="BC441" s="68">
        <f t="shared" si="54"/>
        <v>0</v>
      </c>
      <c r="BD441" s="68">
        <f t="shared" si="54"/>
        <v>0</v>
      </c>
      <c r="BE441" s="68">
        <f t="shared" si="54"/>
        <v>0</v>
      </c>
      <c r="BF441" s="68">
        <f t="shared" si="54"/>
        <v>0</v>
      </c>
      <c r="BG441" s="68">
        <f t="shared" si="54"/>
        <v>0</v>
      </c>
      <c r="BH441" s="68">
        <f t="shared" si="54"/>
        <v>0</v>
      </c>
      <c r="BI441" s="68">
        <f t="shared" si="54"/>
        <v>0</v>
      </c>
      <c r="BJ441" s="68">
        <f t="shared" si="54"/>
        <v>0</v>
      </c>
      <c r="BK441" s="68">
        <f t="shared" si="54"/>
        <v>0</v>
      </c>
      <c r="BL441" s="68">
        <f t="shared" si="54"/>
        <v>0</v>
      </c>
      <c r="BM441" s="68">
        <f t="shared" si="54"/>
        <v>0</v>
      </c>
      <c r="BN441" s="68">
        <f t="shared" si="54"/>
        <v>0</v>
      </c>
      <c r="BO441" s="68">
        <f t="shared" si="54"/>
        <v>0</v>
      </c>
      <c r="BP441" s="68">
        <f t="shared" si="54"/>
        <v>0</v>
      </c>
      <c r="BQ441" s="68">
        <f t="shared" si="54"/>
        <v>0</v>
      </c>
      <c r="BR441" s="68">
        <f t="shared" si="54"/>
        <v>0</v>
      </c>
      <c r="BS441" s="68">
        <f t="shared" si="54"/>
        <v>0</v>
      </c>
      <c r="BT441" s="68">
        <f t="shared" si="54"/>
        <v>0</v>
      </c>
      <c r="BU441" s="68">
        <f t="shared" si="54"/>
        <v>0</v>
      </c>
      <c r="BV441" s="68">
        <f t="shared" si="54"/>
        <v>0</v>
      </c>
      <c r="BW441" s="68">
        <f t="shared" si="54"/>
        <v>0</v>
      </c>
      <c r="BX441" s="68">
        <f t="shared" si="54"/>
        <v>0</v>
      </c>
      <c r="BY441" s="68">
        <f t="shared" si="54"/>
        <v>0</v>
      </c>
      <c r="CA441" s="68">
        <f t="shared" si="54"/>
        <v>0</v>
      </c>
      <c r="CB441" s="68">
        <f t="shared" si="54"/>
        <v>0</v>
      </c>
      <c r="CC441" s="68">
        <f t="shared" si="54"/>
        <v>0</v>
      </c>
      <c r="CD441" s="106">
        <f t="shared" si="49"/>
        <v>177629.13</v>
      </c>
      <c r="CE441" s="106">
        <f t="shared" si="50"/>
        <v>0</v>
      </c>
      <c r="CF441" s="67">
        <f t="shared" si="51"/>
        <v>0</v>
      </c>
      <c r="CG441" s="68">
        <f t="shared" si="51"/>
        <v>0</v>
      </c>
      <c r="CH441" s="68">
        <f t="shared" ref="CH441:CP441" si="55">SUM(CH396:CH440)</f>
        <v>0</v>
      </c>
      <c r="CI441" s="68">
        <f t="shared" si="55"/>
        <v>0</v>
      </c>
      <c r="CJ441" s="68">
        <f t="shared" si="55"/>
        <v>0</v>
      </c>
      <c r="CK441" s="68">
        <f t="shared" si="55"/>
        <v>0</v>
      </c>
      <c r="CL441" s="68">
        <f t="shared" si="55"/>
        <v>0</v>
      </c>
      <c r="CM441" s="68">
        <f t="shared" si="55"/>
        <v>0</v>
      </c>
      <c r="CN441" s="68">
        <f t="shared" si="55"/>
        <v>0</v>
      </c>
      <c r="CO441" s="68">
        <f t="shared" si="55"/>
        <v>0</v>
      </c>
      <c r="CP441" s="68">
        <f t="shared" si="55"/>
        <v>0</v>
      </c>
    </row>
    <row r="442" spans="1:94" x14ac:dyDescent="0.25">
      <c r="B442" s="82"/>
      <c r="C442" s="78">
        <v>5441</v>
      </c>
      <c r="D442" s="69" t="s">
        <v>132</v>
      </c>
      <c r="E442" s="69" t="s">
        <v>2807</v>
      </c>
      <c r="F442" s="69"/>
      <c r="T442" s="69">
        <v>669</v>
      </c>
      <c r="U442" s="69">
        <v>32</v>
      </c>
      <c r="V442" s="69">
        <v>106.6</v>
      </c>
      <c r="AD442" s="69">
        <v>9848.4</v>
      </c>
      <c r="AR442" s="94">
        <f t="shared" si="52"/>
        <v>10656</v>
      </c>
      <c r="AT442" s="69"/>
      <c r="BC442" s="69"/>
      <c r="BD442" s="69">
        <v>10656</v>
      </c>
      <c r="CD442" s="94">
        <f t="shared" si="49"/>
        <v>10656</v>
      </c>
      <c r="CE442" s="73">
        <f t="shared" si="50"/>
        <v>0</v>
      </c>
      <c r="CF442" s="75">
        <f t="shared" si="51"/>
        <v>5441</v>
      </c>
      <c r="CG442" s="69" t="str">
        <f t="shared" si="51"/>
        <v>صيدلة اكلينيكى</v>
      </c>
    </row>
    <row r="443" spans="1:94" s="68" customFormat="1" x14ac:dyDescent="0.25">
      <c r="B443" s="83"/>
      <c r="C443" s="84"/>
      <c r="E443" s="68" t="s">
        <v>2808</v>
      </c>
      <c r="T443" s="68">
        <f t="shared" ref="T443:AZ443" si="56">SUM(T442)</f>
        <v>669</v>
      </c>
      <c r="U443" s="68">
        <f t="shared" si="56"/>
        <v>32</v>
      </c>
      <c r="V443" s="68">
        <f t="shared" si="56"/>
        <v>106.6</v>
      </c>
      <c r="W443" s="68">
        <f t="shared" si="56"/>
        <v>0</v>
      </c>
      <c r="X443" s="68">
        <f t="shared" si="56"/>
        <v>0</v>
      </c>
      <c r="Y443" s="68">
        <f t="shared" si="56"/>
        <v>0</v>
      </c>
      <c r="Z443" s="68">
        <f t="shared" si="56"/>
        <v>0</v>
      </c>
      <c r="AA443" s="68">
        <f t="shared" si="56"/>
        <v>0</v>
      </c>
      <c r="AB443" s="68">
        <f t="shared" si="56"/>
        <v>0</v>
      </c>
      <c r="AC443" s="68">
        <f t="shared" si="56"/>
        <v>0</v>
      </c>
      <c r="AD443" s="68">
        <f t="shared" si="56"/>
        <v>9848.4</v>
      </c>
      <c r="AE443" s="68">
        <f t="shared" si="56"/>
        <v>0</v>
      </c>
      <c r="AF443" s="68">
        <f t="shared" si="56"/>
        <v>0</v>
      </c>
      <c r="AG443" s="68">
        <f t="shared" si="56"/>
        <v>0</v>
      </c>
      <c r="AH443" s="68">
        <f t="shared" si="56"/>
        <v>0</v>
      </c>
      <c r="AI443" s="68">
        <f t="shared" si="56"/>
        <v>0</v>
      </c>
      <c r="AJ443" s="68">
        <f t="shared" si="56"/>
        <v>0</v>
      </c>
      <c r="AK443" s="68">
        <f t="shared" si="56"/>
        <v>0</v>
      </c>
      <c r="AL443" s="68">
        <f t="shared" si="56"/>
        <v>0</v>
      </c>
      <c r="AM443" s="68">
        <f t="shared" si="56"/>
        <v>0</v>
      </c>
      <c r="AO443" s="68">
        <f t="shared" si="56"/>
        <v>0</v>
      </c>
      <c r="AP443" s="68">
        <f t="shared" si="56"/>
        <v>0</v>
      </c>
      <c r="AQ443" s="68">
        <f t="shared" si="56"/>
        <v>0</v>
      </c>
      <c r="AR443" s="68">
        <f t="shared" si="56"/>
        <v>10656</v>
      </c>
      <c r="AS443" s="68">
        <f t="shared" si="56"/>
        <v>0</v>
      </c>
      <c r="AT443" s="68">
        <f t="shared" si="56"/>
        <v>0</v>
      </c>
      <c r="AU443" s="68">
        <f t="shared" si="56"/>
        <v>0</v>
      </c>
      <c r="AV443" s="68">
        <f t="shared" si="56"/>
        <v>0</v>
      </c>
      <c r="AW443" s="68">
        <f t="shared" si="56"/>
        <v>0</v>
      </c>
      <c r="AX443" s="68">
        <f t="shared" si="56"/>
        <v>0</v>
      </c>
      <c r="AY443" s="68">
        <f t="shared" si="56"/>
        <v>0</v>
      </c>
      <c r="AZ443" s="68">
        <f t="shared" si="56"/>
        <v>0</v>
      </c>
      <c r="BA443" s="68">
        <f t="shared" ref="BA443:CE443" si="57">SUM(BA442)</f>
        <v>0</v>
      </c>
      <c r="BB443" s="68">
        <f t="shared" si="57"/>
        <v>0</v>
      </c>
      <c r="BC443" s="68">
        <f t="shared" si="57"/>
        <v>0</v>
      </c>
      <c r="BD443" s="68">
        <f t="shared" si="57"/>
        <v>10656</v>
      </c>
      <c r="BE443" s="68">
        <f t="shared" si="57"/>
        <v>0</v>
      </c>
      <c r="BF443" s="68">
        <f t="shared" si="57"/>
        <v>0</v>
      </c>
      <c r="BG443" s="68">
        <f t="shared" si="57"/>
        <v>0</v>
      </c>
      <c r="BH443" s="68">
        <f t="shared" si="57"/>
        <v>0</v>
      </c>
      <c r="BI443" s="68">
        <f t="shared" si="57"/>
        <v>0</v>
      </c>
      <c r="BJ443" s="68">
        <f t="shared" si="57"/>
        <v>0</v>
      </c>
      <c r="BK443" s="68">
        <f t="shared" si="57"/>
        <v>0</v>
      </c>
      <c r="BL443" s="68">
        <f t="shared" si="57"/>
        <v>0</v>
      </c>
      <c r="BM443" s="68">
        <f t="shared" si="57"/>
        <v>0</v>
      </c>
      <c r="BN443" s="68">
        <f t="shared" si="57"/>
        <v>0</v>
      </c>
      <c r="BO443" s="68">
        <f t="shared" si="57"/>
        <v>0</v>
      </c>
      <c r="BP443" s="68">
        <f t="shared" si="57"/>
        <v>0</v>
      </c>
      <c r="BQ443" s="68">
        <f t="shared" si="57"/>
        <v>0</v>
      </c>
      <c r="BR443" s="68">
        <f t="shared" si="57"/>
        <v>0</v>
      </c>
      <c r="BS443" s="68">
        <f t="shared" si="57"/>
        <v>0</v>
      </c>
      <c r="BT443" s="68">
        <f t="shared" si="57"/>
        <v>0</v>
      </c>
      <c r="BU443" s="68">
        <f t="shared" si="57"/>
        <v>0</v>
      </c>
      <c r="BV443" s="68">
        <f t="shared" si="57"/>
        <v>0</v>
      </c>
      <c r="BW443" s="68">
        <f t="shared" si="57"/>
        <v>0</v>
      </c>
      <c r="BX443" s="68">
        <f t="shared" si="57"/>
        <v>0</v>
      </c>
      <c r="BY443" s="68">
        <f t="shared" si="57"/>
        <v>0</v>
      </c>
      <c r="CA443" s="68">
        <f t="shared" si="57"/>
        <v>0</v>
      </c>
      <c r="CB443" s="68">
        <f t="shared" si="57"/>
        <v>0</v>
      </c>
      <c r="CC443" s="68">
        <f t="shared" si="57"/>
        <v>0</v>
      </c>
      <c r="CD443" s="68">
        <f t="shared" si="57"/>
        <v>10656</v>
      </c>
      <c r="CE443" s="68">
        <f t="shared" si="57"/>
        <v>0</v>
      </c>
      <c r="CH443" s="68">
        <f t="shared" ref="CH443:CN443" si="58">SUM(CH442)</f>
        <v>0</v>
      </c>
      <c r="CI443" s="68">
        <f t="shared" si="58"/>
        <v>0</v>
      </c>
      <c r="CJ443" s="68">
        <f t="shared" si="58"/>
        <v>0</v>
      </c>
      <c r="CK443" s="68">
        <f t="shared" si="58"/>
        <v>0</v>
      </c>
      <c r="CL443" s="68">
        <f t="shared" si="58"/>
        <v>0</v>
      </c>
      <c r="CM443" s="68">
        <f t="shared" si="58"/>
        <v>0</v>
      </c>
      <c r="CN443" s="68">
        <f t="shared" si="58"/>
        <v>0</v>
      </c>
    </row>
    <row r="444" spans="1:94" x14ac:dyDescent="0.25">
      <c r="B444" s="82">
        <v>9757</v>
      </c>
      <c r="C444" s="78">
        <v>5442</v>
      </c>
      <c r="D444" s="69" t="s">
        <v>132</v>
      </c>
      <c r="E444" s="69" t="s">
        <v>1110</v>
      </c>
      <c r="F444" s="69"/>
      <c r="H444" s="69">
        <v>370</v>
      </c>
      <c r="T444" s="69"/>
      <c r="U444" s="69"/>
      <c r="AR444" s="94">
        <f t="shared" ref="AR444:AR486" si="59">SUM(G444:AQ444)</f>
        <v>370</v>
      </c>
      <c r="AS444" s="69">
        <v>370</v>
      </c>
      <c r="AT444" s="69"/>
      <c r="BC444" s="69"/>
      <c r="BD444" s="69"/>
      <c r="CD444" s="94">
        <f t="shared" ref="CD444:CD486" si="60">SUM(AS444:CC444)</f>
        <v>370</v>
      </c>
      <c r="CE444" s="73">
        <f t="shared" ref="CE444:CE486" si="61">+CD444-AR444</f>
        <v>0</v>
      </c>
      <c r="CF444" s="75">
        <f t="shared" ref="CF444:CG486" si="62">+C444</f>
        <v>5442</v>
      </c>
      <c r="CG444" s="69" t="str">
        <f t="shared" si="62"/>
        <v>صيدلة اكلينيكى</v>
      </c>
    </row>
    <row r="445" spans="1:94" x14ac:dyDescent="0.25">
      <c r="B445" s="82">
        <v>9756</v>
      </c>
      <c r="C445" s="78">
        <v>5443</v>
      </c>
      <c r="D445" s="69" t="s">
        <v>132</v>
      </c>
      <c r="E445" s="69" t="s">
        <v>2809</v>
      </c>
      <c r="F445" s="69"/>
      <c r="H445" s="69">
        <v>1800</v>
      </c>
      <c r="T445" s="69"/>
      <c r="U445" s="69"/>
      <c r="AR445" s="94">
        <f t="shared" si="59"/>
        <v>1800</v>
      </c>
      <c r="AS445" s="69">
        <v>1800</v>
      </c>
      <c r="AT445" s="69"/>
      <c r="BC445" s="69"/>
      <c r="BD445" s="69"/>
      <c r="CD445" s="94">
        <f t="shared" si="60"/>
        <v>1800</v>
      </c>
      <c r="CE445" s="73">
        <f t="shared" si="61"/>
        <v>0</v>
      </c>
      <c r="CF445" s="75">
        <f t="shared" si="62"/>
        <v>5443</v>
      </c>
      <c r="CG445" s="69" t="str">
        <f t="shared" si="62"/>
        <v>صيدلة اكلينيكى</v>
      </c>
    </row>
    <row r="446" spans="1:94" x14ac:dyDescent="0.25">
      <c r="A446" s="69">
        <f>SUM(H448:H451)</f>
        <v>32169.99</v>
      </c>
      <c r="B446" s="82">
        <v>9248</v>
      </c>
      <c r="C446" s="78">
        <v>5444</v>
      </c>
      <c r="D446" s="69" t="s">
        <v>132</v>
      </c>
      <c r="E446" s="69" t="s">
        <v>2810</v>
      </c>
      <c r="F446" s="69"/>
      <c r="H446" s="69">
        <v>620.5</v>
      </c>
      <c r="T446" s="69"/>
      <c r="U446" s="69"/>
      <c r="AR446" s="94">
        <f t="shared" si="59"/>
        <v>620.5</v>
      </c>
      <c r="AS446" s="69">
        <v>620.5</v>
      </c>
      <c r="AT446" s="69"/>
      <c r="BC446" s="69"/>
      <c r="BD446" s="69"/>
      <c r="CD446" s="94">
        <f t="shared" si="60"/>
        <v>620.5</v>
      </c>
      <c r="CE446" s="73">
        <f t="shared" si="61"/>
        <v>0</v>
      </c>
      <c r="CF446" s="75">
        <f t="shared" si="62"/>
        <v>5444</v>
      </c>
      <c r="CG446" s="69" t="str">
        <f t="shared" si="62"/>
        <v>صيدلة اكلينيكى</v>
      </c>
    </row>
    <row r="447" spans="1:94" x14ac:dyDescent="0.25">
      <c r="B447" s="82">
        <v>9376</v>
      </c>
      <c r="C447" s="78">
        <v>5445</v>
      </c>
      <c r="D447" s="69" t="s">
        <v>132</v>
      </c>
      <c r="E447" s="69" t="s">
        <v>2811</v>
      </c>
      <c r="F447" s="69"/>
      <c r="H447" s="69">
        <v>5065</v>
      </c>
      <c r="O447" s="69">
        <v>5065</v>
      </c>
      <c r="T447" s="69"/>
      <c r="U447" s="69"/>
      <c r="AR447" s="94">
        <f t="shared" si="59"/>
        <v>10130</v>
      </c>
      <c r="AS447" s="69">
        <v>5065</v>
      </c>
      <c r="AT447" s="69"/>
      <c r="BC447" s="69"/>
      <c r="BD447" s="69"/>
      <c r="BN447" s="69">
        <v>5065</v>
      </c>
      <c r="CD447" s="94">
        <f t="shared" si="60"/>
        <v>10130</v>
      </c>
      <c r="CE447" s="73">
        <f t="shared" si="61"/>
        <v>0</v>
      </c>
      <c r="CF447" s="75">
        <f t="shared" si="62"/>
        <v>5445</v>
      </c>
      <c r="CG447" s="69" t="str">
        <f t="shared" si="62"/>
        <v>صيدلة اكلينيكى</v>
      </c>
    </row>
    <row r="448" spans="1:94" x14ac:dyDescent="0.25">
      <c r="B448" s="82">
        <v>9500</v>
      </c>
      <c r="C448" s="78">
        <v>5446</v>
      </c>
      <c r="D448" s="69" t="s">
        <v>325</v>
      </c>
      <c r="E448" s="69" t="s">
        <v>2812</v>
      </c>
      <c r="F448" s="69"/>
      <c r="H448" s="69">
        <v>29749.99</v>
      </c>
      <c r="T448" s="69"/>
      <c r="U448" s="69"/>
      <c r="AR448" s="94">
        <f t="shared" si="59"/>
        <v>29749.99</v>
      </c>
      <c r="AS448" s="69">
        <v>27673.99</v>
      </c>
      <c r="AT448" s="69">
        <v>1029.0999999999999</v>
      </c>
      <c r="BC448" s="69"/>
      <c r="BD448" s="69"/>
      <c r="BF448" s="69">
        <v>806</v>
      </c>
      <c r="BG448" s="69">
        <v>6</v>
      </c>
      <c r="BH448" s="69">
        <f>117.45*2</f>
        <v>234.9</v>
      </c>
      <c r="CD448" s="94">
        <f t="shared" si="60"/>
        <v>29749.99</v>
      </c>
      <c r="CE448" s="73">
        <f t="shared" si="61"/>
        <v>0</v>
      </c>
      <c r="CF448" s="75">
        <f t="shared" si="62"/>
        <v>5446</v>
      </c>
      <c r="CG448" s="69" t="str">
        <f t="shared" si="62"/>
        <v xml:space="preserve">برنامج دولى </v>
      </c>
    </row>
    <row r="449" spans="2:85" ht="36" x14ac:dyDescent="0.25">
      <c r="B449" s="82">
        <v>9251</v>
      </c>
      <c r="C449" s="78">
        <v>5447</v>
      </c>
      <c r="D449" s="69" t="s">
        <v>325</v>
      </c>
      <c r="E449" s="77" t="s">
        <v>2813</v>
      </c>
      <c r="F449" s="69"/>
      <c r="H449" s="69">
        <v>450</v>
      </c>
      <c r="T449" s="69"/>
      <c r="U449" s="69"/>
      <c r="AR449" s="94">
        <f t="shared" si="59"/>
        <v>450</v>
      </c>
      <c r="AS449" s="69">
        <v>406.3</v>
      </c>
      <c r="AT449" s="69">
        <v>20.7</v>
      </c>
      <c r="AV449" s="69">
        <v>5</v>
      </c>
      <c r="BC449" s="69"/>
      <c r="BD449" s="69"/>
      <c r="BF449" s="69">
        <v>12</v>
      </c>
      <c r="BG449" s="69">
        <v>6</v>
      </c>
      <c r="CD449" s="94">
        <f t="shared" si="60"/>
        <v>450</v>
      </c>
      <c r="CE449" s="73">
        <f t="shared" si="61"/>
        <v>0</v>
      </c>
      <c r="CF449" s="75">
        <f t="shared" si="62"/>
        <v>5447</v>
      </c>
      <c r="CG449" s="69" t="str">
        <f t="shared" si="62"/>
        <v xml:space="preserve">برنامج دولى </v>
      </c>
    </row>
    <row r="450" spans="2:85" ht="36" x14ac:dyDescent="0.25">
      <c r="B450" s="82">
        <v>9250</v>
      </c>
      <c r="C450" s="78">
        <v>5448</v>
      </c>
      <c r="D450" s="69" t="s">
        <v>325</v>
      </c>
      <c r="E450" s="77" t="s">
        <v>2813</v>
      </c>
      <c r="F450" s="69"/>
      <c r="H450" s="69">
        <v>450</v>
      </c>
      <c r="T450" s="69"/>
      <c r="U450" s="69"/>
      <c r="AR450" s="94">
        <f t="shared" si="59"/>
        <v>450</v>
      </c>
      <c r="AS450" s="69">
        <v>406.3</v>
      </c>
      <c r="AT450" s="69">
        <v>20.7</v>
      </c>
      <c r="AV450" s="69">
        <v>5</v>
      </c>
      <c r="BC450" s="69"/>
      <c r="BD450" s="69"/>
      <c r="BF450" s="69">
        <v>12</v>
      </c>
      <c r="BG450" s="69">
        <v>6</v>
      </c>
      <c r="CD450" s="94">
        <f t="shared" si="60"/>
        <v>450</v>
      </c>
      <c r="CE450" s="73">
        <f t="shared" si="61"/>
        <v>0</v>
      </c>
      <c r="CF450" s="75">
        <f t="shared" si="62"/>
        <v>5448</v>
      </c>
      <c r="CG450" s="69" t="str">
        <f t="shared" si="62"/>
        <v xml:space="preserve">برنامج دولى </v>
      </c>
    </row>
    <row r="451" spans="2:85" ht="36" x14ac:dyDescent="0.25">
      <c r="B451" s="82">
        <v>9811</v>
      </c>
      <c r="C451" s="78">
        <v>5449</v>
      </c>
      <c r="D451" s="69" t="s">
        <v>325</v>
      </c>
      <c r="E451" s="77" t="s">
        <v>2814</v>
      </c>
      <c r="F451" s="69"/>
      <c r="H451" s="69">
        <v>1520</v>
      </c>
      <c r="T451" s="69"/>
      <c r="U451" s="69"/>
      <c r="AR451" s="94">
        <f t="shared" si="59"/>
        <v>1520</v>
      </c>
      <c r="AS451" s="69">
        <v>1397.3</v>
      </c>
      <c r="AT451" s="69">
        <v>77.7</v>
      </c>
      <c r="BC451" s="69"/>
      <c r="BD451" s="69"/>
      <c r="BF451" s="69">
        <v>39</v>
      </c>
      <c r="BG451" s="69">
        <v>6</v>
      </c>
      <c r="CD451" s="94">
        <f t="shared" si="60"/>
        <v>1520</v>
      </c>
      <c r="CE451" s="73">
        <f t="shared" si="61"/>
        <v>0</v>
      </c>
      <c r="CF451" s="75">
        <f t="shared" si="62"/>
        <v>5449</v>
      </c>
      <c r="CG451" s="69" t="str">
        <f t="shared" si="62"/>
        <v xml:space="preserve">برنامج دولى </v>
      </c>
    </row>
    <row r="452" spans="2:85" ht="54" x14ac:dyDescent="0.25">
      <c r="B452" s="82">
        <v>9732</v>
      </c>
      <c r="C452" s="78">
        <v>5450</v>
      </c>
      <c r="D452" s="69" t="s">
        <v>121</v>
      </c>
      <c r="E452" s="77" t="s">
        <v>2815</v>
      </c>
      <c r="F452" s="69"/>
      <c r="H452" s="69">
        <v>332167.5</v>
      </c>
      <c r="T452" s="69"/>
      <c r="U452" s="69"/>
      <c r="AR452" s="94">
        <f t="shared" si="59"/>
        <v>332167.5</v>
      </c>
      <c r="AS452" s="69">
        <v>332167.5</v>
      </c>
      <c r="AT452" s="69"/>
      <c r="BC452" s="69"/>
      <c r="BD452" s="69"/>
      <c r="CD452" s="94">
        <f t="shared" si="60"/>
        <v>332167.5</v>
      </c>
      <c r="CE452" s="73">
        <f t="shared" si="61"/>
        <v>0</v>
      </c>
      <c r="CF452" s="75">
        <f t="shared" si="62"/>
        <v>5450</v>
      </c>
      <c r="CG452" s="69" t="str">
        <f t="shared" si="62"/>
        <v>ماليزى اسنان</v>
      </c>
    </row>
    <row r="453" spans="2:85" x14ac:dyDescent="0.25">
      <c r="B453" s="82">
        <v>9884</v>
      </c>
      <c r="C453" s="78">
        <v>5451</v>
      </c>
      <c r="D453" s="69" t="s">
        <v>325</v>
      </c>
      <c r="E453" s="69" t="s">
        <v>2816</v>
      </c>
      <c r="F453" s="69"/>
      <c r="T453" s="69">
        <v>490989.53</v>
      </c>
      <c r="U453" s="69"/>
      <c r="AR453" s="94">
        <f t="shared" si="59"/>
        <v>490989.53</v>
      </c>
      <c r="AS453" s="69">
        <v>490989.53</v>
      </c>
      <c r="AT453" s="69"/>
      <c r="BC453" s="69"/>
      <c r="BD453" s="69"/>
      <c r="CD453" s="94">
        <f t="shared" si="60"/>
        <v>490989.53</v>
      </c>
      <c r="CE453" s="73">
        <f t="shared" si="61"/>
        <v>0</v>
      </c>
      <c r="CF453" s="75">
        <f t="shared" si="62"/>
        <v>5451</v>
      </c>
      <c r="CG453" s="69" t="str">
        <f t="shared" si="62"/>
        <v xml:space="preserve">برنامج دولى </v>
      </c>
    </row>
    <row r="454" spans="2:85" x14ac:dyDescent="0.25">
      <c r="B454" s="82">
        <v>9885</v>
      </c>
      <c r="C454" s="78">
        <v>5452</v>
      </c>
      <c r="D454" s="69" t="s">
        <v>325</v>
      </c>
      <c r="E454" s="69" t="s">
        <v>2817</v>
      </c>
      <c r="F454" s="69"/>
      <c r="T454" s="69">
        <v>32053.8</v>
      </c>
      <c r="U454" s="69"/>
      <c r="AR454" s="94">
        <f t="shared" si="59"/>
        <v>32053.8</v>
      </c>
      <c r="AS454" s="69">
        <v>32053.8</v>
      </c>
      <c r="AT454" s="69"/>
      <c r="BC454" s="69"/>
      <c r="BD454" s="69"/>
      <c r="CD454" s="94">
        <f t="shared" si="60"/>
        <v>32053.8</v>
      </c>
      <c r="CE454" s="73">
        <f t="shared" si="61"/>
        <v>0</v>
      </c>
      <c r="CF454" s="75">
        <f t="shared" si="62"/>
        <v>5452</v>
      </c>
      <c r="CG454" s="69" t="str">
        <f t="shared" si="62"/>
        <v xml:space="preserve">برنامج دولى </v>
      </c>
    </row>
    <row r="455" spans="2:85" x14ac:dyDescent="0.25">
      <c r="B455" s="82">
        <v>9886</v>
      </c>
      <c r="C455" s="78">
        <v>5453</v>
      </c>
      <c r="D455" s="69" t="s">
        <v>325</v>
      </c>
      <c r="E455" s="69" t="s">
        <v>2818</v>
      </c>
      <c r="F455" s="69"/>
      <c r="T455" s="69">
        <v>13232.4</v>
      </c>
      <c r="U455" s="69"/>
      <c r="AR455" s="94">
        <f t="shared" si="59"/>
        <v>13232.4</v>
      </c>
      <c r="AS455" s="69">
        <v>13232.4</v>
      </c>
      <c r="AT455" s="69"/>
      <c r="BC455" s="69"/>
      <c r="BD455" s="69"/>
      <c r="CD455" s="94">
        <f t="shared" si="60"/>
        <v>13232.4</v>
      </c>
      <c r="CE455" s="73">
        <f t="shared" si="61"/>
        <v>0</v>
      </c>
      <c r="CF455" s="75">
        <f t="shared" si="62"/>
        <v>5453</v>
      </c>
      <c r="CG455" s="69" t="str">
        <f t="shared" si="62"/>
        <v xml:space="preserve">برنامج دولى </v>
      </c>
    </row>
    <row r="456" spans="2:85" x14ac:dyDescent="0.25">
      <c r="B456" s="82">
        <v>9887</v>
      </c>
      <c r="C456" s="78">
        <v>5454</v>
      </c>
      <c r="D456" s="69" t="s">
        <v>325</v>
      </c>
      <c r="E456" s="69" t="s">
        <v>2819</v>
      </c>
      <c r="F456" s="69"/>
      <c r="T456" s="69"/>
      <c r="U456" s="69">
        <v>342</v>
      </c>
      <c r="AR456" s="94">
        <f t="shared" si="59"/>
        <v>342</v>
      </c>
      <c r="AS456" s="69">
        <v>342</v>
      </c>
      <c r="AT456" s="69"/>
      <c r="BC456" s="69"/>
      <c r="BD456" s="69"/>
      <c r="CD456" s="94">
        <f t="shared" si="60"/>
        <v>342</v>
      </c>
      <c r="CE456" s="73">
        <f t="shared" si="61"/>
        <v>0</v>
      </c>
      <c r="CF456" s="75">
        <f t="shared" si="62"/>
        <v>5454</v>
      </c>
      <c r="CG456" s="69" t="str">
        <f t="shared" si="62"/>
        <v xml:space="preserve">برنامج دولى </v>
      </c>
    </row>
    <row r="457" spans="2:85" x14ac:dyDescent="0.25">
      <c r="B457" s="82">
        <v>9888</v>
      </c>
      <c r="C457" s="78">
        <v>5455</v>
      </c>
      <c r="D457" s="69" t="s">
        <v>2820</v>
      </c>
      <c r="E457" s="69" t="s">
        <v>2819</v>
      </c>
      <c r="F457" s="69"/>
      <c r="T457" s="69"/>
      <c r="U457" s="69">
        <v>238</v>
      </c>
      <c r="AR457" s="94">
        <f t="shared" si="59"/>
        <v>238</v>
      </c>
      <c r="AS457" s="69">
        <v>238</v>
      </c>
      <c r="AT457" s="69"/>
      <c r="BC457" s="69"/>
      <c r="BD457" s="69"/>
      <c r="CD457" s="94">
        <f t="shared" si="60"/>
        <v>238</v>
      </c>
      <c r="CE457" s="73">
        <f t="shared" si="61"/>
        <v>0</v>
      </c>
      <c r="CF457" s="75">
        <f t="shared" si="62"/>
        <v>5455</v>
      </c>
      <c r="CG457" s="69" t="str">
        <f t="shared" si="62"/>
        <v xml:space="preserve">خ ت طب </v>
      </c>
    </row>
    <row r="458" spans="2:85" x14ac:dyDescent="0.25">
      <c r="B458" s="82">
        <v>9889</v>
      </c>
      <c r="C458" s="78">
        <v>5456</v>
      </c>
      <c r="D458" s="69" t="s">
        <v>2820</v>
      </c>
      <c r="E458" s="69" t="str">
        <f>+E455</f>
        <v>ضرائب متنوعه نوفمبر</v>
      </c>
      <c r="F458" s="69"/>
      <c r="T458" s="69">
        <v>7110.5</v>
      </c>
      <c r="U458" s="69"/>
      <c r="AR458" s="94">
        <f t="shared" si="59"/>
        <v>7110.5</v>
      </c>
      <c r="AS458" s="69">
        <v>7110.5</v>
      </c>
      <c r="AT458" s="69"/>
      <c r="BC458" s="69"/>
      <c r="BD458" s="69"/>
      <c r="CD458" s="94">
        <f t="shared" si="60"/>
        <v>7110.5</v>
      </c>
      <c r="CE458" s="73">
        <f t="shared" si="61"/>
        <v>0</v>
      </c>
      <c r="CF458" s="75">
        <f t="shared" si="62"/>
        <v>5456</v>
      </c>
      <c r="CG458" s="69" t="str">
        <f t="shared" si="62"/>
        <v xml:space="preserve">خ ت طب </v>
      </c>
    </row>
    <row r="459" spans="2:85" x14ac:dyDescent="0.25">
      <c r="B459" s="82">
        <v>9890</v>
      </c>
      <c r="C459" s="78">
        <v>5457</v>
      </c>
      <c r="D459" s="69" t="s">
        <v>2820</v>
      </c>
      <c r="E459" s="69" t="str">
        <f>+E454</f>
        <v>دمغه عاديه نوفمبر</v>
      </c>
      <c r="F459" s="69"/>
      <c r="T459" s="69">
        <v>32.200000000000003</v>
      </c>
      <c r="U459" s="69"/>
      <c r="AR459" s="94">
        <f t="shared" si="59"/>
        <v>32.200000000000003</v>
      </c>
      <c r="AS459" s="69">
        <v>32.200000000000003</v>
      </c>
      <c r="AT459" s="69"/>
      <c r="BC459" s="69"/>
      <c r="BD459" s="69"/>
      <c r="CD459" s="94">
        <f t="shared" si="60"/>
        <v>32.200000000000003</v>
      </c>
      <c r="CE459" s="73">
        <f t="shared" si="61"/>
        <v>0</v>
      </c>
      <c r="CF459" s="75">
        <f t="shared" si="62"/>
        <v>5457</v>
      </c>
      <c r="CG459" s="69" t="str">
        <f t="shared" si="62"/>
        <v xml:space="preserve">خ ت طب </v>
      </c>
    </row>
    <row r="460" spans="2:85" x14ac:dyDescent="0.25">
      <c r="B460" s="82">
        <v>9891</v>
      </c>
      <c r="C460" s="78">
        <v>5458</v>
      </c>
      <c r="D460" s="69" t="s">
        <v>2820</v>
      </c>
      <c r="E460" s="69" t="str">
        <f>+E453</f>
        <v>كسب عمل نوفمبر</v>
      </c>
      <c r="F460" s="69"/>
      <c r="T460" s="69">
        <v>1297.24</v>
      </c>
      <c r="U460" s="69"/>
      <c r="AR460" s="94">
        <f t="shared" si="59"/>
        <v>1297.24</v>
      </c>
      <c r="AS460" s="69">
        <v>1297.24</v>
      </c>
      <c r="AT460" s="69"/>
      <c r="BC460" s="69"/>
      <c r="BD460" s="69"/>
      <c r="CD460" s="94">
        <f t="shared" si="60"/>
        <v>1297.24</v>
      </c>
      <c r="CE460" s="73">
        <f t="shared" si="61"/>
        <v>0</v>
      </c>
      <c r="CF460" s="75">
        <f t="shared" si="62"/>
        <v>5458</v>
      </c>
      <c r="CG460" s="69" t="str">
        <f t="shared" si="62"/>
        <v xml:space="preserve">خ ت طب </v>
      </c>
    </row>
    <row r="461" spans="2:85" x14ac:dyDescent="0.25">
      <c r="B461" s="82">
        <v>9892</v>
      </c>
      <c r="C461" s="78">
        <v>5459</v>
      </c>
      <c r="D461" s="69" t="s">
        <v>128</v>
      </c>
      <c r="E461" s="69" t="str">
        <f>+E460</f>
        <v>كسب عمل نوفمبر</v>
      </c>
      <c r="F461" s="69"/>
      <c r="T461" s="69">
        <v>10995.86</v>
      </c>
      <c r="U461" s="69"/>
      <c r="AR461" s="94">
        <f t="shared" si="59"/>
        <v>10995.86</v>
      </c>
      <c r="AS461" s="69">
        <v>10995.86</v>
      </c>
      <c r="AT461" s="69"/>
      <c r="BC461" s="69"/>
      <c r="BD461" s="69"/>
      <c r="CD461" s="94">
        <f t="shared" si="60"/>
        <v>10995.86</v>
      </c>
      <c r="CE461" s="73">
        <f t="shared" si="61"/>
        <v>0</v>
      </c>
      <c r="CF461" s="75">
        <f t="shared" si="62"/>
        <v>5459</v>
      </c>
      <c r="CG461" s="69" t="str">
        <f t="shared" si="62"/>
        <v>مركز مؤتمرات</v>
      </c>
    </row>
    <row r="462" spans="2:85" x14ac:dyDescent="0.25">
      <c r="B462" s="82">
        <v>9893</v>
      </c>
      <c r="C462" s="78">
        <v>5460</v>
      </c>
      <c r="D462" s="69" t="s">
        <v>128</v>
      </c>
      <c r="E462" s="69" t="str">
        <f>+E459</f>
        <v>دمغه عاديه نوفمبر</v>
      </c>
      <c r="F462" s="69"/>
      <c r="T462" s="69">
        <v>732.4</v>
      </c>
      <c r="U462" s="69"/>
      <c r="AR462" s="94">
        <f t="shared" si="59"/>
        <v>732.4</v>
      </c>
      <c r="AS462" s="69">
        <v>732.4</v>
      </c>
      <c r="AT462" s="69"/>
      <c r="BC462" s="69"/>
      <c r="BD462" s="69"/>
      <c r="CD462" s="94">
        <f t="shared" si="60"/>
        <v>732.4</v>
      </c>
      <c r="CE462" s="73">
        <f t="shared" si="61"/>
        <v>0</v>
      </c>
      <c r="CF462" s="75">
        <f t="shared" si="62"/>
        <v>5460</v>
      </c>
      <c r="CG462" s="69" t="str">
        <f t="shared" si="62"/>
        <v>مركز مؤتمرات</v>
      </c>
    </row>
    <row r="463" spans="2:85" x14ac:dyDescent="0.25">
      <c r="B463" s="82">
        <v>9894</v>
      </c>
      <c r="C463" s="78">
        <v>5461</v>
      </c>
      <c r="D463" s="69" t="s">
        <v>121</v>
      </c>
      <c r="E463" s="69" t="str">
        <f>+E461</f>
        <v>كسب عمل نوفمبر</v>
      </c>
      <c r="F463" s="69"/>
      <c r="T463" s="69">
        <v>84999.57</v>
      </c>
      <c r="U463" s="69"/>
      <c r="AR463" s="94">
        <f t="shared" si="59"/>
        <v>84999.57</v>
      </c>
      <c r="AS463" s="69">
        <v>84999.57</v>
      </c>
      <c r="AT463" s="69"/>
      <c r="BC463" s="69"/>
      <c r="BD463" s="69"/>
      <c r="CD463" s="94">
        <f t="shared" si="60"/>
        <v>84999.57</v>
      </c>
      <c r="CE463" s="73">
        <f t="shared" si="61"/>
        <v>0</v>
      </c>
      <c r="CF463" s="75">
        <f t="shared" si="62"/>
        <v>5461</v>
      </c>
      <c r="CG463" s="69" t="str">
        <f t="shared" si="62"/>
        <v>ماليزى اسنان</v>
      </c>
    </row>
    <row r="464" spans="2:85" x14ac:dyDescent="0.25">
      <c r="B464" s="82">
        <v>9895</v>
      </c>
      <c r="C464" s="78">
        <v>5462</v>
      </c>
      <c r="D464" s="69" t="s">
        <v>121</v>
      </c>
      <c r="E464" s="69" t="str">
        <f>+E462</f>
        <v>دمغه عاديه نوفمبر</v>
      </c>
      <c r="F464" s="69"/>
      <c r="T464" s="69">
        <v>5557.21</v>
      </c>
      <c r="U464" s="69"/>
      <c r="AR464" s="94">
        <f t="shared" si="59"/>
        <v>5557.21</v>
      </c>
      <c r="AS464" s="69">
        <v>5557.21</v>
      </c>
      <c r="AT464" s="69"/>
      <c r="BC464" s="69"/>
      <c r="BD464" s="69"/>
      <c r="CD464" s="94">
        <f t="shared" si="60"/>
        <v>5557.21</v>
      </c>
      <c r="CE464" s="73">
        <f t="shared" si="61"/>
        <v>0</v>
      </c>
      <c r="CF464" s="75">
        <f t="shared" si="62"/>
        <v>5462</v>
      </c>
      <c r="CG464" s="69" t="str">
        <f t="shared" si="62"/>
        <v>ماليزى اسنان</v>
      </c>
    </row>
    <row r="465" spans="2:85" x14ac:dyDescent="0.25">
      <c r="B465" s="82">
        <v>9896</v>
      </c>
      <c r="C465" s="78">
        <v>5463</v>
      </c>
      <c r="D465" s="69" t="s">
        <v>121</v>
      </c>
      <c r="E465" s="69" t="str">
        <f>+E458</f>
        <v>ضرائب متنوعه نوفمبر</v>
      </c>
      <c r="F465" s="69"/>
      <c r="T465" s="69">
        <v>48881.1</v>
      </c>
      <c r="U465" s="69"/>
      <c r="AR465" s="94">
        <f t="shared" si="59"/>
        <v>48881.1</v>
      </c>
      <c r="AS465" s="69">
        <v>48881.1</v>
      </c>
      <c r="AT465" s="69"/>
      <c r="BC465" s="69"/>
      <c r="BD465" s="69"/>
      <c r="CD465" s="94">
        <f t="shared" si="60"/>
        <v>48881.1</v>
      </c>
      <c r="CE465" s="73">
        <f t="shared" si="61"/>
        <v>0</v>
      </c>
      <c r="CF465" s="75">
        <f t="shared" si="62"/>
        <v>5463</v>
      </c>
      <c r="CG465" s="69" t="str">
        <f t="shared" si="62"/>
        <v>ماليزى اسنان</v>
      </c>
    </row>
    <row r="466" spans="2:85" x14ac:dyDescent="0.25">
      <c r="B466" s="82">
        <v>9897</v>
      </c>
      <c r="C466" s="78">
        <v>5464</v>
      </c>
      <c r="D466" s="69" t="s">
        <v>121</v>
      </c>
      <c r="E466" s="69" t="s">
        <v>2819</v>
      </c>
      <c r="F466" s="69"/>
      <c r="T466" s="69"/>
      <c r="U466" s="69">
        <v>504</v>
      </c>
      <c r="AR466" s="94">
        <f t="shared" si="59"/>
        <v>504</v>
      </c>
      <c r="AS466" s="69">
        <v>504</v>
      </c>
      <c r="AT466" s="69"/>
      <c r="BC466" s="69"/>
      <c r="BD466" s="69"/>
      <c r="CD466" s="94">
        <f t="shared" si="60"/>
        <v>504</v>
      </c>
      <c r="CE466" s="73">
        <f t="shared" si="61"/>
        <v>0</v>
      </c>
      <c r="CF466" s="75">
        <f t="shared" si="62"/>
        <v>5464</v>
      </c>
      <c r="CG466" s="69" t="str">
        <f t="shared" si="62"/>
        <v>ماليزى اسنان</v>
      </c>
    </row>
    <row r="467" spans="2:85" x14ac:dyDescent="0.25">
      <c r="B467" s="82">
        <v>9898</v>
      </c>
      <c r="C467" s="78">
        <v>5465</v>
      </c>
      <c r="D467" s="69" t="s">
        <v>123</v>
      </c>
      <c r="E467" s="69" t="str">
        <f>+E463</f>
        <v>كسب عمل نوفمبر</v>
      </c>
      <c r="F467" s="69"/>
      <c r="T467" s="69">
        <v>13347.95</v>
      </c>
      <c r="U467" s="69"/>
      <c r="AR467" s="94">
        <f t="shared" si="59"/>
        <v>13347.95</v>
      </c>
      <c r="AS467" s="69">
        <v>13347.95</v>
      </c>
      <c r="AT467" s="69"/>
      <c r="BC467" s="69"/>
      <c r="BD467" s="69"/>
      <c r="CD467" s="94">
        <f t="shared" si="60"/>
        <v>13347.95</v>
      </c>
      <c r="CE467" s="73">
        <f t="shared" si="61"/>
        <v>0</v>
      </c>
      <c r="CF467" s="75">
        <f t="shared" si="62"/>
        <v>5465</v>
      </c>
      <c r="CG467" s="69" t="str">
        <f t="shared" si="62"/>
        <v>خ ت اسنان</v>
      </c>
    </row>
    <row r="468" spans="2:85" x14ac:dyDescent="0.25">
      <c r="B468" s="82">
        <v>9899</v>
      </c>
      <c r="C468" s="78">
        <v>5466</v>
      </c>
      <c r="D468" s="69" t="s">
        <v>123</v>
      </c>
      <c r="E468" s="69" t="str">
        <f>+E464</f>
        <v>دمغه عاديه نوفمبر</v>
      </c>
      <c r="F468" s="69"/>
      <c r="T468" s="69">
        <v>869</v>
      </c>
      <c r="U468" s="69"/>
      <c r="AR468" s="94">
        <f t="shared" si="59"/>
        <v>869</v>
      </c>
      <c r="AS468" s="69">
        <v>869</v>
      </c>
      <c r="AT468" s="69"/>
      <c r="BC468" s="69"/>
      <c r="BD468" s="69"/>
      <c r="CD468" s="94">
        <f t="shared" si="60"/>
        <v>869</v>
      </c>
      <c r="CE468" s="73">
        <f t="shared" si="61"/>
        <v>0</v>
      </c>
      <c r="CF468" s="75">
        <f t="shared" si="62"/>
        <v>5466</v>
      </c>
      <c r="CG468" s="69" t="str">
        <f t="shared" si="62"/>
        <v>خ ت اسنان</v>
      </c>
    </row>
    <row r="469" spans="2:85" x14ac:dyDescent="0.25">
      <c r="B469" s="82">
        <v>9900</v>
      </c>
      <c r="C469" s="78">
        <v>5467</v>
      </c>
      <c r="D469" s="69" t="s">
        <v>122</v>
      </c>
      <c r="E469" s="69" t="str">
        <f>+E467</f>
        <v>كسب عمل نوفمبر</v>
      </c>
      <c r="F469" s="69"/>
      <c r="T469" s="69">
        <v>4690.6099999999997</v>
      </c>
      <c r="U469" s="69"/>
      <c r="AR469" s="94">
        <f t="shared" si="59"/>
        <v>4690.6099999999997</v>
      </c>
      <c r="AS469" s="69">
        <v>4690.6099999999997</v>
      </c>
      <c r="AT469" s="69"/>
      <c r="BC469" s="69"/>
      <c r="BD469" s="69"/>
      <c r="CD469" s="94">
        <f t="shared" si="60"/>
        <v>4690.6099999999997</v>
      </c>
      <c r="CE469" s="73">
        <f t="shared" si="61"/>
        <v>0</v>
      </c>
      <c r="CF469" s="75">
        <f t="shared" si="62"/>
        <v>5467</v>
      </c>
      <c r="CG469" s="69" t="str">
        <f t="shared" si="62"/>
        <v>علاج تخصصى</v>
      </c>
    </row>
    <row r="470" spans="2:85" x14ac:dyDescent="0.25">
      <c r="B470" s="82">
        <v>9901</v>
      </c>
      <c r="C470" s="78">
        <v>5468</v>
      </c>
      <c r="D470" s="69" t="s">
        <v>122</v>
      </c>
      <c r="E470" s="69" t="str">
        <f>+E468</f>
        <v>دمغه عاديه نوفمبر</v>
      </c>
      <c r="F470" s="69"/>
      <c r="T470" s="69">
        <v>332.55</v>
      </c>
      <c r="U470" s="69"/>
      <c r="AR470" s="94">
        <f t="shared" si="59"/>
        <v>332.55</v>
      </c>
      <c r="AS470" s="69">
        <v>332.55</v>
      </c>
      <c r="AT470" s="69"/>
      <c r="BC470" s="69"/>
      <c r="BD470" s="69"/>
      <c r="CD470" s="94">
        <f t="shared" si="60"/>
        <v>332.55</v>
      </c>
      <c r="CE470" s="73">
        <f t="shared" si="61"/>
        <v>0</v>
      </c>
      <c r="CF470" s="75">
        <f t="shared" si="62"/>
        <v>5468</v>
      </c>
      <c r="CG470" s="69" t="str">
        <f t="shared" si="62"/>
        <v>علاج تخصصى</v>
      </c>
    </row>
    <row r="471" spans="2:85" x14ac:dyDescent="0.25">
      <c r="B471" s="82">
        <v>9902</v>
      </c>
      <c r="C471" s="78">
        <v>5469</v>
      </c>
      <c r="D471" s="69" t="s">
        <v>137</v>
      </c>
      <c r="E471" s="69" t="str">
        <f>+E470</f>
        <v>دمغه عاديه نوفمبر</v>
      </c>
      <c r="F471" s="69"/>
      <c r="T471" s="69">
        <v>3791.4</v>
      </c>
      <c r="U471" s="69"/>
      <c r="AR471" s="94">
        <f t="shared" si="59"/>
        <v>3791.4</v>
      </c>
      <c r="AS471" s="69">
        <v>3791.4</v>
      </c>
      <c r="AT471" s="69"/>
      <c r="BC471" s="69"/>
      <c r="BD471" s="69"/>
      <c r="CD471" s="94">
        <f t="shared" si="60"/>
        <v>3791.4</v>
      </c>
      <c r="CE471" s="73">
        <f t="shared" si="61"/>
        <v>0</v>
      </c>
      <c r="CF471" s="75">
        <f t="shared" si="62"/>
        <v>5469</v>
      </c>
      <c r="CG471" s="69" t="str">
        <f t="shared" si="62"/>
        <v xml:space="preserve">خدمة عامة </v>
      </c>
    </row>
    <row r="472" spans="2:85" x14ac:dyDescent="0.25">
      <c r="B472" s="82">
        <v>9903</v>
      </c>
      <c r="C472" s="78">
        <v>5470</v>
      </c>
      <c r="D472" s="69" t="s">
        <v>137</v>
      </c>
      <c r="E472" s="69" t="str">
        <f>+E469</f>
        <v>كسب عمل نوفمبر</v>
      </c>
      <c r="F472" s="69"/>
      <c r="T472" s="69">
        <v>56043.87</v>
      </c>
      <c r="U472" s="69"/>
      <c r="AR472" s="94">
        <f t="shared" si="59"/>
        <v>56043.87</v>
      </c>
      <c r="AS472" s="69">
        <v>56043.87</v>
      </c>
      <c r="AT472" s="69"/>
      <c r="BC472" s="69"/>
      <c r="BD472" s="69"/>
      <c r="CD472" s="94">
        <f t="shared" si="60"/>
        <v>56043.87</v>
      </c>
      <c r="CE472" s="73">
        <f t="shared" si="61"/>
        <v>0</v>
      </c>
      <c r="CF472" s="75">
        <f t="shared" si="62"/>
        <v>5470</v>
      </c>
      <c r="CG472" s="69" t="str">
        <f t="shared" si="62"/>
        <v xml:space="preserve">خدمة عامة </v>
      </c>
    </row>
    <row r="473" spans="2:85" x14ac:dyDescent="0.25">
      <c r="B473" s="82">
        <v>9904</v>
      </c>
      <c r="C473" s="78">
        <v>5471</v>
      </c>
      <c r="D473" s="69" t="s">
        <v>125</v>
      </c>
      <c r="E473" s="69" t="str">
        <f>+E472</f>
        <v>كسب عمل نوفمبر</v>
      </c>
      <c r="F473" s="69"/>
      <c r="T473" s="69">
        <v>636.6</v>
      </c>
      <c r="U473" s="69"/>
      <c r="AR473" s="94">
        <f t="shared" si="59"/>
        <v>636.6</v>
      </c>
      <c r="AS473" s="69">
        <v>636.6</v>
      </c>
      <c r="AT473" s="69"/>
      <c r="BC473" s="69"/>
      <c r="BD473" s="69"/>
      <c r="CD473" s="94">
        <f t="shared" si="60"/>
        <v>636.6</v>
      </c>
      <c r="CE473" s="73">
        <f t="shared" si="61"/>
        <v>0</v>
      </c>
      <c r="CF473" s="75">
        <f t="shared" si="62"/>
        <v>5471</v>
      </c>
      <c r="CG473" s="69" t="str">
        <f t="shared" si="62"/>
        <v>اختبار مواد</v>
      </c>
    </row>
    <row r="474" spans="2:85" x14ac:dyDescent="0.25">
      <c r="B474" s="82">
        <v>9905</v>
      </c>
      <c r="C474" s="78">
        <v>5472</v>
      </c>
      <c r="D474" s="69" t="s">
        <v>125</v>
      </c>
      <c r="E474" s="69" t="str">
        <f>+E470</f>
        <v>دمغه عاديه نوفمبر</v>
      </c>
      <c r="F474" s="69"/>
      <c r="T474" s="69">
        <v>38.799999999999997</v>
      </c>
      <c r="U474" s="69"/>
      <c r="AR474" s="94">
        <f t="shared" si="59"/>
        <v>38.799999999999997</v>
      </c>
      <c r="AS474" s="69">
        <v>38.799999999999997</v>
      </c>
      <c r="AT474" s="69"/>
      <c r="BC474" s="69"/>
      <c r="BD474" s="69"/>
      <c r="CD474" s="94">
        <f t="shared" si="60"/>
        <v>38.799999999999997</v>
      </c>
      <c r="CE474" s="73">
        <f t="shared" si="61"/>
        <v>0</v>
      </c>
      <c r="CF474" s="75">
        <f t="shared" si="62"/>
        <v>5472</v>
      </c>
      <c r="CG474" s="69" t="str">
        <f t="shared" si="62"/>
        <v>اختبار مواد</v>
      </c>
    </row>
    <row r="475" spans="2:85" x14ac:dyDescent="0.25">
      <c r="B475" s="82">
        <v>9906</v>
      </c>
      <c r="C475" s="78">
        <v>5473</v>
      </c>
      <c r="D475" s="69" t="s">
        <v>124</v>
      </c>
      <c r="E475" s="69" t="str">
        <f>+E471</f>
        <v>دمغه عاديه نوفمبر</v>
      </c>
      <c r="F475" s="69"/>
      <c r="T475" s="69">
        <v>2.2999999999999998</v>
      </c>
      <c r="U475" s="69"/>
      <c r="AR475" s="94">
        <f t="shared" si="59"/>
        <v>2.2999999999999998</v>
      </c>
      <c r="AS475" s="69">
        <v>2.2999999999999998</v>
      </c>
      <c r="AT475" s="69"/>
      <c r="BC475" s="69"/>
      <c r="BD475" s="69"/>
      <c r="CD475" s="94">
        <f t="shared" si="60"/>
        <v>2.2999999999999998</v>
      </c>
      <c r="CE475" s="73">
        <f t="shared" si="61"/>
        <v>0</v>
      </c>
      <c r="CF475" s="75">
        <f t="shared" si="62"/>
        <v>5473</v>
      </c>
      <c r="CG475" s="69" t="str">
        <f t="shared" si="62"/>
        <v>تكافل اسنان</v>
      </c>
    </row>
    <row r="476" spans="2:85" x14ac:dyDescent="0.25">
      <c r="B476" s="82">
        <v>9907</v>
      </c>
      <c r="C476" s="78">
        <v>5474</v>
      </c>
      <c r="D476" s="69" t="s">
        <v>124</v>
      </c>
      <c r="E476" s="69" t="str">
        <f>+E473</f>
        <v>كسب عمل نوفمبر</v>
      </c>
      <c r="F476" s="69"/>
      <c r="T476" s="69">
        <v>68.459999999999994</v>
      </c>
      <c r="U476" s="69"/>
      <c r="AR476" s="94">
        <f t="shared" si="59"/>
        <v>68.459999999999994</v>
      </c>
      <c r="AS476" s="69">
        <v>68.459999999999994</v>
      </c>
      <c r="AT476" s="69"/>
      <c r="BC476" s="69"/>
      <c r="BD476" s="69"/>
      <c r="CD476" s="94">
        <f t="shared" si="60"/>
        <v>68.459999999999994</v>
      </c>
      <c r="CE476" s="73">
        <f t="shared" si="61"/>
        <v>0</v>
      </c>
      <c r="CF476" s="75">
        <f t="shared" si="62"/>
        <v>5474</v>
      </c>
      <c r="CG476" s="69" t="str">
        <f t="shared" si="62"/>
        <v>تكافل اسنان</v>
      </c>
    </row>
    <row r="477" spans="2:85" x14ac:dyDescent="0.25">
      <c r="B477" s="82">
        <v>9876</v>
      </c>
      <c r="C477" s="78">
        <v>5475</v>
      </c>
      <c r="D477" s="69" t="s">
        <v>729</v>
      </c>
      <c r="E477" s="69" t="str">
        <f>+E476</f>
        <v>كسب عمل نوفمبر</v>
      </c>
      <c r="F477" s="69"/>
      <c r="T477" s="69">
        <v>1058.51</v>
      </c>
      <c r="U477" s="69"/>
      <c r="AR477" s="94">
        <f t="shared" si="59"/>
        <v>1058.51</v>
      </c>
      <c r="AS477" s="69">
        <v>1058.51</v>
      </c>
      <c r="AT477" s="69"/>
      <c r="BC477" s="69"/>
      <c r="BD477" s="69"/>
      <c r="CD477" s="94">
        <f t="shared" si="60"/>
        <v>1058.51</v>
      </c>
      <c r="CE477" s="73">
        <f t="shared" si="61"/>
        <v>0</v>
      </c>
      <c r="CF477" s="75">
        <f t="shared" si="62"/>
        <v>5475</v>
      </c>
      <c r="CG477" s="69" t="str">
        <f t="shared" si="62"/>
        <v>خدمات صيدلة</v>
      </c>
    </row>
    <row r="478" spans="2:85" x14ac:dyDescent="0.25">
      <c r="B478" s="82">
        <v>9877</v>
      </c>
      <c r="C478" s="78">
        <v>5476</v>
      </c>
      <c r="D478" s="69" t="s">
        <v>729</v>
      </c>
      <c r="E478" s="69" t="str">
        <f>+E474</f>
        <v>دمغه عاديه نوفمبر</v>
      </c>
      <c r="F478" s="69"/>
      <c r="T478" s="69">
        <v>72.5</v>
      </c>
      <c r="U478" s="69"/>
      <c r="AR478" s="94">
        <f t="shared" si="59"/>
        <v>72.5</v>
      </c>
      <c r="AS478" s="69">
        <v>72.5</v>
      </c>
      <c r="AT478" s="69"/>
      <c r="BC478" s="69"/>
      <c r="BD478" s="69"/>
      <c r="CD478" s="94">
        <f t="shared" si="60"/>
        <v>72.5</v>
      </c>
      <c r="CE478" s="73">
        <f t="shared" si="61"/>
        <v>0</v>
      </c>
      <c r="CF478" s="75">
        <f t="shared" si="62"/>
        <v>5476</v>
      </c>
      <c r="CG478" s="69" t="str">
        <f t="shared" si="62"/>
        <v>خدمات صيدلة</v>
      </c>
    </row>
    <row r="479" spans="2:85" x14ac:dyDescent="0.25">
      <c r="B479" s="82">
        <v>9878</v>
      </c>
      <c r="C479" s="78">
        <v>5477</v>
      </c>
      <c r="D479" s="69" t="s">
        <v>132</v>
      </c>
      <c r="E479" s="69" t="str">
        <f>+E477</f>
        <v>كسب عمل نوفمبر</v>
      </c>
      <c r="F479" s="69"/>
      <c r="T479" s="69">
        <v>39988.31</v>
      </c>
      <c r="U479" s="69"/>
      <c r="AR479" s="94">
        <f t="shared" si="59"/>
        <v>39988.31</v>
      </c>
      <c r="AS479" s="69">
        <v>39988.31</v>
      </c>
      <c r="AT479" s="69"/>
      <c r="BC479" s="69"/>
      <c r="BD479" s="69"/>
      <c r="CD479" s="94">
        <f t="shared" si="60"/>
        <v>39988.31</v>
      </c>
      <c r="CE479" s="73">
        <f t="shared" si="61"/>
        <v>0</v>
      </c>
      <c r="CF479" s="75">
        <f t="shared" si="62"/>
        <v>5477</v>
      </c>
      <c r="CG479" s="69" t="str">
        <f t="shared" si="62"/>
        <v>صيدلة اكلينيكى</v>
      </c>
    </row>
    <row r="480" spans="2:85" x14ac:dyDescent="0.25">
      <c r="B480" s="82">
        <v>9879</v>
      </c>
      <c r="C480" s="78">
        <v>5478</v>
      </c>
      <c r="D480" s="69" t="s">
        <v>132</v>
      </c>
      <c r="E480" s="69" t="str">
        <f>+E478</f>
        <v>دمغه عاديه نوفمبر</v>
      </c>
      <c r="F480" s="69"/>
      <c r="T480" s="69">
        <v>3203.54</v>
      </c>
      <c r="U480" s="69"/>
      <c r="AR480" s="94">
        <f t="shared" si="59"/>
        <v>3203.54</v>
      </c>
      <c r="AS480" s="69">
        <v>3203.54</v>
      </c>
      <c r="AT480" s="69"/>
      <c r="BC480" s="69"/>
      <c r="BD480" s="69"/>
      <c r="CD480" s="94">
        <f t="shared" si="60"/>
        <v>3203.54</v>
      </c>
      <c r="CE480" s="73">
        <f t="shared" si="61"/>
        <v>0</v>
      </c>
      <c r="CF480" s="75">
        <f t="shared" si="62"/>
        <v>5478</v>
      </c>
      <c r="CG480" s="69" t="str">
        <f t="shared" si="62"/>
        <v>صيدلة اكلينيكى</v>
      </c>
    </row>
    <row r="481" spans="2:89" x14ac:dyDescent="0.25">
      <c r="B481" s="82">
        <v>9880</v>
      </c>
      <c r="C481" s="78">
        <v>5479</v>
      </c>
      <c r="D481" s="69" t="s">
        <v>132</v>
      </c>
      <c r="E481" s="69" t="str">
        <f>+E465</f>
        <v>ضرائب متنوعه نوفمبر</v>
      </c>
      <c r="F481" s="69"/>
      <c r="T481" s="69">
        <v>501.2</v>
      </c>
      <c r="U481" s="69"/>
      <c r="AR481" s="94">
        <f t="shared" si="59"/>
        <v>501.2</v>
      </c>
      <c r="AS481" s="69">
        <v>501.2</v>
      </c>
      <c r="AT481" s="69"/>
      <c r="BC481" s="69"/>
      <c r="BD481" s="69"/>
      <c r="CD481" s="94">
        <f t="shared" si="60"/>
        <v>501.2</v>
      </c>
      <c r="CE481" s="73">
        <f t="shared" si="61"/>
        <v>0</v>
      </c>
      <c r="CF481" s="75">
        <f t="shared" si="62"/>
        <v>5479</v>
      </c>
      <c r="CG481" s="69" t="str">
        <f t="shared" si="62"/>
        <v>صيدلة اكلينيكى</v>
      </c>
    </row>
    <row r="482" spans="2:89" x14ac:dyDescent="0.25">
      <c r="B482" s="82">
        <v>9883</v>
      </c>
      <c r="C482" s="78">
        <v>5480</v>
      </c>
      <c r="D482" s="69" t="s">
        <v>132</v>
      </c>
      <c r="E482" s="69" t="str">
        <f>+E466</f>
        <v>تنميه موارد نوفمبر</v>
      </c>
      <c r="F482" s="69"/>
      <c r="T482" s="69"/>
      <c r="U482" s="69">
        <v>4</v>
      </c>
      <c r="AR482" s="94">
        <f t="shared" si="59"/>
        <v>4</v>
      </c>
      <c r="AS482" s="69">
        <v>4</v>
      </c>
      <c r="AT482" s="69"/>
      <c r="BC482" s="69"/>
      <c r="BD482" s="69"/>
      <c r="CD482" s="94">
        <f t="shared" si="60"/>
        <v>4</v>
      </c>
      <c r="CE482" s="73">
        <f t="shared" si="61"/>
        <v>0</v>
      </c>
      <c r="CF482" s="75">
        <f t="shared" si="62"/>
        <v>5480</v>
      </c>
      <c r="CG482" s="69" t="str">
        <f t="shared" si="62"/>
        <v>صيدلة اكلينيكى</v>
      </c>
    </row>
    <row r="483" spans="2:89" x14ac:dyDescent="0.25">
      <c r="B483" s="82">
        <v>9881</v>
      </c>
      <c r="C483" s="78">
        <v>5481</v>
      </c>
      <c r="D483" s="69" t="s">
        <v>119</v>
      </c>
      <c r="E483" s="69" t="str">
        <f>+E479</f>
        <v>كسب عمل نوفمبر</v>
      </c>
      <c r="F483" s="69"/>
      <c r="T483" s="69">
        <v>88206.27</v>
      </c>
      <c r="U483" s="69"/>
      <c r="AR483" s="94">
        <f t="shared" si="59"/>
        <v>88206.27</v>
      </c>
      <c r="AS483" s="69">
        <v>88206.27</v>
      </c>
      <c r="AT483" s="69"/>
      <c r="BC483" s="69"/>
      <c r="BD483" s="69"/>
      <c r="CD483" s="94">
        <f t="shared" si="60"/>
        <v>88206.27</v>
      </c>
      <c r="CE483" s="73">
        <f t="shared" si="61"/>
        <v>0</v>
      </c>
      <c r="CF483" s="75">
        <f t="shared" si="62"/>
        <v>5481</v>
      </c>
      <c r="CG483" s="69" t="str">
        <f t="shared" si="62"/>
        <v>خ ت صيدلة</v>
      </c>
    </row>
    <row r="484" spans="2:89" x14ac:dyDescent="0.25">
      <c r="B484" s="82">
        <v>9882</v>
      </c>
      <c r="C484" s="78">
        <v>5482</v>
      </c>
      <c r="D484" s="69" t="s">
        <v>119</v>
      </c>
      <c r="E484" s="69" t="str">
        <f>+E480</f>
        <v>دمغه عاديه نوفمبر</v>
      </c>
      <c r="F484" s="69"/>
      <c r="T484" s="69">
        <v>3795.25</v>
      </c>
      <c r="U484" s="69"/>
      <c r="AR484" s="94">
        <f t="shared" si="59"/>
        <v>3795.25</v>
      </c>
      <c r="AS484" s="69">
        <v>3795.25</v>
      </c>
      <c r="AT484" s="69"/>
      <c r="BC484" s="69"/>
      <c r="BD484" s="69"/>
      <c r="CD484" s="94">
        <f t="shared" si="60"/>
        <v>3795.25</v>
      </c>
      <c r="CE484" s="73">
        <f t="shared" si="61"/>
        <v>0</v>
      </c>
      <c r="CF484" s="75">
        <f t="shared" si="62"/>
        <v>5482</v>
      </c>
      <c r="CG484" s="69" t="str">
        <f t="shared" si="62"/>
        <v>خ ت صيدلة</v>
      </c>
    </row>
    <row r="485" spans="2:89" x14ac:dyDescent="0.25">
      <c r="B485" s="82"/>
      <c r="C485" s="78">
        <v>5483</v>
      </c>
      <c r="D485" s="69" t="s">
        <v>1431</v>
      </c>
      <c r="E485" s="69" t="s">
        <v>899</v>
      </c>
      <c r="F485" s="69"/>
      <c r="T485" s="69"/>
      <c r="U485" s="69"/>
      <c r="AR485" s="94">
        <f t="shared" si="59"/>
        <v>0</v>
      </c>
      <c r="AT485" s="69"/>
      <c r="BC485" s="69"/>
      <c r="BD485" s="69"/>
      <c r="CD485" s="94">
        <f t="shared" si="60"/>
        <v>0</v>
      </c>
      <c r="CE485" s="73">
        <f t="shared" si="61"/>
        <v>0</v>
      </c>
      <c r="CF485" s="75">
        <f t="shared" si="62"/>
        <v>5483</v>
      </c>
      <c r="CG485" s="69" t="str">
        <f t="shared" si="62"/>
        <v>لاب فقط</v>
      </c>
    </row>
    <row r="486" spans="2:89" x14ac:dyDescent="0.25">
      <c r="B486" s="82"/>
      <c r="C486" s="78">
        <v>5484</v>
      </c>
      <c r="D486" s="69" t="s">
        <v>1431</v>
      </c>
      <c r="E486" s="69" t="s">
        <v>899</v>
      </c>
      <c r="F486" s="69"/>
      <c r="T486" s="69"/>
      <c r="U486" s="69"/>
      <c r="AR486" s="94">
        <f t="shared" si="59"/>
        <v>0</v>
      </c>
      <c r="AT486" s="69"/>
      <c r="BC486" s="69"/>
      <c r="BD486" s="69"/>
      <c r="CD486" s="94">
        <f t="shared" si="60"/>
        <v>0</v>
      </c>
      <c r="CE486" s="73">
        <f t="shared" si="61"/>
        <v>0</v>
      </c>
      <c r="CF486" s="75">
        <f t="shared" si="62"/>
        <v>5484</v>
      </c>
      <c r="CG486" s="69" t="str">
        <f t="shared" si="62"/>
        <v>لاب فقط</v>
      </c>
    </row>
    <row r="487" spans="2:89" s="68" customFormat="1" x14ac:dyDescent="0.25">
      <c r="B487" s="83"/>
      <c r="C487" s="84"/>
      <c r="E487" s="68" t="s">
        <v>2821</v>
      </c>
      <c r="H487" s="68">
        <f t="shared" ref="H487:AM487" si="63">SUM(H444:H486)</f>
        <v>372192.99</v>
      </c>
      <c r="I487" s="68">
        <f t="shared" si="63"/>
        <v>0</v>
      </c>
      <c r="J487" s="68">
        <f t="shared" si="63"/>
        <v>0</v>
      </c>
      <c r="K487" s="68">
        <f t="shared" si="63"/>
        <v>0</v>
      </c>
      <c r="L487" s="68">
        <f t="shared" si="63"/>
        <v>0</v>
      </c>
      <c r="M487" s="68">
        <f t="shared" si="63"/>
        <v>0</v>
      </c>
      <c r="N487" s="68">
        <f t="shared" si="63"/>
        <v>0</v>
      </c>
      <c r="O487" s="68">
        <f t="shared" si="63"/>
        <v>5065</v>
      </c>
      <c r="P487" s="68">
        <f t="shared" si="63"/>
        <v>0</v>
      </c>
      <c r="Q487" s="68">
        <f t="shared" si="63"/>
        <v>0</v>
      </c>
      <c r="R487" s="68">
        <f t="shared" si="63"/>
        <v>0</v>
      </c>
      <c r="S487" s="68">
        <f t="shared" si="63"/>
        <v>0</v>
      </c>
      <c r="T487" s="68">
        <f t="shared" si="63"/>
        <v>912528.92999999993</v>
      </c>
      <c r="U487" s="68">
        <f t="shared" si="63"/>
        <v>1088</v>
      </c>
      <c r="V487" s="68">
        <f t="shared" si="63"/>
        <v>0</v>
      </c>
      <c r="W487" s="68">
        <f t="shared" si="63"/>
        <v>0</v>
      </c>
      <c r="X487" s="68">
        <f t="shared" si="63"/>
        <v>0</v>
      </c>
      <c r="Y487" s="68">
        <f t="shared" si="63"/>
        <v>0</v>
      </c>
      <c r="Z487" s="68">
        <f t="shared" si="63"/>
        <v>0</v>
      </c>
      <c r="AA487" s="68">
        <f t="shared" si="63"/>
        <v>0</v>
      </c>
      <c r="AB487" s="68">
        <f t="shared" si="63"/>
        <v>0</v>
      </c>
      <c r="AC487" s="68">
        <f t="shared" si="63"/>
        <v>0</v>
      </c>
      <c r="AD487" s="68">
        <f t="shared" si="63"/>
        <v>0</v>
      </c>
      <c r="AE487" s="68">
        <f t="shared" si="63"/>
        <v>0</v>
      </c>
      <c r="AF487" s="68">
        <f t="shared" si="63"/>
        <v>0</v>
      </c>
      <c r="AG487" s="68">
        <f t="shared" si="63"/>
        <v>0</v>
      </c>
      <c r="AH487" s="68">
        <f t="shared" si="63"/>
        <v>0</v>
      </c>
      <c r="AI487" s="68">
        <f t="shared" si="63"/>
        <v>0</v>
      </c>
      <c r="AJ487" s="68">
        <f t="shared" si="63"/>
        <v>0</v>
      </c>
      <c r="AK487" s="68">
        <f t="shared" si="63"/>
        <v>0</v>
      </c>
      <c r="AL487" s="68">
        <f t="shared" si="63"/>
        <v>0</v>
      </c>
      <c r="AM487" s="68">
        <f t="shared" si="63"/>
        <v>0</v>
      </c>
      <c r="AO487" s="68">
        <f t="shared" ref="AO487:CE487" si="64">SUM(AO444:AO486)</f>
        <v>0</v>
      </c>
      <c r="AP487" s="68">
        <f t="shared" si="64"/>
        <v>0</v>
      </c>
      <c r="AQ487" s="68">
        <f t="shared" si="64"/>
        <v>0</v>
      </c>
      <c r="AR487" s="68">
        <f t="shared" si="64"/>
        <v>1290874.9200000004</v>
      </c>
      <c r="AS487" s="68">
        <f t="shared" si="64"/>
        <v>1283523.8200000005</v>
      </c>
      <c r="AT487" s="68">
        <f t="shared" si="64"/>
        <v>1148.2</v>
      </c>
      <c r="AU487" s="68">
        <f t="shared" si="64"/>
        <v>0</v>
      </c>
      <c r="AV487" s="68">
        <f t="shared" si="64"/>
        <v>10</v>
      </c>
      <c r="AW487" s="68">
        <f t="shared" si="64"/>
        <v>0</v>
      </c>
      <c r="AX487" s="68">
        <f t="shared" si="64"/>
        <v>0</v>
      </c>
      <c r="AY487" s="68">
        <f t="shared" si="64"/>
        <v>0</v>
      </c>
      <c r="AZ487" s="68">
        <f t="shared" si="64"/>
        <v>0</v>
      </c>
      <c r="BA487" s="68">
        <f t="shared" si="64"/>
        <v>0</v>
      </c>
      <c r="BB487" s="68">
        <f t="shared" si="64"/>
        <v>0</v>
      </c>
      <c r="BC487" s="68">
        <f t="shared" si="64"/>
        <v>0</v>
      </c>
      <c r="BD487" s="68">
        <f t="shared" si="64"/>
        <v>0</v>
      </c>
      <c r="BE487" s="68">
        <f t="shared" si="64"/>
        <v>0</v>
      </c>
      <c r="BF487" s="68">
        <f t="shared" si="64"/>
        <v>869</v>
      </c>
      <c r="BG487" s="68">
        <f t="shared" si="64"/>
        <v>24</v>
      </c>
      <c r="BH487" s="68">
        <f t="shared" si="64"/>
        <v>234.9</v>
      </c>
      <c r="BI487" s="68">
        <f t="shared" si="64"/>
        <v>0</v>
      </c>
      <c r="BJ487" s="68">
        <f t="shared" si="64"/>
        <v>0</v>
      </c>
      <c r="BK487" s="68">
        <f t="shared" si="64"/>
        <v>0</v>
      </c>
      <c r="BL487" s="68">
        <f t="shared" si="64"/>
        <v>0</v>
      </c>
      <c r="BM487" s="68">
        <f t="shared" si="64"/>
        <v>0</v>
      </c>
      <c r="BN487" s="68">
        <f t="shared" si="64"/>
        <v>5065</v>
      </c>
      <c r="BO487" s="68">
        <f t="shared" si="64"/>
        <v>0</v>
      </c>
      <c r="BP487" s="68">
        <f t="shared" si="64"/>
        <v>0</v>
      </c>
      <c r="BQ487" s="68">
        <f t="shared" si="64"/>
        <v>0</v>
      </c>
      <c r="BR487" s="68">
        <f t="shared" si="64"/>
        <v>0</v>
      </c>
      <c r="BS487" s="68">
        <f t="shared" si="64"/>
        <v>0</v>
      </c>
      <c r="BT487" s="68">
        <f t="shared" si="64"/>
        <v>0</v>
      </c>
      <c r="BU487" s="68">
        <f t="shared" si="64"/>
        <v>0</v>
      </c>
      <c r="BV487" s="68">
        <f t="shared" si="64"/>
        <v>0</v>
      </c>
      <c r="BW487" s="68">
        <f t="shared" si="64"/>
        <v>0</v>
      </c>
      <c r="BX487" s="68">
        <f t="shared" si="64"/>
        <v>0</v>
      </c>
      <c r="BY487" s="68">
        <f t="shared" si="64"/>
        <v>0</v>
      </c>
      <c r="CA487" s="68">
        <f t="shared" si="64"/>
        <v>0</v>
      </c>
      <c r="CB487" s="68">
        <f t="shared" si="64"/>
        <v>0</v>
      </c>
      <c r="CC487" s="68">
        <f t="shared" si="64"/>
        <v>0</v>
      </c>
      <c r="CD487" s="68">
        <f t="shared" si="64"/>
        <v>1290874.9200000004</v>
      </c>
      <c r="CE487" s="68">
        <f t="shared" si="64"/>
        <v>0</v>
      </c>
      <c r="CG487" s="68">
        <f>SUM(CG444:CG486)</f>
        <v>0</v>
      </c>
      <c r="CH487" s="68">
        <f>SUM(CH444:CH486)</f>
        <v>0</v>
      </c>
      <c r="CI487" s="68">
        <f>SUM(CI444:CI486)</f>
        <v>0</v>
      </c>
      <c r="CJ487" s="68">
        <f>SUM(CJ444:CJ486)</f>
        <v>0</v>
      </c>
      <c r="CK487" s="68">
        <f>SUM(CK444:CK486)</f>
        <v>0</v>
      </c>
    </row>
    <row r="488" spans="2:89" x14ac:dyDescent="0.25">
      <c r="B488" s="82">
        <v>9760</v>
      </c>
      <c r="C488" s="78">
        <v>5485</v>
      </c>
      <c r="D488" s="69" t="s">
        <v>132</v>
      </c>
      <c r="E488" s="69" t="s">
        <v>2708</v>
      </c>
      <c r="F488" s="69"/>
      <c r="G488" s="69">
        <v>469</v>
      </c>
      <c r="T488" s="69"/>
      <c r="U488" s="69"/>
      <c r="AR488" s="94">
        <f t="shared" ref="AR488:AR551" si="65">SUM(G488:AQ488)</f>
        <v>469</v>
      </c>
      <c r="AS488" s="69">
        <v>313.72000000000003</v>
      </c>
      <c r="AT488" s="69">
        <f>40+2.28</f>
        <v>42.28</v>
      </c>
      <c r="AU488" s="69">
        <v>113</v>
      </c>
      <c r="BC488" s="69"/>
      <c r="BD488" s="69"/>
      <c r="CD488" s="94">
        <f t="shared" ref="CD488:CD551" si="66">SUM(AS488:CC488)</f>
        <v>469</v>
      </c>
      <c r="CE488" s="73">
        <f t="shared" ref="CE488:CE551" si="67">+CD488-AR488</f>
        <v>0</v>
      </c>
      <c r="CF488" s="75">
        <f t="shared" ref="CF488:CG551" si="68">+C488</f>
        <v>5485</v>
      </c>
      <c r="CG488" s="69" t="str">
        <f t="shared" si="68"/>
        <v>صيدلة اكلينيكى</v>
      </c>
    </row>
    <row r="489" spans="2:89" x14ac:dyDescent="0.25">
      <c r="B489" s="82">
        <v>8996</v>
      </c>
      <c r="C489" s="78">
        <v>5486</v>
      </c>
      <c r="D489" s="69" t="s">
        <v>132</v>
      </c>
      <c r="E489" s="69" t="s">
        <v>2822</v>
      </c>
      <c r="F489" s="69"/>
      <c r="G489" s="69">
        <v>134.44</v>
      </c>
      <c r="T489" s="69"/>
      <c r="U489" s="69"/>
      <c r="AR489" s="94">
        <f t="shared" si="65"/>
        <v>134.44</v>
      </c>
      <c r="AS489" s="69">
        <v>133.88999999999999</v>
      </c>
      <c r="AT489" s="69">
        <v>0.55000000000000004</v>
      </c>
      <c r="BC489" s="69"/>
      <c r="BD489" s="69"/>
      <c r="CD489" s="94">
        <f t="shared" si="66"/>
        <v>134.44</v>
      </c>
      <c r="CE489" s="73">
        <f t="shared" si="67"/>
        <v>0</v>
      </c>
      <c r="CF489" s="75">
        <f t="shared" si="68"/>
        <v>5486</v>
      </c>
      <c r="CG489" s="69" t="str">
        <f t="shared" si="68"/>
        <v>صيدلة اكلينيكى</v>
      </c>
    </row>
    <row r="490" spans="2:89" x14ac:dyDescent="0.25">
      <c r="B490" s="82">
        <v>9734</v>
      </c>
      <c r="C490" s="78">
        <v>5487</v>
      </c>
      <c r="D490" s="69" t="s">
        <v>121</v>
      </c>
      <c r="E490" s="69" t="s">
        <v>2823</v>
      </c>
      <c r="F490" s="69"/>
      <c r="G490" s="69">
        <v>311.3</v>
      </c>
      <c r="T490" s="69"/>
      <c r="U490" s="69"/>
      <c r="AR490" s="94">
        <f t="shared" si="65"/>
        <v>311.3</v>
      </c>
      <c r="AS490" s="69">
        <v>278.47000000000003</v>
      </c>
      <c r="AT490" s="69">
        <v>32.83</v>
      </c>
      <c r="BC490" s="69"/>
      <c r="BD490" s="69"/>
      <c r="CD490" s="94">
        <f t="shared" si="66"/>
        <v>311.3</v>
      </c>
      <c r="CE490" s="73">
        <f t="shared" si="67"/>
        <v>0</v>
      </c>
      <c r="CF490" s="75">
        <f t="shared" si="68"/>
        <v>5487</v>
      </c>
      <c r="CG490" s="69" t="str">
        <f t="shared" si="68"/>
        <v>ماليزى اسنان</v>
      </c>
    </row>
    <row r="491" spans="2:89" x14ac:dyDescent="0.25">
      <c r="B491" s="82">
        <v>9737</v>
      </c>
      <c r="C491" s="78">
        <v>5488</v>
      </c>
      <c r="D491" s="69" t="s">
        <v>121</v>
      </c>
      <c r="E491" s="69" t="s">
        <v>2823</v>
      </c>
      <c r="F491" s="69"/>
      <c r="G491" s="69">
        <v>9542.24</v>
      </c>
      <c r="T491" s="69"/>
      <c r="U491" s="69"/>
      <c r="AR491" s="94">
        <f t="shared" si="65"/>
        <v>9542.24</v>
      </c>
      <c r="AS491" s="69">
        <v>6380.93</v>
      </c>
      <c r="AT491" s="69">
        <v>848.22</v>
      </c>
      <c r="AU491" s="69">
        <v>2313.09</v>
      </c>
      <c r="BC491" s="69"/>
      <c r="BD491" s="69"/>
      <c r="CD491" s="94">
        <f t="shared" si="66"/>
        <v>9542.2400000000016</v>
      </c>
      <c r="CE491" s="73">
        <f t="shared" si="67"/>
        <v>0</v>
      </c>
      <c r="CF491" s="75">
        <f t="shared" si="68"/>
        <v>5488</v>
      </c>
      <c r="CG491" s="69" t="str">
        <f t="shared" si="68"/>
        <v>ماليزى اسنان</v>
      </c>
    </row>
    <row r="492" spans="2:89" x14ac:dyDescent="0.25">
      <c r="B492" s="82">
        <v>9733</v>
      </c>
      <c r="C492" s="78">
        <v>5489</v>
      </c>
      <c r="D492" s="69" t="s">
        <v>121</v>
      </c>
      <c r="E492" s="69" t="s">
        <v>2823</v>
      </c>
      <c r="F492" s="69"/>
      <c r="G492" s="69">
        <v>15328.11</v>
      </c>
      <c r="T492" s="69"/>
      <c r="U492" s="69"/>
      <c r="AR492" s="94">
        <f t="shared" si="65"/>
        <v>15328.11</v>
      </c>
      <c r="AS492" s="69">
        <v>10379.870000000001</v>
      </c>
      <c r="AT492" s="69">
        <v>1373.99</v>
      </c>
      <c r="AU492" s="69">
        <v>3574.25</v>
      </c>
      <c r="BC492" s="69"/>
      <c r="BD492" s="69"/>
      <c r="CD492" s="94">
        <f t="shared" si="66"/>
        <v>15328.11</v>
      </c>
      <c r="CE492" s="73">
        <f t="shared" si="67"/>
        <v>0</v>
      </c>
      <c r="CF492" s="75">
        <f t="shared" si="68"/>
        <v>5489</v>
      </c>
      <c r="CG492" s="69" t="str">
        <f t="shared" si="68"/>
        <v>ماليزى اسنان</v>
      </c>
    </row>
    <row r="493" spans="2:89" x14ac:dyDescent="0.25">
      <c r="B493" s="82">
        <v>9735</v>
      </c>
      <c r="C493" s="78">
        <v>5490</v>
      </c>
      <c r="D493" s="69" t="s">
        <v>121</v>
      </c>
      <c r="E493" s="69" t="s">
        <v>2823</v>
      </c>
      <c r="F493" s="69"/>
      <c r="G493" s="69">
        <v>257.10000000000002</v>
      </c>
      <c r="T493" s="69"/>
      <c r="U493" s="69"/>
      <c r="AR493" s="94">
        <f t="shared" si="65"/>
        <v>257.10000000000002</v>
      </c>
      <c r="AS493" s="69">
        <v>172.33</v>
      </c>
      <c r="AT493" s="69">
        <v>22.83</v>
      </c>
      <c r="AU493" s="69">
        <v>61.94</v>
      </c>
      <c r="BC493" s="69"/>
      <c r="BD493" s="69"/>
      <c r="CD493" s="94">
        <f t="shared" si="66"/>
        <v>257.10000000000002</v>
      </c>
      <c r="CE493" s="73">
        <f t="shared" si="67"/>
        <v>0</v>
      </c>
      <c r="CF493" s="75">
        <f t="shared" si="68"/>
        <v>5490</v>
      </c>
      <c r="CG493" s="69" t="str">
        <f t="shared" si="68"/>
        <v>ماليزى اسنان</v>
      </c>
    </row>
    <row r="494" spans="2:89" x14ac:dyDescent="0.25">
      <c r="B494" s="82">
        <v>9743</v>
      </c>
      <c r="C494" s="78">
        <v>5491</v>
      </c>
      <c r="D494" s="69" t="s">
        <v>121</v>
      </c>
      <c r="E494" s="69" t="s">
        <v>2823</v>
      </c>
      <c r="F494" s="69"/>
      <c r="G494" s="69">
        <v>173.46</v>
      </c>
      <c r="T494" s="69"/>
      <c r="U494" s="69"/>
      <c r="AR494" s="94">
        <f t="shared" si="65"/>
        <v>173.46</v>
      </c>
      <c r="AS494" s="69">
        <v>127.89</v>
      </c>
      <c r="AT494" s="69">
        <v>3.78</v>
      </c>
      <c r="AU494" s="69">
        <v>41.79</v>
      </c>
      <c r="BC494" s="69"/>
      <c r="BD494" s="69"/>
      <c r="CD494" s="94">
        <f t="shared" si="66"/>
        <v>173.45999999999998</v>
      </c>
      <c r="CE494" s="73">
        <f t="shared" si="67"/>
        <v>0</v>
      </c>
      <c r="CF494" s="75">
        <f t="shared" si="68"/>
        <v>5491</v>
      </c>
      <c r="CG494" s="69" t="str">
        <f t="shared" si="68"/>
        <v>ماليزى اسنان</v>
      </c>
    </row>
    <row r="495" spans="2:89" x14ac:dyDescent="0.25">
      <c r="B495" s="82">
        <v>9736</v>
      </c>
      <c r="C495" s="78">
        <v>5492</v>
      </c>
      <c r="D495" s="69" t="s">
        <v>121</v>
      </c>
      <c r="E495" s="69" t="s">
        <v>2823</v>
      </c>
      <c r="F495" s="69"/>
      <c r="G495" s="69">
        <v>8155.18</v>
      </c>
      <c r="T495" s="69"/>
      <c r="U495" s="69"/>
      <c r="AR495" s="94">
        <f t="shared" si="65"/>
        <v>8155.18</v>
      </c>
      <c r="AS495" s="69">
        <v>5462.46</v>
      </c>
      <c r="AT495" s="69">
        <v>727.79</v>
      </c>
      <c r="AU495" s="69">
        <v>1964.93</v>
      </c>
      <c r="BC495" s="69"/>
      <c r="BD495" s="69"/>
      <c r="CD495" s="94">
        <f t="shared" si="66"/>
        <v>8155.18</v>
      </c>
      <c r="CE495" s="73">
        <f t="shared" si="67"/>
        <v>0</v>
      </c>
      <c r="CF495" s="75">
        <f t="shared" si="68"/>
        <v>5492</v>
      </c>
      <c r="CG495" s="69" t="str">
        <f t="shared" si="68"/>
        <v>ماليزى اسنان</v>
      </c>
    </row>
    <row r="496" spans="2:89" x14ac:dyDescent="0.25">
      <c r="B496" s="82">
        <v>9746</v>
      </c>
      <c r="C496" s="78">
        <v>5493</v>
      </c>
      <c r="D496" s="69" t="s">
        <v>121</v>
      </c>
      <c r="E496" s="69" t="s">
        <v>2823</v>
      </c>
      <c r="F496" s="69"/>
      <c r="G496" s="69">
        <v>4955.79</v>
      </c>
      <c r="T496" s="69"/>
      <c r="U496" s="69"/>
      <c r="AR496" s="94">
        <f t="shared" si="65"/>
        <v>4955.79</v>
      </c>
      <c r="AS496" s="69">
        <v>3652.9</v>
      </c>
      <c r="AT496" s="69">
        <v>109.12</v>
      </c>
      <c r="AU496" s="69">
        <v>1193.77</v>
      </c>
      <c r="BC496" s="69"/>
      <c r="BD496" s="69"/>
      <c r="CD496" s="94">
        <f t="shared" si="66"/>
        <v>4955.79</v>
      </c>
      <c r="CE496" s="73">
        <f t="shared" si="67"/>
        <v>0</v>
      </c>
      <c r="CF496" s="75">
        <f t="shared" si="68"/>
        <v>5493</v>
      </c>
      <c r="CG496" s="69" t="str">
        <f t="shared" si="68"/>
        <v>ماليزى اسنان</v>
      </c>
    </row>
    <row r="497" spans="2:85" x14ac:dyDescent="0.25">
      <c r="B497" s="82">
        <v>9745</v>
      </c>
      <c r="C497" s="78">
        <v>5494</v>
      </c>
      <c r="D497" s="69" t="s">
        <v>121</v>
      </c>
      <c r="E497" s="69" t="s">
        <v>2823</v>
      </c>
      <c r="F497" s="69"/>
      <c r="G497" s="69">
        <v>229.52</v>
      </c>
      <c r="T497" s="69"/>
      <c r="U497" s="69"/>
      <c r="AR497" s="94">
        <f t="shared" si="65"/>
        <v>229.52</v>
      </c>
      <c r="AS497" s="69">
        <v>169.12</v>
      </c>
      <c r="AT497" s="69">
        <v>5.09</v>
      </c>
      <c r="AU497" s="69">
        <v>55.31</v>
      </c>
      <c r="BC497" s="69"/>
      <c r="BD497" s="69"/>
      <c r="CD497" s="94">
        <f t="shared" si="66"/>
        <v>229.52</v>
      </c>
      <c r="CE497" s="73">
        <f t="shared" si="67"/>
        <v>0</v>
      </c>
      <c r="CF497" s="75">
        <f t="shared" si="68"/>
        <v>5494</v>
      </c>
      <c r="CG497" s="69" t="str">
        <f t="shared" si="68"/>
        <v>ماليزى اسنان</v>
      </c>
    </row>
    <row r="498" spans="2:85" x14ac:dyDescent="0.25">
      <c r="B498" s="82">
        <v>9744</v>
      </c>
      <c r="C498" s="78">
        <v>5495</v>
      </c>
      <c r="D498" s="69" t="s">
        <v>121</v>
      </c>
      <c r="E498" s="69" t="s">
        <v>2823</v>
      </c>
      <c r="F498" s="69"/>
      <c r="G498" s="69">
        <v>867.3</v>
      </c>
      <c r="T498" s="69"/>
      <c r="U498" s="69"/>
      <c r="AR498" s="94">
        <f t="shared" si="65"/>
        <v>867.3</v>
      </c>
      <c r="AS498" s="69">
        <v>639.45000000000005</v>
      </c>
      <c r="AT498" s="69">
        <v>18.899999999999999</v>
      </c>
      <c r="AU498" s="69">
        <v>208.95</v>
      </c>
      <c r="BC498" s="69"/>
      <c r="BD498" s="69"/>
      <c r="CD498" s="94">
        <f t="shared" si="66"/>
        <v>867.3</v>
      </c>
      <c r="CE498" s="73">
        <f t="shared" si="67"/>
        <v>0</v>
      </c>
      <c r="CF498" s="75">
        <f t="shared" si="68"/>
        <v>5495</v>
      </c>
      <c r="CG498" s="69" t="str">
        <f t="shared" si="68"/>
        <v>ماليزى اسنان</v>
      </c>
    </row>
    <row r="499" spans="2:85" x14ac:dyDescent="0.25">
      <c r="B499" s="82">
        <v>9742</v>
      </c>
      <c r="C499" s="78">
        <v>5496</v>
      </c>
      <c r="D499" s="69" t="s">
        <v>121</v>
      </c>
      <c r="E499" s="69" t="s">
        <v>2823</v>
      </c>
      <c r="F499" s="69"/>
      <c r="G499" s="69">
        <v>11449.64</v>
      </c>
      <c r="T499" s="69"/>
      <c r="U499" s="69"/>
      <c r="AR499" s="94">
        <f t="shared" si="65"/>
        <v>11449.64</v>
      </c>
      <c r="AS499" s="69">
        <v>8182.12</v>
      </c>
      <c r="AT499" s="69">
        <v>509.38</v>
      </c>
      <c r="AU499" s="69">
        <v>2758.14</v>
      </c>
      <c r="BC499" s="69"/>
      <c r="BD499" s="69"/>
      <c r="CD499" s="94">
        <f t="shared" si="66"/>
        <v>11449.64</v>
      </c>
      <c r="CE499" s="73">
        <f t="shared" si="67"/>
        <v>0</v>
      </c>
      <c r="CF499" s="75">
        <f t="shared" si="68"/>
        <v>5496</v>
      </c>
      <c r="CG499" s="69" t="str">
        <f t="shared" si="68"/>
        <v>ماليزى اسنان</v>
      </c>
    </row>
    <row r="500" spans="2:85" x14ac:dyDescent="0.25">
      <c r="B500" s="82">
        <v>9741</v>
      </c>
      <c r="C500" s="78">
        <v>5497</v>
      </c>
      <c r="D500" s="69" t="s">
        <v>121</v>
      </c>
      <c r="E500" s="69" t="s">
        <v>2823</v>
      </c>
      <c r="F500" s="69"/>
      <c r="G500" s="69">
        <v>2523.58</v>
      </c>
      <c r="T500" s="69"/>
      <c r="U500" s="69"/>
      <c r="AR500" s="94">
        <f t="shared" si="65"/>
        <v>2523.58</v>
      </c>
      <c r="AS500" s="69">
        <v>1691.51</v>
      </c>
      <c r="AT500" s="69">
        <v>224.03</v>
      </c>
      <c r="AU500" s="69">
        <v>608.04</v>
      </c>
      <c r="BC500" s="69"/>
      <c r="BD500" s="69"/>
      <c r="CD500" s="94">
        <f t="shared" si="66"/>
        <v>2523.58</v>
      </c>
      <c r="CE500" s="73">
        <f t="shared" si="67"/>
        <v>0</v>
      </c>
      <c r="CF500" s="75">
        <f t="shared" si="68"/>
        <v>5497</v>
      </c>
      <c r="CG500" s="69" t="str">
        <f t="shared" si="68"/>
        <v>ماليزى اسنان</v>
      </c>
    </row>
    <row r="501" spans="2:85" x14ac:dyDescent="0.25">
      <c r="B501" s="82">
        <v>9740</v>
      </c>
      <c r="C501" s="78">
        <v>5498</v>
      </c>
      <c r="D501" s="69" t="s">
        <v>121</v>
      </c>
      <c r="E501" s="69" t="s">
        <v>2823</v>
      </c>
      <c r="F501" s="69"/>
      <c r="G501" s="69">
        <v>990.83</v>
      </c>
      <c r="T501" s="69"/>
      <c r="U501" s="69"/>
      <c r="AR501" s="94">
        <f t="shared" si="65"/>
        <v>990.83</v>
      </c>
      <c r="AS501" s="69">
        <v>664.15</v>
      </c>
      <c r="AT501" s="69">
        <v>87.95</v>
      </c>
      <c r="AU501" s="69">
        <v>238.73</v>
      </c>
      <c r="BC501" s="69"/>
      <c r="BD501" s="69"/>
      <c r="CD501" s="94">
        <f t="shared" si="66"/>
        <v>990.83</v>
      </c>
      <c r="CE501" s="73">
        <f t="shared" si="67"/>
        <v>0</v>
      </c>
      <c r="CF501" s="75">
        <f t="shared" si="68"/>
        <v>5498</v>
      </c>
      <c r="CG501" s="69" t="str">
        <f t="shared" si="68"/>
        <v>ماليزى اسنان</v>
      </c>
    </row>
    <row r="502" spans="2:85" x14ac:dyDescent="0.25">
      <c r="B502" s="82">
        <v>9739</v>
      </c>
      <c r="C502" s="78">
        <v>5499</v>
      </c>
      <c r="D502" s="69" t="s">
        <v>121</v>
      </c>
      <c r="E502" s="69" t="s">
        <v>2823</v>
      </c>
      <c r="F502" s="69"/>
      <c r="G502" s="69">
        <v>230.6</v>
      </c>
      <c r="T502" s="69"/>
      <c r="U502" s="69"/>
      <c r="AR502" s="94">
        <f t="shared" si="65"/>
        <v>230.6</v>
      </c>
      <c r="AS502" s="69">
        <v>154.61000000000001</v>
      </c>
      <c r="AT502" s="69">
        <v>20.420000000000002</v>
      </c>
      <c r="AU502" s="69">
        <v>55.57</v>
      </c>
      <c r="BC502" s="69"/>
      <c r="BD502" s="69"/>
      <c r="CD502" s="94">
        <f t="shared" si="66"/>
        <v>230.60000000000002</v>
      </c>
      <c r="CE502" s="73">
        <f t="shared" si="67"/>
        <v>0</v>
      </c>
      <c r="CF502" s="75">
        <f t="shared" si="68"/>
        <v>5499</v>
      </c>
      <c r="CG502" s="69" t="str">
        <f t="shared" si="68"/>
        <v>ماليزى اسنان</v>
      </c>
    </row>
    <row r="503" spans="2:85" x14ac:dyDescent="0.25">
      <c r="B503" s="82">
        <v>9738</v>
      </c>
      <c r="C503" s="78">
        <v>5500</v>
      </c>
      <c r="D503" s="69" t="s">
        <v>121</v>
      </c>
      <c r="E503" s="69" t="s">
        <v>2823</v>
      </c>
      <c r="F503" s="69"/>
      <c r="G503" s="69">
        <v>9390.43</v>
      </c>
      <c r="T503" s="69"/>
      <c r="U503" s="69"/>
      <c r="AR503" s="94">
        <f t="shared" si="65"/>
        <v>9390.43</v>
      </c>
      <c r="AS503" s="69">
        <v>6291.9</v>
      </c>
      <c r="AT503" s="69">
        <v>836.06</v>
      </c>
      <c r="AU503" s="69">
        <v>2262.4699999999998</v>
      </c>
      <c r="BC503" s="69"/>
      <c r="BD503" s="69"/>
      <c r="CD503" s="94">
        <f t="shared" si="66"/>
        <v>9390.4299999999985</v>
      </c>
      <c r="CE503" s="73">
        <f t="shared" si="67"/>
        <v>0</v>
      </c>
      <c r="CF503" s="75">
        <f t="shared" si="68"/>
        <v>5500</v>
      </c>
      <c r="CG503" s="69" t="str">
        <f t="shared" si="68"/>
        <v>ماليزى اسنان</v>
      </c>
    </row>
    <row r="504" spans="2:85" x14ac:dyDescent="0.25">
      <c r="B504" s="82">
        <v>9838</v>
      </c>
      <c r="C504" s="78">
        <v>5501</v>
      </c>
      <c r="D504" s="69" t="s">
        <v>123</v>
      </c>
      <c r="E504" s="69" t="s">
        <v>2824</v>
      </c>
      <c r="F504" s="69"/>
      <c r="G504" s="69">
        <v>5041.75</v>
      </c>
      <c r="T504" s="69"/>
      <c r="U504" s="69"/>
      <c r="AR504" s="94">
        <f t="shared" si="65"/>
        <v>5041.75</v>
      </c>
      <c r="AS504" s="69">
        <v>3159.15</v>
      </c>
      <c r="AT504" s="69">
        <v>452.85</v>
      </c>
      <c r="AU504" s="69">
        <v>1214.75</v>
      </c>
      <c r="AV504" s="69">
        <v>215</v>
      </c>
      <c r="BC504" s="69"/>
      <c r="BD504" s="69"/>
      <c r="CD504" s="94">
        <f t="shared" si="66"/>
        <v>5041.75</v>
      </c>
      <c r="CE504" s="73">
        <f t="shared" si="67"/>
        <v>0</v>
      </c>
      <c r="CF504" s="75">
        <f t="shared" si="68"/>
        <v>5501</v>
      </c>
      <c r="CG504" s="69" t="str">
        <f t="shared" si="68"/>
        <v>خ ت اسنان</v>
      </c>
    </row>
    <row r="505" spans="2:85" x14ac:dyDescent="0.25">
      <c r="B505" s="82">
        <v>9837</v>
      </c>
      <c r="C505" s="78">
        <v>5502</v>
      </c>
      <c r="D505" s="69" t="s">
        <v>123</v>
      </c>
      <c r="E505" s="69" t="s">
        <v>2825</v>
      </c>
      <c r="F505" s="69"/>
      <c r="G505" s="69">
        <v>351.75</v>
      </c>
      <c r="T505" s="69"/>
      <c r="U505" s="69"/>
      <c r="AR505" s="94">
        <f t="shared" si="65"/>
        <v>351.75</v>
      </c>
      <c r="AS505" s="69">
        <v>221.25</v>
      </c>
      <c r="AT505" s="69">
        <v>30.75</v>
      </c>
      <c r="AU505" s="69">
        <v>84.75</v>
      </c>
      <c r="AV505" s="69">
        <v>15</v>
      </c>
      <c r="BC505" s="69"/>
      <c r="BD505" s="69"/>
      <c r="CD505" s="94">
        <f t="shared" si="66"/>
        <v>351.75</v>
      </c>
      <c r="CE505" s="73">
        <f t="shared" si="67"/>
        <v>0</v>
      </c>
      <c r="CF505" s="75">
        <f t="shared" si="68"/>
        <v>5502</v>
      </c>
      <c r="CG505" s="69" t="str">
        <f t="shared" si="68"/>
        <v>خ ت اسنان</v>
      </c>
    </row>
    <row r="506" spans="2:85" x14ac:dyDescent="0.25">
      <c r="B506" s="82">
        <v>9839</v>
      </c>
      <c r="C506" s="78">
        <v>5503</v>
      </c>
      <c r="D506" s="69" t="s">
        <v>123</v>
      </c>
      <c r="E506" s="69" t="str">
        <f>+E504</f>
        <v>مكافاه مصروفات دراسيه نوفمبر</v>
      </c>
      <c r="F506" s="69"/>
      <c r="G506" s="69">
        <v>1172.5</v>
      </c>
      <c r="T506" s="69"/>
      <c r="U506" s="69"/>
      <c r="AR506" s="94">
        <f t="shared" si="65"/>
        <v>1172.5</v>
      </c>
      <c r="AS506" s="69">
        <v>784.8</v>
      </c>
      <c r="AT506" s="69">
        <v>105.2</v>
      </c>
      <c r="AU506" s="69">
        <v>282.5</v>
      </c>
      <c r="BC506" s="69"/>
      <c r="BD506" s="69"/>
      <c r="CD506" s="94">
        <f t="shared" si="66"/>
        <v>1172.5</v>
      </c>
      <c r="CE506" s="73">
        <f t="shared" si="67"/>
        <v>0</v>
      </c>
      <c r="CF506" s="75">
        <f t="shared" si="68"/>
        <v>5503</v>
      </c>
      <c r="CG506" s="69" t="str">
        <f t="shared" si="68"/>
        <v>خ ت اسنان</v>
      </c>
    </row>
    <row r="507" spans="2:85" x14ac:dyDescent="0.25">
      <c r="B507" s="82">
        <v>9795</v>
      </c>
      <c r="C507" s="78">
        <v>5504</v>
      </c>
      <c r="D507" s="69" t="s">
        <v>78</v>
      </c>
      <c r="E507" s="69" t="s">
        <v>2826</v>
      </c>
      <c r="F507" s="69"/>
      <c r="G507" s="69">
        <v>3517.5</v>
      </c>
      <c r="T507" s="69"/>
      <c r="U507" s="69"/>
      <c r="AR507" s="94">
        <f t="shared" si="65"/>
        <v>3517.5</v>
      </c>
      <c r="AS507" s="69">
        <v>2352.3000000000002</v>
      </c>
      <c r="AT507" s="69">
        <v>317.7</v>
      </c>
      <c r="AU507" s="69">
        <v>847.5</v>
      </c>
      <c r="BC507" s="69"/>
      <c r="BD507" s="69"/>
      <c r="CD507" s="94">
        <f t="shared" si="66"/>
        <v>3517.5</v>
      </c>
      <c r="CE507" s="73">
        <f t="shared" si="67"/>
        <v>0</v>
      </c>
      <c r="CF507" s="75">
        <f t="shared" si="68"/>
        <v>5504</v>
      </c>
      <c r="CG507" s="69" t="str">
        <f t="shared" si="68"/>
        <v>برنامج دولى</v>
      </c>
    </row>
    <row r="508" spans="2:85" x14ac:dyDescent="0.25">
      <c r="B508" s="82">
        <v>9794</v>
      </c>
      <c r="C508" s="78">
        <v>5505</v>
      </c>
      <c r="D508" s="69" t="s">
        <v>78</v>
      </c>
      <c r="E508" s="69" t="s">
        <v>2826</v>
      </c>
      <c r="F508" s="69"/>
      <c r="G508" s="69">
        <v>1172.5</v>
      </c>
      <c r="T508" s="69"/>
      <c r="U508" s="69"/>
      <c r="AR508" s="94">
        <f t="shared" si="65"/>
        <v>1172.5</v>
      </c>
      <c r="AS508" s="69">
        <v>784.1</v>
      </c>
      <c r="AT508" s="69">
        <v>105.9</v>
      </c>
      <c r="AU508" s="69">
        <v>282.5</v>
      </c>
      <c r="BC508" s="69"/>
      <c r="BD508" s="69"/>
      <c r="CD508" s="94">
        <f t="shared" si="66"/>
        <v>1172.5</v>
      </c>
      <c r="CE508" s="73">
        <f t="shared" si="67"/>
        <v>0</v>
      </c>
      <c r="CF508" s="75">
        <f t="shared" si="68"/>
        <v>5505</v>
      </c>
      <c r="CG508" s="69" t="str">
        <f t="shared" si="68"/>
        <v>برنامج دولى</v>
      </c>
    </row>
    <row r="509" spans="2:85" x14ac:dyDescent="0.25">
      <c r="B509" s="82">
        <v>9796</v>
      </c>
      <c r="C509" s="78">
        <v>5506</v>
      </c>
      <c r="D509" s="69" t="s">
        <v>78</v>
      </c>
      <c r="E509" s="69" t="s">
        <v>1909</v>
      </c>
      <c r="F509" s="69"/>
      <c r="G509" s="69">
        <v>13263.8</v>
      </c>
      <c r="T509" s="69"/>
      <c r="U509" s="69"/>
      <c r="AR509" s="94">
        <f t="shared" si="65"/>
        <v>13263.8</v>
      </c>
      <c r="AS509" s="69">
        <v>8622.1</v>
      </c>
      <c r="AT509" s="69">
        <v>1180</v>
      </c>
      <c r="AU509" s="69">
        <v>3461.7</v>
      </c>
      <c r="BC509" s="69"/>
      <c r="BD509" s="69"/>
      <c r="CD509" s="94">
        <f t="shared" si="66"/>
        <v>13263.8</v>
      </c>
      <c r="CE509" s="73">
        <f t="shared" si="67"/>
        <v>0</v>
      </c>
      <c r="CF509" s="75">
        <f t="shared" si="68"/>
        <v>5506</v>
      </c>
      <c r="CG509" s="69" t="str">
        <f t="shared" si="68"/>
        <v>برنامج دولى</v>
      </c>
    </row>
    <row r="510" spans="2:85" x14ac:dyDescent="0.25">
      <c r="B510" s="82">
        <v>9797</v>
      </c>
      <c r="C510" s="78">
        <v>5507</v>
      </c>
      <c r="D510" s="69" t="s">
        <v>78</v>
      </c>
      <c r="E510" s="69" t="s">
        <v>1909</v>
      </c>
      <c r="F510" s="69"/>
      <c r="G510" s="69">
        <v>586.25</v>
      </c>
      <c r="T510" s="69"/>
      <c r="U510" s="69"/>
      <c r="AR510" s="94">
        <f t="shared" si="65"/>
        <v>586.25</v>
      </c>
      <c r="AS510" s="69">
        <v>392.4</v>
      </c>
      <c r="AT510" s="69">
        <v>52.6</v>
      </c>
      <c r="AU510" s="69">
        <v>141.25</v>
      </c>
      <c r="BC510" s="69"/>
      <c r="BD510" s="69"/>
      <c r="CD510" s="94">
        <f t="shared" si="66"/>
        <v>586.25</v>
      </c>
      <c r="CE510" s="73">
        <f t="shared" si="67"/>
        <v>0</v>
      </c>
      <c r="CF510" s="75">
        <f t="shared" si="68"/>
        <v>5507</v>
      </c>
      <c r="CG510" s="69" t="str">
        <f t="shared" si="68"/>
        <v>برنامج دولى</v>
      </c>
    </row>
    <row r="511" spans="2:85" x14ac:dyDescent="0.25">
      <c r="B511" s="82">
        <v>9798</v>
      </c>
      <c r="C511" s="78">
        <v>5508</v>
      </c>
      <c r="D511" s="69" t="s">
        <v>78</v>
      </c>
      <c r="E511" s="69" t="s">
        <v>1909</v>
      </c>
      <c r="F511" s="69"/>
      <c r="G511" s="69">
        <v>351.75</v>
      </c>
      <c r="T511" s="69"/>
      <c r="U511" s="69"/>
      <c r="AR511" s="94">
        <f t="shared" si="65"/>
        <v>351.75</v>
      </c>
      <c r="AS511" s="69">
        <v>235.55</v>
      </c>
      <c r="AT511" s="69">
        <v>31.45</v>
      </c>
      <c r="AU511" s="69">
        <v>84.75</v>
      </c>
      <c r="BC511" s="69"/>
      <c r="BD511" s="69"/>
      <c r="CD511" s="94">
        <f t="shared" si="66"/>
        <v>351.75</v>
      </c>
      <c r="CE511" s="73">
        <f t="shared" si="67"/>
        <v>0</v>
      </c>
      <c r="CF511" s="75">
        <f t="shared" si="68"/>
        <v>5508</v>
      </c>
      <c r="CG511" s="69" t="str">
        <f t="shared" si="68"/>
        <v>برنامج دولى</v>
      </c>
    </row>
    <row r="512" spans="2:85" x14ac:dyDescent="0.25">
      <c r="B512" s="82">
        <v>9799</v>
      </c>
      <c r="C512" s="78">
        <v>5509</v>
      </c>
      <c r="D512" s="69" t="s">
        <v>78</v>
      </c>
      <c r="E512" s="69" t="s">
        <v>1909</v>
      </c>
      <c r="F512" s="69"/>
      <c r="G512" s="69">
        <v>469</v>
      </c>
      <c r="T512" s="69"/>
      <c r="U512" s="69"/>
      <c r="AR512" s="94">
        <f t="shared" si="65"/>
        <v>469</v>
      </c>
      <c r="AS512" s="69">
        <v>314.39999999999998</v>
      </c>
      <c r="AT512" s="69">
        <v>41.6</v>
      </c>
      <c r="AU512" s="69">
        <v>113</v>
      </c>
      <c r="BC512" s="69"/>
      <c r="BD512" s="69"/>
      <c r="CD512" s="94">
        <f t="shared" si="66"/>
        <v>469</v>
      </c>
      <c r="CE512" s="73">
        <f t="shared" si="67"/>
        <v>0</v>
      </c>
      <c r="CF512" s="75">
        <f t="shared" si="68"/>
        <v>5509</v>
      </c>
      <c r="CG512" s="69" t="str">
        <f t="shared" si="68"/>
        <v>برنامج دولى</v>
      </c>
    </row>
    <row r="513" spans="2:85" x14ac:dyDescent="0.25">
      <c r="B513" s="82">
        <v>9800</v>
      </c>
      <c r="C513" s="78">
        <v>5510</v>
      </c>
      <c r="D513" s="69" t="s">
        <v>78</v>
      </c>
      <c r="E513" s="69" t="s">
        <v>1909</v>
      </c>
      <c r="F513" s="69"/>
      <c r="G513" s="69">
        <v>879.38</v>
      </c>
      <c r="T513" s="69"/>
      <c r="U513" s="69"/>
      <c r="AR513" s="94">
        <f t="shared" si="65"/>
        <v>879.38</v>
      </c>
      <c r="AS513" s="69">
        <v>588.15</v>
      </c>
      <c r="AT513" s="69">
        <v>79.349999999999994</v>
      </c>
      <c r="AU513" s="69">
        <v>211.88</v>
      </c>
      <c r="BC513" s="69"/>
      <c r="BD513" s="69"/>
      <c r="CD513" s="94">
        <f t="shared" si="66"/>
        <v>879.38</v>
      </c>
      <c r="CE513" s="73">
        <f t="shared" si="67"/>
        <v>0</v>
      </c>
      <c r="CF513" s="75">
        <f t="shared" si="68"/>
        <v>5510</v>
      </c>
      <c r="CG513" s="69" t="str">
        <f t="shared" si="68"/>
        <v>برنامج دولى</v>
      </c>
    </row>
    <row r="514" spans="2:85" x14ac:dyDescent="0.25">
      <c r="B514" s="82">
        <v>9801</v>
      </c>
      <c r="C514" s="78">
        <v>5511</v>
      </c>
      <c r="D514" s="69" t="s">
        <v>78</v>
      </c>
      <c r="E514" s="69" t="s">
        <v>1909</v>
      </c>
      <c r="F514" s="69"/>
      <c r="G514" s="69">
        <v>2286.38</v>
      </c>
      <c r="T514" s="69"/>
      <c r="U514" s="69"/>
      <c r="AR514" s="94">
        <f t="shared" si="65"/>
        <v>2286.38</v>
      </c>
      <c r="AS514" s="69">
        <v>1529.85</v>
      </c>
      <c r="AT514" s="69">
        <v>205.65</v>
      </c>
      <c r="AU514" s="69">
        <v>550.88</v>
      </c>
      <c r="BC514" s="69"/>
      <c r="BD514" s="69"/>
      <c r="CD514" s="94">
        <f t="shared" si="66"/>
        <v>2286.38</v>
      </c>
      <c r="CE514" s="73">
        <f t="shared" si="67"/>
        <v>0</v>
      </c>
      <c r="CF514" s="75">
        <f t="shared" si="68"/>
        <v>5511</v>
      </c>
      <c r="CG514" s="69" t="str">
        <f t="shared" si="68"/>
        <v>برنامج دولى</v>
      </c>
    </row>
    <row r="515" spans="2:85" x14ac:dyDescent="0.25">
      <c r="B515" s="82">
        <v>9802</v>
      </c>
      <c r="C515" s="78">
        <v>5512</v>
      </c>
      <c r="D515" s="69" t="s">
        <v>78</v>
      </c>
      <c r="E515" s="69" t="s">
        <v>1909</v>
      </c>
      <c r="F515" s="69"/>
      <c r="G515" s="69">
        <v>2110.5</v>
      </c>
      <c r="T515" s="69"/>
      <c r="U515" s="69"/>
      <c r="AR515" s="94">
        <f t="shared" si="65"/>
        <v>2110.5</v>
      </c>
      <c r="AS515" s="69">
        <v>1411.4</v>
      </c>
      <c r="AT515" s="69">
        <v>190.6</v>
      </c>
      <c r="AU515" s="69">
        <v>508.5</v>
      </c>
      <c r="BC515" s="69"/>
      <c r="BD515" s="69"/>
      <c r="CD515" s="94">
        <f t="shared" si="66"/>
        <v>2110.5</v>
      </c>
      <c r="CE515" s="73">
        <f t="shared" si="67"/>
        <v>0</v>
      </c>
      <c r="CF515" s="75">
        <f t="shared" si="68"/>
        <v>5512</v>
      </c>
      <c r="CG515" s="69" t="str">
        <f t="shared" si="68"/>
        <v>برنامج دولى</v>
      </c>
    </row>
    <row r="516" spans="2:85" x14ac:dyDescent="0.25">
      <c r="B516" s="82">
        <v>9803</v>
      </c>
      <c r="C516" s="78">
        <v>5513</v>
      </c>
      <c r="D516" s="69" t="s">
        <v>78</v>
      </c>
      <c r="E516" s="69" t="s">
        <v>1909</v>
      </c>
      <c r="F516" s="69"/>
      <c r="G516" s="69">
        <v>762.12</v>
      </c>
      <c r="T516" s="69"/>
      <c r="U516" s="69"/>
      <c r="AR516" s="94">
        <f t="shared" si="65"/>
        <v>762.12</v>
      </c>
      <c r="AS516" s="69">
        <v>509.8</v>
      </c>
      <c r="AT516" s="69">
        <v>68.7</v>
      </c>
      <c r="AU516" s="69">
        <v>183.62</v>
      </c>
      <c r="BC516" s="69"/>
      <c r="BD516" s="69"/>
      <c r="CD516" s="94">
        <f t="shared" si="66"/>
        <v>762.12</v>
      </c>
      <c r="CE516" s="73">
        <f t="shared" si="67"/>
        <v>0</v>
      </c>
      <c r="CF516" s="75">
        <f t="shared" si="68"/>
        <v>5513</v>
      </c>
      <c r="CG516" s="69" t="str">
        <f t="shared" si="68"/>
        <v>برنامج دولى</v>
      </c>
    </row>
    <row r="517" spans="2:85" x14ac:dyDescent="0.25">
      <c r="B517" s="82">
        <v>9804</v>
      </c>
      <c r="C517" s="78">
        <v>5514</v>
      </c>
      <c r="D517" s="69" t="s">
        <v>78</v>
      </c>
      <c r="E517" s="69" t="s">
        <v>1909</v>
      </c>
      <c r="F517" s="69"/>
      <c r="G517" s="69">
        <v>2345</v>
      </c>
      <c r="T517" s="69"/>
      <c r="U517" s="69"/>
      <c r="AR517" s="94">
        <f t="shared" si="65"/>
        <v>2345</v>
      </c>
      <c r="AS517" s="69">
        <v>1569.9</v>
      </c>
      <c r="AT517" s="69">
        <v>210.1</v>
      </c>
      <c r="AU517" s="69">
        <v>565</v>
      </c>
      <c r="BC517" s="69"/>
      <c r="BD517" s="69"/>
      <c r="CD517" s="94">
        <f t="shared" si="66"/>
        <v>2345</v>
      </c>
      <c r="CE517" s="73">
        <f t="shared" si="67"/>
        <v>0</v>
      </c>
      <c r="CF517" s="75">
        <f t="shared" si="68"/>
        <v>5514</v>
      </c>
      <c r="CG517" s="69" t="str">
        <f t="shared" si="68"/>
        <v>برنامج دولى</v>
      </c>
    </row>
    <row r="518" spans="2:85" x14ac:dyDescent="0.25">
      <c r="B518" s="82">
        <v>9805</v>
      </c>
      <c r="C518" s="78">
        <v>5515</v>
      </c>
      <c r="D518" s="69" t="s">
        <v>78</v>
      </c>
      <c r="E518" s="69" t="s">
        <v>1909</v>
      </c>
      <c r="F518" s="69"/>
      <c r="G518" s="69">
        <v>1672.5</v>
      </c>
      <c r="T518" s="69"/>
      <c r="U518" s="69"/>
      <c r="AR518" s="94">
        <f t="shared" si="65"/>
        <v>1672.5</v>
      </c>
      <c r="AS518" s="69">
        <v>1231.1500000000001</v>
      </c>
      <c r="AT518" s="69">
        <v>158.85</v>
      </c>
      <c r="AU518" s="69">
        <v>282.5</v>
      </c>
      <c r="BC518" s="69"/>
      <c r="BD518" s="69"/>
      <c r="CD518" s="94">
        <f t="shared" si="66"/>
        <v>1672.5</v>
      </c>
      <c r="CE518" s="73">
        <f t="shared" si="67"/>
        <v>0</v>
      </c>
      <c r="CF518" s="75">
        <f t="shared" si="68"/>
        <v>5515</v>
      </c>
      <c r="CG518" s="69" t="str">
        <f t="shared" si="68"/>
        <v>برنامج دولى</v>
      </c>
    </row>
    <row r="519" spans="2:85" x14ac:dyDescent="0.25">
      <c r="B519" s="82">
        <v>9806</v>
      </c>
      <c r="C519" s="78">
        <v>5516</v>
      </c>
      <c r="D519" s="69" t="s">
        <v>78</v>
      </c>
      <c r="E519" s="69" t="s">
        <v>2827</v>
      </c>
      <c r="F519" s="69"/>
      <c r="G519" s="69">
        <v>4045.13</v>
      </c>
      <c r="T519" s="69"/>
      <c r="U519" s="69"/>
      <c r="AR519" s="94">
        <f t="shared" si="65"/>
        <v>4045.13</v>
      </c>
      <c r="AS519" s="69">
        <v>2706.5</v>
      </c>
      <c r="AT519" s="69">
        <f>19+345</f>
        <v>364</v>
      </c>
      <c r="AU519" s="69">
        <f>1338.63-19-345</f>
        <v>974.63000000000011</v>
      </c>
      <c r="BC519" s="69"/>
      <c r="BD519" s="69"/>
      <c r="CD519" s="94">
        <f t="shared" si="66"/>
        <v>4045.13</v>
      </c>
      <c r="CE519" s="73">
        <f t="shared" si="67"/>
        <v>0</v>
      </c>
      <c r="CF519" s="75">
        <f t="shared" si="68"/>
        <v>5516</v>
      </c>
      <c r="CG519" s="69" t="str">
        <f t="shared" si="68"/>
        <v>برنامج دولى</v>
      </c>
    </row>
    <row r="520" spans="2:85" x14ac:dyDescent="0.25">
      <c r="B520" s="82">
        <v>9793</v>
      </c>
      <c r="C520" s="78">
        <v>5517</v>
      </c>
      <c r="D520" s="69" t="s">
        <v>78</v>
      </c>
      <c r="E520" s="69" t="s">
        <v>2828</v>
      </c>
      <c r="F520" s="69"/>
      <c r="G520" s="69">
        <v>3165.75</v>
      </c>
      <c r="T520" s="69"/>
      <c r="U520" s="69"/>
      <c r="AR520" s="94">
        <f t="shared" si="65"/>
        <v>3165.75</v>
      </c>
      <c r="AS520" s="69">
        <v>2116.1</v>
      </c>
      <c r="AT520" s="69">
        <v>286.89999999999998</v>
      </c>
      <c r="AU520" s="69">
        <v>762.75</v>
      </c>
      <c r="BC520" s="69"/>
      <c r="BD520" s="69"/>
      <c r="CD520" s="94">
        <f t="shared" si="66"/>
        <v>3165.75</v>
      </c>
      <c r="CE520" s="73">
        <f t="shared" si="67"/>
        <v>0</v>
      </c>
      <c r="CF520" s="75">
        <f t="shared" si="68"/>
        <v>5517</v>
      </c>
      <c r="CG520" s="69" t="str">
        <f t="shared" si="68"/>
        <v>برنامج دولى</v>
      </c>
    </row>
    <row r="521" spans="2:85" x14ac:dyDescent="0.25">
      <c r="B521" s="82">
        <v>9792</v>
      </c>
      <c r="C521" s="78">
        <v>5518</v>
      </c>
      <c r="D521" s="69" t="s">
        <v>78</v>
      </c>
      <c r="E521" s="69" t="s">
        <v>2829</v>
      </c>
      <c r="F521" s="69"/>
      <c r="G521" s="69">
        <v>246.22</v>
      </c>
      <c r="T521" s="69"/>
      <c r="U521" s="69"/>
      <c r="AR521" s="94">
        <f t="shared" si="65"/>
        <v>246.22</v>
      </c>
      <c r="AS521" s="69">
        <v>165.05</v>
      </c>
      <c r="AT521" s="69">
        <v>21.85</v>
      </c>
      <c r="AU521" s="69">
        <v>59.32</v>
      </c>
      <c r="BC521" s="69"/>
      <c r="BD521" s="69"/>
      <c r="CD521" s="94">
        <f t="shared" si="66"/>
        <v>246.22</v>
      </c>
      <c r="CE521" s="73">
        <f t="shared" si="67"/>
        <v>0</v>
      </c>
      <c r="CF521" s="75">
        <f t="shared" si="68"/>
        <v>5518</v>
      </c>
      <c r="CG521" s="69" t="str">
        <f t="shared" si="68"/>
        <v>برنامج دولى</v>
      </c>
    </row>
    <row r="522" spans="2:85" x14ac:dyDescent="0.25">
      <c r="B522" s="82">
        <v>9791</v>
      </c>
      <c r="C522" s="78">
        <v>5519</v>
      </c>
      <c r="D522" s="69" t="s">
        <v>78</v>
      </c>
      <c r="E522" s="69" t="s">
        <v>2829</v>
      </c>
      <c r="F522" s="69"/>
      <c r="G522" s="69">
        <v>633.14</v>
      </c>
      <c r="T522" s="69"/>
      <c r="U522" s="69"/>
      <c r="AR522" s="94">
        <f t="shared" si="65"/>
        <v>633.14</v>
      </c>
      <c r="AS522" s="69">
        <v>424.15</v>
      </c>
      <c r="AT522" s="69">
        <v>56.45</v>
      </c>
      <c r="AU522" s="69">
        <v>152.54</v>
      </c>
      <c r="BC522" s="69"/>
      <c r="BD522" s="69"/>
      <c r="CD522" s="94">
        <f t="shared" si="66"/>
        <v>633.14</v>
      </c>
      <c r="CE522" s="73">
        <f t="shared" si="67"/>
        <v>0</v>
      </c>
      <c r="CF522" s="75">
        <f t="shared" si="68"/>
        <v>5519</v>
      </c>
      <c r="CG522" s="69" t="str">
        <f t="shared" si="68"/>
        <v>برنامج دولى</v>
      </c>
    </row>
    <row r="523" spans="2:85" x14ac:dyDescent="0.25">
      <c r="B523" s="82">
        <v>9790</v>
      </c>
      <c r="C523" s="78">
        <v>5520</v>
      </c>
      <c r="D523" s="69" t="s">
        <v>78</v>
      </c>
      <c r="E523" s="69" t="s">
        <v>2830</v>
      </c>
      <c r="F523" s="69"/>
      <c r="G523" s="69">
        <v>2989.88</v>
      </c>
      <c r="T523" s="69"/>
      <c r="U523" s="69"/>
      <c r="AR523" s="94">
        <f t="shared" si="65"/>
        <v>2989.88</v>
      </c>
      <c r="AS523" s="69">
        <v>1997.85</v>
      </c>
      <c r="AT523" s="69">
        <v>271.64999999999998</v>
      </c>
      <c r="AU523" s="69">
        <v>720.38</v>
      </c>
      <c r="BC523" s="69"/>
      <c r="BD523" s="69"/>
      <c r="CD523" s="94">
        <f t="shared" si="66"/>
        <v>2989.88</v>
      </c>
      <c r="CE523" s="73">
        <f t="shared" si="67"/>
        <v>0</v>
      </c>
      <c r="CF523" s="75">
        <f t="shared" si="68"/>
        <v>5520</v>
      </c>
      <c r="CG523" s="69" t="str">
        <f t="shared" si="68"/>
        <v>برنامج دولى</v>
      </c>
    </row>
    <row r="524" spans="2:85" x14ac:dyDescent="0.25">
      <c r="B524" s="82">
        <v>9789</v>
      </c>
      <c r="C524" s="78">
        <v>5521</v>
      </c>
      <c r="D524" s="69" t="s">
        <v>78</v>
      </c>
      <c r="E524" s="69" t="s">
        <v>2830</v>
      </c>
      <c r="F524" s="69"/>
      <c r="G524" s="69">
        <v>13542.38</v>
      </c>
      <c r="T524" s="69"/>
      <c r="U524" s="69"/>
      <c r="AR524" s="94">
        <f t="shared" si="65"/>
        <v>13542.38</v>
      </c>
      <c r="AS524" s="69">
        <v>9368.5499999999993</v>
      </c>
      <c r="AT524" s="69">
        <v>910.95</v>
      </c>
      <c r="AU524" s="69">
        <v>3262.88</v>
      </c>
      <c r="BC524" s="69"/>
      <c r="BD524" s="69"/>
      <c r="CD524" s="94">
        <f t="shared" si="66"/>
        <v>13542.380000000001</v>
      </c>
      <c r="CE524" s="73">
        <f t="shared" si="67"/>
        <v>0</v>
      </c>
      <c r="CF524" s="75">
        <f t="shared" si="68"/>
        <v>5521</v>
      </c>
      <c r="CG524" s="69" t="str">
        <f t="shared" si="68"/>
        <v>برنامج دولى</v>
      </c>
    </row>
    <row r="525" spans="2:85" x14ac:dyDescent="0.25">
      <c r="B525" s="82">
        <v>9788</v>
      </c>
      <c r="C525" s="78">
        <v>5522</v>
      </c>
      <c r="D525" s="69" t="s">
        <v>78</v>
      </c>
      <c r="E525" s="69" t="s">
        <v>2002</v>
      </c>
      <c r="F525" s="69"/>
      <c r="G525" s="69">
        <v>2600</v>
      </c>
      <c r="T525" s="69"/>
      <c r="U525" s="69"/>
      <c r="AR525" s="94">
        <f t="shared" si="65"/>
        <v>2600</v>
      </c>
      <c r="AS525" s="69">
        <v>2320.85</v>
      </c>
      <c r="AT525" s="69">
        <f>19.15+260</f>
        <v>279.14999999999998</v>
      </c>
      <c r="BC525" s="69"/>
      <c r="BD525" s="69"/>
      <c r="CD525" s="94">
        <f t="shared" si="66"/>
        <v>2600</v>
      </c>
      <c r="CE525" s="73">
        <f t="shared" si="67"/>
        <v>0</v>
      </c>
      <c r="CF525" s="75">
        <f t="shared" si="68"/>
        <v>5522</v>
      </c>
      <c r="CG525" s="69" t="str">
        <f t="shared" si="68"/>
        <v>برنامج دولى</v>
      </c>
    </row>
    <row r="526" spans="2:85" x14ac:dyDescent="0.25">
      <c r="B526" s="82">
        <v>9787</v>
      </c>
      <c r="C526" s="78">
        <v>5523</v>
      </c>
      <c r="D526" s="69" t="s">
        <v>78</v>
      </c>
      <c r="E526" s="69" t="s">
        <v>2002</v>
      </c>
      <c r="F526" s="69"/>
      <c r="G526" s="69">
        <v>2600</v>
      </c>
      <c r="T526" s="69"/>
      <c r="U526" s="69"/>
      <c r="AR526" s="94">
        <f t="shared" si="65"/>
        <v>2600</v>
      </c>
      <c r="AS526" s="69">
        <v>2320.85</v>
      </c>
      <c r="AT526" s="69">
        <f>260+19.15</f>
        <v>279.14999999999998</v>
      </c>
      <c r="BC526" s="69"/>
      <c r="BD526" s="69"/>
      <c r="CD526" s="94">
        <f t="shared" si="66"/>
        <v>2600</v>
      </c>
      <c r="CE526" s="73">
        <f t="shared" si="67"/>
        <v>0</v>
      </c>
      <c r="CF526" s="75">
        <f t="shared" si="68"/>
        <v>5523</v>
      </c>
      <c r="CG526" s="69" t="str">
        <f t="shared" si="68"/>
        <v>برنامج دولى</v>
      </c>
    </row>
    <row r="527" spans="2:85" x14ac:dyDescent="0.25">
      <c r="B527" s="82">
        <v>9786</v>
      </c>
      <c r="C527" s="78">
        <v>5524</v>
      </c>
      <c r="D527" s="69" t="s">
        <v>78</v>
      </c>
      <c r="E527" s="69" t="s">
        <v>2827</v>
      </c>
      <c r="F527" s="69"/>
      <c r="G527" s="69">
        <v>11179.55</v>
      </c>
      <c r="T527" s="69"/>
      <c r="U527" s="69"/>
      <c r="AR527" s="94">
        <f t="shared" si="65"/>
        <v>11179.55</v>
      </c>
      <c r="AS527" s="69">
        <v>7469.89</v>
      </c>
      <c r="AT527" s="69">
        <f>62.6+953.48</f>
        <v>1016.08</v>
      </c>
      <c r="AU527" s="69">
        <f>3709.66-62.6-953.48</f>
        <v>2693.58</v>
      </c>
      <c r="BC527" s="69"/>
      <c r="BD527" s="69"/>
      <c r="CD527" s="94">
        <f t="shared" si="66"/>
        <v>11179.550000000001</v>
      </c>
      <c r="CE527" s="73">
        <f t="shared" si="67"/>
        <v>0</v>
      </c>
      <c r="CF527" s="75">
        <f t="shared" si="68"/>
        <v>5524</v>
      </c>
      <c r="CG527" s="69" t="str">
        <f t="shared" si="68"/>
        <v>برنامج دولى</v>
      </c>
    </row>
    <row r="528" spans="2:85" x14ac:dyDescent="0.25">
      <c r="B528" s="82">
        <v>9785</v>
      </c>
      <c r="C528" s="78">
        <v>5525</v>
      </c>
      <c r="D528" s="69" t="s">
        <v>78</v>
      </c>
      <c r="E528" s="69" t="s">
        <v>2827</v>
      </c>
      <c r="F528" s="69"/>
      <c r="G528" s="69">
        <v>3993</v>
      </c>
      <c r="T528" s="69"/>
      <c r="U528" s="69"/>
      <c r="AR528" s="94">
        <f t="shared" si="65"/>
        <v>3993</v>
      </c>
      <c r="AS528" s="69">
        <v>3564.1</v>
      </c>
      <c r="AT528" s="69">
        <v>428.9</v>
      </c>
      <c r="BC528" s="69"/>
      <c r="BD528" s="69"/>
      <c r="CD528" s="94">
        <f t="shared" si="66"/>
        <v>3993</v>
      </c>
      <c r="CE528" s="73">
        <f t="shared" si="67"/>
        <v>0</v>
      </c>
      <c r="CF528" s="75">
        <f t="shared" si="68"/>
        <v>5525</v>
      </c>
      <c r="CG528" s="69" t="str">
        <f t="shared" si="68"/>
        <v>برنامج دولى</v>
      </c>
    </row>
    <row r="529" spans="2:85" x14ac:dyDescent="0.25">
      <c r="B529" s="82">
        <v>9784</v>
      </c>
      <c r="C529" s="78">
        <v>5526</v>
      </c>
      <c r="D529" s="69" t="s">
        <v>78</v>
      </c>
      <c r="E529" s="69" t="s">
        <v>2827</v>
      </c>
      <c r="F529" s="69"/>
      <c r="G529" s="69">
        <v>4993.91</v>
      </c>
      <c r="T529" s="69"/>
      <c r="U529" s="69"/>
      <c r="AR529" s="94">
        <f t="shared" si="65"/>
        <v>4993.91</v>
      </c>
      <c r="AS529" s="69">
        <v>3337.07</v>
      </c>
      <c r="AT529" s="69">
        <v>453.62</v>
      </c>
      <c r="AU529" s="69">
        <v>1203.22</v>
      </c>
      <c r="BC529" s="69"/>
      <c r="BD529" s="69"/>
      <c r="CD529" s="94">
        <f t="shared" si="66"/>
        <v>4993.91</v>
      </c>
      <c r="CE529" s="73">
        <f t="shared" si="67"/>
        <v>0</v>
      </c>
      <c r="CF529" s="75">
        <f t="shared" si="68"/>
        <v>5526</v>
      </c>
      <c r="CG529" s="69" t="str">
        <f t="shared" si="68"/>
        <v>برنامج دولى</v>
      </c>
    </row>
    <row r="530" spans="2:85" x14ac:dyDescent="0.25">
      <c r="B530" s="82">
        <v>9783</v>
      </c>
      <c r="C530" s="78">
        <v>5527</v>
      </c>
      <c r="D530" s="69" t="s">
        <v>78</v>
      </c>
      <c r="E530" s="69" t="s">
        <v>2827</v>
      </c>
      <c r="F530" s="69"/>
      <c r="G530" s="69">
        <v>9955.8799999999992</v>
      </c>
      <c r="T530" s="69"/>
      <c r="U530" s="69"/>
      <c r="AR530" s="94">
        <f t="shared" si="65"/>
        <v>9955.8799999999992</v>
      </c>
      <c r="AS530" s="69">
        <v>8881.0400000000009</v>
      </c>
      <c r="AT530" s="69">
        <v>1074.8399999999999</v>
      </c>
      <c r="BC530" s="69"/>
      <c r="BD530" s="69"/>
      <c r="CD530" s="94">
        <f t="shared" si="66"/>
        <v>9955.880000000001</v>
      </c>
      <c r="CE530" s="73">
        <f t="shared" si="67"/>
        <v>0</v>
      </c>
      <c r="CF530" s="75">
        <f t="shared" si="68"/>
        <v>5527</v>
      </c>
      <c r="CG530" s="69" t="str">
        <f t="shared" si="68"/>
        <v>برنامج دولى</v>
      </c>
    </row>
    <row r="531" spans="2:85" x14ac:dyDescent="0.25">
      <c r="B531" s="82">
        <v>9782</v>
      </c>
      <c r="C531" s="78">
        <v>5528</v>
      </c>
      <c r="D531" s="69" t="s">
        <v>78</v>
      </c>
      <c r="E531" s="69" t="s">
        <v>2831</v>
      </c>
      <c r="F531" s="69"/>
      <c r="G531" s="69">
        <v>1407</v>
      </c>
      <c r="T531" s="69"/>
      <c r="U531" s="69"/>
      <c r="AR531" s="94">
        <f t="shared" si="65"/>
        <v>1407</v>
      </c>
      <c r="AS531" s="69">
        <v>941.2</v>
      </c>
      <c r="AT531" s="69">
        <v>126.8</v>
      </c>
      <c r="AU531" s="69">
        <v>339</v>
      </c>
      <c r="BC531" s="69"/>
      <c r="BD531" s="69"/>
      <c r="CD531" s="94">
        <f t="shared" si="66"/>
        <v>1407</v>
      </c>
      <c r="CE531" s="73">
        <f t="shared" si="67"/>
        <v>0</v>
      </c>
      <c r="CF531" s="75">
        <f t="shared" si="68"/>
        <v>5528</v>
      </c>
      <c r="CG531" s="69" t="str">
        <f t="shared" si="68"/>
        <v>برنامج دولى</v>
      </c>
    </row>
    <row r="532" spans="2:85" x14ac:dyDescent="0.25">
      <c r="B532" s="82">
        <v>9781</v>
      </c>
      <c r="C532" s="78">
        <v>5529</v>
      </c>
      <c r="D532" s="69" t="s">
        <v>78</v>
      </c>
      <c r="E532" s="69" t="s">
        <v>2831</v>
      </c>
      <c r="F532" s="69"/>
      <c r="G532" s="69">
        <v>2814</v>
      </c>
      <c r="T532" s="69"/>
      <c r="U532" s="69"/>
      <c r="AR532" s="94">
        <f t="shared" si="65"/>
        <v>2814</v>
      </c>
      <c r="AS532" s="69">
        <v>1882.4</v>
      </c>
      <c r="AT532" s="69">
        <v>253.6</v>
      </c>
      <c r="AU532" s="69">
        <v>678</v>
      </c>
      <c r="BC532" s="69"/>
      <c r="BD532" s="69"/>
      <c r="CD532" s="94">
        <f t="shared" si="66"/>
        <v>2814</v>
      </c>
      <c r="CE532" s="73">
        <f t="shared" si="67"/>
        <v>0</v>
      </c>
      <c r="CF532" s="75">
        <f t="shared" si="68"/>
        <v>5529</v>
      </c>
      <c r="CG532" s="69" t="str">
        <f t="shared" si="68"/>
        <v>برنامج دولى</v>
      </c>
    </row>
    <row r="533" spans="2:85" x14ac:dyDescent="0.25">
      <c r="B533" s="82">
        <v>9780</v>
      </c>
      <c r="C533" s="78">
        <v>5530</v>
      </c>
      <c r="D533" s="69" t="s">
        <v>78</v>
      </c>
      <c r="E533" s="69" t="s">
        <v>2832</v>
      </c>
      <c r="F533" s="69"/>
      <c r="G533" s="69">
        <v>2345</v>
      </c>
      <c r="T533" s="69"/>
      <c r="U533" s="69"/>
      <c r="AR533" s="94">
        <f t="shared" si="65"/>
        <v>2345</v>
      </c>
      <c r="AS533" s="69">
        <v>1569.6</v>
      </c>
      <c r="AT533" s="69">
        <f>200+10.4</f>
        <v>210.4</v>
      </c>
      <c r="AU533" s="69">
        <f>775.4-AT533</f>
        <v>565</v>
      </c>
      <c r="BC533" s="69"/>
      <c r="BD533" s="69"/>
      <c r="CD533" s="94">
        <f t="shared" si="66"/>
        <v>2345</v>
      </c>
      <c r="CE533" s="73">
        <f t="shared" si="67"/>
        <v>0</v>
      </c>
      <c r="CF533" s="75">
        <f t="shared" si="68"/>
        <v>5530</v>
      </c>
      <c r="CG533" s="69" t="str">
        <f t="shared" si="68"/>
        <v>برنامج دولى</v>
      </c>
    </row>
    <row r="534" spans="2:85" x14ac:dyDescent="0.25">
      <c r="B534" s="82">
        <v>9779</v>
      </c>
      <c r="C534" s="78">
        <v>5531</v>
      </c>
      <c r="D534" s="69" t="s">
        <v>78</v>
      </c>
      <c r="E534" s="69" t="s">
        <v>2103</v>
      </c>
      <c r="F534" s="69"/>
      <c r="G534" s="69">
        <v>4572.75</v>
      </c>
      <c r="T534" s="69"/>
      <c r="U534" s="69"/>
      <c r="AR534" s="94">
        <f t="shared" si="65"/>
        <v>4572.75</v>
      </c>
      <c r="AS534" s="69">
        <v>3059.05</v>
      </c>
      <c r="AT534" s="69">
        <v>411.95</v>
      </c>
      <c r="AU534" s="69">
        <v>1101.75</v>
      </c>
      <c r="BC534" s="69"/>
      <c r="BD534" s="69"/>
      <c r="CD534" s="94">
        <f t="shared" si="66"/>
        <v>4572.75</v>
      </c>
      <c r="CE534" s="73">
        <f t="shared" si="67"/>
        <v>0</v>
      </c>
      <c r="CF534" s="75">
        <f t="shared" si="68"/>
        <v>5531</v>
      </c>
      <c r="CG534" s="69" t="str">
        <f t="shared" si="68"/>
        <v>برنامج دولى</v>
      </c>
    </row>
    <row r="535" spans="2:85" x14ac:dyDescent="0.25">
      <c r="B535" s="82">
        <v>9778</v>
      </c>
      <c r="C535" s="78">
        <v>5532</v>
      </c>
      <c r="D535" s="69" t="s">
        <v>78</v>
      </c>
      <c r="E535" s="69" t="s">
        <v>2103</v>
      </c>
      <c r="F535" s="69"/>
      <c r="G535" s="69">
        <v>2110.5</v>
      </c>
      <c r="T535" s="69"/>
      <c r="U535" s="69"/>
      <c r="AR535" s="94">
        <f t="shared" si="65"/>
        <v>2110.5</v>
      </c>
      <c r="AS535" s="69">
        <v>1411.45</v>
      </c>
      <c r="AT535" s="69">
        <v>190.55</v>
      </c>
      <c r="AU535" s="69">
        <v>508.5</v>
      </c>
      <c r="BC535" s="69"/>
      <c r="BD535" s="69"/>
      <c r="CD535" s="94">
        <f t="shared" si="66"/>
        <v>2110.5</v>
      </c>
      <c r="CE535" s="73">
        <f t="shared" si="67"/>
        <v>0</v>
      </c>
      <c r="CF535" s="75">
        <f t="shared" si="68"/>
        <v>5532</v>
      </c>
      <c r="CG535" s="69" t="str">
        <f t="shared" si="68"/>
        <v>برنامج دولى</v>
      </c>
    </row>
    <row r="536" spans="2:85" x14ac:dyDescent="0.25">
      <c r="B536" s="82">
        <v>9777</v>
      </c>
      <c r="C536" s="78">
        <v>5533</v>
      </c>
      <c r="D536" s="69" t="s">
        <v>78</v>
      </c>
      <c r="E536" s="69" t="str">
        <f>+E513</f>
        <v>مكافاه ابحاث طبيه</v>
      </c>
      <c r="F536" s="69"/>
      <c r="G536" s="69">
        <v>4690</v>
      </c>
      <c r="T536" s="69"/>
      <c r="U536" s="69"/>
      <c r="AR536" s="94">
        <f t="shared" si="65"/>
        <v>4690</v>
      </c>
      <c r="AS536" s="69">
        <v>3133.65</v>
      </c>
      <c r="AT536" s="69">
        <v>426.35</v>
      </c>
      <c r="AU536" s="69">
        <v>1130</v>
      </c>
      <c r="BC536" s="69"/>
      <c r="BD536" s="69"/>
      <c r="CD536" s="94">
        <f t="shared" si="66"/>
        <v>4690</v>
      </c>
      <c r="CE536" s="73">
        <f t="shared" si="67"/>
        <v>0</v>
      </c>
      <c r="CF536" s="75">
        <f t="shared" si="68"/>
        <v>5533</v>
      </c>
      <c r="CG536" s="69" t="str">
        <f t="shared" si="68"/>
        <v>برنامج دولى</v>
      </c>
    </row>
    <row r="537" spans="2:85" x14ac:dyDescent="0.25">
      <c r="B537" s="82">
        <v>9776</v>
      </c>
      <c r="C537" s="78">
        <v>5534</v>
      </c>
      <c r="D537" s="69" t="s">
        <v>78</v>
      </c>
      <c r="E537" s="69" t="str">
        <f>+E514</f>
        <v>مكافاه ابحاث طبيه</v>
      </c>
      <c r="F537" s="69"/>
      <c r="G537" s="69">
        <v>9849</v>
      </c>
      <c r="T537" s="69"/>
      <c r="U537" s="69"/>
      <c r="AR537" s="94">
        <f t="shared" si="65"/>
        <v>9849</v>
      </c>
      <c r="AS537" s="69">
        <v>6580.6</v>
      </c>
      <c r="AT537" s="69">
        <v>895.4</v>
      </c>
      <c r="AU537" s="69">
        <v>2373</v>
      </c>
      <c r="BC537" s="69"/>
      <c r="BD537" s="69"/>
      <c r="CD537" s="94">
        <f t="shared" si="66"/>
        <v>9849</v>
      </c>
      <c r="CE537" s="73">
        <f t="shared" si="67"/>
        <v>0</v>
      </c>
      <c r="CF537" s="75">
        <f t="shared" si="68"/>
        <v>5534</v>
      </c>
      <c r="CG537" s="69" t="str">
        <f t="shared" si="68"/>
        <v>برنامج دولى</v>
      </c>
    </row>
    <row r="538" spans="2:85" x14ac:dyDescent="0.25">
      <c r="B538" s="82">
        <v>9775</v>
      </c>
      <c r="C538" s="78">
        <v>5535</v>
      </c>
      <c r="D538" s="69" t="s">
        <v>78</v>
      </c>
      <c r="E538" s="69" t="s">
        <v>2833</v>
      </c>
      <c r="F538" s="69"/>
      <c r="G538" s="69">
        <v>2227.75</v>
      </c>
      <c r="T538" s="69"/>
      <c r="U538" s="69"/>
      <c r="AR538" s="94">
        <f t="shared" si="65"/>
        <v>2227.75</v>
      </c>
      <c r="AS538" s="69">
        <v>1490.35</v>
      </c>
      <c r="AT538" s="69">
        <v>200.65</v>
      </c>
      <c r="AU538" s="69">
        <v>536.75</v>
      </c>
      <c r="BC538" s="69"/>
      <c r="BD538" s="69"/>
      <c r="CD538" s="94">
        <f t="shared" si="66"/>
        <v>2227.75</v>
      </c>
      <c r="CE538" s="73">
        <f t="shared" si="67"/>
        <v>0</v>
      </c>
      <c r="CF538" s="75">
        <f t="shared" si="68"/>
        <v>5535</v>
      </c>
      <c r="CG538" s="69" t="str">
        <f t="shared" si="68"/>
        <v>برنامج دولى</v>
      </c>
    </row>
    <row r="539" spans="2:85" x14ac:dyDescent="0.25">
      <c r="B539" s="82">
        <v>9774</v>
      </c>
      <c r="C539" s="78">
        <v>5536</v>
      </c>
      <c r="D539" s="69" t="s">
        <v>78</v>
      </c>
      <c r="E539" s="69" t="s">
        <v>2833</v>
      </c>
      <c r="F539" s="69"/>
      <c r="G539" s="69">
        <v>879.38</v>
      </c>
      <c r="T539" s="69"/>
      <c r="U539" s="69"/>
      <c r="AR539" s="94">
        <f t="shared" si="65"/>
        <v>879.38</v>
      </c>
      <c r="AS539" s="69">
        <v>588.15</v>
      </c>
      <c r="AT539" s="69">
        <v>79.349999999999994</v>
      </c>
      <c r="AU539" s="69">
        <v>211.88</v>
      </c>
      <c r="BC539" s="69"/>
      <c r="BD539" s="69"/>
      <c r="CD539" s="94">
        <f t="shared" si="66"/>
        <v>879.38</v>
      </c>
      <c r="CE539" s="73">
        <f t="shared" si="67"/>
        <v>0</v>
      </c>
      <c r="CF539" s="75">
        <f t="shared" si="68"/>
        <v>5536</v>
      </c>
      <c r="CG539" s="69" t="str">
        <f t="shared" si="68"/>
        <v>برنامج دولى</v>
      </c>
    </row>
    <row r="540" spans="2:85" x14ac:dyDescent="0.25">
      <c r="B540" s="82">
        <v>9773</v>
      </c>
      <c r="C540" s="78">
        <v>5537</v>
      </c>
      <c r="D540" s="69" t="s">
        <v>78</v>
      </c>
      <c r="E540" s="69" t="s">
        <v>2834</v>
      </c>
      <c r="F540" s="69"/>
      <c r="G540" s="69">
        <v>12369.88</v>
      </c>
      <c r="T540" s="69"/>
      <c r="U540" s="69"/>
      <c r="AR540" s="94">
        <f t="shared" si="65"/>
        <v>12369.88</v>
      </c>
      <c r="AS540" s="69">
        <v>8265.1</v>
      </c>
      <c r="AT540" s="69">
        <f>69.4+1055</f>
        <v>1124.4000000000001</v>
      </c>
      <c r="AU540" s="69">
        <v>2980.38</v>
      </c>
      <c r="BC540" s="69"/>
      <c r="BD540" s="69"/>
      <c r="CD540" s="94">
        <f t="shared" si="66"/>
        <v>12369.880000000001</v>
      </c>
      <c r="CE540" s="73">
        <f t="shared" si="67"/>
        <v>0</v>
      </c>
      <c r="CF540" s="75">
        <f t="shared" si="68"/>
        <v>5537</v>
      </c>
      <c r="CG540" s="69" t="str">
        <f t="shared" si="68"/>
        <v>برنامج دولى</v>
      </c>
    </row>
    <row r="541" spans="2:85" x14ac:dyDescent="0.25">
      <c r="B541" s="82">
        <v>9772</v>
      </c>
      <c r="C541" s="78">
        <v>5538</v>
      </c>
      <c r="D541" s="69" t="s">
        <v>78</v>
      </c>
      <c r="E541" s="69" t="s">
        <v>2835</v>
      </c>
      <c r="F541" s="69"/>
      <c r="G541" s="69">
        <v>586.25</v>
      </c>
      <c r="T541" s="69"/>
      <c r="U541" s="69"/>
      <c r="AR541" s="94">
        <f t="shared" si="65"/>
        <v>586.25</v>
      </c>
      <c r="AS541" s="69">
        <v>392.4</v>
      </c>
      <c r="AT541" s="69">
        <v>52.6</v>
      </c>
      <c r="AU541" s="69">
        <v>141.25</v>
      </c>
      <c r="BC541" s="69"/>
      <c r="BD541" s="69"/>
      <c r="CD541" s="94">
        <f t="shared" si="66"/>
        <v>586.25</v>
      </c>
      <c r="CE541" s="73">
        <f t="shared" si="67"/>
        <v>0</v>
      </c>
      <c r="CF541" s="75">
        <f t="shared" si="68"/>
        <v>5538</v>
      </c>
      <c r="CG541" s="69" t="str">
        <f t="shared" si="68"/>
        <v>برنامج دولى</v>
      </c>
    </row>
    <row r="542" spans="2:85" x14ac:dyDescent="0.25">
      <c r="B542" s="82">
        <v>9771</v>
      </c>
      <c r="C542" s="78">
        <v>5539</v>
      </c>
      <c r="D542" s="69" t="s">
        <v>78</v>
      </c>
      <c r="E542" s="69" t="s">
        <v>2835</v>
      </c>
      <c r="F542" s="69"/>
      <c r="G542" s="69">
        <v>762.12</v>
      </c>
      <c r="T542" s="69"/>
      <c r="U542" s="69"/>
      <c r="AR542" s="94">
        <f t="shared" si="65"/>
        <v>762.12</v>
      </c>
      <c r="AS542" s="69">
        <v>509.8</v>
      </c>
      <c r="AT542" s="69">
        <v>68.7</v>
      </c>
      <c r="AU542" s="69">
        <v>183.62</v>
      </c>
      <c r="BC542" s="69"/>
      <c r="BD542" s="69"/>
      <c r="CD542" s="94">
        <f t="shared" si="66"/>
        <v>762.12</v>
      </c>
      <c r="CE542" s="73">
        <f t="shared" si="67"/>
        <v>0</v>
      </c>
      <c r="CF542" s="75">
        <f t="shared" si="68"/>
        <v>5539</v>
      </c>
      <c r="CG542" s="69" t="str">
        <f t="shared" si="68"/>
        <v>برنامج دولى</v>
      </c>
    </row>
    <row r="543" spans="2:85" x14ac:dyDescent="0.25">
      <c r="B543" s="82">
        <v>9770</v>
      </c>
      <c r="C543" s="78">
        <v>5540</v>
      </c>
      <c r="D543" s="69" t="s">
        <v>78</v>
      </c>
      <c r="E543" s="69" t="s">
        <v>2835</v>
      </c>
      <c r="F543" s="69"/>
      <c r="G543" s="69">
        <v>644.88</v>
      </c>
      <c r="T543" s="69"/>
      <c r="U543" s="69"/>
      <c r="AR543" s="94">
        <f t="shared" si="65"/>
        <v>644.88</v>
      </c>
      <c r="AS543" s="69">
        <v>431.4</v>
      </c>
      <c r="AT543" s="69">
        <v>58.1</v>
      </c>
      <c r="AU543" s="69">
        <v>155.38</v>
      </c>
      <c r="BC543" s="69"/>
      <c r="BD543" s="69"/>
      <c r="CD543" s="94">
        <f t="shared" si="66"/>
        <v>644.88</v>
      </c>
      <c r="CE543" s="73">
        <f t="shared" si="67"/>
        <v>0</v>
      </c>
      <c r="CF543" s="75">
        <f t="shared" si="68"/>
        <v>5540</v>
      </c>
      <c r="CG543" s="69" t="str">
        <f t="shared" si="68"/>
        <v>برنامج دولى</v>
      </c>
    </row>
    <row r="544" spans="2:85" x14ac:dyDescent="0.25">
      <c r="B544" s="82">
        <v>9769</v>
      </c>
      <c r="C544" s="78">
        <v>5541</v>
      </c>
      <c r="D544" s="69" t="s">
        <v>78</v>
      </c>
      <c r="E544" s="69" t="s">
        <v>2835</v>
      </c>
      <c r="F544" s="69"/>
      <c r="G544" s="69">
        <v>762.12</v>
      </c>
      <c r="T544" s="69"/>
      <c r="U544" s="69"/>
      <c r="AR544" s="94">
        <f t="shared" si="65"/>
        <v>762.12</v>
      </c>
      <c r="AS544" s="69">
        <v>509.8</v>
      </c>
      <c r="AT544" s="69">
        <v>68.7</v>
      </c>
      <c r="AU544" s="69">
        <v>183.62</v>
      </c>
      <c r="BC544" s="69"/>
      <c r="BD544" s="69"/>
      <c r="CD544" s="94">
        <f t="shared" si="66"/>
        <v>762.12</v>
      </c>
      <c r="CE544" s="73">
        <f t="shared" si="67"/>
        <v>0</v>
      </c>
      <c r="CF544" s="75">
        <f t="shared" si="68"/>
        <v>5541</v>
      </c>
      <c r="CG544" s="69" t="str">
        <f t="shared" si="68"/>
        <v>برنامج دولى</v>
      </c>
    </row>
    <row r="545" spans="2:85" x14ac:dyDescent="0.25">
      <c r="B545" s="82">
        <v>9768</v>
      </c>
      <c r="C545" s="78">
        <v>5542</v>
      </c>
      <c r="D545" s="69" t="s">
        <v>78</v>
      </c>
      <c r="E545" s="69" t="s">
        <v>2835</v>
      </c>
      <c r="F545" s="69"/>
      <c r="G545" s="69">
        <v>703.5</v>
      </c>
      <c r="T545" s="69"/>
      <c r="U545" s="69"/>
      <c r="AR545" s="94">
        <f t="shared" si="65"/>
        <v>703.5</v>
      </c>
      <c r="AS545" s="69">
        <v>470.6</v>
      </c>
      <c r="AT545" s="69">
        <v>63.4</v>
      </c>
      <c r="AU545" s="69">
        <v>169.5</v>
      </c>
      <c r="BC545" s="69"/>
      <c r="BD545" s="69"/>
      <c r="CD545" s="94">
        <f t="shared" si="66"/>
        <v>703.5</v>
      </c>
      <c r="CE545" s="73">
        <f t="shared" si="67"/>
        <v>0</v>
      </c>
      <c r="CF545" s="75">
        <f t="shared" si="68"/>
        <v>5542</v>
      </c>
      <c r="CG545" s="69" t="str">
        <f t="shared" si="68"/>
        <v>برنامج دولى</v>
      </c>
    </row>
    <row r="546" spans="2:85" x14ac:dyDescent="0.25">
      <c r="B546" s="82">
        <v>9767</v>
      </c>
      <c r="C546" s="78">
        <v>5543</v>
      </c>
      <c r="D546" s="69" t="s">
        <v>78</v>
      </c>
      <c r="E546" s="69" t="s">
        <v>2835</v>
      </c>
      <c r="F546" s="69"/>
      <c r="G546" s="69">
        <v>820.75</v>
      </c>
      <c r="T546" s="69"/>
      <c r="U546" s="69"/>
      <c r="AR546" s="94">
        <f t="shared" si="65"/>
        <v>820.75</v>
      </c>
      <c r="AS546" s="69">
        <v>548.95000000000005</v>
      </c>
      <c r="AT546" s="69">
        <v>74.05</v>
      </c>
      <c r="AU546" s="69">
        <v>197.75</v>
      </c>
      <c r="BC546" s="69"/>
      <c r="BD546" s="69"/>
      <c r="CD546" s="94">
        <f t="shared" si="66"/>
        <v>820.75</v>
      </c>
      <c r="CE546" s="73">
        <f t="shared" si="67"/>
        <v>0</v>
      </c>
      <c r="CF546" s="75">
        <f t="shared" si="68"/>
        <v>5543</v>
      </c>
      <c r="CG546" s="69" t="str">
        <f t="shared" si="68"/>
        <v>برنامج دولى</v>
      </c>
    </row>
    <row r="547" spans="2:85" x14ac:dyDescent="0.25">
      <c r="B547" s="82">
        <v>9766</v>
      </c>
      <c r="C547" s="78">
        <v>5544</v>
      </c>
      <c r="D547" s="69" t="s">
        <v>78</v>
      </c>
      <c r="E547" s="69" t="s">
        <v>2836</v>
      </c>
      <c r="F547" s="69"/>
      <c r="G547" s="69">
        <v>820.75</v>
      </c>
      <c r="T547" s="69"/>
      <c r="U547" s="69"/>
      <c r="AR547" s="94">
        <f t="shared" si="65"/>
        <v>820.75</v>
      </c>
      <c r="AS547" s="69">
        <v>548.95000000000005</v>
      </c>
      <c r="AT547" s="69">
        <v>74.05</v>
      </c>
      <c r="AU547" s="69">
        <v>197.75</v>
      </c>
      <c r="BC547" s="69"/>
      <c r="BD547" s="69"/>
      <c r="CD547" s="94">
        <f t="shared" si="66"/>
        <v>820.75</v>
      </c>
      <c r="CE547" s="73">
        <f t="shared" si="67"/>
        <v>0</v>
      </c>
      <c r="CF547" s="75">
        <f t="shared" si="68"/>
        <v>5544</v>
      </c>
      <c r="CG547" s="69" t="str">
        <f t="shared" si="68"/>
        <v>برنامج دولى</v>
      </c>
    </row>
    <row r="548" spans="2:85" x14ac:dyDescent="0.25">
      <c r="B548" s="82">
        <v>9765</v>
      </c>
      <c r="C548" s="78">
        <v>5545</v>
      </c>
      <c r="D548" s="69" t="s">
        <v>78</v>
      </c>
      <c r="E548" s="69" t="s">
        <v>2837</v>
      </c>
      <c r="F548" s="69"/>
      <c r="G548" s="69">
        <v>633.15</v>
      </c>
      <c r="T548" s="69"/>
      <c r="U548" s="69"/>
      <c r="AR548" s="94">
        <f t="shared" si="65"/>
        <v>633.15</v>
      </c>
      <c r="AS548" s="69">
        <v>423.55</v>
      </c>
      <c r="AT548" s="69">
        <v>57.05</v>
      </c>
      <c r="AU548" s="69">
        <v>152.55000000000001</v>
      </c>
      <c r="BC548" s="69"/>
      <c r="BD548" s="69"/>
      <c r="CD548" s="94">
        <f t="shared" si="66"/>
        <v>633.15000000000009</v>
      </c>
      <c r="CE548" s="73">
        <f t="shared" si="67"/>
        <v>0</v>
      </c>
      <c r="CF548" s="75">
        <f t="shared" si="68"/>
        <v>5545</v>
      </c>
      <c r="CG548" s="69" t="str">
        <f t="shared" si="68"/>
        <v>برنامج دولى</v>
      </c>
    </row>
    <row r="549" spans="2:85" x14ac:dyDescent="0.25">
      <c r="B549" s="82">
        <v>8129</v>
      </c>
      <c r="C549" s="78">
        <v>5546</v>
      </c>
      <c r="D549" s="69" t="s">
        <v>78</v>
      </c>
      <c r="E549" s="69" t="s">
        <v>2838</v>
      </c>
      <c r="F549" s="69"/>
      <c r="G549" s="69">
        <v>384.5</v>
      </c>
      <c r="T549" s="69"/>
      <c r="U549" s="69"/>
      <c r="AR549" s="94">
        <f t="shared" si="65"/>
        <v>384.5</v>
      </c>
      <c r="AS549" s="69">
        <v>304.88</v>
      </c>
      <c r="AT549" s="69">
        <v>23.12</v>
      </c>
      <c r="AU549" s="69">
        <v>56.5</v>
      </c>
      <c r="BC549" s="69"/>
      <c r="BD549" s="69"/>
      <c r="CD549" s="94">
        <f t="shared" si="66"/>
        <v>384.5</v>
      </c>
      <c r="CE549" s="73">
        <f t="shared" si="67"/>
        <v>0</v>
      </c>
      <c r="CF549" s="75">
        <f t="shared" si="68"/>
        <v>5546</v>
      </c>
      <c r="CG549" s="69" t="str">
        <f t="shared" si="68"/>
        <v>برنامج دولى</v>
      </c>
    </row>
    <row r="550" spans="2:85" x14ac:dyDescent="0.25">
      <c r="B550" s="82">
        <v>9836</v>
      </c>
      <c r="C550" s="78">
        <v>5547</v>
      </c>
      <c r="D550" s="69" t="s">
        <v>123</v>
      </c>
      <c r="E550" s="69" t="s">
        <v>2839</v>
      </c>
      <c r="F550" s="69"/>
      <c r="G550" s="69">
        <v>293.12</v>
      </c>
      <c r="T550" s="69"/>
      <c r="U550" s="69"/>
      <c r="AR550" s="94">
        <f t="shared" si="65"/>
        <v>293.12</v>
      </c>
      <c r="AS550" s="69">
        <v>183.95</v>
      </c>
      <c r="AT550" s="69">
        <v>26.05</v>
      </c>
      <c r="AU550" s="69">
        <v>70.62</v>
      </c>
      <c r="AV550" s="69">
        <v>12.5</v>
      </c>
      <c r="BC550" s="69"/>
      <c r="BD550" s="69"/>
      <c r="CD550" s="94">
        <f t="shared" si="66"/>
        <v>293.12</v>
      </c>
      <c r="CE550" s="73">
        <f t="shared" si="67"/>
        <v>0</v>
      </c>
      <c r="CF550" s="75">
        <f t="shared" si="68"/>
        <v>5547</v>
      </c>
      <c r="CG550" s="69" t="str">
        <f t="shared" si="68"/>
        <v>خ ت اسنان</v>
      </c>
    </row>
    <row r="551" spans="2:85" x14ac:dyDescent="0.25">
      <c r="B551" s="82">
        <v>9669</v>
      </c>
      <c r="C551" s="78">
        <v>5548</v>
      </c>
      <c r="D551" s="69" t="s">
        <v>123</v>
      </c>
      <c r="E551" s="69" t="s">
        <v>1562</v>
      </c>
      <c r="F551" s="69"/>
      <c r="G551" s="69">
        <v>469</v>
      </c>
      <c r="T551" s="69"/>
      <c r="U551" s="69"/>
      <c r="AR551" s="94">
        <f t="shared" si="65"/>
        <v>469</v>
      </c>
      <c r="AS551" s="69">
        <v>313.7</v>
      </c>
      <c r="AT551" s="69">
        <v>42.3</v>
      </c>
      <c r="AU551" s="69">
        <v>113</v>
      </c>
      <c r="BC551" s="69"/>
      <c r="BD551" s="69"/>
      <c r="CD551" s="94">
        <f t="shared" si="66"/>
        <v>469</v>
      </c>
      <c r="CE551" s="73">
        <f t="shared" si="67"/>
        <v>0</v>
      </c>
      <c r="CF551" s="75">
        <f t="shared" si="68"/>
        <v>5548</v>
      </c>
      <c r="CG551" s="69" t="str">
        <f t="shared" si="68"/>
        <v>خ ت اسنان</v>
      </c>
    </row>
    <row r="552" spans="2:85" x14ac:dyDescent="0.25">
      <c r="B552" s="82">
        <v>9664</v>
      </c>
      <c r="C552" s="78">
        <v>5549</v>
      </c>
      <c r="D552" s="69" t="s">
        <v>123</v>
      </c>
      <c r="E552" s="69" t="s">
        <v>1562</v>
      </c>
      <c r="F552" s="69"/>
      <c r="G552" s="69">
        <v>950</v>
      </c>
      <c r="T552" s="69"/>
      <c r="U552" s="69"/>
      <c r="AR552" s="94">
        <f t="shared" ref="AR552:AR615" si="69">SUM(G552:AQ552)</f>
        <v>950</v>
      </c>
      <c r="AS552" s="69">
        <v>743.31</v>
      </c>
      <c r="AT552" s="69">
        <v>159.19</v>
      </c>
      <c r="AV552" s="69">
        <v>47.5</v>
      </c>
      <c r="BC552" s="69"/>
      <c r="BD552" s="69"/>
      <c r="CD552" s="94">
        <f t="shared" ref="CD552:CD615" si="70">SUM(AS552:CC552)</f>
        <v>950</v>
      </c>
      <c r="CE552" s="73">
        <f t="shared" ref="CE552:CE615" si="71">+CD552-AR552</f>
        <v>0</v>
      </c>
      <c r="CF552" s="75">
        <f t="shared" ref="CF552:CG615" si="72">+C552</f>
        <v>5549</v>
      </c>
      <c r="CG552" s="69" t="str">
        <f t="shared" si="72"/>
        <v>خ ت اسنان</v>
      </c>
    </row>
    <row r="553" spans="2:85" x14ac:dyDescent="0.25">
      <c r="B553" s="82">
        <v>9665</v>
      </c>
      <c r="C553" s="78">
        <v>5550</v>
      </c>
      <c r="D553" s="69" t="s">
        <v>123</v>
      </c>
      <c r="E553" s="69" t="s">
        <v>1562</v>
      </c>
      <c r="F553" s="69"/>
      <c r="G553" s="69">
        <v>950</v>
      </c>
      <c r="T553" s="69"/>
      <c r="U553" s="69"/>
      <c r="AR553" s="94">
        <f t="shared" si="69"/>
        <v>950</v>
      </c>
      <c r="AS553" s="69">
        <v>716.96</v>
      </c>
      <c r="AT553" s="69">
        <v>185.54</v>
      </c>
      <c r="AV553" s="69">
        <v>47.5</v>
      </c>
      <c r="BC553" s="69"/>
      <c r="BD553" s="69"/>
      <c r="CD553" s="94">
        <f t="shared" si="70"/>
        <v>950</v>
      </c>
      <c r="CE553" s="73">
        <f t="shared" si="71"/>
        <v>0</v>
      </c>
      <c r="CF553" s="75">
        <f t="shared" si="72"/>
        <v>5550</v>
      </c>
      <c r="CG553" s="69" t="str">
        <f t="shared" si="72"/>
        <v>خ ت اسنان</v>
      </c>
    </row>
    <row r="554" spans="2:85" x14ac:dyDescent="0.25">
      <c r="B554" s="82">
        <v>9677</v>
      </c>
      <c r="C554" s="78">
        <v>5551</v>
      </c>
      <c r="D554" s="69" t="s">
        <v>123</v>
      </c>
      <c r="E554" s="69" t="s">
        <v>425</v>
      </c>
      <c r="F554" s="69"/>
      <c r="G554" s="69">
        <v>879.38</v>
      </c>
      <c r="T554" s="69"/>
      <c r="U554" s="69"/>
      <c r="AR554" s="94">
        <f t="shared" si="69"/>
        <v>879.38</v>
      </c>
      <c r="AS554" s="69">
        <v>588.15</v>
      </c>
      <c r="AT554" s="69">
        <f>75+4.35</f>
        <v>79.349999999999994</v>
      </c>
      <c r="AU554" s="69">
        <v>211.88</v>
      </c>
      <c r="BC554" s="69"/>
      <c r="BD554" s="69"/>
      <c r="CD554" s="94">
        <f t="shared" si="70"/>
        <v>879.38</v>
      </c>
      <c r="CE554" s="73">
        <f t="shared" si="71"/>
        <v>0</v>
      </c>
      <c r="CF554" s="75">
        <f t="shared" si="72"/>
        <v>5551</v>
      </c>
      <c r="CG554" s="69" t="str">
        <f t="shared" si="72"/>
        <v>خ ت اسنان</v>
      </c>
    </row>
    <row r="555" spans="2:85" x14ac:dyDescent="0.25">
      <c r="B555" s="82">
        <v>9676</v>
      </c>
      <c r="C555" s="78">
        <v>5552</v>
      </c>
      <c r="D555" s="69" t="s">
        <v>123</v>
      </c>
      <c r="E555" s="69" t="s">
        <v>425</v>
      </c>
      <c r="F555" s="69"/>
      <c r="G555" s="69">
        <v>3499.98</v>
      </c>
      <c r="T555" s="69"/>
      <c r="U555" s="69"/>
      <c r="AR555" s="94">
        <f t="shared" si="69"/>
        <v>3499.98</v>
      </c>
      <c r="AS555" s="69">
        <v>2640.9</v>
      </c>
      <c r="AT555" s="69">
        <v>684.09</v>
      </c>
      <c r="AV555" s="69">
        <v>174.99</v>
      </c>
      <c r="BC555" s="69"/>
      <c r="BD555" s="69"/>
      <c r="CD555" s="94">
        <f t="shared" si="70"/>
        <v>3499.9800000000005</v>
      </c>
      <c r="CE555" s="73">
        <f t="shared" si="71"/>
        <v>0</v>
      </c>
      <c r="CF555" s="75">
        <f t="shared" si="72"/>
        <v>5552</v>
      </c>
      <c r="CG555" s="69" t="str">
        <f t="shared" si="72"/>
        <v>خ ت اسنان</v>
      </c>
    </row>
    <row r="556" spans="2:85" x14ac:dyDescent="0.25">
      <c r="B556" s="82">
        <v>9672</v>
      </c>
      <c r="C556" s="78">
        <v>5553</v>
      </c>
      <c r="D556" s="69" t="s">
        <v>123</v>
      </c>
      <c r="E556" s="69" t="str">
        <f>+E553</f>
        <v>مكافاه مناقشه ماجستير</v>
      </c>
      <c r="F556" s="69"/>
      <c r="G556" s="69">
        <v>469</v>
      </c>
      <c r="T556" s="69"/>
      <c r="U556" s="69"/>
      <c r="AR556" s="94">
        <f t="shared" si="69"/>
        <v>469</v>
      </c>
      <c r="AS556" s="69">
        <v>313.7</v>
      </c>
      <c r="AT556" s="69">
        <v>42.3</v>
      </c>
      <c r="AU556" s="69">
        <v>113</v>
      </c>
      <c r="BC556" s="69"/>
      <c r="BD556" s="69"/>
      <c r="CD556" s="94">
        <f t="shared" si="70"/>
        <v>469</v>
      </c>
      <c r="CE556" s="73">
        <f t="shared" si="71"/>
        <v>0</v>
      </c>
      <c r="CF556" s="75">
        <f t="shared" si="72"/>
        <v>5553</v>
      </c>
      <c r="CG556" s="69" t="str">
        <f t="shared" si="72"/>
        <v>خ ت اسنان</v>
      </c>
    </row>
    <row r="557" spans="2:85" x14ac:dyDescent="0.25">
      <c r="B557" s="82">
        <v>9670</v>
      </c>
      <c r="C557" s="78">
        <v>5554</v>
      </c>
      <c r="D557" s="69" t="s">
        <v>123</v>
      </c>
      <c r="E557" s="69" t="str">
        <f>+E556</f>
        <v>مكافاه مناقشه ماجستير</v>
      </c>
      <c r="F557" s="69"/>
      <c r="G557" s="69">
        <v>366.66</v>
      </c>
      <c r="T557" s="69"/>
      <c r="U557" s="69"/>
      <c r="AR557" s="94">
        <f t="shared" si="69"/>
        <v>366.66</v>
      </c>
      <c r="AS557" s="69">
        <v>276.98</v>
      </c>
      <c r="AT557" s="69">
        <v>71.349999999999994</v>
      </c>
      <c r="AV557" s="69">
        <v>18.329999999999998</v>
      </c>
      <c r="BC557" s="69"/>
      <c r="BD557" s="69"/>
      <c r="CD557" s="94">
        <f t="shared" si="70"/>
        <v>366.66</v>
      </c>
      <c r="CE557" s="73">
        <f t="shared" si="71"/>
        <v>0</v>
      </c>
      <c r="CF557" s="75">
        <f t="shared" si="72"/>
        <v>5554</v>
      </c>
      <c r="CG557" s="69" t="str">
        <f t="shared" si="72"/>
        <v>خ ت اسنان</v>
      </c>
    </row>
    <row r="558" spans="2:85" x14ac:dyDescent="0.25">
      <c r="B558" s="82">
        <v>9671</v>
      </c>
      <c r="C558" s="78">
        <v>5555</v>
      </c>
      <c r="D558" s="69" t="s">
        <v>123</v>
      </c>
      <c r="E558" s="69" t="str">
        <f>+E557</f>
        <v>مكافاه مناقشه ماجستير</v>
      </c>
      <c r="F558" s="69"/>
      <c r="G558" s="69">
        <v>1533.32</v>
      </c>
      <c r="T558" s="69"/>
      <c r="U558" s="69"/>
      <c r="AR558" s="94">
        <f t="shared" si="69"/>
        <v>1533.32</v>
      </c>
      <c r="AS558" s="69">
        <v>1175.08</v>
      </c>
      <c r="AT558" s="69">
        <v>281.58</v>
      </c>
      <c r="AV558" s="69">
        <v>76.66</v>
      </c>
      <c r="BC558" s="69"/>
      <c r="BD558" s="69"/>
      <c r="CD558" s="94">
        <f t="shared" si="70"/>
        <v>1533.32</v>
      </c>
      <c r="CE558" s="73">
        <f t="shared" si="71"/>
        <v>0</v>
      </c>
      <c r="CF558" s="75">
        <f t="shared" si="72"/>
        <v>5555</v>
      </c>
      <c r="CG558" s="69" t="str">
        <f t="shared" si="72"/>
        <v>خ ت اسنان</v>
      </c>
    </row>
    <row r="559" spans="2:85" x14ac:dyDescent="0.25">
      <c r="B559" s="82">
        <v>9683</v>
      </c>
      <c r="C559" s="78">
        <v>5556</v>
      </c>
      <c r="D559" s="69" t="s">
        <v>123</v>
      </c>
      <c r="E559" s="69" t="str">
        <f>+E555</f>
        <v>مكافاه مناقشه دكتوراه</v>
      </c>
      <c r="F559" s="69"/>
      <c r="G559" s="69">
        <v>879.38</v>
      </c>
      <c r="T559" s="69"/>
      <c r="U559" s="69"/>
      <c r="AR559" s="94">
        <f t="shared" si="69"/>
        <v>879.38</v>
      </c>
      <c r="AS559" s="69">
        <v>588.15</v>
      </c>
      <c r="AT559" s="69">
        <f>75+4.35</f>
        <v>79.349999999999994</v>
      </c>
      <c r="AU559" s="69">
        <v>211.88</v>
      </c>
      <c r="BC559" s="69"/>
      <c r="BD559" s="69"/>
      <c r="CD559" s="94">
        <f t="shared" si="70"/>
        <v>879.38</v>
      </c>
      <c r="CE559" s="73">
        <f t="shared" si="71"/>
        <v>0</v>
      </c>
      <c r="CF559" s="75">
        <f t="shared" si="72"/>
        <v>5556</v>
      </c>
      <c r="CG559" s="69" t="str">
        <f t="shared" si="72"/>
        <v>خ ت اسنان</v>
      </c>
    </row>
    <row r="560" spans="2:85" x14ac:dyDescent="0.25">
      <c r="B560" s="82">
        <v>9682</v>
      </c>
      <c r="C560" s="78">
        <v>5557</v>
      </c>
      <c r="D560" s="69" t="s">
        <v>123</v>
      </c>
      <c r="E560" s="69" t="str">
        <f>+E559</f>
        <v>مكافاه مناقشه دكتوراه</v>
      </c>
      <c r="F560" s="69"/>
      <c r="G560" s="69">
        <v>500</v>
      </c>
      <c r="T560" s="69"/>
      <c r="U560" s="69"/>
      <c r="AR560" s="94">
        <f t="shared" si="69"/>
        <v>500</v>
      </c>
      <c r="AS560" s="69">
        <v>409.77</v>
      </c>
      <c r="AT560" s="69">
        <v>65.23</v>
      </c>
      <c r="AV560" s="69">
        <v>25</v>
      </c>
      <c r="BC560" s="69"/>
      <c r="BD560" s="69"/>
      <c r="CD560" s="94">
        <f t="shared" si="70"/>
        <v>500</v>
      </c>
      <c r="CE560" s="73">
        <f t="shared" si="71"/>
        <v>0</v>
      </c>
      <c r="CF560" s="75">
        <f t="shared" si="72"/>
        <v>5557</v>
      </c>
      <c r="CG560" s="69" t="str">
        <f t="shared" si="72"/>
        <v>خ ت اسنان</v>
      </c>
    </row>
    <row r="561" spans="2:85" x14ac:dyDescent="0.25">
      <c r="B561" s="82">
        <v>9680</v>
      </c>
      <c r="C561" s="78">
        <v>5558</v>
      </c>
      <c r="D561" s="69" t="s">
        <v>123</v>
      </c>
      <c r="E561" s="69" t="str">
        <f>+E560</f>
        <v>مكافاه مناقشه دكتوراه</v>
      </c>
      <c r="F561" s="69"/>
      <c r="G561" s="69">
        <v>3065</v>
      </c>
      <c r="T561" s="69"/>
      <c r="U561" s="69"/>
      <c r="AR561" s="94">
        <f t="shared" si="69"/>
        <v>3065</v>
      </c>
      <c r="AS561" s="69">
        <v>2290.2800000000002</v>
      </c>
      <c r="AT561" s="69">
        <v>509.72</v>
      </c>
      <c r="AU561" s="69">
        <v>115</v>
      </c>
      <c r="AV561" s="69">
        <v>150</v>
      </c>
      <c r="BC561" s="69"/>
      <c r="BD561" s="69"/>
      <c r="CD561" s="94">
        <f t="shared" si="70"/>
        <v>3065</v>
      </c>
      <c r="CE561" s="73">
        <f t="shared" si="71"/>
        <v>0</v>
      </c>
      <c r="CF561" s="75">
        <f t="shared" si="72"/>
        <v>5558</v>
      </c>
      <c r="CG561" s="69" t="str">
        <f t="shared" si="72"/>
        <v>خ ت اسنان</v>
      </c>
    </row>
    <row r="562" spans="2:85" x14ac:dyDescent="0.25">
      <c r="B562" s="82">
        <v>9692</v>
      </c>
      <c r="C562" s="78">
        <v>5559</v>
      </c>
      <c r="D562" s="69" t="s">
        <v>123</v>
      </c>
      <c r="E562" s="69" t="str">
        <f>+E561</f>
        <v>مكافاه مناقشه دكتوراه</v>
      </c>
      <c r="F562" s="69"/>
      <c r="G562" s="69">
        <v>4250</v>
      </c>
      <c r="T562" s="69"/>
      <c r="U562" s="69"/>
      <c r="AR562" s="94">
        <f t="shared" si="69"/>
        <v>4250</v>
      </c>
      <c r="AS562" s="69">
        <v>3354.39</v>
      </c>
      <c r="AT562" s="69">
        <v>683.11</v>
      </c>
      <c r="AV562" s="69">
        <v>212.5</v>
      </c>
      <c r="BC562" s="69"/>
      <c r="BD562" s="69"/>
      <c r="CD562" s="94">
        <f t="shared" si="70"/>
        <v>4250</v>
      </c>
      <c r="CE562" s="73">
        <f t="shared" si="71"/>
        <v>0</v>
      </c>
      <c r="CF562" s="75">
        <f t="shared" si="72"/>
        <v>5559</v>
      </c>
      <c r="CG562" s="69" t="str">
        <f t="shared" si="72"/>
        <v>خ ت اسنان</v>
      </c>
    </row>
    <row r="563" spans="2:85" x14ac:dyDescent="0.25">
      <c r="B563" s="82">
        <v>9694</v>
      </c>
      <c r="C563" s="78">
        <v>5560</v>
      </c>
      <c r="D563" s="69" t="s">
        <v>123</v>
      </c>
      <c r="E563" s="69" t="str">
        <f>+E562</f>
        <v>مكافاه مناقشه دكتوراه</v>
      </c>
      <c r="F563" s="69"/>
      <c r="G563" s="69">
        <v>879.38</v>
      </c>
      <c r="T563" s="69"/>
      <c r="U563" s="69"/>
      <c r="AR563" s="94">
        <f t="shared" si="69"/>
        <v>879.38</v>
      </c>
      <c r="AS563" s="69">
        <v>588.15</v>
      </c>
      <c r="AT563" s="69">
        <f>4.35+75</f>
        <v>79.349999999999994</v>
      </c>
      <c r="AU563" s="69">
        <v>211.88</v>
      </c>
      <c r="BC563" s="69"/>
      <c r="BD563" s="69"/>
      <c r="CD563" s="94">
        <f t="shared" si="70"/>
        <v>879.38</v>
      </c>
      <c r="CE563" s="73">
        <f t="shared" si="71"/>
        <v>0</v>
      </c>
      <c r="CF563" s="75">
        <f t="shared" si="72"/>
        <v>5560</v>
      </c>
      <c r="CG563" s="69" t="str">
        <f t="shared" si="72"/>
        <v>خ ت اسنان</v>
      </c>
    </row>
    <row r="564" spans="2:85" x14ac:dyDescent="0.25">
      <c r="B564" s="82">
        <v>9663</v>
      </c>
      <c r="C564" s="78">
        <v>5561</v>
      </c>
      <c r="D564" s="69" t="s">
        <v>123</v>
      </c>
      <c r="E564" s="69" t="str">
        <f>+E558</f>
        <v>مكافاه مناقشه ماجستير</v>
      </c>
      <c r="F564" s="69"/>
      <c r="G564" s="69">
        <v>469</v>
      </c>
      <c r="T564" s="69"/>
      <c r="U564" s="69"/>
      <c r="AR564" s="94">
        <f t="shared" si="69"/>
        <v>469</v>
      </c>
      <c r="AS564" s="69">
        <v>313.7</v>
      </c>
      <c r="AT564" s="69">
        <v>42.3</v>
      </c>
      <c r="AU564" s="69">
        <v>113</v>
      </c>
      <c r="BC564" s="69"/>
      <c r="BD564" s="69"/>
      <c r="CD564" s="94">
        <f t="shared" si="70"/>
        <v>469</v>
      </c>
      <c r="CE564" s="73">
        <f t="shared" si="71"/>
        <v>0</v>
      </c>
      <c r="CF564" s="75">
        <f t="shared" si="72"/>
        <v>5561</v>
      </c>
      <c r="CG564" s="69" t="str">
        <f t="shared" si="72"/>
        <v>خ ت اسنان</v>
      </c>
    </row>
    <row r="565" spans="2:85" x14ac:dyDescent="0.25">
      <c r="B565" s="82">
        <v>9661</v>
      </c>
      <c r="C565" s="78">
        <v>5562</v>
      </c>
      <c r="D565" s="69" t="s">
        <v>123</v>
      </c>
      <c r="E565" s="69" t="str">
        <f>+E564</f>
        <v>مكافاه مناقشه ماجستير</v>
      </c>
      <c r="F565" s="69"/>
      <c r="G565" s="69">
        <v>1994.88</v>
      </c>
      <c r="T565" s="69"/>
      <c r="U565" s="69"/>
      <c r="AR565" s="94">
        <f t="shared" si="69"/>
        <v>1994.88</v>
      </c>
      <c r="AS565" s="69">
        <v>1409.18</v>
      </c>
      <c r="AT565" s="69">
        <v>335.32</v>
      </c>
      <c r="AU565" s="69">
        <v>155.38</v>
      </c>
      <c r="AV565" s="69">
        <v>95</v>
      </c>
      <c r="BC565" s="69"/>
      <c r="BD565" s="69"/>
      <c r="CD565" s="94">
        <f t="shared" si="70"/>
        <v>1994.88</v>
      </c>
      <c r="CE565" s="73">
        <f t="shared" si="71"/>
        <v>0</v>
      </c>
      <c r="CF565" s="75">
        <f t="shared" si="72"/>
        <v>5562</v>
      </c>
      <c r="CG565" s="69" t="str">
        <f t="shared" si="72"/>
        <v>خ ت اسنان</v>
      </c>
    </row>
    <row r="566" spans="2:85" x14ac:dyDescent="0.25">
      <c r="B566" s="82">
        <v>9696</v>
      </c>
      <c r="C566" s="78">
        <v>5563</v>
      </c>
      <c r="D566" s="69" t="s">
        <v>123</v>
      </c>
      <c r="E566" s="69" t="str">
        <f>+E563</f>
        <v>مكافاه مناقشه دكتوراه</v>
      </c>
      <c r="F566" s="69"/>
      <c r="G566" s="69">
        <v>879.38</v>
      </c>
      <c r="T566" s="69"/>
      <c r="U566" s="69"/>
      <c r="AR566" s="94">
        <f t="shared" si="69"/>
        <v>879.38</v>
      </c>
      <c r="AS566" s="69">
        <v>588.15</v>
      </c>
      <c r="AT566" s="69">
        <f>75+4.35</f>
        <v>79.349999999999994</v>
      </c>
      <c r="AU566" s="69">
        <v>211.88</v>
      </c>
      <c r="BC566" s="69"/>
      <c r="BD566" s="69"/>
      <c r="CD566" s="94">
        <f t="shared" si="70"/>
        <v>879.38</v>
      </c>
      <c r="CE566" s="73">
        <f t="shared" si="71"/>
        <v>0</v>
      </c>
      <c r="CF566" s="75">
        <f t="shared" si="72"/>
        <v>5563</v>
      </c>
      <c r="CG566" s="69" t="str">
        <f t="shared" si="72"/>
        <v>خ ت اسنان</v>
      </c>
    </row>
    <row r="567" spans="2:85" x14ac:dyDescent="0.25">
      <c r="B567" s="82">
        <v>9701</v>
      </c>
      <c r="C567" s="78">
        <v>5564</v>
      </c>
      <c r="D567" s="69" t="s">
        <v>123</v>
      </c>
      <c r="E567" s="69" t="str">
        <f t="shared" ref="E567:E573" si="73">+E566</f>
        <v>مكافاه مناقشه دكتوراه</v>
      </c>
      <c r="F567" s="69"/>
      <c r="G567" s="69">
        <v>3836.25</v>
      </c>
      <c r="T567" s="69"/>
      <c r="U567" s="69"/>
      <c r="AR567" s="94">
        <f t="shared" si="69"/>
        <v>3836.25</v>
      </c>
      <c r="AS567" s="69">
        <v>2806.47</v>
      </c>
      <c r="AT567" s="69">
        <v>701.03</v>
      </c>
      <c r="AU567" s="69">
        <v>141.25</v>
      </c>
      <c r="AV567" s="69">
        <v>187.5</v>
      </c>
      <c r="BC567" s="69"/>
      <c r="BD567" s="69"/>
      <c r="CD567" s="94">
        <f t="shared" si="70"/>
        <v>3836.25</v>
      </c>
      <c r="CE567" s="73">
        <f t="shared" si="71"/>
        <v>0</v>
      </c>
      <c r="CF567" s="75">
        <f t="shared" si="72"/>
        <v>5564</v>
      </c>
      <c r="CG567" s="69" t="str">
        <f t="shared" si="72"/>
        <v>خ ت اسنان</v>
      </c>
    </row>
    <row r="568" spans="2:85" x14ac:dyDescent="0.25">
      <c r="B568" s="82">
        <v>9687</v>
      </c>
      <c r="C568" s="78">
        <v>5565</v>
      </c>
      <c r="D568" s="69" t="s">
        <v>123</v>
      </c>
      <c r="E568" s="69" t="str">
        <f t="shared" si="73"/>
        <v>مكافاه مناقشه دكتوراه</v>
      </c>
      <c r="F568" s="69"/>
      <c r="G568" s="69">
        <v>500</v>
      </c>
      <c r="T568" s="69"/>
      <c r="U568" s="69"/>
      <c r="AR568" s="94">
        <f t="shared" si="69"/>
        <v>500</v>
      </c>
      <c r="AS568" s="69">
        <v>424.85</v>
      </c>
      <c r="AT568" s="69">
        <v>50.15</v>
      </c>
      <c r="AV568" s="69">
        <v>25</v>
      </c>
      <c r="BC568" s="69"/>
      <c r="BD568" s="69"/>
      <c r="CD568" s="94">
        <f t="shared" si="70"/>
        <v>500</v>
      </c>
      <c r="CE568" s="73">
        <f t="shared" si="71"/>
        <v>0</v>
      </c>
      <c r="CF568" s="75">
        <f t="shared" si="72"/>
        <v>5565</v>
      </c>
      <c r="CG568" s="69" t="str">
        <f t="shared" si="72"/>
        <v>خ ت اسنان</v>
      </c>
    </row>
    <row r="569" spans="2:85" x14ac:dyDescent="0.25">
      <c r="B569" s="82">
        <v>9686</v>
      </c>
      <c r="C569" s="78">
        <v>5566</v>
      </c>
      <c r="D569" s="69" t="s">
        <v>123</v>
      </c>
      <c r="E569" s="69" t="str">
        <f t="shared" si="73"/>
        <v>مكافاه مناقشه دكتوراه</v>
      </c>
      <c r="F569" s="69"/>
      <c r="G569" s="69">
        <v>879.38</v>
      </c>
      <c r="T569" s="69"/>
      <c r="U569" s="69"/>
      <c r="AR569" s="94">
        <f t="shared" si="69"/>
        <v>879.38</v>
      </c>
      <c r="AS569" s="69">
        <v>588.15</v>
      </c>
      <c r="AT569" s="69">
        <f>75+4.35</f>
        <v>79.349999999999994</v>
      </c>
      <c r="AU569" s="69">
        <v>211.88</v>
      </c>
      <c r="BC569" s="69"/>
      <c r="BD569" s="69"/>
      <c r="CD569" s="94">
        <f t="shared" si="70"/>
        <v>879.38</v>
      </c>
      <c r="CE569" s="73">
        <f t="shared" si="71"/>
        <v>0</v>
      </c>
      <c r="CF569" s="75">
        <f t="shared" si="72"/>
        <v>5566</v>
      </c>
      <c r="CG569" s="69" t="str">
        <f t="shared" si="72"/>
        <v>خ ت اسنان</v>
      </c>
    </row>
    <row r="570" spans="2:85" x14ac:dyDescent="0.25">
      <c r="B570" s="82">
        <v>9702</v>
      </c>
      <c r="C570" s="78">
        <v>5567</v>
      </c>
      <c r="D570" s="69" t="s">
        <v>123</v>
      </c>
      <c r="E570" s="69" t="str">
        <f t="shared" si="73"/>
        <v>مكافاه مناقشه دكتوراه</v>
      </c>
      <c r="F570" s="69"/>
      <c r="G570" s="69">
        <v>879.38</v>
      </c>
      <c r="T570" s="69"/>
      <c r="U570" s="69"/>
      <c r="AR570" s="94">
        <f t="shared" si="69"/>
        <v>879.38</v>
      </c>
      <c r="AS570" s="69">
        <v>588.15</v>
      </c>
      <c r="AT570" s="69">
        <f>75+4.35</f>
        <v>79.349999999999994</v>
      </c>
      <c r="AU570" s="69">
        <v>211.88</v>
      </c>
      <c r="BC570" s="69"/>
      <c r="BD570" s="69"/>
      <c r="CD570" s="94">
        <f t="shared" si="70"/>
        <v>879.38</v>
      </c>
      <c r="CE570" s="73">
        <f t="shared" si="71"/>
        <v>0</v>
      </c>
      <c r="CF570" s="75">
        <f t="shared" si="72"/>
        <v>5567</v>
      </c>
      <c r="CG570" s="69" t="str">
        <f t="shared" si="72"/>
        <v>خ ت اسنان</v>
      </c>
    </row>
    <row r="571" spans="2:85" x14ac:dyDescent="0.25">
      <c r="B571" s="82">
        <v>9705</v>
      </c>
      <c r="C571" s="78">
        <v>5568</v>
      </c>
      <c r="D571" s="69" t="s">
        <v>123</v>
      </c>
      <c r="E571" s="69" t="str">
        <f t="shared" si="73"/>
        <v>مكافاه مناقشه دكتوراه</v>
      </c>
      <c r="F571" s="69"/>
      <c r="G571" s="69">
        <v>1750</v>
      </c>
      <c r="T571" s="69"/>
      <c r="U571" s="69"/>
      <c r="AR571" s="94">
        <f t="shared" si="69"/>
        <v>1750</v>
      </c>
      <c r="AS571" s="69">
        <v>1319.8</v>
      </c>
      <c r="AT571" s="69">
        <v>342.7</v>
      </c>
      <c r="AV571" s="69">
        <v>87.5</v>
      </c>
      <c r="BC571" s="69"/>
      <c r="BD571" s="69"/>
      <c r="CD571" s="94">
        <f t="shared" si="70"/>
        <v>1750</v>
      </c>
      <c r="CE571" s="73">
        <f t="shared" si="71"/>
        <v>0</v>
      </c>
      <c r="CF571" s="75">
        <f t="shared" si="72"/>
        <v>5568</v>
      </c>
      <c r="CG571" s="69" t="str">
        <f t="shared" si="72"/>
        <v>خ ت اسنان</v>
      </c>
    </row>
    <row r="572" spans="2:85" x14ac:dyDescent="0.25">
      <c r="B572" s="82">
        <v>9690</v>
      </c>
      <c r="C572" s="78">
        <v>5569</v>
      </c>
      <c r="D572" s="69" t="s">
        <v>123</v>
      </c>
      <c r="E572" s="69" t="str">
        <f t="shared" si="73"/>
        <v>مكافاه مناقشه دكتوراه</v>
      </c>
      <c r="F572" s="69"/>
      <c r="G572" s="69">
        <v>3000</v>
      </c>
      <c r="T572" s="69"/>
      <c r="U572" s="69"/>
      <c r="AR572" s="94">
        <f t="shared" si="69"/>
        <v>3000</v>
      </c>
      <c r="AS572" s="69">
        <v>2287.7600000000002</v>
      </c>
      <c r="AT572" s="69">
        <v>562.24</v>
      </c>
      <c r="AV572" s="69">
        <v>150</v>
      </c>
      <c r="BC572" s="69"/>
      <c r="BD572" s="69"/>
      <c r="CD572" s="94">
        <f t="shared" si="70"/>
        <v>3000</v>
      </c>
      <c r="CE572" s="73">
        <f t="shared" si="71"/>
        <v>0</v>
      </c>
      <c r="CF572" s="75">
        <f t="shared" si="72"/>
        <v>5569</v>
      </c>
      <c r="CG572" s="69" t="str">
        <f t="shared" si="72"/>
        <v>خ ت اسنان</v>
      </c>
    </row>
    <row r="573" spans="2:85" x14ac:dyDescent="0.25">
      <c r="B573" s="82">
        <v>9698</v>
      </c>
      <c r="C573" s="78">
        <v>5570</v>
      </c>
      <c r="D573" s="69" t="s">
        <v>123</v>
      </c>
      <c r="E573" s="69" t="str">
        <f t="shared" si="73"/>
        <v>مكافاه مناقشه دكتوراه</v>
      </c>
      <c r="F573" s="69"/>
      <c r="G573" s="69">
        <v>500</v>
      </c>
      <c r="T573" s="69"/>
      <c r="U573" s="69"/>
      <c r="AR573" s="94">
        <f t="shared" si="69"/>
        <v>500</v>
      </c>
      <c r="AS573" s="69">
        <v>377.64</v>
      </c>
      <c r="AT573" s="69">
        <v>97.36</v>
      </c>
      <c r="AV573" s="69">
        <v>25</v>
      </c>
      <c r="BC573" s="69"/>
      <c r="BD573" s="69"/>
      <c r="CD573" s="94">
        <f t="shared" si="70"/>
        <v>500</v>
      </c>
      <c r="CE573" s="73">
        <f t="shared" si="71"/>
        <v>0</v>
      </c>
      <c r="CF573" s="75">
        <f t="shared" si="72"/>
        <v>5570</v>
      </c>
      <c r="CG573" s="69" t="str">
        <f t="shared" si="72"/>
        <v>خ ت اسنان</v>
      </c>
    </row>
    <row r="574" spans="2:85" x14ac:dyDescent="0.25">
      <c r="B574" s="82">
        <v>9910</v>
      </c>
      <c r="C574" s="78">
        <v>5571</v>
      </c>
      <c r="D574" s="69" t="s">
        <v>121</v>
      </c>
      <c r="E574" s="69" t="s">
        <v>2840</v>
      </c>
      <c r="F574" s="69"/>
      <c r="G574" s="69">
        <v>69000</v>
      </c>
      <c r="T574" s="69"/>
      <c r="U574" s="69"/>
      <c r="AR574" s="94">
        <f t="shared" si="69"/>
        <v>69000</v>
      </c>
      <c r="AS574" s="69">
        <v>61645</v>
      </c>
      <c r="AT574" s="69">
        <v>7355</v>
      </c>
      <c r="BC574" s="69"/>
      <c r="BD574" s="69"/>
      <c r="CD574" s="94">
        <f t="shared" si="70"/>
        <v>69000</v>
      </c>
      <c r="CE574" s="73">
        <f t="shared" si="71"/>
        <v>0</v>
      </c>
      <c r="CF574" s="75">
        <f t="shared" si="72"/>
        <v>5571</v>
      </c>
      <c r="CG574" s="69" t="str">
        <f t="shared" si="72"/>
        <v>ماليزى اسنان</v>
      </c>
    </row>
    <row r="575" spans="2:85" x14ac:dyDescent="0.25">
      <c r="B575" s="82">
        <v>9911</v>
      </c>
      <c r="C575" s="78">
        <v>5572</v>
      </c>
      <c r="D575" s="69" t="s">
        <v>121</v>
      </c>
      <c r="E575" s="69" t="s">
        <v>2840</v>
      </c>
      <c r="F575" s="69"/>
      <c r="G575" s="69">
        <v>10000</v>
      </c>
      <c r="T575" s="69"/>
      <c r="U575" s="69"/>
      <c r="AR575" s="94">
        <f t="shared" si="69"/>
        <v>10000</v>
      </c>
      <c r="AS575" s="69">
        <v>8920.4</v>
      </c>
      <c r="AT575" s="69">
        <v>1079.5999999999999</v>
      </c>
      <c r="BC575" s="69"/>
      <c r="BD575" s="69"/>
      <c r="CD575" s="94">
        <f t="shared" si="70"/>
        <v>10000</v>
      </c>
      <c r="CE575" s="73">
        <f t="shared" si="71"/>
        <v>0</v>
      </c>
      <c r="CF575" s="75">
        <f t="shared" si="72"/>
        <v>5572</v>
      </c>
      <c r="CG575" s="69" t="str">
        <f t="shared" si="72"/>
        <v>ماليزى اسنان</v>
      </c>
    </row>
    <row r="576" spans="2:85" x14ac:dyDescent="0.25">
      <c r="B576" s="82">
        <v>9912</v>
      </c>
      <c r="C576" s="78">
        <v>5573</v>
      </c>
      <c r="D576" s="69" t="s">
        <v>121</v>
      </c>
      <c r="E576" s="69" t="s">
        <v>2841</v>
      </c>
      <c r="F576" s="69"/>
      <c r="G576" s="69">
        <v>17498.22</v>
      </c>
      <c r="T576" s="69"/>
      <c r="U576" s="69"/>
      <c r="AR576" s="94">
        <f t="shared" si="69"/>
        <v>17498.22</v>
      </c>
      <c r="AS576" s="69">
        <v>11808.23</v>
      </c>
      <c r="AT576" s="69">
        <v>1598.7</v>
      </c>
      <c r="AU576" s="69">
        <v>4091.29</v>
      </c>
      <c r="BC576" s="69"/>
      <c r="BD576" s="69"/>
      <c r="CD576" s="94">
        <f t="shared" si="70"/>
        <v>17498.22</v>
      </c>
      <c r="CE576" s="73">
        <f t="shared" si="71"/>
        <v>0</v>
      </c>
      <c r="CF576" s="75">
        <f t="shared" si="72"/>
        <v>5573</v>
      </c>
      <c r="CG576" s="69" t="str">
        <f t="shared" si="72"/>
        <v>ماليزى اسنان</v>
      </c>
    </row>
    <row r="577" spans="2:85" x14ac:dyDescent="0.25">
      <c r="B577" s="82">
        <v>9913</v>
      </c>
      <c r="C577" s="78">
        <v>5574</v>
      </c>
      <c r="D577" s="69" t="s">
        <v>121</v>
      </c>
      <c r="E577" s="69" t="s">
        <v>2841</v>
      </c>
      <c r="F577" s="69"/>
      <c r="G577" s="69">
        <v>7035</v>
      </c>
      <c r="T577" s="69"/>
      <c r="U577" s="69"/>
      <c r="AR577" s="94">
        <f t="shared" si="69"/>
        <v>7035</v>
      </c>
      <c r="AS577" s="69">
        <v>4700.7</v>
      </c>
      <c r="AT577" s="69">
        <v>639.29999999999995</v>
      </c>
      <c r="AU577" s="69">
        <v>1695</v>
      </c>
      <c r="BC577" s="69"/>
      <c r="BD577" s="69"/>
      <c r="CD577" s="94">
        <f t="shared" si="70"/>
        <v>7035</v>
      </c>
      <c r="CE577" s="73">
        <f t="shared" si="71"/>
        <v>0</v>
      </c>
      <c r="CF577" s="75">
        <f t="shared" si="72"/>
        <v>5574</v>
      </c>
      <c r="CG577" s="69" t="str">
        <f t="shared" si="72"/>
        <v>ماليزى اسنان</v>
      </c>
    </row>
    <row r="578" spans="2:85" x14ac:dyDescent="0.25">
      <c r="B578" s="82">
        <v>9914</v>
      </c>
      <c r="C578" s="78">
        <v>5575</v>
      </c>
      <c r="D578" s="69" t="s">
        <v>121</v>
      </c>
      <c r="E578" s="69" t="s">
        <v>2841</v>
      </c>
      <c r="F578" s="69"/>
      <c r="G578" s="69">
        <v>6000</v>
      </c>
      <c r="T578" s="69"/>
      <c r="U578" s="69"/>
      <c r="AR578" s="94">
        <f t="shared" si="69"/>
        <v>6000</v>
      </c>
      <c r="AS578" s="69">
        <v>5355.7</v>
      </c>
      <c r="AT578" s="69">
        <v>644.29999999999995</v>
      </c>
      <c r="BC578" s="69"/>
      <c r="BD578" s="69"/>
      <c r="CD578" s="94">
        <f t="shared" si="70"/>
        <v>6000</v>
      </c>
      <c r="CE578" s="73">
        <f t="shared" si="71"/>
        <v>0</v>
      </c>
      <c r="CF578" s="75">
        <f t="shared" si="72"/>
        <v>5575</v>
      </c>
      <c r="CG578" s="69" t="str">
        <f t="shared" si="72"/>
        <v>ماليزى اسنان</v>
      </c>
    </row>
    <row r="579" spans="2:85" x14ac:dyDescent="0.25">
      <c r="B579" s="82">
        <v>9915</v>
      </c>
      <c r="C579" s="78">
        <v>5576</v>
      </c>
      <c r="D579" s="69" t="s">
        <v>121</v>
      </c>
      <c r="E579" s="69" t="s">
        <v>2841</v>
      </c>
      <c r="F579" s="69"/>
      <c r="G579" s="69">
        <v>5000</v>
      </c>
      <c r="T579" s="69"/>
      <c r="U579" s="69"/>
      <c r="AR579" s="94">
        <f t="shared" si="69"/>
        <v>5000</v>
      </c>
      <c r="AS579" s="69">
        <v>4463.2</v>
      </c>
      <c r="AT579" s="69">
        <v>536.79999999999995</v>
      </c>
      <c r="BC579" s="69"/>
      <c r="BD579" s="69"/>
      <c r="CD579" s="94">
        <f t="shared" si="70"/>
        <v>5000</v>
      </c>
      <c r="CE579" s="73">
        <f t="shared" si="71"/>
        <v>0</v>
      </c>
      <c r="CF579" s="75">
        <f t="shared" si="72"/>
        <v>5576</v>
      </c>
      <c r="CG579" s="69" t="str">
        <f t="shared" si="72"/>
        <v>ماليزى اسنان</v>
      </c>
    </row>
    <row r="580" spans="2:85" x14ac:dyDescent="0.25">
      <c r="B580" s="82">
        <v>9918</v>
      </c>
      <c r="C580" s="78">
        <v>5577</v>
      </c>
      <c r="D580" s="69" t="s">
        <v>121</v>
      </c>
      <c r="E580" s="69" t="s">
        <v>2842</v>
      </c>
      <c r="F580" s="69"/>
      <c r="G580" s="69">
        <v>3834.07</v>
      </c>
      <c r="T580" s="69"/>
      <c r="U580" s="69"/>
      <c r="AR580" s="94">
        <f t="shared" si="69"/>
        <v>3834.07</v>
      </c>
      <c r="AS580" s="69">
        <v>3065.19</v>
      </c>
      <c r="AT580" s="69">
        <v>385.55</v>
      </c>
      <c r="AU580" s="69">
        <v>383.33</v>
      </c>
      <c r="BC580" s="69"/>
      <c r="BD580" s="69"/>
      <c r="CD580" s="94">
        <f t="shared" si="70"/>
        <v>3834.07</v>
      </c>
      <c r="CE580" s="73">
        <f t="shared" si="71"/>
        <v>0</v>
      </c>
      <c r="CF580" s="75">
        <f t="shared" si="72"/>
        <v>5577</v>
      </c>
      <c r="CG580" s="69" t="str">
        <f t="shared" si="72"/>
        <v>ماليزى اسنان</v>
      </c>
    </row>
    <row r="581" spans="2:85" x14ac:dyDescent="0.25">
      <c r="B581" s="82">
        <v>9919</v>
      </c>
      <c r="C581" s="78">
        <v>5578</v>
      </c>
      <c r="D581" s="69" t="s">
        <v>121</v>
      </c>
      <c r="E581" s="69" t="s">
        <v>2842</v>
      </c>
      <c r="F581" s="69"/>
      <c r="G581" s="69">
        <v>14231.24</v>
      </c>
      <c r="T581" s="69"/>
      <c r="U581" s="69"/>
      <c r="AR581" s="94">
        <f t="shared" si="69"/>
        <v>14231.24</v>
      </c>
      <c r="AS581" s="69">
        <v>12655.19</v>
      </c>
      <c r="AT581" s="69">
        <v>1524.9</v>
      </c>
      <c r="AU581" s="69">
        <v>51.15</v>
      </c>
      <c r="BC581" s="69"/>
      <c r="BD581" s="69"/>
      <c r="CD581" s="94">
        <f t="shared" si="70"/>
        <v>14231.24</v>
      </c>
      <c r="CE581" s="73">
        <f t="shared" si="71"/>
        <v>0</v>
      </c>
      <c r="CF581" s="75">
        <f t="shared" si="72"/>
        <v>5578</v>
      </c>
      <c r="CG581" s="69" t="str">
        <f t="shared" si="72"/>
        <v>ماليزى اسنان</v>
      </c>
    </row>
    <row r="582" spans="2:85" x14ac:dyDescent="0.25">
      <c r="B582" s="82">
        <v>9920</v>
      </c>
      <c r="C582" s="78">
        <v>5579</v>
      </c>
      <c r="D582" s="69" t="s">
        <v>121</v>
      </c>
      <c r="E582" s="69" t="s">
        <v>2842</v>
      </c>
      <c r="F582" s="69"/>
      <c r="G582" s="69">
        <v>7050</v>
      </c>
      <c r="T582" s="69"/>
      <c r="U582" s="69"/>
      <c r="AR582" s="94">
        <f t="shared" si="69"/>
        <v>7050</v>
      </c>
      <c r="AS582" s="69">
        <v>6292.85</v>
      </c>
      <c r="AT582" s="69">
        <v>757.15</v>
      </c>
      <c r="BC582" s="69"/>
      <c r="BD582" s="69"/>
      <c r="CD582" s="94">
        <f t="shared" si="70"/>
        <v>7050</v>
      </c>
      <c r="CE582" s="73">
        <f t="shared" si="71"/>
        <v>0</v>
      </c>
      <c r="CF582" s="75">
        <f t="shared" si="72"/>
        <v>5579</v>
      </c>
      <c r="CG582" s="69" t="str">
        <f t="shared" si="72"/>
        <v>ماليزى اسنان</v>
      </c>
    </row>
    <row r="583" spans="2:85" x14ac:dyDescent="0.25">
      <c r="B583" s="82">
        <v>9946</v>
      </c>
      <c r="C583" s="78">
        <v>5580</v>
      </c>
      <c r="D583" s="69" t="s">
        <v>121</v>
      </c>
      <c r="E583" s="69" t="s">
        <v>2843</v>
      </c>
      <c r="F583" s="69"/>
      <c r="G583" s="69">
        <v>30743.26</v>
      </c>
      <c r="T583" s="69"/>
      <c r="U583" s="69"/>
      <c r="AR583" s="94">
        <f t="shared" si="69"/>
        <v>30743.26</v>
      </c>
      <c r="AS583" s="69">
        <v>23852.91</v>
      </c>
      <c r="AT583" s="69">
        <v>3036.45</v>
      </c>
      <c r="AU583" s="69">
        <v>3853.9</v>
      </c>
      <c r="BC583" s="69"/>
      <c r="BD583" s="69"/>
      <c r="CD583" s="94">
        <f t="shared" si="70"/>
        <v>30743.260000000002</v>
      </c>
      <c r="CE583" s="73">
        <f t="shared" si="71"/>
        <v>0</v>
      </c>
      <c r="CF583" s="75">
        <f t="shared" si="72"/>
        <v>5580</v>
      </c>
      <c r="CG583" s="69" t="str">
        <f t="shared" si="72"/>
        <v>ماليزى اسنان</v>
      </c>
    </row>
    <row r="584" spans="2:85" x14ac:dyDescent="0.25">
      <c r="B584" s="82">
        <v>9916</v>
      </c>
      <c r="C584" s="78">
        <v>5581</v>
      </c>
      <c r="D584" s="69" t="s">
        <v>121</v>
      </c>
      <c r="E584" s="69" t="s">
        <v>2844</v>
      </c>
      <c r="F584" s="69"/>
      <c r="G584" s="69">
        <v>30672.09</v>
      </c>
      <c r="T584" s="69"/>
      <c r="U584" s="69"/>
      <c r="AR584" s="94">
        <f t="shared" si="69"/>
        <v>30672.09</v>
      </c>
      <c r="AS584" s="69">
        <v>22098.15</v>
      </c>
      <c r="AT584" s="69">
        <v>2904.15</v>
      </c>
      <c r="AU584" s="69">
        <v>5669.79</v>
      </c>
      <c r="BC584" s="69"/>
      <c r="BD584" s="69"/>
      <c r="CD584" s="94">
        <f t="shared" si="70"/>
        <v>30672.090000000004</v>
      </c>
      <c r="CE584" s="73">
        <f t="shared" si="71"/>
        <v>0</v>
      </c>
      <c r="CF584" s="75">
        <f t="shared" si="72"/>
        <v>5581</v>
      </c>
      <c r="CG584" s="69" t="str">
        <f t="shared" si="72"/>
        <v>ماليزى اسنان</v>
      </c>
    </row>
    <row r="585" spans="2:85" x14ac:dyDescent="0.25">
      <c r="B585" s="82">
        <v>9924</v>
      </c>
      <c r="C585" s="78">
        <v>5582</v>
      </c>
      <c r="D585" s="69" t="s">
        <v>121</v>
      </c>
      <c r="E585" s="69" t="s">
        <v>2845</v>
      </c>
      <c r="F585" s="69"/>
      <c r="G585" s="69">
        <v>879.4</v>
      </c>
      <c r="T585" s="69"/>
      <c r="U585" s="69"/>
      <c r="AR585" s="94">
        <f t="shared" si="69"/>
        <v>879.4</v>
      </c>
      <c r="AS585" s="69">
        <v>590</v>
      </c>
      <c r="AT585" s="69">
        <v>77.5</v>
      </c>
      <c r="AU585" s="69">
        <v>211.9</v>
      </c>
      <c r="BC585" s="69"/>
      <c r="BD585" s="69"/>
      <c r="CD585" s="94">
        <f t="shared" si="70"/>
        <v>879.4</v>
      </c>
      <c r="CE585" s="73">
        <f t="shared" si="71"/>
        <v>0</v>
      </c>
      <c r="CF585" s="75">
        <f t="shared" si="72"/>
        <v>5582</v>
      </c>
      <c r="CG585" s="69" t="str">
        <f t="shared" si="72"/>
        <v>ماليزى اسنان</v>
      </c>
    </row>
    <row r="586" spans="2:85" x14ac:dyDescent="0.25">
      <c r="B586" s="82">
        <v>9922</v>
      </c>
      <c r="C586" s="78">
        <v>5583</v>
      </c>
      <c r="D586" s="69" t="s">
        <v>121</v>
      </c>
      <c r="E586" s="69" t="s">
        <v>2846</v>
      </c>
      <c r="F586" s="69"/>
      <c r="G586" s="69">
        <v>3282.98</v>
      </c>
      <c r="T586" s="69"/>
      <c r="U586" s="69"/>
      <c r="AR586" s="94">
        <f t="shared" si="69"/>
        <v>3282.98</v>
      </c>
      <c r="AS586" s="69">
        <v>2197.9</v>
      </c>
      <c r="AT586" s="69">
        <v>294.10000000000002</v>
      </c>
      <c r="AU586" s="69">
        <v>790.98</v>
      </c>
      <c r="BC586" s="69"/>
      <c r="BD586" s="69"/>
      <c r="CD586" s="94">
        <f t="shared" si="70"/>
        <v>3282.98</v>
      </c>
      <c r="CE586" s="73">
        <f t="shared" si="71"/>
        <v>0</v>
      </c>
      <c r="CF586" s="75">
        <f t="shared" si="72"/>
        <v>5583</v>
      </c>
      <c r="CG586" s="69" t="str">
        <f t="shared" si="72"/>
        <v>ماليزى اسنان</v>
      </c>
    </row>
    <row r="587" spans="2:85" x14ac:dyDescent="0.25">
      <c r="B587" s="82">
        <v>9923</v>
      </c>
      <c r="C587" s="78">
        <v>5584</v>
      </c>
      <c r="D587" s="69" t="s">
        <v>121</v>
      </c>
      <c r="E587" s="69" t="s">
        <v>2846</v>
      </c>
      <c r="F587" s="69"/>
      <c r="G587" s="69">
        <v>1582.88</v>
      </c>
      <c r="T587" s="69"/>
      <c r="U587" s="69"/>
      <c r="AR587" s="94">
        <f t="shared" si="69"/>
        <v>1582.88</v>
      </c>
      <c r="AS587" s="69">
        <v>1059.4000000000001</v>
      </c>
      <c r="AT587" s="69">
        <v>142.1</v>
      </c>
      <c r="AU587" s="69">
        <v>381.38</v>
      </c>
      <c r="BC587" s="69"/>
      <c r="BD587" s="69"/>
      <c r="CD587" s="94">
        <f t="shared" si="70"/>
        <v>1582.88</v>
      </c>
      <c r="CE587" s="73">
        <f t="shared" si="71"/>
        <v>0</v>
      </c>
      <c r="CF587" s="75">
        <f t="shared" si="72"/>
        <v>5584</v>
      </c>
      <c r="CG587" s="69" t="str">
        <f t="shared" si="72"/>
        <v>ماليزى اسنان</v>
      </c>
    </row>
    <row r="588" spans="2:85" x14ac:dyDescent="0.25">
      <c r="B588" s="82">
        <v>9927</v>
      </c>
      <c r="C588" s="78">
        <v>5585</v>
      </c>
      <c r="D588" s="69" t="s">
        <v>121</v>
      </c>
      <c r="E588" s="69" t="s">
        <v>2847</v>
      </c>
      <c r="F588" s="69"/>
      <c r="G588" s="69">
        <v>879.38</v>
      </c>
      <c r="T588" s="69"/>
      <c r="U588" s="69"/>
      <c r="AR588" s="94">
        <f t="shared" si="69"/>
        <v>879.38</v>
      </c>
      <c r="AS588" s="69">
        <v>588.15</v>
      </c>
      <c r="AT588" s="69">
        <v>79.349999999999994</v>
      </c>
      <c r="AU588" s="69">
        <v>211.88</v>
      </c>
      <c r="BC588" s="69"/>
      <c r="BD588" s="69"/>
      <c r="CD588" s="94">
        <f t="shared" si="70"/>
        <v>879.38</v>
      </c>
      <c r="CE588" s="73">
        <f t="shared" si="71"/>
        <v>0</v>
      </c>
      <c r="CF588" s="75">
        <f t="shared" si="72"/>
        <v>5585</v>
      </c>
      <c r="CG588" s="69" t="str">
        <f t="shared" si="72"/>
        <v>ماليزى اسنان</v>
      </c>
    </row>
    <row r="589" spans="2:85" x14ac:dyDescent="0.25">
      <c r="B589" s="82">
        <v>9928</v>
      </c>
      <c r="C589" s="78">
        <v>5586</v>
      </c>
      <c r="D589" s="69" t="s">
        <v>121</v>
      </c>
      <c r="E589" s="69" t="s">
        <v>2848</v>
      </c>
      <c r="F589" s="69"/>
      <c r="G589" s="69">
        <v>2814</v>
      </c>
      <c r="T589" s="69"/>
      <c r="U589" s="69"/>
      <c r="AR589" s="94">
        <f t="shared" si="69"/>
        <v>2814</v>
      </c>
      <c r="AS589" s="69">
        <v>1882.05</v>
      </c>
      <c r="AT589" s="69">
        <v>253.95</v>
      </c>
      <c r="AU589" s="69">
        <v>678</v>
      </c>
      <c r="BC589" s="69"/>
      <c r="BD589" s="69"/>
      <c r="CD589" s="94">
        <f t="shared" si="70"/>
        <v>2814</v>
      </c>
      <c r="CE589" s="73">
        <f t="shared" si="71"/>
        <v>0</v>
      </c>
      <c r="CF589" s="75">
        <f t="shared" si="72"/>
        <v>5586</v>
      </c>
      <c r="CG589" s="69" t="str">
        <f t="shared" si="72"/>
        <v>ماليزى اسنان</v>
      </c>
    </row>
    <row r="590" spans="2:85" x14ac:dyDescent="0.25">
      <c r="B590" s="82">
        <v>9929</v>
      </c>
      <c r="C590" s="78">
        <v>5587</v>
      </c>
      <c r="D590" s="69" t="s">
        <v>121</v>
      </c>
      <c r="E590" s="69" t="s">
        <v>2849</v>
      </c>
      <c r="F590" s="69"/>
      <c r="G590" s="69">
        <v>938</v>
      </c>
      <c r="T590" s="69"/>
      <c r="U590" s="69"/>
      <c r="AR590" s="94">
        <f t="shared" si="69"/>
        <v>938</v>
      </c>
      <c r="AS590" s="69">
        <v>627.35</v>
      </c>
      <c r="AT590" s="69">
        <v>84.65</v>
      </c>
      <c r="AU590" s="69">
        <v>226</v>
      </c>
      <c r="BC590" s="69"/>
      <c r="BD590" s="69"/>
      <c r="CD590" s="94">
        <f t="shared" si="70"/>
        <v>938</v>
      </c>
      <c r="CE590" s="73">
        <f t="shared" si="71"/>
        <v>0</v>
      </c>
      <c r="CF590" s="75">
        <f t="shared" si="72"/>
        <v>5587</v>
      </c>
      <c r="CG590" s="69" t="str">
        <f t="shared" si="72"/>
        <v>ماليزى اسنان</v>
      </c>
    </row>
    <row r="591" spans="2:85" x14ac:dyDescent="0.25">
      <c r="B591" s="82">
        <v>9930</v>
      </c>
      <c r="C591" s="78">
        <v>5588</v>
      </c>
      <c r="D591" s="69" t="s">
        <v>121</v>
      </c>
      <c r="E591" s="69" t="s">
        <v>2850</v>
      </c>
      <c r="F591" s="69"/>
      <c r="G591" s="69">
        <v>7676.7</v>
      </c>
      <c r="T591" s="69"/>
      <c r="U591" s="69"/>
      <c r="AR591" s="94">
        <f t="shared" si="69"/>
        <v>7676.7</v>
      </c>
      <c r="AS591" s="69">
        <v>5820.68</v>
      </c>
      <c r="AT591" s="69">
        <v>747.8</v>
      </c>
      <c r="AU591" s="69">
        <v>1108.22</v>
      </c>
      <c r="BC591" s="69"/>
      <c r="BD591" s="69"/>
      <c r="CD591" s="94">
        <f t="shared" si="70"/>
        <v>7676.7000000000007</v>
      </c>
      <c r="CE591" s="73">
        <f t="shared" si="71"/>
        <v>0</v>
      </c>
      <c r="CF591" s="75">
        <f t="shared" si="72"/>
        <v>5588</v>
      </c>
      <c r="CG591" s="69" t="str">
        <f t="shared" si="72"/>
        <v>ماليزى اسنان</v>
      </c>
    </row>
    <row r="592" spans="2:85" x14ac:dyDescent="0.25">
      <c r="B592" s="82">
        <v>9931</v>
      </c>
      <c r="C592" s="78">
        <v>5589</v>
      </c>
      <c r="D592" s="69" t="s">
        <v>121</v>
      </c>
      <c r="E592" s="69" t="s">
        <v>2851</v>
      </c>
      <c r="F592" s="69"/>
      <c r="G592" s="69">
        <v>2207.11</v>
      </c>
      <c r="T592" s="69"/>
      <c r="U592" s="69"/>
      <c r="AR592" s="94">
        <f t="shared" si="69"/>
        <v>2207.11</v>
      </c>
      <c r="AS592" s="69">
        <v>1654.28</v>
      </c>
      <c r="AT592" s="69">
        <v>213.65</v>
      </c>
      <c r="AU592" s="69">
        <v>339.18</v>
      </c>
      <c r="BC592" s="69"/>
      <c r="BD592" s="69"/>
      <c r="CD592" s="94">
        <f t="shared" si="70"/>
        <v>2207.11</v>
      </c>
      <c r="CE592" s="73">
        <f t="shared" si="71"/>
        <v>0</v>
      </c>
      <c r="CF592" s="75">
        <f t="shared" si="72"/>
        <v>5589</v>
      </c>
      <c r="CG592" s="69" t="str">
        <f t="shared" si="72"/>
        <v>ماليزى اسنان</v>
      </c>
    </row>
    <row r="593" spans="2:85" x14ac:dyDescent="0.25">
      <c r="B593" s="82">
        <v>9932</v>
      </c>
      <c r="C593" s="78">
        <v>5590</v>
      </c>
      <c r="D593" s="69" t="s">
        <v>121</v>
      </c>
      <c r="E593" s="69" t="s">
        <v>2852</v>
      </c>
      <c r="F593" s="69"/>
      <c r="G593" s="69">
        <v>22684.13</v>
      </c>
      <c r="T593" s="69"/>
      <c r="U593" s="69"/>
      <c r="AR593" s="94">
        <f t="shared" si="69"/>
        <v>22684.13</v>
      </c>
      <c r="AS593" s="69">
        <v>17070.04</v>
      </c>
      <c r="AT593" s="69">
        <v>2200.9499999999998</v>
      </c>
      <c r="AU593" s="69">
        <v>3413.14</v>
      </c>
      <c r="BC593" s="69"/>
      <c r="BD593" s="69"/>
      <c r="CD593" s="94">
        <f t="shared" si="70"/>
        <v>22684.13</v>
      </c>
      <c r="CE593" s="73">
        <f t="shared" si="71"/>
        <v>0</v>
      </c>
      <c r="CF593" s="75">
        <f t="shared" si="72"/>
        <v>5590</v>
      </c>
      <c r="CG593" s="69" t="str">
        <f t="shared" si="72"/>
        <v>ماليزى اسنان</v>
      </c>
    </row>
    <row r="594" spans="2:85" x14ac:dyDescent="0.25">
      <c r="B594" s="82">
        <v>9934</v>
      </c>
      <c r="C594" s="78">
        <v>5591</v>
      </c>
      <c r="D594" s="69" t="s">
        <v>121</v>
      </c>
      <c r="E594" s="69" t="s">
        <v>2853</v>
      </c>
      <c r="F594" s="69"/>
      <c r="G594" s="69">
        <v>4455.5</v>
      </c>
      <c r="T594" s="69"/>
      <c r="U594" s="69"/>
      <c r="AR594" s="94">
        <f t="shared" si="69"/>
        <v>4455.5</v>
      </c>
      <c r="AS594" s="69">
        <v>2978.55</v>
      </c>
      <c r="AT594" s="69">
        <v>403.45</v>
      </c>
      <c r="AU594" s="69">
        <v>1073.5</v>
      </c>
      <c r="BC594" s="69"/>
      <c r="BD594" s="69"/>
      <c r="CD594" s="94">
        <f t="shared" si="70"/>
        <v>4455.5</v>
      </c>
      <c r="CE594" s="73">
        <f t="shared" si="71"/>
        <v>0</v>
      </c>
      <c r="CF594" s="75">
        <f t="shared" si="72"/>
        <v>5591</v>
      </c>
      <c r="CG594" s="69" t="str">
        <f t="shared" si="72"/>
        <v>ماليزى اسنان</v>
      </c>
    </row>
    <row r="595" spans="2:85" x14ac:dyDescent="0.25">
      <c r="B595" s="82">
        <v>9935</v>
      </c>
      <c r="C595" s="78">
        <v>5592</v>
      </c>
      <c r="D595" s="69" t="s">
        <v>121</v>
      </c>
      <c r="E595" s="69" t="s">
        <v>2854</v>
      </c>
      <c r="F595" s="69"/>
      <c r="G595" s="69">
        <v>34040.1</v>
      </c>
      <c r="T595" s="69"/>
      <c r="U595" s="69"/>
      <c r="AR595" s="94">
        <f t="shared" si="69"/>
        <v>34040.1</v>
      </c>
      <c r="AS595" s="69">
        <v>24990.45</v>
      </c>
      <c r="AT595" s="69">
        <v>3252.1</v>
      </c>
      <c r="AU595" s="69">
        <v>5797.55</v>
      </c>
      <c r="BC595" s="69"/>
      <c r="BD595" s="69"/>
      <c r="CD595" s="94">
        <f t="shared" si="70"/>
        <v>34040.1</v>
      </c>
      <c r="CE595" s="73">
        <f t="shared" si="71"/>
        <v>0</v>
      </c>
      <c r="CF595" s="75">
        <f t="shared" si="72"/>
        <v>5592</v>
      </c>
      <c r="CG595" s="69" t="str">
        <f t="shared" si="72"/>
        <v>ماليزى اسنان</v>
      </c>
    </row>
    <row r="596" spans="2:85" x14ac:dyDescent="0.25">
      <c r="B596" s="82">
        <v>9940</v>
      </c>
      <c r="C596" s="78">
        <v>5593</v>
      </c>
      <c r="D596" s="69" t="s">
        <v>121</v>
      </c>
      <c r="E596" s="69" t="s">
        <v>2855</v>
      </c>
      <c r="F596" s="69"/>
      <c r="G596" s="69">
        <v>1758.75</v>
      </c>
      <c r="T596" s="69"/>
      <c r="U596" s="69"/>
      <c r="AR596" s="94">
        <f t="shared" si="69"/>
        <v>1758.75</v>
      </c>
      <c r="AS596" s="69">
        <v>1175.3499999999999</v>
      </c>
      <c r="AT596" s="69">
        <v>159.65</v>
      </c>
      <c r="AU596" s="69">
        <v>423.75</v>
      </c>
      <c r="BC596" s="69"/>
      <c r="BD596" s="69"/>
      <c r="CD596" s="94">
        <f t="shared" si="70"/>
        <v>1758.75</v>
      </c>
      <c r="CE596" s="73">
        <f t="shared" si="71"/>
        <v>0</v>
      </c>
      <c r="CF596" s="75">
        <f t="shared" si="72"/>
        <v>5593</v>
      </c>
      <c r="CG596" s="69" t="str">
        <f t="shared" si="72"/>
        <v>ماليزى اسنان</v>
      </c>
    </row>
    <row r="597" spans="2:85" x14ac:dyDescent="0.25">
      <c r="B597" s="82">
        <v>9941</v>
      </c>
      <c r="C597" s="78">
        <v>5594</v>
      </c>
      <c r="D597" s="69" t="s">
        <v>121</v>
      </c>
      <c r="E597" s="69" t="s">
        <v>2855</v>
      </c>
      <c r="F597" s="69"/>
      <c r="G597" s="69">
        <v>1407</v>
      </c>
      <c r="T597" s="69"/>
      <c r="U597" s="69"/>
      <c r="AR597" s="94">
        <f t="shared" si="69"/>
        <v>1407</v>
      </c>
      <c r="AS597" s="69">
        <v>940.35</v>
      </c>
      <c r="AT597" s="69">
        <v>127.65</v>
      </c>
      <c r="AU597" s="69">
        <v>339</v>
      </c>
      <c r="BC597" s="69"/>
      <c r="BD597" s="69"/>
      <c r="CD597" s="94">
        <f t="shared" si="70"/>
        <v>1407</v>
      </c>
      <c r="CE597" s="73">
        <f t="shared" si="71"/>
        <v>0</v>
      </c>
      <c r="CF597" s="75">
        <f t="shared" si="72"/>
        <v>5594</v>
      </c>
      <c r="CG597" s="69" t="str">
        <f t="shared" si="72"/>
        <v>ماليزى اسنان</v>
      </c>
    </row>
    <row r="598" spans="2:85" x14ac:dyDescent="0.25">
      <c r="B598" s="82">
        <v>9942</v>
      </c>
      <c r="C598" s="78">
        <v>5595</v>
      </c>
      <c r="D598" s="69" t="s">
        <v>121</v>
      </c>
      <c r="E598" s="69" t="s">
        <v>2855</v>
      </c>
      <c r="F598" s="69"/>
      <c r="G598" s="69">
        <v>1407</v>
      </c>
      <c r="T598" s="69"/>
      <c r="U598" s="69"/>
      <c r="AR598" s="94">
        <f t="shared" si="69"/>
        <v>1407</v>
      </c>
      <c r="AS598" s="69">
        <v>940.35</v>
      </c>
      <c r="AT598" s="69">
        <v>127.65</v>
      </c>
      <c r="AU598" s="69">
        <v>339</v>
      </c>
      <c r="BC598" s="69"/>
      <c r="BD598" s="69"/>
      <c r="CD598" s="94">
        <f t="shared" si="70"/>
        <v>1407</v>
      </c>
      <c r="CE598" s="73">
        <f t="shared" si="71"/>
        <v>0</v>
      </c>
      <c r="CF598" s="75">
        <f t="shared" si="72"/>
        <v>5595</v>
      </c>
      <c r="CG598" s="69" t="str">
        <f t="shared" si="72"/>
        <v>ماليزى اسنان</v>
      </c>
    </row>
    <row r="599" spans="2:85" x14ac:dyDescent="0.25">
      <c r="B599" s="82">
        <v>9943</v>
      </c>
      <c r="C599" s="78">
        <v>5596</v>
      </c>
      <c r="D599" s="69" t="s">
        <v>121</v>
      </c>
      <c r="E599" s="69" t="s">
        <v>2856</v>
      </c>
      <c r="F599" s="69"/>
      <c r="G599" s="69">
        <v>1407</v>
      </c>
      <c r="T599" s="69"/>
      <c r="U599" s="69"/>
      <c r="AR599" s="94">
        <f t="shared" si="69"/>
        <v>1407</v>
      </c>
      <c r="AS599" s="69">
        <v>940.35</v>
      </c>
      <c r="AT599" s="69">
        <v>127.65</v>
      </c>
      <c r="AU599" s="69">
        <v>339</v>
      </c>
      <c r="BC599" s="69"/>
      <c r="BD599" s="69"/>
      <c r="CD599" s="94">
        <f t="shared" si="70"/>
        <v>1407</v>
      </c>
      <c r="CE599" s="73">
        <f t="shared" si="71"/>
        <v>0</v>
      </c>
      <c r="CF599" s="75">
        <f t="shared" si="72"/>
        <v>5596</v>
      </c>
      <c r="CG599" s="69" t="str">
        <f t="shared" si="72"/>
        <v>ماليزى اسنان</v>
      </c>
    </row>
    <row r="600" spans="2:85" x14ac:dyDescent="0.25">
      <c r="B600" s="82">
        <v>9939</v>
      </c>
      <c r="C600" s="78">
        <v>5597</v>
      </c>
      <c r="D600" s="69" t="s">
        <v>121</v>
      </c>
      <c r="E600" s="69" t="s">
        <v>2857</v>
      </c>
      <c r="F600" s="69"/>
      <c r="G600" s="69">
        <v>2000</v>
      </c>
      <c r="T600" s="69"/>
      <c r="U600" s="69"/>
      <c r="AR600" s="94">
        <f t="shared" si="69"/>
        <v>2000</v>
      </c>
      <c r="AS600" s="69">
        <v>1785.35</v>
      </c>
      <c r="AT600" s="69">
        <v>214.65</v>
      </c>
      <c r="BC600" s="69"/>
      <c r="BD600" s="69"/>
      <c r="CD600" s="94">
        <f t="shared" si="70"/>
        <v>2000</v>
      </c>
      <c r="CE600" s="73">
        <f t="shared" si="71"/>
        <v>0</v>
      </c>
      <c r="CF600" s="75">
        <f t="shared" si="72"/>
        <v>5597</v>
      </c>
      <c r="CG600" s="69" t="str">
        <f t="shared" si="72"/>
        <v>ماليزى اسنان</v>
      </c>
    </row>
    <row r="601" spans="2:85" x14ac:dyDescent="0.25">
      <c r="B601" s="82">
        <v>9938</v>
      </c>
      <c r="C601" s="78">
        <v>5598</v>
      </c>
      <c r="D601" s="69" t="s">
        <v>121</v>
      </c>
      <c r="E601" s="69" t="s">
        <v>2858</v>
      </c>
      <c r="F601" s="69"/>
      <c r="G601" s="69">
        <v>1758.75</v>
      </c>
      <c r="T601" s="69"/>
      <c r="U601" s="69"/>
      <c r="AR601" s="94">
        <f t="shared" si="69"/>
        <v>1758.75</v>
      </c>
      <c r="AS601" s="69">
        <v>1175.3499999999999</v>
      </c>
      <c r="AT601" s="69">
        <v>159.65</v>
      </c>
      <c r="AU601" s="69">
        <v>423.75</v>
      </c>
      <c r="BC601" s="69"/>
      <c r="BD601" s="69"/>
      <c r="CD601" s="94">
        <f t="shared" si="70"/>
        <v>1758.75</v>
      </c>
      <c r="CE601" s="73">
        <f t="shared" si="71"/>
        <v>0</v>
      </c>
      <c r="CF601" s="75">
        <f t="shared" si="72"/>
        <v>5598</v>
      </c>
      <c r="CG601" s="69" t="str">
        <f t="shared" si="72"/>
        <v>ماليزى اسنان</v>
      </c>
    </row>
    <row r="602" spans="2:85" x14ac:dyDescent="0.25">
      <c r="B602" s="82">
        <v>9937</v>
      </c>
      <c r="C602" s="78">
        <v>5599</v>
      </c>
      <c r="D602" s="69" t="s">
        <v>121</v>
      </c>
      <c r="E602" s="69" t="s">
        <v>2859</v>
      </c>
      <c r="F602" s="69"/>
      <c r="G602" s="69">
        <v>2696.75</v>
      </c>
      <c r="T602" s="69"/>
      <c r="U602" s="69"/>
      <c r="AR602" s="94">
        <f t="shared" si="69"/>
        <v>2696.75</v>
      </c>
      <c r="AS602" s="69">
        <v>1803.6</v>
      </c>
      <c r="AT602" s="69">
        <v>243.4</v>
      </c>
      <c r="AU602" s="69">
        <v>649.75</v>
      </c>
      <c r="BC602" s="69"/>
      <c r="BD602" s="69"/>
      <c r="CD602" s="94">
        <f t="shared" si="70"/>
        <v>2696.75</v>
      </c>
      <c r="CE602" s="73">
        <f t="shared" si="71"/>
        <v>0</v>
      </c>
      <c r="CF602" s="75">
        <f t="shared" si="72"/>
        <v>5599</v>
      </c>
      <c r="CG602" s="69" t="str">
        <f t="shared" si="72"/>
        <v>ماليزى اسنان</v>
      </c>
    </row>
    <row r="603" spans="2:85" x14ac:dyDescent="0.25">
      <c r="B603" s="82">
        <v>9921</v>
      </c>
      <c r="C603" s="78">
        <v>5600</v>
      </c>
      <c r="D603" s="69" t="s">
        <v>121</v>
      </c>
      <c r="E603" s="69" t="s">
        <v>2860</v>
      </c>
      <c r="F603" s="69"/>
      <c r="G603" s="69">
        <v>30281.759999999998</v>
      </c>
      <c r="T603" s="69"/>
      <c r="U603" s="69"/>
      <c r="AR603" s="94">
        <f t="shared" si="69"/>
        <v>30281.759999999998</v>
      </c>
      <c r="AS603" s="69">
        <v>20697.25</v>
      </c>
      <c r="AT603" s="69">
        <v>2785.25</v>
      </c>
      <c r="AU603" s="69">
        <v>6799.26</v>
      </c>
      <c r="BC603" s="69"/>
      <c r="BD603" s="69"/>
      <c r="CD603" s="94">
        <f t="shared" si="70"/>
        <v>30281.760000000002</v>
      </c>
      <c r="CE603" s="73">
        <f t="shared" si="71"/>
        <v>0</v>
      </c>
      <c r="CF603" s="75">
        <f t="shared" si="72"/>
        <v>5600</v>
      </c>
      <c r="CG603" s="69" t="str">
        <f t="shared" si="72"/>
        <v>ماليزى اسنان</v>
      </c>
    </row>
    <row r="604" spans="2:85" x14ac:dyDescent="0.25">
      <c r="B604" s="82">
        <v>9917</v>
      </c>
      <c r="C604" s="78">
        <v>5601</v>
      </c>
      <c r="D604" s="69" t="s">
        <v>121</v>
      </c>
      <c r="E604" s="69" t="s">
        <v>2861</v>
      </c>
      <c r="F604" s="69"/>
      <c r="G604" s="69">
        <v>27858.6</v>
      </c>
      <c r="T604" s="69"/>
      <c r="U604" s="69"/>
      <c r="AR604" s="94">
        <f t="shared" si="69"/>
        <v>27858.6</v>
      </c>
      <c r="AS604" s="69">
        <v>18615.849999999999</v>
      </c>
      <c r="AT604" s="69">
        <v>2530.5500000000002</v>
      </c>
      <c r="AU604" s="69">
        <v>6712.2</v>
      </c>
      <c r="BC604" s="69"/>
      <c r="BD604" s="69"/>
      <c r="CD604" s="94">
        <f t="shared" si="70"/>
        <v>27858.6</v>
      </c>
      <c r="CE604" s="73">
        <f t="shared" si="71"/>
        <v>0</v>
      </c>
      <c r="CF604" s="75">
        <f t="shared" si="72"/>
        <v>5601</v>
      </c>
      <c r="CG604" s="69" t="str">
        <f t="shared" si="72"/>
        <v>ماليزى اسنان</v>
      </c>
    </row>
    <row r="605" spans="2:85" x14ac:dyDescent="0.25">
      <c r="B605" s="82">
        <v>9925</v>
      </c>
      <c r="C605" s="78">
        <v>5602</v>
      </c>
      <c r="D605" s="69" t="s">
        <v>121</v>
      </c>
      <c r="E605" s="69" t="s">
        <v>2862</v>
      </c>
      <c r="F605" s="69"/>
      <c r="G605" s="69">
        <v>351.76</v>
      </c>
      <c r="T605" s="69"/>
      <c r="U605" s="69"/>
      <c r="AR605" s="94">
        <f t="shared" si="69"/>
        <v>351.76</v>
      </c>
      <c r="AS605" s="69">
        <v>236</v>
      </c>
      <c r="AT605" s="69">
        <v>31</v>
      </c>
      <c r="AU605" s="69">
        <v>84.76</v>
      </c>
      <c r="BC605" s="69"/>
      <c r="BD605" s="69"/>
      <c r="CD605" s="94">
        <f t="shared" si="70"/>
        <v>351.76</v>
      </c>
      <c r="CE605" s="73">
        <f t="shared" si="71"/>
        <v>0</v>
      </c>
      <c r="CF605" s="75">
        <f t="shared" si="72"/>
        <v>5602</v>
      </c>
      <c r="CG605" s="69" t="str">
        <f t="shared" si="72"/>
        <v>ماليزى اسنان</v>
      </c>
    </row>
    <row r="606" spans="2:85" x14ac:dyDescent="0.25">
      <c r="B606" s="82">
        <v>9926</v>
      </c>
      <c r="C606" s="78">
        <v>5603</v>
      </c>
      <c r="D606" s="69" t="s">
        <v>121</v>
      </c>
      <c r="E606" s="69" t="s">
        <v>2863</v>
      </c>
      <c r="F606" s="69"/>
      <c r="G606" s="69">
        <v>2931.26</v>
      </c>
      <c r="T606" s="69"/>
      <c r="U606" s="69"/>
      <c r="AR606" s="94">
        <f t="shared" si="69"/>
        <v>2931.26</v>
      </c>
      <c r="AS606" s="69">
        <v>1959.3</v>
      </c>
      <c r="AT606" s="69">
        <v>265.7</v>
      </c>
      <c r="AU606" s="69">
        <v>706.26</v>
      </c>
      <c r="BC606" s="69"/>
      <c r="BD606" s="69"/>
      <c r="CD606" s="94">
        <f t="shared" si="70"/>
        <v>2931.26</v>
      </c>
      <c r="CE606" s="73">
        <f t="shared" si="71"/>
        <v>0</v>
      </c>
      <c r="CF606" s="75">
        <f t="shared" si="72"/>
        <v>5603</v>
      </c>
      <c r="CG606" s="69" t="str">
        <f t="shared" si="72"/>
        <v>ماليزى اسنان</v>
      </c>
    </row>
    <row r="607" spans="2:85" x14ac:dyDescent="0.25">
      <c r="B607" s="82">
        <v>9936</v>
      </c>
      <c r="C607" s="78">
        <v>5604</v>
      </c>
      <c r="D607" s="69" t="s">
        <v>121</v>
      </c>
      <c r="E607" s="69" t="s">
        <v>2864</v>
      </c>
      <c r="F607" s="69"/>
      <c r="G607" s="69">
        <v>10435.25</v>
      </c>
      <c r="T607" s="69"/>
      <c r="U607" s="69"/>
      <c r="AR607" s="94">
        <f t="shared" si="69"/>
        <v>10435.25</v>
      </c>
      <c r="AS607" s="69">
        <v>6973.4</v>
      </c>
      <c r="AT607" s="69">
        <v>947.6</v>
      </c>
      <c r="AU607" s="69">
        <v>2514.25</v>
      </c>
      <c r="BC607" s="69"/>
      <c r="BD607" s="69"/>
      <c r="CD607" s="94">
        <f t="shared" si="70"/>
        <v>10435.25</v>
      </c>
      <c r="CE607" s="73">
        <f t="shared" si="71"/>
        <v>0</v>
      </c>
      <c r="CF607" s="75">
        <f t="shared" si="72"/>
        <v>5604</v>
      </c>
      <c r="CG607" s="69" t="str">
        <f t="shared" si="72"/>
        <v>ماليزى اسنان</v>
      </c>
    </row>
    <row r="608" spans="2:85" x14ac:dyDescent="0.25">
      <c r="B608" s="82">
        <v>9944</v>
      </c>
      <c r="C608" s="78">
        <v>5605</v>
      </c>
      <c r="D608" s="69" t="s">
        <v>121</v>
      </c>
      <c r="E608" s="69" t="s">
        <v>2865</v>
      </c>
      <c r="F608" s="69"/>
      <c r="G608" s="69">
        <v>1407</v>
      </c>
      <c r="T608" s="69"/>
      <c r="U608" s="69"/>
      <c r="AR608" s="94">
        <f t="shared" si="69"/>
        <v>1407</v>
      </c>
      <c r="AS608" s="69">
        <v>940.35</v>
      </c>
      <c r="AT608" s="69">
        <v>127.65</v>
      </c>
      <c r="AU608" s="69">
        <v>339</v>
      </c>
      <c r="BC608" s="69"/>
      <c r="BD608" s="69"/>
      <c r="CD608" s="94">
        <f t="shared" si="70"/>
        <v>1407</v>
      </c>
      <c r="CE608" s="73">
        <f t="shared" si="71"/>
        <v>0</v>
      </c>
      <c r="CF608" s="75">
        <f t="shared" si="72"/>
        <v>5605</v>
      </c>
      <c r="CG608" s="69" t="str">
        <f t="shared" si="72"/>
        <v>ماليزى اسنان</v>
      </c>
    </row>
    <row r="609" spans="2:85" x14ac:dyDescent="0.25">
      <c r="B609" s="82">
        <v>9945</v>
      </c>
      <c r="C609" s="78">
        <v>5606</v>
      </c>
      <c r="D609" s="69" t="s">
        <v>121</v>
      </c>
      <c r="E609" s="69" t="s">
        <v>2865</v>
      </c>
      <c r="F609" s="69"/>
      <c r="G609" s="69">
        <v>1407</v>
      </c>
      <c r="T609" s="69"/>
      <c r="U609" s="69"/>
      <c r="AR609" s="94">
        <f t="shared" si="69"/>
        <v>1407</v>
      </c>
      <c r="AS609" s="69">
        <v>940.35</v>
      </c>
      <c r="AT609" s="69">
        <v>127.65</v>
      </c>
      <c r="AU609" s="69">
        <v>339</v>
      </c>
      <c r="BC609" s="69"/>
      <c r="BD609" s="69"/>
      <c r="CD609" s="94">
        <f t="shared" si="70"/>
        <v>1407</v>
      </c>
      <c r="CE609" s="73">
        <f t="shared" si="71"/>
        <v>0</v>
      </c>
      <c r="CF609" s="75">
        <f t="shared" si="72"/>
        <v>5606</v>
      </c>
      <c r="CG609" s="69" t="str">
        <f t="shared" si="72"/>
        <v>ماليزى اسنان</v>
      </c>
    </row>
    <row r="610" spans="2:85" x14ac:dyDescent="0.25">
      <c r="B610" s="82">
        <v>9933</v>
      </c>
      <c r="C610" s="78">
        <v>5607</v>
      </c>
      <c r="D610" s="69" t="s">
        <v>121</v>
      </c>
      <c r="E610" s="69" t="s">
        <v>2866</v>
      </c>
      <c r="F610" s="69"/>
      <c r="G610" s="69">
        <v>1407</v>
      </c>
      <c r="T610" s="69"/>
      <c r="U610" s="69"/>
      <c r="AR610" s="94">
        <f t="shared" si="69"/>
        <v>1407</v>
      </c>
      <c r="AS610" s="69">
        <v>940.35</v>
      </c>
      <c r="AT610" s="69">
        <v>127.65</v>
      </c>
      <c r="AU610" s="69">
        <v>339</v>
      </c>
      <c r="BC610" s="69"/>
      <c r="BD610" s="69"/>
      <c r="CD610" s="94">
        <f t="shared" si="70"/>
        <v>1407</v>
      </c>
      <c r="CE610" s="73">
        <f t="shared" si="71"/>
        <v>0</v>
      </c>
      <c r="CF610" s="75">
        <f t="shared" si="72"/>
        <v>5607</v>
      </c>
      <c r="CG610" s="69" t="str">
        <f t="shared" si="72"/>
        <v>ماليزى اسنان</v>
      </c>
    </row>
    <row r="611" spans="2:85" x14ac:dyDescent="0.25">
      <c r="B611" s="82">
        <v>4954</v>
      </c>
      <c r="C611" s="78">
        <v>5608</v>
      </c>
      <c r="D611" s="69" t="s">
        <v>121</v>
      </c>
      <c r="E611" s="69" t="s">
        <v>2867</v>
      </c>
      <c r="F611" s="69"/>
      <c r="G611" s="69">
        <v>1407</v>
      </c>
      <c r="T611" s="69"/>
      <c r="U611" s="69"/>
      <c r="AR611" s="94">
        <f t="shared" si="69"/>
        <v>1407</v>
      </c>
      <c r="AS611" s="69">
        <v>940.35</v>
      </c>
      <c r="AT611" s="69">
        <v>127.65</v>
      </c>
      <c r="AU611" s="69">
        <v>339</v>
      </c>
      <c r="BC611" s="69"/>
      <c r="BD611" s="69"/>
      <c r="CD611" s="94">
        <f t="shared" si="70"/>
        <v>1407</v>
      </c>
      <c r="CE611" s="73">
        <f t="shared" si="71"/>
        <v>0</v>
      </c>
      <c r="CF611" s="75">
        <f t="shared" si="72"/>
        <v>5608</v>
      </c>
      <c r="CG611" s="69" t="str">
        <f t="shared" si="72"/>
        <v>ماليزى اسنان</v>
      </c>
    </row>
    <row r="612" spans="2:85" x14ac:dyDescent="0.25">
      <c r="B612" s="82">
        <v>4953</v>
      </c>
      <c r="C612" s="78">
        <v>5609</v>
      </c>
      <c r="D612" s="69" t="s">
        <v>121</v>
      </c>
      <c r="E612" s="69" t="s">
        <v>2867</v>
      </c>
      <c r="F612" s="69"/>
      <c r="G612" s="69">
        <v>11607.75</v>
      </c>
      <c r="T612" s="69"/>
      <c r="U612" s="69"/>
      <c r="AR612" s="94">
        <f t="shared" si="69"/>
        <v>11607.75</v>
      </c>
      <c r="AS612" s="69">
        <v>7759.65</v>
      </c>
      <c r="AT612" s="69">
        <v>1051.3499999999999</v>
      </c>
      <c r="AU612" s="69">
        <v>2796.75</v>
      </c>
      <c r="BC612" s="69"/>
      <c r="BD612" s="69"/>
      <c r="CD612" s="94">
        <f t="shared" si="70"/>
        <v>11607.75</v>
      </c>
      <c r="CE612" s="73">
        <f t="shared" si="71"/>
        <v>0</v>
      </c>
      <c r="CF612" s="75">
        <f t="shared" si="72"/>
        <v>5609</v>
      </c>
      <c r="CG612" s="69" t="str">
        <f t="shared" si="72"/>
        <v>ماليزى اسنان</v>
      </c>
    </row>
    <row r="613" spans="2:85" x14ac:dyDescent="0.25">
      <c r="B613" s="82">
        <v>4956</v>
      </c>
      <c r="C613" s="78">
        <v>5610</v>
      </c>
      <c r="D613" s="69" t="s">
        <v>121</v>
      </c>
      <c r="E613" s="69" t="s">
        <v>2868</v>
      </c>
      <c r="F613" s="69"/>
      <c r="G613" s="69">
        <v>4807.25</v>
      </c>
      <c r="T613" s="69"/>
      <c r="U613" s="69"/>
      <c r="AR613" s="94">
        <f t="shared" si="69"/>
        <v>4807.25</v>
      </c>
      <c r="AS613" s="69">
        <v>3212.75</v>
      </c>
      <c r="AT613" s="69">
        <v>436.25</v>
      </c>
      <c r="AU613" s="69">
        <v>1158.25</v>
      </c>
      <c r="BC613" s="69"/>
      <c r="BD613" s="69"/>
      <c r="CD613" s="94">
        <f t="shared" si="70"/>
        <v>4807.25</v>
      </c>
      <c r="CE613" s="73">
        <f t="shared" si="71"/>
        <v>0</v>
      </c>
      <c r="CF613" s="75">
        <f t="shared" si="72"/>
        <v>5610</v>
      </c>
      <c r="CG613" s="69" t="str">
        <f t="shared" si="72"/>
        <v>ماليزى اسنان</v>
      </c>
    </row>
    <row r="614" spans="2:85" x14ac:dyDescent="0.25">
      <c r="B614" s="82">
        <v>4955</v>
      </c>
      <c r="C614" s="78">
        <v>5611</v>
      </c>
      <c r="D614" s="69" t="s">
        <v>121</v>
      </c>
      <c r="E614" s="69" t="s">
        <v>2869</v>
      </c>
      <c r="F614" s="69"/>
      <c r="G614" s="69">
        <v>18131.48</v>
      </c>
      <c r="T614" s="69"/>
      <c r="U614" s="69"/>
      <c r="AR614" s="94">
        <f t="shared" si="69"/>
        <v>18131.48</v>
      </c>
      <c r="AS614" s="69">
        <v>12631.71</v>
      </c>
      <c r="AT614" s="69">
        <v>1681.55</v>
      </c>
      <c r="AU614" s="69">
        <v>3818.22</v>
      </c>
      <c r="BC614" s="69"/>
      <c r="BD614" s="69"/>
      <c r="CD614" s="94">
        <f t="shared" si="70"/>
        <v>18131.48</v>
      </c>
      <c r="CE614" s="73">
        <f t="shared" si="71"/>
        <v>0</v>
      </c>
      <c r="CF614" s="75">
        <f t="shared" si="72"/>
        <v>5611</v>
      </c>
      <c r="CG614" s="69" t="str">
        <f t="shared" si="72"/>
        <v>ماليزى اسنان</v>
      </c>
    </row>
    <row r="615" spans="2:85" x14ac:dyDescent="0.25">
      <c r="B615" s="82">
        <v>4952</v>
      </c>
      <c r="C615" s="78">
        <v>5612</v>
      </c>
      <c r="D615" s="69" t="s">
        <v>121</v>
      </c>
      <c r="E615" s="69" t="s">
        <v>2870</v>
      </c>
      <c r="F615" s="69"/>
      <c r="G615" s="69">
        <v>130</v>
      </c>
      <c r="T615" s="69"/>
      <c r="U615" s="69"/>
      <c r="AR615" s="94">
        <f t="shared" si="69"/>
        <v>130</v>
      </c>
      <c r="AS615" s="69">
        <v>116.5</v>
      </c>
      <c r="AT615" s="69">
        <v>13.5</v>
      </c>
      <c r="BC615" s="69"/>
      <c r="BD615" s="69"/>
      <c r="CD615" s="94">
        <f t="shared" si="70"/>
        <v>130</v>
      </c>
      <c r="CE615" s="73">
        <f t="shared" si="71"/>
        <v>0</v>
      </c>
      <c r="CF615" s="75">
        <f t="shared" si="72"/>
        <v>5612</v>
      </c>
      <c r="CG615" s="69" t="str">
        <f t="shared" si="72"/>
        <v>ماليزى اسنان</v>
      </c>
    </row>
    <row r="616" spans="2:85" x14ac:dyDescent="0.25">
      <c r="B616" s="82">
        <v>4957</v>
      </c>
      <c r="C616" s="78">
        <v>5613</v>
      </c>
      <c r="D616" s="69" t="s">
        <v>121</v>
      </c>
      <c r="E616" s="69" t="s">
        <v>2871</v>
      </c>
      <c r="F616" s="69"/>
      <c r="G616" s="69">
        <v>1000</v>
      </c>
      <c r="T616" s="69"/>
      <c r="U616" s="69"/>
      <c r="AR616" s="94">
        <f t="shared" ref="AR616:AR679" si="74">SUM(G616:AQ616)</f>
        <v>1000</v>
      </c>
      <c r="AS616" s="69">
        <v>894.1</v>
      </c>
      <c r="AT616" s="69">
        <v>105.9</v>
      </c>
      <c r="BC616" s="69"/>
      <c r="BD616" s="69"/>
      <c r="CD616" s="94">
        <f t="shared" ref="CD616:CD679" si="75">SUM(AS616:CC616)</f>
        <v>1000</v>
      </c>
      <c r="CE616" s="73">
        <f t="shared" ref="CE616:CE679" si="76">+CD616-AR616</f>
        <v>0</v>
      </c>
      <c r="CF616" s="75">
        <f t="shared" ref="CF616:CG679" si="77">+C616</f>
        <v>5613</v>
      </c>
      <c r="CG616" s="69" t="str">
        <f t="shared" si="77"/>
        <v>ماليزى اسنان</v>
      </c>
    </row>
    <row r="617" spans="2:85" x14ac:dyDescent="0.25">
      <c r="B617" s="82">
        <v>4958</v>
      </c>
      <c r="C617" s="78">
        <v>5614</v>
      </c>
      <c r="D617" s="69" t="s">
        <v>121</v>
      </c>
      <c r="E617" s="69" t="s">
        <v>2871</v>
      </c>
      <c r="F617" s="69"/>
      <c r="G617" s="69">
        <v>2500</v>
      </c>
      <c r="T617" s="69"/>
      <c r="U617" s="69"/>
      <c r="AR617" s="94">
        <f t="shared" si="74"/>
        <v>2500</v>
      </c>
      <c r="AS617" s="69">
        <v>2235.25</v>
      </c>
      <c r="AT617" s="69">
        <v>264.75</v>
      </c>
      <c r="BC617" s="69"/>
      <c r="BD617" s="69"/>
      <c r="CD617" s="94">
        <f t="shared" si="75"/>
        <v>2500</v>
      </c>
      <c r="CE617" s="73">
        <f t="shared" si="76"/>
        <v>0</v>
      </c>
      <c r="CF617" s="75">
        <f t="shared" si="77"/>
        <v>5614</v>
      </c>
      <c r="CG617" s="69" t="str">
        <f t="shared" si="77"/>
        <v>ماليزى اسنان</v>
      </c>
    </row>
    <row r="618" spans="2:85" x14ac:dyDescent="0.25">
      <c r="B618" s="82">
        <v>9707</v>
      </c>
      <c r="C618" s="78">
        <v>5615</v>
      </c>
      <c r="D618" s="69" t="s">
        <v>123</v>
      </c>
      <c r="E618" s="69" t="s">
        <v>425</v>
      </c>
      <c r="F618" s="69"/>
      <c r="G618" s="69">
        <v>1750</v>
      </c>
      <c r="T618" s="69"/>
      <c r="U618" s="69"/>
      <c r="AR618" s="94">
        <f t="shared" si="74"/>
        <v>1750</v>
      </c>
      <c r="AS618" s="69">
        <v>1320.76</v>
      </c>
      <c r="AT618" s="69">
        <v>341.74</v>
      </c>
      <c r="AV618" s="69">
        <v>87.5</v>
      </c>
      <c r="BC618" s="69"/>
      <c r="BD618" s="69"/>
      <c r="CD618" s="94">
        <f t="shared" si="75"/>
        <v>1750</v>
      </c>
      <c r="CE618" s="73">
        <f t="shared" si="76"/>
        <v>0</v>
      </c>
      <c r="CF618" s="75">
        <f t="shared" si="77"/>
        <v>5615</v>
      </c>
      <c r="CG618" s="69" t="str">
        <f t="shared" si="77"/>
        <v>خ ت اسنان</v>
      </c>
    </row>
    <row r="619" spans="2:85" x14ac:dyDescent="0.25">
      <c r="B619" s="82">
        <v>9995</v>
      </c>
      <c r="C619" s="78">
        <v>5616</v>
      </c>
      <c r="D619" s="69" t="s">
        <v>325</v>
      </c>
      <c r="E619" s="69" t="s">
        <v>2872</v>
      </c>
      <c r="F619" s="69"/>
      <c r="G619" s="69">
        <v>1000</v>
      </c>
      <c r="T619" s="69"/>
      <c r="U619" s="69"/>
      <c r="AR619" s="94">
        <f t="shared" si="74"/>
        <v>1000</v>
      </c>
      <c r="AS619" s="69">
        <v>893.35</v>
      </c>
      <c r="AT619" s="69">
        <v>106.65</v>
      </c>
      <c r="BC619" s="69"/>
      <c r="BD619" s="69"/>
      <c r="CD619" s="94">
        <f t="shared" si="75"/>
        <v>1000</v>
      </c>
      <c r="CE619" s="73">
        <f t="shared" si="76"/>
        <v>0</v>
      </c>
      <c r="CF619" s="75">
        <f t="shared" si="77"/>
        <v>5616</v>
      </c>
      <c r="CG619" s="69" t="str">
        <f t="shared" si="77"/>
        <v xml:space="preserve">برنامج دولى </v>
      </c>
    </row>
    <row r="620" spans="2:85" x14ac:dyDescent="0.25">
      <c r="B620" s="82">
        <v>9994</v>
      </c>
      <c r="C620" s="78">
        <v>5617</v>
      </c>
      <c r="D620" s="69" t="s">
        <v>325</v>
      </c>
      <c r="E620" s="69" t="s">
        <v>2872</v>
      </c>
      <c r="F620" s="69"/>
      <c r="G620" s="69">
        <v>20655.490000000002</v>
      </c>
      <c r="T620" s="69"/>
      <c r="U620" s="69"/>
      <c r="AR620" s="94">
        <f t="shared" si="74"/>
        <v>20655.490000000002</v>
      </c>
      <c r="AS620" s="69">
        <v>17440.259999999998</v>
      </c>
      <c r="AT620" s="69">
        <v>2141.75</v>
      </c>
      <c r="AU620" s="69">
        <v>1073.48</v>
      </c>
      <c r="BC620" s="69"/>
      <c r="BD620" s="69"/>
      <c r="CD620" s="94">
        <f t="shared" si="75"/>
        <v>20655.489999999998</v>
      </c>
      <c r="CE620" s="73">
        <f t="shared" si="76"/>
        <v>0</v>
      </c>
      <c r="CF620" s="75">
        <f t="shared" si="77"/>
        <v>5617</v>
      </c>
      <c r="CG620" s="69" t="str">
        <f t="shared" si="77"/>
        <v xml:space="preserve">برنامج دولى </v>
      </c>
    </row>
    <row r="621" spans="2:85" x14ac:dyDescent="0.25">
      <c r="B621" s="82">
        <v>9993</v>
      </c>
      <c r="C621" s="78">
        <v>5618</v>
      </c>
      <c r="D621" s="69" t="s">
        <v>325</v>
      </c>
      <c r="E621" s="69" t="s">
        <v>2873</v>
      </c>
      <c r="F621" s="69"/>
      <c r="G621" s="69">
        <v>1518.46</v>
      </c>
      <c r="T621" s="69"/>
      <c r="U621" s="69"/>
      <c r="AR621" s="94">
        <f t="shared" si="74"/>
        <v>1518.46</v>
      </c>
      <c r="AS621" s="69">
        <v>869.83</v>
      </c>
      <c r="AT621" s="69">
        <v>127.1</v>
      </c>
      <c r="AU621" s="69">
        <v>521.53</v>
      </c>
      <c r="BC621" s="69"/>
      <c r="BD621" s="69"/>
      <c r="CD621" s="94">
        <f t="shared" si="75"/>
        <v>1518.46</v>
      </c>
      <c r="CE621" s="73">
        <f t="shared" si="76"/>
        <v>0</v>
      </c>
      <c r="CF621" s="75">
        <f t="shared" si="77"/>
        <v>5618</v>
      </c>
      <c r="CG621" s="69" t="str">
        <f t="shared" si="77"/>
        <v xml:space="preserve">برنامج دولى </v>
      </c>
    </row>
    <row r="622" spans="2:85" x14ac:dyDescent="0.25">
      <c r="B622" s="82">
        <v>9992</v>
      </c>
      <c r="C622" s="78">
        <v>5619</v>
      </c>
      <c r="D622" s="69" t="s">
        <v>325</v>
      </c>
      <c r="E622" s="69" t="s">
        <v>2096</v>
      </c>
      <c r="F622" s="69"/>
      <c r="G622" s="69">
        <v>1200</v>
      </c>
      <c r="T622" s="69"/>
      <c r="U622" s="69"/>
      <c r="AR622" s="94">
        <f t="shared" si="74"/>
        <v>1200</v>
      </c>
      <c r="AS622" s="69">
        <v>1071.3499999999999</v>
      </c>
      <c r="AT622" s="69">
        <v>128.65</v>
      </c>
      <c r="BC622" s="69"/>
      <c r="BD622" s="69"/>
      <c r="CD622" s="94">
        <f t="shared" si="75"/>
        <v>1200</v>
      </c>
      <c r="CE622" s="73">
        <f t="shared" si="76"/>
        <v>0</v>
      </c>
      <c r="CF622" s="75">
        <f t="shared" si="77"/>
        <v>5619</v>
      </c>
      <c r="CG622" s="69" t="str">
        <f t="shared" si="77"/>
        <v xml:space="preserve">برنامج دولى </v>
      </c>
    </row>
    <row r="623" spans="2:85" x14ac:dyDescent="0.25">
      <c r="B623" s="82">
        <v>9991</v>
      </c>
      <c r="C623" s="78">
        <v>5620</v>
      </c>
      <c r="D623" s="69" t="s">
        <v>325</v>
      </c>
      <c r="E623" s="69" t="s">
        <v>2096</v>
      </c>
      <c r="F623" s="69"/>
      <c r="G623" s="69">
        <v>1200</v>
      </c>
      <c r="T623" s="69"/>
      <c r="U623" s="69"/>
      <c r="AR623" s="94">
        <f t="shared" si="74"/>
        <v>1200</v>
      </c>
      <c r="AS623" s="69">
        <v>1071.3499999999999</v>
      </c>
      <c r="AT623" s="69">
        <v>128.65</v>
      </c>
      <c r="BC623" s="69"/>
      <c r="BD623" s="69"/>
      <c r="CD623" s="94">
        <f t="shared" si="75"/>
        <v>1200</v>
      </c>
      <c r="CE623" s="73">
        <f t="shared" si="76"/>
        <v>0</v>
      </c>
      <c r="CF623" s="75">
        <f t="shared" si="77"/>
        <v>5620</v>
      </c>
      <c r="CG623" s="69" t="str">
        <f t="shared" si="77"/>
        <v xml:space="preserve">برنامج دولى </v>
      </c>
    </row>
    <row r="624" spans="2:85" x14ac:dyDescent="0.25">
      <c r="B624" s="82">
        <v>9990</v>
      </c>
      <c r="C624" s="78">
        <v>5621</v>
      </c>
      <c r="D624" s="69" t="s">
        <v>325</v>
      </c>
      <c r="E624" s="69" t="s">
        <v>1452</v>
      </c>
      <c r="F624" s="69"/>
      <c r="G624" s="69">
        <v>1758.75</v>
      </c>
      <c r="T624" s="69"/>
      <c r="U624" s="69"/>
      <c r="AR624" s="94">
        <f t="shared" si="74"/>
        <v>1758.75</v>
      </c>
      <c r="AS624" s="69">
        <v>1175.3499999999999</v>
      </c>
      <c r="AT624" s="69">
        <v>159.65</v>
      </c>
      <c r="AU624" s="69">
        <v>423.75</v>
      </c>
      <c r="BC624" s="69"/>
      <c r="BD624" s="69"/>
      <c r="CD624" s="94">
        <f t="shared" si="75"/>
        <v>1758.75</v>
      </c>
      <c r="CE624" s="73">
        <f t="shared" si="76"/>
        <v>0</v>
      </c>
      <c r="CF624" s="75">
        <f t="shared" si="77"/>
        <v>5621</v>
      </c>
      <c r="CG624" s="69" t="str">
        <f t="shared" si="77"/>
        <v xml:space="preserve">برنامج دولى </v>
      </c>
    </row>
    <row r="625" spans="2:85" x14ac:dyDescent="0.25">
      <c r="B625" s="82">
        <v>9989</v>
      </c>
      <c r="C625" s="78">
        <v>5622</v>
      </c>
      <c r="D625" s="69" t="s">
        <v>325</v>
      </c>
      <c r="E625" s="69" t="s">
        <v>1644</v>
      </c>
      <c r="F625" s="69"/>
      <c r="G625" s="69">
        <v>2931.24</v>
      </c>
      <c r="T625" s="69"/>
      <c r="U625" s="69"/>
      <c r="AR625" s="94">
        <f t="shared" si="74"/>
        <v>2931.24</v>
      </c>
      <c r="AS625" s="69">
        <v>1959</v>
      </c>
      <c r="AT625" s="69">
        <v>266</v>
      </c>
      <c r="AU625" s="69">
        <v>706.24</v>
      </c>
      <c r="BC625" s="69"/>
      <c r="BD625" s="69"/>
      <c r="CD625" s="94">
        <f t="shared" si="75"/>
        <v>2931.24</v>
      </c>
      <c r="CE625" s="73">
        <f t="shared" si="76"/>
        <v>0</v>
      </c>
      <c r="CF625" s="75">
        <f t="shared" si="77"/>
        <v>5622</v>
      </c>
      <c r="CG625" s="69" t="str">
        <f t="shared" si="77"/>
        <v xml:space="preserve">برنامج دولى </v>
      </c>
    </row>
    <row r="626" spans="2:85" x14ac:dyDescent="0.25">
      <c r="B626" s="82">
        <v>9988</v>
      </c>
      <c r="C626" s="78">
        <v>5623</v>
      </c>
      <c r="D626" s="69" t="s">
        <v>325</v>
      </c>
      <c r="E626" s="69" t="s">
        <v>2874</v>
      </c>
      <c r="F626" s="69"/>
      <c r="G626" s="69">
        <v>938</v>
      </c>
      <c r="T626" s="69"/>
      <c r="U626" s="69"/>
      <c r="AR626" s="94">
        <f t="shared" si="74"/>
        <v>938</v>
      </c>
      <c r="AS626" s="69">
        <v>627.4</v>
      </c>
      <c r="AT626" s="69">
        <f>80+4.6</f>
        <v>84.6</v>
      </c>
      <c r="AU626" s="69">
        <f>310.6-AT626</f>
        <v>226.00000000000003</v>
      </c>
      <c r="BC626" s="69"/>
      <c r="BD626" s="69"/>
      <c r="CD626" s="94">
        <f t="shared" si="75"/>
        <v>938</v>
      </c>
      <c r="CE626" s="73">
        <f t="shared" si="76"/>
        <v>0</v>
      </c>
      <c r="CF626" s="75">
        <f t="shared" si="77"/>
        <v>5623</v>
      </c>
      <c r="CG626" s="69" t="str">
        <f t="shared" si="77"/>
        <v xml:space="preserve">برنامج دولى </v>
      </c>
    </row>
    <row r="627" spans="2:85" x14ac:dyDescent="0.25">
      <c r="B627" s="82">
        <v>9987</v>
      </c>
      <c r="C627" s="78">
        <v>5624</v>
      </c>
      <c r="D627" s="69" t="s">
        <v>325</v>
      </c>
      <c r="E627" s="69" t="s">
        <v>1643</v>
      </c>
      <c r="F627" s="69"/>
      <c r="G627" s="69">
        <v>410.38</v>
      </c>
      <c r="T627" s="69"/>
      <c r="U627" s="69"/>
      <c r="AR627" s="94">
        <f t="shared" si="74"/>
        <v>410.38</v>
      </c>
      <c r="AS627" s="69">
        <v>274.8</v>
      </c>
      <c r="AT627" s="69">
        <v>36.700000000000003</v>
      </c>
      <c r="AU627" s="69">
        <v>98.88</v>
      </c>
      <c r="BC627" s="69"/>
      <c r="BD627" s="69"/>
      <c r="CD627" s="94">
        <f t="shared" si="75"/>
        <v>410.38</v>
      </c>
      <c r="CE627" s="73">
        <f t="shared" si="76"/>
        <v>0</v>
      </c>
      <c r="CF627" s="75">
        <f t="shared" si="77"/>
        <v>5624</v>
      </c>
      <c r="CG627" s="69" t="str">
        <f t="shared" si="77"/>
        <v xml:space="preserve">برنامج دولى </v>
      </c>
    </row>
    <row r="628" spans="2:85" x14ac:dyDescent="0.25">
      <c r="B628" s="82">
        <v>9986</v>
      </c>
      <c r="C628" s="78">
        <v>5625</v>
      </c>
      <c r="D628" s="69" t="s">
        <v>325</v>
      </c>
      <c r="E628" s="69" t="s">
        <v>2875</v>
      </c>
      <c r="F628" s="69"/>
      <c r="G628" s="69">
        <v>1758.75</v>
      </c>
      <c r="T628" s="69"/>
      <c r="U628" s="69"/>
      <c r="AR628" s="94">
        <f t="shared" si="74"/>
        <v>1758.75</v>
      </c>
      <c r="AS628" s="69">
        <v>1175.3499999999999</v>
      </c>
      <c r="AT628" s="69">
        <v>159.65</v>
      </c>
      <c r="AU628" s="69">
        <v>423.75</v>
      </c>
      <c r="BC628" s="69"/>
      <c r="BD628" s="69"/>
      <c r="CD628" s="94">
        <f t="shared" si="75"/>
        <v>1758.75</v>
      </c>
      <c r="CE628" s="73">
        <f t="shared" si="76"/>
        <v>0</v>
      </c>
      <c r="CF628" s="75">
        <f t="shared" si="77"/>
        <v>5625</v>
      </c>
      <c r="CG628" s="69" t="str">
        <f t="shared" si="77"/>
        <v xml:space="preserve">برنامج دولى </v>
      </c>
    </row>
    <row r="629" spans="2:85" x14ac:dyDescent="0.25">
      <c r="B629" s="82">
        <v>9985</v>
      </c>
      <c r="C629" s="78">
        <v>5626</v>
      </c>
      <c r="D629" s="69" t="s">
        <v>325</v>
      </c>
      <c r="E629" s="69" t="s">
        <v>2134</v>
      </c>
      <c r="F629" s="69"/>
      <c r="G629" s="69">
        <v>703.5</v>
      </c>
      <c r="T629" s="69"/>
      <c r="U629" s="69"/>
      <c r="AR629" s="94">
        <f t="shared" si="74"/>
        <v>703.5</v>
      </c>
      <c r="AS629" s="69">
        <v>470.6</v>
      </c>
      <c r="AT629" s="69">
        <v>63.4</v>
      </c>
      <c r="AU629" s="69">
        <v>169.5</v>
      </c>
      <c r="BC629" s="69"/>
      <c r="BD629" s="69"/>
      <c r="CD629" s="94">
        <f t="shared" si="75"/>
        <v>703.5</v>
      </c>
      <c r="CE629" s="73">
        <f t="shared" si="76"/>
        <v>0</v>
      </c>
      <c r="CF629" s="75">
        <f t="shared" si="77"/>
        <v>5626</v>
      </c>
      <c r="CG629" s="69" t="str">
        <f t="shared" si="77"/>
        <v xml:space="preserve">برنامج دولى </v>
      </c>
    </row>
    <row r="630" spans="2:85" x14ac:dyDescent="0.25">
      <c r="B630" s="82">
        <v>9984</v>
      </c>
      <c r="C630" s="78">
        <v>5627</v>
      </c>
      <c r="D630" s="69" t="s">
        <v>325</v>
      </c>
      <c r="E630" s="69" t="s">
        <v>2876</v>
      </c>
      <c r="F630" s="69"/>
      <c r="G630" s="69">
        <v>1172.5</v>
      </c>
      <c r="T630" s="69"/>
      <c r="U630" s="69"/>
      <c r="AR630" s="94">
        <f t="shared" si="74"/>
        <v>1172.5</v>
      </c>
      <c r="AS630" s="69">
        <v>784.1</v>
      </c>
      <c r="AT630" s="69">
        <v>105.9</v>
      </c>
      <c r="AU630" s="69">
        <v>282.5</v>
      </c>
      <c r="BC630" s="69"/>
      <c r="BD630" s="69"/>
      <c r="CD630" s="94">
        <f t="shared" si="75"/>
        <v>1172.5</v>
      </c>
      <c r="CE630" s="73">
        <f t="shared" si="76"/>
        <v>0</v>
      </c>
      <c r="CF630" s="75">
        <f t="shared" si="77"/>
        <v>5627</v>
      </c>
      <c r="CG630" s="69" t="str">
        <f t="shared" si="77"/>
        <v xml:space="preserve">برنامج دولى </v>
      </c>
    </row>
    <row r="631" spans="2:85" x14ac:dyDescent="0.25">
      <c r="B631" s="82">
        <v>9982</v>
      </c>
      <c r="C631" s="78">
        <v>5628</v>
      </c>
      <c r="D631" s="69" t="s">
        <v>325</v>
      </c>
      <c r="E631" s="69" t="s">
        <v>2877</v>
      </c>
      <c r="F631" s="69"/>
      <c r="G631" s="69">
        <v>4221</v>
      </c>
      <c r="T631" s="69"/>
      <c r="U631" s="69"/>
      <c r="AR631" s="94">
        <f t="shared" si="74"/>
        <v>4221</v>
      </c>
      <c r="AS631" s="69">
        <v>2821.9</v>
      </c>
      <c r="AT631" s="69">
        <v>382.1</v>
      </c>
      <c r="AU631" s="69">
        <v>1017</v>
      </c>
      <c r="BC631" s="69"/>
      <c r="BD631" s="69"/>
      <c r="CD631" s="94">
        <f t="shared" si="75"/>
        <v>4221</v>
      </c>
      <c r="CE631" s="73">
        <f t="shared" si="76"/>
        <v>0</v>
      </c>
      <c r="CF631" s="75">
        <f t="shared" si="77"/>
        <v>5628</v>
      </c>
      <c r="CG631" s="69" t="str">
        <f t="shared" si="77"/>
        <v xml:space="preserve">برنامج دولى </v>
      </c>
    </row>
    <row r="632" spans="2:85" x14ac:dyDescent="0.25">
      <c r="B632" s="82">
        <v>9985</v>
      </c>
      <c r="C632" s="78">
        <v>5629</v>
      </c>
      <c r="D632" s="69" t="s">
        <v>325</v>
      </c>
      <c r="E632" s="69" t="s">
        <v>2878</v>
      </c>
      <c r="F632" s="69"/>
      <c r="G632" s="69">
        <v>586.25</v>
      </c>
      <c r="T632" s="69"/>
      <c r="U632" s="69"/>
      <c r="AR632" s="94">
        <f t="shared" si="74"/>
        <v>586.25</v>
      </c>
      <c r="AS632" s="69">
        <v>392.4</v>
      </c>
      <c r="AT632" s="69">
        <v>52.6</v>
      </c>
      <c r="AU632" s="69">
        <v>141.25</v>
      </c>
      <c r="BC632" s="69"/>
      <c r="BD632" s="69"/>
      <c r="CD632" s="94">
        <f t="shared" si="75"/>
        <v>586.25</v>
      </c>
      <c r="CE632" s="73">
        <f t="shared" si="76"/>
        <v>0</v>
      </c>
      <c r="CF632" s="75">
        <f t="shared" si="77"/>
        <v>5629</v>
      </c>
      <c r="CG632" s="69" t="str">
        <f t="shared" si="77"/>
        <v xml:space="preserve">برنامج دولى </v>
      </c>
    </row>
    <row r="633" spans="2:85" x14ac:dyDescent="0.25">
      <c r="B633" s="82">
        <v>9981</v>
      </c>
      <c r="C633" s="78">
        <v>5630</v>
      </c>
      <c r="D633" s="69" t="s">
        <v>325</v>
      </c>
      <c r="E633" s="69" t="s">
        <v>2879</v>
      </c>
      <c r="F633" s="69"/>
      <c r="G633" s="69">
        <v>400</v>
      </c>
      <c r="T633" s="69"/>
      <c r="U633" s="69"/>
      <c r="AR633" s="94">
        <f t="shared" si="74"/>
        <v>400</v>
      </c>
      <c r="AS633" s="69">
        <v>357.7</v>
      </c>
      <c r="AT633" s="69">
        <v>42.3</v>
      </c>
      <c r="BC633" s="69"/>
      <c r="BD633" s="69"/>
      <c r="CD633" s="94">
        <f t="shared" si="75"/>
        <v>400</v>
      </c>
      <c r="CE633" s="73">
        <f t="shared" si="76"/>
        <v>0</v>
      </c>
      <c r="CF633" s="75">
        <f t="shared" si="77"/>
        <v>5630</v>
      </c>
      <c r="CG633" s="69" t="str">
        <f t="shared" si="77"/>
        <v xml:space="preserve">برنامج دولى </v>
      </c>
    </row>
    <row r="634" spans="2:85" x14ac:dyDescent="0.25">
      <c r="B634" s="82">
        <v>9980</v>
      </c>
      <c r="C634" s="78">
        <v>5631</v>
      </c>
      <c r="D634" s="69" t="s">
        <v>325</v>
      </c>
      <c r="E634" s="69" t="s">
        <v>2879</v>
      </c>
      <c r="F634" s="69"/>
      <c r="G634" s="69">
        <v>1758.75</v>
      </c>
      <c r="T634" s="69"/>
      <c r="U634" s="69"/>
      <c r="AR634" s="94">
        <f t="shared" si="74"/>
        <v>1758.75</v>
      </c>
      <c r="AS634" s="69">
        <v>1177.2</v>
      </c>
      <c r="AT634" s="69">
        <v>157.80000000000001</v>
      </c>
      <c r="AU634" s="69">
        <v>423.75</v>
      </c>
      <c r="BC634" s="69"/>
      <c r="BD634" s="69"/>
      <c r="CD634" s="94">
        <f t="shared" si="75"/>
        <v>1758.75</v>
      </c>
      <c r="CE634" s="73">
        <f t="shared" si="76"/>
        <v>0</v>
      </c>
      <c r="CF634" s="75">
        <f t="shared" si="77"/>
        <v>5631</v>
      </c>
      <c r="CG634" s="69" t="str">
        <f t="shared" si="77"/>
        <v xml:space="preserve">برنامج دولى </v>
      </c>
    </row>
    <row r="635" spans="2:85" x14ac:dyDescent="0.25">
      <c r="B635" s="82">
        <v>9979</v>
      </c>
      <c r="C635" s="78">
        <v>5632</v>
      </c>
      <c r="D635" s="69" t="s">
        <v>325</v>
      </c>
      <c r="E635" s="69" t="s">
        <v>2880</v>
      </c>
      <c r="F635" s="69"/>
      <c r="G635" s="69">
        <v>1758.75</v>
      </c>
      <c r="T635" s="69"/>
      <c r="U635" s="69"/>
      <c r="AR635" s="94">
        <f t="shared" si="74"/>
        <v>1758.75</v>
      </c>
      <c r="AS635" s="69">
        <v>1175.3499999999999</v>
      </c>
      <c r="AT635" s="69">
        <v>159.65</v>
      </c>
      <c r="AU635" s="69">
        <v>423.75</v>
      </c>
      <c r="BC635" s="69"/>
      <c r="BD635" s="69"/>
      <c r="CD635" s="94">
        <f t="shared" si="75"/>
        <v>1758.75</v>
      </c>
      <c r="CE635" s="73">
        <f t="shared" si="76"/>
        <v>0</v>
      </c>
      <c r="CF635" s="75">
        <f t="shared" si="77"/>
        <v>5632</v>
      </c>
      <c r="CG635" s="69" t="str">
        <f t="shared" si="77"/>
        <v xml:space="preserve">برنامج دولى </v>
      </c>
    </row>
    <row r="636" spans="2:85" x14ac:dyDescent="0.25">
      <c r="B636" s="82">
        <v>9976</v>
      </c>
      <c r="C636" s="78">
        <v>5633</v>
      </c>
      <c r="D636" s="69" t="s">
        <v>325</v>
      </c>
      <c r="E636" s="69" t="s">
        <v>790</v>
      </c>
      <c r="F636" s="69"/>
      <c r="G636" s="69">
        <v>18293.400000000001</v>
      </c>
      <c r="T636" s="69"/>
      <c r="U636" s="69"/>
      <c r="AR636" s="94">
        <f t="shared" si="74"/>
        <v>18293.400000000001</v>
      </c>
      <c r="AS636" s="69">
        <v>15631.65</v>
      </c>
      <c r="AT636" s="69">
        <v>1907.75</v>
      </c>
      <c r="AU636" s="69">
        <v>754</v>
      </c>
      <c r="BC636" s="69"/>
      <c r="BD636" s="69"/>
      <c r="CD636" s="94">
        <f t="shared" si="75"/>
        <v>18293.400000000001</v>
      </c>
      <c r="CE636" s="73">
        <f t="shared" si="76"/>
        <v>0</v>
      </c>
      <c r="CF636" s="75">
        <f t="shared" si="77"/>
        <v>5633</v>
      </c>
      <c r="CG636" s="69" t="str">
        <f t="shared" si="77"/>
        <v xml:space="preserve">برنامج دولى </v>
      </c>
    </row>
    <row r="637" spans="2:85" x14ac:dyDescent="0.25">
      <c r="B637" s="82">
        <v>9975</v>
      </c>
      <c r="C637" s="78">
        <v>5634</v>
      </c>
      <c r="D637" s="69" t="s">
        <v>325</v>
      </c>
      <c r="E637" s="69" t="s">
        <v>790</v>
      </c>
      <c r="F637" s="69"/>
      <c r="G637" s="69">
        <v>1000</v>
      </c>
      <c r="T637" s="69"/>
      <c r="U637" s="69"/>
      <c r="AR637" s="94">
        <f t="shared" si="74"/>
        <v>1000</v>
      </c>
      <c r="AS637" s="69">
        <v>893.35</v>
      </c>
      <c r="AT637" s="69">
        <v>106.65</v>
      </c>
      <c r="BC637" s="69"/>
      <c r="BD637" s="69"/>
      <c r="CD637" s="94">
        <f t="shared" si="75"/>
        <v>1000</v>
      </c>
      <c r="CE637" s="73">
        <f t="shared" si="76"/>
        <v>0</v>
      </c>
      <c r="CF637" s="75">
        <f t="shared" si="77"/>
        <v>5634</v>
      </c>
      <c r="CG637" s="69" t="str">
        <f t="shared" si="77"/>
        <v xml:space="preserve">برنامج دولى </v>
      </c>
    </row>
    <row r="638" spans="2:85" x14ac:dyDescent="0.25">
      <c r="B638" s="82">
        <v>9974</v>
      </c>
      <c r="C638" s="78">
        <v>5635</v>
      </c>
      <c r="D638" s="69" t="s">
        <v>325</v>
      </c>
      <c r="E638" s="69" t="s">
        <v>2881</v>
      </c>
      <c r="F638" s="69"/>
      <c r="G638" s="69">
        <v>13835.5</v>
      </c>
      <c r="T638" s="69"/>
      <c r="U638" s="69"/>
      <c r="AR638" s="94">
        <f t="shared" si="74"/>
        <v>13835.5</v>
      </c>
      <c r="AS638" s="69">
        <v>9246.9500000000007</v>
      </c>
      <c r="AT638" s="69">
        <v>1255.05</v>
      </c>
      <c r="AU638" s="69">
        <v>3333.5</v>
      </c>
      <c r="BC638" s="69"/>
      <c r="BD638" s="69"/>
      <c r="CD638" s="94">
        <f t="shared" si="75"/>
        <v>13835.5</v>
      </c>
      <c r="CE638" s="73">
        <f t="shared" si="76"/>
        <v>0</v>
      </c>
      <c r="CF638" s="75">
        <f t="shared" si="77"/>
        <v>5635</v>
      </c>
      <c r="CG638" s="69" t="str">
        <f t="shared" si="77"/>
        <v xml:space="preserve">برنامج دولى </v>
      </c>
    </row>
    <row r="639" spans="2:85" x14ac:dyDescent="0.25">
      <c r="B639" s="82">
        <v>9973</v>
      </c>
      <c r="C639" s="78">
        <v>5636</v>
      </c>
      <c r="D639" s="69" t="s">
        <v>325</v>
      </c>
      <c r="E639" s="69" t="s">
        <v>2881</v>
      </c>
      <c r="F639" s="69"/>
      <c r="G639" s="69">
        <v>3283</v>
      </c>
      <c r="T639" s="69"/>
      <c r="U639" s="69"/>
      <c r="AR639" s="94">
        <f t="shared" si="74"/>
        <v>3283</v>
      </c>
      <c r="AS639" s="69">
        <v>2194.0500000000002</v>
      </c>
      <c r="AT639" s="69">
        <v>297.95</v>
      </c>
      <c r="AU639" s="69">
        <v>791</v>
      </c>
      <c r="BC639" s="69"/>
      <c r="BD639" s="69"/>
      <c r="CD639" s="94">
        <f t="shared" si="75"/>
        <v>3283</v>
      </c>
      <c r="CE639" s="73">
        <f t="shared" si="76"/>
        <v>0</v>
      </c>
      <c r="CF639" s="75">
        <f t="shared" si="77"/>
        <v>5636</v>
      </c>
      <c r="CG639" s="69" t="str">
        <f t="shared" si="77"/>
        <v xml:space="preserve">برنامج دولى </v>
      </c>
    </row>
    <row r="640" spans="2:85" x14ac:dyDescent="0.25">
      <c r="B640" s="82">
        <v>9972</v>
      </c>
      <c r="C640" s="78">
        <v>5637</v>
      </c>
      <c r="D640" s="69" t="s">
        <v>325</v>
      </c>
      <c r="E640" s="69" t="s">
        <v>2881</v>
      </c>
      <c r="F640" s="69"/>
      <c r="G640" s="69">
        <v>13835.5</v>
      </c>
      <c r="T640" s="69"/>
      <c r="U640" s="69"/>
      <c r="AR640" s="94">
        <f t="shared" si="74"/>
        <v>13835.5</v>
      </c>
      <c r="AS640" s="69">
        <v>9246.9500000000007</v>
      </c>
      <c r="AT640" s="69">
        <v>1255.05</v>
      </c>
      <c r="AU640" s="69">
        <v>3333.5</v>
      </c>
      <c r="BC640" s="69"/>
      <c r="BD640" s="69"/>
      <c r="CD640" s="94">
        <f t="shared" si="75"/>
        <v>13835.5</v>
      </c>
      <c r="CE640" s="73">
        <f t="shared" si="76"/>
        <v>0</v>
      </c>
      <c r="CF640" s="75">
        <f t="shared" si="77"/>
        <v>5637</v>
      </c>
      <c r="CG640" s="69" t="str">
        <f t="shared" si="77"/>
        <v xml:space="preserve">برنامج دولى </v>
      </c>
    </row>
    <row r="641" spans="2:85" x14ac:dyDescent="0.25">
      <c r="B641" s="82">
        <v>9971</v>
      </c>
      <c r="C641" s="78">
        <v>5638</v>
      </c>
      <c r="D641" s="69" t="s">
        <v>325</v>
      </c>
      <c r="E641" s="69" t="s">
        <v>2881</v>
      </c>
      <c r="F641" s="69"/>
      <c r="G641" s="69">
        <v>3283</v>
      </c>
      <c r="T641" s="69"/>
      <c r="U641" s="69"/>
      <c r="AR641" s="94">
        <f t="shared" si="74"/>
        <v>3283</v>
      </c>
      <c r="AS641" s="69">
        <v>2194.0500000000002</v>
      </c>
      <c r="AT641" s="69">
        <v>297.95</v>
      </c>
      <c r="AU641" s="69">
        <v>791</v>
      </c>
      <c r="BC641" s="69"/>
      <c r="BD641" s="69"/>
      <c r="CD641" s="94">
        <f t="shared" si="75"/>
        <v>3283</v>
      </c>
      <c r="CE641" s="73">
        <f t="shared" si="76"/>
        <v>0</v>
      </c>
      <c r="CF641" s="75">
        <f t="shared" si="77"/>
        <v>5638</v>
      </c>
      <c r="CG641" s="69" t="str">
        <f t="shared" si="77"/>
        <v xml:space="preserve">برنامج دولى </v>
      </c>
    </row>
    <row r="642" spans="2:85" x14ac:dyDescent="0.25">
      <c r="B642" s="82">
        <v>9970</v>
      </c>
      <c r="C642" s="78">
        <v>5639</v>
      </c>
      <c r="D642" s="69" t="s">
        <v>325</v>
      </c>
      <c r="E642" s="69" t="s">
        <v>2882</v>
      </c>
      <c r="F642" s="69"/>
      <c r="G642" s="69">
        <v>1407</v>
      </c>
      <c r="T642" s="69"/>
      <c r="U642" s="69"/>
      <c r="AR642" s="94">
        <f t="shared" si="74"/>
        <v>1407</v>
      </c>
      <c r="AS642" s="69">
        <v>941.2</v>
      </c>
      <c r="AT642" s="69">
        <v>126.8</v>
      </c>
      <c r="AU642" s="69">
        <v>339</v>
      </c>
      <c r="BC642" s="69"/>
      <c r="BD642" s="69"/>
      <c r="CD642" s="94">
        <f t="shared" si="75"/>
        <v>1407</v>
      </c>
      <c r="CE642" s="73">
        <f t="shared" si="76"/>
        <v>0</v>
      </c>
      <c r="CF642" s="75">
        <f t="shared" si="77"/>
        <v>5639</v>
      </c>
      <c r="CG642" s="69" t="str">
        <f t="shared" si="77"/>
        <v xml:space="preserve">برنامج دولى </v>
      </c>
    </row>
    <row r="643" spans="2:85" x14ac:dyDescent="0.25">
      <c r="B643" s="82">
        <v>9969</v>
      </c>
      <c r="C643" s="78">
        <v>5640</v>
      </c>
      <c r="D643" s="69" t="s">
        <v>325</v>
      </c>
      <c r="E643" s="69" t="s">
        <v>2882</v>
      </c>
      <c r="F643" s="69"/>
      <c r="G643" s="69">
        <v>5510.72</v>
      </c>
      <c r="T643" s="69"/>
      <c r="U643" s="69"/>
      <c r="AR643" s="94">
        <f t="shared" si="74"/>
        <v>5510.72</v>
      </c>
      <c r="AS643" s="69">
        <v>3685.8</v>
      </c>
      <c r="AT643" s="69">
        <v>497.2</v>
      </c>
      <c r="AU643" s="69">
        <v>1327.72</v>
      </c>
      <c r="BC643" s="69"/>
      <c r="BD643" s="69"/>
      <c r="CD643" s="94">
        <f t="shared" si="75"/>
        <v>5510.72</v>
      </c>
      <c r="CE643" s="73">
        <f t="shared" si="76"/>
        <v>0</v>
      </c>
      <c r="CF643" s="75">
        <f t="shared" si="77"/>
        <v>5640</v>
      </c>
      <c r="CG643" s="69" t="str">
        <f t="shared" si="77"/>
        <v xml:space="preserve">برنامج دولى </v>
      </c>
    </row>
    <row r="644" spans="2:85" x14ac:dyDescent="0.25">
      <c r="B644" s="82">
        <v>9968</v>
      </c>
      <c r="C644" s="78">
        <v>5641</v>
      </c>
      <c r="D644" s="69" t="s">
        <v>325</v>
      </c>
      <c r="E644" s="69" t="s">
        <v>2882</v>
      </c>
      <c r="F644" s="69"/>
      <c r="G644" s="69">
        <v>3458.87</v>
      </c>
      <c r="T644" s="69"/>
      <c r="U644" s="69"/>
      <c r="AR644" s="94">
        <f t="shared" si="74"/>
        <v>3458.87</v>
      </c>
      <c r="AS644" s="69">
        <v>2312.6</v>
      </c>
      <c r="AT644" s="69">
        <v>312.89999999999998</v>
      </c>
      <c r="AU644" s="69">
        <v>833.37</v>
      </c>
      <c r="BC644" s="69"/>
      <c r="BD644" s="69"/>
      <c r="CD644" s="94">
        <f t="shared" si="75"/>
        <v>3458.87</v>
      </c>
      <c r="CE644" s="73">
        <f t="shared" si="76"/>
        <v>0</v>
      </c>
      <c r="CF644" s="75">
        <f t="shared" si="77"/>
        <v>5641</v>
      </c>
      <c r="CG644" s="69" t="str">
        <f t="shared" si="77"/>
        <v xml:space="preserve">برنامج دولى </v>
      </c>
    </row>
    <row r="645" spans="2:85" x14ac:dyDescent="0.25">
      <c r="B645" s="82">
        <v>9967</v>
      </c>
      <c r="C645" s="78">
        <v>5642</v>
      </c>
      <c r="D645" s="69" t="s">
        <v>325</v>
      </c>
      <c r="E645" s="69" t="s">
        <v>1229</v>
      </c>
      <c r="F645" s="69"/>
      <c r="G645" s="69">
        <v>820.75</v>
      </c>
      <c r="T645" s="69"/>
      <c r="U645" s="69"/>
      <c r="AR645" s="94">
        <f t="shared" si="74"/>
        <v>820.75</v>
      </c>
      <c r="AS645" s="69">
        <v>548.95000000000005</v>
      </c>
      <c r="AT645" s="69">
        <v>74.05</v>
      </c>
      <c r="AU645" s="69">
        <v>197.75</v>
      </c>
      <c r="BC645" s="69"/>
      <c r="BD645" s="69"/>
      <c r="CD645" s="94">
        <f t="shared" si="75"/>
        <v>820.75</v>
      </c>
      <c r="CE645" s="73">
        <f t="shared" si="76"/>
        <v>0</v>
      </c>
      <c r="CF645" s="75">
        <f t="shared" si="77"/>
        <v>5642</v>
      </c>
      <c r="CG645" s="69" t="str">
        <f t="shared" si="77"/>
        <v xml:space="preserve">برنامج دولى </v>
      </c>
    </row>
    <row r="646" spans="2:85" x14ac:dyDescent="0.25">
      <c r="B646" s="82">
        <v>9966</v>
      </c>
      <c r="C646" s="78">
        <v>5643</v>
      </c>
      <c r="D646" s="69" t="s">
        <v>325</v>
      </c>
      <c r="E646" s="69" t="s">
        <v>1229</v>
      </c>
      <c r="F646" s="69"/>
      <c r="G646" s="69">
        <v>1700.13</v>
      </c>
      <c r="T646" s="69"/>
      <c r="U646" s="69"/>
      <c r="AR646" s="94">
        <f t="shared" si="74"/>
        <v>1700.13</v>
      </c>
      <c r="AS646" s="69">
        <v>1137.0999999999999</v>
      </c>
      <c r="AT646" s="69">
        <v>153.4</v>
      </c>
      <c r="AU646" s="69">
        <v>409.63</v>
      </c>
      <c r="BC646" s="69"/>
      <c r="BD646" s="69"/>
      <c r="CD646" s="94">
        <f t="shared" si="75"/>
        <v>1700.13</v>
      </c>
      <c r="CE646" s="73">
        <f t="shared" si="76"/>
        <v>0</v>
      </c>
      <c r="CF646" s="75">
        <f t="shared" si="77"/>
        <v>5643</v>
      </c>
      <c r="CG646" s="69" t="str">
        <f t="shared" si="77"/>
        <v xml:space="preserve">برنامج دولى </v>
      </c>
    </row>
    <row r="647" spans="2:85" x14ac:dyDescent="0.25">
      <c r="B647" s="82">
        <v>9965</v>
      </c>
      <c r="C647" s="78">
        <v>5644</v>
      </c>
      <c r="D647" s="69" t="s">
        <v>325</v>
      </c>
      <c r="E647" s="69" t="s">
        <v>665</v>
      </c>
      <c r="F647" s="69"/>
      <c r="G647" s="69">
        <v>351.75</v>
      </c>
      <c r="T647" s="69"/>
      <c r="U647" s="69"/>
      <c r="AR647" s="94">
        <f t="shared" si="74"/>
        <v>351.75</v>
      </c>
      <c r="AS647" s="69">
        <v>235.55</v>
      </c>
      <c r="AT647" s="69">
        <v>31.45</v>
      </c>
      <c r="AU647" s="69">
        <v>84.75</v>
      </c>
      <c r="BC647" s="69"/>
      <c r="BD647" s="69"/>
      <c r="CD647" s="94">
        <f t="shared" si="75"/>
        <v>351.75</v>
      </c>
      <c r="CE647" s="73">
        <f t="shared" si="76"/>
        <v>0</v>
      </c>
      <c r="CF647" s="75">
        <f t="shared" si="77"/>
        <v>5644</v>
      </c>
      <c r="CG647" s="69" t="str">
        <f t="shared" si="77"/>
        <v xml:space="preserve">برنامج دولى </v>
      </c>
    </row>
    <row r="648" spans="2:85" x14ac:dyDescent="0.25">
      <c r="B648" s="82">
        <v>9964</v>
      </c>
      <c r="C648" s="78">
        <v>5645</v>
      </c>
      <c r="D648" s="69" t="s">
        <v>325</v>
      </c>
      <c r="E648" s="69" t="s">
        <v>823</v>
      </c>
      <c r="F648" s="69"/>
      <c r="G648" s="69">
        <v>351.75</v>
      </c>
      <c r="T648" s="69"/>
      <c r="U648" s="69"/>
      <c r="AR648" s="94">
        <f t="shared" si="74"/>
        <v>351.75</v>
      </c>
      <c r="AS648" s="69">
        <v>235.55</v>
      </c>
      <c r="AT648" s="69">
        <v>31.45</v>
      </c>
      <c r="AU648" s="69">
        <v>84.75</v>
      </c>
      <c r="BC648" s="69"/>
      <c r="BD648" s="69"/>
      <c r="CD648" s="94">
        <f t="shared" si="75"/>
        <v>351.75</v>
      </c>
      <c r="CE648" s="73">
        <f t="shared" si="76"/>
        <v>0</v>
      </c>
      <c r="CF648" s="75">
        <f t="shared" si="77"/>
        <v>5645</v>
      </c>
      <c r="CG648" s="69" t="str">
        <f t="shared" si="77"/>
        <v xml:space="preserve">برنامج دولى </v>
      </c>
    </row>
    <row r="649" spans="2:85" x14ac:dyDescent="0.25">
      <c r="B649" s="82">
        <v>9963</v>
      </c>
      <c r="C649" s="78">
        <v>5646</v>
      </c>
      <c r="D649" s="69" t="s">
        <v>325</v>
      </c>
      <c r="E649" s="69" t="s">
        <v>823</v>
      </c>
      <c r="F649" s="69"/>
      <c r="G649" s="69">
        <v>351.75</v>
      </c>
      <c r="T649" s="69"/>
      <c r="U649" s="69"/>
      <c r="AR649" s="94">
        <f t="shared" si="74"/>
        <v>351.75</v>
      </c>
      <c r="AS649" s="69">
        <v>235.55</v>
      </c>
      <c r="AT649" s="69">
        <v>31.45</v>
      </c>
      <c r="AU649" s="69">
        <v>84.75</v>
      </c>
      <c r="BC649" s="69"/>
      <c r="BD649" s="69"/>
      <c r="CD649" s="94">
        <f t="shared" si="75"/>
        <v>351.75</v>
      </c>
      <c r="CE649" s="73">
        <f t="shared" si="76"/>
        <v>0</v>
      </c>
      <c r="CF649" s="75">
        <f t="shared" si="77"/>
        <v>5646</v>
      </c>
      <c r="CG649" s="69" t="str">
        <f t="shared" si="77"/>
        <v xml:space="preserve">برنامج دولى </v>
      </c>
    </row>
    <row r="650" spans="2:85" x14ac:dyDescent="0.25">
      <c r="B650" s="82">
        <v>10112</v>
      </c>
      <c r="C650" s="78">
        <v>5647</v>
      </c>
      <c r="D650" s="69" t="s">
        <v>325</v>
      </c>
      <c r="E650" s="69" t="s">
        <v>2883</v>
      </c>
      <c r="F650" s="69"/>
      <c r="G650" s="69">
        <v>17661.240000000002</v>
      </c>
      <c r="T650" s="69"/>
      <c r="U650" s="69"/>
      <c r="AR650" s="94">
        <f t="shared" si="74"/>
        <v>17661.240000000002</v>
      </c>
      <c r="AS650" s="69">
        <v>15519.17</v>
      </c>
      <c r="AT650" s="69">
        <v>1878</v>
      </c>
      <c r="AU650" s="69">
        <v>264.07</v>
      </c>
      <c r="BC650" s="69"/>
      <c r="BD650" s="69"/>
      <c r="CD650" s="94">
        <f t="shared" si="75"/>
        <v>17661.239999999998</v>
      </c>
      <c r="CE650" s="73">
        <f t="shared" si="76"/>
        <v>0</v>
      </c>
      <c r="CF650" s="75">
        <f t="shared" si="77"/>
        <v>5647</v>
      </c>
      <c r="CG650" s="69" t="str">
        <f t="shared" si="77"/>
        <v xml:space="preserve">برنامج دولى </v>
      </c>
    </row>
    <row r="651" spans="2:85" x14ac:dyDescent="0.25">
      <c r="B651" s="82">
        <v>10088</v>
      </c>
      <c r="C651" s="78">
        <v>5648</v>
      </c>
      <c r="D651" s="69" t="s">
        <v>121</v>
      </c>
      <c r="E651" s="69" t="s">
        <v>2884</v>
      </c>
      <c r="F651" s="69"/>
      <c r="G651" s="69">
        <v>1993.25</v>
      </c>
      <c r="T651" s="69"/>
      <c r="U651" s="69"/>
      <c r="AR651" s="94">
        <f t="shared" si="74"/>
        <v>1993.25</v>
      </c>
      <c r="AS651" s="69">
        <v>1332</v>
      </c>
      <c r="AT651" s="69">
        <v>181</v>
      </c>
      <c r="AU651" s="69">
        <v>480.25</v>
      </c>
      <c r="BC651" s="69"/>
      <c r="BD651" s="69"/>
      <c r="CD651" s="94">
        <f t="shared" si="75"/>
        <v>1993.25</v>
      </c>
      <c r="CE651" s="73">
        <f t="shared" si="76"/>
        <v>0</v>
      </c>
      <c r="CF651" s="75">
        <f t="shared" si="77"/>
        <v>5648</v>
      </c>
      <c r="CG651" s="69" t="str">
        <f t="shared" si="77"/>
        <v>ماليزى اسنان</v>
      </c>
    </row>
    <row r="652" spans="2:85" x14ac:dyDescent="0.25">
      <c r="B652" s="82">
        <v>10089</v>
      </c>
      <c r="C652" s="78">
        <v>5649</v>
      </c>
      <c r="D652" s="69" t="s">
        <v>121</v>
      </c>
      <c r="E652" s="69" t="s">
        <v>2885</v>
      </c>
      <c r="F652" s="69"/>
      <c r="G652" s="69">
        <v>1758.75</v>
      </c>
      <c r="T652" s="69"/>
      <c r="U652" s="69"/>
      <c r="AR652" s="94">
        <f t="shared" si="74"/>
        <v>1758.75</v>
      </c>
      <c r="AS652" s="69">
        <v>1175.3499999999999</v>
      </c>
      <c r="AT652" s="69">
        <v>159.65</v>
      </c>
      <c r="AU652" s="69">
        <v>423.75</v>
      </c>
      <c r="BC652" s="69"/>
      <c r="BD652" s="69"/>
      <c r="CD652" s="94">
        <f t="shared" si="75"/>
        <v>1758.75</v>
      </c>
      <c r="CE652" s="73">
        <f t="shared" si="76"/>
        <v>0</v>
      </c>
      <c r="CF652" s="75">
        <f t="shared" si="77"/>
        <v>5649</v>
      </c>
      <c r="CG652" s="69" t="str">
        <f t="shared" si="77"/>
        <v>ماليزى اسنان</v>
      </c>
    </row>
    <row r="653" spans="2:85" x14ac:dyDescent="0.25">
      <c r="B653" s="82">
        <v>10090</v>
      </c>
      <c r="C653" s="78">
        <v>5650</v>
      </c>
      <c r="D653" s="69" t="s">
        <v>121</v>
      </c>
      <c r="E653" s="69" t="s">
        <v>2886</v>
      </c>
      <c r="F653" s="69"/>
      <c r="G653" s="69">
        <v>5628</v>
      </c>
      <c r="T653" s="69"/>
      <c r="U653" s="69"/>
      <c r="AR653" s="94">
        <f t="shared" si="74"/>
        <v>5628</v>
      </c>
      <c r="AS653" s="69">
        <v>3760.65</v>
      </c>
      <c r="AT653" s="69">
        <v>511.35</v>
      </c>
      <c r="AU653" s="69">
        <v>1356</v>
      </c>
      <c r="BC653" s="69"/>
      <c r="BD653" s="69"/>
      <c r="CD653" s="94">
        <f t="shared" si="75"/>
        <v>5628</v>
      </c>
      <c r="CE653" s="73">
        <f t="shared" si="76"/>
        <v>0</v>
      </c>
      <c r="CF653" s="75">
        <f t="shared" si="77"/>
        <v>5650</v>
      </c>
      <c r="CG653" s="69" t="str">
        <f t="shared" si="77"/>
        <v>ماليزى اسنان</v>
      </c>
    </row>
    <row r="654" spans="2:85" x14ac:dyDescent="0.25">
      <c r="B654" s="82">
        <v>10085</v>
      </c>
      <c r="C654" s="78">
        <v>5651</v>
      </c>
      <c r="D654" s="69" t="s">
        <v>121</v>
      </c>
      <c r="E654" s="69" t="s">
        <v>2887</v>
      </c>
      <c r="F654" s="69"/>
      <c r="G654" s="69">
        <v>4705.38</v>
      </c>
      <c r="T654" s="69"/>
      <c r="U654" s="69"/>
      <c r="AR654" s="94">
        <f t="shared" si="74"/>
        <v>4705.38</v>
      </c>
      <c r="AS654" s="69">
        <v>3584.3</v>
      </c>
      <c r="AT654" s="69">
        <v>457.2</v>
      </c>
      <c r="AU654" s="69">
        <v>663.88</v>
      </c>
      <c r="BC654" s="69"/>
      <c r="BD654" s="69"/>
      <c r="CD654" s="94">
        <f t="shared" si="75"/>
        <v>4705.38</v>
      </c>
      <c r="CE654" s="73">
        <f t="shared" si="76"/>
        <v>0</v>
      </c>
      <c r="CF654" s="75">
        <f t="shared" si="77"/>
        <v>5651</v>
      </c>
      <c r="CG654" s="69" t="str">
        <f t="shared" si="77"/>
        <v>ماليزى اسنان</v>
      </c>
    </row>
    <row r="655" spans="2:85" x14ac:dyDescent="0.25">
      <c r="B655" s="82">
        <v>10086</v>
      </c>
      <c r="C655" s="78">
        <v>5652</v>
      </c>
      <c r="D655" s="69" t="s">
        <v>121</v>
      </c>
      <c r="E655" s="69" t="s">
        <v>2888</v>
      </c>
      <c r="F655" s="69"/>
      <c r="G655" s="69">
        <v>1953.25</v>
      </c>
      <c r="T655" s="69"/>
      <c r="U655" s="69"/>
      <c r="AR655" s="94">
        <f t="shared" si="74"/>
        <v>1953.25</v>
      </c>
      <c r="AS655" s="69">
        <v>1509.88</v>
      </c>
      <c r="AT655" s="69">
        <v>192.4</v>
      </c>
      <c r="AU655" s="69">
        <v>250.97</v>
      </c>
      <c r="BC655" s="69"/>
      <c r="BD655" s="69"/>
      <c r="CD655" s="94">
        <f t="shared" si="75"/>
        <v>1953.2500000000002</v>
      </c>
      <c r="CE655" s="73">
        <f t="shared" si="76"/>
        <v>0</v>
      </c>
      <c r="CF655" s="75">
        <f t="shared" si="77"/>
        <v>5652</v>
      </c>
      <c r="CG655" s="69" t="str">
        <f t="shared" si="77"/>
        <v>ماليزى اسنان</v>
      </c>
    </row>
    <row r="656" spans="2:85" x14ac:dyDescent="0.25">
      <c r="B656" s="82">
        <v>10087</v>
      </c>
      <c r="C656" s="78">
        <v>5653</v>
      </c>
      <c r="D656" s="69" t="s">
        <v>121</v>
      </c>
      <c r="E656" s="69" t="s">
        <v>2889</v>
      </c>
      <c r="F656" s="69"/>
      <c r="G656" s="69">
        <v>7079.5</v>
      </c>
      <c r="T656" s="69"/>
      <c r="U656" s="69"/>
      <c r="AR656" s="94">
        <f t="shared" si="74"/>
        <v>7079.5</v>
      </c>
      <c r="AS656" s="69">
        <v>5741.4</v>
      </c>
      <c r="AT656" s="69">
        <v>716.6</v>
      </c>
      <c r="AU656" s="69">
        <v>621.5</v>
      </c>
      <c r="BC656" s="69"/>
      <c r="BD656" s="69"/>
      <c r="CD656" s="94">
        <f t="shared" si="75"/>
        <v>7079.5</v>
      </c>
      <c r="CE656" s="73">
        <f t="shared" si="76"/>
        <v>0</v>
      </c>
      <c r="CF656" s="75">
        <f t="shared" si="77"/>
        <v>5653</v>
      </c>
      <c r="CG656" s="69" t="str">
        <f t="shared" si="77"/>
        <v>ماليزى اسنان</v>
      </c>
    </row>
    <row r="657" spans="2:85" x14ac:dyDescent="0.25">
      <c r="B657" s="82"/>
      <c r="C657" s="78">
        <v>5654</v>
      </c>
      <c r="D657" s="69" t="s">
        <v>1431</v>
      </c>
      <c r="E657" s="69" t="s">
        <v>899</v>
      </c>
      <c r="F657" s="69"/>
      <c r="T657" s="69"/>
      <c r="U657" s="69"/>
      <c r="AR657" s="94">
        <f t="shared" si="74"/>
        <v>0</v>
      </c>
      <c r="AT657" s="69"/>
      <c r="BC657" s="69"/>
      <c r="BD657" s="69"/>
      <c r="CD657" s="94">
        <f t="shared" si="75"/>
        <v>0</v>
      </c>
      <c r="CE657" s="73">
        <f t="shared" si="76"/>
        <v>0</v>
      </c>
      <c r="CF657" s="75">
        <f t="shared" si="77"/>
        <v>5654</v>
      </c>
      <c r="CG657" s="69" t="str">
        <f t="shared" si="77"/>
        <v>لاب فقط</v>
      </c>
    </row>
    <row r="658" spans="2:85" x14ac:dyDescent="0.25">
      <c r="B658" s="82"/>
      <c r="C658" s="78">
        <v>5655</v>
      </c>
      <c r="D658" s="69" t="s">
        <v>1431</v>
      </c>
      <c r="E658" s="69" t="s">
        <v>899</v>
      </c>
      <c r="F658" s="69"/>
      <c r="T658" s="69"/>
      <c r="U658" s="69"/>
      <c r="AR658" s="94">
        <f t="shared" si="74"/>
        <v>0</v>
      </c>
      <c r="AT658" s="69"/>
      <c r="BC658" s="69"/>
      <c r="BD658" s="69"/>
      <c r="CD658" s="94">
        <f t="shared" si="75"/>
        <v>0</v>
      </c>
      <c r="CE658" s="73">
        <f t="shared" si="76"/>
        <v>0</v>
      </c>
      <c r="CF658" s="75">
        <f t="shared" si="77"/>
        <v>5655</v>
      </c>
      <c r="CG658" s="69" t="str">
        <f t="shared" si="77"/>
        <v>لاب فقط</v>
      </c>
    </row>
    <row r="659" spans="2:85" x14ac:dyDescent="0.25">
      <c r="B659" s="82">
        <v>9867</v>
      </c>
      <c r="C659" s="78">
        <v>5656</v>
      </c>
      <c r="D659" s="69" t="s">
        <v>78</v>
      </c>
      <c r="E659" s="69" t="s">
        <v>2890</v>
      </c>
      <c r="F659" s="69"/>
      <c r="G659" s="69">
        <v>9000</v>
      </c>
      <c r="T659" s="69"/>
      <c r="U659" s="69"/>
      <c r="AR659" s="94">
        <f t="shared" si="74"/>
        <v>9000</v>
      </c>
      <c r="AS659" s="69">
        <v>8028.4</v>
      </c>
      <c r="AT659" s="69">
        <v>971.6</v>
      </c>
      <c r="BC659" s="69"/>
      <c r="BD659" s="69"/>
      <c r="CD659" s="94">
        <f t="shared" si="75"/>
        <v>9000</v>
      </c>
      <c r="CE659" s="73">
        <f t="shared" si="76"/>
        <v>0</v>
      </c>
      <c r="CF659" s="75">
        <f t="shared" si="77"/>
        <v>5656</v>
      </c>
      <c r="CG659" s="69" t="str">
        <f t="shared" si="77"/>
        <v>برنامج دولى</v>
      </c>
    </row>
    <row r="660" spans="2:85" x14ac:dyDescent="0.25">
      <c r="B660" s="82">
        <v>9862</v>
      </c>
      <c r="C660" s="78">
        <v>5657</v>
      </c>
      <c r="D660" s="69" t="s">
        <v>78</v>
      </c>
      <c r="E660" s="69" t="s">
        <v>2891</v>
      </c>
      <c r="F660" s="69"/>
      <c r="G660" s="69">
        <v>17677.349999999999</v>
      </c>
      <c r="T660" s="69"/>
      <c r="U660" s="69"/>
      <c r="AR660" s="94">
        <f t="shared" si="74"/>
        <v>17677.349999999999</v>
      </c>
      <c r="AS660" s="69">
        <v>15438.55</v>
      </c>
      <c r="AT660" s="69">
        <v>1882.85</v>
      </c>
      <c r="AU660" s="69">
        <v>355.95</v>
      </c>
      <c r="BC660" s="69"/>
      <c r="BD660" s="69"/>
      <c r="CD660" s="94">
        <f t="shared" si="75"/>
        <v>17677.349999999999</v>
      </c>
      <c r="CE660" s="73">
        <f t="shared" si="76"/>
        <v>0</v>
      </c>
      <c r="CF660" s="75">
        <f t="shared" si="77"/>
        <v>5657</v>
      </c>
      <c r="CG660" s="69" t="str">
        <f t="shared" si="77"/>
        <v>برنامج دولى</v>
      </c>
    </row>
    <row r="661" spans="2:85" x14ac:dyDescent="0.25">
      <c r="B661" s="82">
        <v>9861</v>
      </c>
      <c r="C661" s="78">
        <v>5658</v>
      </c>
      <c r="D661" s="69" t="s">
        <v>78</v>
      </c>
      <c r="E661" s="69" t="s">
        <v>2891</v>
      </c>
      <c r="F661" s="69"/>
      <c r="G661" s="69">
        <v>1688.4</v>
      </c>
      <c r="T661" s="69"/>
      <c r="U661" s="69"/>
      <c r="AR661" s="94">
        <f t="shared" si="74"/>
        <v>1688.4</v>
      </c>
      <c r="AS661" s="69">
        <v>1128.3499999999999</v>
      </c>
      <c r="AT661" s="69">
        <v>153.25</v>
      </c>
      <c r="AU661" s="69">
        <v>406.8</v>
      </c>
      <c r="BC661" s="69"/>
      <c r="BD661" s="69"/>
      <c r="CD661" s="94">
        <f t="shared" si="75"/>
        <v>1688.3999999999999</v>
      </c>
      <c r="CE661" s="73">
        <f t="shared" si="76"/>
        <v>0</v>
      </c>
      <c r="CF661" s="75">
        <f t="shared" si="77"/>
        <v>5658</v>
      </c>
      <c r="CG661" s="69" t="str">
        <f t="shared" si="77"/>
        <v>برنامج دولى</v>
      </c>
    </row>
    <row r="662" spans="2:85" x14ac:dyDescent="0.25">
      <c r="B662" s="82">
        <v>9591</v>
      </c>
      <c r="C662" s="78">
        <v>5659</v>
      </c>
      <c r="D662" s="69" t="s">
        <v>78</v>
      </c>
      <c r="E662" s="69" t="s">
        <v>575</v>
      </c>
      <c r="F662" s="69"/>
      <c r="G662" s="69">
        <v>16380</v>
      </c>
      <c r="T662" s="69"/>
      <c r="U662" s="69"/>
      <c r="AR662" s="94">
        <f t="shared" si="74"/>
        <v>16380</v>
      </c>
      <c r="AS662" s="69">
        <v>14617.35</v>
      </c>
      <c r="AT662" s="69">
        <v>1762.65</v>
      </c>
      <c r="BC662" s="69"/>
      <c r="BD662" s="69"/>
      <c r="CD662" s="94">
        <f t="shared" si="75"/>
        <v>16380</v>
      </c>
      <c r="CE662" s="73">
        <f t="shared" si="76"/>
        <v>0</v>
      </c>
      <c r="CF662" s="75">
        <f t="shared" si="77"/>
        <v>5659</v>
      </c>
      <c r="CG662" s="69" t="str">
        <f t="shared" si="77"/>
        <v>برنامج دولى</v>
      </c>
    </row>
    <row r="663" spans="2:85" x14ac:dyDescent="0.25">
      <c r="B663" s="82">
        <v>9592</v>
      </c>
      <c r="C663" s="78">
        <v>5660</v>
      </c>
      <c r="D663" s="69" t="s">
        <v>78</v>
      </c>
      <c r="E663" s="69" t="s">
        <v>575</v>
      </c>
      <c r="F663" s="69"/>
      <c r="G663" s="69">
        <v>2321.56</v>
      </c>
      <c r="T663" s="69"/>
      <c r="U663" s="69"/>
      <c r="AR663" s="94">
        <f t="shared" si="74"/>
        <v>2321.56</v>
      </c>
      <c r="AS663" s="69">
        <v>1553.25</v>
      </c>
      <c r="AT663" s="69">
        <v>208.95</v>
      </c>
      <c r="AU663" s="69">
        <v>559.36</v>
      </c>
      <c r="BC663" s="69"/>
      <c r="BD663" s="69"/>
      <c r="CD663" s="94">
        <f t="shared" si="75"/>
        <v>2321.56</v>
      </c>
      <c r="CE663" s="73">
        <f t="shared" si="76"/>
        <v>0</v>
      </c>
      <c r="CF663" s="75">
        <f t="shared" si="77"/>
        <v>5660</v>
      </c>
      <c r="CG663" s="69" t="str">
        <f t="shared" si="77"/>
        <v>برنامج دولى</v>
      </c>
    </row>
    <row r="664" spans="2:85" x14ac:dyDescent="0.25">
      <c r="B664" s="82">
        <v>9589</v>
      </c>
      <c r="C664" s="78">
        <v>5661</v>
      </c>
      <c r="D664" s="69" t="s">
        <v>78</v>
      </c>
      <c r="E664" s="69" t="s">
        <v>575</v>
      </c>
      <c r="F664" s="69"/>
      <c r="G664" s="69">
        <v>2003.75</v>
      </c>
      <c r="T664" s="69"/>
      <c r="U664" s="69"/>
      <c r="AR664" s="94">
        <f t="shared" si="74"/>
        <v>2003.75</v>
      </c>
      <c r="AS664" s="69">
        <v>1753.75</v>
      </c>
      <c r="AT664" s="69">
        <v>211.1</v>
      </c>
      <c r="AU664" s="69">
        <v>38.9</v>
      </c>
      <c r="BC664" s="69"/>
      <c r="BD664" s="69"/>
      <c r="CD664" s="94">
        <f t="shared" si="75"/>
        <v>2003.75</v>
      </c>
      <c r="CE664" s="73">
        <f t="shared" si="76"/>
        <v>0</v>
      </c>
      <c r="CF664" s="75">
        <f t="shared" si="77"/>
        <v>5661</v>
      </c>
      <c r="CG664" s="69" t="str">
        <f t="shared" si="77"/>
        <v>برنامج دولى</v>
      </c>
    </row>
    <row r="665" spans="2:85" x14ac:dyDescent="0.25">
      <c r="B665" s="82">
        <v>9590</v>
      </c>
      <c r="C665" s="78">
        <v>5662</v>
      </c>
      <c r="D665" s="69" t="s">
        <v>78</v>
      </c>
      <c r="E665" s="69" t="s">
        <v>575</v>
      </c>
      <c r="F665" s="69"/>
      <c r="G665" s="69">
        <v>5114.7</v>
      </c>
      <c r="T665" s="69"/>
      <c r="U665" s="69"/>
      <c r="AR665" s="94">
        <f t="shared" si="74"/>
        <v>5114.7</v>
      </c>
      <c r="AS665" s="69">
        <v>3902.5</v>
      </c>
      <c r="AT665" s="69">
        <v>500.3</v>
      </c>
      <c r="AU665" s="69">
        <v>711.9</v>
      </c>
      <c r="BC665" s="69"/>
      <c r="BD665" s="69"/>
      <c r="CD665" s="94">
        <f t="shared" si="75"/>
        <v>5114.7</v>
      </c>
      <c r="CE665" s="73">
        <f t="shared" si="76"/>
        <v>0</v>
      </c>
      <c r="CF665" s="75">
        <f t="shared" si="77"/>
        <v>5662</v>
      </c>
      <c r="CG665" s="69" t="str">
        <f t="shared" si="77"/>
        <v>برنامج دولى</v>
      </c>
    </row>
    <row r="666" spans="2:85" x14ac:dyDescent="0.25">
      <c r="B666" s="82">
        <v>9818</v>
      </c>
      <c r="C666" s="78">
        <v>5663</v>
      </c>
      <c r="D666" s="69" t="s">
        <v>78</v>
      </c>
      <c r="E666" s="69" t="s">
        <v>1202</v>
      </c>
      <c r="F666" s="69"/>
      <c r="G666" s="69">
        <v>844.2</v>
      </c>
      <c r="T666" s="69"/>
      <c r="U666" s="69"/>
      <c r="AR666" s="94">
        <f t="shared" si="74"/>
        <v>844.2</v>
      </c>
      <c r="AS666" s="69">
        <v>565</v>
      </c>
      <c r="AT666" s="69">
        <f>72+3.8</f>
        <v>75.8</v>
      </c>
      <c r="AU666" s="69">
        <f>279.2-AT666</f>
        <v>203.39999999999998</v>
      </c>
      <c r="BC666" s="69"/>
      <c r="BD666" s="69"/>
      <c r="CD666" s="94">
        <f t="shared" si="75"/>
        <v>844.19999999999993</v>
      </c>
      <c r="CE666" s="73">
        <f t="shared" si="76"/>
        <v>0</v>
      </c>
      <c r="CF666" s="75">
        <f t="shared" si="77"/>
        <v>5663</v>
      </c>
      <c r="CG666" s="69" t="str">
        <f t="shared" si="77"/>
        <v>برنامج دولى</v>
      </c>
    </row>
    <row r="667" spans="2:85" x14ac:dyDescent="0.25">
      <c r="B667" s="82">
        <v>9815</v>
      </c>
      <c r="C667" s="78">
        <v>5664</v>
      </c>
      <c r="D667" s="69" t="s">
        <v>78</v>
      </c>
      <c r="E667" s="69" t="s">
        <v>1202</v>
      </c>
      <c r="F667" s="69"/>
      <c r="G667" s="69">
        <v>2110.5</v>
      </c>
      <c r="T667" s="69"/>
      <c r="U667" s="69"/>
      <c r="AR667" s="94">
        <f t="shared" si="74"/>
        <v>2110.5</v>
      </c>
      <c r="AS667" s="69">
        <v>1411.9</v>
      </c>
      <c r="AT667" s="69">
        <v>190.1</v>
      </c>
      <c r="AU667" s="69">
        <v>508.5</v>
      </c>
      <c r="BC667" s="69"/>
      <c r="BD667" s="69"/>
      <c r="CD667" s="94">
        <f t="shared" si="75"/>
        <v>2110.5</v>
      </c>
      <c r="CE667" s="73">
        <f t="shared" si="76"/>
        <v>0</v>
      </c>
      <c r="CF667" s="75">
        <f t="shared" si="77"/>
        <v>5664</v>
      </c>
      <c r="CG667" s="69" t="str">
        <f t="shared" si="77"/>
        <v>برنامج دولى</v>
      </c>
    </row>
    <row r="668" spans="2:85" x14ac:dyDescent="0.25">
      <c r="B668" s="82">
        <v>9817</v>
      </c>
      <c r="C668" s="78">
        <v>5665</v>
      </c>
      <c r="D668" s="69" t="s">
        <v>78</v>
      </c>
      <c r="E668" s="69" t="s">
        <v>1202</v>
      </c>
      <c r="F668" s="69"/>
      <c r="G668" s="69">
        <v>351.75</v>
      </c>
      <c r="T668" s="69"/>
      <c r="U668" s="69"/>
      <c r="AR668" s="94">
        <f t="shared" si="74"/>
        <v>351.75</v>
      </c>
      <c r="AS668" s="69">
        <v>235.55</v>
      </c>
      <c r="AT668" s="69">
        <v>31.45</v>
      </c>
      <c r="AU668" s="69">
        <v>84.75</v>
      </c>
      <c r="BC668" s="69"/>
      <c r="BD668" s="69"/>
      <c r="CD668" s="94">
        <f t="shared" si="75"/>
        <v>351.75</v>
      </c>
      <c r="CE668" s="73">
        <f t="shared" si="76"/>
        <v>0</v>
      </c>
      <c r="CF668" s="75">
        <f t="shared" si="77"/>
        <v>5665</v>
      </c>
      <c r="CG668" s="69" t="str">
        <f t="shared" si="77"/>
        <v>برنامج دولى</v>
      </c>
    </row>
    <row r="669" spans="2:85" x14ac:dyDescent="0.25">
      <c r="B669" s="82">
        <v>9816</v>
      </c>
      <c r="C669" s="78">
        <v>5666</v>
      </c>
      <c r="D669" s="69" t="s">
        <v>78</v>
      </c>
      <c r="E669" s="69" t="s">
        <v>1202</v>
      </c>
      <c r="F669" s="69"/>
      <c r="G669" s="69">
        <v>70.349999999999994</v>
      </c>
      <c r="T669" s="69"/>
      <c r="U669" s="69"/>
      <c r="AR669" s="94">
        <f t="shared" si="74"/>
        <v>70.349999999999994</v>
      </c>
      <c r="AS669" s="69">
        <v>47.35</v>
      </c>
      <c r="AT669" s="69">
        <v>6.05</v>
      </c>
      <c r="AU669" s="69">
        <v>16.95</v>
      </c>
      <c r="BC669" s="69"/>
      <c r="BD669" s="69"/>
      <c r="CD669" s="94">
        <f t="shared" si="75"/>
        <v>70.349999999999994</v>
      </c>
      <c r="CE669" s="73">
        <f t="shared" si="76"/>
        <v>0</v>
      </c>
      <c r="CF669" s="75">
        <f t="shared" si="77"/>
        <v>5666</v>
      </c>
      <c r="CG669" s="69" t="str">
        <f t="shared" si="77"/>
        <v>برنامج دولى</v>
      </c>
    </row>
    <row r="670" spans="2:85" x14ac:dyDescent="0.25">
      <c r="B670" s="82">
        <v>9814</v>
      </c>
      <c r="C670" s="78">
        <v>5667</v>
      </c>
      <c r="D670" s="69" t="s">
        <v>78</v>
      </c>
      <c r="E670" s="69" t="s">
        <v>1202</v>
      </c>
      <c r="F670" s="69"/>
      <c r="G670" s="69">
        <v>38699.49</v>
      </c>
      <c r="T670" s="69"/>
      <c r="U670" s="69"/>
      <c r="AR670" s="94">
        <f t="shared" si="74"/>
        <v>38699.49</v>
      </c>
      <c r="AS670" s="69">
        <v>32314.58</v>
      </c>
      <c r="AT670" s="69">
        <v>3978.35</v>
      </c>
      <c r="AU670" s="69">
        <v>2406.56</v>
      </c>
      <c r="BC670" s="69"/>
      <c r="BD670" s="69"/>
      <c r="CD670" s="94">
        <f t="shared" si="75"/>
        <v>38699.49</v>
      </c>
      <c r="CE670" s="73">
        <f t="shared" si="76"/>
        <v>0</v>
      </c>
      <c r="CF670" s="75">
        <f t="shared" si="77"/>
        <v>5667</v>
      </c>
      <c r="CG670" s="69" t="str">
        <f t="shared" si="77"/>
        <v>برنامج دولى</v>
      </c>
    </row>
    <row r="671" spans="2:85" x14ac:dyDescent="0.25">
      <c r="B671" s="82">
        <v>9864</v>
      </c>
      <c r="C671" s="78">
        <v>5668</v>
      </c>
      <c r="D671" s="69" t="s">
        <v>78</v>
      </c>
      <c r="E671" s="69" t="s">
        <v>2892</v>
      </c>
      <c r="F671" s="69"/>
      <c r="G671" s="69">
        <v>61881.35</v>
      </c>
      <c r="T671" s="69"/>
      <c r="U671" s="69"/>
      <c r="AR671" s="94">
        <f t="shared" si="74"/>
        <v>61881.35</v>
      </c>
      <c r="AS671" s="69">
        <v>52265.26</v>
      </c>
      <c r="AT671" s="69">
        <v>6435.11</v>
      </c>
      <c r="AU671" s="69">
        <v>3180.98</v>
      </c>
      <c r="BC671" s="69"/>
      <c r="BD671" s="69"/>
      <c r="CD671" s="94">
        <f t="shared" si="75"/>
        <v>61881.350000000006</v>
      </c>
      <c r="CE671" s="73">
        <f t="shared" si="76"/>
        <v>0</v>
      </c>
      <c r="CF671" s="75">
        <f t="shared" si="77"/>
        <v>5668</v>
      </c>
      <c r="CG671" s="69" t="str">
        <f t="shared" si="77"/>
        <v>برنامج دولى</v>
      </c>
    </row>
    <row r="672" spans="2:85" x14ac:dyDescent="0.25">
      <c r="B672" s="82">
        <v>9865</v>
      </c>
      <c r="C672" s="78">
        <v>5669</v>
      </c>
      <c r="D672" s="69" t="s">
        <v>78</v>
      </c>
      <c r="E672" s="69" t="s">
        <v>2892</v>
      </c>
      <c r="F672" s="69"/>
      <c r="G672" s="69">
        <v>19595.04</v>
      </c>
      <c r="T672" s="69"/>
      <c r="U672" s="69"/>
      <c r="AR672" s="94">
        <f t="shared" si="74"/>
        <v>19595.04</v>
      </c>
      <c r="AS672" s="69">
        <v>15895.22</v>
      </c>
      <c r="AT672" s="69">
        <v>1987.23</v>
      </c>
      <c r="AU672" s="69">
        <v>1712.59</v>
      </c>
      <c r="BC672" s="69"/>
      <c r="BD672" s="69"/>
      <c r="CD672" s="94">
        <f t="shared" si="75"/>
        <v>19595.04</v>
      </c>
      <c r="CE672" s="73">
        <f t="shared" si="76"/>
        <v>0</v>
      </c>
      <c r="CF672" s="75">
        <f t="shared" si="77"/>
        <v>5669</v>
      </c>
      <c r="CG672" s="69" t="str">
        <f t="shared" si="77"/>
        <v>برنامج دولى</v>
      </c>
    </row>
    <row r="673" spans="2:86" x14ac:dyDescent="0.25">
      <c r="B673" s="82">
        <v>9813</v>
      </c>
      <c r="C673" s="78">
        <v>5670</v>
      </c>
      <c r="D673" s="69" t="s">
        <v>78</v>
      </c>
      <c r="E673" s="69" t="s">
        <v>1387</v>
      </c>
      <c r="F673" s="69"/>
      <c r="G673" s="69">
        <v>8284.23</v>
      </c>
      <c r="T673" s="69"/>
      <c r="U673" s="69"/>
      <c r="AR673" s="94">
        <f t="shared" si="74"/>
        <v>8284.23</v>
      </c>
      <c r="AS673" s="69">
        <v>6955.93</v>
      </c>
      <c r="AT673" s="69">
        <v>857.58</v>
      </c>
      <c r="AU673" s="69">
        <v>470.72</v>
      </c>
      <c r="BC673" s="69"/>
      <c r="BD673" s="69"/>
      <c r="CD673" s="94">
        <f t="shared" si="75"/>
        <v>8284.23</v>
      </c>
      <c r="CE673" s="73">
        <f t="shared" si="76"/>
        <v>0</v>
      </c>
      <c r="CF673" s="75">
        <f t="shared" si="77"/>
        <v>5670</v>
      </c>
      <c r="CG673" s="69" t="str">
        <f t="shared" si="77"/>
        <v>برنامج دولى</v>
      </c>
    </row>
    <row r="674" spans="2:86" x14ac:dyDescent="0.25">
      <c r="B674" s="82">
        <v>9863</v>
      </c>
      <c r="C674" s="78">
        <v>5671</v>
      </c>
      <c r="D674" s="69" t="s">
        <v>78</v>
      </c>
      <c r="E674" s="69" t="str">
        <f>+E672</f>
        <v>مراجعه نظرى فرقه رابعه</v>
      </c>
      <c r="F674" s="69"/>
      <c r="G674" s="69">
        <v>9403.4500000000007</v>
      </c>
      <c r="T674" s="69"/>
      <c r="U674" s="69"/>
      <c r="AR674" s="94">
        <f t="shared" si="74"/>
        <v>9403.4500000000007</v>
      </c>
      <c r="AS674" s="69">
        <v>6439.71</v>
      </c>
      <c r="AT674" s="69">
        <v>865.95</v>
      </c>
      <c r="AU674" s="69">
        <v>2097.79</v>
      </c>
      <c r="BC674" s="69"/>
      <c r="BD674" s="69"/>
      <c r="CD674" s="94">
        <f t="shared" si="75"/>
        <v>9403.4500000000007</v>
      </c>
      <c r="CE674" s="73">
        <f t="shared" si="76"/>
        <v>0</v>
      </c>
      <c r="CF674" s="75">
        <f t="shared" si="77"/>
        <v>5671</v>
      </c>
      <c r="CG674" s="69" t="str">
        <f t="shared" si="77"/>
        <v>برنامج دولى</v>
      </c>
    </row>
    <row r="675" spans="2:86" x14ac:dyDescent="0.25">
      <c r="B675" s="82">
        <v>9871</v>
      </c>
      <c r="C675" s="78">
        <v>5672</v>
      </c>
      <c r="D675" s="69" t="s">
        <v>78</v>
      </c>
      <c r="E675" s="69" t="s">
        <v>1009</v>
      </c>
      <c r="F675" s="69"/>
      <c r="G675" s="69">
        <v>20412.54</v>
      </c>
      <c r="T675" s="69"/>
      <c r="U675" s="69"/>
      <c r="AR675" s="94">
        <f t="shared" si="74"/>
        <v>20412.54</v>
      </c>
      <c r="AS675" s="69">
        <v>13552.22</v>
      </c>
      <c r="AT675" s="69">
        <v>1844.85</v>
      </c>
      <c r="AU675" s="69">
        <v>5015.47</v>
      </c>
      <c r="BC675" s="69"/>
      <c r="BD675" s="69"/>
      <c r="CD675" s="94">
        <f t="shared" si="75"/>
        <v>20412.54</v>
      </c>
      <c r="CE675" s="73">
        <f t="shared" si="76"/>
        <v>0</v>
      </c>
      <c r="CF675" s="75">
        <f t="shared" si="77"/>
        <v>5672</v>
      </c>
      <c r="CG675" s="69" t="str">
        <f t="shared" si="77"/>
        <v>برنامج دولى</v>
      </c>
    </row>
    <row r="676" spans="2:86" x14ac:dyDescent="0.25">
      <c r="B676" s="82">
        <v>9870</v>
      </c>
      <c r="C676" s="78">
        <v>5673</v>
      </c>
      <c r="D676" s="69" t="s">
        <v>78</v>
      </c>
      <c r="E676" s="69" t="s">
        <v>1009</v>
      </c>
      <c r="F676" s="69"/>
      <c r="G676" s="69">
        <v>5276.25</v>
      </c>
      <c r="T676" s="69"/>
      <c r="U676" s="69"/>
      <c r="AR676" s="94">
        <f t="shared" si="74"/>
        <v>5276.25</v>
      </c>
      <c r="AS676" s="69">
        <v>3526.05</v>
      </c>
      <c r="AT676" s="69">
        <v>478.95</v>
      </c>
      <c r="AU676" s="69">
        <v>1271.25</v>
      </c>
      <c r="BC676" s="69"/>
      <c r="BD676" s="69"/>
      <c r="CD676" s="94">
        <f t="shared" si="75"/>
        <v>5276.25</v>
      </c>
      <c r="CE676" s="73">
        <f t="shared" si="76"/>
        <v>0</v>
      </c>
      <c r="CF676" s="75">
        <f t="shared" si="77"/>
        <v>5673</v>
      </c>
      <c r="CG676" s="69" t="str">
        <f t="shared" si="77"/>
        <v>برنامج دولى</v>
      </c>
    </row>
    <row r="677" spans="2:86" x14ac:dyDescent="0.25">
      <c r="B677" s="82">
        <v>9866</v>
      </c>
      <c r="C677" s="78">
        <v>5674</v>
      </c>
      <c r="D677" s="69" t="s">
        <v>78</v>
      </c>
      <c r="E677" s="69" t="s">
        <v>2890</v>
      </c>
      <c r="F677" s="69"/>
      <c r="G677" s="69">
        <v>211.05</v>
      </c>
      <c r="T677" s="69"/>
      <c r="U677" s="69"/>
      <c r="AR677" s="94">
        <f t="shared" si="74"/>
        <v>211.05</v>
      </c>
      <c r="AS677" s="69">
        <v>141.5</v>
      </c>
      <c r="AT677" s="69">
        <v>18.7</v>
      </c>
      <c r="AU677" s="69">
        <v>50.85</v>
      </c>
      <c r="BC677" s="69"/>
      <c r="BD677" s="69"/>
      <c r="CD677" s="94">
        <f t="shared" si="75"/>
        <v>211.04999999999998</v>
      </c>
      <c r="CE677" s="73">
        <f t="shared" si="76"/>
        <v>0</v>
      </c>
      <c r="CF677" s="75">
        <f t="shared" si="77"/>
        <v>5674</v>
      </c>
      <c r="CG677" s="69" t="str">
        <f t="shared" si="77"/>
        <v>برنامج دولى</v>
      </c>
    </row>
    <row r="678" spans="2:86" x14ac:dyDescent="0.25">
      <c r="B678" s="82">
        <v>9868</v>
      </c>
      <c r="C678" s="78">
        <v>5675</v>
      </c>
      <c r="D678" s="69" t="s">
        <v>78</v>
      </c>
      <c r="E678" s="69" t="s">
        <v>2890</v>
      </c>
      <c r="F678" s="69"/>
      <c r="G678" s="69">
        <v>2914.14</v>
      </c>
      <c r="T678" s="69"/>
      <c r="U678" s="69"/>
      <c r="AR678" s="94">
        <f t="shared" si="74"/>
        <v>2914.14</v>
      </c>
      <c r="AS678" s="69">
        <v>2000.01</v>
      </c>
      <c r="AT678" s="69">
        <v>268.64999999999998</v>
      </c>
      <c r="AU678" s="69">
        <v>645.48</v>
      </c>
      <c r="BC678" s="69"/>
      <c r="BD678" s="69"/>
      <c r="CD678" s="94">
        <f t="shared" si="75"/>
        <v>2914.14</v>
      </c>
      <c r="CE678" s="73">
        <f t="shared" si="76"/>
        <v>0</v>
      </c>
      <c r="CF678" s="75">
        <f t="shared" si="77"/>
        <v>5675</v>
      </c>
      <c r="CG678" s="69" t="str">
        <f t="shared" si="77"/>
        <v>برنامج دولى</v>
      </c>
    </row>
    <row r="679" spans="2:86" x14ac:dyDescent="0.25">
      <c r="B679" s="82">
        <v>9869</v>
      </c>
      <c r="C679" s="78">
        <v>5676</v>
      </c>
      <c r="D679" s="69" t="s">
        <v>78</v>
      </c>
      <c r="E679" s="69" t="str">
        <f>+E676</f>
        <v>مكافاه كنترول فرقه ثالثه</v>
      </c>
      <c r="F679" s="69"/>
      <c r="G679" s="69">
        <v>1758.75</v>
      </c>
      <c r="T679" s="69"/>
      <c r="U679" s="69"/>
      <c r="AR679" s="94">
        <f t="shared" si="74"/>
        <v>1758.75</v>
      </c>
      <c r="AS679" s="69">
        <v>1175.3499999999999</v>
      </c>
      <c r="AT679" s="69">
        <f>150+9.65</f>
        <v>159.65</v>
      </c>
      <c r="AU679" s="69">
        <v>423.75</v>
      </c>
      <c r="BC679" s="69"/>
      <c r="BD679" s="69"/>
      <c r="CD679" s="94">
        <f t="shared" si="75"/>
        <v>1758.75</v>
      </c>
      <c r="CE679" s="73">
        <f t="shared" si="76"/>
        <v>0</v>
      </c>
      <c r="CF679" s="75">
        <f t="shared" si="77"/>
        <v>5676</v>
      </c>
      <c r="CG679" s="69" t="str">
        <f t="shared" si="77"/>
        <v>برنامج دولى</v>
      </c>
    </row>
    <row r="680" spans="2:86" x14ac:dyDescent="0.25">
      <c r="B680" s="82">
        <v>9761</v>
      </c>
      <c r="C680" s="78">
        <v>5677</v>
      </c>
      <c r="D680" s="69" t="s">
        <v>78</v>
      </c>
      <c r="E680" s="69" t="s">
        <v>2893</v>
      </c>
      <c r="F680" s="69"/>
      <c r="G680" s="69">
        <v>70540.87</v>
      </c>
      <c r="T680" s="69"/>
      <c r="U680" s="69"/>
      <c r="AR680" s="94">
        <f t="shared" ref="AR680:AR732" si="78">SUM(G680:AQ680)</f>
        <v>70540.87</v>
      </c>
      <c r="AS680" s="69">
        <v>62577.65</v>
      </c>
      <c r="AT680" s="69">
        <v>7572.45</v>
      </c>
      <c r="AU680" s="69">
        <v>390.77</v>
      </c>
      <c r="BC680" s="69"/>
      <c r="BD680" s="69"/>
      <c r="CD680" s="94">
        <f t="shared" ref="CD680:CD743" si="79">SUM(AS680:CC680)</f>
        <v>70540.87000000001</v>
      </c>
      <c r="CE680" s="73">
        <f t="shared" ref="CE680:CE743" si="80">+CD680-AR680</f>
        <v>0</v>
      </c>
      <c r="CF680" s="75">
        <f t="shared" ref="CF680:CG732" si="81">+C680</f>
        <v>5677</v>
      </c>
      <c r="CG680" s="69" t="str">
        <f t="shared" si="81"/>
        <v>برنامج دولى</v>
      </c>
    </row>
    <row r="681" spans="2:86" x14ac:dyDescent="0.25">
      <c r="B681" s="82">
        <v>9588</v>
      </c>
      <c r="C681" s="78">
        <v>5678</v>
      </c>
      <c r="D681" s="69" t="s">
        <v>78</v>
      </c>
      <c r="E681" s="69" t="s">
        <v>2765</v>
      </c>
      <c r="F681" s="69"/>
      <c r="G681" s="69">
        <v>5100</v>
      </c>
      <c r="T681" s="69"/>
      <c r="U681" s="69"/>
      <c r="AR681" s="94">
        <f t="shared" si="78"/>
        <v>5100</v>
      </c>
      <c r="AS681" s="69">
        <v>4553.1499999999996</v>
      </c>
      <c r="AT681" s="69">
        <v>546.85</v>
      </c>
      <c r="BC681" s="69"/>
      <c r="BD681" s="69"/>
      <c r="CD681" s="94">
        <f t="shared" si="79"/>
        <v>5100</v>
      </c>
      <c r="CE681" s="73">
        <f t="shared" si="80"/>
        <v>0</v>
      </c>
      <c r="CF681" s="75">
        <f t="shared" si="81"/>
        <v>5678</v>
      </c>
      <c r="CG681" s="69" t="str">
        <f t="shared" si="81"/>
        <v>برنامج دولى</v>
      </c>
    </row>
    <row r="682" spans="2:86" x14ac:dyDescent="0.25">
      <c r="B682" s="82">
        <v>10145</v>
      </c>
      <c r="C682" s="78">
        <v>5679</v>
      </c>
      <c r="D682" s="69" t="s">
        <v>78</v>
      </c>
      <c r="E682" s="69" t="str">
        <f>+E665</f>
        <v>عب تدريس جراحه اورام</v>
      </c>
      <c r="F682" s="69"/>
      <c r="G682" s="69">
        <v>16803.240000000002</v>
      </c>
      <c r="T682" s="69"/>
      <c r="U682" s="69"/>
      <c r="AR682" s="94">
        <f t="shared" si="78"/>
        <v>16803.240000000002</v>
      </c>
      <c r="AS682" s="69">
        <v>14349.5</v>
      </c>
      <c r="AT682" s="69">
        <v>1760.6</v>
      </c>
      <c r="AU682" s="69">
        <v>693.14</v>
      </c>
      <c r="BC682" s="69"/>
      <c r="BD682" s="69"/>
      <c r="CD682" s="94">
        <f t="shared" si="79"/>
        <v>16803.240000000002</v>
      </c>
      <c r="CE682" s="73">
        <f t="shared" si="80"/>
        <v>0</v>
      </c>
      <c r="CF682" s="75">
        <f t="shared" si="81"/>
        <v>5679</v>
      </c>
      <c r="CG682" s="69" t="str">
        <f t="shared" si="81"/>
        <v>برنامج دولى</v>
      </c>
    </row>
    <row r="683" spans="2:86" x14ac:dyDescent="0.25">
      <c r="B683" s="82">
        <v>9190</v>
      </c>
      <c r="C683" s="78">
        <v>5680</v>
      </c>
      <c r="D683" s="69" t="s">
        <v>78</v>
      </c>
      <c r="E683" s="69" t="str">
        <f>+E682</f>
        <v>عب تدريس جراحه اورام</v>
      </c>
      <c r="F683" s="69"/>
      <c r="G683" s="69">
        <v>2321.56</v>
      </c>
      <c r="T683" s="69"/>
      <c r="U683" s="69"/>
      <c r="AR683" s="94">
        <f t="shared" si="78"/>
        <v>2321.56</v>
      </c>
      <c r="AS683" s="69">
        <v>1553.25</v>
      </c>
      <c r="AT683" s="69">
        <v>208.95</v>
      </c>
      <c r="AU683" s="69">
        <v>559.36</v>
      </c>
      <c r="BC683" s="69"/>
      <c r="BD683" s="69"/>
      <c r="CD683" s="94">
        <f t="shared" si="79"/>
        <v>2321.56</v>
      </c>
      <c r="CE683" s="73">
        <f t="shared" si="80"/>
        <v>0</v>
      </c>
      <c r="CF683" s="75">
        <f t="shared" si="81"/>
        <v>5680</v>
      </c>
      <c r="CG683" s="69" t="str">
        <f t="shared" si="81"/>
        <v>برنامج دولى</v>
      </c>
    </row>
    <row r="684" spans="2:86" s="68" customFormat="1" x14ac:dyDescent="0.25">
      <c r="B684" s="83"/>
      <c r="C684" s="84"/>
      <c r="E684" s="68" t="s">
        <v>2894</v>
      </c>
      <c r="G684" s="68">
        <f t="shared" ref="G684:AQ684" si="82">SUM(G488:G683)</f>
        <v>1129343.06</v>
      </c>
      <c r="H684" s="68">
        <f t="shared" si="82"/>
        <v>0</v>
      </c>
      <c r="I684" s="68">
        <f t="shared" si="82"/>
        <v>0</v>
      </c>
      <c r="J684" s="68">
        <f t="shared" si="82"/>
        <v>0</v>
      </c>
      <c r="K684" s="68">
        <f t="shared" si="82"/>
        <v>0</v>
      </c>
      <c r="L684" s="68">
        <f t="shared" si="82"/>
        <v>0</v>
      </c>
      <c r="M684" s="68">
        <f t="shared" si="82"/>
        <v>0</v>
      </c>
      <c r="N684" s="68">
        <f t="shared" si="82"/>
        <v>0</v>
      </c>
      <c r="O684" s="68">
        <f t="shared" si="82"/>
        <v>0</v>
      </c>
      <c r="P684" s="68">
        <f t="shared" si="82"/>
        <v>0</v>
      </c>
      <c r="Q684" s="68">
        <f t="shared" si="82"/>
        <v>0</v>
      </c>
      <c r="R684" s="68">
        <f t="shared" si="82"/>
        <v>0</v>
      </c>
      <c r="S684" s="68">
        <f t="shared" si="82"/>
        <v>0</v>
      </c>
      <c r="T684" s="68">
        <f t="shared" si="82"/>
        <v>0</v>
      </c>
      <c r="U684" s="68">
        <f t="shared" si="82"/>
        <v>0</v>
      </c>
      <c r="V684" s="68">
        <f t="shared" si="82"/>
        <v>0</v>
      </c>
      <c r="W684" s="68">
        <f t="shared" si="82"/>
        <v>0</v>
      </c>
      <c r="X684" s="68">
        <f t="shared" si="82"/>
        <v>0</v>
      </c>
      <c r="Y684" s="68">
        <f t="shared" si="82"/>
        <v>0</v>
      </c>
      <c r="Z684" s="68">
        <f t="shared" si="82"/>
        <v>0</v>
      </c>
      <c r="AA684" s="68">
        <f t="shared" si="82"/>
        <v>0</v>
      </c>
      <c r="AB684" s="68">
        <f t="shared" si="82"/>
        <v>0</v>
      </c>
      <c r="AC684" s="68">
        <f t="shared" si="82"/>
        <v>0</v>
      </c>
      <c r="AD684" s="68">
        <f t="shared" si="82"/>
        <v>0</v>
      </c>
      <c r="AE684" s="68">
        <f t="shared" si="82"/>
        <v>0</v>
      </c>
      <c r="AF684" s="68">
        <f t="shared" si="82"/>
        <v>0</v>
      </c>
      <c r="AG684" s="68">
        <f t="shared" si="82"/>
        <v>0</v>
      </c>
      <c r="AH684" s="68">
        <f t="shared" si="82"/>
        <v>0</v>
      </c>
      <c r="AI684" s="68">
        <f t="shared" si="82"/>
        <v>0</v>
      </c>
      <c r="AJ684" s="68">
        <f t="shared" si="82"/>
        <v>0</v>
      </c>
      <c r="AK684" s="68">
        <f t="shared" si="82"/>
        <v>0</v>
      </c>
      <c r="AL684" s="68">
        <f t="shared" si="82"/>
        <v>0</v>
      </c>
      <c r="AM684" s="68">
        <f t="shared" si="82"/>
        <v>0</v>
      </c>
      <c r="AO684" s="68">
        <f t="shared" si="82"/>
        <v>0</v>
      </c>
      <c r="AP684" s="68">
        <f t="shared" si="82"/>
        <v>0</v>
      </c>
      <c r="AQ684" s="68">
        <f t="shared" si="82"/>
        <v>0</v>
      </c>
      <c r="AR684" s="94">
        <f t="shared" si="78"/>
        <v>1129343.06</v>
      </c>
      <c r="AS684" s="68">
        <f t="shared" ref="AS684:CC684" si="83">SUM(AS488:AS683)</f>
        <v>865594.48</v>
      </c>
      <c r="AT684" s="68">
        <f t="shared" si="83"/>
        <v>111448.89999999998</v>
      </c>
      <c r="AU684" s="68">
        <f t="shared" si="83"/>
        <v>150647.20000000001</v>
      </c>
      <c r="AV684" s="68">
        <f t="shared" si="83"/>
        <v>1652.48</v>
      </c>
      <c r="AW684" s="68">
        <f t="shared" si="83"/>
        <v>0</v>
      </c>
      <c r="AX684" s="68">
        <f t="shared" si="83"/>
        <v>0</v>
      </c>
      <c r="AY684" s="68">
        <f t="shared" si="83"/>
        <v>0</v>
      </c>
      <c r="AZ684" s="68">
        <f t="shared" si="83"/>
        <v>0</v>
      </c>
      <c r="BA684" s="68">
        <f t="shared" si="83"/>
        <v>0</v>
      </c>
      <c r="BB684" s="68">
        <f t="shared" si="83"/>
        <v>0</v>
      </c>
      <c r="BC684" s="68">
        <f t="shared" si="83"/>
        <v>0</v>
      </c>
      <c r="BD684" s="68">
        <f t="shared" si="83"/>
        <v>0</v>
      </c>
      <c r="BE684" s="68">
        <f t="shared" si="83"/>
        <v>0</v>
      </c>
      <c r="BF684" s="68">
        <f t="shared" si="83"/>
        <v>0</v>
      </c>
      <c r="BG684" s="68">
        <f t="shared" si="83"/>
        <v>0</v>
      </c>
      <c r="BH684" s="68">
        <f t="shared" si="83"/>
        <v>0</v>
      </c>
      <c r="BI684" s="68">
        <f t="shared" si="83"/>
        <v>0</v>
      </c>
      <c r="BJ684" s="68">
        <f t="shared" si="83"/>
        <v>0</v>
      </c>
      <c r="BK684" s="68">
        <f t="shared" si="83"/>
        <v>0</v>
      </c>
      <c r="BL684" s="68">
        <f t="shared" si="83"/>
        <v>0</v>
      </c>
      <c r="BM684" s="68">
        <f t="shared" si="83"/>
        <v>0</v>
      </c>
      <c r="BN684" s="68">
        <f t="shared" si="83"/>
        <v>0</v>
      </c>
      <c r="BO684" s="68">
        <f t="shared" si="83"/>
        <v>0</v>
      </c>
      <c r="BP684" s="68">
        <f t="shared" si="83"/>
        <v>0</v>
      </c>
      <c r="BQ684" s="68">
        <f t="shared" si="83"/>
        <v>0</v>
      </c>
      <c r="BR684" s="68">
        <f t="shared" si="83"/>
        <v>0</v>
      </c>
      <c r="BS684" s="68">
        <f t="shared" si="83"/>
        <v>0</v>
      </c>
      <c r="BT684" s="68">
        <f t="shared" si="83"/>
        <v>0</v>
      </c>
      <c r="BU684" s="68">
        <f t="shared" si="83"/>
        <v>0</v>
      </c>
      <c r="BV684" s="68">
        <f t="shared" si="83"/>
        <v>0</v>
      </c>
      <c r="BW684" s="68">
        <f t="shared" si="83"/>
        <v>0</v>
      </c>
      <c r="BX684" s="68">
        <f t="shared" si="83"/>
        <v>0</v>
      </c>
      <c r="BY684" s="68">
        <f t="shared" si="83"/>
        <v>0</v>
      </c>
      <c r="CA684" s="68">
        <f t="shared" si="83"/>
        <v>0</v>
      </c>
      <c r="CB684" s="68">
        <f t="shared" si="83"/>
        <v>0</v>
      </c>
      <c r="CC684" s="68">
        <f t="shared" si="83"/>
        <v>0</v>
      </c>
      <c r="CD684" s="94">
        <f t="shared" si="79"/>
        <v>1129343.06</v>
      </c>
      <c r="CE684" s="73">
        <f t="shared" si="80"/>
        <v>0</v>
      </c>
      <c r="CF684" s="75">
        <f t="shared" si="81"/>
        <v>0</v>
      </c>
      <c r="CG684" s="69">
        <f t="shared" si="81"/>
        <v>0</v>
      </c>
      <c r="CH684" s="68">
        <f>SUM(CH488:CH683)</f>
        <v>0</v>
      </c>
    </row>
    <row r="685" spans="2:86" x14ac:dyDescent="0.25">
      <c r="B685" s="82">
        <v>4505</v>
      </c>
      <c r="C685" s="78">
        <v>5681</v>
      </c>
      <c r="D685" s="69" t="s">
        <v>121</v>
      </c>
      <c r="E685" s="69" t="s">
        <v>2895</v>
      </c>
      <c r="F685" s="69" t="s">
        <v>220</v>
      </c>
      <c r="G685" s="69">
        <v>5228.24</v>
      </c>
      <c r="T685" s="69"/>
      <c r="U685" s="69"/>
      <c r="AR685" s="94">
        <f t="shared" si="78"/>
        <v>5228.24</v>
      </c>
      <c r="AS685" s="69">
        <v>3736.5</v>
      </c>
      <c r="AT685" s="69">
        <f>18.92+29.4</f>
        <v>48.32</v>
      </c>
      <c r="AU685" s="69">
        <f>1081.32+178.36</f>
        <v>1259.6799999999998</v>
      </c>
      <c r="AV685" s="69">
        <f>179.72+2.23</f>
        <v>181.95</v>
      </c>
      <c r="BC685" s="69"/>
      <c r="BD685" s="69"/>
      <c r="CC685" s="69">
        <v>1.79</v>
      </c>
      <c r="CD685" s="94">
        <f t="shared" si="79"/>
        <v>5228.24</v>
      </c>
      <c r="CE685" s="73">
        <f t="shared" si="80"/>
        <v>0</v>
      </c>
      <c r="CF685" s="75">
        <f t="shared" si="81"/>
        <v>5681</v>
      </c>
      <c r="CG685" s="69" t="str">
        <f t="shared" si="81"/>
        <v>ماليزى اسنان</v>
      </c>
    </row>
    <row r="686" spans="2:86" x14ac:dyDescent="0.25">
      <c r="B686" s="82">
        <v>4452</v>
      </c>
      <c r="C686" s="78">
        <v>5682</v>
      </c>
      <c r="D686" s="69" t="s">
        <v>78</v>
      </c>
      <c r="E686" s="69" t="s">
        <v>2896</v>
      </c>
      <c r="F686" s="69" t="s">
        <v>220</v>
      </c>
      <c r="G686" s="69">
        <v>5261.76</v>
      </c>
      <c r="T686" s="69"/>
      <c r="U686" s="69"/>
      <c r="AR686" s="94">
        <f t="shared" si="78"/>
        <v>5261.76</v>
      </c>
      <c r="AS686" s="69">
        <v>3891.7</v>
      </c>
      <c r="AT686" s="69">
        <f>21.44+29.6</f>
        <v>51.040000000000006</v>
      </c>
      <c r="AU686" s="69">
        <f>1088.27+179.51</f>
        <v>1267.78</v>
      </c>
      <c r="AV686" s="69">
        <f>49+2.24</f>
        <v>51.24</v>
      </c>
      <c r="BC686" s="69"/>
      <c r="BD686" s="69"/>
      <c r="CD686" s="94">
        <f t="shared" si="79"/>
        <v>5261.7599999999993</v>
      </c>
      <c r="CE686" s="73">
        <f t="shared" si="80"/>
        <v>0</v>
      </c>
      <c r="CF686" s="75">
        <f t="shared" si="81"/>
        <v>5682</v>
      </c>
      <c r="CG686" s="69" t="str">
        <f t="shared" si="81"/>
        <v>برنامج دولى</v>
      </c>
    </row>
    <row r="687" spans="2:86" x14ac:dyDescent="0.25">
      <c r="B687" s="82">
        <v>4453</v>
      </c>
      <c r="C687" s="78">
        <v>5683</v>
      </c>
      <c r="D687" s="69" t="s">
        <v>78</v>
      </c>
      <c r="E687" s="69" t="s">
        <v>2896</v>
      </c>
      <c r="F687" s="69" t="s">
        <v>220</v>
      </c>
      <c r="G687" s="69">
        <v>5223.13</v>
      </c>
      <c r="T687" s="69"/>
      <c r="U687" s="69"/>
      <c r="AR687" s="94">
        <f t="shared" si="78"/>
        <v>5223.13</v>
      </c>
      <c r="AS687" s="69">
        <v>3911.52</v>
      </c>
      <c r="AT687" s="69">
        <f>18.53+29.4</f>
        <v>47.93</v>
      </c>
      <c r="AU687" s="69">
        <f>1080.26+178.19</f>
        <v>1258.45</v>
      </c>
      <c r="AV687" s="69">
        <f>3+2.23</f>
        <v>5.23</v>
      </c>
      <c r="BC687" s="69"/>
      <c r="BD687" s="69"/>
      <c r="CD687" s="94">
        <f t="shared" si="79"/>
        <v>5223.1299999999992</v>
      </c>
      <c r="CE687" s="73">
        <f t="shared" si="80"/>
        <v>0</v>
      </c>
      <c r="CF687" s="75">
        <f t="shared" si="81"/>
        <v>5683</v>
      </c>
      <c r="CG687" s="69" t="str">
        <f t="shared" si="81"/>
        <v>برنامج دولى</v>
      </c>
    </row>
    <row r="688" spans="2:86" x14ac:dyDescent="0.25">
      <c r="B688" s="82">
        <v>4450</v>
      </c>
      <c r="C688" s="78">
        <v>5684</v>
      </c>
      <c r="D688" s="69" t="s">
        <v>78</v>
      </c>
      <c r="E688" s="69" t="s">
        <v>2896</v>
      </c>
      <c r="F688" s="69" t="s">
        <v>220</v>
      </c>
      <c r="G688" s="69">
        <v>10484.89</v>
      </c>
      <c r="T688" s="69"/>
      <c r="U688" s="69"/>
      <c r="AR688" s="94">
        <f t="shared" si="78"/>
        <v>10484.89</v>
      </c>
      <c r="AS688" s="69">
        <v>7727.22</v>
      </c>
      <c r="AT688" s="69">
        <f>39.97+59</f>
        <v>98.97</v>
      </c>
      <c r="AU688" s="69">
        <f>2168.53+357.7</f>
        <v>2526.23</v>
      </c>
      <c r="AV688" s="69">
        <f>128+4.47</f>
        <v>132.47</v>
      </c>
      <c r="BC688" s="69"/>
      <c r="BD688" s="69"/>
      <c r="CD688" s="94">
        <f t="shared" si="79"/>
        <v>10484.89</v>
      </c>
      <c r="CE688" s="73">
        <f t="shared" si="80"/>
        <v>0</v>
      </c>
      <c r="CF688" s="75">
        <f t="shared" si="81"/>
        <v>5684</v>
      </c>
      <c r="CG688" s="69" t="str">
        <f t="shared" si="81"/>
        <v>برنامج دولى</v>
      </c>
    </row>
    <row r="689" spans="2:85" x14ac:dyDescent="0.25">
      <c r="B689" s="82">
        <v>4449</v>
      </c>
      <c r="C689" s="78">
        <v>5685</v>
      </c>
      <c r="D689" s="69" t="s">
        <v>78</v>
      </c>
      <c r="E689" s="69" t="s">
        <v>2896</v>
      </c>
      <c r="F689" s="69" t="s">
        <v>220</v>
      </c>
      <c r="G689" s="69">
        <v>11102.78</v>
      </c>
      <c r="T689" s="69"/>
      <c r="U689" s="69"/>
      <c r="AR689" s="94">
        <f t="shared" si="78"/>
        <v>11102.78</v>
      </c>
      <c r="AS689" s="69">
        <v>8267.92</v>
      </c>
      <c r="AT689" s="69">
        <f>86.52+62.5</f>
        <v>149.01999999999998</v>
      </c>
      <c r="AU689" s="69">
        <f>2296.32+378.78</f>
        <v>2675.1000000000004</v>
      </c>
      <c r="AV689" s="69">
        <f>6+4.74</f>
        <v>10.74</v>
      </c>
      <c r="BC689" s="69"/>
      <c r="BD689" s="69"/>
      <c r="CD689" s="94">
        <f t="shared" si="79"/>
        <v>11102.78</v>
      </c>
      <c r="CE689" s="73">
        <f t="shared" si="80"/>
        <v>0</v>
      </c>
      <c r="CF689" s="75">
        <f t="shared" si="81"/>
        <v>5685</v>
      </c>
      <c r="CG689" s="69" t="str">
        <f t="shared" si="81"/>
        <v>برنامج دولى</v>
      </c>
    </row>
    <row r="690" spans="2:85" x14ac:dyDescent="0.25">
      <c r="B690" s="82">
        <v>4448</v>
      </c>
      <c r="C690" s="78">
        <v>5686</v>
      </c>
      <c r="D690" s="69" t="s">
        <v>78</v>
      </c>
      <c r="E690" s="69" t="s">
        <v>2896</v>
      </c>
      <c r="F690" s="69" t="s">
        <v>220</v>
      </c>
      <c r="G690" s="69">
        <v>5261.76</v>
      </c>
      <c r="T690" s="69"/>
      <c r="U690" s="69"/>
      <c r="AR690" s="94">
        <f t="shared" si="78"/>
        <v>5261.76</v>
      </c>
      <c r="AS690" s="69">
        <v>3937.7</v>
      </c>
      <c r="AT690" s="69">
        <f>21.44+29.6</f>
        <v>51.040000000000006</v>
      </c>
      <c r="AU690" s="69">
        <f>1088.27+179.51</f>
        <v>1267.78</v>
      </c>
      <c r="AV690" s="69">
        <f>3+2.24</f>
        <v>5.24</v>
      </c>
      <c r="BC690" s="69"/>
      <c r="BD690" s="69"/>
      <c r="CD690" s="94">
        <f t="shared" si="79"/>
        <v>5261.7599999999993</v>
      </c>
      <c r="CE690" s="73">
        <f t="shared" si="80"/>
        <v>0</v>
      </c>
      <c r="CF690" s="75">
        <f t="shared" si="81"/>
        <v>5686</v>
      </c>
      <c r="CG690" s="69" t="str">
        <f t="shared" si="81"/>
        <v>برنامج دولى</v>
      </c>
    </row>
    <row r="691" spans="2:85" x14ac:dyDescent="0.25">
      <c r="B691" s="82">
        <v>4451</v>
      </c>
      <c r="C691" s="78">
        <v>5687</v>
      </c>
      <c r="D691" s="69" t="s">
        <v>78</v>
      </c>
      <c r="E691" s="69" t="s">
        <v>2896</v>
      </c>
      <c r="F691" s="69" t="s">
        <v>220</v>
      </c>
      <c r="G691" s="69">
        <v>5551.27</v>
      </c>
      <c r="T691" s="69"/>
      <c r="U691" s="69"/>
      <c r="AR691" s="94">
        <f t="shared" si="78"/>
        <v>5551.27</v>
      </c>
      <c r="AS691" s="69">
        <v>4133.87</v>
      </c>
      <c r="AT691" s="69">
        <f>43.25+31.25</f>
        <v>74.5</v>
      </c>
      <c r="AU691" s="69">
        <f>1148.14+189.39</f>
        <v>1337.5300000000002</v>
      </c>
      <c r="AV691" s="69">
        <f>3+2.37</f>
        <v>5.37</v>
      </c>
      <c r="BC691" s="69"/>
      <c r="BD691" s="69"/>
      <c r="CD691" s="94">
        <f t="shared" si="79"/>
        <v>5551.2699999999995</v>
      </c>
      <c r="CE691" s="73">
        <f t="shared" si="80"/>
        <v>0</v>
      </c>
      <c r="CF691" s="75">
        <f t="shared" si="81"/>
        <v>5687</v>
      </c>
      <c r="CG691" s="69" t="str">
        <f t="shared" si="81"/>
        <v>برنامج دولى</v>
      </c>
    </row>
    <row r="692" spans="2:85" x14ac:dyDescent="0.25">
      <c r="B692" s="82">
        <v>4454</v>
      </c>
      <c r="C692" s="78">
        <v>5688</v>
      </c>
      <c r="D692" s="69" t="s">
        <v>78</v>
      </c>
      <c r="E692" s="69" t="s">
        <v>2896</v>
      </c>
      <c r="F692" s="69" t="s">
        <v>220</v>
      </c>
      <c r="G692" s="69">
        <v>10813.03</v>
      </c>
      <c r="T692" s="69"/>
      <c r="U692" s="69"/>
      <c r="AR692" s="94">
        <f t="shared" si="78"/>
        <v>10813.03</v>
      </c>
      <c r="AS692" s="69">
        <v>7812.35</v>
      </c>
      <c r="AT692" s="69">
        <f>50.32+59.75</f>
        <v>110.07</v>
      </c>
      <c r="AU692" s="69">
        <f>2236.41+368.9</f>
        <v>2605.31</v>
      </c>
      <c r="AV692" s="69">
        <f>136+4.54</f>
        <v>140.54</v>
      </c>
      <c r="AW692" s="69">
        <v>144.76</v>
      </c>
      <c r="BC692" s="69"/>
      <c r="BD692" s="69"/>
      <c r="CD692" s="94">
        <f t="shared" si="79"/>
        <v>10813.03</v>
      </c>
      <c r="CE692" s="73">
        <f t="shared" si="80"/>
        <v>0</v>
      </c>
      <c r="CF692" s="75">
        <f t="shared" si="81"/>
        <v>5688</v>
      </c>
      <c r="CG692" s="69" t="str">
        <f t="shared" si="81"/>
        <v>برنامج دولى</v>
      </c>
    </row>
    <row r="693" spans="2:85" x14ac:dyDescent="0.25">
      <c r="B693" s="82">
        <v>4459</v>
      </c>
      <c r="C693" s="78">
        <v>5689</v>
      </c>
      <c r="D693" s="69" t="s">
        <v>78</v>
      </c>
      <c r="E693" s="69" t="s">
        <v>2896</v>
      </c>
      <c r="F693" s="69" t="s">
        <v>220</v>
      </c>
      <c r="G693" s="69">
        <v>9445.44</v>
      </c>
      <c r="T693" s="69"/>
      <c r="U693" s="69"/>
      <c r="AR693" s="94">
        <f t="shared" si="78"/>
        <v>9445.44</v>
      </c>
      <c r="AS693" s="69">
        <v>6534.08</v>
      </c>
      <c r="AT693" s="69">
        <f>43.25+50.05</f>
        <v>93.3</v>
      </c>
      <c r="AU693" s="69">
        <f>2296.28+378.78</f>
        <v>2675.0600000000004</v>
      </c>
      <c r="AV693" s="69">
        <f>6+3.91</f>
        <v>9.91</v>
      </c>
      <c r="AX693" s="69">
        <v>133.09</v>
      </c>
      <c r="BC693" s="69"/>
      <c r="BD693" s="69"/>
      <c r="CD693" s="94">
        <f t="shared" si="79"/>
        <v>9445.44</v>
      </c>
      <c r="CE693" s="73">
        <f t="shared" si="80"/>
        <v>0</v>
      </c>
      <c r="CF693" s="75">
        <f t="shared" si="81"/>
        <v>5689</v>
      </c>
      <c r="CG693" s="69" t="str">
        <f t="shared" si="81"/>
        <v>برنامج دولى</v>
      </c>
    </row>
    <row r="694" spans="2:85" x14ac:dyDescent="0.25">
      <c r="B694" s="82">
        <v>4455</v>
      </c>
      <c r="C694" s="78">
        <v>5690</v>
      </c>
      <c r="D694" s="69" t="s">
        <v>78</v>
      </c>
      <c r="E694" s="69" t="s">
        <v>2896</v>
      </c>
      <c r="F694" s="69" t="s">
        <v>220</v>
      </c>
      <c r="G694" s="69">
        <v>9138.7000000000007</v>
      </c>
      <c r="T694" s="69"/>
      <c r="U694" s="69"/>
      <c r="AR694" s="94">
        <f t="shared" si="78"/>
        <v>9138.7000000000007</v>
      </c>
      <c r="AS694" s="69">
        <v>6457.34</v>
      </c>
      <c r="AT694" s="69">
        <f>20.14+48.3</f>
        <v>68.44</v>
      </c>
      <c r="AU694" s="69">
        <f>2232.83+368.31</f>
        <v>2601.14</v>
      </c>
      <c r="AV694" s="69">
        <f>8+3.78</f>
        <v>11.78</v>
      </c>
      <c r="BC694" s="69"/>
      <c r="BD694" s="69"/>
      <c r="CD694" s="94">
        <f t="shared" si="79"/>
        <v>9138.7000000000007</v>
      </c>
      <c r="CE694" s="73">
        <f t="shared" si="80"/>
        <v>0</v>
      </c>
      <c r="CF694" s="75">
        <f t="shared" si="81"/>
        <v>5690</v>
      </c>
      <c r="CG694" s="69" t="str">
        <f t="shared" si="81"/>
        <v>برنامج دولى</v>
      </c>
    </row>
    <row r="695" spans="2:85" x14ac:dyDescent="0.25">
      <c r="B695" s="82">
        <v>4457</v>
      </c>
      <c r="C695" s="78">
        <v>5691</v>
      </c>
      <c r="D695" s="69" t="s">
        <v>78</v>
      </c>
      <c r="E695" s="69" t="s">
        <v>2896</v>
      </c>
      <c r="F695" s="69" t="s">
        <v>220</v>
      </c>
      <c r="G695" s="69">
        <v>37504.400000000001</v>
      </c>
      <c r="T695" s="69"/>
      <c r="U695" s="69"/>
      <c r="AR695" s="94">
        <f t="shared" si="78"/>
        <v>37504.400000000001</v>
      </c>
      <c r="AS695" s="69">
        <v>27052.22</v>
      </c>
      <c r="AT695" s="69">
        <f>181.06+211.05</f>
        <v>392.11</v>
      </c>
      <c r="AU695" s="69">
        <f>7756.85+1279.5</f>
        <v>9036.35</v>
      </c>
      <c r="AV695" s="69">
        <f>374.53+633.2+15.99</f>
        <v>1023.72</v>
      </c>
      <c r="BC695" s="69"/>
      <c r="BD695" s="69"/>
      <c r="CD695" s="94">
        <f t="shared" si="79"/>
        <v>37504.400000000001</v>
      </c>
      <c r="CE695" s="73">
        <f t="shared" si="80"/>
        <v>0</v>
      </c>
      <c r="CF695" s="75">
        <f t="shared" si="81"/>
        <v>5691</v>
      </c>
      <c r="CG695" s="69" t="str">
        <f t="shared" si="81"/>
        <v>برنامج دولى</v>
      </c>
    </row>
    <row r="696" spans="2:85" x14ac:dyDescent="0.25">
      <c r="B696" s="82">
        <v>4456</v>
      </c>
      <c r="C696" s="78">
        <v>5692</v>
      </c>
      <c r="D696" s="69" t="s">
        <v>78</v>
      </c>
      <c r="E696" s="69" t="s">
        <v>2896</v>
      </c>
      <c r="F696" s="69" t="s">
        <v>220</v>
      </c>
      <c r="G696" s="69">
        <v>66867.759999999995</v>
      </c>
      <c r="T696" s="69"/>
      <c r="U696" s="69"/>
      <c r="AR696" s="94">
        <f t="shared" si="78"/>
        <v>66867.759999999995</v>
      </c>
      <c r="AS696" s="69">
        <v>49503.64</v>
      </c>
      <c r="AT696" s="69">
        <f>531.28+378.1</f>
        <v>909.38</v>
      </c>
      <c r="AU696" s="69">
        <f>13829.88+2281.27</f>
        <v>16111.15</v>
      </c>
      <c r="AV696" s="69">
        <f>168+28.46</f>
        <v>196.46</v>
      </c>
      <c r="AW696" s="69">
        <f>60.46+0.86+60.11+9.05+16.65</f>
        <v>147.13000000000002</v>
      </c>
      <c r="BC696" s="69"/>
      <c r="BD696" s="69"/>
      <c r="CD696" s="94">
        <f t="shared" si="79"/>
        <v>66867.760000000009</v>
      </c>
      <c r="CE696" s="73">
        <f t="shared" si="80"/>
        <v>0</v>
      </c>
      <c r="CF696" s="75">
        <f t="shared" si="81"/>
        <v>5692</v>
      </c>
      <c r="CG696" s="69" t="str">
        <f t="shared" si="81"/>
        <v>برنامج دولى</v>
      </c>
    </row>
    <row r="697" spans="2:85" x14ac:dyDescent="0.25">
      <c r="B697" s="82">
        <v>4461</v>
      </c>
      <c r="C697" s="78">
        <v>5693</v>
      </c>
      <c r="D697" s="69" t="s">
        <v>78</v>
      </c>
      <c r="E697" s="69" t="s">
        <v>2896</v>
      </c>
      <c r="F697" s="69" t="s">
        <v>220</v>
      </c>
      <c r="G697" s="69">
        <v>5261.76</v>
      </c>
      <c r="T697" s="69"/>
      <c r="U697" s="69"/>
      <c r="AR697" s="94">
        <f t="shared" si="78"/>
        <v>5261.76</v>
      </c>
      <c r="AS697" s="69">
        <v>3879.7</v>
      </c>
      <c r="AT697" s="69">
        <f>21.44+29.6</f>
        <v>51.040000000000006</v>
      </c>
      <c r="AU697" s="69">
        <f>1088.27+179.51</f>
        <v>1267.78</v>
      </c>
      <c r="AV697" s="69">
        <f>61+2.24</f>
        <v>63.24</v>
      </c>
      <c r="BC697" s="69"/>
      <c r="BD697" s="69"/>
      <c r="CD697" s="94">
        <f t="shared" si="79"/>
        <v>5261.7599999999993</v>
      </c>
      <c r="CE697" s="73">
        <f t="shared" si="80"/>
        <v>0</v>
      </c>
      <c r="CF697" s="75">
        <f t="shared" si="81"/>
        <v>5693</v>
      </c>
      <c r="CG697" s="69" t="str">
        <f t="shared" si="81"/>
        <v>برنامج دولى</v>
      </c>
    </row>
    <row r="698" spans="2:85" x14ac:dyDescent="0.25">
      <c r="B698" s="82">
        <v>4462</v>
      </c>
      <c r="C698" s="78">
        <v>5694</v>
      </c>
      <c r="D698" s="69" t="s">
        <v>78</v>
      </c>
      <c r="E698" s="69" t="s">
        <v>2896</v>
      </c>
      <c r="F698" s="69" t="s">
        <v>220</v>
      </c>
      <c r="G698" s="69">
        <v>5261.76</v>
      </c>
      <c r="T698" s="69"/>
      <c r="U698" s="69"/>
      <c r="AR698" s="94">
        <f t="shared" si="78"/>
        <v>5261.76</v>
      </c>
      <c r="AS698" s="69">
        <v>3917.14</v>
      </c>
      <c r="AT698" s="69">
        <f>19.15+29.45</f>
        <v>48.599999999999994</v>
      </c>
      <c r="AU698" s="69">
        <f>1088.27+179.51+23</f>
        <v>1290.78</v>
      </c>
      <c r="AV698" s="69">
        <f>3+2.24</f>
        <v>5.24</v>
      </c>
      <c r="BC698" s="69"/>
      <c r="BD698" s="69"/>
      <c r="CD698" s="94">
        <f t="shared" si="79"/>
        <v>5261.7599999999993</v>
      </c>
      <c r="CE698" s="73">
        <f t="shared" si="80"/>
        <v>0</v>
      </c>
      <c r="CF698" s="75">
        <f t="shared" si="81"/>
        <v>5694</v>
      </c>
      <c r="CG698" s="69" t="str">
        <f t="shared" si="81"/>
        <v>برنامج دولى</v>
      </c>
    </row>
    <row r="699" spans="2:85" x14ac:dyDescent="0.25">
      <c r="B699" s="82">
        <v>4463</v>
      </c>
      <c r="C699" s="78">
        <v>5695</v>
      </c>
      <c r="D699" s="69" t="s">
        <v>78</v>
      </c>
      <c r="E699" s="69" t="s">
        <v>2896</v>
      </c>
      <c r="F699" s="69" t="s">
        <v>220</v>
      </c>
      <c r="G699" s="69">
        <v>5261.76</v>
      </c>
      <c r="T699" s="69"/>
      <c r="U699" s="69"/>
      <c r="AR699" s="94">
        <f t="shared" si="78"/>
        <v>5261.76</v>
      </c>
      <c r="AS699" s="69">
        <v>2292.6999999999998</v>
      </c>
      <c r="AT699" s="69">
        <f>21.44+29.6</f>
        <v>51.040000000000006</v>
      </c>
      <c r="AU699" s="69">
        <f>1088.27+179.51</f>
        <v>1267.78</v>
      </c>
      <c r="AV699" s="69">
        <f>848+800+2.24</f>
        <v>1650.24</v>
      </c>
      <c r="BC699" s="69"/>
      <c r="BD699" s="69"/>
      <c r="CD699" s="94">
        <f t="shared" si="79"/>
        <v>5261.7599999999993</v>
      </c>
      <c r="CE699" s="73">
        <f t="shared" si="80"/>
        <v>0</v>
      </c>
      <c r="CF699" s="75">
        <f t="shared" si="81"/>
        <v>5695</v>
      </c>
      <c r="CG699" s="69" t="str">
        <f t="shared" si="81"/>
        <v>برنامج دولى</v>
      </c>
    </row>
    <row r="700" spans="2:85" x14ac:dyDescent="0.25">
      <c r="B700" s="82">
        <v>4460</v>
      </c>
      <c r="C700" s="78">
        <v>5696</v>
      </c>
      <c r="D700" s="69" t="s">
        <v>78</v>
      </c>
      <c r="E700" s="69" t="s">
        <v>2896</v>
      </c>
      <c r="F700" s="69" t="s">
        <v>220</v>
      </c>
      <c r="G700" s="69">
        <v>5261.76</v>
      </c>
      <c r="T700" s="69"/>
      <c r="U700" s="69"/>
      <c r="AR700" s="94">
        <f t="shared" si="78"/>
        <v>5261.76</v>
      </c>
      <c r="AS700" s="69">
        <v>3389.84</v>
      </c>
      <c r="AT700" s="69">
        <v>25.3</v>
      </c>
      <c r="AU700" s="69">
        <f>1088.27+179.51</f>
        <v>1267.78</v>
      </c>
      <c r="AV700" s="69">
        <f>3+1.96</f>
        <v>4.96</v>
      </c>
      <c r="AW700" s="69">
        <v>573.88</v>
      </c>
      <c r="BC700" s="69"/>
      <c r="BD700" s="69"/>
      <c r="CD700" s="94">
        <f t="shared" si="79"/>
        <v>5261.76</v>
      </c>
      <c r="CE700" s="73">
        <f t="shared" si="80"/>
        <v>0</v>
      </c>
      <c r="CF700" s="75">
        <f t="shared" si="81"/>
        <v>5696</v>
      </c>
      <c r="CG700" s="69" t="str">
        <f t="shared" si="81"/>
        <v>برنامج دولى</v>
      </c>
    </row>
    <row r="701" spans="2:85" x14ac:dyDescent="0.25">
      <c r="B701" s="82">
        <v>4465</v>
      </c>
      <c r="C701" s="78">
        <v>5697</v>
      </c>
      <c r="D701" s="69" t="s">
        <v>78</v>
      </c>
      <c r="E701" s="69" t="s">
        <v>2896</v>
      </c>
      <c r="F701" s="69" t="s">
        <v>220</v>
      </c>
      <c r="G701" s="69">
        <v>5271.79</v>
      </c>
      <c r="T701" s="69"/>
      <c r="U701" s="69"/>
      <c r="AR701" s="94">
        <f t="shared" si="78"/>
        <v>5271.79</v>
      </c>
      <c r="AS701" s="69">
        <v>3476.91</v>
      </c>
      <c r="AT701" s="69">
        <f>8.34+28.6</f>
        <v>36.94</v>
      </c>
      <c r="AU701" s="69">
        <f>1090.32+179.85</f>
        <v>1270.1699999999998</v>
      </c>
      <c r="AV701" s="69">
        <f>346+2.18</f>
        <v>348.18</v>
      </c>
      <c r="AW701" s="69">
        <v>139.59</v>
      </c>
      <c r="BC701" s="69"/>
      <c r="BD701" s="69"/>
      <c r="CD701" s="94">
        <f t="shared" si="79"/>
        <v>5271.79</v>
      </c>
      <c r="CE701" s="73">
        <f t="shared" si="80"/>
        <v>0</v>
      </c>
      <c r="CF701" s="75">
        <f t="shared" si="81"/>
        <v>5697</v>
      </c>
      <c r="CG701" s="69" t="str">
        <f t="shared" si="81"/>
        <v>برنامج دولى</v>
      </c>
    </row>
    <row r="702" spans="2:85" x14ac:dyDescent="0.25">
      <c r="B702" s="82">
        <v>4458</v>
      </c>
      <c r="C702" s="78">
        <v>5698</v>
      </c>
      <c r="D702" s="69" t="s">
        <v>78</v>
      </c>
      <c r="E702" s="69" t="s">
        <v>2896</v>
      </c>
      <c r="F702" s="69" t="s">
        <v>220</v>
      </c>
      <c r="G702" s="69">
        <v>1311811.03</v>
      </c>
      <c r="T702" s="69"/>
      <c r="U702" s="69"/>
      <c r="AR702" s="94">
        <f t="shared" si="78"/>
        <v>1311811.03</v>
      </c>
      <c r="AS702" s="69">
        <v>956464.39</v>
      </c>
      <c r="AT702" s="69">
        <f>7297.44+7256.85</f>
        <v>14554.29</v>
      </c>
      <c r="AU702" s="69">
        <f>275394.63+45426.91+12</f>
        <v>320833.54000000004</v>
      </c>
      <c r="AV702" s="69">
        <f>6079.79+552.22</f>
        <v>6632.01</v>
      </c>
      <c r="AW702" s="69">
        <f>10742.55+1104.74+19.35</f>
        <v>11866.64</v>
      </c>
      <c r="AX702" s="69">
        <v>1460.16</v>
      </c>
      <c r="BC702" s="69"/>
      <c r="BD702" s="69"/>
      <c r="CD702" s="94">
        <f t="shared" si="79"/>
        <v>1311811.03</v>
      </c>
      <c r="CE702" s="73">
        <f t="shared" si="80"/>
        <v>0</v>
      </c>
      <c r="CF702" s="75">
        <f t="shared" si="81"/>
        <v>5698</v>
      </c>
      <c r="CG702" s="69" t="str">
        <f t="shared" si="81"/>
        <v>برنامج دولى</v>
      </c>
    </row>
    <row r="703" spans="2:85" x14ac:dyDescent="0.25">
      <c r="B703" s="82">
        <v>4464</v>
      </c>
      <c r="C703" s="78">
        <v>5699</v>
      </c>
      <c r="D703" s="69" t="s">
        <v>78</v>
      </c>
      <c r="E703" s="69" t="s">
        <v>2896</v>
      </c>
      <c r="F703" s="69" t="s">
        <v>220</v>
      </c>
      <c r="G703" s="69">
        <v>21405.57</v>
      </c>
      <c r="T703" s="69"/>
      <c r="U703" s="69"/>
      <c r="AR703" s="94">
        <f t="shared" si="78"/>
        <v>21405.57</v>
      </c>
      <c r="AS703" s="69">
        <v>15993.78</v>
      </c>
      <c r="AT703" s="69">
        <f>112.77+120.45</f>
        <v>233.22</v>
      </c>
      <c r="AU703" s="69">
        <f>4427.18+730.26</f>
        <v>5157.4400000000005</v>
      </c>
      <c r="AV703" s="69">
        <f>12+9.13</f>
        <v>21.130000000000003</v>
      </c>
      <c r="BC703" s="69"/>
      <c r="BD703" s="69"/>
      <c r="CD703" s="94">
        <f t="shared" si="79"/>
        <v>21405.570000000003</v>
      </c>
      <c r="CE703" s="73">
        <f t="shared" si="80"/>
        <v>0</v>
      </c>
      <c r="CF703" s="75">
        <f t="shared" si="81"/>
        <v>5699</v>
      </c>
      <c r="CG703" s="69" t="str">
        <f t="shared" si="81"/>
        <v>برنامج دولى</v>
      </c>
    </row>
    <row r="704" spans="2:85" x14ac:dyDescent="0.25">
      <c r="B704" s="82">
        <v>4468</v>
      </c>
      <c r="C704" s="78">
        <v>5700</v>
      </c>
      <c r="D704" s="69" t="s">
        <v>78</v>
      </c>
      <c r="E704" s="69" t="s">
        <v>2896</v>
      </c>
      <c r="F704" s="69" t="s">
        <v>220</v>
      </c>
      <c r="G704" s="69">
        <v>11102.54</v>
      </c>
      <c r="T704" s="69"/>
      <c r="U704" s="69"/>
      <c r="AR704" s="94">
        <f t="shared" si="78"/>
        <v>11102.54</v>
      </c>
      <c r="AS704" s="69">
        <v>8127.4</v>
      </c>
      <c r="AT704" s="69">
        <f>71.34+61.35</f>
        <v>132.69</v>
      </c>
      <c r="AU704" s="69">
        <f>2296.28+378.78</f>
        <v>2675.0600000000004</v>
      </c>
      <c r="AV704" s="69">
        <f>10+4.66</f>
        <v>14.66</v>
      </c>
      <c r="AW704" s="69">
        <v>152.72999999999999</v>
      </c>
      <c r="BC704" s="69"/>
      <c r="BD704" s="69"/>
      <c r="CD704" s="94">
        <f t="shared" si="79"/>
        <v>11102.54</v>
      </c>
      <c r="CE704" s="73">
        <f t="shared" si="80"/>
        <v>0</v>
      </c>
      <c r="CF704" s="75">
        <f t="shared" si="81"/>
        <v>5700</v>
      </c>
      <c r="CG704" s="69" t="str">
        <f t="shared" si="81"/>
        <v>برنامج دولى</v>
      </c>
    </row>
    <row r="705" spans="2:85" x14ac:dyDescent="0.25">
      <c r="B705" s="82">
        <v>4467</v>
      </c>
      <c r="C705" s="78">
        <v>5701</v>
      </c>
      <c r="D705" s="69" t="s">
        <v>78</v>
      </c>
      <c r="E705" s="69" t="s">
        <v>2896</v>
      </c>
      <c r="F705" s="69" t="s">
        <v>220</v>
      </c>
      <c r="G705" s="69">
        <f>11315.41-675.4</f>
        <v>10640.01</v>
      </c>
      <c r="T705" s="69"/>
      <c r="U705" s="69"/>
      <c r="AN705" s="69">
        <v>675.4</v>
      </c>
      <c r="AR705" s="94">
        <f t="shared" si="78"/>
        <v>11315.41</v>
      </c>
      <c r="AS705" s="69">
        <v>7370.91</v>
      </c>
      <c r="AT705" s="69">
        <f>7.06+50.35</f>
        <v>57.410000000000004</v>
      </c>
      <c r="AU705" s="69">
        <f>2340.3+386.03</f>
        <v>2726.33</v>
      </c>
      <c r="AV705" s="69">
        <f>50+3.93</f>
        <v>53.93</v>
      </c>
      <c r="AW705" s="69">
        <v>1106.83</v>
      </c>
      <c r="BC705" s="69"/>
      <c r="BD705" s="69"/>
      <c r="CD705" s="94">
        <f t="shared" si="79"/>
        <v>11315.41</v>
      </c>
      <c r="CE705" s="73">
        <f t="shared" si="80"/>
        <v>0</v>
      </c>
      <c r="CF705" s="75">
        <f t="shared" si="81"/>
        <v>5701</v>
      </c>
      <c r="CG705" s="69" t="str">
        <f t="shared" si="81"/>
        <v>برنامج دولى</v>
      </c>
    </row>
    <row r="706" spans="2:85" x14ac:dyDescent="0.25">
      <c r="B706" s="82">
        <v>4466</v>
      </c>
      <c r="C706" s="78">
        <v>5702</v>
      </c>
      <c r="D706" s="69" t="s">
        <v>78</v>
      </c>
      <c r="E706" s="69" t="s">
        <v>2896</v>
      </c>
      <c r="F706" s="69" t="s">
        <v>220</v>
      </c>
      <c r="G706" s="69">
        <v>5266.45</v>
      </c>
      <c r="T706" s="69"/>
      <c r="U706" s="69"/>
      <c r="AR706" s="94">
        <f t="shared" si="78"/>
        <v>5266.45</v>
      </c>
      <c r="AS706" s="69">
        <v>3846.85</v>
      </c>
      <c r="AT706" s="69">
        <f>21.79+29.65</f>
        <v>51.44</v>
      </c>
      <c r="AU706" s="69">
        <f>1089.24+179.67</f>
        <v>1268.9100000000001</v>
      </c>
      <c r="AV706" s="69">
        <f>97+2.25</f>
        <v>99.25</v>
      </c>
      <c r="BC706" s="69"/>
      <c r="BD706" s="69"/>
      <c r="CD706" s="94">
        <f t="shared" si="79"/>
        <v>5266.45</v>
      </c>
      <c r="CE706" s="73">
        <f t="shared" si="80"/>
        <v>0</v>
      </c>
      <c r="CF706" s="75">
        <f t="shared" si="81"/>
        <v>5702</v>
      </c>
      <c r="CG706" s="69" t="str">
        <f t="shared" si="81"/>
        <v>برنامج دولى</v>
      </c>
    </row>
    <row r="707" spans="2:85" x14ac:dyDescent="0.25">
      <c r="B707" s="82">
        <v>4470</v>
      </c>
      <c r="C707" s="78">
        <v>5703</v>
      </c>
      <c r="D707" s="69" t="s">
        <v>78</v>
      </c>
      <c r="E707" s="69" t="s">
        <v>2896</v>
      </c>
      <c r="F707" s="69" t="s">
        <v>220</v>
      </c>
      <c r="G707" s="69">
        <v>10523.52</v>
      </c>
      <c r="T707" s="69"/>
      <c r="U707" s="69"/>
      <c r="AR707" s="94">
        <f t="shared" si="78"/>
        <v>10523.52</v>
      </c>
      <c r="AS707" s="69">
        <v>7875.4</v>
      </c>
      <c r="AT707" s="69">
        <f>42.88+59.2</f>
        <v>102.08000000000001</v>
      </c>
      <c r="AU707" s="69">
        <f>2176.54+359.02</f>
        <v>2535.56</v>
      </c>
      <c r="AV707" s="69">
        <f>6+4.48</f>
        <v>10.48</v>
      </c>
      <c r="BC707" s="69"/>
      <c r="BD707" s="69"/>
      <c r="CD707" s="94">
        <f t="shared" si="79"/>
        <v>10523.519999999999</v>
      </c>
      <c r="CE707" s="73">
        <f t="shared" si="80"/>
        <v>0</v>
      </c>
      <c r="CF707" s="75">
        <f t="shared" si="81"/>
        <v>5703</v>
      </c>
      <c r="CG707" s="69" t="str">
        <f t="shared" si="81"/>
        <v>برنامج دولى</v>
      </c>
    </row>
    <row r="708" spans="2:85" x14ac:dyDescent="0.25">
      <c r="B708" s="82">
        <v>4471</v>
      </c>
      <c r="C708" s="78">
        <v>5704</v>
      </c>
      <c r="D708" s="69" t="s">
        <v>78</v>
      </c>
      <c r="E708" s="69" t="s">
        <v>2896</v>
      </c>
      <c r="F708" s="69" t="s">
        <v>220</v>
      </c>
      <c r="G708" s="69">
        <v>15708.02</v>
      </c>
      <c r="T708" s="69"/>
      <c r="U708" s="69"/>
      <c r="AR708" s="94">
        <f t="shared" si="78"/>
        <v>15708.02</v>
      </c>
      <c r="AS708" s="69">
        <v>11640.74</v>
      </c>
      <c r="AT708" s="69">
        <f>58.5+88.4</f>
        <v>146.9</v>
      </c>
      <c r="AU708" s="69">
        <f>3248.79+535.89</f>
        <v>3784.68</v>
      </c>
      <c r="AV708" s="69">
        <f>129+6.7</f>
        <v>135.69999999999999</v>
      </c>
      <c r="BC708" s="69"/>
      <c r="BD708" s="69"/>
      <c r="CD708" s="94">
        <f t="shared" si="79"/>
        <v>15708.02</v>
      </c>
      <c r="CE708" s="73">
        <f t="shared" si="80"/>
        <v>0</v>
      </c>
      <c r="CF708" s="75">
        <f t="shared" si="81"/>
        <v>5704</v>
      </c>
      <c r="CG708" s="69" t="str">
        <f t="shared" si="81"/>
        <v>برنامج دولى</v>
      </c>
    </row>
    <row r="709" spans="2:85" x14ac:dyDescent="0.25">
      <c r="B709" s="82">
        <v>4472</v>
      </c>
      <c r="C709" s="78">
        <v>5705</v>
      </c>
      <c r="D709" s="69" t="s">
        <v>78</v>
      </c>
      <c r="E709" s="69" t="s">
        <v>2896</v>
      </c>
      <c r="F709" s="69" t="s">
        <v>220</v>
      </c>
      <c r="G709" s="69">
        <v>5551.27</v>
      </c>
      <c r="T709" s="69"/>
      <c r="U709" s="69"/>
      <c r="AR709" s="94">
        <f t="shared" si="78"/>
        <v>5551.27</v>
      </c>
      <c r="AS709" s="69">
        <v>4131.87</v>
      </c>
      <c r="AT709" s="69">
        <f>43.25+31.25</f>
        <v>74.5</v>
      </c>
      <c r="AU709" s="69">
        <f>1148.14+189.39</f>
        <v>1337.5300000000002</v>
      </c>
      <c r="AV709" s="69">
        <f>5+2.37</f>
        <v>7.37</v>
      </c>
      <c r="BC709" s="69"/>
      <c r="BD709" s="69"/>
      <c r="CD709" s="94">
        <f t="shared" si="79"/>
        <v>5551.2699999999995</v>
      </c>
      <c r="CE709" s="73">
        <f t="shared" si="80"/>
        <v>0</v>
      </c>
      <c r="CF709" s="75">
        <f t="shared" si="81"/>
        <v>5705</v>
      </c>
      <c r="CG709" s="69" t="str">
        <f t="shared" si="81"/>
        <v>برنامج دولى</v>
      </c>
    </row>
    <row r="710" spans="2:85" x14ac:dyDescent="0.25">
      <c r="B710" s="82">
        <v>4473</v>
      </c>
      <c r="C710" s="78">
        <v>5706</v>
      </c>
      <c r="D710" s="69" t="s">
        <v>78</v>
      </c>
      <c r="E710" s="69" t="s">
        <v>2896</v>
      </c>
      <c r="F710" s="69" t="s">
        <v>220</v>
      </c>
      <c r="G710" s="69">
        <v>5261.76</v>
      </c>
      <c r="T710" s="69"/>
      <c r="U710" s="69"/>
      <c r="AR710" s="94">
        <f t="shared" si="78"/>
        <v>5261.76</v>
      </c>
      <c r="AS710" s="69">
        <v>2810.31</v>
      </c>
      <c r="AT710" s="69">
        <v>20.9</v>
      </c>
      <c r="AU710" s="69">
        <f>1088.27+179.51</f>
        <v>1267.78</v>
      </c>
      <c r="AV710" s="69">
        <f>3+1.66</f>
        <v>4.66</v>
      </c>
      <c r="AW710" s="69">
        <v>1158.1099999999999</v>
      </c>
      <c r="BC710" s="69"/>
      <c r="BD710" s="69"/>
      <c r="CD710" s="94">
        <f t="shared" si="79"/>
        <v>5261.7599999999993</v>
      </c>
      <c r="CE710" s="73">
        <f t="shared" si="80"/>
        <v>0</v>
      </c>
      <c r="CF710" s="75">
        <f t="shared" si="81"/>
        <v>5706</v>
      </c>
      <c r="CG710" s="69" t="str">
        <f t="shared" si="81"/>
        <v>برنامج دولى</v>
      </c>
    </row>
    <row r="711" spans="2:85" x14ac:dyDescent="0.25">
      <c r="B711" s="82">
        <v>4474</v>
      </c>
      <c r="C711" s="78">
        <v>5707</v>
      </c>
      <c r="D711" s="69" t="s">
        <v>78</v>
      </c>
      <c r="E711" s="69" t="s">
        <v>2896</v>
      </c>
      <c r="F711" s="69" t="s">
        <v>220</v>
      </c>
      <c r="G711" s="69">
        <v>5261.76</v>
      </c>
      <c r="T711" s="69"/>
      <c r="U711" s="69"/>
      <c r="AR711" s="94">
        <f t="shared" si="78"/>
        <v>5261.76</v>
      </c>
      <c r="AS711" s="69">
        <v>3937.7</v>
      </c>
      <c r="AT711" s="69">
        <f>21.44+29.6</f>
        <v>51.040000000000006</v>
      </c>
      <c r="AU711" s="69">
        <f>1088.27+179.51</f>
        <v>1267.78</v>
      </c>
      <c r="AV711" s="69">
        <f>3+2.24</f>
        <v>5.24</v>
      </c>
      <c r="BC711" s="69"/>
      <c r="BD711" s="69"/>
      <c r="CD711" s="94">
        <f t="shared" si="79"/>
        <v>5261.7599999999993</v>
      </c>
      <c r="CE711" s="73">
        <f t="shared" si="80"/>
        <v>0</v>
      </c>
      <c r="CF711" s="75">
        <f t="shared" si="81"/>
        <v>5707</v>
      </c>
      <c r="CG711" s="69" t="str">
        <f t="shared" si="81"/>
        <v>برنامج دولى</v>
      </c>
    </row>
    <row r="712" spans="2:85" x14ac:dyDescent="0.25">
      <c r="B712" s="82">
        <v>4475</v>
      </c>
      <c r="C712" s="78">
        <v>5708</v>
      </c>
      <c r="D712" s="69" t="s">
        <v>78</v>
      </c>
      <c r="E712" s="69" t="s">
        <v>2896</v>
      </c>
      <c r="F712" s="69" t="s">
        <v>220</v>
      </c>
      <c r="G712" s="69">
        <v>5551.27</v>
      </c>
      <c r="T712" s="69"/>
      <c r="U712" s="69"/>
      <c r="AR712" s="94">
        <f t="shared" si="78"/>
        <v>5551.27</v>
      </c>
      <c r="AS712" s="69">
        <v>4133.87</v>
      </c>
      <c r="AT712" s="69">
        <f>43.25+31.25</f>
        <v>74.5</v>
      </c>
      <c r="AU712" s="69">
        <f>1148.14+189.39</f>
        <v>1337.5300000000002</v>
      </c>
      <c r="AV712" s="69">
        <f>3+2.37</f>
        <v>5.37</v>
      </c>
      <c r="BC712" s="69"/>
      <c r="BD712" s="69"/>
      <c r="CD712" s="94">
        <f t="shared" si="79"/>
        <v>5551.2699999999995</v>
      </c>
      <c r="CE712" s="73">
        <f t="shared" si="80"/>
        <v>0</v>
      </c>
      <c r="CF712" s="75">
        <f t="shared" si="81"/>
        <v>5708</v>
      </c>
      <c r="CG712" s="69" t="str">
        <f t="shared" si="81"/>
        <v>برنامج دولى</v>
      </c>
    </row>
    <row r="713" spans="2:85" x14ac:dyDescent="0.25">
      <c r="B713" s="82">
        <v>4477</v>
      </c>
      <c r="C713" s="78">
        <v>5709</v>
      </c>
      <c r="D713" s="69" t="s">
        <v>78</v>
      </c>
      <c r="E713" s="69" t="s">
        <v>2896</v>
      </c>
      <c r="F713" s="69" t="s">
        <v>220</v>
      </c>
      <c r="G713" s="69">
        <v>5553.62</v>
      </c>
      <c r="T713" s="69"/>
      <c r="U713" s="69"/>
      <c r="AR713" s="94">
        <f t="shared" si="78"/>
        <v>5553.62</v>
      </c>
      <c r="AS713" s="69">
        <v>4135.47</v>
      </c>
      <c r="AT713" s="69">
        <f>43.43+31.25</f>
        <v>74.680000000000007</v>
      </c>
      <c r="AU713" s="69">
        <f>1148.63+189.47</f>
        <v>1338.1000000000001</v>
      </c>
      <c r="AV713" s="69">
        <f>3+2.37</f>
        <v>5.37</v>
      </c>
      <c r="BC713" s="69"/>
      <c r="BD713" s="69"/>
      <c r="CD713" s="94">
        <f t="shared" si="79"/>
        <v>5553.6200000000008</v>
      </c>
      <c r="CE713" s="73">
        <f t="shared" si="80"/>
        <v>0</v>
      </c>
      <c r="CF713" s="75">
        <f t="shared" si="81"/>
        <v>5709</v>
      </c>
      <c r="CG713" s="69" t="str">
        <f t="shared" si="81"/>
        <v>برنامج دولى</v>
      </c>
    </row>
    <row r="714" spans="2:85" x14ac:dyDescent="0.25">
      <c r="B714" s="82">
        <v>4476</v>
      </c>
      <c r="C714" s="78">
        <v>5710</v>
      </c>
      <c r="D714" s="69" t="s">
        <v>78</v>
      </c>
      <c r="E714" s="69" t="s">
        <v>2896</v>
      </c>
      <c r="F714" s="69" t="s">
        <v>220</v>
      </c>
      <c r="G714" s="69">
        <v>5551.27</v>
      </c>
      <c r="T714" s="69"/>
      <c r="U714" s="69"/>
      <c r="AR714" s="94">
        <f t="shared" si="78"/>
        <v>5551.27</v>
      </c>
      <c r="AS714" s="69">
        <v>4133.87</v>
      </c>
      <c r="AT714" s="69">
        <f>43.25+31.25</f>
        <v>74.5</v>
      </c>
      <c r="AU714" s="69">
        <f>1148.14+189.39</f>
        <v>1337.5300000000002</v>
      </c>
      <c r="AV714" s="69">
        <f>3+2.37</f>
        <v>5.37</v>
      </c>
      <c r="BC714" s="69"/>
      <c r="BD714" s="69"/>
      <c r="CD714" s="94">
        <f t="shared" si="79"/>
        <v>5551.2699999999995</v>
      </c>
      <c r="CE714" s="73">
        <f t="shared" si="80"/>
        <v>0</v>
      </c>
      <c r="CF714" s="75">
        <f t="shared" si="81"/>
        <v>5710</v>
      </c>
      <c r="CG714" s="69" t="str">
        <f t="shared" si="81"/>
        <v>برنامج دولى</v>
      </c>
    </row>
    <row r="715" spans="2:85" x14ac:dyDescent="0.25">
      <c r="B715" s="82">
        <v>4469</v>
      </c>
      <c r="C715" s="78">
        <v>5711</v>
      </c>
      <c r="D715" s="69" t="s">
        <v>78</v>
      </c>
      <c r="E715" s="69" t="s">
        <v>2896</v>
      </c>
      <c r="F715" s="69" t="s">
        <v>220</v>
      </c>
      <c r="G715" s="69">
        <v>5261.76</v>
      </c>
      <c r="T715" s="69"/>
      <c r="U715" s="69"/>
      <c r="AR715" s="94">
        <f t="shared" si="78"/>
        <v>5261.76</v>
      </c>
      <c r="AS715" s="69">
        <v>3781.88</v>
      </c>
      <c r="AT715" s="69">
        <f>21.44+29.6</f>
        <v>51.040000000000006</v>
      </c>
      <c r="AU715" s="69">
        <f>1088.27+179.51</f>
        <v>1267.78</v>
      </c>
      <c r="AV715" s="69">
        <f>158.82+2.24</f>
        <v>161.06</v>
      </c>
      <c r="BC715" s="69"/>
      <c r="BD715" s="69"/>
      <c r="CD715" s="94">
        <f t="shared" si="79"/>
        <v>5261.76</v>
      </c>
      <c r="CE715" s="73">
        <f t="shared" si="80"/>
        <v>0</v>
      </c>
      <c r="CF715" s="75">
        <f t="shared" si="81"/>
        <v>5711</v>
      </c>
      <c r="CG715" s="69" t="str">
        <f t="shared" si="81"/>
        <v>برنامج دولى</v>
      </c>
    </row>
    <row r="716" spans="2:85" x14ac:dyDescent="0.25">
      <c r="B716" s="82">
        <v>4478</v>
      </c>
      <c r="C716" s="78">
        <v>5712</v>
      </c>
      <c r="D716" s="69" t="s">
        <v>78</v>
      </c>
      <c r="E716" s="69" t="s">
        <v>2897</v>
      </c>
      <c r="F716" s="69" t="s">
        <v>220</v>
      </c>
      <c r="G716" s="69">
        <v>1231.47</v>
      </c>
      <c r="T716" s="69"/>
      <c r="U716" s="69"/>
      <c r="AR716" s="94">
        <f t="shared" si="78"/>
        <v>1231.47</v>
      </c>
      <c r="AT716" s="69"/>
      <c r="AU716" s="69">
        <v>1231.47</v>
      </c>
      <c r="BC716" s="69"/>
      <c r="BD716" s="69"/>
      <c r="CD716" s="94">
        <f t="shared" si="79"/>
        <v>1231.47</v>
      </c>
      <c r="CE716" s="73">
        <f t="shared" si="80"/>
        <v>0</v>
      </c>
      <c r="CF716" s="75">
        <f t="shared" si="81"/>
        <v>5712</v>
      </c>
      <c r="CG716" s="69" t="str">
        <f t="shared" si="81"/>
        <v>برنامج دولى</v>
      </c>
    </row>
    <row r="717" spans="2:85" x14ac:dyDescent="0.25">
      <c r="B717" s="82">
        <v>4504</v>
      </c>
      <c r="C717" s="78">
        <v>5713</v>
      </c>
      <c r="D717" s="69" t="s">
        <v>121</v>
      </c>
      <c r="E717" s="69" t="str">
        <f>+E714</f>
        <v>مرتبات مؤقتين ديسمبر</v>
      </c>
      <c r="F717" s="69" t="s">
        <v>220</v>
      </c>
      <c r="G717" s="69">
        <v>4979.67</v>
      </c>
      <c r="T717" s="69"/>
      <c r="U717" s="69"/>
      <c r="AR717" s="94">
        <f t="shared" si="78"/>
        <v>4979.67</v>
      </c>
      <c r="AS717" s="69">
        <v>3746.57</v>
      </c>
      <c r="AT717" s="69">
        <f>0.19+28</f>
        <v>28.19</v>
      </c>
      <c r="AU717" s="69">
        <f>1029.91+169.88</f>
        <v>1199.79</v>
      </c>
      <c r="AV717" s="69">
        <f>3+2.12</f>
        <v>5.12</v>
      </c>
      <c r="BC717" s="69"/>
      <c r="BD717" s="69"/>
      <c r="CD717" s="94">
        <f t="shared" si="79"/>
        <v>4979.67</v>
      </c>
      <c r="CE717" s="73">
        <f t="shared" si="80"/>
        <v>0</v>
      </c>
      <c r="CF717" s="75">
        <f t="shared" si="81"/>
        <v>5713</v>
      </c>
      <c r="CG717" s="69" t="str">
        <f t="shared" si="81"/>
        <v>ماليزى اسنان</v>
      </c>
    </row>
    <row r="718" spans="2:85" x14ac:dyDescent="0.25">
      <c r="B718" s="82">
        <v>4503</v>
      </c>
      <c r="C718" s="78">
        <v>5714</v>
      </c>
      <c r="D718" s="69" t="s">
        <v>121</v>
      </c>
      <c r="E718" s="69" t="str">
        <f>+E715</f>
        <v>مرتبات مؤقتين ديسمبر</v>
      </c>
      <c r="F718" s="69" t="s">
        <v>220</v>
      </c>
      <c r="G718" s="69">
        <v>117360.7</v>
      </c>
      <c r="T718" s="69"/>
      <c r="U718" s="69"/>
      <c r="AR718" s="94">
        <f t="shared" si="78"/>
        <v>117360.7</v>
      </c>
      <c r="AS718" s="69">
        <v>87822.92</v>
      </c>
      <c r="AT718" s="69">
        <f>19.98+659.6</f>
        <v>679.58</v>
      </c>
      <c r="AU718" s="69">
        <f>24272.91+4003.74</f>
        <v>28276.65</v>
      </c>
      <c r="AV718" s="69">
        <f>526.92+50.02</f>
        <v>576.93999999999994</v>
      </c>
      <c r="BC718" s="69"/>
      <c r="BD718" s="69"/>
      <c r="CC718" s="69">
        <v>4.6100000000000003</v>
      </c>
      <c r="CD718" s="94">
        <f t="shared" si="79"/>
        <v>117360.7</v>
      </c>
      <c r="CE718" s="73">
        <f t="shared" si="80"/>
        <v>0</v>
      </c>
      <c r="CF718" s="75">
        <f t="shared" si="81"/>
        <v>5714</v>
      </c>
      <c r="CG718" s="69" t="str">
        <f t="shared" si="81"/>
        <v>ماليزى اسنان</v>
      </c>
    </row>
    <row r="719" spans="2:85" x14ac:dyDescent="0.25">
      <c r="B719" s="82">
        <v>4497</v>
      </c>
      <c r="C719" s="78">
        <v>5715</v>
      </c>
      <c r="D719" s="69" t="s">
        <v>121</v>
      </c>
      <c r="E719" s="69" t="str">
        <f>+E718</f>
        <v>مرتبات مؤقتين ديسمبر</v>
      </c>
      <c r="F719" s="69" t="s">
        <v>220</v>
      </c>
      <c r="G719" s="69">
        <v>282502.82</v>
      </c>
      <c r="T719" s="69"/>
      <c r="U719" s="69"/>
      <c r="AR719" s="94">
        <f t="shared" si="78"/>
        <v>282502.82</v>
      </c>
      <c r="AS719" s="69">
        <v>209847.43</v>
      </c>
      <c r="AT719" s="69">
        <f>1409.81+1589.4</f>
        <v>2999.21</v>
      </c>
      <c r="AU719" s="69">
        <f>58428.08+9637.57</f>
        <v>68065.649999999994</v>
      </c>
      <c r="AV719" s="69">
        <f>1457.01+120.41</f>
        <v>1577.42</v>
      </c>
      <c r="BC719" s="69"/>
      <c r="BD719" s="69"/>
      <c r="CC719" s="69">
        <v>13.11</v>
      </c>
      <c r="CD719" s="94">
        <f t="shared" si="79"/>
        <v>282502.81999999995</v>
      </c>
      <c r="CE719" s="73">
        <f t="shared" si="80"/>
        <v>0</v>
      </c>
      <c r="CF719" s="75">
        <f t="shared" si="81"/>
        <v>5715</v>
      </c>
      <c r="CG719" s="69" t="str">
        <f t="shared" si="81"/>
        <v>ماليزى اسنان</v>
      </c>
    </row>
    <row r="720" spans="2:85" x14ac:dyDescent="0.25">
      <c r="B720" s="82">
        <v>4496</v>
      </c>
      <c r="C720" s="78">
        <v>5716</v>
      </c>
      <c r="D720" s="69" t="s">
        <v>121</v>
      </c>
      <c r="E720" s="69" t="str">
        <f>+E718</f>
        <v>مرتبات مؤقتين ديسمبر</v>
      </c>
      <c r="F720" s="69" t="s">
        <v>220</v>
      </c>
      <c r="G720" s="69">
        <v>10777.97</v>
      </c>
      <c r="T720" s="69"/>
      <c r="U720" s="69"/>
      <c r="AR720" s="94">
        <f t="shared" si="78"/>
        <v>10777.97</v>
      </c>
      <c r="AS720" s="69">
        <v>7746.12</v>
      </c>
      <c r="AT720" s="69">
        <f>38.19+60.55</f>
        <v>98.74</v>
      </c>
      <c r="AU720" s="69">
        <f>2229.13+367.69+16</f>
        <v>2612.8200000000002</v>
      </c>
      <c r="AV720" s="69">
        <f>314.83+4.59</f>
        <v>319.41999999999996</v>
      </c>
      <c r="BC720" s="69"/>
      <c r="BD720" s="69"/>
      <c r="CC720" s="69">
        <v>0.87</v>
      </c>
      <c r="CD720" s="94">
        <f t="shared" si="79"/>
        <v>10777.970000000001</v>
      </c>
      <c r="CE720" s="73">
        <f t="shared" si="80"/>
        <v>0</v>
      </c>
      <c r="CF720" s="75">
        <f t="shared" si="81"/>
        <v>5716</v>
      </c>
      <c r="CG720" s="69" t="str">
        <f t="shared" si="81"/>
        <v>ماليزى اسنان</v>
      </c>
    </row>
    <row r="721" spans="2:91" x14ac:dyDescent="0.25">
      <c r="B721" s="82">
        <v>4498</v>
      </c>
      <c r="C721" s="78">
        <v>5717</v>
      </c>
      <c r="D721" s="69" t="s">
        <v>121</v>
      </c>
      <c r="E721" s="69" t="s">
        <v>2896</v>
      </c>
      <c r="F721" s="69" t="s">
        <v>220</v>
      </c>
      <c r="G721" s="69">
        <v>5195.07</v>
      </c>
      <c r="T721" s="69"/>
      <c r="U721" s="69"/>
      <c r="AR721" s="94">
        <f t="shared" si="78"/>
        <v>5195.07</v>
      </c>
      <c r="AS721" s="69">
        <v>3805.54</v>
      </c>
      <c r="AT721" s="69">
        <f>16.42+29.2</f>
        <v>45.620000000000005</v>
      </c>
      <c r="AU721" s="69">
        <f>1074.46+177.23</f>
        <v>1251.69</v>
      </c>
      <c r="AV721" s="69">
        <f>89.13+2.22</f>
        <v>91.35</v>
      </c>
      <c r="BC721" s="69"/>
      <c r="BD721" s="69"/>
      <c r="CC721" s="69">
        <v>0.87</v>
      </c>
      <c r="CD721" s="94">
        <f t="shared" si="79"/>
        <v>5195.0700000000006</v>
      </c>
      <c r="CE721" s="73">
        <f t="shared" si="80"/>
        <v>0</v>
      </c>
      <c r="CF721" s="75">
        <f t="shared" si="81"/>
        <v>5717</v>
      </c>
      <c r="CG721" s="69" t="str">
        <f t="shared" si="81"/>
        <v>ماليزى اسنان</v>
      </c>
    </row>
    <row r="722" spans="2:91" x14ac:dyDescent="0.25">
      <c r="B722" s="82">
        <v>4499</v>
      </c>
      <c r="C722" s="78">
        <v>5718</v>
      </c>
      <c r="D722" s="69" t="s">
        <v>121</v>
      </c>
      <c r="E722" s="69" t="s">
        <v>2896</v>
      </c>
      <c r="F722" s="69" t="s">
        <v>220</v>
      </c>
      <c r="G722" s="69">
        <v>5195.07</v>
      </c>
      <c r="T722" s="69"/>
      <c r="U722" s="69"/>
      <c r="AR722" s="94">
        <f t="shared" si="78"/>
        <v>5195.07</v>
      </c>
      <c r="AS722" s="69">
        <v>3892.54</v>
      </c>
      <c r="AT722" s="69">
        <f>16.42+29.2</f>
        <v>45.620000000000005</v>
      </c>
      <c r="AU722" s="69">
        <f>1074.46+177.23</f>
        <v>1251.69</v>
      </c>
      <c r="AV722" s="69">
        <f>3+2.22</f>
        <v>5.2200000000000006</v>
      </c>
      <c r="BC722" s="69"/>
      <c r="BD722" s="69"/>
      <c r="CD722" s="94">
        <f t="shared" si="79"/>
        <v>5195.0700000000006</v>
      </c>
      <c r="CE722" s="73">
        <f t="shared" si="80"/>
        <v>0</v>
      </c>
      <c r="CF722" s="75">
        <f t="shared" si="81"/>
        <v>5718</v>
      </c>
      <c r="CG722" s="69" t="str">
        <f t="shared" si="81"/>
        <v>ماليزى اسنان</v>
      </c>
    </row>
    <row r="723" spans="2:91" x14ac:dyDescent="0.25">
      <c r="B723" s="82">
        <v>4500</v>
      </c>
      <c r="C723" s="78">
        <v>5719</v>
      </c>
      <c r="D723" s="69" t="s">
        <v>121</v>
      </c>
      <c r="E723" s="69" t="s">
        <v>2896</v>
      </c>
      <c r="F723" s="69" t="s">
        <v>220</v>
      </c>
      <c r="G723" s="69">
        <v>10436.74</v>
      </c>
      <c r="T723" s="69"/>
      <c r="U723" s="69"/>
      <c r="AR723" s="94">
        <f t="shared" si="78"/>
        <v>10436.74</v>
      </c>
      <c r="AS723" s="69">
        <v>7599.1</v>
      </c>
      <c r="AT723" s="69">
        <f>36.34+58.7</f>
        <v>95.04</v>
      </c>
      <c r="AU723" s="69">
        <f>2158.58+356.06</f>
        <v>2514.64</v>
      </c>
      <c r="AV723" s="69">
        <f>221.33+4.45</f>
        <v>225.78</v>
      </c>
      <c r="BC723" s="69"/>
      <c r="BD723" s="69"/>
      <c r="CC723" s="69">
        <v>2.1800000000000002</v>
      </c>
      <c r="CD723" s="94">
        <f t="shared" si="79"/>
        <v>10436.740000000002</v>
      </c>
      <c r="CE723" s="73">
        <f t="shared" si="80"/>
        <v>0</v>
      </c>
      <c r="CF723" s="75">
        <f t="shared" si="81"/>
        <v>5719</v>
      </c>
      <c r="CG723" s="69" t="str">
        <f t="shared" si="81"/>
        <v>ماليزى اسنان</v>
      </c>
    </row>
    <row r="724" spans="2:91" x14ac:dyDescent="0.25">
      <c r="B724" s="82">
        <v>4502</v>
      </c>
      <c r="C724" s="78">
        <v>5720</v>
      </c>
      <c r="D724" s="69" t="s">
        <v>121</v>
      </c>
      <c r="E724" s="69" t="s">
        <v>2896</v>
      </c>
      <c r="F724" s="69" t="s">
        <v>220</v>
      </c>
      <c r="G724" s="69">
        <v>31684.02</v>
      </c>
      <c r="T724" s="69"/>
      <c r="U724" s="69"/>
      <c r="AR724" s="94">
        <f t="shared" si="78"/>
        <v>31684.02</v>
      </c>
      <c r="AS724" s="69">
        <v>23703.18</v>
      </c>
      <c r="AT724" s="69">
        <f>137.22+178.2</f>
        <v>315.41999999999996</v>
      </c>
      <c r="AU724" s="69">
        <f>6553.02+1080.9</f>
        <v>7633.92</v>
      </c>
      <c r="AV724" s="69">
        <f>18+13.5</f>
        <v>31.5</v>
      </c>
      <c r="BC724" s="69"/>
      <c r="BD724" s="69"/>
      <c r="CD724" s="94">
        <f t="shared" si="79"/>
        <v>31684.019999999997</v>
      </c>
      <c r="CE724" s="73">
        <f t="shared" si="80"/>
        <v>0</v>
      </c>
      <c r="CF724" s="75">
        <f t="shared" si="81"/>
        <v>5720</v>
      </c>
      <c r="CG724" s="69" t="str">
        <f t="shared" si="81"/>
        <v>ماليزى اسنان</v>
      </c>
    </row>
    <row r="725" spans="2:91" x14ac:dyDescent="0.25">
      <c r="B725" s="82">
        <v>4501</v>
      </c>
      <c r="C725" s="78">
        <v>5721</v>
      </c>
      <c r="D725" s="69" t="s">
        <v>121</v>
      </c>
      <c r="E725" s="69" t="s">
        <v>2896</v>
      </c>
      <c r="F725" s="69" t="s">
        <v>220</v>
      </c>
      <c r="G725" s="69">
        <v>5195.07</v>
      </c>
      <c r="T725" s="69"/>
      <c r="U725" s="69"/>
      <c r="AR725" s="94">
        <f t="shared" si="78"/>
        <v>5195.07</v>
      </c>
      <c r="AS725" s="69">
        <v>3892.54</v>
      </c>
      <c r="AT725" s="69">
        <f>16.42+29.2</f>
        <v>45.620000000000005</v>
      </c>
      <c r="AU725" s="69">
        <f>1074.46+177.23</f>
        <v>1251.69</v>
      </c>
      <c r="AV725" s="69">
        <f>3+2.22</f>
        <v>5.2200000000000006</v>
      </c>
      <c r="BC725" s="69"/>
      <c r="BD725" s="69"/>
      <c r="CD725" s="94">
        <f t="shared" si="79"/>
        <v>5195.0700000000006</v>
      </c>
      <c r="CE725" s="73">
        <f t="shared" si="80"/>
        <v>0</v>
      </c>
      <c r="CF725" s="75">
        <f t="shared" si="81"/>
        <v>5721</v>
      </c>
      <c r="CG725" s="69" t="str">
        <f t="shared" si="81"/>
        <v>ماليزى اسنان</v>
      </c>
    </row>
    <row r="726" spans="2:91" x14ac:dyDescent="0.25">
      <c r="B726" s="82">
        <v>4412</v>
      </c>
      <c r="C726" s="78">
        <v>5722</v>
      </c>
      <c r="D726" s="69" t="s">
        <v>132</v>
      </c>
      <c r="E726" s="69" t="s">
        <v>2896</v>
      </c>
      <c r="F726" s="69" t="s">
        <v>220</v>
      </c>
      <c r="G726" s="69">
        <v>5280.67</v>
      </c>
      <c r="T726" s="69"/>
      <c r="U726" s="69"/>
      <c r="AR726" s="94">
        <f t="shared" si="78"/>
        <v>5280.67</v>
      </c>
      <c r="AS726" s="69">
        <v>3397.47</v>
      </c>
      <c r="AT726" s="69">
        <v>25.35</v>
      </c>
      <c r="AU726" s="69">
        <f>1092.17+180.15</f>
        <v>1272.3200000000002</v>
      </c>
      <c r="AV726" s="69">
        <f>3+1.96</f>
        <v>4.96</v>
      </c>
      <c r="AW726" s="69">
        <v>580.57000000000005</v>
      </c>
      <c r="BC726" s="69"/>
      <c r="BD726" s="69"/>
      <c r="CD726" s="94">
        <f t="shared" si="79"/>
        <v>5280.6699999999992</v>
      </c>
      <c r="CE726" s="73">
        <f t="shared" si="80"/>
        <v>0</v>
      </c>
      <c r="CF726" s="75">
        <f t="shared" si="81"/>
        <v>5722</v>
      </c>
      <c r="CG726" s="69" t="str">
        <f t="shared" si="81"/>
        <v>صيدلة اكلينيكى</v>
      </c>
    </row>
    <row r="727" spans="2:91" x14ac:dyDescent="0.25">
      <c r="B727" s="82">
        <v>4480</v>
      </c>
      <c r="C727" s="78">
        <v>5723</v>
      </c>
      <c r="D727" s="69" t="s">
        <v>132</v>
      </c>
      <c r="E727" s="69" t="s">
        <v>2896</v>
      </c>
      <c r="F727" s="69" t="s">
        <v>220</v>
      </c>
      <c r="G727" s="69">
        <v>5058.34</v>
      </c>
      <c r="T727" s="69"/>
      <c r="U727" s="69"/>
      <c r="AR727" s="94">
        <f t="shared" si="78"/>
        <v>5058.34</v>
      </c>
      <c r="AS727" s="69">
        <v>3674.99</v>
      </c>
      <c r="AT727" s="69">
        <v>27.45</v>
      </c>
      <c r="AU727" s="69">
        <f>1046.18+172.56</f>
        <v>1218.74</v>
      </c>
      <c r="AV727" s="69">
        <f>135+2.16</f>
        <v>137.16</v>
      </c>
      <c r="BC727" s="69"/>
      <c r="BD727" s="69"/>
      <c r="CD727" s="94">
        <f t="shared" si="79"/>
        <v>5058.3399999999992</v>
      </c>
      <c r="CE727" s="73">
        <f t="shared" si="80"/>
        <v>0</v>
      </c>
      <c r="CF727" s="75">
        <f t="shared" si="81"/>
        <v>5723</v>
      </c>
      <c r="CG727" s="69" t="str">
        <f t="shared" si="81"/>
        <v>صيدلة اكلينيكى</v>
      </c>
    </row>
    <row r="728" spans="2:91" x14ac:dyDescent="0.25">
      <c r="B728" s="82">
        <v>4479</v>
      </c>
      <c r="C728" s="78">
        <v>5724</v>
      </c>
      <c r="D728" s="69" t="s">
        <v>132</v>
      </c>
      <c r="E728" s="69" t="s">
        <v>2896</v>
      </c>
      <c r="F728" s="69" t="s">
        <v>220</v>
      </c>
      <c r="G728" s="69">
        <v>60042.37</v>
      </c>
      <c r="T728" s="69"/>
      <c r="U728" s="69"/>
      <c r="AR728" s="94">
        <f t="shared" si="78"/>
        <v>60042.37</v>
      </c>
      <c r="AS728" s="69">
        <v>43644.83</v>
      </c>
      <c r="AT728" s="69">
        <f>58.71+335.6</f>
        <v>394.31</v>
      </c>
      <c r="AU728" s="69">
        <f>12418.16+2048.36</f>
        <v>14466.52</v>
      </c>
      <c r="AV728" s="69">
        <f>1511.1+25.61</f>
        <v>1536.7099999999998</v>
      </c>
      <c r="BC728" s="69"/>
      <c r="BD728" s="69"/>
      <c r="CD728" s="94">
        <f t="shared" si="79"/>
        <v>60042.37</v>
      </c>
      <c r="CE728" s="73">
        <f t="shared" si="80"/>
        <v>0</v>
      </c>
      <c r="CF728" s="75">
        <f t="shared" si="81"/>
        <v>5724</v>
      </c>
      <c r="CG728" s="69" t="str">
        <f t="shared" si="81"/>
        <v>صيدلة اكلينيكى</v>
      </c>
    </row>
    <row r="729" spans="2:91" x14ac:dyDescent="0.25">
      <c r="B729" s="82">
        <v>4482</v>
      </c>
      <c r="C729" s="78">
        <v>5725</v>
      </c>
      <c r="D729" s="69" t="s">
        <v>132</v>
      </c>
      <c r="E729" s="69" t="s">
        <v>2896</v>
      </c>
      <c r="F729" s="69" t="s">
        <v>220</v>
      </c>
      <c r="G729" s="69">
        <v>135495.59</v>
      </c>
      <c r="T729" s="69"/>
      <c r="U729" s="69"/>
      <c r="AR729" s="94">
        <f t="shared" si="78"/>
        <v>135495.59</v>
      </c>
      <c r="AS729" s="69">
        <v>97073.61</v>
      </c>
      <c r="AT729" s="69">
        <f>177.96+747.05</f>
        <v>925.01</v>
      </c>
      <c r="AU729" s="69">
        <f>28678.82+4730.5+39</f>
        <v>33448.32</v>
      </c>
      <c r="AV729" s="69">
        <f>3991.1+57.55</f>
        <v>4048.65</v>
      </c>
      <c r="BC729" s="69"/>
      <c r="BD729" s="69"/>
      <c r="CD729" s="94">
        <f t="shared" si="79"/>
        <v>135495.59</v>
      </c>
      <c r="CE729" s="73">
        <f t="shared" si="80"/>
        <v>0</v>
      </c>
      <c r="CF729" s="75">
        <f t="shared" si="81"/>
        <v>5725</v>
      </c>
      <c r="CG729" s="69" t="str">
        <f t="shared" si="81"/>
        <v>صيدلة اكلينيكى</v>
      </c>
    </row>
    <row r="730" spans="2:91" x14ac:dyDescent="0.25">
      <c r="B730" s="82">
        <v>4483</v>
      </c>
      <c r="C730" s="78">
        <v>5726</v>
      </c>
      <c r="D730" s="69" t="s">
        <v>132</v>
      </c>
      <c r="E730" s="69" t="s">
        <v>2896</v>
      </c>
      <c r="F730" s="69" t="s">
        <v>220</v>
      </c>
      <c r="G730" s="69">
        <v>16172.83</v>
      </c>
      <c r="T730" s="69"/>
      <c r="U730" s="69"/>
      <c r="AR730" s="94">
        <f t="shared" si="78"/>
        <v>16172.83</v>
      </c>
      <c r="AS730" s="69">
        <v>11818.04</v>
      </c>
      <c r="AT730" s="69">
        <f>70.45+91</f>
        <v>161.44999999999999</v>
      </c>
      <c r="AU730" s="69">
        <f>3344.92+551.74</f>
        <v>3896.66</v>
      </c>
      <c r="AV730" s="69">
        <f>289.79+6.89</f>
        <v>296.68</v>
      </c>
      <c r="BC730" s="69"/>
      <c r="BD730" s="69"/>
      <c r="CD730" s="94">
        <f t="shared" si="79"/>
        <v>16172.830000000002</v>
      </c>
      <c r="CE730" s="73">
        <f t="shared" si="80"/>
        <v>0</v>
      </c>
      <c r="CF730" s="75">
        <f t="shared" si="81"/>
        <v>5726</v>
      </c>
      <c r="CG730" s="69" t="str">
        <f t="shared" si="81"/>
        <v>صيدلة اكلينيكى</v>
      </c>
    </row>
    <row r="731" spans="2:91" x14ac:dyDescent="0.25">
      <c r="B731" s="82">
        <v>4481</v>
      </c>
      <c r="C731" s="78">
        <v>5727</v>
      </c>
      <c r="D731" s="69" t="s">
        <v>132</v>
      </c>
      <c r="E731" s="69" t="s">
        <v>2896</v>
      </c>
      <c r="F731" s="69" t="s">
        <v>220</v>
      </c>
      <c r="G731" s="69">
        <v>4828.68</v>
      </c>
      <c r="T731" s="69"/>
      <c r="U731" s="69"/>
      <c r="AR731" s="94">
        <f t="shared" si="78"/>
        <v>4828.68</v>
      </c>
      <c r="AS731" s="69">
        <v>3288.06</v>
      </c>
      <c r="AT731" s="69">
        <v>27.15</v>
      </c>
      <c r="AU731" s="69">
        <f>998.68+164.73</f>
        <v>1163.4099999999999</v>
      </c>
      <c r="AV731" s="69">
        <f>348+2.06</f>
        <v>350.06</v>
      </c>
      <c r="BC731" s="69"/>
      <c r="BD731" s="69"/>
      <c r="CD731" s="94">
        <f t="shared" si="79"/>
        <v>4828.68</v>
      </c>
      <c r="CE731" s="73">
        <f t="shared" si="80"/>
        <v>0</v>
      </c>
      <c r="CF731" s="75">
        <f t="shared" si="81"/>
        <v>5727</v>
      </c>
      <c r="CG731" s="69" t="str">
        <f t="shared" si="81"/>
        <v>صيدلة اكلينيكى</v>
      </c>
    </row>
    <row r="732" spans="2:91" x14ac:dyDescent="0.25">
      <c r="B732" s="82">
        <v>4484</v>
      </c>
      <c r="C732" s="78">
        <v>5728</v>
      </c>
      <c r="D732" s="69" t="s">
        <v>132</v>
      </c>
      <c r="E732" s="69" t="s">
        <v>2896</v>
      </c>
      <c r="F732" s="69" t="s">
        <v>220</v>
      </c>
      <c r="G732" s="69">
        <v>5078.6899999999996</v>
      </c>
      <c r="T732" s="69"/>
      <c r="U732" s="69"/>
      <c r="AR732" s="94">
        <f t="shared" si="78"/>
        <v>5078.6899999999996</v>
      </c>
      <c r="AS732" s="69">
        <v>3813.65</v>
      </c>
      <c r="AT732" s="69">
        <f>7.65+28.55</f>
        <v>36.200000000000003</v>
      </c>
      <c r="AU732" s="69">
        <f>1050.4+173.27</f>
        <v>1223.67</v>
      </c>
      <c r="AV732" s="69">
        <f>3+2.17</f>
        <v>5.17</v>
      </c>
      <c r="BC732" s="69"/>
      <c r="BD732" s="69"/>
      <c r="CD732" s="94">
        <f t="shared" si="79"/>
        <v>5078.6900000000005</v>
      </c>
      <c r="CE732" s="73">
        <f t="shared" si="80"/>
        <v>0</v>
      </c>
      <c r="CF732" s="75">
        <f t="shared" si="81"/>
        <v>5728</v>
      </c>
      <c r="CG732" s="69" t="str">
        <f t="shared" si="81"/>
        <v>صيدلة اكلينيكى</v>
      </c>
    </row>
    <row r="733" spans="2:91" s="68" customFormat="1" x14ac:dyDescent="0.25">
      <c r="B733" s="83"/>
      <c r="C733" s="84"/>
      <c r="E733" s="68" t="s">
        <v>2898</v>
      </c>
      <c r="G733" s="68">
        <f>SUM(G685:G732)</f>
        <v>2339167.61</v>
      </c>
      <c r="H733" s="68">
        <f t="shared" ref="H733:BS733" si="84">SUM(H685:H732)</f>
        <v>0</v>
      </c>
      <c r="I733" s="68">
        <f t="shared" si="84"/>
        <v>0</v>
      </c>
      <c r="J733" s="68">
        <f t="shared" si="84"/>
        <v>0</v>
      </c>
      <c r="K733" s="68">
        <f t="shared" si="84"/>
        <v>0</v>
      </c>
      <c r="L733" s="68">
        <f t="shared" si="84"/>
        <v>0</v>
      </c>
      <c r="M733" s="68">
        <f t="shared" si="84"/>
        <v>0</v>
      </c>
      <c r="N733" s="68">
        <f t="shared" si="84"/>
        <v>0</v>
      </c>
      <c r="O733" s="68">
        <f t="shared" si="84"/>
        <v>0</v>
      </c>
      <c r="P733" s="68">
        <f t="shared" si="84"/>
        <v>0</v>
      </c>
      <c r="Q733" s="68">
        <f t="shared" si="84"/>
        <v>0</v>
      </c>
      <c r="R733" s="68">
        <f t="shared" si="84"/>
        <v>0</v>
      </c>
      <c r="S733" s="68">
        <f t="shared" si="84"/>
        <v>0</v>
      </c>
      <c r="T733" s="68">
        <f t="shared" si="84"/>
        <v>0</v>
      </c>
      <c r="U733" s="68">
        <f t="shared" si="84"/>
        <v>0</v>
      </c>
      <c r="V733" s="68">
        <f t="shared" si="84"/>
        <v>0</v>
      </c>
      <c r="W733" s="68">
        <f t="shared" si="84"/>
        <v>0</v>
      </c>
      <c r="X733" s="68">
        <f t="shared" si="84"/>
        <v>0</v>
      </c>
      <c r="Y733" s="68">
        <f t="shared" si="84"/>
        <v>0</v>
      </c>
      <c r="Z733" s="68">
        <f t="shared" si="84"/>
        <v>0</v>
      </c>
      <c r="AA733" s="68">
        <f t="shared" si="84"/>
        <v>0</v>
      </c>
      <c r="AB733" s="68">
        <f t="shared" si="84"/>
        <v>0</v>
      </c>
      <c r="AC733" s="68">
        <f t="shared" si="84"/>
        <v>0</v>
      </c>
      <c r="AD733" s="68">
        <f t="shared" si="84"/>
        <v>0</v>
      </c>
      <c r="AE733" s="68">
        <f t="shared" si="84"/>
        <v>0</v>
      </c>
      <c r="AF733" s="68">
        <f t="shared" si="84"/>
        <v>0</v>
      </c>
      <c r="AG733" s="68">
        <f t="shared" si="84"/>
        <v>0</v>
      </c>
      <c r="AH733" s="68">
        <f t="shared" si="84"/>
        <v>0</v>
      </c>
      <c r="AI733" s="68">
        <f t="shared" si="84"/>
        <v>0</v>
      </c>
      <c r="AJ733" s="68">
        <f t="shared" si="84"/>
        <v>0</v>
      </c>
      <c r="AK733" s="68">
        <f t="shared" si="84"/>
        <v>0</v>
      </c>
      <c r="AL733" s="68">
        <f t="shared" si="84"/>
        <v>0</v>
      </c>
      <c r="AM733" s="68">
        <f t="shared" si="84"/>
        <v>0</v>
      </c>
      <c r="AN733" s="68">
        <f>SUM(AN685:AN732)</f>
        <v>675.4</v>
      </c>
      <c r="AO733" s="68">
        <f t="shared" si="84"/>
        <v>0</v>
      </c>
      <c r="AP733" s="68">
        <f t="shared" si="84"/>
        <v>0</v>
      </c>
      <c r="AQ733" s="68">
        <f t="shared" si="84"/>
        <v>0</v>
      </c>
      <c r="AR733" s="68">
        <f t="shared" si="84"/>
        <v>2339843.0099999998</v>
      </c>
      <c r="AS733" s="68">
        <f t="shared" si="84"/>
        <v>1707073.3800000004</v>
      </c>
      <c r="AT733" s="68">
        <f t="shared" si="84"/>
        <v>23956.190000000006</v>
      </c>
      <c r="AU733" s="68">
        <f t="shared" si="84"/>
        <v>571101.05000000016</v>
      </c>
      <c r="AV733" s="68">
        <f t="shared" si="84"/>
        <v>20225.47</v>
      </c>
      <c r="AW733" s="68">
        <f t="shared" si="84"/>
        <v>15870.24</v>
      </c>
      <c r="AX733" s="68">
        <f t="shared" si="84"/>
        <v>1593.25</v>
      </c>
      <c r="AY733" s="68">
        <f t="shared" si="84"/>
        <v>0</v>
      </c>
      <c r="AZ733" s="68">
        <f t="shared" si="84"/>
        <v>0</v>
      </c>
      <c r="BA733" s="68">
        <f t="shared" si="84"/>
        <v>0</v>
      </c>
      <c r="BB733" s="68">
        <f t="shared" si="84"/>
        <v>0</v>
      </c>
      <c r="BC733" s="68">
        <f t="shared" si="84"/>
        <v>0</v>
      </c>
      <c r="BD733" s="68">
        <f t="shared" si="84"/>
        <v>0</v>
      </c>
      <c r="BE733" s="68">
        <f t="shared" si="84"/>
        <v>0</v>
      </c>
      <c r="BF733" s="68">
        <f t="shared" si="84"/>
        <v>0</v>
      </c>
      <c r="BG733" s="68">
        <f t="shared" si="84"/>
        <v>0</v>
      </c>
      <c r="BH733" s="68">
        <f t="shared" si="84"/>
        <v>0</v>
      </c>
      <c r="BI733" s="68">
        <f t="shared" si="84"/>
        <v>0</v>
      </c>
      <c r="BJ733" s="68">
        <f t="shared" si="84"/>
        <v>0</v>
      </c>
      <c r="BK733" s="68">
        <f t="shared" si="84"/>
        <v>0</v>
      </c>
      <c r="BL733" s="68">
        <f t="shared" si="84"/>
        <v>0</v>
      </c>
      <c r="BM733" s="68">
        <f t="shared" si="84"/>
        <v>0</v>
      </c>
      <c r="BN733" s="68">
        <f t="shared" si="84"/>
        <v>0</v>
      </c>
      <c r="BO733" s="68">
        <f t="shared" si="84"/>
        <v>0</v>
      </c>
      <c r="BP733" s="68">
        <f t="shared" si="84"/>
        <v>0</v>
      </c>
      <c r="BQ733" s="68">
        <f t="shared" si="84"/>
        <v>0</v>
      </c>
      <c r="BR733" s="68">
        <f t="shared" si="84"/>
        <v>0</v>
      </c>
      <c r="BS733" s="68">
        <f t="shared" si="84"/>
        <v>0</v>
      </c>
      <c r="BT733" s="68">
        <f t="shared" ref="BT733:CM733" si="85">SUM(BT685:BT732)</f>
        <v>0</v>
      </c>
      <c r="BU733" s="68">
        <f t="shared" si="85"/>
        <v>0</v>
      </c>
      <c r="BV733" s="68">
        <f t="shared" si="85"/>
        <v>0</v>
      </c>
      <c r="BW733" s="68">
        <f t="shared" si="85"/>
        <v>0</v>
      </c>
      <c r="BX733" s="68">
        <f t="shared" si="85"/>
        <v>0</v>
      </c>
      <c r="BY733" s="68">
        <f t="shared" si="85"/>
        <v>0</v>
      </c>
      <c r="CA733" s="68">
        <f t="shared" si="85"/>
        <v>0</v>
      </c>
      <c r="CB733" s="68">
        <f t="shared" si="85"/>
        <v>0</v>
      </c>
      <c r="CC733" s="68">
        <f t="shared" si="85"/>
        <v>23.43</v>
      </c>
      <c r="CD733" s="68">
        <f t="shared" si="85"/>
        <v>2339843.0099999998</v>
      </c>
      <c r="CE733" s="68">
        <f t="shared" si="85"/>
        <v>0</v>
      </c>
      <c r="CG733" s="68">
        <f t="shared" si="85"/>
        <v>0</v>
      </c>
      <c r="CH733" s="68">
        <f t="shared" si="85"/>
        <v>0</v>
      </c>
      <c r="CI733" s="68">
        <f t="shared" si="85"/>
        <v>0</v>
      </c>
      <c r="CJ733" s="68">
        <f t="shared" si="85"/>
        <v>0</v>
      </c>
      <c r="CK733" s="68">
        <f t="shared" si="85"/>
        <v>0</v>
      </c>
      <c r="CL733" s="68">
        <f t="shared" si="85"/>
        <v>0</v>
      </c>
      <c r="CM733" s="68">
        <f t="shared" si="85"/>
        <v>0</v>
      </c>
    </row>
    <row r="734" spans="2:91" x14ac:dyDescent="0.25">
      <c r="B734" s="82">
        <v>9191</v>
      </c>
      <c r="C734" s="78">
        <v>5729</v>
      </c>
      <c r="D734" s="69" t="s">
        <v>78</v>
      </c>
      <c r="E734" s="69" t="s">
        <v>575</v>
      </c>
      <c r="F734" s="69"/>
      <c r="G734" s="69">
        <v>16380</v>
      </c>
      <c r="T734" s="69"/>
      <c r="U734" s="69"/>
      <c r="AR734" s="94">
        <f t="shared" ref="AR734:AR765" si="86">SUM(G734:AQ734)</f>
        <v>16380</v>
      </c>
      <c r="AS734" s="69">
        <v>14617.35</v>
      </c>
      <c r="AT734" s="69">
        <v>1762.65</v>
      </c>
      <c r="BC734" s="69"/>
      <c r="BD734" s="69"/>
      <c r="CD734" s="94">
        <f t="shared" si="79"/>
        <v>16380</v>
      </c>
      <c r="CE734" s="73">
        <f t="shared" si="80"/>
        <v>0</v>
      </c>
      <c r="CF734" s="75">
        <f t="shared" ref="CF734:CG765" si="87">+C734</f>
        <v>5729</v>
      </c>
      <c r="CG734" s="69" t="str">
        <f t="shared" si="87"/>
        <v>برنامج دولى</v>
      </c>
    </row>
    <row r="735" spans="2:91" x14ac:dyDescent="0.25">
      <c r="B735" s="82">
        <v>9189</v>
      </c>
      <c r="C735" s="78">
        <v>5730</v>
      </c>
      <c r="D735" s="69" t="s">
        <v>78</v>
      </c>
      <c r="E735" s="69" t="s">
        <v>575</v>
      </c>
      <c r="F735" s="69"/>
      <c r="G735" s="69">
        <v>2215.2399999999998</v>
      </c>
      <c r="T735" s="69"/>
      <c r="U735" s="69"/>
      <c r="AR735" s="94">
        <f t="shared" si="86"/>
        <v>2215.2399999999998</v>
      </c>
      <c r="AS735" s="69">
        <v>1893.17</v>
      </c>
      <c r="AT735" s="69">
        <v>231.6</v>
      </c>
      <c r="AU735" s="69">
        <v>90.47</v>
      </c>
      <c r="BC735" s="69"/>
      <c r="BD735" s="69"/>
      <c r="CD735" s="94">
        <f t="shared" si="79"/>
        <v>2215.2399999999998</v>
      </c>
      <c r="CE735" s="73">
        <f t="shared" si="80"/>
        <v>0</v>
      </c>
      <c r="CF735" s="75">
        <f t="shared" si="87"/>
        <v>5730</v>
      </c>
      <c r="CG735" s="69" t="str">
        <f t="shared" si="87"/>
        <v>برنامج دولى</v>
      </c>
    </row>
    <row r="736" spans="2:91" x14ac:dyDescent="0.25">
      <c r="B736" s="82">
        <v>9187</v>
      </c>
      <c r="C736" s="78">
        <v>5731</v>
      </c>
      <c r="D736" s="69" t="s">
        <v>78</v>
      </c>
      <c r="E736" s="69" t="s">
        <v>575</v>
      </c>
      <c r="F736" s="69"/>
      <c r="G736" s="69">
        <v>2186.02</v>
      </c>
      <c r="T736" s="69"/>
      <c r="U736" s="69"/>
      <c r="AR736" s="94">
        <f t="shared" si="86"/>
        <v>2186.02</v>
      </c>
      <c r="AS736" s="69">
        <v>1638.33</v>
      </c>
      <c r="AT736" s="69">
        <v>210.3</v>
      </c>
      <c r="AU736" s="69">
        <v>337.39</v>
      </c>
      <c r="BC736" s="69"/>
      <c r="BD736" s="69"/>
      <c r="CD736" s="94">
        <f t="shared" si="79"/>
        <v>2186.02</v>
      </c>
      <c r="CE736" s="73">
        <f t="shared" si="80"/>
        <v>0</v>
      </c>
      <c r="CF736" s="75">
        <f t="shared" si="87"/>
        <v>5731</v>
      </c>
      <c r="CG736" s="69" t="str">
        <f t="shared" si="87"/>
        <v>برنامج دولى</v>
      </c>
    </row>
    <row r="737" spans="2:85" x14ac:dyDescent="0.25">
      <c r="B737" s="82">
        <v>9188</v>
      </c>
      <c r="C737" s="78">
        <v>5732</v>
      </c>
      <c r="D737" s="69" t="s">
        <v>78</v>
      </c>
      <c r="E737" s="69" t="s">
        <v>575</v>
      </c>
      <c r="F737" s="69"/>
      <c r="G737" s="69">
        <v>2954.7</v>
      </c>
      <c r="T737" s="69"/>
      <c r="U737" s="69"/>
      <c r="AR737" s="94">
        <f t="shared" si="86"/>
        <v>2954.7</v>
      </c>
      <c r="AS737" s="69">
        <v>1972.25</v>
      </c>
      <c r="AT737" s="69">
        <f>18.55+252</f>
        <v>270.55</v>
      </c>
      <c r="AU737" s="69">
        <v>711.9</v>
      </c>
      <c r="BC737" s="69"/>
      <c r="BD737" s="69"/>
      <c r="CD737" s="94">
        <f t="shared" si="79"/>
        <v>2954.7000000000003</v>
      </c>
      <c r="CE737" s="73">
        <f t="shared" si="80"/>
        <v>0</v>
      </c>
      <c r="CF737" s="75">
        <f t="shared" si="87"/>
        <v>5732</v>
      </c>
      <c r="CG737" s="69" t="str">
        <f t="shared" si="87"/>
        <v>برنامج دولى</v>
      </c>
    </row>
    <row r="738" spans="2:85" x14ac:dyDescent="0.25">
      <c r="B738" s="82">
        <v>8682</v>
      </c>
      <c r="C738" s="78">
        <v>5733</v>
      </c>
      <c r="D738" s="69" t="s">
        <v>78</v>
      </c>
      <c r="E738" s="69" t="s">
        <v>575</v>
      </c>
      <c r="F738" s="69"/>
      <c r="G738" s="69">
        <v>2400</v>
      </c>
      <c r="T738" s="69"/>
      <c r="U738" s="69"/>
      <c r="AR738" s="94">
        <f t="shared" si="86"/>
        <v>2400</v>
      </c>
      <c r="AS738" s="69">
        <v>2142.35</v>
      </c>
      <c r="AT738" s="69">
        <v>257.64999999999998</v>
      </c>
      <c r="BC738" s="69"/>
      <c r="BD738" s="69"/>
      <c r="CD738" s="94">
        <f t="shared" si="79"/>
        <v>2400</v>
      </c>
      <c r="CE738" s="73">
        <f t="shared" si="80"/>
        <v>0</v>
      </c>
      <c r="CF738" s="75">
        <f t="shared" si="87"/>
        <v>5733</v>
      </c>
      <c r="CG738" s="69" t="str">
        <f t="shared" si="87"/>
        <v>برنامج دولى</v>
      </c>
    </row>
    <row r="739" spans="2:85" x14ac:dyDescent="0.25">
      <c r="B739" s="82">
        <v>9395</v>
      </c>
      <c r="C739" s="78">
        <v>5734</v>
      </c>
      <c r="D739" s="69" t="s">
        <v>78</v>
      </c>
      <c r="E739" s="69" t="s">
        <v>575</v>
      </c>
      <c r="F739" s="69"/>
      <c r="G739" s="69">
        <v>10130.4</v>
      </c>
      <c r="T739" s="69"/>
      <c r="U739" s="69"/>
      <c r="AR739" s="94">
        <f t="shared" si="86"/>
        <v>10130.4</v>
      </c>
      <c r="AS739" s="69">
        <v>6764.45</v>
      </c>
      <c r="AT739" s="69">
        <f>61.15+864</f>
        <v>925.15</v>
      </c>
      <c r="AU739" s="69">
        <v>2440.8000000000002</v>
      </c>
      <c r="BC739" s="69"/>
      <c r="BD739" s="69"/>
      <c r="CD739" s="94">
        <f t="shared" si="79"/>
        <v>10130.4</v>
      </c>
      <c r="CE739" s="73">
        <f t="shared" si="80"/>
        <v>0</v>
      </c>
      <c r="CF739" s="75">
        <f t="shared" si="87"/>
        <v>5734</v>
      </c>
      <c r="CG739" s="69" t="str">
        <f t="shared" si="87"/>
        <v>برنامج دولى</v>
      </c>
    </row>
    <row r="740" spans="2:85" x14ac:dyDescent="0.25">
      <c r="B740" s="82">
        <v>9194</v>
      </c>
      <c r="C740" s="78">
        <v>5735</v>
      </c>
      <c r="D740" s="69" t="s">
        <v>78</v>
      </c>
      <c r="E740" s="69" t="s">
        <v>575</v>
      </c>
      <c r="F740" s="69"/>
      <c r="G740" s="69">
        <v>2954.7</v>
      </c>
      <c r="T740" s="69"/>
      <c r="U740" s="69"/>
      <c r="AR740" s="94">
        <f t="shared" si="86"/>
        <v>2954.7</v>
      </c>
      <c r="AS740" s="69">
        <v>1972.25</v>
      </c>
      <c r="AT740" s="69">
        <f>18.55+252</f>
        <v>270.55</v>
      </c>
      <c r="AU740" s="69">
        <v>711.9</v>
      </c>
      <c r="BC740" s="69"/>
      <c r="BD740" s="69"/>
      <c r="CD740" s="94">
        <f t="shared" si="79"/>
        <v>2954.7000000000003</v>
      </c>
      <c r="CE740" s="73">
        <f t="shared" si="80"/>
        <v>0</v>
      </c>
      <c r="CF740" s="75">
        <f t="shared" si="87"/>
        <v>5735</v>
      </c>
      <c r="CG740" s="69" t="str">
        <f t="shared" si="87"/>
        <v>برنامج دولى</v>
      </c>
    </row>
    <row r="741" spans="2:85" x14ac:dyDescent="0.25">
      <c r="B741" s="82">
        <v>9192</v>
      </c>
      <c r="C741" s="78">
        <v>5736</v>
      </c>
      <c r="D741" s="69" t="s">
        <v>78</v>
      </c>
      <c r="E741" s="69" t="s">
        <v>575</v>
      </c>
      <c r="F741" s="69"/>
      <c r="G741" s="69">
        <v>2321.56</v>
      </c>
      <c r="T741" s="69"/>
      <c r="U741" s="69"/>
      <c r="AR741" s="94">
        <f t="shared" si="86"/>
        <v>2321.56</v>
      </c>
      <c r="AS741" s="69">
        <v>1553.25</v>
      </c>
      <c r="AT741" s="69">
        <v>208.95</v>
      </c>
      <c r="AU741" s="69">
        <v>559.36</v>
      </c>
      <c r="BC741" s="69"/>
      <c r="BD741" s="69"/>
      <c r="CD741" s="94">
        <f t="shared" si="79"/>
        <v>2321.56</v>
      </c>
      <c r="CE741" s="73">
        <f t="shared" si="80"/>
        <v>0</v>
      </c>
      <c r="CF741" s="75">
        <f t="shared" si="87"/>
        <v>5736</v>
      </c>
      <c r="CG741" s="69" t="str">
        <f t="shared" si="87"/>
        <v>برنامج دولى</v>
      </c>
    </row>
    <row r="742" spans="2:85" x14ac:dyDescent="0.25">
      <c r="B742" s="82">
        <v>9195</v>
      </c>
      <c r="C742" s="78">
        <v>5737</v>
      </c>
      <c r="D742" s="69" t="s">
        <v>78</v>
      </c>
      <c r="E742" s="69" t="s">
        <v>575</v>
      </c>
      <c r="F742" s="69"/>
      <c r="G742" s="69">
        <v>2321.56</v>
      </c>
      <c r="T742" s="69"/>
      <c r="U742" s="69"/>
      <c r="AR742" s="94">
        <f t="shared" si="86"/>
        <v>2321.56</v>
      </c>
      <c r="AS742" s="69">
        <v>1552.5</v>
      </c>
      <c r="AT742" s="69">
        <v>209.7</v>
      </c>
      <c r="AU742" s="69">
        <v>559.36</v>
      </c>
      <c r="BC742" s="69"/>
      <c r="BD742" s="69"/>
      <c r="CD742" s="94">
        <f t="shared" si="79"/>
        <v>2321.56</v>
      </c>
      <c r="CE742" s="73">
        <f t="shared" si="80"/>
        <v>0</v>
      </c>
      <c r="CF742" s="75">
        <f t="shared" si="87"/>
        <v>5737</v>
      </c>
      <c r="CG742" s="69" t="str">
        <f t="shared" si="87"/>
        <v>برنامج دولى</v>
      </c>
    </row>
    <row r="743" spans="2:85" x14ac:dyDescent="0.25">
      <c r="B743" s="82">
        <v>9193</v>
      </c>
      <c r="C743" s="78">
        <v>5738</v>
      </c>
      <c r="D743" s="69" t="s">
        <v>78</v>
      </c>
      <c r="E743" s="69" t="s">
        <v>575</v>
      </c>
      <c r="F743" s="69"/>
      <c r="G743" s="69">
        <v>2532.6</v>
      </c>
      <c r="T743" s="69"/>
      <c r="U743" s="69"/>
      <c r="AR743" s="94">
        <f t="shared" si="86"/>
        <v>2532.6</v>
      </c>
      <c r="AS743" s="69">
        <v>1692.35</v>
      </c>
      <c r="AT743" s="69">
        <v>230.05</v>
      </c>
      <c r="AU743" s="69">
        <v>610.20000000000005</v>
      </c>
      <c r="BC743" s="69"/>
      <c r="BD743" s="69"/>
      <c r="CD743" s="94">
        <f t="shared" si="79"/>
        <v>2532.6</v>
      </c>
      <c r="CE743" s="73">
        <f t="shared" si="80"/>
        <v>0</v>
      </c>
      <c r="CF743" s="75">
        <f t="shared" si="87"/>
        <v>5738</v>
      </c>
      <c r="CG743" s="69" t="str">
        <f t="shared" si="87"/>
        <v>برنامج دولى</v>
      </c>
    </row>
    <row r="744" spans="2:85" s="126" customFormat="1" x14ac:dyDescent="0.25">
      <c r="B744" s="82">
        <v>9398</v>
      </c>
      <c r="C744" s="78">
        <v>5739</v>
      </c>
      <c r="D744" s="126" t="s">
        <v>78</v>
      </c>
      <c r="E744" s="69" t="s">
        <v>575</v>
      </c>
      <c r="G744" s="126">
        <v>844.2</v>
      </c>
      <c r="AR744" s="94">
        <f t="shared" si="86"/>
        <v>844.2</v>
      </c>
      <c r="AS744" s="126">
        <v>565.6</v>
      </c>
      <c r="AT744" s="126">
        <v>75.2</v>
      </c>
      <c r="AU744" s="126">
        <v>203.4</v>
      </c>
      <c r="CD744" s="94">
        <f t="shared" ref="CD744:CD807" si="88">SUM(AS744:CC744)</f>
        <v>844.2</v>
      </c>
      <c r="CE744" s="73">
        <f t="shared" ref="CE744:CE807" si="89">+CD744-AR744</f>
        <v>0</v>
      </c>
      <c r="CF744" s="75">
        <f t="shared" si="87"/>
        <v>5739</v>
      </c>
      <c r="CG744" s="69" t="str">
        <f t="shared" si="87"/>
        <v>برنامج دولى</v>
      </c>
    </row>
    <row r="745" spans="2:85" x14ac:dyDescent="0.25">
      <c r="B745" s="82">
        <v>9399</v>
      </c>
      <c r="C745" s="78">
        <v>5740</v>
      </c>
      <c r="D745" s="69" t="s">
        <v>78</v>
      </c>
      <c r="E745" s="69" t="s">
        <v>575</v>
      </c>
      <c r="F745" s="69"/>
      <c r="G745" s="69">
        <v>720</v>
      </c>
      <c r="T745" s="69"/>
      <c r="U745" s="69"/>
      <c r="AR745" s="94">
        <f t="shared" si="86"/>
        <v>720</v>
      </c>
      <c r="AS745" s="69">
        <v>643.9</v>
      </c>
      <c r="AT745" s="69">
        <v>76.099999999999994</v>
      </c>
      <c r="BC745" s="69"/>
      <c r="BD745" s="69"/>
      <c r="CD745" s="94">
        <f t="shared" si="88"/>
        <v>720</v>
      </c>
      <c r="CE745" s="73">
        <f t="shared" si="89"/>
        <v>0</v>
      </c>
      <c r="CF745" s="75">
        <f t="shared" si="87"/>
        <v>5740</v>
      </c>
      <c r="CG745" s="69" t="str">
        <f t="shared" si="87"/>
        <v>برنامج دولى</v>
      </c>
    </row>
    <row r="746" spans="2:85" x14ac:dyDescent="0.25">
      <c r="B746" s="82">
        <v>9396</v>
      </c>
      <c r="C746" s="78">
        <v>5741</v>
      </c>
      <c r="D746" s="69" t="s">
        <v>78</v>
      </c>
      <c r="E746" s="69" t="s">
        <v>575</v>
      </c>
      <c r="F746" s="69"/>
      <c r="G746" s="69">
        <v>9000</v>
      </c>
      <c r="T746" s="69"/>
      <c r="U746" s="69"/>
      <c r="AR746" s="94">
        <f t="shared" si="86"/>
        <v>9000</v>
      </c>
      <c r="AS746" s="69">
        <v>8028.4</v>
      </c>
      <c r="AT746" s="69">
        <v>971.6</v>
      </c>
      <c r="BC746" s="69"/>
      <c r="BD746" s="69"/>
      <c r="CD746" s="94">
        <f t="shared" si="88"/>
        <v>9000</v>
      </c>
      <c r="CE746" s="73">
        <f t="shared" si="89"/>
        <v>0</v>
      </c>
      <c r="CF746" s="75">
        <f t="shared" si="87"/>
        <v>5741</v>
      </c>
      <c r="CG746" s="69" t="str">
        <f t="shared" si="87"/>
        <v>برنامج دولى</v>
      </c>
    </row>
    <row r="747" spans="2:85" x14ac:dyDescent="0.25">
      <c r="B747" s="82">
        <v>9397</v>
      </c>
      <c r="C747" s="78">
        <v>5742</v>
      </c>
      <c r="D747" s="69" t="s">
        <v>78</v>
      </c>
      <c r="E747" s="69" t="s">
        <v>575</v>
      </c>
      <c r="F747" s="69"/>
      <c r="G747" s="69">
        <v>10800</v>
      </c>
      <c r="T747" s="69"/>
      <c r="U747" s="69"/>
      <c r="AR747" s="94">
        <f t="shared" si="86"/>
        <v>10800</v>
      </c>
      <c r="AS747" s="69">
        <v>9638</v>
      </c>
      <c r="AT747" s="69">
        <v>1162</v>
      </c>
      <c r="BC747" s="69"/>
      <c r="BD747" s="69"/>
      <c r="CD747" s="94">
        <f t="shared" si="88"/>
        <v>10800</v>
      </c>
      <c r="CE747" s="73">
        <f t="shared" si="89"/>
        <v>0</v>
      </c>
      <c r="CF747" s="75">
        <f t="shared" si="87"/>
        <v>5742</v>
      </c>
      <c r="CG747" s="69" t="str">
        <f t="shared" si="87"/>
        <v>برنامج دولى</v>
      </c>
    </row>
    <row r="748" spans="2:85" x14ac:dyDescent="0.25">
      <c r="B748" s="82">
        <v>9379</v>
      </c>
      <c r="C748" s="78">
        <v>5743</v>
      </c>
      <c r="D748" s="69" t="s">
        <v>78</v>
      </c>
      <c r="E748" s="69" t="s">
        <v>2899</v>
      </c>
      <c r="F748" s="69"/>
      <c r="G748" s="69">
        <v>469</v>
      </c>
      <c r="T748" s="69"/>
      <c r="U748" s="69"/>
      <c r="AR748" s="94">
        <f t="shared" si="86"/>
        <v>469</v>
      </c>
      <c r="AS748" s="69">
        <v>313.7</v>
      </c>
      <c r="AT748" s="69">
        <f>2.3+40</f>
        <v>42.3</v>
      </c>
      <c r="AU748" s="69">
        <v>113</v>
      </c>
      <c r="BC748" s="69"/>
      <c r="BD748" s="69"/>
      <c r="CD748" s="94">
        <f t="shared" si="88"/>
        <v>469</v>
      </c>
      <c r="CE748" s="73">
        <f t="shared" si="89"/>
        <v>0</v>
      </c>
      <c r="CF748" s="75">
        <f t="shared" si="87"/>
        <v>5743</v>
      </c>
      <c r="CG748" s="69" t="str">
        <f t="shared" si="87"/>
        <v>برنامج دولى</v>
      </c>
    </row>
    <row r="749" spans="2:85" x14ac:dyDescent="0.25">
      <c r="B749" s="82">
        <v>9387</v>
      </c>
      <c r="C749" s="78">
        <v>5744</v>
      </c>
      <c r="D749" s="69" t="s">
        <v>78</v>
      </c>
      <c r="E749" s="69" t="s">
        <v>2899</v>
      </c>
      <c r="F749" s="69"/>
      <c r="G749" s="69">
        <v>469</v>
      </c>
      <c r="T749" s="69"/>
      <c r="U749" s="69"/>
      <c r="AR749" s="94">
        <f t="shared" si="86"/>
        <v>469</v>
      </c>
      <c r="AS749" s="69">
        <v>313.7</v>
      </c>
      <c r="AT749" s="69">
        <f>2.3+40</f>
        <v>42.3</v>
      </c>
      <c r="AU749" s="69">
        <v>113</v>
      </c>
      <c r="BC749" s="69"/>
      <c r="BD749" s="69"/>
      <c r="CD749" s="94">
        <f t="shared" si="88"/>
        <v>469</v>
      </c>
      <c r="CE749" s="73">
        <f t="shared" si="89"/>
        <v>0</v>
      </c>
      <c r="CF749" s="75">
        <f t="shared" si="87"/>
        <v>5744</v>
      </c>
      <c r="CG749" s="69" t="str">
        <f t="shared" si="87"/>
        <v>برنامج دولى</v>
      </c>
    </row>
    <row r="750" spans="2:85" x14ac:dyDescent="0.25">
      <c r="B750" s="82">
        <v>9377</v>
      </c>
      <c r="C750" s="78">
        <v>5745</v>
      </c>
      <c r="D750" s="69" t="s">
        <v>78</v>
      </c>
      <c r="E750" s="69" t="s">
        <v>2899</v>
      </c>
      <c r="F750" s="69"/>
      <c r="G750" s="69">
        <v>2784.69</v>
      </c>
      <c r="T750" s="69"/>
      <c r="U750" s="69"/>
      <c r="AR750" s="94">
        <f t="shared" si="86"/>
        <v>2784.69</v>
      </c>
      <c r="AS750" s="69">
        <v>1865.5</v>
      </c>
      <c r="AT750" s="69">
        <v>248.25</v>
      </c>
      <c r="AU750" s="69">
        <v>670.94</v>
      </c>
      <c r="BC750" s="69"/>
      <c r="BD750" s="69"/>
      <c r="CD750" s="94">
        <f t="shared" si="88"/>
        <v>2784.69</v>
      </c>
      <c r="CE750" s="73">
        <f t="shared" si="89"/>
        <v>0</v>
      </c>
      <c r="CF750" s="75">
        <f t="shared" si="87"/>
        <v>5745</v>
      </c>
      <c r="CG750" s="69" t="str">
        <f t="shared" si="87"/>
        <v>برنامج دولى</v>
      </c>
    </row>
    <row r="751" spans="2:85" x14ac:dyDescent="0.25">
      <c r="B751" s="82">
        <v>9378</v>
      </c>
      <c r="C751" s="78">
        <v>5746</v>
      </c>
      <c r="D751" s="69" t="s">
        <v>78</v>
      </c>
      <c r="E751" s="69" t="s">
        <v>2899</v>
      </c>
      <c r="F751" s="69"/>
      <c r="G751" s="69">
        <v>469</v>
      </c>
      <c r="T751" s="69"/>
      <c r="U751" s="69"/>
      <c r="AR751" s="94">
        <f t="shared" si="86"/>
        <v>469</v>
      </c>
      <c r="AS751" s="69">
        <v>314</v>
      </c>
      <c r="AT751" s="69">
        <v>42</v>
      </c>
      <c r="AU751" s="69">
        <v>113</v>
      </c>
      <c r="BC751" s="69"/>
      <c r="BD751" s="69"/>
      <c r="CD751" s="94">
        <f t="shared" si="88"/>
        <v>469</v>
      </c>
      <c r="CE751" s="73">
        <f t="shared" si="89"/>
        <v>0</v>
      </c>
      <c r="CF751" s="75">
        <f t="shared" si="87"/>
        <v>5746</v>
      </c>
      <c r="CG751" s="69" t="str">
        <f t="shared" si="87"/>
        <v>برنامج دولى</v>
      </c>
    </row>
    <row r="752" spans="2:85" x14ac:dyDescent="0.25">
      <c r="B752" s="82">
        <v>9380</v>
      </c>
      <c r="C752" s="78">
        <v>5747</v>
      </c>
      <c r="D752" s="69" t="s">
        <v>78</v>
      </c>
      <c r="E752" s="69" t="s">
        <v>2899</v>
      </c>
      <c r="F752" s="69"/>
      <c r="G752" s="69">
        <v>1612.19</v>
      </c>
      <c r="T752" s="69"/>
      <c r="U752" s="69"/>
      <c r="AR752" s="94">
        <f t="shared" si="86"/>
        <v>1612.19</v>
      </c>
      <c r="AS752" s="69">
        <v>1079.9000000000001</v>
      </c>
      <c r="AT752" s="69">
        <v>143.85</v>
      </c>
      <c r="AU752" s="69">
        <v>388.44</v>
      </c>
      <c r="BC752" s="69"/>
      <c r="BD752" s="69"/>
      <c r="CD752" s="94">
        <f t="shared" si="88"/>
        <v>1612.19</v>
      </c>
      <c r="CE752" s="73">
        <f t="shared" si="89"/>
        <v>0</v>
      </c>
      <c r="CF752" s="75">
        <f t="shared" si="87"/>
        <v>5747</v>
      </c>
      <c r="CG752" s="69" t="str">
        <f t="shared" si="87"/>
        <v>برنامج دولى</v>
      </c>
    </row>
    <row r="753" spans="2:85" x14ac:dyDescent="0.25">
      <c r="B753" s="82">
        <v>9393</v>
      </c>
      <c r="C753" s="78">
        <v>5748</v>
      </c>
      <c r="D753" s="69" t="s">
        <v>78</v>
      </c>
      <c r="E753" s="69" t="s">
        <v>2899</v>
      </c>
      <c r="F753" s="69"/>
      <c r="G753" s="69">
        <v>234.5</v>
      </c>
      <c r="T753" s="69"/>
      <c r="U753" s="69"/>
      <c r="AR753" s="94">
        <f t="shared" si="86"/>
        <v>234.5</v>
      </c>
      <c r="AS753" s="69">
        <v>157.19999999999999</v>
      </c>
      <c r="AT753" s="69">
        <v>20.8</v>
      </c>
      <c r="AU753" s="69">
        <v>56.5</v>
      </c>
      <c r="BC753" s="69"/>
      <c r="BD753" s="69"/>
      <c r="CD753" s="94">
        <f t="shared" si="88"/>
        <v>234.5</v>
      </c>
      <c r="CE753" s="73">
        <f t="shared" si="89"/>
        <v>0</v>
      </c>
      <c r="CF753" s="75">
        <f t="shared" si="87"/>
        <v>5748</v>
      </c>
      <c r="CG753" s="69" t="str">
        <f t="shared" si="87"/>
        <v>برنامج دولى</v>
      </c>
    </row>
    <row r="754" spans="2:85" x14ac:dyDescent="0.25">
      <c r="B754" s="82">
        <v>9391</v>
      </c>
      <c r="C754" s="78">
        <v>5749</v>
      </c>
      <c r="D754" s="69" t="s">
        <v>78</v>
      </c>
      <c r="E754" s="69" t="s">
        <v>2899</v>
      </c>
      <c r="F754" s="69"/>
      <c r="G754" s="69">
        <v>87.94</v>
      </c>
      <c r="T754" s="69"/>
      <c r="U754" s="69"/>
      <c r="AR754" s="94">
        <f t="shared" si="86"/>
        <v>87.94</v>
      </c>
      <c r="AS754" s="69">
        <v>59.15</v>
      </c>
      <c r="AT754" s="69">
        <v>7.6</v>
      </c>
      <c r="AU754" s="69">
        <v>21.19</v>
      </c>
      <c r="BC754" s="69"/>
      <c r="BD754" s="69"/>
      <c r="CD754" s="94">
        <f t="shared" si="88"/>
        <v>87.94</v>
      </c>
      <c r="CE754" s="73">
        <f t="shared" si="89"/>
        <v>0</v>
      </c>
      <c r="CF754" s="75">
        <f t="shared" si="87"/>
        <v>5749</v>
      </c>
      <c r="CG754" s="69" t="str">
        <f t="shared" si="87"/>
        <v>برنامج دولى</v>
      </c>
    </row>
    <row r="755" spans="2:85" x14ac:dyDescent="0.25">
      <c r="B755" s="82">
        <v>9390</v>
      </c>
      <c r="C755" s="78">
        <v>5750</v>
      </c>
      <c r="D755" s="69" t="s">
        <v>78</v>
      </c>
      <c r="E755" s="69" t="s">
        <v>2899</v>
      </c>
      <c r="F755" s="69"/>
      <c r="G755" s="69">
        <v>1084.56</v>
      </c>
      <c r="T755" s="69"/>
      <c r="U755" s="69"/>
      <c r="AR755" s="94">
        <f t="shared" si="86"/>
        <v>1084.56</v>
      </c>
      <c r="AS755" s="69">
        <v>728.2</v>
      </c>
      <c r="AT755" s="69">
        <v>95.05</v>
      </c>
      <c r="AU755" s="69">
        <v>261.31</v>
      </c>
      <c r="BC755" s="69"/>
      <c r="BD755" s="69"/>
      <c r="CD755" s="94">
        <f t="shared" si="88"/>
        <v>1084.56</v>
      </c>
      <c r="CE755" s="73">
        <f t="shared" si="89"/>
        <v>0</v>
      </c>
      <c r="CF755" s="75">
        <f t="shared" si="87"/>
        <v>5750</v>
      </c>
      <c r="CG755" s="69" t="str">
        <f t="shared" si="87"/>
        <v>برنامج دولى</v>
      </c>
    </row>
    <row r="756" spans="2:85" x14ac:dyDescent="0.25">
      <c r="B756" s="82">
        <v>9382</v>
      </c>
      <c r="C756" s="78">
        <v>5751</v>
      </c>
      <c r="D756" s="69" t="s">
        <v>78</v>
      </c>
      <c r="E756" s="69" t="s">
        <v>2899</v>
      </c>
      <c r="F756" s="69"/>
      <c r="G756" s="69">
        <v>2051.87</v>
      </c>
      <c r="T756" s="69"/>
      <c r="U756" s="69"/>
      <c r="AR756" s="94">
        <f t="shared" si="86"/>
        <v>2051.87</v>
      </c>
      <c r="AS756" s="69">
        <v>1373.85</v>
      </c>
      <c r="AT756" s="69">
        <v>183.65</v>
      </c>
      <c r="AU756" s="69">
        <v>494.37</v>
      </c>
      <c r="BC756" s="69"/>
      <c r="BD756" s="69"/>
      <c r="CD756" s="94">
        <f t="shared" si="88"/>
        <v>2051.87</v>
      </c>
      <c r="CE756" s="73">
        <f t="shared" si="89"/>
        <v>0</v>
      </c>
      <c r="CF756" s="75">
        <f t="shared" si="87"/>
        <v>5751</v>
      </c>
      <c r="CG756" s="69" t="str">
        <f t="shared" si="87"/>
        <v>برنامج دولى</v>
      </c>
    </row>
    <row r="757" spans="2:85" x14ac:dyDescent="0.25">
      <c r="B757" s="82">
        <v>9381</v>
      </c>
      <c r="C757" s="78">
        <v>5752</v>
      </c>
      <c r="D757" s="69" t="s">
        <v>78</v>
      </c>
      <c r="E757" s="69" t="s">
        <v>2899</v>
      </c>
      <c r="F757" s="69"/>
      <c r="G757" s="69">
        <v>586.25</v>
      </c>
      <c r="T757" s="69"/>
      <c r="U757" s="69"/>
      <c r="AR757" s="94">
        <f t="shared" si="86"/>
        <v>586.25</v>
      </c>
      <c r="AS757" s="69">
        <v>392.4</v>
      </c>
      <c r="AT757" s="69">
        <v>52.6</v>
      </c>
      <c r="AU757" s="69">
        <v>141.25</v>
      </c>
      <c r="BC757" s="69"/>
      <c r="BD757" s="69"/>
      <c r="CD757" s="94">
        <f t="shared" si="88"/>
        <v>586.25</v>
      </c>
      <c r="CE757" s="73">
        <f t="shared" si="89"/>
        <v>0</v>
      </c>
      <c r="CF757" s="75">
        <f t="shared" si="87"/>
        <v>5752</v>
      </c>
      <c r="CG757" s="69" t="str">
        <f t="shared" si="87"/>
        <v>برنامج دولى</v>
      </c>
    </row>
    <row r="758" spans="2:85" x14ac:dyDescent="0.25">
      <c r="B758" s="82">
        <v>9385</v>
      </c>
      <c r="C758" s="78">
        <v>5753</v>
      </c>
      <c r="D758" s="69" t="s">
        <v>78</v>
      </c>
      <c r="E758" s="69" t="s">
        <v>2899</v>
      </c>
      <c r="F758" s="69"/>
      <c r="G758" s="69">
        <v>469</v>
      </c>
      <c r="T758" s="69"/>
      <c r="U758" s="69"/>
      <c r="AR758" s="94">
        <f t="shared" si="86"/>
        <v>469</v>
      </c>
      <c r="AS758" s="69">
        <v>314</v>
      </c>
      <c r="AT758" s="69">
        <v>42</v>
      </c>
      <c r="AU758" s="69">
        <v>113</v>
      </c>
      <c r="BC758" s="69"/>
      <c r="BD758" s="69"/>
      <c r="CD758" s="94">
        <f t="shared" si="88"/>
        <v>469</v>
      </c>
      <c r="CE758" s="73">
        <f t="shared" si="89"/>
        <v>0</v>
      </c>
      <c r="CF758" s="75">
        <f t="shared" si="87"/>
        <v>5753</v>
      </c>
      <c r="CG758" s="69" t="str">
        <f t="shared" si="87"/>
        <v>برنامج دولى</v>
      </c>
    </row>
    <row r="759" spans="2:85" x14ac:dyDescent="0.25">
      <c r="B759" s="82">
        <v>9383</v>
      </c>
      <c r="C759" s="78">
        <v>5754</v>
      </c>
      <c r="D759" s="69" t="s">
        <v>78</v>
      </c>
      <c r="E759" s="69" t="s">
        <v>2899</v>
      </c>
      <c r="F759" s="69"/>
      <c r="G759" s="69">
        <v>3751.98</v>
      </c>
      <c r="T759" s="69"/>
      <c r="U759" s="69"/>
      <c r="AR759" s="94">
        <f t="shared" si="86"/>
        <v>3751.98</v>
      </c>
      <c r="AS759" s="69">
        <v>2512.4499999999998</v>
      </c>
      <c r="AT759" s="69">
        <v>335.55</v>
      </c>
      <c r="AU759" s="69">
        <v>903.98</v>
      </c>
      <c r="BC759" s="69"/>
      <c r="BD759" s="69"/>
      <c r="CD759" s="94">
        <f t="shared" si="88"/>
        <v>3751.98</v>
      </c>
      <c r="CE759" s="73">
        <f t="shared" si="89"/>
        <v>0</v>
      </c>
      <c r="CF759" s="75">
        <f t="shared" si="87"/>
        <v>5754</v>
      </c>
      <c r="CG759" s="69" t="str">
        <f t="shared" si="87"/>
        <v>برنامج دولى</v>
      </c>
    </row>
    <row r="760" spans="2:85" x14ac:dyDescent="0.25">
      <c r="B760" s="82">
        <v>9386</v>
      </c>
      <c r="C760" s="78">
        <v>5755</v>
      </c>
      <c r="D760" s="69" t="s">
        <v>78</v>
      </c>
      <c r="E760" s="69" t="s">
        <v>2899</v>
      </c>
      <c r="F760" s="69"/>
      <c r="G760" s="69">
        <v>1348.38</v>
      </c>
      <c r="T760" s="69"/>
      <c r="U760" s="69"/>
      <c r="AR760" s="94">
        <f t="shared" si="86"/>
        <v>1348.38</v>
      </c>
      <c r="AS760" s="69">
        <v>903.15</v>
      </c>
      <c r="AT760" s="69">
        <v>120.35</v>
      </c>
      <c r="AU760" s="69">
        <v>324.88</v>
      </c>
      <c r="BC760" s="69"/>
      <c r="BD760" s="69"/>
      <c r="CD760" s="94">
        <f t="shared" si="88"/>
        <v>1348.38</v>
      </c>
      <c r="CE760" s="73">
        <f t="shared" si="89"/>
        <v>0</v>
      </c>
      <c r="CF760" s="75">
        <f t="shared" si="87"/>
        <v>5755</v>
      </c>
      <c r="CG760" s="69" t="str">
        <f t="shared" si="87"/>
        <v>برنامج دولى</v>
      </c>
    </row>
    <row r="761" spans="2:85" x14ac:dyDescent="0.25">
      <c r="B761" s="82">
        <v>9388</v>
      </c>
      <c r="C761" s="78">
        <v>5756</v>
      </c>
      <c r="D761" s="69" t="s">
        <v>78</v>
      </c>
      <c r="E761" s="69" t="s">
        <v>2899</v>
      </c>
      <c r="F761" s="69"/>
      <c r="G761" s="69">
        <v>3458.88</v>
      </c>
      <c r="T761" s="69"/>
      <c r="U761" s="69"/>
      <c r="AR761" s="94">
        <f t="shared" si="86"/>
        <v>3458.88</v>
      </c>
      <c r="AS761" s="69">
        <v>2317.15</v>
      </c>
      <c r="AT761" s="69">
        <v>308.35000000000002</v>
      </c>
      <c r="AU761" s="69">
        <v>833.38</v>
      </c>
      <c r="BC761" s="69"/>
      <c r="BD761" s="69"/>
      <c r="CD761" s="94">
        <f t="shared" si="88"/>
        <v>3458.88</v>
      </c>
      <c r="CE761" s="73">
        <f t="shared" si="89"/>
        <v>0</v>
      </c>
      <c r="CF761" s="75">
        <f t="shared" si="87"/>
        <v>5756</v>
      </c>
      <c r="CG761" s="69" t="str">
        <f t="shared" si="87"/>
        <v>برنامج دولى</v>
      </c>
    </row>
    <row r="762" spans="2:85" x14ac:dyDescent="0.25">
      <c r="B762" s="82">
        <v>9389</v>
      </c>
      <c r="C762" s="78">
        <v>5757</v>
      </c>
      <c r="D762" s="69" t="s">
        <v>78</v>
      </c>
      <c r="E762" s="69" t="s">
        <v>2899</v>
      </c>
      <c r="F762" s="69"/>
      <c r="G762" s="69">
        <v>263.81</v>
      </c>
      <c r="T762" s="69"/>
      <c r="U762" s="69"/>
      <c r="AR762" s="94">
        <f t="shared" si="86"/>
        <v>263.81</v>
      </c>
      <c r="AS762" s="69">
        <v>176.85</v>
      </c>
      <c r="AT762" s="69">
        <f>0.9+22.5</f>
        <v>23.4</v>
      </c>
      <c r="AU762" s="69">
        <v>63.56</v>
      </c>
      <c r="BC762" s="69"/>
      <c r="BD762" s="69"/>
      <c r="CD762" s="94">
        <f t="shared" si="88"/>
        <v>263.81</v>
      </c>
      <c r="CE762" s="73">
        <f t="shared" si="89"/>
        <v>0</v>
      </c>
      <c r="CF762" s="75">
        <f t="shared" si="87"/>
        <v>5757</v>
      </c>
      <c r="CG762" s="69" t="str">
        <f t="shared" si="87"/>
        <v>برنامج دولى</v>
      </c>
    </row>
    <row r="763" spans="2:85" x14ac:dyDescent="0.25">
      <c r="B763" s="82">
        <v>9392</v>
      </c>
      <c r="C763" s="78">
        <v>5758</v>
      </c>
      <c r="D763" s="69" t="s">
        <v>78</v>
      </c>
      <c r="E763" s="69" t="s">
        <v>2899</v>
      </c>
      <c r="F763" s="69"/>
      <c r="G763" s="69">
        <v>2857.22</v>
      </c>
      <c r="T763" s="69"/>
      <c r="U763" s="69"/>
      <c r="AR763" s="94">
        <f t="shared" si="86"/>
        <v>2857.22</v>
      </c>
      <c r="AS763" s="69">
        <v>1900.99</v>
      </c>
      <c r="AT763" s="69">
        <v>248.4</v>
      </c>
      <c r="AU763" s="69">
        <v>707.83</v>
      </c>
      <c r="BC763" s="69"/>
      <c r="BD763" s="69"/>
      <c r="CD763" s="94">
        <f t="shared" si="88"/>
        <v>2857.22</v>
      </c>
      <c r="CE763" s="73">
        <f t="shared" si="89"/>
        <v>0</v>
      </c>
      <c r="CF763" s="75">
        <f t="shared" si="87"/>
        <v>5758</v>
      </c>
      <c r="CG763" s="69" t="str">
        <f t="shared" si="87"/>
        <v>برنامج دولى</v>
      </c>
    </row>
    <row r="764" spans="2:85" x14ac:dyDescent="0.25">
      <c r="B764" s="82">
        <v>9394</v>
      </c>
      <c r="C764" s="78">
        <v>5759</v>
      </c>
      <c r="D764" s="69" t="s">
        <v>78</v>
      </c>
      <c r="E764" s="69" t="s">
        <v>2899</v>
      </c>
      <c r="F764" s="69"/>
      <c r="G764" s="69">
        <v>29.31</v>
      </c>
      <c r="T764" s="69"/>
      <c r="U764" s="69"/>
      <c r="AR764" s="94">
        <f t="shared" si="86"/>
        <v>29.31</v>
      </c>
      <c r="AS764" s="69">
        <v>19.75</v>
      </c>
      <c r="AT764" s="69">
        <v>2.5</v>
      </c>
      <c r="AU764" s="69">
        <v>7.06</v>
      </c>
      <c r="BC764" s="69"/>
      <c r="BD764" s="69"/>
      <c r="CD764" s="94">
        <f t="shared" si="88"/>
        <v>29.31</v>
      </c>
      <c r="CE764" s="73">
        <f t="shared" si="89"/>
        <v>0</v>
      </c>
      <c r="CF764" s="75">
        <f t="shared" si="87"/>
        <v>5759</v>
      </c>
      <c r="CG764" s="69" t="str">
        <f t="shared" si="87"/>
        <v>برنامج دولى</v>
      </c>
    </row>
    <row r="765" spans="2:85" x14ac:dyDescent="0.25">
      <c r="B765" s="82">
        <v>9384</v>
      </c>
      <c r="C765" s="78">
        <v>5760</v>
      </c>
      <c r="D765" s="69" t="s">
        <v>78</v>
      </c>
      <c r="E765" s="69" t="s">
        <v>2899</v>
      </c>
      <c r="F765" s="69"/>
      <c r="G765" s="69">
        <v>586.25</v>
      </c>
      <c r="T765" s="69"/>
      <c r="U765" s="69"/>
      <c r="AR765" s="94">
        <f t="shared" si="86"/>
        <v>586.25</v>
      </c>
      <c r="AS765" s="69">
        <v>391.85</v>
      </c>
      <c r="AT765" s="69">
        <f>3.15+50</f>
        <v>53.15</v>
      </c>
      <c r="AU765" s="69">
        <v>141.25</v>
      </c>
      <c r="BC765" s="69"/>
      <c r="BD765" s="69"/>
      <c r="CD765" s="94">
        <f t="shared" si="88"/>
        <v>586.25</v>
      </c>
      <c r="CE765" s="73">
        <f t="shared" si="89"/>
        <v>0</v>
      </c>
      <c r="CF765" s="75">
        <f t="shared" si="87"/>
        <v>5760</v>
      </c>
      <c r="CG765" s="69" t="str">
        <f t="shared" si="87"/>
        <v>برنامج دولى</v>
      </c>
    </row>
    <row r="766" spans="2:85" x14ac:dyDescent="0.25">
      <c r="B766" s="82">
        <v>8901</v>
      </c>
      <c r="C766" s="78">
        <v>5761</v>
      </c>
      <c r="D766" s="69" t="s">
        <v>78</v>
      </c>
      <c r="E766" s="69" t="s">
        <v>2900</v>
      </c>
      <c r="F766" s="69"/>
      <c r="G766" s="69">
        <v>14437.58</v>
      </c>
      <c r="T766" s="69"/>
      <c r="U766" s="69"/>
      <c r="AR766" s="94">
        <f t="shared" ref="AR766:AR797" si="90">SUM(G766:AQ766)</f>
        <v>14437.58</v>
      </c>
      <c r="AS766" s="69">
        <v>11880.7</v>
      </c>
      <c r="AT766" s="69">
        <v>1463.6</v>
      </c>
      <c r="AU766" s="69">
        <v>1093.28</v>
      </c>
      <c r="BC766" s="69"/>
      <c r="BD766" s="69"/>
      <c r="CD766" s="94">
        <f t="shared" si="88"/>
        <v>14437.580000000002</v>
      </c>
      <c r="CE766" s="73">
        <f t="shared" si="89"/>
        <v>0</v>
      </c>
      <c r="CF766" s="75">
        <f t="shared" ref="CF766:CG797" si="91">+C766</f>
        <v>5761</v>
      </c>
      <c r="CG766" s="69" t="str">
        <f t="shared" si="91"/>
        <v>برنامج دولى</v>
      </c>
    </row>
    <row r="767" spans="2:85" x14ac:dyDescent="0.25">
      <c r="B767" s="82">
        <v>8899</v>
      </c>
      <c r="C767" s="78">
        <v>5762</v>
      </c>
      <c r="D767" s="69" t="s">
        <v>78</v>
      </c>
      <c r="E767" s="69" t="s">
        <v>2900</v>
      </c>
      <c r="F767" s="69"/>
      <c r="G767" s="69">
        <v>14575.9</v>
      </c>
      <c r="T767" s="69"/>
      <c r="U767" s="69"/>
      <c r="AR767" s="94">
        <f t="shared" si="90"/>
        <v>14575.9</v>
      </c>
      <c r="AS767" s="69">
        <v>12205.32</v>
      </c>
      <c r="AT767" s="69">
        <v>1492.95</v>
      </c>
      <c r="AU767" s="69">
        <v>877.63</v>
      </c>
      <c r="BC767" s="69"/>
      <c r="BD767" s="69"/>
      <c r="CD767" s="94">
        <f t="shared" si="88"/>
        <v>14575.9</v>
      </c>
      <c r="CE767" s="73">
        <f t="shared" si="89"/>
        <v>0</v>
      </c>
      <c r="CF767" s="75">
        <f t="shared" si="91"/>
        <v>5762</v>
      </c>
      <c r="CG767" s="69" t="str">
        <f t="shared" si="91"/>
        <v>برنامج دولى</v>
      </c>
    </row>
    <row r="768" spans="2:85" x14ac:dyDescent="0.25">
      <c r="B768" s="82">
        <v>8900</v>
      </c>
      <c r="C768" s="78">
        <v>5763</v>
      </c>
      <c r="D768" s="69" t="s">
        <v>78</v>
      </c>
      <c r="E768" s="69" t="s">
        <v>2900</v>
      </c>
      <c r="F768" s="69"/>
      <c r="G768" s="69">
        <v>3851.69</v>
      </c>
      <c r="T768" s="69"/>
      <c r="U768" s="69"/>
      <c r="AR768" s="94">
        <f t="shared" si="90"/>
        <v>3851.69</v>
      </c>
      <c r="AS768" s="69">
        <v>2579.75</v>
      </c>
      <c r="AT768" s="69">
        <f>328.5+15.4</f>
        <v>343.9</v>
      </c>
      <c r="AU768" s="69">
        <v>928.04</v>
      </c>
      <c r="BC768" s="69"/>
      <c r="BD768" s="69"/>
      <c r="CD768" s="94">
        <f t="shared" si="88"/>
        <v>3851.69</v>
      </c>
      <c r="CE768" s="73">
        <f t="shared" si="89"/>
        <v>0</v>
      </c>
      <c r="CF768" s="75">
        <f t="shared" si="91"/>
        <v>5763</v>
      </c>
      <c r="CG768" s="69" t="str">
        <f t="shared" si="91"/>
        <v>برنامج دولى</v>
      </c>
    </row>
    <row r="769" spans="1:85" x14ac:dyDescent="0.25">
      <c r="B769" s="82">
        <v>8898</v>
      </c>
      <c r="C769" s="78">
        <v>5764</v>
      </c>
      <c r="D769" s="69" t="s">
        <v>78</v>
      </c>
      <c r="E769" s="69" t="s">
        <v>2900</v>
      </c>
      <c r="F769" s="69"/>
      <c r="G769" s="69">
        <v>4590.38</v>
      </c>
      <c r="T769" s="69"/>
      <c r="U769" s="69"/>
      <c r="AR769" s="94">
        <f t="shared" si="90"/>
        <v>4590.38</v>
      </c>
      <c r="AS769" s="69">
        <v>3072.95</v>
      </c>
      <c r="AT769" s="69">
        <f>391.5+19.9</f>
        <v>411.4</v>
      </c>
      <c r="AU769" s="69">
        <v>1106.03</v>
      </c>
      <c r="BC769" s="69"/>
      <c r="BD769" s="69"/>
      <c r="CD769" s="94">
        <f t="shared" si="88"/>
        <v>4590.38</v>
      </c>
      <c r="CE769" s="73">
        <f t="shared" si="89"/>
        <v>0</v>
      </c>
      <c r="CF769" s="75">
        <f t="shared" si="91"/>
        <v>5764</v>
      </c>
      <c r="CG769" s="69" t="str">
        <f t="shared" si="91"/>
        <v>برنامج دولى</v>
      </c>
    </row>
    <row r="770" spans="1:85" x14ac:dyDescent="0.25">
      <c r="B770" s="82">
        <v>8691</v>
      </c>
      <c r="C770" s="78">
        <v>5765</v>
      </c>
      <c r="D770" s="69" t="s">
        <v>78</v>
      </c>
      <c r="E770" s="69" t="s">
        <v>1005</v>
      </c>
      <c r="F770" s="69"/>
      <c r="G770" s="69">
        <v>7287</v>
      </c>
      <c r="T770" s="69"/>
      <c r="U770" s="69"/>
      <c r="AR770" s="94">
        <f t="shared" si="90"/>
        <v>7287</v>
      </c>
      <c r="AS770" s="69">
        <v>6189.65</v>
      </c>
      <c r="AT770" s="69">
        <v>758.35</v>
      </c>
      <c r="AU770" s="69">
        <v>339</v>
      </c>
      <c r="BC770" s="69"/>
      <c r="BD770" s="69"/>
      <c r="CD770" s="94">
        <f t="shared" si="88"/>
        <v>7287</v>
      </c>
      <c r="CE770" s="73">
        <f t="shared" si="89"/>
        <v>0</v>
      </c>
      <c r="CF770" s="75">
        <f t="shared" si="91"/>
        <v>5765</v>
      </c>
      <c r="CG770" s="69" t="str">
        <f t="shared" si="91"/>
        <v>برنامج دولى</v>
      </c>
    </row>
    <row r="771" spans="1:85" x14ac:dyDescent="0.25">
      <c r="B771" s="82">
        <v>8690</v>
      </c>
      <c r="C771" s="78">
        <v>5766</v>
      </c>
      <c r="D771" s="69" t="s">
        <v>78</v>
      </c>
      <c r="E771" s="69" t="s">
        <v>2901</v>
      </c>
      <c r="F771" s="69"/>
      <c r="G771" s="69">
        <v>15638.4</v>
      </c>
      <c r="T771" s="69"/>
      <c r="U771" s="69"/>
      <c r="AR771" s="94">
        <f t="shared" si="90"/>
        <v>15638.4</v>
      </c>
      <c r="AS771" s="69">
        <v>13592.1</v>
      </c>
      <c r="AT771" s="69">
        <v>1639.5</v>
      </c>
      <c r="AU771" s="69">
        <v>406.8</v>
      </c>
      <c r="BC771" s="69"/>
      <c r="BD771" s="69"/>
      <c r="CD771" s="94">
        <f t="shared" si="88"/>
        <v>15638.4</v>
      </c>
      <c r="CE771" s="73">
        <f t="shared" si="89"/>
        <v>0</v>
      </c>
      <c r="CF771" s="75">
        <f t="shared" si="91"/>
        <v>5766</v>
      </c>
      <c r="CG771" s="69" t="str">
        <f t="shared" si="91"/>
        <v>برنامج دولى</v>
      </c>
    </row>
    <row r="772" spans="1:85" x14ac:dyDescent="0.25">
      <c r="B772" s="82">
        <v>8687</v>
      </c>
      <c r="C772" s="78">
        <v>5767</v>
      </c>
      <c r="D772" s="69" t="s">
        <v>78</v>
      </c>
      <c r="E772" s="69" t="s">
        <v>2902</v>
      </c>
      <c r="F772" s="69"/>
      <c r="G772" s="69">
        <v>1160.78</v>
      </c>
      <c r="T772" s="69"/>
      <c r="U772" s="69"/>
      <c r="AR772" s="94">
        <f t="shared" si="90"/>
        <v>1160.78</v>
      </c>
      <c r="AS772" s="69">
        <v>776.25</v>
      </c>
      <c r="AT772" s="69">
        <v>104.85</v>
      </c>
      <c r="AU772" s="69">
        <v>279.68</v>
      </c>
      <c r="BC772" s="69"/>
      <c r="BD772" s="69"/>
      <c r="CD772" s="94">
        <f t="shared" si="88"/>
        <v>1160.78</v>
      </c>
      <c r="CE772" s="73">
        <f t="shared" si="89"/>
        <v>0</v>
      </c>
      <c r="CF772" s="75">
        <f t="shared" si="91"/>
        <v>5767</v>
      </c>
      <c r="CG772" s="69" t="str">
        <f t="shared" si="91"/>
        <v>برنامج دولى</v>
      </c>
    </row>
    <row r="773" spans="1:85" x14ac:dyDescent="0.25">
      <c r="B773" s="82">
        <v>8688</v>
      </c>
      <c r="C773" s="78">
        <v>5768</v>
      </c>
      <c r="D773" s="69" t="s">
        <v>78</v>
      </c>
      <c r="E773" s="69" t="s">
        <v>2902</v>
      </c>
      <c r="F773" s="69"/>
      <c r="G773" s="69">
        <v>1160.78</v>
      </c>
      <c r="T773" s="69"/>
      <c r="U773" s="69"/>
      <c r="AR773" s="94">
        <f t="shared" si="90"/>
        <v>1160.78</v>
      </c>
      <c r="AS773" s="69">
        <v>777</v>
      </c>
      <c r="AT773" s="69">
        <v>104.1</v>
      </c>
      <c r="AU773" s="69">
        <v>279.68</v>
      </c>
      <c r="BC773" s="69"/>
      <c r="BD773" s="69"/>
      <c r="CD773" s="94">
        <f t="shared" si="88"/>
        <v>1160.78</v>
      </c>
      <c r="CE773" s="73">
        <f t="shared" si="89"/>
        <v>0</v>
      </c>
      <c r="CF773" s="75">
        <f t="shared" si="91"/>
        <v>5768</v>
      </c>
      <c r="CG773" s="69" t="str">
        <f t="shared" si="91"/>
        <v>برنامج دولى</v>
      </c>
    </row>
    <row r="774" spans="1:85" x14ac:dyDescent="0.25">
      <c r="B774" s="82">
        <v>8689</v>
      </c>
      <c r="C774" s="78">
        <v>5769</v>
      </c>
      <c r="D774" s="69" t="s">
        <v>78</v>
      </c>
      <c r="E774" s="69" t="s">
        <v>2902</v>
      </c>
      <c r="F774" s="69"/>
      <c r="G774" s="69">
        <v>9900</v>
      </c>
      <c r="T774" s="69"/>
      <c r="U774" s="69"/>
      <c r="AR774" s="94">
        <f t="shared" si="90"/>
        <v>9900</v>
      </c>
      <c r="AS774" s="69">
        <v>8831.2000000000007</v>
      </c>
      <c r="AT774" s="69">
        <v>1068.8</v>
      </c>
      <c r="BC774" s="69"/>
      <c r="BD774" s="69"/>
      <c r="CD774" s="94">
        <f t="shared" si="88"/>
        <v>9900</v>
      </c>
      <c r="CE774" s="73">
        <f t="shared" si="89"/>
        <v>0</v>
      </c>
      <c r="CF774" s="75">
        <f t="shared" si="91"/>
        <v>5769</v>
      </c>
      <c r="CG774" s="69" t="str">
        <f t="shared" si="91"/>
        <v>برنامج دولى</v>
      </c>
    </row>
    <row r="775" spans="1:85" x14ac:dyDescent="0.25">
      <c r="B775" s="82">
        <v>10005</v>
      </c>
      <c r="C775" s="78">
        <v>5770</v>
      </c>
      <c r="D775" s="69" t="s">
        <v>78</v>
      </c>
      <c r="E775" s="69" t="s">
        <v>2902</v>
      </c>
      <c r="F775" s="69"/>
      <c r="G775" s="69">
        <v>2321.56</v>
      </c>
      <c r="T775" s="69"/>
      <c r="U775" s="69"/>
      <c r="AR775" s="94">
        <f t="shared" si="90"/>
        <v>2321.56</v>
      </c>
      <c r="AS775" s="69">
        <v>1552.5</v>
      </c>
      <c r="AT775" s="69">
        <v>209.7</v>
      </c>
      <c r="AU775" s="69">
        <v>559.36</v>
      </c>
      <c r="BC775" s="69"/>
      <c r="BD775" s="69"/>
      <c r="CD775" s="94">
        <f t="shared" si="88"/>
        <v>2321.56</v>
      </c>
      <c r="CE775" s="73">
        <f t="shared" si="89"/>
        <v>0</v>
      </c>
      <c r="CF775" s="75">
        <f t="shared" si="91"/>
        <v>5770</v>
      </c>
      <c r="CG775" s="69" t="str">
        <f t="shared" si="91"/>
        <v>برنامج دولى</v>
      </c>
    </row>
    <row r="776" spans="1:85" x14ac:dyDescent="0.25">
      <c r="B776" s="82">
        <v>9977</v>
      </c>
      <c r="C776" s="78">
        <v>5771</v>
      </c>
      <c r="D776" s="69" t="s">
        <v>78</v>
      </c>
      <c r="E776" s="69" t="s">
        <v>2903</v>
      </c>
      <c r="F776" s="69"/>
      <c r="G776" s="69">
        <v>67600</v>
      </c>
      <c r="T776" s="69"/>
      <c r="U776" s="69"/>
      <c r="AR776" s="94">
        <f t="shared" si="90"/>
        <v>67600</v>
      </c>
      <c r="AS776" s="69">
        <v>60320.05</v>
      </c>
      <c r="AT776" s="69">
        <v>7279.95</v>
      </c>
      <c r="BC776" s="69"/>
      <c r="BD776" s="69"/>
      <c r="CD776" s="94">
        <f t="shared" si="88"/>
        <v>67600</v>
      </c>
      <c r="CE776" s="73">
        <f t="shared" si="89"/>
        <v>0</v>
      </c>
      <c r="CF776" s="75">
        <f t="shared" si="91"/>
        <v>5771</v>
      </c>
      <c r="CG776" s="69" t="str">
        <f t="shared" si="91"/>
        <v>برنامج دولى</v>
      </c>
    </row>
    <row r="777" spans="1:85" x14ac:dyDescent="0.25">
      <c r="B777" s="82">
        <v>9978</v>
      </c>
      <c r="C777" s="78">
        <v>5772</v>
      </c>
      <c r="D777" s="69" t="s">
        <v>78</v>
      </c>
      <c r="E777" s="69" t="s">
        <v>2904</v>
      </c>
      <c r="F777" s="69"/>
      <c r="G777" s="69">
        <v>26250</v>
      </c>
      <c r="T777" s="69"/>
      <c r="U777" s="69"/>
      <c r="AR777" s="94">
        <f t="shared" si="90"/>
        <v>26250</v>
      </c>
      <c r="AS777" s="69">
        <v>23422.45</v>
      </c>
      <c r="AT777" s="69">
        <v>2827.55</v>
      </c>
      <c r="BC777" s="69"/>
      <c r="BD777" s="69"/>
      <c r="CD777" s="94">
        <f t="shared" si="88"/>
        <v>26250</v>
      </c>
      <c r="CE777" s="73">
        <f t="shared" si="89"/>
        <v>0</v>
      </c>
      <c r="CF777" s="75">
        <f t="shared" si="91"/>
        <v>5772</v>
      </c>
      <c r="CG777" s="69" t="str">
        <f t="shared" si="91"/>
        <v>برنامج دولى</v>
      </c>
    </row>
    <row r="778" spans="1:85" x14ac:dyDescent="0.25">
      <c r="A778" s="69" t="s">
        <v>973</v>
      </c>
      <c r="B778" s="82">
        <v>10135</v>
      </c>
      <c r="C778" s="78">
        <v>5773</v>
      </c>
      <c r="D778" s="69" t="s">
        <v>78</v>
      </c>
      <c r="E778" s="69" t="s">
        <v>2905</v>
      </c>
      <c r="F778" s="69"/>
      <c r="G778" s="69">
        <v>59937.35</v>
      </c>
      <c r="T778" s="69"/>
      <c r="U778" s="69"/>
      <c r="AR778" s="94">
        <f t="shared" si="90"/>
        <v>59937.35</v>
      </c>
      <c r="AS778" s="69">
        <v>40048.629999999997</v>
      </c>
      <c r="AT778" s="69">
        <f>335.6+5111.92</f>
        <v>5447.52</v>
      </c>
      <c r="AU778" s="109">
        <v>14441.2</v>
      </c>
      <c r="BC778" s="69"/>
      <c r="BD778" s="69"/>
      <c r="CD778" s="94">
        <f t="shared" si="88"/>
        <v>59937.349999999991</v>
      </c>
      <c r="CE778" s="73">
        <f t="shared" si="89"/>
        <v>0</v>
      </c>
      <c r="CF778" s="75">
        <f t="shared" si="91"/>
        <v>5773</v>
      </c>
      <c r="CG778" s="69" t="str">
        <f t="shared" si="91"/>
        <v>برنامج دولى</v>
      </c>
    </row>
    <row r="779" spans="1:85" x14ac:dyDescent="0.25">
      <c r="A779" s="69" t="s">
        <v>973</v>
      </c>
      <c r="B779" s="82">
        <v>10131</v>
      </c>
      <c r="C779" s="78">
        <v>5774</v>
      </c>
      <c r="D779" s="69" t="s">
        <v>78</v>
      </c>
      <c r="E779" s="69" t="s">
        <v>1551</v>
      </c>
      <c r="F779" s="69"/>
      <c r="G779" s="69">
        <v>938</v>
      </c>
      <c r="T779" s="69"/>
      <c r="U779" s="69"/>
      <c r="AR779" s="94">
        <f t="shared" si="90"/>
        <v>938</v>
      </c>
      <c r="AS779" s="69">
        <v>627.35</v>
      </c>
      <c r="AT779" s="69">
        <v>84.65</v>
      </c>
      <c r="AU779" s="69">
        <v>226</v>
      </c>
      <c r="BC779" s="69"/>
      <c r="BD779" s="69"/>
      <c r="CD779" s="94">
        <f t="shared" si="88"/>
        <v>938</v>
      </c>
      <c r="CE779" s="73">
        <f t="shared" si="89"/>
        <v>0</v>
      </c>
      <c r="CF779" s="75">
        <f t="shared" si="91"/>
        <v>5774</v>
      </c>
      <c r="CG779" s="69" t="str">
        <f t="shared" si="91"/>
        <v>برنامج دولى</v>
      </c>
    </row>
    <row r="780" spans="1:85" x14ac:dyDescent="0.25">
      <c r="A780" s="69" t="s">
        <v>973</v>
      </c>
      <c r="B780" s="82">
        <v>10133</v>
      </c>
      <c r="C780" s="78">
        <v>5775</v>
      </c>
      <c r="D780" s="69" t="s">
        <v>78</v>
      </c>
      <c r="E780" s="69" t="s">
        <v>2906</v>
      </c>
      <c r="F780" s="69"/>
      <c r="G780" s="69">
        <v>24375</v>
      </c>
      <c r="T780" s="69"/>
      <c r="U780" s="69"/>
      <c r="AR780" s="94">
        <f t="shared" si="90"/>
        <v>24375</v>
      </c>
      <c r="AS780" s="69">
        <v>21754.3</v>
      </c>
      <c r="AT780" s="69">
        <v>2620.6999999999998</v>
      </c>
      <c r="BC780" s="69"/>
      <c r="BD780" s="69"/>
      <c r="CD780" s="94">
        <f t="shared" si="88"/>
        <v>24375</v>
      </c>
      <c r="CE780" s="73">
        <f t="shared" si="89"/>
        <v>0</v>
      </c>
      <c r="CF780" s="75">
        <f t="shared" si="91"/>
        <v>5775</v>
      </c>
      <c r="CG780" s="69" t="str">
        <f t="shared" si="91"/>
        <v>برنامج دولى</v>
      </c>
    </row>
    <row r="781" spans="1:85" x14ac:dyDescent="0.25">
      <c r="A781" s="69" t="s">
        <v>973</v>
      </c>
      <c r="B781" s="82">
        <v>10133</v>
      </c>
      <c r="C781" s="78">
        <v>5776</v>
      </c>
      <c r="D781" s="69" t="s">
        <v>78</v>
      </c>
      <c r="E781" s="69" t="s">
        <v>2907</v>
      </c>
      <c r="F781" s="69"/>
      <c r="G781" s="69">
        <v>4338.26</v>
      </c>
      <c r="T781" s="69"/>
      <c r="U781" s="69"/>
      <c r="AR781" s="94">
        <f t="shared" si="90"/>
        <v>4338.26</v>
      </c>
      <c r="AS781" s="69">
        <v>2901.95</v>
      </c>
      <c r="AT781" s="69">
        <f>21.05+370</f>
        <v>391.05</v>
      </c>
      <c r="AU781" s="69">
        <v>1045.26</v>
      </c>
      <c r="BC781" s="69"/>
      <c r="BD781" s="69"/>
      <c r="CD781" s="94">
        <f t="shared" si="88"/>
        <v>4338.26</v>
      </c>
      <c r="CE781" s="73">
        <f t="shared" si="89"/>
        <v>0</v>
      </c>
      <c r="CF781" s="75">
        <f t="shared" si="91"/>
        <v>5776</v>
      </c>
      <c r="CG781" s="69" t="str">
        <f t="shared" si="91"/>
        <v>برنامج دولى</v>
      </c>
    </row>
    <row r="782" spans="1:85" x14ac:dyDescent="0.25">
      <c r="A782" s="69" t="s">
        <v>973</v>
      </c>
      <c r="B782" s="82">
        <v>10134</v>
      </c>
      <c r="C782" s="78">
        <v>5777</v>
      </c>
      <c r="D782" s="69" t="s">
        <v>78</v>
      </c>
      <c r="E782" s="69" t="s">
        <v>2907</v>
      </c>
      <c r="F782" s="69"/>
      <c r="G782" s="69">
        <v>55839.82</v>
      </c>
      <c r="T782" s="69"/>
      <c r="U782" s="69"/>
      <c r="AR782" s="94">
        <f t="shared" si="90"/>
        <v>55839.82</v>
      </c>
      <c r="AS782" s="69">
        <v>37197.96</v>
      </c>
      <c r="AT782" s="69">
        <v>5006</v>
      </c>
      <c r="AU782" s="69">
        <v>13635.86</v>
      </c>
      <c r="BC782" s="69"/>
      <c r="BD782" s="69"/>
      <c r="CD782" s="94">
        <f t="shared" si="88"/>
        <v>55839.82</v>
      </c>
      <c r="CE782" s="73">
        <f t="shared" si="89"/>
        <v>0</v>
      </c>
      <c r="CF782" s="75">
        <f t="shared" si="91"/>
        <v>5777</v>
      </c>
      <c r="CG782" s="69" t="str">
        <f t="shared" si="91"/>
        <v>برنامج دولى</v>
      </c>
    </row>
    <row r="783" spans="1:85" x14ac:dyDescent="0.25">
      <c r="A783" s="69" t="s">
        <v>973</v>
      </c>
      <c r="B783" s="82">
        <v>10136</v>
      </c>
      <c r="C783" s="78">
        <v>5778</v>
      </c>
      <c r="D783" s="69" t="s">
        <v>78</v>
      </c>
      <c r="E783" s="69" t="s">
        <v>2907</v>
      </c>
      <c r="F783" s="69"/>
      <c r="G783" s="69">
        <v>21446.7</v>
      </c>
      <c r="T783" s="69"/>
      <c r="U783" s="69"/>
      <c r="AR783" s="94">
        <f t="shared" si="90"/>
        <v>21446.7</v>
      </c>
      <c r="AS783" s="69">
        <v>15594.32</v>
      </c>
      <c r="AT783" s="69">
        <v>1988.05</v>
      </c>
      <c r="AU783" s="69">
        <v>3864.33</v>
      </c>
      <c r="BC783" s="69"/>
      <c r="BD783" s="69"/>
      <c r="CD783" s="94">
        <f t="shared" si="88"/>
        <v>21446.699999999997</v>
      </c>
      <c r="CE783" s="73">
        <f t="shared" si="89"/>
        <v>0</v>
      </c>
      <c r="CF783" s="75">
        <f t="shared" si="91"/>
        <v>5778</v>
      </c>
      <c r="CG783" s="69" t="str">
        <f t="shared" si="91"/>
        <v>برنامج دولى</v>
      </c>
    </row>
    <row r="784" spans="1:85" x14ac:dyDescent="0.25">
      <c r="A784" s="69" t="s">
        <v>973</v>
      </c>
      <c r="B784" s="82">
        <v>10137</v>
      </c>
      <c r="C784" s="78">
        <v>5779</v>
      </c>
      <c r="D784" s="69" t="s">
        <v>78</v>
      </c>
      <c r="E784" s="69" t="s">
        <v>2907</v>
      </c>
      <c r="F784" s="69"/>
      <c r="G784" s="69">
        <v>117.25</v>
      </c>
      <c r="T784" s="69"/>
      <c r="U784" s="69"/>
      <c r="AR784" s="94">
        <f t="shared" si="90"/>
        <v>117.25</v>
      </c>
      <c r="AS784" s="69">
        <v>78.75</v>
      </c>
      <c r="AT784" s="69">
        <v>10.25</v>
      </c>
      <c r="AU784" s="69">
        <v>28.25</v>
      </c>
      <c r="BC784" s="69"/>
      <c r="BD784" s="69"/>
      <c r="CD784" s="94">
        <f t="shared" si="88"/>
        <v>117.25</v>
      </c>
      <c r="CE784" s="73">
        <f t="shared" si="89"/>
        <v>0</v>
      </c>
      <c r="CF784" s="75">
        <f t="shared" si="91"/>
        <v>5779</v>
      </c>
      <c r="CG784" s="69" t="str">
        <f t="shared" si="91"/>
        <v>برنامج دولى</v>
      </c>
    </row>
    <row r="785" spans="1:85" x14ac:dyDescent="0.25">
      <c r="A785" s="69" t="s">
        <v>973</v>
      </c>
      <c r="B785" s="82">
        <v>10139</v>
      </c>
      <c r="C785" s="78">
        <v>5780</v>
      </c>
      <c r="D785" s="69" t="s">
        <v>78</v>
      </c>
      <c r="E785" s="69" t="s">
        <v>2907</v>
      </c>
      <c r="F785" s="69"/>
      <c r="G785" s="69">
        <v>3737.34</v>
      </c>
      <c r="T785" s="69"/>
      <c r="U785" s="69"/>
      <c r="AR785" s="94">
        <f t="shared" si="90"/>
        <v>3737.34</v>
      </c>
      <c r="AS785" s="69">
        <v>2498.66</v>
      </c>
      <c r="AT785" s="69">
        <v>338.2</v>
      </c>
      <c r="AU785" s="69">
        <v>900.48</v>
      </c>
      <c r="BC785" s="69"/>
      <c r="BD785" s="69"/>
      <c r="CD785" s="94">
        <f t="shared" si="88"/>
        <v>3737.3399999999997</v>
      </c>
      <c r="CE785" s="73">
        <f t="shared" si="89"/>
        <v>0</v>
      </c>
      <c r="CF785" s="75">
        <f t="shared" si="91"/>
        <v>5780</v>
      </c>
      <c r="CG785" s="69" t="str">
        <f t="shared" si="91"/>
        <v>برنامج دولى</v>
      </c>
    </row>
    <row r="786" spans="1:85" x14ac:dyDescent="0.25">
      <c r="A786" s="69" t="s">
        <v>973</v>
      </c>
      <c r="B786" s="82">
        <v>10138</v>
      </c>
      <c r="C786" s="78">
        <v>5781</v>
      </c>
      <c r="D786" s="69" t="s">
        <v>78</v>
      </c>
      <c r="E786" s="69" t="s">
        <v>2907</v>
      </c>
      <c r="F786" s="69"/>
      <c r="G786" s="69">
        <v>117.25</v>
      </c>
      <c r="T786" s="69"/>
      <c r="U786" s="69"/>
      <c r="AR786" s="94">
        <f t="shared" si="90"/>
        <v>117.25</v>
      </c>
      <c r="AS786" s="69">
        <v>78.75</v>
      </c>
      <c r="AT786" s="69">
        <v>10.25</v>
      </c>
      <c r="AU786" s="69">
        <v>28.25</v>
      </c>
      <c r="BC786" s="69"/>
      <c r="BD786" s="69"/>
      <c r="CD786" s="94">
        <f t="shared" si="88"/>
        <v>117.25</v>
      </c>
      <c r="CE786" s="73">
        <f t="shared" si="89"/>
        <v>0</v>
      </c>
      <c r="CF786" s="75">
        <f t="shared" si="91"/>
        <v>5781</v>
      </c>
      <c r="CG786" s="69" t="str">
        <f t="shared" si="91"/>
        <v>برنامج دولى</v>
      </c>
    </row>
    <row r="787" spans="1:85" x14ac:dyDescent="0.25">
      <c r="A787" s="69" t="s">
        <v>973</v>
      </c>
      <c r="B787" s="82">
        <v>10140</v>
      </c>
      <c r="C787" s="78">
        <v>5782</v>
      </c>
      <c r="D787" s="69" t="s">
        <v>78</v>
      </c>
      <c r="E787" s="69" t="s">
        <v>2907</v>
      </c>
      <c r="F787" s="69"/>
      <c r="G787" s="69">
        <v>87.94</v>
      </c>
      <c r="T787" s="69"/>
      <c r="U787" s="69"/>
      <c r="AR787" s="94">
        <f t="shared" si="90"/>
        <v>87.94</v>
      </c>
      <c r="AS787" s="69">
        <v>59.15</v>
      </c>
      <c r="AT787" s="69">
        <v>7.6</v>
      </c>
      <c r="AU787" s="69">
        <v>21.19</v>
      </c>
      <c r="BC787" s="69"/>
      <c r="BD787" s="69"/>
      <c r="CD787" s="94">
        <f t="shared" si="88"/>
        <v>87.94</v>
      </c>
      <c r="CE787" s="73">
        <f t="shared" si="89"/>
        <v>0</v>
      </c>
      <c r="CF787" s="75">
        <f t="shared" si="91"/>
        <v>5782</v>
      </c>
      <c r="CG787" s="69" t="str">
        <f t="shared" si="91"/>
        <v>برنامج دولى</v>
      </c>
    </row>
    <row r="788" spans="1:85" x14ac:dyDescent="0.25">
      <c r="A788" s="69" t="s">
        <v>973</v>
      </c>
      <c r="B788" s="82">
        <v>10141</v>
      </c>
      <c r="C788" s="78">
        <v>5783</v>
      </c>
      <c r="D788" s="69" t="s">
        <v>78</v>
      </c>
      <c r="E788" s="69" t="s">
        <v>2907</v>
      </c>
      <c r="F788" s="69"/>
      <c r="G788" s="69">
        <v>234.5</v>
      </c>
      <c r="T788" s="69"/>
      <c r="U788" s="69"/>
      <c r="AR788" s="94">
        <f t="shared" si="90"/>
        <v>234.5</v>
      </c>
      <c r="AS788" s="69">
        <v>157.19999999999999</v>
      </c>
      <c r="AT788" s="69">
        <v>20.8</v>
      </c>
      <c r="AU788" s="69">
        <v>56.5</v>
      </c>
      <c r="BC788" s="69"/>
      <c r="BD788" s="69"/>
      <c r="CD788" s="94">
        <f t="shared" si="88"/>
        <v>234.5</v>
      </c>
      <c r="CE788" s="73">
        <f t="shared" si="89"/>
        <v>0</v>
      </c>
      <c r="CF788" s="75">
        <f t="shared" si="91"/>
        <v>5783</v>
      </c>
      <c r="CG788" s="69" t="str">
        <f t="shared" si="91"/>
        <v>برنامج دولى</v>
      </c>
    </row>
    <row r="789" spans="1:85" x14ac:dyDescent="0.25">
      <c r="A789" s="69" t="s">
        <v>973</v>
      </c>
      <c r="B789" s="82">
        <v>10142</v>
      </c>
      <c r="C789" s="78">
        <v>5784</v>
      </c>
      <c r="D789" s="69" t="s">
        <v>78</v>
      </c>
      <c r="E789" s="69" t="s">
        <v>2907</v>
      </c>
      <c r="F789" s="69"/>
      <c r="G789" s="69">
        <v>117.25</v>
      </c>
      <c r="T789" s="69"/>
      <c r="U789" s="69"/>
      <c r="AR789" s="94">
        <f t="shared" si="90"/>
        <v>117.25</v>
      </c>
      <c r="AS789" s="69">
        <v>78.75</v>
      </c>
      <c r="AT789" s="69">
        <v>10.25</v>
      </c>
      <c r="AU789" s="69">
        <v>28.25</v>
      </c>
      <c r="BC789" s="69"/>
      <c r="BD789" s="69"/>
      <c r="CD789" s="94">
        <f t="shared" si="88"/>
        <v>117.25</v>
      </c>
      <c r="CE789" s="73">
        <f t="shared" si="89"/>
        <v>0</v>
      </c>
      <c r="CF789" s="75">
        <f t="shared" si="91"/>
        <v>5784</v>
      </c>
      <c r="CG789" s="69" t="str">
        <f t="shared" si="91"/>
        <v>برنامج دولى</v>
      </c>
    </row>
    <row r="790" spans="1:85" x14ac:dyDescent="0.25">
      <c r="A790" s="69" t="s">
        <v>973</v>
      </c>
      <c r="B790" s="82">
        <v>10143</v>
      </c>
      <c r="C790" s="78">
        <v>5785</v>
      </c>
      <c r="D790" s="69" t="s">
        <v>78</v>
      </c>
      <c r="E790" s="69" t="s">
        <v>2907</v>
      </c>
      <c r="F790" s="69"/>
      <c r="G790" s="69">
        <v>1641.5</v>
      </c>
      <c r="T790" s="69"/>
      <c r="U790" s="69"/>
      <c r="AR790" s="94">
        <f t="shared" si="90"/>
        <v>1641.5</v>
      </c>
      <c r="AS790" s="69">
        <v>1098.0999999999999</v>
      </c>
      <c r="AT790" s="69">
        <v>147.9</v>
      </c>
      <c r="AU790" s="69">
        <v>395.5</v>
      </c>
      <c r="BC790" s="69"/>
      <c r="BD790" s="69"/>
      <c r="CD790" s="94">
        <f t="shared" si="88"/>
        <v>1641.5</v>
      </c>
      <c r="CE790" s="73">
        <f t="shared" si="89"/>
        <v>0</v>
      </c>
      <c r="CF790" s="75">
        <f t="shared" si="91"/>
        <v>5785</v>
      </c>
      <c r="CG790" s="69" t="str">
        <f t="shared" si="91"/>
        <v>برنامج دولى</v>
      </c>
    </row>
    <row r="791" spans="1:85" x14ac:dyDescent="0.25">
      <c r="A791" s="69" t="s">
        <v>973</v>
      </c>
      <c r="B791" s="82">
        <v>10144</v>
      </c>
      <c r="C791" s="78">
        <v>5786</v>
      </c>
      <c r="D791" s="69" t="s">
        <v>78</v>
      </c>
      <c r="E791" s="69" t="s">
        <v>2907</v>
      </c>
      <c r="F791" s="69"/>
      <c r="G791" s="69">
        <v>527.62</v>
      </c>
      <c r="T791" s="69"/>
      <c r="U791" s="69"/>
      <c r="AR791" s="94">
        <f t="shared" si="90"/>
        <v>527.62</v>
      </c>
      <c r="AS791" s="69">
        <v>353.2</v>
      </c>
      <c r="AT791" s="69">
        <v>47.3</v>
      </c>
      <c r="AU791" s="69">
        <v>127.12</v>
      </c>
      <c r="BC791" s="69"/>
      <c r="BD791" s="69"/>
      <c r="CD791" s="94">
        <f t="shared" si="88"/>
        <v>527.62</v>
      </c>
      <c r="CE791" s="73">
        <f t="shared" si="89"/>
        <v>0</v>
      </c>
      <c r="CF791" s="75">
        <f t="shared" si="91"/>
        <v>5786</v>
      </c>
      <c r="CG791" s="69" t="str">
        <f t="shared" si="91"/>
        <v>برنامج دولى</v>
      </c>
    </row>
    <row r="792" spans="1:85" x14ac:dyDescent="0.25">
      <c r="A792" s="69" t="s">
        <v>973</v>
      </c>
      <c r="B792" s="82">
        <v>10146</v>
      </c>
      <c r="C792" s="78">
        <v>5787</v>
      </c>
      <c r="D792" s="69" t="s">
        <v>78</v>
      </c>
      <c r="E792" s="69" t="s">
        <v>2908</v>
      </c>
      <c r="F792" s="69"/>
      <c r="G792" s="69">
        <v>39777.46</v>
      </c>
      <c r="T792" s="69"/>
      <c r="U792" s="69"/>
      <c r="AR792" s="94">
        <f t="shared" si="90"/>
        <v>39777.46</v>
      </c>
      <c r="AS792" s="69">
        <v>30886.14</v>
      </c>
      <c r="AT792" s="69">
        <v>3933.3</v>
      </c>
      <c r="AU792" s="69">
        <v>4958.0200000000004</v>
      </c>
      <c r="BC792" s="69"/>
      <c r="BD792" s="69"/>
      <c r="CD792" s="94">
        <f t="shared" si="88"/>
        <v>39777.460000000006</v>
      </c>
      <c r="CE792" s="73">
        <f t="shared" si="89"/>
        <v>0</v>
      </c>
      <c r="CF792" s="75">
        <f t="shared" si="91"/>
        <v>5787</v>
      </c>
      <c r="CG792" s="69" t="str">
        <f t="shared" si="91"/>
        <v>برنامج دولى</v>
      </c>
    </row>
    <row r="793" spans="1:85" x14ac:dyDescent="0.25">
      <c r="A793" s="69" t="s">
        <v>973</v>
      </c>
      <c r="B793" s="82">
        <v>10147</v>
      </c>
      <c r="C793" s="78">
        <v>5788</v>
      </c>
      <c r="D793" s="69" t="s">
        <v>78</v>
      </c>
      <c r="E793" s="69" t="s">
        <v>2908</v>
      </c>
      <c r="F793" s="69"/>
      <c r="G793" s="69">
        <v>94248.86</v>
      </c>
      <c r="T793" s="69"/>
      <c r="U793" s="69"/>
      <c r="AR793" s="94">
        <f t="shared" si="90"/>
        <v>94248.86</v>
      </c>
      <c r="AS793" s="69">
        <v>64757.39</v>
      </c>
      <c r="AT793" s="69">
        <v>8694.7999999999993</v>
      </c>
      <c r="AU793" s="69">
        <v>20796.669999999998</v>
      </c>
      <c r="BC793" s="69"/>
      <c r="BD793" s="69"/>
      <c r="CD793" s="94">
        <f t="shared" si="88"/>
        <v>94248.86</v>
      </c>
      <c r="CE793" s="73">
        <f t="shared" si="89"/>
        <v>0</v>
      </c>
      <c r="CF793" s="75">
        <f t="shared" si="91"/>
        <v>5788</v>
      </c>
      <c r="CG793" s="69" t="str">
        <f t="shared" si="91"/>
        <v>برنامج دولى</v>
      </c>
    </row>
    <row r="794" spans="1:85" x14ac:dyDescent="0.25">
      <c r="A794" s="69" t="s">
        <v>973</v>
      </c>
      <c r="B794" s="82">
        <v>10148</v>
      </c>
      <c r="C794" s="78">
        <v>5789</v>
      </c>
      <c r="D794" s="69" t="s">
        <v>78</v>
      </c>
      <c r="E794" s="69" t="s">
        <v>2908</v>
      </c>
      <c r="F794" s="69"/>
      <c r="G794" s="69">
        <v>23383.42</v>
      </c>
      <c r="T794" s="69"/>
      <c r="U794" s="69"/>
      <c r="AR794" s="94">
        <f t="shared" si="90"/>
        <v>23383.42</v>
      </c>
      <c r="AS794" s="69">
        <v>17188.28</v>
      </c>
      <c r="AT794" s="69">
        <v>2237.27</v>
      </c>
      <c r="AU794" s="69">
        <v>3957.87</v>
      </c>
      <c r="BC794" s="69"/>
      <c r="BD794" s="69"/>
      <c r="CD794" s="94">
        <f t="shared" si="88"/>
        <v>23383.42</v>
      </c>
      <c r="CE794" s="73">
        <f t="shared" si="89"/>
        <v>0</v>
      </c>
      <c r="CF794" s="75">
        <f t="shared" si="91"/>
        <v>5789</v>
      </c>
      <c r="CG794" s="69" t="str">
        <f t="shared" si="91"/>
        <v>برنامج دولى</v>
      </c>
    </row>
    <row r="795" spans="1:85" x14ac:dyDescent="0.25">
      <c r="A795" s="69" t="s">
        <v>973</v>
      </c>
      <c r="B795" s="82">
        <v>10149</v>
      </c>
      <c r="C795" s="78">
        <v>5790</v>
      </c>
      <c r="D795" s="69" t="s">
        <v>78</v>
      </c>
      <c r="E795" s="69" t="s">
        <v>2908</v>
      </c>
      <c r="F795" s="69"/>
      <c r="G795" s="69">
        <v>3448.8</v>
      </c>
      <c r="T795" s="69"/>
      <c r="U795" s="69"/>
      <c r="AR795" s="94">
        <f t="shared" si="90"/>
        <v>3448.8</v>
      </c>
      <c r="AS795" s="69">
        <v>2393.81</v>
      </c>
      <c r="AT795" s="69">
        <v>320</v>
      </c>
      <c r="AU795" s="69">
        <v>734.99</v>
      </c>
      <c r="BC795" s="69"/>
      <c r="BD795" s="69"/>
      <c r="CD795" s="94">
        <f t="shared" si="88"/>
        <v>3448.8</v>
      </c>
      <c r="CE795" s="73">
        <f t="shared" si="89"/>
        <v>0</v>
      </c>
      <c r="CF795" s="75">
        <f t="shared" si="91"/>
        <v>5790</v>
      </c>
      <c r="CG795" s="69" t="str">
        <f t="shared" si="91"/>
        <v>برنامج دولى</v>
      </c>
    </row>
    <row r="796" spans="1:85" x14ac:dyDescent="0.25">
      <c r="A796" s="69" t="s">
        <v>973</v>
      </c>
      <c r="B796" s="82">
        <v>10150</v>
      </c>
      <c r="C796" s="78">
        <v>5791</v>
      </c>
      <c r="D796" s="69" t="s">
        <v>78</v>
      </c>
      <c r="E796" s="69" t="s">
        <v>2908</v>
      </c>
      <c r="F796" s="69"/>
      <c r="G796" s="69">
        <v>5276.25</v>
      </c>
      <c r="T796" s="69"/>
      <c r="U796" s="69"/>
      <c r="AR796" s="94">
        <f t="shared" si="90"/>
        <v>5276.25</v>
      </c>
      <c r="AS796" s="69">
        <v>3526.05</v>
      </c>
      <c r="AT796" s="69">
        <v>478.95</v>
      </c>
      <c r="AU796" s="69">
        <v>1271.25</v>
      </c>
      <c r="BC796" s="69"/>
      <c r="BD796" s="69"/>
      <c r="CD796" s="94">
        <f t="shared" si="88"/>
        <v>5276.25</v>
      </c>
      <c r="CE796" s="73">
        <f t="shared" si="89"/>
        <v>0</v>
      </c>
      <c r="CF796" s="75">
        <f t="shared" si="91"/>
        <v>5791</v>
      </c>
      <c r="CG796" s="69" t="str">
        <f t="shared" si="91"/>
        <v>برنامج دولى</v>
      </c>
    </row>
    <row r="797" spans="1:85" x14ac:dyDescent="0.25">
      <c r="A797" s="69" t="s">
        <v>973</v>
      </c>
      <c r="B797" s="82">
        <v>10151</v>
      </c>
      <c r="C797" s="78">
        <v>5792</v>
      </c>
      <c r="D797" s="69" t="s">
        <v>78</v>
      </c>
      <c r="E797" s="69" t="s">
        <v>2908</v>
      </c>
      <c r="F797" s="69"/>
      <c r="G797" s="69">
        <v>3517.5</v>
      </c>
      <c r="T797" s="69"/>
      <c r="U797" s="69"/>
      <c r="AR797" s="94">
        <f t="shared" si="90"/>
        <v>3517.5</v>
      </c>
      <c r="AS797" s="69">
        <v>2350.35</v>
      </c>
      <c r="AT797" s="69">
        <v>319.64999999999998</v>
      </c>
      <c r="AU797" s="69">
        <v>847.5</v>
      </c>
      <c r="BC797" s="69"/>
      <c r="BD797" s="69"/>
      <c r="CD797" s="94">
        <f t="shared" si="88"/>
        <v>3517.5</v>
      </c>
      <c r="CE797" s="73">
        <f t="shared" si="89"/>
        <v>0</v>
      </c>
      <c r="CF797" s="75">
        <f t="shared" si="91"/>
        <v>5792</v>
      </c>
      <c r="CG797" s="69" t="str">
        <f t="shared" si="91"/>
        <v>برنامج دولى</v>
      </c>
    </row>
    <row r="798" spans="1:85" x14ac:dyDescent="0.25">
      <c r="A798" s="69" t="s">
        <v>973</v>
      </c>
      <c r="B798" s="82">
        <v>10152</v>
      </c>
      <c r="C798" s="78">
        <v>5793</v>
      </c>
      <c r="D798" s="69" t="s">
        <v>78</v>
      </c>
      <c r="E798" s="69" t="s">
        <v>2908</v>
      </c>
      <c r="F798" s="69"/>
      <c r="G798" s="69">
        <v>3004.77</v>
      </c>
      <c r="T798" s="69"/>
      <c r="U798" s="69"/>
      <c r="AR798" s="94">
        <f t="shared" ref="AR798:AR829" si="92">SUM(G798:AQ798)</f>
        <v>3004.77</v>
      </c>
      <c r="AS798" s="69">
        <v>2522.29</v>
      </c>
      <c r="AT798" s="69">
        <v>310.89999999999998</v>
      </c>
      <c r="AU798" s="69">
        <v>171.58</v>
      </c>
      <c r="BC798" s="69"/>
      <c r="BD798" s="69"/>
      <c r="CD798" s="94">
        <f t="shared" si="88"/>
        <v>3004.77</v>
      </c>
      <c r="CE798" s="73">
        <f t="shared" si="89"/>
        <v>0</v>
      </c>
      <c r="CF798" s="75">
        <f t="shared" ref="CF798:CG829" si="93">+C798</f>
        <v>5793</v>
      </c>
      <c r="CG798" s="69" t="str">
        <f t="shared" si="93"/>
        <v>برنامج دولى</v>
      </c>
    </row>
    <row r="799" spans="1:85" x14ac:dyDescent="0.25">
      <c r="A799" s="69" t="s">
        <v>973</v>
      </c>
      <c r="B799" s="82">
        <v>10153</v>
      </c>
      <c r="C799" s="78">
        <v>5794</v>
      </c>
      <c r="D799" s="69" t="s">
        <v>78</v>
      </c>
      <c r="E799" s="69" t="s">
        <v>2908</v>
      </c>
      <c r="F799" s="69"/>
      <c r="G799" s="69">
        <v>6000</v>
      </c>
      <c r="T799" s="69"/>
      <c r="U799" s="69"/>
      <c r="AR799" s="94">
        <f t="shared" si="92"/>
        <v>6000</v>
      </c>
      <c r="AS799" s="69">
        <v>5355.7</v>
      </c>
      <c r="AT799" s="69">
        <v>644.29999999999995</v>
      </c>
      <c r="BC799" s="69"/>
      <c r="BD799" s="69"/>
      <c r="CD799" s="94">
        <f t="shared" si="88"/>
        <v>6000</v>
      </c>
      <c r="CE799" s="73">
        <f t="shared" si="89"/>
        <v>0</v>
      </c>
      <c r="CF799" s="75">
        <f t="shared" si="93"/>
        <v>5794</v>
      </c>
      <c r="CG799" s="69" t="str">
        <f t="shared" si="93"/>
        <v>برنامج دولى</v>
      </c>
    </row>
    <row r="800" spans="1:85" x14ac:dyDescent="0.25">
      <c r="A800" s="69" t="s">
        <v>973</v>
      </c>
      <c r="B800" s="82">
        <v>10154</v>
      </c>
      <c r="C800" s="78">
        <v>5795</v>
      </c>
      <c r="D800" s="69" t="s">
        <v>78</v>
      </c>
      <c r="E800" s="69" t="s">
        <v>2908</v>
      </c>
      <c r="F800" s="69"/>
      <c r="G800" s="69">
        <v>10552.5</v>
      </c>
      <c r="T800" s="69"/>
      <c r="U800" s="69"/>
      <c r="AR800" s="94">
        <f t="shared" si="92"/>
        <v>10552.5</v>
      </c>
      <c r="AS800" s="69">
        <v>7043.61</v>
      </c>
      <c r="AT800" s="69">
        <f>900+66.39</f>
        <v>966.39</v>
      </c>
      <c r="AU800" s="69">
        <v>2542.5</v>
      </c>
      <c r="BC800" s="69"/>
      <c r="BD800" s="69"/>
      <c r="CD800" s="94">
        <f t="shared" si="88"/>
        <v>10552.5</v>
      </c>
      <c r="CE800" s="73">
        <f t="shared" si="89"/>
        <v>0</v>
      </c>
      <c r="CF800" s="75">
        <f t="shared" si="93"/>
        <v>5795</v>
      </c>
      <c r="CG800" s="69" t="str">
        <f t="shared" si="93"/>
        <v>برنامج دولى</v>
      </c>
    </row>
    <row r="801" spans="1:85" x14ac:dyDescent="0.25">
      <c r="A801" s="69" t="s">
        <v>973</v>
      </c>
      <c r="B801" s="82">
        <v>10155</v>
      </c>
      <c r="C801" s="78">
        <v>5796</v>
      </c>
      <c r="D801" s="69" t="s">
        <v>78</v>
      </c>
      <c r="E801" s="69" t="s">
        <v>2909</v>
      </c>
      <c r="F801" s="69"/>
      <c r="G801" s="69">
        <v>328.3</v>
      </c>
      <c r="T801" s="69"/>
      <c r="U801" s="69"/>
      <c r="AR801" s="94">
        <f t="shared" si="92"/>
        <v>328.3</v>
      </c>
      <c r="AS801" s="69">
        <v>219.9</v>
      </c>
      <c r="AT801" s="69">
        <v>29.3</v>
      </c>
      <c r="AU801" s="69">
        <v>79.099999999999994</v>
      </c>
      <c r="BC801" s="69"/>
      <c r="BD801" s="69"/>
      <c r="CD801" s="94">
        <f t="shared" si="88"/>
        <v>328.3</v>
      </c>
      <c r="CE801" s="73">
        <f t="shared" si="89"/>
        <v>0</v>
      </c>
      <c r="CF801" s="75">
        <f t="shared" si="93"/>
        <v>5796</v>
      </c>
      <c r="CG801" s="69" t="str">
        <f t="shared" si="93"/>
        <v>برنامج دولى</v>
      </c>
    </row>
    <row r="802" spans="1:85" x14ac:dyDescent="0.25">
      <c r="B802" s="82">
        <v>9999</v>
      </c>
      <c r="C802" s="78">
        <v>5797</v>
      </c>
      <c r="D802" s="69" t="s">
        <v>78</v>
      </c>
      <c r="E802" s="69" t="s">
        <v>357</v>
      </c>
      <c r="F802" s="69"/>
      <c r="G802" s="69">
        <v>1758.75</v>
      </c>
      <c r="T802" s="69"/>
      <c r="U802" s="69"/>
      <c r="AR802" s="94">
        <f t="shared" si="92"/>
        <v>1758.75</v>
      </c>
      <c r="AS802" s="69">
        <v>1175.3499999999999</v>
      </c>
      <c r="AT802" s="69">
        <v>159.65</v>
      </c>
      <c r="AU802" s="69">
        <v>423.75</v>
      </c>
      <c r="BC802" s="69"/>
      <c r="BD802" s="69"/>
      <c r="CD802" s="94">
        <f t="shared" si="88"/>
        <v>1758.75</v>
      </c>
      <c r="CE802" s="73">
        <f t="shared" si="89"/>
        <v>0</v>
      </c>
      <c r="CF802" s="75">
        <f t="shared" si="93"/>
        <v>5797</v>
      </c>
      <c r="CG802" s="69" t="str">
        <f t="shared" si="93"/>
        <v>برنامج دولى</v>
      </c>
    </row>
    <row r="803" spans="1:85" x14ac:dyDescent="0.25">
      <c r="B803" s="82">
        <v>9996</v>
      </c>
      <c r="C803" s="78">
        <v>5798</v>
      </c>
      <c r="D803" s="69" t="s">
        <v>78</v>
      </c>
      <c r="E803" s="69" t="s">
        <v>357</v>
      </c>
      <c r="F803" s="69"/>
      <c r="G803" s="69">
        <v>5276.25</v>
      </c>
      <c r="T803" s="69"/>
      <c r="U803" s="69"/>
      <c r="AR803" s="94">
        <f t="shared" si="92"/>
        <v>5276.25</v>
      </c>
      <c r="AS803" s="69">
        <v>3526.05</v>
      </c>
      <c r="AT803" s="69">
        <v>478.95</v>
      </c>
      <c r="AU803" s="69">
        <v>1271.25</v>
      </c>
      <c r="BC803" s="69"/>
      <c r="BD803" s="69"/>
      <c r="CD803" s="94">
        <f t="shared" si="88"/>
        <v>5276.25</v>
      </c>
      <c r="CE803" s="73">
        <f t="shared" si="89"/>
        <v>0</v>
      </c>
      <c r="CF803" s="75">
        <f t="shared" si="93"/>
        <v>5798</v>
      </c>
      <c r="CG803" s="69" t="str">
        <f t="shared" si="93"/>
        <v>برنامج دولى</v>
      </c>
    </row>
    <row r="804" spans="1:85" x14ac:dyDescent="0.25">
      <c r="B804" s="82">
        <v>9998</v>
      </c>
      <c r="C804" s="78">
        <v>5799</v>
      </c>
      <c r="D804" s="69" t="s">
        <v>78</v>
      </c>
      <c r="E804" s="69" t="s">
        <v>357</v>
      </c>
      <c r="F804" s="69"/>
      <c r="G804" s="69">
        <v>1758.75</v>
      </c>
      <c r="T804" s="69"/>
      <c r="U804" s="69"/>
      <c r="AR804" s="94">
        <f t="shared" si="92"/>
        <v>1758.75</v>
      </c>
      <c r="AS804" s="69">
        <v>1175.3499999999999</v>
      </c>
      <c r="AT804" s="69">
        <v>159.65</v>
      </c>
      <c r="AU804" s="69">
        <v>423.75</v>
      </c>
      <c r="BC804" s="69"/>
      <c r="BD804" s="69"/>
      <c r="CD804" s="94">
        <f t="shared" si="88"/>
        <v>1758.75</v>
      </c>
      <c r="CE804" s="73">
        <f t="shared" si="89"/>
        <v>0</v>
      </c>
      <c r="CF804" s="75">
        <f t="shared" si="93"/>
        <v>5799</v>
      </c>
      <c r="CG804" s="69" t="str">
        <f t="shared" si="93"/>
        <v>برنامج دولى</v>
      </c>
    </row>
    <row r="805" spans="1:85" x14ac:dyDescent="0.25">
      <c r="B805" s="82">
        <v>9997</v>
      </c>
      <c r="C805" s="78">
        <v>5800</v>
      </c>
      <c r="D805" s="69" t="s">
        <v>78</v>
      </c>
      <c r="E805" s="69" t="s">
        <v>357</v>
      </c>
      <c r="F805" s="69"/>
      <c r="G805" s="69">
        <v>3507.79</v>
      </c>
      <c r="T805" s="69"/>
      <c r="U805" s="69"/>
      <c r="AR805" s="94">
        <f t="shared" si="92"/>
        <v>3507.79</v>
      </c>
      <c r="AS805" s="69">
        <v>2434.12</v>
      </c>
      <c r="AT805" s="69">
        <v>323.95</v>
      </c>
      <c r="AU805" s="69">
        <v>749.72</v>
      </c>
      <c r="BC805" s="69"/>
      <c r="BD805" s="69"/>
      <c r="CD805" s="94">
        <f t="shared" si="88"/>
        <v>3507.79</v>
      </c>
      <c r="CE805" s="73">
        <f t="shared" si="89"/>
        <v>0</v>
      </c>
      <c r="CF805" s="75">
        <f t="shared" si="93"/>
        <v>5800</v>
      </c>
      <c r="CG805" s="69" t="str">
        <f t="shared" si="93"/>
        <v>برنامج دولى</v>
      </c>
    </row>
    <row r="806" spans="1:85" x14ac:dyDescent="0.25">
      <c r="B806" s="82">
        <v>10000</v>
      </c>
      <c r="C806" s="78">
        <v>5801</v>
      </c>
      <c r="D806" s="69" t="s">
        <v>78</v>
      </c>
      <c r="E806" s="69" t="s">
        <v>357</v>
      </c>
      <c r="F806" s="69"/>
      <c r="G806" s="69">
        <v>6331.5</v>
      </c>
      <c r="T806" s="69"/>
      <c r="U806" s="69"/>
      <c r="AR806" s="94">
        <f t="shared" si="92"/>
        <v>6331.5</v>
      </c>
      <c r="AS806" s="69">
        <v>4228.45</v>
      </c>
      <c r="AT806" s="69">
        <f>37.55+540</f>
        <v>577.54999999999995</v>
      </c>
      <c r="AU806" s="69">
        <v>1525.5</v>
      </c>
      <c r="BC806" s="69"/>
      <c r="BD806" s="69"/>
      <c r="CD806" s="94">
        <f t="shared" si="88"/>
        <v>6331.5</v>
      </c>
      <c r="CE806" s="73">
        <f t="shared" si="89"/>
        <v>0</v>
      </c>
      <c r="CF806" s="75">
        <f t="shared" si="93"/>
        <v>5801</v>
      </c>
      <c r="CG806" s="69" t="str">
        <f t="shared" si="93"/>
        <v>برنامج دولى</v>
      </c>
    </row>
    <row r="807" spans="1:85" x14ac:dyDescent="0.25">
      <c r="B807" s="82">
        <v>10156</v>
      </c>
      <c r="C807" s="78">
        <v>5802</v>
      </c>
      <c r="D807" s="69" t="s">
        <v>121</v>
      </c>
      <c r="E807" s="69" t="s">
        <v>2910</v>
      </c>
      <c r="F807" s="69"/>
      <c r="G807" s="69">
        <v>12014.29</v>
      </c>
      <c r="T807" s="69"/>
      <c r="U807" s="69"/>
      <c r="AR807" s="94">
        <f t="shared" si="92"/>
        <v>12014.29</v>
      </c>
      <c r="AS807" s="69">
        <v>8720.11</v>
      </c>
      <c r="AT807" s="69">
        <v>1141.8</v>
      </c>
      <c r="AU807" s="69">
        <v>2152.38</v>
      </c>
      <c r="BC807" s="69"/>
      <c r="BD807" s="69"/>
      <c r="CD807" s="94">
        <f t="shared" si="88"/>
        <v>12014.29</v>
      </c>
      <c r="CE807" s="73">
        <f t="shared" si="89"/>
        <v>0</v>
      </c>
      <c r="CF807" s="75">
        <f t="shared" si="93"/>
        <v>5802</v>
      </c>
      <c r="CG807" s="69" t="str">
        <f t="shared" si="93"/>
        <v>ماليزى اسنان</v>
      </c>
    </row>
    <row r="808" spans="1:85" x14ac:dyDescent="0.25">
      <c r="B808" s="82">
        <v>10157</v>
      </c>
      <c r="C808" s="78">
        <v>5803</v>
      </c>
      <c r="D808" s="69" t="s">
        <v>121</v>
      </c>
      <c r="E808" s="69" t="s">
        <v>2911</v>
      </c>
      <c r="F808" s="69"/>
      <c r="G808" s="69">
        <v>3345</v>
      </c>
      <c r="T808" s="69"/>
      <c r="U808" s="69"/>
      <c r="AR808" s="94">
        <f t="shared" si="92"/>
        <v>3345</v>
      </c>
      <c r="AS808" s="69">
        <v>2462.25</v>
      </c>
      <c r="AT808" s="69">
        <v>317.75</v>
      </c>
      <c r="AU808" s="69">
        <v>565</v>
      </c>
      <c r="BC808" s="69"/>
      <c r="BD808" s="69"/>
      <c r="CD808" s="94">
        <f t="shared" ref="CD808:CD847" si="94">SUM(AS808:CC808)</f>
        <v>3345</v>
      </c>
      <c r="CE808" s="73">
        <f t="shared" ref="CE808:CE847" si="95">+CD808-AR808</f>
        <v>0</v>
      </c>
      <c r="CF808" s="75">
        <f t="shared" si="93"/>
        <v>5803</v>
      </c>
      <c r="CG808" s="69" t="str">
        <f t="shared" si="93"/>
        <v>ماليزى اسنان</v>
      </c>
    </row>
    <row r="809" spans="1:85" x14ac:dyDescent="0.25">
      <c r="B809" s="82">
        <v>10158</v>
      </c>
      <c r="C809" s="78">
        <v>5804</v>
      </c>
      <c r="D809" s="69" t="s">
        <v>121</v>
      </c>
      <c r="E809" s="69" t="s">
        <v>2912</v>
      </c>
      <c r="F809" s="69"/>
      <c r="G809" s="69">
        <v>4491.71</v>
      </c>
      <c r="T809" s="69"/>
      <c r="U809" s="69"/>
      <c r="AR809" s="94">
        <f t="shared" si="92"/>
        <v>4491.71</v>
      </c>
      <c r="AS809" s="69">
        <v>3747.65</v>
      </c>
      <c r="AT809" s="69">
        <v>462.85</v>
      </c>
      <c r="AU809" s="69">
        <v>281.20999999999998</v>
      </c>
      <c r="BC809" s="69"/>
      <c r="BD809" s="69"/>
      <c r="CD809" s="94">
        <f t="shared" si="94"/>
        <v>4491.71</v>
      </c>
      <c r="CE809" s="73">
        <f t="shared" si="95"/>
        <v>0</v>
      </c>
      <c r="CF809" s="75">
        <f t="shared" si="93"/>
        <v>5804</v>
      </c>
      <c r="CG809" s="69" t="str">
        <f t="shared" si="93"/>
        <v>ماليزى اسنان</v>
      </c>
    </row>
    <row r="810" spans="1:85" x14ac:dyDescent="0.25">
      <c r="B810" s="82">
        <v>10159</v>
      </c>
      <c r="C810" s="78">
        <v>5805</v>
      </c>
      <c r="D810" s="69" t="s">
        <v>121</v>
      </c>
      <c r="E810" s="69" t="s">
        <v>2912</v>
      </c>
      <c r="F810" s="69"/>
      <c r="G810" s="69">
        <v>1920</v>
      </c>
      <c r="T810" s="69"/>
      <c r="U810" s="69"/>
      <c r="AR810" s="94">
        <f t="shared" si="92"/>
        <v>1920</v>
      </c>
      <c r="AS810" s="69">
        <v>1713.95</v>
      </c>
      <c r="AT810" s="69">
        <v>206.05</v>
      </c>
      <c r="BC810" s="69"/>
      <c r="BD810" s="69"/>
      <c r="CD810" s="94">
        <f t="shared" si="94"/>
        <v>1920</v>
      </c>
      <c r="CE810" s="73">
        <f t="shared" si="95"/>
        <v>0</v>
      </c>
      <c r="CF810" s="75">
        <f t="shared" si="93"/>
        <v>5805</v>
      </c>
      <c r="CG810" s="69" t="str">
        <f t="shared" si="93"/>
        <v>ماليزى اسنان</v>
      </c>
    </row>
    <row r="811" spans="1:85" x14ac:dyDescent="0.25">
      <c r="B811" s="82">
        <v>10110</v>
      </c>
      <c r="C811" s="78">
        <v>5806</v>
      </c>
      <c r="D811" s="69" t="s">
        <v>124</v>
      </c>
      <c r="E811" s="69" t="s">
        <v>2913</v>
      </c>
      <c r="F811" s="69"/>
      <c r="G811" s="69">
        <v>802.36</v>
      </c>
      <c r="T811" s="69"/>
      <c r="U811" s="69"/>
      <c r="AR811" s="94">
        <f t="shared" si="92"/>
        <v>802.36</v>
      </c>
      <c r="AS811" s="69">
        <v>504.1</v>
      </c>
      <c r="AT811" s="69">
        <v>70.73</v>
      </c>
      <c r="AU811" s="69">
        <v>193.32</v>
      </c>
      <c r="AV811" s="69">
        <v>34.21</v>
      </c>
      <c r="BC811" s="69"/>
      <c r="BD811" s="69"/>
      <c r="CD811" s="94">
        <f t="shared" si="94"/>
        <v>802.36000000000013</v>
      </c>
      <c r="CE811" s="73">
        <f t="shared" si="95"/>
        <v>0</v>
      </c>
      <c r="CF811" s="75">
        <f t="shared" si="93"/>
        <v>5806</v>
      </c>
      <c r="CG811" s="69" t="str">
        <f t="shared" si="93"/>
        <v>تكافل اسنان</v>
      </c>
    </row>
    <row r="812" spans="1:85" x14ac:dyDescent="0.25">
      <c r="B812" s="82">
        <v>10121</v>
      </c>
      <c r="C812" s="78">
        <v>5807</v>
      </c>
      <c r="D812" s="69" t="s">
        <v>122</v>
      </c>
      <c r="E812" s="69" t="s">
        <v>2914</v>
      </c>
      <c r="F812" s="69"/>
      <c r="G812" s="69">
        <v>4300.32</v>
      </c>
      <c r="T812" s="69"/>
      <c r="U812" s="69"/>
      <c r="AR812" s="94">
        <f t="shared" si="92"/>
        <v>4300.32</v>
      </c>
      <c r="AS812" s="69">
        <v>2714.33</v>
      </c>
      <c r="AT812" s="69">
        <v>386.1</v>
      </c>
      <c r="AU812" s="69">
        <v>1015.89</v>
      </c>
      <c r="AV812" s="69">
        <v>184</v>
      </c>
      <c r="BC812" s="69"/>
      <c r="BD812" s="69"/>
      <c r="CD812" s="94">
        <f t="shared" si="94"/>
        <v>4300.32</v>
      </c>
      <c r="CE812" s="73">
        <f t="shared" si="95"/>
        <v>0</v>
      </c>
      <c r="CF812" s="75">
        <f t="shared" si="93"/>
        <v>5807</v>
      </c>
      <c r="CG812" s="69" t="str">
        <f t="shared" si="93"/>
        <v>علاج تخصصى</v>
      </c>
    </row>
    <row r="813" spans="1:85" x14ac:dyDescent="0.25">
      <c r="B813" s="82">
        <v>10121</v>
      </c>
      <c r="C813" s="78">
        <v>5808</v>
      </c>
      <c r="D813" s="69" t="s">
        <v>122</v>
      </c>
      <c r="E813" s="69" t="s">
        <v>2914</v>
      </c>
      <c r="F813" s="69"/>
      <c r="G813" s="69">
        <v>431.48</v>
      </c>
      <c r="T813" s="69"/>
      <c r="U813" s="69"/>
      <c r="AR813" s="94">
        <f t="shared" si="92"/>
        <v>431.48</v>
      </c>
      <c r="AS813" s="69">
        <v>270.52</v>
      </c>
      <c r="AT813" s="69">
        <v>38.6</v>
      </c>
      <c r="AU813" s="69">
        <v>103.96</v>
      </c>
      <c r="AV813" s="69">
        <v>18.399999999999999</v>
      </c>
      <c r="BC813" s="69"/>
      <c r="BD813" s="69"/>
      <c r="CD813" s="94">
        <f t="shared" si="94"/>
        <v>431.47999999999996</v>
      </c>
      <c r="CE813" s="73">
        <f t="shared" si="95"/>
        <v>0</v>
      </c>
      <c r="CF813" s="75">
        <f t="shared" si="93"/>
        <v>5808</v>
      </c>
      <c r="CG813" s="69" t="str">
        <f t="shared" si="93"/>
        <v>علاج تخصصى</v>
      </c>
    </row>
    <row r="814" spans="1:85" x14ac:dyDescent="0.25">
      <c r="B814" s="82">
        <v>10120</v>
      </c>
      <c r="C814" s="78">
        <v>5809</v>
      </c>
      <c r="D814" s="69" t="s">
        <v>122</v>
      </c>
      <c r="E814" s="69" t="s">
        <v>2915</v>
      </c>
      <c r="F814" s="69"/>
      <c r="G814" s="69">
        <v>4091.06</v>
      </c>
      <c r="T814" s="69"/>
      <c r="U814" s="69"/>
      <c r="AR814" s="94">
        <f t="shared" si="92"/>
        <v>4091.06</v>
      </c>
      <c r="AS814" s="69">
        <v>3066.14</v>
      </c>
      <c r="AT814" s="69">
        <v>407.36</v>
      </c>
      <c r="AU814" s="69">
        <v>426.04</v>
      </c>
      <c r="AV814" s="69">
        <v>191.52</v>
      </c>
      <c r="BC814" s="69"/>
      <c r="BD814" s="69"/>
      <c r="CD814" s="94">
        <f t="shared" si="94"/>
        <v>4091.06</v>
      </c>
      <c r="CE814" s="73">
        <f t="shared" si="95"/>
        <v>0</v>
      </c>
      <c r="CF814" s="75">
        <f t="shared" si="93"/>
        <v>5809</v>
      </c>
      <c r="CG814" s="69" t="str">
        <f t="shared" si="93"/>
        <v>علاج تخصصى</v>
      </c>
    </row>
    <row r="815" spans="1:85" x14ac:dyDescent="0.25">
      <c r="B815" s="82">
        <v>10119</v>
      </c>
      <c r="C815" s="78">
        <v>5810</v>
      </c>
      <c r="D815" s="69" t="s">
        <v>122</v>
      </c>
      <c r="E815" s="69" t="s">
        <v>2916</v>
      </c>
      <c r="F815" s="69"/>
      <c r="G815" s="69">
        <v>7796.25</v>
      </c>
      <c r="T815" s="69"/>
      <c r="U815" s="69"/>
      <c r="AR815" s="94">
        <f t="shared" si="92"/>
        <v>7796.25</v>
      </c>
      <c r="AS815" s="69">
        <v>6564.81</v>
      </c>
      <c r="AT815" s="69">
        <v>841.63</v>
      </c>
      <c r="AV815" s="69">
        <v>389.81</v>
      </c>
      <c r="BC815" s="69"/>
      <c r="BD815" s="69"/>
      <c r="CD815" s="94">
        <f t="shared" si="94"/>
        <v>7796.2500000000009</v>
      </c>
      <c r="CE815" s="73">
        <f t="shared" si="95"/>
        <v>0</v>
      </c>
      <c r="CF815" s="75">
        <f t="shared" si="93"/>
        <v>5810</v>
      </c>
      <c r="CG815" s="69" t="str">
        <f t="shared" si="93"/>
        <v>علاج تخصصى</v>
      </c>
    </row>
    <row r="816" spans="1:85" x14ac:dyDescent="0.25">
      <c r="B816" s="82">
        <v>10118</v>
      </c>
      <c r="C816" s="78">
        <v>5811</v>
      </c>
      <c r="D816" s="69" t="s">
        <v>122</v>
      </c>
      <c r="E816" s="69" t="s">
        <v>2916</v>
      </c>
      <c r="F816" s="69"/>
      <c r="G816" s="69">
        <v>54253.15</v>
      </c>
      <c r="T816" s="69"/>
      <c r="U816" s="69"/>
      <c r="AR816" s="94">
        <f t="shared" si="92"/>
        <v>54253.15</v>
      </c>
      <c r="AS816" s="69">
        <v>42937.2</v>
      </c>
      <c r="AT816" s="69">
        <v>5590.84</v>
      </c>
      <c r="AU816" s="69">
        <v>3107.32</v>
      </c>
      <c r="AV816" s="69">
        <v>2617.79</v>
      </c>
      <c r="BC816" s="69"/>
      <c r="BD816" s="69"/>
      <c r="CD816" s="94">
        <f t="shared" si="94"/>
        <v>54253.149999999994</v>
      </c>
      <c r="CE816" s="73">
        <f t="shared" si="95"/>
        <v>0</v>
      </c>
      <c r="CF816" s="75">
        <f t="shared" si="93"/>
        <v>5811</v>
      </c>
      <c r="CG816" s="69" t="str">
        <f t="shared" si="93"/>
        <v>علاج تخصصى</v>
      </c>
    </row>
    <row r="817" spans="2:85" x14ac:dyDescent="0.25">
      <c r="B817" s="82">
        <v>10117</v>
      </c>
      <c r="C817" s="78">
        <v>5812</v>
      </c>
      <c r="D817" s="69" t="s">
        <v>122</v>
      </c>
      <c r="E817" s="69" t="s">
        <v>2916</v>
      </c>
      <c r="F817" s="69"/>
      <c r="G817" s="69">
        <v>8111.12</v>
      </c>
      <c r="T817" s="69"/>
      <c r="U817" s="69"/>
      <c r="AR817" s="94">
        <f t="shared" si="92"/>
        <v>8111.12</v>
      </c>
      <c r="AS817" s="69">
        <v>5411.84</v>
      </c>
      <c r="AT817" s="69">
        <f>53.2+691.79</f>
        <v>744.99</v>
      </c>
      <c r="AU817" s="69">
        <v>1954.29</v>
      </c>
      <c r="BC817" s="69"/>
      <c r="BD817" s="69"/>
      <c r="CD817" s="94">
        <f t="shared" si="94"/>
        <v>8111.12</v>
      </c>
      <c r="CE817" s="73">
        <f t="shared" si="95"/>
        <v>0</v>
      </c>
      <c r="CF817" s="75">
        <f t="shared" si="93"/>
        <v>5812</v>
      </c>
      <c r="CG817" s="69" t="str">
        <f t="shared" si="93"/>
        <v>علاج تخصصى</v>
      </c>
    </row>
    <row r="818" spans="2:85" x14ac:dyDescent="0.25">
      <c r="B818" s="82">
        <v>10108</v>
      </c>
      <c r="C818" s="78">
        <v>5813</v>
      </c>
      <c r="D818" s="69" t="s">
        <v>123</v>
      </c>
      <c r="E818" s="69" t="s">
        <v>2917</v>
      </c>
      <c r="F818" s="69"/>
      <c r="G818" s="69">
        <v>1000</v>
      </c>
      <c r="T818" s="69"/>
      <c r="U818" s="69"/>
      <c r="AR818" s="94">
        <f t="shared" si="92"/>
        <v>1000</v>
      </c>
      <c r="AS818" s="69">
        <v>843.35</v>
      </c>
      <c r="AT818" s="69">
        <v>106.65</v>
      </c>
      <c r="AV818" s="69">
        <v>50</v>
      </c>
      <c r="BC818" s="69"/>
      <c r="BD818" s="69"/>
      <c r="CD818" s="94">
        <f t="shared" si="94"/>
        <v>1000</v>
      </c>
      <c r="CE818" s="73">
        <f t="shared" si="95"/>
        <v>0</v>
      </c>
      <c r="CF818" s="75">
        <f t="shared" si="93"/>
        <v>5813</v>
      </c>
      <c r="CG818" s="69" t="str">
        <f t="shared" si="93"/>
        <v>خ ت اسنان</v>
      </c>
    </row>
    <row r="819" spans="2:85" x14ac:dyDescent="0.25">
      <c r="B819" s="82">
        <v>10111</v>
      </c>
      <c r="C819" s="78">
        <v>5814</v>
      </c>
      <c r="D819" s="69" t="s">
        <v>123</v>
      </c>
      <c r="E819" s="69" t="s">
        <v>2918</v>
      </c>
      <c r="F819" s="69"/>
      <c r="G819" s="69">
        <v>470.44</v>
      </c>
      <c r="T819" s="69"/>
      <c r="U819" s="69"/>
      <c r="AR819" s="94">
        <f t="shared" si="92"/>
        <v>470.44</v>
      </c>
      <c r="AS819" s="69">
        <v>295.91000000000003</v>
      </c>
      <c r="AT819" s="69">
        <v>41.12</v>
      </c>
      <c r="AU819" s="69">
        <v>113.35</v>
      </c>
      <c r="AV819" s="69">
        <v>20.059999999999999</v>
      </c>
      <c r="BC819" s="69"/>
      <c r="BD819" s="69"/>
      <c r="CD819" s="94">
        <f t="shared" si="94"/>
        <v>470.44</v>
      </c>
      <c r="CE819" s="73">
        <f t="shared" si="95"/>
        <v>0</v>
      </c>
      <c r="CF819" s="75">
        <f t="shared" si="93"/>
        <v>5814</v>
      </c>
      <c r="CG819" s="69" t="str">
        <f t="shared" si="93"/>
        <v>خ ت اسنان</v>
      </c>
    </row>
    <row r="820" spans="2:85" x14ac:dyDescent="0.25">
      <c r="B820" s="82">
        <v>10113</v>
      </c>
      <c r="C820" s="78">
        <v>5815</v>
      </c>
      <c r="D820" s="69" t="s">
        <v>123</v>
      </c>
      <c r="E820" s="69" t="s">
        <v>2919</v>
      </c>
      <c r="F820" s="69"/>
      <c r="G820" s="69">
        <v>28580.639999999999</v>
      </c>
      <c r="T820" s="69"/>
      <c r="U820" s="69"/>
      <c r="AR820" s="94">
        <f t="shared" si="92"/>
        <v>28580.639999999999</v>
      </c>
      <c r="AS820" s="69">
        <v>24066.5</v>
      </c>
      <c r="AT820" s="69">
        <v>3085.11</v>
      </c>
      <c r="AV820" s="69">
        <v>1429.03</v>
      </c>
      <c r="BC820" s="69"/>
      <c r="BD820" s="69"/>
      <c r="CD820" s="94">
        <f t="shared" si="94"/>
        <v>28580.639999999999</v>
      </c>
      <c r="CE820" s="73">
        <f t="shared" si="95"/>
        <v>0</v>
      </c>
      <c r="CF820" s="75">
        <f t="shared" si="93"/>
        <v>5815</v>
      </c>
      <c r="CG820" s="69" t="str">
        <f t="shared" si="93"/>
        <v>خ ت اسنان</v>
      </c>
    </row>
    <row r="821" spans="2:85" x14ac:dyDescent="0.25">
      <c r="B821" s="82">
        <v>10109</v>
      </c>
      <c r="C821" s="78">
        <v>5816</v>
      </c>
      <c r="D821" s="69" t="s">
        <v>123</v>
      </c>
      <c r="E821" s="69" t="s">
        <v>2920</v>
      </c>
      <c r="F821" s="69"/>
      <c r="G821" s="69">
        <v>1055.24</v>
      </c>
      <c r="T821" s="69"/>
      <c r="U821" s="69"/>
      <c r="AR821" s="94">
        <f t="shared" si="92"/>
        <v>1055.24</v>
      </c>
      <c r="AS821" s="69">
        <v>661.4</v>
      </c>
      <c r="AT821" s="69">
        <v>94.6</v>
      </c>
      <c r="AU821" s="69">
        <v>254.24</v>
      </c>
      <c r="AV821" s="69">
        <v>45</v>
      </c>
      <c r="BC821" s="69"/>
      <c r="BD821" s="69"/>
      <c r="CD821" s="94">
        <f t="shared" si="94"/>
        <v>1055.24</v>
      </c>
      <c r="CE821" s="73">
        <f t="shared" si="95"/>
        <v>0</v>
      </c>
      <c r="CF821" s="75">
        <f t="shared" si="93"/>
        <v>5816</v>
      </c>
      <c r="CG821" s="69" t="str">
        <f t="shared" si="93"/>
        <v>خ ت اسنان</v>
      </c>
    </row>
    <row r="822" spans="2:85" x14ac:dyDescent="0.25">
      <c r="B822" s="82">
        <v>10115</v>
      </c>
      <c r="C822" s="78">
        <v>5817</v>
      </c>
      <c r="D822" s="69" t="s">
        <v>123</v>
      </c>
      <c r="E822" s="69" t="s">
        <v>2921</v>
      </c>
      <c r="F822" s="69"/>
      <c r="G822" s="69">
        <v>836.93</v>
      </c>
      <c r="T822" s="69"/>
      <c r="U822" s="69"/>
      <c r="AR822" s="94">
        <f t="shared" si="92"/>
        <v>836.93</v>
      </c>
      <c r="AS822" s="69">
        <v>528.11</v>
      </c>
      <c r="AT822" s="69">
        <v>71.48</v>
      </c>
      <c r="AU822" s="69">
        <v>201.65</v>
      </c>
      <c r="AV822" s="69">
        <v>35.69</v>
      </c>
      <c r="BC822" s="69"/>
      <c r="BD822" s="69"/>
      <c r="CD822" s="94">
        <f t="shared" si="94"/>
        <v>836.93000000000006</v>
      </c>
      <c r="CE822" s="73">
        <f t="shared" si="95"/>
        <v>0</v>
      </c>
      <c r="CF822" s="75">
        <f t="shared" si="93"/>
        <v>5817</v>
      </c>
      <c r="CG822" s="69" t="str">
        <f t="shared" si="93"/>
        <v>خ ت اسنان</v>
      </c>
    </row>
    <row r="823" spans="2:85" x14ac:dyDescent="0.25">
      <c r="B823" s="82">
        <v>10116</v>
      </c>
      <c r="C823" s="78">
        <v>5818</v>
      </c>
      <c r="D823" s="69" t="s">
        <v>123</v>
      </c>
      <c r="E823" s="69" t="s">
        <v>2921</v>
      </c>
      <c r="F823" s="69"/>
      <c r="G823" s="69">
        <v>75</v>
      </c>
      <c r="T823" s="69"/>
      <c r="U823" s="69"/>
      <c r="AR823" s="94">
        <f t="shared" si="92"/>
        <v>75</v>
      </c>
      <c r="AS823" s="69">
        <v>63.6</v>
      </c>
      <c r="AT823" s="69">
        <v>7.65</v>
      </c>
      <c r="AV823" s="69">
        <v>3.75</v>
      </c>
      <c r="BC823" s="69"/>
      <c r="BD823" s="69"/>
      <c r="CD823" s="94">
        <f t="shared" si="94"/>
        <v>75</v>
      </c>
      <c r="CE823" s="73">
        <f t="shared" si="95"/>
        <v>0</v>
      </c>
      <c r="CF823" s="75">
        <f t="shared" si="93"/>
        <v>5818</v>
      </c>
      <c r="CG823" s="69" t="str">
        <f t="shared" si="93"/>
        <v>خ ت اسنان</v>
      </c>
    </row>
    <row r="824" spans="2:85" x14ac:dyDescent="0.25">
      <c r="B824" s="82">
        <v>10114</v>
      </c>
      <c r="C824" s="78">
        <v>5819</v>
      </c>
      <c r="D824" s="69" t="s">
        <v>123</v>
      </c>
      <c r="E824" s="69" t="s">
        <v>2921</v>
      </c>
      <c r="F824" s="69"/>
      <c r="G824" s="69">
        <v>3448.85</v>
      </c>
      <c r="T824" s="69"/>
      <c r="U824" s="69"/>
      <c r="AR824" s="94">
        <f t="shared" si="92"/>
        <v>3448.85</v>
      </c>
      <c r="AS824" s="69">
        <v>2169.29</v>
      </c>
      <c r="AT824" s="69">
        <v>298.25</v>
      </c>
      <c r="AU824" s="69">
        <v>834.35</v>
      </c>
      <c r="AV824" s="69">
        <v>146.96</v>
      </c>
      <c r="BC824" s="69"/>
      <c r="BD824" s="69"/>
      <c r="CD824" s="94">
        <f t="shared" si="94"/>
        <v>3448.85</v>
      </c>
      <c r="CE824" s="73">
        <f t="shared" si="95"/>
        <v>0</v>
      </c>
      <c r="CF824" s="75">
        <f t="shared" si="93"/>
        <v>5819</v>
      </c>
      <c r="CG824" s="69" t="str">
        <f t="shared" si="93"/>
        <v>خ ت اسنان</v>
      </c>
    </row>
    <row r="825" spans="2:85" x14ac:dyDescent="0.25">
      <c r="B825" s="82">
        <v>10003</v>
      </c>
      <c r="C825" s="78">
        <v>5820</v>
      </c>
      <c r="D825" s="69" t="s">
        <v>132</v>
      </c>
      <c r="E825" s="69" t="s">
        <v>2922</v>
      </c>
      <c r="F825" s="69"/>
      <c r="G825" s="69">
        <v>4000</v>
      </c>
      <c r="T825" s="69"/>
      <c r="U825" s="69"/>
      <c r="AR825" s="94">
        <f t="shared" si="92"/>
        <v>4000</v>
      </c>
      <c r="AS825" s="69">
        <v>3570.35</v>
      </c>
      <c r="AT825" s="69">
        <v>429.65</v>
      </c>
      <c r="BC825" s="69"/>
      <c r="BD825" s="69"/>
      <c r="CD825" s="94">
        <f t="shared" si="94"/>
        <v>4000</v>
      </c>
      <c r="CE825" s="73">
        <f t="shared" si="95"/>
        <v>0</v>
      </c>
      <c r="CF825" s="75">
        <f t="shared" si="93"/>
        <v>5820</v>
      </c>
      <c r="CG825" s="69" t="str">
        <f t="shared" si="93"/>
        <v>صيدلة اكلينيكى</v>
      </c>
    </row>
    <row r="826" spans="2:85" x14ac:dyDescent="0.25">
      <c r="B826" s="82">
        <v>9962</v>
      </c>
      <c r="C826" s="78">
        <v>5821</v>
      </c>
      <c r="D826" s="69" t="s">
        <v>132</v>
      </c>
      <c r="E826" s="69" t="s">
        <v>2923</v>
      </c>
      <c r="F826" s="69"/>
      <c r="G826" s="69">
        <v>13200</v>
      </c>
      <c r="T826" s="69"/>
      <c r="U826" s="69"/>
      <c r="AR826" s="94">
        <f t="shared" si="92"/>
        <v>13200</v>
      </c>
      <c r="AS826" s="69">
        <v>11752.45</v>
      </c>
      <c r="AT826" s="69">
        <f>96.2+301.35</f>
        <v>397.55</v>
      </c>
      <c r="AV826" s="69">
        <v>1050</v>
      </c>
      <c r="BC826" s="69"/>
      <c r="BD826" s="69"/>
      <c r="CD826" s="94">
        <f t="shared" si="94"/>
        <v>13200</v>
      </c>
      <c r="CE826" s="73">
        <f t="shared" si="95"/>
        <v>0</v>
      </c>
      <c r="CF826" s="75">
        <f t="shared" si="93"/>
        <v>5821</v>
      </c>
      <c r="CG826" s="69" t="str">
        <f t="shared" si="93"/>
        <v>صيدلة اكلينيكى</v>
      </c>
    </row>
    <row r="827" spans="2:85" x14ac:dyDescent="0.25">
      <c r="B827" s="82">
        <v>10004</v>
      </c>
      <c r="C827" s="78">
        <v>5822</v>
      </c>
      <c r="D827" s="69" t="s">
        <v>132</v>
      </c>
      <c r="E827" s="69" t="s">
        <v>2924</v>
      </c>
      <c r="F827" s="69"/>
      <c r="G827" s="69">
        <v>4221</v>
      </c>
      <c r="T827" s="69"/>
      <c r="U827" s="69"/>
      <c r="AR827" s="94">
        <f t="shared" si="92"/>
        <v>4221</v>
      </c>
      <c r="AS827" s="69">
        <v>3100.79</v>
      </c>
      <c r="AT827" s="69">
        <f>23.7+79.51</f>
        <v>103.21000000000001</v>
      </c>
      <c r="AU827" s="69">
        <v>1017</v>
      </c>
      <c r="BC827" s="69"/>
      <c r="BD827" s="69"/>
      <c r="CD827" s="94">
        <f t="shared" si="94"/>
        <v>4221</v>
      </c>
      <c r="CE827" s="73">
        <f t="shared" si="95"/>
        <v>0</v>
      </c>
      <c r="CF827" s="75">
        <f t="shared" si="93"/>
        <v>5822</v>
      </c>
      <c r="CG827" s="69" t="str">
        <f t="shared" si="93"/>
        <v>صيدلة اكلينيكى</v>
      </c>
    </row>
    <row r="828" spans="2:85" x14ac:dyDescent="0.25">
      <c r="B828" s="82">
        <v>10002</v>
      </c>
      <c r="C828" s="78">
        <v>5823</v>
      </c>
      <c r="D828" s="69" t="s">
        <v>132</v>
      </c>
      <c r="E828" s="69" t="s">
        <v>2925</v>
      </c>
      <c r="F828" s="69"/>
      <c r="G828" s="69">
        <v>6100</v>
      </c>
      <c r="T828" s="69"/>
      <c r="U828" s="69"/>
      <c r="AR828" s="94">
        <f t="shared" si="92"/>
        <v>6100</v>
      </c>
      <c r="AS828" s="69">
        <v>5444.99</v>
      </c>
      <c r="AT828" s="69">
        <v>655.01</v>
      </c>
      <c r="BC828" s="69"/>
      <c r="BD828" s="69"/>
      <c r="CD828" s="94">
        <f t="shared" si="94"/>
        <v>6100</v>
      </c>
      <c r="CE828" s="73">
        <f t="shared" si="95"/>
        <v>0</v>
      </c>
      <c r="CF828" s="75">
        <f t="shared" si="93"/>
        <v>5823</v>
      </c>
      <c r="CG828" s="69" t="str">
        <f t="shared" si="93"/>
        <v>صيدلة اكلينيكى</v>
      </c>
    </row>
    <row r="829" spans="2:85" x14ac:dyDescent="0.25">
      <c r="B829" s="82">
        <v>9961</v>
      </c>
      <c r="C829" s="78">
        <v>5824</v>
      </c>
      <c r="D829" s="69" t="s">
        <v>132</v>
      </c>
      <c r="E829" s="69" t="str">
        <f>+E826</f>
        <v>مكافاه عمال يوميه ديسمبر</v>
      </c>
      <c r="F829" s="69"/>
      <c r="G829" s="69">
        <v>43030.76</v>
      </c>
      <c r="T829" s="69"/>
      <c r="U829" s="69"/>
      <c r="AR829" s="94">
        <f t="shared" si="92"/>
        <v>43030.76</v>
      </c>
      <c r="AS829" s="69">
        <v>31320.17</v>
      </c>
      <c r="AT829" s="69">
        <f>239.8+803.03</f>
        <v>1042.83</v>
      </c>
      <c r="AU829" s="69">
        <v>10367.76</v>
      </c>
      <c r="AV829" s="69">
        <v>300</v>
      </c>
      <c r="BC829" s="69"/>
      <c r="BD829" s="69"/>
      <c r="CD829" s="94">
        <f t="shared" si="94"/>
        <v>43030.76</v>
      </c>
      <c r="CE829" s="73">
        <f t="shared" si="95"/>
        <v>0</v>
      </c>
      <c r="CF829" s="75">
        <f t="shared" si="93"/>
        <v>5824</v>
      </c>
      <c r="CG829" s="69" t="str">
        <f t="shared" si="93"/>
        <v>صيدلة اكلينيكى</v>
      </c>
    </row>
    <row r="830" spans="2:85" x14ac:dyDescent="0.25">
      <c r="B830" s="82">
        <v>10164</v>
      </c>
      <c r="C830" s="78">
        <v>5825</v>
      </c>
      <c r="D830" s="69" t="s">
        <v>128</v>
      </c>
      <c r="E830" s="69" t="s">
        <v>2926</v>
      </c>
      <c r="F830" s="69"/>
      <c r="G830" s="69">
        <v>1582.88</v>
      </c>
      <c r="T830" s="69"/>
      <c r="U830" s="69"/>
      <c r="AR830" s="94">
        <f t="shared" ref="AR830:AR847" si="96">SUM(G830:AQ830)</f>
        <v>1582.88</v>
      </c>
      <c r="AS830" s="69">
        <v>1059</v>
      </c>
      <c r="AT830" s="69">
        <f>7.5+135</f>
        <v>142.5</v>
      </c>
      <c r="AU830" s="69">
        <v>381.38</v>
      </c>
      <c r="BC830" s="69"/>
      <c r="BD830" s="69"/>
      <c r="CD830" s="94">
        <f t="shared" si="94"/>
        <v>1582.88</v>
      </c>
      <c r="CE830" s="73">
        <f t="shared" si="95"/>
        <v>0</v>
      </c>
      <c r="CF830" s="75">
        <f t="shared" ref="CF830:CG847" si="97">+C830</f>
        <v>5825</v>
      </c>
      <c r="CG830" s="69" t="str">
        <f t="shared" si="97"/>
        <v>مركز مؤتمرات</v>
      </c>
    </row>
    <row r="831" spans="2:85" x14ac:dyDescent="0.25">
      <c r="B831" s="82">
        <v>10165</v>
      </c>
      <c r="C831" s="78">
        <v>5826</v>
      </c>
      <c r="D831" s="69" t="s">
        <v>128</v>
      </c>
      <c r="E831" s="69" t="s">
        <v>2926</v>
      </c>
      <c r="F831" s="69"/>
      <c r="G831" s="69">
        <v>16032.77</v>
      </c>
      <c r="T831" s="69"/>
      <c r="U831" s="69"/>
      <c r="AR831" s="94">
        <f t="shared" si="96"/>
        <v>16032.77</v>
      </c>
      <c r="AS831" s="69">
        <v>10714.76</v>
      </c>
      <c r="AT831" s="69">
        <v>1455.1</v>
      </c>
      <c r="AU831" s="69">
        <v>3862.91</v>
      </c>
      <c r="BC831" s="69"/>
      <c r="BD831" s="69"/>
      <c r="CD831" s="94">
        <f t="shared" si="94"/>
        <v>16032.77</v>
      </c>
      <c r="CE831" s="73">
        <f t="shared" si="95"/>
        <v>0</v>
      </c>
      <c r="CF831" s="75">
        <f t="shared" si="97"/>
        <v>5826</v>
      </c>
      <c r="CG831" s="69" t="str">
        <f t="shared" si="97"/>
        <v>مركز مؤتمرات</v>
      </c>
    </row>
    <row r="832" spans="2:85" x14ac:dyDescent="0.25">
      <c r="B832" s="82">
        <v>10166</v>
      </c>
      <c r="C832" s="78">
        <v>5827</v>
      </c>
      <c r="D832" s="69" t="s">
        <v>128</v>
      </c>
      <c r="E832" s="69" t="s">
        <v>2926</v>
      </c>
      <c r="F832" s="69"/>
      <c r="G832" s="69">
        <v>6185.8</v>
      </c>
      <c r="T832" s="69"/>
      <c r="U832" s="69"/>
      <c r="AR832" s="94">
        <f t="shared" si="96"/>
        <v>6185.8</v>
      </c>
      <c r="AS832" s="69">
        <v>4793.3999999999996</v>
      </c>
      <c r="AT832" s="69">
        <v>609.9</v>
      </c>
      <c r="AU832" s="69">
        <v>782.5</v>
      </c>
      <c r="BC832" s="69"/>
      <c r="BD832" s="69"/>
      <c r="CD832" s="94">
        <f t="shared" si="94"/>
        <v>6185.7999999999993</v>
      </c>
      <c r="CE832" s="73">
        <f t="shared" si="95"/>
        <v>0</v>
      </c>
      <c r="CF832" s="75">
        <f t="shared" si="97"/>
        <v>5827</v>
      </c>
      <c r="CG832" s="69" t="str">
        <f t="shared" si="97"/>
        <v>مركز مؤتمرات</v>
      </c>
    </row>
    <row r="833" spans="2:86" x14ac:dyDescent="0.25">
      <c r="B833" s="82">
        <v>10167</v>
      </c>
      <c r="C833" s="78">
        <v>5828</v>
      </c>
      <c r="D833" s="69" t="s">
        <v>128</v>
      </c>
      <c r="E833" s="69" t="s">
        <v>2926</v>
      </c>
      <c r="F833" s="69"/>
      <c r="G833" s="69">
        <v>644.88</v>
      </c>
      <c r="T833" s="69"/>
      <c r="U833" s="69"/>
      <c r="AR833" s="94">
        <f t="shared" si="96"/>
        <v>644.88</v>
      </c>
      <c r="AS833" s="69">
        <v>431.4</v>
      </c>
      <c r="AT833" s="69">
        <v>58.1</v>
      </c>
      <c r="AU833" s="69">
        <v>155.38</v>
      </c>
      <c r="BC833" s="69"/>
      <c r="BD833" s="69"/>
      <c r="CD833" s="94">
        <f t="shared" si="94"/>
        <v>644.88</v>
      </c>
      <c r="CE833" s="73">
        <f t="shared" si="95"/>
        <v>0</v>
      </c>
      <c r="CF833" s="75">
        <f t="shared" si="97"/>
        <v>5828</v>
      </c>
      <c r="CG833" s="69" t="str">
        <f t="shared" si="97"/>
        <v>مركز مؤتمرات</v>
      </c>
    </row>
    <row r="834" spans="2:86" x14ac:dyDescent="0.25">
      <c r="B834" s="82">
        <v>10168</v>
      </c>
      <c r="C834" s="78">
        <v>5829</v>
      </c>
      <c r="D834" s="69" t="s">
        <v>128</v>
      </c>
      <c r="E834" s="69" t="s">
        <v>2926</v>
      </c>
      <c r="F834" s="69"/>
      <c r="G834" s="69">
        <v>1200</v>
      </c>
      <c r="T834" s="69"/>
      <c r="U834" s="69"/>
      <c r="AR834" s="94">
        <f t="shared" si="96"/>
        <v>1200</v>
      </c>
      <c r="AS834" s="69">
        <v>1071.3499999999999</v>
      </c>
      <c r="AT834" s="69">
        <v>128.65</v>
      </c>
      <c r="BC834" s="69"/>
      <c r="BD834" s="69"/>
      <c r="CD834" s="94">
        <f t="shared" si="94"/>
        <v>1200</v>
      </c>
      <c r="CE834" s="73">
        <f t="shared" si="95"/>
        <v>0</v>
      </c>
      <c r="CF834" s="75">
        <f t="shared" si="97"/>
        <v>5829</v>
      </c>
      <c r="CG834" s="69" t="str">
        <f t="shared" si="97"/>
        <v>مركز مؤتمرات</v>
      </c>
    </row>
    <row r="835" spans="2:86" x14ac:dyDescent="0.25">
      <c r="B835" s="82">
        <v>10163</v>
      </c>
      <c r="C835" s="78">
        <v>5830</v>
      </c>
      <c r="D835" s="69" t="s">
        <v>128</v>
      </c>
      <c r="E835" s="69" t="s">
        <v>2927</v>
      </c>
      <c r="F835" s="69"/>
      <c r="G835" s="69">
        <v>1407</v>
      </c>
      <c r="T835" s="69"/>
      <c r="U835" s="69"/>
      <c r="AR835" s="94">
        <f t="shared" si="96"/>
        <v>1407</v>
      </c>
      <c r="AS835" s="69">
        <v>940.35</v>
      </c>
      <c r="AT835" s="69">
        <v>127.65</v>
      </c>
      <c r="AU835" s="69">
        <v>339</v>
      </c>
      <c r="BC835" s="69"/>
      <c r="BD835" s="69"/>
      <c r="CD835" s="94">
        <f t="shared" si="94"/>
        <v>1407</v>
      </c>
      <c r="CE835" s="73">
        <f t="shared" si="95"/>
        <v>0</v>
      </c>
      <c r="CF835" s="75">
        <f t="shared" si="97"/>
        <v>5830</v>
      </c>
      <c r="CG835" s="69" t="str">
        <f t="shared" si="97"/>
        <v>مركز مؤتمرات</v>
      </c>
    </row>
    <row r="836" spans="2:86" x14ac:dyDescent="0.25">
      <c r="B836" s="82">
        <v>10162</v>
      </c>
      <c r="C836" s="78">
        <v>5831</v>
      </c>
      <c r="D836" s="69" t="s">
        <v>128</v>
      </c>
      <c r="E836" s="69" t="str">
        <f>+E835</f>
        <v>مكافاه الملاعب نوفمبر</v>
      </c>
      <c r="F836" s="69"/>
      <c r="G836" s="69">
        <v>6030.17</v>
      </c>
      <c r="T836" s="69"/>
      <c r="U836" s="69"/>
      <c r="AR836" s="94">
        <f t="shared" si="96"/>
        <v>6030.17</v>
      </c>
      <c r="AS836" s="69">
        <v>4030.02</v>
      </c>
      <c r="AT836" s="69">
        <v>547.25</v>
      </c>
      <c r="AU836" s="69">
        <v>1452.9</v>
      </c>
      <c r="BC836" s="69"/>
      <c r="BD836" s="69"/>
      <c r="CD836" s="94">
        <f t="shared" si="94"/>
        <v>6030.17</v>
      </c>
      <c r="CE836" s="73">
        <f t="shared" si="95"/>
        <v>0</v>
      </c>
      <c r="CF836" s="75">
        <f t="shared" si="97"/>
        <v>5831</v>
      </c>
      <c r="CG836" s="69" t="str">
        <f t="shared" si="97"/>
        <v>مركز مؤتمرات</v>
      </c>
    </row>
    <row r="837" spans="2:86" x14ac:dyDescent="0.25">
      <c r="B837" s="82">
        <v>10161</v>
      </c>
      <c r="C837" s="78">
        <v>5832</v>
      </c>
      <c r="D837" s="69" t="s">
        <v>128</v>
      </c>
      <c r="E837" s="69" t="str">
        <f>+E836</f>
        <v>مكافاه الملاعب نوفمبر</v>
      </c>
      <c r="F837" s="69"/>
      <c r="G837" s="69">
        <v>13115.72</v>
      </c>
      <c r="T837" s="69"/>
      <c r="U837" s="69"/>
      <c r="AR837" s="94">
        <f t="shared" si="96"/>
        <v>13115.72</v>
      </c>
      <c r="AS837" s="69">
        <v>9655.4699999999993</v>
      </c>
      <c r="AT837" s="69">
        <v>1256.4000000000001</v>
      </c>
      <c r="AU837" s="69">
        <v>2203.85</v>
      </c>
      <c r="BC837" s="69"/>
      <c r="BD837" s="69"/>
      <c r="CD837" s="94">
        <f t="shared" si="94"/>
        <v>13115.72</v>
      </c>
      <c r="CE837" s="73">
        <f t="shared" si="95"/>
        <v>0</v>
      </c>
      <c r="CF837" s="75">
        <f t="shared" si="97"/>
        <v>5832</v>
      </c>
      <c r="CG837" s="69" t="str">
        <f t="shared" si="97"/>
        <v>مركز مؤتمرات</v>
      </c>
    </row>
    <row r="838" spans="2:86" x14ac:dyDescent="0.25">
      <c r="B838" s="82">
        <v>10160</v>
      </c>
      <c r="C838" s="78">
        <v>5833</v>
      </c>
      <c r="D838" s="69" t="s">
        <v>128</v>
      </c>
      <c r="E838" s="69" t="str">
        <f>+E837</f>
        <v>مكافاه الملاعب نوفمبر</v>
      </c>
      <c r="F838" s="69"/>
      <c r="G838" s="69">
        <v>1641.51</v>
      </c>
      <c r="T838" s="69"/>
      <c r="U838" s="69"/>
      <c r="AR838" s="94">
        <f t="shared" si="96"/>
        <v>1641.51</v>
      </c>
      <c r="AS838" s="69">
        <v>1098.2</v>
      </c>
      <c r="AT838" s="69">
        <f>7.8+140</f>
        <v>147.80000000000001</v>
      </c>
      <c r="AU838" s="69">
        <v>395.51</v>
      </c>
      <c r="BC838" s="69"/>
      <c r="BD838" s="69"/>
      <c r="CD838" s="94">
        <f t="shared" si="94"/>
        <v>1641.51</v>
      </c>
      <c r="CE838" s="73">
        <f t="shared" si="95"/>
        <v>0</v>
      </c>
      <c r="CF838" s="75">
        <f t="shared" si="97"/>
        <v>5833</v>
      </c>
      <c r="CG838" s="69" t="str">
        <f t="shared" si="97"/>
        <v>مركز مؤتمرات</v>
      </c>
    </row>
    <row r="839" spans="2:86" x14ac:dyDescent="0.25">
      <c r="B839" s="82">
        <v>8840</v>
      </c>
      <c r="C839" s="78">
        <v>5834</v>
      </c>
      <c r="D839" s="69" t="s">
        <v>78</v>
      </c>
      <c r="E839" s="69" t="s">
        <v>2928</v>
      </c>
      <c r="F839" s="69"/>
      <c r="H839" s="69">
        <v>1350</v>
      </c>
      <c r="T839" s="69"/>
      <c r="U839" s="69"/>
      <c r="AR839" s="94">
        <f t="shared" si="96"/>
        <v>1350</v>
      </c>
      <c r="AS839" s="69">
        <v>1350</v>
      </c>
      <c r="AT839" s="69"/>
      <c r="BC839" s="69"/>
      <c r="BD839" s="69"/>
      <c r="CD839" s="94">
        <f t="shared" si="94"/>
        <v>1350</v>
      </c>
      <c r="CE839" s="73">
        <f t="shared" si="95"/>
        <v>0</v>
      </c>
      <c r="CF839" s="75">
        <f t="shared" si="97"/>
        <v>5834</v>
      </c>
      <c r="CG839" s="69" t="str">
        <f t="shared" si="97"/>
        <v>برنامج دولى</v>
      </c>
    </row>
    <row r="840" spans="2:86" x14ac:dyDescent="0.25">
      <c r="B840" s="82">
        <v>9812</v>
      </c>
      <c r="C840" s="78">
        <v>5835</v>
      </c>
      <c r="D840" s="69" t="s">
        <v>78</v>
      </c>
      <c r="E840" s="69" t="s">
        <v>2929</v>
      </c>
      <c r="F840" s="69"/>
      <c r="H840" s="69">
        <v>618.39</v>
      </c>
      <c r="T840" s="69"/>
      <c r="U840" s="69"/>
      <c r="AR840" s="94">
        <f t="shared" si="96"/>
        <v>618.39</v>
      </c>
      <c r="AS840" s="69">
        <v>618.39</v>
      </c>
      <c r="AT840" s="69"/>
      <c r="BC840" s="69"/>
      <c r="BD840" s="69"/>
      <c r="CD840" s="94">
        <f t="shared" si="94"/>
        <v>618.39</v>
      </c>
      <c r="CE840" s="73">
        <f t="shared" si="95"/>
        <v>0</v>
      </c>
      <c r="CF840" s="75">
        <f t="shared" si="97"/>
        <v>5835</v>
      </c>
      <c r="CG840" s="69" t="str">
        <f t="shared" si="97"/>
        <v>برنامج دولى</v>
      </c>
    </row>
    <row r="841" spans="2:86" x14ac:dyDescent="0.25">
      <c r="B841" s="82">
        <v>9730</v>
      </c>
      <c r="C841" s="78">
        <v>5836</v>
      </c>
      <c r="D841" s="69" t="s">
        <v>137</v>
      </c>
      <c r="E841" s="69" t="s">
        <v>2930</v>
      </c>
      <c r="F841" s="69"/>
      <c r="H841" s="69">
        <v>19600</v>
      </c>
      <c r="T841" s="69"/>
      <c r="U841" s="69"/>
      <c r="AR841" s="94">
        <f t="shared" si="96"/>
        <v>19600</v>
      </c>
      <c r="AS841" s="69">
        <v>18465.2</v>
      </c>
      <c r="AT841" s="69">
        <f>217.3+651.9+21.6</f>
        <v>890.80000000000007</v>
      </c>
      <c r="BC841" s="69"/>
      <c r="BD841" s="69"/>
      <c r="BF841" s="69">
        <v>196</v>
      </c>
      <c r="BG841" s="69">
        <v>48</v>
      </c>
      <c r="CD841" s="94">
        <f t="shared" si="94"/>
        <v>19600</v>
      </c>
      <c r="CE841" s="73">
        <f t="shared" si="95"/>
        <v>0</v>
      </c>
      <c r="CF841" s="75">
        <f t="shared" si="97"/>
        <v>5836</v>
      </c>
      <c r="CG841" s="69" t="str">
        <f t="shared" si="97"/>
        <v xml:space="preserve">خدمة عامة </v>
      </c>
    </row>
    <row r="842" spans="2:86" ht="36" x14ac:dyDescent="0.25">
      <c r="B842" s="82">
        <v>9731</v>
      </c>
      <c r="C842" s="78">
        <v>5837</v>
      </c>
      <c r="D842" s="69" t="s">
        <v>121</v>
      </c>
      <c r="E842" s="77" t="s">
        <v>2931</v>
      </c>
      <c r="F842" s="69"/>
      <c r="H842" s="69">
        <v>45875</v>
      </c>
      <c r="T842" s="69"/>
      <c r="U842" s="69"/>
      <c r="AR842" s="94">
        <f t="shared" si="96"/>
        <v>45875</v>
      </c>
      <c r="AS842" s="69">
        <v>44038.35</v>
      </c>
      <c r="AT842" s="69">
        <f>341.15+1023.45+21.6</f>
        <v>1386.1999999999998</v>
      </c>
      <c r="BC842" s="69"/>
      <c r="BD842" s="69"/>
      <c r="BF842" s="69">
        <v>402.45</v>
      </c>
      <c r="BG842" s="69">
        <v>48</v>
      </c>
      <c r="CD842" s="94">
        <f t="shared" si="94"/>
        <v>45874.999999999993</v>
      </c>
      <c r="CE842" s="73">
        <f t="shared" si="95"/>
        <v>0</v>
      </c>
      <c r="CF842" s="75">
        <f t="shared" si="97"/>
        <v>5837</v>
      </c>
      <c r="CG842" s="69" t="str">
        <f t="shared" si="97"/>
        <v>ماليزى اسنان</v>
      </c>
    </row>
    <row r="843" spans="2:86" x14ac:dyDescent="0.25">
      <c r="B843" s="82">
        <v>8786</v>
      </c>
      <c r="C843" s="78">
        <v>5838</v>
      </c>
      <c r="D843" s="69" t="s">
        <v>121</v>
      </c>
      <c r="E843" s="69" t="s">
        <v>2932</v>
      </c>
      <c r="F843" s="69"/>
      <c r="H843" s="69">
        <v>39795</v>
      </c>
      <c r="T843" s="69"/>
      <c r="U843" s="69"/>
      <c r="AR843" s="94">
        <f t="shared" si="96"/>
        <v>39795</v>
      </c>
      <c r="AS843" s="69">
        <v>35573.5</v>
      </c>
      <c r="AT843" s="69">
        <f>338.5+1015.5+36</f>
        <v>1390</v>
      </c>
      <c r="AV843" s="69">
        <v>5</v>
      </c>
      <c r="BC843" s="69"/>
      <c r="BD843" s="69"/>
      <c r="BF843" s="69">
        <v>398</v>
      </c>
      <c r="BG843" s="69">
        <v>80</v>
      </c>
      <c r="BH843" s="69">
        <f>179.25*2</f>
        <v>358.5</v>
      </c>
      <c r="BJ843" s="69">
        <v>1990</v>
      </c>
      <c r="CD843" s="94">
        <f t="shared" si="94"/>
        <v>39795</v>
      </c>
      <c r="CE843" s="73">
        <f t="shared" si="95"/>
        <v>0</v>
      </c>
      <c r="CF843" s="75">
        <f t="shared" si="97"/>
        <v>5838</v>
      </c>
      <c r="CG843" s="69" t="str">
        <f t="shared" si="97"/>
        <v>ماليزى اسنان</v>
      </c>
    </row>
    <row r="844" spans="2:86" x14ac:dyDescent="0.25">
      <c r="B844" s="82">
        <v>10075</v>
      </c>
      <c r="C844" s="78">
        <v>5839</v>
      </c>
      <c r="D844" s="69" t="s">
        <v>132</v>
      </c>
      <c r="E844" s="69" t="s">
        <v>2933</v>
      </c>
      <c r="F844" s="69"/>
      <c r="T844" s="69"/>
      <c r="U844" s="69"/>
      <c r="W844" s="69">
        <v>3389</v>
      </c>
      <c r="AR844" s="94">
        <f t="shared" si="96"/>
        <v>3389</v>
      </c>
      <c r="AS844" s="69">
        <v>3389</v>
      </c>
      <c r="AT844" s="69"/>
      <c r="BC844" s="69"/>
      <c r="BD844" s="69"/>
      <c r="CD844" s="94">
        <f t="shared" si="94"/>
        <v>3389</v>
      </c>
      <c r="CE844" s="73">
        <f t="shared" si="95"/>
        <v>0</v>
      </c>
      <c r="CF844" s="75">
        <f t="shared" si="97"/>
        <v>5839</v>
      </c>
      <c r="CG844" s="69" t="str">
        <f t="shared" si="97"/>
        <v>صيدلة اكلينيكى</v>
      </c>
    </row>
    <row r="845" spans="2:86" x14ac:dyDescent="0.25">
      <c r="B845" s="82">
        <v>9819</v>
      </c>
      <c r="C845" s="78">
        <v>5840</v>
      </c>
      <c r="E845" s="69" t="s">
        <v>2934</v>
      </c>
      <c r="F845" s="69"/>
      <c r="T845" s="69"/>
      <c r="U845" s="69"/>
      <c r="AC845" s="69">
        <v>1300</v>
      </c>
      <c r="AR845" s="94">
        <f t="shared" si="96"/>
        <v>1300</v>
      </c>
      <c r="AS845" s="69">
        <v>1300</v>
      </c>
      <c r="AT845" s="69"/>
      <c r="BC845" s="69"/>
      <c r="BD845" s="69"/>
      <c r="CD845" s="94">
        <f t="shared" si="94"/>
        <v>1300</v>
      </c>
      <c r="CE845" s="73">
        <f t="shared" si="95"/>
        <v>0</v>
      </c>
      <c r="CF845" s="75">
        <f t="shared" si="97"/>
        <v>5840</v>
      </c>
      <c r="CG845" s="69">
        <f t="shared" si="97"/>
        <v>0</v>
      </c>
    </row>
    <row r="846" spans="2:86" x14ac:dyDescent="0.25">
      <c r="B846" s="82">
        <v>9820</v>
      </c>
      <c r="C846" s="78">
        <v>5841</v>
      </c>
      <c r="E846" s="69" t="s">
        <v>2935</v>
      </c>
      <c r="F846" s="69"/>
      <c r="T846" s="69"/>
      <c r="U846" s="69"/>
      <c r="AC846" s="69">
        <v>26063.79</v>
      </c>
      <c r="AR846" s="94">
        <f t="shared" si="96"/>
        <v>26063.79</v>
      </c>
      <c r="AS846" s="69">
        <v>26063.79</v>
      </c>
      <c r="AT846" s="69"/>
      <c r="BC846" s="69"/>
      <c r="BD846" s="69"/>
      <c r="CD846" s="94">
        <f t="shared" si="94"/>
        <v>26063.79</v>
      </c>
      <c r="CE846" s="73">
        <f t="shared" si="95"/>
        <v>0</v>
      </c>
      <c r="CF846" s="75">
        <f t="shared" si="97"/>
        <v>5841</v>
      </c>
      <c r="CG846" s="69">
        <f t="shared" si="97"/>
        <v>0</v>
      </c>
    </row>
    <row r="847" spans="2:86" x14ac:dyDescent="0.25">
      <c r="B847" s="82">
        <v>9948</v>
      </c>
      <c r="C847" s="78">
        <v>5842</v>
      </c>
      <c r="E847" s="69" t="s">
        <v>2936</v>
      </c>
      <c r="F847" s="69"/>
      <c r="T847" s="69"/>
      <c r="U847" s="69"/>
      <c r="AC847" s="69">
        <v>37181.79</v>
      </c>
      <c r="AR847" s="94">
        <f t="shared" si="96"/>
        <v>37181.79</v>
      </c>
      <c r="AS847" s="69">
        <v>37181.79</v>
      </c>
      <c r="AT847" s="69"/>
      <c r="BC847" s="69"/>
      <c r="BD847" s="69"/>
      <c r="CD847" s="94">
        <f t="shared" si="94"/>
        <v>37181.79</v>
      </c>
      <c r="CE847" s="73">
        <f t="shared" si="95"/>
        <v>0</v>
      </c>
      <c r="CF847" s="75">
        <f t="shared" si="97"/>
        <v>5842</v>
      </c>
      <c r="CG847" s="69">
        <f t="shared" si="97"/>
        <v>0</v>
      </c>
    </row>
    <row r="848" spans="2:86" s="68" customFormat="1" x14ac:dyDescent="0.25">
      <c r="B848" s="83"/>
      <c r="C848" s="84"/>
      <c r="E848" s="68" t="s">
        <v>2937</v>
      </c>
      <c r="G848" s="68">
        <f t="shared" ref="G848:AL848" si="98">SUM(G734:G847)</f>
        <v>896191.89000000036</v>
      </c>
      <c r="H848" s="68">
        <f t="shared" si="98"/>
        <v>107238.39</v>
      </c>
      <c r="I848" s="68">
        <f t="shared" si="98"/>
        <v>0</v>
      </c>
      <c r="J848" s="68">
        <f t="shared" si="98"/>
        <v>0</v>
      </c>
      <c r="K848" s="68">
        <f t="shared" si="98"/>
        <v>0</v>
      </c>
      <c r="L848" s="68">
        <f t="shared" si="98"/>
        <v>0</v>
      </c>
      <c r="M848" s="68">
        <f t="shared" si="98"/>
        <v>0</v>
      </c>
      <c r="N848" s="68">
        <f t="shared" si="98"/>
        <v>0</v>
      </c>
      <c r="O848" s="68">
        <f t="shared" si="98"/>
        <v>0</v>
      </c>
      <c r="P848" s="68">
        <f t="shared" si="98"/>
        <v>0</v>
      </c>
      <c r="Q848" s="68">
        <f t="shared" si="98"/>
        <v>0</v>
      </c>
      <c r="R848" s="68">
        <f t="shared" si="98"/>
        <v>0</v>
      </c>
      <c r="S848" s="68">
        <f t="shared" si="98"/>
        <v>0</v>
      </c>
      <c r="T848" s="68">
        <f t="shared" si="98"/>
        <v>0</v>
      </c>
      <c r="U848" s="68">
        <f t="shared" si="98"/>
        <v>0</v>
      </c>
      <c r="V848" s="68">
        <f t="shared" si="98"/>
        <v>0</v>
      </c>
      <c r="W848" s="68">
        <f t="shared" si="98"/>
        <v>3389</v>
      </c>
      <c r="X848" s="68">
        <f t="shared" si="98"/>
        <v>0</v>
      </c>
      <c r="Y848" s="68">
        <f t="shared" si="98"/>
        <v>0</v>
      </c>
      <c r="Z848" s="68">
        <f t="shared" si="98"/>
        <v>0</v>
      </c>
      <c r="AA848" s="68">
        <f t="shared" si="98"/>
        <v>0</v>
      </c>
      <c r="AB848" s="68">
        <f t="shared" si="98"/>
        <v>0</v>
      </c>
      <c r="AC848" s="68">
        <f t="shared" si="98"/>
        <v>64545.58</v>
      </c>
      <c r="AD848" s="68">
        <f t="shared" si="98"/>
        <v>0</v>
      </c>
      <c r="AE848" s="68">
        <f t="shared" si="98"/>
        <v>0</v>
      </c>
      <c r="AF848" s="68">
        <f t="shared" si="98"/>
        <v>0</v>
      </c>
      <c r="AG848" s="68">
        <f t="shared" si="98"/>
        <v>0</v>
      </c>
      <c r="AH848" s="68">
        <f t="shared" si="98"/>
        <v>0</v>
      </c>
      <c r="AI848" s="68">
        <f t="shared" si="98"/>
        <v>0</v>
      </c>
      <c r="AJ848" s="68">
        <f t="shared" si="98"/>
        <v>0</v>
      </c>
      <c r="AK848" s="68">
        <f t="shared" si="98"/>
        <v>0</v>
      </c>
      <c r="AL848" s="68">
        <f t="shared" si="98"/>
        <v>0</v>
      </c>
      <c r="AM848" s="68">
        <f t="shared" ref="AM848:CE848" si="99">SUM(AM734:AM847)</f>
        <v>0</v>
      </c>
      <c r="AO848" s="68">
        <f t="shared" si="99"/>
        <v>0</v>
      </c>
      <c r="AP848" s="68">
        <f t="shared" si="99"/>
        <v>0</v>
      </c>
      <c r="AQ848" s="68">
        <f t="shared" si="99"/>
        <v>0</v>
      </c>
      <c r="AR848" s="68">
        <f t="shared" si="99"/>
        <v>1071364.8600000003</v>
      </c>
      <c r="AS848" s="68">
        <f t="shared" si="99"/>
        <v>850021.55</v>
      </c>
      <c r="AT848" s="68">
        <f t="shared" si="99"/>
        <v>87026.09</v>
      </c>
      <c r="AU848" s="68">
        <f t="shared" si="99"/>
        <v>124275.05000000005</v>
      </c>
      <c r="AV848" s="68">
        <f t="shared" si="99"/>
        <v>6521.2199999999993</v>
      </c>
      <c r="AW848" s="68">
        <f t="shared" si="99"/>
        <v>0</v>
      </c>
      <c r="AX848" s="68">
        <f t="shared" si="99"/>
        <v>0</v>
      </c>
      <c r="AY848" s="68">
        <f t="shared" si="99"/>
        <v>0</v>
      </c>
      <c r="AZ848" s="68">
        <f t="shared" si="99"/>
        <v>0</v>
      </c>
      <c r="BA848" s="68">
        <f t="shared" si="99"/>
        <v>0</v>
      </c>
      <c r="BB848" s="68">
        <f t="shared" si="99"/>
        <v>0</v>
      </c>
      <c r="BC848" s="68">
        <f t="shared" si="99"/>
        <v>0</v>
      </c>
      <c r="BD848" s="68">
        <f t="shared" si="99"/>
        <v>0</v>
      </c>
      <c r="BE848" s="68">
        <f t="shared" si="99"/>
        <v>0</v>
      </c>
      <c r="BF848" s="68">
        <f t="shared" si="99"/>
        <v>996.45</v>
      </c>
      <c r="BG848" s="68">
        <f t="shared" si="99"/>
        <v>176</v>
      </c>
      <c r="BH848" s="68">
        <f t="shared" si="99"/>
        <v>358.5</v>
      </c>
      <c r="BI848" s="68">
        <f t="shared" si="99"/>
        <v>0</v>
      </c>
      <c r="BJ848" s="68">
        <f t="shared" si="99"/>
        <v>1990</v>
      </c>
      <c r="BK848" s="68">
        <f t="shared" si="99"/>
        <v>0</v>
      </c>
      <c r="BL848" s="68">
        <f t="shared" si="99"/>
        <v>0</v>
      </c>
      <c r="BM848" s="68">
        <f t="shared" si="99"/>
        <v>0</v>
      </c>
      <c r="BN848" s="68">
        <f t="shared" si="99"/>
        <v>0</v>
      </c>
      <c r="BO848" s="68">
        <f t="shared" si="99"/>
        <v>0</v>
      </c>
      <c r="BP848" s="68">
        <f t="shared" si="99"/>
        <v>0</v>
      </c>
      <c r="BQ848" s="68">
        <f t="shared" si="99"/>
        <v>0</v>
      </c>
      <c r="BR848" s="68">
        <f t="shared" si="99"/>
        <v>0</v>
      </c>
      <c r="BS848" s="68">
        <f t="shared" si="99"/>
        <v>0</v>
      </c>
      <c r="BT848" s="68">
        <f t="shared" si="99"/>
        <v>0</v>
      </c>
      <c r="BU848" s="68">
        <f t="shared" si="99"/>
        <v>0</v>
      </c>
      <c r="BV848" s="68">
        <f t="shared" si="99"/>
        <v>0</v>
      </c>
      <c r="BW848" s="68">
        <f t="shared" si="99"/>
        <v>0</v>
      </c>
      <c r="BX848" s="68">
        <f t="shared" si="99"/>
        <v>0</v>
      </c>
      <c r="BY848" s="68">
        <f t="shared" si="99"/>
        <v>0</v>
      </c>
      <c r="CA848" s="68">
        <f t="shared" si="99"/>
        <v>0</v>
      </c>
      <c r="CB848" s="68">
        <f t="shared" si="99"/>
        <v>0</v>
      </c>
      <c r="CC848" s="68">
        <f t="shared" si="99"/>
        <v>0</v>
      </c>
      <c r="CD848" s="68">
        <f t="shared" si="99"/>
        <v>1071364.8600000003</v>
      </c>
      <c r="CE848" s="68">
        <f t="shared" si="99"/>
        <v>0</v>
      </c>
      <c r="CG848" s="68">
        <f>SUM(CG734:CG847)</f>
        <v>0</v>
      </c>
      <c r="CH848" s="68">
        <f>SUM(CH734:CH847)</f>
        <v>0</v>
      </c>
    </row>
    <row r="849" spans="2:85" x14ac:dyDescent="0.25">
      <c r="B849" s="82">
        <v>9639</v>
      </c>
      <c r="C849" s="78">
        <v>5843</v>
      </c>
      <c r="D849" s="69" t="s">
        <v>78</v>
      </c>
      <c r="E849" s="69" t="s">
        <v>2938</v>
      </c>
      <c r="F849" s="69"/>
      <c r="I849" s="69">
        <v>3500</v>
      </c>
      <c r="T849" s="69"/>
      <c r="U849" s="69"/>
      <c r="AR849" s="94">
        <f t="shared" ref="AR849:AR880" si="100">SUM(G849:AQ849)</f>
        <v>3500</v>
      </c>
      <c r="AS849" s="69">
        <v>3500</v>
      </c>
      <c r="AT849" s="69"/>
      <c r="BC849" s="69"/>
      <c r="BD849" s="69"/>
      <c r="CD849" s="94">
        <f t="shared" ref="CD849:CD880" si="101">SUM(AS849:CC849)</f>
        <v>3500</v>
      </c>
      <c r="CE849" s="73">
        <f t="shared" ref="CE849:CE904" si="102">+CD849-AR849</f>
        <v>0</v>
      </c>
      <c r="CF849" s="75">
        <f t="shared" ref="CF849:CG880" si="103">+C849</f>
        <v>5843</v>
      </c>
      <c r="CG849" s="69" t="str">
        <f t="shared" si="103"/>
        <v>برنامج دولى</v>
      </c>
    </row>
    <row r="850" spans="2:85" x14ac:dyDescent="0.25">
      <c r="B850" s="82">
        <v>9640</v>
      </c>
      <c r="C850" s="78">
        <v>5844</v>
      </c>
      <c r="D850" s="69" t="s">
        <v>78</v>
      </c>
      <c r="E850" s="69" t="s">
        <v>2939</v>
      </c>
      <c r="F850" s="69"/>
      <c r="I850" s="69">
        <v>4500</v>
      </c>
      <c r="T850" s="69"/>
      <c r="U850" s="69"/>
      <c r="AR850" s="94">
        <f t="shared" si="100"/>
        <v>4500</v>
      </c>
      <c r="AS850" s="69">
        <v>4500</v>
      </c>
      <c r="AT850" s="69"/>
      <c r="BC850" s="69"/>
      <c r="BD850" s="69"/>
      <c r="CD850" s="94">
        <f t="shared" si="101"/>
        <v>4500</v>
      </c>
      <c r="CE850" s="73">
        <f t="shared" si="102"/>
        <v>0</v>
      </c>
      <c r="CF850" s="75">
        <f t="shared" si="103"/>
        <v>5844</v>
      </c>
      <c r="CG850" s="69" t="str">
        <f t="shared" si="103"/>
        <v>برنامج دولى</v>
      </c>
    </row>
    <row r="851" spans="2:85" x14ac:dyDescent="0.25">
      <c r="B851" s="82">
        <v>9642</v>
      </c>
      <c r="C851" s="78">
        <v>5845</v>
      </c>
      <c r="D851" s="69" t="s">
        <v>78</v>
      </c>
      <c r="E851" s="69" t="s">
        <v>2940</v>
      </c>
      <c r="F851" s="69"/>
      <c r="I851" s="69">
        <v>1500</v>
      </c>
      <c r="T851" s="69"/>
      <c r="U851" s="69"/>
      <c r="AR851" s="94">
        <f t="shared" si="100"/>
        <v>1500</v>
      </c>
      <c r="AS851" s="69">
        <v>1500</v>
      </c>
      <c r="AT851" s="69"/>
      <c r="BC851" s="69"/>
      <c r="BD851" s="69"/>
      <c r="CD851" s="94">
        <f t="shared" si="101"/>
        <v>1500</v>
      </c>
      <c r="CE851" s="73">
        <f t="shared" si="102"/>
        <v>0</v>
      </c>
      <c r="CF851" s="75">
        <f t="shared" si="103"/>
        <v>5845</v>
      </c>
      <c r="CG851" s="69" t="str">
        <f t="shared" si="103"/>
        <v>برنامج دولى</v>
      </c>
    </row>
    <row r="852" spans="2:85" x14ac:dyDescent="0.25">
      <c r="B852" s="82">
        <v>9641</v>
      </c>
      <c r="C852" s="78">
        <v>5846</v>
      </c>
      <c r="D852" s="69" t="s">
        <v>78</v>
      </c>
      <c r="E852" s="69" t="s">
        <v>2941</v>
      </c>
      <c r="F852" s="69"/>
      <c r="I852" s="69">
        <v>2500</v>
      </c>
      <c r="T852" s="69"/>
      <c r="U852" s="69"/>
      <c r="AR852" s="94">
        <f t="shared" si="100"/>
        <v>2500</v>
      </c>
      <c r="AS852" s="69">
        <v>2500</v>
      </c>
      <c r="AT852" s="69"/>
      <c r="BC852" s="69"/>
      <c r="BD852" s="69"/>
      <c r="CD852" s="94">
        <f t="shared" si="101"/>
        <v>2500</v>
      </c>
      <c r="CE852" s="73">
        <f t="shared" si="102"/>
        <v>0</v>
      </c>
      <c r="CF852" s="75">
        <f t="shared" si="103"/>
        <v>5846</v>
      </c>
      <c r="CG852" s="69" t="str">
        <f t="shared" si="103"/>
        <v>برنامج دولى</v>
      </c>
    </row>
    <row r="853" spans="2:85" x14ac:dyDescent="0.25">
      <c r="B853" s="82">
        <v>3470</v>
      </c>
      <c r="C853" s="78">
        <v>5847</v>
      </c>
      <c r="D853" s="69" t="s">
        <v>78</v>
      </c>
      <c r="E853" s="69" t="s">
        <v>2942</v>
      </c>
      <c r="F853" s="69"/>
      <c r="G853" s="69">
        <v>2074.92</v>
      </c>
      <c r="T853" s="69"/>
      <c r="U853" s="69"/>
      <c r="AR853" s="94">
        <f t="shared" si="100"/>
        <v>2074.92</v>
      </c>
      <c r="AS853" s="69">
        <v>1563.52</v>
      </c>
      <c r="AT853" s="69">
        <v>197.8</v>
      </c>
      <c r="AU853" s="69">
        <v>313.60000000000002</v>
      </c>
      <c r="BC853" s="69"/>
      <c r="BD853" s="69"/>
      <c r="CD853" s="94">
        <f t="shared" si="101"/>
        <v>2074.92</v>
      </c>
      <c r="CE853" s="73">
        <f t="shared" si="102"/>
        <v>0</v>
      </c>
      <c r="CF853" s="75">
        <f t="shared" si="103"/>
        <v>5847</v>
      </c>
      <c r="CG853" s="69" t="str">
        <f t="shared" si="103"/>
        <v>برنامج دولى</v>
      </c>
    </row>
    <row r="854" spans="2:85" x14ac:dyDescent="0.25">
      <c r="B854" s="82">
        <v>9822</v>
      </c>
      <c r="C854" s="78">
        <v>5848</v>
      </c>
      <c r="D854" s="69" t="s">
        <v>1160</v>
      </c>
      <c r="E854" s="69" t="s">
        <v>2324</v>
      </c>
      <c r="F854" s="69"/>
      <c r="G854" s="69">
        <v>3360</v>
      </c>
      <c r="T854" s="69"/>
      <c r="U854" s="69"/>
      <c r="AR854" s="94">
        <f t="shared" si="100"/>
        <v>3360</v>
      </c>
      <c r="AS854" s="69">
        <v>2534</v>
      </c>
      <c r="AT854" s="69">
        <v>658</v>
      </c>
      <c r="AV854" s="69">
        <v>168</v>
      </c>
      <c r="BC854" s="69"/>
      <c r="BD854" s="69"/>
      <c r="CD854" s="94">
        <f t="shared" si="101"/>
        <v>3360</v>
      </c>
      <c r="CE854" s="73">
        <f t="shared" si="102"/>
        <v>0</v>
      </c>
      <c r="CF854" s="75">
        <f t="shared" si="103"/>
        <v>5848</v>
      </c>
      <c r="CG854" s="69" t="str">
        <f t="shared" si="103"/>
        <v>خ ت صيدله</v>
      </c>
    </row>
    <row r="855" spans="2:85" x14ac:dyDescent="0.25">
      <c r="B855" s="82">
        <v>9828</v>
      </c>
      <c r="C855" s="78">
        <v>5849</v>
      </c>
      <c r="D855" s="69" t="s">
        <v>1160</v>
      </c>
      <c r="E855" s="69" t="s">
        <v>2943</v>
      </c>
      <c r="F855" s="69"/>
      <c r="G855" s="69">
        <v>7350</v>
      </c>
      <c r="T855" s="69"/>
      <c r="U855" s="69"/>
      <c r="AR855" s="94">
        <f t="shared" si="100"/>
        <v>7350</v>
      </c>
      <c r="AS855" s="69">
        <v>5542.48</v>
      </c>
      <c r="AT855" s="69">
        <v>1440.02</v>
      </c>
      <c r="AV855" s="69">
        <v>367.5</v>
      </c>
      <c r="BC855" s="69"/>
      <c r="BD855" s="69"/>
      <c r="CD855" s="94">
        <f t="shared" si="101"/>
        <v>7350</v>
      </c>
      <c r="CE855" s="73">
        <f t="shared" si="102"/>
        <v>0</v>
      </c>
      <c r="CF855" s="75">
        <f t="shared" si="103"/>
        <v>5849</v>
      </c>
      <c r="CG855" s="69" t="str">
        <f t="shared" si="103"/>
        <v>خ ت صيدله</v>
      </c>
    </row>
    <row r="856" spans="2:85" x14ac:dyDescent="0.25">
      <c r="B856" s="82">
        <v>9827</v>
      </c>
      <c r="C856" s="78">
        <v>5850</v>
      </c>
      <c r="D856" s="69" t="s">
        <v>1160</v>
      </c>
      <c r="E856" s="69" t="s">
        <v>2944</v>
      </c>
      <c r="F856" s="69"/>
      <c r="G856" s="69">
        <v>2597.09</v>
      </c>
      <c r="T856" s="69"/>
      <c r="U856" s="69"/>
      <c r="AR856" s="94">
        <f t="shared" si="100"/>
        <v>2597.09</v>
      </c>
      <c r="AS856" s="69">
        <v>1628.25</v>
      </c>
      <c r="AT856" s="69">
        <f>10.85+221.5</f>
        <v>232.35</v>
      </c>
      <c r="AU856" s="69">
        <v>625.74</v>
      </c>
      <c r="AV856" s="69">
        <v>110.75</v>
      </c>
      <c r="BC856" s="69"/>
      <c r="BD856" s="69"/>
      <c r="CD856" s="94">
        <f t="shared" si="101"/>
        <v>2597.09</v>
      </c>
      <c r="CE856" s="73">
        <f t="shared" si="102"/>
        <v>0</v>
      </c>
      <c r="CF856" s="75">
        <f t="shared" si="103"/>
        <v>5850</v>
      </c>
      <c r="CG856" s="69" t="str">
        <f t="shared" si="103"/>
        <v>خ ت صيدله</v>
      </c>
    </row>
    <row r="857" spans="2:85" x14ac:dyDescent="0.25">
      <c r="B857" s="82">
        <v>9823</v>
      </c>
      <c r="C857" s="78">
        <v>5851</v>
      </c>
      <c r="D857" s="69" t="s">
        <v>1160</v>
      </c>
      <c r="E857" s="69" t="s">
        <v>2945</v>
      </c>
      <c r="F857" s="69"/>
      <c r="G857" s="69">
        <v>2886.84</v>
      </c>
      <c r="T857" s="69"/>
      <c r="U857" s="69"/>
      <c r="AR857" s="94">
        <f t="shared" si="100"/>
        <v>2886.84</v>
      </c>
      <c r="AS857" s="69">
        <v>1855.75</v>
      </c>
      <c r="AT857" s="69">
        <v>201.13</v>
      </c>
      <c r="AU857" s="69">
        <v>707.21</v>
      </c>
      <c r="AV857" s="69">
        <v>122.75</v>
      </c>
      <c r="BC857" s="69"/>
      <c r="BD857" s="69"/>
      <c r="CD857" s="94">
        <f t="shared" si="101"/>
        <v>2886.84</v>
      </c>
      <c r="CE857" s="73">
        <f t="shared" si="102"/>
        <v>0</v>
      </c>
      <c r="CF857" s="75">
        <f t="shared" si="103"/>
        <v>5851</v>
      </c>
      <c r="CG857" s="69" t="str">
        <f t="shared" si="103"/>
        <v>خ ت صيدله</v>
      </c>
    </row>
    <row r="858" spans="2:85" x14ac:dyDescent="0.25">
      <c r="B858" s="82">
        <v>9831</v>
      </c>
      <c r="C858" s="78">
        <v>5852</v>
      </c>
      <c r="D858" s="69" t="s">
        <v>1160</v>
      </c>
      <c r="E858" s="69" t="s">
        <v>2946</v>
      </c>
      <c r="F858" s="69"/>
      <c r="G858" s="69">
        <v>2403.62</v>
      </c>
      <c r="T858" s="69"/>
      <c r="U858" s="69"/>
      <c r="AR858" s="94">
        <f t="shared" si="100"/>
        <v>2403.62</v>
      </c>
      <c r="AS858" s="69">
        <v>1553.19</v>
      </c>
      <c r="AT858" s="69">
        <v>168.81</v>
      </c>
      <c r="AU858" s="69">
        <v>579.12</v>
      </c>
      <c r="AV858" s="69">
        <v>102.5</v>
      </c>
      <c r="BC858" s="69"/>
      <c r="BD858" s="69"/>
      <c r="CD858" s="94">
        <f t="shared" si="101"/>
        <v>2403.62</v>
      </c>
      <c r="CE858" s="73">
        <f t="shared" si="102"/>
        <v>0</v>
      </c>
      <c r="CF858" s="75">
        <f t="shared" si="103"/>
        <v>5852</v>
      </c>
      <c r="CG858" s="69" t="str">
        <f t="shared" si="103"/>
        <v>خ ت صيدله</v>
      </c>
    </row>
    <row r="859" spans="2:85" x14ac:dyDescent="0.25">
      <c r="B859" s="82">
        <v>9830</v>
      </c>
      <c r="C859" s="78">
        <v>5853</v>
      </c>
      <c r="D859" s="69" t="s">
        <v>1160</v>
      </c>
      <c r="E859" s="69" t="s">
        <v>2946</v>
      </c>
      <c r="F859" s="69"/>
      <c r="G859" s="69">
        <v>1500</v>
      </c>
      <c r="T859" s="69"/>
      <c r="U859" s="69"/>
      <c r="AR859" s="94">
        <f t="shared" si="100"/>
        <v>1500</v>
      </c>
      <c r="AS859" s="69">
        <v>1378.75</v>
      </c>
      <c r="AT859" s="69">
        <v>46.25</v>
      </c>
      <c r="AV859" s="69">
        <v>75</v>
      </c>
      <c r="BC859" s="69"/>
      <c r="BD859" s="69"/>
      <c r="CD859" s="94">
        <f t="shared" si="101"/>
        <v>1500</v>
      </c>
      <c r="CE859" s="73">
        <f t="shared" si="102"/>
        <v>0</v>
      </c>
      <c r="CF859" s="75">
        <f t="shared" si="103"/>
        <v>5853</v>
      </c>
      <c r="CG859" s="69" t="str">
        <f t="shared" si="103"/>
        <v>خ ت صيدله</v>
      </c>
    </row>
    <row r="860" spans="2:85" x14ac:dyDescent="0.25">
      <c r="B860" s="82">
        <v>9832</v>
      </c>
      <c r="C860" s="78">
        <v>5854</v>
      </c>
      <c r="D860" s="69" t="s">
        <v>1160</v>
      </c>
      <c r="E860" s="69" t="s">
        <v>2946</v>
      </c>
      <c r="F860" s="69"/>
      <c r="G860" s="69">
        <v>1582.87</v>
      </c>
      <c r="T860" s="69"/>
      <c r="U860" s="69"/>
      <c r="AR860" s="94">
        <f t="shared" si="100"/>
        <v>1582.87</v>
      </c>
      <c r="AS860" s="69">
        <v>1045.1199999999999</v>
      </c>
      <c r="AT860" s="69">
        <v>88.88</v>
      </c>
      <c r="AU860" s="69">
        <v>381.37</v>
      </c>
      <c r="AV860" s="69">
        <v>67.5</v>
      </c>
      <c r="BC860" s="69"/>
      <c r="BD860" s="69"/>
      <c r="CD860" s="94">
        <f t="shared" si="101"/>
        <v>1582.87</v>
      </c>
      <c r="CE860" s="73">
        <f t="shared" si="102"/>
        <v>0</v>
      </c>
      <c r="CF860" s="75">
        <f t="shared" si="103"/>
        <v>5854</v>
      </c>
      <c r="CG860" s="69" t="str">
        <f t="shared" si="103"/>
        <v>خ ت صيدله</v>
      </c>
    </row>
    <row r="861" spans="2:85" x14ac:dyDescent="0.25">
      <c r="B861" s="82">
        <v>9829</v>
      </c>
      <c r="C861" s="78">
        <v>5855</v>
      </c>
      <c r="D861" s="69" t="s">
        <v>1160</v>
      </c>
      <c r="E861" s="69" t="s">
        <v>2946</v>
      </c>
      <c r="F861" s="69"/>
      <c r="G861" s="69">
        <v>6565.98</v>
      </c>
      <c r="T861" s="69"/>
      <c r="U861" s="69"/>
      <c r="AR861" s="94">
        <f t="shared" si="100"/>
        <v>6565.98</v>
      </c>
      <c r="AS861" s="69">
        <v>3816.63</v>
      </c>
      <c r="AT861" s="69">
        <v>887.37</v>
      </c>
      <c r="AU861" s="69">
        <v>1581.98</v>
      </c>
      <c r="AV861" s="69">
        <v>280</v>
      </c>
      <c r="BC861" s="69"/>
      <c r="BD861" s="69"/>
      <c r="CD861" s="94">
        <f t="shared" si="101"/>
        <v>6565.98</v>
      </c>
      <c r="CE861" s="73">
        <f t="shared" si="102"/>
        <v>0</v>
      </c>
      <c r="CF861" s="75">
        <f t="shared" si="103"/>
        <v>5855</v>
      </c>
      <c r="CG861" s="69" t="str">
        <f t="shared" si="103"/>
        <v>خ ت صيدله</v>
      </c>
    </row>
    <row r="862" spans="2:85" x14ac:dyDescent="0.25">
      <c r="B862" s="82">
        <v>9824</v>
      </c>
      <c r="C862" s="78">
        <v>5856</v>
      </c>
      <c r="D862" s="69" t="s">
        <v>1160</v>
      </c>
      <c r="E862" s="69" t="str">
        <f>+E857</f>
        <v>مكافاه الساده الاداريين والعمال</v>
      </c>
      <c r="F862" s="69"/>
      <c r="G862" s="69">
        <v>8271.9599999999991</v>
      </c>
      <c r="T862" s="69"/>
      <c r="U862" s="69"/>
      <c r="AR862" s="94">
        <f t="shared" si="100"/>
        <v>8271.9599999999991</v>
      </c>
      <c r="AS862" s="69">
        <v>4986.38</v>
      </c>
      <c r="AT862" s="69">
        <v>939.82</v>
      </c>
      <c r="AU862" s="69">
        <v>1993.01</v>
      </c>
      <c r="AV862" s="69">
        <v>352.75</v>
      </c>
      <c r="BC862" s="69"/>
      <c r="BD862" s="69"/>
      <c r="CD862" s="94">
        <f t="shared" si="101"/>
        <v>8271.9599999999991</v>
      </c>
      <c r="CE862" s="73">
        <f t="shared" si="102"/>
        <v>0</v>
      </c>
      <c r="CF862" s="75">
        <f t="shared" si="103"/>
        <v>5856</v>
      </c>
      <c r="CG862" s="69" t="str">
        <f t="shared" si="103"/>
        <v>خ ت صيدله</v>
      </c>
    </row>
    <row r="863" spans="2:85" x14ac:dyDescent="0.25">
      <c r="B863" s="82">
        <v>9825</v>
      </c>
      <c r="C863" s="78">
        <v>5857</v>
      </c>
      <c r="D863" s="69" t="s">
        <v>1160</v>
      </c>
      <c r="E863" s="69" t="str">
        <f>+E862</f>
        <v>مكافاه الساده الاداريين والعمال</v>
      </c>
      <c r="F863" s="69"/>
      <c r="G863" s="69">
        <v>351.75</v>
      </c>
      <c r="T863" s="69"/>
      <c r="U863" s="69"/>
      <c r="AR863" s="94">
        <f t="shared" si="100"/>
        <v>351.75</v>
      </c>
      <c r="AS863" s="69">
        <v>225.5</v>
      </c>
      <c r="AT863" s="69">
        <v>26.5</v>
      </c>
      <c r="AU863" s="69">
        <v>84.75</v>
      </c>
      <c r="AV863" s="69">
        <v>15</v>
      </c>
      <c r="BC863" s="69"/>
      <c r="BD863" s="69"/>
      <c r="CD863" s="94">
        <f t="shared" si="101"/>
        <v>351.75</v>
      </c>
      <c r="CE863" s="73">
        <f t="shared" si="102"/>
        <v>0</v>
      </c>
      <c r="CF863" s="75">
        <f t="shared" si="103"/>
        <v>5857</v>
      </c>
      <c r="CG863" s="69" t="str">
        <f t="shared" si="103"/>
        <v>خ ت صيدله</v>
      </c>
    </row>
    <row r="864" spans="2:85" x14ac:dyDescent="0.25">
      <c r="B864" s="82">
        <v>9826</v>
      </c>
      <c r="C864" s="78">
        <v>5858</v>
      </c>
      <c r="D864" s="69" t="s">
        <v>1160</v>
      </c>
      <c r="E864" s="69" t="str">
        <f>+E863</f>
        <v>مكافاه الساده الاداريين والعمال</v>
      </c>
      <c r="F864" s="69"/>
      <c r="G864" s="69">
        <v>293.12</v>
      </c>
      <c r="T864" s="69"/>
      <c r="U864" s="69"/>
      <c r="AR864" s="94">
        <f t="shared" si="100"/>
        <v>293.12</v>
      </c>
      <c r="AS864" s="69">
        <v>177.61</v>
      </c>
      <c r="AT864" s="69">
        <v>32.39</v>
      </c>
      <c r="AU864" s="69">
        <v>70.62</v>
      </c>
      <c r="AV864" s="69">
        <v>12.5</v>
      </c>
      <c r="BC864" s="69"/>
      <c r="BD864" s="69"/>
      <c r="CD864" s="94">
        <f t="shared" si="101"/>
        <v>293.12</v>
      </c>
      <c r="CE864" s="73">
        <f t="shared" si="102"/>
        <v>0</v>
      </c>
      <c r="CF864" s="75">
        <f t="shared" si="103"/>
        <v>5858</v>
      </c>
      <c r="CG864" s="69" t="str">
        <f t="shared" si="103"/>
        <v>خ ت صيدله</v>
      </c>
    </row>
    <row r="865" spans="2:85" x14ac:dyDescent="0.25">
      <c r="B865" s="82">
        <v>9833</v>
      </c>
      <c r="C865" s="78">
        <v>5859</v>
      </c>
      <c r="D865" s="69" t="s">
        <v>1160</v>
      </c>
      <c r="E865" s="69" t="str">
        <f>+E861</f>
        <v>جهود الكشف الطبى</v>
      </c>
      <c r="F865" s="69"/>
      <c r="G865" s="69">
        <v>24545.8</v>
      </c>
      <c r="T865" s="69"/>
      <c r="U865" s="69"/>
      <c r="AR865" s="94">
        <f t="shared" si="100"/>
        <v>24545.8</v>
      </c>
      <c r="AS865" s="69">
        <v>15093.95</v>
      </c>
      <c r="AT865" s="69">
        <v>2864.85</v>
      </c>
      <c r="AU865" s="69">
        <v>5528.5</v>
      </c>
      <c r="AV865" s="69">
        <v>1058.5</v>
      </c>
      <c r="BC865" s="69"/>
      <c r="BD865" s="69"/>
      <c r="CD865" s="94">
        <f t="shared" si="101"/>
        <v>24545.8</v>
      </c>
      <c r="CE865" s="73">
        <f t="shared" si="102"/>
        <v>0</v>
      </c>
      <c r="CF865" s="75">
        <f t="shared" si="103"/>
        <v>5859</v>
      </c>
      <c r="CG865" s="69" t="str">
        <f t="shared" si="103"/>
        <v>خ ت صيدله</v>
      </c>
    </row>
    <row r="866" spans="2:85" x14ac:dyDescent="0.25">
      <c r="B866" s="82">
        <v>9834</v>
      </c>
      <c r="C866" s="78">
        <v>5860</v>
      </c>
      <c r="D866" s="69" t="s">
        <v>1160</v>
      </c>
      <c r="E866" s="69" t="str">
        <f>+E865</f>
        <v>جهود الكشف الطبى</v>
      </c>
      <c r="F866" s="69"/>
      <c r="G866" s="69">
        <v>2486.4299999999998</v>
      </c>
      <c r="T866" s="69"/>
      <c r="U866" s="69"/>
      <c r="AR866" s="94">
        <f t="shared" si="100"/>
        <v>2486.4299999999998</v>
      </c>
      <c r="AS866" s="69">
        <v>2271.84</v>
      </c>
      <c r="AT866" s="69">
        <f>58.25+14.8</f>
        <v>73.05</v>
      </c>
      <c r="AU866" s="69">
        <v>141.54</v>
      </c>
      <c r="BC866" s="69"/>
      <c r="BD866" s="69"/>
      <c r="CD866" s="94">
        <f t="shared" si="101"/>
        <v>2486.4300000000003</v>
      </c>
      <c r="CE866" s="73">
        <f t="shared" si="102"/>
        <v>0</v>
      </c>
      <c r="CF866" s="75">
        <f t="shared" si="103"/>
        <v>5860</v>
      </c>
      <c r="CG866" s="69" t="str">
        <f t="shared" si="103"/>
        <v>خ ت صيدله</v>
      </c>
    </row>
    <row r="867" spans="2:85" x14ac:dyDescent="0.25">
      <c r="B867" s="82">
        <v>10332</v>
      </c>
      <c r="C867" s="78">
        <v>5861</v>
      </c>
      <c r="D867" s="69" t="s">
        <v>130</v>
      </c>
      <c r="E867" s="69" t="s">
        <v>2947</v>
      </c>
      <c r="F867" s="69"/>
      <c r="G867" s="69">
        <v>996.62</v>
      </c>
      <c r="T867" s="69"/>
      <c r="U867" s="69"/>
      <c r="AR867" s="94">
        <f t="shared" si="100"/>
        <v>996.62</v>
      </c>
      <c r="AS867" s="69">
        <v>602.69000000000005</v>
      </c>
      <c r="AT867" s="69">
        <v>111.31</v>
      </c>
      <c r="AU867" s="69">
        <v>240.12</v>
      </c>
      <c r="AV867" s="69">
        <v>42.5</v>
      </c>
      <c r="BC867" s="69"/>
      <c r="BD867" s="69"/>
      <c r="CD867" s="94">
        <f t="shared" si="101"/>
        <v>996.62</v>
      </c>
      <c r="CE867" s="73">
        <f t="shared" si="102"/>
        <v>0</v>
      </c>
      <c r="CF867" s="75">
        <f t="shared" si="103"/>
        <v>5861</v>
      </c>
      <c r="CG867" s="69" t="str">
        <f t="shared" si="103"/>
        <v>خ ت طب</v>
      </c>
    </row>
    <row r="868" spans="2:85" x14ac:dyDescent="0.25">
      <c r="B868" s="82">
        <v>10330</v>
      </c>
      <c r="C868" s="78">
        <v>5862</v>
      </c>
      <c r="D868" s="69" t="s">
        <v>128</v>
      </c>
      <c r="E868" s="69" t="s">
        <v>2948</v>
      </c>
      <c r="F868" s="69"/>
      <c r="G868" s="69">
        <v>18047.16</v>
      </c>
      <c r="T868" s="69"/>
      <c r="U868" s="69"/>
      <c r="AR868" s="94">
        <f t="shared" si="100"/>
        <v>18047.16</v>
      </c>
      <c r="AS868" s="69">
        <v>12704.99</v>
      </c>
      <c r="AT868" s="69">
        <v>1682.45</v>
      </c>
      <c r="AU868" s="69">
        <v>3659.72</v>
      </c>
      <c r="BC868" s="69"/>
      <c r="BD868" s="69"/>
      <c r="CD868" s="94">
        <f t="shared" si="101"/>
        <v>18047.16</v>
      </c>
      <c r="CE868" s="73">
        <f t="shared" si="102"/>
        <v>0</v>
      </c>
      <c r="CF868" s="75">
        <f t="shared" si="103"/>
        <v>5862</v>
      </c>
      <c r="CG868" s="69" t="str">
        <f t="shared" si="103"/>
        <v>مركز مؤتمرات</v>
      </c>
    </row>
    <row r="869" spans="2:85" x14ac:dyDescent="0.25">
      <c r="B869" s="82">
        <v>10329</v>
      </c>
      <c r="C869" s="78">
        <v>5863</v>
      </c>
      <c r="D869" s="69" t="s">
        <v>128</v>
      </c>
      <c r="E869" s="69" t="s">
        <v>2948</v>
      </c>
      <c r="F869" s="69"/>
      <c r="G869" s="69">
        <v>1313.2</v>
      </c>
      <c r="T869" s="69"/>
      <c r="U869" s="69"/>
      <c r="AR869" s="94">
        <f t="shared" si="100"/>
        <v>1313.2</v>
      </c>
      <c r="AS869" s="69">
        <v>877.7</v>
      </c>
      <c r="AT869" s="69">
        <v>119.1</v>
      </c>
      <c r="AU869" s="69">
        <v>316.39999999999998</v>
      </c>
      <c r="BC869" s="69"/>
      <c r="BD869" s="69"/>
      <c r="CD869" s="94">
        <f t="shared" si="101"/>
        <v>1313.2</v>
      </c>
      <c r="CE869" s="73">
        <f t="shared" si="102"/>
        <v>0</v>
      </c>
      <c r="CF869" s="75">
        <f t="shared" si="103"/>
        <v>5863</v>
      </c>
      <c r="CG869" s="69" t="str">
        <f t="shared" si="103"/>
        <v>مركز مؤتمرات</v>
      </c>
    </row>
    <row r="870" spans="2:85" x14ac:dyDescent="0.25">
      <c r="B870" s="82">
        <v>10328</v>
      </c>
      <c r="C870" s="78">
        <v>5864</v>
      </c>
      <c r="D870" s="69" t="s">
        <v>128</v>
      </c>
      <c r="E870" s="69" t="s">
        <v>2948</v>
      </c>
      <c r="F870" s="69"/>
      <c r="G870" s="69">
        <v>2212.16</v>
      </c>
      <c r="T870" s="69"/>
      <c r="U870" s="69"/>
      <c r="AR870" s="94">
        <f t="shared" si="100"/>
        <v>2212.16</v>
      </c>
      <c r="AS870" s="69">
        <v>1833.2</v>
      </c>
      <c r="AT870" s="69">
        <v>226.4</v>
      </c>
      <c r="AU870" s="69">
        <v>152.56</v>
      </c>
      <c r="BC870" s="69"/>
      <c r="BD870" s="69"/>
      <c r="CD870" s="94">
        <f t="shared" si="101"/>
        <v>2212.16</v>
      </c>
      <c r="CE870" s="73">
        <f t="shared" si="102"/>
        <v>0</v>
      </c>
      <c r="CF870" s="75">
        <f t="shared" si="103"/>
        <v>5864</v>
      </c>
      <c r="CG870" s="69" t="str">
        <f t="shared" si="103"/>
        <v>مركز مؤتمرات</v>
      </c>
    </row>
    <row r="871" spans="2:85" x14ac:dyDescent="0.25">
      <c r="B871" s="82">
        <v>10327</v>
      </c>
      <c r="C871" s="78">
        <v>5865</v>
      </c>
      <c r="D871" s="69" t="s">
        <v>128</v>
      </c>
      <c r="E871" s="69" t="s">
        <v>2948</v>
      </c>
      <c r="F871" s="69"/>
      <c r="G871" s="69">
        <v>564.35</v>
      </c>
      <c r="T871" s="69"/>
      <c r="U871" s="69"/>
      <c r="AR871" s="94">
        <f t="shared" si="100"/>
        <v>564.35</v>
      </c>
      <c r="AS871" s="69">
        <v>475.54</v>
      </c>
      <c r="AT871" s="69">
        <v>57.95</v>
      </c>
      <c r="AU871" s="69">
        <v>30.86</v>
      </c>
      <c r="BC871" s="69"/>
      <c r="BD871" s="69"/>
      <c r="CD871" s="94">
        <f t="shared" si="101"/>
        <v>564.35</v>
      </c>
      <c r="CE871" s="73">
        <f t="shared" si="102"/>
        <v>0</v>
      </c>
      <c r="CF871" s="75">
        <f t="shared" si="103"/>
        <v>5865</v>
      </c>
      <c r="CG871" s="69" t="str">
        <f t="shared" si="103"/>
        <v>مركز مؤتمرات</v>
      </c>
    </row>
    <row r="872" spans="2:85" x14ac:dyDescent="0.25">
      <c r="B872" s="82">
        <v>10326</v>
      </c>
      <c r="C872" s="78">
        <v>5866</v>
      </c>
      <c r="D872" s="69" t="s">
        <v>128</v>
      </c>
      <c r="E872" s="69" t="s">
        <v>2949</v>
      </c>
      <c r="F872" s="69"/>
      <c r="G872" s="69">
        <v>27995.35</v>
      </c>
      <c r="T872" s="69"/>
      <c r="U872" s="69"/>
      <c r="AR872" s="94">
        <f t="shared" si="100"/>
        <v>27995.35</v>
      </c>
      <c r="AS872" s="69">
        <v>21574.240000000002</v>
      </c>
      <c r="AT872" s="69">
        <v>2752.15</v>
      </c>
      <c r="AU872" s="69">
        <v>3668.96</v>
      </c>
      <c r="BC872" s="69"/>
      <c r="BD872" s="69"/>
      <c r="CD872" s="94">
        <f t="shared" si="101"/>
        <v>27995.350000000002</v>
      </c>
      <c r="CE872" s="73">
        <f t="shared" si="102"/>
        <v>0</v>
      </c>
      <c r="CF872" s="75">
        <f t="shared" si="103"/>
        <v>5866</v>
      </c>
      <c r="CG872" s="69" t="str">
        <f t="shared" si="103"/>
        <v>مركز مؤتمرات</v>
      </c>
    </row>
    <row r="873" spans="2:85" x14ac:dyDescent="0.25">
      <c r="B873" s="82">
        <v>10325</v>
      </c>
      <c r="C873" s="78">
        <v>5867</v>
      </c>
      <c r="D873" s="69" t="s">
        <v>128</v>
      </c>
      <c r="E873" s="69" t="s">
        <v>2949</v>
      </c>
      <c r="F873" s="69"/>
      <c r="G873" s="69">
        <v>3995.9</v>
      </c>
      <c r="T873" s="69"/>
      <c r="U873" s="69"/>
      <c r="AR873" s="94">
        <f t="shared" si="100"/>
        <v>3995.9</v>
      </c>
      <c r="AS873" s="69">
        <v>3489.39</v>
      </c>
      <c r="AT873" s="69">
        <v>423.15</v>
      </c>
      <c r="AU873" s="69">
        <v>83.36</v>
      </c>
      <c r="BC873" s="69"/>
      <c r="BD873" s="69"/>
      <c r="CD873" s="94">
        <f t="shared" si="101"/>
        <v>3995.9</v>
      </c>
      <c r="CE873" s="73">
        <f t="shared" si="102"/>
        <v>0</v>
      </c>
      <c r="CF873" s="75">
        <f t="shared" si="103"/>
        <v>5867</v>
      </c>
      <c r="CG873" s="69" t="str">
        <f t="shared" si="103"/>
        <v>مركز مؤتمرات</v>
      </c>
    </row>
    <row r="874" spans="2:85" x14ac:dyDescent="0.25">
      <c r="B874" s="82">
        <v>10324</v>
      </c>
      <c r="C874" s="78">
        <v>5868</v>
      </c>
      <c r="D874" s="69" t="s">
        <v>128</v>
      </c>
      <c r="E874" s="69" t="s">
        <v>2949</v>
      </c>
      <c r="F874" s="69"/>
      <c r="G874" s="69">
        <v>2783.05</v>
      </c>
      <c r="T874" s="69"/>
      <c r="U874" s="69"/>
      <c r="AR874" s="94">
        <f t="shared" si="100"/>
        <v>2783.05</v>
      </c>
      <c r="AS874" s="69">
        <v>2082.96</v>
      </c>
      <c r="AT874" s="69">
        <v>269.3</v>
      </c>
      <c r="AU874" s="69">
        <v>430.79</v>
      </c>
      <c r="BC874" s="69"/>
      <c r="BD874" s="69"/>
      <c r="CD874" s="94">
        <f t="shared" si="101"/>
        <v>2783.05</v>
      </c>
      <c r="CE874" s="73">
        <f t="shared" si="102"/>
        <v>0</v>
      </c>
      <c r="CF874" s="75">
        <f t="shared" si="103"/>
        <v>5868</v>
      </c>
      <c r="CG874" s="69" t="str">
        <f t="shared" si="103"/>
        <v>مركز مؤتمرات</v>
      </c>
    </row>
    <row r="875" spans="2:85" x14ac:dyDescent="0.25">
      <c r="B875" s="82">
        <v>10323</v>
      </c>
      <c r="C875" s="78">
        <v>5869</v>
      </c>
      <c r="D875" s="69" t="s">
        <v>128</v>
      </c>
      <c r="E875" s="69" t="s">
        <v>2949</v>
      </c>
      <c r="F875" s="69"/>
      <c r="G875" s="69">
        <v>3615</v>
      </c>
      <c r="T875" s="69"/>
      <c r="U875" s="69"/>
      <c r="AR875" s="94">
        <f t="shared" si="100"/>
        <v>3615</v>
      </c>
      <c r="AS875" s="69">
        <v>3227.1</v>
      </c>
      <c r="AT875" s="69">
        <v>387.9</v>
      </c>
      <c r="BC875" s="69"/>
      <c r="BD875" s="69"/>
      <c r="CD875" s="94">
        <f t="shared" si="101"/>
        <v>3615</v>
      </c>
      <c r="CE875" s="73">
        <f t="shared" si="102"/>
        <v>0</v>
      </c>
      <c r="CF875" s="75">
        <f t="shared" si="103"/>
        <v>5869</v>
      </c>
      <c r="CG875" s="69" t="str">
        <f t="shared" si="103"/>
        <v>مركز مؤتمرات</v>
      </c>
    </row>
    <row r="876" spans="2:85" x14ac:dyDescent="0.25">
      <c r="B876" s="82">
        <v>10047</v>
      </c>
      <c r="C876" s="78">
        <v>5870</v>
      </c>
      <c r="D876" s="69" t="s">
        <v>78</v>
      </c>
      <c r="E876" s="69" t="s">
        <v>2950</v>
      </c>
      <c r="F876" s="69"/>
      <c r="G876" s="69">
        <v>9180.66</v>
      </c>
      <c r="T876" s="69"/>
      <c r="U876" s="69"/>
      <c r="AR876" s="94">
        <f t="shared" si="100"/>
        <v>9180.66</v>
      </c>
      <c r="AS876" s="69">
        <v>6134.55</v>
      </c>
      <c r="AT876" s="69">
        <v>834.15</v>
      </c>
      <c r="AU876" s="69">
        <v>2211.96</v>
      </c>
      <c r="BC876" s="69"/>
      <c r="BD876" s="69"/>
      <c r="CD876" s="94">
        <f t="shared" si="101"/>
        <v>9180.66</v>
      </c>
      <c r="CE876" s="73">
        <f t="shared" si="102"/>
        <v>0</v>
      </c>
      <c r="CF876" s="75">
        <f t="shared" si="103"/>
        <v>5870</v>
      </c>
      <c r="CG876" s="69" t="str">
        <f t="shared" si="103"/>
        <v>برنامج دولى</v>
      </c>
    </row>
    <row r="877" spans="2:85" x14ac:dyDescent="0.25">
      <c r="B877" s="82">
        <v>10048</v>
      </c>
      <c r="C877" s="78">
        <v>5871</v>
      </c>
      <c r="D877" s="69" t="s">
        <v>78</v>
      </c>
      <c r="E877" s="69" t="s">
        <v>2950</v>
      </c>
      <c r="F877" s="69"/>
      <c r="G877" s="69">
        <v>9434.0400000000009</v>
      </c>
      <c r="T877" s="69"/>
      <c r="U877" s="69"/>
      <c r="AR877" s="94">
        <f t="shared" si="100"/>
        <v>9434.0400000000009</v>
      </c>
      <c r="AS877" s="69">
        <v>7824.22</v>
      </c>
      <c r="AT877" s="69">
        <v>972.7</v>
      </c>
      <c r="AU877" s="69">
        <v>637.12</v>
      </c>
      <c r="BC877" s="69"/>
      <c r="BD877" s="69"/>
      <c r="CD877" s="94">
        <f t="shared" si="101"/>
        <v>9434.0400000000009</v>
      </c>
      <c r="CE877" s="73">
        <f t="shared" si="102"/>
        <v>0</v>
      </c>
      <c r="CF877" s="75">
        <f t="shared" si="103"/>
        <v>5871</v>
      </c>
      <c r="CG877" s="69" t="str">
        <f t="shared" si="103"/>
        <v>برنامج دولى</v>
      </c>
    </row>
    <row r="878" spans="2:85" x14ac:dyDescent="0.25">
      <c r="B878" s="82">
        <v>10298</v>
      </c>
      <c r="C878" s="78">
        <v>5872</v>
      </c>
      <c r="D878" s="69" t="s">
        <v>925</v>
      </c>
      <c r="E878" s="69" t="s">
        <v>1562</v>
      </c>
      <c r="F878" s="69"/>
      <c r="G878" s="69">
        <v>469</v>
      </c>
      <c r="T878" s="69"/>
      <c r="U878" s="69"/>
      <c r="AR878" s="94">
        <f t="shared" si="100"/>
        <v>469</v>
      </c>
      <c r="AS878" s="69">
        <v>313.7</v>
      </c>
      <c r="AT878" s="69">
        <v>42.3</v>
      </c>
      <c r="AU878" s="69">
        <v>113</v>
      </c>
      <c r="BC878" s="69"/>
      <c r="BD878" s="69"/>
      <c r="CD878" s="94">
        <f t="shared" si="101"/>
        <v>469</v>
      </c>
      <c r="CE878" s="73">
        <f t="shared" si="102"/>
        <v>0</v>
      </c>
      <c r="CF878" s="75">
        <f t="shared" si="103"/>
        <v>5872</v>
      </c>
      <c r="CG878" s="69" t="str">
        <f t="shared" si="103"/>
        <v xml:space="preserve">خ ت اسنان </v>
      </c>
    </row>
    <row r="879" spans="2:85" x14ac:dyDescent="0.25">
      <c r="B879" s="82">
        <v>10296</v>
      </c>
      <c r="C879" s="78">
        <v>5873</v>
      </c>
      <c r="D879" s="69" t="s">
        <v>925</v>
      </c>
      <c r="E879" s="69" t="s">
        <v>1562</v>
      </c>
      <c r="F879" s="69"/>
      <c r="G879" s="69">
        <v>1899.98</v>
      </c>
      <c r="T879" s="69"/>
      <c r="U879" s="69"/>
      <c r="AR879" s="94">
        <f t="shared" si="100"/>
        <v>1899.98</v>
      </c>
      <c r="AS879" s="69">
        <v>1603.43</v>
      </c>
      <c r="AT879" s="69">
        <v>201.56</v>
      </c>
      <c r="AV879" s="69">
        <v>94.99</v>
      </c>
      <c r="BC879" s="69"/>
      <c r="BD879" s="69"/>
      <c r="CD879" s="94">
        <f t="shared" si="101"/>
        <v>1899.98</v>
      </c>
      <c r="CE879" s="73">
        <f t="shared" si="102"/>
        <v>0</v>
      </c>
      <c r="CF879" s="75">
        <f t="shared" si="103"/>
        <v>5873</v>
      </c>
      <c r="CG879" s="69" t="str">
        <f t="shared" si="103"/>
        <v xml:space="preserve">خ ت اسنان </v>
      </c>
    </row>
    <row r="880" spans="2:85" x14ac:dyDescent="0.25">
      <c r="B880" s="82">
        <v>10305</v>
      </c>
      <c r="C880" s="78">
        <v>5874</v>
      </c>
      <c r="D880" s="69" t="s">
        <v>925</v>
      </c>
      <c r="E880" s="69" t="s">
        <v>425</v>
      </c>
      <c r="F880" s="69"/>
      <c r="G880" s="69">
        <v>879.38</v>
      </c>
      <c r="T880" s="69"/>
      <c r="U880" s="69"/>
      <c r="AR880" s="94">
        <f t="shared" si="100"/>
        <v>879.38</v>
      </c>
      <c r="AS880" s="69">
        <v>588.15</v>
      </c>
      <c r="AT880" s="69">
        <f>75+4.35</f>
        <v>79.349999999999994</v>
      </c>
      <c r="AU880" s="69">
        <v>211.88</v>
      </c>
      <c r="BC880" s="69"/>
      <c r="BD880" s="69"/>
      <c r="CD880" s="94">
        <f t="shared" si="101"/>
        <v>879.38</v>
      </c>
      <c r="CE880" s="73">
        <f t="shared" si="102"/>
        <v>0</v>
      </c>
      <c r="CF880" s="75">
        <f t="shared" si="103"/>
        <v>5874</v>
      </c>
      <c r="CG880" s="69" t="str">
        <f t="shared" si="103"/>
        <v xml:space="preserve">خ ت اسنان </v>
      </c>
    </row>
    <row r="881" spans="1:85" s="121" customFormat="1" ht="54" x14ac:dyDescent="0.25">
      <c r="A881" s="117" t="s">
        <v>2951</v>
      </c>
      <c r="B881" s="118">
        <v>9104</v>
      </c>
      <c r="C881" s="127">
        <v>5875</v>
      </c>
      <c r="D881" s="121" t="s">
        <v>925</v>
      </c>
      <c r="E881" s="121" t="s">
        <v>425</v>
      </c>
      <c r="G881" s="121">
        <v>781.66</v>
      </c>
      <c r="AR881" s="123">
        <f t="shared" ref="AR881:AR904" si="104">SUM(G881:AQ881)</f>
        <v>781.66</v>
      </c>
      <c r="AS881" s="121">
        <v>522.80999999999995</v>
      </c>
      <c r="AT881" s="121">
        <f>3.85+66.67</f>
        <v>70.52</v>
      </c>
      <c r="AU881" s="121">
        <v>188.33</v>
      </c>
      <c r="CD881" s="123">
        <f t="shared" ref="CD881:CD904" si="105">SUM(AS881:CC881)</f>
        <v>781.66</v>
      </c>
      <c r="CE881" s="124">
        <f t="shared" si="102"/>
        <v>0</v>
      </c>
      <c r="CF881" s="125">
        <f t="shared" ref="CF881:CG904" si="106">+C881</f>
        <v>5875</v>
      </c>
      <c r="CG881" s="121" t="str">
        <f t="shared" si="106"/>
        <v xml:space="preserve">خ ت اسنان </v>
      </c>
    </row>
    <row r="882" spans="1:85" x14ac:dyDescent="0.25">
      <c r="B882" s="82">
        <v>10070</v>
      </c>
      <c r="C882" s="78">
        <v>5876</v>
      </c>
      <c r="D882" s="69" t="s">
        <v>132</v>
      </c>
      <c r="E882" s="69" t="s">
        <v>2705</v>
      </c>
      <c r="F882" s="69"/>
      <c r="G882" s="69">
        <v>3106.25</v>
      </c>
      <c r="T882" s="69"/>
      <c r="U882" s="69"/>
      <c r="AR882" s="94">
        <f t="shared" si="104"/>
        <v>3106.25</v>
      </c>
      <c r="AS882" s="69">
        <v>2642.2</v>
      </c>
      <c r="AT882" s="69">
        <v>322.8</v>
      </c>
      <c r="AU882" s="69">
        <v>141.25</v>
      </c>
      <c r="BC882" s="69"/>
      <c r="BD882" s="69"/>
      <c r="CD882" s="94">
        <f t="shared" si="105"/>
        <v>3106.25</v>
      </c>
      <c r="CE882" s="73">
        <f t="shared" si="102"/>
        <v>0</v>
      </c>
      <c r="CF882" s="75">
        <f t="shared" si="106"/>
        <v>5876</v>
      </c>
      <c r="CG882" s="69" t="str">
        <f t="shared" si="106"/>
        <v>صيدلة اكلينيكى</v>
      </c>
    </row>
    <row r="883" spans="1:85" x14ac:dyDescent="0.25">
      <c r="B883" s="82">
        <v>10079</v>
      </c>
      <c r="C883" s="78">
        <v>5877</v>
      </c>
      <c r="D883" s="69" t="s">
        <v>132</v>
      </c>
      <c r="E883" s="69" t="s">
        <v>2952</v>
      </c>
      <c r="F883" s="69"/>
      <c r="G883" s="69">
        <v>1465.62</v>
      </c>
      <c r="T883" s="69"/>
      <c r="U883" s="69"/>
      <c r="AR883" s="94">
        <f t="shared" si="104"/>
        <v>1465.62</v>
      </c>
      <c r="AS883" s="69">
        <v>979.5</v>
      </c>
      <c r="AT883" s="69">
        <v>133</v>
      </c>
      <c r="AU883" s="69">
        <v>353.12</v>
      </c>
      <c r="BC883" s="69"/>
      <c r="BD883" s="69"/>
      <c r="CD883" s="94">
        <f t="shared" si="105"/>
        <v>1465.62</v>
      </c>
      <c r="CE883" s="73">
        <f t="shared" si="102"/>
        <v>0</v>
      </c>
      <c r="CF883" s="75">
        <f t="shared" si="106"/>
        <v>5877</v>
      </c>
      <c r="CG883" s="69" t="str">
        <f t="shared" si="106"/>
        <v>صيدلة اكلينيكى</v>
      </c>
    </row>
    <row r="884" spans="1:85" x14ac:dyDescent="0.25">
      <c r="B884" s="82">
        <v>10080</v>
      </c>
      <c r="C884" s="78">
        <v>5878</v>
      </c>
      <c r="D884" s="69" t="s">
        <v>132</v>
      </c>
      <c r="E884" s="69" t="s">
        <v>2952</v>
      </c>
      <c r="F884" s="69"/>
      <c r="G884" s="69">
        <v>1465.63</v>
      </c>
      <c r="T884" s="69"/>
      <c r="U884" s="69"/>
      <c r="AR884" s="94">
        <f t="shared" si="104"/>
        <v>1465.63</v>
      </c>
      <c r="AS884" s="69">
        <v>979.5</v>
      </c>
      <c r="AT884" s="69">
        <f>125+8</f>
        <v>133</v>
      </c>
      <c r="AU884" s="69">
        <v>353.13</v>
      </c>
      <c r="BC884" s="69"/>
      <c r="BD884" s="69"/>
      <c r="CD884" s="94">
        <f t="shared" si="105"/>
        <v>1465.63</v>
      </c>
      <c r="CE884" s="73">
        <f t="shared" si="102"/>
        <v>0</v>
      </c>
      <c r="CF884" s="75">
        <f t="shared" si="106"/>
        <v>5878</v>
      </c>
      <c r="CG884" s="69" t="str">
        <f t="shared" si="106"/>
        <v>صيدلة اكلينيكى</v>
      </c>
    </row>
    <row r="885" spans="1:85" x14ac:dyDescent="0.25">
      <c r="B885" s="82">
        <v>10074</v>
      </c>
      <c r="C885" s="78">
        <v>5879</v>
      </c>
      <c r="D885" s="69" t="s">
        <v>132</v>
      </c>
      <c r="E885" s="69" t="s">
        <v>2953</v>
      </c>
      <c r="F885" s="69"/>
      <c r="G885" s="69">
        <v>586.25</v>
      </c>
      <c r="T885" s="69"/>
      <c r="U885" s="69"/>
      <c r="AR885" s="94">
        <f t="shared" si="104"/>
        <v>586.25</v>
      </c>
      <c r="AS885" s="69">
        <v>392.4</v>
      </c>
      <c r="AT885" s="69">
        <v>52.6</v>
      </c>
      <c r="AU885" s="69">
        <v>141.25</v>
      </c>
      <c r="BC885" s="69"/>
      <c r="BD885" s="69"/>
      <c r="CD885" s="94">
        <f t="shared" si="105"/>
        <v>586.25</v>
      </c>
      <c r="CE885" s="73">
        <f t="shared" si="102"/>
        <v>0</v>
      </c>
      <c r="CF885" s="75">
        <f t="shared" si="106"/>
        <v>5879</v>
      </c>
      <c r="CG885" s="69" t="str">
        <f t="shared" si="106"/>
        <v>صيدلة اكلينيكى</v>
      </c>
    </row>
    <row r="886" spans="1:85" x14ac:dyDescent="0.25">
      <c r="B886" s="82">
        <v>10071</v>
      </c>
      <c r="C886" s="78">
        <v>5880</v>
      </c>
      <c r="D886" s="69" t="s">
        <v>132</v>
      </c>
      <c r="E886" s="69" t="s">
        <v>2953</v>
      </c>
      <c r="F886" s="69"/>
      <c r="G886" s="69">
        <v>586.25</v>
      </c>
      <c r="T886" s="69"/>
      <c r="U886" s="69"/>
      <c r="AR886" s="94">
        <f t="shared" si="104"/>
        <v>586.25</v>
      </c>
      <c r="AS886" s="69">
        <v>392.4</v>
      </c>
      <c r="AT886" s="69">
        <v>52.6</v>
      </c>
      <c r="AU886" s="69">
        <v>141.25</v>
      </c>
      <c r="BC886" s="69"/>
      <c r="BD886" s="69"/>
      <c r="CD886" s="94">
        <f t="shared" si="105"/>
        <v>586.25</v>
      </c>
      <c r="CE886" s="73">
        <f t="shared" si="102"/>
        <v>0</v>
      </c>
      <c r="CF886" s="75">
        <f t="shared" si="106"/>
        <v>5880</v>
      </c>
      <c r="CG886" s="69" t="str">
        <f t="shared" si="106"/>
        <v>صيدلة اكلينيكى</v>
      </c>
    </row>
    <row r="887" spans="1:85" x14ac:dyDescent="0.25">
      <c r="B887" s="82">
        <v>10072</v>
      </c>
      <c r="C887" s="78">
        <v>5881</v>
      </c>
      <c r="D887" s="69" t="s">
        <v>132</v>
      </c>
      <c r="E887" s="69" t="s">
        <v>2953</v>
      </c>
      <c r="F887" s="69"/>
      <c r="G887" s="69">
        <v>9334.86</v>
      </c>
      <c r="T887" s="69"/>
      <c r="U887" s="69"/>
      <c r="AR887" s="94">
        <f t="shared" si="104"/>
        <v>9334.86</v>
      </c>
      <c r="AS887" s="69">
        <v>7443.01</v>
      </c>
      <c r="AT887" s="69">
        <v>934.05</v>
      </c>
      <c r="AU887" s="69">
        <v>957.8</v>
      </c>
      <c r="BC887" s="69"/>
      <c r="BD887" s="69"/>
      <c r="CD887" s="94">
        <f t="shared" si="105"/>
        <v>9334.8599999999988</v>
      </c>
      <c r="CE887" s="73">
        <f t="shared" si="102"/>
        <v>0</v>
      </c>
      <c r="CF887" s="75">
        <f t="shared" si="106"/>
        <v>5881</v>
      </c>
      <c r="CG887" s="69" t="str">
        <f t="shared" si="106"/>
        <v>صيدلة اكلينيكى</v>
      </c>
    </row>
    <row r="888" spans="1:85" x14ac:dyDescent="0.25">
      <c r="B888" s="82">
        <v>10063</v>
      </c>
      <c r="C888" s="78">
        <v>5882</v>
      </c>
      <c r="D888" s="69" t="s">
        <v>132</v>
      </c>
      <c r="E888" s="69" t="s">
        <v>2954</v>
      </c>
      <c r="F888" s="69"/>
      <c r="G888" s="69">
        <v>5862.49</v>
      </c>
      <c r="T888" s="69"/>
      <c r="U888" s="69"/>
      <c r="AR888" s="94">
        <f t="shared" si="104"/>
        <v>5862.49</v>
      </c>
      <c r="AS888" s="69">
        <v>3918.55</v>
      </c>
      <c r="AT888" s="69">
        <v>531.45000000000005</v>
      </c>
      <c r="AU888" s="69">
        <v>1412.49</v>
      </c>
      <c r="BC888" s="69"/>
      <c r="BD888" s="69"/>
      <c r="CD888" s="94">
        <f t="shared" si="105"/>
        <v>5862.49</v>
      </c>
      <c r="CE888" s="73">
        <f t="shared" si="102"/>
        <v>0</v>
      </c>
      <c r="CF888" s="75">
        <f t="shared" si="106"/>
        <v>5882</v>
      </c>
      <c r="CG888" s="69" t="str">
        <f t="shared" si="106"/>
        <v>صيدلة اكلينيكى</v>
      </c>
    </row>
    <row r="889" spans="1:85" x14ac:dyDescent="0.25">
      <c r="B889" s="82">
        <v>10067</v>
      </c>
      <c r="C889" s="78">
        <v>5883</v>
      </c>
      <c r="D889" s="69" t="s">
        <v>132</v>
      </c>
      <c r="E889" s="69" t="s">
        <v>2955</v>
      </c>
      <c r="F889" s="69"/>
      <c r="G889" s="69">
        <v>25200</v>
      </c>
      <c r="T889" s="69"/>
      <c r="U889" s="69"/>
      <c r="AR889" s="94">
        <f t="shared" si="104"/>
        <v>25200</v>
      </c>
      <c r="AS889" s="69">
        <v>22482.05</v>
      </c>
      <c r="AT889" s="69">
        <v>2717.95</v>
      </c>
      <c r="BC889" s="69"/>
      <c r="BD889" s="69"/>
      <c r="CD889" s="94">
        <f t="shared" si="105"/>
        <v>25200</v>
      </c>
      <c r="CE889" s="73">
        <f t="shared" si="102"/>
        <v>0</v>
      </c>
      <c r="CF889" s="75">
        <f t="shared" si="106"/>
        <v>5883</v>
      </c>
      <c r="CG889" s="69" t="str">
        <f t="shared" si="106"/>
        <v>صيدلة اكلينيكى</v>
      </c>
    </row>
    <row r="890" spans="1:85" x14ac:dyDescent="0.25">
      <c r="B890" s="82">
        <v>10066</v>
      </c>
      <c r="C890" s="78">
        <v>5884</v>
      </c>
      <c r="D890" s="69" t="s">
        <v>132</v>
      </c>
      <c r="E890" s="69" t="s">
        <v>2956</v>
      </c>
      <c r="F890" s="69"/>
      <c r="G890" s="69">
        <v>351.75</v>
      </c>
      <c r="T890" s="69"/>
      <c r="U890" s="69"/>
      <c r="AR890" s="94">
        <f t="shared" si="104"/>
        <v>351.75</v>
      </c>
      <c r="AS890" s="69">
        <v>235.55</v>
      </c>
      <c r="AT890" s="69">
        <v>31.45</v>
      </c>
      <c r="AU890" s="69">
        <v>84.75</v>
      </c>
      <c r="BC890" s="69"/>
      <c r="BD890" s="69"/>
      <c r="CD890" s="94">
        <f t="shared" si="105"/>
        <v>351.75</v>
      </c>
      <c r="CE890" s="73">
        <f t="shared" si="102"/>
        <v>0</v>
      </c>
      <c r="CF890" s="75">
        <f t="shared" si="106"/>
        <v>5884</v>
      </c>
      <c r="CG890" s="69" t="str">
        <f t="shared" si="106"/>
        <v>صيدلة اكلينيكى</v>
      </c>
    </row>
    <row r="891" spans="1:85" x14ac:dyDescent="0.25">
      <c r="B891" s="82">
        <v>10062</v>
      </c>
      <c r="C891" s="78">
        <v>5885</v>
      </c>
      <c r="D891" s="69" t="s">
        <v>132</v>
      </c>
      <c r="E891" s="69" t="s">
        <v>2957</v>
      </c>
      <c r="F891" s="69"/>
      <c r="G891" s="69">
        <v>586.25</v>
      </c>
      <c r="T891" s="69"/>
      <c r="U891" s="69"/>
      <c r="AR891" s="94">
        <f t="shared" si="104"/>
        <v>586.25</v>
      </c>
      <c r="AS891" s="69">
        <v>392.4</v>
      </c>
      <c r="AT891" s="69">
        <v>52.6</v>
      </c>
      <c r="AU891" s="69">
        <v>141.25</v>
      </c>
      <c r="BC891" s="69"/>
      <c r="BD891" s="69"/>
      <c r="CD891" s="94">
        <f t="shared" si="105"/>
        <v>586.25</v>
      </c>
      <c r="CE891" s="73">
        <f t="shared" si="102"/>
        <v>0</v>
      </c>
      <c r="CF891" s="75">
        <f t="shared" si="106"/>
        <v>5885</v>
      </c>
      <c r="CG891" s="69" t="str">
        <f t="shared" si="106"/>
        <v>صيدلة اكلينيكى</v>
      </c>
    </row>
    <row r="892" spans="1:85" x14ac:dyDescent="0.25">
      <c r="B892" s="82">
        <v>10059</v>
      </c>
      <c r="C892" s="78">
        <v>5886</v>
      </c>
      <c r="D892" s="69" t="s">
        <v>132</v>
      </c>
      <c r="E892" s="69" t="s">
        <v>2958</v>
      </c>
      <c r="F892" s="69"/>
      <c r="G892" s="69">
        <v>1524.25</v>
      </c>
      <c r="T892" s="69"/>
      <c r="U892" s="69"/>
      <c r="AR892" s="94">
        <f t="shared" si="104"/>
        <v>1524.25</v>
      </c>
      <c r="AS892" s="69">
        <v>1020.65</v>
      </c>
      <c r="AT892" s="69">
        <v>136.35</v>
      </c>
      <c r="AU892" s="69">
        <v>367.25</v>
      </c>
      <c r="BC892" s="69"/>
      <c r="BD892" s="69"/>
      <c r="CD892" s="94">
        <f t="shared" si="105"/>
        <v>1524.25</v>
      </c>
      <c r="CE892" s="73">
        <f t="shared" si="102"/>
        <v>0</v>
      </c>
      <c r="CF892" s="75">
        <f t="shared" si="106"/>
        <v>5886</v>
      </c>
      <c r="CG892" s="69" t="str">
        <f t="shared" si="106"/>
        <v>صيدلة اكلينيكى</v>
      </c>
    </row>
    <row r="893" spans="1:85" x14ac:dyDescent="0.25">
      <c r="B893" s="82">
        <v>10064</v>
      </c>
      <c r="C893" s="78">
        <v>5887</v>
      </c>
      <c r="D893" s="69" t="s">
        <v>132</v>
      </c>
      <c r="E893" s="69" t="s">
        <v>403</v>
      </c>
      <c r="F893" s="69"/>
      <c r="G893" s="69">
        <v>1524.25</v>
      </c>
      <c r="T893" s="69"/>
      <c r="U893" s="69"/>
      <c r="AR893" s="94">
        <f t="shared" si="104"/>
        <v>1524.25</v>
      </c>
      <c r="AS893" s="69">
        <v>1018.7</v>
      </c>
      <c r="AT893" s="69">
        <v>138.30000000000001</v>
      </c>
      <c r="AU893" s="69">
        <v>367.25</v>
      </c>
      <c r="BC893" s="69"/>
      <c r="BD893" s="69"/>
      <c r="CD893" s="94">
        <f t="shared" si="105"/>
        <v>1524.25</v>
      </c>
      <c r="CE893" s="73">
        <f t="shared" si="102"/>
        <v>0</v>
      </c>
      <c r="CF893" s="75">
        <f t="shared" si="106"/>
        <v>5887</v>
      </c>
      <c r="CG893" s="69" t="str">
        <f t="shared" si="106"/>
        <v>صيدلة اكلينيكى</v>
      </c>
    </row>
    <row r="894" spans="1:85" x14ac:dyDescent="0.25">
      <c r="B894" s="82">
        <v>10065</v>
      </c>
      <c r="C894" s="78">
        <v>5888</v>
      </c>
      <c r="D894" s="69" t="s">
        <v>132</v>
      </c>
      <c r="E894" s="69" t="s">
        <v>403</v>
      </c>
      <c r="F894" s="69"/>
      <c r="G894" s="69">
        <v>1758.75</v>
      </c>
      <c r="T894" s="69"/>
      <c r="U894" s="69"/>
      <c r="AR894" s="94">
        <f t="shared" si="104"/>
        <v>1758.75</v>
      </c>
      <c r="AS894" s="69">
        <v>1175.3499999999999</v>
      </c>
      <c r="AT894" s="69">
        <v>159.65</v>
      </c>
      <c r="AU894" s="69">
        <v>423.75</v>
      </c>
      <c r="BC894" s="69"/>
      <c r="BD894" s="69"/>
      <c r="CD894" s="94">
        <f t="shared" si="105"/>
        <v>1758.75</v>
      </c>
      <c r="CE894" s="73">
        <f t="shared" si="102"/>
        <v>0</v>
      </c>
      <c r="CF894" s="75">
        <f t="shared" si="106"/>
        <v>5888</v>
      </c>
      <c r="CG894" s="69" t="str">
        <f t="shared" si="106"/>
        <v>صيدلة اكلينيكى</v>
      </c>
    </row>
    <row r="895" spans="1:85" x14ac:dyDescent="0.25">
      <c r="B895" s="82">
        <v>10061</v>
      </c>
      <c r="C895" s="78">
        <v>5889</v>
      </c>
      <c r="D895" s="69" t="s">
        <v>132</v>
      </c>
      <c r="E895" s="69" t="s">
        <v>2959</v>
      </c>
      <c r="F895" s="69"/>
      <c r="G895" s="69">
        <v>879.38</v>
      </c>
      <c r="T895" s="69"/>
      <c r="U895" s="69"/>
      <c r="AR895" s="94">
        <f t="shared" si="104"/>
        <v>879.38</v>
      </c>
      <c r="AS895" s="69">
        <v>588.15</v>
      </c>
      <c r="AT895" s="69">
        <v>79.349999999999994</v>
      </c>
      <c r="AU895" s="69">
        <v>211.88</v>
      </c>
      <c r="BC895" s="69"/>
      <c r="BD895" s="69"/>
      <c r="CD895" s="94">
        <f t="shared" si="105"/>
        <v>879.38</v>
      </c>
      <c r="CE895" s="73">
        <f t="shared" si="102"/>
        <v>0</v>
      </c>
      <c r="CF895" s="75">
        <f t="shared" si="106"/>
        <v>5889</v>
      </c>
      <c r="CG895" s="69" t="str">
        <f t="shared" si="106"/>
        <v>صيدلة اكلينيكى</v>
      </c>
    </row>
    <row r="896" spans="1:85" x14ac:dyDescent="0.25">
      <c r="B896" s="82">
        <v>10069</v>
      </c>
      <c r="C896" s="78">
        <v>5890</v>
      </c>
      <c r="D896" s="69" t="s">
        <v>132</v>
      </c>
      <c r="E896" s="69" t="s">
        <v>2960</v>
      </c>
      <c r="F896" s="69"/>
      <c r="G896" s="69">
        <v>586.25</v>
      </c>
      <c r="T896" s="69"/>
      <c r="U896" s="69"/>
      <c r="AR896" s="94">
        <f t="shared" si="104"/>
        <v>586.25</v>
      </c>
      <c r="AS896" s="69">
        <v>392.4</v>
      </c>
      <c r="AT896" s="69">
        <v>52.6</v>
      </c>
      <c r="AU896" s="69">
        <v>141.25</v>
      </c>
      <c r="BC896" s="69"/>
      <c r="BD896" s="69"/>
      <c r="CD896" s="94">
        <f t="shared" si="105"/>
        <v>586.25</v>
      </c>
      <c r="CE896" s="73">
        <f t="shared" si="102"/>
        <v>0</v>
      </c>
      <c r="CF896" s="75">
        <f t="shared" si="106"/>
        <v>5890</v>
      </c>
      <c r="CG896" s="69" t="str">
        <f t="shared" si="106"/>
        <v>صيدلة اكلينيكى</v>
      </c>
    </row>
    <row r="897" spans="2:92" x14ac:dyDescent="0.25">
      <c r="B897" s="82">
        <v>10068</v>
      </c>
      <c r="C897" s="78">
        <v>5891</v>
      </c>
      <c r="D897" s="69" t="s">
        <v>132</v>
      </c>
      <c r="E897" s="69" t="s">
        <v>2961</v>
      </c>
      <c r="F897" s="69"/>
      <c r="G897" s="69">
        <v>3500</v>
      </c>
      <c r="T897" s="69"/>
      <c r="U897" s="69"/>
      <c r="AR897" s="94">
        <f t="shared" si="104"/>
        <v>3500</v>
      </c>
      <c r="AS897" s="69">
        <v>3129.35</v>
      </c>
      <c r="AT897" s="69">
        <v>370.65</v>
      </c>
      <c r="BC897" s="69"/>
      <c r="BD897" s="69"/>
      <c r="CD897" s="94">
        <f t="shared" si="105"/>
        <v>3500</v>
      </c>
      <c r="CE897" s="73">
        <f t="shared" si="102"/>
        <v>0</v>
      </c>
      <c r="CF897" s="75">
        <f t="shared" si="106"/>
        <v>5891</v>
      </c>
      <c r="CG897" s="69" t="str">
        <f t="shared" si="106"/>
        <v>صيدلة اكلينيكى</v>
      </c>
    </row>
    <row r="898" spans="2:92" x14ac:dyDescent="0.25">
      <c r="B898" s="82">
        <v>10056</v>
      </c>
      <c r="C898" s="78">
        <v>5892</v>
      </c>
      <c r="D898" s="69" t="s">
        <v>132</v>
      </c>
      <c r="E898" s="69" t="s">
        <v>1392</v>
      </c>
      <c r="F898" s="69"/>
      <c r="G898" s="69">
        <v>2872.6</v>
      </c>
      <c r="T898" s="69"/>
      <c r="U898" s="69"/>
      <c r="AR898" s="94">
        <f t="shared" si="104"/>
        <v>2872.6</v>
      </c>
      <c r="AS898" s="69">
        <v>1923.95</v>
      </c>
      <c r="AT898" s="69">
        <v>256.55</v>
      </c>
      <c r="AU898" s="69">
        <v>692.1</v>
      </c>
      <c r="BC898" s="69"/>
      <c r="BD898" s="69"/>
      <c r="CD898" s="94">
        <f t="shared" si="105"/>
        <v>2872.6</v>
      </c>
      <c r="CE898" s="73">
        <f t="shared" si="102"/>
        <v>0</v>
      </c>
      <c r="CF898" s="75">
        <f t="shared" si="106"/>
        <v>5892</v>
      </c>
      <c r="CG898" s="69" t="str">
        <f t="shared" si="106"/>
        <v>صيدلة اكلينيكى</v>
      </c>
    </row>
    <row r="899" spans="2:92" x14ac:dyDescent="0.25">
      <c r="B899" s="82">
        <v>10060</v>
      </c>
      <c r="C899" s="78">
        <v>5893</v>
      </c>
      <c r="D899" s="69" t="s">
        <v>132</v>
      </c>
      <c r="E899" s="69" t="str">
        <f>+E895</f>
        <v>مكافاه شهاده علم الروم</v>
      </c>
      <c r="F899" s="69"/>
      <c r="G899" s="69">
        <v>879.38</v>
      </c>
      <c r="T899" s="69"/>
      <c r="U899" s="69"/>
      <c r="AR899" s="94">
        <f t="shared" si="104"/>
        <v>879.38</v>
      </c>
      <c r="AS899" s="69">
        <v>588.15</v>
      </c>
      <c r="AT899" s="69">
        <v>79.349999999999994</v>
      </c>
      <c r="AU899" s="69">
        <v>211.88</v>
      </c>
      <c r="BC899" s="69"/>
      <c r="BD899" s="69"/>
      <c r="CD899" s="94">
        <f t="shared" si="105"/>
        <v>879.38</v>
      </c>
      <c r="CE899" s="73">
        <f t="shared" si="102"/>
        <v>0</v>
      </c>
      <c r="CF899" s="75">
        <f t="shared" si="106"/>
        <v>5893</v>
      </c>
      <c r="CG899" s="69" t="str">
        <f t="shared" si="106"/>
        <v>صيدلة اكلينيكى</v>
      </c>
    </row>
    <row r="900" spans="2:92" x14ac:dyDescent="0.25">
      <c r="B900" s="82">
        <v>10055</v>
      </c>
      <c r="C900" s="78">
        <v>5894</v>
      </c>
      <c r="D900" s="69" t="s">
        <v>132</v>
      </c>
      <c r="E900" s="69" t="str">
        <f>+E898</f>
        <v xml:space="preserve">مكافاه شؤن طلاب </v>
      </c>
      <c r="F900" s="69"/>
      <c r="G900" s="69">
        <v>996.62</v>
      </c>
      <c r="T900" s="69"/>
      <c r="U900" s="69"/>
      <c r="AR900" s="94">
        <f t="shared" si="104"/>
        <v>996.62</v>
      </c>
      <c r="AS900" s="69">
        <v>667.05</v>
      </c>
      <c r="AT900" s="69">
        <v>89.45</v>
      </c>
      <c r="AU900" s="69">
        <v>240.12</v>
      </c>
      <c r="BC900" s="69"/>
      <c r="BD900" s="69"/>
      <c r="CD900" s="94">
        <f t="shared" si="105"/>
        <v>996.62</v>
      </c>
      <c r="CE900" s="73">
        <f t="shared" si="102"/>
        <v>0</v>
      </c>
      <c r="CF900" s="75">
        <f t="shared" si="106"/>
        <v>5894</v>
      </c>
      <c r="CG900" s="69" t="str">
        <f t="shared" si="106"/>
        <v>صيدلة اكلينيكى</v>
      </c>
    </row>
    <row r="901" spans="2:92" x14ac:dyDescent="0.25">
      <c r="B901" s="82">
        <v>10058</v>
      </c>
      <c r="C901" s="78">
        <v>5895</v>
      </c>
      <c r="D901" s="69" t="s">
        <v>132</v>
      </c>
      <c r="E901" s="69" t="s">
        <v>2962</v>
      </c>
      <c r="F901" s="69"/>
      <c r="G901" s="69">
        <v>3000</v>
      </c>
      <c r="T901" s="69"/>
      <c r="U901" s="69"/>
      <c r="AR901" s="94">
        <f t="shared" si="104"/>
        <v>3000</v>
      </c>
      <c r="AS901" s="69">
        <v>2677.85</v>
      </c>
      <c r="AT901" s="69">
        <v>322.14999999999998</v>
      </c>
      <c r="BC901" s="69"/>
      <c r="BD901" s="69"/>
      <c r="CD901" s="94">
        <f t="shared" si="105"/>
        <v>3000</v>
      </c>
      <c r="CE901" s="73">
        <f t="shared" si="102"/>
        <v>0</v>
      </c>
      <c r="CF901" s="75">
        <f t="shared" si="106"/>
        <v>5895</v>
      </c>
      <c r="CG901" s="69" t="str">
        <f t="shared" si="106"/>
        <v>صيدلة اكلينيكى</v>
      </c>
    </row>
    <row r="902" spans="2:92" x14ac:dyDescent="0.25">
      <c r="B902" s="82">
        <v>10054</v>
      </c>
      <c r="C902" s="78">
        <v>5896</v>
      </c>
      <c r="D902" s="69" t="s">
        <v>132</v>
      </c>
      <c r="E902" s="69" t="str">
        <f>+E900</f>
        <v xml:space="preserve">مكافاه شؤن طلاب </v>
      </c>
      <c r="F902" s="69"/>
      <c r="G902" s="69">
        <v>293.12</v>
      </c>
      <c r="T902" s="69"/>
      <c r="U902" s="69"/>
      <c r="AR902" s="94">
        <f t="shared" si="104"/>
        <v>293.12</v>
      </c>
      <c r="AS902" s="69">
        <v>196.45</v>
      </c>
      <c r="AT902" s="69">
        <v>26.05</v>
      </c>
      <c r="AU902" s="69">
        <v>70.62</v>
      </c>
      <c r="BC902" s="69"/>
      <c r="BD902" s="69"/>
      <c r="CD902" s="94">
        <f t="shared" si="105"/>
        <v>293.12</v>
      </c>
      <c r="CE902" s="73">
        <f t="shared" si="102"/>
        <v>0</v>
      </c>
      <c r="CF902" s="75">
        <f t="shared" si="106"/>
        <v>5896</v>
      </c>
      <c r="CG902" s="69" t="str">
        <f t="shared" si="106"/>
        <v>صيدلة اكلينيكى</v>
      </c>
    </row>
    <row r="903" spans="2:92" x14ac:dyDescent="0.25">
      <c r="B903" s="82">
        <v>10057</v>
      </c>
      <c r="C903" s="78">
        <v>5897</v>
      </c>
      <c r="D903" s="69" t="s">
        <v>132</v>
      </c>
      <c r="E903" s="69" t="str">
        <f>+E902</f>
        <v xml:space="preserve">مكافاه شؤن طلاب </v>
      </c>
      <c r="F903" s="69"/>
      <c r="G903" s="69">
        <v>586.25</v>
      </c>
      <c r="T903" s="69"/>
      <c r="U903" s="69"/>
      <c r="AR903" s="94">
        <f t="shared" si="104"/>
        <v>586.25</v>
      </c>
      <c r="AS903" s="69">
        <v>392.9</v>
      </c>
      <c r="AT903" s="69">
        <v>52.1</v>
      </c>
      <c r="AU903" s="69">
        <v>141.25</v>
      </c>
      <c r="BC903" s="69"/>
      <c r="BD903" s="69"/>
      <c r="CD903" s="94">
        <f t="shared" si="105"/>
        <v>586.25</v>
      </c>
      <c r="CE903" s="73">
        <f t="shared" si="102"/>
        <v>0</v>
      </c>
      <c r="CF903" s="75">
        <f t="shared" si="106"/>
        <v>5897</v>
      </c>
      <c r="CG903" s="69" t="str">
        <f t="shared" si="106"/>
        <v>صيدلة اكلينيكى</v>
      </c>
    </row>
    <row r="904" spans="2:92" x14ac:dyDescent="0.25">
      <c r="B904" s="82">
        <v>10073</v>
      </c>
      <c r="C904" s="78">
        <v>5898</v>
      </c>
      <c r="D904" s="69" t="s">
        <v>132</v>
      </c>
      <c r="E904" s="69" t="str">
        <f>+E887</f>
        <v>مكافاه وحده تكنولوجيا المعلومات</v>
      </c>
      <c r="F904" s="69"/>
      <c r="G904" s="69">
        <v>879.38</v>
      </c>
      <c r="T904" s="69"/>
      <c r="U904" s="69"/>
      <c r="AR904" s="94">
        <f t="shared" si="104"/>
        <v>879.38</v>
      </c>
      <c r="AS904" s="69">
        <v>588.15</v>
      </c>
      <c r="AT904" s="69">
        <v>79.349999999999994</v>
      </c>
      <c r="AU904" s="69">
        <v>211.88</v>
      </c>
      <c r="BC904" s="69"/>
      <c r="BD904" s="69"/>
      <c r="CD904" s="94">
        <f t="shared" si="105"/>
        <v>879.38</v>
      </c>
      <c r="CE904" s="73">
        <f t="shared" si="102"/>
        <v>0</v>
      </c>
      <c r="CF904" s="75">
        <f t="shared" si="106"/>
        <v>5898</v>
      </c>
      <c r="CG904" s="69" t="str">
        <f t="shared" si="106"/>
        <v>صيدلة اكلينيكى</v>
      </c>
    </row>
    <row r="905" spans="2:92" s="68" customFormat="1" x14ac:dyDescent="0.25">
      <c r="B905" s="83"/>
      <c r="C905" s="84"/>
      <c r="E905" s="68" t="s">
        <v>2963</v>
      </c>
      <c r="G905" s="68">
        <f t="shared" ref="G905:BR905" si="107">SUM(G849:G904)</f>
        <v>218263.47</v>
      </c>
      <c r="H905" s="68">
        <f t="shared" si="107"/>
        <v>0</v>
      </c>
      <c r="I905" s="68">
        <f t="shared" si="107"/>
        <v>12000</v>
      </c>
      <c r="J905" s="68">
        <f t="shared" si="107"/>
        <v>0</v>
      </c>
      <c r="K905" s="68">
        <f t="shared" si="107"/>
        <v>0</v>
      </c>
      <c r="L905" s="68">
        <f t="shared" si="107"/>
        <v>0</v>
      </c>
      <c r="M905" s="68">
        <f t="shared" si="107"/>
        <v>0</v>
      </c>
      <c r="N905" s="68">
        <f t="shared" si="107"/>
        <v>0</v>
      </c>
      <c r="O905" s="68">
        <f t="shared" si="107"/>
        <v>0</v>
      </c>
      <c r="P905" s="68">
        <f t="shared" si="107"/>
        <v>0</v>
      </c>
      <c r="Q905" s="68">
        <f t="shared" si="107"/>
        <v>0</v>
      </c>
      <c r="R905" s="68">
        <f t="shared" si="107"/>
        <v>0</v>
      </c>
      <c r="S905" s="68">
        <f t="shared" si="107"/>
        <v>0</v>
      </c>
      <c r="T905" s="68">
        <f t="shared" si="107"/>
        <v>0</v>
      </c>
      <c r="U905" s="68">
        <f t="shared" si="107"/>
        <v>0</v>
      </c>
      <c r="V905" s="68">
        <f t="shared" si="107"/>
        <v>0</v>
      </c>
      <c r="W905" s="68">
        <f t="shared" si="107"/>
        <v>0</v>
      </c>
      <c r="X905" s="68">
        <f t="shared" si="107"/>
        <v>0</v>
      </c>
      <c r="Y905" s="68">
        <f t="shared" si="107"/>
        <v>0</v>
      </c>
      <c r="Z905" s="68">
        <f t="shared" si="107"/>
        <v>0</v>
      </c>
      <c r="AA905" s="68">
        <f t="shared" si="107"/>
        <v>0</v>
      </c>
      <c r="AB905" s="68">
        <f t="shared" si="107"/>
        <v>0</v>
      </c>
      <c r="AC905" s="68">
        <f t="shared" si="107"/>
        <v>0</v>
      </c>
      <c r="AD905" s="68">
        <f t="shared" si="107"/>
        <v>0</v>
      </c>
      <c r="AE905" s="68">
        <f t="shared" si="107"/>
        <v>0</v>
      </c>
      <c r="AF905" s="68">
        <f t="shared" si="107"/>
        <v>0</v>
      </c>
      <c r="AG905" s="68">
        <f t="shared" si="107"/>
        <v>0</v>
      </c>
      <c r="AH905" s="68">
        <f t="shared" si="107"/>
        <v>0</v>
      </c>
      <c r="AI905" s="68">
        <f t="shared" si="107"/>
        <v>0</v>
      </c>
      <c r="AJ905" s="68">
        <f t="shared" si="107"/>
        <v>0</v>
      </c>
      <c r="AK905" s="68">
        <f t="shared" si="107"/>
        <v>0</v>
      </c>
      <c r="AL905" s="68">
        <f t="shared" si="107"/>
        <v>0</v>
      </c>
      <c r="AM905" s="68">
        <f t="shared" si="107"/>
        <v>0</v>
      </c>
      <c r="AO905" s="68">
        <f t="shared" si="107"/>
        <v>0</v>
      </c>
      <c r="AP905" s="68">
        <f t="shared" si="107"/>
        <v>0</v>
      </c>
      <c r="AQ905" s="68">
        <f t="shared" si="107"/>
        <v>0</v>
      </c>
      <c r="AR905" s="68">
        <f t="shared" si="107"/>
        <v>230263.47</v>
      </c>
      <c r="AS905" s="68">
        <f t="shared" si="107"/>
        <v>173744.29999999993</v>
      </c>
      <c r="AT905" s="68">
        <f t="shared" si="107"/>
        <v>22890.909999999993</v>
      </c>
      <c r="AU905" s="68">
        <f t="shared" si="107"/>
        <v>30758.020000000004</v>
      </c>
      <c r="AV905" s="68">
        <f t="shared" si="107"/>
        <v>2870.24</v>
      </c>
      <c r="AW905" s="68">
        <f t="shared" si="107"/>
        <v>0</v>
      </c>
      <c r="AX905" s="68">
        <f t="shared" si="107"/>
        <v>0</v>
      </c>
      <c r="AY905" s="68">
        <f t="shared" si="107"/>
        <v>0</v>
      </c>
      <c r="AZ905" s="68">
        <f t="shared" si="107"/>
        <v>0</v>
      </c>
      <c r="BA905" s="68">
        <f t="shared" si="107"/>
        <v>0</v>
      </c>
      <c r="BB905" s="68">
        <f t="shared" si="107"/>
        <v>0</v>
      </c>
      <c r="BC905" s="68">
        <f t="shared" si="107"/>
        <v>0</v>
      </c>
      <c r="BD905" s="68">
        <f t="shared" si="107"/>
        <v>0</v>
      </c>
      <c r="BE905" s="68">
        <f t="shared" si="107"/>
        <v>0</v>
      </c>
      <c r="BF905" s="68">
        <f t="shared" si="107"/>
        <v>0</v>
      </c>
      <c r="BG905" s="68">
        <f t="shared" si="107"/>
        <v>0</v>
      </c>
      <c r="BH905" s="68">
        <f t="shared" si="107"/>
        <v>0</v>
      </c>
      <c r="BI905" s="68">
        <f t="shared" si="107"/>
        <v>0</v>
      </c>
      <c r="BJ905" s="68">
        <f t="shared" si="107"/>
        <v>0</v>
      </c>
      <c r="BK905" s="68">
        <f t="shared" si="107"/>
        <v>0</v>
      </c>
      <c r="BL905" s="68">
        <f t="shared" si="107"/>
        <v>0</v>
      </c>
      <c r="BM905" s="68">
        <f t="shared" si="107"/>
        <v>0</v>
      </c>
      <c r="BN905" s="68">
        <f t="shared" si="107"/>
        <v>0</v>
      </c>
      <c r="BO905" s="68">
        <f t="shared" si="107"/>
        <v>0</v>
      </c>
      <c r="BP905" s="68">
        <f t="shared" si="107"/>
        <v>0</v>
      </c>
      <c r="BQ905" s="68">
        <f t="shared" si="107"/>
        <v>0</v>
      </c>
      <c r="BR905" s="68">
        <f t="shared" si="107"/>
        <v>0</v>
      </c>
      <c r="BS905" s="68">
        <f t="shared" ref="BS905:CE905" si="108">SUM(BS849:BS904)</f>
        <v>0</v>
      </c>
      <c r="BT905" s="68">
        <f t="shared" si="108"/>
        <v>0</v>
      </c>
      <c r="BU905" s="68">
        <f t="shared" si="108"/>
        <v>0</v>
      </c>
      <c r="BV905" s="68">
        <f t="shared" si="108"/>
        <v>0</v>
      </c>
      <c r="BW905" s="68">
        <f t="shared" si="108"/>
        <v>0</v>
      </c>
      <c r="BX905" s="68">
        <f t="shared" si="108"/>
        <v>0</v>
      </c>
      <c r="BY905" s="68">
        <f t="shared" si="108"/>
        <v>0</v>
      </c>
      <c r="CA905" s="68">
        <f t="shared" si="108"/>
        <v>0</v>
      </c>
      <c r="CB905" s="68">
        <f t="shared" si="108"/>
        <v>0</v>
      </c>
      <c r="CC905" s="68">
        <f t="shared" si="108"/>
        <v>0</v>
      </c>
      <c r="CD905" s="68">
        <f t="shared" si="108"/>
        <v>230263.47000000003</v>
      </c>
      <c r="CE905" s="68">
        <f t="shared" si="108"/>
        <v>0</v>
      </c>
      <c r="CG905" s="68">
        <f t="shared" ref="CG905:CN905" si="109">SUM(CG849:CG904)</f>
        <v>0</v>
      </c>
      <c r="CH905" s="68">
        <f t="shared" si="109"/>
        <v>0</v>
      </c>
      <c r="CI905" s="68">
        <f t="shared" si="109"/>
        <v>0</v>
      </c>
      <c r="CJ905" s="68">
        <f t="shared" si="109"/>
        <v>0</v>
      </c>
      <c r="CK905" s="68">
        <f t="shared" si="109"/>
        <v>0</v>
      </c>
      <c r="CL905" s="68">
        <f t="shared" si="109"/>
        <v>0</v>
      </c>
      <c r="CM905" s="68">
        <f t="shared" si="109"/>
        <v>0</v>
      </c>
      <c r="CN905" s="68">
        <f t="shared" si="109"/>
        <v>0</v>
      </c>
    </row>
    <row r="906" spans="2:92" ht="36" x14ac:dyDescent="0.25">
      <c r="B906" s="82">
        <v>9947</v>
      </c>
      <c r="C906" s="78">
        <v>5899</v>
      </c>
      <c r="D906" s="69" t="s">
        <v>78</v>
      </c>
      <c r="E906" s="77" t="s">
        <v>2964</v>
      </c>
      <c r="F906" s="69"/>
      <c r="H906" s="69">
        <v>12996</v>
      </c>
      <c r="T906" s="69"/>
      <c r="U906" s="69"/>
      <c r="AA906" s="69">
        <v>12996</v>
      </c>
      <c r="AR906" s="94">
        <f t="shared" ref="AR906:AR937" si="110">SUM(G906:AQ906)</f>
        <v>25992</v>
      </c>
      <c r="AS906" s="69">
        <v>12308.7</v>
      </c>
      <c r="AT906" s="69">
        <f>168.4+505.2+2.7</f>
        <v>676.30000000000007</v>
      </c>
      <c r="AV906" s="69">
        <v>5</v>
      </c>
      <c r="BC906" s="69"/>
      <c r="BD906" s="69"/>
      <c r="BG906" s="69">
        <v>6</v>
      </c>
      <c r="BQ906" s="69">
        <v>12996</v>
      </c>
      <c r="CD906" s="94">
        <f t="shared" ref="CD906:CD937" si="111">SUM(AS906:CC906)</f>
        <v>25992</v>
      </c>
      <c r="CE906" s="73">
        <f t="shared" ref="CE906:CE969" si="112">+CD906-AR906</f>
        <v>0</v>
      </c>
      <c r="CF906" s="75">
        <f t="shared" ref="CF906:CG937" si="113">+C906</f>
        <v>5899</v>
      </c>
      <c r="CG906" s="69" t="str">
        <f t="shared" si="113"/>
        <v>برنامج دولى</v>
      </c>
    </row>
    <row r="907" spans="2:92" ht="36" x14ac:dyDescent="0.25">
      <c r="B907" s="82">
        <v>9835</v>
      </c>
      <c r="C907" s="78">
        <v>5900</v>
      </c>
      <c r="D907" s="69" t="s">
        <v>78</v>
      </c>
      <c r="E907" s="77" t="s">
        <v>2746</v>
      </c>
      <c r="F907" s="69"/>
      <c r="H907" s="69">
        <v>5700</v>
      </c>
      <c r="T907" s="69"/>
      <c r="U907" s="69"/>
      <c r="AR907" s="94">
        <f t="shared" si="110"/>
        <v>5700</v>
      </c>
      <c r="AS907" s="69">
        <v>4802</v>
      </c>
      <c r="AT907" s="69">
        <v>333</v>
      </c>
      <c r="AV907" s="69">
        <v>5</v>
      </c>
      <c r="BC907" s="69"/>
      <c r="BD907" s="69"/>
      <c r="BF907" s="69">
        <v>150</v>
      </c>
      <c r="BG907" s="69">
        <v>80</v>
      </c>
      <c r="BH907" s="69">
        <f>22.5*2</f>
        <v>45</v>
      </c>
      <c r="BI907" s="69">
        <v>285</v>
      </c>
      <c r="CD907" s="94">
        <f t="shared" si="111"/>
        <v>5700</v>
      </c>
      <c r="CE907" s="73">
        <f t="shared" si="112"/>
        <v>0</v>
      </c>
      <c r="CF907" s="75">
        <f t="shared" si="113"/>
        <v>5900</v>
      </c>
      <c r="CG907" s="69" t="str">
        <f t="shared" si="113"/>
        <v>برنامج دولى</v>
      </c>
    </row>
    <row r="908" spans="2:92" x14ac:dyDescent="0.25">
      <c r="B908" s="82">
        <v>10099</v>
      </c>
      <c r="C908" s="78">
        <v>5901</v>
      </c>
      <c r="D908" s="69" t="s">
        <v>78</v>
      </c>
      <c r="E908" s="69" t="s">
        <v>2965</v>
      </c>
      <c r="F908" s="69"/>
      <c r="H908" s="69">
        <v>265</v>
      </c>
      <c r="T908" s="69"/>
      <c r="U908" s="69"/>
      <c r="AR908" s="94">
        <f t="shared" si="110"/>
        <v>265</v>
      </c>
      <c r="AS908" s="69">
        <v>265</v>
      </c>
      <c r="AT908" s="69"/>
      <c r="BC908" s="69"/>
      <c r="BD908" s="69"/>
      <c r="CD908" s="94">
        <f t="shared" si="111"/>
        <v>265</v>
      </c>
      <c r="CE908" s="73">
        <f t="shared" si="112"/>
        <v>0</v>
      </c>
      <c r="CF908" s="75">
        <f t="shared" si="113"/>
        <v>5901</v>
      </c>
      <c r="CG908" s="69" t="str">
        <f t="shared" si="113"/>
        <v>برنامج دولى</v>
      </c>
    </row>
    <row r="909" spans="2:92" x14ac:dyDescent="0.25">
      <c r="B909" s="82">
        <v>10419</v>
      </c>
      <c r="C909" s="78">
        <v>5902</v>
      </c>
      <c r="D909" s="69" t="s">
        <v>78</v>
      </c>
      <c r="E909" s="69" t="s">
        <v>2240</v>
      </c>
      <c r="F909" s="69"/>
      <c r="H909" s="69">
        <v>1040</v>
      </c>
      <c r="T909" s="69"/>
      <c r="U909" s="69"/>
      <c r="AR909" s="94">
        <f t="shared" si="110"/>
        <v>1040</v>
      </c>
      <c r="AS909" s="69">
        <v>1040</v>
      </c>
      <c r="AT909" s="69"/>
      <c r="BC909" s="69"/>
      <c r="BD909" s="69"/>
      <c r="CD909" s="94">
        <f t="shared" si="111"/>
        <v>1040</v>
      </c>
      <c r="CE909" s="73">
        <f t="shared" si="112"/>
        <v>0</v>
      </c>
      <c r="CF909" s="75">
        <f t="shared" si="113"/>
        <v>5902</v>
      </c>
      <c r="CG909" s="69" t="str">
        <f t="shared" si="113"/>
        <v>برنامج دولى</v>
      </c>
    </row>
    <row r="910" spans="2:92" x14ac:dyDescent="0.25">
      <c r="B910" s="82">
        <v>10103</v>
      </c>
      <c r="C910" s="78">
        <v>5903</v>
      </c>
      <c r="D910" s="69" t="s">
        <v>78</v>
      </c>
      <c r="E910" s="69" t="s">
        <v>2966</v>
      </c>
      <c r="F910" s="69"/>
      <c r="H910" s="69">
        <v>84375</v>
      </c>
      <c r="T910" s="69"/>
      <c r="U910" s="69"/>
      <c r="AR910" s="94">
        <f t="shared" si="110"/>
        <v>84375</v>
      </c>
      <c r="AS910" s="69">
        <v>81337.45</v>
      </c>
      <c r="AT910" s="69">
        <v>2212.4</v>
      </c>
      <c r="AV910" s="69">
        <v>5</v>
      </c>
      <c r="BC910" s="69"/>
      <c r="BD910" s="69"/>
      <c r="BF910" s="69">
        <v>740.15</v>
      </c>
      <c r="BG910" s="69">
        <v>80</v>
      </c>
      <c r="CD910" s="94">
        <f t="shared" si="111"/>
        <v>84374.999999999985</v>
      </c>
      <c r="CE910" s="73">
        <f t="shared" si="112"/>
        <v>0</v>
      </c>
      <c r="CF910" s="75">
        <f t="shared" si="113"/>
        <v>5903</v>
      </c>
      <c r="CG910" s="69" t="str">
        <f t="shared" si="113"/>
        <v>برنامج دولى</v>
      </c>
    </row>
    <row r="911" spans="2:92" x14ac:dyDescent="0.25">
      <c r="B911" s="82">
        <v>6703</v>
      </c>
      <c r="C911" s="78">
        <v>5904</v>
      </c>
      <c r="D911" s="69" t="s">
        <v>78</v>
      </c>
      <c r="E911" s="69" t="s">
        <v>2967</v>
      </c>
      <c r="F911" s="69"/>
      <c r="H911" s="69">
        <v>458118.12</v>
      </c>
      <c r="T911" s="69"/>
      <c r="U911" s="69"/>
      <c r="AR911" s="94">
        <f t="shared" si="110"/>
        <v>458118.12</v>
      </c>
      <c r="AS911" s="69">
        <v>398122.12</v>
      </c>
      <c r="AT911" s="69">
        <v>10080.6</v>
      </c>
      <c r="AV911" s="69">
        <v>5</v>
      </c>
      <c r="BC911" s="69"/>
      <c r="BD911" s="69"/>
      <c r="BF911" s="69">
        <v>4018.6</v>
      </c>
      <c r="BG911" s="69">
        <v>80</v>
      </c>
      <c r="BI911" s="69">
        <v>22905.9</v>
      </c>
      <c r="CC911" s="69">
        <v>22905.9</v>
      </c>
      <c r="CD911" s="94">
        <f t="shared" si="111"/>
        <v>458118.12</v>
      </c>
      <c r="CE911" s="73">
        <f t="shared" si="112"/>
        <v>0</v>
      </c>
      <c r="CF911" s="75">
        <f t="shared" si="113"/>
        <v>5904</v>
      </c>
      <c r="CG911" s="69" t="str">
        <f t="shared" si="113"/>
        <v>برنامج دولى</v>
      </c>
    </row>
    <row r="912" spans="2:92" x14ac:dyDescent="0.25">
      <c r="B912" s="82">
        <v>10098</v>
      </c>
      <c r="C912" s="78">
        <v>5905</v>
      </c>
      <c r="D912" s="69" t="s">
        <v>78</v>
      </c>
      <c r="E912" s="69" t="s">
        <v>2968</v>
      </c>
      <c r="F912" s="69"/>
      <c r="H912" s="69">
        <v>5700</v>
      </c>
      <c r="T912" s="69"/>
      <c r="U912" s="69"/>
      <c r="AR912" s="94">
        <f t="shared" si="110"/>
        <v>5700</v>
      </c>
      <c r="AS912" s="69">
        <v>4782.2</v>
      </c>
      <c r="AT912" s="69">
        <v>352.8</v>
      </c>
      <c r="AV912" s="69">
        <v>5</v>
      </c>
      <c r="BC912" s="69"/>
      <c r="BD912" s="69"/>
      <c r="BF912" s="69">
        <v>150</v>
      </c>
      <c r="BG912" s="69">
        <v>80</v>
      </c>
      <c r="BH912" s="69">
        <f>22.5*2</f>
        <v>45</v>
      </c>
      <c r="BI912" s="69">
        <v>285</v>
      </c>
      <c r="CD912" s="94">
        <f t="shared" si="111"/>
        <v>5700</v>
      </c>
      <c r="CE912" s="73">
        <f t="shared" si="112"/>
        <v>0</v>
      </c>
      <c r="CF912" s="75">
        <f t="shared" si="113"/>
        <v>5905</v>
      </c>
      <c r="CG912" s="69" t="str">
        <f t="shared" si="113"/>
        <v>برنامج دولى</v>
      </c>
    </row>
    <row r="913" spans="2:85" x14ac:dyDescent="0.25">
      <c r="B913" s="82">
        <v>10104</v>
      </c>
      <c r="C913" s="78">
        <v>5906</v>
      </c>
      <c r="D913" s="69" t="s">
        <v>78</v>
      </c>
      <c r="E913" s="69" t="s">
        <v>2969</v>
      </c>
      <c r="F913" s="69"/>
      <c r="H913" s="69">
        <v>46406.25</v>
      </c>
      <c r="T913" s="69"/>
      <c r="U913" s="69"/>
      <c r="AR913" s="94">
        <f t="shared" si="110"/>
        <v>46406.25</v>
      </c>
      <c r="AS913" s="69">
        <v>44777.65</v>
      </c>
      <c r="AT913" s="69">
        <v>1548.6</v>
      </c>
      <c r="BC913" s="69"/>
      <c r="BD913" s="69"/>
      <c r="BG913" s="69">
        <v>80</v>
      </c>
      <c r="CD913" s="94">
        <f t="shared" si="111"/>
        <v>46406.25</v>
      </c>
      <c r="CE913" s="73">
        <f t="shared" si="112"/>
        <v>0</v>
      </c>
      <c r="CF913" s="75">
        <f t="shared" si="113"/>
        <v>5906</v>
      </c>
      <c r="CG913" s="69" t="str">
        <f t="shared" si="113"/>
        <v>برنامج دولى</v>
      </c>
    </row>
    <row r="914" spans="2:85" x14ac:dyDescent="0.25">
      <c r="B914" s="82">
        <v>9908</v>
      </c>
      <c r="C914" s="78">
        <v>5907</v>
      </c>
      <c r="D914" s="69" t="s">
        <v>132</v>
      </c>
      <c r="E914" s="69" t="s">
        <v>2970</v>
      </c>
      <c r="F914" s="69"/>
      <c r="H914" s="69">
        <v>1950</v>
      </c>
      <c r="T914" s="69"/>
      <c r="U914" s="69"/>
      <c r="AR914" s="94">
        <f t="shared" si="110"/>
        <v>1950</v>
      </c>
      <c r="AS914" s="69">
        <v>1950</v>
      </c>
      <c r="AT914" s="69"/>
      <c r="BC914" s="69"/>
      <c r="BD914" s="69"/>
      <c r="CD914" s="94">
        <f t="shared" si="111"/>
        <v>1950</v>
      </c>
      <c r="CE914" s="73">
        <f t="shared" si="112"/>
        <v>0</v>
      </c>
      <c r="CF914" s="75">
        <f t="shared" si="113"/>
        <v>5907</v>
      </c>
      <c r="CG914" s="69" t="str">
        <f t="shared" si="113"/>
        <v>صيدلة اكلينيكى</v>
      </c>
    </row>
    <row r="915" spans="2:85" ht="36" x14ac:dyDescent="0.25">
      <c r="B915" s="82">
        <v>10232</v>
      </c>
      <c r="C915" s="78">
        <v>5908</v>
      </c>
      <c r="D915" s="69" t="s">
        <v>121</v>
      </c>
      <c r="E915" s="77" t="s">
        <v>2971</v>
      </c>
      <c r="F915" s="69"/>
      <c r="H915" s="69">
        <v>2000</v>
      </c>
      <c r="T915" s="69"/>
      <c r="U915" s="69"/>
      <c r="AR915" s="94">
        <f t="shared" si="110"/>
        <v>2000</v>
      </c>
      <c r="AS915" s="69">
        <v>1827.65</v>
      </c>
      <c r="AT915" s="69">
        <f>25.75+77.25+3.6</f>
        <v>106.6</v>
      </c>
      <c r="AV915" s="69">
        <v>5</v>
      </c>
      <c r="BC915" s="69"/>
      <c r="BD915" s="69"/>
      <c r="BF915" s="69">
        <v>52.75</v>
      </c>
      <c r="BG915" s="69">
        <v>8</v>
      </c>
      <c r="CD915" s="94">
        <f t="shared" si="111"/>
        <v>2000</v>
      </c>
      <c r="CE915" s="73">
        <f t="shared" si="112"/>
        <v>0</v>
      </c>
      <c r="CF915" s="75">
        <f t="shared" si="113"/>
        <v>5908</v>
      </c>
      <c r="CG915" s="69" t="str">
        <f t="shared" si="113"/>
        <v>ماليزى اسنان</v>
      </c>
    </row>
    <row r="916" spans="2:85" ht="36" x14ac:dyDescent="0.25">
      <c r="B916" s="82">
        <v>10226</v>
      </c>
      <c r="C916" s="78">
        <v>5909</v>
      </c>
      <c r="D916" s="69" t="s">
        <v>121</v>
      </c>
      <c r="E916" s="77" t="s">
        <v>2972</v>
      </c>
      <c r="F916" s="69"/>
      <c r="H916" s="69">
        <v>2000</v>
      </c>
      <c r="T916" s="69"/>
      <c r="U916" s="69"/>
      <c r="AR916" s="94">
        <f t="shared" si="110"/>
        <v>2000</v>
      </c>
      <c r="AS916" s="69">
        <v>1832.65</v>
      </c>
      <c r="AT916" s="69">
        <f>25.75+77.25+3.6</f>
        <v>106.6</v>
      </c>
      <c r="BC916" s="69"/>
      <c r="BD916" s="69"/>
      <c r="BF916" s="69">
        <v>52.75</v>
      </c>
      <c r="BG916" s="69">
        <v>8</v>
      </c>
      <c r="CD916" s="94">
        <f t="shared" si="111"/>
        <v>2000</v>
      </c>
      <c r="CE916" s="73">
        <f t="shared" si="112"/>
        <v>0</v>
      </c>
      <c r="CF916" s="75">
        <f t="shared" si="113"/>
        <v>5909</v>
      </c>
      <c r="CG916" s="69" t="str">
        <f t="shared" si="113"/>
        <v>ماليزى اسنان</v>
      </c>
    </row>
    <row r="917" spans="2:85" ht="36" x14ac:dyDescent="0.25">
      <c r="B917" s="82">
        <v>10225</v>
      </c>
      <c r="C917" s="78">
        <v>5910</v>
      </c>
      <c r="D917" s="69" t="s">
        <v>121</v>
      </c>
      <c r="E917" s="77" t="s">
        <v>2973</v>
      </c>
      <c r="F917" s="69"/>
      <c r="H917" s="69">
        <v>2000</v>
      </c>
      <c r="T917" s="69"/>
      <c r="U917" s="69"/>
      <c r="AR917" s="94">
        <f t="shared" si="110"/>
        <v>2000</v>
      </c>
      <c r="AS917" s="69">
        <v>1832.65</v>
      </c>
      <c r="AT917" s="69">
        <f>25.75+77.25+3.6</f>
        <v>106.6</v>
      </c>
      <c r="BC917" s="69"/>
      <c r="BD917" s="69"/>
      <c r="BF917" s="69">
        <v>52.75</v>
      </c>
      <c r="BG917" s="69">
        <v>8</v>
      </c>
      <c r="CD917" s="94">
        <f t="shared" si="111"/>
        <v>2000</v>
      </c>
      <c r="CE917" s="73">
        <f t="shared" si="112"/>
        <v>0</v>
      </c>
      <c r="CF917" s="75">
        <f t="shared" si="113"/>
        <v>5910</v>
      </c>
      <c r="CG917" s="69" t="str">
        <f t="shared" si="113"/>
        <v>ماليزى اسنان</v>
      </c>
    </row>
    <row r="918" spans="2:85" ht="36" x14ac:dyDescent="0.25">
      <c r="B918" s="82">
        <v>10231</v>
      </c>
      <c r="C918" s="78">
        <v>5911</v>
      </c>
      <c r="D918" s="69" t="s">
        <v>121</v>
      </c>
      <c r="E918" s="77" t="s">
        <v>2974</v>
      </c>
      <c r="F918" s="69"/>
      <c r="H918" s="69">
        <v>2000</v>
      </c>
      <c r="T918" s="69"/>
      <c r="U918" s="69"/>
      <c r="AR918" s="94">
        <f t="shared" si="110"/>
        <v>2000</v>
      </c>
      <c r="AS918" s="69">
        <v>1827.65</v>
      </c>
      <c r="AT918" s="69">
        <f>25.75+77.25+3.6</f>
        <v>106.6</v>
      </c>
      <c r="AV918" s="69">
        <v>5</v>
      </c>
      <c r="BC918" s="69"/>
      <c r="BD918" s="69"/>
      <c r="BF918" s="69">
        <v>52.75</v>
      </c>
      <c r="BG918" s="69">
        <v>8</v>
      </c>
      <c r="CD918" s="94">
        <f t="shared" si="111"/>
        <v>2000</v>
      </c>
      <c r="CE918" s="73">
        <f t="shared" si="112"/>
        <v>0</v>
      </c>
      <c r="CF918" s="75">
        <f t="shared" si="113"/>
        <v>5911</v>
      </c>
      <c r="CG918" s="69" t="str">
        <f t="shared" si="113"/>
        <v>ماليزى اسنان</v>
      </c>
    </row>
    <row r="919" spans="2:85" x14ac:dyDescent="0.25">
      <c r="B919" s="82">
        <v>10102</v>
      </c>
      <c r="C919" s="78">
        <v>5912</v>
      </c>
      <c r="D919" s="69" t="s">
        <v>78</v>
      </c>
      <c r="E919" s="69" t="s">
        <v>2975</v>
      </c>
      <c r="F919" s="69"/>
      <c r="K919" s="69">
        <v>23000</v>
      </c>
      <c r="L919" s="69">
        <v>23000</v>
      </c>
      <c r="M919" s="69">
        <v>23000</v>
      </c>
      <c r="T919" s="69"/>
      <c r="U919" s="69"/>
      <c r="AR919" s="94">
        <f t="shared" si="110"/>
        <v>69000</v>
      </c>
      <c r="AS919" s="69">
        <v>20547</v>
      </c>
      <c r="AT919" s="69">
        <f>238+714+36</f>
        <v>988</v>
      </c>
      <c r="AV919" s="69">
        <v>5</v>
      </c>
      <c r="BC919" s="69"/>
      <c r="BD919" s="69"/>
      <c r="BF919" s="69">
        <v>230</v>
      </c>
      <c r="BG919" s="69">
        <v>80</v>
      </c>
      <c r="BI919" s="69">
        <v>1150</v>
      </c>
      <c r="BK919" s="69">
        <v>23000</v>
      </c>
      <c r="BL919" s="69">
        <v>23000</v>
      </c>
      <c r="CD919" s="94">
        <f t="shared" si="111"/>
        <v>69000</v>
      </c>
      <c r="CE919" s="73">
        <f t="shared" si="112"/>
        <v>0</v>
      </c>
      <c r="CF919" s="75">
        <f t="shared" si="113"/>
        <v>5912</v>
      </c>
      <c r="CG919" s="69" t="str">
        <f t="shared" si="113"/>
        <v>برنامج دولى</v>
      </c>
    </row>
    <row r="920" spans="2:85" ht="36" x14ac:dyDescent="0.25">
      <c r="B920" s="82">
        <v>10548</v>
      </c>
      <c r="C920" s="78">
        <v>5913</v>
      </c>
      <c r="D920" s="69" t="s">
        <v>128</v>
      </c>
      <c r="E920" s="77" t="s">
        <v>2976</v>
      </c>
      <c r="F920" s="69"/>
      <c r="T920" s="69"/>
      <c r="U920" s="69"/>
      <c r="W920" s="69">
        <v>273</v>
      </c>
      <c r="AR920" s="94">
        <f t="shared" si="110"/>
        <v>273</v>
      </c>
      <c r="AS920" s="69">
        <v>273</v>
      </c>
      <c r="AT920" s="69"/>
      <c r="BC920" s="69"/>
      <c r="BD920" s="69"/>
      <c r="CD920" s="94">
        <f t="shared" si="111"/>
        <v>273</v>
      </c>
      <c r="CE920" s="73">
        <f t="shared" si="112"/>
        <v>0</v>
      </c>
      <c r="CF920" s="75">
        <f t="shared" si="113"/>
        <v>5913</v>
      </c>
      <c r="CG920" s="69" t="str">
        <f t="shared" si="113"/>
        <v>مركز مؤتمرات</v>
      </c>
    </row>
    <row r="921" spans="2:85" x14ac:dyDescent="0.25">
      <c r="B921" s="82">
        <v>10290</v>
      </c>
      <c r="C921" s="78">
        <v>5914</v>
      </c>
      <c r="D921" s="69" t="s">
        <v>123</v>
      </c>
      <c r="E921" s="69" t="s">
        <v>2977</v>
      </c>
      <c r="F921" s="69"/>
      <c r="G921" s="69">
        <v>703.5</v>
      </c>
      <c r="T921" s="69"/>
      <c r="U921" s="69"/>
      <c r="AR921" s="94">
        <f t="shared" si="110"/>
        <v>703.5</v>
      </c>
      <c r="AS921" s="69">
        <v>441.1</v>
      </c>
      <c r="AT921" s="69">
        <v>62.9</v>
      </c>
      <c r="AU921" s="69">
        <v>169.5</v>
      </c>
      <c r="AV921" s="69">
        <v>30</v>
      </c>
      <c r="BC921" s="69"/>
      <c r="BD921" s="69"/>
      <c r="CD921" s="94">
        <f t="shared" si="111"/>
        <v>703.5</v>
      </c>
      <c r="CE921" s="73">
        <f t="shared" si="112"/>
        <v>0</v>
      </c>
      <c r="CF921" s="75">
        <f t="shared" si="113"/>
        <v>5914</v>
      </c>
      <c r="CG921" s="69" t="str">
        <f t="shared" si="113"/>
        <v>خ ت اسنان</v>
      </c>
    </row>
    <row r="922" spans="2:85" x14ac:dyDescent="0.25">
      <c r="B922" s="82">
        <v>10292</v>
      </c>
      <c r="C922" s="78">
        <v>5915</v>
      </c>
      <c r="D922" s="69" t="s">
        <v>123</v>
      </c>
      <c r="E922" s="69" t="s">
        <v>2977</v>
      </c>
      <c r="F922" s="69"/>
      <c r="G922" s="69">
        <v>703.5</v>
      </c>
      <c r="T922" s="69"/>
      <c r="U922" s="69"/>
      <c r="AR922" s="94">
        <f t="shared" si="110"/>
        <v>703.5</v>
      </c>
      <c r="AS922" s="69">
        <v>441.1</v>
      </c>
      <c r="AT922" s="69">
        <v>62.9</v>
      </c>
      <c r="AU922" s="69">
        <v>169.5</v>
      </c>
      <c r="AV922" s="69">
        <v>30</v>
      </c>
      <c r="BC922" s="69"/>
      <c r="BD922" s="69"/>
      <c r="CD922" s="94">
        <f t="shared" si="111"/>
        <v>703.5</v>
      </c>
      <c r="CE922" s="73">
        <f t="shared" si="112"/>
        <v>0</v>
      </c>
      <c r="CF922" s="75">
        <f t="shared" si="113"/>
        <v>5915</v>
      </c>
      <c r="CG922" s="69" t="str">
        <f t="shared" si="113"/>
        <v>خ ت اسنان</v>
      </c>
    </row>
    <row r="923" spans="2:85" x14ac:dyDescent="0.25">
      <c r="B923" s="82">
        <v>10289</v>
      </c>
      <c r="C923" s="78">
        <v>5916</v>
      </c>
      <c r="D923" s="69" t="s">
        <v>123</v>
      </c>
      <c r="E923" s="69" t="s">
        <v>2977</v>
      </c>
      <c r="F923" s="69"/>
      <c r="G923" s="69">
        <v>2651.75</v>
      </c>
      <c r="T923" s="69"/>
      <c r="U923" s="69"/>
      <c r="AR923" s="94">
        <f t="shared" si="110"/>
        <v>2651.75</v>
      </c>
      <c r="AS923" s="69">
        <v>2162.6999999999998</v>
      </c>
      <c r="AT923" s="69">
        <v>274.3</v>
      </c>
      <c r="AU923" s="69">
        <v>84.75</v>
      </c>
      <c r="AV923" s="69">
        <v>130</v>
      </c>
      <c r="BC923" s="69"/>
      <c r="BD923" s="69"/>
      <c r="CD923" s="94">
        <f t="shared" si="111"/>
        <v>2651.75</v>
      </c>
      <c r="CE923" s="73">
        <f t="shared" si="112"/>
        <v>0</v>
      </c>
      <c r="CF923" s="75">
        <f t="shared" si="113"/>
        <v>5916</v>
      </c>
      <c r="CG923" s="69" t="str">
        <f t="shared" si="113"/>
        <v>خ ت اسنان</v>
      </c>
    </row>
    <row r="924" spans="2:85" x14ac:dyDescent="0.25">
      <c r="B924" s="82">
        <v>10291</v>
      </c>
      <c r="C924" s="78">
        <v>5917</v>
      </c>
      <c r="D924" s="69" t="s">
        <v>123</v>
      </c>
      <c r="E924" s="69" t="s">
        <v>2977</v>
      </c>
      <c r="F924" s="69"/>
      <c r="G924" s="69">
        <v>3303.5</v>
      </c>
      <c r="T924" s="69"/>
      <c r="U924" s="69"/>
      <c r="AR924" s="94">
        <f t="shared" si="110"/>
        <v>3303.5</v>
      </c>
      <c r="AS924" s="69">
        <v>2636.6</v>
      </c>
      <c r="AT924" s="69">
        <v>337.4</v>
      </c>
      <c r="AU924" s="69">
        <v>169.5</v>
      </c>
      <c r="AV924" s="69">
        <v>160</v>
      </c>
      <c r="BC924" s="69"/>
      <c r="BD924" s="69"/>
      <c r="CD924" s="94">
        <f t="shared" si="111"/>
        <v>3303.5</v>
      </c>
      <c r="CE924" s="73">
        <f t="shared" si="112"/>
        <v>0</v>
      </c>
      <c r="CF924" s="75">
        <f t="shared" si="113"/>
        <v>5917</v>
      </c>
      <c r="CG924" s="69" t="str">
        <f t="shared" si="113"/>
        <v>خ ت اسنان</v>
      </c>
    </row>
    <row r="925" spans="2:85" x14ac:dyDescent="0.25">
      <c r="B925" s="82">
        <v>10282</v>
      </c>
      <c r="C925" s="78">
        <v>5918</v>
      </c>
      <c r="D925" s="69" t="s">
        <v>121</v>
      </c>
      <c r="E925" s="69" t="s">
        <v>2978</v>
      </c>
      <c r="F925" s="69"/>
      <c r="G925" s="69">
        <v>79.31</v>
      </c>
      <c r="T925" s="69"/>
      <c r="U925" s="69"/>
      <c r="AR925" s="94">
        <f t="shared" si="110"/>
        <v>79.31</v>
      </c>
      <c r="AS925" s="69">
        <v>64.75</v>
      </c>
      <c r="AT925" s="69">
        <v>7.5</v>
      </c>
      <c r="AU925" s="69">
        <v>7.06</v>
      </c>
      <c r="BC925" s="69"/>
      <c r="BD925" s="69"/>
      <c r="CD925" s="94">
        <f t="shared" si="111"/>
        <v>79.31</v>
      </c>
      <c r="CE925" s="73">
        <f t="shared" si="112"/>
        <v>0</v>
      </c>
      <c r="CF925" s="75">
        <f t="shared" si="113"/>
        <v>5918</v>
      </c>
      <c r="CG925" s="69" t="str">
        <f t="shared" si="113"/>
        <v>ماليزى اسنان</v>
      </c>
    </row>
    <row r="926" spans="2:85" x14ac:dyDescent="0.25">
      <c r="B926" s="82">
        <v>10285</v>
      </c>
      <c r="C926" s="78">
        <v>5919</v>
      </c>
      <c r="D926" s="69" t="s">
        <v>121</v>
      </c>
      <c r="E926" s="69" t="s">
        <v>2979</v>
      </c>
      <c r="F926" s="69"/>
      <c r="G926" s="69">
        <v>79.31</v>
      </c>
      <c r="T926" s="69"/>
      <c r="U926" s="69"/>
      <c r="AR926" s="94">
        <f t="shared" si="110"/>
        <v>79.31</v>
      </c>
      <c r="AS926" s="69">
        <v>64.75</v>
      </c>
      <c r="AT926" s="69">
        <v>7.5</v>
      </c>
      <c r="AU926" s="69">
        <v>7.06</v>
      </c>
      <c r="BC926" s="69"/>
      <c r="BD926" s="69"/>
      <c r="CD926" s="94">
        <f t="shared" si="111"/>
        <v>79.31</v>
      </c>
      <c r="CE926" s="73">
        <f t="shared" si="112"/>
        <v>0</v>
      </c>
      <c r="CF926" s="75">
        <f t="shared" si="113"/>
        <v>5919</v>
      </c>
      <c r="CG926" s="69" t="str">
        <f t="shared" si="113"/>
        <v>ماليزى اسنان</v>
      </c>
    </row>
    <row r="927" spans="2:85" x14ac:dyDescent="0.25">
      <c r="B927" s="82">
        <v>10287</v>
      </c>
      <c r="C927" s="78">
        <v>5920</v>
      </c>
      <c r="D927" s="69" t="s">
        <v>121</v>
      </c>
      <c r="E927" s="69" t="s">
        <v>2980</v>
      </c>
      <c r="F927" s="69"/>
      <c r="G927" s="69">
        <v>79.31</v>
      </c>
      <c r="T927" s="69"/>
      <c r="U927" s="69"/>
      <c r="AR927" s="94">
        <f t="shared" si="110"/>
        <v>79.31</v>
      </c>
      <c r="AS927" s="69">
        <v>64.75</v>
      </c>
      <c r="AT927" s="69">
        <v>7.5</v>
      </c>
      <c r="AU927" s="69">
        <v>7.06</v>
      </c>
      <c r="BC927" s="69"/>
      <c r="BD927" s="69"/>
      <c r="CD927" s="94">
        <f t="shared" si="111"/>
        <v>79.31</v>
      </c>
      <c r="CE927" s="73">
        <f t="shared" si="112"/>
        <v>0</v>
      </c>
      <c r="CF927" s="75">
        <f t="shared" si="113"/>
        <v>5920</v>
      </c>
      <c r="CG927" s="69" t="str">
        <f t="shared" si="113"/>
        <v>ماليزى اسنان</v>
      </c>
    </row>
    <row r="928" spans="2:85" x14ac:dyDescent="0.25">
      <c r="B928" s="82">
        <v>10412</v>
      </c>
      <c r="C928" s="78">
        <v>5921</v>
      </c>
      <c r="D928" s="69" t="s">
        <v>78</v>
      </c>
      <c r="E928" s="69" t="s">
        <v>2981</v>
      </c>
      <c r="F928" s="69"/>
      <c r="G928" s="69">
        <v>422.1</v>
      </c>
      <c r="T928" s="69"/>
      <c r="U928" s="69"/>
      <c r="AR928" s="94">
        <f t="shared" si="110"/>
        <v>422.1</v>
      </c>
      <c r="AS928" s="69">
        <v>282.38</v>
      </c>
      <c r="AT928" s="69">
        <f>36+2.02</f>
        <v>38.020000000000003</v>
      </c>
      <c r="AU928" s="69">
        <f>139.72-36-2.02</f>
        <v>101.7</v>
      </c>
      <c r="BC928" s="69"/>
      <c r="BD928" s="69"/>
      <c r="CD928" s="94">
        <f t="shared" si="111"/>
        <v>422.09999999999997</v>
      </c>
      <c r="CE928" s="73">
        <f t="shared" si="112"/>
        <v>0</v>
      </c>
      <c r="CF928" s="75">
        <f t="shared" si="113"/>
        <v>5921</v>
      </c>
      <c r="CG928" s="69" t="str">
        <f t="shared" si="113"/>
        <v>برنامج دولى</v>
      </c>
    </row>
    <row r="929" spans="2:85" x14ac:dyDescent="0.25">
      <c r="B929" s="82">
        <v>10049</v>
      </c>
      <c r="C929" s="78">
        <v>5922</v>
      </c>
      <c r="D929" s="69" t="s">
        <v>78</v>
      </c>
      <c r="E929" s="69" t="s">
        <v>2981</v>
      </c>
      <c r="F929" s="69"/>
      <c r="G929" s="69">
        <v>11179.68</v>
      </c>
      <c r="T929" s="69"/>
      <c r="U929" s="69"/>
      <c r="AR929" s="94">
        <f t="shared" si="110"/>
        <v>11179.68</v>
      </c>
      <c r="AS929" s="69">
        <v>9764.8700000000008</v>
      </c>
      <c r="AT929" s="69">
        <v>1186.05</v>
      </c>
      <c r="AU929" s="69">
        <v>228.76</v>
      </c>
      <c r="BC929" s="69"/>
      <c r="BD929" s="69"/>
      <c r="CD929" s="94">
        <f t="shared" si="111"/>
        <v>11179.68</v>
      </c>
      <c r="CE929" s="73">
        <f t="shared" si="112"/>
        <v>0</v>
      </c>
      <c r="CF929" s="75">
        <f t="shared" si="113"/>
        <v>5922</v>
      </c>
      <c r="CG929" s="69" t="str">
        <f t="shared" si="113"/>
        <v>برنامج دولى</v>
      </c>
    </row>
    <row r="930" spans="2:85" x14ac:dyDescent="0.25">
      <c r="B930" s="82">
        <v>10050</v>
      </c>
      <c r="C930" s="78">
        <v>5923</v>
      </c>
      <c r="D930" s="69" t="s">
        <v>78</v>
      </c>
      <c r="E930" s="69" t="s">
        <v>2981</v>
      </c>
      <c r="F930" s="69"/>
      <c r="G930" s="69">
        <v>1969.81</v>
      </c>
      <c r="T930" s="69"/>
      <c r="U930" s="69"/>
      <c r="AR930" s="94">
        <f t="shared" si="110"/>
        <v>1969.81</v>
      </c>
      <c r="AS930" s="69">
        <v>1318.25</v>
      </c>
      <c r="AT930" s="69">
        <v>176.95</v>
      </c>
      <c r="AU930" s="69">
        <v>474.61</v>
      </c>
      <c r="BC930" s="69"/>
      <c r="BD930" s="69"/>
      <c r="CD930" s="94">
        <f t="shared" si="111"/>
        <v>1969.81</v>
      </c>
      <c r="CE930" s="73">
        <f t="shared" si="112"/>
        <v>0</v>
      </c>
      <c r="CF930" s="75">
        <f t="shared" si="113"/>
        <v>5923</v>
      </c>
      <c r="CG930" s="69" t="str">
        <f t="shared" si="113"/>
        <v>برنامج دولى</v>
      </c>
    </row>
    <row r="931" spans="2:85" x14ac:dyDescent="0.25">
      <c r="B931" s="82">
        <v>10646</v>
      </c>
      <c r="C931" s="78">
        <v>5924</v>
      </c>
      <c r="D931" s="69" t="s">
        <v>78</v>
      </c>
      <c r="E931" s="69" t="s">
        <v>2982</v>
      </c>
      <c r="F931" s="69"/>
      <c r="G931" s="69">
        <v>103670.63</v>
      </c>
      <c r="T931" s="69"/>
      <c r="U931" s="69"/>
      <c r="AR931" s="94">
        <f t="shared" si="110"/>
        <v>103670.63</v>
      </c>
      <c r="AS931" s="69">
        <v>71537.33</v>
      </c>
      <c r="AT931" s="69">
        <v>9578.67</v>
      </c>
      <c r="AU931" s="69">
        <v>22554.63</v>
      </c>
      <c r="BC931" s="69"/>
      <c r="BD931" s="69"/>
      <c r="CD931" s="94">
        <f t="shared" si="111"/>
        <v>103670.63</v>
      </c>
      <c r="CE931" s="73">
        <f t="shared" si="112"/>
        <v>0</v>
      </c>
      <c r="CF931" s="75">
        <f t="shared" si="113"/>
        <v>5924</v>
      </c>
      <c r="CG931" s="69" t="str">
        <f t="shared" si="113"/>
        <v>برنامج دولى</v>
      </c>
    </row>
    <row r="932" spans="2:85" x14ac:dyDescent="0.25">
      <c r="B932" s="82">
        <v>10647</v>
      </c>
      <c r="C932" s="78">
        <v>5925</v>
      </c>
      <c r="D932" s="69" t="s">
        <v>78</v>
      </c>
      <c r="E932" s="69" t="s">
        <v>2982</v>
      </c>
      <c r="F932" s="69"/>
      <c r="G932" s="69">
        <v>108140.57</v>
      </c>
      <c r="T932" s="69"/>
      <c r="U932" s="69"/>
      <c r="AR932" s="94">
        <f t="shared" si="110"/>
        <v>108140.57</v>
      </c>
      <c r="AS932" s="69">
        <v>71683.95</v>
      </c>
      <c r="AT932" s="69">
        <v>9772.41</v>
      </c>
      <c r="AU932" s="69">
        <v>26684.21</v>
      </c>
      <c r="BC932" s="69"/>
      <c r="BD932" s="69"/>
      <c r="CD932" s="94">
        <f t="shared" si="111"/>
        <v>108140.57</v>
      </c>
      <c r="CE932" s="73">
        <f t="shared" si="112"/>
        <v>0</v>
      </c>
      <c r="CF932" s="75">
        <f t="shared" si="113"/>
        <v>5925</v>
      </c>
      <c r="CG932" s="69" t="str">
        <f t="shared" si="113"/>
        <v>برنامج دولى</v>
      </c>
    </row>
    <row r="933" spans="2:85" x14ac:dyDescent="0.25">
      <c r="B933" s="82">
        <v>10648</v>
      </c>
      <c r="C933" s="78">
        <v>5926</v>
      </c>
      <c r="D933" s="69" t="s">
        <v>78</v>
      </c>
      <c r="E933" s="69" t="s">
        <v>2982</v>
      </c>
      <c r="F933" s="69"/>
      <c r="G933" s="69">
        <v>94096.75</v>
      </c>
      <c r="T933" s="69"/>
      <c r="U933" s="69"/>
      <c r="AR933" s="94">
        <f t="shared" si="110"/>
        <v>94096.75</v>
      </c>
      <c r="AS933" s="69">
        <v>62412.03</v>
      </c>
      <c r="AT933" s="69">
        <v>8505.94</v>
      </c>
      <c r="AU933" s="69">
        <v>23178.78</v>
      </c>
      <c r="BC933" s="69"/>
      <c r="BD933" s="69"/>
      <c r="CD933" s="94">
        <f t="shared" si="111"/>
        <v>94096.75</v>
      </c>
      <c r="CE933" s="73">
        <f t="shared" si="112"/>
        <v>0</v>
      </c>
      <c r="CF933" s="75">
        <f t="shared" si="113"/>
        <v>5926</v>
      </c>
      <c r="CG933" s="69" t="str">
        <f t="shared" si="113"/>
        <v>برنامج دولى</v>
      </c>
    </row>
    <row r="934" spans="2:85" x14ac:dyDescent="0.25">
      <c r="B934" s="82">
        <v>10649</v>
      </c>
      <c r="C934" s="78">
        <v>5927</v>
      </c>
      <c r="D934" s="69" t="s">
        <v>78</v>
      </c>
      <c r="E934" s="69" t="s">
        <v>2982</v>
      </c>
      <c r="F934" s="69"/>
      <c r="G934" s="69">
        <v>126751.06</v>
      </c>
      <c r="T934" s="69"/>
      <c r="U934" s="69"/>
      <c r="AR934" s="94">
        <f t="shared" si="110"/>
        <v>126751.06</v>
      </c>
      <c r="AS934" s="69">
        <v>84128.67</v>
      </c>
      <c r="AT934" s="69">
        <v>11467.05</v>
      </c>
      <c r="AU934" s="69">
        <v>31155.34</v>
      </c>
      <c r="BC934" s="69"/>
      <c r="BD934" s="69"/>
      <c r="CD934" s="94">
        <f t="shared" si="111"/>
        <v>126751.06</v>
      </c>
      <c r="CE934" s="73">
        <f t="shared" si="112"/>
        <v>0</v>
      </c>
      <c r="CF934" s="75">
        <f t="shared" si="113"/>
        <v>5927</v>
      </c>
      <c r="CG934" s="69" t="str">
        <f t="shared" si="113"/>
        <v>برنامج دولى</v>
      </c>
    </row>
    <row r="935" spans="2:85" x14ac:dyDescent="0.25">
      <c r="B935" s="82">
        <v>10650</v>
      </c>
      <c r="C935" s="78">
        <v>5928</v>
      </c>
      <c r="D935" s="69" t="s">
        <v>78</v>
      </c>
      <c r="E935" s="69" t="s">
        <v>2982</v>
      </c>
      <c r="F935" s="69"/>
      <c r="G935" s="69">
        <v>80360.05</v>
      </c>
      <c r="T935" s="69"/>
      <c r="U935" s="69"/>
      <c r="AR935" s="94">
        <f t="shared" si="110"/>
        <v>80360.05</v>
      </c>
      <c r="AS935" s="69">
        <v>53359.27</v>
      </c>
      <c r="AT935" s="69">
        <v>7266.65</v>
      </c>
      <c r="AU935" s="69">
        <v>19734.13</v>
      </c>
      <c r="BC935" s="69"/>
      <c r="BD935" s="69"/>
      <c r="CD935" s="94">
        <f t="shared" si="111"/>
        <v>80360.05</v>
      </c>
      <c r="CE935" s="73">
        <f t="shared" si="112"/>
        <v>0</v>
      </c>
      <c r="CF935" s="75">
        <f t="shared" si="113"/>
        <v>5928</v>
      </c>
      <c r="CG935" s="69" t="str">
        <f t="shared" si="113"/>
        <v>برنامج دولى</v>
      </c>
    </row>
    <row r="936" spans="2:85" x14ac:dyDescent="0.25">
      <c r="B936" s="82">
        <v>10651</v>
      </c>
      <c r="C936" s="78">
        <v>5929</v>
      </c>
      <c r="D936" s="69" t="s">
        <v>78</v>
      </c>
      <c r="E936" s="69" t="s">
        <v>2982</v>
      </c>
      <c r="F936" s="69"/>
      <c r="G936" s="69">
        <v>3283</v>
      </c>
      <c r="T936" s="69"/>
      <c r="U936" s="69"/>
      <c r="AR936" s="94">
        <f t="shared" si="110"/>
        <v>3283</v>
      </c>
      <c r="AS936" s="69">
        <v>2194.4499999999998</v>
      </c>
      <c r="AT936" s="69">
        <v>297.55</v>
      </c>
      <c r="AU936" s="69">
        <v>791</v>
      </c>
      <c r="BC936" s="69"/>
      <c r="BD936" s="69"/>
      <c r="CD936" s="94">
        <f t="shared" si="111"/>
        <v>3283</v>
      </c>
      <c r="CE936" s="73">
        <f t="shared" si="112"/>
        <v>0</v>
      </c>
      <c r="CF936" s="75">
        <f t="shared" si="113"/>
        <v>5929</v>
      </c>
      <c r="CG936" s="69" t="str">
        <f t="shared" si="113"/>
        <v>برنامج دولى</v>
      </c>
    </row>
    <row r="937" spans="2:85" x14ac:dyDescent="0.25">
      <c r="B937" s="82">
        <v>10655</v>
      </c>
      <c r="C937" s="78">
        <v>5930</v>
      </c>
      <c r="D937" s="69" t="s">
        <v>78</v>
      </c>
      <c r="E937" s="69" t="s">
        <v>2982</v>
      </c>
      <c r="F937" s="69"/>
      <c r="G937" s="69">
        <v>2110.5</v>
      </c>
      <c r="T937" s="69"/>
      <c r="U937" s="69"/>
      <c r="AR937" s="94">
        <f t="shared" si="110"/>
        <v>2110.5</v>
      </c>
      <c r="AS937" s="69">
        <v>1410.35</v>
      </c>
      <c r="AT937" s="69">
        <v>191.65</v>
      </c>
      <c r="AU937" s="69">
        <v>508.5</v>
      </c>
      <c r="BC937" s="69"/>
      <c r="BD937" s="69"/>
      <c r="CD937" s="94">
        <f t="shared" si="111"/>
        <v>2110.5</v>
      </c>
      <c r="CE937" s="73">
        <f t="shared" si="112"/>
        <v>0</v>
      </c>
      <c r="CF937" s="75">
        <f t="shared" si="113"/>
        <v>5930</v>
      </c>
      <c r="CG937" s="69" t="str">
        <f t="shared" si="113"/>
        <v>برنامج دولى</v>
      </c>
    </row>
    <row r="938" spans="2:85" x14ac:dyDescent="0.25">
      <c r="B938" s="82">
        <v>10653</v>
      </c>
      <c r="C938" s="78">
        <v>5931</v>
      </c>
      <c r="D938" s="69" t="s">
        <v>78</v>
      </c>
      <c r="E938" s="69" t="s">
        <v>2982</v>
      </c>
      <c r="F938" s="69"/>
      <c r="G938" s="69">
        <v>8043.35</v>
      </c>
      <c r="T938" s="69"/>
      <c r="U938" s="69"/>
      <c r="AR938" s="94">
        <f t="shared" ref="AR938:AR969" si="114">SUM(G938:AQ938)</f>
        <v>8043.35</v>
      </c>
      <c r="AS938" s="69">
        <v>5375.05</v>
      </c>
      <c r="AT938" s="69">
        <v>730.35</v>
      </c>
      <c r="AU938" s="69">
        <v>1937.95</v>
      </c>
      <c r="BC938" s="69"/>
      <c r="BD938" s="69"/>
      <c r="CD938" s="94">
        <f t="shared" ref="CD938:CD963" si="115">SUM(AS938:CC938)</f>
        <v>8043.35</v>
      </c>
      <c r="CE938" s="73">
        <f t="shared" si="112"/>
        <v>0</v>
      </c>
      <c r="CF938" s="75">
        <f t="shared" ref="CF938:CG969" si="116">+C938</f>
        <v>5931</v>
      </c>
      <c r="CG938" s="69" t="str">
        <f t="shared" si="116"/>
        <v>برنامج دولى</v>
      </c>
    </row>
    <row r="939" spans="2:85" x14ac:dyDescent="0.25">
      <c r="B939" s="82">
        <v>10654</v>
      </c>
      <c r="C939" s="78">
        <v>5932</v>
      </c>
      <c r="D939" s="69" t="s">
        <v>78</v>
      </c>
      <c r="E939" s="69" t="s">
        <v>2982</v>
      </c>
      <c r="F939" s="69"/>
      <c r="G939" s="69">
        <v>95967.53</v>
      </c>
      <c r="T939" s="69"/>
      <c r="U939" s="69"/>
      <c r="AR939" s="94">
        <f t="shared" si="114"/>
        <v>95967.53</v>
      </c>
      <c r="AS939" s="69">
        <v>68880.09</v>
      </c>
      <c r="AT939" s="69">
        <v>8869.5300000000007</v>
      </c>
      <c r="AU939" s="69">
        <v>18217.91</v>
      </c>
      <c r="BC939" s="69"/>
      <c r="BD939" s="69"/>
      <c r="CD939" s="94">
        <f t="shared" si="115"/>
        <v>95967.53</v>
      </c>
      <c r="CE939" s="73">
        <f t="shared" si="112"/>
        <v>0</v>
      </c>
      <c r="CF939" s="75">
        <f t="shared" si="116"/>
        <v>5932</v>
      </c>
      <c r="CG939" s="69" t="str">
        <f t="shared" si="116"/>
        <v>برنامج دولى</v>
      </c>
    </row>
    <row r="940" spans="2:85" x14ac:dyDescent="0.25">
      <c r="B940" s="82">
        <v>10670</v>
      </c>
      <c r="C940" s="78">
        <v>5933</v>
      </c>
      <c r="D940" s="69" t="s">
        <v>78</v>
      </c>
      <c r="E940" s="69" t="s">
        <v>2982</v>
      </c>
      <c r="F940" s="69"/>
      <c r="G940" s="69">
        <v>86461.96</v>
      </c>
      <c r="T940" s="69"/>
      <c r="U940" s="69"/>
      <c r="AR940" s="94">
        <f t="shared" si="114"/>
        <v>86461.96</v>
      </c>
      <c r="AS940" s="69">
        <v>58529.96</v>
      </c>
      <c r="AT940" s="69">
        <v>7902.66</v>
      </c>
      <c r="AU940" s="69">
        <v>20029.34</v>
      </c>
      <c r="BC940" s="69"/>
      <c r="BD940" s="69"/>
      <c r="CD940" s="94">
        <f t="shared" si="115"/>
        <v>86461.959999999992</v>
      </c>
      <c r="CE940" s="73">
        <f t="shared" si="112"/>
        <v>0</v>
      </c>
      <c r="CF940" s="75">
        <f t="shared" si="116"/>
        <v>5933</v>
      </c>
      <c r="CG940" s="69" t="str">
        <f t="shared" si="116"/>
        <v>برنامج دولى</v>
      </c>
    </row>
    <row r="941" spans="2:85" x14ac:dyDescent="0.25">
      <c r="B941" s="82">
        <v>10669</v>
      </c>
      <c r="C941" s="78">
        <v>5934</v>
      </c>
      <c r="D941" s="69" t="s">
        <v>78</v>
      </c>
      <c r="E941" s="69" t="s">
        <v>2982</v>
      </c>
      <c r="F941" s="69"/>
      <c r="G941" s="69">
        <v>82085.39</v>
      </c>
      <c r="T941" s="69"/>
      <c r="U941" s="69"/>
      <c r="AR941" s="94">
        <f t="shared" si="114"/>
        <v>82085.39</v>
      </c>
      <c r="AS941" s="69">
        <v>55085.06</v>
      </c>
      <c r="AT941" s="69">
        <v>7459.42</v>
      </c>
      <c r="AU941" s="69">
        <v>19540.91</v>
      </c>
      <c r="BC941" s="69"/>
      <c r="BD941" s="69"/>
      <c r="CD941" s="94">
        <f t="shared" si="115"/>
        <v>82085.39</v>
      </c>
      <c r="CE941" s="73">
        <f t="shared" si="112"/>
        <v>0</v>
      </c>
      <c r="CF941" s="75">
        <f t="shared" si="116"/>
        <v>5934</v>
      </c>
      <c r="CG941" s="69" t="str">
        <f t="shared" si="116"/>
        <v>برنامج دولى</v>
      </c>
    </row>
    <row r="942" spans="2:85" x14ac:dyDescent="0.25">
      <c r="B942" s="82">
        <v>10668</v>
      </c>
      <c r="C942" s="78">
        <v>5935</v>
      </c>
      <c r="D942" s="69" t="s">
        <v>78</v>
      </c>
      <c r="E942" s="69" t="s">
        <v>2982</v>
      </c>
      <c r="F942" s="69"/>
      <c r="G942" s="69">
        <v>59784.04</v>
      </c>
      <c r="T942" s="69"/>
      <c r="U942" s="69"/>
      <c r="AR942" s="94">
        <f t="shared" si="114"/>
        <v>59784.04</v>
      </c>
      <c r="AS942" s="69">
        <v>40750.58</v>
      </c>
      <c r="AT942" s="69">
        <v>5488.68</v>
      </c>
      <c r="AU942" s="69">
        <v>13544.78</v>
      </c>
      <c r="BC942" s="69"/>
      <c r="BD942" s="69"/>
      <c r="CD942" s="94">
        <f t="shared" si="115"/>
        <v>59784.04</v>
      </c>
      <c r="CE942" s="73">
        <f t="shared" si="112"/>
        <v>0</v>
      </c>
      <c r="CF942" s="75">
        <f t="shared" si="116"/>
        <v>5935</v>
      </c>
      <c r="CG942" s="69" t="str">
        <f t="shared" si="116"/>
        <v>برنامج دولى</v>
      </c>
    </row>
    <row r="943" spans="2:85" x14ac:dyDescent="0.25">
      <c r="B943" s="82">
        <v>10667</v>
      </c>
      <c r="C943" s="78">
        <v>5936</v>
      </c>
      <c r="D943" s="69" t="s">
        <v>78</v>
      </c>
      <c r="E943" s="69" t="s">
        <v>2982</v>
      </c>
      <c r="F943" s="69"/>
      <c r="G943" s="69">
        <v>10841.72</v>
      </c>
      <c r="T943" s="69"/>
      <c r="U943" s="69"/>
      <c r="AR943" s="94">
        <f t="shared" si="114"/>
        <v>10841.72</v>
      </c>
      <c r="AS943" s="69">
        <v>7244.91</v>
      </c>
      <c r="AT943" s="69">
        <v>984.62</v>
      </c>
      <c r="AU943" s="69">
        <v>2612.19</v>
      </c>
      <c r="BC943" s="69"/>
      <c r="BD943" s="69"/>
      <c r="CD943" s="94">
        <f t="shared" si="115"/>
        <v>10841.720000000001</v>
      </c>
      <c r="CE943" s="73">
        <f t="shared" si="112"/>
        <v>0</v>
      </c>
      <c r="CF943" s="75">
        <f t="shared" si="116"/>
        <v>5936</v>
      </c>
      <c r="CG943" s="69" t="str">
        <f t="shared" si="116"/>
        <v>برنامج دولى</v>
      </c>
    </row>
    <row r="944" spans="2:85" x14ac:dyDescent="0.25">
      <c r="B944" s="82">
        <v>10666</v>
      </c>
      <c r="C944" s="78">
        <v>5937</v>
      </c>
      <c r="D944" s="69" t="s">
        <v>78</v>
      </c>
      <c r="E944" s="69" t="s">
        <v>2982</v>
      </c>
      <c r="F944" s="69"/>
      <c r="G944" s="69">
        <v>5741.38</v>
      </c>
      <c r="T944" s="69"/>
      <c r="U944" s="69"/>
      <c r="AR944" s="94">
        <f t="shared" si="114"/>
        <v>5741.38</v>
      </c>
      <c r="AS944" s="69">
        <v>4035.03</v>
      </c>
      <c r="AT944" s="69">
        <v>535.87</v>
      </c>
      <c r="AU944" s="69">
        <v>1170.48</v>
      </c>
      <c r="BC944" s="69"/>
      <c r="BD944" s="69"/>
      <c r="CD944" s="94">
        <f t="shared" si="115"/>
        <v>5741.380000000001</v>
      </c>
      <c r="CE944" s="73">
        <f t="shared" si="112"/>
        <v>0</v>
      </c>
      <c r="CF944" s="75">
        <f t="shared" si="116"/>
        <v>5937</v>
      </c>
      <c r="CG944" s="69" t="str">
        <f t="shared" si="116"/>
        <v>برنامج دولى</v>
      </c>
    </row>
    <row r="945" spans="1:85" x14ac:dyDescent="0.25">
      <c r="B945" s="82">
        <v>10665</v>
      </c>
      <c r="C945" s="78">
        <v>5938</v>
      </c>
      <c r="D945" s="69" t="s">
        <v>78</v>
      </c>
      <c r="E945" s="69" t="s">
        <v>2982</v>
      </c>
      <c r="F945" s="69"/>
      <c r="G945" s="69">
        <v>1993.25</v>
      </c>
      <c r="T945" s="69"/>
      <c r="U945" s="69"/>
      <c r="AR945" s="94">
        <f t="shared" si="114"/>
        <v>1993.25</v>
      </c>
      <c r="AS945" s="69">
        <v>1332</v>
      </c>
      <c r="AT945" s="69">
        <v>181</v>
      </c>
      <c r="AU945" s="69">
        <v>480.25</v>
      </c>
      <c r="BC945" s="69"/>
      <c r="BD945" s="69"/>
      <c r="CD945" s="94">
        <f t="shared" si="115"/>
        <v>1993.25</v>
      </c>
      <c r="CE945" s="73">
        <f t="shared" si="112"/>
        <v>0</v>
      </c>
      <c r="CF945" s="75">
        <f t="shared" si="116"/>
        <v>5938</v>
      </c>
      <c r="CG945" s="69" t="str">
        <f t="shared" si="116"/>
        <v>برنامج دولى</v>
      </c>
    </row>
    <row r="946" spans="1:85" x14ac:dyDescent="0.25">
      <c r="B946" s="82">
        <v>10664</v>
      </c>
      <c r="C946" s="78">
        <v>5939</v>
      </c>
      <c r="D946" s="69" t="s">
        <v>78</v>
      </c>
      <c r="E946" s="69" t="s">
        <v>2982</v>
      </c>
      <c r="F946" s="69"/>
      <c r="G946" s="69">
        <v>7220.93</v>
      </c>
      <c r="T946" s="69"/>
      <c r="U946" s="69"/>
      <c r="AR946" s="94">
        <f t="shared" si="114"/>
        <v>7220.93</v>
      </c>
      <c r="AS946" s="69">
        <v>4889.2299999999996</v>
      </c>
      <c r="AT946" s="69">
        <v>659.75</v>
      </c>
      <c r="AU946" s="69">
        <v>1671.95</v>
      </c>
      <c r="BC946" s="69"/>
      <c r="BD946" s="69"/>
      <c r="CD946" s="94">
        <f t="shared" si="115"/>
        <v>7220.9299999999994</v>
      </c>
      <c r="CE946" s="73">
        <f t="shared" si="112"/>
        <v>0</v>
      </c>
      <c r="CF946" s="75">
        <f t="shared" si="116"/>
        <v>5939</v>
      </c>
      <c r="CG946" s="69" t="str">
        <f t="shared" si="116"/>
        <v>برنامج دولى</v>
      </c>
    </row>
    <row r="947" spans="1:85" x14ac:dyDescent="0.25">
      <c r="A947" s="80" t="s">
        <v>2983</v>
      </c>
      <c r="B947" s="82"/>
      <c r="C947" s="78">
        <v>5940</v>
      </c>
      <c r="D947" s="128" t="s">
        <v>220</v>
      </c>
      <c r="F947" s="69" t="s">
        <v>220</v>
      </c>
      <c r="T947" s="69"/>
      <c r="U947" s="69"/>
      <c r="AR947" s="94">
        <f t="shared" si="114"/>
        <v>0</v>
      </c>
      <c r="AT947" s="69"/>
      <c r="BC947" s="69"/>
      <c r="BD947" s="69"/>
      <c r="CD947" s="94">
        <f t="shared" si="115"/>
        <v>0</v>
      </c>
      <c r="CE947" s="73">
        <f t="shared" si="112"/>
        <v>0</v>
      </c>
      <c r="CF947" s="75">
        <f t="shared" si="116"/>
        <v>5940</v>
      </c>
      <c r="CG947" s="69" t="str">
        <f t="shared" si="116"/>
        <v>بيرول</v>
      </c>
    </row>
    <row r="948" spans="1:85" x14ac:dyDescent="0.25">
      <c r="B948" s="82">
        <v>10662</v>
      </c>
      <c r="C948" s="78">
        <v>5941</v>
      </c>
      <c r="D948" s="69" t="s">
        <v>78</v>
      </c>
      <c r="E948" s="69" t="s">
        <v>2982</v>
      </c>
      <c r="F948" s="69"/>
      <c r="G948" s="69">
        <v>49107.95</v>
      </c>
      <c r="T948" s="69"/>
      <c r="U948" s="69"/>
      <c r="AR948" s="94">
        <f t="shared" si="114"/>
        <v>49107.95</v>
      </c>
      <c r="AS948" s="69">
        <v>35871.78</v>
      </c>
      <c r="AT948" s="69">
        <v>4685.37</v>
      </c>
      <c r="AU948" s="69">
        <v>8550.7999999999993</v>
      </c>
      <c r="BC948" s="69"/>
      <c r="BD948" s="69"/>
      <c r="CD948" s="94">
        <f t="shared" si="115"/>
        <v>49107.95</v>
      </c>
      <c r="CE948" s="73">
        <f t="shared" si="112"/>
        <v>0</v>
      </c>
      <c r="CF948" s="75">
        <f t="shared" si="116"/>
        <v>5941</v>
      </c>
      <c r="CG948" s="69" t="str">
        <f t="shared" si="116"/>
        <v>برنامج دولى</v>
      </c>
    </row>
    <row r="949" spans="1:85" x14ac:dyDescent="0.25">
      <c r="B949" s="82">
        <v>10661</v>
      </c>
      <c r="C949" s="78">
        <v>5942</v>
      </c>
      <c r="D949" s="69" t="s">
        <v>78</v>
      </c>
      <c r="E949" s="69" t="s">
        <v>2982</v>
      </c>
      <c r="F949" s="69"/>
      <c r="G949" s="69">
        <v>5455.28</v>
      </c>
      <c r="T949" s="69"/>
      <c r="U949" s="69"/>
      <c r="AR949" s="94">
        <f t="shared" si="114"/>
        <v>5455.28</v>
      </c>
      <c r="AS949" s="69">
        <v>4160.51</v>
      </c>
      <c r="AT949" s="69">
        <v>532.79999999999995</v>
      </c>
      <c r="AU949" s="69">
        <v>761.97</v>
      </c>
      <c r="BC949" s="69"/>
      <c r="BD949" s="69"/>
      <c r="CD949" s="94">
        <f t="shared" si="115"/>
        <v>5455.2800000000007</v>
      </c>
      <c r="CE949" s="73">
        <f t="shared" si="112"/>
        <v>0</v>
      </c>
      <c r="CF949" s="75">
        <f t="shared" si="116"/>
        <v>5942</v>
      </c>
      <c r="CG949" s="69" t="str">
        <f t="shared" si="116"/>
        <v>برنامج دولى</v>
      </c>
    </row>
    <row r="950" spans="1:85" x14ac:dyDescent="0.25">
      <c r="B950" s="82">
        <v>10660</v>
      </c>
      <c r="C950" s="78">
        <v>5943</v>
      </c>
      <c r="D950" s="69" t="s">
        <v>78</v>
      </c>
      <c r="E950" s="69" t="s">
        <v>2982</v>
      </c>
      <c r="F950" s="69"/>
      <c r="G950" s="69">
        <v>4610.5</v>
      </c>
      <c r="T950" s="69"/>
      <c r="U950" s="69"/>
      <c r="AR950" s="94">
        <f t="shared" si="114"/>
        <v>4610.5</v>
      </c>
      <c r="AS950" s="69">
        <v>3641.95</v>
      </c>
      <c r="AT950" s="69">
        <v>460.05</v>
      </c>
      <c r="AU950" s="69">
        <v>508.5</v>
      </c>
      <c r="BC950" s="69"/>
      <c r="BD950" s="69"/>
      <c r="CD950" s="94">
        <f t="shared" si="115"/>
        <v>4610.5</v>
      </c>
      <c r="CE950" s="73">
        <f t="shared" si="112"/>
        <v>0</v>
      </c>
      <c r="CF950" s="75">
        <f t="shared" si="116"/>
        <v>5943</v>
      </c>
      <c r="CG950" s="69" t="str">
        <f t="shared" si="116"/>
        <v>برنامج دولى</v>
      </c>
    </row>
    <row r="951" spans="1:85" x14ac:dyDescent="0.25">
      <c r="B951" s="82">
        <v>10659</v>
      </c>
      <c r="C951" s="78">
        <v>5944</v>
      </c>
      <c r="D951" s="69" t="s">
        <v>78</v>
      </c>
      <c r="E951" s="69" t="s">
        <v>2982</v>
      </c>
      <c r="F951" s="69"/>
      <c r="G951" s="69">
        <v>12757.16</v>
      </c>
      <c r="T951" s="69"/>
      <c r="U951" s="69"/>
      <c r="AR951" s="94">
        <f t="shared" si="114"/>
        <v>12757.16</v>
      </c>
      <c r="AS951" s="69">
        <v>9622.86</v>
      </c>
      <c r="AT951" s="69">
        <v>1239.25</v>
      </c>
      <c r="AU951" s="69">
        <v>1895.05</v>
      </c>
      <c r="BC951" s="69"/>
      <c r="BD951" s="69"/>
      <c r="CD951" s="94">
        <f t="shared" si="115"/>
        <v>12757.16</v>
      </c>
      <c r="CE951" s="73">
        <f t="shared" si="112"/>
        <v>0</v>
      </c>
      <c r="CF951" s="75">
        <f t="shared" si="116"/>
        <v>5944</v>
      </c>
      <c r="CG951" s="69" t="str">
        <f t="shared" si="116"/>
        <v>برنامج دولى</v>
      </c>
    </row>
    <row r="952" spans="1:85" x14ac:dyDescent="0.25">
      <c r="B952" s="82">
        <v>10658</v>
      </c>
      <c r="C952" s="78">
        <v>5945</v>
      </c>
      <c r="D952" s="69" t="s">
        <v>78</v>
      </c>
      <c r="E952" s="69" t="s">
        <v>2982</v>
      </c>
      <c r="F952" s="69"/>
      <c r="G952" s="69">
        <v>40376.980000000003</v>
      </c>
      <c r="T952" s="69"/>
      <c r="U952" s="69"/>
      <c r="AR952" s="94">
        <f t="shared" si="114"/>
        <v>40376.980000000003</v>
      </c>
      <c r="AS952" s="69">
        <v>26980.86</v>
      </c>
      <c r="AT952" s="69">
        <f>224.1+3443.66</f>
        <v>3667.7599999999998</v>
      </c>
      <c r="AU952" s="69">
        <v>9728.36</v>
      </c>
      <c r="BC952" s="69"/>
      <c r="BD952" s="69"/>
      <c r="CD952" s="94">
        <f t="shared" si="115"/>
        <v>40376.979999999996</v>
      </c>
      <c r="CE952" s="73">
        <f t="shared" si="112"/>
        <v>0</v>
      </c>
      <c r="CF952" s="75">
        <f t="shared" si="116"/>
        <v>5945</v>
      </c>
      <c r="CG952" s="69" t="str">
        <f t="shared" si="116"/>
        <v>برنامج دولى</v>
      </c>
    </row>
    <row r="953" spans="1:85" x14ac:dyDescent="0.25">
      <c r="B953" s="82">
        <v>10657</v>
      </c>
      <c r="C953" s="78">
        <v>5946</v>
      </c>
      <c r="D953" s="69" t="s">
        <v>78</v>
      </c>
      <c r="E953" s="69" t="s">
        <v>2982</v>
      </c>
      <c r="F953" s="69"/>
      <c r="G953" s="69">
        <v>5000</v>
      </c>
      <c r="T953" s="69"/>
      <c r="U953" s="69"/>
      <c r="AR953" s="94">
        <f t="shared" si="114"/>
        <v>5000</v>
      </c>
      <c r="AS953" s="69">
        <v>4463.2</v>
      </c>
      <c r="AT953" s="69">
        <v>536.79999999999995</v>
      </c>
      <c r="BC953" s="69"/>
      <c r="BD953" s="69"/>
      <c r="CD953" s="94">
        <f t="shared" si="115"/>
        <v>5000</v>
      </c>
      <c r="CE953" s="73">
        <f t="shared" si="112"/>
        <v>0</v>
      </c>
      <c r="CF953" s="75">
        <f t="shared" si="116"/>
        <v>5946</v>
      </c>
      <c r="CG953" s="69" t="str">
        <f t="shared" si="116"/>
        <v>برنامج دولى</v>
      </c>
    </row>
    <row r="954" spans="1:85" x14ac:dyDescent="0.25">
      <c r="B954" s="82">
        <v>10656</v>
      </c>
      <c r="C954" s="78">
        <v>5947</v>
      </c>
      <c r="D954" s="69" t="s">
        <v>78</v>
      </c>
      <c r="E954" s="69" t="s">
        <v>2982</v>
      </c>
      <c r="F954" s="69"/>
      <c r="G954" s="69">
        <v>2500</v>
      </c>
      <c r="T954" s="69"/>
      <c r="U954" s="69"/>
      <c r="AR954" s="94">
        <f t="shared" si="114"/>
        <v>2500</v>
      </c>
      <c r="AS954" s="69">
        <v>2231.6</v>
      </c>
      <c r="AT954" s="69">
        <v>268.39999999999998</v>
      </c>
      <c r="BC954" s="69"/>
      <c r="BD954" s="69"/>
      <c r="CD954" s="94">
        <f t="shared" si="115"/>
        <v>2500</v>
      </c>
      <c r="CE954" s="73">
        <f t="shared" si="112"/>
        <v>0</v>
      </c>
      <c r="CF954" s="75">
        <f t="shared" si="116"/>
        <v>5947</v>
      </c>
      <c r="CG954" s="69" t="str">
        <f t="shared" si="116"/>
        <v>برنامج دولى</v>
      </c>
    </row>
    <row r="955" spans="1:85" x14ac:dyDescent="0.25">
      <c r="B955" s="82">
        <v>10674</v>
      </c>
      <c r="C955" s="78">
        <v>5948</v>
      </c>
      <c r="D955" s="69" t="s">
        <v>78</v>
      </c>
      <c r="E955" s="69" t="s">
        <v>2982</v>
      </c>
      <c r="F955" s="69"/>
      <c r="G955" s="69">
        <v>2110.5</v>
      </c>
      <c r="T955" s="69"/>
      <c r="U955" s="69"/>
      <c r="AR955" s="94">
        <f t="shared" si="114"/>
        <v>2110.5</v>
      </c>
      <c r="AS955" s="69">
        <v>1410.35</v>
      </c>
      <c r="AT955" s="69">
        <v>191.65</v>
      </c>
      <c r="AU955" s="69">
        <v>508.5</v>
      </c>
      <c r="BC955" s="69"/>
      <c r="BD955" s="69"/>
      <c r="CD955" s="94">
        <f t="shared" si="115"/>
        <v>2110.5</v>
      </c>
      <c r="CE955" s="73">
        <f t="shared" si="112"/>
        <v>0</v>
      </c>
      <c r="CF955" s="75">
        <f t="shared" si="116"/>
        <v>5948</v>
      </c>
      <c r="CG955" s="69" t="str">
        <f t="shared" si="116"/>
        <v>برنامج دولى</v>
      </c>
    </row>
    <row r="956" spans="1:85" x14ac:dyDescent="0.25">
      <c r="B956" s="82">
        <v>10673</v>
      </c>
      <c r="C956" s="78">
        <v>5949</v>
      </c>
      <c r="D956" s="69" t="s">
        <v>78</v>
      </c>
      <c r="E956" s="69" t="s">
        <v>2982</v>
      </c>
      <c r="F956" s="69"/>
      <c r="G956" s="69">
        <v>1993.25</v>
      </c>
      <c r="T956" s="69"/>
      <c r="U956" s="69"/>
      <c r="AR956" s="94">
        <f t="shared" si="114"/>
        <v>1993.25</v>
      </c>
      <c r="AS956" s="69">
        <v>1332</v>
      </c>
      <c r="AT956" s="69">
        <v>181</v>
      </c>
      <c r="AU956" s="69">
        <v>480.25</v>
      </c>
      <c r="BC956" s="69"/>
      <c r="BD956" s="69"/>
      <c r="CD956" s="94">
        <f t="shared" si="115"/>
        <v>1993.25</v>
      </c>
      <c r="CE956" s="73">
        <f t="shared" si="112"/>
        <v>0</v>
      </c>
      <c r="CF956" s="75">
        <f t="shared" si="116"/>
        <v>5949</v>
      </c>
      <c r="CG956" s="69" t="str">
        <f t="shared" si="116"/>
        <v>برنامج دولى</v>
      </c>
    </row>
    <row r="957" spans="1:85" x14ac:dyDescent="0.25">
      <c r="B957" s="82">
        <v>10672</v>
      </c>
      <c r="C957" s="78">
        <v>5950</v>
      </c>
      <c r="D957" s="69" t="s">
        <v>78</v>
      </c>
      <c r="E957" s="69" t="s">
        <v>2982</v>
      </c>
      <c r="F957" s="69"/>
      <c r="G957" s="69">
        <v>6843.49</v>
      </c>
      <c r="T957" s="69"/>
      <c r="U957" s="69"/>
      <c r="AR957" s="94">
        <f t="shared" si="114"/>
        <v>6843.49</v>
      </c>
      <c r="AS957" s="69">
        <v>4575.01</v>
      </c>
      <c r="AT957" s="69">
        <v>619.62</v>
      </c>
      <c r="AU957" s="69">
        <v>1648.86</v>
      </c>
      <c r="BC957" s="69"/>
      <c r="BD957" s="69"/>
      <c r="CD957" s="94">
        <f t="shared" si="115"/>
        <v>6843.49</v>
      </c>
      <c r="CE957" s="73">
        <f t="shared" si="112"/>
        <v>0</v>
      </c>
      <c r="CF957" s="75">
        <f t="shared" si="116"/>
        <v>5950</v>
      </c>
      <c r="CG957" s="69" t="str">
        <f t="shared" si="116"/>
        <v>برنامج دولى</v>
      </c>
    </row>
    <row r="958" spans="1:85" x14ac:dyDescent="0.25">
      <c r="B958" s="82">
        <v>10671</v>
      </c>
      <c r="C958" s="78">
        <v>5951</v>
      </c>
      <c r="D958" s="69" t="s">
        <v>78</v>
      </c>
      <c r="E958" s="69" t="s">
        <v>2982</v>
      </c>
      <c r="F958" s="69"/>
      <c r="G958" s="69">
        <v>2500</v>
      </c>
      <c r="T958" s="69"/>
      <c r="U958" s="69"/>
      <c r="AR958" s="94">
        <f t="shared" si="114"/>
        <v>2500</v>
      </c>
      <c r="AS958" s="69">
        <v>2231.6</v>
      </c>
      <c r="AT958" s="69">
        <v>268.39999999999998</v>
      </c>
      <c r="BC958" s="69"/>
      <c r="BD958" s="69"/>
      <c r="CD958" s="94">
        <f t="shared" si="115"/>
        <v>2500</v>
      </c>
      <c r="CE958" s="73">
        <f t="shared" si="112"/>
        <v>0</v>
      </c>
      <c r="CF958" s="75">
        <f t="shared" si="116"/>
        <v>5951</v>
      </c>
      <c r="CG958" s="69" t="str">
        <f t="shared" si="116"/>
        <v>برنامج دولى</v>
      </c>
    </row>
    <row r="959" spans="1:85" x14ac:dyDescent="0.25">
      <c r="B959" s="82">
        <v>10652</v>
      </c>
      <c r="C959" s="78">
        <v>5952</v>
      </c>
      <c r="D959" s="69" t="s">
        <v>78</v>
      </c>
      <c r="E959" s="69" t="s">
        <v>2982</v>
      </c>
      <c r="F959" s="69"/>
      <c r="G959" s="69">
        <v>3939.6</v>
      </c>
      <c r="T959" s="69"/>
      <c r="U959" s="69"/>
      <c r="AR959" s="94">
        <f t="shared" si="114"/>
        <v>3939.6</v>
      </c>
      <c r="AS959" s="69">
        <v>2632.7</v>
      </c>
      <c r="AT959" s="69">
        <v>357.7</v>
      </c>
      <c r="AU959" s="69">
        <v>949.2</v>
      </c>
      <c r="BC959" s="69"/>
      <c r="BD959" s="69"/>
      <c r="CD959" s="94">
        <f t="shared" si="115"/>
        <v>3939.5999999999995</v>
      </c>
      <c r="CE959" s="73">
        <f t="shared" si="112"/>
        <v>0</v>
      </c>
      <c r="CF959" s="75">
        <f t="shared" si="116"/>
        <v>5952</v>
      </c>
      <c r="CG959" s="69" t="str">
        <f t="shared" si="116"/>
        <v>برنامج دولى</v>
      </c>
    </row>
    <row r="960" spans="1:85" x14ac:dyDescent="0.25">
      <c r="B960" s="82">
        <v>10675</v>
      </c>
      <c r="C960" s="78">
        <v>5953</v>
      </c>
      <c r="D960" s="69" t="s">
        <v>78</v>
      </c>
      <c r="E960" s="69" t="s">
        <v>2984</v>
      </c>
      <c r="F960" s="69"/>
      <c r="G960" s="69">
        <v>8339.43</v>
      </c>
      <c r="T960" s="69"/>
      <c r="U960" s="69"/>
      <c r="AR960" s="94">
        <f t="shared" si="114"/>
        <v>8339.43</v>
      </c>
      <c r="AS960" s="69">
        <v>5571.98</v>
      </c>
      <c r="AT960" s="69">
        <f>46.9+711.25</f>
        <v>758.15</v>
      </c>
      <c r="AU960" s="69">
        <v>2009.3</v>
      </c>
      <c r="BC960" s="69"/>
      <c r="BD960" s="69"/>
      <c r="CD960" s="94">
        <f t="shared" si="115"/>
        <v>8339.4299999999985</v>
      </c>
      <c r="CE960" s="73">
        <f t="shared" si="112"/>
        <v>0</v>
      </c>
      <c r="CF960" s="75">
        <f t="shared" si="116"/>
        <v>5953</v>
      </c>
      <c r="CG960" s="69" t="str">
        <f t="shared" si="116"/>
        <v>برنامج دولى</v>
      </c>
    </row>
    <row r="961" spans="2:85" x14ac:dyDescent="0.25">
      <c r="B961" s="82">
        <v>10676</v>
      </c>
      <c r="C961" s="78">
        <v>5954</v>
      </c>
      <c r="D961" s="69" t="s">
        <v>78</v>
      </c>
      <c r="E961" s="69" t="s">
        <v>2985</v>
      </c>
      <c r="F961" s="69"/>
      <c r="G961" s="69">
        <v>1676.23</v>
      </c>
      <c r="T961" s="69"/>
      <c r="U961" s="69"/>
      <c r="AR961" s="94">
        <f t="shared" si="114"/>
        <v>1676.23</v>
      </c>
      <c r="AS961" s="69">
        <v>1322.93</v>
      </c>
      <c r="AT961" s="69">
        <v>167.05</v>
      </c>
      <c r="AU961" s="69">
        <v>186.25</v>
      </c>
      <c r="BC961" s="69"/>
      <c r="BD961" s="69"/>
      <c r="CD961" s="94">
        <f t="shared" si="115"/>
        <v>1676.23</v>
      </c>
      <c r="CE961" s="73">
        <f t="shared" si="112"/>
        <v>0</v>
      </c>
      <c r="CF961" s="75">
        <f t="shared" si="116"/>
        <v>5954</v>
      </c>
      <c r="CG961" s="69" t="str">
        <f t="shared" si="116"/>
        <v>برنامج دولى</v>
      </c>
    </row>
    <row r="962" spans="2:85" x14ac:dyDescent="0.25">
      <c r="B962" s="82">
        <v>10677</v>
      </c>
      <c r="C962" s="78">
        <v>5955</v>
      </c>
      <c r="D962" s="69" t="s">
        <v>78</v>
      </c>
      <c r="E962" s="69" t="s">
        <v>2985</v>
      </c>
      <c r="F962" s="69"/>
      <c r="G962" s="69">
        <v>46145.75</v>
      </c>
      <c r="T962" s="69"/>
      <c r="U962" s="69"/>
      <c r="AR962" s="94">
        <f t="shared" si="114"/>
        <v>46145.75</v>
      </c>
      <c r="AS962" s="69">
        <v>41197.160000000003</v>
      </c>
      <c r="AT962" s="69">
        <v>4948.59</v>
      </c>
      <c r="BC962" s="69"/>
      <c r="BD962" s="69"/>
      <c r="CD962" s="94">
        <f t="shared" si="115"/>
        <v>46145.75</v>
      </c>
      <c r="CE962" s="73">
        <f t="shared" si="112"/>
        <v>0</v>
      </c>
      <c r="CF962" s="75">
        <f t="shared" si="116"/>
        <v>5955</v>
      </c>
      <c r="CG962" s="69" t="str">
        <f t="shared" si="116"/>
        <v>برنامج دولى</v>
      </c>
    </row>
    <row r="963" spans="2:85" x14ac:dyDescent="0.25">
      <c r="B963" s="82">
        <v>10083</v>
      </c>
      <c r="C963" s="78">
        <v>5956</v>
      </c>
      <c r="D963" s="69" t="s">
        <v>119</v>
      </c>
      <c r="E963" s="69" t="s">
        <v>1023</v>
      </c>
      <c r="F963" s="69"/>
      <c r="G963" s="69">
        <v>7983.26</v>
      </c>
      <c r="T963" s="69"/>
      <c r="U963" s="69"/>
      <c r="AR963" s="94">
        <f t="shared" si="114"/>
        <v>7983.26</v>
      </c>
      <c r="AS963" s="69">
        <v>4857.97</v>
      </c>
      <c r="AT963" s="69">
        <v>918.96</v>
      </c>
      <c r="AU963" s="69">
        <v>1864.08</v>
      </c>
      <c r="AV963" s="69">
        <v>342.25</v>
      </c>
      <c r="BC963" s="69"/>
      <c r="BD963" s="69"/>
      <c r="CD963" s="94">
        <f t="shared" si="115"/>
        <v>7983.26</v>
      </c>
      <c r="CE963" s="73">
        <f t="shared" si="112"/>
        <v>0</v>
      </c>
      <c r="CF963" s="75">
        <f t="shared" si="116"/>
        <v>5956</v>
      </c>
      <c r="CG963" s="69" t="str">
        <f t="shared" si="116"/>
        <v>خ ت صيدلة</v>
      </c>
    </row>
    <row r="964" spans="2:85" x14ac:dyDescent="0.25">
      <c r="B964" s="82">
        <v>10082</v>
      </c>
      <c r="C964" s="78">
        <v>5957</v>
      </c>
      <c r="D964" s="69" t="s">
        <v>119</v>
      </c>
      <c r="E964" s="69" t="s">
        <v>1023</v>
      </c>
      <c r="F964" s="69"/>
      <c r="G964" s="69">
        <v>2670.12</v>
      </c>
      <c r="T964" s="69"/>
      <c r="U964" s="69"/>
      <c r="AR964" s="94">
        <f t="shared" si="114"/>
        <v>2670.12</v>
      </c>
      <c r="AS964" s="69">
        <v>1964.49</v>
      </c>
      <c r="AT964" s="69">
        <v>214.71</v>
      </c>
      <c r="AU964" s="69">
        <v>368.67</v>
      </c>
      <c r="AV964" s="69">
        <v>122.25</v>
      </c>
      <c r="BC964" s="69"/>
      <c r="BD964" s="69"/>
      <c r="CD964" s="94">
        <f t="shared" ref="CD964:CD1023" si="117">SUM(AS964:CC964)</f>
        <v>2670.12</v>
      </c>
      <c r="CE964" s="73">
        <f t="shared" si="112"/>
        <v>0</v>
      </c>
      <c r="CF964" s="75">
        <f t="shared" si="116"/>
        <v>5957</v>
      </c>
      <c r="CG964" s="69" t="str">
        <f t="shared" si="116"/>
        <v>خ ت صيدلة</v>
      </c>
    </row>
    <row r="965" spans="2:85" x14ac:dyDescent="0.25">
      <c r="B965" s="82">
        <v>10081</v>
      </c>
      <c r="C965" s="78">
        <v>5958</v>
      </c>
      <c r="D965" s="69" t="s">
        <v>119</v>
      </c>
      <c r="E965" s="69" t="s">
        <v>1023</v>
      </c>
      <c r="F965" s="69"/>
      <c r="G965" s="69">
        <v>293.12</v>
      </c>
      <c r="T965" s="69"/>
      <c r="U965" s="69"/>
      <c r="AR965" s="94">
        <f t="shared" si="114"/>
        <v>293.12</v>
      </c>
      <c r="AS965" s="69">
        <v>177.61</v>
      </c>
      <c r="AT965" s="69">
        <v>32.39</v>
      </c>
      <c r="AU965" s="69">
        <v>70.62</v>
      </c>
      <c r="AV965" s="69">
        <v>12.5</v>
      </c>
      <c r="BC965" s="69"/>
      <c r="BD965" s="69"/>
      <c r="CD965" s="94">
        <f t="shared" si="117"/>
        <v>293.12</v>
      </c>
      <c r="CE965" s="73">
        <f t="shared" si="112"/>
        <v>0</v>
      </c>
      <c r="CF965" s="75">
        <f t="shared" si="116"/>
        <v>5958</v>
      </c>
      <c r="CG965" s="69" t="str">
        <f t="shared" si="116"/>
        <v>خ ت صيدلة</v>
      </c>
    </row>
    <row r="966" spans="2:85" x14ac:dyDescent="0.25">
      <c r="B966" s="82">
        <v>10084</v>
      </c>
      <c r="C966" s="78">
        <v>5959</v>
      </c>
      <c r="D966" s="69" t="s">
        <v>119</v>
      </c>
      <c r="E966" s="69" t="s">
        <v>1023</v>
      </c>
      <c r="F966" s="69"/>
      <c r="G966" s="69">
        <v>2637.91</v>
      </c>
      <c r="T966" s="69"/>
      <c r="U966" s="69"/>
      <c r="AR966" s="94">
        <f t="shared" si="114"/>
        <v>2637.91</v>
      </c>
      <c r="AS966" s="69">
        <v>1985.89</v>
      </c>
      <c r="AT966" s="69">
        <f>12.1+50.92</f>
        <v>63.02</v>
      </c>
      <c r="AU966" s="69">
        <v>471.5</v>
      </c>
      <c r="AV966" s="69">
        <v>117.5</v>
      </c>
      <c r="BC966" s="69"/>
      <c r="BD966" s="69"/>
      <c r="CD966" s="94">
        <f t="shared" si="117"/>
        <v>2637.9100000000003</v>
      </c>
      <c r="CE966" s="73">
        <f t="shared" si="112"/>
        <v>0</v>
      </c>
      <c r="CF966" s="75">
        <f t="shared" si="116"/>
        <v>5959</v>
      </c>
      <c r="CG966" s="69" t="str">
        <f t="shared" si="116"/>
        <v>خ ت صيدلة</v>
      </c>
    </row>
    <row r="967" spans="2:85" x14ac:dyDescent="0.25">
      <c r="B967" s="82">
        <v>10334</v>
      </c>
      <c r="C967" s="78">
        <v>5960</v>
      </c>
      <c r="D967" s="69" t="s">
        <v>130</v>
      </c>
      <c r="E967" s="69" t="s">
        <v>2986</v>
      </c>
      <c r="F967" s="69"/>
      <c r="G967" s="69">
        <v>2000</v>
      </c>
      <c r="T967" s="69"/>
      <c r="U967" s="69"/>
      <c r="AR967" s="94">
        <f t="shared" si="114"/>
        <v>2000</v>
      </c>
      <c r="AS967" s="69">
        <v>1769.7</v>
      </c>
      <c r="AT967" s="69">
        <f>13.3+117</f>
        <v>130.30000000000001</v>
      </c>
      <c r="AV967" s="69">
        <v>100</v>
      </c>
      <c r="BC967" s="69"/>
      <c r="BD967" s="69"/>
      <c r="CD967" s="94">
        <f t="shared" si="117"/>
        <v>2000</v>
      </c>
      <c r="CE967" s="73">
        <f t="shared" si="112"/>
        <v>0</v>
      </c>
      <c r="CF967" s="75">
        <f t="shared" si="116"/>
        <v>5960</v>
      </c>
      <c r="CG967" s="69" t="str">
        <f t="shared" si="116"/>
        <v>خ ت طب</v>
      </c>
    </row>
    <row r="968" spans="2:85" x14ac:dyDescent="0.25">
      <c r="B968" s="82">
        <v>10223</v>
      </c>
      <c r="C968" s="78">
        <v>5961</v>
      </c>
      <c r="D968" s="69" t="s">
        <v>132</v>
      </c>
      <c r="E968" s="69" t="s">
        <v>2987</v>
      </c>
      <c r="F968" s="69"/>
      <c r="G968" s="69">
        <v>18566.990000000002</v>
      </c>
      <c r="T968" s="69"/>
      <c r="U968" s="69"/>
      <c r="AR968" s="94">
        <f t="shared" si="114"/>
        <v>18566.990000000002</v>
      </c>
      <c r="AS968" s="69">
        <v>12522.65</v>
      </c>
      <c r="AT968" s="69">
        <v>1649.5</v>
      </c>
      <c r="AU968" s="69">
        <v>4394.84</v>
      </c>
      <c r="BC968" s="69"/>
      <c r="BD968" s="69"/>
      <c r="CD968" s="94">
        <f t="shared" si="117"/>
        <v>18566.989999999998</v>
      </c>
      <c r="CE968" s="73">
        <f t="shared" si="112"/>
        <v>0</v>
      </c>
      <c r="CF968" s="75">
        <f t="shared" si="116"/>
        <v>5961</v>
      </c>
      <c r="CG968" s="69" t="str">
        <f t="shared" si="116"/>
        <v>صيدلة اكلينيكى</v>
      </c>
    </row>
    <row r="969" spans="2:85" x14ac:dyDescent="0.25">
      <c r="B969" s="82">
        <v>10222</v>
      </c>
      <c r="C969" s="78">
        <v>5962</v>
      </c>
      <c r="D969" s="69" t="s">
        <v>132</v>
      </c>
      <c r="E969" s="69" t="s">
        <v>2987</v>
      </c>
      <c r="F969" s="69"/>
      <c r="G969" s="69">
        <v>422.1</v>
      </c>
      <c r="T969" s="69"/>
      <c r="U969" s="69"/>
      <c r="AR969" s="94">
        <f t="shared" si="114"/>
        <v>422.1</v>
      </c>
      <c r="AS969" s="69">
        <v>283.05</v>
      </c>
      <c r="AT969" s="69">
        <v>37.35</v>
      </c>
      <c r="AU969" s="69">
        <v>101.7</v>
      </c>
      <c r="BC969" s="69"/>
      <c r="BD969" s="69"/>
      <c r="CD969" s="94">
        <f t="shared" si="117"/>
        <v>422.1</v>
      </c>
      <c r="CE969" s="73">
        <f t="shared" si="112"/>
        <v>0</v>
      </c>
      <c r="CF969" s="75">
        <f t="shared" si="116"/>
        <v>5962</v>
      </c>
      <c r="CG969" s="69" t="str">
        <f t="shared" si="116"/>
        <v>صيدلة اكلينيكى</v>
      </c>
    </row>
    <row r="970" spans="2:85" x14ac:dyDescent="0.25">
      <c r="B970" s="82">
        <v>10221</v>
      </c>
      <c r="C970" s="78">
        <v>5963</v>
      </c>
      <c r="D970" s="69" t="s">
        <v>132</v>
      </c>
      <c r="E970" s="69" t="s">
        <v>2987</v>
      </c>
      <c r="F970" s="69"/>
      <c r="G970" s="69">
        <v>820.75</v>
      </c>
      <c r="T970" s="69"/>
      <c r="U970" s="69"/>
      <c r="AR970" s="94">
        <f t="shared" ref="AR970:AR1001" si="118">SUM(G970:AQ970)</f>
        <v>820.75</v>
      </c>
      <c r="AS970" s="69">
        <v>550.4</v>
      </c>
      <c r="AT970" s="69">
        <v>72.599999999999994</v>
      </c>
      <c r="AU970" s="69">
        <v>197.75</v>
      </c>
      <c r="BC970" s="69"/>
      <c r="BD970" s="69"/>
      <c r="CD970" s="94">
        <f t="shared" si="117"/>
        <v>820.75</v>
      </c>
      <c r="CE970" s="73">
        <f t="shared" ref="CE970:CE1033" si="119">+CD970-AR970</f>
        <v>0</v>
      </c>
      <c r="CF970" s="75">
        <f t="shared" ref="CF970:CG1001" si="120">+C970</f>
        <v>5963</v>
      </c>
      <c r="CG970" s="69" t="str">
        <f t="shared" si="120"/>
        <v>صيدلة اكلينيكى</v>
      </c>
    </row>
    <row r="971" spans="2:85" x14ac:dyDescent="0.25">
      <c r="B971" s="82">
        <v>10215</v>
      </c>
      <c r="C971" s="78">
        <v>5964</v>
      </c>
      <c r="D971" s="69" t="s">
        <v>132</v>
      </c>
      <c r="E971" s="69" t="s">
        <v>2987</v>
      </c>
      <c r="F971" s="69"/>
      <c r="G971" s="69">
        <v>5803.87</v>
      </c>
      <c r="T971" s="69"/>
      <c r="U971" s="69"/>
      <c r="AR971" s="94">
        <f t="shared" si="118"/>
        <v>5803.87</v>
      </c>
      <c r="AS971" s="69">
        <v>3886.35</v>
      </c>
      <c r="AT971" s="69">
        <v>519.15</v>
      </c>
      <c r="AU971" s="69">
        <v>1398.37</v>
      </c>
      <c r="BC971" s="69"/>
      <c r="BD971" s="69"/>
      <c r="CD971" s="94">
        <f t="shared" si="117"/>
        <v>5803.87</v>
      </c>
      <c r="CE971" s="73">
        <f t="shared" si="119"/>
        <v>0</v>
      </c>
      <c r="CF971" s="75">
        <f t="shared" si="120"/>
        <v>5964</v>
      </c>
      <c r="CG971" s="69" t="str">
        <f t="shared" si="120"/>
        <v>صيدلة اكلينيكى</v>
      </c>
    </row>
    <row r="972" spans="2:85" x14ac:dyDescent="0.25">
      <c r="B972" s="82">
        <v>10213</v>
      </c>
      <c r="C972" s="78">
        <v>5965</v>
      </c>
      <c r="D972" s="69" t="s">
        <v>132</v>
      </c>
      <c r="E972" s="69" t="s">
        <v>2988</v>
      </c>
      <c r="F972" s="69"/>
      <c r="G972" s="69">
        <v>1993.25</v>
      </c>
      <c r="T972" s="69"/>
      <c r="U972" s="69"/>
      <c r="AR972" s="94">
        <f t="shared" si="118"/>
        <v>1993.25</v>
      </c>
      <c r="AS972" s="69">
        <v>1335.35</v>
      </c>
      <c r="AT972" s="69">
        <v>177.65</v>
      </c>
      <c r="AU972" s="69">
        <v>480.25</v>
      </c>
      <c r="BC972" s="69"/>
      <c r="BD972" s="69"/>
      <c r="CD972" s="94">
        <f t="shared" si="117"/>
        <v>1993.25</v>
      </c>
      <c r="CE972" s="73">
        <f t="shared" si="119"/>
        <v>0</v>
      </c>
      <c r="CF972" s="75">
        <f t="shared" si="120"/>
        <v>5965</v>
      </c>
      <c r="CG972" s="69" t="str">
        <f t="shared" si="120"/>
        <v>صيدلة اكلينيكى</v>
      </c>
    </row>
    <row r="973" spans="2:85" x14ac:dyDescent="0.25">
      <c r="B973" s="82">
        <v>10214</v>
      </c>
      <c r="C973" s="78">
        <v>5966</v>
      </c>
      <c r="D973" s="69" t="s">
        <v>132</v>
      </c>
      <c r="E973" s="69" t="s">
        <v>2988</v>
      </c>
      <c r="F973" s="69"/>
      <c r="G973" s="69">
        <v>762.12</v>
      </c>
      <c r="T973" s="69"/>
      <c r="U973" s="69"/>
      <c r="AR973" s="94">
        <f t="shared" si="118"/>
        <v>762.12</v>
      </c>
      <c r="AS973" s="69">
        <v>509.8</v>
      </c>
      <c r="AT973" s="69">
        <v>68.7</v>
      </c>
      <c r="AU973" s="69">
        <v>183.62</v>
      </c>
      <c r="BC973" s="69"/>
      <c r="BD973" s="69"/>
      <c r="CD973" s="94">
        <f t="shared" si="117"/>
        <v>762.12</v>
      </c>
      <c r="CE973" s="73">
        <f t="shared" si="119"/>
        <v>0</v>
      </c>
      <c r="CF973" s="75">
        <f t="shared" si="120"/>
        <v>5966</v>
      </c>
      <c r="CG973" s="69" t="str">
        <f t="shared" si="120"/>
        <v>صيدلة اكلينيكى</v>
      </c>
    </row>
    <row r="974" spans="2:85" x14ac:dyDescent="0.25">
      <c r="B974" s="82">
        <v>10216</v>
      </c>
      <c r="C974" s="78">
        <v>5967</v>
      </c>
      <c r="D974" s="69" t="s">
        <v>132</v>
      </c>
      <c r="E974" s="69" t="s">
        <v>2988</v>
      </c>
      <c r="F974" s="69"/>
      <c r="G974" s="69">
        <v>1517.25</v>
      </c>
      <c r="T974" s="69"/>
      <c r="U974" s="69"/>
      <c r="AR974" s="94">
        <f t="shared" si="118"/>
        <v>1517.25</v>
      </c>
      <c r="AS974" s="69">
        <v>1329.77</v>
      </c>
      <c r="AT974" s="69">
        <f>150+9.23</f>
        <v>159.22999999999999</v>
      </c>
      <c r="AU974" s="69">
        <v>28.25</v>
      </c>
      <c r="BC974" s="69"/>
      <c r="BD974" s="69"/>
      <c r="CD974" s="94">
        <f t="shared" si="117"/>
        <v>1517.25</v>
      </c>
      <c r="CE974" s="73">
        <f t="shared" si="119"/>
        <v>0</v>
      </c>
      <c r="CF974" s="75">
        <f t="shared" si="120"/>
        <v>5967</v>
      </c>
      <c r="CG974" s="69" t="str">
        <f t="shared" si="120"/>
        <v>صيدلة اكلينيكى</v>
      </c>
    </row>
    <row r="975" spans="2:85" x14ac:dyDescent="0.25">
      <c r="B975" s="82">
        <v>10212</v>
      </c>
      <c r="C975" s="78">
        <v>5968</v>
      </c>
      <c r="D975" s="69" t="s">
        <v>132</v>
      </c>
      <c r="E975" s="69" t="s">
        <v>2988</v>
      </c>
      <c r="F975" s="69"/>
      <c r="G975" s="69">
        <v>250</v>
      </c>
      <c r="T975" s="69"/>
      <c r="U975" s="69"/>
      <c r="AR975" s="94">
        <f t="shared" si="118"/>
        <v>250</v>
      </c>
      <c r="AS975" s="69">
        <v>223.8</v>
      </c>
      <c r="AT975" s="69">
        <v>26.2</v>
      </c>
      <c r="BC975" s="69"/>
      <c r="BD975" s="69"/>
      <c r="CD975" s="94">
        <f t="shared" si="117"/>
        <v>250</v>
      </c>
      <c r="CE975" s="73">
        <f t="shared" si="119"/>
        <v>0</v>
      </c>
      <c r="CF975" s="75">
        <f t="shared" si="120"/>
        <v>5968</v>
      </c>
      <c r="CG975" s="69" t="str">
        <f t="shared" si="120"/>
        <v>صيدلة اكلينيكى</v>
      </c>
    </row>
    <row r="976" spans="2:85" x14ac:dyDescent="0.25">
      <c r="B976" s="82">
        <v>10219</v>
      </c>
      <c r="C976" s="78">
        <v>5969</v>
      </c>
      <c r="D976" s="69" t="s">
        <v>132</v>
      </c>
      <c r="E976" s="69" t="s">
        <v>2989</v>
      </c>
      <c r="F976" s="69"/>
      <c r="G976" s="69">
        <v>12276.09</v>
      </c>
      <c r="T976" s="69"/>
      <c r="U976" s="69"/>
      <c r="AR976" s="94">
        <f t="shared" si="118"/>
        <v>12276.09</v>
      </c>
      <c r="AS976" s="69">
        <v>8222.25</v>
      </c>
      <c r="AT976" s="69">
        <v>1096.05</v>
      </c>
      <c r="AU976" s="69">
        <v>2957.79</v>
      </c>
      <c r="BC976" s="69"/>
      <c r="BD976" s="69"/>
      <c r="CD976" s="94">
        <f t="shared" si="117"/>
        <v>12276.09</v>
      </c>
      <c r="CE976" s="73">
        <f t="shared" si="119"/>
        <v>0</v>
      </c>
      <c r="CF976" s="75">
        <f t="shared" si="120"/>
        <v>5969</v>
      </c>
      <c r="CG976" s="69" t="str">
        <f t="shared" si="120"/>
        <v>صيدلة اكلينيكى</v>
      </c>
    </row>
    <row r="977" spans="2:85" x14ac:dyDescent="0.25">
      <c r="B977" s="82">
        <v>10217</v>
      </c>
      <c r="C977" s="78">
        <v>5970</v>
      </c>
      <c r="D977" s="69" t="s">
        <v>132</v>
      </c>
      <c r="E977" s="69" t="s">
        <v>2989</v>
      </c>
      <c r="F977" s="69"/>
      <c r="G977" s="69">
        <v>4432.04</v>
      </c>
      <c r="T977" s="69"/>
      <c r="U977" s="69"/>
      <c r="AR977" s="94">
        <f t="shared" si="118"/>
        <v>4432.04</v>
      </c>
      <c r="AS977" s="69">
        <v>2968</v>
      </c>
      <c r="AT977" s="69">
        <v>396.2</v>
      </c>
      <c r="AU977" s="69">
        <v>1067.8399999999999</v>
      </c>
      <c r="BC977" s="69"/>
      <c r="BD977" s="69"/>
      <c r="CD977" s="94">
        <f t="shared" si="117"/>
        <v>4432.04</v>
      </c>
      <c r="CE977" s="73">
        <f t="shared" si="119"/>
        <v>0</v>
      </c>
      <c r="CF977" s="75">
        <f t="shared" si="120"/>
        <v>5970</v>
      </c>
      <c r="CG977" s="69" t="str">
        <f t="shared" si="120"/>
        <v>صيدلة اكلينيكى</v>
      </c>
    </row>
    <row r="978" spans="2:85" x14ac:dyDescent="0.25">
      <c r="B978" s="82">
        <v>10218</v>
      </c>
      <c r="C978" s="78">
        <v>5971</v>
      </c>
      <c r="D978" s="69" t="s">
        <v>132</v>
      </c>
      <c r="E978" s="69" t="s">
        <v>2989</v>
      </c>
      <c r="F978" s="69"/>
      <c r="G978" s="69">
        <v>2004.97</v>
      </c>
      <c r="T978" s="69"/>
      <c r="U978" s="69"/>
      <c r="AR978" s="94">
        <f t="shared" si="118"/>
        <v>2004.97</v>
      </c>
      <c r="AS978" s="69">
        <v>1342.55</v>
      </c>
      <c r="AT978" s="69">
        <v>179.35</v>
      </c>
      <c r="AU978" s="69">
        <v>483.07</v>
      </c>
      <c r="BC978" s="69"/>
      <c r="BD978" s="69"/>
      <c r="CD978" s="94">
        <f t="shared" si="117"/>
        <v>2004.9699999999998</v>
      </c>
      <c r="CE978" s="73">
        <f t="shared" si="119"/>
        <v>0</v>
      </c>
      <c r="CF978" s="75">
        <f t="shared" si="120"/>
        <v>5971</v>
      </c>
      <c r="CG978" s="69" t="str">
        <f t="shared" si="120"/>
        <v>صيدلة اكلينيكى</v>
      </c>
    </row>
    <row r="979" spans="2:85" x14ac:dyDescent="0.25">
      <c r="B979" s="82">
        <v>10220</v>
      </c>
      <c r="C979" s="78">
        <v>5972</v>
      </c>
      <c r="D979" s="69" t="s">
        <v>132</v>
      </c>
      <c r="E979" s="69" t="s">
        <v>2989</v>
      </c>
      <c r="F979" s="69"/>
      <c r="G979" s="69">
        <v>3597.09</v>
      </c>
      <c r="T979" s="69"/>
      <c r="U979" s="69"/>
      <c r="AR979" s="94">
        <f t="shared" si="118"/>
        <v>3597.09</v>
      </c>
      <c r="AS979" s="69">
        <v>2788.5</v>
      </c>
      <c r="AT979" s="69">
        <f>207+16.8</f>
        <v>223.8</v>
      </c>
      <c r="AU979" s="69">
        <v>584.79</v>
      </c>
      <c r="BC979" s="69"/>
      <c r="BD979" s="69"/>
      <c r="CD979" s="94">
        <f t="shared" si="117"/>
        <v>3597.09</v>
      </c>
      <c r="CE979" s="73">
        <f t="shared" si="119"/>
        <v>0</v>
      </c>
      <c r="CF979" s="75">
        <f t="shared" si="120"/>
        <v>5972</v>
      </c>
      <c r="CG979" s="69" t="str">
        <f t="shared" si="120"/>
        <v>صيدلة اكلينيكى</v>
      </c>
    </row>
    <row r="980" spans="2:85" x14ac:dyDescent="0.25">
      <c r="B980" s="82">
        <v>10366</v>
      </c>
      <c r="C980" s="78">
        <v>5973</v>
      </c>
      <c r="D980" s="69" t="s">
        <v>130</v>
      </c>
      <c r="E980" s="69" t="s">
        <v>2990</v>
      </c>
      <c r="F980" s="69"/>
      <c r="G980" s="69">
        <v>175.86</v>
      </c>
      <c r="T980" s="69"/>
      <c r="U980" s="69"/>
      <c r="AR980" s="94">
        <f t="shared" si="118"/>
        <v>175.86</v>
      </c>
      <c r="AS980" s="69">
        <v>113.4</v>
      </c>
      <c r="AT980" s="69">
        <v>12.6</v>
      </c>
      <c r="AU980" s="69">
        <v>42.36</v>
      </c>
      <c r="AV980" s="69">
        <v>7.5</v>
      </c>
      <c r="BC980" s="69"/>
      <c r="BD980" s="69"/>
      <c r="CD980" s="94">
        <f t="shared" si="117"/>
        <v>175.86</v>
      </c>
      <c r="CE980" s="73">
        <f t="shared" si="119"/>
        <v>0</v>
      </c>
      <c r="CF980" s="75">
        <f t="shared" si="120"/>
        <v>5973</v>
      </c>
      <c r="CG980" s="69" t="str">
        <f t="shared" si="120"/>
        <v>خ ت طب</v>
      </c>
    </row>
    <row r="981" spans="2:85" x14ac:dyDescent="0.25">
      <c r="B981" s="82">
        <v>10365</v>
      </c>
      <c r="C981" s="78">
        <v>5974</v>
      </c>
      <c r="D981" s="69" t="s">
        <v>130</v>
      </c>
      <c r="E981" s="69" t="s">
        <v>2991</v>
      </c>
      <c r="F981" s="69"/>
      <c r="G981" s="69">
        <v>58.62</v>
      </c>
      <c r="T981" s="69"/>
      <c r="U981" s="69"/>
      <c r="AR981" s="94">
        <f t="shared" si="118"/>
        <v>58.62</v>
      </c>
      <c r="AS981" s="69">
        <v>33.6</v>
      </c>
      <c r="AT981" s="69">
        <v>8.4</v>
      </c>
      <c r="AU981" s="69">
        <v>14.12</v>
      </c>
      <c r="AV981" s="69">
        <v>2.5</v>
      </c>
      <c r="BC981" s="69"/>
      <c r="BD981" s="69"/>
      <c r="CD981" s="94">
        <f t="shared" si="117"/>
        <v>58.62</v>
      </c>
      <c r="CE981" s="73">
        <f t="shared" si="119"/>
        <v>0</v>
      </c>
      <c r="CF981" s="75">
        <f t="shared" si="120"/>
        <v>5974</v>
      </c>
      <c r="CG981" s="69" t="str">
        <f t="shared" si="120"/>
        <v>خ ت طب</v>
      </c>
    </row>
    <row r="982" spans="2:85" x14ac:dyDescent="0.25">
      <c r="B982" s="82">
        <v>10364</v>
      </c>
      <c r="C982" s="78">
        <v>5975</v>
      </c>
      <c r="D982" s="69" t="s">
        <v>130</v>
      </c>
      <c r="E982" s="69" t="str">
        <f>+E980</f>
        <v>مكافاه رؤؤساء اقسام مختلفه</v>
      </c>
      <c r="F982" s="69"/>
      <c r="G982" s="69">
        <v>812.06</v>
      </c>
      <c r="T982" s="69"/>
      <c r="U982" s="69"/>
      <c r="AR982" s="94">
        <f t="shared" si="118"/>
        <v>812.06</v>
      </c>
      <c r="AS982" s="69">
        <v>496.08</v>
      </c>
      <c r="AT982" s="69">
        <v>97.42</v>
      </c>
      <c r="AU982" s="69">
        <v>183.56</v>
      </c>
      <c r="AV982" s="69">
        <v>35</v>
      </c>
      <c r="BC982" s="69"/>
      <c r="BD982" s="69"/>
      <c r="CD982" s="94">
        <f t="shared" si="117"/>
        <v>812.06</v>
      </c>
      <c r="CE982" s="73">
        <f t="shared" si="119"/>
        <v>0</v>
      </c>
      <c r="CF982" s="75">
        <f t="shared" si="120"/>
        <v>5975</v>
      </c>
      <c r="CG982" s="69" t="str">
        <f t="shared" si="120"/>
        <v>خ ت طب</v>
      </c>
    </row>
    <row r="983" spans="2:85" x14ac:dyDescent="0.25">
      <c r="B983" s="82">
        <v>10363</v>
      </c>
      <c r="C983" s="78">
        <v>5976</v>
      </c>
      <c r="D983" s="69" t="s">
        <v>130</v>
      </c>
      <c r="E983" s="69" t="s">
        <v>490</v>
      </c>
      <c r="F983" s="69"/>
      <c r="G983" s="69">
        <v>93.8</v>
      </c>
      <c r="T983" s="69"/>
      <c r="U983" s="69"/>
      <c r="AR983" s="94">
        <f t="shared" si="118"/>
        <v>93.8</v>
      </c>
      <c r="AS983" s="69">
        <v>58.8</v>
      </c>
      <c r="AT983" s="69">
        <v>8.4</v>
      </c>
      <c r="AU983" s="69">
        <v>22.6</v>
      </c>
      <c r="AV983" s="69">
        <v>4</v>
      </c>
      <c r="BC983" s="69"/>
      <c r="BD983" s="69"/>
      <c r="CD983" s="94">
        <f t="shared" si="117"/>
        <v>93.800000000000011</v>
      </c>
      <c r="CE983" s="73">
        <f t="shared" si="119"/>
        <v>0</v>
      </c>
      <c r="CF983" s="75">
        <f t="shared" si="120"/>
        <v>5976</v>
      </c>
      <c r="CG983" s="69" t="str">
        <f t="shared" si="120"/>
        <v>خ ت طب</v>
      </c>
    </row>
    <row r="984" spans="2:85" x14ac:dyDescent="0.25">
      <c r="B984" s="82">
        <v>10361</v>
      </c>
      <c r="C984" s="78">
        <v>5977</v>
      </c>
      <c r="D984" s="69" t="s">
        <v>130</v>
      </c>
      <c r="E984" s="69" t="s">
        <v>494</v>
      </c>
      <c r="F984" s="69"/>
      <c r="G984" s="69">
        <v>373.99</v>
      </c>
      <c r="T984" s="69"/>
      <c r="U984" s="69"/>
      <c r="AR984" s="94">
        <f t="shared" si="118"/>
        <v>373.99</v>
      </c>
      <c r="AS984" s="69">
        <v>246.69</v>
      </c>
      <c r="AT984" s="69">
        <v>38.76</v>
      </c>
      <c r="AU984" s="69">
        <v>72.040000000000006</v>
      </c>
      <c r="AV984" s="69">
        <v>16.5</v>
      </c>
      <c r="BC984" s="69"/>
      <c r="BD984" s="69"/>
      <c r="CD984" s="94">
        <f t="shared" si="117"/>
        <v>373.99</v>
      </c>
      <c r="CE984" s="73">
        <f t="shared" si="119"/>
        <v>0</v>
      </c>
      <c r="CF984" s="75">
        <f t="shared" si="120"/>
        <v>5977</v>
      </c>
      <c r="CG984" s="69" t="str">
        <f t="shared" si="120"/>
        <v>خ ت طب</v>
      </c>
    </row>
    <row r="985" spans="2:85" x14ac:dyDescent="0.25">
      <c r="B985" s="82">
        <v>10360</v>
      </c>
      <c r="C985" s="78">
        <v>5978</v>
      </c>
      <c r="D985" s="69" t="s">
        <v>130</v>
      </c>
      <c r="E985" s="69" t="s">
        <v>860</v>
      </c>
      <c r="F985" s="69"/>
      <c r="G985" s="69">
        <v>175.88</v>
      </c>
      <c r="T985" s="69"/>
      <c r="U985" s="69"/>
      <c r="AR985" s="94">
        <f t="shared" si="118"/>
        <v>175.88</v>
      </c>
      <c r="AS985" s="69">
        <v>112.95</v>
      </c>
      <c r="AT985" s="69">
        <v>13.05</v>
      </c>
      <c r="AU985" s="69">
        <v>42.38</v>
      </c>
      <c r="AV985" s="69">
        <v>7.5</v>
      </c>
      <c r="BC985" s="69"/>
      <c r="BD985" s="69"/>
      <c r="CD985" s="94">
        <f t="shared" si="117"/>
        <v>175.88</v>
      </c>
      <c r="CE985" s="73">
        <f t="shared" si="119"/>
        <v>0</v>
      </c>
      <c r="CF985" s="75">
        <f t="shared" si="120"/>
        <v>5978</v>
      </c>
      <c r="CG985" s="69" t="str">
        <f t="shared" si="120"/>
        <v>خ ت طب</v>
      </c>
    </row>
    <row r="986" spans="2:85" x14ac:dyDescent="0.25">
      <c r="B986" s="82">
        <v>10359</v>
      </c>
      <c r="C986" s="78">
        <v>5979</v>
      </c>
      <c r="D986" s="69" t="s">
        <v>130</v>
      </c>
      <c r="E986" s="69" t="s">
        <v>2992</v>
      </c>
      <c r="F986" s="69"/>
      <c r="G986" s="69">
        <v>58.62</v>
      </c>
      <c r="T986" s="69"/>
      <c r="U986" s="69"/>
      <c r="AR986" s="94">
        <f t="shared" si="118"/>
        <v>58.62</v>
      </c>
      <c r="AS986" s="69">
        <v>35.700000000000003</v>
      </c>
      <c r="AT986" s="69">
        <v>6.3</v>
      </c>
      <c r="AU986" s="69">
        <v>14.12</v>
      </c>
      <c r="AV986" s="69">
        <v>2.5</v>
      </c>
      <c r="BC986" s="69"/>
      <c r="BD986" s="69"/>
      <c r="CD986" s="94">
        <f t="shared" si="117"/>
        <v>58.62</v>
      </c>
      <c r="CE986" s="73">
        <f t="shared" si="119"/>
        <v>0</v>
      </c>
      <c r="CF986" s="75">
        <f t="shared" si="120"/>
        <v>5979</v>
      </c>
      <c r="CG986" s="69" t="str">
        <f t="shared" si="120"/>
        <v>خ ت طب</v>
      </c>
    </row>
    <row r="987" spans="2:85" x14ac:dyDescent="0.25">
      <c r="B987" s="82">
        <v>10358</v>
      </c>
      <c r="C987" s="78">
        <v>5980</v>
      </c>
      <c r="D987" s="69" t="s">
        <v>130</v>
      </c>
      <c r="E987" s="69" t="s">
        <v>2993</v>
      </c>
      <c r="F987" s="69"/>
      <c r="G987" s="69">
        <v>175.88</v>
      </c>
      <c r="T987" s="69"/>
      <c r="U987" s="69"/>
      <c r="AR987" s="94">
        <f t="shared" si="118"/>
        <v>175.88</v>
      </c>
      <c r="AS987" s="69">
        <v>106.68</v>
      </c>
      <c r="AT987" s="69">
        <v>19.32</v>
      </c>
      <c r="AU987" s="69">
        <v>42.38</v>
      </c>
      <c r="AV987" s="69">
        <v>7.5</v>
      </c>
      <c r="BC987" s="69"/>
      <c r="BD987" s="69"/>
      <c r="CD987" s="94">
        <f t="shared" si="117"/>
        <v>175.88</v>
      </c>
      <c r="CE987" s="73">
        <f t="shared" si="119"/>
        <v>0</v>
      </c>
      <c r="CF987" s="75">
        <f t="shared" si="120"/>
        <v>5980</v>
      </c>
      <c r="CG987" s="69" t="str">
        <f t="shared" si="120"/>
        <v>خ ت طب</v>
      </c>
    </row>
    <row r="988" spans="2:85" x14ac:dyDescent="0.25">
      <c r="B988" s="82">
        <v>10357</v>
      </c>
      <c r="C988" s="78">
        <v>5981</v>
      </c>
      <c r="D988" s="69" t="s">
        <v>130</v>
      </c>
      <c r="E988" s="69" t="s">
        <v>495</v>
      </c>
      <c r="F988" s="69"/>
      <c r="G988" s="69">
        <v>687.08</v>
      </c>
      <c r="T988" s="69"/>
      <c r="U988" s="69"/>
      <c r="AR988" s="94">
        <f t="shared" si="118"/>
        <v>687.08</v>
      </c>
      <c r="AS988" s="69">
        <v>460.66</v>
      </c>
      <c r="AT988" s="69">
        <v>31.58</v>
      </c>
      <c r="AU988" s="69">
        <v>165.54</v>
      </c>
      <c r="AV988" s="69">
        <v>29.3</v>
      </c>
      <c r="BC988" s="69"/>
      <c r="BD988" s="69"/>
      <c r="CD988" s="94">
        <f t="shared" si="117"/>
        <v>687.07999999999993</v>
      </c>
      <c r="CE988" s="73">
        <f t="shared" si="119"/>
        <v>0</v>
      </c>
      <c r="CF988" s="75">
        <f t="shared" si="120"/>
        <v>5981</v>
      </c>
      <c r="CG988" s="69" t="str">
        <f t="shared" si="120"/>
        <v>خ ت طب</v>
      </c>
    </row>
    <row r="989" spans="2:85" x14ac:dyDescent="0.25">
      <c r="B989" s="82">
        <v>10356</v>
      </c>
      <c r="C989" s="78">
        <v>5982</v>
      </c>
      <c r="D989" s="69" t="s">
        <v>130</v>
      </c>
      <c r="E989" s="69" t="s">
        <v>495</v>
      </c>
      <c r="F989" s="69"/>
      <c r="G989" s="69">
        <v>515.91</v>
      </c>
      <c r="T989" s="69"/>
      <c r="U989" s="69"/>
      <c r="AR989" s="94">
        <f t="shared" si="118"/>
        <v>515.91</v>
      </c>
      <c r="AS989" s="69">
        <v>313.35000000000002</v>
      </c>
      <c r="AT989" s="69">
        <v>56.25</v>
      </c>
      <c r="AU989" s="69">
        <v>124.31</v>
      </c>
      <c r="AV989" s="69">
        <v>22</v>
      </c>
      <c r="BC989" s="69"/>
      <c r="BD989" s="69"/>
      <c r="CD989" s="94">
        <f t="shared" si="117"/>
        <v>515.91000000000008</v>
      </c>
      <c r="CE989" s="73">
        <f t="shared" si="119"/>
        <v>0</v>
      </c>
      <c r="CF989" s="75">
        <f t="shared" si="120"/>
        <v>5982</v>
      </c>
      <c r="CG989" s="69" t="str">
        <f t="shared" si="120"/>
        <v>خ ت طب</v>
      </c>
    </row>
    <row r="990" spans="2:85" x14ac:dyDescent="0.25">
      <c r="B990" s="82">
        <v>10355</v>
      </c>
      <c r="C990" s="78">
        <v>5983</v>
      </c>
      <c r="D990" s="69" t="s">
        <v>130</v>
      </c>
      <c r="E990" s="69" t="s">
        <v>499</v>
      </c>
      <c r="F990" s="69"/>
      <c r="G990" s="69">
        <v>140.69999999999999</v>
      </c>
      <c r="T990" s="69"/>
      <c r="U990" s="69"/>
      <c r="AR990" s="94">
        <f t="shared" si="118"/>
        <v>140.69999999999999</v>
      </c>
      <c r="AS990" s="69">
        <v>92.82</v>
      </c>
      <c r="AT990" s="69">
        <v>7.98</v>
      </c>
      <c r="AU990" s="69">
        <v>33.9</v>
      </c>
      <c r="AV990" s="69">
        <v>6</v>
      </c>
      <c r="BC990" s="69"/>
      <c r="BD990" s="69"/>
      <c r="CD990" s="94">
        <f t="shared" si="117"/>
        <v>140.69999999999999</v>
      </c>
      <c r="CE990" s="73">
        <f t="shared" si="119"/>
        <v>0</v>
      </c>
      <c r="CF990" s="75">
        <f t="shared" si="120"/>
        <v>5983</v>
      </c>
      <c r="CG990" s="69" t="str">
        <f t="shared" si="120"/>
        <v>خ ت طب</v>
      </c>
    </row>
    <row r="991" spans="2:85" x14ac:dyDescent="0.25">
      <c r="B991" s="82">
        <v>10354</v>
      </c>
      <c r="C991" s="78">
        <v>5984</v>
      </c>
      <c r="D991" s="69" t="s">
        <v>130</v>
      </c>
      <c r="E991" s="69" t="s">
        <v>2994</v>
      </c>
      <c r="F991" s="69"/>
      <c r="G991" s="69">
        <v>311.12</v>
      </c>
      <c r="T991" s="69"/>
      <c r="U991" s="69"/>
      <c r="AR991" s="94">
        <f t="shared" si="118"/>
        <v>311.12</v>
      </c>
      <c r="AS991" s="69">
        <v>195.32</v>
      </c>
      <c r="AT991" s="69">
        <v>27.57</v>
      </c>
      <c r="AU991" s="69">
        <v>74.95</v>
      </c>
      <c r="AV991" s="69">
        <v>13.28</v>
      </c>
      <c r="BC991" s="69"/>
      <c r="BD991" s="69"/>
      <c r="CD991" s="94">
        <f t="shared" si="117"/>
        <v>311.11999999999995</v>
      </c>
      <c r="CE991" s="73">
        <f t="shared" si="119"/>
        <v>0</v>
      </c>
      <c r="CF991" s="75">
        <f t="shared" si="120"/>
        <v>5984</v>
      </c>
      <c r="CG991" s="69" t="str">
        <f t="shared" si="120"/>
        <v>خ ت طب</v>
      </c>
    </row>
    <row r="992" spans="2:85" x14ac:dyDescent="0.25">
      <c r="B992" s="82">
        <v>10353</v>
      </c>
      <c r="C992" s="78">
        <v>5985</v>
      </c>
      <c r="D992" s="69" t="s">
        <v>130</v>
      </c>
      <c r="E992" s="69" t="s">
        <v>863</v>
      </c>
      <c r="F992" s="69"/>
      <c r="G992" s="69">
        <v>515.9</v>
      </c>
      <c r="T992" s="69"/>
      <c r="U992" s="69"/>
      <c r="AR992" s="94">
        <f t="shared" si="118"/>
        <v>515.9</v>
      </c>
      <c r="AS992" s="69">
        <v>345.24</v>
      </c>
      <c r="AT992" s="69">
        <v>24.36</v>
      </c>
      <c r="AU992" s="69">
        <v>124.3</v>
      </c>
      <c r="AV992" s="69">
        <v>22</v>
      </c>
      <c r="BC992" s="69"/>
      <c r="BD992" s="69"/>
      <c r="CD992" s="94">
        <f t="shared" si="117"/>
        <v>515.90000000000009</v>
      </c>
      <c r="CE992" s="73">
        <f t="shared" si="119"/>
        <v>0</v>
      </c>
      <c r="CF992" s="75">
        <f t="shared" si="120"/>
        <v>5985</v>
      </c>
      <c r="CG992" s="69" t="str">
        <f t="shared" si="120"/>
        <v>خ ت طب</v>
      </c>
    </row>
    <row r="993" spans="2:85" x14ac:dyDescent="0.25">
      <c r="B993" s="82">
        <v>10352</v>
      </c>
      <c r="C993" s="78">
        <v>5986</v>
      </c>
      <c r="D993" s="69" t="s">
        <v>130</v>
      </c>
      <c r="E993" s="69" t="str">
        <f>+E992</f>
        <v>مكافاه قسم شؤن خريجين</v>
      </c>
      <c r="F993" s="69"/>
      <c r="G993" s="69">
        <v>134.84</v>
      </c>
      <c r="T993" s="69"/>
      <c r="U993" s="69"/>
      <c r="AR993" s="94">
        <f t="shared" si="118"/>
        <v>134.84</v>
      </c>
      <c r="AS993" s="69">
        <v>83.7</v>
      </c>
      <c r="AT993" s="69">
        <v>12.9</v>
      </c>
      <c r="AU993" s="69">
        <v>32.49</v>
      </c>
      <c r="AV993" s="69">
        <v>5.75</v>
      </c>
      <c r="BC993" s="69"/>
      <c r="BD993" s="69"/>
      <c r="CD993" s="94">
        <f t="shared" si="117"/>
        <v>134.84</v>
      </c>
      <c r="CE993" s="73">
        <f t="shared" si="119"/>
        <v>0</v>
      </c>
      <c r="CF993" s="75">
        <f t="shared" si="120"/>
        <v>5986</v>
      </c>
      <c r="CG993" s="69" t="str">
        <f t="shared" si="120"/>
        <v>خ ت طب</v>
      </c>
    </row>
    <row r="994" spans="2:85" x14ac:dyDescent="0.25">
      <c r="B994" s="82">
        <v>10351</v>
      </c>
      <c r="C994" s="78">
        <v>5987</v>
      </c>
      <c r="D994" s="69" t="s">
        <v>130</v>
      </c>
      <c r="E994" s="69" t="s">
        <v>857</v>
      </c>
      <c r="F994" s="69"/>
      <c r="G994" s="69">
        <v>358.78</v>
      </c>
      <c r="T994" s="69"/>
      <c r="U994" s="69"/>
      <c r="AR994" s="94">
        <f t="shared" si="118"/>
        <v>358.78</v>
      </c>
      <c r="AS994" s="69">
        <v>240.53</v>
      </c>
      <c r="AT994" s="69">
        <v>16.510000000000002</v>
      </c>
      <c r="AU994" s="69">
        <v>86.44</v>
      </c>
      <c r="AV994" s="69">
        <v>15.3</v>
      </c>
      <c r="BC994" s="69"/>
      <c r="BD994" s="69"/>
      <c r="CD994" s="94">
        <f t="shared" si="117"/>
        <v>358.78000000000003</v>
      </c>
      <c r="CE994" s="73">
        <f t="shared" si="119"/>
        <v>0</v>
      </c>
      <c r="CF994" s="75">
        <f t="shared" si="120"/>
        <v>5987</v>
      </c>
      <c r="CG994" s="69" t="str">
        <f t="shared" si="120"/>
        <v>خ ت طب</v>
      </c>
    </row>
    <row r="995" spans="2:85" x14ac:dyDescent="0.25">
      <c r="B995" s="82">
        <v>10350</v>
      </c>
      <c r="C995" s="78">
        <v>5988</v>
      </c>
      <c r="D995" s="69" t="s">
        <v>130</v>
      </c>
      <c r="E995" s="69" t="s">
        <v>485</v>
      </c>
      <c r="F995" s="69"/>
      <c r="G995" s="69">
        <v>46.9</v>
      </c>
      <c r="T995" s="69"/>
      <c r="U995" s="69"/>
      <c r="AR995" s="94">
        <f t="shared" si="118"/>
        <v>46.9</v>
      </c>
      <c r="AS995" s="69">
        <v>32.76</v>
      </c>
      <c r="AT995" s="69">
        <v>0.84</v>
      </c>
      <c r="AU995" s="69">
        <v>11.3</v>
      </c>
      <c r="AV995" s="69">
        <v>2</v>
      </c>
      <c r="BC995" s="69"/>
      <c r="BD995" s="69"/>
      <c r="CD995" s="94">
        <f t="shared" si="117"/>
        <v>46.900000000000006</v>
      </c>
      <c r="CE995" s="73">
        <f t="shared" si="119"/>
        <v>0</v>
      </c>
      <c r="CF995" s="75">
        <f t="shared" si="120"/>
        <v>5988</v>
      </c>
      <c r="CG995" s="69" t="str">
        <f t="shared" si="120"/>
        <v>خ ت طب</v>
      </c>
    </row>
    <row r="996" spans="2:85" x14ac:dyDescent="0.25">
      <c r="B996" s="82">
        <v>10349</v>
      </c>
      <c r="C996" s="78">
        <v>5989</v>
      </c>
      <c r="D996" s="69" t="s">
        <v>130</v>
      </c>
      <c r="E996" s="69" t="s">
        <v>485</v>
      </c>
      <c r="F996" s="69"/>
      <c r="G996" s="69">
        <v>211.05</v>
      </c>
      <c r="T996" s="69"/>
      <c r="U996" s="69"/>
      <c r="AR996" s="94">
        <f t="shared" si="118"/>
        <v>211.05</v>
      </c>
      <c r="AS996" s="69">
        <v>131.84</v>
      </c>
      <c r="AT996" s="69">
        <v>19.36</v>
      </c>
      <c r="AU996" s="69">
        <v>50.85</v>
      </c>
      <c r="AV996" s="69">
        <v>9</v>
      </c>
      <c r="BC996" s="69"/>
      <c r="BD996" s="69"/>
      <c r="CD996" s="94">
        <f t="shared" si="117"/>
        <v>211.04999999999998</v>
      </c>
      <c r="CE996" s="73">
        <f t="shared" si="119"/>
        <v>0</v>
      </c>
      <c r="CF996" s="75">
        <f t="shared" si="120"/>
        <v>5989</v>
      </c>
      <c r="CG996" s="69" t="str">
        <f t="shared" si="120"/>
        <v>خ ت طب</v>
      </c>
    </row>
    <row r="997" spans="2:85" x14ac:dyDescent="0.25">
      <c r="B997" s="82">
        <v>10348</v>
      </c>
      <c r="C997" s="78">
        <v>5990</v>
      </c>
      <c r="D997" s="69" t="s">
        <v>130</v>
      </c>
      <c r="E997" s="69" t="s">
        <v>492</v>
      </c>
      <c r="F997" s="69"/>
      <c r="G997" s="69">
        <v>87.94</v>
      </c>
      <c r="T997" s="69"/>
      <c r="U997" s="69"/>
      <c r="AR997" s="94">
        <f t="shared" si="118"/>
        <v>87.94</v>
      </c>
      <c r="AS997" s="69">
        <v>53.46</v>
      </c>
      <c r="AT997" s="69">
        <v>9.5399999999999991</v>
      </c>
      <c r="AU997" s="69">
        <v>21.19</v>
      </c>
      <c r="AV997" s="69">
        <v>3.75</v>
      </c>
      <c r="BC997" s="69"/>
      <c r="BD997" s="69"/>
      <c r="CD997" s="94">
        <f t="shared" si="117"/>
        <v>87.94</v>
      </c>
      <c r="CE997" s="73">
        <f t="shared" si="119"/>
        <v>0</v>
      </c>
      <c r="CF997" s="75">
        <f t="shared" si="120"/>
        <v>5990</v>
      </c>
      <c r="CG997" s="69" t="str">
        <f t="shared" si="120"/>
        <v>خ ت طب</v>
      </c>
    </row>
    <row r="998" spans="2:85" x14ac:dyDescent="0.25">
      <c r="B998" s="82">
        <v>10347</v>
      </c>
      <c r="C998" s="78">
        <v>5991</v>
      </c>
      <c r="D998" s="69" t="s">
        <v>130</v>
      </c>
      <c r="E998" s="69" t="s">
        <v>1028</v>
      </c>
      <c r="F998" s="69"/>
      <c r="G998" s="69">
        <v>314.3</v>
      </c>
      <c r="T998" s="69"/>
      <c r="U998" s="69"/>
      <c r="AR998" s="94">
        <f t="shared" si="118"/>
        <v>314.3</v>
      </c>
      <c r="AS998" s="69">
        <v>204.75</v>
      </c>
      <c r="AT998" s="69">
        <v>17.149999999999999</v>
      </c>
      <c r="AU998" s="69">
        <v>79.099999999999994</v>
      </c>
      <c r="AV998" s="69">
        <v>13.3</v>
      </c>
      <c r="BC998" s="69"/>
      <c r="BD998" s="69"/>
      <c r="CD998" s="94">
        <f t="shared" si="117"/>
        <v>314.3</v>
      </c>
      <c r="CE998" s="73">
        <f t="shared" si="119"/>
        <v>0</v>
      </c>
      <c r="CF998" s="75">
        <f t="shared" si="120"/>
        <v>5991</v>
      </c>
      <c r="CG998" s="69" t="str">
        <f t="shared" si="120"/>
        <v>خ ت طب</v>
      </c>
    </row>
    <row r="999" spans="2:85" x14ac:dyDescent="0.25">
      <c r="B999" s="82">
        <v>10346</v>
      </c>
      <c r="C999" s="78">
        <v>5992</v>
      </c>
      <c r="D999" s="69" t="s">
        <v>130</v>
      </c>
      <c r="E999" s="69" t="s">
        <v>1029</v>
      </c>
      <c r="F999" s="69"/>
      <c r="G999" s="69">
        <v>140.69999999999999</v>
      </c>
      <c r="T999" s="69"/>
      <c r="U999" s="69"/>
      <c r="AR999" s="94">
        <f t="shared" si="118"/>
        <v>140.69999999999999</v>
      </c>
      <c r="AS999" s="69">
        <v>89.04</v>
      </c>
      <c r="AT999" s="69">
        <v>11.76</v>
      </c>
      <c r="AU999" s="69">
        <v>33.9</v>
      </c>
      <c r="AV999" s="69">
        <v>6</v>
      </c>
      <c r="BC999" s="69"/>
      <c r="BD999" s="69"/>
      <c r="CD999" s="94">
        <f t="shared" si="117"/>
        <v>140.70000000000002</v>
      </c>
      <c r="CE999" s="73">
        <f t="shared" si="119"/>
        <v>0</v>
      </c>
      <c r="CF999" s="75">
        <f t="shared" si="120"/>
        <v>5992</v>
      </c>
      <c r="CG999" s="69" t="str">
        <f t="shared" si="120"/>
        <v>خ ت طب</v>
      </c>
    </row>
    <row r="1000" spans="2:85" x14ac:dyDescent="0.25">
      <c r="B1000" s="82">
        <v>10345</v>
      </c>
      <c r="C1000" s="78">
        <v>5993</v>
      </c>
      <c r="D1000" s="69" t="s">
        <v>130</v>
      </c>
      <c r="E1000" s="69" t="s">
        <v>855</v>
      </c>
      <c r="F1000" s="69"/>
      <c r="G1000" s="69">
        <v>164.15</v>
      </c>
      <c r="T1000" s="69"/>
      <c r="U1000" s="69"/>
      <c r="AR1000" s="94">
        <f t="shared" si="118"/>
        <v>164.15</v>
      </c>
      <c r="AS1000" s="69">
        <v>99.92</v>
      </c>
      <c r="AT1000" s="69">
        <v>17.68</v>
      </c>
      <c r="AU1000" s="69">
        <v>39.549999999999997</v>
      </c>
      <c r="AV1000" s="69">
        <v>7</v>
      </c>
      <c r="BC1000" s="69"/>
      <c r="BD1000" s="69"/>
      <c r="CD1000" s="94">
        <f t="shared" si="117"/>
        <v>164.14999999999998</v>
      </c>
      <c r="CE1000" s="73">
        <f t="shared" si="119"/>
        <v>0</v>
      </c>
      <c r="CF1000" s="75">
        <f t="shared" si="120"/>
        <v>5993</v>
      </c>
      <c r="CG1000" s="69" t="str">
        <f t="shared" si="120"/>
        <v>خ ت طب</v>
      </c>
    </row>
    <row r="1001" spans="2:85" x14ac:dyDescent="0.25">
      <c r="B1001" s="82">
        <v>10344</v>
      </c>
      <c r="C1001" s="78">
        <v>5994</v>
      </c>
      <c r="D1001" s="69" t="s">
        <v>130</v>
      </c>
      <c r="E1001" s="69" t="s">
        <v>855</v>
      </c>
      <c r="F1001" s="69"/>
      <c r="G1001" s="69">
        <v>515.9</v>
      </c>
      <c r="T1001" s="69"/>
      <c r="U1001" s="69"/>
      <c r="AR1001" s="94">
        <f t="shared" si="118"/>
        <v>515.9</v>
      </c>
      <c r="AS1001" s="69">
        <v>342.72</v>
      </c>
      <c r="AT1001" s="69">
        <v>26.88</v>
      </c>
      <c r="AU1001" s="69">
        <v>124.3</v>
      </c>
      <c r="AV1001" s="69">
        <v>22</v>
      </c>
      <c r="BC1001" s="69"/>
      <c r="BD1001" s="69"/>
      <c r="CD1001" s="94">
        <f t="shared" si="117"/>
        <v>515.90000000000009</v>
      </c>
      <c r="CE1001" s="73">
        <f t="shared" si="119"/>
        <v>0</v>
      </c>
      <c r="CF1001" s="75">
        <f t="shared" si="120"/>
        <v>5994</v>
      </c>
      <c r="CG1001" s="69" t="str">
        <f t="shared" si="120"/>
        <v>خ ت طب</v>
      </c>
    </row>
    <row r="1002" spans="2:85" x14ac:dyDescent="0.25">
      <c r="B1002" s="82">
        <v>10343</v>
      </c>
      <c r="C1002" s="78">
        <v>5995</v>
      </c>
      <c r="D1002" s="69" t="s">
        <v>130</v>
      </c>
      <c r="E1002" s="69" t="s">
        <v>855</v>
      </c>
      <c r="F1002" s="69"/>
      <c r="G1002" s="69">
        <v>1050.46</v>
      </c>
      <c r="T1002" s="69"/>
      <c r="U1002" s="69"/>
      <c r="AR1002" s="94">
        <f t="shared" ref="AR1002:AR1061" si="121">SUM(G1002:AQ1002)</f>
        <v>1050.46</v>
      </c>
      <c r="AS1002" s="69">
        <v>633.16999999999996</v>
      </c>
      <c r="AT1002" s="69">
        <v>119.39</v>
      </c>
      <c r="AU1002" s="69">
        <v>253.11</v>
      </c>
      <c r="AV1002" s="69">
        <v>44.79</v>
      </c>
      <c r="BC1002" s="69"/>
      <c r="BD1002" s="69"/>
      <c r="CD1002" s="94">
        <f t="shared" si="117"/>
        <v>1050.46</v>
      </c>
      <c r="CE1002" s="73">
        <f t="shared" si="119"/>
        <v>0</v>
      </c>
      <c r="CF1002" s="75">
        <f t="shared" ref="CF1002:CG1033" si="122">+C1002</f>
        <v>5995</v>
      </c>
      <c r="CG1002" s="69" t="str">
        <f t="shared" si="122"/>
        <v>خ ت طب</v>
      </c>
    </row>
    <row r="1003" spans="2:85" x14ac:dyDescent="0.25">
      <c r="B1003" s="82">
        <v>10342</v>
      </c>
      <c r="C1003" s="78">
        <v>5996</v>
      </c>
      <c r="D1003" s="69" t="s">
        <v>130</v>
      </c>
      <c r="E1003" s="69" t="s">
        <v>489</v>
      </c>
      <c r="F1003" s="69"/>
      <c r="G1003" s="69">
        <v>158.29</v>
      </c>
      <c r="T1003" s="69"/>
      <c r="U1003" s="69"/>
      <c r="AR1003" s="94">
        <f t="shared" si="121"/>
        <v>158.29</v>
      </c>
      <c r="AS1003" s="69">
        <v>95.63</v>
      </c>
      <c r="AT1003" s="69">
        <v>17.77</v>
      </c>
      <c r="AU1003" s="69">
        <v>38.14</v>
      </c>
      <c r="AV1003" s="69">
        <v>6.75</v>
      </c>
      <c r="BC1003" s="69"/>
      <c r="BD1003" s="69"/>
      <c r="CD1003" s="94">
        <f t="shared" si="117"/>
        <v>158.29</v>
      </c>
      <c r="CE1003" s="73">
        <f t="shared" si="119"/>
        <v>0</v>
      </c>
      <c r="CF1003" s="75">
        <f t="shared" si="122"/>
        <v>5996</v>
      </c>
      <c r="CG1003" s="69" t="str">
        <f t="shared" si="122"/>
        <v>خ ت طب</v>
      </c>
    </row>
    <row r="1004" spans="2:85" x14ac:dyDescent="0.25">
      <c r="B1004" s="82">
        <v>10341</v>
      </c>
      <c r="C1004" s="78">
        <v>5997</v>
      </c>
      <c r="D1004" s="69" t="s">
        <v>130</v>
      </c>
      <c r="E1004" s="69" t="s">
        <v>1030</v>
      </c>
      <c r="F1004" s="69"/>
      <c r="G1004" s="69">
        <v>515.9</v>
      </c>
      <c r="T1004" s="69"/>
      <c r="U1004" s="69"/>
      <c r="AR1004" s="94">
        <f t="shared" si="121"/>
        <v>515.9</v>
      </c>
      <c r="AS1004" s="69">
        <v>342.72</v>
      </c>
      <c r="AT1004" s="69">
        <v>26.88</v>
      </c>
      <c r="AU1004" s="69">
        <v>124.3</v>
      </c>
      <c r="AV1004" s="69">
        <v>22</v>
      </c>
      <c r="BC1004" s="69"/>
      <c r="BD1004" s="69"/>
      <c r="CD1004" s="94">
        <f t="shared" si="117"/>
        <v>515.90000000000009</v>
      </c>
      <c r="CE1004" s="73">
        <f t="shared" si="119"/>
        <v>0</v>
      </c>
      <c r="CF1004" s="75">
        <f t="shared" si="122"/>
        <v>5997</v>
      </c>
      <c r="CG1004" s="69" t="str">
        <f t="shared" si="122"/>
        <v>خ ت طب</v>
      </c>
    </row>
    <row r="1005" spans="2:85" x14ac:dyDescent="0.25">
      <c r="B1005" s="82">
        <v>10340</v>
      </c>
      <c r="C1005" s="78">
        <v>5998</v>
      </c>
      <c r="D1005" s="69" t="s">
        <v>130</v>
      </c>
      <c r="E1005" s="69" t="s">
        <v>1030</v>
      </c>
      <c r="F1005" s="69"/>
      <c r="G1005" s="69">
        <v>357.62</v>
      </c>
      <c r="T1005" s="69"/>
      <c r="U1005" s="69"/>
      <c r="AR1005" s="94">
        <f t="shared" si="121"/>
        <v>357.62</v>
      </c>
      <c r="AS1005" s="69">
        <v>210.67</v>
      </c>
      <c r="AT1005" s="69">
        <v>30.28</v>
      </c>
      <c r="AU1005" s="69">
        <v>86.17</v>
      </c>
      <c r="AV1005" s="69">
        <v>30.5</v>
      </c>
      <c r="BC1005" s="69"/>
      <c r="BD1005" s="69"/>
      <c r="CD1005" s="94">
        <f t="shared" si="117"/>
        <v>357.62</v>
      </c>
      <c r="CE1005" s="73">
        <f t="shared" si="119"/>
        <v>0</v>
      </c>
      <c r="CF1005" s="75">
        <f t="shared" si="122"/>
        <v>5998</v>
      </c>
      <c r="CG1005" s="69" t="str">
        <f t="shared" si="122"/>
        <v>خ ت طب</v>
      </c>
    </row>
    <row r="1006" spans="2:85" x14ac:dyDescent="0.25">
      <c r="B1006" s="82">
        <v>10339</v>
      </c>
      <c r="C1006" s="78">
        <v>5999</v>
      </c>
      <c r="D1006" s="69" t="s">
        <v>130</v>
      </c>
      <c r="E1006" s="69" t="s">
        <v>858</v>
      </c>
      <c r="F1006" s="69"/>
      <c r="G1006" s="69">
        <v>140.69999999999999</v>
      </c>
      <c r="T1006" s="69"/>
      <c r="U1006" s="69"/>
      <c r="AR1006" s="94">
        <f t="shared" si="121"/>
        <v>140.69999999999999</v>
      </c>
      <c r="AS1006" s="69">
        <v>90.72</v>
      </c>
      <c r="AT1006" s="69">
        <v>10.08</v>
      </c>
      <c r="AU1006" s="69">
        <v>33.9</v>
      </c>
      <c r="AV1006" s="69">
        <v>6</v>
      </c>
      <c r="BC1006" s="69"/>
      <c r="BD1006" s="69"/>
      <c r="CD1006" s="94">
        <f t="shared" si="117"/>
        <v>140.69999999999999</v>
      </c>
      <c r="CE1006" s="73">
        <f t="shared" si="119"/>
        <v>0</v>
      </c>
      <c r="CF1006" s="75">
        <f t="shared" si="122"/>
        <v>5999</v>
      </c>
      <c r="CG1006" s="69" t="str">
        <f t="shared" si="122"/>
        <v>خ ت طب</v>
      </c>
    </row>
    <row r="1007" spans="2:85" x14ac:dyDescent="0.25">
      <c r="B1007" s="82">
        <v>10338</v>
      </c>
      <c r="C1007" s="78">
        <v>6000</v>
      </c>
      <c r="D1007" s="69" t="s">
        <v>130</v>
      </c>
      <c r="E1007" s="69" t="s">
        <v>858</v>
      </c>
      <c r="F1007" s="69"/>
      <c r="G1007" s="69">
        <v>46.9</v>
      </c>
      <c r="T1007" s="69"/>
      <c r="U1007" s="69"/>
      <c r="AR1007" s="94">
        <f t="shared" si="121"/>
        <v>46.9</v>
      </c>
      <c r="AS1007" s="69">
        <v>32.76</v>
      </c>
      <c r="AT1007" s="69">
        <v>0.84</v>
      </c>
      <c r="AU1007" s="69">
        <v>11.3</v>
      </c>
      <c r="AV1007" s="69">
        <v>2</v>
      </c>
      <c r="BC1007" s="69"/>
      <c r="BD1007" s="69"/>
      <c r="CD1007" s="94">
        <f t="shared" si="117"/>
        <v>46.900000000000006</v>
      </c>
      <c r="CE1007" s="73">
        <f t="shared" si="119"/>
        <v>0</v>
      </c>
      <c r="CF1007" s="75">
        <f t="shared" si="122"/>
        <v>6000</v>
      </c>
      <c r="CG1007" s="69" t="str">
        <f t="shared" si="122"/>
        <v>خ ت طب</v>
      </c>
    </row>
    <row r="1008" spans="2:85" x14ac:dyDescent="0.25">
      <c r="B1008" s="82">
        <v>10337</v>
      </c>
      <c r="C1008" s="78">
        <v>6001</v>
      </c>
      <c r="D1008" s="69" t="s">
        <v>130</v>
      </c>
      <c r="E1008" s="69" t="s">
        <v>858</v>
      </c>
      <c r="F1008" s="69"/>
      <c r="G1008" s="69">
        <v>234.5</v>
      </c>
      <c r="T1008" s="69"/>
      <c r="U1008" s="69"/>
      <c r="AR1008" s="94">
        <f t="shared" si="121"/>
        <v>234.5</v>
      </c>
      <c r="AS1008" s="69">
        <v>156.24</v>
      </c>
      <c r="AT1008" s="69">
        <v>11.76</v>
      </c>
      <c r="AU1008" s="69">
        <v>56.5</v>
      </c>
      <c r="AV1008" s="69">
        <v>10</v>
      </c>
      <c r="BC1008" s="69"/>
      <c r="BD1008" s="69"/>
      <c r="CD1008" s="94">
        <f t="shared" si="117"/>
        <v>234.5</v>
      </c>
      <c r="CE1008" s="73">
        <f t="shared" si="119"/>
        <v>0</v>
      </c>
      <c r="CF1008" s="75">
        <f t="shared" si="122"/>
        <v>6001</v>
      </c>
      <c r="CG1008" s="69" t="str">
        <f t="shared" si="122"/>
        <v>خ ت طب</v>
      </c>
    </row>
    <row r="1009" spans="2:85" x14ac:dyDescent="0.25">
      <c r="B1009" s="82">
        <v>10336</v>
      </c>
      <c r="C1009" s="78">
        <v>6002</v>
      </c>
      <c r="D1009" s="69" t="s">
        <v>130</v>
      </c>
      <c r="E1009" s="69" t="s">
        <v>1031</v>
      </c>
      <c r="F1009" s="69"/>
      <c r="G1009" s="69">
        <v>436.75</v>
      </c>
      <c r="T1009" s="69"/>
      <c r="U1009" s="69"/>
      <c r="AR1009" s="94">
        <f t="shared" si="121"/>
        <v>436.75</v>
      </c>
      <c r="AS1009" s="69">
        <v>297.35000000000002</v>
      </c>
      <c r="AT1009" s="69">
        <v>15.55</v>
      </c>
      <c r="AU1009" s="69">
        <v>105.23</v>
      </c>
      <c r="AV1009" s="69">
        <v>18.62</v>
      </c>
      <c r="BC1009" s="69"/>
      <c r="BD1009" s="69"/>
      <c r="CD1009" s="94">
        <f t="shared" si="117"/>
        <v>436.75000000000006</v>
      </c>
      <c r="CE1009" s="73">
        <f t="shared" si="119"/>
        <v>0</v>
      </c>
      <c r="CF1009" s="75">
        <f t="shared" si="122"/>
        <v>6002</v>
      </c>
      <c r="CG1009" s="69" t="str">
        <f t="shared" si="122"/>
        <v>خ ت طب</v>
      </c>
    </row>
    <row r="1010" spans="2:85" x14ac:dyDescent="0.25">
      <c r="B1010" s="82">
        <v>10335</v>
      </c>
      <c r="C1010" s="78">
        <v>6003</v>
      </c>
      <c r="D1010" s="69" t="s">
        <v>130</v>
      </c>
      <c r="E1010" s="69" t="s">
        <v>1031</v>
      </c>
      <c r="F1010" s="69"/>
      <c r="G1010" s="69">
        <v>1084.17</v>
      </c>
      <c r="T1010" s="69"/>
      <c r="U1010" s="69"/>
      <c r="AR1010" s="94">
        <f t="shared" si="121"/>
        <v>1084.17</v>
      </c>
      <c r="AS1010" s="69">
        <v>744.7</v>
      </c>
      <c r="AT1010" s="69">
        <v>121.88</v>
      </c>
      <c r="AU1010" s="69">
        <v>168.52</v>
      </c>
      <c r="AV1010" s="69">
        <v>49.07</v>
      </c>
      <c r="BC1010" s="69"/>
      <c r="BD1010" s="69"/>
      <c r="CD1010" s="94">
        <f t="shared" si="117"/>
        <v>1084.17</v>
      </c>
      <c r="CE1010" s="73">
        <f t="shared" si="119"/>
        <v>0</v>
      </c>
      <c r="CF1010" s="75">
        <f t="shared" si="122"/>
        <v>6003</v>
      </c>
      <c r="CG1010" s="69" t="str">
        <f t="shared" si="122"/>
        <v>خ ت طب</v>
      </c>
    </row>
    <row r="1011" spans="2:85" x14ac:dyDescent="0.25">
      <c r="B1011" s="82">
        <v>10301</v>
      </c>
      <c r="C1011" s="78">
        <v>6004</v>
      </c>
      <c r="D1011" s="69" t="s">
        <v>78</v>
      </c>
      <c r="E1011" s="69" t="s">
        <v>1009</v>
      </c>
      <c r="F1011" s="69"/>
      <c r="G1011" s="69">
        <v>8784.0400000000009</v>
      </c>
      <c r="T1011" s="69"/>
      <c r="U1011" s="69"/>
      <c r="AR1011" s="94">
        <f t="shared" si="121"/>
        <v>8784.0400000000009</v>
      </c>
      <c r="AS1011" s="69">
        <v>5960.17</v>
      </c>
      <c r="AT1011" s="69">
        <v>802.9</v>
      </c>
      <c r="AU1011" s="69">
        <v>2020.97</v>
      </c>
      <c r="BC1011" s="69"/>
      <c r="BD1011" s="69"/>
      <c r="CD1011" s="94">
        <f t="shared" si="117"/>
        <v>8784.0399999999991</v>
      </c>
      <c r="CE1011" s="73">
        <f t="shared" si="119"/>
        <v>0</v>
      </c>
      <c r="CF1011" s="75">
        <f t="shared" si="122"/>
        <v>6004</v>
      </c>
      <c r="CG1011" s="69" t="str">
        <f t="shared" si="122"/>
        <v>برنامج دولى</v>
      </c>
    </row>
    <row r="1012" spans="2:85" x14ac:dyDescent="0.25">
      <c r="B1012" s="82">
        <v>10300</v>
      </c>
      <c r="C1012" s="78">
        <v>6005</v>
      </c>
      <c r="D1012" s="69" t="s">
        <v>78</v>
      </c>
      <c r="E1012" s="69" t="s">
        <v>1009</v>
      </c>
      <c r="F1012" s="69"/>
      <c r="G1012" s="69">
        <v>6331.5</v>
      </c>
      <c r="T1012" s="69"/>
      <c r="U1012" s="69"/>
      <c r="AR1012" s="94">
        <f t="shared" si="121"/>
        <v>6331.5</v>
      </c>
      <c r="AS1012" s="69">
        <v>4228.45</v>
      </c>
      <c r="AT1012" s="69">
        <f>37.55+540</f>
        <v>577.54999999999995</v>
      </c>
      <c r="AU1012" s="69">
        <f>2103.05-37.55-540</f>
        <v>1525.5</v>
      </c>
      <c r="BC1012" s="69"/>
      <c r="BD1012" s="69"/>
      <c r="CD1012" s="94">
        <f t="shared" si="117"/>
        <v>6331.5</v>
      </c>
      <c r="CE1012" s="73">
        <f t="shared" si="119"/>
        <v>0</v>
      </c>
      <c r="CF1012" s="75">
        <f t="shared" si="122"/>
        <v>6005</v>
      </c>
      <c r="CG1012" s="69" t="str">
        <f t="shared" si="122"/>
        <v>برنامج دولى</v>
      </c>
    </row>
    <row r="1013" spans="2:85" x14ac:dyDescent="0.25">
      <c r="B1013" s="82">
        <v>10306</v>
      </c>
      <c r="C1013" s="78">
        <v>6006</v>
      </c>
      <c r="D1013" s="69" t="s">
        <v>78</v>
      </c>
      <c r="E1013" s="69" t="s">
        <v>2995</v>
      </c>
      <c r="F1013" s="69"/>
      <c r="G1013" s="69">
        <v>3376.8</v>
      </c>
      <c r="T1013" s="69"/>
      <c r="U1013" s="69"/>
      <c r="AR1013" s="94">
        <f t="shared" si="121"/>
        <v>3376.8</v>
      </c>
      <c r="AS1013" s="69">
        <v>2256.6999999999998</v>
      </c>
      <c r="AT1013" s="69">
        <v>306.5</v>
      </c>
      <c r="AU1013" s="69">
        <v>813.6</v>
      </c>
      <c r="BC1013" s="69"/>
      <c r="BD1013" s="69"/>
      <c r="CD1013" s="94">
        <f t="shared" si="117"/>
        <v>3376.7999999999997</v>
      </c>
      <c r="CE1013" s="73">
        <f t="shared" si="119"/>
        <v>0</v>
      </c>
      <c r="CF1013" s="75">
        <f t="shared" si="122"/>
        <v>6006</v>
      </c>
      <c r="CG1013" s="69" t="str">
        <f t="shared" si="122"/>
        <v>برنامج دولى</v>
      </c>
    </row>
    <row r="1014" spans="2:85" x14ac:dyDescent="0.25">
      <c r="B1014" s="82">
        <v>10307</v>
      </c>
      <c r="C1014" s="78">
        <v>6007</v>
      </c>
      <c r="D1014" s="69" t="s">
        <v>78</v>
      </c>
      <c r="E1014" s="69" t="s">
        <v>2995</v>
      </c>
      <c r="F1014" s="69"/>
      <c r="G1014" s="69">
        <v>2954.7</v>
      </c>
      <c r="T1014" s="69"/>
      <c r="U1014" s="69"/>
      <c r="AR1014" s="94">
        <f t="shared" si="121"/>
        <v>2954.7</v>
      </c>
      <c r="AS1014" s="69">
        <v>1974.7</v>
      </c>
      <c r="AT1014" s="69">
        <v>268.10000000000002</v>
      </c>
      <c r="AU1014" s="69">
        <v>711.9</v>
      </c>
      <c r="BC1014" s="69"/>
      <c r="BD1014" s="69"/>
      <c r="CD1014" s="94">
        <f t="shared" si="117"/>
        <v>2954.7000000000003</v>
      </c>
      <c r="CE1014" s="73">
        <f t="shared" si="119"/>
        <v>0</v>
      </c>
      <c r="CF1014" s="75">
        <f t="shared" si="122"/>
        <v>6007</v>
      </c>
      <c r="CG1014" s="69" t="str">
        <f t="shared" si="122"/>
        <v>برنامج دولى</v>
      </c>
    </row>
    <row r="1015" spans="2:85" x14ac:dyDescent="0.25">
      <c r="B1015" s="82">
        <v>10315</v>
      </c>
      <c r="C1015" s="78">
        <v>6008</v>
      </c>
      <c r="D1015" s="69" t="s">
        <v>78</v>
      </c>
      <c r="E1015" s="69" t="s">
        <v>2996</v>
      </c>
      <c r="F1015" s="69"/>
      <c r="G1015" s="69">
        <v>140.69999999999999</v>
      </c>
      <c r="T1015" s="69"/>
      <c r="U1015" s="69"/>
      <c r="AR1015" s="94">
        <f t="shared" si="121"/>
        <v>140.69999999999999</v>
      </c>
      <c r="AS1015" s="69">
        <v>94.45</v>
      </c>
      <c r="AT1015" s="69">
        <v>12.35</v>
      </c>
      <c r="AU1015" s="69">
        <v>33.9</v>
      </c>
      <c r="BC1015" s="69"/>
      <c r="BD1015" s="69"/>
      <c r="CD1015" s="94">
        <f t="shared" si="117"/>
        <v>140.69999999999999</v>
      </c>
      <c r="CE1015" s="73">
        <f t="shared" si="119"/>
        <v>0</v>
      </c>
      <c r="CF1015" s="75">
        <f t="shared" si="122"/>
        <v>6008</v>
      </c>
      <c r="CG1015" s="69" t="str">
        <f t="shared" si="122"/>
        <v>برنامج دولى</v>
      </c>
    </row>
    <row r="1016" spans="2:85" x14ac:dyDescent="0.25">
      <c r="B1016" s="82">
        <v>10308</v>
      </c>
      <c r="C1016" s="78">
        <v>6009</v>
      </c>
      <c r="D1016" s="69" t="s">
        <v>78</v>
      </c>
      <c r="E1016" s="69" t="str">
        <f>+E1014</f>
        <v>عب تدريس جراحه اطفال</v>
      </c>
      <c r="F1016" s="69"/>
      <c r="G1016" s="69">
        <v>1266.3</v>
      </c>
      <c r="T1016" s="69"/>
      <c r="U1016" s="69"/>
      <c r="AR1016" s="94">
        <f t="shared" si="121"/>
        <v>1266.3</v>
      </c>
      <c r="AS1016" s="69">
        <v>846.35</v>
      </c>
      <c r="AT1016" s="69">
        <v>114.85</v>
      </c>
      <c r="AU1016" s="69">
        <v>305.10000000000002</v>
      </c>
      <c r="BC1016" s="69"/>
      <c r="BD1016" s="69"/>
      <c r="CD1016" s="94">
        <f t="shared" si="117"/>
        <v>1266.3000000000002</v>
      </c>
      <c r="CE1016" s="73">
        <f t="shared" si="119"/>
        <v>0</v>
      </c>
      <c r="CF1016" s="75">
        <f t="shared" si="122"/>
        <v>6009</v>
      </c>
      <c r="CG1016" s="69" t="str">
        <f t="shared" si="122"/>
        <v>برنامج دولى</v>
      </c>
    </row>
    <row r="1017" spans="2:85" x14ac:dyDescent="0.25">
      <c r="B1017" s="82">
        <v>10314</v>
      </c>
      <c r="C1017" s="78">
        <v>6010</v>
      </c>
      <c r="D1017" s="69" t="s">
        <v>78</v>
      </c>
      <c r="E1017" s="69" t="str">
        <f>+E1015</f>
        <v>مكافاه طب طوارئ</v>
      </c>
      <c r="F1017" s="69"/>
      <c r="G1017" s="69">
        <v>1020.06</v>
      </c>
      <c r="T1017" s="69"/>
      <c r="U1017" s="69"/>
      <c r="AR1017" s="94">
        <f t="shared" si="121"/>
        <v>1020.06</v>
      </c>
      <c r="AS1017" s="69">
        <v>683.75</v>
      </c>
      <c r="AT1017" s="69">
        <v>90.55</v>
      </c>
      <c r="AU1017" s="69">
        <v>245.76</v>
      </c>
      <c r="BC1017" s="69"/>
      <c r="BD1017" s="69"/>
      <c r="CD1017" s="94">
        <f t="shared" si="117"/>
        <v>1020.06</v>
      </c>
      <c r="CE1017" s="73">
        <f t="shared" si="119"/>
        <v>0</v>
      </c>
      <c r="CF1017" s="75">
        <f t="shared" si="122"/>
        <v>6010</v>
      </c>
      <c r="CG1017" s="69" t="str">
        <f t="shared" si="122"/>
        <v>برنامج دولى</v>
      </c>
    </row>
    <row r="1018" spans="2:85" x14ac:dyDescent="0.25">
      <c r="B1018" s="82">
        <v>10317</v>
      </c>
      <c r="C1018" s="78">
        <v>6011</v>
      </c>
      <c r="D1018" s="69" t="s">
        <v>78</v>
      </c>
      <c r="E1018" s="69" t="str">
        <f>+E1017</f>
        <v>مكافاه طب طوارئ</v>
      </c>
      <c r="F1018" s="69"/>
      <c r="G1018" s="69">
        <v>984.88</v>
      </c>
      <c r="T1018" s="69"/>
      <c r="U1018" s="69"/>
      <c r="AR1018" s="94">
        <f t="shared" si="121"/>
        <v>984.88</v>
      </c>
      <c r="AS1018" s="69">
        <v>660.2</v>
      </c>
      <c r="AT1018" s="69">
        <v>87.4</v>
      </c>
      <c r="AU1018" s="69">
        <v>237.28</v>
      </c>
      <c r="BC1018" s="69"/>
      <c r="BD1018" s="69"/>
      <c r="CD1018" s="94">
        <f t="shared" si="117"/>
        <v>984.88</v>
      </c>
      <c r="CE1018" s="73">
        <f t="shared" si="119"/>
        <v>0</v>
      </c>
      <c r="CF1018" s="75">
        <f t="shared" si="122"/>
        <v>6011</v>
      </c>
      <c r="CG1018" s="69" t="str">
        <f t="shared" si="122"/>
        <v>برنامج دولى</v>
      </c>
    </row>
    <row r="1019" spans="2:85" x14ac:dyDescent="0.25">
      <c r="B1019" s="82">
        <v>10316</v>
      </c>
      <c r="C1019" s="78">
        <v>6012</v>
      </c>
      <c r="D1019" s="69" t="s">
        <v>78</v>
      </c>
      <c r="E1019" s="69" t="str">
        <f>+E1018</f>
        <v>مكافاه طب طوارئ</v>
      </c>
      <c r="F1019" s="69"/>
      <c r="G1019" s="69">
        <v>281.39999999999998</v>
      </c>
      <c r="T1019" s="69"/>
      <c r="U1019" s="69"/>
      <c r="AR1019" s="94">
        <f t="shared" si="121"/>
        <v>281.39999999999998</v>
      </c>
      <c r="AS1019" s="69">
        <v>188.6</v>
      </c>
      <c r="AT1019" s="69">
        <v>25</v>
      </c>
      <c r="AU1019" s="69">
        <v>67.8</v>
      </c>
      <c r="BC1019" s="69"/>
      <c r="BD1019" s="69"/>
      <c r="CD1019" s="94">
        <f t="shared" si="117"/>
        <v>281.39999999999998</v>
      </c>
      <c r="CE1019" s="73">
        <f t="shared" si="119"/>
        <v>0</v>
      </c>
      <c r="CF1019" s="75">
        <f t="shared" si="122"/>
        <v>6012</v>
      </c>
      <c r="CG1019" s="69" t="str">
        <f t="shared" si="122"/>
        <v>برنامج دولى</v>
      </c>
    </row>
    <row r="1020" spans="2:85" x14ac:dyDescent="0.25">
      <c r="B1020" s="82">
        <v>10313</v>
      </c>
      <c r="C1020" s="78">
        <v>6013</v>
      </c>
      <c r="D1020" s="69" t="s">
        <v>78</v>
      </c>
      <c r="E1020" s="69" t="str">
        <f>+E1016</f>
        <v>عب تدريس جراحه اطفال</v>
      </c>
      <c r="F1020" s="69"/>
      <c r="G1020" s="69">
        <v>4221</v>
      </c>
      <c r="T1020" s="69"/>
      <c r="U1020" s="69"/>
      <c r="AR1020" s="94">
        <f t="shared" si="121"/>
        <v>4221</v>
      </c>
      <c r="AS1020" s="69">
        <v>2817.7</v>
      </c>
      <c r="AT1020" s="69">
        <f>26.3+360</f>
        <v>386.3</v>
      </c>
      <c r="AU1020" s="69">
        <f>1403.3-386.3</f>
        <v>1017</v>
      </c>
      <c r="BC1020" s="69"/>
      <c r="BD1020" s="69"/>
      <c r="CD1020" s="94">
        <f t="shared" si="117"/>
        <v>4221</v>
      </c>
      <c r="CE1020" s="73">
        <f t="shared" si="119"/>
        <v>0</v>
      </c>
      <c r="CF1020" s="75">
        <f t="shared" si="122"/>
        <v>6013</v>
      </c>
      <c r="CG1020" s="69" t="str">
        <f t="shared" si="122"/>
        <v>برنامج دولى</v>
      </c>
    </row>
    <row r="1021" spans="2:85" x14ac:dyDescent="0.25">
      <c r="B1021" s="82">
        <v>10309</v>
      </c>
      <c r="C1021" s="78">
        <v>6014</v>
      </c>
      <c r="D1021" s="69" t="s">
        <v>78</v>
      </c>
      <c r="E1021" s="69" t="str">
        <f>+E1020</f>
        <v>عب تدريس جراحه اطفال</v>
      </c>
      <c r="F1021" s="69"/>
      <c r="G1021" s="69">
        <v>44068.98</v>
      </c>
      <c r="T1021" s="69"/>
      <c r="U1021" s="69"/>
      <c r="AR1021" s="94">
        <f t="shared" si="121"/>
        <v>44068.98</v>
      </c>
      <c r="AS1021" s="69">
        <v>38051.01</v>
      </c>
      <c r="AT1021" s="69">
        <v>4594.8500000000004</v>
      </c>
      <c r="AU1021" s="69">
        <v>1423.12</v>
      </c>
      <c r="BC1021" s="69"/>
      <c r="BD1021" s="69"/>
      <c r="CD1021" s="94">
        <f t="shared" si="117"/>
        <v>44068.98</v>
      </c>
      <c r="CE1021" s="73">
        <f t="shared" si="119"/>
        <v>0</v>
      </c>
      <c r="CF1021" s="75">
        <f t="shared" si="122"/>
        <v>6014</v>
      </c>
      <c r="CG1021" s="69" t="str">
        <f t="shared" si="122"/>
        <v>برنامج دولى</v>
      </c>
    </row>
    <row r="1022" spans="2:85" x14ac:dyDescent="0.25">
      <c r="B1022" s="82">
        <v>10302</v>
      </c>
      <c r="C1022" s="78">
        <v>6015</v>
      </c>
      <c r="D1022" s="69" t="s">
        <v>78</v>
      </c>
      <c r="E1022" s="69" t="s">
        <v>2546</v>
      </c>
      <c r="F1022" s="69"/>
      <c r="G1022" s="69">
        <v>3517.5</v>
      </c>
      <c r="T1022" s="69"/>
      <c r="U1022" s="69"/>
      <c r="AR1022" s="94">
        <f t="shared" si="121"/>
        <v>3517.5</v>
      </c>
      <c r="AS1022" s="69">
        <v>2350.6999999999998</v>
      </c>
      <c r="AT1022" s="69">
        <v>319.3</v>
      </c>
      <c r="AU1022" s="69">
        <v>847.5</v>
      </c>
      <c r="BC1022" s="69"/>
      <c r="BD1022" s="69"/>
      <c r="CD1022" s="94">
        <f t="shared" si="117"/>
        <v>3517.5</v>
      </c>
      <c r="CE1022" s="73">
        <f t="shared" si="119"/>
        <v>0</v>
      </c>
      <c r="CF1022" s="75">
        <f t="shared" si="122"/>
        <v>6015</v>
      </c>
      <c r="CG1022" s="69" t="str">
        <f t="shared" si="122"/>
        <v>برنامج دولى</v>
      </c>
    </row>
    <row r="1023" spans="2:85" x14ac:dyDescent="0.25">
      <c r="B1023" s="82">
        <v>10303</v>
      </c>
      <c r="C1023" s="78">
        <v>6016</v>
      </c>
      <c r="D1023" s="69" t="s">
        <v>78</v>
      </c>
      <c r="E1023" s="69" t="s">
        <v>2546</v>
      </c>
      <c r="F1023" s="69"/>
      <c r="G1023" s="69">
        <v>1758.75</v>
      </c>
      <c r="T1023" s="69"/>
      <c r="U1023" s="69"/>
      <c r="AR1023" s="94">
        <f t="shared" si="121"/>
        <v>1758.75</v>
      </c>
      <c r="AS1023" s="69">
        <v>1175.3499999999999</v>
      </c>
      <c r="AT1023" s="69">
        <v>159.65</v>
      </c>
      <c r="AU1023" s="69">
        <v>423.75</v>
      </c>
      <c r="BC1023" s="69"/>
      <c r="BD1023" s="69"/>
      <c r="CD1023" s="94">
        <f t="shared" si="117"/>
        <v>1758.75</v>
      </c>
      <c r="CE1023" s="73">
        <f t="shared" si="119"/>
        <v>0</v>
      </c>
      <c r="CF1023" s="75">
        <f t="shared" si="122"/>
        <v>6016</v>
      </c>
      <c r="CG1023" s="69" t="str">
        <f t="shared" si="122"/>
        <v>برنامج دولى</v>
      </c>
    </row>
    <row r="1024" spans="2:85" x14ac:dyDescent="0.25">
      <c r="B1024" s="82">
        <v>10474</v>
      </c>
      <c r="C1024" s="78">
        <v>6017</v>
      </c>
      <c r="D1024" s="69" t="s">
        <v>78</v>
      </c>
      <c r="E1024" s="69" t="s">
        <v>1519</v>
      </c>
      <c r="F1024" s="69"/>
      <c r="G1024" s="69">
        <v>1407</v>
      </c>
      <c r="T1024" s="69"/>
      <c r="U1024" s="69"/>
      <c r="AR1024" s="94">
        <f t="shared" si="121"/>
        <v>1407</v>
      </c>
      <c r="AS1024" s="69">
        <v>940.35</v>
      </c>
      <c r="AT1024" s="69">
        <v>127.65</v>
      </c>
      <c r="AU1024" s="69">
        <v>339</v>
      </c>
      <c r="BC1024" s="69"/>
      <c r="BD1024" s="69"/>
      <c r="CD1024" s="94">
        <f t="shared" ref="CD1024:CD1090" si="123">SUM(AS1024:CC1024)</f>
        <v>1407</v>
      </c>
      <c r="CE1024" s="73">
        <f t="shared" si="119"/>
        <v>0</v>
      </c>
      <c r="CF1024" s="75">
        <f t="shared" si="122"/>
        <v>6017</v>
      </c>
      <c r="CG1024" s="69" t="str">
        <f t="shared" si="122"/>
        <v>برنامج دولى</v>
      </c>
    </row>
    <row r="1025" spans="2:85" x14ac:dyDescent="0.25">
      <c r="B1025" s="82">
        <v>10473</v>
      </c>
      <c r="C1025" s="78">
        <v>6018</v>
      </c>
      <c r="D1025" s="69" t="s">
        <v>78</v>
      </c>
      <c r="E1025" s="69" t="s">
        <v>1519</v>
      </c>
      <c r="F1025" s="69"/>
      <c r="G1025" s="69">
        <v>1876</v>
      </c>
      <c r="T1025" s="69"/>
      <c r="U1025" s="69"/>
      <c r="AR1025" s="94">
        <f t="shared" si="121"/>
        <v>1876</v>
      </c>
      <c r="AS1025" s="69">
        <v>1253.7</v>
      </c>
      <c r="AT1025" s="69">
        <v>170.3</v>
      </c>
      <c r="AU1025" s="69">
        <v>452</v>
      </c>
      <c r="BC1025" s="69"/>
      <c r="BD1025" s="69"/>
      <c r="CD1025" s="94">
        <f t="shared" si="123"/>
        <v>1876</v>
      </c>
      <c r="CE1025" s="73">
        <f t="shared" si="119"/>
        <v>0</v>
      </c>
      <c r="CF1025" s="75">
        <f t="shared" si="122"/>
        <v>6018</v>
      </c>
      <c r="CG1025" s="69" t="str">
        <f t="shared" si="122"/>
        <v>برنامج دولى</v>
      </c>
    </row>
    <row r="1026" spans="2:85" x14ac:dyDescent="0.25">
      <c r="B1026" s="82">
        <v>10472</v>
      </c>
      <c r="C1026" s="78">
        <v>6019</v>
      </c>
      <c r="D1026" s="69" t="s">
        <v>78</v>
      </c>
      <c r="E1026" s="69" t="s">
        <v>2997</v>
      </c>
      <c r="F1026" s="69"/>
      <c r="G1026" s="69">
        <v>1172.5</v>
      </c>
      <c r="T1026" s="69"/>
      <c r="U1026" s="69"/>
      <c r="AR1026" s="94">
        <f t="shared" si="121"/>
        <v>1172.5</v>
      </c>
      <c r="AS1026" s="69">
        <v>784.1</v>
      </c>
      <c r="AT1026" s="69">
        <v>105.9</v>
      </c>
      <c r="AU1026" s="69">
        <v>282.5</v>
      </c>
      <c r="BC1026" s="69"/>
      <c r="BD1026" s="69"/>
      <c r="CD1026" s="94">
        <f t="shared" si="123"/>
        <v>1172.5</v>
      </c>
      <c r="CE1026" s="73">
        <f t="shared" si="119"/>
        <v>0</v>
      </c>
      <c r="CF1026" s="75">
        <f t="shared" si="122"/>
        <v>6019</v>
      </c>
      <c r="CG1026" s="69" t="str">
        <f t="shared" si="122"/>
        <v>برنامج دولى</v>
      </c>
    </row>
    <row r="1027" spans="2:85" x14ac:dyDescent="0.25">
      <c r="B1027" s="82">
        <v>10471</v>
      </c>
      <c r="C1027" s="78">
        <v>6020</v>
      </c>
      <c r="D1027" s="69" t="s">
        <v>78</v>
      </c>
      <c r="E1027" s="69" t="s">
        <v>2998</v>
      </c>
      <c r="F1027" s="69"/>
      <c r="G1027" s="69">
        <v>1231.1199999999999</v>
      </c>
      <c r="T1027" s="69"/>
      <c r="U1027" s="69"/>
      <c r="AR1027" s="94">
        <f t="shared" si="121"/>
        <v>1231.1199999999999</v>
      </c>
      <c r="AS1027" s="69">
        <v>823.8</v>
      </c>
      <c r="AT1027" s="69">
        <v>110.7</v>
      </c>
      <c r="AU1027" s="69">
        <v>296.62</v>
      </c>
      <c r="BC1027" s="69"/>
      <c r="BD1027" s="69"/>
      <c r="CD1027" s="94">
        <f t="shared" si="123"/>
        <v>1231.1199999999999</v>
      </c>
      <c r="CE1027" s="73">
        <f t="shared" si="119"/>
        <v>0</v>
      </c>
      <c r="CF1027" s="75">
        <f t="shared" si="122"/>
        <v>6020</v>
      </c>
      <c r="CG1027" s="69" t="str">
        <f t="shared" si="122"/>
        <v>برنامج دولى</v>
      </c>
    </row>
    <row r="1028" spans="2:85" x14ac:dyDescent="0.25">
      <c r="B1028" s="82">
        <v>10470</v>
      </c>
      <c r="C1028" s="78">
        <v>6021</v>
      </c>
      <c r="D1028" s="69" t="s">
        <v>78</v>
      </c>
      <c r="E1028" s="69" t="s">
        <v>2998</v>
      </c>
      <c r="F1028" s="69"/>
      <c r="G1028" s="69">
        <v>5803.87</v>
      </c>
      <c r="T1028" s="69"/>
      <c r="U1028" s="69"/>
      <c r="AR1028" s="94">
        <f t="shared" si="121"/>
        <v>5803.87</v>
      </c>
      <c r="AS1028" s="69">
        <v>3883.75</v>
      </c>
      <c r="AT1028" s="69">
        <v>521.75</v>
      </c>
      <c r="AU1028" s="69">
        <v>1398.37</v>
      </c>
      <c r="BC1028" s="69"/>
      <c r="BD1028" s="69"/>
      <c r="CD1028" s="94">
        <f t="shared" si="123"/>
        <v>5803.87</v>
      </c>
      <c r="CE1028" s="73">
        <f t="shared" si="119"/>
        <v>0</v>
      </c>
      <c r="CF1028" s="75">
        <f t="shared" si="122"/>
        <v>6021</v>
      </c>
      <c r="CG1028" s="69" t="str">
        <f t="shared" si="122"/>
        <v>برنامج دولى</v>
      </c>
    </row>
    <row r="1029" spans="2:85" x14ac:dyDescent="0.25">
      <c r="B1029" s="82">
        <v>10469</v>
      </c>
      <c r="C1029" s="78">
        <v>6022</v>
      </c>
      <c r="D1029" s="69" t="s">
        <v>78</v>
      </c>
      <c r="E1029" s="69" t="s">
        <v>2998</v>
      </c>
      <c r="F1029" s="69"/>
      <c r="G1029" s="69">
        <v>9124.0300000000007</v>
      </c>
      <c r="T1029" s="69"/>
      <c r="U1029" s="69"/>
      <c r="AR1029" s="94">
        <f t="shared" si="121"/>
        <v>9124.0300000000007</v>
      </c>
      <c r="AS1029" s="69">
        <v>6058.22</v>
      </c>
      <c r="AT1029" s="69">
        <v>815.6</v>
      </c>
      <c r="AU1029" s="69">
        <v>2250.21</v>
      </c>
      <c r="BC1029" s="69"/>
      <c r="BD1029" s="69"/>
      <c r="CD1029" s="94">
        <f t="shared" si="123"/>
        <v>9124.0300000000007</v>
      </c>
      <c r="CE1029" s="73">
        <f t="shared" si="119"/>
        <v>0</v>
      </c>
      <c r="CF1029" s="75">
        <f t="shared" si="122"/>
        <v>6022</v>
      </c>
      <c r="CG1029" s="69" t="str">
        <f t="shared" si="122"/>
        <v>برنامج دولى</v>
      </c>
    </row>
    <row r="1030" spans="2:85" x14ac:dyDescent="0.25">
      <c r="B1030" s="82">
        <v>10468</v>
      </c>
      <c r="C1030" s="78">
        <v>6023</v>
      </c>
      <c r="D1030" s="69" t="s">
        <v>78</v>
      </c>
      <c r="E1030" s="69" t="str">
        <f>+E1026</f>
        <v>مكافاه سكرتاريه وكيل</v>
      </c>
      <c r="F1030" s="69"/>
      <c r="G1030" s="69">
        <v>1817.38</v>
      </c>
      <c r="T1030" s="69"/>
      <c r="U1030" s="69"/>
      <c r="AR1030" s="94">
        <f t="shared" si="121"/>
        <v>1817.38</v>
      </c>
      <c r="AS1030" s="69">
        <v>1215.5</v>
      </c>
      <c r="AT1030" s="69">
        <v>164</v>
      </c>
      <c r="AU1030" s="69">
        <v>437.88</v>
      </c>
      <c r="BC1030" s="69"/>
      <c r="BD1030" s="69"/>
      <c r="CD1030" s="94">
        <f t="shared" si="123"/>
        <v>1817.38</v>
      </c>
      <c r="CE1030" s="73">
        <f t="shared" si="119"/>
        <v>0</v>
      </c>
      <c r="CF1030" s="75">
        <f t="shared" si="122"/>
        <v>6023</v>
      </c>
      <c r="CG1030" s="69" t="str">
        <f t="shared" si="122"/>
        <v>برنامج دولى</v>
      </c>
    </row>
    <row r="1031" spans="2:85" x14ac:dyDescent="0.25">
      <c r="B1031" s="82">
        <v>10467</v>
      </c>
      <c r="C1031" s="78">
        <v>6024</v>
      </c>
      <c r="D1031" s="69" t="s">
        <v>78</v>
      </c>
      <c r="E1031" s="69" t="str">
        <f>+E1030</f>
        <v>مكافاه سكرتاريه وكيل</v>
      </c>
      <c r="F1031" s="69"/>
      <c r="G1031" s="69">
        <v>1465.62</v>
      </c>
      <c r="T1031" s="69"/>
      <c r="U1031" s="69"/>
      <c r="AR1031" s="94">
        <f t="shared" si="121"/>
        <v>1465.62</v>
      </c>
      <c r="AS1031" s="69">
        <v>979.5</v>
      </c>
      <c r="AT1031" s="69">
        <v>133</v>
      </c>
      <c r="AU1031" s="69">
        <v>353.12</v>
      </c>
      <c r="BC1031" s="69"/>
      <c r="BD1031" s="69"/>
      <c r="CD1031" s="94">
        <f t="shared" si="123"/>
        <v>1465.62</v>
      </c>
      <c r="CE1031" s="73">
        <f t="shared" si="119"/>
        <v>0</v>
      </c>
      <c r="CF1031" s="75">
        <f t="shared" si="122"/>
        <v>6024</v>
      </c>
      <c r="CG1031" s="69" t="str">
        <f t="shared" si="122"/>
        <v>برنامج دولى</v>
      </c>
    </row>
    <row r="1032" spans="2:85" x14ac:dyDescent="0.25">
      <c r="B1032" s="82">
        <v>10466</v>
      </c>
      <c r="C1032" s="78">
        <v>6025</v>
      </c>
      <c r="D1032" s="69" t="s">
        <v>78</v>
      </c>
      <c r="E1032" s="69" t="s">
        <v>2999</v>
      </c>
      <c r="F1032" s="69"/>
      <c r="G1032" s="69">
        <v>2345</v>
      </c>
      <c r="T1032" s="69"/>
      <c r="U1032" s="69"/>
      <c r="AR1032" s="94">
        <f t="shared" si="121"/>
        <v>2345</v>
      </c>
      <c r="AS1032" s="69">
        <v>1567</v>
      </c>
      <c r="AT1032" s="69">
        <f>13+200</f>
        <v>213</v>
      </c>
      <c r="AU1032" s="69">
        <v>565</v>
      </c>
      <c r="BC1032" s="69"/>
      <c r="BD1032" s="69"/>
      <c r="CD1032" s="94">
        <f t="shared" si="123"/>
        <v>2345</v>
      </c>
      <c r="CE1032" s="73">
        <f t="shared" si="119"/>
        <v>0</v>
      </c>
      <c r="CF1032" s="75">
        <f t="shared" si="122"/>
        <v>6025</v>
      </c>
      <c r="CG1032" s="69" t="str">
        <f t="shared" si="122"/>
        <v>برنامج دولى</v>
      </c>
    </row>
    <row r="1033" spans="2:85" x14ac:dyDescent="0.25">
      <c r="B1033" s="82">
        <v>10465</v>
      </c>
      <c r="C1033" s="78">
        <v>6026</v>
      </c>
      <c r="D1033" s="69" t="s">
        <v>78</v>
      </c>
      <c r="E1033" s="69" t="s">
        <v>3000</v>
      </c>
      <c r="F1033" s="69"/>
      <c r="G1033" s="69">
        <v>1066.98</v>
      </c>
      <c r="T1033" s="69"/>
      <c r="U1033" s="69"/>
      <c r="AR1033" s="94">
        <f t="shared" si="121"/>
        <v>1066.98</v>
      </c>
      <c r="AS1033" s="69">
        <v>713.55</v>
      </c>
      <c r="AT1033" s="69">
        <f>5.35+91</f>
        <v>96.35</v>
      </c>
      <c r="AU1033" s="69">
        <v>257.08</v>
      </c>
      <c r="BC1033" s="69"/>
      <c r="BD1033" s="69"/>
      <c r="CD1033" s="94">
        <f t="shared" si="123"/>
        <v>1066.98</v>
      </c>
      <c r="CE1033" s="73">
        <f t="shared" si="119"/>
        <v>0</v>
      </c>
      <c r="CF1033" s="75">
        <f t="shared" si="122"/>
        <v>6026</v>
      </c>
      <c r="CG1033" s="69" t="str">
        <f t="shared" si="122"/>
        <v>برنامج دولى</v>
      </c>
    </row>
    <row r="1034" spans="2:85" x14ac:dyDescent="0.25">
      <c r="B1034" s="82">
        <v>10464</v>
      </c>
      <c r="C1034" s="78">
        <v>6027</v>
      </c>
      <c r="D1034" s="69" t="s">
        <v>78</v>
      </c>
      <c r="E1034" s="69" t="s">
        <v>2570</v>
      </c>
      <c r="F1034" s="69"/>
      <c r="G1034" s="69">
        <v>1758.75</v>
      </c>
      <c r="T1034" s="69"/>
      <c r="U1034" s="69"/>
      <c r="AR1034" s="94">
        <f t="shared" si="121"/>
        <v>1758.75</v>
      </c>
      <c r="AS1034" s="69">
        <v>1175.3499999999999</v>
      </c>
      <c r="AT1034" s="69">
        <v>159.65</v>
      </c>
      <c r="AU1034" s="69">
        <v>423.75</v>
      </c>
      <c r="BC1034" s="69"/>
      <c r="BD1034" s="69"/>
      <c r="CD1034" s="94">
        <f t="shared" si="123"/>
        <v>1758.75</v>
      </c>
      <c r="CE1034" s="73">
        <f t="shared" ref="CE1034:CE1099" si="124">+CD1034-AR1034</f>
        <v>0</v>
      </c>
      <c r="CF1034" s="75">
        <f t="shared" ref="CF1034:CG1061" si="125">+C1034</f>
        <v>6027</v>
      </c>
      <c r="CG1034" s="69" t="str">
        <f t="shared" si="125"/>
        <v>برنامج دولى</v>
      </c>
    </row>
    <row r="1035" spans="2:85" x14ac:dyDescent="0.25">
      <c r="B1035" s="82">
        <v>10463</v>
      </c>
      <c r="C1035" s="78">
        <v>6028</v>
      </c>
      <c r="D1035" s="69" t="s">
        <v>78</v>
      </c>
      <c r="E1035" s="69" t="s">
        <v>885</v>
      </c>
      <c r="F1035" s="69"/>
      <c r="G1035" s="69">
        <v>1641.5</v>
      </c>
      <c r="T1035" s="69"/>
      <c r="U1035" s="69"/>
      <c r="AR1035" s="94">
        <f t="shared" si="121"/>
        <v>1641.5</v>
      </c>
      <c r="AS1035" s="69">
        <v>1097.9000000000001</v>
      </c>
      <c r="AT1035" s="69">
        <v>148.1</v>
      </c>
      <c r="AU1035" s="69">
        <v>395.5</v>
      </c>
      <c r="BC1035" s="69"/>
      <c r="BD1035" s="69"/>
      <c r="CD1035" s="94">
        <f t="shared" si="123"/>
        <v>1641.5</v>
      </c>
      <c r="CE1035" s="73">
        <f t="shared" si="124"/>
        <v>0</v>
      </c>
      <c r="CF1035" s="75">
        <f t="shared" si="125"/>
        <v>6028</v>
      </c>
      <c r="CG1035" s="69" t="str">
        <f t="shared" si="125"/>
        <v>برنامج دولى</v>
      </c>
    </row>
    <row r="1036" spans="2:85" x14ac:dyDescent="0.25">
      <c r="B1036" s="82">
        <v>10462</v>
      </c>
      <c r="C1036" s="78">
        <v>6029</v>
      </c>
      <c r="D1036" s="69" t="s">
        <v>78</v>
      </c>
      <c r="E1036" s="69" t="s">
        <v>885</v>
      </c>
      <c r="F1036" s="69"/>
      <c r="G1036" s="69">
        <v>1200</v>
      </c>
      <c r="T1036" s="69"/>
      <c r="U1036" s="69"/>
      <c r="AR1036" s="94">
        <f t="shared" si="121"/>
        <v>1200</v>
      </c>
      <c r="AS1036" s="69">
        <v>1071.3499999999999</v>
      </c>
      <c r="AT1036" s="69">
        <v>128.65</v>
      </c>
      <c r="BC1036" s="69"/>
      <c r="BD1036" s="69"/>
      <c r="CD1036" s="94">
        <f t="shared" si="123"/>
        <v>1200</v>
      </c>
      <c r="CE1036" s="73">
        <f t="shared" si="124"/>
        <v>0</v>
      </c>
      <c r="CF1036" s="75">
        <f t="shared" si="125"/>
        <v>6029</v>
      </c>
      <c r="CG1036" s="69" t="str">
        <f t="shared" si="125"/>
        <v>برنامج دولى</v>
      </c>
    </row>
    <row r="1037" spans="2:85" x14ac:dyDescent="0.25">
      <c r="B1037" s="82">
        <v>10461</v>
      </c>
      <c r="C1037" s="78">
        <v>6030</v>
      </c>
      <c r="D1037" s="69" t="s">
        <v>78</v>
      </c>
      <c r="E1037" s="69" t="s">
        <v>885</v>
      </c>
      <c r="F1037" s="69"/>
      <c r="G1037" s="69">
        <v>4103.75</v>
      </c>
      <c r="T1037" s="69"/>
      <c r="U1037" s="69"/>
      <c r="AR1037" s="94">
        <f t="shared" si="121"/>
        <v>4103.75</v>
      </c>
      <c r="AS1037" s="69">
        <v>2818.8</v>
      </c>
      <c r="AT1037" s="69">
        <v>296.2</v>
      </c>
      <c r="AU1037" s="69">
        <v>988.75</v>
      </c>
      <c r="BC1037" s="69"/>
      <c r="BD1037" s="69"/>
      <c r="CD1037" s="94">
        <f t="shared" si="123"/>
        <v>4103.75</v>
      </c>
      <c r="CE1037" s="73">
        <f t="shared" si="124"/>
        <v>0</v>
      </c>
      <c r="CF1037" s="75">
        <f t="shared" si="125"/>
        <v>6030</v>
      </c>
      <c r="CG1037" s="69" t="str">
        <f t="shared" si="125"/>
        <v>برنامج دولى</v>
      </c>
    </row>
    <row r="1038" spans="2:85" x14ac:dyDescent="0.25">
      <c r="B1038" s="82">
        <v>10460</v>
      </c>
      <c r="C1038" s="78">
        <v>6031</v>
      </c>
      <c r="D1038" s="69" t="s">
        <v>78</v>
      </c>
      <c r="E1038" s="69" t="s">
        <v>885</v>
      </c>
      <c r="F1038" s="69"/>
      <c r="G1038" s="69">
        <v>2462.25</v>
      </c>
      <c r="T1038" s="69"/>
      <c r="U1038" s="69"/>
      <c r="AR1038" s="94">
        <f t="shared" si="121"/>
        <v>2462.25</v>
      </c>
      <c r="AS1038" s="69">
        <v>1646.85</v>
      </c>
      <c r="AT1038" s="69">
        <v>222.15</v>
      </c>
      <c r="AU1038" s="69">
        <v>593.25</v>
      </c>
      <c r="BC1038" s="69"/>
      <c r="BD1038" s="69"/>
      <c r="CD1038" s="94">
        <f t="shared" si="123"/>
        <v>2462.25</v>
      </c>
      <c r="CE1038" s="73">
        <f t="shared" si="124"/>
        <v>0</v>
      </c>
      <c r="CF1038" s="75">
        <f t="shared" si="125"/>
        <v>6031</v>
      </c>
      <c r="CG1038" s="69" t="str">
        <f t="shared" si="125"/>
        <v>برنامج دولى</v>
      </c>
    </row>
    <row r="1039" spans="2:85" x14ac:dyDescent="0.25">
      <c r="B1039" s="82">
        <v>10459</v>
      </c>
      <c r="C1039" s="78">
        <v>6032</v>
      </c>
      <c r="D1039" s="69" t="s">
        <v>78</v>
      </c>
      <c r="E1039" s="69" t="s">
        <v>885</v>
      </c>
      <c r="F1039" s="69"/>
      <c r="G1039" s="69">
        <v>820.75</v>
      </c>
      <c r="T1039" s="69"/>
      <c r="U1039" s="69"/>
      <c r="AR1039" s="94">
        <f t="shared" si="121"/>
        <v>820.75</v>
      </c>
      <c r="AS1039" s="69">
        <v>548.95000000000005</v>
      </c>
      <c r="AT1039" s="69">
        <v>74.05</v>
      </c>
      <c r="AU1039" s="69">
        <v>197.75</v>
      </c>
      <c r="BC1039" s="69"/>
      <c r="BD1039" s="69"/>
      <c r="CD1039" s="94">
        <f t="shared" si="123"/>
        <v>820.75</v>
      </c>
      <c r="CE1039" s="73">
        <f t="shared" si="124"/>
        <v>0</v>
      </c>
      <c r="CF1039" s="75">
        <f t="shared" si="125"/>
        <v>6032</v>
      </c>
      <c r="CG1039" s="69" t="str">
        <f t="shared" si="125"/>
        <v>برنامج دولى</v>
      </c>
    </row>
    <row r="1040" spans="2:85" x14ac:dyDescent="0.25">
      <c r="B1040" s="82">
        <v>10458</v>
      </c>
      <c r="C1040" s="78">
        <v>6033</v>
      </c>
      <c r="D1040" s="69" t="s">
        <v>78</v>
      </c>
      <c r="E1040" s="69" t="s">
        <v>885</v>
      </c>
      <c r="F1040" s="69"/>
      <c r="G1040" s="69">
        <v>1278.0999999999999</v>
      </c>
      <c r="T1040" s="69"/>
      <c r="U1040" s="69"/>
      <c r="AR1040" s="94">
        <f t="shared" si="121"/>
        <v>1278.0999999999999</v>
      </c>
      <c r="AS1040" s="69">
        <v>1021.95</v>
      </c>
      <c r="AT1040" s="69">
        <v>128.25</v>
      </c>
      <c r="AU1040" s="69">
        <v>127.9</v>
      </c>
      <c r="BC1040" s="69"/>
      <c r="BD1040" s="69"/>
      <c r="CD1040" s="94">
        <f t="shared" si="123"/>
        <v>1278.1000000000001</v>
      </c>
      <c r="CE1040" s="73">
        <f t="shared" si="124"/>
        <v>0</v>
      </c>
      <c r="CF1040" s="75">
        <f t="shared" si="125"/>
        <v>6033</v>
      </c>
      <c r="CG1040" s="69" t="str">
        <f t="shared" si="125"/>
        <v>برنامج دولى</v>
      </c>
    </row>
    <row r="1041" spans="1:85" x14ac:dyDescent="0.25">
      <c r="B1041" s="82">
        <v>10457</v>
      </c>
      <c r="C1041" s="78">
        <v>6034</v>
      </c>
      <c r="D1041" s="69" t="s">
        <v>78</v>
      </c>
      <c r="E1041" s="69" t="s">
        <v>885</v>
      </c>
      <c r="F1041" s="69"/>
      <c r="G1041" s="69">
        <v>4103.75</v>
      </c>
      <c r="T1041" s="69"/>
      <c r="U1041" s="69"/>
      <c r="AR1041" s="94">
        <f t="shared" si="121"/>
        <v>4103.75</v>
      </c>
      <c r="AS1041" s="69">
        <v>2818.8</v>
      </c>
      <c r="AT1041" s="69">
        <v>296.2</v>
      </c>
      <c r="AU1041" s="69">
        <v>988.75</v>
      </c>
      <c r="BC1041" s="69"/>
      <c r="BD1041" s="69"/>
      <c r="CD1041" s="94">
        <f t="shared" si="123"/>
        <v>4103.75</v>
      </c>
      <c r="CE1041" s="73">
        <f t="shared" si="124"/>
        <v>0</v>
      </c>
      <c r="CF1041" s="75">
        <f t="shared" si="125"/>
        <v>6034</v>
      </c>
      <c r="CG1041" s="69" t="str">
        <f t="shared" si="125"/>
        <v>برنامج دولى</v>
      </c>
    </row>
    <row r="1042" spans="1:85" x14ac:dyDescent="0.25">
      <c r="B1042" s="82">
        <v>10456</v>
      </c>
      <c r="C1042" s="78">
        <v>6035</v>
      </c>
      <c r="D1042" s="69" t="s">
        <v>78</v>
      </c>
      <c r="E1042" s="69" t="s">
        <v>885</v>
      </c>
      <c r="F1042" s="69"/>
      <c r="G1042" s="69">
        <v>2462.25</v>
      </c>
      <c r="T1042" s="69"/>
      <c r="U1042" s="69"/>
      <c r="AR1042" s="94">
        <f t="shared" si="121"/>
        <v>2462.25</v>
      </c>
      <c r="AS1042" s="69">
        <v>1646.85</v>
      </c>
      <c r="AT1042" s="69">
        <v>222.15</v>
      </c>
      <c r="AU1042" s="69">
        <v>593.25</v>
      </c>
      <c r="BC1042" s="69"/>
      <c r="BD1042" s="69"/>
      <c r="CD1042" s="94">
        <f t="shared" si="123"/>
        <v>2462.25</v>
      </c>
      <c r="CE1042" s="73">
        <f t="shared" si="124"/>
        <v>0</v>
      </c>
      <c r="CF1042" s="75">
        <f t="shared" si="125"/>
        <v>6035</v>
      </c>
      <c r="CG1042" s="69" t="str">
        <f t="shared" si="125"/>
        <v>برنامج دولى</v>
      </c>
    </row>
    <row r="1043" spans="1:85" x14ac:dyDescent="0.25">
      <c r="B1043" s="82">
        <v>10455</v>
      </c>
      <c r="C1043" s="78">
        <v>6036</v>
      </c>
      <c r="D1043" s="69" t="s">
        <v>78</v>
      </c>
      <c r="E1043" s="69" t="s">
        <v>2687</v>
      </c>
      <c r="F1043" s="69"/>
      <c r="G1043" s="69">
        <v>1758.75</v>
      </c>
      <c r="T1043" s="69"/>
      <c r="U1043" s="69"/>
      <c r="AR1043" s="94">
        <f t="shared" si="121"/>
        <v>1758.75</v>
      </c>
      <c r="AS1043" s="69">
        <v>1175.3499999999999</v>
      </c>
      <c r="AT1043" s="69">
        <v>159.65</v>
      </c>
      <c r="AU1043" s="69">
        <v>423.75</v>
      </c>
      <c r="BC1043" s="69"/>
      <c r="BD1043" s="69"/>
      <c r="CD1043" s="94">
        <f t="shared" si="123"/>
        <v>1758.75</v>
      </c>
      <c r="CE1043" s="73">
        <f t="shared" si="124"/>
        <v>0</v>
      </c>
      <c r="CF1043" s="75">
        <f t="shared" si="125"/>
        <v>6036</v>
      </c>
      <c r="CG1043" s="69" t="str">
        <f t="shared" si="125"/>
        <v>برنامج دولى</v>
      </c>
    </row>
    <row r="1044" spans="1:85" x14ac:dyDescent="0.25">
      <c r="B1044" s="82">
        <v>10454</v>
      </c>
      <c r="C1044" s="78">
        <v>6037</v>
      </c>
      <c r="D1044" s="69" t="s">
        <v>78</v>
      </c>
      <c r="E1044" s="69" t="s">
        <v>2687</v>
      </c>
      <c r="F1044" s="69"/>
      <c r="G1044" s="69">
        <v>1360.1</v>
      </c>
      <c r="T1044" s="69"/>
      <c r="U1044" s="69"/>
      <c r="AR1044" s="94">
        <f t="shared" si="121"/>
        <v>1360.1</v>
      </c>
      <c r="AS1044" s="69">
        <v>909</v>
      </c>
      <c r="AT1044" s="69">
        <v>123.4</v>
      </c>
      <c r="AU1044" s="69">
        <v>327.7</v>
      </c>
      <c r="BC1044" s="69"/>
      <c r="BD1044" s="69"/>
      <c r="CD1044" s="94">
        <f t="shared" si="123"/>
        <v>1360.1000000000001</v>
      </c>
      <c r="CE1044" s="73">
        <f t="shared" si="124"/>
        <v>0</v>
      </c>
      <c r="CF1044" s="75">
        <f t="shared" si="125"/>
        <v>6037</v>
      </c>
      <c r="CG1044" s="69" t="str">
        <f t="shared" si="125"/>
        <v>برنامج دولى</v>
      </c>
    </row>
    <row r="1045" spans="1:85" x14ac:dyDescent="0.25">
      <c r="B1045" s="82">
        <v>10452</v>
      </c>
      <c r="C1045" s="78">
        <v>6038</v>
      </c>
      <c r="D1045" s="69" t="s">
        <v>78</v>
      </c>
      <c r="E1045" s="69" t="s">
        <v>2687</v>
      </c>
      <c r="F1045" s="69"/>
      <c r="G1045" s="69">
        <v>5862.49</v>
      </c>
      <c r="T1045" s="69"/>
      <c r="U1045" s="69"/>
      <c r="AR1045" s="94">
        <f t="shared" si="121"/>
        <v>5862.49</v>
      </c>
      <c r="AS1045" s="69">
        <v>3920.45</v>
      </c>
      <c r="AT1045" s="69">
        <v>529.54999999999995</v>
      </c>
      <c r="AU1045" s="69">
        <v>1412.49</v>
      </c>
      <c r="BC1045" s="69"/>
      <c r="BD1045" s="69"/>
      <c r="CD1045" s="94">
        <f t="shared" si="123"/>
        <v>5862.49</v>
      </c>
      <c r="CE1045" s="73">
        <f t="shared" si="124"/>
        <v>0</v>
      </c>
      <c r="CF1045" s="75">
        <f t="shared" si="125"/>
        <v>6038</v>
      </c>
      <c r="CG1045" s="69" t="str">
        <f t="shared" si="125"/>
        <v>برنامج دولى</v>
      </c>
    </row>
    <row r="1046" spans="1:85" x14ac:dyDescent="0.25">
      <c r="B1046" s="82">
        <v>10453</v>
      </c>
      <c r="C1046" s="78">
        <v>6039</v>
      </c>
      <c r="D1046" s="69" t="s">
        <v>78</v>
      </c>
      <c r="E1046" s="69" t="s">
        <v>2687</v>
      </c>
      <c r="F1046" s="69"/>
      <c r="G1046" s="69">
        <v>4162.3599999999997</v>
      </c>
      <c r="T1046" s="69"/>
      <c r="U1046" s="69"/>
      <c r="AR1046" s="94">
        <f t="shared" si="121"/>
        <v>4162.3599999999997</v>
      </c>
      <c r="AS1046" s="69">
        <v>2783.75</v>
      </c>
      <c r="AT1046" s="69">
        <v>375.75</v>
      </c>
      <c r="AU1046" s="69">
        <v>1002.86</v>
      </c>
      <c r="BC1046" s="69"/>
      <c r="BD1046" s="69"/>
      <c r="CD1046" s="94">
        <f t="shared" si="123"/>
        <v>4162.3599999999997</v>
      </c>
      <c r="CE1046" s="73">
        <f t="shared" si="124"/>
        <v>0</v>
      </c>
      <c r="CF1046" s="75">
        <f t="shared" si="125"/>
        <v>6039</v>
      </c>
      <c r="CG1046" s="69" t="str">
        <f t="shared" si="125"/>
        <v>برنامج دولى</v>
      </c>
    </row>
    <row r="1047" spans="1:85" x14ac:dyDescent="0.25">
      <c r="B1047" s="82">
        <v>10451</v>
      </c>
      <c r="C1047" s="78">
        <v>6040</v>
      </c>
      <c r="D1047" s="69" t="s">
        <v>78</v>
      </c>
      <c r="E1047" s="69" t="s">
        <v>1918</v>
      </c>
      <c r="F1047" s="69"/>
      <c r="G1047" s="69">
        <v>1758.76</v>
      </c>
      <c r="T1047" s="69"/>
      <c r="U1047" s="69"/>
      <c r="AR1047" s="94">
        <f t="shared" si="121"/>
        <v>1758.76</v>
      </c>
      <c r="AS1047" s="69">
        <v>1176.3</v>
      </c>
      <c r="AT1047" s="69">
        <v>158.69999999999999</v>
      </c>
      <c r="AU1047" s="69">
        <v>423.76</v>
      </c>
      <c r="BC1047" s="69"/>
      <c r="BD1047" s="69"/>
      <c r="CD1047" s="94">
        <f t="shared" si="123"/>
        <v>1758.76</v>
      </c>
      <c r="CE1047" s="73">
        <f t="shared" si="124"/>
        <v>0</v>
      </c>
      <c r="CF1047" s="75">
        <f t="shared" si="125"/>
        <v>6040</v>
      </c>
      <c r="CG1047" s="69" t="str">
        <f t="shared" si="125"/>
        <v>برنامج دولى</v>
      </c>
    </row>
    <row r="1048" spans="1:85" x14ac:dyDescent="0.25">
      <c r="B1048" s="82">
        <v>10450</v>
      </c>
      <c r="C1048" s="78">
        <v>6041</v>
      </c>
      <c r="D1048" s="69" t="s">
        <v>78</v>
      </c>
      <c r="E1048" s="69" t="s">
        <v>1918</v>
      </c>
      <c r="F1048" s="69"/>
      <c r="G1048" s="69">
        <v>2000</v>
      </c>
      <c r="T1048" s="69"/>
      <c r="U1048" s="69"/>
      <c r="AR1048" s="94">
        <f t="shared" si="121"/>
        <v>2000</v>
      </c>
      <c r="AS1048" s="69">
        <v>1786.7</v>
      </c>
      <c r="AT1048" s="69">
        <v>213.3</v>
      </c>
      <c r="BC1048" s="69"/>
      <c r="BD1048" s="69"/>
      <c r="CD1048" s="94">
        <f t="shared" si="123"/>
        <v>2000</v>
      </c>
      <c r="CE1048" s="73">
        <f t="shared" si="124"/>
        <v>0</v>
      </c>
      <c r="CF1048" s="75">
        <f t="shared" si="125"/>
        <v>6041</v>
      </c>
      <c r="CG1048" s="69" t="str">
        <f t="shared" si="125"/>
        <v>برنامج دولى</v>
      </c>
    </row>
    <row r="1049" spans="1:85" x14ac:dyDescent="0.25">
      <c r="B1049" s="82">
        <v>10449</v>
      </c>
      <c r="C1049" s="78">
        <v>6042</v>
      </c>
      <c r="D1049" s="69" t="s">
        <v>78</v>
      </c>
      <c r="E1049" s="69" t="s">
        <v>798</v>
      </c>
      <c r="F1049" s="69"/>
      <c r="G1049" s="69">
        <v>351.75</v>
      </c>
      <c r="T1049" s="69"/>
      <c r="U1049" s="69"/>
      <c r="AR1049" s="94">
        <f t="shared" si="121"/>
        <v>351.75</v>
      </c>
      <c r="AS1049" s="69">
        <v>235.55</v>
      </c>
      <c r="AT1049" s="69">
        <v>31.45</v>
      </c>
      <c r="AU1049" s="69">
        <v>84.75</v>
      </c>
      <c r="BC1049" s="69"/>
      <c r="BD1049" s="69"/>
      <c r="CD1049" s="94">
        <f t="shared" si="123"/>
        <v>351.75</v>
      </c>
      <c r="CE1049" s="73">
        <f t="shared" si="124"/>
        <v>0</v>
      </c>
      <c r="CF1049" s="75">
        <f t="shared" si="125"/>
        <v>6042</v>
      </c>
      <c r="CG1049" s="69" t="str">
        <f t="shared" si="125"/>
        <v>برنامج دولى</v>
      </c>
    </row>
    <row r="1050" spans="1:85" x14ac:dyDescent="0.25">
      <c r="B1050" s="82">
        <v>10448</v>
      </c>
      <c r="C1050" s="78">
        <v>6043</v>
      </c>
      <c r="D1050" s="69" t="s">
        <v>78</v>
      </c>
      <c r="E1050" s="69" t="s">
        <v>798</v>
      </c>
      <c r="F1050" s="69"/>
      <c r="G1050" s="69">
        <v>234.5</v>
      </c>
      <c r="T1050" s="69"/>
      <c r="U1050" s="69"/>
      <c r="AR1050" s="94">
        <f t="shared" si="121"/>
        <v>234.5</v>
      </c>
      <c r="AS1050" s="69">
        <v>157.19999999999999</v>
      </c>
      <c r="AT1050" s="69">
        <v>20.8</v>
      </c>
      <c r="AU1050" s="69">
        <v>56.5</v>
      </c>
      <c r="BC1050" s="69"/>
      <c r="BD1050" s="69"/>
      <c r="CD1050" s="94">
        <f t="shared" si="123"/>
        <v>234.5</v>
      </c>
      <c r="CE1050" s="73">
        <f t="shared" si="124"/>
        <v>0</v>
      </c>
      <c r="CF1050" s="75">
        <f t="shared" si="125"/>
        <v>6043</v>
      </c>
      <c r="CG1050" s="69" t="str">
        <f t="shared" si="125"/>
        <v>برنامج دولى</v>
      </c>
    </row>
    <row r="1051" spans="1:85" x14ac:dyDescent="0.25">
      <c r="B1051" s="82">
        <v>10447</v>
      </c>
      <c r="C1051" s="78">
        <v>6044</v>
      </c>
      <c r="D1051" s="69" t="s">
        <v>78</v>
      </c>
      <c r="E1051" s="69" t="s">
        <v>798</v>
      </c>
      <c r="F1051" s="69"/>
      <c r="G1051" s="69">
        <v>8600.17</v>
      </c>
      <c r="T1051" s="69"/>
      <c r="U1051" s="69"/>
      <c r="AR1051" s="94">
        <f t="shared" si="121"/>
        <v>8600.17</v>
      </c>
      <c r="AS1051" s="69">
        <v>5747.7</v>
      </c>
      <c r="AT1051" s="69">
        <v>764.15</v>
      </c>
      <c r="AU1051" s="69">
        <v>2088.3200000000002</v>
      </c>
      <c r="BC1051" s="69"/>
      <c r="BD1051" s="69"/>
      <c r="CD1051" s="94">
        <f t="shared" si="123"/>
        <v>8600.17</v>
      </c>
      <c r="CE1051" s="73">
        <f t="shared" si="124"/>
        <v>0</v>
      </c>
      <c r="CF1051" s="75">
        <f t="shared" si="125"/>
        <v>6044</v>
      </c>
      <c r="CG1051" s="69" t="str">
        <f t="shared" si="125"/>
        <v>برنامج دولى</v>
      </c>
    </row>
    <row r="1052" spans="1:85" x14ac:dyDescent="0.25">
      <c r="B1052" s="82">
        <v>10446</v>
      </c>
      <c r="C1052" s="78">
        <v>6045</v>
      </c>
      <c r="D1052" s="69" t="s">
        <v>78</v>
      </c>
      <c r="E1052" s="69" t="s">
        <v>3001</v>
      </c>
      <c r="F1052" s="69"/>
      <c r="G1052" s="69">
        <v>1407</v>
      </c>
      <c r="T1052" s="69"/>
      <c r="U1052" s="69"/>
      <c r="AR1052" s="94">
        <f t="shared" si="121"/>
        <v>1407</v>
      </c>
      <c r="AS1052" s="69">
        <v>940.35</v>
      </c>
      <c r="AT1052" s="69">
        <f>7.65+120</f>
        <v>127.65</v>
      </c>
      <c r="AU1052" s="69">
        <f>466.65-127.65</f>
        <v>339</v>
      </c>
      <c r="BC1052" s="69"/>
      <c r="BD1052" s="69"/>
      <c r="CD1052" s="94">
        <f t="shared" si="123"/>
        <v>1407</v>
      </c>
      <c r="CE1052" s="73">
        <f t="shared" si="124"/>
        <v>0</v>
      </c>
      <c r="CF1052" s="75">
        <f t="shared" si="125"/>
        <v>6045</v>
      </c>
      <c r="CG1052" s="69" t="str">
        <f t="shared" si="125"/>
        <v>برنامج دولى</v>
      </c>
    </row>
    <row r="1053" spans="1:85" x14ac:dyDescent="0.25">
      <c r="B1053" s="82">
        <v>10663</v>
      </c>
      <c r="C1053" s="78">
        <v>6046</v>
      </c>
      <c r="D1053" s="69" t="s">
        <v>78</v>
      </c>
      <c r="E1053" s="69" t="s">
        <v>2982</v>
      </c>
      <c r="F1053" s="69"/>
      <c r="G1053" s="69">
        <v>7363.3</v>
      </c>
      <c r="T1053" s="69"/>
      <c r="U1053" s="69"/>
      <c r="AR1053" s="94">
        <f t="shared" si="121"/>
        <v>7363.3</v>
      </c>
      <c r="AS1053" s="69">
        <v>4921.1499999999996</v>
      </c>
      <c r="AT1053" s="69">
        <f>40.05+628</f>
        <v>668.05</v>
      </c>
      <c r="AU1053" s="69">
        <f>2442.15-40.05-628</f>
        <v>1774.1</v>
      </c>
      <c r="BC1053" s="69"/>
      <c r="BD1053" s="69"/>
      <c r="CD1053" s="94">
        <f>SUM(AS1053:CC1053)</f>
        <v>7363.2999999999993</v>
      </c>
      <c r="CE1053" s="73">
        <f t="shared" si="124"/>
        <v>0</v>
      </c>
      <c r="CF1053" s="75">
        <f t="shared" si="125"/>
        <v>6046</v>
      </c>
      <c r="CG1053" s="69" t="str">
        <f t="shared" si="125"/>
        <v>برنامج دولى</v>
      </c>
    </row>
    <row r="1054" spans="1:85" x14ac:dyDescent="0.25">
      <c r="A1054" s="69" t="s">
        <v>1475</v>
      </c>
      <c r="B1054" s="82">
        <v>10748</v>
      </c>
      <c r="C1054" s="78">
        <v>6047</v>
      </c>
      <c r="D1054" s="69" t="s">
        <v>119</v>
      </c>
      <c r="E1054" s="69" t="s">
        <v>3002</v>
      </c>
      <c r="F1054" s="69"/>
      <c r="G1054" s="69">
        <v>2743.13</v>
      </c>
      <c r="T1054" s="69"/>
      <c r="U1054" s="69"/>
      <c r="AR1054" s="94">
        <f t="shared" si="121"/>
        <v>2743.13</v>
      </c>
      <c r="AS1054" s="69">
        <v>2440.23</v>
      </c>
      <c r="AT1054" s="69">
        <f>19.7+62.57</f>
        <v>82.27</v>
      </c>
      <c r="AU1054" s="69">
        <v>70.63</v>
      </c>
      <c r="AV1054" s="69">
        <v>150</v>
      </c>
      <c r="BC1054" s="69"/>
      <c r="BD1054" s="69"/>
      <c r="CD1054" s="94">
        <f t="shared" si="123"/>
        <v>2743.13</v>
      </c>
      <c r="CE1054" s="73">
        <f t="shared" si="124"/>
        <v>0</v>
      </c>
      <c r="CF1054" s="75">
        <f t="shared" si="125"/>
        <v>6047</v>
      </c>
      <c r="CG1054" s="69" t="str">
        <f t="shared" si="125"/>
        <v>خ ت صيدلة</v>
      </c>
    </row>
    <row r="1055" spans="1:85" x14ac:dyDescent="0.25">
      <c r="B1055" s="82">
        <v>10510</v>
      </c>
      <c r="C1055" s="78">
        <v>6048</v>
      </c>
      <c r="D1055" s="69" t="s">
        <v>78</v>
      </c>
      <c r="E1055" s="69" t="s">
        <v>2325</v>
      </c>
      <c r="F1055" s="69"/>
      <c r="G1055" s="69">
        <v>21361.58</v>
      </c>
      <c r="T1055" s="69"/>
      <c r="U1055" s="69"/>
      <c r="AR1055" s="94">
        <f t="shared" si="121"/>
        <v>21361.58</v>
      </c>
      <c r="AS1055" s="69">
        <v>14096.24</v>
      </c>
      <c r="AT1055" s="69">
        <v>1923.9</v>
      </c>
      <c r="AU1055" s="69">
        <v>5341.44</v>
      </c>
      <c r="BC1055" s="69"/>
      <c r="BD1055" s="69"/>
      <c r="CD1055" s="94">
        <f t="shared" si="123"/>
        <v>21361.579999999998</v>
      </c>
      <c r="CE1055" s="73">
        <f t="shared" si="124"/>
        <v>0</v>
      </c>
      <c r="CF1055" s="75">
        <f t="shared" si="125"/>
        <v>6048</v>
      </c>
      <c r="CG1055" s="69" t="str">
        <f t="shared" si="125"/>
        <v>برنامج دولى</v>
      </c>
    </row>
    <row r="1056" spans="1:85" x14ac:dyDescent="0.25">
      <c r="B1056" s="82">
        <v>10508</v>
      </c>
      <c r="C1056" s="78">
        <v>6049</v>
      </c>
      <c r="D1056" s="69" t="s">
        <v>78</v>
      </c>
      <c r="E1056" s="69" t="s">
        <v>2325</v>
      </c>
      <c r="F1056" s="69"/>
      <c r="G1056" s="69">
        <v>5269.35</v>
      </c>
      <c r="T1056" s="69"/>
      <c r="U1056" s="69"/>
      <c r="AR1056" s="94">
        <f t="shared" si="121"/>
        <v>5269.35</v>
      </c>
      <c r="AS1056" s="69">
        <v>3530.4</v>
      </c>
      <c r="AT1056" s="69">
        <v>479</v>
      </c>
      <c r="AU1056" s="69">
        <v>1259.95</v>
      </c>
      <c r="BC1056" s="69"/>
      <c r="BD1056" s="69"/>
      <c r="CD1056" s="94">
        <f t="shared" ref="CD1056:CD1059" si="126">SUM(AS1056:CC1056)</f>
        <v>5269.35</v>
      </c>
      <c r="CE1056" s="73">
        <f t="shared" si="124"/>
        <v>0</v>
      </c>
      <c r="CF1056" s="75">
        <f t="shared" si="125"/>
        <v>6049</v>
      </c>
      <c r="CG1056" s="69" t="str">
        <f t="shared" si="125"/>
        <v>برنامج دولى</v>
      </c>
    </row>
    <row r="1057" spans="1:88" x14ac:dyDescent="0.25">
      <c r="B1057" s="82">
        <v>10509</v>
      </c>
      <c r="C1057" s="78">
        <v>6050</v>
      </c>
      <c r="D1057" s="69" t="s">
        <v>78</v>
      </c>
      <c r="E1057" s="69" t="s">
        <v>2325</v>
      </c>
      <c r="F1057" s="69"/>
      <c r="G1057" s="69">
        <v>1758.75</v>
      </c>
      <c r="T1057" s="69"/>
      <c r="U1057" s="69"/>
      <c r="AR1057" s="94">
        <f t="shared" si="121"/>
        <v>1758.75</v>
      </c>
      <c r="AS1057" s="69">
        <v>1174.0999999999999</v>
      </c>
      <c r="AT1057" s="69">
        <f>10.9+150</f>
        <v>160.9</v>
      </c>
      <c r="AU1057" s="69">
        <f>584.65-160.9</f>
        <v>423.75</v>
      </c>
      <c r="BC1057" s="69"/>
      <c r="BD1057" s="69"/>
      <c r="CD1057" s="94">
        <f t="shared" si="126"/>
        <v>1758.75</v>
      </c>
      <c r="CE1057" s="73">
        <f t="shared" si="124"/>
        <v>0</v>
      </c>
      <c r="CF1057" s="75">
        <f t="shared" si="125"/>
        <v>6050</v>
      </c>
      <c r="CG1057" s="69" t="str">
        <f t="shared" si="125"/>
        <v>برنامج دولى</v>
      </c>
    </row>
    <row r="1058" spans="1:88" x14ac:dyDescent="0.25">
      <c r="B1058" s="82">
        <v>10417</v>
      </c>
      <c r="C1058" s="78">
        <v>6051</v>
      </c>
      <c r="D1058" s="69" t="s">
        <v>78</v>
      </c>
      <c r="E1058" s="69" t="s">
        <v>3003</v>
      </c>
      <c r="F1058" s="69"/>
      <c r="H1058" s="69">
        <v>8000</v>
      </c>
      <c r="O1058" s="69">
        <v>8000</v>
      </c>
      <c r="T1058" s="69"/>
      <c r="U1058" s="69"/>
      <c r="AR1058" s="94">
        <f t="shared" si="121"/>
        <v>16000</v>
      </c>
      <c r="AS1058" s="69">
        <v>8000</v>
      </c>
      <c r="AT1058" s="69"/>
      <c r="BC1058" s="69"/>
      <c r="BD1058" s="69"/>
      <c r="BN1058" s="69">
        <v>8000</v>
      </c>
      <c r="CD1058" s="94">
        <f t="shared" si="126"/>
        <v>16000</v>
      </c>
      <c r="CE1058" s="73">
        <f t="shared" si="124"/>
        <v>0</v>
      </c>
      <c r="CF1058" s="75">
        <f t="shared" si="125"/>
        <v>6051</v>
      </c>
      <c r="CG1058" s="69" t="str">
        <f t="shared" si="125"/>
        <v>برنامج دولى</v>
      </c>
    </row>
    <row r="1059" spans="1:88" ht="36" x14ac:dyDescent="0.25">
      <c r="B1059" s="82">
        <v>10229</v>
      </c>
      <c r="C1059" s="78">
        <v>6052</v>
      </c>
      <c r="D1059" s="69" t="s">
        <v>121</v>
      </c>
      <c r="E1059" s="77" t="s">
        <v>3004</v>
      </c>
      <c r="F1059" s="69"/>
      <c r="H1059" s="69">
        <v>23400</v>
      </c>
      <c r="T1059" s="69"/>
      <c r="U1059" s="69"/>
      <c r="AR1059" s="94">
        <f t="shared" si="121"/>
        <v>23400</v>
      </c>
      <c r="AS1059" s="69">
        <v>21693.3</v>
      </c>
      <c r="AT1059" s="69">
        <f>222.9+668.7+4.5</f>
        <v>896.1</v>
      </c>
      <c r="BC1059" s="69"/>
      <c r="BD1059" s="69"/>
      <c r="BF1059" s="69">
        <v>615.79999999999995</v>
      </c>
      <c r="BG1059" s="69">
        <v>10</v>
      </c>
      <c r="BH1059" s="69">
        <f>92.4*2</f>
        <v>184.8</v>
      </c>
      <c r="CD1059" s="94">
        <f t="shared" si="126"/>
        <v>23399.999999999996</v>
      </c>
      <c r="CE1059" s="73">
        <f t="shared" si="124"/>
        <v>0</v>
      </c>
      <c r="CF1059" s="75">
        <f t="shared" si="125"/>
        <v>6052</v>
      </c>
      <c r="CG1059" s="69" t="str">
        <f t="shared" si="125"/>
        <v>ماليزى اسنان</v>
      </c>
    </row>
    <row r="1060" spans="1:88" s="68" customFormat="1" x14ac:dyDescent="0.25">
      <c r="B1060" s="83"/>
      <c r="C1060" s="84"/>
      <c r="E1060" s="68" t="s">
        <v>3005</v>
      </c>
      <c r="G1060" s="68">
        <f>SUM(G906:G1059)</f>
        <v>1361045.4000000008</v>
      </c>
      <c r="H1060" s="68">
        <f t="shared" ref="H1060:BT1060" si="127">SUM(H906:H1059)</f>
        <v>655950.37</v>
      </c>
      <c r="I1060" s="68">
        <f t="shared" si="127"/>
        <v>0</v>
      </c>
      <c r="J1060" s="68">
        <f t="shared" si="127"/>
        <v>0</v>
      </c>
      <c r="K1060" s="68">
        <f t="shared" si="127"/>
        <v>23000</v>
      </c>
      <c r="L1060" s="68">
        <f t="shared" si="127"/>
        <v>23000</v>
      </c>
      <c r="M1060" s="68">
        <f t="shared" si="127"/>
        <v>23000</v>
      </c>
      <c r="N1060" s="68">
        <f t="shared" si="127"/>
        <v>0</v>
      </c>
      <c r="O1060" s="68">
        <f t="shared" si="127"/>
        <v>8000</v>
      </c>
      <c r="P1060" s="68">
        <f t="shared" si="127"/>
        <v>0</v>
      </c>
      <c r="Q1060" s="68">
        <f t="shared" si="127"/>
        <v>0</v>
      </c>
      <c r="R1060" s="68">
        <f t="shared" si="127"/>
        <v>0</v>
      </c>
      <c r="S1060" s="68">
        <f t="shared" si="127"/>
        <v>0</v>
      </c>
      <c r="T1060" s="68">
        <f t="shared" si="127"/>
        <v>0</v>
      </c>
      <c r="U1060" s="68">
        <f t="shared" si="127"/>
        <v>0</v>
      </c>
      <c r="V1060" s="68">
        <f t="shared" si="127"/>
        <v>0</v>
      </c>
      <c r="W1060" s="68">
        <f t="shared" si="127"/>
        <v>273</v>
      </c>
      <c r="X1060" s="68">
        <f t="shared" si="127"/>
        <v>0</v>
      </c>
      <c r="Y1060" s="68">
        <f t="shared" si="127"/>
        <v>0</v>
      </c>
      <c r="Z1060" s="68">
        <f t="shared" si="127"/>
        <v>0</v>
      </c>
      <c r="AA1060" s="68">
        <f t="shared" si="127"/>
        <v>12996</v>
      </c>
      <c r="AB1060" s="68">
        <f t="shared" si="127"/>
        <v>0</v>
      </c>
      <c r="AC1060" s="68">
        <f t="shared" si="127"/>
        <v>0</v>
      </c>
      <c r="AD1060" s="68">
        <f t="shared" si="127"/>
        <v>0</v>
      </c>
      <c r="AE1060" s="68">
        <f t="shared" si="127"/>
        <v>0</v>
      </c>
      <c r="AF1060" s="68">
        <f t="shared" si="127"/>
        <v>0</v>
      </c>
      <c r="AG1060" s="68">
        <f t="shared" si="127"/>
        <v>0</v>
      </c>
      <c r="AH1060" s="68">
        <f t="shared" si="127"/>
        <v>0</v>
      </c>
      <c r="AI1060" s="68">
        <f t="shared" si="127"/>
        <v>0</v>
      </c>
      <c r="AJ1060" s="68">
        <f t="shared" si="127"/>
        <v>0</v>
      </c>
      <c r="AK1060" s="68">
        <f t="shared" si="127"/>
        <v>0</v>
      </c>
      <c r="AL1060" s="68">
        <f t="shared" si="127"/>
        <v>0</v>
      </c>
      <c r="AM1060" s="68">
        <f t="shared" si="127"/>
        <v>0</v>
      </c>
      <c r="AO1060" s="68">
        <f t="shared" si="127"/>
        <v>0</v>
      </c>
      <c r="AP1060" s="68">
        <f t="shared" si="127"/>
        <v>0</v>
      </c>
      <c r="AQ1060" s="68">
        <f t="shared" si="127"/>
        <v>0</v>
      </c>
      <c r="AR1060" s="94">
        <f t="shared" si="121"/>
        <v>2107264.7700000009</v>
      </c>
      <c r="AS1060" s="68">
        <f t="shared" si="127"/>
        <v>1556115.6900000004</v>
      </c>
      <c r="AT1060" s="68">
        <f t="shared" si="127"/>
        <v>142951.27999999991</v>
      </c>
      <c r="AU1060" s="68">
        <f t="shared" si="127"/>
        <v>285067.73999999993</v>
      </c>
      <c r="AV1060" s="68">
        <f t="shared" si="127"/>
        <v>1683.9099999999996</v>
      </c>
      <c r="AW1060" s="68">
        <f t="shared" si="127"/>
        <v>0</v>
      </c>
      <c r="AX1060" s="68">
        <f t="shared" si="127"/>
        <v>0</v>
      </c>
      <c r="AY1060" s="68">
        <f t="shared" si="127"/>
        <v>0</v>
      </c>
      <c r="AZ1060" s="68">
        <f t="shared" si="127"/>
        <v>0</v>
      </c>
      <c r="BA1060" s="68">
        <f t="shared" si="127"/>
        <v>0</v>
      </c>
      <c r="BB1060" s="68">
        <f t="shared" si="127"/>
        <v>0</v>
      </c>
      <c r="BC1060" s="68">
        <f t="shared" si="127"/>
        <v>0</v>
      </c>
      <c r="BD1060" s="68">
        <f t="shared" si="127"/>
        <v>0</v>
      </c>
      <c r="BE1060" s="68">
        <f t="shared" si="127"/>
        <v>0</v>
      </c>
      <c r="BF1060" s="68">
        <f t="shared" si="127"/>
        <v>6115.55</v>
      </c>
      <c r="BG1060" s="68">
        <f t="shared" si="127"/>
        <v>528</v>
      </c>
      <c r="BH1060" s="68">
        <f t="shared" si="127"/>
        <v>274.8</v>
      </c>
      <c r="BI1060" s="68">
        <f t="shared" si="127"/>
        <v>24625.9</v>
      </c>
      <c r="BJ1060" s="68">
        <f t="shared" si="127"/>
        <v>0</v>
      </c>
      <c r="BK1060" s="68">
        <f t="shared" si="127"/>
        <v>23000</v>
      </c>
      <c r="BL1060" s="68">
        <f t="shared" si="127"/>
        <v>23000</v>
      </c>
      <c r="BM1060" s="68">
        <f t="shared" si="127"/>
        <v>0</v>
      </c>
      <c r="BN1060" s="68">
        <f t="shared" si="127"/>
        <v>8000</v>
      </c>
      <c r="BO1060" s="68">
        <f t="shared" si="127"/>
        <v>0</v>
      </c>
      <c r="BP1060" s="68">
        <f t="shared" si="127"/>
        <v>0</v>
      </c>
      <c r="BQ1060" s="68">
        <f t="shared" si="127"/>
        <v>12996</v>
      </c>
      <c r="BR1060" s="68">
        <f t="shared" si="127"/>
        <v>0</v>
      </c>
      <c r="BS1060" s="68">
        <f t="shared" si="127"/>
        <v>0</v>
      </c>
      <c r="BT1060" s="68">
        <f t="shared" si="127"/>
        <v>0</v>
      </c>
      <c r="BU1060" s="68">
        <f t="shared" ref="BU1060:CH1060" si="128">SUM(BU906:BU1059)</f>
        <v>0</v>
      </c>
      <c r="BV1060" s="68">
        <f t="shared" si="128"/>
        <v>0</v>
      </c>
      <c r="BW1060" s="68">
        <f t="shared" si="128"/>
        <v>0</v>
      </c>
      <c r="BX1060" s="68">
        <f t="shared" si="128"/>
        <v>0</v>
      </c>
      <c r="BY1060" s="68">
        <f t="shared" si="128"/>
        <v>0</v>
      </c>
      <c r="CA1060" s="68">
        <f t="shared" si="128"/>
        <v>0</v>
      </c>
      <c r="CB1060" s="68">
        <f t="shared" si="128"/>
        <v>0</v>
      </c>
      <c r="CC1060" s="68">
        <f t="shared" si="128"/>
        <v>22905.9</v>
      </c>
      <c r="CD1060" s="94">
        <f t="shared" ref="CD1060:CD1061" si="129">SUM(AS1060:CC1060)</f>
        <v>2107264.77</v>
      </c>
      <c r="CE1060" s="73">
        <f t="shared" si="124"/>
        <v>0</v>
      </c>
      <c r="CF1060" s="75">
        <f t="shared" si="125"/>
        <v>0</v>
      </c>
      <c r="CG1060" s="69">
        <f t="shared" si="125"/>
        <v>0</v>
      </c>
      <c r="CH1060" s="68">
        <f t="shared" si="128"/>
        <v>0</v>
      </c>
    </row>
    <row r="1061" spans="1:88" x14ac:dyDescent="0.25">
      <c r="B1061" s="82">
        <v>5024</v>
      </c>
      <c r="C1061" s="78">
        <v>5940</v>
      </c>
      <c r="E1061" s="69" t="s">
        <v>3006</v>
      </c>
      <c r="F1061" s="69" t="s">
        <v>220</v>
      </c>
      <c r="T1061" s="69"/>
      <c r="U1061" s="69"/>
      <c r="AC1061" s="69">
        <v>633.20000000000005</v>
      </c>
      <c r="AR1061" s="94">
        <f t="shared" si="121"/>
        <v>633.20000000000005</v>
      </c>
      <c r="AS1061" s="69">
        <v>633.20000000000005</v>
      </c>
      <c r="AT1061" s="69"/>
      <c r="BC1061" s="69"/>
      <c r="BD1061" s="69"/>
      <c r="CD1061" s="94">
        <f t="shared" si="129"/>
        <v>633.20000000000005</v>
      </c>
      <c r="CE1061" s="73">
        <f t="shared" si="124"/>
        <v>0</v>
      </c>
      <c r="CF1061" s="75">
        <f t="shared" si="125"/>
        <v>5940</v>
      </c>
      <c r="CG1061" s="69">
        <f t="shared" si="125"/>
        <v>0</v>
      </c>
    </row>
    <row r="1062" spans="1:88" s="68" customFormat="1" x14ac:dyDescent="0.25">
      <c r="B1062" s="83"/>
      <c r="C1062" s="84"/>
      <c r="E1062" s="68" t="s">
        <v>3007</v>
      </c>
      <c r="AC1062" s="68">
        <f>SUM(AC1061)</f>
        <v>633.20000000000005</v>
      </c>
      <c r="AD1062" s="68">
        <f t="shared" ref="AD1062:CJ1062" si="130">SUM(AD1061)</f>
        <v>0</v>
      </c>
      <c r="AE1062" s="68">
        <f t="shared" si="130"/>
        <v>0</v>
      </c>
      <c r="AF1062" s="68">
        <f t="shared" si="130"/>
        <v>0</v>
      </c>
      <c r="AG1062" s="68">
        <f t="shared" si="130"/>
        <v>0</v>
      </c>
      <c r="AH1062" s="68">
        <f t="shared" si="130"/>
        <v>0</v>
      </c>
      <c r="AI1062" s="68">
        <f t="shared" si="130"/>
        <v>0</v>
      </c>
      <c r="AJ1062" s="68">
        <f t="shared" si="130"/>
        <v>0</v>
      </c>
      <c r="AK1062" s="68">
        <f t="shared" si="130"/>
        <v>0</v>
      </c>
      <c r="AL1062" s="68">
        <f t="shared" si="130"/>
        <v>0</v>
      </c>
      <c r="AM1062" s="68">
        <f t="shared" si="130"/>
        <v>0</v>
      </c>
      <c r="AO1062" s="68">
        <f t="shared" si="130"/>
        <v>0</v>
      </c>
      <c r="AP1062" s="68">
        <f t="shared" si="130"/>
        <v>0</v>
      </c>
      <c r="AQ1062" s="68">
        <f t="shared" si="130"/>
        <v>0</v>
      </c>
      <c r="AR1062" s="68">
        <f t="shared" si="130"/>
        <v>633.20000000000005</v>
      </c>
      <c r="AS1062" s="68">
        <f t="shared" si="130"/>
        <v>633.20000000000005</v>
      </c>
      <c r="AT1062" s="68">
        <f t="shared" si="130"/>
        <v>0</v>
      </c>
      <c r="AU1062" s="68">
        <f t="shared" si="130"/>
        <v>0</v>
      </c>
      <c r="AV1062" s="68">
        <f t="shared" si="130"/>
        <v>0</v>
      </c>
      <c r="AW1062" s="68">
        <f t="shared" si="130"/>
        <v>0</v>
      </c>
      <c r="AX1062" s="68">
        <f t="shared" si="130"/>
        <v>0</v>
      </c>
      <c r="AY1062" s="68">
        <f t="shared" si="130"/>
        <v>0</v>
      </c>
      <c r="AZ1062" s="68">
        <f t="shared" si="130"/>
        <v>0</v>
      </c>
      <c r="BA1062" s="68">
        <f t="shared" si="130"/>
        <v>0</v>
      </c>
      <c r="BB1062" s="68">
        <f t="shared" si="130"/>
        <v>0</v>
      </c>
      <c r="BC1062" s="68">
        <f t="shared" si="130"/>
        <v>0</v>
      </c>
      <c r="BD1062" s="68">
        <f t="shared" si="130"/>
        <v>0</v>
      </c>
      <c r="BE1062" s="68">
        <f t="shared" si="130"/>
        <v>0</v>
      </c>
      <c r="BF1062" s="68">
        <f t="shared" si="130"/>
        <v>0</v>
      </c>
      <c r="BG1062" s="68">
        <f t="shared" si="130"/>
        <v>0</v>
      </c>
      <c r="BH1062" s="68">
        <f t="shared" si="130"/>
        <v>0</v>
      </c>
      <c r="BI1062" s="68">
        <f t="shared" si="130"/>
        <v>0</v>
      </c>
      <c r="BJ1062" s="68">
        <f t="shared" si="130"/>
        <v>0</v>
      </c>
      <c r="BK1062" s="68">
        <f t="shared" si="130"/>
        <v>0</v>
      </c>
      <c r="BL1062" s="68">
        <f t="shared" si="130"/>
        <v>0</v>
      </c>
      <c r="BM1062" s="68">
        <f t="shared" si="130"/>
        <v>0</v>
      </c>
      <c r="BN1062" s="68">
        <f t="shared" si="130"/>
        <v>0</v>
      </c>
      <c r="BO1062" s="68">
        <f t="shared" si="130"/>
        <v>0</v>
      </c>
      <c r="BP1062" s="68">
        <f t="shared" si="130"/>
        <v>0</v>
      </c>
      <c r="BQ1062" s="68">
        <f t="shared" si="130"/>
        <v>0</v>
      </c>
      <c r="BR1062" s="68">
        <f t="shared" si="130"/>
        <v>0</v>
      </c>
      <c r="BS1062" s="68">
        <f t="shared" si="130"/>
        <v>0</v>
      </c>
      <c r="BT1062" s="68">
        <f t="shared" si="130"/>
        <v>0</v>
      </c>
      <c r="BU1062" s="68">
        <f t="shared" si="130"/>
        <v>0</v>
      </c>
      <c r="BV1062" s="68">
        <f t="shared" si="130"/>
        <v>0</v>
      </c>
      <c r="BW1062" s="68">
        <f t="shared" si="130"/>
        <v>0</v>
      </c>
      <c r="BX1062" s="68">
        <f t="shared" si="130"/>
        <v>0</v>
      </c>
      <c r="BY1062" s="68">
        <f t="shared" si="130"/>
        <v>0</v>
      </c>
      <c r="CA1062" s="68">
        <f t="shared" si="130"/>
        <v>0</v>
      </c>
      <c r="CB1062" s="68">
        <f t="shared" si="130"/>
        <v>0</v>
      </c>
      <c r="CC1062" s="68">
        <f t="shared" si="130"/>
        <v>0</v>
      </c>
      <c r="CD1062" s="68">
        <f t="shared" si="130"/>
        <v>633.20000000000005</v>
      </c>
      <c r="CE1062" s="68">
        <f t="shared" si="130"/>
        <v>0</v>
      </c>
      <c r="CF1062" s="68">
        <f t="shared" si="130"/>
        <v>5940</v>
      </c>
      <c r="CG1062" s="68">
        <f t="shared" si="130"/>
        <v>0</v>
      </c>
      <c r="CH1062" s="68">
        <f t="shared" si="130"/>
        <v>0</v>
      </c>
      <c r="CI1062" s="68">
        <f t="shared" si="130"/>
        <v>0</v>
      </c>
      <c r="CJ1062" s="68">
        <f t="shared" si="130"/>
        <v>0</v>
      </c>
    </row>
    <row r="1063" spans="1:88" x14ac:dyDescent="0.25">
      <c r="A1063" s="69">
        <v>1</v>
      </c>
      <c r="B1063" s="82">
        <v>10699</v>
      </c>
      <c r="C1063" s="78">
        <v>6053</v>
      </c>
      <c r="D1063" s="69" t="s">
        <v>78</v>
      </c>
      <c r="E1063" s="69" t="s">
        <v>3008</v>
      </c>
      <c r="F1063" s="69"/>
      <c r="G1063" s="69">
        <v>1758.75</v>
      </c>
      <c r="T1063" s="69"/>
      <c r="U1063" s="69"/>
      <c r="AR1063" s="94">
        <f t="shared" ref="AR1063:AR1082" si="131">SUM(G1063:AQ1063)</f>
        <v>1758.75</v>
      </c>
      <c r="AS1063" s="69">
        <v>1175.3499999999999</v>
      </c>
      <c r="AT1063" s="69">
        <v>159.65</v>
      </c>
      <c r="AU1063" s="69">
        <v>423.75</v>
      </c>
      <c r="BC1063" s="69"/>
      <c r="BD1063" s="69"/>
      <c r="CD1063" s="94">
        <f t="shared" si="123"/>
        <v>1758.75</v>
      </c>
      <c r="CE1063" s="73">
        <f t="shared" si="124"/>
        <v>0</v>
      </c>
      <c r="CF1063" s="75">
        <f t="shared" ref="CF1063:CG1082" si="132">+C1063</f>
        <v>6053</v>
      </c>
      <c r="CG1063" s="69" t="str">
        <f t="shared" si="132"/>
        <v>برنامج دولى</v>
      </c>
    </row>
    <row r="1064" spans="1:88" x14ac:dyDescent="0.25">
      <c r="A1064" s="69">
        <v>2</v>
      </c>
      <c r="B1064" s="82">
        <v>10494</v>
      </c>
      <c r="C1064" s="78">
        <v>6054</v>
      </c>
      <c r="D1064" s="69" t="s">
        <v>78</v>
      </c>
      <c r="E1064" s="69" t="s">
        <v>3009</v>
      </c>
      <c r="F1064" s="69"/>
      <c r="G1064" s="69">
        <v>15346.13</v>
      </c>
      <c r="T1064" s="69"/>
      <c r="U1064" s="69"/>
      <c r="AR1064" s="94">
        <f t="shared" si="131"/>
        <v>15346.13</v>
      </c>
      <c r="AS1064" s="69">
        <v>12898.2</v>
      </c>
      <c r="AT1064" s="69">
        <v>1572.51</v>
      </c>
      <c r="AU1064" s="69">
        <v>875.42</v>
      </c>
      <c r="BC1064" s="69"/>
      <c r="BD1064" s="69"/>
      <c r="CD1064" s="94">
        <f t="shared" si="123"/>
        <v>15346.130000000001</v>
      </c>
      <c r="CE1064" s="73">
        <f t="shared" si="124"/>
        <v>0</v>
      </c>
      <c r="CF1064" s="75">
        <f t="shared" si="132"/>
        <v>6054</v>
      </c>
      <c r="CG1064" s="69" t="str">
        <f t="shared" si="132"/>
        <v>برنامج دولى</v>
      </c>
    </row>
    <row r="1065" spans="1:88" x14ac:dyDescent="0.25">
      <c r="A1065" s="69">
        <v>3</v>
      </c>
      <c r="B1065" s="82">
        <v>10493</v>
      </c>
      <c r="C1065" s="78">
        <v>6055</v>
      </c>
      <c r="D1065" s="69" t="s">
        <v>78</v>
      </c>
      <c r="E1065" s="69" t="s">
        <v>2533</v>
      </c>
      <c r="F1065" s="69"/>
      <c r="G1065" s="69">
        <v>12677.32</v>
      </c>
      <c r="T1065" s="69"/>
      <c r="U1065" s="69"/>
      <c r="AR1065" s="94">
        <f t="shared" si="131"/>
        <v>12677.32</v>
      </c>
      <c r="AS1065" s="69">
        <v>11050.73</v>
      </c>
      <c r="AT1065" s="69">
        <v>1336.2</v>
      </c>
      <c r="AU1065" s="69">
        <v>290.39</v>
      </c>
      <c r="BC1065" s="69"/>
      <c r="BD1065" s="69"/>
      <c r="CD1065" s="94">
        <f t="shared" si="123"/>
        <v>12677.32</v>
      </c>
      <c r="CE1065" s="73">
        <f t="shared" si="124"/>
        <v>0</v>
      </c>
      <c r="CF1065" s="75">
        <f t="shared" si="132"/>
        <v>6055</v>
      </c>
      <c r="CG1065" s="69" t="str">
        <f t="shared" si="132"/>
        <v>برنامج دولى</v>
      </c>
    </row>
    <row r="1066" spans="1:88" x14ac:dyDescent="0.25">
      <c r="A1066" s="69">
        <v>4</v>
      </c>
      <c r="B1066" s="82">
        <v>10491</v>
      </c>
      <c r="C1066" s="78">
        <v>6056</v>
      </c>
      <c r="D1066" s="69" t="s">
        <v>78</v>
      </c>
      <c r="E1066" s="69" t="s">
        <v>3010</v>
      </c>
      <c r="F1066" s="69"/>
      <c r="G1066" s="69">
        <v>1758.75</v>
      </c>
      <c r="T1066" s="69"/>
      <c r="U1066" s="69"/>
      <c r="AR1066" s="94">
        <f t="shared" si="131"/>
        <v>1758.75</v>
      </c>
      <c r="AS1066" s="69">
        <v>1175.3499999999999</v>
      </c>
      <c r="AT1066" s="69">
        <v>159.65</v>
      </c>
      <c r="AU1066" s="69">
        <v>423.75</v>
      </c>
      <c r="BC1066" s="69"/>
      <c r="BD1066" s="69"/>
      <c r="CD1066" s="94">
        <f t="shared" si="123"/>
        <v>1758.75</v>
      </c>
      <c r="CE1066" s="73">
        <f t="shared" si="124"/>
        <v>0</v>
      </c>
      <c r="CF1066" s="75">
        <f t="shared" si="132"/>
        <v>6056</v>
      </c>
      <c r="CG1066" s="69" t="str">
        <f t="shared" si="132"/>
        <v>برنامج دولى</v>
      </c>
    </row>
    <row r="1067" spans="1:88" x14ac:dyDescent="0.25">
      <c r="A1067" s="69">
        <v>5</v>
      </c>
      <c r="B1067" s="82">
        <v>10490</v>
      </c>
      <c r="C1067" s="78">
        <v>6057</v>
      </c>
      <c r="D1067" s="69" t="s">
        <v>78</v>
      </c>
      <c r="E1067" s="69" t="s">
        <v>3010</v>
      </c>
      <c r="F1067" s="69"/>
      <c r="G1067" s="69">
        <v>1092.4000000000001</v>
      </c>
      <c r="T1067" s="69"/>
      <c r="U1067" s="69"/>
      <c r="AR1067" s="94">
        <f t="shared" si="131"/>
        <v>1092.4000000000001</v>
      </c>
      <c r="AS1067" s="69">
        <v>682.87</v>
      </c>
      <c r="AT1067" s="69">
        <v>94.45</v>
      </c>
      <c r="AU1067" s="69">
        <v>315.08</v>
      </c>
      <c r="BC1067" s="69"/>
      <c r="BD1067" s="69"/>
      <c r="CD1067" s="94">
        <f t="shared" si="123"/>
        <v>1092.4000000000001</v>
      </c>
      <c r="CE1067" s="73">
        <f t="shared" si="124"/>
        <v>0</v>
      </c>
      <c r="CF1067" s="75">
        <f t="shared" si="132"/>
        <v>6057</v>
      </c>
      <c r="CG1067" s="69" t="str">
        <f t="shared" si="132"/>
        <v>برنامج دولى</v>
      </c>
    </row>
    <row r="1068" spans="1:88" x14ac:dyDescent="0.25">
      <c r="A1068" s="69">
        <v>6</v>
      </c>
      <c r="B1068" s="82">
        <v>10489</v>
      </c>
      <c r="C1068" s="78">
        <v>6058</v>
      </c>
      <c r="D1068" s="69" t="s">
        <v>78</v>
      </c>
      <c r="E1068" s="69" t="s">
        <v>3010</v>
      </c>
      <c r="F1068" s="69"/>
      <c r="G1068" s="69">
        <v>1172.5</v>
      </c>
      <c r="T1068" s="69"/>
      <c r="U1068" s="69"/>
      <c r="AR1068" s="94">
        <f t="shared" si="131"/>
        <v>1172.5</v>
      </c>
      <c r="AS1068" s="69">
        <v>784.1</v>
      </c>
      <c r="AT1068" s="69">
        <v>105.9</v>
      </c>
      <c r="AU1068" s="69">
        <v>282.5</v>
      </c>
      <c r="BC1068" s="69"/>
      <c r="BD1068" s="69"/>
      <c r="CD1068" s="94">
        <f t="shared" si="123"/>
        <v>1172.5</v>
      </c>
      <c r="CE1068" s="73">
        <f t="shared" si="124"/>
        <v>0</v>
      </c>
      <c r="CF1068" s="75">
        <f t="shared" si="132"/>
        <v>6058</v>
      </c>
      <c r="CG1068" s="69" t="str">
        <f t="shared" si="132"/>
        <v>برنامج دولى</v>
      </c>
    </row>
    <row r="1069" spans="1:88" x14ac:dyDescent="0.25">
      <c r="A1069" s="69">
        <v>7</v>
      </c>
      <c r="B1069" s="82">
        <v>10488</v>
      </c>
      <c r="C1069" s="78">
        <v>6059</v>
      </c>
      <c r="D1069" s="69" t="s">
        <v>78</v>
      </c>
      <c r="E1069" s="69" t="s">
        <v>3011</v>
      </c>
      <c r="F1069" s="69"/>
      <c r="G1069" s="69">
        <v>2345</v>
      </c>
      <c r="T1069" s="69"/>
      <c r="U1069" s="69"/>
      <c r="AR1069" s="94">
        <f t="shared" si="131"/>
        <v>2345</v>
      </c>
      <c r="AS1069" s="69">
        <v>1567</v>
      </c>
      <c r="AT1069" s="69">
        <v>213</v>
      </c>
      <c r="AU1069" s="69">
        <v>565</v>
      </c>
      <c r="BC1069" s="69"/>
      <c r="BD1069" s="69"/>
      <c r="CD1069" s="94">
        <f t="shared" si="123"/>
        <v>2345</v>
      </c>
      <c r="CE1069" s="73">
        <f t="shared" si="124"/>
        <v>0</v>
      </c>
      <c r="CF1069" s="75">
        <f t="shared" si="132"/>
        <v>6059</v>
      </c>
      <c r="CG1069" s="69" t="str">
        <f t="shared" si="132"/>
        <v>برنامج دولى</v>
      </c>
    </row>
    <row r="1070" spans="1:88" x14ac:dyDescent="0.25">
      <c r="A1070" s="69">
        <v>8</v>
      </c>
      <c r="B1070" s="82">
        <v>10487</v>
      </c>
      <c r="C1070" s="78">
        <v>6060</v>
      </c>
      <c r="D1070" s="69" t="s">
        <v>78</v>
      </c>
      <c r="E1070" s="69" t="s">
        <v>3011</v>
      </c>
      <c r="F1070" s="69"/>
      <c r="G1070" s="69">
        <v>762.12</v>
      </c>
      <c r="T1070" s="69"/>
      <c r="U1070" s="69"/>
      <c r="AR1070" s="94">
        <f t="shared" si="131"/>
        <v>762.12</v>
      </c>
      <c r="AS1070" s="69">
        <v>509.8</v>
      </c>
      <c r="AT1070" s="69">
        <v>68.7</v>
      </c>
      <c r="AU1070" s="69">
        <v>183.62</v>
      </c>
      <c r="BC1070" s="69"/>
      <c r="BD1070" s="69"/>
      <c r="CD1070" s="94">
        <f t="shared" si="123"/>
        <v>762.12</v>
      </c>
      <c r="CE1070" s="73">
        <f t="shared" si="124"/>
        <v>0</v>
      </c>
      <c r="CF1070" s="75">
        <f t="shared" si="132"/>
        <v>6060</v>
      </c>
      <c r="CG1070" s="69" t="str">
        <f t="shared" si="132"/>
        <v>برنامج دولى</v>
      </c>
    </row>
    <row r="1071" spans="1:88" x14ac:dyDescent="0.25">
      <c r="A1071" s="69">
        <v>9</v>
      </c>
      <c r="B1071" s="82">
        <v>10486</v>
      </c>
      <c r="C1071" s="78">
        <v>6061</v>
      </c>
      <c r="D1071" s="69" t="s">
        <v>78</v>
      </c>
      <c r="E1071" s="69" t="s">
        <v>3011</v>
      </c>
      <c r="F1071" s="69"/>
      <c r="G1071" s="69">
        <v>2755.38</v>
      </c>
      <c r="T1071" s="69"/>
      <c r="U1071" s="69"/>
      <c r="AR1071" s="94">
        <f t="shared" si="131"/>
        <v>2755.38</v>
      </c>
      <c r="AS1071" s="69">
        <v>1843.35</v>
      </c>
      <c r="AT1071" s="69">
        <v>248.15</v>
      </c>
      <c r="AU1071" s="69">
        <v>663.88</v>
      </c>
      <c r="BC1071" s="69"/>
      <c r="BD1071" s="69"/>
      <c r="CD1071" s="94">
        <f t="shared" si="123"/>
        <v>2755.38</v>
      </c>
      <c r="CE1071" s="73">
        <f t="shared" si="124"/>
        <v>0</v>
      </c>
      <c r="CF1071" s="75">
        <f t="shared" si="132"/>
        <v>6061</v>
      </c>
      <c r="CG1071" s="69" t="str">
        <f t="shared" si="132"/>
        <v>برنامج دولى</v>
      </c>
    </row>
    <row r="1072" spans="1:88" x14ac:dyDescent="0.25">
      <c r="A1072" s="69">
        <v>10</v>
      </c>
      <c r="B1072" s="82">
        <v>10485</v>
      </c>
      <c r="C1072" s="78">
        <v>6062</v>
      </c>
      <c r="D1072" s="69" t="s">
        <v>78</v>
      </c>
      <c r="E1072" s="69" t="s">
        <v>3011</v>
      </c>
      <c r="F1072" s="69"/>
      <c r="G1072" s="69">
        <v>9755</v>
      </c>
      <c r="T1072" s="69"/>
      <c r="U1072" s="69"/>
      <c r="AR1072" s="94">
        <f t="shared" si="131"/>
        <v>9755</v>
      </c>
      <c r="AS1072" s="69">
        <v>6495.33</v>
      </c>
      <c r="AT1072" s="69">
        <v>876.85</v>
      </c>
      <c r="AU1072" s="69">
        <v>2382.8200000000002</v>
      </c>
      <c r="BC1072" s="69"/>
      <c r="BD1072" s="69"/>
      <c r="CD1072" s="94">
        <f t="shared" si="123"/>
        <v>9755</v>
      </c>
      <c r="CE1072" s="73">
        <f t="shared" si="124"/>
        <v>0</v>
      </c>
      <c r="CF1072" s="75">
        <f t="shared" si="132"/>
        <v>6062</v>
      </c>
      <c r="CG1072" s="69" t="str">
        <f t="shared" si="132"/>
        <v>برنامج دولى</v>
      </c>
    </row>
    <row r="1073" spans="1:87" x14ac:dyDescent="0.25">
      <c r="A1073" s="69">
        <v>11</v>
      </c>
      <c r="B1073" s="82">
        <v>10484</v>
      </c>
      <c r="C1073" s="78">
        <v>6063</v>
      </c>
      <c r="D1073" s="69" t="s">
        <v>78</v>
      </c>
      <c r="E1073" s="69" t="s">
        <v>3011</v>
      </c>
      <c r="F1073" s="69"/>
      <c r="G1073" s="69">
        <v>2696.75</v>
      </c>
      <c r="T1073" s="69"/>
      <c r="U1073" s="69"/>
      <c r="AR1073" s="94">
        <f t="shared" si="131"/>
        <v>2696.75</v>
      </c>
      <c r="AS1073" s="69">
        <v>1802</v>
      </c>
      <c r="AT1073" s="69">
        <v>245</v>
      </c>
      <c r="AU1073" s="69">
        <v>649.75</v>
      </c>
      <c r="BC1073" s="69"/>
      <c r="BD1073" s="69"/>
      <c r="CD1073" s="94">
        <f t="shared" si="123"/>
        <v>2696.75</v>
      </c>
      <c r="CE1073" s="73">
        <f t="shared" si="124"/>
        <v>0</v>
      </c>
      <c r="CF1073" s="75">
        <f t="shared" si="132"/>
        <v>6063</v>
      </c>
      <c r="CG1073" s="69" t="str">
        <f t="shared" si="132"/>
        <v>برنامج دولى</v>
      </c>
    </row>
    <row r="1074" spans="1:87" x14ac:dyDescent="0.25">
      <c r="A1074" s="69">
        <v>12</v>
      </c>
      <c r="B1074" s="82">
        <v>10483</v>
      </c>
      <c r="C1074" s="78">
        <v>6064</v>
      </c>
      <c r="D1074" s="69" t="s">
        <v>78</v>
      </c>
      <c r="E1074" s="69" t="s">
        <v>3011</v>
      </c>
      <c r="F1074" s="69"/>
      <c r="G1074" s="69">
        <v>2900</v>
      </c>
      <c r="T1074" s="69"/>
      <c r="U1074" s="69"/>
      <c r="AR1074" s="94">
        <f t="shared" si="131"/>
        <v>2900</v>
      </c>
      <c r="AS1074" s="69">
        <v>2588.6</v>
      </c>
      <c r="AT1074" s="69">
        <v>311.39999999999998</v>
      </c>
      <c r="BC1074" s="69"/>
      <c r="BD1074" s="69"/>
      <c r="CD1074" s="94">
        <f t="shared" si="123"/>
        <v>2900</v>
      </c>
      <c r="CE1074" s="73">
        <f t="shared" si="124"/>
        <v>0</v>
      </c>
      <c r="CF1074" s="75">
        <f t="shared" si="132"/>
        <v>6064</v>
      </c>
      <c r="CG1074" s="69" t="str">
        <f t="shared" si="132"/>
        <v>برنامج دولى</v>
      </c>
    </row>
    <row r="1075" spans="1:87" x14ac:dyDescent="0.25">
      <c r="A1075" s="69">
        <v>13</v>
      </c>
      <c r="B1075" s="82">
        <v>10482</v>
      </c>
      <c r="C1075" s="78">
        <v>6065</v>
      </c>
      <c r="D1075" s="69" t="s">
        <v>78</v>
      </c>
      <c r="E1075" s="69" t="s">
        <v>3012</v>
      </c>
      <c r="F1075" s="69"/>
      <c r="G1075" s="69">
        <v>1758.76</v>
      </c>
      <c r="T1075" s="69"/>
      <c r="U1075" s="69"/>
      <c r="AR1075" s="94">
        <f t="shared" si="131"/>
        <v>1758.76</v>
      </c>
      <c r="AS1075" s="69">
        <v>1176.3</v>
      </c>
      <c r="AT1075" s="69">
        <v>158.69999999999999</v>
      </c>
      <c r="AU1075" s="69">
        <v>423.76</v>
      </c>
      <c r="BC1075" s="69"/>
      <c r="BD1075" s="69"/>
      <c r="CD1075" s="94">
        <f t="shared" si="123"/>
        <v>1758.76</v>
      </c>
      <c r="CE1075" s="73">
        <f t="shared" si="124"/>
        <v>0</v>
      </c>
      <c r="CF1075" s="75">
        <f t="shared" si="132"/>
        <v>6065</v>
      </c>
      <c r="CG1075" s="69" t="str">
        <f t="shared" si="132"/>
        <v>برنامج دولى</v>
      </c>
    </row>
    <row r="1076" spans="1:87" x14ac:dyDescent="0.25">
      <c r="A1076" s="69">
        <v>14</v>
      </c>
      <c r="B1076" s="82">
        <v>10481</v>
      </c>
      <c r="C1076" s="78">
        <v>6066</v>
      </c>
      <c r="D1076" s="69" t="s">
        <v>78</v>
      </c>
      <c r="E1076" s="69" t="s">
        <v>3012</v>
      </c>
      <c r="F1076" s="69"/>
      <c r="G1076" s="69">
        <v>1087.6099999999999</v>
      </c>
      <c r="T1076" s="69"/>
      <c r="U1076" s="69"/>
      <c r="AR1076" s="94">
        <f t="shared" si="131"/>
        <v>1087.6099999999999</v>
      </c>
      <c r="AS1076" s="69">
        <v>837.83</v>
      </c>
      <c r="AT1076" s="69">
        <v>106.3</v>
      </c>
      <c r="AU1076" s="69">
        <v>143.47999999999999</v>
      </c>
      <c r="BC1076" s="69"/>
      <c r="BD1076" s="69"/>
      <c r="CD1076" s="94">
        <f t="shared" si="123"/>
        <v>1087.6099999999999</v>
      </c>
      <c r="CE1076" s="73">
        <f t="shared" si="124"/>
        <v>0</v>
      </c>
      <c r="CF1076" s="75">
        <f t="shared" si="132"/>
        <v>6066</v>
      </c>
      <c r="CG1076" s="69" t="str">
        <f t="shared" si="132"/>
        <v>برنامج دولى</v>
      </c>
    </row>
    <row r="1077" spans="1:87" x14ac:dyDescent="0.25">
      <c r="A1077" s="69">
        <v>15</v>
      </c>
      <c r="B1077" s="82">
        <v>10480</v>
      </c>
      <c r="C1077" s="78">
        <v>6067</v>
      </c>
      <c r="D1077" s="69" t="s">
        <v>78</v>
      </c>
      <c r="E1077" s="69" t="s">
        <v>3013</v>
      </c>
      <c r="F1077" s="69"/>
      <c r="G1077" s="69">
        <v>879.38</v>
      </c>
      <c r="T1077" s="69"/>
      <c r="U1077" s="69"/>
      <c r="AR1077" s="94">
        <f t="shared" si="131"/>
        <v>879.38</v>
      </c>
      <c r="AS1077" s="69">
        <v>588.15</v>
      </c>
      <c r="AT1077" s="69">
        <v>79.349999999999994</v>
      </c>
      <c r="AU1077" s="69">
        <v>211.88</v>
      </c>
      <c r="BC1077" s="69"/>
      <c r="BD1077" s="69"/>
      <c r="CD1077" s="94">
        <f t="shared" si="123"/>
        <v>879.38</v>
      </c>
      <c r="CE1077" s="73">
        <f t="shared" si="124"/>
        <v>0</v>
      </c>
      <c r="CF1077" s="75">
        <f t="shared" si="132"/>
        <v>6067</v>
      </c>
      <c r="CG1077" s="69" t="str">
        <f t="shared" si="132"/>
        <v>برنامج دولى</v>
      </c>
    </row>
    <row r="1078" spans="1:87" x14ac:dyDescent="0.25">
      <c r="A1078" s="69">
        <v>16</v>
      </c>
      <c r="B1078" s="82">
        <v>10479</v>
      </c>
      <c r="C1078" s="78">
        <v>6068</v>
      </c>
      <c r="D1078" s="69" t="s">
        <v>78</v>
      </c>
      <c r="E1078" s="69" t="s">
        <v>3013</v>
      </c>
      <c r="F1078" s="69"/>
      <c r="G1078" s="69">
        <v>1000</v>
      </c>
      <c r="T1078" s="69"/>
      <c r="U1078" s="69"/>
      <c r="AR1078" s="94">
        <f t="shared" si="131"/>
        <v>1000</v>
      </c>
      <c r="AS1078" s="69">
        <v>893.35</v>
      </c>
      <c r="AT1078" s="69">
        <v>106.65</v>
      </c>
      <c r="BC1078" s="69"/>
      <c r="BD1078" s="69"/>
      <c r="CD1078" s="94">
        <f t="shared" si="123"/>
        <v>1000</v>
      </c>
      <c r="CE1078" s="73">
        <f t="shared" si="124"/>
        <v>0</v>
      </c>
      <c r="CF1078" s="75">
        <f t="shared" si="132"/>
        <v>6068</v>
      </c>
      <c r="CG1078" s="69" t="str">
        <f t="shared" si="132"/>
        <v>برنامج دولى</v>
      </c>
    </row>
    <row r="1079" spans="1:87" x14ac:dyDescent="0.25">
      <c r="A1079" s="69">
        <v>17</v>
      </c>
      <c r="B1079" s="82">
        <v>10478</v>
      </c>
      <c r="C1079" s="78">
        <v>6069</v>
      </c>
      <c r="D1079" s="69" t="s">
        <v>78</v>
      </c>
      <c r="E1079" s="69" t="s">
        <v>1499</v>
      </c>
      <c r="F1079" s="69"/>
      <c r="G1079" s="69">
        <v>1172.5</v>
      </c>
      <c r="T1079" s="69"/>
      <c r="U1079" s="69"/>
      <c r="AR1079" s="94">
        <f t="shared" si="131"/>
        <v>1172.5</v>
      </c>
      <c r="AS1079" s="69">
        <v>784.1</v>
      </c>
      <c r="AT1079" s="69">
        <v>105.9</v>
      </c>
      <c r="AU1079" s="69">
        <v>282.5</v>
      </c>
      <c r="BC1079" s="69"/>
      <c r="BD1079" s="69"/>
      <c r="CD1079" s="94">
        <f t="shared" si="123"/>
        <v>1172.5</v>
      </c>
      <c r="CE1079" s="73">
        <f t="shared" si="124"/>
        <v>0</v>
      </c>
      <c r="CF1079" s="75">
        <f t="shared" si="132"/>
        <v>6069</v>
      </c>
      <c r="CG1079" s="69" t="str">
        <f t="shared" si="132"/>
        <v>برنامج دولى</v>
      </c>
    </row>
    <row r="1080" spans="1:87" x14ac:dyDescent="0.25">
      <c r="A1080" s="69">
        <v>18</v>
      </c>
      <c r="B1080" s="82">
        <v>10477</v>
      </c>
      <c r="C1080" s="78">
        <v>6070</v>
      </c>
      <c r="D1080" s="69" t="s">
        <v>78</v>
      </c>
      <c r="E1080" s="69" t="s">
        <v>3014</v>
      </c>
      <c r="F1080" s="69"/>
      <c r="G1080" s="69">
        <v>351.75</v>
      </c>
      <c r="T1080" s="69"/>
      <c r="U1080" s="69"/>
      <c r="AR1080" s="94">
        <f t="shared" si="131"/>
        <v>351.75</v>
      </c>
      <c r="AS1080" s="69">
        <v>235.55</v>
      </c>
      <c r="AT1080" s="69">
        <v>31.45</v>
      </c>
      <c r="AU1080" s="69">
        <v>84.75</v>
      </c>
      <c r="BC1080" s="69"/>
      <c r="BD1080" s="69"/>
      <c r="CD1080" s="94">
        <f t="shared" si="123"/>
        <v>351.75</v>
      </c>
      <c r="CE1080" s="73">
        <f t="shared" si="124"/>
        <v>0</v>
      </c>
      <c r="CF1080" s="75">
        <f t="shared" si="132"/>
        <v>6070</v>
      </c>
      <c r="CG1080" s="69" t="str">
        <f t="shared" si="132"/>
        <v>برنامج دولى</v>
      </c>
    </row>
    <row r="1081" spans="1:87" x14ac:dyDescent="0.25">
      <c r="A1081" s="69">
        <v>19</v>
      </c>
      <c r="B1081" s="82">
        <v>10476</v>
      </c>
      <c r="C1081" s="78">
        <v>6071</v>
      </c>
      <c r="D1081" s="69" t="s">
        <v>78</v>
      </c>
      <c r="E1081" s="69" t="s">
        <v>3014</v>
      </c>
      <c r="F1081" s="69"/>
      <c r="G1081" s="69">
        <v>586.25</v>
      </c>
      <c r="T1081" s="69"/>
      <c r="U1081" s="69"/>
      <c r="AR1081" s="94">
        <f t="shared" si="131"/>
        <v>586.25</v>
      </c>
      <c r="AS1081" s="69">
        <v>392.4</v>
      </c>
      <c r="AT1081" s="69">
        <v>52.6</v>
      </c>
      <c r="AU1081" s="69">
        <v>141.25</v>
      </c>
      <c r="BC1081" s="69"/>
      <c r="BD1081" s="69"/>
      <c r="CD1081" s="94">
        <f t="shared" si="123"/>
        <v>586.25</v>
      </c>
      <c r="CE1081" s="73">
        <f t="shared" si="124"/>
        <v>0</v>
      </c>
      <c r="CF1081" s="75">
        <f t="shared" si="132"/>
        <v>6071</v>
      </c>
      <c r="CG1081" s="69" t="str">
        <f t="shared" si="132"/>
        <v>برنامج دولى</v>
      </c>
    </row>
    <row r="1082" spans="1:87" x14ac:dyDescent="0.25">
      <c r="A1082" s="69">
        <v>20</v>
      </c>
      <c r="B1082" s="82">
        <v>10475</v>
      </c>
      <c r="C1082" s="78">
        <v>6072</v>
      </c>
      <c r="D1082" s="69" t="s">
        <v>78</v>
      </c>
      <c r="E1082" s="69" t="s">
        <v>3014</v>
      </c>
      <c r="F1082" s="69"/>
      <c r="G1082" s="69">
        <v>2907</v>
      </c>
      <c r="T1082" s="69"/>
      <c r="U1082" s="69"/>
      <c r="AR1082" s="94">
        <f t="shared" si="131"/>
        <v>2907</v>
      </c>
      <c r="AS1082" s="69">
        <v>2279.4499999999998</v>
      </c>
      <c r="AT1082" s="69">
        <v>288.55</v>
      </c>
      <c r="AU1082" s="69">
        <v>339</v>
      </c>
      <c r="BC1082" s="69"/>
      <c r="BD1082" s="69"/>
      <c r="CD1082" s="94">
        <f t="shared" si="123"/>
        <v>2907</v>
      </c>
      <c r="CE1082" s="73">
        <f t="shared" si="124"/>
        <v>0</v>
      </c>
      <c r="CF1082" s="75">
        <f t="shared" si="132"/>
        <v>6072</v>
      </c>
      <c r="CG1082" s="69" t="str">
        <f t="shared" si="132"/>
        <v>برنامج دولى</v>
      </c>
    </row>
    <row r="1083" spans="1:87" s="68" customFormat="1" x14ac:dyDescent="0.25">
      <c r="B1083" s="83"/>
      <c r="C1083" s="84"/>
      <c r="E1083" s="68" t="s">
        <v>3015</v>
      </c>
      <c r="G1083" s="68">
        <f>SUM(G1063:G1082)</f>
        <v>64763.35</v>
      </c>
      <c r="H1083" s="68">
        <f t="shared" ref="H1083:BT1083" si="133">SUM(H1063:H1082)</f>
        <v>0</v>
      </c>
      <c r="I1083" s="68">
        <f t="shared" si="133"/>
        <v>0</v>
      </c>
      <c r="J1083" s="68">
        <f t="shared" si="133"/>
        <v>0</v>
      </c>
      <c r="K1083" s="68">
        <f t="shared" si="133"/>
        <v>0</v>
      </c>
      <c r="L1083" s="68">
        <f t="shared" si="133"/>
        <v>0</v>
      </c>
      <c r="M1083" s="68">
        <f t="shared" si="133"/>
        <v>0</v>
      </c>
      <c r="N1083" s="68">
        <f t="shared" si="133"/>
        <v>0</v>
      </c>
      <c r="O1083" s="68">
        <f t="shared" si="133"/>
        <v>0</v>
      </c>
      <c r="P1083" s="68">
        <f t="shared" si="133"/>
        <v>0</v>
      </c>
      <c r="Q1083" s="68">
        <f t="shared" si="133"/>
        <v>0</v>
      </c>
      <c r="R1083" s="68">
        <f t="shared" si="133"/>
        <v>0</v>
      </c>
      <c r="S1083" s="68">
        <f t="shared" si="133"/>
        <v>0</v>
      </c>
      <c r="T1083" s="68">
        <f t="shared" si="133"/>
        <v>0</v>
      </c>
      <c r="U1083" s="68">
        <f t="shared" si="133"/>
        <v>0</v>
      </c>
      <c r="V1083" s="68">
        <f t="shared" si="133"/>
        <v>0</v>
      </c>
      <c r="W1083" s="68">
        <f t="shared" si="133"/>
        <v>0</v>
      </c>
      <c r="X1083" s="68">
        <f t="shared" si="133"/>
        <v>0</v>
      </c>
      <c r="Y1083" s="68">
        <f t="shared" si="133"/>
        <v>0</v>
      </c>
      <c r="Z1083" s="68">
        <f t="shared" si="133"/>
        <v>0</v>
      </c>
      <c r="AA1083" s="68">
        <f t="shared" si="133"/>
        <v>0</v>
      </c>
      <c r="AB1083" s="68">
        <f t="shared" si="133"/>
        <v>0</v>
      </c>
      <c r="AC1083" s="68">
        <f t="shared" si="133"/>
        <v>0</v>
      </c>
      <c r="AD1083" s="68">
        <f t="shared" si="133"/>
        <v>0</v>
      </c>
      <c r="AE1083" s="68">
        <f t="shared" si="133"/>
        <v>0</v>
      </c>
      <c r="AF1083" s="68">
        <f t="shared" si="133"/>
        <v>0</v>
      </c>
      <c r="AG1083" s="68">
        <f t="shared" si="133"/>
        <v>0</v>
      </c>
      <c r="AH1083" s="68">
        <f t="shared" si="133"/>
        <v>0</v>
      </c>
      <c r="AI1083" s="68">
        <f t="shared" si="133"/>
        <v>0</v>
      </c>
      <c r="AJ1083" s="68">
        <f t="shared" si="133"/>
        <v>0</v>
      </c>
      <c r="AK1083" s="68">
        <f t="shared" si="133"/>
        <v>0</v>
      </c>
      <c r="AL1083" s="68">
        <f t="shared" si="133"/>
        <v>0</v>
      </c>
      <c r="AM1083" s="68">
        <f t="shared" si="133"/>
        <v>0</v>
      </c>
      <c r="AO1083" s="68">
        <f t="shared" si="133"/>
        <v>0</v>
      </c>
      <c r="AP1083" s="68">
        <f t="shared" si="133"/>
        <v>0</v>
      </c>
      <c r="AQ1083" s="68">
        <f t="shared" si="133"/>
        <v>0</v>
      </c>
      <c r="AR1083" s="68">
        <f t="shared" si="133"/>
        <v>64763.35</v>
      </c>
      <c r="AS1083" s="68">
        <f t="shared" si="133"/>
        <v>49759.81</v>
      </c>
      <c r="AT1083" s="68">
        <f t="shared" si="133"/>
        <v>6320.96</v>
      </c>
      <c r="AU1083" s="68">
        <f t="shared" si="133"/>
        <v>8682.58</v>
      </c>
      <c r="AV1083" s="68">
        <f t="shared" si="133"/>
        <v>0</v>
      </c>
      <c r="AW1083" s="68">
        <f t="shared" si="133"/>
        <v>0</v>
      </c>
      <c r="AX1083" s="68">
        <f t="shared" si="133"/>
        <v>0</v>
      </c>
      <c r="AY1083" s="68">
        <f t="shared" si="133"/>
        <v>0</v>
      </c>
      <c r="AZ1083" s="68">
        <f t="shared" si="133"/>
        <v>0</v>
      </c>
      <c r="BA1083" s="68">
        <f t="shared" si="133"/>
        <v>0</v>
      </c>
      <c r="BB1083" s="68">
        <f t="shared" si="133"/>
        <v>0</v>
      </c>
      <c r="BC1083" s="68">
        <f t="shared" si="133"/>
        <v>0</v>
      </c>
      <c r="BD1083" s="68">
        <f t="shared" si="133"/>
        <v>0</v>
      </c>
      <c r="BE1083" s="68">
        <f t="shared" si="133"/>
        <v>0</v>
      </c>
      <c r="BF1083" s="68">
        <f t="shared" si="133"/>
        <v>0</v>
      </c>
      <c r="BG1083" s="68">
        <f t="shared" si="133"/>
        <v>0</v>
      </c>
      <c r="BH1083" s="68">
        <f t="shared" si="133"/>
        <v>0</v>
      </c>
      <c r="BI1083" s="68">
        <f t="shared" si="133"/>
        <v>0</v>
      </c>
      <c r="BJ1083" s="68">
        <f t="shared" si="133"/>
        <v>0</v>
      </c>
      <c r="BK1083" s="68">
        <f t="shared" si="133"/>
        <v>0</v>
      </c>
      <c r="BL1083" s="68">
        <f t="shared" si="133"/>
        <v>0</v>
      </c>
      <c r="BM1083" s="68">
        <f t="shared" si="133"/>
        <v>0</v>
      </c>
      <c r="BN1083" s="68">
        <f t="shared" si="133"/>
        <v>0</v>
      </c>
      <c r="BO1083" s="68">
        <f t="shared" si="133"/>
        <v>0</v>
      </c>
      <c r="BP1083" s="68">
        <f t="shared" si="133"/>
        <v>0</v>
      </c>
      <c r="BQ1083" s="68">
        <f t="shared" si="133"/>
        <v>0</v>
      </c>
      <c r="BR1083" s="68">
        <f t="shared" si="133"/>
        <v>0</v>
      </c>
      <c r="BS1083" s="68">
        <f t="shared" si="133"/>
        <v>0</v>
      </c>
      <c r="BT1083" s="68">
        <f t="shared" si="133"/>
        <v>0</v>
      </c>
      <c r="BU1083" s="68">
        <f t="shared" ref="BU1083:CI1083" si="134">SUM(BU1063:BU1082)</f>
        <v>0</v>
      </c>
      <c r="BV1083" s="68">
        <f t="shared" si="134"/>
        <v>0</v>
      </c>
      <c r="BW1083" s="68">
        <f t="shared" si="134"/>
        <v>0</v>
      </c>
      <c r="BX1083" s="68">
        <f t="shared" si="134"/>
        <v>0</v>
      </c>
      <c r="BY1083" s="68">
        <f t="shared" si="134"/>
        <v>0</v>
      </c>
      <c r="CA1083" s="68">
        <f t="shared" si="134"/>
        <v>0</v>
      </c>
      <c r="CB1083" s="68">
        <f t="shared" si="134"/>
        <v>0</v>
      </c>
      <c r="CC1083" s="68">
        <f t="shared" si="134"/>
        <v>0</v>
      </c>
      <c r="CD1083" s="68">
        <f t="shared" si="134"/>
        <v>64763.350000000006</v>
      </c>
      <c r="CE1083" s="68">
        <f t="shared" si="134"/>
        <v>0</v>
      </c>
      <c r="CH1083" s="68">
        <f t="shared" si="134"/>
        <v>0</v>
      </c>
      <c r="CI1083" s="68">
        <f t="shared" si="134"/>
        <v>0</v>
      </c>
    </row>
    <row r="1084" spans="1:87" x14ac:dyDescent="0.25">
      <c r="A1084" s="69" t="s">
        <v>3016</v>
      </c>
      <c r="B1084" s="82"/>
      <c r="C1084" s="78">
        <v>6073</v>
      </c>
      <c r="D1084" s="69" t="s">
        <v>78</v>
      </c>
      <c r="E1084" s="69" t="s">
        <v>3017</v>
      </c>
      <c r="F1084" s="69"/>
      <c r="H1084" s="69">
        <v>201500</v>
      </c>
      <c r="T1084" s="69"/>
      <c r="U1084" s="69"/>
      <c r="AA1084" s="69">
        <v>201500</v>
      </c>
      <c r="AR1084" s="94">
        <f t="shared" ref="AR1084:AR1099" si="135">SUM(G1084:AQ1084)</f>
        <v>403000</v>
      </c>
      <c r="AS1084" s="69">
        <v>201500</v>
      </c>
      <c r="AT1084" s="69"/>
      <c r="BC1084" s="69"/>
      <c r="BD1084" s="69"/>
      <c r="BQ1084" s="69">
        <v>201500</v>
      </c>
      <c r="CD1084" s="94">
        <f t="shared" si="123"/>
        <v>403000</v>
      </c>
      <c r="CE1084" s="73">
        <f t="shared" si="124"/>
        <v>0</v>
      </c>
      <c r="CF1084" s="75">
        <f t="shared" ref="CF1084:CG1099" si="136">+C1084</f>
        <v>6073</v>
      </c>
      <c r="CG1084" s="69" t="str">
        <f t="shared" si="136"/>
        <v>برنامج دولى</v>
      </c>
    </row>
    <row r="1085" spans="1:87" x14ac:dyDescent="0.25">
      <c r="B1085" s="82"/>
      <c r="C1085" s="78">
        <v>6074</v>
      </c>
      <c r="D1085" s="69" t="s">
        <v>1431</v>
      </c>
      <c r="E1085" s="69" t="s">
        <v>3018</v>
      </c>
      <c r="F1085" s="69"/>
      <c r="T1085" s="69"/>
      <c r="U1085" s="69"/>
      <c r="AR1085" s="94">
        <f t="shared" si="135"/>
        <v>0</v>
      </c>
      <c r="AT1085" s="69"/>
      <c r="BC1085" s="69"/>
      <c r="BD1085" s="69"/>
      <c r="CD1085" s="94">
        <f t="shared" ref="CD1085" si="137">SUM(AS1085:CC1085)</f>
        <v>0</v>
      </c>
      <c r="CE1085" s="73">
        <f t="shared" si="124"/>
        <v>0</v>
      </c>
      <c r="CF1085" s="75">
        <f t="shared" si="136"/>
        <v>6074</v>
      </c>
      <c r="CG1085" s="69" t="str">
        <f t="shared" si="136"/>
        <v>لاب فقط</v>
      </c>
    </row>
    <row r="1086" spans="1:87" x14ac:dyDescent="0.25">
      <c r="B1086" s="82">
        <v>10839</v>
      </c>
      <c r="C1086" s="78">
        <v>6075</v>
      </c>
      <c r="D1086" s="69" t="s">
        <v>121</v>
      </c>
      <c r="E1086" s="69" t="s">
        <v>3019</v>
      </c>
      <c r="F1086" s="69"/>
      <c r="G1086" s="69">
        <v>5311.25</v>
      </c>
      <c r="T1086" s="69"/>
      <c r="U1086" s="69"/>
      <c r="AR1086" s="94">
        <f t="shared" si="135"/>
        <v>5311.25</v>
      </c>
      <c r="AS1086" s="69">
        <v>4738.0200000000004</v>
      </c>
      <c r="AT1086" s="69">
        <v>573.23</v>
      </c>
      <c r="BC1086" s="69"/>
      <c r="BD1086" s="69"/>
      <c r="CD1086" s="94">
        <f t="shared" si="123"/>
        <v>5311.25</v>
      </c>
      <c r="CE1086" s="73">
        <f t="shared" si="124"/>
        <v>0</v>
      </c>
      <c r="CF1086" s="75">
        <f t="shared" si="136"/>
        <v>6075</v>
      </c>
      <c r="CG1086" s="69" t="str">
        <f t="shared" si="136"/>
        <v>ماليزى اسنان</v>
      </c>
    </row>
    <row r="1087" spans="1:87" x14ac:dyDescent="0.25">
      <c r="B1087" s="82">
        <v>10843</v>
      </c>
      <c r="C1087" s="78">
        <v>6076</v>
      </c>
      <c r="D1087" s="69" t="s">
        <v>121</v>
      </c>
      <c r="E1087" s="69" t="s">
        <v>3019</v>
      </c>
      <c r="F1087" s="69"/>
      <c r="G1087" s="69">
        <v>18403.82</v>
      </c>
      <c r="T1087" s="69"/>
      <c r="U1087" s="69"/>
      <c r="AR1087" s="94">
        <f t="shared" si="135"/>
        <v>18403.82</v>
      </c>
      <c r="AS1087" s="69">
        <v>16362.88</v>
      </c>
      <c r="AT1087" s="69">
        <v>1975</v>
      </c>
      <c r="AU1087" s="69">
        <v>65.94</v>
      </c>
      <c r="BC1087" s="69"/>
      <c r="BD1087" s="69"/>
      <c r="CD1087" s="94">
        <f t="shared" si="123"/>
        <v>18403.819999999996</v>
      </c>
      <c r="CE1087" s="73">
        <f t="shared" si="124"/>
        <v>0</v>
      </c>
      <c r="CF1087" s="75">
        <f t="shared" si="136"/>
        <v>6076</v>
      </c>
      <c r="CG1087" s="69" t="str">
        <f t="shared" si="136"/>
        <v>ماليزى اسنان</v>
      </c>
    </row>
    <row r="1088" spans="1:87" x14ac:dyDescent="0.25">
      <c r="B1088" s="82">
        <v>10842</v>
      </c>
      <c r="C1088" s="78">
        <v>6077</v>
      </c>
      <c r="D1088" s="69" t="s">
        <v>132</v>
      </c>
      <c r="E1088" s="69" t="s">
        <v>3019</v>
      </c>
      <c r="F1088" s="69"/>
      <c r="G1088" s="69">
        <v>14433.7</v>
      </c>
      <c r="T1088" s="69"/>
      <c r="U1088" s="69"/>
      <c r="AR1088" s="94">
        <f t="shared" si="135"/>
        <v>14433.7</v>
      </c>
      <c r="AS1088" s="69">
        <v>12883.07</v>
      </c>
      <c r="AT1088" s="69">
        <v>1550.63</v>
      </c>
      <c r="BC1088" s="69"/>
      <c r="BD1088" s="69"/>
      <c r="CD1088" s="94">
        <f t="shared" si="123"/>
        <v>14433.7</v>
      </c>
      <c r="CE1088" s="73">
        <f t="shared" si="124"/>
        <v>0</v>
      </c>
      <c r="CF1088" s="75">
        <f t="shared" si="136"/>
        <v>6077</v>
      </c>
      <c r="CG1088" s="69" t="str">
        <f t="shared" si="136"/>
        <v>صيدلة اكلينيكى</v>
      </c>
    </row>
    <row r="1089" spans="1:99" x14ac:dyDescent="0.25">
      <c r="B1089" s="82">
        <v>10841</v>
      </c>
      <c r="C1089" s="78">
        <v>6078</v>
      </c>
      <c r="D1089" s="69" t="s">
        <v>132</v>
      </c>
      <c r="E1089" s="69" t="s">
        <v>3019</v>
      </c>
      <c r="F1089" s="69"/>
      <c r="G1089" s="69">
        <v>5393.66</v>
      </c>
      <c r="T1089" s="69"/>
      <c r="U1089" s="69"/>
      <c r="AR1089" s="94">
        <f t="shared" si="135"/>
        <v>5393.66</v>
      </c>
      <c r="AS1089" s="69">
        <v>3643.53</v>
      </c>
      <c r="AT1089" s="69">
        <v>493.27</v>
      </c>
      <c r="AU1089" s="69">
        <v>1256.8599999999999</v>
      </c>
      <c r="BC1089" s="69"/>
      <c r="BD1089" s="69"/>
      <c r="CD1089" s="94">
        <f t="shared" si="123"/>
        <v>5393.66</v>
      </c>
      <c r="CE1089" s="73">
        <f t="shared" si="124"/>
        <v>0</v>
      </c>
      <c r="CF1089" s="75">
        <f t="shared" si="136"/>
        <v>6078</v>
      </c>
      <c r="CG1089" s="69" t="str">
        <f t="shared" si="136"/>
        <v>صيدلة اكلينيكى</v>
      </c>
    </row>
    <row r="1090" spans="1:99" x14ac:dyDescent="0.25">
      <c r="B1090" s="82">
        <v>10849</v>
      </c>
      <c r="C1090" s="78">
        <v>6079</v>
      </c>
      <c r="D1090" s="69" t="s">
        <v>78</v>
      </c>
      <c r="E1090" s="69" t="s">
        <v>3019</v>
      </c>
      <c r="F1090" s="69"/>
      <c r="G1090" s="69">
        <v>4811.25</v>
      </c>
      <c r="T1090" s="69"/>
      <c r="U1090" s="69"/>
      <c r="AR1090" s="94">
        <f t="shared" si="135"/>
        <v>4811.25</v>
      </c>
      <c r="AS1090" s="69">
        <v>4294.37</v>
      </c>
      <c r="AT1090" s="69">
        <v>516.88</v>
      </c>
      <c r="BC1090" s="69"/>
      <c r="BD1090" s="69"/>
      <c r="CD1090" s="94">
        <f t="shared" si="123"/>
        <v>4811.25</v>
      </c>
      <c r="CE1090" s="73">
        <f t="shared" si="124"/>
        <v>0</v>
      </c>
      <c r="CF1090" s="75">
        <f t="shared" si="136"/>
        <v>6079</v>
      </c>
      <c r="CG1090" s="69" t="str">
        <f t="shared" si="136"/>
        <v>برنامج دولى</v>
      </c>
    </row>
    <row r="1091" spans="1:99" x14ac:dyDescent="0.25">
      <c r="B1091" s="82">
        <v>10848</v>
      </c>
      <c r="C1091" s="78">
        <v>6080</v>
      </c>
      <c r="D1091" s="69" t="s">
        <v>78</v>
      </c>
      <c r="E1091" s="69" t="s">
        <v>3019</v>
      </c>
      <c r="F1091" s="69"/>
      <c r="G1091" s="69">
        <v>7018.76</v>
      </c>
      <c r="T1091" s="69"/>
      <c r="U1091" s="69"/>
      <c r="AR1091" s="94">
        <f t="shared" si="135"/>
        <v>7018.76</v>
      </c>
      <c r="AS1091" s="69">
        <v>5279.63</v>
      </c>
      <c r="AT1091" s="69">
        <v>684.85</v>
      </c>
      <c r="AU1091" s="69">
        <v>1054.28</v>
      </c>
      <c r="BC1091" s="69"/>
      <c r="BD1091" s="69"/>
      <c r="CD1091" s="94">
        <f t="shared" ref="CD1091:CD1099" si="138">SUM(AS1091:CC1091)</f>
        <v>7018.76</v>
      </c>
      <c r="CE1091" s="73">
        <f t="shared" si="124"/>
        <v>0</v>
      </c>
      <c r="CF1091" s="75">
        <f t="shared" si="136"/>
        <v>6080</v>
      </c>
      <c r="CG1091" s="69" t="str">
        <f t="shared" si="136"/>
        <v>برنامج دولى</v>
      </c>
    </row>
    <row r="1092" spans="1:99" x14ac:dyDescent="0.25">
      <c r="B1092" s="82">
        <v>10847</v>
      </c>
      <c r="C1092" s="78">
        <v>6081</v>
      </c>
      <c r="D1092" s="69" t="s">
        <v>78</v>
      </c>
      <c r="E1092" s="69" t="s">
        <v>3019</v>
      </c>
      <c r="F1092" s="69"/>
      <c r="G1092" s="69">
        <v>54060.33</v>
      </c>
      <c r="T1092" s="69"/>
      <c r="U1092" s="69"/>
      <c r="AR1092" s="94">
        <f t="shared" si="135"/>
        <v>54060.33</v>
      </c>
      <c r="AS1092" s="69">
        <v>36103.46</v>
      </c>
      <c r="AT1092" s="69">
        <v>4931.71</v>
      </c>
      <c r="AU1092" s="69">
        <v>13025.16</v>
      </c>
      <c r="BC1092" s="69"/>
      <c r="BD1092" s="69"/>
      <c r="CD1092" s="94">
        <f t="shared" si="138"/>
        <v>54060.33</v>
      </c>
      <c r="CE1092" s="73">
        <f t="shared" si="124"/>
        <v>0</v>
      </c>
      <c r="CF1092" s="75">
        <f t="shared" si="136"/>
        <v>6081</v>
      </c>
      <c r="CG1092" s="69" t="str">
        <f t="shared" si="136"/>
        <v>برنامج دولى</v>
      </c>
    </row>
    <row r="1093" spans="1:99" x14ac:dyDescent="0.25">
      <c r="B1093" s="82">
        <v>10846</v>
      </c>
      <c r="C1093" s="78">
        <v>6082</v>
      </c>
      <c r="D1093" s="69" t="s">
        <v>78</v>
      </c>
      <c r="E1093" s="69" t="s">
        <v>3019</v>
      </c>
      <c r="F1093" s="69"/>
      <c r="G1093" s="69">
        <v>17352.46</v>
      </c>
      <c r="T1093" s="69"/>
      <c r="U1093" s="69"/>
      <c r="AR1093" s="94">
        <f t="shared" si="135"/>
        <v>17352.46</v>
      </c>
      <c r="AS1093" s="69">
        <v>12406.36</v>
      </c>
      <c r="AT1093" s="69">
        <v>1642.53</v>
      </c>
      <c r="AU1093" s="69">
        <v>3303.57</v>
      </c>
      <c r="BC1093" s="69"/>
      <c r="BD1093" s="69"/>
      <c r="CD1093" s="94">
        <f t="shared" si="138"/>
        <v>17352.460000000003</v>
      </c>
      <c r="CE1093" s="73">
        <f t="shared" si="124"/>
        <v>0</v>
      </c>
      <c r="CF1093" s="75">
        <f t="shared" si="136"/>
        <v>6082</v>
      </c>
      <c r="CG1093" s="69" t="str">
        <f t="shared" si="136"/>
        <v>برنامج دولى</v>
      </c>
    </row>
    <row r="1094" spans="1:99" x14ac:dyDescent="0.25">
      <c r="B1094" s="82">
        <v>10845</v>
      </c>
      <c r="C1094" s="78">
        <v>6083</v>
      </c>
      <c r="D1094" s="69" t="s">
        <v>78</v>
      </c>
      <c r="E1094" s="69" t="s">
        <v>3019</v>
      </c>
      <c r="F1094" s="69"/>
      <c r="G1094" s="69">
        <v>42120.94</v>
      </c>
      <c r="T1094" s="69"/>
      <c r="U1094" s="69"/>
      <c r="AR1094" s="94">
        <f t="shared" si="135"/>
        <v>42120.94</v>
      </c>
      <c r="AS1094" s="69">
        <v>29624.06</v>
      </c>
      <c r="AT1094" s="69">
        <v>3947.74</v>
      </c>
      <c r="AU1094" s="69">
        <v>8549.14</v>
      </c>
      <c r="BC1094" s="69"/>
      <c r="BD1094" s="69"/>
      <c r="CD1094" s="94">
        <f t="shared" si="138"/>
        <v>42120.94</v>
      </c>
      <c r="CE1094" s="73">
        <f t="shared" si="124"/>
        <v>0</v>
      </c>
      <c r="CF1094" s="75">
        <f t="shared" si="136"/>
        <v>6083</v>
      </c>
      <c r="CG1094" s="69" t="str">
        <f t="shared" si="136"/>
        <v>برنامج دولى</v>
      </c>
    </row>
    <row r="1095" spans="1:99" x14ac:dyDescent="0.25">
      <c r="B1095" s="82">
        <v>10844</v>
      </c>
      <c r="C1095" s="78">
        <v>6084</v>
      </c>
      <c r="D1095" s="69" t="s">
        <v>78</v>
      </c>
      <c r="E1095" s="69" t="s">
        <v>3019</v>
      </c>
      <c r="F1095" s="69"/>
      <c r="G1095" s="69">
        <v>5510.5</v>
      </c>
      <c r="T1095" s="69"/>
      <c r="U1095" s="69"/>
      <c r="AR1095" s="94">
        <f t="shared" si="135"/>
        <v>5510.5</v>
      </c>
      <c r="AS1095" s="69">
        <v>3851.82</v>
      </c>
      <c r="AT1095" s="69">
        <v>513.53</v>
      </c>
      <c r="AU1095" s="69">
        <v>1145.1500000000001</v>
      </c>
      <c r="BC1095" s="69"/>
      <c r="BD1095" s="69"/>
      <c r="CD1095" s="94">
        <f t="shared" si="138"/>
        <v>5510.5</v>
      </c>
      <c r="CE1095" s="73">
        <f t="shared" si="124"/>
        <v>0</v>
      </c>
      <c r="CF1095" s="75">
        <f t="shared" si="136"/>
        <v>6084</v>
      </c>
      <c r="CG1095" s="69" t="str">
        <f t="shared" si="136"/>
        <v>برنامج دولى</v>
      </c>
    </row>
    <row r="1096" spans="1:99" x14ac:dyDescent="0.25">
      <c r="B1096" s="82">
        <v>10840</v>
      </c>
      <c r="C1096" s="78">
        <v>6085</v>
      </c>
      <c r="D1096" s="69" t="s">
        <v>78</v>
      </c>
      <c r="E1096" s="69" t="s">
        <v>3019</v>
      </c>
      <c r="F1096" s="69"/>
      <c r="G1096" s="69">
        <v>5999.86</v>
      </c>
      <c r="T1096" s="69"/>
      <c r="U1096" s="69"/>
      <c r="AR1096" s="94">
        <f t="shared" si="135"/>
        <v>5999.86</v>
      </c>
      <c r="AS1096" s="69">
        <v>4430.76</v>
      </c>
      <c r="AT1096" s="69">
        <v>579.24</v>
      </c>
      <c r="AU1096" s="69">
        <v>989.86</v>
      </c>
      <c r="BC1096" s="69"/>
      <c r="BD1096" s="69"/>
      <c r="CD1096" s="94">
        <f t="shared" si="138"/>
        <v>5999.86</v>
      </c>
      <c r="CE1096" s="73">
        <f t="shared" si="124"/>
        <v>0</v>
      </c>
      <c r="CF1096" s="75">
        <f t="shared" si="136"/>
        <v>6085</v>
      </c>
      <c r="CG1096" s="69" t="str">
        <f t="shared" si="136"/>
        <v>برنامج دولى</v>
      </c>
    </row>
    <row r="1097" spans="1:99" s="68" customFormat="1" x14ac:dyDescent="0.25">
      <c r="B1097" s="83"/>
      <c r="C1097" s="84"/>
      <c r="E1097" s="68" t="s">
        <v>3020</v>
      </c>
      <c r="G1097" s="68">
        <f>SUM(G1084:G1096)</f>
        <v>180416.53</v>
      </c>
      <c r="H1097" s="68">
        <f t="shared" ref="H1097:BT1097" si="139">SUM(H1084:H1096)</f>
        <v>201500</v>
      </c>
      <c r="I1097" s="68">
        <f t="shared" si="139"/>
        <v>0</v>
      </c>
      <c r="J1097" s="68">
        <f t="shared" si="139"/>
        <v>0</v>
      </c>
      <c r="K1097" s="68">
        <f t="shared" si="139"/>
        <v>0</v>
      </c>
      <c r="L1097" s="68">
        <f t="shared" si="139"/>
        <v>0</v>
      </c>
      <c r="M1097" s="68">
        <f t="shared" si="139"/>
        <v>0</v>
      </c>
      <c r="N1097" s="68">
        <f t="shared" si="139"/>
        <v>0</v>
      </c>
      <c r="O1097" s="68">
        <f t="shared" si="139"/>
        <v>0</v>
      </c>
      <c r="P1097" s="68">
        <f t="shared" si="139"/>
        <v>0</v>
      </c>
      <c r="Q1097" s="68">
        <f t="shared" si="139"/>
        <v>0</v>
      </c>
      <c r="R1097" s="68">
        <f t="shared" si="139"/>
        <v>0</v>
      </c>
      <c r="S1097" s="68">
        <f t="shared" si="139"/>
        <v>0</v>
      </c>
      <c r="T1097" s="68">
        <f t="shared" si="139"/>
        <v>0</v>
      </c>
      <c r="U1097" s="68">
        <f t="shared" si="139"/>
        <v>0</v>
      </c>
      <c r="V1097" s="68">
        <f t="shared" si="139"/>
        <v>0</v>
      </c>
      <c r="W1097" s="68">
        <f t="shared" si="139"/>
        <v>0</v>
      </c>
      <c r="X1097" s="68">
        <f t="shared" si="139"/>
        <v>0</v>
      </c>
      <c r="Y1097" s="68">
        <f t="shared" si="139"/>
        <v>0</v>
      </c>
      <c r="Z1097" s="68">
        <f t="shared" si="139"/>
        <v>0</v>
      </c>
      <c r="AA1097" s="68">
        <f t="shared" si="139"/>
        <v>201500</v>
      </c>
      <c r="AB1097" s="68">
        <f t="shared" si="139"/>
        <v>0</v>
      </c>
      <c r="AC1097" s="68">
        <f t="shared" si="139"/>
        <v>0</v>
      </c>
      <c r="AD1097" s="68">
        <f t="shared" si="139"/>
        <v>0</v>
      </c>
      <c r="AE1097" s="68">
        <f t="shared" si="139"/>
        <v>0</v>
      </c>
      <c r="AF1097" s="68">
        <f t="shared" si="139"/>
        <v>0</v>
      </c>
      <c r="AG1097" s="68">
        <f t="shared" si="139"/>
        <v>0</v>
      </c>
      <c r="AH1097" s="68">
        <f t="shared" si="139"/>
        <v>0</v>
      </c>
      <c r="AI1097" s="68">
        <f t="shared" si="139"/>
        <v>0</v>
      </c>
      <c r="AJ1097" s="68">
        <f t="shared" si="139"/>
        <v>0</v>
      </c>
      <c r="AK1097" s="68">
        <f t="shared" si="139"/>
        <v>0</v>
      </c>
      <c r="AL1097" s="68">
        <f t="shared" si="139"/>
        <v>0</v>
      </c>
      <c r="AM1097" s="68">
        <f t="shared" si="139"/>
        <v>0</v>
      </c>
      <c r="AO1097" s="68">
        <f t="shared" si="139"/>
        <v>0</v>
      </c>
      <c r="AP1097" s="68">
        <f t="shared" si="139"/>
        <v>0</v>
      </c>
      <c r="AQ1097" s="68">
        <f t="shared" si="139"/>
        <v>0</v>
      </c>
      <c r="AR1097" s="94">
        <f t="shared" si="135"/>
        <v>583416.53</v>
      </c>
      <c r="AS1097" s="68">
        <f t="shared" si="139"/>
        <v>335117.96000000002</v>
      </c>
      <c r="AT1097" s="68">
        <f t="shared" si="139"/>
        <v>17408.610000000004</v>
      </c>
      <c r="AU1097" s="68">
        <f t="shared" si="139"/>
        <v>29389.960000000003</v>
      </c>
      <c r="AV1097" s="68">
        <f t="shared" si="139"/>
        <v>0</v>
      </c>
      <c r="AW1097" s="68">
        <f t="shared" si="139"/>
        <v>0</v>
      </c>
      <c r="AX1097" s="68">
        <f t="shared" si="139"/>
        <v>0</v>
      </c>
      <c r="AY1097" s="68">
        <f t="shared" si="139"/>
        <v>0</v>
      </c>
      <c r="AZ1097" s="68">
        <f t="shared" si="139"/>
        <v>0</v>
      </c>
      <c r="BA1097" s="68">
        <f t="shared" si="139"/>
        <v>0</v>
      </c>
      <c r="BB1097" s="68">
        <f t="shared" si="139"/>
        <v>0</v>
      </c>
      <c r="BC1097" s="68">
        <f t="shared" si="139"/>
        <v>0</v>
      </c>
      <c r="BD1097" s="68">
        <f t="shared" si="139"/>
        <v>0</v>
      </c>
      <c r="BE1097" s="68">
        <f t="shared" si="139"/>
        <v>0</v>
      </c>
      <c r="BF1097" s="68">
        <f t="shared" si="139"/>
        <v>0</v>
      </c>
      <c r="BG1097" s="68">
        <f t="shared" si="139"/>
        <v>0</v>
      </c>
      <c r="BH1097" s="68">
        <f t="shared" si="139"/>
        <v>0</v>
      </c>
      <c r="BI1097" s="68">
        <f t="shared" si="139"/>
        <v>0</v>
      </c>
      <c r="BJ1097" s="68">
        <f t="shared" si="139"/>
        <v>0</v>
      </c>
      <c r="BK1097" s="68">
        <f t="shared" si="139"/>
        <v>0</v>
      </c>
      <c r="BL1097" s="68">
        <f t="shared" si="139"/>
        <v>0</v>
      </c>
      <c r="BM1097" s="68">
        <f t="shared" si="139"/>
        <v>0</v>
      </c>
      <c r="BN1097" s="68">
        <f t="shared" si="139"/>
        <v>0</v>
      </c>
      <c r="BO1097" s="68">
        <f t="shared" si="139"/>
        <v>0</v>
      </c>
      <c r="BP1097" s="68">
        <f t="shared" si="139"/>
        <v>0</v>
      </c>
      <c r="BQ1097" s="68">
        <f t="shared" si="139"/>
        <v>201500</v>
      </c>
      <c r="BR1097" s="68">
        <f t="shared" si="139"/>
        <v>0</v>
      </c>
      <c r="BS1097" s="68">
        <f t="shared" si="139"/>
        <v>0</v>
      </c>
      <c r="BT1097" s="68">
        <f t="shared" si="139"/>
        <v>0</v>
      </c>
      <c r="BU1097" s="68">
        <f t="shared" ref="BU1097:CK1097" si="140">SUM(BU1084:BU1096)</f>
        <v>0</v>
      </c>
      <c r="BV1097" s="68">
        <f t="shared" si="140"/>
        <v>0</v>
      </c>
      <c r="BW1097" s="68">
        <f t="shared" si="140"/>
        <v>0</v>
      </c>
      <c r="BX1097" s="68">
        <f t="shared" si="140"/>
        <v>0</v>
      </c>
      <c r="BY1097" s="68">
        <f t="shared" si="140"/>
        <v>0</v>
      </c>
      <c r="CA1097" s="68">
        <f t="shared" si="140"/>
        <v>0</v>
      </c>
      <c r="CB1097" s="68">
        <f t="shared" si="140"/>
        <v>0</v>
      </c>
      <c r="CC1097" s="68">
        <f t="shared" si="140"/>
        <v>0</v>
      </c>
      <c r="CD1097" s="94">
        <f t="shared" si="138"/>
        <v>583416.53</v>
      </c>
      <c r="CE1097" s="73">
        <f t="shared" si="124"/>
        <v>0</v>
      </c>
      <c r="CF1097" s="75">
        <f t="shared" si="136"/>
        <v>0</v>
      </c>
      <c r="CG1097" s="69">
        <f t="shared" si="136"/>
        <v>0</v>
      </c>
      <c r="CH1097" s="68">
        <f t="shared" si="140"/>
        <v>0</v>
      </c>
      <c r="CI1097" s="68">
        <f t="shared" si="140"/>
        <v>0</v>
      </c>
      <c r="CJ1097" s="68">
        <f t="shared" si="140"/>
        <v>0</v>
      </c>
      <c r="CK1097" s="68">
        <f t="shared" si="140"/>
        <v>0</v>
      </c>
    </row>
    <row r="1098" spans="1:99" x14ac:dyDescent="0.25">
      <c r="B1098" s="82"/>
      <c r="C1098" s="78">
        <v>6086</v>
      </c>
      <c r="D1098" s="69" t="s">
        <v>123</v>
      </c>
      <c r="E1098" s="69" t="s">
        <v>3021</v>
      </c>
      <c r="F1098" s="69"/>
      <c r="S1098" s="69">
        <v>188.33</v>
      </c>
      <c r="T1098" s="69">
        <f>3.85+66.67</f>
        <v>70.52</v>
      </c>
      <c r="U1098" s="69"/>
      <c r="AD1098" s="69">
        <v>522.80999999999995</v>
      </c>
      <c r="AR1098" s="94">
        <f t="shared" si="135"/>
        <v>781.66</v>
      </c>
      <c r="AT1098" s="69"/>
      <c r="AW1098" s="69">
        <v>781.66</v>
      </c>
      <c r="BC1098" s="69"/>
      <c r="BD1098" s="69"/>
      <c r="CD1098" s="94">
        <f t="shared" si="138"/>
        <v>781.66</v>
      </c>
      <c r="CE1098" s="73">
        <f t="shared" si="124"/>
        <v>0</v>
      </c>
      <c r="CF1098" s="75">
        <f t="shared" si="136"/>
        <v>6086</v>
      </c>
      <c r="CG1098" s="69" t="str">
        <f t="shared" si="136"/>
        <v>خ ت اسنان</v>
      </c>
    </row>
    <row r="1099" spans="1:99" x14ac:dyDescent="0.25">
      <c r="B1099" s="82"/>
      <c r="C1099" s="78">
        <v>6087</v>
      </c>
      <c r="D1099" s="69" t="s">
        <v>121</v>
      </c>
      <c r="E1099" s="69" t="s">
        <v>3022</v>
      </c>
      <c r="F1099" s="69"/>
      <c r="T1099" s="69"/>
      <c r="U1099" s="69"/>
      <c r="AD1099" s="69">
        <v>23.43</v>
      </c>
      <c r="AR1099" s="94">
        <f t="shared" si="135"/>
        <v>23.43</v>
      </c>
      <c r="AT1099" s="69"/>
      <c r="BC1099" s="69"/>
      <c r="BD1099" s="69"/>
      <c r="CC1099" s="69">
        <v>23.43</v>
      </c>
      <c r="CD1099" s="94">
        <f t="shared" si="138"/>
        <v>23.43</v>
      </c>
      <c r="CE1099" s="73">
        <f t="shared" si="124"/>
        <v>0</v>
      </c>
      <c r="CF1099" s="75">
        <f t="shared" si="136"/>
        <v>6087</v>
      </c>
      <c r="CG1099" s="69" t="str">
        <f t="shared" si="136"/>
        <v>ماليزى اسنان</v>
      </c>
    </row>
    <row r="1100" spans="1:99" s="68" customFormat="1" x14ac:dyDescent="0.25">
      <c r="B1100" s="83"/>
      <c r="C1100" s="84"/>
      <c r="E1100" s="68" t="s">
        <v>3023</v>
      </c>
      <c r="S1100" s="68">
        <f>SUM(S1098:S1099)</f>
        <v>188.33</v>
      </c>
      <c r="T1100" s="68">
        <f t="shared" ref="T1100:CD1100" si="141">SUM(T1098:T1099)</f>
        <v>70.52</v>
      </c>
      <c r="U1100" s="68">
        <f t="shared" si="141"/>
        <v>0</v>
      </c>
      <c r="V1100" s="68">
        <f t="shared" si="141"/>
        <v>0</v>
      </c>
      <c r="W1100" s="68">
        <f t="shared" si="141"/>
        <v>0</v>
      </c>
      <c r="X1100" s="68">
        <f t="shared" si="141"/>
        <v>0</v>
      </c>
      <c r="Y1100" s="68">
        <f t="shared" si="141"/>
        <v>0</v>
      </c>
      <c r="Z1100" s="68">
        <f t="shared" si="141"/>
        <v>0</v>
      </c>
      <c r="AA1100" s="68">
        <f t="shared" si="141"/>
        <v>0</v>
      </c>
      <c r="AB1100" s="68">
        <f t="shared" si="141"/>
        <v>0</v>
      </c>
      <c r="AC1100" s="68">
        <f t="shared" si="141"/>
        <v>0</v>
      </c>
      <c r="AD1100" s="68">
        <f t="shared" si="141"/>
        <v>546.2399999999999</v>
      </c>
      <c r="AE1100" s="68">
        <f t="shared" si="141"/>
        <v>0</v>
      </c>
      <c r="AF1100" s="68">
        <f t="shared" si="141"/>
        <v>0</v>
      </c>
      <c r="AG1100" s="68">
        <f t="shared" si="141"/>
        <v>0</v>
      </c>
      <c r="AH1100" s="68">
        <f t="shared" si="141"/>
        <v>0</v>
      </c>
      <c r="AI1100" s="68">
        <f t="shared" si="141"/>
        <v>0</v>
      </c>
      <c r="AJ1100" s="68">
        <f t="shared" si="141"/>
        <v>0</v>
      </c>
      <c r="AK1100" s="68">
        <f t="shared" si="141"/>
        <v>0</v>
      </c>
      <c r="AL1100" s="68">
        <f t="shared" si="141"/>
        <v>0</v>
      </c>
      <c r="AM1100" s="68">
        <f t="shared" si="141"/>
        <v>0</v>
      </c>
      <c r="AO1100" s="68">
        <f t="shared" si="141"/>
        <v>0</v>
      </c>
      <c r="AP1100" s="68">
        <f t="shared" si="141"/>
        <v>0</v>
      </c>
      <c r="AQ1100" s="68">
        <f t="shared" si="141"/>
        <v>0</v>
      </c>
      <c r="AR1100" s="68">
        <f t="shared" si="141"/>
        <v>805.08999999999992</v>
      </c>
      <c r="AS1100" s="68">
        <f t="shared" si="141"/>
        <v>0</v>
      </c>
      <c r="AT1100" s="68">
        <f t="shared" si="141"/>
        <v>0</v>
      </c>
      <c r="AU1100" s="68">
        <f t="shared" si="141"/>
        <v>0</v>
      </c>
      <c r="AV1100" s="68">
        <f t="shared" si="141"/>
        <v>0</v>
      </c>
      <c r="AW1100" s="68">
        <f t="shared" si="141"/>
        <v>781.66</v>
      </c>
      <c r="AX1100" s="68">
        <f t="shared" si="141"/>
        <v>0</v>
      </c>
      <c r="AY1100" s="68">
        <f t="shared" si="141"/>
        <v>0</v>
      </c>
      <c r="AZ1100" s="68">
        <f t="shared" si="141"/>
        <v>0</v>
      </c>
      <c r="BA1100" s="68">
        <f t="shared" si="141"/>
        <v>0</v>
      </c>
      <c r="BB1100" s="68">
        <f t="shared" si="141"/>
        <v>0</v>
      </c>
      <c r="BC1100" s="68">
        <f t="shared" si="141"/>
        <v>0</v>
      </c>
      <c r="BD1100" s="68">
        <f t="shared" si="141"/>
        <v>0</v>
      </c>
      <c r="BE1100" s="68">
        <f t="shared" si="141"/>
        <v>0</v>
      </c>
      <c r="BF1100" s="68">
        <f t="shared" si="141"/>
        <v>0</v>
      </c>
      <c r="BG1100" s="68">
        <f t="shared" si="141"/>
        <v>0</v>
      </c>
      <c r="BH1100" s="68">
        <f t="shared" si="141"/>
        <v>0</v>
      </c>
      <c r="BI1100" s="68">
        <f t="shared" si="141"/>
        <v>0</v>
      </c>
      <c r="BJ1100" s="68">
        <f t="shared" si="141"/>
        <v>0</v>
      </c>
      <c r="BK1100" s="68">
        <f t="shared" si="141"/>
        <v>0</v>
      </c>
      <c r="BL1100" s="68">
        <f t="shared" si="141"/>
        <v>0</v>
      </c>
      <c r="BM1100" s="68">
        <f t="shared" si="141"/>
        <v>0</v>
      </c>
      <c r="BN1100" s="68">
        <f t="shared" si="141"/>
        <v>0</v>
      </c>
      <c r="BO1100" s="68">
        <f t="shared" si="141"/>
        <v>0</v>
      </c>
      <c r="BP1100" s="68">
        <f t="shared" si="141"/>
        <v>0</v>
      </c>
      <c r="BQ1100" s="68">
        <f t="shared" si="141"/>
        <v>0</v>
      </c>
      <c r="BR1100" s="68">
        <f t="shared" si="141"/>
        <v>0</v>
      </c>
      <c r="BS1100" s="68">
        <f t="shared" si="141"/>
        <v>0</v>
      </c>
      <c r="BT1100" s="68">
        <f t="shared" si="141"/>
        <v>0</v>
      </c>
      <c r="BU1100" s="68">
        <f t="shared" si="141"/>
        <v>0</v>
      </c>
      <c r="BV1100" s="68">
        <f t="shared" si="141"/>
        <v>0</v>
      </c>
      <c r="BW1100" s="68">
        <f t="shared" si="141"/>
        <v>0</v>
      </c>
      <c r="BX1100" s="68">
        <f t="shared" si="141"/>
        <v>0</v>
      </c>
      <c r="BY1100" s="68">
        <f t="shared" si="141"/>
        <v>0</v>
      </c>
      <c r="CA1100" s="68">
        <f t="shared" si="141"/>
        <v>0</v>
      </c>
      <c r="CB1100" s="68">
        <f t="shared" si="141"/>
        <v>0</v>
      </c>
      <c r="CC1100" s="68">
        <f t="shared" si="141"/>
        <v>23.43</v>
      </c>
      <c r="CD1100" s="68">
        <f t="shared" si="141"/>
        <v>805.08999999999992</v>
      </c>
      <c r="CE1100" s="68">
        <f t="shared" ref="CE1100" si="142">SUM(CE1098)</f>
        <v>0</v>
      </c>
      <c r="CH1100" s="68">
        <f t="shared" ref="CH1100" si="143">SUM(CH1098)</f>
        <v>0</v>
      </c>
    </row>
    <row r="1101" spans="1:99" s="57" customFormat="1" x14ac:dyDescent="0.25">
      <c r="A1101" s="57">
        <v>0</v>
      </c>
      <c r="B1101" s="86">
        <v>0</v>
      </c>
      <c r="C1101" s="86">
        <v>0</v>
      </c>
      <c r="E1101" s="57">
        <v>0</v>
      </c>
      <c r="F1101" s="63"/>
      <c r="G1101" s="57">
        <f t="shared" ref="G1101:AQ1101" si="144">SUM(G26:G1100)</f>
        <v>16913293.919999987</v>
      </c>
      <c r="H1101" s="57">
        <f t="shared" si="144"/>
        <v>4449663.0200000005</v>
      </c>
      <c r="I1101" s="57">
        <f t="shared" si="144"/>
        <v>24000</v>
      </c>
      <c r="J1101" s="57">
        <f t="shared" si="144"/>
        <v>0</v>
      </c>
      <c r="K1101" s="57">
        <f t="shared" si="144"/>
        <v>492585.88</v>
      </c>
      <c r="L1101" s="57">
        <f t="shared" si="144"/>
        <v>492585.88</v>
      </c>
      <c r="M1101" s="57">
        <f t="shared" si="144"/>
        <v>492585.88</v>
      </c>
      <c r="N1101" s="57">
        <f t="shared" si="144"/>
        <v>0</v>
      </c>
      <c r="O1101" s="57">
        <f t="shared" si="144"/>
        <v>26130</v>
      </c>
      <c r="P1101" s="57">
        <f t="shared" si="144"/>
        <v>0</v>
      </c>
      <c r="Q1101" s="57">
        <f t="shared" si="144"/>
        <v>0</v>
      </c>
      <c r="R1101" s="57">
        <f t="shared" si="144"/>
        <v>0</v>
      </c>
      <c r="S1101" s="57">
        <f t="shared" si="144"/>
        <v>3639213.2200000007</v>
      </c>
      <c r="T1101" s="57">
        <f t="shared" si="144"/>
        <v>1879890.04</v>
      </c>
      <c r="U1101" s="57">
        <f t="shared" si="144"/>
        <v>2240</v>
      </c>
      <c r="V1101" s="57">
        <f t="shared" si="144"/>
        <v>213.2</v>
      </c>
      <c r="W1101" s="57">
        <f t="shared" si="144"/>
        <v>7370.8600000000006</v>
      </c>
      <c r="X1101" s="57">
        <f t="shared" si="144"/>
        <v>0</v>
      </c>
      <c r="Y1101" s="57">
        <f t="shared" si="144"/>
        <v>0</v>
      </c>
      <c r="Z1101" s="57">
        <f t="shared" si="144"/>
        <v>0</v>
      </c>
      <c r="AA1101" s="57">
        <f t="shared" si="144"/>
        <v>432868</v>
      </c>
      <c r="AB1101" s="57">
        <f t="shared" si="144"/>
        <v>0</v>
      </c>
      <c r="AC1101" s="57">
        <f t="shared" si="144"/>
        <v>168416.80000000005</v>
      </c>
      <c r="AD1101" s="57">
        <f t="shared" si="144"/>
        <v>20789.280000000002</v>
      </c>
      <c r="AE1101" s="57">
        <f t="shared" si="144"/>
        <v>0</v>
      </c>
      <c r="AF1101" s="57">
        <f t="shared" si="144"/>
        <v>0</v>
      </c>
      <c r="AG1101" s="57">
        <f t="shared" si="144"/>
        <v>0</v>
      </c>
      <c r="AH1101" s="57">
        <f t="shared" si="144"/>
        <v>0</v>
      </c>
      <c r="AI1101" s="57">
        <f t="shared" si="144"/>
        <v>0</v>
      </c>
      <c r="AJ1101" s="57">
        <f t="shared" si="144"/>
        <v>0</v>
      </c>
      <c r="AK1101" s="57">
        <f t="shared" si="144"/>
        <v>0</v>
      </c>
      <c r="AL1101" s="57">
        <f t="shared" si="144"/>
        <v>0</v>
      </c>
      <c r="AM1101" s="57">
        <f t="shared" si="144"/>
        <v>0</v>
      </c>
      <c r="AO1101" s="57">
        <f t="shared" si="144"/>
        <v>0</v>
      </c>
      <c r="AP1101" s="57">
        <f t="shared" si="144"/>
        <v>0</v>
      </c>
      <c r="AQ1101" s="57">
        <f t="shared" si="144"/>
        <v>0</v>
      </c>
      <c r="AR1101" s="94">
        <f>SUM(G1101:AQ1101)</f>
        <v>29041845.979999982</v>
      </c>
      <c r="AS1101" s="57">
        <f t="shared" ref="AS1101:CE1101" si="145">SUM(AS26:AS1100)</f>
        <v>23045316.119999994</v>
      </c>
      <c r="AT1101" s="57">
        <f t="shared" si="145"/>
        <v>1319277.3800000001</v>
      </c>
      <c r="AU1101" s="57">
        <f t="shared" si="145"/>
        <v>2893759.0599999977</v>
      </c>
      <c r="AV1101" s="57">
        <f t="shared" si="145"/>
        <v>87803.740000000049</v>
      </c>
      <c r="AW1101" s="57">
        <f t="shared" si="145"/>
        <v>33303.800000000003</v>
      </c>
      <c r="AX1101" s="57">
        <f t="shared" si="145"/>
        <v>3186.5</v>
      </c>
      <c r="AY1101" s="57">
        <f t="shared" si="145"/>
        <v>0</v>
      </c>
      <c r="AZ1101" s="57">
        <f t="shared" si="145"/>
        <v>0</v>
      </c>
      <c r="BA1101" s="57">
        <f t="shared" si="145"/>
        <v>0</v>
      </c>
      <c r="BB1101" s="57">
        <f t="shared" si="145"/>
        <v>0</v>
      </c>
      <c r="BC1101" s="57">
        <f t="shared" si="145"/>
        <v>0</v>
      </c>
      <c r="BD1101" s="57">
        <f t="shared" si="145"/>
        <v>21312</v>
      </c>
      <c r="BE1101" s="57">
        <f t="shared" si="145"/>
        <v>292.7</v>
      </c>
      <c r="BF1101" s="57">
        <f t="shared" si="145"/>
        <v>29627.200000000001</v>
      </c>
      <c r="BG1101" s="57">
        <f t="shared" si="145"/>
        <v>3448</v>
      </c>
      <c r="BH1101" s="57">
        <f t="shared" si="145"/>
        <v>9945.3999999999978</v>
      </c>
      <c r="BI1101" s="57">
        <f t="shared" si="145"/>
        <v>91596.5</v>
      </c>
      <c r="BJ1101" s="57">
        <f t="shared" si="145"/>
        <v>14253.1</v>
      </c>
      <c r="BK1101" s="57">
        <f t="shared" si="145"/>
        <v>492585.88</v>
      </c>
      <c r="BL1101" s="57">
        <f t="shared" si="145"/>
        <v>492585.88</v>
      </c>
      <c r="BM1101" s="57">
        <f t="shared" si="145"/>
        <v>0</v>
      </c>
      <c r="BN1101" s="57">
        <f t="shared" si="145"/>
        <v>26130</v>
      </c>
      <c r="BO1101" s="57">
        <f t="shared" si="145"/>
        <v>0</v>
      </c>
      <c r="BP1101" s="57">
        <f t="shared" si="145"/>
        <v>0</v>
      </c>
      <c r="BQ1101" s="57">
        <f t="shared" si="145"/>
        <v>432868</v>
      </c>
      <c r="BR1101" s="57">
        <f t="shared" si="145"/>
        <v>0</v>
      </c>
      <c r="BS1101" s="57">
        <f t="shared" si="145"/>
        <v>0</v>
      </c>
      <c r="BT1101" s="57">
        <f t="shared" si="145"/>
        <v>0</v>
      </c>
      <c r="BU1101" s="57">
        <f t="shared" si="145"/>
        <v>0</v>
      </c>
      <c r="BV1101" s="57">
        <f t="shared" si="145"/>
        <v>0</v>
      </c>
      <c r="BW1101" s="57">
        <f t="shared" si="145"/>
        <v>0</v>
      </c>
      <c r="BX1101" s="57">
        <f t="shared" si="145"/>
        <v>0</v>
      </c>
      <c r="BY1101" s="57">
        <f t="shared" si="145"/>
        <v>0</v>
      </c>
      <c r="CA1101" s="57">
        <f t="shared" si="145"/>
        <v>0</v>
      </c>
      <c r="CB1101" s="57">
        <f t="shared" si="145"/>
        <v>0</v>
      </c>
      <c r="CC1101" s="57">
        <f t="shared" si="145"/>
        <v>45905.520000000004</v>
      </c>
      <c r="CD1101" s="57">
        <f t="shared" si="145"/>
        <v>29043196.780000012</v>
      </c>
      <c r="CE1101" s="57">
        <f t="shared" si="145"/>
        <v>0</v>
      </c>
      <c r="CF1101" s="75">
        <f t="shared" ref="CF1101:CG1105" si="146">+C1101</f>
        <v>0</v>
      </c>
      <c r="CG1101" s="69">
        <f t="shared" si="146"/>
        <v>0</v>
      </c>
      <c r="CH1101" s="57">
        <f t="shared" ref="CH1101:CU1101" si="147">SUM(CH26:CH1100)</f>
        <v>0</v>
      </c>
      <c r="CI1101" s="57">
        <f t="shared" si="147"/>
        <v>248</v>
      </c>
      <c r="CJ1101" s="57">
        <f t="shared" si="147"/>
        <v>0</v>
      </c>
      <c r="CK1101" s="57">
        <f t="shared" si="147"/>
        <v>0</v>
      </c>
      <c r="CL1101" s="57">
        <f t="shared" si="147"/>
        <v>0</v>
      </c>
      <c r="CM1101" s="57">
        <f t="shared" si="147"/>
        <v>0</v>
      </c>
      <c r="CN1101" s="57">
        <f t="shared" si="147"/>
        <v>0</v>
      </c>
      <c r="CO1101" s="57">
        <f t="shared" si="147"/>
        <v>0</v>
      </c>
      <c r="CP1101" s="57">
        <f t="shared" si="147"/>
        <v>0</v>
      </c>
      <c r="CQ1101" s="57">
        <f t="shared" si="147"/>
        <v>0</v>
      </c>
      <c r="CR1101" s="57">
        <f t="shared" si="147"/>
        <v>0</v>
      </c>
      <c r="CS1101" s="57">
        <f t="shared" si="147"/>
        <v>0</v>
      </c>
      <c r="CT1101" s="57">
        <f t="shared" si="147"/>
        <v>0</v>
      </c>
      <c r="CU1101" s="57">
        <f t="shared" si="147"/>
        <v>0</v>
      </c>
    </row>
    <row r="1102" spans="1:99" ht="36" x14ac:dyDescent="0.25">
      <c r="B1102" s="70" t="s">
        <v>3024</v>
      </c>
      <c r="C1102" s="78">
        <v>224</v>
      </c>
      <c r="D1102" s="76"/>
      <c r="E1102" s="69" t="s">
        <v>3025</v>
      </c>
      <c r="G1102" s="69">
        <v>0</v>
      </c>
      <c r="T1102" s="69"/>
      <c r="U1102" s="69"/>
      <c r="AR1102" s="94">
        <f>SUM(G1102:AQ1102)</f>
        <v>0</v>
      </c>
      <c r="AT1102" s="69"/>
      <c r="BC1102" s="69"/>
      <c r="BD1102" s="69"/>
      <c r="CD1102" s="94">
        <f t="shared" ref="CD1102:CD1165" si="148">SUM(AS1102:CC1102)</f>
        <v>0</v>
      </c>
      <c r="CE1102" s="73">
        <f t="shared" ref="CE1102:CE1165" si="149">+CD1102-AR1102</f>
        <v>0</v>
      </c>
      <c r="CF1102" s="75">
        <f t="shared" si="146"/>
        <v>224</v>
      </c>
      <c r="CG1102" s="69">
        <f t="shared" si="146"/>
        <v>0</v>
      </c>
    </row>
    <row r="1103" spans="1:99" ht="36" x14ac:dyDescent="0.25">
      <c r="B1103" s="70" t="s">
        <v>3026</v>
      </c>
      <c r="C1103" s="78">
        <v>225</v>
      </c>
      <c r="D1103" s="76"/>
      <c r="E1103" s="69" t="s">
        <v>3027</v>
      </c>
      <c r="T1103" s="69"/>
      <c r="U1103" s="69"/>
      <c r="AR1103" s="94">
        <f>SUM(G1103:AQ1103)</f>
        <v>0</v>
      </c>
      <c r="AT1103" s="69"/>
      <c r="BC1103" s="69"/>
      <c r="BD1103" s="69"/>
      <c r="CD1103" s="94">
        <f t="shared" si="148"/>
        <v>0</v>
      </c>
      <c r="CE1103" s="73">
        <f t="shared" si="149"/>
        <v>0</v>
      </c>
      <c r="CF1103" s="75">
        <f t="shared" si="146"/>
        <v>225</v>
      </c>
      <c r="CG1103" s="69">
        <f t="shared" si="146"/>
        <v>0</v>
      </c>
    </row>
    <row r="1104" spans="1:99" ht="36" x14ac:dyDescent="0.25">
      <c r="B1104" s="70"/>
      <c r="C1104" s="78">
        <v>226</v>
      </c>
      <c r="D1104" s="76"/>
      <c r="E1104" s="77" t="s">
        <v>3028</v>
      </c>
      <c r="T1104" s="69"/>
      <c r="U1104" s="69"/>
      <c r="AE1104" s="69">
        <v>67493.3</v>
      </c>
      <c r="AR1104" s="94">
        <f>SUM(G1104:AQ1104)</f>
        <v>67493.3</v>
      </c>
      <c r="AT1104" s="69"/>
      <c r="BA1104" s="69">
        <v>67493.3</v>
      </c>
      <c r="BC1104" s="69"/>
      <c r="BD1104" s="69"/>
      <c r="CD1104" s="94">
        <f t="shared" si="148"/>
        <v>67493.3</v>
      </c>
      <c r="CE1104" s="73">
        <f t="shared" si="149"/>
        <v>0</v>
      </c>
      <c r="CF1104" s="75">
        <f t="shared" si="146"/>
        <v>226</v>
      </c>
      <c r="CG1104" s="69">
        <f t="shared" si="146"/>
        <v>0</v>
      </c>
    </row>
    <row r="1105" spans="2:89" x14ac:dyDescent="0.25">
      <c r="B1105" s="70"/>
      <c r="C1105" s="78">
        <v>227</v>
      </c>
      <c r="D1105" s="76"/>
      <c r="E1105" s="69" t="s">
        <v>3029</v>
      </c>
      <c r="T1105" s="69"/>
      <c r="U1105" s="69"/>
      <c r="Y1105" s="69">
        <v>236</v>
      </c>
      <c r="AR1105" s="94">
        <f>SUM(G1105:AQ1105)</f>
        <v>236</v>
      </c>
      <c r="AT1105" s="69"/>
      <c r="BA1105" s="69">
        <v>236</v>
      </c>
      <c r="BC1105" s="69"/>
      <c r="BD1105" s="69"/>
      <c r="CD1105" s="94">
        <f t="shared" si="148"/>
        <v>236</v>
      </c>
      <c r="CE1105" s="73">
        <f t="shared" si="149"/>
        <v>0</v>
      </c>
      <c r="CF1105" s="75">
        <f t="shared" si="146"/>
        <v>227</v>
      </c>
      <c r="CG1105" s="69">
        <f t="shared" si="146"/>
        <v>0</v>
      </c>
    </row>
    <row r="1106" spans="2:89" s="68" customFormat="1" x14ac:dyDescent="0.25">
      <c r="B1106" s="84"/>
      <c r="C1106" s="84"/>
      <c r="D1106" s="87"/>
      <c r="E1106" s="68" t="s">
        <v>3030</v>
      </c>
      <c r="G1106" s="68">
        <f>SUM(G1102:G1105)</f>
        <v>0</v>
      </c>
      <c r="H1106" s="68">
        <f t="shared" ref="H1106:BT1106" si="150">SUM(H1102:H1105)</f>
        <v>0</v>
      </c>
      <c r="I1106" s="68">
        <f t="shared" si="150"/>
        <v>0</v>
      </c>
      <c r="J1106" s="68">
        <f t="shared" si="150"/>
        <v>0</v>
      </c>
      <c r="K1106" s="68">
        <f t="shared" si="150"/>
        <v>0</v>
      </c>
      <c r="L1106" s="68">
        <f t="shared" si="150"/>
        <v>0</v>
      </c>
      <c r="M1106" s="68">
        <f t="shared" si="150"/>
        <v>0</v>
      </c>
      <c r="N1106" s="68">
        <f t="shared" si="150"/>
        <v>0</v>
      </c>
      <c r="O1106" s="68">
        <f t="shared" si="150"/>
        <v>0</v>
      </c>
      <c r="P1106" s="68">
        <f t="shared" si="150"/>
        <v>0</v>
      </c>
      <c r="Q1106" s="68">
        <f t="shared" si="150"/>
        <v>0</v>
      </c>
      <c r="R1106" s="68">
        <f t="shared" si="150"/>
        <v>0</v>
      </c>
      <c r="S1106" s="68">
        <f t="shared" si="150"/>
        <v>0</v>
      </c>
      <c r="T1106" s="68">
        <f t="shared" si="150"/>
        <v>0</v>
      </c>
      <c r="U1106" s="68">
        <f t="shared" si="150"/>
        <v>0</v>
      </c>
      <c r="V1106" s="68">
        <f t="shared" si="150"/>
        <v>0</v>
      </c>
      <c r="W1106" s="68">
        <f t="shared" si="150"/>
        <v>0</v>
      </c>
      <c r="X1106" s="68">
        <f t="shared" si="150"/>
        <v>0</v>
      </c>
      <c r="Y1106" s="68">
        <f t="shared" si="150"/>
        <v>236</v>
      </c>
      <c r="Z1106" s="68">
        <f t="shared" si="150"/>
        <v>0</v>
      </c>
      <c r="AA1106" s="68">
        <f t="shared" si="150"/>
        <v>0</v>
      </c>
      <c r="AB1106" s="68">
        <f t="shared" si="150"/>
        <v>0</v>
      </c>
      <c r="AC1106" s="68">
        <f t="shared" si="150"/>
        <v>0</v>
      </c>
      <c r="AD1106" s="68">
        <f t="shared" si="150"/>
        <v>0</v>
      </c>
      <c r="AE1106" s="68">
        <f t="shared" si="150"/>
        <v>67493.3</v>
      </c>
      <c r="AF1106" s="68">
        <f t="shared" si="150"/>
        <v>0</v>
      </c>
      <c r="AG1106" s="68">
        <f t="shared" si="150"/>
        <v>0</v>
      </c>
      <c r="AH1106" s="68">
        <f t="shared" si="150"/>
        <v>0</v>
      </c>
      <c r="AI1106" s="68">
        <f t="shared" si="150"/>
        <v>0</v>
      </c>
      <c r="AJ1106" s="68">
        <f t="shared" si="150"/>
        <v>0</v>
      </c>
      <c r="AK1106" s="68">
        <f t="shared" si="150"/>
        <v>0</v>
      </c>
      <c r="AL1106" s="68">
        <f t="shared" si="150"/>
        <v>0</v>
      </c>
      <c r="AM1106" s="68">
        <f t="shared" si="150"/>
        <v>0</v>
      </c>
      <c r="AO1106" s="68">
        <f t="shared" si="150"/>
        <v>0</v>
      </c>
      <c r="AP1106" s="68">
        <f t="shared" si="150"/>
        <v>0</v>
      </c>
      <c r="AQ1106" s="68">
        <f t="shared" si="150"/>
        <v>0</v>
      </c>
      <c r="AR1106" s="68">
        <f t="shared" si="150"/>
        <v>67729.3</v>
      </c>
      <c r="AS1106" s="68">
        <f t="shared" si="150"/>
        <v>0</v>
      </c>
      <c r="AT1106" s="68">
        <f t="shared" si="150"/>
        <v>0</v>
      </c>
      <c r="AU1106" s="68">
        <f t="shared" si="150"/>
        <v>0</v>
      </c>
      <c r="AV1106" s="68">
        <f t="shared" si="150"/>
        <v>0</v>
      </c>
      <c r="AW1106" s="68">
        <f t="shared" si="150"/>
        <v>0</v>
      </c>
      <c r="AX1106" s="68">
        <f t="shared" si="150"/>
        <v>0</v>
      </c>
      <c r="AY1106" s="68">
        <f t="shared" si="150"/>
        <v>0</v>
      </c>
      <c r="AZ1106" s="68">
        <f t="shared" si="150"/>
        <v>0</v>
      </c>
      <c r="BA1106" s="68">
        <f t="shared" si="150"/>
        <v>67729.3</v>
      </c>
      <c r="BB1106" s="68">
        <f t="shared" si="150"/>
        <v>0</v>
      </c>
      <c r="BC1106" s="68">
        <f t="shared" si="150"/>
        <v>0</v>
      </c>
      <c r="BD1106" s="68">
        <f t="shared" si="150"/>
        <v>0</v>
      </c>
      <c r="BE1106" s="68">
        <f t="shared" si="150"/>
        <v>0</v>
      </c>
      <c r="BF1106" s="68">
        <f t="shared" si="150"/>
        <v>0</v>
      </c>
      <c r="BG1106" s="68">
        <f t="shared" si="150"/>
        <v>0</v>
      </c>
      <c r="BH1106" s="68">
        <f t="shared" si="150"/>
        <v>0</v>
      </c>
      <c r="BI1106" s="68">
        <f t="shared" si="150"/>
        <v>0</v>
      </c>
      <c r="BJ1106" s="68">
        <f t="shared" si="150"/>
        <v>0</v>
      </c>
      <c r="BK1106" s="68">
        <f t="shared" si="150"/>
        <v>0</v>
      </c>
      <c r="BL1106" s="68">
        <f t="shared" si="150"/>
        <v>0</v>
      </c>
      <c r="BM1106" s="68">
        <f t="shared" si="150"/>
        <v>0</v>
      </c>
      <c r="BN1106" s="68">
        <f t="shared" si="150"/>
        <v>0</v>
      </c>
      <c r="BO1106" s="68">
        <f t="shared" si="150"/>
        <v>0</v>
      </c>
      <c r="BP1106" s="68">
        <f t="shared" si="150"/>
        <v>0</v>
      </c>
      <c r="BQ1106" s="68">
        <f t="shared" si="150"/>
        <v>0</v>
      </c>
      <c r="BR1106" s="68">
        <f t="shared" si="150"/>
        <v>0</v>
      </c>
      <c r="BS1106" s="68">
        <f t="shared" si="150"/>
        <v>0</v>
      </c>
      <c r="BT1106" s="68">
        <f t="shared" si="150"/>
        <v>0</v>
      </c>
      <c r="BU1106" s="68">
        <f t="shared" ref="BU1106:CK1106" si="151">SUM(BU1102:BU1105)</f>
        <v>0</v>
      </c>
      <c r="BV1106" s="68">
        <f t="shared" si="151"/>
        <v>0</v>
      </c>
      <c r="BW1106" s="68">
        <f t="shared" si="151"/>
        <v>0</v>
      </c>
      <c r="BX1106" s="68">
        <f t="shared" si="151"/>
        <v>0</v>
      </c>
      <c r="BY1106" s="68">
        <f t="shared" si="151"/>
        <v>0</v>
      </c>
      <c r="CA1106" s="68">
        <f t="shared" si="151"/>
        <v>0</v>
      </c>
      <c r="CB1106" s="68">
        <f t="shared" si="151"/>
        <v>0</v>
      </c>
      <c r="CC1106" s="68">
        <f t="shared" si="151"/>
        <v>0</v>
      </c>
      <c r="CD1106" s="68">
        <f t="shared" si="151"/>
        <v>67729.3</v>
      </c>
      <c r="CE1106" s="68">
        <f t="shared" si="151"/>
        <v>0</v>
      </c>
      <c r="CG1106" s="68">
        <f t="shared" si="151"/>
        <v>0</v>
      </c>
      <c r="CH1106" s="68">
        <f t="shared" si="151"/>
        <v>0</v>
      </c>
      <c r="CI1106" s="68">
        <f t="shared" si="151"/>
        <v>0</v>
      </c>
      <c r="CJ1106" s="68">
        <f t="shared" si="151"/>
        <v>0</v>
      </c>
      <c r="CK1106" s="68">
        <f t="shared" si="151"/>
        <v>0</v>
      </c>
    </row>
    <row r="1107" spans="2:89" x14ac:dyDescent="0.25">
      <c r="B1107" s="70"/>
      <c r="C1107" s="110">
        <v>228</v>
      </c>
      <c r="D1107" s="76"/>
      <c r="E1107" s="69" t="s">
        <v>3031</v>
      </c>
      <c r="T1107" s="69"/>
      <c r="U1107" s="69"/>
      <c r="AE1107" s="69">
        <v>1000</v>
      </c>
      <c r="AR1107" s="94">
        <f t="shared" ref="AR1107:AR1147" si="152">SUM(G1107:AQ1107)</f>
        <v>1000</v>
      </c>
      <c r="AT1107" s="69"/>
      <c r="BC1107" s="69"/>
      <c r="BD1107" s="69"/>
      <c r="CA1107" s="69">
        <v>1000</v>
      </c>
      <c r="CD1107" s="94">
        <f t="shared" si="148"/>
        <v>1000</v>
      </c>
      <c r="CE1107" s="73">
        <f t="shared" si="149"/>
        <v>0</v>
      </c>
      <c r="CF1107" s="75">
        <f t="shared" ref="CF1107:CG1147" si="153">+C1107</f>
        <v>228</v>
      </c>
      <c r="CG1107" s="69">
        <f t="shared" si="153"/>
        <v>0</v>
      </c>
    </row>
    <row r="1108" spans="2:89" x14ac:dyDescent="0.25">
      <c r="B1108" s="70"/>
      <c r="C1108" s="78">
        <v>229</v>
      </c>
      <c r="D1108" s="76"/>
      <c r="E1108" s="69" t="s">
        <v>3032</v>
      </c>
      <c r="P1108" s="69">
        <v>10000</v>
      </c>
      <c r="T1108" s="69"/>
      <c r="U1108" s="69"/>
      <c r="AR1108" s="94">
        <f t="shared" si="152"/>
        <v>10000</v>
      </c>
      <c r="AT1108" s="69"/>
      <c r="BC1108" s="69"/>
      <c r="BD1108" s="69"/>
      <c r="BO1108" s="69">
        <v>10000</v>
      </c>
      <c r="CD1108" s="94">
        <f t="shared" si="148"/>
        <v>10000</v>
      </c>
      <c r="CE1108" s="73">
        <f t="shared" si="149"/>
        <v>0</v>
      </c>
      <c r="CF1108" s="75">
        <f t="shared" si="153"/>
        <v>229</v>
      </c>
      <c r="CG1108" s="69">
        <f t="shared" si="153"/>
        <v>0</v>
      </c>
    </row>
    <row r="1109" spans="2:89" x14ac:dyDescent="0.25">
      <c r="B1109" s="70"/>
      <c r="C1109" s="78">
        <v>230</v>
      </c>
      <c r="D1109" s="76"/>
      <c r="E1109" s="69" t="s">
        <v>3033</v>
      </c>
      <c r="P1109" s="69">
        <v>6000</v>
      </c>
      <c r="T1109" s="69"/>
      <c r="U1109" s="69"/>
      <c r="AR1109" s="94">
        <f t="shared" si="152"/>
        <v>6000</v>
      </c>
      <c r="AT1109" s="69"/>
      <c r="BC1109" s="69"/>
      <c r="BD1109" s="69"/>
      <c r="BO1109" s="69">
        <v>6000</v>
      </c>
      <c r="CD1109" s="94">
        <f t="shared" si="148"/>
        <v>6000</v>
      </c>
      <c r="CE1109" s="73">
        <f t="shared" si="149"/>
        <v>0</v>
      </c>
      <c r="CF1109" s="75">
        <f t="shared" si="153"/>
        <v>230</v>
      </c>
      <c r="CG1109" s="69">
        <f t="shared" si="153"/>
        <v>0</v>
      </c>
    </row>
    <row r="1110" spans="2:89" x14ac:dyDescent="0.25">
      <c r="B1110" s="70"/>
      <c r="C1110" s="78">
        <v>231</v>
      </c>
      <c r="D1110" s="76"/>
      <c r="E1110" s="69" t="s">
        <v>3034</v>
      </c>
      <c r="P1110" s="69">
        <v>16000</v>
      </c>
      <c r="T1110" s="69"/>
      <c r="U1110" s="69"/>
      <c r="AR1110" s="94">
        <f t="shared" si="152"/>
        <v>16000</v>
      </c>
      <c r="AT1110" s="69"/>
      <c r="BC1110" s="69"/>
      <c r="BD1110" s="69"/>
      <c r="BO1110" s="69">
        <v>16000</v>
      </c>
      <c r="CD1110" s="94">
        <f t="shared" si="148"/>
        <v>16000</v>
      </c>
      <c r="CE1110" s="73">
        <f t="shared" si="149"/>
        <v>0</v>
      </c>
      <c r="CF1110" s="75">
        <f t="shared" si="153"/>
        <v>231</v>
      </c>
      <c r="CG1110" s="69">
        <f t="shared" si="153"/>
        <v>0</v>
      </c>
    </row>
    <row r="1111" spans="2:89" x14ac:dyDescent="0.25">
      <c r="B1111" s="70"/>
      <c r="C1111" s="78">
        <v>232</v>
      </c>
      <c r="D1111" s="76"/>
      <c r="E1111" s="69" t="s">
        <v>3035</v>
      </c>
      <c r="T1111" s="69"/>
      <c r="U1111" s="69"/>
      <c r="AB1111" s="69">
        <v>70562</v>
      </c>
      <c r="AR1111" s="94">
        <f t="shared" si="152"/>
        <v>70562</v>
      </c>
      <c r="AT1111" s="69"/>
      <c r="BC1111" s="69"/>
      <c r="BD1111" s="69"/>
      <c r="BP1111" s="69">
        <v>70562</v>
      </c>
      <c r="CD1111" s="94">
        <f t="shared" si="148"/>
        <v>70562</v>
      </c>
      <c r="CE1111" s="73">
        <f t="shared" si="149"/>
        <v>0</v>
      </c>
      <c r="CF1111" s="75">
        <f t="shared" si="153"/>
        <v>232</v>
      </c>
      <c r="CG1111" s="69">
        <f t="shared" si="153"/>
        <v>0</v>
      </c>
    </row>
    <row r="1112" spans="2:89" x14ac:dyDescent="0.25">
      <c r="B1112" s="70"/>
      <c r="C1112" s="78">
        <v>233</v>
      </c>
      <c r="D1112" s="76"/>
      <c r="E1112" s="69" t="s">
        <v>3035</v>
      </c>
      <c r="T1112" s="69"/>
      <c r="U1112" s="69"/>
      <c r="AB1112" s="69">
        <v>18329.46</v>
      </c>
      <c r="AR1112" s="94">
        <f t="shared" si="152"/>
        <v>18329.46</v>
      </c>
      <c r="AT1112" s="69"/>
      <c r="BC1112" s="69"/>
      <c r="BD1112" s="69"/>
      <c r="BP1112" s="69">
        <v>18329.46</v>
      </c>
      <c r="CD1112" s="94">
        <f t="shared" si="148"/>
        <v>18329.46</v>
      </c>
      <c r="CE1112" s="73">
        <f t="shared" si="149"/>
        <v>0</v>
      </c>
      <c r="CF1112" s="75">
        <f t="shared" si="153"/>
        <v>233</v>
      </c>
      <c r="CG1112" s="69">
        <f t="shared" si="153"/>
        <v>0</v>
      </c>
    </row>
    <row r="1113" spans="2:89" x14ac:dyDescent="0.25">
      <c r="B1113" s="70"/>
      <c r="C1113" s="78">
        <v>234</v>
      </c>
      <c r="D1113" s="76"/>
      <c r="E1113" s="69" t="s">
        <v>3035</v>
      </c>
      <c r="T1113" s="69"/>
      <c r="U1113" s="69"/>
      <c r="AB1113" s="69">
        <v>15447.55</v>
      </c>
      <c r="AR1113" s="94">
        <f t="shared" si="152"/>
        <v>15447.55</v>
      </c>
      <c r="AT1113" s="69"/>
      <c r="BC1113" s="69"/>
      <c r="BD1113" s="69"/>
      <c r="BP1113" s="69">
        <v>15447.55</v>
      </c>
      <c r="CD1113" s="94">
        <f t="shared" si="148"/>
        <v>15447.55</v>
      </c>
      <c r="CE1113" s="73">
        <f t="shared" si="149"/>
        <v>0</v>
      </c>
      <c r="CF1113" s="75">
        <f t="shared" si="153"/>
        <v>234</v>
      </c>
      <c r="CG1113" s="69">
        <f t="shared" si="153"/>
        <v>0</v>
      </c>
    </row>
    <row r="1114" spans="2:89" x14ac:dyDescent="0.25">
      <c r="B1114" s="70"/>
      <c r="C1114" s="78">
        <v>235</v>
      </c>
      <c r="D1114" s="76"/>
      <c r="E1114" s="69" t="s">
        <v>3035</v>
      </c>
      <c r="T1114" s="69"/>
      <c r="U1114" s="69"/>
      <c r="AB1114" s="69">
        <v>275719.34000000003</v>
      </c>
      <c r="AR1114" s="94">
        <f t="shared" si="152"/>
        <v>275719.34000000003</v>
      </c>
      <c r="AT1114" s="69"/>
      <c r="BC1114" s="69"/>
      <c r="BD1114" s="69"/>
      <c r="BP1114" s="69">
        <v>275719.34000000003</v>
      </c>
      <c r="CD1114" s="94">
        <f t="shared" si="148"/>
        <v>275719.34000000003</v>
      </c>
      <c r="CE1114" s="73">
        <f t="shared" si="149"/>
        <v>0</v>
      </c>
      <c r="CF1114" s="75">
        <f t="shared" si="153"/>
        <v>235</v>
      </c>
      <c r="CG1114" s="69">
        <f t="shared" si="153"/>
        <v>0</v>
      </c>
    </row>
    <row r="1115" spans="2:89" x14ac:dyDescent="0.25">
      <c r="B1115" s="70"/>
      <c r="C1115" s="78">
        <v>236</v>
      </c>
      <c r="D1115" s="76"/>
      <c r="E1115" s="69" t="s">
        <v>3036</v>
      </c>
      <c r="P1115" s="69">
        <v>3300</v>
      </c>
      <c r="T1115" s="69"/>
      <c r="U1115" s="69"/>
      <c r="AR1115" s="94">
        <f t="shared" si="152"/>
        <v>3300</v>
      </c>
      <c r="AT1115" s="69"/>
      <c r="BC1115" s="69"/>
      <c r="BD1115" s="69"/>
      <c r="BO1115" s="69">
        <v>3300</v>
      </c>
      <c r="CD1115" s="94">
        <f t="shared" si="148"/>
        <v>3300</v>
      </c>
      <c r="CE1115" s="73">
        <f t="shared" si="149"/>
        <v>0</v>
      </c>
      <c r="CF1115" s="75">
        <f t="shared" si="153"/>
        <v>236</v>
      </c>
      <c r="CG1115" s="69">
        <f t="shared" si="153"/>
        <v>0</v>
      </c>
    </row>
    <row r="1116" spans="2:89" x14ac:dyDescent="0.25">
      <c r="B1116" s="70"/>
      <c r="C1116" s="78">
        <v>237</v>
      </c>
      <c r="D1116" s="76"/>
      <c r="E1116" s="69" t="s">
        <v>3037</v>
      </c>
      <c r="P1116" s="69">
        <v>8000</v>
      </c>
      <c r="T1116" s="69"/>
      <c r="U1116" s="69"/>
      <c r="AR1116" s="94">
        <f t="shared" si="152"/>
        <v>8000</v>
      </c>
      <c r="AT1116" s="69"/>
      <c r="BC1116" s="69"/>
      <c r="BD1116" s="69"/>
      <c r="BO1116" s="69">
        <v>8000</v>
      </c>
      <c r="CD1116" s="94">
        <f t="shared" si="148"/>
        <v>8000</v>
      </c>
      <c r="CE1116" s="73">
        <f t="shared" si="149"/>
        <v>0</v>
      </c>
      <c r="CF1116" s="75">
        <f t="shared" si="153"/>
        <v>237</v>
      </c>
      <c r="CG1116" s="69">
        <f t="shared" si="153"/>
        <v>0</v>
      </c>
    </row>
    <row r="1117" spans="2:89" x14ac:dyDescent="0.25">
      <c r="B1117" s="70"/>
      <c r="C1117" s="78">
        <v>238</v>
      </c>
      <c r="D1117" s="76"/>
      <c r="E1117" s="69" t="s">
        <v>3038</v>
      </c>
      <c r="P1117" s="69">
        <v>2000</v>
      </c>
      <c r="T1117" s="69"/>
      <c r="U1117" s="69"/>
      <c r="AF1117" s="69">
        <v>500</v>
      </c>
      <c r="AR1117" s="94">
        <f t="shared" si="152"/>
        <v>2500</v>
      </c>
      <c r="AT1117" s="69"/>
      <c r="BC1117" s="69"/>
      <c r="BD1117" s="69">
        <v>500</v>
      </c>
      <c r="BO1117" s="69">
        <v>2000</v>
      </c>
      <c r="CD1117" s="94">
        <f t="shared" si="148"/>
        <v>2500</v>
      </c>
      <c r="CE1117" s="73">
        <f t="shared" si="149"/>
        <v>0</v>
      </c>
      <c r="CF1117" s="75">
        <f t="shared" si="153"/>
        <v>238</v>
      </c>
      <c r="CG1117" s="69">
        <f t="shared" si="153"/>
        <v>0</v>
      </c>
    </row>
    <row r="1118" spans="2:89" x14ac:dyDescent="0.25">
      <c r="B1118" s="70"/>
      <c r="C1118" s="78">
        <v>239</v>
      </c>
      <c r="D1118" s="76" t="s">
        <v>121</v>
      </c>
      <c r="E1118" s="69" t="s">
        <v>3039</v>
      </c>
      <c r="T1118" s="69"/>
      <c r="U1118" s="69"/>
      <c r="AQ1118" s="69">
        <v>1000</v>
      </c>
      <c r="AR1118" s="94">
        <f t="shared" si="152"/>
        <v>1000</v>
      </c>
      <c r="AT1118" s="69"/>
      <c r="BC1118" s="69"/>
      <c r="BD1118" s="69"/>
      <c r="CC1118" s="69">
        <v>1000</v>
      </c>
      <c r="CD1118" s="94">
        <f t="shared" si="148"/>
        <v>1000</v>
      </c>
      <c r="CE1118" s="73">
        <f t="shared" si="149"/>
        <v>0</v>
      </c>
      <c r="CF1118" s="75">
        <f t="shared" si="153"/>
        <v>239</v>
      </c>
      <c r="CG1118" s="69" t="str">
        <f t="shared" si="153"/>
        <v>ماليزى اسنان</v>
      </c>
    </row>
    <row r="1119" spans="2:89" ht="18.75" customHeight="1" x14ac:dyDescent="0.25">
      <c r="B1119" s="70"/>
      <c r="C1119" s="78">
        <v>240</v>
      </c>
      <c r="D1119" s="76" t="s">
        <v>122</v>
      </c>
      <c r="E1119" s="69" t="s">
        <v>3040</v>
      </c>
      <c r="T1119" s="69"/>
      <c r="U1119" s="69"/>
      <c r="AQ1119" s="69">
        <v>100</v>
      </c>
      <c r="AR1119" s="94">
        <f t="shared" si="152"/>
        <v>100</v>
      </c>
      <c r="AT1119" s="69"/>
      <c r="BC1119" s="69"/>
      <c r="BD1119" s="69"/>
      <c r="CC1119" s="69">
        <v>100</v>
      </c>
      <c r="CD1119" s="94">
        <f t="shared" si="148"/>
        <v>100</v>
      </c>
      <c r="CE1119" s="73">
        <f t="shared" si="149"/>
        <v>0</v>
      </c>
      <c r="CF1119" s="75">
        <f t="shared" si="153"/>
        <v>240</v>
      </c>
      <c r="CG1119" s="69" t="str">
        <f t="shared" si="153"/>
        <v>علاج تخصصى</v>
      </c>
    </row>
    <row r="1120" spans="2:89" ht="19.5" customHeight="1" x14ac:dyDescent="0.25">
      <c r="B1120" s="70"/>
      <c r="C1120" s="78">
        <v>241</v>
      </c>
      <c r="D1120" s="76" t="s">
        <v>122</v>
      </c>
      <c r="E1120" s="69" t="s">
        <v>3041</v>
      </c>
      <c r="T1120" s="69"/>
      <c r="U1120" s="69"/>
      <c r="AQ1120" s="69">
        <v>400</v>
      </c>
      <c r="AR1120" s="94">
        <f t="shared" si="152"/>
        <v>400</v>
      </c>
      <c r="AT1120" s="69"/>
      <c r="BC1120" s="69"/>
      <c r="BD1120" s="69"/>
      <c r="CC1120" s="69">
        <v>400</v>
      </c>
      <c r="CD1120" s="94">
        <f t="shared" si="148"/>
        <v>400</v>
      </c>
      <c r="CE1120" s="73">
        <f t="shared" si="149"/>
        <v>0</v>
      </c>
      <c r="CF1120" s="75">
        <f t="shared" si="153"/>
        <v>241</v>
      </c>
      <c r="CG1120" s="69" t="str">
        <f t="shared" si="153"/>
        <v>علاج تخصصى</v>
      </c>
    </row>
    <row r="1121" spans="2:85" ht="21" customHeight="1" x14ac:dyDescent="0.25">
      <c r="B1121" s="70"/>
      <c r="C1121" s="78">
        <v>242</v>
      </c>
      <c r="D1121" s="76" t="s">
        <v>122</v>
      </c>
      <c r="E1121" s="69" t="s">
        <v>3042</v>
      </c>
      <c r="T1121" s="69"/>
      <c r="U1121" s="69"/>
      <c r="AQ1121" s="69">
        <v>250</v>
      </c>
      <c r="AR1121" s="94">
        <f t="shared" si="152"/>
        <v>250</v>
      </c>
      <c r="AT1121" s="69"/>
      <c r="BC1121" s="69"/>
      <c r="BD1121" s="69"/>
      <c r="CC1121" s="69">
        <v>250</v>
      </c>
      <c r="CD1121" s="94">
        <f t="shared" si="148"/>
        <v>250</v>
      </c>
      <c r="CE1121" s="73">
        <f t="shared" si="149"/>
        <v>0</v>
      </c>
      <c r="CF1121" s="75">
        <f t="shared" si="153"/>
        <v>242</v>
      </c>
      <c r="CG1121" s="69" t="str">
        <f t="shared" si="153"/>
        <v>علاج تخصصى</v>
      </c>
    </row>
    <row r="1122" spans="2:85" ht="19.5" customHeight="1" x14ac:dyDescent="0.25">
      <c r="B1122" s="70"/>
      <c r="C1122" s="78">
        <v>243</v>
      </c>
      <c r="D1122" s="76" t="s">
        <v>122</v>
      </c>
      <c r="E1122" s="69" t="s">
        <v>3043</v>
      </c>
      <c r="T1122" s="69"/>
      <c r="U1122" s="69"/>
      <c r="AQ1122" s="69">
        <v>150</v>
      </c>
      <c r="AR1122" s="94">
        <f t="shared" si="152"/>
        <v>150</v>
      </c>
      <c r="AT1122" s="69"/>
      <c r="BC1122" s="69"/>
      <c r="BD1122" s="69"/>
      <c r="CC1122" s="69">
        <v>150</v>
      </c>
      <c r="CD1122" s="94">
        <f t="shared" si="148"/>
        <v>150</v>
      </c>
      <c r="CE1122" s="73">
        <f t="shared" si="149"/>
        <v>0</v>
      </c>
      <c r="CF1122" s="75">
        <f t="shared" si="153"/>
        <v>243</v>
      </c>
      <c r="CG1122" s="69" t="str">
        <f t="shared" si="153"/>
        <v>علاج تخصصى</v>
      </c>
    </row>
    <row r="1123" spans="2:85" ht="19.5" customHeight="1" x14ac:dyDescent="0.25">
      <c r="B1123" s="70"/>
      <c r="C1123" s="78">
        <v>244</v>
      </c>
      <c r="D1123" s="76" t="s">
        <v>122</v>
      </c>
      <c r="E1123" s="69" t="s">
        <v>3044</v>
      </c>
      <c r="T1123" s="69"/>
      <c r="U1123" s="69"/>
      <c r="AQ1123" s="69">
        <v>500</v>
      </c>
      <c r="AR1123" s="94">
        <f t="shared" si="152"/>
        <v>500</v>
      </c>
      <c r="AT1123" s="69"/>
      <c r="BC1123" s="69"/>
      <c r="BD1123" s="69"/>
      <c r="CC1123" s="69">
        <v>500</v>
      </c>
      <c r="CD1123" s="94">
        <f t="shared" si="148"/>
        <v>500</v>
      </c>
      <c r="CE1123" s="73">
        <f t="shared" si="149"/>
        <v>0</v>
      </c>
      <c r="CF1123" s="75">
        <f t="shared" si="153"/>
        <v>244</v>
      </c>
      <c r="CG1123" s="69" t="str">
        <f t="shared" si="153"/>
        <v>علاج تخصصى</v>
      </c>
    </row>
    <row r="1124" spans="2:85" ht="21" customHeight="1" x14ac:dyDescent="0.25">
      <c r="B1124" s="70"/>
      <c r="C1124" s="78">
        <v>245</v>
      </c>
      <c r="D1124" s="76" t="s">
        <v>122</v>
      </c>
      <c r="E1124" s="69" t="s">
        <v>3045</v>
      </c>
      <c r="T1124" s="69"/>
      <c r="U1124" s="69"/>
      <c r="AQ1124" s="69">
        <v>100</v>
      </c>
      <c r="AR1124" s="94">
        <f t="shared" si="152"/>
        <v>100</v>
      </c>
      <c r="AT1124" s="69"/>
      <c r="BC1124" s="69"/>
      <c r="BD1124" s="69"/>
      <c r="CC1124" s="69">
        <v>100</v>
      </c>
      <c r="CD1124" s="94">
        <f t="shared" si="148"/>
        <v>100</v>
      </c>
      <c r="CE1124" s="73">
        <f t="shared" si="149"/>
        <v>0</v>
      </c>
      <c r="CF1124" s="75">
        <f t="shared" si="153"/>
        <v>245</v>
      </c>
      <c r="CG1124" s="69" t="str">
        <f t="shared" si="153"/>
        <v>علاج تخصصى</v>
      </c>
    </row>
    <row r="1125" spans="2:85" ht="21.75" customHeight="1" x14ac:dyDescent="0.25">
      <c r="B1125" s="70"/>
      <c r="C1125" s="78">
        <v>246</v>
      </c>
      <c r="D1125" s="76" t="s">
        <v>122</v>
      </c>
      <c r="E1125" s="69" t="s">
        <v>3046</v>
      </c>
      <c r="T1125" s="69"/>
      <c r="U1125" s="69"/>
      <c r="AQ1125" s="69">
        <v>150</v>
      </c>
      <c r="AR1125" s="94">
        <f t="shared" si="152"/>
        <v>150</v>
      </c>
      <c r="AT1125" s="69"/>
      <c r="BC1125" s="69"/>
      <c r="BD1125" s="69"/>
      <c r="CC1125" s="69">
        <v>150</v>
      </c>
      <c r="CD1125" s="94">
        <f t="shared" si="148"/>
        <v>150</v>
      </c>
      <c r="CE1125" s="73">
        <f t="shared" si="149"/>
        <v>0</v>
      </c>
      <c r="CF1125" s="75">
        <f t="shared" si="153"/>
        <v>246</v>
      </c>
      <c r="CG1125" s="69" t="str">
        <f t="shared" si="153"/>
        <v>علاج تخصصى</v>
      </c>
    </row>
    <row r="1126" spans="2:85" ht="24" customHeight="1" x14ac:dyDescent="0.25">
      <c r="B1126" s="70"/>
      <c r="C1126" s="78">
        <v>247</v>
      </c>
      <c r="D1126" s="76" t="s">
        <v>122</v>
      </c>
      <c r="E1126" s="69" t="s">
        <v>3047</v>
      </c>
      <c r="T1126" s="69"/>
      <c r="U1126" s="69"/>
      <c r="AQ1126" s="69">
        <v>150</v>
      </c>
      <c r="AR1126" s="94">
        <f t="shared" si="152"/>
        <v>150</v>
      </c>
      <c r="AT1126" s="69"/>
      <c r="BC1126" s="69"/>
      <c r="BD1126" s="69"/>
      <c r="CC1126" s="69">
        <v>150</v>
      </c>
      <c r="CD1126" s="94">
        <f t="shared" si="148"/>
        <v>150</v>
      </c>
      <c r="CE1126" s="73">
        <f t="shared" si="149"/>
        <v>0</v>
      </c>
      <c r="CF1126" s="75">
        <f t="shared" si="153"/>
        <v>247</v>
      </c>
      <c r="CG1126" s="69" t="str">
        <f t="shared" si="153"/>
        <v>علاج تخصصى</v>
      </c>
    </row>
    <row r="1127" spans="2:85" ht="21" customHeight="1" x14ac:dyDescent="0.25">
      <c r="B1127" s="70"/>
      <c r="C1127" s="78">
        <v>248</v>
      </c>
      <c r="D1127" s="76" t="s">
        <v>122</v>
      </c>
      <c r="E1127" s="69" t="s">
        <v>3048</v>
      </c>
      <c r="T1127" s="69"/>
      <c r="U1127" s="69"/>
      <c r="AQ1127" s="69">
        <v>100</v>
      </c>
      <c r="AR1127" s="94">
        <f t="shared" si="152"/>
        <v>100</v>
      </c>
      <c r="AT1127" s="69"/>
      <c r="BC1127" s="69"/>
      <c r="BD1127" s="69"/>
      <c r="CC1127" s="69">
        <v>100</v>
      </c>
      <c r="CD1127" s="94">
        <f t="shared" si="148"/>
        <v>100</v>
      </c>
      <c r="CE1127" s="73">
        <f t="shared" si="149"/>
        <v>0</v>
      </c>
      <c r="CF1127" s="75">
        <f t="shared" si="153"/>
        <v>248</v>
      </c>
      <c r="CG1127" s="69" t="str">
        <f t="shared" si="153"/>
        <v>علاج تخصصى</v>
      </c>
    </row>
    <row r="1128" spans="2:85" ht="20.25" customHeight="1" x14ac:dyDescent="0.25">
      <c r="B1128" s="70"/>
      <c r="C1128" s="78">
        <v>249</v>
      </c>
      <c r="D1128" s="76" t="s">
        <v>122</v>
      </c>
      <c r="E1128" s="69" t="s">
        <v>3049</v>
      </c>
      <c r="T1128" s="69"/>
      <c r="U1128" s="69"/>
      <c r="AQ1128" s="69">
        <v>300</v>
      </c>
      <c r="AR1128" s="94">
        <f t="shared" si="152"/>
        <v>300</v>
      </c>
      <c r="AT1128" s="69"/>
      <c r="BC1128" s="69"/>
      <c r="BD1128" s="69"/>
      <c r="CC1128" s="69">
        <v>300</v>
      </c>
      <c r="CD1128" s="94">
        <f t="shared" si="148"/>
        <v>300</v>
      </c>
      <c r="CE1128" s="73">
        <f t="shared" si="149"/>
        <v>0</v>
      </c>
      <c r="CF1128" s="75">
        <f t="shared" si="153"/>
        <v>249</v>
      </c>
      <c r="CG1128" s="69" t="str">
        <f t="shared" si="153"/>
        <v>علاج تخصصى</v>
      </c>
    </row>
    <row r="1129" spans="2:85" x14ac:dyDescent="0.25">
      <c r="B1129" s="70"/>
      <c r="C1129" s="78">
        <v>250</v>
      </c>
      <c r="D1129" s="76" t="s">
        <v>249</v>
      </c>
      <c r="E1129" s="69" t="s">
        <v>3050</v>
      </c>
      <c r="T1129" s="69"/>
      <c r="U1129" s="69"/>
      <c r="AQ1129" s="69">
        <v>2440</v>
      </c>
      <c r="AR1129" s="94">
        <f t="shared" si="152"/>
        <v>2440</v>
      </c>
      <c r="AT1129" s="69"/>
      <c r="BC1129" s="69"/>
      <c r="BD1129" s="69"/>
      <c r="CC1129" s="69">
        <v>2440</v>
      </c>
      <c r="CD1129" s="94">
        <f t="shared" si="148"/>
        <v>2440</v>
      </c>
      <c r="CE1129" s="73">
        <f t="shared" si="149"/>
        <v>0</v>
      </c>
      <c r="CF1129" s="75">
        <f t="shared" si="153"/>
        <v>250</v>
      </c>
      <c r="CG1129" s="69" t="str">
        <f t="shared" si="153"/>
        <v>خدمة عامة</v>
      </c>
    </row>
    <row r="1130" spans="2:85" x14ac:dyDescent="0.25">
      <c r="B1130" s="70"/>
      <c r="C1130" s="78">
        <v>251</v>
      </c>
      <c r="D1130" s="76" t="s">
        <v>249</v>
      </c>
      <c r="E1130" s="69" t="s">
        <v>3051</v>
      </c>
      <c r="T1130" s="69"/>
      <c r="U1130" s="69"/>
      <c r="AQ1130" s="69">
        <v>8455</v>
      </c>
      <c r="AR1130" s="94">
        <f t="shared" si="152"/>
        <v>8455</v>
      </c>
      <c r="AT1130" s="69"/>
      <c r="BC1130" s="69"/>
      <c r="BD1130" s="69"/>
      <c r="CC1130" s="69">
        <v>8455</v>
      </c>
      <c r="CD1130" s="94">
        <f t="shared" si="148"/>
        <v>8455</v>
      </c>
      <c r="CE1130" s="73">
        <f t="shared" si="149"/>
        <v>0</v>
      </c>
      <c r="CF1130" s="75">
        <f t="shared" si="153"/>
        <v>251</v>
      </c>
      <c r="CG1130" s="69" t="str">
        <f t="shared" si="153"/>
        <v>خدمة عامة</v>
      </c>
    </row>
    <row r="1131" spans="2:85" x14ac:dyDescent="0.25">
      <c r="B1131" s="70"/>
      <c r="C1131" s="78">
        <v>252</v>
      </c>
      <c r="D1131" s="76" t="s">
        <v>249</v>
      </c>
      <c r="E1131" s="69" t="s">
        <v>3052</v>
      </c>
      <c r="T1131" s="69"/>
      <c r="U1131" s="69"/>
      <c r="AQ1131" s="69">
        <v>2690</v>
      </c>
      <c r="AR1131" s="94">
        <f t="shared" si="152"/>
        <v>2690</v>
      </c>
      <c r="AT1131" s="69"/>
      <c r="BC1131" s="69"/>
      <c r="BD1131" s="69"/>
      <c r="CC1131" s="69">
        <v>2690</v>
      </c>
      <c r="CD1131" s="94">
        <f t="shared" si="148"/>
        <v>2690</v>
      </c>
      <c r="CE1131" s="73">
        <f t="shared" si="149"/>
        <v>0</v>
      </c>
      <c r="CF1131" s="75">
        <f t="shared" si="153"/>
        <v>252</v>
      </c>
      <c r="CG1131" s="69" t="str">
        <f t="shared" si="153"/>
        <v>خدمة عامة</v>
      </c>
    </row>
    <row r="1132" spans="2:85" x14ac:dyDescent="0.25">
      <c r="B1132" s="70"/>
      <c r="C1132" s="78">
        <v>253</v>
      </c>
      <c r="D1132" s="76" t="s">
        <v>249</v>
      </c>
      <c r="E1132" s="69" t="s">
        <v>3053</v>
      </c>
      <c r="T1132" s="69"/>
      <c r="U1132" s="69"/>
      <c r="AQ1132" s="69">
        <v>8385</v>
      </c>
      <c r="AR1132" s="94">
        <f t="shared" si="152"/>
        <v>8385</v>
      </c>
      <c r="AT1132" s="69"/>
      <c r="BC1132" s="69"/>
      <c r="BD1132" s="69"/>
      <c r="CC1132" s="69">
        <v>8385</v>
      </c>
      <c r="CD1132" s="94">
        <f t="shared" si="148"/>
        <v>8385</v>
      </c>
      <c r="CE1132" s="73">
        <f t="shared" si="149"/>
        <v>0</v>
      </c>
      <c r="CF1132" s="75">
        <f t="shared" si="153"/>
        <v>253</v>
      </c>
      <c r="CG1132" s="69" t="str">
        <f t="shared" si="153"/>
        <v>خدمة عامة</v>
      </c>
    </row>
    <row r="1133" spans="2:85" x14ac:dyDescent="0.25">
      <c r="B1133" s="70"/>
      <c r="C1133" s="78">
        <v>254</v>
      </c>
      <c r="D1133" s="76" t="s">
        <v>249</v>
      </c>
      <c r="E1133" s="69" t="s">
        <v>3054</v>
      </c>
      <c r="T1133" s="69"/>
      <c r="U1133" s="69"/>
      <c r="AQ1133" s="69">
        <v>11735</v>
      </c>
      <c r="AR1133" s="94">
        <f t="shared" si="152"/>
        <v>11735</v>
      </c>
      <c r="AT1133" s="69"/>
      <c r="BC1133" s="69"/>
      <c r="BD1133" s="69"/>
      <c r="CC1133" s="69">
        <v>11735</v>
      </c>
      <c r="CD1133" s="94">
        <f t="shared" si="148"/>
        <v>11735</v>
      </c>
      <c r="CE1133" s="73">
        <f t="shared" si="149"/>
        <v>0</v>
      </c>
      <c r="CF1133" s="75">
        <f t="shared" si="153"/>
        <v>254</v>
      </c>
      <c r="CG1133" s="69" t="str">
        <f t="shared" si="153"/>
        <v>خدمة عامة</v>
      </c>
    </row>
    <row r="1134" spans="2:85" x14ac:dyDescent="0.25">
      <c r="B1134" s="70"/>
      <c r="C1134" s="78">
        <v>255</v>
      </c>
      <c r="D1134" s="76" t="s">
        <v>249</v>
      </c>
      <c r="E1134" s="69" t="s">
        <v>3055</v>
      </c>
      <c r="T1134" s="69"/>
      <c r="U1134" s="69"/>
      <c r="AQ1134" s="69">
        <v>465</v>
      </c>
      <c r="AR1134" s="94">
        <f t="shared" si="152"/>
        <v>465</v>
      </c>
      <c r="AT1134" s="69"/>
      <c r="BC1134" s="69"/>
      <c r="BD1134" s="69"/>
      <c r="CC1134" s="69">
        <v>465</v>
      </c>
      <c r="CD1134" s="94">
        <f t="shared" si="148"/>
        <v>465</v>
      </c>
      <c r="CE1134" s="73">
        <f t="shared" si="149"/>
        <v>0</v>
      </c>
      <c r="CF1134" s="75">
        <f t="shared" si="153"/>
        <v>255</v>
      </c>
      <c r="CG1134" s="69" t="str">
        <f t="shared" si="153"/>
        <v>خدمة عامة</v>
      </c>
    </row>
    <row r="1135" spans="2:85" x14ac:dyDescent="0.25">
      <c r="B1135" s="70"/>
      <c r="C1135" s="78">
        <v>256</v>
      </c>
      <c r="D1135" s="76" t="s">
        <v>249</v>
      </c>
      <c r="E1135" s="69" t="s">
        <v>3056</v>
      </c>
      <c r="T1135" s="69"/>
      <c r="U1135" s="69"/>
      <c r="AQ1135" s="69">
        <v>5110</v>
      </c>
      <c r="AR1135" s="94">
        <f t="shared" si="152"/>
        <v>5110</v>
      </c>
      <c r="AT1135" s="69"/>
      <c r="BC1135" s="69"/>
      <c r="BD1135" s="69"/>
      <c r="CC1135" s="69">
        <v>5110</v>
      </c>
      <c r="CD1135" s="94">
        <f t="shared" si="148"/>
        <v>5110</v>
      </c>
      <c r="CE1135" s="73">
        <f t="shared" si="149"/>
        <v>0</v>
      </c>
      <c r="CF1135" s="75">
        <f t="shared" si="153"/>
        <v>256</v>
      </c>
      <c r="CG1135" s="69" t="str">
        <f t="shared" si="153"/>
        <v>خدمة عامة</v>
      </c>
    </row>
    <row r="1136" spans="2:85" x14ac:dyDescent="0.25">
      <c r="B1136" s="70"/>
      <c r="C1136" s="78">
        <v>257</v>
      </c>
      <c r="D1136" s="76" t="s">
        <v>249</v>
      </c>
      <c r="E1136" s="69" t="s">
        <v>3057</v>
      </c>
      <c r="T1136" s="69"/>
      <c r="U1136" s="69"/>
      <c r="AQ1136" s="69">
        <v>3765</v>
      </c>
      <c r="AR1136" s="94">
        <f t="shared" si="152"/>
        <v>3765</v>
      </c>
      <c r="AT1136" s="69"/>
      <c r="BC1136" s="69"/>
      <c r="BD1136" s="69"/>
      <c r="CC1136" s="69">
        <v>3765</v>
      </c>
      <c r="CD1136" s="94">
        <f t="shared" si="148"/>
        <v>3765</v>
      </c>
      <c r="CE1136" s="73">
        <f t="shared" si="149"/>
        <v>0</v>
      </c>
      <c r="CF1136" s="75">
        <f t="shared" si="153"/>
        <v>257</v>
      </c>
      <c r="CG1136" s="69" t="str">
        <f t="shared" si="153"/>
        <v>خدمة عامة</v>
      </c>
    </row>
    <row r="1137" spans="2:86" x14ac:dyDescent="0.25">
      <c r="B1137" s="70"/>
      <c r="C1137" s="78">
        <v>258</v>
      </c>
      <c r="D1137" s="76" t="s">
        <v>249</v>
      </c>
      <c r="E1137" s="69" t="s">
        <v>3058</v>
      </c>
      <c r="T1137" s="69"/>
      <c r="U1137" s="69"/>
      <c r="AQ1137" s="69">
        <v>13000</v>
      </c>
      <c r="AR1137" s="94">
        <f t="shared" si="152"/>
        <v>13000</v>
      </c>
      <c r="AT1137" s="69"/>
      <c r="BC1137" s="69"/>
      <c r="BD1137" s="69"/>
      <c r="CC1137" s="69">
        <v>13000</v>
      </c>
      <c r="CD1137" s="94">
        <f t="shared" si="148"/>
        <v>13000</v>
      </c>
      <c r="CE1137" s="73">
        <f t="shared" si="149"/>
        <v>0</v>
      </c>
      <c r="CF1137" s="75">
        <f t="shared" si="153"/>
        <v>258</v>
      </c>
      <c r="CG1137" s="69" t="str">
        <f t="shared" si="153"/>
        <v>خدمة عامة</v>
      </c>
    </row>
    <row r="1138" spans="2:86" x14ac:dyDescent="0.25">
      <c r="B1138" s="70"/>
      <c r="C1138" s="78">
        <v>259</v>
      </c>
      <c r="D1138" s="76" t="s">
        <v>249</v>
      </c>
      <c r="E1138" s="69" t="s">
        <v>3059</v>
      </c>
      <c r="T1138" s="69"/>
      <c r="U1138" s="69"/>
      <c r="AQ1138" s="69">
        <v>11010</v>
      </c>
      <c r="AR1138" s="94">
        <f t="shared" si="152"/>
        <v>11010</v>
      </c>
      <c r="AT1138" s="69"/>
      <c r="BC1138" s="69"/>
      <c r="BD1138" s="69"/>
      <c r="CC1138" s="69">
        <v>11010</v>
      </c>
      <c r="CD1138" s="94">
        <f t="shared" si="148"/>
        <v>11010</v>
      </c>
      <c r="CE1138" s="73">
        <f t="shared" si="149"/>
        <v>0</v>
      </c>
      <c r="CF1138" s="75">
        <f t="shared" si="153"/>
        <v>259</v>
      </c>
      <c r="CG1138" s="69" t="str">
        <f t="shared" si="153"/>
        <v>خدمة عامة</v>
      </c>
    </row>
    <row r="1139" spans="2:86" x14ac:dyDescent="0.25">
      <c r="B1139" s="70"/>
      <c r="C1139" s="78">
        <v>260</v>
      </c>
      <c r="D1139" s="76" t="s">
        <v>249</v>
      </c>
      <c r="E1139" s="69" t="s">
        <v>3060</v>
      </c>
      <c r="T1139" s="69"/>
      <c r="U1139" s="69"/>
      <c r="AQ1139" s="69">
        <v>11075</v>
      </c>
      <c r="AR1139" s="94">
        <f t="shared" si="152"/>
        <v>11075</v>
      </c>
      <c r="AT1139" s="69"/>
      <c r="BC1139" s="69"/>
      <c r="BD1139" s="69"/>
      <c r="CC1139" s="69">
        <v>11075</v>
      </c>
      <c r="CD1139" s="94">
        <f t="shared" si="148"/>
        <v>11075</v>
      </c>
      <c r="CE1139" s="73">
        <f t="shared" si="149"/>
        <v>0</v>
      </c>
      <c r="CF1139" s="75">
        <f t="shared" si="153"/>
        <v>260</v>
      </c>
      <c r="CG1139" s="69" t="str">
        <f t="shared" si="153"/>
        <v>خدمة عامة</v>
      </c>
    </row>
    <row r="1140" spans="2:86" x14ac:dyDescent="0.25">
      <c r="B1140" s="70"/>
      <c r="C1140" s="78">
        <v>261</v>
      </c>
      <c r="D1140" s="76" t="s">
        <v>249</v>
      </c>
      <c r="E1140" s="69" t="s">
        <v>3061</v>
      </c>
      <c r="T1140" s="69"/>
      <c r="U1140" s="69"/>
      <c r="AQ1140" s="69">
        <v>6825</v>
      </c>
      <c r="AR1140" s="94">
        <f t="shared" si="152"/>
        <v>6825</v>
      </c>
      <c r="AT1140" s="69"/>
      <c r="BC1140" s="69"/>
      <c r="BD1140" s="69"/>
      <c r="CC1140" s="69">
        <v>6825</v>
      </c>
      <c r="CD1140" s="94">
        <f t="shared" si="148"/>
        <v>6825</v>
      </c>
      <c r="CE1140" s="73">
        <f t="shared" si="149"/>
        <v>0</v>
      </c>
      <c r="CF1140" s="75">
        <f t="shared" si="153"/>
        <v>261</v>
      </c>
      <c r="CG1140" s="69" t="str">
        <f t="shared" si="153"/>
        <v>خدمة عامة</v>
      </c>
    </row>
    <row r="1141" spans="2:86" x14ac:dyDescent="0.25">
      <c r="B1141" s="70"/>
      <c r="C1141" s="78">
        <v>262</v>
      </c>
      <c r="D1141" s="76" t="s">
        <v>249</v>
      </c>
      <c r="E1141" s="69" t="s">
        <v>3062</v>
      </c>
      <c r="J1141" s="69">
        <v>7908</v>
      </c>
      <c r="T1141" s="69"/>
      <c r="U1141" s="69"/>
      <c r="AO1141" s="69">
        <v>81580</v>
      </c>
      <c r="AR1141" s="94">
        <f t="shared" si="152"/>
        <v>89488</v>
      </c>
      <c r="AT1141" s="69"/>
      <c r="BC1141" s="69"/>
      <c r="BD1141" s="69"/>
      <c r="BY1141" s="69">
        <v>7908</v>
      </c>
      <c r="CB1141" s="69">
        <v>71540</v>
      </c>
      <c r="CC1141" s="69">
        <v>10040</v>
      </c>
      <c r="CD1141" s="94">
        <f t="shared" si="148"/>
        <v>89488</v>
      </c>
      <c r="CE1141" s="73">
        <f t="shared" si="149"/>
        <v>0</v>
      </c>
      <c r="CF1141" s="75">
        <f t="shared" si="153"/>
        <v>262</v>
      </c>
      <c r="CG1141" s="69" t="str">
        <f t="shared" si="153"/>
        <v>خدمة عامة</v>
      </c>
    </row>
    <row r="1142" spans="2:86" x14ac:dyDescent="0.25">
      <c r="B1142" s="70"/>
      <c r="C1142" s="78">
        <v>263</v>
      </c>
      <c r="D1142" s="76" t="s">
        <v>122</v>
      </c>
      <c r="E1142" s="69" t="s">
        <v>3062</v>
      </c>
      <c r="J1142" s="69">
        <v>247.5</v>
      </c>
      <c r="T1142" s="69"/>
      <c r="U1142" s="69"/>
      <c r="AO1142" s="69">
        <v>2650</v>
      </c>
      <c r="AR1142" s="94">
        <f t="shared" si="152"/>
        <v>2897.5</v>
      </c>
      <c r="AT1142" s="69"/>
      <c r="BC1142" s="69"/>
      <c r="BD1142" s="69"/>
      <c r="BY1142" s="69">
        <v>247.5</v>
      </c>
      <c r="CB1142" s="69">
        <v>2650</v>
      </c>
      <c r="CD1142" s="94">
        <f t="shared" si="148"/>
        <v>2897.5</v>
      </c>
      <c r="CE1142" s="73">
        <f t="shared" si="149"/>
        <v>0</v>
      </c>
      <c r="CF1142" s="75">
        <f t="shared" si="153"/>
        <v>263</v>
      </c>
      <c r="CG1142" s="69" t="str">
        <f t="shared" si="153"/>
        <v>علاج تخصصى</v>
      </c>
    </row>
    <row r="1143" spans="2:86" x14ac:dyDescent="0.25">
      <c r="B1143" s="70"/>
      <c r="C1143" s="78">
        <v>264</v>
      </c>
      <c r="D1143" s="76" t="s">
        <v>724</v>
      </c>
      <c r="E1143" s="69" t="s">
        <v>3063</v>
      </c>
      <c r="T1143" s="69"/>
      <c r="U1143" s="69"/>
      <c r="AO1143" s="69">
        <v>2950</v>
      </c>
      <c r="AR1143" s="94">
        <f t="shared" si="152"/>
        <v>2950</v>
      </c>
      <c r="AT1143" s="69"/>
      <c r="BC1143" s="69"/>
      <c r="BD1143" s="69"/>
      <c r="CC1143" s="69">
        <v>2950</v>
      </c>
      <c r="CD1143" s="94">
        <f t="shared" si="148"/>
        <v>2950</v>
      </c>
      <c r="CE1143" s="73">
        <f t="shared" si="149"/>
        <v>0</v>
      </c>
      <c r="CF1143" s="75">
        <f t="shared" si="153"/>
        <v>264</v>
      </c>
      <c r="CG1143" s="69" t="str">
        <f t="shared" si="153"/>
        <v>اتحاد طب</v>
      </c>
    </row>
    <row r="1144" spans="2:86" x14ac:dyDescent="0.25">
      <c r="B1144" s="70"/>
      <c r="C1144" s="78">
        <v>265</v>
      </c>
      <c r="D1144" s="76"/>
      <c r="E1144" s="69" t="s">
        <v>3064</v>
      </c>
      <c r="T1144" s="69"/>
      <c r="U1144" s="69"/>
      <c r="AI1144" s="69">
        <v>1500</v>
      </c>
      <c r="AR1144" s="94">
        <f t="shared" si="152"/>
        <v>1500</v>
      </c>
      <c r="AT1144" s="69"/>
      <c r="BC1144" s="69"/>
      <c r="BD1144" s="69"/>
      <c r="BT1144" s="69">
        <v>1500</v>
      </c>
      <c r="CD1144" s="94">
        <f t="shared" si="148"/>
        <v>1500</v>
      </c>
      <c r="CE1144" s="73">
        <f t="shared" si="149"/>
        <v>0</v>
      </c>
      <c r="CF1144" s="75">
        <f t="shared" si="153"/>
        <v>265</v>
      </c>
      <c r="CG1144" s="69">
        <f t="shared" si="153"/>
        <v>0</v>
      </c>
    </row>
    <row r="1145" spans="2:86" x14ac:dyDescent="0.25">
      <c r="B1145" s="70"/>
      <c r="C1145" s="78">
        <v>266</v>
      </c>
      <c r="D1145" s="76"/>
      <c r="E1145" s="69" t="s">
        <v>3065</v>
      </c>
      <c r="T1145" s="69"/>
      <c r="U1145" s="69"/>
      <c r="AJ1145" s="69">
        <v>3750</v>
      </c>
      <c r="AR1145" s="94">
        <f t="shared" si="152"/>
        <v>3750</v>
      </c>
      <c r="AT1145" s="69"/>
      <c r="BC1145" s="69"/>
      <c r="BD1145" s="69"/>
      <c r="BU1145" s="69">
        <v>3750</v>
      </c>
      <c r="CD1145" s="94">
        <f t="shared" si="148"/>
        <v>3750</v>
      </c>
      <c r="CE1145" s="73">
        <f t="shared" si="149"/>
        <v>0</v>
      </c>
      <c r="CF1145" s="75">
        <f t="shared" si="153"/>
        <v>266</v>
      </c>
      <c r="CG1145" s="69">
        <f t="shared" si="153"/>
        <v>0</v>
      </c>
    </row>
    <row r="1146" spans="2:86" x14ac:dyDescent="0.25">
      <c r="B1146" s="70"/>
      <c r="C1146" s="78">
        <v>267</v>
      </c>
      <c r="D1146" s="76"/>
      <c r="E1146" s="69" t="s">
        <v>3066</v>
      </c>
      <c r="T1146" s="69"/>
      <c r="U1146" s="69"/>
      <c r="Y1146" s="69">
        <v>1650000</v>
      </c>
      <c r="AA1146" s="69">
        <v>1650000</v>
      </c>
      <c r="AR1146" s="94">
        <f t="shared" si="152"/>
        <v>3300000</v>
      </c>
      <c r="AT1146" s="69"/>
      <c r="BC1146" s="69"/>
      <c r="BD1146" s="69"/>
      <c r="BQ1146" s="69">
        <v>1650000</v>
      </c>
      <c r="CA1146" s="69">
        <v>1650000</v>
      </c>
      <c r="CD1146" s="94">
        <f t="shared" si="148"/>
        <v>3300000</v>
      </c>
      <c r="CE1146" s="73">
        <f t="shared" si="149"/>
        <v>0</v>
      </c>
      <c r="CF1146" s="75">
        <f t="shared" si="153"/>
        <v>267</v>
      </c>
      <c r="CG1146" s="69">
        <f t="shared" si="153"/>
        <v>0</v>
      </c>
    </row>
    <row r="1147" spans="2:86" x14ac:dyDescent="0.25">
      <c r="B1147" s="70"/>
      <c r="C1147" s="78">
        <v>268</v>
      </c>
      <c r="D1147" s="76"/>
      <c r="E1147" s="69" t="s">
        <v>3067</v>
      </c>
      <c r="G1147" s="69">
        <v>1070131.1100000001</v>
      </c>
      <c r="T1147" s="69"/>
      <c r="U1147" s="69"/>
      <c r="AR1147" s="94">
        <f t="shared" si="152"/>
        <v>1070131.1100000001</v>
      </c>
      <c r="AT1147" s="69"/>
      <c r="BC1147" s="69"/>
      <c r="BD1147" s="69"/>
      <c r="CC1147" s="69">
        <v>1070131.1100000001</v>
      </c>
      <c r="CD1147" s="94">
        <f t="shared" si="148"/>
        <v>1070131.1100000001</v>
      </c>
      <c r="CE1147" s="73">
        <f t="shared" si="149"/>
        <v>0</v>
      </c>
      <c r="CF1147" s="75">
        <f t="shared" si="153"/>
        <v>268</v>
      </c>
      <c r="CG1147" s="69">
        <f t="shared" si="153"/>
        <v>0</v>
      </c>
    </row>
    <row r="1148" spans="2:86" s="68" customFormat="1" x14ac:dyDescent="0.25">
      <c r="B1148" s="84"/>
      <c r="C1148" s="84"/>
      <c r="D1148" s="87"/>
      <c r="E1148" s="68" t="s">
        <v>3068</v>
      </c>
      <c r="G1148" s="68">
        <f>SUM(G1107:G1147)</f>
        <v>1070131.1100000001</v>
      </c>
      <c r="H1148" s="68">
        <f t="shared" ref="H1148:BT1148" si="154">SUM(H1107:H1147)</f>
        <v>0</v>
      </c>
      <c r="I1148" s="68">
        <f t="shared" si="154"/>
        <v>0</v>
      </c>
      <c r="J1148" s="68">
        <f t="shared" si="154"/>
        <v>8155.5</v>
      </c>
      <c r="K1148" s="68">
        <f t="shared" si="154"/>
        <v>0</v>
      </c>
      <c r="L1148" s="68">
        <f t="shared" si="154"/>
        <v>0</v>
      </c>
      <c r="M1148" s="68">
        <f t="shared" si="154"/>
        <v>0</v>
      </c>
      <c r="N1148" s="68">
        <f t="shared" si="154"/>
        <v>0</v>
      </c>
      <c r="O1148" s="68">
        <f t="shared" si="154"/>
        <v>0</v>
      </c>
      <c r="P1148" s="68">
        <f t="shared" si="154"/>
        <v>45300</v>
      </c>
      <c r="Q1148" s="68">
        <f t="shared" si="154"/>
        <v>0</v>
      </c>
      <c r="R1148" s="68">
        <f t="shared" si="154"/>
        <v>0</v>
      </c>
      <c r="S1148" s="68">
        <f t="shared" si="154"/>
        <v>0</v>
      </c>
      <c r="T1148" s="68">
        <f t="shared" si="154"/>
        <v>0</v>
      </c>
      <c r="U1148" s="68">
        <f t="shared" si="154"/>
        <v>0</v>
      </c>
      <c r="V1148" s="68">
        <f t="shared" si="154"/>
        <v>0</v>
      </c>
      <c r="W1148" s="68">
        <f t="shared" si="154"/>
        <v>0</v>
      </c>
      <c r="X1148" s="68">
        <f t="shared" si="154"/>
        <v>0</v>
      </c>
      <c r="Y1148" s="68">
        <f t="shared" si="154"/>
        <v>1650000</v>
      </c>
      <c r="Z1148" s="68">
        <f t="shared" si="154"/>
        <v>0</v>
      </c>
      <c r="AA1148" s="68">
        <f t="shared" si="154"/>
        <v>1650000</v>
      </c>
      <c r="AB1148" s="68">
        <f t="shared" si="154"/>
        <v>380058.35000000003</v>
      </c>
      <c r="AC1148" s="68">
        <f t="shared" si="154"/>
        <v>0</v>
      </c>
      <c r="AD1148" s="68">
        <f t="shared" si="154"/>
        <v>0</v>
      </c>
      <c r="AE1148" s="68">
        <f t="shared" si="154"/>
        <v>1000</v>
      </c>
      <c r="AF1148" s="68">
        <f t="shared" si="154"/>
        <v>500</v>
      </c>
      <c r="AG1148" s="68">
        <f t="shared" si="154"/>
        <v>0</v>
      </c>
      <c r="AH1148" s="68">
        <f t="shared" si="154"/>
        <v>0</v>
      </c>
      <c r="AI1148" s="68">
        <f t="shared" si="154"/>
        <v>1500</v>
      </c>
      <c r="AJ1148" s="68">
        <f t="shared" si="154"/>
        <v>3750</v>
      </c>
      <c r="AK1148" s="68">
        <f t="shared" si="154"/>
        <v>0</v>
      </c>
      <c r="AL1148" s="68">
        <f t="shared" si="154"/>
        <v>0</v>
      </c>
      <c r="AM1148" s="68">
        <f t="shared" si="154"/>
        <v>0</v>
      </c>
      <c r="AO1148" s="68">
        <f t="shared" si="154"/>
        <v>87180</v>
      </c>
      <c r="AP1148" s="68">
        <f t="shared" si="154"/>
        <v>0</v>
      </c>
      <c r="AQ1148" s="68">
        <f t="shared" si="154"/>
        <v>88155</v>
      </c>
      <c r="AR1148" s="68">
        <f t="shared" si="154"/>
        <v>4985729.96</v>
      </c>
      <c r="AS1148" s="68">
        <f t="shared" si="154"/>
        <v>0</v>
      </c>
      <c r="AT1148" s="68">
        <f t="shared" si="154"/>
        <v>0</v>
      </c>
      <c r="AU1148" s="68">
        <f t="shared" si="154"/>
        <v>0</v>
      </c>
      <c r="AV1148" s="68">
        <f t="shared" si="154"/>
        <v>0</v>
      </c>
      <c r="AW1148" s="68">
        <f t="shared" si="154"/>
        <v>0</v>
      </c>
      <c r="AX1148" s="68">
        <f t="shared" si="154"/>
        <v>0</v>
      </c>
      <c r="AY1148" s="68">
        <f t="shared" si="154"/>
        <v>0</v>
      </c>
      <c r="AZ1148" s="68">
        <f t="shared" si="154"/>
        <v>0</v>
      </c>
      <c r="BA1148" s="68">
        <f t="shared" si="154"/>
        <v>0</v>
      </c>
      <c r="BB1148" s="68">
        <f t="shared" si="154"/>
        <v>0</v>
      </c>
      <c r="BC1148" s="68">
        <f t="shared" si="154"/>
        <v>0</v>
      </c>
      <c r="BD1148" s="68">
        <f t="shared" si="154"/>
        <v>500</v>
      </c>
      <c r="BE1148" s="68">
        <f t="shared" si="154"/>
        <v>0</v>
      </c>
      <c r="BF1148" s="68">
        <f t="shared" si="154"/>
        <v>0</v>
      </c>
      <c r="BG1148" s="68">
        <f t="shared" si="154"/>
        <v>0</v>
      </c>
      <c r="BH1148" s="68">
        <f t="shared" si="154"/>
        <v>0</v>
      </c>
      <c r="BI1148" s="68">
        <f t="shared" si="154"/>
        <v>0</v>
      </c>
      <c r="BJ1148" s="68">
        <f t="shared" si="154"/>
        <v>0</v>
      </c>
      <c r="BK1148" s="68">
        <f t="shared" si="154"/>
        <v>0</v>
      </c>
      <c r="BL1148" s="68">
        <f t="shared" si="154"/>
        <v>0</v>
      </c>
      <c r="BM1148" s="68">
        <f t="shared" si="154"/>
        <v>0</v>
      </c>
      <c r="BN1148" s="68">
        <f t="shared" si="154"/>
        <v>0</v>
      </c>
      <c r="BO1148" s="68">
        <f t="shared" si="154"/>
        <v>45300</v>
      </c>
      <c r="BP1148" s="68">
        <f t="shared" si="154"/>
        <v>380058.35000000003</v>
      </c>
      <c r="BQ1148" s="68">
        <f t="shared" si="154"/>
        <v>1650000</v>
      </c>
      <c r="BR1148" s="68">
        <f t="shared" si="154"/>
        <v>0</v>
      </c>
      <c r="BS1148" s="68">
        <f t="shared" si="154"/>
        <v>0</v>
      </c>
      <c r="BT1148" s="68">
        <f t="shared" si="154"/>
        <v>1500</v>
      </c>
      <c r="BU1148" s="68">
        <f t="shared" ref="BU1148:CH1148" si="155">SUM(BU1107:BU1147)</f>
        <v>3750</v>
      </c>
      <c r="BV1148" s="68">
        <f t="shared" si="155"/>
        <v>0</v>
      </c>
      <c r="BW1148" s="68">
        <f t="shared" si="155"/>
        <v>0</v>
      </c>
      <c r="BX1148" s="68">
        <f t="shared" si="155"/>
        <v>0</v>
      </c>
      <c r="BY1148" s="68">
        <f t="shared" si="155"/>
        <v>8155.5</v>
      </c>
      <c r="CA1148" s="68">
        <f t="shared" si="155"/>
        <v>1651000</v>
      </c>
      <c r="CB1148" s="68">
        <f t="shared" si="155"/>
        <v>74190</v>
      </c>
      <c r="CC1148" s="68">
        <f t="shared" si="155"/>
        <v>1171276.1100000001</v>
      </c>
      <c r="CD1148" s="68">
        <f t="shared" si="155"/>
        <v>4985729.96</v>
      </c>
      <c r="CE1148" s="68">
        <f t="shared" si="155"/>
        <v>0</v>
      </c>
      <c r="CG1148" s="68">
        <f t="shared" si="155"/>
        <v>0</v>
      </c>
      <c r="CH1148" s="68">
        <f t="shared" si="155"/>
        <v>0</v>
      </c>
    </row>
    <row r="1149" spans="2:86" x14ac:dyDescent="0.25">
      <c r="B1149" s="70" t="s">
        <v>3069</v>
      </c>
      <c r="C1149" s="78">
        <v>269</v>
      </c>
      <c r="D1149" s="76" t="s">
        <v>1431</v>
      </c>
      <c r="E1149" s="69" t="s">
        <v>3070</v>
      </c>
      <c r="T1149" s="69"/>
      <c r="U1149" s="69"/>
      <c r="AR1149" s="94">
        <f t="shared" ref="AR1149:AR1165" si="156">SUM(G1149:AQ1149)</f>
        <v>0</v>
      </c>
      <c r="AT1149" s="69"/>
      <c r="BC1149" s="69"/>
      <c r="BD1149" s="69"/>
      <c r="CD1149" s="94">
        <f t="shared" si="148"/>
        <v>0</v>
      </c>
      <c r="CE1149" s="73">
        <f t="shared" si="149"/>
        <v>0</v>
      </c>
      <c r="CF1149" s="75">
        <f t="shared" ref="CF1149:CG1166" si="157">+C1149</f>
        <v>269</v>
      </c>
      <c r="CG1149" s="69" t="str">
        <f t="shared" si="157"/>
        <v>لاب فقط</v>
      </c>
    </row>
    <row r="1150" spans="2:86" x14ac:dyDescent="0.25">
      <c r="B1150" s="70" t="s">
        <v>3069</v>
      </c>
      <c r="C1150" s="78">
        <v>270</v>
      </c>
      <c r="D1150" s="76" t="s">
        <v>1431</v>
      </c>
      <c r="E1150" s="69" t="s">
        <v>3071</v>
      </c>
      <c r="T1150" s="69"/>
      <c r="U1150" s="69"/>
      <c r="AR1150" s="94">
        <f t="shared" si="156"/>
        <v>0</v>
      </c>
      <c r="AT1150" s="69"/>
      <c r="BC1150" s="69"/>
      <c r="BD1150" s="69"/>
      <c r="CD1150" s="94">
        <f t="shared" si="148"/>
        <v>0</v>
      </c>
      <c r="CE1150" s="73">
        <f t="shared" si="149"/>
        <v>0</v>
      </c>
      <c r="CF1150" s="75">
        <f t="shared" si="157"/>
        <v>270</v>
      </c>
      <c r="CG1150" s="69" t="str">
        <f t="shared" si="157"/>
        <v>لاب فقط</v>
      </c>
    </row>
    <row r="1151" spans="2:86" x14ac:dyDescent="0.25">
      <c r="B1151" s="70"/>
      <c r="C1151" s="78">
        <v>271</v>
      </c>
      <c r="D1151" s="76"/>
      <c r="E1151" s="69" t="s">
        <v>3072</v>
      </c>
      <c r="J1151" s="69">
        <v>1611937.24</v>
      </c>
      <c r="T1151" s="69"/>
      <c r="U1151" s="69"/>
      <c r="AD1151" s="69">
        <v>11486476.050000001</v>
      </c>
      <c r="AE1151" s="69">
        <v>30866669.34</v>
      </c>
      <c r="AR1151" s="94">
        <f t="shared" si="156"/>
        <v>43965082.630000003</v>
      </c>
      <c r="AT1151" s="69"/>
      <c r="AY1151" s="69">
        <v>13098413.289999999</v>
      </c>
      <c r="AZ1151" s="69">
        <v>97102.52</v>
      </c>
      <c r="BC1151" s="69"/>
      <c r="BD1151" s="69"/>
      <c r="CC1151" s="69">
        <v>30769566.82</v>
      </c>
      <c r="CD1151" s="94">
        <f t="shared" si="148"/>
        <v>43965082.629999995</v>
      </c>
      <c r="CE1151" s="73">
        <f t="shared" si="149"/>
        <v>0</v>
      </c>
      <c r="CF1151" s="75">
        <f t="shared" si="157"/>
        <v>271</v>
      </c>
      <c r="CG1151" s="69">
        <f t="shared" si="157"/>
        <v>0</v>
      </c>
    </row>
    <row r="1152" spans="2:86" x14ac:dyDescent="0.25">
      <c r="B1152" s="70"/>
      <c r="C1152" s="78">
        <v>272</v>
      </c>
      <c r="D1152" s="76"/>
      <c r="E1152" s="69" t="s">
        <v>3073</v>
      </c>
      <c r="T1152" s="69"/>
      <c r="U1152" s="69"/>
      <c r="AF1152" s="69">
        <v>1063.21</v>
      </c>
      <c r="AR1152" s="94">
        <f t="shared" si="156"/>
        <v>1063.21</v>
      </c>
      <c r="AT1152" s="69"/>
      <c r="BC1152" s="69"/>
      <c r="BD1152" s="69"/>
      <c r="CA1152" s="69">
        <v>1063.21</v>
      </c>
      <c r="CD1152" s="94">
        <f t="shared" si="148"/>
        <v>1063.21</v>
      </c>
      <c r="CE1152" s="73">
        <f t="shared" si="149"/>
        <v>0</v>
      </c>
      <c r="CF1152" s="75">
        <f t="shared" si="157"/>
        <v>272</v>
      </c>
      <c r="CG1152" s="69">
        <f t="shared" si="157"/>
        <v>0</v>
      </c>
    </row>
    <row r="1153" spans="2:87" x14ac:dyDescent="0.25">
      <c r="B1153" s="70"/>
      <c r="C1153" s="78">
        <v>273</v>
      </c>
      <c r="D1153" s="76"/>
      <c r="E1153" s="69" t="s">
        <v>3074</v>
      </c>
      <c r="T1153" s="69"/>
      <c r="U1153" s="69"/>
      <c r="AD1153" s="69">
        <v>141523.35999999999</v>
      </c>
      <c r="AG1153" s="69">
        <f>11486476.05+22448531.13</f>
        <v>33935007.18</v>
      </c>
      <c r="AR1153" s="94">
        <f t="shared" si="156"/>
        <v>34076530.539999999</v>
      </c>
      <c r="AT1153" s="69"/>
      <c r="AZ1153" s="69">
        <f>11627999.41+18693821.17+3754709.96</f>
        <v>34076530.539999999</v>
      </c>
      <c r="BC1153" s="69"/>
      <c r="BD1153" s="69"/>
      <c r="CD1153" s="94">
        <f t="shared" si="148"/>
        <v>34076530.539999999</v>
      </c>
      <c r="CE1153" s="73">
        <f t="shared" si="149"/>
        <v>0</v>
      </c>
      <c r="CF1153" s="75">
        <f t="shared" si="157"/>
        <v>273</v>
      </c>
      <c r="CG1153" s="69">
        <f t="shared" si="157"/>
        <v>0</v>
      </c>
    </row>
    <row r="1154" spans="2:87" x14ac:dyDescent="0.25">
      <c r="B1154" s="70"/>
      <c r="C1154" s="78">
        <v>274</v>
      </c>
      <c r="D1154" s="76" t="s">
        <v>1431</v>
      </c>
      <c r="E1154" s="69" t="s">
        <v>3075</v>
      </c>
      <c r="T1154" s="69"/>
      <c r="U1154" s="69"/>
      <c r="AR1154" s="94">
        <f t="shared" si="156"/>
        <v>0</v>
      </c>
      <c r="AT1154" s="69"/>
      <c r="BC1154" s="69"/>
      <c r="BD1154" s="69"/>
      <c r="CD1154" s="94">
        <f t="shared" si="148"/>
        <v>0</v>
      </c>
      <c r="CE1154" s="73">
        <f t="shared" si="149"/>
        <v>0</v>
      </c>
      <c r="CF1154" s="75">
        <f t="shared" si="157"/>
        <v>274</v>
      </c>
      <c r="CG1154" s="69" t="str">
        <f t="shared" si="157"/>
        <v>لاب فقط</v>
      </c>
    </row>
    <row r="1155" spans="2:87" x14ac:dyDescent="0.25">
      <c r="B1155" s="70"/>
      <c r="C1155" s="78">
        <v>275</v>
      </c>
      <c r="D1155" s="76" t="s">
        <v>1431</v>
      </c>
      <c r="E1155" s="69" t="s">
        <v>3076</v>
      </c>
      <c r="T1155" s="69"/>
      <c r="U1155" s="69"/>
      <c r="AR1155" s="94">
        <f t="shared" si="156"/>
        <v>0</v>
      </c>
      <c r="AT1155" s="69"/>
      <c r="BC1155" s="69"/>
      <c r="BD1155" s="69"/>
      <c r="CD1155" s="94">
        <f t="shared" si="148"/>
        <v>0</v>
      </c>
      <c r="CE1155" s="73">
        <f t="shared" si="149"/>
        <v>0</v>
      </c>
      <c r="CF1155" s="75">
        <f t="shared" si="157"/>
        <v>275</v>
      </c>
      <c r="CG1155" s="69" t="str">
        <f t="shared" si="157"/>
        <v>لاب فقط</v>
      </c>
    </row>
    <row r="1156" spans="2:87" ht="36" x14ac:dyDescent="0.25">
      <c r="B1156" s="70"/>
      <c r="C1156" s="78">
        <v>276</v>
      </c>
      <c r="D1156" s="76" t="s">
        <v>78</v>
      </c>
      <c r="E1156" s="77" t="s">
        <v>3077</v>
      </c>
      <c r="H1156" s="69">
        <v>5810.87</v>
      </c>
      <c r="T1156" s="69"/>
      <c r="U1156" s="69"/>
      <c r="X1156" s="69">
        <v>5810.87</v>
      </c>
      <c r="AR1156" s="94">
        <f t="shared" si="156"/>
        <v>11621.74</v>
      </c>
      <c r="AT1156" s="69"/>
      <c r="BC1156" s="69"/>
      <c r="BD1156" s="69"/>
      <c r="BZ1156" s="69">
        <v>5810.87</v>
      </c>
      <c r="CA1156" s="69">
        <v>5810.87</v>
      </c>
      <c r="CD1156" s="94">
        <f t="shared" si="148"/>
        <v>11621.74</v>
      </c>
      <c r="CE1156" s="73">
        <f t="shared" si="149"/>
        <v>0</v>
      </c>
      <c r="CF1156" s="75">
        <f t="shared" si="157"/>
        <v>276</v>
      </c>
      <c r="CG1156" s="69" t="str">
        <f t="shared" si="157"/>
        <v>برنامج دولى</v>
      </c>
    </row>
    <row r="1157" spans="2:87" x14ac:dyDescent="0.25">
      <c r="B1157" s="70"/>
      <c r="C1157" s="78">
        <v>277</v>
      </c>
      <c r="D1157" s="76" t="s">
        <v>1431</v>
      </c>
      <c r="E1157" s="69" t="s">
        <v>3078</v>
      </c>
      <c r="T1157" s="69"/>
      <c r="U1157" s="69"/>
      <c r="AR1157" s="94">
        <f t="shared" si="156"/>
        <v>0</v>
      </c>
      <c r="AT1157" s="69"/>
      <c r="BC1157" s="69"/>
      <c r="BD1157" s="69"/>
      <c r="CD1157" s="94">
        <f t="shared" si="148"/>
        <v>0</v>
      </c>
      <c r="CE1157" s="73">
        <f t="shared" si="149"/>
        <v>0</v>
      </c>
      <c r="CF1157" s="75">
        <f t="shared" si="157"/>
        <v>277</v>
      </c>
      <c r="CG1157" s="69" t="str">
        <f t="shared" si="157"/>
        <v>لاب فقط</v>
      </c>
    </row>
    <row r="1158" spans="2:87" x14ac:dyDescent="0.25">
      <c r="B1158" s="70"/>
      <c r="C1158" s="78">
        <v>278</v>
      </c>
      <c r="D1158" s="76" t="s">
        <v>1431</v>
      </c>
      <c r="E1158" s="69" t="s">
        <v>3078</v>
      </c>
      <c r="T1158" s="69"/>
      <c r="U1158" s="69"/>
      <c r="AR1158" s="94">
        <f t="shared" si="156"/>
        <v>0</v>
      </c>
      <c r="AT1158" s="69"/>
      <c r="BC1158" s="69"/>
      <c r="BD1158" s="69"/>
      <c r="CD1158" s="94">
        <f t="shared" si="148"/>
        <v>0</v>
      </c>
      <c r="CE1158" s="73">
        <f t="shared" si="149"/>
        <v>0</v>
      </c>
      <c r="CF1158" s="75">
        <f t="shared" si="157"/>
        <v>278</v>
      </c>
      <c r="CG1158" s="69" t="str">
        <f t="shared" si="157"/>
        <v>لاب فقط</v>
      </c>
    </row>
    <row r="1159" spans="2:87" x14ac:dyDescent="0.25">
      <c r="B1159" s="70"/>
      <c r="C1159" s="78">
        <v>279</v>
      </c>
      <c r="D1159" s="76" t="s">
        <v>1431</v>
      </c>
      <c r="E1159" s="69" t="s">
        <v>3078</v>
      </c>
      <c r="T1159" s="69"/>
      <c r="U1159" s="69"/>
      <c r="AR1159" s="94">
        <f t="shared" si="156"/>
        <v>0</v>
      </c>
      <c r="AT1159" s="69"/>
      <c r="BC1159" s="69"/>
      <c r="BD1159" s="69"/>
      <c r="CD1159" s="94">
        <f t="shared" si="148"/>
        <v>0</v>
      </c>
      <c r="CE1159" s="73">
        <f t="shared" si="149"/>
        <v>0</v>
      </c>
      <c r="CF1159" s="75">
        <f t="shared" si="157"/>
        <v>279</v>
      </c>
      <c r="CG1159" s="69" t="str">
        <f t="shared" si="157"/>
        <v>لاب فقط</v>
      </c>
    </row>
    <row r="1160" spans="2:87" x14ac:dyDescent="0.25">
      <c r="B1160" s="70"/>
      <c r="C1160" s="78">
        <v>280</v>
      </c>
      <c r="D1160" s="76" t="s">
        <v>1431</v>
      </c>
      <c r="E1160" s="69" t="s">
        <v>3078</v>
      </c>
      <c r="T1160" s="69"/>
      <c r="U1160" s="69"/>
      <c r="AR1160" s="94">
        <f t="shared" si="156"/>
        <v>0</v>
      </c>
      <c r="AT1160" s="69"/>
      <c r="BC1160" s="69"/>
      <c r="BD1160" s="69"/>
      <c r="CD1160" s="94">
        <f t="shared" si="148"/>
        <v>0</v>
      </c>
      <c r="CE1160" s="73">
        <f t="shared" si="149"/>
        <v>0</v>
      </c>
      <c r="CF1160" s="75">
        <f t="shared" si="157"/>
        <v>280</v>
      </c>
      <c r="CG1160" s="69" t="str">
        <f t="shared" si="157"/>
        <v>لاب فقط</v>
      </c>
    </row>
    <row r="1161" spans="2:87" x14ac:dyDescent="0.25">
      <c r="B1161" s="70"/>
      <c r="C1161" s="78">
        <v>281</v>
      </c>
      <c r="D1161" s="76" t="s">
        <v>1431</v>
      </c>
      <c r="E1161" s="69" t="s">
        <v>3078</v>
      </c>
      <c r="T1161" s="69"/>
      <c r="U1161" s="69"/>
      <c r="AR1161" s="94">
        <f t="shared" si="156"/>
        <v>0</v>
      </c>
      <c r="AT1161" s="69"/>
      <c r="BC1161" s="69"/>
      <c r="BD1161" s="69"/>
      <c r="CD1161" s="94">
        <f t="shared" si="148"/>
        <v>0</v>
      </c>
      <c r="CE1161" s="73">
        <f t="shared" si="149"/>
        <v>0</v>
      </c>
      <c r="CF1161" s="75">
        <f t="shared" si="157"/>
        <v>281</v>
      </c>
      <c r="CG1161" s="69" t="str">
        <f t="shared" si="157"/>
        <v>لاب فقط</v>
      </c>
    </row>
    <row r="1162" spans="2:87" x14ac:dyDescent="0.25">
      <c r="B1162" s="70"/>
      <c r="C1162" s="78">
        <v>282</v>
      </c>
      <c r="D1162" s="76" t="s">
        <v>1431</v>
      </c>
      <c r="E1162" s="69" t="s">
        <v>3078</v>
      </c>
      <c r="T1162" s="69"/>
      <c r="U1162" s="69"/>
      <c r="AR1162" s="94">
        <f t="shared" si="156"/>
        <v>0</v>
      </c>
      <c r="AT1162" s="69"/>
      <c r="BC1162" s="69"/>
      <c r="BD1162" s="69"/>
      <c r="CD1162" s="94">
        <f t="shared" si="148"/>
        <v>0</v>
      </c>
      <c r="CE1162" s="73">
        <f t="shared" si="149"/>
        <v>0</v>
      </c>
      <c r="CF1162" s="75">
        <f t="shared" si="157"/>
        <v>282</v>
      </c>
      <c r="CG1162" s="69" t="str">
        <f t="shared" si="157"/>
        <v>لاب فقط</v>
      </c>
    </row>
    <row r="1163" spans="2:87" x14ac:dyDescent="0.25">
      <c r="B1163" s="70"/>
      <c r="C1163" s="78">
        <v>283</v>
      </c>
      <c r="D1163" s="76" t="s">
        <v>1431</v>
      </c>
      <c r="E1163" s="69" t="s">
        <v>3078</v>
      </c>
      <c r="T1163" s="69"/>
      <c r="U1163" s="69"/>
      <c r="AR1163" s="94">
        <f t="shared" si="156"/>
        <v>0</v>
      </c>
      <c r="AT1163" s="69"/>
      <c r="BC1163" s="69"/>
      <c r="BD1163" s="69"/>
      <c r="CD1163" s="94">
        <f t="shared" si="148"/>
        <v>0</v>
      </c>
      <c r="CE1163" s="73">
        <f t="shared" si="149"/>
        <v>0</v>
      </c>
      <c r="CF1163" s="75">
        <f t="shared" si="157"/>
        <v>283</v>
      </c>
      <c r="CG1163" s="69" t="str">
        <f t="shared" si="157"/>
        <v>لاب فقط</v>
      </c>
    </row>
    <row r="1164" spans="2:87" x14ac:dyDescent="0.25">
      <c r="B1164" s="70"/>
      <c r="C1164" s="78">
        <v>284</v>
      </c>
      <c r="D1164" s="76" t="s">
        <v>1431</v>
      </c>
      <c r="E1164" s="69" t="s">
        <v>3078</v>
      </c>
      <c r="T1164" s="69"/>
      <c r="U1164" s="69"/>
      <c r="AR1164" s="94">
        <f t="shared" si="156"/>
        <v>0</v>
      </c>
      <c r="AT1164" s="69"/>
      <c r="BC1164" s="69"/>
      <c r="BD1164" s="69"/>
      <c r="CD1164" s="94">
        <f t="shared" si="148"/>
        <v>0</v>
      </c>
      <c r="CE1164" s="73">
        <f t="shared" si="149"/>
        <v>0</v>
      </c>
      <c r="CF1164" s="75">
        <f t="shared" si="157"/>
        <v>284</v>
      </c>
      <c r="CG1164" s="69" t="str">
        <f t="shared" si="157"/>
        <v>لاب فقط</v>
      </c>
    </row>
    <row r="1165" spans="2:87" x14ac:dyDescent="0.25">
      <c r="B1165" s="70"/>
      <c r="C1165" s="78">
        <v>285</v>
      </c>
      <c r="D1165" s="76" t="s">
        <v>1431</v>
      </c>
      <c r="E1165" s="69" t="s">
        <v>3078</v>
      </c>
      <c r="T1165" s="69"/>
      <c r="U1165" s="69"/>
      <c r="AR1165" s="94">
        <f t="shared" si="156"/>
        <v>0</v>
      </c>
      <c r="AT1165" s="69"/>
      <c r="BC1165" s="69"/>
      <c r="BD1165" s="69"/>
      <c r="CD1165" s="94">
        <f t="shared" si="148"/>
        <v>0</v>
      </c>
      <c r="CE1165" s="73">
        <f t="shared" si="149"/>
        <v>0</v>
      </c>
      <c r="CF1165" s="75">
        <f t="shared" si="157"/>
        <v>285</v>
      </c>
      <c r="CG1165" s="69" t="str">
        <f t="shared" si="157"/>
        <v>لاب فقط</v>
      </c>
    </row>
    <row r="1166" spans="2:87" x14ac:dyDescent="0.25">
      <c r="B1166" s="70"/>
      <c r="C1166" s="78">
        <v>286</v>
      </c>
      <c r="D1166" s="76" t="s">
        <v>1431</v>
      </c>
      <c r="E1166" s="69" t="s">
        <v>3078</v>
      </c>
      <c r="T1166" s="69"/>
      <c r="U1166" s="69"/>
      <c r="AR1166" s="94"/>
      <c r="AT1166" s="69"/>
      <c r="BC1166" s="69"/>
      <c r="BD1166" s="69"/>
      <c r="CD1166" s="94"/>
      <c r="CE1166" s="73"/>
      <c r="CF1166" s="75">
        <f t="shared" si="157"/>
        <v>286</v>
      </c>
    </row>
    <row r="1167" spans="2:87" s="131" customFormat="1" x14ac:dyDescent="0.25">
      <c r="B1167" s="129"/>
      <c r="C1167" s="129"/>
      <c r="D1167" s="130"/>
      <c r="E1167" s="131" t="s">
        <v>3079</v>
      </c>
      <c r="H1167" s="131">
        <f>SUM(H1149:H1165)</f>
        <v>5810.87</v>
      </c>
      <c r="I1167" s="131">
        <f t="shared" ref="I1167:BT1167" si="158">SUM(I1149:I1165)</f>
        <v>0</v>
      </c>
      <c r="J1167" s="131">
        <f t="shared" si="158"/>
        <v>1611937.24</v>
      </c>
      <c r="K1167" s="131">
        <f t="shared" si="158"/>
        <v>0</v>
      </c>
      <c r="L1167" s="131">
        <f t="shared" si="158"/>
        <v>0</v>
      </c>
      <c r="M1167" s="131">
        <f t="shared" si="158"/>
        <v>0</v>
      </c>
      <c r="N1167" s="131">
        <f t="shared" si="158"/>
        <v>0</v>
      </c>
      <c r="O1167" s="131">
        <f t="shared" si="158"/>
        <v>0</v>
      </c>
      <c r="P1167" s="131">
        <f t="shared" si="158"/>
        <v>0</v>
      </c>
      <c r="Q1167" s="131">
        <f t="shared" si="158"/>
        <v>0</v>
      </c>
      <c r="R1167" s="131">
        <f t="shared" si="158"/>
        <v>0</v>
      </c>
      <c r="S1167" s="131">
        <f t="shared" si="158"/>
        <v>0</v>
      </c>
      <c r="T1167" s="131">
        <f t="shared" si="158"/>
        <v>0</v>
      </c>
      <c r="U1167" s="131">
        <f t="shared" si="158"/>
        <v>0</v>
      </c>
      <c r="V1167" s="131">
        <f t="shared" si="158"/>
        <v>0</v>
      </c>
      <c r="W1167" s="131">
        <f t="shared" si="158"/>
        <v>0</v>
      </c>
      <c r="X1167" s="131">
        <f t="shared" si="158"/>
        <v>5810.87</v>
      </c>
      <c r="Y1167" s="131">
        <f t="shared" si="158"/>
        <v>0</v>
      </c>
      <c r="Z1167" s="131">
        <f t="shared" si="158"/>
        <v>0</v>
      </c>
      <c r="AA1167" s="131">
        <f t="shared" si="158"/>
        <v>0</v>
      </c>
      <c r="AB1167" s="131">
        <f t="shared" si="158"/>
        <v>0</v>
      </c>
      <c r="AC1167" s="131">
        <f t="shared" si="158"/>
        <v>0</v>
      </c>
      <c r="AD1167" s="131">
        <f t="shared" si="158"/>
        <v>11627999.41</v>
      </c>
      <c r="AE1167" s="131">
        <f t="shared" si="158"/>
        <v>30866669.34</v>
      </c>
      <c r="AF1167" s="131">
        <f t="shared" si="158"/>
        <v>1063.21</v>
      </c>
      <c r="AG1167" s="131">
        <f t="shared" si="158"/>
        <v>33935007.18</v>
      </c>
      <c r="AH1167" s="131">
        <f t="shared" si="158"/>
        <v>0</v>
      </c>
      <c r="AI1167" s="131">
        <f t="shared" si="158"/>
        <v>0</v>
      </c>
      <c r="AJ1167" s="131">
        <f t="shared" si="158"/>
        <v>0</v>
      </c>
      <c r="AK1167" s="131">
        <f t="shared" si="158"/>
        <v>0</v>
      </c>
      <c r="AL1167" s="131">
        <f t="shared" si="158"/>
        <v>0</v>
      </c>
      <c r="AM1167" s="131">
        <f t="shared" si="158"/>
        <v>0</v>
      </c>
      <c r="AN1167" s="131">
        <f t="shared" si="158"/>
        <v>0</v>
      </c>
      <c r="AO1167" s="131">
        <f t="shared" si="158"/>
        <v>0</v>
      </c>
      <c r="AP1167" s="131">
        <f t="shared" si="158"/>
        <v>0</v>
      </c>
      <c r="AQ1167" s="131">
        <f t="shared" si="158"/>
        <v>0</v>
      </c>
      <c r="AR1167" s="131">
        <f t="shared" si="158"/>
        <v>78054298.11999999</v>
      </c>
      <c r="AS1167" s="131">
        <f t="shared" si="158"/>
        <v>0</v>
      </c>
      <c r="AT1167" s="131">
        <f t="shared" si="158"/>
        <v>0</v>
      </c>
      <c r="AU1167" s="131">
        <f t="shared" si="158"/>
        <v>0</v>
      </c>
      <c r="AV1167" s="131">
        <f t="shared" si="158"/>
        <v>0</v>
      </c>
      <c r="AW1167" s="131">
        <f t="shared" si="158"/>
        <v>0</v>
      </c>
      <c r="AX1167" s="131">
        <f t="shared" si="158"/>
        <v>0</v>
      </c>
      <c r="AY1167" s="131">
        <f t="shared" si="158"/>
        <v>13098413.289999999</v>
      </c>
      <c r="AZ1167" s="131">
        <f t="shared" si="158"/>
        <v>34173633.060000002</v>
      </c>
      <c r="BA1167" s="131">
        <f t="shared" si="158"/>
        <v>0</v>
      </c>
      <c r="BB1167" s="131">
        <f t="shared" si="158"/>
        <v>0</v>
      </c>
      <c r="BC1167" s="131">
        <f t="shared" si="158"/>
        <v>0</v>
      </c>
      <c r="BD1167" s="131">
        <f t="shared" si="158"/>
        <v>0</v>
      </c>
      <c r="BE1167" s="131">
        <f t="shared" si="158"/>
        <v>0</v>
      </c>
      <c r="BF1167" s="131">
        <f t="shared" si="158"/>
        <v>0</v>
      </c>
      <c r="BG1167" s="131">
        <f t="shared" si="158"/>
        <v>0</v>
      </c>
      <c r="BH1167" s="131">
        <f t="shared" si="158"/>
        <v>0</v>
      </c>
      <c r="BI1167" s="131">
        <f t="shared" si="158"/>
        <v>0</v>
      </c>
      <c r="BJ1167" s="131">
        <f t="shared" si="158"/>
        <v>0</v>
      </c>
      <c r="BK1167" s="131">
        <f t="shared" si="158"/>
        <v>0</v>
      </c>
      <c r="BL1167" s="131">
        <f t="shared" si="158"/>
        <v>0</v>
      </c>
      <c r="BM1167" s="131">
        <f t="shared" si="158"/>
        <v>0</v>
      </c>
      <c r="BN1167" s="131">
        <f t="shared" si="158"/>
        <v>0</v>
      </c>
      <c r="BO1167" s="131">
        <f t="shared" si="158"/>
        <v>0</v>
      </c>
      <c r="BP1167" s="131">
        <f t="shared" si="158"/>
        <v>0</v>
      </c>
      <c r="BQ1167" s="131">
        <f t="shared" si="158"/>
        <v>0</v>
      </c>
      <c r="BR1167" s="131">
        <f t="shared" si="158"/>
        <v>0</v>
      </c>
      <c r="BS1167" s="131">
        <f t="shared" si="158"/>
        <v>0</v>
      </c>
      <c r="BT1167" s="131">
        <f t="shared" si="158"/>
        <v>0</v>
      </c>
      <c r="BU1167" s="131">
        <f t="shared" ref="BU1167:CI1167" si="159">SUM(BU1149:BU1165)</f>
        <v>0</v>
      </c>
      <c r="BV1167" s="131">
        <f t="shared" si="159"/>
        <v>0</v>
      </c>
      <c r="BW1167" s="131">
        <f t="shared" si="159"/>
        <v>0</v>
      </c>
      <c r="BX1167" s="131">
        <f t="shared" si="159"/>
        <v>0</v>
      </c>
      <c r="BY1167" s="131">
        <f t="shared" si="159"/>
        <v>0</v>
      </c>
      <c r="BZ1167" s="131">
        <f t="shared" si="159"/>
        <v>5810.87</v>
      </c>
      <c r="CA1167" s="131">
        <f t="shared" si="159"/>
        <v>6874.08</v>
      </c>
      <c r="CB1167" s="131">
        <f t="shared" si="159"/>
        <v>0</v>
      </c>
      <c r="CC1167" s="131">
        <f t="shared" si="159"/>
        <v>30769566.82</v>
      </c>
      <c r="CD1167" s="131">
        <f t="shared" si="159"/>
        <v>78054298.11999999</v>
      </c>
      <c r="CE1167" s="131">
        <f t="shared" si="159"/>
        <v>0</v>
      </c>
      <c r="CG1167" s="131">
        <f t="shared" si="159"/>
        <v>0</v>
      </c>
      <c r="CH1167" s="131">
        <f t="shared" si="159"/>
        <v>0</v>
      </c>
      <c r="CI1167" s="131">
        <f t="shared" si="159"/>
        <v>0</v>
      </c>
    </row>
  </sheetData>
  <autoFilter ref="D1:D1167" xr:uid="{E5255162-1C11-481F-B858-F7DEFD40017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E4AC6-7D32-4AFF-A519-D608AE6A1696}">
  <dimension ref="A2:DR1260"/>
  <sheetViews>
    <sheetView rightToLeft="1" topLeftCell="A1218" workbookViewId="0">
      <selection activeCell="J7" sqref="J7"/>
    </sheetView>
  </sheetViews>
  <sheetFormatPr defaultColWidth="9.140625" defaultRowHeight="18" x14ac:dyDescent="0.25"/>
  <cols>
    <col min="1" max="1" width="19" style="69" customWidth="1"/>
    <col min="2" max="2" width="11.5703125" style="69" customWidth="1"/>
    <col min="3" max="3" width="13.42578125" style="75" customWidth="1"/>
    <col min="4" max="4" width="9.5703125" style="75" customWidth="1"/>
    <col min="5" max="5" width="15.5703125" style="107" customWidth="1"/>
    <col min="6" max="6" width="40.28515625" style="69" customWidth="1"/>
    <col min="7" max="7" width="13" style="63" customWidth="1"/>
    <col min="8" max="8" width="14.42578125" style="69" customWidth="1"/>
    <col min="9" max="9" width="14.5703125" style="69" customWidth="1"/>
    <col min="10" max="10" width="15.5703125" style="69" customWidth="1"/>
    <col min="11" max="11" width="17.140625" style="69" customWidth="1"/>
    <col min="12" max="12" width="12.85546875" style="69" customWidth="1"/>
    <col min="13" max="13" width="12.140625" style="69" customWidth="1"/>
    <col min="14" max="14" width="11.7109375" style="69" customWidth="1"/>
    <col min="15" max="15" width="12.85546875" style="69" customWidth="1"/>
    <col min="16" max="16" width="11.7109375" style="69" customWidth="1"/>
    <col min="17" max="17" width="11" style="69" customWidth="1"/>
    <col min="18" max="18" width="12.28515625" style="69" customWidth="1"/>
    <col min="19" max="19" width="12.42578125" style="69" customWidth="1"/>
    <col min="20" max="20" width="12" style="69" customWidth="1"/>
    <col min="21" max="21" width="12.140625" style="52" customWidth="1"/>
    <col min="22" max="22" width="11.140625" style="52" customWidth="1"/>
    <col min="23" max="23" width="10.85546875" style="69" customWidth="1"/>
    <col min="24" max="24" width="13.140625" style="69" customWidth="1"/>
    <col min="25" max="25" width="12.85546875" style="69" customWidth="1"/>
    <col min="26" max="26" width="14.42578125" style="69" customWidth="1"/>
    <col min="27" max="27" width="16.5703125" style="69" customWidth="1"/>
    <col min="28" max="28" width="14.42578125" style="69" customWidth="1"/>
    <col min="29" max="29" width="12" style="69" customWidth="1"/>
    <col min="30" max="30" width="11.28515625" style="69" customWidth="1"/>
    <col min="31" max="31" width="13.85546875" style="69" customWidth="1"/>
    <col min="32" max="32" width="14.5703125" style="69" customWidth="1"/>
    <col min="33" max="33" width="10.140625" style="69" customWidth="1"/>
    <col min="34" max="34" width="15.85546875" style="69" customWidth="1"/>
    <col min="35" max="35" width="10.140625" style="69" customWidth="1"/>
    <col min="36" max="36" width="12.28515625" style="69" customWidth="1"/>
    <col min="37" max="41" width="10.140625" style="69" customWidth="1"/>
    <col min="42" max="42" width="13.28515625" style="69" customWidth="1"/>
    <col min="43" max="43" width="10.140625" style="69" customWidth="1"/>
    <col min="44" max="44" width="12.5703125" style="69" customWidth="1"/>
    <col min="45" max="45" width="18.28515625" style="91" customWidth="1"/>
    <col min="46" max="46" width="14" style="69" customWidth="1"/>
    <col min="47" max="47" width="12.85546875" style="52" customWidth="1"/>
    <col min="48" max="48" width="13" style="69" customWidth="1"/>
    <col min="49" max="49" width="11.140625" style="69" customWidth="1"/>
    <col min="50" max="50" width="10.85546875" style="69" customWidth="1"/>
    <col min="51" max="51" width="9.5703125" style="69" customWidth="1"/>
    <col min="52" max="53" width="14.5703125" style="69" customWidth="1"/>
    <col min="54" max="54" width="10.140625" style="69" customWidth="1"/>
    <col min="55" max="55" width="12.140625" style="69" customWidth="1"/>
    <col min="56" max="56" width="18.140625" style="57" customWidth="1"/>
    <col min="57" max="57" width="10.5703125" style="57" customWidth="1"/>
    <col min="58" max="58" width="11.7109375" style="69" customWidth="1"/>
    <col min="59" max="59" width="13" style="69" customWidth="1"/>
    <col min="60" max="60" width="10.28515625" style="69" customWidth="1"/>
    <col min="61" max="61" width="12.42578125" style="69" customWidth="1"/>
    <col min="62" max="62" width="12.28515625" style="69" customWidth="1"/>
    <col min="63" max="63" width="10.85546875" style="69" customWidth="1"/>
    <col min="64" max="64" width="13.140625" style="69" customWidth="1"/>
    <col min="65" max="65" width="13" style="69" customWidth="1"/>
    <col min="66" max="68" width="11.140625" style="69" customWidth="1"/>
    <col min="69" max="69" width="13.140625" style="69" customWidth="1"/>
    <col min="70" max="70" width="9.140625" style="69"/>
    <col min="71" max="71" width="12.85546875" style="69" customWidth="1"/>
    <col min="72" max="72" width="9.140625" style="69"/>
    <col min="73" max="73" width="14" style="69" customWidth="1"/>
    <col min="74" max="76" width="9.140625" style="69"/>
    <col min="77" max="77" width="10.85546875" style="69" customWidth="1"/>
    <col min="78" max="78" width="12.5703125" style="69" customWidth="1"/>
    <col min="79" max="79" width="11.7109375" style="69" customWidth="1"/>
    <col min="80" max="80" width="9.140625" style="69"/>
    <col min="81" max="81" width="13.7109375" style="69" customWidth="1"/>
    <col min="82" max="82" width="15" style="69" customWidth="1"/>
    <col min="83" max="83" width="12.28515625" style="91" customWidth="1"/>
    <col min="84" max="84" width="12.85546875" style="69" customWidth="1"/>
    <col min="85" max="85" width="9.140625" style="75"/>
    <col min="86" max="86" width="8.85546875" style="75" customWidth="1"/>
    <col min="87" max="87" width="12.5703125" style="69" customWidth="1"/>
    <col min="88" max="16384" width="9.140625" style="69"/>
  </cols>
  <sheetData>
    <row r="2" spans="2:86" s="52" customFormat="1" ht="36" customHeight="1" x14ac:dyDescent="0.25">
      <c r="E2" s="100"/>
      <c r="G2" s="53"/>
      <c r="H2" s="54" t="s">
        <v>1</v>
      </c>
      <c r="I2" s="54" t="s">
        <v>2</v>
      </c>
      <c r="J2" s="54" t="s">
        <v>3</v>
      </c>
      <c r="K2" s="54" t="s">
        <v>4</v>
      </c>
      <c r="L2" s="54" t="s">
        <v>5</v>
      </c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90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6"/>
      <c r="BE2" s="56"/>
      <c r="BO2" s="52" t="s">
        <v>6</v>
      </c>
      <c r="CE2" s="91"/>
      <c r="CG2" s="58"/>
      <c r="CH2" s="58"/>
    </row>
    <row r="3" spans="2:86" s="56" customFormat="1" ht="72" customHeight="1" x14ac:dyDescent="0.25">
      <c r="B3" s="52" t="s">
        <v>7</v>
      </c>
      <c r="C3" s="59" t="s">
        <v>8</v>
      </c>
      <c r="D3" s="59" t="s">
        <v>9</v>
      </c>
      <c r="E3" s="101" t="s">
        <v>10</v>
      </c>
      <c r="F3" s="60" t="s">
        <v>11</v>
      </c>
      <c r="G3" s="53" t="s">
        <v>12</v>
      </c>
      <c r="H3" s="54" t="s">
        <v>13</v>
      </c>
      <c r="I3" s="54" t="s">
        <v>14</v>
      </c>
      <c r="J3" s="54" t="s">
        <v>15</v>
      </c>
      <c r="K3" s="54" t="s">
        <v>16</v>
      </c>
      <c r="L3" s="54" t="s">
        <v>17</v>
      </c>
      <c r="M3" s="54" t="s">
        <v>18</v>
      </c>
      <c r="N3" s="54" t="s">
        <v>19</v>
      </c>
      <c r="O3" s="54" t="s">
        <v>20</v>
      </c>
      <c r="P3" s="54" t="s">
        <v>21</v>
      </c>
      <c r="Q3" s="54" t="s">
        <v>22</v>
      </c>
      <c r="R3" s="54" t="s">
        <v>23</v>
      </c>
      <c r="S3" s="54" t="s">
        <v>24</v>
      </c>
      <c r="T3" s="54" t="s">
        <v>25</v>
      </c>
      <c r="U3" s="54" t="s">
        <v>26</v>
      </c>
      <c r="V3" s="54" t="s">
        <v>27</v>
      </c>
      <c r="W3" s="54" t="s">
        <v>28</v>
      </c>
      <c r="X3" s="54" t="s">
        <v>29</v>
      </c>
      <c r="Y3" s="54" t="s">
        <v>30</v>
      </c>
      <c r="Z3" s="54" t="s">
        <v>31</v>
      </c>
      <c r="AA3" s="54" t="s">
        <v>32</v>
      </c>
      <c r="AB3" s="54" t="s">
        <v>33</v>
      </c>
      <c r="AC3" s="54" t="s">
        <v>34</v>
      </c>
      <c r="AD3" s="54" t="s">
        <v>35</v>
      </c>
      <c r="AE3" s="54" t="s">
        <v>36</v>
      </c>
      <c r="AF3" s="54" t="s">
        <v>37</v>
      </c>
      <c r="AG3" s="54" t="s">
        <v>38</v>
      </c>
      <c r="AH3" s="54" t="s">
        <v>39</v>
      </c>
      <c r="AI3" s="54" t="s">
        <v>40</v>
      </c>
      <c r="AJ3" s="54" t="s">
        <v>41</v>
      </c>
      <c r="AK3" s="54" t="s">
        <v>42</v>
      </c>
      <c r="AL3" s="54" t="s">
        <v>43</v>
      </c>
      <c r="AM3" s="54" t="s">
        <v>44</v>
      </c>
      <c r="AN3" s="54" t="s">
        <v>45</v>
      </c>
      <c r="AO3" s="54" t="s">
        <v>55</v>
      </c>
      <c r="AP3" s="54" t="s">
        <v>46</v>
      </c>
      <c r="AQ3" s="54" t="s">
        <v>47</v>
      </c>
      <c r="AR3" s="54" t="s">
        <v>48</v>
      </c>
      <c r="AS3" s="90" t="s">
        <v>50</v>
      </c>
      <c r="AT3" s="54" t="s">
        <v>51</v>
      </c>
      <c r="AU3" s="54" t="s">
        <v>52</v>
      </c>
      <c r="AV3" s="54" t="s">
        <v>25</v>
      </c>
      <c r="AW3" s="54" t="s">
        <v>53</v>
      </c>
      <c r="AX3" s="54" t="s">
        <v>54</v>
      </c>
      <c r="AY3" s="54" t="s">
        <v>55</v>
      </c>
      <c r="AZ3" s="54" t="s">
        <v>37</v>
      </c>
      <c r="BA3" s="54" t="s">
        <v>39</v>
      </c>
      <c r="BB3" s="54" t="s">
        <v>56</v>
      </c>
      <c r="BC3" s="54" t="s">
        <v>57</v>
      </c>
      <c r="BD3" s="56" t="s">
        <v>58</v>
      </c>
      <c r="BE3" s="56" t="s">
        <v>59</v>
      </c>
      <c r="BF3" s="56" t="s">
        <v>31</v>
      </c>
      <c r="BG3" s="56" t="s">
        <v>60</v>
      </c>
      <c r="BH3" s="56" t="s">
        <v>27</v>
      </c>
      <c r="BI3" s="56" t="s">
        <v>61</v>
      </c>
      <c r="BJ3" s="56" t="s">
        <v>62</v>
      </c>
      <c r="BK3" s="56" t="s">
        <v>24</v>
      </c>
      <c r="BL3" s="56" t="s">
        <v>63</v>
      </c>
      <c r="BM3" s="56" t="s">
        <v>64</v>
      </c>
      <c r="BN3" s="56" t="s">
        <v>18</v>
      </c>
      <c r="BO3" s="56" t="s">
        <v>65</v>
      </c>
      <c r="BP3" s="56" t="s">
        <v>21</v>
      </c>
      <c r="BQ3" s="56" t="s">
        <v>66</v>
      </c>
      <c r="BR3" s="56" t="s">
        <v>67</v>
      </c>
      <c r="BS3" s="56" t="s">
        <v>40</v>
      </c>
      <c r="BT3" s="56" t="s">
        <v>68</v>
      </c>
      <c r="BU3" s="56" t="s">
        <v>69</v>
      </c>
      <c r="BV3" s="56" t="s">
        <v>41</v>
      </c>
      <c r="BW3" s="56" t="s">
        <v>70</v>
      </c>
      <c r="BX3" s="56" t="s">
        <v>71</v>
      </c>
      <c r="BY3" s="56" t="s">
        <v>72</v>
      </c>
      <c r="BZ3" s="56" t="s">
        <v>46</v>
      </c>
      <c r="CA3" s="56" t="s">
        <v>2201</v>
      </c>
      <c r="CB3" s="56" t="s">
        <v>73</v>
      </c>
      <c r="CC3" s="56" t="s">
        <v>74</v>
      </c>
      <c r="CD3" s="56" t="s">
        <v>75</v>
      </c>
      <c r="CE3" s="92" t="s">
        <v>76</v>
      </c>
      <c r="CF3" s="56" t="s">
        <v>77</v>
      </c>
      <c r="CG3" s="62"/>
      <c r="CH3" s="62"/>
    </row>
    <row r="4" spans="2:86" s="63" customFormat="1" ht="15" customHeight="1" x14ac:dyDescent="0.25">
      <c r="C4" s="64"/>
      <c r="D4" s="64"/>
      <c r="E4" s="102" t="s">
        <v>78</v>
      </c>
      <c r="AS4" s="91"/>
      <c r="AU4" s="52"/>
      <c r="BD4" s="57"/>
      <c r="BE4" s="57"/>
      <c r="CE4" s="91"/>
      <c r="CG4" s="64"/>
      <c r="CH4" s="64"/>
    </row>
    <row r="5" spans="2:86" s="63" customFormat="1" x14ac:dyDescent="0.25">
      <c r="C5" s="64"/>
      <c r="D5" s="64"/>
      <c r="E5" s="102" t="s">
        <v>128</v>
      </c>
      <c r="AS5" s="91"/>
      <c r="AU5" s="52"/>
      <c r="BD5" s="57"/>
      <c r="BE5" s="57"/>
      <c r="CE5" s="91"/>
      <c r="CG5" s="64"/>
      <c r="CH5" s="64"/>
    </row>
    <row r="6" spans="2:86" s="63" customFormat="1" x14ac:dyDescent="0.25">
      <c r="C6" s="64"/>
      <c r="D6" s="64"/>
      <c r="E6" s="102" t="s">
        <v>130</v>
      </c>
      <c r="AS6" s="91"/>
      <c r="AU6" s="52"/>
      <c r="BD6" s="57"/>
      <c r="BE6" s="57"/>
      <c r="CE6" s="91"/>
      <c r="CG6" s="64"/>
      <c r="CH6" s="64"/>
    </row>
    <row r="7" spans="2:86" s="63" customFormat="1" x14ac:dyDescent="0.25">
      <c r="C7" s="64"/>
      <c r="D7" s="64"/>
      <c r="E7" s="102" t="s">
        <v>724</v>
      </c>
      <c r="AS7" s="91"/>
      <c r="AU7" s="52"/>
      <c r="BD7" s="57"/>
      <c r="BE7" s="57"/>
      <c r="CE7" s="91"/>
      <c r="CG7" s="64"/>
      <c r="CH7" s="64"/>
    </row>
    <row r="8" spans="2:86" s="63" customFormat="1" x14ac:dyDescent="0.25">
      <c r="C8" s="64"/>
      <c r="D8" s="64"/>
      <c r="E8" s="102" t="s">
        <v>725</v>
      </c>
      <c r="AS8" s="91"/>
      <c r="AU8" s="52"/>
      <c r="BD8" s="57"/>
      <c r="BE8" s="57"/>
      <c r="CE8" s="91"/>
      <c r="CG8" s="64"/>
      <c r="CH8" s="64"/>
    </row>
    <row r="9" spans="2:86" s="63" customFormat="1" x14ac:dyDescent="0.25">
      <c r="C9" s="64"/>
      <c r="D9" s="64"/>
      <c r="E9" s="102" t="s">
        <v>726</v>
      </c>
      <c r="AS9" s="91"/>
      <c r="AU9" s="52"/>
      <c r="BD9" s="57"/>
      <c r="BE9" s="57"/>
      <c r="CE9" s="91"/>
      <c r="CG9" s="64"/>
      <c r="CH9" s="64"/>
    </row>
    <row r="10" spans="2:86" s="63" customFormat="1" x14ac:dyDescent="0.25">
      <c r="C10" s="64"/>
      <c r="D10" s="64"/>
      <c r="E10" s="102" t="s">
        <v>121</v>
      </c>
      <c r="AS10" s="91"/>
      <c r="AU10" s="52"/>
      <c r="BD10" s="57"/>
      <c r="BE10" s="57"/>
      <c r="CE10" s="91"/>
      <c r="CG10" s="64"/>
      <c r="CH10" s="64"/>
    </row>
    <row r="11" spans="2:86" s="63" customFormat="1" x14ac:dyDescent="0.25">
      <c r="C11" s="64"/>
      <c r="D11" s="64"/>
      <c r="E11" s="102" t="s">
        <v>123</v>
      </c>
      <c r="AS11" s="91"/>
      <c r="AU11" s="52"/>
      <c r="BD11" s="57"/>
      <c r="BE11" s="57"/>
      <c r="CE11" s="91"/>
      <c r="CG11" s="64"/>
      <c r="CH11" s="64"/>
    </row>
    <row r="12" spans="2:86" s="63" customFormat="1" x14ac:dyDescent="0.25">
      <c r="C12" s="64"/>
      <c r="D12" s="64"/>
      <c r="E12" s="102" t="s">
        <v>122</v>
      </c>
      <c r="AS12" s="91"/>
      <c r="AU12" s="52"/>
      <c r="BD12" s="57"/>
      <c r="BE12" s="57"/>
      <c r="CE12" s="91"/>
      <c r="CG12" s="64"/>
      <c r="CH12" s="64"/>
    </row>
    <row r="13" spans="2:86" s="63" customFormat="1" x14ac:dyDescent="0.25">
      <c r="C13" s="64"/>
      <c r="D13" s="64"/>
      <c r="E13" s="102" t="s">
        <v>137</v>
      </c>
      <c r="AS13" s="91"/>
      <c r="AU13" s="52"/>
      <c r="BD13" s="57"/>
      <c r="BE13" s="57"/>
      <c r="CE13" s="91"/>
      <c r="CG13" s="64"/>
      <c r="CH13" s="64"/>
    </row>
    <row r="14" spans="2:86" s="63" customFormat="1" x14ac:dyDescent="0.25">
      <c r="C14" s="64"/>
      <c r="D14" s="64"/>
      <c r="E14" s="102" t="s">
        <v>125</v>
      </c>
      <c r="AS14" s="91"/>
      <c r="AU14" s="52"/>
      <c r="BD14" s="57"/>
      <c r="BE14" s="57"/>
      <c r="CE14" s="91"/>
      <c r="CG14" s="64"/>
      <c r="CH14" s="64"/>
    </row>
    <row r="15" spans="2:86" s="63" customFormat="1" x14ac:dyDescent="0.25">
      <c r="C15" s="64"/>
      <c r="D15" s="64"/>
      <c r="E15" s="102" t="s">
        <v>727</v>
      </c>
      <c r="AS15" s="91"/>
      <c r="AU15" s="52"/>
      <c r="BD15" s="57"/>
      <c r="BE15" s="57"/>
      <c r="CE15" s="91"/>
      <c r="CG15" s="64"/>
      <c r="CH15" s="64"/>
    </row>
    <row r="16" spans="2:86" s="63" customFormat="1" x14ac:dyDescent="0.25">
      <c r="C16" s="64"/>
      <c r="D16" s="64"/>
      <c r="E16" s="102" t="s">
        <v>728</v>
      </c>
      <c r="AS16" s="91"/>
      <c r="AU16" s="52"/>
      <c r="BD16" s="57"/>
      <c r="BE16" s="57"/>
      <c r="CE16" s="91"/>
      <c r="CG16" s="64"/>
      <c r="CH16" s="64"/>
    </row>
    <row r="17" spans="3:86" s="63" customFormat="1" x14ac:dyDescent="0.25">
      <c r="C17" s="64"/>
      <c r="D17" s="64"/>
      <c r="E17" s="102" t="s">
        <v>124</v>
      </c>
      <c r="AS17" s="91"/>
      <c r="AU17" s="52"/>
      <c r="BD17" s="57"/>
      <c r="BE17" s="57"/>
      <c r="CE17" s="91"/>
      <c r="CG17" s="64"/>
      <c r="CH17" s="64"/>
    </row>
    <row r="18" spans="3:86" s="63" customFormat="1" x14ac:dyDescent="0.25">
      <c r="C18" s="64"/>
      <c r="D18" s="64"/>
      <c r="E18" s="102" t="s">
        <v>132</v>
      </c>
      <c r="AS18" s="91"/>
      <c r="AU18" s="52"/>
      <c r="BD18" s="57"/>
      <c r="BE18" s="57"/>
      <c r="CE18" s="91"/>
      <c r="CG18" s="64"/>
      <c r="CH18" s="64"/>
    </row>
    <row r="19" spans="3:86" s="63" customFormat="1" x14ac:dyDescent="0.25">
      <c r="C19" s="64"/>
      <c r="D19" s="64"/>
      <c r="E19" s="102" t="s">
        <v>119</v>
      </c>
      <c r="AS19" s="91"/>
      <c r="AU19" s="52"/>
      <c r="BD19" s="57"/>
      <c r="BE19" s="57"/>
      <c r="CE19" s="91"/>
      <c r="CG19" s="64"/>
      <c r="CH19" s="64"/>
    </row>
    <row r="20" spans="3:86" s="63" customFormat="1" x14ac:dyDescent="0.25">
      <c r="C20" s="64"/>
      <c r="D20" s="64"/>
      <c r="E20" s="102" t="s">
        <v>729</v>
      </c>
      <c r="AS20" s="91"/>
      <c r="AU20" s="52"/>
      <c r="BD20" s="57"/>
      <c r="BE20" s="57"/>
      <c r="CE20" s="91"/>
      <c r="CG20" s="64"/>
      <c r="CH20" s="64"/>
    </row>
    <row r="21" spans="3:86" s="63" customFormat="1" x14ac:dyDescent="0.25">
      <c r="C21" s="64"/>
      <c r="D21" s="64"/>
      <c r="E21" s="102" t="s">
        <v>730</v>
      </c>
      <c r="AS21" s="91"/>
      <c r="AU21" s="52"/>
      <c r="BD21" s="57"/>
      <c r="BE21" s="57"/>
      <c r="CE21" s="91"/>
      <c r="CG21" s="64"/>
      <c r="CH21" s="64"/>
    </row>
    <row r="22" spans="3:86" s="63" customFormat="1" x14ac:dyDescent="0.25">
      <c r="C22" s="64"/>
      <c r="D22" s="64"/>
      <c r="E22" s="102" t="s">
        <v>731</v>
      </c>
      <c r="AS22" s="91"/>
      <c r="AU22" s="52"/>
      <c r="BD22" s="57"/>
      <c r="BE22" s="57"/>
      <c r="CE22" s="91"/>
      <c r="CG22" s="64"/>
      <c r="CH22" s="64"/>
    </row>
    <row r="23" spans="3:86" s="63" customFormat="1" x14ac:dyDescent="0.25">
      <c r="C23" s="64"/>
      <c r="D23" s="64"/>
      <c r="E23" s="102" t="s">
        <v>116</v>
      </c>
      <c r="AS23" s="91"/>
      <c r="AU23" s="52"/>
      <c r="BD23" s="57"/>
      <c r="BE23" s="57"/>
      <c r="CE23" s="91"/>
      <c r="CG23" s="64"/>
      <c r="CH23" s="64"/>
    </row>
    <row r="24" spans="3:86" s="63" customFormat="1" x14ac:dyDescent="0.25">
      <c r="C24" s="64"/>
      <c r="D24" s="64"/>
      <c r="E24" s="102" t="s">
        <v>732</v>
      </c>
      <c r="AS24" s="91"/>
      <c r="AU24" s="52"/>
      <c r="BD24" s="57"/>
      <c r="BE24" s="57"/>
      <c r="CE24" s="91"/>
      <c r="CG24" s="64"/>
      <c r="CH24" s="64"/>
    </row>
    <row r="25" spans="3:86" s="63" customFormat="1" x14ac:dyDescent="0.25">
      <c r="C25" s="64"/>
      <c r="D25" s="64"/>
      <c r="E25" s="102" t="s">
        <v>733</v>
      </c>
      <c r="AS25" s="91"/>
      <c r="AU25" s="52"/>
      <c r="BD25" s="57"/>
      <c r="BE25" s="57"/>
      <c r="CE25" s="91"/>
      <c r="CG25" s="64"/>
      <c r="CH25" s="64"/>
    </row>
    <row r="26" spans="3:86" ht="18.75" x14ac:dyDescent="0.25">
      <c r="C26" s="70">
        <v>5067</v>
      </c>
      <c r="D26" s="70">
        <v>6088</v>
      </c>
      <c r="E26" s="103"/>
      <c r="F26" s="72" t="s">
        <v>2202</v>
      </c>
      <c r="G26" s="63" t="s">
        <v>220</v>
      </c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>
        <v>1865.52</v>
      </c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94">
        <f t="shared" ref="AS26:AS90" si="0">SUM(H26:AR26)</f>
        <v>1865.52</v>
      </c>
      <c r="AT26" s="73">
        <v>1865.52</v>
      </c>
      <c r="AU26" s="73"/>
      <c r="AV26" s="73"/>
      <c r="AW26" s="73"/>
      <c r="AX26" s="73"/>
      <c r="AY26" s="73"/>
      <c r="AZ26" s="73"/>
      <c r="BA26" s="73"/>
      <c r="BB26" s="73"/>
      <c r="BC26" s="73"/>
      <c r="BD26" s="69"/>
      <c r="BE26" s="69"/>
      <c r="CE26" s="94">
        <f t="shared" ref="CE26:CE43" si="1">SUM(AT26:CD26)</f>
        <v>1865.52</v>
      </c>
      <c r="CF26" s="73">
        <f t="shared" ref="CF26:CF43" si="2">+CE26-AS26</f>
        <v>0</v>
      </c>
      <c r="CG26" s="75">
        <f>+D26</f>
        <v>6088</v>
      </c>
      <c r="CH26" s="75">
        <f>+E26</f>
        <v>0</v>
      </c>
    </row>
    <row r="27" spans="3:86" ht="18.75" x14ac:dyDescent="0.25">
      <c r="C27" s="70">
        <v>5075</v>
      </c>
      <c r="D27" s="70">
        <v>6089</v>
      </c>
      <c r="E27" s="103"/>
      <c r="F27" s="72" t="s">
        <v>2203</v>
      </c>
      <c r="G27" s="63" t="s">
        <v>220</v>
      </c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>
        <v>85</v>
      </c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94">
        <f t="shared" si="0"/>
        <v>85</v>
      </c>
      <c r="AT27" s="73">
        <v>85</v>
      </c>
      <c r="AU27" s="73"/>
      <c r="AV27" s="73"/>
      <c r="AW27" s="73"/>
      <c r="AX27" s="73"/>
      <c r="AY27" s="73"/>
      <c r="AZ27" s="73"/>
      <c r="BA27" s="73"/>
      <c r="BB27" s="73"/>
      <c r="BC27" s="73"/>
      <c r="BD27" s="69"/>
      <c r="BE27" s="69"/>
      <c r="CE27" s="94">
        <f t="shared" si="1"/>
        <v>85</v>
      </c>
      <c r="CF27" s="73">
        <f t="shared" si="2"/>
        <v>0</v>
      </c>
      <c r="CG27" s="75">
        <f t="shared" ref="CG27:CH90" si="3">+D27</f>
        <v>6089</v>
      </c>
      <c r="CH27" s="75">
        <f t="shared" si="3"/>
        <v>0</v>
      </c>
    </row>
    <row r="28" spans="3:86" ht="18.75" x14ac:dyDescent="0.25">
      <c r="C28" s="70">
        <v>5069</v>
      </c>
      <c r="D28" s="70">
        <v>6090</v>
      </c>
      <c r="E28" s="103"/>
      <c r="F28" s="72" t="s">
        <v>2204</v>
      </c>
      <c r="G28" s="63" t="s">
        <v>220</v>
      </c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>
        <v>2</v>
      </c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94">
        <f t="shared" si="0"/>
        <v>2</v>
      </c>
      <c r="AT28" s="73">
        <v>2</v>
      </c>
      <c r="AU28" s="73"/>
      <c r="AV28" s="73"/>
      <c r="AW28" s="73"/>
      <c r="AX28" s="73"/>
      <c r="AY28" s="73"/>
      <c r="AZ28" s="73"/>
      <c r="BA28" s="73"/>
      <c r="BB28" s="73"/>
      <c r="BC28" s="73"/>
      <c r="BD28" s="69"/>
      <c r="BE28" s="69"/>
      <c r="CE28" s="94">
        <f t="shared" si="1"/>
        <v>2</v>
      </c>
      <c r="CF28" s="73">
        <f t="shared" si="2"/>
        <v>0</v>
      </c>
      <c r="CG28" s="75">
        <f t="shared" si="3"/>
        <v>6090</v>
      </c>
      <c r="CH28" s="75">
        <f t="shared" si="3"/>
        <v>0</v>
      </c>
    </row>
    <row r="29" spans="3:86" ht="36" x14ac:dyDescent="0.25">
      <c r="C29" s="70">
        <v>5078</v>
      </c>
      <c r="D29" s="70">
        <v>6091</v>
      </c>
      <c r="E29" s="103"/>
      <c r="F29" s="76" t="s">
        <v>2205</v>
      </c>
      <c r="G29" s="63" t="s">
        <v>220</v>
      </c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>
        <v>571101.05000000005</v>
      </c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94">
        <f t="shared" si="0"/>
        <v>571101.05000000005</v>
      </c>
      <c r="AT29" s="73">
        <v>571101.05000000005</v>
      </c>
      <c r="AU29" s="73"/>
      <c r="AV29" s="73"/>
      <c r="AW29" s="73"/>
      <c r="AX29" s="73"/>
      <c r="AY29" s="73"/>
      <c r="AZ29" s="73"/>
      <c r="BA29" s="73"/>
      <c r="BB29" s="73"/>
      <c r="BC29" s="73"/>
      <c r="BD29" s="69"/>
      <c r="BE29" s="69"/>
      <c r="CE29" s="94">
        <f t="shared" si="1"/>
        <v>571101.05000000005</v>
      </c>
      <c r="CF29" s="73">
        <f t="shared" si="2"/>
        <v>0</v>
      </c>
      <c r="CG29" s="75">
        <f t="shared" si="3"/>
        <v>6091</v>
      </c>
      <c r="CH29" s="75">
        <f t="shared" si="3"/>
        <v>0</v>
      </c>
    </row>
    <row r="30" spans="3:86" ht="18.75" x14ac:dyDescent="0.25">
      <c r="C30" s="70">
        <v>5065</v>
      </c>
      <c r="D30" s="70">
        <v>6092</v>
      </c>
      <c r="E30" s="103"/>
      <c r="F30" s="72" t="str">
        <f>+F28</f>
        <v>استقطاع اللجنه النقابيه ديسمبر</v>
      </c>
      <c r="G30" s="63" t="s">
        <v>220</v>
      </c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>
        <v>2</v>
      </c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94">
        <f t="shared" si="0"/>
        <v>2</v>
      </c>
      <c r="AT30" s="73">
        <v>2</v>
      </c>
      <c r="AU30" s="73"/>
      <c r="AV30" s="73"/>
      <c r="AW30" s="73"/>
      <c r="AX30" s="73"/>
      <c r="AY30" s="73"/>
      <c r="AZ30" s="73"/>
      <c r="BA30" s="73"/>
      <c r="BB30" s="73"/>
      <c r="BC30" s="73"/>
      <c r="BD30" s="69"/>
      <c r="BE30" s="69"/>
      <c r="CE30" s="94">
        <f t="shared" si="1"/>
        <v>2</v>
      </c>
      <c r="CF30" s="73">
        <f t="shared" si="2"/>
        <v>0</v>
      </c>
      <c r="CG30" s="75">
        <f t="shared" si="3"/>
        <v>6092</v>
      </c>
      <c r="CH30" s="75">
        <f t="shared" si="3"/>
        <v>0</v>
      </c>
    </row>
    <row r="31" spans="3:86" ht="18.75" x14ac:dyDescent="0.25">
      <c r="C31" s="70">
        <v>5052</v>
      </c>
      <c r="D31" s="70">
        <v>6093</v>
      </c>
      <c r="E31" s="103"/>
      <c r="F31" s="72" t="s">
        <v>2206</v>
      </c>
      <c r="G31" s="63" t="s">
        <v>220</v>
      </c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>
        <v>14</v>
      </c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94">
        <f t="shared" si="0"/>
        <v>14</v>
      </c>
      <c r="AT31" s="73">
        <v>14</v>
      </c>
      <c r="AU31" s="73"/>
      <c r="AV31" s="73"/>
      <c r="AW31" s="73"/>
      <c r="AX31" s="73"/>
      <c r="AY31" s="73"/>
      <c r="AZ31" s="73"/>
      <c r="BA31" s="73"/>
      <c r="BB31" s="73"/>
      <c r="BC31" s="73"/>
      <c r="BD31" s="69"/>
      <c r="BE31" s="69"/>
      <c r="CE31" s="94">
        <f t="shared" si="1"/>
        <v>14</v>
      </c>
      <c r="CF31" s="73">
        <f t="shared" si="2"/>
        <v>0</v>
      </c>
      <c r="CG31" s="75">
        <f t="shared" si="3"/>
        <v>6093</v>
      </c>
      <c r="CH31" s="75">
        <f t="shared" si="3"/>
        <v>0</v>
      </c>
    </row>
    <row r="32" spans="3:86" ht="18.75" x14ac:dyDescent="0.25">
      <c r="C32" s="70">
        <v>5072</v>
      </c>
      <c r="D32" s="70">
        <v>6094</v>
      </c>
      <c r="E32" s="103"/>
      <c r="F32" s="72" t="s">
        <v>2207</v>
      </c>
      <c r="G32" s="63" t="s">
        <v>220</v>
      </c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>
        <v>700</v>
      </c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94">
        <f t="shared" si="0"/>
        <v>700</v>
      </c>
      <c r="AT32" s="73">
        <v>700</v>
      </c>
      <c r="AU32" s="73"/>
      <c r="AV32" s="73"/>
      <c r="AW32" s="73"/>
      <c r="AX32" s="73"/>
      <c r="AY32" s="73"/>
      <c r="AZ32" s="73"/>
      <c r="BA32" s="73"/>
      <c r="BB32" s="73"/>
      <c r="BC32" s="73"/>
      <c r="BD32" s="69"/>
      <c r="BE32" s="69"/>
      <c r="CE32" s="94">
        <f t="shared" si="1"/>
        <v>700</v>
      </c>
      <c r="CF32" s="73">
        <f t="shared" si="2"/>
        <v>0</v>
      </c>
      <c r="CG32" s="75">
        <f t="shared" si="3"/>
        <v>6094</v>
      </c>
      <c r="CH32" s="75">
        <f t="shared" si="3"/>
        <v>0</v>
      </c>
    </row>
    <row r="33" spans="3:93" ht="18.75" x14ac:dyDescent="0.25">
      <c r="C33" s="70">
        <v>5064</v>
      </c>
      <c r="D33" s="70">
        <v>6095</v>
      </c>
      <c r="E33" s="103"/>
      <c r="F33" s="72" t="s">
        <v>2208</v>
      </c>
      <c r="G33" s="63" t="s">
        <v>220</v>
      </c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>
        <v>5739</v>
      </c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94">
        <f t="shared" si="0"/>
        <v>5739</v>
      </c>
      <c r="AT33" s="73">
        <v>5739</v>
      </c>
      <c r="AU33" s="73"/>
      <c r="AV33" s="73"/>
      <c r="AW33" s="73"/>
      <c r="AX33" s="73"/>
      <c r="AY33" s="73"/>
      <c r="AZ33" s="73"/>
      <c r="BA33" s="73"/>
      <c r="BB33" s="73"/>
      <c r="BC33" s="73"/>
      <c r="BD33" s="69"/>
      <c r="BE33" s="69"/>
      <c r="CE33" s="94">
        <f t="shared" si="1"/>
        <v>5739</v>
      </c>
      <c r="CF33" s="73">
        <f t="shared" si="2"/>
        <v>0</v>
      </c>
      <c r="CG33" s="75">
        <f t="shared" si="3"/>
        <v>6095</v>
      </c>
      <c r="CH33" s="75">
        <f t="shared" si="3"/>
        <v>0</v>
      </c>
    </row>
    <row r="34" spans="3:93" ht="18.75" x14ac:dyDescent="0.25">
      <c r="C34" s="70">
        <v>5051</v>
      </c>
      <c r="D34" s="70">
        <v>6096</v>
      </c>
      <c r="E34" s="103"/>
      <c r="F34" s="72" t="s">
        <v>2209</v>
      </c>
      <c r="G34" s="63" t="s">
        <v>220</v>
      </c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>
        <v>2311.2399999999998</v>
      </c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94">
        <f t="shared" si="0"/>
        <v>2311.2399999999998</v>
      </c>
      <c r="AT34" s="73">
        <v>2311.2399999999998</v>
      </c>
      <c r="AU34" s="73"/>
      <c r="AV34" s="73"/>
      <c r="AW34" s="73"/>
      <c r="AX34" s="73"/>
      <c r="AY34" s="73"/>
      <c r="AZ34" s="73"/>
      <c r="BA34" s="73"/>
      <c r="BB34" s="73"/>
      <c r="BC34" s="73"/>
      <c r="BD34" s="69"/>
      <c r="BE34" s="69"/>
      <c r="CE34" s="94">
        <f t="shared" si="1"/>
        <v>2311.2399999999998</v>
      </c>
      <c r="CF34" s="73">
        <f t="shared" si="2"/>
        <v>0</v>
      </c>
      <c r="CG34" s="75">
        <f t="shared" si="3"/>
        <v>6096</v>
      </c>
      <c r="CH34" s="75">
        <f t="shared" si="3"/>
        <v>0</v>
      </c>
    </row>
    <row r="35" spans="3:93" ht="18.75" x14ac:dyDescent="0.25">
      <c r="C35" s="70">
        <v>5074</v>
      </c>
      <c r="D35" s="70">
        <v>6097</v>
      </c>
      <c r="E35" s="103"/>
      <c r="F35" s="72" t="s">
        <v>2210</v>
      </c>
      <c r="G35" s="63" t="s">
        <v>220</v>
      </c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>
        <v>1177.31</v>
      </c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94">
        <f t="shared" si="0"/>
        <v>1177.31</v>
      </c>
      <c r="AT35" s="73">
        <v>1177.31</v>
      </c>
      <c r="AU35" s="73"/>
      <c r="AV35" s="73"/>
      <c r="AW35" s="73"/>
      <c r="AX35" s="73"/>
      <c r="AY35" s="73"/>
      <c r="AZ35" s="73"/>
      <c r="BA35" s="73"/>
      <c r="BB35" s="73"/>
      <c r="BC35" s="73"/>
      <c r="BD35" s="69"/>
      <c r="BE35" s="69"/>
      <c r="CE35" s="94">
        <f t="shared" si="1"/>
        <v>1177.31</v>
      </c>
      <c r="CF35" s="73">
        <f t="shared" si="2"/>
        <v>0</v>
      </c>
      <c r="CG35" s="75">
        <f t="shared" si="3"/>
        <v>6097</v>
      </c>
      <c r="CH35" s="75">
        <f t="shared" si="3"/>
        <v>0</v>
      </c>
    </row>
    <row r="36" spans="3:93" ht="18.75" x14ac:dyDescent="0.25">
      <c r="C36" s="70">
        <v>5059</v>
      </c>
      <c r="D36" s="70">
        <v>6098</v>
      </c>
      <c r="E36" s="103"/>
      <c r="F36" s="72" t="s">
        <v>2211</v>
      </c>
      <c r="G36" s="63" t="s">
        <v>220</v>
      </c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>
        <v>1575</v>
      </c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94">
        <f t="shared" si="0"/>
        <v>1575</v>
      </c>
      <c r="AT36" s="73">
        <v>1575</v>
      </c>
      <c r="AU36" s="73"/>
      <c r="AV36" s="73"/>
      <c r="AW36" s="73"/>
      <c r="AX36" s="73"/>
      <c r="AY36" s="73"/>
      <c r="AZ36" s="73"/>
      <c r="BA36" s="73"/>
      <c r="BB36" s="73"/>
      <c r="BC36" s="73"/>
      <c r="BD36" s="69"/>
      <c r="BE36" s="69"/>
      <c r="CE36" s="94">
        <f t="shared" si="1"/>
        <v>1575</v>
      </c>
      <c r="CF36" s="73">
        <f t="shared" si="2"/>
        <v>0</v>
      </c>
      <c r="CG36" s="75">
        <f t="shared" si="3"/>
        <v>6098</v>
      </c>
      <c r="CH36" s="75">
        <f t="shared" si="3"/>
        <v>0</v>
      </c>
    </row>
    <row r="37" spans="3:93" ht="18.75" x14ac:dyDescent="0.25">
      <c r="C37" s="70">
        <v>5054</v>
      </c>
      <c r="D37" s="70">
        <v>6099</v>
      </c>
      <c r="E37" s="103"/>
      <c r="F37" s="72" t="s">
        <v>2212</v>
      </c>
      <c r="G37" s="63" t="s">
        <v>220</v>
      </c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>
        <v>987.2</v>
      </c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94">
        <f t="shared" si="0"/>
        <v>987.2</v>
      </c>
      <c r="AT37" s="73">
        <v>987.2</v>
      </c>
      <c r="AU37" s="73"/>
      <c r="AV37" s="73"/>
      <c r="AW37" s="73"/>
      <c r="AX37" s="73"/>
      <c r="AY37" s="73"/>
      <c r="AZ37" s="73"/>
      <c r="BA37" s="73"/>
      <c r="BB37" s="73"/>
      <c r="BC37" s="73"/>
      <c r="BD37" s="69"/>
      <c r="BE37" s="69"/>
      <c r="CE37" s="94">
        <f t="shared" si="1"/>
        <v>987.2</v>
      </c>
      <c r="CF37" s="73">
        <f t="shared" si="2"/>
        <v>0</v>
      </c>
      <c r="CG37" s="75">
        <f t="shared" si="3"/>
        <v>6099</v>
      </c>
      <c r="CH37" s="75">
        <f t="shared" si="3"/>
        <v>0</v>
      </c>
    </row>
    <row r="38" spans="3:93" ht="18.75" x14ac:dyDescent="0.25">
      <c r="C38" s="70">
        <v>5055</v>
      </c>
      <c r="D38" s="70">
        <v>6100</v>
      </c>
      <c r="E38" s="103"/>
      <c r="F38" s="72" t="s">
        <v>2213</v>
      </c>
      <c r="G38" s="63" t="s">
        <v>220</v>
      </c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>
        <v>1328</v>
      </c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94">
        <f t="shared" si="0"/>
        <v>1328</v>
      </c>
      <c r="AT38" s="73">
        <v>1328</v>
      </c>
      <c r="AU38" s="73"/>
      <c r="AV38" s="73"/>
      <c r="AW38" s="73"/>
      <c r="AX38" s="73"/>
      <c r="AY38" s="73"/>
      <c r="AZ38" s="73"/>
      <c r="BA38" s="73"/>
      <c r="BB38" s="73"/>
      <c r="BC38" s="73"/>
      <c r="BD38" s="69"/>
      <c r="BE38" s="69"/>
      <c r="CE38" s="94">
        <f t="shared" si="1"/>
        <v>1328</v>
      </c>
      <c r="CF38" s="73">
        <f t="shared" si="2"/>
        <v>0</v>
      </c>
      <c r="CG38" s="75">
        <f t="shared" si="3"/>
        <v>6100</v>
      </c>
      <c r="CH38" s="75">
        <f t="shared" si="3"/>
        <v>0</v>
      </c>
    </row>
    <row r="39" spans="3:93" ht="18.75" x14ac:dyDescent="0.25">
      <c r="C39" s="70">
        <v>5068</v>
      </c>
      <c r="D39" s="70">
        <v>6101</v>
      </c>
      <c r="E39" s="103" t="s">
        <v>121</v>
      </c>
      <c r="F39" s="72" t="s">
        <v>2214</v>
      </c>
      <c r="G39" s="63" t="s">
        <v>220</v>
      </c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>
        <v>23.43</v>
      </c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94">
        <f t="shared" si="0"/>
        <v>23.43</v>
      </c>
      <c r="AT39" s="73">
        <v>23.43</v>
      </c>
      <c r="AU39" s="73"/>
      <c r="AV39" s="73"/>
      <c r="AW39" s="73"/>
      <c r="AX39" s="73"/>
      <c r="AY39" s="73"/>
      <c r="AZ39" s="73"/>
      <c r="BA39" s="73"/>
      <c r="BB39" s="73"/>
      <c r="BC39" s="73"/>
      <c r="BD39" s="69"/>
      <c r="BE39" s="69"/>
      <c r="CE39" s="94">
        <f t="shared" si="1"/>
        <v>23.43</v>
      </c>
      <c r="CF39" s="73">
        <f t="shared" si="2"/>
        <v>0</v>
      </c>
      <c r="CG39" s="75">
        <f t="shared" si="3"/>
        <v>6101</v>
      </c>
      <c r="CH39" s="75" t="str">
        <f t="shared" si="3"/>
        <v>ماليزى اسنان</v>
      </c>
    </row>
    <row r="40" spans="3:93" ht="18.75" x14ac:dyDescent="0.25">
      <c r="C40" s="70">
        <v>5079</v>
      </c>
      <c r="D40" s="70">
        <v>6102</v>
      </c>
      <c r="E40" s="103"/>
      <c r="F40" s="72" t="s">
        <v>2215</v>
      </c>
      <c r="G40" s="63" t="s">
        <v>220</v>
      </c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>
        <v>12976.1</v>
      </c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94">
        <f t="shared" si="0"/>
        <v>12976.1</v>
      </c>
      <c r="AT40" s="73">
        <v>12976.1</v>
      </c>
      <c r="AU40" s="73"/>
      <c r="AV40" s="73"/>
      <c r="AW40" s="73"/>
      <c r="AX40" s="73"/>
      <c r="AY40" s="73"/>
      <c r="AZ40" s="73"/>
      <c r="BA40" s="73"/>
      <c r="BB40" s="73"/>
      <c r="BC40" s="73"/>
      <c r="BD40" s="69"/>
      <c r="BE40" s="69"/>
      <c r="CE40" s="94">
        <f t="shared" si="1"/>
        <v>12976.1</v>
      </c>
      <c r="CF40" s="73">
        <f t="shared" si="2"/>
        <v>0</v>
      </c>
      <c r="CG40" s="75">
        <f t="shared" si="3"/>
        <v>6102</v>
      </c>
      <c r="CH40" s="75">
        <f t="shared" si="3"/>
        <v>0</v>
      </c>
    </row>
    <row r="41" spans="3:93" ht="18.75" x14ac:dyDescent="0.25">
      <c r="C41" s="70">
        <v>5080</v>
      </c>
      <c r="D41" s="70">
        <v>6103</v>
      </c>
      <c r="E41" s="103"/>
      <c r="F41" s="72" t="s">
        <v>2216</v>
      </c>
      <c r="G41" s="63" t="s">
        <v>220</v>
      </c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>
        <v>10980.09</v>
      </c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94">
        <f t="shared" si="0"/>
        <v>10980.09</v>
      </c>
      <c r="AT41" s="73">
        <v>10980.09</v>
      </c>
      <c r="AU41" s="73"/>
      <c r="AV41" s="73"/>
      <c r="AW41" s="73"/>
      <c r="AX41" s="73"/>
      <c r="AY41" s="73"/>
      <c r="AZ41" s="73"/>
      <c r="BA41" s="73"/>
      <c r="BB41" s="73"/>
      <c r="BC41" s="73"/>
      <c r="BD41" s="69"/>
      <c r="BE41" s="69"/>
      <c r="CE41" s="94">
        <f t="shared" si="1"/>
        <v>10980.09</v>
      </c>
      <c r="CF41" s="73">
        <f t="shared" si="2"/>
        <v>0</v>
      </c>
      <c r="CG41" s="75">
        <f t="shared" si="3"/>
        <v>6103</v>
      </c>
      <c r="CH41" s="75">
        <f t="shared" si="3"/>
        <v>0</v>
      </c>
    </row>
    <row r="42" spans="3:93" ht="18.75" x14ac:dyDescent="0.25">
      <c r="C42" s="70">
        <v>5056</v>
      </c>
      <c r="D42" s="70">
        <v>6104</v>
      </c>
      <c r="E42" s="103"/>
      <c r="F42" s="72" t="s">
        <v>2217</v>
      </c>
      <c r="G42" s="63" t="s">
        <v>220</v>
      </c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>
        <v>2900</v>
      </c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94">
        <f t="shared" si="0"/>
        <v>2900</v>
      </c>
      <c r="AT42" s="73">
        <v>2900</v>
      </c>
      <c r="AU42" s="73"/>
      <c r="AV42" s="73"/>
      <c r="AW42" s="73"/>
      <c r="AX42" s="73"/>
      <c r="AY42" s="73"/>
      <c r="AZ42" s="73"/>
      <c r="BA42" s="73"/>
      <c r="BB42" s="73"/>
      <c r="BC42" s="73"/>
      <c r="BD42" s="69"/>
      <c r="BE42" s="69"/>
      <c r="CE42" s="94">
        <f t="shared" si="1"/>
        <v>2900</v>
      </c>
      <c r="CF42" s="73">
        <f t="shared" si="2"/>
        <v>0</v>
      </c>
      <c r="CG42" s="75">
        <f t="shared" si="3"/>
        <v>6104</v>
      </c>
      <c r="CH42" s="75">
        <f t="shared" si="3"/>
        <v>0</v>
      </c>
    </row>
    <row r="43" spans="3:93" ht="18.75" x14ac:dyDescent="0.25">
      <c r="C43" s="70">
        <v>5071</v>
      </c>
      <c r="D43" s="70">
        <v>6105</v>
      </c>
      <c r="E43" s="103"/>
      <c r="F43" s="72" t="s">
        <v>2218</v>
      </c>
      <c r="G43" s="63" t="s">
        <v>220</v>
      </c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>
        <v>106</v>
      </c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94">
        <f t="shared" si="0"/>
        <v>106</v>
      </c>
      <c r="AT43" s="73">
        <v>106</v>
      </c>
      <c r="AU43" s="73"/>
      <c r="AV43" s="73"/>
      <c r="AW43" s="73"/>
      <c r="AX43" s="73"/>
      <c r="AY43" s="73"/>
      <c r="AZ43" s="73"/>
      <c r="BA43" s="73"/>
      <c r="BB43" s="73"/>
      <c r="BC43" s="73"/>
      <c r="BD43" s="69"/>
      <c r="BE43" s="69"/>
      <c r="CE43" s="94">
        <f t="shared" si="1"/>
        <v>106</v>
      </c>
      <c r="CF43" s="73">
        <f t="shared" si="2"/>
        <v>0</v>
      </c>
      <c r="CG43" s="75">
        <f t="shared" si="3"/>
        <v>6105</v>
      </c>
      <c r="CH43" s="75">
        <f t="shared" si="3"/>
        <v>0</v>
      </c>
    </row>
    <row r="44" spans="3:93" s="68" customFormat="1" ht="18.75" x14ac:dyDescent="0.25">
      <c r="C44" s="84"/>
      <c r="D44" s="84"/>
      <c r="E44" s="104"/>
      <c r="F44" s="105" t="s">
        <v>2219</v>
      </c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>
        <f>SUM(T26:T43)</f>
        <v>571101.05000000005</v>
      </c>
      <c r="U44" s="106">
        <f t="shared" ref="U44:CF44" si="4">SUM(U26:U43)</f>
        <v>23956.190000000002</v>
      </c>
      <c r="V44" s="106">
        <f t="shared" si="4"/>
        <v>0</v>
      </c>
      <c r="W44" s="106">
        <f t="shared" si="4"/>
        <v>0</v>
      </c>
      <c r="X44" s="106">
        <f t="shared" si="4"/>
        <v>23.43</v>
      </c>
      <c r="Y44" s="106">
        <f t="shared" si="4"/>
        <v>0</v>
      </c>
      <c r="Z44" s="106">
        <f t="shared" si="4"/>
        <v>0</v>
      </c>
      <c r="AA44" s="106">
        <f t="shared" si="4"/>
        <v>0</v>
      </c>
      <c r="AB44" s="106">
        <f t="shared" si="4"/>
        <v>0</v>
      </c>
      <c r="AC44" s="106">
        <f t="shared" si="4"/>
        <v>0</v>
      </c>
      <c r="AD44" s="106">
        <f t="shared" si="4"/>
        <v>18792.27</v>
      </c>
      <c r="AE44" s="106">
        <f t="shared" si="4"/>
        <v>0</v>
      </c>
      <c r="AF44" s="106">
        <f t="shared" si="4"/>
        <v>0</v>
      </c>
      <c r="AG44" s="106">
        <f t="shared" si="4"/>
        <v>0</v>
      </c>
      <c r="AH44" s="106">
        <f t="shared" si="4"/>
        <v>0</v>
      </c>
      <c r="AI44" s="106">
        <f t="shared" si="4"/>
        <v>0</v>
      </c>
      <c r="AJ44" s="106">
        <f t="shared" si="4"/>
        <v>0</v>
      </c>
      <c r="AK44" s="106">
        <f t="shared" si="4"/>
        <v>0</v>
      </c>
      <c r="AL44" s="106">
        <f t="shared" si="4"/>
        <v>0</v>
      </c>
      <c r="AM44" s="106">
        <f t="shared" si="4"/>
        <v>0</v>
      </c>
      <c r="AN44" s="106">
        <f t="shared" si="4"/>
        <v>0</v>
      </c>
      <c r="AO44" s="106">
        <f t="shared" si="4"/>
        <v>0</v>
      </c>
      <c r="AP44" s="106">
        <f t="shared" si="4"/>
        <v>0</v>
      </c>
      <c r="AQ44" s="106">
        <f t="shared" si="4"/>
        <v>0</v>
      </c>
      <c r="AR44" s="106">
        <f t="shared" si="4"/>
        <v>0</v>
      </c>
      <c r="AS44" s="106">
        <f t="shared" si="4"/>
        <v>613872.94000000006</v>
      </c>
      <c r="AT44" s="106">
        <f t="shared" si="4"/>
        <v>613872.94000000006</v>
      </c>
      <c r="AU44" s="106">
        <f t="shared" si="4"/>
        <v>0</v>
      </c>
      <c r="AV44" s="106">
        <f t="shared" si="4"/>
        <v>0</v>
      </c>
      <c r="AW44" s="106">
        <f t="shared" si="4"/>
        <v>0</v>
      </c>
      <c r="AX44" s="106">
        <f t="shared" si="4"/>
        <v>0</v>
      </c>
      <c r="AY44" s="106">
        <f t="shared" si="4"/>
        <v>0</v>
      </c>
      <c r="AZ44" s="106">
        <f t="shared" si="4"/>
        <v>0</v>
      </c>
      <c r="BA44" s="106">
        <f t="shared" si="4"/>
        <v>0</v>
      </c>
      <c r="BB44" s="106">
        <f t="shared" si="4"/>
        <v>0</v>
      </c>
      <c r="BC44" s="106">
        <f t="shared" si="4"/>
        <v>0</v>
      </c>
      <c r="BD44" s="106">
        <f t="shared" si="4"/>
        <v>0</v>
      </c>
      <c r="BE44" s="106">
        <f t="shared" si="4"/>
        <v>0</v>
      </c>
      <c r="BF44" s="106">
        <f t="shared" si="4"/>
        <v>0</v>
      </c>
      <c r="BG44" s="106">
        <f t="shared" si="4"/>
        <v>0</v>
      </c>
      <c r="BH44" s="106">
        <f t="shared" si="4"/>
        <v>0</v>
      </c>
      <c r="BI44" s="106">
        <f t="shared" si="4"/>
        <v>0</v>
      </c>
      <c r="BJ44" s="106">
        <f t="shared" si="4"/>
        <v>0</v>
      </c>
      <c r="BK44" s="106">
        <f t="shared" si="4"/>
        <v>0</v>
      </c>
      <c r="BL44" s="106">
        <f t="shared" si="4"/>
        <v>0</v>
      </c>
      <c r="BM44" s="106">
        <f t="shared" si="4"/>
        <v>0</v>
      </c>
      <c r="BN44" s="106">
        <f t="shared" si="4"/>
        <v>0</v>
      </c>
      <c r="BO44" s="106">
        <f t="shared" si="4"/>
        <v>0</v>
      </c>
      <c r="BP44" s="106">
        <f t="shared" si="4"/>
        <v>0</v>
      </c>
      <c r="BQ44" s="106">
        <f t="shared" si="4"/>
        <v>0</v>
      </c>
      <c r="BR44" s="106">
        <f t="shared" si="4"/>
        <v>0</v>
      </c>
      <c r="BS44" s="106">
        <f t="shared" si="4"/>
        <v>0</v>
      </c>
      <c r="BT44" s="106">
        <f t="shared" si="4"/>
        <v>0</v>
      </c>
      <c r="BU44" s="106">
        <f t="shared" si="4"/>
        <v>0</v>
      </c>
      <c r="BV44" s="106">
        <f t="shared" si="4"/>
        <v>0</v>
      </c>
      <c r="BW44" s="106">
        <f t="shared" si="4"/>
        <v>0</v>
      </c>
      <c r="BX44" s="106">
        <f t="shared" si="4"/>
        <v>0</v>
      </c>
      <c r="BY44" s="106">
        <f t="shared" si="4"/>
        <v>0</v>
      </c>
      <c r="BZ44" s="106">
        <f t="shared" si="4"/>
        <v>0</v>
      </c>
      <c r="CA44" s="106">
        <f t="shared" si="4"/>
        <v>0</v>
      </c>
      <c r="CB44" s="106">
        <f t="shared" si="4"/>
        <v>0</v>
      </c>
      <c r="CC44" s="106">
        <f t="shared" si="4"/>
        <v>0</v>
      </c>
      <c r="CD44" s="106">
        <f t="shared" si="4"/>
        <v>0</v>
      </c>
      <c r="CE44" s="106">
        <f t="shared" si="4"/>
        <v>613872.94000000006</v>
      </c>
      <c r="CF44" s="106">
        <f t="shared" si="4"/>
        <v>0</v>
      </c>
      <c r="CG44" s="106"/>
      <c r="CH44" s="67"/>
      <c r="CI44" s="106">
        <f t="shared" ref="CI44:CO44" si="5">SUM(CI26:CI43)</f>
        <v>0</v>
      </c>
      <c r="CJ44" s="106">
        <f t="shared" si="5"/>
        <v>0</v>
      </c>
      <c r="CK44" s="106">
        <f t="shared" si="5"/>
        <v>0</v>
      </c>
      <c r="CL44" s="106">
        <f t="shared" si="5"/>
        <v>0</v>
      </c>
      <c r="CM44" s="106">
        <f t="shared" si="5"/>
        <v>0</v>
      </c>
      <c r="CN44" s="106">
        <f t="shared" si="5"/>
        <v>0</v>
      </c>
      <c r="CO44" s="106">
        <f t="shared" si="5"/>
        <v>0</v>
      </c>
    </row>
    <row r="45" spans="3:93" ht="18.75" x14ac:dyDescent="0.25">
      <c r="C45" s="70">
        <v>10525</v>
      </c>
      <c r="D45" s="70">
        <v>6106</v>
      </c>
      <c r="E45" s="103" t="s">
        <v>119</v>
      </c>
      <c r="F45" s="72" t="s">
        <v>2220</v>
      </c>
      <c r="H45" s="73">
        <v>390</v>
      </c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94">
        <f t="shared" si="0"/>
        <v>390</v>
      </c>
      <c r="AT45" s="73">
        <v>378.78</v>
      </c>
      <c r="AU45" s="73">
        <f>1.5+9.72</f>
        <v>11.22</v>
      </c>
      <c r="AV45" s="73"/>
      <c r="AW45" s="73"/>
      <c r="AX45" s="73"/>
      <c r="AY45" s="73"/>
      <c r="AZ45" s="73"/>
      <c r="BA45" s="73"/>
      <c r="BB45" s="73"/>
      <c r="BC45" s="73"/>
      <c r="BD45" s="69"/>
      <c r="BE45" s="69"/>
      <c r="CE45" s="94">
        <f t="shared" ref="CE45:CE76" si="6">SUM(AT45:CD45)</f>
        <v>390</v>
      </c>
      <c r="CF45" s="73">
        <f t="shared" ref="CF45:CF108" si="7">+CE45-AS45</f>
        <v>0</v>
      </c>
      <c r="CG45" s="75">
        <f t="shared" si="3"/>
        <v>6106</v>
      </c>
      <c r="CH45" s="75" t="str">
        <f t="shared" si="3"/>
        <v>خ ت صيدلة</v>
      </c>
    </row>
    <row r="46" spans="3:93" ht="18.75" x14ac:dyDescent="0.25">
      <c r="C46" s="70">
        <v>10524</v>
      </c>
      <c r="D46" s="70">
        <v>6107</v>
      </c>
      <c r="E46" s="103" t="s">
        <v>119</v>
      </c>
      <c r="F46" s="72" t="s">
        <v>2221</v>
      </c>
      <c r="H46" s="73">
        <v>736.4</v>
      </c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94">
        <f t="shared" si="0"/>
        <v>736.4</v>
      </c>
      <c r="AT46" s="73">
        <v>497.07</v>
      </c>
      <c r="AU46" s="73">
        <v>27.23</v>
      </c>
      <c r="AV46" s="73">
        <v>180.8</v>
      </c>
      <c r="AW46" s="73">
        <v>31.3</v>
      </c>
      <c r="AX46" s="73"/>
      <c r="AY46" s="73"/>
      <c r="AZ46" s="73"/>
      <c r="BA46" s="73"/>
      <c r="BB46" s="73"/>
      <c r="BC46" s="73"/>
      <c r="BD46" s="69"/>
      <c r="BE46" s="69"/>
      <c r="CE46" s="94">
        <f t="shared" si="6"/>
        <v>736.39999999999986</v>
      </c>
      <c r="CF46" s="73">
        <f t="shared" si="7"/>
        <v>0</v>
      </c>
      <c r="CG46" s="75">
        <f t="shared" si="3"/>
        <v>6107</v>
      </c>
      <c r="CH46" s="75" t="str">
        <f t="shared" si="3"/>
        <v>خ ت صيدلة</v>
      </c>
    </row>
    <row r="47" spans="3:93" ht="18.75" x14ac:dyDescent="0.25">
      <c r="C47" s="70">
        <v>10527</v>
      </c>
      <c r="D47" s="70">
        <v>6108</v>
      </c>
      <c r="E47" s="103" t="s">
        <v>119</v>
      </c>
      <c r="F47" s="72" t="str">
        <f>+F45</f>
        <v>مكافاه اعمال نظافه سبتمبر</v>
      </c>
      <c r="H47" s="73">
        <v>304.83999999999997</v>
      </c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94">
        <f t="shared" si="0"/>
        <v>304.83999999999997</v>
      </c>
      <c r="AT47" s="73">
        <v>195.84</v>
      </c>
      <c r="AU47" s="73">
        <v>22.56</v>
      </c>
      <c r="AV47" s="73">
        <v>73.44</v>
      </c>
      <c r="AW47" s="73">
        <v>13</v>
      </c>
      <c r="AX47" s="73"/>
      <c r="AY47" s="73"/>
      <c r="AZ47" s="73"/>
      <c r="BA47" s="73"/>
      <c r="BB47" s="73"/>
      <c r="BC47" s="73"/>
      <c r="BD47" s="69"/>
      <c r="BE47" s="69"/>
      <c r="CE47" s="94">
        <f t="shared" si="6"/>
        <v>304.84000000000003</v>
      </c>
      <c r="CF47" s="73">
        <f t="shared" si="7"/>
        <v>0</v>
      </c>
      <c r="CG47" s="75">
        <f t="shared" si="3"/>
        <v>6108</v>
      </c>
      <c r="CH47" s="75" t="str">
        <f t="shared" si="3"/>
        <v>خ ت صيدلة</v>
      </c>
    </row>
    <row r="48" spans="3:93" ht="18.75" x14ac:dyDescent="0.25">
      <c r="C48" s="70">
        <v>10526</v>
      </c>
      <c r="D48" s="70">
        <v>6109</v>
      </c>
      <c r="E48" s="103" t="s">
        <v>119</v>
      </c>
      <c r="F48" s="72" t="str">
        <f>+F47</f>
        <v>مكافاه اعمال نظافه سبتمبر</v>
      </c>
      <c r="H48" s="73">
        <v>644.86</v>
      </c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94">
        <f t="shared" si="0"/>
        <v>644.86</v>
      </c>
      <c r="AT48" s="73">
        <v>407.07</v>
      </c>
      <c r="AU48" s="73">
        <v>54.93</v>
      </c>
      <c r="AV48" s="73">
        <v>155.36000000000001</v>
      </c>
      <c r="AW48" s="73">
        <v>27.5</v>
      </c>
      <c r="AX48" s="73"/>
      <c r="AY48" s="73"/>
      <c r="AZ48" s="73"/>
      <c r="BA48" s="73"/>
      <c r="BB48" s="73"/>
      <c r="BC48" s="73"/>
      <c r="BD48" s="69"/>
      <c r="BE48" s="69"/>
      <c r="CE48" s="94">
        <f t="shared" si="6"/>
        <v>644.86</v>
      </c>
      <c r="CF48" s="73">
        <f t="shared" si="7"/>
        <v>0</v>
      </c>
      <c r="CG48" s="75">
        <f t="shared" si="3"/>
        <v>6109</v>
      </c>
      <c r="CH48" s="75" t="str">
        <f t="shared" si="3"/>
        <v>خ ت صيدلة</v>
      </c>
    </row>
    <row r="49" spans="2:86" ht="18.75" x14ac:dyDescent="0.25">
      <c r="C49" s="70">
        <v>10523</v>
      </c>
      <c r="D49" s="70">
        <v>6110</v>
      </c>
      <c r="E49" s="103" t="s">
        <v>119</v>
      </c>
      <c r="F49" s="72" t="str">
        <f>+F46</f>
        <v>مكافاه خ ت سبتمبر</v>
      </c>
      <c r="H49" s="73">
        <v>140.69999999999999</v>
      </c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94">
        <f t="shared" si="0"/>
        <v>140.69999999999999</v>
      </c>
      <c r="AT49" s="73">
        <v>95.76</v>
      </c>
      <c r="AU49" s="73">
        <v>5.04</v>
      </c>
      <c r="AV49" s="73">
        <v>33.9</v>
      </c>
      <c r="AW49" s="73">
        <v>6</v>
      </c>
      <c r="AX49" s="73"/>
      <c r="AY49" s="73"/>
      <c r="AZ49" s="73"/>
      <c r="BA49" s="73"/>
      <c r="BB49" s="73"/>
      <c r="BC49" s="73"/>
      <c r="BD49" s="69"/>
      <c r="BE49" s="69"/>
      <c r="CE49" s="94">
        <f t="shared" si="6"/>
        <v>140.70000000000002</v>
      </c>
      <c r="CF49" s="73">
        <f t="shared" si="7"/>
        <v>0</v>
      </c>
      <c r="CG49" s="75">
        <f t="shared" si="3"/>
        <v>6110</v>
      </c>
      <c r="CH49" s="75" t="str">
        <f t="shared" si="3"/>
        <v>خ ت صيدلة</v>
      </c>
    </row>
    <row r="50" spans="2:86" ht="18.75" x14ac:dyDescent="0.25">
      <c r="C50" s="70">
        <v>10521</v>
      </c>
      <c r="D50" s="70">
        <v>6111</v>
      </c>
      <c r="E50" s="103" t="s">
        <v>119</v>
      </c>
      <c r="F50" s="72" t="str">
        <f>+F49</f>
        <v>مكافاه خ ت سبتمبر</v>
      </c>
      <c r="H50" s="73">
        <v>46.9</v>
      </c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94">
        <f t="shared" si="0"/>
        <v>46.9</v>
      </c>
      <c r="AT50" s="73">
        <v>30.24</v>
      </c>
      <c r="AU50" s="73">
        <v>3.36</v>
      </c>
      <c r="AV50" s="73">
        <v>11.3</v>
      </c>
      <c r="AW50" s="73">
        <v>2</v>
      </c>
      <c r="AX50" s="73"/>
      <c r="AY50" s="73"/>
      <c r="AZ50" s="73"/>
      <c r="BA50" s="73"/>
      <c r="BB50" s="73"/>
      <c r="BC50" s="73"/>
      <c r="BD50" s="69"/>
      <c r="BE50" s="69"/>
      <c r="CE50" s="94">
        <f t="shared" si="6"/>
        <v>46.900000000000006</v>
      </c>
      <c r="CF50" s="73">
        <f t="shared" si="7"/>
        <v>0</v>
      </c>
      <c r="CG50" s="75">
        <f t="shared" si="3"/>
        <v>6111</v>
      </c>
      <c r="CH50" s="75" t="str">
        <f t="shared" si="3"/>
        <v>خ ت صيدلة</v>
      </c>
    </row>
    <row r="51" spans="2:86" ht="18.75" x14ac:dyDescent="0.25">
      <c r="C51" s="70">
        <v>10522</v>
      </c>
      <c r="D51" s="70">
        <v>6112</v>
      </c>
      <c r="E51" s="103" t="s">
        <v>119</v>
      </c>
      <c r="F51" s="72" t="str">
        <f>+F50</f>
        <v>مكافاه خ ت سبتمبر</v>
      </c>
      <c r="H51" s="73">
        <v>861.81</v>
      </c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94">
        <f t="shared" si="0"/>
        <v>861.81</v>
      </c>
      <c r="AT51" s="73">
        <v>520.80999999999995</v>
      </c>
      <c r="AU51" s="73">
        <v>96.59</v>
      </c>
      <c r="AV51" s="73">
        <v>207.66</v>
      </c>
      <c r="AW51" s="73">
        <v>36.75</v>
      </c>
      <c r="AX51" s="73"/>
      <c r="AY51" s="73"/>
      <c r="AZ51" s="73"/>
      <c r="BA51" s="73"/>
      <c r="BB51" s="73"/>
      <c r="BC51" s="73"/>
      <c r="BD51" s="69"/>
      <c r="BE51" s="69"/>
      <c r="CE51" s="94">
        <f t="shared" si="6"/>
        <v>861.81</v>
      </c>
      <c r="CF51" s="73">
        <f t="shared" si="7"/>
        <v>0</v>
      </c>
      <c r="CG51" s="75">
        <f t="shared" si="3"/>
        <v>6112</v>
      </c>
      <c r="CH51" s="75" t="str">
        <f t="shared" si="3"/>
        <v>خ ت صيدلة</v>
      </c>
    </row>
    <row r="52" spans="2:86" ht="18.75" x14ac:dyDescent="0.25">
      <c r="C52" s="70">
        <v>10749</v>
      </c>
      <c r="D52" s="70">
        <v>6113</v>
      </c>
      <c r="E52" s="103" t="s">
        <v>119</v>
      </c>
      <c r="F52" s="72" t="s">
        <v>2222</v>
      </c>
      <c r="H52" s="73">
        <v>351.75</v>
      </c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94">
        <f t="shared" si="0"/>
        <v>351.75</v>
      </c>
      <c r="AT52" s="73">
        <v>200.44</v>
      </c>
      <c r="AU52" s="73">
        <v>51.56</v>
      </c>
      <c r="AV52" s="73">
        <v>84.75</v>
      </c>
      <c r="AW52" s="73">
        <v>15</v>
      </c>
      <c r="AX52" s="73"/>
      <c r="AY52" s="73"/>
      <c r="AZ52" s="73"/>
      <c r="BA52" s="73"/>
      <c r="BB52" s="73"/>
      <c r="BC52" s="73"/>
      <c r="BD52" s="69"/>
      <c r="BE52" s="69"/>
      <c r="CE52" s="94">
        <f t="shared" si="6"/>
        <v>351.75</v>
      </c>
      <c r="CF52" s="73">
        <f t="shared" si="7"/>
        <v>0</v>
      </c>
      <c r="CG52" s="75">
        <f t="shared" si="3"/>
        <v>6113</v>
      </c>
      <c r="CH52" s="75" t="str">
        <f t="shared" si="3"/>
        <v>خ ت صيدلة</v>
      </c>
    </row>
    <row r="53" spans="2:86" ht="33" customHeight="1" x14ac:dyDescent="0.25">
      <c r="B53" s="77"/>
      <c r="C53" s="78">
        <v>10784</v>
      </c>
      <c r="D53" s="70">
        <v>6114</v>
      </c>
      <c r="E53" s="103" t="s">
        <v>78</v>
      </c>
      <c r="F53" s="79" t="s">
        <v>2054</v>
      </c>
      <c r="H53" s="73">
        <v>12750</v>
      </c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94">
        <f t="shared" si="0"/>
        <v>12750</v>
      </c>
      <c r="AT53" s="73">
        <v>11375.65</v>
      </c>
      <c r="AU53" s="73">
        <v>1374.35</v>
      </c>
      <c r="AV53" s="73"/>
      <c r="AW53" s="73"/>
      <c r="AX53" s="73"/>
      <c r="AY53" s="73"/>
      <c r="AZ53" s="73"/>
      <c r="BA53" s="73"/>
      <c r="BB53" s="73"/>
      <c r="BC53" s="73"/>
      <c r="BD53" s="69"/>
      <c r="BE53" s="69"/>
      <c r="CE53" s="94">
        <f t="shared" si="6"/>
        <v>12750</v>
      </c>
      <c r="CF53" s="73">
        <f t="shared" si="7"/>
        <v>0</v>
      </c>
      <c r="CG53" s="75">
        <f t="shared" si="3"/>
        <v>6114</v>
      </c>
      <c r="CH53" s="75" t="str">
        <f t="shared" si="3"/>
        <v>برنامج دولى</v>
      </c>
    </row>
    <row r="54" spans="2:86" ht="18.75" x14ac:dyDescent="0.25">
      <c r="C54" s="70">
        <v>10763</v>
      </c>
      <c r="D54" s="70">
        <v>6115</v>
      </c>
      <c r="E54" s="103" t="s">
        <v>78</v>
      </c>
      <c r="F54" s="72" t="s">
        <v>1228</v>
      </c>
      <c r="H54" s="73">
        <v>2579.5</v>
      </c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94">
        <f t="shared" si="0"/>
        <v>2579.5</v>
      </c>
      <c r="AT54" s="73">
        <v>1724</v>
      </c>
      <c r="AU54" s="73">
        <v>234</v>
      </c>
      <c r="AV54" s="73">
        <v>621.5</v>
      </c>
      <c r="AW54" s="73"/>
      <c r="AX54" s="73"/>
      <c r="AY54" s="73"/>
      <c r="AZ54" s="73"/>
      <c r="BA54" s="73"/>
      <c r="BB54" s="73"/>
      <c r="BC54" s="73"/>
      <c r="BD54" s="69"/>
      <c r="BE54" s="69"/>
      <c r="CE54" s="94">
        <f t="shared" si="6"/>
        <v>2579.5</v>
      </c>
      <c r="CF54" s="73">
        <f t="shared" si="7"/>
        <v>0</v>
      </c>
      <c r="CG54" s="75">
        <f t="shared" si="3"/>
        <v>6115</v>
      </c>
      <c r="CH54" s="75" t="str">
        <f t="shared" si="3"/>
        <v>برنامج دولى</v>
      </c>
    </row>
    <row r="55" spans="2:86" ht="18.75" x14ac:dyDescent="0.25">
      <c r="C55" s="70">
        <v>10762</v>
      </c>
      <c r="D55" s="70">
        <v>6116</v>
      </c>
      <c r="E55" s="103" t="s">
        <v>78</v>
      </c>
      <c r="F55" s="72" t="s">
        <v>1228</v>
      </c>
      <c r="H55" s="73">
        <v>1113.8800000000001</v>
      </c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94">
        <f t="shared" si="0"/>
        <v>1113.8800000000001</v>
      </c>
      <c r="AT55" s="73">
        <v>744.9</v>
      </c>
      <c r="AU55" s="73">
        <v>100.6</v>
      </c>
      <c r="AV55" s="73">
        <v>268.38</v>
      </c>
      <c r="AW55" s="73"/>
      <c r="AX55" s="73"/>
      <c r="AY55" s="73"/>
      <c r="AZ55" s="73"/>
      <c r="BA55" s="73"/>
      <c r="BB55" s="73"/>
      <c r="BC55" s="73"/>
      <c r="BD55" s="69"/>
      <c r="BE55" s="69"/>
      <c r="CE55" s="94">
        <f t="shared" si="6"/>
        <v>1113.8800000000001</v>
      </c>
      <c r="CF55" s="73">
        <f t="shared" si="7"/>
        <v>0</v>
      </c>
      <c r="CG55" s="75">
        <f t="shared" si="3"/>
        <v>6116</v>
      </c>
      <c r="CH55" s="75" t="str">
        <f t="shared" si="3"/>
        <v>برنامج دولى</v>
      </c>
    </row>
    <row r="56" spans="2:86" ht="18.75" x14ac:dyDescent="0.25">
      <c r="C56" s="70">
        <v>10761</v>
      </c>
      <c r="D56" s="70">
        <v>6117</v>
      </c>
      <c r="E56" s="103" t="s">
        <v>78</v>
      </c>
      <c r="F56" s="72" t="s">
        <v>1228</v>
      </c>
      <c r="H56" s="73">
        <v>3693.38</v>
      </c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3"/>
      <c r="AS56" s="94">
        <f t="shared" si="0"/>
        <v>3693.38</v>
      </c>
      <c r="AT56" s="73">
        <v>2468.9</v>
      </c>
      <c r="AU56" s="73">
        <v>334.6</v>
      </c>
      <c r="AV56" s="73">
        <v>889.88</v>
      </c>
      <c r="AW56" s="73"/>
      <c r="AX56" s="73"/>
      <c r="AY56" s="73"/>
      <c r="AZ56" s="73"/>
      <c r="BA56" s="73"/>
      <c r="BB56" s="73"/>
      <c r="BC56" s="73"/>
      <c r="BD56" s="69"/>
      <c r="BE56" s="69"/>
      <c r="CE56" s="94">
        <f t="shared" si="6"/>
        <v>3693.38</v>
      </c>
      <c r="CF56" s="73">
        <f t="shared" si="7"/>
        <v>0</v>
      </c>
      <c r="CG56" s="75">
        <f t="shared" si="3"/>
        <v>6117</v>
      </c>
      <c r="CH56" s="75" t="str">
        <f t="shared" si="3"/>
        <v>برنامج دولى</v>
      </c>
    </row>
    <row r="57" spans="2:86" ht="18.75" x14ac:dyDescent="0.25">
      <c r="C57" s="70">
        <v>10760</v>
      </c>
      <c r="D57" s="70">
        <v>6118</v>
      </c>
      <c r="E57" s="103" t="s">
        <v>78</v>
      </c>
      <c r="F57" s="72" t="s">
        <v>2223</v>
      </c>
      <c r="H57" s="73">
        <v>1289.75</v>
      </c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94">
        <f t="shared" si="0"/>
        <v>1289.75</v>
      </c>
      <c r="AT57" s="73">
        <v>861.1</v>
      </c>
      <c r="AU57" s="73">
        <f>7.9+110</f>
        <v>117.9</v>
      </c>
      <c r="AV57" s="73">
        <v>310.75</v>
      </c>
      <c r="AW57" s="73"/>
      <c r="AX57" s="73"/>
      <c r="AY57" s="73"/>
      <c r="AZ57" s="73"/>
      <c r="BA57" s="73"/>
      <c r="BB57" s="73"/>
      <c r="BC57" s="73"/>
      <c r="BD57" s="69"/>
      <c r="BE57" s="69"/>
      <c r="CE57" s="94">
        <f t="shared" si="6"/>
        <v>1289.75</v>
      </c>
      <c r="CF57" s="73">
        <f t="shared" si="7"/>
        <v>0</v>
      </c>
      <c r="CG57" s="75">
        <f t="shared" si="3"/>
        <v>6118</v>
      </c>
      <c r="CH57" s="75" t="str">
        <f t="shared" si="3"/>
        <v>برنامج دولى</v>
      </c>
    </row>
    <row r="58" spans="2:86" ht="18.75" x14ac:dyDescent="0.25">
      <c r="C58" s="70">
        <v>10759</v>
      </c>
      <c r="D58" s="70">
        <v>6119</v>
      </c>
      <c r="E58" s="103" t="s">
        <v>78</v>
      </c>
      <c r="F58" s="72" t="str">
        <f>+F56</f>
        <v>مكافاه بعد المواعيد مكتب العميد</v>
      </c>
      <c r="H58" s="73">
        <v>500</v>
      </c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3"/>
      <c r="AS58" s="94">
        <f t="shared" si="0"/>
        <v>500</v>
      </c>
      <c r="AT58" s="73">
        <v>447.05</v>
      </c>
      <c r="AU58" s="73">
        <v>52.95</v>
      </c>
      <c r="AV58" s="73"/>
      <c r="AW58" s="73"/>
      <c r="AX58" s="73"/>
      <c r="AY58" s="73"/>
      <c r="AZ58" s="73"/>
      <c r="BA58" s="73"/>
      <c r="BB58" s="73"/>
      <c r="BC58" s="73"/>
      <c r="BD58" s="69"/>
      <c r="BE58" s="69"/>
      <c r="CE58" s="94">
        <f t="shared" si="6"/>
        <v>500</v>
      </c>
      <c r="CF58" s="73">
        <f t="shared" si="7"/>
        <v>0</v>
      </c>
      <c r="CG58" s="75">
        <f t="shared" si="3"/>
        <v>6119</v>
      </c>
      <c r="CH58" s="75" t="str">
        <f t="shared" si="3"/>
        <v>برنامج دولى</v>
      </c>
    </row>
    <row r="59" spans="2:86" ht="18.75" x14ac:dyDescent="0.25">
      <c r="C59" s="70">
        <v>10758</v>
      </c>
      <c r="D59" s="70">
        <v>6120</v>
      </c>
      <c r="E59" s="103" t="s">
        <v>78</v>
      </c>
      <c r="F59" s="72" t="s">
        <v>1520</v>
      </c>
      <c r="H59" s="73">
        <v>1524.25</v>
      </c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94">
        <f t="shared" si="0"/>
        <v>1524.25</v>
      </c>
      <c r="AT59" s="73">
        <v>1019.55</v>
      </c>
      <c r="AU59" s="73">
        <v>137.44999999999999</v>
      </c>
      <c r="AV59" s="73">
        <v>367.25</v>
      </c>
      <c r="AW59" s="73"/>
      <c r="AX59" s="73"/>
      <c r="AY59" s="73"/>
      <c r="AZ59" s="73"/>
      <c r="BA59" s="73"/>
      <c r="BB59" s="73"/>
      <c r="BC59" s="73"/>
      <c r="BD59" s="69"/>
      <c r="BE59" s="69"/>
      <c r="CE59" s="94">
        <f t="shared" si="6"/>
        <v>1524.25</v>
      </c>
      <c r="CF59" s="73">
        <f t="shared" si="7"/>
        <v>0</v>
      </c>
      <c r="CG59" s="75">
        <f t="shared" si="3"/>
        <v>6120</v>
      </c>
      <c r="CH59" s="75" t="str">
        <f t="shared" si="3"/>
        <v>برنامج دولى</v>
      </c>
    </row>
    <row r="60" spans="2:86" ht="18.75" x14ac:dyDescent="0.25">
      <c r="C60" s="70">
        <v>10757</v>
      </c>
      <c r="D60" s="70">
        <v>6121</v>
      </c>
      <c r="E60" s="103" t="s">
        <v>78</v>
      </c>
      <c r="F60" s="72" t="s">
        <v>2224</v>
      </c>
      <c r="H60" s="73">
        <v>1465.62</v>
      </c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94">
        <f t="shared" si="0"/>
        <v>1465.62</v>
      </c>
      <c r="AT60" s="73">
        <v>979.5</v>
      </c>
      <c r="AU60" s="73">
        <v>133</v>
      </c>
      <c r="AV60" s="73">
        <v>353.12</v>
      </c>
      <c r="AW60" s="73"/>
      <c r="AX60" s="73"/>
      <c r="AY60" s="73"/>
      <c r="AZ60" s="73"/>
      <c r="BA60" s="73"/>
      <c r="BB60" s="73"/>
      <c r="BC60" s="73"/>
      <c r="BD60" s="69"/>
      <c r="BE60" s="69"/>
      <c r="CE60" s="94">
        <f t="shared" si="6"/>
        <v>1465.62</v>
      </c>
      <c r="CF60" s="73">
        <f t="shared" si="7"/>
        <v>0</v>
      </c>
      <c r="CG60" s="75">
        <f t="shared" si="3"/>
        <v>6121</v>
      </c>
      <c r="CH60" s="75" t="str">
        <f t="shared" si="3"/>
        <v>برنامج دولى</v>
      </c>
    </row>
    <row r="61" spans="2:86" ht="18.75" x14ac:dyDescent="0.25">
      <c r="C61" s="70">
        <v>10756</v>
      </c>
      <c r="D61" s="70">
        <v>6122</v>
      </c>
      <c r="E61" s="103" t="s">
        <v>78</v>
      </c>
      <c r="F61" s="72" t="s">
        <v>2224</v>
      </c>
      <c r="H61" s="73">
        <v>1465.62</v>
      </c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3"/>
      <c r="AS61" s="94">
        <f t="shared" si="0"/>
        <v>1465.62</v>
      </c>
      <c r="AT61" s="73">
        <v>979.5</v>
      </c>
      <c r="AU61" s="73">
        <v>133</v>
      </c>
      <c r="AV61" s="73">
        <v>353.12</v>
      </c>
      <c r="AW61" s="73"/>
      <c r="AX61" s="73"/>
      <c r="AY61" s="73"/>
      <c r="AZ61" s="73"/>
      <c r="BA61" s="73"/>
      <c r="BB61" s="73"/>
      <c r="BC61" s="73"/>
      <c r="BD61" s="69"/>
      <c r="BE61" s="69"/>
      <c r="CE61" s="94">
        <f t="shared" si="6"/>
        <v>1465.62</v>
      </c>
      <c r="CF61" s="73">
        <f t="shared" si="7"/>
        <v>0</v>
      </c>
      <c r="CG61" s="75">
        <f t="shared" si="3"/>
        <v>6122</v>
      </c>
      <c r="CH61" s="75" t="str">
        <f t="shared" si="3"/>
        <v>برنامج دولى</v>
      </c>
    </row>
    <row r="62" spans="2:86" ht="18.75" x14ac:dyDescent="0.25">
      <c r="C62" s="70">
        <v>10755</v>
      </c>
      <c r="D62" s="70">
        <v>6123</v>
      </c>
      <c r="E62" s="103" t="s">
        <v>78</v>
      </c>
      <c r="F62" s="72" t="s">
        <v>2224</v>
      </c>
      <c r="H62" s="73">
        <v>1465.62</v>
      </c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3"/>
      <c r="AS62" s="94">
        <f t="shared" si="0"/>
        <v>1465.62</v>
      </c>
      <c r="AT62" s="73">
        <v>979.5</v>
      </c>
      <c r="AU62" s="73">
        <v>133</v>
      </c>
      <c r="AV62" s="73">
        <v>353.12</v>
      </c>
      <c r="AW62" s="73"/>
      <c r="AX62" s="73"/>
      <c r="AY62" s="73"/>
      <c r="AZ62" s="73"/>
      <c r="BA62" s="73"/>
      <c r="BB62" s="73"/>
      <c r="BC62" s="73"/>
      <c r="BD62" s="69"/>
      <c r="BE62" s="69"/>
      <c r="CE62" s="94">
        <f t="shared" si="6"/>
        <v>1465.62</v>
      </c>
      <c r="CF62" s="73">
        <f t="shared" si="7"/>
        <v>0</v>
      </c>
      <c r="CG62" s="75">
        <f t="shared" si="3"/>
        <v>6123</v>
      </c>
      <c r="CH62" s="75" t="str">
        <f t="shared" si="3"/>
        <v>برنامج دولى</v>
      </c>
    </row>
    <row r="63" spans="2:86" ht="18.75" x14ac:dyDescent="0.25">
      <c r="C63" s="70">
        <v>10754</v>
      </c>
      <c r="D63" s="70">
        <v>6124</v>
      </c>
      <c r="E63" s="103" t="s">
        <v>78</v>
      </c>
      <c r="F63" s="72" t="s">
        <v>2225</v>
      </c>
      <c r="H63" s="73">
        <v>469</v>
      </c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  <c r="AS63" s="94">
        <f t="shared" si="0"/>
        <v>469</v>
      </c>
      <c r="AT63" s="73">
        <v>313.7</v>
      </c>
      <c r="AU63" s="73">
        <f>2.3+40</f>
        <v>42.3</v>
      </c>
      <c r="AV63" s="73">
        <v>113</v>
      </c>
      <c r="AW63" s="73"/>
      <c r="AX63" s="73"/>
      <c r="AY63" s="73"/>
      <c r="AZ63" s="73"/>
      <c r="BA63" s="73"/>
      <c r="BB63" s="73"/>
      <c r="BC63" s="73"/>
      <c r="BD63" s="69"/>
      <c r="BE63" s="69"/>
      <c r="CE63" s="94">
        <f t="shared" si="6"/>
        <v>469</v>
      </c>
      <c r="CF63" s="73">
        <f t="shared" si="7"/>
        <v>0</v>
      </c>
      <c r="CG63" s="75">
        <f t="shared" si="3"/>
        <v>6124</v>
      </c>
      <c r="CH63" s="75" t="str">
        <f t="shared" si="3"/>
        <v>برنامج دولى</v>
      </c>
    </row>
    <row r="64" spans="2:86" ht="18.75" x14ac:dyDescent="0.25">
      <c r="C64" s="70">
        <v>10753</v>
      </c>
      <c r="D64" s="70">
        <v>6125</v>
      </c>
      <c r="E64" s="103" t="s">
        <v>78</v>
      </c>
      <c r="F64" s="72" t="s">
        <v>2225</v>
      </c>
      <c r="H64" s="73">
        <v>469</v>
      </c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94">
        <f t="shared" si="0"/>
        <v>469</v>
      </c>
      <c r="AT64" s="73">
        <v>314</v>
      </c>
      <c r="AU64" s="73">
        <v>42</v>
      </c>
      <c r="AV64" s="73">
        <v>113</v>
      </c>
      <c r="AW64" s="73"/>
      <c r="AX64" s="73"/>
      <c r="AY64" s="73"/>
      <c r="AZ64" s="73"/>
      <c r="BA64" s="73"/>
      <c r="BB64" s="73"/>
      <c r="BC64" s="73"/>
      <c r="BD64" s="69"/>
      <c r="BE64" s="69"/>
      <c r="CE64" s="94">
        <f t="shared" si="6"/>
        <v>469</v>
      </c>
      <c r="CF64" s="73">
        <f t="shared" si="7"/>
        <v>0</v>
      </c>
      <c r="CG64" s="75">
        <f t="shared" si="3"/>
        <v>6125</v>
      </c>
      <c r="CH64" s="75" t="str">
        <f t="shared" si="3"/>
        <v>برنامج دولى</v>
      </c>
    </row>
    <row r="65" spans="3:86" ht="18.75" x14ac:dyDescent="0.25">
      <c r="C65" s="70">
        <v>10422</v>
      </c>
      <c r="D65" s="70">
        <v>6126</v>
      </c>
      <c r="E65" s="103" t="s">
        <v>78</v>
      </c>
      <c r="F65" s="72" t="s">
        <v>2226</v>
      </c>
      <c r="H65" s="73">
        <v>1000</v>
      </c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94">
        <f t="shared" si="0"/>
        <v>1000</v>
      </c>
      <c r="AT65" s="73">
        <v>893.35</v>
      </c>
      <c r="AU65" s="73">
        <v>106.65</v>
      </c>
      <c r="AV65" s="73"/>
      <c r="AW65" s="73"/>
      <c r="AX65" s="73"/>
      <c r="AY65" s="73"/>
      <c r="AZ65" s="73"/>
      <c r="BA65" s="73"/>
      <c r="BB65" s="73"/>
      <c r="BC65" s="73"/>
      <c r="BD65" s="69"/>
      <c r="BE65" s="69"/>
      <c r="CE65" s="94">
        <f t="shared" si="6"/>
        <v>1000</v>
      </c>
      <c r="CF65" s="73">
        <f t="shared" si="7"/>
        <v>0</v>
      </c>
      <c r="CG65" s="75">
        <f t="shared" si="3"/>
        <v>6126</v>
      </c>
      <c r="CH65" s="75" t="str">
        <f t="shared" si="3"/>
        <v>برنامج دولى</v>
      </c>
    </row>
    <row r="66" spans="3:86" ht="18.75" x14ac:dyDescent="0.25">
      <c r="C66" s="78">
        <v>10423</v>
      </c>
      <c r="D66" s="70">
        <v>6127</v>
      </c>
      <c r="E66" s="103" t="s">
        <v>78</v>
      </c>
      <c r="F66" s="72" t="s">
        <v>2226</v>
      </c>
      <c r="H66" s="73">
        <v>586.25</v>
      </c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94">
        <f t="shared" si="0"/>
        <v>586.25</v>
      </c>
      <c r="AT66" s="73">
        <v>392.4</v>
      </c>
      <c r="AU66" s="73">
        <v>52.6</v>
      </c>
      <c r="AV66" s="73">
        <v>141.25</v>
      </c>
      <c r="AW66" s="73"/>
      <c r="AX66" s="73"/>
      <c r="AY66" s="73"/>
      <c r="AZ66" s="73"/>
      <c r="BA66" s="73"/>
      <c r="BB66" s="73"/>
      <c r="BC66" s="73"/>
      <c r="BD66" s="69"/>
      <c r="BE66" s="69"/>
      <c r="CE66" s="94">
        <f t="shared" si="6"/>
        <v>586.25</v>
      </c>
      <c r="CF66" s="73">
        <f t="shared" si="7"/>
        <v>0</v>
      </c>
      <c r="CG66" s="75">
        <f t="shared" si="3"/>
        <v>6127</v>
      </c>
      <c r="CH66" s="75" t="str">
        <f t="shared" si="3"/>
        <v>برنامج دولى</v>
      </c>
    </row>
    <row r="67" spans="3:86" ht="18.75" x14ac:dyDescent="0.25">
      <c r="C67" s="78">
        <v>10424</v>
      </c>
      <c r="D67" s="70">
        <v>6128</v>
      </c>
      <c r="E67" s="103" t="s">
        <v>78</v>
      </c>
      <c r="F67" s="79" t="s">
        <v>2227</v>
      </c>
      <c r="H67" s="73">
        <v>2400</v>
      </c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94">
        <f t="shared" si="0"/>
        <v>2400</v>
      </c>
      <c r="AT67" s="73">
        <v>2142.6999999999998</v>
      </c>
      <c r="AU67" s="73">
        <v>257.3</v>
      </c>
      <c r="AV67" s="73"/>
      <c r="AW67" s="73"/>
      <c r="AX67" s="73"/>
      <c r="AY67" s="73"/>
      <c r="AZ67" s="73"/>
      <c r="BA67" s="73"/>
      <c r="BB67" s="73"/>
      <c r="BC67" s="73"/>
      <c r="BD67" s="69"/>
      <c r="BE67" s="69"/>
      <c r="CE67" s="94">
        <f t="shared" si="6"/>
        <v>2400</v>
      </c>
      <c r="CF67" s="73">
        <f t="shared" si="7"/>
        <v>0</v>
      </c>
      <c r="CG67" s="75">
        <f t="shared" si="3"/>
        <v>6128</v>
      </c>
      <c r="CH67" s="75" t="str">
        <f t="shared" si="3"/>
        <v>برنامج دولى</v>
      </c>
    </row>
    <row r="68" spans="3:86" ht="18.75" x14ac:dyDescent="0.25">
      <c r="C68" s="78">
        <v>10425</v>
      </c>
      <c r="D68" s="70">
        <v>6129</v>
      </c>
      <c r="E68" s="103" t="s">
        <v>78</v>
      </c>
      <c r="F68" s="79" t="s">
        <v>2228</v>
      </c>
      <c r="H68" s="73">
        <v>7047.8</v>
      </c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94">
        <f t="shared" si="0"/>
        <v>7047.8</v>
      </c>
      <c r="AT68" s="73">
        <v>5304.56</v>
      </c>
      <c r="AU68" s="73">
        <v>682.35</v>
      </c>
      <c r="AV68" s="73">
        <v>1060.8900000000001</v>
      </c>
      <c r="AW68" s="73"/>
      <c r="AX68" s="73"/>
      <c r="AY68" s="73"/>
      <c r="AZ68" s="73"/>
      <c r="BA68" s="73"/>
      <c r="BB68" s="73"/>
      <c r="BC68" s="73"/>
      <c r="BD68" s="69"/>
      <c r="BE68" s="69"/>
      <c r="CE68" s="94">
        <f t="shared" si="6"/>
        <v>7047.8000000000011</v>
      </c>
      <c r="CF68" s="73">
        <f t="shared" si="7"/>
        <v>0</v>
      </c>
      <c r="CG68" s="75">
        <f t="shared" si="3"/>
        <v>6129</v>
      </c>
      <c r="CH68" s="75" t="str">
        <f t="shared" si="3"/>
        <v>برنامج دولى</v>
      </c>
    </row>
    <row r="69" spans="3:86" ht="18.75" x14ac:dyDescent="0.25">
      <c r="C69" s="78">
        <v>10426</v>
      </c>
      <c r="D69" s="70">
        <v>6130</v>
      </c>
      <c r="E69" s="103" t="s">
        <v>78</v>
      </c>
      <c r="F69" s="79" t="s">
        <v>2228</v>
      </c>
      <c r="H69" s="73">
        <v>12249.73</v>
      </c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94">
        <f t="shared" si="0"/>
        <v>12249.73</v>
      </c>
      <c r="AT69" s="73">
        <v>8118.91</v>
      </c>
      <c r="AU69" s="73">
        <v>1101.55</v>
      </c>
      <c r="AV69" s="73">
        <v>3029.27</v>
      </c>
      <c r="AW69" s="73"/>
      <c r="AX69" s="73"/>
      <c r="AY69" s="73"/>
      <c r="AZ69" s="73"/>
      <c r="BA69" s="73"/>
      <c r="BB69" s="73"/>
      <c r="BC69" s="73"/>
      <c r="BD69" s="69"/>
      <c r="BE69" s="69"/>
      <c r="CE69" s="94">
        <f t="shared" si="6"/>
        <v>12249.73</v>
      </c>
      <c r="CF69" s="73">
        <f t="shared" si="7"/>
        <v>0</v>
      </c>
      <c r="CG69" s="75">
        <f t="shared" si="3"/>
        <v>6130</v>
      </c>
      <c r="CH69" s="75" t="str">
        <f t="shared" si="3"/>
        <v>برنامج دولى</v>
      </c>
    </row>
    <row r="70" spans="3:86" ht="18.75" x14ac:dyDescent="0.25">
      <c r="C70" s="78">
        <v>10427</v>
      </c>
      <c r="D70" s="70">
        <v>6131</v>
      </c>
      <c r="E70" s="103" t="s">
        <v>78</v>
      </c>
      <c r="F70" s="79" t="s">
        <v>2228</v>
      </c>
      <c r="H70" s="73">
        <v>820.75</v>
      </c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94">
        <f t="shared" si="0"/>
        <v>820.75</v>
      </c>
      <c r="AT70" s="73">
        <v>548.95000000000005</v>
      </c>
      <c r="AU70" s="73">
        <v>74.05</v>
      </c>
      <c r="AV70" s="73">
        <v>197.75</v>
      </c>
      <c r="AW70" s="73"/>
      <c r="AX70" s="73"/>
      <c r="AY70" s="73"/>
      <c r="AZ70" s="73"/>
      <c r="BA70" s="73"/>
      <c r="BB70" s="73"/>
      <c r="BC70" s="73"/>
      <c r="BD70" s="69"/>
      <c r="BE70" s="69"/>
      <c r="CE70" s="94">
        <f t="shared" si="6"/>
        <v>820.75</v>
      </c>
      <c r="CF70" s="73">
        <f t="shared" si="7"/>
        <v>0</v>
      </c>
      <c r="CG70" s="75">
        <f t="shared" si="3"/>
        <v>6131</v>
      </c>
      <c r="CH70" s="75" t="str">
        <f t="shared" si="3"/>
        <v>برنامج دولى</v>
      </c>
    </row>
    <row r="71" spans="3:86" ht="18.75" x14ac:dyDescent="0.25">
      <c r="C71" s="78">
        <v>10428</v>
      </c>
      <c r="D71" s="70">
        <v>6132</v>
      </c>
      <c r="E71" s="103" t="s">
        <v>78</v>
      </c>
      <c r="F71" s="79" t="s">
        <v>1866</v>
      </c>
      <c r="H71" s="73">
        <v>3048.5</v>
      </c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94">
        <f t="shared" si="0"/>
        <v>3048.5</v>
      </c>
      <c r="AT71" s="73">
        <v>2038.9</v>
      </c>
      <c r="AU71" s="73">
        <v>275.10000000000002</v>
      </c>
      <c r="AV71" s="73">
        <v>734.5</v>
      </c>
      <c r="AW71" s="73"/>
      <c r="AX71" s="73"/>
      <c r="AY71" s="73"/>
      <c r="AZ71" s="73"/>
      <c r="BA71" s="73"/>
      <c r="BB71" s="73"/>
      <c r="BC71" s="73"/>
      <c r="BD71" s="69"/>
      <c r="BE71" s="69"/>
      <c r="CE71" s="94">
        <f t="shared" si="6"/>
        <v>3048.5</v>
      </c>
      <c r="CF71" s="73">
        <f t="shared" si="7"/>
        <v>0</v>
      </c>
      <c r="CG71" s="75">
        <f t="shared" si="3"/>
        <v>6132</v>
      </c>
      <c r="CH71" s="75" t="str">
        <f t="shared" si="3"/>
        <v>برنامج دولى</v>
      </c>
    </row>
    <row r="72" spans="3:86" ht="18.75" x14ac:dyDescent="0.25">
      <c r="C72" s="78">
        <v>10429</v>
      </c>
      <c r="D72" s="70">
        <v>6133</v>
      </c>
      <c r="E72" s="103" t="s">
        <v>78</v>
      </c>
      <c r="F72" s="79" t="s">
        <v>1866</v>
      </c>
      <c r="H72" s="73">
        <v>2200</v>
      </c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94">
        <f t="shared" si="0"/>
        <v>2200</v>
      </c>
      <c r="AT72" s="73">
        <v>1963.85</v>
      </c>
      <c r="AU72" s="73">
        <v>236.15</v>
      </c>
      <c r="AV72" s="73"/>
      <c r="AW72" s="73"/>
      <c r="AX72" s="73"/>
      <c r="AY72" s="73"/>
      <c r="AZ72" s="73"/>
      <c r="BA72" s="73"/>
      <c r="BB72" s="73"/>
      <c r="BC72" s="73"/>
      <c r="BD72" s="69"/>
      <c r="BE72" s="69"/>
      <c r="CE72" s="94">
        <f t="shared" si="6"/>
        <v>2200</v>
      </c>
      <c r="CF72" s="73">
        <f t="shared" si="7"/>
        <v>0</v>
      </c>
      <c r="CG72" s="75">
        <f t="shared" si="3"/>
        <v>6133</v>
      </c>
      <c r="CH72" s="75" t="str">
        <f t="shared" si="3"/>
        <v>برنامج دولى</v>
      </c>
    </row>
    <row r="73" spans="3:86" ht="18.75" x14ac:dyDescent="0.25">
      <c r="C73" s="78">
        <v>10430</v>
      </c>
      <c r="D73" s="70">
        <v>6134</v>
      </c>
      <c r="E73" s="103" t="s">
        <v>78</v>
      </c>
      <c r="F73" s="79" t="s">
        <v>1866</v>
      </c>
      <c r="H73" s="73">
        <v>234.5</v>
      </c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94">
        <f t="shared" si="0"/>
        <v>234.5</v>
      </c>
      <c r="AT73" s="73">
        <v>157.19999999999999</v>
      </c>
      <c r="AU73" s="73">
        <v>20.8</v>
      </c>
      <c r="AV73" s="73">
        <v>56.5</v>
      </c>
      <c r="AW73" s="73"/>
      <c r="AX73" s="73"/>
      <c r="AY73" s="73"/>
      <c r="AZ73" s="73"/>
      <c r="BA73" s="73"/>
      <c r="BB73" s="73"/>
      <c r="BC73" s="73"/>
      <c r="BD73" s="69"/>
      <c r="BE73" s="69"/>
      <c r="CE73" s="94">
        <f t="shared" si="6"/>
        <v>234.5</v>
      </c>
      <c r="CF73" s="73">
        <f t="shared" si="7"/>
        <v>0</v>
      </c>
      <c r="CG73" s="75">
        <f t="shared" si="3"/>
        <v>6134</v>
      </c>
      <c r="CH73" s="75" t="str">
        <f t="shared" si="3"/>
        <v>برنامج دولى</v>
      </c>
    </row>
    <row r="74" spans="3:86" ht="18.75" x14ac:dyDescent="0.25">
      <c r="C74" s="78">
        <v>10431</v>
      </c>
      <c r="D74" s="70">
        <v>6135</v>
      </c>
      <c r="E74" s="103" t="s">
        <v>78</v>
      </c>
      <c r="F74" s="79" t="s">
        <v>1866</v>
      </c>
      <c r="H74" s="73">
        <v>234.5</v>
      </c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94">
        <f t="shared" si="0"/>
        <v>234.5</v>
      </c>
      <c r="AT74" s="73">
        <v>157.19999999999999</v>
      </c>
      <c r="AU74" s="73">
        <v>20.8</v>
      </c>
      <c r="AV74" s="73">
        <v>56.5</v>
      </c>
      <c r="AW74" s="73"/>
      <c r="AX74" s="73"/>
      <c r="AY74" s="73"/>
      <c r="AZ74" s="73"/>
      <c r="BA74" s="73"/>
      <c r="BB74" s="73"/>
      <c r="BC74" s="73"/>
      <c r="BD74" s="69"/>
      <c r="BE74" s="69"/>
      <c r="CE74" s="94">
        <f t="shared" si="6"/>
        <v>234.5</v>
      </c>
      <c r="CF74" s="73">
        <f t="shared" si="7"/>
        <v>0</v>
      </c>
      <c r="CG74" s="75">
        <f t="shared" si="3"/>
        <v>6135</v>
      </c>
      <c r="CH74" s="75" t="str">
        <f t="shared" si="3"/>
        <v>برنامج دولى</v>
      </c>
    </row>
    <row r="75" spans="3:86" ht="18.75" x14ac:dyDescent="0.25">
      <c r="C75" s="78">
        <v>10433</v>
      </c>
      <c r="D75" s="70">
        <v>6136</v>
      </c>
      <c r="E75" s="103" t="s">
        <v>78</v>
      </c>
      <c r="F75" s="79" t="s">
        <v>1866</v>
      </c>
      <c r="H75" s="73">
        <v>234.5</v>
      </c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94">
        <f t="shared" si="0"/>
        <v>234.5</v>
      </c>
      <c r="AT75" s="73">
        <v>157.19999999999999</v>
      </c>
      <c r="AU75" s="73">
        <v>20.8</v>
      </c>
      <c r="AV75" s="73">
        <v>56.5</v>
      </c>
      <c r="AW75" s="73"/>
      <c r="AX75" s="73"/>
      <c r="AY75" s="73"/>
      <c r="AZ75" s="73"/>
      <c r="BA75" s="73"/>
      <c r="BB75" s="73"/>
      <c r="BC75" s="73"/>
      <c r="BD75" s="69"/>
      <c r="BE75" s="69"/>
      <c r="CE75" s="94">
        <f t="shared" si="6"/>
        <v>234.5</v>
      </c>
      <c r="CF75" s="73">
        <f t="shared" si="7"/>
        <v>0</v>
      </c>
      <c r="CG75" s="75">
        <f t="shared" si="3"/>
        <v>6136</v>
      </c>
      <c r="CH75" s="75" t="str">
        <f t="shared" si="3"/>
        <v>برنامج دولى</v>
      </c>
    </row>
    <row r="76" spans="3:86" ht="18.75" x14ac:dyDescent="0.25">
      <c r="C76" s="78">
        <v>10432</v>
      </c>
      <c r="D76" s="70">
        <v>6137</v>
      </c>
      <c r="E76" s="103" t="s">
        <v>78</v>
      </c>
      <c r="F76" s="79" t="s">
        <v>1866</v>
      </c>
      <c r="H76" s="73">
        <v>234.5</v>
      </c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94">
        <f t="shared" si="0"/>
        <v>234.5</v>
      </c>
      <c r="AT76" s="73">
        <v>157.19999999999999</v>
      </c>
      <c r="AU76" s="73">
        <v>20.8</v>
      </c>
      <c r="AV76" s="73">
        <v>56.5</v>
      </c>
      <c r="AW76" s="73"/>
      <c r="AX76" s="73"/>
      <c r="AY76" s="73"/>
      <c r="AZ76" s="73"/>
      <c r="BA76" s="73"/>
      <c r="BB76" s="73"/>
      <c r="BC76" s="73"/>
      <c r="BD76" s="69"/>
      <c r="BE76" s="69"/>
      <c r="CE76" s="94">
        <f t="shared" si="6"/>
        <v>234.5</v>
      </c>
      <c r="CF76" s="73">
        <f t="shared" si="7"/>
        <v>0</v>
      </c>
      <c r="CG76" s="75">
        <f t="shared" si="3"/>
        <v>6137</v>
      </c>
      <c r="CH76" s="75" t="str">
        <f t="shared" si="3"/>
        <v>برنامج دولى</v>
      </c>
    </row>
    <row r="77" spans="3:86" ht="18.75" x14ac:dyDescent="0.25">
      <c r="C77" s="78">
        <v>10434</v>
      </c>
      <c r="D77" s="70">
        <v>6138</v>
      </c>
      <c r="E77" s="103" t="s">
        <v>78</v>
      </c>
      <c r="F77" s="79" t="s">
        <v>1866</v>
      </c>
      <c r="H77" s="73">
        <v>5159</v>
      </c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94">
        <f t="shared" si="0"/>
        <v>5159</v>
      </c>
      <c r="AT77" s="73">
        <v>3447.3</v>
      </c>
      <c r="AU77" s="73">
        <v>468.7</v>
      </c>
      <c r="AV77" s="73">
        <v>1243</v>
      </c>
      <c r="AW77" s="73"/>
      <c r="AX77" s="73"/>
      <c r="AY77" s="73"/>
      <c r="AZ77" s="73"/>
      <c r="BA77" s="73"/>
      <c r="BB77" s="73"/>
      <c r="BC77" s="73"/>
      <c r="BD77" s="69"/>
      <c r="BE77" s="69"/>
      <c r="CE77" s="94">
        <f t="shared" ref="CE77:CE108" si="8">SUM(AT77:CD77)</f>
        <v>5159</v>
      </c>
      <c r="CF77" s="73">
        <f t="shared" si="7"/>
        <v>0</v>
      </c>
      <c r="CG77" s="75">
        <f t="shared" si="3"/>
        <v>6138</v>
      </c>
      <c r="CH77" s="75" t="str">
        <f t="shared" si="3"/>
        <v>برنامج دولى</v>
      </c>
    </row>
    <row r="78" spans="3:86" ht="18.75" x14ac:dyDescent="0.25">
      <c r="C78" s="78">
        <v>10435</v>
      </c>
      <c r="D78" s="70">
        <v>6139</v>
      </c>
      <c r="E78" s="103" t="s">
        <v>78</v>
      </c>
      <c r="F78" s="79" t="s">
        <v>1866</v>
      </c>
      <c r="H78" s="73">
        <v>234.5</v>
      </c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94">
        <f t="shared" si="0"/>
        <v>234.5</v>
      </c>
      <c r="AT78" s="73">
        <v>157.19999999999999</v>
      </c>
      <c r="AU78" s="73">
        <v>20.8</v>
      </c>
      <c r="AV78" s="73">
        <v>56.5</v>
      </c>
      <c r="AW78" s="73"/>
      <c r="AX78" s="73"/>
      <c r="AY78" s="73"/>
      <c r="AZ78" s="73"/>
      <c r="BA78" s="73"/>
      <c r="BB78" s="73"/>
      <c r="BC78" s="73"/>
      <c r="BD78" s="69"/>
      <c r="BE78" s="69"/>
      <c r="CE78" s="94">
        <f t="shared" si="8"/>
        <v>234.5</v>
      </c>
      <c r="CF78" s="73">
        <f t="shared" si="7"/>
        <v>0</v>
      </c>
      <c r="CG78" s="75">
        <f t="shared" si="3"/>
        <v>6139</v>
      </c>
      <c r="CH78" s="75" t="str">
        <f t="shared" si="3"/>
        <v>برنامج دولى</v>
      </c>
    </row>
    <row r="79" spans="3:86" ht="18.75" x14ac:dyDescent="0.25">
      <c r="C79" s="78">
        <v>10436</v>
      </c>
      <c r="D79" s="70">
        <v>6140</v>
      </c>
      <c r="E79" s="103" t="s">
        <v>78</v>
      </c>
      <c r="F79" s="79" t="s">
        <v>1866</v>
      </c>
      <c r="H79" s="73">
        <v>1876</v>
      </c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94">
        <f t="shared" si="0"/>
        <v>1876</v>
      </c>
      <c r="AT79" s="73">
        <v>1253.7</v>
      </c>
      <c r="AU79" s="73">
        <v>170.3</v>
      </c>
      <c r="AV79" s="73">
        <v>452</v>
      </c>
      <c r="AW79" s="73"/>
      <c r="AX79" s="73"/>
      <c r="AY79" s="73"/>
      <c r="AZ79" s="73"/>
      <c r="BA79" s="73"/>
      <c r="BB79" s="73"/>
      <c r="BC79" s="73"/>
      <c r="BD79" s="69"/>
      <c r="BE79" s="69"/>
      <c r="CE79" s="94">
        <f t="shared" si="8"/>
        <v>1876</v>
      </c>
      <c r="CF79" s="73">
        <f t="shared" si="7"/>
        <v>0</v>
      </c>
      <c r="CG79" s="75">
        <f t="shared" si="3"/>
        <v>6140</v>
      </c>
      <c r="CH79" s="75" t="str">
        <f t="shared" si="3"/>
        <v>برنامج دولى</v>
      </c>
    </row>
    <row r="80" spans="3:86" ht="18.75" x14ac:dyDescent="0.25">
      <c r="C80" s="78">
        <v>10437</v>
      </c>
      <c r="D80" s="70">
        <v>6141</v>
      </c>
      <c r="E80" s="103" t="s">
        <v>78</v>
      </c>
      <c r="F80" s="79" t="s">
        <v>2229</v>
      </c>
      <c r="H80" s="73">
        <v>734.56</v>
      </c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94">
        <f t="shared" si="0"/>
        <v>734.56</v>
      </c>
      <c r="AT80" s="73">
        <v>656.3</v>
      </c>
      <c r="AU80" s="73">
        <v>78.260000000000005</v>
      </c>
      <c r="AV80" s="73"/>
      <c r="AW80" s="73"/>
      <c r="AX80" s="73"/>
      <c r="AY80" s="73"/>
      <c r="AZ80" s="73"/>
      <c r="BA80" s="73"/>
      <c r="BB80" s="73"/>
      <c r="BC80" s="73"/>
      <c r="BD80" s="69"/>
      <c r="BE80" s="69"/>
      <c r="CE80" s="94">
        <f t="shared" si="8"/>
        <v>734.56</v>
      </c>
      <c r="CF80" s="73">
        <f t="shared" si="7"/>
        <v>0</v>
      </c>
      <c r="CG80" s="75">
        <f t="shared" si="3"/>
        <v>6141</v>
      </c>
      <c r="CH80" s="75" t="str">
        <f t="shared" si="3"/>
        <v>برنامج دولى</v>
      </c>
    </row>
    <row r="81" spans="3:86" ht="18.75" x14ac:dyDescent="0.25">
      <c r="C81" s="78">
        <v>10438</v>
      </c>
      <c r="D81" s="70">
        <v>6142</v>
      </c>
      <c r="E81" s="103" t="s">
        <v>78</v>
      </c>
      <c r="F81" s="79" t="s">
        <v>2229</v>
      </c>
      <c r="H81" s="73">
        <v>2203.6799999999998</v>
      </c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94">
        <f t="shared" si="0"/>
        <v>2203.6799999999998</v>
      </c>
      <c r="AT81" s="73">
        <v>1967.16</v>
      </c>
      <c r="AU81" s="73">
        <v>236.52</v>
      </c>
      <c r="AV81" s="73"/>
      <c r="AW81" s="73"/>
      <c r="AX81" s="73"/>
      <c r="AY81" s="73"/>
      <c r="AZ81" s="73"/>
      <c r="BA81" s="73"/>
      <c r="BB81" s="73"/>
      <c r="BC81" s="73"/>
      <c r="BD81" s="69"/>
      <c r="BE81" s="69"/>
      <c r="CE81" s="94">
        <f t="shared" si="8"/>
        <v>2203.6800000000003</v>
      </c>
      <c r="CF81" s="73">
        <f t="shared" si="7"/>
        <v>0</v>
      </c>
      <c r="CG81" s="75">
        <f t="shared" si="3"/>
        <v>6142</v>
      </c>
      <c r="CH81" s="75" t="str">
        <f t="shared" si="3"/>
        <v>برنامج دولى</v>
      </c>
    </row>
    <row r="82" spans="3:86" ht="18.75" x14ac:dyDescent="0.25">
      <c r="C82" s="78">
        <v>10439</v>
      </c>
      <c r="D82" s="70">
        <v>6143</v>
      </c>
      <c r="E82" s="103" t="s">
        <v>78</v>
      </c>
      <c r="F82" s="79" t="s">
        <v>2230</v>
      </c>
      <c r="H82" s="73">
        <v>51188.94</v>
      </c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3"/>
      <c r="AS82" s="94">
        <f t="shared" si="0"/>
        <v>51188.94</v>
      </c>
      <c r="AT82" s="73">
        <v>44757.85</v>
      </c>
      <c r="AU82" s="73">
        <v>5433.85</v>
      </c>
      <c r="AV82" s="73">
        <v>997.24</v>
      </c>
      <c r="AW82" s="73"/>
      <c r="AX82" s="73"/>
      <c r="AY82" s="73"/>
      <c r="AZ82" s="73"/>
      <c r="BA82" s="73"/>
      <c r="BB82" s="73"/>
      <c r="BC82" s="73"/>
      <c r="BD82" s="69"/>
      <c r="BE82" s="69"/>
      <c r="CE82" s="94">
        <f t="shared" si="8"/>
        <v>51188.939999999995</v>
      </c>
      <c r="CF82" s="73">
        <f t="shared" si="7"/>
        <v>0</v>
      </c>
      <c r="CG82" s="75">
        <f t="shared" si="3"/>
        <v>6143</v>
      </c>
      <c r="CH82" s="75" t="str">
        <f t="shared" si="3"/>
        <v>برنامج دولى</v>
      </c>
    </row>
    <row r="83" spans="3:86" ht="18.75" x14ac:dyDescent="0.25">
      <c r="C83" s="78">
        <v>10440</v>
      </c>
      <c r="D83" s="70">
        <v>6144</v>
      </c>
      <c r="E83" s="103" t="s">
        <v>78</v>
      </c>
      <c r="F83" s="79" t="s">
        <v>2230</v>
      </c>
      <c r="H83" s="73">
        <v>891.1</v>
      </c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3"/>
      <c r="AS83" s="94">
        <f t="shared" si="0"/>
        <v>891.1</v>
      </c>
      <c r="AT83" s="73">
        <v>597.04999999999995</v>
      </c>
      <c r="AU83" s="73">
        <v>79.349999999999994</v>
      </c>
      <c r="AV83" s="73">
        <v>214.7</v>
      </c>
      <c r="AW83" s="73"/>
      <c r="AX83" s="73"/>
      <c r="AY83" s="73"/>
      <c r="AZ83" s="73"/>
      <c r="BA83" s="73"/>
      <c r="BB83" s="73"/>
      <c r="BC83" s="73"/>
      <c r="BD83" s="69"/>
      <c r="BE83" s="69"/>
      <c r="CE83" s="94">
        <f t="shared" si="8"/>
        <v>891.09999999999991</v>
      </c>
      <c r="CF83" s="73">
        <f t="shared" si="7"/>
        <v>0</v>
      </c>
      <c r="CG83" s="75">
        <f t="shared" si="3"/>
        <v>6144</v>
      </c>
      <c r="CH83" s="75" t="str">
        <f t="shared" si="3"/>
        <v>برنامج دولى</v>
      </c>
    </row>
    <row r="84" spans="3:86" ht="18.75" x14ac:dyDescent="0.25">
      <c r="C84" s="78">
        <v>10441</v>
      </c>
      <c r="D84" s="70">
        <v>6145</v>
      </c>
      <c r="E84" s="103" t="s">
        <v>78</v>
      </c>
      <c r="F84" s="79" t="s">
        <v>2230</v>
      </c>
      <c r="H84" s="73">
        <v>6448.75</v>
      </c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94">
        <f t="shared" si="0"/>
        <v>6448.75</v>
      </c>
      <c r="AT84" s="73">
        <v>4313.3500000000004</v>
      </c>
      <c r="AU84" s="73">
        <v>581.65</v>
      </c>
      <c r="AV84" s="73">
        <v>1553.75</v>
      </c>
      <c r="AW84" s="73"/>
      <c r="AX84" s="73"/>
      <c r="AY84" s="73"/>
      <c r="AZ84" s="73"/>
      <c r="BA84" s="73"/>
      <c r="BB84" s="73"/>
      <c r="BC84" s="73"/>
      <c r="BD84" s="69"/>
      <c r="BE84" s="69"/>
      <c r="CE84" s="94">
        <f t="shared" si="8"/>
        <v>6448.75</v>
      </c>
      <c r="CF84" s="73">
        <f t="shared" si="7"/>
        <v>0</v>
      </c>
      <c r="CG84" s="75">
        <f t="shared" si="3"/>
        <v>6145</v>
      </c>
      <c r="CH84" s="75" t="str">
        <f t="shared" si="3"/>
        <v>برنامج دولى</v>
      </c>
    </row>
    <row r="85" spans="3:86" ht="18.75" x14ac:dyDescent="0.25">
      <c r="C85" s="78">
        <v>10442</v>
      </c>
      <c r="D85" s="70">
        <v>6146</v>
      </c>
      <c r="E85" s="103" t="s">
        <v>78</v>
      </c>
      <c r="F85" s="79" t="s">
        <v>2230</v>
      </c>
      <c r="H85" s="73">
        <v>1465.62</v>
      </c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94">
        <f t="shared" si="0"/>
        <v>1465.62</v>
      </c>
      <c r="AT85" s="73">
        <v>979.5</v>
      </c>
      <c r="AU85" s="73">
        <v>133</v>
      </c>
      <c r="AV85" s="73">
        <v>353.12</v>
      </c>
      <c r="AW85" s="73"/>
      <c r="AX85" s="73"/>
      <c r="AY85" s="73"/>
      <c r="AZ85" s="73"/>
      <c r="BA85" s="73"/>
      <c r="BB85" s="73"/>
      <c r="BC85" s="73"/>
      <c r="BD85" s="69"/>
      <c r="BE85" s="69"/>
      <c r="CE85" s="94">
        <f t="shared" si="8"/>
        <v>1465.62</v>
      </c>
      <c r="CF85" s="73">
        <f t="shared" si="7"/>
        <v>0</v>
      </c>
      <c r="CG85" s="75">
        <f t="shared" si="3"/>
        <v>6146</v>
      </c>
      <c r="CH85" s="75" t="str">
        <f t="shared" si="3"/>
        <v>برنامج دولى</v>
      </c>
    </row>
    <row r="86" spans="3:86" ht="18.75" x14ac:dyDescent="0.25">
      <c r="C86" s="78">
        <v>10443</v>
      </c>
      <c r="D86" s="70">
        <v>6147</v>
      </c>
      <c r="E86" s="103" t="s">
        <v>78</v>
      </c>
      <c r="F86" s="79" t="s">
        <v>2230</v>
      </c>
      <c r="H86" s="73">
        <v>5516.62</v>
      </c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94">
        <f t="shared" si="0"/>
        <v>5516.62</v>
      </c>
      <c r="AT86" s="73">
        <v>3684.8</v>
      </c>
      <c r="AU86" s="73">
        <f>32.15+470.5</f>
        <v>502.65</v>
      </c>
      <c r="AV86" s="73">
        <v>1329.17</v>
      </c>
      <c r="AW86" s="73"/>
      <c r="AX86" s="73"/>
      <c r="AY86" s="73"/>
      <c r="AZ86" s="73"/>
      <c r="BA86" s="73"/>
      <c r="BB86" s="73"/>
      <c r="BC86" s="73"/>
      <c r="BD86" s="69"/>
      <c r="BE86" s="69"/>
      <c r="CE86" s="94">
        <f t="shared" si="8"/>
        <v>5516.62</v>
      </c>
      <c r="CF86" s="73">
        <f t="shared" si="7"/>
        <v>0</v>
      </c>
      <c r="CG86" s="75">
        <f t="shared" si="3"/>
        <v>6147</v>
      </c>
      <c r="CH86" s="75" t="str">
        <f t="shared" si="3"/>
        <v>برنامج دولى</v>
      </c>
    </row>
    <row r="87" spans="3:86" ht="18.75" x14ac:dyDescent="0.25">
      <c r="C87" s="78">
        <v>10406</v>
      </c>
      <c r="D87" s="70">
        <v>6148</v>
      </c>
      <c r="E87" s="103" t="s">
        <v>78</v>
      </c>
      <c r="F87" s="69" t="str">
        <f>+F88</f>
        <v>مكافاه الجوده</v>
      </c>
      <c r="H87" s="73">
        <v>582.64</v>
      </c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3"/>
      <c r="AS87" s="94">
        <f t="shared" si="0"/>
        <v>582.64</v>
      </c>
      <c r="AT87" s="73">
        <v>390.02</v>
      </c>
      <c r="AU87" s="73">
        <v>52.24</v>
      </c>
      <c r="AV87" s="73">
        <v>140.38</v>
      </c>
      <c r="AW87" s="73"/>
      <c r="AX87" s="73"/>
      <c r="AY87" s="73"/>
      <c r="AZ87" s="73"/>
      <c r="BA87" s="73"/>
      <c r="BB87" s="73"/>
      <c r="BC87" s="73"/>
      <c r="BD87" s="69"/>
      <c r="BE87" s="69"/>
      <c r="CE87" s="94">
        <f t="shared" si="8"/>
        <v>582.64</v>
      </c>
      <c r="CF87" s="73">
        <f t="shared" si="7"/>
        <v>0</v>
      </c>
      <c r="CG87" s="75">
        <f t="shared" si="3"/>
        <v>6148</v>
      </c>
      <c r="CH87" s="75" t="str">
        <f t="shared" si="3"/>
        <v>برنامج دولى</v>
      </c>
    </row>
    <row r="88" spans="3:86" ht="18.75" x14ac:dyDescent="0.25">
      <c r="C88" s="78">
        <v>10404</v>
      </c>
      <c r="D88" s="70">
        <v>6149</v>
      </c>
      <c r="E88" s="103" t="s">
        <v>78</v>
      </c>
      <c r="F88" s="79" t="s">
        <v>667</v>
      </c>
      <c r="H88" s="73">
        <v>613.72</v>
      </c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94">
        <f t="shared" si="0"/>
        <v>613.72</v>
      </c>
      <c r="AT88" s="73">
        <v>410.58</v>
      </c>
      <c r="AU88" s="73">
        <v>55.29</v>
      </c>
      <c r="AV88" s="73">
        <v>147.85</v>
      </c>
      <c r="AW88" s="73"/>
      <c r="AX88" s="73"/>
      <c r="AY88" s="73"/>
      <c r="AZ88" s="73"/>
      <c r="BA88" s="73"/>
      <c r="BB88" s="73"/>
      <c r="BC88" s="73"/>
      <c r="BD88" s="69"/>
      <c r="BE88" s="69"/>
      <c r="CE88" s="94">
        <f t="shared" si="8"/>
        <v>613.72</v>
      </c>
      <c r="CF88" s="73">
        <f t="shared" si="7"/>
        <v>0</v>
      </c>
      <c r="CG88" s="75">
        <f t="shared" si="3"/>
        <v>6149</v>
      </c>
      <c r="CH88" s="75" t="str">
        <f t="shared" si="3"/>
        <v>برنامج دولى</v>
      </c>
    </row>
    <row r="89" spans="3:86" ht="18.75" x14ac:dyDescent="0.25">
      <c r="C89" s="78">
        <v>10403</v>
      </c>
      <c r="D89" s="70">
        <v>6150</v>
      </c>
      <c r="E89" s="103" t="s">
        <v>78</v>
      </c>
      <c r="F89" s="79" t="s">
        <v>667</v>
      </c>
      <c r="H89" s="73">
        <v>9648.51</v>
      </c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94">
        <f t="shared" si="0"/>
        <v>9648.51</v>
      </c>
      <c r="AT89" s="73">
        <v>8127.27</v>
      </c>
      <c r="AU89" s="73">
        <v>997.85</v>
      </c>
      <c r="AV89" s="73">
        <v>523.39</v>
      </c>
      <c r="AW89" s="73"/>
      <c r="AX89" s="73"/>
      <c r="AY89" s="73"/>
      <c r="AZ89" s="73"/>
      <c r="BA89" s="73"/>
      <c r="BB89" s="73"/>
      <c r="BC89" s="73"/>
      <c r="BD89" s="69"/>
      <c r="BE89" s="69"/>
      <c r="CE89" s="94">
        <f t="shared" si="8"/>
        <v>9648.51</v>
      </c>
      <c r="CF89" s="73">
        <f t="shared" si="7"/>
        <v>0</v>
      </c>
      <c r="CG89" s="75">
        <f t="shared" si="3"/>
        <v>6150</v>
      </c>
      <c r="CH89" s="75" t="str">
        <f t="shared" si="3"/>
        <v>برنامج دولى</v>
      </c>
    </row>
    <row r="90" spans="3:86" ht="18.75" x14ac:dyDescent="0.25">
      <c r="C90" s="78">
        <v>10402</v>
      </c>
      <c r="D90" s="70">
        <v>6151</v>
      </c>
      <c r="E90" s="103" t="s">
        <v>78</v>
      </c>
      <c r="F90" s="79" t="s">
        <v>667</v>
      </c>
      <c r="H90" s="73">
        <v>865.3</v>
      </c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94">
        <f t="shared" si="0"/>
        <v>865.3</v>
      </c>
      <c r="AT90" s="73">
        <v>578.77</v>
      </c>
      <c r="AU90" s="73">
        <v>78.05</v>
      </c>
      <c r="AV90" s="73">
        <v>208.48</v>
      </c>
      <c r="AW90" s="73"/>
      <c r="AX90" s="73"/>
      <c r="AY90" s="73"/>
      <c r="AZ90" s="73"/>
      <c r="BA90" s="73"/>
      <c r="BB90" s="73"/>
      <c r="BC90" s="73"/>
      <c r="BD90" s="69"/>
      <c r="BE90" s="69"/>
      <c r="CE90" s="94">
        <f t="shared" si="8"/>
        <v>865.3</v>
      </c>
      <c r="CF90" s="73">
        <f t="shared" si="7"/>
        <v>0</v>
      </c>
      <c r="CG90" s="75">
        <f t="shared" si="3"/>
        <v>6151</v>
      </c>
      <c r="CH90" s="75" t="str">
        <f t="shared" si="3"/>
        <v>برنامج دولى</v>
      </c>
    </row>
    <row r="91" spans="3:86" ht="18.75" x14ac:dyDescent="0.25">
      <c r="C91" s="78">
        <v>10400</v>
      </c>
      <c r="D91" s="70">
        <v>6152</v>
      </c>
      <c r="E91" s="103" t="s">
        <v>78</v>
      </c>
      <c r="F91" s="79" t="s">
        <v>667</v>
      </c>
      <c r="H91" s="73">
        <v>4115.45</v>
      </c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94">
        <f t="shared" ref="AS91:AS154" si="9">SUM(H91:AR91)</f>
        <v>4115.45</v>
      </c>
      <c r="AT91" s="73">
        <v>2752.76</v>
      </c>
      <c r="AU91" s="73">
        <v>371.15</v>
      </c>
      <c r="AV91" s="73">
        <v>991.54</v>
      </c>
      <c r="AW91" s="73"/>
      <c r="AX91" s="73"/>
      <c r="AY91" s="73"/>
      <c r="AZ91" s="73"/>
      <c r="BA91" s="73"/>
      <c r="BB91" s="73"/>
      <c r="BC91" s="73"/>
      <c r="BD91" s="69"/>
      <c r="BE91" s="69"/>
      <c r="CE91" s="94">
        <f t="shared" si="8"/>
        <v>4115.4500000000007</v>
      </c>
      <c r="CF91" s="73">
        <f t="shared" si="7"/>
        <v>0</v>
      </c>
      <c r="CG91" s="75">
        <f t="shared" ref="CG91:CH154" si="10">+D91</f>
        <v>6152</v>
      </c>
      <c r="CH91" s="75" t="str">
        <f t="shared" si="10"/>
        <v>برنامج دولى</v>
      </c>
    </row>
    <row r="92" spans="3:86" ht="18.75" x14ac:dyDescent="0.25">
      <c r="C92" s="78">
        <v>10401</v>
      </c>
      <c r="D92" s="70">
        <v>6153</v>
      </c>
      <c r="E92" s="103" t="s">
        <v>78</v>
      </c>
      <c r="F92" s="79" t="s">
        <v>667</v>
      </c>
      <c r="H92" s="73">
        <v>865.3</v>
      </c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3"/>
      <c r="AS92" s="94">
        <f t="shared" si="9"/>
        <v>865.3</v>
      </c>
      <c r="AT92" s="73">
        <v>578.77</v>
      </c>
      <c r="AU92" s="73">
        <v>78.05</v>
      </c>
      <c r="AV92" s="73">
        <v>208.48</v>
      </c>
      <c r="AW92" s="73"/>
      <c r="AX92" s="73"/>
      <c r="AY92" s="73"/>
      <c r="AZ92" s="73"/>
      <c r="BA92" s="73"/>
      <c r="BB92" s="73"/>
      <c r="BC92" s="73"/>
      <c r="BD92" s="69"/>
      <c r="BE92" s="69"/>
      <c r="CE92" s="94">
        <f t="shared" si="8"/>
        <v>865.3</v>
      </c>
      <c r="CF92" s="73">
        <f t="shared" si="7"/>
        <v>0</v>
      </c>
      <c r="CG92" s="75">
        <f t="shared" si="10"/>
        <v>6153</v>
      </c>
      <c r="CH92" s="75" t="str">
        <f t="shared" si="10"/>
        <v>برنامج دولى</v>
      </c>
    </row>
    <row r="93" spans="3:86" ht="18.75" x14ac:dyDescent="0.25">
      <c r="C93" s="78">
        <v>10399</v>
      </c>
      <c r="D93" s="70">
        <v>6154</v>
      </c>
      <c r="E93" s="103" t="s">
        <v>78</v>
      </c>
      <c r="F93" s="79" t="s">
        <v>667</v>
      </c>
      <c r="H93" s="73">
        <v>1020.88</v>
      </c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94">
        <f t="shared" si="9"/>
        <v>1020.88</v>
      </c>
      <c r="AT93" s="73">
        <v>682.74</v>
      </c>
      <c r="AU93" s="73">
        <v>92.17</v>
      </c>
      <c r="AV93" s="73">
        <v>245.97</v>
      </c>
      <c r="AW93" s="73"/>
      <c r="AX93" s="73"/>
      <c r="AY93" s="73"/>
      <c r="AZ93" s="73"/>
      <c r="BA93" s="73"/>
      <c r="BB93" s="73"/>
      <c r="BC93" s="73"/>
      <c r="BD93" s="69"/>
      <c r="BE93" s="69"/>
      <c r="CE93" s="94">
        <f t="shared" si="8"/>
        <v>1020.88</v>
      </c>
      <c r="CF93" s="73">
        <f t="shared" si="7"/>
        <v>0</v>
      </c>
      <c r="CG93" s="75">
        <f t="shared" si="10"/>
        <v>6154</v>
      </c>
      <c r="CH93" s="75" t="str">
        <f t="shared" si="10"/>
        <v>برنامج دولى</v>
      </c>
    </row>
    <row r="94" spans="3:86" ht="18.75" x14ac:dyDescent="0.25">
      <c r="C94" s="78">
        <v>10408</v>
      </c>
      <c r="D94" s="70">
        <v>6155</v>
      </c>
      <c r="E94" s="103" t="s">
        <v>78</v>
      </c>
      <c r="F94" s="79" t="s">
        <v>667</v>
      </c>
      <c r="H94" s="73">
        <v>4277.7299999999996</v>
      </c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94">
        <f t="shared" si="9"/>
        <v>4277.7299999999996</v>
      </c>
      <c r="AT94" s="73">
        <v>2864.34</v>
      </c>
      <c r="AU94" s="73">
        <v>382.67</v>
      </c>
      <c r="AV94" s="73">
        <v>1030.72</v>
      </c>
      <c r="AW94" s="73"/>
      <c r="AX94" s="73"/>
      <c r="AY94" s="73"/>
      <c r="AZ94" s="73"/>
      <c r="BA94" s="73"/>
      <c r="BB94" s="73"/>
      <c r="BC94" s="73"/>
      <c r="BD94" s="69"/>
      <c r="BE94" s="69"/>
      <c r="CE94" s="94">
        <f t="shared" si="8"/>
        <v>4277.7300000000005</v>
      </c>
      <c r="CF94" s="73">
        <f t="shared" si="7"/>
        <v>0</v>
      </c>
      <c r="CG94" s="75">
        <f t="shared" si="10"/>
        <v>6155</v>
      </c>
      <c r="CH94" s="75" t="str">
        <f t="shared" si="10"/>
        <v>برنامج دولى</v>
      </c>
    </row>
    <row r="95" spans="3:86" ht="18.75" x14ac:dyDescent="0.25">
      <c r="C95" s="78">
        <v>10407</v>
      </c>
      <c r="D95" s="70">
        <v>6156</v>
      </c>
      <c r="E95" s="103" t="s">
        <v>78</v>
      </c>
      <c r="F95" s="79" t="s">
        <v>667</v>
      </c>
      <c r="H95" s="73">
        <v>2435.92</v>
      </c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3"/>
      <c r="AS95" s="94">
        <f t="shared" si="9"/>
        <v>2435.92</v>
      </c>
      <c r="AT95" s="73">
        <v>1630.48</v>
      </c>
      <c r="AU95" s="73">
        <v>218.5</v>
      </c>
      <c r="AV95" s="73">
        <v>586.94000000000005</v>
      </c>
      <c r="AW95" s="73"/>
      <c r="AX95" s="73"/>
      <c r="AY95" s="73"/>
      <c r="AZ95" s="73"/>
      <c r="BA95" s="73"/>
      <c r="BB95" s="73"/>
      <c r="BC95" s="73"/>
      <c r="BD95" s="69"/>
      <c r="BE95" s="69"/>
      <c r="CE95" s="94">
        <f t="shared" si="8"/>
        <v>2435.92</v>
      </c>
      <c r="CF95" s="73">
        <f t="shared" si="7"/>
        <v>0</v>
      </c>
      <c r="CG95" s="75">
        <f t="shared" si="10"/>
        <v>6156</v>
      </c>
      <c r="CH95" s="75" t="str">
        <f t="shared" si="10"/>
        <v>برنامج دولى</v>
      </c>
    </row>
    <row r="96" spans="3:86" ht="18.75" x14ac:dyDescent="0.25">
      <c r="C96" s="78">
        <v>10405</v>
      </c>
      <c r="D96" s="70">
        <v>6157</v>
      </c>
      <c r="E96" s="103" t="s">
        <v>78</v>
      </c>
      <c r="F96" s="79" t="s">
        <v>667</v>
      </c>
      <c r="H96" s="73">
        <v>938.31</v>
      </c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3"/>
      <c r="AS96" s="94">
        <f t="shared" si="9"/>
        <v>938.31</v>
      </c>
      <c r="AT96" s="73">
        <v>627.57000000000005</v>
      </c>
      <c r="AU96" s="73">
        <v>84.68</v>
      </c>
      <c r="AV96" s="73">
        <v>226.06</v>
      </c>
      <c r="AW96" s="73"/>
      <c r="AX96" s="73"/>
      <c r="AY96" s="73"/>
      <c r="AZ96" s="73"/>
      <c r="BA96" s="73"/>
      <c r="BB96" s="73"/>
      <c r="BC96" s="73"/>
      <c r="BD96" s="69"/>
      <c r="BE96" s="69"/>
      <c r="CE96" s="94">
        <f t="shared" si="8"/>
        <v>938.31</v>
      </c>
      <c r="CF96" s="73">
        <f t="shared" si="7"/>
        <v>0</v>
      </c>
      <c r="CG96" s="75">
        <f t="shared" si="10"/>
        <v>6157</v>
      </c>
      <c r="CH96" s="75" t="str">
        <f t="shared" si="10"/>
        <v>برنامج دولى</v>
      </c>
    </row>
    <row r="97" spans="3:86" ht="18.75" x14ac:dyDescent="0.25">
      <c r="C97" s="78">
        <v>10409</v>
      </c>
      <c r="D97" s="70">
        <v>6158</v>
      </c>
      <c r="E97" s="103" t="s">
        <v>78</v>
      </c>
      <c r="F97" s="79" t="s">
        <v>667</v>
      </c>
      <c r="H97" s="73">
        <v>432.65</v>
      </c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3"/>
      <c r="AS97" s="94">
        <f t="shared" si="9"/>
        <v>432.65</v>
      </c>
      <c r="AT97" s="73">
        <v>289.66000000000003</v>
      </c>
      <c r="AU97" s="73">
        <v>38.75</v>
      </c>
      <c r="AV97" s="73">
        <v>104.24</v>
      </c>
      <c r="AW97" s="73"/>
      <c r="AX97" s="73"/>
      <c r="AY97" s="73"/>
      <c r="AZ97" s="73"/>
      <c r="BA97" s="73"/>
      <c r="BB97" s="73"/>
      <c r="BC97" s="73"/>
      <c r="BD97" s="69"/>
      <c r="BE97" s="69"/>
      <c r="CE97" s="94">
        <f t="shared" si="8"/>
        <v>432.65000000000003</v>
      </c>
      <c r="CF97" s="73">
        <f t="shared" si="7"/>
        <v>0</v>
      </c>
      <c r="CG97" s="75">
        <f t="shared" si="10"/>
        <v>6158</v>
      </c>
      <c r="CH97" s="75" t="str">
        <f t="shared" si="10"/>
        <v>برنامج دولى</v>
      </c>
    </row>
    <row r="98" spans="3:86" ht="18.75" x14ac:dyDescent="0.25">
      <c r="C98" s="78">
        <v>10410</v>
      </c>
      <c r="D98" s="70">
        <v>6159</v>
      </c>
      <c r="E98" s="103" t="s">
        <v>78</v>
      </c>
      <c r="F98" s="79" t="s">
        <v>667</v>
      </c>
      <c r="H98" s="73">
        <v>3965.98</v>
      </c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3"/>
      <c r="AS98" s="94">
        <f t="shared" si="9"/>
        <v>3965.98</v>
      </c>
      <c r="AT98" s="73">
        <v>2652.71</v>
      </c>
      <c r="AU98" s="73">
        <v>357.7</v>
      </c>
      <c r="AV98" s="73">
        <v>955.57</v>
      </c>
      <c r="AW98" s="73"/>
      <c r="AX98" s="73"/>
      <c r="AY98" s="73"/>
      <c r="AZ98" s="73"/>
      <c r="BA98" s="73"/>
      <c r="BB98" s="73"/>
      <c r="BC98" s="73"/>
      <c r="BD98" s="69"/>
      <c r="BE98" s="69"/>
      <c r="CE98" s="94">
        <f t="shared" si="8"/>
        <v>3965.98</v>
      </c>
      <c r="CF98" s="73">
        <f t="shared" si="7"/>
        <v>0</v>
      </c>
      <c r="CG98" s="75">
        <f t="shared" si="10"/>
        <v>6159</v>
      </c>
      <c r="CH98" s="75" t="str">
        <f t="shared" si="10"/>
        <v>برنامج دولى</v>
      </c>
    </row>
    <row r="99" spans="3:86" ht="18.75" x14ac:dyDescent="0.25">
      <c r="C99" s="78">
        <v>10411</v>
      </c>
      <c r="D99" s="70">
        <v>6160</v>
      </c>
      <c r="E99" s="103" t="s">
        <v>78</v>
      </c>
      <c r="F99" s="79" t="s">
        <v>667</v>
      </c>
      <c r="H99" s="73">
        <v>1876</v>
      </c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94">
        <f t="shared" si="9"/>
        <v>1876</v>
      </c>
      <c r="AT99" s="73">
        <v>1253.7</v>
      </c>
      <c r="AU99" s="73">
        <v>170.3</v>
      </c>
      <c r="AV99" s="73">
        <v>452</v>
      </c>
      <c r="AW99" s="73"/>
      <c r="AX99" s="73"/>
      <c r="AY99" s="73"/>
      <c r="AZ99" s="73"/>
      <c r="BA99" s="73"/>
      <c r="BB99" s="73"/>
      <c r="BC99" s="73"/>
      <c r="BD99" s="69"/>
      <c r="BE99" s="69"/>
      <c r="CE99" s="94">
        <f t="shared" si="8"/>
        <v>1876</v>
      </c>
      <c r="CF99" s="73">
        <f t="shared" si="7"/>
        <v>0</v>
      </c>
      <c r="CG99" s="75">
        <f t="shared" si="10"/>
        <v>6160</v>
      </c>
      <c r="CH99" s="75" t="str">
        <f t="shared" si="10"/>
        <v>برنامج دولى</v>
      </c>
    </row>
    <row r="100" spans="3:86" ht="18.75" x14ac:dyDescent="0.25">
      <c r="C100" s="78">
        <v>10413</v>
      </c>
      <c r="D100" s="70">
        <v>6161</v>
      </c>
      <c r="E100" s="103" t="s">
        <v>78</v>
      </c>
      <c r="F100" s="79" t="s">
        <v>667</v>
      </c>
      <c r="H100" s="73">
        <v>16800</v>
      </c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3"/>
      <c r="AS100" s="94">
        <f t="shared" si="9"/>
        <v>16800</v>
      </c>
      <c r="AT100" s="73">
        <v>14990.3</v>
      </c>
      <c r="AU100" s="73">
        <v>1809.7</v>
      </c>
      <c r="AV100" s="73"/>
      <c r="AW100" s="73"/>
      <c r="AX100" s="73"/>
      <c r="AY100" s="73"/>
      <c r="AZ100" s="73"/>
      <c r="BA100" s="73"/>
      <c r="BB100" s="73"/>
      <c r="BC100" s="73"/>
      <c r="BD100" s="69"/>
      <c r="BE100" s="69"/>
      <c r="CE100" s="94">
        <f t="shared" si="8"/>
        <v>16800</v>
      </c>
      <c r="CF100" s="73">
        <f t="shared" si="7"/>
        <v>0</v>
      </c>
      <c r="CG100" s="75">
        <f t="shared" si="10"/>
        <v>6161</v>
      </c>
      <c r="CH100" s="75" t="str">
        <f t="shared" si="10"/>
        <v>برنامج دولى</v>
      </c>
    </row>
    <row r="101" spans="3:86" ht="18.75" x14ac:dyDescent="0.25">
      <c r="C101" s="78">
        <v>10492</v>
      </c>
      <c r="D101" s="70">
        <v>6162</v>
      </c>
      <c r="E101" s="103" t="s">
        <v>78</v>
      </c>
      <c r="F101" s="79" t="s">
        <v>2231</v>
      </c>
      <c r="H101" s="73">
        <v>1172.5</v>
      </c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94">
        <f t="shared" si="9"/>
        <v>1172.5</v>
      </c>
      <c r="AT101" s="73">
        <v>784.1</v>
      </c>
      <c r="AU101" s="73">
        <v>105.9</v>
      </c>
      <c r="AV101" s="73">
        <v>282.5</v>
      </c>
      <c r="AW101" s="73"/>
      <c r="AX101" s="73"/>
      <c r="AY101" s="73"/>
      <c r="AZ101" s="73"/>
      <c r="BA101" s="73"/>
      <c r="BB101" s="73"/>
      <c r="BC101" s="73"/>
      <c r="BD101" s="69"/>
      <c r="BE101" s="69"/>
      <c r="CE101" s="94">
        <f t="shared" si="8"/>
        <v>1172.5</v>
      </c>
      <c r="CF101" s="73">
        <f t="shared" si="7"/>
        <v>0</v>
      </c>
      <c r="CG101" s="75">
        <f t="shared" si="10"/>
        <v>6162</v>
      </c>
      <c r="CH101" s="75" t="str">
        <f t="shared" si="10"/>
        <v>برنامج دولى</v>
      </c>
    </row>
    <row r="102" spans="3:86" ht="18.75" x14ac:dyDescent="0.25">
      <c r="C102" s="78">
        <v>10750</v>
      </c>
      <c r="D102" s="70">
        <v>6163</v>
      </c>
      <c r="E102" s="103" t="s">
        <v>78</v>
      </c>
      <c r="F102" s="79" t="s">
        <v>2232</v>
      </c>
      <c r="H102" s="73">
        <v>800</v>
      </c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94">
        <f t="shared" si="9"/>
        <v>800</v>
      </c>
      <c r="AT102" s="73">
        <v>714.75</v>
      </c>
      <c r="AU102" s="73">
        <v>85.25</v>
      </c>
      <c r="AV102" s="73"/>
      <c r="AW102" s="73"/>
      <c r="AX102" s="73"/>
      <c r="AY102" s="73"/>
      <c r="AZ102" s="73"/>
      <c r="BA102" s="73"/>
      <c r="BB102" s="73"/>
      <c r="BC102" s="73"/>
      <c r="BD102" s="69"/>
      <c r="BE102" s="69"/>
      <c r="CE102" s="94">
        <f t="shared" si="8"/>
        <v>800</v>
      </c>
      <c r="CF102" s="73">
        <f t="shared" si="7"/>
        <v>0</v>
      </c>
      <c r="CG102" s="75">
        <f t="shared" si="10"/>
        <v>6163</v>
      </c>
      <c r="CH102" s="75" t="str">
        <f t="shared" si="10"/>
        <v>برنامج دولى</v>
      </c>
    </row>
    <row r="103" spans="3:86" ht="18.75" x14ac:dyDescent="0.25">
      <c r="C103" s="78">
        <v>10751</v>
      </c>
      <c r="D103" s="70">
        <v>6164</v>
      </c>
      <c r="E103" s="103" t="s">
        <v>78</v>
      </c>
      <c r="F103" s="79" t="s">
        <v>2229</v>
      </c>
      <c r="H103" s="73">
        <v>367.28</v>
      </c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94">
        <f t="shared" si="9"/>
        <v>367.28</v>
      </c>
      <c r="AT103" s="73">
        <v>328.45</v>
      </c>
      <c r="AU103" s="73">
        <v>38.83</v>
      </c>
      <c r="AV103" s="73"/>
      <c r="AW103" s="73"/>
      <c r="AX103" s="73"/>
      <c r="AY103" s="73"/>
      <c r="AZ103" s="73"/>
      <c r="BA103" s="73"/>
      <c r="BB103" s="73"/>
      <c r="BC103" s="73"/>
      <c r="BD103" s="69"/>
      <c r="BE103" s="69"/>
      <c r="CE103" s="94">
        <f t="shared" si="8"/>
        <v>367.28</v>
      </c>
      <c r="CF103" s="73">
        <f t="shared" si="7"/>
        <v>0</v>
      </c>
      <c r="CG103" s="75">
        <f t="shared" si="10"/>
        <v>6164</v>
      </c>
      <c r="CH103" s="75" t="str">
        <f t="shared" si="10"/>
        <v>برنامج دولى</v>
      </c>
    </row>
    <row r="104" spans="3:86" ht="18.75" x14ac:dyDescent="0.25">
      <c r="C104" s="78">
        <v>10752</v>
      </c>
      <c r="D104" s="70">
        <v>6165</v>
      </c>
      <c r="E104" s="103" t="s">
        <v>78</v>
      </c>
      <c r="F104" s="79" t="s">
        <v>2233</v>
      </c>
      <c r="H104" s="73">
        <v>469</v>
      </c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94">
        <f t="shared" si="9"/>
        <v>469</v>
      </c>
      <c r="AT104" s="73">
        <v>314</v>
      </c>
      <c r="AU104" s="73">
        <v>42</v>
      </c>
      <c r="AV104" s="73">
        <v>113</v>
      </c>
      <c r="AW104" s="73"/>
      <c r="AX104" s="73"/>
      <c r="AY104" s="73"/>
      <c r="AZ104" s="73"/>
      <c r="BA104" s="73"/>
      <c r="BB104" s="73"/>
      <c r="BC104" s="73"/>
      <c r="BD104" s="69"/>
      <c r="BE104" s="69"/>
      <c r="CE104" s="94">
        <f t="shared" si="8"/>
        <v>469</v>
      </c>
      <c r="CF104" s="73">
        <f t="shared" si="7"/>
        <v>0</v>
      </c>
      <c r="CG104" s="75">
        <f t="shared" si="10"/>
        <v>6165</v>
      </c>
      <c r="CH104" s="75" t="str">
        <f t="shared" si="10"/>
        <v>برنامج دولى</v>
      </c>
    </row>
    <row r="105" spans="3:86" x14ac:dyDescent="0.25">
      <c r="D105" s="70">
        <v>6166</v>
      </c>
      <c r="E105" s="107" t="s">
        <v>1431</v>
      </c>
      <c r="F105" s="69" t="s">
        <v>899</v>
      </c>
      <c r="CG105" s="75">
        <f t="shared" si="10"/>
        <v>6166</v>
      </c>
      <c r="CH105" s="75" t="str">
        <f t="shared" si="10"/>
        <v>لاب فقط</v>
      </c>
    </row>
    <row r="106" spans="3:86" x14ac:dyDescent="0.25">
      <c r="C106" s="78">
        <v>10362</v>
      </c>
      <c r="D106" s="70">
        <v>6167</v>
      </c>
      <c r="E106" s="107" t="s">
        <v>130</v>
      </c>
      <c r="F106" s="79" t="s">
        <v>1885</v>
      </c>
      <c r="H106" s="73">
        <v>452.58</v>
      </c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3"/>
      <c r="AS106" s="94">
        <f t="shared" si="9"/>
        <v>452.58</v>
      </c>
      <c r="AT106" s="73">
        <v>306.94</v>
      </c>
      <c r="AU106" s="73">
        <v>17.3</v>
      </c>
      <c r="AV106" s="73">
        <v>109.04</v>
      </c>
      <c r="AW106" s="73">
        <v>19.3</v>
      </c>
      <c r="AX106" s="73"/>
      <c r="AY106" s="73"/>
      <c r="AZ106" s="73"/>
      <c r="BA106" s="73"/>
      <c r="BB106" s="73"/>
      <c r="BC106" s="73"/>
      <c r="BD106" s="69"/>
      <c r="BE106" s="69"/>
      <c r="CE106" s="94">
        <f t="shared" si="8"/>
        <v>452.58000000000004</v>
      </c>
      <c r="CF106" s="73">
        <f t="shared" si="7"/>
        <v>0</v>
      </c>
      <c r="CG106" s="75">
        <f t="shared" si="10"/>
        <v>6167</v>
      </c>
      <c r="CH106" s="75" t="str">
        <f t="shared" si="10"/>
        <v>خ ت طب</v>
      </c>
    </row>
    <row r="107" spans="3:86" x14ac:dyDescent="0.25">
      <c r="C107" s="78">
        <v>9273</v>
      </c>
      <c r="D107" s="70">
        <v>6168</v>
      </c>
      <c r="E107" s="107" t="s">
        <v>137</v>
      </c>
      <c r="F107" s="79" t="s">
        <v>2234</v>
      </c>
      <c r="H107" s="73">
        <v>703.5</v>
      </c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94">
        <f t="shared" si="9"/>
        <v>703.5</v>
      </c>
      <c r="AT107" s="73">
        <v>440.6</v>
      </c>
      <c r="AU107" s="73">
        <v>63.4</v>
      </c>
      <c r="AV107" s="73">
        <v>169.5</v>
      </c>
      <c r="AW107" s="73">
        <v>30</v>
      </c>
      <c r="AX107" s="73"/>
      <c r="AY107" s="73"/>
      <c r="AZ107" s="73"/>
      <c r="BA107" s="73"/>
      <c r="BB107" s="73"/>
      <c r="BC107" s="73"/>
      <c r="BD107" s="69"/>
      <c r="BE107" s="69"/>
      <c r="CE107" s="94">
        <f t="shared" si="8"/>
        <v>703.5</v>
      </c>
      <c r="CF107" s="73">
        <f t="shared" si="7"/>
        <v>0</v>
      </c>
      <c r="CG107" s="75">
        <f t="shared" si="10"/>
        <v>6168</v>
      </c>
      <c r="CH107" s="75" t="str">
        <f t="shared" si="10"/>
        <v xml:space="preserve">خدمة عامة </v>
      </c>
    </row>
    <row r="108" spans="3:86" x14ac:dyDescent="0.25">
      <c r="C108" s="78">
        <v>9270</v>
      </c>
      <c r="D108" s="70">
        <v>6169</v>
      </c>
      <c r="E108" s="107" t="s">
        <v>137</v>
      </c>
      <c r="F108" s="79" t="s">
        <v>2234</v>
      </c>
      <c r="H108" s="73">
        <v>58074.85</v>
      </c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94">
        <f t="shared" si="9"/>
        <v>58074.85</v>
      </c>
      <c r="AT108" s="73">
        <v>39413.56</v>
      </c>
      <c r="AU108" s="73">
        <v>5477.55</v>
      </c>
      <c r="AV108" s="73">
        <v>10603.74</v>
      </c>
      <c r="AW108" s="73">
        <v>2580</v>
      </c>
      <c r="AX108" s="73"/>
      <c r="AY108" s="73"/>
      <c r="AZ108" s="73"/>
      <c r="BA108" s="73"/>
      <c r="BB108" s="73"/>
      <c r="BC108" s="73"/>
      <c r="BD108" s="69"/>
      <c r="BE108" s="69"/>
      <c r="CE108" s="94">
        <f t="shared" si="8"/>
        <v>58074.85</v>
      </c>
      <c r="CF108" s="73">
        <f t="shared" si="7"/>
        <v>0</v>
      </c>
      <c r="CG108" s="75">
        <f t="shared" si="10"/>
        <v>6169</v>
      </c>
      <c r="CH108" s="75" t="str">
        <f t="shared" si="10"/>
        <v xml:space="preserve">خدمة عامة </v>
      </c>
    </row>
    <row r="109" spans="3:86" x14ac:dyDescent="0.25">
      <c r="D109" s="75">
        <v>6170</v>
      </c>
      <c r="E109" s="107" t="s">
        <v>1431</v>
      </c>
      <c r="F109" s="69" t="s">
        <v>899</v>
      </c>
      <c r="CG109" s="75">
        <f t="shared" si="10"/>
        <v>6170</v>
      </c>
      <c r="CH109" s="75" t="str">
        <f t="shared" si="10"/>
        <v>لاب فقط</v>
      </c>
    </row>
    <row r="110" spans="3:86" x14ac:dyDescent="0.25">
      <c r="C110" s="78">
        <v>9271</v>
      </c>
      <c r="D110" s="70">
        <v>6171</v>
      </c>
      <c r="E110" s="107" t="s">
        <v>137</v>
      </c>
      <c r="F110" s="79" t="s">
        <v>2234</v>
      </c>
      <c r="H110" s="69">
        <v>2696.75</v>
      </c>
      <c r="U110" s="69"/>
      <c r="V110" s="69"/>
      <c r="AS110" s="94">
        <f t="shared" si="9"/>
        <v>2696.75</v>
      </c>
      <c r="AT110" s="69">
        <v>1688.6</v>
      </c>
      <c r="AU110" s="69">
        <v>243.4</v>
      </c>
      <c r="AV110" s="69">
        <v>649.75</v>
      </c>
      <c r="AW110" s="69">
        <v>115</v>
      </c>
      <c r="BD110" s="69"/>
      <c r="BE110" s="69"/>
      <c r="CE110" s="94">
        <f t="shared" ref="CE110:CE137" si="11">SUM(AT110:CD110)</f>
        <v>2696.75</v>
      </c>
      <c r="CF110" s="73">
        <f t="shared" ref="CF110:CF137" si="12">+CE110-AS110</f>
        <v>0</v>
      </c>
      <c r="CG110" s="75">
        <f t="shared" si="10"/>
        <v>6171</v>
      </c>
      <c r="CH110" s="75" t="str">
        <f t="shared" si="10"/>
        <v xml:space="preserve">خدمة عامة </v>
      </c>
    </row>
    <row r="111" spans="3:86" x14ac:dyDescent="0.25">
      <c r="C111" s="78">
        <v>9275</v>
      </c>
      <c r="D111" s="70">
        <v>6172</v>
      </c>
      <c r="E111" s="107" t="s">
        <v>137</v>
      </c>
      <c r="F111" s="79" t="s">
        <v>2234</v>
      </c>
      <c r="H111" s="69">
        <v>850</v>
      </c>
      <c r="U111" s="69"/>
      <c r="V111" s="69"/>
      <c r="AS111" s="94">
        <f t="shared" si="9"/>
        <v>850</v>
      </c>
      <c r="AT111" s="69">
        <v>716.9</v>
      </c>
      <c r="AU111" s="69">
        <v>90.6</v>
      </c>
      <c r="AW111" s="69">
        <v>42.5</v>
      </c>
      <c r="BD111" s="69"/>
      <c r="BE111" s="69"/>
      <c r="CE111" s="94">
        <f t="shared" si="11"/>
        <v>850</v>
      </c>
      <c r="CF111" s="73">
        <f t="shared" si="12"/>
        <v>0</v>
      </c>
      <c r="CG111" s="75">
        <f t="shared" si="10"/>
        <v>6172</v>
      </c>
      <c r="CH111" s="75" t="str">
        <f t="shared" si="10"/>
        <v xml:space="preserve">خدمة عامة </v>
      </c>
    </row>
    <row r="112" spans="3:86" x14ac:dyDescent="0.25">
      <c r="C112" s="78">
        <v>9274</v>
      </c>
      <c r="D112" s="70">
        <v>6173</v>
      </c>
      <c r="E112" s="107" t="s">
        <v>137</v>
      </c>
      <c r="F112" s="79" t="s">
        <v>2234</v>
      </c>
      <c r="H112" s="69">
        <v>16554.099999999999</v>
      </c>
      <c r="U112" s="69"/>
      <c r="V112" s="69"/>
      <c r="AS112" s="94">
        <f t="shared" si="9"/>
        <v>16554.099999999999</v>
      </c>
      <c r="AT112" s="69">
        <v>10486.03</v>
      </c>
      <c r="AU112" s="69">
        <v>1502.8</v>
      </c>
      <c r="AV112" s="69">
        <v>3855.27</v>
      </c>
      <c r="AW112" s="69">
        <v>710</v>
      </c>
      <c r="BD112" s="69"/>
      <c r="BE112" s="69"/>
      <c r="CE112" s="94">
        <f t="shared" si="11"/>
        <v>16554.099999999999</v>
      </c>
      <c r="CF112" s="73">
        <f t="shared" si="12"/>
        <v>0</v>
      </c>
      <c r="CG112" s="75">
        <f t="shared" si="10"/>
        <v>6173</v>
      </c>
      <c r="CH112" s="75" t="str">
        <f t="shared" si="10"/>
        <v xml:space="preserve">خدمة عامة </v>
      </c>
    </row>
    <row r="113" spans="3:86" x14ac:dyDescent="0.25">
      <c r="C113" s="78">
        <v>9272</v>
      </c>
      <c r="D113" s="70">
        <v>6174</v>
      </c>
      <c r="E113" s="107" t="s">
        <v>137</v>
      </c>
      <c r="F113" s="79" t="s">
        <v>2234</v>
      </c>
      <c r="H113" s="69">
        <v>3517.5</v>
      </c>
      <c r="U113" s="69"/>
      <c r="V113" s="69"/>
      <c r="AS113" s="94">
        <f t="shared" si="9"/>
        <v>3517.5</v>
      </c>
      <c r="AT113" s="69">
        <v>2203</v>
      </c>
      <c r="AU113" s="69">
        <v>317</v>
      </c>
      <c r="AV113" s="69">
        <v>847.5</v>
      </c>
      <c r="AW113" s="69">
        <v>150</v>
      </c>
      <c r="BD113" s="69"/>
      <c r="BE113" s="69"/>
      <c r="CE113" s="94">
        <f t="shared" si="11"/>
        <v>3517.5</v>
      </c>
      <c r="CF113" s="73">
        <f t="shared" si="12"/>
        <v>0</v>
      </c>
      <c r="CG113" s="75">
        <f t="shared" si="10"/>
        <v>6174</v>
      </c>
      <c r="CH113" s="75" t="str">
        <f t="shared" si="10"/>
        <v xml:space="preserve">خدمة عامة </v>
      </c>
    </row>
    <row r="114" spans="3:86" x14ac:dyDescent="0.25">
      <c r="C114" s="78">
        <v>8546</v>
      </c>
      <c r="D114" s="70">
        <v>6175</v>
      </c>
      <c r="E114" s="107" t="s">
        <v>137</v>
      </c>
      <c r="F114" s="79" t="s">
        <v>2235</v>
      </c>
      <c r="H114" s="69">
        <v>4631.37</v>
      </c>
      <c r="U114" s="69"/>
      <c r="V114" s="69"/>
      <c r="AS114" s="94">
        <f t="shared" si="9"/>
        <v>4631.37</v>
      </c>
      <c r="AT114" s="69">
        <v>2901.9</v>
      </c>
      <c r="AU114" s="69">
        <v>416.1</v>
      </c>
      <c r="AV114" s="69">
        <v>1115.8699999999999</v>
      </c>
      <c r="AW114" s="69">
        <v>197.5</v>
      </c>
      <c r="BD114" s="69"/>
      <c r="BE114" s="69"/>
      <c r="CE114" s="94">
        <f t="shared" si="11"/>
        <v>4631.37</v>
      </c>
      <c r="CF114" s="73">
        <f t="shared" si="12"/>
        <v>0</v>
      </c>
      <c r="CG114" s="75">
        <f t="shared" si="10"/>
        <v>6175</v>
      </c>
      <c r="CH114" s="75" t="str">
        <f t="shared" si="10"/>
        <v xml:space="preserve">خدمة عامة </v>
      </c>
    </row>
    <row r="115" spans="3:86" x14ac:dyDescent="0.25">
      <c r="C115" s="78">
        <v>8545</v>
      </c>
      <c r="D115" s="70">
        <v>6176</v>
      </c>
      <c r="E115" s="107" t="s">
        <v>137</v>
      </c>
      <c r="F115" s="79" t="s">
        <v>2235</v>
      </c>
      <c r="H115" s="69">
        <v>3752</v>
      </c>
      <c r="U115" s="69"/>
      <c r="V115" s="69"/>
      <c r="AS115" s="94">
        <f t="shared" si="9"/>
        <v>3752</v>
      </c>
      <c r="AT115" s="69">
        <v>2348</v>
      </c>
      <c r="AU115" s="69">
        <v>340</v>
      </c>
      <c r="AV115" s="69">
        <v>904</v>
      </c>
      <c r="AW115" s="69">
        <v>160</v>
      </c>
      <c r="BD115" s="69"/>
      <c r="BE115" s="69"/>
      <c r="CE115" s="94">
        <f t="shared" si="11"/>
        <v>3752</v>
      </c>
      <c r="CF115" s="73">
        <f t="shared" si="12"/>
        <v>0</v>
      </c>
      <c r="CG115" s="75">
        <f t="shared" si="10"/>
        <v>6176</v>
      </c>
      <c r="CH115" s="75" t="str">
        <f t="shared" si="10"/>
        <v xml:space="preserve">خدمة عامة </v>
      </c>
    </row>
    <row r="116" spans="3:86" x14ac:dyDescent="0.25">
      <c r="C116" s="78">
        <v>10106</v>
      </c>
      <c r="D116" s="70">
        <v>6177</v>
      </c>
      <c r="E116" s="107" t="s">
        <v>137</v>
      </c>
      <c r="F116" s="79" t="s">
        <v>2236</v>
      </c>
      <c r="H116" s="69">
        <v>4631.37</v>
      </c>
      <c r="U116" s="69"/>
      <c r="V116" s="69"/>
      <c r="AS116" s="94">
        <f t="shared" si="9"/>
        <v>4631.37</v>
      </c>
      <c r="AT116" s="69">
        <v>2901.9</v>
      </c>
      <c r="AU116" s="69">
        <v>416.1</v>
      </c>
      <c r="AV116" s="69">
        <v>1115.8699999999999</v>
      </c>
      <c r="AW116" s="69">
        <v>197.5</v>
      </c>
      <c r="BD116" s="69"/>
      <c r="BE116" s="69"/>
      <c r="CE116" s="94">
        <f t="shared" si="11"/>
        <v>4631.37</v>
      </c>
      <c r="CF116" s="73">
        <f t="shared" si="12"/>
        <v>0</v>
      </c>
      <c r="CG116" s="75">
        <f t="shared" si="10"/>
        <v>6177</v>
      </c>
      <c r="CH116" s="75" t="str">
        <f t="shared" si="10"/>
        <v xml:space="preserve">خدمة عامة </v>
      </c>
    </row>
    <row r="117" spans="3:86" x14ac:dyDescent="0.25">
      <c r="C117" s="78">
        <v>10107</v>
      </c>
      <c r="D117" s="70">
        <v>6178</v>
      </c>
      <c r="E117" s="107" t="s">
        <v>137</v>
      </c>
      <c r="F117" s="79" t="s">
        <v>2236</v>
      </c>
      <c r="H117" s="69">
        <v>3752</v>
      </c>
      <c r="U117" s="69"/>
      <c r="V117" s="69"/>
      <c r="AS117" s="94">
        <f t="shared" si="9"/>
        <v>3752</v>
      </c>
      <c r="AT117" s="69">
        <v>2348</v>
      </c>
      <c r="AU117" s="69">
        <v>340</v>
      </c>
      <c r="AV117" s="69">
        <v>904</v>
      </c>
      <c r="AW117" s="69">
        <v>160</v>
      </c>
      <c r="BD117" s="69"/>
      <c r="BE117" s="69"/>
      <c r="CE117" s="94">
        <f t="shared" si="11"/>
        <v>3752</v>
      </c>
      <c r="CF117" s="73">
        <f t="shared" si="12"/>
        <v>0</v>
      </c>
      <c r="CG117" s="75">
        <f t="shared" si="10"/>
        <v>6178</v>
      </c>
      <c r="CH117" s="75" t="str">
        <f t="shared" si="10"/>
        <v xml:space="preserve">خدمة عامة </v>
      </c>
    </row>
    <row r="118" spans="3:86" x14ac:dyDescent="0.25">
      <c r="C118" s="78">
        <v>10295</v>
      </c>
      <c r="D118" s="70">
        <v>6179</v>
      </c>
      <c r="E118" s="107" t="s">
        <v>137</v>
      </c>
      <c r="F118" s="79" t="s">
        <v>2237</v>
      </c>
      <c r="H118" s="69">
        <v>1231.1400000000001</v>
      </c>
      <c r="U118" s="69"/>
      <c r="V118" s="69"/>
      <c r="AS118" s="94">
        <f t="shared" si="9"/>
        <v>1231.1400000000001</v>
      </c>
      <c r="AT118" s="69">
        <v>824.4</v>
      </c>
      <c r="AU118" s="69">
        <v>110.1</v>
      </c>
      <c r="AV118" s="69">
        <v>296.64</v>
      </c>
      <c r="BD118" s="69"/>
      <c r="BE118" s="69"/>
      <c r="CE118" s="94">
        <f t="shared" si="11"/>
        <v>1231.1399999999999</v>
      </c>
      <c r="CF118" s="73">
        <f t="shared" si="12"/>
        <v>0</v>
      </c>
      <c r="CG118" s="75">
        <f t="shared" si="10"/>
        <v>6179</v>
      </c>
      <c r="CH118" s="75" t="str">
        <f t="shared" si="10"/>
        <v xml:space="preserve">خدمة عامة </v>
      </c>
    </row>
    <row r="119" spans="3:86" x14ac:dyDescent="0.25">
      <c r="C119" s="78">
        <v>8548</v>
      </c>
      <c r="D119" s="70">
        <v>6180</v>
      </c>
      <c r="E119" s="107" t="s">
        <v>137</v>
      </c>
      <c r="F119" s="79" t="s">
        <v>2238</v>
      </c>
      <c r="H119" s="69">
        <v>3283</v>
      </c>
      <c r="U119" s="69"/>
      <c r="V119" s="69"/>
      <c r="AS119" s="94">
        <f t="shared" si="9"/>
        <v>3283</v>
      </c>
      <c r="AT119" s="69">
        <v>2053.65</v>
      </c>
      <c r="AU119" s="69">
        <f>18.35+280</f>
        <v>298.35000000000002</v>
      </c>
      <c r="AV119" s="69">
        <v>791</v>
      </c>
      <c r="AW119" s="69">
        <v>140</v>
      </c>
      <c r="BD119" s="69"/>
      <c r="BE119" s="69"/>
      <c r="CE119" s="94">
        <f t="shared" si="11"/>
        <v>3283</v>
      </c>
      <c r="CF119" s="73">
        <f t="shared" si="12"/>
        <v>0</v>
      </c>
      <c r="CG119" s="75">
        <f t="shared" si="10"/>
        <v>6180</v>
      </c>
      <c r="CH119" s="75" t="str">
        <f t="shared" si="10"/>
        <v xml:space="preserve">خدمة عامة </v>
      </c>
    </row>
    <row r="120" spans="3:86" x14ac:dyDescent="0.25">
      <c r="C120" s="78">
        <v>10627</v>
      </c>
      <c r="D120" s="70">
        <v>6181</v>
      </c>
      <c r="E120" s="107" t="s">
        <v>132</v>
      </c>
      <c r="F120" s="79" t="s">
        <v>425</v>
      </c>
      <c r="H120" s="69">
        <v>586.25</v>
      </c>
      <c r="U120" s="69"/>
      <c r="V120" s="69"/>
      <c r="AS120" s="94">
        <f t="shared" si="9"/>
        <v>586.25</v>
      </c>
      <c r="AT120" s="69">
        <v>341.85</v>
      </c>
      <c r="AU120" s="69">
        <f>3.15+50</f>
        <v>53.15</v>
      </c>
      <c r="AV120" s="69">
        <v>141.25</v>
      </c>
      <c r="AW120" s="69">
        <v>50</v>
      </c>
      <c r="BD120" s="69"/>
      <c r="BE120" s="69"/>
      <c r="CE120" s="94">
        <f t="shared" si="11"/>
        <v>586.25</v>
      </c>
      <c r="CF120" s="73">
        <f t="shared" si="12"/>
        <v>0</v>
      </c>
      <c r="CG120" s="75">
        <f t="shared" si="10"/>
        <v>6181</v>
      </c>
      <c r="CH120" s="75" t="str">
        <f t="shared" si="10"/>
        <v>صيدلة اكلينيكى</v>
      </c>
    </row>
    <row r="121" spans="3:86" x14ac:dyDescent="0.25">
      <c r="C121" s="78">
        <v>10626</v>
      </c>
      <c r="D121" s="70">
        <v>6182</v>
      </c>
      <c r="E121" s="107" t="s">
        <v>132</v>
      </c>
      <c r="F121" s="79" t="s">
        <v>425</v>
      </c>
      <c r="H121" s="69">
        <v>879.38</v>
      </c>
      <c r="U121" s="69"/>
      <c r="V121" s="69"/>
      <c r="AS121" s="94">
        <f t="shared" si="9"/>
        <v>879.38</v>
      </c>
      <c r="AT121" s="69">
        <v>512.6</v>
      </c>
      <c r="AU121" s="69">
        <f>4.9+75</f>
        <v>79.900000000000006</v>
      </c>
      <c r="AV121" s="69">
        <v>211.88</v>
      </c>
      <c r="AW121" s="69">
        <v>75</v>
      </c>
      <c r="BD121" s="69"/>
      <c r="BE121" s="69"/>
      <c r="CE121" s="94">
        <f t="shared" si="11"/>
        <v>879.38</v>
      </c>
      <c r="CF121" s="73">
        <f t="shared" si="12"/>
        <v>0</v>
      </c>
      <c r="CG121" s="75">
        <f t="shared" si="10"/>
        <v>6182</v>
      </c>
      <c r="CH121" s="75" t="str">
        <f t="shared" si="10"/>
        <v>صيدلة اكلينيكى</v>
      </c>
    </row>
    <row r="122" spans="3:86" x14ac:dyDescent="0.25">
      <c r="C122" s="78">
        <v>10625</v>
      </c>
      <c r="D122" s="70">
        <v>6183</v>
      </c>
      <c r="E122" s="107" t="s">
        <v>132</v>
      </c>
      <c r="F122" s="79" t="s">
        <v>425</v>
      </c>
      <c r="H122" s="69">
        <v>3750</v>
      </c>
      <c r="U122" s="69"/>
      <c r="V122" s="69"/>
      <c r="AS122" s="94">
        <f t="shared" si="9"/>
        <v>3750</v>
      </c>
      <c r="AT122" s="69">
        <v>2974.15</v>
      </c>
      <c r="AU122" s="69">
        <v>400.85</v>
      </c>
      <c r="AW122" s="69">
        <v>375</v>
      </c>
      <c r="BD122" s="69"/>
      <c r="BE122" s="69"/>
      <c r="CE122" s="94">
        <f t="shared" si="11"/>
        <v>3750</v>
      </c>
      <c r="CF122" s="73">
        <f t="shared" si="12"/>
        <v>0</v>
      </c>
      <c r="CG122" s="75">
        <f t="shared" si="10"/>
        <v>6183</v>
      </c>
      <c r="CH122" s="75" t="str">
        <f t="shared" si="10"/>
        <v>صيدلة اكلينيكى</v>
      </c>
    </row>
    <row r="123" spans="3:86" x14ac:dyDescent="0.25">
      <c r="C123" s="78">
        <v>10693</v>
      </c>
      <c r="D123" s="70">
        <v>6184</v>
      </c>
      <c r="E123" s="107" t="s">
        <v>132</v>
      </c>
      <c r="F123" s="79" t="s">
        <v>425</v>
      </c>
      <c r="H123" s="69">
        <v>879.38</v>
      </c>
      <c r="U123" s="69"/>
      <c r="V123" s="69"/>
      <c r="AS123" s="94">
        <f t="shared" si="9"/>
        <v>879.38</v>
      </c>
      <c r="AT123" s="69">
        <v>512.6</v>
      </c>
      <c r="AU123" s="69">
        <f>4.9+75</f>
        <v>79.900000000000006</v>
      </c>
      <c r="AV123" s="69">
        <v>211.88</v>
      </c>
      <c r="AW123" s="69">
        <v>75</v>
      </c>
      <c r="BD123" s="69"/>
      <c r="BE123" s="69"/>
      <c r="CE123" s="94">
        <f t="shared" si="11"/>
        <v>879.38</v>
      </c>
      <c r="CF123" s="73">
        <f t="shared" si="12"/>
        <v>0</v>
      </c>
      <c r="CG123" s="75">
        <f t="shared" si="10"/>
        <v>6184</v>
      </c>
      <c r="CH123" s="75" t="str">
        <f t="shared" si="10"/>
        <v>صيدلة اكلينيكى</v>
      </c>
    </row>
    <row r="124" spans="3:86" x14ac:dyDescent="0.25">
      <c r="C124" s="78">
        <v>10692</v>
      </c>
      <c r="D124" s="70">
        <v>6185</v>
      </c>
      <c r="E124" s="107" t="s">
        <v>132</v>
      </c>
      <c r="F124" s="79" t="s">
        <v>425</v>
      </c>
      <c r="H124" s="69">
        <v>3086.25</v>
      </c>
      <c r="U124" s="69"/>
      <c r="V124" s="69"/>
      <c r="AS124" s="94">
        <f t="shared" si="9"/>
        <v>3086.25</v>
      </c>
      <c r="AT124" s="69">
        <v>2325.5500000000002</v>
      </c>
      <c r="AU124" s="69">
        <v>319.45</v>
      </c>
      <c r="AV124" s="69">
        <v>141.25</v>
      </c>
      <c r="AW124" s="69">
        <v>300</v>
      </c>
      <c r="BD124" s="69"/>
      <c r="BE124" s="69"/>
      <c r="CE124" s="94">
        <f t="shared" si="11"/>
        <v>3086.25</v>
      </c>
      <c r="CF124" s="73">
        <f t="shared" si="12"/>
        <v>0</v>
      </c>
      <c r="CG124" s="75">
        <f t="shared" si="10"/>
        <v>6185</v>
      </c>
      <c r="CH124" s="75" t="str">
        <f t="shared" si="10"/>
        <v>صيدلة اكلينيكى</v>
      </c>
    </row>
    <row r="125" spans="3:86" x14ac:dyDescent="0.25">
      <c r="C125" s="78">
        <v>10686</v>
      </c>
      <c r="D125" s="70">
        <v>6186</v>
      </c>
      <c r="E125" s="107" t="s">
        <v>132</v>
      </c>
      <c r="F125" s="79" t="s">
        <v>1562</v>
      </c>
      <c r="H125" s="69">
        <v>469</v>
      </c>
      <c r="U125" s="69"/>
      <c r="V125" s="69"/>
      <c r="AS125" s="94">
        <f t="shared" si="9"/>
        <v>469</v>
      </c>
      <c r="AT125" s="69">
        <v>273.7</v>
      </c>
      <c r="AU125" s="69">
        <f>2.3+40</f>
        <v>42.3</v>
      </c>
      <c r="AV125" s="69">
        <v>113</v>
      </c>
      <c r="AW125" s="69">
        <v>40</v>
      </c>
      <c r="BD125" s="69"/>
      <c r="BE125" s="69"/>
      <c r="CE125" s="94">
        <f t="shared" si="11"/>
        <v>469</v>
      </c>
      <c r="CF125" s="73">
        <f t="shared" si="12"/>
        <v>0</v>
      </c>
      <c r="CG125" s="75">
        <f t="shared" si="10"/>
        <v>6186</v>
      </c>
      <c r="CH125" s="75" t="str">
        <f t="shared" si="10"/>
        <v>صيدلة اكلينيكى</v>
      </c>
    </row>
    <row r="126" spans="3:86" x14ac:dyDescent="0.25">
      <c r="C126" s="78">
        <v>10684</v>
      </c>
      <c r="D126" s="70">
        <v>6187</v>
      </c>
      <c r="E126" s="107" t="s">
        <v>132</v>
      </c>
      <c r="F126" s="79" t="s">
        <v>1562</v>
      </c>
      <c r="H126" s="69">
        <v>2065.5700000000002</v>
      </c>
      <c r="U126" s="69"/>
      <c r="V126" s="69"/>
      <c r="AS126" s="94">
        <f t="shared" si="9"/>
        <v>2065.5700000000002</v>
      </c>
      <c r="AT126" s="69">
        <v>1450.5</v>
      </c>
      <c r="AU126" s="69">
        <v>205.14</v>
      </c>
      <c r="AV126" s="69">
        <v>216.59</v>
      </c>
      <c r="AW126" s="69">
        <v>193.34</v>
      </c>
      <c r="BD126" s="69"/>
      <c r="BE126" s="69"/>
      <c r="CE126" s="94">
        <f t="shared" si="11"/>
        <v>2065.5699999999997</v>
      </c>
      <c r="CF126" s="73">
        <f t="shared" si="12"/>
        <v>0</v>
      </c>
      <c r="CG126" s="75">
        <f t="shared" si="10"/>
        <v>6187</v>
      </c>
      <c r="CH126" s="75" t="str">
        <f t="shared" si="10"/>
        <v>صيدلة اكلينيكى</v>
      </c>
    </row>
    <row r="127" spans="3:86" x14ac:dyDescent="0.25">
      <c r="C127" s="78">
        <v>10685</v>
      </c>
      <c r="D127" s="70">
        <v>6188</v>
      </c>
      <c r="E127" s="107" t="s">
        <v>132</v>
      </c>
      <c r="F127" s="79" t="s">
        <v>1562</v>
      </c>
      <c r="H127" s="69">
        <v>366.66</v>
      </c>
      <c r="U127" s="69"/>
      <c r="V127" s="69"/>
      <c r="AS127" s="94">
        <f t="shared" si="9"/>
        <v>366.66</v>
      </c>
      <c r="AT127" s="69">
        <v>291.22000000000003</v>
      </c>
      <c r="AU127" s="69">
        <v>38.770000000000003</v>
      </c>
      <c r="AW127" s="69">
        <v>36.67</v>
      </c>
      <c r="BD127" s="69"/>
      <c r="BE127" s="69"/>
      <c r="CE127" s="94">
        <f t="shared" si="11"/>
        <v>366.66</v>
      </c>
      <c r="CF127" s="73">
        <f t="shared" si="12"/>
        <v>0</v>
      </c>
      <c r="CG127" s="75">
        <f t="shared" si="10"/>
        <v>6188</v>
      </c>
      <c r="CH127" s="75" t="str">
        <f t="shared" si="10"/>
        <v>صيدلة اكلينيكى</v>
      </c>
    </row>
    <row r="128" spans="3:86" x14ac:dyDescent="0.25">
      <c r="C128" s="78">
        <v>10691</v>
      </c>
      <c r="D128" s="70">
        <v>6189</v>
      </c>
      <c r="E128" s="107" t="s">
        <v>132</v>
      </c>
      <c r="F128" s="79" t="str">
        <f>+F122</f>
        <v>مكافاه مناقشه دكتوراه</v>
      </c>
      <c r="H128" s="69">
        <v>879.38</v>
      </c>
      <c r="U128" s="69"/>
      <c r="V128" s="69"/>
      <c r="AS128" s="94">
        <f t="shared" si="9"/>
        <v>879.38</v>
      </c>
      <c r="AT128" s="69">
        <v>550.65</v>
      </c>
      <c r="AU128" s="69">
        <f>4.35+75</f>
        <v>79.349999999999994</v>
      </c>
      <c r="AV128" s="69">
        <v>211.88</v>
      </c>
      <c r="AW128" s="69">
        <v>37.5</v>
      </c>
      <c r="BD128" s="69"/>
      <c r="BE128" s="69"/>
      <c r="CE128" s="94">
        <f t="shared" si="11"/>
        <v>879.38</v>
      </c>
      <c r="CF128" s="73">
        <f t="shared" si="12"/>
        <v>0</v>
      </c>
      <c r="CG128" s="75">
        <f t="shared" si="10"/>
        <v>6189</v>
      </c>
      <c r="CH128" s="75" t="str">
        <f t="shared" si="10"/>
        <v>صيدلة اكلينيكى</v>
      </c>
    </row>
    <row r="129" spans="3:86" x14ac:dyDescent="0.25">
      <c r="C129" s="78">
        <v>10690</v>
      </c>
      <c r="D129" s="70">
        <v>6190</v>
      </c>
      <c r="E129" s="107" t="s">
        <v>132</v>
      </c>
      <c r="F129" s="79" t="str">
        <f>+F123</f>
        <v>مكافاه مناقشه دكتوراه</v>
      </c>
      <c r="H129" s="69">
        <v>2500</v>
      </c>
      <c r="U129" s="69"/>
      <c r="V129" s="69"/>
      <c r="AS129" s="94">
        <f t="shared" si="9"/>
        <v>2500</v>
      </c>
      <c r="AT129" s="69">
        <v>2107.35</v>
      </c>
      <c r="AU129" s="69">
        <v>267.64999999999998</v>
      </c>
      <c r="AW129" s="69">
        <v>125</v>
      </c>
      <c r="BD129" s="69"/>
      <c r="BE129" s="69"/>
      <c r="CE129" s="94">
        <f t="shared" si="11"/>
        <v>2500</v>
      </c>
      <c r="CF129" s="73">
        <f t="shared" si="12"/>
        <v>0</v>
      </c>
      <c r="CG129" s="75">
        <f t="shared" si="10"/>
        <v>6190</v>
      </c>
      <c r="CH129" s="75" t="str">
        <f t="shared" si="10"/>
        <v>صيدلة اكلينيكى</v>
      </c>
    </row>
    <row r="130" spans="3:86" x14ac:dyDescent="0.25">
      <c r="C130" s="78">
        <v>10689</v>
      </c>
      <c r="D130" s="70">
        <v>6191</v>
      </c>
      <c r="E130" s="107" t="s">
        <v>132</v>
      </c>
      <c r="F130" s="79" t="str">
        <f>+F124</f>
        <v>مكافاه مناقشه دكتوراه</v>
      </c>
      <c r="H130" s="69">
        <v>1000</v>
      </c>
      <c r="U130" s="69"/>
      <c r="V130" s="69"/>
      <c r="AS130" s="94">
        <f t="shared" si="9"/>
        <v>1000</v>
      </c>
      <c r="AT130" s="69">
        <v>843.35</v>
      </c>
      <c r="AU130" s="69">
        <v>106.65</v>
      </c>
      <c r="AW130" s="69">
        <v>50</v>
      </c>
      <c r="BD130" s="69"/>
      <c r="BE130" s="69"/>
      <c r="CE130" s="94">
        <f t="shared" si="11"/>
        <v>1000</v>
      </c>
      <c r="CF130" s="73">
        <f t="shared" si="12"/>
        <v>0</v>
      </c>
      <c r="CG130" s="75">
        <f t="shared" si="10"/>
        <v>6191</v>
      </c>
      <c r="CH130" s="75" t="str">
        <f t="shared" si="10"/>
        <v>صيدلة اكلينيكى</v>
      </c>
    </row>
    <row r="131" spans="3:86" x14ac:dyDescent="0.25">
      <c r="C131" s="78">
        <v>10683</v>
      </c>
      <c r="D131" s="70">
        <v>6192</v>
      </c>
      <c r="E131" s="107" t="s">
        <v>132</v>
      </c>
      <c r="F131" s="79" t="str">
        <f t="shared" ref="F131:F137" si="13">+F130</f>
        <v>مكافاه مناقشه دكتوراه</v>
      </c>
      <c r="H131" s="69">
        <v>586.25</v>
      </c>
      <c r="U131" s="69"/>
      <c r="V131" s="69"/>
      <c r="AS131" s="94">
        <f t="shared" si="9"/>
        <v>586.25</v>
      </c>
      <c r="AT131" s="69">
        <v>342.4</v>
      </c>
      <c r="AU131" s="69">
        <f>2.6+50</f>
        <v>52.6</v>
      </c>
      <c r="AV131" s="69">
        <v>141.25</v>
      </c>
      <c r="AW131" s="69">
        <v>50</v>
      </c>
      <c r="BD131" s="69"/>
      <c r="BE131" s="69"/>
      <c r="CE131" s="94">
        <f t="shared" si="11"/>
        <v>586.25</v>
      </c>
      <c r="CF131" s="73">
        <f t="shared" si="12"/>
        <v>0</v>
      </c>
      <c r="CG131" s="75">
        <f t="shared" si="10"/>
        <v>6192</v>
      </c>
      <c r="CH131" s="75" t="str">
        <f t="shared" si="10"/>
        <v>صيدلة اكلينيكى</v>
      </c>
    </row>
    <row r="132" spans="3:86" x14ac:dyDescent="0.25">
      <c r="C132" s="78">
        <v>10682</v>
      </c>
      <c r="D132" s="70">
        <v>6193</v>
      </c>
      <c r="E132" s="107" t="s">
        <v>132</v>
      </c>
      <c r="F132" s="79" t="str">
        <f t="shared" si="13"/>
        <v>مكافاه مناقشه دكتوراه</v>
      </c>
      <c r="H132" s="69">
        <v>1250</v>
      </c>
      <c r="U132" s="69"/>
      <c r="V132" s="69"/>
      <c r="AS132" s="94">
        <f t="shared" si="9"/>
        <v>1250</v>
      </c>
      <c r="AT132" s="69">
        <v>992.9</v>
      </c>
      <c r="AU132" s="69">
        <v>132.1</v>
      </c>
      <c r="AW132" s="69">
        <v>125</v>
      </c>
      <c r="BD132" s="69"/>
      <c r="BE132" s="69"/>
      <c r="CE132" s="94">
        <f t="shared" si="11"/>
        <v>1250</v>
      </c>
      <c r="CF132" s="73">
        <f t="shared" si="12"/>
        <v>0</v>
      </c>
      <c r="CG132" s="75">
        <f t="shared" si="10"/>
        <v>6193</v>
      </c>
      <c r="CH132" s="75" t="str">
        <f t="shared" si="10"/>
        <v>صيدلة اكلينيكى</v>
      </c>
    </row>
    <row r="133" spans="3:86" x14ac:dyDescent="0.25">
      <c r="C133" s="78">
        <v>10688</v>
      </c>
      <c r="D133" s="70">
        <v>6194</v>
      </c>
      <c r="E133" s="107" t="s">
        <v>132</v>
      </c>
      <c r="F133" s="79" t="str">
        <f t="shared" si="13"/>
        <v>مكافاه مناقشه دكتوراه</v>
      </c>
      <c r="H133" s="69">
        <v>879.38</v>
      </c>
      <c r="U133" s="69"/>
      <c r="V133" s="69"/>
      <c r="AS133" s="94">
        <f t="shared" si="9"/>
        <v>879.38</v>
      </c>
      <c r="AT133" s="69">
        <v>512.6</v>
      </c>
      <c r="AU133" s="69">
        <f>4.9+75</f>
        <v>79.900000000000006</v>
      </c>
      <c r="AV133" s="69">
        <v>211.88</v>
      </c>
      <c r="AW133" s="69">
        <v>75</v>
      </c>
      <c r="BD133" s="69"/>
      <c r="BE133" s="69"/>
      <c r="CE133" s="94">
        <f t="shared" si="11"/>
        <v>879.38</v>
      </c>
      <c r="CF133" s="73">
        <f t="shared" si="12"/>
        <v>0</v>
      </c>
      <c r="CG133" s="75">
        <f t="shared" si="10"/>
        <v>6194</v>
      </c>
      <c r="CH133" s="75" t="str">
        <f t="shared" si="10"/>
        <v>صيدلة اكلينيكى</v>
      </c>
    </row>
    <row r="134" spans="3:86" x14ac:dyDescent="0.25">
      <c r="C134" s="78">
        <v>10687</v>
      </c>
      <c r="D134" s="70">
        <v>6195</v>
      </c>
      <c r="E134" s="107" t="s">
        <v>132</v>
      </c>
      <c r="F134" s="79" t="str">
        <f t="shared" si="13"/>
        <v>مكافاه مناقشه دكتوراه</v>
      </c>
      <c r="H134" s="69">
        <v>3672.5</v>
      </c>
      <c r="U134" s="69"/>
      <c r="V134" s="69"/>
      <c r="AS134" s="94">
        <f t="shared" si="9"/>
        <v>3672.5</v>
      </c>
      <c r="AT134" s="69">
        <v>2491.5700000000002</v>
      </c>
      <c r="AU134" s="69">
        <v>548.42999999999995</v>
      </c>
      <c r="AV134" s="69">
        <v>282.5</v>
      </c>
      <c r="AW134" s="69">
        <v>350</v>
      </c>
      <c r="BD134" s="69"/>
      <c r="BE134" s="69"/>
      <c r="CE134" s="94">
        <f t="shared" si="11"/>
        <v>3672.5</v>
      </c>
      <c r="CF134" s="73">
        <f t="shared" si="12"/>
        <v>0</v>
      </c>
      <c r="CG134" s="75">
        <f t="shared" si="10"/>
        <v>6195</v>
      </c>
      <c r="CH134" s="75" t="str">
        <f t="shared" si="10"/>
        <v>صيدلة اكلينيكى</v>
      </c>
    </row>
    <row r="135" spans="3:86" x14ac:dyDescent="0.25">
      <c r="C135" s="78">
        <v>10694</v>
      </c>
      <c r="D135" s="70">
        <v>6196</v>
      </c>
      <c r="E135" s="107" t="s">
        <v>132</v>
      </c>
      <c r="F135" s="79" t="str">
        <f t="shared" si="13"/>
        <v>مكافاه مناقشه دكتوراه</v>
      </c>
      <c r="H135" s="69">
        <v>879.38</v>
      </c>
      <c r="U135" s="69"/>
      <c r="V135" s="69"/>
      <c r="AS135" s="94">
        <f t="shared" si="9"/>
        <v>879.38</v>
      </c>
      <c r="AT135" s="69">
        <v>550.65</v>
      </c>
      <c r="AU135" s="69">
        <f>4.35+75</f>
        <v>79.349999999999994</v>
      </c>
      <c r="AV135" s="69">
        <v>211.88</v>
      </c>
      <c r="AW135" s="69">
        <v>37.5</v>
      </c>
      <c r="BD135" s="69"/>
      <c r="BE135" s="69"/>
      <c r="CE135" s="94">
        <f t="shared" si="11"/>
        <v>879.38</v>
      </c>
      <c r="CF135" s="73">
        <f t="shared" si="12"/>
        <v>0</v>
      </c>
      <c r="CG135" s="75">
        <f t="shared" si="10"/>
        <v>6196</v>
      </c>
      <c r="CH135" s="75" t="str">
        <f t="shared" si="10"/>
        <v>صيدلة اكلينيكى</v>
      </c>
    </row>
    <row r="136" spans="3:86" x14ac:dyDescent="0.25">
      <c r="C136" s="78">
        <v>10695</v>
      </c>
      <c r="D136" s="70">
        <v>6197</v>
      </c>
      <c r="E136" s="107" t="s">
        <v>132</v>
      </c>
      <c r="F136" s="79" t="str">
        <f t="shared" si="13"/>
        <v>مكافاه مناقشه دكتوراه</v>
      </c>
      <c r="H136" s="69">
        <v>4051.87</v>
      </c>
      <c r="U136" s="69"/>
      <c r="V136" s="69"/>
      <c r="AS136" s="94">
        <f t="shared" si="9"/>
        <v>4051.87</v>
      </c>
      <c r="AT136" s="69">
        <v>2970.5</v>
      </c>
      <c r="AU136" s="69">
        <v>399.5</v>
      </c>
      <c r="AV136" s="69">
        <v>494.37</v>
      </c>
      <c r="AW136" s="69">
        <v>187.5</v>
      </c>
      <c r="BD136" s="69"/>
      <c r="BE136" s="69"/>
      <c r="CE136" s="94">
        <f t="shared" si="11"/>
        <v>4051.87</v>
      </c>
      <c r="CF136" s="73">
        <f t="shared" si="12"/>
        <v>0</v>
      </c>
      <c r="CG136" s="75">
        <f t="shared" si="10"/>
        <v>6197</v>
      </c>
      <c r="CH136" s="75" t="str">
        <f t="shared" si="10"/>
        <v>صيدلة اكلينيكى</v>
      </c>
    </row>
    <row r="137" spans="3:86" x14ac:dyDescent="0.25">
      <c r="C137" s="78">
        <v>10696</v>
      </c>
      <c r="D137" s="70">
        <v>6198</v>
      </c>
      <c r="E137" s="107" t="s">
        <v>132</v>
      </c>
      <c r="F137" s="79" t="str">
        <f t="shared" si="13"/>
        <v>مكافاه مناقشه دكتوراه</v>
      </c>
      <c r="H137" s="69">
        <v>500</v>
      </c>
      <c r="U137" s="69"/>
      <c r="V137" s="69"/>
      <c r="AS137" s="94">
        <f t="shared" si="9"/>
        <v>500</v>
      </c>
      <c r="AT137" s="69">
        <v>422.05</v>
      </c>
      <c r="AU137" s="69">
        <v>52.95</v>
      </c>
      <c r="AW137" s="69">
        <v>25</v>
      </c>
      <c r="BD137" s="69"/>
      <c r="BE137" s="69"/>
      <c r="CE137" s="94">
        <f t="shared" si="11"/>
        <v>500</v>
      </c>
      <c r="CF137" s="73">
        <f t="shared" si="12"/>
        <v>0</v>
      </c>
      <c r="CG137" s="75">
        <f t="shared" si="10"/>
        <v>6198</v>
      </c>
      <c r="CH137" s="75" t="str">
        <f t="shared" si="10"/>
        <v>صيدلة اكلينيكى</v>
      </c>
    </row>
    <row r="138" spans="3:86" x14ac:dyDescent="0.25">
      <c r="C138" s="75">
        <v>9276</v>
      </c>
      <c r="D138" s="75">
        <v>6199</v>
      </c>
      <c r="E138" s="107" t="s">
        <v>249</v>
      </c>
      <c r="F138" s="69" t="s">
        <v>2234</v>
      </c>
      <c r="H138" s="69">
        <v>2227.75</v>
      </c>
      <c r="AS138" s="91">
        <v>2227.75</v>
      </c>
      <c r="AT138" s="69">
        <v>1395.15</v>
      </c>
      <c r="AU138" s="52">
        <v>200.85</v>
      </c>
      <c r="AV138" s="69">
        <v>536.75</v>
      </c>
      <c r="AW138" s="69">
        <v>95</v>
      </c>
      <c r="CE138" s="91">
        <v>2227.75</v>
      </c>
      <c r="CF138" s="69">
        <v>0</v>
      </c>
      <c r="CG138" s="75">
        <f t="shared" si="10"/>
        <v>6199</v>
      </c>
      <c r="CH138" s="75" t="str">
        <f t="shared" si="10"/>
        <v>خدمة عامة</v>
      </c>
    </row>
    <row r="139" spans="3:86" x14ac:dyDescent="0.25">
      <c r="C139" s="78">
        <v>8562</v>
      </c>
      <c r="D139" s="70">
        <v>6200</v>
      </c>
      <c r="E139" s="107" t="s">
        <v>78</v>
      </c>
      <c r="F139" s="79" t="s">
        <v>2239</v>
      </c>
      <c r="I139" s="69">
        <v>345</v>
      </c>
      <c r="U139" s="69"/>
      <c r="V139" s="69"/>
      <c r="AS139" s="94">
        <f t="shared" si="9"/>
        <v>345</v>
      </c>
      <c r="AT139" s="69">
        <v>345</v>
      </c>
      <c r="AU139" s="69"/>
      <c r="BD139" s="69"/>
      <c r="BE139" s="69"/>
      <c r="CE139" s="94">
        <f t="shared" ref="CE139:CE158" si="14">SUM(AT139:CD139)</f>
        <v>345</v>
      </c>
      <c r="CF139" s="73">
        <f t="shared" ref="CF139:CF158" si="15">+CE139-AS139</f>
        <v>0</v>
      </c>
      <c r="CG139" s="75">
        <f t="shared" si="10"/>
        <v>6200</v>
      </c>
      <c r="CH139" s="75" t="str">
        <f t="shared" si="10"/>
        <v>برنامج دولى</v>
      </c>
    </row>
    <row r="140" spans="3:86" x14ac:dyDescent="0.25">
      <c r="C140" s="78">
        <v>10421</v>
      </c>
      <c r="D140" s="70">
        <v>6201</v>
      </c>
      <c r="E140" s="107" t="s">
        <v>78</v>
      </c>
      <c r="F140" s="79" t="s">
        <v>2240</v>
      </c>
      <c r="I140" s="69">
        <v>1000</v>
      </c>
      <c r="U140" s="69"/>
      <c r="V140" s="69"/>
      <c r="AS140" s="94">
        <f t="shared" si="9"/>
        <v>1000</v>
      </c>
      <c r="AT140" s="69">
        <v>1000</v>
      </c>
      <c r="AU140" s="69"/>
      <c r="BD140" s="69"/>
      <c r="BE140" s="69"/>
      <c r="CE140" s="94">
        <f t="shared" si="14"/>
        <v>1000</v>
      </c>
      <c r="CF140" s="73">
        <f t="shared" si="15"/>
        <v>0</v>
      </c>
      <c r="CG140" s="75">
        <f t="shared" si="10"/>
        <v>6201</v>
      </c>
      <c r="CH140" s="75" t="str">
        <f t="shared" si="10"/>
        <v>برنامج دولى</v>
      </c>
    </row>
    <row r="141" spans="3:86" x14ac:dyDescent="0.25">
      <c r="C141" s="78">
        <v>10418</v>
      </c>
      <c r="D141" s="70">
        <v>6202</v>
      </c>
      <c r="E141" s="107" t="s">
        <v>78</v>
      </c>
      <c r="F141" s="79" t="s">
        <v>2240</v>
      </c>
      <c r="I141" s="69">
        <v>960</v>
      </c>
      <c r="U141" s="69"/>
      <c r="V141" s="69"/>
      <c r="AS141" s="94">
        <f t="shared" si="9"/>
        <v>960</v>
      </c>
      <c r="AT141" s="69">
        <v>960</v>
      </c>
      <c r="AU141" s="69"/>
      <c r="BD141" s="69"/>
      <c r="BE141" s="69"/>
      <c r="CE141" s="94">
        <f t="shared" si="14"/>
        <v>960</v>
      </c>
      <c r="CF141" s="73">
        <f t="shared" si="15"/>
        <v>0</v>
      </c>
      <c r="CG141" s="75">
        <f t="shared" si="10"/>
        <v>6202</v>
      </c>
      <c r="CH141" s="75" t="str">
        <f t="shared" si="10"/>
        <v>برنامج دولى</v>
      </c>
    </row>
    <row r="142" spans="3:86" x14ac:dyDescent="0.25">
      <c r="C142" s="78">
        <v>10420</v>
      </c>
      <c r="D142" s="70">
        <v>6203</v>
      </c>
      <c r="E142" s="107" t="s">
        <v>78</v>
      </c>
      <c r="F142" s="79" t="s">
        <v>2240</v>
      </c>
      <c r="I142" s="69">
        <v>800</v>
      </c>
      <c r="U142" s="69"/>
      <c r="V142" s="69"/>
      <c r="AS142" s="94">
        <f t="shared" si="9"/>
        <v>800</v>
      </c>
      <c r="AT142" s="69">
        <v>800</v>
      </c>
      <c r="AU142" s="69"/>
      <c r="BD142" s="69"/>
      <c r="BE142" s="69"/>
      <c r="CE142" s="94">
        <f t="shared" si="14"/>
        <v>800</v>
      </c>
      <c r="CF142" s="73">
        <f t="shared" si="15"/>
        <v>0</v>
      </c>
      <c r="CG142" s="75">
        <f t="shared" si="10"/>
        <v>6203</v>
      </c>
      <c r="CH142" s="75" t="str">
        <f t="shared" si="10"/>
        <v>برنامج دولى</v>
      </c>
    </row>
    <row r="143" spans="3:86" x14ac:dyDescent="0.25">
      <c r="C143" s="78">
        <v>10986</v>
      </c>
      <c r="D143" s="70">
        <v>6204</v>
      </c>
      <c r="E143" s="107" t="s">
        <v>78</v>
      </c>
      <c r="F143" s="79" t="s">
        <v>2241</v>
      </c>
      <c r="I143" s="69">
        <v>120</v>
      </c>
      <c r="U143" s="69"/>
      <c r="V143" s="69"/>
      <c r="AS143" s="94">
        <f t="shared" si="9"/>
        <v>120</v>
      </c>
      <c r="AT143" s="69">
        <v>120</v>
      </c>
      <c r="AU143" s="69"/>
      <c r="BD143" s="69"/>
      <c r="BE143" s="69"/>
      <c r="CE143" s="94">
        <f t="shared" si="14"/>
        <v>120</v>
      </c>
      <c r="CF143" s="73">
        <f t="shared" si="15"/>
        <v>0</v>
      </c>
      <c r="CG143" s="75">
        <f t="shared" si="10"/>
        <v>6204</v>
      </c>
      <c r="CH143" s="75" t="str">
        <f t="shared" si="10"/>
        <v>برنامج دولى</v>
      </c>
    </row>
    <row r="144" spans="3:86" x14ac:dyDescent="0.25">
      <c r="C144" s="78">
        <v>10983</v>
      </c>
      <c r="D144" s="70">
        <v>6205</v>
      </c>
      <c r="E144" s="107" t="s">
        <v>78</v>
      </c>
      <c r="F144" s="79" t="s">
        <v>2242</v>
      </c>
      <c r="I144" s="69">
        <v>200</v>
      </c>
      <c r="U144" s="69"/>
      <c r="V144" s="69"/>
      <c r="AS144" s="94">
        <f t="shared" si="9"/>
        <v>200</v>
      </c>
      <c r="AT144" s="69">
        <v>200</v>
      </c>
      <c r="AU144" s="69"/>
      <c r="BD144" s="69"/>
      <c r="BE144" s="69"/>
      <c r="CE144" s="94">
        <f t="shared" si="14"/>
        <v>200</v>
      </c>
      <c r="CF144" s="73">
        <f t="shared" si="15"/>
        <v>0</v>
      </c>
      <c r="CG144" s="75">
        <f t="shared" si="10"/>
        <v>6205</v>
      </c>
      <c r="CH144" s="75" t="str">
        <f t="shared" si="10"/>
        <v>برنامج دولى</v>
      </c>
    </row>
    <row r="145" spans="3:92" x14ac:dyDescent="0.25">
      <c r="C145" s="78">
        <v>10981</v>
      </c>
      <c r="D145" s="70">
        <v>6206</v>
      </c>
      <c r="E145" s="107" t="s">
        <v>78</v>
      </c>
      <c r="F145" s="79" t="s">
        <v>2119</v>
      </c>
      <c r="I145" s="69">
        <v>320</v>
      </c>
      <c r="U145" s="69"/>
      <c r="V145" s="69"/>
      <c r="AS145" s="94">
        <f t="shared" si="9"/>
        <v>320</v>
      </c>
      <c r="AT145" s="69">
        <v>320</v>
      </c>
      <c r="AU145" s="69"/>
      <c r="BD145" s="69"/>
      <c r="BE145" s="69"/>
      <c r="CE145" s="94">
        <f t="shared" si="14"/>
        <v>320</v>
      </c>
      <c r="CF145" s="73">
        <f t="shared" si="15"/>
        <v>0</v>
      </c>
      <c r="CG145" s="75">
        <f t="shared" si="10"/>
        <v>6206</v>
      </c>
      <c r="CH145" s="75" t="str">
        <f t="shared" si="10"/>
        <v>برنامج دولى</v>
      </c>
    </row>
    <row r="146" spans="3:92" x14ac:dyDescent="0.25">
      <c r="C146" s="78">
        <v>10980</v>
      </c>
      <c r="D146" s="70">
        <v>6207</v>
      </c>
      <c r="E146" s="107" t="s">
        <v>78</v>
      </c>
      <c r="F146" s="79" t="s">
        <v>1289</v>
      </c>
      <c r="I146" s="69">
        <v>280</v>
      </c>
      <c r="U146" s="69"/>
      <c r="V146" s="69"/>
      <c r="AS146" s="94">
        <f t="shared" si="9"/>
        <v>280</v>
      </c>
      <c r="AT146" s="69">
        <v>280</v>
      </c>
      <c r="AU146" s="69"/>
      <c r="BD146" s="69"/>
      <c r="BE146" s="69"/>
      <c r="CE146" s="94">
        <f t="shared" si="14"/>
        <v>280</v>
      </c>
      <c r="CF146" s="73">
        <f t="shared" si="15"/>
        <v>0</v>
      </c>
      <c r="CG146" s="75">
        <f t="shared" si="10"/>
        <v>6207</v>
      </c>
      <c r="CH146" s="75" t="str">
        <f t="shared" si="10"/>
        <v>برنامج دولى</v>
      </c>
    </row>
    <row r="147" spans="3:92" x14ac:dyDescent="0.25">
      <c r="C147" s="78">
        <v>10988</v>
      </c>
      <c r="D147" s="70">
        <v>6208</v>
      </c>
      <c r="E147" s="107" t="s">
        <v>78</v>
      </c>
      <c r="F147" s="79" t="s">
        <v>2243</v>
      </c>
      <c r="I147" s="69">
        <v>260</v>
      </c>
      <c r="U147" s="69"/>
      <c r="V147" s="69"/>
      <c r="AS147" s="94">
        <f t="shared" si="9"/>
        <v>260</v>
      </c>
      <c r="AT147" s="69">
        <v>260</v>
      </c>
      <c r="AU147" s="69"/>
      <c r="BD147" s="69"/>
      <c r="BE147" s="69"/>
      <c r="CE147" s="94">
        <f t="shared" si="14"/>
        <v>260</v>
      </c>
      <c r="CF147" s="73">
        <f t="shared" si="15"/>
        <v>0</v>
      </c>
      <c r="CG147" s="75">
        <f t="shared" si="10"/>
        <v>6208</v>
      </c>
      <c r="CH147" s="75" t="str">
        <f t="shared" si="10"/>
        <v>برنامج دولى</v>
      </c>
    </row>
    <row r="148" spans="3:92" x14ac:dyDescent="0.25">
      <c r="C148" s="78">
        <v>10989</v>
      </c>
      <c r="D148" s="70">
        <v>6209</v>
      </c>
      <c r="E148" s="107" t="s">
        <v>78</v>
      </c>
      <c r="F148" s="79" t="s">
        <v>2244</v>
      </c>
      <c r="I148" s="69">
        <v>360</v>
      </c>
      <c r="U148" s="69"/>
      <c r="V148" s="69"/>
      <c r="AS148" s="94">
        <f t="shared" si="9"/>
        <v>360</v>
      </c>
      <c r="AT148" s="69">
        <v>360</v>
      </c>
      <c r="AU148" s="69"/>
      <c r="BD148" s="69"/>
      <c r="BE148" s="69"/>
      <c r="CE148" s="94">
        <f t="shared" si="14"/>
        <v>360</v>
      </c>
      <c r="CF148" s="73">
        <f t="shared" si="15"/>
        <v>0</v>
      </c>
      <c r="CG148" s="75">
        <f t="shared" si="10"/>
        <v>6209</v>
      </c>
      <c r="CH148" s="75" t="str">
        <f t="shared" si="10"/>
        <v>برنامج دولى</v>
      </c>
    </row>
    <row r="149" spans="3:92" x14ac:dyDescent="0.25">
      <c r="C149" s="78">
        <v>10991</v>
      </c>
      <c r="D149" s="70">
        <v>6210</v>
      </c>
      <c r="E149" s="107" t="s">
        <v>78</v>
      </c>
      <c r="F149" s="79" t="s">
        <v>1284</v>
      </c>
      <c r="I149" s="69">
        <v>340</v>
      </c>
      <c r="U149" s="69"/>
      <c r="V149" s="69"/>
      <c r="AS149" s="94">
        <f t="shared" si="9"/>
        <v>340</v>
      </c>
      <c r="AT149" s="69">
        <v>340</v>
      </c>
      <c r="AU149" s="69"/>
      <c r="BD149" s="69"/>
      <c r="BE149" s="69"/>
      <c r="CE149" s="94">
        <f t="shared" si="14"/>
        <v>340</v>
      </c>
      <c r="CF149" s="73">
        <f t="shared" si="15"/>
        <v>0</v>
      </c>
      <c r="CG149" s="75">
        <f t="shared" si="10"/>
        <v>6210</v>
      </c>
      <c r="CH149" s="75" t="str">
        <f t="shared" si="10"/>
        <v>برنامج دولى</v>
      </c>
    </row>
    <row r="150" spans="3:92" x14ac:dyDescent="0.25">
      <c r="C150" s="78">
        <v>10987</v>
      </c>
      <c r="D150" s="70">
        <v>6211</v>
      </c>
      <c r="E150" s="107" t="s">
        <v>78</v>
      </c>
      <c r="F150" s="79" t="s">
        <v>1097</v>
      </c>
      <c r="I150" s="69">
        <v>480</v>
      </c>
      <c r="U150" s="69"/>
      <c r="V150" s="69"/>
      <c r="AS150" s="94">
        <f t="shared" si="9"/>
        <v>480</v>
      </c>
      <c r="AT150" s="69">
        <v>480</v>
      </c>
      <c r="AU150" s="69"/>
      <c r="BD150" s="69"/>
      <c r="BE150" s="69"/>
      <c r="CE150" s="94">
        <f t="shared" si="14"/>
        <v>480</v>
      </c>
      <c r="CF150" s="73">
        <f t="shared" si="15"/>
        <v>0</v>
      </c>
      <c r="CG150" s="75">
        <f t="shared" si="10"/>
        <v>6211</v>
      </c>
      <c r="CH150" s="75" t="str">
        <f t="shared" si="10"/>
        <v>برنامج دولى</v>
      </c>
    </row>
    <row r="151" spans="3:92" x14ac:dyDescent="0.25">
      <c r="C151" s="78">
        <v>10990</v>
      </c>
      <c r="D151" s="70">
        <v>6212</v>
      </c>
      <c r="E151" s="107" t="s">
        <v>78</v>
      </c>
      <c r="F151" s="79" t="s">
        <v>1292</v>
      </c>
      <c r="I151" s="69">
        <v>520</v>
      </c>
      <c r="U151" s="69"/>
      <c r="V151" s="69"/>
      <c r="AS151" s="94">
        <f t="shared" si="9"/>
        <v>520</v>
      </c>
      <c r="AT151" s="69">
        <v>520</v>
      </c>
      <c r="AU151" s="69"/>
      <c r="BD151" s="69"/>
      <c r="BE151" s="69"/>
      <c r="CE151" s="94">
        <f t="shared" si="14"/>
        <v>520</v>
      </c>
      <c r="CF151" s="73">
        <f t="shared" si="15"/>
        <v>0</v>
      </c>
      <c r="CG151" s="75">
        <f t="shared" si="10"/>
        <v>6212</v>
      </c>
      <c r="CH151" s="75" t="str">
        <f t="shared" si="10"/>
        <v>برنامج دولى</v>
      </c>
    </row>
    <row r="152" spans="3:92" x14ac:dyDescent="0.25">
      <c r="C152" s="78">
        <v>11281</v>
      </c>
      <c r="D152" s="70">
        <v>6213</v>
      </c>
      <c r="E152" s="107" t="s">
        <v>123</v>
      </c>
      <c r="F152" s="79" t="s">
        <v>2245</v>
      </c>
      <c r="U152" s="69"/>
      <c r="V152" s="69"/>
      <c r="X152" s="69">
        <v>2093.5500000000002</v>
      </c>
      <c r="AS152" s="94">
        <f t="shared" si="9"/>
        <v>2093.5500000000002</v>
      </c>
      <c r="AT152" s="69">
        <v>2093.5500000000002</v>
      </c>
      <c r="AU152" s="69"/>
      <c r="BD152" s="69"/>
      <c r="BE152" s="69"/>
      <c r="CE152" s="94">
        <f t="shared" si="14"/>
        <v>2093.5500000000002</v>
      </c>
      <c r="CF152" s="73">
        <f t="shared" si="15"/>
        <v>0</v>
      </c>
      <c r="CG152" s="75">
        <f t="shared" si="10"/>
        <v>6213</v>
      </c>
      <c r="CH152" s="75" t="str">
        <f t="shared" si="10"/>
        <v>خ ت اسنان</v>
      </c>
    </row>
    <row r="153" spans="3:92" x14ac:dyDescent="0.25">
      <c r="C153" s="78">
        <v>10697</v>
      </c>
      <c r="D153" s="70">
        <v>6214</v>
      </c>
      <c r="E153" s="107" t="s">
        <v>78</v>
      </c>
      <c r="F153" s="79" t="s">
        <v>2246</v>
      </c>
      <c r="L153" s="69">
        <v>17454.43</v>
      </c>
      <c r="M153" s="69">
        <v>17454.43</v>
      </c>
      <c r="N153" s="69">
        <v>17454.43</v>
      </c>
      <c r="U153" s="69"/>
      <c r="V153" s="69"/>
      <c r="AS153" s="94">
        <f t="shared" si="9"/>
        <v>52363.29</v>
      </c>
      <c r="AT153" s="69">
        <v>14529.23</v>
      </c>
      <c r="AU153" s="69">
        <f>191.9+575.7+36</f>
        <v>803.6</v>
      </c>
      <c r="AW153" s="69">
        <v>5</v>
      </c>
      <c r="BD153" s="69"/>
      <c r="BE153" s="69"/>
      <c r="BG153" s="69">
        <v>153.1</v>
      </c>
      <c r="BH153" s="69">
        <v>80</v>
      </c>
      <c r="BJ153" s="69">
        <v>872.75</v>
      </c>
      <c r="BL153" s="69">
        <v>17454.43</v>
      </c>
      <c r="BM153" s="69">
        <v>17454.43</v>
      </c>
      <c r="CD153" s="69">
        <f>872.75+138</f>
        <v>1010.75</v>
      </c>
      <c r="CE153" s="94">
        <f t="shared" si="14"/>
        <v>52363.29</v>
      </c>
      <c r="CF153" s="73">
        <f t="shared" si="15"/>
        <v>0</v>
      </c>
      <c r="CG153" s="75">
        <f t="shared" si="10"/>
        <v>6214</v>
      </c>
      <c r="CH153" s="75" t="str">
        <f t="shared" si="10"/>
        <v>برنامج دولى</v>
      </c>
    </row>
    <row r="154" spans="3:92" x14ac:dyDescent="0.25">
      <c r="C154" s="78">
        <v>4951</v>
      </c>
      <c r="D154" s="70">
        <v>6215</v>
      </c>
      <c r="E154" s="107" t="s">
        <v>132</v>
      </c>
      <c r="F154" s="79" t="s">
        <v>2247</v>
      </c>
      <c r="L154" s="69">
        <v>950000</v>
      </c>
      <c r="M154" s="69">
        <v>950000</v>
      </c>
      <c r="N154" s="69">
        <v>950000</v>
      </c>
      <c r="U154" s="69"/>
      <c r="V154" s="69"/>
      <c r="AS154" s="94">
        <f t="shared" si="9"/>
        <v>2850000</v>
      </c>
      <c r="AT154" s="69">
        <v>866189</v>
      </c>
      <c r="AU154" s="69">
        <f>5100+15300+22.5</f>
        <v>20422.5</v>
      </c>
      <c r="AW154" s="69">
        <v>5</v>
      </c>
      <c r="BD154" s="69"/>
      <c r="BE154" s="69"/>
      <c r="BG154" s="69">
        <v>8333.5</v>
      </c>
      <c r="BH154" s="69">
        <v>50</v>
      </c>
      <c r="BI154" s="69">
        <f>3750*2</f>
        <v>7500</v>
      </c>
      <c r="BK154" s="69">
        <v>47500</v>
      </c>
      <c r="BL154" s="69">
        <v>950000</v>
      </c>
      <c r="BM154" s="69">
        <v>950000</v>
      </c>
      <c r="CE154" s="94">
        <f t="shared" si="14"/>
        <v>2850000</v>
      </c>
      <c r="CF154" s="73">
        <f t="shared" si="15"/>
        <v>0</v>
      </c>
      <c r="CG154" s="75">
        <f t="shared" si="10"/>
        <v>6215</v>
      </c>
      <c r="CH154" s="75" t="str">
        <f t="shared" si="10"/>
        <v>صيدلة اكلينيكى</v>
      </c>
    </row>
    <row r="155" spans="3:92" ht="36" x14ac:dyDescent="0.25">
      <c r="C155" s="78">
        <v>10985</v>
      </c>
      <c r="D155" s="70">
        <v>6216</v>
      </c>
      <c r="E155" s="102" t="s">
        <v>128</v>
      </c>
      <c r="F155" s="99" t="s">
        <v>2248</v>
      </c>
      <c r="U155" s="69"/>
      <c r="V155" s="69"/>
      <c r="X155" s="69">
        <v>882</v>
      </c>
      <c r="AS155" s="94">
        <f>SUM(H155:AR155)</f>
        <v>882</v>
      </c>
      <c r="AT155" s="69">
        <v>882</v>
      </c>
      <c r="AU155" s="69"/>
      <c r="BD155" s="69"/>
      <c r="BE155" s="69"/>
      <c r="CE155" s="94">
        <f t="shared" si="14"/>
        <v>882</v>
      </c>
      <c r="CF155" s="73">
        <f t="shared" si="15"/>
        <v>0</v>
      </c>
      <c r="CG155" s="75">
        <f t="shared" ref="CG155:CH218" si="16">+D155</f>
        <v>6216</v>
      </c>
      <c r="CH155" s="75" t="str">
        <f t="shared" si="16"/>
        <v>مركز مؤتمرات</v>
      </c>
    </row>
    <row r="156" spans="3:92" x14ac:dyDescent="0.25">
      <c r="C156" s="78">
        <v>10416</v>
      </c>
      <c r="D156" s="70">
        <v>6217</v>
      </c>
      <c r="F156" s="79" t="s">
        <v>2249</v>
      </c>
      <c r="U156" s="69"/>
      <c r="V156" s="69"/>
      <c r="AD156" s="69">
        <v>491.91</v>
      </c>
      <c r="AS156" s="94">
        <f t="shared" ref="AS156:AS219" si="17">SUM(H156:AR156)</f>
        <v>491.91</v>
      </c>
      <c r="AT156" s="69">
        <v>491.91</v>
      </c>
      <c r="AU156" s="69"/>
      <c r="BD156" s="69"/>
      <c r="BE156" s="69"/>
      <c r="CE156" s="94">
        <f t="shared" si="14"/>
        <v>491.91</v>
      </c>
      <c r="CF156" s="73">
        <f t="shared" si="15"/>
        <v>0</v>
      </c>
      <c r="CG156" s="75">
        <f t="shared" si="16"/>
        <v>6217</v>
      </c>
      <c r="CH156" s="75">
        <f t="shared" si="16"/>
        <v>0</v>
      </c>
    </row>
    <row r="157" spans="3:92" ht="36" x14ac:dyDescent="0.25">
      <c r="C157" s="78">
        <v>10904</v>
      </c>
      <c r="D157" s="70">
        <v>6218</v>
      </c>
      <c r="E157" s="107" t="s">
        <v>132</v>
      </c>
      <c r="F157" s="99" t="s">
        <v>2205</v>
      </c>
      <c r="T157" s="69">
        <v>43657.95</v>
      </c>
      <c r="U157" s="69"/>
      <c r="V157" s="69"/>
      <c r="AS157" s="94">
        <f t="shared" si="17"/>
        <v>43657.95</v>
      </c>
      <c r="AT157" s="69">
        <v>43657.95</v>
      </c>
      <c r="AU157" s="69"/>
      <c r="BD157" s="69"/>
      <c r="BE157" s="69"/>
      <c r="CE157" s="94">
        <f t="shared" si="14"/>
        <v>43657.95</v>
      </c>
      <c r="CF157" s="73">
        <f t="shared" si="15"/>
        <v>0</v>
      </c>
      <c r="CG157" s="75">
        <f t="shared" si="16"/>
        <v>6218</v>
      </c>
      <c r="CH157" s="75" t="str">
        <f t="shared" si="16"/>
        <v>صيدلة اكلينيكى</v>
      </c>
    </row>
    <row r="158" spans="3:92" ht="36" x14ac:dyDescent="0.25">
      <c r="C158" s="78">
        <v>10905</v>
      </c>
      <c r="D158" s="70">
        <v>6219</v>
      </c>
      <c r="E158" s="107" t="s">
        <v>119</v>
      </c>
      <c r="F158" s="99" t="s">
        <v>2205</v>
      </c>
      <c r="T158" s="69">
        <v>14539.34</v>
      </c>
      <c r="U158" s="69"/>
      <c r="V158" s="69"/>
      <c r="AS158" s="94">
        <f t="shared" si="17"/>
        <v>14539.34</v>
      </c>
      <c r="AT158" s="69">
        <v>14539.34</v>
      </c>
      <c r="AU158" s="69"/>
      <c r="BD158" s="69"/>
      <c r="BE158" s="69"/>
      <c r="CE158" s="94">
        <f t="shared" si="14"/>
        <v>14539.34</v>
      </c>
      <c r="CF158" s="73">
        <f t="shared" si="15"/>
        <v>0</v>
      </c>
      <c r="CG158" s="75">
        <f t="shared" si="16"/>
        <v>6219</v>
      </c>
      <c r="CH158" s="75" t="str">
        <f t="shared" si="16"/>
        <v>خ ت صيدلة</v>
      </c>
    </row>
    <row r="159" spans="3:92" s="68" customFormat="1" x14ac:dyDescent="0.25">
      <c r="C159" s="84"/>
      <c r="D159" s="84"/>
      <c r="E159" s="108"/>
      <c r="F159" s="105" t="s">
        <v>2250</v>
      </c>
      <c r="H159" s="68">
        <f>SUM(H45:H158)</f>
        <v>324159.01</v>
      </c>
      <c r="I159" s="68">
        <f t="shared" ref="I159:BT159" si="18">SUM(I45:I158)</f>
        <v>5985</v>
      </c>
      <c r="J159" s="68">
        <f t="shared" si="18"/>
        <v>0</v>
      </c>
      <c r="K159" s="68">
        <f t="shared" si="18"/>
        <v>0</v>
      </c>
      <c r="L159" s="68">
        <f t="shared" si="18"/>
        <v>967454.43</v>
      </c>
      <c r="M159" s="68">
        <f t="shared" si="18"/>
        <v>967454.43</v>
      </c>
      <c r="N159" s="68">
        <f t="shared" si="18"/>
        <v>967454.43</v>
      </c>
      <c r="O159" s="68">
        <f t="shared" si="18"/>
        <v>0</v>
      </c>
      <c r="P159" s="68">
        <f t="shared" si="18"/>
        <v>0</v>
      </c>
      <c r="Q159" s="68">
        <f t="shared" si="18"/>
        <v>0</v>
      </c>
      <c r="R159" s="68">
        <f t="shared" si="18"/>
        <v>0</v>
      </c>
      <c r="S159" s="68">
        <f t="shared" si="18"/>
        <v>0</v>
      </c>
      <c r="T159" s="68">
        <f t="shared" si="18"/>
        <v>58197.289999999994</v>
      </c>
      <c r="U159" s="68">
        <f t="shared" si="18"/>
        <v>0</v>
      </c>
      <c r="V159" s="68">
        <f t="shared" si="18"/>
        <v>0</v>
      </c>
      <c r="W159" s="68">
        <f t="shared" si="18"/>
        <v>0</v>
      </c>
      <c r="X159" s="68">
        <f t="shared" si="18"/>
        <v>2975.55</v>
      </c>
      <c r="Y159" s="68">
        <f t="shared" si="18"/>
        <v>0</v>
      </c>
      <c r="Z159" s="68">
        <f t="shared" si="18"/>
        <v>0</v>
      </c>
      <c r="AA159" s="68">
        <f t="shared" si="18"/>
        <v>0</v>
      </c>
      <c r="AB159" s="68">
        <f t="shared" si="18"/>
        <v>0</v>
      </c>
      <c r="AC159" s="68">
        <f t="shared" si="18"/>
        <v>0</v>
      </c>
      <c r="AD159" s="68">
        <f t="shared" si="18"/>
        <v>491.91</v>
      </c>
      <c r="AE159" s="68">
        <f t="shared" si="18"/>
        <v>0</v>
      </c>
      <c r="AF159" s="68">
        <f t="shared" si="18"/>
        <v>0</v>
      </c>
      <c r="AG159" s="68">
        <f t="shared" si="18"/>
        <v>0</v>
      </c>
      <c r="AH159" s="68">
        <f t="shared" si="18"/>
        <v>0</v>
      </c>
      <c r="AI159" s="68">
        <f t="shared" si="18"/>
        <v>0</v>
      </c>
      <c r="AJ159" s="68">
        <f t="shared" si="18"/>
        <v>0</v>
      </c>
      <c r="AK159" s="68">
        <f t="shared" si="18"/>
        <v>0</v>
      </c>
      <c r="AL159" s="68">
        <f t="shared" si="18"/>
        <v>0</v>
      </c>
      <c r="AM159" s="68">
        <f t="shared" si="18"/>
        <v>0</v>
      </c>
      <c r="AN159" s="68">
        <f t="shared" si="18"/>
        <v>0</v>
      </c>
      <c r="AO159" s="68">
        <f t="shared" si="18"/>
        <v>0</v>
      </c>
      <c r="AP159" s="68">
        <f t="shared" si="18"/>
        <v>0</v>
      </c>
      <c r="AQ159" s="68">
        <f t="shared" si="18"/>
        <v>0</v>
      </c>
      <c r="AR159" s="68">
        <f t="shared" si="18"/>
        <v>0</v>
      </c>
      <c r="AS159" s="68">
        <f t="shared" si="18"/>
        <v>3294172.0500000003</v>
      </c>
      <c r="AT159" s="68">
        <f t="shared" si="18"/>
        <v>1187213.76</v>
      </c>
      <c r="AU159" s="68">
        <f t="shared" si="18"/>
        <v>52818.34</v>
      </c>
      <c r="AV159" s="68">
        <f t="shared" si="18"/>
        <v>46785.12999999999</v>
      </c>
      <c r="AW159" s="68">
        <f t="shared" si="18"/>
        <v>6945.8600000000006</v>
      </c>
      <c r="AX159" s="68">
        <f t="shared" si="18"/>
        <v>0</v>
      </c>
      <c r="AY159" s="68">
        <f t="shared" si="18"/>
        <v>0</v>
      </c>
      <c r="AZ159" s="68">
        <f t="shared" si="18"/>
        <v>0</v>
      </c>
      <c r="BA159" s="68">
        <f t="shared" si="18"/>
        <v>0</v>
      </c>
      <c r="BB159" s="68">
        <f t="shared" si="18"/>
        <v>0</v>
      </c>
      <c r="BC159" s="68">
        <f t="shared" si="18"/>
        <v>0</v>
      </c>
      <c r="BD159" s="68">
        <f t="shared" si="18"/>
        <v>0</v>
      </c>
      <c r="BE159" s="68">
        <f t="shared" si="18"/>
        <v>0</v>
      </c>
      <c r="BF159" s="68">
        <f t="shared" si="18"/>
        <v>0</v>
      </c>
      <c r="BG159" s="68">
        <f t="shared" si="18"/>
        <v>8486.6</v>
      </c>
      <c r="BH159" s="68">
        <f t="shared" si="18"/>
        <v>130</v>
      </c>
      <c r="BI159" s="68">
        <f t="shared" si="18"/>
        <v>7500</v>
      </c>
      <c r="BJ159" s="68">
        <f t="shared" si="18"/>
        <v>872.75</v>
      </c>
      <c r="BK159" s="68">
        <f t="shared" si="18"/>
        <v>47500</v>
      </c>
      <c r="BL159" s="68">
        <f t="shared" si="18"/>
        <v>967454.43</v>
      </c>
      <c r="BM159" s="68">
        <f t="shared" si="18"/>
        <v>967454.43</v>
      </c>
      <c r="BN159" s="68">
        <f t="shared" si="18"/>
        <v>0</v>
      </c>
      <c r="BO159" s="68">
        <f t="shared" si="18"/>
        <v>0</v>
      </c>
      <c r="BP159" s="68">
        <f t="shared" si="18"/>
        <v>0</v>
      </c>
      <c r="BQ159" s="68">
        <f t="shared" si="18"/>
        <v>0</v>
      </c>
      <c r="BR159" s="68">
        <f t="shared" si="18"/>
        <v>0</v>
      </c>
      <c r="BS159" s="68">
        <f t="shared" si="18"/>
        <v>0</v>
      </c>
      <c r="BT159" s="68">
        <f t="shared" si="18"/>
        <v>0</v>
      </c>
      <c r="BU159" s="68">
        <f t="shared" ref="BU159:CN159" si="19">SUM(BU45:BU158)</f>
        <v>0</v>
      </c>
      <c r="BV159" s="68">
        <f t="shared" si="19"/>
        <v>0</v>
      </c>
      <c r="BW159" s="68">
        <f t="shared" si="19"/>
        <v>0</v>
      </c>
      <c r="BX159" s="68">
        <f t="shared" si="19"/>
        <v>0</v>
      </c>
      <c r="BY159" s="68">
        <f t="shared" si="19"/>
        <v>0</v>
      </c>
      <c r="BZ159" s="68">
        <f t="shared" si="19"/>
        <v>0</v>
      </c>
      <c r="CA159" s="68">
        <f t="shared" si="19"/>
        <v>0</v>
      </c>
      <c r="CB159" s="68">
        <f t="shared" si="19"/>
        <v>0</v>
      </c>
      <c r="CC159" s="68">
        <f t="shared" si="19"/>
        <v>0</v>
      </c>
      <c r="CD159" s="68">
        <f t="shared" si="19"/>
        <v>1010.75</v>
      </c>
      <c r="CE159" s="68">
        <f t="shared" si="19"/>
        <v>3294172.0500000003</v>
      </c>
      <c r="CF159" s="68">
        <f t="shared" si="19"/>
        <v>0</v>
      </c>
      <c r="CG159" s="75">
        <f t="shared" si="16"/>
        <v>0</v>
      </c>
      <c r="CH159" s="75">
        <f t="shared" si="16"/>
        <v>0</v>
      </c>
      <c r="CI159" s="68">
        <f t="shared" si="19"/>
        <v>0</v>
      </c>
      <c r="CJ159" s="68">
        <f t="shared" si="19"/>
        <v>0</v>
      </c>
      <c r="CK159" s="68">
        <f t="shared" si="19"/>
        <v>0</v>
      </c>
      <c r="CL159" s="68">
        <f t="shared" si="19"/>
        <v>0</v>
      </c>
      <c r="CM159" s="68">
        <f t="shared" si="19"/>
        <v>0</v>
      </c>
      <c r="CN159" s="68">
        <f t="shared" si="19"/>
        <v>0</v>
      </c>
    </row>
    <row r="160" spans="3:92" x14ac:dyDescent="0.25">
      <c r="C160" s="78">
        <v>11208</v>
      </c>
      <c r="D160" s="70">
        <v>6220</v>
      </c>
      <c r="E160" s="107" t="s">
        <v>123</v>
      </c>
      <c r="F160" s="79" t="s">
        <v>2251</v>
      </c>
      <c r="H160" s="69">
        <v>19346.25</v>
      </c>
      <c r="U160" s="69"/>
      <c r="V160" s="69"/>
      <c r="AS160" s="94">
        <f t="shared" si="17"/>
        <v>19346.25</v>
      </c>
      <c r="AT160" s="69">
        <v>12101.3</v>
      </c>
      <c r="AU160" s="69">
        <v>1758.7</v>
      </c>
      <c r="AV160" s="69">
        <v>4661.25</v>
      </c>
      <c r="AW160" s="69">
        <v>825</v>
      </c>
      <c r="BD160" s="69"/>
      <c r="BE160" s="69"/>
      <c r="CE160" s="94">
        <f t="shared" ref="CE160:CE223" si="20">SUM(AT160:CD160)</f>
        <v>19346.25</v>
      </c>
      <c r="CF160" s="73">
        <f t="shared" ref="CF160:CF223" si="21">+CE160-AS160</f>
        <v>0</v>
      </c>
      <c r="CG160" s="75">
        <f t="shared" si="16"/>
        <v>6220</v>
      </c>
      <c r="CH160" s="75" t="str">
        <f t="shared" si="16"/>
        <v>خ ت اسنان</v>
      </c>
    </row>
    <row r="161" spans="3:86" x14ac:dyDescent="0.25">
      <c r="C161" s="78">
        <v>11279</v>
      </c>
      <c r="D161" s="70">
        <v>6221</v>
      </c>
      <c r="E161" s="107" t="s">
        <v>123</v>
      </c>
      <c r="F161" s="79" t="s">
        <v>2252</v>
      </c>
      <c r="H161" s="69">
        <v>45226.44</v>
      </c>
      <c r="U161" s="69"/>
      <c r="V161" s="69"/>
      <c r="AS161" s="94">
        <f t="shared" si="17"/>
        <v>45226.44</v>
      </c>
      <c r="AT161" s="69">
        <v>34809.589999999997</v>
      </c>
      <c r="AU161" s="69">
        <v>4620.6499999999996</v>
      </c>
      <c r="AV161" s="69">
        <v>3646.2</v>
      </c>
      <c r="AW161" s="69">
        <v>2150</v>
      </c>
      <c r="BD161" s="69"/>
      <c r="BE161" s="69"/>
      <c r="CE161" s="94">
        <f t="shared" si="20"/>
        <v>45226.439999999995</v>
      </c>
      <c r="CF161" s="73">
        <f t="shared" si="21"/>
        <v>0</v>
      </c>
      <c r="CG161" s="75">
        <f t="shared" si="16"/>
        <v>6221</v>
      </c>
      <c r="CH161" s="75" t="str">
        <f t="shared" si="16"/>
        <v>خ ت اسنان</v>
      </c>
    </row>
    <row r="162" spans="3:86" x14ac:dyDescent="0.25">
      <c r="C162" s="78">
        <v>11278</v>
      </c>
      <c r="D162" s="70">
        <v>6222</v>
      </c>
      <c r="E162" s="107" t="s">
        <v>123</v>
      </c>
      <c r="F162" s="79" t="s">
        <v>2252</v>
      </c>
      <c r="H162" s="69">
        <v>15000</v>
      </c>
      <c r="U162" s="69"/>
      <c r="V162" s="69"/>
      <c r="AS162" s="94">
        <f t="shared" si="17"/>
        <v>15000</v>
      </c>
      <c r="AT162" s="69">
        <v>12630.8</v>
      </c>
      <c r="AU162" s="69">
        <v>1619.2</v>
      </c>
      <c r="AW162" s="69">
        <v>750</v>
      </c>
      <c r="BD162" s="69"/>
      <c r="BE162" s="69"/>
      <c r="CE162" s="94">
        <f t="shared" si="20"/>
        <v>15000</v>
      </c>
      <c r="CF162" s="73">
        <f t="shared" si="21"/>
        <v>0</v>
      </c>
      <c r="CG162" s="75">
        <f t="shared" si="16"/>
        <v>6222</v>
      </c>
      <c r="CH162" s="75" t="str">
        <f t="shared" si="16"/>
        <v>خ ت اسنان</v>
      </c>
    </row>
    <row r="163" spans="3:86" x14ac:dyDescent="0.25">
      <c r="C163" s="78">
        <v>11277</v>
      </c>
      <c r="D163" s="70">
        <v>6223</v>
      </c>
      <c r="E163" s="107" t="s">
        <v>123</v>
      </c>
      <c r="F163" s="79" t="s">
        <v>2252</v>
      </c>
      <c r="H163" s="69">
        <v>4000</v>
      </c>
      <c r="U163" s="69"/>
      <c r="V163" s="69"/>
      <c r="AS163" s="94">
        <f t="shared" si="17"/>
        <v>4000</v>
      </c>
      <c r="AT163" s="69">
        <v>3370.35</v>
      </c>
      <c r="AU163" s="69">
        <v>429.65</v>
      </c>
      <c r="AW163" s="69">
        <v>200</v>
      </c>
      <c r="BD163" s="69"/>
      <c r="BE163" s="69"/>
      <c r="CE163" s="94">
        <f t="shared" si="20"/>
        <v>4000</v>
      </c>
      <c r="CF163" s="73">
        <f t="shared" si="21"/>
        <v>0</v>
      </c>
      <c r="CG163" s="75">
        <f t="shared" si="16"/>
        <v>6223</v>
      </c>
      <c r="CH163" s="75" t="str">
        <f t="shared" si="16"/>
        <v>خ ت اسنان</v>
      </c>
    </row>
    <row r="164" spans="3:86" x14ac:dyDescent="0.25">
      <c r="C164" s="78">
        <v>11276</v>
      </c>
      <c r="D164" s="70">
        <v>6224</v>
      </c>
      <c r="E164" s="107" t="s">
        <v>123</v>
      </c>
      <c r="F164" s="79" t="s">
        <v>2253</v>
      </c>
      <c r="H164" s="69">
        <v>29312.5</v>
      </c>
      <c r="U164" s="69"/>
      <c r="V164" s="69"/>
      <c r="AS164" s="94">
        <f t="shared" si="17"/>
        <v>29312.5</v>
      </c>
      <c r="AT164" s="69">
        <v>18335.599999999999</v>
      </c>
      <c r="AU164" s="69">
        <v>2664.4</v>
      </c>
      <c r="AV164" s="69">
        <v>7062.5</v>
      </c>
      <c r="AW164" s="69">
        <v>1250</v>
      </c>
      <c r="BD164" s="69"/>
      <c r="BE164" s="69"/>
      <c r="CE164" s="94">
        <f t="shared" si="20"/>
        <v>29312.5</v>
      </c>
      <c r="CF164" s="73">
        <f t="shared" si="21"/>
        <v>0</v>
      </c>
      <c r="CG164" s="75">
        <f t="shared" si="16"/>
        <v>6224</v>
      </c>
      <c r="CH164" s="75" t="str">
        <f t="shared" si="16"/>
        <v>خ ت اسنان</v>
      </c>
    </row>
    <row r="165" spans="3:86" x14ac:dyDescent="0.25">
      <c r="C165" s="78">
        <v>11275</v>
      </c>
      <c r="D165" s="70">
        <v>6225</v>
      </c>
      <c r="E165" s="107" t="s">
        <v>123</v>
      </c>
      <c r="F165" s="79" t="s">
        <v>2253</v>
      </c>
      <c r="H165" s="69">
        <v>24774.62</v>
      </c>
      <c r="U165" s="69"/>
      <c r="V165" s="69"/>
      <c r="AS165" s="94">
        <f t="shared" si="17"/>
        <v>24774.62</v>
      </c>
      <c r="AT165" s="69">
        <v>15158.12</v>
      </c>
      <c r="AU165" s="69">
        <v>2226.1</v>
      </c>
      <c r="AV165" s="69">
        <v>6345.4</v>
      </c>
      <c r="AW165" s="69">
        <v>1045</v>
      </c>
      <c r="BD165" s="69"/>
      <c r="BE165" s="69"/>
      <c r="CE165" s="94">
        <f t="shared" si="20"/>
        <v>24774.620000000003</v>
      </c>
      <c r="CF165" s="73">
        <f t="shared" si="21"/>
        <v>0</v>
      </c>
      <c r="CG165" s="75">
        <f t="shared" si="16"/>
        <v>6225</v>
      </c>
      <c r="CH165" s="75" t="str">
        <f t="shared" si="16"/>
        <v>خ ت اسنان</v>
      </c>
    </row>
    <row r="166" spans="3:86" x14ac:dyDescent="0.25">
      <c r="C166" s="78">
        <v>11274</v>
      </c>
      <c r="D166" s="70">
        <v>6226</v>
      </c>
      <c r="E166" s="107" t="s">
        <v>123</v>
      </c>
      <c r="F166" s="79" t="s">
        <v>2253</v>
      </c>
      <c r="H166" s="69">
        <v>4690</v>
      </c>
      <c r="U166" s="69"/>
      <c r="V166" s="69"/>
      <c r="AS166" s="94">
        <f t="shared" si="17"/>
        <v>4690</v>
      </c>
      <c r="AT166" s="69">
        <v>2933.65</v>
      </c>
      <c r="AU166" s="69">
        <v>426.35</v>
      </c>
      <c r="AV166" s="69">
        <v>1130</v>
      </c>
      <c r="AW166" s="69">
        <v>200</v>
      </c>
      <c r="BD166" s="69"/>
      <c r="BE166" s="69"/>
      <c r="CE166" s="94">
        <f t="shared" si="20"/>
        <v>4690</v>
      </c>
      <c r="CF166" s="73">
        <f t="shared" si="21"/>
        <v>0</v>
      </c>
      <c r="CG166" s="75">
        <f t="shared" si="16"/>
        <v>6226</v>
      </c>
      <c r="CH166" s="75" t="str">
        <f t="shared" si="16"/>
        <v>خ ت اسنان</v>
      </c>
    </row>
    <row r="167" spans="3:86" x14ac:dyDescent="0.25">
      <c r="C167" s="78">
        <v>11273</v>
      </c>
      <c r="D167" s="70">
        <v>6227</v>
      </c>
      <c r="E167" s="107" t="s">
        <v>123</v>
      </c>
      <c r="F167" s="79" t="str">
        <f>+F160</f>
        <v>مكافاه مشاركين تعليميه ترم اول</v>
      </c>
      <c r="H167" s="69">
        <v>10362.17</v>
      </c>
      <c r="U167" s="69"/>
      <c r="V167" s="69"/>
      <c r="AS167" s="94">
        <f t="shared" si="17"/>
        <v>10362.17</v>
      </c>
      <c r="AT167" s="69">
        <v>6721.07</v>
      </c>
      <c r="AU167" s="69">
        <v>960.3</v>
      </c>
      <c r="AV167" s="69">
        <v>2230.8000000000002</v>
      </c>
      <c r="AW167" s="69">
        <v>450</v>
      </c>
      <c r="BD167" s="69"/>
      <c r="BE167" s="69"/>
      <c r="CE167" s="94">
        <f t="shared" si="20"/>
        <v>10362.17</v>
      </c>
      <c r="CF167" s="73">
        <f t="shared" si="21"/>
        <v>0</v>
      </c>
      <c r="CG167" s="75">
        <f t="shared" si="16"/>
        <v>6227</v>
      </c>
      <c r="CH167" s="75" t="str">
        <f t="shared" si="16"/>
        <v>خ ت اسنان</v>
      </c>
    </row>
    <row r="168" spans="3:86" x14ac:dyDescent="0.25">
      <c r="C168" s="78">
        <v>10936</v>
      </c>
      <c r="D168" s="70">
        <v>6228</v>
      </c>
      <c r="E168" s="107" t="s">
        <v>123</v>
      </c>
      <c r="F168" s="79" t="s">
        <v>2254</v>
      </c>
      <c r="H168" s="69">
        <v>3789</v>
      </c>
      <c r="U168" s="69"/>
      <c r="V168" s="69"/>
      <c r="AS168" s="94">
        <f t="shared" si="17"/>
        <v>3789</v>
      </c>
      <c r="AT168" s="69">
        <v>2646.48</v>
      </c>
      <c r="AU168" s="69">
        <v>358.34</v>
      </c>
      <c r="AV168" s="69">
        <v>613.46</v>
      </c>
      <c r="AW168" s="69">
        <v>170.72</v>
      </c>
      <c r="BD168" s="69"/>
      <c r="BE168" s="69"/>
      <c r="CE168" s="94">
        <f t="shared" si="20"/>
        <v>3789</v>
      </c>
      <c r="CF168" s="73">
        <f t="shared" si="21"/>
        <v>0</v>
      </c>
      <c r="CG168" s="75">
        <f t="shared" si="16"/>
        <v>6228</v>
      </c>
      <c r="CH168" s="75" t="str">
        <f t="shared" si="16"/>
        <v>خ ت اسنان</v>
      </c>
    </row>
    <row r="169" spans="3:86" x14ac:dyDescent="0.25">
      <c r="C169" s="78">
        <v>10938</v>
      </c>
      <c r="D169" s="70">
        <v>6229</v>
      </c>
      <c r="E169" s="107" t="s">
        <v>123</v>
      </c>
      <c r="F169" s="79" t="s">
        <v>2254</v>
      </c>
      <c r="H169" s="69">
        <v>727.88</v>
      </c>
      <c r="U169" s="69"/>
      <c r="V169" s="69"/>
      <c r="AS169" s="94">
        <f t="shared" si="17"/>
        <v>727.88</v>
      </c>
      <c r="AT169" s="69">
        <v>505.52</v>
      </c>
      <c r="AU169" s="69">
        <v>15.96</v>
      </c>
      <c r="AV169" s="69">
        <v>175.36</v>
      </c>
      <c r="AW169" s="69">
        <v>31.04</v>
      </c>
      <c r="BD169" s="69"/>
      <c r="BE169" s="69"/>
      <c r="CE169" s="94">
        <f t="shared" si="20"/>
        <v>727.88</v>
      </c>
      <c r="CF169" s="73">
        <f t="shared" si="21"/>
        <v>0</v>
      </c>
      <c r="CG169" s="75">
        <f t="shared" si="16"/>
        <v>6229</v>
      </c>
      <c r="CH169" s="75" t="str">
        <f t="shared" si="16"/>
        <v>خ ت اسنان</v>
      </c>
    </row>
    <row r="170" spans="3:86" x14ac:dyDescent="0.25">
      <c r="C170" s="78">
        <v>10937</v>
      </c>
      <c r="D170" s="70">
        <v>6230</v>
      </c>
      <c r="E170" s="107" t="s">
        <v>123</v>
      </c>
      <c r="F170" s="79" t="s">
        <v>2254</v>
      </c>
      <c r="H170" s="69">
        <v>2183.66</v>
      </c>
      <c r="U170" s="69"/>
      <c r="V170" s="69"/>
      <c r="AS170" s="94">
        <f t="shared" si="17"/>
        <v>2183.66</v>
      </c>
      <c r="AT170" s="69">
        <v>1516.24</v>
      </c>
      <c r="AU170" s="69">
        <v>48.18</v>
      </c>
      <c r="AV170" s="69">
        <v>526.12</v>
      </c>
      <c r="AW170" s="69">
        <v>93.12</v>
      </c>
      <c r="BD170" s="69"/>
      <c r="BE170" s="69"/>
      <c r="CE170" s="94">
        <f t="shared" si="20"/>
        <v>2183.66</v>
      </c>
      <c r="CF170" s="73">
        <f t="shared" si="21"/>
        <v>0</v>
      </c>
      <c r="CG170" s="75">
        <f t="shared" si="16"/>
        <v>6230</v>
      </c>
      <c r="CH170" s="75" t="str">
        <f t="shared" si="16"/>
        <v>خ ت اسنان</v>
      </c>
    </row>
    <row r="171" spans="3:86" x14ac:dyDescent="0.25">
      <c r="C171" s="78">
        <v>10933</v>
      </c>
      <c r="D171" s="70">
        <v>6231</v>
      </c>
      <c r="E171" s="107" t="s">
        <v>123</v>
      </c>
      <c r="F171" s="79" t="s">
        <v>2255</v>
      </c>
      <c r="H171" s="69">
        <v>11894.18</v>
      </c>
      <c r="U171" s="69"/>
      <c r="V171" s="69"/>
      <c r="AS171" s="94">
        <f t="shared" si="17"/>
        <v>11894.18</v>
      </c>
      <c r="AT171" s="69">
        <v>8728.68</v>
      </c>
      <c r="AU171" s="69">
        <v>540.63</v>
      </c>
      <c r="AV171" s="69">
        <v>2094.09</v>
      </c>
      <c r="AW171" s="69">
        <v>530.78</v>
      </c>
      <c r="BD171" s="69"/>
      <c r="BE171" s="69"/>
      <c r="CE171" s="94">
        <f t="shared" si="20"/>
        <v>11894.18</v>
      </c>
      <c r="CF171" s="73">
        <f t="shared" si="21"/>
        <v>0</v>
      </c>
      <c r="CG171" s="75">
        <f t="shared" si="16"/>
        <v>6231</v>
      </c>
      <c r="CH171" s="75" t="str">
        <f t="shared" si="16"/>
        <v>خ ت اسنان</v>
      </c>
    </row>
    <row r="172" spans="3:86" x14ac:dyDescent="0.25">
      <c r="C172" s="78">
        <v>10932</v>
      </c>
      <c r="D172" s="70">
        <v>6232</v>
      </c>
      <c r="E172" s="107" t="s">
        <v>123</v>
      </c>
      <c r="F172" s="79" t="s">
        <v>2255</v>
      </c>
      <c r="H172" s="69">
        <v>23892.35</v>
      </c>
      <c r="U172" s="69"/>
      <c r="V172" s="69"/>
      <c r="AS172" s="94">
        <f t="shared" si="17"/>
        <v>23892.35</v>
      </c>
      <c r="AT172" s="69">
        <v>18040.66</v>
      </c>
      <c r="AU172" s="69">
        <v>2474.85</v>
      </c>
      <c r="AV172" s="69">
        <v>2250.91</v>
      </c>
      <c r="AW172" s="69">
        <v>1125.93</v>
      </c>
      <c r="BD172" s="69"/>
      <c r="BE172" s="69"/>
      <c r="CE172" s="94">
        <f t="shared" si="20"/>
        <v>23892.35</v>
      </c>
      <c r="CF172" s="73">
        <f t="shared" si="21"/>
        <v>0</v>
      </c>
      <c r="CG172" s="75">
        <f t="shared" si="16"/>
        <v>6232</v>
      </c>
      <c r="CH172" s="75" t="str">
        <f t="shared" si="16"/>
        <v>خ ت اسنان</v>
      </c>
    </row>
    <row r="173" spans="3:86" x14ac:dyDescent="0.25">
      <c r="C173" s="78">
        <v>10935</v>
      </c>
      <c r="D173" s="70">
        <v>6233</v>
      </c>
      <c r="E173" s="107" t="s">
        <v>123</v>
      </c>
      <c r="F173" s="79" t="s">
        <v>2255</v>
      </c>
      <c r="H173" s="69">
        <v>1131.46</v>
      </c>
      <c r="U173" s="69"/>
      <c r="V173" s="69"/>
      <c r="AS173" s="94">
        <f t="shared" si="17"/>
        <v>1131.46</v>
      </c>
      <c r="AT173" s="69">
        <v>724.41</v>
      </c>
      <c r="AU173" s="69">
        <v>86.19</v>
      </c>
      <c r="AV173" s="69">
        <v>272.61</v>
      </c>
      <c r="AW173" s="69">
        <v>48.25</v>
      </c>
      <c r="BD173" s="69"/>
      <c r="BE173" s="69"/>
      <c r="CE173" s="94">
        <f t="shared" si="20"/>
        <v>1131.46</v>
      </c>
      <c r="CF173" s="73">
        <f t="shared" si="21"/>
        <v>0</v>
      </c>
      <c r="CG173" s="75">
        <f t="shared" si="16"/>
        <v>6233</v>
      </c>
      <c r="CH173" s="75" t="str">
        <f t="shared" si="16"/>
        <v>خ ت اسنان</v>
      </c>
    </row>
    <row r="174" spans="3:86" x14ac:dyDescent="0.25">
      <c r="C174" s="78">
        <v>10934</v>
      </c>
      <c r="D174" s="70">
        <v>6234</v>
      </c>
      <c r="E174" s="107" t="s">
        <v>123</v>
      </c>
      <c r="F174" s="79" t="s">
        <v>2255</v>
      </c>
      <c r="H174" s="69">
        <v>754.38</v>
      </c>
      <c r="U174" s="69"/>
      <c r="V174" s="69"/>
      <c r="AS174" s="94">
        <f t="shared" si="17"/>
        <v>754.38</v>
      </c>
      <c r="AT174" s="69">
        <v>523.34</v>
      </c>
      <c r="AU174" s="69">
        <v>17.12</v>
      </c>
      <c r="AV174" s="69">
        <v>181.75</v>
      </c>
      <c r="AW174" s="69">
        <v>32.17</v>
      </c>
      <c r="BD174" s="69"/>
      <c r="BE174" s="69"/>
      <c r="CE174" s="94">
        <f t="shared" si="20"/>
        <v>754.38</v>
      </c>
      <c r="CF174" s="73">
        <f t="shared" si="21"/>
        <v>0</v>
      </c>
      <c r="CG174" s="75">
        <f t="shared" si="16"/>
        <v>6234</v>
      </c>
      <c r="CH174" s="75" t="str">
        <f t="shared" si="16"/>
        <v>خ ت اسنان</v>
      </c>
    </row>
    <row r="175" spans="3:86" x14ac:dyDescent="0.25">
      <c r="C175" s="78">
        <v>10930</v>
      </c>
      <c r="D175" s="70">
        <v>6235</v>
      </c>
      <c r="E175" s="107" t="s">
        <v>123</v>
      </c>
      <c r="F175" s="79" t="s">
        <v>2256</v>
      </c>
      <c r="H175" s="69">
        <v>53150.59</v>
      </c>
      <c r="U175" s="69"/>
      <c r="V175" s="69"/>
      <c r="AS175" s="94">
        <f t="shared" si="17"/>
        <v>53150.59</v>
      </c>
      <c r="AT175" s="69">
        <v>42273.17</v>
      </c>
      <c r="AU175" s="69">
        <v>6498.44</v>
      </c>
      <c r="AV175" s="69">
        <v>1775.65</v>
      </c>
      <c r="AW175" s="69">
        <v>2603.33</v>
      </c>
      <c r="BD175" s="69"/>
      <c r="BE175" s="69"/>
      <c r="CE175" s="94">
        <f t="shared" si="20"/>
        <v>53150.590000000004</v>
      </c>
      <c r="CF175" s="73">
        <f t="shared" si="21"/>
        <v>0</v>
      </c>
      <c r="CG175" s="75">
        <f t="shared" si="16"/>
        <v>6235</v>
      </c>
      <c r="CH175" s="75" t="str">
        <f t="shared" si="16"/>
        <v>خ ت اسنان</v>
      </c>
    </row>
    <row r="176" spans="3:86" x14ac:dyDescent="0.25">
      <c r="C176" s="78">
        <v>10931</v>
      </c>
      <c r="D176" s="70">
        <v>6236</v>
      </c>
      <c r="E176" s="107" t="s">
        <v>123</v>
      </c>
      <c r="F176" s="79" t="s">
        <v>2256</v>
      </c>
      <c r="H176" s="69">
        <v>26794.33</v>
      </c>
      <c r="U176" s="69"/>
      <c r="V176" s="69"/>
      <c r="AS176" s="94">
        <f t="shared" si="17"/>
        <v>26794.33</v>
      </c>
      <c r="AT176" s="69">
        <v>20204.72</v>
      </c>
      <c r="AU176" s="69">
        <v>1766.27</v>
      </c>
      <c r="AV176" s="69">
        <v>3593.33</v>
      </c>
      <c r="AW176" s="69">
        <v>1230.01</v>
      </c>
      <c r="BD176" s="69"/>
      <c r="BE176" s="69"/>
      <c r="CE176" s="94">
        <f t="shared" si="20"/>
        <v>26794.329999999998</v>
      </c>
      <c r="CF176" s="73">
        <f t="shared" si="21"/>
        <v>0</v>
      </c>
      <c r="CG176" s="75">
        <f t="shared" si="16"/>
        <v>6236</v>
      </c>
      <c r="CH176" s="75" t="str">
        <f t="shared" si="16"/>
        <v>خ ت اسنان</v>
      </c>
    </row>
    <row r="177" spans="2:86" x14ac:dyDescent="0.25">
      <c r="C177" s="78">
        <v>10928</v>
      </c>
      <c r="D177" s="70">
        <v>6237</v>
      </c>
      <c r="E177" s="107" t="s">
        <v>123</v>
      </c>
      <c r="F177" s="79" t="s">
        <v>2256</v>
      </c>
      <c r="H177" s="69">
        <v>21833.01</v>
      </c>
      <c r="U177" s="69"/>
      <c r="V177" s="69"/>
      <c r="AS177" s="94">
        <f t="shared" si="17"/>
        <v>21833.01</v>
      </c>
      <c r="AT177" s="69">
        <v>14812.49</v>
      </c>
      <c r="AU177" s="69">
        <v>1929.27</v>
      </c>
      <c r="AV177" s="69">
        <v>4125.58</v>
      </c>
      <c r="AW177" s="69">
        <v>965.67</v>
      </c>
      <c r="BD177" s="69"/>
      <c r="BE177" s="69"/>
      <c r="CE177" s="94">
        <f t="shared" si="20"/>
        <v>21833.009999999995</v>
      </c>
      <c r="CF177" s="73">
        <f t="shared" si="21"/>
        <v>0</v>
      </c>
      <c r="CG177" s="75">
        <f t="shared" si="16"/>
        <v>6237</v>
      </c>
      <c r="CH177" s="75" t="str">
        <f t="shared" si="16"/>
        <v>خ ت اسنان</v>
      </c>
    </row>
    <row r="178" spans="2:86" x14ac:dyDescent="0.25">
      <c r="C178" s="78">
        <v>10929</v>
      </c>
      <c r="D178" s="70">
        <v>6238</v>
      </c>
      <c r="E178" s="107" t="s">
        <v>123</v>
      </c>
      <c r="F178" s="79" t="s">
        <v>2256</v>
      </c>
      <c r="H178" s="69">
        <v>11447.99</v>
      </c>
      <c r="U178" s="69"/>
      <c r="V178" s="69"/>
      <c r="AS178" s="94">
        <f t="shared" si="17"/>
        <v>11447.99</v>
      </c>
      <c r="AT178" s="69">
        <v>7677.06</v>
      </c>
      <c r="AU178" s="69">
        <v>658.51</v>
      </c>
      <c r="AV178" s="69">
        <v>2620.02</v>
      </c>
      <c r="AW178" s="69">
        <v>492.4</v>
      </c>
      <c r="BD178" s="69"/>
      <c r="BE178" s="69"/>
      <c r="CE178" s="94">
        <f t="shared" si="20"/>
        <v>11447.99</v>
      </c>
      <c r="CF178" s="73">
        <f t="shared" si="21"/>
        <v>0</v>
      </c>
      <c r="CG178" s="75">
        <f t="shared" si="16"/>
        <v>6238</v>
      </c>
      <c r="CH178" s="75" t="str">
        <f t="shared" si="16"/>
        <v>خ ت اسنان</v>
      </c>
    </row>
    <row r="179" spans="2:86" x14ac:dyDescent="0.25">
      <c r="C179" s="78">
        <v>10922</v>
      </c>
      <c r="D179" s="70">
        <v>6239</v>
      </c>
      <c r="E179" s="107" t="s">
        <v>123</v>
      </c>
      <c r="F179" s="79" t="str">
        <f>+F174</f>
        <v>مكافاه مشاركين دراسات</v>
      </c>
      <c r="H179" s="69">
        <v>455.16</v>
      </c>
      <c r="U179" s="69"/>
      <c r="V179" s="69"/>
      <c r="AS179" s="94">
        <f t="shared" si="17"/>
        <v>455.16</v>
      </c>
      <c r="AT179" s="69">
        <v>291.73</v>
      </c>
      <c r="AU179" s="69">
        <v>34.36</v>
      </c>
      <c r="AV179" s="69">
        <v>109.66</v>
      </c>
      <c r="AW179" s="69">
        <v>19.41</v>
      </c>
      <c r="BD179" s="69"/>
      <c r="BE179" s="69"/>
      <c r="CE179" s="94">
        <f t="shared" si="20"/>
        <v>455.16</v>
      </c>
      <c r="CF179" s="73">
        <f t="shared" si="21"/>
        <v>0</v>
      </c>
      <c r="CG179" s="75">
        <f t="shared" si="16"/>
        <v>6239</v>
      </c>
      <c r="CH179" s="75" t="str">
        <f t="shared" si="16"/>
        <v>خ ت اسنان</v>
      </c>
    </row>
    <row r="180" spans="2:86" x14ac:dyDescent="0.25">
      <c r="C180" s="78">
        <v>10925</v>
      </c>
      <c r="D180" s="70">
        <v>6240</v>
      </c>
      <c r="E180" s="107" t="s">
        <v>123</v>
      </c>
      <c r="F180" s="79" t="str">
        <f t="shared" ref="F180:F185" si="22">+F169</f>
        <v>مكافاه خ ت  امن دراسات</v>
      </c>
      <c r="H180" s="69">
        <v>1516.62</v>
      </c>
      <c r="U180" s="69"/>
      <c r="V180" s="69"/>
      <c r="AS180" s="94">
        <f t="shared" si="17"/>
        <v>1516.62</v>
      </c>
      <c r="AT180" s="69">
        <v>966.76</v>
      </c>
      <c r="AU180" s="69">
        <v>128.36000000000001</v>
      </c>
      <c r="AV180" s="69">
        <v>356.58</v>
      </c>
      <c r="AW180" s="69">
        <v>64.92</v>
      </c>
      <c r="BD180" s="69"/>
      <c r="BE180" s="69"/>
      <c r="CE180" s="94">
        <f t="shared" si="20"/>
        <v>1516.62</v>
      </c>
      <c r="CF180" s="73">
        <f t="shared" si="21"/>
        <v>0</v>
      </c>
      <c r="CG180" s="75">
        <f t="shared" si="16"/>
        <v>6240</v>
      </c>
      <c r="CH180" s="75" t="str">
        <f t="shared" si="16"/>
        <v>خ ت اسنان</v>
      </c>
    </row>
    <row r="181" spans="2:86" ht="27" customHeight="1" x14ac:dyDescent="0.25">
      <c r="C181" s="78">
        <v>10926</v>
      </c>
      <c r="D181" s="70">
        <v>6241</v>
      </c>
      <c r="E181" s="107" t="s">
        <v>123</v>
      </c>
      <c r="F181" s="79" t="str">
        <f t="shared" si="22"/>
        <v>مكافاه خ ت  امن دراسات</v>
      </c>
      <c r="H181" s="69">
        <v>830.69</v>
      </c>
      <c r="U181" s="69"/>
      <c r="V181" s="69"/>
      <c r="AS181" s="94">
        <f t="shared" si="17"/>
        <v>830.69</v>
      </c>
      <c r="AT181" s="69">
        <v>577.99</v>
      </c>
      <c r="AU181" s="69">
        <v>17.16</v>
      </c>
      <c r="AV181" s="69">
        <v>200.12</v>
      </c>
      <c r="AW181" s="69">
        <v>35.42</v>
      </c>
      <c r="BD181" s="69"/>
      <c r="BE181" s="69"/>
      <c r="CE181" s="94">
        <f t="shared" si="20"/>
        <v>830.68999999999994</v>
      </c>
      <c r="CF181" s="73">
        <f t="shared" si="21"/>
        <v>0</v>
      </c>
      <c r="CG181" s="75">
        <f t="shared" si="16"/>
        <v>6241</v>
      </c>
      <c r="CH181" s="75" t="str">
        <f t="shared" si="16"/>
        <v>خ ت اسنان</v>
      </c>
    </row>
    <row r="182" spans="2:86" x14ac:dyDescent="0.25">
      <c r="C182" s="78">
        <v>10927</v>
      </c>
      <c r="D182" s="70">
        <v>6242</v>
      </c>
      <c r="E182" s="107" t="s">
        <v>123</v>
      </c>
      <c r="F182" s="79" t="str">
        <f t="shared" si="22"/>
        <v>مكافاه مشاركين دراسات</v>
      </c>
      <c r="H182" s="69">
        <v>276.94</v>
      </c>
      <c r="U182" s="69"/>
      <c r="V182" s="69"/>
      <c r="AS182" s="94">
        <f t="shared" si="17"/>
        <v>276.94</v>
      </c>
      <c r="AT182" s="69">
        <v>192.78</v>
      </c>
      <c r="AU182" s="69">
        <v>5.64</v>
      </c>
      <c r="AV182" s="69">
        <v>66.72</v>
      </c>
      <c r="AW182" s="69">
        <v>11.8</v>
      </c>
      <c r="BD182" s="69"/>
      <c r="BE182" s="69"/>
      <c r="CE182" s="94">
        <f t="shared" si="20"/>
        <v>276.94</v>
      </c>
      <c r="CF182" s="73">
        <f t="shared" si="21"/>
        <v>0</v>
      </c>
      <c r="CG182" s="75">
        <f t="shared" si="16"/>
        <v>6242</v>
      </c>
      <c r="CH182" s="75" t="str">
        <f t="shared" si="16"/>
        <v>خ ت اسنان</v>
      </c>
    </row>
    <row r="183" spans="2:86" x14ac:dyDescent="0.25">
      <c r="B183" s="77"/>
      <c r="C183" s="78">
        <v>10924</v>
      </c>
      <c r="D183" s="70">
        <v>6243</v>
      </c>
      <c r="E183" s="107" t="s">
        <v>123</v>
      </c>
      <c r="F183" s="79" t="str">
        <f t="shared" si="22"/>
        <v>مكافاه مشاركين دراسات</v>
      </c>
      <c r="H183" s="69">
        <v>303.44</v>
      </c>
      <c r="U183" s="69"/>
      <c r="V183" s="69"/>
      <c r="AS183" s="94">
        <f t="shared" si="17"/>
        <v>303.44</v>
      </c>
      <c r="AT183" s="69">
        <v>210.79</v>
      </c>
      <c r="AU183" s="69">
        <v>6.6</v>
      </c>
      <c r="AV183" s="69">
        <v>73.11</v>
      </c>
      <c r="AW183" s="69">
        <v>12.94</v>
      </c>
      <c r="BD183" s="69"/>
      <c r="BE183" s="69"/>
      <c r="CE183" s="94">
        <f t="shared" si="20"/>
        <v>303.44</v>
      </c>
      <c r="CF183" s="73">
        <f t="shared" si="21"/>
        <v>0</v>
      </c>
      <c r="CG183" s="75">
        <f t="shared" si="16"/>
        <v>6243</v>
      </c>
      <c r="CH183" s="75" t="str">
        <f t="shared" si="16"/>
        <v>خ ت اسنان</v>
      </c>
    </row>
    <row r="184" spans="2:86" x14ac:dyDescent="0.25">
      <c r="C184" s="78">
        <v>10923</v>
      </c>
      <c r="D184" s="70">
        <v>6244</v>
      </c>
      <c r="E184" s="107" t="s">
        <v>123</v>
      </c>
      <c r="F184" s="79" t="str">
        <f t="shared" si="22"/>
        <v>مكافاه مشاركين دراسات</v>
      </c>
      <c r="H184" s="69">
        <v>4869.13</v>
      </c>
      <c r="U184" s="69"/>
      <c r="V184" s="69"/>
      <c r="AS184" s="94">
        <f t="shared" si="17"/>
        <v>4869.13</v>
      </c>
      <c r="AT184" s="69">
        <v>3488.68</v>
      </c>
      <c r="AU184" s="69">
        <v>186.5</v>
      </c>
      <c r="AV184" s="69">
        <v>980.4</v>
      </c>
      <c r="AW184" s="69">
        <v>213.55</v>
      </c>
      <c r="BD184" s="69"/>
      <c r="BE184" s="69"/>
      <c r="CE184" s="94">
        <f t="shared" si="20"/>
        <v>4869.13</v>
      </c>
      <c r="CF184" s="73">
        <f t="shared" si="21"/>
        <v>0</v>
      </c>
      <c r="CG184" s="75">
        <f t="shared" si="16"/>
        <v>6244</v>
      </c>
      <c r="CH184" s="75" t="str">
        <f t="shared" si="16"/>
        <v>خ ت اسنان</v>
      </c>
    </row>
    <row r="185" spans="2:86" x14ac:dyDescent="0.25">
      <c r="C185" s="78">
        <v>10921</v>
      </c>
      <c r="D185" s="70">
        <v>6245</v>
      </c>
      <c r="E185" s="107" t="s">
        <v>123</v>
      </c>
      <c r="F185" s="79" t="str">
        <f t="shared" si="22"/>
        <v>مكافاه مشاركين دراسات</v>
      </c>
      <c r="H185" s="69">
        <v>8886.7999999999993</v>
      </c>
      <c r="U185" s="69"/>
      <c r="V185" s="69"/>
      <c r="AS185" s="94">
        <f t="shared" si="17"/>
        <v>8886.7999999999993</v>
      </c>
      <c r="AT185" s="69">
        <v>6578.82</v>
      </c>
      <c r="AU185" s="69">
        <v>903.98</v>
      </c>
      <c r="AV185" s="69">
        <v>989.85</v>
      </c>
      <c r="AW185" s="69">
        <v>414.15</v>
      </c>
      <c r="BD185" s="69"/>
      <c r="BE185" s="69"/>
      <c r="CE185" s="94">
        <f t="shared" si="20"/>
        <v>8886.7999999999993</v>
      </c>
      <c r="CF185" s="73">
        <f t="shared" si="21"/>
        <v>0</v>
      </c>
      <c r="CG185" s="75">
        <f t="shared" si="16"/>
        <v>6245</v>
      </c>
      <c r="CH185" s="75" t="str">
        <f t="shared" si="16"/>
        <v>خ ت اسنان</v>
      </c>
    </row>
    <row r="186" spans="2:86" ht="18.75" x14ac:dyDescent="0.25">
      <c r="C186" s="78">
        <v>10777</v>
      </c>
      <c r="D186" s="70">
        <v>6246</v>
      </c>
      <c r="E186" s="103" t="s">
        <v>78</v>
      </c>
      <c r="F186" s="79" t="s">
        <v>2257</v>
      </c>
      <c r="H186" s="73">
        <v>6000</v>
      </c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94">
        <f>SUM(H186:AR186)</f>
        <v>6000</v>
      </c>
      <c r="AT186" s="73">
        <v>5352.4</v>
      </c>
      <c r="AU186" s="73">
        <v>647.6</v>
      </c>
      <c r="AV186" s="73"/>
      <c r="AW186" s="73"/>
      <c r="AX186" s="73"/>
      <c r="AY186" s="73"/>
      <c r="AZ186" s="73"/>
      <c r="BA186" s="73"/>
      <c r="BB186" s="73"/>
      <c r="BC186" s="73"/>
      <c r="BD186" s="69"/>
      <c r="BE186" s="69"/>
      <c r="CE186" s="94">
        <f>SUM(AT186:CD186)</f>
        <v>6000</v>
      </c>
      <c r="CF186" s="73">
        <f>+CE186-AS186</f>
        <v>0</v>
      </c>
      <c r="CG186" s="75">
        <f t="shared" si="16"/>
        <v>6246</v>
      </c>
      <c r="CH186" s="75" t="str">
        <f t="shared" si="16"/>
        <v>برنامج دولى</v>
      </c>
    </row>
    <row r="187" spans="2:86" ht="18.75" x14ac:dyDescent="0.25">
      <c r="C187" s="82">
        <v>10744</v>
      </c>
      <c r="D187" s="70">
        <v>6247</v>
      </c>
      <c r="E187" s="103" t="s">
        <v>137</v>
      </c>
      <c r="F187" s="69" t="s">
        <v>2258</v>
      </c>
      <c r="H187" s="69">
        <v>1524.25</v>
      </c>
      <c r="U187" s="69"/>
      <c r="V187" s="69"/>
      <c r="AS187" s="94">
        <f t="shared" si="17"/>
        <v>1524.25</v>
      </c>
      <c r="AT187" s="69">
        <v>953.7</v>
      </c>
      <c r="AU187" s="69">
        <v>138.30000000000001</v>
      </c>
      <c r="AV187" s="69">
        <v>367.25</v>
      </c>
      <c r="AW187" s="69">
        <v>65</v>
      </c>
      <c r="BD187" s="69"/>
      <c r="BE187" s="69"/>
      <c r="CE187" s="94">
        <f t="shared" si="20"/>
        <v>1524.25</v>
      </c>
      <c r="CF187" s="73">
        <f t="shared" si="21"/>
        <v>0</v>
      </c>
      <c r="CG187" s="75">
        <f t="shared" si="16"/>
        <v>6247</v>
      </c>
      <c r="CH187" s="75" t="str">
        <f t="shared" si="16"/>
        <v xml:space="preserve">خدمة عامة </v>
      </c>
    </row>
    <row r="188" spans="2:86" ht="18.75" x14ac:dyDescent="0.25">
      <c r="C188" s="82">
        <v>10743</v>
      </c>
      <c r="D188" s="70">
        <v>6248</v>
      </c>
      <c r="E188" s="103" t="s">
        <v>137</v>
      </c>
      <c r="F188" s="69" t="s">
        <v>2258</v>
      </c>
      <c r="H188" s="69">
        <v>8408.89</v>
      </c>
      <c r="U188" s="69"/>
      <c r="V188" s="69"/>
      <c r="AS188" s="94">
        <f t="shared" si="17"/>
        <v>8408.89</v>
      </c>
      <c r="AT188" s="69">
        <v>6040.05</v>
      </c>
      <c r="AU188" s="69">
        <v>822.9</v>
      </c>
      <c r="AV188" s="69">
        <v>1160.94</v>
      </c>
      <c r="AW188" s="69">
        <v>385</v>
      </c>
      <c r="BD188" s="69"/>
      <c r="BE188" s="69"/>
      <c r="CE188" s="94">
        <f t="shared" si="20"/>
        <v>8408.89</v>
      </c>
      <c r="CF188" s="73">
        <f t="shared" si="21"/>
        <v>0</v>
      </c>
      <c r="CG188" s="75">
        <f t="shared" si="16"/>
        <v>6248</v>
      </c>
      <c r="CH188" s="75" t="str">
        <f t="shared" si="16"/>
        <v xml:space="preserve">خدمة عامة </v>
      </c>
    </row>
    <row r="189" spans="2:86" ht="18.75" x14ac:dyDescent="0.25">
      <c r="C189" s="82">
        <v>10742</v>
      </c>
      <c r="D189" s="70">
        <v>6249</v>
      </c>
      <c r="E189" s="103" t="s">
        <v>137</v>
      </c>
      <c r="F189" s="69" t="s">
        <v>2258</v>
      </c>
      <c r="H189" s="69">
        <v>155321.09</v>
      </c>
      <c r="U189" s="69"/>
      <c r="V189" s="69"/>
      <c r="AS189" s="94">
        <f t="shared" si="17"/>
        <v>155321.09</v>
      </c>
      <c r="AT189" s="69">
        <v>125878.92</v>
      </c>
      <c r="AU189" s="69">
        <v>16085.75</v>
      </c>
      <c r="AV189" s="69">
        <v>5766.42</v>
      </c>
      <c r="AW189" s="69">
        <v>7590</v>
      </c>
      <c r="BD189" s="69"/>
      <c r="BE189" s="69"/>
      <c r="CE189" s="94">
        <f t="shared" si="20"/>
        <v>155321.09</v>
      </c>
      <c r="CF189" s="73">
        <f t="shared" si="21"/>
        <v>0</v>
      </c>
      <c r="CG189" s="75">
        <f t="shared" si="16"/>
        <v>6249</v>
      </c>
      <c r="CH189" s="75" t="str">
        <f t="shared" si="16"/>
        <v xml:space="preserve">خدمة عامة </v>
      </c>
    </row>
    <row r="190" spans="2:86" ht="18.75" x14ac:dyDescent="0.25">
      <c r="C190" s="82">
        <v>10745</v>
      </c>
      <c r="D190" s="70">
        <v>6250</v>
      </c>
      <c r="E190" s="103" t="s">
        <v>137</v>
      </c>
      <c r="F190" s="69" t="s">
        <v>2258</v>
      </c>
      <c r="H190" s="69">
        <v>6448.75</v>
      </c>
      <c r="U190" s="69"/>
      <c r="V190" s="69"/>
      <c r="AS190" s="94">
        <f t="shared" si="17"/>
        <v>6448.75</v>
      </c>
      <c r="AT190" s="69">
        <v>4026.4</v>
      </c>
      <c r="AU190" s="69">
        <f>43.6+550</f>
        <v>593.6</v>
      </c>
      <c r="AV190" s="69">
        <v>1553.75</v>
      </c>
      <c r="AW190" s="69">
        <v>275</v>
      </c>
      <c r="BD190" s="69"/>
      <c r="BE190" s="69"/>
      <c r="CE190" s="94">
        <f t="shared" si="20"/>
        <v>6448.75</v>
      </c>
      <c r="CF190" s="73">
        <f t="shared" si="21"/>
        <v>0</v>
      </c>
      <c r="CG190" s="75">
        <f t="shared" si="16"/>
        <v>6250</v>
      </c>
      <c r="CH190" s="75" t="str">
        <f t="shared" si="16"/>
        <v xml:space="preserve">خدمة عامة </v>
      </c>
    </row>
    <row r="191" spans="2:86" ht="18.75" x14ac:dyDescent="0.25">
      <c r="C191" s="82">
        <v>9949</v>
      </c>
      <c r="D191" s="70">
        <v>6251</v>
      </c>
      <c r="E191" s="103" t="s">
        <v>137</v>
      </c>
      <c r="F191" s="69" t="s">
        <v>2259</v>
      </c>
      <c r="H191" s="69">
        <v>3283</v>
      </c>
      <c r="U191" s="69"/>
      <c r="V191" s="69"/>
      <c r="AS191" s="94">
        <f t="shared" si="17"/>
        <v>3283</v>
      </c>
      <c r="AT191" s="69">
        <v>2051.35</v>
      </c>
      <c r="AU191" s="69">
        <f>20.65+280</f>
        <v>300.64999999999998</v>
      </c>
      <c r="AV191" s="69">
        <v>791</v>
      </c>
      <c r="AW191" s="69">
        <v>140</v>
      </c>
      <c r="BD191" s="69"/>
      <c r="BE191" s="69"/>
      <c r="CE191" s="94">
        <f t="shared" si="20"/>
        <v>3283</v>
      </c>
      <c r="CF191" s="73">
        <f t="shared" si="21"/>
        <v>0</v>
      </c>
      <c r="CG191" s="75">
        <f t="shared" si="16"/>
        <v>6251</v>
      </c>
      <c r="CH191" s="75" t="str">
        <f t="shared" si="16"/>
        <v xml:space="preserve">خدمة عامة </v>
      </c>
    </row>
    <row r="192" spans="2:86" ht="18.75" x14ac:dyDescent="0.25">
      <c r="C192" s="82">
        <v>9950</v>
      </c>
      <c r="D192" s="70">
        <v>6252</v>
      </c>
      <c r="E192" s="103" t="s">
        <v>137</v>
      </c>
      <c r="F192" s="69" t="s">
        <v>2259</v>
      </c>
      <c r="H192" s="69">
        <v>351.75</v>
      </c>
      <c r="U192" s="69"/>
      <c r="V192" s="69"/>
      <c r="AS192" s="94">
        <f t="shared" si="17"/>
        <v>351.75</v>
      </c>
      <c r="AT192" s="69">
        <v>220.35</v>
      </c>
      <c r="AU192" s="69">
        <f>1.65+30</f>
        <v>31.65</v>
      </c>
      <c r="AV192" s="69">
        <v>84.75</v>
      </c>
      <c r="AW192" s="69">
        <v>15</v>
      </c>
      <c r="BD192" s="69"/>
      <c r="BE192" s="69"/>
      <c r="CE192" s="94">
        <f t="shared" si="20"/>
        <v>351.75</v>
      </c>
      <c r="CF192" s="73">
        <f t="shared" si="21"/>
        <v>0</v>
      </c>
      <c r="CG192" s="75">
        <f t="shared" si="16"/>
        <v>6252</v>
      </c>
      <c r="CH192" s="75" t="str">
        <f t="shared" si="16"/>
        <v xml:space="preserve">خدمة عامة </v>
      </c>
    </row>
    <row r="193" spans="3:86" ht="18.75" x14ac:dyDescent="0.25">
      <c r="C193" s="82">
        <v>10746</v>
      </c>
      <c r="D193" s="70">
        <v>6253</v>
      </c>
      <c r="E193" s="103" t="s">
        <v>137</v>
      </c>
      <c r="F193" s="69" t="s">
        <v>2260</v>
      </c>
      <c r="H193" s="69">
        <v>31114.01</v>
      </c>
      <c r="U193" s="69"/>
      <c r="V193" s="69"/>
      <c r="AS193" s="94">
        <f t="shared" si="17"/>
        <v>31114.01</v>
      </c>
      <c r="AT193" s="69">
        <v>23248.27</v>
      </c>
      <c r="AU193" s="69">
        <v>3112.45</v>
      </c>
      <c r="AV193" s="69">
        <v>3298.29</v>
      </c>
      <c r="AW193" s="69">
        <v>1455</v>
      </c>
      <c r="BD193" s="69"/>
      <c r="BE193" s="69"/>
      <c r="CE193" s="94">
        <f t="shared" si="20"/>
        <v>31114.010000000002</v>
      </c>
      <c r="CF193" s="73">
        <f t="shared" si="21"/>
        <v>0</v>
      </c>
      <c r="CG193" s="75">
        <f t="shared" si="16"/>
        <v>6253</v>
      </c>
      <c r="CH193" s="75" t="str">
        <f t="shared" si="16"/>
        <v xml:space="preserve">خدمة عامة </v>
      </c>
    </row>
    <row r="194" spans="3:86" ht="18.75" x14ac:dyDescent="0.25">
      <c r="C194" s="82">
        <v>10747</v>
      </c>
      <c r="D194" s="70">
        <v>6254</v>
      </c>
      <c r="E194" s="103" t="s">
        <v>137</v>
      </c>
      <c r="F194" s="69" t="s">
        <v>2260</v>
      </c>
      <c r="H194" s="69">
        <v>351.75</v>
      </c>
      <c r="U194" s="69"/>
      <c r="V194" s="69"/>
      <c r="AS194" s="94">
        <f t="shared" si="17"/>
        <v>351.75</v>
      </c>
      <c r="AT194" s="69">
        <v>220.55</v>
      </c>
      <c r="AU194" s="69">
        <v>31.45</v>
      </c>
      <c r="AV194" s="69">
        <v>84.75</v>
      </c>
      <c r="AW194" s="69">
        <v>15</v>
      </c>
      <c r="BD194" s="69"/>
      <c r="BE194" s="69"/>
      <c r="CE194" s="94">
        <f t="shared" si="20"/>
        <v>351.75</v>
      </c>
      <c r="CF194" s="73">
        <f t="shared" si="21"/>
        <v>0</v>
      </c>
      <c r="CG194" s="75">
        <f t="shared" si="16"/>
        <v>6254</v>
      </c>
      <c r="CH194" s="75" t="str">
        <f t="shared" si="16"/>
        <v xml:space="preserve">خدمة عامة </v>
      </c>
    </row>
    <row r="195" spans="3:86" ht="18.75" x14ac:dyDescent="0.25">
      <c r="C195" s="82">
        <v>10730</v>
      </c>
      <c r="D195" s="70">
        <v>6255</v>
      </c>
      <c r="E195" s="103" t="s">
        <v>137</v>
      </c>
      <c r="F195" s="69" t="s">
        <v>2260</v>
      </c>
      <c r="H195" s="69">
        <v>938</v>
      </c>
      <c r="U195" s="69"/>
      <c r="V195" s="69"/>
      <c r="AS195" s="94">
        <f t="shared" si="17"/>
        <v>938</v>
      </c>
      <c r="AT195" s="69">
        <v>587.95000000000005</v>
      </c>
      <c r="AU195" s="69">
        <v>84.05</v>
      </c>
      <c r="AV195" s="69">
        <v>226</v>
      </c>
      <c r="AW195" s="69">
        <v>40</v>
      </c>
      <c r="BD195" s="69"/>
      <c r="BE195" s="69"/>
      <c r="CE195" s="94">
        <f t="shared" si="20"/>
        <v>938</v>
      </c>
      <c r="CF195" s="73">
        <f t="shared" si="21"/>
        <v>0</v>
      </c>
      <c r="CG195" s="75">
        <f t="shared" si="16"/>
        <v>6255</v>
      </c>
      <c r="CH195" s="75" t="str">
        <f t="shared" si="16"/>
        <v xml:space="preserve">خدمة عامة </v>
      </c>
    </row>
    <row r="196" spans="3:86" ht="18.75" x14ac:dyDescent="0.25">
      <c r="C196" s="82">
        <v>11263</v>
      </c>
      <c r="D196" s="70">
        <v>6256</v>
      </c>
      <c r="E196" s="103" t="s">
        <v>121</v>
      </c>
      <c r="F196" s="69" t="s">
        <v>2261</v>
      </c>
      <c r="H196" s="69">
        <v>3517.5</v>
      </c>
      <c r="U196" s="69"/>
      <c r="V196" s="69"/>
      <c r="AS196" s="94">
        <f t="shared" si="17"/>
        <v>3517.5</v>
      </c>
      <c r="AT196" s="69">
        <v>2350.35</v>
      </c>
      <c r="AU196" s="69">
        <v>319.64999999999998</v>
      </c>
      <c r="AV196" s="69">
        <v>847.5</v>
      </c>
      <c r="BD196" s="69"/>
      <c r="BE196" s="69"/>
      <c r="CE196" s="94">
        <f t="shared" si="20"/>
        <v>3517.5</v>
      </c>
      <c r="CF196" s="73">
        <f t="shared" si="21"/>
        <v>0</v>
      </c>
      <c r="CG196" s="75">
        <f t="shared" si="16"/>
        <v>6256</v>
      </c>
      <c r="CH196" s="75" t="str">
        <f t="shared" si="16"/>
        <v>ماليزى اسنان</v>
      </c>
    </row>
    <row r="197" spans="3:86" ht="18.75" x14ac:dyDescent="0.25">
      <c r="C197" s="82">
        <v>11271</v>
      </c>
      <c r="D197" s="70">
        <v>6257</v>
      </c>
      <c r="E197" s="103" t="s">
        <v>121</v>
      </c>
      <c r="F197" s="69" t="s">
        <v>2262</v>
      </c>
      <c r="H197" s="69">
        <v>8677.36</v>
      </c>
      <c r="U197" s="69"/>
      <c r="V197" s="69"/>
      <c r="AS197" s="94">
        <f t="shared" si="17"/>
        <v>8677.36</v>
      </c>
      <c r="AT197" s="69">
        <v>5949.63</v>
      </c>
      <c r="AU197" s="69">
        <v>799.6</v>
      </c>
      <c r="AV197" s="69">
        <v>1928.13</v>
      </c>
      <c r="BD197" s="69"/>
      <c r="BE197" s="69"/>
      <c r="CE197" s="94">
        <f t="shared" si="20"/>
        <v>8677.36</v>
      </c>
      <c r="CF197" s="73">
        <f t="shared" si="21"/>
        <v>0</v>
      </c>
      <c r="CG197" s="75">
        <f t="shared" si="16"/>
        <v>6257</v>
      </c>
      <c r="CH197" s="75" t="str">
        <f t="shared" si="16"/>
        <v>ماليزى اسنان</v>
      </c>
    </row>
    <row r="198" spans="3:86" ht="18.75" x14ac:dyDescent="0.25">
      <c r="C198" s="82">
        <v>11270</v>
      </c>
      <c r="D198" s="70">
        <v>6258</v>
      </c>
      <c r="E198" s="103" t="s">
        <v>121</v>
      </c>
      <c r="F198" s="69" t="s">
        <v>2262</v>
      </c>
      <c r="H198" s="69">
        <v>5122.67</v>
      </c>
      <c r="U198" s="69"/>
      <c r="V198" s="69"/>
      <c r="AS198" s="94">
        <f t="shared" si="17"/>
        <v>5122.67</v>
      </c>
      <c r="AT198" s="69">
        <v>4385.58</v>
      </c>
      <c r="AU198" s="69">
        <v>536.20000000000005</v>
      </c>
      <c r="AV198" s="69">
        <v>200.89</v>
      </c>
      <c r="BD198" s="69"/>
      <c r="BE198" s="69"/>
      <c r="CE198" s="94">
        <f t="shared" si="20"/>
        <v>5122.67</v>
      </c>
      <c r="CF198" s="73">
        <f t="shared" si="21"/>
        <v>0</v>
      </c>
      <c r="CG198" s="75">
        <f t="shared" si="16"/>
        <v>6258</v>
      </c>
      <c r="CH198" s="75" t="str">
        <f t="shared" si="16"/>
        <v>ماليزى اسنان</v>
      </c>
    </row>
    <row r="199" spans="3:86" ht="18.75" x14ac:dyDescent="0.25">
      <c r="C199" s="82">
        <v>11272</v>
      </c>
      <c r="D199" s="70">
        <v>6259</v>
      </c>
      <c r="E199" s="103" t="s">
        <v>121</v>
      </c>
      <c r="F199" s="69" t="s">
        <v>2263</v>
      </c>
      <c r="H199" s="69">
        <v>22000</v>
      </c>
      <c r="U199" s="69"/>
      <c r="V199" s="69"/>
      <c r="AS199" s="94">
        <f t="shared" si="17"/>
        <v>22000</v>
      </c>
      <c r="AT199" s="69">
        <v>19637.099999999999</v>
      </c>
      <c r="AU199" s="69">
        <v>2362.9</v>
      </c>
      <c r="BD199" s="69"/>
      <c r="BE199" s="69"/>
      <c r="CE199" s="94">
        <f t="shared" si="20"/>
        <v>22000</v>
      </c>
      <c r="CF199" s="73">
        <f t="shared" si="21"/>
        <v>0</v>
      </c>
      <c r="CG199" s="75">
        <f t="shared" si="16"/>
        <v>6259</v>
      </c>
      <c r="CH199" s="75" t="str">
        <f t="shared" si="16"/>
        <v>ماليزى اسنان</v>
      </c>
    </row>
    <row r="200" spans="3:86" ht="18.75" x14ac:dyDescent="0.25">
      <c r="C200" s="82">
        <v>11213</v>
      </c>
      <c r="D200" s="70">
        <v>6260</v>
      </c>
      <c r="E200" s="103" t="s">
        <v>121</v>
      </c>
      <c r="F200" s="69" t="s">
        <v>2264</v>
      </c>
      <c r="H200" s="69">
        <v>10500</v>
      </c>
      <c r="U200" s="69"/>
      <c r="V200" s="69"/>
      <c r="AS200" s="94">
        <f t="shared" si="17"/>
        <v>10500</v>
      </c>
      <c r="AT200" s="69">
        <v>9372.2999999999993</v>
      </c>
      <c r="AU200" s="69">
        <v>1127.7</v>
      </c>
      <c r="BD200" s="69"/>
      <c r="BE200" s="69"/>
      <c r="CE200" s="94">
        <f t="shared" si="20"/>
        <v>10500</v>
      </c>
      <c r="CF200" s="73">
        <f t="shared" si="21"/>
        <v>0</v>
      </c>
      <c r="CG200" s="75">
        <f t="shared" si="16"/>
        <v>6260</v>
      </c>
      <c r="CH200" s="75" t="str">
        <f t="shared" si="16"/>
        <v>ماليزى اسنان</v>
      </c>
    </row>
    <row r="201" spans="3:86" ht="18.75" x14ac:dyDescent="0.25">
      <c r="C201" s="82">
        <v>11215</v>
      </c>
      <c r="D201" s="70">
        <v>6261</v>
      </c>
      <c r="E201" s="103" t="s">
        <v>121</v>
      </c>
      <c r="F201" s="69" t="s">
        <v>2264</v>
      </c>
      <c r="H201" s="69">
        <v>20500</v>
      </c>
      <c r="U201" s="69"/>
      <c r="V201" s="69"/>
      <c r="AS201" s="94">
        <f t="shared" si="17"/>
        <v>20500</v>
      </c>
      <c r="AT201" s="69">
        <v>18298</v>
      </c>
      <c r="AU201" s="69">
        <v>2202</v>
      </c>
      <c r="BD201" s="69"/>
      <c r="BE201" s="69"/>
      <c r="CE201" s="94">
        <f t="shared" si="20"/>
        <v>20500</v>
      </c>
      <c r="CF201" s="73">
        <f t="shared" si="21"/>
        <v>0</v>
      </c>
      <c r="CG201" s="75">
        <f t="shared" si="16"/>
        <v>6261</v>
      </c>
      <c r="CH201" s="75" t="str">
        <f t="shared" si="16"/>
        <v>ماليزى اسنان</v>
      </c>
    </row>
    <row r="202" spans="3:86" ht="18.75" x14ac:dyDescent="0.25">
      <c r="C202" s="82">
        <v>11214</v>
      </c>
      <c r="D202" s="70">
        <v>6262</v>
      </c>
      <c r="E202" s="103" t="s">
        <v>121</v>
      </c>
      <c r="F202" s="69" t="s">
        <v>2264</v>
      </c>
      <c r="H202" s="69">
        <v>3750</v>
      </c>
      <c r="U202" s="69"/>
      <c r="V202" s="69"/>
      <c r="AS202" s="94">
        <f t="shared" si="17"/>
        <v>3750</v>
      </c>
      <c r="AT202" s="69">
        <v>3347.25</v>
      </c>
      <c r="AU202" s="69">
        <v>402.75</v>
      </c>
      <c r="BD202" s="69"/>
      <c r="BE202" s="69"/>
      <c r="CE202" s="94">
        <f t="shared" si="20"/>
        <v>3750</v>
      </c>
      <c r="CF202" s="73">
        <f t="shared" si="21"/>
        <v>0</v>
      </c>
      <c r="CG202" s="75">
        <f t="shared" si="16"/>
        <v>6262</v>
      </c>
      <c r="CH202" s="75" t="str">
        <f t="shared" si="16"/>
        <v>ماليزى اسنان</v>
      </c>
    </row>
    <row r="203" spans="3:86" ht="18.75" x14ac:dyDescent="0.25">
      <c r="C203" s="82">
        <v>11212</v>
      </c>
      <c r="D203" s="70">
        <v>6263</v>
      </c>
      <c r="E203" s="103" t="s">
        <v>121</v>
      </c>
      <c r="F203" s="69" t="s">
        <v>2264</v>
      </c>
      <c r="H203" s="69">
        <v>7000</v>
      </c>
      <c r="U203" s="69"/>
      <c r="V203" s="69"/>
      <c r="AS203" s="94">
        <f t="shared" si="17"/>
        <v>7000</v>
      </c>
      <c r="AT203" s="69">
        <v>6248.2</v>
      </c>
      <c r="AU203" s="69">
        <v>751.8</v>
      </c>
      <c r="BD203" s="69"/>
      <c r="BE203" s="69"/>
      <c r="CE203" s="94">
        <f t="shared" si="20"/>
        <v>7000</v>
      </c>
      <c r="CF203" s="73">
        <f t="shared" si="21"/>
        <v>0</v>
      </c>
      <c r="CG203" s="75">
        <f t="shared" si="16"/>
        <v>6263</v>
      </c>
      <c r="CH203" s="75" t="str">
        <f t="shared" si="16"/>
        <v>ماليزى اسنان</v>
      </c>
    </row>
    <row r="204" spans="3:86" ht="18.75" x14ac:dyDescent="0.25">
      <c r="C204" s="82">
        <v>11204</v>
      </c>
      <c r="D204" s="70">
        <v>6264</v>
      </c>
      <c r="E204" s="103" t="s">
        <v>121</v>
      </c>
      <c r="F204" s="69" t="s">
        <v>2265</v>
      </c>
      <c r="H204" s="69">
        <v>12377.36</v>
      </c>
      <c r="U204" s="69"/>
      <c r="V204" s="69"/>
      <c r="AS204" s="94">
        <f t="shared" si="17"/>
        <v>12377.36</v>
      </c>
      <c r="AT204" s="69">
        <v>9709.93</v>
      </c>
      <c r="AU204" s="69">
        <v>1230.5999999999999</v>
      </c>
      <c r="AV204" s="69">
        <v>1436.83</v>
      </c>
      <c r="BD204" s="69"/>
      <c r="BE204" s="69"/>
      <c r="CE204" s="94">
        <f t="shared" si="20"/>
        <v>12377.36</v>
      </c>
      <c r="CF204" s="73">
        <f t="shared" si="21"/>
        <v>0</v>
      </c>
      <c r="CG204" s="75">
        <f t="shared" si="16"/>
        <v>6264</v>
      </c>
      <c r="CH204" s="75" t="str">
        <f t="shared" si="16"/>
        <v>ماليزى اسنان</v>
      </c>
    </row>
    <row r="205" spans="3:86" ht="18.75" x14ac:dyDescent="0.25">
      <c r="C205" s="82">
        <v>11192</v>
      </c>
      <c r="D205" s="70">
        <v>6265</v>
      </c>
      <c r="E205" s="103" t="s">
        <v>121</v>
      </c>
      <c r="F205" s="69" t="s">
        <v>2266</v>
      </c>
      <c r="H205" s="69">
        <v>16750</v>
      </c>
      <c r="U205" s="69"/>
      <c r="V205" s="69"/>
      <c r="AS205" s="94">
        <f t="shared" si="17"/>
        <v>16750</v>
      </c>
      <c r="AT205" s="69">
        <v>14950.8</v>
      </c>
      <c r="AU205" s="69">
        <v>1799.2</v>
      </c>
      <c r="BD205" s="69"/>
      <c r="BE205" s="69"/>
      <c r="CE205" s="94">
        <f t="shared" si="20"/>
        <v>16750</v>
      </c>
      <c r="CF205" s="73">
        <f t="shared" si="21"/>
        <v>0</v>
      </c>
      <c r="CG205" s="75">
        <f t="shared" si="16"/>
        <v>6265</v>
      </c>
      <c r="CH205" s="75" t="str">
        <f t="shared" si="16"/>
        <v>ماليزى اسنان</v>
      </c>
    </row>
    <row r="206" spans="3:86" ht="18.75" x14ac:dyDescent="0.25">
      <c r="C206" s="82">
        <v>11191</v>
      </c>
      <c r="D206" s="70">
        <v>6266</v>
      </c>
      <c r="E206" s="103" t="s">
        <v>121</v>
      </c>
      <c r="F206" s="69" t="s">
        <v>2266</v>
      </c>
      <c r="H206" s="69">
        <v>3000</v>
      </c>
      <c r="U206" s="69"/>
      <c r="V206" s="69"/>
      <c r="AS206" s="94">
        <f t="shared" si="17"/>
        <v>3000</v>
      </c>
      <c r="AT206" s="69">
        <v>2677.85</v>
      </c>
      <c r="AU206" s="69">
        <v>322.14999999999998</v>
      </c>
      <c r="BD206" s="69"/>
      <c r="BE206" s="69"/>
      <c r="CE206" s="94">
        <f t="shared" si="20"/>
        <v>3000</v>
      </c>
      <c r="CF206" s="73">
        <f t="shared" si="21"/>
        <v>0</v>
      </c>
      <c r="CG206" s="75">
        <f t="shared" si="16"/>
        <v>6266</v>
      </c>
      <c r="CH206" s="75" t="str">
        <f t="shared" si="16"/>
        <v>ماليزى اسنان</v>
      </c>
    </row>
    <row r="207" spans="3:86" ht="18.75" x14ac:dyDescent="0.25">
      <c r="C207" s="82">
        <v>11190</v>
      </c>
      <c r="D207" s="70">
        <v>6267</v>
      </c>
      <c r="E207" s="103" t="s">
        <v>121</v>
      </c>
      <c r="F207" s="69" t="s">
        <v>2266</v>
      </c>
      <c r="H207" s="69">
        <v>6500</v>
      </c>
      <c r="U207" s="69"/>
      <c r="V207" s="69"/>
      <c r="AS207" s="94">
        <f t="shared" si="17"/>
        <v>6500</v>
      </c>
      <c r="AT207" s="69">
        <v>5801.95</v>
      </c>
      <c r="AU207" s="69">
        <v>698.05</v>
      </c>
      <c r="BD207" s="69"/>
      <c r="BE207" s="69"/>
      <c r="CE207" s="94">
        <f t="shared" si="20"/>
        <v>6500</v>
      </c>
      <c r="CF207" s="73">
        <f t="shared" si="21"/>
        <v>0</v>
      </c>
      <c r="CG207" s="75">
        <f t="shared" si="16"/>
        <v>6267</v>
      </c>
      <c r="CH207" s="75" t="str">
        <f t="shared" si="16"/>
        <v>ماليزى اسنان</v>
      </c>
    </row>
    <row r="208" spans="3:86" ht="18.75" x14ac:dyDescent="0.25">
      <c r="C208" s="82">
        <v>11246</v>
      </c>
      <c r="D208" s="70">
        <v>6268</v>
      </c>
      <c r="E208" s="103" t="s">
        <v>121</v>
      </c>
      <c r="F208" s="69" t="s">
        <v>2267</v>
      </c>
      <c r="H208" s="69">
        <v>5000</v>
      </c>
      <c r="U208" s="69"/>
      <c r="V208" s="69"/>
      <c r="AS208" s="94">
        <f t="shared" si="17"/>
        <v>5000</v>
      </c>
      <c r="AT208" s="69">
        <v>4463.2</v>
      </c>
      <c r="AU208" s="69">
        <v>536.79999999999995</v>
      </c>
      <c r="BD208" s="69"/>
      <c r="BE208" s="69"/>
      <c r="CE208" s="94">
        <f t="shared" si="20"/>
        <v>5000</v>
      </c>
      <c r="CF208" s="73">
        <f t="shared" si="21"/>
        <v>0</v>
      </c>
      <c r="CG208" s="75">
        <f t="shared" si="16"/>
        <v>6268</v>
      </c>
      <c r="CH208" s="75" t="str">
        <f t="shared" si="16"/>
        <v>ماليزى اسنان</v>
      </c>
    </row>
    <row r="209" spans="3:86" ht="18.75" x14ac:dyDescent="0.25">
      <c r="C209" s="82">
        <v>11248</v>
      </c>
      <c r="D209" s="70">
        <v>6269</v>
      </c>
      <c r="E209" s="103" t="s">
        <v>121</v>
      </c>
      <c r="F209" s="69" t="s">
        <v>2268</v>
      </c>
      <c r="H209" s="69">
        <v>7621.24</v>
      </c>
      <c r="U209" s="69"/>
      <c r="V209" s="69"/>
      <c r="AS209" s="94">
        <f t="shared" si="17"/>
        <v>7621.24</v>
      </c>
      <c r="AT209" s="69">
        <v>5092.3</v>
      </c>
      <c r="AU209" s="69">
        <v>692.7</v>
      </c>
      <c r="AV209" s="69">
        <v>1836.24</v>
      </c>
      <c r="BD209" s="69"/>
      <c r="BE209" s="69"/>
      <c r="CE209" s="94">
        <f t="shared" si="20"/>
        <v>7621.24</v>
      </c>
      <c r="CF209" s="73">
        <f t="shared" si="21"/>
        <v>0</v>
      </c>
      <c r="CG209" s="75">
        <f t="shared" si="16"/>
        <v>6269</v>
      </c>
      <c r="CH209" s="75" t="str">
        <f t="shared" si="16"/>
        <v>ماليزى اسنان</v>
      </c>
    </row>
    <row r="210" spans="3:86" ht="36" x14ac:dyDescent="0.25">
      <c r="C210" s="82">
        <v>11252</v>
      </c>
      <c r="D210" s="70">
        <v>6270</v>
      </c>
      <c r="E210" s="103" t="s">
        <v>121</v>
      </c>
      <c r="F210" s="77" t="s">
        <v>2269</v>
      </c>
      <c r="H210" s="69">
        <v>5000</v>
      </c>
      <c r="U210" s="69"/>
      <c r="V210" s="69"/>
      <c r="AS210" s="94">
        <f t="shared" si="17"/>
        <v>5000</v>
      </c>
      <c r="AT210" s="69">
        <v>4462.8500000000004</v>
      </c>
      <c r="AU210" s="69">
        <v>537.15</v>
      </c>
      <c r="BD210" s="69"/>
      <c r="BE210" s="69"/>
      <c r="CE210" s="94">
        <f t="shared" si="20"/>
        <v>5000</v>
      </c>
      <c r="CF210" s="73">
        <f t="shared" si="21"/>
        <v>0</v>
      </c>
      <c r="CG210" s="75">
        <f t="shared" si="16"/>
        <v>6270</v>
      </c>
      <c r="CH210" s="75" t="str">
        <f t="shared" si="16"/>
        <v>ماليزى اسنان</v>
      </c>
    </row>
    <row r="211" spans="3:86" ht="18.75" x14ac:dyDescent="0.25">
      <c r="C211" s="82">
        <v>11211</v>
      </c>
      <c r="D211" s="70">
        <v>6271</v>
      </c>
      <c r="E211" s="103" t="s">
        <v>121</v>
      </c>
      <c r="F211" s="69" t="str">
        <f>+F204</f>
        <v>مكافاه ملفات جوده ا ه ت نوفمبر</v>
      </c>
      <c r="H211" s="69">
        <v>12000</v>
      </c>
      <c r="U211" s="69"/>
      <c r="V211" s="69"/>
      <c r="AS211" s="94">
        <f t="shared" si="17"/>
        <v>12000</v>
      </c>
      <c r="AT211" s="69">
        <v>10711.05</v>
      </c>
      <c r="AU211" s="69">
        <v>1288.95</v>
      </c>
      <c r="BD211" s="69"/>
      <c r="BE211" s="69"/>
      <c r="CE211" s="94">
        <f t="shared" si="20"/>
        <v>12000</v>
      </c>
      <c r="CF211" s="73">
        <f t="shared" si="21"/>
        <v>0</v>
      </c>
      <c r="CG211" s="75">
        <f t="shared" si="16"/>
        <v>6271</v>
      </c>
      <c r="CH211" s="75" t="str">
        <f t="shared" si="16"/>
        <v>ماليزى اسنان</v>
      </c>
    </row>
    <row r="212" spans="3:86" ht="36" x14ac:dyDescent="0.25">
      <c r="C212" s="82">
        <v>11254</v>
      </c>
      <c r="D212" s="70">
        <v>6272</v>
      </c>
      <c r="E212" s="103" t="s">
        <v>121</v>
      </c>
      <c r="F212" s="77" t="s">
        <v>2270</v>
      </c>
      <c r="H212" s="69">
        <v>9576.24</v>
      </c>
      <c r="U212" s="69"/>
      <c r="V212" s="69"/>
      <c r="AS212" s="94">
        <f t="shared" si="17"/>
        <v>9576.24</v>
      </c>
      <c r="AT212" s="69">
        <v>7668.91</v>
      </c>
      <c r="AU212" s="69">
        <v>963.65</v>
      </c>
      <c r="AV212" s="69">
        <v>943.68</v>
      </c>
      <c r="BD212" s="69"/>
      <c r="BE212" s="69"/>
      <c r="CE212" s="94">
        <f t="shared" si="20"/>
        <v>9576.24</v>
      </c>
      <c r="CF212" s="73">
        <f t="shared" si="21"/>
        <v>0</v>
      </c>
      <c r="CG212" s="75">
        <f t="shared" si="16"/>
        <v>6272</v>
      </c>
      <c r="CH212" s="75" t="str">
        <f t="shared" si="16"/>
        <v>ماليزى اسنان</v>
      </c>
    </row>
    <row r="213" spans="3:86" ht="36" x14ac:dyDescent="0.25">
      <c r="C213" s="82">
        <v>11255</v>
      </c>
      <c r="D213" s="70">
        <v>6273</v>
      </c>
      <c r="E213" s="103" t="s">
        <v>121</v>
      </c>
      <c r="F213" s="77" t="s">
        <v>2270</v>
      </c>
      <c r="H213" s="69">
        <v>24571.17</v>
      </c>
      <c r="U213" s="69"/>
      <c r="V213" s="69"/>
      <c r="AS213" s="94">
        <f t="shared" si="17"/>
        <v>24571.17</v>
      </c>
      <c r="AT213" s="69">
        <v>19529.55</v>
      </c>
      <c r="AU213" s="69">
        <v>2468.5500000000002</v>
      </c>
      <c r="AV213" s="69">
        <v>2573.0700000000002</v>
      </c>
      <c r="BD213" s="69"/>
      <c r="BE213" s="69"/>
      <c r="CE213" s="94">
        <f t="shared" si="20"/>
        <v>24571.17</v>
      </c>
      <c r="CF213" s="73">
        <f t="shared" si="21"/>
        <v>0</v>
      </c>
      <c r="CG213" s="75">
        <f t="shared" si="16"/>
        <v>6273</v>
      </c>
      <c r="CH213" s="75" t="str">
        <f t="shared" si="16"/>
        <v>ماليزى اسنان</v>
      </c>
    </row>
    <row r="214" spans="3:86" ht="36" x14ac:dyDescent="0.25">
      <c r="C214" s="82">
        <v>11253</v>
      </c>
      <c r="D214" s="70">
        <v>6274</v>
      </c>
      <c r="E214" s="103" t="s">
        <v>121</v>
      </c>
      <c r="F214" s="77" t="s">
        <v>2270</v>
      </c>
      <c r="H214" s="69">
        <v>6000</v>
      </c>
      <c r="U214" s="69"/>
      <c r="V214" s="69"/>
      <c r="AS214" s="94">
        <f t="shared" si="17"/>
        <v>6000</v>
      </c>
      <c r="AT214" s="69">
        <v>5355.7</v>
      </c>
      <c r="AU214" s="69">
        <v>644.29999999999995</v>
      </c>
      <c r="BD214" s="69"/>
      <c r="BE214" s="69"/>
      <c r="CE214" s="94">
        <f t="shared" si="20"/>
        <v>6000</v>
      </c>
      <c r="CF214" s="73">
        <f t="shared" si="21"/>
        <v>0</v>
      </c>
      <c r="CG214" s="75">
        <f t="shared" si="16"/>
        <v>6274</v>
      </c>
      <c r="CH214" s="75" t="str">
        <f t="shared" si="16"/>
        <v>ماليزى اسنان</v>
      </c>
    </row>
    <row r="215" spans="3:86" ht="18.75" x14ac:dyDescent="0.25">
      <c r="C215" s="82">
        <v>11208</v>
      </c>
      <c r="D215" s="70">
        <v>6275</v>
      </c>
      <c r="E215" s="103" t="s">
        <v>121</v>
      </c>
      <c r="F215" s="69" t="s">
        <v>2271</v>
      </c>
      <c r="H215" s="69">
        <v>3500</v>
      </c>
      <c r="U215" s="69"/>
      <c r="V215" s="69"/>
      <c r="AS215" s="94">
        <f t="shared" si="17"/>
        <v>3500</v>
      </c>
      <c r="AT215" s="69">
        <v>3124.1</v>
      </c>
      <c r="AU215" s="69">
        <v>375.9</v>
      </c>
      <c r="BD215" s="69"/>
      <c r="BE215" s="69"/>
      <c r="CE215" s="94">
        <f t="shared" si="20"/>
        <v>3500</v>
      </c>
      <c r="CF215" s="73">
        <f t="shared" si="21"/>
        <v>0</v>
      </c>
      <c r="CG215" s="75">
        <f t="shared" si="16"/>
        <v>6275</v>
      </c>
      <c r="CH215" s="75" t="str">
        <f t="shared" si="16"/>
        <v>ماليزى اسنان</v>
      </c>
    </row>
    <row r="216" spans="3:86" ht="18.75" x14ac:dyDescent="0.25">
      <c r="C216" s="82">
        <v>11183</v>
      </c>
      <c r="D216" s="70">
        <v>6276</v>
      </c>
      <c r="E216" s="103" t="s">
        <v>121</v>
      </c>
      <c r="F216" s="69" t="str">
        <f>+F207</f>
        <v>جهود التعليم الالكترونى ا ه ت</v>
      </c>
      <c r="H216" s="69">
        <v>4000</v>
      </c>
      <c r="U216" s="69"/>
      <c r="V216" s="69"/>
      <c r="AS216" s="94">
        <f t="shared" si="17"/>
        <v>4000</v>
      </c>
      <c r="AT216" s="69">
        <v>3570.35</v>
      </c>
      <c r="AU216" s="69">
        <v>429.65</v>
      </c>
      <c r="BD216" s="69"/>
      <c r="BE216" s="69"/>
      <c r="CE216" s="94">
        <f t="shared" si="20"/>
        <v>4000</v>
      </c>
      <c r="CF216" s="73">
        <f t="shared" si="21"/>
        <v>0</v>
      </c>
      <c r="CG216" s="75">
        <f t="shared" si="16"/>
        <v>6276</v>
      </c>
      <c r="CH216" s="75" t="str">
        <f t="shared" si="16"/>
        <v>ماليزى اسنان</v>
      </c>
    </row>
    <row r="217" spans="3:86" ht="18.75" x14ac:dyDescent="0.25">
      <c r="C217" s="82">
        <v>11184</v>
      </c>
      <c r="D217" s="70">
        <v>6277</v>
      </c>
      <c r="E217" s="103" t="s">
        <v>121</v>
      </c>
      <c r="F217" s="69" t="str">
        <f>+F216</f>
        <v>جهود التعليم الالكترونى ا ه ت</v>
      </c>
      <c r="H217" s="69">
        <v>9612.5</v>
      </c>
      <c r="U217" s="69"/>
      <c r="V217" s="69"/>
      <c r="AS217" s="94">
        <f t="shared" si="17"/>
        <v>9612.5</v>
      </c>
      <c r="AT217" s="69">
        <v>7264.6</v>
      </c>
      <c r="AU217" s="69">
        <v>935.4</v>
      </c>
      <c r="AV217" s="69">
        <v>1412.5</v>
      </c>
      <c r="BD217" s="69"/>
      <c r="BE217" s="69"/>
      <c r="CE217" s="94">
        <f t="shared" si="20"/>
        <v>9612.5</v>
      </c>
      <c r="CF217" s="73">
        <f t="shared" si="21"/>
        <v>0</v>
      </c>
      <c r="CG217" s="75">
        <f t="shared" si="16"/>
        <v>6277</v>
      </c>
      <c r="CH217" s="75" t="str">
        <f t="shared" si="16"/>
        <v>ماليزى اسنان</v>
      </c>
    </row>
    <row r="218" spans="3:86" ht="18.75" x14ac:dyDescent="0.25">
      <c r="C218" s="82">
        <v>11244</v>
      </c>
      <c r="D218" s="70">
        <v>6278</v>
      </c>
      <c r="E218" s="103" t="s">
        <v>121</v>
      </c>
      <c r="F218" s="69" t="str">
        <f>+F208</f>
        <v>جهود منسقى فرق وجداول ا ه ت</v>
      </c>
      <c r="H218" s="69">
        <v>10742.2</v>
      </c>
      <c r="U218" s="69"/>
      <c r="V218" s="69"/>
      <c r="AS218" s="94">
        <f t="shared" si="17"/>
        <v>10742.2</v>
      </c>
      <c r="AT218" s="69">
        <v>8456.66</v>
      </c>
      <c r="AU218" s="69">
        <v>1070.05</v>
      </c>
      <c r="AV218" s="69">
        <v>1215.49</v>
      </c>
      <c r="BD218" s="69"/>
      <c r="BE218" s="69"/>
      <c r="CE218" s="94">
        <f t="shared" si="20"/>
        <v>10742.199999999999</v>
      </c>
      <c r="CF218" s="73">
        <f t="shared" si="21"/>
        <v>0</v>
      </c>
      <c r="CG218" s="75">
        <f t="shared" si="16"/>
        <v>6278</v>
      </c>
      <c r="CH218" s="75" t="str">
        <f t="shared" si="16"/>
        <v>ماليزى اسنان</v>
      </c>
    </row>
    <row r="219" spans="3:86" ht="18.75" x14ac:dyDescent="0.25">
      <c r="C219" s="82">
        <v>11267</v>
      </c>
      <c r="D219" s="70">
        <v>6279</v>
      </c>
      <c r="E219" s="103" t="s">
        <v>121</v>
      </c>
      <c r="F219" s="69" t="s">
        <v>2272</v>
      </c>
      <c r="H219" s="69">
        <v>3341.62</v>
      </c>
      <c r="U219" s="69"/>
      <c r="V219" s="69"/>
      <c r="AS219" s="94">
        <f t="shared" si="17"/>
        <v>3341.62</v>
      </c>
      <c r="AT219" s="69">
        <v>2233.4499999999998</v>
      </c>
      <c r="AU219" s="69">
        <v>303.05</v>
      </c>
      <c r="AV219" s="69">
        <v>805.12</v>
      </c>
      <c r="BD219" s="69"/>
      <c r="BE219" s="69"/>
      <c r="CE219" s="94">
        <f t="shared" si="20"/>
        <v>3341.62</v>
      </c>
      <c r="CF219" s="73">
        <f t="shared" si="21"/>
        <v>0</v>
      </c>
      <c r="CG219" s="75">
        <f t="shared" ref="CG219:CH282" si="23">+D219</f>
        <v>6279</v>
      </c>
      <c r="CH219" s="75" t="str">
        <f t="shared" si="23"/>
        <v>ماليزى اسنان</v>
      </c>
    </row>
    <row r="220" spans="3:86" ht="18.75" x14ac:dyDescent="0.25">
      <c r="C220" s="82">
        <v>11264</v>
      </c>
      <c r="D220" s="70">
        <v>6280</v>
      </c>
      <c r="E220" s="103" t="s">
        <v>121</v>
      </c>
      <c r="F220" s="69" t="s">
        <v>2273</v>
      </c>
      <c r="H220" s="69">
        <v>55109.99</v>
      </c>
      <c r="U220" s="69"/>
      <c r="V220" s="69"/>
      <c r="AS220" s="94">
        <f t="shared" ref="AS220:AS283" si="24">SUM(H220:AR220)</f>
        <v>55109.99</v>
      </c>
      <c r="AT220" s="69">
        <v>38312.97</v>
      </c>
      <c r="AU220" s="69">
        <v>5104</v>
      </c>
      <c r="AV220" s="69">
        <v>11693.02</v>
      </c>
      <c r="BD220" s="69"/>
      <c r="BE220" s="69"/>
      <c r="CE220" s="94">
        <f t="shared" si="20"/>
        <v>55109.990000000005</v>
      </c>
      <c r="CF220" s="73">
        <f t="shared" si="21"/>
        <v>0</v>
      </c>
      <c r="CG220" s="75">
        <f t="shared" si="23"/>
        <v>6280</v>
      </c>
      <c r="CH220" s="75" t="str">
        <f t="shared" si="23"/>
        <v>ماليزى اسنان</v>
      </c>
    </row>
    <row r="221" spans="3:86" ht="18.75" x14ac:dyDescent="0.25">
      <c r="C221" s="82">
        <v>11237</v>
      </c>
      <c r="D221" s="70">
        <v>6281</v>
      </c>
      <c r="E221" s="103" t="s">
        <v>121</v>
      </c>
      <c r="F221" s="69" t="s">
        <v>2274</v>
      </c>
      <c r="H221" s="69">
        <v>3869.25</v>
      </c>
      <c r="U221" s="69"/>
      <c r="V221" s="69"/>
      <c r="AS221" s="94">
        <f t="shared" si="24"/>
        <v>3869.25</v>
      </c>
      <c r="AT221" s="69">
        <v>2587.6999999999998</v>
      </c>
      <c r="AU221" s="69">
        <v>349.3</v>
      </c>
      <c r="AV221" s="69">
        <v>932.25</v>
      </c>
      <c r="BD221" s="69"/>
      <c r="BE221" s="69"/>
      <c r="CE221" s="94">
        <f t="shared" si="20"/>
        <v>3869.25</v>
      </c>
      <c r="CF221" s="73">
        <f t="shared" si="21"/>
        <v>0</v>
      </c>
      <c r="CG221" s="75">
        <f t="shared" si="23"/>
        <v>6281</v>
      </c>
      <c r="CH221" s="75" t="str">
        <f t="shared" si="23"/>
        <v>ماليزى اسنان</v>
      </c>
    </row>
    <row r="222" spans="3:86" ht="18.75" x14ac:dyDescent="0.25">
      <c r="C222" s="82">
        <v>11259</v>
      </c>
      <c r="D222" s="70">
        <v>6282</v>
      </c>
      <c r="E222" s="103" t="s">
        <v>121</v>
      </c>
      <c r="F222" s="69" t="s">
        <v>2275</v>
      </c>
      <c r="H222" s="69">
        <v>11831.5</v>
      </c>
      <c r="U222" s="69"/>
      <c r="V222" s="69"/>
      <c r="AS222" s="94">
        <f t="shared" si="24"/>
        <v>11831.5</v>
      </c>
      <c r="AT222" s="69">
        <v>9138.5</v>
      </c>
      <c r="AU222" s="69">
        <v>1167.5</v>
      </c>
      <c r="AV222" s="69">
        <v>1525.5</v>
      </c>
      <c r="BD222" s="69"/>
      <c r="BE222" s="69"/>
      <c r="CE222" s="94">
        <f t="shared" si="20"/>
        <v>11831.5</v>
      </c>
      <c r="CF222" s="73">
        <f t="shared" si="21"/>
        <v>0</v>
      </c>
      <c r="CG222" s="75">
        <f t="shared" si="23"/>
        <v>6282</v>
      </c>
      <c r="CH222" s="75" t="str">
        <f t="shared" si="23"/>
        <v>ماليزى اسنان</v>
      </c>
    </row>
    <row r="223" spans="3:86" ht="18.75" x14ac:dyDescent="0.25">
      <c r="C223" s="82">
        <v>11262</v>
      </c>
      <c r="D223" s="70">
        <v>6283</v>
      </c>
      <c r="E223" s="103" t="s">
        <v>121</v>
      </c>
      <c r="F223" s="69" t="s">
        <v>2276</v>
      </c>
      <c r="H223" s="69">
        <v>9431.25</v>
      </c>
      <c r="U223" s="69"/>
      <c r="V223" s="69"/>
      <c r="AS223" s="94">
        <f t="shared" si="24"/>
        <v>9431.25</v>
      </c>
      <c r="AT223" s="69">
        <v>7761.4</v>
      </c>
      <c r="AU223" s="69">
        <v>963.6</v>
      </c>
      <c r="AV223" s="69">
        <v>706.25</v>
      </c>
      <c r="BD223" s="69"/>
      <c r="BE223" s="69"/>
      <c r="CE223" s="94">
        <f t="shared" si="20"/>
        <v>9431.25</v>
      </c>
      <c r="CF223" s="73">
        <f t="shared" si="21"/>
        <v>0</v>
      </c>
      <c r="CG223" s="75">
        <f t="shared" si="23"/>
        <v>6283</v>
      </c>
      <c r="CH223" s="75" t="str">
        <f t="shared" si="23"/>
        <v>ماليزى اسنان</v>
      </c>
    </row>
    <row r="224" spans="3:86" ht="18.75" x14ac:dyDescent="0.25">
      <c r="C224" s="82">
        <v>11261</v>
      </c>
      <c r="D224" s="70">
        <v>6284</v>
      </c>
      <c r="E224" s="103" t="s">
        <v>121</v>
      </c>
      <c r="F224" s="69" t="s">
        <v>2276</v>
      </c>
      <c r="H224" s="69">
        <v>2345</v>
      </c>
      <c r="U224" s="69"/>
      <c r="V224" s="69"/>
      <c r="AS224" s="94">
        <f t="shared" si="24"/>
        <v>2345</v>
      </c>
      <c r="AT224" s="69">
        <v>1568.2</v>
      </c>
      <c r="AU224" s="69">
        <v>211.8</v>
      </c>
      <c r="AV224" s="69">
        <v>565</v>
      </c>
      <c r="BD224" s="69"/>
      <c r="BE224" s="69"/>
      <c r="CE224" s="94">
        <f t="shared" ref="CE224:CE287" si="25">SUM(AT224:CD224)</f>
        <v>2345</v>
      </c>
      <c r="CF224" s="73">
        <f t="shared" ref="CF224:CF287" si="26">+CE224-AS224</f>
        <v>0</v>
      </c>
      <c r="CG224" s="75">
        <f t="shared" si="23"/>
        <v>6284</v>
      </c>
      <c r="CH224" s="75" t="str">
        <f t="shared" si="23"/>
        <v>ماليزى اسنان</v>
      </c>
    </row>
    <row r="225" spans="3:86" ht="18.75" x14ac:dyDescent="0.25">
      <c r="C225" s="82">
        <v>11258</v>
      </c>
      <c r="D225" s="70">
        <v>6285</v>
      </c>
      <c r="E225" s="103" t="s">
        <v>121</v>
      </c>
      <c r="F225" s="69" t="s">
        <v>2277</v>
      </c>
      <c r="H225" s="69">
        <v>7181.25</v>
      </c>
      <c r="U225" s="69"/>
      <c r="V225" s="69"/>
      <c r="AS225" s="94">
        <f t="shared" si="24"/>
        <v>7181.25</v>
      </c>
      <c r="AT225" s="69">
        <v>5752.95</v>
      </c>
      <c r="AU225" s="69">
        <v>722.05</v>
      </c>
      <c r="AV225" s="69">
        <v>706.25</v>
      </c>
      <c r="BD225" s="69"/>
      <c r="BE225" s="69"/>
      <c r="CE225" s="94">
        <f t="shared" si="25"/>
        <v>7181.25</v>
      </c>
      <c r="CF225" s="73">
        <f t="shared" si="26"/>
        <v>0</v>
      </c>
      <c r="CG225" s="75">
        <f t="shared" si="23"/>
        <v>6285</v>
      </c>
      <c r="CH225" s="75" t="str">
        <f t="shared" si="23"/>
        <v>ماليزى اسنان</v>
      </c>
    </row>
    <row r="226" spans="3:86" ht="18.75" x14ac:dyDescent="0.25">
      <c r="C226" s="82">
        <v>11268</v>
      </c>
      <c r="D226" s="70">
        <v>6286</v>
      </c>
      <c r="E226" s="103" t="s">
        <v>121</v>
      </c>
      <c r="F226" s="69" t="s">
        <v>2278</v>
      </c>
      <c r="H226" s="69">
        <v>19346.25</v>
      </c>
      <c r="U226" s="69"/>
      <c r="V226" s="69"/>
      <c r="AS226" s="94">
        <f t="shared" si="24"/>
        <v>19346.25</v>
      </c>
      <c r="AT226" s="69">
        <v>12927.3</v>
      </c>
      <c r="AU226" s="69">
        <v>1757.7</v>
      </c>
      <c r="AV226" s="69">
        <v>4661.25</v>
      </c>
      <c r="BD226" s="69"/>
      <c r="BE226" s="69"/>
      <c r="CE226" s="94">
        <f t="shared" si="25"/>
        <v>19346.25</v>
      </c>
      <c r="CF226" s="73">
        <f t="shared" si="26"/>
        <v>0</v>
      </c>
      <c r="CG226" s="75">
        <f t="shared" si="23"/>
        <v>6286</v>
      </c>
      <c r="CH226" s="75" t="str">
        <f t="shared" si="23"/>
        <v>ماليزى اسنان</v>
      </c>
    </row>
    <row r="227" spans="3:86" ht="18.75" x14ac:dyDescent="0.25">
      <c r="C227" s="82">
        <v>11245</v>
      </c>
      <c r="D227" s="70">
        <v>6287</v>
      </c>
      <c r="E227" s="103" t="s">
        <v>121</v>
      </c>
      <c r="F227" s="69" t="s">
        <v>2279</v>
      </c>
      <c r="H227" s="69">
        <v>8189.99</v>
      </c>
      <c r="U227" s="69"/>
      <c r="V227" s="69"/>
      <c r="AS227" s="94">
        <f t="shared" si="24"/>
        <v>8189.99</v>
      </c>
      <c r="AT227" s="69">
        <v>6258.45</v>
      </c>
      <c r="AU227" s="69">
        <v>801.55</v>
      </c>
      <c r="AV227" s="69">
        <v>1129.99</v>
      </c>
      <c r="BD227" s="69"/>
      <c r="BE227" s="69"/>
      <c r="CE227" s="94">
        <f t="shared" si="25"/>
        <v>8189.99</v>
      </c>
      <c r="CF227" s="73">
        <f t="shared" si="26"/>
        <v>0</v>
      </c>
      <c r="CG227" s="75">
        <f t="shared" si="23"/>
        <v>6287</v>
      </c>
      <c r="CH227" s="75" t="str">
        <f t="shared" si="23"/>
        <v>ماليزى اسنان</v>
      </c>
    </row>
    <row r="228" spans="3:86" ht="18.75" x14ac:dyDescent="0.25">
      <c r="C228" s="82">
        <v>11205</v>
      </c>
      <c r="D228" s="70">
        <v>6288</v>
      </c>
      <c r="E228" s="103" t="s">
        <v>121</v>
      </c>
      <c r="F228" s="69" t="s">
        <v>2280</v>
      </c>
      <c r="H228" s="69">
        <v>3517.5</v>
      </c>
      <c r="U228" s="69"/>
      <c r="V228" s="69"/>
      <c r="AS228" s="94">
        <f t="shared" si="24"/>
        <v>3517.5</v>
      </c>
      <c r="AT228" s="69">
        <v>2350.6999999999998</v>
      </c>
      <c r="AU228" s="69">
        <v>319.3</v>
      </c>
      <c r="AV228" s="69">
        <v>847.5</v>
      </c>
      <c r="BD228" s="69"/>
      <c r="BE228" s="69"/>
      <c r="CE228" s="94">
        <f t="shared" si="25"/>
        <v>3517.5</v>
      </c>
      <c r="CF228" s="73">
        <f t="shared" si="26"/>
        <v>0</v>
      </c>
      <c r="CG228" s="75">
        <f t="shared" si="23"/>
        <v>6288</v>
      </c>
      <c r="CH228" s="75" t="str">
        <f t="shared" si="23"/>
        <v>ماليزى اسنان</v>
      </c>
    </row>
    <row r="229" spans="3:86" ht="18.75" x14ac:dyDescent="0.25">
      <c r="C229" s="82">
        <v>11206</v>
      </c>
      <c r="D229" s="70">
        <v>6289</v>
      </c>
      <c r="E229" s="103" t="s">
        <v>121</v>
      </c>
      <c r="F229" s="69" t="s">
        <v>2281</v>
      </c>
      <c r="H229" s="69">
        <v>5679.38</v>
      </c>
      <c r="U229" s="69"/>
      <c r="V229" s="69"/>
      <c r="AS229" s="94">
        <f t="shared" si="24"/>
        <v>5679.38</v>
      </c>
      <c r="AT229" s="69">
        <v>4872.5</v>
      </c>
      <c r="AU229" s="69">
        <v>595</v>
      </c>
      <c r="AV229" s="69">
        <v>211.88</v>
      </c>
      <c r="BD229" s="69"/>
      <c r="BE229" s="69"/>
      <c r="CE229" s="94">
        <f t="shared" si="25"/>
        <v>5679.38</v>
      </c>
      <c r="CF229" s="73">
        <f t="shared" si="26"/>
        <v>0</v>
      </c>
      <c r="CG229" s="75">
        <f t="shared" si="23"/>
        <v>6289</v>
      </c>
      <c r="CH229" s="75" t="str">
        <f t="shared" si="23"/>
        <v>ماليزى اسنان</v>
      </c>
    </row>
    <row r="230" spans="3:86" ht="18.75" x14ac:dyDescent="0.25">
      <c r="C230" s="82">
        <v>11188</v>
      </c>
      <c r="D230" s="70">
        <v>6290</v>
      </c>
      <c r="E230" s="103" t="s">
        <v>121</v>
      </c>
      <c r="F230" s="69" t="s">
        <v>2282</v>
      </c>
      <c r="H230" s="69">
        <v>6379.38</v>
      </c>
      <c r="U230" s="69"/>
      <c r="V230" s="69"/>
      <c r="AS230" s="94">
        <f t="shared" si="24"/>
        <v>6379.38</v>
      </c>
      <c r="AT230" s="69">
        <v>5494.55</v>
      </c>
      <c r="AU230" s="69">
        <v>672.95</v>
      </c>
      <c r="AV230" s="69">
        <v>211.88</v>
      </c>
      <c r="BD230" s="69"/>
      <c r="BE230" s="69"/>
      <c r="CE230" s="94">
        <f t="shared" si="25"/>
        <v>6379.38</v>
      </c>
      <c r="CF230" s="73">
        <f t="shared" si="26"/>
        <v>0</v>
      </c>
      <c r="CG230" s="75">
        <f t="shared" si="23"/>
        <v>6290</v>
      </c>
      <c r="CH230" s="75" t="str">
        <f t="shared" si="23"/>
        <v>ماليزى اسنان</v>
      </c>
    </row>
    <row r="231" spans="3:86" ht="18.75" x14ac:dyDescent="0.25">
      <c r="C231" s="82">
        <v>11196</v>
      </c>
      <c r="D231" s="70">
        <v>6291</v>
      </c>
      <c r="E231" s="103" t="s">
        <v>121</v>
      </c>
      <c r="F231" s="69" t="s">
        <v>2283</v>
      </c>
      <c r="H231" s="69">
        <v>2814</v>
      </c>
      <c r="U231" s="69"/>
      <c r="V231" s="69"/>
      <c r="AS231" s="94">
        <f t="shared" si="24"/>
        <v>2814</v>
      </c>
      <c r="AT231" s="69">
        <v>1884</v>
      </c>
      <c r="AU231" s="69">
        <v>252</v>
      </c>
      <c r="AV231" s="69">
        <v>678</v>
      </c>
      <c r="BD231" s="69"/>
      <c r="BE231" s="69"/>
      <c r="CE231" s="94">
        <f t="shared" si="25"/>
        <v>2814</v>
      </c>
      <c r="CF231" s="73">
        <f t="shared" si="26"/>
        <v>0</v>
      </c>
      <c r="CG231" s="75">
        <f t="shared" si="23"/>
        <v>6291</v>
      </c>
      <c r="CH231" s="75" t="str">
        <f t="shared" si="23"/>
        <v>ماليزى اسنان</v>
      </c>
    </row>
    <row r="232" spans="3:86" ht="36" x14ac:dyDescent="0.25">
      <c r="C232" s="82">
        <v>11256</v>
      </c>
      <c r="D232" s="70">
        <v>6292</v>
      </c>
      <c r="E232" s="103" t="s">
        <v>121</v>
      </c>
      <c r="F232" s="77" t="s">
        <v>2284</v>
      </c>
      <c r="H232" s="69">
        <v>6000</v>
      </c>
      <c r="U232" s="69"/>
      <c r="V232" s="69"/>
      <c r="AS232" s="94">
        <f t="shared" si="24"/>
        <v>6000</v>
      </c>
      <c r="AT232" s="69">
        <v>5355.7</v>
      </c>
      <c r="AU232" s="69">
        <v>644.29999999999995</v>
      </c>
      <c r="BD232" s="69"/>
      <c r="BE232" s="69"/>
      <c r="CE232" s="94">
        <f t="shared" si="25"/>
        <v>6000</v>
      </c>
      <c r="CF232" s="73">
        <f t="shared" si="26"/>
        <v>0</v>
      </c>
      <c r="CG232" s="75">
        <f t="shared" si="23"/>
        <v>6292</v>
      </c>
      <c r="CH232" s="75" t="str">
        <f t="shared" si="23"/>
        <v>ماليزى اسنان</v>
      </c>
    </row>
    <row r="233" spans="3:86" ht="36" x14ac:dyDescent="0.25">
      <c r="C233" s="82">
        <v>11251</v>
      </c>
      <c r="D233" s="70">
        <v>6293</v>
      </c>
      <c r="E233" s="103" t="s">
        <v>121</v>
      </c>
      <c r="F233" s="77" t="s">
        <v>2285</v>
      </c>
      <c r="H233" s="69">
        <v>9690</v>
      </c>
      <c r="U233" s="69"/>
      <c r="V233" s="69"/>
      <c r="AS233" s="94">
        <f t="shared" si="24"/>
        <v>9690</v>
      </c>
      <c r="AT233" s="69">
        <v>7596.85</v>
      </c>
      <c r="AU233" s="69">
        <v>963.15</v>
      </c>
      <c r="AV233" s="69">
        <v>1130</v>
      </c>
      <c r="BD233" s="69"/>
      <c r="BE233" s="69"/>
      <c r="CE233" s="94">
        <f t="shared" si="25"/>
        <v>9690</v>
      </c>
      <c r="CF233" s="73">
        <f t="shared" si="26"/>
        <v>0</v>
      </c>
      <c r="CG233" s="75">
        <f t="shared" si="23"/>
        <v>6293</v>
      </c>
      <c r="CH233" s="75" t="str">
        <f t="shared" si="23"/>
        <v>ماليزى اسنان</v>
      </c>
    </row>
    <row r="234" spans="3:86" ht="18.75" x14ac:dyDescent="0.25">
      <c r="C234" s="82">
        <v>11209</v>
      </c>
      <c r="D234" s="70">
        <v>6294</v>
      </c>
      <c r="E234" s="103" t="s">
        <v>121</v>
      </c>
      <c r="F234" s="69" t="s">
        <v>2286</v>
      </c>
      <c r="H234" s="69">
        <v>10116</v>
      </c>
      <c r="U234" s="69"/>
      <c r="V234" s="69"/>
      <c r="AS234" s="94">
        <f t="shared" si="24"/>
        <v>10116</v>
      </c>
      <c r="AT234" s="69">
        <v>7556.05</v>
      </c>
      <c r="AU234" s="69">
        <v>977.95</v>
      </c>
      <c r="AV234" s="69">
        <v>1582</v>
      </c>
      <c r="BD234" s="69"/>
      <c r="BE234" s="69"/>
      <c r="CE234" s="94">
        <f t="shared" si="25"/>
        <v>10116</v>
      </c>
      <c r="CF234" s="73">
        <f t="shared" si="26"/>
        <v>0</v>
      </c>
      <c r="CG234" s="75">
        <f t="shared" si="23"/>
        <v>6294</v>
      </c>
      <c r="CH234" s="75" t="str">
        <f t="shared" si="23"/>
        <v>ماليزى اسنان</v>
      </c>
    </row>
    <row r="235" spans="3:86" ht="18.75" x14ac:dyDescent="0.25">
      <c r="C235" s="82">
        <v>11199</v>
      </c>
      <c r="D235" s="70">
        <v>6295</v>
      </c>
      <c r="E235" s="103" t="s">
        <v>121</v>
      </c>
      <c r="F235" s="69" t="s">
        <v>2287</v>
      </c>
      <c r="H235" s="69">
        <v>8440</v>
      </c>
      <c r="U235" s="69"/>
      <c r="V235" s="69"/>
      <c r="AS235" s="94">
        <f t="shared" si="24"/>
        <v>8440</v>
      </c>
      <c r="AT235" s="69">
        <v>6481.9</v>
      </c>
      <c r="AU235" s="69">
        <v>828.1</v>
      </c>
      <c r="AV235" s="69">
        <v>1130</v>
      </c>
      <c r="BD235" s="69"/>
      <c r="BE235" s="69"/>
      <c r="CE235" s="94">
        <f t="shared" si="25"/>
        <v>8440</v>
      </c>
      <c r="CF235" s="73">
        <f t="shared" si="26"/>
        <v>0</v>
      </c>
      <c r="CG235" s="75">
        <f t="shared" si="23"/>
        <v>6295</v>
      </c>
      <c r="CH235" s="75" t="str">
        <f t="shared" si="23"/>
        <v>ماليزى اسنان</v>
      </c>
    </row>
    <row r="236" spans="3:86" ht="18.75" x14ac:dyDescent="0.25">
      <c r="C236" s="82">
        <v>11241</v>
      </c>
      <c r="D236" s="70">
        <v>6296</v>
      </c>
      <c r="E236" s="103" t="s">
        <v>121</v>
      </c>
      <c r="F236" s="69" t="s">
        <v>2288</v>
      </c>
      <c r="H236" s="69">
        <v>820.76</v>
      </c>
      <c r="U236" s="69"/>
      <c r="V236" s="69"/>
      <c r="AS236" s="94">
        <f t="shared" si="24"/>
        <v>820.76</v>
      </c>
      <c r="AT236" s="69">
        <v>549.6</v>
      </c>
      <c r="AU236" s="69">
        <v>73.400000000000006</v>
      </c>
      <c r="AV236" s="69">
        <v>197.76</v>
      </c>
      <c r="BD236" s="69"/>
      <c r="BE236" s="69"/>
      <c r="CE236" s="94">
        <f t="shared" si="25"/>
        <v>820.76</v>
      </c>
      <c r="CF236" s="73">
        <f t="shared" si="26"/>
        <v>0</v>
      </c>
      <c r="CG236" s="75">
        <f t="shared" si="23"/>
        <v>6296</v>
      </c>
      <c r="CH236" s="75" t="str">
        <f t="shared" si="23"/>
        <v>ماليزى اسنان</v>
      </c>
    </row>
    <row r="237" spans="3:86" ht="18.75" x14ac:dyDescent="0.25">
      <c r="C237" s="82">
        <v>11232</v>
      </c>
      <c r="D237" s="70">
        <v>6297</v>
      </c>
      <c r="E237" s="103" t="s">
        <v>121</v>
      </c>
      <c r="F237" s="69" t="s">
        <v>2289</v>
      </c>
      <c r="H237" s="69">
        <v>4338.25</v>
      </c>
      <c r="U237" s="69"/>
      <c r="V237" s="69"/>
      <c r="AS237" s="94">
        <f t="shared" si="24"/>
        <v>4338.25</v>
      </c>
      <c r="AT237" s="69">
        <v>2901.2</v>
      </c>
      <c r="AU237" s="69">
        <v>391.8</v>
      </c>
      <c r="AV237" s="69">
        <v>1045.25</v>
      </c>
      <c r="BD237" s="69"/>
      <c r="BE237" s="69"/>
      <c r="CE237" s="94">
        <f t="shared" si="25"/>
        <v>4338.25</v>
      </c>
      <c r="CF237" s="73">
        <f t="shared" si="26"/>
        <v>0</v>
      </c>
      <c r="CG237" s="75">
        <f t="shared" si="23"/>
        <v>6297</v>
      </c>
      <c r="CH237" s="75" t="str">
        <f t="shared" si="23"/>
        <v>ماليزى اسنان</v>
      </c>
    </row>
    <row r="238" spans="3:86" ht="18.75" x14ac:dyDescent="0.25">
      <c r="C238" s="82">
        <v>11233</v>
      </c>
      <c r="D238" s="70">
        <v>6298</v>
      </c>
      <c r="E238" s="103" t="s">
        <v>121</v>
      </c>
      <c r="F238" s="69" t="s">
        <v>2290</v>
      </c>
      <c r="H238" s="69">
        <v>1172.5</v>
      </c>
      <c r="U238" s="69"/>
      <c r="V238" s="69"/>
      <c r="AS238" s="94">
        <f t="shared" si="24"/>
        <v>1172.5</v>
      </c>
      <c r="AT238" s="69">
        <v>784.1</v>
      </c>
      <c r="AU238" s="69">
        <v>105.9</v>
      </c>
      <c r="AV238" s="69">
        <v>282.5</v>
      </c>
      <c r="BD238" s="69"/>
      <c r="BE238" s="69"/>
      <c r="CE238" s="94">
        <f t="shared" si="25"/>
        <v>1172.5</v>
      </c>
      <c r="CF238" s="73">
        <f t="shared" si="26"/>
        <v>0</v>
      </c>
      <c r="CG238" s="75">
        <f t="shared" si="23"/>
        <v>6298</v>
      </c>
      <c r="CH238" s="75" t="str">
        <f t="shared" si="23"/>
        <v>ماليزى اسنان</v>
      </c>
    </row>
    <row r="239" spans="3:86" ht="18.75" x14ac:dyDescent="0.25">
      <c r="C239" s="82">
        <v>11234</v>
      </c>
      <c r="D239" s="70">
        <v>6299</v>
      </c>
      <c r="E239" s="103" t="s">
        <v>121</v>
      </c>
      <c r="F239" s="69" t="s">
        <v>2291</v>
      </c>
      <c r="H239" s="69">
        <v>1172.5</v>
      </c>
      <c r="U239" s="69"/>
      <c r="V239" s="69"/>
      <c r="AS239" s="94">
        <f t="shared" si="24"/>
        <v>1172.5</v>
      </c>
      <c r="AT239" s="69">
        <v>784.1</v>
      </c>
      <c r="AU239" s="69">
        <v>105.9</v>
      </c>
      <c r="AV239" s="69">
        <v>282.5</v>
      </c>
      <c r="BD239" s="69"/>
      <c r="BE239" s="69"/>
      <c r="CE239" s="94">
        <f t="shared" si="25"/>
        <v>1172.5</v>
      </c>
      <c r="CF239" s="73">
        <f t="shared" si="26"/>
        <v>0</v>
      </c>
      <c r="CG239" s="75">
        <f t="shared" si="23"/>
        <v>6299</v>
      </c>
      <c r="CH239" s="75" t="str">
        <f t="shared" si="23"/>
        <v>ماليزى اسنان</v>
      </c>
    </row>
    <row r="240" spans="3:86" ht="18.75" x14ac:dyDescent="0.25">
      <c r="C240" s="82">
        <v>11235</v>
      </c>
      <c r="D240" s="70">
        <v>6300</v>
      </c>
      <c r="E240" s="103" t="s">
        <v>121</v>
      </c>
      <c r="F240" s="69" t="s">
        <v>2292</v>
      </c>
      <c r="H240" s="69">
        <v>9614.48</v>
      </c>
      <c r="U240" s="69"/>
      <c r="V240" s="69"/>
      <c r="AS240" s="94">
        <f t="shared" si="24"/>
        <v>9614.48</v>
      </c>
      <c r="AT240" s="69">
        <v>6425.4</v>
      </c>
      <c r="AU240" s="69">
        <v>872.6</v>
      </c>
      <c r="AV240" s="69">
        <v>2316.48</v>
      </c>
      <c r="BD240" s="69"/>
      <c r="BE240" s="69"/>
      <c r="CE240" s="94">
        <f t="shared" si="25"/>
        <v>9614.48</v>
      </c>
      <c r="CF240" s="73">
        <f t="shared" si="26"/>
        <v>0</v>
      </c>
      <c r="CG240" s="75">
        <f t="shared" si="23"/>
        <v>6300</v>
      </c>
      <c r="CH240" s="75" t="str">
        <f t="shared" si="23"/>
        <v>ماليزى اسنان</v>
      </c>
    </row>
    <row r="241" spans="3:86" ht="18.75" x14ac:dyDescent="0.25">
      <c r="C241" s="82">
        <v>11240</v>
      </c>
      <c r="D241" s="70">
        <v>6301</v>
      </c>
      <c r="E241" s="103" t="s">
        <v>121</v>
      </c>
      <c r="F241" s="69" t="str">
        <f>+F236</f>
        <v>جهود وحده الامن ديسمبر</v>
      </c>
      <c r="H241" s="69">
        <v>2051.9</v>
      </c>
      <c r="U241" s="69"/>
      <c r="V241" s="69"/>
      <c r="AS241" s="94">
        <f t="shared" si="24"/>
        <v>2051.9</v>
      </c>
      <c r="AT241" s="69">
        <v>1374</v>
      </c>
      <c r="AU241" s="69">
        <v>183.5</v>
      </c>
      <c r="AV241" s="69">
        <v>494.4</v>
      </c>
      <c r="BD241" s="69"/>
      <c r="BE241" s="69"/>
      <c r="CE241" s="94">
        <f t="shared" si="25"/>
        <v>2051.9</v>
      </c>
      <c r="CF241" s="73">
        <f t="shared" si="26"/>
        <v>0</v>
      </c>
      <c r="CG241" s="75">
        <f t="shared" si="23"/>
        <v>6301</v>
      </c>
      <c r="CH241" s="75" t="str">
        <f t="shared" si="23"/>
        <v>ماليزى اسنان</v>
      </c>
    </row>
    <row r="242" spans="3:86" ht="18.75" x14ac:dyDescent="0.25">
      <c r="C242" s="82">
        <v>11242</v>
      </c>
      <c r="D242" s="70">
        <v>6302</v>
      </c>
      <c r="E242" s="103" t="s">
        <v>121</v>
      </c>
      <c r="F242" s="69" t="s">
        <v>2293</v>
      </c>
      <c r="H242" s="69">
        <v>2579.5</v>
      </c>
      <c r="U242" s="69"/>
      <c r="V242" s="69"/>
      <c r="AS242" s="94">
        <f t="shared" si="24"/>
        <v>2579.5</v>
      </c>
      <c r="AT242" s="69">
        <v>1723.65</v>
      </c>
      <c r="AU242" s="69">
        <v>234.35</v>
      </c>
      <c r="AV242" s="69">
        <v>621.5</v>
      </c>
      <c r="BD242" s="69"/>
      <c r="BE242" s="69"/>
      <c r="CE242" s="94">
        <f t="shared" si="25"/>
        <v>2579.5</v>
      </c>
      <c r="CF242" s="73">
        <f t="shared" si="26"/>
        <v>0</v>
      </c>
      <c r="CG242" s="75">
        <f t="shared" si="23"/>
        <v>6302</v>
      </c>
      <c r="CH242" s="75" t="str">
        <f t="shared" si="23"/>
        <v>ماليزى اسنان</v>
      </c>
    </row>
    <row r="243" spans="3:86" ht="18.75" x14ac:dyDescent="0.25">
      <c r="C243" s="82">
        <v>11243</v>
      </c>
      <c r="D243" s="70">
        <v>6303</v>
      </c>
      <c r="E243" s="103" t="s">
        <v>121</v>
      </c>
      <c r="F243" s="69" t="s">
        <v>2294</v>
      </c>
      <c r="H243" s="69">
        <v>3986.5</v>
      </c>
      <c r="U243" s="69"/>
      <c r="V243" s="69"/>
      <c r="AS243" s="94">
        <f t="shared" si="24"/>
        <v>3986.5</v>
      </c>
      <c r="AT243" s="69">
        <v>2664.8</v>
      </c>
      <c r="AU243" s="69">
        <v>361.2</v>
      </c>
      <c r="AV243" s="69">
        <v>960.5</v>
      </c>
      <c r="BD243" s="69"/>
      <c r="BE243" s="69"/>
      <c r="CE243" s="94">
        <f t="shared" si="25"/>
        <v>3986.5</v>
      </c>
      <c r="CF243" s="73">
        <f t="shared" si="26"/>
        <v>0</v>
      </c>
      <c r="CG243" s="75">
        <f t="shared" si="23"/>
        <v>6303</v>
      </c>
      <c r="CH243" s="75" t="str">
        <f t="shared" si="23"/>
        <v>ماليزى اسنان</v>
      </c>
    </row>
    <row r="244" spans="3:86" ht="18.75" x14ac:dyDescent="0.25">
      <c r="C244" s="82">
        <v>11228</v>
      </c>
      <c r="D244" s="70">
        <v>6304</v>
      </c>
      <c r="E244" s="103" t="s">
        <v>121</v>
      </c>
      <c r="F244" s="69" t="s">
        <v>2295</v>
      </c>
      <c r="H244" s="69">
        <v>2345</v>
      </c>
      <c r="U244" s="69"/>
      <c r="V244" s="69"/>
      <c r="AS244" s="94">
        <f t="shared" si="24"/>
        <v>2345</v>
      </c>
      <c r="AT244" s="69">
        <v>1565.7</v>
      </c>
      <c r="AU244" s="69">
        <f>200+14.3</f>
        <v>214.3</v>
      </c>
      <c r="AV244" s="69">
        <v>565</v>
      </c>
      <c r="BD244" s="69"/>
      <c r="BE244" s="69"/>
      <c r="CE244" s="94">
        <f t="shared" si="25"/>
        <v>2345</v>
      </c>
      <c r="CF244" s="73">
        <f t="shared" si="26"/>
        <v>0</v>
      </c>
      <c r="CG244" s="75">
        <f t="shared" si="23"/>
        <v>6304</v>
      </c>
      <c r="CH244" s="75" t="str">
        <f t="shared" si="23"/>
        <v>ماليزى اسنان</v>
      </c>
    </row>
    <row r="245" spans="3:86" ht="18.75" x14ac:dyDescent="0.25">
      <c r="C245" s="82">
        <v>11239</v>
      </c>
      <c r="D245" s="70">
        <v>6305</v>
      </c>
      <c r="E245" s="103" t="s">
        <v>121</v>
      </c>
      <c r="F245" s="69" t="str">
        <f>+F241</f>
        <v>جهود وحده الامن ديسمبر</v>
      </c>
      <c r="H245" s="69">
        <v>4045.14</v>
      </c>
      <c r="U245" s="69"/>
      <c r="V245" s="69"/>
      <c r="AS245" s="94">
        <f t="shared" si="24"/>
        <v>4045.14</v>
      </c>
      <c r="AT245" s="69">
        <v>2708.4</v>
      </c>
      <c r="AU245" s="69">
        <v>362.1</v>
      </c>
      <c r="AV245" s="69">
        <v>974.64</v>
      </c>
      <c r="BD245" s="69"/>
      <c r="BE245" s="69"/>
      <c r="CE245" s="94">
        <f t="shared" si="25"/>
        <v>4045.14</v>
      </c>
      <c r="CF245" s="73">
        <f t="shared" si="26"/>
        <v>0</v>
      </c>
      <c r="CG245" s="75">
        <f t="shared" si="23"/>
        <v>6305</v>
      </c>
      <c r="CH245" s="75" t="str">
        <f t="shared" si="23"/>
        <v>ماليزى اسنان</v>
      </c>
    </row>
    <row r="246" spans="3:86" ht="18.75" x14ac:dyDescent="0.25">
      <c r="C246" s="82">
        <v>11194</v>
      </c>
      <c r="D246" s="70">
        <v>6306</v>
      </c>
      <c r="E246" s="103" t="s">
        <v>121</v>
      </c>
      <c r="F246" s="69" t="s">
        <v>2296</v>
      </c>
      <c r="H246" s="69">
        <v>5510.75</v>
      </c>
      <c r="U246" s="69"/>
      <c r="V246" s="69"/>
      <c r="AS246" s="94">
        <f t="shared" si="24"/>
        <v>5510.75</v>
      </c>
      <c r="AT246" s="69">
        <v>3682.7</v>
      </c>
      <c r="AU246" s="69">
        <v>500.3</v>
      </c>
      <c r="AV246" s="69">
        <v>1327.75</v>
      </c>
      <c r="BD246" s="69"/>
      <c r="BE246" s="69"/>
      <c r="CE246" s="94">
        <f t="shared" si="25"/>
        <v>5510.75</v>
      </c>
      <c r="CF246" s="73">
        <f t="shared" si="26"/>
        <v>0</v>
      </c>
      <c r="CG246" s="75">
        <f t="shared" si="23"/>
        <v>6306</v>
      </c>
      <c r="CH246" s="75" t="str">
        <f t="shared" si="23"/>
        <v>ماليزى اسنان</v>
      </c>
    </row>
    <row r="247" spans="3:86" ht="18.75" x14ac:dyDescent="0.25">
      <c r="C247" s="82">
        <v>11193</v>
      </c>
      <c r="D247" s="70">
        <v>6307</v>
      </c>
      <c r="E247" s="103" t="s">
        <v>121</v>
      </c>
      <c r="F247" s="69" t="s">
        <v>2296</v>
      </c>
      <c r="H247" s="69">
        <v>4685.5</v>
      </c>
      <c r="U247" s="69"/>
      <c r="V247" s="69"/>
      <c r="AS247" s="94">
        <f t="shared" si="24"/>
        <v>4685.5</v>
      </c>
      <c r="AT247" s="69">
        <v>3899.22</v>
      </c>
      <c r="AU247" s="69">
        <v>482.5</v>
      </c>
      <c r="AV247" s="69">
        <v>303.77999999999997</v>
      </c>
      <c r="BD247" s="69"/>
      <c r="BE247" s="69"/>
      <c r="CE247" s="94">
        <f t="shared" si="25"/>
        <v>4685.4999999999991</v>
      </c>
      <c r="CF247" s="73">
        <f t="shared" si="26"/>
        <v>0</v>
      </c>
      <c r="CG247" s="75">
        <f t="shared" si="23"/>
        <v>6307</v>
      </c>
      <c r="CH247" s="75" t="str">
        <f t="shared" si="23"/>
        <v>ماليزى اسنان</v>
      </c>
    </row>
    <row r="248" spans="3:86" ht="18.75" x14ac:dyDescent="0.25">
      <c r="C248" s="82">
        <v>11197</v>
      </c>
      <c r="D248" s="70">
        <v>6308</v>
      </c>
      <c r="E248" s="103" t="s">
        <v>121</v>
      </c>
      <c r="F248" s="69" t="s">
        <v>2297</v>
      </c>
      <c r="H248" s="69">
        <v>4795.53</v>
      </c>
      <c r="U248" s="69"/>
      <c r="V248" s="69"/>
      <c r="AS248" s="94">
        <f t="shared" si="24"/>
        <v>4795.53</v>
      </c>
      <c r="AT248" s="69">
        <v>3208.85</v>
      </c>
      <c r="AU248" s="69">
        <v>431.25</v>
      </c>
      <c r="AV248" s="69">
        <v>1155.43</v>
      </c>
      <c r="BD248" s="69"/>
      <c r="BE248" s="69"/>
      <c r="CE248" s="94">
        <f t="shared" si="25"/>
        <v>4795.53</v>
      </c>
      <c r="CF248" s="73">
        <f t="shared" si="26"/>
        <v>0</v>
      </c>
      <c r="CG248" s="75">
        <f t="shared" si="23"/>
        <v>6308</v>
      </c>
      <c r="CH248" s="75" t="str">
        <f t="shared" si="23"/>
        <v>ماليزى اسنان</v>
      </c>
    </row>
    <row r="249" spans="3:86" ht="18.75" x14ac:dyDescent="0.25">
      <c r="C249" s="82">
        <v>11266</v>
      </c>
      <c r="D249" s="70">
        <v>6309</v>
      </c>
      <c r="E249" s="103" t="s">
        <v>121</v>
      </c>
      <c r="F249" s="69" t="s">
        <v>2298</v>
      </c>
      <c r="H249" s="69">
        <v>1641.5</v>
      </c>
      <c r="U249" s="69"/>
      <c r="V249" s="69"/>
      <c r="AS249" s="94">
        <f t="shared" si="24"/>
        <v>1641.5</v>
      </c>
      <c r="AT249" s="69">
        <v>1097</v>
      </c>
      <c r="AU249" s="69">
        <v>149</v>
      </c>
      <c r="AV249" s="69">
        <v>395.5</v>
      </c>
      <c r="BD249" s="69"/>
      <c r="BE249" s="69"/>
      <c r="CE249" s="94">
        <f t="shared" si="25"/>
        <v>1641.5</v>
      </c>
      <c r="CF249" s="73">
        <f t="shared" si="26"/>
        <v>0</v>
      </c>
      <c r="CG249" s="75">
        <f t="shared" si="23"/>
        <v>6309</v>
      </c>
      <c r="CH249" s="75" t="str">
        <f t="shared" si="23"/>
        <v>ماليزى اسنان</v>
      </c>
    </row>
    <row r="250" spans="3:86" ht="36" x14ac:dyDescent="0.25">
      <c r="C250" s="82">
        <v>11257</v>
      </c>
      <c r="D250" s="70">
        <v>6310</v>
      </c>
      <c r="E250" s="103" t="s">
        <v>121</v>
      </c>
      <c r="F250" s="77" t="s">
        <v>2299</v>
      </c>
      <c r="H250" s="69">
        <v>4690</v>
      </c>
      <c r="U250" s="69"/>
      <c r="V250" s="69"/>
      <c r="AS250" s="94">
        <f t="shared" si="24"/>
        <v>4690</v>
      </c>
      <c r="AT250" s="69">
        <v>3134</v>
      </c>
      <c r="AU250" s="69">
        <v>426</v>
      </c>
      <c r="AV250" s="69">
        <v>1130</v>
      </c>
      <c r="BD250" s="69"/>
      <c r="BE250" s="69"/>
      <c r="CE250" s="94">
        <f t="shared" si="25"/>
        <v>4690</v>
      </c>
      <c r="CF250" s="73">
        <f t="shared" si="26"/>
        <v>0</v>
      </c>
      <c r="CG250" s="75">
        <f t="shared" si="23"/>
        <v>6310</v>
      </c>
      <c r="CH250" s="75" t="str">
        <f t="shared" si="23"/>
        <v>ماليزى اسنان</v>
      </c>
    </row>
    <row r="251" spans="3:86" ht="36" x14ac:dyDescent="0.25">
      <c r="C251" s="82">
        <v>11260</v>
      </c>
      <c r="D251" s="70">
        <v>6311</v>
      </c>
      <c r="E251" s="103" t="s">
        <v>121</v>
      </c>
      <c r="F251" s="77" t="s">
        <v>2300</v>
      </c>
      <c r="H251" s="69">
        <v>3048.5</v>
      </c>
      <c r="U251" s="69"/>
      <c r="V251" s="69"/>
      <c r="AS251" s="94">
        <f t="shared" si="24"/>
        <v>3048.5</v>
      </c>
      <c r="AT251" s="69">
        <v>2037.6</v>
      </c>
      <c r="AU251" s="69">
        <v>276.39999999999998</v>
      </c>
      <c r="AV251" s="69">
        <v>734.5</v>
      </c>
      <c r="BD251" s="69"/>
      <c r="BE251" s="69"/>
      <c r="CE251" s="94">
        <f t="shared" si="25"/>
        <v>3048.5</v>
      </c>
      <c r="CF251" s="73">
        <f t="shared" si="26"/>
        <v>0</v>
      </c>
      <c r="CG251" s="75">
        <f t="shared" si="23"/>
        <v>6311</v>
      </c>
      <c r="CH251" s="75" t="str">
        <f t="shared" si="23"/>
        <v>ماليزى اسنان</v>
      </c>
    </row>
    <row r="252" spans="3:86" ht="18.75" x14ac:dyDescent="0.25">
      <c r="C252" s="82">
        <v>11269</v>
      </c>
      <c r="D252" s="70">
        <v>6312</v>
      </c>
      <c r="E252" s="103" t="s">
        <v>121</v>
      </c>
      <c r="F252" s="69" t="s">
        <v>2301</v>
      </c>
      <c r="H252" s="69">
        <v>11725</v>
      </c>
      <c r="U252" s="69"/>
      <c r="V252" s="69"/>
      <c r="AS252" s="94">
        <f t="shared" si="24"/>
        <v>11725</v>
      </c>
      <c r="AT252" s="69">
        <v>7835</v>
      </c>
      <c r="AU252" s="69">
        <v>1065</v>
      </c>
      <c r="AV252" s="69">
        <v>2825</v>
      </c>
      <c r="BD252" s="69"/>
      <c r="BE252" s="69"/>
      <c r="CE252" s="94">
        <f t="shared" si="25"/>
        <v>11725</v>
      </c>
      <c r="CF252" s="73">
        <f t="shared" si="26"/>
        <v>0</v>
      </c>
      <c r="CG252" s="75">
        <f t="shared" si="23"/>
        <v>6312</v>
      </c>
      <c r="CH252" s="75" t="str">
        <f t="shared" si="23"/>
        <v>ماليزى اسنان</v>
      </c>
    </row>
    <row r="253" spans="3:86" ht="18.75" x14ac:dyDescent="0.25">
      <c r="C253" s="82">
        <v>11265</v>
      </c>
      <c r="D253" s="70">
        <v>6313</v>
      </c>
      <c r="E253" s="103" t="s">
        <v>121</v>
      </c>
      <c r="F253" s="69" t="s">
        <v>2302</v>
      </c>
      <c r="H253" s="69">
        <v>18261.689999999999</v>
      </c>
      <c r="U253" s="69"/>
      <c r="V253" s="69"/>
      <c r="AS253" s="94">
        <f t="shared" si="24"/>
        <v>18261.689999999999</v>
      </c>
      <c r="AT253" s="69">
        <v>12210.1</v>
      </c>
      <c r="AU253" s="69">
        <v>1651.65</v>
      </c>
      <c r="AV253" s="69">
        <v>4399.9399999999996</v>
      </c>
      <c r="BD253" s="69"/>
      <c r="BE253" s="69"/>
      <c r="CE253" s="94">
        <f t="shared" si="25"/>
        <v>18261.689999999999</v>
      </c>
      <c r="CF253" s="73">
        <f t="shared" si="26"/>
        <v>0</v>
      </c>
      <c r="CG253" s="75">
        <f t="shared" si="23"/>
        <v>6313</v>
      </c>
      <c r="CH253" s="75" t="str">
        <f t="shared" si="23"/>
        <v>ماليزى اسنان</v>
      </c>
    </row>
    <row r="254" spans="3:86" ht="18.75" x14ac:dyDescent="0.25">
      <c r="C254" s="82">
        <v>11207</v>
      </c>
      <c r="D254" s="70">
        <v>6314</v>
      </c>
      <c r="E254" s="103" t="s">
        <v>121</v>
      </c>
      <c r="F254" s="69" t="s">
        <v>2303</v>
      </c>
      <c r="H254" s="69">
        <v>8899.92</v>
      </c>
      <c r="U254" s="69"/>
      <c r="V254" s="69"/>
      <c r="AS254" s="94">
        <f t="shared" si="24"/>
        <v>8899.92</v>
      </c>
      <c r="AT254" s="69">
        <v>6421.12</v>
      </c>
      <c r="AU254" s="69">
        <v>841.25</v>
      </c>
      <c r="AV254" s="69">
        <v>1637.55</v>
      </c>
      <c r="BD254" s="69"/>
      <c r="BE254" s="69"/>
      <c r="CE254" s="94">
        <f t="shared" si="25"/>
        <v>8899.92</v>
      </c>
      <c r="CF254" s="73">
        <f t="shared" si="26"/>
        <v>0</v>
      </c>
      <c r="CG254" s="75">
        <f t="shared" si="23"/>
        <v>6314</v>
      </c>
      <c r="CH254" s="75" t="str">
        <f t="shared" si="23"/>
        <v>ماليزى اسنان</v>
      </c>
    </row>
    <row r="255" spans="3:86" ht="36" x14ac:dyDescent="0.25">
      <c r="C255" s="82">
        <v>11249</v>
      </c>
      <c r="D255" s="70">
        <v>6315</v>
      </c>
      <c r="E255" s="103" t="s">
        <v>121</v>
      </c>
      <c r="F255" s="77" t="s">
        <v>2304</v>
      </c>
      <c r="H255" s="69">
        <v>8207.5</v>
      </c>
      <c r="U255" s="69"/>
      <c r="V255" s="69"/>
      <c r="AS255" s="94">
        <f t="shared" si="24"/>
        <v>8207.5</v>
      </c>
      <c r="AT255" s="69">
        <v>5484</v>
      </c>
      <c r="AU255" s="69">
        <v>746</v>
      </c>
      <c r="AV255" s="69">
        <v>1977.5</v>
      </c>
      <c r="BD255" s="69"/>
      <c r="BE255" s="69"/>
      <c r="CE255" s="94">
        <f t="shared" si="25"/>
        <v>8207.5</v>
      </c>
      <c r="CF255" s="73">
        <f t="shared" si="26"/>
        <v>0</v>
      </c>
      <c r="CG255" s="75">
        <f t="shared" si="23"/>
        <v>6315</v>
      </c>
      <c r="CH255" s="75" t="str">
        <f t="shared" si="23"/>
        <v>ماليزى اسنان</v>
      </c>
    </row>
    <row r="256" spans="3:86" ht="36" x14ac:dyDescent="0.25">
      <c r="C256" s="82">
        <v>11250</v>
      </c>
      <c r="D256" s="70">
        <v>6316</v>
      </c>
      <c r="E256" s="103" t="s">
        <v>121</v>
      </c>
      <c r="F256" s="77" t="s">
        <v>2285</v>
      </c>
      <c r="H256" s="69">
        <v>18293.09</v>
      </c>
      <c r="U256" s="69"/>
      <c r="V256" s="69"/>
      <c r="AS256" s="94">
        <f t="shared" si="24"/>
        <v>18293.09</v>
      </c>
      <c r="AT256" s="69">
        <v>12831.14</v>
      </c>
      <c r="AU256" s="69">
        <v>1706.6</v>
      </c>
      <c r="AV256" s="69">
        <v>3755.35</v>
      </c>
      <c r="BD256" s="69"/>
      <c r="BE256" s="69"/>
      <c r="CE256" s="94">
        <f t="shared" si="25"/>
        <v>18293.09</v>
      </c>
      <c r="CF256" s="73">
        <f t="shared" si="26"/>
        <v>0</v>
      </c>
      <c r="CG256" s="75">
        <f t="shared" si="23"/>
        <v>6316</v>
      </c>
      <c r="CH256" s="75" t="str">
        <f t="shared" si="23"/>
        <v>ماليزى اسنان</v>
      </c>
    </row>
    <row r="257" spans="2:86" ht="18.75" x14ac:dyDescent="0.25">
      <c r="C257" s="82">
        <v>11185</v>
      </c>
      <c r="D257" s="70">
        <v>6317</v>
      </c>
      <c r="E257" s="103" t="s">
        <v>121</v>
      </c>
      <c r="F257" s="69" t="s">
        <v>2305</v>
      </c>
      <c r="H257" s="69">
        <v>2345</v>
      </c>
      <c r="U257" s="69"/>
      <c r="V257" s="69"/>
      <c r="AS257" s="94">
        <f t="shared" si="24"/>
        <v>2345</v>
      </c>
      <c r="AT257" s="69">
        <v>1567</v>
      </c>
      <c r="AU257" s="69">
        <v>213</v>
      </c>
      <c r="AV257" s="69">
        <v>565</v>
      </c>
      <c r="BD257" s="69"/>
      <c r="BE257" s="69"/>
      <c r="CE257" s="94">
        <f t="shared" si="25"/>
        <v>2345</v>
      </c>
      <c r="CF257" s="73">
        <f t="shared" si="26"/>
        <v>0</v>
      </c>
      <c r="CG257" s="75">
        <f t="shared" si="23"/>
        <v>6317</v>
      </c>
      <c r="CH257" s="75" t="str">
        <f t="shared" si="23"/>
        <v>ماليزى اسنان</v>
      </c>
    </row>
    <row r="258" spans="2:86" ht="18.75" x14ac:dyDescent="0.25">
      <c r="C258" s="82">
        <v>11238</v>
      </c>
      <c r="D258" s="70">
        <v>6318</v>
      </c>
      <c r="E258" s="103" t="s">
        <v>121</v>
      </c>
      <c r="F258" s="69" t="s">
        <v>2306</v>
      </c>
      <c r="H258" s="69">
        <v>4572.75</v>
      </c>
      <c r="U258" s="69"/>
      <c r="V258" s="69"/>
      <c r="AS258" s="94">
        <f t="shared" si="24"/>
        <v>4572.75</v>
      </c>
      <c r="AT258" s="69">
        <v>3058.25</v>
      </c>
      <c r="AU258" s="69">
        <v>412.75</v>
      </c>
      <c r="AV258" s="69">
        <v>1101.75</v>
      </c>
      <c r="BD258" s="69"/>
      <c r="BE258" s="69"/>
      <c r="CE258" s="94">
        <f t="shared" si="25"/>
        <v>4572.75</v>
      </c>
      <c r="CF258" s="73">
        <f t="shared" si="26"/>
        <v>0</v>
      </c>
      <c r="CG258" s="75">
        <f t="shared" si="23"/>
        <v>6318</v>
      </c>
      <c r="CH258" s="75" t="str">
        <f t="shared" si="23"/>
        <v>ماليزى اسنان</v>
      </c>
    </row>
    <row r="259" spans="2:86" ht="18.75" x14ac:dyDescent="0.25">
      <c r="C259" s="82">
        <v>11203</v>
      </c>
      <c r="D259" s="70">
        <v>6319</v>
      </c>
      <c r="E259" s="103" t="s">
        <v>121</v>
      </c>
      <c r="F259" s="69" t="s">
        <v>2307</v>
      </c>
      <c r="H259" s="69">
        <v>4690</v>
      </c>
      <c r="U259" s="69"/>
      <c r="V259" s="69"/>
      <c r="AS259" s="94">
        <f t="shared" si="24"/>
        <v>4690</v>
      </c>
      <c r="AT259" s="69">
        <v>3134</v>
      </c>
      <c r="AU259" s="69">
        <v>426</v>
      </c>
      <c r="AV259" s="69">
        <v>1130</v>
      </c>
      <c r="BD259" s="69"/>
      <c r="BE259" s="69"/>
      <c r="CE259" s="94">
        <f t="shared" si="25"/>
        <v>4690</v>
      </c>
      <c r="CF259" s="73">
        <f t="shared" si="26"/>
        <v>0</v>
      </c>
      <c r="CG259" s="75">
        <f t="shared" si="23"/>
        <v>6319</v>
      </c>
      <c r="CH259" s="75" t="str">
        <f t="shared" si="23"/>
        <v>ماليزى اسنان</v>
      </c>
    </row>
    <row r="260" spans="2:86" ht="18.75" x14ac:dyDescent="0.25">
      <c r="C260" s="82">
        <v>11210</v>
      </c>
      <c r="D260" s="70">
        <v>6320</v>
      </c>
      <c r="E260" s="103" t="s">
        <v>121</v>
      </c>
      <c r="F260" s="69" t="s">
        <v>2308</v>
      </c>
      <c r="H260" s="69">
        <v>2345</v>
      </c>
      <c r="U260" s="69"/>
      <c r="V260" s="69"/>
      <c r="AS260" s="94">
        <f t="shared" si="24"/>
        <v>2345</v>
      </c>
      <c r="AT260" s="69">
        <v>1567</v>
      </c>
      <c r="AU260" s="69">
        <v>213</v>
      </c>
      <c r="AV260" s="69">
        <v>565</v>
      </c>
      <c r="BD260" s="69"/>
      <c r="BE260" s="69"/>
      <c r="CE260" s="94">
        <f t="shared" si="25"/>
        <v>2345</v>
      </c>
      <c r="CF260" s="73">
        <f t="shared" si="26"/>
        <v>0</v>
      </c>
      <c r="CG260" s="75">
        <f t="shared" si="23"/>
        <v>6320</v>
      </c>
      <c r="CH260" s="75" t="str">
        <f t="shared" si="23"/>
        <v>ماليزى اسنان</v>
      </c>
    </row>
    <row r="261" spans="2:86" ht="18.75" x14ac:dyDescent="0.25">
      <c r="C261" s="82">
        <v>11187</v>
      </c>
      <c r="D261" s="70">
        <v>6321</v>
      </c>
      <c r="E261" s="103" t="s">
        <v>121</v>
      </c>
      <c r="F261" s="69" t="s">
        <v>2309</v>
      </c>
      <c r="H261" s="69">
        <v>3750</v>
      </c>
      <c r="U261" s="69"/>
      <c r="V261" s="69"/>
      <c r="AS261" s="94">
        <f t="shared" si="24"/>
        <v>3750</v>
      </c>
      <c r="AT261" s="69">
        <v>3347.25</v>
      </c>
      <c r="AU261" s="69">
        <v>402.75</v>
      </c>
      <c r="BD261" s="69"/>
      <c r="BE261" s="69"/>
      <c r="CE261" s="94">
        <f t="shared" si="25"/>
        <v>3750</v>
      </c>
      <c r="CF261" s="73">
        <f t="shared" si="26"/>
        <v>0</v>
      </c>
      <c r="CG261" s="75">
        <f t="shared" si="23"/>
        <v>6321</v>
      </c>
      <c r="CH261" s="75" t="str">
        <f t="shared" si="23"/>
        <v>ماليزى اسنان</v>
      </c>
    </row>
    <row r="262" spans="2:86" ht="18.75" x14ac:dyDescent="0.25">
      <c r="C262" s="82">
        <v>11236</v>
      </c>
      <c r="D262" s="70">
        <v>6322</v>
      </c>
      <c r="E262" s="103" t="s">
        <v>121</v>
      </c>
      <c r="F262" s="69" t="s">
        <v>2310</v>
      </c>
      <c r="H262" s="69">
        <v>1465.62</v>
      </c>
      <c r="U262" s="69"/>
      <c r="V262" s="69"/>
      <c r="AS262" s="94">
        <f t="shared" si="24"/>
        <v>1465.62</v>
      </c>
      <c r="AT262" s="69">
        <v>979.5</v>
      </c>
      <c r="AU262" s="69">
        <v>133</v>
      </c>
      <c r="AV262" s="69">
        <v>353.12</v>
      </c>
      <c r="BD262" s="69"/>
      <c r="BE262" s="69"/>
      <c r="CE262" s="94">
        <f t="shared" si="25"/>
        <v>1465.62</v>
      </c>
      <c r="CF262" s="73">
        <f t="shared" si="26"/>
        <v>0</v>
      </c>
      <c r="CG262" s="75">
        <f t="shared" si="23"/>
        <v>6322</v>
      </c>
      <c r="CH262" s="75" t="str">
        <f t="shared" si="23"/>
        <v>ماليزى اسنان</v>
      </c>
    </row>
    <row r="263" spans="2:86" ht="18.75" x14ac:dyDescent="0.25">
      <c r="C263" s="82">
        <v>11229</v>
      </c>
      <c r="D263" s="70">
        <v>6323</v>
      </c>
      <c r="E263" s="103" t="s">
        <v>121</v>
      </c>
      <c r="F263" s="69" t="s">
        <v>2311</v>
      </c>
      <c r="H263" s="69">
        <v>1000</v>
      </c>
      <c r="U263" s="69"/>
      <c r="V263" s="69"/>
      <c r="AS263" s="94">
        <f t="shared" si="24"/>
        <v>1000</v>
      </c>
      <c r="AT263" s="69">
        <v>893.35</v>
      </c>
      <c r="AU263" s="69">
        <v>106.65</v>
      </c>
      <c r="BD263" s="69"/>
      <c r="BE263" s="69"/>
      <c r="CE263" s="94">
        <f t="shared" si="25"/>
        <v>1000</v>
      </c>
      <c r="CF263" s="73">
        <f t="shared" si="26"/>
        <v>0</v>
      </c>
      <c r="CG263" s="75">
        <f t="shared" si="23"/>
        <v>6323</v>
      </c>
      <c r="CH263" s="75" t="str">
        <f t="shared" si="23"/>
        <v>ماليزى اسنان</v>
      </c>
    </row>
    <row r="264" spans="2:86" ht="18.75" x14ac:dyDescent="0.25">
      <c r="C264" s="82">
        <v>11200</v>
      </c>
      <c r="D264" s="70">
        <v>6324</v>
      </c>
      <c r="E264" s="103" t="s">
        <v>121</v>
      </c>
      <c r="F264" s="69" t="s">
        <v>2312</v>
      </c>
      <c r="H264" s="69">
        <v>3810.63</v>
      </c>
      <c r="U264" s="69"/>
      <c r="V264" s="69"/>
      <c r="AS264" s="94">
        <f t="shared" si="24"/>
        <v>3810.63</v>
      </c>
      <c r="AT264" s="69">
        <v>2546.9</v>
      </c>
      <c r="AU264" s="69">
        <v>345.6</v>
      </c>
      <c r="AV264" s="69">
        <v>918.13</v>
      </c>
      <c r="BD264" s="69"/>
      <c r="BE264" s="69"/>
      <c r="CE264" s="94">
        <f t="shared" si="25"/>
        <v>3810.63</v>
      </c>
      <c r="CF264" s="73">
        <f t="shared" si="26"/>
        <v>0</v>
      </c>
      <c r="CG264" s="75">
        <f t="shared" si="23"/>
        <v>6324</v>
      </c>
      <c r="CH264" s="75" t="str">
        <f t="shared" si="23"/>
        <v>ماليزى اسنان</v>
      </c>
    </row>
    <row r="265" spans="2:86" ht="18.75" x14ac:dyDescent="0.25">
      <c r="C265" s="82">
        <v>11189</v>
      </c>
      <c r="D265" s="70">
        <v>6325</v>
      </c>
      <c r="E265" s="103" t="s">
        <v>121</v>
      </c>
      <c r="F265" s="69" t="s">
        <v>2305</v>
      </c>
      <c r="H265" s="69">
        <v>5862.5</v>
      </c>
      <c r="U265" s="69"/>
      <c r="V265" s="69"/>
      <c r="AS265" s="94">
        <f t="shared" si="24"/>
        <v>5862.5</v>
      </c>
      <c r="AT265" s="69">
        <v>3917.3</v>
      </c>
      <c r="AU265" s="69">
        <v>532.70000000000005</v>
      </c>
      <c r="AV265" s="69">
        <v>1412.5</v>
      </c>
      <c r="BD265" s="69"/>
      <c r="BE265" s="69"/>
      <c r="CE265" s="94">
        <f t="shared" si="25"/>
        <v>5862.5</v>
      </c>
      <c r="CF265" s="73">
        <f t="shared" si="26"/>
        <v>0</v>
      </c>
      <c r="CG265" s="75">
        <f t="shared" si="23"/>
        <v>6325</v>
      </c>
      <c r="CH265" s="75" t="str">
        <f t="shared" si="23"/>
        <v>ماليزى اسنان</v>
      </c>
    </row>
    <row r="266" spans="2:86" ht="18.75" x14ac:dyDescent="0.25">
      <c r="C266" s="82">
        <v>11195</v>
      </c>
      <c r="D266" s="70">
        <v>6326</v>
      </c>
      <c r="E266" s="103" t="s">
        <v>121</v>
      </c>
      <c r="F266" s="69" t="s">
        <v>2313</v>
      </c>
      <c r="H266" s="69">
        <v>2931.25</v>
      </c>
      <c r="U266" s="69"/>
      <c r="V266" s="69"/>
      <c r="AS266" s="94">
        <f t="shared" si="24"/>
        <v>2931.25</v>
      </c>
      <c r="AT266" s="69">
        <v>1958.65</v>
      </c>
      <c r="AU266" s="69">
        <v>266.35000000000002</v>
      </c>
      <c r="AV266" s="69">
        <v>706.25</v>
      </c>
      <c r="BD266" s="69"/>
      <c r="BE266" s="69"/>
      <c r="CE266" s="94">
        <f t="shared" si="25"/>
        <v>2931.25</v>
      </c>
      <c r="CF266" s="73">
        <f t="shared" si="26"/>
        <v>0</v>
      </c>
      <c r="CG266" s="75">
        <f t="shared" si="23"/>
        <v>6326</v>
      </c>
      <c r="CH266" s="75" t="str">
        <f t="shared" si="23"/>
        <v>ماليزى اسنان</v>
      </c>
    </row>
    <row r="267" spans="2:86" ht="18.75" x14ac:dyDescent="0.25">
      <c r="C267" s="82">
        <v>11198</v>
      </c>
      <c r="D267" s="70">
        <v>6327</v>
      </c>
      <c r="E267" s="103" t="s">
        <v>121</v>
      </c>
      <c r="F267" s="69" t="s">
        <v>2314</v>
      </c>
      <c r="H267" s="69">
        <v>2391.9</v>
      </c>
      <c r="U267" s="69"/>
      <c r="V267" s="69"/>
      <c r="AS267" s="94">
        <f t="shared" si="24"/>
        <v>2391.9</v>
      </c>
      <c r="AT267" s="69">
        <v>1600.6</v>
      </c>
      <c r="AU267" s="69">
        <v>215</v>
      </c>
      <c r="AV267" s="69">
        <v>576.29999999999995</v>
      </c>
      <c r="BD267" s="69"/>
      <c r="BE267" s="69"/>
      <c r="CE267" s="94">
        <f t="shared" si="25"/>
        <v>2391.8999999999996</v>
      </c>
      <c r="CF267" s="73">
        <f t="shared" si="26"/>
        <v>0</v>
      </c>
      <c r="CG267" s="75">
        <f t="shared" si="23"/>
        <v>6327</v>
      </c>
      <c r="CH267" s="75" t="str">
        <f t="shared" si="23"/>
        <v>ماليزى اسنان</v>
      </c>
    </row>
    <row r="268" spans="2:86" ht="18.75" x14ac:dyDescent="0.25">
      <c r="C268" s="82">
        <v>11186</v>
      </c>
      <c r="D268" s="70">
        <v>6328</v>
      </c>
      <c r="E268" s="103" t="s">
        <v>121</v>
      </c>
      <c r="F268" s="69" t="s">
        <v>2315</v>
      </c>
      <c r="H268" s="69">
        <v>6448.75</v>
      </c>
      <c r="U268" s="69"/>
      <c r="V268" s="69"/>
      <c r="AS268" s="94">
        <f t="shared" si="24"/>
        <v>6448.75</v>
      </c>
      <c r="AT268" s="69">
        <v>4309.3500000000004</v>
      </c>
      <c r="AU268" s="69">
        <v>585.65</v>
      </c>
      <c r="AV268" s="69">
        <v>1553.75</v>
      </c>
      <c r="BD268" s="69"/>
      <c r="BE268" s="69"/>
      <c r="CE268" s="94">
        <f t="shared" si="25"/>
        <v>6448.75</v>
      </c>
      <c r="CF268" s="73">
        <f t="shared" si="26"/>
        <v>0</v>
      </c>
      <c r="CG268" s="75">
        <f t="shared" si="23"/>
        <v>6328</v>
      </c>
      <c r="CH268" s="75" t="str">
        <f t="shared" si="23"/>
        <v>ماليزى اسنان</v>
      </c>
    </row>
    <row r="269" spans="2:86" ht="18.75" x14ac:dyDescent="0.25">
      <c r="C269" s="82">
        <v>11247</v>
      </c>
      <c r="D269" s="70">
        <v>6329</v>
      </c>
      <c r="E269" s="103" t="s">
        <v>121</v>
      </c>
      <c r="F269" s="69" t="s">
        <v>2268</v>
      </c>
      <c r="H269" s="69">
        <v>7621.24</v>
      </c>
      <c r="U269" s="69"/>
      <c r="V269" s="69"/>
      <c r="AS269" s="94">
        <f t="shared" si="24"/>
        <v>7621.24</v>
      </c>
      <c r="AT269" s="69">
        <v>5092.3</v>
      </c>
      <c r="AU269" s="69">
        <v>692.7</v>
      </c>
      <c r="AV269" s="69">
        <v>1836.24</v>
      </c>
      <c r="BD269" s="69"/>
      <c r="BE269" s="69"/>
      <c r="CE269" s="94">
        <f t="shared" si="25"/>
        <v>7621.24</v>
      </c>
      <c r="CF269" s="73">
        <f t="shared" si="26"/>
        <v>0</v>
      </c>
      <c r="CG269" s="75">
        <f t="shared" si="23"/>
        <v>6329</v>
      </c>
      <c r="CH269" s="75" t="str">
        <f t="shared" si="23"/>
        <v>ماليزى اسنان</v>
      </c>
    </row>
    <row r="270" spans="2:86" ht="18.75" x14ac:dyDescent="0.25">
      <c r="B270" s="69" t="s">
        <v>599</v>
      </c>
      <c r="C270" s="82">
        <v>11202</v>
      </c>
      <c r="D270" s="70">
        <v>6330</v>
      </c>
      <c r="E270" s="103" t="s">
        <v>121</v>
      </c>
      <c r="F270" s="69" t="s">
        <v>2316</v>
      </c>
      <c r="H270" s="69">
        <v>2051.88</v>
      </c>
      <c r="U270" s="69"/>
      <c r="V270" s="69"/>
      <c r="AS270" s="94">
        <f t="shared" si="24"/>
        <v>2051.88</v>
      </c>
      <c r="AT270" s="69">
        <v>1372.25</v>
      </c>
      <c r="AU270" s="69">
        <v>185.25</v>
      </c>
      <c r="AV270" s="69">
        <v>494.38</v>
      </c>
      <c r="BD270" s="69"/>
      <c r="BE270" s="69"/>
      <c r="CE270" s="94">
        <f t="shared" si="25"/>
        <v>2051.88</v>
      </c>
      <c r="CF270" s="73">
        <f t="shared" si="26"/>
        <v>0</v>
      </c>
      <c r="CG270" s="75">
        <f t="shared" si="23"/>
        <v>6330</v>
      </c>
      <c r="CH270" s="75" t="str">
        <f t="shared" si="23"/>
        <v>ماليزى اسنان</v>
      </c>
    </row>
    <row r="271" spans="2:86" ht="18.75" x14ac:dyDescent="0.25">
      <c r="B271" s="69" t="s">
        <v>599</v>
      </c>
      <c r="C271" s="82">
        <v>11201</v>
      </c>
      <c r="D271" s="70">
        <v>6331</v>
      </c>
      <c r="E271" s="103" t="s">
        <v>121</v>
      </c>
      <c r="F271" s="69" t="s">
        <v>2317</v>
      </c>
      <c r="H271" s="69">
        <v>18408.25</v>
      </c>
      <c r="U271" s="69"/>
      <c r="V271" s="69"/>
      <c r="AS271" s="94">
        <f t="shared" si="24"/>
        <v>18408.25</v>
      </c>
      <c r="AT271" s="69">
        <v>12300.9</v>
      </c>
      <c r="AU271" s="69">
        <v>1672.1</v>
      </c>
      <c r="AV271" s="69">
        <v>4435.25</v>
      </c>
      <c r="BD271" s="69"/>
      <c r="BE271" s="69"/>
      <c r="CE271" s="94">
        <f t="shared" si="25"/>
        <v>18408.25</v>
      </c>
      <c r="CF271" s="73">
        <f t="shared" si="26"/>
        <v>0</v>
      </c>
      <c r="CG271" s="75">
        <f t="shared" si="23"/>
        <v>6331</v>
      </c>
      <c r="CH271" s="75" t="str">
        <f t="shared" si="23"/>
        <v>ماليزى اسنان</v>
      </c>
    </row>
    <row r="272" spans="2:86" ht="18.75" x14ac:dyDescent="0.25">
      <c r="C272" s="82"/>
      <c r="D272" s="70">
        <v>6332</v>
      </c>
      <c r="E272" s="103" t="s">
        <v>1431</v>
      </c>
      <c r="F272" s="69" t="s">
        <v>2318</v>
      </c>
      <c r="U272" s="69"/>
      <c r="V272" s="69"/>
      <c r="AS272" s="94">
        <f t="shared" si="24"/>
        <v>0</v>
      </c>
      <c r="AU272" s="69"/>
      <c r="BD272" s="69"/>
      <c r="BE272" s="69"/>
      <c r="CE272" s="94">
        <f t="shared" si="25"/>
        <v>0</v>
      </c>
      <c r="CF272" s="73">
        <f t="shared" si="26"/>
        <v>0</v>
      </c>
      <c r="CG272" s="75">
        <f t="shared" si="23"/>
        <v>6332</v>
      </c>
      <c r="CH272" s="75" t="str">
        <f t="shared" si="23"/>
        <v>لاب فقط</v>
      </c>
    </row>
    <row r="273" spans="3:86" ht="18.75" x14ac:dyDescent="0.25">
      <c r="C273" s="82">
        <v>10333</v>
      </c>
      <c r="D273" s="70">
        <v>6333</v>
      </c>
      <c r="E273" s="103" t="s">
        <v>171</v>
      </c>
      <c r="F273" s="69" t="s">
        <v>2319</v>
      </c>
      <c r="H273" s="69">
        <v>1500</v>
      </c>
      <c r="U273" s="69"/>
      <c r="V273" s="69"/>
      <c r="AS273" s="94">
        <f t="shared" si="24"/>
        <v>1500</v>
      </c>
      <c r="AT273" s="69">
        <v>1264.0999999999999</v>
      </c>
      <c r="AU273" s="69">
        <v>160.9</v>
      </c>
      <c r="AW273" s="69">
        <v>75</v>
      </c>
      <c r="BD273" s="69"/>
      <c r="BE273" s="69"/>
      <c r="CE273" s="94">
        <f t="shared" si="25"/>
        <v>1500</v>
      </c>
      <c r="CF273" s="73">
        <f t="shared" si="26"/>
        <v>0</v>
      </c>
      <c r="CG273" s="75">
        <f t="shared" si="23"/>
        <v>6333</v>
      </c>
      <c r="CH273" s="75" t="str">
        <f t="shared" si="23"/>
        <v>تحاليل طبية</v>
      </c>
    </row>
    <row r="274" spans="3:86" ht="18.75" x14ac:dyDescent="0.25">
      <c r="C274" s="82">
        <v>11345</v>
      </c>
      <c r="D274" s="70">
        <v>6334</v>
      </c>
      <c r="E274" s="103" t="s">
        <v>132</v>
      </c>
      <c r="F274" s="69" t="s">
        <v>2320</v>
      </c>
      <c r="H274" s="69">
        <v>5862.5</v>
      </c>
      <c r="U274" s="69"/>
      <c r="V274" s="69"/>
      <c r="AS274" s="94">
        <f t="shared" si="24"/>
        <v>5862.5</v>
      </c>
      <c r="AT274" s="69">
        <v>3917</v>
      </c>
      <c r="AU274" s="69">
        <v>533</v>
      </c>
      <c r="AV274" s="69">
        <v>1412.5</v>
      </c>
      <c r="BD274" s="69"/>
      <c r="BE274" s="69"/>
      <c r="CE274" s="94">
        <f t="shared" si="25"/>
        <v>5862.5</v>
      </c>
      <c r="CF274" s="73">
        <f t="shared" si="26"/>
        <v>0</v>
      </c>
      <c r="CG274" s="75">
        <f t="shared" si="23"/>
        <v>6334</v>
      </c>
      <c r="CH274" s="75" t="str">
        <f t="shared" si="23"/>
        <v>صيدلة اكلينيكى</v>
      </c>
    </row>
    <row r="275" spans="3:86" ht="18.75" x14ac:dyDescent="0.25">
      <c r="C275" s="82">
        <v>11056</v>
      </c>
      <c r="D275" s="70">
        <v>6335</v>
      </c>
      <c r="E275" s="103" t="s">
        <v>119</v>
      </c>
      <c r="F275" s="69" t="s">
        <v>2321</v>
      </c>
      <c r="H275" s="69">
        <v>20000</v>
      </c>
      <c r="U275" s="69"/>
      <c r="V275" s="69"/>
      <c r="AS275" s="94">
        <f t="shared" si="24"/>
        <v>20000</v>
      </c>
      <c r="AT275" s="69">
        <v>15072.96</v>
      </c>
      <c r="AU275" s="69">
        <v>3927.04</v>
      </c>
      <c r="AW275" s="69">
        <v>1000</v>
      </c>
      <c r="BD275" s="69"/>
      <c r="BE275" s="69"/>
      <c r="CE275" s="94">
        <f t="shared" si="25"/>
        <v>20000</v>
      </c>
      <c r="CF275" s="73">
        <f t="shared" si="26"/>
        <v>0</v>
      </c>
      <c r="CG275" s="75">
        <f t="shared" si="23"/>
        <v>6335</v>
      </c>
      <c r="CH275" s="75" t="str">
        <f t="shared" si="23"/>
        <v>خ ت صيدلة</v>
      </c>
    </row>
    <row r="276" spans="3:86" ht="18.75" x14ac:dyDescent="0.25">
      <c r="C276" s="82">
        <v>11055</v>
      </c>
      <c r="D276" s="70">
        <v>6336</v>
      </c>
      <c r="E276" s="103" t="s">
        <v>119</v>
      </c>
      <c r="F276" s="69" t="s">
        <v>2322</v>
      </c>
      <c r="H276" s="69">
        <v>6000</v>
      </c>
      <c r="U276" s="69"/>
      <c r="V276" s="69"/>
      <c r="AS276" s="94">
        <f t="shared" si="24"/>
        <v>6000</v>
      </c>
      <c r="AT276" s="69">
        <v>4521.92</v>
      </c>
      <c r="AU276" s="69">
        <v>1178.08</v>
      </c>
      <c r="AW276" s="69">
        <v>300</v>
      </c>
      <c r="BD276" s="69"/>
      <c r="BE276" s="69"/>
      <c r="CE276" s="94">
        <f t="shared" si="25"/>
        <v>6000</v>
      </c>
      <c r="CF276" s="73">
        <f t="shared" si="26"/>
        <v>0</v>
      </c>
      <c r="CG276" s="75">
        <f t="shared" si="23"/>
        <v>6336</v>
      </c>
      <c r="CH276" s="75" t="str">
        <f t="shared" si="23"/>
        <v>خ ت صيدلة</v>
      </c>
    </row>
    <row r="277" spans="3:86" ht="18.75" x14ac:dyDescent="0.25">
      <c r="C277" s="82">
        <v>11060</v>
      </c>
      <c r="D277" s="70">
        <v>6337</v>
      </c>
      <c r="E277" s="103" t="s">
        <v>119</v>
      </c>
      <c r="F277" s="69" t="s">
        <v>2323</v>
      </c>
      <c r="H277" s="69">
        <v>8225.08</v>
      </c>
      <c r="U277" s="69"/>
      <c r="V277" s="69"/>
      <c r="AS277" s="94">
        <f t="shared" si="24"/>
        <v>8225.08</v>
      </c>
      <c r="AT277" s="69">
        <v>4955.84</v>
      </c>
      <c r="AU277" s="69">
        <v>936.76</v>
      </c>
      <c r="AV277" s="69">
        <v>1981.73</v>
      </c>
      <c r="AW277" s="69">
        <v>350.75</v>
      </c>
      <c r="BD277" s="69"/>
      <c r="BE277" s="69"/>
      <c r="CE277" s="94">
        <f t="shared" si="25"/>
        <v>8225.08</v>
      </c>
      <c r="CF277" s="73">
        <f t="shared" si="26"/>
        <v>0</v>
      </c>
      <c r="CG277" s="75">
        <f t="shared" si="23"/>
        <v>6337</v>
      </c>
      <c r="CH277" s="75" t="str">
        <f t="shared" si="23"/>
        <v>خ ت صيدلة</v>
      </c>
    </row>
    <row r="278" spans="3:86" ht="18.75" x14ac:dyDescent="0.25">
      <c r="C278" s="82">
        <v>11059</v>
      </c>
      <c r="D278" s="70">
        <v>6338</v>
      </c>
      <c r="E278" s="103" t="s">
        <v>119</v>
      </c>
      <c r="F278" s="69" t="s">
        <v>2323</v>
      </c>
      <c r="H278" s="69">
        <v>2892.23</v>
      </c>
      <c r="U278" s="69"/>
      <c r="V278" s="69"/>
      <c r="AS278" s="94">
        <f t="shared" si="24"/>
        <v>2892.23</v>
      </c>
      <c r="AT278" s="69">
        <v>1860.34</v>
      </c>
      <c r="AU278" s="69">
        <v>201.02</v>
      </c>
      <c r="AV278" s="69">
        <v>707.87</v>
      </c>
      <c r="AW278" s="69">
        <v>123</v>
      </c>
      <c r="BD278" s="69"/>
      <c r="BE278" s="69"/>
      <c r="CE278" s="94">
        <f t="shared" si="25"/>
        <v>2892.23</v>
      </c>
      <c r="CF278" s="73">
        <f t="shared" si="26"/>
        <v>0</v>
      </c>
      <c r="CG278" s="75">
        <f t="shared" si="23"/>
        <v>6338</v>
      </c>
      <c r="CH278" s="75" t="str">
        <f t="shared" si="23"/>
        <v>خ ت صيدلة</v>
      </c>
    </row>
    <row r="279" spans="3:86" ht="18.75" x14ac:dyDescent="0.25">
      <c r="C279" s="82">
        <v>11061</v>
      </c>
      <c r="D279" s="70">
        <v>6339</v>
      </c>
      <c r="E279" s="103" t="s">
        <v>119</v>
      </c>
      <c r="F279" s="69" t="s">
        <v>2323</v>
      </c>
      <c r="H279" s="69">
        <v>2755.38</v>
      </c>
      <c r="U279" s="69"/>
      <c r="V279" s="69"/>
      <c r="AS279" s="94">
        <f t="shared" si="24"/>
        <v>2755.38</v>
      </c>
      <c r="AT279" s="69">
        <v>1727.4</v>
      </c>
      <c r="AU279" s="69">
        <f>11.6+235</f>
        <v>246.6</v>
      </c>
      <c r="AV279" s="69">
        <v>663.88</v>
      </c>
      <c r="AW279" s="69">
        <v>117.5</v>
      </c>
      <c r="BD279" s="69"/>
      <c r="BE279" s="69"/>
      <c r="CE279" s="94">
        <f t="shared" si="25"/>
        <v>2755.38</v>
      </c>
      <c r="CF279" s="73">
        <f t="shared" si="26"/>
        <v>0</v>
      </c>
      <c r="CG279" s="75">
        <f t="shared" si="23"/>
        <v>6339</v>
      </c>
      <c r="CH279" s="75" t="str">
        <f t="shared" si="23"/>
        <v>خ ت صيدلة</v>
      </c>
    </row>
    <row r="280" spans="3:86" ht="18.75" x14ac:dyDescent="0.25">
      <c r="C280" s="82">
        <v>11058</v>
      </c>
      <c r="D280" s="70">
        <v>6340</v>
      </c>
      <c r="E280" s="103" t="s">
        <v>119</v>
      </c>
      <c r="F280" s="69" t="s">
        <v>2323</v>
      </c>
      <c r="H280" s="69">
        <v>250</v>
      </c>
      <c r="U280" s="69"/>
      <c r="V280" s="69"/>
      <c r="AS280" s="94">
        <f t="shared" si="24"/>
        <v>250</v>
      </c>
      <c r="AT280" s="69">
        <v>200.86</v>
      </c>
      <c r="AU280" s="69">
        <v>36.64</v>
      </c>
      <c r="AW280" s="69">
        <v>12.5</v>
      </c>
      <c r="BD280" s="69"/>
      <c r="BE280" s="69"/>
      <c r="CE280" s="94">
        <f t="shared" si="25"/>
        <v>250</v>
      </c>
      <c r="CF280" s="73">
        <f t="shared" si="26"/>
        <v>0</v>
      </c>
      <c r="CG280" s="75">
        <f t="shared" si="23"/>
        <v>6340</v>
      </c>
      <c r="CH280" s="75" t="str">
        <f t="shared" si="23"/>
        <v>خ ت صيدلة</v>
      </c>
    </row>
    <row r="281" spans="3:86" ht="18.75" x14ac:dyDescent="0.25">
      <c r="C281" s="82">
        <v>11057</v>
      </c>
      <c r="D281" s="70">
        <v>6341</v>
      </c>
      <c r="E281" s="103" t="s">
        <v>119</v>
      </c>
      <c r="F281" s="69" t="s">
        <v>2324</v>
      </c>
      <c r="H281" s="69">
        <v>3360</v>
      </c>
      <c r="U281" s="69"/>
      <c r="V281" s="69"/>
      <c r="AS281" s="94">
        <f t="shared" si="24"/>
        <v>3360</v>
      </c>
      <c r="AT281" s="69">
        <v>2534</v>
      </c>
      <c r="AU281" s="69">
        <v>658</v>
      </c>
      <c r="AW281" s="69">
        <v>168</v>
      </c>
      <c r="BD281" s="69"/>
      <c r="BE281" s="69"/>
      <c r="CE281" s="94">
        <f t="shared" si="25"/>
        <v>3360</v>
      </c>
      <c r="CF281" s="73">
        <f t="shared" si="26"/>
        <v>0</v>
      </c>
      <c r="CG281" s="75">
        <f t="shared" si="23"/>
        <v>6341</v>
      </c>
      <c r="CH281" s="75" t="str">
        <f t="shared" si="23"/>
        <v>خ ت صيدلة</v>
      </c>
    </row>
    <row r="282" spans="3:86" ht="18.75" x14ac:dyDescent="0.25">
      <c r="C282" s="82">
        <v>10051</v>
      </c>
      <c r="D282" s="70">
        <v>6342</v>
      </c>
      <c r="E282" s="103" t="s">
        <v>78</v>
      </c>
      <c r="F282" s="69" t="s">
        <v>581</v>
      </c>
      <c r="H282" s="69">
        <v>2110.5</v>
      </c>
      <c r="U282" s="69"/>
      <c r="V282" s="69"/>
      <c r="AS282" s="94">
        <f t="shared" si="24"/>
        <v>2110.5</v>
      </c>
      <c r="AT282" s="69">
        <v>1408.87</v>
      </c>
      <c r="AU282" s="69">
        <f>180+13.13</f>
        <v>193.13</v>
      </c>
      <c r="AV282" s="69">
        <f>701.63-AU282</f>
        <v>508.5</v>
      </c>
      <c r="BD282" s="69"/>
      <c r="BE282" s="69"/>
      <c r="CE282" s="94">
        <f t="shared" si="25"/>
        <v>2110.5</v>
      </c>
      <c r="CF282" s="73">
        <f t="shared" si="26"/>
        <v>0</v>
      </c>
      <c r="CG282" s="75">
        <f t="shared" si="23"/>
        <v>6342</v>
      </c>
      <c r="CH282" s="75" t="str">
        <f t="shared" si="23"/>
        <v>برنامج دولى</v>
      </c>
    </row>
    <row r="283" spans="3:86" ht="18.75" x14ac:dyDescent="0.25">
      <c r="C283" s="82">
        <v>10052</v>
      </c>
      <c r="D283" s="70">
        <v>6343</v>
      </c>
      <c r="E283" s="103" t="s">
        <v>78</v>
      </c>
      <c r="F283" s="69" t="s">
        <v>581</v>
      </c>
      <c r="H283" s="69">
        <v>11880</v>
      </c>
      <c r="U283" s="69"/>
      <c r="V283" s="69"/>
      <c r="AS283" s="94">
        <f t="shared" si="24"/>
        <v>11880</v>
      </c>
      <c r="AT283" s="69">
        <v>10599.8</v>
      </c>
      <c r="AU283" s="69">
        <v>1280.2</v>
      </c>
      <c r="BD283" s="69"/>
      <c r="BE283" s="69"/>
      <c r="CE283" s="94">
        <f t="shared" si="25"/>
        <v>11880</v>
      </c>
      <c r="CF283" s="73">
        <f t="shared" si="26"/>
        <v>0</v>
      </c>
      <c r="CG283" s="75">
        <f t="shared" ref="CG283:CH335" si="27">+D283</f>
        <v>6343</v>
      </c>
      <c r="CH283" s="75" t="str">
        <f t="shared" si="27"/>
        <v>برنامج دولى</v>
      </c>
    </row>
    <row r="284" spans="3:86" ht="18.75" x14ac:dyDescent="0.25">
      <c r="C284" s="82">
        <v>10053</v>
      </c>
      <c r="D284" s="70">
        <v>6344</v>
      </c>
      <c r="E284" s="103" t="s">
        <v>78</v>
      </c>
      <c r="F284" s="69" t="s">
        <v>581</v>
      </c>
      <c r="H284" s="69">
        <v>1231.1199999999999</v>
      </c>
      <c r="U284" s="69"/>
      <c r="V284" s="69"/>
      <c r="AS284" s="94">
        <f t="shared" ref="AS284:AS349" si="28">SUM(H284:AR284)</f>
        <v>1231.1199999999999</v>
      </c>
      <c r="AT284" s="69">
        <v>822.85</v>
      </c>
      <c r="AU284" s="69">
        <v>111.65</v>
      </c>
      <c r="AV284" s="69">
        <v>296.62</v>
      </c>
      <c r="BD284" s="69"/>
      <c r="BE284" s="69"/>
      <c r="CE284" s="94">
        <f t="shared" si="25"/>
        <v>1231.1199999999999</v>
      </c>
      <c r="CF284" s="73">
        <f t="shared" si="26"/>
        <v>0</v>
      </c>
      <c r="CG284" s="75">
        <f t="shared" si="27"/>
        <v>6344</v>
      </c>
      <c r="CH284" s="75" t="str">
        <f t="shared" si="27"/>
        <v>برنامج دولى</v>
      </c>
    </row>
    <row r="285" spans="3:86" ht="18.75" x14ac:dyDescent="0.25">
      <c r="C285" s="82">
        <v>10520</v>
      </c>
      <c r="D285" s="70">
        <v>6345</v>
      </c>
      <c r="E285" s="103" t="s">
        <v>78</v>
      </c>
      <c r="F285" s="69" t="s">
        <v>935</v>
      </c>
      <c r="H285" s="69">
        <v>13435.86</v>
      </c>
      <c r="U285" s="69"/>
      <c r="V285" s="69"/>
      <c r="AS285" s="94">
        <f t="shared" si="28"/>
        <v>13435.86</v>
      </c>
      <c r="AT285" s="69">
        <v>11816.52</v>
      </c>
      <c r="AU285" s="69">
        <v>1429.6</v>
      </c>
      <c r="AV285" s="69">
        <v>189.74</v>
      </c>
      <c r="BD285" s="69"/>
      <c r="BE285" s="69"/>
      <c r="CE285" s="94">
        <f t="shared" si="25"/>
        <v>13435.86</v>
      </c>
      <c r="CF285" s="73">
        <f t="shared" si="26"/>
        <v>0</v>
      </c>
      <c r="CG285" s="75">
        <f t="shared" si="27"/>
        <v>6345</v>
      </c>
      <c r="CH285" s="75" t="str">
        <f t="shared" si="27"/>
        <v>برنامج دولى</v>
      </c>
    </row>
    <row r="286" spans="3:86" ht="18.75" x14ac:dyDescent="0.25">
      <c r="C286" s="82">
        <v>10515</v>
      </c>
      <c r="D286" s="70">
        <v>6346</v>
      </c>
      <c r="E286" s="103" t="s">
        <v>78</v>
      </c>
      <c r="F286" s="69" t="s">
        <v>2007</v>
      </c>
      <c r="H286" s="69">
        <v>574.69000000000005</v>
      </c>
      <c r="U286" s="69"/>
      <c r="V286" s="69"/>
      <c r="AS286" s="94">
        <f t="shared" si="28"/>
        <v>574.69000000000005</v>
      </c>
      <c r="AT286" s="69">
        <v>416.05</v>
      </c>
      <c r="AU286" s="69">
        <v>52.7</v>
      </c>
      <c r="AV286" s="69">
        <v>105.94</v>
      </c>
      <c r="BD286" s="69"/>
      <c r="BE286" s="69"/>
      <c r="CE286" s="94">
        <f t="shared" si="25"/>
        <v>574.69000000000005</v>
      </c>
      <c r="CF286" s="73">
        <f t="shared" si="26"/>
        <v>0</v>
      </c>
      <c r="CG286" s="75">
        <f t="shared" si="27"/>
        <v>6346</v>
      </c>
      <c r="CH286" s="75" t="str">
        <f t="shared" si="27"/>
        <v>برنامج دولى</v>
      </c>
    </row>
    <row r="287" spans="3:86" ht="18.75" x14ac:dyDescent="0.25">
      <c r="C287" s="82">
        <v>10516</v>
      </c>
      <c r="D287" s="70">
        <v>6347</v>
      </c>
      <c r="E287" s="103" t="s">
        <v>78</v>
      </c>
      <c r="F287" s="69" t="s">
        <v>2007</v>
      </c>
      <c r="H287" s="69">
        <v>229.81</v>
      </c>
      <c r="U287" s="69"/>
      <c r="V287" s="69"/>
      <c r="AS287" s="94">
        <f t="shared" si="28"/>
        <v>229.81</v>
      </c>
      <c r="AT287" s="69">
        <v>154.59</v>
      </c>
      <c r="AU287" s="69">
        <v>19.850000000000001</v>
      </c>
      <c r="AV287" s="69">
        <v>55.37</v>
      </c>
      <c r="BD287" s="69"/>
      <c r="BE287" s="69"/>
      <c r="CE287" s="94">
        <f t="shared" si="25"/>
        <v>229.81</v>
      </c>
      <c r="CF287" s="73">
        <f t="shared" si="26"/>
        <v>0</v>
      </c>
      <c r="CG287" s="75">
        <f t="shared" si="27"/>
        <v>6347</v>
      </c>
      <c r="CH287" s="75" t="str">
        <f t="shared" si="27"/>
        <v>برنامج دولى</v>
      </c>
    </row>
    <row r="288" spans="3:86" ht="18.75" x14ac:dyDescent="0.25">
      <c r="C288" s="82">
        <v>10517</v>
      </c>
      <c r="D288" s="70">
        <v>6348</v>
      </c>
      <c r="E288" s="103" t="s">
        <v>78</v>
      </c>
      <c r="F288" s="69" t="s">
        <v>2007</v>
      </c>
      <c r="H288" s="69">
        <v>615.55999999999995</v>
      </c>
      <c r="U288" s="69"/>
      <c r="V288" s="69"/>
      <c r="AS288" s="94">
        <f t="shared" si="28"/>
        <v>615.55999999999995</v>
      </c>
      <c r="AT288" s="69">
        <v>411.8</v>
      </c>
      <c r="AU288" s="69">
        <v>55.45</v>
      </c>
      <c r="AV288" s="69">
        <v>148.31</v>
      </c>
      <c r="BD288" s="69"/>
      <c r="BE288" s="69"/>
      <c r="CE288" s="94">
        <f t="shared" ref="CE288:CE338" si="29">SUM(AT288:CD288)</f>
        <v>615.55999999999995</v>
      </c>
      <c r="CF288" s="73">
        <f t="shared" ref="CF288:CF338" si="30">+CE288-AS288</f>
        <v>0</v>
      </c>
      <c r="CG288" s="75">
        <f t="shared" si="27"/>
        <v>6348</v>
      </c>
      <c r="CH288" s="75" t="str">
        <f t="shared" si="27"/>
        <v>برنامج دولى</v>
      </c>
    </row>
    <row r="289" spans="3:86" ht="18.75" x14ac:dyDescent="0.25">
      <c r="C289" s="82">
        <v>10519</v>
      </c>
      <c r="D289" s="70">
        <v>6349</v>
      </c>
      <c r="E289" s="103" t="s">
        <v>78</v>
      </c>
      <c r="F289" s="69" t="s">
        <v>2007</v>
      </c>
      <c r="H289" s="69">
        <v>1618.06</v>
      </c>
      <c r="U289" s="69"/>
      <c r="V289" s="69"/>
      <c r="AS289" s="94">
        <f t="shared" si="28"/>
        <v>1618.06</v>
      </c>
      <c r="AT289" s="69">
        <v>1083.95</v>
      </c>
      <c r="AU289" s="69">
        <f>6.25+138</f>
        <v>144.25</v>
      </c>
      <c r="AV289" s="69">
        <f>534.11-AU289</f>
        <v>389.86</v>
      </c>
      <c r="BD289" s="69"/>
      <c r="BE289" s="69"/>
      <c r="CE289" s="94">
        <f t="shared" si="29"/>
        <v>1618.06</v>
      </c>
      <c r="CF289" s="73">
        <f t="shared" si="30"/>
        <v>0</v>
      </c>
      <c r="CG289" s="75">
        <f t="shared" si="27"/>
        <v>6349</v>
      </c>
      <c r="CH289" s="75" t="str">
        <f t="shared" si="27"/>
        <v>برنامج دولى</v>
      </c>
    </row>
    <row r="290" spans="3:86" ht="18.75" x14ac:dyDescent="0.25">
      <c r="C290" s="82">
        <v>10518</v>
      </c>
      <c r="D290" s="70">
        <v>6350</v>
      </c>
      <c r="E290" s="103" t="s">
        <v>78</v>
      </c>
      <c r="F290" s="69" t="s">
        <v>2007</v>
      </c>
      <c r="H290" s="69">
        <v>1477.34</v>
      </c>
      <c r="U290" s="69"/>
      <c r="V290" s="69"/>
      <c r="AS290" s="94">
        <f t="shared" si="28"/>
        <v>1477.34</v>
      </c>
      <c r="AT290" s="69">
        <v>988.65</v>
      </c>
      <c r="AU290" s="69">
        <v>132.75</v>
      </c>
      <c r="AV290" s="69">
        <v>355.94</v>
      </c>
      <c r="BD290" s="69"/>
      <c r="BE290" s="69"/>
      <c r="CE290" s="94">
        <f t="shared" si="29"/>
        <v>1477.3400000000001</v>
      </c>
      <c r="CF290" s="73">
        <f t="shared" si="30"/>
        <v>0</v>
      </c>
      <c r="CG290" s="75">
        <f t="shared" si="27"/>
        <v>6350</v>
      </c>
      <c r="CH290" s="75" t="str">
        <f t="shared" si="27"/>
        <v>برنامج دولى</v>
      </c>
    </row>
    <row r="291" spans="3:86" ht="18.75" x14ac:dyDescent="0.25">
      <c r="C291" s="82">
        <v>10512</v>
      </c>
      <c r="D291" s="70">
        <v>6351</v>
      </c>
      <c r="E291" s="103" t="s">
        <v>78</v>
      </c>
      <c r="F291" s="69" t="s">
        <v>2325</v>
      </c>
      <c r="H291" s="69">
        <v>10542.79</v>
      </c>
      <c r="U291" s="69"/>
      <c r="V291" s="69"/>
      <c r="AS291" s="94">
        <f t="shared" si="28"/>
        <v>10542.79</v>
      </c>
      <c r="AT291" s="69">
        <v>7135.52</v>
      </c>
      <c r="AU291" s="69">
        <v>962.55</v>
      </c>
      <c r="AV291" s="69">
        <v>2444.7199999999998</v>
      </c>
      <c r="BD291" s="69"/>
      <c r="BE291" s="69"/>
      <c r="CE291" s="94">
        <f t="shared" si="29"/>
        <v>10542.79</v>
      </c>
      <c r="CF291" s="73">
        <f t="shared" si="30"/>
        <v>0</v>
      </c>
      <c r="CG291" s="75">
        <f t="shared" si="27"/>
        <v>6351</v>
      </c>
      <c r="CH291" s="75" t="str">
        <f t="shared" si="27"/>
        <v>برنامج دولى</v>
      </c>
    </row>
    <row r="292" spans="3:86" ht="18.75" x14ac:dyDescent="0.25">
      <c r="C292" s="82">
        <v>10513</v>
      </c>
      <c r="D292" s="70">
        <v>6352</v>
      </c>
      <c r="E292" s="103" t="s">
        <v>78</v>
      </c>
      <c r="F292" s="69" t="s">
        <v>2325</v>
      </c>
      <c r="H292" s="69">
        <v>5276.25</v>
      </c>
      <c r="U292" s="69"/>
      <c r="V292" s="69"/>
      <c r="AS292" s="94">
        <f t="shared" si="28"/>
        <v>5276.25</v>
      </c>
      <c r="AT292" s="69">
        <v>3526.05</v>
      </c>
      <c r="AU292" s="69">
        <v>478.95</v>
      </c>
      <c r="AV292" s="69">
        <v>1271.25</v>
      </c>
      <c r="BD292" s="69"/>
      <c r="BE292" s="69"/>
      <c r="CE292" s="94">
        <f t="shared" si="29"/>
        <v>5276.25</v>
      </c>
      <c r="CF292" s="73">
        <f t="shared" si="30"/>
        <v>0</v>
      </c>
      <c r="CG292" s="75">
        <f t="shared" si="27"/>
        <v>6352</v>
      </c>
      <c r="CH292" s="75" t="str">
        <f t="shared" si="27"/>
        <v>برنامج دولى</v>
      </c>
    </row>
    <row r="293" spans="3:86" ht="18.75" x14ac:dyDescent="0.25">
      <c r="C293" s="82">
        <v>10514</v>
      </c>
      <c r="D293" s="70">
        <v>6353</v>
      </c>
      <c r="E293" s="103" t="s">
        <v>78</v>
      </c>
      <c r="F293" s="69" t="s">
        <v>2325</v>
      </c>
      <c r="H293" s="69">
        <v>1758.75</v>
      </c>
      <c r="U293" s="69"/>
      <c r="V293" s="69"/>
      <c r="AS293" s="94">
        <f t="shared" si="28"/>
        <v>1758.75</v>
      </c>
      <c r="AT293" s="69">
        <v>1175.3499999999999</v>
      </c>
      <c r="AU293" s="69">
        <v>159.65</v>
      </c>
      <c r="AV293" s="69">
        <v>423.75</v>
      </c>
      <c r="BD293" s="69"/>
      <c r="BE293" s="69"/>
      <c r="CE293" s="94">
        <f t="shared" si="29"/>
        <v>1758.75</v>
      </c>
      <c r="CF293" s="73">
        <f t="shared" si="30"/>
        <v>0</v>
      </c>
      <c r="CG293" s="75">
        <f t="shared" si="27"/>
        <v>6353</v>
      </c>
      <c r="CH293" s="75" t="str">
        <f t="shared" si="27"/>
        <v>برنامج دولى</v>
      </c>
    </row>
    <row r="294" spans="3:86" ht="18.75" x14ac:dyDescent="0.25">
      <c r="C294" s="82">
        <v>10511</v>
      </c>
      <c r="D294" s="70">
        <v>6354</v>
      </c>
      <c r="E294" s="103" t="s">
        <v>78</v>
      </c>
      <c r="F294" s="69" t="s">
        <v>2325</v>
      </c>
      <c r="H294" s="69">
        <v>6331.5</v>
      </c>
      <c r="U294" s="69"/>
      <c r="V294" s="69"/>
      <c r="AS294" s="94">
        <f t="shared" si="28"/>
        <v>6331.5</v>
      </c>
      <c r="AT294" s="69">
        <v>4228.45</v>
      </c>
      <c r="AU294" s="69">
        <f>37.55+540</f>
        <v>577.54999999999995</v>
      </c>
      <c r="AV294" s="69">
        <f>2103.05-37.55-540</f>
        <v>1525.5</v>
      </c>
      <c r="BD294" s="69"/>
      <c r="BE294" s="69"/>
      <c r="CE294" s="94">
        <f t="shared" si="29"/>
        <v>6331.5</v>
      </c>
      <c r="CF294" s="73">
        <f t="shared" si="30"/>
        <v>0</v>
      </c>
      <c r="CG294" s="75">
        <f t="shared" si="27"/>
        <v>6354</v>
      </c>
      <c r="CH294" s="75" t="str">
        <f t="shared" si="27"/>
        <v>برنامج دولى</v>
      </c>
    </row>
    <row r="295" spans="3:86" ht="18.75" x14ac:dyDescent="0.25">
      <c r="C295" s="82">
        <v>10941</v>
      </c>
      <c r="D295" s="70">
        <v>6355</v>
      </c>
      <c r="E295" s="103" t="s">
        <v>125</v>
      </c>
      <c r="F295" s="69" t="s">
        <v>2326</v>
      </c>
      <c r="H295" s="69">
        <v>5267.4</v>
      </c>
      <c r="U295" s="69"/>
      <c r="V295" s="69"/>
      <c r="AS295" s="94">
        <f t="shared" si="28"/>
        <v>5267.4</v>
      </c>
      <c r="AT295" s="69">
        <v>3972.95</v>
      </c>
      <c r="AU295" s="69">
        <v>527.15</v>
      </c>
      <c r="AV295" s="69">
        <v>519.79999999999995</v>
      </c>
      <c r="AW295" s="69">
        <v>247.5</v>
      </c>
      <c r="BD295" s="69"/>
      <c r="BE295" s="69"/>
      <c r="CE295" s="94">
        <f t="shared" si="29"/>
        <v>5267.4</v>
      </c>
      <c r="CF295" s="73">
        <f t="shared" si="30"/>
        <v>0</v>
      </c>
      <c r="CG295" s="75">
        <f t="shared" si="27"/>
        <v>6355</v>
      </c>
      <c r="CH295" s="75" t="str">
        <f t="shared" si="27"/>
        <v>اختبار مواد</v>
      </c>
    </row>
    <row r="296" spans="3:86" ht="18.75" x14ac:dyDescent="0.25">
      <c r="C296" s="82">
        <v>10952</v>
      </c>
      <c r="D296" s="70">
        <v>6356</v>
      </c>
      <c r="E296" s="103" t="s">
        <v>137</v>
      </c>
      <c r="F296" s="69" t="s">
        <v>2327</v>
      </c>
      <c r="H296" s="69">
        <v>2391.9</v>
      </c>
      <c r="U296" s="69"/>
      <c r="V296" s="69"/>
      <c r="AS296" s="94">
        <f t="shared" si="28"/>
        <v>2391.9</v>
      </c>
      <c r="AT296" s="69">
        <v>1496.7</v>
      </c>
      <c r="AU296" s="69">
        <v>216.9</v>
      </c>
      <c r="AV296" s="69">
        <v>576.29999999999995</v>
      </c>
      <c r="AW296" s="69">
        <v>102</v>
      </c>
      <c r="BD296" s="69"/>
      <c r="BE296" s="69"/>
      <c r="CE296" s="94">
        <f t="shared" si="29"/>
        <v>2391.9</v>
      </c>
      <c r="CF296" s="73">
        <f t="shared" si="30"/>
        <v>0</v>
      </c>
      <c r="CG296" s="75">
        <f t="shared" si="27"/>
        <v>6356</v>
      </c>
      <c r="CH296" s="75" t="str">
        <f t="shared" si="27"/>
        <v xml:space="preserve">خدمة عامة </v>
      </c>
    </row>
    <row r="297" spans="3:86" ht="18.75" x14ac:dyDescent="0.25">
      <c r="C297" s="82">
        <v>10951</v>
      </c>
      <c r="D297" s="70">
        <v>6357</v>
      </c>
      <c r="E297" s="103" t="s">
        <v>137</v>
      </c>
      <c r="F297" s="69" t="s">
        <v>2327</v>
      </c>
      <c r="H297" s="69">
        <v>11668.41</v>
      </c>
      <c r="U297" s="69"/>
      <c r="V297" s="69"/>
      <c r="AS297" s="94">
        <f t="shared" si="28"/>
        <v>11668.41</v>
      </c>
      <c r="AT297" s="69">
        <v>8421.75</v>
      </c>
      <c r="AU297" s="69">
        <v>585.9</v>
      </c>
      <c r="AV297" s="69">
        <v>2142.7600000000002</v>
      </c>
      <c r="AW297" s="69">
        <v>518</v>
      </c>
      <c r="BD297" s="69"/>
      <c r="BE297" s="69"/>
      <c r="CE297" s="94">
        <f t="shared" si="29"/>
        <v>11668.41</v>
      </c>
      <c r="CF297" s="73">
        <f t="shared" si="30"/>
        <v>0</v>
      </c>
      <c r="CG297" s="75">
        <f t="shared" si="27"/>
        <v>6357</v>
      </c>
      <c r="CH297" s="75" t="str">
        <f t="shared" si="27"/>
        <v xml:space="preserve">خدمة عامة </v>
      </c>
    </row>
    <row r="298" spans="3:86" ht="18.75" x14ac:dyDescent="0.25">
      <c r="C298" s="82">
        <v>10953</v>
      </c>
      <c r="D298" s="70">
        <v>6358</v>
      </c>
      <c r="E298" s="103" t="s">
        <v>137</v>
      </c>
      <c r="F298" s="69" t="s">
        <v>2327</v>
      </c>
      <c r="H298" s="69">
        <v>30930.57</v>
      </c>
      <c r="U298" s="69"/>
      <c r="V298" s="69"/>
      <c r="AS298" s="94">
        <f t="shared" si="28"/>
        <v>30930.57</v>
      </c>
      <c r="AT298" s="69">
        <v>19348.75</v>
      </c>
      <c r="AU298" s="69">
        <f>172.45+2638</f>
        <v>2810.45</v>
      </c>
      <c r="AV298" s="69">
        <v>7452.37</v>
      </c>
      <c r="AW298" s="69">
        <v>1319</v>
      </c>
      <c r="BD298" s="69"/>
      <c r="BE298" s="69"/>
      <c r="CE298" s="94">
        <f t="shared" si="29"/>
        <v>30930.57</v>
      </c>
      <c r="CF298" s="73">
        <f t="shared" si="30"/>
        <v>0</v>
      </c>
      <c r="CG298" s="75">
        <f t="shared" si="27"/>
        <v>6358</v>
      </c>
      <c r="CH298" s="75" t="str">
        <f t="shared" si="27"/>
        <v xml:space="preserve">خدمة عامة </v>
      </c>
    </row>
    <row r="299" spans="3:86" ht="18.75" x14ac:dyDescent="0.25">
      <c r="C299" s="82">
        <v>10950</v>
      </c>
      <c r="D299" s="70">
        <v>6359</v>
      </c>
      <c r="E299" s="103" t="s">
        <v>137</v>
      </c>
      <c r="F299" s="69" t="s">
        <v>2327</v>
      </c>
      <c r="H299" s="69">
        <v>85538.45</v>
      </c>
      <c r="U299" s="69"/>
      <c r="V299" s="69"/>
      <c r="AS299" s="94">
        <f t="shared" si="28"/>
        <v>85538.45</v>
      </c>
      <c r="AT299" s="69">
        <v>58506.62</v>
      </c>
      <c r="AU299" s="69">
        <v>8150.7</v>
      </c>
      <c r="AV299" s="69">
        <v>15064.13</v>
      </c>
      <c r="AW299" s="69">
        <v>3817</v>
      </c>
      <c r="BD299" s="69"/>
      <c r="BE299" s="69"/>
      <c r="CE299" s="94">
        <f t="shared" si="29"/>
        <v>85538.450000000012</v>
      </c>
      <c r="CF299" s="73">
        <f t="shared" si="30"/>
        <v>0</v>
      </c>
      <c r="CG299" s="75">
        <f t="shared" si="27"/>
        <v>6359</v>
      </c>
      <c r="CH299" s="75" t="str">
        <f t="shared" si="27"/>
        <v xml:space="preserve">خدمة عامة </v>
      </c>
    </row>
    <row r="300" spans="3:86" ht="18.75" x14ac:dyDescent="0.25">
      <c r="C300" s="82"/>
      <c r="D300" s="70">
        <v>6360</v>
      </c>
      <c r="E300" s="103" t="s">
        <v>1431</v>
      </c>
      <c r="F300" s="69" t="s">
        <v>2328</v>
      </c>
      <c r="U300" s="69"/>
      <c r="V300" s="69"/>
      <c r="AS300" s="94">
        <f t="shared" si="28"/>
        <v>0</v>
      </c>
      <c r="AU300" s="69"/>
      <c r="BD300" s="69"/>
      <c r="BE300" s="69"/>
      <c r="CE300" s="94">
        <f t="shared" si="29"/>
        <v>0</v>
      </c>
      <c r="CF300" s="73">
        <f t="shared" si="30"/>
        <v>0</v>
      </c>
      <c r="CG300" s="75">
        <f t="shared" si="27"/>
        <v>6360</v>
      </c>
      <c r="CH300" s="75" t="str">
        <f t="shared" si="27"/>
        <v>لاب فقط</v>
      </c>
    </row>
    <row r="301" spans="3:86" ht="18.75" x14ac:dyDescent="0.25">
      <c r="C301" s="82">
        <v>10949</v>
      </c>
      <c r="D301" s="70">
        <v>6361</v>
      </c>
      <c r="E301" s="103" t="s">
        <v>137</v>
      </c>
      <c r="F301" s="69" t="s">
        <v>2327</v>
      </c>
      <c r="H301" s="69">
        <v>7660</v>
      </c>
      <c r="U301" s="69"/>
      <c r="V301" s="69"/>
      <c r="AS301" s="94">
        <f t="shared" si="28"/>
        <v>7660</v>
      </c>
      <c r="AT301" s="69">
        <v>6454.65</v>
      </c>
      <c r="AU301" s="69">
        <v>822.35</v>
      </c>
      <c r="AW301" s="69">
        <v>383</v>
      </c>
      <c r="BD301" s="69"/>
      <c r="BE301" s="69"/>
      <c r="CE301" s="94">
        <f t="shared" si="29"/>
        <v>7660</v>
      </c>
      <c r="CF301" s="73">
        <f t="shared" si="30"/>
        <v>0</v>
      </c>
      <c r="CG301" s="75">
        <f t="shared" si="27"/>
        <v>6361</v>
      </c>
      <c r="CH301" s="75" t="str">
        <f t="shared" si="27"/>
        <v xml:space="preserve">خدمة عامة </v>
      </c>
    </row>
    <row r="302" spans="3:86" ht="18.75" x14ac:dyDescent="0.25">
      <c r="C302" s="82">
        <v>10948</v>
      </c>
      <c r="D302" s="70">
        <v>6362</v>
      </c>
      <c r="E302" s="103" t="s">
        <v>137</v>
      </c>
      <c r="F302" s="69" t="s">
        <v>2327</v>
      </c>
      <c r="H302" s="69">
        <v>136037.4</v>
      </c>
      <c r="U302" s="69"/>
      <c r="V302" s="69"/>
      <c r="AS302" s="94">
        <f t="shared" si="28"/>
        <v>136037.4</v>
      </c>
      <c r="AT302" s="69">
        <v>102172.73</v>
      </c>
      <c r="AU302" s="69">
        <v>13651.05</v>
      </c>
      <c r="AV302" s="69">
        <v>13834.12</v>
      </c>
      <c r="AW302" s="69">
        <v>6379.5</v>
      </c>
      <c r="BD302" s="69"/>
      <c r="BE302" s="69"/>
      <c r="CE302" s="94">
        <f t="shared" si="29"/>
        <v>136037.4</v>
      </c>
      <c r="CF302" s="73">
        <f t="shared" si="30"/>
        <v>0</v>
      </c>
      <c r="CG302" s="75">
        <f t="shared" si="27"/>
        <v>6362</v>
      </c>
      <c r="CH302" s="75" t="str">
        <f t="shared" si="27"/>
        <v xml:space="preserve">خدمة عامة </v>
      </c>
    </row>
    <row r="303" spans="3:86" ht="18.75" x14ac:dyDescent="0.25">
      <c r="C303" s="82">
        <v>10954</v>
      </c>
      <c r="D303" s="70">
        <v>6363</v>
      </c>
      <c r="E303" s="103" t="s">
        <v>137</v>
      </c>
      <c r="F303" s="69" t="s">
        <v>2329</v>
      </c>
      <c r="H303" s="69">
        <v>94259.47</v>
      </c>
      <c r="U303" s="69"/>
      <c r="V303" s="69"/>
      <c r="AS303" s="94">
        <f t="shared" si="28"/>
        <v>94259.47</v>
      </c>
      <c r="AT303" s="69">
        <v>71584.66</v>
      </c>
      <c r="AU303" s="69">
        <v>9508.25</v>
      </c>
      <c r="AV303" s="69">
        <v>8719.81</v>
      </c>
      <c r="AW303" s="69">
        <v>4446.75</v>
      </c>
      <c r="BD303" s="69"/>
      <c r="BE303" s="69"/>
      <c r="CE303" s="94">
        <f t="shared" si="29"/>
        <v>94259.47</v>
      </c>
      <c r="CF303" s="73">
        <f t="shared" si="30"/>
        <v>0</v>
      </c>
      <c r="CG303" s="75">
        <f t="shared" si="27"/>
        <v>6363</v>
      </c>
      <c r="CH303" s="75" t="str">
        <f t="shared" si="27"/>
        <v xml:space="preserve">خدمة عامة </v>
      </c>
    </row>
    <row r="304" spans="3:86" ht="18.75" x14ac:dyDescent="0.25">
      <c r="C304" s="82">
        <v>10956</v>
      </c>
      <c r="D304" s="70">
        <v>6364</v>
      </c>
      <c r="E304" s="103" t="s">
        <v>137</v>
      </c>
      <c r="F304" s="69" t="s">
        <v>2329</v>
      </c>
      <c r="H304" s="69">
        <v>4500</v>
      </c>
      <c r="U304" s="69"/>
      <c r="V304" s="69"/>
      <c r="AS304" s="94">
        <f t="shared" si="28"/>
        <v>4500</v>
      </c>
      <c r="AT304" s="69">
        <v>3792.85</v>
      </c>
      <c r="AU304" s="69">
        <v>482.15</v>
      </c>
      <c r="AW304" s="69">
        <v>225</v>
      </c>
      <c r="BD304" s="69"/>
      <c r="BE304" s="69"/>
      <c r="CE304" s="94">
        <f t="shared" si="29"/>
        <v>4500</v>
      </c>
      <c r="CF304" s="73">
        <f t="shared" si="30"/>
        <v>0</v>
      </c>
      <c r="CG304" s="75">
        <f t="shared" si="27"/>
        <v>6364</v>
      </c>
      <c r="CH304" s="75" t="str">
        <f t="shared" si="27"/>
        <v xml:space="preserve">خدمة عامة </v>
      </c>
    </row>
    <row r="305" spans="2:96" ht="18.75" x14ac:dyDescent="0.25">
      <c r="C305" s="82">
        <v>10958</v>
      </c>
      <c r="D305" s="70">
        <v>6365</v>
      </c>
      <c r="E305" s="103" t="s">
        <v>137</v>
      </c>
      <c r="F305" s="69" t="s">
        <v>2329</v>
      </c>
      <c r="H305" s="69">
        <v>24833.55</v>
      </c>
      <c r="U305" s="69"/>
      <c r="V305" s="69"/>
      <c r="AS305" s="94">
        <f t="shared" si="28"/>
        <v>24833.55</v>
      </c>
      <c r="AT305" s="69">
        <v>15537.2</v>
      </c>
      <c r="AU305" s="69">
        <f>136+2118</f>
        <v>2254</v>
      </c>
      <c r="AV305" s="69">
        <v>5983.35</v>
      </c>
      <c r="AW305" s="69">
        <v>1059</v>
      </c>
      <c r="BD305" s="69"/>
      <c r="BE305" s="69"/>
      <c r="CE305" s="94">
        <f t="shared" si="29"/>
        <v>24833.550000000003</v>
      </c>
      <c r="CF305" s="73">
        <f t="shared" si="30"/>
        <v>0</v>
      </c>
      <c r="CG305" s="75">
        <f t="shared" si="27"/>
        <v>6365</v>
      </c>
      <c r="CH305" s="75" t="str">
        <f t="shared" si="27"/>
        <v xml:space="preserve">خدمة عامة </v>
      </c>
    </row>
    <row r="306" spans="2:96" ht="18.75" x14ac:dyDescent="0.25">
      <c r="C306" s="82">
        <v>10957</v>
      </c>
      <c r="D306" s="70">
        <v>6366</v>
      </c>
      <c r="E306" s="103" t="s">
        <v>137</v>
      </c>
      <c r="F306" s="69" t="s">
        <v>2329</v>
      </c>
      <c r="H306" s="69">
        <v>7250.86</v>
      </c>
      <c r="U306" s="69"/>
      <c r="V306" s="69"/>
      <c r="AS306" s="94">
        <f t="shared" si="28"/>
        <v>7250.86</v>
      </c>
      <c r="AT306" s="69">
        <v>5072.45</v>
      </c>
      <c r="AU306" s="69">
        <v>695.2</v>
      </c>
      <c r="AV306" s="69">
        <v>1155.96</v>
      </c>
      <c r="AW306" s="69">
        <v>327.25</v>
      </c>
      <c r="BD306" s="69"/>
      <c r="BE306" s="69"/>
      <c r="CE306" s="94">
        <f t="shared" si="29"/>
        <v>7250.86</v>
      </c>
      <c r="CF306" s="73">
        <f t="shared" si="30"/>
        <v>0</v>
      </c>
      <c r="CG306" s="75">
        <f t="shared" si="27"/>
        <v>6366</v>
      </c>
      <c r="CH306" s="75" t="str">
        <f t="shared" si="27"/>
        <v xml:space="preserve">خدمة عامة </v>
      </c>
    </row>
    <row r="307" spans="2:96" ht="18.75" x14ac:dyDescent="0.25">
      <c r="C307" s="82">
        <v>10955</v>
      </c>
      <c r="D307" s="70">
        <v>6367</v>
      </c>
      <c r="E307" s="103" t="s">
        <v>137</v>
      </c>
      <c r="F307" s="69" t="s">
        <v>2329</v>
      </c>
      <c r="H307" s="69">
        <v>64184.07</v>
      </c>
      <c r="U307" s="69"/>
      <c r="V307" s="69"/>
      <c r="AS307" s="94">
        <f t="shared" si="28"/>
        <v>64184.07</v>
      </c>
      <c r="AT307" s="69">
        <v>50920.92</v>
      </c>
      <c r="AU307" s="69">
        <v>6649.85</v>
      </c>
      <c r="AV307" s="69">
        <v>3511.3</v>
      </c>
      <c r="AW307" s="69">
        <v>3102</v>
      </c>
      <c r="BD307" s="69"/>
      <c r="BE307" s="69"/>
      <c r="CE307" s="94">
        <f t="shared" si="29"/>
        <v>64184.07</v>
      </c>
      <c r="CF307" s="73">
        <f t="shared" si="30"/>
        <v>0</v>
      </c>
      <c r="CG307" s="75">
        <f t="shared" si="27"/>
        <v>6367</v>
      </c>
      <c r="CH307" s="75" t="str">
        <f t="shared" si="27"/>
        <v xml:space="preserve">خدمة عامة </v>
      </c>
    </row>
    <row r="308" spans="2:96" ht="18.75" x14ac:dyDescent="0.25">
      <c r="C308" s="82">
        <v>10906</v>
      </c>
      <c r="D308" s="70">
        <v>6368</v>
      </c>
      <c r="E308" s="103" t="s">
        <v>137</v>
      </c>
      <c r="F308" s="69" t="s">
        <v>2205</v>
      </c>
      <c r="T308" s="69">
        <v>29123.08</v>
      </c>
      <c r="U308" s="69"/>
      <c r="V308" s="69"/>
      <c r="AS308" s="94">
        <f t="shared" si="28"/>
        <v>29123.08</v>
      </c>
      <c r="AT308" s="69">
        <v>29123.08</v>
      </c>
      <c r="AU308" s="69"/>
      <c r="BD308" s="69"/>
      <c r="BE308" s="69"/>
      <c r="CE308" s="94">
        <f t="shared" si="29"/>
        <v>29123.08</v>
      </c>
      <c r="CF308" s="73">
        <f t="shared" si="30"/>
        <v>0</v>
      </c>
      <c r="CG308" s="75">
        <f t="shared" si="27"/>
        <v>6368</v>
      </c>
      <c r="CH308" s="75" t="str">
        <f t="shared" si="27"/>
        <v xml:space="preserve">خدمة عامة </v>
      </c>
    </row>
    <row r="309" spans="2:96" ht="18.75" x14ac:dyDescent="0.25">
      <c r="C309" s="82">
        <v>10907</v>
      </c>
      <c r="D309" s="70">
        <v>6369</v>
      </c>
      <c r="E309" s="103" t="s">
        <v>125</v>
      </c>
      <c r="F309" s="69" t="s">
        <v>2205</v>
      </c>
      <c r="T309" s="69">
        <v>1497.25</v>
      </c>
      <c r="U309" s="69"/>
      <c r="V309" s="69"/>
      <c r="AS309" s="94">
        <f t="shared" si="28"/>
        <v>1497.25</v>
      </c>
      <c r="AT309" s="69">
        <v>1497.25</v>
      </c>
      <c r="AU309" s="69"/>
      <c r="BD309" s="69"/>
      <c r="BE309" s="69"/>
      <c r="CE309" s="94">
        <f t="shared" si="29"/>
        <v>1497.25</v>
      </c>
      <c r="CF309" s="73">
        <f t="shared" si="30"/>
        <v>0</v>
      </c>
      <c r="CG309" s="75">
        <f t="shared" si="27"/>
        <v>6369</v>
      </c>
      <c r="CH309" s="75" t="str">
        <f t="shared" si="27"/>
        <v>اختبار مواد</v>
      </c>
    </row>
    <row r="310" spans="2:96" ht="18.75" x14ac:dyDescent="0.25">
      <c r="C310" s="82">
        <v>10910</v>
      </c>
      <c r="D310" s="70">
        <v>6370</v>
      </c>
      <c r="E310" s="103" t="s">
        <v>121</v>
      </c>
      <c r="F310" s="69" t="s">
        <v>2205</v>
      </c>
      <c r="T310" s="69">
        <v>135455.46</v>
      </c>
      <c r="U310" s="69"/>
      <c r="V310" s="69"/>
      <c r="AS310" s="94">
        <f t="shared" si="28"/>
        <v>135455.46</v>
      </c>
      <c r="AT310" s="69">
        <v>135455.46</v>
      </c>
      <c r="AU310" s="69"/>
      <c r="BD310" s="69"/>
      <c r="BE310" s="69"/>
      <c r="CE310" s="94">
        <f t="shared" si="29"/>
        <v>135455.46</v>
      </c>
      <c r="CF310" s="73">
        <f t="shared" si="30"/>
        <v>0</v>
      </c>
      <c r="CG310" s="75">
        <f t="shared" si="27"/>
        <v>6370</v>
      </c>
      <c r="CH310" s="75" t="str">
        <f t="shared" si="27"/>
        <v>ماليزى اسنان</v>
      </c>
    </row>
    <row r="311" spans="2:96" ht="18.75" x14ac:dyDescent="0.25">
      <c r="C311" s="82">
        <v>10909</v>
      </c>
      <c r="D311" s="70">
        <v>6371</v>
      </c>
      <c r="E311" s="103" t="s">
        <v>123</v>
      </c>
      <c r="F311" s="69" t="s">
        <v>2205</v>
      </c>
      <c r="T311" s="69">
        <v>10553.63</v>
      </c>
      <c r="U311" s="69"/>
      <c r="V311" s="69"/>
      <c r="AS311" s="94">
        <f t="shared" si="28"/>
        <v>10553.63</v>
      </c>
      <c r="AT311" s="69">
        <v>10553.63</v>
      </c>
      <c r="AU311" s="69"/>
      <c r="BD311" s="69"/>
      <c r="BE311" s="69"/>
      <c r="CE311" s="94">
        <f t="shared" si="29"/>
        <v>10553.63</v>
      </c>
      <c r="CF311" s="73">
        <f t="shared" si="30"/>
        <v>0</v>
      </c>
      <c r="CG311" s="75">
        <f t="shared" si="27"/>
        <v>6371</v>
      </c>
      <c r="CH311" s="75" t="str">
        <f t="shared" si="27"/>
        <v>خ ت اسنان</v>
      </c>
    </row>
    <row r="312" spans="2:96" ht="18.75" x14ac:dyDescent="0.25">
      <c r="C312" s="82">
        <v>10908</v>
      </c>
      <c r="D312" s="70">
        <v>6372</v>
      </c>
      <c r="E312" s="103" t="s">
        <v>122</v>
      </c>
      <c r="F312" s="69" t="s">
        <v>2205</v>
      </c>
      <c r="T312" s="69">
        <v>7386.39</v>
      </c>
      <c r="U312" s="69"/>
      <c r="V312" s="69"/>
      <c r="AS312" s="94">
        <f t="shared" si="28"/>
        <v>7386.39</v>
      </c>
      <c r="AT312" s="69">
        <v>7386.39</v>
      </c>
      <c r="AU312" s="69"/>
      <c r="BD312" s="69"/>
      <c r="BE312" s="69"/>
      <c r="CE312" s="94">
        <f t="shared" si="29"/>
        <v>7386.39</v>
      </c>
      <c r="CF312" s="73">
        <f t="shared" si="30"/>
        <v>0</v>
      </c>
      <c r="CG312" s="75">
        <f t="shared" si="27"/>
        <v>6372</v>
      </c>
      <c r="CH312" s="75" t="str">
        <f t="shared" si="27"/>
        <v>علاج تخصصى</v>
      </c>
    </row>
    <row r="313" spans="2:96" ht="18.75" x14ac:dyDescent="0.25">
      <c r="C313" s="82">
        <v>10911</v>
      </c>
      <c r="D313" s="70">
        <v>6373</v>
      </c>
      <c r="E313" s="103" t="s">
        <v>124</v>
      </c>
      <c r="F313" s="69" t="s">
        <v>2205</v>
      </c>
      <c r="T313" s="69">
        <v>193.32</v>
      </c>
      <c r="U313" s="69"/>
      <c r="V313" s="69"/>
      <c r="AS313" s="94">
        <f t="shared" si="28"/>
        <v>193.32</v>
      </c>
      <c r="AT313" s="69">
        <v>193.32</v>
      </c>
      <c r="AU313" s="69"/>
      <c r="BD313" s="69"/>
      <c r="BE313" s="69"/>
      <c r="CE313" s="94">
        <f t="shared" si="29"/>
        <v>193.32</v>
      </c>
      <c r="CF313" s="73">
        <f t="shared" si="30"/>
        <v>0</v>
      </c>
      <c r="CG313" s="75">
        <f t="shared" si="27"/>
        <v>6373</v>
      </c>
      <c r="CH313" s="75" t="str">
        <f t="shared" si="27"/>
        <v>تكافل اسنان</v>
      </c>
    </row>
    <row r="314" spans="2:96" x14ac:dyDescent="0.25">
      <c r="C314" s="82">
        <v>10902</v>
      </c>
      <c r="D314" s="70">
        <v>6374</v>
      </c>
      <c r="E314" s="102" t="s">
        <v>128</v>
      </c>
      <c r="F314" s="69" t="s">
        <v>2205</v>
      </c>
      <c r="T314" s="69">
        <v>34413.879999999997</v>
      </c>
      <c r="U314" s="69"/>
      <c r="V314" s="69"/>
      <c r="AS314" s="94">
        <f t="shared" si="28"/>
        <v>34413.879999999997</v>
      </c>
      <c r="AT314" s="69">
        <v>34413.879999999997</v>
      </c>
      <c r="AU314" s="69"/>
      <c r="BD314" s="69"/>
      <c r="BE314" s="69"/>
      <c r="CE314" s="94">
        <f t="shared" si="29"/>
        <v>34413.879999999997</v>
      </c>
      <c r="CF314" s="73">
        <f t="shared" si="30"/>
        <v>0</v>
      </c>
      <c r="CG314" s="75">
        <f t="shared" si="27"/>
        <v>6374</v>
      </c>
      <c r="CH314" s="75" t="str">
        <f t="shared" si="27"/>
        <v>مركز مؤتمرات</v>
      </c>
    </row>
    <row r="315" spans="2:96" ht="18.75" x14ac:dyDescent="0.25">
      <c r="B315" s="77"/>
      <c r="C315" s="82">
        <v>10901</v>
      </c>
      <c r="D315" s="70">
        <v>6375</v>
      </c>
      <c r="E315" s="103" t="s">
        <v>78</v>
      </c>
      <c r="F315" s="69" t="s">
        <v>2205</v>
      </c>
      <c r="T315" s="69">
        <v>596216.88</v>
      </c>
      <c r="U315" s="69"/>
      <c r="V315" s="69"/>
      <c r="AS315" s="94">
        <f t="shared" si="28"/>
        <v>596216.88</v>
      </c>
      <c r="AT315" s="69">
        <v>596216.88</v>
      </c>
      <c r="AU315" s="69"/>
      <c r="BD315" s="69"/>
      <c r="BE315" s="69"/>
      <c r="CE315" s="94">
        <f t="shared" si="29"/>
        <v>596216.88</v>
      </c>
      <c r="CF315" s="73">
        <f t="shared" si="30"/>
        <v>0</v>
      </c>
      <c r="CG315" s="75">
        <f t="shared" si="27"/>
        <v>6375</v>
      </c>
      <c r="CH315" s="75" t="str">
        <f t="shared" si="27"/>
        <v>برنامج دولى</v>
      </c>
    </row>
    <row r="316" spans="2:96" ht="18.75" x14ac:dyDescent="0.25">
      <c r="C316" s="82">
        <v>10903</v>
      </c>
      <c r="D316" s="70">
        <v>6376</v>
      </c>
      <c r="E316" s="103" t="s">
        <v>130</v>
      </c>
      <c r="F316" s="69" t="s">
        <v>2205</v>
      </c>
      <c r="T316" s="69">
        <v>2552.9699999999998</v>
      </c>
      <c r="U316" s="69"/>
      <c r="V316" s="69"/>
      <c r="AS316" s="94">
        <f t="shared" si="28"/>
        <v>2552.9699999999998</v>
      </c>
      <c r="AT316" s="69">
        <v>2552.9699999999998</v>
      </c>
      <c r="AU316" s="69"/>
      <c r="BD316" s="69"/>
      <c r="BE316" s="69"/>
      <c r="CE316" s="94">
        <f t="shared" si="29"/>
        <v>2552.9699999999998</v>
      </c>
      <c r="CF316" s="73">
        <f t="shared" si="30"/>
        <v>0</v>
      </c>
      <c r="CG316" s="75">
        <f t="shared" si="27"/>
        <v>6376</v>
      </c>
      <c r="CH316" s="75" t="str">
        <f t="shared" si="27"/>
        <v>خ ت طب</v>
      </c>
    </row>
    <row r="317" spans="2:96" s="68" customFormat="1" ht="18.75" x14ac:dyDescent="0.25">
      <c r="C317" s="83"/>
      <c r="D317" s="84"/>
      <c r="E317" s="104"/>
      <c r="F317" s="68" t="s">
        <v>2330</v>
      </c>
      <c r="H317" s="68">
        <f>SUM(H160:H316)</f>
        <v>1705821.46</v>
      </c>
      <c r="I317" s="68">
        <f t="shared" ref="I317:BT317" si="31">SUM(I160:I316)</f>
        <v>0</v>
      </c>
      <c r="J317" s="68">
        <f t="shared" si="31"/>
        <v>0</v>
      </c>
      <c r="K317" s="68">
        <f t="shared" si="31"/>
        <v>0</v>
      </c>
      <c r="L317" s="68">
        <f t="shared" si="31"/>
        <v>0</v>
      </c>
      <c r="M317" s="68">
        <f t="shared" si="31"/>
        <v>0</v>
      </c>
      <c r="N317" s="68">
        <f t="shared" si="31"/>
        <v>0</v>
      </c>
      <c r="O317" s="68">
        <f t="shared" si="31"/>
        <v>0</v>
      </c>
      <c r="P317" s="68">
        <f t="shared" si="31"/>
        <v>0</v>
      </c>
      <c r="Q317" s="68">
        <f t="shared" si="31"/>
        <v>0</v>
      </c>
      <c r="R317" s="68">
        <f t="shared" si="31"/>
        <v>0</v>
      </c>
      <c r="S317" s="68">
        <f t="shared" si="31"/>
        <v>0</v>
      </c>
      <c r="T317" s="68">
        <f t="shared" si="31"/>
        <v>817392.86</v>
      </c>
      <c r="U317" s="68">
        <f t="shared" si="31"/>
        <v>0</v>
      </c>
      <c r="V317" s="68">
        <f t="shared" si="31"/>
        <v>0</v>
      </c>
      <c r="W317" s="68">
        <f t="shared" si="31"/>
        <v>0</v>
      </c>
      <c r="X317" s="68">
        <f t="shared" si="31"/>
        <v>0</v>
      </c>
      <c r="Y317" s="68">
        <f t="shared" si="31"/>
        <v>0</v>
      </c>
      <c r="Z317" s="68">
        <f t="shared" si="31"/>
        <v>0</v>
      </c>
      <c r="AA317" s="68">
        <f t="shared" si="31"/>
        <v>0</v>
      </c>
      <c r="AB317" s="68">
        <f t="shared" si="31"/>
        <v>0</v>
      </c>
      <c r="AC317" s="68">
        <f t="shared" si="31"/>
        <v>0</v>
      </c>
      <c r="AD317" s="68">
        <f t="shared" si="31"/>
        <v>0</v>
      </c>
      <c r="AE317" s="68">
        <f t="shared" si="31"/>
        <v>0</v>
      </c>
      <c r="AF317" s="68">
        <f t="shared" si="31"/>
        <v>0</v>
      </c>
      <c r="AG317" s="68">
        <f t="shared" si="31"/>
        <v>0</v>
      </c>
      <c r="AH317" s="68">
        <f t="shared" si="31"/>
        <v>0</v>
      </c>
      <c r="AI317" s="68">
        <f t="shared" si="31"/>
        <v>0</v>
      </c>
      <c r="AJ317" s="68">
        <f t="shared" si="31"/>
        <v>0</v>
      </c>
      <c r="AK317" s="68">
        <f t="shared" si="31"/>
        <v>0</v>
      </c>
      <c r="AL317" s="68">
        <f t="shared" si="31"/>
        <v>0</v>
      </c>
      <c r="AM317" s="68">
        <f t="shared" si="31"/>
        <v>0</v>
      </c>
      <c r="AN317" s="68">
        <f t="shared" si="31"/>
        <v>0</v>
      </c>
      <c r="AO317" s="68">
        <f t="shared" si="31"/>
        <v>0</v>
      </c>
      <c r="AP317" s="68">
        <f t="shared" si="31"/>
        <v>0</v>
      </c>
      <c r="AQ317" s="68">
        <f t="shared" si="31"/>
        <v>0</v>
      </c>
      <c r="AR317" s="68">
        <f t="shared" si="31"/>
        <v>0</v>
      </c>
      <c r="AS317" s="68">
        <f t="shared" si="31"/>
        <v>2523214.3199999998</v>
      </c>
      <c r="AT317" s="68">
        <f t="shared" si="31"/>
        <v>2090626.3599999992</v>
      </c>
      <c r="AU317" s="68">
        <f t="shared" si="31"/>
        <v>168772.87999999998</v>
      </c>
      <c r="AV317" s="68">
        <f t="shared" si="31"/>
        <v>214796.71999999994</v>
      </c>
      <c r="AW317" s="68">
        <f t="shared" si="31"/>
        <v>49018.36</v>
      </c>
      <c r="AX317" s="68">
        <f t="shared" si="31"/>
        <v>0</v>
      </c>
      <c r="AY317" s="68">
        <f t="shared" si="31"/>
        <v>0</v>
      </c>
      <c r="AZ317" s="68">
        <f t="shared" si="31"/>
        <v>0</v>
      </c>
      <c r="BA317" s="68">
        <f t="shared" si="31"/>
        <v>0</v>
      </c>
      <c r="BB317" s="68">
        <f t="shared" si="31"/>
        <v>0</v>
      </c>
      <c r="BC317" s="68">
        <f t="shared" si="31"/>
        <v>0</v>
      </c>
      <c r="BD317" s="68">
        <f t="shared" si="31"/>
        <v>0</v>
      </c>
      <c r="BE317" s="68">
        <f t="shared" si="31"/>
        <v>0</v>
      </c>
      <c r="BF317" s="68">
        <f t="shared" si="31"/>
        <v>0</v>
      </c>
      <c r="BG317" s="68">
        <f t="shared" si="31"/>
        <v>0</v>
      </c>
      <c r="BH317" s="68">
        <f t="shared" si="31"/>
        <v>0</v>
      </c>
      <c r="BI317" s="68">
        <f t="shared" si="31"/>
        <v>0</v>
      </c>
      <c r="BJ317" s="68">
        <f t="shared" si="31"/>
        <v>0</v>
      </c>
      <c r="BK317" s="68">
        <f t="shared" si="31"/>
        <v>0</v>
      </c>
      <c r="BL317" s="68">
        <f t="shared" si="31"/>
        <v>0</v>
      </c>
      <c r="BM317" s="68">
        <f t="shared" si="31"/>
        <v>0</v>
      </c>
      <c r="BN317" s="68">
        <f t="shared" si="31"/>
        <v>0</v>
      </c>
      <c r="BO317" s="68">
        <f t="shared" si="31"/>
        <v>0</v>
      </c>
      <c r="BP317" s="68">
        <f t="shared" si="31"/>
        <v>0</v>
      </c>
      <c r="BQ317" s="68">
        <f t="shared" si="31"/>
        <v>0</v>
      </c>
      <c r="BR317" s="68">
        <f t="shared" si="31"/>
        <v>0</v>
      </c>
      <c r="BS317" s="68">
        <f t="shared" si="31"/>
        <v>0</v>
      </c>
      <c r="BT317" s="68">
        <f t="shared" si="31"/>
        <v>0</v>
      </c>
      <c r="BU317" s="68">
        <f t="shared" ref="BU317:CR317" si="32">SUM(BU160:BU316)</f>
        <v>0</v>
      </c>
      <c r="BV317" s="68">
        <f t="shared" si="32"/>
        <v>0</v>
      </c>
      <c r="BW317" s="68">
        <f t="shared" si="32"/>
        <v>0</v>
      </c>
      <c r="BX317" s="68">
        <f t="shared" si="32"/>
        <v>0</v>
      </c>
      <c r="BY317" s="68">
        <f t="shared" si="32"/>
        <v>0</v>
      </c>
      <c r="BZ317" s="68">
        <f t="shared" si="32"/>
        <v>0</v>
      </c>
      <c r="CA317" s="68">
        <f t="shared" si="32"/>
        <v>0</v>
      </c>
      <c r="CB317" s="68">
        <f t="shared" si="32"/>
        <v>0</v>
      </c>
      <c r="CC317" s="68">
        <f t="shared" si="32"/>
        <v>0</v>
      </c>
      <c r="CD317" s="68">
        <f t="shared" si="32"/>
        <v>0</v>
      </c>
      <c r="CE317" s="68">
        <f t="shared" si="32"/>
        <v>2523214.3199999998</v>
      </c>
      <c r="CF317" s="68">
        <f t="shared" si="32"/>
        <v>0</v>
      </c>
      <c r="CH317" s="67">
        <f t="shared" si="32"/>
        <v>0</v>
      </c>
      <c r="CI317" s="68">
        <f t="shared" si="32"/>
        <v>0</v>
      </c>
      <c r="CJ317" s="68">
        <f t="shared" si="32"/>
        <v>0</v>
      </c>
      <c r="CK317" s="68">
        <f t="shared" si="32"/>
        <v>0</v>
      </c>
      <c r="CL317" s="68">
        <f t="shared" si="32"/>
        <v>0</v>
      </c>
      <c r="CM317" s="68">
        <f t="shared" si="32"/>
        <v>0</v>
      </c>
      <c r="CN317" s="68">
        <f t="shared" si="32"/>
        <v>0</v>
      </c>
      <c r="CO317" s="68">
        <f t="shared" si="32"/>
        <v>0</v>
      </c>
      <c r="CP317" s="68">
        <f t="shared" si="32"/>
        <v>0</v>
      </c>
      <c r="CQ317" s="68">
        <f t="shared" si="32"/>
        <v>0</v>
      </c>
      <c r="CR317" s="68">
        <f t="shared" si="32"/>
        <v>0</v>
      </c>
    </row>
    <row r="318" spans="2:96" x14ac:dyDescent="0.25">
      <c r="C318" s="82">
        <v>11375</v>
      </c>
      <c r="D318" s="70">
        <v>6377</v>
      </c>
      <c r="E318" s="102" t="s">
        <v>128</v>
      </c>
      <c r="F318" s="69" t="s">
        <v>2331</v>
      </c>
      <c r="H318" s="69">
        <v>4000</v>
      </c>
      <c r="U318" s="69"/>
      <c r="V318" s="69"/>
      <c r="AS318" s="94">
        <f t="shared" si="28"/>
        <v>4000</v>
      </c>
      <c r="AT318" s="69">
        <v>3570.35</v>
      </c>
      <c r="AU318" s="69">
        <v>429.65</v>
      </c>
      <c r="BD318" s="69"/>
      <c r="BE318" s="69"/>
      <c r="CE318" s="94">
        <f t="shared" si="29"/>
        <v>4000</v>
      </c>
      <c r="CF318" s="73">
        <f t="shared" si="30"/>
        <v>0</v>
      </c>
      <c r="CG318" s="75">
        <f t="shared" si="27"/>
        <v>6377</v>
      </c>
      <c r="CH318" s="75" t="str">
        <f t="shared" si="27"/>
        <v>مركز مؤتمرات</v>
      </c>
    </row>
    <row r="319" spans="2:96" x14ac:dyDescent="0.25">
      <c r="C319" s="82">
        <v>11374</v>
      </c>
      <c r="D319" s="70">
        <v>6378</v>
      </c>
      <c r="E319" s="102" t="s">
        <v>128</v>
      </c>
      <c r="F319" s="69" t="s">
        <v>2332</v>
      </c>
      <c r="H319" s="69">
        <v>4000</v>
      </c>
      <c r="U319" s="69"/>
      <c r="V319" s="69"/>
      <c r="AS319" s="94">
        <f t="shared" si="28"/>
        <v>4000</v>
      </c>
      <c r="AT319" s="69">
        <v>3570.35</v>
      </c>
      <c r="AU319" s="69">
        <v>429.65</v>
      </c>
      <c r="BD319" s="69"/>
      <c r="BE319" s="69"/>
      <c r="CE319" s="94">
        <f t="shared" si="29"/>
        <v>4000</v>
      </c>
      <c r="CF319" s="73">
        <f t="shared" si="30"/>
        <v>0</v>
      </c>
      <c r="CG319" s="75">
        <f t="shared" si="27"/>
        <v>6378</v>
      </c>
      <c r="CH319" s="75" t="str">
        <f t="shared" si="27"/>
        <v>مركز مؤتمرات</v>
      </c>
    </row>
    <row r="320" spans="2:96" x14ac:dyDescent="0.25">
      <c r="C320" s="82">
        <v>11373</v>
      </c>
      <c r="D320" s="70">
        <v>6379</v>
      </c>
      <c r="E320" s="102" t="s">
        <v>128</v>
      </c>
      <c r="F320" s="69" t="s">
        <v>2333</v>
      </c>
      <c r="H320" s="69">
        <v>18612.689999999999</v>
      </c>
      <c r="U320" s="69"/>
      <c r="V320" s="69"/>
      <c r="AS320" s="94">
        <f t="shared" si="28"/>
        <v>18612.689999999999</v>
      </c>
      <c r="AT320" s="69">
        <v>12343.56</v>
      </c>
      <c r="AU320" s="69">
        <v>1680.95</v>
      </c>
      <c r="AV320" s="69">
        <v>4588.18</v>
      </c>
      <c r="BD320" s="69"/>
      <c r="BE320" s="69"/>
      <c r="CE320" s="94">
        <f t="shared" si="29"/>
        <v>18612.690000000002</v>
      </c>
      <c r="CF320" s="73">
        <f t="shared" si="30"/>
        <v>0</v>
      </c>
      <c r="CG320" s="75">
        <f t="shared" si="27"/>
        <v>6379</v>
      </c>
      <c r="CH320" s="75" t="str">
        <f t="shared" si="27"/>
        <v>مركز مؤتمرات</v>
      </c>
    </row>
    <row r="321" spans="3:94" x14ac:dyDescent="0.25">
      <c r="C321" s="82">
        <v>11372</v>
      </c>
      <c r="D321" s="70">
        <v>6380</v>
      </c>
      <c r="E321" s="102" t="s">
        <v>128</v>
      </c>
      <c r="F321" s="69" t="s">
        <v>2333</v>
      </c>
      <c r="H321" s="69">
        <v>4509.16</v>
      </c>
      <c r="U321" s="69"/>
      <c r="V321" s="69"/>
      <c r="AS321" s="94">
        <f t="shared" si="28"/>
        <v>4509.16</v>
      </c>
      <c r="AT321" s="69">
        <v>3013.19</v>
      </c>
      <c r="AU321" s="69">
        <v>409.53</v>
      </c>
      <c r="AV321" s="69">
        <v>1086.44</v>
      </c>
      <c r="BD321" s="69"/>
      <c r="BE321" s="69"/>
      <c r="CE321" s="94">
        <f t="shared" si="29"/>
        <v>4509.16</v>
      </c>
      <c r="CF321" s="73">
        <f t="shared" si="30"/>
        <v>0</v>
      </c>
      <c r="CG321" s="75">
        <f t="shared" si="27"/>
        <v>6380</v>
      </c>
      <c r="CH321" s="75" t="str">
        <f t="shared" si="27"/>
        <v>مركز مؤتمرات</v>
      </c>
    </row>
    <row r="322" spans="3:94" x14ac:dyDescent="0.25">
      <c r="C322" s="82">
        <v>11371</v>
      </c>
      <c r="D322" s="70">
        <v>6381</v>
      </c>
      <c r="E322" s="102" t="s">
        <v>128</v>
      </c>
      <c r="F322" s="69" t="s">
        <v>2333</v>
      </c>
      <c r="H322" s="69">
        <v>3438.23</v>
      </c>
      <c r="U322" s="69"/>
      <c r="V322" s="69"/>
      <c r="AS322" s="94">
        <f t="shared" si="28"/>
        <v>3438.23</v>
      </c>
      <c r="AT322" s="69">
        <v>2297.6999999999998</v>
      </c>
      <c r="AU322" s="69">
        <v>312.14</v>
      </c>
      <c r="AV322" s="69">
        <v>828.39</v>
      </c>
      <c r="BD322" s="69"/>
      <c r="BE322" s="69"/>
      <c r="CE322" s="94">
        <f t="shared" si="29"/>
        <v>3438.2299999999996</v>
      </c>
      <c r="CF322" s="73">
        <f t="shared" si="30"/>
        <v>0</v>
      </c>
      <c r="CG322" s="75">
        <f t="shared" si="27"/>
        <v>6381</v>
      </c>
      <c r="CH322" s="75" t="str">
        <f t="shared" si="27"/>
        <v>مركز مؤتمرات</v>
      </c>
    </row>
    <row r="323" spans="3:94" x14ac:dyDescent="0.25">
      <c r="C323" s="82">
        <v>11370</v>
      </c>
      <c r="D323" s="70">
        <v>6382</v>
      </c>
      <c r="E323" s="102" t="s">
        <v>128</v>
      </c>
      <c r="F323" s="69" t="s">
        <v>2333</v>
      </c>
      <c r="H323" s="69">
        <v>4143.49</v>
      </c>
      <c r="U323" s="69"/>
      <c r="V323" s="69"/>
      <c r="AS323" s="94">
        <f t="shared" si="28"/>
        <v>4143.49</v>
      </c>
      <c r="AT323" s="69">
        <v>2768.88</v>
      </c>
      <c r="AU323" s="69">
        <v>376.28</v>
      </c>
      <c r="AV323" s="69">
        <v>998.33</v>
      </c>
      <c r="BD323" s="69"/>
      <c r="BE323" s="69"/>
      <c r="CE323" s="94">
        <f t="shared" ref="CE323" si="33">SUM(AT323:CD323)</f>
        <v>4143.49</v>
      </c>
      <c r="CF323" s="73">
        <f t="shared" si="30"/>
        <v>0</v>
      </c>
      <c r="CG323" s="75">
        <f t="shared" si="27"/>
        <v>6382</v>
      </c>
      <c r="CH323" s="75" t="str">
        <f t="shared" si="27"/>
        <v>مركز مؤتمرات</v>
      </c>
    </row>
    <row r="324" spans="3:94" s="68" customFormat="1" ht="18.75" x14ac:dyDescent="0.25">
      <c r="C324" s="83"/>
      <c r="D324" s="84"/>
      <c r="E324" s="104"/>
      <c r="F324" s="68" t="s">
        <v>2334</v>
      </c>
      <c r="H324" s="68">
        <f>SUM(H318:H323)</f>
        <v>38703.57</v>
      </c>
      <c r="I324" s="68">
        <f t="shared" ref="I324:BT324" si="34">SUM(I318:I323)</f>
        <v>0</v>
      </c>
      <c r="J324" s="68">
        <f t="shared" si="34"/>
        <v>0</v>
      </c>
      <c r="K324" s="68">
        <f t="shared" si="34"/>
        <v>0</v>
      </c>
      <c r="L324" s="68">
        <f t="shared" si="34"/>
        <v>0</v>
      </c>
      <c r="M324" s="68">
        <f t="shared" si="34"/>
        <v>0</v>
      </c>
      <c r="N324" s="68">
        <f t="shared" si="34"/>
        <v>0</v>
      </c>
      <c r="O324" s="68">
        <f t="shared" si="34"/>
        <v>0</v>
      </c>
      <c r="P324" s="68">
        <f t="shared" si="34"/>
        <v>0</v>
      </c>
      <c r="Q324" s="68">
        <f t="shared" si="34"/>
        <v>0</v>
      </c>
      <c r="R324" s="68">
        <f t="shared" si="34"/>
        <v>0</v>
      </c>
      <c r="S324" s="68">
        <f t="shared" si="34"/>
        <v>0</v>
      </c>
      <c r="T324" s="68">
        <f t="shared" si="34"/>
        <v>0</v>
      </c>
      <c r="U324" s="68">
        <f t="shared" si="34"/>
        <v>0</v>
      </c>
      <c r="V324" s="68">
        <f t="shared" si="34"/>
        <v>0</v>
      </c>
      <c r="W324" s="68">
        <f t="shared" si="34"/>
        <v>0</v>
      </c>
      <c r="X324" s="68">
        <f t="shared" si="34"/>
        <v>0</v>
      </c>
      <c r="Y324" s="68">
        <f t="shared" si="34"/>
        <v>0</v>
      </c>
      <c r="Z324" s="68">
        <f t="shared" si="34"/>
        <v>0</v>
      </c>
      <c r="AA324" s="68">
        <f t="shared" si="34"/>
        <v>0</v>
      </c>
      <c r="AB324" s="68">
        <f t="shared" si="34"/>
        <v>0</v>
      </c>
      <c r="AC324" s="68">
        <f t="shared" si="34"/>
        <v>0</v>
      </c>
      <c r="AD324" s="68">
        <f t="shared" si="34"/>
        <v>0</v>
      </c>
      <c r="AE324" s="68">
        <f t="shared" si="34"/>
        <v>0</v>
      </c>
      <c r="AF324" s="68">
        <f t="shared" si="34"/>
        <v>0</v>
      </c>
      <c r="AG324" s="68">
        <f t="shared" si="34"/>
        <v>0</v>
      </c>
      <c r="AH324" s="68">
        <f t="shared" si="34"/>
        <v>0</v>
      </c>
      <c r="AI324" s="68">
        <f t="shared" si="34"/>
        <v>0</v>
      </c>
      <c r="AJ324" s="68">
        <f t="shared" si="34"/>
        <v>0</v>
      </c>
      <c r="AK324" s="68">
        <f t="shared" si="34"/>
        <v>0</v>
      </c>
      <c r="AL324" s="68">
        <f t="shared" si="34"/>
        <v>0</v>
      </c>
      <c r="AM324" s="68">
        <f t="shared" si="34"/>
        <v>0</v>
      </c>
      <c r="AN324" s="68">
        <f t="shared" si="34"/>
        <v>0</v>
      </c>
      <c r="AO324" s="68">
        <f t="shared" si="34"/>
        <v>0</v>
      </c>
      <c r="AP324" s="68">
        <f t="shared" si="34"/>
        <v>0</v>
      </c>
      <c r="AQ324" s="68">
        <f t="shared" si="34"/>
        <v>0</v>
      </c>
      <c r="AR324" s="68">
        <f t="shared" si="34"/>
        <v>0</v>
      </c>
      <c r="AS324" s="68">
        <f t="shared" si="34"/>
        <v>38703.57</v>
      </c>
      <c r="AT324" s="68">
        <f t="shared" si="34"/>
        <v>27564.03</v>
      </c>
      <c r="AU324" s="68">
        <f t="shared" si="34"/>
        <v>3638.2</v>
      </c>
      <c r="AV324" s="68">
        <f t="shared" si="34"/>
        <v>7501.3400000000011</v>
      </c>
      <c r="AW324" s="68">
        <f t="shared" si="34"/>
        <v>0</v>
      </c>
      <c r="AX324" s="68">
        <f t="shared" si="34"/>
        <v>0</v>
      </c>
      <c r="AY324" s="68">
        <f t="shared" si="34"/>
        <v>0</v>
      </c>
      <c r="AZ324" s="68">
        <f t="shared" si="34"/>
        <v>0</v>
      </c>
      <c r="BA324" s="68">
        <f t="shared" si="34"/>
        <v>0</v>
      </c>
      <c r="BB324" s="68">
        <f t="shared" si="34"/>
        <v>0</v>
      </c>
      <c r="BC324" s="68">
        <f t="shared" si="34"/>
        <v>0</v>
      </c>
      <c r="BD324" s="68">
        <f t="shared" si="34"/>
        <v>0</v>
      </c>
      <c r="BE324" s="68">
        <f t="shared" si="34"/>
        <v>0</v>
      </c>
      <c r="BF324" s="68">
        <f t="shared" si="34"/>
        <v>0</v>
      </c>
      <c r="BG324" s="68">
        <f t="shared" si="34"/>
        <v>0</v>
      </c>
      <c r="BH324" s="68">
        <f t="shared" si="34"/>
        <v>0</v>
      </c>
      <c r="BI324" s="68">
        <f t="shared" si="34"/>
        <v>0</v>
      </c>
      <c r="BJ324" s="68">
        <f t="shared" si="34"/>
        <v>0</v>
      </c>
      <c r="BK324" s="68">
        <f t="shared" si="34"/>
        <v>0</v>
      </c>
      <c r="BL324" s="68">
        <f t="shared" si="34"/>
        <v>0</v>
      </c>
      <c r="BM324" s="68">
        <f t="shared" si="34"/>
        <v>0</v>
      </c>
      <c r="BN324" s="68">
        <f t="shared" si="34"/>
        <v>0</v>
      </c>
      <c r="BO324" s="68">
        <f t="shared" si="34"/>
        <v>0</v>
      </c>
      <c r="BP324" s="68">
        <f t="shared" si="34"/>
        <v>0</v>
      </c>
      <c r="BQ324" s="68">
        <f t="shared" si="34"/>
        <v>0</v>
      </c>
      <c r="BR324" s="68">
        <f t="shared" si="34"/>
        <v>0</v>
      </c>
      <c r="BS324" s="68">
        <f t="shared" si="34"/>
        <v>0</v>
      </c>
      <c r="BT324" s="68">
        <f t="shared" si="34"/>
        <v>0</v>
      </c>
      <c r="BU324" s="68">
        <f t="shared" ref="BU324:CP324" si="35">SUM(BU318:BU323)</f>
        <v>0</v>
      </c>
      <c r="BV324" s="68">
        <f t="shared" si="35"/>
        <v>0</v>
      </c>
      <c r="BW324" s="68">
        <f t="shared" si="35"/>
        <v>0</v>
      </c>
      <c r="BX324" s="68">
        <f t="shared" si="35"/>
        <v>0</v>
      </c>
      <c r="BY324" s="68">
        <f t="shared" si="35"/>
        <v>0</v>
      </c>
      <c r="BZ324" s="68">
        <f t="shared" si="35"/>
        <v>0</v>
      </c>
      <c r="CA324" s="68">
        <f t="shared" si="35"/>
        <v>0</v>
      </c>
      <c r="CB324" s="68">
        <f t="shared" si="35"/>
        <v>0</v>
      </c>
      <c r="CC324" s="68">
        <f t="shared" si="35"/>
        <v>0</v>
      </c>
      <c r="CD324" s="68">
        <f t="shared" si="35"/>
        <v>0</v>
      </c>
      <c r="CE324" s="68">
        <f t="shared" si="35"/>
        <v>38703.57</v>
      </c>
      <c r="CF324" s="68">
        <f t="shared" si="35"/>
        <v>0</v>
      </c>
      <c r="CH324" s="67"/>
      <c r="CI324" s="68">
        <f t="shared" si="35"/>
        <v>0</v>
      </c>
      <c r="CJ324" s="68">
        <f t="shared" si="35"/>
        <v>0</v>
      </c>
      <c r="CK324" s="68">
        <f t="shared" si="35"/>
        <v>0</v>
      </c>
      <c r="CL324" s="68">
        <f t="shared" si="35"/>
        <v>0</v>
      </c>
      <c r="CM324" s="68">
        <f t="shared" si="35"/>
        <v>0</v>
      </c>
      <c r="CN324" s="68">
        <f t="shared" si="35"/>
        <v>0</v>
      </c>
      <c r="CO324" s="68">
        <f t="shared" si="35"/>
        <v>0</v>
      </c>
      <c r="CP324" s="68">
        <f t="shared" si="35"/>
        <v>0</v>
      </c>
    </row>
    <row r="325" spans="3:94" ht="18.75" x14ac:dyDescent="0.25">
      <c r="C325" s="82">
        <v>11044</v>
      </c>
      <c r="D325" s="70">
        <v>6383</v>
      </c>
      <c r="E325" s="103" t="s">
        <v>78</v>
      </c>
      <c r="F325" s="69" t="s">
        <v>452</v>
      </c>
      <c r="I325" s="69">
        <v>460</v>
      </c>
      <c r="U325" s="69"/>
      <c r="V325" s="69"/>
      <c r="AS325" s="94">
        <f t="shared" si="28"/>
        <v>460</v>
      </c>
      <c r="AT325" s="69">
        <v>460</v>
      </c>
      <c r="AU325" s="69"/>
      <c r="BD325" s="69"/>
      <c r="BE325" s="69"/>
      <c r="CE325" s="94">
        <f t="shared" si="29"/>
        <v>460</v>
      </c>
      <c r="CF325" s="73">
        <f t="shared" si="30"/>
        <v>0</v>
      </c>
      <c r="CG325" s="75">
        <f t="shared" si="27"/>
        <v>6383</v>
      </c>
      <c r="CH325" s="75" t="str">
        <f t="shared" si="27"/>
        <v>برنامج دولى</v>
      </c>
    </row>
    <row r="326" spans="3:94" ht="18.75" x14ac:dyDescent="0.25">
      <c r="C326" s="82">
        <v>11045</v>
      </c>
      <c r="D326" s="70">
        <v>6384</v>
      </c>
      <c r="E326" s="103" t="s">
        <v>78</v>
      </c>
      <c r="F326" s="69" t="s">
        <v>2335</v>
      </c>
      <c r="I326" s="69">
        <v>60</v>
      </c>
      <c r="U326" s="69"/>
      <c r="V326" s="69"/>
      <c r="AS326" s="94">
        <f t="shared" si="28"/>
        <v>60</v>
      </c>
      <c r="AT326" s="69">
        <v>60</v>
      </c>
      <c r="AU326" s="69"/>
      <c r="BD326" s="69"/>
      <c r="BE326" s="69"/>
      <c r="CE326" s="94">
        <f t="shared" si="29"/>
        <v>60</v>
      </c>
      <c r="CF326" s="73">
        <f t="shared" si="30"/>
        <v>0</v>
      </c>
      <c r="CG326" s="75">
        <f t="shared" si="27"/>
        <v>6384</v>
      </c>
      <c r="CH326" s="75" t="str">
        <f t="shared" si="27"/>
        <v>برنامج دولى</v>
      </c>
    </row>
    <row r="327" spans="3:94" ht="36" x14ac:dyDescent="0.25">
      <c r="C327" s="82">
        <v>10105</v>
      </c>
      <c r="D327" s="70">
        <v>6385</v>
      </c>
      <c r="E327" s="103" t="s">
        <v>78</v>
      </c>
      <c r="F327" s="77" t="s">
        <v>2336</v>
      </c>
      <c r="I327" s="69">
        <v>890000</v>
      </c>
      <c r="U327" s="69"/>
      <c r="V327" s="69"/>
      <c r="AS327" s="94">
        <f t="shared" si="28"/>
        <v>890000</v>
      </c>
      <c r="AT327" s="69">
        <v>862934.95</v>
      </c>
      <c r="AU327" s="69">
        <v>19173</v>
      </c>
      <c r="AW327" s="69">
        <v>5</v>
      </c>
      <c r="BD327" s="69"/>
      <c r="BE327" s="69"/>
      <c r="BG327" s="69">
        <v>7807.05</v>
      </c>
      <c r="BH327" s="69">
        <v>80</v>
      </c>
      <c r="CE327" s="94">
        <f t="shared" si="29"/>
        <v>890000</v>
      </c>
      <c r="CF327" s="73">
        <f t="shared" si="30"/>
        <v>0</v>
      </c>
      <c r="CG327" s="75">
        <f t="shared" si="27"/>
        <v>6385</v>
      </c>
      <c r="CH327" s="75" t="str">
        <f t="shared" si="27"/>
        <v>برنامج دولى</v>
      </c>
    </row>
    <row r="328" spans="3:94" ht="18.75" x14ac:dyDescent="0.25">
      <c r="C328" s="82">
        <v>11047</v>
      </c>
      <c r="D328" s="70">
        <v>6386</v>
      </c>
      <c r="E328" s="103" t="s">
        <v>78</v>
      </c>
      <c r="F328" s="77" t="s">
        <v>2337</v>
      </c>
      <c r="I328" s="69">
        <v>1125</v>
      </c>
      <c r="U328" s="69"/>
      <c r="V328" s="69"/>
      <c r="AS328" s="94">
        <f t="shared" si="28"/>
        <v>1125</v>
      </c>
      <c r="AT328" s="69">
        <v>1025.2</v>
      </c>
      <c r="AU328" s="69">
        <v>55.3</v>
      </c>
      <c r="BD328" s="69"/>
      <c r="BE328" s="69"/>
      <c r="BG328" s="69">
        <v>29.6</v>
      </c>
      <c r="BH328" s="69">
        <v>6</v>
      </c>
      <c r="BI328" s="69">
        <f>4.45*2</f>
        <v>8.9</v>
      </c>
      <c r="CE328" s="94">
        <f t="shared" si="29"/>
        <v>1125</v>
      </c>
      <c r="CF328" s="73">
        <f t="shared" si="30"/>
        <v>0</v>
      </c>
      <c r="CG328" s="75">
        <f t="shared" si="27"/>
        <v>6386</v>
      </c>
      <c r="CH328" s="75" t="str">
        <f t="shared" si="27"/>
        <v>برنامج دولى</v>
      </c>
    </row>
    <row r="329" spans="3:94" ht="36" x14ac:dyDescent="0.25">
      <c r="C329" s="82">
        <v>11048</v>
      </c>
      <c r="D329" s="70">
        <v>6387</v>
      </c>
      <c r="E329" s="103" t="s">
        <v>78</v>
      </c>
      <c r="F329" s="77" t="s">
        <v>2338</v>
      </c>
      <c r="I329" s="69">
        <v>1140</v>
      </c>
      <c r="U329" s="69"/>
      <c r="V329" s="69"/>
      <c r="AS329" s="94">
        <f t="shared" si="28"/>
        <v>1140</v>
      </c>
      <c r="AT329" s="69">
        <v>1039.0999999999999</v>
      </c>
      <c r="AU329" s="69">
        <v>55.9</v>
      </c>
      <c r="BD329" s="69"/>
      <c r="BE329" s="69"/>
      <c r="BG329" s="69">
        <v>30</v>
      </c>
      <c r="BH329" s="69">
        <v>6</v>
      </c>
      <c r="BI329" s="69">
        <f>4.5*2</f>
        <v>9</v>
      </c>
      <c r="CE329" s="94">
        <f t="shared" si="29"/>
        <v>1140</v>
      </c>
      <c r="CF329" s="73">
        <f t="shared" si="30"/>
        <v>0</v>
      </c>
      <c r="CG329" s="75">
        <f t="shared" si="27"/>
        <v>6387</v>
      </c>
      <c r="CH329" s="75" t="str">
        <f t="shared" si="27"/>
        <v>برنامج دولى</v>
      </c>
    </row>
    <row r="330" spans="3:94" ht="18.75" x14ac:dyDescent="0.25">
      <c r="C330" s="82">
        <v>10982</v>
      </c>
      <c r="D330" s="70">
        <v>6388</v>
      </c>
      <c r="E330" s="103" t="s">
        <v>78</v>
      </c>
      <c r="F330" s="69" t="s">
        <v>2339</v>
      </c>
      <c r="I330" s="69">
        <v>5000</v>
      </c>
      <c r="P330" s="69">
        <v>5000</v>
      </c>
      <c r="U330" s="69"/>
      <c r="V330" s="69"/>
      <c r="AS330" s="94">
        <f t="shared" si="28"/>
        <v>10000</v>
      </c>
      <c r="AT330" s="69">
        <v>5000</v>
      </c>
      <c r="AU330" s="69"/>
      <c r="BD330" s="69"/>
      <c r="BE330" s="69"/>
      <c r="BO330" s="69">
        <v>5000</v>
      </c>
      <c r="CE330" s="94">
        <f t="shared" si="29"/>
        <v>10000</v>
      </c>
      <c r="CF330" s="73">
        <f t="shared" si="30"/>
        <v>0</v>
      </c>
      <c r="CG330" s="75">
        <f t="shared" si="27"/>
        <v>6388</v>
      </c>
      <c r="CH330" s="75" t="str">
        <f t="shared" si="27"/>
        <v>برنامج دولى</v>
      </c>
    </row>
    <row r="331" spans="3:94" ht="18.75" x14ac:dyDescent="0.25">
      <c r="C331" s="82">
        <v>10979</v>
      </c>
      <c r="D331" s="70">
        <v>6389</v>
      </c>
      <c r="E331" s="103" t="s">
        <v>78</v>
      </c>
      <c r="F331" s="69" t="s">
        <v>2340</v>
      </c>
      <c r="I331" s="69">
        <v>10000</v>
      </c>
      <c r="P331" s="69">
        <v>10000</v>
      </c>
      <c r="U331" s="69"/>
      <c r="V331" s="69"/>
      <c r="AS331" s="94">
        <f t="shared" si="28"/>
        <v>20000</v>
      </c>
      <c r="AT331" s="69">
        <v>10000</v>
      </c>
      <c r="AU331" s="69"/>
      <c r="BD331" s="69"/>
      <c r="BE331" s="69"/>
      <c r="BO331" s="69">
        <v>10000</v>
      </c>
      <c r="CE331" s="94">
        <f t="shared" si="29"/>
        <v>20000</v>
      </c>
      <c r="CF331" s="73">
        <f t="shared" si="30"/>
        <v>0</v>
      </c>
      <c r="CG331" s="75">
        <f t="shared" si="27"/>
        <v>6389</v>
      </c>
      <c r="CH331" s="75" t="str">
        <f t="shared" si="27"/>
        <v>برنامج دولى</v>
      </c>
    </row>
    <row r="332" spans="3:94" ht="36" x14ac:dyDescent="0.25">
      <c r="C332" s="82">
        <v>11001</v>
      </c>
      <c r="D332" s="70">
        <v>6390</v>
      </c>
      <c r="E332" s="102" t="s">
        <v>128</v>
      </c>
      <c r="F332" s="77" t="s">
        <v>2341</v>
      </c>
      <c r="I332" s="69">
        <v>2250</v>
      </c>
      <c r="U332" s="69"/>
      <c r="V332" s="69"/>
      <c r="AS332" s="94">
        <f t="shared" si="28"/>
        <v>2250</v>
      </c>
      <c r="AT332" s="69">
        <v>2048.85</v>
      </c>
      <c r="AU332" s="69">
        <v>118.1</v>
      </c>
      <c r="BD332" s="69"/>
      <c r="BE332" s="69"/>
      <c r="BG332" s="69">
        <v>59.25</v>
      </c>
      <c r="BH332" s="69">
        <v>6</v>
      </c>
      <c r="BI332" s="69">
        <f>8.9*2</f>
        <v>17.8</v>
      </c>
      <c r="CE332" s="94">
        <f t="shared" si="29"/>
        <v>2250</v>
      </c>
      <c r="CF332" s="73">
        <f t="shared" si="30"/>
        <v>0</v>
      </c>
      <c r="CG332" s="75">
        <f t="shared" si="27"/>
        <v>6390</v>
      </c>
      <c r="CH332" s="75" t="str">
        <f t="shared" si="27"/>
        <v>مركز مؤتمرات</v>
      </c>
    </row>
    <row r="333" spans="3:94" ht="36" x14ac:dyDescent="0.25">
      <c r="C333" s="82">
        <v>11000</v>
      </c>
      <c r="D333" s="70">
        <v>6391</v>
      </c>
      <c r="E333" s="102" t="s">
        <v>128</v>
      </c>
      <c r="F333" s="77" t="s">
        <v>2341</v>
      </c>
      <c r="I333" s="69">
        <v>2700</v>
      </c>
      <c r="U333" s="69"/>
      <c r="V333" s="69"/>
      <c r="AS333" s="94">
        <f t="shared" si="28"/>
        <v>2700</v>
      </c>
      <c r="AT333" s="69">
        <v>2459.75</v>
      </c>
      <c r="AU333" s="69">
        <v>141.9</v>
      </c>
      <c r="BD333" s="69"/>
      <c r="BE333" s="69"/>
      <c r="BG333" s="69">
        <v>71.05</v>
      </c>
      <c r="BH333" s="69">
        <v>6</v>
      </c>
      <c r="BI333" s="69">
        <f>10.65*2</f>
        <v>21.3</v>
      </c>
      <c r="CE333" s="94">
        <f t="shared" si="29"/>
        <v>2700.0000000000005</v>
      </c>
      <c r="CF333" s="73">
        <f t="shared" si="30"/>
        <v>0</v>
      </c>
      <c r="CG333" s="75">
        <f t="shared" si="27"/>
        <v>6391</v>
      </c>
      <c r="CH333" s="75" t="str">
        <f t="shared" si="27"/>
        <v>مركز مؤتمرات</v>
      </c>
    </row>
    <row r="334" spans="3:94" ht="36" x14ac:dyDescent="0.25">
      <c r="C334" s="82">
        <v>11004</v>
      </c>
      <c r="D334" s="70">
        <v>6392</v>
      </c>
      <c r="E334" s="102" t="s">
        <v>128</v>
      </c>
      <c r="F334" s="77" t="s">
        <v>2342</v>
      </c>
      <c r="I334" s="69">
        <v>11400</v>
      </c>
      <c r="U334" s="69"/>
      <c r="V334" s="69"/>
      <c r="AS334" s="94">
        <f t="shared" si="28"/>
        <v>11400</v>
      </c>
      <c r="AT334" s="69">
        <v>9682.2000000000007</v>
      </c>
      <c r="AU334" s="69">
        <v>672.8</v>
      </c>
      <c r="AW334" s="69">
        <v>5</v>
      </c>
      <c r="BD334" s="69"/>
      <c r="BE334" s="69"/>
      <c r="BG334" s="69">
        <v>300</v>
      </c>
      <c r="BH334" s="69">
        <v>80</v>
      </c>
      <c r="BI334" s="69">
        <f>45*2</f>
        <v>90</v>
      </c>
      <c r="BJ334" s="69">
        <v>570</v>
      </c>
      <c r="CE334" s="94">
        <f t="shared" si="29"/>
        <v>11400</v>
      </c>
      <c r="CF334" s="73">
        <f t="shared" si="30"/>
        <v>0</v>
      </c>
      <c r="CG334" s="75">
        <f t="shared" si="27"/>
        <v>6392</v>
      </c>
      <c r="CH334" s="75" t="str">
        <f t="shared" si="27"/>
        <v>مركز مؤتمرات</v>
      </c>
    </row>
    <row r="335" spans="3:94" ht="36" x14ac:dyDescent="0.25">
      <c r="C335" s="82">
        <v>9367</v>
      </c>
      <c r="D335" s="70">
        <v>6393</v>
      </c>
      <c r="E335" s="103" t="s">
        <v>729</v>
      </c>
      <c r="F335" s="77" t="s">
        <v>2343</v>
      </c>
      <c r="L335" s="69">
        <v>159600</v>
      </c>
      <c r="M335" s="69">
        <v>159600</v>
      </c>
      <c r="N335" s="69">
        <v>159600</v>
      </c>
      <c r="U335" s="69"/>
      <c r="V335" s="69"/>
      <c r="AS335" s="94">
        <f t="shared" si="28"/>
        <v>478800</v>
      </c>
      <c r="AT335" s="69">
        <v>145146</v>
      </c>
      <c r="AU335" s="69">
        <f>940+2820+15</f>
        <v>3775</v>
      </c>
      <c r="AW335" s="69">
        <v>5</v>
      </c>
      <c r="BD335" s="69"/>
      <c r="BE335" s="69"/>
      <c r="BG335" s="69">
        <v>1400</v>
      </c>
      <c r="BH335" s="69">
        <v>34</v>
      </c>
      <c r="BI335" s="69">
        <f>630*2</f>
        <v>1260</v>
      </c>
      <c r="BK335" s="69">
        <v>7980</v>
      </c>
      <c r="BL335" s="69">
        <v>159600</v>
      </c>
      <c r="BM335" s="69">
        <v>159600</v>
      </c>
      <c r="CE335" s="94">
        <f t="shared" si="29"/>
        <v>478800</v>
      </c>
      <c r="CF335" s="73">
        <f t="shared" si="30"/>
        <v>0</v>
      </c>
      <c r="CG335" s="75">
        <f t="shared" si="27"/>
        <v>6393</v>
      </c>
      <c r="CH335" s="75" t="str">
        <f t="shared" si="27"/>
        <v>خدمات صيدلة</v>
      </c>
    </row>
    <row r="336" spans="3:94" ht="18.75" x14ac:dyDescent="0.25">
      <c r="C336" s="82">
        <v>9366</v>
      </c>
      <c r="D336" s="70">
        <v>6394</v>
      </c>
      <c r="E336" s="103" t="s">
        <v>729</v>
      </c>
      <c r="F336" s="69" t="s">
        <v>2344</v>
      </c>
      <c r="L336" s="69">
        <v>28500</v>
      </c>
      <c r="M336" s="69">
        <v>28500</v>
      </c>
      <c r="N336" s="69">
        <v>28500</v>
      </c>
      <c r="U336" s="69"/>
      <c r="V336" s="69"/>
      <c r="AS336" s="94">
        <f t="shared" si="28"/>
        <v>85500</v>
      </c>
      <c r="AT336" s="69">
        <v>25546</v>
      </c>
      <c r="AU336" s="69">
        <f>250+750+15</f>
        <v>1015</v>
      </c>
      <c r="AW336" s="69">
        <v>5</v>
      </c>
      <c r="BD336" s="69"/>
      <c r="BE336" s="69"/>
      <c r="BG336" s="69">
        <v>250</v>
      </c>
      <c r="BH336" s="69">
        <v>34</v>
      </c>
      <c r="BI336" s="69">
        <f>112.5*2</f>
        <v>225</v>
      </c>
      <c r="BK336" s="69">
        <v>1425</v>
      </c>
      <c r="BL336" s="69">
        <v>28500</v>
      </c>
      <c r="BM336" s="69">
        <v>28500</v>
      </c>
      <c r="CE336" s="94">
        <f t="shared" si="29"/>
        <v>85500</v>
      </c>
      <c r="CF336" s="73">
        <f t="shared" si="30"/>
        <v>0</v>
      </c>
      <c r="CG336" s="75">
        <f t="shared" ref="CG336:CH351" si="36">+D336</f>
        <v>6394</v>
      </c>
      <c r="CH336" s="75" t="str">
        <f t="shared" si="36"/>
        <v>خدمات صيدلة</v>
      </c>
    </row>
    <row r="337" spans="3:86" ht="36" x14ac:dyDescent="0.25">
      <c r="C337" s="82">
        <v>10945</v>
      </c>
      <c r="D337" s="70">
        <v>6395</v>
      </c>
      <c r="E337" s="103" t="s">
        <v>137</v>
      </c>
      <c r="F337" s="77" t="s">
        <v>2345</v>
      </c>
      <c r="H337" s="69">
        <v>460.02</v>
      </c>
      <c r="U337" s="69"/>
      <c r="V337" s="69"/>
      <c r="AS337" s="94">
        <f t="shared" si="28"/>
        <v>460.02</v>
      </c>
      <c r="AT337" s="69">
        <v>288.39</v>
      </c>
      <c r="AU337" s="69">
        <v>41.19</v>
      </c>
      <c r="AV337" s="69">
        <v>110.82</v>
      </c>
      <c r="AW337" s="69">
        <v>19.62</v>
      </c>
      <c r="BD337" s="69"/>
      <c r="BE337" s="69"/>
      <c r="CE337" s="94">
        <f t="shared" si="29"/>
        <v>460.02</v>
      </c>
      <c r="CF337" s="73">
        <f t="shared" si="30"/>
        <v>0</v>
      </c>
      <c r="CG337" s="75">
        <f t="shared" si="36"/>
        <v>6395</v>
      </c>
      <c r="CH337" s="75" t="str">
        <f t="shared" si="36"/>
        <v xml:space="preserve">خدمة عامة </v>
      </c>
    </row>
    <row r="338" spans="3:86" ht="36" x14ac:dyDescent="0.25">
      <c r="C338" s="82">
        <v>10944</v>
      </c>
      <c r="D338" s="70">
        <v>6396</v>
      </c>
      <c r="E338" s="103" t="s">
        <v>137</v>
      </c>
      <c r="F338" s="77" t="s">
        <v>2345</v>
      </c>
      <c r="H338" s="69">
        <v>7827.77</v>
      </c>
      <c r="U338" s="69"/>
      <c r="V338" s="69"/>
      <c r="AS338" s="94">
        <f t="shared" si="28"/>
        <v>7827.77</v>
      </c>
      <c r="AT338" s="69">
        <v>6044.31</v>
      </c>
      <c r="AU338" s="69">
        <v>796.58</v>
      </c>
      <c r="AV338" s="69">
        <v>614.24</v>
      </c>
      <c r="AW338" s="69">
        <v>372.64</v>
      </c>
      <c r="BD338" s="69"/>
      <c r="BE338" s="69"/>
      <c r="CE338" s="94">
        <f t="shared" si="29"/>
        <v>7827.77</v>
      </c>
      <c r="CF338" s="73">
        <f t="shared" si="30"/>
        <v>0</v>
      </c>
      <c r="CG338" s="75">
        <f t="shared" si="36"/>
        <v>6396</v>
      </c>
      <c r="CH338" s="75" t="str">
        <f t="shared" si="36"/>
        <v xml:space="preserve">خدمة عامة </v>
      </c>
    </row>
    <row r="339" spans="3:86" x14ac:dyDescent="0.25">
      <c r="D339" s="70">
        <v>6397</v>
      </c>
      <c r="E339" s="107" t="s">
        <v>1431</v>
      </c>
      <c r="F339" s="69" t="s">
        <v>899</v>
      </c>
      <c r="AT339" s="69">
        <v>0</v>
      </c>
      <c r="CH339" s="75" t="str">
        <f t="shared" si="36"/>
        <v>لاب فقط</v>
      </c>
    </row>
    <row r="340" spans="3:86" ht="18.75" x14ac:dyDescent="0.25">
      <c r="C340" s="82">
        <v>11409</v>
      </c>
      <c r="D340" s="70">
        <v>6398</v>
      </c>
      <c r="E340" s="103" t="s">
        <v>78</v>
      </c>
      <c r="F340" s="69" t="s">
        <v>2346</v>
      </c>
      <c r="U340" s="69">
        <v>23015.47</v>
      </c>
      <c r="V340" s="69"/>
      <c r="AS340" s="94">
        <f t="shared" si="28"/>
        <v>23015.47</v>
      </c>
      <c r="AT340" s="69">
        <v>23015.47</v>
      </c>
      <c r="AU340" s="69"/>
      <c r="BD340" s="69"/>
      <c r="BE340" s="69"/>
      <c r="CE340" s="94">
        <f t="shared" ref="CE340:CE400" si="37">SUM(AT340:CD340)</f>
        <v>23015.47</v>
      </c>
      <c r="CF340" s="73">
        <f t="shared" ref="CF340:CF400" si="38">+CE340-AS340</f>
        <v>0</v>
      </c>
      <c r="CG340" s="75">
        <f t="shared" ref="CG340:CH400" si="39">+D340</f>
        <v>6398</v>
      </c>
      <c r="CH340" s="75" t="str">
        <f t="shared" si="36"/>
        <v>برنامج دولى</v>
      </c>
    </row>
    <row r="341" spans="3:86" ht="18.75" x14ac:dyDescent="0.25">
      <c r="C341" s="82">
        <v>11410</v>
      </c>
      <c r="D341" s="70">
        <v>6399</v>
      </c>
      <c r="E341" s="103" t="s">
        <v>78</v>
      </c>
      <c r="F341" s="69" t="s">
        <v>2347</v>
      </c>
      <c r="U341" s="69">
        <v>23882.2</v>
      </c>
      <c r="V341" s="69"/>
      <c r="AS341" s="94">
        <f t="shared" si="28"/>
        <v>23882.2</v>
      </c>
      <c r="AT341" s="69">
        <v>23882.2</v>
      </c>
      <c r="AU341" s="69"/>
      <c r="BD341" s="69"/>
      <c r="BE341" s="69"/>
      <c r="CE341" s="94">
        <f t="shared" si="37"/>
        <v>23882.2</v>
      </c>
      <c r="CF341" s="73">
        <f t="shared" si="38"/>
        <v>0</v>
      </c>
      <c r="CG341" s="75">
        <f t="shared" si="39"/>
        <v>6399</v>
      </c>
      <c r="CH341" s="75" t="str">
        <f t="shared" si="36"/>
        <v>برنامج دولى</v>
      </c>
    </row>
    <row r="342" spans="3:86" ht="18.75" x14ac:dyDescent="0.25">
      <c r="C342" s="82">
        <v>11411</v>
      </c>
      <c r="D342" s="70">
        <v>6400</v>
      </c>
      <c r="E342" s="103" t="s">
        <v>78</v>
      </c>
      <c r="F342" s="69" t="s">
        <v>2348</v>
      </c>
      <c r="U342" s="69"/>
      <c r="V342" s="69">
        <v>676</v>
      </c>
      <c r="AS342" s="94">
        <f t="shared" si="28"/>
        <v>676</v>
      </c>
      <c r="AT342" s="69">
        <v>676</v>
      </c>
      <c r="AU342" s="69"/>
      <c r="BD342" s="69"/>
      <c r="BE342" s="69"/>
      <c r="CE342" s="94">
        <f t="shared" si="37"/>
        <v>676</v>
      </c>
      <c r="CF342" s="73">
        <f t="shared" si="38"/>
        <v>0</v>
      </c>
      <c r="CG342" s="75">
        <f t="shared" si="39"/>
        <v>6400</v>
      </c>
      <c r="CH342" s="75" t="str">
        <f t="shared" si="36"/>
        <v>برنامج دولى</v>
      </c>
    </row>
    <row r="343" spans="3:86" ht="18.75" x14ac:dyDescent="0.25">
      <c r="C343" s="82">
        <v>11412</v>
      </c>
      <c r="D343" s="70">
        <v>6401</v>
      </c>
      <c r="E343" s="103" t="s">
        <v>130</v>
      </c>
      <c r="F343" s="69" t="str">
        <f>+F401</f>
        <v>كسب عمل ديسمبر</v>
      </c>
      <c r="U343" s="69">
        <v>935.75</v>
      </c>
      <c r="V343" s="69"/>
      <c r="AS343" s="94">
        <f t="shared" si="28"/>
        <v>935.75</v>
      </c>
      <c r="AT343" s="69">
        <v>935.75</v>
      </c>
      <c r="AU343" s="69"/>
      <c r="BD343" s="69"/>
      <c r="BE343" s="69"/>
      <c r="CE343" s="94">
        <f t="shared" si="37"/>
        <v>935.75</v>
      </c>
      <c r="CF343" s="73">
        <f t="shared" si="38"/>
        <v>0</v>
      </c>
      <c r="CG343" s="75">
        <f t="shared" si="39"/>
        <v>6401</v>
      </c>
      <c r="CH343" s="75" t="str">
        <f t="shared" si="36"/>
        <v>خ ت طب</v>
      </c>
    </row>
    <row r="344" spans="3:86" ht="18.75" x14ac:dyDescent="0.25">
      <c r="C344" s="82">
        <v>11413</v>
      </c>
      <c r="D344" s="70">
        <v>6402</v>
      </c>
      <c r="E344" s="103" t="s">
        <v>130</v>
      </c>
      <c r="F344" s="69" t="str">
        <f>+F340</f>
        <v>دمغه عاديه ديسمبر</v>
      </c>
      <c r="U344" s="69">
        <v>14.6</v>
      </c>
      <c r="V344" s="69"/>
      <c r="AS344" s="94">
        <f t="shared" si="28"/>
        <v>14.6</v>
      </c>
      <c r="AT344" s="69">
        <v>14.6</v>
      </c>
      <c r="AU344" s="69"/>
      <c r="BD344" s="69"/>
      <c r="BE344" s="69"/>
      <c r="CE344" s="94">
        <f t="shared" si="37"/>
        <v>14.6</v>
      </c>
      <c r="CF344" s="73">
        <f t="shared" si="38"/>
        <v>0</v>
      </c>
      <c r="CG344" s="75">
        <f t="shared" si="39"/>
        <v>6402</v>
      </c>
      <c r="CH344" s="75" t="str">
        <f t="shared" si="36"/>
        <v>خ ت طب</v>
      </c>
    </row>
    <row r="345" spans="3:86" ht="18.75" x14ac:dyDescent="0.25">
      <c r="C345" s="82">
        <v>11414</v>
      </c>
      <c r="D345" s="70">
        <v>6403</v>
      </c>
      <c r="E345" s="103" t="s">
        <v>130</v>
      </c>
      <c r="F345" s="69" t="str">
        <f>+F341</f>
        <v>ضرائب متنوعه ديسمبر</v>
      </c>
      <c r="U345" s="69">
        <v>3699.8</v>
      </c>
      <c r="V345" s="69"/>
      <c r="AS345" s="94">
        <f t="shared" si="28"/>
        <v>3699.8</v>
      </c>
      <c r="AT345" s="69">
        <v>3699.8</v>
      </c>
      <c r="AU345" s="69"/>
      <c r="BD345" s="69"/>
      <c r="BE345" s="69"/>
      <c r="CE345" s="94">
        <f t="shared" si="37"/>
        <v>3699.8</v>
      </c>
      <c r="CF345" s="73">
        <f t="shared" si="38"/>
        <v>0</v>
      </c>
      <c r="CG345" s="75">
        <f t="shared" si="39"/>
        <v>6403</v>
      </c>
      <c r="CH345" s="75" t="str">
        <f t="shared" si="36"/>
        <v>خ ت طب</v>
      </c>
    </row>
    <row r="346" spans="3:86" ht="18.75" x14ac:dyDescent="0.25">
      <c r="C346" s="82">
        <v>11415</v>
      </c>
      <c r="D346" s="70">
        <v>6404</v>
      </c>
      <c r="E346" s="103" t="s">
        <v>130</v>
      </c>
      <c r="F346" s="69" t="str">
        <f>+F342</f>
        <v>تنميه موارد ديسمبر</v>
      </c>
      <c r="U346" s="69"/>
      <c r="V346" s="69">
        <v>172</v>
      </c>
      <c r="AS346" s="94">
        <f t="shared" si="28"/>
        <v>172</v>
      </c>
      <c r="AT346" s="69">
        <v>172</v>
      </c>
      <c r="AU346" s="69"/>
      <c r="BD346" s="69"/>
      <c r="BE346" s="69"/>
      <c r="CE346" s="94">
        <f t="shared" si="37"/>
        <v>172</v>
      </c>
      <c r="CF346" s="73">
        <f t="shared" si="38"/>
        <v>0</v>
      </c>
      <c r="CG346" s="75">
        <f t="shared" si="39"/>
        <v>6404</v>
      </c>
      <c r="CH346" s="75" t="str">
        <f t="shared" si="36"/>
        <v>خ ت طب</v>
      </c>
    </row>
    <row r="347" spans="3:86" x14ac:dyDescent="0.25">
      <c r="C347" s="82">
        <v>11416</v>
      </c>
      <c r="D347" s="70">
        <v>6405</v>
      </c>
      <c r="E347" s="102" t="s">
        <v>128</v>
      </c>
      <c r="F347" s="69" t="str">
        <f>+F343</f>
        <v>كسب عمل ديسمبر</v>
      </c>
      <c r="U347" s="69">
        <v>14932</v>
      </c>
      <c r="V347" s="69"/>
      <c r="AS347" s="94">
        <f t="shared" si="28"/>
        <v>14932</v>
      </c>
      <c r="AT347" s="69">
        <v>14932</v>
      </c>
      <c r="AU347" s="69"/>
      <c r="BD347" s="69"/>
      <c r="BE347" s="69"/>
      <c r="CE347" s="94">
        <f t="shared" si="37"/>
        <v>14932</v>
      </c>
      <c r="CF347" s="73">
        <f t="shared" si="38"/>
        <v>0</v>
      </c>
      <c r="CG347" s="75">
        <f t="shared" si="39"/>
        <v>6405</v>
      </c>
      <c r="CH347" s="75" t="str">
        <f t="shared" si="36"/>
        <v>مركز مؤتمرات</v>
      </c>
    </row>
    <row r="348" spans="3:86" x14ac:dyDescent="0.25">
      <c r="C348" s="82">
        <v>11417</v>
      </c>
      <c r="D348" s="70">
        <v>6406</v>
      </c>
      <c r="E348" s="102" t="s">
        <v>128</v>
      </c>
      <c r="F348" s="69" t="str">
        <f>+F344</f>
        <v>دمغه عاديه ديسمبر</v>
      </c>
      <c r="U348" s="69">
        <v>2559.6799999999998</v>
      </c>
      <c r="V348" s="69"/>
      <c r="AS348" s="94">
        <f t="shared" si="28"/>
        <v>2559.6799999999998</v>
      </c>
      <c r="AT348" s="69">
        <v>2559.6799999999998</v>
      </c>
      <c r="AU348" s="69"/>
      <c r="BD348" s="69"/>
      <c r="BE348" s="69"/>
      <c r="CE348" s="94">
        <f t="shared" si="37"/>
        <v>2559.6799999999998</v>
      </c>
      <c r="CF348" s="73">
        <f t="shared" si="38"/>
        <v>0</v>
      </c>
      <c r="CG348" s="75">
        <f t="shared" si="39"/>
        <v>6406</v>
      </c>
      <c r="CH348" s="75" t="str">
        <f t="shared" si="36"/>
        <v>مركز مؤتمرات</v>
      </c>
    </row>
    <row r="349" spans="3:86" ht="18.75" x14ac:dyDescent="0.25">
      <c r="C349" s="82">
        <v>11107</v>
      </c>
      <c r="D349" s="70">
        <v>6407</v>
      </c>
      <c r="E349" s="103" t="s">
        <v>121</v>
      </c>
      <c r="F349" s="69" t="str">
        <f>+F347</f>
        <v>كسب عمل ديسمبر</v>
      </c>
      <c r="U349" s="69">
        <v>73197.23</v>
      </c>
      <c r="V349" s="69"/>
      <c r="AS349" s="94">
        <f t="shared" si="28"/>
        <v>73197.23</v>
      </c>
      <c r="AT349" s="69">
        <v>73197.23</v>
      </c>
      <c r="AU349" s="69"/>
      <c r="BD349" s="69"/>
      <c r="BE349" s="69"/>
      <c r="CE349" s="94">
        <f t="shared" si="37"/>
        <v>73197.23</v>
      </c>
      <c r="CF349" s="73">
        <f t="shared" si="38"/>
        <v>0</v>
      </c>
      <c r="CG349" s="75">
        <f t="shared" si="39"/>
        <v>6407</v>
      </c>
      <c r="CH349" s="75" t="str">
        <f t="shared" si="36"/>
        <v>ماليزى اسنان</v>
      </c>
    </row>
    <row r="350" spans="3:86" ht="18.75" x14ac:dyDescent="0.25">
      <c r="C350" s="82">
        <v>11108</v>
      </c>
      <c r="D350" s="70">
        <v>6408</v>
      </c>
      <c r="E350" s="103" t="s">
        <v>121</v>
      </c>
      <c r="F350" s="69" t="str">
        <f>+F348</f>
        <v>دمغه عاديه ديسمبر</v>
      </c>
      <c r="U350" s="69">
        <v>4765.4799999999996</v>
      </c>
      <c r="V350" s="69"/>
      <c r="AS350" s="94">
        <f t="shared" ref="AS350:AS1222" si="40">SUM(H350:AR350)</f>
        <v>4765.4799999999996</v>
      </c>
      <c r="AT350" s="69">
        <v>4765.4799999999996</v>
      </c>
      <c r="AU350" s="69"/>
      <c r="BD350" s="69"/>
      <c r="BE350" s="69"/>
      <c r="CE350" s="94">
        <f t="shared" si="37"/>
        <v>4765.4799999999996</v>
      </c>
      <c r="CF350" s="73">
        <f t="shared" si="38"/>
        <v>0</v>
      </c>
      <c r="CG350" s="75">
        <f t="shared" si="39"/>
        <v>6408</v>
      </c>
      <c r="CH350" s="75" t="str">
        <f t="shared" si="36"/>
        <v>ماليزى اسنان</v>
      </c>
    </row>
    <row r="351" spans="3:86" ht="18.75" x14ac:dyDescent="0.25">
      <c r="C351" s="82">
        <v>11109</v>
      </c>
      <c r="D351" s="70">
        <v>6409</v>
      </c>
      <c r="E351" s="103" t="s">
        <v>121</v>
      </c>
      <c r="F351" s="69" t="str">
        <f>+F345</f>
        <v>ضرائب متنوعه ديسمبر</v>
      </c>
      <c r="U351" s="69">
        <v>18012.2</v>
      </c>
      <c r="V351" s="69"/>
      <c r="AS351" s="94">
        <f t="shared" si="40"/>
        <v>18012.2</v>
      </c>
      <c r="AT351" s="69">
        <v>18012.2</v>
      </c>
      <c r="AU351" s="69"/>
      <c r="BD351" s="69"/>
      <c r="BE351" s="69"/>
      <c r="CE351" s="94">
        <f t="shared" si="37"/>
        <v>18012.2</v>
      </c>
      <c r="CF351" s="73">
        <f t="shared" si="38"/>
        <v>0</v>
      </c>
      <c r="CG351" s="75">
        <f t="shared" si="39"/>
        <v>6409</v>
      </c>
      <c r="CH351" s="75" t="str">
        <f t="shared" si="36"/>
        <v>ماليزى اسنان</v>
      </c>
    </row>
    <row r="352" spans="3:86" ht="18.75" x14ac:dyDescent="0.25">
      <c r="C352" s="82">
        <v>11110</v>
      </c>
      <c r="D352" s="70">
        <v>6410</v>
      </c>
      <c r="E352" s="103" t="s">
        <v>121</v>
      </c>
      <c r="F352" s="69" t="str">
        <f>+F346</f>
        <v>تنميه موارد ديسمبر</v>
      </c>
      <c r="U352" s="69"/>
      <c r="V352" s="69">
        <v>392</v>
      </c>
      <c r="AS352" s="94">
        <f t="shared" si="40"/>
        <v>392</v>
      </c>
      <c r="AT352" s="69">
        <v>392</v>
      </c>
      <c r="AU352" s="69"/>
      <c r="BD352" s="69"/>
      <c r="BE352" s="69"/>
      <c r="CE352" s="94">
        <f t="shared" si="37"/>
        <v>392</v>
      </c>
      <c r="CF352" s="73">
        <f t="shared" si="38"/>
        <v>0</v>
      </c>
      <c r="CG352" s="75">
        <f t="shared" si="39"/>
        <v>6410</v>
      </c>
      <c r="CH352" s="75" t="str">
        <f t="shared" si="39"/>
        <v>ماليزى اسنان</v>
      </c>
    </row>
    <row r="353" spans="3:86" ht="18.75" x14ac:dyDescent="0.25">
      <c r="C353" s="82">
        <v>11112</v>
      </c>
      <c r="D353" s="70">
        <v>6411</v>
      </c>
      <c r="E353" s="103" t="s">
        <v>123</v>
      </c>
      <c r="F353" s="69" t="str">
        <f>+F349</f>
        <v>كسب عمل ديسمبر</v>
      </c>
      <c r="U353" s="69">
        <v>19697.740000000002</v>
      </c>
      <c r="V353" s="69"/>
      <c r="AS353" s="94">
        <f t="shared" si="40"/>
        <v>19697.740000000002</v>
      </c>
      <c r="AT353" s="69">
        <v>19697.740000000002</v>
      </c>
      <c r="AU353" s="69"/>
      <c r="BD353" s="69"/>
      <c r="BE353" s="69"/>
      <c r="CE353" s="94">
        <f t="shared" si="37"/>
        <v>19697.740000000002</v>
      </c>
      <c r="CF353" s="73">
        <f t="shared" si="38"/>
        <v>0</v>
      </c>
      <c r="CG353" s="75">
        <f t="shared" si="39"/>
        <v>6411</v>
      </c>
      <c r="CH353" s="75" t="str">
        <f t="shared" si="39"/>
        <v>خ ت اسنان</v>
      </c>
    </row>
    <row r="354" spans="3:86" ht="18.75" x14ac:dyDescent="0.25">
      <c r="C354" s="82">
        <v>11113</v>
      </c>
      <c r="D354" s="70">
        <v>6412</v>
      </c>
      <c r="E354" s="103" t="s">
        <v>123</v>
      </c>
      <c r="F354" s="69" t="str">
        <f>+F350</f>
        <v>دمغه عاديه ديسمبر</v>
      </c>
      <c r="U354" s="69">
        <v>1005.65</v>
      </c>
      <c r="V354" s="69"/>
      <c r="AS354" s="94">
        <f t="shared" si="40"/>
        <v>1005.65</v>
      </c>
      <c r="AT354" s="69">
        <v>1005.65</v>
      </c>
      <c r="AU354" s="69"/>
      <c r="BD354" s="69"/>
      <c r="BE354" s="69"/>
      <c r="CE354" s="94">
        <f t="shared" si="37"/>
        <v>1005.65</v>
      </c>
      <c r="CF354" s="73">
        <f t="shared" si="38"/>
        <v>0</v>
      </c>
      <c r="CG354" s="75">
        <f t="shared" si="39"/>
        <v>6412</v>
      </c>
      <c r="CH354" s="75" t="str">
        <f t="shared" si="39"/>
        <v>خ ت اسنان</v>
      </c>
    </row>
    <row r="355" spans="3:86" ht="18.75" x14ac:dyDescent="0.25">
      <c r="C355" s="82">
        <v>11114</v>
      </c>
      <c r="D355" s="70">
        <v>6413</v>
      </c>
      <c r="E355" s="103" t="s">
        <v>122</v>
      </c>
      <c r="F355" s="69" t="str">
        <f>+F353</f>
        <v>كسب عمل ديسمبر</v>
      </c>
      <c r="U355" s="69">
        <v>7866.72</v>
      </c>
      <c r="V355" s="69"/>
      <c r="AS355" s="94">
        <f t="shared" si="40"/>
        <v>7866.72</v>
      </c>
      <c r="AT355" s="69">
        <v>7866.72</v>
      </c>
      <c r="AU355" s="69"/>
      <c r="BD355" s="69"/>
      <c r="BE355" s="69"/>
      <c r="CE355" s="94">
        <f t="shared" si="37"/>
        <v>7866.72</v>
      </c>
      <c r="CF355" s="73">
        <f t="shared" si="38"/>
        <v>0</v>
      </c>
      <c r="CG355" s="75">
        <f t="shared" si="39"/>
        <v>6413</v>
      </c>
      <c r="CH355" s="75" t="str">
        <f t="shared" si="39"/>
        <v>علاج تخصصى</v>
      </c>
    </row>
    <row r="356" spans="3:86" ht="18.75" x14ac:dyDescent="0.25">
      <c r="C356" s="82">
        <v>11115</v>
      </c>
      <c r="D356" s="70">
        <v>6414</v>
      </c>
      <c r="E356" s="103" t="s">
        <v>122</v>
      </c>
      <c r="F356" s="69" t="str">
        <f>+F354</f>
        <v>دمغه عاديه ديسمبر</v>
      </c>
      <c r="U356" s="69">
        <v>533.45000000000005</v>
      </c>
      <c r="V356" s="69"/>
      <c r="AS356" s="94">
        <f t="shared" si="40"/>
        <v>533.45000000000005</v>
      </c>
      <c r="AT356" s="69">
        <v>533.45000000000005</v>
      </c>
      <c r="AU356" s="69"/>
      <c r="BD356" s="69"/>
      <c r="BE356" s="69"/>
      <c r="CE356" s="94">
        <f t="shared" si="37"/>
        <v>533.45000000000005</v>
      </c>
      <c r="CF356" s="73">
        <f t="shared" si="38"/>
        <v>0</v>
      </c>
      <c r="CG356" s="75">
        <f t="shared" si="39"/>
        <v>6414</v>
      </c>
      <c r="CH356" s="75" t="str">
        <f t="shared" si="39"/>
        <v>علاج تخصصى</v>
      </c>
    </row>
    <row r="357" spans="3:86" ht="18.75" x14ac:dyDescent="0.25">
      <c r="C357" s="82">
        <v>11116</v>
      </c>
      <c r="D357" s="70">
        <v>6415</v>
      </c>
      <c r="E357" s="103" t="s">
        <v>137</v>
      </c>
      <c r="F357" s="69" t="str">
        <f>+F355</f>
        <v>كسب عمل ديسمبر</v>
      </c>
      <c r="U357" s="69">
        <v>15106.56</v>
      </c>
      <c r="V357" s="69"/>
      <c r="AS357" s="94">
        <f t="shared" si="40"/>
        <v>15106.56</v>
      </c>
      <c r="AT357" s="69">
        <v>15106.56</v>
      </c>
      <c r="AU357" s="69"/>
      <c r="BD357" s="69"/>
      <c r="BE357" s="69"/>
      <c r="CE357" s="94">
        <f t="shared" si="37"/>
        <v>15106.56</v>
      </c>
      <c r="CF357" s="73">
        <f t="shared" si="38"/>
        <v>0</v>
      </c>
      <c r="CG357" s="75">
        <f t="shared" si="39"/>
        <v>6415</v>
      </c>
      <c r="CH357" s="75" t="str">
        <f t="shared" si="39"/>
        <v xml:space="preserve">خدمة عامة </v>
      </c>
    </row>
    <row r="358" spans="3:86" ht="18.75" x14ac:dyDescent="0.25">
      <c r="C358" s="82">
        <v>11117</v>
      </c>
      <c r="D358" s="70">
        <v>6416</v>
      </c>
      <c r="E358" s="103" t="s">
        <v>137</v>
      </c>
      <c r="F358" s="69" t="str">
        <f>+F356</f>
        <v>دمغه عاديه ديسمبر</v>
      </c>
      <c r="U358" s="69">
        <v>919.95</v>
      </c>
      <c r="V358" s="69"/>
      <c r="AS358" s="94">
        <f t="shared" si="40"/>
        <v>919.95</v>
      </c>
      <c r="AT358" s="69">
        <v>919.95</v>
      </c>
      <c r="AU358" s="69"/>
      <c r="BD358" s="69"/>
      <c r="BE358" s="69"/>
      <c r="CE358" s="94">
        <f t="shared" si="37"/>
        <v>919.95</v>
      </c>
      <c r="CF358" s="73">
        <f t="shared" si="38"/>
        <v>0</v>
      </c>
      <c r="CG358" s="75">
        <f t="shared" si="39"/>
        <v>6416</v>
      </c>
      <c r="CH358" s="75" t="str">
        <f t="shared" si="39"/>
        <v xml:space="preserve">خدمة عامة </v>
      </c>
    </row>
    <row r="359" spans="3:86" ht="18.75" x14ac:dyDescent="0.25">
      <c r="C359" s="82">
        <v>11118</v>
      </c>
      <c r="D359" s="70">
        <v>6417</v>
      </c>
      <c r="E359" s="103" t="s">
        <v>137</v>
      </c>
      <c r="F359" s="69" t="str">
        <f>+F351</f>
        <v>ضرائب متنوعه ديسمبر</v>
      </c>
      <c r="U359" s="69">
        <v>4457.5</v>
      </c>
      <c r="V359" s="69"/>
      <c r="AS359" s="94">
        <f t="shared" si="40"/>
        <v>4457.5</v>
      </c>
      <c r="AT359" s="69">
        <v>4457.5</v>
      </c>
      <c r="AU359" s="69"/>
      <c r="BD359" s="69"/>
      <c r="BE359" s="69"/>
      <c r="CE359" s="94">
        <f t="shared" si="37"/>
        <v>4457.5</v>
      </c>
      <c r="CF359" s="73">
        <f t="shared" si="38"/>
        <v>0</v>
      </c>
      <c r="CG359" s="75">
        <f t="shared" si="39"/>
        <v>6417</v>
      </c>
      <c r="CH359" s="75" t="str">
        <f t="shared" si="39"/>
        <v xml:space="preserve">خدمة عامة </v>
      </c>
    </row>
    <row r="360" spans="3:86" ht="18.75" x14ac:dyDescent="0.25">
      <c r="C360" s="82">
        <v>11118</v>
      </c>
      <c r="D360" s="70">
        <v>6418</v>
      </c>
      <c r="E360" s="103" t="s">
        <v>137</v>
      </c>
      <c r="F360" s="69" t="str">
        <f>+F352</f>
        <v>تنميه موارد ديسمبر</v>
      </c>
      <c r="U360" s="69"/>
      <c r="V360" s="69">
        <v>334</v>
      </c>
      <c r="AS360" s="94">
        <f t="shared" si="40"/>
        <v>334</v>
      </c>
      <c r="AT360" s="69">
        <v>334</v>
      </c>
      <c r="AU360" s="69"/>
      <c r="BD360" s="69"/>
      <c r="BE360" s="69"/>
      <c r="CE360" s="94">
        <f t="shared" si="37"/>
        <v>334</v>
      </c>
      <c r="CF360" s="73">
        <f t="shared" si="38"/>
        <v>0</v>
      </c>
      <c r="CG360" s="75">
        <f t="shared" si="39"/>
        <v>6418</v>
      </c>
      <c r="CH360" s="75" t="str">
        <f t="shared" si="39"/>
        <v xml:space="preserve">خدمة عامة </v>
      </c>
    </row>
    <row r="361" spans="3:86" ht="18.75" x14ac:dyDescent="0.25">
      <c r="C361" s="82">
        <v>11120</v>
      </c>
      <c r="D361" s="70">
        <v>6419</v>
      </c>
      <c r="E361" s="103" t="s">
        <v>124</v>
      </c>
      <c r="F361" s="69" t="str">
        <f>+F357</f>
        <v>كسب عمل ديسمبر</v>
      </c>
      <c r="U361" s="69">
        <v>68.430000000000007</v>
      </c>
      <c r="V361" s="69"/>
      <c r="AS361" s="94">
        <f t="shared" si="40"/>
        <v>68.430000000000007</v>
      </c>
      <c r="AT361" s="69">
        <v>68.430000000000007</v>
      </c>
      <c r="AU361" s="69"/>
      <c r="BD361" s="69"/>
      <c r="BE361" s="69"/>
      <c r="CE361" s="94">
        <f t="shared" si="37"/>
        <v>68.430000000000007</v>
      </c>
      <c r="CF361" s="73">
        <f t="shared" si="38"/>
        <v>0</v>
      </c>
      <c r="CG361" s="75">
        <f t="shared" si="39"/>
        <v>6419</v>
      </c>
      <c r="CH361" s="75" t="str">
        <f t="shared" si="39"/>
        <v>تكافل اسنان</v>
      </c>
    </row>
    <row r="362" spans="3:86" ht="18.75" x14ac:dyDescent="0.25">
      <c r="C362" s="82">
        <v>11121</v>
      </c>
      <c r="D362" s="70">
        <v>6420</v>
      </c>
      <c r="E362" s="103" t="s">
        <v>124</v>
      </c>
      <c r="F362" s="69" t="str">
        <f>+F358</f>
        <v>دمغه عاديه ديسمبر</v>
      </c>
      <c r="U362" s="69">
        <v>2.2999999999999998</v>
      </c>
      <c r="V362" s="69"/>
      <c r="AS362" s="94">
        <f t="shared" si="40"/>
        <v>2.2999999999999998</v>
      </c>
      <c r="AT362" s="69">
        <v>2.2999999999999998</v>
      </c>
      <c r="AU362" s="69"/>
      <c r="BD362" s="69"/>
      <c r="BE362" s="69"/>
      <c r="CE362" s="94">
        <f t="shared" si="37"/>
        <v>2.2999999999999998</v>
      </c>
      <c r="CF362" s="73">
        <f t="shared" si="38"/>
        <v>0</v>
      </c>
      <c r="CG362" s="75">
        <f t="shared" si="39"/>
        <v>6420</v>
      </c>
      <c r="CH362" s="75" t="str">
        <f t="shared" si="39"/>
        <v>تكافل اسنان</v>
      </c>
    </row>
    <row r="363" spans="3:86" ht="18.75" x14ac:dyDescent="0.25">
      <c r="C363" s="82">
        <v>11286</v>
      </c>
      <c r="D363" s="70">
        <v>6421</v>
      </c>
      <c r="E363" s="103" t="s">
        <v>132</v>
      </c>
      <c r="F363" s="69" t="str">
        <f>+F361</f>
        <v>كسب عمل ديسمبر</v>
      </c>
      <c r="U363" s="69">
        <v>64291.34</v>
      </c>
      <c r="V363" s="69"/>
      <c r="AS363" s="94">
        <f t="shared" si="40"/>
        <v>64291.34</v>
      </c>
      <c r="AT363" s="69">
        <v>64291.34</v>
      </c>
      <c r="AU363" s="69"/>
      <c r="BD363" s="69"/>
      <c r="BE363" s="69"/>
      <c r="CE363" s="94">
        <f t="shared" si="37"/>
        <v>64291.34</v>
      </c>
      <c r="CF363" s="73">
        <f t="shared" si="38"/>
        <v>0</v>
      </c>
      <c r="CG363" s="75">
        <f t="shared" si="39"/>
        <v>6421</v>
      </c>
      <c r="CH363" s="75" t="str">
        <f t="shared" si="39"/>
        <v>صيدلة اكلينيكى</v>
      </c>
    </row>
    <row r="364" spans="3:86" ht="18.75" x14ac:dyDescent="0.25">
      <c r="C364" s="82">
        <v>11287</v>
      </c>
      <c r="D364" s="70">
        <v>6422</v>
      </c>
      <c r="E364" s="103" t="s">
        <v>132</v>
      </c>
      <c r="F364" s="69" t="str">
        <f>+F358</f>
        <v>دمغه عاديه ديسمبر</v>
      </c>
      <c r="U364" s="69">
        <v>4320.93</v>
      </c>
      <c r="V364" s="69"/>
      <c r="AS364" s="94">
        <f t="shared" si="40"/>
        <v>4320.93</v>
      </c>
      <c r="AT364" s="69">
        <v>4320.93</v>
      </c>
      <c r="AU364" s="69"/>
      <c r="BD364" s="69"/>
      <c r="BE364" s="69"/>
      <c r="CE364" s="94">
        <f t="shared" si="37"/>
        <v>4320.93</v>
      </c>
      <c r="CF364" s="73">
        <f t="shared" si="38"/>
        <v>0</v>
      </c>
      <c r="CG364" s="75">
        <f t="shared" si="39"/>
        <v>6422</v>
      </c>
      <c r="CH364" s="75" t="str">
        <f t="shared" si="39"/>
        <v>صيدلة اكلينيكى</v>
      </c>
    </row>
    <row r="365" spans="3:86" ht="18.75" x14ac:dyDescent="0.25">
      <c r="C365" s="82">
        <v>11288</v>
      </c>
      <c r="D365" s="70">
        <v>6423</v>
      </c>
      <c r="E365" s="103" t="s">
        <v>132</v>
      </c>
      <c r="F365" s="69" t="str">
        <f>+F359</f>
        <v>ضرائب متنوعه ديسمبر</v>
      </c>
      <c r="U365" s="69">
        <v>430.5</v>
      </c>
      <c r="V365" s="69"/>
      <c r="AS365" s="94">
        <f t="shared" si="40"/>
        <v>430.5</v>
      </c>
      <c r="AT365" s="69">
        <v>430.5</v>
      </c>
      <c r="AU365" s="69"/>
      <c r="BD365" s="69"/>
      <c r="BE365" s="69"/>
      <c r="CE365" s="94">
        <f t="shared" si="37"/>
        <v>430.5</v>
      </c>
      <c r="CF365" s="73">
        <f t="shared" si="38"/>
        <v>0</v>
      </c>
      <c r="CG365" s="75">
        <f t="shared" si="39"/>
        <v>6423</v>
      </c>
      <c r="CH365" s="75" t="str">
        <f t="shared" si="39"/>
        <v>صيدلة اكلينيكى</v>
      </c>
    </row>
    <row r="366" spans="3:86" ht="18.75" x14ac:dyDescent="0.25">
      <c r="C366" s="82">
        <v>11289</v>
      </c>
      <c r="D366" s="70">
        <v>6424</v>
      </c>
      <c r="E366" s="103" t="s">
        <v>132</v>
      </c>
      <c r="F366" s="69" t="str">
        <f>+F360</f>
        <v>تنميه موارد ديسمبر</v>
      </c>
      <c r="U366" s="69"/>
      <c r="V366" s="69">
        <v>70</v>
      </c>
      <c r="AS366" s="94">
        <f t="shared" si="40"/>
        <v>70</v>
      </c>
      <c r="AT366" s="69">
        <v>70</v>
      </c>
      <c r="AU366" s="69"/>
      <c r="BD366" s="69"/>
      <c r="BE366" s="69"/>
      <c r="CE366" s="94">
        <f t="shared" si="37"/>
        <v>70</v>
      </c>
      <c r="CF366" s="73">
        <f t="shared" si="38"/>
        <v>0</v>
      </c>
      <c r="CG366" s="75">
        <f t="shared" si="39"/>
        <v>6424</v>
      </c>
      <c r="CH366" s="75" t="str">
        <f t="shared" si="39"/>
        <v>صيدلة اكلينيكى</v>
      </c>
    </row>
    <row r="367" spans="3:86" ht="18.75" x14ac:dyDescent="0.25">
      <c r="C367" s="82">
        <v>11291</v>
      </c>
      <c r="D367" s="70">
        <v>6425</v>
      </c>
      <c r="E367" s="103" t="s">
        <v>1160</v>
      </c>
      <c r="F367" s="69" t="str">
        <f>+F364</f>
        <v>دمغه عاديه ديسمبر</v>
      </c>
      <c r="U367" s="69">
        <v>430.25</v>
      </c>
      <c r="V367" s="69"/>
      <c r="AS367" s="94">
        <f t="shared" si="40"/>
        <v>430.25</v>
      </c>
      <c r="AT367" s="69">
        <v>430.25</v>
      </c>
      <c r="AU367" s="69"/>
      <c r="BD367" s="69"/>
      <c r="BE367" s="69"/>
      <c r="CE367" s="94">
        <f t="shared" si="37"/>
        <v>430.25</v>
      </c>
      <c r="CF367" s="73">
        <f t="shared" si="38"/>
        <v>0</v>
      </c>
      <c r="CG367" s="75">
        <f t="shared" si="39"/>
        <v>6425</v>
      </c>
      <c r="CH367" s="75" t="str">
        <f t="shared" si="39"/>
        <v>خ ت صيدله</v>
      </c>
    </row>
    <row r="368" spans="3:86" ht="18.75" x14ac:dyDescent="0.25">
      <c r="C368" s="82">
        <v>11292</v>
      </c>
      <c r="D368" s="70">
        <v>6426</v>
      </c>
      <c r="E368" s="103" t="s">
        <v>1160</v>
      </c>
      <c r="F368" s="69" t="str">
        <f>+F365</f>
        <v>ضرائب متنوعه ديسمبر</v>
      </c>
      <c r="U368" s="69">
        <v>274.2</v>
      </c>
      <c r="V368" s="69"/>
      <c r="AS368" s="94">
        <f t="shared" si="40"/>
        <v>274.2</v>
      </c>
      <c r="AT368" s="69">
        <v>274.2</v>
      </c>
      <c r="AU368" s="69"/>
      <c r="BD368" s="69"/>
      <c r="BE368" s="69"/>
      <c r="CE368" s="94">
        <f t="shared" si="37"/>
        <v>274.2</v>
      </c>
      <c r="CF368" s="73">
        <f t="shared" si="38"/>
        <v>0</v>
      </c>
      <c r="CG368" s="75">
        <f t="shared" si="39"/>
        <v>6426</v>
      </c>
      <c r="CH368" s="75" t="str">
        <f t="shared" si="39"/>
        <v>خ ت صيدله</v>
      </c>
    </row>
    <row r="369" spans="3:86" ht="18.75" x14ac:dyDescent="0.25">
      <c r="C369" s="82">
        <v>11293</v>
      </c>
      <c r="D369" s="70">
        <v>6427</v>
      </c>
      <c r="E369" s="103" t="s">
        <v>1160</v>
      </c>
      <c r="F369" s="69" t="str">
        <f>+F366</f>
        <v>تنميه موارد ديسمبر</v>
      </c>
      <c r="U369" s="69"/>
      <c r="V369" s="69">
        <v>48</v>
      </c>
      <c r="AS369" s="94">
        <f t="shared" si="40"/>
        <v>48</v>
      </c>
      <c r="AT369" s="69">
        <v>48</v>
      </c>
      <c r="AU369" s="69"/>
      <c r="BD369" s="69"/>
      <c r="BE369" s="69"/>
      <c r="CE369" s="94">
        <f t="shared" si="37"/>
        <v>48</v>
      </c>
      <c r="CF369" s="73">
        <f t="shared" si="38"/>
        <v>0</v>
      </c>
      <c r="CG369" s="75">
        <f t="shared" si="39"/>
        <v>6427</v>
      </c>
      <c r="CH369" s="75" t="str">
        <f t="shared" si="39"/>
        <v>خ ت صيدله</v>
      </c>
    </row>
    <row r="370" spans="3:86" ht="18.75" x14ac:dyDescent="0.25">
      <c r="C370" s="82">
        <v>11290</v>
      </c>
      <c r="D370" s="70">
        <v>6428</v>
      </c>
      <c r="E370" s="103" t="s">
        <v>1160</v>
      </c>
      <c r="F370" s="69" t="str">
        <f>+F363</f>
        <v>كسب عمل ديسمبر</v>
      </c>
      <c r="U370" s="69">
        <v>8670.82</v>
      </c>
      <c r="V370" s="69"/>
      <c r="AS370" s="94">
        <f t="shared" si="40"/>
        <v>8670.82</v>
      </c>
      <c r="AT370" s="69">
        <v>8670.82</v>
      </c>
      <c r="AU370" s="69"/>
      <c r="BD370" s="69"/>
      <c r="BE370" s="69"/>
      <c r="CE370" s="94">
        <f t="shared" si="37"/>
        <v>8670.82</v>
      </c>
      <c r="CF370" s="73">
        <f t="shared" si="38"/>
        <v>0</v>
      </c>
      <c r="CG370" s="75">
        <f t="shared" si="39"/>
        <v>6428</v>
      </c>
      <c r="CH370" s="75" t="str">
        <f t="shared" si="39"/>
        <v>خ ت صيدله</v>
      </c>
    </row>
    <row r="371" spans="3:86" ht="18.75" x14ac:dyDescent="0.25">
      <c r="C371" s="82">
        <v>10962</v>
      </c>
      <c r="D371" s="70">
        <v>6429</v>
      </c>
      <c r="E371" s="103" t="s">
        <v>78</v>
      </c>
      <c r="F371" s="69" t="s">
        <v>2350</v>
      </c>
      <c r="H371" s="69">
        <v>7500</v>
      </c>
      <c r="U371" s="69"/>
      <c r="V371" s="69"/>
      <c r="AS371" s="94">
        <f t="shared" si="40"/>
        <v>7500</v>
      </c>
      <c r="AT371" s="69">
        <v>6690.4</v>
      </c>
      <c r="AU371" s="69">
        <v>809.6</v>
      </c>
      <c r="BD371" s="69"/>
      <c r="BE371" s="69"/>
      <c r="CE371" s="94">
        <f t="shared" si="37"/>
        <v>7500</v>
      </c>
      <c r="CF371" s="73">
        <f t="shared" si="38"/>
        <v>0</v>
      </c>
      <c r="CG371" s="75">
        <f t="shared" si="39"/>
        <v>6429</v>
      </c>
      <c r="CH371" s="75" t="str">
        <f t="shared" si="39"/>
        <v>برنامج دولى</v>
      </c>
    </row>
    <row r="372" spans="3:86" ht="18.75" x14ac:dyDescent="0.25">
      <c r="C372" s="82">
        <v>11122</v>
      </c>
      <c r="D372" s="70">
        <v>6430</v>
      </c>
      <c r="E372" s="103" t="s">
        <v>78</v>
      </c>
      <c r="F372" s="69" t="s">
        <v>2351</v>
      </c>
      <c r="H372" s="69">
        <v>3600</v>
      </c>
      <c r="U372" s="69"/>
      <c r="V372" s="69"/>
      <c r="AS372" s="94">
        <f t="shared" si="40"/>
        <v>3600</v>
      </c>
      <c r="AT372" s="69">
        <v>3213.7</v>
      </c>
      <c r="AU372" s="69">
        <v>386.3</v>
      </c>
      <c r="BD372" s="69"/>
      <c r="BE372" s="69"/>
      <c r="CE372" s="94">
        <f t="shared" si="37"/>
        <v>3600</v>
      </c>
      <c r="CF372" s="73">
        <f t="shared" si="38"/>
        <v>0</v>
      </c>
      <c r="CG372" s="75">
        <f t="shared" si="39"/>
        <v>6430</v>
      </c>
      <c r="CH372" s="75" t="str">
        <f t="shared" si="39"/>
        <v>برنامج دولى</v>
      </c>
    </row>
    <row r="373" spans="3:86" ht="18.75" x14ac:dyDescent="0.25">
      <c r="C373" s="82">
        <v>11123</v>
      </c>
      <c r="D373" s="70">
        <v>6431</v>
      </c>
      <c r="E373" s="103" t="s">
        <v>78</v>
      </c>
      <c r="F373" s="69" t="s">
        <v>2351</v>
      </c>
      <c r="H373" s="69">
        <v>1500</v>
      </c>
      <c r="U373" s="69"/>
      <c r="V373" s="69"/>
      <c r="AS373" s="94">
        <f t="shared" si="40"/>
        <v>1500</v>
      </c>
      <c r="AT373" s="69">
        <v>1339.8</v>
      </c>
      <c r="AU373" s="69">
        <v>160.19999999999999</v>
      </c>
      <c r="BD373" s="69"/>
      <c r="BE373" s="69"/>
      <c r="CE373" s="94">
        <f t="shared" si="37"/>
        <v>1500</v>
      </c>
      <c r="CF373" s="73">
        <f t="shared" si="38"/>
        <v>0</v>
      </c>
      <c r="CG373" s="75">
        <f t="shared" si="39"/>
        <v>6431</v>
      </c>
      <c r="CH373" s="75" t="str">
        <f t="shared" si="39"/>
        <v>برنامج دولى</v>
      </c>
    </row>
    <row r="374" spans="3:86" ht="18.75" x14ac:dyDescent="0.25">
      <c r="C374" s="82">
        <v>11124</v>
      </c>
      <c r="D374" s="70">
        <v>6432</v>
      </c>
      <c r="E374" s="103" t="s">
        <v>78</v>
      </c>
      <c r="F374" s="69" t="s">
        <v>2351</v>
      </c>
      <c r="H374" s="69">
        <v>1407</v>
      </c>
      <c r="U374" s="69"/>
      <c r="V374" s="69"/>
      <c r="AS374" s="94">
        <f t="shared" si="40"/>
        <v>1407</v>
      </c>
      <c r="AT374" s="69">
        <v>941.2</v>
      </c>
      <c r="AU374" s="69">
        <v>126.8</v>
      </c>
      <c r="AV374" s="69">
        <v>339</v>
      </c>
      <c r="BD374" s="69"/>
      <c r="BE374" s="69"/>
      <c r="CE374" s="94">
        <f t="shared" si="37"/>
        <v>1407</v>
      </c>
      <c r="CF374" s="73">
        <f t="shared" si="38"/>
        <v>0</v>
      </c>
      <c r="CG374" s="75">
        <f t="shared" si="39"/>
        <v>6432</v>
      </c>
      <c r="CH374" s="75" t="str">
        <f t="shared" si="39"/>
        <v>برنامج دولى</v>
      </c>
    </row>
    <row r="375" spans="3:86" ht="18.75" x14ac:dyDescent="0.25">
      <c r="C375" s="82">
        <v>11125</v>
      </c>
      <c r="D375" s="70">
        <v>6433</v>
      </c>
      <c r="E375" s="103" t="s">
        <v>78</v>
      </c>
      <c r="F375" s="69" t="s">
        <v>2351</v>
      </c>
      <c r="H375" s="69">
        <v>1200</v>
      </c>
      <c r="U375" s="69"/>
      <c r="V375" s="69"/>
      <c r="AS375" s="94">
        <f t="shared" si="40"/>
        <v>1200</v>
      </c>
      <c r="AT375" s="69">
        <v>1071.3499999999999</v>
      </c>
      <c r="AU375" s="69">
        <v>128.65</v>
      </c>
      <c r="BD375" s="69"/>
      <c r="BE375" s="69"/>
      <c r="CE375" s="94">
        <f t="shared" si="37"/>
        <v>1200</v>
      </c>
      <c r="CF375" s="73">
        <f t="shared" si="38"/>
        <v>0</v>
      </c>
      <c r="CG375" s="75">
        <f t="shared" si="39"/>
        <v>6433</v>
      </c>
      <c r="CH375" s="75" t="str">
        <f t="shared" si="39"/>
        <v>برنامج دولى</v>
      </c>
    </row>
    <row r="376" spans="3:86" ht="18.75" x14ac:dyDescent="0.25">
      <c r="C376" s="82">
        <v>11126</v>
      </c>
      <c r="D376" s="70">
        <v>6434</v>
      </c>
      <c r="E376" s="103" t="s">
        <v>78</v>
      </c>
      <c r="F376" s="69" t="s">
        <v>2351</v>
      </c>
      <c r="H376" s="69">
        <v>600</v>
      </c>
      <c r="U376" s="69"/>
      <c r="V376" s="69"/>
      <c r="AS376" s="94">
        <f t="shared" si="40"/>
        <v>600</v>
      </c>
      <c r="AT376" s="69">
        <v>536.15</v>
      </c>
      <c r="AU376" s="69">
        <v>63.85</v>
      </c>
      <c r="BD376" s="69"/>
      <c r="BE376" s="69"/>
      <c r="CE376" s="94">
        <f t="shared" si="37"/>
        <v>600</v>
      </c>
      <c r="CF376" s="73">
        <f t="shared" si="38"/>
        <v>0</v>
      </c>
      <c r="CG376" s="75">
        <f t="shared" si="39"/>
        <v>6434</v>
      </c>
      <c r="CH376" s="75" t="str">
        <f t="shared" si="39"/>
        <v>برنامج دولى</v>
      </c>
    </row>
    <row r="377" spans="3:86" ht="18.75" x14ac:dyDescent="0.25">
      <c r="C377" s="82">
        <v>11127</v>
      </c>
      <c r="D377" s="70">
        <v>6435</v>
      </c>
      <c r="E377" s="103" t="s">
        <v>78</v>
      </c>
      <c r="F377" s="69" t="s">
        <v>2352</v>
      </c>
      <c r="H377" s="69">
        <v>11157.53</v>
      </c>
      <c r="U377" s="69"/>
      <c r="V377" s="69"/>
      <c r="AS377" s="94">
        <f t="shared" si="40"/>
        <v>11157.53</v>
      </c>
      <c r="AT377" s="69">
        <v>8194.57</v>
      </c>
      <c r="AU377" s="69">
        <v>1067.3</v>
      </c>
      <c r="AV377" s="69">
        <v>1895.66</v>
      </c>
      <c r="BD377" s="69"/>
      <c r="BE377" s="69"/>
      <c r="CE377" s="94">
        <f t="shared" si="37"/>
        <v>11157.529999999999</v>
      </c>
      <c r="CF377" s="73">
        <f t="shared" si="38"/>
        <v>0</v>
      </c>
      <c r="CG377" s="75">
        <f t="shared" si="39"/>
        <v>6435</v>
      </c>
      <c r="CH377" s="75" t="str">
        <f t="shared" si="39"/>
        <v>برنامج دولى</v>
      </c>
    </row>
    <row r="378" spans="3:86" ht="18.75" x14ac:dyDescent="0.25">
      <c r="C378" s="82">
        <v>11128</v>
      </c>
      <c r="D378" s="70">
        <v>6436</v>
      </c>
      <c r="E378" s="103" t="s">
        <v>78</v>
      </c>
      <c r="F378" s="69" t="s">
        <v>2352</v>
      </c>
      <c r="H378" s="69">
        <v>1758.75</v>
      </c>
      <c r="U378" s="69"/>
      <c r="V378" s="69"/>
      <c r="AS378" s="94">
        <f t="shared" si="40"/>
        <v>1758.75</v>
      </c>
      <c r="AT378" s="69">
        <v>1175.3499999999999</v>
      </c>
      <c r="AU378" s="69">
        <v>159.65</v>
      </c>
      <c r="AV378" s="69">
        <v>423.75</v>
      </c>
      <c r="BD378" s="69"/>
      <c r="BE378" s="69"/>
      <c r="CE378" s="94">
        <f t="shared" si="37"/>
        <v>1758.75</v>
      </c>
      <c r="CF378" s="73">
        <f t="shared" si="38"/>
        <v>0</v>
      </c>
      <c r="CG378" s="75">
        <f t="shared" si="39"/>
        <v>6436</v>
      </c>
      <c r="CH378" s="75" t="str">
        <f t="shared" si="39"/>
        <v>برنامج دولى</v>
      </c>
    </row>
    <row r="379" spans="3:86" ht="18.75" x14ac:dyDescent="0.25">
      <c r="C379" s="82">
        <v>11129</v>
      </c>
      <c r="D379" s="70">
        <v>6437</v>
      </c>
      <c r="E379" s="103" t="s">
        <v>78</v>
      </c>
      <c r="F379" s="69" t="s">
        <v>2353</v>
      </c>
      <c r="H379" s="69">
        <v>30320.3</v>
      </c>
      <c r="U379" s="69"/>
      <c r="V379" s="69"/>
      <c r="AS379" s="94">
        <f t="shared" si="40"/>
        <v>30320.3</v>
      </c>
      <c r="AT379" s="69">
        <v>22610.2</v>
      </c>
      <c r="AU379" s="69">
        <v>2927.6</v>
      </c>
      <c r="AV379" s="69">
        <v>4782.5</v>
      </c>
      <c r="BD379" s="69"/>
      <c r="BE379" s="69"/>
      <c r="CE379" s="94">
        <f t="shared" si="37"/>
        <v>30320.3</v>
      </c>
      <c r="CF379" s="73">
        <f t="shared" si="38"/>
        <v>0</v>
      </c>
      <c r="CG379" s="75">
        <f t="shared" si="39"/>
        <v>6437</v>
      </c>
      <c r="CH379" s="75" t="str">
        <f t="shared" si="39"/>
        <v>برنامج دولى</v>
      </c>
    </row>
    <row r="380" spans="3:86" ht="18.75" x14ac:dyDescent="0.25">
      <c r="C380" s="82">
        <v>11130</v>
      </c>
      <c r="D380" s="70">
        <v>6438</v>
      </c>
      <c r="E380" s="103" t="s">
        <v>78</v>
      </c>
      <c r="F380" s="69" t="s">
        <v>2354</v>
      </c>
      <c r="H380" s="69">
        <v>4615.53</v>
      </c>
      <c r="U380" s="69"/>
      <c r="V380" s="69"/>
      <c r="AS380" s="94">
        <f t="shared" si="40"/>
        <v>4615.53</v>
      </c>
      <c r="AT380" s="69">
        <v>3943.87</v>
      </c>
      <c r="AU380" s="69">
        <v>482.45</v>
      </c>
      <c r="AV380" s="69">
        <v>189.21</v>
      </c>
      <c r="BD380" s="69"/>
      <c r="BE380" s="69"/>
      <c r="CE380" s="94">
        <f t="shared" si="37"/>
        <v>4615.53</v>
      </c>
      <c r="CF380" s="73">
        <f t="shared" si="38"/>
        <v>0</v>
      </c>
      <c r="CG380" s="75">
        <f t="shared" si="39"/>
        <v>6438</v>
      </c>
      <c r="CH380" s="75" t="str">
        <f t="shared" si="39"/>
        <v>برنامج دولى</v>
      </c>
    </row>
    <row r="381" spans="3:86" ht="18.75" x14ac:dyDescent="0.25">
      <c r="C381" s="82">
        <v>11131</v>
      </c>
      <c r="D381" s="70">
        <v>6439</v>
      </c>
      <c r="E381" s="103" t="s">
        <v>78</v>
      </c>
      <c r="F381" s="69" t="s">
        <v>822</v>
      </c>
      <c r="H381" s="69">
        <v>1200</v>
      </c>
      <c r="U381" s="69"/>
      <c r="V381" s="69"/>
      <c r="AS381" s="94">
        <f t="shared" si="40"/>
        <v>1200</v>
      </c>
      <c r="AT381" s="69">
        <v>1072.3</v>
      </c>
      <c r="AU381" s="69">
        <v>127.7</v>
      </c>
      <c r="BD381" s="69"/>
      <c r="BE381" s="69"/>
      <c r="CE381" s="94">
        <f t="shared" si="37"/>
        <v>1200</v>
      </c>
      <c r="CF381" s="73">
        <f t="shared" si="38"/>
        <v>0</v>
      </c>
      <c r="CG381" s="75">
        <f t="shared" si="39"/>
        <v>6439</v>
      </c>
      <c r="CH381" s="75" t="str">
        <f t="shared" si="39"/>
        <v>برنامج دولى</v>
      </c>
    </row>
    <row r="382" spans="3:86" ht="18.75" x14ac:dyDescent="0.25">
      <c r="C382" s="82">
        <v>11132</v>
      </c>
      <c r="D382" s="70">
        <v>6440</v>
      </c>
      <c r="E382" s="103" t="s">
        <v>78</v>
      </c>
      <c r="F382" s="69" t="s">
        <v>822</v>
      </c>
      <c r="H382" s="69">
        <v>600</v>
      </c>
      <c r="U382" s="69"/>
      <c r="V382" s="69"/>
      <c r="AS382" s="94">
        <f t="shared" si="40"/>
        <v>600</v>
      </c>
      <c r="AT382" s="69">
        <v>536.15</v>
      </c>
      <c r="AU382" s="69">
        <v>63.85</v>
      </c>
      <c r="BD382" s="69"/>
      <c r="BE382" s="69"/>
      <c r="CE382" s="94">
        <f t="shared" si="37"/>
        <v>600</v>
      </c>
      <c r="CF382" s="73">
        <f t="shared" si="38"/>
        <v>0</v>
      </c>
      <c r="CG382" s="75">
        <f t="shared" si="39"/>
        <v>6440</v>
      </c>
      <c r="CH382" s="75" t="str">
        <f t="shared" si="39"/>
        <v>برنامج دولى</v>
      </c>
    </row>
    <row r="383" spans="3:86" ht="18.75" x14ac:dyDescent="0.25">
      <c r="C383" s="82">
        <v>11133</v>
      </c>
      <c r="D383" s="70">
        <v>6441</v>
      </c>
      <c r="E383" s="103" t="s">
        <v>78</v>
      </c>
      <c r="F383" s="69" t="s">
        <v>822</v>
      </c>
      <c r="H383" s="69">
        <v>600</v>
      </c>
      <c r="U383" s="69"/>
      <c r="V383" s="69"/>
      <c r="AS383" s="94">
        <f t="shared" si="40"/>
        <v>600</v>
      </c>
      <c r="AT383" s="69">
        <v>536.15</v>
      </c>
      <c r="AU383" s="69">
        <v>63.85</v>
      </c>
      <c r="BD383" s="69"/>
      <c r="BE383" s="69"/>
      <c r="CE383" s="94">
        <f t="shared" si="37"/>
        <v>600</v>
      </c>
      <c r="CF383" s="73">
        <f t="shared" si="38"/>
        <v>0</v>
      </c>
      <c r="CG383" s="75">
        <f t="shared" si="39"/>
        <v>6441</v>
      </c>
      <c r="CH383" s="75" t="str">
        <f t="shared" si="39"/>
        <v>برنامج دولى</v>
      </c>
    </row>
    <row r="384" spans="3:86" ht="18.75" x14ac:dyDescent="0.25">
      <c r="C384" s="82">
        <v>11134</v>
      </c>
      <c r="D384" s="70">
        <v>6442</v>
      </c>
      <c r="E384" s="103" t="s">
        <v>78</v>
      </c>
      <c r="F384" s="69" t="s">
        <v>822</v>
      </c>
      <c r="H384" s="69">
        <v>600</v>
      </c>
      <c r="U384" s="69"/>
      <c r="V384" s="69"/>
      <c r="AS384" s="94">
        <f t="shared" si="40"/>
        <v>600</v>
      </c>
      <c r="AT384" s="69">
        <v>536.15</v>
      </c>
      <c r="AU384" s="69">
        <v>63.85</v>
      </c>
      <c r="BD384" s="69"/>
      <c r="BE384" s="69"/>
      <c r="CE384" s="94">
        <f t="shared" si="37"/>
        <v>600</v>
      </c>
      <c r="CF384" s="73">
        <f t="shared" si="38"/>
        <v>0</v>
      </c>
      <c r="CG384" s="75">
        <f t="shared" si="39"/>
        <v>6442</v>
      </c>
      <c r="CH384" s="75" t="str">
        <f t="shared" si="39"/>
        <v>برنامج دولى</v>
      </c>
    </row>
    <row r="385" spans="3:86" ht="18.75" x14ac:dyDescent="0.25">
      <c r="C385" s="82">
        <v>11135</v>
      </c>
      <c r="D385" s="70">
        <v>6443</v>
      </c>
      <c r="E385" s="103" t="s">
        <v>78</v>
      </c>
      <c r="F385" s="69" t="s">
        <v>2355</v>
      </c>
      <c r="H385" s="69">
        <v>53597.26</v>
      </c>
      <c r="U385" s="69"/>
      <c r="V385" s="69"/>
      <c r="AS385" s="94">
        <f t="shared" si="40"/>
        <v>53597.26</v>
      </c>
      <c r="AT385" s="69">
        <v>47101.2</v>
      </c>
      <c r="AU385" s="69">
        <v>5722.65</v>
      </c>
      <c r="AV385" s="69">
        <v>773.41</v>
      </c>
      <c r="BD385" s="69"/>
      <c r="BE385" s="69"/>
      <c r="CE385" s="94">
        <f t="shared" si="37"/>
        <v>53597.26</v>
      </c>
      <c r="CF385" s="73">
        <f t="shared" si="38"/>
        <v>0</v>
      </c>
      <c r="CG385" s="75">
        <f t="shared" si="39"/>
        <v>6443</v>
      </c>
      <c r="CH385" s="75" t="str">
        <f t="shared" si="39"/>
        <v>برنامج دولى</v>
      </c>
    </row>
    <row r="386" spans="3:86" ht="18.75" x14ac:dyDescent="0.25">
      <c r="C386" s="82">
        <v>11136</v>
      </c>
      <c r="D386" s="70">
        <v>6444</v>
      </c>
      <c r="E386" s="103" t="s">
        <v>78</v>
      </c>
      <c r="F386" s="69" t="s">
        <v>2355</v>
      </c>
      <c r="H386" s="69">
        <v>35742.589999999997</v>
      </c>
      <c r="U386" s="69"/>
      <c r="V386" s="69"/>
      <c r="AS386" s="94">
        <f t="shared" si="40"/>
        <v>35742.589999999997</v>
      </c>
      <c r="AT386" s="69">
        <v>26327.96</v>
      </c>
      <c r="AU386" s="69">
        <v>3424.61</v>
      </c>
      <c r="AV386" s="69">
        <v>5990.02</v>
      </c>
      <c r="BD386" s="69"/>
      <c r="BE386" s="69"/>
      <c r="CE386" s="94">
        <f t="shared" si="37"/>
        <v>35742.589999999997</v>
      </c>
      <c r="CF386" s="73">
        <f t="shared" si="38"/>
        <v>0</v>
      </c>
      <c r="CG386" s="75">
        <f t="shared" si="39"/>
        <v>6444</v>
      </c>
      <c r="CH386" s="75" t="str">
        <f t="shared" si="39"/>
        <v>برنامج دولى</v>
      </c>
    </row>
    <row r="387" spans="3:86" ht="18.75" x14ac:dyDescent="0.25">
      <c r="C387" s="82">
        <v>11137</v>
      </c>
      <c r="D387" s="70">
        <v>6445</v>
      </c>
      <c r="E387" s="103" t="s">
        <v>78</v>
      </c>
      <c r="F387" s="69" t="s">
        <v>2355</v>
      </c>
      <c r="H387" s="69">
        <v>3750</v>
      </c>
      <c r="U387" s="69"/>
      <c r="V387" s="69"/>
      <c r="AS387" s="94">
        <f t="shared" si="40"/>
        <v>3750</v>
      </c>
      <c r="AT387" s="69">
        <v>3347.6</v>
      </c>
      <c r="AU387" s="69">
        <v>402.4</v>
      </c>
      <c r="BD387" s="69"/>
      <c r="BE387" s="69"/>
      <c r="CE387" s="94">
        <f t="shared" si="37"/>
        <v>3750</v>
      </c>
      <c r="CF387" s="73">
        <f t="shared" si="38"/>
        <v>0</v>
      </c>
      <c r="CG387" s="75">
        <f t="shared" si="39"/>
        <v>6445</v>
      </c>
      <c r="CH387" s="75" t="str">
        <f t="shared" si="39"/>
        <v>برنامج دولى</v>
      </c>
    </row>
    <row r="388" spans="3:86" ht="18.75" x14ac:dyDescent="0.25">
      <c r="C388" s="82">
        <v>11138</v>
      </c>
      <c r="D388" s="70">
        <v>6446</v>
      </c>
      <c r="E388" s="103" t="s">
        <v>78</v>
      </c>
      <c r="F388" s="69" t="s">
        <v>2355</v>
      </c>
      <c r="H388" s="69">
        <v>2249.84</v>
      </c>
      <c r="U388" s="69"/>
      <c r="V388" s="69"/>
      <c r="AS388" s="94">
        <f t="shared" si="40"/>
        <v>2249.84</v>
      </c>
      <c r="AT388" s="69">
        <v>1913.25</v>
      </c>
      <c r="AU388" s="69">
        <v>234.5</v>
      </c>
      <c r="AV388" s="69">
        <v>102.09</v>
      </c>
      <c r="BD388" s="69"/>
      <c r="BE388" s="69"/>
      <c r="CE388" s="94">
        <f t="shared" si="37"/>
        <v>2249.84</v>
      </c>
      <c r="CF388" s="73">
        <f t="shared" si="38"/>
        <v>0</v>
      </c>
      <c r="CG388" s="75">
        <f t="shared" si="39"/>
        <v>6446</v>
      </c>
      <c r="CH388" s="75" t="str">
        <f t="shared" si="39"/>
        <v>برنامج دولى</v>
      </c>
    </row>
    <row r="389" spans="3:86" ht="18.75" x14ac:dyDescent="0.25">
      <c r="C389" s="82">
        <v>11139</v>
      </c>
      <c r="D389" s="70">
        <v>6447</v>
      </c>
      <c r="E389" s="103" t="s">
        <v>78</v>
      </c>
      <c r="F389" s="69" t="s">
        <v>2355</v>
      </c>
      <c r="H389" s="69">
        <v>10039.549999999999</v>
      </c>
      <c r="U389" s="69"/>
      <c r="V389" s="69"/>
      <c r="AS389" s="94">
        <f t="shared" si="40"/>
        <v>10039.549999999999</v>
      </c>
      <c r="AT389" s="69">
        <v>6701.88</v>
      </c>
      <c r="AU389" s="69">
        <f>62.45+856.25</f>
        <v>918.7</v>
      </c>
      <c r="AV389" s="69">
        <v>2418.9699999999998</v>
      </c>
      <c r="BD389" s="69"/>
      <c r="BE389" s="69"/>
      <c r="CE389" s="94">
        <f t="shared" si="37"/>
        <v>10039.549999999999</v>
      </c>
      <c r="CF389" s="73">
        <f t="shared" si="38"/>
        <v>0</v>
      </c>
      <c r="CG389" s="75">
        <f t="shared" si="39"/>
        <v>6447</v>
      </c>
      <c r="CH389" s="75" t="str">
        <f t="shared" si="39"/>
        <v>برنامج دولى</v>
      </c>
    </row>
    <row r="390" spans="3:86" ht="18.75" x14ac:dyDescent="0.25">
      <c r="C390" s="82">
        <v>11140</v>
      </c>
      <c r="D390" s="70">
        <v>6448</v>
      </c>
      <c r="E390" s="103" t="s">
        <v>78</v>
      </c>
      <c r="F390" s="69" t="s">
        <v>2356</v>
      </c>
      <c r="H390" s="69">
        <v>820.75</v>
      </c>
      <c r="U390" s="69"/>
      <c r="V390" s="69"/>
      <c r="AS390" s="94">
        <f t="shared" si="40"/>
        <v>820.75</v>
      </c>
      <c r="AT390" s="69">
        <v>548.95000000000005</v>
      </c>
      <c r="AU390" s="69">
        <v>74.05</v>
      </c>
      <c r="AV390" s="69">
        <v>197.75</v>
      </c>
      <c r="BD390" s="69"/>
      <c r="BE390" s="69"/>
      <c r="CE390" s="94">
        <f t="shared" si="37"/>
        <v>820.75</v>
      </c>
      <c r="CF390" s="73">
        <f t="shared" si="38"/>
        <v>0</v>
      </c>
      <c r="CG390" s="75">
        <f t="shared" si="39"/>
        <v>6448</v>
      </c>
      <c r="CH390" s="75" t="str">
        <f t="shared" si="39"/>
        <v>برنامج دولى</v>
      </c>
    </row>
    <row r="391" spans="3:86" ht="18.75" x14ac:dyDescent="0.25">
      <c r="C391" s="82">
        <v>11141</v>
      </c>
      <c r="D391" s="70">
        <v>6449</v>
      </c>
      <c r="E391" s="103" t="s">
        <v>78</v>
      </c>
      <c r="F391" s="69" t="s">
        <v>2356</v>
      </c>
      <c r="H391" s="69">
        <v>1172.5</v>
      </c>
      <c r="U391" s="69"/>
      <c r="V391" s="69"/>
      <c r="AS391" s="94">
        <f t="shared" si="40"/>
        <v>1172.5</v>
      </c>
      <c r="AT391" s="69">
        <v>784.8</v>
      </c>
      <c r="AU391" s="69">
        <v>105.2</v>
      </c>
      <c r="AV391" s="69">
        <v>282.5</v>
      </c>
      <c r="BD391" s="69"/>
      <c r="BE391" s="69"/>
      <c r="CE391" s="94">
        <f t="shared" si="37"/>
        <v>1172.5</v>
      </c>
      <c r="CF391" s="73">
        <f t="shared" si="38"/>
        <v>0</v>
      </c>
      <c r="CG391" s="75">
        <f t="shared" si="39"/>
        <v>6449</v>
      </c>
      <c r="CH391" s="75" t="str">
        <f t="shared" si="39"/>
        <v>برنامج دولى</v>
      </c>
    </row>
    <row r="392" spans="3:86" ht="18.75" x14ac:dyDescent="0.25">
      <c r="C392" s="82">
        <v>11142</v>
      </c>
      <c r="D392" s="70">
        <v>6450</v>
      </c>
      <c r="E392" s="103" t="s">
        <v>78</v>
      </c>
      <c r="F392" s="69" t="s">
        <v>2357</v>
      </c>
      <c r="H392" s="69">
        <v>500</v>
      </c>
      <c r="U392" s="69"/>
      <c r="V392" s="69"/>
      <c r="AS392" s="94">
        <f t="shared" si="40"/>
        <v>500</v>
      </c>
      <c r="AT392" s="69">
        <v>447.05</v>
      </c>
      <c r="AU392" s="69">
        <v>52.95</v>
      </c>
      <c r="BD392" s="69"/>
      <c r="BE392" s="69"/>
      <c r="CE392" s="94">
        <f t="shared" si="37"/>
        <v>500</v>
      </c>
      <c r="CF392" s="73">
        <f t="shared" si="38"/>
        <v>0</v>
      </c>
      <c r="CG392" s="75">
        <f t="shared" si="39"/>
        <v>6450</v>
      </c>
      <c r="CH392" s="75" t="str">
        <f t="shared" si="39"/>
        <v>برنامج دولى</v>
      </c>
    </row>
    <row r="393" spans="3:86" ht="18.75" x14ac:dyDescent="0.25">
      <c r="C393" s="82">
        <v>11143</v>
      </c>
      <c r="D393" s="70">
        <v>6451</v>
      </c>
      <c r="E393" s="103" t="s">
        <v>78</v>
      </c>
      <c r="F393" s="69" t="s">
        <v>2358</v>
      </c>
      <c r="H393" s="69">
        <v>7100</v>
      </c>
      <c r="U393" s="69"/>
      <c r="V393" s="69"/>
      <c r="AS393" s="94">
        <f t="shared" si="40"/>
        <v>7100</v>
      </c>
      <c r="AT393" s="69">
        <v>6337.45</v>
      </c>
      <c r="AU393" s="69">
        <v>762.55</v>
      </c>
      <c r="BD393" s="69"/>
      <c r="BE393" s="69"/>
      <c r="CE393" s="94">
        <f t="shared" si="37"/>
        <v>7100</v>
      </c>
      <c r="CF393" s="73">
        <f t="shared" si="38"/>
        <v>0</v>
      </c>
      <c r="CG393" s="75">
        <f t="shared" si="39"/>
        <v>6451</v>
      </c>
      <c r="CH393" s="75" t="str">
        <f t="shared" si="39"/>
        <v>برنامج دولى</v>
      </c>
    </row>
    <row r="394" spans="3:86" ht="18.75" x14ac:dyDescent="0.25">
      <c r="C394" s="82">
        <v>11144</v>
      </c>
      <c r="D394" s="70">
        <v>6452</v>
      </c>
      <c r="E394" s="103" t="s">
        <v>78</v>
      </c>
      <c r="F394" s="69" t="s">
        <v>2359</v>
      </c>
      <c r="H394" s="69">
        <v>1161.28</v>
      </c>
      <c r="U394" s="69"/>
      <c r="V394" s="69"/>
      <c r="AS394" s="94">
        <f t="shared" si="40"/>
        <v>1161.28</v>
      </c>
      <c r="AT394" s="69">
        <v>791.21</v>
      </c>
      <c r="AU394" s="69">
        <v>105.95</v>
      </c>
      <c r="AV394" s="69">
        <v>264.12</v>
      </c>
      <c r="BD394" s="69"/>
      <c r="BE394" s="69"/>
      <c r="CE394" s="94">
        <f t="shared" si="37"/>
        <v>1161.2800000000002</v>
      </c>
      <c r="CF394" s="73">
        <f t="shared" si="38"/>
        <v>0</v>
      </c>
      <c r="CG394" s="75">
        <f t="shared" si="39"/>
        <v>6452</v>
      </c>
      <c r="CH394" s="75" t="str">
        <f t="shared" si="39"/>
        <v>برنامج دولى</v>
      </c>
    </row>
    <row r="395" spans="3:86" ht="18.75" x14ac:dyDescent="0.25">
      <c r="C395" s="82">
        <v>11145</v>
      </c>
      <c r="D395" s="70">
        <v>6453</v>
      </c>
      <c r="E395" s="103" t="s">
        <v>78</v>
      </c>
      <c r="F395" s="69" t="s">
        <v>1506</v>
      </c>
      <c r="H395" s="69">
        <v>1754.84</v>
      </c>
      <c r="U395" s="69"/>
      <c r="V395" s="69"/>
      <c r="AS395" s="94">
        <f t="shared" si="40"/>
        <v>1754.84</v>
      </c>
      <c r="AT395" s="69">
        <v>1177.8</v>
      </c>
      <c r="AU395" s="69">
        <v>159.69999999999999</v>
      </c>
      <c r="AV395" s="69">
        <v>417.34</v>
      </c>
      <c r="BD395" s="69"/>
      <c r="BE395" s="69"/>
      <c r="CE395" s="94">
        <f t="shared" si="37"/>
        <v>1754.84</v>
      </c>
      <c r="CF395" s="73">
        <f t="shared" si="38"/>
        <v>0</v>
      </c>
      <c r="CG395" s="75">
        <f t="shared" si="39"/>
        <v>6453</v>
      </c>
      <c r="CH395" s="75" t="str">
        <f t="shared" si="39"/>
        <v>برنامج دولى</v>
      </c>
    </row>
    <row r="396" spans="3:86" ht="18.75" x14ac:dyDescent="0.25">
      <c r="C396" s="82">
        <v>11146</v>
      </c>
      <c r="D396" s="70">
        <v>6454</v>
      </c>
      <c r="E396" s="103" t="s">
        <v>78</v>
      </c>
      <c r="F396" s="69" t="s">
        <v>2360</v>
      </c>
      <c r="H396" s="69">
        <v>351.75</v>
      </c>
      <c r="U396" s="69"/>
      <c r="V396" s="69"/>
      <c r="AS396" s="94">
        <f t="shared" si="40"/>
        <v>351.75</v>
      </c>
      <c r="AT396" s="69">
        <v>235.55</v>
      </c>
      <c r="AU396" s="69">
        <v>31.45</v>
      </c>
      <c r="AV396" s="69">
        <v>84.75</v>
      </c>
      <c r="BD396" s="69"/>
      <c r="BE396" s="69"/>
      <c r="CE396" s="94">
        <f t="shared" si="37"/>
        <v>351.75</v>
      </c>
      <c r="CF396" s="73">
        <f t="shared" si="38"/>
        <v>0</v>
      </c>
      <c r="CG396" s="75">
        <f t="shared" si="39"/>
        <v>6454</v>
      </c>
      <c r="CH396" s="75" t="str">
        <f t="shared" si="39"/>
        <v>برنامج دولى</v>
      </c>
    </row>
    <row r="397" spans="3:86" ht="18.75" x14ac:dyDescent="0.25">
      <c r="C397" s="82">
        <v>11147</v>
      </c>
      <c r="D397" s="70">
        <v>6455</v>
      </c>
      <c r="E397" s="103" t="s">
        <v>78</v>
      </c>
      <c r="F397" s="69" t="s">
        <v>2360</v>
      </c>
      <c r="H397" s="69">
        <v>351.75</v>
      </c>
      <c r="U397" s="69"/>
      <c r="V397" s="69"/>
      <c r="AS397" s="94">
        <f t="shared" si="40"/>
        <v>351.75</v>
      </c>
      <c r="AT397" s="69">
        <v>235.55</v>
      </c>
      <c r="AU397" s="69">
        <v>31.45</v>
      </c>
      <c r="AV397" s="69">
        <v>84.75</v>
      </c>
      <c r="BD397" s="69"/>
      <c r="BE397" s="69"/>
      <c r="CE397" s="94">
        <f t="shared" si="37"/>
        <v>351.75</v>
      </c>
      <c r="CF397" s="73">
        <f t="shared" si="38"/>
        <v>0</v>
      </c>
      <c r="CG397" s="75">
        <f t="shared" si="39"/>
        <v>6455</v>
      </c>
      <c r="CH397" s="75" t="str">
        <f t="shared" si="39"/>
        <v>برنامج دولى</v>
      </c>
    </row>
    <row r="398" spans="3:86" ht="18.75" x14ac:dyDescent="0.25">
      <c r="C398" s="82">
        <v>11148</v>
      </c>
      <c r="D398" s="70">
        <v>6456</v>
      </c>
      <c r="E398" s="103" t="s">
        <v>78</v>
      </c>
      <c r="F398" s="69" t="s">
        <v>1209</v>
      </c>
      <c r="H398" s="69">
        <v>351.75</v>
      </c>
      <c r="U398" s="69"/>
      <c r="V398" s="69"/>
      <c r="AS398" s="94">
        <f t="shared" si="40"/>
        <v>351.75</v>
      </c>
      <c r="AT398" s="69">
        <v>235.55</v>
      </c>
      <c r="AU398" s="69">
        <v>31.45</v>
      </c>
      <c r="AV398" s="69">
        <v>84.75</v>
      </c>
      <c r="BD398" s="69"/>
      <c r="BE398" s="69"/>
      <c r="CE398" s="94">
        <f t="shared" si="37"/>
        <v>351.75</v>
      </c>
      <c r="CF398" s="73">
        <f t="shared" si="38"/>
        <v>0</v>
      </c>
      <c r="CG398" s="75">
        <f t="shared" si="39"/>
        <v>6456</v>
      </c>
      <c r="CH398" s="75" t="str">
        <f t="shared" si="39"/>
        <v>برنامج دولى</v>
      </c>
    </row>
    <row r="399" spans="3:86" ht="18.75" x14ac:dyDescent="0.25">
      <c r="C399" s="82">
        <v>11149</v>
      </c>
      <c r="D399" s="70">
        <v>6457</v>
      </c>
      <c r="E399" s="103" t="s">
        <v>78</v>
      </c>
      <c r="F399" s="69" t="s">
        <v>2361</v>
      </c>
      <c r="H399" s="69">
        <v>1172.5</v>
      </c>
      <c r="U399" s="69"/>
      <c r="V399" s="69"/>
      <c r="AS399" s="94">
        <f t="shared" si="40"/>
        <v>1172.5</v>
      </c>
      <c r="AT399" s="69">
        <v>784.1</v>
      </c>
      <c r="AU399" s="69">
        <v>105.9</v>
      </c>
      <c r="AV399" s="69">
        <v>282.5</v>
      </c>
      <c r="BD399" s="69"/>
      <c r="BE399" s="69"/>
      <c r="CE399" s="94">
        <f t="shared" si="37"/>
        <v>1172.5</v>
      </c>
      <c r="CF399" s="73">
        <f t="shared" si="38"/>
        <v>0</v>
      </c>
      <c r="CG399" s="75">
        <f t="shared" si="39"/>
        <v>6457</v>
      </c>
      <c r="CH399" s="75" t="str">
        <f t="shared" si="39"/>
        <v>برنامج دولى</v>
      </c>
    </row>
    <row r="400" spans="3:86" ht="18.75" x14ac:dyDescent="0.25">
      <c r="C400" s="82">
        <v>11150</v>
      </c>
      <c r="D400" s="70">
        <v>6458</v>
      </c>
      <c r="E400" s="103" t="s">
        <v>78</v>
      </c>
      <c r="F400" s="69" t="s">
        <v>2362</v>
      </c>
      <c r="H400" s="69">
        <v>703.5</v>
      </c>
      <c r="U400" s="69"/>
      <c r="V400" s="69"/>
      <c r="AS400" s="94">
        <f t="shared" si="40"/>
        <v>703.5</v>
      </c>
      <c r="AT400" s="69">
        <v>470.15</v>
      </c>
      <c r="AU400" s="69">
        <f>60+3.85</f>
        <v>63.85</v>
      </c>
      <c r="AV400" s="69">
        <f>233.35-AU400</f>
        <v>169.5</v>
      </c>
      <c r="BD400" s="69"/>
      <c r="BE400" s="69"/>
      <c r="CE400" s="94">
        <f t="shared" si="37"/>
        <v>703.5</v>
      </c>
      <c r="CF400" s="73">
        <f t="shared" si="38"/>
        <v>0</v>
      </c>
      <c r="CG400" s="75">
        <f t="shared" si="39"/>
        <v>6458</v>
      </c>
      <c r="CH400" s="75" t="str">
        <f t="shared" si="39"/>
        <v>برنامج دولى</v>
      </c>
    </row>
    <row r="401" spans="2:87" ht="18.75" x14ac:dyDescent="0.25">
      <c r="C401" s="82">
        <v>11408</v>
      </c>
      <c r="D401" s="70">
        <v>6459</v>
      </c>
      <c r="E401" s="103" t="s">
        <v>78</v>
      </c>
      <c r="F401" s="69" t="s">
        <v>2349</v>
      </c>
      <c r="U401" s="69">
        <v>341852.27</v>
      </c>
      <c r="V401" s="69"/>
      <c r="AS401" s="94">
        <f>SUM(H401:AR401)</f>
        <v>341852.27</v>
      </c>
      <c r="AT401" s="69">
        <v>341852.27</v>
      </c>
      <c r="AU401" s="69"/>
      <c r="BD401" s="69"/>
      <c r="BE401" s="69"/>
      <c r="CE401" s="94">
        <f>SUM(AT401:CD401)</f>
        <v>341852.27</v>
      </c>
      <c r="CF401" s="73">
        <f>+CE401-AS401</f>
        <v>0</v>
      </c>
      <c r="CG401" s="75">
        <f>+D401</f>
        <v>6459</v>
      </c>
      <c r="CH401" s="75" t="str">
        <f>+E401</f>
        <v>برنامج دولى</v>
      </c>
    </row>
    <row r="402" spans="2:87" x14ac:dyDescent="0.25">
      <c r="C402" s="82"/>
      <c r="D402" s="78">
        <v>6460</v>
      </c>
      <c r="E402" s="107" t="s">
        <v>1431</v>
      </c>
      <c r="F402" s="69" t="s">
        <v>2363</v>
      </c>
      <c r="G402" s="69"/>
      <c r="U402" s="69"/>
      <c r="V402" s="69"/>
      <c r="AS402" s="94">
        <f t="shared" ref="AS402:AS661" si="41">SUM(H402:AR402)</f>
        <v>0</v>
      </c>
      <c r="AU402" s="69"/>
      <c r="BD402" s="69"/>
      <c r="BE402" s="69"/>
      <c r="CE402" s="94">
        <f t="shared" ref="CE402:CE416" si="42">SUM(AT402:CD402)</f>
        <v>0</v>
      </c>
      <c r="CF402" s="73">
        <f t="shared" ref="CF402:CF416" si="43">+CE402-AS402</f>
        <v>0</v>
      </c>
      <c r="CG402" s="75">
        <f t="shared" ref="CG402:CH416" si="44">+D402</f>
        <v>6460</v>
      </c>
      <c r="CH402" s="75" t="str">
        <f t="shared" si="44"/>
        <v>لاب فقط</v>
      </c>
    </row>
    <row r="403" spans="2:87" x14ac:dyDescent="0.25">
      <c r="C403" s="82">
        <v>10234</v>
      </c>
      <c r="D403" s="78">
        <v>6461</v>
      </c>
      <c r="E403" s="107" t="s">
        <v>249</v>
      </c>
      <c r="F403" s="69" t="s">
        <v>2364</v>
      </c>
      <c r="G403" s="69"/>
      <c r="U403" s="69"/>
      <c r="V403" s="69"/>
      <c r="AQ403" s="69">
        <v>1000</v>
      </c>
      <c r="AS403" s="94">
        <f t="shared" si="41"/>
        <v>1000</v>
      </c>
      <c r="AT403" s="69">
        <v>1000</v>
      </c>
      <c r="AU403" s="69"/>
      <c r="BD403" s="69"/>
      <c r="BE403" s="69"/>
      <c r="CE403" s="94">
        <f t="shared" si="42"/>
        <v>1000</v>
      </c>
      <c r="CF403" s="73">
        <f t="shared" si="43"/>
        <v>0</v>
      </c>
      <c r="CG403" s="75">
        <f t="shared" si="44"/>
        <v>6461</v>
      </c>
      <c r="CH403" s="75" t="str">
        <f t="shared" si="44"/>
        <v>خدمة عامة</v>
      </c>
    </row>
    <row r="404" spans="2:87" x14ac:dyDescent="0.25">
      <c r="C404" s="82">
        <v>10770</v>
      </c>
      <c r="D404" s="78">
        <v>6462</v>
      </c>
      <c r="E404" s="107" t="s">
        <v>132</v>
      </c>
      <c r="F404" s="69" t="s">
        <v>2365</v>
      </c>
      <c r="G404" s="69"/>
      <c r="I404" s="69">
        <v>17100</v>
      </c>
      <c r="U404" s="69"/>
      <c r="V404" s="69"/>
      <c r="AS404" s="94">
        <f t="shared" si="41"/>
        <v>17100</v>
      </c>
      <c r="AT404" s="69">
        <v>16150.2</v>
      </c>
      <c r="AU404" s="69">
        <f>190+570+10.8</f>
        <v>770.8</v>
      </c>
      <c r="AW404" s="69">
        <v>5</v>
      </c>
      <c r="BD404" s="69"/>
      <c r="BE404" s="69"/>
      <c r="BG404" s="69">
        <v>150</v>
      </c>
      <c r="BH404" s="69">
        <v>24</v>
      </c>
      <c r="CE404" s="94">
        <f t="shared" si="42"/>
        <v>17100</v>
      </c>
      <c r="CF404" s="73">
        <f t="shared" si="43"/>
        <v>0</v>
      </c>
      <c r="CG404" s="75">
        <f t="shared" si="44"/>
        <v>6462</v>
      </c>
      <c r="CH404" s="75" t="str">
        <f t="shared" si="44"/>
        <v>صيدلة اكلينيكى</v>
      </c>
    </row>
    <row r="405" spans="2:87" ht="36" x14ac:dyDescent="0.25">
      <c r="C405" s="82">
        <v>10224</v>
      </c>
      <c r="D405" s="78">
        <v>6463</v>
      </c>
      <c r="E405" s="107" t="s">
        <v>121</v>
      </c>
      <c r="F405" s="77" t="s">
        <v>2366</v>
      </c>
      <c r="G405" s="69"/>
      <c r="I405" s="69">
        <v>239913</v>
      </c>
      <c r="U405" s="69"/>
      <c r="V405" s="69"/>
      <c r="AS405" s="94">
        <f t="shared" si="41"/>
        <v>239913</v>
      </c>
      <c r="AT405" s="69">
        <v>232469.9</v>
      </c>
      <c r="AU405" s="69">
        <f>1362.5+4087.5+30.6</f>
        <v>5480.6</v>
      </c>
      <c r="BD405" s="69"/>
      <c r="BE405" s="69"/>
      <c r="BH405" s="69">
        <v>68</v>
      </c>
      <c r="BI405" s="69">
        <f>947.25*2</f>
        <v>1894.5</v>
      </c>
      <c r="CE405" s="94">
        <f t="shared" si="42"/>
        <v>239913</v>
      </c>
      <c r="CF405" s="73">
        <f t="shared" si="43"/>
        <v>0</v>
      </c>
      <c r="CG405" s="75">
        <f t="shared" si="44"/>
        <v>6463</v>
      </c>
      <c r="CH405" s="75" t="str">
        <f t="shared" si="44"/>
        <v>ماليزى اسنان</v>
      </c>
    </row>
    <row r="406" spans="2:87" ht="36" x14ac:dyDescent="0.25">
      <c r="C406" s="82">
        <v>10227</v>
      </c>
      <c r="D406" s="78">
        <v>6464</v>
      </c>
      <c r="E406" s="107" t="s">
        <v>121</v>
      </c>
      <c r="F406" s="77" t="s">
        <v>2367</v>
      </c>
      <c r="G406" s="69"/>
      <c r="I406" s="69">
        <v>53152.5</v>
      </c>
      <c r="U406" s="69"/>
      <c r="V406" s="69"/>
      <c r="AS406" s="94">
        <f t="shared" si="41"/>
        <v>53152.5</v>
      </c>
      <c r="AT406" s="69">
        <v>50626.25</v>
      </c>
      <c r="AU406" s="69">
        <f>379.75+1139.25+36</f>
        <v>1555</v>
      </c>
      <c r="AW406" s="69">
        <v>5</v>
      </c>
      <c r="BD406" s="69"/>
      <c r="BE406" s="69"/>
      <c r="BG406" s="69">
        <v>466.25</v>
      </c>
      <c r="BH406" s="69">
        <v>80</v>
      </c>
      <c r="BI406" s="69">
        <f>210*2</f>
        <v>420</v>
      </c>
      <c r="CE406" s="94">
        <f t="shared" si="42"/>
        <v>53152.5</v>
      </c>
      <c r="CF406" s="73">
        <f t="shared" si="43"/>
        <v>0</v>
      </c>
      <c r="CG406" s="75">
        <f t="shared" si="44"/>
        <v>6464</v>
      </c>
      <c r="CH406" s="75" t="str">
        <f t="shared" si="44"/>
        <v>ماليزى اسنان</v>
      </c>
    </row>
    <row r="407" spans="2:87" x14ac:dyDescent="0.25">
      <c r="C407" s="82"/>
      <c r="D407" s="78">
        <v>6465</v>
      </c>
      <c r="E407" s="107" t="s">
        <v>1431</v>
      </c>
      <c r="F407" s="69" t="s">
        <v>2368</v>
      </c>
      <c r="G407" s="69"/>
      <c r="U407" s="69"/>
      <c r="V407" s="69"/>
      <c r="AS407" s="94">
        <f t="shared" si="41"/>
        <v>0</v>
      </c>
      <c r="AU407" s="69"/>
      <c r="BD407" s="69"/>
      <c r="BE407" s="69"/>
      <c r="CE407" s="94">
        <f t="shared" si="42"/>
        <v>0</v>
      </c>
      <c r="CF407" s="73">
        <f t="shared" si="43"/>
        <v>0</v>
      </c>
      <c r="CG407" s="75">
        <f t="shared" si="44"/>
        <v>6465</v>
      </c>
      <c r="CH407" s="75" t="str">
        <f t="shared" si="44"/>
        <v>لاب فقط</v>
      </c>
    </row>
    <row r="408" spans="2:87" s="68" customFormat="1" x14ac:dyDescent="0.25">
      <c r="C408" s="83"/>
      <c r="D408" s="84"/>
      <c r="E408" s="108"/>
      <c r="F408" s="68" t="s">
        <v>2369</v>
      </c>
      <c r="H408" s="68">
        <f>SUM(H325:H407)</f>
        <v>195766.75999999998</v>
      </c>
      <c r="I408" s="68">
        <f t="shared" ref="I408:BT408" si="45">SUM(I325:I407)</f>
        <v>1234300.5</v>
      </c>
      <c r="J408" s="68">
        <f t="shared" si="45"/>
        <v>0</v>
      </c>
      <c r="K408" s="68">
        <f t="shared" si="45"/>
        <v>0</v>
      </c>
      <c r="L408" s="68">
        <f t="shared" si="45"/>
        <v>188100</v>
      </c>
      <c r="M408" s="68">
        <f t="shared" si="45"/>
        <v>188100</v>
      </c>
      <c r="N408" s="68">
        <f t="shared" si="45"/>
        <v>188100</v>
      </c>
      <c r="O408" s="68">
        <f t="shared" si="45"/>
        <v>0</v>
      </c>
      <c r="P408" s="68">
        <f t="shared" si="45"/>
        <v>15000</v>
      </c>
      <c r="Q408" s="68">
        <f t="shared" si="45"/>
        <v>0</v>
      </c>
      <c r="R408" s="68">
        <f t="shared" si="45"/>
        <v>0</v>
      </c>
      <c r="S408" s="68">
        <f t="shared" si="45"/>
        <v>0</v>
      </c>
      <c r="T408" s="68">
        <f t="shared" si="45"/>
        <v>0</v>
      </c>
      <c r="U408" s="68">
        <f t="shared" si="45"/>
        <v>634943.02</v>
      </c>
      <c r="V408" s="68">
        <f t="shared" si="45"/>
        <v>1692</v>
      </c>
      <c r="W408" s="68">
        <f t="shared" si="45"/>
        <v>0</v>
      </c>
      <c r="X408" s="68">
        <f t="shared" si="45"/>
        <v>0</v>
      </c>
      <c r="Y408" s="68">
        <f t="shared" si="45"/>
        <v>0</v>
      </c>
      <c r="Z408" s="68">
        <f t="shared" si="45"/>
        <v>0</v>
      </c>
      <c r="AA408" s="68">
        <f t="shared" si="45"/>
        <v>0</v>
      </c>
      <c r="AB408" s="68">
        <f t="shared" si="45"/>
        <v>0</v>
      </c>
      <c r="AC408" s="68">
        <f t="shared" si="45"/>
        <v>0</v>
      </c>
      <c r="AD408" s="68">
        <f t="shared" si="45"/>
        <v>0</v>
      </c>
      <c r="AE408" s="68">
        <f t="shared" si="45"/>
        <v>0</v>
      </c>
      <c r="AF408" s="68">
        <f t="shared" si="45"/>
        <v>0</v>
      </c>
      <c r="AG408" s="68">
        <f t="shared" si="45"/>
        <v>0</v>
      </c>
      <c r="AH408" s="68">
        <f t="shared" si="45"/>
        <v>0</v>
      </c>
      <c r="AI408" s="68">
        <f t="shared" si="45"/>
        <v>0</v>
      </c>
      <c r="AJ408" s="68">
        <f t="shared" si="45"/>
        <v>0</v>
      </c>
      <c r="AK408" s="68">
        <f t="shared" si="45"/>
        <v>0</v>
      </c>
      <c r="AL408" s="68">
        <f t="shared" si="45"/>
        <v>0</v>
      </c>
      <c r="AM408" s="68">
        <f t="shared" si="45"/>
        <v>0</v>
      </c>
      <c r="AN408" s="68">
        <f t="shared" si="45"/>
        <v>0</v>
      </c>
      <c r="AO408" s="68">
        <f t="shared" si="45"/>
        <v>0</v>
      </c>
      <c r="AP408" s="68">
        <f t="shared" si="45"/>
        <v>0</v>
      </c>
      <c r="AQ408" s="68">
        <f t="shared" si="45"/>
        <v>1000</v>
      </c>
      <c r="AR408" s="68">
        <f t="shared" si="45"/>
        <v>0</v>
      </c>
      <c r="AS408" s="94">
        <f t="shared" si="41"/>
        <v>2647002.2800000003</v>
      </c>
      <c r="AT408" s="68">
        <f t="shared" si="45"/>
        <v>2158453.5099999993</v>
      </c>
      <c r="AU408" s="68">
        <f t="shared" si="45"/>
        <v>52510.179999999978</v>
      </c>
      <c r="AV408" s="68">
        <f t="shared" si="45"/>
        <v>19507.63</v>
      </c>
      <c r="AW408" s="68">
        <f t="shared" si="45"/>
        <v>422.26</v>
      </c>
      <c r="AX408" s="68">
        <f t="shared" si="45"/>
        <v>0</v>
      </c>
      <c r="AY408" s="68">
        <f t="shared" si="45"/>
        <v>0</v>
      </c>
      <c r="AZ408" s="68">
        <f t="shared" si="45"/>
        <v>0</v>
      </c>
      <c r="BA408" s="68">
        <f t="shared" si="45"/>
        <v>0</v>
      </c>
      <c r="BB408" s="68">
        <f t="shared" si="45"/>
        <v>0</v>
      </c>
      <c r="BC408" s="68">
        <f t="shared" si="45"/>
        <v>0</v>
      </c>
      <c r="BD408" s="68">
        <f t="shared" si="45"/>
        <v>0</v>
      </c>
      <c r="BE408" s="68">
        <f t="shared" si="45"/>
        <v>0</v>
      </c>
      <c r="BF408" s="68">
        <f t="shared" si="45"/>
        <v>0</v>
      </c>
      <c r="BG408" s="68">
        <f t="shared" si="45"/>
        <v>10563.2</v>
      </c>
      <c r="BH408" s="68">
        <f t="shared" si="45"/>
        <v>424</v>
      </c>
      <c r="BI408" s="68">
        <f t="shared" si="45"/>
        <v>3946.5</v>
      </c>
      <c r="BJ408" s="68">
        <f t="shared" si="45"/>
        <v>570</v>
      </c>
      <c r="BK408" s="68">
        <f t="shared" si="45"/>
        <v>9405</v>
      </c>
      <c r="BL408" s="68">
        <f t="shared" si="45"/>
        <v>188100</v>
      </c>
      <c r="BM408" s="68">
        <f t="shared" si="45"/>
        <v>188100</v>
      </c>
      <c r="BN408" s="68">
        <f t="shared" si="45"/>
        <v>0</v>
      </c>
      <c r="BO408" s="68">
        <f t="shared" si="45"/>
        <v>15000</v>
      </c>
      <c r="BP408" s="68">
        <f t="shared" si="45"/>
        <v>0</v>
      </c>
      <c r="BQ408" s="68">
        <f t="shared" si="45"/>
        <v>0</v>
      </c>
      <c r="BR408" s="68">
        <f t="shared" si="45"/>
        <v>0</v>
      </c>
      <c r="BS408" s="68">
        <f t="shared" si="45"/>
        <v>0</v>
      </c>
      <c r="BT408" s="68">
        <f t="shared" si="45"/>
        <v>0</v>
      </c>
      <c r="BU408" s="68">
        <f t="shared" ref="BU408:CI408" si="46">SUM(BU325:BU407)</f>
        <v>0</v>
      </c>
      <c r="BV408" s="68">
        <f t="shared" si="46"/>
        <v>0</v>
      </c>
      <c r="BW408" s="68">
        <f t="shared" si="46"/>
        <v>0</v>
      </c>
      <c r="BX408" s="68">
        <f t="shared" si="46"/>
        <v>0</v>
      </c>
      <c r="BY408" s="68">
        <f t="shared" si="46"/>
        <v>0</v>
      </c>
      <c r="BZ408" s="68">
        <f t="shared" si="46"/>
        <v>0</v>
      </c>
      <c r="CA408" s="68">
        <f t="shared" si="46"/>
        <v>0</v>
      </c>
      <c r="CB408" s="68">
        <f t="shared" si="46"/>
        <v>0</v>
      </c>
      <c r="CC408" s="68">
        <f t="shared" si="46"/>
        <v>0</v>
      </c>
      <c r="CD408" s="68">
        <f t="shared" si="46"/>
        <v>0</v>
      </c>
      <c r="CE408" s="94">
        <f t="shared" si="42"/>
        <v>2647002.2799999993</v>
      </c>
      <c r="CF408" s="73">
        <f t="shared" si="43"/>
        <v>0</v>
      </c>
      <c r="CG408" s="75">
        <f t="shared" si="44"/>
        <v>0</v>
      </c>
      <c r="CH408" s="75">
        <f t="shared" si="44"/>
        <v>0</v>
      </c>
      <c r="CI408" s="68">
        <f t="shared" si="46"/>
        <v>0</v>
      </c>
    </row>
    <row r="409" spans="2:87" x14ac:dyDescent="0.25">
      <c r="C409" s="82">
        <v>11342</v>
      </c>
      <c r="D409" s="78">
        <v>6466</v>
      </c>
      <c r="E409" s="107" t="s">
        <v>78</v>
      </c>
      <c r="F409" s="69" t="s">
        <v>2370</v>
      </c>
      <c r="G409" s="69"/>
      <c r="I409" s="69">
        <v>5381936.2999999998</v>
      </c>
      <c r="U409" s="69"/>
      <c r="V409" s="69"/>
      <c r="AS409" s="94">
        <f t="shared" si="41"/>
        <v>5381936.2999999998</v>
      </c>
      <c r="AT409" s="69">
        <v>4952129.05</v>
      </c>
      <c r="AU409" s="69">
        <v>125125.6</v>
      </c>
      <c r="BD409" s="69"/>
      <c r="BE409" s="69"/>
      <c r="BF409" s="69">
        <v>4400</v>
      </c>
      <c r="BI409" s="69">
        <f>22570.85+818.65+7795.55</f>
        <v>31185.05</v>
      </c>
      <c r="BJ409" s="69">
        <v>269096.59999999998</v>
      </c>
      <c r="CE409" s="94">
        <f t="shared" si="42"/>
        <v>5381936.2999999989</v>
      </c>
      <c r="CF409" s="73">
        <f t="shared" si="43"/>
        <v>0</v>
      </c>
      <c r="CG409" s="75">
        <f t="shared" si="44"/>
        <v>6466</v>
      </c>
      <c r="CH409" s="75" t="str">
        <f t="shared" si="44"/>
        <v>برنامج دولى</v>
      </c>
    </row>
    <row r="410" spans="2:87" ht="36" x14ac:dyDescent="0.25">
      <c r="B410" s="69">
        <f>SUM(I409:I410)</f>
        <v>5651660.2999999998</v>
      </c>
      <c r="C410" s="82">
        <v>9257</v>
      </c>
      <c r="D410" s="78">
        <v>6467</v>
      </c>
      <c r="E410" s="107" t="s">
        <v>78</v>
      </c>
      <c r="F410" s="77" t="s">
        <v>2341</v>
      </c>
      <c r="G410" s="69"/>
      <c r="I410" s="69">
        <v>269724</v>
      </c>
      <c r="U410" s="69"/>
      <c r="V410" s="69"/>
      <c r="AS410" s="94">
        <f t="shared" si="41"/>
        <v>269724</v>
      </c>
      <c r="AT410" s="69">
        <v>240811</v>
      </c>
      <c r="AU410" s="69">
        <f>1519.6+4558.8+36</f>
        <v>6114.4</v>
      </c>
      <c r="AW410" s="69">
        <v>5</v>
      </c>
      <c r="BD410" s="69"/>
      <c r="BE410" s="69"/>
      <c r="BG410" s="69">
        <v>7098</v>
      </c>
      <c r="BH410" s="69">
        <v>80</v>
      </c>
      <c r="BI410" s="69">
        <f>1064.7*2</f>
        <v>2129.4</v>
      </c>
      <c r="BJ410" s="69">
        <v>13486.2</v>
      </c>
      <c r="CE410" s="94">
        <f t="shared" si="42"/>
        <v>269724</v>
      </c>
      <c r="CF410" s="73">
        <f t="shared" si="43"/>
        <v>0</v>
      </c>
      <c r="CG410" s="75">
        <f t="shared" si="44"/>
        <v>6467</v>
      </c>
      <c r="CH410" s="75" t="str">
        <f t="shared" si="44"/>
        <v>برنامج دولى</v>
      </c>
    </row>
    <row r="411" spans="2:87" x14ac:dyDescent="0.25">
      <c r="C411" s="82">
        <v>10701</v>
      </c>
      <c r="D411" s="78">
        <v>6468</v>
      </c>
      <c r="E411" s="107" t="s">
        <v>130</v>
      </c>
      <c r="F411" s="69" t="s">
        <v>2371</v>
      </c>
      <c r="G411" s="69"/>
      <c r="I411" s="69">
        <v>74100</v>
      </c>
      <c r="U411" s="69"/>
      <c r="V411" s="69"/>
      <c r="AS411" s="94">
        <f t="shared" si="41"/>
        <v>74100</v>
      </c>
      <c r="AT411" s="69">
        <v>65779</v>
      </c>
      <c r="AU411" s="69">
        <v>1996</v>
      </c>
      <c r="AW411" s="69">
        <v>5</v>
      </c>
      <c r="BD411" s="69"/>
      <c r="BE411" s="69"/>
      <c r="BG411" s="69">
        <v>1950</v>
      </c>
      <c r="BH411" s="69">
        <v>80</v>
      </c>
      <c r="BI411" s="69">
        <f>292.5*2</f>
        <v>585</v>
      </c>
      <c r="BJ411" s="69">
        <v>3705</v>
      </c>
      <c r="CE411" s="94">
        <f t="shared" si="42"/>
        <v>74100</v>
      </c>
      <c r="CF411" s="73">
        <f t="shared" si="43"/>
        <v>0</v>
      </c>
      <c r="CG411" s="75">
        <f t="shared" si="44"/>
        <v>6468</v>
      </c>
      <c r="CH411" s="75" t="str">
        <f t="shared" si="44"/>
        <v>خ ت طب</v>
      </c>
    </row>
    <row r="412" spans="2:87" x14ac:dyDescent="0.25">
      <c r="C412" s="82">
        <v>10529</v>
      </c>
      <c r="D412" s="78">
        <v>6469</v>
      </c>
      <c r="E412" s="107" t="s">
        <v>130</v>
      </c>
      <c r="F412" s="69" t="s">
        <v>2371</v>
      </c>
      <c r="G412" s="69"/>
      <c r="I412" s="69">
        <v>61104</v>
      </c>
      <c r="U412" s="69"/>
      <c r="V412" s="69"/>
      <c r="AS412" s="94">
        <f t="shared" si="41"/>
        <v>61104</v>
      </c>
      <c r="AT412" s="69">
        <v>54151</v>
      </c>
      <c r="AU412" s="69">
        <v>1722.4</v>
      </c>
      <c r="AW412" s="69">
        <v>5</v>
      </c>
      <c r="BD412" s="69"/>
      <c r="BE412" s="69"/>
      <c r="BG412" s="69">
        <v>1608</v>
      </c>
      <c r="BH412" s="69">
        <v>80</v>
      </c>
      <c r="BI412" s="69">
        <f>241.2*2</f>
        <v>482.4</v>
      </c>
      <c r="BJ412" s="69">
        <v>3055.2</v>
      </c>
      <c r="CE412" s="94">
        <f t="shared" si="42"/>
        <v>61104</v>
      </c>
      <c r="CF412" s="73">
        <f t="shared" si="43"/>
        <v>0</v>
      </c>
      <c r="CG412" s="75">
        <f t="shared" si="44"/>
        <v>6469</v>
      </c>
      <c r="CH412" s="75" t="str">
        <f t="shared" si="44"/>
        <v>خ ت طب</v>
      </c>
    </row>
    <row r="413" spans="2:87" x14ac:dyDescent="0.25">
      <c r="C413" s="82">
        <v>10702</v>
      </c>
      <c r="D413" s="78">
        <v>6470</v>
      </c>
      <c r="E413" s="107" t="s">
        <v>130</v>
      </c>
      <c r="F413" s="69" t="s">
        <v>2371</v>
      </c>
      <c r="G413" s="69"/>
      <c r="I413" s="69">
        <v>33487.5</v>
      </c>
      <c r="U413" s="69"/>
      <c r="V413" s="69"/>
      <c r="AS413" s="94">
        <f t="shared" si="41"/>
        <v>33487.5</v>
      </c>
      <c r="AT413" s="69">
        <v>29441.45</v>
      </c>
      <c r="AU413" s="69">
        <v>1141</v>
      </c>
      <c r="AW413" s="69">
        <v>5</v>
      </c>
      <c r="BD413" s="69"/>
      <c r="BE413" s="69"/>
      <c r="BG413" s="69">
        <v>881.25</v>
      </c>
      <c r="BH413" s="69">
        <v>80</v>
      </c>
      <c r="BI413" s="69">
        <f>132.2*2</f>
        <v>264.39999999999998</v>
      </c>
      <c r="BJ413" s="69">
        <v>1674.4</v>
      </c>
      <c r="CE413" s="94">
        <f t="shared" si="42"/>
        <v>33487.5</v>
      </c>
      <c r="CF413" s="73">
        <f t="shared" si="43"/>
        <v>0</v>
      </c>
      <c r="CG413" s="75">
        <f t="shared" si="44"/>
        <v>6470</v>
      </c>
      <c r="CH413" s="75" t="str">
        <f t="shared" si="44"/>
        <v>خ ت طب</v>
      </c>
    </row>
    <row r="414" spans="2:87" x14ac:dyDescent="0.25">
      <c r="C414" s="82">
        <v>8747</v>
      </c>
      <c r="D414" s="78">
        <v>6471</v>
      </c>
      <c r="E414" s="107" t="s">
        <v>132</v>
      </c>
      <c r="F414" s="69" t="s">
        <v>2372</v>
      </c>
      <c r="G414" s="69"/>
      <c r="I414" s="69">
        <v>10656</v>
      </c>
      <c r="U414" s="69"/>
      <c r="V414" s="69"/>
      <c r="AS414" s="94">
        <f t="shared" si="41"/>
        <v>10656</v>
      </c>
      <c r="AT414" s="69">
        <v>9848.4</v>
      </c>
      <c r="AU414" s="69">
        <v>669</v>
      </c>
      <c r="BD414" s="69"/>
      <c r="BE414" s="69"/>
      <c r="BG414" s="69">
        <v>106.6</v>
      </c>
      <c r="BH414" s="69">
        <v>32</v>
      </c>
      <c r="CE414" s="94">
        <f t="shared" si="42"/>
        <v>10656</v>
      </c>
      <c r="CF414" s="73">
        <f t="shared" si="43"/>
        <v>0</v>
      </c>
      <c r="CG414" s="75">
        <f t="shared" si="44"/>
        <v>6471</v>
      </c>
      <c r="CH414" s="75" t="str">
        <f t="shared" si="44"/>
        <v>صيدلة اكلينيكى</v>
      </c>
    </row>
    <row r="415" spans="2:87" x14ac:dyDescent="0.25">
      <c r="C415" s="82">
        <v>10230</v>
      </c>
      <c r="D415" s="78">
        <v>6472</v>
      </c>
      <c r="E415" s="107" t="s">
        <v>121</v>
      </c>
      <c r="F415" s="69" t="s">
        <v>2373</v>
      </c>
      <c r="G415" s="69"/>
      <c r="I415" s="69">
        <v>199500</v>
      </c>
      <c r="U415" s="69"/>
      <c r="V415" s="69"/>
      <c r="AS415" s="94">
        <f t="shared" si="41"/>
        <v>199500</v>
      </c>
      <c r="AT415" s="69">
        <v>177916.2</v>
      </c>
      <c r="AU415" s="69">
        <f>1149.75+3449.25+55.8</f>
        <v>4654.8</v>
      </c>
      <c r="AW415" s="69">
        <v>5</v>
      </c>
      <c r="BD415" s="69"/>
      <c r="BE415" s="69"/>
      <c r="BG415" s="69">
        <v>5250</v>
      </c>
      <c r="BH415" s="69">
        <v>124</v>
      </c>
      <c r="BI415" s="69">
        <f>787.5*2</f>
        <v>1575</v>
      </c>
      <c r="BJ415" s="69">
        <v>9975</v>
      </c>
      <c r="CE415" s="94">
        <f t="shared" si="42"/>
        <v>199500</v>
      </c>
      <c r="CF415" s="73">
        <f t="shared" si="43"/>
        <v>0</v>
      </c>
      <c r="CG415" s="75">
        <f t="shared" si="44"/>
        <v>6472</v>
      </c>
      <c r="CH415" s="75" t="str">
        <f t="shared" si="44"/>
        <v>ماليزى اسنان</v>
      </c>
    </row>
    <row r="416" spans="2:87" x14ac:dyDescent="0.25">
      <c r="C416" s="82">
        <v>10233</v>
      </c>
      <c r="D416" s="78">
        <v>6473</v>
      </c>
      <c r="E416" s="107" t="s">
        <v>121</v>
      </c>
      <c r="F416" s="69" t="s">
        <v>2374</v>
      </c>
      <c r="G416" s="69"/>
      <c r="I416" s="69">
        <v>54000</v>
      </c>
      <c r="U416" s="69"/>
      <c r="V416" s="69"/>
      <c r="AS416" s="94">
        <f t="shared" si="41"/>
        <v>54000</v>
      </c>
      <c r="AT416" s="69">
        <v>47673.7</v>
      </c>
      <c r="AU416" s="69">
        <f>384+1152+73.8</f>
        <v>1609.8</v>
      </c>
      <c r="AW416" s="69">
        <v>5</v>
      </c>
      <c r="BD416" s="69"/>
      <c r="BE416" s="69"/>
      <c r="BG416" s="69">
        <v>1421</v>
      </c>
      <c r="BH416" s="69">
        <v>164</v>
      </c>
      <c r="BI416" s="69">
        <f>213.25*2</f>
        <v>426.5</v>
      </c>
      <c r="BJ416" s="69">
        <v>2700</v>
      </c>
      <c r="CE416" s="94">
        <f t="shared" si="42"/>
        <v>54000</v>
      </c>
      <c r="CF416" s="73">
        <f t="shared" si="43"/>
        <v>0</v>
      </c>
      <c r="CG416" s="75">
        <f t="shared" si="44"/>
        <v>6473</v>
      </c>
      <c r="CH416" s="75" t="str">
        <f t="shared" si="44"/>
        <v>ماليزى اسنان</v>
      </c>
    </row>
    <row r="417" spans="3:92" s="68" customFormat="1" x14ac:dyDescent="0.25">
      <c r="C417" s="83"/>
      <c r="D417" s="84"/>
      <c r="E417" s="108"/>
      <c r="F417" s="68" t="s">
        <v>2375</v>
      </c>
      <c r="I417" s="68">
        <f>SUM(I409:I416)</f>
        <v>6084507.7999999998</v>
      </c>
      <c r="J417" s="68">
        <f t="shared" ref="J417:BU417" si="47">SUM(J409:J416)</f>
        <v>0</v>
      </c>
      <c r="K417" s="68">
        <f t="shared" si="47"/>
        <v>0</v>
      </c>
      <c r="L417" s="68">
        <f t="shared" si="47"/>
        <v>0</v>
      </c>
      <c r="M417" s="68">
        <f t="shared" si="47"/>
        <v>0</v>
      </c>
      <c r="N417" s="68">
        <f t="shared" si="47"/>
        <v>0</v>
      </c>
      <c r="O417" s="68">
        <f t="shared" si="47"/>
        <v>0</v>
      </c>
      <c r="P417" s="68">
        <f t="shared" si="47"/>
        <v>0</v>
      </c>
      <c r="Q417" s="68">
        <f t="shared" si="47"/>
        <v>0</v>
      </c>
      <c r="R417" s="68">
        <f t="shared" si="47"/>
        <v>0</v>
      </c>
      <c r="S417" s="68">
        <f t="shared" si="47"/>
        <v>0</v>
      </c>
      <c r="T417" s="68">
        <f t="shared" si="47"/>
        <v>0</v>
      </c>
      <c r="U417" s="68">
        <f t="shared" si="47"/>
        <v>0</v>
      </c>
      <c r="V417" s="68">
        <f t="shared" si="47"/>
        <v>0</v>
      </c>
      <c r="W417" s="68">
        <f t="shared" si="47"/>
        <v>0</v>
      </c>
      <c r="X417" s="68">
        <f t="shared" si="47"/>
        <v>0</v>
      </c>
      <c r="Y417" s="68">
        <f t="shared" si="47"/>
        <v>0</v>
      </c>
      <c r="Z417" s="68">
        <f t="shared" si="47"/>
        <v>0</v>
      </c>
      <c r="AA417" s="68">
        <f t="shared" si="47"/>
        <v>0</v>
      </c>
      <c r="AB417" s="68">
        <f t="shared" si="47"/>
        <v>0</v>
      </c>
      <c r="AC417" s="68">
        <f t="shared" si="47"/>
        <v>0</v>
      </c>
      <c r="AD417" s="68">
        <f t="shared" si="47"/>
        <v>0</v>
      </c>
      <c r="AE417" s="68">
        <f t="shared" si="47"/>
        <v>0</v>
      </c>
      <c r="AF417" s="68">
        <f t="shared" si="47"/>
        <v>0</v>
      </c>
      <c r="AG417" s="68">
        <f t="shared" si="47"/>
        <v>0</v>
      </c>
      <c r="AH417" s="68">
        <f t="shared" si="47"/>
        <v>0</v>
      </c>
      <c r="AI417" s="68">
        <f t="shared" si="47"/>
        <v>0</v>
      </c>
      <c r="AJ417" s="68">
        <f t="shared" si="47"/>
        <v>0</v>
      </c>
      <c r="AK417" s="68">
        <f t="shared" si="47"/>
        <v>0</v>
      </c>
      <c r="AL417" s="68">
        <f t="shared" si="47"/>
        <v>0</v>
      </c>
      <c r="AM417" s="68">
        <f t="shared" si="47"/>
        <v>0</v>
      </c>
      <c r="AN417" s="68">
        <f t="shared" si="47"/>
        <v>0</v>
      </c>
      <c r="AO417" s="68">
        <f t="shared" si="47"/>
        <v>0</v>
      </c>
      <c r="AP417" s="68">
        <f t="shared" si="47"/>
        <v>0</v>
      </c>
      <c r="AQ417" s="68">
        <f t="shared" si="47"/>
        <v>0</v>
      </c>
      <c r="AR417" s="68">
        <f t="shared" si="47"/>
        <v>0</v>
      </c>
      <c r="AS417" s="68">
        <f t="shared" si="47"/>
        <v>6084507.7999999998</v>
      </c>
      <c r="AT417" s="68">
        <f t="shared" si="47"/>
        <v>5577749.8000000007</v>
      </c>
      <c r="AU417" s="68">
        <f t="shared" si="47"/>
        <v>143032.99999999997</v>
      </c>
      <c r="AV417" s="68">
        <f t="shared" si="47"/>
        <v>0</v>
      </c>
      <c r="AW417" s="68">
        <f t="shared" si="47"/>
        <v>30</v>
      </c>
      <c r="AX417" s="68">
        <f t="shared" si="47"/>
        <v>0</v>
      </c>
      <c r="AY417" s="68">
        <f t="shared" si="47"/>
        <v>0</v>
      </c>
      <c r="AZ417" s="68">
        <f t="shared" si="47"/>
        <v>0</v>
      </c>
      <c r="BA417" s="68">
        <f t="shared" si="47"/>
        <v>0</v>
      </c>
      <c r="BB417" s="68">
        <f t="shared" si="47"/>
        <v>0</v>
      </c>
      <c r="BC417" s="68">
        <f t="shared" si="47"/>
        <v>0</v>
      </c>
      <c r="BD417" s="68">
        <f t="shared" si="47"/>
        <v>0</v>
      </c>
      <c r="BE417" s="68">
        <f t="shared" si="47"/>
        <v>0</v>
      </c>
      <c r="BF417" s="68">
        <f t="shared" si="47"/>
        <v>4400</v>
      </c>
      <c r="BG417" s="68">
        <f t="shared" si="47"/>
        <v>18314.849999999999</v>
      </c>
      <c r="BH417" s="68">
        <f t="shared" si="47"/>
        <v>640</v>
      </c>
      <c r="BI417" s="68">
        <f t="shared" si="47"/>
        <v>36647.75</v>
      </c>
      <c r="BJ417" s="68">
        <f t="shared" si="47"/>
        <v>303692.40000000002</v>
      </c>
      <c r="BK417" s="68">
        <f t="shared" si="47"/>
        <v>0</v>
      </c>
      <c r="BL417" s="68">
        <f t="shared" si="47"/>
        <v>0</v>
      </c>
      <c r="BM417" s="68">
        <f t="shared" si="47"/>
        <v>0</v>
      </c>
      <c r="BN417" s="68">
        <f t="shared" si="47"/>
        <v>0</v>
      </c>
      <c r="BO417" s="68">
        <f t="shared" si="47"/>
        <v>0</v>
      </c>
      <c r="BP417" s="68">
        <f t="shared" si="47"/>
        <v>0</v>
      </c>
      <c r="BQ417" s="68">
        <f t="shared" si="47"/>
        <v>0</v>
      </c>
      <c r="BR417" s="68">
        <f t="shared" si="47"/>
        <v>0</v>
      </c>
      <c r="BS417" s="68">
        <f t="shared" si="47"/>
        <v>0</v>
      </c>
      <c r="BT417" s="68">
        <f t="shared" si="47"/>
        <v>0</v>
      </c>
      <c r="BU417" s="68">
        <f t="shared" si="47"/>
        <v>0</v>
      </c>
      <c r="BV417" s="68">
        <f t="shared" ref="BV417:CN417" si="48">SUM(BV409:BV416)</f>
        <v>0</v>
      </c>
      <c r="BW417" s="68">
        <f t="shared" si="48"/>
        <v>0</v>
      </c>
      <c r="BX417" s="68">
        <f t="shared" si="48"/>
        <v>0</v>
      </c>
      <c r="BY417" s="68">
        <f t="shared" si="48"/>
        <v>0</v>
      </c>
      <c r="BZ417" s="68">
        <f t="shared" si="48"/>
        <v>0</v>
      </c>
      <c r="CA417" s="68">
        <f t="shared" si="48"/>
        <v>0</v>
      </c>
      <c r="CB417" s="68">
        <f t="shared" si="48"/>
        <v>0</v>
      </c>
      <c r="CC417" s="68">
        <f t="shared" si="48"/>
        <v>0</v>
      </c>
      <c r="CD417" s="68">
        <f t="shared" si="48"/>
        <v>0</v>
      </c>
      <c r="CE417" s="68">
        <f t="shared" si="48"/>
        <v>6084507.7999999989</v>
      </c>
      <c r="CF417" s="68">
        <f t="shared" si="48"/>
        <v>0</v>
      </c>
      <c r="CH417" s="67">
        <f t="shared" si="48"/>
        <v>0</v>
      </c>
      <c r="CI417" s="68">
        <f t="shared" si="48"/>
        <v>0</v>
      </c>
      <c r="CJ417" s="68">
        <f t="shared" si="48"/>
        <v>0</v>
      </c>
      <c r="CK417" s="68">
        <f t="shared" si="48"/>
        <v>0</v>
      </c>
      <c r="CL417" s="68">
        <f t="shared" si="48"/>
        <v>0</v>
      </c>
      <c r="CM417" s="68">
        <f t="shared" si="48"/>
        <v>0</v>
      </c>
      <c r="CN417" s="68">
        <f t="shared" si="48"/>
        <v>0</v>
      </c>
    </row>
    <row r="418" spans="3:92" x14ac:dyDescent="0.25">
      <c r="C418" s="82">
        <v>11498</v>
      </c>
      <c r="D418" s="78">
        <v>6474</v>
      </c>
      <c r="E418" s="107" t="s">
        <v>78</v>
      </c>
      <c r="F418" s="69" t="s">
        <v>2376</v>
      </c>
      <c r="G418" s="69"/>
      <c r="H418" s="69">
        <v>1055.24</v>
      </c>
      <c r="U418" s="69"/>
      <c r="V418" s="69"/>
      <c r="AS418" s="94">
        <f t="shared" si="41"/>
        <v>1055.24</v>
      </c>
      <c r="AT418" s="69">
        <v>706.4</v>
      </c>
      <c r="AU418" s="69">
        <v>94.6</v>
      </c>
      <c r="AV418" s="69">
        <v>254.24</v>
      </c>
      <c r="BD418" s="69"/>
      <c r="BE418" s="69"/>
      <c r="CE418" s="94">
        <f t="shared" ref="CE418:CE480" si="49">SUM(AT418:CD418)</f>
        <v>1055.24</v>
      </c>
      <c r="CF418" s="73">
        <f t="shared" ref="CF418:CF481" si="50">+CE418-AS418</f>
        <v>0</v>
      </c>
      <c r="CG418" s="75">
        <f t="shared" ref="CG418:CH480" si="51">+D418</f>
        <v>6474</v>
      </c>
      <c r="CH418" s="75" t="str">
        <f t="shared" si="51"/>
        <v>برنامج دولى</v>
      </c>
    </row>
    <row r="419" spans="3:92" x14ac:dyDescent="0.25">
      <c r="C419" s="82">
        <v>11497</v>
      </c>
      <c r="D419" s="78">
        <v>6475</v>
      </c>
      <c r="E419" s="107" t="s">
        <v>78</v>
      </c>
      <c r="F419" s="69" t="s">
        <v>2376</v>
      </c>
      <c r="G419" s="69"/>
      <c r="H419" s="69">
        <v>527.62</v>
      </c>
      <c r="U419" s="69"/>
      <c r="V419" s="69"/>
      <c r="AS419" s="94">
        <f t="shared" si="41"/>
        <v>527.62</v>
      </c>
      <c r="AT419" s="69">
        <v>353.2</v>
      </c>
      <c r="AU419" s="69">
        <v>47.3</v>
      </c>
      <c r="AV419" s="69">
        <v>127.12</v>
      </c>
      <c r="BD419" s="69"/>
      <c r="BE419" s="69"/>
      <c r="CE419" s="94">
        <f t="shared" si="49"/>
        <v>527.62</v>
      </c>
      <c r="CF419" s="73">
        <f t="shared" si="50"/>
        <v>0</v>
      </c>
      <c r="CG419" s="75">
        <f t="shared" si="51"/>
        <v>6475</v>
      </c>
      <c r="CH419" s="75" t="str">
        <f t="shared" si="51"/>
        <v>برنامج دولى</v>
      </c>
    </row>
    <row r="420" spans="3:92" x14ac:dyDescent="0.25">
      <c r="C420" s="82">
        <v>11496</v>
      </c>
      <c r="D420" s="78">
        <v>6476</v>
      </c>
      <c r="E420" s="107" t="s">
        <v>78</v>
      </c>
      <c r="F420" s="69" t="s">
        <v>2376</v>
      </c>
      <c r="G420" s="69"/>
      <c r="H420" s="69">
        <v>1055.24</v>
      </c>
      <c r="U420" s="69"/>
      <c r="V420" s="69"/>
      <c r="AS420" s="94">
        <f t="shared" si="41"/>
        <v>1055.24</v>
      </c>
      <c r="AT420" s="69">
        <v>706.4</v>
      </c>
      <c r="AU420" s="69">
        <v>94.6</v>
      </c>
      <c r="AV420" s="69">
        <v>254.24</v>
      </c>
      <c r="BD420" s="69"/>
      <c r="BE420" s="69"/>
      <c r="CE420" s="94">
        <f t="shared" si="49"/>
        <v>1055.24</v>
      </c>
      <c r="CF420" s="73">
        <f t="shared" si="50"/>
        <v>0</v>
      </c>
      <c r="CG420" s="75">
        <f t="shared" si="51"/>
        <v>6476</v>
      </c>
      <c r="CH420" s="75" t="str">
        <f t="shared" si="51"/>
        <v>برنامج دولى</v>
      </c>
    </row>
    <row r="421" spans="3:92" x14ac:dyDescent="0.25">
      <c r="C421" s="82">
        <v>11495</v>
      </c>
      <c r="D421" s="78">
        <v>6477</v>
      </c>
      <c r="E421" s="107" t="s">
        <v>78</v>
      </c>
      <c r="F421" s="69" t="s">
        <v>2376</v>
      </c>
      <c r="G421" s="69"/>
      <c r="H421" s="69">
        <v>4045.12</v>
      </c>
      <c r="U421" s="69"/>
      <c r="V421" s="69"/>
      <c r="AS421" s="94">
        <f t="shared" si="41"/>
        <v>4045.12</v>
      </c>
      <c r="AT421" s="69">
        <v>2703.55</v>
      </c>
      <c r="AU421" s="69">
        <v>366.95</v>
      </c>
      <c r="AV421" s="109">
        <v>974.62</v>
      </c>
      <c r="BD421" s="69"/>
      <c r="BE421" s="69"/>
      <c r="CE421" s="94">
        <f t="shared" si="49"/>
        <v>4045.12</v>
      </c>
      <c r="CF421" s="73">
        <f t="shared" si="50"/>
        <v>0</v>
      </c>
      <c r="CG421" s="75">
        <f t="shared" si="51"/>
        <v>6477</v>
      </c>
      <c r="CH421" s="75" t="str">
        <f t="shared" si="51"/>
        <v>برنامج دولى</v>
      </c>
    </row>
    <row r="422" spans="3:92" x14ac:dyDescent="0.25">
      <c r="C422" s="82">
        <v>11494</v>
      </c>
      <c r="D422" s="78">
        <v>6478</v>
      </c>
      <c r="E422" s="107" t="s">
        <v>78</v>
      </c>
      <c r="F422" s="69" t="s">
        <v>2377</v>
      </c>
      <c r="G422" s="69"/>
      <c r="H422" s="69">
        <v>1407</v>
      </c>
      <c r="U422" s="69"/>
      <c r="V422" s="69"/>
      <c r="AS422" s="94">
        <f t="shared" si="41"/>
        <v>1407</v>
      </c>
      <c r="AT422" s="69">
        <v>940.35</v>
      </c>
      <c r="AU422" s="69">
        <v>127.65</v>
      </c>
      <c r="AV422" s="69">
        <v>339</v>
      </c>
      <c r="BD422" s="69"/>
      <c r="BE422" s="69"/>
      <c r="CE422" s="94">
        <f t="shared" si="49"/>
        <v>1407</v>
      </c>
      <c r="CF422" s="73">
        <f t="shared" si="50"/>
        <v>0</v>
      </c>
      <c r="CG422" s="75">
        <f t="shared" si="51"/>
        <v>6478</v>
      </c>
      <c r="CH422" s="75" t="str">
        <f t="shared" si="51"/>
        <v>برنامج دولى</v>
      </c>
    </row>
    <row r="423" spans="3:92" x14ac:dyDescent="0.25">
      <c r="C423" s="82">
        <v>11493</v>
      </c>
      <c r="D423" s="78">
        <v>6479</v>
      </c>
      <c r="E423" s="107" t="s">
        <v>78</v>
      </c>
      <c r="F423" s="69" t="s">
        <v>2377</v>
      </c>
      <c r="G423" s="69"/>
      <c r="H423" s="69">
        <v>1758.75</v>
      </c>
      <c r="U423" s="69"/>
      <c r="V423" s="69"/>
      <c r="AS423" s="94">
        <f t="shared" si="41"/>
        <v>1758.75</v>
      </c>
      <c r="AT423" s="69">
        <v>1175.3499999999999</v>
      </c>
      <c r="AU423" s="69">
        <v>159.65</v>
      </c>
      <c r="AV423" s="69">
        <v>423.75</v>
      </c>
      <c r="BD423" s="69"/>
      <c r="BE423" s="69"/>
      <c r="CE423" s="94">
        <f t="shared" si="49"/>
        <v>1758.75</v>
      </c>
      <c r="CF423" s="73">
        <f t="shared" si="50"/>
        <v>0</v>
      </c>
      <c r="CG423" s="75">
        <f t="shared" si="51"/>
        <v>6479</v>
      </c>
      <c r="CH423" s="75" t="str">
        <f t="shared" si="51"/>
        <v>برنامج دولى</v>
      </c>
    </row>
    <row r="424" spans="3:92" x14ac:dyDescent="0.25">
      <c r="C424" s="82">
        <v>11492</v>
      </c>
      <c r="D424" s="78">
        <v>6480</v>
      </c>
      <c r="E424" s="107" t="s">
        <v>78</v>
      </c>
      <c r="F424" s="69" t="s">
        <v>2377</v>
      </c>
      <c r="G424" s="69"/>
      <c r="H424" s="69">
        <v>6565.98</v>
      </c>
      <c r="U424" s="69"/>
      <c r="V424" s="69"/>
      <c r="AS424" s="94">
        <f t="shared" si="41"/>
        <v>6565.98</v>
      </c>
      <c r="AT424" s="69">
        <v>4390.6499999999996</v>
      </c>
      <c r="AU424" s="69">
        <v>593.35</v>
      </c>
      <c r="AV424" s="69">
        <v>1581.98</v>
      </c>
      <c r="BD424" s="69"/>
      <c r="BE424" s="69"/>
      <c r="CE424" s="94">
        <f t="shared" si="49"/>
        <v>6565.98</v>
      </c>
      <c r="CF424" s="73">
        <f t="shared" si="50"/>
        <v>0</v>
      </c>
      <c r="CG424" s="75">
        <f t="shared" si="51"/>
        <v>6480</v>
      </c>
      <c r="CH424" s="75" t="str">
        <f t="shared" si="51"/>
        <v>برنامج دولى</v>
      </c>
    </row>
    <row r="425" spans="3:92" x14ac:dyDescent="0.25">
      <c r="C425" s="82">
        <v>11491</v>
      </c>
      <c r="D425" s="78">
        <v>6481</v>
      </c>
      <c r="E425" s="107" t="s">
        <v>78</v>
      </c>
      <c r="F425" s="69" t="s">
        <v>2377</v>
      </c>
      <c r="G425" s="69"/>
      <c r="H425" s="69">
        <v>4162.3599999999997</v>
      </c>
      <c r="U425" s="69"/>
      <c r="V425" s="69"/>
      <c r="AS425" s="94">
        <f t="shared" si="41"/>
        <v>4162.3599999999997</v>
      </c>
      <c r="AT425" s="69">
        <v>2783.75</v>
      </c>
      <c r="AU425" s="69">
        <v>375.75</v>
      </c>
      <c r="AV425" s="69">
        <v>1002.86</v>
      </c>
      <c r="BD425" s="69"/>
      <c r="BE425" s="69"/>
      <c r="CE425" s="94">
        <f t="shared" si="49"/>
        <v>4162.3599999999997</v>
      </c>
      <c r="CF425" s="73">
        <f t="shared" si="50"/>
        <v>0</v>
      </c>
      <c r="CG425" s="75">
        <f t="shared" si="51"/>
        <v>6481</v>
      </c>
      <c r="CH425" s="75" t="str">
        <f t="shared" si="51"/>
        <v>برنامج دولى</v>
      </c>
    </row>
    <row r="426" spans="3:92" x14ac:dyDescent="0.25">
      <c r="C426" s="82">
        <v>11490</v>
      </c>
      <c r="D426" s="78">
        <v>6482</v>
      </c>
      <c r="E426" s="107" t="s">
        <v>78</v>
      </c>
      <c r="F426" s="69" t="s">
        <v>2377</v>
      </c>
      <c r="G426" s="69"/>
      <c r="H426" s="69">
        <v>1758.75</v>
      </c>
      <c r="U426" s="69"/>
      <c r="V426" s="69"/>
      <c r="AS426" s="94">
        <f t="shared" si="41"/>
        <v>1758.75</v>
      </c>
      <c r="AT426" s="69">
        <v>1175.3499999999999</v>
      </c>
      <c r="AU426" s="69">
        <v>159.65</v>
      </c>
      <c r="AV426" s="69">
        <v>423.75</v>
      </c>
      <c r="BD426" s="69"/>
      <c r="BE426" s="69"/>
      <c r="CE426" s="94">
        <f t="shared" si="49"/>
        <v>1758.75</v>
      </c>
      <c r="CF426" s="73">
        <f t="shared" si="50"/>
        <v>0</v>
      </c>
      <c r="CG426" s="75">
        <f t="shared" si="51"/>
        <v>6482</v>
      </c>
      <c r="CH426" s="75" t="str">
        <f t="shared" si="51"/>
        <v>برنامج دولى</v>
      </c>
    </row>
    <row r="427" spans="3:92" x14ac:dyDescent="0.25">
      <c r="C427" s="82">
        <v>11489</v>
      </c>
      <c r="D427" s="78">
        <v>6483</v>
      </c>
      <c r="E427" s="107" t="s">
        <v>78</v>
      </c>
      <c r="F427" s="69" t="s">
        <v>2377</v>
      </c>
      <c r="G427" s="69"/>
      <c r="H427" s="69">
        <v>30309.13</v>
      </c>
      <c r="U427" s="69"/>
      <c r="V427" s="69"/>
      <c r="AS427" s="94">
        <f t="shared" si="41"/>
        <v>30309.13</v>
      </c>
      <c r="AT427" s="69">
        <v>20254.349999999999</v>
      </c>
      <c r="AU427" s="69">
        <v>2752.15</v>
      </c>
      <c r="AV427" s="69">
        <v>7302.63</v>
      </c>
      <c r="BD427" s="69"/>
      <c r="BE427" s="69"/>
      <c r="CE427" s="94">
        <f t="shared" si="49"/>
        <v>30309.13</v>
      </c>
      <c r="CF427" s="73">
        <f t="shared" si="50"/>
        <v>0</v>
      </c>
      <c r="CG427" s="75">
        <f t="shared" si="51"/>
        <v>6483</v>
      </c>
      <c r="CH427" s="75" t="str">
        <f t="shared" si="51"/>
        <v>برنامج دولى</v>
      </c>
    </row>
    <row r="428" spans="3:92" x14ac:dyDescent="0.25">
      <c r="C428" s="82">
        <v>11488</v>
      </c>
      <c r="D428" s="78">
        <v>6484</v>
      </c>
      <c r="E428" s="107" t="s">
        <v>78</v>
      </c>
      <c r="F428" s="69" t="s">
        <v>2377</v>
      </c>
      <c r="G428" s="69"/>
      <c r="H428" s="69">
        <v>996.62</v>
      </c>
      <c r="U428" s="69"/>
      <c r="V428" s="69"/>
      <c r="AS428" s="94">
        <f t="shared" si="41"/>
        <v>996.62</v>
      </c>
      <c r="AT428" s="69">
        <v>666.55</v>
      </c>
      <c r="AU428" s="69">
        <v>89.95</v>
      </c>
      <c r="AV428" s="69">
        <v>240.12</v>
      </c>
      <c r="BD428" s="69"/>
      <c r="BE428" s="69"/>
      <c r="CE428" s="94">
        <f t="shared" si="49"/>
        <v>996.62</v>
      </c>
      <c r="CF428" s="73">
        <f t="shared" si="50"/>
        <v>0</v>
      </c>
      <c r="CG428" s="75">
        <f t="shared" si="51"/>
        <v>6484</v>
      </c>
      <c r="CH428" s="75" t="str">
        <f t="shared" si="51"/>
        <v>برنامج دولى</v>
      </c>
    </row>
    <row r="429" spans="3:92" x14ac:dyDescent="0.25">
      <c r="C429" s="82">
        <v>11487</v>
      </c>
      <c r="D429" s="78">
        <v>6485</v>
      </c>
      <c r="E429" s="107" t="s">
        <v>78</v>
      </c>
      <c r="F429" s="69" t="s">
        <v>2377</v>
      </c>
      <c r="G429" s="69"/>
      <c r="H429" s="69">
        <v>996.62</v>
      </c>
      <c r="U429" s="69"/>
      <c r="V429" s="69"/>
      <c r="AS429" s="94">
        <f t="shared" si="41"/>
        <v>996.62</v>
      </c>
      <c r="AT429" s="69">
        <v>666.55</v>
      </c>
      <c r="AU429" s="69">
        <v>89.95</v>
      </c>
      <c r="AV429" s="69">
        <v>240.12</v>
      </c>
      <c r="BD429" s="69"/>
      <c r="BE429" s="69"/>
      <c r="CE429" s="94">
        <f t="shared" si="49"/>
        <v>996.62</v>
      </c>
      <c r="CF429" s="73">
        <f t="shared" si="50"/>
        <v>0</v>
      </c>
      <c r="CG429" s="75">
        <f t="shared" si="51"/>
        <v>6485</v>
      </c>
      <c r="CH429" s="75" t="str">
        <f t="shared" si="51"/>
        <v>برنامج دولى</v>
      </c>
    </row>
    <row r="430" spans="3:92" x14ac:dyDescent="0.25">
      <c r="C430" s="82">
        <v>11486</v>
      </c>
      <c r="D430" s="78">
        <v>6486</v>
      </c>
      <c r="E430" s="107" t="s">
        <v>78</v>
      </c>
      <c r="F430" s="69" t="s">
        <v>2377</v>
      </c>
      <c r="G430" s="69"/>
      <c r="H430" s="69">
        <v>1407</v>
      </c>
      <c r="U430" s="69"/>
      <c r="V430" s="69"/>
      <c r="AS430" s="94">
        <f t="shared" si="41"/>
        <v>1407</v>
      </c>
      <c r="AT430" s="69">
        <v>940.35</v>
      </c>
      <c r="AU430" s="69">
        <v>127.65</v>
      </c>
      <c r="AV430" s="69">
        <v>339</v>
      </c>
      <c r="BD430" s="69"/>
      <c r="BE430" s="69"/>
      <c r="CE430" s="94">
        <f t="shared" si="49"/>
        <v>1407</v>
      </c>
      <c r="CF430" s="73">
        <f t="shared" si="50"/>
        <v>0</v>
      </c>
      <c r="CG430" s="75">
        <f t="shared" si="51"/>
        <v>6486</v>
      </c>
      <c r="CH430" s="75" t="str">
        <f t="shared" si="51"/>
        <v>برنامج دولى</v>
      </c>
    </row>
    <row r="431" spans="3:92" x14ac:dyDescent="0.25">
      <c r="C431" s="82">
        <v>11485</v>
      </c>
      <c r="D431" s="78">
        <v>6487</v>
      </c>
      <c r="E431" s="107" t="s">
        <v>78</v>
      </c>
      <c r="F431" s="69" t="s">
        <v>2377</v>
      </c>
      <c r="G431" s="69"/>
      <c r="H431" s="69">
        <v>20577.330000000002</v>
      </c>
      <c r="U431" s="69"/>
      <c r="V431" s="69"/>
      <c r="AS431" s="94">
        <f t="shared" si="41"/>
        <v>20577.330000000002</v>
      </c>
      <c r="AT431" s="69">
        <v>13757.7</v>
      </c>
      <c r="AU431" s="69">
        <v>1861.8</v>
      </c>
      <c r="AV431" s="69">
        <v>4957.83</v>
      </c>
      <c r="BD431" s="69"/>
      <c r="BE431" s="69"/>
      <c r="CE431" s="94">
        <f t="shared" si="49"/>
        <v>20577.330000000002</v>
      </c>
      <c r="CF431" s="73">
        <f t="shared" si="50"/>
        <v>0</v>
      </c>
      <c r="CG431" s="75">
        <f t="shared" si="51"/>
        <v>6487</v>
      </c>
      <c r="CH431" s="75" t="str">
        <f t="shared" si="51"/>
        <v>برنامج دولى</v>
      </c>
    </row>
    <row r="432" spans="3:92" x14ac:dyDescent="0.25">
      <c r="C432" s="82">
        <v>11484</v>
      </c>
      <c r="D432" s="78">
        <v>6488</v>
      </c>
      <c r="E432" s="107" t="s">
        <v>78</v>
      </c>
      <c r="F432" s="69" t="s">
        <v>2378</v>
      </c>
      <c r="G432" s="69"/>
      <c r="H432" s="69">
        <v>11234.9</v>
      </c>
      <c r="U432" s="69"/>
      <c r="V432" s="69"/>
      <c r="AS432" s="94">
        <f t="shared" si="41"/>
        <v>11234.9</v>
      </c>
      <c r="AT432" s="69">
        <v>7498.98</v>
      </c>
      <c r="AU432" s="69">
        <f>70.8+958.2</f>
        <v>1029</v>
      </c>
      <c r="AV432" s="69">
        <v>2706.92</v>
      </c>
      <c r="BD432" s="69"/>
      <c r="BE432" s="69"/>
      <c r="CE432" s="94">
        <f t="shared" si="49"/>
        <v>11234.9</v>
      </c>
      <c r="CF432" s="73">
        <f t="shared" si="50"/>
        <v>0</v>
      </c>
      <c r="CG432" s="75">
        <f t="shared" si="51"/>
        <v>6488</v>
      </c>
      <c r="CH432" s="75" t="str">
        <f t="shared" si="51"/>
        <v>برنامج دولى</v>
      </c>
    </row>
    <row r="433" spans="3:86" x14ac:dyDescent="0.25">
      <c r="C433" s="82">
        <v>11483</v>
      </c>
      <c r="D433" s="78">
        <v>6489</v>
      </c>
      <c r="E433" s="107" t="s">
        <v>78</v>
      </c>
      <c r="F433" s="69" t="s">
        <v>2379</v>
      </c>
      <c r="G433" s="69"/>
      <c r="H433" s="69">
        <v>4748.63</v>
      </c>
      <c r="U433" s="69"/>
      <c r="V433" s="69"/>
      <c r="AS433" s="94">
        <f t="shared" si="41"/>
        <v>4748.63</v>
      </c>
      <c r="AT433" s="69">
        <v>3174.4</v>
      </c>
      <c r="AU433" s="69">
        <f>25.1+405</f>
        <v>430.1</v>
      </c>
      <c r="AV433" s="69">
        <v>1144.1300000000001</v>
      </c>
      <c r="BD433" s="69"/>
      <c r="BE433" s="69"/>
      <c r="CE433" s="94">
        <f t="shared" si="49"/>
        <v>4748.63</v>
      </c>
      <c r="CF433" s="73">
        <f t="shared" si="50"/>
        <v>0</v>
      </c>
      <c r="CG433" s="75">
        <f t="shared" si="51"/>
        <v>6489</v>
      </c>
      <c r="CH433" s="75" t="str">
        <f t="shared" si="51"/>
        <v>برنامج دولى</v>
      </c>
    </row>
    <row r="434" spans="3:86" x14ac:dyDescent="0.25">
      <c r="C434" s="82">
        <v>11482</v>
      </c>
      <c r="D434" s="78">
        <v>6490</v>
      </c>
      <c r="E434" s="107" t="s">
        <v>78</v>
      </c>
      <c r="F434" s="69" t="s">
        <v>1909</v>
      </c>
      <c r="G434" s="69"/>
      <c r="H434" s="69">
        <v>351.75</v>
      </c>
      <c r="U434" s="69"/>
      <c r="V434" s="69"/>
      <c r="AS434" s="94">
        <f t="shared" si="41"/>
        <v>351.75</v>
      </c>
      <c r="AT434" s="69">
        <v>235.55</v>
      </c>
      <c r="AU434" s="69">
        <v>31.45</v>
      </c>
      <c r="AV434" s="69">
        <v>84.75</v>
      </c>
      <c r="BD434" s="69"/>
      <c r="BE434" s="69"/>
      <c r="CE434" s="94">
        <f t="shared" si="49"/>
        <v>351.75</v>
      </c>
      <c r="CF434" s="73">
        <f t="shared" si="50"/>
        <v>0</v>
      </c>
      <c r="CG434" s="75">
        <f t="shared" si="51"/>
        <v>6490</v>
      </c>
      <c r="CH434" s="75" t="str">
        <f t="shared" si="51"/>
        <v>برنامج دولى</v>
      </c>
    </row>
    <row r="435" spans="3:86" x14ac:dyDescent="0.25">
      <c r="C435" s="82">
        <v>11481</v>
      </c>
      <c r="D435" s="78">
        <v>6491</v>
      </c>
      <c r="E435" s="107" t="s">
        <v>78</v>
      </c>
      <c r="F435" s="69" t="s">
        <v>1909</v>
      </c>
      <c r="G435" s="69"/>
      <c r="H435" s="69">
        <v>586.25</v>
      </c>
      <c r="U435" s="69"/>
      <c r="V435" s="69"/>
      <c r="AS435" s="94">
        <f t="shared" si="41"/>
        <v>586.25</v>
      </c>
      <c r="AT435" s="69">
        <v>392.4</v>
      </c>
      <c r="AU435" s="69">
        <v>52.6</v>
      </c>
      <c r="AV435" s="69">
        <v>141.25</v>
      </c>
      <c r="BD435" s="69"/>
      <c r="BE435" s="69"/>
      <c r="CE435" s="94">
        <f t="shared" si="49"/>
        <v>586.25</v>
      </c>
      <c r="CF435" s="73">
        <f t="shared" si="50"/>
        <v>0</v>
      </c>
      <c r="CG435" s="75">
        <f t="shared" si="51"/>
        <v>6491</v>
      </c>
      <c r="CH435" s="75" t="str">
        <f t="shared" si="51"/>
        <v>برنامج دولى</v>
      </c>
    </row>
    <row r="436" spans="3:86" x14ac:dyDescent="0.25">
      <c r="C436" s="82">
        <v>11480</v>
      </c>
      <c r="D436" s="78">
        <v>6492</v>
      </c>
      <c r="E436" s="107" t="s">
        <v>78</v>
      </c>
      <c r="F436" s="69" t="s">
        <v>1909</v>
      </c>
      <c r="G436" s="69"/>
      <c r="H436" s="69">
        <v>351.75</v>
      </c>
      <c r="U436" s="69"/>
      <c r="V436" s="69"/>
      <c r="AS436" s="94">
        <f t="shared" si="41"/>
        <v>351.75</v>
      </c>
      <c r="AT436" s="69">
        <v>235.55</v>
      </c>
      <c r="AU436" s="69">
        <v>31.45</v>
      </c>
      <c r="AV436" s="69">
        <v>84.75</v>
      </c>
      <c r="BD436" s="69"/>
      <c r="BE436" s="69"/>
      <c r="CE436" s="94">
        <f t="shared" si="49"/>
        <v>351.75</v>
      </c>
      <c r="CF436" s="73">
        <f t="shared" si="50"/>
        <v>0</v>
      </c>
      <c r="CG436" s="75">
        <f t="shared" si="51"/>
        <v>6492</v>
      </c>
      <c r="CH436" s="75" t="str">
        <f t="shared" si="51"/>
        <v>برنامج دولى</v>
      </c>
    </row>
    <row r="437" spans="3:86" x14ac:dyDescent="0.25">
      <c r="C437" s="82">
        <v>11479</v>
      </c>
      <c r="D437" s="78">
        <v>6493</v>
      </c>
      <c r="E437" s="107" t="s">
        <v>78</v>
      </c>
      <c r="F437" s="69" t="s">
        <v>1909</v>
      </c>
      <c r="G437" s="69"/>
      <c r="H437" s="69">
        <v>879.38</v>
      </c>
      <c r="U437" s="69"/>
      <c r="V437" s="69"/>
      <c r="AS437" s="94">
        <f t="shared" si="41"/>
        <v>879.38</v>
      </c>
      <c r="AT437" s="69">
        <v>588.15</v>
      </c>
      <c r="AU437" s="69">
        <v>79.349999999999994</v>
      </c>
      <c r="AV437" s="69">
        <v>211.88</v>
      </c>
      <c r="BD437" s="69"/>
      <c r="BE437" s="69"/>
      <c r="CE437" s="94">
        <f t="shared" si="49"/>
        <v>879.38</v>
      </c>
      <c r="CF437" s="73">
        <f t="shared" si="50"/>
        <v>0</v>
      </c>
      <c r="CG437" s="75">
        <f t="shared" si="51"/>
        <v>6493</v>
      </c>
      <c r="CH437" s="75" t="str">
        <f t="shared" si="51"/>
        <v>برنامج دولى</v>
      </c>
    </row>
    <row r="438" spans="3:86" x14ac:dyDescent="0.25">
      <c r="C438" s="82">
        <v>11478</v>
      </c>
      <c r="D438" s="78">
        <v>6494</v>
      </c>
      <c r="E438" s="107" t="s">
        <v>78</v>
      </c>
      <c r="F438" s="69" t="s">
        <v>1909</v>
      </c>
      <c r="G438" s="69"/>
      <c r="H438" s="69">
        <v>996.62</v>
      </c>
      <c r="U438" s="69"/>
      <c r="V438" s="69"/>
      <c r="AS438" s="94">
        <f t="shared" si="41"/>
        <v>996.62</v>
      </c>
      <c r="AT438" s="69">
        <v>666.55</v>
      </c>
      <c r="AU438" s="69">
        <v>89.95</v>
      </c>
      <c r="AV438" s="69">
        <v>240.12</v>
      </c>
      <c r="BD438" s="69"/>
      <c r="BE438" s="69"/>
      <c r="CE438" s="94">
        <f t="shared" si="49"/>
        <v>996.62</v>
      </c>
      <c r="CF438" s="73">
        <f t="shared" si="50"/>
        <v>0</v>
      </c>
      <c r="CG438" s="75">
        <f t="shared" si="51"/>
        <v>6494</v>
      </c>
      <c r="CH438" s="75" t="str">
        <f t="shared" si="51"/>
        <v>برنامج دولى</v>
      </c>
    </row>
    <row r="439" spans="3:86" x14ac:dyDescent="0.25">
      <c r="C439" s="82">
        <v>11477</v>
      </c>
      <c r="D439" s="78">
        <v>6495</v>
      </c>
      <c r="E439" s="107" t="s">
        <v>78</v>
      </c>
      <c r="F439" s="69" t="s">
        <v>1909</v>
      </c>
      <c r="G439" s="69"/>
      <c r="H439" s="69">
        <v>469</v>
      </c>
      <c r="U439" s="69"/>
      <c r="V439" s="69"/>
      <c r="AS439" s="94">
        <f t="shared" si="41"/>
        <v>469</v>
      </c>
      <c r="AT439" s="69">
        <v>314.39999999999998</v>
      </c>
      <c r="AU439" s="69">
        <v>41.6</v>
      </c>
      <c r="AV439" s="69">
        <v>113</v>
      </c>
      <c r="BD439" s="69"/>
      <c r="BE439" s="69"/>
      <c r="CE439" s="94">
        <f t="shared" si="49"/>
        <v>469</v>
      </c>
      <c r="CF439" s="73">
        <f t="shared" si="50"/>
        <v>0</v>
      </c>
      <c r="CG439" s="75">
        <f t="shared" si="51"/>
        <v>6495</v>
      </c>
      <c r="CH439" s="75" t="str">
        <f t="shared" si="51"/>
        <v>برنامج دولى</v>
      </c>
    </row>
    <row r="440" spans="3:86" x14ac:dyDescent="0.25">
      <c r="C440" s="82">
        <v>11476</v>
      </c>
      <c r="D440" s="78">
        <v>6496</v>
      </c>
      <c r="E440" s="107" t="s">
        <v>78</v>
      </c>
      <c r="F440" s="69" t="s">
        <v>1909</v>
      </c>
      <c r="G440" s="69"/>
      <c r="H440" s="69">
        <v>1172.5</v>
      </c>
      <c r="U440" s="69"/>
      <c r="V440" s="69"/>
      <c r="AS440" s="94">
        <f t="shared" si="41"/>
        <v>1172.5</v>
      </c>
      <c r="AT440" s="69">
        <v>784.1</v>
      </c>
      <c r="AU440" s="69">
        <v>105.9</v>
      </c>
      <c r="AV440" s="69">
        <v>282.5</v>
      </c>
      <c r="BD440" s="69"/>
      <c r="BE440" s="69"/>
      <c r="CE440" s="94">
        <f t="shared" si="49"/>
        <v>1172.5</v>
      </c>
      <c r="CF440" s="73">
        <f t="shared" si="50"/>
        <v>0</v>
      </c>
      <c r="CG440" s="75">
        <f t="shared" si="51"/>
        <v>6496</v>
      </c>
      <c r="CH440" s="75" t="str">
        <f t="shared" si="51"/>
        <v>برنامج دولى</v>
      </c>
    </row>
    <row r="441" spans="3:86" x14ac:dyDescent="0.25">
      <c r="C441" s="82">
        <v>11475</v>
      </c>
      <c r="D441" s="78">
        <v>6497</v>
      </c>
      <c r="E441" s="107" t="s">
        <v>78</v>
      </c>
      <c r="F441" s="69" t="s">
        <v>1909</v>
      </c>
      <c r="G441" s="69"/>
      <c r="H441" s="69">
        <v>600</v>
      </c>
      <c r="U441" s="69"/>
      <c r="V441" s="69"/>
      <c r="AS441" s="94">
        <f t="shared" si="41"/>
        <v>600</v>
      </c>
      <c r="AT441" s="69">
        <v>536.15</v>
      </c>
      <c r="AU441" s="69">
        <v>63.85</v>
      </c>
      <c r="BD441" s="69"/>
      <c r="BE441" s="69"/>
      <c r="CE441" s="94">
        <f t="shared" si="49"/>
        <v>600</v>
      </c>
      <c r="CF441" s="73">
        <f t="shared" si="50"/>
        <v>0</v>
      </c>
      <c r="CG441" s="75">
        <f t="shared" si="51"/>
        <v>6497</v>
      </c>
      <c r="CH441" s="75" t="str">
        <f t="shared" si="51"/>
        <v>برنامج دولى</v>
      </c>
    </row>
    <row r="442" spans="3:86" x14ac:dyDescent="0.25">
      <c r="C442" s="82">
        <v>11474</v>
      </c>
      <c r="D442" s="78">
        <v>6498</v>
      </c>
      <c r="E442" s="107" t="s">
        <v>78</v>
      </c>
      <c r="F442" s="69" t="s">
        <v>1909</v>
      </c>
      <c r="G442" s="69"/>
      <c r="H442" s="69">
        <v>2345</v>
      </c>
      <c r="U442" s="69"/>
      <c r="V442" s="69"/>
      <c r="AS442" s="94">
        <f t="shared" si="41"/>
        <v>2345</v>
      </c>
      <c r="AT442" s="69">
        <v>1569.9</v>
      </c>
      <c r="AU442" s="69">
        <v>210.1</v>
      </c>
      <c r="AV442" s="69">
        <v>565</v>
      </c>
      <c r="BD442" s="69"/>
      <c r="BE442" s="69"/>
      <c r="CE442" s="94">
        <f t="shared" si="49"/>
        <v>2345</v>
      </c>
      <c r="CF442" s="73">
        <f t="shared" si="50"/>
        <v>0</v>
      </c>
      <c r="CG442" s="75">
        <f t="shared" si="51"/>
        <v>6498</v>
      </c>
      <c r="CH442" s="75" t="str">
        <f t="shared" si="51"/>
        <v>برنامج دولى</v>
      </c>
    </row>
    <row r="443" spans="3:86" x14ac:dyDescent="0.25">
      <c r="C443" s="82">
        <v>11473</v>
      </c>
      <c r="D443" s="78">
        <v>6499</v>
      </c>
      <c r="E443" s="107" t="s">
        <v>78</v>
      </c>
      <c r="F443" s="69" t="s">
        <v>1909</v>
      </c>
      <c r="G443" s="69"/>
      <c r="H443" s="69">
        <v>2520.87</v>
      </c>
      <c r="U443" s="69"/>
      <c r="V443" s="69"/>
      <c r="AS443" s="94">
        <f t="shared" si="41"/>
        <v>2520.87</v>
      </c>
      <c r="AT443" s="69">
        <v>1686.6</v>
      </c>
      <c r="AU443" s="69">
        <v>226.9</v>
      </c>
      <c r="AV443" s="69">
        <v>607.37</v>
      </c>
      <c r="BD443" s="69"/>
      <c r="BE443" s="69"/>
      <c r="CE443" s="94">
        <f t="shared" si="49"/>
        <v>2520.87</v>
      </c>
      <c r="CF443" s="73">
        <f t="shared" si="50"/>
        <v>0</v>
      </c>
      <c r="CG443" s="75">
        <f t="shared" si="51"/>
        <v>6499</v>
      </c>
      <c r="CH443" s="75" t="str">
        <f t="shared" si="51"/>
        <v>برنامج دولى</v>
      </c>
    </row>
    <row r="444" spans="3:86" x14ac:dyDescent="0.25">
      <c r="C444" s="82">
        <v>11472</v>
      </c>
      <c r="D444" s="78">
        <v>6500</v>
      </c>
      <c r="E444" s="107" t="s">
        <v>78</v>
      </c>
      <c r="F444" s="69" t="s">
        <v>1909</v>
      </c>
      <c r="G444" s="69"/>
      <c r="H444" s="69">
        <v>2345</v>
      </c>
      <c r="U444" s="69"/>
      <c r="V444" s="69"/>
      <c r="AS444" s="94">
        <f t="shared" si="41"/>
        <v>2345</v>
      </c>
      <c r="AT444" s="69">
        <v>1568.2</v>
      </c>
      <c r="AU444" s="69">
        <v>211.8</v>
      </c>
      <c r="AV444" s="69">
        <v>565</v>
      </c>
      <c r="BD444" s="69"/>
      <c r="BE444" s="69"/>
      <c r="CE444" s="94">
        <f t="shared" si="49"/>
        <v>2345</v>
      </c>
      <c r="CF444" s="73">
        <f t="shared" si="50"/>
        <v>0</v>
      </c>
      <c r="CG444" s="75">
        <f t="shared" si="51"/>
        <v>6500</v>
      </c>
      <c r="CH444" s="75" t="str">
        <f t="shared" si="51"/>
        <v>برنامج دولى</v>
      </c>
    </row>
    <row r="445" spans="3:86" x14ac:dyDescent="0.25">
      <c r="C445" s="82">
        <v>11471</v>
      </c>
      <c r="D445" s="78">
        <v>6501</v>
      </c>
      <c r="E445" s="107" t="s">
        <v>78</v>
      </c>
      <c r="F445" s="69" t="s">
        <v>1909</v>
      </c>
      <c r="G445" s="69"/>
      <c r="H445" s="69">
        <v>15226.31</v>
      </c>
      <c r="U445" s="69"/>
      <c r="V445" s="69"/>
      <c r="AS445" s="94">
        <f t="shared" si="41"/>
        <v>15226.31</v>
      </c>
      <c r="AT445" s="69">
        <v>9896.9599999999991</v>
      </c>
      <c r="AU445" s="69">
        <v>1355.85</v>
      </c>
      <c r="AV445" s="69">
        <v>3973.5</v>
      </c>
      <c r="BD445" s="69"/>
      <c r="BE445" s="69"/>
      <c r="CE445" s="94">
        <f t="shared" si="49"/>
        <v>15226.31</v>
      </c>
      <c r="CF445" s="73">
        <f t="shared" si="50"/>
        <v>0</v>
      </c>
      <c r="CG445" s="75">
        <f t="shared" si="51"/>
        <v>6501</v>
      </c>
      <c r="CH445" s="75" t="str">
        <f t="shared" si="51"/>
        <v>برنامج دولى</v>
      </c>
    </row>
    <row r="446" spans="3:86" x14ac:dyDescent="0.25">
      <c r="C446" s="82">
        <v>11470</v>
      </c>
      <c r="D446" s="78">
        <v>6502</v>
      </c>
      <c r="E446" s="107" t="s">
        <v>78</v>
      </c>
      <c r="F446" s="69" t="s">
        <v>2380</v>
      </c>
      <c r="G446" s="69"/>
      <c r="H446" s="69">
        <v>938</v>
      </c>
      <c r="U446" s="69"/>
      <c r="V446" s="69"/>
      <c r="AS446" s="94">
        <f t="shared" si="41"/>
        <v>938</v>
      </c>
      <c r="AT446" s="69">
        <v>627.35</v>
      </c>
      <c r="AU446" s="69">
        <v>84.65</v>
      </c>
      <c r="AV446" s="69">
        <v>226</v>
      </c>
      <c r="BD446" s="69"/>
      <c r="BE446" s="69"/>
      <c r="CE446" s="94">
        <f t="shared" si="49"/>
        <v>938</v>
      </c>
      <c r="CF446" s="73">
        <f t="shared" si="50"/>
        <v>0</v>
      </c>
      <c r="CG446" s="75">
        <f t="shared" si="51"/>
        <v>6502</v>
      </c>
      <c r="CH446" s="75" t="str">
        <f t="shared" si="51"/>
        <v>برنامج دولى</v>
      </c>
    </row>
    <row r="447" spans="3:86" x14ac:dyDescent="0.25">
      <c r="C447" s="82">
        <v>11469</v>
      </c>
      <c r="D447" s="78">
        <v>6503</v>
      </c>
      <c r="E447" s="107" t="s">
        <v>78</v>
      </c>
      <c r="F447" s="69" t="s">
        <v>2381</v>
      </c>
      <c r="G447" s="69"/>
      <c r="H447" s="69">
        <v>1407</v>
      </c>
      <c r="U447" s="69"/>
      <c r="V447" s="69"/>
      <c r="AS447" s="94">
        <f t="shared" si="41"/>
        <v>1407</v>
      </c>
      <c r="AT447" s="69">
        <v>940.35</v>
      </c>
      <c r="AU447" s="69">
        <v>127.65</v>
      </c>
      <c r="AV447" s="69">
        <v>339</v>
      </c>
      <c r="BD447" s="69"/>
      <c r="BE447" s="69"/>
      <c r="CE447" s="94">
        <f t="shared" si="49"/>
        <v>1407</v>
      </c>
      <c r="CF447" s="73">
        <f t="shared" si="50"/>
        <v>0</v>
      </c>
      <c r="CG447" s="75">
        <f t="shared" si="51"/>
        <v>6503</v>
      </c>
      <c r="CH447" s="75" t="str">
        <f t="shared" si="51"/>
        <v>برنامج دولى</v>
      </c>
    </row>
    <row r="448" spans="3:86" x14ac:dyDescent="0.25">
      <c r="C448" s="82">
        <v>11468</v>
      </c>
      <c r="D448" s="78">
        <v>6504</v>
      </c>
      <c r="E448" s="107" t="s">
        <v>78</v>
      </c>
      <c r="F448" s="69" t="s">
        <v>2382</v>
      </c>
      <c r="G448" s="69" t="s">
        <v>2382</v>
      </c>
      <c r="H448" s="69">
        <v>1524.25</v>
      </c>
      <c r="U448" s="69"/>
      <c r="V448" s="69"/>
      <c r="AS448" s="94">
        <f t="shared" si="41"/>
        <v>1524.25</v>
      </c>
      <c r="AT448" s="69">
        <v>1018.7</v>
      </c>
      <c r="AU448" s="69">
        <v>138.30000000000001</v>
      </c>
      <c r="AV448" s="69">
        <v>367.25</v>
      </c>
      <c r="BD448" s="69"/>
      <c r="BE448" s="69"/>
      <c r="CE448" s="94">
        <f t="shared" si="49"/>
        <v>1524.25</v>
      </c>
      <c r="CF448" s="73">
        <f t="shared" si="50"/>
        <v>0</v>
      </c>
      <c r="CG448" s="75">
        <f t="shared" si="51"/>
        <v>6504</v>
      </c>
      <c r="CH448" s="75" t="str">
        <f t="shared" si="51"/>
        <v>برنامج دولى</v>
      </c>
    </row>
    <row r="449" spans="3:86" x14ac:dyDescent="0.25">
      <c r="C449" s="82">
        <v>11467</v>
      </c>
      <c r="D449" s="78">
        <v>6505</v>
      </c>
      <c r="E449" s="107" t="s">
        <v>78</v>
      </c>
      <c r="F449" s="69" t="str">
        <f>+F448</f>
        <v>مكافاه بعد مواعيد العمل مكتب وكيل خدمه المجتمع</v>
      </c>
      <c r="G449" s="69"/>
      <c r="H449" s="69">
        <v>2110.5</v>
      </c>
      <c r="U449" s="69"/>
      <c r="V449" s="69"/>
      <c r="AS449" s="94">
        <f t="shared" si="41"/>
        <v>2110.5</v>
      </c>
      <c r="AT449" s="69">
        <v>1410.35</v>
      </c>
      <c r="AU449" s="69">
        <v>191.65</v>
      </c>
      <c r="AV449" s="69">
        <v>508.5</v>
      </c>
      <c r="BD449" s="69"/>
      <c r="BE449" s="69"/>
      <c r="CE449" s="94">
        <f t="shared" si="49"/>
        <v>2110.5</v>
      </c>
      <c r="CF449" s="73">
        <f t="shared" si="50"/>
        <v>0</v>
      </c>
      <c r="CG449" s="75">
        <f t="shared" si="51"/>
        <v>6505</v>
      </c>
      <c r="CH449" s="75" t="str">
        <f t="shared" si="51"/>
        <v>برنامج دولى</v>
      </c>
    </row>
    <row r="450" spans="3:86" x14ac:dyDescent="0.25">
      <c r="C450" s="82">
        <v>11466</v>
      </c>
      <c r="D450" s="78">
        <v>6506</v>
      </c>
      <c r="E450" s="107" t="s">
        <v>78</v>
      </c>
      <c r="F450" s="69" t="s">
        <v>2383</v>
      </c>
      <c r="G450" s="69"/>
      <c r="H450" s="69">
        <v>762.12</v>
      </c>
      <c r="U450" s="69"/>
      <c r="V450" s="69"/>
      <c r="AS450" s="94">
        <f t="shared" si="41"/>
        <v>762.12</v>
      </c>
      <c r="AT450" s="69">
        <v>509.8</v>
      </c>
      <c r="AU450" s="69">
        <v>68.7</v>
      </c>
      <c r="AV450" s="69">
        <v>183.62</v>
      </c>
      <c r="BD450" s="69"/>
      <c r="BE450" s="69"/>
      <c r="CE450" s="94">
        <f t="shared" si="49"/>
        <v>762.12</v>
      </c>
      <c r="CF450" s="73">
        <f t="shared" si="50"/>
        <v>0</v>
      </c>
      <c r="CG450" s="75">
        <f t="shared" si="51"/>
        <v>6506</v>
      </c>
      <c r="CH450" s="75" t="str">
        <f t="shared" si="51"/>
        <v>برنامج دولى</v>
      </c>
    </row>
    <row r="451" spans="3:86" x14ac:dyDescent="0.25">
      <c r="C451" s="82">
        <v>11465</v>
      </c>
      <c r="D451" s="78">
        <v>6507</v>
      </c>
      <c r="E451" s="107" t="s">
        <v>78</v>
      </c>
      <c r="F451" s="69" t="s">
        <v>2383</v>
      </c>
      <c r="G451" s="69"/>
      <c r="H451" s="69">
        <v>938</v>
      </c>
      <c r="U451" s="69"/>
      <c r="V451" s="69"/>
      <c r="AS451" s="94">
        <f t="shared" si="41"/>
        <v>938</v>
      </c>
      <c r="AT451" s="69">
        <v>627.35</v>
      </c>
      <c r="AU451" s="69">
        <v>84.65</v>
      </c>
      <c r="AV451" s="69">
        <v>226</v>
      </c>
      <c r="BD451" s="69"/>
      <c r="BE451" s="69"/>
      <c r="CE451" s="94">
        <f t="shared" si="49"/>
        <v>938</v>
      </c>
      <c r="CF451" s="73">
        <f t="shared" si="50"/>
        <v>0</v>
      </c>
      <c r="CG451" s="75">
        <f t="shared" si="51"/>
        <v>6507</v>
      </c>
      <c r="CH451" s="75" t="str">
        <f t="shared" si="51"/>
        <v>برنامج دولى</v>
      </c>
    </row>
    <row r="452" spans="3:86" x14ac:dyDescent="0.25">
      <c r="C452" s="82">
        <v>11464</v>
      </c>
      <c r="D452" s="78">
        <v>6508</v>
      </c>
      <c r="E452" s="107" t="s">
        <v>78</v>
      </c>
      <c r="F452" s="69" t="s">
        <v>2384</v>
      </c>
      <c r="G452" s="69"/>
      <c r="H452" s="69">
        <v>7135.4</v>
      </c>
      <c r="U452" s="69"/>
      <c r="V452" s="69"/>
      <c r="AS452" s="94">
        <f t="shared" si="41"/>
        <v>7135.4</v>
      </c>
      <c r="AT452" s="69">
        <v>4720.5</v>
      </c>
      <c r="AU452" s="69">
        <v>637.35</v>
      </c>
      <c r="AV452" s="69">
        <v>1777.55</v>
      </c>
      <c r="BD452" s="69"/>
      <c r="BE452" s="69"/>
      <c r="CE452" s="94">
        <f t="shared" si="49"/>
        <v>7135.4000000000005</v>
      </c>
      <c r="CF452" s="73">
        <f t="shared" si="50"/>
        <v>0</v>
      </c>
      <c r="CG452" s="75">
        <f t="shared" si="51"/>
        <v>6508</v>
      </c>
      <c r="CH452" s="75" t="str">
        <f t="shared" si="51"/>
        <v>برنامج دولى</v>
      </c>
    </row>
    <row r="453" spans="3:86" x14ac:dyDescent="0.25">
      <c r="C453" s="82">
        <v>11463</v>
      </c>
      <c r="D453" s="78">
        <v>6509</v>
      </c>
      <c r="E453" s="107" t="s">
        <v>78</v>
      </c>
      <c r="F453" s="69" t="s">
        <v>2384</v>
      </c>
      <c r="G453" s="69"/>
      <c r="H453" s="69">
        <v>4045.1</v>
      </c>
      <c r="U453" s="69"/>
      <c r="V453" s="69"/>
      <c r="AS453" s="94">
        <f t="shared" si="41"/>
        <v>4045.1</v>
      </c>
      <c r="AT453" s="69">
        <v>2707.35</v>
      </c>
      <c r="AU453" s="69">
        <v>363.15</v>
      </c>
      <c r="AV453" s="69">
        <v>974.6</v>
      </c>
      <c r="BD453" s="69"/>
      <c r="BE453" s="69"/>
      <c r="CE453" s="94">
        <f t="shared" si="49"/>
        <v>4045.1</v>
      </c>
      <c r="CF453" s="73">
        <f t="shared" si="50"/>
        <v>0</v>
      </c>
      <c r="CG453" s="75">
        <f t="shared" si="51"/>
        <v>6509</v>
      </c>
      <c r="CH453" s="75" t="str">
        <f t="shared" si="51"/>
        <v>برنامج دولى</v>
      </c>
    </row>
    <row r="454" spans="3:86" x14ac:dyDescent="0.25">
      <c r="C454" s="82">
        <v>11462</v>
      </c>
      <c r="D454" s="78">
        <v>6510</v>
      </c>
      <c r="E454" s="107" t="s">
        <v>78</v>
      </c>
      <c r="F454" s="69" t="s">
        <v>2385</v>
      </c>
      <c r="G454" s="69"/>
      <c r="H454" s="69">
        <v>1055.26</v>
      </c>
      <c r="U454" s="69"/>
      <c r="V454" s="69"/>
      <c r="AS454" s="94">
        <f t="shared" si="41"/>
        <v>1055.26</v>
      </c>
      <c r="AT454" s="69">
        <v>706.1</v>
      </c>
      <c r="AU454" s="69">
        <f>90+4.9</f>
        <v>94.9</v>
      </c>
      <c r="AV454" s="69">
        <v>254.26</v>
      </c>
      <c r="BD454" s="69"/>
      <c r="BE454" s="69"/>
      <c r="CE454" s="94">
        <f t="shared" si="49"/>
        <v>1055.26</v>
      </c>
      <c r="CF454" s="73">
        <f t="shared" si="50"/>
        <v>0</v>
      </c>
      <c r="CG454" s="75">
        <f t="shared" si="51"/>
        <v>6510</v>
      </c>
      <c r="CH454" s="75" t="str">
        <f t="shared" si="51"/>
        <v>برنامج دولى</v>
      </c>
    </row>
    <row r="455" spans="3:86" x14ac:dyDescent="0.25">
      <c r="C455" s="82">
        <v>11431</v>
      </c>
      <c r="D455" s="78">
        <v>6511</v>
      </c>
      <c r="E455" s="107" t="s">
        <v>78</v>
      </c>
      <c r="F455" s="69" t="s">
        <v>2385</v>
      </c>
      <c r="G455" s="69"/>
      <c r="H455" s="69">
        <v>586.25</v>
      </c>
      <c r="U455" s="69"/>
      <c r="V455" s="69"/>
      <c r="AS455" s="94">
        <f t="shared" si="41"/>
        <v>586.25</v>
      </c>
      <c r="AT455" s="69">
        <v>392.4</v>
      </c>
      <c r="AU455" s="69">
        <v>52.6</v>
      </c>
      <c r="AV455" s="69">
        <v>141.25</v>
      </c>
      <c r="BD455" s="69"/>
      <c r="BE455" s="69"/>
      <c r="CE455" s="94">
        <f t="shared" si="49"/>
        <v>586.25</v>
      </c>
      <c r="CF455" s="73">
        <f t="shared" si="50"/>
        <v>0</v>
      </c>
      <c r="CG455" s="75">
        <f t="shared" si="51"/>
        <v>6511</v>
      </c>
      <c r="CH455" s="75" t="str">
        <f t="shared" si="51"/>
        <v>برنامج دولى</v>
      </c>
    </row>
    <row r="456" spans="3:86" x14ac:dyDescent="0.25">
      <c r="C456" s="82">
        <v>11430</v>
      </c>
      <c r="D456" s="78">
        <v>6512</v>
      </c>
      <c r="E456" s="107" t="s">
        <v>78</v>
      </c>
      <c r="F456" s="69" t="s">
        <v>2386</v>
      </c>
      <c r="G456" s="69"/>
      <c r="H456" s="69">
        <v>2227.75</v>
      </c>
      <c r="U456" s="69"/>
      <c r="V456" s="69"/>
      <c r="AS456" s="94">
        <f t="shared" si="41"/>
        <v>2227.75</v>
      </c>
      <c r="AT456" s="69">
        <v>1488.65</v>
      </c>
      <c r="AU456" s="69">
        <v>202.35</v>
      </c>
      <c r="AV456" s="69">
        <v>536.75</v>
      </c>
      <c r="BD456" s="69"/>
      <c r="BE456" s="69"/>
      <c r="CE456" s="94">
        <f t="shared" si="49"/>
        <v>2227.75</v>
      </c>
      <c r="CF456" s="73">
        <f t="shared" si="50"/>
        <v>0</v>
      </c>
      <c r="CG456" s="75">
        <f t="shared" si="51"/>
        <v>6512</v>
      </c>
      <c r="CH456" s="75" t="str">
        <f t="shared" si="51"/>
        <v>برنامج دولى</v>
      </c>
    </row>
    <row r="457" spans="3:86" x14ac:dyDescent="0.25">
      <c r="C457" s="82">
        <v>11429</v>
      </c>
      <c r="D457" s="78">
        <v>6513</v>
      </c>
      <c r="E457" s="107" t="s">
        <v>78</v>
      </c>
      <c r="F457" s="69" t="s">
        <v>2387</v>
      </c>
      <c r="G457" s="69"/>
      <c r="H457" s="69">
        <v>2345</v>
      </c>
      <c r="U457" s="69"/>
      <c r="V457" s="69"/>
      <c r="AS457" s="94">
        <f t="shared" si="41"/>
        <v>2345</v>
      </c>
      <c r="AT457" s="69">
        <v>1567.7</v>
      </c>
      <c r="AU457" s="69">
        <f>12.3+200</f>
        <v>212.3</v>
      </c>
      <c r="AV457" s="69">
        <v>565</v>
      </c>
      <c r="BD457" s="69"/>
      <c r="BE457" s="69"/>
      <c r="CE457" s="94">
        <f t="shared" si="49"/>
        <v>2345</v>
      </c>
      <c r="CF457" s="73">
        <f t="shared" si="50"/>
        <v>0</v>
      </c>
      <c r="CG457" s="75">
        <f t="shared" si="51"/>
        <v>6513</v>
      </c>
      <c r="CH457" s="75" t="str">
        <f t="shared" si="51"/>
        <v>برنامج دولى</v>
      </c>
    </row>
    <row r="458" spans="3:86" x14ac:dyDescent="0.25">
      <c r="C458" s="82">
        <v>11428</v>
      </c>
      <c r="D458" s="78">
        <v>6514</v>
      </c>
      <c r="E458" s="107" t="s">
        <v>78</v>
      </c>
      <c r="F458" s="69" t="s">
        <v>2388</v>
      </c>
      <c r="G458" s="69"/>
      <c r="H458" s="69">
        <v>879.38</v>
      </c>
      <c r="U458" s="69"/>
      <c r="V458" s="69"/>
      <c r="AS458" s="94">
        <f t="shared" si="41"/>
        <v>879.38</v>
      </c>
      <c r="AT458" s="69">
        <v>588.15</v>
      </c>
      <c r="AU458" s="69">
        <v>79.349999999999994</v>
      </c>
      <c r="AV458" s="69">
        <v>211.88</v>
      </c>
      <c r="BD458" s="69"/>
      <c r="BE458" s="69"/>
      <c r="CE458" s="94">
        <f t="shared" si="49"/>
        <v>879.38</v>
      </c>
      <c r="CF458" s="73">
        <f t="shared" si="50"/>
        <v>0</v>
      </c>
      <c r="CG458" s="75">
        <f t="shared" si="51"/>
        <v>6514</v>
      </c>
      <c r="CH458" s="75" t="str">
        <f t="shared" si="51"/>
        <v>برنامج دولى</v>
      </c>
    </row>
    <row r="459" spans="3:86" x14ac:dyDescent="0.25">
      <c r="C459" s="82">
        <v>11427</v>
      </c>
      <c r="D459" s="78">
        <v>6515</v>
      </c>
      <c r="E459" s="107" t="s">
        <v>78</v>
      </c>
      <c r="F459" s="69" t="s">
        <v>2389</v>
      </c>
      <c r="G459" s="69"/>
      <c r="H459" s="69">
        <v>938</v>
      </c>
      <c r="U459" s="69"/>
      <c r="V459" s="69"/>
      <c r="AS459" s="94">
        <f t="shared" si="41"/>
        <v>938</v>
      </c>
      <c r="AT459" s="69">
        <v>627.95000000000005</v>
      </c>
      <c r="AU459" s="69">
        <v>84.05</v>
      </c>
      <c r="AV459" s="69">
        <v>226</v>
      </c>
      <c r="BD459" s="69"/>
      <c r="BE459" s="69"/>
      <c r="CE459" s="94">
        <f t="shared" si="49"/>
        <v>938</v>
      </c>
      <c r="CF459" s="73">
        <f t="shared" si="50"/>
        <v>0</v>
      </c>
      <c r="CG459" s="75">
        <f t="shared" si="51"/>
        <v>6515</v>
      </c>
      <c r="CH459" s="75" t="str">
        <f t="shared" si="51"/>
        <v>برنامج دولى</v>
      </c>
    </row>
    <row r="460" spans="3:86" x14ac:dyDescent="0.25">
      <c r="C460" s="82">
        <v>11426</v>
      </c>
      <c r="D460" s="78">
        <v>6516</v>
      </c>
      <c r="E460" s="107" t="s">
        <v>78</v>
      </c>
      <c r="F460" s="69" t="s">
        <v>2389</v>
      </c>
      <c r="G460" s="69"/>
      <c r="H460" s="69">
        <v>351.75</v>
      </c>
      <c r="U460" s="69"/>
      <c r="V460" s="69"/>
      <c r="AS460" s="94">
        <f t="shared" si="41"/>
        <v>351.75</v>
      </c>
      <c r="AT460" s="69">
        <v>235.55</v>
      </c>
      <c r="AU460" s="69">
        <v>31.45</v>
      </c>
      <c r="AV460" s="69">
        <v>84.75</v>
      </c>
      <c r="BD460" s="69"/>
      <c r="BE460" s="69"/>
      <c r="CE460" s="94">
        <f t="shared" si="49"/>
        <v>351.75</v>
      </c>
      <c r="CF460" s="73">
        <f t="shared" si="50"/>
        <v>0</v>
      </c>
      <c r="CG460" s="75">
        <f t="shared" si="51"/>
        <v>6516</v>
      </c>
      <c r="CH460" s="75" t="str">
        <f t="shared" si="51"/>
        <v>برنامج دولى</v>
      </c>
    </row>
    <row r="461" spans="3:86" x14ac:dyDescent="0.25">
      <c r="C461" s="82">
        <v>11425</v>
      </c>
      <c r="D461" s="78">
        <v>6517</v>
      </c>
      <c r="E461" s="107" t="s">
        <v>78</v>
      </c>
      <c r="F461" s="69" t="s">
        <v>2390</v>
      </c>
      <c r="G461" s="69"/>
      <c r="H461" s="69">
        <v>7943.69</v>
      </c>
      <c r="U461" s="69"/>
      <c r="V461" s="69"/>
      <c r="AS461" s="94">
        <f t="shared" si="41"/>
        <v>7943.69</v>
      </c>
      <c r="AT461" s="69">
        <v>5308.45</v>
      </c>
      <c r="AU461" s="69">
        <v>721.3</v>
      </c>
      <c r="AV461" s="69">
        <v>1913.94</v>
      </c>
      <c r="BD461" s="69"/>
      <c r="BE461" s="69"/>
      <c r="CE461" s="94">
        <f t="shared" si="49"/>
        <v>7943.6900000000005</v>
      </c>
      <c r="CF461" s="73">
        <f t="shared" si="50"/>
        <v>0</v>
      </c>
      <c r="CG461" s="75">
        <f t="shared" si="51"/>
        <v>6517</v>
      </c>
      <c r="CH461" s="75" t="str">
        <f t="shared" si="51"/>
        <v>برنامج دولى</v>
      </c>
    </row>
    <row r="462" spans="3:86" x14ac:dyDescent="0.25">
      <c r="C462" s="82">
        <v>11423</v>
      </c>
      <c r="D462" s="78">
        <v>6518</v>
      </c>
      <c r="E462" s="107" t="s">
        <v>78</v>
      </c>
      <c r="F462" s="69" t="s">
        <v>2390</v>
      </c>
      <c r="G462" s="69"/>
      <c r="H462" s="69">
        <v>1993.25</v>
      </c>
      <c r="U462" s="69"/>
      <c r="V462" s="69"/>
      <c r="AS462" s="94">
        <f t="shared" si="41"/>
        <v>1993.25</v>
      </c>
      <c r="AT462" s="69">
        <v>1332</v>
      </c>
      <c r="AU462" s="69">
        <v>181</v>
      </c>
      <c r="AV462" s="69">
        <v>480.25</v>
      </c>
      <c r="BD462" s="69"/>
      <c r="BE462" s="69"/>
      <c r="CE462" s="94">
        <f t="shared" si="49"/>
        <v>1993.25</v>
      </c>
      <c r="CF462" s="73">
        <f t="shared" si="50"/>
        <v>0</v>
      </c>
      <c r="CG462" s="75">
        <f t="shared" si="51"/>
        <v>6518</v>
      </c>
      <c r="CH462" s="75" t="str">
        <f t="shared" si="51"/>
        <v>برنامج دولى</v>
      </c>
    </row>
    <row r="463" spans="3:86" x14ac:dyDescent="0.25">
      <c r="C463" s="82">
        <v>11424</v>
      </c>
      <c r="D463" s="78">
        <v>6519</v>
      </c>
      <c r="E463" s="107" t="s">
        <v>78</v>
      </c>
      <c r="F463" s="69" t="s">
        <v>2354</v>
      </c>
      <c r="G463" s="69"/>
      <c r="H463" s="69">
        <v>3283</v>
      </c>
      <c r="U463" s="69"/>
      <c r="V463" s="69"/>
      <c r="AS463" s="94">
        <f t="shared" si="41"/>
        <v>3283</v>
      </c>
      <c r="AT463" s="69">
        <v>2194.0500000000002</v>
      </c>
      <c r="AU463" s="69">
        <v>297.95</v>
      </c>
      <c r="AV463" s="69">
        <v>791</v>
      </c>
      <c r="BD463" s="69"/>
      <c r="BE463" s="69"/>
      <c r="CE463" s="94">
        <f t="shared" si="49"/>
        <v>3283</v>
      </c>
      <c r="CF463" s="73">
        <f t="shared" si="50"/>
        <v>0</v>
      </c>
      <c r="CG463" s="75">
        <f t="shared" si="51"/>
        <v>6519</v>
      </c>
      <c r="CH463" s="75" t="str">
        <f t="shared" si="51"/>
        <v>برنامج دولى</v>
      </c>
    </row>
    <row r="464" spans="3:86" x14ac:dyDescent="0.25">
      <c r="C464" s="82">
        <v>11422</v>
      </c>
      <c r="D464" s="78">
        <v>6520</v>
      </c>
      <c r="E464" s="107" t="s">
        <v>78</v>
      </c>
      <c r="F464" s="69" t="s">
        <v>2354</v>
      </c>
      <c r="G464" s="69"/>
      <c r="H464" s="69">
        <v>13835.5</v>
      </c>
      <c r="U464" s="69"/>
      <c r="V464" s="69"/>
      <c r="AS464" s="94">
        <f t="shared" si="41"/>
        <v>13835.5</v>
      </c>
      <c r="AT464" s="69">
        <v>9246.9500000000007</v>
      </c>
      <c r="AU464" s="69">
        <v>1255.05</v>
      </c>
      <c r="AV464" s="69">
        <v>3333.5</v>
      </c>
      <c r="BD464" s="69"/>
      <c r="BE464" s="69"/>
      <c r="CE464" s="94">
        <f t="shared" si="49"/>
        <v>13835.5</v>
      </c>
      <c r="CF464" s="73">
        <f t="shared" si="50"/>
        <v>0</v>
      </c>
      <c r="CG464" s="75">
        <f t="shared" si="51"/>
        <v>6520</v>
      </c>
      <c r="CH464" s="75" t="str">
        <f t="shared" si="51"/>
        <v>برنامج دولى</v>
      </c>
    </row>
    <row r="465" spans="3:86" x14ac:dyDescent="0.25">
      <c r="C465" s="82">
        <v>11421</v>
      </c>
      <c r="D465" s="78">
        <v>6521</v>
      </c>
      <c r="E465" s="107" t="s">
        <v>78</v>
      </c>
      <c r="F465" s="69" t="s">
        <v>2134</v>
      </c>
      <c r="G465" s="69"/>
      <c r="H465" s="69">
        <v>703.5</v>
      </c>
      <c r="U465" s="69"/>
      <c r="V465" s="69"/>
      <c r="AS465" s="94">
        <f t="shared" si="41"/>
        <v>703.5</v>
      </c>
      <c r="AT465" s="69">
        <v>470.6</v>
      </c>
      <c r="AU465" s="69">
        <v>63.4</v>
      </c>
      <c r="AV465" s="69">
        <v>169.5</v>
      </c>
      <c r="BD465" s="69"/>
      <c r="BE465" s="69"/>
      <c r="CE465" s="94">
        <f t="shared" si="49"/>
        <v>703.5</v>
      </c>
      <c r="CF465" s="73">
        <f t="shared" si="50"/>
        <v>0</v>
      </c>
      <c r="CG465" s="75">
        <f t="shared" si="51"/>
        <v>6521</v>
      </c>
      <c r="CH465" s="75" t="str">
        <f t="shared" si="51"/>
        <v>برنامج دولى</v>
      </c>
    </row>
    <row r="466" spans="3:86" x14ac:dyDescent="0.25">
      <c r="C466" s="82">
        <v>11072</v>
      </c>
      <c r="D466" s="78">
        <v>6522</v>
      </c>
      <c r="E466" s="107" t="s">
        <v>78</v>
      </c>
      <c r="F466" s="69" t="s">
        <v>2391</v>
      </c>
      <c r="G466" s="69"/>
      <c r="H466" s="69">
        <v>10486.82</v>
      </c>
      <c r="U466" s="69"/>
      <c r="V466" s="69"/>
      <c r="AS466" s="94">
        <f t="shared" si="41"/>
        <v>10486.82</v>
      </c>
      <c r="AT466" s="69">
        <v>8975.3799999999992</v>
      </c>
      <c r="AU466" s="69">
        <v>1102.78</v>
      </c>
      <c r="AV466" s="69">
        <v>408.66</v>
      </c>
      <c r="BD466" s="69"/>
      <c r="BE466" s="69"/>
      <c r="CE466" s="94">
        <f t="shared" si="49"/>
        <v>10486.82</v>
      </c>
      <c r="CF466" s="73">
        <f t="shared" si="50"/>
        <v>0</v>
      </c>
      <c r="CG466" s="75">
        <f t="shared" si="51"/>
        <v>6522</v>
      </c>
      <c r="CH466" s="75" t="str">
        <f t="shared" si="51"/>
        <v>برنامج دولى</v>
      </c>
    </row>
    <row r="467" spans="3:86" x14ac:dyDescent="0.25">
      <c r="C467" s="82">
        <v>11071</v>
      </c>
      <c r="D467" s="78">
        <v>6523</v>
      </c>
      <c r="E467" s="107" t="s">
        <v>78</v>
      </c>
      <c r="F467" s="69" t="s">
        <v>2392</v>
      </c>
      <c r="G467" s="69"/>
      <c r="H467" s="69">
        <v>191.6</v>
      </c>
      <c r="U467" s="69"/>
      <c r="V467" s="69"/>
      <c r="AS467" s="94">
        <f t="shared" si="41"/>
        <v>191.6</v>
      </c>
      <c r="AT467" s="69">
        <v>124.34</v>
      </c>
      <c r="AU467" s="69">
        <v>19.12</v>
      </c>
      <c r="AV467" s="69">
        <v>48.14</v>
      </c>
      <c r="BD467" s="69"/>
      <c r="BE467" s="69"/>
      <c r="CE467" s="94">
        <f t="shared" si="49"/>
        <v>191.60000000000002</v>
      </c>
      <c r="CF467" s="73">
        <f t="shared" si="50"/>
        <v>0</v>
      </c>
      <c r="CG467" s="75">
        <f t="shared" si="51"/>
        <v>6523</v>
      </c>
      <c r="CH467" s="75" t="str">
        <f t="shared" si="51"/>
        <v>برنامج دولى</v>
      </c>
    </row>
    <row r="468" spans="3:86" x14ac:dyDescent="0.25">
      <c r="C468" s="82">
        <v>11095</v>
      </c>
      <c r="D468" s="78">
        <v>6524</v>
      </c>
      <c r="E468" s="107" t="s">
        <v>78</v>
      </c>
      <c r="F468" s="69" t="s">
        <v>2393</v>
      </c>
      <c r="G468" s="69"/>
      <c r="H468" s="69">
        <v>349.97</v>
      </c>
      <c r="U468" s="69"/>
      <c r="V468" s="69"/>
      <c r="AS468" s="94">
        <f t="shared" si="41"/>
        <v>349.97</v>
      </c>
      <c r="AT468" s="69">
        <v>238.51</v>
      </c>
      <c r="AU468" s="69">
        <v>33.450000000000003</v>
      </c>
      <c r="AV468" s="69">
        <v>78.010000000000005</v>
      </c>
      <c r="BD468" s="69"/>
      <c r="BE468" s="69"/>
      <c r="CE468" s="94">
        <f t="shared" si="49"/>
        <v>349.96999999999997</v>
      </c>
      <c r="CF468" s="73">
        <f t="shared" si="50"/>
        <v>0</v>
      </c>
      <c r="CG468" s="75">
        <f t="shared" si="51"/>
        <v>6524</v>
      </c>
      <c r="CH468" s="75" t="str">
        <f t="shared" si="51"/>
        <v>برنامج دولى</v>
      </c>
    </row>
    <row r="469" spans="3:86" x14ac:dyDescent="0.25">
      <c r="C469" s="82">
        <v>11094</v>
      </c>
      <c r="D469" s="78">
        <v>6525</v>
      </c>
      <c r="E469" s="107" t="s">
        <v>78</v>
      </c>
      <c r="F469" s="69" t="s">
        <v>2393</v>
      </c>
      <c r="G469" s="69"/>
      <c r="H469" s="69">
        <v>313.73</v>
      </c>
      <c r="U469" s="69"/>
      <c r="V469" s="69"/>
      <c r="AS469" s="94">
        <f t="shared" si="41"/>
        <v>313.73</v>
      </c>
      <c r="AT469" s="69">
        <v>216.35</v>
      </c>
      <c r="AU469" s="69">
        <v>29.6</v>
      </c>
      <c r="AV469" s="69">
        <v>67.78</v>
      </c>
      <c r="BD469" s="69"/>
      <c r="BE469" s="69"/>
      <c r="CE469" s="94">
        <f t="shared" si="49"/>
        <v>313.73</v>
      </c>
      <c r="CF469" s="73">
        <f t="shared" si="50"/>
        <v>0</v>
      </c>
      <c r="CG469" s="75">
        <f t="shared" si="51"/>
        <v>6525</v>
      </c>
      <c r="CH469" s="75" t="str">
        <f t="shared" si="51"/>
        <v>برنامج دولى</v>
      </c>
    </row>
    <row r="470" spans="3:86" x14ac:dyDescent="0.25">
      <c r="C470" s="82">
        <v>11093</v>
      </c>
      <c r="D470" s="78">
        <v>6526</v>
      </c>
      <c r="E470" s="107" t="s">
        <v>78</v>
      </c>
      <c r="F470" s="69" t="s">
        <v>2393</v>
      </c>
      <c r="G470" s="69"/>
      <c r="H470" s="69">
        <v>337.16</v>
      </c>
      <c r="U470" s="69"/>
      <c r="V470" s="69"/>
      <c r="AS470" s="94">
        <f t="shared" si="41"/>
        <v>337.16</v>
      </c>
      <c r="AT470" s="69">
        <v>231.09</v>
      </c>
      <c r="AU470" s="69">
        <v>32.21</v>
      </c>
      <c r="AV470" s="69">
        <v>73.86</v>
      </c>
      <c r="BD470" s="69"/>
      <c r="BE470" s="69"/>
      <c r="CE470" s="94">
        <f t="shared" si="49"/>
        <v>337.16</v>
      </c>
      <c r="CF470" s="73">
        <f t="shared" si="50"/>
        <v>0</v>
      </c>
      <c r="CG470" s="75">
        <f t="shared" si="51"/>
        <v>6526</v>
      </c>
      <c r="CH470" s="75" t="str">
        <f t="shared" si="51"/>
        <v>برنامج دولى</v>
      </c>
    </row>
    <row r="471" spans="3:86" x14ac:dyDescent="0.25">
      <c r="C471" s="82">
        <v>11091</v>
      </c>
      <c r="D471" s="78">
        <v>6527</v>
      </c>
      <c r="E471" s="107" t="s">
        <v>78</v>
      </c>
      <c r="F471" s="69" t="s">
        <v>2393</v>
      </c>
      <c r="G471" s="69"/>
      <c r="H471" s="69">
        <v>331.01</v>
      </c>
      <c r="U471" s="69"/>
      <c r="V471" s="69"/>
      <c r="AS471" s="94">
        <f t="shared" si="41"/>
        <v>331.01</v>
      </c>
      <c r="AT471" s="69">
        <v>227.18</v>
      </c>
      <c r="AU471" s="69">
        <v>31.62</v>
      </c>
      <c r="AV471" s="69">
        <v>72.209999999999994</v>
      </c>
      <c r="BD471" s="69"/>
      <c r="BE471" s="69"/>
      <c r="CE471" s="94">
        <f t="shared" si="49"/>
        <v>331.01</v>
      </c>
      <c r="CF471" s="73">
        <f t="shared" si="50"/>
        <v>0</v>
      </c>
      <c r="CG471" s="75">
        <f t="shared" si="51"/>
        <v>6527</v>
      </c>
      <c r="CH471" s="75" t="str">
        <f t="shared" si="51"/>
        <v>برنامج دولى</v>
      </c>
    </row>
    <row r="472" spans="3:86" x14ac:dyDescent="0.25">
      <c r="C472" s="82">
        <v>11092</v>
      </c>
      <c r="D472" s="78">
        <v>6528</v>
      </c>
      <c r="E472" s="107" t="s">
        <v>78</v>
      </c>
      <c r="F472" s="69" t="s">
        <v>2393</v>
      </c>
      <c r="G472" s="69"/>
      <c r="H472" s="69">
        <v>326.29000000000002</v>
      </c>
      <c r="U472" s="69"/>
      <c r="V472" s="69"/>
      <c r="AS472" s="94">
        <f t="shared" si="41"/>
        <v>326.29000000000002</v>
      </c>
      <c r="AT472" s="69">
        <v>224.12</v>
      </c>
      <c r="AU472" s="69">
        <v>31.62</v>
      </c>
      <c r="AV472" s="69">
        <v>70.55</v>
      </c>
      <c r="BD472" s="69"/>
      <c r="BE472" s="69"/>
      <c r="CE472" s="94">
        <f t="shared" si="49"/>
        <v>326.29000000000002</v>
      </c>
      <c r="CF472" s="73">
        <f t="shared" si="50"/>
        <v>0</v>
      </c>
      <c r="CG472" s="75">
        <f t="shared" si="51"/>
        <v>6528</v>
      </c>
      <c r="CH472" s="75" t="str">
        <f t="shared" si="51"/>
        <v>برنامج دولى</v>
      </c>
    </row>
    <row r="473" spans="3:86" x14ac:dyDescent="0.25">
      <c r="C473" s="82">
        <v>11096</v>
      </c>
      <c r="D473" s="78">
        <v>6529</v>
      </c>
      <c r="E473" s="107" t="s">
        <v>78</v>
      </c>
      <c r="F473" s="69" t="s">
        <v>2393</v>
      </c>
      <c r="G473" s="69"/>
      <c r="H473" s="69">
        <v>344.88</v>
      </c>
      <c r="U473" s="69"/>
      <c r="V473" s="69"/>
      <c r="AS473" s="94">
        <f t="shared" si="41"/>
        <v>344.88</v>
      </c>
      <c r="AT473" s="69">
        <v>244.38</v>
      </c>
      <c r="AU473" s="69">
        <v>33.79</v>
      </c>
      <c r="AV473" s="69">
        <v>66.709999999999994</v>
      </c>
      <c r="BD473" s="69"/>
      <c r="BE473" s="69"/>
      <c r="CE473" s="94">
        <f t="shared" si="49"/>
        <v>344.88</v>
      </c>
      <c r="CF473" s="73">
        <f t="shared" si="50"/>
        <v>0</v>
      </c>
      <c r="CG473" s="75">
        <f t="shared" si="51"/>
        <v>6529</v>
      </c>
      <c r="CH473" s="75" t="str">
        <f t="shared" si="51"/>
        <v>برنامج دولى</v>
      </c>
    </row>
    <row r="474" spans="3:86" x14ac:dyDescent="0.25">
      <c r="C474" s="82">
        <v>11090</v>
      </c>
      <c r="D474" s="78">
        <v>6530</v>
      </c>
      <c r="E474" s="107" t="s">
        <v>78</v>
      </c>
      <c r="F474" s="69" t="s">
        <v>2393</v>
      </c>
      <c r="G474" s="69"/>
      <c r="H474" s="69">
        <v>354</v>
      </c>
      <c r="U474" s="69"/>
      <c r="V474" s="69"/>
      <c r="AS474" s="94">
        <f t="shared" si="41"/>
        <v>354</v>
      </c>
      <c r="AT474" s="69">
        <v>253.23</v>
      </c>
      <c r="AU474" s="69">
        <v>35.28</v>
      </c>
      <c r="AV474" s="69">
        <v>65.489999999999995</v>
      </c>
      <c r="BD474" s="69"/>
      <c r="BE474" s="69"/>
      <c r="CE474" s="94">
        <f t="shared" si="49"/>
        <v>354</v>
      </c>
      <c r="CF474" s="73">
        <f t="shared" si="50"/>
        <v>0</v>
      </c>
      <c r="CG474" s="75">
        <f t="shared" si="51"/>
        <v>6530</v>
      </c>
      <c r="CH474" s="75" t="str">
        <f t="shared" si="51"/>
        <v>برنامج دولى</v>
      </c>
    </row>
    <row r="475" spans="3:86" x14ac:dyDescent="0.25">
      <c r="C475" s="82">
        <v>11089</v>
      </c>
      <c r="D475" s="78">
        <v>6531</v>
      </c>
      <c r="E475" s="107" t="s">
        <v>78</v>
      </c>
      <c r="F475" s="69" t="s">
        <v>2393</v>
      </c>
      <c r="G475" s="69"/>
      <c r="H475" s="69">
        <v>335.98</v>
      </c>
      <c r="U475" s="69"/>
      <c r="V475" s="69"/>
      <c r="AS475" s="94">
        <f t="shared" si="41"/>
        <v>335.98</v>
      </c>
      <c r="AT475" s="69">
        <v>246.97</v>
      </c>
      <c r="AU475" s="69">
        <v>34.159999999999997</v>
      </c>
      <c r="AV475" s="69">
        <v>54.85</v>
      </c>
      <c r="BD475" s="69"/>
      <c r="BE475" s="69"/>
      <c r="CE475" s="94">
        <f t="shared" si="49"/>
        <v>335.98</v>
      </c>
      <c r="CF475" s="73">
        <f t="shared" si="50"/>
        <v>0</v>
      </c>
      <c r="CG475" s="75">
        <f t="shared" si="51"/>
        <v>6531</v>
      </c>
      <c r="CH475" s="75" t="str">
        <f t="shared" si="51"/>
        <v>برنامج دولى</v>
      </c>
    </row>
    <row r="476" spans="3:86" x14ac:dyDescent="0.25">
      <c r="C476" s="82">
        <v>11088</v>
      </c>
      <c r="D476" s="78">
        <v>6532</v>
      </c>
      <c r="E476" s="107" t="s">
        <v>78</v>
      </c>
      <c r="F476" s="69" t="s">
        <v>2393</v>
      </c>
      <c r="G476" s="69"/>
      <c r="H476" s="69">
        <v>337.41</v>
      </c>
      <c r="U476" s="69"/>
      <c r="V476" s="69"/>
      <c r="AS476" s="94">
        <f t="shared" si="41"/>
        <v>337.41</v>
      </c>
      <c r="AT476" s="69">
        <v>247.24</v>
      </c>
      <c r="AU476" s="69">
        <v>34.409999999999997</v>
      </c>
      <c r="AV476" s="69">
        <v>55.76</v>
      </c>
      <c r="BD476" s="69"/>
      <c r="BE476" s="69"/>
      <c r="CE476" s="94">
        <f t="shared" si="49"/>
        <v>337.40999999999997</v>
      </c>
      <c r="CF476" s="73">
        <f t="shared" si="50"/>
        <v>0</v>
      </c>
      <c r="CG476" s="75">
        <f t="shared" si="51"/>
        <v>6532</v>
      </c>
      <c r="CH476" s="75" t="str">
        <f t="shared" si="51"/>
        <v>برنامج دولى</v>
      </c>
    </row>
    <row r="477" spans="3:86" x14ac:dyDescent="0.25">
      <c r="C477" s="82">
        <v>11087</v>
      </c>
      <c r="D477" s="78">
        <v>6533</v>
      </c>
      <c r="E477" s="107" t="s">
        <v>78</v>
      </c>
      <c r="F477" s="69" t="s">
        <v>2393</v>
      </c>
      <c r="G477" s="69"/>
      <c r="H477" s="69">
        <v>341.25</v>
      </c>
      <c r="U477" s="69"/>
      <c r="V477" s="69"/>
      <c r="AS477" s="94">
        <f t="shared" si="41"/>
        <v>341.25</v>
      </c>
      <c r="AT477" s="69">
        <v>250.79</v>
      </c>
      <c r="AU477" s="69">
        <v>34.72</v>
      </c>
      <c r="AV477" s="69">
        <v>55.74</v>
      </c>
      <c r="BD477" s="69"/>
      <c r="BE477" s="69"/>
      <c r="CE477" s="94">
        <f t="shared" si="49"/>
        <v>341.25</v>
      </c>
      <c r="CF477" s="73">
        <f t="shared" si="50"/>
        <v>0</v>
      </c>
      <c r="CG477" s="75">
        <f t="shared" si="51"/>
        <v>6533</v>
      </c>
      <c r="CH477" s="75" t="str">
        <f t="shared" si="51"/>
        <v>برنامج دولى</v>
      </c>
    </row>
    <row r="478" spans="3:86" x14ac:dyDescent="0.25">
      <c r="C478" s="82">
        <v>11086</v>
      </c>
      <c r="D478" s="78">
        <v>6534</v>
      </c>
      <c r="E478" s="107" t="s">
        <v>78</v>
      </c>
      <c r="F478" s="69" t="s">
        <v>2393</v>
      </c>
      <c r="G478" s="69"/>
      <c r="H478" s="69">
        <v>325.98</v>
      </c>
      <c r="U478" s="69"/>
      <c r="V478" s="69"/>
      <c r="AS478" s="94">
        <f t="shared" si="41"/>
        <v>325.98</v>
      </c>
      <c r="AT478" s="69">
        <v>239.47</v>
      </c>
      <c r="AU478" s="69">
        <v>33.31</v>
      </c>
      <c r="AV478" s="69">
        <v>53.2</v>
      </c>
      <c r="BD478" s="69"/>
      <c r="BE478" s="69"/>
      <c r="CE478" s="94">
        <f t="shared" si="49"/>
        <v>325.97999999999996</v>
      </c>
      <c r="CF478" s="73">
        <f t="shared" si="50"/>
        <v>0</v>
      </c>
      <c r="CG478" s="75">
        <f t="shared" si="51"/>
        <v>6534</v>
      </c>
      <c r="CH478" s="75" t="str">
        <f t="shared" si="51"/>
        <v>برنامج دولى</v>
      </c>
    </row>
    <row r="479" spans="3:86" x14ac:dyDescent="0.25">
      <c r="C479" s="82">
        <v>11084</v>
      </c>
      <c r="D479" s="78">
        <v>6535</v>
      </c>
      <c r="E479" s="107" t="s">
        <v>78</v>
      </c>
      <c r="F479" s="69" t="s">
        <v>2393</v>
      </c>
      <c r="G479" s="69"/>
      <c r="H479" s="69">
        <v>387.4</v>
      </c>
      <c r="U479" s="69"/>
      <c r="V479" s="69"/>
      <c r="AS479" s="94">
        <f t="shared" si="41"/>
        <v>387.4</v>
      </c>
      <c r="AT479" s="69">
        <v>280.52</v>
      </c>
      <c r="AU479" s="69">
        <v>39.08</v>
      </c>
      <c r="AV479" s="69">
        <v>67.8</v>
      </c>
      <c r="BD479" s="69"/>
      <c r="BE479" s="69"/>
      <c r="CE479" s="94">
        <f t="shared" si="49"/>
        <v>387.4</v>
      </c>
      <c r="CF479" s="73">
        <f t="shared" si="50"/>
        <v>0</v>
      </c>
      <c r="CG479" s="75">
        <f t="shared" si="51"/>
        <v>6535</v>
      </c>
      <c r="CH479" s="75" t="str">
        <f t="shared" si="51"/>
        <v>برنامج دولى</v>
      </c>
    </row>
    <row r="480" spans="3:86" x14ac:dyDescent="0.25">
      <c r="C480" s="82">
        <v>11083</v>
      </c>
      <c r="D480" s="78">
        <v>6536</v>
      </c>
      <c r="E480" s="107" t="s">
        <v>78</v>
      </c>
      <c r="F480" s="69" t="s">
        <v>2393</v>
      </c>
      <c r="G480" s="69"/>
      <c r="H480" s="69">
        <v>198.7</v>
      </c>
      <c r="U480" s="69"/>
      <c r="V480" s="69"/>
      <c r="AS480" s="94">
        <f t="shared" si="41"/>
        <v>198.7</v>
      </c>
      <c r="AT480" s="69">
        <v>128.88</v>
      </c>
      <c r="AU480" s="69">
        <v>19.87</v>
      </c>
      <c r="AV480" s="69">
        <v>49.95</v>
      </c>
      <c r="BD480" s="69"/>
      <c r="BE480" s="69"/>
      <c r="CE480" s="94">
        <f t="shared" si="49"/>
        <v>198.7</v>
      </c>
      <c r="CF480" s="73">
        <f t="shared" si="50"/>
        <v>0</v>
      </c>
      <c r="CG480" s="75">
        <f t="shared" si="51"/>
        <v>6536</v>
      </c>
      <c r="CH480" s="75" t="str">
        <f t="shared" si="51"/>
        <v>برنامج دولى</v>
      </c>
    </row>
    <row r="481" spans="3:86" x14ac:dyDescent="0.25">
      <c r="C481" s="82">
        <v>11082</v>
      </c>
      <c r="D481" s="78">
        <v>6537</v>
      </c>
      <c r="E481" s="107" t="s">
        <v>78</v>
      </c>
      <c r="F481" s="69" t="s">
        <v>2393</v>
      </c>
      <c r="G481" s="69"/>
      <c r="H481" s="69">
        <v>193.99</v>
      </c>
      <c r="U481" s="69"/>
      <c r="V481" s="69"/>
      <c r="AS481" s="94">
        <f t="shared" si="41"/>
        <v>193.99</v>
      </c>
      <c r="AT481" s="69">
        <v>125.93</v>
      </c>
      <c r="AU481" s="69">
        <v>19.649999999999999</v>
      </c>
      <c r="AV481" s="69">
        <v>48.41</v>
      </c>
      <c r="BD481" s="69"/>
      <c r="BE481" s="69"/>
      <c r="CE481" s="94">
        <f t="shared" ref="CE481:CE514" si="52">SUM(AT481:CD481)</f>
        <v>193.99</v>
      </c>
      <c r="CF481" s="73">
        <f t="shared" si="50"/>
        <v>0</v>
      </c>
      <c r="CG481" s="75">
        <f t="shared" ref="CG481:CH514" si="53">+D481</f>
        <v>6537</v>
      </c>
      <c r="CH481" s="75" t="str">
        <f t="shared" si="53"/>
        <v>برنامج دولى</v>
      </c>
    </row>
    <row r="482" spans="3:86" x14ac:dyDescent="0.25">
      <c r="C482" s="82">
        <v>11081</v>
      </c>
      <c r="D482" s="78">
        <v>6538</v>
      </c>
      <c r="E482" s="107" t="s">
        <v>78</v>
      </c>
      <c r="F482" s="69" t="s">
        <v>2393</v>
      </c>
      <c r="G482" s="69"/>
      <c r="H482" s="69">
        <v>195.7</v>
      </c>
      <c r="U482" s="69"/>
      <c r="V482" s="69"/>
      <c r="AS482" s="94">
        <f t="shared" si="41"/>
        <v>195.7</v>
      </c>
      <c r="AT482" s="69">
        <v>126.85</v>
      </c>
      <c r="AU482" s="69">
        <v>19.579999999999998</v>
      </c>
      <c r="AV482" s="69">
        <v>49.27</v>
      </c>
      <c r="BD482" s="69"/>
      <c r="BE482" s="69"/>
      <c r="CE482" s="94">
        <f t="shared" si="52"/>
        <v>195.70000000000002</v>
      </c>
      <c r="CF482" s="73">
        <f t="shared" ref="CF482:CF545" si="54">+CE482-AS482</f>
        <v>0</v>
      </c>
      <c r="CG482" s="75">
        <f t="shared" si="53"/>
        <v>6538</v>
      </c>
      <c r="CH482" s="75" t="str">
        <f t="shared" si="53"/>
        <v>برنامج دولى</v>
      </c>
    </row>
    <row r="483" spans="3:86" x14ac:dyDescent="0.25">
      <c r="C483" s="82">
        <v>11080</v>
      </c>
      <c r="D483" s="78">
        <v>6539</v>
      </c>
      <c r="E483" s="107" t="s">
        <v>78</v>
      </c>
      <c r="F483" s="69" t="s">
        <v>2393</v>
      </c>
      <c r="G483" s="69"/>
      <c r="H483" s="69">
        <v>197.49</v>
      </c>
      <c r="U483" s="69"/>
      <c r="V483" s="69"/>
      <c r="AS483" s="94">
        <f t="shared" si="41"/>
        <v>197.49</v>
      </c>
      <c r="AT483" s="69">
        <v>127.97</v>
      </c>
      <c r="AU483" s="69">
        <v>19.82</v>
      </c>
      <c r="AV483" s="69">
        <v>49.7</v>
      </c>
      <c r="BD483" s="69"/>
      <c r="BE483" s="69"/>
      <c r="CE483" s="94">
        <f t="shared" si="52"/>
        <v>197.49</v>
      </c>
      <c r="CF483" s="73">
        <f t="shared" si="54"/>
        <v>0</v>
      </c>
      <c r="CG483" s="75">
        <f t="shared" si="53"/>
        <v>6539</v>
      </c>
      <c r="CH483" s="75" t="str">
        <f t="shared" si="53"/>
        <v>برنامج دولى</v>
      </c>
    </row>
    <row r="484" spans="3:86" x14ac:dyDescent="0.25">
      <c r="C484" s="82">
        <v>11079</v>
      </c>
      <c r="D484" s="78">
        <v>6540</v>
      </c>
      <c r="E484" s="107" t="s">
        <v>78</v>
      </c>
      <c r="F484" s="69" t="s">
        <v>2393</v>
      </c>
      <c r="G484" s="69"/>
      <c r="H484" s="69">
        <v>184.48</v>
      </c>
      <c r="U484" s="69"/>
      <c r="V484" s="69"/>
      <c r="AS484" s="94">
        <f t="shared" si="41"/>
        <v>184.48</v>
      </c>
      <c r="AT484" s="69">
        <v>119.63</v>
      </c>
      <c r="AU484" s="69">
        <v>18.54</v>
      </c>
      <c r="AV484" s="69">
        <v>46.31</v>
      </c>
      <c r="BD484" s="69"/>
      <c r="BE484" s="69"/>
      <c r="CE484" s="94">
        <f t="shared" si="52"/>
        <v>184.48</v>
      </c>
      <c r="CF484" s="73">
        <f t="shared" si="54"/>
        <v>0</v>
      </c>
      <c r="CG484" s="75">
        <f t="shared" si="53"/>
        <v>6540</v>
      </c>
      <c r="CH484" s="75" t="str">
        <f t="shared" si="53"/>
        <v>برنامج دولى</v>
      </c>
    </row>
    <row r="485" spans="3:86" x14ac:dyDescent="0.25">
      <c r="C485" s="82">
        <v>11078</v>
      </c>
      <c r="D485" s="78">
        <v>6541</v>
      </c>
      <c r="E485" s="107" t="s">
        <v>78</v>
      </c>
      <c r="F485" s="69" t="s">
        <v>2393</v>
      </c>
      <c r="G485" s="69"/>
      <c r="H485" s="69">
        <v>212.31</v>
      </c>
      <c r="U485" s="69"/>
      <c r="V485" s="69"/>
      <c r="AS485" s="94">
        <f t="shared" si="41"/>
        <v>212.31</v>
      </c>
      <c r="AT485" s="69">
        <v>137.11000000000001</v>
      </c>
      <c r="AU485" s="69">
        <v>20.92</v>
      </c>
      <c r="AV485" s="69">
        <v>54.28</v>
      </c>
      <c r="BD485" s="69"/>
      <c r="BE485" s="69"/>
      <c r="CE485" s="94">
        <f t="shared" si="52"/>
        <v>212.31000000000003</v>
      </c>
      <c r="CF485" s="73">
        <f t="shared" si="54"/>
        <v>0</v>
      </c>
      <c r="CG485" s="75">
        <f t="shared" si="53"/>
        <v>6541</v>
      </c>
      <c r="CH485" s="75" t="str">
        <f t="shared" si="53"/>
        <v>برنامج دولى</v>
      </c>
    </row>
    <row r="486" spans="3:86" x14ac:dyDescent="0.25">
      <c r="C486" s="82">
        <v>11077</v>
      </c>
      <c r="D486" s="78">
        <v>6542</v>
      </c>
      <c r="E486" s="107" t="s">
        <v>78</v>
      </c>
      <c r="F486" s="69" t="s">
        <v>2393</v>
      </c>
      <c r="G486" s="69"/>
      <c r="H486" s="69">
        <v>178.28</v>
      </c>
      <c r="U486" s="69"/>
      <c r="V486" s="69"/>
      <c r="AS486" s="94">
        <f t="shared" si="41"/>
        <v>178.28</v>
      </c>
      <c r="AT486" s="69">
        <v>114.98</v>
      </c>
      <c r="AU486" s="69">
        <v>17.739999999999998</v>
      </c>
      <c r="AV486" s="69">
        <v>45.56</v>
      </c>
      <c r="BD486" s="69"/>
      <c r="BE486" s="69"/>
      <c r="CE486" s="94">
        <f t="shared" si="52"/>
        <v>178.28</v>
      </c>
      <c r="CF486" s="73">
        <f t="shared" si="54"/>
        <v>0</v>
      </c>
      <c r="CG486" s="75">
        <f t="shared" si="53"/>
        <v>6542</v>
      </c>
      <c r="CH486" s="75" t="str">
        <f t="shared" si="53"/>
        <v>برنامج دولى</v>
      </c>
    </row>
    <row r="487" spans="3:86" x14ac:dyDescent="0.25">
      <c r="C487" s="82">
        <v>11076</v>
      </c>
      <c r="D487" s="78">
        <v>6543</v>
      </c>
      <c r="E487" s="107" t="s">
        <v>78</v>
      </c>
      <c r="F487" s="69" t="s">
        <v>2393</v>
      </c>
      <c r="G487" s="69"/>
      <c r="H487" s="69">
        <v>199.55</v>
      </c>
      <c r="U487" s="69"/>
      <c r="V487" s="69"/>
      <c r="AS487" s="94">
        <f t="shared" si="41"/>
        <v>199.55</v>
      </c>
      <c r="AT487" s="69">
        <v>128.81</v>
      </c>
      <c r="AU487" s="69">
        <v>19.52</v>
      </c>
      <c r="AV487" s="69">
        <v>51.22</v>
      </c>
      <c r="BD487" s="69"/>
      <c r="BE487" s="69"/>
      <c r="CE487" s="94">
        <f t="shared" si="52"/>
        <v>199.55</v>
      </c>
      <c r="CF487" s="73">
        <f t="shared" si="54"/>
        <v>0</v>
      </c>
      <c r="CG487" s="75">
        <f t="shared" si="53"/>
        <v>6543</v>
      </c>
      <c r="CH487" s="75" t="str">
        <f t="shared" si="53"/>
        <v>برنامج دولى</v>
      </c>
    </row>
    <row r="488" spans="3:86" x14ac:dyDescent="0.25">
      <c r="C488" s="82">
        <v>11075</v>
      </c>
      <c r="D488" s="78">
        <v>6544</v>
      </c>
      <c r="E488" s="107" t="s">
        <v>78</v>
      </c>
      <c r="F488" s="69" t="s">
        <v>2393</v>
      </c>
      <c r="G488" s="69"/>
      <c r="H488" s="69">
        <v>202.18</v>
      </c>
      <c r="U488" s="69"/>
      <c r="V488" s="69"/>
      <c r="AS488" s="94">
        <f t="shared" si="41"/>
        <v>202.18</v>
      </c>
      <c r="AT488" s="69">
        <v>130.44</v>
      </c>
      <c r="AU488" s="69">
        <v>19.989999999999998</v>
      </c>
      <c r="AV488" s="69">
        <v>51.75</v>
      </c>
      <c r="BD488" s="69"/>
      <c r="BE488" s="69"/>
      <c r="CE488" s="94">
        <f t="shared" si="52"/>
        <v>202.18</v>
      </c>
      <c r="CF488" s="73">
        <f t="shared" si="54"/>
        <v>0</v>
      </c>
      <c r="CG488" s="75">
        <f t="shared" si="53"/>
        <v>6544</v>
      </c>
      <c r="CH488" s="75" t="str">
        <f t="shared" si="53"/>
        <v>برنامج دولى</v>
      </c>
    </row>
    <row r="489" spans="3:86" x14ac:dyDescent="0.25">
      <c r="C489" s="82">
        <v>11074</v>
      </c>
      <c r="D489" s="78">
        <v>6545</v>
      </c>
      <c r="E489" s="107" t="s">
        <v>78</v>
      </c>
      <c r="F489" s="69" t="s">
        <v>2393</v>
      </c>
      <c r="G489" s="69"/>
      <c r="H489" s="69">
        <v>180.15</v>
      </c>
      <c r="U489" s="69"/>
      <c r="V489" s="69"/>
      <c r="AS489" s="94">
        <f t="shared" si="41"/>
        <v>180.15</v>
      </c>
      <c r="AT489" s="69">
        <v>116.81</v>
      </c>
      <c r="AU489" s="69">
        <v>18.12</v>
      </c>
      <c r="AV489" s="109">
        <v>45.22</v>
      </c>
      <c r="BD489" s="69"/>
      <c r="BE489" s="69"/>
      <c r="CE489" s="94">
        <f t="shared" si="52"/>
        <v>180.15</v>
      </c>
      <c r="CF489" s="73">
        <f t="shared" si="54"/>
        <v>0</v>
      </c>
      <c r="CG489" s="75">
        <f t="shared" si="53"/>
        <v>6545</v>
      </c>
      <c r="CH489" s="75" t="str">
        <f t="shared" si="53"/>
        <v>برنامج دولى</v>
      </c>
    </row>
    <row r="490" spans="3:86" x14ac:dyDescent="0.25">
      <c r="C490" s="82">
        <v>11085</v>
      </c>
      <c r="D490" s="78">
        <v>6546</v>
      </c>
      <c r="E490" s="107" t="s">
        <v>119</v>
      </c>
      <c r="F490" s="69" t="s">
        <v>2394</v>
      </c>
      <c r="G490" s="69"/>
      <c r="H490" s="69">
        <v>100</v>
      </c>
      <c r="U490" s="69"/>
      <c r="V490" s="69"/>
      <c r="AS490" s="94">
        <f t="shared" si="41"/>
        <v>100</v>
      </c>
      <c r="AT490" s="69">
        <v>79.760000000000005</v>
      </c>
      <c r="AU490" s="69">
        <v>20.239999999999998</v>
      </c>
      <c r="BD490" s="69"/>
      <c r="BE490" s="69"/>
      <c r="CE490" s="94">
        <f t="shared" si="52"/>
        <v>100</v>
      </c>
      <c r="CF490" s="73">
        <f t="shared" si="54"/>
        <v>0</v>
      </c>
      <c r="CG490" s="75">
        <f t="shared" si="53"/>
        <v>6546</v>
      </c>
      <c r="CH490" s="75" t="str">
        <f t="shared" si="53"/>
        <v>خ ت صيدلة</v>
      </c>
    </row>
    <row r="491" spans="3:86" x14ac:dyDescent="0.25">
      <c r="C491" s="82">
        <v>11317</v>
      </c>
      <c r="D491" s="78">
        <v>6547</v>
      </c>
      <c r="E491" s="107" t="s">
        <v>130</v>
      </c>
      <c r="F491" s="69" t="s">
        <v>2395</v>
      </c>
      <c r="G491" s="69"/>
      <c r="H491" s="69">
        <v>48814.15</v>
      </c>
      <c r="U491" s="69"/>
      <c r="V491" s="69"/>
      <c r="AS491" s="94">
        <f t="shared" si="41"/>
        <v>48814.15</v>
      </c>
      <c r="AT491" s="69">
        <v>36795.21</v>
      </c>
      <c r="AU491" s="69">
        <v>9399.59</v>
      </c>
      <c r="AV491" s="69">
        <v>184.85</v>
      </c>
      <c r="AW491" s="69">
        <v>2434.5</v>
      </c>
      <c r="BD491" s="69"/>
      <c r="BE491" s="69"/>
      <c r="CE491" s="94">
        <f t="shared" si="52"/>
        <v>48814.15</v>
      </c>
      <c r="CF491" s="73">
        <f t="shared" si="54"/>
        <v>0</v>
      </c>
      <c r="CG491" s="75">
        <f t="shared" si="53"/>
        <v>6547</v>
      </c>
      <c r="CH491" s="75" t="str">
        <f t="shared" si="53"/>
        <v>خ ت طب</v>
      </c>
    </row>
    <row r="492" spans="3:86" x14ac:dyDescent="0.25">
      <c r="C492" s="82">
        <v>11316</v>
      </c>
      <c r="D492" s="78">
        <v>6548</v>
      </c>
      <c r="E492" s="107" t="s">
        <v>130</v>
      </c>
      <c r="F492" s="69" t="s">
        <v>2396</v>
      </c>
      <c r="G492" s="69"/>
      <c r="H492" s="69">
        <v>45815.45</v>
      </c>
      <c r="U492" s="69"/>
      <c r="V492" s="69"/>
      <c r="AS492" s="94">
        <f t="shared" si="41"/>
        <v>45815.45</v>
      </c>
      <c r="AT492" s="69">
        <v>34411.03</v>
      </c>
      <c r="AU492" s="69">
        <v>8875.39</v>
      </c>
      <c r="AV492" s="69">
        <v>246.03</v>
      </c>
      <c r="AW492" s="69">
        <v>2283</v>
      </c>
      <c r="BD492" s="69"/>
      <c r="BE492" s="69"/>
      <c r="CE492" s="94">
        <f t="shared" si="52"/>
        <v>45815.45</v>
      </c>
      <c r="CF492" s="73">
        <f t="shared" si="54"/>
        <v>0</v>
      </c>
      <c r="CG492" s="75">
        <f t="shared" si="53"/>
        <v>6548</v>
      </c>
      <c r="CH492" s="75" t="str">
        <f t="shared" si="53"/>
        <v>خ ت طب</v>
      </c>
    </row>
    <row r="493" spans="3:86" x14ac:dyDescent="0.25">
      <c r="C493" s="82">
        <v>11315</v>
      </c>
      <c r="D493" s="78">
        <v>6549</v>
      </c>
      <c r="E493" s="107" t="s">
        <v>130</v>
      </c>
      <c r="F493" s="69" t="s">
        <v>2397</v>
      </c>
      <c r="G493" s="69"/>
      <c r="H493" s="69">
        <v>55019.95</v>
      </c>
      <c r="U493" s="69"/>
      <c r="V493" s="69"/>
      <c r="AS493" s="94">
        <f t="shared" si="41"/>
        <v>55019.95</v>
      </c>
      <c r="AT493" s="69">
        <v>41390.99</v>
      </c>
      <c r="AU493" s="69">
        <v>10749.66</v>
      </c>
      <c r="AV493" s="69">
        <v>132.30000000000001</v>
      </c>
      <c r="AW493" s="69">
        <v>2747</v>
      </c>
      <c r="BD493" s="69"/>
      <c r="BE493" s="69"/>
      <c r="CE493" s="94">
        <f t="shared" si="52"/>
        <v>55019.95</v>
      </c>
      <c r="CF493" s="73">
        <f t="shared" si="54"/>
        <v>0</v>
      </c>
      <c r="CG493" s="75">
        <f t="shared" si="53"/>
        <v>6549</v>
      </c>
      <c r="CH493" s="75" t="str">
        <f t="shared" si="53"/>
        <v>خ ت طب</v>
      </c>
    </row>
    <row r="494" spans="3:86" x14ac:dyDescent="0.25">
      <c r="C494" s="82">
        <v>11314</v>
      </c>
      <c r="D494" s="78">
        <v>6550</v>
      </c>
      <c r="E494" s="107" t="s">
        <v>130</v>
      </c>
      <c r="F494" s="69" t="s">
        <v>2398</v>
      </c>
      <c r="G494" s="69"/>
      <c r="H494" s="69">
        <v>21481.7</v>
      </c>
      <c r="U494" s="69"/>
      <c r="V494" s="69"/>
      <c r="AS494" s="94">
        <f t="shared" si="41"/>
        <v>21481.7</v>
      </c>
      <c r="AT494" s="69">
        <v>15722.53</v>
      </c>
      <c r="AU494" s="69">
        <v>3698.02</v>
      </c>
      <c r="AV494" s="69">
        <v>1018.15</v>
      </c>
      <c r="AW494" s="69">
        <v>1043</v>
      </c>
      <c r="BD494" s="69"/>
      <c r="BE494" s="69"/>
      <c r="CE494" s="94">
        <f t="shared" si="52"/>
        <v>21481.7</v>
      </c>
      <c r="CF494" s="73">
        <f t="shared" si="54"/>
        <v>0</v>
      </c>
      <c r="CG494" s="75">
        <f t="shared" si="53"/>
        <v>6550</v>
      </c>
      <c r="CH494" s="75" t="str">
        <f t="shared" si="53"/>
        <v>خ ت طب</v>
      </c>
    </row>
    <row r="495" spans="3:86" x14ac:dyDescent="0.25">
      <c r="C495" s="82">
        <v>11312</v>
      </c>
      <c r="D495" s="78">
        <v>6551</v>
      </c>
      <c r="E495" s="107" t="s">
        <v>130</v>
      </c>
      <c r="F495" s="69" t="s">
        <v>2399</v>
      </c>
      <c r="G495" s="69"/>
      <c r="H495" s="69">
        <v>5614.55</v>
      </c>
      <c r="U495" s="69"/>
      <c r="V495" s="69"/>
      <c r="AS495" s="94">
        <f t="shared" si="41"/>
        <v>5614.55</v>
      </c>
      <c r="AT495" s="69">
        <v>4079.41</v>
      </c>
      <c r="AU495" s="69">
        <v>1040.79</v>
      </c>
      <c r="AV495" s="69">
        <v>220.35</v>
      </c>
      <c r="AW495" s="69">
        <v>274</v>
      </c>
      <c r="BD495" s="69"/>
      <c r="BE495" s="69"/>
      <c r="CE495" s="94">
        <f t="shared" si="52"/>
        <v>5614.55</v>
      </c>
      <c r="CF495" s="73">
        <f t="shared" si="54"/>
        <v>0</v>
      </c>
      <c r="CG495" s="75">
        <f t="shared" si="53"/>
        <v>6551</v>
      </c>
      <c r="CH495" s="75" t="str">
        <f t="shared" si="53"/>
        <v>خ ت طب</v>
      </c>
    </row>
    <row r="496" spans="3:86" x14ac:dyDescent="0.25">
      <c r="C496" s="82">
        <v>11313</v>
      </c>
      <c r="D496" s="78">
        <v>6552</v>
      </c>
      <c r="E496" s="107" t="s">
        <v>130</v>
      </c>
      <c r="F496" s="69" t="s">
        <v>2400</v>
      </c>
      <c r="G496" s="69"/>
      <c r="H496" s="69">
        <v>10000</v>
      </c>
      <c r="U496" s="69"/>
      <c r="V496" s="69"/>
      <c r="AS496" s="94">
        <f t="shared" si="41"/>
        <v>10000</v>
      </c>
      <c r="AT496" s="69">
        <v>7542.08</v>
      </c>
      <c r="AU496" s="69">
        <v>1957.92</v>
      </c>
      <c r="AW496" s="69">
        <v>500</v>
      </c>
      <c r="BD496" s="69"/>
      <c r="BE496" s="69"/>
      <c r="CE496" s="94">
        <f t="shared" si="52"/>
        <v>10000</v>
      </c>
      <c r="CF496" s="73">
        <f t="shared" si="54"/>
        <v>0</v>
      </c>
      <c r="CG496" s="75">
        <f t="shared" si="53"/>
        <v>6552</v>
      </c>
      <c r="CH496" s="75" t="str">
        <f t="shared" si="53"/>
        <v>خ ت طب</v>
      </c>
    </row>
    <row r="497" spans="3:86" x14ac:dyDescent="0.25">
      <c r="C497" s="82">
        <v>11310</v>
      </c>
      <c r="D497" s="78">
        <v>6553</v>
      </c>
      <c r="E497" s="107" t="s">
        <v>130</v>
      </c>
      <c r="F497" s="69" t="s">
        <v>2401</v>
      </c>
      <c r="G497" s="69"/>
      <c r="H497" s="69">
        <v>15120</v>
      </c>
      <c r="U497" s="69"/>
      <c r="V497" s="69"/>
      <c r="AS497" s="94">
        <f t="shared" si="41"/>
        <v>15120</v>
      </c>
      <c r="AT497" s="69">
        <v>11398.28</v>
      </c>
      <c r="AU497" s="69">
        <v>2965.72</v>
      </c>
      <c r="AW497" s="69">
        <v>756</v>
      </c>
      <c r="BD497" s="69"/>
      <c r="BE497" s="69"/>
      <c r="CE497" s="94">
        <f t="shared" si="52"/>
        <v>15120</v>
      </c>
      <c r="CF497" s="73">
        <f t="shared" si="54"/>
        <v>0</v>
      </c>
      <c r="CG497" s="75">
        <f t="shared" si="53"/>
        <v>6553</v>
      </c>
      <c r="CH497" s="75" t="str">
        <f t="shared" si="53"/>
        <v>خ ت طب</v>
      </c>
    </row>
    <row r="498" spans="3:86" x14ac:dyDescent="0.25">
      <c r="C498" s="82">
        <v>11309</v>
      </c>
      <c r="D498" s="78">
        <v>6554</v>
      </c>
      <c r="E498" s="107" t="s">
        <v>130</v>
      </c>
      <c r="F498" s="69" t="s">
        <v>2402</v>
      </c>
      <c r="G498" s="69"/>
      <c r="H498" s="69">
        <v>7560</v>
      </c>
      <c r="U498" s="69"/>
      <c r="V498" s="69"/>
      <c r="AS498" s="94">
        <f t="shared" si="41"/>
        <v>7560</v>
      </c>
      <c r="AT498" s="69">
        <v>5777.67</v>
      </c>
      <c r="AU498" s="69">
        <v>1404.33</v>
      </c>
      <c r="AW498" s="69">
        <v>378</v>
      </c>
      <c r="BD498" s="69"/>
      <c r="BE498" s="69"/>
      <c r="CE498" s="94">
        <f t="shared" si="52"/>
        <v>7560</v>
      </c>
      <c r="CF498" s="73">
        <f t="shared" si="54"/>
        <v>0</v>
      </c>
      <c r="CG498" s="75">
        <f t="shared" si="53"/>
        <v>6554</v>
      </c>
      <c r="CH498" s="75" t="str">
        <f t="shared" si="53"/>
        <v>خ ت طب</v>
      </c>
    </row>
    <row r="499" spans="3:86" x14ac:dyDescent="0.25">
      <c r="C499" s="82">
        <v>11307</v>
      </c>
      <c r="D499" s="78">
        <v>6555</v>
      </c>
      <c r="E499" s="107" t="s">
        <v>130</v>
      </c>
      <c r="F499" s="69" t="s">
        <v>2403</v>
      </c>
      <c r="G499" s="69"/>
      <c r="H499" s="69">
        <v>2600</v>
      </c>
      <c r="U499" s="69"/>
      <c r="V499" s="69"/>
      <c r="AS499" s="94">
        <f t="shared" si="41"/>
        <v>2600</v>
      </c>
      <c r="AT499" s="69">
        <v>1960.68</v>
      </c>
      <c r="AU499" s="69">
        <v>509.32</v>
      </c>
      <c r="AW499" s="69">
        <v>130</v>
      </c>
      <c r="BD499" s="69"/>
      <c r="BE499" s="69"/>
      <c r="CE499" s="94">
        <f t="shared" si="52"/>
        <v>2600</v>
      </c>
      <c r="CF499" s="73">
        <f t="shared" si="54"/>
        <v>0</v>
      </c>
      <c r="CG499" s="75">
        <f t="shared" si="53"/>
        <v>6555</v>
      </c>
      <c r="CH499" s="75" t="str">
        <f t="shared" si="53"/>
        <v>خ ت طب</v>
      </c>
    </row>
    <row r="500" spans="3:86" x14ac:dyDescent="0.25">
      <c r="C500" s="82">
        <v>11308</v>
      </c>
      <c r="D500" s="78">
        <v>6556</v>
      </c>
      <c r="E500" s="107" t="s">
        <v>130</v>
      </c>
      <c r="F500" s="69" t="s">
        <v>2403</v>
      </c>
      <c r="G500" s="69"/>
      <c r="H500" s="69">
        <v>51013.59</v>
      </c>
      <c r="U500" s="69"/>
      <c r="V500" s="69"/>
      <c r="AS500" s="94">
        <f t="shared" si="41"/>
        <v>51013.59</v>
      </c>
      <c r="AT500" s="69">
        <v>38302.07</v>
      </c>
      <c r="AU500" s="69">
        <v>9856.9</v>
      </c>
      <c r="AV500" s="69">
        <v>313.62</v>
      </c>
      <c r="AW500" s="69">
        <v>2541</v>
      </c>
      <c r="BD500" s="69"/>
      <c r="BE500" s="69"/>
      <c r="CE500" s="94">
        <f t="shared" si="52"/>
        <v>51013.590000000004</v>
      </c>
      <c r="CF500" s="73">
        <f t="shared" si="54"/>
        <v>0</v>
      </c>
      <c r="CG500" s="75">
        <f t="shared" si="53"/>
        <v>6556</v>
      </c>
      <c r="CH500" s="75" t="str">
        <f t="shared" si="53"/>
        <v>خ ت طب</v>
      </c>
    </row>
    <row r="501" spans="3:86" x14ac:dyDescent="0.25">
      <c r="C501" s="82">
        <v>10724</v>
      </c>
      <c r="D501" s="78">
        <v>6557</v>
      </c>
      <c r="E501" s="107" t="s">
        <v>123</v>
      </c>
      <c r="F501" s="69" t="s">
        <v>1562</v>
      </c>
      <c r="G501" s="69"/>
      <c r="H501" s="69">
        <v>469</v>
      </c>
      <c r="U501" s="69"/>
      <c r="V501" s="69"/>
      <c r="AS501" s="94">
        <f t="shared" si="41"/>
        <v>469</v>
      </c>
      <c r="AT501" s="69">
        <v>313.7</v>
      </c>
      <c r="AU501" s="69">
        <f>40+2.3</f>
        <v>42.3</v>
      </c>
      <c r="AV501" s="69">
        <v>113</v>
      </c>
      <c r="BD501" s="69"/>
      <c r="BE501" s="69"/>
      <c r="CE501" s="94">
        <f t="shared" si="52"/>
        <v>469</v>
      </c>
      <c r="CF501" s="73">
        <f t="shared" si="54"/>
        <v>0</v>
      </c>
      <c r="CG501" s="75">
        <f t="shared" si="53"/>
        <v>6557</v>
      </c>
      <c r="CH501" s="75" t="str">
        <f t="shared" si="53"/>
        <v>خ ت اسنان</v>
      </c>
    </row>
    <row r="502" spans="3:86" x14ac:dyDescent="0.25">
      <c r="C502" s="82">
        <v>10725</v>
      </c>
      <c r="D502" s="78">
        <v>6558</v>
      </c>
      <c r="E502" s="107" t="s">
        <v>123</v>
      </c>
      <c r="F502" s="69" t="s">
        <v>1562</v>
      </c>
      <c r="G502" s="69"/>
      <c r="H502" s="69">
        <v>469</v>
      </c>
      <c r="U502" s="69"/>
      <c r="V502" s="69"/>
      <c r="AS502" s="94">
        <f t="shared" si="41"/>
        <v>469</v>
      </c>
      <c r="AT502" s="69">
        <v>313.7</v>
      </c>
      <c r="AU502" s="69">
        <v>42.3</v>
      </c>
      <c r="AV502" s="69">
        <v>113</v>
      </c>
      <c r="BD502" s="69"/>
      <c r="BE502" s="69"/>
      <c r="CE502" s="94">
        <f t="shared" si="52"/>
        <v>469</v>
      </c>
      <c r="CF502" s="73">
        <f t="shared" si="54"/>
        <v>0</v>
      </c>
      <c r="CG502" s="75">
        <f t="shared" si="53"/>
        <v>6558</v>
      </c>
      <c r="CH502" s="75" t="str">
        <f t="shared" si="53"/>
        <v>خ ت اسنان</v>
      </c>
    </row>
    <row r="503" spans="3:86" x14ac:dyDescent="0.25">
      <c r="C503" s="82">
        <v>10713</v>
      </c>
      <c r="D503" s="78">
        <v>6559</v>
      </c>
      <c r="E503" s="107" t="s">
        <v>123</v>
      </c>
      <c r="F503" s="69" t="s">
        <v>1562</v>
      </c>
      <c r="G503" s="69"/>
      <c r="H503" s="69">
        <v>469</v>
      </c>
      <c r="U503" s="69"/>
      <c r="V503" s="69"/>
      <c r="AS503" s="94">
        <f t="shared" si="41"/>
        <v>469</v>
      </c>
      <c r="AT503" s="69">
        <v>313.7</v>
      </c>
      <c r="AU503" s="69">
        <v>42.3</v>
      </c>
      <c r="AV503" s="69">
        <v>113</v>
      </c>
      <c r="BD503" s="69"/>
      <c r="BE503" s="69"/>
      <c r="CE503" s="94">
        <f t="shared" si="52"/>
        <v>469</v>
      </c>
      <c r="CF503" s="73">
        <f t="shared" si="54"/>
        <v>0</v>
      </c>
      <c r="CG503" s="75">
        <f t="shared" si="53"/>
        <v>6559</v>
      </c>
      <c r="CH503" s="75" t="str">
        <f t="shared" si="53"/>
        <v>خ ت اسنان</v>
      </c>
    </row>
    <row r="504" spans="3:86" x14ac:dyDescent="0.25">
      <c r="C504" s="82">
        <v>10728</v>
      </c>
      <c r="D504" s="78">
        <v>6560</v>
      </c>
      <c r="E504" s="107" t="s">
        <v>123</v>
      </c>
      <c r="F504" s="69" t="s">
        <v>1562</v>
      </c>
      <c r="G504" s="69"/>
      <c r="H504" s="69">
        <v>950</v>
      </c>
      <c r="U504" s="69"/>
      <c r="V504" s="69"/>
      <c r="AS504" s="94">
        <f t="shared" si="41"/>
        <v>950</v>
      </c>
      <c r="AT504" s="69">
        <v>716.96</v>
      </c>
      <c r="AU504" s="69">
        <v>185.54</v>
      </c>
      <c r="AW504" s="69">
        <v>47.5</v>
      </c>
      <c r="BD504" s="69"/>
      <c r="BE504" s="69"/>
      <c r="CE504" s="94">
        <f t="shared" si="52"/>
        <v>950</v>
      </c>
      <c r="CF504" s="73">
        <f t="shared" si="54"/>
        <v>0</v>
      </c>
      <c r="CG504" s="75">
        <f t="shared" si="53"/>
        <v>6560</v>
      </c>
      <c r="CH504" s="75" t="str">
        <f t="shared" si="53"/>
        <v>خ ت اسنان</v>
      </c>
    </row>
    <row r="505" spans="3:86" x14ac:dyDescent="0.25">
      <c r="C505" s="82">
        <v>10729</v>
      </c>
      <c r="D505" s="78">
        <v>6561</v>
      </c>
      <c r="E505" s="107" t="s">
        <v>123</v>
      </c>
      <c r="F505" s="69" t="s">
        <v>1562</v>
      </c>
      <c r="G505" s="69"/>
      <c r="H505" s="69">
        <v>988.91</v>
      </c>
      <c r="U505" s="69"/>
      <c r="V505" s="69"/>
      <c r="AS505" s="94">
        <f t="shared" si="41"/>
        <v>988.91</v>
      </c>
      <c r="AT505" s="69">
        <v>697.62</v>
      </c>
      <c r="AU505" s="69">
        <v>180.06</v>
      </c>
      <c r="AV505" s="69">
        <v>63.73</v>
      </c>
      <c r="AW505" s="69">
        <v>47.5</v>
      </c>
      <c r="BD505" s="69"/>
      <c r="BE505" s="69"/>
      <c r="CE505" s="94">
        <f t="shared" si="52"/>
        <v>988.91000000000008</v>
      </c>
      <c r="CF505" s="73">
        <f t="shared" si="54"/>
        <v>0</v>
      </c>
      <c r="CG505" s="75">
        <f t="shared" si="53"/>
        <v>6561</v>
      </c>
      <c r="CH505" s="75" t="str">
        <f t="shared" si="53"/>
        <v>خ ت اسنان</v>
      </c>
    </row>
    <row r="506" spans="3:86" x14ac:dyDescent="0.25">
      <c r="C506" s="82">
        <v>10704</v>
      </c>
      <c r="D506" s="78">
        <v>6562</v>
      </c>
      <c r="E506" s="107" t="s">
        <v>123</v>
      </c>
      <c r="F506" s="69" t="s">
        <v>1562</v>
      </c>
      <c r="G506" s="69"/>
      <c r="H506" s="69">
        <v>366.66</v>
      </c>
      <c r="U506" s="69"/>
      <c r="V506" s="69"/>
      <c r="AS506" s="94">
        <f t="shared" si="41"/>
        <v>366.66</v>
      </c>
      <c r="AT506" s="69">
        <v>276.98</v>
      </c>
      <c r="AU506" s="69">
        <v>71.349999999999994</v>
      </c>
      <c r="AW506" s="69">
        <v>18.329999999999998</v>
      </c>
      <c r="BD506" s="69"/>
      <c r="BE506" s="69"/>
      <c r="CE506" s="94">
        <f t="shared" si="52"/>
        <v>366.66</v>
      </c>
      <c r="CF506" s="73">
        <f t="shared" si="54"/>
        <v>0</v>
      </c>
      <c r="CG506" s="75">
        <f t="shared" si="53"/>
        <v>6562</v>
      </c>
      <c r="CH506" s="75" t="str">
        <f t="shared" si="53"/>
        <v>خ ت اسنان</v>
      </c>
    </row>
    <row r="507" spans="3:86" x14ac:dyDescent="0.25">
      <c r="C507" s="82">
        <v>10705</v>
      </c>
      <c r="D507" s="78">
        <v>6563</v>
      </c>
      <c r="E507" s="107" t="s">
        <v>123</v>
      </c>
      <c r="F507" s="69" t="s">
        <v>1562</v>
      </c>
      <c r="G507" s="69"/>
      <c r="H507" s="69">
        <v>1166.6600000000001</v>
      </c>
      <c r="U507" s="69"/>
      <c r="V507" s="69"/>
      <c r="AS507" s="94">
        <f t="shared" si="41"/>
        <v>1166.6600000000001</v>
      </c>
      <c r="AT507" s="69">
        <v>880.78</v>
      </c>
      <c r="AU507" s="69">
        <v>227.55</v>
      </c>
      <c r="AW507" s="69">
        <v>58.33</v>
      </c>
      <c r="BD507" s="69"/>
      <c r="BE507" s="69"/>
      <c r="CE507" s="94">
        <f t="shared" si="52"/>
        <v>1166.6599999999999</v>
      </c>
      <c r="CF507" s="73">
        <f t="shared" si="54"/>
        <v>0</v>
      </c>
      <c r="CG507" s="75">
        <f t="shared" si="53"/>
        <v>6563</v>
      </c>
      <c r="CH507" s="75" t="str">
        <f t="shared" si="53"/>
        <v>خ ت اسنان</v>
      </c>
    </row>
    <row r="508" spans="3:86" x14ac:dyDescent="0.25">
      <c r="C508" s="82">
        <v>10707</v>
      </c>
      <c r="D508" s="78">
        <v>6564</v>
      </c>
      <c r="E508" s="107" t="s">
        <v>123</v>
      </c>
      <c r="F508" s="69" t="s">
        <v>1562</v>
      </c>
      <c r="G508" s="69"/>
      <c r="H508" s="69">
        <v>829.91</v>
      </c>
      <c r="U508" s="69"/>
      <c r="V508" s="69"/>
      <c r="AS508" s="94">
        <f t="shared" si="41"/>
        <v>829.91</v>
      </c>
      <c r="AT508" s="69">
        <v>547.11</v>
      </c>
      <c r="AU508" s="69">
        <v>140.88</v>
      </c>
      <c r="AV508" s="69">
        <v>103.59</v>
      </c>
      <c r="AW508" s="69">
        <v>38.33</v>
      </c>
      <c r="BD508" s="69"/>
      <c r="BE508" s="69"/>
      <c r="CE508" s="94">
        <f t="shared" si="52"/>
        <v>829.91000000000008</v>
      </c>
      <c r="CF508" s="73">
        <f t="shared" si="54"/>
        <v>0</v>
      </c>
      <c r="CG508" s="75">
        <f t="shared" si="53"/>
        <v>6564</v>
      </c>
      <c r="CH508" s="75" t="str">
        <f t="shared" si="53"/>
        <v>خ ت اسنان</v>
      </c>
    </row>
    <row r="509" spans="3:86" x14ac:dyDescent="0.25">
      <c r="C509" s="82">
        <v>10710</v>
      </c>
      <c r="D509" s="78">
        <v>6565</v>
      </c>
      <c r="E509" s="107" t="s">
        <v>123</v>
      </c>
      <c r="F509" s="69" t="s">
        <v>1562</v>
      </c>
      <c r="G509" s="69"/>
      <c r="H509" s="69">
        <v>366.66</v>
      </c>
      <c r="U509" s="69"/>
      <c r="V509" s="69"/>
      <c r="AS509" s="94">
        <f t="shared" si="41"/>
        <v>366.66</v>
      </c>
      <c r="AT509" s="69">
        <v>276.98</v>
      </c>
      <c r="AU509" s="69">
        <v>71.349999999999994</v>
      </c>
      <c r="AW509" s="69">
        <v>18.329999999999998</v>
      </c>
      <c r="BD509" s="69"/>
      <c r="BE509" s="69"/>
      <c r="CE509" s="94">
        <f t="shared" si="52"/>
        <v>366.66</v>
      </c>
      <c r="CF509" s="73">
        <f t="shared" si="54"/>
        <v>0</v>
      </c>
      <c r="CG509" s="75">
        <f t="shared" si="53"/>
        <v>6565</v>
      </c>
      <c r="CH509" s="75" t="str">
        <f t="shared" si="53"/>
        <v>خ ت اسنان</v>
      </c>
    </row>
    <row r="510" spans="3:86" x14ac:dyDescent="0.25">
      <c r="C510" s="82">
        <v>10711</v>
      </c>
      <c r="D510" s="78">
        <v>6566</v>
      </c>
      <c r="E510" s="107" t="s">
        <v>123</v>
      </c>
      <c r="F510" s="69" t="s">
        <v>1562</v>
      </c>
      <c r="G510" s="69"/>
      <c r="H510" s="69">
        <v>1166.6600000000001</v>
      </c>
      <c r="U510" s="69"/>
      <c r="V510" s="69"/>
      <c r="AS510" s="94">
        <f t="shared" si="41"/>
        <v>1166.6600000000001</v>
      </c>
      <c r="AT510" s="69">
        <v>880.78</v>
      </c>
      <c r="AU510" s="69">
        <v>227.55</v>
      </c>
      <c r="AW510" s="69">
        <v>58.33</v>
      </c>
      <c r="BD510" s="69"/>
      <c r="BE510" s="69"/>
      <c r="CE510" s="94">
        <f t="shared" si="52"/>
        <v>1166.6599999999999</v>
      </c>
      <c r="CF510" s="73">
        <f t="shared" si="54"/>
        <v>0</v>
      </c>
      <c r="CG510" s="75">
        <f t="shared" si="53"/>
        <v>6566</v>
      </c>
      <c r="CH510" s="75" t="str">
        <f t="shared" si="53"/>
        <v>خ ت اسنان</v>
      </c>
    </row>
    <row r="511" spans="3:86" x14ac:dyDescent="0.25">
      <c r="C511" s="82">
        <v>10715</v>
      </c>
      <c r="D511" s="78">
        <v>6567</v>
      </c>
      <c r="E511" s="107" t="s">
        <v>123</v>
      </c>
      <c r="F511" s="69" t="s">
        <v>1562</v>
      </c>
      <c r="G511" s="69"/>
      <c r="H511" s="69">
        <v>429.91</v>
      </c>
      <c r="U511" s="69"/>
      <c r="V511" s="69"/>
      <c r="AS511" s="94">
        <f t="shared" si="41"/>
        <v>429.91</v>
      </c>
      <c r="AT511" s="69">
        <v>260.26</v>
      </c>
      <c r="AU511" s="69">
        <v>47.73</v>
      </c>
      <c r="AV511" s="69">
        <v>103.59</v>
      </c>
      <c r="AW511" s="69">
        <v>18.329999999999998</v>
      </c>
      <c r="BD511" s="69"/>
      <c r="BE511" s="69"/>
      <c r="CE511" s="94">
        <f t="shared" si="52"/>
        <v>429.91</v>
      </c>
      <c r="CF511" s="73">
        <f t="shared" si="54"/>
        <v>0</v>
      </c>
      <c r="CG511" s="75">
        <f t="shared" si="53"/>
        <v>6567</v>
      </c>
      <c r="CH511" s="75" t="str">
        <f t="shared" si="53"/>
        <v>خ ت اسنان</v>
      </c>
    </row>
    <row r="512" spans="3:86" x14ac:dyDescent="0.25">
      <c r="C512" s="82">
        <v>10717</v>
      </c>
      <c r="D512" s="78">
        <v>6568</v>
      </c>
      <c r="E512" s="107" t="s">
        <v>123</v>
      </c>
      <c r="F512" s="69" t="s">
        <v>1562</v>
      </c>
      <c r="G512" s="69"/>
      <c r="H512" s="69">
        <v>366.66</v>
      </c>
      <c r="U512" s="69"/>
      <c r="V512" s="69"/>
      <c r="AS512" s="94">
        <f t="shared" si="41"/>
        <v>366.66</v>
      </c>
      <c r="AT512" s="69">
        <v>276.98</v>
      </c>
      <c r="AU512" s="69">
        <v>71.349999999999994</v>
      </c>
      <c r="AW512" s="69">
        <v>18.329999999999998</v>
      </c>
      <c r="BD512" s="69"/>
      <c r="BE512" s="69"/>
      <c r="CE512" s="94">
        <f t="shared" si="52"/>
        <v>366.66</v>
      </c>
      <c r="CF512" s="73">
        <f t="shared" si="54"/>
        <v>0</v>
      </c>
      <c r="CG512" s="75">
        <f t="shared" si="53"/>
        <v>6568</v>
      </c>
      <c r="CH512" s="75" t="str">
        <f t="shared" si="53"/>
        <v>خ ت اسنان</v>
      </c>
    </row>
    <row r="513" spans="2:86" x14ac:dyDescent="0.25">
      <c r="C513" s="82">
        <v>10722</v>
      </c>
      <c r="D513" s="78">
        <v>6569</v>
      </c>
      <c r="E513" s="107" t="s">
        <v>123</v>
      </c>
      <c r="F513" s="69" t="s">
        <v>1562</v>
      </c>
      <c r="G513" s="69"/>
      <c r="H513" s="69">
        <v>766.66</v>
      </c>
      <c r="U513" s="69"/>
      <c r="V513" s="69"/>
      <c r="AS513" s="94">
        <f t="shared" si="41"/>
        <v>766.66</v>
      </c>
      <c r="AT513" s="69">
        <v>579.14</v>
      </c>
      <c r="AU513" s="69">
        <v>149.19</v>
      </c>
      <c r="AW513" s="69">
        <v>38.33</v>
      </c>
      <c r="BD513" s="69"/>
      <c r="BE513" s="69"/>
      <c r="CE513" s="94">
        <f t="shared" si="52"/>
        <v>766.66</v>
      </c>
      <c r="CF513" s="73">
        <f t="shared" si="54"/>
        <v>0</v>
      </c>
      <c r="CG513" s="75">
        <f t="shared" si="53"/>
        <v>6569</v>
      </c>
      <c r="CH513" s="75" t="str">
        <f t="shared" si="53"/>
        <v>خ ت اسنان</v>
      </c>
    </row>
    <row r="514" spans="2:86" x14ac:dyDescent="0.25">
      <c r="C514" s="82">
        <v>10720</v>
      </c>
      <c r="D514" s="78">
        <v>6570</v>
      </c>
      <c r="E514" s="107" t="s">
        <v>123</v>
      </c>
      <c r="F514" s="69" t="s">
        <v>1562</v>
      </c>
      <c r="G514" s="69"/>
      <c r="H514" s="69">
        <v>766.66</v>
      </c>
      <c r="U514" s="69"/>
      <c r="V514" s="69"/>
      <c r="AS514" s="94">
        <f t="shared" si="41"/>
        <v>766.66</v>
      </c>
      <c r="AT514" s="69">
        <v>578.62</v>
      </c>
      <c r="AU514" s="69">
        <v>149.71</v>
      </c>
      <c r="AW514" s="69">
        <v>38.33</v>
      </c>
      <c r="BD514" s="69"/>
      <c r="BE514" s="69"/>
      <c r="CE514" s="94">
        <f t="shared" si="52"/>
        <v>766.66000000000008</v>
      </c>
      <c r="CF514" s="73">
        <f t="shared" si="54"/>
        <v>0</v>
      </c>
      <c r="CG514" s="75">
        <f t="shared" si="53"/>
        <v>6570</v>
      </c>
      <c r="CH514" s="75" t="str">
        <f t="shared" si="53"/>
        <v>خ ت اسنان</v>
      </c>
    </row>
    <row r="515" spans="2:86" x14ac:dyDescent="0.25">
      <c r="C515" s="82">
        <v>10739</v>
      </c>
      <c r="D515" s="78">
        <v>6571</v>
      </c>
      <c r="E515" s="107" t="s">
        <v>123</v>
      </c>
      <c r="F515" s="69" t="s">
        <v>1562</v>
      </c>
      <c r="G515" s="69"/>
      <c r="H515" s="69">
        <v>1942.5</v>
      </c>
      <c r="U515" s="69"/>
      <c r="V515" s="69"/>
      <c r="AS515" s="94">
        <f t="shared" si="41"/>
        <v>1942.5</v>
      </c>
      <c r="AT515" s="69">
        <v>1503.46</v>
      </c>
      <c r="AU515" s="69">
        <v>274.44</v>
      </c>
      <c r="AV515" s="69">
        <v>69.599999999999994</v>
      </c>
      <c r="AW515" s="69">
        <v>95</v>
      </c>
      <c r="BD515" s="69"/>
      <c r="BE515" s="69"/>
      <c r="CE515" s="94">
        <f t="shared" ref="CE515:CE578" si="55">SUM(AT515:CD515)</f>
        <v>1942.5</v>
      </c>
      <c r="CF515" s="73">
        <f t="shared" si="54"/>
        <v>0</v>
      </c>
      <c r="CG515" s="75">
        <f t="shared" ref="CG515:CH530" si="56">+D515</f>
        <v>6571</v>
      </c>
      <c r="CH515" s="75" t="str">
        <f t="shared" si="56"/>
        <v>خ ت اسنان</v>
      </c>
    </row>
    <row r="516" spans="2:86" x14ac:dyDescent="0.25">
      <c r="C516" s="82">
        <v>10915</v>
      </c>
      <c r="D516" s="78">
        <v>6572</v>
      </c>
      <c r="E516" s="107" t="s">
        <v>249</v>
      </c>
      <c r="F516" s="69" t="s">
        <v>2404</v>
      </c>
      <c r="G516" s="69"/>
      <c r="H516" s="69">
        <v>61497.74</v>
      </c>
      <c r="U516" s="69"/>
      <c r="V516" s="69"/>
      <c r="AS516" s="94">
        <f t="shared" si="41"/>
        <v>61497.74</v>
      </c>
      <c r="AT516" s="69">
        <v>39609.68</v>
      </c>
      <c r="AU516" s="69">
        <v>5639</v>
      </c>
      <c r="AV516" s="69">
        <v>13589.06</v>
      </c>
      <c r="AW516" s="69">
        <v>2660</v>
      </c>
      <c r="BD516" s="69"/>
      <c r="BE516" s="69"/>
      <c r="CE516" s="94">
        <f t="shared" si="55"/>
        <v>61497.74</v>
      </c>
      <c r="CF516" s="73">
        <f t="shared" si="54"/>
        <v>0</v>
      </c>
      <c r="CG516" s="75">
        <f t="shared" si="56"/>
        <v>6572</v>
      </c>
      <c r="CH516" s="75" t="str">
        <f t="shared" si="56"/>
        <v>خدمة عامة</v>
      </c>
    </row>
    <row r="517" spans="2:86" x14ac:dyDescent="0.25">
      <c r="C517" s="82">
        <v>10919</v>
      </c>
      <c r="D517" s="78">
        <v>6573</v>
      </c>
      <c r="E517" s="107" t="s">
        <v>249</v>
      </c>
      <c r="F517" s="69" t="s">
        <v>2404</v>
      </c>
      <c r="G517" s="69"/>
      <c r="H517" s="69">
        <v>850</v>
      </c>
      <c r="U517" s="69"/>
      <c r="V517" s="69"/>
      <c r="AS517" s="94">
        <f t="shared" si="41"/>
        <v>850</v>
      </c>
      <c r="AT517" s="69">
        <v>716.9</v>
      </c>
      <c r="AU517" s="69">
        <v>90.6</v>
      </c>
      <c r="AW517" s="69">
        <v>42.5</v>
      </c>
      <c r="BD517" s="69"/>
      <c r="BE517" s="69"/>
      <c r="CE517" s="94">
        <f t="shared" si="55"/>
        <v>850</v>
      </c>
      <c r="CF517" s="73">
        <f t="shared" si="54"/>
        <v>0</v>
      </c>
      <c r="CG517" s="75">
        <f t="shared" si="56"/>
        <v>6573</v>
      </c>
      <c r="CH517" s="75" t="str">
        <f t="shared" si="56"/>
        <v>خدمة عامة</v>
      </c>
    </row>
    <row r="518" spans="2:86" x14ac:dyDescent="0.25">
      <c r="C518" s="82">
        <v>10916</v>
      </c>
      <c r="D518" s="78">
        <v>6574</v>
      </c>
      <c r="E518" s="107" t="s">
        <v>249</v>
      </c>
      <c r="F518" s="69" t="s">
        <v>2404</v>
      </c>
      <c r="G518" s="69"/>
      <c r="H518" s="69">
        <v>16649.5</v>
      </c>
      <c r="U518" s="69"/>
      <c r="V518" s="69"/>
      <c r="AS518" s="94">
        <f t="shared" si="41"/>
        <v>16649.5</v>
      </c>
      <c r="AT518" s="69">
        <v>10425.65</v>
      </c>
      <c r="AU518" s="69">
        <v>1502.35</v>
      </c>
      <c r="AV518" s="69">
        <v>4011.5</v>
      </c>
      <c r="AW518" s="69">
        <v>710</v>
      </c>
      <c r="BD518" s="69"/>
      <c r="BE518" s="69"/>
      <c r="CE518" s="94">
        <f t="shared" si="55"/>
        <v>16649.5</v>
      </c>
      <c r="CF518" s="73">
        <f t="shared" si="54"/>
        <v>0</v>
      </c>
      <c r="CG518" s="75">
        <f t="shared" si="56"/>
        <v>6574</v>
      </c>
      <c r="CH518" s="75" t="str">
        <f t="shared" si="56"/>
        <v>خدمة عامة</v>
      </c>
    </row>
    <row r="519" spans="2:86" x14ac:dyDescent="0.25">
      <c r="C519" s="82">
        <v>11364</v>
      </c>
      <c r="D519" s="78">
        <v>6575</v>
      </c>
      <c r="E519" s="107" t="s">
        <v>249</v>
      </c>
      <c r="F519" s="69" t="s">
        <v>2404</v>
      </c>
      <c r="G519" s="69"/>
      <c r="H519" s="69">
        <v>3517.5</v>
      </c>
      <c r="U519" s="69"/>
      <c r="V519" s="69"/>
      <c r="AS519" s="94">
        <f t="shared" si="41"/>
        <v>3517.5</v>
      </c>
      <c r="AT519" s="69">
        <v>2203</v>
      </c>
      <c r="AU519" s="69">
        <v>317</v>
      </c>
      <c r="AV519" s="69">
        <v>847.5</v>
      </c>
      <c r="AW519" s="69">
        <v>150</v>
      </c>
      <c r="BD519" s="69"/>
      <c r="BE519" s="69"/>
      <c r="CE519" s="94">
        <f t="shared" si="55"/>
        <v>3517.5</v>
      </c>
      <c r="CF519" s="73">
        <f t="shared" si="54"/>
        <v>0</v>
      </c>
      <c r="CG519" s="75">
        <f t="shared" si="56"/>
        <v>6575</v>
      </c>
      <c r="CH519" s="75" t="str">
        <f t="shared" si="56"/>
        <v>خدمة عامة</v>
      </c>
    </row>
    <row r="520" spans="2:86" x14ac:dyDescent="0.25">
      <c r="C520" s="82">
        <v>10918</v>
      </c>
      <c r="D520" s="78">
        <v>6576</v>
      </c>
      <c r="E520" s="107" t="s">
        <v>249</v>
      </c>
      <c r="F520" s="69" t="s">
        <v>2404</v>
      </c>
      <c r="G520" s="69"/>
      <c r="H520" s="69">
        <v>703.5</v>
      </c>
      <c r="U520" s="69"/>
      <c r="V520" s="69"/>
      <c r="AS520" s="94">
        <f t="shared" si="41"/>
        <v>703.5</v>
      </c>
      <c r="AT520" s="69">
        <v>440.6</v>
      </c>
      <c r="AU520" s="69">
        <v>63.4</v>
      </c>
      <c r="AV520" s="69">
        <v>169.5</v>
      </c>
      <c r="AW520" s="69">
        <v>30</v>
      </c>
      <c r="BD520" s="69"/>
      <c r="BE520" s="69"/>
      <c r="CE520" s="94">
        <f t="shared" si="55"/>
        <v>703.5</v>
      </c>
      <c r="CF520" s="73">
        <f t="shared" si="54"/>
        <v>0</v>
      </c>
      <c r="CG520" s="75">
        <f t="shared" si="56"/>
        <v>6576</v>
      </c>
      <c r="CH520" s="75" t="str">
        <f t="shared" si="56"/>
        <v>خدمة عامة</v>
      </c>
    </row>
    <row r="521" spans="2:86" x14ac:dyDescent="0.25">
      <c r="C521" s="82">
        <v>10920</v>
      </c>
      <c r="D521" s="78">
        <v>6577</v>
      </c>
      <c r="E521" s="107" t="s">
        <v>249</v>
      </c>
      <c r="F521" s="69" t="s">
        <v>2404</v>
      </c>
      <c r="G521" s="69"/>
      <c r="H521" s="69">
        <v>2541.5</v>
      </c>
      <c r="U521" s="69"/>
      <c r="V521" s="69"/>
      <c r="AS521" s="94">
        <f t="shared" si="41"/>
        <v>2541.5</v>
      </c>
      <c r="AT521" s="69">
        <v>1786.95</v>
      </c>
      <c r="AU521" s="69">
        <v>244.05</v>
      </c>
      <c r="AV521" s="69">
        <v>395.5</v>
      </c>
      <c r="AW521" s="69">
        <v>115</v>
      </c>
      <c r="BD521" s="69"/>
      <c r="BE521" s="69"/>
      <c r="CE521" s="94">
        <f t="shared" si="55"/>
        <v>2541.5</v>
      </c>
      <c r="CF521" s="73">
        <f t="shared" si="54"/>
        <v>0</v>
      </c>
      <c r="CG521" s="75">
        <f t="shared" si="56"/>
        <v>6577</v>
      </c>
      <c r="CH521" s="75" t="str">
        <f t="shared" si="56"/>
        <v>خدمة عامة</v>
      </c>
    </row>
    <row r="522" spans="2:86" x14ac:dyDescent="0.25">
      <c r="C522" s="82">
        <v>10294</v>
      </c>
      <c r="D522" s="78">
        <v>6578</v>
      </c>
      <c r="E522" s="107" t="s">
        <v>249</v>
      </c>
      <c r="F522" s="69" t="s">
        <v>2405</v>
      </c>
      <c r="G522" s="69"/>
      <c r="H522" s="69">
        <v>820.75</v>
      </c>
      <c r="U522" s="69"/>
      <c r="V522" s="69"/>
      <c r="AS522" s="94">
        <f t="shared" si="41"/>
        <v>820.75</v>
      </c>
      <c r="AT522" s="69">
        <v>513.95000000000005</v>
      </c>
      <c r="AU522" s="69">
        <v>74.05</v>
      </c>
      <c r="AV522" s="69">
        <v>197.75</v>
      </c>
      <c r="AW522" s="69">
        <v>35</v>
      </c>
      <c r="BD522" s="69"/>
      <c r="BE522" s="69"/>
      <c r="CE522" s="94">
        <f t="shared" si="55"/>
        <v>820.75</v>
      </c>
      <c r="CF522" s="73">
        <f t="shared" si="54"/>
        <v>0</v>
      </c>
      <c r="CG522" s="75">
        <f t="shared" si="56"/>
        <v>6578</v>
      </c>
      <c r="CH522" s="75" t="str">
        <f t="shared" si="56"/>
        <v>خدمة عامة</v>
      </c>
    </row>
    <row r="523" spans="2:86" x14ac:dyDescent="0.25">
      <c r="C523" s="82">
        <v>10293</v>
      </c>
      <c r="D523" s="78">
        <v>6579</v>
      </c>
      <c r="E523" s="107" t="s">
        <v>249</v>
      </c>
      <c r="F523" s="69" t="s">
        <v>2405</v>
      </c>
      <c r="G523" s="69"/>
      <c r="H523" s="69">
        <v>4345</v>
      </c>
      <c r="U523" s="69"/>
      <c r="V523" s="69"/>
      <c r="AS523" s="94">
        <f t="shared" si="41"/>
        <v>4345</v>
      </c>
      <c r="AT523" s="69">
        <v>3152.35</v>
      </c>
      <c r="AU523" s="69">
        <v>427.65</v>
      </c>
      <c r="AV523" s="69">
        <v>565</v>
      </c>
      <c r="AW523" s="69">
        <v>200</v>
      </c>
      <c r="BD523" s="69"/>
      <c r="BE523" s="69"/>
      <c r="CE523" s="94">
        <f t="shared" si="55"/>
        <v>4345</v>
      </c>
      <c r="CF523" s="73">
        <f t="shared" si="54"/>
        <v>0</v>
      </c>
      <c r="CG523" s="75">
        <f t="shared" si="56"/>
        <v>6579</v>
      </c>
      <c r="CH523" s="75" t="str">
        <f t="shared" si="56"/>
        <v>خدمة عامة</v>
      </c>
    </row>
    <row r="524" spans="2:86" x14ac:dyDescent="0.25">
      <c r="C524" s="82">
        <v>11639</v>
      </c>
      <c r="D524" s="78">
        <v>6580</v>
      </c>
      <c r="E524" s="107" t="s">
        <v>249</v>
      </c>
      <c r="F524" s="69" t="s">
        <v>2406</v>
      </c>
      <c r="G524" s="69"/>
      <c r="H524" s="69">
        <v>3345</v>
      </c>
      <c r="U524" s="69"/>
      <c r="V524" s="69"/>
      <c r="AS524" s="94">
        <f t="shared" si="41"/>
        <v>3345</v>
      </c>
      <c r="AT524" s="69">
        <v>2311.5500000000002</v>
      </c>
      <c r="AU524" s="69">
        <v>318.45</v>
      </c>
      <c r="AV524" s="69">
        <v>565</v>
      </c>
      <c r="AW524" s="69">
        <v>150</v>
      </c>
      <c r="BD524" s="69"/>
      <c r="BE524" s="69"/>
      <c r="CE524" s="94">
        <f t="shared" si="55"/>
        <v>3345</v>
      </c>
      <c r="CF524" s="73">
        <f t="shared" si="54"/>
        <v>0</v>
      </c>
      <c r="CG524" s="75">
        <f t="shared" si="56"/>
        <v>6580</v>
      </c>
      <c r="CH524" s="75" t="str">
        <f t="shared" si="56"/>
        <v>خدمة عامة</v>
      </c>
    </row>
    <row r="525" spans="2:86" x14ac:dyDescent="0.25">
      <c r="C525" s="82">
        <v>11640</v>
      </c>
      <c r="D525" s="78">
        <v>6581</v>
      </c>
      <c r="E525" s="107" t="s">
        <v>249</v>
      </c>
      <c r="F525" s="69" t="s">
        <v>2406</v>
      </c>
      <c r="G525" s="69"/>
      <c r="H525" s="69">
        <v>2286.36</v>
      </c>
      <c r="U525" s="69"/>
      <c r="V525" s="69"/>
      <c r="AS525" s="94">
        <f t="shared" si="41"/>
        <v>2286.36</v>
      </c>
      <c r="AT525" s="69">
        <v>1431.9</v>
      </c>
      <c r="AU525" s="69">
        <v>206.1</v>
      </c>
      <c r="AV525" s="69">
        <v>550.86</v>
      </c>
      <c r="AW525" s="69">
        <v>97.5</v>
      </c>
      <c r="BD525" s="69"/>
      <c r="BE525" s="69"/>
      <c r="CE525" s="94">
        <f t="shared" si="55"/>
        <v>2286.36</v>
      </c>
      <c r="CF525" s="73">
        <f t="shared" si="54"/>
        <v>0</v>
      </c>
      <c r="CG525" s="75">
        <f t="shared" si="56"/>
        <v>6581</v>
      </c>
      <c r="CH525" s="75" t="str">
        <f t="shared" si="56"/>
        <v>خدمة عامة</v>
      </c>
    </row>
    <row r="526" spans="2:86" x14ac:dyDescent="0.25">
      <c r="B526" s="69" t="s">
        <v>1530</v>
      </c>
      <c r="C526" s="82">
        <v>11803</v>
      </c>
      <c r="D526" s="78">
        <v>6582</v>
      </c>
      <c r="E526" s="107" t="s">
        <v>121</v>
      </c>
      <c r="F526" s="69" t="s">
        <v>2407</v>
      </c>
      <c r="G526" s="69"/>
      <c r="H526" s="69">
        <v>28022.75</v>
      </c>
      <c r="U526" s="69"/>
      <c r="V526" s="69"/>
      <c r="AS526" s="94">
        <f t="shared" si="41"/>
        <v>28022.75</v>
      </c>
      <c r="AT526" s="69">
        <v>18727.599999999999</v>
      </c>
      <c r="AU526" s="69">
        <v>2543.4</v>
      </c>
      <c r="AV526" s="69">
        <v>6751.75</v>
      </c>
      <c r="BD526" s="69"/>
      <c r="BE526" s="69"/>
      <c r="CE526" s="94">
        <f t="shared" si="55"/>
        <v>28022.75</v>
      </c>
      <c r="CF526" s="73">
        <f t="shared" si="54"/>
        <v>0</v>
      </c>
      <c r="CG526" s="75">
        <f t="shared" si="56"/>
        <v>6582</v>
      </c>
      <c r="CH526" s="75" t="str">
        <f t="shared" si="56"/>
        <v>ماليزى اسنان</v>
      </c>
    </row>
    <row r="527" spans="2:86" x14ac:dyDescent="0.25">
      <c r="B527" s="69" t="s">
        <v>1530</v>
      </c>
      <c r="C527" s="82">
        <v>11790</v>
      </c>
      <c r="D527" s="78">
        <v>6583</v>
      </c>
      <c r="E527" s="107" t="s">
        <v>121</v>
      </c>
      <c r="F527" s="69" t="s">
        <v>2408</v>
      </c>
      <c r="G527" s="69"/>
      <c r="H527" s="69">
        <v>5900</v>
      </c>
      <c r="U527" s="69"/>
      <c r="V527" s="69"/>
      <c r="AS527" s="94">
        <f t="shared" si="41"/>
        <v>5900</v>
      </c>
      <c r="AT527" s="69">
        <v>5268.1</v>
      </c>
      <c r="AU527" s="69">
        <v>631.9</v>
      </c>
      <c r="BD527" s="69"/>
      <c r="BE527" s="69"/>
      <c r="CE527" s="94">
        <f t="shared" si="55"/>
        <v>5900</v>
      </c>
      <c r="CF527" s="73">
        <f t="shared" si="54"/>
        <v>0</v>
      </c>
      <c r="CG527" s="75">
        <f t="shared" si="56"/>
        <v>6583</v>
      </c>
      <c r="CH527" s="75" t="str">
        <f t="shared" si="56"/>
        <v>ماليزى اسنان</v>
      </c>
    </row>
    <row r="528" spans="2:86" x14ac:dyDescent="0.25">
      <c r="B528" s="69" t="s">
        <v>1530</v>
      </c>
      <c r="C528" s="82">
        <v>11791</v>
      </c>
      <c r="D528" s="78">
        <v>6584</v>
      </c>
      <c r="E528" s="107" t="s">
        <v>121</v>
      </c>
      <c r="F528" s="69" t="s">
        <v>2408</v>
      </c>
      <c r="G528" s="69"/>
      <c r="H528" s="69">
        <v>8900</v>
      </c>
      <c r="U528" s="69"/>
      <c r="V528" s="69"/>
      <c r="AS528" s="94">
        <f t="shared" si="41"/>
        <v>8900</v>
      </c>
      <c r="AT528" s="69">
        <v>7949</v>
      </c>
      <c r="AU528" s="69">
        <v>951</v>
      </c>
      <c r="BD528" s="69"/>
      <c r="BE528" s="69"/>
      <c r="CE528" s="94">
        <f t="shared" si="55"/>
        <v>8900</v>
      </c>
      <c r="CF528" s="73">
        <f t="shared" si="54"/>
        <v>0</v>
      </c>
      <c r="CG528" s="75">
        <f t="shared" si="56"/>
        <v>6584</v>
      </c>
      <c r="CH528" s="75" t="str">
        <f t="shared" si="56"/>
        <v>ماليزى اسنان</v>
      </c>
    </row>
    <row r="529" spans="2:86" x14ac:dyDescent="0.25">
      <c r="B529" s="69" t="s">
        <v>1530</v>
      </c>
      <c r="C529" s="82">
        <v>11792</v>
      </c>
      <c r="D529" s="78">
        <v>6585</v>
      </c>
      <c r="E529" s="107" t="s">
        <v>121</v>
      </c>
      <c r="F529" s="69" t="s">
        <v>2408</v>
      </c>
      <c r="G529" s="69"/>
      <c r="H529" s="69">
        <v>2000</v>
      </c>
      <c r="U529" s="69"/>
      <c r="V529" s="69"/>
      <c r="AS529" s="94">
        <f t="shared" si="41"/>
        <v>2000</v>
      </c>
      <c r="AT529" s="69">
        <v>1786.7</v>
      </c>
      <c r="AU529" s="69">
        <v>213.3</v>
      </c>
      <c r="BD529" s="69"/>
      <c r="BE529" s="69"/>
      <c r="CE529" s="94">
        <f t="shared" si="55"/>
        <v>2000</v>
      </c>
      <c r="CF529" s="73">
        <f t="shared" si="54"/>
        <v>0</v>
      </c>
      <c r="CG529" s="75">
        <f t="shared" si="56"/>
        <v>6585</v>
      </c>
      <c r="CH529" s="75" t="str">
        <f t="shared" si="56"/>
        <v>ماليزى اسنان</v>
      </c>
    </row>
    <row r="530" spans="2:86" x14ac:dyDescent="0.25">
      <c r="B530" s="69" t="s">
        <v>1530</v>
      </c>
      <c r="C530" s="82">
        <v>11793</v>
      </c>
      <c r="D530" s="78">
        <v>6586</v>
      </c>
      <c r="E530" s="107" t="s">
        <v>121</v>
      </c>
      <c r="F530" s="69" t="s">
        <v>2408</v>
      </c>
      <c r="G530" s="69"/>
      <c r="H530" s="69">
        <v>5450</v>
      </c>
      <c r="U530" s="69"/>
      <c r="V530" s="69"/>
      <c r="AS530" s="94">
        <f t="shared" si="41"/>
        <v>5450</v>
      </c>
      <c r="AT530" s="69">
        <v>4865.6499999999996</v>
      </c>
      <c r="AU530" s="69">
        <v>584.35</v>
      </c>
      <c r="BD530" s="69"/>
      <c r="BE530" s="69"/>
      <c r="CE530" s="94">
        <f t="shared" si="55"/>
        <v>5450</v>
      </c>
      <c r="CF530" s="73">
        <f t="shared" si="54"/>
        <v>0</v>
      </c>
      <c r="CG530" s="75">
        <f t="shared" si="56"/>
        <v>6586</v>
      </c>
      <c r="CH530" s="75" t="str">
        <f t="shared" si="56"/>
        <v>ماليزى اسنان</v>
      </c>
    </row>
    <row r="531" spans="2:86" x14ac:dyDescent="0.25">
      <c r="B531" s="69" t="s">
        <v>1530</v>
      </c>
      <c r="C531" s="82">
        <v>11794</v>
      </c>
      <c r="D531" s="78">
        <v>6587</v>
      </c>
      <c r="E531" s="107" t="s">
        <v>121</v>
      </c>
      <c r="F531" s="69" t="s">
        <v>2408</v>
      </c>
      <c r="G531" s="69"/>
      <c r="H531" s="69">
        <v>4850</v>
      </c>
      <c r="U531" s="69"/>
      <c r="V531" s="69"/>
      <c r="AS531" s="94">
        <f t="shared" si="41"/>
        <v>4850</v>
      </c>
      <c r="AT531" s="69">
        <v>4332.1499999999996</v>
      </c>
      <c r="AU531" s="69">
        <v>517.85</v>
      </c>
      <c r="BD531" s="69"/>
      <c r="BE531" s="69"/>
      <c r="CE531" s="94">
        <f t="shared" si="55"/>
        <v>4850</v>
      </c>
      <c r="CF531" s="73">
        <f t="shared" si="54"/>
        <v>0</v>
      </c>
      <c r="CG531" s="75">
        <f t="shared" ref="CG531:CH593" si="57">+D531</f>
        <v>6587</v>
      </c>
      <c r="CH531" s="75" t="str">
        <f t="shared" si="57"/>
        <v>ماليزى اسنان</v>
      </c>
    </row>
    <row r="532" spans="2:86" x14ac:dyDescent="0.25">
      <c r="B532" s="69" t="s">
        <v>1530</v>
      </c>
      <c r="C532" s="82">
        <v>11795</v>
      </c>
      <c r="D532" s="78">
        <v>6588</v>
      </c>
      <c r="E532" s="107" t="s">
        <v>121</v>
      </c>
      <c r="F532" s="69" t="s">
        <v>2408</v>
      </c>
      <c r="G532" s="69"/>
      <c r="H532" s="69">
        <v>135700.97</v>
      </c>
      <c r="U532" s="69"/>
      <c r="V532" s="69"/>
      <c r="AS532" s="94">
        <f t="shared" si="41"/>
        <v>135700.97</v>
      </c>
      <c r="AT532" s="69">
        <v>118671.49</v>
      </c>
      <c r="AU532" s="69">
        <v>14407.6</v>
      </c>
      <c r="AV532" s="69">
        <v>2621.88</v>
      </c>
      <c r="BD532" s="69"/>
      <c r="BE532" s="69"/>
      <c r="CE532" s="94">
        <f t="shared" si="55"/>
        <v>135700.97</v>
      </c>
      <c r="CF532" s="73">
        <f t="shared" si="54"/>
        <v>0</v>
      </c>
      <c r="CG532" s="75">
        <f t="shared" si="57"/>
        <v>6588</v>
      </c>
      <c r="CH532" s="75" t="str">
        <f t="shared" si="57"/>
        <v>ماليزى اسنان</v>
      </c>
    </row>
    <row r="533" spans="2:86" x14ac:dyDescent="0.25">
      <c r="B533" s="69" t="s">
        <v>1530</v>
      </c>
      <c r="C533" s="82">
        <v>11796</v>
      </c>
      <c r="D533" s="78">
        <v>6589</v>
      </c>
      <c r="E533" s="107" t="s">
        <v>121</v>
      </c>
      <c r="F533" s="69" t="s">
        <v>2408</v>
      </c>
      <c r="G533" s="69"/>
      <c r="H533" s="69">
        <v>5730.58</v>
      </c>
      <c r="U533" s="69"/>
      <c r="V533" s="69"/>
      <c r="AS533" s="94">
        <f t="shared" si="41"/>
        <v>5730.58</v>
      </c>
      <c r="AT533" s="69">
        <v>4539.5200000000004</v>
      </c>
      <c r="AU533" s="69">
        <v>567.79999999999995</v>
      </c>
      <c r="AV533" s="69">
        <v>623.26</v>
      </c>
      <c r="BD533" s="69"/>
      <c r="BE533" s="69"/>
      <c r="CE533" s="94">
        <f t="shared" si="55"/>
        <v>5730.5800000000008</v>
      </c>
      <c r="CF533" s="73">
        <f t="shared" si="54"/>
        <v>0</v>
      </c>
      <c r="CG533" s="75">
        <f t="shared" si="57"/>
        <v>6589</v>
      </c>
      <c r="CH533" s="75" t="str">
        <f t="shared" si="57"/>
        <v>ماليزى اسنان</v>
      </c>
    </row>
    <row r="534" spans="2:86" x14ac:dyDescent="0.25">
      <c r="B534" s="69" t="s">
        <v>1530</v>
      </c>
      <c r="C534" s="82">
        <v>11797</v>
      </c>
      <c r="D534" s="78">
        <v>6590</v>
      </c>
      <c r="E534" s="107" t="s">
        <v>121</v>
      </c>
      <c r="F534" s="69" t="s">
        <v>2408</v>
      </c>
      <c r="G534" s="69"/>
      <c r="H534" s="69">
        <v>144771.54</v>
      </c>
      <c r="U534" s="69"/>
      <c r="V534" s="69"/>
      <c r="AS534" s="94">
        <f t="shared" si="41"/>
        <v>144771.54</v>
      </c>
      <c r="AT534" s="69">
        <v>125833.63</v>
      </c>
      <c r="AU534" s="69">
        <v>15299.75</v>
      </c>
      <c r="AV534" s="69">
        <v>3638.16</v>
      </c>
      <c r="BD534" s="69"/>
      <c r="BE534" s="69"/>
      <c r="CE534" s="94">
        <f t="shared" si="55"/>
        <v>144771.54</v>
      </c>
      <c r="CF534" s="73">
        <f t="shared" si="54"/>
        <v>0</v>
      </c>
      <c r="CG534" s="75">
        <f t="shared" si="57"/>
        <v>6590</v>
      </c>
      <c r="CH534" s="75" t="str">
        <f t="shared" si="57"/>
        <v>ماليزى اسنان</v>
      </c>
    </row>
    <row r="535" spans="2:86" x14ac:dyDescent="0.25">
      <c r="B535" s="69" t="s">
        <v>1530</v>
      </c>
      <c r="C535" s="82">
        <v>11798</v>
      </c>
      <c r="D535" s="78">
        <v>6591</v>
      </c>
      <c r="E535" s="107" t="s">
        <v>121</v>
      </c>
      <c r="F535" s="69" t="s">
        <v>2408</v>
      </c>
      <c r="G535" s="69"/>
      <c r="H535" s="69">
        <v>13000</v>
      </c>
      <c r="U535" s="69"/>
      <c r="V535" s="69"/>
      <c r="AS535" s="94">
        <f t="shared" si="41"/>
        <v>13000</v>
      </c>
      <c r="AT535" s="69">
        <v>11611.4</v>
      </c>
      <c r="AU535" s="69">
        <v>1388.6</v>
      </c>
      <c r="BD535" s="69"/>
      <c r="BE535" s="69"/>
      <c r="CE535" s="94">
        <f t="shared" si="55"/>
        <v>13000</v>
      </c>
      <c r="CF535" s="73">
        <f t="shared" si="54"/>
        <v>0</v>
      </c>
      <c r="CG535" s="75">
        <f t="shared" si="57"/>
        <v>6591</v>
      </c>
      <c r="CH535" s="75" t="str">
        <f t="shared" si="57"/>
        <v>ماليزى اسنان</v>
      </c>
    </row>
    <row r="536" spans="2:86" x14ac:dyDescent="0.25">
      <c r="B536" s="69" t="s">
        <v>1530</v>
      </c>
      <c r="C536" s="82">
        <v>11799</v>
      </c>
      <c r="D536" s="78">
        <v>6592</v>
      </c>
      <c r="E536" s="107" t="s">
        <v>121</v>
      </c>
      <c r="F536" s="69" t="s">
        <v>2408</v>
      </c>
      <c r="G536" s="69"/>
      <c r="H536" s="69">
        <v>14000</v>
      </c>
      <c r="U536" s="69"/>
      <c r="V536" s="69"/>
      <c r="AS536" s="94">
        <f t="shared" si="41"/>
        <v>14000</v>
      </c>
      <c r="AT536" s="69">
        <v>12490.75</v>
      </c>
      <c r="AU536" s="69">
        <v>1509.25</v>
      </c>
      <c r="BD536" s="69"/>
      <c r="BE536" s="69"/>
      <c r="CE536" s="94">
        <f t="shared" si="55"/>
        <v>14000</v>
      </c>
      <c r="CF536" s="73">
        <f t="shared" si="54"/>
        <v>0</v>
      </c>
      <c r="CG536" s="75">
        <f t="shared" si="57"/>
        <v>6592</v>
      </c>
      <c r="CH536" s="75" t="str">
        <f t="shared" si="57"/>
        <v>ماليزى اسنان</v>
      </c>
    </row>
    <row r="537" spans="2:86" x14ac:dyDescent="0.25">
      <c r="B537" s="69" t="s">
        <v>1530</v>
      </c>
      <c r="C537" s="82">
        <v>11800</v>
      </c>
      <c r="D537" s="78">
        <v>6593</v>
      </c>
      <c r="E537" s="107" t="s">
        <v>121</v>
      </c>
      <c r="F537" s="69" t="s">
        <v>2409</v>
      </c>
      <c r="G537" s="69"/>
      <c r="H537" s="69">
        <v>8250</v>
      </c>
      <c r="U537" s="69"/>
      <c r="V537" s="69"/>
      <c r="AS537" s="94">
        <f t="shared" si="41"/>
        <v>8250</v>
      </c>
      <c r="AT537" s="69">
        <v>7363.85</v>
      </c>
      <c r="AU537" s="69">
        <v>886.15</v>
      </c>
      <c r="BD537" s="69"/>
      <c r="BE537" s="69"/>
      <c r="CE537" s="94">
        <f t="shared" si="55"/>
        <v>8250</v>
      </c>
      <c r="CF537" s="73">
        <f t="shared" si="54"/>
        <v>0</v>
      </c>
      <c r="CG537" s="75">
        <f t="shared" si="57"/>
        <v>6593</v>
      </c>
      <c r="CH537" s="75" t="str">
        <f t="shared" si="57"/>
        <v>ماليزى اسنان</v>
      </c>
    </row>
    <row r="538" spans="2:86" x14ac:dyDescent="0.25">
      <c r="B538" s="69" t="s">
        <v>1530</v>
      </c>
      <c r="C538" s="82">
        <v>11801</v>
      </c>
      <c r="D538" s="78">
        <v>6594</v>
      </c>
      <c r="E538" s="107" t="s">
        <v>121</v>
      </c>
      <c r="F538" s="69" t="s">
        <v>2410</v>
      </c>
      <c r="G538" s="69"/>
      <c r="H538" s="69">
        <v>17500</v>
      </c>
      <c r="U538" s="69"/>
      <c r="V538" s="69"/>
      <c r="AS538" s="94">
        <f t="shared" si="41"/>
        <v>17500</v>
      </c>
      <c r="AT538" s="69">
        <v>15621.2</v>
      </c>
      <c r="AU538" s="69">
        <v>1878.8</v>
      </c>
      <c r="BD538" s="69"/>
      <c r="BE538" s="69"/>
      <c r="CE538" s="94">
        <f t="shared" si="55"/>
        <v>17500</v>
      </c>
      <c r="CF538" s="73">
        <f t="shared" si="54"/>
        <v>0</v>
      </c>
      <c r="CG538" s="75">
        <f t="shared" si="57"/>
        <v>6594</v>
      </c>
      <c r="CH538" s="75" t="str">
        <f t="shared" si="57"/>
        <v>ماليزى اسنان</v>
      </c>
    </row>
    <row r="539" spans="2:86" x14ac:dyDescent="0.25">
      <c r="B539" s="69" t="s">
        <v>1530</v>
      </c>
      <c r="C539" s="82">
        <v>11802</v>
      </c>
      <c r="D539" s="78">
        <v>6595</v>
      </c>
      <c r="E539" s="107" t="s">
        <v>121</v>
      </c>
      <c r="F539" s="69" t="s">
        <v>2411</v>
      </c>
      <c r="G539" s="69"/>
      <c r="H539" s="69">
        <v>2931.25</v>
      </c>
      <c r="U539" s="69"/>
      <c r="V539" s="69"/>
      <c r="AS539" s="94">
        <f t="shared" si="41"/>
        <v>2931.25</v>
      </c>
      <c r="AT539" s="69">
        <v>1960.15</v>
      </c>
      <c r="AU539" s="69">
        <v>264.85000000000002</v>
      </c>
      <c r="AV539" s="69">
        <v>706.25</v>
      </c>
      <c r="BD539" s="69"/>
      <c r="BE539" s="69"/>
      <c r="CE539" s="94">
        <f t="shared" si="55"/>
        <v>2931.25</v>
      </c>
      <c r="CF539" s="73">
        <f t="shared" si="54"/>
        <v>0</v>
      </c>
      <c r="CG539" s="75">
        <f t="shared" si="57"/>
        <v>6595</v>
      </c>
      <c r="CH539" s="75" t="str">
        <f t="shared" si="57"/>
        <v>ماليزى اسنان</v>
      </c>
    </row>
    <row r="540" spans="2:86" x14ac:dyDescent="0.25">
      <c r="C540" s="82">
        <v>11633</v>
      </c>
      <c r="D540" s="78">
        <v>6596</v>
      </c>
      <c r="E540" s="107" t="s">
        <v>121</v>
      </c>
      <c r="F540" s="69" t="s">
        <v>2412</v>
      </c>
      <c r="G540" s="69"/>
      <c r="H540" s="69">
        <v>2696.75</v>
      </c>
      <c r="U540" s="69"/>
      <c r="V540" s="69"/>
      <c r="AS540" s="94">
        <f t="shared" si="41"/>
        <v>2696.75</v>
      </c>
      <c r="AT540" s="69">
        <v>1802</v>
      </c>
      <c r="AU540" s="69">
        <v>245</v>
      </c>
      <c r="AV540" s="69">
        <v>649.75</v>
      </c>
      <c r="BD540" s="69"/>
      <c r="BE540" s="69"/>
      <c r="CE540" s="94">
        <f t="shared" si="55"/>
        <v>2696.75</v>
      </c>
      <c r="CF540" s="73">
        <f t="shared" si="54"/>
        <v>0</v>
      </c>
      <c r="CG540" s="75">
        <f t="shared" si="57"/>
        <v>6596</v>
      </c>
      <c r="CH540" s="75" t="str">
        <f t="shared" si="57"/>
        <v>ماليزى اسنان</v>
      </c>
    </row>
    <row r="541" spans="2:86" x14ac:dyDescent="0.25">
      <c r="C541" s="82">
        <v>11634</v>
      </c>
      <c r="D541" s="78">
        <v>6597</v>
      </c>
      <c r="E541" s="107" t="s">
        <v>121</v>
      </c>
      <c r="F541" s="69" t="s">
        <v>2413</v>
      </c>
      <c r="G541" s="69"/>
      <c r="H541" s="69">
        <v>2110.5</v>
      </c>
      <c r="U541" s="69"/>
      <c r="V541" s="69"/>
      <c r="AS541" s="94">
        <f t="shared" si="41"/>
        <v>2110.5</v>
      </c>
      <c r="AT541" s="69">
        <v>1410.35</v>
      </c>
      <c r="AU541" s="69">
        <v>191.65</v>
      </c>
      <c r="AV541" s="69">
        <v>508.5</v>
      </c>
      <c r="BD541" s="69"/>
      <c r="BE541" s="69"/>
      <c r="CE541" s="94">
        <f t="shared" si="55"/>
        <v>2110.5</v>
      </c>
      <c r="CF541" s="73">
        <f t="shared" si="54"/>
        <v>0</v>
      </c>
      <c r="CG541" s="75">
        <f t="shared" si="57"/>
        <v>6597</v>
      </c>
      <c r="CH541" s="75" t="str">
        <f t="shared" si="57"/>
        <v>ماليزى اسنان</v>
      </c>
    </row>
    <row r="542" spans="2:86" x14ac:dyDescent="0.25">
      <c r="C542" s="82">
        <v>11635</v>
      </c>
      <c r="D542" s="78">
        <v>6598</v>
      </c>
      <c r="E542" s="107" t="s">
        <v>121</v>
      </c>
      <c r="F542" s="69" t="s">
        <v>2414</v>
      </c>
      <c r="G542" s="69"/>
      <c r="H542" s="69">
        <v>2607</v>
      </c>
      <c r="U542" s="69"/>
      <c r="V542" s="69"/>
      <c r="AS542" s="94">
        <f t="shared" si="41"/>
        <v>2607</v>
      </c>
      <c r="AT542" s="69">
        <v>2013.5</v>
      </c>
      <c r="AU542" s="69">
        <v>254.5</v>
      </c>
      <c r="AV542" s="69">
        <v>339</v>
      </c>
      <c r="BD542" s="69"/>
      <c r="BE542" s="69"/>
      <c r="CE542" s="94">
        <f t="shared" si="55"/>
        <v>2607</v>
      </c>
      <c r="CF542" s="73">
        <f t="shared" si="54"/>
        <v>0</v>
      </c>
      <c r="CG542" s="75">
        <f t="shared" si="57"/>
        <v>6598</v>
      </c>
      <c r="CH542" s="75" t="str">
        <f t="shared" si="57"/>
        <v>ماليزى اسنان</v>
      </c>
    </row>
    <row r="543" spans="2:86" x14ac:dyDescent="0.25">
      <c r="C543" s="82">
        <v>11636</v>
      </c>
      <c r="D543" s="78">
        <v>6599</v>
      </c>
      <c r="E543" s="107" t="s">
        <v>121</v>
      </c>
      <c r="F543" s="69" t="s">
        <v>2415</v>
      </c>
      <c r="G543" s="69"/>
      <c r="H543" s="69">
        <v>2345</v>
      </c>
      <c r="U543" s="69"/>
      <c r="V543" s="69"/>
      <c r="AS543" s="94">
        <f t="shared" si="41"/>
        <v>2345</v>
      </c>
      <c r="AT543" s="69">
        <v>1568.2</v>
      </c>
      <c r="AU543" s="69">
        <v>211.8</v>
      </c>
      <c r="AV543" s="69">
        <v>565</v>
      </c>
      <c r="BD543" s="69"/>
      <c r="BE543" s="69"/>
      <c r="CE543" s="94">
        <f t="shared" si="55"/>
        <v>2345</v>
      </c>
      <c r="CF543" s="73">
        <f t="shared" si="54"/>
        <v>0</v>
      </c>
      <c r="CG543" s="75">
        <f t="shared" si="57"/>
        <v>6599</v>
      </c>
      <c r="CH543" s="75" t="str">
        <f t="shared" si="57"/>
        <v>ماليزى اسنان</v>
      </c>
    </row>
    <row r="544" spans="2:86" x14ac:dyDescent="0.25">
      <c r="C544" s="82">
        <v>11637</v>
      </c>
      <c r="D544" s="78">
        <v>6600</v>
      </c>
      <c r="E544" s="107" t="s">
        <v>121</v>
      </c>
      <c r="F544" s="69" t="s">
        <v>2416</v>
      </c>
      <c r="G544" s="69"/>
      <c r="H544" s="69">
        <v>3500</v>
      </c>
      <c r="U544" s="69"/>
      <c r="V544" s="69"/>
      <c r="AS544" s="94">
        <f t="shared" si="41"/>
        <v>3500</v>
      </c>
      <c r="AT544" s="69">
        <v>3124.45</v>
      </c>
      <c r="AU544" s="69">
        <v>375.55</v>
      </c>
      <c r="BD544" s="69"/>
      <c r="BE544" s="69"/>
      <c r="CE544" s="94">
        <f t="shared" si="55"/>
        <v>3500</v>
      </c>
      <c r="CF544" s="73">
        <f t="shared" si="54"/>
        <v>0</v>
      </c>
      <c r="CG544" s="75">
        <f t="shared" si="57"/>
        <v>6600</v>
      </c>
      <c r="CH544" s="75" t="str">
        <f t="shared" si="57"/>
        <v>ماليزى اسنان</v>
      </c>
    </row>
    <row r="545" spans="3:86" x14ac:dyDescent="0.25">
      <c r="C545" s="82">
        <v>11638</v>
      </c>
      <c r="D545" s="78">
        <v>6601</v>
      </c>
      <c r="E545" s="107" t="s">
        <v>121</v>
      </c>
      <c r="F545" s="69" t="s">
        <v>2417</v>
      </c>
      <c r="G545" s="69"/>
      <c r="H545" s="69">
        <v>5000</v>
      </c>
      <c r="U545" s="69"/>
      <c r="V545" s="69"/>
      <c r="AS545" s="94">
        <f t="shared" si="41"/>
        <v>5000</v>
      </c>
      <c r="AT545" s="69">
        <v>4463.2</v>
      </c>
      <c r="AU545" s="69">
        <v>536.79999999999995</v>
      </c>
      <c r="BD545" s="69"/>
      <c r="BE545" s="69"/>
      <c r="CE545" s="94">
        <f t="shared" si="55"/>
        <v>5000</v>
      </c>
      <c r="CF545" s="73">
        <f t="shared" si="54"/>
        <v>0</v>
      </c>
      <c r="CG545" s="75">
        <f t="shared" si="57"/>
        <v>6601</v>
      </c>
      <c r="CH545" s="75" t="str">
        <f t="shared" si="57"/>
        <v>ماليزى اسنان</v>
      </c>
    </row>
    <row r="546" spans="3:86" x14ac:dyDescent="0.25">
      <c r="C546" s="82">
        <v>11643</v>
      </c>
      <c r="D546" s="78">
        <v>6602</v>
      </c>
      <c r="E546" s="107" t="s">
        <v>121</v>
      </c>
      <c r="F546" s="69" t="s">
        <v>2418</v>
      </c>
      <c r="G546" s="69"/>
      <c r="H546" s="69">
        <v>1500</v>
      </c>
      <c r="U546" s="69"/>
      <c r="V546" s="69"/>
      <c r="AS546" s="94">
        <f t="shared" si="41"/>
        <v>1500</v>
      </c>
      <c r="AT546" s="69">
        <v>1339.1</v>
      </c>
      <c r="AU546" s="69">
        <v>160.9</v>
      </c>
      <c r="BD546" s="69"/>
      <c r="BE546" s="69"/>
      <c r="CE546" s="94">
        <f t="shared" si="55"/>
        <v>1500</v>
      </c>
      <c r="CF546" s="73">
        <f t="shared" ref="CF546:CF609" si="58">+CE546-AS546</f>
        <v>0</v>
      </c>
      <c r="CG546" s="75">
        <f t="shared" si="57"/>
        <v>6602</v>
      </c>
      <c r="CH546" s="75" t="str">
        <f t="shared" si="57"/>
        <v>ماليزى اسنان</v>
      </c>
    </row>
    <row r="547" spans="3:86" x14ac:dyDescent="0.25">
      <c r="C547" s="82">
        <v>11642</v>
      </c>
      <c r="D547" s="78">
        <v>6603</v>
      </c>
      <c r="E547" s="107" t="s">
        <v>121</v>
      </c>
      <c r="F547" s="69" t="s">
        <v>2419</v>
      </c>
      <c r="G547" s="69"/>
      <c r="H547" s="69">
        <v>1407</v>
      </c>
      <c r="U547" s="69"/>
      <c r="V547" s="69"/>
      <c r="AS547" s="94">
        <f t="shared" si="41"/>
        <v>1407</v>
      </c>
      <c r="AT547" s="69">
        <v>940.35</v>
      </c>
      <c r="AU547" s="69">
        <v>127.65</v>
      </c>
      <c r="AV547" s="69">
        <v>339</v>
      </c>
      <c r="BD547" s="69"/>
      <c r="BE547" s="69"/>
      <c r="CE547" s="94">
        <f t="shared" si="55"/>
        <v>1407</v>
      </c>
      <c r="CF547" s="73">
        <f t="shared" si="58"/>
        <v>0</v>
      </c>
      <c r="CG547" s="75">
        <f t="shared" si="57"/>
        <v>6603</v>
      </c>
      <c r="CH547" s="75" t="str">
        <f t="shared" si="57"/>
        <v>ماليزى اسنان</v>
      </c>
    </row>
    <row r="548" spans="3:86" x14ac:dyDescent="0.25">
      <c r="C548" s="82">
        <v>11645</v>
      </c>
      <c r="D548" s="78">
        <v>6604</v>
      </c>
      <c r="E548" s="107" t="s">
        <v>121</v>
      </c>
      <c r="F548" s="69" t="s">
        <v>2420</v>
      </c>
      <c r="G548" s="69"/>
      <c r="H548" s="69">
        <v>1955.25</v>
      </c>
      <c r="U548" s="69"/>
      <c r="V548" s="69"/>
      <c r="AS548" s="94">
        <f t="shared" si="41"/>
        <v>1955.25</v>
      </c>
      <c r="AT548" s="69">
        <v>1509.75</v>
      </c>
      <c r="AU548" s="69">
        <v>191.25</v>
      </c>
      <c r="AV548" s="69">
        <v>254.25</v>
      </c>
      <c r="BD548" s="69"/>
      <c r="BE548" s="69"/>
      <c r="CE548" s="94">
        <f t="shared" si="55"/>
        <v>1955.25</v>
      </c>
      <c r="CF548" s="73">
        <f t="shared" si="58"/>
        <v>0</v>
      </c>
      <c r="CG548" s="75">
        <f t="shared" si="57"/>
        <v>6604</v>
      </c>
      <c r="CH548" s="75" t="str">
        <f t="shared" si="57"/>
        <v>ماليزى اسنان</v>
      </c>
    </row>
    <row r="549" spans="3:86" x14ac:dyDescent="0.25">
      <c r="C549" s="82">
        <v>11628</v>
      </c>
      <c r="D549" s="78">
        <v>6605</v>
      </c>
      <c r="E549" s="107" t="s">
        <v>121</v>
      </c>
      <c r="F549" s="69" t="s">
        <v>2421</v>
      </c>
      <c r="G549" s="69"/>
      <c r="H549" s="69">
        <v>879.4</v>
      </c>
      <c r="U549" s="69"/>
      <c r="V549" s="69"/>
      <c r="AS549" s="94">
        <f t="shared" si="41"/>
        <v>879.4</v>
      </c>
      <c r="AT549" s="69">
        <v>590</v>
      </c>
      <c r="AU549" s="69">
        <v>77.5</v>
      </c>
      <c r="AV549" s="69">
        <v>211.9</v>
      </c>
      <c r="BD549" s="69"/>
      <c r="BE549" s="69"/>
      <c r="CE549" s="94">
        <f t="shared" si="55"/>
        <v>879.4</v>
      </c>
      <c r="CF549" s="73">
        <f t="shared" si="58"/>
        <v>0</v>
      </c>
      <c r="CG549" s="75">
        <f t="shared" si="57"/>
        <v>6605</v>
      </c>
      <c r="CH549" s="75" t="str">
        <f t="shared" si="57"/>
        <v>ماليزى اسنان</v>
      </c>
    </row>
    <row r="550" spans="3:86" x14ac:dyDescent="0.25">
      <c r="C550" s="82">
        <v>11629</v>
      </c>
      <c r="D550" s="78">
        <v>6606</v>
      </c>
      <c r="E550" s="107" t="s">
        <v>121</v>
      </c>
      <c r="F550" s="69" t="s">
        <v>2421</v>
      </c>
      <c r="G550" s="69"/>
      <c r="H550" s="69">
        <v>351.76</v>
      </c>
      <c r="U550" s="69"/>
      <c r="V550" s="69"/>
      <c r="AS550" s="94">
        <f t="shared" si="41"/>
        <v>351.76</v>
      </c>
      <c r="AT550" s="69">
        <v>236</v>
      </c>
      <c r="AU550" s="69">
        <v>31</v>
      </c>
      <c r="AV550" s="69">
        <v>84.76</v>
      </c>
      <c r="BD550" s="69"/>
      <c r="BE550" s="69"/>
      <c r="CE550" s="94">
        <f t="shared" si="55"/>
        <v>351.76</v>
      </c>
      <c r="CF550" s="73">
        <f t="shared" si="58"/>
        <v>0</v>
      </c>
      <c r="CG550" s="75">
        <f t="shared" si="57"/>
        <v>6606</v>
      </c>
      <c r="CH550" s="75" t="str">
        <f t="shared" si="57"/>
        <v>ماليزى اسنان</v>
      </c>
    </row>
    <row r="551" spans="3:86" x14ac:dyDescent="0.25">
      <c r="C551" s="82">
        <v>11631</v>
      </c>
      <c r="D551" s="78">
        <v>6607</v>
      </c>
      <c r="E551" s="107" t="s">
        <v>121</v>
      </c>
      <c r="F551" s="69" t="s">
        <v>2422</v>
      </c>
      <c r="G551" s="69"/>
      <c r="H551" s="69">
        <v>1582.88</v>
      </c>
      <c r="U551" s="69"/>
      <c r="V551" s="69"/>
      <c r="AS551" s="94">
        <f t="shared" si="41"/>
        <v>1582.88</v>
      </c>
      <c r="AT551" s="69">
        <v>1059.4000000000001</v>
      </c>
      <c r="AU551" s="69">
        <v>142.1</v>
      </c>
      <c r="AV551" s="69">
        <v>381.38</v>
      </c>
      <c r="BD551" s="69"/>
      <c r="BE551" s="69"/>
      <c r="CE551" s="94">
        <f t="shared" si="55"/>
        <v>1582.88</v>
      </c>
      <c r="CF551" s="73">
        <f t="shared" si="58"/>
        <v>0</v>
      </c>
      <c r="CG551" s="75">
        <f t="shared" si="57"/>
        <v>6607</v>
      </c>
      <c r="CH551" s="75" t="str">
        <f t="shared" si="57"/>
        <v>ماليزى اسنان</v>
      </c>
    </row>
    <row r="552" spans="3:86" x14ac:dyDescent="0.25">
      <c r="C552" s="82">
        <v>11630</v>
      </c>
      <c r="D552" s="78">
        <v>6608</v>
      </c>
      <c r="E552" s="107" t="s">
        <v>121</v>
      </c>
      <c r="F552" s="69" t="s">
        <v>2422</v>
      </c>
      <c r="G552" s="69"/>
      <c r="H552" s="69">
        <v>3282.98</v>
      </c>
      <c r="U552" s="69"/>
      <c r="V552" s="69"/>
      <c r="AS552" s="94">
        <f t="shared" si="41"/>
        <v>3282.98</v>
      </c>
      <c r="AT552" s="69">
        <v>2197.9</v>
      </c>
      <c r="AU552" s="69">
        <v>294.10000000000002</v>
      </c>
      <c r="AV552" s="69">
        <v>790.98</v>
      </c>
      <c r="BD552" s="69"/>
      <c r="BE552" s="69"/>
      <c r="CE552" s="94">
        <f t="shared" si="55"/>
        <v>3282.98</v>
      </c>
      <c r="CF552" s="73">
        <f t="shared" si="58"/>
        <v>0</v>
      </c>
      <c r="CG552" s="75">
        <f t="shared" si="57"/>
        <v>6608</v>
      </c>
      <c r="CH552" s="75" t="str">
        <f t="shared" si="57"/>
        <v>ماليزى اسنان</v>
      </c>
    </row>
    <row r="553" spans="3:86" x14ac:dyDescent="0.25">
      <c r="C553" s="82">
        <v>11646</v>
      </c>
      <c r="D553" s="78">
        <v>6609</v>
      </c>
      <c r="E553" s="107" t="s">
        <v>121</v>
      </c>
      <c r="F553" s="69" t="s">
        <v>2415</v>
      </c>
      <c r="G553" s="69"/>
      <c r="H553" s="69">
        <v>21128.52</v>
      </c>
      <c r="U553" s="69"/>
      <c r="V553" s="69"/>
      <c r="AS553" s="94">
        <f t="shared" si="41"/>
        <v>21128.52</v>
      </c>
      <c r="AT553" s="69">
        <v>16533.490000000002</v>
      </c>
      <c r="AU553" s="69">
        <v>2091.8000000000002</v>
      </c>
      <c r="AV553" s="69">
        <v>2503.23</v>
      </c>
      <c r="BD553" s="69"/>
      <c r="BE553" s="69"/>
      <c r="CE553" s="94">
        <f t="shared" si="55"/>
        <v>21128.52</v>
      </c>
      <c r="CF553" s="73">
        <f t="shared" si="58"/>
        <v>0</v>
      </c>
      <c r="CG553" s="75">
        <f t="shared" si="57"/>
        <v>6609</v>
      </c>
      <c r="CH553" s="75" t="str">
        <f t="shared" si="57"/>
        <v>ماليزى اسنان</v>
      </c>
    </row>
    <row r="554" spans="3:86" x14ac:dyDescent="0.25">
      <c r="C554" s="82">
        <v>11644</v>
      </c>
      <c r="D554" s="78">
        <v>6610</v>
      </c>
      <c r="E554" s="107" t="s">
        <v>121</v>
      </c>
      <c r="F554" s="69" t="s">
        <v>2423</v>
      </c>
      <c r="G554" s="69"/>
      <c r="H554" s="69">
        <v>36529.9</v>
      </c>
      <c r="U554" s="69"/>
      <c r="V554" s="69"/>
      <c r="AS554" s="94">
        <f t="shared" si="41"/>
        <v>36529.9</v>
      </c>
      <c r="AT554" s="69">
        <v>29973.13</v>
      </c>
      <c r="AU554" s="69">
        <v>3723.75</v>
      </c>
      <c r="AV554" s="69">
        <v>2833.02</v>
      </c>
      <c r="BD554" s="69"/>
      <c r="BE554" s="69"/>
      <c r="CE554" s="94">
        <f t="shared" si="55"/>
        <v>36529.9</v>
      </c>
      <c r="CF554" s="73">
        <f t="shared" si="58"/>
        <v>0</v>
      </c>
      <c r="CG554" s="75">
        <f t="shared" si="57"/>
        <v>6610</v>
      </c>
      <c r="CH554" s="75" t="str">
        <f t="shared" si="57"/>
        <v>ماليزى اسنان</v>
      </c>
    </row>
    <row r="555" spans="3:86" x14ac:dyDescent="0.25">
      <c r="C555" s="82">
        <v>11632</v>
      </c>
      <c r="D555" s="78">
        <v>6611</v>
      </c>
      <c r="E555" s="107" t="s">
        <v>121</v>
      </c>
      <c r="F555" s="69" t="s">
        <v>2413</v>
      </c>
      <c r="G555" s="69"/>
      <c r="H555" s="69">
        <v>17752.5</v>
      </c>
      <c r="U555" s="69"/>
      <c r="V555" s="69"/>
      <c r="AS555" s="94">
        <f t="shared" si="41"/>
        <v>17752.5</v>
      </c>
      <c r="AT555" s="69">
        <v>13478.8</v>
      </c>
      <c r="AU555" s="69">
        <v>1731.2</v>
      </c>
      <c r="AV555" s="69">
        <v>2542.5</v>
      </c>
      <c r="BD555" s="69"/>
      <c r="BE555" s="69"/>
      <c r="CE555" s="94">
        <f t="shared" si="55"/>
        <v>17752.5</v>
      </c>
      <c r="CF555" s="73">
        <f t="shared" si="58"/>
        <v>0</v>
      </c>
      <c r="CG555" s="75">
        <f t="shared" si="57"/>
        <v>6611</v>
      </c>
      <c r="CH555" s="75" t="str">
        <f t="shared" si="57"/>
        <v>ماليزى اسنان</v>
      </c>
    </row>
    <row r="556" spans="3:86" x14ac:dyDescent="0.25">
      <c r="C556" s="82">
        <v>11460</v>
      </c>
      <c r="D556" s="78">
        <v>6612</v>
      </c>
      <c r="E556" s="107" t="s">
        <v>121</v>
      </c>
      <c r="F556" s="69" t="s">
        <v>2424</v>
      </c>
      <c r="G556" s="69"/>
      <c r="H556" s="69">
        <v>31029.43</v>
      </c>
      <c r="U556" s="69"/>
      <c r="V556" s="69"/>
      <c r="AS556" s="94">
        <f t="shared" si="41"/>
        <v>31029.43</v>
      </c>
      <c r="AT556" s="69">
        <v>24678.65</v>
      </c>
      <c r="AU556" s="69">
        <v>3109.1</v>
      </c>
      <c r="AV556" s="69">
        <v>3241.68</v>
      </c>
      <c r="BD556" s="69"/>
      <c r="BE556" s="69"/>
      <c r="CE556" s="94">
        <f t="shared" si="55"/>
        <v>31029.43</v>
      </c>
      <c r="CF556" s="73">
        <f t="shared" si="58"/>
        <v>0</v>
      </c>
      <c r="CG556" s="75">
        <f t="shared" si="57"/>
        <v>6612</v>
      </c>
      <c r="CH556" s="75" t="str">
        <f t="shared" si="57"/>
        <v>ماليزى اسنان</v>
      </c>
    </row>
    <row r="557" spans="3:86" x14ac:dyDescent="0.25">
      <c r="C557" s="82">
        <v>11461</v>
      </c>
      <c r="D557" s="78">
        <v>6613</v>
      </c>
      <c r="E557" s="107" t="s">
        <v>121</v>
      </c>
      <c r="F557" s="69" t="s">
        <v>2425</v>
      </c>
      <c r="G557" s="69"/>
      <c r="H557" s="69">
        <v>27424.49</v>
      </c>
      <c r="U557" s="69"/>
      <c r="V557" s="69"/>
      <c r="AS557" s="94">
        <f t="shared" si="41"/>
        <v>27424.49</v>
      </c>
      <c r="AT557" s="69">
        <v>23375.1</v>
      </c>
      <c r="AU557" s="69">
        <v>2862.9</v>
      </c>
      <c r="AV557" s="69">
        <v>1186.49</v>
      </c>
      <c r="BD557" s="69"/>
      <c r="BE557" s="69"/>
      <c r="CE557" s="94">
        <f t="shared" si="55"/>
        <v>27424.49</v>
      </c>
      <c r="CF557" s="73">
        <f t="shared" si="58"/>
        <v>0</v>
      </c>
      <c r="CG557" s="75">
        <f t="shared" si="57"/>
        <v>6613</v>
      </c>
      <c r="CH557" s="75" t="str">
        <f t="shared" si="57"/>
        <v>ماليزى اسنان</v>
      </c>
    </row>
    <row r="558" spans="3:86" x14ac:dyDescent="0.25">
      <c r="C558" s="82">
        <v>11456</v>
      </c>
      <c r="D558" s="78">
        <v>6614</v>
      </c>
      <c r="E558" s="107" t="s">
        <v>121</v>
      </c>
      <c r="F558" s="69" t="s">
        <v>2426</v>
      </c>
      <c r="G558" s="69"/>
      <c r="H558" s="69">
        <v>7958.76</v>
      </c>
      <c r="U558" s="69"/>
      <c r="V558" s="69"/>
      <c r="AS558" s="94">
        <f t="shared" si="41"/>
        <v>7958.76</v>
      </c>
      <c r="AT558" s="69">
        <v>6710.5</v>
      </c>
      <c r="AU558" s="69">
        <v>824.5</v>
      </c>
      <c r="AV558" s="69">
        <v>423.76</v>
      </c>
      <c r="BD558" s="69"/>
      <c r="BE558" s="69"/>
      <c r="CE558" s="94">
        <f t="shared" si="55"/>
        <v>7958.76</v>
      </c>
      <c r="CF558" s="73">
        <f t="shared" si="58"/>
        <v>0</v>
      </c>
      <c r="CG558" s="75">
        <f t="shared" si="57"/>
        <v>6614</v>
      </c>
      <c r="CH558" s="75" t="str">
        <f t="shared" si="57"/>
        <v>ماليزى اسنان</v>
      </c>
    </row>
    <row r="559" spans="3:86" x14ac:dyDescent="0.25">
      <c r="C559" s="82">
        <v>11449</v>
      </c>
      <c r="D559" s="78">
        <v>6615</v>
      </c>
      <c r="E559" s="107" t="s">
        <v>121</v>
      </c>
      <c r="F559" s="69" t="s">
        <v>2427</v>
      </c>
      <c r="G559" s="69"/>
      <c r="H559" s="69">
        <v>3000</v>
      </c>
      <c r="U559" s="69"/>
      <c r="V559" s="69"/>
      <c r="AS559" s="94">
        <f t="shared" si="41"/>
        <v>3000</v>
      </c>
      <c r="AT559" s="69">
        <v>2677.85</v>
      </c>
      <c r="AU559" s="69">
        <v>322.14999999999998</v>
      </c>
      <c r="BD559" s="69"/>
      <c r="BE559" s="69"/>
      <c r="CE559" s="94">
        <f t="shared" si="55"/>
        <v>3000</v>
      </c>
      <c r="CF559" s="73">
        <f t="shared" si="58"/>
        <v>0</v>
      </c>
      <c r="CG559" s="75">
        <f t="shared" si="57"/>
        <v>6615</v>
      </c>
      <c r="CH559" s="75" t="str">
        <f t="shared" si="57"/>
        <v>ماليزى اسنان</v>
      </c>
    </row>
    <row r="560" spans="3:86" x14ac:dyDescent="0.25">
      <c r="C560" s="82">
        <v>11442</v>
      </c>
      <c r="D560" s="78">
        <v>6616</v>
      </c>
      <c r="E560" s="107" t="s">
        <v>121</v>
      </c>
      <c r="F560" s="69" t="s">
        <v>2428</v>
      </c>
      <c r="G560" s="69"/>
      <c r="H560" s="69">
        <v>2500</v>
      </c>
      <c r="U560" s="69"/>
      <c r="V560" s="69"/>
      <c r="AS560" s="94">
        <f t="shared" si="41"/>
        <v>2500</v>
      </c>
      <c r="AT560" s="69">
        <v>2231.6</v>
      </c>
      <c r="AU560" s="69">
        <v>268.39999999999998</v>
      </c>
      <c r="BD560" s="69"/>
      <c r="BE560" s="69"/>
      <c r="CE560" s="94">
        <f t="shared" si="55"/>
        <v>2500</v>
      </c>
      <c r="CF560" s="73">
        <f t="shared" si="58"/>
        <v>0</v>
      </c>
      <c r="CG560" s="75">
        <f t="shared" si="57"/>
        <v>6616</v>
      </c>
      <c r="CH560" s="75" t="str">
        <f t="shared" si="57"/>
        <v>ماليزى اسنان</v>
      </c>
    </row>
    <row r="561" spans="3:86" x14ac:dyDescent="0.25">
      <c r="C561" s="82">
        <v>11443</v>
      </c>
      <c r="D561" s="78">
        <v>6617</v>
      </c>
      <c r="E561" s="107" t="s">
        <v>121</v>
      </c>
      <c r="F561" s="69" t="s">
        <v>2429</v>
      </c>
      <c r="G561" s="69"/>
      <c r="H561" s="69">
        <v>5000</v>
      </c>
      <c r="U561" s="69"/>
      <c r="V561" s="69"/>
      <c r="AS561" s="94">
        <f t="shared" si="41"/>
        <v>5000</v>
      </c>
      <c r="AT561" s="69">
        <v>4462.8500000000004</v>
      </c>
      <c r="AU561" s="69">
        <v>537.15</v>
      </c>
      <c r="BD561" s="69"/>
      <c r="BE561" s="69"/>
      <c r="CE561" s="94">
        <f t="shared" si="55"/>
        <v>5000</v>
      </c>
      <c r="CF561" s="73">
        <f t="shared" si="58"/>
        <v>0</v>
      </c>
      <c r="CG561" s="75">
        <f t="shared" si="57"/>
        <v>6617</v>
      </c>
      <c r="CH561" s="75" t="str">
        <f t="shared" si="57"/>
        <v>ماليزى اسنان</v>
      </c>
    </row>
    <row r="562" spans="3:86" x14ac:dyDescent="0.25">
      <c r="C562" s="82">
        <v>11444</v>
      </c>
      <c r="D562" s="78">
        <v>6618</v>
      </c>
      <c r="E562" s="107" t="s">
        <v>121</v>
      </c>
      <c r="F562" s="69" t="s">
        <v>2429</v>
      </c>
      <c r="G562" s="69"/>
      <c r="H562" s="69">
        <v>8500</v>
      </c>
      <c r="U562" s="69"/>
      <c r="V562" s="69"/>
      <c r="AS562" s="94">
        <f t="shared" si="41"/>
        <v>8500</v>
      </c>
      <c r="AT562" s="69">
        <v>7587.3</v>
      </c>
      <c r="AU562" s="69">
        <v>912.7</v>
      </c>
      <c r="BD562" s="69"/>
      <c r="BE562" s="69"/>
      <c r="CE562" s="94">
        <f t="shared" si="55"/>
        <v>8500</v>
      </c>
      <c r="CF562" s="73">
        <f t="shared" si="58"/>
        <v>0</v>
      </c>
      <c r="CG562" s="75">
        <f t="shared" si="57"/>
        <v>6618</v>
      </c>
      <c r="CH562" s="75" t="str">
        <f t="shared" si="57"/>
        <v>ماليزى اسنان</v>
      </c>
    </row>
    <row r="563" spans="3:86" x14ac:dyDescent="0.25">
      <c r="C563" s="82">
        <v>11439</v>
      </c>
      <c r="D563" s="78">
        <v>6619</v>
      </c>
      <c r="E563" s="107" t="s">
        <v>121</v>
      </c>
      <c r="F563" s="69" t="s">
        <v>2430</v>
      </c>
      <c r="G563" s="69"/>
      <c r="H563" s="69">
        <v>16000</v>
      </c>
      <c r="U563" s="69"/>
      <c r="V563" s="69"/>
      <c r="AS563" s="94">
        <f t="shared" si="41"/>
        <v>16000</v>
      </c>
      <c r="AT563" s="69">
        <v>14281.4</v>
      </c>
      <c r="AU563" s="69">
        <v>1718.6</v>
      </c>
      <c r="BD563" s="69"/>
      <c r="BE563" s="69"/>
      <c r="CE563" s="94">
        <f t="shared" si="55"/>
        <v>16000</v>
      </c>
      <c r="CF563" s="73">
        <f t="shared" si="58"/>
        <v>0</v>
      </c>
      <c r="CG563" s="75">
        <f t="shared" si="57"/>
        <v>6619</v>
      </c>
      <c r="CH563" s="75" t="str">
        <f t="shared" si="57"/>
        <v>ماليزى اسنان</v>
      </c>
    </row>
    <row r="564" spans="3:86" x14ac:dyDescent="0.25">
      <c r="C564" s="82">
        <v>11445</v>
      </c>
      <c r="D564" s="78">
        <v>6620</v>
      </c>
      <c r="E564" s="107" t="s">
        <v>121</v>
      </c>
      <c r="F564" s="69" t="s">
        <v>2431</v>
      </c>
      <c r="G564" s="69"/>
      <c r="H564" s="69">
        <v>6464</v>
      </c>
      <c r="U564" s="69"/>
      <c r="V564" s="69"/>
      <c r="AS564" s="94">
        <f t="shared" si="41"/>
        <v>6464</v>
      </c>
      <c r="AT564" s="69">
        <v>5139.05</v>
      </c>
      <c r="AU564" s="69">
        <v>646.95000000000005</v>
      </c>
      <c r="AV564" s="69">
        <v>678</v>
      </c>
      <c r="BD564" s="69"/>
      <c r="BE564" s="69"/>
      <c r="CE564" s="94">
        <f t="shared" si="55"/>
        <v>6464</v>
      </c>
      <c r="CF564" s="73">
        <f t="shared" si="58"/>
        <v>0</v>
      </c>
      <c r="CG564" s="75">
        <f t="shared" si="57"/>
        <v>6620</v>
      </c>
      <c r="CH564" s="75" t="str">
        <f t="shared" si="57"/>
        <v>ماليزى اسنان</v>
      </c>
    </row>
    <row r="565" spans="3:86" x14ac:dyDescent="0.25">
      <c r="C565" s="82">
        <v>11451</v>
      </c>
      <c r="D565" s="78">
        <v>6621</v>
      </c>
      <c r="E565" s="107" t="s">
        <v>121</v>
      </c>
      <c r="F565" s="69" t="s">
        <v>2432</v>
      </c>
      <c r="G565" s="69"/>
      <c r="H565" s="69">
        <v>11000</v>
      </c>
      <c r="U565" s="69"/>
      <c r="V565" s="69"/>
      <c r="AS565" s="94">
        <f t="shared" si="41"/>
        <v>11000</v>
      </c>
      <c r="AT565" s="69">
        <v>9818.9</v>
      </c>
      <c r="AU565" s="69">
        <v>1181.0999999999999</v>
      </c>
      <c r="BD565" s="69"/>
      <c r="BE565" s="69"/>
      <c r="CE565" s="94">
        <f t="shared" si="55"/>
        <v>11000</v>
      </c>
      <c r="CF565" s="73">
        <f t="shared" si="58"/>
        <v>0</v>
      </c>
      <c r="CG565" s="75">
        <f t="shared" si="57"/>
        <v>6621</v>
      </c>
      <c r="CH565" s="75" t="str">
        <f t="shared" si="57"/>
        <v>ماليزى اسنان</v>
      </c>
    </row>
    <row r="566" spans="3:86" x14ac:dyDescent="0.25">
      <c r="C566" s="82">
        <v>11452</v>
      </c>
      <c r="D566" s="78">
        <v>6622</v>
      </c>
      <c r="E566" s="107" t="s">
        <v>121</v>
      </c>
      <c r="F566" s="69" t="s">
        <v>2433</v>
      </c>
      <c r="G566" s="69"/>
      <c r="H566" s="69">
        <v>4309.92</v>
      </c>
      <c r="U566" s="69"/>
      <c r="V566" s="69"/>
      <c r="AS566" s="94">
        <f t="shared" si="41"/>
        <v>4309.92</v>
      </c>
      <c r="AT566" s="69">
        <v>3374.57</v>
      </c>
      <c r="AU566" s="69">
        <v>427.8</v>
      </c>
      <c r="AV566" s="69">
        <v>507.55</v>
      </c>
      <c r="BD566" s="69"/>
      <c r="BE566" s="69"/>
      <c r="CE566" s="94">
        <f t="shared" si="55"/>
        <v>4309.92</v>
      </c>
      <c r="CF566" s="73">
        <f t="shared" si="58"/>
        <v>0</v>
      </c>
      <c r="CG566" s="75">
        <f t="shared" si="57"/>
        <v>6622</v>
      </c>
      <c r="CH566" s="75" t="str">
        <f t="shared" si="57"/>
        <v>ماليزى اسنان</v>
      </c>
    </row>
    <row r="567" spans="3:86" x14ac:dyDescent="0.25">
      <c r="C567" s="82">
        <v>11448</v>
      </c>
      <c r="D567" s="78">
        <v>6623</v>
      </c>
      <c r="E567" s="107" t="s">
        <v>121</v>
      </c>
      <c r="F567" s="69" t="s">
        <v>2434</v>
      </c>
      <c r="G567" s="69"/>
      <c r="H567" s="69">
        <v>7974.38</v>
      </c>
      <c r="U567" s="69"/>
      <c r="V567" s="69"/>
      <c r="AS567" s="94">
        <f t="shared" si="41"/>
        <v>7974.38</v>
      </c>
      <c r="AT567" s="69">
        <v>6396.1</v>
      </c>
      <c r="AU567" s="69">
        <v>801.4</v>
      </c>
      <c r="AV567" s="69">
        <v>776.88</v>
      </c>
      <c r="BD567" s="69"/>
      <c r="BE567" s="69"/>
      <c r="CE567" s="94">
        <f t="shared" si="55"/>
        <v>7974.38</v>
      </c>
      <c r="CF567" s="73">
        <f t="shared" si="58"/>
        <v>0</v>
      </c>
      <c r="CG567" s="75">
        <f t="shared" si="57"/>
        <v>6623</v>
      </c>
      <c r="CH567" s="75" t="str">
        <f t="shared" si="57"/>
        <v>ماليزى اسنان</v>
      </c>
    </row>
    <row r="568" spans="3:86" x14ac:dyDescent="0.25">
      <c r="C568" s="82">
        <v>11459</v>
      </c>
      <c r="D568" s="78">
        <v>6624</v>
      </c>
      <c r="E568" s="107" t="s">
        <v>121</v>
      </c>
      <c r="F568" s="69" t="s">
        <v>2435</v>
      </c>
      <c r="G568" s="69"/>
      <c r="H568" s="69">
        <v>3600</v>
      </c>
      <c r="U568" s="69"/>
      <c r="V568" s="69"/>
      <c r="AS568" s="94">
        <f t="shared" si="41"/>
        <v>3600</v>
      </c>
      <c r="AT568" s="69">
        <v>3213.35</v>
      </c>
      <c r="AU568" s="69">
        <v>386.65</v>
      </c>
      <c r="BD568" s="69"/>
      <c r="BE568" s="69"/>
      <c r="CE568" s="94">
        <f t="shared" si="55"/>
        <v>3600</v>
      </c>
      <c r="CF568" s="73">
        <f t="shared" si="58"/>
        <v>0</v>
      </c>
      <c r="CG568" s="75">
        <f t="shared" si="57"/>
        <v>6624</v>
      </c>
      <c r="CH568" s="75" t="str">
        <f t="shared" si="57"/>
        <v>ماليزى اسنان</v>
      </c>
    </row>
    <row r="569" spans="3:86" x14ac:dyDescent="0.25">
      <c r="C569" s="82">
        <v>11446</v>
      </c>
      <c r="D569" s="78">
        <v>6625</v>
      </c>
      <c r="E569" s="107" t="s">
        <v>121</v>
      </c>
      <c r="F569" s="69" t="s">
        <v>2436</v>
      </c>
      <c r="G569" s="69"/>
      <c r="H569" s="69">
        <v>8603.76</v>
      </c>
      <c r="U569" s="69"/>
      <c r="V569" s="69"/>
      <c r="AS569" s="94">
        <f t="shared" si="41"/>
        <v>8603.76</v>
      </c>
      <c r="AT569" s="69">
        <v>6761.1</v>
      </c>
      <c r="AU569" s="69">
        <v>853.9</v>
      </c>
      <c r="AV569" s="69">
        <v>988.76</v>
      </c>
      <c r="BD569" s="69"/>
      <c r="BE569" s="69"/>
      <c r="CE569" s="94">
        <f t="shared" si="55"/>
        <v>8603.76</v>
      </c>
      <c r="CF569" s="73">
        <f t="shared" si="58"/>
        <v>0</v>
      </c>
      <c r="CG569" s="75">
        <f t="shared" si="57"/>
        <v>6625</v>
      </c>
      <c r="CH569" s="75" t="str">
        <f t="shared" si="57"/>
        <v>ماليزى اسنان</v>
      </c>
    </row>
    <row r="570" spans="3:86" x14ac:dyDescent="0.25">
      <c r="C570" s="82">
        <v>11440</v>
      </c>
      <c r="D570" s="78">
        <v>6626</v>
      </c>
      <c r="E570" s="107" t="s">
        <v>121</v>
      </c>
      <c r="F570" s="69" t="s">
        <v>2437</v>
      </c>
      <c r="G570" s="69"/>
      <c r="H570" s="69">
        <v>9000</v>
      </c>
      <c r="U570" s="69"/>
      <c r="V570" s="69"/>
      <c r="AS570" s="94">
        <f t="shared" si="41"/>
        <v>9000</v>
      </c>
      <c r="AT570" s="69">
        <v>8033.9</v>
      </c>
      <c r="AU570" s="69">
        <v>966.1</v>
      </c>
      <c r="BD570" s="69"/>
      <c r="BE570" s="69"/>
      <c r="CE570" s="94">
        <f t="shared" si="55"/>
        <v>9000</v>
      </c>
      <c r="CF570" s="73">
        <f t="shared" si="58"/>
        <v>0</v>
      </c>
      <c r="CG570" s="75">
        <f t="shared" si="57"/>
        <v>6626</v>
      </c>
      <c r="CH570" s="75" t="str">
        <f t="shared" si="57"/>
        <v>ماليزى اسنان</v>
      </c>
    </row>
    <row r="571" spans="3:86" x14ac:dyDescent="0.25">
      <c r="C571" s="82">
        <v>11441</v>
      </c>
      <c r="D571" s="78">
        <v>6627</v>
      </c>
      <c r="E571" s="107" t="s">
        <v>121</v>
      </c>
      <c r="F571" s="69" t="s">
        <v>2428</v>
      </c>
      <c r="G571" s="69"/>
      <c r="H571" s="69">
        <v>18768.8</v>
      </c>
      <c r="U571" s="69"/>
      <c r="V571" s="69"/>
      <c r="AS571" s="94">
        <f t="shared" si="41"/>
        <v>18768.8</v>
      </c>
      <c r="AT571" s="69">
        <v>16336.9</v>
      </c>
      <c r="AU571" s="69">
        <v>1991.7</v>
      </c>
      <c r="AV571" s="69">
        <v>440.2</v>
      </c>
      <c r="BD571" s="69"/>
      <c r="BE571" s="69"/>
      <c r="CE571" s="94">
        <f t="shared" si="55"/>
        <v>18768.8</v>
      </c>
      <c r="CF571" s="73">
        <f t="shared" si="58"/>
        <v>0</v>
      </c>
      <c r="CG571" s="75">
        <f t="shared" si="57"/>
        <v>6627</v>
      </c>
      <c r="CH571" s="75" t="str">
        <f t="shared" si="57"/>
        <v>ماليزى اسنان</v>
      </c>
    </row>
    <row r="572" spans="3:86" x14ac:dyDescent="0.25">
      <c r="C572" s="82">
        <v>11447</v>
      </c>
      <c r="D572" s="78">
        <v>6628</v>
      </c>
      <c r="E572" s="107" t="s">
        <v>121</v>
      </c>
      <c r="F572" s="69" t="s">
        <v>2438</v>
      </c>
      <c r="G572" s="69"/>
      <c r="H572" s="69">
        <v>4931.25</v>
      </c>
      <c r="U572" s="69"/>
      <c r="V572" s="69"/>
      <c r="AS572" s="94">
        <f t="shared" si="41"/>
        <v>4931.25</v>
      </c>
      <c r="AT572" s="69">
        <v>3744</v>
      </c>
      <c r="AU572" s="69">
        <v>481</v>
      </c>
      <c r="AV572" s="69">
        <v>706.25</v>
      </c>
      <c r="BD572" s="69"/>
      <c r="BE572" s="69"/>
      <c r="CE572" s="94">
        <f t="shared" si="55"/>
        <v>4931.25</v>
      </c>
      <c r="CF572" s="73">
        <f t="shared" si="58"/>
        <v>0</v>
      </c>
      <c r="CG572" s="75">
        <f t="shared" si="57"/>
        <v>6628</v>
      </c>
      <c r="CH572" s="75" t="str">
        <f t="shared" si="57"/>
        <v>ماليزى اسنان</v>
      </c>
    </row>
    <row r="573" spans="3:86" x14ac:dyDescent="0.25">
      <c r="C573" s="82">
        <v>11450</v>
      </c>
      <c r="D573" s="78">
        <v>6629</v>
      </c>
      <c r="E573" s="107" t="s">
        <v>121</v>
      </c>
      <c r="F573" s="69" t="s">
        <v>2439</v>
      </c>
      <c r="G573" s="69"/>
      <c r="H573" s="69">
        <v>9319.3799999999992</v>
      </c>
      <c r="U573" s="69"/>
      <c r="V573" s="69"/>
      <c r="AS573" s="94">
        <f t="shared" si="41"/>
        <v>9319.3799999999992</v>
      </c>
      <c r="AT573" s="69">
        <v>7070.15</v>
      </c>
      <c r="AU573" s="69">
        <v>907.35</v>
      </c>
      <c r="AV573" s="69">
        <v>1341.88</v>
      </c>
      <c r="BD573" s="69"/>
      <c r="BE573" s="69"/>
      <c r="CE573" s="94">
        <f t="shared" si="55"/>
        <v>9319.380000000001</v>
      </c>
      <c r="CF573" s="73">
        <f t="shared" si="58"/>
        <v>0</v>
      </c>
      <c r="CG573" s="75">
        <f t="shared" si="57"/>
        <v>6629</v>
      </c>
      <c r="CH573" s="75" t="str">
        <f t="shared" si="57"/>
        <v>ماليزى اسنان</v>
      </c>
    </row>
    <row r="574" spans="3:86" x14ac:dyDescent="0.25">
      <c r="C574" s="82">
        <v>11455</v>
      </c>
      <c r="D574" s="78">
        <v>6630</v>
      </c>
      <c r="E574" s="107" t="s">
        <v>121</v>
      </c>
      <c r="F574" s="69" t="s">
        <v>2440</v>
      </c>
      <c r="G574" s="69"/>
      <c r="H574" s="69">
        <v>3517.5</v>
      </c>
      <c r="U574" s="69"/>
      <c r="V574" s="69"/>
      <c r="AS574" s="94">
        <f t="shared" si="41"/>
        <v>3517.5</v>
      </c>
      <c r="AT574" s="69">
        <v>2350.35</v>
      </c>
      <c r="AU574" s="69">
        <v>319.64999999999998</v>
      </c>
      <c r="AV574" s="69">
        <v>847.5</v>
      </c>
      <c r="BD574" s="69"/>
      <c r="BE574" s="69"/>
      <c r="CE574" s="94">
        <f t="shared" si="55"/>
        <v>3517.5</v>
      </c>
      <c r="CF574" s="73">
        <f t="shared" si="58"/>
        <v>0</v>
      </c>
      <c r="CG574" s="75">
        <f t="shared" si="57"/>
        <v>6630</v>
      </c>
      <c r="CH574" s="75" t="str">
        <f t="shared" si="57"/>
        <v>ماليزى اسنان</v>
      </c>
    </row>
    <row r="575" spans="3:86" x14ac:dyDescent="0.25">
      <c r="C575" s="82">
        <v>11454</v>
      </c>
      <c r="D575" s="78">
        <v>6631</v>
      </c>
      <c r="E575" s="107" t="s">
        <v>121</v>
      </c>
      <c r="F575" s="69" t="s">
        <v>2440</v>
      </c>
      <c r="G575" s="69"/>
      <c r="H575" s="69">
        <v>6750</v>
      </c>
      <c r="U575" s="69"/>
      <c r="V575" s="69"/>
      <c r="AS575" s="94">
        <f t="shared" si="41"/>
        <v>6750</v>
      </c>
      <c r="AT575" s="69">
        <v>6025.1</v>
      </c>
      <c r="AU575" s="69">
        <v>724.9</v>
      </c>
      <c r="BD575" s="69"/>
      <c r="BE575" s="69"/>
      <c r="CE575" s="94">
        <f t="shared" si="55"/>
        <v>6750</v>
      </c>
      <c r="CF575" s="73">
        <f t="shared" si="58"/>
        <v>0</v>
      </c>
      <c r="CG575" s="75">
        <f t="shared" si="57"/>
        <v>6631</v>
      </c>
      <c r="CH575" s="75" t="str">
        <f t="shared" si="57"/>
        <v>ماليزى اسنان</v>
      </c>
    </row>
    <row r="576" spans="3:86" x14ac:dyDescent="0.25">
      <c r="C576" s="82">
        <v>11453</v>
      </c>
      <c r="D576" s="78">
        <v>6632</v>
      </c>
      <c r="E576" s="107" t="s">
        <v>121</v>
      </c>
      <c r="F576" s="69" t="s">
        <v>2440</v>
      </c>
      <c r="G576" s="69"/>
      <c r="H576" s="69">
        <v>8000</v>
      </c>
      <c r="U576" s="69"/>
      <c r="V576" s="69"/>
      <c r="AS576" s="94">
        <f t="shared" si="41"/>
        <v>8000</v>
      </c>
      <c r="AT576" s="69">
        <v>7140.75</v>
      </c>
      <c r="AU576" s="69">
        <v>859.25</v>
      </c>
      <c r="BD576" s="69"/>
      <c r="BE576" s="69"/>
      <c r="CE576" s="94">
        <f t="shared" si="55"/>
        <v>8000</v>
      </c>
      <c r="CF576" s="73">
        <f t="shared" si="58"/>
        <v>0</v>
      </c>
      <c r="CG576" s="75">
        <f t="shared" si="57"/>
        <v>6632</v>
      </c>
      <c r="CH576" s="75" t="str">
        <f t="shared" si="57"/>
        <v>ماليزى اسنان</v>
      </c>
    </row>
    <row r="577" spans="3:86" x14ac:dyDescent="0.25">
      <c r="C577" s="82">
        <v>11457</v>
      </c>
      <c r="D577" s="78">
        <v>6633</v>
      </c>
      <c r="E577" s="107" t="s">
        <v>121</v>
      </c>
      <c r="F577" s="69" t="s">
        <v>2435</v>
      </c>
      <c r="G577" s="69"/>
      <c r="H577" s="69">
        <v>14400</v>
      </c>
      <c r="U577" s="69"/>
      <c r="V577" s="69"/>
      <c r="AS577" s="94">
        <f t="shared" si="41"/>
        <v>14400</v>
      </c>
      <c r="AT577" s="69">
        <v>12853.45</v>
      </c>
      <c r="AU577" s="69">
        <v>1546.55</v>
      </c>
      <c r="BD577" s="69"/>
      <c r="BE577" s="69"/>
      <c r="CE577" s="94">
        <f t="shared" si="55"/>
        <v>14400</v>
      </c>
      <c r="CF577" s="73">
        <f t="shared" si="58"/>
        <v>0</v>
      </c>
      <c r="CG577" s="75">
        <f t="shared" si="57"/>
        <v>6633</v>
      </c>
      <c r="CH577" s="75" t="str">
        <f t="shared" si="57"/>
        <v>ماليزى اسنان</v>
      </c>
    </row>
    <row r="578" spans="3:86" x14ac:dyDescent="0.25">
      <c r="C578" s="82">
        <v>11458</v>
      </c>
      <c r="D578" s="78">
        <v>6634</v>
      </c>
      <c r="E578" s="107" t="s">
        <v>121</v>
      </c>
      <c r="F578" s="69" t="s">
        <v>2435</v>
      </c>
      <c r="G578" s="69"/>
      <c r="H578" s="69">
        <v>7200</v>
      </c>
      <c r="U578" s="69"/>
      <c r="V578" s="69"/>
      <c r="AS578" s="94">
        <f t="shared" si="41"/>
        <v>7200</v>
      </c>
      <c r="AT578" s="69">
        <v>6426.7</v>
      </c>
      <c r="AU578" s="69">
        <v>773.3</v>
      </c>
      <c r="BD578" s="69"/>
      <c r="BE578" s="69"/>
      <c r="CE578" s="94">
        <f t="shared" si="55"/>
        <v>7200</v>
      </c>
      <c r="CF578" s="73">
        <f t="shared" si="58"/>
        <v>0</v>
      </c>
      <c r="CG578" s="75">
        <f t="shared" si="57"/>
        <v>6634</v>
      </c>
      <c r="CH578" s="75" t="str">
        <f t="shared" si="57"/>
        <v>ماليزى اسنان</v>
      </c>
    </row>
    <row r="579" spans="3:86" x14ac:dyDescent="0.25">
      <c r="C579" s="82">
        <v>11438</v>
      </c>
      <c r="D579" s="78">
        <v>6635</v>
      </c>
      <c r="E579" s="107" t="s">
        <v>121</v>
      </c>
      <c r="F579" s="69" t="s">
        <v>2441</v>
      </c>
      <c r="G579" s="69"/>
      <c r="H579" s="69">
        <v>69000</v>
      </c>
      <c r="U579" s="69"/>
      <c r="V579" s="69"/>
      <c r="AS579" s="94">
        <f t="shared" si="41"/>
        <v>69000</v>
      </c>
      <c r="AT579" s="69">
        <v>61645</v>
      </c>
      <c r="AU579" s="69">
        <v>7355</v>
      </c>
      <c r="BD579" s="69"/>
      <c r="BE579" s="69"/>
      <c r="CE579" s="94">
        <f t="shared" ref="CE579:CE637" si="59">SUM(AT579:CD579)</f>
        <v>69000</v>
      </c>
      <c r="CF579" s="73">
        <f t="shared" si="58"/>
        <v>0</v>
      </c>
      <c r="CG579" s="75">
        <f t="shared" si="57"/>
        <v>6635</v>
      </c>
      <c r="CH579" s="75" t="str">
        <f t="shared" si="57"/>
        <v>ماليزى اسنان</v>
      </c>
    </row>
    <row r="580" spans="3:86" x14ac:dyDescent="0.25">
      <c r="C580" s="82">
        <v>11437</v>
      </c>
      <c r="D580" s="78">
        <v>6636</v>
      </c>
      <c r="E580" s="107" t="s">
        <v>121</v>
      </c>
      <c r="F580" s="69" t="s">
        <v>2441</v>
      </c>
      <c r="G580" s="69"/>
      <c r="H580" s="69">
        <v>10000</v>
      </c>
      <c r="U580" s="69"/>
      <c r="V580" s="69"/>
      <c r="AS580" s="94">
        <f t="shared" si="41"/>
        <v>10000</v>
      </c>
      <c r="AT580" s="69">
        <v>8920.4</v>
      </c>
      <c r="AU580" s="69">
        <v>1079.5999999999999</v>
      </c>
      <c r="BD580" s="69"/>
      <c r="BE580" s="69"/>
      <c r="CE580" s="94">
        <f t="shared" si="59"/>
        <v>10000</v>
      </c>
      <c r="CF580" s="73">
        <f t="shared" si="58"/>
        <v>0</v>
      </c>
      <c r="CG580" s="75">
        <f t="shared" si="57"/>
        <v>6636</v>
      </c>
      <c r="CH580" s="75" t="str">
        <f t="shared" si="57"/>
        <v>ماليزى اسنان</v>
      </c>
    </row>
    <row r="581" spans="3:86" x14ac:dyDescent="0.25">
      <c r="C581" s="82">
        <v>11434</v>
      </c>
      <c r="D581" s="78">
        <v>6637</v>
      </c>
      <c r="E581" s="107" t="s">
        <v>121</v>
      </c>
      <c r="F581" s="69" t="s">
        <v>2442</v>
      </c>
      <c r="G581" s="69"/>
      <c r="H581" s="69">
        <v>11905.27</v>
      </c>
      <c r="U581" s="69"/>
      <c r="V581" s="69"/>
      <c r="AS581" s="94">
        <f t="shared" si="41"/>
        <v>11905.27</v>
      </c>
      <c r="AT581" s="69">
        <v>9245.98</v>
      </c>
      <c r="AU581" s="69">
        <v>1176.75</v>
      </c>
      <c r="AV581" s="69">
        <v>1482.54</v>
      </c>
      <c r="BD581" s="69"/>
      <c r="BE581" s="69"/>
      <c r="CE581" s="94">
        <f t="shared" si="59"/>
        <v>11905.27</v>
      </c>
      <c r="CF581" s="73">
        <f t="shared" si="58"/>
        <v>0</v>
      </c>
      <c r="CG581" s="75">
        <f t="shared" si="57"/>
        <v>6637</v>
      </c>
      <c r="CH581" s="75" t="str">
        <f t="shared" si="57"/>
        <v>ماليزى اسنان</v>
      </c>
    </row>
    <row r="582" spans="3:86" x14ac:dyDescent="0.25">
      <c r="C582" s="82">
        <v>11432</v>
      </c>
      <c r="D582" s="78">
        <v>6638</v>
      </c>
      <c r="E582" s="107" t="s">
        <v>121</v>
      </c>
      <c r="F582" s="69" t="s">
        <v>2442</v>
      </c>
      <c r="G582" s="69"/>
      <c r="H582" s="69">
        <v>6000</v>
      </c>
      <c r="U582" s="69"/>
      <c r="V582" s="69"/>
      <c r="AS582" s="94">
        <f t="shared" si="41"/>
        <v>6000</v>
      </c>
      <c r="AT582" s="69">
        <v>5355.7</v>
      </c>
      <c r="AU582" s="69">
        <v>644.29999999999995</v>
      </c>
      <c r="BD582" s="69"/>
      <c r="BE582" s="69"/>
      <c r="CE582" s="94">
        <f t="shared" si="59"/>
        <v>6000</v>
      </c>
      <c r="CF582" s="73">
        <f t="shared" si="58"/>
        <v>0</v>
      </c>
      <c r="CG582" s="75">
        <f t="shared" si="57"/>
        <v>6638</v>
      </c>
      <c r="CH582" s="75" t="str">
        <f t="shared" si="57"/>
        <v>ماليزى اسنان</v>
      </c>
    </row>
    <row r="583" spans="3:86" x14ac:dyDescent="0.25">
      <c r="C583" s="82">
        <v>11433</v>
      </c>
      <c r="D583" s="78">
        <v>6639</v>
      </c>
      <c r="E583" s="107" t="s">
        <v>121</v>
      </c>
      <c r="F583" s="69" t="s">
        <v>2442</v>
      </c>
      <c r="G583" s="69"/>
      <c r="H583" s="69">
        <v>15517.5</v>
      </c>
      <c r="U583" s="69"/>
      <c r="V583" s="69"/>
      <c r="AS583" s="94">
        <f t="shared" si="41"/>
        <v>15517.5</v>
      </c>
      <c r="AT583" s="69">
        <v>13061.75</v>
      </c>
      <c r="AU583" s="69">
        <v>1608.25</v>
      </c>
      <c r="AV583" s="69">
        <v>847.5</v>
      </c>
      <c r="BD583" s="69"/>
      <c r="BE583" s="69"/>
      <c r="CE583" s="94">
        <f t="shared" si="59"/>
        <v>15517.5</v>
      </c>
      <c r="CF583" s="73">
        <f t="shared" si="58"/>
        <v>0</v>
      </c>
      <c r="CG583" s="75">
        <f t="shared" si="57"/>
        <v>6639</v>
      </c>
      <c r="CH583" s="75" t="str">
        <f t="shared" si="57"/>
        <v>ماليزى اسنان</v>
      </c>
    </row>
    <row r="584" spans="3:86" x14ac:dyDescent="0.25">
      <c r="C584" s="82">
        <v>11436</v>
      </c>
      <c r="D584" s="78">
        <v>6640</v>
      </c>
      <c r="E584" s="107" t="s">
        <v>121</v>
      </c>
      <c r="F584" s="69" t="s">
        <v>2443</v>
      </c>
      <c r="G584" s="69"/>
      <c r="H584" s="69">
        <v>27293.78</v>
      </c>
      <c r="U584" s="69"/>
      <c r="V584" s="69"/>
      <c r="AS584" s="94">
        <f t="shared" si="41"/>
        <v>27293.78</v>
      </c>
      <c r="AT584" s="69">
        <v>20857.12</v>
      </c>
      <c r="AU584" s="69">
        <v>2672</v>
      </c>
      <c r="AV584" s="69">
        <v>3764.66</v>
      </c>
      <c r="BD584" s="69"/>
      <c r="BE584" s="69"/>
      <c r="CE584" s="94">
        <f t="shared" si="59"/>
        <v>27293.78</v>
      </c>
      <c r="CF584" s="73">
        <f t="shared" si="58"/>
        <v>0</v>
      </c>
      <c r="CG584" s="75">
        <f t="shared" si="57"/>
        <v>6640</v>
      </c>
      <c r="CH584" s="75" t="str">
        <f t="shared" si="57"/>
        <v>ماليزى اسنان</v>
      </c>
    </row>
    <row r="585" spans="3:86" x14ac:dyDescent="0.25">
      <c r="C585" s="82">
        <v>11435</v>
      </c>
      <c r="D585" s="78">
        <v>6641</v>
      </c>
      <c r="E585" s="107" t="s">
        <v>121</v>
      </c>
      <c r="F585" s="69" t="s">
        <v>2444</v>
      </c>
      <c r="G585" s="69"/>
      <c r="H585" s="69">
        <v>23670.25</v>
      </c>
      <c r="U585" s="69"/>
      <c r="V585" s="69"/>
      <c r="AS585" s="94">
        <f t="shared" si="41"/>
        <v>23670.25</v>
      </c>
      <c r="AT585" s="69">
        <v>18673.41</v>
      </c>
      <c r="AU585" s="69">
        <v>2359.75</v>
      </c>
      <c r="AV585" s="69">
        <v>2637.09</v>
      </c>
      <c r="BD585" s="69"/>
      <c r="BE585" s="69"/>
      <c r="CE585" s="94">
        <f t="shared" si="59"/>
        <v>23670.25</v>
      </c>
      <c r="CF585" s="73">
        <f t="shared" si="58"/>
        <v>0</v>
      </c>
      <c r="CG585" s="75">
        <f t="shared" si="57"/>
        <v>6641</v>
      </c>
      <c r="CH585" s="75" t="str">
        <f t="shared" si="57"/>
        <v>ماليزى اسنان</v>
      </c>
    </row>
    <row r="586" spans="3:86" x14ac:dyDescent="0.25">
      <c r="C586" s="82">
        <v>11230</v>
      </c>
      <c r="D586" s="78">
        <v>6642</v>
      </c>
      <c r="E586" s="107" t="s">
        <v>121</v>
      </c>
      <c r="F586" s="69" t="s">
        <v>2445</v>
      </c>
      <c r="G586" s="69"/>
      <c r="H586" s="69">
        <v>2931.26</v>
      </c>
      <c r="U586" s="69"/>
      <c r="V586" s="69"/>
      <c r="AS586" s="94">
        <f t="shared" si="41"/>
        <v>2931.26</v>
      </c>
      <c r="AT586" s="69">
        <v>1959.3</v>
      </c>
      <c r="AU586" s="69">
        <v>265.7</v>
      </c>
      <c r="AV586" s="69">
        <v>706.26</v>
      </c>
      <c r="BD586" s="69"/>
      <c r="BE586" s="69"/>
      <c r="CE586" s="94">
        <f t="shared" si="59"/>
        <v>2931.26</v>
      </c>
      <c r="CF586" s="73">
        <f t="shared" si="58"/>
        <v>0</v>
      </c>
      <c r="CG586" s="75">
        <f t="shared" si="57"/>
        <v>6642</v>
      </c>
      <c r="CH586" s="75" t="str">
        <f t="shared" si="57"/>
        <v>ماليزى اسنان</v>
      </c>
    </row>
    <row r="587" spans="3:86" x14ac:dyDescent="0.25">
      <c r="C587" s="82">
        <v>11231</v>
      </c>
      <c r="D587" s="78">
        <v>6643</v>
      </c>
      <c r="E587" s="107" t="s">
        <v>121</v>
      </c>
      <c r="F587" s="69" t="s">
        <v>2446</v>
      </c>
      <c r="G587" s="69"/>
      <c r="H587" s="69">
        <v>879.38</v>
      </c>
      <c r="U587" s="69"/>
      <c r="V587" s="69"/>
      <c r="AS587" s="94">
        <f t="shared" si="41"/>
        <v>879.38</v>
      </c>
      <c r="AT587" s="69">
        <v>588.15</v>
      </c>
      <c r="AU587" s="69">
        <v>79.349999999999994</v>
      </c>
      <c r="AV587" s="69">
        <v>211.88</v>
      </c>
      <c r="BD587" s="69"/>
      <c r="BE587" s="69"/>
      <c r="CE587" s="94">
        <f t="shared" si="59"/>
        <v>879.38</v>
      </c>
      <c r="CF587" s="73">
        <f t="shared" si="58"/>
        <v>0</v>
      </c>
      <c r="CG587" s="75">
        <f t="shared" si="57"/>
        <v>6643</v>
      </c>
      <c r="CH587" s="75" t="str">
        <f t="shared" si="57"/>
        <v>ماليزى اسنان</v>
      </c>
    </row>
    <row r="588" spans="3:86" x14ac:dyDescent="0.25">
      <c r="C588" s="82">
        <v>11641</v>
      </c>
      <c r="D588" s="78">
        <v>6644</v>
      </c>
      <c r="E588" s="107" t="s">
        <v>121</v>
      </c>
      <c r="F588" s="69" t="s">
        <v>2447</v>
      </c>
      <c r="G588" s="69"/>
      <c r="H588" s="69">
        <v>2931.26</v>
      </c>
      <c r="U588" s="69"/>
      <c r="V588" s="69"/>
      <c r="AS588" s="94">
        <f t="shared" si="41"/>
        <v>2931.26</v>
      </c>
      <c r="AT588" s="69">
        <v>1960.4</v>
      </c>
      <c r="AU588" s="69">
        <v>264.60000000000002</v>
      </c>
      <c r="AV588" s="69">
        <v>706.26</v>
      </c>
      <c r="BD588" s="69"/>
      <c r="BE588" s="69"/>
      <c r="CE588" s="94">
        <f t="shared" si="59"/>
        <v>2931.26</v>
      </c>
      <c r="CF588" s="73">
        <f t="shared" si="58"/>
        <v>0</v>
      </c>
      <c r="CG588" s="75">
        <f t="shared" si="57"/>
        <v>6644</v>
      </c>
      <c r="CH588" s="75" t="str">
        <f t="shared" si="57"/>
        <v>ماليزى اسنان</v>
      </c>
    </row>
    <row r="589" spans="3:86" x14ac:dyDescent="0.25">
      <c r="C589" s="82">
        <v>12014</v>
      </c>
      <c r="D589" s="78">
        <v>6645</v>
      </c>
      <c r="E589" s="107" t="s">
        <v>121</v>
      </c>
      <c r="F589" s="69" t="s">
        <v>2448</v>
      </c>
      <c r="G589" s="69"/>
      <c r="H589" s="69">
        <v>12377.66</v>
      </c>
      <c r="U589" s="69"/>
      <c r="V589" s="69"/>
      <c r="AS589" s="94">
        <f t="shared" si="41"/>
        <v>12377.66</v>
      </c>
      <c r="AT589" s="69">
        <v>9023.9699999999993</v>
      </c>
      <c r="AU589" s="69">
        <v>1179.4000000000001</v>
      </c>
      <c r="AV589" s="69">
        <v>2174.29</v>
      </c>
      <c r="BD589" s="69"/>
      <c r="BE589" s="69"/>
      <c r="CE589" s="94">
        <f t="shared" si="59"/>
        <v>12377.66</v>
      </c>
      <c r="CF589" s="73">
        <f t="shared" si="58"/>
        <v>0</v>
      </c>
      <c r="CG589" s="75">
        <f t="shared" si="57"/>
        <v>6645</v>
      </c>
      <c r="CH589" s="75" t="str">
        <f t="shared" si="57"/>
        <v>ماليزى اسنان</v>
      </c>
    </row>
    <row r="590" spans="3:86" x14ac:dyDescent="0.25">
      <c r="C590" s="82">
        <v>12015</v>
      </c>
      <c r="D590" s="78">
        <v>6646</v>
      </c>
      <c r="E590" s="107" t="s">
        <v>121</v>
      </c>
      <c r="F590" s="69" t="s">
        <v>2449</v>
      </c>
      <c r="G590" s="69"/>
      <c r="H590" s="69">
        <v>36911.870000000003</v>
      </c>
      <c r="U590" s="69"/>
      <c r="V590" s="69"/>
      <c r="AS590" s="94">
        <f t="shared" si="41"/>
        <v>36911.870000000003</v>
      </c>
      <c r="AT590" s="69">
        <v>27289.56</v>
      </c>
      <c r="AU590" s="69">
        <v>3543.45</v>
      </c>
      <c r="AV590" s="69">
        <v>6078.86</v>
      </c>
      <c r="BD590" s="69"/>
      <c r="BE590" s="69"/>
      <c r="CE590" s="94">
        <f t="shared" si="59"/>
        <v>36911.870000000003</v>
      </c>
      <c r="CF590" s="73">
        <f t="shared" si="58"/>
        <v>0</v>
      </c>
      <c r="CG590" s="75">
        <f t="shared" si="57"/>
        <v>6646</v>
      </c>
      <c r="CH590" s="75" t="str">
        <f t="shared" si="57"/>
        <v>ماليزى اسنان</v>
      </c>
    </row>
    <row r="591" spans="3:86" x14ac:dyDescent="0.25">
      <c r="C591" s="82">
        <v>12013</v>
      </c>
      <c r="D591" s="78">
        <v>6647</v>
      </c>
      <c r="E591" s="107" t="s">
        <v>121</v>
      </c>
      <c r="F591" s="69" t="s">
        <v>2450</v>
      </c>
      <c r="G591" s="69"/>
      <c r="H591" s="69">
        <v>3000</v>
      </c>
      <c r="U591" s="69"/>
      <c r="V591" s="69"/>
      <c r="AS591" s="94">
        <f t="shared" si="41"/>
        <v>3000</v>
      </c>
      <c r="AT591" s="69">
        <v>2677.85</v>
      </c>
      <c r="AU591" s="69">
        <v>322.14999999999998</v>
      </c>
      <c r="BD591" s="69"/>
      <c r="BE591" s="69"/>
      <c r="CE591" s="94">
        <f t="shared" si="59"/>
        <v>3000</v>
      </c>
      <c r="CF591" s="73">
        <f t="shared" si="58"/>
        <v>0</v>
      </c>
      <c r="CG591" s="75">
        <f t="shared" si="57"/>
        <v>6647</v>
      </c>
      <c r="CH591" s="75" t="str">
        <f t="shared" si="57"/>
        <v>ماليزى اسنان</v>
      </c>
    </row>
    <row r="592" spans="3:86" x14ac:dyDescent="0.25">
      <c r="C592" s="82">
        <v>11771</v>
      </c>
      <c r="D592" s="78">
        <v>6648</v>
      </c>
      <c r="E592" s="107" t="s">
        <v>121</v>
      </c>
      <c r="F592" s="69" t="s">
        <v>2451</v>
      </c>
      <c r="G592" s="69"/>
      <c r="H592" s="69">
        <v>13967.89</v>
      </c>
      <c r="U592" s="69"/>
      <c r="V592" s="69"/>
      <c r="AS592" s="94">
        <f t="shared" si="41"/>
        <v>13967.89</v>
      </c>
      <c r="AT592" s="69">
        <v>11841.59</v>
      </c>
      <c r="AU592" s="69">
        <v>1458.3</v>
      </c>
      <c r="AV592" s="69">
        <v>668</v>
      </c>
      <c r="BD592" s="69"/>
      <c r="BE592" s="69"/>
      <c r="CE592" s="94">
        <f t="shared" si="59"/>
        <v>13967.89</v>
      </c>
      <c r="CF592" s="73">
        <f t="shared" si="58"/>
        <v>0</v>
      </c>
      <c r="CG592" s="75">
        <f t="shared" si="57"/>
        <v>6648</v>
      </c>
      <c r="CH592" s="75" t="str">
        <f t="shared" si="57"/>
        <v>ماليزى اسنان</v>
      </c>
    </row>
    <row r="593" spans="1:86" x14ac:dyDescent="0.25">
      <c r="C593" s="82">
        <v>11772</v>
      </c>
      <c r="D593" s="78">
        <v>6649</v>
      </c>
      <c r="E593" s="107" t="s">
        <v>121</v>
      </c>
      <c r="F593" s="69" t="s">
        <v>2451</v>
      </c>
      <c r="G593" s="69"/>
      <c r="H593" s="69">
        <v>6338.98</v>
      </c>
      <c r="U593" s="69"/>
      <c r="V593" s="69"/>
      <c r="AS593" s="94">
        <f t="shared" si="41"/>
        <v>6338.98</v>
      </c>
      <c r="AT593" s="69">
        <v>4732.51</v>
      </c>
      <c r="AU593" s="69">
        <v>614.79999999999995</v>
      </c>
      <c r="AV593" s="69">
        <v>991.67</v>
      </c>
      <c r="BD593" s="69"/>
      <c r="BE593" s="69"/>
      <c r="CE593" s="94">
        <f t="shared" si="59"/>
        <v>6338.9800000000005</v>
      </c>
      <c r="CF593" s="73">
        <f t="shared" si="58"/>
        <v>0</v>
      </c>
      <c r="CG593" s="75">
        <f t="shared" si="57"/>
        <v>6649</v>
      </c>
      <c r="CH593" s="75" t="str">
        <f t="shared" si="57"/>
        <v>ماليزى اسنان</v>
      </c>
    </row>
    <row r="594" spans="1:86" x14ac:dyDescent="0.25">
      <c r="C594" s="82">
        <v>11774</v>
      </c>
      <c r="D594" s="78">
        <v>6650</v>
      </c>
      <c r="E594" s="107" t="s">
        <v>121</v>
      </c>
      <c r="F594" s="69" t="s">
        <v>2451</v>
      </c>
      <c r="G594" s="69"/>
      <c r="H594" s="69">
        <v>39186.9</v>
      </c>
      <c r="U594" s="69"/>
      <c r="V594" s="69"/>
      <c r="AS594" s="94">
        <f t="shared" si="41"/>
        <v>39186.9</v>
      </c>
      <c r="AT594" s="69">
        <v>34302.94</v>
      </c>
      <c r="AU594" s="69">
        <v>4135.7</v>
      </c>
      <c r="AV594" s="69">
        <v>748.26</v>
      </c>
      <c r="BD594" s="69"/>
      <c r="BE594" s="69"/>
      <c r="CE594" s="94">
        <f t="shared" si="59"/>
        <v>39186.9</v>
      </c>
      <c r="CF594" s="73">
        <f t="shared" si="58"/>
        <v>0</v>
      </c>
      <c r="CG594" s="75">
        <f t="shared" ref="CG594:CH650" si="60">+D594</f>
        <v>6650</v>
      </c>
      <c r="CH594" s="75" t="str">
        <f t="shared" si="60"/>
        <v>ماليزى اسنان</v>
      </c>
    </row>
    <row r="595" spans="1:86" x14ac:dyDescent="0.25">
      <c r="C595" s="82">
        <v>11773</v>
      </c>
      <c r="D595" s="78">
        <v>6651</v>
      </c>
      <c r="E595" s="107" t="s">
        <v>121</v>
      </c>
      <c r="F595" s="69" t="s">
        <v>2451</v>
      </c>
      <c r="G595" s="69"/>
      <c r="H595" s="69">
        <v>5468.4</v>
      </c>
      <c r="U595" s="69"/>
      <c r="V595" s="69"/>
      <c r="AS595" s="94">
        <f t="shared" si="41"/>
        <v>5468.4</v>
      </c>
      <c r="AT595" s="69">
        <v>4502.3500000000004</v>
      </c>
      <c r="AU595" s="69">
        <v>559.25</v>
      </c>
      <c r="AV595" s="69">
        <v>406.8</v>
      </c>
      <c r="BD595" s="69"/>
      <c r="BE595" s="69"/>
      <c r="CE595" s="94">
        <f t="shared" si="59"/>
        <v>5468.4000000000005</v>
      </c>
      <c r="CF595" s="73">
        <f t="shared" si="58"/>
        <v>0</v>
      </c>
      <c r="CG595" s="75">
        <f t="shared" si="60"/>
        <v>6651</v>
      </c>
      <c r="CH595" s="75" t="str">
        <f t="shared" si="60"/>
        <v>ماليزى اسنان</v>
      </c>
    </row>
    <row r="596" spans="1:86" x14ac:dyDescent="0.25">
      <c r="C596" s="82">
        <v>11775</v>
      </c>
      <c r="D596" s="78">
        <v>6652</v>
      </c>
      <c r="E596" s="107" t="s">
        <v>121</v>
      </c>
      <c r="F596" s="69" t="s">
        <v>2451</v>
      </c>
      <c r="G596" s="69"/>
      <c r="H596" s="69">
        <v>7050</v>
      </c>
      <c r="U596" s="69"/>
      <c r="V596" s="69"/>
      <c r="AS596" s="94">
        <f t="shared" si="41"/>
        <v>7050</v>
      </c>
      <c r="AT596" s="69">
        <v>6292.85</v>
      </c>
      <c r="AU596" s="69">
        <v>757.15</v>
      </c>
      <c r="BD596" s="69"/>
      <c r="BE596" s="69"/>
      <c r="CE596" s="94">
        <f t="shared" si="59"/>
        <v>7050</v>
      </c>
      <c r="CF596" s="73">
        <f t="shared" si="58"/>
        <v>0</v>
      </c>
      <c r="CG596" s="75">
        <f t="shared" si="60"/>
        <v>6652</v>
      </c>
      <c r="CH596" s="75" t="str">
        <f t="shared" si="60"/>
        <v>ماليزى اسنان</v>
      </c>
    </row>
    <row r="597" spans="1:86" x14ac:dyDescent="0.25">
      <c r="C597" s="82">
        <v>11776</v>
      </c>
      <c r="D597" s="78">
        <v>6653</v>
      </c>
      <c r="E597" s="107" t="s">
        <v>121</v>
      </c>
      <c r="F597" s="69" t="s">
        <v>2451</v>
      </c>
      <c r="G597" s="69"/>
      <c r="H597" s="69">
        <v>1816.65</v>
      </c>
      <c r="U597" s="69"/>
      <c r="V597" s="69"/>
      <c r="AS597" s="94">
        <f t="shared" si="41"/>
        <v>1816.65</v>
      </c>
      <c r="AT597" s="69">
        <v>1322.55</v>
      </c>
      <c r="AU597" s="69">
        <v>172.05</v>
      </c>
      <c r="AV597" s="69">
        <v>322.05</v>
      </c>
      <c r="BD597" s="69"/>
      <c r="BE597" s="69"/>
      <c r="CE597" s="94">
        <f t="shared" si="59"/>
        <v>1816.6499999999999</v>
      </c>
      <c r="CF597" s="73">
        <f t="shared" si="58"/>
        <v>0</v>
      </c>
      <c r="CG597" s="75">
        <f t="shared" si="60"/>
        <v>6653</v>
      </c>
      <c r="CH597" s="75" t="str">
        <f t="shared" si="60"/>
        <v>ماليزى اسنان</v>
      </c>
    </row>
    <row r="598" spans="1:86" x14ac:dyDescent="0.25">
      <c r="C598" s="82">
        <v>11664</v>
      </c>
      <c r="D598" s="78">
        <v>6654</v>
      </c>
      <c r="E598" s="107" t="s">
        <v>121</v>
      </c>
      <c r="F598" s="69" t="s">
        <v>2452</v>
      </c>
      <c r="G598" s="69"/>
      <c r="H598" s="69">
        <v>11970</v>
      </c>
      <c r="U598" s="69"/>
      <c r="V598" s="69"/>
      <c r="AS598" s="94">
        <f t="shared" si="41"/>
        <v>11970</v>
      </c>
      <c r="AT598" s="69">
        <v>10687.45</v>
      </c>
      <c r="AU598" s="69">
        <v>1282.55</v>
      </c>
      <c r="BD598" s="69"/>
      <c r="BE598" s="69"/>
      <c r="CE598" s="94">
        <f t="shared" si="59"/>
        <v>11970</v>
      </c>
      <c r="CF598" s="73">
        <f t="shared" si="58"/>
        <v>0</v>
      </c>
      <c r="CG598" s="75">
        <f t="shared" si="60"/>
        <v>6654</v>
      </c>
      <c r="CH598" s="75" t="str">
        <f t="shared" si="60"/>
        <v>ماليزى اسنان</v>
      </c>
    </row>
    <row r="599" spans="1:86" x14ac:dyDescent="0.25">
      <c r="A599" s="69">
        <v>1</v>
      </c>
      <c r="B599" s="69" t="s">
        <v>2453</v>
      </c>
      <c r="C599" s="82">
        <v>5383</v>
      </c>
      <c r="D599" s="78">
        <v>6655</v>
      </c>
      <c r="E599" s="107" t="s">
        <v>78</v>
      </c>
      <c r="F599" s="69" t="s">
        <v>2454</v>
      </c>
      <c r="G599" s="69" t="s">
        <v>220</v>
      </c>
      <c r="H599" s="69">
        <v>5262.03</v>
      </c>
      <c r="U599" s="69"/>
      <c r="V599" s="69"/>
      <c r="AS599" s="94">
        <f t="shared" si="41"/>
        <v>5262.03</v>
      </c>
      <c r="AT599" s="69">
        <v>3876.66</v>
      </c>
      <c r="AU599" s="69">
        <f>21.43+29.6</f>
        <v>51.03</v>
      </c>
      <c r="AV599" s="69">
        <f>1088.5+179.6</f>
        <v>1268.0999999999999</v>
      </c>
      <c r="AW599" s="69">
        <f>64+2.24</f>
        <v>66.239999999999995</v>
      </c>
      <c r="BD599" s="69"/>
      <c r="BE599" s="69"/>
      <c r="CE599" s="94">
        <f t="shared" ref="CE599:CE614" si="61">SUM(AT599:CD599)</f>
        <v>5262.03</v>
      </c>
      <c r="CF599" s="73">
        <f t="shared" si="58"/>
        <v>0</v>
      </c>
      <c r="CG599" s="75">
        <f t="shared" si="60"/>
        <v>6655</v>
      </c>
      <c r="CH599" s="75" t="str">
        <f t="shared" si="60"/>
        <v>برنامج دولى</v>
      </c>
    </row>
    <row r="600" spans="1:86" x14ac:dyDescent="0.25">
      <c r="A600" s="69">
        <v>2</v>
      </c>
      <c r="B600" s="69" t="s">
        <v>2453</v>
      </c>
      <c r="C600" s="82">
        <v>5384</v>
      </c>
      <c r="D600" s="78">
        <v>6655</v>
      </c>
      <c r="E600" s="107" t="s">
        <v>78</v>
      </c>
      <c r="F600" s="69" t="s">
        <v>2454</v>
      </c>
      <c r="G600" s="69" t="s">
        <v>220</v>
      </c>
      <c r="H600" s="69">
        <v>5223.3999999999996</v>
      </c>
      <c r="U600" s="69"/>
      <c r="V600" s="69"/>
      <c r="AS600" s="94">
        <f t="shared" si="41"/>
        <v>5223.3999999999996</v>
      </c>
      <c r="AT600" s="69">
        <v>3929.87</v>
      </c>
      <c r="AU600" s="69">
        <v>29.4</v>
      </c>
      <c r="AV600" s="69">
        <f>1080.6+178.3</f>
        <v>1258.8999999999999</v>
      </c>
      <c r="AW600" s="69">
        <f>3+2.23</f>
        <v>5.23</v>
      </c>
      <c r="BD600" s="69"/>
      <c r="BE600" s="69"/>
      <c r="CE600" s="94">
        <f t="shared" si="61"/>
        <v>5223.3999999999996</v>
      </c>
      <c r="CF600" s="73">
        <f t="shared" si="58"/>
        <v>0</v>
      </c>
      <c r="CG600" s="75">
        <f t="shared" si="60"/>
        <v>6655</v>
      </c>
      <c r="CH600" s="75" t="str">
        <f t="shared" si="60"/>
        <v>برنامج دولى</v>
      </c>
    </row>
    <row r="601" spans="1:86" x14ac:dyDescent="0.25">
      <c r="A601" s="69">
        <v>3</v>
      </c>
      <c r="B601" s="69" t="s">
        <v>2453</v>
      </c>
      <c r="C601" s="82">
        <v>5159</v>
      </c>
      <c r="D601" s="78">
        <v>6655</v>
      </c>
      <c r="E601" s="107" t="s">
        <v>132</v>
      </c>
      <c r="F601" s="69" t="s">
        <v>2454</v>
      </c>
      <c r="G601" s="69" t="s">
        <v>220</v>
      </c>
      <c r="H601" s="69">
        <v>5058.55</v>
      </c>
      <c r="U601" s="69"/>
      <c r="V601" s="69"/>
      <c r="AS601" s="94">
        <f t="shared" si="41"/>
        <v>5058.55</v>
      </c>
      <c r="AT601" s="69">
        <v>3674.84</v>
      </c>
      <c r="AU601" s="69">
        <v>27.45</v>
      </c>
      <c r="AV601" s="69">
        <f>1046.4+172.7</f>
        <v>1219.1000000000001</v>
      </c>
      <c r="AW601" s="69">
        <f>135+2.16</f>
        <v>137.16</v>
      </c>
      <c r="BD601" s="69"/>
      <c r="BE601" s="69"/>
      <c r="CE601" s="94">
        <f t="shared" si="61"/>
        <v>5058.55</v>
      </c>
      <c r="CF601" s="73">
        <f t="shared" si="58"/>
        <v>0</v>
      </c>
      <c r="CG601" s="75">
        <f t="shared" si="60"/>
        <v>6655</v>
      </c>
      <c r="CH601" s="75" t="str">
        <f t="shared" si="60"/>
        <v>صيدلة اكلينيكى</v>
      </c>
    </row>
    <row r="602" spans="1:86" x14ac:dyDescent="0.25">
      <c r="A602" s="69">
        <v>4</v>
      </c>
      <c r="B602" s="69" t="s">
        <v>2453</v>
      </c>
      <c r="C602" s="82">
        <v>5160</v>
      </c>
      <c r="D602" s="78">
        <v>6656</v>
      </c>
      <c r="E602" s="107" t="s">
        <v>132</v>
      </c>
      <c r="F602" s="69" t="s">
        <v>2454</v>
      </c>
      <c r="G602" s="69" t="s">
        <v>220</v>
      </c>
      <c r="H602" s="69">
        <v>4828.78</v>
      </c>
      <c r="U602" s="69"/>
      <c r="V602" s="69"/>
      <c r="AS602" s="94">
        <f t="shared" si="41"/>
        <v>4828.78</v>
      </c>
      <c r="AT602" s="69">
        <v>3287.97</v>
      </c>
      <c r="AU602" s="69">
        <v>27.15</v>
      </c>
      <c r="AV602" s="69">
        <f>998.8+164.8</f>
        <v>1163.5999999999999</v>
      </c>
      <c r="AW602" s="69">
        <f>348+2.06</f>
        <v>350.06</v>
      </c>
      <c r="BD602" s="69"/>
      <c r="BE602" s="69"/>
      <c r="CE602" s="94">
        <f t="shared" si="61"/>
        <v>4828.78</v>
      </c>
      <c r="CF602" s="73">
        <f t="shared" si="58"/>
        <v>0</v>
      </c>
      <c r="CG602" s="75">
        <f t="shared" si="60"/>
        <v>6656</v>
      </c>
      <c r="CH602" s="75" t="str">
        <f t="shared" si="60"/>
        <v>صيدلة اكلينيكى</v>
      </c>
    </row>
    <row r="603" spans="1:86" x14ac:dyDescent="0.25">
      <c r="A603" s="69">
        <v>5</v>
      </c>
      <c r="B603" s="69" t="s">
        <v>2453</v>
      </c>
      <c r="C603" s="82">
        <v>5388</v>
      </c>
      <c r="D603" s="78">
        <v>6657</v>
      </c>
      <c r="E603" s="107" t="s">
        <v>78</v>
      </c>
      <c r="F603" s="69" t="s">
        <v>2454</v>
      </c>
      <c r="G603" s="69" t="s">
        <v>220</v>
      </c>
      <c r="H603" s="69">
        <v>5244.75</v>
      </c>
      <c r="U603" s="69"/>
      <c r="V603" s="69"/>
      <c r="AS603" s="94">
        <f t="shared" si="41"/>
        <v>5244.75</v>
      </c>
      <c r="AT603" s="69">
        <v>3925.88</v>
      </c>
      <c r="AU603" s="69">
        <f>20.13+29.5</f>
        <v>49.629999999999995</v>
      </c>
      <c r="AV603" s="69">
        <f>1085+179</f>
        <v>1264</v>
      </c>
      <c r="AW603" s="69">
        <f>3+2.24</f>
        <v>5.24</v>
      </c>
      <c r="BD603" s="69"/>
      <c r="BE603" s="69"/>
      <c r="CE603" s="94">
        <f t="shared" si="61"/>
        <v>5244.75</v>
      </c>
      <c r="CF603" s="73">
        <f t="shared" si="58"/>
        <v>0</v>
      </c>
      <c r="CG603" s="75">
        <f t="shared" si="60"/>
        <v>6657</v>
      </c>
      <c r="CH603" s="75" t="str">
        <f t="shared" si="60"/>
        <v>برنامج دولى</v>
      </c>
    </row>
    <row r="604" spans="1:86" x14ac:dyDescent="0.25">
      <c r="A604" s="69">
        <v>6</v>
      </c>
      <c r="B604" s="69" t="s">
        <v>2453</v>
      </c>
      <c r="C604" s="82">
        <v>5394</v>
      </c>
      <c r="D604" s="78">
        <v>6658</v>
      </c>
      <c r="E604" s="107" t="s">
        <v>78</v>
      </c>
      <c r="F604" s="69" t="s">
        <v>2454</v>
      </c>
      <c r="G604" s="69" t="s">
        <v>220</v>
      </c>
      <c r="H604" s="69">
        <v>5262.03</v>
      </c>
      <c r="U604" s="69"/>
      <c r="V604" s="69"/>
      <c r="AS604" s="94">
        <f t="shared" si="41"/>
        <v>5262.03</v>
      </c>
      <c r="AT604" s="69">
        <v>3917.09</v>
      </c>
      <c r="AU604" s="69">
        <f>19.15+29.45</f>
        <v>48.599999999999994</v>
      </c>
      <c r="AV604" s="69">
        <f>1088.5+179.6+23</f>
        <v>1291.0999999999999</v>
      </c>
      <c r="AW604" s="69">
        <f>3+2.24</f>
        <v>5.24</v>
      </c>
      <c r="BD604" s="69"/>
      <c r="BE604" s="69"/>
      <c r="CE604" s="94">
        <f t="shared" si="61"/>
        <v>5262.03</v>
      </c>
      <c r="CF604" s="73">
        <f t="shared" si="58"/>
        <v>0</v>
      </c>
      <c r="CG604" s="75">
        <f t="shared" si="60"/>
        <v>6658</v>
      </c>
      <c r="CH604" s="75" t="str">
        <f t="shared" si="60"/>
        <v>برنامج دولى</v>
      </c>
    </row>
    <row r="605" spans="1:86" x14ac:dyDescent="0.25">
      <c r="A605" s="69">
        <v>7</v>
      </c>
      <c r="B605" s="69" t="s">
        <v>2453</v>
      </c>
      <c r="C605" s="82">
        <v>5329</v>
      </c>
      <c r="D605" s="78">
        <v>6659</v>
      </c>
      <c r="E605" s="107" t="s">
        <v>121</v>
      </c>
      <c r="F605" s="69" t="s">
        <v>2454</v>
      </c>
      <c r="G605" s="69" t="s">
        <v>220</v>
      </c>
      <c r="H605" s="69">
        <v>4979.95</v>
      </c>
      <c r="U605" s="69"/>
      <c r="V605" s="69"/>
      <c r="AS605" s="94">
        <f t="shared" si="41"/>
        <v>4979.95</v>
      </c>
      <c r="AT605" s="69">
        <v>3746.45</v>
      </c>
      <c r="AU605" s="69">
        <f>0.18+28</f>
        <v>28.18</v>
      </c>
      <c r="AV605" s="69">
        <f>1030.2+170</f>
        <v>1200.2</v>
      </c>
      <c r="AW605" s="69">
        <f>3+2.12</f>
        <v>5.12</v>
      </c>
      <c r="BD605" s="69"/>
      <c r="BE605" s="69"/>
      <c r="CE605" s="94">
        <f t="shared" si="61"/>
        <v>4979.95</v>
      </c>
      <c r="CF605" s="73">
        <f t="shared" si="58"/>
        <v>0</v>
      </c>
      <c r="CG605" s="75">
        <f t="shared" si="60"/>
        <v>6659</v>
      </c>
      <c r="CH605" s="75" t="str">
        <f t="shared" si="60"/>
        <v>ماليزى اسنان</v>
      </c>
    </row>
    <row r="606" spans="1:86" x14ac:dyDescent="0.25">
      <c r="A606" s="69">
        <v>8</v>
      </c>
      <c r="B606" s="69" t="s">
        <v>2453</v>
      </c>
      <c r="C606" s="82">
        <v>5392</v>
      </c>
      <c r="D606" s="78">
        <v>6659</v>
      </c>
      <c r="E606" s="107" t="s">
        <v>78</v>
      </c>
      <c r="F606" s="69" t="s">
        <v>2454</v>
      </c>
      <c r="G606" s="69" t="s">
        <v>220</v>
      </c>
      <c r="H606" s="69">
        <v>5262.03</v>
      </c>
      <c r="U606" s="69"/>
      <c r="V606" s="69"/>
      <c r="AS606" s="94">
        <f t="shared" si="41"/>
        <v>5262.03</v>
      </c>
      <c r="AT606" s="69">
        <v>3365.54</v>
      </c>
      <c r="AU606" s="69">
        <v>25.1</v>
      </c>
      <c r="AV606" s="69">
        <f>1088.5+179.6</f>
        <v>1268.0999999999999</v>
      </c>
      <c r="AW606" s="69">
        <f>3+1.94</f>
        <v>4.9399999999999995</v>
      </c>
      <c r="AX606" s="69">
        <v>598.35</v>
      </c>
      <c r="BD606" s="69"/>
      <c r="BE606" s="69"/>
      <c r="CE606" s="94">
        <f t="shared" si="61"/>
        <v>5262.03</v>
      </c>
      <c r="CF606" s="73">
        <f t="shared" si="58"/>
        <v>0</v>
      </c>
      <c r="CG606" s="75">
        <f t="shared" si="60"/>
        <v>6659</v>
      </c>
      <c r="CH606" s="75" t="str">
        <f t="shared" si="60"/>
        <v>برنامج دولى</v>
      </c>
    </row>
    <row r="607" spans="1:86" x14ac:dyDescent="0.25">
      <c r="A607" s="69">
        <v>9</v>
      </c>
      <c r="B607" s="69" t="s">
        <v>2453</v>
      </c>
      <c r="C607" s="82">
        <v>5393</v>
      </c>
      <c r="D607" s="78">
        <v>6659</v>
      </c>
      <c r="E607" s="107" t="s">
        <v>78</v>
      </c>
      <c r="F607" s="69" t="s">
        <v>2454</v>
      </c>
      <c r="G607" s="69" t="s">
        <v>220</v>
      </c>
      <c r="H607" s="69">
        <v>5262.03</v>
      </c>
      <c r="U607" s="69"/>
      <c r="V607" s="69"/>
      <c r="AS607" s="94">
        <f t="shared" si="41"/>
        <v>5262.03</v>
      </c>
      <c r="AT607" s="69">
        <v>3922.66</v>
      </c>
      <c r="AU607" s="69">
        <f>21.43+29.6</f>
        <v>51.03</v>
      </c>
      <c r="AV607" s="69">
        <f>1088.5+179.6</f>
        <v>1268.0999999999999</v>
      </c>
      <c r="AW607" s="69">
        <f>18+2.24</f>
        <v>20.240000000000002</v>
      </c>
      <c r="BD607" s="69"/>
      <c r="BE607" s="69"/>
      <c r="CE607" s="94">
        <f t="shared" si="61"/>
        <v>5262.03</v>
      </c>
      <c r="CF607" s="73">
        <f t="shared" si="58"/>
        <v>0</v>
      </c>
      <c r="CG607" s="75">
        <f t="shared" si="60"/>
        <v>6659</v>
      </c>
      <c r="CH607" s="75" t="str">
        <f t="shared" si="60"/>
        <v>برنامج دولى</v>
      </c>
    </row>
    <row r="608" spans="1:86" x14ac:dyDescent="0.25">
      <c r="A608" s="69">
        <v>10</v>
      </c>
      <c r="B608" s="69" t="s">
        <v>2453</v>
      </c>
      <c r="C608" s="82">
        <v>5395</v>
      </c>
      <c r="D608" s="78">
        <v>6659</v>
      </c>
      <c r="E608" s="107" t="s">
        <v>78</v>
      </c>
      <c r="F608" s="69" t="s">
        <v>2454</v>
      </c>
      <c r="G608" s="69" t="s">
        <v>220</v>
      </c>
      <c r="H608" s="69">
        <v>5262.03</v>
      </c>
      <c r="U608" s="69"/>
      <c r="V608" s="69"/>
      <c r="AS608" s="94">
        <f t="shared" si="41"/>
        <v>5262.03</v>
      </c>
      <c r="AT608" s="69">
        <v>2292.66</v>
      </c>
      <c r="AU608" s="69">
        <f>21.43+29.6</f>
        <v>51.03</v>
      </c>
      <c r="AV608" s="69">
        <f>1088.5+179.6</f>
        <v>1268.0999999999999</v>
      </c>
      <c r="AW608" s="69">
        <f>848+800+2.24</f>
        <v>1650.24</v>
      </c>
      <c r="BD608" s="69"/>
      <c r="BE608" s="69"/>
      <c r="CE608" s="94">
        <f t="shared" si="61"/>
        <v>5262.03</v>
      </c>
      <c r="CF608" s="73">
        <f t="shared" si="58"/>
        <v>0</v>
      </c>
      <c r="CG608" s="75">
        <f t="shared" si="60"/>
        <v>6659</v>
      </c>
      <c r="CH608" s="75" t="str">
        <f t="shared" si="60"/>
        <v>برنامج دولى</v>
      </c>
    </row>
    <row r="609" spans="1:86" x14ac:dyDescent="0.25">
      <c r="A609" s="69">
        <v>11</v>
      </c>
      <c r="B609" s="69" t="s">
        <v>2453</v>
      </c>
      <c r="C609" s="82">
        <v>5406</v>
      </c>
      <c r="D609" s="78">
        <v>6660</v>
      </c>
      <c r="E609" s="107" t="s">
        <v>78</v>
      </c>
      <c r="F609" s="69" t="s">
        <v>2454</v>
      </c>
      <c r="G609" s="69" t="s">
        <v>220</v>
      </c>
      <c r="H609" s="69">
        <v>5262.03</v>
      </c>
      <c r="U609" s="69"/>
      <c r="V609" s="69"/>
      <c r="AS609" s="94">
        <f t="shared" ref="AS609:AS614" si="62">SUM(H609:AR609)</f>
        <v>5262.03</v>
      </c>
      <c r="AT609" s="69">
        <v>3937.66</v>
      </c>
      <c r="AU609" s="69">
        <f>21.43+29.6</f>
        <v>51.03</v>
      </c>
      <c r="AV609" s="69">
        <f>1088.5+179.6</f>
        <v>1268.0999999999999</v>
      </c>
      <c r="AW609" s="69">
        <f>3+2.24</f>
        <v>5.24</v>
      </c>
      <c r="BD609" s="69"/>
      <c r="BE609" s="69"/>
      <c r="CE609" s="94">
        <f t="shared" si="61"/>
        <v>5262.03</v>
      </c>
      <c r="CF609" s="73">
        <f t="shared" si="58"/>
        <v>0</v>
      </c>
      <c r="CG609" s="75">
        <f t="shared" si="60"/>
        <v>6660</v>
      </c>
      <c r="CH609" s="75" t="str">
        <f t="shared" si="60"/>
        <v>برنامج دولى</v>
      </c>
    </row>
    <row r="610" spans="1:86" x14ac:dyDescent="0.25">
      <c r="A610" s="69">
        <v>12</v>
      </c>
      <c r="B610" s="69" t="s">
        <v>2453</v>
      </c>
      <c r="C610" s="82">
        <v>5407</v>
      </c>
      <c r="D610" s="78">
        <v>6661</v>
      </c>
      <c r="E610" s="107" t="s">
        <v>78</v>
      </c>
      <c r="F610" s="69" t="s">
        <v>2454</v>
      </c>
      <c r="G610" s="69" t="s">
        <v>220</v>
      </c>
      <c r="H610" s="69">
        <v>5551.55</v>
      </c>
      <c r="U610" s="69"/>
      <c r="V610" s="69"/>
      <c r="AS610" s="94">
        <f t="shared" si="62"/>
        <v>5551.55</v>
      </c>
      <c r="AT610" s="69">
        <v>4133.7</v>
      </c>
      <c r="AU610" s="69">
        <f>43.23+31.25</f>
        <v>74.47999999999999</v>
      </c>
      <c r="AV610" s="69">
        <f>1148.5+189.5</f>
        <v>1338</v>
      </c>
      <c r="AW610" s="69">
        <f>3+2.37</f>
        <v>5.37</v>
      </c>
      <c r="BD610" s="69"/>
      <c r="BE610" s="69"/>
      <c r="CE610" s="94">
        <f t="shared" si="61"/>
        <v>5551.5499999999993</v>
      </c>
      <c r="CF610" s="73">
        <f t="shared" ref="CF610:CF673" si="63">+CE610-AS610</f>
        <v>0</v>
      </c>
      <c r="CG610" s="75">
        <f t="shared" si="60"/>
        <v>6661</v>
      </c>
      <c r="CH610" s="75" t="str">
        <f t="shared" si="60"/>
        <v>برنامج دولى</v>
      </c>
    </row>
    <row r="611" spans="1:86" x14ac:dyDescent="0.25">
      <c r="A611" s="69">
        <v>13</v>
      </c>
      <c r="B611" s="69" t="s">
        <v>2453</v>
      </c>
      <c r="C611" s="82">
        <v>5409</v>
      </c>
      <c r="D611" s="78">
        <v>6661</v>
      </c>
      <c r="E611" s="107" t="s">
        <v>78</v>
      </c>
      <c r="F611" s="69" t="s">
        <v>2454</v>
      </c>
      <c r="G611" s="69" t="s">
        <v>220</v>
      </c>
      <c r="H611" s="69">
        <v>5553.75</v>
      </c>
      <c r="U611" s="69"/>
      <c r="V611" s="69"/>
      <c r="AS611" s="94">
        <f t="shared" si="62"/>
        <v>5553.75</v>
      </c>
      <c r="AT611" s="69">
        <v>4120.41</v>
      </c>
      <c r="AU611" s="69">
        <f>43.42+31.25</f>
        <v>74.67</v>
      </c>
      <c r="AV611" s="69">
        <f>1148.8+189.5</f>
        <v>1338.3</v>
      </c>
      <c r="AW611" s="69">
        <f>18+2.37</f>
        <v>20.37</v>
      </c>
      <c r="BD611" s="69"/>
      <c r="BE611" s="69"/>
      <c r="CE611" s="94">
        <f t="shared" si="61"/>
        <v>5553.75</v>
      </c>
      <c r="CF611" s="73">
        <f t="shared" si="63"/>
        <v>0</v>
      </c>
      <c r="CG611" s="75">
        <f t="shared" si="60"/>
        <v>6661</v>
      </c>
      <c r="CH611" s="75" t="str">
        <f t="shared" si="60"/>
        <v>برنامج دولى</v>
      </c>
    </row>
    <row r="612" spans="1:86" x14ac:dyDescent="0.25">
      <c r="A612" s="69">
        <v>14</v>
      </c>
      <c r="B612" s="69" t="s">
        <v>2453</v>
      </c>
      <c r="C612" s="82">
        <v>5408</v>
      </c>
      <c r="D612" s="78">
        <v>6662</v>
      </c>
      <c r="E612" s="107" t="s">
        <v>78</v>
      </c>
      <c r="F612" s="69" t="s">
        <v>2454</v>
      </c>
      <c r="G612" s="69" t="s">
        <v>220</v>
      </c>
      <c r="H612" s="69">
        <v>5551.55</v>
      </c>
      <c r="U612" s="69"/>
      <c r="V612" s="69"/>
      <c r="AS612" s="94">
        <f t="shared" si="62"/>
        <v>5551.55</v>
      </c>
      <c r="AT612" s="69">
        <v>3851.91</v>
      </c>
      <c r="AU612" s="69">
        <f>11.9+28.9</f>
        <v>40.799999999999997</v>
      </c>
      <c r="AV612" s="69">
        <f>1148.5+189.5</f>
        <v>1338</v>
      </c>
      <c r="AW612" s="69">
        <f>3+2.21</f>
        <v>5.21</v>
      </c>
      <c r="AX612" s="69">
        <v>315.63</v>
      </c>
      <c r="BD612" s="69"/>
      <c r="BE612" s="69"/>
      <c r="CE612" s="94">
        <f t="shared" si="61"/>
        <v>5551.55</v>
      </c>
      <c r="CF612" s="73">
        <f t="shared" si="63"/>
        <v>0</v>
      </c>
      <c r="CG612" s="75">
        <f t="shared" si="60"/>
        <v>6662</v>
      </c>
      <c r="CH612" s="75" t="str">
        <f t="shared" si="60"/>
        <v>برنامج دولى</v>
      </c>
    </row>
    <row r="613" spans="1:86" x14ac:dyDescent="0.25">
      <c r="A613" s="69">
        <v>15</v>
      </c>
      <c r="B613" s="69" t="s">
        <v>2453</v>
      </c>
      <c r="C613" s="82">
        <v>5163</v>
      </c>
      <c r="D613" s="78">
        <v>6662</v>
      </c>
      <c r="E613" s="107" t="s">
        <v>132</v>
      </c>
      <c r="F613" s="69" t="s">
        <v>2454</v>
      </c>
      <c r="G613" s="69" t="s">
        <v>220</v>
      </c>
      <c r="H613" s="69">
        <v>5056.25</v>
      </c>
      <c r="U613" s="69"/>
      <c r="V613" s="69"/>
      <c r="AS613" s="94">
        <f t="shared" si="62"/>
        <v>5056.25</v>
      </c>
      <c r="AT613" s="69">
        <v>3798.12</v>
      </c>
      <c r="AU613" s="69">
        <f>5.92+28.45</f>
        <v>34.369999999999997</v>
      </c>
      <c r="AV613" s="69">
        <f>1046+172.6</f>
        <v>1218.5999999999999</v>
      </c>
      <c r="AW613" s="69">
        <f>3+2.16</f>
        <v>5.16</v>
      </c>
      <c r="BD613" s="69"/>
      <c r="BE613" s="69"/>
      <c r="CE613" s="94">
        <f t="shared" si="61"/>
        <v>5056.25</v>
      </c>
      <c r="CF613" s="73">
        <f t="shared" si="63"/>
        <v>0</v>
      </c>
      <c r="CG613" s="75">
        <f t="shared" si="60"/>
        <v>6662</v>
      </c>
      <c r="CH613" s="75" t="str">
        <f t="shared" si="60"/>
        <v>صيدلة اكلينيكى</v>
      </c>
    </row>
    <row r="614" spans="1:86" x14ac:dyDescent="0.25">
      <c r="A614" s="69">
        <v>16</v>
      </c>
      <c r="B614" s="69" t="s">
        <v>2453</v>
      </c>
      <c r="C614" s="82">
        <v>5697</v>
      </c>
      <c r="D614" s="78">
        <v>6663</v>
      </c>
      <c r="E614" s="107" t="s">
        <v>78</v>
      </c>
      <c r="F614" s="69" t="s">
        <v>2455</v>
      </c>
      <c r="G614" s="69" t="s">
        <v>220</v>
      </c>
      <c r="H614" s="69">
        <v>1231.9000000000001</v>
      </c>
      <c r="U614" s="69"/>
      <c r="V614" s="69"/>
      <c r="AS614" s="94">
        <f t="shared" si="62"/>
        <v>1231.9000000000001</v>
      </c>
      <c r="AU614" s="69"/>
      <c r="AV614" s="69">
        <v>1231.9000000000001</v>
      </c>
      <c r="BD614" s="69"/>
      <c r="BE614" s="69"/>
      <c r="CE614" s="94">
        <f t="shared" si="61"/>
        <v>1231.9000000000001</v>
      </c>
      <c r="CF614" s="73">
        <f t="shared" si="63"/>
        <v>0</v>
      </c>
      <c r="CG614" s="75">
        <f t="shared" si="60"/>
        <v>6663</v>
      </c>
      <c r="CH614" s="75" t="str">
        <f t="shared" si="60"/>
        <v>برنامج دولى</v>
      </c>
    </row>
    <row r="615" spans="1:86" x14ac:dyDescent="0.25">
      <c r="C615" s="82">
        <v>12016</v>
      </c>
      <c r="D615" s="78">
        <v>6664</v>
      </c>
      <c r="E615" s="107" t="s">
        <v>121</v>
      </c>
      <c r="F615" s="69" t="str">
        <f>+F754</f>
        <v>مكافاه تدريس فرقه رابعه</v>
      </c>
      <c r="G615" s="69"/>
      <c r="H615" s="69">
        <v>48049.05</v>
      </c>
      <c r="U615" s="69"/>
      <c r="V615" s="69"/>
      <c r="AS615" s="94">
        <f t="shared" si="41"/>
        <v>48049.05</v>
      </c>
      <c r="AT615" s="69">
        <v>32227.1</v>
      </c>
      <c r="AU615" s="69">
        <f>4098+147.1</f>
        <v>4245.1000000000004</v>
      </c>
      <c r="AV615" s="69">
        <v>11576.85</v>
      </c>
      <c r="BD615" s="69"/>
      <c r="BE615" s="69"/>
      <c r="CE615" s="94">
        <f t="shared" si="59"/>
        <v>48049.049999999996</v>
      </c>
      <c r="CF615" s="73">
        <f t="shared" si="63"/>
        <v>0</v>
      </c>
      <c r="CG615" s="75">
        <f t="shared" si="60"/>
        <v>6664</v>
      </c>
      <c r="CH615" s="75" t="str">
        <f t="shared" si="60"/>
        <v>ماليزى اسنان</v>
      </c>
    </row>
    <row r="616" spans="1:86" x14ac:dyDescent="0.25">
      <c r="C616" s="82">
        <v>12018</v>
      </c>
      <c r="D616" s="78">
        <v>6665</v>
      </c>
      <c r="E616" s="107" t="s">
        <v>121</v>
      </c>
      <c r="F616" s="69" t="str">
        <f>+F615</f>
        <v>مكافاه تدريس فرقه رابعه</v>
      </c>
      <c r="G616" s="69"/>
      <c r="H616" s="69">
        <v>276097.69</v>
      </c>
      <c r="U616" s="69"/>
      <c r="V616" s="69"/>
      <c r="AS616" s="94">
        <f t="shared" si="41"/>
        <v>276097.69</v>
      </c>
      <c r="AT616" s="69">
        <v>237735.39</v>
      </c>
      <c r="AU616" s="69">
        <v>28376.25</v>
      </c>
      <c r="AV616" s="69">
        <v>9986.0499999999993</v>
      </c>
      <c r="BD616" s="69"/>
      <c r="BE616" s="69"/>
      <c r="CE616" s="94">
        <f t="shared" si="59"/>
        <v>276097.69</v>
      </c>
      <c r="CF616" s="73">
        <f t="shared" si="63"/>
        <v>0</v>
      </c>
      <c r="CG616" s="75">
        <f t="shared" si="60"/>
        <v>6665</v>
      </c>
      <c r="CH616" s="75" t="str">
        <f t="shared" si="60"/>
        <v>ماليزى اسنان</v>
      </c>
    </row>
    <row r="617" spans="1:86" x14ac:dyDescent="0.25">
      <c r="C617" s="82">
        <v>11998</v>
      </c>
      <c r="D617" s="78">
        <v>6666</v>
      </c>
      <c r="E617" s="107" t="s">
        <v>121</v>
      </c>
      <c r="F617" s="69" t="s">
        <v>2456</v>
      </c>
      <c r="G617" s="69"/>
      <c r="H617" s="69">
        <v>135286.88</v>
      </c>
      <c r="U617" s="69"/>
      <c r="V617" s="69"/>
      <c r="AS617" s="94">
        <f t="shared" si="41"/>
        <v>135286.88</v>
      </c>
      <c r="AT617" s="69">
        <v>111386.39</v>
      </c>
      <c r="AU617" s="69">
        <v>13850.25</v>
      </c>
      <c r="AV617" s="69">
        <v>10050.24</v>
      </c>
      <c r="BD617" s="69"/>
      <c r="BE617" s="69"/>
      <c r="CE617" s="94">
        <f t="shared" si="59"/>
        <v>135286.88</v>
      </c>
      <c r="CF617" s="73">
        <f t="shared" si="63"/>
        <v>0</v>
      </c>
      <c r="CG617" s="75">
        <f t="shared" si="60"/>
        <v>6666</v>
      </c>
      <c r="CH617" s="75" t="str">
        <f t="shared" si="60"/>
        <v>ماليزى اسنان</v>
      </c>
    </row>
    <row r="618" spans="1:86" x14ac:dyDescent="0.25">
      <c r="C618" s="82">
        <v>12001</v>
      </c>
      <c r="D618" s="78">
        <v>6667</v>
      </c>
      <c r="E618" s="107" t="s">
        <v>121</v>
      </c>
      <c r="F618" s="69" t="s">
        <v>2456</v>
      </c>
      <c r="G618" s="69"/>
      <c r="H618" s="69">
        <v>41820</v>
      </c>
      <c r="U618" s="69"/>
      <c r="V618" s="69"/>
      <c r="AS618" s="94">
        <f t="shared" si="41"/>
        <v>41820</v>
      </c>
      <c r="AT618" s="69">
        <v>37310.199999999997</v>
      </c>
      <c r="AU618" s="69">
        <v>4509.8</v>
      </c>
      <c r="BD618" s="69"/>
      <c r="BE618" s="69"/>
      <c r="CE618" s="94">
        <f t="shared" si="59"/>
        <v>41820</v>
      </c>
      <c r="CF618" s="73">
        <f t="shared" si="63"/>
        <v>0</v>
      </c>
      <c r="CG618" s="75">
        <f t="shared" si="60"/>
        <v>6667</v>
      </c>
      <c r="CH618" s="75" t="str">
        <f t="shared" si="60"/>
        <v>ماليزى اسنان</v>
      </c>
    </row>
    <row r="619" spans="1:86" x14ac:dyDescent="0.25">
      <c r="C619" s="82">
        <v>12000</v>
      </c>
      <c r="D619" s="78">
        <v>6668</v>
      </c>
      <c r="E619" s="107" t="s">
        <v>121</v>
      </c>
      <c r="F619" s="69" t="s">
        <v>2456</v>
      </c>
      <c r="G619" s="69"/>
      <c r="H619" s="69">
        <v>37838.51</v>
      </c>
      <c r="U619" s="69"/>
      <c r="V619" s="69"/>
      <c r="AS619" s="94">
        <f t="shared" si="41"/>
        <v>37838.51</v>
      </c>
      <c r="AT619" s="69">
        <v>27568.86</v>
      </c>
      <c r="AU619" s="69">
        <v>3623.1</v>
      </c>
      <c r="AV619" s="69">
        <v>6646.55</v>
      </c>
      <c r="BD619" s="69"/>
      <c r="BE619" s="69"/>
      <c r="CE619" s="94">
        <f t="shared" si="59"/>
        <v>37838.51</v>
      </c>
      <c r="CF619" s="73">
        <f t="shared" si="63"/>
        <v>0</v>
      </c>
      <c r="CG619" s="75">
        <f t="shared" si="60"/>
        <v>6668</v>
      </c>
      <c r="CH619" s="75" t="str">
        <f t="shared" si="60"/>
        <v>ماليزى اسنان</v>
      </c>
    </row>
    <row r="620" spans="1:86" x14ac:dyDescent="0.25">
      <c r="C620" s="82">
        <v>11999</v>
      </c>
      <c r="D620" s="78">
        <v>6669</v>
      </c>
      <c r="E620" s="107" t="s">
        <v>121</v>
      </c>
      <c r="F620" s="69" t="s">
        <v>2456</v>
      </c>
      <c r="G620" s="69"/>
      <c r="H620" s="69">
        <v>12600</v>
      </c>
      <c r="U620" s="69"/>
      <c r="V620" s="69"/>
      <c r="AS620" s="94">
        <f t="shared" si="41"/>
        <v>12600</v>
      </c>
      <c r="AT620" s="69">
        <v>11240</v>
      </c>
      <c r="AU620" s="69">
        <v>1360</v>
      </c>
      <c r="BD620" s="69"/>
      <c r="BE620" s="69"/>
      <c r="CE620" s="94">
        <f t="shared" si="59"/>
        <v>12600</v>
      </c>
      <c r="CF620" s="73">
        <f t="shared" si="63"/>
        <v>0</v>
      </c>
      <c r="CG620" s="75">
        <f t="shared" si="60"/>
        <v>6669</v>
      </c>
      <c r="CH620" s="75" t="str">
        <f t="shared" si="60"/>
        <v>ماليزى اسنان</v>
      </c>
    </row>
    <row r="621" spans="1:86" x14ac:dyDescent="0.25">
      <c r="C621" s="82">
        <v>11994</v>
      </c>
      <c r="D621" s="78">
        <v>6670</v>
      </c>
      <c r="E621" s="107" t="s">
        <v>121</v>
      </c>
      <c r="F621" s="69" t="s">
        <v>2456</v>
      </c>
      <c r="G621" s="69"/>
      <c r="H621" s="69">
        <v>215111.21</v>
      </c>
      <c r="U621" s="69"/>
      <c r="V621" s="69"/>
      <c r="AS621" s="94">
        <f t="shared" si="41"/>
        <v>215111.21</v>
      </c>
      <c r="AT621" s="69">
        <v>191447</v>
      </c>
      <c r="AU621" s="69">
        <v>22663.25</v>
      </c>
      <c r="AV621" s="69">
        <v>1000.96</v>
      </c>
      <c r="BD621" s="69"/>
      <c r="BE621" s="69"/>
      <c r="CE621" s="94">
        <f t="shared" si="59"/>
        <v>215111.21</v>
      </c>
      <c r="CF621" s="73">
        <f t="shared" si="63"/>
        <v>0</v>
      </c>
      <c r="CG621" s="75">
        <f t="shared" si="60"/>
        <v>6670</v>
      </c>
      <c r="CH621" s="75" t="str">
        <f t="shared" si="60"/>
        <v>ماليزى اسنان</v>
      </c>
    </row>
    <row r="622" spans="1:86" x14ac:dyDescent="0.25">
      <c r="C622" s="82">
        <v>11996</v>
      </c>
      <c r="D622" s="78">
        <v>6671</v>
      </c>
      <c r="E622" s="107" t="s">
        <v>121</v>
      </c>
      <c r="F622" s="69" t="str">
        <f>+F620</f>
        <v>مكافاه تدريس فرقه خامسه</v>
      </c>
      <c r="G622" s="69"/>
      <c r="H622" s="69">
        <v>15600</v>
      </c>
      <c r="U622" s="69"/>
      <c r="V622" s="69"/>
      <c r="AS622" s="94">
        <f t="shared" si="41"/>
        <v>15600</v>
      </c>
      <c r="AT622" s="69">
        <v>13943.6</v>
      </c>
      <c r="AU622" s="69">
        <v>1656.4</v>
      </c>
      <c r="BD622" s="69"/>
      <c r="BE622" s="69"/>
      <c r="CE622" s="94">
        <f t="shared" si="59"/>
        <v>15600</v>
      </c>
      <c r="CF622" s="73">
        <f t="shared" si="63"/>
        <v>0</v>
      </c>
      <c r="CG622" s="75">
        <f t="shared" si="60"/>
        <v>6671</v>
      </c>
      <c r="CH622" s="75" t="str">
        <f t="shared" si="60"/>
        <v>ماليزى اسنان</v>
      </c>
    </row>
    <row r="623" spans="1:86" x14ac:dyDescent="0.25">
      <c r="C623" s="82">
        <v>11992</v>
      </c>
      <c r="D623" s="78">
        <v>6672</v>
      </c>
      <c r="E623" s="107" t="s">
        <v>121</v>
      </c>
      <c r="F623" s="69" t="str">
        <f>+F621</f>
        <v>مكافاه تدريس فرقه خامسه</v>
      </c>
      <c r="G623" s="69"/>
      <c r="H623" s="69">
        <v>629182.87</v>
      </c>
      <c r="U623" s="69"/>
      <c r="V623" s="69"/>
      <c r="AS623" s="94">
        <f t="shared" si="41"/>
        <v>629182.87</v>
      </c>
      <c r="AT623" s="69">
        <v>557933.27</v>
      </c>
      <c r="AU623" s="69">
        <v>65955.199999999997</v>
      </c>
      <c r="AV623" s="69">
        <v>5294.4</v>
      </c>
      <c r="BD623" s="69"/>
      <c r="BE623" s="69"/>
      <c r="CE623" s="94">
        <f t="shared" si="59"/>
        <v>629182.87</v>
      </c>
      <c r="CF623" s="73">
        <f t="shared" si="63"/>
        <v>0</v>
      </c>
      <c r="CG623" s="75">
        <f t="shared" si="60"/>
        <v>6672</v>
      </c>
      <c r="CH623" s="75" t="str">
        <f t="shared" si="60"/>
        <v>ماليزى اسنان</v>
      </c>
    </row>
    <row r="624" spans="1:86" x14ac:dyDescent="0.25">
      <c r="C624" s="82">
        <v>11995</v>
      </c>
      <c r="D624" s="78">
        <v>6673</v>
      </c>
      <c r="E624" s="107" t="s">
        <v>121</v>
      </c>
      <c r="F624" s="69" t="str">
        <f>+F623</f>
        <v>مكافاه تدريس فرقه خامسه</v>
      </c>
      <c r="G624" s="69"/>
      <c r="H624" s="69">
        <v>8160</v>
      </c>
      <c r="U624" s="69"/>
      <c r="V624" s="69"/>
      <c r="AS624" s="94">
        <f t="shared" si="41"/>
        <v>8160</v>
      </c>
      <c r="AT624" s="69">
        <v>7285.1</v>
      </c>
      <c r="AU624" s="69">
        <v>874.9</v>
      </c>
      <c r="BD624" s="69"/>
      <c r="BE624" s="69"/>
      <c r="CE624" s="94">
        <f t="shared" si="59"/>
        <v>8160</v>
      </c>
      <c r="CF624" s="73">
        <f t="shared" si="63"/>
        <v>0</v>
      </c>
      <c r="CG624" s="75">
        <f t="shared" si="60"/>
        <v>6673</v>
      </c>
      <c r="CH624" s="75" t="str">
        <f t="shared" si="60"/>
        <v>ماليزى اسنان</v>
      </c>
    </row>
    <row r="625" spans="3:86" x14ac:dyDescent="0.25">
      <c r="C625" s="82">
        <v>11995</v>
      </c>
      <c r="D625" s="78">
        <v>6674</v>
      </c>
      <c r="E625" s="107" t="s">
        <v>121</v>
      </c>
      <c r="F625" s="69" t="str">
        <f>+F624</f>
        <v>مكافاه تدريس فرقه خامسه</v>
      </c>
      <c r="G625" s="69"/>
      <c r="H625" s="69">
        <v>104441.42</v>
      </c>
      <c r="U625" s="69"/>
      <c r="V625" s="69"/>
      <c r="AS625" s="94">
        <f t="shared" si="41"/>
        <v>104441.42</v>
      </c>
      <c r="AT625" s="69">
        <v>92416.53</v>
      </c>
      <c r="AU625" s="69">
        <v>10974.45</v>
      </c>
      <c r="AV625" s="69">
        <v>1050.44</v>
      </c>
      <c r="BD625" s="69"/>
      <c r="BE625" s="69"/>
      <c r="CE625" s="94">
        <f t="shared" si="59"/>
        <v>104441.42</v>
      </c>
      <c r="CF625" s="73">
        <f t="shared" si="63"/>
        <v>0</v>
      </c>
      <c r="CG625" s="75">
        <f t="shared" si="60"/>
        <v>6674</v>
      </c>
      <c r="CH625" s="75" t="str">
        <f t="shared" si="60"/>
        <v>ماليزى اسنان</v>
      </c>
    </row>
    <row r="626" spans="3:86" x14ac:dyDescent="0.25">
      <c r="C626" s="82">
        <v>11993</v>
      </c>
      <c r="D626" s="78">
        <v>6675</v>
      </c>
      <c r="E626" s="107" t="s">
        <v>121</v>
      </c>
      <c r="F626" s="69" t="str">
        <f>+F625</f>
        <v>مكافاه تدريس فرقه خامسه</v>
      </c>
      <c r="G626" s="69"/>
      <c r="H626" s="69">
        <v>16800</v>
      </c>
      <c r="U626" s="69"/>
      <c r="V626" s="69"/>
      <c r="AS626" s="94">
        <f t="shared" si="41"/>
        <v>16800</v>
      </c>
      <c r="AT626" s="69">
        <v>15020</v>
      </c>
      <c r="AU626" s="69">
        <v>1780</v>
      </c>
      <c r="BD626" s="69"/>
      <c r="BE626" s="69"/>
      <c r="CE626" s="94">
        <f t="shared" si="59"/>
        <v>16800</v>
      </c>
      <c r="CF626" s="73">
        <f t="shared" si="63"/>
        <v>0</v>
      </c>
      <c r="CG626" s="75">
        <f t="shared" si="60"/>
        <v>6675</v>
      </c>
      <c r="CH626" s="75" t="str">
        <f t="shared" si="60"/>
        <v>ماليزى اسنان</v>
      </c>
    </row>
    <row r="627" spans="3:86" x14ac:dyDescent="0.25">
      <c r="C627" s="82">
        <v>11997</v>
      </c>
      <c r="D627" s="78">
        <v>6676</v>
      </c>
      <c r="E627" s="107" t="s">
        <v>121</v>
      </c>
      <c r="F627" s="69" t="str">
        <f>+F622</f>
        <v>مكافاه تدريس فرقه خامسه</v>
      </c>
      <c r="G627" s="69"/>
      <c r="H627" s="69">
        <v>102240.52</v>
      </c>
      <c r="U627" s="69"/>
      <c r="V627" s="69"/>
      <c r="AS627" s="94">
        <f t="shared" si="41"/>
        <v>102240.52</v>
      </c>
      <c r="AT627" s="69">
        <v>82618.31</v>
      </c>
      <c r="AU627" s="69">
        <v>10384.85</v>
      </c>
      <c r="AV627" s="69">
        <v>9237.36</v>
      </c>
      <c r="BD627" s="69"/>
      <c r="BE627" s="69"/>
      <c r="CE627" s="94">
        <f t="shared" si="59"/>
        <v>102240.52</v>
      </c>
      <c r="CF627" s="73">
        <f t="shared" si="63"/>
        <v>0</v>
      </c>
      <c r="CG627" s="75">
        <f t="shared" si="60"/>
        <v>6676</v>
      </c>
      <c r="CH627" s="75" t="str">
        <f t="shared" si="60"/>
        <v>ماليزى اسنان</v>
      </c>
    </row>
    <row r="628" spans="3:86" x14ac:dyDescent="0.25">
      <c r="C628" s="82">
        <v>12005</v>
      </c>
      <c r="D628" s="78">
        <v>6677</v>
      </c>
      <c r="E628" s="107" t="s">
        <v>121</v>
      </c>
      <c r="F628" s="69" t="str">
        <f t="shared" ref="F628:F640" si="64">+F627</f>
        <v>مكافاه تدريس فرقه خامسه</v>
      </c>
      <c r="G628" s="69"/>
      <c r="H628" s="69">
        <v>9567.6</v>
      </c>
      <c r="U628" s="69"/>
      <c r="V628" s="69"/>
      <c r="AS628" s="94">
        <f t="shared" si="41"/>
        <v>9567.6</v>
      </c>
      <c r="AT628" s="69">
        <v>6392.6</v>
      </c>
      <c r="AU628" s="69">
        <v>869.8</v>
      </c>
      <c r="AV628" s="69">
        <v>2305.1999999999998</v>
      </c>
      <c r="BD628" s="69"/>
      <c r="BE628" s="69"/>
      <c r="CE628" s="94">
        <f t="shared" si="59"/>
        <v>9567.6</v>
      </c>
      <c r="CF628" s="73">
        <f t="shared" si="63"/>
        <v>0</v>
      </c>
      <c r="CG628" s="75">
        <f t="shared" si="60"/>
        <v>6677</v>
      </c>
      <c r="CH628" s="75" t="str">
        <f t="shared" si="60"/>
        <v>ماليزى اسنان</v>
      </c>
    </row>
    <row r="629" spans="3:86" x14ac:dyDescent="0.25">
      <c r="C629" s="82">
        <v>12006</v>
      </c>
      <c r="D629" s="78">
        <v>6678</v>
      </c>
      <c r="E629" s="107" t="s">
        <v>121</v>
      </c>
      <c r="F629" s="69" t="str">
        <f t="shared" si="64"/>
        <v>مكافاه تدريس فرقه خامسه</v>
      </c>
      <c r="G629" s="69"/>
      <c r="H629" s="69">
        <v>297114.98</v>
      </c>
      <c r="U629" s="69"/>
      <c r="V629" s="69"/>
      <c r="AS629" s="94">
        <f t="shared" si="41"/>
        <v>297114.98</v>
      </c>
      <c r="AT629" s="69">
        <v>254552.76</v>
      </c>
      <c r="AU629" s="69">
        <v>30877.4</v>
      </c>
      <c r="AV629" s="69">
        <v>11684.82</v>
      </c>
      <c r="BD629" s="69"/>
      <c r="BE629" s="69"/>
      <c r="CE629" s="94">
        <f t="shared" si="59"/>
        <v>297114.98000000004</v>
      </c>
      <c r="CF629" s="73">
        <f t="shared" si="63"/>
        <v>0</v>
      </c>
      <c r="CG629" s="75">
        <f t="shared" si="60"/>
        <v>6678</v>
      </c>
      <c r="CH629" s="75" t="str">
        <f t="shared" si="60"/>
        <v>ماليزى اسنان</v>
      </c>
    </row>
    <row r="630" spans="3:86" x14ac:dyDescent="0.25">
      <c r="C630" s="82">
        <v>12004</v>
      </c>
      <c r="D630" s="78">
        <v>6679</v>
      </c>
      <c r="E630" s="107" t="s">
        <v>121</v>
      </c>
      <c r="F630" s="69" t="str">
        <f t="shared" si="64"/>
        <v>مكافاه تدريس فرقه خامسه</v>
      </c>
      <c r="G630" s="69"/>
      <c r="H630" s="69">
        <v>10800</v>
      </c>
      <c r="U630" s="69"/>
      <c r="V630" s="69"/>
      <c r="AS630" s="94">
        <f t="shared" si="41"/>
        <v>10800</v>
      </c>
      <c r="AT630" s="69">
        <v>9638</v>
      </c>
      <c r="AU630" s="69">
        <v>1162</v>
      </c>
      <c r="BD630" s="69"/>
      <c r="BE630" s="69"/>
      <c r="CE630" s="94">
        <f t="shared" si="59"/>
        <v>10800</v>
      </c>
      <c r="CF630" s="73">
        <f t="shared" si="63"/>
        <v>0</v>
      </c>
      <c r="CG630" s="75">
        <f t="shared" si="60"/>
        <v>6679</v>
      </c>
      <c r="CH630" s="75" t="str">
        <f t="shared" si="60"/>
        <v>ماليزى اسنان</v>
      </c>
    </row>
    <row r="631" spans="3:86" x14ac:dyDescent="0.25">
      <c r="C631" s="82">
        <v>12002</v>
      </c>
      <c r="D631" s="78">
        <v>6680</v>
      </c>
      <c r="E631" s="107" t="s">
        <v>121</v>
      </c>
      <c r="F631" s="69" t="str">
        <f t="shared" si="64"/>
        <v>مكافاه تدريس فرقه خامسه</v>
      </c>
      <c r="G631" s="69"/>
      <c r="H631" s="69">
        <v>4412.91</v>
      </c>
      <c r="U631" s="69"/>
      <c r="V631" s="69"/>
      <c r="AS631" s="94">
        <f t="shared" si="41"/>
        <v>4412.91</v>
      </c>
      <c r="AT631" s="69">
        <v>3797.15</v>
      </c>
      <c r="AU631" s="69">
        <v>463.6</v>
      </c>
      <c r="AV631" s="69">
        <v>152.16</v>
      </c>
      <c r="BD631" s="69"/>
      <c r="BE631" s="69"/>
      <c r="CE631" s="94">
        <f t="shared" si="59"/>
        <v>4412.91</v>
      </c>
      <c r="CF631" s="73">
        <f t="shared" si="63"/>
        <v>0</v>
      </c>
      <c r="CG631" s="75">
        <f t="shared" si="60"/>
        <v>6680</v>
      </c>
      <c r="CH631" s="75" t="str">
        <f t="shared" si="60"/>
        <v>ماليزى اسنان</v>
      </c>
    </row>
    <row r="632" spans="3:86" x14ac:dyDescent="0.25">
      <c r="C632" s="82">
        <v>12003</v>
      </c>
      <c r="D632" s="78">
        <v>6681</v>
      </c>
      <c r="E632" s="107" t="s">
        <v>121</v>
      </c>
      <c r="F632" s="69" t="str">
        <f t="shared" si="64"/>
        <v>مكافاه تدريس فرقه خامسه</v>
      </c>
      <c r="G632" s="69"/>
      <c r="H632" s="69">
        <v>39396</v>
      </c>
      <c r="U632" s="69"/>
      <c r="V632" s="69"/>
      <c r="AS632" s="94">
        <f t="shared" si="41"/>
        <v>39396</v>
      </c>
      <c r="AT632" s="69">
        <v>26294.3</v>
      </c>
      <c r="AU632" s="69">
        <f>249.7+3360</f>
        <v>3609.7</v>
      </c>
      <c r="AV632" s="69">
        <v>9492</v>
      </c>
      <c r="BD632" s="69"/>
      <c r="BE632" s="69"/>
      <c r="CE632" s="94">
        <f t="shared" si="59"/>
        <v>39396</v>
      </c>
      <c r="CF632" s="73">
        <f t="shared" si="63"/>
        <v>0</v>
      </c>
      <c r="CG632" s="75">
        <f t="shared" si="60"/>
        <v>6681</v>
      </c>
      <c r="CH632" s="75" t="str">
        <f t="shared" si="60"/>
        <v>ماليزى اسنان</v>
      </c>
    </row>
    <row r="633" spans="3:86" x14ac:dyDescent="0.25">
      <c r="C633" s="82">
        <v>12007</v>
      </c>
      <c r="D633" s="78">
        <v>6682</v>
      </c>
      <c r="E633" s="107" t="s">
        <v>121</v>
      </c>
      <c r="F633" s="69" t="str">
        <f t="shared" si="64"/>
        <v>مكافاه تدريس فرقه خامسه</v>
      </c>
      <c r="G633" s="69"/>
      <c r="H633" s="69">
        <v>9420</v>
      </c>
      <c r="U633" s="69"/>
      <c r="V633" s="69"/>
      <c r="AS633" s="94">
        <f t="shared" si="41"/>
        <v>9420</v>
      </c>
      <c r="AT633" s="69">
        <v>8410.1</v>
      </c>
      <c r="AU633" s="69">
        <v>1009.9</v>
      </c>
      <c r="BD633" s="69"/>
      <c r="BE633" s="69"/>
      <c r="CE633" s="94">
        <f t="shared" si="59"/>
        <v>9420</v>
      </c>
      <c r="CF633" s="73">
        <f t="shared" si="63"/>
        <v>0</v>
      </c>
      <c r="CG633" s="75">
        <f t="shared" si="60"/>
        <v>6682</v>
      </c>
      <c r="CH633" s="75" t="str">
        <f t="shared" si="60"/>
        <v>ماليزى اسنان</v>
      </c>
    </row>
    <row r="634" spans="3:86" x14ac:dyDescent="0.25">
      <c r="C634" s="82">
        <v>12008</v>
      </c>
      <c r="D634" s="78">
        <v>6683</v>
      </c>
      <c r="E634" s="107" t="s">
        <v>121</v>
      </c>
      <c r="F634" s="69" t="str">
        <f t="shared" si="64"/>
        <v>مكافاه تدريس فرقه خامسه</v>
      </c>
      <c r="G634" s="69"/>
      <c r="H634" s="69">
        <v>4800</v>
      </c>
      <c r="U634" s="69"/>
      <c r="V634" s="69"/>
      <c r="AS634" s="94">
        <f t="shared" si="41"/>
        <v>4800</v>
      </c>
      <c r="AT634" s="69">
        <v>4284.3500000000004</v>
      </c>
      <c r="AU634" s="69">
        <v>515.65</v>
      </c>
      <c r="BD634" s="69"/>
      <c r="BE634" s="69"/>
      <c r="CE634" s="94">
        <f t="shared" si="59"/>
        <v>4800</v>
      </c>
      <c r="CF634" s="73">
        <f t="shared" si="63"/>
        <v>0</v>
      </c>
      <c r="CG634" s="75">
        <f t="shared" si="60"/>
        <v>6683</v>
      </c>
      <c r="CH634" s="75" t="str">
        <f t="shared" si="60"/>
        <v>ماليزى اسنان</v>
      </c>
    </row>
    <row r="635" spans="3:86" x14ac:dyDescent="0.25">
      <c r="C635" s="82">
        <v>12009</v>
      </c>
      <c r="D635" s="78">
        <v>6684</v>
      </c>
      <c r="E635" s="107" t="s">
        <v>121</v>
      </c>
      <c r="F635" s="69" t="str">
        <f t="shared" si="64"/>
        <v>مكافاه تدريس فرقه خامسه</v>
      </c>
      <c r="G635" s="69"/>
      <c r="H635" s="69">
        <v>10800</v>
      </c>
      <c r="U635" s="69"/>
      <c r="V635" s="69"/>
      <c r="AS635" s="94">
        <f t="shared" si="41"/>
        <v>10800</v>
      </c>
      <c r="AT635" s="69">
        <v>9638</v>
      </c>
      <c r="AU635" s="69">
        <v>1162</v>
      </c>
      <c r="BD635" s="69"/>
      <c r="BE635" s="69"/>
      <c r="CE635" s="94">
        <f t="shared" si="59"/>
        <v>10800</v>
      </c>
      <c r="CF635" s="73">
        <f t="shared" si="63"/>
        <v>0</v>
      </c>
      <c r="CG635" s="75">
        <f t="shared" si="60"/>
        <v>6684</v>
      </c>
      <c r="CH635" s="75" t="str">
        <f t="shared" si="60"/>
        <v>ماليزى اسنان</v>
      </c>
    </row>
    <row r="636" spans="3:86" x14ac:dyDescent="0.25">
      <c r="C636" s="82">
        <v>12010</v>
      </c>
      <c r="D636" s="78">
        <v>6685</v>
      </c>
      <c r="E636" s="107" t="s">
        <v>121</v>
      </c>
      <c r="F636" s="69" t="str">
        <f t="shared" si="64"/>
        <v>مكافاه تدريس فرقه خامسه</v>
      </c>
      <c r="G636" s="69"/>
      <c r="H636" s="69">
        <v>5220</v>
      </c>
      <c r="U636" s="69"/>
      <c r="V636" s="69"/>
      <c r="AS636" s="94">
        <f t="shared" si="41"/>
        <v>5220</v>
      </c>
      <c r="AT636" s="69">
        <v>4659.55</v>
      </c>
      <c r="AU636" s="69">
        <v>560.45000000000005</v>
      </c>
      <c r="BD636" s="69"/>
      <c r="BE636" s="69"/>
      <c r="CE636" s="94">
        <f t="shared" si="59"/>
        <v>5220</v>
      </c>
      <c r="CF636" s="73">
        <f t="shared" si="63"/>
        <v>0</v>
      </c>
      <c r="CG636" s="75">
        <f t="shared" si="60"/>
        <v>6685</v>
      </c>
      <c r="CH636" s="75" t="str">
        <f t="shared" si="60"/>
        <v>ماليزى اسنان</v>
      </c>
    </row>
    <row r="637" spans="3:86" x14ac:dyDescent="0.25">
      <c r="C637" s="82">
        <v>12011</v>
      </c>
      <c r="D637" s="78">
        <v>6686</v>
      </c>
      <c r="E637" s="107" t="s">
        <v>121</v>
      </c>
      <c r="F637" s="69" t="str">
        <f t="shared" si="64"/>
        <v>مكافاه تدريس فرقه خامسه</v>
      </c>
      <c r="G637" s="69"/>
      <c r="H637" s="69">
        <v>3000</v>
      </c>
      <c r="U637" s="69"/>
      <c r="V637" s="69"/>
      <c r="AS637" s="94">
        <f t="shared" si="41"/>
        <v>3000</v>
      </c>
      <c r="AT637" s="69">
        <v>2677.85</v>
      </c>
      <c r="AU637" s="69">
        <v>322.14999999999998</v>
      </c>
      <c r="BD637" s="69"/>
      <c r="BE637" s="69"/>
      <c r="CE637" s="94">
        <f t="shared" si="59"/>
        <v>3000</v>
      </c>
      <c r="CF637" s="73">
        <f t="shared" si="63"/>
        <v>0</v>
      </c>
      <c r="CG637" s="75">
        <f t="shared" si="60"/>
        <v>6686</v>
      </c>
      <c r="CH637" s="75" t="str">
        <f t="shared" si="60"/>
        <v>ماليزى اسنان</v>
      </c>
    </row>
    <row r="638" spans="3:86" x14ac:dyDescent="0.25">
      <c r="C638" s="82">
        <v>12011</v>
      </c>
      <c r="D638" s="78">
        <v>6687</v>
      </c>
      <c r="E638" s="107" t="s">
        <v>121</v>
      </c>
      <c r="F638" s="69" t="str">
        <f t="shared" si="64"/>
        <v>مكافاه تدريس فرقه خامسه</v>
      </c>
      <c r="G638" s="69"/>
      <c r="H638" s="69">
        <v>7620</v>
      </c>
      <c r="U638" s="69"/>
      <c r="V638" s="69"/>
      <c r="AS638" s="94">
        <f t="shared" si="41"/>
        <v>7620</v>
      </c>
      <c r="AT638" s="69">
        <v>6802.25</v>
      </c>
      <c r="AU638" s="69">
        <v>817.75</v>
      </c>
      <c r="BD638" s="69"/>
      <c r="BE638" s="69"/>
      <c r="CE638" s="94">
        <f t="shared" ref="CE638:CE701" si="65">SUM(AT638:CD638)</f>
        <v>7620</v>
      </c>
      <c r="CF638" s="73">
        <f t="shared" si="63"/>
        <v>0</v>
      </c>
      <c r="CG638" s="75">
        <f t="shared" si="60"/>
        <v>6687</v>
      </c>
      <c r="CH638" s="75" t="str">
        <f t="shared" si="60"/>
        <v>ماليزى اسنان</v>
      </c>
    </row>
    <row r="639" spans="3:86" x14ac:dyDescent="0.25">
      <c r="C639" s="82">
        <v>12012</v>
      </c>
      <c r="D639" s="78">
        <v>6688</v>
      </c>
      <c r="E639" s="107" t="s">
        <v>121</v>
      </c>
      <c r="F639" s="69" t="str">
        <f t="shared" si="64"/>
        <v>مكافاه تدريس فرقه خامسه</v>
      </c>
      <c r="G639" s="69"/>
      <c r="H639" s="69">
        <v>5040</v>
      </c>
      <c r="U639" s="69"/>
      <c r="V639" s="69"/>
      <c r="AS639" s="94">
        <f t="shared" si="41"/>
        <v>5040</v>
      </c>
      <c r="AT639" s="69">
        <v>4500.5</v>
      </c>
      <c r="AU639" s="69">
        <v>539.5</v>
      </c>
      <c r="BD639" s="69"/>
      <c r="BE639" s="69"/>
      <c r="CE639" s="94">
        <f t="shared" si="65"/>
        <v>5040</v>
      </c>
      <c r="CF639" s="73">
        <f t="shared" si="63"/>
        <v>0</v>
      </c>
      <c r="CG639" s="75">
        <f t="shared" si="60"/>
        <v>6688</v>
      </c>
      <c r="CH639" s="75" t="str">
        <f t="shared" si="60"/>
        <v>ماليزى اسنان</v>
      </c>
    </row>
    <row r="640" spans="3:86" x14ac:dyDescent="0.25">
      <c r="C640" s="82">
        <v>12008</v>
      </c>
      <c r="D640" s="78">
        <v>6689</v>
      </c>
      <c r="E640" s="107" t="s">
        <v>121</v>
      </c>
      <c r="F640" s="69" t="str">
        <f t="shared" si="64"/>
        <v>مكافاه تدريس فرقه خامسه</v>
      </c>
      <c r="G640" s="69"/>
      <c r="H640" s="69">
        <v>3000</v>
      </c>
      <c r="U640" s="69"/>
      <c r="V640" s="69"/>
      <c r="AS640" s="94">
        <f t="shared" si="41"/>
        <v>3000</v>
      </c>
      <c r="AT640" s="69">
        <v>2679.8</v>
      </c>
      <c r="AU640" s="69">
        <v>320.2</v>
      </c>
      <c r="BD640" s="69"/>
      <c r="BE640" s="69"/>
      <c r="CE640" s="94">
        <f t="shared" si="65"/>
        <v>3000</v>
      </c>
      <c r="CF640" s="73">
        <f t="shared" si="63"/>
        <v>0</v>
      </c>
      <c r="CG640" s="75">
        <f t="shared" si="60"/>
        <v>6689</v>
      </c>
      <c r="CH640" s="75" t="str">
        <f t="shared" si="60"/>
        <v>ماليزى اسنان</v>
      </c>
    </row>
    <row r="641" spans="3:86" x14ac:dyDescent="0.25">
      <c r="C641" s="82">
        <v>11649</v>
      </c>
      <c r="D641" s="78">
        <v>6690</v>
      </c>
      <c r="E641" s="107" t="s">
        <v>121</v>
      </c>
      <c r="F641" s="69" t="str">
        <f>+F598</f>
        <v>مكافاه تدريس فرقه ثانيه</v>
      </c>
      <c r="G641" s="69"/>
      <c r="H641" s="69">
        <v>17547.599999999999</v>
      </c>
      <c r="U641" s="69"/>
      <c r="V641" s="69"/>
      <c r="AS641" s="94">
        <f t="shared" si="41"/>
        <v>17547.599999999999</v>
      </c>
      <c r="AT641" s="69">
        <v>15300.95</v>
      </c>
      <c r="AU641" s="69">
        <v>1857.55</v>
      </c>
      <c r="AV641" s="69">
        <v>389.1</v>
      </c>
      <c r="BD641" s="69"/>
      <c r="BE641" s="69"/>
      <c r="CE641" s="94">
        <f t="shared" si="65"/>
        <v>17547.599999999999</v>
      </c>
      <c r="CF641" s="73">
        <f t="shared" si="63"/>
        <v>0</v>
      </c>
      <c r="CG641" s="75">
        <f t="shared" si="60"/>
        <v>6690</v>
      </c>
      <c r="CH641" s="75" t="str">
        <f t="shared" si="60"/>
        <v>ماليزى اسنان</v>
      </c>
    </row>
    <row r="642" spans="3:86" x14ac:dyDescent="0.25">
      <c r="C642" s="82">
        <v>11887</v>
      </c>
      <c r="D642" s="78">
        <v>6691</v>
      </c>
      <c r="E642" s="107" t="s">
        <v>121</v>
      </c>
      <c r="F642" s="69" t="str">
        <f>+F597</f>
        <v>مكافاه تدريس مانشيستر اولى</v>
      </c>
      <c r="G642" s="69"/>
      <c r="H642" s="69">
        <v>7316.4</v>
      </c>
      <c r="U642" s="69"/>
      <c r="V642" s="69"/>
      <c r="AS642" s="94">
        <f t="shared" si="41"/>
        <v>7316.4</v>
      </c>
      <c r="AT642" s="69">
        <v>4885.55</v>
      </c>
      <c r="AU642" s="69">
        <f>44.05+624</f>
        <v>668.05</v>
      </c>
      <c r="AV642" s="69">
        <v>1762.8</v>
      </c>
      <c r="BD642" s="69"/>
      <c r="BE642" s="69"/>
      <c r="CE642" s="94">
        <f t="shared" si="65"/>
        <v>7316.4000000000005</v>
      </c>
      <c r="CF642" s="73">
        <f t="shared" si="63"/>
        <v>0</v>
      </c>
      <c r="CG642" s="75">
        <f t="shared" si="60"/>
        <v>6691</v>
      </c>
      <c r="CH642" s="75" t="str">
        <f t="shared" si="60"/>
        <v>ماليزى اسنان</v>
      </c>
    </row>
    <row r="643" spans="3:86" x14ac:dyDescent="0.25">
      <c r="C643" s="82">
        <v>11789</v>
      </c>
      <c r="D643" s="78">
        <v>6692</v>
      </c>
      <c r="E643" s="107" t="s">
        <v>121</v>
      </c>
      <c r="F643" s="69" t="str">
        <f t="shared" ref="F643:F650" si="66">+F642</f>
        <v>مكافاه تدريس مانشيستر اولى</v>
      </c>
      <c r="G643" s="69"/>
      <c r="H643" s="69">
        <v>2931.25</v>
      </c>
      <c r="U643" s="69"/>
      <c r="V643" s="69"/>
      <c r="AS643" s="94">
        <f t="shared" si="41"/>
        <v>2931.25</v>
      </c>
      <c r="AT643" s="69">
        <v>1958.65</v>
      </c>
      <c r="AU643" s="69">
        <f>16.35+250</f>
        <v>266.35000000000002</v>
      </c>
      <c r="AV643" s="69">
        <v>706.25</v>
      </c>
      <c r="BD643" s="69"/>
      <c r="BE643" s="69"/>
      <c r="CE643" s="94">
        <f t="shared" si="65"/>
        <v>2931.25</v>
      </c>
      <c r="CF643" s="73">
        <f t="shared" si="63"/>
        <v>0</v>
      </c>
      <c r="CG643" s="75">
        <f t="shared" si="60"/>
        <v>6692</v>
      </c>
      <c r="CH643" s="75" t="str">
        <f t="shared" si="60"/>
        <v>ماليزى اسنان</v>
      </c>
    </row>
    <row r="644" spans="3:86" x14ac:dyDescent="0.25">
      <c r="C644" s="82">
        <v>11788</v>
      </c>
      <c r="D644" s="78">
        <v>6693</v>
      </c>
      <c r="E644" s="107" t="s">
        <v>121</v>
      </c>
      <c r="F644" s="69" t="str">
        <f t="shared" si="66"/>
        <v>مكافاه تدريس مانشيستر اولى</v>
      </c>
      <c r="G644" s="69"/>
      <c r="H644" s="69">
        <v>16039.8</v>
      </c>
      <c r="U644" s="69"/>
      <c r="V644" s="69"/>
      <c r="AS644" s="94">
        <f t="shared" si="41"/>
        <v>16039.8</v>
      </c>
      <c r="AT644" s="69">
        <v>10728.55</v>
      </c>
      <c r="AU644" s="69">
        <f>78.65+1368</f>
        <v>1446.65</v>
      </c>
      <c r="AV644" s="69">
        <v>3864.6</v>
      </c>
      <c r="BD644" s="69"/>
      <c r="BE644" s="69"/>
      <c r="CE644" s="94">
        <f t="shared" si="65"/>
        <v>16039.8</v>
      </c>
      <c r="CF644" s="73">
        <f t="shared" si="63"/>
        <v>0</v>
      </c>
      <c r="CG644" s="75">
        <f t="shared" si="60"/>
        <v>6693</v>
      </c>
      <c r="CH644" s="75" t="str">
        <f t="shared" si="60"/>
        <v>ماليزى اسنان</v>
      </c>
    </row>
    <row r="645" spans="3:86" x14ac:dyDescent="0.25">
      <c r="C645" s="82">
        <v>11787</v>
      </c>
      <c r="D645" s="78">
        <v>6694</v>
      </c>
      <c r="E645" s="107" t="s">
        <v>121</v>
      </c>
      <c r="F645" s="69" t="str">
        <f t="shared" si="66"/>
        <v>مكافاه تدريس مانشيستر اولى</v>
      </c>
      <c r="G645" s="69"/>
      <c r="H645" s="69">
        <v>8019.9</v>
      </c>
      <c r="U645" s="69"/>
      <c r="V645" s="69"/>
      <c r="AS645" s="94">
        <f t="shared" si="41"/>
        <v>8019.9</v>
      </c>
      <c r="AT645" s="69">
        <v>5355.25</v>
      </c>
      <c r="AU645" s="69">
        <f>48.35+684</f>
        <v>732.35</v>
      </c>
      <c r="AV645" s="69">
        <v>1932.3</v>
      </c>
      <c r="BD645" s="69"/>
      <c r="BE645" s="69"/>
      <c r="CE645" s="94">
        <f t="shared" si="65"/>
        <v>8019.9000000000005</v>
      </c>
      <c r="CF645" s="73">
        <f t="shared" si="63"/>
        <v>0</v>
      </c>
      <c r="CG645" s="75">
        <f t="shared" si="60"/>
        <v>6694</v>
      </c>
      <c r="CH645" s="75" t="str">
        <f t="shared" si="60"/>
        <v>ماليزى اسنان</v>
      </c>
    </row>
    <row r="646" spans="3:86" x14ac:dyDescent="0.25">
      <c r="C646" s="82">
        <v>11779</v>
      </c>
      <c r="D646" s="78">
        <v>6695</v>
      </c>
      <c r="E646" s="107" t="s">
        <v>121</v>
      </c>
      <c r="F646" s="69" t="str">
        <f t="shared" si="66"/>
        <v>مكافاه تدريس مانشيستر اولى</v>
      </c>
      <c r="G646" s="69"/>
      <c r="H646" s="69">
        <v>6600</v>
      </c>
      <c r="U646" s="69"/>
      <c r="V646" s="69"/>
      <c r="AS646" s="94">
        <f t="shared" si="41"/>
        <v>6600</v>
      </c>
      <c r="AT646" s="69">
        <v>5887.6</v>
      </c>
      <c r="AU646" s="69">
        <v>712.4</v>
      </c>
      <c r="BD646" s="69"/>
      <c r="BE646" s="69"/>
      <c r="CE646" s="94">
        <f t="shared" si="65"/>
        <v>6600</v>
      </c>
      <c r="CF646" s="73">
        <f t="shared" si="63"/>
        <v>0</v>
      </c>
      <c r="CG646" s="75">
        <f t="shared" si="60"/>
        <v>6695</v>
      </c>
      <c r="CH646" s="75" t="str">
        <f t="shared" si="60"/>
        <v>ماليزى اسنان</v>
      </c>
    </row>
    <row r="647" spans="3:86" x14ac:dyDescent="0.25">
      <c r="C647" s="82">
        <v>11778</v>
      </c>
      <c r="D647" s="78">
        <v>6696</v>
      </c>
      <c r="E647" s="107" t="s">
        <v>121</v>
      </c>
      <c r="F647" s="69" t="str">
        <f t="shared" si="66"/>
        <v>مكافاه تدريس مانشيستر اولى</v>
      </c>
      <c r="G647" s="69"/>
      <c r="H647" s="69">
        <v>13200</v>
      </c>
      <c r="U647" s="69"/>
      <c r="V647" s="69"/>
      <c r="AS647" s="94">
        <f t="shared" si="41"/>
        <v>13200</v>
      </c>
      <c r="AT647" s="69">
        <v>11790.8</v>
      </c>
      <c r="AU647" s="69">
        <v>1409.2</v>
      </c>
      <c r="BD647" s="69"/>
      <c r="BE647" s="69"/>
      <c r="CE647" s="94">
        <f t="shared" si="65"/>
        <v>13200</v>
      </c>
      <c r="CF647" s="73">
        <f t="shared" si="63"/>
        <v>0</v>
      </c>
      <c r="CG647" s="75">
        <f t="shared" si="60"/>
        <v>6696</v>
      </c>
      <c r="CH647" s="75" t="str">
        <f t="shared" si="60"/>
        <v>ماليزى اسنان</v>
      </c>
    </row>
    <row r="648" spans="3:86" x14ac:dyDescent="0.25">
      <c r="C648" s="82">
        <v>11781</v>
      </c>
      <c r="D648" s="78">
        <v>6697</v>
      </c>
      <c r="E648" s="107" t="s">
        <v>121</v>
      </c>
      <c r="F648" s="69" t="str">
        <f t="shared" si="66"/>
        <v>مكافاه تدريس مانشيستر اولى</v>
      </c>
      <c r="G648" s="69"/>
      <c r="H648" s="69">
        <v>6600</v>
      </c>
      <c r="U648" s="69"/>
      <c r="V648" s="69"/>
      <c r="AS648" s="94">
        <f t="shared" si="41"/>
        <v>6600</v>
      </c>
      <c r="AT648" s="69">
        <v>5887.6</v>
      </c>
      <c r="AU648" s="69">
        <v>712.4</v>
      </c>
      <c r="BD648" s="69"/>
      <c r="BE648" s="69"/>
      <c r="CE648" s="94">
        <f t="shared" si="65"/>
        <v>6600</v>
      </c>
      <c r="CF648" s="73">
        <f t="shared" si="63"/>
        <v>0</v>
      </c>
      <c r="CG648" s="75">
        <f t="shared" si="60"/>
        <v>6697</v>
      </c>
      <c r="CH648" s="75" t="str">
        <f t="shared" si="60"/>
        <v>ماليزى اسنان</v>
      </c>
    </row>
    <row r="649" spans="3:86" x14ac:dyDescent="0.25">
      <c r="C649" s="82">
        <v>11780</v>
      </c>
      <c r="D649" s="78">
        <v>6698</v>
      </c>
      <c r="E649" s="107" t="s">
        <v>121</v>
      </c>
      <c r="F649" s="69" t="str">
        <f t="shared" si="66"/>
        <v>مكافاه تدريس مانشيستر اولى</v>
      </c>
      <c r="G649" s="69"/>
      <c r="H649" s="69">
        <v>13200</v>
      </c>
      <c r="U649" s="69"/>
      <c r="V649" s="69"/>
      <c r="AS649" s="94">
        <f t="shared" si="41"/>
        <v>13200</v>
      </c>
      <c r="AT649" s="69">
        <v>11790.8</v>
      </c>
      <c r="AU649" s="69">
        <v>1409.2</v>
      </c>
      <c r="BD649" s="69"/>
      <c r="BE649" s="69"/>
      <c r="CE649" s="94">
        <f t="shared" si="65"/>
        <v>13200</v>
      </c>
      <c r="CF649" s="73">
        <f t="shared" si="63"/>
        <v>0</v>
      </c>
      <c r="CG649" s="75">
        <f t="shared" si="60"/>
        <v>6698</v>
      </c>
      <c r="CH649" s="75" t="str">
        <f t="shared" si="60"/>
        <v>ماليزى اسنان</v>
      </c>
    </row>
    <row r="650" spans="3:86" x14ac:dyDescent="0.25">
      <c r="C650" s="82">
        <v>11777</v>
      </c>
      <c r="D650" s="78">
        <v>6699</v>
      </c>
      <c r="E650" s="107" t="s">
        <v>121</v>
      </c>
      <c r="F650" s="69" t="str">
        <f t="shared" si="66"/>
        <v>مكافاه تدريس مانشيستر اولى</v>
      </c>
      <c r="G650" s="69"/>
      <c r="H650" s="69">
        <v>633.15</v>
      </c>
      <c r="U650" s="69"/>
      <c r="V650" s="69"/>
      <c r="AS650" s="94">
        <f t="shared" si="41"/>
        <v>633.15</v>
      </c>
      <c r="AT650" s="69">
        <v>423.55</v>
      </c>
      <c r="AU650" s="69">
        <v>57.05</v>
      </c>
      <c r="AV650" s="69">
        <v>152.55000000000001</v>
      </c>
      <c r="BD650" s="69"/>
      <c r="BE650" s="69"/>
      <c r="CE650" s="94">
        <f t="shared" si="65"/>
        <v>633.15000000000009</v>
      </c>
      <c r="CF650" s="73">
        <f t="shared" si="63"/>
        <v>0</v>
      </c>
      <c r="CG650" s="75">
        <f t="shared" si="60"/>
        <v>6699</v>
      </c>
      <c r="CH650" s="75" t="str">
        <f t="shared" si="60"/>
        <v>ماليزى اسنان</v>
      </c>
    </row>
    <row r="651" spans="3:86" x14ac:dyDescent="0.25">
      <c r="C651" s="82">
        <v>11686</v>
      </c>
      <c r="D651" s="78">
        <v>6700</v>
      </c>
      <c r="E651" s="107" t="s">
        <v>121</v>
      </c>
      <c r="F651" s="69" t="s">
        <v>602</v>
      </c>
      <c r="G651" s="69"/>
      <c r="H651" s="69">
        <v>7647.75</v>
      </c>
      <c r="U651" s="69"/>
      <c r="V651" s="69"/>
      <c r="AS651" s="94">
        <f t="shared" si="41"/>
        <v>7647.75</v>
      </c>
      <c r="AT651" s="69">
        <v>5411.15</v>
      </c>
      <c r="AU651" s="69">
        <v>717.25</v>
      </c>
      <c r="AV651" s="69">
        <v>1519.35</v>
      </c>
      <c r="BD651" s="69"/>
      <c r="BE651" s="69"/>
      <c r="CE651" s="94">
        <f t="shared" si="65"/>
        <v>7647.75</v>
      </c>
      <c r="CF651" s="73">
        <f t="shared" si="63"/>
        <v>0</v>
      </c>
      <c r="CG651" s="75">
        <f t="shared" ref="CG651:CH714" si="67">+D651</f>
        <v>6700</v>
      </c>
      <c r="CH651" s="75" t="str">
        <f t="shared" si="67"/>
        <v>ماليزى اسنان</v>
      </c>
    </row>
    <row r="652" spans="3:86" x14ac:dyDescent="0.25">
      <c r="C652" s="82">
        <v>11685</v>
      </c>
      <c r="D652" s="78">
        <v>6701</v>
      </c>
      <c r="E652" s="107" t="s">
        <v>121</v>
      </c>
      <c r="F652" s="69" t="s">
        <v>602</v>
      </c>
      <c r="G652" s="69"/>
      <c r="H652" s="69">
        <v>29820.74</v>
      </c>
      <c r="U652" s="69"/>
      <c r="V652" s="69"/>
      <c r="AS652" s="94">
        <f t="shared" si="41"/>
        <v>29820.74</v>
      </c>
      <c r="AT652" s="69">
        <v>23688.22</v>
      </c>
      <c r="AU652" s="69">
        <v>2986.95</v>
      </c>
      <c r="AV652" s="69">
        <v>3145.57</v>
      </c>
      <c r="BD652" s="69"/>
      <c r="BE652" s="69"/>
      <c r="CE652" s="94">
        <f t="shared" si="65"/>
        <v>29820.74</v>
      </c>
      <c r="CF652" s="73">
        <f t="shared" si="63"/>
        <v>0</v>
      </c>
      <c r="CG652" s="75">
        <f t="shared" si="67"/>
        <v>6701</v>
      </c>
      <c r="CH652" s="75" t="str">
        <f t="shared" si="67"/>
        <v>ماليزى اسنان</v>
      </c>
    </row>
    <row r="653" spans="3:86" x14ac:dyDescent="0.25">
      <c r="C653" s="82">
        <v>11684</v>
      </c>
      <c r="D653" s="78">
        <v>6702</v>
      </c>
      <c r="E653" s="107" t="s">
        <v>121</v>
      </c>
      <c r="F653" s="69" t="s">
        <v>602</v>
      </c>
      <c r="G653" s="69"/>
      <c r="H653" s="69">
        <v>15600</v>
      </c>
      <c r="U653" s="69"/>
      <c r="V653" s="69"/>
      <c r="AS653" s="94">
        <f t="shared" si="41"/>
        <v>15600</v>
      </c>
      <c r="AT653" s="69">
        <v>13921.8</v>
      </c>
      <c r="AU653" s="69">
        <v>1678.2</v>
      </c>
      <c r="BD653" s="69"/>
      <c r="BE653" s="69"/>
      <c r="CE653" s="94">
        <f t="shared" si="65"/>
        <v>15600</v>
      </c>
      <c r="CF653" s="73">
        <f t="shared" si="63"/>
        <v>0</v>
      </c>
      <c r="CG653" s="75">
        <f t="shared" si="67"/>
        <v>6702</v>
      </c>
      <c r="CH653" s="75" t="str">
        <f t="shared" si="67"/>
        <v>ماليزى اسنان</v>
      </c>
    </row>
    <row r="654" spans="3:86" x14ac:dyDescent="0.25">
      <c r="C654" s="82">
        <v>11682</v>
      </c>
      <c r="D654" s="78">
        <v>6703</v>
      </c>
      <c r="E654" s="107" t="s">
        <v>121</v>
      </c>
      <c r="F654" s="69" t="s">
        <v>602</v>
      </c>
      <c r="G654" s="69"/>
      <c r="H654" s="69">
        <v>8400</v>
      </c>
      <c r="U654" s="69"/>
      <c r="V654" s="69"/>
      <c r="AS654" s="94">
        <f t="shared" si="41"/>
        <v>8400</v>
      </c>
      <c r="AT654" s="69">
        <v>7497.7</v>
      </c>
      <c r="AU654" s="69">
        <v>902.3</v>
      </c>
      <c r="BD654" s="69"/>
      <c r="BE654" s="69"/>
      <c r="CE654" s="94">
        <f t="shared" si="65"/>
        <v>8400</v>
      </c>
      <c r="CF654" s="73">
        <f t="shared" si="63"/>
        <v>0</v>
      </c>
      <c r="CG654" s="75">
        <f t="shared" si="67"/>
        <v>6703</v>
      </c>
      <c r="CH654" s="75" t="str">
        <f t="shared" si="67"/>
        <v>ماليزى اسنان</v>
      </c>
    </row>
    <row r="655" spans="3:86" x14ac:dyDescent="0.25">
      <c r="C655" s="82">
        <v>11681</v>
      </c>
      <c r="D655" s="78">
        <v>6704</v>
      </c>
      <c r="E655" s="107" t="s">
        <v>121</v>
      </c>
      <c r="F655" s="69" t="str">
        <f>+F641</f>
        <v>مكافاه تدريس فرقه ثانيه</v>
      </c>
      <c r="G655" s="69"/>
      <c r="H655" s="69">
        <v>6686.74</v>
      </c>
      <c r="U655" s="69"/>
      <c r="V655" s="69"/>
      <c r="AS655" s="94">
        <f t="shared" si="41"/>
        <v>6686.74</v>
      </c>
      <c r="AT655" s="69">
        <v>4735</v>
      </c>
      <c r="AU655" s="69">
        <v>630.54999999999995</v>
      </c>
      <c r="AV655" s="69">
        <v>1321.19</v>
      </c>
      <c r="BD655" s="69"/>
      <c r="BE655" s="69"/>
      <c r="CE655" s="94">
        <f t="shared" si="65"/>
        <v>6686.74</v>
      </c>
      <c r="CF655" s="73">
        <f t="shared" si="63"/>
        <v>0</v>
      </c>
      <c r="CG655" s="75">
        <f t="shared" si="67"/>
        <v>6704</v>
      </c>
      <c r="CH655" s="75" t="str">
        <f t="shared" si="67"/>
        <v>ماليزى اسنان</v>
      </c>
    </row>
    <row r="656" spans="3:86" x14ac:dyDescent="0.25">
      <c r="C656" s="82">
        <v>11680</v>
      </c>
      <c r="D656" s="78">
        <v>6705</v>
      </c>
      <c r="E656" s="107" t="s">
        <v>121</v>
      </c>
      <c r="F656" s="69" t="str">
        <f>+F655</f>
        <v>مكافاه تدريس فرقه ثانيه</v>
      </c>
      <c r="G656" s="69"/>
      <c r="H656" s="69">
        <v>67470.36</v>
      </c>
      <c r="U656" s="69"/>
      <c r="V656" s="69"/>
      <c r="AS656" s="94">
        <f t="shared" si="41"/>
        <v>67470.36</v>
      </c>
      <c r="AT656" s="69">
        <v>54759.46</v>
      </c>
      <c r="AU656" s="69">
        <v>6863.8</v>
      </c>
      <c r="AV656" s="69">
        <v>5847.1</v>
      </c>
      <c r="BD656" s="69"/>
      <c r="BE656" s="69"/>
      <c r="CE656" s="94">
        <f t="shared" si="65"/>
        <v>67470.36</v>
      </c>
      <c r="CF656" s="73">
        <f t="shared" si="63"/>
        <v>0</v>
      </c>
      <c r="CG656" s="75">
        <f t="shared" si="67"/>
        <v>6705</v>
      </c>
      <c r="CH656" s="75" t="str">
        <f t="shared" si="67"/>
        <v>ماليزى اسنان</v>
      </c>
    </row>
    <row r="657" spans="3:86" x14ac:dyDescent="0.25">
      <c r="C657" s="82">
        <v>11679</v>
      </c>
      <c r="D657" s="78">
        <v>6706</v>
      </c>
      <c r="E657" s="107" t="s">
        <v>121</v>
      </c>
      <c r="F657" s="69" t="str">
        <f>+F656</f>
        <v>مكافاه تدريس فرقه ثانيه</v>
      </c>
      <c r="G657" s="69"/>
      <c r="H657" s="69">
        <v>13274.17</v>
      </c>
      <c r="U657" s="69"/>
      <c r="V657" s="69"/>
      <c r="AS657" s="94">
        <f t="shared" si="41"/>
        <v>13274.17</v>
      </c>
      <c r="AT657" s="69">
        <v>11187.39</v>
      </c>
      <c r="AU657" s="69">
        <v>1375.75</v>
      </c>
      <c r="AV657" s="69">
        <v>711.03</v>
      </c>
      <c r="BD657" s="69"/>
      <c r="BE657" s="69"/>
      <c r="CE657" s="94">
        <f t="shared" si="65"/>
        <v>13274.17</v>
      </c>
      <c r="CF657" s="73">
        <f t="shared" si="63"/>
        <v>0</v>
      </c>
      <c r="CG657" s="75">
        <f t="shared" si="67"/>
        <v>6706</v>
      </c>
      <c r="CH657" s="75" t="str">
        <f t="shared" si="67"/>
        <v>ماليزى اسنان</v>
      </c>
    </row>
    <row r="658" spans="3:86" x14ac:dyDescent="0.25">
      <c r="C658" s="82">
        <v>11678</v>
      </c>
      <c r="D658" s="78">
        <v>6707</v>
      </c>
      <c r="E658" s="107" t="s">
        <v>121</v>
      </c>
      <c r="F658" s="69" t="str">
        <f>+F654</f>
        <v>مكافاه تدريس فرقه اولى</v>
      </c>
      <c r="G658" s="69"/>
      <c r="H658" s="69">
        <v>17826.3</v>
      </c>
      <c r="U658" s="69"/>
      <c r="V658" s="69"/>
      <c r="AS658" s="94">
        <f t="shared" si="41"/>
        <v>17826.3</v>
      </c>
      <c r="AT658" s="69">
        <v>15628.6</v>
      </c>
      <c r="AU658" s="69">
        <v>1892.6</v>
      </c>
      <c r="AV658" s="69">
        <v>305.10000000000002</v>
      </c>
      <c r="BD658" s="69"/>
      <c r="BE658" s="69"/>
      <c r="CE658" s="94">
        <f t="shared" si="65"/>
        <v>17826.3</v>
      </c>
      <c r="CF658" s="73">
        <f t="shared" si="63"/>
        <v>0</v>
      </c>
      <c r="CG658" s="75">
        <f t="shared" si="67"/>
        <v>6707</v>
      </c>
      <c r="CH658" s="75" t="str">
        <f t="shared" si="67"/>
        <v>ماليزى اسنان</v>
      </c>
    </row>
    <row r="659" spans="3:86" x14ac:dyDescent="0.25">
      <c r="C659" s="82">
        <v>11673</v>
      </c>
      <c r="D659" s="78">
        <v>6708</v>
      </c>
      <c r="E659" s="107" t="s">
        <v>121</v>
      </c>
      <c r="F659" s="69" t="str">
        <f>+F658</f>
        <v>مكافاه تدريس فرقه اولى</v>
      </c>
      <c r="G659" s="69"/>
      <c r="H659" s="69">
        <v>31599.93</v>
      </c>
      <c r="U659" s="69"/>
      <c r="V659" s="69"/>
      <c r="AS659" s="94">
        <f t="shared" si="41"/>
        <v>31599.93</v>
      </c>
      <c r="AT659" s="69">
        <v>24287.74</v>
      </c>
      <c r="AU659" s="69">
        <v>3119.85</v>
      </c>
      <c r="AV659" s="69">
        <v>4192.34</v>
      </c>
      <c r="BD659" s="69"/>
      <c r="BE659" s="69"/>
      <c r="CE659" s="94">
        <f t="shared" si="65"/>
        <v>31599.93</v>
      </c>
      <c r="CF659" s="73">
        <f t="shared" si="63"/>
        <v>0</v>
      </c>
      <c r="CG659" s="75">
        <f t="shared" si="67"/>
        <v>6708</v>
      </c>
      <c r="CH659" s="75" t="str">
        <f t="shared" si="67"/>
        <v>ماليزى اسنان</v>
      </c>
    </row>
    <row r="660" spans="3:86" x14ac:dyDescent="0.25">
      <c r="C660" s="82">
        <v>11672</v>
      </c>
      <c r="D660" s="78">
        <v>6709</v>
      </c>
      <c r="E660" s="107" t="s">
        <v>121</v>
      </c>
      <c r="F660" s="69" t="str">
        <f>+F659</f>
        <v>مكافاه تدريس فرقه اولى</v>
      </c>
      <c r="G660" s="69"/>
      <c r="H660" s="69">
        <v>14580</v>
      </c>
      <c r="U660" s="69"/>
      <c r="V660" s="69"/>
      <c r="AS660" s="94">
        <f t="shared" si="41"/>
        <v>14580</v>
      </c>
      <c r="AT660" s="69">
        <v>13006.1</v>
      </c>
      <c r="AU660" s="69">
        <v>1573.9</v>
      </c>
      <c r="BD660" s="69"/>
      <c r="BE660" s="69"/>
      <c r="CE660" s="94">
        <f t="shared" si="65"/>
        <v>14580</v>
      </c>
      <c r="CF660" s="73">
        <f t="shared" si="63"/>
        <v>0</v>
      </c>
      <c r="CG660" s="75">
        <f t="shared" si="67"/>
        <v>6709</v>
      </c>
      <c r="CH660" s="75" t="str">
        <f t="shared" si="67"/>
        <v>ماليزى اسنان</v>
      </c>
    </row>
    <row r="661" spans="3:86" x14ac:dyDescent="0.25">
      <c r="C661" s="82">
        <v>11671</v>
      </c>
      <c r="D661" s="78">
        <v>6710</v>
      </c>
      <c r="E661" s="107" t="s">
        <v>121</v>
      </c>
      <c r="F661" s="69" t="str">
        <f>+F660</f>
        <v>مكافاه تدريس فرقه اولى</v>
      </c>
      <c r="G661" s="69"/>
      <c r="H661" s="69">
        <v>12501.22</v>
      </c>
      <c r="U661" s="69"/>
      <c r="V661" s="69"/>
      <c r="AS661" s="94">
        <f t="shared" si="41"/>
        <v>12501.22</v>
      </c>
      <c r="AT661" s="69">
        <v>8741.15</v>
      </c>
      <c r="AU661" s="69">
        <v>1170.55</v>
      </c>
      <c r="AV661" s="69">
        <v>2589.52</v>
      </c>
      <c r="BD661" s="69"/>
      <c r="BE661" s="69"/>
      <c r="CE661" s="94">
        <f t="shared" si="65"/>
        <v>12501.22</v>
      </c>
      <c r="CF661" s="73">
        <f t="shared" si="63"/>
        <v>0</v>
      </c>
      <c r="CG661" s="75">
        <f t="shared" si="67"/>
        <v>6710</v>
      </c>
      <c r="CH661" s="75" t="str">
        <f t="shared" si="67"/>
        <v>ماليزى اسنان</v>
      </c>
    </row>
    <row r="662" spans="3:86" x14ac:dyDescent="0.25">
      <c r="C662" s="82">
        <v>11670</v>
      </c>
      <c r="D662" s="78">
        <v>6711</v>
      </c>
      <c r="E662" s="107" t="s">
        <v>121</v>
      </c>
      <c r="F662" s="69" t="str">
        <f>+F661</f>
        <v>مكافاه تدريس فرقه اولى</v>
      </c>
      <c r="G662" s="69"/>
      <c r="H662" s="69">
        <v>12794.66</v>
      </c>
      <c r="U662" s="69"/>
      <c r="V662" s="69"/>
      <c r="AS662" s="94">
        <f t="shared" ref="AS662:AS720" si="68">SUM(H662:AR662)</f>
        <v>12794.66</v>
      </c>
      <c r="AT662" s="69">
        <v>10019.129999999999</v>
      </c>
      <c r="AU662" s="69">
        <v>1277.5999999999999</v>
      </c>
      <c r="AV662" s="69">
        <v>1497.93</v>
      </c>
      <c r="BD662" s="69"/>
      <c r="BE662" s="69"/>
      <c r="CE662" s="94">
        <f t="shared" si="65"/>
        <v>12794.66</v>
      </c>
      <c r="CF662" s="73">
        <f t="shared" si="63"/>
        <v>0</v>
      </c>
      <c r="CG662" s="75">
        <f t="shared" si="67"/>
        <v>6711</v>
      </c>
      <c r="CH662" s="75" t="str">
        <f t="shared" si="67"/>
        <v>ماليزى اسنان</v>
      </c>
    </row>
    <row r="663" spans="3:86" x14ac:dyDescent="0.25">
      <c r="C663" s="82">
        <v>11666</v>
      </c>
      <c r="D663" s="78">
        <v>6712</v>
      </c>
      <c r="E663" s="107" t="s">
        <v>121</v>
      </c>
      <c r="F663" s="69" t="str">
        <f>+F656</f>
        <v>مكافاه تدريس فرقه ثانيه</v>
      </c>
      <c r="G663" s="69"/>
      <c r="H663" s="69">
        <v>16810.2</v>
      </c>
      <c r="U663" s="69"/>
      <c r="V663" s="69"/>
      <c r="AS663" s="94">
        <f t="shared" si="68"/>
        <v>16810.2</v>
      </c>
      <c r="AT663" s="69">
        <v>14880.15</v>
      </c>
      <c r="AU663" s="69">
        <v>1805.85</v>
      </c>
      <c r="AV663" s="69">
        <v>124.2</v>
      </c>
      <c r="BD663" s="69"/>
      <c r="BE663" s="69"/>
      <c r="CE663" s="94">
        <f t="shared" si="65"/>
        <v>16810.2</v>
      </c>
      <c r="CF663" s="73">
        <f t="shared" si="63"/>
        <v>0</v>
      </c>
      <c r="CG663" s="75">
        <f t="shared" si="67"/>
        <v>6712</v>
      </c>
      <c r="CH663" s="75" t="str">
        <f t="shared" si="67"/>
        <v>ماليزى اسنان</v>
      </c>
    </row>
    <row r="664" spans="3:86" x14ac:dyDescent="0.25">
      <c r="C664" s="82">
        <v>11665</v>
      </c>
      <c r="D664" s="78">
        <v>6713</v>
      </c>
      <c r="E664" s="107" t="s">
        <v>121</v>
      </c>
      <c r="F664" s="69" t="str">
        <f>+F663</f>
        <v>مكافاه تدريس فرقه ثانيه</v>
      </c>
      <c r="G664" s="69"/>
      <c r="H664" s="69">
        <v>59640.97</v>
      </c>
      <c r="U664" s="69"/>
      <c r="V664" s="69"/>
      <c r="AS664" s="94">
        <f t="shared" si="68"/>
        <v>59640.97</v>
      </c>
      <c r="AT664" s="69">
        <v>48136.05</v>
      </c>
      <c r="AU664" s="69">
        <v>6062.8</v>
      </c>
      <c r="AV664" s="69">
        <v>5442.12</v>
      </c>
      <c r="BD664" s="69"/>
      <c r="BE664" s="69"/>
      <c r="CE664" s="94">
        <f t="shared" si="65"/>
        <v>59640.970000000008</v>
      </c>
      <c r="CF664" s="73">
        <f t="shared" si="63"/>
        <v>0</v>
      </c>
      <c r="CG664" s="75">
        <f t="shared" si="67"/>
        <v>6713</v>
      </c>
      <c r="CH664" s="75" t="str">
        <f t="shared" si="67"/>
        <v>ماليزى اسنان</v>
      </c>
    </row>
    <row r="665" spans="3:86" x14ac:dyDescent="0.25">
      <c r="C665" s="82">
        <v>11663</v>
      </c>
      <c r="D665" s="78">
        <v>6714</v>
      </c>
      <c r="E665" s="107" t="s">
        <v>121</v>
      </c>
      <c r="F665" s="69" t="str">
        <f>+F664</f>
        <v>مكافاه تدريس فرقه ثانيه</v>
      </c>
      <c r="G665" s="69"/>
      <c r="H665" s="69">
        <v>13794.87</v>
      </c>
      <c r="U665" s="69"/>
      <c r="V665" s="69"/>
      <c r="AS665" s="94">
        <f t="shared" si="68"/>
        <v>13794.87</v>
      </c>
      <c r="AT665" s="69">
        <v>12148.7</v>
      </c>
      <c r="AU665" s="69">
        <v>1458.05</v>
      </c>
      <c r="AV665" s="69">
        <v>188.12</v>
      </c>
      <c r="BD665" s="69"/>
      <c r="BE665" s="69"/>
      <c r="CE665" s="94">
        <f t="shared" si="65"/>
        <v>13794.87</v>
      </c>
      <c r="CF665" s="73">
        <f t="shared" si="63"/>
        <v>0</v>
      </c>
      <c r="CG665" s="75">
        <f t="shared" si="67"/>
        <v>6714</v>
      </c>
      <c r="CH665" s="75" t="str">
        <f t="shared" si="67"/>
        <v>ماليزى اسنان</v>
      </c>
    </row>
    <row r="666" spans="3:86" x14ac:dyDescent="0.25">
      <c r="C666" s="82">
        <v>11662</v>
      </c>
      <c r="D666" s="78">
        <v>6715</v>
      </c>
      <c r="E666" s="107" t="s">
        <v>121</v>
      </c>
      <c r="F666" s="69" t="str">
        <f>+F665</f>
        <v>مكافاه تدريس فرقه ثانيه</v>
      </c>
      <c r="G666" s="69"/>
      <c r="H666" s="69">
        <v>13745.23</v>
      </c>
      <c r="U666" s="69"/>
      <c r="V666" s="69"/>
      <c r="AS666" s="94">
        <f t="shared" si="68"/>
        <v>13745.23</v>
      </c>
      <c r="AT666" s="69">
        <v>12180.06</v>
      </c>
      <c r="AU666" s="69">
        <v>1458.35</v>
      </c>
      <c r="AV666" s="69">
        <v>106.82</v>
      </c>
      <c r="BD666" s="69"/>
      <c r="BE666" s="69"/>
      <c r="CE666" s="94">
        <f t="shared" si="65"/>
        <v>13745.23</v>
      </c>
      <c r="CF666" s="73">
        <f t="shared" si="63"/>
        <v>0</v>
      </c>
      <c r="CG666" s="75">
        <f t="shared" si="67"/>
        <v>6715</v>
      </c>
      <c r="CH666" s="75" t="str">
        <f t="shared" si="67"/>
        <v>ماليزى اسنان</v>
      </c>
    </row>
    <row r="667" spans="3:86" x14ac:dyDescent="0.25">
      <c r="C667" s="82">
        <v>11683</v>
      </c>
      <c r="D667" s="78">
        <v>6716</v>
      </c>
      <c r="E667" s="107" t="s">
        <v>121</v>
      </c>
      <c r="F667" s="69" t="str">
        <f>+F662</f>
        <v>مكافاه تدريس فرقه اولى</v>
      </c>
      <c r="G667" s="69"/>
      <c r="H667" s="69">
        <v>17790</v>
      </c>
      <c r="U667" s="69"/>
      <c r="V667" s="69"/>
      <c r="AS667" s="94">
        <f t="shared" si="68"/>
        <v>17790</v>
      </c>
      <c r="AT667" s="69">
        <v>15869.8</v>
      </c>
      <c r="AU667" s="69">
        <v>1920.2</v>
      </c>
      <c r="BD667" s="69"/>
      <c r="BE667" s="69"/>
      <c r="CE667" s="94">
        <f t="shared" si="65"/>
        <v>17790</v>
      </c>
      <c r="CF667" s="73">
        <f t="shared" si="63"/>
        <v>0</v>
      </c>
      <c r="CG667" s="75">
        <f t="shared" si="67"/>
        <v>6716</v>
      </c>
      <c r="CH667" s="75" t="str">
        <f t="shared" si="67"/>
        <v>ماليزى اسنان</v>
      </c>
    </row>
    <row r="668" spans="3:86" x14ac:dyDescent="0.25">
      <c r="C668" s="82">
        <v>11651</v>
      </c>
      <c r="D668" s="78">
        <v>6717</v>
      </c>
      <c r="E668" s="107" t="s">
        <v>121</v>
      </c>
      <c r="F668" s="69" t="str">
        <f>+F666</f>
        <v>مكافاه تدريس فرقه ثانيه</v>
      </c>
      <c r="G668" s="69"/>
      <c r="H668" s="69">
        <v>16800</v>
      </c>
      <c r="U668" s="69"/>
      <c r="V668" s="69"/>
      <c r="AS668" s="94">
        <f t="shared" si="68"/>
        <v>16800</v>
      </c>
      <c r="AT668" s="69">
        <v>15020</v>
      </c>
      <c r="AU668" s="69">
        <v>1780</v>
      </c>
      <c r="BD668" s="69"/>
      <c r="BE668" s="69"/>
      <c r="CE668" s="94">
        <f t="shared" si="65"/>
        <v>16800</v>
      </c>
      <c r="CF668" s="73">
        <f t="shared" si="63"/>
        <v>0</v>
      </c>
      <c r="CG668" s="75">
        <f t="shared" si="67"/>
        <v>6717</v>
      </c>
      <c r="CH668" s="75" t="str">
        <f t="shared" si="67"/>
        <v>ماليزى اسنان</v>
      </c>
    </row>
    <row r="669" spans="3:86" x14ac:dyDescent="0.25">
      <c r="C669" s="82">
        <v>11693</v>
      </c>
      <c r="D669" s="78">
        <v>6718</v>
      </c>
      <c r="E669" s="107" t="s">
        <v>121</v>
      </c>
      <c r="F669" s="69" t="str">
        <f>+F667</f>
        <v>مكافاه تدريس فرقه اولى</v>
      </c>
      <c r="G669" s="69"/>
      <c r="H669" s="69">
        <v>7644.85</v>
      </c>
      <c r="U669" s="69"/>
      <c r="V669" s="69"/>
      <c r="AS669" s="94">
        <f t="shared" si="68"/>
        <v>7644.85</v>
      </c>
      <c r="AT669" s="69">
        <v>6145.18</v>
      </c>
      <c r="AU669" s="69">
        <v>771.15</v>
      </c>
      <c r="AV669" s="69">
        <v>728.52</v>
      </c>
      <c r="BD669" s="69"/>
      <c r="BE669" s="69"/>
      <c r="CE669" s="94">
        <f t="shared" si="65"/>
        <v>7644.85</v>
      </c>
      <c r="CF669" s="73">
        <f t="shared" si="63"/>
        <v>0</v>
      </c>
      <c r="CG669" s="75">
        <f t="shared" si="67"/>
        <v>6718</v>
      </c>
      <c r="CH669" s="75" t="str">
        <f t="shared" si="67"/>
        <v>ماليزى اسنان</v>
      </c>
    </row>
    <row r="670" spans="3:86" x14ac:dyDescent="0.25">
      <c r="C670" s="82">
        <v>11677</v>
      </c>
      <c r="D670" s="78">
        <v>6719</v>
      </c>
      <c r="E670" s="107" t="s">
        <v>121</v>
      </c>
      <c r="F670" s="69" t="str">
        <f>+F669</f>
        <v>مكافاه تدريس فرقه اولى</v>
      </c>
      <c r="G670" s="69"/>
      <c r="H670" s="69">
        <v>3000</v>
      </c>
      <c r="U670" s="69"/>
      <c r="V670" s="69"/>
      <c r="AS670" s="94">
        <f t="shared" si="68"/>
        <v>3000</v>
      </c>
      <c r="AT670" s="69">
        <v>2677.85</v>
      </c>
      <c r="AU670" s="69">
        <v>322.14999999999998</v>
      </c>
      <c r="BD670" s="69"/>
      <c r="BE670" s="69"/>
      <c r="CE670" s="94">
        <f t="shared" si="65"/>
        <v>3000</v>
      </c>
      <c r="CF670" s="73">
        <f t="shared" si="63"/>
        <v>0</v>
      </c>
      <c r="CG670" s="75">
        <f t="shared" si="67"/>
        <v>6719</v>
      </c>
      <c r="CH670" s="75" t="str">
        <f t="shared" si="67"/>
        <v>ماليزى اسنان</v>
      </c>
    </row>
    <row r="671" spans="3:86" x14ac:dyDescent="0.25">
      <c r="C671" s="82">
        <v>11676</v>
      </c>
      <c r="D671" s="78">
        <v>6720</v>
      </c>
      <c r="E671" s="107" t="s">
        <v>121</v>
      </c>
      <c r="F671" s="69" t="str">
        <f>+F670</f>
        <v>مكافاه تدريس فرقه اولى</v>
      </c>
      <c r="G671" s="69"/>
      <c r="H671" s="69">
        <v>13544.1</v>
      </c>
      <c r="U671" s="69"/>
      <c r="V671" s="69"/>
      <c r="AS671" s="94">
        <f t="shared" si="68"/>
        <v>13544.1</v>
      </c>
      <c r="AT671" s="69">
        <v>11648.99</v>
      </c>
      <c r="AU671" s="69">
        <v>1429.85</v>
      </c>
      <c r="AV671" s="69">
        <v>465.26</v>
      </c>
      <c r="BD671" s="69"/>
      <c r="BE671" s="69"/>
      <c r="CE671" s="94">
        <f t="shared" si="65"/>
        <v>13544.1</v>
      </c>
      <c r="CF671" s="73">
        <f t="shared" si="63"/>
        <v>0</v>
      </c>
      <c r="CG671" s="75">
        <f t="shared" si="67"/>
        <v>6720</v>
      </c>
      <c r="CH671" s="75" t="str">
        <f t="shared" si="67"/>
        <v>ماليزى اسنان</v>
      </c>
    </row>
    <row r="672" spans="3:86" x14ac:dyDescent="0.25">
      <c r="C672" s="82">
        <v>11675</v>
      </c>
      <c r="D672" s="78">
        <v>6721</v>
      </c>
      <c r="E672" s="107" t="s">
        <v>121</v>
      </c>
      <c r="F672" s="69" t="str">
        <f>+F671</f>
        <v>مكافاه تدريس فرقه اولى</v>
      </c>
      <c r="G672" s="69"/>
      <c r="H672" s="69">
        <v>11100</v>
      </c>
      <c r="U672" s="69"/>
      <c r="V672" s="69"/>
      <c r="AS672" s="94">
        <f t="shared" si="68"/>
        <v>11100</v>
      </c>
      <c r="AT672" s="69">
        <v>9905.15</v>
      </c>
      <c r="AU672" s="69">
        <v>1194.8499999999999</v>
      </c>
      <c r="BD672" s="69"/>
      <c r="BE672" s="69"/>
      <c r="CE672" s="94">
        <f t="shared" si="65"/>
        <v>11100</v>
      </c>
      <c r="CF672" s="73">
        <f t="shared" si="63"/>
        <v>0</v>
      </c>
      <c r="CG672" s="75">
        <f t="shared" si="67"/>
        <v>6721</v>
      </c>
      <c r="CH672" s="75" t="str">
        <f t="shared" si="67"/>
        <v>ماليزى اسنان</v>
      </c>
    </row>
    <row r="673" spans="3:86" x14ac:dyDescent="0.25">
      <c r="C673" s="82">
        <v>11674</v>
      </c>
      <c r="D673" s="78">
        <v>6722</v>
      </c>
      <c r="E673" s="107" t="s">
        <v>121</v>
      </c>
      <c r="F673" s="69" t="str">
        <f>+F672</f>
        <v>مكافاه تدريس فرقه اولى</v>
      </c>
      <c r="G673" s="69"/>
      <c r="H673" s="69">
        <v>15600</v>
      </c>
      <c r="U673" s="69"/>
      <c r="V673" s="69"/>
      <c r="AS673" s="94">
        <f t="shared" si="68"/>
        <v>15600</v>
      </c>
      <c r="AT673" s="69">
        <v>13943.6</v>
      </c>
      <c r="AU673" s="69">
        <v>1656.4</v>
      </c>
      <c r="BD673" s="69"/>
      <c r="BE673" s="69"/>
      <c r="CE673" s="94">
        <f t="shared" si="65"/>
        <v>15600</v>
      </c>
      <c r="CF673" s="73">
        <f t="shared" si="63"/>
        <v>0</v>
      </c>
      <c r="CG673" s="75">
        <f t="shared" si="67"/>
        <v>6722</v>
      </c>
      <c r="CH673" s="75" t="str">
        <f t="shared" si="67"/>
        <v>ماليزى اسنان</v>
      </c>
    </row>
    <row r="674" spans="3:86" x14ac:dyDescent="0.25">
      <c r="C674" s="82">
        <v>11654</v>
      </c>
      <c r="D674" s="78">
        <v>6723</v>
      </c>
      <c r="E674" s="107" t="s">
        <v>121</v>
      </c>
      <c r="F674" s="69" t="str">
        <f>+F668</f>
        <v>مكافاه تدريس فرقه ثانيه</v>
      </c>
      <c r="G674" s="69"/>
      <c r="H674" s="69">
        <v>17591.48</v>
      </c>
      <c r="U674" s="69"/>
      <c r="V674" s="69"/>
      <c r="AS674" s="94">
        <f t="shared" si="68"/>
        <v>17591.48</v>
      </c>
      <c r="AT674" s="69">
        <v>14675.25</v>
      </c>
      <c r="AU674" s="69">
        <v>1816.55</v>
      </c>
      <c r="AV674" s="69">
        <v>1099.68</v>
      </c>
      <c r="BD674" s="69"/>
      <c r="BE674" s="69"/>
      <c r="CE674" s="94">
        <f t="shared" si="65"/>
        <v>17591.48</v>
      </c>
      <c r="CF674" s="73">
        <f t="shared" ref="CF674:CF720" si="69">+CE674-AS674</f>
        <v>0</v>
      </c>
      <c r="CG674" s="75">
        <f t="shared" si="67"/>
        <v>6723</v>
      </c>
      <c r="CH674" s="75" t="str">
        <f t="shared" si="67"/>
        <v>ماليزى اسنان</v>
      </c>
    </row>
    <row r="675" spans="3:86" x14ac:dyDescent="0.25">
      <c r="C675" s="82">
        <v>11653</v>
      </c>
      <c r="D675" s="78">
        <v>6724</v>
      </c>
      <c r="E675" s="107" t="s">
        <v>121</v>
      </c>
      <c r="F675" s="69" t="str">
        <f t="shared" ref="F675:F684" si="70">+F674</f>
        <v>مكافاه تدريس فرقه ثانيه</v>
      </c>
      <c r="G675" s="69"/>
      <c r="H675" s="69">
        <v>5400</v>
      </c>
      <c r="U675" s="69"/>
      <c r="V675" s="69"/>
      <c r="AS675" s="94">
        <f t="shared" si="68"/>
        <v>5400</v>
      </c>
      <c r="AT675" s="69">
        <v>4817.2</v>
      </c>
      <c r="AU675" s="69">
        <v>582.79999999999995</v>
      </c>
      <c r="BD675" s="69"/>
      <c r="BE675" s="69"/>
      <c r="CE675" s="94">
        <f t="shared" si="65"/>
        <v>5400</v>
      </c>
      <c r="CF675" s="73">
        <f t="shared" si="69"/>
        <v>0</v>
      </c>
      <c r="CG675" s="75">
        <f t="shared" si="67"/>
        <v>6724</v>
      </c>
      <c r="CH675" s="75" t="str">
        <f t="shared" si="67"/>
        <v>ماليزى اسنان</v>
      </c>
    </row>
    <row r="676" spans="3:86" x14ac:dyDescent="0.25">
      <c r="C676" s="82">
        <v>11652</v>
      </c>
      <c r="D676" s="78">
        <v>6725</v>
      </c>
      <c r="E676" s="107" t="s">
        <v>121</v>
      </c>
      <c r="F676" s="69" t="str">
        <f t="shared" si="70"/>
        <v>مكافاه تدريس فرقه ثانيه</v>
      </c>
      <c r="G676" s="69"/>
      <c r="H676" s="69">
        <v>12600</v>
      </c>
      <c r="U676" s="69"/>
      <c r="V676" s="69"/>
      <c r="AS676" s="94">
        <f t="shared" si="68"/>
        <v>12600</v>
      </c>
      <c r="AT676" s="69">
        <v>11252.6</v>
      </c>
      <c r="AU676" s="69">
        <v>1347.4</v>
      </c>
      <c r="BD676" s="69"/>
      <c r="BE676" s="69"/>
      <c r="CE676" s="94">
        <f t="shared" si="65"/>
        <v>12600</v>
      </c>
      <c r="CF676" s="73">
        <f t="shared" si="69"/>
        <v>0</v>
      </c>
      <c r="CG676" s="75">
        <f t="shared" si="67"/>
        <v>6725</v>
      </c>
      <c r="CH676" s="75" t="str">
        <f t="shared" si="67"/>
        <v>ماليزى اسنان</v>
      </c>
    </row>
    <row r="677" spans="3:86" x14ac:dyDescent="0.25">
      <c r="C677" s="82">
        <v>11650</v>
      </c>
      <c r="D677" s="78">
        <v>6726</v>
      </c>
      <c r="E677" s="107" t="s">
        <v>121</v>
      </c>
      <c r="F677" s="69" t="str">
        <f t="shared" si="70"/>
        <v>مكافاه تدريس فرقه ثانيه</v>
      </c>
      <c r="G677" s="69"/>
      <c r="H677" s="69">
        <v>5400</v>
      </c>
      <c r="U677" s="69"/>
      <c r="V677" s="69"/>
      <c r="AS677" s="94">
        <f t="shared" si="68"/>
        <v>5400</v>
      </c>
      <c r="AT677" s="69">
        <v>4817.2</v>
      </c>
      <c r="AU677" s="69">
        <v>582.79999999999995</v>
      </c>
      <c r="BD677" s="69"/>
      <c r="BE677" s="69"/>
      <c r="CE677" s="94">
        <f t="shared" si="65"/>
        <v>5400</v>
      </c>
      <c r="CF677" s="73">
        <f t="shared" si="69"/>
        <v>0</v>
      </c>
      <c r="CG677" s="75">
        <f t="shared" si="67"/>
        <v>6726</v>
      </c>
      <c r="CH677" s="75" t="str">
        <f t="shared" si="67"/>
        <v>ماليزى اسنان</v>
      </c>
    </row>
    <row r="678" spans="3:86" x14ac:dyDescent="0.25">
      <c r="C678" s="82">
        <v>11660</v>
      </c>
      <c r="D678" s="78">
        <v>6727</v>
      </c>
      <c r="E678" s="107" t="s">
        <v>121</v>
      </c>
      <c r="F678" s="69" t="str">
        <f t="shared" si="70"/>
        <v>مكافاه تدريس فرقه ثانيه</v>
      </c>
      <c r="G678" s="69"/>
      <c r="H678" s="69">
        <v>7200</v>
      </c>
      <c r="U678" s="69"/>
      <c r="V678" s="69"/>
      <c r="AS678" s="94">
        <f t="shared" si="68"/>
        <v>7200</v>
      </c>
      <c r="AT678" s="69">
        <v>6426.7</v>
      </c>
      <c r="AU678" s="69">
        <v>773.3</v>
      </c>
      <c r="BD678" s="69"/>
      <c r="BE678" s="69"/>
      <c r="CE678" s="94">
        <f t="shared" si="65"/>
        <v>7200</v>
      </c>
      <c r="CF678" s="73">
        <f t="shared" si="69"/>
        <v>0</v>
      </c>
      <c r="CG678" s="75">
        <f t="shared" si="67"/>
        <v>6727</v>
      </c>
      <c r="CH678" s="75" t="str">
        <f t="shared" si="67"/>
        <v>ماليزى اسنان</v>
      </c>
    </row>
    <row r="679" spans="3:86" x14ac:dyDescent="0.25">
      <c r="C679" s="82">
        <v>11659</v>
      </c>
      <c r="D679" s="78">
        <v>6728</v>
      </c>
      <c r="E679" s="107" t="s">
        <v>121</v>
      </c>
      <c r="F679" s="69" t="str">
        <f t="shared" si="70"/>
        <v>مكافاه تدريس فرقه ثانيه</v>
      </c>
      <c r="G679" s="69"/>
      <c r="H679" s="69">
        <v>12360</v>
      </c>
      <c r="U679" s="69"/>
      <c r="V679" s="69"/>
      <c r="AS679" s="94">
        <f t="shared" si="68"/>
        <v>12360</v>
      </c>
      <c r="AT679" s="69">
        <v>11027.45</v>
      </c>
      <c r="AU679" s="69">
        <v>1332.55</v>
      </c>
      <c r="BD679" s="69"/>
      <c r="BE679" s="69"/>
      <c r="CE679" s="94">
        <f t="shared" si="65"/>
        <v>12360</v>
      </c>
      <c r="CF679" s="73">
        <f t="shared" si="69"/>
        <v>0</v>
      </c>
      <c r="CG679" s="75">
        <f t="shared" si="67"/>
        <v>6728</v>
      </c>
      <c r="CH679" s="75" t="str">
        <f t="shared" si="67"/>
        <v>ماليزى اسنان</v>
      </c>
    </row>
    <row r="680" spans="3:86" x14ac:dyDescent="0.25">
      <c r="C680" s="82">
        <v>11658</v>
      </c>
      <c r="D680" s="78">
        <v>6729</v>
      </c>
      <c r="E680" s="107" t="s">
        <v>121</v>
      </c>
      <c r="F680" s="69" t="str">
        <f t="shared" si="70"/>
        <v>مكافاه تدريس فرقه ثانيه</v>
      </c>
      <c r="G680" s="69"/>
      <c r="H680" s="69">
        <v>13171.3</v>
      </c>
      <c r="U680" s="69"/>
      <c r="V680" s="69"/>
      <c r="AS680" s="94">
        <f t="shared" si="68"/>
        <v>13171.3</v>
      </c>
      <c r="AT680" s="69">
        <v>11107.25</v>
      </c>
      <c r="AU680" s="69">
        <v>1374.1</v>
      </c>
      <c r="AV680" s="69">
        <v>689.95</v>
      </c>
      <c r="BD680" s="69"/>
      <c r="BE680" s="69"/>
      <c r="CE680" s="94">
        <f t="shared" si="65"/>
        <v>13171.300000000001</v>
      </c>
      <c r="CF680" s="73">
        <f t="shared" si="69"/>
        <v>0</v>
      </c>
      <c r="CG680" s="75">
        <f t="shared" si="67"/>
        <v>6729</v>
      </c>
      <c r="CH680" s="75" t="str">
        <f t="shared" si="67"/>
        <v>ماليزى اسنان</v>
      </c>
    </row>
    <row r="681" spans="3:86" x14ac:dyDescent="0.25">
      <c r="C681" s="82">
        <v>11657</v>
      </c>
      <c r="D681" s="78">
        <v>6730</v>
      </c>
      <c r="E681" s="107" t="s">
        <v>121</v>
      </c>
      <c r="F681" s="69" t="str">
        <f t="shared" si="70"/>
        <v>مكافاه تدريس فرقه ثانيه</v>
      </c>
      <c r="G681" s="69"/>
      <c r="H681" s="69">
        <v>13140</v>
      </c>
      <c r="U681" s="69"/>
      <c r="V681" s="69"/>
      <c r="AS681" s="94">
        <f t="shared" si="68"/>
        <v>13140</v>
      </c>
      <c r="AT681" s="69">
        <v>11727.15</v>
      </c>
      <c r="AU681" s="69">
        <v>1412.85</v>
      </c>
      <c r="BD681" s="69"/>
      <c r="BE681" s="69"/>
      <c r="CE681" s="94">
        <f t="shared" si="65"/>
        <v>13140</v>
      </c>
      <c r="CF681" s="73">
        <f t="shared" si="69"/>
        <v>0</v>
      </c>
      <c r="CG681" s="75">
        <f t="shared" si="67"/>
        <v>6730</v>
      </c>
      <c r="CH681" s="75" t="str">
        <f t="shared" si="67"/>
        <v>ماليزى اسنان</v>
      </c>
    </row>
    <row r="682" spans="3:86" x14ac:dyDescent="0.25">
      <c r="C682" s="82">
        <v>11656</v>
      </c>
      <c r="D682" s="78">
        <v>6731</v>
      </c>
      <c r="E682" s="107" t="s">
        <v>121</v>
      </c>
      <c r="F682" s="69" t="str">
        <f t="shared" si="70"/>
        <v>مكافاه تدريس فرقه ثانيه</v>
      </c>
      <c r="G682" s="69"/>
      <c r="H682" s="69">
        <v>6570</v>
      </c>
      <c r="U682" s="69"/>
      <c r="V682" s="69"/>
      <c r="AS682" s="94">
        <f t="shared" si="68"/>
        <v>6570</v>
      </c>
      <c r="AT682" s="69">
        <v>5862.7</v>
      </c>
      <c r="AU682" s="69">
        <v>707.3</v>
      </c>
      <c r="BD682" s="69"/>
      <c r="BE682" s="69"/>
      <c r="CE682" s="94">
        <f t="shared" si="65"/>
        <v>6570</v>
      </c>
      <c r="CF682" s="73">
        <f t="shared" si="69"/>
        <v>0</v>
      </c>
      <c r="CG682" s="75">
        <f t="shared" si="67"/>
        <v>6731</v>
      </c>
      <c r="CH682" s="75" t="str">
        <f t="shared" si="67"/>
        <v>ماليزى اسنان</v>
      </c>
    </row>
    <row r="683" spans="3:86" x14ac:dyDescent="0.25">
      <c r="C683" s="82">
        <v>11655</v>
      </c>
      <c r="D683" s="78">
        <v>6732</v>
      </c>
      <c r="E683" s="107" t="s">
        <v>121</v>
      </c>
      <c r="F683" s="69" t="str">
        <f t="shared" si="70"/>
        <v>مكافاه تدريس فرقه ثانيه</v>
      </c>
      <c r="G683" s="69"/>
      <c r="H683" s="69">
        <v>7200</v>
      </c>
      <c r="U683" s="69"/>
      <c r="V683" s="69"/>
      <c r="AS683" s="94">
        <f t="shared" si="68"/>
        <v>7200</v>
      </c>
      <c r="AT683" s="69">
        <v>6422.8</v>
      </c>
      <c r="AU683" s="69">
        <v>777.2</v>
      </c>
      <c r="BD683" s="69"/>
      <c r="BE683" s="69"/>
      <c r="CE683" s="94">
        <f t="shared" si="65"/>
        <v>7200</v>
      </c>
      <c r="CF683" s="73">
        <f t="shared" si="69"/>
        <v>0</v>
      </c>
      <c r="CG683" s="75">
        <f t="shared" si="67"/>
        <v>6732</v>
      </c>
      <c r="CH683" s="75" t="str">
        <f t="shared" si="67"/>
        <v>ماليزى اسنان</v>
      </c>
    </row>
    <row r="684" spans="3:86" x14ac:dyDescent="0.25">
      <c r="C684" s="82">
        <v>11661</v>
      </c>
      <c r="D684" s="78">
        <v>6733</v>
      </c>
      <c r="E684" s="107" t="s">
        <v>121</v>
      </c>
      <c r="F684" s="69" t="str">
        <f t="shared" si="70"/>
        <v>مكافاه تدريس فرقه ثانيه</v>
      </c>
      <c r="G684" s="69"/>
      <c r="H684" s="69">
        <v>12600</v>
      </c>
      <c r="U684" s="69"/>
      <c r="V684" s="69"/>
      <c r="AS684" s="94">
        <f t="shared" si="68"/>
        <v>12600</v>
      </c>
      <c r="AT684" s="69">
        <v>11252.6</v>
      </c>
      <c r="AU684" s="69">
        <v>1347.4</v>
      </c>
      <c r="BD684" s="69"/>
      <c r="BE684" s="69"/>
      <c r="CE684" s="94">
        <f t="shared" si="65"/>
        <v>12600</v>
      </c>
      <c r="CF684" s="73">
        <f t="shared" si="69"/>
        <v>0</v>
      </c>
      <c r="CG684" s="75">
        <f t="shared" si="67"/>
        <v>6733</v>
      </c>
      <c r="CH684" s="75" t="str">
        <f t="shared" si="67"/>
        <v>ماليزى اسنان</v>
      </c>
    </row>
    <row r="685" spans="3:86" x14ac:dyDescent="0.25">
      <c r="C685" s="82">
        <v>11669</v>
      </c>
      <c r="D685" s="78">
        <v>6734</v>
      </c>
      <c r="E685" s="107" t="s">
        <v>121</v>
      </c>
      <c r="F685" s="69" t="str">
        <f>+F669</f>
        <v>مكافاه تدريس فرقه اولى</v>
      </c>
      <c r="G685" s="69"/>
      <c r="H685" s="69">
        <v>10287.39</v>
      </c>
      <c r="U685" s="69"/>
      <c r="V685" s="69"/>
      <c r="AS685" s="94">
        <f t="shared" si="68"/>
        <v>10287.39</v>
      </c>
      <c r="AT685" s="69">
        <v>8128.76</v>
      </c>
      <c r="AU685" s="69">
        <v>1032.9000000000001</v>
      </c>
      <c r="AV685" s="69">
        <v>1125.73</v>
      </c>
      <c r="BD685" s="69"/>
      <c r="BE685" s="69"/>
      <c r="CE685" s="94">
        <f t="shared" si="65"/>
        <v>10287.39</v>
      </c>
      <c r="CF685" s="73">
        <f t="shared" si="69"/>
        <v>0</v>
      </c>
      <c r="CG685" s="75">
        <f t="shared" si="67"/>
        <v>6734</v>
      </c>
      <c r="CH685" s="75" t="str">
        <f t="shared" si="67"/>
        <v>ماليزى اسنان</v>
      </c>
    </row>
    <row r="686" spans="3:86" x14ac:dyDescent="0.25">
      <c r="C686" s="82">
        <v>11668</v>
      </c>
      <c r="D686" s="78">
        <v>6735</v>
      </c>
      <c r="E686" s="107" t="s">
        <v>121</v>
      </c>
      <c r="F686" s="69" t="str">
        <f>+F670</f>
        <v>مكافاه تدريس فرقه اولى</v>
      </c>
      <c r="G686" s="69"/>
      <c r="H686" s="69">
        <v>24154.79</v>
      </c>
      <c r="U686" s="69"/>
      <c r="V686" s="69"/>
      <c r="AS686" s="94">
        <f t="shared" si="68"/>
        <v>24154.79</v>
      </c>
      <c r="AT686" s="69">
        <v>20358.490000000002</v>
      </c>
      <c r="AU686" s="69">
        <v>2511.0500000000002</v>
      </c>
      <c r="AV686" s="69">
        <v>1285.25</v>
      </c>
      <c r="BD686" s="69"/>
      <c r="BE686" s="69"/>
      <c r="CE686" s="94">
        <f t="shared" si="65"/>
        <v>24154.79</v>
      </c>
      <c r="CF686" s="73">
        <f t="shared" si="69"/>
        <v>0</v>
      </c>
      <c r="CG686" s="75">
        <f t="shared" si="67"/>
        <v>6735</v>
      </c>
      <c r="CH686" s="75" t="str">
        <f t="shared" si="67"/>
        <v>ماليزى اسنان</v>
      </c>
    </row>
    <row r="687" spans="3:86" x14ac:dyDescent="0.25">
      <c r="C687" s="82">
        <v>11667</v>
      </c>
      <c r="D687" s="78">
        <v>6736</v>
      </c>
      <c r="E687" s="107" t="s">
        <v>121</v>
      </c>
      <c r="F687" s="69" t="str">
        <f>+F671</f>
        <v>مكافاه تدريس فرقه اولى</v>
      </c>
      <c r="G687" s="69"/>
      <c r="H687" s="69">
        <v>14400</v>
      </c>
      <c r="U687" s="69"/>
      <c r="V687" s="69"/>
      <c r="AS687" s="94">
        <f t="shared" si="68"/>
        <v>14400</v>
      </c>
      <c r="AT687" s="69">
        <v>12853.05</v>
      </c>
      <c r="AU687" s="69">
        <v>1546.95</v>
      </c>
      <c r="BD687" s="69"/>
      <c r="BE687" s="69"/>
      <c r="CE687" s="94">
        <f t="shared" si="65"/>
        <v>14400</v>
      </c>
      <c r="CF687" s="73">
        <f t="shared" si="69"/>
        <v>0</v>
      </c>
      <c r="CG687" s="75">
        <f t="shared" si="67"/>
        <v>6736</v>
      </c>
      <c r="CH687" s="75" t="str">
        <f t="shared" si="67"/>
        <v>ماليزى اسنان</v>
      </c>
    </row>
    <row r="688" spans="3:86" x14ac:dyDescent="0.25">
      <c r="C688" s="82">
        <v>11690</v>
      </c>
      <c r="D688" s="78">
        <v>6737</v>
      </c>
      <c r="E688" s="107" t="s">
        <v>121</v>
      </c>
      <c r="F688" s="69" t="str">
        <f>+F672</f>
        <v>مكافاه تدريس فرقه اولى</v>
      </c>
      <c r="G688" s="69"/>
      <c r="H688" s="69">
        <v>3240</v>
      </c>
      <c r="U688" s="69"/>
      <c r="V688" s="69"/>
      <c r="AS688" s="94">
        <f t="shared" si="68"/>
        <v>3240</v>
      </c>
      <c r="AT688" s="69">
        <v>2892.05</v>
      </c>
      <c r="AU688" s="69">
        <v>347.95</v>
      </c>
      <c r="BD688" s="69"/>
      <c r="BE688" s="69"/>
      <c r="CE688" s="94">
        <f t="shared" si="65"/>
        <v>3240</v>
      </c>
      <c r="CF688" s="73">
        <f t="shared" si="69"/>
        <v>0</v>
      </c>
      <c r="CG688" s="75">
        <f t="shared" si="67"/>
        <v>6737</v>
      </c>
      <c r="CH688" s="75" t="str">
        <f t="shared" si="67"/>
        <v>ماليزى اسنان</v>
      </c>
    </row>
    <row r="689" spans="3:86" x14ac:dyDescent="0.25">
      <c r="C689" s="82">
        <v>11689</v>
      </c>
      <c r="D689" s="78">
        <v>6738</v>
      </c>
      <c r="E689" s="107" t="s">
        <v>121</v>
      </c>
      <c r="F689" s="69" t="str">
        <f>+F673</f>
        <v>مكافاه تدريس فرقه اولى</v>
      </c>
      <c r="G689" s="69"/>
      <c r="H689" s="69">
        <v>13140</v>
      </c>
      <c r="U689" s="69"/>
      <c r="V689" s="69"/>
      <c r="AS689" s="94">
        <f t="shared" si="68"/>
        <v>13140</v>
      </c>
      <c r="AT689" s="69">
        <v>11721.65</v>
      </c>
      <c r="AU689" s="69">
        <v>1418.35</v>
      </c>
      <c r="BD689" s="69"/>
      <c r="BE689" s="69"/>
      <c r="CE689" s="94">
        <f t="shared" si="65"/>
        <v>13140</v>
      </c>
      <c r="CF689" s="73">
        <f t="shared" si="69"/>
        <v>0</v>
      </c>
      <c r="CG689" s="75">
        <f t="shared" si="67"/>
        <v>6738</v>
      </c>
      <c r="CH689" s="75" t="str">
        <f t="shared" si="67"/>
        <v>ماليزى اسنان</v>
      </c>
    </row>
    <row r="690" spans="3:86" x14ac:dyDescent="0.25">
      <c r="C690" s="82">
        <v>11688</v>
      </c>
      <c r="D690" s="78">
        <v>6739</v>
      </c>
      <c r="E690" s="107" t="s">
        <v>121</v>
      </c>
      <c r="F690" s="69" t="str">
        <f>+F689</f>
        <v>مكافاه تدريس فرقه اولى</v>
      </c>
      <c r="G690" s="69"/>
      <c r="H690" s="69">
        <v>3600</v>
      </c>
      <c r="U690" s="69"/>
      <c r="V690" s="69"/>
      <c r="AS690" s="94">
        <f t="shared" si="68"/>
        <v>3600</v>
      </c>
      <c r="AT690" s="69">
        <v>3213.35</v>
      </c>
      <c r="AU690" s="69">
        <v>386.65</v>
      </c>
      <c r="BD690" s="69"/>
      <c r="BE690" s="69"/>
      <c r="CE690" s="94">
        <f t="shared" si="65"/>
        <v>3600</v>
      </c>
      <c r="CF690" s="73">
        <f t="shared" si="69"/>
        <v>0</v>
      </c>
      <c r="CG690" s="75">
        <f t="shared" si="67"/>
        <v>6739</v>
      </c>
      <c r="CH690" s="75" t="str">
        <f t="shared" si="67"/>
        <v>ماليزى اسنان</v>
      </c>
    </row>
    <row r="691" spans="3:86" x14ac:dyDescent="0.25">
      <c r="C691" s="82">
        <v>11687</v>
      </c>
      <c r="D691" s="78">
        <v>6740</v>
      </c>
      <c r="E691" s="107" t="s">
        <v>121</v>
      </c>
      <c r="F691" s="69" t="str">
        <f>+F690</f>
        <v>مكافاه تدريس فرقه اولى</v>
      </c>
      <c r="G691" s="69"/>
      <c r="H691" s="69">
        <v>4200</v>
      </c>
      <c r="U691" s="69"/>
      <c r="V691" s="69"/>
      <c r="AS691" s="94">
        <f t="shared" si="68"/>
        <v>4200</v>
      </c>
      <c r="AT691" s="69">
        <v>3748.85</v>
      </c>
      <c r="AU691" s="69">
        <v>451.15</v>
      </c>
      <c r="BD691" s="69"/>
      <c r="BE691" s="69"/>
      <c r="CE691" s="94">
        <f t="shared" si="65"/>
        <v>4200</v>
      </c>
      <c r="CF691" s="73">
        <f t="shared" si="69"/>
        <v>0</v>
      </c>
      <c r="CG691" s="75">
        <f t="shared" si="67"/>
        <v>6740</v>
      </c>
      <c r="CH691" s="75" t="str">
        <f t="shared" si="67"/>
        <v>ماليزى اسنان</v>
      </c>
    </row>
    <row r="692" spans="3:86" x14ac:dyDescent="0.25">
      <c r="C692" s="82">
        <v>11691</v>
      </c>
      <c r="D692" s="78">
        <v>6741</v>
      </c>
      <c r="E692" s="107" t="s">
        <v>121</v>
      </c>
      <c r="F692" s="69" t="str">
        <f>+F691</f>
        <v>مكافاه تدريس فرقه اولى</v>
      </c>
      <c r="G692" s="69"/>
      <c r="H692" s="69">
        <v>2190</v>
      </c>
      <c r="U692" s="69"/>
      <c r="V692" s="69"/>
      <c r="AS692" s="94">
        <f t="shared" si="68"/>
        <v>2190</v>
      </c>
      <c r="AT692" s="69">
        <v>1955.75</v>
      </c>
      <c r="AU692" s="69">
        <v>234.25</v>
      </c>
      <c r="BD692" s="69"/>
      <c r="BE692" s="69"/>
      <c r="CE692" s="94">
        <f t="shared" si="65"/>
        <v>2190</v>
      </c>
      <c r="CF692" s="73">
        <f t="shared" si="69"/>
        <v>0</v>
      </c>
      <c r="CG692" s="75">
        <f t="shared" si="67"/>
        <v>6741</v>
      </c>
      <c r="CH692" s="75" t="str">
        <f t="shared" si="67"/>
        <v>ماليزى اسنان</v>
      </c>
    </row>
    <row r="693" spans="3:86" x14ac:dyDescent="0.25">
      <c r="C693" s="82">
        <v>11692</v>
      </c>
      <c r="D693" s="78">
        <v>6742</v>
      </c>
      <c r="E693" s="107" t="s">
        <v>121</v>
      </c>
      <c r="F693" s="69" t="str">
        <f>+F692</f>
        <v>مكافاه تدريس فرقه اولى</v>
      </c>
      <c r="G693" s="69"/>
      <c r="H693" s="69">
        <v>633.15</v>
      </c>
      <c r="U693" s="69"/>
      <c r="V693" s="69"/>
      <c r="AS693" s="94">
        <f t="shared" si="68"/>
        <v>633.15</v>
      </c>
      <c r="AT693" s="69">
        <v>423.55</v>
      </c>
      <c r="AU693" s="69">
        <v>57.05</v>
      </c>
      <c r="AV693" s="69">
        <v>152.55000000000001</v>
      </c>
      <c r="BD693" s="69"/>
      <c r="BE693" s="69"/>
      <c r="CE693" s="94">
        <f t="shared" si="65"/>
        <v>633.15000000000009</v>
      </c>
      <c r="CF693" s="73">
        <f t="shared" si="69"/>
        <v>0</v>
      </c>
      <c r="CG693" s="75">
        <f t="shared" si="67"/>
        <v>6742</v>
      </c>
      <c r="CH693" s="75" t="str">
        <f t="shared" si="67"/>
        <v>ماليزى اسنان</v>
      </c>
    </row>
    <row r="694" spans="3:86" x14ac:dyDescent="0.25">
      <c r="C694" s="82">
        <v>11694</v>
      </c>
      <c r="D694" s="78">
        <v>6743</v>
      </c>
      <c r="E694" s="107" t="s">
        <v>121</v>
      </c>
      <c r="F694" s="69" t="str">
        <f>+F693</f>
        <v>مكافاه تدريس فرقه اولى</v>
      </c>
      <c r="G694" s="69"/>
      <c r="H694" s="69">
        <v>15336.3</v>
      </c>
      <c r="U694" s="69"/>
      <c r="V694" s="69"/>
      <c r="AS694" s="94">
        <f t="shared" si="68"/>
        <v>15336.3</v>
      </c>
      <c r="AT694" s="69">
        <v>10229.35</v>
      </c>
      <c r="AU694" s="69">
        <f>103.85+1308</f>
        <v>1411.85</v>
      </c>
      <c r="AV694" s="69">
        <v>3695.1</v>
      </c>
      <c r="BD694" s="69"/>
      <c r="BE694" s="69"/>
      <c r="CE694" s="94">
        <f t="shared" si="65"/>
        <v>15336.300000000001</v>
      </c>
      <c r="CF694" s="73">
        <f t="shared" si="69"/>
        <v>0</v>
      </c>
      <c r="CG694" s="75">
        <f t="shared" si="67"/>
        <v>6743</v>
      </c>
      <c r="CH694" s="75" t="str">
        <f t="shared" si="67"/>
        <v>ماليزى اسنان</v>
      </c>
    </row>
    <row r="695" spans="3:86" x14ac:dyDescent="0.25">
      <c r="C695" s="82">
        <v>12080</v>
      </c>
      <c r="D695" s="78">
        <v>6744</v>
      </c>
      <c r="E695" s="107" t="s">
        <v>121</v>
      </c>
      <c r="F695" s="69" t="str">
        <f>+F616</f>
        <v>مكافاه تدريس فرقه رابعه</v>
      </c>
      <c r="G695" s="69"/>
      <c r="H695" s="69">
        <v>211860</v>
      </c>
      <c r="U695" s="69"/>
      <c r="V695" s="69"/>
      <c r="AS695" s="94">
        <f t="shared" si="68"/>
        <v>211860</v>
      </c>
      <c r="AT695" s="69">
        <v>189443.05</v>
      </c>
      <c r="AU695" s="69">
        <v>22416.95</v>
      </c>
      <c r="BD695" s="69"/>
      <c r="BE695" s="69"/>
      <c r="CE695" s="94">
        <f t="shared" si="65"/>
        <v>211860</v>
      </c>
      <c r="CF695" s="73">
        <f t="shared" si="69"/>
        <v>0</v>
      </c>
      <c r="CG695" s="75">
        <f t="shared" si="67"/>
        <v>6744</v>
      </c>
      <c r="CH695" s="75" t="str">
        <f t="shared" si="67"/>
        <v>ماليزى اسنان</v>
      </c>
    </row>
    <row r="696" spans="3:86" x14ac:dyDescent="0.25">
      <c r="C696" s="82">
        <v>12079</v>
      </c>
      <c r="D696" s="78">
        <v>6745</v>
      </c>
      <c r="E696" s="107" t="s">
        <v>121</v>
      </c>
      <c r="F696" s="69" t="str">
        <f t="shared" ref="F696:F701" si="71">+F695</f>
        <v>مكافاه تدريس فرقه رابعه</v>
      </c>
      <c r="G696" s="69"/>
      <c r="H696" s="69">
        <v>52680</v>
      </c>
      <c r="U696" s="69"/>
      <c r="V696" s="69"/>
      <c r="AS696" s="94">
        <f t="shared" si="68"/>
        <v>52680</v>
      </c>
      <c r="AT696" s="69">
        <v>47055.45</v>
      </c>
      <c r="AU696" s="69">
        <v>5624.55</v>
      </c>
      <c r="BD696" s="69"/>
      <c r="BE696" s="69"/>
      <c r="CE696" s="94">
        <f t="shared" si="65"/>
        <v>52680</v>
      </c>
      <c r="CF696" s="73">
        <f t="shared" si="69"/>
        <v>0</v>
      </c>
      <c r="CG696" s="75">
        <f t="shared" si="67"/>
        <v>6745</v>
      </c>
      <c r="CH696" s="75" t="str">
        <f t="shared" si="67"/>
        <v>ماليزى اسنان</v>
      </c>
    </row>
    <row r="697" spans="3:86" x14ac:dyDescent="0.25">
      <c r="C697" s="82">
        <v>12078</v>
      </c>
      <c r="D697" s="78">
        <v>6746</v>
      </c>
      <c r="E697" s="107" t="s">
        <v>121</v>
      </c>
      <c r="F697" s="69" t="str">
        <f t="shared" si="71"/>
        <v>مكافاه تدريس فرقه رابعه</v>
      </c>
      <c r="G697" s="69"/>
      <c r="H697" s="69">
        <v>7080</v>
      </c>
      <c r="U697" s="69"/>
      <c r="V697" s="69"/>
      <c r="AS697" s="94">
        <f t="shared" si="68"/>
        <v>7080</v>
      </c>
      <c r="AT697" s="69">
        <v>6321.15</v>
      </c>
      <c r="AU697" s="69">
        <v>758.85</v>
      </c>
      <c r="BD697" s="69"/>
      <c r="BE697" s="69"/>
      <c r="CE697" s="94">
        <f t="shared" si="65"/>
        <v>7080</v>
      </c>
      <c r="CF697" s="73">
        <f t="shared" si="69"/>
        <v>0</v>
      </c>
      <c r="CG697" s="75">
        <f t="shared" si="67"/>
        <v>6746</v>
      </c>
      <c r="CH697" s="75" t="str">
        <f t="shared" si="67"/>
        <v>ماليزى اسنان</v>
      </c>
    </row>
    <row r="698" spans="3:86" x14ac:dyDescent="0.25">
      <c r="C698" s="82">
        <v>12077</v>
      </c>
      <c r="D698" s="78">
        <v>6747</v>
      </c>
      <c r="E698" s="107" t="s">
        <v>121</v>
      </c>
      <c r="F698" s="69" t="str">
        <f t="shared" si="71"/>
        <v>مكافاه تدريس فرقه رابعه</v>
      </c>
      <c r="G698" s="69"/>
      <c r="H698" s="69">
        <v>153775.81</v>
      </c>
      <c r="U698" s="69"/>
      <c r="V698" s="69"/>
      <c r="AS698" s="94">
        <f t="shared" si="68"/>
        <v>153775.81</v>
      </c>
      <c r="AT698" s="69">
        <v>129324.55</v>
      </c>
      <c r="AU698" s="69">
        <v>15811.15</v>
      </c>
      <c r="AV698" s="69">
        <v>8640.11</v>
      </c>
      <c r="BD698" s="69"/>
      <c r="BE698" s="69"/>
      <c r="CE698" s="94">
        <f t="shared" si="65"/>
        <v>153775.81</v>
      </c>
      <c r="CF698" s="73">
        <f t="shared" si="69"/>
        <v>0</v>
      </c>
      <c r="CG698" s="75">
        <f t="shared" si="67"/>
        <v>6747</v>
      </c>
      <c r="CH698" s="75" t="str">
        <f t="shared" si="67"/>
        <v>ماليزى اسنان</v>
      </c>
    </row>
    <row r="699" spans="3:86" x14ac:dyDescent="0.25">
      <c r="C699" s="82">
        <v>12076</v>
      </c>
      <c r="D699" s="78">
        <v>6748</v>
      </c>
      <c r="E699" s="107" t="s">
        <v>121</v>
      </c>
      <c r="F699" s="69" t="str">
        <f t="shared" si="71"/>
        <v>مكافاه تدريس فرقه رابعه</v>
      </c>
      <c r="G699" s="69"/>
      <c r="H699" s="69">
        <v>14145.75</v>
      </c>
      <c r="U699" s="69"/>
      <c r="V699" s="69"/>
      <c r="AS699" s="94">
        <f t="shared" si="68"/>
        <v>14145.75</v>
      </c>
      <c r="AT699" s="69">
        <v>11913.6</v>
      </c>
      <c r="AU699" s="69">
        <v>1469.4</v>
      </c>
      <c r="AV699" s="69">
        <v>762.75</v>
      </c>
      <c r="BD699" s="69"/>
      <c r="BE699" s="69"/>
      <c r="CE699" s="94">
        <f t="shared" si="65"/>
        <v>14145.75</v>
      </c>
      <c r="CF699" s="73">
        <f t="shared" si="69"/>
        <v>0</v>
      </c>
      <c r="CG699" s="75">
        <f t="shared" si="67"/>
        <v>6748</v>
      </c>
      <c r="CH699" s="75" t="str">
        <f t="shared" si="67"/>
        <v>ماليزى اسنان</v>
      </c>
    </row>
    <row r="700" spans="3:86" x14ac:dyDescent="0.25">
      <c r="C700" s="82">
        <v>12075</v>
      </c>
      <c r="D700" s="78">
        <v>6749</v>
      </c>
      <c r="E700" s="107" t="s">
        <v>121</v>
      </c>
      <c r="F700" s="69" t="str">
        <f t="shared" si="71"/>
        <v>مكافاه تدريس فرقه رابعه</v>
      </c>
      <c r="G700" s="69"/>
      <c r="H700" s="69">
        <v>7643.23</v>
      </c>
      <c r="U700" s="69"/>
      <c r="V700" s="69"/>
      <c r="AS700" s="94">
        <f t="shared" si="68"/>
        <v>7643.23</v>
      </c>
      <c r="AT700" s="69">
        <v>5327.96</v>
      </c>
      <c r="AU700" s="69">
        <v>705.05</v>
      </c>
      <c r="AV700" s="69">
        <v>1610.22</v>
      </c>
      <c r="BD700" s="69"/>
      <c r="BE700" s="69"/>
      <c r="CE700" s="94">
        <f t="shared" si="65"/>
        <v>7643.2300000000005</v>
      </c>
      <c r="CF700" s="73">
        <f t="shared" si="69"/>
        <v>0</v>
      </c>
      <c r="CG700" s="75">
        <f t="shared" si="67"/>
        <v>6749</v>
      </c>
      <c r="CH700" s="75" t="str">
        <f t="shared" si="67"/>
        <v>ماليزى اسنان</v>
      </c>
    </row>
    <row r="701" spans="3:86" x14ac:dyDescent="0.25">
      <c r="C701" s="82">
        <v>12074</v>
      </c>
      <c r="D701" s="78">
        <v>6750</v>
      </c>
      <c r="E701" s="107" t="s">
        <v>121</v>
      </c>
      <c r="F701" s="69" t="str">
        <f t="shared" si="71"/>
        <v>مكافاه تدريس فرقه رابعه</v>
      </c>
      <c r="G701" s="69"/>
      <c r="H701" s="69">
        <v>87774.04</v>
      </c>
      <c r="U701" s="69"/>
      <c r="V701" s="69"/>
      <c r="AS701" s="94">
        <f t="shared" si="68"/>
        <v>87774.04</v>
      </c>
      <c r="AT701" s="69">
        <v>72915.28</v>
      </c>
      <c r="AU701" s="69">
        <v>9022</v>
      </c>
      <c r="AV701" s="69">
        <v>5836.76</v>
      </c>
      <c r="BD701" s="69"/>
      <c r="BE701" s="69"/>
      <c r="CE701" s="94">
        <f t="shared" si="65"/>
        <v>87774.04</v>
      </c>
      <c r="CF701" s="73">
        <f t="shared" si="69"/>
        <v>0</v>
      </c>
      <c r="CG701" s="75">
        <f t="shared" si="67"/>
        <v>6750</v>
      </c>
      <c r="CH701" s="75" t="str">
        <f t="shared" si="67"/>
        <v>ماليزى اسنان</v>
      </c>
    </row>
    <row r="702" spans="3:86" x14ac:dyDescent="0.25">
      <c r="C702" s="82">
        <v>12073</v>
      </c>
      <c r="D702" s="78">
        <v>6751</v>
      </c>
      <c r="E702" s="107" t="s">
        <v>121</v>
      </c>
      <c r="F702" s="69" t="s">
        <v>506</v>
      </c>
      <c r="G702" s="69"/>
      <c r="H702" s="69">
        <v>7746.43</v>
      </c>
      <c r="U702" s="69"/>
      <c r="V702" s="69"/>
      <c r="AS702" s="94">
        <f t="shared" si="68"/>
        <v>7746.43</v>
      </c>
      <c r="AT702" s="69">
        <v>6677.7</v>
      </c>
      <c r="AU702" s="69">
        <v>812.55</v>
      </c>
      <c r="AV702" s="69">
        <v>256.18</v>
      </c>
      <c r="BD702" s="69"/>
      <c r="BE702" s="69"/>
      <c r="CE702" s="94">
        <f t="shared" ref="CE702:CE720" si="72">SUM(AT702:CD702)</f>
        <v>7746.43</v>
      </c>
      <c r="CF702" s="73">
        <f t="shared" si="69"/>
        <v>0</v>
      </c>
      <c r="CG702" s="75">
        <f t="shared" si="67"/>
        <v>6751</v>
      </c>
      <c r="CH702" s="75" t="str">
        <f t="shared" si="67"/>
        <v>ماليزى اسنان</v>
      </c>
    </row>
    <row r="703" spans="3:86" x14ac:dyDescent="0.25">
      <c r="C703" s="82">
        <v>12072</v>
      </c>
      <c r="D703" s="78">
        <v>6752</v>
      </c>
      <c r="E703" s="107" t="s">
        <v>121</v>
      </c>
      <c r="F703" s="69" t="str">
        <f>+F699</f>
        <v>مكافاه تدريس فرقه رابعه</v>
      </c>
      <c r="G703" s="69"/>
      <c r="H703" s="69">
        <v>8406.2999999999993</v>
      </c>
      <c r="U703" s="69"/>
      <c r="V703" s="69"/>
      <c r="AS703" s="94">
        <f t="shared" si="68"/>
        <v>8406.2999999999993</v>
      </c>
      <c r="AT703" s="69">
        <v>7220.2</v>
      </c>
      <c r="AU703" s="69">
        <v>881</v>
      </c>
      <c r="AV703" s="69">
        <v>305.10000000000002</v>
      </c>
      <c r="BD703" s="69"/>
      <c r="BE703" s="69"/>
      <c r="CE703" s="94">
        <f t="shared" si="72"/>
        <v>8406.2999999999993</v>
      </c>
      <c r="CF703" s="73">
        <f t="shared" si="69"/>
        <v>0</v>
      </c>
      <c r="CG703" s="75">
        <f t="shared" si="67"/>
        <v>6752</v>
      </c>
      <c r="CH703" s="75" t="str">
        <f t="shared" si="67"/>
        <v>ماليزى اسنان</v>
      </c>
    </row>
    <row r="704" spans="3:86" x14ac:dyDescent="0.25">
      <c r="C704" s="82">
        <v>12071</v>
      </c>
      <c r="D704" s="78">
        <v>6753</v>
      </c>
      <c r="E704" s="107" t="s">
        <v>121</v>
      </c>
      <c r="F704" s="69" t="str">
        <f>+F702</f>
        <v>مكافاه تدريس فرقه ثالثه</v>
      </c>
      <c r="G704" s="69"/>
      <c r="H704" s="69">
        <v>7296.3</v>
      </c>
      <c r="U704" s="69"/>
      <c r="V704" s="69"/>
      <c r="AS704" s="94">
        <f t="shared" si="68"/>
        <v>7296.3</v>
      </c>
      <c r="AT704" s="69">
        <v>6229.55</v>
      </c>
      <c r="AU704" s="69">
        <v>761.65</v>
      </c>
      <c r="AV704" s="69">
        <v>305.10000000000002</v>
      </c>
      <c r="BD704" s="69"/>
      <c r="BE704" s="69"/>
      <c r="CE704" s="94">
        <f t="shared" si="72"/>
        <v>7296.3</v>
      </c>
      <c r="CF704" s="73">
        <f t="shared" si="69"/>
        <v>0</v>
      </c>
      <c r="CG704" s="75">
        <f t="shared" si="67"/>
        <v>6753</v>
      </c>
      <c r="CH704" s="75" t="str">
        <f t="shared" si="67"/>
        <v>ماليزى اسنان</v>
      </c>
    </row>
    <row r="705" spans="3:86" x14ac:dyDescent="0.25">
      <c r="C705" s="82">
        <v>12069</v>
      </c>
      <c r="D705" s="78">
        <v>6754</v>
      </c>
      <c r="E705" s="107" t="s">
        <v>121</v>
      </c>
      <c r="F705" s="69" t="str">
        <f>+F703</f>
        <v>مكافاه تدريس فرقه رابعه</v>
      </c>
      <c r="G705" s="69"/>
      <c r="H705" s="69">
        <v>132366.21</v>
      </c>
      <c r="U705" s="69"/>
      <c r="V705" s="69"/>
      <c r="AS705" s="94">
        <f t="shared" si="68"/>
        <v>132366.21</v>
      </c>
      <c r="AT705" s="69">
        <v>105334.27</v>
      </c>
      <c r="AU705" s="69">
        <v>13314.35</v>
      </c>
      <c r="AV705" s="69">
        <v>13717.59</v>
      </c>
      <c r="BD705" s="69"/>
      <c r="BE705" s="69"/>
      <c r="CE705" s="94">
        <f t="shared" si="72"/>
        <v>132366.21000000002</v>
      </c>
      <c r="CF705" s="73">
        <f t="shared" si="69"/>
        <v>0</v>
      </c>
      <c r="CG705" s="75">
        <f t="shared" si="67"/>
        <v>6754</v>
      </c>
      <c r="CH705" s="75" t="str">
        <f t="shared" si="67"/>
        <v>ماليزى اسنان</v>
      </c>
    </row>
    <row r="706" spans="3:86" x14ac:dyDescent="0.25">
      <c r="C706" s="82">
        <v>12070</v>
      </c>
      <c r="D706" s="78">
        <v>6755</v>
      </c>
      <c r="E706" s="107" t="s">
        <v>121</v>
      </c>
      <c r="F706" s="69" t="str">
        <f>+F704</f>
        <v>مكافاه تدريس فرقه ثالثه</v>
      </c>
      <c r="G706" s="69"/>
      <c r="H706" s="69">
        <v>7380</v>
      </c>
      <c r="U706" s="69"/>
      <c r="V706" s="69"/>
      <c r="AS706" s="94">
        <f t="shared" si="68"/>
        <v>7380</v>
      </c>
      <c r="AT706" s="69">
        <v>6588.05</v>
      </c>
      <c r="AU706" s="69">
        <v>791.95</v>
      </c>
      <c r="BD706" s="69"/>
      <c r="BE706" s="69"/>
      <c r="CE706" s="94">
        <f t="shared" si="72"/>
        <v>7380</v>
      </c>
      <c r="CF706" s="73">
        <f t="shared" si="69"/>
        <v>0</v>
      </c>
      <c r="CG706" s="75">
        <f t="shared" si="67"/>
        <v>6755</v>
      </c>
      <c r="CH706" s="75" t="str">
        <f t="shared" si="67"/>
        <v>ماليزى اسنان</v>
      </c>
    </row>
    <row r="707" spans="3:86" x14ac:dyDescent="0.25">
      <c r="C707" s="82">
        <v>12068</v>
      </c>
      <c r="D707" s="78">
        <v>6756</v>
      </c>
      <c r="E707" s="107" t="s">
        <v>121</v>
      </c>
      <c r="F707" s="69" t="str">
        <f>+F705</f>
        <v>مكافاه تدريس فرقه رابعه</v>
      </c>
      <c r="G707" s="69"/>
      <c r="H707" s="69">
        <v>7332.6</v>
      </c>
      <c r="U707" s="69"/>
      <c r="V707" s="69"/>
      <c r="AS707" s="94">
        <f t="shared" si="68"/>
        <v>7332.6</v>
      </c>
      <c r="AT707" s="69">
        <v>5978.5</v>
      </c>
      <c r="AU707" s="69">
        <v>743.9</v>
      </c>
      <c r="AV707" s="69">
        <v>610.20000000000005</v>
      </c>
      <c r="BD707" s="69"/>
      <c r="BE707" s="69"/>
      <c r="CE707" s="94">
        <f t="shared" si="72"/>
        <v>7332.5999999999995</v>
      </c>
      <c r="CF707" s="73">
        <f t="shared" si="69"/>
        <v>0</v>
      </c>
      <c r="CG707" s="75">
        <f t="shared" si="67"/>
        <v>6756</v>
      </c>
      <c r="CH707" s="75" t="str">
        <f t="shared" si="67"/>
        <v>ماليزى اسنان</v>
      </c>
    </row>
    <row r="708" spans="3:86" x14ac:dyDescent="0.25">
      <c r="C708" s="82">
        <v>12067</v>
      </c>
      <c r="D708" s="78">
        <v>6757</v>
      </c>
      <c r="E708" s="107" t="s">
        <v>121</v>
      </c>
      <c r="F708" s="69" t="str">
        <f>+F707</f>
        <v>مكافاه تدريس فرقه رابعه</v>
      </c>
      <c r="G708" s="69"/>
      <c r="H708" s="69">
        <v>7779.45</v>
      </c>
      <c r="U708" s="69"/>
      <c r="V708" s="69"/>
      <c r="AS708" s="94">
        <f t="shared" si="68"/>
        <v>7779.45</v>
      </c>
      <c r="AT708" s="69">
        <v>6517.95</v>
      </c>
      <c r="AU708" s="69">
        <v>803.85</v>
      </c>
      <c r="AV708" s="69">
        <v>457.65</v>
      </c>
      <c r="BD708" s="69"/>
      <c r="BE708" s="69"/>
      <c r="CE708" s="94">
        <f t="shared" si="72"/>
        <v>7779.45</v>
      </c>
      <c r="CF708" s="73">
        <f t="shared" si="69"/>
        <v>0</v>
      </c>
      <c r="CG708" s="75">
        <f t="shared" si="67"/>
        <v>6757</v>
      </c>
      <c r="CH708" s="75" t="str">
        <f t="shared" si="67"/>
        <v>ماليزى اسنان</v>
      </c>
    </row>
    <row r="709" spans="3:86" x14ac:dyDescent="0.25">
      <c r="C709" s="82">
        <v>12061</v>
      </c>
      <c r="D709" s="78">
        <v>6758</v>
      </c>
      <c r="E709" s="107" t="s">
        <v>121</v>
      </c>
      <c r="F709" s="69" t="str">
        <f>+F708</f>
        <v>مكافاه تدريس فرقه رابعه</v>
      </c>
      <c r="G709" s="69"/>
      <c r="H709" s="69">
        <v>18840</v>
      </c>
      <c r="U709" s="69"/>
      <c r="V709" s="69"/>
      <c r="AS709" s="94">
        <f t="shared" si="68"/>
        <v>18840</v>
      </c>
      <c r="AT709" s="69">
        <v>16806.45</v>
      </c>
      <c r="AU709" s="69">
        <v>2033.55</v>
      </c>
      <c r="BD709" s="69"/>
      <c r="BE709" s="69"/>
      <c r="CE709" s="94">
        <f t="shared" si="72"/>
        <v>18840</v>
      </c>
      <c r="CF709" s="73">
        <f t="shared" si="69"/>
        <v>0</v>
      </c>
      <c r="CG709" s="75">
        <f t="shared" si="67"/>
        <v>6758</v>
      </c>
      <c r="CH709" s="75" t="str">
        <f t="shared" si="67"/>
        <v>ماليزى اسنان</v>
      </c>
    </row>
    <row r="710" spans="3:86" x14ac:dyDescent="0.25">
      <c r="C710" s="82">
        <v>12065</v>
      </c>
      <c r="D710" s="78">
        <v>6759</v>
      </c>
      <c r="E710" s="107" t="s">
        <v>121</v>
      </c>
      <c r="F710" s="69" t="str">
        <f>+F709</f>
        <v>مكافاه تدريس فرقه رابعه</v>
      </c>
      <c r="G710" s="69"/>
      <c r="H710" s="69">
        <v>8880</v>
      </c>
      <c r="U710" s="69"/>
      <c r="V710" s="69"/>
      <c r="AS710" s="94">
        <f t="shared" si="68"/>
        <v>8880</v>
      </c>
      <c r="AT710" s="69">
        <v>7922.85</v>
      </c>
      <c r="AU710" s="69">
        <v>957.15</v>
      </c>
      <c r="BD710" s="69"/>
      <c r="BE710" s="69"/>
      <c r="CE710" s="94">
        <f t="shared" si="72"/>
        <v>8880</v>
      </c>
      <c r="CF710" s="73">
        <f t="shared" si="69"/>
        <v>0</v>
      </c>
      <c r="CG710" s="75">
        <f t="shared" si="67"/>
        <v>6759</v>
      </c>
      <c r="CH710" s="75" t="str">
        <f t="shared" si="67"/>
        <v>ماليزى اسنان</v>
      </c>
    </row>
    <row r="711" spans="3:86" x14ac:dyDescent="0.25">
      <c r="C711" s="82">
        <v>12064</v>
      </c>
      <c r="D711" s="78">
        <v>6760</v>
      </c>
      <c r="E711" s="107" t="s">
        <v>121</v>
      </c>
      <c r="F711" s="69" t="str">
        <f>+F710</f>
        <v>مكافاه تدريس فرقه رابعه</v>
      </c>
      <c r="G711" s="69"/>
      <c r="H711" s="69">
        <v>8496.2999999999993</v>
      </c>
      <c r="U711" s="69"/>
      <c r="V711" s="69"/>
      <c r="AS711" s="94">
        <f t="shared" si="68"/>
        <v>8496.2999999999993</v>
      </c>
      <c r="AT711" s="69">
        <v>7301.5</v>
      </c>
      <c r="AU711" s="69">
        <v>889.7</v>
      </c>
      <c r="AV711" s="69">
        <v>305.10000000000002</v>
      </c>
      <c r="BD711" s="69"/>
      <c r="BE711" s="69"/>
      <c r="CE711" s="94">
        <f t="shared" si="72"/>
        <v>8496.2999999999993</v>
      </c>
      <c r="CF711" s="73">
        <f t="shared" si="69"/>
        <v>0</v>
      </c>
      <c r="CG711" s="75">
        <f t="shared" si="67"/>
        <v>6760</v>
      </c>
      <c r="CH711" s="75" t="str">
        <f t="shared" si="67"/>
        <v>ماليزى اسنان</v>
      </c>
    </row>
    <row r="712" spans="3:86" x14ac:dyDescent="0.25">
      <c r="C712" s="82">
        <v>12063</v>
      </c>
      <c r="D712" s="78">
        <v>6761</v>
      </c>
      <c r="E712" s="107" t="s">
        <v>121</v>
      </c>
      <c r="F712" s="69" t="str">
        <f>+F676</f>
        <v>مكافاه تدريس فرقه ثانيه</v>
      </c>
      <c r="G712" s="69"/>
      <c r="H712" s="69">
        <v>13320</v>
      </c>
      <c r="U712" s="69"/>
      <c r="V712" s="69"/>
      <c r="AS712" s="94">
        <f t="shared" si="68"/>
        <v>13320</v>
      </c>
      <c r="AT712" s="69">
        <v>11889.5</v>
      </c>
      <c r="AU712" s="69">
        <v>1430.5</v>
      </c>
      <c r="BD712" s="69"/>
      <c r="BE712" s="69"/>
      <c r="CE712" s="94">
        <f t="shared" si="72"/>
        <v>13320</v>
      </c>
      <c r="CF712" s="73">
        <f t="shared" si="69"/>
        <v>0</v>
      </c>
      <c r="CG712" s="75">
        <f t="shared" si="67"/>
        <v>6761</v>
      </c>
      <c r="CH712" s="75" t="str">
        <f t="shared" si="67"/>
        <v>ماليزى اسنان</v>
      </c>
    </row>
    <row r="713" spans="3:86" x14ac:dyDescent="0.25">
      <c r="C713" s="82">
        <v>12062</v>
      </c>
      <c r="D713" s="78">
        <v>6762</v>
      </c>
      <c r="E713" s="107" t="s">
        <v>121</v>
      </c>
      <c r="F713" s="69" t="str">
        <f>+F710</f>
        <v>مكافاه تدريس فرقه رابعه</v>
      </c>
      <c r="G713" s="69"/>
      <c r="H713" s="69">
        <v>1800</v>
      </c>
      <c r="U713" s="69"/>
      <c r="V713" s="69"/>
      <c r="AS713" s="94">
        <f t="shared" si="68"/>
        <v>1800</v>
      </c>
      <c r="AT713" s="69">
        <v>1606.85</v>
      </c>
      <c r="AU713" s="69">
        <v>193.15</v>
      </c>
      <c r="BD713" s="69"/>
      <c r="BE713" s="69"/>
      <c r="CE713" s="94">
        <f t="shared" si="72"/>
        <v>1800</v>
      </c>
      <c r="CF713" s="73">
        <f t="shared" si="69"/>
        <v>0</v>
      </c>
      <c r="CG713" s="75">
        <f t="shared" si="67"/>
        <v>6762</v>
      </c>
      <c r="CH713" s="75" t="str">
        <f t="shared" si="67"/>
        <v>ماليزى اسنان</v>
      </c>
    </row>
    <row r="714" spans="3:86" x14ac:dyDescent="0.25">
      <c r="C714" s="82">
        <v>12061</v>
      </c>
      <c r="D714" s="78">
        <v>6763</v>
      </c>
      <c r="E714" s="107" t="s">
        <v>121</v>
      </c>
      <c r="F714" s="69" t="str">
        <f>+F711</f>
        <v>مكافاه تدريس فرقه رابعه</v>
      </c>
      <c r="G714" s="69"/>
      <c r="H714" s="69">
        <v>5400</v>
      </c>
      <c r="U714" s="69"/>
      <c r="V714" s="69"/>
      <c r="AS714" s="94">
        <f t="shared" si="68"/>
        <v>5400</v>
      </c>
      <c r="AT714" s="69">
        <v>4820.55</v>
      </c>
      <c r="AU714" s="69">
        <v>579.45000000000005</v>
      </c>
      <c r="BD714" s="69"/>
      <c r="BE714" s="69"/>
      <c r="CE714" s="94">
        <f t="shared" si="72"/>
        <v>5400</v>
      </c>
      <c r="CF714" s="73">
        <f t="shared" si="69"/>
        <v>0</v>
      </c>
      <c r="CG714" s="75">
        <f t="shared" si="67"/>
        <v>6763</v>
      </c>
      <c r="CH714" s="75" t="str">
        <f t="shared" si="67"/>
        <v>ماليزى اسنان</v>
      </c>
    </row>
    <row r="715" spans="3:86" x14ac:dyDescent="0.25">
      <c r="C715" s="82">
        <v>12060</v>
      </c>
      <c r="D715" s="78">
        <v>6764</v>
      </c>
      <c r="E715" s="107" t="s">
        <v>121</v>
      </c>
      <c r="F715" s="69" t="str">
        <f>+F704</f>
        <v>مكافاه تدريس فرقه ثالثه</v>
      </c>
      <c r="G715" s="69"/>
      <c r="H715" s="69">
        <v>12316.43</v>
      </c>
      <c r="U715" s="69"/>
      <c r="V715" s="69"/>
      <c r="AS715" s="94">
        <f t="shared" si="68"/>
        <v>12316.43</v>
      </c>
      <c r="AT715" s="69">
        <v>9780.0300000000007</v>
      </c>
      <c r="AU715" s="69">
        <v>1232.0999999999999</v>
      </c>
      <c r="AV715" s="69">
        <v>1304.3</v>
      </c>
      <c r="BD715" s="69"/>
      <c r="BE715" s="69"/>
      <c r="CE715" s="94">
        <f t="shared" si="72"/>
        <v>12316.43</v>
      </c>
      <c r="CF715" s="73">
        <f t="shared" si="69"/>
        <v>0</v>
      </c>
      <c r="CG715" s="75">
        <f t="shared" ref="CG715:CH720" si="73">+D715</f>
        <v>6764</v>
      </c>
      <c r="CH715" s="75" t="str">
        <f t="shared" si="73"/>
        <v>ماليزى اسنان</v>
      </c>
    </row>
    <row r="716" spans="3:86" x14ac:dyDescent="0.25">
      <c r="C716" s="82">
        <v>12059</v>
      </c>
      <c r="D716" s="78">
        <v>6765</v>
      </c>
      <c r="E716" s="107" t="s">
        <v>121</v>
      </c>
      <c r="F716" s="69" t="str">
        <f>+F715</f>
        <v>مكافاه تدريس فرقه ثالثه</v>
      </c>
      <c r="G716" s="69"/>
      <c r="H716" s="69">
        <v>213631.09</v>
      </c>
      <c r="U716" s="69"/>
      <c r="V716" s="69"/>
      <c r="AS716" s="94">
        <f t="shared" si="68"/>
        <v>213631.09</v>
      </c>
      <c r="AT716" s="69">
        <v>186283.59</v>
      </c>
      <c r="AU716" s="69">
        <v>22334.400000000001</v>
      </c>
      <c r="AV716" s="69">
        <v>5013.1000000000004</v>
      </c>
      <c r="BD716" s="69"/>
      <c r="BE716" s="69"/>
      <c r="CE716" s="94">
        <f t="shared" si="72"/>
        <v>213631.09</v>
      </c>
      <c r="CF716" s="73">
        <f t="shared" si="69"/>
        <v>0</v>
      </c>
      <c r="CG716" s="75">
        <f t="shared" si="73"/>
        <v>6765</v>
      </c>
      <c r="CH716" s="75" t="str">
        <f t="shared" si="73"/>
        <v>ماليزى اسنان</v>
      </c>
    </row>
    <row r="717" spans="3:86" x14ac:dyDescent="0.25">
      <c r="C717" s="82">
        <v>12058</v>
      </c>
      <c r="D717" s="78">
        <v>6766</v>
      </c>
      <c r="E717" s="107" t="s">
        <v>121</v>
      </c>
      <c r="F717" s="69" t="str">
        <f>+F716</f>
        <v>مكافاه تدريس فرقه ثالثه</v>
      </c>
      <c r="G717" s="69"/>
      <c r="H717" s="69">
        <v>16680</v>
      </c>
      <c r="U717" s="69"/>
      <c r="V717" s="69"/>
      <c r="AS717" s="94">
        <f t="shared" si="68"/>
        <v>16680</v>
      </c>
      <c r="AT717" s="69">
        <v>14889</v>
      </c>
      <c r="AU717" s="69">
        <v>1791</v>
      </c>
      <c r="BD717" s="69"/>
      <c r="BE717" s="69"/>
      <c r="CE717" s="94">
        <f t="shared" si="72"/>
        <v>16680</v>
      </c>
      <c r="CF717" s="73">
        <f t="shared" si="69"/>
        <v>0</v>
      </c>
      <c r="CG717" s="75">
        <f t="shared" si="73"/>
        <v>6766</v>
      </c>
      <c r="CH717" s="75" t="str">
        <f t="shared" si="73"/>
        <v>ماليزى اسنان</v>
      </c>
    </row>
    <row r="718" spans="3:86" x14ac:dyDescent="0.25">
      <c r="C718" s="82">
        <v>12056</v>
      </c>
      <c r="D718" s="78">
        <v>6767</v>
      </c>
      <c r="E718" s="107" t="s">
        <v>121</v>
      </c>
      <c r="F718" s="69" t="str">
        <f>+F714</f>
        <v>مكافاه تدريس فرقه رابعه</v>
      </c>
      <c r="G718" s="69"/>
      <c r="H718" s="69">
        <v>5074.46</v>
      </c>
      <c r="U718" s="69"/>
      <c r="V718" s="69"/>
      <c r="AS718" s="94">
        <f t="shared" si="68"/>
        <v>5074.46</v>
      </c>
      <c r="AT718" s="69">
        <v>4477.07</v>
      </c>
      <c r="AU718" s="69">
        <v>540.95000000000005</v>
      </c>
      <c r="AV718" s="69">
        <v>56.44</v>
      </c>
      <c r="BD718" s="69"/>
      <c r="BE718" s="69"/>
      <c r="CE718" s="94">
        <f t="shared" si="72"/>
        <v>5074.4599999999991</v>
      </c>
      <c r="CF718" s="73">
        <f t="shared" si="69"/>
        <v>0</v>
      </c>
      <c r="CG718" s="75">
        <f t="shared" si="73"/>
        <v>6767</v>
      </c>
      <c r="CH718" s="75" t="str">
        <f t="shared" si="73"/>
        <v>ماليزى اسنان</v>
      </c>
    </row>
    <row r="719" spans="3:86" x14ac:dyDescent="0.25">
      <c r="C719" s="82">
        <v>12057</v>
      </c>
      <c r="D719" s="78">
        <v>6768</v>
      </c>
      <c r="E719" s="107" t="s">
        <v>121</v>
      </c>
      <c r="F719" s="69" t="str">
        <f>+F717</f>
        <v>مكافاه تدريس فرقه ثالثه</v>
      </c>
      <c r="G719" s="69"/>
      <c r="H719" s="69">
        <v>313395.90000000002</v>
      </c>
      <c r="U719" s="69"/>
      <c r="V719" s="69"/>
      <c r="AS719" s="94">
        <f t="shared" si="68"/>
        <v>313395.90000000002</v>
      </c>
      <c r="AT719" s="69">
        <v>269242.02</v>
      </c>
      <c r="AU719" s="69">
        <v>32336.5</v>
      </c>
      <c r="AV719" s="69">
        <v>11817.38</v>
      </c>
      <c r="BD719" s="69"/>
      <c r="BE719" s="69"/>
      <c r="CE719" s="94">
        <f t="shared" si="72"/>
        <v>313395.90000000002</v>
      </c>
      <c r="CF719" s="73">
        <f t="shared" si="69"/>
        <v>0</v>
      </c>
      <c r="CG719" s="75">
        <f t="shared" si="73"/>
        <v>6768</v>
      </c>
      <c r="CH719" s="75" t="str">
        <f t="shared" si="73"/>
        <v>ماليزى اسنان</v>
      </c>
    </row>
    <row r="720" spans="3:86" x14ac:dyDescent="0.25">
      <c r="C720" s="82">
        <v>12027</v>
      </c>
      <c r="D720" s="78">
        <v>6769</v>
      </c>
      <c r="E720" s="107" t="s">
        <v>121</v>
      </c>
      <c r="F720" s="69" t="str">
        <f>+F718</f>
        <v>مكافاه تدريس فرقه رابعه</v>
      </c>
      <c r="G720" s="69"/>
      <c r="H720" s="69">
        <v>6810</v>
      </c>
      <c r="U720" s="69"/>
      <c r="V720" s="69"/>
      <c r="AS720" s="94">
        <f t="shared" si="68"/>
        <v>6810</v>
      </c>
      <c r="AT720" s="69">
        <v>6080.25</v>
      </c>
      <c r="AU720" s="69">
        <v>729.75</v>
      </c>
      <c r="BD720" s="69"/>
      <c r="BE720" s="69"/>
      <c r="CE720" s="94">
        <f t="shared" si="72"/>
        <v>6810</v>
      </c>
      <c r="CF720" s="73">
        <f t="shared" si="69"/>
        <v>0</v>
      </c>
      <c r="CG720" s="75">
        <f t="shared" si="73"/>
        <v>6769</v>
      </c>
      <c r="CH720" s="75" t="str">
        <f t="shared" si="73"/>
        <v>ماليزى اسنان</v>
      </c>
    </row>
    <row r="721" spans="2:86" x14ac:dyDescent="0.25">
      <c r="B721" s="69">
        <v>1</v>
      </c>
      <c r="C721" s="82">
        <v>5158</v>
      </c>
      <c r="D721" s="78">
        <v>6770</v>
      </c>
      <c r="E721" s="107" t="s">
        <v>132</v>
      </c>
      <c r="F721" s="69" t="s">
        <v>2454</v>
      </c>
      <c r="G721" s="69" t="s">
        <v>220</v>
      </c>
      <c r="H721" s="69">
        <v>60045.03</v>
      </c>
      <c r="U721" s="69"/>
      <c r="V721" s="69"/>
      <c r="AS721" s="94">
        <f>SUM(H721:AR721)</f>
        <v>60045.03</v>
      </c>
      <c r="AT721" s="69">
        <v>43293.17</v>
      </c>
      <c r="AU721" s="69">
        <f>58.65+335.6</f>
        <v>394.25</v>
      </c>
      <c r="AV721" s="69">
        <f>12421.3+2049.6</f>
        <v>14470.9</v>
      </c>
      <c r="AW721" s="69">
        <f>1861.1+25.61</f>
        <v>1886.7099999999998</v>
      </c>
      <c r="BD721" s="69"/>
      <c r="BE721" s="69"/>
      <c r="CE721" s="94">
        <f>SUM(AT721:CD721)</f>
        <v>60045.03</v>
      </c>
      <c r="CF721" s="73">
        <f>+CE721-AS721</f>
        <v>0</v>
      </c>
      <c r="CG721" s="75">
        <f>+D721</f>
        <v>6770</v>
      </c>
      <c r="CH721" s="75" t="str">
        <f>+E721</f>
        <v>صيدلة اكلينيكى</v>
      </c>
    </row>
    <row r="722" spans="2:86" x14ac:dyDescent="0.25">
      <c r="B722" s="69">
        <v>2</v>
      </c>
      <c r="C722" s="82">
        <v>5328</v>
      </c>
      <c r="D722" s="78">
        <v>6770</v>
      </c>
      <c r="E722" s="107" t="s">
        <v>121</v>
      </c>
      <c r="F722" s="69" t="s">
        <v>2454</v>
      </c>
      <c r="G722" s="69" t="s">
        <v>220</v>
      </c>
      <c r="H722" s="69">
        <v>117366.18</v>
      </c>
      <c r="U722" s="69"/>
      <c r="V722" s="69"/>
      <c r="AS722" s="94">
        <f>SUM(H722:AR722)</f>
        <v>117366.18</v>
      </c>
      <c r="AT722" s="69">
        <v>87807.76</v>
      </c>
      <c r="AU722" s="69">
        <f>19.87+659.6</f>
        <v>679.47</v>
      </c>
      <c r="AV722" s="69">
        <f>24279.4+4006</f>
        <v>28285.4</v>
      </c>
      <c r="AW722" s="69">
        <f>538.92+50.02</f>
        <v>588.93999999999994</v>
      </c>
      <c r="BD722" s="69"/>
      <c r="BE722" s="69"/>
      <c r="CD722" s="69">
        <v>4.6100000000000003</v>
      </c>
      <c r="CE722" s="94">
        <f t="shared" ref="CE722:CE724" si="74">SUM(AT722:CD722)</f>
        <v>117366.18000000001</v>
      </c>
      <c r="CF722" s="73">
        <f t="shared" ref="CF722:CF781" si="75">+CE722-AS722</f>
        <v>0</v>
      </c>
      <c r="CG722" s="75">
        <f t="shared" ref="CG722:CH737" si="76">+D722</f>
        <v>6770</v>
      </c>
      <c r="CH722" s="75" t="str">
        <f t="shared" si="76"/>
        <v>ماليزى اسنان</v>
      </c>
    </row>
    <row r="723" spans="2:86" x14ac:dyDescent="0.25">
      <c r="B723" s="69">
        <v>3</v>
      </c>
      <c r="C723" s="82">
        <v>5320</v>
      </c>
      <c r="D723" s="78">
        <v>6771</v>
      </c>
      <c r="E723" s="107" t="s">
        <v>121</v>
      </c>
      <c r="F723" s="69" t="s">
        <v>2454</v>
      </c>
      <c r="G723" s="69" t="s">
        <v>220</v>
      </c>
      <c r="H723" s="69">
        <v>10778.5</v>
      </c>
      <c r="U723" s="69"/>
      <c r="V723" s="69"/>
      <c r="AS723" s="94">
        <f>SUM(H723:AR723)</f>
        <v>10778.5</v>
      </c>
      <c r="AT723" s="69">
        <v>7745.89</v>
      </c>
      <c r="AU723" s="69">
        <f>38.17+60.55</f>
        <v>98.72</v>
      </c>
      <c r="AV723" s="69">
        <f>2229.7+367.9+16</f>
        <v>2613.6</v>
      </c>
      <c r="AW723" s="69">
        <f>314.83+4.59</f>
        <v>319.41999999999996</v>
      </c>
      <c r="BD723" s="69"/>
      <c r="BE723" s="69"/>
      <c r="CD723" s="69">
        <v>0.87</v>
      </c>
      <c r="CE723" s="94">
        <f t="shared" si="74"/>
        <v>10778.500000000002</v>
      </c>
      <c r="CF723" s="73">
        <f t="shared" si="75"/>
        <v>0</v>
      </c>
      <c r="CG723" s="75">
        <f t="shared" si="76"/>
        <v>6771</v>
      </c>
      <c r="CH723" s="75" t="str">
        <f t="shared" si="76"/>
        <v>ماليزى اسنان</v>
      </c>
    </row>
    <row r="724" spans="2:86" x14ac:dyDescent="0.25">
      <c r="B724" s="69">
        <v>4</v>
      </c>
      <c r="C724" s="82">
        <v>5321</v>
      </c>
      <c r="D724" s="78">
        <v>6771</v>
      </c>
      <c r="E724" s="107" t="s">
        <v>121</v>
      </c>
      <c r="F724" s="69" t="s">
        <v>2454</v>
      </c>
      <c r="G724" s="69" t="s">
        <v>220</v>
      </c>
      <c r="H724" s="69">
        <v>5228.3500000000004</v>
      </c>
      <c r="U724" s="69"/>
      <c r="V724" s="69"/>
      <c r="AS724" s="94">
        <f>SUM(H724:AR724)</f>
        <v>5228.3500000000004</v>
      </c>
      <c r="AT724" s="69">
        <v>3736.4</v>
      </c>
      <c r="AU724" s="69">
        <f>18.91+29.4</f>
        <v>48.31</v>
      </c>
      <c r="AV724" s="69">
        <f>1081.5+178.4</f>
        <v>1259.9000000000001</v>
      </c>
      <c r="AW724" s="69">
        <f>179.72+2.23</f>
        <v>181.95</v>
      </c>
      <c r="BD724" s="69"/>
      <c r="BE724" s="69"/>
      <c r="CD724" s="69">
        <v>1.79</v>
      </c>
      <c r="CE724" s="94">
        <f t="shared" si="74"/>
        <v>5228.3500000000004</v>
      </c>
      <c r="CF724" s="73">
        <f t="shared" si="75"/>
        <v>0</v>
      </c>
      <c r="CG724" s="75">
        <f t="shared" si="76"/>
        <v>6771</v>
      </c>
      <c r="CH724" s="75" t="str">
        <f t="shared" si="76"/>
        <v>ماليزى اسنان</v>
      </c>
    </row>
    <row r="725" spans="2:86" x14ac:dyDescent="0.25">
      <c r="B725" s="69">
        <v>5</v>
      </c>
      <c r="C725" s="82">
        <v>5380</v>
      </c>
      <c r="D725" s="78">
        <v>6771</v>
      </c>
      <c r="E725" s="107" t="s">
        <v>78</v>
      </c>
      <c r="F725" s="69" t="s">
        <v>2454</v>
      </c>
      <c r="G725" s="69" t="s">
        <v>220</v>
      </c>
      <c r="H725" s="69">
        <v>5262.03</v>
      </c>
      <c r="U725" s="69"/>
      <c r="V725" s="69"/>
      <c r="AS725" s="94">
        <f t="shared" ref="AS725:AS749" si="77">SUM(H725:AR725)</f>
        <v>5262.03</v>
      </c>
      <c r="AT725" s="69">
        <v>3624.09</v>
      </c>
      <c r="AU725" s="69">
        <f>6.59+28.5</f>
        <v>35.090000000000003</v>
      </c>
      <c r="AV725" s="69">
        <f>1088.5+179.6</f>
        <v>1268.0999999999999</v>
      </c>
      <c r="AW725" s="69">
        <f>183+2.17</f>
        <v>185.17</v>
      </c>
      <c r="AX725" s="69">
        <v>149.58000000000001</v>
      </c>
      <c r="BD725" s="69"/>
      <c r="BE725" s="69"/>
      <c r="CE725" s="94">
        <f t="shared" ref="CE725:CE749" si="78">SUM(AT725:CD725)</f>
        <v>5262.0300000000007</v>
      </c>
      <c r="CF725" s="73">
        <f t="shared" si="75"/>
        <v>0</v>
      </c>
      <c r="CG725" s="75">
        <f t="shared" si="76"/>
        <v>6771</v>
      </c>
      <c r="CH725" s="75" t="str">
        <f t="shared" si="76"/>
        <v>برنامج دولى</v>
      </c>
    </row>
    <row r="726" spans="2:86" x14ac:dyDescent="0.25">
      <c r="B726" s="69">
        <v>6</v>
      </c>
      <c r="C726" s="82">
        <v>5381</v>
      </c>
      <c r="D726" s="78">
        <v>6771</v>
      </c>
      <c r="E726" s="107" t="s">
        <v>78</v>
      </c>
      <c r="F726" s="69" t="s">
        <v>2454</v>
      </c>
      <c r="G726" s="69" t="s">
        <v>220</v>
      </c>
      <c r="H726" s="69">
        <v>11103.32</v>
      </c>
      <c r="U726" s="69"/>
      <c r="V726" s="69"/>
      <c r="AS726" s="94">
        <f t="shared" si="77"/>
        <v>11103.32</v>
      </c>
      <c r="AT726" s="69">
        <v>8252.6</v>
      </c>
      <c r="AU726" s="69">
        <f>86.48+62.5</f>
        <v>148.98000000000002</v>
      </c>
      <c r="AV726" s="69">
        <f>2297+379</f>
        <v>2676</v>
      </c>
      <c r="AW726" s="69">
        <f>21+4.74</f>
        <v>25.740000000000002</v>
      </c>
      <c r="BD726" s="69"/>
      <c r="BE726" s="69"/>
      <c r="CE726" s="94">
        <f t="shared" si="78"/>
        <v>11103.32</v>
      </c>
      <c r="CF726" s="73">
        <f t="shared" si="75"/>
        <v>0</v>
      </c>
      <c r="CG726" s="75">
        <f t="shared" si="76"/>
        <v>6771</v>
      </c>
      <c r="CH726" s="75" t="str">
        <f t="shared" si="76"/>
        <v>برنامج دولى</v>
      </c>
    </row>
    <row r="727" spans="2:86" x14ac:dyDescent="0.25">
      <c r="B727" s="69">
        <v>7</v>
      </c>
      <c r="C727" s="82">
        <v>5382</v>
      </c>
      <c r="D727" s="78">
        <v>6771</v>
      </c>
      <c r="E727" s="107" t="s">
        <v>78</v>
      </c>
      <c r="F727" s="69" t="s">
        <v>2454</v>
      </c>
      <c r="G727" s="69" t="s">
        <v>220</v>
      </c>
      <c r="H727" s="69">
        <v>10485.43</v>
      </c>
      <c r="U727" s="69"/>
      <c r="V727" s="69"/>
      <c r="AS727" s="94">
        <f t="shared" si="77"/>
        <v>10485.43</v>
      </c>
      <c r="AT727" s="69">
        <v>7727.02</v>
      </c>
      <c r="AU727" s="69">
        <f>39.94+59</f>
        <v>98.94</v>
      </c>
      <c r="AV727" s="69">
        <f>2169.1+357.9</f>
        <v>2527</v>
      </c>
      <c r="AW727" s="69">
        <f>128+4.47</f>
        <v>132.47</v>
      </c>
      <c r="BD727" s="69"/>
      <c r="BE727" s="69"/>
      <c r="CE727" s="94">
        <f t="shared" si="78"/>
        <v>10485.429999999998</v>
      </c>
      <c r="CF727" s="73">
        <f t="shared" si="75"/>
        <v>0</v>
      </c>
      <c r="CG727" s="75">
        <f t="shared" si="76"/>
        <v>6771</v>
      </c>
      <c r="CH727" s="75" t="str">
        <f t="shared" si="76"/>
        <v>برنامج دولى</v>
      </c>
    </row>
    <row r="728" spans="2:86" x14ac:dyDescent="0.25">
      <c r="B728" s="69">
        <v>8</v>
      </c>
      <c r="C728" s="82">
        <v>5385</v>
      </c>
      <c r="D728" s="78">
        <v>6771</v>
      </c>
      <c r="E728" s="107" t="s">
        <v>78</v>
      </c>
      <c r="F728" s="69" t="s">
        <v>2454</v>
      </c>
      <c r="G728" s="69" t="s">
        <v>220</v>
      </c>
      <c r="H728" s="69">
        <v>10813.58</v>
      </c>
      <c r="U728" s="69"/>
      <c r="V728" s="69"/>
      <c r="AS728" s="94">
        <f t="shared" si="77"/>
        <v>10813.58</v>
      </c>
      <c r="AT728" s="69">
        <v>6877.46</v>
      </c>
      <c r="AU728" s="69">
        <f>43.23+54.1</f>
        <v>97.33</v>
      </c>
      <c r="AV728" s="69">
        <f>2237+369.1</f>
        <v>2606.1</v>
      </c>
      <c r="AW728" s="69">
        <f>331+4.17</f>
        <v>335.17</v>
      </c>
      <c r="AX728" s="69">
        <v>897.52</v>
      </c>
      <c r="BD728" s="69"/>
      <c r="BE728" s="69"/>
      <c r="CE728" s="94">
        <f t="shared" si="78"/>
        <v>10813.58</v>
      </c>
      <c r="CF728" s="73">
        <f t="shared" si="75"/>
        <v>0</v>
      </c>
      <c r="CG728" s="75">
        <f t="shared" si="76"/>
        <v>6771</v>
      </c>
      <c r="CH728" s="75" t="str">
        <f t="shared" si="76"/>
        <v>برنامج دولى</v>
      </c>
    </row>
    <row r="729" spans="2:86" x14ac:dyDescent="0.25">
      <c r="B729" s="69">
        <v>9</v>
      </c>
      <c r="C729" s="82">
        <v>5389</v>
      </c>
      <c r="D729" s="78">
        <v>6772</v>
      </c>
      <c r="E729" s="107" t="s">
        <v>78</v>
      </c>
      <c r="F729" s="69" t="s">
        <v>2454</v>
      </c>
      <c r="G729" s="69" t="s">
        <v>220</v>
      </c>
      <c r="H729" s="69">
        <v>37506.44</v>
      </c>
      <c r="U729" s="69"/>
      <c r="V729" s="69"/>
      <c r="AS729" s="94">
        <f t="shared" si="77"/>
        <v>37506.44</v>
      </c>
      <c r="AT729" s="69">
        <v>27006.42</v>
      </c>
      <c r="AU729" s="69">
        <f>180.95+211.05</f>
        <v>392</v>
      </c>
      <c r="AV729" s="69">
        <f>7759+1280.3</f>
        <v>9039.2999999999993</v>
      </c>
      <c r="AW729" s="69">
        <f>419.53+633.2+15.99</f>
        <v>1068.72</v>
      </c>
      <c r="BD729" s="69"/>
      <c r="BE729" s="69"/>
      <c r="CE729" s="94">
        <f t="shared" si="78"/>
        <v>37506.44</v>
      </c>
      <c r="CF729" s="73">
        <f t="shared" si="75"/>
        <v>0</v>
      </c>
      <c r="CG729" s="75">
        <f t="shared" si="76"/>
        <v>6772</v>
      </c>
      <c r="CH729" s="75" t="str">
        <f t="shared" si="76"/>
        <v>برنامج دولى</v>
      </c>
    </row>
    <row r="730" spans="2:86" x14ac:dyDescent="0.25">
      <c r="B730" s="69">
        <v>10</v>
      </c>
      <c r="C730" s="82">
        <v>5386</v>
      </c>
      <c r="D730" s="78">
        <v>6772</v>
      </c>
      <c r="E730" s="107" t="s">
        <v>78</v>
      </c>
      <c r="F730" s="69" t="s">
        <v>2454</v>
      </c>
      <c r="G730" s="69" t="s">
        <v>220</v>
      </c>
      <c r="H730" s="69">
        <v>3894.45</v>
      </c>
      <c r="U730" s="69"/>
      <c r="V730" s="69"/>
      <c r="AS730" s="94">
        <f t="shared" si="77"/>
        <v>3894.45</v>
      </c>
      <c r="AT730" s="69">
        <v>2531.11</v>
      </c>
      <c r="AU730" s="69">
        <v>18.8</v>
      </c>
      <c r="AV730" s="69">
        <f>1148.5+189.5</f>
        <v>1338</v>
      </c>
      <c r="AW730" s="69">
        <f>5+1.54</f>
        <v>6.54</v>
      </c>
      <c r="BD730" s="69"/>
      <c r="BE730" s="69"/>
      <c r="CE730" s="94">
        <f t="shared" si="78"/>
        <v>3894.4500000000003</v>
      </c>
      <c r="CF730" s="73">
        <f t="shared" si="75"/>
        <v>0</v>
      </c>
      <c r="CG730" s="75">
        <f t="shared" si="76"/>
        <v>6772</v>
      </c>
      <c r="CH730" s="75" t="str">
        <f t="shared" si="76"/>
        <v>برنامج دولى</v>
      </c>
    </row>
    <row r="731" spans="2:86" x14ac:dyDescent="0.25">
      <c r="B731" s="69">
        <v>11</v>
      </c>
      <c r="C731" s="82">
        <v>5387</v>
      </c>
      <c r="D731" s="78">
        <v>6772</v>
      </c>
      <c r="E731" s="107" t="s">
        <v>78</v>
      </c>
      <c r="F731" s="69" t="s">
        <v>2454</v>
      </c>
      <c r="G731" s="69" t="s">
        <v>220</v>
      </c>
      <c r="H731" s="69">
        <v>65755.600000000006</v>
      </c>
      <c r="U731" s="69"/>
      <c r="V731" s="69"/>
      <c r="AS731" s="94">
        <f t="shared" si="77"/>
        <v>65755.600000000006</v>
      </c>
      <c r="AT731" s="69">
        <v>47616.97</v>
      </c>
      <c r="AU731" s="69">
        <f>425.89+364.4</f>
        <v>790.29</v>
      </c>
      <c r="AV731" s="69">
        <f>13603+2244.5</f>
        <v>15847.5</v>
      </c>
      <c r="AW731" s="69">
        <f>713+27.67</f>
        <v>740.67</v>
      </c>
      <c r="AX731" s="69">
        <v>760.17</v>
      </c>
      <c r="BD731" s="69"/>
      <c r="BE731" s="69"/>
      <c r="CE731" s="94">
        <f t="shared" si="78"/>
        <v>65755.600000000006</v>
      </c>
      <c r="CF731" s="73">
        <f t="shared" si="75"/>
        <v>0</v>
      </c>
      <c r="CG731" s="75">
        <f t="shared" si="76"/>
        <v>6772</v>
      </c>
      <c r="CH731" s="75" t="str">
        <f t="shared" si="76"/>
        <v>برنامج دولى</v>
      </c>
    </row>
    <row r="732" spans="2:86" x14ac:dyDescent="0.25">
      <c r="B732" s="69">
        <v>12</v>
      </c>
      <c r="C732" s="82">
        <v>5161</v>
      </c>
      <c r="D732" s="78">
        <v>6772</v>
      </c>
      <c r="E732" s="107" t="s">
        <v>132</v>
      </c>
      <c r="F732" s="69" t="s">
        <v>2454</v>
      </c>
      <c r="G732" s="69" t="s">
        <v>220</v>
      </c>
      <c r="H732" s="69">
        <v>135501.69</v>
      </c>
      <c r="U732" s="69"/>
      <c r="V732" s="69"/>
      <c r="AS732" s="94">
        <f t="shared" si="77"/>
        <v>135501.69</v>
      </c>
      <c r="AT732" s="69">
        <v>96976.36</v>
      </c>
      <c r="AU732" s="69">
        <f>177.68+746.1</f>
        <v>923.78</v>
      </c>
      <c r="AV732" s="69">
        <f>28685.7+4733.2+39</f>
        <v>33457.9</v>
      </c>
      <c r="AW732" s="69">
        <f>4086.1+57.55</f>
        <v>4143.6499999999996</v>
      </c>
      <c r="BD732" s="69"/>
      <c r="BE732" s="69"/>
      <c r="CE732" s="94">
        <f t="shared" si="78"/>
        <v>135501.69</v>
      </c>
      <c r="CF732" s="73">
        <f t="shared" si="75"/>
        <v>0</v>
      </c>
      <c r="CG732" s="75">
        <f t="shared" si="76"/>
        <v>6772</v>
      </c>
      <c r="CH732" s="75" t="str">
        <f t="shared" si="76"/>
        <v>صيدلة اكلينيكى</v>
      </c>
    </row>
    <row r="733" spans="2:86" x14ac:dyDescent="0.25">
      <c r="B733" s="69">
        <v>13</v>
      </c>
      <c r="C733" s="82">
        <v>5391</v>
      </c>
      <c r="D733" s="78">
        <v>6773</v>
      </c>
      <c r="E733" s="107" t="s">
        <v>78</v>
      </c>
      <c r="F733" s="69" t="s">
        <v>2454</v>
      </c>
      <c r="G733" s="69" t="s">
        <v>220</v>
      </c>
      <c r="H733" s="69">
        <v>9446</v>
      </c>
      <c r="U733" s="69"/>
      <c r="V733" s="69"/>
      <c r="AS733" s="94">
        <f t="shared" si="77"/>
        <v>9446</v>
      </c>
      <c r="AT733" s="69">
        <v>6666.81</v>
      </c>
      <c r="AU733" s="69">
        <f>43.23+50.05</f>
        <v>93.28</v>
      </c>
      <c r="AV733" s="69">
        <f>2297+379</f>
        <v>2676</v>
      </c>
      <c r="AW733" s="69">
        <f>6+3.91</f>
        <v>9.91</v>
      </c>
      <c r="BD733" s="69"/>
      <c r="BE733" s="69"/>
      <c r="CE733" s="94">
        <f t="shared" si="78"/>
        <v>9446</v>
      </c>
      <c r="CF733" s="73">
        <f t="shared" si="75"/>
        <v>0</v>
      </c>
      <c r="CG733" s="75">
        <f t="shared" si="76"/>
        <v>6773</v>
      </c>
      <c r="CH733" s="75" t="str">
        <f t="shared" si="76"/>
        <v>برنامج دولى</v>
      </c>
    </row>
    <row r="734" spans="2:86" x14ac:dyDescent="0.25">
      <c r="B734" s="69">
        <v>14</v>
      </c>
      <c r="C734" s="82">
        <v>5324</v>
      </c>
      <c r="D734" s="78">
        <v>6774</v>
      </c>
      <c r="E734" s="107" t="s">
        <v>121</v>
      </c>
      <c r="F734" s="69" t="s">
        <v>2454</v>
      </c>
      <c r="G734" s="69" t="s">
        <v>220</v>
      </c>
      <c r="H734" s="69">
        <v>5195.37</v>
      </c>
      <c r="U734" s="69"/>
      <c r="V734" s="69"/>
      <c r="AS734" s="94">
        <f t="shared" si="77"/>
        <v>5195.37</v>
      </c>
      <c r="AT734" s="69">
        <v>3892.35</v>
      </c>
      <c r="AU734" s="69">
        <f>16.4+29.2</f>
        <v>45.599999999999994</v>
      </c>
      <c r="AV734" s="69">
        <f>1074.8+177.4</f>
        <v>1252.2</v>
      </c>
      <c r="AW734" s="69">
        <f>3+2.22</f>
        <v>5.2200000000000006</v>
      </c>
      <c r="BD734" s="69"/>
      <c r="BE734" s="69"/>
      <c r="CE734" s="94">
        <f t="shared" si="78"/>
        <v>5195.37</v>
      </c>
      <c r="CF734" s="73">
        <f t="shared" si="75"/>
        <v>0</v>
      </c>
      <c r="CG734" s="75">
        <f t="shared" si="76"/>
        <v>6774</v>
      </c>
      <c r="CH734" s="75" t="str">
        <f t="shared" si="76"/>
        <v>ماليزى اسنان</v>
      </c>
    </row>
    <row r="735" spans="2:86" x14ac:dyDescent="0.25">
      <c r="B735" s="69">
        <v>15</v>
      </c>
      <c r="C735" s="82">
        <v>5325</v>
      </c>
      <c r="D735" s="78">
        <v>6774</v>
      </c>
      <c r="E735" s="107" t="s">
        <v>121</v>
      </c>
      <c r="F735" s="69" t="s">
        <v>2454</v>
      </c>
      <c r="G735" s="69" t="s">
        <v>220</v>
      </c>
      <c r="H735" s="69">
        <v>10437.459999999999</v>
      </c>
      <c r="U735" s="69"/>
      <c r="V735" s="69"/>
      <c r="AS735" s="94">
        <f t="shared" si="77"/>
        <v>10437.459999999999</v>
      </c>
      <c r="AT735" s="69">
        <v>7598.7</v>
      </c>
      <c r="AU735" s="69">
        <f>36.3+58.7</f>
        <v>95</v>
      </c>
      <c r="AV735" s="69">
        <f>2159.4+356.4</f>
        <v>2515.8000000000002</v>
      </c>
      <c r="AW735" s="69">
        <f>221.33+4.45</f>
        <v>225.78</v>
      </c>
      <c r="BD735" s="69"/>
      <c r="BE735" s="69"/>
      <c r="CD735" s="69">
        <v>2.1800000000000002</v>
      </c>
      <c r="CE735" s="94">
        <f t="shared" si="78"/>
        <v>10437.460000000001</v>
      </c>
      <c r="CF735" s="73">
        <f t="shared" si="75"/>
        <v>0</v>
      </c>
      <c r="CG735" s="75">
        <f t="shared" si="76"/>
        <v>6774</v>
      </c>
      <c r="CH735" s="75" t="str">
        <f t="shared" si="76"/>
        <v>ماليزى اسنان</v>
      </c>
    </row>
    <row r="736" spans="2:86" x14ac:dyDescent="0.25">
      <c r="B736" s="69">
        <v>16</v>
      </c>
      <c r="C736" s="82">
        <v>5323</v>
      </c>
      <c r="D736" s="78">
        <v>6774</v>
      </c>
      <c r="E736" s="107" t="s">
        <v>121</v>
      </c>
      <c r="F736" s="69" t="s">
        <v>2454</v>
      </c>
      <c r="G736" s="69" t="s">
        <v>220</v>
      </c>
      <c r="H736" s="69">
        <v>5195.37</v>
      </c>
      <c r="U736" s="69"/>
      <c r="V736" s="69"/>
      <c r="AS736" s="94">
        <f t="shared" si="77"/>
        <v>5195.37</v>
      </c>
      <c r="AT736" s="69">
        <v>3805.35</v>
      </c>
      <c r="AU736" s="69">
        <f>16.4+29.2</f>
        <v>45.599999999999994</v>
      </c>
      <c r="AV736" s="69">
        <f>1074.8+177.4</f>
        <v>1252.2</v>
      </c>
      <c r="AW736" s="69">
        <f>89.13+2.22</f>
        <v>91.35</v>
      </c>
      <c r="BD736" s="69"/>
      <c r="BE736" s="69"/>
      <c r="CD736" s="69">
        <v>0.87</v>
      </c>
      <c r="CE736" s="94">
        <f t="shared" si="78"/>
        <v>5195.37</v>
      </c>
      <c r="CF736" s="73">
        <f t="shared" si="75"/>
        <v>0</v>
      </c>
      <c r="CG736" s="75">
        <f t="shared" si="76"/>
        <v>6774</v>
      </c>
      <c r="CH736" s="75" t="str">
        <f t="shared" si="76"/>
        <v>ماليزى اسنان</v>
      </c>
    </row>
    <row r="737" spans="2:86" x14ac:dyDescent="0.25">
      <c r="B737" s="69">
        <v>17</v>
      </c>
      <c r="C737" s="82">
        <v>5396</v>
      </c>
      <c r="D737" s="78">
        <v>6774</v>
      </c>
      <c r="E737" s="107" t="s">
        <v>78</v>
      </c>
      <c r="F737" s="69" t="s">
        <v>2454</v>
      </c>
      <c r="G737" s="69" t="s">
        <v>220</v>
      </c>
      <c r="H737" s="69">
        <v>21406.639999999999</v>
      </c>
      <c r="U737" s="69"/>
      <c r="V737" s="69"/>
      <c r="AS737" s="94">
        <f t="shared" si="77"/>
        <v>21406.639999999999</v>
      </c>
      <c r="AT737" s="69">
        <v>15978.26</v>
      </c>
      <c r="AU737" s="69">
        <f>112.7+120.45</f>
        <v>233.15</v>
      </c>
      <c r="AV737" s="69">
        <f>4428.4+730.7</f>
        <v>5159.0999999999995</v>
      </c>
      <c r="AW737" s="69">
        <f>27+9.13</f>
        <v>36.130000000000003</v>
      </c>
      <c r="BD737" s="69"/>
      <c r="BE737" s="69"/>
      <c r="CE737" s="94">
        <f t="shared" si="78"/>
        <v>21406.639999999999</v>
      </c>
      <c r="CF737" s="73">
        <f t="shared" si="75"/>
        <v>0</v>
      </c>
      <c r="CG737" s="75">
        <f t="shared" si="76"/>
        <v>6774</v>
      </c>
      <c r="CH737" s="75" t="str">
        <f t="shared" si="76"/>
        <v>برنامج دولى</v>
      </c>
    </row>
    <row r="738" spans="2:86" x14ac:dyDescent="0.25">
      <c r="B738" s="69">
        <v>18</v>
      </c>
      <c r="C738" s="82">
        <v>5397</v>
      </c>
      <c r="D738" s="78">
        <v>6774</v>
      </c>
      <c r="E738" s="107" t="s">
        <v>78</v>
      </c>
      <c r="F738" s="69" t="s">
        <v>2454</v>
      </c>
      <c r="G738" s="69" t="s">
        <v>220</v>
      </c>
      <c r="H738" s="69">
        <v>5272</v>
      </c>
      <c r="U738" s="69"/>
      <c r="V738" s="69"/>
      <c r="AS738" s="94">
        <f t="shared" si="77"/>
        <v>5272</v>
      </c>
      <c r="AT738" s="69">
        <v>3571.41</v>
      </c>
      <c r="AU738" s="69">
        <f>22.19+29.65</f>
        <v>51.84</v>
      </c>
      <c r="AV738" s="69">
        <f>1090.6+179.9</f>
        <v>1270.5</v>
      </c>
      <c r="AW738" s="69">
        <f>376+2.25</f>
        <v>378.25</v>
      </c>
      <c r="BD738" s="69"/>
      <c r="BE738" s="69"/>
      <c r="CE738" s="94">
        <f t="shared" si="78"/>
        <v>5272</v>
      </c>
      <c r="CF738" s="73">
        <f t="shared" si="75"/>
        <v>0</v>
      </c>
      <c r="CG738" s="75">
        <f t="shared" ref="CG738:CH762" si="79">+D738</f>
        <v>6774</v>
      </c>
      <c r="CH738" s="75" t="str">
        <f t="shared" si="79"/>
        <v>برنامج دولى</v>
      </c>
    </row>
    <row r="739" spans="2:86" x14ac:dyDescent="0.25">
      <c r="B739" s="69">
        <v>19</v>
      </c>
      <c r="C739" s="82">
        <v>5398</v>
      </c>
      <c r="D739" s="78">
        <v>6774</v>
      </c>
      <c r="E739" s="107" t="s">
        <v>78</v>
      </c>
      <c r="F739" s="69" t="s">
        <v>2454</v>
      </c>
      <c r="G739" s="69" t="s">
        <v>220</v>
      </c>
      <c r="H739" s="69">
        <v>5266.73</v>
      </c>
      <c r="U739" s="69"/>
      <c r="V739" s="69"/>
      <c r="AS739" s="94">
        <f t="shared" si="77"/>
        <v>5266.73</v>
      </c>
      <c r="AT739" s="69">
        <v>3846.71</v>
      </c>
      <c r="AU739" s="69">
        <f>21.77+29.6</f>
        <v>51.370000000000005</v>
      </c>
      <c r="AV739" s="69">
        <f>1089.6+179.8</f>
        <v>1269.3999999999999</v>
      </c>
      <c r="AW739" s="69">
        <f>97+2.25</f>
        <v>99.25</v>
      </c>
      <c r="BD739" s="69"/>
      <c r="BE739" s="69"/>
      <c r="CE739" s="94">
        <f t="shared" si="78"/>
        <v>5266.73</v>
      </c>
      <c r="CF739" s="73">
        <f t="shared" si="75"/>
        <v>0</v>
      </c>
      <c r="CG739" s="75">
        <f t="shared" si="79"/>
        <v>6774</v>
      </c>
      <c r="CH739" s="75" t="str">
        <f t="shared" si="79"/>
        <v>برنامج دولى</v>
      </c>
    </row>
    <row r="740" spans="2:86" x14ac:dyDescent="0.25">
      <c r="B740" s="69">
        <v>20</v>
      </c>
      <c r="C740" s="82">
        <v>5399</v>
      </c>
      <c r="D740" s="78">
        <v>6775</v>
      </c>
      <c r="E740" s="107" t="s">
        <v>78</v>
      </c>
      <c r="F740" s="69" t="s">
        <v>2454</v>
      </c>
      <c r="G740" s="69" t="s">
        <v>220</v>
      </c>
      <c r="H740" s="69">
        <v>10524.06</v>
      </c>
      <c r="U740" s="69"/>
      <c r="V740" s="69"/>
      <c r="AS740" s="94">
        <f t="shared" si="77"/>
        <v>10524.06</v>
      </c>
      <c r="AT740" s="69">
        <v>6571.66</v>
      </c>
      <c r="AU740" s="69">
        <f>21.43+49.75</f>
        <v>71.180000000000007</v>
      </c>
      <c r="AV740" s="69">
        <f>2177+359.2</f>
        <v>2536.1999999999998</v>
      </c>
      <c r="AW740" s="69">
        <f>80+3.85</f>
        <v>83.85</v>
      </c>
      <c r="AX740" s="69">
        <v>1261.17</v>
      </c>
      <c r="BD740" s="69"/>
      <c r="BE740" s="69"/>
      <c r="CE740" s="94">
        <f t="shared" si="78"/>
        <v>10524.060000000001</v>
      </c>
      <c r="CF740" s="73">
        <f t="shared" si="75"/>
        <v>0</v>
      </c>
      <c r="CG740" s="75">
        <f t="shared" si="79"/>
        <v>6775</v>
      </c>
      <c r="CH740" s="75" t="str">
        <f t="shared" si="79"/>
        <v>برنامج دولى</v>
      </c>
    </row>
    <row r="741" spans="2:86" x14ac:dyDescent="0.25">
      <c r="B741" s="69">
        <v>21</v>
      </c>
      <c r="C741" s="82">
        <v>5400</v>
      </c>
      <c r="D741" s="78">
        <v>6776</v>
      </c>
      <c r="E741" s="107" t="s">
        <v>78</v>
      </c>
      <c r="F741" s="69" t="s">
        <v>2454</v>
      </c>
      <c r="G741" s="69" t="s">
        <v>220</v>
      </c>
      <c r="H741" s="69">
        <v>11103.1</v>
      </c>
      <c r="U741" s="69"/>
      <c r="V741" s="69"/>
      <c r="AS741" s="94">
        <f t="shared" si="77"/>
        <v>11103.1</v>
      </c>
      <c r="AT741" s="69">
        <v>8263.4</v>
      </c>
      <c r="AU741" s="69">
        <f>86.46+62.5</f>
        <v>148.95999999999998</v>
      </c>
      <c r="AV741" s="69">
        <f>2297+379</f>
        <v>2676</v>
      </c>
      <c r="AW741" s="69">
        <f>10+4.74</f>
        <v>14.74</v>
      </c>
      <c r="BD741" s="69"/>
      <c r="BE741" s="69"/>
      <c r="CE741" s="94">
        <f t="shared" si="78"/>
        <v>11103.099999999999</v>
      </c>
      <c r="CF741" s="73">
        <f t="shared" si="75"/>
        <v>0</v>
      </c>
      <c r="CG741" s="75">
        <f t="shared" si="79"/>
        <v>6776</v>
      </c>
      <c r="CH741" s="75" t="str">
        <f t="shared" si="79"/>
        <v>برنامج دولى</v>
      </c>
    </row>
    <row r="742" spans="2:86" x14ac:dyDescent="0.25">
      <c r="B742" s="69">
        <v>22</v>
      </c>
      <c r="C742" s="82">
        <v>5401</v>
      </c>
      <c r="D742" s="78">
        <v>6776</v>
      </c>
      <c r="E742" s="107" t="s">
        <v>78</v>
      </c>
      <c r="F742" s="69" t="s">
        <v>2454</v>
      </c>
      <c r="G742" s="69" t="s">
        <v>220</v>
      </c>
      <c r="H742" s="69">
        <v>5262.03</v>
      </c>
      <c r="U742" s="69"/>
      <c r="V742" s="69"/>
      <c r="AS742" s="94">
        <f t="shared" si="77"/>
        <v>5262.03</v>
      </c>
      <c r="AT742" s="69">
        <v>3781.84</v>
      </c>
      <c r="AU742" s="69">
        <f>21.43+29.6</f>
        <v>51.03</v>
      </c>
      <c r="AV742" s="69">
        <f>1088.5+179.6</f>
        <v>1268.0999999999999</v>
      </c>
      <c r="AW742" s="69">
        <f>158.82+2.24</f>
        <v>161.06</v>
      </c>
      <c r="BD742" s="69"/>
      <c r="BE742" s="69"/>
      <c r="CE742" s="94">
        <f t="shared" si="78"/>
        <v>5262.0300000000007</v>
      </c>
      <c r="CF742" s="73">
        <f t="shared" si="75"/>
        <v>0</v>
      </c>
      <c r="CG742" s="75">
        <f t="shared" si="79"/>
        <v>6776</v>
      </c>
      <c r="CH742" s="75" t="str">
        <f t="shared" si="79"/>
        <v>برنامج دولى</v>
      </c>
    </row>
    <row r="743" spans="2:86" x14ac:dyDescent="0.25">
      <c r="B743" s="69">
        <v>23</v>
      </c>
      <c r="C743" s="82">
        <v>5403</v>
      </c>
      <c r="D743" s="78">
        <v>6776</v>
      </c>
      <c r="E743" s="107" t="s">
        <v>78</v>
      </c>
      <c r="F743" s="69" t="s">
        <v>2454</v>
      </c>
      <c r="G743" s="69" t="s">
        <v>220</v>
      </c>
      <c r="H743" s="69">
        <v>15708.83</v>
      </c>
      <c r="U743" s="69"/>
      <c r="V743" s="69"/>
      <c r="AS743" s="94">
        <f t="shared" si="77"/>
        <v>15708.83</v>
      </c>
      <c r="AT743" s="69">
        <v>11621.61</v>
      </c>
      <c r="AU743" s="69">
        <f>62.22+88.4</f>
        <v>150.62</v>
      </c>
      <c r="AV743" s="69">
        <f>3249.7+536.2</f>
        <v>3785.8999999999996</v>
      </c>
      <c r="AW743" s="69">
        <f>144+6.7</f>
        <v>150.69999999999999</v>
      </c>
      <c r="BD743" s="69"/>
      <c r="BE743" s="69"/>
      <c r="CE743" s="94">
        <f t="shared" si="78"/>
        <v>15708.830000000002</v>
      </c>
      <c r="CF743" s="73">
        <f t="shared" si="75"/>
        <v>0</v>
      </c>
      <c r="CG743" s="75">
        <f t="shared" si="79"/>
        <v>6776</v>
      </c>
      <c r="CH743" s="75" t="str">
        <f t="shared" si="79"/>
        <v>برنامج دولى</v>
      </c>
    </row>
    <row r="744" spans="2:86" x14ac:dyDescent="0.25">
      <c r="B744" s="69">
        <v>24</v>
      </c>
      <c r="C744" s="82">
        <v>5404</v>
      </c>
      <c r="D744" s="78">
        <v>6776</v>
      </c>
      <c r="E744" s="107" t="s">
        <v>78</v>
      </c>
      <c r="F744" s="69" t="s">
        <v>2454</v>
      </c>
      <c r="G744" s="69" t="s">
        <v>220</v>
      </c>
      <c r="H744" s="69">
        <v>5551.55</v>
      </c>
      <c r="U744" s="69"/>
      <c r="V744" s="69"/>
      <c r="AS744" s="94">
        <f t="shared" si="77"/>
        <v>5551.55</v>
      </c>
      <c r="AT744" s="69">
        <v>4131.7</v>
      </c>
      <c r="AU744" s="69">
        <f>43.23+31.25</f>
        <v>74.47999999999999</v>
      </c>
      <c r="AV744" s="69">
        <f>1148.5+189.5</f>
        <v>1338</v>
      </c>
      <c r="AW744" s="69">
        <f>5+2.37</f>
        <v>7.37</v>
      </c>
      <c r="BD744" s="69"/>
      <c r="BE744" s="69"/>
      <c r="CE744" s="94">
        <f t="shared" si="78"/>
        <v>5551.5499999999993</v>
      </c>
      <c r="CF744" s="73">
        <f t="shared" si="75"/>
        <v>0</v>
      </c>
      <c r="CG744" s="75">
        <f t="shared" si="79"/>
        <v>6776</v>
      </c>
      <c r="CH744" s="75" t="str">
        <f t="shared" si="79"/>
        <v>برنامج دولى</v>
      </c>
    </row>
    <row r="745" spans="2:86" x14ac:dyDescent="0.25">
      <c r="B745" s="69">
        <v>25</v>
      </c>
      <c r="C745" s="82">
        <v>5405</v>
      </c>
      <c r="D745" s="78">
        <v>6776</v>
      </c>
      <c r="E745" s="107" t="s">
        <v>78</v>
      </c>
      <c r="F745" s="69" t="s">
        <v>2454</v>
      </c>
      <c r="G745" s="69" t="s">
        <v>220</v>
      </c>
      <c r="H745" s="69">
        <v>5262.03</v>
      </c>
      <c r="U745" s="69"/>
      <c r="V745" s="69"/>
      <c r="AS745" s="94">
        <f t="shared" si="77"/>
        <v>5262.03</v>
      </c>
      <c r="AT745" s="69">
        <v>2623.58</v>
      </c>
      <c r="AU745" s="69">
        <v>19.5</v>
      </c>
      <c r="AV745" s="69">
        <f>1088.5+179.6</f>
        <v>1268.0999999999999</v>
      </c>
      <c r="AW745" s="69">
        <f>3+1.57</f>
        <v>4.57</v>
      </c>
      <c r="AX745" s="69">
        <v>1346.28</v>
      </c>
      <c r="BD745" s="69"/>
      <c r="BE745" s="69"/>
      <c r="CE745" s="94">
        <f t="shared" si="78"/>
        <v>5262.03</v>
      </c>
      <c r="CF745" s="73">
        <f t="shared" si="75"/>
        <v>0</v>
      </c>
      <c r="CG745" s="75">
        <f t="shared" si="79"/>
        <v>6776</v>
      </c>
      <c r="CH745" s="75" t="str">
        <f t="shared" si="79"/>
        <v>برنامج دولى</v>
      </c>
    </row>
    <row r="746" spans="2:86" x14ac:dyDescent="0.25">
      <c r="B746" s="69">
        <v>26</v>
      </c>
      <c r="C746" s="82">
        <v>5326</v>
      </c>
      <c r="D746" s="78">
        <v>6776</v>
      </c>
      <c r="E746" s="107" t="s">
        <v>121</v>
      </c>
      <c r="F746" s="69" t="s">
        <v>2454</v>
      </c>
      <c r="G746" s="69" t="s">
        <v>220</v>
      </c>
      <c r="H746" s="69">
        <v>5195.37</v>
      </c>
      <c r="U746" s="69"/>
      <c r="V746" s="69"/>
      <c r="AS746" s="94">
        <f t="shared" si="77"/>
        <v>5195.37</v>
      </c>
      <c r="AT746" s="69">
        <v>3892.35</v>
      </c>
      <c r="AU746" s="69">
        <f>16.4+29.2</f>
        <v>45.599999999999994</v>
      </c>
      <c r="AV746" s="69">
        <f>1074.8+177.4</f>
        <v>1252.2</v>
      </c>
      <c r="AW746" s="69">
        <f>3+2.22</f>
        <v>5.2200000000000006</v>
      </c>
      <c r="BD746" s="69"/>
      <c r="BE746" s="69"/>
      <c r="CE746" s="94">
        <f t="shared" si="78"/>
        <v>5195.37</v>
      </c>
      <c r="CF746" s="73">
        <f t="shared" si="75"/>
        <v>0</v>
      </c>
      <c r="CG746" s="75">
        <f t="shared" si="79"/>
        <v>6776</v>
      </c>
      <c r="CH746" s="75" t="str">
        <f t="shared" si="79"/>
        <v>ماليزى اسنان</v>
      </c>
    </row>
    <row r="747" spans="2:86" x14ac:dyDescent="0.25">
      <c r="B747" s="69">
        <v>27</v>
      </c>
      <c r="C747" s="82">
        <v>5402</v>
      </c>
      <c r="D747" s="78">
        <v>6777</v>
      </c>
      <c r="E747" s="107" t="s">
        <v>78</v>
      </c>
      <c r="F747" s="69" t="s">
        <v>2454</v>
      </c>
      <c r="G747" s="69" t="s">
        <v>220</v>
      </c>
      <c r="H747" s="69">
        <v>16075.61</v>
      </c>
      <c r="U747" s="69"/>
      <c r="V747" s="69"/>
      <c r="AS747" s="94">
        <f t="shared" si="77"/>
        <v>16075.61</v>
      </c>
      <c r="AT747" s="69">
        <v>11875.45</v>
      </c>
      <c r="AU747" s="69">
        <f>71.25+89.35</f>
        <v>160.6</v>
      </c>
      <c r="AV747" s="69">
        <f>3325.5+548.7</f>
        <v>3874.2</v>
      </c>
      <c r="AW747" s="69">
        <f>9+6.78</f>
        <v>15.780000000000001</v>
      </c>
      <c r="AX747" s="69">
        <v>149.58000000000001</v>
      </c>
      <c r="BD747" s="69"/>
      <c r="BE747" s="69"/>
      <c r="CE747" s="94">
        <f t="shared" si="78"/>
        <v>16075.61</v>
      </c>
      <c r="CF747" s="73">
        <f t="shared" si="75"/>
        <v>0</v>
      </c>
      <c r="CG747" s="75">
        <f t="shared" si="79"/>
        <v>6777</v>
      </c>
      <c r="CH747" s="75" t="str">
        <f t="shared" si="79"/>
        <v>برنامج دولى</v>
      </c>
    </row>
    <row r="748" spans="2:86" x14ac:dyDescent="0.25">
      <c r="B748" s="69">
        <v>28</v>
      </c>
      <c r="C748" s="82">
        <v>5327</v>
      </c>
      <c r="D748" s="78">
        <v>6778</v>
      </c>
      <c r="E748" s="107" t="s">
        <v>121</v>
      </c>
      <c r="F748" s="69" t="s">
        <v>2454</v>
      </c>
      <c r="G748" s="69" t="s">
        <v>220</v>
      </c>
      <c r="H748" s="69">
        <v>31685.82</v>
      </c>
      <c r="U748" s="69"/>
      <c r="V748" s="69"/>
      <c r="AS748" s="94">
        <f t="shared" si="77"/>
        <v>31685.82</v>
      </c>
      <c r="AT748" s="69">
        <v>23702.22</v>
      </c>
      <c r="AU748" s="69">
        <f>137.1+178.2</f>
        <v>315.29999999999995</v>
      </c>
      <c r="AV748" s="69">
        <f>6555+1081.8</f>
        <v>7636.8</v>
      </c>
      <c r="AW748" s="69">
        <f>18+13.5</f>
        <v>31.5</v>
      </c>
      <c r="BD748" s="69"/>
      <c r="BE748" s="69"/>
      <c r="CE748" s="94">
        <f t="shared" si="78"/>
        <v>31685.82</v>
      </c>
      <c r="CF748" s="73">
        <f t="shared" si="75"/>
        <v>0</v>
      </c>
      <c r="CG748" s="75">
        <f t="shared" si="79"/>
        <v>6778</v>
      </c>
      <c r="CH748" s="75" t="str">
        <f t="shared" si="79"/>
        <v>ماليزى اسنان</v>
      </c>
    </row>
    <row r="749" spans="2:86" x14ac:dyDescent="0.25">
      <c r="B749" s="69">
        <v>29</v>
      </c>
      <c r="C749" s="82">
        <v>5700</v>
      </c>
      <c r="D749" s="78">
        <v>6778</v>
      </c>
      <c r="E749" s="107" t="s">
        <v>132</v>
      </c>
      <c r="F749" s="69" t="s">
        <v>2454</v>
      </c>
      <c r="G749" s="69" t="s">
        <v>220</v>
      </c>
      <c r="H749" s="69">
        <v>5280.97</v>
      </c>
      <c r="U749" s="69"/>
      <c r="V749" s="69"/>
      <c r="AS749" s="94">
        <f t="shared" si="77"/>
        <v>5280.97</v>
      </c>
      <c r="AT749" s="69">
        <v>3950.37</v>
      </c>
      <c r="AU749" s="69">
        <f>22.85+29.7</f>
        <v>52.55</v>
      </c>
      <c r="AV749" s="69">
        <f>1092.5+180.3</f>
        <v>1272.8</v>
      </c>
      <c r="AW749" s="69">
        <f>3+2.25</f>
        <v>5.25</v>
      </c>
      <c r="BD749" s="69"/>
      <c r="BE749" s="69"/>
      <c r="CE749" s="94">
        <f t="shared" si="78"/>
        <v>5280.97</v>
      </c>
      <c r="CF749" s="73">
        <f t="shared" si="75"/>
        <v>0</v>
      </c>
      <c r="CG749" s="75">
        <f t="shared" si="79"/>
        <v>6778</v>
      </c>
      <c r="CH749" s="75" t="str">
        <f t="shared" si="79"/>
        <v>صيدلة اكلينيكى</v>
      </c>
    </row>
    <row r="750" spans="2:86" x14ac:dyDescent="0.25">
      <c r="C750" s="82">
        <v>12022</v>
      </c>
      <c r="D750" s="78">
        <v>6779</v>
      </c>
      <c r="E750" s="107" t="s">
        <v>121</v>
      </c>
      <c r="F750" s="69" t="s">
        <v>509</v>
      </c>
      <c r="G750" s="69"/>
      <c r="H750" s="69">
        <v>114097.89</v>
      </c>
      <c r="U750" s="69"/>
      <c r="V750" s="69"/>
      <c r="AS750" s="94">
        <f t="shared" ref="AS750:AS888" si="80">SUM(H750:AR750)</f>
        <v>114097.89</v>
      </c>
      <c r="AT750" s="69">
        <v>96170.13</v>
      </c>
      <c r="AU750" s="69">
        <v>11773.55</v>
      </c>
      <c r="AV750" s="69">
        <v>6154.21</v>
      </c>
      <c r="BD750" s="69"/>
      <c r="BE750" s="69"/>
      <c r="CE750" s="94">
        <f t="shared" ref="CE750:CE781" si="81">SUM(AT750:CD750)</f>
        <v>114097.89000000001</v>
      </c>
      <c r="CF750" s="73">
        <f t="shared" si="75"/>
        <v>0</v>
      </c>
      <c r="CG750" s="75">
        <f t="shared" si="79"/>
        <v>6779</v>
      </c>
      <c r="CH750" s="75" t="str">
        <f t="shared" si="79"/>
        <v>ماليزى اسنان</v>
      </c>
    </row>
    <row r="751" spans="2:86" x14ac:dyDescent="0.25">
      <c r="C751" s="82">
        <v>12023</v>
      </c>
      <c r="D751" s="78">
        <v>6780</v>
      </c>
      <c r="E751" s="107" t="s">
        <v>121</v>
      </c>
      <c r="F751" s="69" t="s">
        <v>509</v>
      </c>
      <c r="G751" s="69"/>
      <c r="H751" s="69">
        <v>133379.62</v>
      </c>
      <c r="U751" s="69"/>
      <c r="V751" s="69"/>
      <c r="AS751" s="94">
        <f t="shared" si="80"/>
        <v>133379.62</v>
      </c>
      <c r="AT751" s="69">
        <v>109511.81</v>
      </c>
      <c r="AU751" s="69">
        <v>13600.15</v>
      </c>
      <c r="AV751" s="69">
        <v>10267.66</v>
      </c>
      <c r="BD751" s="69"/>
      <c r="BE751" s="69"/>
      <c r="CE751" s="94">
        <f t="shared" si="81"/>
        <v>133379.62</v>
      </c>
      <c r="CF751" s="73">
        <f t="shared" si="75"/>
        <v>0</v>
      </c>
      <c r="CG751" s="75">
        <f t="shared" si="79"/>
        <v>6780</v>
      </c>
      <c r="CH751" s="75" t="str">
        <f t="shared" si="79"/>
        <v>ماليزى اسنان</v>
      </c>
    </row>
    <row r="752" spans="2:86" x14ac:dyDescent="0.25">
      <c r="C752" s="82">
        <v>12024</v>
      </c>
      <c r="D752" s="78">
        <v>6781</v>
      </c>
      <c r="E752" s="107" t="s">
        <v>121</v>
      </c>
      <c r="F752" s="69" t="s">
        <v>509</v>
      </c>
      <c r="G752" s="69"/>
      <c r="H752" s="69">
        <v>44818.73</v>
      </c>
      <c r="U752" s="69"/>
      <c r="V752" s="69"/>
      <c r="AS752" s="94">
        <f t="shared" si="80"/>
        <v>44818.73</v>
      </c>
      <c r="AT752" s="69">
        <v>37627.17</v>
      </c>
      <c r="AU752" s="69">
        <v>4540.6000000000004</v>
      </c>
      <c r="AV752" s="69">
        <v>2650.96</v>
      </c>
      <c r="BD752" s="69"/>
      <c r="BE752" s="69"/>
      <c r="CE752" s="94">
        <f t="shared" si="81"/>
        <v>44818.729999999996</v>
      </c>
      <c r="CF752" s="73">
        <f t="shared" si="75"/>
        <v>0</v>
      </c>
      <c r="CG752" s="75">
        <f t="shared" si="79"/>
        <v>6781</v>
      </c>
      <c r="CH752" s="75" t="str">
        <f t="shared" si="79"/>
        <v>ماليزى اسنان</v>
      </c>
    </row>
    <row r="753" spans="3:86" x14ac:dyDescent="0.25">
      <c r="C753" s="82">
        <v>12025</v>
      </c>
      <c r="D753" s="78">
        <v>6782</v>
      </c>
      <c r="E753" s="107" t="s">
        <v>121</v>
      </c>
      <c r="F753" s="69" t="s">
        <v>506</v>
      </c>
      <c r="G753" s="69"/>
      <c r="H753" s="69">
        <v>1200</v>
      </c>
      <c r="U753" s="69"/>
      <c r="V753" s="69"/>
      <c r="AS753" s="94">
        <f t="shared" si="80"/>
        <v>1200</v>
      </c>
      <c r="AT753" s="69">
        <v>1071.3499999999999</v>
      </c>
      <c r="AU753" s="69">
        <v>128.65</v>
      </c>
      <c r="BD753" s="69"/>
      <c r="BE753" s="69"/>
      <c r="CE753" s="94">
        <f t="shared" si="81"/>
        <v>1200</v>
      </c>
      <c r="CF753" s="73">
        <f t="shared" si="75"/>
        <v>0</v>
      </c>
      <c r="CG753" s="75">
        <f t="shared" si="79"/>
        <v>6782</v>
      </c>
      <c r="CH753" s="75" t="str">
        <f t="shared" si="79"/>
        <v>ماليزى اسنان</v>
      </c>
    </row>
    <row r="754" spans="3:86" x14ac:dyDescent="0.25">
      <c r="C754" s="82">
        <v>12026</v>
      </c>
      <c r="D754" s="78">
        <v>6783</v>
      </c>
      <c r="E754" s="107" t="s">
        <v>121</v>
      </c>
      <c r="F754" s="69" t="str">
        <f>+F752</f>
        <v>مكافاه تدريس فرقه رابعه</v>
      </c>
      <c r="G754" s="69"/>
      <c r="H754" s="69">
        <v>173019.04</v>
      </c>
      <c r="U754" s="69"/>
      <c r="V754" s="69"/>
      <c r="AS754" s="94">
        <f t="shared" si="80"/>
        <v>173019.04</v>
      </c>
      <c r="AT754" s="69">
        <v>143878.19</v>
      </c>
      <c r="AU754" s="69">
        <v>17580.400000000001</v>
      </c>
      <c r="AV754" s="69">
        <v>11560.45</v>
      </c>
      <c r="BD754" s="69"/>
      <c r="BE754" s="69"/>
      <c r="CE754" s="94">
        <f t="shared" si="81"/>
        <v>173019.04</v>
      </c>
      <c r="CF754" s="73">
        <f t="shared" si="75"/>
        <v>0</v>
      </c>
      <c r="CG754" s="75">
        <f t="shared" si="79"/>
        <v>6783</v>
      </c>
      <c r="CH754" s="75" t="str">
        <f t="shared" si="79"/>
        <v>ماليزى اسنان</v>
      </c>
    </row>
    <row r="755" spans="3:86" x14ac:dyDescent="0.25">
      <c r="C755" s="82">
        <v>12033</v>
      </c>
      <c r="D755" s="78">
        <v>6784</v>
      </c>
      <c r="E755" s="107" t="s">
        <v>121</v>
      </c>
      <c r="F755" s="69" t="str">
        <f>+F753</f>
        <v>مكافاه تدريس فرقه ثالثه</v>
      </c>
      <c r="G755" s="69"/>
      <c r="H755" s="69">
        <v>1080</v>
      </c>
      <c r="U755" s="69"/>
      <c r="V755" s="69"/>
      <c r="AS755" s="94">
        <f t="shared" si="80"/>
        <v>1080</v>
      </c>
      <c r="AT755" s="69">
        <v>964.25</v>
      </c>
      <c r="AU755" s="69">
        <v>115.75</v>
      </c>
      <c r="BD755" s="69"/>
      <c r="BE755" s="69"/>
      <c r="CE755" s="94">
        <f t="shared" si="81"/>
        <v>1080</v>
      </c>
      <c r="CF755" s="73">
        <f t="shared" si="75"/>
        <v>0</v>
      </c>
      <c r="CG755" s="75">
        <f t="shared" si="79"/>
        <v>6784</v>
      </c>
      <c r="CH755" s="75" t="str">
        <f t="shared" si="79"/>
        <v>ماليزى اسنان</v>
      </c>
    </row>
    <row r="756" spans="3:86" x14ac:dyDescent="0.25">
      <c r="C756" s="82">
        <v>12034</v>
      </c>
      <c r="D756" s="78">
        <v>6785</v>
      </c>
      <c r="E756" s="107" t="s">
        <v>121</v>
      </c>
      <c r="F756" s="69" t="str">
        <f>+F755</f>
        <v>مكافاه تدريس فرقه ثالثه</v>
      </c>
      <c r="G756" s="69"/>
      <c r="H756" s="69">
        <v>4800</v>
      </c>
      <c r="U756" s="69"/>
      <c r="V756" s="69"/>
      <c r="AS756" s="94">
        <f t="shared" si="80"/>
        <v>4800</v>
      </c>
      <c r="AT756" s="69">
        <v>4285.05</v>
      </c>
      <c r="AU756" s="69">
        <v>514.95000000000005</v>
      </c>
      <c r="BD756" s="69"/>
      <c r="BE756" s="69"/>
      <c r="CE756" s="94">
        <f t="shared" si="81"/>
        <v>4800</v>
      </c>
      <c r="CF756" s="73">
        <f t="shared" si="75"/>
        <v>0</v>
      </c>
      <c r="CG756" s="75">
        <f t="shared" si="79"/>
        <v>6785</v>
      </c>
      <c r="CH756" s="75" t="str">
        <f t="shared" si="79"/>
        <v>ماليزى اسنان</v>
      </c>
    </row>
    <row r="757" spans="3:86" x14ac:dyDescent="0.25">
      <c r="C757" s="82">
        <v>12035</v>
      </c>
      <c r="D757" s="78">
        <v>6786</v>
      </c>
      <c r="E757" s="107" t="s">
        <v>121</v>
      </c>
      <c r="F757" s="69" t="str">
        <f>+F756</f>
        <v>مكافاه تدريس فرقه ثالثه</v>
      </c>
      <c r="G757" s="69"/>
      <c r="H757" s="69">
        <v>6695.93</v>
      </c>
      <c r="U757" s="69"/>
      <c r="V757" s="69"/>
      <c r="AS757" s="94">
        <f t="shared" si="80"/>
        <v>6695.93</v>
      </c>
      <c r="AT757" s="69">
        <v>5374.98</v>
      </c>
      <c r="AU757" s="69">
        <v>672.55</v>
      </c>
      <c r="AV757" s="69">
        <v>648.4</v>
      </c>
      <c r="BD757" s="69"/>
      <c r="BE757" s="69"/>
      <c r="CE757" s="94">
        <f t="shared" si="81"/>
        <v>6695.9299999999994</v>
      </c>
      <c r="CF757" s="73">
        <f t="shared" si="75"/>
        <v>0</v>
      </c>
      <c r="CG757" s="75">
        <f t="shared" si="79"/>
        <v>6786</v>
      </c>
      <c r="CH757" s="75" t="str">
        <f t="shared" si="79"/>
        <v>ماليزى اسنان</v>
      </c>
    </row>
    <row r="758" spans="3:86" x14ac:dyDescent="0.25">
      <c r="C758" s="82">
        <v>12036</v>
      </c>
      <c r="D758" s="78">
        <v>6787</v>
      </c>
      <c r="E758" s="107" t="s">
        <v>121</v>
      </c>
      <c r="F758" s="69" t="str">
        <f>+F757</f>
        <v>مكافاه تدريس فرقه ثالثه</v>
      </c>
      <c r="G758" s="69"/>
      <c r="H758" s="69">
        <v>13200</v>
      </c>
      <c r="U758" s="69"/>
      <c r="V758" s="69"/>
      <c r="AS758" s="94">
        <f t="shared" si="80"/>
        <v>13200</v>
      </c>
      <c r="AT758" s="69">
        <v>11790.8</v>
      </c>
      <c r="AU758" s="69">
        <v>1409.2</v>
      </c>
      <c r="BD758" s="69"/>
      <c r="BE758" s="69"/>
      <c r="CE758" s="94">
        <f t="shared" si="81"/>
        <v>13200</v>
      </c>
      <c r="CF758" s="73">
        <f t="shared" si="75"/>
        <v>0</v>
      </c>
      <c r="CG758" s="75">
        <f t="shared" si="79"/>
        <v>6787</v>
      </c>
      <c r="CH758" s="75" t="str">
        <f t="shared" si="79"/>
        <v>ماليزى اسنان</v>
      </c>
    </row>
    <row r="759" spans="3:86" x14ac:dyDescent="0.25">
      <c r="C759" s="82">
        <v>12037</v>
      </c>
      <c r="D759" s="78">
        <v>6788</v>
      </c>
      <c r="E759" s="107" t="s">
        <v>121</v>
      </c>
      <c r="F759" s="69" t="str">
        <f>+F751</f>
        <v>مكافاه تدريس فرقه رابعه</v>
      </c>
      <c r="G759" s="69"/>
      <c r="H759" s="69">
        <v>7110</v>
      </c>
      <c r="U759" s="69"/>
      <c r="V759" s="69"/>
      <c r="AS759" s="94">
        <f t="shared" si="80"/>
        <v>7110</v>
      </c>
      <c r="AT759" s="69">
        <v>6347.1</v>
      </c>
      <c r="AU759" s="69">
        <v>762.9</v>
      </c>
      <c r="BD759" s="69"/>
      <c r="BE759" s="69"/>
      <c r="CE759" s="94">
        <f t="shared" si="81"/>
        <v>7110</v>
      </c>
      <c r="CF759" s="73">
        <f t="shared" si="75"/>
        <v>0</v>
      </c>
      <c r="CG759" s="75">
        <f t="shared" si="79"/>
        <v>6788</v>
      </c>
      <c r="CH759" s="75" t="str">
        <f t="shared" si="79"/>
        <v>ماليزى اسنان</v>
      </c>
    </row>
    <row r="760" spans="3:86" x14ac:dyDescent="0.25">
      <c r="C760" s="82">
        <v>12038</v>
      </c>
      <c r="D760" s="78">
        <v>6789</v>
      </c>
      <c r="E760" s="107" t="s">
        <v>121</v>
      </c>
      <c r="F760" s="69" t="str">
        <f>+F752</f>
        <v>مكافاه تدريس فرقه رابعه</v>
      </c>
      <c r="G760" s="69"/>
      <c r="H760" s="69">
        <v>16110</v>
      </c>
      <c r="U760" s="69"/>
      <c r="V760" s="69"/>
      <c r="AS760" s="94">
        <f t="shared" si="80"/>
        <v>16110</v>
      </c>
      <c r="AT760" s="69">
        <v>14377.6</v>
      </c>
      <c r="AU760" s="69">
        <v>1732.4</v>
      </c>
      <c r="BD760" s="69"/>
      <c r="BE760" s="69"/>
      <c r="CE760" s="94">
        <f t="shared" si="81"/>
        <v>16110</v>
      </c>
      <c r="CF760" s="73">
        <f t="shared" si="75"/>
        <v>0</v>
      </c>
      <c r="CG760" s="75">
        <f t="shared" si="79"/>
        <v>6789</v>
      </c>
      <c r="CH760" s="75" t="str">
        <f t="shared" si="79"/>
        <v>ماليزى اسنان</v>
      </c>
    </row>
    <row r="761" spans="3:86" x14ac:dyDescent="0.25">
      <c r="C761" s="82">
        <v>12039</v>
      </c>
      <c r="D761" s="78">
        <v>6790</v>
      </c>
      <c r="E761" s="107" t="s">
        <v>121</v>
      </c>
      <c r="F761" s="69" t="str">
        <f>+F760</f>
        <v>مكافاه تدريس فرقه رابعه</v>
      </c>
      <c r="G761" s="69"/>
      <c r="H761" s="69">
        <v>12000</v>
      </c>
      <c r="U761" s="69"/>
      <c r="V761" s="69"/>
      <c r="AS761" s="94">
        <f t="shared" si="80"/>
        <v>12000</v>
      </c>
      <c r="AT761" s="69">
        <v>10714.4</v>
      </c>
      <c r="AU761" s="69">
        <v>1285.5999999999999</v>
      </c>
      <c r="BD761" s="69"/>
      <c r="BE761" s="69"/>
      <c r="CE761" s="94">
        <f t="shared" si="81"/>
        <v>12000</v>
      </c>
      <c r="CF761" s="73">
        <f t="shared" si="75"/>
        <v>0</v>
      </c>
      <c r="CG761" s="75">
        <f t="shared" si="79"/>
        <v>6790</v>
      </c>
      <c r="CH761" s="75" t="str">
        <f t="shared" si="79"/>
        <v>ماليزى اسنان</v>
      </c>
    </row>
    <row r="762" spans="3:86" x14ac:dyDescent="0.25">
      <c r="C762" s="82">
        <v>12040</v>
      </c>
      <c r="D762" s="78">
        <v>6791</v>
      </c>
      <c r="E762" s="107" t="s">
        <v>121</v>
      </c>
      <c r="F762" s="69" t="str">
        <f>+F761</f>
        <v>مكافاه تدريس فرقه رابعه</v>
      </c>
      <c r="G762" s="69"/>
      <c r="H762" s="69">
        <v>7020</v>
      </c>
      <c r="U762" s="69"/>
      <c r="V762" s="69"/>
      <c r="AS762" s="94">
        <f t="shared" si="80"/>
        <v>7020</v>
      </c>
      <c r="AT762" s="69">
        <v>6262.2</v>
      </c>
      <c r="AU762" s="69">
        <v>757.8</v>
      </c>
      <c r="BD762" s="69"/>
      <c r="BE762" s="69"/>
      <c r="CE762" s="94">
        <f t="shared" si="81"/>
        <v>7020</v>
      </c>
      <c r="CF762" s="73">
        <f t="shared" si="75"/>
        <v>0</v>
      </c>
      <c r="CG762" s="75">
        <f t="shared" si="79"/>
        <v>6791</v>
      </c>
      <c r="CH762" s="75" t="str">
        <f t="shared" si="79"/>
        <v>ماليزى اسنان</v>
      </c>
    </row>
    <row r="763" spans="3:86" x14ac:dyDescent="0.25">
      <c r="C763" s="82">
        <v>12041</v>
      </c>
      <c r="D763" s="78">
        <v>6792</v>
      </c>
      <c r="E763" s="107" t="s">
        <v>121</v>
      </c>
      <c r="F763" s="69" t="str">
        <f>+F758</f>
        <v>مكافاه تدريس فرقه ثالثه</v>
      </c>
      <c r="G763" s="69"/>
      <c r="H763" s="69">
        <v>5190</v>
      </c>
      <c r="U763" s="69"/>
      <c r="V763" s="69"/>
      <c r="AS763" s="94">
        <f t="shared" si="80"/>
        <v>5190</v>
      </c>
      <c r="AT763" s="69">
        <v>4634.45</v>
      </c>
      <c r="AU763" s="69">
        <v>555.54999999999995</v>
      </c>
      <c r="BD763" s="69"/>
      <c r="BE763" s="69"/>
      <c r="CE763" s="94">
        <f t="shared" si="81"/>
        <v>5190</v>
      </c>
      <c r="CF763" s="73">
        <f t="shared" si="75"/>
        <v>0</v>
      </c>
      <c r="CG763" s="75">
        <f t="shared" ref="CG763:CH781" si="82">+D763</f>
        <v>6792</v>
      </c>
      <c r="CH763" s="75" t="str">
        <f t="shared" si="82"/>
        <v>ماليزى اسنان</v>
      </c>
    </row>
    <row r="764" spans="3:86" x14ac:dyDescent="0.25">
      <c r="C764" s="82">
        <v>12042</v>
      </c>
      <c r="D764" s="78">
        <v>6793</v>
      </c>
      <c r="E764" s="107" t="s">
        <v>121</v>
      </c>
      <c r="F764" s="69" t="str">
        <f>+F763</f>
        <v>مكافاه تدريس فرقه ثالثه</v>
      </c>
      <c r="G764" s="69"/>
      <c r="H764" s="69">
        <v>165057.54999999999</v>
      </c>
      <c r="U764" s="69"/>
      <c r="V764" s="69"/>
      <c r="AS764" s="94">
        <f t="shared" si="80"/>
        <v>165057.54999999999</v>
      </c>
      <c r="AT764" s="69">
        <v>144103.76</v>
      </c>
      <c r="AU764" s="69">
        <v>17420.400000000001</v>
      </c>
      <c r="AV764" s="69">
        <v>3533.39</v>
      </c>
      <c r="BD764" s="69"/>
      <c r="BE764" s="69"/>
      <c r="CE764" s="94">
        <f t="shared" si="81"/>
        <v>165057.55000000002</v>
      </c>
      <c r="CF764" s="73">
        <f t="shared" si="75"/>
        <v>0</v>
      </c>
      <c r="CG764" s="75">
        <f t="shared" si="82"/>
        <v>6793</v>
      </c>
      <c r="CH764" s="75" t="str">
        <f t="shared" si="82"/>
        <v>ماليزى اسنان</v>
      </c>
    </row>
    <row r="765" spans="3:86" x14ac:dyDescent="0.25">
      <c r="C765" s="82">
        <v>12043</v>
      </c>
      <c r="D765" s="78">
        <v>6794</v>
      </c>
      <c r="E765" s="107" t="s">
        <v>121</v>
      </c>
      <c r="F765" s="69" t="str">
        <f>+F764</f>
        <v>مكافاه تدريس فرقه ثالثه</v>
      </c>
      <c r="G765" s="69"/>
      <c r="H765" s="69">
        <v>8400</v>
      </c>
      <c r="U765" s="69"/>
      <c r="V765" s="69"/>
      <c r="AS765" s="94">
        <f t="shared" si="80"/>
        <v>8400</v>
      </c>
      <c r="AT765" s="69">
        <v>7493.2</v>
      </c>
      <c r="AU765" s="69">
        <v>906.8</v>
      </c>
      <c r="BD765" s="69"/>
      <c r="BE765" s="69"/>
      <c r="CE765" s="94">
        <f t="shared" si="81"/>
        <v>8400</v>
      </c>
      <c r="CF765" s="73">
        <f t="shared" si="75"/>
        <v>0</v>
      </c>
      <c r="CG765" s="75">
        <f t="shared" si="82"/>
        <v>6794</v>
      </c>
      <c r="CH765" s="75" t="str">
        <f t="shared" si="82"/>
        <v>ماليزى اسنان</v>
      </c>
    </row>
    <row r="766" spans="3:86" x14ac:dyDescent="0.25">
      <c r="C766" s="82">
        <v>12044</v>
      </c>
      <c r="D766" s="78">
        <v>6795</v>
      </c>
      <c r="E766" s="107" t="s">
        <v>121</v>
      </c>
      <c r="F766" s="69" t="str">
        <f>+F762</f>
        <v>مكافاه تدريس فرقه رابعه</v>
      </c>
      <c r="G766" s="69"/>
      <c r="H766" s="69">
        <v>13800</v>
      </c>
      <c r="U766" s="69"/>
      <c r="V766" s="69"/>
      <c r="AS766" s="94">
        <f t="shared" si="80"/>
        <v>13800</v>
      </c>
      <c r="AT766" s="69">
        <v>12329</v>
      </c>
      <c r="AU766" s="69">
        <v>1471</v>
      </c>
      <c r="BD766" s="69"/>
      <c r="BE766" s="69"/>
      <c r="CE766" s="94">
        <f t="shared" si="81"/>
        <v>13800</v>
      </c>
      <c r="CF766" s="73">
        <f t="shared" si="75"/>
        <v>0</v>
      </c>
      <c r="CG766" s="75">
        <f t="shared" si="82"/>
        <v>6795</v>
      </c>
      <c r="CH766" s="75" t="str">
        <f t="shared" si="82"/>
        <v>ماليزى اسنان</v>
      </c>
    </row>
    <row r="767" spans="3:86" x14ac:dyDescent="0.25">
      <c r="C767" s="82">
        <v>12045</v>
      </c>
      <c r="D767" s="78">
        <v>6796</v>
      </c>
      <c r="E767" s="107" t="s">
        <v>121</v>
      </c>
      <c r="F767" s="69" t="str">
        <f>+F766</f>
        <v>مكافاه تدريس فرقه رابعه</v>
      </c>
      <c r="G767" s="69"/>
      <c r="H767" s="69">
        <v>388181.96</v>
      </c>
      <c r="U767" s="69"/>
      <c r="V767" s="69"/>
      <c r="AS767" s="94">
        <f t="shared" si="80"/>
        <v>388181.96</v>
      </c>
      <c r="AT767" s="69">
        <v>330801.90999999997</v>
      </c>
      <c r="AU767" s="69">
        <v>39820.9</v>
      </c>
      <c r="AV767" s="69">
        <v>17559.150000000001</v>
      </c>
      <c r="BD767" s="69"/>
      <c r="BE767" s="69"/>
      <c r="CE767" s="94">
        <f t="shared" si="81"/>
        <v>388181.96</v>
      </c>
      <c r="CF767" s="73">
        <f t="shared" si="75"/>
        <v>0</v>
      </c>
      <c r="CG767" s="75">
        <f t="shared" si="82"/>
        <v>6796</v>
      </c>
      <c r="CH767" s="75" t="str">
        <f t="shared" si="82"/>
        <v>ماليزى اسنان</v>
      </c>
    </row>
    <row r="768" spans="3:86" x14ac:dyDescent="0.25">
      <c r="C768" s="82">
        <v>12046</v>
      </c>
      <c r="D768" s="78">
        <v>6797</v>
      </c>
      <c r="E768" s="107" t="s">
        <v>121</v>
      </c>
      <c r="F768" s="69" t="str">
        <f>+F767</f>
        <v>مكافاه تدريس فرقه رابعه</v>
      </c>
      <c r="G768" s="69"/>
      <c r="H768" s="69">
        <v>4800</v>
      </c>
      <c r="U768" s="69"/>
      <c r="V768" s="69"/>
      <c r="AS768" s="94">
        <f t="shared" si="80"/>
        <v>4800</v>
      </c>
      <c r="AT768" s="69">
        <v>4285.05</v>
      </c>
      <c r="AU768" s="69">
        <v>514.95000000000005</v>
      </c>
      <c r="BD768" s="69"/>
      <c r="BE768" s="69"/>
      <c r="CE768" s="94">
        <f t="shared" si="81"/>
        <v>4800</v>
      </c>
      <c r="CF768" s="73">
        <f t="shared" si="75"/>
        <v>0</v>
      </c>
      <c r="CG768" s="75">
        <f t="shared" si="82"/>
        <v>6797</v>
      </c>
      <c r="CH768" s="75" t="str">
        <f t="shared" si="82"/>
        <v>ماليزى اسنان</v>
      </c>
    </row>
    <row r="769" spans="3:93" x14ac:dyDescent="0.25">
      <c r="C769" s="82">
        <v>12047</v>
      </c>
      <c r="D769" s="78">
        <v>6798</v>
      </c>
      <c r="E769" s="107" t="s">
        <v>121</v>
      </c>
      <c r="F769" s="69" t="str">
        <f>+F768</f>
        <v>مكافاه تدريس فرقه رابعه</v>
      </c>
      <c r="G769" s="69"/>
      <c r="H769" s="69">
        <v>3594.03</v>
      </c>
      <c r="U769" s="69"/>
      <c r="V769" s="69"/>
      <c r="AS769" s="94">
        <f t="shared" si="80"/>
        <v>3594.03</v>
      </c>
      <c r="AT769" s="69">
        <v>3080.82</v>
      </c>
      <c r="AU769" s="69">
        <v>375.6</v>
      </c>
      <c r="AV769" s="69">
        <v>137.61000000000001</v>
      </c>
      <c r="BD769" s="69"/>
      <c r="BE769" s="69"/>
      <c r="CE769" s="94">
        <f t="shared" si="81"/>
        <v>3594.03</v>
      </c>
      <c r="CF769" s="73">
        <f t="shared" si="75"/>
        <v>0</v>
      </c>
      <c r="CG769" s="75">
        <f t="shared" si="82"/>
        <v>6798</v>
      </c>
      <c r="CH769" s="75" t="str">
        <f t="shared" si="82"/>
        <v>ماليزى اسنان</v>
      </c>
    </row>
    <row r="770" spans="3:93" x14ac:dyDescent="0.25">
      <c r="C770" s="82">
        <v>12048</v>
      </c>
      <c r="D770" s="78">
        <v>6799</v>
      </c>
      <c r="E770" s="107" t="s">
        <v>121</v>
      </c>
      <c r="F770" s="69" t="str">
        <f>+F764</f>
        <v>مكافاه تدريس فرقه ثالثه</v>
      </c>
      <c r="G770" s="69"/>
      <c r="H770" s="69">
        <v>21600</v>
      </c>
      <c r="U770" s="69"/>
      <c r="V770" s="69"/>
      <c r="AS770" s="94">
        <f t="shared" si="80"/>
        <v>21600</v>
      </c>
      <c r="AT770" s="69">
        <v>19325.599999999999</v>
      </c>
      <c r="AU770" s="69">
        <v>2274.4</v>
      </c>
      <c r="BD770" s="69"/>
      <c r="BE770" s="69"/>
      <c r="CE770" s="94">
        <f t="shared" si="81"/>
        <v>21600</v>
      </c>
      <c r="CF770" s="73">
        <f t="shared" si="75"/>
        <v>0</v>
      </c>
      <c r="CG770" s="75">
        <f t="shared" si="82"/>
        <v>6799</v>
      </c>
      <c r="CH770" s="75" t="str">
        <f t="shared" si="82"/>
        <v>ماليزى اسنان</v>
      </c>
    </row>
    <row r="771" spans="3:93" x14ac:dyDescent="0.25">
      <c r="C771" s="82">
        <v>12049</v>
      </c>
      <c r="D771" s="78">
        <v>6800</v>
      </c>
      <c r="E771" s="107" t="s">
        <v>121</v>
      </c>
      <c r="F771" s="69" t="str">
        <f>+F765</f>
        <v>مكافاه تدريس فرقه ثالثه</v>
      </c>
      <c r="G771" s="69"/>
      <c r="H771" s="69">
        <v>164060.28</v>
      </c>
      <c r="U771" s="69"/>
      <c r="V771" s="69"/>
      <c r="AS771" s="94">
        <f t="shared" si="80"/>
        <v>164060.28</v>
      </c>
      <c r="AT771" s="69">
        <v>138630.6</v>
      </c>
      <c r="AU771" s="69">
        <v>16847.75</v>
      </c>
      <c r="AV771" s="69">
        <v>8581.93</v>
      </c>
      <c r="BD771" s="69"/>
      <c r="BE771" s="69"/>
      <c r="CE771" s="94">
        <f t="shared" si="81"/>
        <v>164060.28</v>
      </c>
      <c r="CF771" s="73">
        <f t="shared" si="75"/>
        <v>0</v>
      </c>
      <c r="CG771" s="75">
        <f t="shared" si="82"/>
        <v>6800</v>
      </c>
      <c r="CH771" s="75" t="str">
        <f t="shared" si="82"/>
        <v>ماليزى اسنان</v>
      </c>
    </row>
    <row r="772" spans="3:93" x14ac:dyDescent="0.25">
      <c r="C772" s="82">
        <v>12055</v>
      </c>
      <c r="D772" s="78">
        <v>6801</v>
      </c>
      <c r="E772" s="107" t="s">
        <v>121</v>
      </c>
      <c r="F772" s="69" t="str">
        <f>+F769</f>
        <v>مكافاه تدريس فرقه رابعه</v>
      </c>
      <c r="G772" s="69"/>
      <c r="H772" s="69">
        <v>9660</v>
      </c>
      <c r="U772" s="69"/>
      <c r="V772" s="69"/>
      <c r="AS772" s="94">
        <f t="shared" si="80"/>
        <v>9660</v>
      </c>
      <c r="AT772" s="69">
        <v>8619.75</v>
      </c>
      <c r="AU772" s="69">
        <v>1040.25</v>
      </c>
      <c r="BD772" s="69"/>
      <c r="BE772" s="69"/>
      <c r="CE772" s="94">
        <f t="shared" si="81"/>
        <v>9660</v>
      </c>
      <c r="CF772" s="73">
        <f t="shared" si="75"/>
        <v>0</v>
      </c>
      <c r="CG772" s="75">
        <f t="shared" si="82"/>
        <v>6801</v>
      </c>
      <c r="CH772" s="75" t="str">
        <f t="shared" si="82"/>
        <v>ماليزى اسنان</v>
      </c>
    </row>
    <row r="773" spans="3:93" x14ac:dyDescent="0.25">
      <c r="C773" s="82">
        <v>12054</v>
      </c>
      <c r="D773" s="78">
        <v>6802</v>
      </c>
      <c r="E773" s="107" t="s">
        <v>121</v>
      </c>
      <c r="F773" s="69" t="str">
        <f>+F772</f>
        <v>مكافاه تدريس فرقه رابعه</v>
      </c>
      <c r="G773" s="69"/>
      <c r="H773" s="69">
        <v>1800</v>
      </c>
      <c r="U773" s="69"/>
      <c r="V773" s="69"/>
      <c r="AS773" s="94">
        <f t="shared" si="80"/>
        <v>1800</v>
      </c>
      <c r="AT773" s="69">
        <v>1606.85</v>
      </c>
      <c r="AU773" s="69">
        <v>193.15</v>
      </c>
      <c r="BD773" s="69"/>
      <c r="BE773" s="69"/>
      <c r="CE773" s="94">
        <f t="shared" si="81"/>
        <v>1800</v>
      </c>
      <c r="CF773" s="73">
        <f t="shared" si="75"/>
        <v>0</v>
      </c>
      <c r="CG773" s="75">
        <f t="shared" si="82"/>
        <v>6802</v>
      </c>
      <c r="CH773" s="75" t="str">
        <f t="shared" si="82"/>
        <v>ماليزى اسنان</v>
      </c>
    </row>
    <row r="774" spans="3:93" x14ac:dyDescent="0.25">
      <c r="C774" s="82">
        <v>12052</v>
      </c>
      <c r="D774" s="78">
        <v>6803</v>
      </c>
      <c r="E774" s="107" t="s">
        <v>121</v>
      </c>
      <c r="F774" s="69" t="str">
        <f>+F773</f>
        <v>مكافاه تدريس فرقه رابعه</v>
      </c>
      <c r="G774" s="69"/>
      <c r="H774" s="69">
        <v>7200</v>
      </c>
      <c r="U774" s="69"/>
      <c r="V774" s="69"/>
      <c r="AS774" s="94">
        <f t="shared" si="80"/>
        <v>7200</v>
      </c>
      <c r="AT774" s="69">
        <v>6422.8</v>
      </c>
      <c r="AU774" s="69">
        <v>777.2</v>
      </c>
      <c r="BD774" s="69"/>
      <c r="BE774" s="69"/>
      <c r="CE774" s="94">
        <f t="shared" si="81"/>
        <v>7200</v>
      </c>
      <c r="CF774" s="73">
        <f t="shared" si="75"/>
        <v>0</v>
      </c>
      <c r="CG774" s="75">
        <f t="shared" si="82"/>
        <v>6803</v>
      </c>
      <c r="CH774" s="75" t="str">
        <f t="shared" si="82"/>
        <v>ماليزى اسنان</v>
      </c>
    </row>
    <row r="775" spans="3:93" x14ac:dyDescent="0.25">
      <c r="C775" s="82">
        <v>12051</v>
      </c>
      <c r="D775" s="78">
        <v>6804</v>
      </c>
      <c r="E775" s="107" t="s">
        <v>121</v>
      </c>
      <c r="F775" s="69" t="str">
        <f>+F771</f>
        <v>مكافاه تدريس فرقه ثالثه</v>
      </c>
      <c r="G775" s="69"/>
      <c r="H775" s="69">
        <v>6821.11</v>
      </c>
      <c r="U775" s="69"/>
      <c r="V775" s="69"/>
      <c r="AS775" s="94">
        <f t="shared" si="80"/>
        <v>6821.11</v>
      </c>
      <c r="AT775" s="69">
        <v>4836.3900000000003</v>
      </c>
      <c r="AU775" s="69">
        <v>640</v>
      </c>
      <c r="AV775" s="69">
        <v>1344.72</v>
      </c>
      <c r="BD775" s="69"/>
      <c r="BE775" s="69"/>
      <c r="CE775" s="94">
        <f t="shared" si="81"/>
        <v>6821.1100000000006</v>
      </c>
      <c r="CF775" s="73">
        <f t="shared" si="75"/>
        <v>0</v>
      </c>
      <c r="CG775" s="75">
        <f t="shared" si="82"/>
        <v>6804</v>
      </c>
      <c r="CH775" s="75" t="str">
        <f t="shared" si="82"/>
        <v>ماليزى اسنان</v>
      </c>
    </row>
    <row r="776" spans="3:93" x14ac:dyDescent="0.25">
      <c r="C776" s="82">
        <v>12050</v>
      </c>
      <c r="D776" s="78">
        <v>6805</v>
      </c>
      <c r="E776" s="107" t="s">
        <v>121</v>
      </c>
      <c r="F776" s="69" t="str">
        <f>+F775</f>
        <v>مكافاه تدريس فرقه ثالثه</v>
      </c>
      <c r="G776" s="69"/>
      <c r="H776" s="69">
        <v>1800</v>
      </c>
      <c r="U776" s="69"/>
      <c r="V776" s="69"/>
      <c r="AS776" s="94">
        <f t="shared" si="80"/>
        <v>1800</v>
      </c>
      <c r="AT776" s="69">
        <v>1606.85</v>
      </c>
      <c r="AU776" s="69">
        <v>193.15</v>
      </c>
      <c r="BD776" s="69"/>
      <c r="BE776" s="69"/>
      <c r="CE776" s="94">
        <f t="shared" si="81"/>
        <v>1800</v>
      </c>
      <c r="CF776" s="73">
        <f t="shared" si="75"/>
        <v>0</v>
      </c>
      <c r="CG776" s="75">
        <f t="shared" si="82"/>
        <v>6805</v>
      </c>
      <c r="CH776" s="75" t="str">
        <f t="shared" si="82"/>
        <v>ماليزى اسنان</v>
      </c>
    </row>
    <row r="777" spans="3:93" x14ac:dyDescent="0.25">
      <c r="C777" s="82">
        <v>11782</v>
      </c>
      <c r="D777" s="78">
        <v>6806</v>
      </c>
      <c r="E777" s="107" t="s">
        <v>121</v>
      </c>
      <c r="F777" s="69" t="s">
        <v>2457</v>
      </c>
      <c r="G777" s="69"/>
      <c r="H777" s="69">
        <v>2500</v>
      </c>
      <c r="U777" s="69"/>
      <c r="V777" s="69"/>
      <c r="AS777" s="94">
        <f t="shared" si="80"/>
        <v>2500</v>
      </c>
      <c r="AT777" s="69">
        <v>2231.6</v>
      </c>
      <c r="AU777" s="69">
        <v>268.39999999999998</v>
      </c>
      <c r="BD777" s="69"/>
      <c r="BE777" s="69"/>
      <c r="CE777" s="94">
        <f t="shared" si="81"/>
        <v>2500</v>
      </c>
      <c r="CF777" s="73">
        <f t="shared" si="75"/>
        <v>0</v>
      </c>
      <c r="CG777" s="75">
        <f t="shared" si="82"/>
        <v>6806</v>
      </c>
      <c r="CH777" s="75" t="str">
        <f t="shared" si="82"/>
        <v>ماليزى اسنان</v>
      </c>
    </row>
    <row r="778" spans="3:93" x14ac:dyDescent="0.25">
      <c r="C778" s="82">
        <v>11783</v>
      </c>
      <c r="D778" s="78">
        <v>6807</v>
      </c>
      <c r="E778" s="107" t="s">
        <v>121</v>
      </c>
      <c r="F778" s="69" t="s">
        <v>2457</v>
      </c>
      <c r="G778" s="69"/>
      <c r="H778" s="69">
        <v>5000</v>
      </c>
      <c r="U778" s="69"/>
      <c r="V778" s="69"/>
      <c r="AS778" s="94">
        <f t="shared" si="80"/>
        <v>5000</v>
      </c>
      <c r="AT778" s="69">
        <v>4463.2</v>
      </c>
      <c r="AU778" s="69">
        <v>536.79999999999995</v>
      </c>
      <c r="BD778" s="69"/>
      <c r="BE778" s="69"/>
      <c r="CE778" s="94">
        <f t="shared" si="81"/>
        <v>5000</v>
      </c>
      <c r="CF778" s="73">
        <f t="shared" si="75"/>
        <v>0</v>
      </c>
      <c r="CG778" s="75">
        <f t="shared" si="82"/>
        <v>6807</v>
      </c>
      <c r="CH778" s="75" t="str">
        <f t="shared" si="82"/>
        <v>ماليزى اسنان</v>
      </c>
    </row>
    <row r="779" spans="3:93" x14ac:dyDescent="0.25">
      <c r="C779" s="82">
        <v>11784</v>
      </c>
      <c r="D779" s="78">
        <v>6808</v>
      </c>
      <c r="E779" s="107" t="s">
        <v>121</v>
      </c>
      <c r="F779" s="69" t="s">
        <v>2457</v>
      </c>
      <c r="G779" s="69"/>
      <c r="H779" s="69">
        <v>5000</v>
      </c>
      <c r="U779" s="69"/>
      <c r="V779" s="69"/>
      <c r="AS779" s="94">
        <f t="shared" si="80"/>
        <v>5000</v>
      </c>
      <c r="AT779" s="69">
        <v>4463.2</v>
      </c>
      <c r="AU779" s="69">
        <v>536.79999999999995</v>
      </c>
      <c r="BD779" s="69"/>
      <c r="BE779" s="69"/>
      <c r="CE779" s="94">
        <f t="shared" si="81"/>
        <v>5000</v>
      </c>
      <c r="CF779" s="73">
        <f t="shared" si="75"/>
        <v>0</v>
      </c>
      <c r="CG779" s="75">
        <f t="shared" si="82"/>
        <v>6808</v>
      </c>
      <c r="CH779" s="75" t="str">
        <f t="shared" si="82"/>
        <v>ماليزى اسنان</v>
      </c>
    </row>
    <row r="780" spans="3:93" x14ac:dyDescent="0.25">
      <c r="C780" s="82">
        <v>11785</v>
      </c>
      <c r="D780" s="78">
        <v>6809</v>
      </c>
      <c r="E780" s="107" t="s">
        <v>121</v>
      </c>
      <c r="F780" s="69" t="s">
        <v>2458</v>
      </c>
      <c r="G780" s="69"/>
      <c r="H780" s="69">
        <v>2931.24</v>
      </c>
      <c r="U780" s="69"/>
      <c r="V780" s="69"/>
      <c r="AS780" s="94">
        <f t="shared" si="80"/>
        <v>2931.24</v>
      </c>
      <c r="AT780" s="69">
        <v>1959</v>
      </c>
      <c r="AU780" s="69">
        <v>266</v>
      </c>
      <c r="AV780" s="69">
        <v>706.24</v>
      </c>
      <c r="BD780" s="69"/>
      <c r="BE780" s="69"/>
      <c r="CE780" s="94">
        <f t="shared" si="81"/>
        <v>2931.24</v>
      </c>
      <c r="CF780" s="73">
        <f t="shared" si="75"/>
        <v>0</v>
      </c>
      <c r="CG780" s="75">
        <f t="shared" si="82"/>
        <v>6809</v>
      </c>
      <c r="CH780" s="75" t="str">
        <f t="shared" si="82"/>
        <v>ماليزى اسنان</v>
      </c>
    </row>
    <row r="781" spans="3:93" x14ac:dyDescent="0.25">
      <c r="C781" s="82">
        <v>11786</v>
      </c>
      <c r="D781" s="78">
        <v>6810</v>
      </c>
      <c r="E781" s="107" t="s">
        <v>121</v>
      </c>
      <c r="F781" s="69" t="s">
        <v>2459</v>
      </c>
      <c r="G781" s="69"/>
      <c r="H781" s="69">
        <v>1465.62</v>
      </c>
      <c r="U781" s="69"/>
      <c r="V781" s="69"/>
      <c r="AS781" s="94">
        <f t="shared" si="80"/>
        <v>1465.62</v>
      </c>
      <c r="AT781" s="69">
        <v>979.5</v>
      </c>
      <c r="AU781" s="69">
        <v>133</v>
      </c>
      <c r="AV781" s="69">
        <v>353.12</v>
      </c>
      <c r="BD781" s="69"/>
      <c r="BE781" s="69"/>
      <c r="CE781" s="94">
        <f t="shared" si="81"/>
        <v>1465.62</v>
      </c>
      <c r="CF781" s="73">
        <f t="shared" si="75"/>
        <v>0</v>
      </c>
      <c r="CG781" s="75">
        <f t="shared" si="82"/>
        <v>6810</v>
      </c>
      <c r="CH781" s="75" t="str">
        <f t="shared" si="82"/>
        <v>ماليزى اسنان</v>
      </c>
    </row>
    <row r="782" spans="3:93" s="68" customFormat="1" x14ac:dyDescent="0.25">
      <c r="C782" s="83"/>
      <c r="D782" s="84"/>
      <c r="E782" s="108"/>
      <c r="F782" s="68" t="s">
        <v>2460</v>
      </c>
      <c r="H782" s="68">
        <f>SUM(H418:H781)-H783-H784</f>
        <v>7067373.6100000003</v>
      </c>
      <c r="I782" s="68">
        <f t="shared" ref="I782:BT782" si="83">SUM(I418:I781)-I783-I784</f>
        <v>0</v>
      </c>
      <c r="J782" s="68">
        <f t="shared" si="83"/>
        <v>0</v>
      </c>
      <c r="K782" s="68">
        <f t="shared" si="83"/>
        <v>0</v>
      </c>
      <c r="L782" s="68">
        <f t="shared" si="83"/>
        <v>0</v>
      </c>
      <c r="M782" s="68">
        <f t="shared" si="83"/>
        <v>0</v>
      </c>
      <c r="N782" s="68">
        <f t="shared" si="83"/>
        <v>0</v>
      </c>
      <c r="O782" s="68">
        <f t="shared" si="83"/>
        <v>0</v>
      </c>
      <c r="P782" s="68">
        <f t="shared" si="83"/>
        <v>0</v>
      </c>
      <c r="Q782" s="68">
        <f t="shared" si="83"/>
        <v>0</v>
      </c>
      <c r="R782" s="68">
        <f t="shared" si="83"/>
        <v>0</v>
      </c>
      <c r="S782" s="68">
        <f t="shared" si="83"/>
        <v>0</v>
      </c>
      <c r="T782" s="68">
        <f t="shared" si="83"/>
        <v>0</v>
      </c>
      <c r="U782" s="68">
        <f t="shared" si="83"/>
        <v>0</v>
      </c>
      <c r="V782" s="68">
        <f t="shared" si="83"/>
        <v>0</v>
      </c>
      <c r="W782" s="68">
        <f t="shared" si="83"/>
        <v>0</v>
      </c>
      <c r="X782" s="68">
        <f t="shared" si="83"/>
        <v>0</v>
      </c>
      <c r="Y782" s="68">
        <f t="shared" si="83"/>
        <v>0</v>
      </c>
      <c r="Z782" s="68">
        <f t="shared" si="83"/>
        <v>0</v>
      </c>
      <c r="AA782" s="68">
        <f t="shared" si="83"/>
        <v>0</v>
      </c>
      <c r="AB782" s="68">
        <f t="shared" si="83"/>
        <v>0</v>
      </c>
      <c r="AC782" s="68">
        <f t="shared" si="83"/>
        <v>0</v>
      </c>
      <c r="AD782" s="68">
        <f t="shared" si="83"/>
        <v>0</v>
      </c>
      <c r="AE782" s="68">
        <f t="shared" si="83"/>
        <v>0</v>
      </c>
      <c r="AF782" s="68">
        <f t="shared" si="83"/>
        <v>0</v>
      </c>
      <c r="AG782" s="68">
        <f t="shared" si="83"/>
        <v>0</v>
      </c>
      <c r="AH782" s="68">
        <f t="shared" si="83"/>
        <v>0</v>
      </c>
      <c r="AI782" s="68">
        <f t="shared" si="83"/>
        <v>0</v>
      </c>
      <c r="AJ782" s="68">
        <f t="shared" si="83"/>
        <v>0</v>
      </c>
      <c r="AK782" s="68">
        <f t="shared" si="83"/>
        <v>0</v>
      </c>
      <c r="AL782" s="68">
        <f t="shared" si="83"/>
        <v>0</v>
      </c>
      <c r="AM782" s="68">
        <f t="shared" si="83"/>
        <v>0</v>
      </c>
      <c r="AN782" s="68">
        <f t="shared" si="83"/>
        <v>0</v>
      </c>
      <c r="AO782" s="68">
        <f t="shared" si="83"/>
        <v>0</v>
      </c>
      <c r="AP782" s="68">
        <f t="shared" si="83"/>
        <v>0</v>
      </c>
      <c r="AQ782" s="68">
        <f t="shared" si="83"/>
        <v>0</v>
      </c>
      <c r="AR782" s="68">
        <f t="shared" si="83"/>
        <v>0</v>
      </c>
      <c r="AS782" s="68">
        <f t="shared" si="83"/>
        <v>7067373.6100000003</v>
      </c>
      <c r="AT782" s="68">
        <f t="shared" si="83"/>
        <v>5932722.3999999966</v>
      </c>
      <c r="AU782" s="68">
        <f t="shared" si="83"/>
        <v>751728.28000000038</v>
      </c>
      <c r="AV782" s="68">
        <f t="shared" si="83"/>
        <v>365151.45999999985</v>
      </c>
      <c r="AW782" s="68">
        <f t="shared" si="83"/>
        <v>17771.470000000005</v>
      </c>
      <c r="AX782" s="68">
        <f t="shared" si="83"/>
        <v>0</v>
      </c>
      <c r="AY782" s="68">
        <f t="shared" si="83"/>
        <v>0</v>
      </c>
      <c r="AZ782" s="68">
        <f t="shared" si="83"/>
        <v>0</v>
      </c>
      <c r="BA782" s="68">
        <f t="shared" si="83"/>
        <v>0</v>
      </c>
      <c r="BB782" s="68">
        <f t="shared" si="83"/>
        <v>0</v>
      </c>
      <c r="BC782" s="68">
        <f t="shared" si="83"/>
        <v>0</v>
      </c>
      <c r="BD782" s="68">
        <f t="shared" si="83"/>
        <v>0</v>
      </c>
      <c r="BE782" s="68">
        <f t="shared" si="83"/>
        <v>0</v>
      </c>
      <c r="BF782" s="68">
        <f t="shared" si="83"/>
        <v>0</v>
      </c>
      <c r="BG782" s="68">
        <f t="shared" si="83"/>
        <v>0</v>
      </c>
      <c r="BH782" s="68">
        <f t="shared" si="83"/>
        <v>0</v>
      </c>
      <c r="BI782" s="68">
        <f t="shared" si="83"/>
        <v>0</v>
      </c>
      <c r="BJ782" s="68">
        <f t="shared" si="83"/>
        <v>0</v>
      </c>
      <c r="BK782" s="68">
        <f t="shared" si="83"/>
        <v>0</v>
      </c>
      <c r="BL782" s="68">
        <f t="shared" si="83"/>
        <v>0</v>
      </c>
      <c r="BM782" s="68">
        <f t="shared" si="83"/>
        <v>0</v>
      </c>
      <c r="BN782" s="68">
        <f t="shared" si="83"/>
        <v>0</v>
      </c>
      <c r="BO782" s="68">
        <f t="shared" si="83"/>
        <v>0</v>
      </c>
      <c r="BP782" s="68">
        <f t="shared" si="83"/>
        <v>0</v>
      </c>
      <c r="BQ782" s="68">
        <f t="shared" si="83"/>
        <v>0</v>
      </c>
      <c r="BR782" s="68">
        <f t="shared" si="83"/>
        <v>0</v>
      </c>
      <c r="BS782" s="68">
        <f t="shared" si="83"/>
        <v>0</v>
      </c>
      <c r="BT782" s="68">
        <f t="shared" si="83"/>
        <v>0</v>
      </c>
      <c r="BU782" s="68">
        <f t="shared" ref="BU782:CN782" si="84">SUM(BU418:BU781)-BU783-BU784</f>
        <v>0</v>
      </c>
      <c r="BV782" s="68">
        <f t="shared" si="84"/>
        <v>0</v>
      </c>
      <c r="BW782" s="68">
        <f t="shared" si="84"/>
        <v>0</v>
      </c>
      <c r="BX782" s="68">
        <f t="shared" si="84"/>
        <v>0</v>
      </c>
      <c r="BY782" s="68">
        <f t="shared" si="84"/>
        <v>0</v>
      </c>
      <c r="BZ782" s="68">
        <f t="shared" si="84"/>
        <v>0</v>
      </c>
      <c r="CA782" s="68">
        <f t="shared" si="84"/>
        <v>0</v>
      </c>
      <c r="CB782" s="68">
        <f t="shared" si="84"/>
        <v>0</v>
      </c>
      <c r="CC782" s="68">
        <f t="shared" si="84"/>
        <v>0</v>
      </c>
      <c r="CD782" s="68">
        <f t="shared" si="84"/>
        <v>0</v>
      </c>
      <c r="CE782" s="68">
        <f t="shared" si="84"/>
        <v>7067373.6100000003</v>
      </c>
      <c r="CF782" s="68">
        <f t="shared" si="84"/>
        <v>0</v>
      </c>
      <c r="CH782" s="68">
        <f t="shared" si="84"/>
        <v>0</v>
      </c>
      <c r="CI782" s="68">
        <f t="shared" si="84"/>
        <v>0</v>
      </c>
      <c r="CJ782" s="68">
        <f t="shared" si="84"/>
        <v>0</v>
      </c>
      <c r="CK782" s="68">
        <f t="shared" si="84"/>
        <v>0</v>
      </c>
      <c r="CL782" s="68">
        <f t="shared" si="84"/>
        <v>0</v>
      </c>
      <c r="CM782" s="68">
        <f t="shared" si="84"/>
        <v>0</v>
      </c>
      <c r="CN782" s="68">
        <f t="shared" si="84"/>
        <v>0</v>
      </c>
    </row>
    <row r="783" spans="3:93" s="68" customFormat="1" x14ac:dyDescent="0.25">
      <c r="C783" s="83"/>
      <c r="D783" s="84"/>
      <c r="E783" s="108"/>
      <c r="F783" s="68" t="s">
        <v>2461</v>
      </c>
      <c r="H783" s="68">
        <f t="shared" ref="H783:BS783" si="85">SUM(H599:H614)</f>
        <v>79852.61</v>
      </c>
      <c r="I783" s="68">
        <f t="shared" si="85"/>
        <v>0</v>
      </c>
      <c r="J783" s="68">
        <f t="shared" si="85"/>
        <v>0</v>
      </c>
      <c r="K783" s="68">
        <f t="shared" si="85"/>
        <v>0</v>
      </c>
      <c r="L783" s="68">
        <f t="shared" si="85"/>
        <v>0</v>
      </c>
      <c r="M783" s="68">
        <f t="shared" si="85"/>
        <v>0</v>
      </c>
      <c r="N783" s="68">
        <f t="shared" si="85"/>
        <v>0</v>
      </c>
      <c r="O783" s="68">
        <f t="shared" si="85"/>
        <v>0</v>
      </c>
      <c r="P783" s="68">
        <f t="shared" si="85"/>
        <v>0</v>
      </c>
      <c r="Q783" s="68">
        <f t="shared" si="85"/>
        <v>0</v>
      </c>
      <c r="R783" s="68">
        <f t="shared" si="85"/>
        <v>0</v>
      </c>
      <c r="S783" s="68">
        <f t="shared" si="85"/>
        <v>0</v>
      </c>
      <c r="T783" s="68">
        <f t="shared" si="85"/>
        <v>0</v>
      </c>
      <c r="U783" s="68">
        <f t="shared" si="85"/>
        <v>0</v>
      </c>
      <c r="V783" s="68">
        <f t="shared" si="85"/>
        <v>0</v>
      </c>
      <c r="W783" s="68">
        <f t="shared" si="85"/>
        <v>0</v>
      </c>
      <c r="X783" s="68">
        <f t="shared" si="85"/>
        <v>0</v>
      </c>
      <c r="Y783" s="68">
        <f t="shared" si="85"/>
        <v>0</v>
      </c>
      <c r="Z783" s="68">
        <f t="shared" si="85"/>
        <v>0</v>
      </c>
      <c r="AA783" s="68">
        <f t="shared" si="85"/>
        <v>0</v>
      </c>
      <c r="AB783" s="68">
        <f t="shared" si="85"/>
        <v>0</v>
      </c>
      <c r="AC783" s="68">
        <f t="shared" si="85"/>
        <v>0</v>
      </c>
      <c r="AD783" s="68">
        <f t="shared" si="85"/>
        <v>0</v>
      </c>
      <c r="AE783" s="68">
        <f t="shared" si="85"/>
        <v>0</v>
      </c>
      <c r="AF783" s="68">
        <f t="shared" si="85"/>
        <v>0</v>
      </c>
      <c r="AG783" s="68">
        <f t="shared" si="85"/>
        <v>0</v>
      </c>
      <c r="AH783" s="68">
        <f t="shared" si="85"/>
        <v>0</v>
      </c>
      <c r="AI783" s="68">
        <f t="shared" si="85"/>
        <v>0</v>
      </c>
      <c r="AJ783" s="68">
        <f t="shared" si="85"/>
        <v>0</v>
      </c>
      <c r="AK783" s="68">
        <f t="shared" si="85"/>
        <v>0</v>
      </c>
      <c r="AL783" s="68">
        <f t="shared" si="85"/>
        <v>0</v>
      </c>
      <c r="AM783" s="68">
        <f t="shared" si="85"/>
        <v>0</v>
      </c>
      <c r="AN783" s="68">
        <f t="shared" si="85"/>
        <v>0</v>
      </c>
      <c r="AO783" s="68">
        <f t="shared" si="85"/>
        <v>0</v>
      </c>
      <c r="AP783" s="68">
        <f t="shared" si="85"/>
        <v>0</v>
      </c>
      <c r="AQ783" s="68">
        <f t="shared" si="85"/>
        <v>0</v>
      </c>
      <c r="AR783" s="68">
        <f t="shared" si="85"/>
        <v>0</v>
      </c>
      <c r="AS783" s="68">
        <f t="shared" si="85"/>
        <v>79852.61</v>
      </c>
      <c r="AT783" s="68">
        <f t="shared" si="85"/>
        <v>55781.420000000006</v>
      </c>
      <c r="AU783" s="68">
        <f t="shared" si="85"/>
        <v>663.94999999999993</v>
      </c>
      <c r="AV783" s="68">
        <f t="shared" si="85"/>
        <v>20202.200000000004</v>
      </c>
      <c r="AW783" s="68">
        <f t="shared" si="85"/>
        <v>2291.0599999999995</v>
      </c>
      <c r="AX783" s="68">
        <f t="shared" si="85"/>
        <v>913.98</v>
      </c>
      <c r="AY783" s="68">
        <f t="shared" si="85"/>
        <v>0</v>
      </c>
      <c r="AZ783" s="68">
        <f t="shared" si="85"/>
        <v>0</v>
      </c>
      <c r="BA783" s="68">
        <f t="shared" si="85"/>
        <v>0</v>
      </c>
      <c r="BB783" s="68">
        <f t="shared" si="85"/>
        <v>0</v>
      </c>
      <c r="BC783" s="68">
        <f t="shared" si="85"/>
        <v>0</v>
      </c>
      <c r="BD783" s="68">
        <f t="shared" si="85"/>
        <v>0</v>
      </c>
      <c r="BE783" s="68">
        <f t="shared" si="85"/>
        <v>0</v>
      </c>
      <c r="BF783" s="68">
        <f t="shared" si="85"/>
        <v>0</v>
      </c>
      <c r="BG783" s="68">
        <f t="shared" si="85"/>
        <v>0</v>
      </c>
      <c r="BH783" s="68">
        <f t="shared" si="85"/>
        <v>0</v>
      </c>
      <c r="BI783" s="68">
        <f t="shared" si="85"/>
        <v>0</v>
      </c>
      <c r="BJ783" s="68">
        <f t="shared" si="85"/>
        <v>0</v>
      </c>
      <c r="BK783" s="68">
        <f t="shared" si="85"/>
        <v>0</v>
      </c>
      <c r="BL783" s="68">
        <f t="shared" si="85"/>
        <v>0</v>
      </c>
      <c r="BM783" s="68">
        <f t="shared" si="85"/>
        <v>0</v>
      </c>
      <c r="BN783" s="68">
        <f t="shared" si="85"/>
        <v>0</v>
      </c>
      <c r="BO783" s="68">
        <f t="shared" si="85"/>
        <v>0</v>
      </c>
      <c r="BP783" s="68">
        <f t="shared" si="85"/>
        <v>0</v>
      </c>
      <c r="BQ783" s="68">
        <f t="shared" si="85"/>
        <v>0</v>
      </c>
      <c r="BR783" s="68">
        <f t="shared" si="85"/>
        <v>0</v>
      </c>
      <c r="BS783" s="68">
        <f t="shared" si="85"/>
        <v>0</v>
      </c>
      <c r="BT783" s="68">
        <f t="shared" ref="BT783:CF783" si="86">SUM(BT599:BT614)</f>
        <v>0</v>
      </c>
      <c r="BU783" s="68">
        <f t="shared" si="86"/>
        <v>0</v>
      </c>
      <c r="BV783" s="68">
        <f t="shared" si="86"/>
        <v>0</v>
      </c>
      <c r="BW783" s="68">
        <f t="shared" si="86"/>
        <v>0</v>
      </c>
      <c r="BX783" s="68">
        <f t="shared" si="86"/>
        <v>0</v>
      </c>
      <c r="BY783" s="68">
        <f t="shared" si="86"/>
        <v>0</v>
      </c>
      <c r="BZ783" s="68">
        <f t="shared" si="86"/>
        <v>0</v>
      </c>
      <c r="CA783" s="68">
        <f t="shared" si="86"/>
        <v>0</v>
      </c>
      <c r="CB783" s="68">
        <f t="shared" si="86"/>
        <v>0</v>
      </c>
      <c r="CC783" s="68">
        <f t="shared" si="86"/>
        <v>0</v>
      </c>
      <c r="CD783" s="68">
        <f t="shared" si="86"/>
        <v>0</v>
      </c>
      <c r="CE783" s="68">
        <f t="shared" si="86"/>
        <v>79852.609999999986</v>
      </c>
      <c r="CF783" s="68">
        <f t="shared" si="86"/>
        <v>0</v>
      </c>
      <c r="CH783" s="68">
        <f t="shared" ref="CH783:CN783" si="87">SUM(CH599:CH614)</f>
        <v>0</v>
      </c>
      <c r="CI783" s="68">
        <f t="shared" si="87"/>
        <v>0</v>
      </c>
      <c r="CJ783" s="68">
        <f t="shared" si="87"/>
        <v>0</v>
      </c>
      <c r="CK783" s="68">
        <f t="shared" si="87"/>
        <v>0</v>
      </c>
      <c r="CL783" s="68">
        <f t="shared" si="87"/>
        <v>0</v>
      </c>
      <c r="CM783" s="68">
        <f t="shared" si="87"/>
        <v>0</v>
      </c>
      <c r="CN783" s="68">
        <f t="shared" si="87"/>
        <v>0</v>
      </c>
    </row>
    <row r="784" spans="3:93" s="68" customFormat="1" ht="36" x14ac:dyDescent="0.25">
      <c r="C784" s="83"/>
      <c r="D784" s="84"/>
      <c r="E784" s="108"/>
      <c r="F784" s="88" t="s">
        <v>2462</v>
      </c>
      <c r="H784" s="68">
        <f>SUM(H721:H749)</f>
        <v>647609.54</v>
      </c>
      <c r="I784" s="68">
        <f t="shared" ref="I784:BT784" si="88">SUM(I721:I749)</f>
        <v>0</v>
      </c>
      <c r="J784" s="68">
        <f t="shared" si="88"/>
        <v>0</v>
      </c>
      <c r="K784" s="68">
        <f t="shared" si="88"/>
        <v>0</v>
      </c>
      <c r="L784" s="68">
        <f t="shared" si="88"/>
        <v>0</v>
      </c>
      <c r="M784" s="68">
        <f t="shared" si="88"/>
        <v>0</v>
      </c>
      <c r="N784" s="68">
        <f t="shared" si="88"/>
        <v>0</v>
      </c>
      <c r="O784" s="68">
        <f t="shared" si="88"/>
        <v>0</v>
      </c>
      <c r="P784" s="68">
        <f t="shared" si="88"/>
        <v>0</v>
      </c>
      <c r="Q784" s="68">
        <f t="shared" si="88"/>
        <v>0</v>
      </c>
      <c r="R784" s="68">
        <f t="shared" si="88"/>
        <v>0</v>
      </c>
      <c r="S784" s="68">
        <f t="shared" si="88"/>
        <v>0</v>
      </c>
      <c r="T784" s="68">
        <f t="shared" si="88"/>
        <v>0</v>
      </c>
      <c r="U784" s="68">
        <f t="shared" si="88"/>
        <v>0</v>
      </c>
      <c r="V784" s="68">
        <f t="shared" si="88"/>
        <v>0</v>
      </c>
      <c r="W784" s="68">
        <f t="shared" si="88"/>
        <v>0</v>
      </c>
      <c r="X784" s="68">
        <f t="shared" si="88"/>
        <v>0</v>
      </c>
      <c r="Y784" s="68">
        <f t="shared" si="88"/>
        <v>0</v>
      </c>
      <c r="Z784" s="68">
        <f t="shared" si="88"/>
        <v>0</v>
      </c>
      <c r="AA784" s="68">
        <f t="shared" si="88"/>
        <v>0</v>
      </c>
      <c r="AB784" s="68">
        <f t="shared" si="88"/>
        <v>0</v>
      </c>
      <c r="AC784" s="68">
        <f t="shared" si="88"/>
        <v>0</v>
      </c>
      <c r="AD784" s="68">
        <f t="shared" si="88"/>
        <v>0</v>
      </c>
      <c r="AE784" s="68">
        <f t="shared" si="88"/>
        <v>0</v>
      </c>
      <c r="AF784" s="68">
        <f t="shared" si="88"/>
        <v>0</v>
      </c>
      <c r="AG784" s="68">
        <f t="shared" si="88"/>
        <v>0</v>
      </c>
      <c r="AH784" s="68">
        <f t="shared" si="88"/>
        <v>0</v>
      </c>
      <c r="AI784" s="68">
        <f t="shared" si="88"/>
        <v>0</v>
      </c>
      <c r="AJ784" s="68">
        <f t="shared" si="88"/>
        <v>0</v>
      </c>
      <c r="AK784" s="68">
        <f t="shared" si="88"/>
        <v>0</v>
      </c>
      <c r="AL784" s="68">
        <f t="shared" si="88"/>
        <v>0</v>
      </c>
      <c r="AM784" s="68">
        <f t="shared" si="88"/>
        <v>0</v>
      </c>
      <c r="AN784" s="68">
        <f t="shared" si="88"/>
        <v>0</v>
      </c>
      <c r="AO784" s="68">
        <f t="shared" si="88"/>
        <v>0</v>
      </c>
      <c r="AP784" s="68">
        <f t="shared" si="88"/>
        <v>0</v>
      </c>
      <c r="AQ784" s="68">
        <f t="shared" si="88"/>
        <v>0</v>
      </c>
      <c r="AR784" s="68">
        <f t="shared" si="88"/>
        <v>0</v>
      </c>
      <c r="AS784" s="68">
        <f t="shared" si="88"/>
        <v>647609.54</v>
      </c>
      <c r="AT784" s="68">
        <f t="shared" si="88"/>
        <v>468969.02</v>
      </c>
      <c r="AU784" s="68">
        <f t="shared" si="88"/>
        <v>5431.6200000000008</v>
      </c>
      <c r="AV784" s="68">
        <f t="shared" si="88"/>
        <v>157693.20000000001</v>
      </c>
      <c r="AW784" s="68">
        <f t="shared" si="88"/>
        <v>10941.079999999998</v>
      </c>
      <c r="AX784" s="68">
        <f t="shared" si="88"/>
        <v>4564.3</v>
      </c>
      <c r="AY784" s="68">
        <f t="shared" si="88"/>
        <v>0</v>
      </c>
      <c r="AZ784" s="68">
        <f t="shared" si="88"/>
        <v>0</v>
      </c>
      <c r="BA784" s="68">
        <f t="shared" si="88"/>
        <v>0</v>
      </c>
      <c r="BB784" s="68">
        <f t="shared" si="88"/>
        <v>0</v>
      </c>
      <c r="BC784" s="68">
        <f t="shared" si="88"/>
        <v>0</v>
      </c>
      <c r="BD784" s="68">
        <f t="shared" si="88"/>
        <v>0</v>
      </c>
      <c r="BE784" s="68">
        <f t="shared" si="88"/>
        <v>0</v>
      </c>
      <c r="BF784" s="68">
        <f t="shared" si="88"/>
        <v>0</v>
      </c>
      <c r="BG784" s="68">
        <f t="shared" si="88"/>
        <v>0</v>
      </c>
      <c r="BH784" s="68">
        <f t="shared" si="88"/>
        <v>0</v>
      </c>
      <c r="BI784" s="68">
        <f t="shared" si="88"/>
        <v>0</v>
      </c>
      <c r="BJ784" s="68">
        <f t="shared" si="88"/>
        <v>0</v>
      </c>
      <c r="BK784" s="68">
        <f t="shared" si="88"/>
        <v>0</v>
      </c>
      <c r="BL784" s="68">
        <f t="shared" si="88"/>
        <v>0</v>
      </c>
      <c r="BM784" s="68">
        <f t="shared" si="88"/>
        <v>0</v>
      </c>
      <c r="BN784" s="68">
        <f t="shared" si="88"/>
        <v>0</v>
      </c>
      <c r="BO784" s="68">
        <f t="shared" si="88"/>
        <v>0</v>
      </c>
      <c r="BP784" s="68">
        <f t="shared" si="88"/>
        <v>0</v>
      </c>
      <c r="BQ784" s="68">
        <f t="shared" si="88"/>
        <v>0</v>
      </c>
      <c r="BR784" s="68">
        <f t="shared" si="88"/>
        <v>0</v>
      </c>
      <c r="BS784" s="68">
        <f t="shared" si="88"/>
        <v>0</v>
      </c>
      <c r="BT784" s="68">
        <f t="shared" si="88"/>
        <v>0</v>
      </c>
      <c r="BU784" s="68">
        <f t="shared" ref="BU784:CO784" si="89">SUM(BU721:BU749)</f>
        <v>0</v>
      </c>
      <c r="BV784" s="68">
        <f t="shared" si="89"/>
        <v>0</v>
      </c>
      <c r="BW784" s="68">
        <f t="shared" si="89"/>
        <v>0</v>
      </c>
      <c r="BX784" s="68">
        <f t="shared" si="89"/>
        <v>0</v>
      </c>
      <c r="BY784" s="68">
        <f t="shared" si="89"/>
        <v>0</v>
      </c>
      <c r="BZ784" s="68">
        <f t="shared" si="89"/>
        <v>0</v>
      </c>
      <c r="CA784" s="68">
        <f t="shared" si="89"/>
        <v>0</v>
      </c>
      <c r="CB784" s="68">
        <f t="shared" si="89"/>
        <v>0</v>
      </c>
      <c r="CC784" s="68">
        <f t="shared" si="89"/>
        <v>0</v>
      </c>
      <c r="CD784" s="68">
        <f t="shared" si="89"/>
        <v>10.32</v>
      </c>
      <c r="CE784" s="68">
        <f t="shared" si="89"/>
        <v>647609.54</v>
      </c>
      <c r="CF784" s="68">
        <f t="shared" si="89"/>
        <v>0</v>
      </c>
      <c r="CH784" s="68">
        <f t="shared" si="89"/>
        <v>0</v>
      </c>
      <c r="CI784" s="68">
        <f t="shared" si="89"/>
        <v>0</v>
      </c>
      <c r="CJ784" s="68">
        <f t="shared" si="89"/>
        <v>0</v>
      </c>
      <c r="CK784" s="68">
        <f t="shared" si="89"/>
        <v>0</v>
      </c>
      <c r="CL784" s="68">
        <f t="shared" si="89"/>
        <v>0</v>
      </c>
      <c r="CM784" s="68">
        <f t="shared" si="89"/>
        <v>0</v>
      </c>
      <c r="CN784" s="68">
        <f t="shared" si="89"/>
        <v>0</v>
      </c>
      <c r="CO784" s="68">
        <f t="shared" si="89"/>
        <v>0</v>
      </c>
    </row>
    <row r="785" spans="1:86" x14ac:dyDescent="0.25">
      <c r="A785" s="69">
        <v>16</v>
      </c>
      <c r="B785" s="69">
        <v>1</v>
      </c>
      <c r="C785" s="82">
        <v>11697</v>
      </c>
      <c r="D785" s="78">
        <v>6811</v>
      </c>
      <c r="F785" s="69" t="s">
        <v>2463</v>
      </c>
      <c r="G785" s="69"/>
      <c r="U785" s="69"/>
      <c r="V785" s="69"/>
      <c r="AD785" s="69">
        <v>3427.25</v>
      </c>
      <c r="AS785" s="94">
        <f t="shared" si="80"/>
        <v>3427.25</v>
      </c>
      <c r="AT785" s="69">
        <v>3427.25</v>
      </c>
      <c r="AU785" s="69"/>
      <c r="BD785" s="69"/>
      <c r="BE785" s="69"/>
      <c r="CE785" s="94">
        <f t="shared" ref="CE785:CE802" si="90">SUM(AT785:CD785)</f>
        <v>3427.25</v>
      </c>
      <c r="CF785" s="73">
        <f t="shared" ref="CF785:CF848" si="91">+CE785-AS785</f>
        <v>0</v>
      </c>
      <c r="CG785" s="75">
        <f t="shared" ref="CG785:CH800" si="92">+D785</f>
        <v>6811</v>
      </c>
      <c r="CH785" s="75">
        <f t="shared" si="92"/>
        <v>0</v>
      </c>
    </row>
    <row r="786" spans="1:86" x14ac:dyDescent="0.25">
      <c r="B786" s="69">
        <v>2</v>
      </c>
      <c r="C786" s="82">
        <v>11696</v>
      </c>
      <c r="D786" s="78">
        <v>6812</v>
      </c>
      <c r="F786" s="69" t="s">
        <v>2464</v>
      </c>
      <c r="G786" s="69"/>
      <c r="U786" s="69"/>
      <c r="V786" s="69"/>
      <c r="AD786" s="69">
        <v>1500</v>
      </c>
      <c r="AS786" s="94">
        <f t="shared" si="80"/>
        <v>1500</v>
      </c>
      <c r="AT786" s="69">
        <v>1500</v>
      </c>
      <c r="AU786" s="69"/>
      <c r="BD786" s="69"/>
      <c r="BE786" s="69"/>
      <c r="CE786" s="94">
        <f t="shared" si="90"/>
        <v>1500</v>
      </c>
      <c r="CF786" s="73">
        <f t="shared" si="91"/>
        <v>0</v>
      </c>
      <c r="CG786" s="75">
        <f t="shared" si="92"/>
        <v>6812</v>
      </c>
      <c r="CH786" s="75">
        <f t="shared" si="92"/>
        <v>0</v>
      </c>
    </row>
    <row r="787" spans="1:86" x14ac:dyDescent="0.25">
      <c r="B787" s="69">
        <v>3</v>
      </c>
      <c r="C787" s="82">
        <v>11886</v>
      </c>
      <c r="D787" s="78">
        <v>6813</v>
      </c>
      <c r="F787" s="69" t="s">
        <v>2465</v>
      </c>
      <c r="G787" s="69"/>
      <c r="U787" s="69"/>
      <c r="V787" s="69"/>
      <c r="AD787" s="69">
        <v>340</v>
      </c>
      <c r="AS787" s="94">
        <f t="shared" si="80"/>
        <v>340</v>
      </c>
      <c r="AT787" s="69">
        <v>340</v>
      </c>
      <c r="AU787" s="69"/>
      <c r="BD787" s="69"/>
      <c r="BE787" s="69"/>
      <c r="CE787" s="94">
        <f t="shared" si="90"/>
        <v>340</v>
      </c>
      <c r="CF787" s="73">
        <f t="shared" si="91"/>
        <v>0</v>
      </c>
      <c r="CG787" s="75">
        <f t="shared" si="92"/>
        <v>6813</v>
      </c>
      <c r="CH787" s="75">
        <f t="shared" si="92"/>
        <v>0</v>
      </c>
    </row>
    <row r="788" spans="1:86" x14ac:dyDescent="0.25">
      <c r="B788" s="69">
        <v>4</v>
      </c>
      <c r="C788" s="82">
        <v>11945</v>
      </c>
      <c r="D788" s="78">
        <v>6814</v>
      </c>
      <c r="F788" s="69" t="s">
        <v>2466</v>
      </c>
      <c r="G788" s="69"/>
      <c r="U788" s="69"/>
      <c r="V788" s="69"/>
      <c r="AD788" s="69">
        <v>18157.240000000002</v>
      </c>
      <c r="AS788" s="94">
        <f t="shared" si="80"/>
        <v>18157.240000000002</v>
      </c>
      <c r="AT788" s="69">
        <v>18157.240000000002</v>
      </c>
      <c r="AU788" s="69"/>
      <c r="BD788" s="69"/>
      <c r="BE788" s="69"/>
      <c r="CE788" s="94">
        <f t="shared" si="90"/>
        <v>18157.240000000002</v>
      </c>
      <c r="CF788" s="73">
        <f t="shared" si="91"/>
        <v>0</v>
      </c>
      <c r="CG788" s="75">
        <f t="shared" si="92"/>
        <v>6814</v>
      </c>
      <c r="CH788" s="75">
        <f t="shared" si="92"/>
        <v>0</v>
      </c>
    </row>
    <row r="789" spans="1:86" x14ac:dyDescent="0.25">
      <c r="B789" s="69">
        <v>5</v>
      </c>
      <c r="C789" s="82">
        <v>9258</v>
      </c>
      <c r="D789" s="78">
        <v>6815</v>
      </c>
      <c r="F789" s="69" t="s">
        <v>2467</v>
      </c>
      <c r="G789" s="69"/>
      <c r="R789" s="69">
        <v>61912.800000000003</v>
      </c>
      <c r="U789" s="69"/>
      <c r="V789" s="69"/>
      <c r="AS789" s="94">
        <f t="shared" si="80"/>
        <v>61912.800000000003</v>
      </c>
      <c r="AT789" s="69">
        <v>61912.800000000003</v>
      </c>
      <c r="AU789" s="69"/>
      <c r="BD789" s="69"/>
      <c r="BE789" s="69"/>
      <c r="CE789" s="94">
        <f t="shared" si="90"/>
        <v>61912.800000000003</v>
      </c>
      <c r="CF789" s="73">
        <f t="shared" si="91"/>
        <v>0</v>
      </c>
      <c r="CG789" s="75">
        <f t="shared" si="92"/>
        <v>6815</v>
      </c>
      <c r="CH789" s="75">
        <f t="shared" si="92"/>
        <v>0</v>
      </c>
    </row>
    <row r="790" spans="1:86" x14ac:dyDescent="0.25">
      <c r="B790" s="69">
        <v>6</v>
      </c>
      <c r="C790" s="82">
        <v>11898</v>
      </c>
      <c r="D790" s="78">
        <v>6816</v>
      </c>
      <c r="F790" s="69" t="s">
        <v>2468</v>
      </c>
      <c r="G790" s="69"/>
      <c r="S790" s="69">
        <v>575.70000000000005</v>
      </c>
      <c r="U790" s="69"/>
      <c r="V790" s="69"/>
      <c r="AS790" s="94">
        <f t="shared" si="80"/>
        <v>575.70000000000005</v>
      </c>
      <c r="AT790" s="69">
        <v>575.70000000000005</v>
      </c>
      <c r="AU790" s="69"/>
      <c r="BD790" s="69"/>
      <c r="BE790" s="69"/>
      <c r="CE790" s="94">
        <f t="shared" si="90"/>
        <v>575.70000000000005</v>
      </c>
      <c r="CF790" s="73">
        <f t="shared" si="91"/>
        <v>0</v>
      </c>
      <c r="CG790" s="75">
        <f t="shared" si="92"/>
        <v>6816</v>
      </c>
      <c r="CH790" s="75">
        <f t="shared" si="92"/>
        <v>0</v>
      </c>
    </row>
    <row r="791" spans="1:86" x14ac:dyDescent="0.25">
      <c r="B791" s="69">
        <v>7</v>
      </c>
      <c r="C791" s="82">
        <v>11874</v>
      </c>
      <c r="D791" s="78">
        <v>6817</v>
      </c>
      <c r="E791" s="107" t="s">
        <v>121</v>
      </c>
      <c r="F791" s="69" t="s">
        <v>2469</v>
      </c>
      <c r="G791" s="69"/>
      <c r="U791" s="69"/>
      <c r="V791" s="69"/>
      <c r="W791" s="69">
        <v>105870.7</v>
      </c>
      <c r="AS791" s="94">
        <f t="shared" si="80"/>
        <v>105870.7</v>
      </c>
      <c r="AT791" s="69">
        <v>105870.7</v>
      </c>
      <c r="AU791" s="69"/>
      <c r="BD791" s="69"/>
      <c r="BE791" s="69"/>
      <c r="CE791" s="94">
        <f t="shared" si="90"/>
        <v>105870.7</v>
      </c>
      <c r="CF791" s="73">
        <f t="shared" si="91"/>
        <v>0</v>
      </c>
      <c r="CG791" s="75">
        <f t="shared" si="92"/>
        <v>6817</v>
      </c>
      <c r="CH791" s="75" t="str">
        <f t="shared" si="92"/>
        <v>ماليزى اسنان</v>
      </c>
    </row>
    <row r="792" spans="1:86" x14ac:dyDescent="0.25">
      <c r="B792" s="69">
        <v>8</v>
      </c>
      <c r="C792" s="82">
        <v>11876</v>
      </c>
      <c r="D792" s="78">
        <v>6818</v>
      </c>
      <c r="E792" s="107" t="s">
        <v>249</v>
      </c>
      <c r="F792" s="69" t="s">
        <v>2469</v>
      </c>
      <c r="G792" s="69"/>
      <c r="U792" s="69"/>
      <c r="V792" s="69"/>
      <c r="W792" s="69">
        <v>1224</v>
      </c>
      <c r="AS792" s="94">
        <f t="shared" si="80"/>
        <v>1224</v>
      </c>
      <c r="AT792" s="69">
        <v>1224</v>
      </c>
      <c r="AU792" s="69"/>
      <c r="BD792" s="69"/>
      <c r="BE792" s="69"/>
      <c r="CE792" s="94">
        <f t="shared" si="90"/>
        <v>1224</v>
      </c>
      <c r="CF792" s="73">
        <f t="shared" si="91"/>
        <v>0</v>
      </c>
      <c r="CG792" s="75">
        <f t="shared" si="92"/>
        <v>6818</v>
      </c>
      <c r="CH792" s="75" t="str">
        <f t="shared" si="92"/>
        <v>خدمة عامة</v>
      </c>
    </row>
    <row r="793" spans="1:86" x14ac:dyDescent="0.25">
      <c r="B793" s="69">
        <v>9</v>
      </c>
      <c r="C793" s="82">
        <v>11891</v>
      </c>
      <c r="D793" s="78">
        <v>6819</v>
      </c>
      <c r="E793" s="107" t="s">
        <v>78</v>
      </c>
      <c r="F793" s="69" t="s">
        <v>2469</v>
      </c>
      <c r="G793" s="69"/>
      <c r="U793" s="69"/>
      <c r="V793" s="69"/>
      <c r="W793" s="69">
        <v>18376.25</v>
      </c>
      <c r="AS793" s="94">
        <f t="shared" si="80"/>
        <v>18376.25</v>
      </c>
      <c r="AT793" s="69">
        <v>18376.25</v>
      </c>
      <c r="AU793" s="69"/>
      <c r="BD793" s="69"/>
      <c r="BE793" s="69"/>
      <c r="CE793" s="94">
        <f t="shared" si="90"/>
        <v>18376.25</v>
      </c>
      <c r="CF793" s="73">
        <f t="shared" si="91"/>
        <v>0</v>
      </c>
      <c r="CG793" s="75">
        <f t="shared" si="92"/>
        <v>6819</v>
      </c>
      <c r="CH793" s="75" t="str">
        <f t="shared" si="92"/>
        <v>برنامج دولى</v>
      </c>
    </row>
    <row r="794" spans="1:86" x14ac:dyDescent="0.25">
      <c r="B794" s="69">
        <v>10</v>
      </c>
      <c r="C794" s="82">
        <v>11892</v>
      </c>
      <c r="D794" s="78">
        <v>6820</v>
      </c>
      <c r="E794" s="107" t="s">
        <v>130</v>
      </c>
      <c r="F794" s="69" t="s">
        <v>2469</v>
      </c>
      <c r="G794" s="69"/>
      <c r="U794" s="69"/>
      <c r="V794" s="69"/>
      <c r="W794" s="69">
        <v>6907.05</v>
      </c>
      <c r="AS794" s="94">
        <f t="shared" si="80"/>
        <v>6907.05</v>
      </c>
      <c r="AT794" s="69">
        <v>6907.05</v>
      </c>
      <c r="AU794" s="69"/>
      <c r="BD794" s="69"/>
      <c r="BE794" s="69"/>
      <c r="CE794" s="94">
        <f t="shared" si="90"/>
        <v>6907.05</v>
      </c>
      <c r="CF794" s="73">
        <f t="shared" si="91"/>
        <v>0</v>
      </c>
      <c r="CG794" s="75">
        <f t="shared" si="92"/>
        <v>6820</v>
      </c>
      <c r="CH794" s="75" t="str">
        <f t="shared" si="92"/>
        <v>خ ت طب</v>
      </c>
    </row>
    <row r="795" spans="1:86" x14ac:dyDescent="0.25">
      <c r="B795" s="69">
        <v>11</v>
      </c>
      <c r="C795" s="82">
        <v>11893</v>
      </c>
      <c r="D795" s="78">
        <v>6821</v>
      </c>
      <c r="E795" s="107" t="s">
        <v>724</v>
      </c>
      <c r="F795" s="69" t="s">
        <v>2469</v>
      </c>
      <c r="G795" s="69"/>
      <c r="U795" s="69"/>
      <c r="V795" s="69"/>
      <c r="W795" s="69">
        <v>300</v>
      </c>
      <c r="AS795" s="94">
        <f t="shared" si="80"/>
        <v>300</v>
      </c>
      <c r="AT795" s="69">
        <v>300</v>
      </c>
      <c r="AU795" s="69"/>
      <c r="BD795" s="69"/>
      <c r="BE795" s="69"/>
      <c r="CE795" s="94">
        <f t="shared" si="90"/>
        <v>300</v>
      </c>
      <c r="CF795" s="73">
        <f t="shared" si="91"/>
        <v>0</v>
      </c>
      <c r="CG795" s="75">
        <f t="shared" si="92"/>
        <v>6821</v>
      </c>
      <c r="CH795" s="75" t="str">
        <f t="shared" si="92"/>
        <v>اتحاد طب</v>
      </c>
    </row>
    <row r="796" spans="1:86" x14ac:dyDescent="0.25">
      <c r="B796" s="69">
        <v>12</v>
      </c>
      <c r="C796" s="82">
        <v>11894</v>
      </c>
      <c r="D796" s="78">
        <v>6822</v>
      </c>
      <c r="E796" s="102" t="s">
        <v>128</v>
      </c>
      <c r="F796" s="69" t="s">
        <v>2469</v>
      </c>
      <c r="G796" s="69"/>
      <c r="U796" s="69"/>
      <c r="V796" s="69"/>
      <c r="W796" s="69">
        <v>59.25</v>
      </c>
      <c r="AS796" s="94">
        <f t="shared" si="80"/>
        <v>59.25</v>
      </c>
      <c r="AT796" s="69">
        <v>59.25</v>
      </c>
      <c r="AU796" s="69"/>
      <c r="BD796" s="69"/>
      <c r="BE796" s="69"/>
      <c r="CE796" s="94">
        <f t="shared" si="90"/>
        <v>59.25</v>
      </c>
      <c r="CF796" s="73">
        <f t="shared" si="91"/>
        <v>0</v>
      </c>
      <c r="CG796" s="75">
        <f t="shared" si="92"/>
        <v>6822</v>
      </c>
      <c r="CH796" s="75" t="str">
        <f t="shared" si="92"/>
        <v>مركز مؤتمرات</v>
      </c>
    </row>
    <row r="797" spans="1:86" x14ac:dyDescent="0.25">
      <c r="B797" s="69">
        <v>13</v>
      </c>
      <c r="C797" s="82">
        <v>11896</v>
      </c>
      <c r="D797" s="78">
        <v>6823</v>
      </c>
      <c r="E797" s="107" t="s">
        <v>132</v>
      </c>
      <c r="F797" s="69" t="s">
        <v>2469</v>
      </c>
      <c r="G797" s="69"/>
      <c r="U797" s="69"/>
      <c r="V797" s="69"/>
      <c r="W797" s="69">
        <v>278.60000000000002</v>
      </c>
      <c r="AS797" s="94">
        <f t="shared" si="80"/>
        <v>278.60000000000002</v>
      </c>
      <c r="AT797" s="69">
        <v>278.60000000000002</v>
      </c>
      <c r="AU797" s="69"/>
      <c r="BD797" s="69"/>
      <c r="BE797" s="69"/>
      <c r="CE797" s="94">
        <f t="shared" si="90"/>
        <v>278.60000000000002</v>
      </c>
      <c r="CF797" s="73">
        <f t="shared" si="91"/>
        <v>0</v>
      </c>
      <c r="CG797" s="75">
        <f t="shared" si="92"/>
        <v>6823</v>
      </c>
      <c r="CH797" s="75" t="str">
        <f t="shared" si="92"/>
        <v>صيدلة اكلينيكى</v>
      </c>
    </row>
    <row r="798" spans="1:86" x14ac:dyDescent="0.25">
      <c r="B798" s="69">
        <v>14</v>
      </c>
      <c r="C798" s="82">
        <v>11897</v>
      </c>
      <c r="D798" s="78">
        <v>6824</v>
      </c>
      <c r="E798" s="107" t="s">
        <v>119</v>
      </c>
      <c r="F798" s="69" t="s">
        <v>2469</v>
      </c>
      <c r="G798" s="69"/>
      <c r="U798" s="69"/>
      <c r="V798" s="69"/>
      <c r="W798" s="69">
        <v>356.4</v>
      </c>
      <c r="AS798" s="94">
        <f t="shared" si="80"/>
        <v>356.4</v>
      </c>
      <c r="AT798" s="69">
        <v>356.4</v>
      </c>
      <c r="AU798" s="69"/>
      <c r="BD798" s="69"/>
      <c r="BE798" s="69"/>
      <c r="CE798" s="94">
        <f t="shared" si="90"/>
        <v>356.4</v>
      </c>
      <c r="CF798" s="73">
        <f t="shared" si="91"/>
        <v>0</v>
      </c>
      <c r="CG798" s="75">
        <f t="shared" si="92"/>
        <v>6824</v>
      </c>
      <c r="CH798" s="75" t="str">
        <f t="shared" si="92"/>
        <v>خ ت صيدلة</v>
      </c>
    </row>
    <row r="799" spans="1:86" x14ac:dyDescent="0.25">
      <c r="C799" s="82">
        <v>8751</v>
      </c>
      <c r="D799" s="78">
        <v>6825</v>
      </c>
      <c r="E799" s="107" t="s">
        <v>2470</v>
      </c>
      <c r="F799" s="69" t="s">
        <v>2471</v>
      </c>
      <c r="G799" s="69"/>
      <c r="I799" s="69">
        <v>13486.2</v>
      </c>
      <c r="U799" s="69"/>
      <c r="V799" s="69"/>
      <c r="AS799" s="94">
        <f t="shared" si="80"/>
        <v>13486.2</v>
      </c>
      <c r="AT799" s="69">
        <v>12640.4</v>
      </c>
      <c r="AU799" s="69">
        <v>697.5</v>
      </c>
      <c r="BD799" s="69"/>
      <c r="BE799" s="69"/>
      <c r="BG799" s="69">
        <v>118.3</v>
      </c>
      <c r="BH799" s="69">
        <v>30</v>
      </c>
      <c r="CE799" s="94">
        <f t="shared" si="90"/>
        <v>13486.199999999999</v>
      </c>
      <c r="CF799" s="73">
        <f t="shared" si="91"/>
        <v>0</v>
      </c>
      <c r="CG799" s="75">
        <f t="shared" si="92"/>
        <v>6825</v>
      </c>
      <c r="CH799" s="75" t="str">
        <f t="shared" si="92"/>
        <v>مجمع علمى صيدلة</v>
      </c>
    </row>
    <row r="800" spans="1:86" ht="36" x14ac:dyDescent="0.25">
      <c r="A800" s="69" t="s">
        <v>2472</v>
      </c>
      <c r="C800" s="82">
        <v>10700</v>
      </c>
      <c r="D800" s="78">
        <v>6826</v>
      </c>
      <c r="E800" s="107" t="s">
        <v>78</v>
      </c>
      <c r="F800" s="77" t="s">
        <v>2473</v>
      </c>
      <c r="G800" s="69"/>
      <c r="I800" s="69">
        <v>339400.7</v>
      </c>
      <c r="U800" s="69"/>
      <c r="V800" s="69"/>
      <c r="AC800" s="69">
        <v>145599.29999999999</v>
      </c>
      <c r="AS800" s="94">
        <f t="shared" si="80"/>
        <v>485000</v>
      </c>
      <c r="AT800" s="69">
        <v>243935.2</v>
      </c>
      <c r="AU800" s="69"/>
      <c r="BD800" s="69"/>
      <c r="BE800" s="69"/>
      <c r="BF800" s="69">
        <v>95465.5</v>
      </c>
      <c r="BQ800" s="69">
        <v>145599.29999999999</v>
      </c>
      <c r="CE800" s="94">
        <f t="shared" si="90"/>
        <v>485000</v>
      </c>
      <c r="CF800" s="73">
        <f t="shared" si="91"/>
        <v>0</v>
      </c>
      <c r="CG800" s="75">
        <f t="shared" si="92"/>
        <v>6826</v>
      </c>
      <c r="CH800" s="75" t="str">
        <f t="shared" si="92"/>
        <v>برنامج دولى</v>
      </c>
    </row>
    <row r="801" spans="3:86" x14ac:dyDescent="0.25">
      <c r="C801" s="82">
        <v>10768</v>
      </c>
      <c r="D801" s="78">
        <v>6827</v>
      </c>
      <c r="E801" s="107" t="s">
        <v>132</v>
      </c>
      <c r="F801" s="69" t="s">
        <v>2474</v>
      </c>
      <c r="G801" s="69"/>
      <c r="I801" s="69">
        <v>2220</v>
      </c>
      <c r="U801" s="69"/>
      <c r="V801" s="69"/>
      <c r="AS801" s="94">
        <f t="shared" si="80"/>
        <v>2220</v>
      </c>
      <c r="AT801" s="69">
        <v>2220</v>
      </c>
      <c r="AU801" s="69"/>
      <c r="BD801" s="69"/>
      <c r="BE801" s="69"/>
      <c r="CE801" s="94">
        <f t="shared" si="90"/>
        <v>2220</v>
      </c>
      <c r="CF801" s="73">
        <f t="shared" si="91"/>
        <v>0</v>
      </c>
      <c r="CG801" s="75">
        <f t="shared" ref="CG801:CH816" si="93">+D801</f>
        <v>6827</v>
      </c>
      <c r="CH801" s="75" t="str">
        <f t="shared" si="93"/>
        <v>صيدلة اكلينيكى</v>
      </c>
    </row>
    <row r="802" spans="3:86" x14ac:dyDescent="0.25">
      <c r="C802" s="82">
        <v>9755</v>
      </c>
      <c r="D802" s="78">
        <v>6828</v>
      </c>
      <c r="E802" s="107" t="s">
        <v>132</v>
      </c>
      <c r="F802" s="69" t="s">
        <v>2475</v>
      </c>
      <c r="G802" s="69"/>
      <c r="L802" s="69">
        <v>1138.5</v>
      </c>
      <c r="M802" s="69">
        <v>1138.5</v>
      </c>
      <c r="N802" s="69">
        <v>1138.5</v>
      </c>
      <c r="U802" s="69"/>
      <c r="V802" s="69"/>
      <c r="AS802" s="94">
        <f t="shared" si="80"/>
        <v>3415.5</v>
      </c>
      <c r="AT802" s="69">
        <v>942</v>
      </c>
      <c r="AU802" s="69">
        <f>16.25+48.75+9</f>
        <v>74</v>
      </c>
      <c r="AW802" s="69">
        <v>5</v>
      </c>
      <c r="BD802" s="69"/>
      <c r="BE802" s="69">
        <v>30</v>
      </c>
      <c r="BH802" s="69">
        <v>20</v>
      </c>
      <c r="BI802" s="69">
        <f>5.25*2</f>
        <v>10.5</v>
      </c>
      <c r="BK802" s="69">
        <v>57</v>
      </c>
      <c r="BL802" s="69">
        <v>1138.5</v>
      </c>
      <c r="BM802" s="69">
        <v>1138.5</v>
      </c>
      <c r="CE802" s="94">
        <f t="shared" si="90"/>
        <v>3415.5</v>
      </c>
      <c r="CF802" s="73">
        <f t="shared" si="91"/>
        <v>0</v>
      </c>
      <c r="CG802" s="75">
        <f t="shared" si="93"/>
        <v>6828</v>
      </c>
      <c r="CH802" s="75" t="str">
        <f t="shared" si="93"/>
        <v>صيدلة اكلينيكى</v>
      </c>
    </row>
    <row r="803" spans="3:86" x14ac:dyDescent="0.25">
      <c r="C803" s="82">
        <v>10769</v>
      </c>
      <c r="D803" s="78">
        <v>6829</v>
      </c>
      <c r="E803" s="107" t="s">
        <v>132</v>
      </c>
      <c r="F803" s="69" t="s">
        <v>2476</v>
      </c>
      <c r="G803" s="69"/>
      <c r="H803" s="69">
        <v>2500</v>
      </c>
      <c r="U803" s="69"/>
      <c r="V803" s="69"/>
      <c r="AS803" s="94">
        <f t="shared" si="80"/>
        <v>2500</v>
      </c>
      <c r="AT803" s="69">
        <v>2500</v>
      </c>
      <c r="AU803" s="69"/>
      <c r="BD803" s="69"/>
      <c r="BE803" s="69"/>
      <c r="CE803" s="94">
        <f t="shared" ref="CE803:CE807" si="94">SUM(AT803:CD803)</f>
        <v>2500</v>
      </c>
      <c r="CF803" s="73">
        <f t="shared" si="91"/>
        <v>0</v>
      </c>
      <c r="CG803" s="75">
        <f t="shared" si="93"/>
        <v>6829</v>
      </c>
      <c r="CH803" s="75" t="str">
        <f t="shared" si="93"/>
        <v>صيدلة اكلينيكى</v>
      </c>
    </row>
    <row r="804" spans="3:86" x14ac:dyDescent="0.25">
      <c r="C804" s="82">
        <v>10765</v>
      </c>
      <c r="D804" s="78">
        <v>6830</v>
      </c>
      <c r="E804" s="107" t="s">
        <v>132</v>
      </c>
      <c r="F804" s="69" t="s">
        <v>2477</v>
      </c>
      <c r="G804" s="69"/>
      <c r="H804" s="69">
        <v>3000</v>
      </c>
      <c r="U804" s="69"/>
      <c r="V804" s="69"/>
      <c r="AS804" s="94">
        <f t="shared" si="80"/>
        <v>3000</v>
      </c>
      <c r="AT804" s="69">
        <v>3000</v>
      </c>
      <c r="AU804" s="69"/>
      <c r="BD804" s="69"/>
      <c r="BE804" s="69"/>
      <c r="CE804" s="94">
        <f t="shared" si="94"/>
        <v>3000</v>
      </c>
      <c r="CF804" s="73">
        <f t="shared" si="91"/>
        <v>0</v>
      </c>
      <c r="CG804" s="75">
        <f t="shared" si="93"/>
        <v>6830</v>
      </c>
      <c r="CH804" s="75" t="str">
        <f t="shared" si="93"/>
        <v>صيدلة اكلينيكى</v>
      </c>
    </row>
    <row r="805" spans="3:86" x14ac:dyDescent="0.25">
      <c r="C805" s="82">
        <v>10767</v>
      </c>
      <c r="D805" s="78">
        <v>6831</v>
      </c>
      <c r="E805" s="107" t="s">
        <v>132</v>
      </c>
      <c r="F805" s="69" t="s">
        <v>2478</v>
      </c>
      <c r="G805" s="69"/>
      <c r="H805" s="69">
        <v>2500</v>
      </c>
      <c r="U805" s="69"/>
      <c r="V805" s="69"/>
      <c r="AS805" s="94">
        <f t="shared" si="80"/>
        <v>2500</v>
      </c>
      <c r="AT805" s="69">
        <v>2500</v>
      </c>
      <c r="AU805" s="69"/>
      <c r="BD805" s="69"/>
      <c r="BE805" s="69"/>
      <c r="CE805" s="94">
        <f t="shared" si="94"/>
        <v>2500</v>
      </c>
      <c r="CF805" s="73">
        <f t="shared" si="91"/>
        <v>0</v>
      </c>
      <c r="CG805" s="75">
        <f t="shared" si="93"/>
        <v>6831</v>
      </c>
      <c r="CH805" s="75" t="str">
        <f t="shared" si="93"/>
        <v>صيدلة اكلينيكى</v>
      </c>
    </row>
    <row r="806" spans="3:86" x14ac:dyDescent="0.25">
      <c r="C806" s="82">
        <v>10766</v>
      </c>
      <c r="D806" s="78">
        <v>6832</v>
      </c>
      <c r="E806" s="107" t="s">
        <v>132</v>
      </c>
      <c r="F806" s="69" t="s">
        <v>2479</v>
      </c>
      <c r="G806" s="69"/>
      <c r="H806" s="69">
        <v>5000</v>
      </c>
      <c r="U806" s="69"/>
      <c r="V806" s="69"/>
      <c r="AS806" s="94">
        <f t="shared" si="80"/>
        <v>5000</v>
      </c>
      <c r="AT806" s="69">
        <v>5000</v>
      </c>
      <c r="AU806" s="69"/>
      <c r="BD806" s="69"/>
      <c r="BE806" s="69"/>
      <c r="CE806" s="94">
        <f t="shared" si="94"/>
        <v>5000</v>
      </c>
      <c r="CF806" s="73">
        <f t="shared" si="91"/>
        <v>0</v>
      </c>
      <c r="CG806" s="75">
        <f t="shared" si="93"/>
        <v>6832</v>
      </c>
      <c r="CH806" s="75" t="str">
        <f t="shared" si="93"/>
        <v>صيدلة اكلينيكى</v>
      </c>
    </row>
    <row r="807" spans="3:86" x14ac:dyDescent="0.25">
      <c r="C807" s="82">
        <v>10764</v>
      </c>
      <c r="D807" s="78">
        <v>6833</v>
      </c>
      <c r="E807" s="107" t="s">
        <v>132</v>
      </c>
      <c r="F807" s="69" t="s">
        <v>2477</v>
      </c>
      <c r="G807" s="69"/>
      <c r="H807" s="69">
        <v>5000</v>
      </c>
      <c r="U807" s="69"/>
      <c r="V807" s="69"/>
      <c r="AS807" s="94">
        <f t="shared" si="80"/>
        <v>5000</v>
      </c>
      <c r="AT807" s="69">
        <v>5000</v>
      </c>
      <c r="AU807" s="69"/>
      <c r="BD807" s="69"/>
      <c r="BE807" s="69"/>
      <c r="CE807" s="94">
        <f t="shared" si="94"/>
        <v>5000</v>
      </c>
      <c r="CF807" s="73">
        <f t="shared" si="91"/>
        <v>0</v>
      </c>
      <c r="CG807" s="75">
        <f t="shared" si="93"/>
        <v>6833</v>
      </c>
      <c r="CH807" s="75" t="str">
        <f t="shared" si="93"/>
        <v>صيدلة اكلينيكى</v>
      </c>
    </row>
    <row r="808" spans="3:86" x14ac:dyDescent="0.25">
      <c r="C808" s="82">
        <v>11014</v>
      </c>
      <c r="D808" s="78">
        <v>6834</v>
      </c>
      <c r="E808" s="107" t="s">
        <v>132</v>
      </c>
      <c r="F808" s="69" t="s">
        <v>2480</v>
      </c>
      <c r="G808" s="69"/>
      <c r="H808" s="69">
        <v>800</v>
      </c>
      <c r="U808" s="69"/>
      <c r="V808" s="69"/>
      <c r="AS808" s="94">
        <f t="shared" si="80"/>
        <v>800</v>
      </c>
      <c r="AT808" s="69">
        <v>714.75</v>
      </c>
      <c r="AU808" s="69">
        <v>85.25</v>
      </c>
      <c r="BD808" s="69"/>
      <c r="BE808" s="69"/>
      <c r="CE808" s="94">
        <f t="shared" ref="CE808:CE924" si="95">SUM(AT808:CD808)</f>
        <v>800</v>
      </c>
      <c r="CF808" s="73">
        <f t="shared" si="91"/>
        <v>0</v>
      </c>
      <c r="CG808" s="75">
        <f t="shared" si="93"/>
        <v>6834</v>
      </c>
      <c r="CH808" s="75" t="str">
        <f t="shared" si="93"/>
        <v>صيدلة اكلينيكى</v>
      </c>
    </row>
    <row r="809" spans="3:86" x14ac:dyDescent="0.25">
      <c r="C809" s="82">
        <v>11401</v>
      </c>
      <c r="D809" s="78">
        <v>6835</v>
      </c>
      <c r="E809" s="107" t="s">
        <v>132</v>
      </c>
      <c r="F809" s="69" t="s">
        <v>2481</v>
      </c>
      <c r="G809" s="69"/>
      <c r="H809" s="69">
        <v>2350</v>
      </c>
      <c r="U809" s="69"/>
      <c r="V809" s="69"/>
      <c r="AS809" s="94">
        <f t="shared" si="80"/>
        <v>2350</v>
      </c>
      <c r="AT809" s="69">
        <v>2098.4</v>
      </c>
      <c r="AU809" s="69">
        <v>251.6</v>
      </c>
      <c r="BD809" s="69"/>
      <c r="BE809" s="69"/>
      <c r="CE809" s="94">
        <f t="shared" si="95"/>
        <v>2350</v>
      </c>
      <c r="CF809" s="73">
        <f t="shared" si="91"/>
        <v>0</v>
      </c>
      <c r="CG809" s="75">
        <f t="shared" si="93"/>
        <v>6835</v>
      </c>
      <c r="CH809" s="75" t="str">
        <f t="shared" si="93"/>
        <v>صيدلة اكلينيكى</v>
      </c>
    </row>
    <row r="810" spans="3:86" x14ac:dyDescent="0.25">
      <c r="C810" s="82">
        <v>11398</v>
      </c>
      <c r="D810" s="78">
        <v>6836</v>
      </c>
      <c r="E810" s="107" t="s">
        <v>132</v>
      </c>
      <c r="F810" s="69" t="s">
        <v>2482</v>
      </c>
      <c r="G810" s="69"/>
      <c r="H810" s="69">
        <v>600</v>
      </c>
      <c r="U810" s="69"/>
      <c r="V810" s="69"/>
      <c r="AS810" s="94">
        <f t="shared" si="80"/>
        <v>600</v>
      </c>
      <c r="AT810" s="69">
        <v>536.15</v>
      </c>
      <c r="AU810" s="69">
        <v>63.85</v>
      </c>
      <c r="BD810" s="69"/>
      <c r="BE810" s="69"/>
      <c r="CE810" s="94">
        <f t="shared" si="95"/>
        <v>600</v>
      </c>
      <c r="CF810" s="73">
        <f t="shared" si="91"/>
        <v>0</v>
      </c>
      <c r="CG810" s="75">
        <f t="shared" si="93"/>
        <v>6836</v>
      </c>
      <c r="CH810" s="75" t="str">
        <f t="shared" si="93"/>
        <v>صيدلة اكلينيكى</v>
      </c>
    </row>
    <row r="811" spans="3:86" x14ac:dyDescent="0.25">
      <c r="C811" s="82">
        <v>11400</v>
      </c>
      <c r="D811" s="78">
        <v>6837</v>
      </c>
      <c r="E811" s="107" t="s">
        <v>132</v>
      </c>
      <c r="F811" s="69" t="s">
        <v>2482</v>
      </c>
      <c r="G811" s="69"/>
      <c r="H811" s="69">
        <v>469</v>
      </c>
      <c r="U811" s="69"/>
      <c r="V811" s="69"/>
      <c r="AS811" s="94">
        <f t="shared" si="80"/>
        <v>469</v>
      </c>
      <c r="AT811" s="69">
        <v>314</v>
      </c>
      <c r="AU811" s="69">
        <v>42</v>
      </c>
      <c r="AV811" s="69">
        <v>113</v>
      </c>
      <c r="BD811" s="69"/>
      <c r="BE811" s="69"/>
      <c r="CE811" s="94">
        <f t="shared" si="95"/>
        <v>469</v>
      </c>
      <c r="CF811" s="73">
        <f t="shared" si="91"/>
        <v>0</v>
      </c>
      <c r="CG811" s="75">
        <f t="shared" si="93"/>
        <v>6837</v>
      </c>
      <c r="CH811" s="75" t="str">
        <f t="shared" si="93"/>
        <v>صيدلة اكلينيكى</v>
      </c>
    </row>
    <row r="812" spans="3:86" x14ac:dyDescent="0.25">
      <c r="C812" s="82">
        <v>11399</v>
      </c>
      <c r="D812" s="78">
        <v>6838</v>
      </c>
      <c r="E812" s="107" t="s">
        <v>132</v>
      </c>
      <c r="F812" s="69" t="s">
        <v>2482</v>
      </c>
      <c r="G812" s="69"/>
      <c r="H812" s="69">
        <v>8091.88</v>
      </c>
      <c r="U812" s="69"/>
      <c r="V812" s="69"/>
      <c r="AS812" s="94">
        <f t="shared" si="80"/>
        <v>8091.88</v>
      </c>
      <c r="AT812" s="69">
        <v>5716.1</v>
      </c>
      <c r="AU812" s="69">
        <v>751.4</v>
      </c>
      <c r="AV812" s="69">
        <v>1624.38</v>
      </c>
      <c r="BD812" s="69"/>
      <c r="BE812" s="69"/>
      <c r="CE812" s="94">
        <f t="shared" si="95"/>
        <v>8091.88</v>
      </c>
      <c r="CF812" s="73">
        <f t="shared" si="91"/>
        <v>0</v>
      </c>
      <c r="CG812" s="75">
        <f t="shared" si="93"/>
        <v>6838</v>
      </c>
      <c r="CH812" s="75" t="str">
        <f t="shared" si="93"/>
        <v>صيدلة اكلينيكى</v>
      </c>
    </row>
    <row r="813" spans="3:86" x14ac:dyDescent="0.25">
      <c r="C813" s="82">
        <v>11069</v>
      </c>
      <c r="D813" s="78">
        <v>6839</v>
      </c>
      <c r="E813" s="107" t="s">
        <v>132</v>
      </c>
      <c r="F813" s="69" t="s">
        <v>2483</v>
      </c>
      <c r="G813" s="69"/>
      <c r="H813" s="69">
        <v>8298.5</v>
      </c>
      <c r="U813" s="69"/>
      <c r="V813" s="69"/>
      <c r="AS813" s="94">
        <f t="shared" si="80"/>
        <v>8298.5</v>
      </c>
      <c r="AT813" s="69">
        <v>6731.6</v>
      </c>
      <c r="AU813" s="69">
        <f>47.4+785</f>
        <v>832.4</v>
      </c>
      <c r="AV813" s="69">
        <v>734.5</v>
      </c>
      <c r="BD813" s="69"/>
      <c r="BE813" s="69"/>
      <c r="CE813" s="94">
        <f t="shared" si="95"/>
        <v>8298.5</v>
      </c>
      <c r="CF813" s="73">
        <f t="shared" si="91"/>
        <v>0</v>
      </c>
      <c r="CG813" s="75">
        <f t="shared" si="93"/>
        <v>6839</v>
      </c>
      <c r="CH813" s="75" t="str">
        <f t="shared" si="93"/>
        <v>صيدلة اكلينيكى</v>
      </c>
    </row>
    <row r="814" spans="3:86" x14ac:dyDescent="0.25">
      <c r="C814" s="82">
        <v>11064</v>
      </c>
      <c r="D814" s="78">
        <v>6840</v>
      </c>
      <c r="E814" s="107" t="s">
        <v>132</v>
      </c>
      <c r="F814" s="69" t="s">
        <v>2483</v>
      </c>
      <c r="G814" s="69"/>
      <c r="H814" s="69">
        <v>350</v>
      </c>
      <c r="U814" s="69"/>
      <c r="V814" s="69"/>
      <c r="AS814" s="94">
        <f t="shared" si="80"/>
        <v>350</v>
      </c>
      <c r="AT814" s="69">
        <v>313.05</v>
      </c>
      <c r="AU814" s="69">
        <v>36.950000000000003</v>
      </c>
      <c r="BD814" s="69"/>
      <c r="BE814" s="69"/>
      <c r="CE814" s="94">
        <f t="shared" si="95"/>
        <v>350</v>
      </c>
      <c r="CF814" s="73">
        <f t="shared" si="91"/>
        <v>0</v>
      </c>
      <c r="CG814" s="75">
        <f t="shared" si="93"/>
        <v>6840</v>
      </c>
      <c r="CH814" s="75" t="str">
        <f t="shared" si="93"/>
        <v>صيدلة اكلينيكى</v>
      </c>
    </row>
    <row r="815" spans="3:86" x14ac:dyDescent="0.25">
      <c r="C815" s="82">
        <v>11063</v>
      </c>
      <c r="D815" s="78">
        <v>6841</v>
      </c>
      <c r="E815" s="107" t="s">
        <v>132</v>
      </c>
      <c r="F815" s="69" t="s">
        <v>2483</v>
      </c>
      <c r="G815" s="69"/>
      <c r="H815" s="69">
        <v>703.5</v>
      </c>
      <c r="U815" s="69"/>
      <c r="V815" s="69"/>
      <c r="AS815" s="94">
        <f t="shared" si="80"/>
        <v>703.5</v>
      </c>
      <c r="AT815" s="69">
        <v>470.6</v>
      </c>
      <c r="AU815" s="69">
        <v>63.4</v>
      </c>
      <c r="AV815" s="69">
        <v>169.5</v>
      </c>
      <c r="BD815" s="69"/>
      <c r="BE815" s="69"/>
      <c r="CE815" s="94">
        <f t="shared" si="95"/>
        <v>703.5</v>
      </c>
      <c r="CF815" s="73">
        <f t="shared" si="91"/>
        <v>0</v>
      </c>
      <c r="CG815" s="75">
        <f t="shared" si="93"/>
        <v>6841</v>
      </c>
      <c r="CH815" s="75" t="str">
        <f t="shared" si="93"/>
        <v>صيدلة اكلينيكى</v>
      </c>
    </row>
    <row r="816" spans="3:86" x14ac:dyDescent="0.25">
      <c r="C816" s="82">
        <v>11062</v>
      </c>
      <c r="D816" s="78">
        <v>6842</v>
      </c>
      <c r="E816" s="107" t="s">
        <v>132</v>
      </c>
      <c r="F816" s="69" t="s">
        <v>2483</v>
      </c>
      <c r="G816" s="69"/>
      <c r="H816" s="69">
        <v>500</v>
      </c>
      <c r="U816" s="69"/>
      <c r="V816" s="69"/>
      <c r="AS816" s="94">
        <f t="shared" si="80"/>
        <v>500</v>
      </c>
      <c r="AT816" s="69">
        <v>447.05</v>
      </c>
      <c r="AU816" s="69">
        <v>52.95</v>
      </c>
      <c r="BD816" s="69"/>
      <c r="BE816" s="69"/>
      <c r="CE816" s="94">
        <f t="shared" si="95"/>
        <v>500</v>
      </c>
      <c r="CF816" s="73">
        <f t="shared" si="91"/>
        <v>0</v>
      </c>
      <c r="CG816" s="75">
        <f t="shared" si="93"/>
        <v>6842</v>
      </c>
      <c r="CH816" s="75" t="str">
        <f t="shared" si="93"/>
        <v>صيدلة اكلينيكى</v>
      </c>
    </row>
    <row r="817" spans="1:86" x14ac:dyDescent="0.25">
      <c r="C817" s="82">
        <v>11066</v>
      </c>
      <c r="D817" s="78">
        <v>6843</v>
      </c>
      <c r="E817" s="107" t="s">
        <v>132</v>
      </c>
      <c r="F817" s="69" t="s">
        <v>2483</v>
      </c>
      <c r="G817" s="69"/>
      <c r="H817" s="69">
        <v>1641.49</v>
      </c>
      <c r="U817" s="69"/>
      <c r="V817" s="69"/>
      <c r="AS817" s="94">
        <f t="shared" si="80"/>
        <v>1641.49</v>
      </c>
      <c r="AT817" s="69">
        <v>1099</v>
      </c>
      <c r="AU817" s="69">
        <v>147</v>
      </c>
      <c r="AV817" s="69">
        <v>395.49</v>
      </c>
      <c r="BD817" s="69"/>
      <c r="BE817" s="69"/>
      <c r="CE817" s="94">
        <f t="shared" si="95"/>
        <v>1641.49</v>
      </c>
      <c r="CF817" s="73">
        <f t="shared" si="91"/>
        <v>0</v>
      </c>
      <c r="CG817" s="75">
        <f t="shared" ref="CG817:CH832" si="96">+D817</f>
        <v>6843</v>
      </c>
      <c r="CH817" s="75" t="str">
        <f t="shared" si="96"/>
        <v>صيدلة اكلينيكى</v>
      </c>
    </row>
    <row r="818" spans="1:86" x14ac:dyDescent="0.25">
      <c r="C818" s="82">
        <v>11065</v>
      </c>
      <c r="D818" s="110">
        <v>6844</v>
      </c>
      <c r="E818" s="107" t="s">
        <v>132</v>
      </c>
      <c r="F818" s="69" t="s">
        <v>2483</v>
      </c>
      <c r="G818" s="69"/>
      <c r="H818" s="69">
        <v>3611.29</v>
      </c>
      <c r="U818" s="69"/>
      <c r="V818" s="69"/>
      <c r="AS818" s="94">
        <f t="shared" si="80"/>
        <v>3611.29</v>
      </c>
      <c r="AT818" s="69">
        <v>2418.5500000000002</v>
      </c>
      <c r="AU818" s="69">
        <v>322.64999999999998</v>
      </c>
      <c r="AV818" s="69">
        <v>870.09</v>
      </c>
      <c r="BD818" s="69"/>
      <c r="BE818" s="69"/>
      <c r="CE818" s="94">
        <f t="shared" si="95"/>
        <v>3611.2900000000004</v>
      </c>
      <c r="CF818" s="73">
        <f t="shared" si="91"/>
        <v>0</v>
      </c>
      <c r="CG818" s="75">
        <f t="shared" si="96"/>
        <v>6844</v>
      </c>
      <c r="CH818" s="75" t="str">
        <f t="shared" si="96"/>
        <v>صيدلة اكلينيكى</v>
      </c>
    </row>
    <row r="819" spans="1:86" x14ac:dyDescent="0.25">
      <c r="C819" s="82">
        <v>11067</v>
      </c>
      <c r="D819" s="78">
        <v>6845</v>
      </c>
      <c r="E819" s="107" t="s">
        <v>132</v>
      </c>
      <c r="F819" s="69" t="s">
        <v>2483</v>
      </c>
      <c r="G819" s="69"/>
      <c r="H819" s="69">
        <v>351.75</v>
      </c>
      <c r="U819" s="69"/>
      <c r="V819" s="69"/>
      <c r="AS819" s="94">
        <f t="shared" si="80"/>
        <v>351.75</v>
      </c>
      <c r="AT819" s="69">
        <v>235.55</v>
      </c>
      <c r="AU819" s="69">
        <v>31.45</v>
      </c>
      <c r="AV819" s="69">
        <v>84.75</v>
      </c>
      <c r="BD819" s="69"/>
      <c r="BE819" s="69"/>
      <c r="CE819" s="94">
        <f t="shared" si="95"/>
        <v>351.75</v>
      </c>
      <c r="CF819" s="73">
        <f t="shared" si="91"/>
        <v>0</v>
      </c>
      <c r="CG819" s="75">
        <f t="shared" si="96"/>
        <v>6845</v>
      </c>
      <c r="CH819" s="75" t="str">
        <f t="shared" si="96"/>
        <v>صيدلة اكلينيكى</v>
      </c>
    </row>
    <row r="820" spans="1:86" x14ac:dyDescent="0.25">
      <c r="C820" s="82">
        <v>11068</v>
      </c>
      <c r="D820" s="78">
        <v>6846</v>
      </c>
      <c r="E820" s="107" t="s">
        <v>132</v>
      </c>
      <c r="F820" s="69" t="s">
        <v>2483</v>
      </c>
      <c r="G820" s="69"/>
      <c r="H820" s="69">
        <v>25475.919999999998</v>
      </c>
      <c r="U820" s="69"/>
      <c r="V820" s="69"/>
      <c r="AS820" s="94">
        <f t="shared" si="80"/>
        <v>25475.919999999998</v>
      </c>
      <c r="AT820" s="69">
        <v>17285.05</v>
      </c>
      <c r="AU820" s="69">
        <v>2293.6999999999998</v>
      </c>
      <c r="AV820" s="69">
        <v>5897.17</v>
      </c>
      <c r="BD820" s="69"/>
      <c r="BE820" s="69"/>
      <c r="CE820" s="94">
        <f t="shared" si="95"/>
        <v>25475.919999999998</v>
      </c>
      <c r="CF820" s="73">
        <f t="shared" si="91"/>
        <v>0</v>
      </c>
      <c r="CG820" s="75">
        <f t="shared" si="96"/>
        <v>6846</v>
      </c>
      <c r="CH820" s="75" t="str">
        <f t="shared" si="96"/>
        <v>صيدلة اكلينيكى</v>
      </c>
    </row>
    <row r="821" spans="1:86" x14ac:dyDescent="0.25">
      <c r="C821" s="82">
        <v>11402</v>
      </c>
      <c r="D821" s="78">
        <v>6847</v>
      </c>
      <c r="E821" s="107" t="s">
        <v>132</v>
      </c>
      <c r="F821" s="69" t="s">
        <v>2484</v>
      </c>
      <c r="G821" s="69"/>
      <c r="H821" s="69">
        <v>6496.63</v>
      </c>
      <c r="U821" s="69"/>
      <c r="V821" s="69"/>
      <c r="AS821" s="94">
        <f t="shared" si="80"/>
        <v>6496.63</v>
      </c>
      <c r="AT821" s="69">
        <v>5580.95</v>
      </c>
      <c r="AU821" s="69">
        <f>40.55+635</f>
        <v>675.55</v>
      </c>
      <c r="AV821" s="69">
        <v>240.13</v>
      </c>
      <c r="BD821" s="69"/>
      <c r="BE821" s="69"/>
      <c r="CE821" s="94">
        <f t="shared" si="95"/>
        <v>6496.63</v>
      </c>
      <c r="CF821" s="73">
        <f t="shared" si="91"/>
        <v>0</v>
      </c>
      <c r="CG821" s="75">
        <f t="shared" si="96"/>
        <v>6847</v>
      </c>
      <c r="CH821" s="75" t="str">
        <f t="shared" si="96"/>
        <v>صيدلة اكلينيكى</v>
      </c>
    </row>
    <row r="822" spans="1:86" x14ac:dyDescent="0.25">
      <c r="C822" s="82">
        <v>11407</v>
      </c>
      <c r="D822" s="78">
        <v>6848</v>
      </c>
      <c r="E822" s="107" t="s">
        <v>132</v>
      </c>
      <c r="F822" s="69" t="s">
        <v>2484</v>
      </c>
      <c r="G822" s="69"/>
      <c r="H822" s="69">
        <v>2000</v>
      </c>
      <c r="U822" s="69"/>
      <c r="V822" s="69"/>
      <c r="AS822" s="94">
        <f t="shared" si="80"/>
        <v>2000</v>
      </c>
      <c r="AT822" s="69">
        <v>1788.6</v>
      </c>
      <c r="AU822" s="69">
        <v>211.4</v>
      </c>
      <c r="BD822" s="69"/>
      <c r="BE822" s="69"/>
      <c r="CE822" s="94">
        <f t="shared" si="95"/>
        <v>2000</v>
      </c>
      <c r="CF822" s="73">
        <f t="shared" si="91"/>
        <v>0</v>
      </c>
      <c r="CG822" s="75">
        <f t="shared" si="96"/>
        <v>6848</v>
      </c>
      <c r="CH822" s="75" t="str">
        <f t="shared" si="96"/>
        <v>صيدلة اكلينيكى</v>
      </c>
    </row>
    <row r="823" spans="1:86" x14ac:dyDescent="0.25">
      <c r="C823" s="82">
        <v>11405</v>
      </c>
      <c r="D823" s="78">
        <v>6849</v>
      </c>
      <c r="E823" s="107" t="s">
        <v>132</v>
      </c>
      <c r="F823" s="69" t="s">
        <v>2484</v>
      </c>
      <c r="G823" s="69"/>
      <c r="H823" s="69">
        <v>586.25</v>
      </c>
      <c r="U823" s="69"/>
      <c r="V823" s="69"/>
      <c r="AS823" s="94">
        <f t="shared" si="80"/>
        <v>586.25</v>
      </c>
      <c r="AT823" s="69">
        <v>392.4</v>
      </c>
      <c r="AU823" s="69">
        <v>52.6</v>
      </c>
      <c r="AV823" s="69">
        <v>141.25</v>
      </c>
      <c r="BD823" s="69"/>
      <c r="BE823" s="69"/>
      <c r="CE823" s="94">
        <f t="shared" si="95"/>
        <v>586.25</v>
      </c>
      <c r="CF823" s="73">
        <f t="shared" si="91"/>
        <v>0</v>
      </c>
      <c r="CG823" s="75">
        <f t="shared" si="96"/>
        <v>6849</v>
      </c>
      <c r="CH823" s="75" t="str">
        <f t="shared" si="96"/>
        <v>صيدلة اكلينيكى</v>
      </c>
    </row>
    <row r="824" spans="1:86" x14ac:dyDescent="0.25">
      <c r="C824" s="82">
        <v>11404</v>
      </c>
      <c r="D824" s="78">
        <v>6850</v>
      </c>
      <c r="E824" s="107" t="s">
        <v>132</v>
      </c>
      <c r="F824" s="69" t="s">
        <v>2484</v>
      </c>
      <c r="G824" s="69"/>
      <c r="H824" s="69">
        <v>1876</v>
      </c>
      <c r="U824" s="69"/>
      <c r="V824" s="69"/>
      <c r="AS824" s="94">
        <f t="shared" si="80"/>
        <v>1876</v>
      </c>
      <c r="AT824" s="69">
        <v>1255.3499999999999</v>
      </c>
      <c r="AU824" s="69">
        <v>168.65</v>
      </c>
      <c r="AV824" s="69">
        <v>452</v>
      </c>
      <c r="BD824" s="69"/>
      <c r="BE824" s="69"/>
      <c r="CE824" s="94">
        <f t="shared" si="95"/>
        <v>1876</v>
      </c>
      <c r="CF824" s="73">
        <f t="shared" si="91"/>
        <v>0</v>
      </c>
      <c r="CG824" s="75">
        <f t="shared" si="96"/>
        <v>6850</v>
      </c>
      <c r="CH824" s="75" t="str">
        <f t="shared" si="96"/>
        <v>صيدلة اكلينيكى</v>
      </c>
    </row>
    <row r="825" spans="1:86" x14ac:dyDescent="0.25">
      <c r="C825" s="82">
        <v>11403</v>
      </c>
      <c r="D825" s="78">
        <v>6851</v>
      </c>
      <c r="E825" s="107" t="s">
        <v>132</v>
      </c>
      <c r="F825" s="69" t="s">
        <v>2484</v>
      </c>
      <c r="G825" s="69"/>
      <c r="H825" s="69">
        <v>586.25</v>
      </c>
      <c r="U825" s="69"/>
      <c r="V825" s="69"/>
      <c r="AS825" s="94">
        <f t="shared" si="80"/>
        <v>586.25</v>
      </c>
      <c r="AT825" s="69">
        <v>392.4</v>
      </c>
      <c r="AU825" s="69">
        <v>52.6</v>
      </c>
      <c r="AV825" s="69">
        <v>141.25</v>
      </c>
      <c r="BD825" s="69"/>
      <c r="BE825" s="69"/>
      <c r="CE825" s="94">
        <f t="shared" si="95"/>
        <v>586.25</v>
      </c>
      <c r="CF825" s="73">
        <f t="shared" si="91"/>
        <v>0</v>
      </c>
      <c r="CG825" s="75">
        <f t="shared" si="96"/>
        <v>6851</v>
      </c>
      <c r="CH825" s="75" t="str">
        <f t="shared" si="96"/>
        <v>صيدلة اكلينيكى</v>
      </c>
    </row>
    <row r="826" spans="1:86" x14ac:dyDescent="0.25">
      <c r="C826" s="82">
        <v>11406</v>
      </c>
      <c r="D826" s="78">
        <v>6852</v>
      </c>
      <c r="E826" s="107" t="s">
        <v>132</v>
      </c>
      <c r="F826" s="69" t="s">
        <v>2484</v>
      </c>
      <c r="G826" s="69"/>
      <c r="H826" s="69">
        <v>6100.35</v>
      </c>
      <c r="U826" s="69"/>
      <c r="V826" s="69"/>
      <c r="AS826" s="94">
        <f t="shared" si="80"/>
        <v>6100.35</v>
      </c>
      <c r="AT826" s="69">
        <v>4308.55</v>
      </c>
      <c r="AU826" s="69">
        <v>562.95000000000005</v>
      </c>
      <c r="AV826" s="69">
        <v>1228.8499999999999</v>
      </c>
      <c r="BD826" s="69"/>
      <c r="BE826" s="69"/>
      <c r="CE826" s="94">
        <f t="shared" si="95"/>
        <v>6100.35</v>
      </c>
      <c r="CF826" s="73">
        <f t="shared" si="91"/>
        <v>0</v>
      </c>
      <c r="CG826" s="75">
        <f t="shared" si="96"/>
        <v>6852</v>
      </c>
      <c r="CH826" s="75" t="str">
        <f t="shared" si="96"/>
        <v>صيدلة اكلينيكى</v>
      </c>
    </row>
    <row r="827" spans="1:86" x14ac:dyDescent="0.25">
      <c r="A827" s="69" t="s">
        <v>1475</v>
      </c>
      <c r="C827" s="82">
        <v>11395</v>
      </c>
      <c r="D827" s="78">
        <v>6853</v>
      </c>
      <c r="E827" s="107" t="s">
        <v>132</v>
      </c>
      <c r="F827" s="69" t="s">
        <v>2485</v>
      </c>
      <c r="G827" s="69"/>
      <c r="H827" s="69">
        <v>43030.76</v>
      </c>
      <c r="U827" s="69"/>
      <c r="V827" s="69"/>
      <c r="AS827" s="94">
        <f t="shared" si="80"/>
        <v>43030.76</v>
      </c>
      <c r="AT827" s="69">
        <v>30540.17</v>
      </c>
      <c r="AU827" s="69">
        <f>239.8+783.03</f>
        <v>1022.8299999999999</v>
      </c>
      <c r="AV827" s="69">
        <v>10367.76</v>
      </c>
      <c r="AW827" s="69">
        <v>1100</v>
      </c>
      <c r="BD827" s="69"/>
      <c r="BE827" s="69"/>
      <c r="CE827" s="94">
        <f t="shared" si="95"/>
        <v>43030.76</v>
      </c>
      <c r="CF827" s="73">
        <f t="shared" si="91"/>
        <v>0</v>
      </c>
      <c r="CG827" s="75">
        <f t="shared" si="96"/>
        <v>6853</v>
      </c>
      <c r="CH827" s="75" t="str">
        <f t="shared" si="96"/>
        <v>صيدلة اكلينيكى</v>
      </c>
    </row>
    <row r="828" spans="1:86" x14ac:dyDescent="0.25">
      <c r="A828" s="69" t="s">
        <v>1475</v>
      </c>
      <c r="C828" s="82">
        <v>11394</v>
      </c>
      <c r="D828" s="78">
        <v>6854</v>
      </c>
      <c r="E828" s="107" t="s">
        <v>132</v>
      </c>
      <c r="F828" s="69" t="s">
        <v>2485</v>
      </c>
      <c r="G828" s="69"/>
      <c r="H828" s="69">
        <v>13200</v>
      </c>
      <c r="U828" s="69"/>
      <c r="V828" s="69"/>
      <c r="AS828" s="94">
        <f t="shared" si="80"/>
        <v>13200</v>
      </c>
      <c r="AT828" s="69">
        <v>12239.95</v>
      </c>
      <c r="AU828" s="69">
        <f>96.2+313.85</f>
        <v>410.05</v>
      </c>
      <c r="AW828" s="69">
        <v>550</v>
      </c>
      <c r="BD828" s="69"/>
      <c r="BE828" s="69"/>
      <c r="CE828" s="94">
        <f t="shared" si="95"/>
        <v>13200</v>
      </c>
      <c r="CF828" s="73">
        <f t="shared" si="91"/>
        <v>0</v>
      </c>
      <c r="CG828" s="75">
        <f t="shared" si="96"/>
        <v>6854</v>
      </c>
      <c r="CH828" s="75" t="str">
        <f t="shared" si="96"/>
        <v>صيدلة اكلينيكى</v>
      </c>
    </row>
    <row r="829" spans="1:86" x14ac:dyDescent="0.25">
      <c r="C829" s="82">
        <v>11396</v>
      </c>
      <c r="D829" s="78">
        <v>6855</v>
      </c>
      <c r="E829" s="107" t="s">
        <v>132</v>
      </c>
      <c r="F829" s="69" t="s">
        <v>2486</v>
      </c>
      <c r="G829" s="69"/>
      <c r="H829" s="69">
        <v>4221</v>
      </c>
      <c r="U829" s="69"/>
      <c r="V829" s="69"/>
      <c r="AS829" s="94">
        <f t="shared" si="80"/>
        <v>4221</v>
      </c>
      <c r="AT829" s="69">
        <v>3100.79</v>
      </c>
      <c r="AU829" s="69">
        <f>23.7+79.51</f>
        <v>103.21000000000001</v>
      </c>
      <c r="AV829" s="69">
        <f>1120.21-103.21</f>
        <v>1017</v>
      </c>
      <c r="BD829" s="69"/>
      <c r="BE829" s="69"/>
      <c r="CE829" s="94">
        <f t="shared" ref="CE829:CE832" si="97">SUM(AT829:CD829)</f>
        <v>4221</v>
      </c>
      <c r="CF829" s="73">
        <f t="shared" si="91"/>
        <v>0</v>
      </c>
      <c r="CG829" s="75">
        <f t="shared" si="96"/>
        <v>6855</v>
      </c>
      <c r="CH829" s="75" t="str">
        <f t="shared" si="96"/>
        <v>صيدلة اكلينيكى</v>
      </c>
    </row>
    <row r="830" spans="1:86" x14ac:dyDescent="0.25">
      <c r="C830" s="82">
        <v>11071</v>
      </c>
      <c r="D830" s="78">
        <v>6856</v>
      </c>
      <c r="E830" s="107" t="s">
        <v>132</v>
      </c>
      <c r="F830" s="69" t="s">
        <v>2487</v>
      </c>
      <c r="G830" s="69"/>
      <c r="H830" s="69">
        <v>9480</v>
      </c>
      <c r="U830" s="69"/>
      <c r="V830" s="69"/>
      <c r="AS830" s="94">
        <f t="shared" si="80"/>
        <v>9480</v>
      </c>
      <c r="AT830" s="69">
        <v>8457.75</v>
      </c>
      <c r="AU830" s="69">
        <v>1022.25</v>
      </c>
      <c r="BD830" s="69"/>
      <c r="BE830" s="69"/>
      <c r="CE830" s="94">
        <f t="shared" si="97"/>
        <v>9480</v>
      </c>
      <c r="CF830" s="73">
        <f t="shared" si="91"/>
        <v>0</v>
      </c>
      <c r="CG830" s="75">
        <f t="shared" si="96"/>
        <v>6856</v>
      </c>
      <c r="CH830" s="75" t="str">
        <f t="shared" si="96"/>
        <v>صيدلة اكلينيكى</v>
      </c>
    </row>
    <row r="831" spans="1:86" x14ac:dyDescent="0.25">
      <c r="C831" s="82">
        <v>11070</v>
      </c>
      <c r="D831" s="78">
        <v>6857</v>
      </c>
      <c r="E831" s="107" t="s">
        <v>132</v>
      </c>
      <c r="F831" s="69" t="s">
        <v>2487</v>
      </c>
      <c r="G831" s="69"/>
      <c r="H831" s="69">
        <v>34520.31</v>
      </c>
      <c r="U831" s="69"/>
      <c r="V831" s="69"/>
      <c r="AS831" s="94">
        <f t="shared" si="80"/>
        <v>34520.31</v>
      </c>
      <c r="AT831" s="69">
        <v>29639.84</v>
      </c>
      <c r="AU831" s="69">
        <v>3618.95</v>
      </c>
      <c r="AV831" s="69">
        <v>1261.52</v>
      </c>
      <c r="BD831" s="69"/>
      <c r="BE831" s="69"/>
      <c r="CE831" s="94">
        <f t="shared" si="97"/>
        <v>34520.31</v>
      </c>
      <c r="CF831" s="73">
        <f t="shared" si="91"/>
        <v>0</v>
      </c>
      <c r="CG831" s="75">
        <f t="shared" si="96"/>
        <v>6857</v>
      </c>
      <c r="CH831" s="75" t="str">
        <f t="shared" si="96"/>
        <v>صيدلة اكلينيكى</v>
      </c>
    </row>
    <row r="832" spans="1:86" x14ac:dyDescent="0.25">
      <c r="C832" s="82">
        <v>11397</v>
      </c>
      <c r="D832" s="78">
        <v>6858</v>
      </c>
      <c r="E832" s="107" t="s">
        <v>132</v>
      </c>
      <c r="F832" s="69" t="s">
        <v>2488</v>
      </c>
      <c r="G832" s="69"/>
      <c r="H832" s="69">
        <v>4000</v>
      </c>
      <c r="U832" s="69"/>
      <c r="V832" s="69"/>
      <c r="AS832" s="94">
        <f t="shared" si="80"/>
        <v>4000</v>
      </c>
      <c r="AT832" s="69">
        <v>3570.37</v>
      </c>
      <c r="AU832" s="69">
        <v>429.63</v>
      </c>
      <c r="BD832" s="69"/>
      <c r="BE832" s="69"/>
      <c r="CE832" s="94">
        <f t="shared" si="97"/>
        <v>4000</v>
      </c>
      <c r="CF832" s="73">
        <f t="shared" si="91"/>
        <v>0</v>
      </c>
      <c r="CG832" s="75">
        <f t="shared" si="96"/>
        <v>6858</v>
      </c>
      <c r="CH832" s="75" t="str">
        <f t="shared" si="96"/>
        <v>صيدلة اكلينيكى</v>
      </c>
    </row>
    <row r="833" spans="3:86" x14ac:dyDescent="0.25">
      <c r="C833" s="82">
        <v>11838</v>
      </c>
      <c r="D833" s="78">
        <v>6859</v>
      </c>
      <c r="E833" s="107" t="s">
        <v>132</v>
      </c>
      <c r="F833" s="69" t="s">
        <v>2489</v>
      </c>
      <c r="G833" s="69"/>
      <c r="H833" s="69">
        <v>3939.6</v>
      </c>
      <c r="U833" s="69"/>
      <c r="V833" s="69"/>
      <c r="AS833" s="94">
        <f t="shared" si="80"/>
        <v>3939.6</v>
      </c>
      <c r="AT833" s="69">
        <v>2632.35</v>
      </c>
      <c r="AU833" s="69">
        <v>358.05</v>
      </c>
      <c r="AV833" s="69">
        <v>949.2</v>
      </c>
      <c r="BD833" s="69"/>
      <c r="BE833" s="69"/>
      <c r="CE833" s="94">
        <f t="shared" si="95"/>
        <v>3939.6000000000004</v>
      </c>
      <c r="CF833" s="73">
        <f t="shared" si="91"/>
        <v>0</v>
      </c>
      <c r="CG833" s="75">
        <f t="shared" ref="CG833:CH949" si="98">+D833</f>
        <v>6859</v>
      </c>
      <c r="CH833" s="75" t="str">
        <f t="shared" si="98"/>
        <v>صيدلة اكلينيكى</v>
      </c>
    </row>
    <row r="834" spans="3:86" x14ac:dyDescent="0.25">
      <c r="C834" s="82">
        <v>11837</v>
      </c>
      <c r="D834" s="78">
        <v>6860</v>
      </c>
      <c r="E834" s="107" t="s">
        <v>132</v>
      </c>
      <c r="F834" s="69" t="s">
        <v>2489</v>
      </c>
      <c r="G834" s="69"/>
      <c r="H834" s="69">
        <v>1582.88</v>
      </c>
      <c r="U834" s="69"/>
      <c r="V834" s="69"/>
      <c r="AS834" s="94">
        <f t="shared" si="80"/>
        <v>1582.88</v>
      </c>
      <c r="AT834" s="69">
        <v>1057.8499999999999</v>
      </c>
      <c r="AU834" s="69">
        <v>143.65</v>
      </c>
      <c r="AV834" s="69">
        <v>381.38</v>
      </c>
      <c r="BD834" s="69"/>
      <c r="BE834" s="69"/>
      <c r="CE834" s="94">
        <f t="shared" si="95"/>
        <v>1582.88</v>
      </c>
      <c r="CF834" s="73">
        <f t="shared" si="91"/>
        <v>0</v>
      </c>
      <c r="CG834" s="75">
        <f t="shared" si="98"/>
        <v>6860</v>
      </c>
      <c r="CH834" s="75" t="str">
        <f t="shared" si="98"/>
        <v>صيدلة اكلينيكى</v>
      </c>
    </row>
    <row r="835" spans="3:86" x14ac:dyDescent="0.25">
      <c r="C835" s="82">
        <v>11836</v>
      </c>
      <c r="D835" s="78">
        <v>6861</v>
      </c>
      <c r="E835" s="107" t="s">
        <v>132</v>
      </c>
      <c r="F835" s="69" t="s">
        <v>2489</v>
      </c>
      <c r="G835" s="69"/>
      <c r="H835" s="69">
        <v>5170.72</v>
      </c>
      <c r="U835" s="69"/>
      <c r="V835" s="69"/>
      <c r="AS835" s="94">
        <f t="shared" si="80"/>
        <v>5170.72</v>
      </c>
      <c r="AT835" s="69">
        <v>3454.8</v>
      </c>
      <c r="AU835" s="69">
        <v>470.1</v>
      </c>
      <c r="AV835" s="69">
        <v>1245.82</v>
      </c>
      <c r="BD835" s="69"/>
      <c r="BE835" s="69"/>
      <c r="CE835" s="94">
        <f t="shared" si="95"/>
        <v>5170.72</v>
      </c>
      <c r="CF835" s="73">
        <f t="shared" si="91"/>
        <v>0</v>
      </c>
      <c r="CG835" s="75">
        <f t="shared" si="98"/>
        <v>6861</v>
      </c>
      <c r="CH835" s="75" t="str">
        <f t="shared" si="98"/>
        <v>صيدلة اكلينيكى</v>
      </c>
    </row>
    <row r="836" spans="3:86" x14ac:dyDescent="0.25">
      <c r="C836" s="82">
        <v>11835</v>
      </c>
      <c r="D836" s="78">
        <v>6862</v>
      </c>
      <c r="E836" s="107" t="s">
        <v>132</v>
      </c>
      <c r="F836" s="69" t="s">
        <v>2489</v>
      </c>
      <c r="G836" s="69"/>
      <c r="H836" s="69">
        <v>14363.61</v>
      </c>
      <c r="U836" s="69"/>
      <c r="V836" s="69"/>
      <c r="AS836" s="94">
        <f t="shared" si="80"/>
        <v>14363.61</v>
      </c>
      <c r="AT836" s="69">
        <v>12322.04</v>
      </c>
      <c r="AU836" s="69">
        <v>1511.6</v>
      </c>
      <c r="AV836" s="69">
        <v>529.97</v>
      </c>
      <c r="BD836" s="69"/>
      <c r="BE836" s="69"/>
      <c r="CE836" s="94">
        <f t="shared" si="95"/>
        <v>14363.61</v>
      </c>
      <c r="CF836" s="73">
        <f t="shared" si="91"/>
        <v>0</v>
      </c>
      <c r="CG836" s="75">
        <f t="shared" si="98"/>
        <v>6862</v>
      </c>
      <c r="CH836" s="75" t="str">
        <f t="shared" si="98"/>
        <v>صيدلة اكلينيكى</v>
      </c>
    </row>
    <row r="837" spans="3:86" x14ac:dyDescent="0.25">
      <c r="C837" s="82">
        <v>12028</v>
      </c>
      <c r="D837" s="78">
        <v>6863</v>
      </c>
      <c r="E837" s="107" t="s">
        <v>132</v>
      </c>
      <c r="F837" s="69" t="s">
        <v>509</v>
      </c>
      <c r="G837" s="69"/>
      <c r="H837" s="69">
        <v>6946.24</v>
      </c>
      <c r="U837" s="69"/>
      <c r="V837" s="69"/>
      <c r="AS837" s="94">
        <f t="shared" si="80"/>
        <v>6946.24</v>
      </c>
      <c r="AT837" s="69">
        <v>5718.19</v>
      </c>
      <c r="AU837" s="69">
        <v>710.15</v>
      </c>
      <c r="AV837" s="69">
        <v>517.9</v>
      </c>
      <c r="BD837" s="69"/>
      <c r="BE837" s="69"/>
      <c r="CE837" s="94">
        <f t="shared" si="95"/>
        <v>6946.2399999999989</v>
      </c>
      <c r="CF837" s="73">
        <f t="shared" si="91"/>
        <v>0</v>
      </c>
      <c r="CG837" s="75">
        <f t="shared" si="98"/>
        <v>6863</v>
      </c>
      <c r="CH837" s="75" t="str">
        <f t="shared" si="98"/>
        <v>صيدلة اكلينيكى</v>
      </c>
    </row>
    <row r="838" spans="3:86" x14ac:dyDescent="0.25">
      <c r="C838" s="82">
        <v>12029</v>
      </c>
      <c r="D838" s="78">
        <v>6864</v>
      </c>
      <c r="E838" s="107" t="s">
        <v>132</v>
      </c>
      <c r="F838" s="69" t="s">
        <v>509</v>
      </c>
      <c r="G838" s="69"/>
      <c r="H838" s="69">
        <v>7620</v>
      </c>
      <c r="U838" s="69"/>
      <c r="V838" s="69"/>
      <c r="AS838" s="94">
        <f t="shared" si="80"/>
        <v>7620</v>
      </c>
      <c r="AT838" s="69">
        <v>6802.6</v>
      </c>
      <c r="AU838" s="69">
        <v>817.4</v>
      </c>
      <c r="BD838" s="69"/>
      <c r="BE838" s="69"/>
      <c r="CE838" s="94">
        <f t="shared" si="95"/>
        <v>7620</v>
      </c>
      <c r="CF838" s="73">
        <f t="shared" si="91"/>
        <v>0</v>
      </c>
      <c r="CG838" s="75">
        <f t="shared" si="98"/>
        <v>6864</v>
      </c>
      <c r="CH838" s="75" t="str">
        <f t="shared" si="98"/>
        <v>صيدلة اكلينيكى</v>
      </c>
    </row>
    <row r="839" spans="3:86" x14ac:dyDescent="0.25">
      <c r="C839" s="82">
        <v>12030</v>
      </c>
      <c r="D839" s="78">
        <v>6865</v>
      </c>
      <c r="E839" s="107" t="s">
        <v>132</v>
      </c>
      <c r="F839" s="69" t="s">
        <v>509</v>
      </c>
      <c r="G839" s="69"/>
      <c r="H839" s="69">
        <v>12600</v>
      </c>
      <c r="U839" s="69"/>
      <c r="V839" s="69"/>
      <c r="AS839" s="94">
        <f t="shared" si="80"/>
        <v>12600</v>
      </c>
      <c r="AT839" s="69">
        <v>11245.05</v>
      </c>
      <c r="AU839" s="69">
        <v>1354.95</v>
      </c>
      <c r="BD839" s="69"/>
      <c r="BE839" s="69"/>
      <c r="CE839" s="94">
        <f t="shared" si="95"/>
        <v>12600</v>
      </c>
      <c r="CF839" s="73">
        <f t="shared" si="91"/>
        <v>0</v>
      </c>
      <c r="CG839" s="75">
        <f t="shared" si="98"/>
        <v>6865</v>
      </c>
      <c r="CH839" s="75" t="str">
        <f t="shared" si="98"/>
        <v>صيدلة اكلينيكى</v>
      </c>
    </row>
    <row r="840" spans="3:86" x14ac:dyDescent="0.25">
      <c r="C840" s="82">
        <v>12031</v>
      </c>
      <c r="D840" s="78">
        <v>6866</v>
      </c>
      <c r="E840" s="107" t="s">
        <v>132</v>
      </c>
      <c r="F840" s="69" t="s">
        <v>509</v>
      </c>
      <c r="G840" s="69"/>
      <c r="H840" s="69">
        <v>20128.669999999998</v>
      </c>
      <c r="U840" s="69"/>
      <c r="V840" s="69"/>
      <c r="AS840" s="94">
        <f t="shared" si="80"/>
        <v>20128.669999999998</v>
      </c>
      <c r="AT840" s="69">
        <v>17731.39</v>
      </c>
      <c r="AU840" s="69">
        <v>2153.8000000000002</v>
      </c>
      <c r="AV840" s="69">
        <v>243.48</v>
      </c>
      <c r="BD840" s="69"/>
      <c r="BE840" s="69"/>
      <c r="CE840" s="94">
        <f t="shared" si="95"/>
        <v>20128.669999999998</v>
      </c>
      <c r="CF840" s="73">
        <f t="shared" si="91"/>
        <v>0</v>
      </c>
      <c r="CG840" s="75">
        <f t="shared" si="98"/>
        <v>6866</v>
      </c>
      <c r="CH840" s="75" t="str">
        <f t="shared" si="98"/>
        <v>صيدلة اكلينيكى</v>
      </c>
    </row>
    <row r="841" spans="3:86" x14ac:dyDescent="0.25">
      <c r="C841" s="82">
        <v>12032</v>
      </c>
      <c r="D841" s="78">
        <v>6867</v>
      </c>
      <c r="E841" s="107" t="s">
        <v>132</v>
      </c>
      <c r="F841" s="69" t="s">
        <v>509</v>
      </c>
      <c r="G841" s="69"/>
      <c r="H841" s="69">
        <v>7180.79</v>
      </c>
      <c r="U841" s="69"/>
      <c r="V841" s="69"/>
      <c r="AS841" s="94">
        <f t="shared" si="80"/>
        <v>7180.79</v>
      </c>
      <c r="AT841" s="69">
        <v>5707.02</v>
      </c>
      <c r="AU841" s="69">
        <v>719.15</v>
      </c>
      <c r="AV841" s="69">
        <v>754.62</v>
      </c>
      <c r="BD841" s="69"/>
      <c r="BE841" s="69"/>
      <c r="CE841" s="94">
        <f t="shared" si="95"/>
        <v>7180.79</v>
      </c>
      <c r="CF841" s="73">
        <f t="shared" si="91"/>
        <v>0</v>
      </c>
      <c r="CG841" s="75">
        <f t="shared" si="98"/>
        <v>6867</v>
      </c>
      <c r="CH841" s="75" t="str">
        <f t="shared" si="98"/>
        <v>صيدلة اكلينيكى</v>
      </c>
    </row>
    <row r="842" spans="3:86" x14ac:dyDescent="0.25">
      <c r="C842" s="82">
        <v>12017</v>
      </c>
      <c r="D842" s="78">
        <v>6868</v>
      </c>
      <c r="E842" s="107" t="s">
        <v>132</v>
      </c>
      <c r="F842" s="69" t="s">
        <v>506</v>
      </c>
      <c r="G842" s="69"/>
      <c r="H842" s="69">
        <v>248661.53</v>
      </c>
      <c r="U842" s="69"/>
      <c r="V842" s="69"/>
      <c r="AS842" s="94">
        <f t="shared" si="80"/>
        <v>248661.53</v>
      </c>
      <c r="AT842" s="69">
        <v>218274.08</v>
      </c>
      <c r="AU842" s="69">
        <v>26028.7</v>
      </c>
      <c r="AV842" s="69">
        <v>4358.75</v>
      </c>
      <c r="BD842" s="69"/>
      <c r="BE842" s="69"/>
      <c r="CE842" s="94">
        <f t="shared" si="95"/>
        <v>248661.53</v>
      </c>
      <c r="CF842" s="73">
        <f t="shared" si="91"/>
        <v>0</v>
      </c>
      <c r="CG842" s="75">
        <f t="shared" si="98"/>
        <v>6868</v>
      </c>
      <c r="CH842" s="75" t="str">
        <f t="shared" si="98"/>
        <v>صيدلة اكلينيكى</v>
      </c>
    </row>
    <row r="843" spans="3:86" x14ac:dyDescent="0.25">
      <c r="C843" s="82">
        <v>12019</v>
      </c>
      <c r="D843" s="78">
        <v>6869</v>
      </c>
      <c r="E843" s="107" t="s">
        <v>132</v>
      </c>
      <c r="F843" s="69" t="s">
        <v>509</v>
      </c>
      <c r="G843" s="69"/>
      <c r="H843" s="69">
        <v>21000</v>
      </c>
      <c r="U843" s="69"/>
      <c r="V843" s="69"/>
      <c r="AS843" s="94">
        <f t="shared" si="80"/>
        <v>21000</v>
      </c>
      <c r="AT843" s="69">
        <v>18742.8</v>
      </c>
      <c r="AU843" s="69">
        <v>2257.1999999999998</v>
      </c>
      <c r="BD843" s="69"/>
      <c r="BE843" s="69"/>
      <c r="CE843" s="94">
        <f t="shared" si="95"/>
        <v>21000</v>
      </c>
      <c r="CF843" s="73">
        <f t="shared" si="91"/>
        <v>0</v>
      </c>
      <c r="CG843" s="75">
        <f t="shared" si="98"/>
        <v>6869</v>
      </c>
      <c r="CH843" s="75" t="str">
        <f t="shared" si="98"/>
        <v>صيدلة اكلينيكى</v>
      </c>
    </row>
    <row r="844" spans="3:86" x14ac:dyDescent="0.25">
      <c r="C844" s="82">
        <v>12020</v>
      </c>
      <c r="D844" s="78">
        <v>6870</v>
      </c>
      <c r="E844" s="107" t="s">
        <v>132</v>
      </c>
      <c r="F844" s="69" t="s">
        <v>509</v>
      </c>
      <c r="G844" s="69"/>
      <c r="H844" s="69">
        <v>144014.75</v>
      </c>
      <c r="U844" s="69"/>
      <c r="V844" s="69"/>
      <c r="AS844" s="94">
        <f t="shared" si="80"/>
        <v>144014.75</v>
      </c>
      <c r="AT844" s="69">
        <v>122634.9</v>
      </c>
      <c r="AU844" s="69">
        <v>15017.85</v>
      </c>
      <c r="AV844" s="69">
        <v>6362</v>
      </c>
      <c r="BD844" s="69"/>
      <c r="BE844" s="69"/>
      <c r="CE844" s="94">
        <f t="shared" si="95"/>
        <v>144014.75</v>
      </c>
      <c r="CF844" s="73">
        <f t="shared" si="91"/>
        <v>0</v>
      </c>
      <c r="CG844" s="75">
        <f t="shared" si="98"/>
        <v>6870</v>
      </c>
      <c r="CH844" s="75" t="str">
        <f t="shared" si="98"/>
        <v>صيدلة اكلينيكى</v>
      </c>
    </row>
    <row r="845" spans="3:86" x14ac:dyDescent="0.25">
      <c r="C845" s="82">
        <v>12021</v>
      </c>
      <c r="D845" s="78">
        <v>6871</v>
      </c>
      <c r="E845" s="107" t="s">
        <v>132</v>
      </c>
      <c r="F845" s="69" t="s">
        <v>509</v>
      </c>
      <c r="G845" s="69"/>
      <c r="H845" s="69">
        <v>12600</v>
      </c>
      <c r="U845" s="69"/>
      <c r="V845" s="69"/>
      <c r="AS845" s="94">
        <f t="shared" si="80"/>
        <v>12600</v>
      </c>
      <c r="AT845" s="69">
        <v>11252.6</v>
      </c>
      <c r="AU845" s="69">
        <v>1347.4</v>
      </c>
      <c r="BD845" s="69"/>
      <c r="BE845" s="69"/>
      <c r="CE845" s="94">
        <f t="shared" si="95"/>
        <v>12600</v>
      </c>
      <c r="CF845" s="73">
        <f t="shared" si="91"/>
        <v>0</v>
      </c>
      <c r="CG845" s="75">
        <f t="shared" si="98"/>
        <v>6871</v>
      </c>
      <c r="CH845" s="75" t="str">
        <f t="shared" si="98"/>
        <v>صيدلة اكلينيكى</v>
      </c>
    </row>
    <row r="846" spans="3:86" x14ac:dyDescent="0.25">
      <c r="C846" s="82"/>
      <c r="D846" s="78">
        <v>6872</v>
      </c>
      <c r="E846" s="107" t="s">
        <v>132</v>
      </c>
      <c r="F846" s="69" t="s">
        <v>899</v>
      </c>
      <c r="G846" s="69"/>
      <c r="U846" s="69"/>
      <c r="V846" s="69"/>
      <c r="AS846" s="94">
        <f t="shared" si="80"/>
        <v>0</v>
      </c>
      <c r="AU846" s="69"/>
      <c r="BD846" s="69"/>
      <c r="BE846" s="69"/>
      <c r="CE846" s="94">
        <f t="shared" si="95"/>
        <v>0</v>
      </c>
      <c r="CF846" s="73">
        <f t="shared" si="91"/>
        <v>0</v>
      </c>
      <c r="CG846" s="75">
        <f t="shared" si="98"/>
        <v>6872</v>
      </c>
      <c r="CH846" s="75" t="str">
        <f t="shared" si="98"/>
        <v>صيدلة اكلينيكى</v>
      </c>
    </row>
    <row r="847" spans="3:86" x14ac:dyDescent="0.25">
      <c r="C847" s="82">
        <v>11833</v>
      </c>
      <c r="D847" s="78">
        <v>6873</v>
      </c>
      <c r="E847" s="107" t="s">
        <v>132</v>
      </c>
      <c r="F847" s="69" t="str">
        <f>+F834</f>
        <v>مكافاه تدريس فصل صيفى</v>
      </c>
      <c r="G847" s="69"/>
      <c r="H847" s="69">
        <v>12690</v>
      </c>
      <c r="U847" s="69"/>
      <c r="V847" s="69"/>
      <c r="AS847" s="94">
        <f t="shared" si="80"/>
        <v>12690</v>
      </c>
      <c r="AT847" s="69">
        <v>11321.85</v>
      </c>
      <c r="AU847" s="69">
        <f>99.15+1269</f>
        <v>1368.15</v>
      </c>
      <c r="BD847" s="69"/>
      <c r="BE847" s="69"/>
      <c r="CE847" s="94">
        <f t="shared" si="95"/>
        <v>12690</v>
      </c>
      <c r="CF847" s="73">
        <f t="shared" si="91"/>
        <v>0</v>
      </c>
      <c r="CG847" s="75">
        <f t="shared" si="98"/>
        <v>6873</v>
      </c>
      <c r="CH847" s="75" t="str">
        <f t="shared" si="98"/>
        <v>صيدلة اكلينيكى</v>
      </c>
    </row>
    <row r="848" spans="3:86" x14ac:dyDescent="0.25">
      <c r="C848" s="82">
        <v>11832</v>
      </c>
      <c r="D848" s="78">
        <v>6874</v>
      </c>
      <c r="E848" s="107" t="s">
        <v>132</v>
      </c>
      <c r="F848" s="69" t="str">
        <f>+F835</f>
        <v>مكافاه تدريس فصل صيفى</v>
      </c>
      <c r="G848" s="69"/>
      <c r="H848" s="69">
        <v>879.38</v>
      </c>
      <c r="U848" s="69"/>
      <c r="V848" s="69"/>
      <c r="AS848" s="94">
        <f t="shared" si="80"/>
        <v>879.38</v>
      </c>
      <c r="AT848" s="69">
        <v>588.15</v>
      </c>
      <c r="AU848" s="69">
        <v>79.349999999999994</v>
      </c>
      <c r="AV848" s="69">
        <v>211.88</v>
      </c>
      <c r="BD848" s="69"/>
      <c r="BE848" s="69"/>
      <c r="CE848" s="94">
        <f t="shared" si="95"/>
        <v>879.38</v>
      </c>
      <c r="CF848" s="73">
        <f t="shared" si="91"/>
        <v>0</v>
      </c>
      <c r="CG848" s="75">
        <f t="shared" si="98"/>
        <v>6874</v>
      </c>
      <c r="CH848" s="75" t="str">
        <f t="shared" si="98"/>
        <v>صيدلة اكلينيكى</v>
      </c>
    </row>
    <row r="849" spans="1:86" x14ac:dyDescent="0.25">
      <c r="C849" s="82">
        <v>11831</v>
      </c>
      <c r="D849" s="78">
        <v>6875</v>
      </c>
      <c r="E849" s="107" t="s">
        <v>132</v>
      </c>
      <c r="F849" s="69" t="str">
        <f>+F836</f>
        <v>مكافاه تدريس فصل صيفى</v>
      </c>
      <c r="G849" s="69"/>
      <c r="H849" s="69">
        <v>4560</v>
      </c>
      <c r="U849" s="69"/>
      <c r="V849" s="69"/>
      <c r="AS849" s="94">
        <f t="shared" si="80"/>
        <v>4560</v>
      </c>
      <c r="AT849" s="69">
        <v>4074.05</v>
      </c>
      <c r="AU849" s="69">
        <v>485.95</v>
      </c>
      <c r="BD849" s="69"/>
      <c r="BE849" s="69"/>
      <c r="CE849" s="94">
        <f t="shared" si="95"/>
        <v>4560</v>
      </c>
      <c r="CF849" s="73">
        <f t="shared" ref="CF849:CF912" si="99">+CE849-AS849</f>
        <v>0</v>
      </c>
      <c r="CG849" s="75">
        <f t="shared" si="98"/>
        <v>6875</v>
      </c>
      <c r="CH849" s="75" t="str">
        <f t="shared" si="98"/>
        <v>صيدلة اكلينيكى</v>
      </c>
    </row>
    <row r="850" spans="1:86" x14ac:dyDescent="0.25">
      <c r="C850" s="82">
        <v>11830</v>
      </c>
      <c r="D850" s="78">
        <v>6876</v>
      </c>
      <c r="E850" s="107" t="s">
        <v>132</v>
      </c>
      <c r="F850" s="69" t="str">
        <f t="shared" ref="F850:F857" si="100">+F849</f>
        <v>مكافاه تدريس فصل صيفى</v>
      </c>
      <c r="G850" s="69"/>
      <c r="H850" s="69">
        <v>2432.94</v>
      </c>
      <c r="U850" s="69"/>
      <c r="V850" s="69"/>
      <c r="AS850" s="94">
        <f t="shared" si="80"/>
        <v>2432.94</v>
      </c>
      <c r="AT850" s="69">
        <v>1628.35</v>
      </c>
      <c r="AU850" s="69">
        <v>218.4</v>
      </c>
      <c r="AV850" s="69">
        <v>586.19000000000005</v>
      </c>
      <c r="BD850" s="69"/>
      <c r="BE850" s="69"/>
      <c r="CE850" s="94">
        <f t="shared" si="95"/>
        <v>2432.94</v>
      </c>
      <c r="CF850" s="73">
        <f t="shared" si="99"/>
        <v>0</v>
      </c>
      <c r="CG850" s="75">
        <f t="shared" si="98"/>
        <v>6876</v>
      </c>
      <c r="CH850" s="75" t="str">
        <f t="shared" si="98"/>
        <v>صيدلة اكلينيكى</v>
      </c>
    </row>
    <row r="851" spans="1:86" x14ac:dyDescent="0.25">
      <c r="C851" s="82">
        <v>11829</v>
      </c>
      <c r="D851" s="78">
        <v>6877</v>
      </c>
      <c r="E851" s="107" t="s">
        <v>132</v>
      </c>
      <c r="F851" s="69" t="str">
        <f t="shared" si="100"/>
        <v>مكافاه تدريس فصل صيفى</v>
      </c>
      <c r="G851" s="69"/>
      <c r="H851" s="69">
        <v>2022.55</v>
      </c>
      <c r="U851" s="69"/>
      <c r="V851" s="69"/>
      <c r="AS851" s="94">
        <f t="shared" si="80"/>
        <v>2022.55</v>
      </c>
      <c r="AT851" s="69">
        <v>1352.9</v>
      </c>
      <c r="AU851" s="69">
        <v>182.35</v>
      </c>
      <c r="AV851" s="69">
        <v>487.3</v>
      </c>
      <c r="BD851" s="69"/>
      <c r="BE851" s="69"/>
      <c r="CE851" s="94">
        <f t="shared" si="95"/>
        <v>2022.55</v>
      </c>
      <c r="CF851" s="73">
        <f t="shared" si="99"/>
        <v>0</v>
      </c>
      <c r="CG851" s="75">
        <f t="shared" si="98"/>
        <v>6877</v>
      </c>
      <c r="CH851" s="75" t="str">
        <f t="shared" si="98"/>
        <v>صيدلة اكلينيكى</v>
      </c>
    </row>
    <row r="852" spans="1:86" x14ac:dyDescent="0.25">
      <c r="C852" s="82">
        <v>11828</v>
      </c>
      <c r="D852" s="78">
        <v>6878</v>
      </c>
      <c r="E852" s="107" t="s">
        <v>132</v>
      </c>
      <c r="F852" s="69" t="str">
        <f t="shared" si="100"/>
        <v>مكافاه تدريس فصل صيفى</v>
      </c>
      <c r="G852" s="69"/>
      <c r="H852" s="69">
        <v>1800</v>
      </c>
      <c r="U852" s="69"/>
      <c r="V852" s="69"/>
      <c r="AS852" s="94">
        <f t="shared" si="80"/>
        <v>1800</v>
      </c>
      <c r="AT852" s="69">
        <v>1608.1</v>
      </c>
      <c r="AU852" s="69">
        <v>191.9</v>
      </c>
      <c r="BD852" s="69"/>
      <c r="BE852" s="69"/>
      <c r="CE852" s="94">
        <f t="shared" si="95"/>
        <v>1800</v>
      </c>
      <c r="CF852" s="73">
        <f t="shared" si="99"/>
        <v>0</v>
      </c>
      <c r="CG852" s="75">
        <f t="shared" si="98"/>
        <v>6878</v>
      </c>
      <c r="CH852" s="75" t="str">
        <f t="shared" si="98"/>
        <v>صيدلة اكلينيكى</v>
      </c>
    </row>
    <row r="853" spans="1:86" x14ac:dyDescent="0.25">
      <c r="C853" s="82">
        <v>11827</v>
      </c>
      <c r="D853" s="78">
        <v>6879</v>
      </c>
      <c r="E853" s="107" t="s">
        <v>132</v>
      </c>
      <c r="F853" s="69" t="str">
        <f t="shared" si="100"/>
        <v>مكافاه تدريس فصل صيفى</v>
      </c>
      <c r="G853" s="69"/>
      <c r="H853" s="69">
        <v>211.05</v>
      </c>
      <c r="U853" s="69"/>
      <c r="V853" s="69"/>
      <c r="AS853" s="94">
        <f t="shared" si="80"/>
        <v>211.05</v>
      </c>
      <c r="AT853" s="69">
        <v>141.80000000000001</v>
      </c>
      <c r="AU853" s="69">
        <v>18.399999999999999</v>
      </c>
      <c r="AV853" s="69">
        <v>50.85</v>
      </c>
      <c r="BD853" s="69"/>
      <c r="BE853" s="69"/>
      <c r="CE853" s="94">
        <f t="shared" si="95"/>
        <v>211.05</v>
      </c>
      <c r="CF853" s="73">
        <f t="shared" si="99"/>
        <v>0</v>
      </c>
      <c r="CG853" s="75">
        <f t="shared" si="98"/>
        <v>6879</v>
      </c>
      <c r="CH853" s="75" t="str">
        <f t="shared" si="98"/>
        <v>صيدلة اكلينيكى</v>
      </c>
    </row>
    <row r="854" spans="1:86" x14ac:dyDescent="0.25">
      <c r="C854" s="82">
        <v>11826</v>
      </c>
      <c r="D854" s="78">
        <v>6880</v>
      </c>
      <c r="E854" s="107" t="s">
        <v>132</v>
      </c>
      <c r="F854" s="69" t="str">
        <f t="shared" si="100"/>
        <v>مكافاه تدريس فصل صيفى</v>
      </c>
      <c r="G854" s="69"/>
      <c r="H854" s="69">
        <v>9497.25</v>
      </c>
      <c r="U854" s="69"/>
      <c r="V854" s="69"/>
      <c r="AS854" s="94">
        <f t="shared" si="80"/>
        <v>9497.25</v>
      </c>
      <c r="AT854" s="69">
        <v>6350.8</v>
      </c>
      <c r="AU854" s="69">
        <v>858.2</v>
      </c>
      <c r="AV854" s="69">
        <v>2288.25</v>
      </c>
      <c r="BD854" s="69"/>
      <c r="BE854" s="69"/>
      <c r="CE854" s="94">
        <f t="shared" si="95"/>
        <v>9497.25</v>
      </c>
      <c r="CF854" s="73">
        <f t="shared" si="99"/>
        <v>0</v>
      </c>
      <c r="CG854" s="75">
        <f t="shared" si="98"/>
        <v>6880</v>
      </c>
      <c r="CH854" s="75" t="str">
        <f t="shared" si="98"/>
        <v>صيدلة اكلينيكى</v>
      </c>
    </row>
    <row r="855" spans="1:86" x14ac:dyDescent="0.25">
      <c r="C855" s="82">
        <v>11825</v>
      </c>
      <c r="D855" s="78">
        <v>6881</v>
      </c>
      <c r="E855" s="107" t="s">
        <v>132</v>
      </c>
      <c r="F855" s="69" t="str">
        <f t="shared" si="100"/>
        <v>مكافاه تدريس فصل صيفى</v>
      </c>
      <c r="G855" s="69"/>
      <c r="H855" s="69">
        <v>140.69999999999999</v>
      </c>
      <c r="U855" s="69"/>
      <c r="V855" s="69"/>
      <c r="AS855" s="94">
        <f t="shared" si="80"/>
        <v>140.69999999999999</v>
      </c>
      <c r="AT855" s="69">
        <v>94.38</v>
      </c>
      <c r="AU855" s="69">
        <f>12+0.42</f>
        <v>12.42</v>
      </c>
      <c r="AV855" s="69">
        <v>33.9</v>
      </c>
      <c r="BD855" s="69"/>
      <c r="BE855" s="69"/>
      <c r="CE855" s="94">
        <f t="shared" si="95"/>
        <v>140.69999999999999</v>
      </c>
      <c r="CF855" s="73">
        <f t="shared" si="99"/>
        <v>0</v>
      </c>
      <c r="CG855" s="75">
        <f t="shared" si="98"/>
        <v>6881</v>
      </c>
      <c r="CH855" s="75" t="str">
        <f t="shared" si="98"/>
        <v>صيدلة اكلينيكى</v>
      </c>
    </row>
    <row r="856" spans="1:86" x14ac:dyDescent="0.25">
      <c r="C856" s="82">
        <v>11824</v>
      </c>
      <c r="D856" s="78">
        <v>6882</v>
      </c>
      <c r="E856" s="107" t="s">
        <v>132</v>
      </c>
      <c r="F856" s="69" t="str">
        <f t="shared" si="100"/>
        <v>مكافاه تدريس فصل صيفى</v>
      </c>
      <c r="G856" s="69"/>
      <c r="H856" s="69">
        <v>221731</v>
      </c>
      <c r="U856" s="69"/>
      <c r="V856" s="69"/>
      <c r="AS856" s="94">
        <f t="shared" si="80"/>
        <v>221731</v>
      </c>
      <c r="AT856" s="69">
        <v>182319.16</v>
      </c>
      <c r="AU856" s="69">
        <v>22701.4</v>
      </c>
      <c r="AV856" s="69">
        <v>16710.439999999999</v>
      </c>
      <c r="BD856" s="69"/>
      <c r="BE856" s="69"/>
      <c r="CE856" s="94">
        <f t="shared" si="95"/>
        <v>221731</v>
      </c>
      <c r="CF856" s="73">
        <f t="shared" si="99"/>
        <v>0</v>
      </c>
      <c r="CG856" s="75">
        <f t="shared" si="98"/>
        <v>6882</v>
      </c>
      <c r="CH856" s="75" t="str">
        <f t="shared" si="98"/>
        <v>صيدلة اكلينيكى</v>
      </c>
    </row>
    <row r="857" spans="1:86" x14ac:dyDescent="0.25">
      <c r="C857" s="82">
        <v>11823</v>
      </c>
      <c r="D857" s="78">
        <v>6883</v>
      </c>
      <c r="E857" s="107" t="s">
        <v>132</v>
      </c>
      <c r="F857" s="69" t="str">
        <f t="shared" si="100"/>
        <v>مكافاه تدريس فصل صيفى</v>
      </c>
      <c r="G857" s="69"/>
      <c r="H857" s="69">
        <v>2391.9</v>
      </c>
      <c r="U857" s="69"/>
      <c r="V857" s="69"/>
      <c r="AS857" s="94">
        <f t="shared" si="80"/>
        <v>2391.9</v>
      </c>
      <c r="AT857" s="69">
        <v>1599.05</v>
      </c>
      <c r="AU857" s="69">
        <v>216.55</v>
      </c>
      <c r="AV857" s="69">
        <v>576.29999999999995</v>
      </c>
      <c r="BD857" s="69"/>
      <c r="BE857" s="69"/>
      <c r="CE857" s="94">
        <f t="shared" si="95"/>
        <v>2391.8999999999996</v>
      </c>
      <c r="CF857" s="73">
        <f t="shared" si="99"/>
        <v>0</v>
      </c>
      <c r="CG857" s="75">
        <f t="shared" si="98"/>
        <v>6883</v>
      </c>
      <c r="CH857" s="75" t="str">
        <f t="shared" si="98"/>
        <v>صيدلة اكلينيكى</v>
      </c>
    </row>
    <row r="858" spans="1:86" x14ac:dyDescent="0.25">
      <c r="C858" s="82">
        <v>11822</v>
      </c>
      <c r="D858" s="78">
        <v>6884</v>
      </c>
      <c r="E858" s="107" t="s">
        <v>132</v>
      </c>
      <c r="F858" s="69" t="s">
        <v>2490</v>
      </c>
      <c r="G858" s="69"/>
      <c r="H858" s="69">
        <v>1172.5</v>
      </c>
      <c r="U858" s="69"/>
      <c r="V858" s="69"/>
      <c r="AS858" s="94">
        <f t="shared" si="80"/>
        <v>1172.5</v>
      </c>
      <c r="AT858" s="69">
        <v>784.1</v>
      </c>
      <c r="AU858" s="69">
        <v>105.9</v>
      </c>
      <c r="AV858" s="69">
        <v>282.5</v>
      </c>
      <c r="BD858" s="69"/>
      <c r="BE858" s="69"/>
      <c r="CE858" s="94">
        <f t="shared" si="95"/>
        <v>1172.5</v>
      </c>
      <c r="CF858" s="73">
        <f t="shared" si="99"/>
        <v>0</v>
      </c>
      <c r="CG858" s="75">
        <f t="shared" si="98"/>
        <v>6884</v>
      </c>
      <c r="CH858" s="75" t="str">
        <f t="shared" si="98"/>
        <v>صيدلة اكلينيكى</v>
      </c>
    </row>
    <row r="859" spans="1:86" x14ac:dyDescent="0.25">
      <c r="C859" s="82">
        <v>11821</v>
      </c>
      <c r="D859" s="78">
        <v>6885</v>
      </c>
      <c r="E859" s="107" t="s">
        <v>132</v>
      </c>
      <c r="F859" s="69" t="s">
        <v>2491</v>
      </c>
      <c r="G859" s="69"/>
      <c r="H859" s="69">
        <v>586.25</v>
      </c>
      <c r="U859" s="69"/>
      <c r="V859" s="69"/>
      <c r="AS859" s="94">
        <f t="shared" si="80"/>
        <v>586.25</v>
      </c>
      <c r="AT859" s="69">
        <v>392.4</v>
      </c>
      <c r="AU859" s="69">
        <v>52.6</v>
      </c>
      <c r="AV859" s="69">
        <v>141.25</v>
      </c>
      <c r="BD859" s="69"/>
      <c r="BE859" s="69"/>
      <c r="CE859" s="94">
        <f t="shared" si="95"/>
        <v>586.25</v>
      </c>
      <c r="CF859" s="73">
        <f t="shared" si="99"/>
        <v>0</v>
      </c>
      <c r="CG859" s="75">
        <f t="shared" si="98"/>
        <v>6885</v>
      </c>
      <c r="CH859" s="75" t="str">
        <f t="shared" si="98"/>
        <v>صيدلة اكلينيكى</v>
      </c>
    </row>
    <row r="860" spans="1:86" x14ac:dyDescent="0.25">
      <c r="C860" s="82">
        <v>11820</v>
      </c>
      <c r="D860" s="78">
        <v>6886</v>
      </c>
      <c r="E860" s="107" t="s">
        <v>132</v>
      </c>
      <c r="F860" s="69" t="s">
        <v>2492</v>
      </c>
      <c r="G860" s="69"/>
      <c r="H860" s="69">
        <v>293.12</v>
      </c>
      <c r="U860" s="69"/>
      <c r="V860" s="69"/>
      <c r="AS860" s="94">
        <f t="shared" si="80"/>
        <v>293.12</v>
      </c>
      <c r="AT860" s="69">
        <v>196.45</v>
      </c>
      <c r="AU860" s="69">
        <v>26.05</v>
      </c>
      <c r="AV860" s="69">
        <v>70.62</v>
      </c>
      <c r="BD860" s="69"/>
      <c r="BE860" s="69"/>
      <c r="CE860" s="94">
        <f t="shared" si="95"/>
        <v>293.12</v>
      </c>
      <c r="CF860" s="73">
        <f t="shared" si="99"/>
        <v>0</v>
      </c>
      <c r="CG860" s="75">
        <f t="shared" si="98"/>
        <v>6886</v>
      </c>
      <c r="CH860" s="75" t="str">
        <f t="shared" si="98"/>
        <v>صيدلة اكلينيكى</v>
      </c>
    </row>
    <row r="861" spans="1:86" x14ac:dyDescent="0.25">
      <c r="C861" s="82">
        <v>11819</v>
      </c>
      <c r="D861" s="110">
        <v>6887</v>
      </c>
      <c r="E861" s="107" t="s">
        <v>132</v>
      </c>
      <c r="F861" s="69" t="s">
        <v>2493</v>
      </c>
      <c r="G861" s="69"/>
      <c r="H861" s="69">
        <v>351.75</v>
      </c>
      <c r="U861" s="69"/>
      <c r="V861" s="69"/>
      <c r="AS861" s="94">
        <f t="shared" si="80"/>
        <v>351.75</v>
      </c>
      <c r="AT861" s="69">
        <v>235.55</v>
      </c>
      <c r="AU861" s="69">
        <v>31.45</v>
      </c>
      <c r="AV861" s="69">
        <v>84.75</v>
      </c>
      <c r="BD861" s="69"/>
      <c r="BE861" s="69"/>
      <c r="CE861" s="94">
        <f t="shared" si="95"/>
        <v>351.75</v>
      </c>
      <c r="CF861" s="73">
        <f t="shared" si="99"/>
        <v>0</v>
      </c>
      <c r="CG861" s="75">
        <f t="shared" si="98"/>
        <v>6887</v>
      </c>
      <c r="CH861" s="75" t="str">
        <f t="shared" si="98"/>
        <v>صيدلة اكلينيكى</v>
      </c>
    </row>
    <row r="862" spans="1:86" x14ac:dyDescent="0.25">
      <c r="C862" s="82">
        <v>11818</v>
      </c>
      <c r="D862" s="78">
        <v>6888</v>
      </c>
      <c r="E862" s="107" t="s">
        <v>132</v>
      </c>
      <c r="F862" s="69" t="s">
        <v>2494</v>
      </c>
      <c r="G862" s="69"/>
      <c r="H862" s="69">
        <v>1524.25</v>
      </c>
      <c r="U862" s="69"/>
      <c r="V862" s="69"/>
      <c r="AS862" s="94">
        <f t="shared" si="80"/>
        <v>1524.25</v>
      </c>
      <c r="AT862" s="69">
        <v>1018.7</v>
      </c>
      <c r="AU862" s="69">
        <v>138.30000000000001</v>
      </c>
      <c r="AV862" s="69">
        <v>367.25</v>
      </c>
      <c r="BD862" s="69"/>
      <c r="BE862" s="69"/>
      <c r="CE862" s="94">
        <f t="shared" si="95"/>
        <v>1524.25</v>
      </c>
      <c r="CF862" s="73">
        <f t="shared" si="99"/>
        <v>0</v>
      </c>
      <c r="CG862" s="75">
        <f t="shared" si="98"/>
        <v>6888</v>
      </c>
      <c r="CH862" s="75" t="str">
        <f t="shared" si="98"/>
        <v>صيدلة اكلينيكى</v>
      </c>
    </row>
    <row r="863" spans="1:86" x14ac:dyDescent="0.25">
      <c r="A863" s="69" t="s">
        <v>1475</v>
      </c>
      <c r="C863" s="82">
        <v>11885</v>
      </c>
      <c r="D863" s="78">
        <v>6889</v>
      </c>
      <c r="E863" s="107" t="s">
        <v>132</v>
      </c>
      <c r="F863" s="69" t="s">
        <v>2495</v>
      </c>
      <c r="G863" s="69"/>
      <c r="H863" s="69">
        <v>3165.75</v>
      </c>
      <c r="U863" s="69"/>
      <c r="V863" s="69"/>
      <c r="AS863" s="94">
        <f t="shared" si="80"/>
        <v>3165.75</v>
      </c>
      <c r="AT863" s="69">
        <v>2179.4699999999998</v>
      </c>
      <c r="AU863" s="69">
        <f>17.65+55.88</f>
        <v>73.53</v>
      </c>
      <c r="AV863" s="69">
        <v>762.75</v>
      </c>
      <c r="AW863" s="69">
        <v>150</v>
      </c>
      <c r="BD863" s="69"/>
      <c r="BE863" s="69"/>
      <c r="CE863" s="94">
        <f t="shared" ref="CE863:CE870" si="101">SUM(AT863:CD863)</f>
        <v>3165.75</v>
      </c>
      <c r="CF863" s="73">
        <f t="shared" si="99"/>
        <v>0</v>
      </c>
      <c r="CG863" s="75">
        <f t="shared" si="98"/>
        <v>6889</v>
      </c>
      <c r="CH863" s="75" t="str">
        <f t="shared" si="98"/>
        <v>صيدلة اكلينيكى</v>
      </c>
    </row>
    <row r="864" spans="1:86" x14ac:dyDescent="0.25">
      <c r="C864" s="82">
        <v>11544</v>
      </c>
      <c r="D864" s="78">
        <v>6890</v>
      </c>
      <c r="E864" s="107" t="s">
        <v>132</v>
      </c>
      <c r="F864" s="69" t="s">
        <v>425</v>
      </c>
      <c r="G864" s="69"/>
      <c r="H864" s="69">
        <v>879.38</v>
      </c>
      <c r="U864" s="69"/>
      <c r="V864" s="69"/>
      <c r="AS864" s="94">
        <f t="shared" si="80"/>
        <v>879.38</v>
      </c>
      <c r="AT864" s="69">
        <v>588.15</v>
      </c>
      <c r="AU864" s="69">
        <f>4.35+75</f>
        <v>79.349999999999994</v>
      </c>
      <c r="AV864" s="69">
        <v>211.88</v>
      </c>
      <c r="BD864" s="69"/>
      <c r="BE864" s="69"/>
      <c r="CE864" s="94">
        <f t="shared" si="101"/>
        <v>879.38</v>
      </c>
      <c r="CF864" s="73">
        <f t="shared" si="99"/>
        <v>0</v>
      </c>
      <c r="CG864" s="75">
        <f t="shared" si="98"/>
        <v>6890</v>
      </c>
      <c r="CH864" s="75" t="str">
        <f t="shared" si="98"/>
        <v>صيدلة اكلينيكى</v>
      </c>
    </row>
    <row r="865" spans="1:86" x14ac:dyDescent="0.25">
      <c r="A865" s="69" t="s">
        <v>1179</v>
      </c>
      <c r="C865" s="82">
        <v>11546</v>
      </c>
      <c r="D865" s="78">
        <v>6891</v>
      </c>
      <c r="E865" s="107" t="s">
        <v>132</v>
      </c>
      <c r="F865" s="69" t="s">
        <v>1562</v>
      </c>
      <c r="G865" s="69"/>
      <c r="H865" s="69">
        <v>469</v>
      </c>
      <c r="U865" s="69"/>
      <c r="V865" s="69"/>
      <c r="AS865" s="94">
        <f t="shared" si="80"/>
        <v>469</v>
      </c>
      <c r="AT865" s="69">
        <v>314</v>
      </c>
      <c r="AU865" s="69">
        <v>42</v>
      </c>
      <c r="AV865" s="69">
        <v>113</v>
      </c>
      <c r="BD865" s="69"/>
      <c r="BE865" s="69"/>
      <c r="CE865" s="94">
        <f t="shared" si="101"/>
        <v>469</v>
      </c>
      <c r="CF865" s="73">
        <f t="shared" si="99"/>
        <v>0</v>
      </c>
      <c r="CG865" s="75">
        <f t="shared" si="98"/>
        <v>6891</v>
      </c>
      <c r="CH865" s="75" t="str">
        <f t="shared" si="98"/>
        <v>صيدلة اكلينيكى</v>
      </c>
    </row>
    <row r="866" spans="1:86" x14ac:dyDescent="0.25">
      <c r="C866" s="82">
        <v>11550</v>
      </c>
      <c r="D866" s="78">
        <v>6892</v>
      </c>
      <c r="E866" s="107" t="s">
        <v>132</v>
      </c>
      <c r="F866" s="69" t="s">
        <v>1562</v>
      </c>
      <c r="G866" s="69"/>
      <c r="H866" s="69">
        <v>469</v>
      </c>
      <c r="U866" s="69"/>
      <c r="V866" s="69"/>
      <c r="AS866" s="94">
        <f t="shared" si="80"/>
        <v>469</v>
      </c>
      <c r="AT866" s="69">
        <v>314</v>
      </c>
      <c r="AU866" s="69">
        <v>42</v>
      </c>
      <c r="AV866" s="69">
        <v>113</v>
      </c>
      <c r="BD866" s="69"/>
      <c r="BE866" s="69"/>
      <c r="CE866" s="94">
        <f t="shared" si="101"/>
        <v>469</v>
      </c>
      <c r="CF866" s="73">
        <f t="shared" si="99"/>
        <v>0</v>
      </c>
      <c r="CG866" s="75">
        <f t="shared" si="98"/>
        <v>6892</v>
      </c>
      <c r="CH866" s="75" t="str">
        <f t="shared" si="98"/>
        <v>صيدلة اكلينيكى</v>
      </c>
    </row>
    <row r="867" spans="1:86" x14ac:dyDescent="0.25">
      <c r="C867" s="82">
        <v>11553</v>
      </c>
      <c r="D867" s="78">
        <v>6893</v>
      </c>
      <c r="E867" s="107" t="s">
        <v>132</v>
      </c>
      <c r="F867" s="69" t="s">
        <v>1562</v>
      </c>
      <c r="G867" s="69"/>
      <c r="H867" s="69">
        <v>469</v>
      </c>
      <c r="U867" s="69"/>
      <c r="V867" s="69"/>
      <c r="AS867" s="94">
        <f t="shared" si="80"/>
        <v>469</v>
      </c>
      <c r="AT867" s="69">
        <v>314</v>
      </c>
      <c r="AU867" s="69">
        <v>42</v>
      </c>
      <c r="AV867" s="69">
        <v>113</v>
      </c>
      <c r="BD867" s="69"/>
      <c r="BE867" s="69"/>
      <c r="CE867" s="94">
        <f t="shared" si="101"/>
        <v>469</v>
      </c>
      <c r="CF867" s="73">
        <f t="shared" si="99"/>
        <v>0</v>
      </c>
      <c r="CG867" s="75">
        <f t="shared" si="98"/>
        <v>6893</v>
      </c>
      <c r="CH867" s="75" t="str">
        <f t="shared" si="98"/>
        <v>صيدلة اكلينيكى</v>
      </c>
    </row>
    <row r="868" spans="1:86" x14ac:dyDescent="0.25">
      <c r="C868" s="82">
        <v>11551</v>
      </c>
      <c r="D868" s="78">
        <v>6894</v>
      </c>
      <c r="E868" s="107" t="s">
        <v>132</v>
      </c>
      <c r="F868" s="69" t="s">
        <v>1562</v>
      </c>
      <c r="G868" s="69"/>
      <c r="H868" s="69">
        <v>1900</v>
      </c>
      <c r="U868" s="69"/>
      <c r="V868" s="69"/>
      <c r="AS868" s="94">
        <f t="shared" si="80"/>
        <v>1900</v>
      </c>
      <c r="AT868" s="69">
        <v>1434.32</v>
      </c>
      <c r="AU868" s="69">
        <v>370.68</v>
      </c>
      <c r="AW868" s="69">
        <v>95</v>
      </c>
      <c r="BD868" s="69"/>
      <c r="BE868" s="69"/>
      <c r="CE868" s="94">
        <f t="shared" si="101"/>
        <v>1900</v>
      </c>
      <c r="CF868" s="73">
        <f t="shared" si="99"/>
        <v>0</v>
      </c>
      <c r="CG868" s="75">
        <f t="shared" si="98"/>
        <v>6894</v>
      </c>
      <c r="CH868" s="75" t="str">
        <f t="shared" si="98"/>
        <v>صيدلة اكلينيكى</v>
      </c>
    </row>
    <row r="869" spans="1:86" x14ac:dyDescent="0.25">
      <c r="C869" s="82">
        <v>11548</v>
      </c>
      <c r="D869" s="78">
        <v>6895</v>
      </c>
      <c r="E869" s="107" t="s">
        <v>132</v>
      </c>
      <c r="F869" s="69" t="s">
        <v>1562</v>
      </c>
      <c r="G869" s="69"/>
      <c r="H869" s="69">
        <v>1899.98</v>
      </c>
      <c r="U869" s="69"/>
      <c r="V869" s="69"/>
      <c r="AS869" s="94">
        <f t="shared" si="80"/>
        <v>1899.98</v>
      </c>
      <c r="AT869" s="69">
        <v>1469.38</v>
      </c>
      <c r="AU869" s="69">
        <v>335.61</v>
      </c>
      <c r="AW869" s="69">
        <v>94.99</v>
      </c>
      <c r="BD869" s="69"/>
      <c r="BE869" s="69"/>
      <c r="CE869" s="94">
        <f t="shared" si="101"/>
        <v>1899.9800000000002</v>
      </c>
      <c r="CF869" s="73">
        <f t="shared" si="99"/>
        <v>0</v>
      </c>
      <c r="CG869" s="75">
        <f t="shared" si="98"/>
        <v>6895</v>
      </c>
      <c r="CH869" s="75" t="str">
        <f t="shared" si="98"/>
        <v>صيدلة اكلينيكى</v>
      </c>
    </row>
    <row r="870" spans="1:86" x14ac:dyDescent="0.25">
      <c r="C870" s="82">
        <v>11541</v>
      </c>
      <c r="D870" s="78">
        <v>6896</v>
      </c>
      <c r="E870" s="107" t="s">
        <v>132</v>
      </c>
      <c r="F870" s="69" t="str">
        <f>+F864</f>
        <v>مكافاه مناقشه دكتوراه</v>
      </c>
      <c r="G870" s="69"/>
      <c r="H870" s="69">
        <v>2500</v>
      </c>
      <c r="U870" s="69"/>
      <c r="V870" s="69"/>
      <c r="AS870" s="94">
        <f t="shared" si="80"/>
        <v>2500</v>
      </c>
      <c r="AT870" s="69">
        <v>1885.88</v>
      </c>
      <c r="AU870" s="69">
        <v>489.12</v>
      </c>
      <c r="AW870" s="69">
        <v>125</v>
      </c>
      <c r="BD870" s="69"/>
      <c r="BE870" s="69"/>
      <c r="CE870" s="94">
        <f t="shared" si="101"/>
        <v>2500</v>
      </c>
      <c r="CF870" s="73">
        <f t="shared" si="99"/>
        <v>0</v>
      </c>
      <c r="CG870" s="75">
        <f t="shared" si="98"/>
        <v>6896</v>
      </c>
      <c r="CH870" s="75" t="str">
        <f t="shared" si="98"/>
        <v>صيدلة اكلينيكى</v>
      </c>
    </row>
    <row r="871" spans="1:86" x14ac:dyDescent="0.25">
      <c r="C871" s="82">
        <v>11540</v>
      </c>
      <c r="D871" s="78">
        <v>6897</v>
      </c>
      <c r="E871" s="107" t="s">
        <v>132</v>
      </c>
      <c r="F871" s="69" t="str">
        <f>+F870</f>
        <v>مكافاه مناقشه دكتوراه</v>
      </c>
      <c r="G871" s="69"/>
      <c r="H871" s="69">
        <v>1000</v>
      </c>
      <c r="U871" s="69"/>
      <c r="V871" s="69"/>
      <c r="AS871" s="94">
        <f t="shared" si="80"/>
        <v>1000</v>
      </c>
      <c r="AT871" s="69">
        <v>754.68</v>
      </c>
      <c r="AU871" s="69">
        <v>195.32</v>
      </c>
      <c r="AW871" s="69">
        <v>50</v>
      </c>
      <c r="BD871" s="69"/>
      <c r="BE871" s="69"/>
      <c r="CE871" s="94">
        <f t="shared" ref="CE871:CE872" si="102">SUM(AT871:CD871)</f>
        <v>1000</v>
      </c>
      <c r="CF871" s="73">
        <f t="shared" si="99"/>
        <v>0</v>
      </c>
      <c r="CG871" s="75">
        <f t="shared" si="98"/>
        <v>6897</v>
      </c>
      <c r="CH871" s="75" t="str">
        <f t="shared" si="98"/>
        <v>صيدلة اكلينيكى</v>
      </c>
    </row>
    <row r="872" spans="1:86" x14ac:dyDescent="0.25">
      <c r="C872" s="82">
        <v>11555</v>
      </c>
      <c r="D872" s="78">
        <v>6898</v>
      </c>
      <c r="E872" s="107" t="s">
        <v>132</v>
      </c>
      <c r="F872" s="69" t="str">
        <f>+F868</f>
        <v>مكافاه مناقشه ماجستير</v>
      </c>
      <c r="G872" s="69"/>
      <c r="H872" s="69">
        <v>1900</v>
      </c>
      <c r="U872" s="69"/>
      <c r="V872" s="69"/>
      <c r="AS872" s="94">
        <f t="shared" si="80"/>
        <v>1900</v>
      </c>
      <c r="AT872" s="69">
        <v>1434.32</v>
      </c>
      <c r="AU872" s="69">
        <v>370.68</v>
      </c>
      <c r="AW872" s="69">
        <v>95</v>
      </c>
      <c r="BD872" s="69"/>
      <c r="BE872" s="69"/>
      <c r="CE872" s="94">
        <f t="shared" si="102"/>
        <v>1900</v>
      </c>
      <c r="CF872" s="73">
        <f t="shared" si="99"/>
        <v>0</v>
      </c>
      <c r="CG872" s="75">
        <f t="shared" si="98"/>
        <v>6898</v>
      </c>
      <c r="CH872" s="75" t="str">
        <f t="shared" si="98"/>
        <v>صيدلة اكلينيكى</v>
      </c>
    </row>
    <row r="873" spans="1:86" x14ac:dyDescent="0.25">
      <c r="C873" s="82">
        <v>11817</v>
      </c>
      <c r="D873" s="78">
        <v>6899</v>
      </c>
      <c r="E873" s="107" t="s">
        <v>132</v>
      </c>
      <c r="F873" s="69" t="str">
        <f>+F862</f>
        <v>مكافاه لجنه البرامج الجديده</v>
      </c>
      <c r="G873" s="69"/>
      <c r="H873" s="69">
        <v>1758.75</v>
      </c>
      <c r="U873" s="69"/>
      <c r="V873" s="69"/>
      <c r="AS873" s="94">
        <f t="shared" si="80"/>
        <v>1758.75</v>
      </c>
      <c r="AT873" s="69">
        <v>1175.3499999999999</v>
      </c>
      <c r="AU873" s="69">
        <v>159.65</v>
      </c>
      <c r="AV873" s="69">
        <v>423.75</v>
      </c>
      <c r="BD873" s="69"/>
      <c r="BE873" s="69"/>
      <c r="CE873" s="94">
        <f t="shared" si="95"/>
        <v>1758.75</v>
      </c>
      <c r="CF873" s="73">
        <f t="shared" si="99"/>
        <v>0</v>
      </c>
      <c r="CG873" s="75">
        <f t="shared" si="98"/>
        <v>6899</v>
      </c>
      <c r="CH873" s="75" t="str">
        <f t="shared" si="98"/>
        <v>صيدلة اكلينيكى</v>
      </c>
    </row>
    <row r="874" spans="1:86" x14ac:dyDescent="0.25">
      <c r="C874" s="82">
        <v>11816</v>
      </c>
      <c r="D874" s="78">
        <v>6900</v>
      </c>
      <c r="E874" s="107" t="s">
        <v>132</v>
      </c>
      <c r="F874" s="69" t="s">
        <v>2496</v>
      </c>
      <c r="G874" s="69"/>
      <c r="H874" s="69">
        <v>33004.379999999997</v>
      </c>
      <c r="U874" s="69"/>
      <c r="V874" s="69"/>
      <c r="AS874" s="94">
        <f t="shared" si="80"/>
        <v>33004.379999999997</v>
      </c>
      <c r="AT874" s="69">
        <v>24872.93</v>
      </c>
      <c r="AU874" s="69">
        <v>3211.2</v>
      </c>
      <c r="AV874" s="69">
        <v>4920.25</v>
      </c>
      <c r="BD874" s="69"/>
      <c r="BE874" s="69"/>
      <c r="CE874" s="94">
        <f t="shared" si="95"/>
        <v>33004.380000000005</v>
      </c>
      <c r="CF874" s="73">
        <f t="shared" si="99"/>
        <v>0</v>
      </c>
      <c r="CG874" s="75">
        <f t="shared" si="98"/>
        <v>6900</v>
      </c>
      <c r="CH874" s="75" t="str">
        <f t="shared" si="98"/>
        <v>صيدلة اكلينيكى</v>
      </c>
    </row>
    <row r="875" spans="1:86" x14ac:dyDescent="0.25">
      <c r="C875" s="82">
        <v>11815</v>
      </c>
      <c r="D875" s="78">
        <v>6901</v>
      </c>
      <c r="E875" s="107" t="s">
        <v>132</v>
      </c>
      <c r="F875" s="69" t="s">
        <v>2486</v>
      </c>
      <c r="G875" s="69"/>
      <c r="H875" s="69">
        <v>9637.65</v>
      </c>
      <c r="U875" s="69"/>
      <c r="V875" s="69"/>
      <c r="AS875" s="94">
        <f t="shared" si="80"/>
        <v>9637.65</v>
      </c>
      <c r="AT875" s="69">
        <v>7251.37</v>
      </c>
      <c r="AU875" s="69">
        <v>932.6</v>
      </c>
      <c r="AV875" s="69">
        <v>1453.68</v>
      </c>
      <c r="BD875" s="69"/>
      <c r="BE875" s="69"/>
      <c r="CE875" s="94">
        <f t="shared" si="95"/>
        <v>9637.65</v>
      </c>
      <c r="CF875" s="73">
        <f t="shared" si="99"/>
        <v>0</v>
      </c>
      <c r="CG875" s="75">
        <f t="shared" si="98"/>
        <v>6901</v>
      </c>
      <c r="CH875" s="75" t="str">
        <f t="shared" si="98"/>
        <v>صيدلة اكلينيكى</v>
      </c>
    </row>
    <row r="876" spans="1:86" x14ac:dyDescent="0.25">
      <c r="C876" s="82">
        <v>11814</v>
      </c>
      <c r="D876" s="78">
        <v>6902</v>
      </c>
      <c r="E876" s="107" t="s">
        <v>132</v>
      </c>
      <c r="F876" s="69" t="s">
        <v>2486</v>
      </c>
      <c r="G876" s="69"/>
      <c r="H876" s="69">
        <v>879.38</v>
      </c>
      <c r="U876" s="69"/>
      <c r="V876" s="69"/>
      <c r="AS876" s="94">
        <f t="shared" si="80"/>
        <v>879.38</v>
      </c>
      <c r="AT876" s="69">
        <v>588.15</v>
      </c>
      <c r="AU876" s="69">
        <v>79.349999999999994</v>
      </c>
      <c r="AV876" s="69">
        <v>211.88</v>
      </c>
      <c r="BD876" s="69"/>
      <c r="BE876" s="69"/>
      <c r="CE876" s="94">
        <f t="shared" si="95"/>
        <v>879.38</v>
      </c>
      <c r="CF876" s="73">
        <f t="shared" si="99"/>
        <v>0</v>
      </c>
      <c r="CG876" s="75">
        <f t="shared" si="98"/>
        <v>6902</v>
      </c>
      <c r="CH876" s="75" t="str">
        <f t="shared" si="98"/>
        <v>صيدلة اكلينيكى</v>
      </c>
    </row>
    <row r="877" spans="1:86" x14ac:dyDescent="0.25">
      <c r="C877" s="82">
        <v>11813</v>
      </c>
      <c r="D877" s="78">
        <v>6903</v>
      </c>
      <c r="E877" s="107" t="s">
        <v>132</v>
      </c>
      <c r="F877" s="69" t="s">
        <v>2486</v>
      </c>
      <c r="G877" s="69"/>
      <c r="H877" s="69">
        <v>586.25</v>
      </c>
      <c r="U877" s="69"/>
      <c r="V877" s="69"/>
      <c r="AS877" s="94">
        <f t="shared" si="80"/>
        <v>586.25</v>
      </c>
      <c r="AT877" s="69">
        <v>392.4</v>
      </c>
      <c r="AU877" s="69">
        <f>50+2.6</f>
        <v>52.6</v>
      </c>
      <c r="AV877" s="69">
        <v>141.25</v>
      </c>
      <c r="BD877" s="69"/>
      <c r="BE877" s="69"/>
      <c r="CE877" s="94">
        <f t="shared" si="95"/>
        <v>586.25</v>
      </c>
      <c r="CF877" s="73">
        <f t="shared" si="99"/>
        <v>0</v>
      </c>
      <c r="CG877" s="75">
        <f t="shared" si="98"/>
        <v>6903</v>
      </c>
      <c r="CH877" s="75" t="str">
        <f t="shared" si="98"/>
        <v>صيدلة اكلينيكى</v>
      </c>
    </row>
    <row r="878" spans="1:86" x14ac:dyDescent="0.25">
      <c r="C878" s="82">
        <v>11812</v>
      </c>
      <c r="D878" s="78">
        <v>6904</v>
      </c>
      <c r="E878" s="107" t="s">
        <v>132</v>
      </c>
      <c r="F878" s="69" t="s">
        <v>2486</v>
      </c>
      <c r="G878" s="69"/>
      <c r="H878" s="69">
        <v>586.25</v>
      </c>
      <c r="U878" s="69"/>
      <c r="V878" s="69"/>
      <c r="AS878" s="94">
        <f t="shared" si="80"/>
        <v>586.25</v>
      </c>
      <c r="AT878" s="69">
        <v>392.4</v>
      </c>
      <c r="AU878" s="69">
        <v>52.6</v>
      </c>
      <c r="AV878" s="69">
        <v>141.25</v>
      </c>
      <c r="BD878" s="69"/>
      <c r="BE878" s="69"/>
      <c r="CE878" s="94">
        <f t="shared" si="95"/>
        <v>586.25</v>
      </c>
      <c r="CF878" s="73">
        <f t="shared" si="99"/>
        <v>0</v>
      </c>
      <c r="CG878" s="75">
        <f t="shared" si="98"/>
        <v>6904</v>
      </c>
      <c r="CH878" s="75" t="str">
        <f t="shared" si="98"/>
        <v>صيدلة اكلينيكى</v>
      </c>
    </row>
    <row r="879" spans="1:86" x14ac:dyDescent="0.25">
      <c r="C879" s="82">
        <v>11811</v>
      </c>
      <c r="D879" s="78">
        <v>6905</v>
      </c>
      <c r="E879" s="107" t="s">
        <v>132</v>
      </c>
      <c r="F879" s="69" t="s">
        <v>2497</v>
      </c>
      <c r="G879" s="69"/>
      <c r="H879" s="69">
        <v>3326.49</v>
      </c>
      <c r="U879" s="69"/>
      <c r="V879" s="69"/>
      <c r="AS879" s="94">
        <f t="shared" si="80"/>
        <v>3326.49</v>
      </c>
      <c r="AT879" s="69">
        <v>2929.2</v>
      </c>
      <c r="AU879" s="69">
        <v>353.9</v>
      </c>
      <c r="AV879" s="69">
        <v>43.39</v>
      </c>
      <c r="BD879" s="69"/>
      <c r="BE879" s="69"/>
      <c r="CE879" s="94">
        <f t="shared" si="95"/>
        <v>3326.49</v>
      </c>
      <c r="CF879" s="73">
        <f t="shared" si="99"/>
        <v>0</v>
      </c>
      <c r="CG879" s="75">
        <f t="shared" si="98"/>
        <v>6905</v>
      </c>
      <c r="CH879" s="75" t="str">
        <f t="shared" si="98"/>
        <v>صيدلة اكلينيكى</v>
      </c>
    </row>
    <row r="880" spans="1:86" x14ac:dyDescent="0.25">
      <c r="C880" s="82">
        <v>11810</v>
      </c>
      <c r="D880" s="78">
        <v>6906</v>
      </c>
      <c r="E880" s="107" t="s">
        <v>132</v>
      </c>
      <c r="F880" s="69" t="s">
        <v>2498</v>
      </c>
      <c r="G880" s="69"/>
      <c r="H880" s="69">
        <v>3106.25</v>
      </c>
      <c r="U880" s="69"/>
      <c r="V880" s="69"/>
      <c r="AS880" s="94">
        <f t="shared" si="80"/>
        <v>3106.25</v>
      </c>
      <c r="AT880" s="69">
        <v>2642.2</v>
      </c>
      <c r="AU880" s="69">
        <v>322.8</v>
      </c>
      <c r="AV880" s="69">
        <v>141.25</v>
      </c>
      <c r="BD880" s="69"/>
      <c r="BE880" s="69"/>
      <c r="CE880" s="94">
        <f t="shared" si="95"/>
        <v>3106.25</v>
      </c>
      <c r="CF880" s="73">
        <f t="shared" si="99"/>
        <v>0</v>
      </c>
      <c r="CG880" s="75">
        <f t="shared" si="98"/>
        <v>6906</v>
      </c>
      <c r="CH880" s="75" t="str">
        <f t="shared" si="98"/>
        <v>صيدلة اكلينيكى</v>
      </c>
    </row>
    <row r="881" spans="3:86" x14ac:dyDescent="0.25">
      <c r="C881" s="82">
        <v>11809</v>
      </c>
      <c r="D881" s="78">
        <v>6907</v>
      </c>
      <c r="E881" s="107" t="s">
        <v>132</v>
      </c>
      <c r="F881" s="69" t="s">
        <v>2499</v>
      </c>
      <c r="G881" s="69"/>
      <c r="H881" s="69">
        <v>25398.45</v>
      </c>
      <c r="U881" s="69"/>
      <c r="V881" s="69"/>
      <c r="AS881" s="94">
        <f t="shared" si="80"/>
        <v>25398.45</v>
      </c>
      <c r="AT881" s="69">
        <v>22356.46</v>
      </c>
      <c r="AU881" s="69">
        <v>2717</v>
      </c>
      <c r="AV881" s="69">
        <v>324.99</v>
      </c>
      <c r="BD881" s="69"/>
      <c r="BE881" s="69"/>
      <c r="CE881" s="94">
        <f t="shared" si="95"/>
        <v>25398.45</v>
      </c>
      <c r="CF881" s="73">
        <f t="shared" si="99"/>
        <v>0</v>
      </c>
      <c r="CG881" s="75">
        <f t="shared" si="98"/>
        <v>6907</v>
      </c>
      <c r="CH881" s="75" t="str">
        <f t="shared" si="98"/>
        <v>صيدلة اكلينيكى</v>
      </c>
    </row>
    <row r="882" spans="3:86" x14ac:dyDescent="0.25">
      <c r="C882" s="82"/>
      <c r="D882" s="78">
        <v>6908</v>
      </c>
      <c r="E882" s="107" t="s">
        <v>1431</v>
      </c>
      <c r="F882" s="69" t="s">
        <v>2500</v>
      </c>
      <c r="G882" s="69"/>
      <c r="U882" s="69"/>
      <c r="V882" s="69"/>
      <c r="AS882" s="94">
        <f t="shared" si="80"/>
        <v>0</v>
      </c>
      <c r="AU882" s="69"/>
      <c r="BD882" s="69"/>
      <c r="BE882" s="69"/>
      <c r="CE882" s="94">
        <f t="shared" si="95"/>
        <v>0</v>
      </c>
      <c r="CF882" s="73">
        <f t="shared" si="99"/>
        <v>0</v>
      </c>
      <c r="CG882" s="75">
        <f t="shared" si="98"/>
        <v>6908</v>
      </c>
      <c r="CH882" s="75" t="str">
        <f t="shared" si="98"/>
        <v>لاب فقط</v>
      </c>
    </row>
    <row r="883" spans="3:86" x14ac:dyDescent="0.25">
      <c r="C883" s="82">
        <v>11156</v>
      </c>
      <c r="D883" s="78">
        <v>6909</v>
      </c>
      <c r="E883" s="107" t="s">
        <v>78</v>
      </c>
      <c r="F883" s="69" t="s">
        <v>2501</v>
      </c>
      <c r="G883" s="69"/>
      <c r="H883" s="69">
        <v>600</v>
      </c>
      <c r="U883" s="69"/>
      <c r="V883" s="69"/>
      <c r="AS883" s="94">
        <f t="shared" si="80"/>
        <v>600</v>
      </c>
      <c r="AT883" s="69">
        <v>536.15</v>
      </c>
      <c r="AU883" s="69">
        <v>63.85</v>
      </c>
      <c r="BD883" s="69"/>
      <c r="BE883" s="69"/>
      <c r="CE883" s="94">
        <f t="shared" si="95"/>
        <v>600</v>
      </c>
      <c r="CF883" s="73">
        <f t="shared" si="99"/>
        <v>0</v>
      </c>
      <c r="CG883" s="75">
        <f t="shared" si="98"/>
        <v>6909</v>
      </c>
      <c r="CH883" s="75" t="str">
        <f t="shared" si="98"/>
        <v>برنامج دولى</v>
      </c>
    </row>
    <row r="884" spans="3:86" x14ac:dyDescent="0.25">
      <c r="C884" s="82">
        <v>11157</v>
      </c>
      <c r="D884" s="78">
        <v>6910</v>
      </c>
      <c r="E884" s="107" t="s">
        <v>78</v>
      </c>
      <c r="F884" s="69" t="s">
        <v>2501</v>
      </c>
      <c r="G884" s="69"/>
      <c r="H884" s="69">
        <v>2487.16</v>
      </c>
      <c r="U884" s="69"/>
      <c r="V884" s="69"/>
      <c r="AS884" s="94">
        <f t="shared" si="80"/>
        <v>2487.16</v>
      </c>
      <c r="AT884" s="69">
        <v>1863.5</v>
      </c>
      <c r="AU884" s="69">
        <v>235.25</v>
      </c>
      <c r="AV884" s="69">
        <v>388.41</v>
      </c>
      <c r="BD884" s="69"/>
      <c r="BE884" s="69"/>
      <c r="CE884" s="94">
        <f t="shared" si="95"/>
        <v>2487.16</v>
      </c>
      <c r="CF884" s="73">
        <f t="shared" si="99"/>
        <v>0</v>
      </c>
      <c r="CG884" s="75">
        <f t="shared" si="98"/>
        <v>6910</v>
      </c>
      <c r="CH884" s="75" t="str">
        <f t="shared" si="98"/>
        <v>برنامج دولى</v>
      </c>
    </row>
    <row r="885" spans="3:86" x14ac:dyDescent="0.25">
      <c r="C885" s="82">
        <v>11158</v>
      </c>
      <c r="D885" s="78">
        <v>6911</v>
      </c>
      <c r="E885" s="107" t="s">
        <v>78</v>
      </c>
      <c r="F885" s="69" t="s">
        <v>2502</v>
      </c>
      <c r="G885" s="69"/>
      <c r="H885" s="69">
        <v>293.13</v>
      </c>
      <c r="U885" s="69"/>
      <c r="V885" s="69"/>
      <c r="AS885" s="94">
        <f t="shared" si="80"/>
        <v>293.13</v>
      </c>
      <c r="AT885" s="69">
        <v>196.45</v>
      </c>
      <c r="AU885" s="69">
        <f>25+1.05</f>
        <v>26.05</v>
      </c>
      <c r="AV885" s="69">
        <f>96.68-AU885</f>
        <v>70.63000000000001</v>
      </c>
      <c r="BD885" s="69"/>
      <c r="BE885" s="69"/>
      <c r="CE885" s="94">
        <f t="shared" si="95"/>
        <v>293.13</v>
      </c>
      <c r="CF885" s="73">
        <f t="shared" si="99"/>
        <v>0</v>
      </c>
      <c r="CG885" s="75">
        <f t="shared" si="98"/>
        <v>6911</v>
      </c>
      <c r="CH885" s="75" t="str">
        <f t="shared" si="98"/>
        <v>برنامج دولى</v>
      </c>
    </row>
    <row r="886" spans="3:86" x14ac:dyDescent="0.25">
      <c r="C886" s="82">
        <v>11163</v>
      </c>
      <c r="D886" s="78">
        <v>6912</v>
      </c>
      <c r="E886" s="107" t="s">
        <v>78</v>
      </c>
      <c r="F886" s="69" t="s">
        <v>570</v>
      </c>
      <c r="G886" s="69"/>
      <c r="H886" s="69">
        <v>527.63</v>
      </c>
      <c r="U886" s="69"/>
      <c r="V886" s="69"/>
      <c r="AS886" s="94">
        <f t="shared" si="80"/>
        <v>527.63</v>
      </c>
      <c r="AT886" s="69">
        <v>352.9</v>
      </c>
      <c r="AU886" s="69">
        <f>45+2.6</f>
        <v>47.6</v>
      </c>
      <c r="AV886" s="69">
        <v>127.13</v>
      </c>
      <c r="BD886" s="69"/>
      <c r="BE886" s="69"/>
      <c r="CE886" s="94">
        <f t="shared" si="95"/>
        <v>527.63</v>
      </c>
      <c r="CF886" s="73">
        <f t="shared" si="99"/>
        <v>0</v>
      </c>
      <c r="CG886" s="75">
        <f t="shared" si="98"/>
        <v>6912</v>
      </c>
      <c r="CH886" s="75" t="str">
        <f t="shared" si="98"/>
        <v>برنامج دولى</v>
      </c>
    </row>
    <row r="887" spans="3:86" x14ac:dyDescent="0.25">
      <c r="C887" s="82">
        <v>11161</v>
      </c>
      <c r="D887" s="78">
        <v>6913</v>
      </c>
      <c r="E887" s="107" t="s">
        <v>78</v>
      </c>
      <c r="F887" s="69" t="s">
        <v>570</v>
      </c>
      <c r="G887" s="69"/>
      <c r="H887" s="69">
        <v>2370</v>
      </c>
      <c r="U887" s="69"/>
      <c r="V887" s="69"/>
      <c r="AS887" s="94">
        <f t="shared" si="80"/>
        <v>2370</v>
      </c>
      <c r="AT887" s="69">
        <v>2116.8000000000002</v>
      </c>
      <c r="AU887" s="69">
        <v>253.2</v>
      </c>
      <c r="BD887" s="69"/>
      <c r="BE887" s="69"/>
      <c r="CE887" s="94">
        <f t="shared" si="95"/>
        <v>2370</v>
      </c>
      <c r="CF887" s="73">
        <f t="shared" si="99"/>
        <v>0</v>
      </c>
      <c r="CG887" s="75">
        <f t="shared" si="98"/>
        <v>6913</v>
      </c>
      <c r="CH887" s="75" t="str">
        <f t="shared" si="98"/>
        <v>برنامج دولى</v>
      </c>
    </row>
    <row r="888" spans="3:86" x14ac:dyDescent="0.25">
      <c r="C888" s="82">
        <v>11162</v>
      </c>
      <c r="D888" s="78">
        <v>6914</v>
      </c>
      <c r="E888" s="107" t="s">
        <v>78</v>
      </c>
      <c r="F888" s="69" t="s">
        <v>570</v>
      </c>
      <c r="G888" s="69"/>
      <c r="H888" s="69">
        <v>1477.36</v>
      </c>
      <c r="U888" s="69"/>
      <c r="V888" s="69"/>
      <c r="AS888" s="94">
        <f t="shared" si="80"/>
        <v>1477.36</v>
      </c>
      <c r="AT888" s="69">
        <v>988.2</v>
      </c>
      <c r="AU888" s="69">
        <v>133.19999999999999</v>
      </c>
      <c r="AV888" s="69">
        <v>355.96</v>
      </c>
      <c r="BD888" s="69"/>
      <c r="BE888" s="69"/>
      <c r="CE888" s="94">
        <f t="shared" si="95"/>
        <v>1477.3600000000001</v>
      </c>
      <c r="CF888" s="73">
        <f t="shared" si="99"/>
        <v>0</v>
      </c>
      <c r="CG888" s="75">
        <f t="shared" si="98"/>
        <v>6914</v>
      </c>
      <c r="CH888" s="75" t="str">
        <f t="shared" si="98"/>
        <v>برنامج دولى</v>
      </c>
    </row>
    <row r="889" spans="3:86" x14ac:dyDescent="0.25">
      <c r="C889" s="82">
        <v>11160</v>
      </c>
      <c r="D889" s="78">
        <v>6915</v>
      </c>
      <c r="E889" s="107" t="s">
        <v>78</v>
      </c>
      <c r="F889" s="69" t="s">
        <v>570</v>
      </c>
      <c r="G889" s="69"/>
      <c r="H889" s="69">
        <v>2110.52</v>
      </c>
      <c r="U889" s="69"/>
      <c r="V889" s="69"/>
      <c r="AS889" s="94">
        <f t="shared" ref="AS889:AS952" si="103">SUM(H889:AR889)</f>
        <v>2110.52</v>
      </c>
      <c r="AT889" s="69">
        <v>1413.15</v>
      </c>
      <c r="AU889" s="69">
        <v>188.85</v>
      </c>
      <c r="AV889" s="69">
        <v>508.52</v>
      </c>
      <c r="BD889" s="69"/>
      <c r="BE889" s="69"/>
      <c r="CE889" s="94">
        <f t="shared" si="95"/>
        <v>2110.52</v>
      </c>
      <c r="CF889" s="73">
        <f t="shared" si="99"/>
        <v>0</v>
      </c>
      <c r="CG889" s="75">
        <f t="shared" si="98"/>
        <v>6915</v>
      </c>
      <c r="CH889" s="75" t="str">
        <f t="shared" si="98"/>
        <v>برنامج دولى</v>
      </c>
    </row>
    <row r="890" spans="3:86" x14ac:dyDescent="0.25">
      <c r="C890" s="82">
        <v>11159</v>
      </c>
      <c r="D890" s="78">
        <v>6916</v>
      </c>
      <c r="E890" s="107" t="s">
        <v>78</v>
      </c>
      <c r="F890" s="69" t="s">
        <v>570</v>
      </c>
      <c r="G890" s="69"/>
      <c r="H890" s="69">
        <v>15027.4</v>
      </c>
      <c r="U890" s="69"/>
      <c r="V890" s="69"/>
      <c r="AS890" s="94">
        <f t="shared" si="103"/>
        <v>15027.4</v>
      </c>
      <c r="AT890" s="69">
        <v>13102.9</v>
      </c>
      <c r="AU890" s="69">
        <v>1584.85</v>
      </c>
      <c r="AV890" s="69">
        <v>339.65</v>
      </c>
      <c r="BD890" s="69"/>
      <c r="BE890" s="69"/>
      <c r="CE890" s="94">
        <f t="shared" si="95"/>
        <v>15027.4</v>
      </c>
      <c r="CF890" s="73">
        <f t="shared" si="99"/>
        <v>0</v>
      </c>
      <c r="CG890" s="75">
        <f t="shared" si="98"/>
        <v>6916</v>
      </c>
      <c r="CH890" s="75" t="str">
        <f t="shared" si="98"/>
        <v>برنامج دولى</v>
      </c>
    </row>
    <row r="891" spans="3:86" x14ac:dyDescent="0.25">
      <c r="C891" s="82">
        <v>11174</v>
      </c>
      <c r="D891" s="78">
        <v>6917</v>
      </c>
      <c r="E891" s="107" t="s">
        <v>78</v>
      </c>
      <c r="F891" s="69" t="s">
        <v>2503</v>
      </c>
      <c r="G891" s="69"/>
      <c r="H891" s="69">
        <v>293.13</v>
      </c>
      <c r="U891" s="69"/>
      <c r="V891" s="69"/>
      <c r="AS891" s="94">
        <f t="shared" si="103"/>
        <v>293.13</v>
      </c>
      <c r="AT891" s="69">
        <v>196.45</v>
      </c>
      <c r="AU891" s="69">
        <f>25+1.05</f>
        <v>26.05</v>
      </c>
      <c r="AV891" s="69">
        <v>70.63</v>
      </c>
      <c r="BD891" s="69"/>
      <c r="BE891" s="69"/>
      <c r="CE891" s="94">
        <f t="shared" si="95"/>
        <v>293.13</v>
      </c>
      <c r="CF891" s="73">
        <f t="shared" si="99"/>
        <v>0</v>
      </c>
      <c r="CG891" s="75">
        <f t="shared" si="98"/>
        <v>6917</v>
      </c>
      <c r="CH891" s="75" t="str">
        <f t="shared" si="98"/>
        <v>برنامج دولى</v>
      </c>
    </row>
    <row r="892" spans="3:86" x14ac:dyDescent="0.25">
      <c r="C892" s="82">
        <v>11175</v>
      </c>
      <c r="D892" s="78">
        <v>6918</v>
      </c>
      <c r="E892" s="107" t="s">
        <v>78</v>
      </c>
      <c r="F892" s="69" t="str">
        <f t="shared" ref="F892:F898" si="104">+F878</f>
        <v>مكافاه تكنولوجيا معلومات يناير</v>
      </c>
      <c r="G892" s="69"/>
      <c r="H892" s="69">
        <v>325</v>
      </c>
      <c r="U892" s="69"/>
      <c r="V892" s="69"/>
      <c r="AS892" s="94">
        <f t="shared" si="103"/>
        <v>325</v>
      </c>
      <c r="AT892" s="69">
        <v>290.7</v>
      </c>
      <c r="AU892" s="69">
        <v>34.299999999999997</v>
      </c>
      <c r="BD892" s="69"/>
      <c r="BE892" s="69"/>
      <c r="CE892" s="94">
        <f t="shared" si="95"/>
        <v>325</v>
      </c>
      <c r="CF892" s="73">
        <f t="shared" si="99"/>
        <v>0</v>
      </c>
      <c r="CG892" s="75">
        <f t="shared" si="98"/>
        <v>6918</v>
      </c>
      <c r="CH892" s="75" t="str">
        <f t="shared" si="98"/>
        <v>برنامج دولى</v>
      </c>
    </row>
    <row r="893" spans="3:86" x14ac:dyDescent="0.25">
      <c r="C893" s="82">
        <v>11176</v>
      </c>
      <c r="D893" s="78">
        <v>6919</v>
      </c>
      <c r="E893" s="107" t="s">
        <v>78</v>
      </c>
      <c r="F893" s="69" t="str">
        <f t="shared" si="104"/>
        <v>مكافاه شؤن ماليه ديسمبر</v>
      </c>
      <c r="G893" s="69"/>
      <c r="H893" s="69">
        <v>1134.5</v>
      </c>
      <c r="U893" s="69"/>
      <c r="V893" s="69"/>
      <c r="AS893" s="94">
        <f t="shared" si="103"/>
        <v>1134.5</v>
      </c>
      <c r="AT893" s="69">
        <v>962.4</v>
      </c>
      <c r="AU893" s="69">
        <v>115.6</v>
      </c>
      <c r="AV893" s="69">
        <v>56.5</v>
      </c>
      <c r="BD893" s="69"/>
      <c r="BE893" s="69"/>
      <c r="CE893" s="94">
        <f t="shared" si="95"/>
        <v>1134.5</v>
      </c>
      <c r="CF893" s="73">
        <f t="shared" si="99"/>
        <v>0</v>
      </c>
      <c r="CG893" s="75">
        <f t="shared" si="98"/>
        <v>6919</v>
      </c>
      <c r="CH893" s="75" t="str">
        <f t="shared" si="98"/>
        <v>برنامج دولى</v>
      </c>
    </row>
    <row r="894" spans="3:86" x14ac:dyDescent="0.25">
      <c r="C894" s="82">
        <v>11181</v>
      </c>
      <c r="D894" s="78">
        <v>6920</v>
      </c>
      <c r="E894" s="107" t="s">
        <v>78</v>
      </c>
      <c r="F894" s="69" t="str">
        <f t="shared" si="104"/>
        <v>مكافاه رعايه طلاب وافدين يناير</v>
      </c>
      <c r="G894" s="69"/>
      <c r="H894" s="69">
        <v>700</v>
      </c>
      <c r="U894" s="69"/>
      <c r="V894" s="69"/>
      <c r="AS894" s="94">
        <f t="shared" si="103"/>
        <v>700</v>
      </c>
      <c r="AT894" s="69">
        <v>625.45000000000005</v>
      </c>
      <c r="AU894" s="69">
        <v>74.55</v>
      </c>
      <c r="BD894" s="69"/>
      <c r="BE894" s="69"/>
      <c r="CE894" s="94">
        <f t="shared" si="95"/>
        <v>700</v>
      </c>
      <c r="CF894" s="73">
        <f t="shared" si="99"/>
        <v>0</v>
      </c>
      <c r="CG894" s="75">
        <f t="shared" si="98"/>
        <v>6920</v>
      </c>
      <c r="CH894" s="75" t="str">
        <f t="shared" si="98"/>
        <v>برنامج دولى</v>
      </c>
    </row>
    <row r="895" spans="3:86" x14ac:dyDescent="0.25">
      <c r="C895" s="82">
        <v>11182</v>
      </c>
      <c r="D895" s="78">
        <v>6921</v>
      </c>
      <c r="E895" s="107" t="s">
        <v>78</v>
      </c>
      <c r="F895" s="69" t="str">
        <f t="shared" si="104"/>
        <v>مكافاه اعمال مجلس تنفييذى يناير</v>
      </c>
      <c r="G895" s="69"/>
      <c r="H895" s="69">
        <v>993.12</v>
      </c>
      <c r="U895" s="69"/>
      <c r="V895" s="69"/>
      <c r="AS895" s="94">
        <f t="shared" si="103"/>
        <v>993.12</v>
      </c>
      <c r="AT895" s="69">
        <v>821.9</v>
      </c>
      <c r="AU895" s="69">
        <v>100.6</v>
      </c>
      <c r="AV895" s="69">
        <v>70.62</v>
      </c>
      <c r="BD895" s="69"/>
      <c r="BE895" s="69"/>
      <c r="CE895" s="94">
        <f t="shared" si="95"/>
        <v>993.12</v>
      </c>
      <c r="CF895" s="73">
        <f t="shared" si="99"/>
        <v>0</v>
      </c>
      <c r="CG895" s="75">
        <f t="shared" si="98"/>
        <v>6921</v>
      </c>
      <c r="CH895" s="75" t="str">
        <f t="shared" si="98"/>
        <v>برنامج دولى</v>
      </c>
    </row>
    <row r="896" spans="3:86" x14ac:dyDescent="0.25">
      <c r="C896" s="82">
        <v>11180</v>
      </c>
      <c r="D896" s="78">
        <v>6922</v>
      </c>
      <c r="E896" s="107" t="s">
        <v>78</v>
      </c>
      <c r="F896" s="69" t="s">
        <v>2501</v>
      </c>
      <c r="G896" s="69"/>
      <c r="H896" s="69">
        <v>50</v>
      </c>
      <c r="U896" s="69"/>
      <c r="V896" s="69"/>
      <c r="AS896" s="94">
        <f t="shared" si="103"/>
        <v>50</v>
      </c>
      <c r="AT896" s="69">
        <v>45</v>
      </c>
      <c r="AU896" s="69">
        <v>5</v>
      </c>
      <c r="BD896" s="69"/>
      <c r="BE896" s="69"/>
      <c r="CE896" s="94">
        <f t="shared" si="95"/>
        <v>50</v>
      </c>
      <c r="CF896" s="73">
        <f t="shared" si="99"/>
        <v>0</v>
      </c>
      <c r="CG896" s="75">
        <f t="shared" si="98"/>
        <v>6922</v>
      </c>
      <c r="CH896" s="75" t="str">
        <f t="shared" si="98"/>
        <v>برنامج دولى</v>
      </c>
    </row>
    <row r="897" spans="3:86" x14ac:dyDescent="0.25">
      <c r="C897" s="82">
        <v>11179</v>
      </c>
      <c r="D897" s="78">
        <v>6923</v>
      </c>
      <c r="E897" s="107" t="s">
        <v>78</v>
      </c>
      <c r="F897" s="69" t="str">
        <f t="shared" si="104"/>
        <v>مكافاه مراقبه امتحانات</v>
      </c>
      <c r="G897" s="69"/>
      <c r="H897" s="69">
        <v>2425.98</v>
      </c>
      <c r="U897" s="69"/>
      <c r="V897" s="69"/>
      <c r="AS897" s="94">
        <f t="shared" si="103"/>
        <v>2425.98</v>
      </c>
      <c r="AT897" s="69">
        <v>1750.35</v>
      </c>
      <c r="AU897" s="69">
        <v>223.65</v>
      </c>
      <c r="AV897" s="69">
        <v>451.98</v>
      </c>
      <c r="BD897" s="69"/>
      <c r="BE897" s="69"/>
      <c r="CE897" s="94">
        <f t="shared" si="95"/>
        <v>2425.98</v>
      </c>
      <c r="CF897" s="73">
        <f t="shared" si="99"/>
        <v>0</v>
      </c>
      <c r="CG897" s="75">
        <f t="shared" si="98"/>
        <v>6923</v>
      </c>
      <c r="CH897" s="75" t="str">
        <f t="shared" si="98"/>
        <v>برنامج دولى</v>
      </c>
    </row>
    <row r="898" spans="3:86" x14ac:dyDescent="0.25">
      <c r="C898" s="82">
        <v>11177</v>
      </c>
      <c r="D898" s="78">
        <v>6924</v>
      </c>
      <c r="E898" s="107" t="s">
        <v>78</v>
      </c>
      <c r="F898" s="69" t="str">
        <f t="shared" si="104"/>
        <v>مكافاه مراقبه امتحانات</v>
      </c>
      <c r="G898" s="69"/>
      <c r="H898" s="69">
        <v>3426.94</v>
      </c>
      <c r="U898" s="69"/>
      <c r="V898" s="69"/>
      <c r="AS898" s="94">
        <f t="shared" si="103"/>
        <v>3426.94</v>
      </c>
      <c r="AT898" s="69">
        <v>2414.5</v>
      </c>
      <c r="AU898" s="69">
        <v>313.25</v>
      </c>
      <c r="AV898" s="69">
        <v>699.19</v>
      </c>
      <c r="BD898" s="69"/>
      <c r="BE898" s="69"/>
      <c r="CE898" s="94">
        <f t="shared" si="95"/>
        <v>3426.94</v>
      </c>
      <c r="CF898" s="73">
        <f t="shared" si="99"/>
        <v>0</v>
      </c>
      <c r="CG898" s="75">
        <f t="shared" si="98"/>
        <v>6924</v>
      </c>
      <c r="CH898" s="75" t="str">
        <f t="shared" si="98"/>
        <v>برنامج دولى</v>
      </c>
    </row>
    <row r="899" spans="3:86" x14ac:dyDescent="0.25">
      <c r="C899" s="82">
        <v>11169</v>
      </c>
      <c r="D899" s="78">
        <v>6925</v>
      </c>
      <c r="E899" s="107" t="s">
        <v>78</v>
      </c>
      <c r="F899" s="69" t="str">
        <f>+F888</f>
        <v>عب تدريس فرقه خامسه</v>
      </c>
      <c r="G899" s="69"/>
      <c r="H899" s="69">
        <v>1055.26</v>
      </c>
      <c r="U899" s="69"/>
      <c r="V899" s="69"/>
      <c r="AS899" s="94">
        <f t="shared" si="103"/>
        <v>1055.26</v>
      </c>
      <c r="AT899" s="69">
        <v>705.8</v>
      </c>
      <c r="AU899" s="69">
        <f>90+5.2</f>
        <v>95.2</v>
      </c>
      <c r="AV899" s="69">
        <v>254.26</v>
      </c>
      <c r="BD899" s="69"/>
      <c r="BE899" s="69"/>
      <c r="CE899" s="94">
        <f t="shared" si="95"/>
        <v>1055.26</v>
      </c>
      <c r="CF899" s="73">
        <f t="shared" si="99"/>
        <v>0</v>
      </c>
      <c r="CG899" s="75">
        <f t="shared" si="98"/>
        <v>6925</v>
      </c>
      <c r="CH899" s="75" t="str">
        <f t="shared" si="98"/>
        <v>برنامج دولى</v>
      </c>
    </row>
    <row r="900" spans="3:86" x14ac:dyDescent="0.25">
      <c r="C900" s="82">
        <v>11167</v>
      </c>
      <c r="D900" s="78">
        <v>6926</v>
      </c>
      <c r="E900" s="107" t="s">
        <v>78</v>
      </c>
      <c r="F900" s="69" t="s">
        <v>2503</v>
      </c>
      <c r="G900" s="69"/>
      <c r="H900" s="69">
        <v>1266.3</v>
      </c>
      <c r="U900" s="69"/>
      <c r="V900" s="69"/>
      <c r="AS900" s="94">
        <f t="shared" si="103"/>
        <v>1266.3</v>
      </c>
      <c r="AT900" s="69">
        <v>847.1</v>
      </c>
      <c r="AU900" s="69">
        <v>114.1</v>
      </c>
      <c r="AV900" s="69">
        <v>305.10000000000002</v>
      </c>
      <c r="BD900" s="69"/>
      <c r="BE900" s="69"/>
      <c r="CE900" s="94">
        <f t="shared" si="95"/>
        <v>1266.3000000000002</v>
      </c>
      <c r="CF900" s="73">
        <f t="shared" si="99"/>
        <v>0</v>
      </c>
      <c r="CG900" s="75">
        <f t="shared" si="98"/>
        <v>6926</v>
      </c>
      <c r="CH900" s="75" t="str">
        <f t="shared" si="98"/>
        <v>برنامج دولى</v>
      </c>
    </row>
    <row r="901" spans="3:86" x14ac:dyDescent="0.25">
      <c r="C901" s="82">
        <v>11166</v>
      </c>
      <c r="D901" s="78">
        <v>6927</v>
      </c>
      <c r="E901" s="107" t="s">
        <v>78</v>
      </c>
      <c r="F901" s="69" t="s">
        <v>2503</v>
      </c>
      <c r="G901" s="69"/>
      <c r="H901" s="69">
        <v>949.73</v>
      </c>
      <c r="U901" s="69"/>
      <c r="V901" s="69"/>
      <c r="AS901" s="94">
        <f t="shared" si="103"/>
        <v>949.73</v>
      </c>
      <c r="AT901" s="69">
        <v>635.6</v>
      </c>
      <c r="AU901" s="69">
        <v>85.3</v>
      </c>
      <c r="AV901" s="69">
        <v>228.83</v>
      </c>
      <c r="BD901" s="69"/>
      <c r="BE901" s="69"/>
      <c r="CE901" s="94">
        <f t="shared" si="95"/>
        <v>949.73</v>
      </c>
      <c r="CF901" s="73">
        <f t="shared" si="99"/>
        <v>0</v>
      </c>
      <c r="CG901" s="75">
        <f t="shared" si="98"/>
        <v>6927</v>
      </c>
      <c r="CH901" s="75" t="str">
        <f t="shared" si="98"/>
        <v>برنامج دولى</v>
      </c>
    </row>
    <row r="902" spans="3:86" x14ac:dyDescent="0.25">
      <c r="C902" s="82">
        <v>11168</v>
      </c>
      <c r="D902" s="78">
        <v>6928</v>
      </c>
      <c r="E902" s="107" t="s">
        <v>78</v>
      </c>
      <c r="F902" s="69" t="s">
        <v>2503</v>
      </c>
      <c r="G902" s="69"/>
      <c r="H902" s="69">
        <v>3690</v>
      </c>
      <c r="U902" s="69"/>
      <c r="V902" s="69"/>
      <c r="AS902" s="94">
        <f t="shared" si="103"/>
        <v>3690</v>
      </c>
      <c r="AT902" s="69">
        <v>3297.35</v>
      </c>
      <c r="AU902" s="69">
        <v>392.65</v>
      </c>
      <c r="BD902" s="69"/>
      <c r="BE902" s="69"/>
      <c r="CE902" s="94">
        <f t="shared" si="95"/>
        <v>3690</v>
      </c>
      <c r="CF902" s="73">
        <f t="shared" si="99"/>
        <v>0</v>
      </c>
      <c r="CG902" s="75">
        <f t="shared" si="98"/>
        <v>6928</v>
      </c>
      <c r="CH902" s="75" t="str">
        <f t="shared" si="98"/>
        <v>برنامج دولى</v>
      </c>
    </row>
    <row r="903" spans="3:86" x14ac:dyDescent="0.25">
      <c r="C903" s="82">
        <v>11165</v>
      </c>
      <c r="D903" s="78">
        <v>6929</v>
      </c>
      <c r="E903" s="107" t="s">
        <v>78</v>
      </c>
      <c r="F903" s="69" t="s">
        <v>2503</v>
      </c>
      <c r="G903" s="69"/>
      <c r="H903" s="69">
        <v>844.21</v>
      </c>
      <c r="U903" s="69"/>
      <c r="V903" s="69"/>
      <c r="AS903" s="94">
        <f t="shared" si="103"/>
        <v>844.21</v>
      </c>
      <c r="AT903" s="69">
        <v>564.77</v>
      </c>
      <c r="AU903" s="69">
        <f>72+4.03</f>
        <v>76.03</v>
      </c>
      <c r="AV903" s="69">
        <v>203.41</v>
      </c>
      <c r="BD903" s="69"/>
      <c r="BE903" s="69"/>
      <c r="CE903" s="94">
        <f t="shared" si="95"/>
        <v>844.20999999999992</v>
      </c>
      <c r="CF903" s="73">
        <f t="shared" si="99"/>
        <v>0</v>
      </c>
      <c r="CG903" s="75">
        <f t="shared" si="98"/>
        <v>6929</v>
      </c>
      <c r="CH903" s="75" t="str">
        <f t="shared" si="98"/>
        <v>برنامج دولى</v>
      </c>
    </row>
    <row r="904" spans="3:86" x14ac:dyDescent="0.25">
      <c r="C904" s="82">
        <v>11164</v>
      </c>
      <c r="D904" s="78">
        <v>6930</v>
      </c>
      <c r="E904" s="107" t="s">
        <v>78</v>
      </c>
      <c r="F904" s="69" t="s">
        <v>2503</v>
      </c>
      <c r="G904" s="69"/>
      <c r="H904" s="69">
        <v>6720</v>
      </c>
      <c r="U904" s="69"/>
      <c r="V904" s="69"/>
      <c r="AS904" s="94">
        <f t="shared" si="103"/>
        <v>6720</v>
      </c>
      <c r="AT904" s="69">
        <v>6002.2</v>
      </c>
      <c r="AU904" s="69">
        <v>717.8</v>
      </c>
      <c r="BD904" s="69"/>
      <c r="BE904" s="69"/>
      <c r="CE904" s="94">
        <f t="shared" si="95"/>
        <v>6720</v>
      </c>
      <c r="CF904" s="73">
        <f t="shared" si="99"/>
        <v>0</v>
      </c>
      <c r="CG904" s="75">
        <f t="shared" si="98"/>
        <v>6930</v>
      </c>
      <c r="CH904" s="75" t="str">
        <f t="shared" si="98"/>
        <v>برنامج دولى</v>
      </c>
    </row>
    <row r="905" spans="3:86" x14ac:dyDescent="0.25">
      <c r="C905" s="82">
        <v>11172</v>
      </c>
      <c r="D905" s="78">
        <v>6931</v>
      </c>
      <c r="E905" s="107" t="s">
        <v>78</v>
      </c>
      <c r="F905" s="69" t="s">
        <v>2503</v>
      </c>
      <c r="G905" s="69"/>
      <c r="H905" s="69">
        <v>10800</v>
      </c>
      <c r="U905" s="69"/>
      <c r="V905" s="69"/>
      <c r="AS905" s="94">
        <f t="shared" si="103"/>
        <v>10800</v>
      </c>
      <c r="AT905" s="69">
        <v>9637.2000000000007</v>
      </c>
      <c r="AU905" s="69">
        <v>1162.8</v>
      </c>
      <c r="BD905" s="69"/>
      <c r="BE905" s="69"/>
      <c r="CE905" s="94">
        <f t="shared" si="95"/>
        <v>10800</v>
      </c>
      <c r="CF905" s="73">
        <f t="shared" si="99"/>
        <v>0</v>
      </c>
      <c r="CG905" s="75">
        <f t="shared" si="98"/>
        <v>6931</v>
      </c>
      <c r="CH905" s="75" t="str">
        <f t="shared" si="98"/>
        <v>برنامج دولى</v>
      </c>
    </row>
    <row r="906" spans="3:86" x14ac:dyDescent="0.25">
      <c r="C906" s="82">
        <v>11170</v>
      </c>
      <c r="D906" s="78">
        <v>6932</v>
      </c>
      <c r="E906" s="107" t="s">
        <v>78</v>
      </c>
      <c r="F906" s="69" t="s">
        <v>2503</v>
      </c>
      <c r="G906" s="69"/>
      <c r="H906" s="69">
        <v>422.1</v>
      </c>
      <c r="U906" s="69"/>
      <c r="V906" s="69"/>
      <c r="AS906" s="94">
        <f t="shared" si="103"/>
        <v>422.1</v>
      </c>
      <c r="AT906" s="69">
        <v>282.60000000000002</v>
      </c>
      <c r="AU906" s="69">
        <v>37.799999999999997</v>
      </c>
      <c r="AV906" s="69">
        <v>101.7</v>
      </c>
      <c r="BD906" s="69"/>
      <c r="BE906" s="69"/>
      <c r="CE906" s="94">
        <f t="shared" si="95"/>
        <v>422.1</v>
      </c>
      <c r="CF906" s="73">
        <f t="shared" si="99"/>
        <v>0</v>
      </c>
      <c r="CG906" s="75">
        <f t="shared" si="98"/>
        <v>6932</v>
      </c>
      <c r="CH906" s="75" t="str">
        <f t="shared" si="98"/>
        <v>برنامج دولى</v>
      </c>
    </row>
    <row r="907" spans="3:86" x14ac:dyDescent="0.25">
      <c r="C907" s="82">
        <v>11171</v>
      </c>
      <c r="D907" s="78">
        <v>6933</v>
      </c>
      <c r="E907" s="107" t="s">
        <v>78</v>
      </c>
      <c r="F907" s="69" t="s">
        <v>2503</v>
      </c>
      <c r="G907" s="69"/>
      <c r="H907" s="69">
        <v>844.2</v>
      </c>
      <c r="U907" s="69"/>
      <c r="V907" s="69"/>
      <c r="AS907" s="94">
        <f t="shared" si="103"/>
        <v>844.2</v>
      </c>
      <c r="AT907" s="69">
        <v>565.20000000000005</v>
      </c>
      <c r="AU907" s="69">
        <v>75.599999999999994</v>
      </c>
      <c r="AV907" s="69">
        <v>203.4</v>
      </c>
      <c r="BD907" s="69"/>
      <c r="BE907" s="69"/>
      <c r="CE907" s="94">
        <f t="shared" si="95"/>
        <v>844.2</v>
      </c>
      <c r="CF907" s="73">
        <f t="shared" si="99"/>
        <v>0</v>
      </c>
      <c r="CG907" s="75">
        <f t="shared" si="98"/>
        <v>6933</v>
      </c>
      <c r="CH907" s="75" t="str">
        <f t="shared" si="98"/>
        <v>برنامج دولى</v>
      </c>
    </row>
    <row r="908" spans="3:86" x14ac:dyDescent="0.25">
      <c r="C908" s="82">
        <v>11178</v>
      </c>
      <c r="D908" s="78">
        <v>6934</v>
      </c>
      <c r="E908" s="107" t="s">
        <v>78</v>
      </c>
      <c r="F908" s="69" t="s">
        <v>2503</v>
      </c>
      <c r="G908" s="69"/>
      <c r="H908" s="69">
        <v>1407</v>
      </c>
      <c r="U908" s="69"/>
      <c r="V908" s="69"/>
      <c r="AS908" s="94">
        <f t="shared" si="103"/>
        <v>1407</v>
      </c>
      <c r="AT908" s="69">
        <v>941.35</v>
      </c>
      <c r="AU908" s="69">
        <f>120+6.65</f>
        <v>126.65</v>
      </c>
      <c r="AV908" s="69">
        <v>339</v>
      </c>
      <c r="BD908" s="69"/>
      <c r="BE908" s="69"/>
      <c r="CE908" s="94">
        <f t="shared" si="95"/>
        <v>1407</v>
      </c>
      <c r="CF908" s="73">
        <f t="shared" si="99"/>
        <v>0</v>
      </c>
      <c r="CG908" s="75">
        <f t="shared" si="98"/>
        <v>6934</v>
      </c>
      <c r="CH908" s="75" t="str">
        <f t="shared" si="98"/>
        <v>برنامج دولى</v>
      </c>
    </row>
    <row r="909" spans="3:86" x14ac:dyDescent="0.25">
      <c r="C909" s="82">
        <v>11173</v>
      </c>
      <c r="D909" s="78">
        <v>6935</v>
      </c>
      <c r="E909" s="107" t="s">
        <v>78</v>
      </c>
      <c r="F909" s="69" t="s">
        <v>2503</v>
      </c>
      <c r="G909" s="69"/>
      <c r="H909" s="69">
        <v>844.2</v>
      </c>
      <c r="U909" s="69"/>
      <c r="V909" s="69"/>
      <c r="AS909" s="94">
        <f t="shared" si="103"/>
        <v>844.2</v>
      </c>
      <c r="AT909" s="69">
        <v>565.20000000000005</v>
      </c>
      <c r="AU909" s="69">
        <v>75.599999999999994</v>
      </c>
      <c r="AV909" s="69">
        <v>203.4</v>
      </c>
      <c r="BD909" s="69"/>
      <c r="BE909" s="69"/>
      <c r="CE909" s="94">
        <f t="shared" si="95"/>
        <v>844.2</v>
      </c>
      <c r="CF909" s="73">
        <f t="shared" si="99"/>
        <v>0</v>
      </c>
      <c r="CG909" s="75">
        <f t="shared" si="98"/>
        <v>6935</v>
      </c>
      <c r="CH909" s="75" t="str">
        <f t="shared" si="98"/>
        <v>برنامج دولى</v>
      </c>
    </row>
    <row r="910" spans="3:86" x14ac:dyDescent="0.25">
      <c r="C910" s="82">
        <v>11524</v>
      </c>
      <c r="D910" s="78">
        <v>6936</v>
      </c>
      <c r="E910" s="107" t="s">
        <v>78</v>
      </c>
      <c r="F910" s="69" t="str">
        <f>+F899</f>
        <v>عب تدريس فرقه خامسه</v>
      </c>
      <c r="G910" s="69"/>
      <c r="H910" s="69">
        <v>844.2</v>
      </c>
      <c r="U910" s="69"/>
      <c r="V910" s="69"/>
      <c r="AS910" s="94">
        <f t="shared" si="103"/>
        <v>844.2</v>
      </c>
      <c r="AT910" s="69">
        <v>565.65</v>
      </c>
      <c r="AU910" s="69">
        <f>72+3.15</f>
        <v>75.150000000000006</v>
      </c>
      <c r="AV910" s="69">
        <v>203.4</v>
      </c>
      <c r="BD910" s="69"/>
      <c r="BE910" s="69"/>
      <c r="CE910" s="94">
        <f t="shared" si="95"/>
        <v>844.19999999999993</v>
      </c>
      <c r="CF910" s="73">
        <f t="shared" si="99"/>
        <v>0</v>
      </c>
      <c r="CG910" s="75">
        <f t="shared" si="98"/>
        <v>6936</v>
      </c>
      <c r="CH910" s="75" t="str">
        <f t="shared" si="98"/>
        <v>برنامج دولى</v>
      </c>
    </row>
    <row r="911" spans="3:86" x14ac:dyDescent="0.25">
      <c r="C911" s="82">
        <v>11523</v>
      </c>
      <c r="D911" s="78">
        <v>6937</v>
      </c>
      <c r="E911" s="107" t="s">
        <v>78</v>
      </c>
      <c r="F911" s="69" t="str">
        <f>+F910</f>
        <v>عب تدريس فرقه خامسه</v>
      </c>
      <c r="G911" s="69"/>
      <c r="H911" s="69">
        <v>9000</v>
      </c>
      <c r="U911" s="69"/>
      <c r="V911" s="69"/>
      <c r="AS911" s="94">
        <f t="shared" si="103"/>
        <v>9000</v>
      </c>
      <c r="AT911" s="69">
        <v>8033.9</v>
      </c>
      <c r="AU911" s="69">
        <v>966.1</v>
      </c>
      <c r="BD911" s="69"/>
      <c r="BE911" s="69"/>
      <c r="CE911" s="94">
        <f t="shared" si="95"/>
        <v>9000</v>
      </c>
      <c r="CF911" s="73">
        <f t="shared" si="99"/>
        <v>0</v>
      </c>
      <c r="CG911" s="75">
        <f t="shared" si="98"/>
        <v>6937</v>
      </c>
      <c r="CH911" s="75" t="str">
        <f t="shared" si="98"/>
        <v>برنامج دولى</v>
      </c>
    </row>
    <row r="912" spans="3:86" x14ac:dyDescent="0.25">
      <c r="C912" s="82">
        <v>11522</v>
      </c>
      <c r="D912" s="78">
        <v>6938</v>
      </c>
      <c r="E912" s="107" t="s">
        <v>78</v>
      </c>
      <c r="F912" s="69" t="str">
        <f>+F911</f>
        <v>عب تدريس فرقه خامسه</v>
      </c>
      <c r="G912" s="69"/>
      <c r="H912" s="69">
        <v>547.26</v>
      </c>
      <c r="U912" s="69"/>
      <c r="V912" s="69"/>
      <c r="AS912" s="94">
        <f t="shared" si="103"/>
        <v>547.26</v>
      </c>
      <c r="AT912" s="69">
        <v>387.9</v>
      </c>
      <c r="AU912" s="69">
        <v>49.2</v>
      </c>
      <c r="AV912" s="69">
        <v>110.16</v>
      </c>
      <c r="BD912" s="69"/>
      <c r="BE912" s="69"/>
      <c r="CE912" s="94">
        <f t="shared" si="95"/>
        <v>547.26</v>
      </c>
      <c r="CF912" s="73">
        <f t="shared" si="99"/>
        <v>0</v>
      </c>
      <c r="CG912" s="75">
        <f t="shared" si="98"/>
        <v>6938</v>
      </c>
      <c r="CH912" s="75" t="str">
        <f t="shared" si="98"/>
        <v>برنامج دولى</v>
      </c>
    </row>
    <row r="913" spans="3:86" x14ac:dyDescent="0.25">
      <c r="C913" s="82">
        <v>11521</v>
      </c>
      <c r="D913" s="78">
        <v>6939</v>
      </c>
      <c r="E913" s="107" t="s">
        <v>78</v>
      </c>
      <c r="F913" s="69" t="str">
        <f>+F912</f>
        <v>عب تدريس فرقه خامسه</v>
      </c>
      <c r="G913" s="69"/>
      <c r="H913" s="69">
        <v>1407</v>
      </c>
      <c r="U913" s="69"/>
      <c r="V913" s="69"/>
      <c r="AS913" s="94">
        <f t="shared" si="103"/>
        <v>1407</v>
      </c>
      <c r="AT913" s="69">
        <v>946.5</v>
      </c>
      <c r="AU913" s="69">
        <v>121.5</v>
      </c>
      <c r="AV913" s="69">
        <v>339</v>
      </c>
      <c r="BD913" s="69"/>
      <c r="BE913" s="69"/>
      <c r="CE913" s="94">
        <f t="shared" si="95"/>
        <v>1407</v>
      </c>
      <c r="CF913" s="73">
        <f t="shared" ref="CF913:CF1029" si="105">+CE913-AS913</f>
        <v>0</v>
      </c>
      <c r="CG913" s="75">
        <f t="shared" si="98"/>
        <v>6939</v>
      </c>
      <c r="CH913" s="75" t="str">
        <f t="shared" si="98"/>
        <v>برنامج دولى</v>
      </c>
    </row>
    <row r="914" spans="3:86" x14ac:dyDescent="0.25">
      <c r="C914" s="82">
        <v>11311</v>
      </c>
      <c r="D914" s="78">
        <v>6940</v>
      </c>
      <c r="E914" s="107" t="s">
        <v>78</v>
      </c>
      <c r="F914" s="69" t="s">
        <v>2504</v>
      </c>
      <c r="G914" s="69"/>
      <c r="H914" s="69">
        <v>10080</v>
      </c>
      <c r="U914" s="69"/>
      <c r="V914" s="69"/>
      <c r="AS914" s="94">
        <f t="shared" si="103"/>
        <v>10080</v>
      </c>
      <c r="AT914" s="69">
        <v>7599.16</v>
      </c>
      <c r="AU914" s="69">
        <v>1976.84</v>
      </c>
      <c r="AW914" s="69">
        <v>504</v>
      </c>
      <c r="BD914" s="69"/>
      <c r="BE914" s="69"/>
      <c r="CE914" s="94">
        <f t="shared" si="95"/>
        <v>10080</v>
      </c>
      <c r="CF914" s="73">
        <f t="shared" si="105"/>
        <v>0</v>
      </c>
      <c r="CG914" s="75">
        <f t="shared" si="98"/>
        <v>6940</v>
      </c>
      <c r="CH914" s="75" t="str">
        <f t="shared" si="98"/>
        <v>برنامج دولى</v>
      </c>
    </row>
    <row r="915" spans="3:86" x14ac:dyDescent="0.25">
      <c r="C915" s="82">
        <v>10587</v>
      </c>
      <c r="D915" s="78">
        <v>6941</v>
      </c>
      <c r="E915" s="107" t="s">
        <v>78</v>
      </c>
      <c r="F915" s="69" t="s">
        <v>2505</v>
      </c>
      <c r="G915" s="69"/>
      <c r="H915" s="69">
        <v>811.38</v>
      </c>
      <c r="U915" s="69"/>
      <c r="V915" s="69"/>
      <c r="AS915" s="94">
        <f t="shared" si="103"/>
        <v>811.38</v>
      </c>
      <c r="AT915" s="69">
        <v>543.78</v>
      </c>
      <c r="AU915" s="69">
        <v>72.099999999999994</v>
      </c>
      <c r="AV915" s="69">
        <v>195.5</v>
      </c>
      <c r="BD915" s="69"/>
      <c r="BE915" s="69"/>
      <c r="CE915" s="94">
        <f t="shared" si="95"/>
        <v>811.38</v>
      </c>
      <c r="CF915" s="73">
        <f t="shared" si="105"/>
        <v>0</v>
      </c>
      <c r="CG915" s="75">
        <f t="shared" si="98"/>
        <v>6941</v>
      </c>
      <c r="CH915" s="75" t="str">
        <f t="shared" si="98"/>
        <v>برنامج دولى</v>
      </c>
    </row>
    <row r="916" spans="3:86" x14ac:dyDescent="0.25">
      <c r="C916" s="82">
        <v>10856</v>
      </c>
      <c r="D916" s="78">
        <v>6942</v>
      </c>
      <c r="E916" s="107" t="s">
        <v>78</v>
      </c>
      <c r="F916" s="69" t="s">
        <v>2505</v>
      </c>
      <c r="G916" s="69"/>
      <c r="H916" s="69">
        <v>210.5</v>
      </c>
      <c r="U916" s="69"/>
      <c r="V916" s="69"/>
      <c r="AS916" s="94">
        <f t="shared" si="103"/>
        <v>210.5</v>
      </c>
      <c r="AT916" s="69">
        <v>188.45</v>
      </c>
      <c r="AU916" s="69">
        <v>22.05</v>
      </c>
      <c r="BD916" s="69"/>
      <c r="BE916" s="69"/>
      <c r="CE916" s="94">
        <f t="shared" si="95"/>
        <v>210.5</v>
      </c>
      <c r="CF916" s="73">
        <f t="shared" si="105"/>
        <v>0</v>
      </c>
      <c r="CG916" s="75">
        <f t="shared" si="98"/>
        <v>6942</v>
      </c>
      <c r="CH916" s="75" t="str">
        <f t="shared" si="98"/>
        <v>برنامج دولى</v>
      </c>
    </row>
    <row r="917" spans="3:86" x14ac:dyDescent="0.25">
      <c r="C917" s="82">
        <v>10854</v>
      </c>
      <c r="D917" s="78">
        <v>6943</v>
      </c>
      <c r="E917" s="107" t="s">
        <v>78</v>
      </c>
      <c r="F917" s="69" t="s">
        <v>2505</v>
      </c>
      <c r="G917" s="69"/>
      <c r="H917" s="69">
        <v>937.14</v>
      </c>
      <c r="U917" s="69"/>
      <c r="V917" s="69"/>
      <c r="AS917" s="94">
        <f t="shared" si="103"/>
        <v>937.14</v>
      </c>
      <c r="AT917" s="69">
        <v>767.52</v>
      </c>
      <c r="AU917" s="69">
        <v>93.78</v>
      </c>
      <c r="AV917" s="69">
        <v>75.84</v>
      </c>
      <c r="BD917" s="69"/>
      <c r="BE917" s="69"/>
      <c r="CE917" s="94">
        <f t="shared" si="95"/>
        <v>937.14</v>
      </c>
      <c r="CF917" s="73">
        <f t="shared" si="105"/>
        <v>0</v>
      </c>
      <c r="CG917" s="75">
        <f t="shared" si="98"/>
        <v>6943</v>
      </c>
      <c r="CH917" s="75" t="str">
        <f t="shared" si="98"/>
        <v>برنامج دولى</v>
      </c>
    </row>
    <row r="918" spans="3:86" x14ac:dyDescent="0.25">
      <c r="C918" s="82">
        <v>10853</v>
      </c>
      <c r="D918" s="78">
        <v>6944</v>
      </c>
      <c r="E918" s="107" t="s">
        <v>78</v>
      </c>
      <c r="F918" s="69" t="s">
        <v>2505</v>
      </c>
      <c r="G918" s="69"/>
      <c r="H918" s="69">
        <v>2074.92</v>
      </c>
      <c r="U918" s="69"/>
      <c r="V918" s="69"/>
      <c r="AS918" s="94">
        <f t="shared" si="103"/>
        <v>2074.92</v>
      </c>
      <c r="AT918" s="69">
        <v>1563.52</v>
      </c>
      <c r="AU918" s="69">
        <v>197.8</v>
      </c>
      <c r="AV918" s="69">
        <v>313.60000000000002</v>
      </c>
      <c r="BD918" s="69"/>
      <c r="BE918" s="69"/>
      <c r="CE918" s="94">
        <f t="shared" si="95"/>
        <v>2074.92</v>
      </c>
      <c r="CF918" s="73">
        <f t="shared" si="105"/>
        <v>0</v>
      </c>
      <c r="CG918" s="75">
        <f t="shared" si="98"/>
        <v>6944</v>
      </c>
      <c r="CH918" s="75" t="str">
        <f t="shared" si="98"/>
        <v>برنامج دولى</v>
      </c>
    </row>
    <row r="919" spans="3:86" x14ac:dyDescent="0.25">
      <c r="C919" s="82">
        <v>10851</v>
      </c>
      <c r="D919" s="78">
        <v>6945</v>
      </c>
      <c r="E919" s="107" t="s">
        <v>78</v>
      </c>
      <c r="F919" s="69" t="s">
        <v>2505</v>
      </c>
      <c r="G919" s="69"/>
      <c r="H919" s="69">
        <v>534.44000000000005</v>
      </c>
      <c r="U919" s="69"/>
      <c r="V919" s="69"/>
      <c r="AS919" s="94">
        <f t="shared" si="103"/>
        <v>534.44000000000005</v>
      </c>
      <c r="AT919" s="69">
        <v>413.49</v>
      </c>
      <c r="AU919" s="69">
        <v>51.45</v>
      </c>
      <c r="AV919" s="69">
        <v>69.5</v>
      </c>
      <c r="BD919" s="69"/>
      <c r="BE919" s="69"/>
      <c r="CE919" s="94">
        <f t="shared" si="95"/>
        <v>534.44000000000005</v>
      </c>
      <c r="CF919" s="73">
        <f t="shared" si="105"/>
        <v>0</v>
      </c>
      <c r="CG919" s="75">
        <f t="shared" si="98"/>
        <v>6945</v>
      </c>
      <c r="CH919" s="75" t="str">
        <f t="shared" si="98"/>
        <v>برنامج دولى</v>
      </c>
    </row>
    <row r="920" spans="3:86" x14ac:dyDescent="0.25">
      <c r="C920" s="82">
        <v>11151</v>
      </c>
      <c r="D920" s="78">
        <v>6946</v>
      </c>
      <c r="E920" s="107" t="s">
        <v>78</v>
      </c>
      <c r="F920" s="69" t="s">
        <v>2501</v>
      </c>
      <c r="G920" s="69"/>
      <c r="H920" s="69">
        <v>4291.55</v>
      </c>
      <c r="U920" s="69"/>
      <c r="V920" s="69"/>
      <c r="AS920" s="94">
        <f t="shared" si="103"/>
        <v>4291.55</v>
      </c>
      <c r="AT920" s="69">
        <v>3277.36</v>
      </c>
      <c r="AU920" s="69">
        <v>413.9</v>
      </c>
      <c r="AV920" s="69">
        <v>600.29</v>
      </c>
      <c r="BD920" s="69"/>
      <c r="BE920" s="69"/>
      <c r="CE920" s="94">
        <f t="shared" si="95"/>
        <v>4291.55</v>
      </c>
      <c r="CF920" s="73">
        <f t="shared" si="105"/>
        <v>0</v>
      </c>
      <c r="CG920" s="75">
        <f t="shared" si="98"/>
        <v>6946</v>
      </c>
      <c r="CH920" s="75" t="str">
        <f t="shared" si="98"/>
        <v>برنامج دولى</v>
      </c>
    </row>
    <row r="921" spans="3:86" x14ac:dyDescent="0.25">
      <c r="C921" s="82">
        <v>11153</v>
      </c>
      <c r="D921" s="78">
        <v>6947</v>
      </c>
      <c r="E921" s="107" t="s">
        <v>78</v>
      </c>
      <c r="F921" s="69" t="s">
        <v>2501</v>
      </c>
      <c r="G921" s="69"/>
      <c r="H921" s="69">
        <v>500</v>
      </c>
      <c r="U921" s="69"/>
      <c r="V921" s="69"/>
      <c r="AS921" s="94">
        <f t="shared" si="103"/>
        <v>500</v>
      </c>
      <c r="AT921" s="69">
        <v>447.05</v>
      </c>
      <c r="AU921" s="69">
        <v>52.95</v>
      </c>
      <c r="BD921" s="69"/>
      <c r="BE921" s="69"/>
      <c r="CE921" s="94">
        <f t="shared" si="95"/>
        <v>500</v>
      </c>
      <c r="CF921" s="73">
        <f t="shared" si="105"/>
        <v>0</v>
      </c>
      <c r="CG921" s="75">
        <f t="shared" si="98"/>
        <v>6947</v>
      </c>
      <c r="CH921" s="75" t="str">
        <f t="shared" si="98"/>
        <v>برنامج دولى</v>
      </c>
    </row>
    <row r="922" spans="3:86" x14ac:dyDescent="0.25">
      <c r="C922" s="82">
        <v>11152</v>
      </c>
      <c r="D922" s="78">
        <v>6948</v>
      </c>
      <c r="E922" s="107" t="s">
        <v>78</v>
      </c>
      <c r="F922" s="69" t="s">
        <v>2501</v>
      </c>
      <c r="G922" s="69"/>
      <c r="H922" s="69">
        <v>1251.75</v>
      </c>
      <c r="U922" s="69"/>
      <c r="V922" s="69"/>
      <c r="AS922" s="94">
        <f t="shared" si="103"/>
        <v>1251.75</v>
      </c>
      <c r="AT922" s="69">
        <v>1039.5999999999999</v>
      </c>
      <c r="AU922" s="69">
        <v>127.4</v>
      </c>
      <c r="AV922" s="69">
        <v>84.75</v>
      </c>
      <c r="BD922" s="69"/>
      <c r="BE922" s="69"/>
      <c r="CE922" s="94">
        <f t="shared" si="95"/>
        <v>1251.75</v>
      </c>
      <c r="CF922" s="73">
        <f t="shared" si="105"/>
        <v>0</v>
      </c>
      <c r="CG922" s="75">
        <f t="shared" si="98"/>
        <v>6948</v>
      </c>
      <c r="CH922" s="75" t="str">
        <f t="shared" si="98"/>
        <v>برنامج دولى</v>
      </c>
    </row>
    <row r="923" spans="3:86" x14ac:dyDescent="0.25">
      <c r="C923" s="82">
        <v>11154</v>
      </c>
      <c r="D923" s="78">
        <v>6949</v>
      </c>
      <c r="E923" s="107" t="s">
        <v>78</v>
      </c>
      <c r="F923" s="69" t="s">
        <v>2501</v>
      </c>
      <c r="G923" s="69"/>
      <c r="H923" s="69">
        <v>2125.9299999999998</v>
      </c>
      <c r="U923" s="69"/>
      <c r="V923" s="69"/>
      <c r="AS923" s="94">
        <f t="shared" si="103"/>
        <v>2125.9299999999998</v>
      </c>
      <c r="AT923" s="69">
        <v>1670.4</v>
      </c>
      <c r="AU923" s="69">
        <v>208.35</v>
      </c>
      <c r="AV923" s="69">
        <v>247.18</v>
      </c>
      <c r="BD923" s="69"/>
      <c r="BE923" s="69"/>
      <c r="CE923" s="94">
        <f t="shared" si="95"/>
        <v>2125.9299999999998</v>
      </c>
      <c r="CF923" s="73">
        <f t="shared" si="105"/>
        <v>0</v>
      </c>
      <c r="CG923" s="75">
        <f t="shared" si="98"/>
        <v>6949</v>
      </c>
      <c r="CH923" s="75" t="str">
        <f t="shared" si="98"/>
        <v>برنامج دولى</v>
      </c>
    </row>
    <row r="924" spans="3:86" x14ac:dyDescent="0.25">
      <c r="C924" s="82">
        <v>11155</v>
      </c>
      <c r="D924" s="78">
        <v>6950</v>
      </c>
      <c r="E924" s="107" t="s">
        <v>78</v>
      </c>
      <c r="F924" s="69" t="s">
        <v>2501</v>
      </c>
      <c r="G924" s="69"/>
      <c r="H924" s="69">
        <v>646.55999999999995</v>
      </c>
      <c r="U924" s="69"/>
      <c r="V924" s="69"/>
      <c r="AS924" s="94">
        <f t="shared" si="103"/>
        <v>646.55999999999995</v>
      </c>
      <c r="AT924" s="69">
        <v>545.4</v>
      </c>
      <c r="AU924" s="69">
        <v>65.849999999999994</v>
      </c>
      <c r="AV924" s="69">
        <v>35.31</v>
      </c>
      <c r="BD924" s="69"/>
      <c r="BE924" s="69"/>
      <c r="CE924" s="94">
        <f t="shared" si="95"/>
        <v>646.55999999999995</v>
      </c>
      <c r="CF924" s="73">
        <f t="shared" si="105"/>
        <v>0</v>
      </c>
      <c r="CG924" s="75">
        <f t="shared" si="98"/>
        <v>6950</v>
      </c>
      <c r="CH924" s="75" t="str">
        <f t="shared" si="98"/>
        <v>برنامج دولى</v>
      </c>
    </row>
    <row r="925" spans="3:86" x14ac:dyDescent="0.25">
      <c r="C925" s="82"/>
      <c r="D925" s="78">
        <v>6951</v>
      </c>
      <c r="E925" s="107" t="s">
        <v>1431</v>
      </c>
      <c r="F925" s="69" t="s">
        <v>2506</v>
      </c>
      <c r="G925" s="69"/>
      <c r="U925" s="69"/>
      <c r="V925" s="69"/>
      <c r="AS925" s="94">
        <f t="shared" si="103"/>
        <v>0</v>
      </c>
      <c r="AU925" s="69"/>
      <c r="BD925" s="69"/>
      <c r="BE925" s="69"/>
      <c r="CE925" s="94">
        <f t="shared" ref="CE925:CE988" si="106">SUM(AT925:CD925)</f>
        <v>0</v>
      </c>
      <c r="CF925" s="73">
        <f t="shared" si="105"/>
        <v>0</v>
      </c>
      <c r="CG925" s="75">
        <f t="shared" si="98"/>
        <v>6951</v>
      </c>
      <c r="CH925" s="75" t="str">
        <f t="shared" si="98"/>
        <v>لاب فقط</v>
      </c>
    </row>
    <row r="926" spans="3:86" x14ac:dyDescent="0.25">
      <c r="C926" s="82"/>
      <c r="D926" s="78">
        <v>6952</v>
      </c>
      <c r="E926" s="107" t="s">
        <v>1431</v>
      </c>
      <c r="F926" s="69" t="s">
        <v>2507</v>
      </c>
      <c r="G926" s="69"/>
      <c r="U926" s="69"/>
      <c r="V926" s="69"/>
      <c r="AS926" s="94">
        <f t="shared" si="103"/>
        <v>0</v>
      </c>
      <c r="AU926" s="69"/>
      <c r="BD926" s="69"/>
      <c r="BE926" s="69"/>
      <c r="CE926" s="94">
        <f t="shared" si="106"/>
        <v>0</v>
      </c>
      <c r="CF926" s="73">
        <f t="shared" si="105"/>
        <v>0</v>
      </c>
      <c r="CG926" s="75">
        <f t="shared" si="98"/>
        <v>6952</v>
      </c>
      <c r="CH926" s="75" t="str">
        <f t="shared" si="98"/>
        <v>لاب فقط</v>
      </c>
    </row>
    <row r="927" spans="3:86" x14ac:dyDescent="0.25">
      <c r="C927" s="82">
        <v>11612</v>
      </c>
      <c r="D927" s="78">
        <v>6953</v>
      </c>
      <c r="E927" s="107" t="s">
        <v>78</v>
      </c>
      <c r="F927" s="69" t="s">
        <v>2508</v>
      </c>
      <c r="G927" s="69"/>
      <c r="H927" s="69">
        <v>1172.5</v>
      </c>
      <c r="U927" s="69"/>
      <c r="V927" s="69"/>
      <c r="AS927" s="94">
        <f t="shared" si="103"/>
        <v>1172.5</v>
      </c>
      <c r="AT927" s="69">
        <v>784.1</v>
      </c>
      <c r="AU927" s="69">
        <v>105.9</v>
      </c>
      <c r="AV927" s="69">
        <v>282.5</v>
      </c>
      <c r="BD927" s="69"/>
      <c r="BE927" s="69"/>
      <c r="CE927" s="94">
        <f t="shared" si="106"/>
        <v>1172.5</v>
      </c>
      <c r="CF927" s="73">
        <f t="shared" si="105"/>
        <v>0</v>
      </c>
      <c r="CG927" s="75">
        <f t="shared" si="98"/>
        <v>6953</v>
      </c>
      <c r="CH927" s="75" t="str">
        <f t="shared" si="98"/>
        <v>برنامج دولى</v>
      </c>
    </row>
    <row r="928" spans="3:86" x14ac:dyDescent="0.25">
      <c r="C928" s="82">
        <v>11610</v>
      </c>
      <c r="D928" s="78">
        <v>6954</v>
      </c>
      <c r="E928" s="107" t="s">
        <v>78</v>
      </c>
      <c r="F928" s="69" t="s">
        <v>2509</v>
      </c>
      <c r="G928" s="69"/>
      <c r="H928" s="69">
        <v>938</v>
      </c>
      <c r="U928" s="69"/>
      <c r="V928" s="69"/>
      <c r="AS928" s="94">
        <f t="shared" si="103"/>
        <v>938</v>
      </c>
      <c r="AT928" s="69">
        <v>628</v>
      </c>
      <c r="AU928" s="69">
        <v>84</v>
      </c>
      <c r="AV928" s="69">
        <v>226</v>
      </c>
      <c r="BD928" s="69"/>
      <c r="BE928" s="69"/>
      <c r="CE928" s="94">
        <f t="shared" si="106"/>
        <v>938</v>
      </c>
      <c r="CF928" s="73">
        <f t="shared" si="105"/>
        <v>0</v>
      </c>
      <c r="CG928" s="75">
        <f t="shared" si="98"/>
        <v>6954</v>
      </c>
      <c r="CH928" s="75" t="str">
        <f t="shared" si="98"/>
        <v>برنامج دولى</v>
      </c>
    </row>
    <row r="929" spans="3:86" x14ac:dyDescent="0.25">
      <c r="C929" s="82">
        <v>11611</v>
      </c>
      <c r="D929" s="78">
        <v>6955</v>
      </c>
      <c r="E929" s="107" t="s">
        <v>78</v>
      </c>
      <c r="F929" s="69" t="s">
        <v>2510</v>
      </c>
      <c r="G929" s="69"/>
      <c r="H929" s="69">
        <v>1407</v>
      </c>
      <c r="U929" s="69"/>
      <c r="V929" s="69"/>
      <c r="AS929" s="94">
        <f t="shared" si="103"/>
        <v>1407</v>
      </c>
      <c r="AT929" s="69">
        <v>940.35</v>
      </c>
      <c r="AU929" s="69">
        <f>7.65+120</f>
        <v>127.65</v>
      </c>
      <c r="AV929" s="69">
        <v>339</v>
      </c>
      <c r="BD929" s="69"/>
      <c r="BE929" s="69"/>
      <c r="CE929" s="94">
        <f t="shared" si="106"/>
        <v>1407</v>
      </c>
      <c r="CF929" s="73">
        <f t="shared" si="105"/>
        <v>0</v>
      </c>
      <c r="CG929" s="75">
        <f t="shared" si="98"/>
        <v>6955</v>
      </c>
      <c r="CH929" s="75" t="str">
        <f t="shared" si="98"/>
        <v>برنامج دولى</v>
      </c>
    </row>
    <row r="930" spans="3:86" x14ac:dyDescent="0.25">
      <c r="C930" s="82">
        <v>11609</v>
      </c>
      <c r="D930" s="78">
        <v>6956</v>
      </c>
      <c r="E930" s="107" t="s">
        <v>78</v>
      </c>
      <c r="F930" s="69" t="s">
        <v>2511</v>
      </c>
      <c r="G930" s="69"/>
      <c r="H930" s="69">
        <v>9428.6200000000008</v>
      </c>
      <c r="U930" s="69"/>
      <c r="V930" s="69"/>
      <c r="AS930" s="94">
        <f t="shared" si="103"/>
        <v>9428.6200000000008</v>
      </c>
      <c r="AT930" s="69">
        <v>7758.97</v>
      </c>
      <c r="AU930" s="69">
        <v>967.7</v>
      </c>
      <c r="AV930" s="69">
        <v>701.95</v>
      </c>
      <c r="BD930" s="69"/>
      <c r="BE930" s="69"/>
      <c r="CE930" s="94">
        <f t="shared" si="106"/>
        <v>9428.6200000000008</v>
      </c>
      <c r="CF930" s="73">
        <f t="shared" si="105"/>
        <v>0</v>
      </c>
      <c r="CG930" s="75">
        <f t="shared" si="98"/>
        <v>6956</v>
      </c>
      <c r="CH930" s="75" t="str">
        <f t="shared" si="98"/>
        <v>برنامج دولى</v>
      </c>
    </row>
    <row r="931" spans="3:86" x14ac:dyDescent="0.25">
      <c r="C931" s="82">
        <v>11596</v>
      </c>
      <c r="D931" s="78">
        <v>6957</v>
      </c>
      <c r="E931" s="107" t="s">
        <v>78</v>
      </c>
      <c r="F931" s="69" t="s">
        <v>2512</v>
      </c>
      <c r="G931" s="69"/>
      <c r="H931" s="69">
        <v>938</v>
      </c>
      <c r="U931" s="69"/>
      <c r="V931" s="69"/>
      <c r="AS931" s="94">
        <f t="shared" si="103"/>
        <v>938</v>
      </c>
      <c r="AT931" s="69">
        <v>627.35</v>
      </c>
      <c r="AU931" s="69">
        <v>84.65</v>
      </c>
      <c r="AV931" s="69">
        <v>226</v>
      </c>
      <c r="BD931" s="69"/>
      <c r="BE931" s="69"/>
      <c r="CE931" s="94">
        <f t="shared" si="106"/>
        <v>938</v>
      </c>
      <c r="CF931" s="73">
        <f t="shared" si="105"/>
        <v>0</v>
      </c>
      <c r="CG931" s="75">
        <f t="shared" si="98"/>
        <v>6957</v>
      </c>
      <c r="CH931" s="75" t="str">
        <f t="shared" si="98"/>
        <v>برنامج دولى</v>
      </c>
    </row>
    <row r="932" spans="3:86" x14ac:dyDescent="0.25">
      <c r="C932" s="82">
        <v>11746</v>
      </c>
      <c r="D932" s="78">
        <v>6958</v>
      </c>
      <c r="E932" s="107" t="s">
        <v>78</v>
      </c>
      <c r="F932" s="69" t="s">
        <v>2512</v>
      </c>
      <c r="G932" s="69"/>
      <c r="H932" s="69">
        <v>293.12</v>
      </c>
      <c r="U932" s="69"/>
      <c r="V932" s="69"/>
      <c r="AS932" s="94">
        <f t="shared" si="103"/>
        <v>293.12</v>
      </c>
      <c r="AT932" s="69">
        <v>196.45</v>
      </c>
      <c r="AU932" s="69">
        <v>26.05</v>
      </c>
      <c r="AV932" s="69">
        <v>70.62</v>
      </c>
      <c r="BD932" s="69"/>
      <c r="BE932" s="69"/>
      <c r="CE932" s="94">
        <f t="shared" si="106"/>
        <v>293.12</v>
      </c>
      <c r="CF932" s="73">
        <f t="shared" si="105"/>
        <v>0</v>
      </c>
      <c r="CG932" s="75">
        <f t="shared" si="98"/>
        <v>6958</v>
      </c>
      <c r="CH932" s="75" t="str">
        <f t="shared" si="98"/>
        <v>برنامج دولى</v>
      </c>
    </row>
    <row r="933" spans="3:86" x14ac:dyDescent="0.25">
      <c r="C933" s="82">
        <v>11595</v>
      </c>
      <c r="D933" s="78">
        <v>6959</v>
      </c>
      <c r="E933" s="107" t="s">
        <v>78</v>
      </c>
      <c r="F933" s="69" t="s">
        <v>2512</v>
      </c>
      <c r="G933" s="69"/>
      <c r="H933" s="69">
        <v>323.99</v>
      </c>
      <c r="U933" s="69"/>
      <c r="V933" s="69"/>
      <c r="AS933" s="94">
        <f t="shared" si="103"/>
        <v>323.99</v>
      </c>
      <c r="AT933" s="69">
        <v>253.15</v>
      </c>
      <c r="AU933" s="69">
        <v>31.55</v>
      </c>
      <c r="AV933" s="69">
        <v>39.29</v>
      </c>
      <c r="BD933" s="69"/>
      <c r="BE933" s="69"/>
      <c r="CE933" s="94">
        <f t="shared" si="106"/>
        <v>323.99</v>
      </c>
      <c r="CF933" s="73">
        <f t="shared" si="105"/>
        <v>0</v>
      </c>
      <c r="CG933" s="75">
        <f t="shared" si="98"/>
        <v>6959</v>
      </c>
      <c r="CH933" s="75" t="str">
        <f t="shared" si="98"/>
        <v>برنامج دولى</v>
      </c>
    </row>
    <row r="934" spans="3:86" x14ac:dyDescent="0.25">
      <c r="C934" s="82">
        <v>11594</v>
      </c>
      <c r="D934" s="78">
        <v>6960</v>
      </c>
      <c r="E934" s="107" t="s">
        <v>78</v>
      </c>
      <c r="F934" s="69" t="s">
        <v>2512</v>
      </c>
      <c r="G934" s="69"/>
      <c r="H934" s="69">
        <v>2166.23</v>
      </c>
      <c r="U934" s="69"/>
      <c r="V934" s="69"/>
      <c r="AS934" s="94">
        <f t="shared" si="103"/>
        <v>2166.23</v>
      </c>
      <c r="AT934" s="69">
        <v>1376.51</v>
      </c>
      <c r="AU934" s="69">
        <v>189.95</v>
      </c>
      <c r="AV934" s="69">
        <v>599.77</v>
      </c>
      <c r="BD934" s="69"/>
      <c r="BE934" s="69"/>
      <c r="CE934" s="94">
        <f t="shared" si="106"/>
        <v>2166.23</v>
      </c>
      <c r="CF934" s="73">
        <f t="shared" si="105"/>
        <v>0</v>
      </c>
      <c r="CG934" s="75">
        <f t="shared" si="98"/>
        <v>6960</v>
      </c>
      <c r="CH934" s="75" t="str">
        <f t="shared" si="98"/>
        <v>برنامج دولى</v>
      </c>
    </row>
    <row r="935" spans="3:86" x14ac:dyDescent="0.25">
      <c r="C935" s="82">
        <v>11593</v>
      </c>
      <c r="D935" s="78">
        <v>6961</v>
      </c>
      <c r="E935" s="107" t="s">
        <v>78</v>
      </c>
      <c r="F935" s="69" t="s">
        <v>2512</v>
      </c>
      <c r="G935" s="69"/>
      <c r="H935" s="69">
        <v>2389.75</v>
      </c>
      <c r="U935" s="69"/>
      <c r="V935" s="69"/>
      <c r="AS935" s="94">
        <f t="shared" si="103"/>
        <v>2389.75</v>
      </c>
      <c r="AT935" s="69">
        <v>1846.7</v>
      </c>
      <c r="AU935" s="69">
        <v>232.3</v>
      </c>
      <c r="AV935" s="69">
        <v>310.75</v>
      </c>
      <c r="BD935" s="69"/>
      <c r="BE935" s="69"/>
      <c r="CE935" s="94">
        <f t="shared" si="106"/>
        <v>2389.75</v>
      </c>
      <c r="CF935" s="73">
        <f t="shared" si="105"/>
        <v>0</v>
      </c>
      <c r="CG935" s="75">
        <f t="shared" si="98"/>
        <v>6961</v>
      </c>
      <c r="CH935" s="75" t="str">
        <f t="shared" si="98"/>
        <v>برنامج دولى</v>
      </c>
    </row>
    <row r="936" spans="3:86" x14ac:dyDescent="0.25">
      <c r="C936" s="82">
        <v>11618</v>
      </c>
      <c r="D936" s="78">
        <v>6962</v>
      </c>
      <c r="E936" s="107" t="s">
        <v>78</v>
      </c>
      <c r="F936" s="69" t="s">
        <v>2513</v>
      </c>
      <c r="G936" s="69"/>
      <c r="H936" s="69">
        <v>553.69000000000005</v>
      </c>
      <c r="U936" s="69"/>
      <c r="V936" s="69"/>
      <c r="AS936" s="94">
        <f t="shared" si="103"/>
        <v>553.69000000000005</v>
      </c>
      <c r="AT936" s="69">
        <v>428.09</v>
      </c>
      <c r="AU936" s="69">
        <v>54.05</v>
      </c>
      <c r="AV936" s="69">
        <v>71.55</v>
      </c>
      <c r="BD936" s="69"/>
      <c r="BE936" s="69"/>
      <c r="CE936" s="94">
        <f t="shared" si="106"/>
        <v>553.68999999999994</v>
      </c>
      <c r="CF936" s="73">
        <f t="shared" si="105"/>
        <v>0</v>
      </c>
      <c r="CG936" s="75">
        <f t="shared" si="98"/>
        <v>6962</v>
      </c>
      <c r="CH936" s="75" t="str">
        <f t="shared" si="98"/>
        <v>برنامج دولى</v>
      </c>
    </row>
    <row r="937" spans="3:86" x14ac:dyDescent="0.25">
      <c r="C937" s="82">
        <v>11617</v>
      </c>
      <c r="D937" s="78">
        <v>6963</v>
      </c>
      <c r="E937" s="107" t="s">
        <v>78</v>
      </c>
      <c r="F937" s="69" t="s">
        <v>2514</v>
      </c>
      <c r="G937" s="69"/>
      <c r="H937" s="69">
        <v>984.9</v>
      </c>
      <c r="U937" s="69"/>
      <c r="V937" s="69"/>
      <c r="AS937" s="94">
        <f t="shared" si="103"/>
        <v>984.9</v>
      </c>
      <c r="AT937" s="69">
        <v>659.35</v>
      </c>
      <c r="AU937" s="69">
        <v>88.25</v>
      </c>
      <c r="AV937" s="69">
        <v>237.3</v>
      </c>
      <c r="BD937" s="69"/>
      <c r="BE937" s="69"/>
      <c r="CE937" s="94">
        <f t="shared" si="106"/>
        <v>984.90000000000009</v>
      </c>
      <c r="CF937" s="73">
        <f t="shared" si="105"/>
        <v>0</v>
      </c>
      <c r="CG937" s="75">
        <f t="shared" si="98"/>
        <v>6963</v>
      </c>
      <c r="CH937" s="75" t="str">
        <f t="shared" si="98"/>
        <v>برنامج دولى</v>
      </c>
    </row>
    <row r="938" spans="3:86" x14ac:dyDescent="0.25">
      <c r="C938" s="82">
        <v>11616</v>
      </c>
      <c r="D938" s="78">
        <v>6964</v>
      </c>
      <c r="E938" s="107" t="s">
        <v>78</v>
      </c>
      <c r="F938" s="69" t="s">
        <v>2514</v>
      </c>
      <c r="G938" s="69"/>
      <c r="H938" s="69">
        <v>281.39999999999998</v>
      </c>
      <c r="U938" s="69"/>
      <c r="V938" s="69"/>
      <c r="AS938" s="94">
        <f t="shared" si="103"/>
        <v>281.39999999999998</v>
      </c>
      <c r="AT938" s="69">
        <v>188.6</v>
      </c>
      <c r="AU938" s="69">
        <v>25</v>
      </c>
      <c r="AV938" s="69">
        <v>67.8</v>
      </c>
      <c r="BD938" s="69"/>
      <c r="BE938" s="69"/>
      <c r="CE938" s="94">
        <f t="shared" si="106"/>
        <v>281.39999999999998</v>
      </c>
      <c r="CF938" s="73">
        <f t="shared" si="105"/>
        <v>0</v>
      </c>
      <c r="CG938" s="75">
        <f t="shared" si="98"/>
        <v>6964</v>
      </c>
      <c r="CH938" s="75" t="str">
        <f t="shared" si="98"/>
        <v>برنامج دولى</v>
      </c>
    </row>
    <row r="939" spans="3:86" x14ac:dyDescent="0.25">
      <c r="C939" s="82">
        <v>11615</v>
      </c>
      <c r="D939" s="78">
        <v>6965</v>
      </c>
      <c r="E939" s="107" t="s">
        <v>78</v>
      </c>
      <c r="F939" s="69" t="s">
        <v>1215</v>
      </c>
      <c r="G939" s="69"/>
      <c r="H939" s="69">
        <v>3610.38</v>
      </c>
      <c r="U939" s="69"/>
      <c r="V939" s="69"/>
      <c r="AS939" s="94">
        <f t="shared" si="103"/>
        <v>3610.38</v>
      </c>
      <c r="AT939" s="69">
        <v>2293.48</v>
      </c>
      <c r="AU939" s="69">
        <v>317.3</v>
      </c>
      <c r="AV939" s="69">
        <v>999.6</v>
      </c>
      <c r="BD939" s="69"/>
      <c r="BE939" s="69"/>
      <c r="CE939" s="94">
        <f t="shared" si="106"/>
        <v>3610.38</v>
      </c>
      <c r="CF939" s="73">
        <f t="shared" si="105"/>
        <v>0</v>
      </c>
      <c r="CG939" s="75">
        <f t="shared" si="98"/>
        <v>6965</v>
      </c>
      <c r="CH939" s="75" t="str">
        <f t="shared" si="98"/>
        <v>برنامج دولى</v>
      </c>
    </row>
    <row r="940" spans="3:86" x14ac:dyDescent="0.25">
      <c r="C940" s="82">
        <v>11614</v>
      </c>
      <c r="D940" s="78">
        <v>6966</v>
      </c>
      <c r="E940" s="107" t="s">
        <v>78</v>
      </c>
      <c r="F940" s="69" t="s">
        <v>1215</v>
      </c>
      <c r="G940" s="69"/>
      <c r="H940" s="69">
        <v>1172.5</v>
      </c>
      <c r="U940" s="69"/>
      <c r="V940" s="69"/>
      <c r="AS940" s="94">
        <f t="shared" si="103"/>
        <v>1172.5</v>
      </c>
      <c r="AT940" s="69">
        <v>784.1</v>
      </c>
      <c r="AU940" s="69">
        <v>105.9</v>
      </c>
      <c r="AV940" s="69">
        <v>282.5</v>
      </c>
      <c r="BD940" s="69"/>
      <c r="BE940" s="69"/>
      <c r="CE940" s="94">
        <f t="shared" si="106"/>
        <v>1172.5</v>
      </c>
      <c r="CF940" s="73">
        <f t="shared" si="105"/>
        <v>0</v>
      </c>
      <c r="CG940" s="75">
        <f t="shared" si="98"/>
        <v>6966</v>
      </c>
      <c r="CH940" s="75" t="str">
        <f t="shared" si="98"/>
        <v>برنامج دولى</v>
      </c>
    </row>
    <row r="941" spans="3:86" x14ac:dyDescent="0.25">
      <c r="C941" s="82">
        <v>11613</v>
      </c>
      <c r="D941" s="78">
        <v>6967</v>
      </c>
      <c r="E941" s="107" t="s">
        <v>78</v>
      </c>
      <c r="F941" s="69" t="s">
        <v>1215</v>
      </c>
      <c r="G941" s="69"/>
      <c r="H941" s="69">
        <v>3610.38</v>
      </c>
      <c r="U941" s="69"/>
      <c r="V941" s="69"/>
      <c r="AS941" s="94">
        <f t="shared" si="103"/>
        <v>3610.38</v>
      </c>
      <c r="AT941" s="69">
        <v>2293.48</v>
      </c>
      <c r="AU941" s="69">
        <v>317.3</v>
      </c>
      <c r="AV941" s="69">
        <v>999.6</v>
      </c>
      <c r="BD941" s="69"/>
      <c r="BE941" s="69"/>
      <c r="CE941" s="94">
        <f t="shared" si="106"/>
        <v>3610.38</v>
      </c>
      <c r="CF941" s="73">
        <f t="shared" si="105"/>
        <v>0</v>
      </c>
      <c r="CG941" s="75">
        <f t="shared" si="98"/>
        <v>6967</v>
      </c>
      <c r="CH941" s="75" t="str">
        <f t="shared" si="98"/>
        <v>برنامج دولى</v>
      </c>
    </row>
    <row r="942" spans="3:86" x14ac:dyDescent="0.25">
      <c r="C942" s="82">
        <v>11619</v>
      </c>
      <c r="D942" s="78">
        <v>6968</v>
      </c>
      <c r="E942" s="107" t="s">
        <v>78</v>
      </c>
      <c r="F942" s="69" t="s">
        <v>1452</v>
      </c>
      <c r="G942" s="69"/>
      <c r="H942" s="69">
        <v>1758.75</v>
      </c>
      <c r="U942" s="69"/>
      <c r="V942" s="69"/>
      <c r="AS942" s="94">
        <f t="shared" si="103"/>
        <v>1758.75</v>
      </c>
      <c r="AT942" s="69">
        <v>1175.3499999999999</v>
      </c>
      <c r="AU942" s="69">
        <v>159.65</v>
      </c>
      <c r="AV942" s="69">
        <v>423.75</v>
      </c>
      <c r="BD942" s="69"/>
      <c r="BE942" s="69"/>
      <c r="CE942" s="94">
        <f t="shared" si="106"/>
        <v>1758.75</v>
      </c>
      <c r="CF942" s="73">
        <f t="shared" si="105"/>
        <v>0</v>
      </c>
      <c r="CG942" s="75">
        <f t="shared" si="98"/>
        <v>6968</v>
      </c>
      <c r="CH942" s="75" t="str">
        <f t="shared" si="98"/>
        <v>برنامج دولى</v>
      </c>
    </row>
    <row r="943" spans="3:86" x14ac:dyDescent="0.25">
      <c r="C943" s="82">
        <v>11620</v>
      </c>
      <c r="D943" s="78">
        <v>6969</v>
      </c>
      <c r="E943" s="107" t="s">
        <v>78</v>
      </c>
      <c r="F943" s="69" t="s">
        <v>2357</v>
      </c>
      <c r="G943" s="69"/>
      <c r="H943" s="69">
        <v>586.25</v>
      </c>
      <c r="U943" s="69"/>
      <c r="V943" s="69"/>
      <c r="AS943" s="94">
        <f t="shared" si="103"/>
        <v>586.25</v>
      </c>
      <c r="AT943" s="69">
        <v>392.4</v>
      </c>
      <c r="AU943" s="69">
        <v>52.6</v>
      </c>
      <c r="AV943" s="69">
        <v>141.25</v>
      </c>
      <c r="BD943" s="69"/>
      <c r="BE943" s="69"/>
      <c r="CE943" s="94">
        <f t="shared" si="106"/>
        <v>586.25</v>
      </c>
      <c r="CF943" s="73">
        <f t="shared" si="105"/>
        <v>0</v>
      </c>
      <c r="CG943" s="75">
        <f t="shared" si="98"/>
        <v>6969</v>
      </c>
      <c r="CH943" s="75" t="str">
        <f t="shared" si="98"/>
        <v>برنامج دولى</v>
      </c>
    </row>
    <row r="944" spans="3:86" x14ac:dyDescent="0.25">
      <c r="C944" s="82">
        <v>11625</v>
      </c>
      <c r="D944" s="78">
        <v>6970</v>
      </c>
      <c r="E944" s="107" t="s">
        <v>78</v>
      </c>
      <c r="F944" s="69" t="s">
        <v>2515</v>
      </c>
      <c r="G944" s="69"/>
      <c r="H944" s="69">
        <v>586.25</v>
      </c>
      <c r="U944" s="69"/>
      <c r="V944" s="69"/>
      <c r="AS944" s="94">
        <f t="shared" si="103"/>
        <v>586.25</v>
      </c>
      <c r="AT944" s="69">
        <v>392.4</v>
      </c>
      <c r="AU944" s="69">
        <v>52.6</v>
      </c>
      <c r="AV944" s="69">
        <v>141.25</v>
      </c>
      <c r="BD944" s="69"/>
      <c r="BE944" s="69"/>
      <c r="CE944" s="94">
        <f t="shared" si="106"/>
        <v>586.25</v>
      </c>
      <c r="CF944" s="73">
        <f t="shared" si="105"/>
        <v>0</v>
      </c>
      <c r="CG944" s="75">
        <f t="shared" si="98"/>
        <v>6970</v>
      </c>
      <c r="CH944" s="75" t="str">
        <f t="shared" si="98"/>
        <v>برنامج دولى</v>
      </c>
    </row>
    <row r="945" spans="3:86" x14ac:dyDescent="0.25">
      <c r="C945" s="82">
        <v>11624</v>
      </c>
      <c r="D945" s="78">
        <v>6971</v>
      </c>
      <c r="E945" s="107" t="s">
        <v>78</v>
      </c>
      <c r="F945" s="69" t="s">
        <v>2516</v>
      </c>
      <c r="G945" s="69"/>
      <c r="H945" s="69">
        <v>46.9</v>
      </c>
      <c r="U945" s="69"/>
      <c r="V945" s="69"/>
      <c r="AS945" s="94">
        <f t="shared" si="103"/>
        <v>46.9</v>
      </c>
      <c r="AT945" s="69">
        <v>31.6</v>
      </c>
      <c r="AU945" s="69">
        <v>4</v>
      </c>
      <c r="AV945" s="69">
        <v>11.3</v>
      </c>
      <c r="BD945" s="69"/>
      <c r="BE945" s="69"/>
      <c r="CE945" s="94">
        <f t="shared" si="106"/>
        <v>46.900000000000006</v>
      </c>
      <c r="CF945" s="73">
        <f t="shared" si="105"/>
        <v>0</v>
      </c>
      <c r="CG945" s="75">
        <f t="shared" si="98"/>
        <v>6971</v>
      </c>
      <c r="CH945" s="75" t="str">
        <f t="shared" si="98"/>
        <v>برنامج دولى</v>
      </c>
    </row>
    <row r="946" spans="3:86" x14ac:dyDescent="0.25">
      <c r="C946" s="82">
        <v>11623</v>
      </c>
      <c r="D946" s="78">
        <v>6972</v>
      </c>
      <c r="E946" s="107" t="s">
        <v>78</v>
      </c>
      <c r="F946" s="69" t="s">
        <v>2516</v>
      </c>
      <c r="G946" s="69"/>
      <c r="H946" s="69">
        <v>281.39999999999998</v>
      </c>
      <c r="U946" s="69"/>
      <c r="V946" s="69"/>
      <c r="AS946" s="94">
        <f t="shared" si="103"/>
        <v>281.39999999999998</v>
      </c>
      <c r="AT946" s="69">
        <v>189.6</v>
      </c>
      <c r="AU946" s="69">
        <v>24</v>
      </c>
      <c r="AV946" s="69">
        <v>67.8</v>
      </c>
      <c r="BD946" s="69"/>
      <c r="BE946" s="69"/>
      <c r="CE946" s="94">
        <f t="shared" si="106"/>
        <v>281.39999999999998</v>
      </c>
      <c r="CF946" s="73">
        <f t="shared" si="105"/>
        <v>0</v>
      </c>
      <c r="CG946" s="75">
        <f t="shared" si="98"/>
        <v>6972</v>
      </c>
      <c r="CH946" s="75" t="str">
        <f t="shared" si="98"/>
        <v>برنامج دولى</v>
      </c>
    </row>
    <row r="947" spans="3:86" x14ac:dyDescent="0.25">
      <c r="C947" s="82">
        <v>11622</v>
      </c>
      <c r="D947" s="78">
        <v>6973</v>
      </c>
      <c r="E947" s="107" t="s">
        <v>78</v>
      </c>
      <c r="F947" s="69" t="s">
        <v>2517</v>
      </c>
      <c r="G947" s="69"/>
      <c r="H947" s="69">
        <v>1172.5</v>
      </c>
      <c r="U947" s="69"/>
      <c r="V947" s="69"/>
      <c r="AS947" s="94">
        <f t="shared" si="103"/>
        <v>1172.5</v>
      </c>
      <c r="AT947" s="69">
        <v>784.1</v>
      </c>
      <c r="AU947" s="69">
        <v>105.9</v>
      </c>
      <c r="AV947" s="69">
        <v>282.5</v>
      </c>
      <c r="BD947" s="69"/>
      <c r="BE947" s="69"/>
      <c r="CE947" s="94">
        <f t="shared" si="106"/>
        <v>1172.5</v>
      </c>
      <c r="CF947" s="73">
        <f t="shared" si="105"/>
        <v>0</v>
      </c>
      <c r="CG947" s="75">
        <f t="shared" si="98"/>
        <v>6973</v>
      </c>
      <c r="CH947" s="75" t="str">
        <f t="shared" si="98"/>
        <v>برنامج دولى</v>
      </c>
    </row>
    <row r="948" spans="3:86" x14ac:dyDescent="0.25">
      <c r="C948" s="82">
        <v>11621</v>
      </c>
      <c r="D948" s="78">
        <v>6974</v>
      </c>
      <c r="E948" s="107" t="s">
        <v>78</v>
      </c>
      <c r="F948" s="69" t="s">
        <v>1644</v>
      </c>
      <c r="G948" s="69"/>
      <c r="H948" s="69">
        <v>2931.24</v>
      </c>
      <c r="U948" s="69"/>
      <c r="V948" s="69"/>
      <c r="AS948" s="94">
        <f t="shared" si="103"/>
        <v>2931.24</v>
      </c>
      <c r="AT948" s="69">
        <v>1959</v>
      </c>
      <c r="AU948" s="69">
        <v>266</v>
      </c>
      <c r="AV948" s="69">
        <v>706.24</v>
      </c>
      <c r="BD948" s="69"/>
      <c r="BE948" s="69"/>
      <c r="CE948" s="94">
        <f t="shared" si="106"/>
        <v>2931.24</v>
      </c>
      <c r="CF948" s="73">
        <f t="shared" si="105"/>
        <v>0</v>
      </c>
      <c r="CG948" s="75">
        <f t="shared" si="98"/>
        <v>6974</v>
      </c>
      <c r="CH948" s="75" t="str">
        <f t="shared" si="98"/>
        <v>برنامج دولى</v>
      </c>
    </row>
    <row r="949" spans="3:86" x14ac:dyDescent="0.25">
      <c r="C949" s="82">
        <v>11626</v>
      </c>
      <c r="D949" s="78">
        <v>6975</v>
      </c>
      <c r="E949" s="107" t="s">
        <v>78</v>
      </c>
      <c r="F949" s="69" t="s">
        <v>2096</v>
      </c>
      <c r="G949" s="69"/>
      <c r="H949" s="69">
        <v>1200</v>
      </c>
      <c r="U949" s="69"/>
      <c r="V949" s="69"/>
      <c r="AS949" s="94">
        <f t="shared" si="103"/>
        <v>1200</v>
      </c>
      <c r="AT949" s="69">
        <v>1071.3499999999999</v>
      </c>
      <c r="AU949" s="69">
        <v>128.65</v>
      </c>
      <c r="BD949" s="69"/>
      <c r="BE949" s="69"/>
      <c r="CE949" s="94">
        <f t="shared" si="106"/>
        <v>1200</v>
      </c>
      <c r="CF949" s="73">
        <f t="shared" si="105"/>
        <v>0</v>
      </c>
      <c r="CG949" s="75">
        <f t="shared" si="98"/>
        <v>6975</v>
      </c>
      <c r="CH949" s="75" t="str">
        <f t="shared" si="98"/>
        <v>برنامج دولى</v>
      </c>
    </row>
    <row r="950" spans="3:86" x14ac:dyDescent="0.25">
      <c r="C950" s="82">
        <v>11627</v>
      </c>
      <c r="D950" s="78">
        <v>6976</v>
      </c>
      <c r="E950" s="107" t="s">
        <v>78</v>
      </c>
      <c r="F950" s="69" t="s">
        <v>2096</v>
      </c>
      <c r="G950" s="69"/>
      <c r="H950" s="69">
        <v>1200</v>
      </c>
      <c r="U950" s="69"/>
      <c r="V950" s="69"/>
      <c r="AS950" s="94">
        <f t="shared" si="103"/>
        <v>1200</v>
      </c>
      <c r="AT950" s="69">
        <v>1071.3499999999999</v>
      </c>
      <c r="AU950" s="69">
        <v>128.65</v>
      </c>
      <c r="BD950" s="69"/>
      <c r="BE950" s="69"/>
      <c r="CE950" s="94">
        <f t="shared" si="106"/>
        <v>1200</v>
      </c>
      <c r="CF950" s="73">
        <f t="shared" si="105"/>
        <v>0</v>
      </c>
      <c r="CG950" s="75">
        <f t="shared" ref="CG950:CH1013" si="107">+D950</f>
        <v>6976</v>
      </c>
      <c r="CH950" s="75" t="str">
        <f t="shared" si="107"/>
        <v>برنامج دولى</v>
      </c>
    </row>
    <row r="951" spans="3:86" x14ac:dyDescent="0.25">
      <c r="C951" s="82">
        <v>11597</v>
      </c>
      <c r="D951" s="78">
        <v>6977</v>
      </c>
      <c r="E951" s="107" t="s">
        <v>78</v>
      </c>
      <c r="F951" s="69" t="s">
        <v>2518</v>
      </c>
      <c r="G951" s="69"/>
      <c r="H951" s="69">
        <v>95408.16</v>
      </c>
      <c r="U951" s="69"/>
      <c r="V951" s="69"/>
      <c r="AS951" s="94">
        <f t="shared" si="103"/>
        <v>95408.16</v>
      </c>
      <c r="AT951" s="69">
        <v>63430.57</v>
      </c>
      <c r="AU951" s="69">
        <v>8578.2000000000007</v>
      </c>
      <c r="AV951" s="69">
        <v>23399.39</v>
      </c>
      <c r="BD951" s="69"/>
      <c r="BE951" s="69"/>
      <c r="CE951" s="94">
        <f t="shared" si="106"/>
        <v>95408.16</v>
      </c>
      <c r="CF951" s="73">
        <f t="shared" si="105"/>
        <v>0</v>
      </c>
      <c r="CG951" s="75">
        <f t="shared" si="107"/>
        <v>6977</v>
      </c>
      <c r="CH951" s="75" t="str">
        <f t="shared" si="107"/>
        <v>برنامج دولى</v>
      </c>
    </row>
    <row r="952" spans="3:86" x14ac:dyDescent="0.25">
      <c r="C952" s="82">
        <v>11598</v>
      </c>
      <c r="D952" s="78">
        <v>6978</v>
      </c>
      <c r="E952" s="107" t="s">
        <v>78</v>
      </c>
      <c r="F952" s="69" t="s">
        <v>2518</v>
      </c>
      <c r="G952" s="69"/>
      <c r="H952" s="69">
        <v>527.62</v>
      </c>
      <c r="U952" s="69"/>
      <c r="V952" s="69"/>
      <c r="AS952" s="94">
        <f t="shared" si="103"/>
        <v>527.62</v>
      </c>
      <c r="AT952" s="69">
        <v>353.2</v>
      </c>
      <c r="AU952" s="69">
        <v>47.3</v>
      </c>
      <c r="AV952" s="69">
        <v>127.12</v>
      </c>
      <c r="BD952" s="69"/>
      <c r="BE952" s="69"/>
      <c r="CE952" s="94">
        <f t="shared" si="106"/>
        <v>527.62</v>
      </c>
      <c r="CF952" s="73">
        <f t="shared" si="105"/>
        <v>0</v>
      </c>
      <c r="CG952" s="75">
        <f t="shared" si="107"/>
        <v>6978</v>
      </c>
      <c r="CH952" s="75" t="str">
        <f t="shared" si="107"/>
        <v>برنامج دولى</v>
      </c>
    </row>
    <row r="953" spans="3:86" x14ac:dyDescent="0.25">
      <c r="C953" s="82">
        <v>11599</v>
      </c>
      <c r="D953" s="78">
        <v>6979</v>
      </c>
      <c r="E953" s="107" t="s">
        <v>78</v>
      </c>
      <c r="F953" s="69" t="s">
        <v>2518</v>
      </c>
      <c r="G953" s="69"/>
      <c r="H953" s="69">
        <v>6184.95</v>
      </c>
      <c r="U953" s="69"/>
      <c r="V953" s="69"/>
      <c r="AS953" s="94">
        <f t="shared" ref="AS953:AS1074" si="108">SUM(H953:AR953)</f>
        <v>6184.95</v>
      </c>
      <c r="AT953" s="69">
        <v>4134.1000000000004</v>
      </c>
      <c r="AU953" s="69">
        <v>560.65</v>
      </c>
      <c r="AV953" s="69">
        <v>1490.2</v>
      </c>
      <c r="BD953" s="69"/>
      <c r="BE953" s="69"/>
      <c r="CE953" s="94">
        <f t="shared" si="106"/>
        <v>6184.95</v>
      </c>
      <c r="CF953" s="73">
        <f t="shared" si="105"/>
        <v>0</v>
      </c>
      <c r="CG953" s="75">
        <f t="shared" si="107"/>
        <v>6979</v>
      </c>
      <c r="CH953" s="75" t="str">
        <f t="shared" si="107"/>
        <v>برنامج دولى</v>
      </c>
    </row>
    <row r="954" spans="3:86" x14ac:dyDescent="0.25">
      <c r="C954" s="82">
        <v>11600</v>
      </c>
      <c r="D954" s="78">
        <v>6980</v>
      </c>
      <c r="E954" s="107" t="s">
        <v>78</v>
      </c>
      <c r="F954" s="69" t="s">
        <v>2518</v>
      </c>
      <c r="G954" s="69"/>
      <c r="H954" s="69">
        <v>1113.8800000000001</v>
      </c>
      <c r="U954" s="69"/>
      <c r="V954" s="69"/>
      <c r="AS954" s="94">
        <f t="shared" si="108"/>
        <v>1113.8800000000001</v>
      </c>
      <c r="AT954" s="69">
        <v>744.9</v>
      </c>
      <c r="AU954" s="69">
        <v>100.6</v>
      </c>
      <c r="AV954" s="69">
        <v>268.38</v>
      </c>
      <c r="BD954" s="69"/>
      <c r="BE954" s="69"/>
      <c r="CE954" s="94">
        <f t="shared" si="106"/>
        <v>1113.8800000000001</v>
      </c>
      <c r="CF954" s="73">
        <f t="shared" si="105"/>
        <v>0</v>
      </c>
      <c r="CG954" s="75">
        <f t="shared" si="107"/>
        <v>6980</v>
      </c>
      <c r="CH954" s="75" t="str">
        <f t="shared" si="107"/>
        <v>برنامج دولى</v>
      </c>
    </row>
    <row r="955" spans="3:86" x14ac:dyDescent="0.25">
      <c r="C955" s="82">
        <v>11608</v>
      </c>
      <c r="D955" s="78">
        <v>6981</v>
      </c>
      <c r="E955" s="107" t="s">
        <v>78</v>
      </c>
      <c r="F955" s="69" t="s">
        <v>2518</v>
      </c>
      <c r="G955" s="69"/>
      <c r="H955" s="69">
        <v>39866.370000000003</v>
      </c>
      <c r="U955" s="69"/>
      <c r="V955" s="69"/>
      <c r="AS955" s="94">
        <f t="shared" si="108"/>
        <v>39866.370000000003</v>
      </c>
      <c r="AT955" s="69">
        <v>27048.45</v>
      </c>
      <c r="AU955" s="69">
        <v>3579.15</v>
      </c>
      <c r="AV955" s="69">
        <v>9238.77</v>
      </c>
      <c r="BD955" s="69"/>
      <c r="BE955" s="69"/>
      <c r="CE955" s="94">
        <f t="shared" si="106"/>
        <v>39866.370000000003</v>
      </c>
      <c r="CF955" s="73">
        <f t="shared" si="105"/>
        <v>0</v>
      </c>
      <c r="CG955" s="75">
        <f t="shared" si="107"/>
        <v>6981</v>
      </c>
      <c r="CH955" s="75" t="str">
        <f t="shared" si="107"/>
        <v>برنامج دولى</v>
      </c>
    </row>
    <row r="956" spans="3:86" x14ac:dyDescent="0.25">
      <c r="C956" s="82">
        <v>11607</v>
      </c>
      <c r="D956" s="78">
        <v>6982</v>
      </c>
      <c r="E956" s="107" t="s">
        <v>78</v>
      </c>
      <c r="F956" s="69" t="s">
        <v>2518</v>
      </c>
      <c r="G956" s="69"/>
      <c r="H956" s="69">
        <v>820.75</v>
      </c>
      <c r="U956" s="69"/>
      <c r="V956" s="69"/>
      <c r="AS956" s="94">
        <f t="shared" si="108"/>
        <v>820.75</v>
      </c>
      <c r="AT956" s="69">
        <v>548.95000000000005</v>
      </c>
      <c r="AU956" s="69">
        <v>74.05</v>
      </c>
      <c r="AV956" s="69">
        <v>197.75</v>
      </c>
      <c r="BD956" s="69"/>
      <c r="BE956" s="69"/>
      <c r="CE956" s="94">
        <f t="shared" si="106"/>
        <v>820.75</v>
      </c>
      <c r="CF956" s="73">
        <f t="shared" si="105"/>
        <v>0</v>
      </c>
      <c r="CG956" s="75">
        <f t="shared" si="107"/>
        <v>6982</v>
      </c>
      <c r="CH956" s="75" t="str">
        <f t="shared" si="107"/>
        <v>برنامج دولى</v>
      </c>
    </row>
    <row r="957" spans="3:86" x14ac:dyDescent="0.25">
      <c r="C957" s="82">
        <v>11606</v>
      </c>
      <c r="D957" s="78">
        <v>6983</v>
      </c>
      <c r="E957" s="107" t="s">
        <v>78</v>
      </c>
      <c r="F957" s="69" t="s">
        <v>2518</v>
      </c>
      <c r="G957" s="69"/>
      <c r="H957" s="69">
        <v>117.25</v>
      </c>
      <c r="U957" s="69"/>
      <c r="V957" s="69"/>
      <c r="AS957" s="94">
        <f t="shared" si="108"/>
        <v>117.25</v>
      </c>
      <c r="AT957" s="69">
        <v>78.75</v>
      </c>
      <c r="AU957" s="69">
        <v>10.25</v>
      </c>
      <c r="AV957" s="69">
        <v>28.25</v>
      </c>
      <c r="BD957" s="69"/>
      <c r="BE957" s="69"/>
      <c r="CE957" s="94">
        <f t="shared" si="106"/>
        <v>117.25</v>
      </c>
      <c r="CF957" s="73">
        <f t="shared" si="105"/>
        <v>0</v>
      </c>
      <c r="CG957" s="75">
        <f t="shared" si="107"/>
        <v>6983</v>
      </c>
      <c r="CH957" s="75" t="str">
        <f t="shared" si="107"/>
        <v>برنامج دولى</v>
      </c>
    </row>
    <row r="958" spans="3:86" x14ac:dyDescent="0.25">
      <c r="C958" s="82">
        <v>11605</v>
      </c>
      <c r="D958" s="78">
        <v>6984</v>
      </c>
      <c r="E958" s="107" t="s">
        <v>78</v>
      </c>
      <c r="F958" s="69" t="s">
        <v>2518</v>
      </c>
      <c r="G958" s="69"/>
      <c r="H958" s="69">
        <v>322.44</v>
      </c>
      <c r="U958" s="69"/>
      <c r="V958" s="69"/>
      <c r="AS958" s="94">
        <f t="shared" si="108"/>
        <v>322.44</v>
      </c>
      <c r="AT958" s="69">
        <v>215.95</v>
      </c>
      <c r="AU958" s="69">
        <v>28.8</v>
      </c>
      <c r="AV958" s="69">
        <v>77.69</v>
      </c>
      <c r="BD958" s="69"/>
      <c r="BE958" s="69"/>
      <c r="CE958" s="94">
        <f t="shared" si="106"/>
        <v>322.44</v>
      </c>
      <c r="CF958" s="73">
        <f t="shared" si="105"/>
        <v>0</v>
      </c>
      <c r="CG958" s="75">
        <f t="shared" si="107"/>
        <v>6984</v>
      </c>
      <c r="CH958" s="75" t="str">
        <f t="shared" si="107"/>
        <v>برنامج دولى</v>
      </c>
    </row>
    <row r="959" spans="3:86" x14ac:dyDescent="0.25">
      <c r="C959" s="82">
        <v>11604</v>
      </c>
      <c r="D959" s="78">
        <v>6985</v>
      </c>
      <c r="E959" s="107" t="s">
        <v>78</v>
      </c>
      <c r="F959" s="69" t="s">
        <v>2518</v>
      </c>
      <c r="G959" s="69"/>
      <c r="H959" s="69">
        <v>586.25</v>
      </c>
      <c r="U959" s="69"/>
      <c r="V959" s="69"/>
      <c r="AS959" s="94">
        <f t="shared" si="108"/>
        <v>586.25</v>
      </c>
      <c r="AT959" s="69">
        <v>392.4</v>
      </c>
      <c r="AU959" s="69">
        <v>52.6</v>
      </c>
      <c r="AV959" s="69">
        <v>141.25</v>
      </c>
      <c r="BD959" s="69"/>
      <c r="BE959" s="69"/>
      <c r="CE959" s="94">
        <f t="shared" si="106"/>
        <v>586.25</v>
      </c>
      <c r="CF959" s="73">
        <f t="shared" si="105"/>
        <v>0</v>
      </c>
      <c r="CG959" s="75">
        <f t="shared" si="107"/>
        <v>6985</v>
      </c>
      <c r="CH959" s="75" t="str">
        <f t="shared" si="107"/>
        <v>برنامج دولى</v>
      </c>
    </row>
    <row r="960" spans="3:86" x14ac:dyDescent="0.25">
      <c r="C960" s="82">
        <v>11603</v>
      </c>
      <c r="D960" s="78">
        <v>6986</v>
      </c>
      <c r="E960" s="107" t="s">
        <v>78</v>
      </c>
      <c r="F960" s="69" t="s">
        <v>2518</v>
      </c>
      <c r="G960" s="69"/>
      <c r="H960" s="69">
        <v>762.13</v>
      </c>
      <c r="U960" s="69"/>
      <c r="V960" s="69"/>
      <c r="AS960" s="94">
        <f t="shared" si="108"/>
        <v>762.13</v>
      </c>
      <c r="AT960" s="69">
        <v>510.15</v>
      </c>
      <c r="AU960" s="69">
        <v>68.349999999999994</v>
      </c>
      <c r="AV960" s="69">
        <v>183.63</v>
      </c>
      <c r="BD960" s="69"/>
      <c r="BE960" s="69"/>
      <c r="CE960" s="94">
        <f t="shared" si="106"/>
        <v>762.13</v>
      </c>
      <c r="CF960" s="73">
        <f t="shared" si="105"/>
        <v>0</v>
      </c>
      <c r="CG960" s="75">
        <f t="shared" si="107"/>
        <v>6986</v>
      </c>
      <c r="CH960" s="75" t="str">
        <f t="shared" si="107"/>
        <v>برنامج دولى</v>
      </c>
    </row>
    <row r="961" spans="3:86" x14ac:dyDescent="0.25">
      <c r="C961" s="82">
        <v>11602</v>
      </c>
      <c r="D961" s="78">
        <v>6987</v>
      </c>
      <c r="E961" s="107" t="s">
        <v>78</v>
      </c>
      <c r="F961" s="69" t="s">
        <v>2518</v>
      </c>
      <c r="G961" s="69"/>
      <c r="H961" s="69">
        <v>439.69</v>
      </c>
      <c r="U961" s="69"/>
      <c r="V961" s="69"/>
      <c r="AS961" s="94">
        <f t="shared" si="108"/>
        <v>439.69</v>
      </c>
      <c r="AT961" s="69">
        <v>294.39999999999998</v>
      </c>
      <c r="AU961" s="69">
        <v>39.35</v>
      </c>
      <c r="AV961" s="69">
        <v>105.94</v>
      </c>
      <c r="BD961" s="69"/>
      <c r="BE961" s="69"/>
      <c r="CE961" s="94">
        <f t="shared" si="106"/>
        <v>439.69</v>
      </c>
      <c r="CF961" s="73">
        <f t="shared" si="105"/>
        <v>0</v>
      </c>
      <c r="CG961" s="75">
        <f t="shared" si="107"/>
        <v>6987</v>
      </c>
      <c r="CH961" s="75" t="str">
        <f t="shared" si="107"/>
        <v>برنامج دولى</v>
      </c>
    </row>
    <row r="962" spans="3:86" x14ac:dyDescent="0.25">
      <c r="C962" s="82">
        <v>11601</v>
      </c>
      <c r="D962" s="78">
        <v>6988</v>
      </c>
      <c r="E962" s="107" t="s">
        <v>78</v>
      </c>
      <c r="F962" s="69" t="s">
        <v>2518</v>
      </c>
      <c r="G962" s="69"/>
      <c r="H962" s="69">
        <v>9057.56</v>
      </c>
      <c r="U962" s="69"/>
      <c r="V962" s="69"/>
      <c r="AS962" s="94">
        <f t="shared" si="108"/>
        <v>9057.56</v>
      </c>
      <c r="AT962" s="69">
        <v>6054.5</v>
      </c>
      <c r="AU962" s="69">
        <f>48.25+772.5</f>
        <v>820.75</v>
      </c>
      <c r="AV962" s="69">
        <f>3003.06-48.25-772.5</f>
        <v>2182.31</v>
      </c>
      <c r="BD962" s="69"/>
      <c r="BE962" s="69"/>
      <c r="CE962" s="94">
        <f t="shared" si="106"/>
        <v>9057.56</v>
      </c>
      <c r="CF962" s="73">
        <f t="shared" si="105"/>
        <v>0</v>
      </c>
      <c r="CG962" s="75">
        <f t="shared" si="107"/>
        <v>6988</v>
      </c>
      <c r="CH962" s="75" t="str">
        <f t="shared" si="107"/>
        <v>برنامج دولى</v>
      </c>
    </row>
    <row r="963" spans="3:86" x14ac:dyDescent="0.25">
      <c r="C963" s="82">
        <v>11728</v>
      </c>
      <c r="D963" s="78">
        <v>6989</v>
      </c>
      <c r="E963" s="107" t="s">
        <v>78</v>
      </c>
      <c r="F963" s="69" t="s">
        <v>2519</v>
      </c>
      <c r="G963" s="69"/>
      <c r="H963" s="69">
        <v>1407</v>
      </c>
      <c r="U963" s="69"/>
      <c r="V963" s="69"/>
      <c r="AS963" s="94">
        <f t="shared" si="108"/>
        <v>1407</v>
      </c>
      <c r="AT963" s="69">
        <v>940.35</v>
      </c>
      <c r="AU963" s="69">
        <v>127.65</v>
      </c>
      <c r="AV963" s="69">
        <v>339</v>
      </c>
      <c r="BD963" s="69"/>
      <c r="BE963" s="69"/>
      <c r="CE963" s="94">
        <f t="shared" si="106"/>
        <v>1407</v>
      </c>
      <c r="CF963" s="73">
        <f t="shared" si="105"/>
        <v>0</v>
      </c>
      <c r="CG963" s="75">
        <f t="shared" si="107"/>
        <v>6989</v>
      </c>
      <c r="CH963" s="75" t="str">
        <f t="shared" si="107"/>
        <v>برنامج دولى</v>
      </c>
    </row>
    <row r="964" spans="3:86" x14ac:dyDescent="0.25">
      <c r="C964" s="82">
        <v>11727</v>
      </c>
      <c r="D964" s="78">
        <v>6990</v>
      </c>
      <c r="E964" s="107" t="s">
        <v>78</v>
      </c>
      <c r="F964" s="69" t="s">
        <v>2519</v>
      </c>
      <c r="G964" s="69"/>
      <c r="H964" s="69">
        <v>820.75</v>
      </c>
      <c r="U964" s="69"/>
      <c r="V964" s="69"/>
      <c r="AS964" s="94">
        <f t="shared" si="108"/>
        <v>820.75</v>
      </c>
      <c r="AT964" s="69">
        <v>548.45000000000005</v>
      </c>
      <c r="AU964" s="69">
        <f>70+4.55</f>
        <v>74.55</v>
      </c>
      <c r="AV964" s="69">
        <v>197.75</v>
      </c>
      <c r="BD964" s="69"/>
      <c r="BE964" s="69"/>
      <c r="CE964" s="94">
        <f t="shared" si="106"/>
        <v>820.75</v>
      </c>
      <c r="CF964" s="73">
        <f t="shared" si="105"/>
        <v>0</v>
      </c>
      <c r="CG964" s="75">
        <f t="shared" si="107"/>
        <v>6990</v>
      </c>
      <c r="CH964" s="75" t="str">
        <f t="shared" si="107"/>
        <v>برنامج دولى</v>
      </c>
    </row>
    <row r="965" spans="3:86" x14ac:dyDescent="0.25">
      <c r="C965" s="82">
        <v>11726</v>
      </c>
      <c r="D965" s="78">
        <v>6991</v>
      </c>
      <c r="E965" s="107" t="s">
        <v>78</v>
      </c>
      <c r="F965" s="69" t="s">
        <v>2519</v>
      </c>
      <c r="G965" s="69"/>
      <c r="H965" s="69">
        <v>820.75</v>
      </c>
      <c r="U965" s="69"/>
      <c r="V965" s="69"/>
      <c r="AS965" s="94">
        <f t="shared" si="108"/>
        <v>820.75</v>
      </c>
      <c r="AT965" s="69">
        <v>548.95000000000005</v>
      </c>
      <c r="AU965" s="69">
        <v>74.05</v>
      </c>
      <c r="AV965" s="69">
        <v>197.75</v>
      </c>
      <c r="BD965" s="69"/>
      <c r="BE965" s="69"/>
      <c r="CE965" s="94">
        <f t="shared" si="106"/>
        <v>820.75</v>
      </c>
      <c r="CF965" s="73">
        <f t="shared" si="105"/>
        <v>0</v>
      </c>
      <c r="CG965" s="75">
        <f t="shared" si="107"/>
        <v>6991</v>
      </c>
      <c r="CH965" s="75" t="str">
        <f t="shared" si="107"/>
        <v>برنامج دولى</v>
      </c>
    </row>
    <row r="966" spans="3:86" x14ac:dyDescent="0.25">
      <c r="C966" s="82">
        <v>11725</v>
      </c>
      <c r="D966" s="78">
        <v>6992</v>
      </c>
      <c r="E966" s="107" t="s">
        <v>78</v>
      </c>
      <c r="F966" s="69" t="s">
        <v>1661</v>
      </c>
      <c r="G966" s="69"/>
      <c r="H966" s="69">
        <v>2989.88</v>
      </c>
      <c r="U966" s="69"/>
      <c r="V966" s="69"/>
      <c r="AS966" s="94">
        <f t="shared" si="108"/>
        <v>2989.88</v>
      </c>
      <c r="AT966" s="69">
        <v>1997.85</v>
      </c>
      <c r="AU966" s="69">
        <v>271.64999999999998</v>
      </c>
      <c r="AV966" s="69">
        <v>720.38</v>
      </c>
      <c r="BD966" s="69"/>
      <c r="BE966" s="69"/>
      <c r="CE966" s="94">
        <f t="shared" si="106"/>
        <v>2989.88</v>
      </c>
      <c r="CF966" s="73">
        <f t="shared" si="105"/>
        <v>0</v>
      </c>
      <c r="CG966" s="75">
        <f t="shared" si="107"/>
        <v>6992</v>
      </c>
      <c r="CH966" s="75" t="str">
        <f t="shared" si="107"/>
        <v>برنامج دولى</v>
      </c>
    </row>
    <row r="967" spans="3:86" x14ac:dyDescent="0.25">
      <c r="C967" s="82">
        <v>11724</v>
      </c>
      <c r="D967" s="78">
        <v>6993</v>
      </c>
      <c r="E967" s="107" t="s">
        <v>78</v>
      </c>
      <c r="F967" s="69" t="s">
        <v>1661</v>
      </c>
      <c r="G967" s="69"/>
      <c r="H967" s="69">
        <v>14245.87</v>
      </c>
      <c r="U967" s="69"/>
      <c r="V967" s="69"/>
      <c r="AS967" s="94">
        <f t="shared" si="108"/>
        <v>14245.87</v>
      </c>
      <c r="AT967" s="69">
        <v>9838.5499999999993</v>
      </c>
      <c r="AU967" s="69">
        <v>974.95</v>
      </c>
      <c r="AV967" s="69">
        <v>3432.37</v>
      </c>
      <c r="BD967" s="69"/>
      <c r="BE967" s="69"/>
      <c r="CE967" s="94">
        <f t="shared" si="106"/>
        <v>14245.869999999999</v>
      </c>
      <c r="CF967" s="73">
        <f t="shared" si="105"/>
        <v>0</v>
      </c>
      <c r="CG967" s="75">
        <f t="shared" si="107"/>
        <v>6993</v>
      </c>
      <c r="CH967" s="75" t="str">
        <f t="shared" si="107"/>
        <v>برنامج دولى</v>
      </c>
    </row>
    <row r="968" spans="3:86" x14ac:dyDescent="0.25">
      <c r="C968" s="82">
        <v>11723</v>
      </c>
      <c r="D968" s="78">
        <v>6994</v>
      </c>
      <c r="E968" s="107" t="s">
        <v>78</v>
      </c>
      <c r="F968" s="69" t="s">
        <v>1228</v>
      </c>
      <c r="G968" s="69"/>
      <c r="H968" s="69">
        <v>1993.25</v>
      </c>
      <c r="U968" s="69"/>
      <c r="V968" s="69"/>
      <c r="AS968" s="94">
        <f t="shared" si="108"/>
        <v>1993.25</v>
      </c>
      <c r="AT968" s="69">
        <v>1332.6</v>
      </c>
      <c r="AU968" s="69">
        <v>180.4</v>
      </c>
      <c r="AV968" s="69">
        <v>480.25</v>
      </c>
      <c r="BD968" s="69"/>
      <c r="BE968" s="69"/>
      <c r="CE968" s="94">
        <f t="shared" si="106"/>
        <v>1993.25</v>
      </c>
      <c r="CF968" s="73">
        <f t="shared" si="105"/>
        <v>0</v>
      </c>
      <c r="CG968" s="75">
        <f t="shared" si="107"/>
        <v>6994</v>
      </c>
      <c r="CH968" s="75" t="str">
        <f t="shared" si="107"/>
        <v>برنامج دولى</v>
      </c>
    </row>
    <row r="969" spans="3:86" x14ac:dyDescent="0.25">
      <c r="C969" s="82">
        <v>11722</v>
      </c>
      <c r="D969" s="78">
        <v>6995</v>
      </c>
      <c r="E969" s="107" t="s">
        <v>78</v>
      </c>
      <c r="F969" s="69" t="s">
        <v>2520</v>
      </c>
      <c r="G969" s="69"/>
      <c r="H969" s="69">
        <v>1350</v>
      </c>
      <c r="U969" s="69"/>
      <c r="V969" s="69"/>
      <c r="AS969" s="94">
        <f t="shared" si="108"/>
        <v>1350</v>
      </c>
      <c r="AT969" s="69">
        <v>1205.25</v>
      </c>
      <c r="AU969" s="69">
        <v>144.75</v>
      </c>
      <c r="BD969" s="69"/>
      <c r="BE969" s="69"/>
      <c r="CE969" s="94">
        <f t="shared" si="106"/>
        <v>1350</v>
      </c>
      <c r="CF969" s="73">
        <f t="shared" si="105"/>
        <v>0</v>
      </c>
      <c r="CG969" s="75">
        <f t="shared" si="107"/>
        <v>6995</v>
      </c>
      <c r="CH969" s="75" t="str">
        <f t="shared" si="107"/>
        <v>برنامج دولى</v>
      </c>
    </row>
    <row r="970" spans="3:86" x14ac:dyDescent="0.25">
      <c r="C970" s="82">
        <v>11721</v>
      </c>
      <c r="D970" s="78">
        <v>6996</v>
      </c>
      <c r="E970" s="107" t="s">
        <v>78</v>
      </c>
      <c r="F970" s="69" t="s">
        <v>2099</v>
      </c>
      <c r="G970" s="69"/>
      <c r="H970" s="69">
        <v>750</v>
      </c>
      <c r="U970" s="69"/>
      <c r="V970" s="69"/>
      <c r="AS970" s="94">
        <f t="shared" si="108"/>
        <v>750</v>
      </c>
      <c r="AT970" s="69">
        <v>670.1</v>
      </c>
      <c r="AU970" s="69">
        <v>79.900000000000006</v>
      </c>
      <c r="BD970" s="69"/>
      <c r="BE970" s="69"/>
      <c r="CE970" s="94">
        <f t="shared" si="106"/>
        <v>750</v>
      </c>
      <c r="CF970" s="73">
        <f t="shared" si="105"/>
        <v>0</v>
      </c>
      <c r="CG970" s="75">
        <f t="shared" si="107"/>
        <v>6996</v>
      </c>
      <c r="CH970" s="75" t="str">
        <f t="shared" si="107"/>
        <v>برنامج دولى</v>
      </c>
    </row>
    <row r="971" spans="3:86" x14ac:dyDescent="0.25">
      <c r="C971" s="82">
        <v>11720</v>
      </c>
      <c r="D971" s="78">
        <v>6997</v>
      </c>
      <c r="E971" s="107" t="s">
        <v>78</v>
      </c>
      <c r="F971" s="69" t="s">
        <v>2521</v>
      </c>
      <c r="G971" s="69"/>
      <c r="H971" s="69">
        <v>351.75</v>
      </c>
      <c r="U971" s="69"/>
      <c r="V971" s="69"/>
      <c r="AS971" s="94">
        <f t="shared" si="108"/>
        <v>351.75</v>
      </c>
      <c r="AT971" s="69">
        <v>235.55</v>
      </c>
      <c r="AU971" s="69">
        <v>31.45</v>
      </c>
      <c r="AV971" s="69">
        <v>84.75</v>
      </c>
      <c r="BD971" s="69"/>
      <c r="BE971" s="69"/>
      <c r="CE971" s="94">
        <f t="shared" si="106"/>
        <v>351.75</v>
      </c>
      <c r="CF971" s="73">
        <f t="shared" si="105"/>
        <v>0</v>
      </c>
      <c r="CG971" s="75">
        <f t="shared" si="107"/>
        <v>6997</v>
      </c>
      <c r="CH971" s="75" t="str">
        <f t="shared" si="107"/>
        <v>برنامج دولى</v>
      </c>
    </row>
    <row r="972" spans="3:86" x14ac:dyDescent="0.25">
      <c r="C972" s="82">
        <v>11719</v>
      </c>
      <c r="D972" s="78">
        <v>6998</v>
      </c>
      <c r="E972" s="107" t="s">
        <v>78</v>
      </c>
      <c r="F972" s="69" t="s">
        <v>937</v>
      </c>
      <c r="G972" s="69"/>
      <c r="H972" s="69">
        <v>9559</v>
      </c>
      <c r="U972" s="69"/>
      <c r="V972" s="69"/>
      <c r="AS972" s="94">
        <f t="shared" si="108"/>
        <v>9559</v>
      </c>
      <c r="AT972" s="69">
        <v>7374.35</v>
      </c>
      <c r="AU972" s="69">
        <v>941.65</v>
      </c>
      <c r="AV972" s="69">
        <v>1243</v>
      </c>
      <c r="BD972" s="69"/>
      <c r="BE972" s="69"/>
      <c r="CE972" s="94">
        <f t="shared" si="106"/>
        <v>9559</v>
      </c>
      <c r="CF972" s="73">
        <f t="shared" si="105"/>
        <v>0</v>
      </c>
      <c r="CG972" s="75">
        <f t="shared" si="107"/>
        <v>6998</v>
      </c>
      <c r="CH972" s="75" t="str">
        <f t="shared" si="107"/>
        <v>برنامج دولى</v>
      </c>
    </row>
    <row r="973" spans="3:86" x14ac:dyDescent="0.25">
      <c r="C973" s="82">
        <v>11718</v>
      </c>
      <c r="D973" s="78">
        <v>6999</v>
      </c>
      <c r="E973" s="107" t="s">
        <v>78</v>
      </c>
      <c r="F973" s="69" t="s">
        <v>937</v>
      </c>
      <c r="G973" s="69"/>
      <c r="H973" s="69">
        <v>5393.5</v>
      </c>
      <c r="U973" s="69"/>
      <c r="V973" s="69"/>
      <c r="AS973" s="94">
        <f t="shared" si="108"/>
        <v>5393.5</v>
      </c>
      <c r="AT973" s="69">
        <v>3603.65</v>
      </c>
      <c r="AU973" s="69">
        <v>490.35</v>
      </c>
      <c r="AV973" s="69">
        <v>1299.5</v>
      </c>
      <c r="BD973" s="69"/>
      <c r="BE973" s="69"/>
      <c r="CE973" s="94">
        <f t="shared" si="106"/>
        <v>5393.5</v>
      </c>
      <c r="CF973" s="73">
        <f t="shared" si="105"/>
        <v>0</v>
      </c>
      <c r="CG973" s="75">
        <f t="shared" si="107"/>
        <v>6999</v>
      </c>
      <c r="CH973" s="75" t="str">
        <f t="shared" si="107"/>
        <v>برنامج دولى</v>
      </c>
    </row>
    <row r="974" spans="3:86" x14ac:dyDescent="0.25">
      <c r="C974" s="82">
        <v>11717</v>
      </c>
      <c r="D974" s="78">
        <v>7000</v>
      </c>
      <c r="E974" s="107" t="s">
        <v>78</v>
      </c>
      <c r="F974" s="69" t="s">
        <v>2522</v>
      </c>
      <c r="G974" s="69"/>
      <c r="H974" s="69">
        <v>1172.5</v>
      </c>
      <c r="U974" s="69"/>
      <c r="V974" s="69"/>
      <c r="AS974" s="94">
        <f t="shared" si="108"/>
        <v>1172.5</v>
      </c>
      <c r="AT974" s="69">
        <v>784.1</v>
      </c>
      <c r="AU974" s="69">
        <v>105.9</v>
      </c>
      <c r="AV974" s="69">
        <v>282.5</v>
      </c>
      <c r="BD974" s="69"/>
      <c r="BE974" s="69"/>
      <c r="CE974" s="94">
        <f t="shared" si="106"/>
        <v>1172.5</v>
      </c>
      <c r="CF974" s="73">
        <f t="shared" si="105"/>
        <v>0</v>
      </c>
      <c r="CG974" s="75">
        <f t="shared" si="107"/>
        <v>7000</v>
      </c>
      <c r="CH974" s="75" t="str">
        <f t="shared" si="107"/>
        <v>برنامج دولى</v>
      </c>
    </row>
    <row r="975" spans="3:86" x14ac:dyDescent="0.25">
      <c r="C975" s="82">
        <v>11716</v>
      </c>
      <c r="D975" s="78">
        <v>7001</v>
      </c>
      <c r="E975" s="107" t="s">
        <v>78</v>
      </c>
      <c r="F975" s="69" t="s">
        <v>2523</v>
      </c>
      <c r="G975" s="69"/>
      <c r="H975" s="69">
        <v>3752</v>
      </c>
      <c r="U975" s="69"/>
      <c r="V975" s="69"/>
      <c r="AS975" s="94">
        <f t="shared" si="108"/>
        <v>3752</v>
      </c>
      <c r="AT975" s="69">
        <v>2509.4</v>
      </c>
      <c r="AU975" s="69">
        <v>338.6</v>
      </c>
      <c r="AV975" s="69">
        <v>904</v>
      </c>
      <c r="BD975" s="69"/>
      <c r="BE975" s="69"/>
      <c r="CE975" s="94">
        <f t="shared" si="106"/>
        <v>3752</v>
      </c>
      <c r="CF975" s="73">
        <f t="shared" si="105"/>
        <v>0</v>
      </c>
      <c r="CG975" s="75">
        <f t="shared" si="107"/>
        <v>7001</v>
      </c>
      <c r="CH975" s="75" t="str">
        <f t="shared" si="107"/>
        <v>برنامج دولى</v>
      </c>
    </row>
    <row r="976" spans="3:86" x14ac:dyDescent="0.25">
      <c r="C976" s="82">
        <v>11715</v>
      </c>
      <c r="D976" s="78">
        <v>7002</v>
      </c>
      <c r="E976" s="107" t="s">
        <v>78</v>
      </c>
      <c r="F976" s="69" t="s">
        <v>2523</v>
      </c>
      <c r="G976" s="69"/>
      <c r="H976" s="69">
        <v>1876</v>
      </c>
      <c r="U976" s="69"/>
      <c r="V976" s="69"/>
      <c r="AS976" s="94">
        <f t="shared" si="108"/>
        <v>1876</v>
      </c>
      <c r="AT976" s="69">
        <v>1254.7</v>
      </c>
      <c r="AU976" s="69">
        <v>169.3</v>
      </c>
      <c r="AV976" s="69">
        <v>452</v>
      </c>
      <c r="BD976" s="69"/>
      <c r="BE976" s="69"/>
      <c r="CE976" s="94">
        <f t="shared" si="106"/>
        <v>1876</v>
      </c>
      <c r="CF976" s="73">
        <f t="shared" si="105"/>
        <v>0</v>
      </c>
      <c r="CG976" s="75">
        <f t="shared" si="107"/>
        <v>7002</v>
      </c>
      <c r="CH976" s="75" t="str">
        <f t="shared" si="107"/>
        <v>برنامج دولى</v>
      </c>
    </row>
    <row r="977" spans="3:86" x14ac:dyDescent="0.25">
      <c r="C977" s="82">
        <v>11713</v>
      </c>
      <c r="D977" s="78">
        <v>7003</v>
      </c>
      <c r="E977" s="107" t="s">
        <v>78</v>
      </c>
      <c r="F977" s="69" t="s">
        <v>2524</v>
      </c>
      <c r="G977" s="69"/>
      <c r="H977" s="69">
        <v>2579.5</v>
      </c>
      <c r="U977" s="69"/>
      <c r="V977" s="69"/>
      <c r="AS977" s="94">
        <f t="shared" si="108"/>
        <v>2579.5</v>
      </c>
      <c r="AT977" s="69">
        <v>1725.3</v>
      </c>
      <c r="AU977" s="69">
        <v>232.7</v>
      </c>
      <c r="AV977" s="69">
        <v>621.5</v>
      </c>
      <c r="BD977" s="69"/>
      <c r="BE977" s="69"/>
      <c r="CE977" s="94">
        <f t="shared" si="106"/>
        <v>2579.5</v>
      </c>
      <c r="CF977" s="73">
        <f t="shared" si="105"/>
        <v>0</v>
      </c>
      <c r="CG977" s="75">
        <f t="shared" si="107"/>
        <v>7003</v>
      </c>
      <c r="CH977" s="75" t="str">
        <f t="shared" si="107"/>
        <v>برنامج دولى</v>
      </c>
    </row>
    <row r="978" spans="3:86" x14ac:dyDescent="0.25">
      <c r="C978" s="82">
        <v>11714</v>
      </c>
      <c r="D978" s="78">
        <v>7004</v>
      </c>
      <c r="E978" s="107" t="s">
        <v>78</v>
      </c>
      <c r="F978" s="69" t="s">
        <v>2524</v>
      </c>
      <c r="G978" s="69"/>
      <c r="H978" s="69">
        <v>2814</v>
      </c>
      <c r="U978" s="69"/>
      <c r="V978" s="69"/>
      <c r="AS978" s="94">
        <f t="shared" si="108"/>
        <v>2814</v>
      </c>
      <c r="AT978" s="69">
        <v>1882.4</v>
      </c>
      <c r="AU978" s="69">
        <v>253.6</v>
      </c>
      <c r="AV978" s="69">
        <v>678</v>
      </c>
      <c r="BD978" s="69"/>
      <c r="BE978" s="69"/>
      <c r="CE978" s="94">
        <f t="shared" si="106"/>
        <v>2814</v>
      </c>
      <c r="CF978" s="73">
        <f t="shared" si="105"/>
        <v>0</v>
      </c>
      <c r="CG978" s="75">
        <f t="shared" si="107"/>
        <v>7004</v>
      </c>
      <c r="CH978" s="75" t="str">
        <f t="shared" si="107"/>
        <v>برنامج دولى</v>
      </c>
    </row>
    <row r="979" spans="3:86" x14ac:dyDescent="0.25">
      <c r="C979" s="82">
        <v>11712</v>
      </c>
      <c r="D979" s="78">
        <v>7005</v>
      </c>
      <c r="E979" s="107" t="s">
        <v>78</v>
      </c>
      <c r="F979" s="69" t="s">
        <v>2525</v>
      </c>
      <c r="G979" s="69"/>
      <c r="H979" s="69">
        <v>1758.75</v>
      </c>
      <c r="U979" s="69"/>
      <c r="V979" s="69"/>
      <c r="AS979" s="94">
        <f t="shared" si="108"/>
        <v>1758.75</v>
      </c>
      <c r="AT979" s="69">
        <v>1175.3499999999999</v>
      </c>
      <c r="AU979" s="69">
        <v>159.65</v>
      </c>
      <c r="AV979" s="69">
        <v>423.75</v>
      </c>
      <c r="BD979" s="69"/>
      <c r="BE979" s="69"/>
      <c r="CE979" s="94">
        <f t="shared" si="106"/>
        <v>1758.75</v>
      </c>
      <c r="CF979" s="73">
        <f t="shared" si="105"/>
        <v>0</v>
      </c>
      <c r="CG979" s="75">
        <f t="shared" si="107"/>
        <v>7005</v>
      </c>
      <c r="CH979" s="75" t="str">
        <f t="shared" si="107"/>
        <v>برنامج دولى</v>
      </c>
    </row>
    <row r="980" spans="3:86" x14ac:dyDescent="0.25">
      <c r="C980" s="82">
        <v>11711</v>
      </c>
      <c r="D980" s="78">
        <v>7006</v>
      </c>
      <c r="E980" s="107" t="s">
        <v>78</v>
      </c>
      <c r="F980" s="69" t="s">
        <v>790</v>
      </c>
      <c r="G980" s="69"/>
      <c r="H980" s="69">
        <v>1121.56</v>
      </c>
      <c r="U980" s="69"/>
      <c r="V980" s="69"/>
      <c r="AS980" s="94">
        <f t="shared" si="108"/>
        <v>1121.56</v>
      </c>
      <c r="AT980" s="69">
        <v>816.33</v>
      </c>
      <c r="AU980" s="69">
        <v>106.15</v>
      </c>
      <c r="AV980" s="69">
        <v>199.08</v>
      </c>
      <c r="BD980" s="69"/>
      <c r="BE980" s="69"/>
      <c r="CE980" s="94">
        <f t="shared" si="106"/>
        <v>1121.56</v>
      </c>
      <c r="CF980" s="73">
        <f t="shared" si="105"/>
        <v>0</v>
      </c>
      <c r="CG980" s="75">
        <f t="shared" si="107"/>
        <v>7006</v>
      </c>
      <c r="CH980" s="75" t="str">
        <f t="shared" si="107"/>
        <v>برنامج دولى</v>
      </c>
    </row>
    <row r="981" spans="3:86" x14ac:dyDescent="0.25">
      <c r="C981" s="82">
        <v>11710</v>
      </c>
      <c r="D981" s="78">
        <v>7007</v>
      </c>
      <c r="E981" s="107" t="s">
        <v>78</v>
      </c>
      <c r="F981" s="69" t="s">
        <v>790</v>
      </c>
      <c r="G981" s="69"/>
      <c r="H981" s="69">
        <v>19228.919999999998</v>
      </c>
      <c r="U981" s="69"/>
      <c r="V981" s="69"/>
      <c r="AS981" s="94">
        <f t="shared" si="108"/>
        <v>19228.919999999998</v>
      </c>
      <c r="AT981" s="69">
        <v>16057.03</v>
      </c>
      <c r="AU981" s="69">
        <v>1978.15</v>
      </c>
      <c r="AV981" s="69">
        <v>1193.74</v>
      </c>
      <c r="BD981" s="69"/>
      <c r="BE981" s="69"/>
      <c r="CE981" s="94">
        <f t="shared" si="106"/>
        <v>19228.920000000002</v>
      </c>
      <c r="CF981" s="73">
        <f t="shared" si="105"/>
        <v>0</v>
      </c>
      <c r="CG981" s="75">
        <f t="shared" si="107"/>
        <v>7007</v>
      </c>
      <c r="CH981" s="75" t="str">
        <f t="shared" si="107"/>
        <v>برنامج دولى</v>
      </c>
    </row>
    <row r="982" spans="3:86" x14ac:dyDescent="0.25">
      <c r="C982" s="82">
        <v>11709</v>
      </c>
      <c r="D982" s="78">
        <v>7008</v>
      </c>
      <c r="E982" s="107" t="s">
        <v>78</v>
      </c>
      <c r="F982" s="69" t="s">
        <v>2526</v>
      </c>
      <c r="G982" s="69"/>
      <c r="H982" s="69">
        <v>12500</v>
      </c>
      <c r="U982" s="69"/>
      <c r="V982" s="69"/>
      <c r="AS982" s="94">
        <f t="shared" si="108"/>
        <v>12500</v>
      </c>
      <c r="AT982" s="69">
        <v>11162.9</v>
      </c>
      <c r="AU982" s="69">
        <v>1337.1</v>
      </c>
      <c r="BD982" s="69"/>
      <c r="BE982" s="69"/>
      <c r="CE982" s="94">
        <f t="shared" si="106"/>
        <v>12500</v>
      </c>
      <c r="CF982" s="73">
        <f t="shared" si="105"/>
        <v>0</v>
      </c>
      <c r="CG982" s="75">
        <f t="shared" si="107"/>
        <v>7008</v>
      </c>
      <c r="CH982" s="75" t="str">
        <f t="shared" si="107"/>
        <v>برنامج دولى</v>
      </c>
    </row>
    <row r="983" spans="3:86" x14ac:dyDescent="0.25">
      <c r="C983" s="82">
        <v>11708</v>
      </c>
      <c r="D983" s="78">
        <v>7009</v>
      </c>
      <c r="E983" s="107" t="s">
        <v>78</v>
      </c>
      <c r="F983" s="69" t="s">
        <v>2527</v>
      </c>
      <c r="G983" s="69"/>
      <c r="H983" s="69">
        <v>467.7</v>
      </c>
      <c r="U983" s="69"/>
      <c r="V983" s="69"/>
      <c r="AS983" s="94">
        <f t="shared" si="108"/>
        <v>467.7</v>
      </c>
      <c r="AT983" s="69">
        <v>312.81</v>
      </c>
      <c r="AU983" s="69">
        <f>39.89+2.3</f>
        <v>42.19</v>
      </c>
      <c r="AV983" s="69">
        <v>112.7</v>
      </c>
      <c r="BD983" s="69"/>
      <c r="BE983" s="69"/>
      <c r="CE983" s="94">
        <f t="shared" si="106"/>
        <v>467.7</v>
      </c>
      <c r="CF983" s="73">
        <f t="shared" si="105"/>
        <v>0</v>
      </c>
      <c r="CG983" s="75">
        <f t="shared" si="107"/>
        <v>7009</v>
      </c>
      <c r="CH983" s="75" t="str">
        <f t="shared" si="107"/>
        <v>برنامج دولى</v>
      </c>
    </row>
    <row r="984" spans="3:86" x14ac:dyDescent="0.25">
      <c r="C984" s="82">
        <v>11707</v>
      </c>
      <c r="D984" s="78">
        <v>7010</v>
      </c>
      <c r="E984" s="107" t="s">
        <v>78</v>
      </c>
      <c r="F984" s="69" t="s">
        <v>2528</v>
      </c>
      <c r="G984" s="69"/>
      <c r="H984" s="69">
        <v>3818.9</v>
      </c>
      <c r="U984" s="69"/>
      <c r="V984" s="69"/>
      <c r="AS984" s="94">
        <f t="shared" si="108"/>
        <v>3818.9</v>
      </c>
      <c r="AT984" s="69">
        <v>2568.64</v>
      </c>
      <c r="AU984" s="69">
        <v>348.32</v>
      </c>
      <c r="AV984" s="69">
        <v>901.94</v>
      </c>
      <c r="BD984" s="69"/>
      <c r="BE984" s="69"/>
      <c r="CE984" s="94">
        <f t="shared" si="106"/>
        <v>3818.9</v>
      </c>
      <c r="CF984" s="73">
        <f t="shared" si="105"/>
        <v>0</v>
      </c>
      <c r="CG984" s="75">
        <f t="shared" si="107"/>
        <v>7010</v>
      </c>
      <c r="CH984" s="75" t="str">
        <f t="shared" si="107"/>
        <v>برنامج دولى</v>
      </c>
    </row>
    <row r="985" spans="3:86" x14ac:dyDescent="0.25">
      <c r="C985" s="82">
        <v>11706</v>
      </c>
      <c r="D985" s="78">
        <v>7011</v>
      </c>
      <c r="E985" s="107" t="s">
        <v>78</v>
      </c>
      <c r="F985" s="69" t="s">
        <v>2528</v>
      </c>
      <c r="G985" s="69"/>
      <c r="H985" s="69">
        <v>15926.01</v>
      </c>
      <c r="U985" s="69"/>
      <c r="V985" s="69"/>
      <c r="AS985" s="94">
        <f t="shared" si="108"/>
        <v>15926.01</v>
      </c>
      <c r="AT985" s="69">
        <v>14010.23</v>
      </c>
      <c r="AU985" s="69">
        <v>1674.04</v>
      </c>
      <c r="AV985" s="69">
        <v>241.74</v>
      </c>
      <c r="BD985" s="69"/>
      <c r="BE985" s="69"/>
      <c r="CE985" s="94">
        <f t="shared" si="106"/>
        <v>15926.01</v>
      </c>
      <c r="CF985" s="73">
        <f t="shared" si="105"/>
        <v>0</v>
      </c>
      <c r="CG985" s="75">
        <f t="shared" si="107"/>
        <v>7011</v>
      </c>
      <c r="CH985" s="75" t="str">
        <f t="shared" si="107"/>
        <v>برنامج دولى</v>
      </c>
    </row>
    <row r="986" spans="3:86" x14ac:dyDescent="0.25">
      <c r="C986" s="82">
        <v>11702</v>
      </c>
      <c r="D986" s="78">
        <v>7012</v>
      </c>
      <c r="E986" s="107" t="s">
        <v>78</v>
      </c>
      <c r="F986" s="69" t="s">
        <v>2529</v>
      </c>
      <c r="G986" s="69"/>
      <c r="H986" s="69">
        <v>1172.5</v>
      </c>
      <c r="U986" s="69"/>
      <c r="V986" s="69"/>
      <c r="AS986" s="94">
        <f t="shared" si="108"/>
        <v>1172.5</v>
      </c>
      <c r="AT986" s="69">
        <v>784.1</v>
      </c>
      <c r="AU986" s="69">
        <v>105.9</v>
      </c>
      <c r="AV986" s="69">
        <v>282.5</v>
      </c>
      <c r="BD986" s="69"/>
      <c r="BE986" s="69"/>
      <c r="CE986" s="94">
        <f t="shared" si="106"/>
        <v>1172.5</v>
      </c>
      <c r="CF986" s="73">
        <f t="shared" si="105"/>
        <v>0</v>
      </c>
      <c r="CG986" s="75">
        <f t="shared" si="107"/>
        <v>7012</v>
      </c>
      <c r="CH986" s="75" t="str">
        <f t="shared" si="107"/>
        <v>برنامج دولى</v>
      </c>
    </row>
    <row r="987" spans="3:86" x14ac:dyDescent="0.25">
      <c r="C987" s="82">
        <v>11704</v>
      </c>
      <c r="D987" s="78">
        <v>7013</v>
      </c>
      <c r="E987" s="107" t="s">
        <v>78</v>
      </c>
      <c r="F987" s="69" t="s">
        <v>2530</v>
      </c>
      <c r="G987" s="69"/>
      <c r="H987" s="69">
        <v>410.38</v>
      </c>
      <c r="U987" s="69"/>
      <c r="V987" s="69"/>
      <c r="AS987" s="94">
        <f t="shared" si="108"/>
        <v>410.38</v>
      </c>
      <c r="AT987" s="69">
        <v>274.8</v>
      </c>
      <c r="AU987" s="69">
        <v>36.700000000000003</v>
      </c>
      <c r="AV987" s="69">
        <v>98.88</v>
      </c>
      <c r="BD987" s="69"/>
      <c r="BE987" s="69"/>
      <c r="CE987" s="94">
        <f t="shared" si="106"/>
        <v>410.38</v>
      </c>
      <c r="CF987" s="73">
        <f t="shared" si="105"/>
        <v>0</v>
      </c>
      <c r="CG987" s="75">
        <f t="shared" si="107"/>
        <v>7013</v>
      </c>
      <c r="CH987" s="75" t="str">
        <f t="shared" si="107"/>
        <v>برنامج دولى</v>
      </c>
    </row>
    <row r="988" spans="3:86" x14ac:dyDescent="0.25">
      <c r="C988" s="82">
        <v>11703</v>
      </c>
      <c r="D988" s="78">
        <v>7014</v>
      </c>
      <c r="E988" s="107" t="s">
        <v>78</v>
      </c>
      <c r="F988" s="69" t="s">
        <v>2531</v>
      </c>
      <c r="G988" s="69"/>
      <c r="H988" s="69">
        <v>1518.46</v>
      </c>
      <c r="U988" s="69"/>
      <c r="V988" s="69"/>
      <c r="AS988" s="94">
        <f t="shared" si="108"/>
        <v>1518.46</v>
      </c>
      <c r="AT988" s="69">
        <v>869.83</v>
      </c>
      <c r="AU988" s="69">
        <v>127.1</v>
      </c>
      <c r="AV988" s="69">
        <v>521.53</v>
      </c>
      <c r="BD988" s="69"/>
      <c r="BE988" s="69"/>
      <c r="CE988" s="94">
        <f t="shared" si="106"/>
        <v>1518.46</v>
      </c>
      <c r="CF988" s="73">
        <f t="shared" si="105"/>
        <v>0</v>
      </c>
      <c r="CG988" s="75">
        <f t="shared" si="107"/>
        <v>7014</v>
      </c>
      <c r="CH988" s="75" t="str">
        <f t="shared" si="107"/>
        <v>برنامج دولى</v>
      </c>
    </row>
    <row r="989" spans="3:86" x14ac:dyDescent="0.25">
      <c r="C989" s="82">
        <v>11705</v>
      </c>
      <c r="D989" s="78">
        <v>7015</v>
      </c>
      <c r="E989" s="107" t="s">
        <v>78</v>
      </c>
      <c r="F989" s="69" t="s">
        <v>2532</v>
      </c>
      <c r="G989" s="69"/>
      <c r="H989" s="69">
        <v>2345</v>
      </c>
      <c r="U989" s="69"/>
      <c r="V989" s="69"/>
      <c r="AS989" s="94">
        <f t="shared" si="108"/>
        <v>2345</v>
      </c>
      <c r="AT989" s="69">
        <v>1565.35</v>
      </c>
      <c r="AU989" s="69">
        <f>200+14.65</f>
        <v>214.65</v>
      </c>
      <c r="AV989" s="69">
        <v>565</v>
      </c>
      <c r="BD989" s="69"/>
      <c r="BE989" s="69"/>
      <c r="CE989" s="94">
        <f t="shared" ref="CE989:CE1006" si="109">SUM(AT989:CD989)</f>
        <v>2345</v>
      </c>
      <c r="CF989" s="73">
        <f t="shared" si="105"/>
        <v>0</v>
      </c>
      <c r="CG989" s="75">
        <f t="shared" si="107"/>
        <v>7015</v>
      </c>
      <c r="CH989" s="75" t="str">
        <f t="shared" si="107"/>
        <v>برنامج دولى</v>
      </c>
    </row>
    <row r="990" spans="3:86" x14ac:dyDescent="0.25">
      <c r="C990" s="82">
        <v>11700</v>
      </c>
      <c r="D990" s="78">
        <v>7016</v>
      </c>
      <c r="E990" s="107" t="s">
        <v>78</v>
      </c>
      <c r="F990" s="69" t="s">
        <v>2533</v>
      </c>
      <c r="G990" s="69"/>
      <c r="H990" s="69">
        <v>12970.57</v>
      </c>
      <c r="U990" s="69"/>
      <c r="V990" s="69"/>
      <c r="AS990" s="94">
        <f t="shared" si="108"/>
        <v>12970.57</v>
      </c>
      <c r="AT990" s="69">
        <v>10865.23</v>
      </c>
      <c r="AU990" s="69">
        <v>1334.7</v>
      </c>
      <c r="AV990" s="69">
        <v>770.64</v>
      </c>
      <c r="BD990" s="69"/>
      <c r="BE990" s="69"/>
      <c r="CE990" s="94">
        <f t="shared" si="109"/>
        <v>12970.57</v>
      </c>
      <c r="CF990" s="73">
        <f t="shared" si="105"/>
        <v>0</v>
      </c>
      <c r="CG990" s="75">
        <f t="shared" si="107"/>
        <v>7016</v>
      </c>
      <c r="CH990" s="75" t="str">
        <f t="shared" si="107"/>
        <v>برنامج دولى</v>
      </c>
    </row>
    <row r="991" spans="3:86" x14ac:dyDescent="0.25">
      <c r="C991" s="82"/>
      <c r="D991" s="78">
        <v>7017</v>
      </c>
      <c r="E991" s="107" t="s">
        <v>1431</v>
      </c>
      <c r="F991" s="69" t="s">
        <v>2534</v>
      </c>
      <c r="G991" s="69"/>
      <c r="U991" s="69"/>
      <c r="V991" s="69"/>
      <c r="AS991" s="94">
        <f t="shared" si="108"/>
        <v>0</v>
      </c>
      <c r="AU991" s="69"/>
      <c r="BD991" s="69"/>
      <c r="BE991" s="69"/>
      <c r="CE991" s="94">
        <f t="shared" si="109"/>
        <v>0</v>
      </c>
      <c r="CF991" s="73">
        <f t="shared" si="105"/>
        <v>0</v>
      </c>
      <c r="CG991" s="75">
        <f t="shared" si="107"/>
        <v>7017</v>
      </c>
      <c r="CH991" s="75" t="str">
        <f t="shared" si="107"/>
        <v>لاب فقط</v>
      </c>
    </row>
    <row r="992" spans="3:86" x14ac:dyDescent="0.25">
      <c r="C992" s="82">
        <v>11701</v>
      </c>
      <c r="D992" s="78">
        <v>7018</v>
      </c>
      <c r="E992" s="107" t="s">
        <v>78</v>
      </c>
      <c r="F992" s="69" t="s">
        <v>1551</v>
      </c>
      <c r="G992" s="69"/>
      <c r="H992" s="69">
        <v>938</v>
      </c>
      <c r="U992" s="69"/>
      <c r="V992" s="69"/>
      <c r="AS992" s="94">
        <f t="shared" si="108"/>
        <v>938</v>
      </c>
      <c r="AT992" s="69">
        <v>627.35</v>
      </c>
      <c r="AU992" s="69">
        <v>84.65</v>
      </c>
      <c r="AV992" s="69">
        <v>226</v>
      </c>
      <c r="BD992" s="69"/>
      <c r="BE992" s="69"/>
      <c r="CE992" s="94">
        <f t="shared" si="109"/>
        <v>938</v>
      </c>
      <c r="CF992" s="73">
        <f t="shared" si="105"/>
        <v>0</v>
      </c>
      <c r="CG992" s="75">
        <f t="shared" si="107"/>
        <v>7018</v>
      </c>
      <c r="CH992" s="75" t="str">
        <f t="shared" si="107"/>
        <v>برنامج دولى</v>
      </c>
    </row>
    <row r="993" spans="3:86" x14ac:dyDescent="0.25">
      <c r="C993" s="82">
        <v>11744</v>
      </c>
      <c r="D993" s="78">
        <v>7019</v>
      </c>
      <c r="E993" s="107" t="s">
        <v>78</v>
      </c>
      <c r="F993" s="69" t="s">
        <v>2535</v>
      </c>
      <c r="G993" s="69"/>
      <c r="H993" s="69">
        <v>2600</v>
      </c>
      <c r="U993" s="69"/>
      <c r="V993" s="69"/>
      <c r="AS993" s="94">
        <f t="shared" si="108"/>
        <v>2600</v>
      </c>
      <c r="AT993" s="69">
        <v>2320.85</v>
      </c>
      <c r="AU993" s="69">
        <v>279.14999999999998</v>
      </c>
      <c r="BD993" s="69"/>
      <c r="BE993" s="69"/>
      <c r="CE993" s="94">
        <f t="shared" si="109"/>
        <v>2600</v>
      </c>
      <c r="CF993" s="73">
        <f t="shared" si="105"/>
        <v>0</v>
      </c>
      <c r="CG993" s="75">
        <f t="shared" si="107"/>
        <v>7019</v>
      </c>
      <c r="CH993" s="75" t="str">
        <f t="shared" si="107"/>
        <v>برنامج دولى</v>
      </c>
    </row>
    <row r="994" spans="3:86" x14ac:dyDescent="0.25">
      <c r="C994" s="82">
        <v>11745</v>
      </c>
      <c r="D994" s="78">
        <v>7020</v>
      </c>
      <c r="E994" s="107" t="s">
        <v>78</v>
      </c>
      <c r="F994" s="69" t="s">
        <v>2536</v>
      </c>
      <c r="G994" s="69"/>
      <c r="H994" s="69">
        <v>2600</v>
      </c>
      <c r="U994" s="69"/>
      <c r="V994" s="69"/>
      <c r="AS994" s="94">
        <f t="shared" si="108"/>
        <v>2600</v>
      </c>
      <c r="AT994" s="69">
        <v>2320.85</v>
      </c>
      <c r="AU994" s="69">
        <v>279.14999999999998</v>
      </c>
      <c r="BD994" s="69"/>
      <c r="BE994" s="69"/>
      <c r="CE994" s="94">
        <f t="shared" si="109"/>
        <v>2600</v>
      </c>
      <c r="CF994" s="73">
        <f t="shared" si="105"/>
        <v>0</v>
      </c>
      <c r="CG994" s="75">
        <f t="shared" si="107"/>
        <v>7020</v>
      </c>
      <c r="CH994" s="75" t="str">
        <f t="shared" si="107"/>
        <v>برنامج دولى</v>
      </c>
    </row>
    <row r="995" spans="3:86" x14ac:dyDescent="0.25">
      <c r="C995" s="82">
        <v>11743</v>
      </c>
      <c r="D995" s="78">
        <v>7021</v>
      </c>
      <c r="E995" s="107" t="s">
        <v>78</v>
      </c>
      <c r="F995" s="69" t="s">
        <v>2537</v>
      </c>
      <c r="G995" s="69"/>
      <c r="H995" s="69">
        <v>1465.63</v>
      </c>
      <c r="U995" s="69"/>
      <c r="V995" s="69"/>
      <c r="AS995" s="94">
        <f t="shared" si="108"/>
        <v>1465.63</v>
      </c>
      <c r="AT995" s="69">
        <v>980.55</v>
      </c>
      <c r="AU995" s="69">
        <v>131.94999999999999</v>
      </c>
      <c r="AV995" s="69">
        <v>353.13</v>
      </c>
      <c r="BD995" s="69"/>
      <c r="BE995" s="69"/>
      <c r="CE995" s="94">
        <f t="shared" si="109"/>
        <v>1465.63</v>
      </c>
      <c r="CF995" s="73">
        <f t="shared" si="105"/>
        <v>0</v>
      </c>
      <c r="CG995" s="75">
        <f t="shared" si="107"/>
        <v>7021</v>
      </c>
      <c r="CH995" s="75" t="str">
        <f t="shared" si="107"/>
        <v>برنامج دولى</v>
      </c>
    </row>
    <row r="996" spans="3:86" x14ac:dyDescent="0.25">
      <c r="C996" s="82">
        <v>11742</v>
      </c>
      <c r="D996" s="78">
        <v>7022</v>
      </c>
      <c r="E996" s="107" t="s">
        <v>78</v>
      </c>
      <c r="F996" s="69" t="s">
        <v>2537</v>
      </c>
      <c r="G996" s="69"/>
      <c r="H996" s="69">
        <v>9966.26</v>
      </c>
      <c r="U996" s="69"/>
      <c r="V996" s="69"/>
      <c r="AS996" s="94">
        <f t="shared" si="108"/>
        <v>9966.26</v>
      </c>
      <c r="AT996" s="69">
        <v>6659.6</v>
      </c>
      <c r="AU996" s="69">
        <v>905.4</v>
      </c>
      <c r="AV996" s="69">
        <v>2401.2600000000002</v>
      </c>
      <c r="BD996" s="69"/>
      <c r="BE996" s="69"/>
      <c r="CE996" s="94">
        <f t="shared" si="109"/>
        <v>9966.26</v>
      </c>
      <c r="CF996" s="73">
        <f t="shared" si="105"/>
        <v>0</v>
      </c>
      <c r="CG996" s="75">
        <f t="shared" si="107"/>
        <v>7022</v>
      </c>
      <c r="CH996" s="75" t="str">
        <f t="shared" si="107"/>
        <v>برنامج دولى</v>
      </c>
    </row>
    <row r="997" spans="3:86" x14ac:dyDescent="0.25">
      <c r="C997" s="82">
        <v>11741</v>
      </c>
      <c r="D997" s="78">
        <v>7023</v>
      </c>
      <c r="E997" s="107" t="s">
        <v>78</v>
      </c>
      <c r="F997" s="69" t="s">
        <v>2537</v>
      </c>
      <c r="G997" s="69"/>
      <c r="H997" s="69">
        <v>2051.88</v>
      </c>
      <c r="U997" s="69"/>
      <c r="V997" s="69"/>
      <c r="AS997" s="94">
        <f t="shared" si="108"/>
        <v>2051.88</v>
      </c>
      <c r="AT997" s="69">
        <v>1371.15</v>
      </c>
      <c r="AU997" s="69">
        <v>186.35</v>
      </c>
      <c r="AV997" s="69">
        <v>494.38</v>
      </c>
      <c r="BD997" s="69"/>
      <c r="BE997" s="69"/>
      <c r="CE997" s="94">
        <f t="shared" si="109"/>
        <v>2051.88</v>
      </c>
      <c r="CF997" s="73">
        <f t="shared" si="105"/>
        <v>0</v>
      </c>
      <c r="CG997" s="75">
        <f t="shared" si="107"/>
        <v>7023</v>
      </c>
      <c r="CH997" s="75" t="str">
        <f t="shared" si="107"/>
        <v>برنامج دولى</v>
      </c>
    </row>
    <row r="998" spans="3:86" x14ac:dyDescent="0.25">
      <c r="C998" s="82">
        <v>11740</v>
      </c>
      <c r="D998" s="78">
        <v>7024</v>
      </c>
      <c r="E998" s="107" t="s">
        <v>78</v>
      </c>
      <c r="F998" s="69" t="s">
        <v>2537</v>
      </c>
      <c r="G998" s="69"/>
      <c r="H998" s="69">
        <v>9966.27</v>
      </c>
      <c r="U998" s="69"/>
      <c r="V998" s="69"/>
      <c r="AS998" s="94">
        <f t="shared" si="108"/>
        <v>9966.27</v>
      </c>
      <c r="AT998" s="69">
        <v>6661.35</v>
      </c>
      <c r="AU998" s="69">
        <v>903.65</v>
      </c>
      <c r="AV998" s="69">
        <v>2401.27</v>
      </c>
      <c r="BD998" s="69"/>
      <c r="BE998" s="69"/>
      <c r="CE998" s="94">
        <f t="shared" si="109"/>
        <v>9966.27</v>
      </c>
      <c r="CF998" s="73">
        <f t="shared" si="105"/>
        <v>0</v>
      </c>
      <c r="CG998" s="75">
        <f t="shared" si="107"/>
        <v>7024</v>
      </c>
      <c r="CH998" s="75" t="str">
        <f t="shared" si="107"/>
        <v>برنامج دولى</v>
      </c>
    </row>
    <row r="999" spans="3:86" x14ac:dyDescent="0.25">
      <c r="C999" s="82">
        <v>11739</v>
      </c>
      <c r="D999" s="78">
        <v>7025</v>
      </c>
      <c r="E999" s="107" t="s">
        <v>78</v>
      </c>
      <c r="F999" s="69" t="s">
        <v>2537</v>
      </c>
      <c r="G999" s="69"/>
      <c r="H999" s="69">
        <v>6214.25</v>
      </c>
      <c r="U999" s="69"/>
      <c r="V999" s="69"/>
      <c r="AS999" s="94">
        <f t="shared" si="108"/>
        <v>6214.25</v>
      </c>
      <c r="AT999" s="69">
        <v>4154.5</v>
      </c>
      <c r="AU999" s="69">
        <v>562.5</v>
      </c>
      <c r="AV999" s="69">
        <v>1497.25</v>
      </c>
      <c r="BD999" s="69"/>
      <c r="BE999" s="69"/>
      <c r="CE999" s="94">
        <f t="shared" si="109"/>
        <v>6214.25</v>
      </c>
      <c r="CF999" s="73">
        <f t="shared" si="105"/>
        <v>0</v>
      </c>
      <c r="CG999" s="75">
        <f t="shared" si="107"/>
        <v>7025</v>
      </c>
      <c r="CH999" s="75" t="str">
        <f t="shared" si="107"/>
        <v>برنامج دولى</v>
      </c>
    </row>
    <row r="1000" spans="3:86" x14ac:dyDescent="0.25">
      <c r="C1000" s="82">
        <v>11738</v>
      </c>
      <c r="D1000" s="78">
        <v>7026</v>
      </c>
      <c r="E1000" s="107" t="s">
        <v>78</v>
      </c>
      <c r="F1000" s="69" t="s">
        <v>2537</v>
      </c>
      <c r="G1000" s="69"/>
      <c r="H1000" s="69">
        <v>3980.71</v>
      </c>
      <c r="U1000" s="69"/>
      <c r="V1000" s="69"/>
      <c r="AS1000" s="94">
        <f t="shared" si="108"/>
        <v>3980.71</v>
      </c>
      <c r="AT1000" s="69">
        <v>2516.9299999999998</v>
      </c>
      <c r="AU1000" s="69">
        <v>349</v>
      </c>
      <c r="AV1000" s="69">
        <v>1114.78</v>
      </c>
      <c r="BD1000" s="69"/>
      <c r="BE1000" s="69"/>
      <c r="CE1000" s="94">
        <f t="shared" si="109"/>
        <v>3980.71</v>
      </c>
      <c r="CF1000" s="73">
        <f t="shared" si="105"/>
        <v>0</v>
      </c>
      <c r="CG1000" s="75">
        <f t="shared" si="107"/>
        <v>7026</v>
      </c>
      <c r="CH1000" s="75" t="str">
        <f t="shared" si="107"/>
        <v>برنامج دولى</v>
      </c>
    </row>
    <row r="1001" spans="3:86" x14ac:dyDescent="0.25">
      <c r="C1001" s="82">
        <v>11737</v>
      </c>
      <c r="D1001" s="78">
        <v>7027</v>
      </c>
      <c r="E1001" s="107" t="s">
        <v>78</v>
      </c>
      <c r="F1001" s="69" t="s">
        <v>2537</v>
      </c>
      <c r="G1001" s="69"/>
      <c r="H1001" s="69">
        <v>4572.75</v>
      </c>
      <c r="U1001" s="69"/>
      <c r="V1001" s="69"/>
      <c r="AS1001" s="94">
        <f t="shared" si="108"/>
        <v>4572.75</v>
      </c>
      <c r="AT1001" s="69">
        <v>3056.05</v>
      </c>
      <c r="AU1001" s="69">
        <v>414.95</v>
      </c>
      <c r="AV1001" s="69">
        <v>1101.75</v>
      </c>
      <c r="BD1001" s="69"/>
      <c r="BE1001" s="69"/>
      <c r="CE1001" s="94">
        <f t="shared" si="109"/>
        <v>4572.75</v>
      </c>
      <c r="CF1001" s="73">
        <f t="shared" si="105"/>
        <v>0</v>
      </c>
      <c r="CG1001" s="75">
        <f t="shared" si="107"/>
        <v>7027</v>
      </c>
      <c r="CH1001" s="75" t="str">
        <f t="shared" si="107"/>
        <v>برنامج دولى</v>
      </c>
    </row>
    <row r="1002" spans="3:86" x14ac:dyDescent="0.25">
      <c r="C1002" s="82">
        <v>11736</v>
      </c>
      <c r="D1002" s="78">
        <v>7028</v>
      </c>
      <c r="E1002" s="107" t="s">
        <v>78</v>
      </c>
      <c r="F1002" s="69" t="s">
        <v>2538</v>
      </c>
      <c r="G1002" s="69"/>
      <c r="H1002" s="69">
        <v>1524.26</v>
      </c>
      <c r="U1002" s="69"/>
      <c r="V1002" s="69"/>
      <c r="AS1002" s="94">
        <f t="shared" si="108"/>
        <v>1524.26</v>
      </c>
      <c r="AT1002" s="69">
        <v>1019.55</v>
      </c>
      <c r="AU1002" s="69">
        <v>137.44999999999999</v>
      </c>
      <c r="AV1002" s="69">
        <v>367.26</v>
      </c>
      <c r="BD1002" s="69"/>
      <c r="BE1002" s="69"/>
      <c r="CE1002" s="94">
        <f t="shared" si="109"/>
        <v>1524.26</v>
      </c>
      <c r="CF1002" s="73">
        <f t="shared" si="105"/>
        <v>0</v>
      </c>
      <c r="CG1002" s="75">
        <f t="shared" si="107"/>
        <v>7028</v>
      </c>
      <c r="CH1002" s="75" t="str">
        <f t="shared" si="107"/>
        <v>برنامج دولى</v>
      </c>
    </row>
    <row r="1003" spans="3:86" x14ac:dyDescent="0.25">
      <c r="C1003" s="82">
        <v>11735</v>
      </c>
      <c r="D1003" s="78">
        <v>7029</v>
      </c>
      <c r="E1003" s="107" t="s">
        <v>78</v>
      </c>
      <c r="F1003" s="69" t="s">
        <v>2539</v>
      </c>
      <c r="G1003" s="69"/>
      <c r="H1003" s="69">
        <v>938</v>
      </c>
      <c r="U1003" s="69"/>
      <c r="V1003" s="69"/>
      <c r="AS1003" s="94">
        <f t="shared" si="108"/>
        <v>938</v>
      </c>
      <c r="AT1003" s="69">
        <v>628</v>
      </c>
      <c r="AU1003" s="69">
        <v>84</v>
      </c>
      <c r="AV1003" s="69">
        <v>226</v>
      </c>
      <c r="BD1003" s="69"/>
      <c r="BE1003" s="69"/>
      <c r="CE1003" s="94">
        <f t="shared" si="109"/>
        <v>938</v>
      </c>
      <c r="CF1003" s="73">
        <f t="shared" si="105"/>
        <v>0</v>
      </c>
      <c r="CG1003" s="75">
        <f t="shared" si="107"/>
        <v>7029</v>
      </c>
      <c r="CH1003" s="75" t="str">
        <f t="shared" si="107"/>
        <v>برنامج دولى</v>
      </c>
    </row>
    <row r="1004" spans="3:86" x14ac:dyDescent="0.25">
      <c r="C1004" s="82">
        <v>11734</v>
      </c>
      <c r="D1004" s="78">
        <v>7030</v>
      </c>
      <c r="E1004" s="107" t="s">
        <v>78</v>
      </c>
      <c r="F1004" s="69" t="s">
        <v>2539</v>
      </c>
      <c r="G1004" s="69"/>
      <c r="H1004" s="69">
        <v>8207.5</v>
      </c>
      <c r="U1004" s="69"/>
      <c r="V1004" s="69"/>
      <c r="AS1004" s="94">
        <f t="shared" si="108"/>
        <v>8207.5</v>
      </c>
      <c r="AT1004" s="69">
        <v>5489.9</v>
      </c>
      <c r="AU1004" s="69">
        <v>740.1</v>
      </c>
      <c r="AV1004" s="69">
        <v>1977.5</v>
      </c>
      <c r="BD1004" s="69"/>
      <c r="BE1004" s="69"/>
      <c r="CE1004" s="94">
        <f t="shared" si="109"/>
        <v>8207.5</v>
      </c>
      <c r="CF1004" s="73">
        <f t="shared" si="105"/>
        <v>0</v>
      </c>
      <c r="CG1004" s="75">
        <f t="shared" si="107"/>
        <v>7030</v>
      </c>
      <c r="CH1004" s="75" t="str">
        <f t="shared" si="107"/>
        <v>برنامج دولى</v>
      </c>
    </row>
    <row r="1005" spans="3:86" x14ac:dyDescent="0.25">
      <c r="C1005" s="82">
        <v>11733</v>
      </c>
      <c r="D1005" s="78">
        <v>7031</v>
      </c>
      <c r="E1005" s="107" t="s">
        <v>78</v>
      </c>
      <c r="F1005" s="69" t="s">
        <v>2539</v>
      </c>
      <c r="G1005" s="69"/>
      <c r="H1005" s="69">
        <v>7616.19</v>
      </c>
      <c r="U1005" s="69"/>
      <c r="V1005" s="69"/>
      <c r="AS1005" s="94">
        <f t="shared" si="108"/>
        <v>7616.19</v>
      </c>
      <c r="AT1005" s="69">
        <v>5404.07</v>
      </c>
      <c r="AU1005" s="69">
        <v>711.7</v>
      </c>
      <c r="AV1005" s="69">
        <v>1500.42</v>
      </c>
      <c r="BD1005" s="69"/>
      <c r="BE1005" s="69"/>
      <c r="CE1005" s="94">
        <f t="shared" si="109"/>
        <v>7616.19</v>
      </c>
      <c r="CF1005" s="73">
        <f t="shared" si="105"/>
        <v>0</v>
      </c>
      <c r="CG1005" s="75">
        <f t="shared" si="107"/>
        <v>7031</v>
      </c>
      <c r="CH1005" s="75" t="str">
        <f t="shared" si="107"/>
        <v>برنامج دولى</v>
      </c>
    </row>
    <row r="1006" spans="3:86" x14ac:dyDescent="0.25">
      <c r="C1006" s="82">
        <v>11732</v>
      </c>
      <c r="D1006" s="78">
        <v>7032</v>
      </c>
      <c r="E1006" s="107" t="s">
        <v>78</v>
      </c>
      <c r="F1006" s="69" t="s">
        <v>1644</v>
      </c>
      <c r="G1006" s="69"/>
      <c r="H1006" s="69">
        <v>4221</v>
      </c>
      <c r="U1006" s="69"/>
      <c r="V1006" s="69"/>
      <c r="AS1006" s="94">
        <f t="shared" si="108"/>
        <v>4221</v>
      </c>
      <c r="AT1006" s="69">
        <v>2821.9</v>
      </c>
      <c r="AU1006" s="69">
        <v>382.1</v>
      </c>
      <c r="AV1006" s="69">
        <v>1017</v>
      </c>
      <c r="BD1006" s="69"/>
      <c r="BE1006" s="69"/>
      <c r="CE1006" s="94">
        <f t="shared" si="109"/>
        <v>4221</v>
      </c>
      <c r="CF1006" s="73">
        <f t="shared" si="105"/>
        <v>0</v>
      </c>
      <c r="CG1006" s="75">
        <f t="shared" si="107"/>
        <v>7032</v>
      </c>
      <c r="CH1006" s="75" t="str">
        <f t="shared" si="107"/>
        <v>برنامج دولى</v>
      </c>
    </row>
    <row r="1007" spans="3:86" x14ac:dyDescent="0.25">
      <c r="C1007" s="82">
        <v>11731</v>
      </c>
      <c r="D1007" s="78">
        <v>7033</v>
      </c>
      <c r="E1007" s="107" t="s">
        <v>78</v>
      </c>
      <c r="F1007" s="69" t="s">
        <v>2540</v>
      </c>
      <c r="G1007" s="69"/>
      <c r="H1007" s="69">
        <v>938</v>
      </c>
      <c r="U1007" s="69"/>
      <c r="V1007" s="69"/>
      <c r="AS1007" s="94">
        <f t="shared" si="108"/>
        <v>938</v>
      </c>
      <c r="AT1007" s="69">
        <v>627.4</v>
      </c>
      <c r="AU1007" s="69">
        <f>80+4.6</f>
        <v>84.6</v>
      </c>
      <c r="AV1007" s="69">
        <v>226</v>
      </c>
      <c r="BD1007" s="69"/>
      <c r="BE1007" s="69"/>
      <c r="CE1007" s="94">
        <f t="shared" ref="CE1007:CE1071" si="110">SUM(AT1007:CD1007)</f>
        <v>938</v>
      </c>
      <c r="CF1007" s="73">
        <f t="shared" si="105"/>
        <v>0</v>
      </c>
      <c r="CG1007" s="75">
        <f t="shared" si="107"/>
        <v>7033</v>
      </c>
      <c r="CH1007" s="75" t="str">
        <f t="shared" si="107"/>
        <v>برنامج دولى</v>
      </c>
    </row>
    <row r="1008" spans="3:86" x14ac:dyDescent="0.25">
      <c r="C1008" s="82">
        <v>11730</v>
      </c>
      <c r="D1008" s="78">
        <v>7034</v>
      </c>
      <c r="E1008" s="107" t="s">
        <v>78</v>
      </c>
      <c r="F1008" s="69" t="s">
        <v>2540</v>
      </c>
      <c r="G1008" s="69"/>
      <c r="H1008" s="69">
        <v>938</v>
      </c>
      <c r="U1008" s="69"/>
      <c r="V1008" s="69"/>
      <c r="AS1008" s="94">
        <f t="shared" si="108"/>
        <v>938</v>
      </c>
      <c r="AT1008" s="69">
        <v>627.35</v>
      </c>
      <c r="AU1008" s="69">
        <v>84.65</v>
      </c>
      <c r="AV1008" s="69">
        <v>226</v>
      </c>
      <c r="BD1008" s="69"/>
      <c r="BE1008" s="69"/>
      <c r="CE1008" s="94">
        <f t="shared" si="110"/>
        <v>938</v>
      </c>
      <c r="CF1008" s="73">
        <f t="shared" si="105"/>
        <v>0</v>
      </c>
      <c r="CG1008" s="75">
        <f t="shared" si="107"/>
        <v>7034</v>
      </c>
      <c r="CH1008" s="75" t="str">
        <f t="shared" si="107"/>
        <v>برنامج دولى</v>
      </c>
    </row>
    <row r="1009" spans="3:86" x14ac:dyDescent="0.25">
      <c r="C1009" s="82">
        <v>11729</v>
      </c>
      <c r="D1009" s="78">
        <v>7035</v>
      </c>
      <c r="E1009" s="107" t="s">
        <v>78</v>
      </c>
      <c r="F1009" s="69" t="s">
        <v>2541</v>
      </c>
      <c r="G1009" s="69"/>
      <c r="H1009" s="69">
        <v>1407</v>
      </c>
      <c r="U1009" s="69"/>
      <c r="V1009" s="69"/>
      <c r="AS1009" s="94">
        <f t="shared" si="108"/>
        <v>1407</v>
      </c>
      <c r="AT1009" s="69">
        <v>939.35</v>
      </c>
      <c r="AU1009" s="69">
        <f>8.65+120</f>
        <v>128.65</v>
      </c>
      <c r="AV1009" s="69">
        <v>339</v>
      </c>
      <c r="BD1009" s="69"/>
      <c r="BE1009" s="69"/>
      <c r="CE1009" s="94">
        <f t="shared" si="110"/>
        <v>1407</v>
      </c>
      <c r="CF1009" s="73">
        <f t="shared" si="105"/>
        <v>0</v>
      </c>
      <c r="CG1009" s="75">
        <f t="shared" si="107"/>
        <v>7035</v>
      </c>
      <c r="CH1009" s="75" t="str">
        <f t="shared" si="107"/>
        <v>برنامج دولى</v>
      </c>
    </row>
    <row r="1010" spans="3:86" x14ac:dyDescent="0.25">
      <c r="C1010" s="82">
        <v>11958</v>
      </c>
      <c r="D1010" s="78">
        <v>7036</v>
      </c>
      <c r="E1010" s="107" t="s">
        <v>78</v>
      </c>
      <c r="F1010" s="69" t="s">
        <v>2542</v>
      </c>
      <c r="G1010" s="69"/>
      <c r="H1010" s="69">
        <v>175.88</v>
      </c>
      <c r="U1010" s="69"/>
      <c r="V1010" s="69"/>
      <c r="AS1010" s="94">
        <f t="shared" si="108"/>
        <v>175.88</v>
      </c>
      <c r="AT1010" s="69">
        <v>118</v>
      </c>
      <c r="AU1010" s="69">
        <v>15.5</v>
      </c>
      <c r="AV1010" s="69">
        <v>42.38</v>
      </c>
      <c r="BD1010" s="69"/>
      <c r="BE1010" s="69"/>
      <c r="CE1010" s="94">
        <f t="shared" si="110"/>
        <v>175.88</v>
      </c>
      <c r="CF1010" s="73">
        <f t="shared" si="105"/>
        <v>0</v>
      </c>
      <c r="CG1010" s="75">
        <f t="shared" si="107"/>
        <v>7036</v>
      </c>
      <c r="CH1010" s="75" t="str">
        <f t="shared" si="107"/>
        <v>برنامج دولى</v>
      </c>
    </row>
    <row r="1011" spans="3:86" x14ac:dyDescent="0.25">
      <c r="C1011" s="82">
        <v>11959</v>
      </c>
      <c r="D1011" s="78">
        <v>7037</v>
      </c>
      <c r="E1011" s="107" t="s">
        <v>78</v>
      </c>
      <c r="F1011" s="69" t="s">
        <v>2542</v>
      </c>
      <c r="G1011" s="69"/>
      <c r="H1011" s="69">
        <v>87.94</v>
      </c>
      <c r="U1011" s="69"/>
      <c r="V1011" s="69"/>
      <c r="AS1011" s="94">
        <f t="shared" si="108"/>
        <v>87.94</v>
      </c>
      <c r="AT1011" s="69">
        <v>59.15</v>
      </c>
      <c r="AU1011" s="69">
        <v>7.6</v>
      </c>
      <c r="AV1011" s="69">
        <v>21.19</v>
      </c>
      <c r="BD1011" s="69"/>
      <c r="BE1011" s="69"/>
      <c r="CE1011" s="94">
        <f t="shared" si="110"/>
        <v>87.94</v>
      </c>
      <c r="CF1011" s="73">
        <f t="shared" si="105"/>
        <v>0</v>
      </c>
      <c r="CG1011" s="75">
        <f t="shared" si="107"/>
        <v>7037</v>
      </c>
      <c r="CH1011" s="75" t="str">
        <f t="shared" si="107"/>
        <v>برنامج دولى</v>
      </c>
    </row>
    <row r="1012" spans="3:86" x14ac:dyDescent="0.25">
      <c r="C1012" s="82">
        <v>11980</v>
      </c>
      <c r="D1012" s="78">
        <v>7038</v>
      </c>
      <c r="E1012" s="107" t="s">
        <v>78</v>
      </c>
      <c r="F1012" s="69" t="s">
        <v>1386</v>
      </c>
      <c r="G1012" s="69"/>
      <c r="H1012" s="69">
        <v>31077.200000000001</v>
      </c>
      <c r="U1012" s="69"/>
      <c r="V1012" s="69"/>
      <c r="AS1012" s="94">
        <f t="shared" si="108"/>
        <v>31077.200000000001</v>
      </c>
      <c r="AT1012" s="69">
        <v>22453.85</v>
      </c>
      <c r="AU1012" s="69">
        <v>2928.8</v>
      </c>
      <c r="AV1012" s="69">
        <v>5694.55</v>
      </c>
      <c r="BD1012" s="69"/>
      <c r="BE1012" s="69"/>
      <c r="CE1012" s="94">
        <f t="shared" si="110"/>
        <v>31077.199999999997</v>
      </c>
      <c r="CF1012" s="73">
        <f t="shared" si="105"/>
        <v>0</v>
      </c>
      <c r="CG1012" s="75">
        <f t="shared" si="107"/>
        <v>7038</v>
      </c>
      <c r="CH1012" s="75" t="str">
        <f t="shared" si="107"/>
        <v>برنامج دولى</v>
      </c>
    </row>
    <row r="1013" spans="3:86" x14ac:dyDescent="0.25">
      <c r="C1013" s="82">
        <v>11973</v>
      </c>
      <c r="D1013" s="78">
        <v>7039</v>
      </c>
      <c r="E1013" s="107" t="s">
        <v>78</v>
      </c>
      <c r="F1013" s="69" t="s">
        <v>1386</v>
      </c>
      <c r="G1013" s="69"/>
      <c r="H1013" s="69">
        <v>47582.18</v>
      </c>
      <c r="U1013" s="69"/>
      <c r="V1013" s="69"/>
      <c r="AS1013" s="94">
        <f t="shared" si="108"/>
        <v>47582.18</v>
      </c>
      <c r="AT1013" s="69">
        <v>33697.07</v>
      </c>
      <c r="AU1013" s="69">
        <v>4448.5</v>
      </c>
      <c r="AV1013" s="69">
        <v>9436.61</v>
      </c>
      <c r="BD1013" s="69"/>
      <c r="BE1013" s="69"/>
      <c r="CE1013" s="94">
        <f t="shared" si="110"/>
        <v>47582.18</v>
      </c>
      <c r="CF1013" s="73">
        <f t="shared" si="105"/>
        <v>0</v>
      </c>
      <c r="CG1013" s="75">
        <f t="shared" si="107"/>
        <v>7039</v>
      </c>
      <c r="CH1013" s="75" t="str">
        <f t="shared" si="107"/>
        <v>برنامج دولى</v>
      </c>
    </row>
    <row r="1014" spans="3:86" x14ac:dyDescent="0.25">
      <c r="C1014" s="82">
        <v>11974</v>
      </c>
      <c r="D1014" s="78">
        <v>7040</v>
      </c>
      <c r="E1014" s="107" t="s">
        <v>78</v>
      </c>
      <c r="F1014" s="69" t="s">
        <v>1386</v>
      </c>
      <c r="G1014" s="69"/>
      <c r="H1014" s="69">
        <v>11011.8</v>
      </c>
      <c r="U1014" s="69"/>
      <c r="V1014" s="69"/>
      <c r="AS1014" s="94">
        <f t="shared" si="108"/>
        <v>11011.8</v>
      </c>
      <c r="AT1014" s="69">
        <v>7494.9</v>
      </c>
      <c r="AU1014" s="69">
        <v>1008.3</v>
      </c>
      <c r="AV1014" s="69">
        <v>2508.6</v>
      </c>
      <c r="BD1014" s="69"/>
      <c r="BE1014" s="69"/>
      <c r="CE1014" s="94">
        <f t="shared" si="110"/>
        <v>11011.8</v>
      </c>
      <c r="CF1014" s="73">
        <f t="shared" si="105"/>
        <v>0</v>
      </c>
      <c r="CG1014" s="75">
        <f t="shared" ref="CG1014:CH1078" si="111">+D1014</f>
        <v>7040</v>
      </c>
      <c r="CH1014" s="75" t="str">
        <f t="shared" si="111"/>
        <v>برنامج دولى</v>
      </c>
    </row>
    <row r="1015" spans="3:86" x14ac:dyDescent="0.25">
      <c r="C1015" s="82">
        <v>11981</v>
      </c>
      <c r="D1015" s="78">
        <v>7041</v>
      </c>
      <c r="E1015" s="107" t="s">
        <v>78</v>
      </c>
      <c r="F1015" s="69" t="s">
        <v>1386</v>
      </c>
      <c r="G1015" s="69"/>
      <c r="H1015" s="69">
        <v>3714.02</v>
      </c>
      <c r="U1015" s="69"/>
      <c r="V1015" s="69"/>
      <c r="AS1015" s="94">
        <f t="shared" si="108"/>
        <v>3714.02</v>
      </c>
      <c r="AT1015" s="69">
        <v>2776.44</v>
      </c>
      <c r="AU1015" s="69">
        <f>240+19.56</f>
        <v>259.56</v>
      </c>
      <c r="AV1015" s="69">
        <f>937.58-AU1015</f>
        <v>678.02</v>
      </c>
      <c r="BD1015" s="69"/>
      <c r="BE1015" s="69"/>
      <c r="CE1015" s="94">
        <f t="shared" si="110"/>
        <v>3714.02</v>
      </c>
      <c r="CF1015" s="73">
        <f t="shared" si="105"/>
        <v>0</v>
      </c>
      <c r="CG1015" s="75">
        <f t="shared" si="111"/>
        <v>7041</v>
      </c>
      <c r="CH1015" s="75" t="str">
        <f t="shared" si="111"/>
        <v>برنامج دولى</v>
      </c>
    </row>
    <row r="1016" spans="3:86" x14ac:dyDescent="0.25">
      <c r="C1016" s="82">
        <v>11979</v>
      </c>
      <c r="D1016" s="78">
        <v>7042</v>
      </c>
      <c r="E1016" s="107" t="s">
        <v>78</v>
      </c>
      <c r="F1016" s="69" t="s">
        <v>1386</v>
      </c>
      <c r="G1016" s="69"/>
      <c r="H1016" s="69">
        <v>5843.1</v>
      </c>
      <c r="U1016" s="69"/>
      <c r="V1016" s="69"/>
      <c r="AS1016" s="94">
        <f t="shared" si="108"/>
        <v>5843.1</v>
      </c>
      <c r="AT1016" s="69">
        <v>4177.6499999999996</v>
      </c>
      <c r="AU1016" s="69">
        <v>546.75</v>
      </c>
      <c r="AV1016" s="69">
        <v>1118.7</v>
      </c>
      <c r="BD1016" s="69"/>
      <c r="BE1016" s="69"/>
      <c r="CE1016" s="94">
        <f t="shared" si="110"/>
        <v>5843.0999999999995</v>
      </c>
      <c r="CF1016" s="73">
        <f t="shared" si="105"/>
        <v>0</v>
      </c>
      <c r="CG1016" s="75">
        <f t="shared" si="111"/>
        <v>7042</v>
      </c>
      <c r="CH1016" s="75" t="str">
        <f t="shared" si="111"/>
        <v>برنامج دولى</v>
      </c>
    </row>
    <row r="1017" spans="3:86" x14ac:dyDescent="0.25">
      <c r="C1017" s="82">
        <v>11975</v>
      </c>
      <c r="D1017" s="78">
        <v>7043</v>
      </c>
      <c r="E1017" s="107" t="s">
        <v>78</v>
      </c>
      <c r="F1017" s="69" t="s">
        <v>1386</v>
      </c>
      <c r="G1017" s="69"/>
      <c r="H1017" s="69">
        <v>5012.4399999999996</v>
      </c>
      <c r="U1017" s="69"/>
      <c r="V1017" s="69"/>
      <c r="AS1017" s="94">
        <f t="shared" si="108"/>
        <v>5012.4399999999996</v>
      </c>
      <c r="AT1017" s="69">
        <v>3351.35</v>
      </c>
      <c r="AU1017" s="69">
        <v>453.4</v>
      </c>
      <c r="AV1017" s="69">
        <v>1207.69</v>
      </c>
      <c r="BD1017" s="69"/>
      <c r="BE1017" s="69"/>
      <c r="CE1017" s="94">
        <f t="shared" si="110"/>
        <v>5012.4400000000005</v>
      </c>
      <c r="CF1017" s="73">
        <f t="shared" si="105"/>
        <v>0</v>
      </c>
      <c r="CG1017" s="75">
        <f t="shared" si="111"/>
        <v>7043</v>
      </c>
      <c r="CH1017" s="75" t="str">
        <f t="shared" si="111"/>
        <v>برنامج دولى</v>
      </c>
    </row>
    <row r="1018" spans="3:86" x14ac:dyDescent="0.25">
      <c r="C1018" s="82">
        <v>11969</v>
      </c>
      <c r="D1018" s="78">
        <v>7044</v>
      </c>
      <c r="E1018" s="107" t="s">
        <v>78</v>
      </c>
      <c r="F1018" s="69" t="s">
        <v>565</v>
      </c>
      <c r="G1018" s="69"/>
      <c r="H1018" s="69">
        <v>422.1</v>
      </c>
      <c r="U1018" s="69"/>
      <c r="V1018" s="69"/>
      <c r="AS1018" s="94">
        <f t="shared" si="108"/>
        <v>422.1</v>
      </c>
      <c r="AT1018" s="69">
        <v>282.60000000000002</v>
      </c>
      <c r="AU1018" s="69">
        <v>37.799999999999997</v>
      </c>
      <c r="AV1018" s="69">
        <v>101.7</v>
      </c>
      <c r="BD1018" s="69"/>
      <c r="BE1018" s="69"/>
      <c r="CE1018" s="94">
        <f t="shared" si="110"/>
        <v>422.1</v>
      </c>
      <c r="CF1018" s="73">
        <f t="shared" si="105"/>
        <v>0</v>
      </c>
      <c r="CG1018" s="75">
        <f t="shared" si="111"/>
        <v>7044</v>
      </c>
      <c r="CH1018" s="75" t="str">
        <f t="shared" si="111"/>
        <v>برنامج دولى</v>
      </c>
    </row>
    <row r="1019" spans="3:86" x14ac:dyDescent="0.25">
      <c r="C1019" s="82">
        <v>11964</v>
      </c>
      <c r="D1019" s="78">
        <v>7045</v>
      </c>
      <c r="E1019" s="107" t="s">
        <v>78</v>
      </c>
      <c r="F1019" s="69" t="s">
        <v>2543</v>
      </c>
      <c r="G1019" s="69"/>
      <c r="H1019" s="69">
        <v>20412.54</v>
      </c>
      <c r="U1019" s="69"/>
      <c r="V1019" s="69"/>
      <c r="AS1019" s="94">
        <f t="shared" si="108"/>
        <v>20412.54</v>
      </c>
      <c r="AT1019" s="69">
        <v>13552.22</v>
      </c>
      <c r="AU1019" s="69">
        <v>1844.85</v>
      </c>
      <c r="AV1019" s="69">
        <v>5015.47</v>
      </c>
      <c r="BD1019" s="69"/>
      <c r="BE1019" s="69"/>
      <c r="CE1019" s="94">
        <f t="shared" si="110"/>
        <v>20412.54</v>
      </c>
      <c r="CF1019" s="73">
        <f t="shared" si="105"/>
        <v>0</v>
      </c>
      <c r="CG1019" s="75">
        <f t="shared" si="111"/>
        <v>7045</v>
      </c>
      <c r="CH1019" s="75" t="str">
        <f t="shared" si="111"/>
        <v>برنامج دولى</v>
      </c>
    </row>
    <row r="1020" spans="3:86" x14ac:dyDescent="0.25">
      <c r="C1020" s="82">
        <v>11982</v>
      </c>
      <c r="D1020" s="78">
        <v>7046</v>
      </c>
      <c r="E1020" s="107" t="s">
        <v>78</v>
      </c>
      <c r="F1020" s="69" t="s">
        <v>1388</v>
      </c>
      <c r="G1020" s="69"/>
      <c r="H1020" s="69">
        <v>3007.46</v>
      </c>
      <c r="U1020" s="69"/>
      <c r="V1020" s="69"/>
      <c r="AS1020" s="94">
        <f t="shared" si="108"/>
        <v>3007.46</v>
      </c>
      <c r="AT1020" s="69">
        <v>2009.6</v>
      </c>
      <c r="AU1020" s="69">
        <v>273.25</v>
      </c>
      <c r="AV1020" s="69">
        <v>724.61</v>
      </c>
      <c r="BD1020" s="69"/>
      <c r="BE1020" s="69"/>
      <c r="CE1020" s="94">
        <f t="shared" si="110"/>
        <v>3007.46</v>
      </c>
      <c r="CF1020" s="73">
        <f t="shared" si="105"/>
        <v>0</v>
      </c>
      <c r="CG1020" s="75">
        <f t="shared" si="111"/>
        <v>7046</v>
      </c>
      <c r="CH1020" s="75" t="str">
        <f t="shared" si="111"/>
        <v>برنامج دولى</v>
      </c>
    </row>
    <row r="1021" spans="3:86" x14ac:dyDescent="0.25">
      <c r="C1021" s="82">
        <v>11983</v>
      </c>
      <c r="D1021" s="78">
        <v>7047</v>
      </c>
      <c r="E1021" s="107" t="s">
        <v>78</v>
      </c>
      <c r="F1021" s="69" t="s">
        <v>1388</v>
      </c>
      <c r="G1021" s="69"/>
      <c r="H1021" s="69">
        <v>17607.63</v>
      </c>
      <c r="U1021" s="69"/>
      <c r="V1021" s="69"/>
      <c r="AS1021" s="94">
        <f t="shared" si="108"/>
        <v>17607.63</v>
      </c>
      <c r="AT1021" s="69">
        <v>13240.07</v>
      </c>
      <c r="AU1021" s="69">
        <v>1709.08</v>
      </c>
      <c r="AV1021" s="69">
        <v>2658.48</v>
      </c>
      <c r="BD1021" s="69"/>
      <c r="BE1021" s="69"/>
      <c r="CE1021" s="94">
        <f t="shared" si="110"/>
        <v>17607.63</v>
      </c>
      <c r="CF1021" s="73">
        <f t="shared" si="105"/>
        <v>0</v>
      </c>
      <c r="CG1021" s="75">
        <f t="shared" si="111"/>
        <v>7047</v>
      </c>
      <c r="CH1021" s="75" t="str">
        <f t="shared" si="111"/>
        <v>برنامج دولى</v>
      </c>
    </row>
    <row r="1022" spans="3:86" x14ac:dyDescent="0.25">
      <c r="C1022" s="82">
        <v>11963</v>
      </c>
      <c r="D1022" s="78">
        <v>7048</v>
      </c>
      <c r="E1022" s="107" t="s">
        <v>78</v>
      </c>
      <c r="F1022" s="69" t="s">
        <v>1388</v>
      </c>
      <c r="G1022" s="69"/>
      <c r="H1022" s="69">
        <v>79506.23</v>
      </c>
      <c r="U1022" s="69"/>
      <c r="V1022" s="69"/>
      <c r="AS1022" s="94">
        <f t="shared" si="108"/>
        <v>79506.23</v>
      </c>
      <c r="AT1022" s="69">
        <v>62486.93</v>
      </c>
      <c r="AU1022" s="69">
        <v>7927.35</v>
      </c>
      <c r="AV1022" s="69">
        <v>9091.9500000000007</v>
      </c>
      <c r="BD1022" s="69"/>
      <c r="BE1022" s="69"/>
      <c r="CE1022" s="94">
        <f t="shared" si="110"/>
        <v>79506.23</v>
      </c>
      <c r="CF1022" s="73">
        <f t="shared" si="105"/>
        <v>0</v>
      </c>
      <c r="CG1022" s="75">
        <f t="shared" si="111"/>
        <v>7048</v>
      </c>
      <c r="CH1022" s="75" t="str">
        <f t="shared" si="111"/>
        <v>برنامج دولى</v>
      </c>
    </row>
    <row r="1023" spans="3:86" x14ac:dyDescent="0.25">
      <c r="C1023" s="82">
        <v>11962</v>
      </c>
      <c r="D1023" s="78">
        <v>7049</v>
      </c>
      <c r="E1023" s="107" t="s">
        <v>78</v>
      </c>
      <c r="F1023" s="69" t="s">
        <v>2544</v>
      </c>
      <c r="G1023" s="69"/>
      <c r="H1023" s="69">
        <v>1618.05</v>
      </c>
      <c r="U1023" s="69"/>
      <c r="V1023" s="69"/>
      <c r="AS1023" s="94">
        <f t="shared" si="108"/>
        <v>1618.05</v>
      </c>
      <c r="AT1023" s="69">
        <v>1082.45</v>
      </c>
      <c r="AU1023" s="69">
        <v>145.75</v>
      </c>
      <c r="AV1023" s="69">
        <v>389.85</v>
      </c>
      <c r="BD1023" s="69"/>
      <c r="BE1023" s="69"/>
      <c r="CE1023" s="94">
        <f t="shared" si="110"/>
        <v>1618.0500000000002</v>
      </c>
      <c r="CF1023" s="73">
        <f t="shared" si="105"/>
        <v>0</v>
      </c>
      <c r="CG1023" s="75">
        <f t="shared" si="111"/>
        <v>7049</v>
      </c>
      <c r="CH1023" s="75" t="str">
        <f t="shared" si="111"/>
        <v>برنامج دولى</v>
      </c>
    </row>
    <row r="1024" spans="3:86" x14ac:dyDescent="0.25">
      <c r="C1024" s="82">
        <v>11977</v>
      </c>
      <c r="D1024" s="78">
        <v>7050</v>
      </c>
      <c r="E1024" s="107" t="s">
        <v>78</v>
      </c>
      <c r="F1024" s="69" t="str">
        <f>+F1017</f>
        <v>عب تدريس اطفال</v>
      </c>
      <c r="G1024" s="69"/>
      <c r="H1024" s="69">
        <v>2766.3</v>
      </c>
      <c r="U1024" s="69"/>
      <c r="V1024" s="69"/>
      <c r="AS1024" s="94">
        <f t="shared" si="108"/>
        <v>2766.3</v>
      </c>
      <c r="AT1024" s="69">
        <v>2189.9</v>
      </c>
      <c r="AU1024" s="69">
        <v>271.3</v>
      </c>
      <c r="AV1024" s="69">
        <v>305.10000000000002</v>
      </c>
      <c r="BD1024" s="69"/>
      <c r="BE1024" s="69"/>
      <c r="CE1024" s="94">
        <f t="shared" si="110"/>
        <v>2766.3</v>
      </c>
      <c r="CF1024" s="73">
        <f t="shared" si="105"/>
        <v>0</v>
      </c>
      <c r="CG1024" s="75">
        <f t="shared" si="111"/>
        <v>7050</v>
      </c>
      <c r="CH1024" s="75" t="str">
        <f t="shared" si="111"/>
        <v>برنامج دولى</v>
      </c>
    </row>
    <row r="1025" spans="3:86" x14ac:dyDescent="0.25">
      <c r="C1025" s="82">
        <v>11946</v>
      </c>
      <c r="D1025" s="78">
        <v>7051</v>
      </c>
      <c r="E1025" s="107" t="s">
        <v>78</v>
      </c>
      <c r="F1025" s="69" t="str">
        <f>+F1022</f>
        <v>مراجعات نظريه دور اول</v>
      </c>
      <c r="G1025" s="69"/>
      <c r="H1025" s="69">
        <v>8938.27</v>
      </c>
      <c r="U1025" s="69"/>
      <c r="V1025" s="69"/>
      <c r="AS1025" s="94">
        <f t="shared" si="108"/>
        <v>8938.27</v>
      </c>
      <c r="AT1025" s="69">
        <v>6542.01</v>
      </c>
      <c r="AU1025" s="69">
        <v>854.43</v>
      </c>
      <c r="AV1025" s="69">
        <v>1541.83</v>
      </c>
      <c r="BD1025" s="69"/>
      <c r="BE1025" s="69"/>
      <c r="CE1025" s="94">
        <f t="shared" si="110"/>
        <v>8938.27</v>
      </c>
      <c r="CF1025" s="73">
        <f t="shared" si="105"/>
        <v>0</v>
      </c>
      <c r="CG1025" s="75">
        <f t="shared" si="111"/>
        <v>7051</v>
      </c>
      <c r="CH1025" s="75" t="str">
        <f t="shared" si="111"/>
        <v>برنامج دولى</v>
      </c>
    </row>
    <row r="1026" spans="3:86" x14ac:dyDescent="0.25">
      <c r="C1026" s="82">
        <v>11957</v>
      </c>
      <c r="D1026" s="78">
        <v>7052</v>
      </c>
      <c r="E1026" s="107" t="s">
        <v>78</v>
      </c>
      <c r="F1026" s="69" t="s">
        <v>2545</v>
      </c>
      <c r="G1026" s="69"/>
      <c r="H1026" s="69">
        <v>87.94</v>
      </c>
      <c r="U1026" s="69"/>
      <c r="V1026" s="69"/>
      <c r="AS1026" s="94">
        <f t="shared" si="108"/>
        <v>87.94</v>
      </c>
      <c r="AT1026" s="69">
        <v>59.1</v>
      </c>
      <c r="AU1026" s="69">
        <f>0.15+7.5</f>
        <v>7.65</v>
      </c>
      <c r="AV1026" s="69">
        <f>28.84-AU1026</f>
        <v>21.189999999999998</v>
      </c>
      <c r="BD1026" s="69"/>
      <c r="BE1026" s="69"/>
      <c r="CE1026" s="94">
        <f t="shared" si="110"/>
        <v>87.94</v>
      </c>
      <c r="CF1026" s="73">
        <f t="shared" si="105"/>
        <v>0</v>
      </c>
      <c r="CG1026" s="75">
        <f t="shared" si="111"/>
        <v>7052</v>
      </c>
      <c r="CH1026" s="75" t="str">
        <f t="shared" si="111"/>
        <v>برنامج دولى</v>
      </c>
    </row>
    <row r="1027" spans="3:86" x14ac:dyDescent="0.25">
      <c r="C1027" s="82">
        <v>11961</v>
      </c>
      <c r="D1027" s="78">
        <v>7053</v>
      </c>
      <c r="E1027" s="107" t="s">
        <v>78</v>
      </c>
      <c r="F1027" s="69" t="s">
        <v>2542</v>
      </c>
      <c r="G1027" s="69"/>
      <c r="H1027" s="69">
        <v>967.34</v>
      </c>
      <c r="U1027" s="69"/>
      <c r="V1027" s="69"/>
      <c r="AS1027" s="94">
        <f t="shared" si="108"/>
        <v>967.34</v>
      </c>
      <c r="AT1027" s="69">
        <v>650.35</v>
      </c>
      <c r="AU1027" s="69">
        <v>83.9</v>
      </c>
      <c r="AV1027" s="69">
        <v>233.09</v>
      </c>
      <c r="BD1027" s="69"/>
      <c r="BE1027" s="69"/>
      <c r="CE1027" s="94">
        <f t="shared" si="110"/>
        <v>967.34</v>
      </c>
      <c r="CF1027" s="73">
        <f t="shared" si="105"/>
        <v>0</v>
      </c>
      <c r="CG1027" s="75">
        <f t="shared" si="111"/>
        <v>7053</v>
      </c>
      <c r="CH1027" s="75" t="str">
        <f t="shared" si="111"/>
        <v>برنامج دولى</v>
      </c>
    </row>
    <row r="1028" spans="3:86" x14ac:dyDescent="0.25">
      <c r="C1028" s="82">
        <v>11960</v>
      </c>
      <c r="D1028" s="78">
        <v>7054</v>
      </c>
      <c r="E1028" s="107" t="s">
        <v>78</v>
      </c>
      <c r="F1028" s="69" t="s">
        <v>2542</v>
      </c>
      <c r="G1028" s="69"/>
      <c r="H1028" s="69">
        <v>1677.82</v>
      </c>
      <c r="U1028" s="69"/>
      <c r="V1028" s="69"/>
      <c r="AS1028" s="94">
        <f t="shared" si="108"/>
        <v>1677.82</v>
      </c>
      <c r="AT1028" s="69">
        <v>1119.1199999999999</v>
      </c>
      <c r="AU1028" s="69">
        <v>144.69999999999999</v>
      </c>
      <c r="AV1028" s="69">
        <v>414</v>
      </c>
      <c r="BD1028" s="69"/>
      <c r="BE1028" s="69"/>
      <c r="CE1028" s="94">
        <f t="shared" si="110"/>
        <v>1677.82</v>
      </c>
      <c r="CF1028" s="73">
        <f t="shared" si="105"/>
        <v>0</v>
      </c>
      <c r="CG1028" s="75">
        <f t="shared" si="111"/>
        <v>7054</v>
      </c>
      <c r="CH1028" s="75" t="str">
        <f t="shared" si="111"/>
        <v>برنامج دولى</v>
      </c>
    </row>
    <row r="1029" spans="3:86" x14ac:dyDescent="0.25">
      <c r="C1029" s="82">
        <v>11965</v>
      </c>
      <c r="D1029" s="78">
        <v>7055</v>
      </c>
      <c r="E1029" s="107" t="s">
        <v>78</v>
      </c>
      <c r="F1029" s="69" t="s">
        <v>2546</v>
      </c>
      <c r="G1029" s="69"/>
      <c r="H1029" s="69">
        <v>5276.25</v>
      </c>
      <c r="U1029" s="69"/>
      <c r="V1029" s="69"/>
      <c r="AS1029" s="94">
        <f t="shared" si="108"/>
        <v>5276.25</v>
      </c>
      <c r="AT1029" s="69">
        <v>3526.05</v>
      </c>
      <c r="AU1029" s="69">
        <v>478.95</v>
      </c>
      <c r="AV1029" s="69">
        <v>1271.25</v>
      </c>
      <c r="BD1029" s="69"/>
      <c r="BE1029" s="69"/>
      <c r="CE1029" s="94">
        <f t="shared" si="110"/>
        <v>5276.25</v>
      </c>
      <c r="CF1029" s="73">
        <f t="shared" si="105"/>
        <v>0</v>
      </c>
      <c r="CG1029" s="75">
        <f t="shared" si="111"/>
        <v>7055</v>
      </c>
      <c r="CH1029" s="75" t="str">
        <f t="shared" si="111"/>
        <v>برنامج دولى</v>
      </c>
    </row>
    <row r="1030" spans="3:86" x14ac:dyDescent="0.25">
      <c r="C1030" s="82">
        <v>11971</v>
      </c>
      <c r="D1030" s="78">
        <v>7056</v>
      </c>
      <c r="E1030" s="107" t="s">
        <v>78</v>
      </c>
      <c r="F1030" s="69" t="s">
        <v>565</v>
      </c>
      <c r="G1030" s="69"/>
      <c r="H1030" s="69">
        <v>351.76</v>
      </c>
      <c r="U1030" s="69"/>
      <c r="V1030" s="69"/>
      <c r="AS1030" s="94">
        <f t="shared" si="108"/>
        <v>351.76</v>
      </c>
      <c r="AT1030" s="69">
        <v>235.8</v>
      </c>
      <c r="AU1030" s="69">
        <f>30+1.2</f>
        <v>31.2</v>
      </c>
      <c r="AV1030" s="69">
        <f>115.96-31.2</f>
        <v>84.759999999999991</v>
      </c>
      <c r="BD1030" s="69"/>
      <c r="BE1030" s="69"/>
      <c r="CE1030" s="94">
        <f t="shared" si="110"/>
        <v>351.76</v>
      </c>
      <c r="CF1030" s="73">
        <f t="shared" ref="CF1030:CF1094" si="112">+CE1030-AS1030</f>
        <v>0</v>
      </c>
      <c r="CG1030" s="75">
        <f t="shared" si="111"/>
        <v>7056</v>
      </c>
      <c r="CH1030" s="75" t="str">
        <f t="shared" si="111"/>
        <v>برنامج دولى</v>
      </c>
    </row>
    <row r="1031" spans="3:86" x14ac:dyDescent="0.25">
      <c r="C1031" s="82">
        <v>11968</v>
      </c>
      <c r="D1031" s="78">
        <v>7057</v>
      </c>
      <c r="E1031" s="107" t="s">
        <v>78</v>
      </c>
      <c r="F1031" s="69" t="s">
        <v>565</v>
      </c>
      <c r="G1031" s="69"/>
      <c r="H1031" s="69">
        <v>1806.3</v>
      </c>
      <c r="U1031" s="69"/>
      <c r="V1031" s="69"/>
      <c r="AS1031" s="94">
        <f t="shared" si="108"/>
        <v>1806.3</v>
      </c>
      <c r="AT1031" s="69">
        <v>1328.9</v>
      </c>
      <c r="AU1031" s="69">
        <v>172.3</v>
      </c>
      <c r="AV1031" s="69">
        <v>305.10000000000002</v>
      </c>
      <c r="BD1031" s="69"/>
      <c r="BE1031" s="69"/>
      <c r="CE1031" s="94">
        <f t="shared" si="110"/>
        <v>1806.3000000000002</v>
      </c>
      <c r="CF1031" s="73">
        <f t="shared" si="112"/>
        <v>0</v>
      </c>
      <c r="CG1031" s="75">
        <f t="shared" si="111"/>
        <v>7057</v>
      </c>
      <c r="CH1031" s="75" t="str">
        <f t="shared" si="111"/>
        <v>برنامج دولى</v>
      </c>
    </row>
    <row r="1032" spans="3:86" x14ac:dyDescent="0.25">
      <c r="C1032" s="82">
        <v>11966</v>
      </c>
      <c r="D1032" s="78">
        <v>7058</v>
      </c>
      <c r="E1032" s="107" t="s">
        <v>78</v>
      </c>
      <c r="F1032" s="69" t="s">
        <v>565</v>
      </c>
      <c r="G1032" s="69"/>
      <c r="H1032" s="69">
        <v>28626.84</v>
      </c>
      <c r="U1032" s="69"/>
      <c r="V1032" s="69"/>
      <c r="AS1032" s="94">
        <f t="shared" si="108"/>
        <v>28626.84</v>
      </c>
      <c r="AT1032" s="69">
        <v>21987.61</v>
      </c>
      <c r="AU1032" s="69">
        <v>2795.85</v>
      </c>
      <c r="AV1032" s="69">
        <v>3843.38</v>
      </c>
      <c r="BD1032" s="69"/>
      <c r="BE1032" s="69"/>
      <c r="CE1032" s="94">
        <f t="shared" si="110"/>
        <v>28626.84</v>
      </c>
      <c r="CF1032" s="73">
        <f t="shared" si="112"/>
        <v>0</v>
      </c>
      <c r="CG1032" s="75">
        <f t="shared" si="111"/>
        <v>7058</v>
      </c>
      <c r="CH1032" s="75" t="str">
        <f t="shared" si="111"/>
        <v>برنامج دولى</v>
      </c>
    </row>
    <row r="1033" spans="3:86" x14ac:dyDescent="0.25">
      <c r="C1033" s="82">
        <v>11978</v>
      </c>
      <c r="D1033" s="78">
        <v>7059</v>
      </c>
      <c r="E1033" s="107" t="s">
        <v>78</v>
      </c>
      <c r="F1033" s="69" t="str">
        <f>+F1017</f>
        <v>عب تدريس اطفال</v>
      </c>
      <c r="G1033" s="69"/>
      <c r="H1033" s="69">
        <v>3165.75</v>
      </c>
      <c r="U1033" s="69"/>
      <c r="V1033" s="69"/>
      <c r="AS1033" s="94">
        <f t="shared" si="108"/>
        <v>3165.75</v>
      </c>
      <c r="AT1033" s="69">
        <v>2117.5</v>
      </c>
      <c r="AU1033" s="69">
        <v>285.5</v>
      </c>
      <c r="AV1033" s="69">
        <v>762.75</v>
      </c>
      <c r="BD1033" s="69"/>
      <c r="BE1033" s="69"/>
      <c r="CE1033" s="94">
        <f t="shared" si="110"/>
        <v>3165.75</v>
      </c>
      <c r="CF1033" s="73">
        <f t="shared" si="112"/>
        <v>0</v>
      </c>
      <c r="CG1033" s="75">
        <f t="shared" si="111"/>
        <v>7059</v>
      </c>
      <c r="CH1033" s="75" t="str">
        <f t="shared" si="111"/>
        <v>برنامج دولى</v>
      </c>
    </row>
    <row r="1034" spans="3:86" x14ac:dyDescent="0.25">
      <c r="C1034" s="82">
        <v>11976</v>
      </c>
      <c r="D1034" s="78">
        <v>7060</v>
      </c>
      <c r="E1034" s="107" t="s">
        <v>78</v>
      </c>
      <c r="F1034" s="69" t="str">
        <f>+F1033</f>
        <v>عب تدريس اطفال</v>
      </c>
      <c r="G1034" s="69"/>
      <c r="H1034" s="69">
        <v>4183.66</v>
      </c>
      <c r="U1034" s="69"/>
      <c r="V1034" s="69"/>
      <c r="AS1034" s="94">
        <f t="shared" si="108"/>
        <v>4183.66</v>
      </c>
      <c r="AT1034" s="69">
        <v>3263.28</v>
      </c>
      <c r="AU1034" s="69">
        <f>234+25.32</f>
        <v>259.32</v>
      </c>
      <c r="AV1034" s="69">
        <f>920.38-259.32</f>
        <v>661.06</v>
      </c>
      <c r="BD1034" s="69"/>
      <c r="BE1034" s="69"/>
      <c r="CE1034" s="94">
        <f t="shared" si="110"/>
        <v>4183.66</v>
      </c>
      <c r="CF1034" s="73">
        <f t="shared" si="112"/>
        <v>0</v>
      </c>
      <c r="CG1034" s="75">
        <f t="shared" si="111"/>
        <v>7060</v>
      </c>
      <c r="CH1034" s="75" t="str">
        <f t="shared" si="111"/>
        <v>برنامج دولى</v>
      </c>
    </row>
    <row r="1035" spans="3:86" x14ac:dyDescent="0.25">
      <c r="C1035" s="82">
        <v>11967</v>
      </c>
      <c r="D1035" s="78">
        <v>7061</v>
      </c>
      <c r="E1035" s="107" t="s">
        <v>78</v>
      </c>
      <c r="F1035" s="69" t="str">
        <f>+F1032</f>
        <v>عب تدريس طب شرعى</v>
      </c>
      <c r="G1035" s="69"/>
      <c r="H1035" s="69">
        <v>562.79999999999995</v>
      </c>
      <c r="U1035" s="69"/>
      <c r="V1035" s="69"/>
      <c r="AS1035" s="94">
        <f t="shared" si="108"/>
        <v>562.79999999999995</v>
      </c>
      <c r="AT1035" s="69">
        <v>377.2</v>
      </c>
      <c r="AU1035" s="69">
        <v>50</v>
      </c>
      <c r="AV1035" s="69">
        <v>135.6</v>
      </c>
      <c r="BD1035" s="69"/>
      <c r="BE1035" s="69"/>
      <c r="CE1035" s="94">
        <f t="shared" si="110"/>
        <v>562.79999999999995</v>
      </c>
      <c r="CF1035" s="73">
        <f t="shared" si="112"/>
        <v>0</v>
      </c>
      <c r="CG1035" s="75">
        <f t="shared" si="111"/>
        <v>7061</v>
      </c>
      <c r="CH1035" s="75" t="str">
        <f t="shared" si="111"/>
        <v>برنامج دولى</v>
      </c>
    </row>
    <row r="1036" spans="3:86" x14ac:dyDescent="0.25">
      <c r="C1036" s="82">
        <v>11971</v>
      </c>
      <c r="D1036" s="78">
        <v>7062</v>
      </c>
      <c r="E1036" s="107" t="s">
        <v>78</v>
      </c>
      <c r="F1036" s="69" t="str">
        <f>+F1033</f>
        <v>عب تدريس اطفال</v>
      </c>
      <c r="G1036" s="69"/>
      <c r="H1036" s="69">
        <v>10198.65</v>
      </c>
      <c r="U1036" s="69"/>
      <c r="V1036" s="69"/>
      <c r="AS1036" s="94">
        <f t="shared" si="108"/>
        <v>10198.65</v>
      </c>
      <c r="AT1036" s="69">
        <v>6920</v>
      </c>
      <c r="AU1036" s="69">
        <v>922.6</v>
      </c>
      <c r="AV1036" s="69">
        <v>2356.0500000000002</v>
      </c>
      <c r="BD1036" s="69"/>
      <c r="BE1036" s="69"/>
      <c r="CE1036" s="94">
        <f t="shared" si="110"/>
        <v>10198.650000000001</v>
      </c>
      <c r="CF1036" s="73">
        <f t="shared" si="112"/>
        <v>0</v>
      </c>
      <c r="CG1036" s="75">
        <f t="shared" si="111"/>
        <v>7062</v>
      </c>
      <c r="CH1036" s="75" t="str">
        <f t="shared" si="111"/>
        <v>برنامج دولى</v>
      </c>
    </row>
    <row r="1037" spans="3:86" x14ac:dyDescent="0.25">
      <c r="C1037" s="82">
        <v>11972</v>
      </c>
      <c r="D1037" s="78">
        <v>7063</v>
      </c>
      <c r="E1037" s="107" t="s">
        <v>78</v>
      </c>
      <c r="F1037" s="69" t="str">
        <f>+F1034</f>
        <v>عب تدريس اطفال</v>
      </c>
      <c r="G1037" s="69"/>
      <c r="H1037" s="69">
        <v>984.9</v>
      </c>
      <c r="U1037" s="69"/>
      <c r="V1037" s="69"/>
      <c r="AS1037" s="94">
        <f t="shared" si="108"/>
        <v>984.9</v>
      </c>
      <c r="AT1037" s="69">
        <v>659.4</v>
      </c>
      <c r="AU1037" s="69">
        <v>88.2</v>
      </c>
      <c r="AV1037" s="69">
        <v>237.3</v>
      </c>
      <c r="BD1037" s="69"/>
      <c r="BE1037" s="69"/>
      <c r="CE1037" s="94">
        <f t="shared" si="110"/>
        <v>984.90000000000009</v>
      </c>
      <c r="CF1037" s="73">
        <f t="shared" si="112"/>
        <v>0</v>
      </c>
      <c r="CG1037" s="75">
        <f t="shared" si="111"/>
        <v>7063</v>
      </c>
      <c r="CH1037" s="75" t="str">
        <f t="shared" si="111"/>
        <v>برنامج دولى</v>
      </c>
    </row>
    <row r="1038" spans="3:86" x14ac:dyDescent="0.25">
      <c r="C1038" s="82">
        <v>12127</v>
      </c>
      <c r="D1038" s="78">
        <v>7064</v>
      </c>
      <c r="E1038" s="107" t="s">
        <v>78</v>
      </c>
      <c r="F1038" s="69" t="s">
        <v>2546</v>
      </c>
      <c r="G1038" s="69"/>
      <c r="H1038" s="69">
        <v>1758.75</v>
      </c>
      <c r="U1038" s="69"/>
      <c r="V1038" s="69"/>
      <c r="AS1038" s="94">
        <f t="shared" si="108"/>
        <v>1758.75</v>
      </c>
      <c r="AT1038" s="69">
        <v>1174.1199999999999</v>
      </c>
      <c r="AU1038" s="69">
        <f>150+10.88</f>
        <v>160.88</v>
      </c>
      <c r="AV1038" s="69">
        <f>584.63-160.88</f>
        <v>423.75</v>
      </c>
      <c r="BD1038" s="69"/>
      <c r="BE1038" s="69"/>
      <c r="CE1038" s="94">
        <f t="shared" si="110"/>
        <v>1758.75</v>
      </c>
      <c r="CF1038" s="73">
        <f t="shared" si="112"/>
        <v>0</v>
      </c>
      <c r="CG1038" s="75">
        <f t="shared" si="111"/>
        <v>7064</v>
      </c>
      <c r="CH1038" s="75" t="str">
        <f t="shared" si="111"/>
        <v>برنامج دولى</v>
      </c>
    </row>
    <row r="1039" spans="3:86" x14ac:dyDescent="0.25">
      <c r="C1039" s="82">
        <v>12126</v>
      </c>
      <c r="D1039" s="78">
        <v>7065</v>
      </c>
      <c r="E1039" s="107" t="s">
        <v>78</v>
      </c>
      <c r="F1039" s="69" t="str">
        <f>+F1037</f>
        <v>عب تدريس اطفال</v>
      </c>
      <c r="G1039" s="69"/>
      <c r="H1039" s="69">
        <v>175.88</v>
      </c>
      <c r="U1039" s="69"/>
      <c r="V1039" s="69"/>
      <c r="AS1039" s="94">
        <f t="shared" si="108"/>
        <v>175.88</v>
      </c>
      <c r="AT1039" s="69">
        <v>117.9</v>
      </c>
      <c r="AU1039" s="69">
        <f>15+0.6</f>
        <v>15.6</v>
      </c>
      <c r="AV1039" s="69">
        <f>57.98-15.6</f>
        <v>42.379999999999995</v>
      </c>
      <c r="BD1039" s="69"/>
      <c r="BE1039" s="69"/>
      <c r="CE1039" s="94">
        <f t="shared" si="110"/>
        <v>175.88</v>
      </c>
      <c r="CF1039" s="73">
        <f t="shared" si="112"/>
        <v>0</v>
      </c>
      <c r="CG1039" s="75">
        <f t="shared" si="111"/>
        <v>7065</v>
      </c>
      <c r="CH1039" s="75" t="str">
        <f t="shared" si="111"/>
        <v>برنامج دولى</v>
      </c>
    </row>
    <row r="1040" spans="3:86" x14ac:dyDescent="0.25">
      <c r="C1040" s="82">
        <v>11834</v>
      </c>
      <c r="D1040" s="78">
        <v>7066</v>
      </c>
      <c r="E1040" s="107" t="s">
        <v>132</v>
      </c>
      <c r="F1040" s="69" t="s">
        <v>1239</v>
      </c>
      <c r="G1040" s="69"/>
      <c r="H1040" s="69">
        <v>6732.45</v>
      </c>
      <c r="U1040" s="69"/>
      <c r="V1040" s="69"/>
      <c r="AS1040" s="94">
        <f t="shared" si="108"/>
        <v>6732.45</v>
      </c>
      <c r="AT1040" s="69">
        <v>5897.1</v>
      </c>
      <c r="AU1040" s="69">
        <v>716.7</v>
      </c>
      <c r="AV1040" s="69">
        <v>118.65</v>
      </c>
      <c r="BD1040" s="69"/>
      <c r="BE1040" s="69"/>
      <c r="CE1040" s="94">
        <f t="shared" si="110"/>
        <v>6732.45</v>
      </c>
      <c r="CF1040" s="73">
        <f t="shared" si="112"/>
        <v>0</v>
      </c>
      <c r="CG1040" s="75">
        <f t="shared" si="111"/>
        <v>7066</v>
      </c>
      <c r="CH1040" s="75" t="str">
        <f t="shared" si="111"/>
        <v>صيدلة اكلينيكى</v>
      </c>
    </row>
    <row r="1041" spans="3:86" x14ac:dyDescent="0.25">
      <c r="C1041" s="82">
        <v>11940</v>
      </c>
      <c r="D1041" s="78">
        <v>7067</v>
      </c>
      <c r="E1041" s="107" t="s">
        <v>123</v>
      </c>
      <c r="F1041" s="69" t="s">
        <v>2547</v>
      </c>
      <c r="G1041" s="69"/>
      <c r="H1041" s="69">
        <v>334.5</v>
      </c>
      <c r="U1041" s="69"/>
      <c r="V1041" s="69"/>
      <c r="AS1041" s="94">
        <f t="shared" si="108"/>
        <v>334.5</v>
      </c>
      <c r="AT1041" s="69">
        <v>232.2</v>
      </c>
      <c r="AU1041" s="69">
        <v>30.8</v>
      </c>
      <c r="AV1041" s="69">
        <v>56.5</v>
      </c>
      <c r="AW1041" s="69">
        <v>15</v>
      </c>
      <c r="BD1041" s="69"/>
      <c r="BE1041" s="69"/>
      <c r="CE1041" s="94">
        <f t="shared" si="110"/>
        <v>334.5</v>
      </c>
      <c r="CF1041" s="73">
        <f t="shared" si="112"/>
        <v>0</v>
      </c>
      <c r="CG1041" s="75">
        <f t="shared" si="111"/>
        <v>7067</v>
      </c>
      <c r="CH1041" s="75" t="str">
        <f t="shared" si="111"/>
        <v>خ ت اسنان</v>
      </c>
    </row>
    <row r="1042" spans="3:86" x14ac:dyDescent="0.25">
      <c r="C1042" s="82">
        <v>11943</v>
      </c>
      <c r="D1042" s="78">
        <v>7068</v>
      </c>
      <c r="E1042" s="107" t="s">
        <v>123</v>
      </c>
      <c r="F1042" s="69" t="s">
        <v>2548</v>
      </c>
      <c r="G1042" s="69"/>
      <c r="H1042" s="69">
        <v>4903.75</v>
      </c>
      <c r="U1042" s="69"/>
      <c r="V1042" s="69"/>
      <c r="AS1042" s="94">
        <f t="shared" si="108"/>
        <v>4903.75</v>
      </c>
      <c r="AT1042" s="69">
        <v>3246.55</v>
      </c>
      <c r="AU1042" s="69">
        <v>453.45</v>
      </c>
      <c r="AV1042" s="69">
        <v>988.75</v>
      </c>
      <c r="AW1042" s="69">
        <v>215</v>
      </c>
      <c r="BD1042" s="69"/>
      <c r="BE1042" s="69"/>
      <c r="CE1042" s="94">
        <f t="shared" si="110"/>
        <v>4903.75</v>
      </c>
      <c r="CF1042" s="73">
        <f t="shared" si="112"/>
        <v>0</v>
      </c>
      <c r="CG1042" s="75">
        <f t="shared" si="111"/>
        <v>7068</v>
      </c>
      <c r="CH1042" s="75" t="str">
        <f t="shared" si="111"/>
        <v>خ ت اسنان</v>
      </c>
    </row>
    <row r="1043" spans="3:86" x14ac:dyDescent="0.25">
      <c r="C1043" s="82">
        <v>11944</v>
      </c>
      <c r="D1043" s="78">
        <v>7069</v>
      </c>
      <c r="E1043" s="107" t="s">
        <v>123</v>
      </c>
      <c r="F1043" s="69" t="s">
        <v>2548</v>
      </c>
      <c r="G1043" s="69"/>
      <c r="H1043" s="69">
        <v>1172.5</v>
      </c>
      <c r="U1043" s="69"/>
      <c r="V1043" s="69"/>
      <c r="AS1043" s="94">
        <f t="shared" si="108"/>
        <v>1172.5</v>
      </c>
      <c r="AT1043" s="69">
        <v>734.8</v>
      </c>
      <c r="AU1043" s="69">
        <v>105.2</v>
      </c>
      <c r="AV1043" s="69">
        <v>282.5</v>
      </c>
      <c r="AW1043" s="69">
        <v>50</v>
      </c>
      <c r="BD1043" s="69"/>
      <c r="BE1043" s="69"/>
      <c r="CE1043" s="94">
        <f t="shared" si="110"/>
        <v>1172.5</v>
      </c>
      <c r="CF1043" s="73">
        <f t="shared" si="112"/>
        <v>0</v>
      </c>
      <c r="CG1043" s="75">
        <f t="shared" si="111"/>
        <v>7069</v>
      </c>
      <c r="CH1043" s="75" t="str">
        <f t="shared" si="111"/>
        <v>خ ت اسنان</v>
      </c>
    </row>
    <row r="1044" spans="3:86" x14ac:dyDescent="0.25">
      <c r="C1044" s="82">
        <v>11941</v>
      </c>
      <c r="D1044" s="78">
        <v>7070</v>
      </c>
      <c r="E1044" s="107" t="s">
        <v>249</v>
      </c>
      <c r="F1044" s="69" t="s">
        <v>2549</v>
      </c>
      <c r="G1044" s="69"/>
      <c r="H1044" s="69">
        <v>4631.37</v>
      </c>
      <c r="U1044" s="69"/>
      <c r="V1044" s="69"/>
      <c r="AS1044" s="94">
        <f t="shared" si="108"/>
        <v>4631.37</v>
      </c>
      <c r="AT1044" s="69">
        <v>2901.9</v>
      </c>
      <c r="AU1044" s="69">
        <v>416.1</v>
      </c>
      <c r="AV1044" s="69">
        <v>1115.8699999999999</v>
      </c>
      <c r="AW1044" s="69">
        <v>197.5</v>
      </c>
      <c r="BD1044" s="69"/>
      <c r="BE1044" s="69"/>
      <c r="CE1044" s="94">
        <f t="shared" si="110"/>
        <v>4631.37</v>
      </c>
      <c r="CF1044" s="73">
        <f t="shared" si="112"/>
        <v>0</v>
      </c>
      <c r="CG1044" s="75">
        <f t="shared" si="111"/>
        <v>7070</v>
      </c>
      <c r="CH1044" s="75" t="str">
        <f t="shared" si="111"/>
        <v>خدمة عامة</v>
      </c>
    </row>
    <row r="1045" spans="3:86" x14ac:dyDescent="0.25">
      <c r="C1045" s="82">
        <v>11942</v>
      </c>
      <c r="D1045" s="78">
        <v>7071</v>
      </c>
      <c r="E1045" s="107" t="s">
        <v>249</v>
      </c>
      <c r="F1045" s="69" t="s">
        <v>2549</v>
      </c>
      <c r="G1045" s="69"/>
      <c r="H1045" s="69">
        <v>3683</v>
      </c>
      <c r="U1045" s="69"/>
      <c r="V1045" s="69"/>
      <c r="AS1045" s="94">
        <f t="shared" si="108"/>
        <v>3683</v>
      </c>
      <c r="AT1045" s="69">
        <v>2391.6999999999998</v>
      </c>
      <c r="AU1045" s="69">
        <v>340.3</v>
      </c>
      <c r="AV1045" s="69">
        <v>791</v>
      </c>
      <c r="AW1045" s="69">
        <v>160</v>
      </c>
      <c r="BD1045" s="69"/>
      <c r="BE1045" s="69"/>
      <c r="CE1045" s="94">
        <f t="shared" si="110"/>
        <v>3683</v>
      </c>
      <c r="CF1045" s="73">
        <f t="shared" si="112"/>
        <v>0</v>
      </c>
      <c r="CG1045" s="75">
        <f t="shared" si="111"/>
        <v>7071</v>
      </c>
      <c r="CH1045" s="75" t="str">
        <f t="shared" si="111"/>
        <v>خدمة عامة</v>
      </c>
    </row>
    <row r="1046" spans="3:86" x14ac:dyDescent="0.25">
      <c r="C1046" s="82">
        <v>10771</v>
      </c>
      <c r="D1046" s="78">
        <v>7072</v>
      </c>
      <c r="E1046" s="107" t="s">
        <v>132</v>
      </c>
      <c r="F1046" s="69" t="s">
        <v>2550</v>
      </c>
      <c r="G1046" s="69"/>
      <c r="I1046" s="69">
        <v>5369</v>
      </c>
      <c r="U1046" s="69"/>
      <c r="V1046" s="69"/>
      <c r="AS1046" s="94">
        <f t="shared" si="108"/>
        <v>5369</v>
      </c>
      <c r="AT1046" s="69">
        <v>5369</v>
      </c>
      <c r="AU1046" s="69"/>
      <c r="BD1046" s="69"/>
      <c r="BE1046" s="69"/>
      <c r="CE1046" s="94">
        <f t="shared" si="110"/>
        <v>5369</v>
      </c>
      <c r="CF1046" s="73">
        <f t="shared" si="112"/>
        <v>0</v>
      </c>
      <c r="CG1046" s="75">
        <f t="shared" si="111"/>
        <v>7072</v>
      </c>
      <c r="CH1046" s="75" t="str">
        <f t="shared" si="111"/>
        <v>صيدلة اكلينيكى</v>
      </c>
    </row>
    <row r="1047" spans="3:86" x14ac:dyDescent="0.25">
      <c r="C1047" s="82">
        <v>11882</v>
      </c>
      <c r="D1047" s="78">
        <v>7073</v>
      </c>
      <c r="E1047" s="107" t="s">
        <v>132</v>
      </c>
      <c r="F1047" s="69" t="s">
        <v>2551</v>
      </c>
      <c r="G1047" s="69"/>
      <c r="I1047" s="69">
        <v>3000</v>
      </c>
      <c r="P1047" s="69">
        <v>3000</v>
      </c>
      <c r="U1047" s="69"/>
      <c r="V1047" s="69"/>
      <c r="AS1047" s="94">
        <f t="shared" si="108"/>
        <v>6000</v>
      </c>
      <c r="AT1047" s="69">
        <v>3000</v>
      </c>
      <c r="AU1047" s="69"/>
      <c r="BD1047" s="69"/>
      <c r="BE1047" s="69"/>
      <c r="BO1047" s="69">
        <v>3000</v>
      </c>
      <c r="CE1047" s="94">
        <f t="shared" si="110"/>
        <v>6000</v>
      </c>
      <c r="CF1047" s="73">
        <f t="shared" si="112"/>
        <v>0</v>
      </c>
      <c r="CG1047" s="75">
        <f t="shared" si="111"/>
        <v>7073</v>
      </c>
      <c r="CH1047" s="75" t="str">
        <f t="shared" si="111"/>
        <v>صيدلة اكلينيكى</v>
      </c>
    </row>
    <row r="1048" spans="3:86" x14ac:dyDescent="0.25">
      <c r="C1048" s="82">
        <v>11749</v>
      </c>
      <c r="D1048" s="78">
        <v>7074</v>
      </c>
      <c r="E1048" s="107" t="s">
        <v>78</v>
      </c>
      <c r="F1048" s="69" t="s">
        <v>1672</v>
      </c>
      <c r="G1048" s="69"/>
      <c r="I1048" s="69">
        <v>150</v>
      </c>
      <c r="U1048" s="69"/>
      <c r="V1048" s="69"/>
      <c r="AS1048" s="94">
        <f t="shared" si="108"/>
        <v>150</v>
      </c>
      <c r="AT1048" s="69">
        <v>150</v>
      </c>
      <c r="AU1048" s="69"/>
      <c r="BD1048" s="69"/>
      <c r="BE1048" s="69"/>
      <c r="CE1048" s="94">
        <f t="shared" si="110"/>
        <v>150</v>
      </c>
      <c r="CF1048" s="73">
        <f t="shared" si="112"/>
        <v>0</v>
      </c>
      <c r="CG1048" s="75">
        <f t="shared" si="111"/>
        <v>7074</v>
      </c>
      <c r="CH1048" s="75" t="str">
        <f t="shared" si="111"/>
        <v>برنامج دولى</v>
      </c>
    </row>
    <row r="1049" spans="3:86" x14ac:dyDescent="0.25">
      <c r="C1049" s="82">
        <v>11753</v>
      </c>
      <c r="D1049" s="78">
        <v>7075</v>
      </c>
      <c r="E1049" s="107" t="s">
        <v>78</v>
      </c>
      <c r="F1049" s="69" t="s">
        <v>1284</v>
      </c>
      <c r="G1049" s="69"/>
      <c r="I1049" s="69">
        <v>360</v>
      </c>
      <c r="U1049" s="69"/>
      <c r="V1049" s="69"/>
      <c r="AS1049" s="94">
        <f t="shared" si="108"/>
        <v>360</v>
      </c>
      <c r="AT1049" s="69">
        <v>360</v>
      </c>
      <c r="AU1049" s="69"/>
      <c r="BD1049" s="69"/>
      <c r="BE1049" s="69"/>
      <c r="CE1049" s="94">
        <f t="shared" si="110"/>
        <v>360</v>
      </c>
      <c r="CF1049" s="73">
        <f t="shared" si="112"/>
        <v>0</v>
      </c>
      <c r="CG1049" s="75">
        <f t="shared" si="111"/>
        <v>7075</v>
      </c>
      <c r="CH1049" s="75" t="str">
        <f t="shared" si="111"/>
        <v>برنامج دولى</v>
      </c>
    </row>
    <row r="1050" spans="3:86" ht="36" x14ac:dyDescent="0.25">
      <c r="C1050" s="82">
        <v>11297</v>
      </c>
      <c r="D1050" s="78">
        <v>7076</v>
      </c>
      <c r="E1050" s="107" t="s">
        <v>78</v>
      </c>
      <c r="F1050" s="77" t="s">
        <v>2552</v>
      </c>
      <c r="G1050" s="69"/>
      <c r="I1050" s="69">
        <v>4500.72</v>
      </c>
      <c r="U1050" s="69"/>
      <c r="V1050" s="69"/>
      <c r="AS1050" s="94">
        <f t="shared" si="108"/>
        <v>4500.72</v>
      </c>
      <c r="AT1050" s="69">
        <v>4500.72</v>
      </c>
      <c r="AU1050" s="69"/>
      <c r="BD1050" s="69"/>
      <c r="BE1050" s="69"/>
      <c r="CE1050" s="94">
        <f t="shared" si="110"/>
        <v>4500.72</v>
      </c>
      <c r="CF1050" s="73">
        <f t="shared" si="112"/>
        <v>0</v>
      </c>
      <c r="CG1050" s="75">
        <f t="shared" si="111"/>
        <v>7076</v>
      </c>
      <c r="CH1050" s="75" t="str">
        <f t="shared" si="111"/>
        <v>برنامج دولى</v>
      </c>
    </row>
    <row r="1051" spans="3:86" ht="36" x14ac:dyDescent="0.25">
      <c r="C1051" s="82">
        <v>11298</v>
      </c>
      <c r="D1051" s="78">
        <v>7077</v>
      </c>
      <c r="E1051" s="107" t="s">
        <v>78</v>
      </c>
      <c r="F1051" s="77" t="s">
        <v>2552</v>
      </c>
      <c r="G1051" s="69"/>
      <c r="I1051" s="69">
        <v>4500.72</v>
      </c>
      <c r="U1051" s="69"/>
      <c r="V1051" s="69"/>
      <c r="AS1051" s="94">
        <f t="shared" si="108"/>
        <v>4500.72</v>
      </c>
      <c r="AT1051" s="69">
        <v>4500.72</v>
      </c>
      <c r="AU1051" s="69"/>
      <c r="BD1051" s="69"/>
      <c r="BE1051" s="69"/>
      <c r="CE1051" s="94">
        <f t="shared" si="110"/>
        <v>4500.72</v>
      </c>
      <c r="CF1051" s="73">
        <f t="shared" si="112"/>
        <v>0</v>
      </c>
      <c r="CG1051" s="75">
        <f t="shared" si="111"/>
        <v>7077</v>
      </c>
      <c r="CH1051" s="75" t="str">
        <f t="shared" si="111"/>
        <v>برنامج دولى</v>
      </c>
    </row>
    <row r="1052" spans="3:86" ht="36" x14ac:dyDescent="0.25">
      <c r="C1052" s="82">
        <v>11299</v>
      </c>
      <c r="D1052" s="78">
        <v>7078</v>
      </c>
      <c r="E1052" s="107" t="s">
        <v>78</v>
      </c>
      <c r="F1052" s="77" t="s">
        <v>2552</v>
      </c>
      <c r="G1052" s="69"/>
      <c r="I1052" s="69">
        <v>4500.72</v>
      </c>
      <c r="U1052" s="69"/>
      <c r="V1052" s="69"/>
      <c r="AS1052" s="94">
        <f t="shared" si="108"/>
        <v>4500.72</v>
      </c>
      <c r="AT1052" s="69">
        <v>4500.72</v>
      </c>
      <c r="AU1052" s="69"/>
      <c r="BD1052" s="69"/>
      <c r="BE1052" s="69"/>
      <c r="CE1052" s="94">
        <f t="shared" si="110"/>
        <v>4500.72</v>
      </c>
      <c r="CF1052" s="73">
        <f t="shared" si="112"/>
        <v>0</v>
      </c>
      <c r="CG1052" s="75">
        <f t="shared" si="111"/>
        <v>7078</v>
      </c>
      <c r="CH1052" s="75" t="str">
        <f t="shared" si="111"/>
        <v>برنامج دولى</v>
      </c>
    </row>
    <row r="1053" spans="3:86" ht="36" x14ac:dyDescent="0.25">
      <c r="C1053" s="82">
        <v>11300</v>
      </c>
      <c r="D1053" s="78">
        <v>7079</v>
      </c>
      <c r="E1053" s="107" t="s">
        <v>78</v>
      </c>
      <c r="F1053" s="77" t="s">
        <v>2552</v>
      </c>
      <c r="G1053" s="69"/>
      <c r="I1053" s="69">
        <v>4500.72</v>
      </c>
      <c r="U1053" s="69"/>
      <c r="V1053" s="69"/>
      <c r="AS1053" s="94">
        <f t="shared" si="108"/>
        <v>4500.72</v>
      </c>
      <c r="AT1053" s="69">
        <v>4500.72</v>
      </c>
      <c r="AU1053" s="69"/>
      <c r="BD1053" s="69"/>
      <c r="BE1053" s="69"/>
      <c r="CE1053" s="94">
        <f t="shared" si="110"/>
        <v>4500.72</v>
      </c>
      <c r="CF1053" s="73">
        <f t="shared" si="112"/>
        <v>0</v>
      </c>
      <c r="CG1053" s="75">
        <f t="shared" si="111"/>
        <v>7079</v>
      </c>
      <c r="CH1053" s="75" t="str">
        <f t="shared" si="111"/>
        <v>برنامج دولى</v>
      </c>
    </row>
    <row r="1054" spans="3:86" ht="36" x14ac:dyDescent="0.25">
      <c r="C1054" s="82">
        <v>11296</v>
      </c>
      <c r="D1054" s="78">
        <v>7080</v>
      </c>
      <c r="E1054" s="107" t="s">
        <v>78</v>
      </c>
      <c r="F1054" s="77" t="s">
        <v>2552</v>
      </c>
      <c r="G1054" s="69"/>
      <c r="I1054" s="69">
        <v>4500.72</v>
      </c>
      <c r="U1054" s="69"/>
      <c r="V1054" s="69"/>
      <c r="AS1054" s="94">
        <f t="shared" si="108"/>
        <v>4500.72</v>
      </c>
      <c r="AT1054" s="69">
        <v>4500.72</v>
      </c>
      <c r="AU1054" s="69"/>
      <c r="BD1054" s="69"/>
      <c r="BE1054" s="69"/>
      <c r="CE1054" s="94">
        <f t="shared" si="110"/>
        <v>4500.72</v>
      </c>
      <c r="CF1054" s="73">
        <f t="shared" si="112"/>
        <v>0</v>
      </c>
      <c r="CG1054" s="75">
        <f t="shared" si="111"/>
        <v>7080</v>
      </c>
      <c r="CH1054" s="75" t="str">
        <f t="shared" si="111"/>
        <v>برنامج دولى</v>
      </c>
    </row>
    <row r="1055" spans="3:86" x14ac:dyDescent="0.25">
      <c r="C1055" s="82">
        <v>11754</v>
      </c>
      <c r="D1055" s="78">
        <v>7081</v>
      </c>
      <c r="E1055" s="107" t="s">
        <v>78</v>
      </c>
      <c r="F1055" s="69" t="s">
        <v>1672</v>
      </c>
      <c r="G1055" s="69"/>
      <c r="I1055" s="69">
        <v>120</v>
      </c>
      <c r="U1055" s="69"/>
      <c r="V1055" s="69"/>
      <c r="AS1055" s="94">
        <f t="shared" si="108"/>
        <v>120</v>
      </c>
      <c r="AT1055" s="69">
        <v>120</v>
      </c>
      <c r="AU1055" s="69"/>
      <c r="BD1055" s="69"/>
      <c r="BE1055" s="69"/>
      <c r="CE1055" s="94">
        <f t="shared" si="110"/>
        <v>120</v>
      </c>
      <c r="CF1055" s="73">
        <f t="shared" si="112"/>
        <v>0</v>
      </c>
      <c r="CG1055" s="75">
        <f t="shared" si="111"/>
        <v>7081</v>
      </c>
      <c r="CH1055" s="75" t="str">
        <f t="shared" si="111"/>
        <v>برنامج دولى</v>
      </c>
    </row>
    <row r="1056" spans="3:86" x14ac:dyDescent="0.25">
      <c r="C1056" s="82">
        <v>11755</v>
      </c>
      <c r="D1056" s="78">
        <v>7082</v>
      </c>
      <c r="E1056" s="107" t="s">
        <v>78</v>
      </c>
      <c r="F1056" s="69" t="s">
        <v>2240</v>
      </c>
      <c r="G1056" s="69"/>
      <c r="I1056" s="69">
        <v>1040</v>
      </c>
      <c r="U1056" s="69"/>
      <c r="V1056" s="69"/>
      <c r="AS1056" s="94">
        <f t="shared" si="108"/>
        <v>1040</v>
      </c>
      <c r="AT1056" s="69">
        <v>1040</v>
      </c>
      <c r="AU1056" s="69"/>
      <c r="BD1056" s="69"/>
      <c r="BE1056" s="69"/>
      <c r="CE1056" s="94">
        <f t="shared" si="110"/>
        <v>1040</v>
      </c>
      <c r="CF1056" s="73">
        <f t="shared" si="112"/>
        <v>0</v>
      </c>
      <c r="CG1056" s="75">
        <f t="shared" si="111"/>
        <v>7082</v>
      </c>
      <c r="CH1056" s="75" t="str">
        <f t="shared" si="111"/>
        <v>برنامج دولى</v>
      </c>
    </row>
    <row r="1057" spans="3:94" x14ac:dyDescent="0.25">
      <c r="C1057" s="82">
        <v>11752</v>
      </c>
      <c r="D1057" s="78">
        <v>7083</v>
      </c>
      <c r="E1057" s="107" t="s">
        <v>78</v>
      </c>
      <c r="F1057" s="69" t="s">
        <v>1097</v>
      </c>
      <c r="G1057" s="69"/>
      <c r="I1057" s="69">
        <v>400</v>
      </c>
      <c r="U1057" s="69"/>
      <c r="V1057" s="69"/>
      <c r="AS1057" s="94">
        <f t="shared" si="108"/>
        <v>400</v>
      </c>
      <c r="AT1057" s="69">
        <v>400</v>
      </c>
      <c r="AU1057" s="69"/>
      <c r="BD1057" s="69"/>
      <c r="BE1057" s="69"/>
      <c r="CE1057" s="94">
        <f t="shared" si="110"/>
        <v>400</v>
      </c>
      <c r="CF1057" s="73">
        <f t="shared" si="112"/>
        <v>0</v>
      </c>
      <c r="CG1057" s="75">
        <f t="shared" si="111"/>
        <v>7083</v>
      </c>
      <c r="CH1057" s="75" t="str">
        <f t="shared" si="111"/>
        <v>برنامج دولى</v>
      </c>
    </row>
    <row r="1058" spans="3:94" x14ac:dyDescent="0.25">
      <c r="C1058" s="82">
        <v>11751</v>
      </c>
      <c r="D1058" s="78">
        <v>7084</v>
      </c>
      <c r="E1058" s="107" t="s">
        <v>78</v>
      </c>
      <c r="F1058" s="69" t="s">
        <v>1096</v>
      </c>
      <c r="G1058" s="69"/>
      <c r="I1058" s="69">
        <v>320</v>
      </c>
      <c r="U1058" s="69"/>
      <c r="V1058" s="69"/>
      <c r="AS1058" s="94">
        <f t="shared" si="108"/>
        <v>320</v>
      </c>
      <c r="AT1058" s="69">
        <v>320</v>
      </c>
      <c r="AU1058" s="69"/>
      <c r="BD1058" s="69"/>
      <c r="BE1058" s="69"/>
      <c r="CE1058" s="94">
        <f t="shared" si="110"/>
        <v>320</v>
      </c>
      <c r="CF1058" s="73">
        <f t="shared" si="112"/>
        <v>0</v>
      </c>
      <c r="CG1058" s="75">
        <f t="shared" si="111"/>
        <v>7084</v>
      </c>
      <c r="CH1058" s="75" t="str">
        <f t="shared" si="111"/>
        <v>برنامج دولى</v>
      </c>
    </row>
    <row r="1059" spans="3:94" x14ac:dyDescent="0.25">
      <c r="C1059" s="82">
        <v>11750</v>
      </c>
      <c r="D1059" s="78">
        <v>7085</v>
      </c>
      <c r="E1059" s="107" t="s">
        <v>78</v>
      </c>
      <c r="F1059" s="69" t="s">
        <v>1292</v>
      </c>
      <c r="G1059" s="69"/>
      <c r="I1059" s="69">
        <v>520</v>
      </c>
      <c r="U1059" s="69"/>
      <c r="V1059" s="69"/>
      <c r="AS1059" s="94">
        <f t="shared" si="108"/>
        <v>520</v>
      </c>
      <c r="AT1059" s="69">
        <v>520</v>
      </c>
      <c r="AU1059" s="69"/>
      <c r="BD1059" s="69"/>
      <c r="BE1059" s="69"/>
      <c r="CE1059" s="94">
        <f t="shared" si="110"/>
        <v>520</v>
      </c>
      <c r="CF1059" s="73">
        <f t="shared" si="112"/>
        <v>0</v>
      </c>
      <c r="CG1059" s="75">
        <f t="shared" si="111"/>
        <v>7085</v>
      </c>
      <c r="CH1059" s="75" t="str">
        <f t="shared" si="111"/>
        <v>برنامج دولى</v>
      </c>
    </row>
    <row r="1060" spans="3:94" ht="36" x14ac:dyDescent="0.25">
      <c r="C1060" s="82">
        <v>11748</v>
      </c>
      <c r="D1060" s="78">
        <v>7086</v>
      </c>
      <c r="E1060" s="107" t="s">
        <v>78</v>
      </c>
      <c r="F1060" s="77" t="s">
        <v>2553</v>
      </c>
      <c r="G1060" s="69"/>
      <c r="I1060" s="69">
        <v>615.6</v>
      </c>
      <c r="U1060" s="69"/>
      <c r="V1060" s="69"/>
      <c r="AS1060" s="94">
        <f t="shared" si="108"/>
        <v>615.6</v>
      </c>
      <c r="AT1060" s="69">
        <v>557.79999999999995</v>
      </c>
      <c r="AU1060" s="69">
        <v>30.7</v>
      </c>
      <c r="BD1060" s="69"/>
      <c r="BE1060" s="69"/>
      <c r="BG1060" s="69">
        <v>16.2</v>
      </c>
      <c r="BH1060" s="69">
        <v>6</v>
      </c>
      <c r="BI1060" s="69">
        <f>2.45*2</f>
        <v>4.9000000000000004</v>
      </c>
      <c r="CE1060" s="94">
        <f t="shared" si="110"/>
        <v>615.6</v>
      </c>
      <c r="CF1060" s="73">
        <f t="shared" si="112"/>
        <v>0</v>
      </c>
      <c r="CG1060" s="75">
        <f t="shared" si="111"/>
        <v>7086</v>
      </c>
      <c r="CH1060" s="75" t="str">
        <f t="shared" si="111"/>
        <v>برنامج دولى</v>
      </c>
    </row>
    <row r="1061" spans="3:94" ht="36" x14ac:dyDescent="0.25">
      <c r="C1061" s="82">
        <v>10100</v>
      </c>
      <c r="D1061" s="78">
        <v>7087</v>
      </c>
      <c r="E1061" s="107" t="s">
        <v>78</v>
      </c>
      <c r="F1061" s="77" t="s">
        <v>2554</v>
      </c>
      <c r="G1061" s="69"/>
      <c r="I1061" s="69">
        <v>2575</v>
      </c>
      <c r="U1061" s="69"/>
      <c r="V1061" s="69"/>
      <c r="AS1061" s="94">
        <f t="shared" si="108"/>
        <v>2575</v>
      </c>
      <c r="AT1061" s="69">
        <v>2308.35</v>
      </c>
      <c r="AU1061" s="69">
        <v>144.4</v>
      </c>
      <c r="BD1061" s="69"/>
      <c r="BE1061" s="69"/>
      <c r="BG1061" s="69">
        <v>98.25</v>
      </c>
      <c r="BH1061" s="69">
        <v>24</v>
      </c>
      <c r="CE1061" s="94">
        <f t="shared" si="110"/>
        <v>2575</v>
      </c>
      <c r="CF1061" s="73">
        <f t="shared" si="112"/>
        <v>0</v>
      </c>
      <c r="CG1061" s="75">
        <f t="shared" si="111"/>
        <v>7087</v>
      </c>
      <c r="CH1061" s="75" t="str">
        <f t="shared" si="111"/>
        <v>برنامج دولى</v>
      </c>
    </row>
    <row r="1062" spans="3:94" ht="36" x14ac:dyDescent="0.25">
      <c r="C1062" s="82">
        <v>11760</v>
      </c>
      <c r="D1062" s="78">
        <v>7088</v>
      </c>
      <c r="E1062" s="107" t="s">
        <v>130</v>
      </c>
      <c r="F1062" s="77" t="s">
        <v>2555</v>
      </c>
      <c r="G1062" s="69"/>
      <c r="I1062" s="69">
        <v>5172.75</v>
      </c>
      <c r="U1062" s="69"/>
      <c r="V1062" s="69"/>
      <c r="AS1062" s="94">
        <f t="shared" si="108"/>
        <v>5172.75</v>
      </c>
      <c r="AT1062" s="69">
        <v>4715</v>
      </c>
      <c r="AU1062" s="69">
        <v>274.7</v>
      </c>
      <c r="BD1062" s="69"/>
      <c r="BE1062" s="69"/>
      <c r="BG1062" s="69">
        <v>136.15</v>
      </c>
      <c r="BH1062" s="69">
        <v>6</v>
      </c>
      <c r="BI1062" s="69">
        <f>20.45*2</f>
        <v>40.9</v>
      </c>
      <c r="CE1062" s="94">
        <f t="shared" si="110"/>
        <v>5172.7499999999991</v>
      </c>
      <c r="CF1062" s="73">
        <f t="shared" si="112"/>
        <v>0</v>
      </c>
      <c r="CG1062" s="75">
        <f t="shared" si="111"/>
        <v>7088</v>
      </c>
      <c r="CH1062" s="75" t="str">
        <f t="shared" si="111"/>
        <v>خ ت طب</v>
      </c>
    </row>
    <row r="1063" spans="3:94" x14ac:dyDescent="0.25">
      <c r="C1063" s="82">
        <v>11761</v>
      </c>
      <c r="D1063" s="78">
        <v>7089</v>
      </c>
      <c r="E1063" s="107" t="s">
        <v>130</v>
      </c>
      <c r="F1063" s="69" t="s">
        <v>2556</v>
      </c>
      <c r="G1063" s="69"/>
      <c r="I1063" s="69">
        <v>5465.16</v>
      </c>
      <c r="U1063" s="69"/>
      <c r="V1063" s="69"/>
      <c r="AS1063" s="94">
        <f t="shared" si="108"/>
        <v>5465.16</v>
      </c>
      <c r="AT1063" s="69">
        <v>4984.71</v>
      </c>
      <c r="AU1063" s="69">
        <f>71.2+213.6+2.7</f>
        <v>287.5</v>
      </c>
      <c r="BD1063" s="69"/>
      <c r="BE1063" s="69"/>
      <c r="BG1063" s="69">
        <v>143.85</v>
      </c>
      <c r="BH1063" s="69">
        <v>6</v>
      </c>
      <c r="BI1063" s="69">
        <f>21.55*2</f>
        <v>43.1</v>
      </c>
      <c r="CE1063" s="94">
        <f t="shared" si="110"/>
        <v>5465.1600000000008</v>
      </c>
      <c r="CF1063" s="73">
        <f t="shared" si="112"/>
        <v>0</v>
      </c>
      <c r="CG1063" s="75">
        <f t="shared" si="111"/>
        <v>7089</v>
      </c>
      <c r="CH1063" s="75" t="str">
        <f t="shared" si="111"/>
        <v>خ ت طب</v>
      </c>
    </row>
    <row r="1064" spans="3:94" ht="36" x14ac:dyDescent="0.25">
      <c r="C1064" s="82">
        <v>11881</v>
      </c>
      <c r="D1064" s="78">
        <v>7090</v>
      </c>
      <c r="E1064" s="102" t="s">
        <v>128</v>
      </c>
      <c r="F1064" s="77" t="s">
        <v>2555</v>
      </c>
      <c r="G1064" s="69"/>
      <c r="I1064" s="69">
        <v>1140</v>
      </c>
      <c r="U1064" s="69"/>
      <c r="V1064" s="69"/>
      <c r="AS1064" s="94">
        <f t="shared" si="108"/>
        <v>1140</v>
      </c>
      <c r="AT1064" s="69">
        <v>1039.0999999999999</v>
      </c>
      <c r="AU1064" s="69">
        <v>55.9</v>
      </c>
      <c r="BD1064" s="69"/>
      <c r="BE1064" s="69"/>
      <c r="BG1064" s="69">
        <v>30</v>
      </c>
      <c r="BH1064" s="69">
        <v>6</v>
      </c>
      <c r="BI1064" s="69">
        <v>9</v>
      </c>
      <c r="CE1064" s="94">
        <f t="shared" si="110"/>
        <v>1140</v>
      </c>
      <c r="CF1064" s="73">
        <f t="shared" si="112"/>
        <v>0</v>
      </c>
      <c r="CG1064" s="75">
        <f t="shared" si="111"/>
        <v>7090</v>
      </c>
      <c r="CH1064" s="75" t="str">
        <f t="shared" si="111"/>
        <v>مركز مؤتمرات</v>
      </c>
    </row>
    <row r="1065" spans="3:94" ht="54" x14ac:dyDescent="0.25">
      <c r="C1065" s="82">
        <v>11871</v>
      </c>
      <c r="D1065" s="78">
        <v>7091</v>
      </c>
      <c r="E1065" s="107" t="s">
        <v>121</v>
      </c>
      <c r="F1065" s="77" t="s">
        <v>2557</v>
      </c>
      <c r="G1065" s="69"/>
      <c r="I1065" s="69">
        <v>332167.5</v>
      </c>
      <c r="U1065" s="69"/>
      <c r="V1065" s="69"/>
      <c r="AS1065" s="94">
        <f t="shared" si="108"/>
        <v>332167.5</v>
      </c>
      <c r="AT1065" s="69">
        <v>332167.5</v>
      </c>
      <c r="AU1065" s="69"/>
      <c r="BD1065" s="69"/>
      <c r="BE1065" s="69"/>
      <c r="CE1065" s="94">
        <f t="shared" si="110"/>
        <v>332167.5</v>
      </c>
      <c r="CF1065" s="73">
        <f t="shared" si="112"/>
        <v>0</v>
      </c>
      <c r="CG1065" s="75">
        <f t="shared" si="111"/>
        <v>7091</v>
      </c>
      <c r="CH1065" s="75" t="str">
        <f t="shared" si="111"/>
        <v>ماليزى اسنان</v>
      </c>
    </row>
    <row r="1066" spans="3:94" ht="36" x14ac:dyDescent="0.25">
      <c r="C1066" s="82">
        <v>11865</v>
      </c>
      <c r="D1066" s="78">
        <v>7092</v>
      </c>
      <c r="E1066" s="107" t="s">
        <v>121</v>
      </c>
      <c r="F1066" s="77" t="s">
        <v>2558</v>
      </c>
      <c r="G1066" s="69"/>
      <c r="L1066" s="69">
        <v>96000</v>
      </c>
      <c r="M1066" s="69">
        <v>96000</v>
      </c>
      <c r="N1066" s="69">
        <v>96000</v>
      </c>
      <c r="U1066" s="69"/>
      <c r="V1066" s="69"/>
      <c r="AS1066" s="94">
        <f t="shared" si="108"/>
        <v>288000</v>
      </c>
      <c r="AT1066" s="69">
        <v>85342.6</v>
      </c>
      <c r="AU1066" s="69">
        <f>605+1815+45.9</f>
        <v>2465.9</v>
      </c>
      <c r="AW1066" s="69">
        <v>5</v>
      </c>
      <c r="BD1066" s="69"/>
      <c r="BE1066" s="69"/>
      <c r="BG1066" s="69">
        <v>2526.5</v>
      </c>
      <c r="BH1066" s="69">
        <v>102</v>
      </c>
      <c r="BI1066" s="69">
        <f>379*2</f>
        <v>758</v>
      </c>
      <c r="BJ1066" s="69">
        <v>4800</v>
      </c>
      <c r="BL1066" s="69">
        <v>96000</v>
      </c>
      <c r="BM1066" s="69">
        <v>96000</v>
      </c>
      <c r="CE1066" s="94">
        <f t="shared" si="110"/>
        <v>288000</v>
      </c>
      <c r="CF1066" s="73">
        <f t="shared" si="112"/>
        <v>0</v>
      </c>
      <c r="CG1066" s="75">
        <f t="shared" si="111"/>
        <v>7092</v>
      </c>
      <c r="CH1066" s="75" t="str">
        <f t="shared" si="111"/>
        <v>ماليزى اسنان</v>
      </c>
    </row>
    <row r="1067" spans="3:94" ht="36" x14ac:dyDescent="0.25">
      <c r="C1067" s="82">
        <v>5356</v>
      </c>
      <c r="D1067" s="78">
        <v>7093</v>
      </c>
      <c r="E1067" s="107" t="s">
        <v>119</v>
      </c>
      <c r="F1067" s="77" t="s">
        <v>2559</v>
      </c>
      <c r="G1067" s="69"/>
      <c r="L1067" s="69">
        <v>56000</v>
      </c>
      <c r="M1067" s="69">
        <v>56000</v>
      </c>
      <c r="N1067" s="69">
        <v>56000</v>
      </c>
      <c r="U1067" s="69"/>
      <c r="V1067" s="69"/>
      <c r="AS1067" s="94">
        <f t="shared" si="108"/>
        <v>168000</v>
      </c>
      <c r="AT1067" s="69">
        <v>50335.199999999997</v>
      </c>
      <c r="AU1067" s="69">
        <v>1760.8</v>
      </c>
      <c r="BD1067" s="69"/>
      <c r="BE1067" s="69"/>
      <c r="BG1067" s="69">
        <v>560</v>
      </c>
      <c r="BH1067" s="69">
        <v>40</v>
      </c>
      <c r="BI1067" s="69">
        <f>252*2</f>
        <v>504</v>
      </c>
      <c r="BJ1067" s="69">
        <v>2800</v>
      </c>
      <c r="BL1067" s="69">
        <v>56000</v>
      </c>
      <c r="BM1067" s="69">
        <v>56000</v>
      </c>
      <c r="CE1067" s="94">
        <f t="shared" si="110"/>
        <v>168000</v>
      </c>
      <c r="CF1067" s="73">
        <f t="shared" si="112"/>
        <v>0</v>
      </c>
      <c r="CG1067" s="75">
        <f t="shared" si="111"/>
        <v>7093</v>
      </c>
      <c r="CH1067" s="75" t="str">
        <f t="shared" si="111"/>
        <v>خ ت صيدلة</v>
      </c>
    </row>
    <row r="1068" spans="3:94" x14ac:dyDescent="0.25">
      <c r="C1068" s="82"/>
      <c r="D1068" s="78">
        <v>7094</v>
      </c>
      <c r="E1068" s="107" t="s">
        <v>1431</v>
      </c>
      <c r="F1068" s="69" t="s">
        <v>2560</v>
      </c>
      <c r="G1068" s="69"/>
      <c r="U1068" s="69"/>
      <c r="V1068" s="69"/>
      <c r="AS1068" s="94">
        <f t="shared" si="108"/>
        <v>0</v>
      </c>
      <c r="AU1068" s="69"/>
      <c r="BD1068" s="69"/>
      <c r="BE1068" s="69"/>
      <c r="CE1068" s="94">
        <f t="shared" si="110"/>
        <v>0</v>
      </c>
      <c r="CF1068" s="73">
        <f t="shared" si="112"/>
        <v>0</v>
      </c>
      <c r="CG1068" s="75">
        <f t="shared" si="111"/>
        <v>7094</v>
      </c>
      <c r="CH1068" s="75" t="str">
        <f t="shared" si="111"/>
        <v>لاب فقط</v>
      </c>
    </row>
    <row r="1069" spans="3:94" s="68" customFormat="1" x14ac:dyDescent="0.25">
      <c r="C1069" s="83"/>
      <c r="D1069" s="84"/>
      <c r="E1069" s="108"/>
      <c r="F1069" s="68" t="s">
        <v>2561</v>
      </c>
      <c r="H1069" s="68">
        <f>SUM(H785:H1068)</f>
        <v>1866284.119999998</v>
      </c>
      <c r="I1069" s="68">
        <f t="shared" ref="I1069:BT1069" si="113">SUM(I785:I1068)</f>
        <v>736025.50999999978</v>
      </c>
      <c r="J1069" s="68">
        <f t="shared" si="113"/>
        <v>0</v>
      </c>
      <c r="K1069" s="68">
        <f t="shared" si="113"/>
        <v>0</v>
      </c>
      <c r="L1069" s="68">
        <f t="shared" si="113"/>
        <v>153138.5</v>
      </c>
      <c r="M1069" s="68">
        <f t="shared" si="113"/>
        <v>153138.5</v>
      </c>
      <c r="N1069" s="68">
        <f t="shared" si="113"/>
        <v>153138.5</v>
      </c>
      <c r="O1069" s="68">
        <f t="shared" si="113"/>
        <v>0</v>
      </c>
      <c r="P1069" s="68">
        <f t="shared" si="113"/>
        <v>3000</v>
      </c>
      <c r="Q1069" s="68">
        <f t="shared" si="113"/>
        <v>0</v>
      </c>
      <c r="R1069" s="68">
        <f t="shared" si="113"/>
        <v>61912.800000000003</v>
      </c>
      <c r="S1069" s="68">
        <f t="shared" si="113"/>
        <v>575.70000000000005</v>
      </c>
      <c r="T1069" s="68">
        <f t="shared" si="113"/>
        <v>0</v>
      </c>
      <c r="U1069" s="68">
        <f t="shared" si="113"/>
        <v>0</v>
      </c>
      <c r="V1069" s="68">
        <f t="shared" si="113"/>
        <v>0</v>
      </c>
      <c r="W1069" s="68">
        <f t="shared" si="113"/>
        <v>133372.25</v>
      </c>
      <c r="X1069" s="68">
        <f t="shared" si="113"/>
        <v>0</v>
      </c>
      <c r="Y1069" s="68">
        <f t="shared" si="113"/>
        <v>0</v>
      </c>
      <c r="Z1069" s="68">
        <f t="shared" si="113"/>
        <v>0</v>
      </c>
      <c r="AA1069" s="68">
        <f t="shared" si="113"/>
        <v>0</v>
      </c>
      <c r="AB1069" s="68">
        <f t="shared" si="113"/>
        <v>0</v>
      </c>
      <c r="AC1069" s="68">
        <f t="shared" si="113"/>
        <v>145599.29999999999</v>
      </c>
      <c r="AD1069" s="68">
        <f t="shared" si="113"/>
        <v>23424.49</v>
      </c>
      <c r="AE1069" s="68">
        <f t="shared" si="113"/>
        <v>0</v>
      </c>
      <c r="AF1069" s="68">
        <f t="shared" si="113"/>
        <v>0</v>
      </c>
      <c r="AG1069" s="68">
        <f t="shared" si="113"/>
        <v>0</v>
      </c>
      <c r="AH1069" s="68">
        <f t="shared" si="113"/>
        <v>0</v>
      </c>
      <c r="AI1069" s="68">
        <f t="shared" si="113"/>
        <v>0</v>
      </c>
      <c r="AJ1069" s="68">
        <f t="shared" si="113"/>
        <v>0</v>
      </c>
      <c r="AK1069" s="68">
        <f t="shared" si="113"/>
        <v>0</v>
      </c>
      <c r="AL1069" s="68">
        <f t="shared" si="113"/>
        <v>0</v>
      </c>
      <c r="AM1069" s="68">
        <f t="shared" si="113"/>
        <v>0</v>
      </c>
      <c r="AN1069" s="68">
        <f t="shared" si="113"/>
        <v>0</v>
      </c>
      <c r="AO1069" s="68">
        <f t="shared" si="113"/>
        <v>0</v>
      </c>
      <c r="AP1069" s="68">
        <f t="shared" si="113"/>
        <v>0</v>
      </c>
      <c r="AQ1069" s="68">
        <f t="shared" si="113"/>
        <v>0</v>
      </c>
      <c r="AR1069" s="68">
        <f t="shared" si="113"/>
        <v>0</v>
      </c>
      <c r="AS1069" s="68">
        <f t="shared" si="113"/>
        <v>3429609.6699999967</v>
      </c>
      <c r="AT1069" s="68">
        <f t="shared" si="113"/>
        <v>2467711.4100000006</v>
      </c>
      <c r="AU1069" s="68">
        <f t="shared" si="113"/>
        <v>185813.00000000006</v>
      </c>
      <c r="AV1069" s="68">
        <f t="shared" si="113"/>
        <v>209405.32000000009</v>
      </c>
      <c r="AW1069" s="68">
        <f t="shared" si="113"/>
        <v>3411.49</v>
      </c>
      <c r="AX1069" s="68">
        <f t="shared" si="113"/>
        <v>0</v>
      </c>
      <c r="AY1069" s="68">
        <f t="shared" si="113"/>
        <v>0</v>
      </c>
      <c r="AZ1069" s="68">
        <f t="shared" si="113"/>
        <v>0</v>
      </c>
      <c r="BA1069" s="68">
        <f t="shared" si="113"/>
        <v>0</v>
      </c>
      <c r="BB1069" s="68">
        <f t="shared" si="113"/>
        <v>0</v>
      </c>
      <c r="BC1069" s="68">
        <f t="shared" si="113"/>
        <v>0</v>
      </c>
      <c r="BD1069" s="68">
        <f t="shared" si="113"/>
        <v>0</v>
      </c>
      <c r="BE1069" s="68">
        <f t="shared" si="113"/>
        <v>30</v>
      </c>
      <c r="BF1069" s="68">
        <f t="shared" si="113"/>
        <v>95465.5</v>
      </c>
      <c r="BG1069" s="68">
        <f t="shared" si="113"/>
        <v>3629.25</v>
      </c>
      <c r="BH1069" s="68">
        <f t="shared" si="113"/>
        <v>240</v>
      </c>
      <c r="BI1069" s="68">
        <f t="shared" si="113"/>
        <v>1370.4</v>
      </c>
      <c r="BJ1069" s="68">
        <f t="shared" si="113"/>
        <v>7600</v>
      </c>
      <c r="BK1069" s="68">
        <f t="shared" si="113"/>
        <v>57</v>
      </c>
      <c r="BL1069" s="68">
        <f t="shared" si="113"/>
        <v>153138.5</v>
      </c>
      <c r="BM1069" s="68">
        <f t="shared" si="113"/>
        <v>153138.5</v>
      </c>
      <c r="BN1069" s="68">
        <f t="shared" si="113"/>
        <v>0</v>
      </c>
      <c r="BO1069" s="68">
        <f t="shared" si="113"/>
        <v>3000</v>
      </c>
      <c r="BP1069" s="68">
        <f t="shared" si="113"/>
        <v>0</v>
      </c>
      <c r="BQ1069" s="68">
        <f t="shared" si="113"/>
        <v>145599.29999999999</v>
      </c>
      <c r="BR1069" s="68">
        <f t="shared" si="113"/>
        <v>0</v>
      </c>
      <c r="BS1069" s="68">
        <f t="shared" si="113"/>
        <v>0</v>
      </c>
      <c r="BT1069" s="68">
        <f t="shared" si="113"/>
        <v>0</v>
      </c>
      <c r="BU1069" s="68">
        <f t="shared" ref="BU1069:CP1069" si="114">SUM(BU785:BU1068)</f>
        <v>0</v>
      </c>
      <c r="BV1069" s="68">
        <f t="shared" si="114"/>
        <v>0</v>
      </c>
      <c r="BW1069" s="68">
        <f t="shared" si="114"/>
        <v>0</v>
      </c>
      <c r="BX1069" s="68">
        <f t="shared" si="114"/>
        <v>0</v>
      </c>
      <c r="BY1069" s="68">
        <f t="shared" si="114"/>
        <v>0</v>
      </c>
      <c r="BZ1069" s="68">
        <f t="shared" si="114"/>
        <v>0</v>
      </c>
      <c r="CA1069" s="68">
        <f t="shared" si="114"/>
        <v>0</v>
      </c>
      <c r="CB1069" s="68">
        <f t="shared" si="114"/>
        <v>0</v>
      </c>
      <c r="CC1069" s="68">
        <f t="shared" si="114"/>
        <v>0</v>
      </c>
      <c r="CD1069" s="68">
        <f t="shared" si="114"/>
        <v>0</v>
      </c>
      <c r="CE1069" s="68">
        <f t="shared" si="114"/>
        <v>3429609.6699999967</v>
      </c>
      <c r="CH1069" s="67"/>
      <c r="CI1069" s="68">
        <f t="shared" si="114"/>
        <v>0</v>
      </c>
      <c r="CJ1069" s="68">
        <f t="shared" si="114"/>
        <v>0</v>
      </c>
      <c r="CK1069" s="68">
        <f t="shared" si="114"/>
        <v>0</v>
      </c>
      <c r="CL1069" s="68">
        <f t="shared" si="114"/>
        <v>0</v>
      </c>
      <c r="CM1069" s="68">
        <f t="shared" si="114"/>
        <v>0</v>
      </c>
      <c r="CN1069" s="68">
        <f t="shared" si="114"/>
        <v>0</v>
      </c>
      <c r="CO1069" s="68">
        <f t="shared" si="114"/>
        <v>0</v>
      </c>
      <c r="CP1069" s="68">
        <f t="shared" si="114"/>
        <v>0</v>
      </c>
    </row>
    <row r="1070" spans="3:94" x14ac:dyDescent="0.25">
      <c r="C1070" s="82">
        <v>12236</v>
      </c>
      <c r="D1070" s="78">
        <v>7095</v>
      </c>
      <c r="E1070" s="107" t="s">
        <v>78</v>
      </c>
      <c r="F1070" s="69" t="s">
        <v>2562</v>
      </c>
      <c r="G1070" s="69"/>
      <c r="H1070" s="69">
        <v>1700</v>
      </c>
      <c r="U1070" s="69"/>
      <c r="V1070" s="69"/>
      <c r="AS1070" s="94">
        <f t="shared" si="108"/>
        <v>1700</v>
      </c>
      <c r="AT1070" s="69">
        <v>1517.6</v>
      </c>
      <c r="AU1070" s="69">
        <v>182.4</v>
      </c>
      <c r="BD1070" s="69"/>
      <c r="BE1070" s="69"/>
      <c r="CE1070" s="94">
        <f t="shared" si="110"/>
        <v>1700</v>
      </c>
      <c r="CF1070" s="73">
        <f t="shared" si="112"/>
        <v>0</v>
      </c>
      <c r="CG1070" s="75">
        <f t="shared" si="111"/>
        <v>7095</v>
      </c>
      <c r="CH1070" s="75" t="str">
        <f t="shared" si="111"/>
        <v>برنامج دولى</v>
      </c>
    </row>
    <row r="1071" spans="3:94" x14ac:dyDescent="0.25">
      <c r="C1071" s="82">
        <v>12237</v>
      </c>
      <c r="D1071" s="78">
        <v>7096</v>
      </c>
      <c r="E1071" s="107" t="s">
        <v>78</v>
      </c>
      <c r="F1071" s="69" t="s">
        <v>2562</v>
      </c>
      <c r="G1071" s="69"/>
      <c r="H1071" s="69">
        <v>37921.85</v>
      </c>
      <c r="U1071" s="69"/>
      <c r="V1071" s="69"/>
      <c r="AS1071" s="94">
        <f t="shared" si="108"/>
        <v>37921.85</v>
      </c>
      <c r="AT1071" s="69">
        <v>27575.5</v>
      </c>
      <c r="AU1071" s="69">
        <v>3622.85</v>
      </c>
      <c r="AV1071" s="69">
        <v>6473.5</v>
      </c>
      <c r="BD1071" s="69"/>
      <c r="BE1071" s="69"/>
      <c r="BF1071" s="69">
        <v>250</v>
      </c>
      <c r="CE1071" s="94">
        <f t="shared" si="110"/>
        <v>37921.85</v>
      </c>
      <c r="CF1071" s="73">
        <f t="shared" si="112"/>
        <v>0</v>
      </c>
      <c r="CG1071" s="75">
        <f t="shared" si="111"/>
        <v>7096</v>
      </c>
      <c r="CH1071" s="75" t="str">
        <f t="shared" si="111"/>
        <v>برنامج دولى</v>
      </c>
    </row>
    <row r="1072" spans="3:94" x14ac:dyDescent="0.25">
      <c r="C1072" s="82">
        <v>12235</v>
      </c>
      <c r="D1072" s="78">
        <v>7097</v>
      </c>
      <c r="E1072" s="107" t="s">
        <v>78</v>
      </c>
      <c r="F1072" s="69" t="s">
        <v>2562</v>
      </c>
      <c r="G1072" s="69"/>
      <c r="H1072" s="69">
        <v>57417.33</v>
      </c>
      <c r="U1072" s="69"/>
      <c r="V1072" s="69"/>
      <c r="AS1072" s="94">
        <f t="shared" si="108"/>
        <v>57417.33</v>
      </c>
      <c r="AT1072" s="69">
        <v>38365</v>
      </c>
      <c r="AU1072" s="69">
        <f>321.3+4897</f>
        <v>5218.3</v>
      </c>
      <c r="AV1072" s="69">
        <v>13834.03</v>
      </c>
      <c r="BD1072" s="69"/>
      <c r="BE1072" s="69"/>
      <c r="CE1072" s="94">
        <f t="shared" ref="CE1072:CE1126" si="115">SUM(AT1072:CD1072)</f>
        <v>57417.33</v>
      </c>
      <c r="CF1072" s="73">
        <f t="shared" si="112"/>
        <v>0</v>
      </c>
      <c r="CG1072" s="75">
        <f t="shared" si="111"/>
        <v>7097</v>
      </c>
      <c r="CH1072" s="75" t="str">
        <f t="shared" si="111"/>
        <v>برنامج دولى</v>
      </c>
    </row>
    <row r="1073" spans="2:86" x14ac:dyDescent="0.25">
      <c r="C1073" s="82"/>
      <c r="D1073" s="78">
        <v>7098</v>
      </c>
      <c r="E1073" s="107" t="s">
        <v>1431</v>
      </c>
      <c r="F1073" s="69" t="s">
        <v>899</v>
      </c>
      <c r="G1073" s="69"/>
      <c r="U1073" s="69"/>
      <c r="V1073" s="69"/>
      <c r="AS1073" s="94">
        <f t="shared" si="108"/>
        <v>0</v>
      </c>
      <c r="AU1073" s="69"/>
      <c r="BD1073" s="69"/>
      <c r="BE1073" s="69"/>
      <c r="CE1073" s="94">
        <f t="shared" si="115"/>
        <v>0</v>
      </c>
      <c r="CF1073" s="73">
        <f t="shared" si="112"/>
        <v>0</v>
      </c>
      <c r="CG1073" s="75">
        <f t="shared" si="111"/>
        <v>7098</v>
      </c>
      <c r="CH1073" s="75" t="str">
        <f t="shared" si="111"/>
        <v>لاب فقط</v>
      </c>
    </row>
    <row r="1074" spans="2:86" x14ac:dyDescent="0.25">
      <c r="C1074" s="82">
        <v>12189</v>
      </c>
      <c r="D1074" s="78">
        <v>7099</v>
      </c>
      <c r="E1074" s="107" t="s">
        <v>78</v>
      </c>
      <c r="F1074" s="69" t="s">
        <v>2562</v>
      </c>
      <c r="G1074" s="69"/>
      <c r="H1074" s="69">
        <v>7168.06</v>
      </c>
      <c r="U1074" s="69"/>
      <c r="V1074" s="69"/>
      <c r="AS1074" s="94">
        <f t="shared" si="108"/>
        <v>7168.06</v>
      </c>
      <c r="AT1074" s="69">
        <v>4824.8599999999997</v>
      </c>
      <c r="AU1074" s="69">
        <v>671.6</v>
      </c>
      <c r="AV1074" s="69">
        <v>1421.6</v>
      </c>
      <c r="BD1074" s="69"/>
      <c r="BE1074" s="69"/>
      <c r="BF1074" s="69">
        <v>250</v>
      </c>
      <c r="CE1074" s="94">
        <f t="shared" si="115"/>
        <v>7168.0599999999995</v>
      </c>
      <c r="CF1074" s="73">
        <f t="shared" si="112"/>
        <v>0</v>
      </c>
      <c r="CG1074" s="75">
        <f t="shared" si="111"/>
        <v>7099</v>
      </c>
      <c r="CH1074" s="75" t="str">
        <f t="shared" si="111"/>
        <v>برنامج دولى</v>
      </c>
    </row>
    <row r="1075" spans="2:86" x14ac:dyDescent="0.25">
      <c r="C1075" s="82">
        <v>12190</v>
      </c>
      <c r="D1075" s="78">
        <v>7100</v>
      </c>
      <c r="E1075" s="107" t="s">
        <v>78</v>
      </c>
      <c r="F1075" s="69" t="s">
        <v>2562</v>
      </c>
      <c r="G1075" s="69"/>
      <c r="H1075" s="69">
        <v>4860.93</v>
      </c>
      <c r="U1075" s="69"/>
      <c r="V1075" s="69"/>
      <c r="AS1075" s="94">
        <f t="shared" ref="AS1075:AS1201" si="116">SUM(H1075:AR1075)</f>
        <v>4860.93</v>
      </c>
      <c r="AT1075" s="69">
        <v>3483.46</v>
      </c>
      <c r="AU1075" s="69">
        <v>458.85</v>
      </c>
      <c r="AV1075" s="69">
        <v>918.62</v>
      </c>
      <c r="BD1075" s="69"/>
      <c r="BE1075" s="69"/>
      <c r="CE1075" s="94">
        <f t="shared" si="115"/>
        <v>4860.93</v>
      </c>
      <c r="CF1075" s="73">
        <f t="shared" si="112"/>
        <v>0</v>
      </c>
      <c r="CG1075" s="75">
        <f t="shared" si="111"/>
        <v>7100</v>
      </c>
      <c r="CH1075" s="75" t="str">
        <f t="shared" si="111"/>
        <v>برنامج دولى</v>
      </c>
    </row>
    <row r="1076" spans="2:86" x14ac:dyDescent="0.25">
      <c r="C1076" s="82">
        <v>12191</v>
      </c>
      <c r="D1076" s="78">
        <v>7101</v>
      </c>
      <c r="E1076" s="107" t="s">
        <v>78</v>
      </c>
      <c r="F1076" s="69" t="s">
        <v>2562</v>
      </c>
      <c r="G1076" s="69"/>
      <c r="H1076" s="69">
        <v>5000</v>
      </c>
      <c r="U1076" s="69"/>
      <c r="V1076" s="69"/>
      <c r="AS1076" s="94">
        <f t="shared" si="116"/>
        <v>5000</v>
      </c>
      <c r="AT1076" s="69">
        <v>4463.2</v>
      </c>
      <c r="AU1076" s="69">
        <v>536.79999999999995</v>
      </c>
      <c r="BD1076" s="69"/>
      <c r="BE1076" s="69"/>
      <c r="CE1076" s="94">
        <f t="shared" si="115"/>
        <v>5000</v>
      </c>
      <c r="CF1076" s="73">
        <f t="shared" si="112"/>
        <v>0</v>
      </c>
      <c r="CG1076" s="75">
        <f t="shared" si="111"/>
        <v>7101</v>
      </c>
      <c r="CH1076" s="75" t="str">
        <f t="shared" si="111"/>
        <v>برنامج دولى</v>
      </c>
    </row>
    <row r="1077" spans="2:86" x14ac:dyDescent="0.25">
      <c r="C1077" s="82">
        <v>12192</v>
      </c>
      <c r="D1077" s="78">
        <v>7102</v>
      </c>
      <c r="E1077" s="107" t="s">
        <v>78</v>
      </c>
      <c r="F1077" s="69" t="s">
        <v>2562</v>
      </c>
      <c r="G1077" s="69"/>
      <c r="H1077" s="69">
        <v>2110.5</v>
      </c>
      <c r="U1077" s="69"/>
      <c r="V1077" s="69"/>
      <c r="AS1077" s="94">
        <f t="shared" si="116"/>
        <v>2110.5</v>
      </c>
      <c r="AT1077" s="69">
        <v>1410.35</v>
      </c>
      <c r="AU1077" s="69">
        <v>191.65</v>
      </c>
      <c r="AV1077" s="69">
        <v>508.5</v>
      </c>
      <c r="BD1077" s="69"/>
      <c r="BE1077" s="69"/>
      <c r="CE1077" s="94">
        <f t="shared" si="115"/>
        <v>2110.5</v>
      </c>
      <c r="CF1077" s="73">
        <f t="shared" si="112"/>
        <v>0</v>
      </c>
      <c r="CG1077" s="75">
        <f t="shared" si="111"/>
        <v>7102</v>
      </c>
      <c r="CH1077" s="75" t="str">
        <f t="shared" si="111"/>
        <v>برنامج دولى</v>
      </c>
    </row>
    <row r="1078" spans="2:86" x14ac:dyDescent="0.25">
      <c r="C1078" s="82">
        <v>12193</v>
      </c>
      <c r="D1078" s="78">
        <v>7103</v>
      </c>
      <c r="E1078" s="107" t="s">
        <v>78</v>
      </c>
      <c r="F1078" s="69" t="s">
        <v>2562</v>
      </c>
      <c r="G1078" s="69"/>
      <c r="H1078" s="69">
        <v>1172.5</v>
      </c>
      <c r="U1078" s="69"/>
      <c r="V1078" s="69"/>
      <c r="AS1078" s="94">
        <f t="shared" si="116"/>
        <v>1172.5</v>
      </c>
      <c r="AT1078" s="69">
        <v>784.1</v>
      </c>
      <c r="AU1078" s="69">
        <v>105.9</v>
      </c>
      <c r="AV1078" s="69">
        <v>282.5</v>
      </c>
      <c r="BD1078" s="69"/>
      <c r="BE1078" s="69"/>
      <c r="CE1078" s="94">
        <f t="shared" si="115"/>
        <v>1172.5</v>
      </c>
      <c r="CF1078" s="73">
        <f t="shared" si="112"/>
        <v>0</v>
      </c>
      <c r="CG1078" s="75">
        <f t="shared" si="111"/>
        <v>7103</v>
      </c>
      <c r="CH1078" s="75" t="str">
        <f t="shared" si="111"/>
        <v>برنامج دولى</v>
      </c>
    </row>
    <row r="1079" spans="2:86" x14ac:dyDescent="0.25">
      <c r="B1079" s="69" t="s">
        <v>2563</v>
      </c>
      <c r="C1079" s="82">
        <v>5322</v>
      </c>
      <c r="D1079" s="78">
        <v>7104</v>
      </c>
      <c r="E1079" s="107" t="s">
        <v>121</v>
      </c>
      <c r="F1079" s="69" t="s">
        <v>2454</v>
      </c>
      <c r="G1079" s="69" t="s">
        <v>220</v>
      </c>
      <c r="H1079" s="69">
        <v>282517.59000000003</v>
      </c>
      <c r="U1079" s="69"/>
      <c r="V1079" s="69"/>
      <c r="AS1079" s="94">
        <f>SUM(H1079:AR1079)</f>
        <v>282517.59000000003</v>
      </c>
      <c r="AT1079" s="69">
        <v>209797.61</v>
      </c>
      <c r="AU1079" s="69">
        <f>1409.05+1589.4</f>
        <v>2998.45</v>
      </c>
      <c r="AV1079" s="69">
        <f>58444.9+9644.1</f>
        <v>68089</v>
      </c>
      <c r="AW1079" s="69">
        <f>1499.01+120.41</f>
        <v>1619.42</v>
      </c>
      <c r="BD1079" s="69"/>
      <c r="BE1079" s="69"/>
      <c r="CD1079" s="69">
        <v>13.11</v>
      </c>
      <c r="CE1079" s="94">
        <f>SUM(AT1079:CD1079)</f>
        <v>282517.58999999997</v>
      </c>
      <c r="CF1079" s="73">
        <f>+CE1079-AS1079</f>
        <v>0</v>
      </c>
      <c r="CG1079" s="75">
        <f t="shared" ref="CG1079:CH1083" si="117">+D1079</f>
        <v>7104</v>
      </c>
      <c r="CH1079" s="75" t="str">
        <f t="shared" si="117"/>
        <v>ماليزى اسنان</v>
      </c>
    </row>
    <row r="1080" spans="2:86" x14ac:dyDescent="0.25">
      <c r="B1080" s="69" t="s">
        <v>2563</v>
      </c>
      <c r="C1080" s="82">
        <v>5699</v>
      </c>
      <c r="D1080" s="78">
        <v>7104</v>
      </c>
      <c r="E1080" s="107" t="s">
        <v>121</v>
      </c>
      <c r="F1080" s="69" t="s">
        <v>2454</v>
      </c>
      <c r="G1080" s="69" t="s">
        <v>220</v>
      </c>
      <c r="H1080" s="69">
        <v>5222.76</v>
      </c>
      <c r="U1080" s="69"/>
      <c r="V1080" s="69"/>
      <c r="AS1080" s="94">
        <f>SUM(H1080:AR1080)</f>
        <v>5222.76</v>
      </c>
      <c r="AT1080" s="69">
        <v>3910.96</v>
      </c>
      <c r="AU1080" s="69">
        <f>18.47+29.4</f>
        <v>47.87</v>
      </c>
      <c r="AV1080" s="69">
        <f>1080.4+178.3</f>
        <v>1258.7</v>
      </c>
      <c r="AW1080" s="69">
        <f>3+2.23</f>
        <v>5.23</v>
      </c>
      <c r="BD1080" s="69"/>
      <c r="BE1080" s="69"/>
      <c r="CE1080" s="94">
        <f>SUM(AT1080:CD1080)</f>
        <v>5222.7599999999993</v>
      </c>
      <c r="CF1080" s="73">
        <f>+CE1080-AS1080</f>
        <v>0</v>
      </c>
      <c r="CG1080" s="75">
        <f t="shared" si="117"/>
        <v>7104</v>
      </c>
      <c r="CH1080" s="75" t="str">
        <f t="shared" si="117"/>
        <v>ماليزى اسنان</v>
      </c>
    </row>
    <row r="1081" spans="2:86" x14ac:dyDescent="0.25">
      <c r="B1081" s="69" t="s">
        <v>2563</v>
      </c>
      <c r="C1081" s="82">
        <v>5162</v>
      </c>
      <c r="D1081" s="78">
        <v>7104</v>
      </c>
      <c r="E1081" s="107" t="s">
        <v>132</v>
      </c>
      <c r="F1081" s="69" t="s">
        <v>2454</v>
      </c>
      <c r="G1081" s="69" t="s">
        <v>220</v>
      </c>
      <c r="H1081" s="69">
        <v>16173.66</v>
      </c>
      <c r="U1081" s="69"/>
      <c r="V1081" s="69"/>
      <c r="AS1081" s="94">
        <f>SUM(H1081:AR1081)</f>
        <v>16173.66</v>
      </c>
      <c r="AT1081" s="69">
        <v>11867.59</v>
      </c>
      <c r="AU1081" s="69">
        <f>70.39+91</f>
        <v>161.38999999999999</v>
      </c>
      <c r="AV1081" s="69">
        <f>3345.9+552.1</f>
        <v>3898</v>
      </c>
      <c r="AW1081" s="69">
        <f>239.79+6.89</f>
        <v>246.67999999999998</v>
      </c>
      <c r="BD1081" s="69"/>
      <c r="BE1081" s="69"/>
      <c r="CE1081" s="94">
        <f>SUM(AT1081:CD1081)</f>
        <v>16173.66</v>
      </c>
      <c r="CF1081" s="73">
        <f>+CE1081-AS1081</f>
        <v>0</v>
      </c>
      <c r="CG1081" s="75">
        <f t="shared" si="117"/>
        <v>7104</v>
      </c>
      <c r="CH1081" s="75" t="str">
        <f t="shared" si="117"/>
        <v>صيدلة اكلينيكى</v>
      </c>
    </row>
    <row r="1082" spans="2:86" x14ac:dyDescent="0.25">
      <c r="B1082" s="69" t="s">
        <v>2563</v>
      </c>
      <c r="C1082" s="82">
        <v>5390</v>
      </c>
      <c r="D1082" s="78">
        <v>7104</v>
      </c>
      <c r="E1082" s="107" t="s">
        <v>78</v>
      </c>
      <c r="F1082" s="69" t="s">
        <v>2454</v>
      </c>
      <c r="G1082" s="69" t="s">
        <v>220</v>
      </c>
      <c r="H1082" s="69">
        <v>1309345.4099999999</v>
      </c>
      <c r="U1082" s="69"/>
      <c r="V1082" s="69"/>
      <c r="AS1082" s="94">
        <f>SUM(H1082:AR1082)</f>
        <v>1309345.4099999999</v>
      </c>
      <c r="AT1082" s="69">
        <v>953389.38</v>
      </c>
      <c r="AU1082" s="69">
        <f>7200.54+7230</f>
        <v>14430.54</v>
      </c>
      <c r="AV1082" s="69">
        <f>275292.1+45423+12</f>
        <v>320727.09999999998</v>
      </c>
      <c r="AW1082" s="69">
        <f>7154.79+550.4</f>
        <v>7705.19</v>
      </c>
      <c r="AX1082" s="69">
        <v>13093.2</v>
      </c>
      <c r="BD1082" s="69"/>
      <c r="BE1082" s="69"/>
      <c r="CE1082" s="94">
        <f>SUM(AT1082:CD1082)</f>
        <v>1309345.4099999999</v>
      </c>
      <c r="CF1082" s="73">
        <f>+CE1082-AS1082</f>
        <v>0</v>
      </c>
      <c r="CG1082" s="75">
        <f t="shared" si="117"/>
        <v>7104</v>
      </c>
      <c r="CH1082" s="75" t="str">
        <f t="shared" si="117"/>
        <v>برنامج دولى</v>
      </c>
    </row>
    <row r="1083" spans="2:86" x14ac:dyDescent="0.25">
      <c r="B1083" s="69" t="s">
        <v>2563</v>
      </c>
      <c r="C1083" s="82">
        <v>5850</v>
      </c>
      <c r="D1083" s="78">
        <v>7105</v>
      </c>
      <c r="E1083" s="107" t="s">
        <v>78</v>
      </c>
      <c r="F1083" s="69" t="s">
        <v>2454</v>
      </c>
      <c r="G1083" s="69" t="s">
        <v>220</v>
      </c>
      <c r="H1083" s="69">
        <v>5262.03</v>
      </c>
      <c r="U1083" s="69"/>
      <c r="V1083" s="69"/>
      <c r="AS1083" s="94">
        <f>SUM(H1083:AR1083)</f>
        <v>5262.03</v>
      </c>
      <c r="AT1083" s="69">
        <v>2967.09</v>
      </c>
      <c r="AU1083" s="69">
        <v>22.1</v>
      </c>
      <c r="AV1083" s="69">
        <f>1088.5+179.6</f>
        <v>1268.0999999999999</v>
      </c>
      <c r="AW1083" s="69">
        <f>3+1.74</f>
        <v>4.74</v>
      </c>
      <c r="AX1083" s="69">
        <v>1000</v>
      </c>
      <c r="BD1083" s="69"/>
      <c r="BE1083" s="69"/>
      <c r="CE1083" s="94">
        <f>SUM(AT1083:CD1083)</f>
        <v>5262.03</v>
      </c>
      <c r="CF1083" s="73">
        <f>+CE1083-AS1083</f>
        <v>0</v>
      </c>
      <c r="CG1083" s="75">
        <f t="shared" si="117"/>
        <v>7105</v>
      </c>
      <c r="CH1083" s="75" t="str">
        <f t="shared" si="117"/>
        <v>برنامج دولى</v>
      </c>
    </row>
    <row r="1084" spans="2:86" x14ac:dyDescent="0.25">
      <c r="B1084" s="69" t="s">
        <v>2563</v>
      </c>
      <c r="C1084" s="75">
        <v>5033</v>
      </c>
      <c r="D1084" s="75">
        <v>7106</v>
      </c>
      <c r="F1084" s="69" t="s">
        <v>2564</v>
      </c>
      <c r="G1084" s="69" t="s">
        <v>220</v>
      </c>
      <c r="AD1084" s="69">
        <v>800</v>
      </c>
      <c r="AT1084" s="69">
        <v>800</v>
      </c>
    </row>
    <row r="1085" spans="2:86" x14ac:dyDescent="0.25">
      <c r="C1085" s="82"/>
      <c r="D1085" s="78">
        <v>7107</v>
      </c>
      <c r="E1085" s="107" t="s">
        <v>1431</v>
      </c>
      <c r="F1085" s="69" t="s">
        <v>2565</v>
      </c>
      <c r="G1085" s="69"/>
      <c r="U1085" s="69"/>
      <c r="V1085" s="69"/>
      <c r="AS1085" s="94">
        <f t="shared" si="116"/>
        <v>0</v>
      </c>
      <c r="AU1085" s="69"/>
      <c r="BD1085" s="69"/>
      <c r="BE1085" s="69"/>
      <c r="CE1085" s="94">
        <f t="shared" si="115"/>
        <v>0</v>
      </c>
      <c r="CF1085" s="73">
        <f t="shared" si="112"/>
        <v>0</v>
      </c>
      <c r="CG1085" s="75">
        <f t="shared" ref="CG1085:CH1135" si="118">+D1085</f>
        <v>7107</v>
      </c>
      <c r="CH1085" s="75" t="str">
        <f t="shared" si="118"/>
        <v>لاب فقط</v>
      </c>
    </row>
    <row r="1086" spans="2:86" x14ac:dyDescent="0.25">
      <c r="C1086" s="82"/>
      <c r="D1086" s="78">
        <v>7108</v>
      </c>
      <c r="E1086" s="107" t="s">
        <v>1431</v>
      </c>
      <c r="F1086" s="69" t="s">
        <v>2566</v>
      </c>
      <c r="G1086" s="69"/>
      <c r="U1086" s="69"/>
      <c r="V1086" s="69"/>
      <c r="AS1086" s="94">
        <f t="shared" si="116"/>
        <v>0</v>
      </c>
      <c r="AU1086" s="69"/>
      <c r="BD1086" s="69"/>
      <c r="BE1086" s="69"/>
      <c r="CE1086" s="94">
        <f t="shared" si="115"/>
        <v>0</v>
      </c>
      <c r="CF1086" s="73">
        <f t="shared" si="112"/>
        <v>0</v>
      </c>
      <c r="CG1086" s="75">
        <f t="shared" si="118"/>
        <v>7108</v>
      </c>
      <c r="CH1086" s="75" t="str">
        <f t="shared" si="118"/>
        <v>لاب فقط</v>
      </c>
    </row>
    <row r="1087" spans="2:86" x14ac:dyDescent="0.25">
      <c r="C1087" s="82"/>
      <c r="D1087" s="78">
        <v>7109</v>
      </c>
      <c r="E1087" s="107" t="s">
        <v>1431</v>
      </c>
      <c r="F1087" s="69" t="s">
        <v>2567</v>
      </c>
      <c r="G1087" s="69"/>
      <c r="U1087" s="69"/>
      <c r="V1087" s="69"/>
      <c r="AS1087" s="94">
        <f t="shared" si="116"/>
        <v>0</v>
      </c>
      <c r="AU1087" s="69"/>
      <c r="BD1087" s="69"/>
      <c r="BE1087" s="69"/>
      <c r="CE1087" s="94">
        <f t="shared" si="115"/>
        <v>0</v>
      </c>
      <c r="CF1087" s="73">
        <f t="shared" si="112"/>
        <v>0</v>
      </c>
      <c r="CG1087" s="75">
        <f t="shared" si="118"/>
        <v>7109</v>
      </c>
      <c r="CH1087" s="75" t="str">
        <f t="shared" si="118"/>
        <v>لاب فقط</v>
      </c>
    </row>
    <row r="1088" spans="2:86" x14ac:dyDescent="0.25">
      <c r="C1088" s="82">
        <v>12194</v>
      </c>
      <c r="D1088" s="78">
        <v>7110</v>
      </c>
      <c r="E1088" s="107" t="s">
        <v>78</v>
      </c>
      <c r="F1088" s="69" t="s">
        <v>2562</v>
      </c>
      <c r="G1088" s="69"/>
      <c r="H1088" s="69">
        <v>2871.35</v>
      </c>
      <c r="U1088" s="69"/>
      <c r="V1088" s="69"/>
      <c r="AS1088" s="94">
        <f t="shared" si="116"/>
        <v>2871.35</v>
      </c>
      <c r="AT1088" s="69">
        <v>1996.6</v>
      </c>
      <c r="AU1088" s="69">
        <v>266.60000000000002</v>
      </c>
      <c r="AV1088" s="69">
        <v>608.15</v>
      </c>
      <c r="BD1088" s="69"/>
      <c r="BE1088" s="69"/>
      <c r="CE1088" s="94">
        <f t="shared" si="115"/>
        <v>2871.35</v>
      </c>
      <c r="CF1088" s="73">
        <f t="shared" si="112"/>
        <v>0</v>
      </c>
      <c r="CG1088" s="75">
        <f t="shared" si="118"/>
        <v>7110</v>
      </c>
      <c r="CH1088" s="75" t="str">
        <f t="shared" si="118"/>
        <v>برنامج دولى</v>
      </c>
    </row>
    <row r="1089" spans="3:86" x14ac:dyDescent="0.25">
      <c r="C1089" s="82">
        <v>12195</v>
      </c>
      <c r="D1089" s="78">
        <v>7111</v>
      </c>
      <c r="E1089" s="107" t="s">
        <v>78</v>
      </c>
      <c r="F1089" s="69" t="s">
        <v>2562</v>
      </c>
      <c r="G1089" s="69"/>
      <c r="H1089" s="69">
        <v>11138.75</v>
      </c>
      <c r="U1089" s="69"/>
      <c r="V1089" s="69"/>
      <c r="AS1089" s="94">
        <f t="shared" si="116"/>
        <v>11138.75</v>
      </c>
      <c r="AT1089" s="69">
        <v>7443.75</v>
      </c>
      <c r="AU1089" s="69">
        <v>1011.25</v>
      </c>
      <c r="AV1089" s="69">
        <v>2683.75</v>
      </c>
      <c r="BD1089" s="69"/>
      <c r="BE1089" s="69"/>
      <c r="CE1089" s="94">
        <f t="shared" si="115"/>
        <v>11138.75</v>
      </c>
      <c r="CF1089" s="73">
        <f t="shared" si="112"/>
        <v>0</v>
      </c>
      <c r="CG1089" s="75">
        <f t="shared" si="118"/>
        <v>7111</v>
      </c>
      <c r="CH1089" s="75" t="str">
        <f t="shared" si="118"/>
        <v>برنامج دولى</v>
      </c>
    </row>
    <row r="1090" spans="3:86" x14ac:dyDescent="0.25">
      <c r="C1090" s="82">
        <v>12196</v>
      </c>
      <c r="D1090" s="78">
        <v>7112</v>
      </c>
      <c r="E1090" s="107" t="s">
        <v>78</v>
      </c>
      <c r="F1090" s="69" t="s">
        <v>2562</v>
      </c>
      <c r="G1090" s="69"/>
      <c r="H1090" s="69">
        <v>6843.49</v>
      </c>
      <c r="U1090" s="69"/>
      <c r="V1090" s="69"/>
      <c r="AS1090" s="94">
        <f t="shared" si="116"/>
        <v>6843.49</v>
      </c>
      <c r="AT1090" s="69">
        <v>4575.01</v>
      </c>
      <c r="AU1090" s="69">
        <v>619.62</v>
      </c>
      <c r="AV1090" s="69">
        <v>1648.86</v>
      </c>
      <c r="BD1090" s="69"/>
      <c r="BE1090" s="69"/>
      <c r="CE1090" s="94">
        <f t="shared" si="115"/>
        <v>6843.49</v>
      </c>
      <c r="CF1090" s="73">
        <f t="shared" si="112"/>
        <v>0</v>
      </c>
      <c r="CG1090" s="75">
        <f t="shared" si="118"/>
        <v>7112</v>
      </c>
      <c r="CH1090" s="75" t="str">
        <f t="shared" si="118"/>
        <v>برنامج دولى</v>
      </c>
    </row>
    <row r="1091" spans="3:86" x14ac:dyDescent="0.25">
      <c r="C1091" s="82">
        <v>12197</v>
      </c>
      <c r="D1091" s="78">
        <v>7113</v>
      </c>
      <c r="E1091" s="107" t="s">
        <v>78</v>
      </c>
      <c r="F1091" s="69" t="s">
        <v>2562</v>
      </c>
      <c r="G1091" s="69"/>
      <c r="H1091" s="69">
        <v>3204.83</v>
      </c>
      <c r="U1091" s="69"/>
      <c r="V1091" s="69"/>
      <c r="AS1091" s="94">
        <f t="shared" si="116"/>
        <v>3204.83</v>
      </c>
      <c r="AT1091" s="69">
        <v>2142.19</v>
      </c>
      <c r="AU1091" s="69">
        <v>290.48</v>
      </c>
      <c r="AV1091" s="69">
        <v>772.16</v>
      </c>
      <c r="BD1091" s="69"/>
      <c r="BE1091" s="69"/>
      <c r="CE1091" s="94">
        <f t="shared" si="115"/>
        <v>3204.83</v>
      </c>
      <c r="CF1091" s="73">
        <f t="shared" si="112"/>
        <v>0</v>
      </c>
      <c r="CG1091" s="75">
        <f t="shared" si="118"/>
        <v>7113</v>
      </c>
      <c r="CH1091" s="75" t="str">
        <f t="shared" si="118"/>
        <v>برنامج دولى</v>
      </c>
    </row>
    <row r="1092" spans="3:86" x14ac:dyDescent="0.25">
      <c r="C1092" s="82">
        <v>12198</v>
      </c>
      <c r="D1092" s="78">
        <v>7114</v>
      </c>
      <c r="E1092" s="107" t="s">
        <v>78</v>
      </c>
      <c r="F1092" s="69" t="s">
        <v>2562</v>
      </c>
      <c r="G1092" s="69"/>
      <c r="H1092" s="69">
        <v>497783.76</v>
      </c>
      <c r="U1092" s="69"/>
      <c r="V1092" s="69"/>
      <c r="AS1092" s="94">
        <f t="shared" si="116"/>
        <v>497783.76</v>
      </c>
      <c r="AT1092" s="69">
        <v>368367.88</v>
      </c>
      <c r="AU1092" s="69">
        <v>47812.77</v>
      </c>
      <c r="AV1092" s="69">
        <v>81603.11</v>
      </c>
      <c r="BD1092" s="69"/>
      <c r="BE1092" s="69"/>
      <c r="CE1092" s="94">
        <f t="shared" si="115"/>
        <v>497783.76</v>
      </c>
      <c r="CF1092" s="73">
        <f t="shared" si="112"/>
        <v>0</v>
      </c>
      <c r="CG1092" s="75">
        <f t="shared" si="118"/>
        <v>7114</v>
      </c>
      <c r="CH1092" s="75" t="str">
        <f t="shared" si="118"/>
        <v>برنامج دولى</v>
      </c>
    </row>
    <row r="1093" spans="3:86" x14ac:dyDescent="0.25">
      <c r="C1093" s="82">
        <v>12199</v>
      </c>
      <c r="D1093" s="78">
        <v>7115</v>
      </c>
      <c r="E1093" s="107" t="s">
        <v>78</v>
      </c>
      <c r="F1093" s="69" t="s">
        <v>2562</v>
      </c>
      <c r="G1093" s="69"/>
      <c r="H1093" s="69">
        <v>22158.55</v>
      </c>
      <c r="U1093" s="69"/>
      <c r="V1093" s="69"/>
      <c r="AS1093" s="94">
        <f t="shared" si="116"/>
        <v>22158.55</v>
      </c>
      <c r="AT1093" s="69">
        <v>14856.02</v>
      </c>
      <c r="AU1093" s="69">
        <v>2015.2</v>
      </c>
      <c r="AV1093" s="69">
        <v>5287.33</v>
      </c>
      <c r="BD1093" s="69"/>
      <c r="BE1093" s="69"/>
      <c r="CE1093" s="94">
        <f t="shared" si="115"/>
        <v>22158.550000000003</v>
      </c>
      <c r="CF1093" s="73">
        <f t="shared" si="112"/>
        <v>0</v>
      </c>
      <c r="CG1093" s="75">
        <f t="shared" si="118"/>
        <v>7115</v>
      </c>
      <c r="CH1093" s="75" t="str">
        <f t="shared" si="118"/>
        <v>برنامج دولى</v>
      </c>
    </row>
    <row r="1094" spans="3:86" x14ac:dyDescent="0.25">
      <c r="C1094" s="82">
        <v>12200</v>
      </c>
      <c r="D1094" s="78">
        <v>7116</v>
      </c>
      <c r="E1094" s="107" t="s">
        <v>78</v>
      </c>
      <c r="F1094" s="69" t="s">
        <v>2562</v>
      </c>
      <c r="G1094" s="69"/>
      <c r="H1094" s="69">
        <v>2110.5</v>
      </c>
      <c r="U1094" s="69"/>
      <c r="V1094" s="69"/>
      <c r="AS1094" s="94">
        <f t="shared" si="116"/>
        <v>2110.5</v>
      </c>
      <c r="AT1094" s="69">
        <v>1410.35</v>
      </c>
      <c r="AU1094" s="69">
        <v>191.65</v>
      </c>
      <c r="AV1094" s="69">
        <v>508.5</v>
      </c>
      <c r="BD1094" s="69"/>
      <c r="BE1094" s="69"/>
      <c r="CE1094" s="94">
        <f t="shared" si="115"/>
        <v>2110.5</v>
      </c>
      <c r="CF1094" s="73">
        <f t="shared" si="112"/>
        <v>0</v>
      </c>
      <c r="CG1094" s="75">
        <f t="shared" si="118"/>
        <v>7116</v>
      </c>
      <c r="CH1094" s="75" t="str">
        <f t="shared" si="118"/>
        <v>برنامج دولى</v>
      </c>
    </row>
    <row r="1095" spans="3:86" x14ac:dyDescent="0.25">
      <c r="C1095" s="82">
        <v>12201</v>
      </c>
      <c r="D1095" s="78">
        <v>7117</v>
      </c>
      <c r="E1095" s="107" t="s">
        <v>78</v>
      </c>
      <c r="F1095" s="69" t="s">
        <v>2562</v>
      </c>
      <c r="G1095" s="69"/>
      <c r="H1095" s="69">
        <v>1926.8</v>
      </c>
      <c r="U1095" s="69"/>
      <c r="V1095" s="69"/>
      <c r="AS1095" s="94">
        <f t="shared" si="116"/>
        <v>1926.8</v>
      </c>
      <c r="AT1095" s="69">
        <v>1287.6400000000001</v>
      </c>
      <c r="AU1095" s="69">
        <v>174.93</v>
      </c>
      <c r="AV1095" s="69">
        <v>464.23</v>
      </c>
      <c r="BD1095" s="69"/>
      <c r="BE1095" s="69"/>
      <c r="CE1095" s="94">
        <f t="shared" si="115"/>
        <v>1926.8000000000002</v>
      </c>
      <c r="CF1095" s="73">
        <f t="shared" ref="CF1095:CF1158" si="119">+CE1095-AS1095</f>
        <v>0</v>
      </c>
      <c r="CG1095" s="75">
        <f t="shared" si="118"/>
        <v>7117</v>
      </c>
      <c r="CH1095" s="75" t="str">
        <f t="shared" si="118"/>
        <v>برنامج دولى</v>
      </c>
    </row>
    <row r="1096" spans="3:86" x14ac:dyDescent="0.25">
      <c r="C1096" s="82">
        <v>12202</v>
      </c>
      <c r="D1096" s="78">
        <v>7118</v>
      </c>
      <c r="E1096" s="107" t="s">
        <v>78</v>
      </c>
      <c r="F1096" s="69" t="s">
        <v>2562</v>
      </c>
      <c r="G1096" s="69"/>
      <c r="H1096" s="69">
        <v>319079.40000000002</v>
      </c>
      <c r="U1096" s="69"/>
      <c r="V1096" s="69"/>
      <c r="AS1096" s="94">
        <f t="shared" si="116"/>
        <v>319079.40000000002</v>
      </c>
      <c r="AT1096" s="69">
        <v>218724.12</v>
      </c>
      <c r="AU1096" s="69">
        <v>29191.91</v>
      </c>
      <c r="AV1096" s="69">
        <v>70913.37</v>
      </c>
      <c r="BD1096" s="69"/>
      <c r="BE1096" s="69"/>
      <c r="BF1096" s="69">
        <v>250</v>
      </c>
      <c r="CE1096" s="94">
        <f t="shared" si="115"/>
        <v>319079.40000000002</v>
      </c>
      <c r="CF1096" s="73">
        <f t="shared" si="119"/>
        <v>0</v>
      </c>
      <c r="CG1096" s="75">
        <f t="shared" si="118"/>
        <v>7118</v>
      </c>
      <c r="CH1096" s="75" t="str">
        <f t="shared" si="118"/>
        <v>برنامج دولى</v>
      </c>
    </row>
    <row r="1097" spans="3:86" x14ac:dyDescent="0.25">
      <c r="C1097" s="82">
        <v>12207</v>
      </c>
      <c r="D1097" s="78">
        <v>7119</v>
      </c>
      <c r="E1097" s="107" t="s">
        <v>78</v>
      </c>
      <c r="F1097" s="69" t="s">
        <v>2568</v>
      </c>
      <c r="G1097" s="69"/>
      <c r="H1097" s="69">
        <v>1493.02</v>
      </c>
      <c r="U1097" s="69"/>
      <c r="V1097" s="69"/>
      <c r="AS1097" s="94">
        <f t="shared" si="116"/>
        <v>1493.02</v>
      </c>
      <c r="AT1097" s="69">
        <v>1012.64</v>
      </c>
      <c r="AU1097" s="69">
        <v>120.67</v>
      </c>
      <c r="AV1097" s="69">
        <v>359.71</v>
      </c>
      <c r="BD1097" s="69"/>
      <c r="BE1097" s="69"/>
      <c r="CE1097" s="94">
        <f t="shared" si="115"/>
        <v>1493.02</v>
      </c>
      <c r="CF1097" s="73">
        <f t="shared" si="119"/>
        <v>0</v>
      </c>
      <c r="CG1097" s="75">
        <f t="shared" si="118"/>
        <v>7119</v>
      </c>
      <c r="CH1097" s="75" t="str">
        <f t="shared" si="118"/>
        <v>برنامج دولى</v>
      </c>
    </row>
    <row r="1098" spans="3:86" x14ac:dyDescent="0.25">
      <c r="C1098" s="82">
        <v>12155</v>
      </c>
      <c r="D1098" s="78">
        <v>7120</v>
      </c>
      <c r="E1098" s="107" t="s">
        <v>78</v>
      </c>
      <c r="F1098" s="69" t="s">
        <v>2569</v>
      </c>
      <c r="G1098" s="69"/>
      <c r="H1098" s="69">
        <v>3986.83</v>
      </c>
      <c r="U1098" s="69"/>
      <c r="V1098" s="69"/>
      <c r="AS1098" s="94">
        <f t="shared" si="116"/>
        <v>3986.83</v>
      </c>
      <c r="AT1098" s="69">
        <v>2666.68</v>
      </c>
      <c r="AU1098" s="69">
        <v>359.58</v>
      </c>
      <c r="AV1098" s="69">
        <v>960.57</v>
      </c>
      <c r="BD1098" s="69"/>
      <c r="BE1098" s="69"/>
      <c r="CE1098" s="94">
        <f t="shared" si="115"/>
        <v>3986.83</v>
      </c>
      <c r="CF1098" s="73">
        <f t="shared" si="119"/>
        <v>0</v>
      </c>
      <c r="CG1098" s="75">
        <f t="shared" si="118"/>
        <v>7120</v>
      </c>
      <c r="CH1098" s="75" t="str">
        <f t="shared" si="118"/>
        <v>برنامج دولى</v>
      </c>
    </row>
    <row r="1099" spans="3:86" x14ac:dyDescent="0.25">
      <c r="C1099" s="82">
        <v>12154</v>
      </c>
      <c r="D1099" s="78">
        <v>7121</v>
      </c>
      <c r="E1099" s="107" t="s">
        <v>78</v>
      </c>
      <c r="F1099" s="69" t="s">
        <v>2569</v>
      </c>
      <c r="G1099" s="69"/>
      <c r="H1099" s="69">
        <v>7568.4</v>
      </c>
      <c r="U1099" s="69"/>
      <c r="V1099" s="69"/>
      <c r="AS1099" s="94">
        <f t="shared" si="116"/>
        <v>7568.4</v>
      </c>
      <c r="AT1099" s="69">
        <v>6558.27</v>
      </c>
      <c r="AU1099" s="69">
        <v>796.56</v>
      </c>
      <c r="AV1099" s="69">
        <v>213.57</v>
      </c>
      <c r="BD1099" s="69"/>
      <c r="BE1099" s="69"/>
      <c r="CE1099" s="94">
        <f t="shared" si="115"/>
        <v>7568.4</v>
      </c>
      <c r="CF1099" s="73">
        <f t="shared" si="119"/>
        <v>0</v>
      </c>
      <c r="CG1099" s="75">
        <f t="shared" si="118"/>
        <v>7121</v>
      </c>
      <c r="CH1099" s="75" t="str">
        <f t="shared" si="118"/>
        <v>برنامج دولى</v>
      </c>
    </row>
    <row r="1100" spans="3:86" x14ac:dyDescent="0.25">
      <c r="C1100" s="82">
        <v>12153</v>
      </c>
      <c r="D1100" s="78">
        <v>7122</v>
      </c>
      <c r="E1100" s="107" t="s">
        <v>78</v>
      </c>
      <c r="F1100" s="69" t="s">
        <v>2569</v>
      </c>
      <c r="G1100" s="69"/>
      <c r="H1100" s="69">
        <v>17169.03</v>
      </c>
      <c r="U1100" s="69"/>
      <c r="V1100" s="69"/>
      <c r="AS1100" s="94">
        <f t="shared" si="116"/>
        <v>17169.03</v>
      </c>
      <c r="AT1100" s="69">
        <v>14756.73</v>
      </c>
      <c r="AU1100" s="69">
        <v>1807.95</v>
      </c>
      <c r="AV1100" s="69">
        <v>604.35</v>
      </c>
      <c r="BD1100" s="69"/>
      <c r="BE1100" s="69"/>
      <c r="CE1100" s="94">
        <f t="shared" si="115"/>
        <v>17169.03</v>
      </c>
      <c r="CF1100" s="73">
        <f t="shared" si="119"/>
        <v>0</v>
      </c>
      <c r="CG1100" s="75">
        <f t="shared" si="118"/>
        <v>7122</v>
      </c>
      <c r="CH1100" s="75" t="str">
        <f t="shared" si="118"/>
        <v>برنامج دولى</v>
      </c>
    </row>
    <row r="1101" spans="3:86" x14ac:dyDescent="0.25">
      <c r="C1101" s="82">
        <v>12152</v>
      </c>
      <c r="D1101" s="78">
        <v>7123</v>
      </c>
      <c r="E1101" s="107" t="s">
        <v>78</v>
      </c>
      <c r="F1101" s="69" t="s">
        <v>2569</v>
      </c>
      <c r="G1101" s="69"/>
      <c r="H1101" s="69">
        <v>1876</v>
      </c>
      <c r="U1101" s="69"/>
      <c r="V1101" s="69"/>
      <c r="AS1101" s="94">
        <f t="shared" si="116"/>
        <v>1876</v>
      </c>
      <c r="AT1101" s="69">
        <v>1253.7</v>
      </c>
      <c r="AU1101" s="69">
        <v>170.3</v>
      </c>
      <c r="AV1101" s="69">
        <v>452</v>
      </c>
      <c r="BD1101" s="69"/>
      <c r="BE1101" s="69"/>
      <c r="CE1101" s="94">
        <f t="shared" si="115"/>
        <v>1876</v>
      </c>
      <c r="CF1101" s="73">
        <f t="shared" si="119"/>
        <v>0</v>
      </c>
      <c r="CG1101" s="75">
        <f t="shared" si="118"/>
        <v>7123</v>
      </c>
      <c r="CH1101" s="75" t="str">
        <f t="shared" si="118"/>
        <v>برنامج دولى</v>
      </c>
    </row>
    <row r="1102" spans="3:86" x14ac:dyDescent="0.25">
      <c r="C1102" s="82">
        <v>12151</v>
      </c>
      <c r="D1102" s="78">
        <v>7124</v>
      </c>
      <c r="E1102" s="107" t="s">
        <v>78</v>
      </c>
      <c r="F1102" s="69" t="s">
        <v>2569</v>
      </c>
      <c r="G1102" s="69"/>
      <c r="H1102" s="69">
        <v>4980.75</v>
      </c>
      <c r="U1102" s="69"/>
      <c r="V1102" s="69"/>
      <c r="AS1102" s="94">
        <f t="shared" si="116"/>
        <v>4980.75</v>
      </c>
      <c r="AT1102" s="69">
        <v>3331.53</v>
      </c>
      <c r="AU1102" s="69">
        <v>449.2</v>
      </c>
      <c r="AV1102" s="69">
        <v>1200.02</v>
      </c>
      <c r="BD1102" s="69"/>
      <c r="BE1102" s="69"/>
      <c r="CE1102" s="94">
        <f t="shared" si="115"/>
        <v>4980.75</v>
      </c>
      <c r="CF1102" s="73">
        <f t="shared" si="119"/>
        <v>0</v>
      </c>
      <c r="CG1102" s="75">
        <f t="shared" si="118"/>
        <v>7124</v>
      </c>
      <c r="CH1102" s="75" t="str">
        <f t="shared" si="118"/>
        <v>برنامج دولى</v>
      </c>
    </row>
    <row r="1103" spans="3:86" x14ac:dyDescent="0.25">
      <c r="C1103" s="82">
        <v>12150</v>
      </c>
      <c r="D1103" s="78">
        <v>7125</v>
      </c>
      <c r="E1103" s="107" t="s">
        <v>78</v>
      </c>
      <c r="F1103" s="69" t="s">
        <v>2569</v>
      </c>
      <c r="G1103" s="69"/>
      <c r="H1103" s="69">
        <v>3309.53</v>
      </c>
      <c r="U1103" s="69"/>
      <c r="V1103" s="69"/>
      <c r="AS1103" s="94">
        <f t="shared" si="116"/>
        <v>3309.53</v>
      </c>
      <c r="AT1103" s="69">
        <v>2215.86</v>
      </c>
      <c r="AU1103" s="69">
        <v>296.27</v>
      </c>
      <c r="AV1103" s="69">
        <v>797.4</v>
      </c>
      <c r="BD1103" s="69"/>
      <c r="BE1103" s="69"/>
      <c r="CE1103" s="94">
        <f t="shared" si="115"/>
        <v>3309.53</v>
      </c>
      <c r="CF1103" s="73">
        <f t="shared" si="119"/>
        <v>0</v>
      </c>
      <c r="CG1103" s="75">
        <f t="shared" si="118"/>
        <v>7125</v>
      </c>
      <c r="CH1103" s="75" t="str">
        <f t="shared" si="118"/>
        <v>برنامج دولى</v>
      </c>
    </row>
    <row r="1104" spans="3:86" x14ac:dyDescent="0.25">
      <c r="C1104" s="82">
        <v>12149</v>
      </c>
      <c r="D1104" s="78">
        <v>7126</v>
      </c>
      <c r="E1104" s="107" t="s">
        <v>78</v>
      </c>
      <c r="F1104" s="69" t="s">
        <v>2569</v>
      </c>
      <c r="G1104" s="69"/>
      <c r="H1104" s="69">
        <v>1020.88</v>
      </c>
      <c r="U1104" s="69"/>
      <c r="V1104" s="69"/>
      <c r="AS1104" s="94">
        <f t="shared" si="116"/>
        <v>1020.88</v>
      </c>
      <c r="AT1104" s="69">
        <v>682.74</v>
      </c>
      <c r="AU1104" s="69">
        <v>92.17</v>
      </c>
      <c r="AV1104" s="69">
        <v>245.97</v>
      </c>
      <c r="BD1104" s="69"/>
      <c r="BE1104" s="69"/>
      <c r="CE1104" s="94">
        <f t="shared" si="115"/>
        <v>1020.88</v>
      </c>
      <c r="CF1104" s="73">
        <f t="shared" si="119"/>
        <v>0</v>
      </c>
      <c r="CG1104" s="75">
        <f t="shared" si="118"/>
        <v>7126</v>
      </c>
      <c r="CH1104" s="75" t="str">
        <f t="shared" si="118"/>
        <v>برنامج دولى</v>
      </c>
    </row>
    <row r="1105" spans="3:86" x14ac:dyDescent="0.25">
      <c r="C1105" s="82">
        <v>12148</v>
      </c>
      <c r="D1105" s="78">
        <v>7127</v>
      </c>
      <c r="E1105" s="107" t="s">
        <v>78</v>
      </c>
      <c r="F1105" s="69" t="s">
        <v>2569</v>
      </c>
      <c r="G1105" s="69"/>
      <c r="H1105" s="69">
        <v>1346.89</v>
      </c>
      <c r="U1105" s="69"/>
      <c r="V1105" s="69"/>
      <c r="AS1105" s="94">
        <f t="shared" si="116"/>
        <v>1346.89</v>
      </c>
      <c r="AT1105" s="69">
        <v>901.73</v>
      </c>
      <c r="AU1105" s="69">
        <v>120.62</v>
      </c>
      <c r="AV1105" s="69">
        <v>324.54000000000002</v>
      </c>
      <c r="BD1105" s="69"/>
      <c r="BE1105" s="69"/>
      <c r="CE1105" s="94">
        <f t="shared" si="115"/>
        <v>1346.89</v>
      </c>
      <c r="CF1105" s="73">
        <f t="shared" si="119"/>
        <v>0</v>
      </c>
      <c r="CG1105" s="75">
        <f t="shared" si="118"/>
        <v>7127</v>
      </c>
      <c r="CH1105" s="75" t="str">
        <f t="shared" si="118"/>
        <v>برنامج دولى</v>
      </c>
    </row>
    <row r="1106" spans="3:86" x14ac:dyDescent="0.25">
      <c r="C1106" s="82">
        <v>12147</v>
      </c>
      <c r="D1106" s="78">
        <v>7128</v>
      </c>
      <c r="E1106" s="107" t="s">
        <v>78</v>
      </c>
      <c r="F1106" s="69" t="s">
        <v>2569</v>
      </c>
      <c r="G1106" s="69"/>
      <c r="H1106" s="69">
        <v>613.72</v>
      </c>
      <c r="U1106" s="69"/>
      <c r="V1106" s="69"/>
      <c r="AS1106" s="94">
        <f t="shared" si="116"/>
        <v>613.72</v>
      </c>
      <c r="AT1106" s="69">
        <v>410.58</v>
      </c>
      <c r="AU1106" s="69">
        <v>55.29</v>
      </c>
      <c r="AV1106" s="69">
        <v>147.85</v>
      </c>
      <c r="BD1106" s="69"/>
      <c r="BE1106" s="69"/>
      <c r="CE1106" s="94">
        <f t="shared" si="115"/>
        <v>613.72</v>
      </c>
      <c r="CF1106" s="73">
        <f t="shared" si="119"/>
        <v>0</v>
      </c>
      <c r="CG1106" s="75">
        <f t="shared" si="118"/>
        <v>7128</v>
      </c>
      <c r="CH1106" s="75" t="str">
        <f t="shared" si="118"/>
        <v>برنامج دولى</v>
      </c>
    </row>
    <row r="1107" spans="3:86" x14ac:dyDescent="0.25">
      <c r="C1107" s="82">
        <v>12146</v>
      </c>
      <c r="D1107" s="78">
        <v>7129</v>
      </c>
      <c r="E1107" s="107" t="s">
        <v>78</v>
      </c>
      <c r="F1107" s="69" t="s">
        <v>2569</v>
      </c>
      <c r="G1107" s="69"/>
      <c r="H1107" s="69">
        <v>938.31</v>
      </c>
      <c r="U1107" s="69"/>
      <c r="V1107" s="69"/>
      <c r="AS1107" s="94">
        <f t="shared" si="116"/>
        <v>938.31</v>
      </c>
      <c r="AT1107" s="69">
        <v>627.57000000000005</v>
      </c>
      <c r="AU1107" s="69">
        <v>84.68</v>
      </c>
      <c r="AV1107" s="69">
        <v>226.06</v>
      </c>
      <c r="BD1107" s="69"/>
      <c r="BE1107" s="69"/>
      <c r="CE1107" s="94">
        <f t="shared" si="115"/>
        <v>938.31</v>
      </c>
      <c r="CF1107" s="73">
        <f t="shared" si="119"/>
        <v>0</v>
      </c>
      <c r="CG1107" s="75">
        <f t="shared" si="118"/>
        <v>7129</v>
      </c>
      <c r="CH1107" s="75" t="str">
        <f t="shared" si="118"/>
        <v>برنامج دولى</v>
      </c>
    </row>
    <row r="1108" spans="3:86" x14ac:dyDescent="0.25">
      <c r="C1108" s="82">
        <v>12231</v>
      </c>
      <c r="D1108" s="78">
        <v>7130</v>
      </c>
      <c r="E1108" s="107" t="s">
        <v>78</v>
      </c>
      <c r="F1108" s="69" t="s">
        <v>2570</v>
      </c>
      <c r="G1108" s="69"/>
      <c r="H1108" s="69">
        <v>820.75</v>
      </c>
      <c r="U1108" s="69"/>
      <c r="V1108" s="69"/>
      <c r="AS1108" s="94">
        <f t="shared" si="116"/>
        <v>820.75</v>
      </c>
      <c r="AT1108" s="69">
        <v>548.45000000000005</v>
      </c>
      <c r="AU1108" s="69">
        <f>70+4.55</f>
        <v>74.55</v>
      </c>
      <c r="AV1108" s="69">
        <f>272.3-AU1108</f>
        <v>197.75</v>
      </c>
      <c r="BD1108" s="69"/>
      <c r="BE1108" s="69"/>
      <c r="CE1108" s="94">
        <f t="shared" si="115"/>
        <v>820.75</v>
      </c>
      <c r="CF1108" s="73">
        <f t="shared" si="119"/>
        <v>0</v>
      </c>
      <c r="CG1108" s="75">
        <f t="shared" si="118"/>
        <v>7130</v>
      </c>
      <c r="CH1108" s="75" t="str">
        <f t="shared" si="118"/>
        <v>برنامج دولى</v>
      </c>
    </row>
    <row r="1109" spans="3:86" x14ac:dyDescent="0.25">
      <c r="C1109" s="82">
        <v>12227</v>
      </c>
      <c r="D1109" s="78">
        <v>7131</v>
      </c>
      <c r="E1109" s="107" t="s">
        <v>78</v>
      </c>
      <c r="F1109" s="69" t="s">
        <v>2570</v>
      </c>
      <c r="G1109" s="69"/>
      <c r="H1109" s="69">
        <v>14300.76</v>
      </c>
      <c r="U1109" s="69"/>
      <c r="V1109" s="69"/>
      <c r="AS1109" s="94">
        <f t="shared" si="116"/>
        <v>14300.76</v>
      </c>
      <c r="AT1109" s="69">
        <v>9545.49</v>
      </c>
      <c r="AU1109" s="69">
        <f>1219.68+89.98</f>
        <v>1309.6600000000001</v>
      </c>
      <c r="AV1109" s="69">
        <v>3445.61</v>
      </c>
      <c r="BD1109" s="69"/>
      <c r="BE1109" s="69"/>
      <c r="CE1109" s="94">
        <f t="shared" si="115"/>
        <v>14300.76</v>
      </c>
      <c r="CF1109" s="73">
        <f t="shared" si="119"/>
        <v>0</v>
      </c>
      <c r="CG1109" s="75">
        <f t="shared" si="118"/>
        <v>7131</v>
      </c>
      <c r="CH1109" s="75" t="str">
        <f t="shared" si="118"/>
        <v>برنامج دولى</v>
      </c>
    </row>
    <row r="1110" spans="3:86" x14ac:dyDescent="0.25">
      <c r="C1110" s="82">
        <v>12229</v>
      </c>
      <c r="D1110" s="78">
        <v>7132</v>
      </c>
      <c r="E1110" s="107" t="s">
        <v>78</v>
      </c>
      <c r="F1110" s="69" t="s">
        <v>2570</v>
      </c>
      <c r="G1110" s="69"/>
      <c r="H1110" s="69">
        <v>1872.71</v>
      </c>
      <c r="U1110" s="69"/>
      <c r="V1110" s="69"/>
      <c r="AS1110" s="94">
        <f t="shared" si="116"/>
        <v>1872.71</v>
      </c>
      <c r="AT1110" s="69">
        <v>1251.49</v>
      </c>
      <c r="AU1110" s="69">
        <v>170.02</v>
      </c>
      <c r="AV1110" s="69">
        <v>451.2</v>
      </c>
      <c r="BD1110" s="69"/>
      <c r="BE1110" s="69"/>
      <c r="CE1110" s="94">
        <f t="shared" si="115"/>
        <v>1872.71</v>
      </c>
      <c r="CF1110" s="73">
        <f t="shared" si="119"/>
        <v>0</v>
      </c>
      <c r="CG1110" s="75">
        <f t="shared" si="118"/>
        <v>7132</v>
      </c>
      <c r="CH1110" s="75" t="str">
        <f t="shared" si="118"/>
        <v>برنامج دولى</v>
      </c>
    </row>
    <row r="1111" spans="3:86" x14ac:dyDescent="0.25">
      <c r="C1111" s="82">
        <v>12230</v>
      </c>
      <c r="D1111" s="78">
        <v>7133</v>
      </c>
      <c r="E1111" s="107" t="s">
        <v>78</v>
      </c>
      <c r="F1111" s="69" t="s">
        <v>2570</v>
      </c>
      <c r="G1111" s="69"/>
      <c r="H1111" s="69">
        <v>4112.07</v>
      </c>
      <c r="U1111" s="69"/>
      <c r="V1111" s="69"/>
      <c r="AS1111" s="94">
        <f t="shared" si="116"/>
        <v>4112.07</v>
      </c>
      <c r="AT1111" s="69">
        <v>3488.78</v>
      </c>
      <c r="AU1111" s="69">
        <v>428.3</v>
      </c>
      <c r="AV1111" s="69">
        <v>194.99</v>
      </c>
      <c r="BD1111" s="69"/>
      <c r="BE1111" s="69"/>
      <c r="CE1111" s="94">
        <f t="shared" si="115"/>
        <v>4112.0700000000006</v>
      </c>
      <c r="CF1111" s="73">
        <f t="shared" si="119"/>
        <v>0</v>
      </c>
      <c r="CG1111" s="75">
        <f t="shared" si="118"/>
        <v>7133</v>
      </c>
      <c r="CH1111" s="75" t="str">
        <f t="shared" si="118"/>
        <v>برنامج دولى</v>
      </c>
    </row>
    <row r="1112" spans="3:86" x14ac:dyDescent="0.25">
      <c r="C1112" s="82">
        <v>12228</v>
      </c>
      <c r="D1112" s="78">
        <v>7134</v>
      </c>
      <c r="E1112" s="107" t="s">
        <v>78</v>
      </c>
      <c r="F1112" s="69" t="s">
        <v>2570</v>
      </c>
      <c r="G1112" s="69"/>
      <c r="H1112" s="69">
        <v>9955.8799999999992</v>
      </c>
      <c r="U1112" s="69"/>
      <c r="V1112" s="69"/>
      <c r="AS1112" s="94">
        <f t="shared" si="116"/>
        <v>9955.8799999999992</v>
      </c>
      <c r="AT1112" s="69">
        <v>8881.0400000000009</v>
      </c>
      <c r="AU1112" s="69">
        <v>1074.8399999999999</v>
      </c>
      <c r="BD1112" s="69"/>
      <c r="BE1112" s="69"/>
      <c r="CE1112" s="94">
        <f t="shared" si="115"/>
        <v>9955.880000000001</v>
      </c>
      <c r="CF1112" s="73">
        <f t="shared" si="119"/>
        <v>0</v>
      </c>
      <c r="CG1112" s="75">
        <f t="shared" si="118"/>
        <v>7134</v>
      </c>
      <c r="CH1112" s="75" t="str">
        <f t="shared" si="118"/>
        <v>برنامج دولى</v>
      </c>
    </row>
    <row r="1113" spans="3:86" x14ac:dyDescent="0.25">
      <c r="C1113" s="82">
        <v>12226</v>
      </c>
      <c r="D1113" s="78">
        <v>7135</v>
      </c>
      <c r="E1113" s="107" t="s">
        <v>78</v>
      </c>
      <c r="F1113" s="69" t="s">
        <v>2570</v>
      </c>
      <c r="G1113" s="69"/>
      <c r="H1113" s="69">
        <v>1642.26</v>
      </c>
      <c r="U1113" s="69"/>
      <c r="V1113" s="69"/>
      <c r="AS1113" s="94">
        <f t="shared" si="116"/>
        <v>1642.26</v>
      </c>
      <c r="AT1113" s="69">
        <v>1096.3399999999999</v>
      </c>
      <c r="AU1113" s="69">
        <f>140.07+10.15</f>
        <v>150.22</v>
      </c>
      <c r="AV1113" s="69">
        <v>395.7</v>
      </c>
      <c r="BD1113" s="69"/>
      <c r="BE1113" s="69"/>
      <c r="CE1113" s="94">
        <f t="shared" si="115"/>
        <v>1642.26</v>
      </c>
      <c r="CF1113" s="73">
        <f t="shared" si="119"/>
        <v>0</v>
      </c>
      <c r="CG1113" s="75">
        <f t="shared" si="118"/>
        <v>7135</v>
      </c>
      <c r="CH1113" s="75" t="str">
        <f t="shared" si="118"/>
        <v>برنامج دولى</v>
      </c>
    </row>
    <row r="1114" spans="3:86" x14ac:dyDescent="0.25">
      <c r="C1114" s="82">
        <v>12083</v>
      </c>
      <c r="D1114" s="78">
        <v>7136</v>
      </c>
      <c r="E1114" s="107" t="s">
        <v>78</v>
      </c>
      <c r="F1114" s="69" t="s">
        <v>2571</v>
      </c>
      <c r="G1114" s="69"/>
      <c r="H1114" s="69">
        <v>8339.43</v>
      </c>
      <c r="U1114" s="69"/>
      <c r="V1114" s="69"/>
      <c r="AS1114" s="94">
        <f t="shared" si="116"/>
        <v>8339.43</v>
      </c>
      <c r="AT1114" s="69">
        <v>5571.93</v>
      </c>
      <c r="AU1114" s="69">
        <f>46.9+711.25</f>
        <v>758.15</v>
      </c>
      <c r="AV1114" s="69">
        <v>2009.35</v>
      </c>
      <c r="BD1114" s="69"/>
      <c r="BE1114" s="69"/>
      <c r="CE1114" s="94">
        <f t="shared" si="115"/>
        <v>8339.43</v>
      </c>
      <c r="CF1114" s="73">
        <f t="shared" si="119"/>
        <v>0</v>
      </c>
      <c r="CG1114" s="75">
        <f t="shared" si="118"/>
        <v>7136</v>
      </c>
      <c r="CH1114" s="75" t="str">
        <f t="shared" si="118"/>
        <v>برنامج دولى</v>
      </c>
    </row>
    <row r="1115" spans="3:86" x14ac:dyDescent="0.25">
      <c r="C1115" s="82">
        <v>12230</v>
      </c>
      <c r="D1115" s="78">
        <v>7137</v>
      </c>
      <c r="E1115" s="107" t="s">
        <v>78</v>
      </c>
      <c r="F1115" s="69" t="s">
        <v>2572</v>
      </c>
      <c r="G1115" s="69"/>
      <c r="H1115" s="69">
        <v>46838.37</v>
      </c>
      <c r="U1115" s="69"/>
      <c r="V1115" s="69"/>
      <c r="AS1115" s="94">
        <f t="shared" si="116"/>
        <v>46838.37</v>
      </c>
      <c r="AT1115" s="69">
        <v>39487.480000000003</v>
      </c>
      <c r="AU1115" s="69">
        <v>4852.0600000000004</v>
      </c>
      <c r="AV1115" s="69">
        <v>2498.83</v>
      </c>
      <c r="BD1115" s="69"/>
      <c r="BE1115" s="69"/>
      <c r="CE1115" s="94">
        <f t="shared" si="115"/>
        <v>46838.37</v>
      </c>
      <c r="CF1115" s="73">
        <f t="shared" si="119"/>
        <v>0</v>
      </c>
      <c r="CG1115" s="75">
        <f t="shared" si="118"/>
        <v>7137</v>
      </c>
      <c r="CH1115" s="75" t="str">
        <f t="shared" si="118"/>
        <v>برنامج دولى</v>
      </c>
    </row>
    <row r="1116" spans="3:86" x14ac:dyDescent="0.25">
      <c r="C1116" s="82">
        <v>12233</v>
      </c>
      <c r="D1116" s="78">
        <v>7138</v>
      </c>
      <c r="E1116" s="107" t="s">
        <v>78</v>
      </c>
      <c r="F1116" s="69" t="s">
        <v>2572</v>
      </c>
      <c r="G1116" s="69"/>
      <c r="H1116" s="69">
        <v>1562.5</v>
      </c>
      <c r="U1116" s="69"/>
      <c r="V1116" s="69"/>
      <c r="AS1116" s="94">
        <f t="shared" si="116"/>
        <v>1562.5</v>
      </c>
      <c r="AT1116" s="69">
        <v>1394.9</v>
      </c>
      <c r="AU1116" s="69">
        <v>167.6</v>
      </c>
      <c r="BD1116" s="69"/>
      <c r="BE1116" s="69"/>
      <c r="CE1116" s="94">
        <f t="shared" si="115"/>
        <v>1562.5</v>
      </c>
      <c r="CF1116" s="73">
        <f t="shared" si="119"/>
        <v>0</v>
      </c>
      <c r="CG1116" s="75">
        <f t="shared" si="118"/>
        <v>7138</v>
      </c>
      <c r="CH1116" s="75" t="str">
        <f t="shared" si="118"/>
        <v>برنامج دولى</v>
      </c>
    </row>
    <row r="1117" spans="3:86" x14ac:dyDescent="0.25">
      <c r="C1117" s="82">
        <v>12232</v>
      </c>
      <c r="D1117" s="78">
        <v>7139</v>
      </c>
      <c r="E1117" s="107" t="s">
        <v>78</v>
      </c>
      <c r="F1117" s="69" t="s">
        <v>2572</v>
      </c>
      <c r="G1117" s="69"/>
      <c r="H1117" s="69">
        <v>1637.85</v>
      </c>
      <c r="U1117" s="69"/>
      <c r="V1117" s="69"/>
      <c r="AS1117" s="94">
        <f t="shared" si="116"/>
        <v>1637.85</v>
      </c>
      <c r="AT1117" s="69">
        <v>1347.2</v>
      </c>
      <c r="AU1117" s="69">
        <v>167.25</v>
      </c>
      <c r="AV1117" s="69">
        <v>123.4</v>
      </c>
      <c r="BD1117" s="69"/>
      <c r="BE1117" s="69"/>
      <c r="CE1117" s="94">
        <f t="shared" si="115"/>
        <v>1637.8500000000001</v>
      </c>
      <c r="CF1117" s="73">
        <f t="shared" si="119"/>
        <v>0</v>
      </c>
      <c r="CG1117" s="75">
        <f t="shared" si="118"/>
        <v>7139</v>
      </c>
      <c r="CH1117" s="75" t="str">
        <f t="shared" si="118"/>
        <v>برنامج دولى</v>
      </c>
    </row>
    <row r="1118" spans="3:86" x14ac:dyDescent="0.25">
      <c r="C1118" s="82">
        <v>12225</v>
      </c>
      <c r="D1118" s="78">
        <v>7140</v>
      </c>
      <c r="E1118" s="107" t="s">
        <v>78</v>
      </c>
      <c r="F1118" s="69" t="s">
        <v>2573</v>
      </c>
      <c r="G1118" s="69"/>
      <c r="H1118" s="69">
        <v>450</v>
      </c>
      <c r="U1118" s="69"/>
      <c r="V1118" s="69"/>
      <c r="AS1118" s="94">
        <f t="shared" si="116"/>
        <v>450</v>
      </c>
      <c r="AT1118" s="69">
        <v>402.4</v>
      </c>
      <c r="AU1118" s="69">
        <v>47.6</v>
      </c>
      <c r="BD1118" s="69"/>
      <c r="BE1118" s="69"/>
      <c r="CE1118" s="94">
        <f t="shared" si="115"/>
        <v>450</v>
      </c>
      <c r="CF1118" s="73">
        <f t="shared" si="119"/>
        <v>0</v>
      </c>
      <c r="CG1118" s="75">
        <f t="shared" si="118"/>
        <v>7140</v>
      </c>
      <c r="CH1118" s="75" t="str">
        <f t="shared" si="118"/>
        <v>برنامج دولى</v>
      </c>
    </row>
    <row r="1119" spans="3:86" x14ac:dyDescent="0.25">
      <c r="C1119" s="82">
        <v>12223</v>
      </c>
      <c r="D1119" s="78">
        <v>7141</v>
      </c>
      <c r="E1119" s="107" t="s">
        <v>78</v>
      </c>
      <c r="F1119" s="69" t="s">
        <v>2574</v>
      </c>
      <c r="G1119" s="69"/>
      <c r="H1119" s="69">
        <v>600</v>
      </c>
      <c r="U1119" s="69"/>
      <c r="V1119" s="69"/>
      <c r="AS1119" s="94">
        <f t="shared" si="116"/>
        <v>600</v>
      </c>
      <c r="AT1119" s="69">
        <v>536.15</v>
      </c>
      <c r="AU1119" s="69">
        <v>63.85</v>
      </c>
      <c r="BD1119" s="69"/>
      <c r="BE1119" s="69"/>
      <c r="CE1119" s="94">
        <f t="shared" si="115"/>
        <v>600</v>
      </c>
      <c r="CF1119" s="73">
        <f t="shared" si="119"/>
        <v>0</v>
      </c>
      <c r="CG1119" s="75">
        <f t="shared" si="118"/>
        <v>7141</v>
      </c>
      <c r="CH1119" s="75" t="str">
        <f t="shared" si="118"/>
        <v>برنامج دولى</v>
      </c>
    </row>
    <row r="1120" spans="3:86" x14ac:dyDescent="0.25">
      <c r="C1120" s="82">
        <v>12224</v>
      </c>
      <c r="D1120" s="78">
        <v>7142</v>
      </c>
      <c r="E1120" s="107" t="s">
        <v>78</v>
      </c>
      <c r="F1120" s="69" t="s">
        <v>2574</v>
      </c>
      <c r="G1120" s="69"/>
      <c r="H1120" s="69">
        <v>1450</v>
      </c>
      <c r="U1120" s="69"/>
      <c r="V1120" s="69"/>
      <c r="AS1120" s="94">
        <f t="shared" si="116"/>
        <v>1450</v>
      </c>
      <c r="AT1120" s="69">
        <v>1295.55</v>
      </c>
      <c r="AU1120" s="69">
        <v>154.44999999999999</v>
      </c>
      <c r="BD1120" s="69"/>
      <c r="BE1120" s="69"/>
      <c r="CE1120" s="94">
        <f t="shared" si="115"/>
        <v>1450</v>
      </c>
      <c r="CF1120" s="73">
        <f t="shared" si="119"/>
        <v>0</v>
      </c>
      <c r="CG1120" s="75">
        <f t="shared" si="118"/>
        <v>7142</v>
      </c>
      <c r="CH1120" s="75" t="str">
        <f t="shared" si="118"/>
        <v>برنامج دولى</v>
      </c>
    </row>
    <row r="1121" spans="3:86" x14ac:dyDescent="0.25">
      <c r="C1121" s="82">
        <v>12222</v>
      </c>
      <c r="D1121" s="78">
        <v>7143</v>
      </c>
      <c r="E1121" s="107" t="s">
        <v>78</v>
      </c>
      <c r="F1121" s="69" t="s">
        <v>655</v>
      </c>
      <c r="G1121" s="69"/>
      <c r="H1121" s="69">
        <v>11845.58</v>
      </c>
      <c r="U1121" s="69"/>
      <c r="V1121" s="69"/>
      <c r="AS1121" s="94">
        <f t="shared" si="116"/>
        <v>11845.58</v>
      </c>
      <c r="AT1121" s="69">
        <v>9894.31</v>
      </c>
      <c r="AU1121" s="69">
        <v>1221.55</v>
      </c>
      <c r="AV1121" s="69">
        <v>729.72</v>
      </c>
      <c r="BD1121" s="69"/>
      <c r="BE1121" s="69"/>
      <c r="CE1121" s="94">
        <f t="shared" si="115"/>
        <v>11845.579999999998</v>
      </c>
      <c r="CF1121" s="73">
        <f t="shared" si="119"/>
        <v>0</v>
      </c>
      <c r="CG1121" s="75">
        <f t="shared" si="118"/>
        <v>7143</v>
      </c>
      <c r="CH1121" s="75" t="str">
        <f t="shared" si="118"/>
        <v>برنامج دولى</v>
      </c>
    </row>
    <row r="1122" spans="3:86" x14ac:dyDescent="0.25">
      <c r="C1122" s="82">
        <v>12221</v>
      </c>
      <c r="D1122" s="78">
        <v>7144</v>
      </c>
      <c r="E1122" s="107" t="s">
        <v>78</v>
      </c>
      <c r="F1122" s="69" t="s">
        <v>1515</v>
      </c>
      <c r="G1122" s="69"/>
      <c r="H1122" s="69">
        <v>17810.41</v>
      </c>
      <c r="U1122" s="69"/>
      <c r="V1122" s="69"/>
      <c r="AS1122" s="94">
        <f t="shared" si="116"/>
        <v>17810.41</v>
      </c>
      <c r="AT1122" s="69">
        <v>15424.77</v>
      </c>
      <c r="AU1122" s="69">
        <v>1877.3</v>
      </c>
      <c r="AV1122" s="69">
        <v>508.34</v>
      </c>
      <c r="BD1122" s="69"/>
      <c r="BE1122" s="69"/>
      <c r="CE1122" s="94">
        <f t="shared" si="115"/>
        <v>17810.41</v>
      </c>
      <c r="CF1122" s="73">
        <f t="shared" si="119"/>
        <v>0</v>
      </c>
      <c r="CG1122" s="75">
        <f t="shared" si="118"/>
        <v>7144</v>
      </c>
      <c r="CH1122" s="75" t="str">
        <f t="shared" si="118"/>
        <v>برنامج دولى</v>
      </c>
    </row>
    <row r="1123" spans="3:86" x14ac:dyDescent="0.25">
      <c r="C1123" s="82">
        <v>12219</v>
      </c>
      <c r="D1123" s="78">
        <v>7145</v>
      </c>
      <c r="E1123" s="107" t="s">
        <v>78</v>
      </c>
      <c r="F1123" s="69" t="s">
        <v>1517</v>
      </c>
      <c r="G1123" s="69"/>
      <c r="H1123" s="69">
        <v>1097.73</v>
      </c>
      <c r="U1123" s="69"/>
      <c r="V1123" s="69"/>
      <c r="AS1123" s="94">
        <f t="shared" si="116"/>
        <v>1097.73</v>
      </c>
      <c r="AT1123" s="69">
        <v>831.42</v>
      </c>
      <c r="AU1123" s="69">
        <v>106.25</v>
      </c>
      <c r="AV1123" s="69">
        <v>160.06</v>
      </c>
      <c r="BD1123" s="69"/>
      <c r="BE1123" s="69"/>
      <c r="CE1123" s="94">
        <f t="shared" si="115"/>
        <v>1097.73</v>
      </c>
      <c r="CF1123" s="73">
        <f t="shared" si="119"/>
        <v>0</v>
      </c>
      <c r="CG1123" s="75">
        <f t="shared" si="118"/>
        <v>7145</v>
      </c>
      <c r="CH1123" s="75" t="str">
        <f t="shared" si="118"/>
        <v>برنامج دولى</v>
      </c>
    </row>
    <row r="1124" spans="3:86" x14ac:dyDescent="0.25">
      <c r="C1124" s="82">
        <v>12220</v>
      </c>
      <c r="D1124" s="78">
        <v>7146</v>
      </c>
      <c r="E1124" s="107" t="s">
        <v>78</v>
      </c>
      <c r="F1124" s="69" t="s">
        <v>1517</v>
      </c>
      <c r="G1124" s="69"/>
      <c r="H1124" s="69">
        <v>20776.25</v>
      </c>
      <c r="U1124" s="69"/>
      <c r="V1124" s="69"/>
      <c r="AS1124" s="94">
        <f t="shared" si="116"/>
        <v>20776.25</v>
      </c>
      <c r="AT1124" s="69">
        <v>17363.849999999999</v>
      </c>
      <c r="AU1124" s="69">
        <v>2141.15</v>
      </c>
      <c r="AV1124" s="69">
        <v>1271.25</v>
      </c>
      <c r="BD1124" s="69"/>
      <c r="BE1124" s="69"/>
      <c r="CE1124" s="94">
        <f t="shared" si="115"/>
        <v>20776.25</v>
      </c>
      <c r="CF1124" s="73">
        <f t="shared" si="119"/>
        <v>0</v>
      </c>
      <c r="CG1124" s="75">
        <f t="shared" si="118"/>
        <v>7146</v>
      </c>
      <c r="CH1124" s="75" t="str">
        <f t="shared" si="118"/>
        <v>برنامج دولى</v>
      </c>
    </row>
    <row r="1125" spans="3:86" x14ac:dyDescent="0.25">
      <c r="C1125" s="82">
        <v>12217</v>
      </c>
      <c r="D1125" s="78">
        <v>7147</v>
      </c>
      <c r="E1125" s="107" t="s">
        <v>78</v>
      </c>
      <c r="F1125" s="69" t="s">
        <v>798</v>
      </c>
      <c r="G1125" s="69"/>
      <c r="H1125" s="69">
        <v>234.5</v>
      </c>
      <c r="U1125" s="69"/>
      <c r="V1125" s="69"/>
      <c r="AS1125" s="94">
        <f t="shared" si="116"/>
        <v>234.5</v>
      </c>
      <c r="AT1125" s="69">
        <v>157.19999999999999</v>
      </c>
      <c r="AU1125" s="69">
        <v>20.8</v>
      </c>
      <c r="AV1125" s="69">
        <v>56.5</v>
      </c>
      <c r="BD1125" s="69"/>
      <c r="BE1125" s="69"/>
      <c r="CE1125" s="94">
        <f t="shared" si="115"/>
        <v>234.5</v>
      </c>
      <c r="CF1125" s="73">
        <f t="shared" si="119"/>
        <v>0</v>
      </c>
      <c r="CG1125" s="75">
        <f t="shared" si="118"/>
        <v>7147</v>
      </c>
      <c r="CH1125" s="75" t="str">
        <f t="shared" si="118"/>
        <v>برنامج دولى</v>
      </c>
    </row>
    <row r="1126" spans="3:86" x14ac:dyDescent="0.25">
      <c r="C1126" s="82">
        <v>12216</v>
      </c>
      <c r="D1126" s="78">
        <v>7148</v>
      </c>
      <c r="E1126" s="107" t="s">
        <v>78</v>
      </c>
      <c r="F1126" s="69" t="s">
        <v>798</v>
      </c>
      <c r="G1126" s="69"/>
      <c r="H1126" s="69">
        <v>351.75</v>
      </c>
      <c r="U1126" s="69"/>
      <c r="V1126" s="69"/>
      <c r="AS1126" s="94">
        <f t="shared" si="116"/>
        <v>351.75</v>
      </c>
      <c r="AT1126" s="69">
        <v>235.55</v>
      </c>
      <c r="AU1126" s="69">
        <v>31.45</v>
      </c>
      <c r="AV1126" s="69">
        <v>84.75</v>
      </c>
      <c r="BD1126" s="69"/>
      <c r="BE1126" s="69"/>
      <c r="CE1126" s="94">
        <f t="shared" si="115"/>
        <v>351.75</v>
      </c>
      <c r="CF1126" s="73">
        <f t="shared" si="119"/>
        <v>0</v>
      </c>
      <c r="CG1126" s="75">
        <f t="shared" si="118"/>
        <v>7148</v>
      </c>
      <c r="CH1126" s="75" t="str">
        <f t="shared" si="118"/>
        <v>برنامج دولى</v>
      </c>
    </row>
    <row r="1127" spans="3:86" x14ac:dyDescent="0.25">
      <c r="C1127" s="82">
        <v>12218</v>
      </c>
      <c r="D1127" s="78">
        <v>7149</v>
      </c>
      <c r="E1127" s="107" t="s">
        <v>78</v>
      </c>
      <c r="F1127" s="69" t="s">
        <v>798</v>
      </c>
      <c r="G1127" s="69"/>
      <c r="H1127" s="69">
        <v>7890.05</v>
      </c>
      <c r="U1127" s="69"/>
      <c r="V1127" s="69"/>
      <c r="AS1127" s="94">
        <f t="shared" si="116"/>
        <v>7890.05</v>
      </c>
      <c r="AT1127" s="69">
        <v>6198.08</v>
      </c>
      <c r="AU1127" s="69">
        <v>766.6</v>
      </c>
      <c r="AV1127" s="69">
        <v>925.37</v>
      </c>
      <c r="BD1127" s="69"/>
      <c r="BE1127" s="69"/>
      <c r="CE1127" s="94">
        <f t="shared" ref="CE1127:CE1168" si="120">SUM(AT1127:CD1127)</f>
        <v>7890.05</v>
      </c>
      <c r="CF1127" s="73">
        <f t="shared" si="119"/>
        <v>0</v>
      </c>
      <c r="CG1127" s="75">
        <f t="shared" si="118"/>
        <v>7149</v>
      </c>
      <c r="CH1127" s="75" t="str">
        <f t="shared" si="118"/>
        <v>برنامج دولى</v>
      </c>
    </row>
    <row r="1128" spans="3:86" x14ac:dyDescent="0.25">
      <c r="C1128" s="82">
        <v>12108</v>
      </c>
      <c r="D1128" s="78">
        <v>7150</v>
      </c>
      <c r="E1128" s="107" t="s">
        <v>78</v>
      </c>
      <c r="F1128" s="69" t="s">
        <v>2575</v>
      </c>
      <c r="G1128" s="69"/>
      <c r="H1128" s="69">
        <v>89677.21</v>
      </c>
      <c r="U1128" s="69"/>
      <c r="V1128" s="69"/>
      <c r="AS1128" s="94">
        <f t="shared" si="116"/>
        <v>89677.21</v>
      </c>
      <c r="AT1128" s="69">
        <v>60328.46</v>
      </c>
      <c r="AU1128" s="69">
        <v>8178.1</v>
      </c>
      <c r="AV1128" s="69">
        <v>21170.65</v>
      </c>
      <c r="BD1128" s="69"/>
      <c r="BE1128" s="69"/>
      <c r="CE1128" s="94">
        <f t="shared" si="120"/>
        <v>89677.209999999992</v>
      </c>
      <c r="CF1128" s="73">
        <f t="shared" si="119"/>
        <v>0</v>
      </c>
      <c r="CG1128" s="75">
        <f t="shared" si="118"/>
        <v>7150</v>
      </c>
      <c r="CH1128" s="75" t="str">
        <f t="shared" si="118"/>
        <v>برنامج دولى</v>
      </c>
    </row>
    <row r="1129" spans="3:86" x14ac:dyDescent="0.25">
      <c r="C1129" s="82">
        <v>12109</v>
      </c>
      <c r="D1129" s="78">
        <v>7151</v>
      </c>
      <c r="E1129" s="107" t="s">
        <v>78</v>
      </c>
      <c r="F1129" s="69" t="s">
        <v>2575</v>
      </c>
      <c r="G1129" s="69"/>
      <c r="H1129" s="69">
        <v>10552.5</v>
      </c>
      <c r="U1129" s="69"/>
      <c r="V1129" s="69"/>
      <c r="AS1129" s="94">
        <f t="shared" si="116"/>
        <v>10552.5</v>
      </c>
      <c r="AT1129" s="69">
        <v>7043.61</v>
      </c>
      <c r="AU1129" s="69">
        <f>900+66.39</f>
        <v>966.39</v>
      </c>
      <c r="AV1129" s="69">
        <v>2542.5</v>
      </c>
      <c r="BD1129" s="69"/>
      <c r="BE1129" s="69"/>
      <c r="CE1129" s="94">
        <f t="shared" si="120"/>
        <v>10552.5</v>
      </c>
      <c r="CF1129" s="73">
        <f t="shared" si="119"/>
        <v>0</v>
      </c>
      <c r="CG1129" s="75">
        <f t="shared" si="118"/>
        <v>7151</v>
      </c>
      <c r="CH1129" s="75" t="str">
        <f t="shared" si="118"/>
        <v>برنامج دولى</v>
      </c>
    </row>
    <row r="1130" spans="3:86" x14ac:dyDescent="0.25">
      <c r="C1130" s="82">
        <v>12110</v>
      </c>
      <c r="D1130" s="78">
        <v>7152</v>
      </c>
      <c r="E1130" s="107" t="s">
        <v>78</v>
      </c>
      <c r="F1130" s="69" t="s">
        <v>2575</v>
      </c>
      <c r="G1130" s="69"/>
      <c r="H1130" s="69">
        <v>3517.5</v>
      </c>
      <c r="U1130" s="69"/>
      <c r="V1130" s="69"/>
      <c r="AS1130" s="94">
        <f t="shared" si="116"/>
        <v>3517.5</v>
      </c>
      <c r="AT1130" s="69">
        <v>2350.35</v>
      </c>
      <c r="AU1130" s="69">
        <v>319.64999999999998</v>
      </c>
      <c r="AV1130" s="69">
        <v>847.5</v>
      </c>
      <c r="BD1130" s="69"/>
      <c r="BE1130" s="69"/>
      <c r="CE1130" s="94">
        <f t="shared" si="120"/>
        <v>3517.5</v>
      </c>
      <c r="CF1130" s="73">
        <f t="shared" si="119"/>
        <v>0</v>
      </c>
      <c r="CG1130" s="75">
        <f t="shared" si="118"/>
        <v>7152</v>
      </c>
      <c r="CH1130" s="75" t="str">
        <f t="shared" si="118"/>
        <v>برنامج دولى</v>
      </c>
    </row>
    <row r="1131" spans="3:86" x14ac:dyDescent="0.25">
      <c r="C1131" s="82">
        <v>12111</v>
      </c>
      <c r="D1131" s="78">
        <v>7153</v>
      </c>
      <c r="E1131" s="107" t="s">
        <v>78</v>
      </c>
      <c r="F1131" s="69" t="s">
        <v>2575</v>
      </c>
      <c r="G1131" s="69"/>
      <c r="H1131" s="69">
        <v>3517.5</v>
      </c>
      <c r="U1131" s="69"/>
      <c r="V1131" s="69"/>
      <c r="AS1131" s="94">
        <f t="shared" si="116"/>
        <v>3517.5</v>
      </c>
      <c r="AT1131" s="69">
        <v>2350.35</v>
      </c>
      <c r="AU1131" s="69">
        <v>319.64999999999998</v>
      </c>
      <c r="AV1131" s="69">
        <v>847.5</v>
      </c>
      <c r="BD1131" s="69"/>
      <c r="BE1131" s="69"/>
      <c r="CE1131" s="94">
        <f t="shared" si="120"/>
        <v>3517.5</v>
      </c>
      <c r="CF1131" s="73">
        <f t="shared" si="119"/>
        <v>0</v>
      </c>
      <c r="CG1131" s="75">
        <f t="shared" si="118"/>
        <v>7153</v>
      </c>
      <c r="CH1131" s="75" t="str">
        <f t="shared" si="118"/>
        <v>برنامج دولى</v>
      </c>
    </row>
    <row r="1132" spans="3:86" x14ac:dyDescent="0.25">
      <c r="C1132" s="82">
        <v>12112</v>
      </c>
      <c r="D1132" s="78">
        <v>7154</v>
      </c>
      <c r="E1132" s="107" t="s">
        <v>78</v>
      </c>
      <c r="F1132" s="69" t="s">
        <v>2575</v>
      </c>
      <c r="G1132" s="69"/>
      <c r="H1132" s="69">
        <v>5276.25</v>
      </c>
      <c r="U1132" s="69"/>
      <c r="V1132" s="69"/>
      <c r="AS1132" s="94">
        <f t="shared" si="116"/>
        <v>5276.25</v>
      </c>
      <c r="AT1132" s="69">
        <v>3526.05</v>
      </c>
      <c r="AU1132" s="69">
        <v>478.95</v>
      </c>
      <c r="AV1132" s="69">
        <v>1271.25</v>
      </c>
      <c r="BD1132" s="69"/>
      <c r="BE1132" s="69"/>
      <c r="CE1132" s="94">
        <f t="shared" si="120"/>
        <v>5276.25</v>
      </c>
      <c r="CF1132" s="73">
        <f t="shared" si="119"/>
        <v>0</v>
      </c>
      <c r="CG1132" s="75">
        <f t="shared" si="118"/>
        <v>7154</v>
      </c>
      <c r="CH1132" s="75" t="str">
        <f t="shared" si="118"/>
        <v>برنامج دولى</v>
      </c>
    </row>
    <row r="1133" spans="3:86" x14ac:dyDescent="0.25">
      <c r="C1133" s="82">
        <v>12114</v>
      </c>
      <c r="D1133" s="78">
        <v>7155</v>
      </c>
      <c r="E1133" s="107" t="s">
        <v>78</v>
      </c>
      <c r="F1133" s="69" t="s">
        <v>2575</v>
      </c>
      <c r="G1133" s="69"/>
      <c r="H1133" s="69">
        <v>6000</v>
      </c>
      <c r="U1133" s="69"/>
      <c r="V1133" s="69"/>
      <c r="AS1133" s="94">
        <f t="shared" si="116"/>
        <v>6000</v>
      </c>
      <c r="AT1133" s="69">
        <v>5355.7</v>
      </c>
      <c r="AU1133" s="69">
        <v>644.29999999999995</v>
      </c>
      <c r="BD1133" s="69"/>
      <c r="BE1133" s="69"/>
      <c r="CE1133" s="94">
        <f t="shared" si="120"/>
        <v>6000</v>
      </c>
      <c r="CF1133" s="73">
        <f t="shared" si="119"/>
        <v>0</v>
      </c>
      <c r="CG1133" s="75">
        <f t="shared" si="118"/>
        <v>7155</v>
      </c>
      <c r="CH1133" s="75" t="str">
        <f t="shared" si="118"/>
        <v>برنامج دولى</v>
      </c>
    </row>
    <row r="1134" spans="3:86" x14ac:dyDescent="0.25">
      <c r="C1134" s="82">
        <v>12113</v>
      </c>
      <c r="D1134" s="78">
        <v>7156</v>
      </c>
      <c r="E1134" s="107" t="s">
        <v>78</v>
      </c>
      <c r="F1134" s="69" t="s">
        <v>2575</v>
      </c>
      <c r="G1134" s="69"/>
      <c r="H1134" s="69">
        <v>28670.25</v>
      </c>
      <c r="U1134" s="69"/>
      <c r="V1134" s="69"/>
      <c r="AS1134" s="94">
        <f t="shared" si="116"/>
        <v>28670.25</v>
      </c>
      <c r="AT1134" s="69">
        <v>19708.27</v>
      </c>
      <c r="AU1134" s="69">
        <v>2643.4</v>
      </c>
      <c r="AV1134" s="69">
        <v>6318.58</v>
      </c>
      <c r="BD1134" s="69"/>
      <c r="BE1134" s="69"/>
      <c r="CE1134" s="94">
        <f t="shared" si="120"/>
        <v>28670.25</v>
      </c>
      <c r="CF1134" s="73">
        <f t="shared" si="119"/>
        <v>0</v>
      </c>
      <c r="CG1134" s="75">
        <f t="shared" si="118"/>
        <v>7156</v>
      </c>
      <c r="CH1134" s="75" t="str">
        <f t="shared" si="118"/>
        <v>برنامج دولى</v>
      </c>
    </row>
    <row r="1135" spans="3:86" x14ac:dyDescent="0.25">
      <c r="C1135" s="82">
        <v>12115</v>
      </c>
      <c r="D1135" s="78">
        <v>7157</v>
      </c>
      <c r="E1135" s="107" t="s">
        <v>78</v>
      </c>
      <c r="F1135" s="69" t="s">
        <v>2575</v>
      </c>
      <c r="G1135" s="69"/>
      <c r="H1135" s="69">
        <v>3517.5</v>
      </c>
      <c r="U1135" s="69"/>
      <c r="V1135" s="69"/>
      <c r="AS1135" s="94">
        <f t="shared" si="116"/>
        <v>3517.5</v>
      </c>
      <c r="AT1135" s="69">
        <v>2350.35</v>
      </c>
      <c r="AU1135" s="69">
        <v>319.64999999999998</v>
      </c>
      <c r="AV1135" s="69">
        <v>847.5</v>
      </c>
      <c r="BD1135" s="69"/>
      <c r="BE1135" s="69"/>
      <c r="CE1135" s="94">
        <f t="shared" si="120"/>
        <v>3517.5</v>
      </c>
      <c r="CF1135" s="73">
        <f t="shared" si="119"/>
        <v>0</v>
      </c>
      <c r="CG1135" s="75">
        <f t="shared" si="118"/>
        <v>7157</v>
      </c>
      <c r="CH1135" s="75" t="str">
        <f t="shared" si="118"/>
        <v>برنامج دولى</v>
      </c>
    </row>
    <row r="1136" spans="3:86" x14ac:dyDescent="0.25">
      <c r="C1136" s="82">
        <v>12116</v>
      </c>
      <c r="D1136" s="78">
        <v>7158</v>
      </c>
      <c r="E1136" s="107" t="s">
        <v>78</v>
      </c>
      <c r="F1136" s="69" t="s">
        <v>2575</v>
      </c>
      <c r="G1136" s="69"/>
      <c r="H1136" s="69">
        <v>41709.370000000003</v>
      </c>
      <c r="U1136" s="69"/>
      <c r="V1136" s="69"/>
      <c r="AS1136" s="94">
        <f t="shared" si="116"/>
        <v>41709.370000000003</v>
      </c>
      <c r="AT1136" s="69">
        <v>29663.75</v>
      </c>
      <c r="AU1136" s="69">
        <v>3923.75</v>
      </c>
      <c r="AV1136" s="69">
        <v>8121.87</v>
      </c>
      <c r="BD1136" s="69"/>
      <c r="BE1136" s="69"/>
      <c r="CE1136" s="94">
        <f t="shared" si="120"/>
        <v>41709.370000000003</v>
      </c>
      <c r="CF1136" s="73">
        <f t="shared" si="119"/>
        <v>0</v>
      </c>
      <c r="CG1136" s="75">
        <f t="shared" ref="CG1136:CH1177" si="121">+D1136</f>
        <v>7158</v>
      </c>
      <c r="CH1136" s="75" t="str">
        <f t="shared" si="121"/>
        <v>برنامج دولى</v>
      </c>
    </row>
    <row r="1137" spans="3:86" x14ac:dyDescent="0.25">
      <c r="C1137" s="82">
        <v>12107</v>
      </c>
      <c r="D1137" s="78">
        <v>7159</v>
      </c>
      <c r="E1137" s="107" t="s">
        <v>78</v>
      </c>
      <c r="F1137" s="69" t="s">
        <v>2576</v>
      </c>
      <c r="G1137" s="69"/>
      <c r="H1137" s="69">
        <v>25200.16</v>
      </c>
      <c r="U1137" s="69"/>
      <c r="V1137" s="69"/>
      <c r="AS1137" s="94">
        <f t="shared" si="116"/>
        <v>25200.16</v>
      </c>
      <c r="AT1137" s="69">
        <v>21232.11</v>
      </c>
      <c r="AU1137" s="69">
        <v>2616.6999999999998</v>
      </c>
      <c r="AV1137" s="69">
        <v>1351.35</v>
      </c>
      <c r="BD1137" s="69"/>
      <c r="BE1137" s="69"/>
      <c r="CE1137" s="94">
        <f t="shared" si="120"/>
        <v>25200.16</v>
      </c>
      <c r="CF1137" s="73">
        <f t="shared" si="119"/>
        <v>0</v>
      </c>
      <c r="CG1137" s="75">
        <f t="shared" si="121"/>
        <v>7159</v>
      </c>
      <c r="CH1137" s="75" t="str">
        <f t="shared" si="121"/>
        <v>برنامج دولى</v>
      </c>
    </row>
    <row r="1138" spans="3:86" x14ac:dyDescent="0.25">
      <c r="C1138" s="82">
        <v>12106</v>
      </c>
      <c r="D1138" s="78">
        <v>7160</v>
      </c>
      <c r="E1138" s="107" t="s">
        <v>78</v>
      </c>
      <c r="F1138" s="69" t="s">
        <v>2577</v>
      </c>
      <c r="G1138" s="69"/>
      <c r="H1138" s="69">
        <v>24375</v>
      </c>
      <c r="U1138" s="69"/>
      <c r="V1138" s="69"/>
      <c r="AS1138" s="94">
        <f t="shared" si="116"/>
        <v>24375</v>
      </c>
      <c r="AT1138" s="69">
        <v>21743.7</v>
      </c>
      <c r="AU1138" s="69">
        <v>2631.3</v>
      </c>
      <c r="BD1138" s="69"/>
      <c r="BE1138" s="69"/>
      <c r="CE1138" s="94">
        <f t="shared" si="120"/>
        <v>24375</v>
      </c>
      <c r="CF1138" s="73">
        <f t="shared" si="119"/>
        <v>0</v>
      </c>
      <c r="CG1138" s="75">
        <f t="shared" si="121"/>
        <v>7160</v>
      </c>
      <c r="CH1138" s="75" t="str">
        <f t="shared" si="121"/>
        <v>برنامج دولى</v>
      </c>
    </row>
    <row r="1139" spans="3:86" x14ac:dyDescent="0.25">
      <c r="C1139" s="82">
        <v>12105</v>
      </c>
      <c r="D1139" s="78">
        <v>7161</v>
      </c>
      <c r="E1139" s="107" t="s">
        <v>78</v>
      </c>
      <c r="F1139" s="69" t="s">
        <v>2577</v>
      </c>
      <c r="G1139" s="69"/>
      <c r="H1139" s="69">
        <v>52377.440000000002</v>
      </c>
      <c r="U1139" s="69"/>
      <c r="V1139" s="69"/>
      <c r="AS1139" s="94">
        <f t="shared" si="116"/>
        <v>52377.440000000002</v>
      </c>
      <c r="AT1139" s="69">
        <v>46658.06</v>
      </c>
      <c r="AU1139" s="69">
        <v>5633.5</v>
      </c>
      <c r="AV1139" s="69">
        <v>85.88</v>
      </c>
      <c r="BD1139" s="69"/>
      <c r="BE1139" s="69"/>
      <c r="CE1139" s="94">
        <f t="shared" si="120"/>
        <v>52377.439999999995</v>
      </c>
      <c r="CF1139" s="73">
        <f t="shared" si="119"/>
        <v>0</v>
      </c>
      <c r="CG1139" s="75">
        <f t="shared" si="121"/>
        <v>7161</v>
      </c>
      <c r="CH1139" s="75" t="str">
        <f t="shared" si="121"/>
        <v>برنامج دولى</v>
      </c>
    </row>
    <row r="1140" spans="3:86" x14ac:dyDescent="0.25">
      <c r="C1140" s="82">
        <v>12104</v>
      </c>
      <c r="D1140" s="78">
        <v>7162</v>
      </c>
      <c r="E1140" s="107" t="s">
        <v>78</v>
      </c>
      <c r="F1140" s="69" t="s">
        <v>2577</v>
      </c>
      <c r="G1140" s="69"/>
      <c r="H1140" s="69">
        <v>26250</v>
      </c>
      <c r="U1140" s="69"/>
      <c r="V1140" s="69"/>
      <c r="AS1140" s="94">
        <f t="shared" si="116"/>
        <v>26250</v>
      </c>
      <c r="AT1140" s="69">
        <v>23422.45</v>
      </c>
      <c r="AU1140" s="69">
        <v>2827.55</v>
      </c>
      <c r="BD1140" s="69"/>
      <c r="BE1140" s="69"/>
      <c r="CE1140" s="94">
        <f t="shared" si="120"/>
        <v>26250</v>
      </c>
      <c r="CF1140" s="73">
        <f t="shared" si="119"/>
        <v>0</v>
      </c>
      <c r="CG1140" s="75">
        <f t="shared" si="121"/>
        <v>7162</v>
      </c>
      <c r="CH1140" s="75" t="str">
        <f t="shared" si="121"/>
        <v>برنامج دولى</v>
      </c>
    </row>
    <row r="1141" spans="3:86" x14ac:dyDescent="0.25">
      <c r="C1141" s="82">
        <v>12103</v>
      </c>
      <c r="D1141" s="78">
        <v>7163</v>
      </c>
      <c r="E1141" s="107" t="s">
        <v>78</v>
      </c>
      <c r="F1141" s="69" t="s">
        <v>2578</v>
      </c>
      <c r="G1141" s="69"/>
      <c r="H1141" s="69">
        <v>55621.71</v>
      </c>
      <c r="U1141" s="69"/>
      <c r="V1141" s="69"/>
      <c r="AS1141" s="94">
        <f t="shared" si="116"/>
        <v>55621.71</v>
      </c>
      <c r="AT1141" s="69">
        <v>37125.879999999997</v>
      </c>
      <c r="AU1141" s="69">
        <f>4743.84+350.55</f>
        <v>5094.3900000000003</v>
      </c>
      <c r="AV1141" s="69">
        <v>13401.44</v>
      </c>
      <c r="BD1141" s="69"/>
      <c r="BE1141" s="69"/>
      <c r="CE1141" s="94">
        <f t="shared" si="120"/>
        <v>55621.71</v>
      </c>
      <c r="CF1141" s="73">
        <f t="shared" si="119"/>
        <v>0</v>
      </c>
      <c r="CG1141" s="75">
        <f t="shared" si="121"/>
        <v>7163</v>
      </c>
      <c r="CH1141" s="75" t="str">
        <f t="shared" si="121"/>
        <v>برنامج دولى</v>
      </c>
    </row>
    <row r="1142" spans="3:86" x14ac:dyDescent="0.25">
      <c r="C1142" s="82">
        <v>12258</v>
      </c>
      <c r="D1142" s="78">
        <v>7164</v>
      </c>
      <c r="E1142" s="107" t="s">
        <v>78</v>
      </c>
      <c r="F1142" s="69" t="s">
        <v>2579</v>
      </c>
      <c r="G1142" s="69"/>
      <c r="H1142" s="69">
        <v>4103.75</v>
      </c>
      <c r="U1142" s="69"/>
      <c r="V1142" s="69"/>
      <c r="AS1142" s="94">
        <f t="shared" si="116"/>
        <v>4103.75</v>
      </c>
      <c r="AT1142" s="69">
        <v>2745.85</v>
      </c>
      <c r="AU1142" s="69">
        <f>350+19.15</f>
        <v>369.15</v>
      </c>
      <c r="AV1142" s="69">
        <v>988.75</v>
      </c>
      <c r="BD1142" s="69"/>
      <c r="BE1142" s="69"/>
      <c r="CE1142" s="94">
        <f t="shared" si="120"/>
        <v>4103.75</v>
      </c>
      <c r="CF1142" s="73">
        <f t="shared" si="119"/>
        <v>0</v>
      </c>
      <c r="CG1142" s="75">
        <f t="shared" si="121"/>
        <v>7164</v>
      </c>
      <c r="CH1142" s="75" t="str">
        <f t="shared" si="121"/>
        <v>برنامج دولى</v>
      </c>
    </row>
    <row r="1143" spans="3:86" x14ac:dyDescent="0.25">
      <c r="C1143" s="82">
        <v>12259</v>
      </c>
      <c r="D1143" s="78">
        <v>7165</v>
      </c>
      <c r="E1143" s="107" t="s">
        <v>78</v>
      </c>
      <c r="F1143" s="69" t="s">
        <v>2579</v>
      </c>
      <c r="G1143" s="69"/>
      <c r="H1143" s="69">
        <v>4103.75</v>
      </c>
      <c r="U1143" s="69"/>
      <c r="V1143" s="69"/>
      <c r="AS1143" s="94">
        <f t="shared" si="116"/>
        <v>4103.75</v>
      </c>
      <c r="AT1143" s="69">
        <v>2745.85</v>
      </c>
      <c r="AU1143" s="69">
        <f>350+19.15</f>
        <v>369.15</v>
      </c>
      <c r="AV1143" s="69">
        <v>988.75</v>
      </c>
      <c r="BD1143" s="69"/>
      <c r="BE1143" s="69"/>
      <c r="CE1143" s="94">
        <f t="shared" si="120"/>
        <v>4103.75</v>
      </c>
      <c r="CF1143" s="73">
        <f t="shared" si="119"/>
        <v>0</v>
      </c>
      <c r="CG1143" s="75">
        <f t="shared" si="121"/>
        <v>7165</v>
      </c>
      <c r="CH1143" s="75" t="str">
        <f t="shared" si="121"/>
        <v>برنامج دولى</v>
      </c>
    </row>
    <row r="1144" spans="3:86" x14ac:dyDescent="0.25">
      <c r="C1144" s="82">
        <v>12263</v>
      </c>
      <c r="D1144" s="78">
        <v>7166</v>
      </c>
      <c r="E1144" s="107" t="s">
        <v>78</v>
      </c>
      <c r="F1144" s="69" t="s">
        <v>2580</v>
      </c>
      <c r="G1144" s="69"/>
      <c r="H1144" s="69">
        <v>586.25</v>
      </c>
      <c r="U1144" s="69"/>
      <c r="V1144" s="69"/>
      <c r="AS1144" s="94">
        <f t="shared" si="116"/>
        <v>586.25</v>
      </c>
      <c r="AT1144" s="69">
        <v>392.4</v>
      </c>
      <c r="AU1144" s="69">
        <v>52.6</v>
      </c>
      <c r="AV1144" s="69">
        <v>141.25</v>
      </c>
      <c r="BD1144" s="69"/>
      <c r="BE1144" s="69"/>
      <c r="CE1144" s="94">
        <f t="shared" si="120"/>
        <v>586.25</v>
      </c>
      <c r="CF1144" s="73">
        <f t="shared" si="119"/>
        <v>0</v>
      </c>
      <c r="CG1144" s="75">
        <f t="shared" si="121"/>
        <v>7166</v>
      </c>
      <c r="CH1144" s="75" t="str">
        <f t="shared" si="121"/>
        <v>برنامج دولى</v>
      </c>
    </row>
    <row r="1145" spans="3:86" x14ac:dyDescent="0.25">
      <c r="C1145" s="82">
        <v>12262</v>
      </c>
      <c r="D1145" s="78">
        <v>7167</v>
      </c>
      <c r="E1145" s="107" t="s">
        <v>78</v>
      </c>
      <c r="F1145" s="69" t="s">
        <v>2580</v>
      </c>
      <c r="G1145" s="69"/>
      <c r="H1145" s="69">
        <v>3517.5</v>
      </c>
      <c r="U1145" s="69"/>
      <c r="V1145" s="69"/>
      <c r="AS1145" s="94">
        <f t="shared" si="116"/>
        <v>3517.5</v>
      </c>
      <c r="AT1145" s="69">
        <v>2350.6999999999998</v>
      </c>
      <c r="AU1145" s="69">
        <v>319.3</v>
      </c>
      <c r="AV1145" s="69">
        <v>847.5</v>
      </c>
      <c r="BD1145" s="69"/>
      <c r="BE1145" s="69"/>
      <c r="CE1145" s="94">
        <f t="shared" si="120"/>
        <v>3517.5</v>
      </c>
      <c r="CF1145" s="73">
        <f t="shared" si="119"/>
        <v>0</v>
      </c>
      <c r="CG1145" s="75">
        <f t="shared" si="121"/>
        <v>7167</v>
      </c>
      <c r="CH1145" s="75" t="str">
        <f t="shared" si="121"/>
        <v>برنامج دولى</v>
      </c>
    </row>
    <row r="1146" spans="3:86" x14ac:dyDescent="0.25">
      <c r="C1146" s="82">
        <v>12261</v>
      </c>
      <c r="D1146" s="78">
        <v>7168</v>
      </c>
      <c r="E1146" s="107" t="s">
        <v>78</v>
      </c>
      <c r="F1146" s="69" t="s">
        <v>2580</v>
      </c>
      <c r="G1146" s="69"/>
      <c r="H1146" s="69">
        <v>1758.75</v>
      </c>
      <c r="U1146" s="69"/>
      <c r="V1146" s="69"/>
      <c r="AS1146" s="94">
        <f t="shared" si="116"/>
        <v>1758.75</v>
      </c>
      <c r="AT1146" s="69">
        <v>1175.3499999999999</v>
      </c>
      <c r="AU1146" s="69">
        <v>159.65</v>
      </c>
      <c r="AV1146" s="69">
        <v>423.75</v>
      </c>
      <c r="BD1146" s="69"/>
      <c r="BE1146" s="69"/>
      <c r="CE1146" s="94">
        <f t="shared" si="120"/>
        <v>1758.75</v>
      </c>
      <c r="CF1146" s="73">
        <f t="shared" si="119"/>
        <v>0</v>
      </c>
      <c r="CG1146" s="75">
        <f t="shared" si="121"/>
        <v>7168</v>
      </c>
      <c r="CH1146" s="75" t="str">
        <f t="shared" si="121"/>
        <v>برنامج دولى</v>
      </c>
    </row>
    <row r="1147" spans="3:86" x14ac:dyDescent="0.25">
      <c r="C1147" s="82">
        <v>12260</v>
      </c>
      <c r="D1147" s="78">
        <v>7169</v>
      </c>
      <c r="E1147" s="107" t="s">
        <v>78</v>
      </c>
      <c r="F1147" s="69" t="str">
        <f>+F1143</f>
        <v>جهود امتحانات الكترونيه</v>
      </c>
      <c r="G1147" s="69"/>
      <c r="H1147" s="69">
        <v>4103.75</v>
      </c>
      <c r="U1147" s="69"/>
      <c r="V1147" s="69"/>
      <c r="AS1147" s="94">
        <f t="shared" si="116"/>
        <v>4103.75</v>
      </c>
      <c r="AT1147" s="69">
        <v>2745.85</v>
      </c>
      <c r="AU1147" s="69">
        <f>350+19.15</f>
        <v>369.15</v>
      </c>
      <c r="AV1147" s="69">
        <v>988.75</v>
      </c>
      <c r="BD1147" s="69"/>
      <c r="BE1147" s="69"/>
      <c r="CE1147" s="94">
        <f t="shared" si="120"/>
        <v>4103.75</v>
      </c>
      <c r="CF1147" s="73">
        <f t="shared" si="119"/>
        <v>0</v>
      </c>
      <c r="CG1147" s="75">
        <f t="shared" si="121"/>
        <v>7169</v>
      </c>
      <c r="CH1147" s="75" t="str">
        <f t="shared" si="121"/>
        <v>برنامج دولى</v>
      </c>
    </row>
    <row r="1148" spans="3:86" x14ac:dyDescent="0.25">
      <c r="C1148" s="82">
        <v>12120</v>
      </c>
      <c r="D1148" s="78">
        <v>7170</v>
      </c>
      <c r="E1148" s="102" t="s">
        <v>128</v>
      </c>
      <c r="F1148" s="69" t="s">
        <v>2581</v>
      </c>
      <c r="G1148" s="69"/>
      <c r="H1148" s="69">
        <v>33131.699999999997</v>
      </c>
      <c r="U1148" s="69"/>
      <c r="V1148" s="69"/>
      <c r="AS1148" s="94">
        <f t="shared" si="116"/>
        <v>33131.699999999997</v>
      </c>
      <c r="AT1148" s="69">
        <v>22006.62</v>
      </c>
      <c r="AU1148" s="69">
        <v>2999.4</v>
      </c>
      <c r="AV1148" s="69">
        <v>8125.68</v>
      </c>
      <c r="BD1148" s="69"/>
      <c r="BE1148" s="69"/>
      <c r="CE1148" s="94">
        <f t="shared" si="120"/>
        <v>33131.699999999997</v>
      </c>
      <c r="CF1148" s="73">
        <f t="shared" si="119"/>
        <v>0</v>
      </c>
      <c r="CG1148" s="75">
        <f t="shared" si="121"/>
        <v>7170</v>
      </c>
      <c r="CH1148" s="75" t="str">
        <f t="shared" si="121"/>
        <v>مركز مؤتمرات</v>
      </c>
    </row>
    <row r="1149" spans="3:86" x14ac:dyDescent="0.25">
      <c r="C1149" s="82">
        <v>12119</v>
      </c>
      <c r="D1149" s="78">
        <v>7171</v>
      </c>
      <c r="E1149" s="102" t="s">
        <v>128</v>
      </c>
      <c r="F1149" s="69" t="s">
        <v>2581</v>
      </c>
      <c r="G1149" s="69"/>
      <c r="H1149" s="69">
        <v>4352.8999999999996</v>
      </c>
      <c r="U1149" s="69"/>
      <c r="V1149" s="69"/>
      <c r="AS1149" s="94">
        <f t="shared" si="116"/>
        <v>4352.8999999999996</v>
      </c>
      <c r="AT1149" s="69">
        <v>2908.81</v>
      </c>
      <c r="AU1149" s="69">
        <v>395.3</v>
      </c>
      <c r="AV1149" s="69">
        <v>1048.79</v>
      </c>
      <c r="BD1149" s="69"/>
      <c r="BE1149" s="69"/>
      <c r="CE1149" s="94">
        <f t="shared" si="120"/>
        <v>4352.8999999999996</v>
      </c>
      <c r="CF1149" s="73">
        <f t="shared" si="119"/>
        <v>0</v>
      </c>
      <c r="CG1149" s="75">
        <f t="shared" si="121"/>
        <v>7171</v>
      </c>
      <c r="CH1149" s="75" t="str">
        <f t="shared" si="121"/>
        <v>مركز مؤتمرات</v>
      </c>
    </row>
    <row r="1150" spans="3:86" x14ac:dyDescent="0.25">
      <c r="C1150" s="82">
        <v>12118</v>
      </c>
      <c r="D1150" s="78">
        <v>7172</v>
      </c>
      <c r="E1150" s="102" t="s">
        <v>128</v>
      </c>
      <c r="F1150" s="69" t="s">
        <v>2581</v>
      </c>
      <c r="G1150" s="69"/>
      <c r="H1150" s="69">
        <v>4414.46</v>
      </c>
      <c r="U1150" s="69"/>
      <c r="V1150" s="69"/>
      <c r="AS1150" s="94">
        <f t="shared" si="116"/>
        <v>4414.46</v>
      </c>
      <c r="AT1150" s="69">
        <v>2949.95</v>
      </c>
      <c r="AU1150" s="69">
        <v>400.9</v>
      </c>
      <c r="AV1150" s="69">
        <v>1063.6099999999999</v>
      </c>
      <c r="BD1150" s="69"/>
      <c r="BE1150" s="69"/>
      <c r="CE1150" s="94">
        <f t="shared" si="120"/>
        <v>4414.46</v>
      </c>
      <c r="CF1150" s="73">
        <f t="shared" si="119"/>
        <v>0</v>
      </c>
      <c r="CG1150" s="75">
        <f t="shared" si="121"/>
        <v>7172</v>
      </c>
      <c r="CH1150" s="75" t="str">
        <f t="shared" si="121"/>
        <v>مركز مؤتمرات</v>
      </c>
    </row>
    <row r="1151" spans="3:86" x14ac:dyDescent="0.25">
      <c r="C1151" s="82">
        <v>12124</v>
      </c>
      <c r="D1151" s="78">
        <v>7173</v>
      </c>
      <c r="E1151" s="102" t="s">
        <v>128</v>
      </c>
      <c r="F1151" s="69" t="s">
        <v>2582</v>
      </c>
      <c r="G1151" s="69"/>
      <c r="H1151" s="69">
        <v>16483.07</v>
      </c>
      <c r="U1151" s="69"/>
      <c r="V1151" s="69"/>
      <c r="AS1151" s="94">
        <f t="shared" si="116"/>
        <v>16483.07</v>
      </c>
      <c r="AT1151" s="69">
        <v>10950.14</v>
      </c>
      <c r="AU1151" s="69">
        <v>1486.85</v>
      </c>
      <c r="AV1151" s="69">
        <v>4046.08</v>
      </c>
      <c r="BD1151" s="69"/>
      <c r="BE1151" s="69"/>
      <c r="CE1151" s="94">
        <f t="shared" si="120"/>
        <v>16483.07</v>
      </c>
      <c r="CF1151" s="73">
        <f t="shared" si="119"/>
        <v>0</v>
      </c>
      <c r="CG1151" s="75">
        <f t="shared" si="121"/>
        <v>7173</v>
      </c>
      <c r="CH1151" s="75" t="str">
        <f t="shared" si="121"/>
        <v>مركز مؤتمرات</v>
      </c>
    </row>
    <row r="1152" spans="3:86" x14ac:dyDescent="0.25">
      <c r="C1152" s="82">
        <v>12123</v>
      </c>
      <c r="D1152" s="78">
        <v>7174</v>
      </c>
      <c r="E1152" s="102" t="s">
        <v>128</v>
      </c>
      <c r="F1152" s="69" t="s">
        <v>2582</v>
      </c>
      <c r="G1152" s="69"/>
      <c r="H1152" s="69">
        <v>1195.95</v>
      </c>
      <c r="U1152" s="69"/>
      <c r="V1152" s="69"/>
      <c r="AS1152" s="94">
        <f t="shared" si="116"/>
        <v>1195.95</v>
      </c>
      <c r="AT1152" s="69">
        <v>799.35</v>
      </c>
      <c r="AU1152" s="69">
        <v>108.45</v>
      </c>
      <c r="AV1152" s="69">
        <v>288.14999999999998</v>
      </c>
      <c r="BD1152" s="69"/>
      <c r="BE1152" s="69"/>
      <c r="CE1152" s="94">
        <f t="shared" si="120"/>
        <v>1195.95</v>
      </c>
      <c r="CF1152" s="73">
        <f t="shared" si="119"/>
        <v>0</v>
      </c>
      <c r="CG1152" s="75">
        <f t="shared" si="121"/>
        <v>7174</v>
      </c>
      <c r="CH1152" s="75" t="str">
        <f t="shared" si="121"/>
        <v>مركز مؤتمرات</v>
      </c>
    </row>
    <row r="1153" spans="3:86" x14ac:dyDescent="0.25">
      <c r="C1153" s="82">
        <v>12122</v>
      </c>
      <c r="D1153" s="78">
        <v>7175</v>
      </c>
      <c r="E1153" s="102" t="s">
        <v>128</v>
      </c>
      <c r="F1153" s="69" t="s">
        <v>2582</v>
      </c>
      <c r="G1153" s="69"/>
      <c r="H1153" s="69">
        <v>2543.15</v>
      </c>
      <c r="U1153" s="69"/>
      <c r="V1153" s="69"/>
      <c r="AS1153" s="94">
        <f t="shared" si="116"/>
        <v>2543.15</v>
      </c>
      <c r="AT1153" s="69">
        <v>1699.91</v>
      </c>
      <c r="AU1153" s="69">
        <v>230.5</v>
      </c>
      <c r="AV1153" s="69">
        <v>612.74</v>
      </c>
      <c r="BD1153" s="69"/>
      <c r="BE1153" s="69"/>
      <c r="CE1153" s="94">
        <f t="shared" si="120"/>
        <v>2543.15</v>
      </c>
      <c r="CF1153" s="73">
        <f t="shared" si="119"/>
        <v>0</v>
      </c>
      <c r="CG1153" s="75">
        <f t="shared" si="121"/>
        <v>7175</v>
      </c>
      <c r="CH1153" s="75" t="str">
        <f t="shared" si="121"/>
        <v>مركز مؤتمرات</v>
      </c>
    </row>
    <row r="1154" spans="3:86" x14ac:dyDescent="0.25">
      <c r="C1154" s="82">
        <v>12121</v>
      </c>
      <c r="D1154" s="78">
        <v>7176</v>
      </c>
      <c r="E1154" s="102" t="s">
        <v>128</v>
      </c>
      <c r="F1154" s="69" t="s">
        <v>2582</v>
      </c>
      <c r="G1154" s="69"/>
      <c r="H1154" s="69">
        <v>698.22</v>
      </c>
      <c r="U1154" s="69"/>
      <c r="V1154" s="69"/>
      <c r="AS1154" s="94">
        <f t="shared" si="116"/>
        <v>698.22</v>
      </c>
      <c r="AT1154" s="69">
        <v>467.03</v>
      </c>
      <c r="AU1154" s="69">
        <v>62.95</v>
      </c>
      <c r="AV1154" s="69">
        <v>168.24</v>
      </c>
      <c r="BD1154" s="69"/>
      <c r="BE1154" s="69"/>
      <c r="CE1154" s="94">
        <f t="shared" si="120"/>
        <v>698.22</v>
      </c>
      <c r="CF1154" s="73">
        <f t="shared" si="119"/>
        <v>0</v>
      </c>
      <c r="CG1154" s="75">
        <f t="shared" si="121"/>
        <v>7176</v>
      </c>
      <c r="CH1154" s="75" t="str">
        <f t="shared" si="121"/>
        <v>مركز مؤتمرات</v>
      </c>
    </row>
    <row r="1155" spans="3:86" x14ac:dyDescent="0.25">
      <c r="C1155" s="82">
        <v>12215</v>
      </c>
      <c r="D1155" s="78">
        <v>7177</v>
      </c>
      <c r="E1155" s="102" t="s">
        <v>128</v>
      </c>
      <c r="F1155" s="69" t="str">
        <f>+F1148</f>
        <v>مكافها التواجد بعد المواعيد ديسمبر</v>
      </c>
      <c r="G1155" s="69"/>
      <c r="H1155" s="69">
        <v>2136.89</v>
      </c>
      <c r="U1155" s="69"/>
      <c r="V1155" s="69"/>
      <c r="AS1155" s="94">
        <f t="shared" si="116"/>
        <v>2136.89</v>
      </c>
      <c r="AT1155" s="69">
        <v>1427.97</v>
      </c>
      <c r="AU1155" s="69">
        <v>194.05</v>
      </c>
      <c r="AV1155" s="69">
        <v>514.87</v>
      </c>
      <c r="BD1155" s="69"/>
      <c r="BE1155" s="69"/>
      <c r="CE1155" s="94">
        <f t="shared" si="120"/>
        <v>2136.89</v>
      </c>
      <c r="CF1155" s="73">
        <f t="shared" si="119"/>
        <v>0</v>
      </c>
      <c r="CG1155" s="75">
        <f t="shared" si="121"/>
        <v>7177</v>
      </c>
      <c r="CH1155" s="75" t="str">
        <f t="shared" si="121"/>
        <v>مركز مؤتمرات</v>
      </c>
    </row>
    <row r="1156" spans="3:86" x14ac:dyDescent="0.25">
      <c r="C1156" s="82">
        <v>12214</v>
      </c>
      <c r="D1156" s="78">
        <v>7178</v>
      </c>
      <c r="E1156" s="102" t="s">
        <v>128</v>
      </c>
      <c r="F1156" s="69" t="s">
        <v>2583</v>
      </c>
      <c r="G1156" s="69"/>
      <c r="H1156" s="69">
        <v>1313.2</v>
      </c>
      <c r="U1156" s="69"/>
      <c r="V1156" s="69"/>
      <c r="AS1156" s="94">
        <f t="shared" si="116"/>
        <v>1313.2</v>
      </c>
      <c r="AT1156" s="69">
        <v>877.7</v>
      </c>
      <c r="AU1156" s="69">
        <v>119.1</v>
      </c>
      <c r="AV1156" s="69">
        <v>316.39999999999998</v>
      </c>
      <c r="BD1156" s="69"/>
      <c r="BE1156" s="69"/>
      <c r="CE1156" s="94">
        <f t="shared" si="120"/>
        <v>1313.2</v>
      </c>
      <c r="CF1156" s="73">
        <f t="shared" si="119"/>
        <v>0</v>
      </c>
      <c r="CG1156" s="75">
        <f t="shared" si="121"/>
        <v>7178</v>
      </c>
      <c r="CH1156" s="75" t="str">
        <f t="shared" si="121"/>
        <v>مركز مؤتمرات</v>
      </c>
    </row>
    <row r="1157" spans="3:86" x14ac:dyDescent="0.25">
      <c r="C1157" s="82">
        <v>12213</v>
      </c>
      <c r="D1157" s="78">
        <v>7179</v>
      </c>
      <c r="E1157" s="102" t="s">
        <v>128</v>
      </c>
      <c r="F1157" s="69" t="s">
        <v>2583</v>
      </c>
      <c r="G1157" s="69"/>
      <c r="H1157" s="69">
        <v>727.65</v>
      </c>
      <c r="U1157" s="69"/>
      <c r="V1157" s="69"/>
      <c r="AS1157" s="94">
        <f t="shared" si="116"/>
        <v>727.65</v>
      </c>
      <c r="AT1157" s="69">
        <v>524.77</v>
      </c>
      <c r="AU1157" s="69">
        <v>68.349999999999994</v>
      </c>
      <c r="AV1157" s="69">
        <v>134.53</v>
      </c>
      <c r="BD1157" s="69"/>
      <c r="BE1157" s="69"/>
      <c r="CE1157" s="94">
        <f t="shared" si="120"/>
        <v>727.65</v>
      </c>
      <c r="CF1157" s="73">
        <f t="shared" si="119"/>
        <v>0</v>
      </c>
      <c r="CG1157" s="75">
        <f t="shared" si="121"/>
        <v>7179</v>
      </c>
      <c r="CH1157" s="75" t="str">
        <f t="shared" si="121"/>
        <v>مركز مؤتمرات</v>
      </c>
    </row>
    <row r="1158" spans="3:86" x14ac:dyDescent="0.25">
      <c r="C1158" s="82">
        <v>12212</v>
      </c>
      <c r="D1158" s="78">
        <v>7180</v>
      </c>
      <c r="E1158" s="102" t="s">
        <v>128</v>
      </c>
      <c r="F1158" s="69" t="s">
        <v>2583</v>
      </c>
      <c r="G1158" s="69"/>
      <c r="H1158" s="69">
        <v>2429.13</v>
      </c>
      <c r="U1158" s="69"/>
      <c r="V1158" s="69"/>
      <c r="AS1158" s="94">
        <f t="shared" si="116"/>
        <v>2429.13</v>
      </c>
      <c r="AT1158" s="69">
        <v>1848.41</v>
      </c>
      <c r="AU1158" s="69">
        <v>236.6</v>
      </c>
      <c r="AV1158" s="69">
        <v>344.12</v>
      </c>
      <c r="BD1158" s="69"/>
      <c r="BE1158" s="69"/>
      <c r="CE1158" s="94">
        <f t="shared" si="120"/>
        <v>2429.13</v>
      </c>
      <c r="CF1158" s="73">
        <f t="shared" si="119"/>
        <v>0</v>
      </c>
      <c r="CG1158" s="75">
        <f t="shared" si="121"/>
        <v>7180</v>
      </c>
      <c r="CH1158" s="75" t="str">
        <f t="shared" si="121"/>
        <v>مركز مؤتمرات</v>
      </c>
    </row>
    <row r="1159" spans="3:86" x14ac:dyDescent="0.25">
      <c r="C1159" s="82">
        <v>12210</v>
      </c>
      <c r="D1159" s="78">
        <v>7181</v>
      </c>
      <c r="E1159" s="102" t="s">
        <v>128</v>
      </c>
      <c r="F1159" s="69" t="s">
        <v>2584</v>
      </c>
      <c r="G1159" s="69"/>
      <c r="H1159" s="69">
        <v>10016.43</v>
      </c>
      <c r="U1159" s="69"/>
      <c r="V1159" s="69"/>
      <c r="AS1159" s="94">
        <f t="shared" si="116"/>
        <v>10016.43</v>
      </c>
      <c r="AT1159" s="69">
        <v>8662.2800000000007</v>
      </c>
      <c r="AU1159" s="69">
        <v>1053.75</v>
      </c>
      <c r="AV1159" s="69">
        <v>300.39999999999998</v>
      </c>
      <c r="BD1159" s="69"/>
      <c r="BE1159" s="69"/>
      <c r="CE1159" s="94">
        <f t="shared" si="120"/>
        <v>10016.43</v>
      </c>
      <c r="CF1159" s="73">
        <f t="shared" ref="CF1159:CF1201" si="122">+CE1159-AS1159</f>
        <v>0</v>
      </c>
      <c r="CG1159" s="75">
        <f t="shared" si="121"/>
        <v>7181</v>
      </c>
      <c r="CH1159" s="75" t="str">
        <f t="shared" si="121"/>
        <v>مركز مؤتمرات</v>
      </c>
    </row>
    <row r="1160" spans="3:86" x14ac:dyDescent="0.25">
      <c r="C1160" s="82">
        <v>12211</v>
      </c>
      <c r="D1160" s="78">
        <v>7182</v>
      </c>
      <c r="E1160" s="102" t="s">
        <v>128</v>
      </c>
      <c r="F1160" s="69" t="str">
        <f>+F1158</f>
        <v>مكافاه التميز للعاملين بالمركز ديسمبر</v>
      </c>
      <c r="G1160" s="69"/>
      <c r="H1160" s="69">
        <v>15450.41</v>
      </c>
      <c r="U1160" s="69"/>
      <c r="V1160" s="69"/>
      <c r="AS1160" s="94">
        <f t="shared" si="116"/>
        <v>15450.41</v>
      </c>
      <c r="AT1160" s="69">
        <v>11374.04</v>
      </c>
      <c r="AU1160" s="69">
        <v>1475.85</v>
      </c>
      <c r="AV1160" s="69">
        <v>2600.52</v>
      </c>
      <c r="BD1160" s="69"/>
      <c r="BE1160" s="69"/>
      <c r="CE1160" s="94">
        <f t="shared" si="120"/>
        <v>15450.410000000002</v>
      </c>
      <c r="CF1160" s="73">
        <f t="shared" si="122"/>
        <v>0</v>
      </c>
      <c r="CG1160" s="75">
        <f t="shared" si="121"/>
        <v>7182</v>
      </c>
      <c r="CH1160" s="75" t="str">
        <f t="shared" si="121"/>
        <v>مركز مؤتمرات</v>
      </c>
    </row>
    <row r="1161" spans="3:86" x14ac:dyDescent="0.25">
      <c r="C1161" s="82">
        <v>12210</v>
      </c>
      <c r="D1161" s="78">
        <v>7183</v>
      </c>
      <c r="E1161" s="102" t="s">
        <v>128</v>
      </c>
      <c r="F1161" s="69" t="str">
        <f>+F1159</f>
        <v>مكافاه ملاعب ديسمبر</v>
      </c>
      <c r="G1161" s="69"/>
      <c r="H1161" s="69">
        <v>5274.4</v>
      </c>
      <c r="U1161" s="69"/>
      <c r="V1161" s="69"/>
      <c r="AS1161" s="94">
        <f t="shared" si="116"/>
        <v>5274.4</v>
      </c>
      <c r="AT1161" s="69">
        <v>4073.57</v>
      </c>
      <c r="AU1161" s="69">
        <v>518.9</v>
      </c>
      <c r="AV1161" s="69">
        <v>681.93</v>
      </c>
      <c r="BD1161" s="69"/>
      <c r="BE1161" s="69"/>
      <c r="CE1161" s="94">
        <f t="shared" si="120"/>
        <v>5274.4000000000005</v>
      </c>
      <c r="CF1161" s="73">
        <f t="shared" si="122"/>
        <v>0</v>
      </c>
      <c r="CG1161" s="75">
        <f t="shared" si="121"/>
        <v>7183</v>
      </c>
      <c r="CH1161" s="75" t="str">
        <f t="shared" si="121"/>
        <v>مركز مؤتمرات</v>
      </c>
    </row>
    <row r="1162" spans="3:86" x14ac:dyDescent="0.25">
      <c r="C1162" s="82">
        <v>12209</v>
      </c>
      <c r="D1162" s="78">
        <v>7184</v>
      </c>
      <c r="E1162" s="102" t="s">
        <v>128</v>
      </c>
      <c r="F1162" s="69" t="str">
        <f>+F1161</f>
        <v>مكافاه ملاعب ديسمبر</v>
      </c>
      <c r="G1162" s="69"/>
      <c r="H1162" s="69">
        <v>1407</v>
      </c>
      <c r="U1162" s="69"/>
      <c r="V1162" s="69"/>
      <c r="AS1162" s="94">
        <f t="shared" si="116"/>
        <v>1407</v>
      </c>
      <c r="AT1162" s="69">
        <v>940.35</v>
      </c>
      <c r="AU1162" s="69">
        <v>127.65</v>
      </c>
      <c r="AV1162" s="69">
        <v>339</v>
      </c>
      <c r="BD1162" s="69"/>
      <c r="BE1162" s="69"/>
      <c r="CE1162" s="94">
        <f t="shared" si="120"/>
        <v>1407</v>
      </c>
      <c r="CF1162" s="73">
        <f t="shared" si="122"/>
        <v>0</v>
      </c>
      <c r="CG1162" s="75">
        <f t="shared" si="121"/>
        <v>7184</v>
      </c>
      <c r="CH1162" s="75" t="str">
        <f t="shared" si="121"/>
        <v>مركز مؤتمرات</v>
      </c>
    </row>
    <row r="1163" spans="3:86" x14ac:dyDescent="0.25">
      <c r="C1163" s="82">
        <v>12208</v>
      </c>
      <c r="D1163" s="78">
        <v>7185</v>
      </c>
      <c r="E1163" s="102" t="s">
        <v>128</v>
      </c>
      <c r="F1163" s="69" t="str">
        <f>+F1162</f>
        <v>مكافاه ملاعب ديسمبر</v>
      </c>
      <c r="G1163" s="69"/>
      <c r="H1163" s="69">
        <v>1758.75</v>
      </c>
      <c r="U1163" s="69"/>
      <c r="V1163" s="69"/>
      <c r="AS1163" s="94">
        <f t="shared" si="116"/>
        <v>1758.75</v>
      </c>
      <c r="AT1163" s="69">
        <v>1176.75</v>
      </c>
      <c r="AU1163" s="69">
        <f>8.25+150</f>
        <v>158.25</v>
      </c>
      <c r="AV1163" s="69">
        <v>423.75</v>
      </c>
      <c r="BD1163" s="69"/>
      <c r="BE1163" s="69"/>
      <c r="CE1163" s="94">
        <f t="shared" si="120"/>
        <v>1758.75</v>
      </c>
      <c r="CF1163" s="73">
        <f t="shared" si="122"/>
        <v>0</v>
      </c>
      <c r="CG1163" s="75">
        <f t="shared" si="121"/>
        <v>7185</v>
      </c>
      <c r="CH1163" s="75" t="str">
        <f t="shared" si="121"/>
        <v>مركز مؤتمرات</v>
      </c>
    </row>
    <row r="1164" spans="3:86" x14ac:dyDescent="0.25">
      <c r="C1164" s="82">
        <v>11508</v>
      </c>
      <c r="D1164" s="78">
        <v>7186</v>
      </c>
      <c r="E1164" s="107" t="s">
        <v>78</v>
      </c>
      <c r="F1164" s="69" t="s">
        <v>2585</v>
      </c>
      <c r="G1164" s="69"/>
      <c r="H1164" s="69">
        <v>10130.4</v>
      </c>
      <c r="U1164" s="69"/>
      <c r="V1164" s="69"/>
      <c r="AS1164" s="94">
        <f t="shared" si="116"/>
        <v>10130.4</v>
      </c>
      <c r="AT1164" s="69">
        <v>6769</v>
      </c>
      <c r="AU1164" s="69">
        <v>920.6</v>
      </c>
      <c r="AV1164" s="69">
        <v>2440.8000000000002</v>
      </c>
      <c r="BD1164" s="69"/>
      <c r="BE1164" s="69"/>
      <c r="CE1164" s="94">
        <f t="shared" si="120"/>
        <v>10130.400000000001</v>
      </c>
      <c r="CF1164" s="73">
        <f t="shared" si="122"/>
        <v>0</v>
      </c>
      <c r="CG1164" s="75">
        <f t="shared" si="121"/>
        <v>7186</v>
      </c>
      <c r="CH1164" s="75" t="str">
        <f t="shared" si="121"/>
        <v>برنامج دولى</v>
      </c>
    </row>
    <row r="1165" spans="3:86" x14ac:dyDescent="0.25">
      <c r="C1165" s="82">
        <v>11504</v>
      </c>
      <c r="D1165" s="78">
        <v>7187</v>
      </c>
      <c r="E1165" s="107" t="s">
        <v>78</v>
      </c>
      <c r="F1165" s="69" t="s">
        <v>2585</v>
      </c>
      <c r="G1165" s="69"/>
      <c r="H1165" s="69">
        <v>41040</v>
      </c>
      <c r="U1165" s="69"/>
      <c r="V1165" s="69"/>
      <c r="AS1165" s="94">
        <f t="shared" si="116"/>
        <v>41040</v>
      </c>
      <c r="AT1165" s="69">
        <v>36666.800000000003</v>
      </c>
      <c r="AU1165" s="69">
        <v>4373.2</v>
      </c>
      <c r="BD1165" s="69"/>
      <c r="BE1165" s="69"/>
      <c r="CE1165" s="94">
        <f t="shared" si="120"/>
        <v>41040</v>
      </c>
      <c r="CF1165" s="73">
        <f t="shared" si="122"/>
        <v>0</v>
      </c>
      <c r="CG1165" s="75">
        <f t="shared" si="121"/>
        <v>7187</v>
      </c>
      <c r="CH1165" s="75" t="str">
        <f t="shared" si="121"/>
        <v>برنامج دولى</v>
      </c>
    </row>
    <row r="1166" spans="3:86" x14ac:dyDescent="0.25">
      <c r="C1166" s="82">
        <v>11505</v>
      </c>
      <c r="D1166" s="78">
        <v>7188</v>
      </c>
      <c r="E1166" s="107" t="s">
        <v>78</v>
      </c>
      <c r="F1166" s="69" t="s">
        <v>2585</v>
      </c>
      <c r="G1166" s="69"/>
      <c r="H1166" s="69">
        <v>8442</v>
      </c>
      <c r="U1166" s="69"/>
      <c r="V1166" s="69"/>
      <c r="AS1166" s="94">
        <f t="shared" si="116"/>
        <v>8442</v>
      </c>
      <c r="AT1166" s="69">
        <v>5630.8</v>
      </c>
      <c r="AU1166" s="69">
        <f>720+57.2</f>
        <v>777.2</v>
      </c>
      <c r="AV1166" s="69">
        <v>2034</v>
      </c>
      <c r="BD1166" s="69"/>
      <c r="BE1166" s="69"/>
      <c r="CE1166" s="94">
        <f t="shared" si="120"/>
        <v>8442</v>
      </c>
      <c r="CF1166" s="73">
        <f t="shared" si="122"/>
        <v>0</v>
      </c>
      <c r="CG1166" s="75">
        <f t="shared" si="121"/>
        <v>7188</v>
      </c>
      <c r="CH1166" s="75" t="str">
        <f t="shared" si="121"/>
        <v>برنامج دولى</v>
      </c>
    </row>
    <row r="1167" spans="3:86" x14ac:dyDescent="0.25">
      <c r="C1167" s="82">
        <v>11507</v>
      </c>
      <c r="D1167" s="78">
        <v>7189</v>
      </c>
      <c r="E1167" s="107" t="s">
        <v>78</v>
      </c>
      <c r="F1167" s="69" t="s">
        <v>2585</v>
      </c>
      <c r="G1167" s="69"/>
      <c r="H1167" s="69">
        <v>9422.6</v>
      </c>
      <c r="U1167" s="69"/>
      <c r="V1167" s="69"/>
      <c r="AS1167" s="94">
        <f t="shared" si="116"/>
        <v>9422.6</v>
      </c>
      <c r="AT1167" s="69">
        <v>7216.59</v>
      </c>
      <c r="AU1167" s="69">
        <v>924.35</v>
      </c>
      <c r="AV1167" s="69">
        <v>1281.6600000000001</v>
      </c>
      <c r="BD1167" s="69"/>
      <c r="BE1167" s="69"/>
      <c r="CE1167" s="94">
        <f t="shared" si="120"/>
        <v>9422.6</v>
      </c>
      <c r="CF1167" s="73">
        <f t="shared" si="122"/>
        <v>0</v>
      </c>
      <c r="CG1167" s="75">
        <f t="shared" si="121"/>
        <v>7189</v>
      </c>
      <c r="CH1167" s="75" t="str">
        <f t="shared" si="121"/>
        <v>برنامج دولى</v>
      </c>
    </row>
    <row r="1168" spans="3:86" x14ac:dyDescent="0.25">
      <c r="C1168" s="82">
        <v>11506</v>
      </c>
      <c r="D1168" s="78">
        <v>7190</v>
      </c>
      <c r="E1168" s="107" t="s">
        <v>78</v>
      </c>
      <c r="F1168" s="69" t="s">
        <v>2585</v>
      </c>
      <c r="G1168" s="69"/>
      <c r="H1168" s="69">
        <v>26730</v>
      </c>
      <c r="U1168" s="69"/>
      <c r="V1168" s="69"/>
      <c r="AS1168" s="94">
        <f t="shared" si="116"/>
        <v>26730</v>
      </c>
      <c r="AT1168" s="69">
        <v>23871.05</v>
      </c>
      <c r="AU1168" s="69">
        <v>2858.95</v>
      </c>
      <c r="BD1168" s="69"/>
      <c r="BE1168" s="69"/>
      <c r="CE1168" s="94">
        <f t="shared" si="120"/>
        <v>26730</v>
      </c>
      <c r="CF1168" s="73">
        <f t="shared" si="122"/>
        <v>0</v>
      </c>
      <c r="CG1168" s="75">
        <f t="shared" si="121"/>
        <v>7190</v>
      </c>
      <c r="CH1168" s="75" t="str">
        <f t="shared" si="121"/>
        <v>برنامج دولى</v>
      </c>
    </row>
    <row r="1169" spans="3:86" x14ac:dyDescent="0.25">
      <c r="C1169" s="82">
        <v>10996</v>
      </c>
      <c r="D1169" s="78">
        <v>7191</v>
      </c>
      <c r="E1169" s="107" t="s">
        <v>78</v>
      </c>
      <c r="F1169" s="69" t="s">
        <v>2586</v>
      </c>
      <c r="G1169" s="69"/>
      <c r="H1169" s="69">
        <v>39272.1</v>
      </c>
      <c r="U1169" s="69"/>
      <c r="V1169" s="69"/>
      <c r="AS1169" s="94">
        <f t="shared" si="116"/>
        <v>39272.1</v>
      </c>
      <c r="AT1169" s="69">
        <v>34958.699999999997</v>
      </c>
      <c r="AU1169" s="69">
        <v>4211.7</v>
      </c>
      <c r="AV1169" s="69">
        <v>101.7</v>
      </c>
      <c r="BD1169" s="69"/>
      <c r="BE1169" s="69"/>
      <c r="CE1169" s="94">
        <f t="shared" ref="CE1169:CE1202" si="123">SUM(AT1169:CD1169)</f>
        <v>39272.099999999991</v>
      </c>
      <c r="CF1169" s="73">
        <f t="shared" si="122"/>
        <v>0</v>
      </c>
      <c r="CG1169" s="75">
        <f t="shared" si="121"/>
        <v>7191</v>
      </c>
      <c r="CH1169" s="75" t="str">
        <f t="shared" si="121"/>
        <v>برنامج دولى</v>
      </c>
    </row>
    <row r="1170" spans="3:86" x14ac:dyDescent="0.25">
      <c r="C1170" s="82">
        <v>10994</v>
      </c>
      <c r="D1170" s="78">
        <v>7192</v>
      </c>
      <c r="E1170" s="107" t="s">
        <v>78</v>
      </c>
      <c r="F1170" s="69" t="s">
        <v>2586</v>
      </c>
      <c r="G1170" s="69"/>
      <c r="H1170" s="69">
        <v>42600</v>
      </c>
      <c r="U1170" s="69"/>
      <c r="V1170" s="69"/>
      <c r="AS1170" s="94">
        <f t="shared" si="116"/>
        <v>42600</v>
      </c>
      <c r="AT1170" s="69">
        <v>38024.5</v>
      </c>
      <c r="AU1170" s="69">
        <v>4575.5</v>
      </c>
      <c r="BD1170" s="69"/>
      <c r="BE1170" s="69"/>
      <c r="CE1170" s="94">
        <f t="shared" si="123"/>
        <v>42600</v>
      </c>
      <c r="CF1170" s="73">
        <f t="shared" si="122"/>
        <v>0</v>
      </c>
      <c r="CG1170" s="75">
        <f t="shared" si="121"/>
        <v>7192</v>
      </c>
      <c r="CH1170" s="75" t="str">
        <f t="shared" si="121"/>
        <v>برنامج دولى</v>
      </c>
    </row>
    <row r="1171" spans="3:86" x14ac:dyDescent="0.25">
      <c r="C1171" s="82">
        <v>10995</v>
      </c>
      <c r="D1171" s="78">
        <v>7193</v>
      </c>
      <c r="E1171" s="107" t="s">
        <v>78</v>
      </c>
      <c r="F1171" s="69" t="s">
        <v>2586</v>
      </c>
      <c r="G1171" s="69"/>
      <c r="H1171" s="69">
        <v>1055.25</v>
      </c>
      <c r="U1171" s="69"/>
      <c r="V1171" s="69"/>
      <c r="AS1171" s="94">
        <f t="shared" si="116"/>
        <v>1055.25</v>
      </c>
      <c r="AT1171" s="69">
        <v>706.7</v>
      </c>
      <c r="AU1171" s="69">
        <v>94.3</v>
      </c>
      <c r="AV1171" s="69">
        <v>254.25</v>
      </c>
      <c r="BD1171" s="69"/>
      <c r="BE1171" s="69"/>
      <c r="CE1171" s="94">
        <f t="shared" si="123"/>
        <v>1055.25</v>
      </c>
      <c r="CF1171" s="73">
        <f t="shared" si="122"/>
        <v>0</v>
      </c>
      <c r="CG1171" s="75">
        <f t="shared" si="121"/>
        <v>7193</v>
      </c>
      <c r="CH1171" s="75" t="str">
        <f t="shared" si="121"/>
        <v>برنامج دولى</v>
      </c>
    </row>
    <row r="1172" spans="3:86" x14ac:dyDescent="0.25">
      <c r="C1172" s="82">
        <v>11520</v>
      </c>
      <c r="D1172" s="78">
        <v>7194</v>
      </c>
      <c r="E1172" s="107" t="s">
        <v>78</v>
      </c>
      <c r="F1172" s="69" t="s">
        <v>2587</v>
      </c>
      <c r="G1172" s="69"/>
      <c r="H1172" s="69">
        <v>990</v>
      </c>
      <c r="U1172" s="69"/>
      <c r="V1172" s="69"/>
      <c r="AS1172" s="94">
        <f t="shared" si="116"/>
        <v>990</v>
      </c>
      <c r="AT1172" s="69">
        <v>884.4</v>
      </c>
      <c r="AU1172" s="69">
        <v>105.6</v>
      </c>
      <c r="BD1172" s="69"/>
      <c r="BE1172" s="69"/>
      <c r="CE1172" s="94">
        <f t="shared" si="123"/>
        <v>990</v>
      </c>
      <c r="CF1172" s="73">
        <f t="shared" si="122"/>
        <v>0</v>
      </c>
      <c r="CG1172" s="75">
        <f t="shared" si="121"/>
        <v>7194</v>
      </c>
      <c r="CH1172" s="75" t="str">
        <f t="shared" si="121"/>
        <v>برنامج دولى</v>
      </c>
    </row>
    <row r="1173" spans="3:86" x14ac:dyDescent="0.25">
      <c r="C1173" s="82">
        <v>11519</v>
      </c>
      <c r="D1173" s="78">
        <v>7195</v>
      </c>
      <c r="E1173" s="107" t="s">
        <v>78</v>
      </c>
      <c r="F1173" s="69" t="s">
        <v>2587</v>
      </c>
      <c r="G1173" s="69"/>
      <c r="H1173" s="69">
        <v>1160.78</v>
      </c>
      <c r="U1173" s="69"/>
      <c r="V1173" s="69"/>
      <c r="AS1173" s="94">
        <f t="shared" si="116"/>
        <v>1160.78</v>
      </c>
      <c r="AT1173" s="69">
        <v>776.25</v>
      </c>
      <c r="AU1173" s="69">
        <v>104.85</v>
      </c>
      <c r="AV1173" s="69">
        <v>279.68</v>
      </c>
      <c r="BD1173" s="69"/>
      <c r="BE1173" s="69"/>
      <c r="CE1173" s="94">
        <f t="shared" si="123"/>
        <v>1160.78</v>
      </c>
      <c r="CF1173" s="73">
        <f t="shared" si="122"/>
        <v>0</v>
      </c>
      <c r="CG1173" s="75">
        <f t="shared" si="121"/>
        <v>7195</v>
      </c>
      <c r="CH1173" s="75" t="str">
        <f t="shared" si="121"/>
        <v>برنامج دولى</v>
      </c>
    </row>
    <row r="1174" spans="3:86" x14ac:dyDescent="0.25">
      <c r="C1174" s="82">
        <v>11518</v>
      </c>
      <c r="D1174" s="78">
        <v>7196</v>
      </c>
      <c r="E1174" s="107" t="s">
        <v>78</v>
      </c>
      <c r="F1174" s="69" t="s">
        <v>2587</v>
      </c>
      <c r="G1174" s="69"/>
      <c r="H1174" s="69">
        <v>990</v>
      </c>
      <c r="U1174" s="69"/>
      <c r="V1174" s="69"/>
      <c r="AS1174" s="94">
        <f t="shared" si="116"/>
        <v>990</v>
      </c>
      <c r="AT1174" s="69">
        <v>884.4</v>
      </c>
      <c r="AU1174" s="69">
        <v>105.6</v>
      </c>
      <c r="BD1174" s="69"/>
      <c r="BE1174" s="69"/>
      <c r="CE1174" s="94">
        <f t="shared" ref="CE1174:CE1200" si="124">SUM(AT1174:CD1174)</f>
        <v>990</v>
      </c>
      <c r="CF1174" s="73">
        <f t="shared" si="122"/>
        <v>0</v>
      </c>
      <c r="CG1174" s="75">
        <f t="shared" si="121"/>
        <v>7196</v>
      </c>
      <c r="CH1174" s="75" t="str">
        <f t="shared" si="121"/>
        <v>برنامج دولى</v>
      </c>
    </row>
    <row r="1175" spans="3:86" x14ac:dyDescent="0.25">
      <c r="C1175" s="82">
        <v>11517</v>
      </c>
      <c r="D1175" s="78">
        <v>7197</v>
      </c>
      <c r="E1175" s="107" t="s">
        <v>78</v>
      </c>
      <c r="F1175" s="69" t="s">
        <v>2587</v>
      </c>
      <c r="G1175" s="69"/>
      <c r="H1175" s="69">
        <v>580.39</v>
      </c>
      <c r="U1175" s="69"/>
      <c r="V1175" s="69"/>
      <c r="AS1175" s="94">
        <f t="shared" si="116"/>
        <v>580.39</v>
      </c>
      <c r="AT1175" s="69">
        <v>388.5</v>
      </c>
      <c r="AU1175" s="69">
        <v>52.05</v>
      </c>
      <c r="AV1175" s="69">
        <v>139.84</v>
      </c>
      <c r="BD1175" s="69"/>
      <c r="BE1175" s="69"/>
      <c r="CE1175" s="94">
        <f t="shared" si="124"/>
        <v>580.39</v>
      </c>
      <c r="CF1175" s="73">
        <f t="shared" si="122"/>
        <v>0</v>
      </c>
      <c r="CG1175" s="75">
        <f t="shared" si="121"/>
        <v>7197</v>
      </c>
      <c r="CH1175" s="75" t="str">
        <f t="shared" si="121"/>
        <v>برنامج دولى</v>
      </c>
    </row>
    <row r="1176" spans="3:86" x14ac:dyDescent="0.25">
      <c r="C1176" s="82">
        <v>11516</v>
      </c>
      <c r="D1176" s="78">
        <v>7198</v>
      </c>
      <c r="E1176" s="107" t="s">
        <v>78</v>
      </c>
      <c r="F1176" s="69" t="s">
        <v>2587</v>
      </c>
      <c r="G1176" s="69"/>
      <c r="H1176" s="69">
        <v>580.39</v>
      </c>
      <c r="U1176" s="69"/>
      <c r="V1176" s="69"/>
      <c r="AS1176" s="94">
        <f t="shared" si="116"/>
        <v>580.39</v>
      </c>
      <c r="AT1176" s="69">
        <v>388.5</v>
      </c>
      <c r="AU1176" s="69">
        <v>52.05</v>
      </c>
      <c r="AV1176" s="69">
        <v>139.84</v>
      </c>
      <c r="BD1176" s="69"/>
      <c r="BE1176" s="69"/>
      <c r="CE1176" s="94">
        <f t="shared" si="124"/>
        <v>580.39</v>
      </c>
      <c r="CF1176" s="73">
        <f t="shared" si="122"/>
        <v>0</v>
      </c>
      <c r="CG1176" s="75">
        <f t="shared" si="121"/>
        <v>7198</v>
      </c>
      <c r="CH1176" s="75" t="str">
        <f t="shared" si="121"/>
        <v>برنامج دولى</v>
      </c>
    </row>
    <row r="1177" spans="3:86" x14ac:dyDescent="0.25">
      <c r="C1177" s="82">
        <v>11515</v>
      </c>
      <c r="D1177" s="78">
        <v>7199</v>
      </c>
      <c r="E1177" s="107" t="s">
        <v>78</v>
      </c>
      <c r="F1177" s="69" t="s">
        <v>2587</v>
      </c>
      <c r="G1177" s="69"/>
      <c r="H1177" s="69">
        <v>10530</v>
      </c>
      <c r="U1177" s="69"/>
      <c r="V1177" s="69"/>
      <c r="AS1177" s="94">
        <f t="shared" si="116"/>
        <v>10530</v>
      </c>
      <c r="AT1177" s="69">
        <v>9395.7999999999993</v>
      </c>
      <c r="AU1177" s="69">
        <v>1134.2</v>
      </c>
      <c r="BD1177" s="69"/>
      <c r="BE1177" s="69"/>
      <c r="CE1177" s="94">
        <f t="shared" si="124"/>
        <v>10530</v>
      </c>
      <c r="CF1177" s="73">
        <f t="shared" si="122"/>
        <v>0</v>
      </c>
      <c r="CG1177" s="75">
        <f t="shared" si="121"/>
        <v>7199</v>
      </c>
      <c r="CH1177" s="75" t="str">
        <f t="shared" si="121"/>
        <v>برنامج دولى</v>
      </c>
    </row>
    <row r="1178" spans="3:86" x14ac:dyDescent="0.25">
      <c r="C1178" s="82">
        <v>11513</v>
      </c>
      <c r="D1178" s="78">
        <v>7200</v>
      </c>
      <c r="E1178" s="107" t="s">
        <v>78</v>
      </c>
      <c r="F1178" s="69" t="s">
        <v>2587</v>
      </c>
      <c r="G1178" s="69"/>
      <c r="H1178" s="69">
        <v>30240</v>
      </c>
      <c r="U1178" s="69"/>
      <c r="V1178" s="69"/>
      <c r="AS1178" s="94">
        <f t="shared" si="116"/>
        <v>30240</v>
      </c>
      <c r="AT1178" s="69">
        <v>27075.65</v>
      </c>
      <c r="AU1178" s="69">
        <v>3164.35</v>
      </c>
      <c r="BD1178" s="69"/>
      <c r="BE1178" s="69"/>
      <c r="CE1178" s="94">
        <f t="shared" si="124"/>
        <v>30240</v>
      </c>
      <c r="CF1178" s="73">
        <f t="shared" si="122"/>
        <v>0</v>
      </c>
      <c r="CG1178" s="75">
        <f t="shared" ref="CG1178:CH1204" si="125">+D1178</f>
        <v>7200</v>
      </c>
      <c r="CH1178" s="75" t="str">
        <f t="shared" si="125"/>
        <v>برنامج دولى</v>
      </c>
    </row>
    <row r="1179" spans="3:86" x14ac:dyDescent="0.25">
      <c r="C1179" s="82">
        <v>11512</v>
      </c>
      <c r="D1179" s="78">
        <v>7201</v>
      </c>
      <c r="E1179" s="107" t="s">
        <v>78</v>
      </c>
      <c r="F1179" s="69" t="s">
        <v>2587</v>
      </c>
      <c r="G1179" s="69"/>
      <c r="H1179" s="69">
        <v>46800</v>
      </c>
      <c r="U1179" s="69"/>
      <c r="V1179" s="69"/>
      <c r="AS1179" s="94">
        <f t="shared" si="116"/>
        <v>46800</v>
      </c>
      <c r="AT1179" s="69">
        <v>41930</v>
      </c>
      <c r="AU1179" s="69">
        <v>4870</v>
      </c>
      <c r="BD1179" s="69"/>
      <c r="BE1179" s="69"/>
      <c r="CE1179" s="94">
        <f t="shared" si="124"/>
        <v>46800</v>
      </c>
      <c r="CF1179" s="73">
        <f t="shared" si="122"/>
        <v>0</v>
      </c>
      <c r="CG1179" s="75">
        <f t="shared" si="125"/>
        <v>7201</v>
      </c>
      <c r="CH1179" s="75" t="str">
        <f t="shared" si="125"/>
        <v>برنامج دولى</v>
      </c>
    </row>
    <row r="1180" spans="3:86" x14ac:dyDescent="0.25">
      <c r="C1180" s="82">
        <v>11511</v>
      </c>
      <c r="D1180" s="78">
        <v>7202</v>
      </c>
      <c r="E1180" s="107" t="s">
        <v>78</v>
      </c>
      <c r="F1180" s="69" t="s">
        <v>2587</v>
      </c>
      <c r="G1180" s="69"/>
      <c r="H1180" s="69">
        <v>2321.5500000000002</v>
      </c>
      <c r="U1180" s="69"/>
      <c r="V1180" s="69"/>
      <c r="AS1180" s="94">
        <f t="shared" si="116"/>
        <v>2321.5500000000002</v>
      </c>
      <c r="AT1180" s="69">
        <v>1551.35</v>
      </c>
      <c r="AU1180" s="69">
        <v>210.85</v>
      </c>
      <c r="AV1180" s="69">
        <v>559.35</v>
      </c>
      <c r="BD1180" s="69"/>
      <c r="BE1180" s="69"/>
      <c r="CE1180" s="94">
        <f t="shared" si="124"/>
        <v>2321.5499999999997</v>
      </c>
      <c r="CF1180" s="73">
        <f t="shared" si="122"/>
        <v>0</v>
      </c>
      <c r="CG1180" s="75">
        <f t="shared" si="125"/>
        <v>7202</v>
      </c>
      <c r="CH1180" s="75" t="str">
        <f t="shared" si="125"/>
        <v>برنامج دولى</v>
      </c>
    </row>
    <row r="1181" spans="3:86" x14ac:dyDescent="0.25">
      <c r="C1181" s="82">
        <v>11510</v>
      </c>
      <c r="D1181" s="78">
        <v>7203</v>
      </c>
      <c r="E1181" s="107" t="s">
        <v>78</v>
      </c>
      <c r="F1181" s="69" t="s">
        <v>2587</v>
      </c>
      <c r="G1181" s="69"/>
      <c r="H1181" s="69">
        <v>4481.9799999999996</v>
      </c>
      <c r="U1181" s="69"/>
      <c r="V1181" s="69"/>
      <c r="AS1181" s="94">
        <f t="shared" si="116"/>
        <v>4481.9799999999996</v>
      </c>
      <c r="AT1181" s="69">
        <v>3204.29</v>
      </c>
      <c r="AU1181" s="69">
        <v>422.85</v>
      </c>
      <c r="AV1181" s="69">
        <v>854.84</v>
      </c>
      <c r="BD1181" s="69"/>
      <c r="BE1181" s="69"/>
      <c r="CE1181" s="94">
        <f t="shared" si="124"/>
        <v>4481.9799999999996</v>
      </c>
      <c r="CF1181" s="73">
        <f t="shared" si="122"/>
        <v>0</v>
      </c>
      <c r="CG1181" s="75">
        <f t="shared" si="125"/>
        <v>7203</v>
      </c>
      <c r="CH1181" s="75" t="str">
        <f t="shared" si="125"/>
        <v>برنامج دولى</v>
      </c>
    </row>
    <row r="1182" spans="3:86" x14ac:dyDescent="0.25">
      <c r="C1182" s="82">
        <v>11509</v>
      </c>
      <c r="D1182" s="78">
        <v>7204</v>
      </c>
      <c r="E1182" s="107" t="s">
        <v>78</v>
      </c>
      <c r="F1182" s="69" t="s">
        <v>2587</v>
      </c>
      <c r="G1182" s="69"/>
      <c r="H1182" s="69">
        <v>4186.8599999999997</v>
      </c>
      <c r="U1182" s="69"/>
      <c r="V1182" s="69"/>
      <c r="AS1182" s="94">
        <f t="shared" si="116"/>
        <v>4186.8599999999997</v>
      </c>
      <c r="AT1182" s="69">
        <v>3391.09</v>
      </c>
      <c r="AU1182" s="69">
        <v>424.25</v>
      </c>
      <c r="AV1182" s="69">
        <v>371.52</v>
      </c>
      <c r="BD1182" s="69"/>
      <c r="BE1182" s="69"/>
      <c r="CE1182" s="94">
        <f t="shared" si="124"/>
        <v>4186.8600000000006</v>
      </c>
      <c r="CF1182" s="73">
        <f t="shared" si="122"/>
        <v>0</v>
      </c>
      <c r="CG1182" s="75">
        <f t="shared" si="125"/>
        <v>7204</v>
      </c>
      <c r="CH1182" s="75" t="str">
        <f t="shared" si="125"/>
        <v>برنامج دولى</v>
      </c>
    </row>
    <row r="1183" spans="3:86" x14ac:dyDescent="0.25">
      <c r="C1183" s="82">
        <v>11514</v>
      </c>
      <c r="D1183" s="78">
        <v>7205</v>
      </c>
      <c r="E1183" s="107" t="s">
        <v>78</v>
      </c>
      <c r="F1183" s="69" t="s">
        <v>2587</v>
      </c>
      <c r="G1183" s="69"/>
      <c r="H1183" s="69">
        <v>6964.65</v>
      </c>
      <c r="U1183" s="69"/>
      <c r="V1183" s="69"/>
      <c r="AS1183" s="94">
        <f t="shared" si="116"/>
        <v>6964.65</v>
      </c>
      <c r="AT1183" s="69">
        <v>4653.6499999999996</v>
      </c>
      <c r="AU1183" s="69">
        <v>632.95000000000005</v>
      </c>
      <c r="AV1183" s="69">
        <v>1678.05</v>
      </c>
      <c r="BD1183" s="69"/>
      <c r="BE1183" s="69"/>
      <c r="CE1183" s="94">
        <f t="shared" si="124"/>
        <v>6964.65</v>
      </c>
      <c r="CF1183" s="73">
        <f t="shared" si="122"/>
        <v>0</v>
      </c>
      <c r="CG1183" s="75">
        <f t="shared" si="125"/>
        <v>7205</v>
      </c>
      <c r="CH1183" s="75" t="str">
        <f t="shared" si="125"/>
        <v>برنامج دولى</v>
      </c>
    </row>
    <row r="1184" spans="3:86" x14ac:dyDescent="0.25">
      <c r="C1184" s="82">
        <v>11500</v>
      </c>
      <c r="D1184" s="78">
        <v>7206</v>
      </c>
      <c r="E1184" s="107" t="s">
        <v>78</v>
      </c>
      <c r="F1184" s="69" t="s">
        <v>587</v>
      </c>
      <c r="G1184" s="69"/>
      <c r="H1184" s="69">
        <v>7844.03</v>
      </c>
      <c r="U1184" s="69"/>
      <c r="V1184" s="69"/>
      <c r="AS1184" s="94">
        <f t="shared" si="116"/>
        <v>7844.03</v>
      </c>
      <c r="AT1184" s="69">
        <v>5235.6499999999996</v>
      </c>
      <c r="AU1184" s="69">
        <f>669+49.45</f>
        <v>718.45</v>
      </c>
      <c r="AV1184" s="69">
        <v>1889.93</v>
      </c>
      <c r="BD1184" s="69"/>
      <c r="BE1184" s="69"/>
      <c r="CE1184" s="94">
        <f t="shared" si="124"/>
        <v>7844.03</v>
      </c>
      <c r="CF1184" s="73">
        <f t="shared" si="122"/>
        <v>0</v>
      </c>
      <c r="CG1184" s="75">
        <f t="shared" si="125"/>
        <v>7206</v>
      </c>
      <c r="CH1184" s="75" t="str">
        <f t="shared" si="125"/>
        <v>برنامج دولى</v>
      </c>
    </row>
    <row r="1185" spans="3:86" x14ac:dyDescent="0.25">
      <c r="C1185" s="82">
        <v>11499</v>
      </c>
      <c r="D1185" s="78">
        <v>7207</v>
      </c>
      <c r="E1185" s="107" t="s">
        <v>78</v>
      </c>
      <c r="F1185" s="69" t="s">
        <v>587</v>
      </c>
      <c r="G1185" s="69"/>
      <c r="H1185" s="69">
        <v>1371.82</v>
      </c>
      <c r="U1185" s="69"/>
      <c r="V1185" s="69"/>
      <c r="AS1185" s="94">
        <f t="shared" si="116"/>
        <v>1371.82</v>
      </c>
      <c r="AT1185" s="69">
        <v>916.85</v>
      </c>
      <c r="AU1185" s="69">
        <v>124.45</v>
      </c>
      <c r="AV1185" s="69">
        <v>330.52</v>
      </c>
      <c r="BD1185" s="69"/>
      <c r="BE1185" s="69"/>
      <c r="CE1185" s="94">
        <f t="shared" si="124"/>
        <v>1371.82</v>
      </c>
      <c r="CF1185" s="73">
        <f t="shared" si="122"/>
        <v>0</v>
      </c>
      <c r="CG1185" s="75">
        <f t="shared" si="125"/>
        <v>7207</v>
      </c>
      <c r="CH1185" s="75" t="str">
        <f t="shared" si="125"/>
        <v>برنامج دولى</v>
      </c>
    </row>
    <row r="1186" spans="3:86" x14ac:dyDescent="0.25">
      <c r="C1186" s="82">
        <v>11502</v>
      </c>
      <c r="D1186" s="78">
        <v>7208</v>
      </c>
      <c r="E1186" s="107" t="s">
        <v>78</v>
      </c>
      <c r="F1186" s="69" t="s">
        <v>587</v>
      </c>
      <c r="G1186" s="69"/>
      <c r="H1186" s="69">
        <v>1371.82</v>
      </c>
      <c r="U1186" s="69"/>
      <c r="V1186" s="69"/>
      <c r="AS1186" s="94">
        <f t="shared" si="116"/>
        <v>1371.82</v>
      </c>
      <c r="AT1186" s="69">
        <v>916.85</v>
      </c>
      <c r="AU1186" s="69">
        <v>124.45</v>
      </c>
      <c r="AV1186" s="69">
        <v>330.52</v>
      </c>
      <c r="BD1186" s="69"/>
      <c r="BE1186" s="69"/>
      <c r="CE1186" s="94">
        <f t="shared" si="124"/>
        <v>1371.82</v>
      </c>
      <c r="CF1186" s="73">
        <f t="shared" si="122"/>
        <v>0</v>
      </c>
      <c r="CG1186" s="75">
        <f t="shared" si="125"/>
        <v>7208</v>
      </c>
      <c r="CH1186" s="75" t="str">
        <f t="shared" si="125"/>
        <v>برنامج دولى</v>
      </c>
    </row>
    <row r="1187" spans="3:86" x14ac:dyDescent="0.25">
      <c r="C1187" s="82">
        <v>11503</v>
      </c>
      <c r="D1187" s="78">
        <v>7209</v>
      </c>
      <c r="E1187" s="107" t="s">
        <v>78</v>
      </c>
      <c r="F1187" s="69" t="s">
        <v>587</v>
      </c>
      <c r="G1187" s="69"/>
      <c r="H1187" s="69">
        <v>5416.39</v>
      </c>
      <c r="U1187" s="69"/>
      <c r="V1187" s="69"/>
      <c r="AS1187" s="94">
        <f t="shared" si="116"/>
        <v>5416.39</v>
      </c>
      <c r="AT1187" s="69">
        <v>3711.52</v>
      </c>
      <c r="AU1187" s="69">
        <v>498.9</v>
      </c>
      <c r="AV1187" s="69">
        <v>1205.97</v>
      </c>
      <c r="BD1187" s="69"/>
      <c r="BE1187" s="69"/>
      <c r="CE1187" s="94">
        <f t="shared" si="124"/>
        <v>5416.39</v>
      </c>
      <c r="CF1187" s="73">
        <f t="shared" si="122"/>
        <v>0</v>
      </c>
      <c r="CG1187" s="75">
        <f t="shared" si="125"/>
        <v>7209</v>
      </c>
      <c r="CH1187" s="75" t="str">
        <f t="shared" si="125"/>
        <v>برنامج دولى</v>
      </c>
    </row>
    <row r="1188" spans="3:86" x14ac:dyDescent="0.25">
      <c r="C1188" s="82">
        <v>11501</v>
      </c>
      <c r="D1188" s="78">
        <v>7210</v>
      </c>
      <c r="E1188" s="107" t="s">
        <v>78</v>
      </c>
      <c r="F1188" s="69" t="s">
        <v>587</v>
      </c>
      <c r="G1188" s="69"/>
      <c r="H1188" s="69">
        <v>112410</v>
      </c>
      <c r="U1188" s="69"/>
      <c r="V1188" s="69"/>
      <c r="AS1188" s="94">
        <f t="shared" si="116"/>
        <v>112410</v>
      </c>
      <c r="AT1188" s="69">
        <v>100597.7</v>
      </c>
      <c r="AU1188" s="69">
        <v>11812.3</v>
      </c>
      <c r="BD1188" s="69"/>
      <c r="BE1188" s="69"/>
      <c r="CE1188" s="94">
        <f t="shared" si="124"/>
        <v>112410</v>
      </c>
      <c r="CF1188" s="73">
        <f t="shared" si="122"/>
        <v>0</v>
      </c>
      <c r="CG1188" s="75">
        <f t="shared" si="125"/>
        <v>7210</v>
      </c>
      <c r="CH1188" s="75" t="str">
        <f t="shared" si="125"/>
        <v>برنامج دولى</v>
      </c>
    </row>
    <row r="1189" spans="3:86" x14ac:dyDescent="0.25">
      <c r="C1189" s="82">
        <v>10783</v>
      </c>
      <c r="D1189" s="78">
        <v>7211</v>
      </c>
      <c r="E1189" s="107" t="s">
        <v>78</v>
      </c>
      <c r="F1189" s="69" t="s">
        <v>1005</v>
      </c>
      <c r="G1189" s="69"/>
      <c r="H1189" s="69">
        <v>2640</v>
      </c>
      <c r="U1189" s="69"/>
      <c r="V1189" s="69"/>
      <c r="AS1189" s="94">
        <f t="shared" si="116"/>
        <v>2640</v>
      </c>
      <c r="AT1189" s="69">
        <v>2356.5500000000002</v>
      </c>
      <c r="AU1189" s="69">
        <v>283.45</v>
      </c>
      <c r="BD1189" s="69"/>
      <c r="BE1189" s="69"/>
      <c r="CE1189" s="94">
        <f t="shared" si="124"/>
        <v>2640</v>
      </c>
      <c r="CF1189" s="73">
        <f t="shared" si="122"/>
        <v>0</v>
      </c>
      <c r="CG1189" s="75">
        <f t="shared" si="125"/>
        <v>7211</v>
      </c>
      <c r="CH1189" s="75" t="str">
        <f t="shared" si="125"/>
        <v>برنامج دولى</v>
      </c>
    </row>
    <row r="1190" spans="3:86" x14ac:dyDescent="0.25">
      <c r="C1190" s="82">
        <v>10782</v>
      </c>
      <c r="D1190" s="78">
        <v>7212</v>
      </c>
      <c r="E1190" s="107" t="s">
        <v>78</v>
      </c>
      <c r="F1190" s="69" t="s">
        <v>1005</v>
      </c>
      <c r="G1190" s="69"/>
      <c r="H1190" s="69">
        <v>4320</v>
      </c>
      <c r="U1190" s="69"/>
      <c r="V1190" s="69"/>
      <c r="AS1190" s="94">
        <f t="shared" si="116"/>
        <v>4320</v>
      </c>
      <c r="AT1190" s="69">
        <v>3855.95</v>
      </c>
      <c r="AU1190" s="69">
        <v>464.05</v>
      </c>
      <c r="BD1190" s="69"/>
      <c r="BE1190" s="69"/>
      <c r="CE1190" s="94">
        <f t="shared" si="124"/>
        <v>4320</v>
      </c>
      <c r="CF1190" s="73">
        <f t="shared" si="122"/>
        <v>0</v>
      </c>
      <c r="CG1190" s="75">
        <f t="shared" si="125"/>
        <v>7212</v>
      </c>
      <c r="CH1190" s="75" t="str">
        <f t="shared" si="125"/>
        <v>برنامج دولى</v>
      </c>
    </row>
    <row r="1191" spans="3:86" x14ac:dyDescent="0.25">
      <c r="C1191" s="82">
        <v>10781</v>
      </c>
      <c r="D1191" s="78">
        <v>7213</v>
      </c>
      <c r="E1191" s="107" t="s">
        <v>78</v>
      </c>
      <c r="F1191" s="69" t="s">
        <v>567</v>
      </c>
      <c r="G1191" s="69"/>
      <c r="H1191" s="69">
        <v>2400</v>
      </c>
      <c r="U1191" s="69"/>
      <c r="V1191" s="69"/>
      <c r="AS1191" s="94">
        <f t="shared" si="116"/>
        <v>2400</v>
      </c>
      <c r="AT1191" s="69">
        <v>2142.6999999999998</v>
      </c>
      <c r="AU1191" s="69">
        <v>257.3</v>
      </c>
      <c r="BD1191" s="69"/>
      <c r="BE1191" s="69"/>
      <c r="CE1191" s="94">
        <f t="shared" si="124"/>
        <v>2400</v>
      </c>
      <c r="CF1191" s="73">
        <f t="shared" si="122"/>
        <v>0</v>
      </c>
      <c r="CG1191" s="75">
        <f t="shared" si="125"/>
        <v>7213</v>
      </c>
      <c r="CH1191" s="75" t="str">
        <f t="shared" si="125"/>
        <v>برنامج دولى</v>
      </c>
    </row>
    <row r="1192" spans="3:86" x14ac:dyDescent="0.25">
      <c r="C1192" s="82">
        <v>10780</v>
      </c>
      <c r="D1192" s="78">
        <v>7214</v>
      </c>
      <c r="E1192" s="107" t="s">
        <v>78</v>
      </c>
      <c r="F1192" s="69" t="s">
        <v>569</v>
      </c>
      <c r="G1192" s="69"/>
      <c r="H1192" s="69">
        <v>1200</v>
      </c>
      <c r="U1192" s="69"/>
      <c r="V1192" s="69"/>
      <c r="AS1192" s="94">
        <f t="shared" si="116"/>
        <v>1200</v>
      </c>
      <c r="AT1192" s="69">
        <v>1071.3499999999999</v>
      </c>
      <c r="AU1192" s="69">
        <v>128.65</v>
      </c>
      <c r="BD1192" s="69"/>
      <c r="BE1192" s="69"/>
      <c r="CE1192" s="94">
        <f t="shared" si="124"/>
        <v>1200</v>
      </c>
      <c r="CF1192" s="73">
        <f t="shared" si="122"/>
        <v>0</v>
      </c>
      <c r="CG1192" s="75">
        <f t="shared" si="125"/>
        <v>7214</v>
      </c>
      <c r="CH1192" s="75" t="str">
        <f t="shared" si="125"/>
        <v>برنامج دولى</v>
      </c>
    </row>
    <row r="1193" spans="3:86" x14ac:dyDescent="0.25">
      <c r="C1193" s="82">
        <v>10779</v>
      </c>
      <c r="D1193" s="78">
        <v>7215</v>
      </c>
      <c r="E1193" s="107" t="s">
        <v>78</v>
      </c>
      <c r="F1193" s="69" t="s">
        <v>2588</v>
      </c>
      <c r="G1193" s="69"/>
      <c r="H1193" s="69">
        <v>1200</v>
      </c>
      <c r="U1193" s="69"/>
      <c r="V1193" s="69"/>
      <c r="AS1193" s="94">
        <f t="shared" si="116"/>
        <v>1200</v>
      </c>
      <c r="AT1193" s="69">
        <v>1071.3499999999999</v>
      </c>
      <c r="AU1193" s="69">
        <v>128.65</v>
      </c>
      <c r="BD1193" s="69"/>
      <c r="BE1193" s="69"/>
      <c r="CE1193" s="94">
        <f t="shared" si="124"/>
        <v>1200</v>
      </c>
      <c r="CF1193" s="73">
        <f t="shared" si="122"/>
        <v>0</v>
      </c>
      <c r="CG1193" s="75">
        <f t="shared" si="125"/>
        <v>7215</v>
      </c>
      <c r="CH1193" s="75" t="str">
        <f t="shared" si="125"/>
        <v>برنامج دولى</v>
      </c>
    </row>
    <row r="1194" spans="3:86" x14ac:dyDescent="0.25">
      <c r="C1194" s="82">
        <v>10778</v>
      </c>
      <c r="D1194" s="78">
        <v>7216</v>
      </c>
      <c r="E1194" s="107" t="s">
        <v>78</v>
      </c>
      <c r="F1194" s="69" t="s">
        <v>360</v>
      </c>
      <c r="G1194" s="69"/>
      <c r="H1194" s="69">
        <v>2400</v>
      </c>
      <c r="U1194" s="69"/>
      <c r="V1194" s="69"/>
      <c r="AS1194" s="94">
        <f t="shared" si="116"/>
        <v>2400</v>
      </c>
      <c r="AT1194" s="69">
        <v>2142.35</v>
      </c>
      <c r="AU1194" s="69">
        <v>257.64999999999998</v>
      </c>
      <c r="BD1194" s="69"/>
      <c r="BE1194" s="69"/>
      <c r="CE1194" s="94">
        <f t="shared" si="124"/>
        <v>2400</v>
      </c>
      <c r="CF1194" s="73">
        <f t="shared" si="122"/>
        <v>0</v>
      </c>
      <c r="CG1194" s="75">
        <f t="shared" si="125"/>
        <v>7216</v>
      </c>
      <c r="CH1194" s="75" t="str">
        <f t="shared" si="125"/>
        <v>برنامج دولى</v>
      </c>
    </row>
    <row r="1195" spans="3:86" x14ac:dyDescent="0.25">
      <c r="C1195" s="82">
        <v>11049</v>
      </c>
      <c r="D1195" s="78">
        <v>7217</v>
      </c>
      <c r="E1195" s="107" t="s">
        <v>78</v>
      </c>
      <c r="F1195" s="69" t="s">
        <v>2007</v>
      </c>
      <c r="G1195" s="69"/>
      <c r="H1195" s="69">
        <v>1091.5899999999999</v>
      </c>
      <c r="U1195" s="69"/>
      <c r="V1195" s="69"/>
      <c r="AS1195" s="94">
        <f t="shared" si="116"/>
        <v>1091.5899999999999</v>
      </c>
      <c r="AT1195" s="69">
        <v>732.59</v>
      </c>
      <c r="AU1195" s="69">
        <v>96</v>
      </c>
      <c r="AV1195" s="69">
        <v>263</v>
      </c>
      <c r="BD1195" s="69"/>
      <c r="BE1195" s="69"/>
      <c r="CE1195" s="94">
        <f t="shared" si="124"/>
        <v>1091.5900000000001</v>
      </c>
      <c r="CF1195" s="73">
        <f t="shared" si="122"/>
        <v>0</v>
      </c>
      <c r="CG1195" s="75">
        <f t="shared" si="125"/>
        <v>7217</v>
      </c>
      <c r="CH1195" s="75" t="str">
        <f t="shared" si="125"/>
        <v>برنامج دولى</v>
      </c>
    </row>
    <row r="1196" spans="3:86" x14ac:dyDescent="0.25">
      <c r="C1196" s="82">
        <v>11052</v>
      </c>
      <c r="D1196" s="78">
        <v>7218</v>
      </c>
      <c r="E1196" s="107" t="s">
        <v>78</v>
      </c>
      <c r="F1196" s="69" t="s">
        <v>2007</v>
      </c>
      <c r="G1196" s="69"/>
      <c r="H1196" s="69">
        <v>3306.45</v>
      </c>
      <c r="U1196" s="69"/>
      <c r="V1196" s="69"/>
      <c r="AS1196" s="94">
        <f t="shared" si="116"/>
        <v>3306.45</v>
      </c>
      <c r="AT1196" s="69">
        <v>2209.85</v>
      </c>
      <c r="AU1196" s="69">
        <f>17.95+282</f>
        <v>299.95</v>
      </c>
      <c r="AV1196" s="69">
        <f>1096.6-AU1196</f>
        <v>796.64999999999986</v>
      </c>
      <c r="BD1196" s="69"/>
      <c r="BE1196" s="69"/>
      <c r="CE1196" s="94">
        <f t="shared" si="124"/>
        <v>3306.45</v>
      </c>
      <c r="CF1196" s="73">
        <f t="shared" si="122"/>
        <v>0</v>
      </c>
      <c r="CG1196" s="75">
        <f t="shared" si="125"/>
        <v>7218</v>
      </c>
      <c r="CH1196" s="75" t="str">
        <f t="shared" si="125"/>
        <v>برنامج دولى</v>
      </c>
    </row>
    <row r="1197" spans="3:86" x14ac:dyDescent="0.25">
      <c r="C1197" s="82">
        <v>11051</v>
      </c>
      <c r="D1197" s="78">
        <v>7219</v>
      </c>
      <c r="E1197" s="107" t="s">
        <v>78</v>
      </c>
      <c r="F1197" s="69" t="s">
        <v>2007</v>
      </c>
      <c r="G1197" s="69"/>
      <c r="H1197" s="69">
        <v>1600.46</v>
      </c>
      <c r="U1197" s="69"/>
      <c r="V1197" s="69"/>
      <c r="AS1197" s="94">
        <f t="shared" si="116"/>
        <v>1600.46</v>
      </c>
      <c r="AT1197" s="69">
        <v>1069.5999999999999</v>
      </c>
      <c r="AU1197" s="69">
        <v>145.25</v>
      </c>
      <c r="AV1197" s="69">
        <v>385.61</v>
      </c>
      <c r="BD1197" s="69"/>
      <c r="BE1197" s="69"/>
      <c r="CE1197" s="94">
        <f t="shared" si="124"/>
        <v>1600.46</v>
      </c>
      <c r="CF1197" s="73">
        <f t="shared" si="122"/>
        <v>0</v>
      </c>
      <c r="CG1197" s="75">
        <f t="shared" si="125"/>
        <v>7219</v>
      </c>
      <c r="CH1197" s="75" t="str">
        <f t="shared" si="125"/>
        <v>برنامج دولى</v>
      </c>
    </row>
    <row r="1198" spans="3:86" x14ac:dyDescent="0.25">
      <c r="C1198" s="82">
        <v>11050</v>
      </c>
      <c r="D1198" s="78">
        <v>7220</v>
      </c>
      <c r="E1198" s="107" t="s">
        <v>78</v>
      </c>
      <c r="F1198" s="69" t="s">
        <v>2007</v>
      </c>
      <c r="G1198" s="69"/>
      <c r="H1198" s="69">
        <v>3594.56</v>
      </c>
      <c r="U1198" s="69"/>
      <c r="V1198" s="69"/>
      <c r="AS1198" s="94">
        <f t="shared" si="116"/>
        <v>3594.56</v>
      </c>
      <c r="AT1198" s="69">
        <v>2444.35</v>
      </c>
      <c r="AU1198" s="69">
        <v>323.89999999999998</v>
      </c>
      <c r="AV1198" s="69">
        <v>826.31</v>
      </c>
      <c r="BD1198" s="69"/>
      <c r="BE1198" s="69"/>
      <c r="CE1198" s="94">
        <f t="shared" si="124"/>
        <v>3594.56</v>
      </c>
      <c r="CF1198" s="73">
        <f t="shared" si="122"/>
        <v>0</v>
      </c>
      <c r="CG1198" s="75">
        <f t="shared" si="125"/>
        <v>7220</v>
      </c>
      <c r="CH1198" s="75" t="str">
        <f t="shared" si="125"/>
        <v>برنامج دولى</v>
      </c>
    </row>
    <row r="1199" spans="3:86" x14ac:dyDescent="0.25">
      <c r="C1199" s="82">
        <v>11053</v>
      </c>
      <c r="D1199" s="78">
        <v>7221</v>
      </c>
      <c r="E1199" s="107" t="s">
        <v>78</v>
      </c>
      <c r="F1199" s="69" t="s">
        <v>2007</v>
      </c>
      <c r="G1199" s="69"/>
      <c r="H1199" s="69">
        <v>16897.23</v>
      </c>
      <c r="U1199" s="69"/>
      <c r="V1199" s="69"/>
      <c r="AS1199" s="94">
        <f t="shared" si="116"/>
        <v>16897.23</v>
      </c>
      <c r="AT1199" s="69">
        <v>14090.65</v>
      </c>
      <c r="AU1199" s="69">
        <v>1730.25</v>
      </c>
      <c r="AV1199" s="69">
        <v>1076.33</v>
      </c>
      <c r="BD1199" s="69"/>
      <c r="BE1199" s="69"/>
      <c r="CE1199" s="94">
        <f t="shared" si="124"/>
        <v>16897.23</v>
      </c>
      <c r="CF1199" s="73">
        <f t="shared" si="122"/>
        <v>0</v>
      </c>
      <c r="CG1199" s="75">
        <f t="shared" si="125"/>
        <v>7221</v>
      </c>
      <c r="CH1199" s="75" t="str">
        <f t="shared" si="125"/>
        <v>برنامج دولى</v>
      </c>
    </row>
    <row r="1200" spans="3:86" x14ac:dyDescent="0.25">
      <c r="C1200" s="82">
        <v>10741</v>
      </c>
      <c r="D1200" s="78">
        <v>7222</v>
      </c>
      <c r="E1200" s="107" t="s">
        <v>123</v>
      </c>
      <c r="F1200" s="69" t="s">
        <v>1562</v>
      </c>
      <c r="G1200" s="69"/>
      <c r="H1200" s="69">
        <v>469</v>
      </c>
      <c r="U1200" s="69"/>
      <c r="V1200" s="69"/>
      <c r="AS1200" s="94">
        <f t="shared" si="116"/>
        <v>469</v>
      </c>
      <c r="AT1200" s="69">
        <v>313.7</v>
      </c>
      <c r="AU1200" s="69">
        <v>42.3</v>
      </c>
      <c r="AV1200" s="69">
        <v>113</v>
      </c>
      <c r="BD1200" s="69"/>
      <c r="BE1200" s="69"/>
      <c r="CE1200" s="94">
        <f t="shared" si="124"/>
        <v>469</v>
      </c>
      <c r="CF1200" s="73">
        <f t="shared" si="122"/>
        <v>0</v>
      </c>
      <c r="CG1200" s="75">
        <f t="shared" si="125"/>
        <v>7222</v>
      </c>
      <c r="CH1200" s="75" t="str">
        <f t="shared" si="125"/>
        <v>خ ت اسنان</v>
      </c>
    </row>
    <row r="1201" spans="1:93" ht="36" x14ac:dyDescent="0.25">
      <c r="C1201" s="82">
        <v>11869</v>
      </c>
      <c r="D1201" s="78">
        <v>7223</v>
      </c>
      <c r="E1201" s="107" t="s">
        <v>121</v>
      </c>
      <c r="F1201" s="77" t="s">
        <v>2589</v>
      </c>
      <c r="G1201" s="69"/>
      <c r="I1201" s="69">
        <v>24282</v>
      </c>
      <c r="U1201" s="69"/>
      <c r="V1201" s="69"/>
      <c r="AS1201" s="94">
        <f t="shared" si="116"/>
        <v>24282</v>
      </c>
      <c r="AT1201" s="69">
        <v>17561.8</v>
      </c>
      <c r="AU1201" s="69">
        <f>226.5+679.5+37.8</f>
        <v>943.8</v>
      </c>
      <c r="AW1201" s="69">
        <v>5</v>
      </c>
      <c r="BD1201" s="69"/>
      <c r="BE1201" s="69"/>
      <c r="BG1201" s="69">
        <v>639</v>
      </c>
      <c r="BH1201" s="69">
        <v>84</v>
      </c>
      <c r="BI1201" s="69">
        <f>96*2</f>
        <v>192</v>
      </c>
      <c r="BK1201" s="69">
        <v>4856.3999999999996</v>
      </c>
      <c r="CE1201" s="94">
        <f t="shared" si="123"/>
        <v>24282</v>
      </c>
      <c r="CF1201" s="73">
        <f t="shared" si="122"/>
        <v>0</v>
      </c>
      <c r="CG1201" s="75">
        <f t="shared" si="125"/>
        <v>7223</v>
      </c>
      <c r="CH1201" s="75" t="str">
        <f t="shared" si="125"/>
        <v>ماليزى اسنان</v>
      </c>
    </row>
    <row r="1202" spans="1:93" ht="36" x14ac:dyDescent="0.25">
      <c r="C1202" s="82">
        <v>11872</v>
      </c>
      <c r="D1202" s="78">
        <v>7224</v>
      </c>
      <c r="E1202" s="107" t="s">
        <v>121</v>
      </c>
      <c r="F1202" s="77" t="s">
        <v>2590</v>
      </c>
      <c r="G1202" s="69"/>
      <c r="I1202" s="69">
        <v>19477.13</v>
      </c>
      <c r="U1202" s="69"/>
      <c r="V1202" s="69"/>
      <c r="AS1202" s="94">
        <f>SUM(H1202:AR1202)</f>
        <v>19477.13</v>
      </c>
      <c r="AT1202" s="69">
        <v>17039.830000000002</v>
      </c>
      <c r="AU1202" s="69">
        <f>202.5+607.5+42.3</f>
        <v>852.3</v>
      </c>
      <c r="AW1202" s="69">
        <v>5</v>
      </c>
      <c r="BD1202" s="69"/>
      <c r="BE1202" s="69"/>
      <c r="BG1202" s="69">
        <v>512</v>
      </c>
      <c r="BH1202" s="69">
        <v>94</v>
      </c>
      <c r="CD1202" s="69">
        <v>974</v>
      </c>
      <c r="CE1202" s="94">
        <f t="shared" si="123"/>
        <v>19477.13</v>
      </c>
      <c r="CF1202" s="73">
        <f>+CE1202-AS1202</f>
        <v>0</v>
      </c>
      <c r="CG1202" s="75">
        <f t="shared" si="125"/>
        <v>7224</v>
      </c>
      <c r="CH1202" s="75" t="str">
        <f t="shared" si="125"/>
        <v>ماليزى اسنان</v>
      </c>
    </row>
    <row r="1203" spans="1:93" ht="54" x14ac:dyDescent="0.25">
      <c r="C1203" s="82">
        <v>11868</v>
      </c>
      <c r="D1203" s="78">
        <v>7225</v>
      </c>
      <c r="E1203" s="107" t="s">
        <v>121</v>
      </c>
      <c r="F1203" s="77" t="s">
        <v>2591</v>
      </c>
      <c r="G1203" s="69"/>
      <c r="I1203" s="69">
        <v>3000</v>
      </c>
      <c r="U1203" s="69"/>
      <c r="V1203" s="69"/>
      <c r="AS1203" s="94">
        <f t="shared" ref="AS1203:AS1215" si="126">SUM(H1203:AR1203)</f>
        <v>3000</v>
      </c>
      <c r="AT1203" s="69">
        <v>1990.8</v>
      </c>
      <c r="AU1203" s="69">
        <f>44.25+132.75+34.2</f>
        <v>211.2</v>
      </c>
      <c r="AW1203" s="69">
        <v>5</v>
      </c>
      <c r="BD1203" s="69"/>
      <c r="BE1203" s="69"/>
      <c r="BG1203" s="69">
        <v>90</v>
      </c>
      <c r="BH1203" s="69">
        <v>76</v>
      </c>
      <c r="BI1203" s="69">
        <f>13.5*2</f>
        <v>27</v>
      </c>
      <c r="BK1203" s="69">
        <v>600</v>
      </c>
      <c r="CE1203" s="94">
        <f t="shared" ref="CE1203:CE1208" si="127">SUM(AT1203:CD1203)</f>
        <v>3000</v>
      </c>
      <c r="CF1203" s="73">
        <f>+CE1203-AS1203</f>
        <v>0</v>
      </c>
      <c r="CG1203" s="75">
        <f t="shared" si="125"/>
        <v>7225</v>
      </c>
      <c r="CH1203" s="75" t="str">
        <f t="shared" si="125"/>
        <v>ماليزى اسنان</v>
      </c>
    </row>
    <row r="1204" spans="1:93" x14ac:dyDescent="0.25">
      <c r="C1204" s="82">
        <v>11866</v>
      </c>
      <c r="D1204" s="78">
        <v>7226</v>
      </c>
      <c r="E1204" s="107" t="s">
        <v>121</v>
      </c>
      <c r="F1204" s="69" t="s">
        <v>2592</v>
      </c>
      <c r="G1204" s="69"/>
      <c r="I1204" s="69">
        <v>3000</v>
      </c>
      <c r="P1204" s="69">
        <v>3000</v>
      </c>
      <c r="U1204" s="69"/>
      <c r="V1204" s="69"/>
      <c r="AS1204" s="94">
        <f t="shared" si="126"/>
        <v>6000</v>
      </c>
      <c r="AT1204" s="69">
        <v>3000</v>
      </c>
      <c r="AU1204" s="69"/>
      <c r="BD1204" s="69"/>
      <c r="BE1204" s="69"/>
      <c r="BO1204" s="69">
        <v>3000</v>
      </c>
      <c r="CE1204" s="94">
        <f t="shared" si="127"/>
        <v>6000</v>
      </c>
      <c r="CF1204" s="73">
        <f t="shared" ref="CF1204:CF1208" si="128">+CE1204-AS1204</f>
        <v>0</v>
      </c>
      <c r="CG1204" s="75">
        <f t="shared" si="125"/>
        <v>7226</v>
      </c>
      <c r="CH1204" s="75" t="str">
        <f t="shared" si="125"/>
        <v>ماليزى اسنان</v>
      </c>
    </row>
    <row r="1205" spans="1:93" x14ac:dyDescent="0.25">
      <c r="C1205" s="82">
        <v>12179</v>
      </c>
      <c r="D1205" s="78">
        <v>7227</v>
      </c>
      <c r="E1205" s="107" t="s">
        <v>724</v>
      </c>
      <c r="F1205" s="69" t="s">
        <v>2593</v>
      </c>
      <c r="G1205" s="69"/>
      <c r="I1205" s="69">
        <v>13500</v>
      </c>
      <c r="P1205" s="69">
        <v>13500</v>
      </c>
      <c r="U1205" s="69"/>
      <c r="V1205" s="69"/>
      <c r="AS1205" s="94">
        <f t="shared" si="126"/>
        <v>27000</v>
      </c>
      <c r="AT1205" s="69">
        <v>13500</v>
      </c>
      <c r="AU1205" s="69"/>
      <c r="BD1205" s="69"/>
      <c r="BE1205" s="69"/>
      <c r="BO1205" s="69">
        <v>13500</v>
      </c>
      <c r="CE1205" s="94">
        <f t="shared" si="127"/>
        <v>27000</v>
      </c>
      <c r="CF1205" s="73">
        <f t="shared" si="128"/>
        <v>0</v>
      </c>
      <c r="CG1205" s="75">
        <f t="shared" ref="CG1205:CH1208" si="129">+D1205</f>
        <v>7227</v>
      </c>
      <c r="CH1205" s="75" t="str">
        <f t="shared" si="129"/>
        <v>اتحاد طب</v>
      </c>
    </row>
    <row r="1206" spans="1:93" x14ac:dyDescent="0.25">
      <c r="C1206" s="82">
        <v>11759</v>
      </c>
      <c r="D1206" s="78">
        <v>7228</v>
      </c>
      <c r="E1206" s="107" t="s">
        <v>724</v>
      </c>
      <c r="F1206" s="69" t="s">
        <v>2594</v>
      </c>
      <c r="G1206" s="69"/>
      <c r="I1206" s="69">
        <v>15625</v>
      </c>
      <c r="P1206" s="69">
        <v>15625</v>
      </c>
      <c r="U1206" s="69"/>
      <c r="V1206" s="69"/>
      <c r="AS1206" s="94">
        <f t="shared" si="126"/>
        <v>31250</v>
      </c>
      <c r="AT1206" s="69">
        <v>15625</v>
      </c>
      <c r="AU1206" s="69"/>
      <c r="BD1206" s="69"/>
      <c r="BE1206" s="69"/>
      <c r="BO1206" s="69">
        <v>15625</v>
      </c>
      <c r="CE1206" s="94">
        <f t="shared" si="127"/>
        <v>31250</v>
      </c>
      <c r="CF1206" s="73">
        <f t="shared" si="128"/>
        <v>0</v>
      </c>
      <c r="CG1206" s="75">
        <f t="shared" si="129"/>
        <v>7228</v>
      </c>
      <c r="CH1206" s="75" t="str">
        <f t="shared" si="129"/>
        <v>اتحاد طب</v>
      </c>
    </row>
    <row r="1207" spans="1:93" ht="36" x14ac:dyDescent="0.25">
      <c r="C1207" s="82">
        <v>12134</v>
      </c>
      <c r="D1207" s="78">
        <v>7229</v>
      </c>
      <c r="E1207" s="102" t="s">
        <v>128</v>
      </c>
      <c r="F1207" s="77" t="s">
        <v>2595</v>
      </c>
      <c r="G1207" s="69"/>
      <c r="U1207" s="69"/>
      <c r="V1207" s="69"/>
      <c r="X1207" s="69">
        <v>2404.58</v>
      </c>
      <c r="AS1207" s="94">
        <f t="shared" si="126"/>
        <v>2404.58</v>
      </c>
      <c r="AT1207" s="69">
        <v>2404.58</v>
      </c>
      <c r="AU1207" s="69"/>
      <c r="BD1207" s="69"/>
      <c r="BE1207" s="69"/>
      <c r="CE1207" s="94">
        <f t="shared" si="127"/>
        <v>2404.58</v>
      </c>
      <c r="CF1207" s="73">
        <f t="shared" si="128"/>
        <v>0</v>
      </c>
      <c r="CG1207" s="75">
        <f t="shared" si="129"/>
        <v>7229</v>
      </c>
      <c r="CH1207" s="75" t="str">
        <f t="shared" si="129"/>
        <v>مركز مؤتمرات</v>
      </c>
    </row>
    <row r="1208" spans="1:93" ht="36" x14ac:dyDescent="0.25">
      <c r="C1208" s="82">
        <v>11808</v>
      </c>
      <c r="D1208" s="78">
        <v>7230</v>
      </c>
      <c r="F1208" s="77" t="s">
        <v>2596</v>
      </c>
      <c r="G1208" s="69"/>
      <c r="U1208" s="69"/>
      <c r="V1208" s="69"/>
      <c r="AD1208" s="69">
        <v>13086.5</v>
      </c>
      <c r="AS1208" s="94">
        <f t="shared" si="126"/>
        <v>13086.5</v>
      </c>
      <c r="AT1208" s="69">
        <v>13086.5</v>
      </c>
      <c r="AU1208" s="69"/>
      <c r="BD1208" s="69"/>
      <c r="BE1208" s="69"/>
      <c r="CE1208" s="94">
        <f t="shared" si="127"/>
        <v>13086.5</v>
      </c>
      <c r="CF1208" s="73">
        <f t="shared" si="128"/>
        <v>0</v>
      </c>
      <c r="CG1208" s="75">
        <f t="shared" si="129"/>
        <v>7230</v>
      </c>
      <c r="CH1208" s="75">
        <f t="shared" si="129"/>
        <v>0</v>
      </c>
    </row>
    <row r="1209" spans="1:93" s="68" customFormat="1" x14ac:dyDescent="0.25">
      <c r="C1209" s="83"/>
      <c r="D1209" s="84"/>
      <c r="E1209" s="108"/>
      <c r="F1209" s="68" t="s">
        <v>2597</v>
      </c>
      <c r="H1209" s="68">
        <f>SUM(H1070:H1208)-H1210</f>
        <v>2138182.5599999987</v>
      </c>
      <c r="I1209" s="68">
        <f t="shared" ref="I1209:BT1209" si="130">SUM(I1070:I1208)-I1210</f>
        <v>78884.13</v>
      </c>
      <c r="J1209" s="68">
        <f t="shared" si="130"/>
        <v>0</v>
      </c>
      <c r="K1209" s="68">
        <f t="shared" si="130"/>
        <v>0</v>
      </c>
      <c r="L1209" s="68">
        <f t="shared" si="130"/>
        <v>0</v>
      </c>
      <c r="M1209" s="68">
        <f t="shared" si="130"/>
        <v>0</v>
      </c>
      <c r="N1209" s="68">
        <f t="shared" si="130"/>
        <v>0</v>
      </c>
      <c r="O1209" s="68">
        <f t="shared" si="130"/>
        <v>0</v>
      </c>
      <c r="P1209" s="68">
        <f t="shared" si="130"/>
        <v>32125</v>
      </c>
      <c r="Q1209" s="68">
        <f t="shared" si="130"/>
        <v>0</v>
      </c>
      <c r="R1209" s="68">
        <f t="shared" si="130"/>
        <v>0</v>
      </c>
      <c r="S1209" s="68">
        <f t="shared" si="130"/>
        <v>0</v>
      </c>
      <c r="T1209" s="68">
        <f t="shared" si="130"/>
        <v>0</v>
      </c>
      <c r="U1209" s="68">
        <f t="shared" si="130"/>
        <v>0</v>
      </c>
      <c r="V1209" s="68">
        <f t="shared" si="130"/>
        <v>0</v>
      </c>
      <c r="W1209" s="68">
        <f t="shared" si="130"/>
        <v>0</v>
      </c>
      <c r="X1209" s="68">
        <f t="shared" si="130"/>
        <v>2404.58</v>
      </c>
      <c r="Y1209" s="68">
        <f t="shared" si="130"/>
        <v>0</v>
      </c>
      <c r="Z1209" s="68">
        <f t="shared" si="130"/>
        <v>0</v>
      </c>
      <c r="AA1209" s="68">
        <f t="shared" si="130"/>
        <v>0</v>
      </c>
      <c r="AB1209" s="68">
        <f t="shared" si="130"/>
        <v>0</v>
      </c>
      <c r="AC1209" s="68">
        <f t="shared" si="130"/>
        <v>0</v>
      </c>
      <c r="AD1209" s="68">
        <f t="shared" si="130"/>
        <v>13086.5</v>
      </c>
      <c r="AE1209" s="68">
        <f t="shared" si="130"/>
        <v>0</v>
      </c>
      <c r="AF1209" s="68">
        <f t="shared" si="130"/>
        <v>0</v>
      </c>
      <c r="AG1209" s="68">
        <f t="shared" si="130"/>
        <v>0</v>
      </c>
      <c r="AH1209" s="68">
        <f t="shared" si="130"/>
        <v>0</v>
      </c>
      <c r="AI1209" s="68">
        <f t="shared" si="130"/>
        <v>0</v>
      </c>
      <c r="AJ1209" s="68">
        <f t="shared" si="130"/>
        <v>0</v>
      </c>
      <c r="AK1209" s="68">
        <f t="shared" si="130"/>
        <v>0</v>
      </c>
      <c r="AL1209" s="68">
        <f t="shared" si="130"/>
        <v>0</v>
      </c>
      <c r="AM1209" s="68">
        <f t="shared" si="130"/>
        <v>0</v>
      </c>
      <c r="AN1209" s="68">
        <f t="shared" si="130"/>
        <v>0</v>
      </c>
      <c r="AO1209" s="68">
        <f t="shared" si="130"/>
        <v>0</v>
      </c>
      <c r="AP1209" s="68">
        <f t="shared" si="130"/>
        <v>0</v>
      </c>
      <c r="AQ1209" s="68">
        <f t="shared" si="130"/>
        <v>0</v>
      </c>
      <c r="AR1209" s="68">
        <f t="shared" si="130"/>
        <v>0</v>
      </c>
      <c r="AS1209" s="68">
        <f t="shared" si="130"/>
        <v>2264682.7699999986</v>
      </c>
      <c r="AT1209" s="68">
        <f t="shared" si="130"/>
        <v>1707756.8700000017</v>
      </c>
      <c r="AU1209" s="68">
        <f t="shared" si="130"/>
        <v>209831.47999999998</v>
      </c>
      <c r="AV1209" s="68">
        <f t="shared" si="130"/>
        <v>306060.01999999984</v>
      </c>
      <c r="AW1209" s="68">
        <f t="shared" si="130"/>
        <v>15</v>
      </c>
      <c r="AX1209" s="68">
        <f t="shared" si="130"/>
        <v>0</v>
      </c>
      <c r="AY1209" s="68">
        <f t="shared" si="130"/>
        <v>0</v>
      </c>
      <c r="AZ1209" s="68">
        <f t="shared" si="130"/>
        <v>0</v>
      </c>
      <c r="BA1209" s="68">
        <f t="shared" si="130"/>
        <v>0</v>
      </c>
      <c r="BB1209" s="68">
        <f t="shared" si="130"/>
        <v>0</v>
      </c>
      <c r="BC1209" s="68">
        <f t="shared" si="130"/>
        <v>0</v>
      </c>
      <c r="BD1209" s="68">
        <f t="shared" si="130"/>
        <v>0</v>
      </c>
      <c r="BE1209" s="68">
        <f t="shared" si="130"/>
        <v>0</v>
      </c>
      <c r="BF1209" s="68">
        <f t="shared" si="130"/>
        <v>750</v>
      </c>
      <c r="BG1209" s="68">
        <f t="shared" si="130"/>
        <v>1241</v>
      </c>
      <c r="BH1209" s="68">
        <f t="shared" si="130"/>
        <v>254</v>
      </c>
      <c r="BI1209" s="68">
        <f t="shared" si="130"/>
        <v>219</v>
      </c>
      <c r="BJ1209" s="68">
        <f t="shared" si="130"/>
        <v>0</v>
      </c>
      <c r="BK1209" s="68">
        <f t="shared" si="130"/>
        <v>5456.4</v>
      </c>
      <c r="BL1209" s="68">
        <f t="shared" si="130"/>
        <v>0</v>
      </c>
      <c r="BM1209" s="68">
        <f t="shared" si="130"/>
        <v>0</v>
      </c>
      <c r="BN1209" s="68">
        <f t="shared" si="130"/>
        <v>0</v>
      </c>
      <c r="BO1209" s="68">
        <f t="shared" si="130"/>
        <v>32125</v>
      </c>
      <c r="BP1209" s="68">
        <f t="shared" si="130"/>
        <v>0</v>
      </c>
      <c r="BQ1209" s="68">
        <f t="shared" si="130"/>
        <v>0</v>
      </c>
      <c r="BR1209" s="68">
        <f t="shared" si="130"/>
        <v>0</v>
      </c>
      <c r="BS1209" s="68">
        <f t="shared" si="130"/>
        <v>0</v>
      </c>
      <c r="BT1209" s="68">
        <f t="shared" si="130"/>
        <v>0</v>
      </c>
      <c r="BU1209" s="68">
        <f t="shared" ref="BU1209:CJ1209" si="131">SUM(BU1070:BU1208)-BU1210</f>
        <v>0</v>
      </c>
      <c r="BV1209" s="68">
        <f t="shared" si="131"/>
        <v>0</v>
      </c>
      <c r="BW1209" s="68">
        <f t="shared" si="131"/>
        <v>0</v>
      </c>
      <c r="BX1209" s="68">
        <f t="shared" si="131"/>
        <v>0</v>
      </c>
      <c r="BY1209" s="68">
        <f t="shared" si="131"/>
        <v>0</v>
      </c>
      <c r="BZ1209" s="68">
        <f t="shared" si="131"/>
        <v>0</v>
      </c>
      <c r="CA1209" s="68">
        <f t="shared" si="131"/>
        <v>0</v>
      </c>
      <c r="CB1209" s="68">
        <f t="shared" si="131"/>
        <v>0</v>
      </c>
      <c r="CC1209" s="68">
        <f t="shared" si="131"/>
        <v>0</v>
      </c>
      <c r="CD1209" s="68">
        <f t="shared" si="131"/>
        <v>974</v>
      </c>
      <c r="CE1209" s="68">
        <f t="shared" si="131"/>
        <v>2264682.7699999986</v>
      </c>
      <c r="CF1209" s="68">
        <f t="shared" si="131"/>
        <v>0</v>
      </c>
      <c r="CI1209" s="68">
        <f t="shared" si="131"/>
        <v>0</v>
      </c>
      <c r="CJ1209" s="68">
        <f t="shared" si="131"/>
        <v>0</v>
      </c>
      <c r="CK1209" s="68">
        <f>SUM(CK1070:CK1208)</f>
        <v>0</v>
      </c>
      <c r="CL1209" s="68">
        <f>SUM(CL1070:CL1208)</f>
        <v>0</v>
      </c>
      <c r="CM1209" s="68">
        <f>SUM(CM1070:CM1208)</f>
        <v>0</v>
      </c>
      <c r="CN1209" s="68">
        <f>SUM(CN1070:CN1208)</f>
        <v>0</v>
      </c>
      <c r="CO1209" s="68">
        <f>SUM(CO1070:CO1208)</f>
        <v>0</v>
      </c>
    </row>
    <row r="1210" spans="1:93" s="68" customFormat="1" ht="36" x14ac:dyDescent="0.25">
      <c r="C1210" s="83"/>
      <c r="D1210" s="84"/>
      <c r="E1210" s="108"/>
      <c r="F1210" s="88" t="s">
        <v>2598</v>
      </c>
      <c r="H1210" s="68">
        <f>SUM(H1079:H1084)</f>
        <v>1618521.45</v>
      </c>
      <c r="I1210" s="68">
        <f t="shared" ref="I1210:BT1210" si="132">SUM(I1079:I1084)</f>
        <v>0</v>
      </c>
      <c r="J1210" s="68">
        <f t="shared" si="132"/>
        <v>0</v>
      </c>
      <c r="K1210" s="68">
        <f t="shared" si="132"/>
        <v>0</v>
      </c>
      <c r="L1210" s="68">
        <f t="shared" si="132"/>
        <v>0</v>
      </c>
      <c r="M1210" s="68">
        <f t="shared" si="132"/>
        <v>0</v>
      </c>
      <c r="N1210" s="68">
        <f t="shared" si="132"/>
        <v>0</v>
      </c>
      <c r="O1210" s="68">
        <f t="shared" si="132"/>
        <v>0</v>
      </c>
      <c r="P1210" s="68">
        <f t="shared" si="132"/>
        <v>0</v>
      </c>
      <c r="Q1210" s="68">
        <f t="shared" si="132"/>
        <v>0</v>
      </c>
      <c r="R1210" s="68">
        <f t="shared" si="132"/>
        <v>0</v>
      </c>
      <c r="S1210" s="68">
        <f t="shared" si="132"/>
        <v>0</v>
      </c>
      <c r="T1210" s="68">
        <f t="shared" si="132"/>
        <v>0</v>
      </c>
      <c r="U1210" s="68">
        <f t="shared" si="132"/>
        <v>0</v>
      </c>
      <c r="V1210" s="68">
        <f t="shared" si="132"/>
        <v>0</v>
      </c>
      <c r="W1210" s="68">
        <f t="shared" si="132"/>
        <v>0</v>
      </c>
      <c r="X1210" s="68">
        <f t="shared" si="132"/>
        <v>0</v>
      </c>
      <c r="Y1210" s="68">
        <f t="shared" si="132"/>
        <v>0</v>
      </c>
      <c r="Z1210" s="68">
        <f t="shared" si="132"/>
        <v>0</v>
      </c>
      <c r="AA1210" s="68">
        <f t="shared" si="132"/>
        <v>0</v>
      </c>
      <c r="AB1210" s="68">
        <f t="shared" si="132"/>
        <v>0</v>
      </c>
      <c r="AC1210" s="68">
        <f t="shared" si="132"/>
        <v>0</v>
      </c>
      <c r="AD1210" s="68">
        <f t="shared" si="132"/>
        <v>800</v>
      </c>
      <c r="AE1210" s="68">
        <f t="shared" si="132"/>
        <v>0</v>
      </c>
      <c r="AF1210" s="68">
        <f t="shared" si="132"/>
        <v>0</v>
      </c>
      <c r="AG1210" s="68">
        <f t="shared" si="132"/>
        <v>0</v>
      </c>
      <c r="AH1210" s="68">
        <f t="shared" si="132"/>
        <v>0</v>
      </c>
      <c r="AI1210" s="68">
        <f t="shared" si="132"/>
        <v>0</v>
      </c>
      <c r="AJ1210" s="68">
        <f t="shared" si="132"/>
        <v>0</v>
      </c>
      <c r="AK1210" s="68">
        <f t="shared" si="132"/>
        <v>0</v>
      </c>
      <c r="AL1210" s="68">
        <f t="shared" si="132"/>
        <v>0</v>
      </c>
      <c r="AM1210" s="68">
        <f t="shared" si="132"/>
        <v>0</v>
      </c>
      <c r="AN1210" s="68">
        <f t="shared" si="132"/>
        <v>0</v>
      </c>
      <c r="AO1210" s="68">
        <f t="shared" si="132"/>
        <v>0</v>
      </c>
      <c r="AP1210" s="68">
        <f t="shared" si="132"/>
        <v>0</v>
      </c>
      <c r="AQ1210" s="68">
        <f t="shared" si="132"/>
        <v>0</v>
      </c>
      <c r="AR1210" s="68">
        <f t="shared" si="132"/>
        <v>0</v>
      </c>
      <c r="AS1210" s="68">
        <f t="shared" si="132"/>
        <v>1618521.45</v>
      </c>
      <c r="AT1210" s="68">
        <f t="shared" si="132"/>
        <v>1182732.6300000001</v>
      </c>
      <c r="AU1210" s="68">
        <f t="shared" si="132"/>
        <v>17660.349999999999</v>
      </c>
      <c r="AV1210" s="68">
        <f t="shared" si="132"/>
        <v>395240.89999999997</v>
      </c>
      <c r="AW1210" s="68">
        <f t="shared" si="132"/>
        <v>9581.26</v>
      </c>
      <c r="AX1210" s="68">
        <f t="shared" si="132"/>
        <v>14093.2</v>
      </c>
      <c r="AY1210" s="68">
        <f t="shared" si="132"/>
        <v>0</v>
      </c>
      <c r="AZ1210" s="68">
        <f t="shared" si="132"/>
        <v>0</v>
      </c>
      <c r="BA1210" s="68">
        <f t="shared" si="132"/>
        <v>0</v>
      </c>
      <c r="BB1210" s="68">
        <f t="shared" si="132"/>
        <v>0</v>
      </c>
      <c r="BC1210" s="68">
        <f t="shared" si="132"/>
        <v>0</v>
      </c>
      <c r="BD1210" s="68">
        <f t="shared" si="132"/>
        <v>0</v>
      </c>
      <c r="BE1210" s="68">
        <f t="shared" si="132"/>
        <v>0</v>
      </c>
      <c r="BF1210" s="68">
        <f t="shared" si="132"/>
        <v>0</v>
      </c>
      <c r="BG1210" s="68">
        <f t="shared" si="132"/>
        <v>0</v>
      </c>
      <c r="BH1210" s="68">
        <f t="shared" si="132"/>
        <v>0</v>
      </c>
      <c r="BI1210" s="68">
        <f t="shared" si="132"/>
        <v>0</v>
      </c>
      <c r="BJ1210" s="68">
        <f t="shared" si="132"/>
        <v>0</v>
      </c>
      <c r="BK1210" s="68">
        <f t="shared" si="132"/>
        <v>0</v>
      </c>
      <c r="BL1210" s="68">
        <f t="shared" si="132"/>
        <v>0</v>
      </c>
      <c r="BM1210" s="68">
        <f t="shared" si="132"/>
        <v>0</v>
      </c>
      <c r="BN1210" s="68">
        <f t="shared" si="132"/>
        <v>0</v>
      </c>
      <c r="BO1210" s="68">
        <f t="shared" si="132"/>
        <v>0</v>
      </c>
      <c r="BP1210" s="68">
        <f t="shared" si="132"/>
        <v>0</v>
      </c>
      <c r="BQ1210" s="68">
        <f t="shared" si="132"/>
        <v>0</v>
      </c>
      <c r="BR1210" s="68">
        <f t="shared" si="132"/>
        <v>0</v>
      </c>
      <c r="BS1210" s="68">
        <f t="shared" si="132"/>
        <v>0</v>
      </c>
      <c r="BT1210" s="68">
        <f t="shared" si="132"/>
        <v>0</v>
      </c>
      <c r="BU1210" s="68">
        <f t="shared" ref="BU1210:CO1210" si="133">SUM(BU1079:BU1084)</f>
        <v>0</v>
      </c>
      <c r="BV1210" s="68">
        <f t="shared" si="133"/>
        <v>0</v>
      </c>
      <c r="BW1210" s="68">
        <f t="shared" si="133"/>
        <v>0</v>
      </c>
      <c r="BX1210" s="68">
        <f t="shared" si="133"/>
        <v>0</v>
      </c>
      <c r="BY1210" s="68">
        <f t="shared" si="133"/>
        <v>0</v>
      </c>
      <c r="BZ1210" s="68">
        <f t="shared" si="133"/>
        <v>0</v>
      </c>
      <c r="CA1210" s="68">
        <f t="shared" si="133"/>
        <v>0</v>
      </c>
      <c r="CB1210" s="68">
        <f t="shared" si="133"/>
        <v>0</v>
      </c>
      <c r="CC1210" s="68">
        <f t="shared" si="133"/>
        <v>0</v>
      </c>
      <c r="CD1210" s="68">
        <f t="shared" si="133"/>
        <v>13.11</v>
      </c>
      <c r="CE1210" s="68">
        <f t="shared" si="133"/>
        <v>1618521.45</v>
      </c>
      <c r="CF1210" s="68">
        <f t="shared" si="133"/>
        <v>0</v>
      </c>
      <c r="CI1210" s="68">
        <f t="shared" si="133"/>
        <v>0</v>
      </c>
      <c r="CJ1210" s="68">
        <f t="shared" si="133"/>
        <v>0</v>
      </c>
      <c r="CK1210" s="68">
        <f t="shared" si="133"/>
        <v>0</v>
      </c>
      <c r="CL1210" s="68">
        <f t="shared" si="133"/>
        <v>0</v>
      </c>
      <c r="CM1210" s="68">
        <f t="shared" si="133"/>
        <v>0</v>
      </c>
      <c r="CN1210" s="68">
        <f t="shared" si="133"/>
        <v>0</v>
      </c>
      <c r="CO1210" s="68">
        <f t="shared" si="133"/>
        <v>0</v>
      </c>
    </row>
    <row r="1211" spans="1:93" s="68" customFormat="1" x14ac:dyDescent="0.25">
      <c r="C1211" s="83"/>
      <c r="D1211" s="84"/>
      <c r="E1211" s="108"/>
      <c r="F1211" s="88" t="s">
        <v>2599</v>
      </c>
      <c r="H1211" s="68">
        <f>+H1210+H784</f>
        <v>2266130.9900000002</v>
      </c>
      <c r="I1211" s="68">
        <f t="shared" ref="I1211:BT1211" si="134">+I1210+I784</f>
        <v>0</v>
      </c>
      <c r="J1211" s="68">
        <f t="shared" si="134"/>
        <v>0</v>
      </c>
      <c r="K1211" s="68">
        <f t="shared" si="134"/>
        <v>0</v>
      </c>
      <c r="L1211" s="68">
        <f t="shared" si="134"/>
        <v>0</v>
      </c>
      <c r="M1211" s="68">
        <f t="shared" si="134"/>
        <v>0</v>
      </c>
      <c r="N1211" s="68">
        <f t="shared" si="134"/>
        <v>0</v>
      </c>
      <c r="O1211" s="68">
        <f t="shared" si="134"/>
        <v>0</v>
      </c>
      <c r="P1211" s="68">
        <f t="shared" si="134"/>
        <v>0</v>
      </c>
      <c r="Q1211" s="68">
        <f t="shared" si="134"/>
        <v>0</v>
      </c>
      <c r="R1211" s="68">
        <f t="shared" si="134"/>
        <v>0</v>
      </c>
      <c r="S1211" s="68">
        <f t="shared" si="134"/>
        <v>0</v>
      </c>
      <c r="T1211" s="68">
        <f t="shared" si="134"/>
        <v>0</v>
      </c>
      <c r="U1211" s="68">
        <f t="shared" si="134"/>
        <v>0</v>
      </c>
      <c r="V1211" s="68">
        <f t="shared" si="134"/>
        <v>0</v>
      </c>
      <c r="W1211" s="68">
        <f t="shared" si="134"/>
        <v>0</v>
      </c>
      <c r="X1211" s="68">
        <f t="shared" si="134"/>
        <v>0</v>
      </c>
      <c r="Y1211" s="68">
        <f t="shared" si="134"/>
        <v>0</v>
      </c>
      <c r="Z1211" s="68">
        <f t="shared" si="134"/>
        <v>0</v>
      </c>
      <c r="AA1211" s="68">
        <f t="shared" si="134"/>
        <v>0</v>
      </c>
      <c r="AB1211" s="68">
        <f t="shared" si="134"/>
        <v>0</v>
      </c>
      <c r="AC1211" s="68">
        <f t="shared" si="134"/>
        <v>0</v>
      </c>
      <c r="AD1211" s="68">
        <f t="shared" si="134"/>
        <v>800</v>
      </c>
      <c r="AE1211" s="68">
        <f t="shared" si="134"/>
        <v>0</v>
      </c>
      <c r="AF1211" s="68">
        <f t="shared" si="134"/>
        <v>0</v>
      </c>
      <c r="AG1211" s="68">
        <f t="shared" si="134"/>
        <v>0</v>
      </c>
      <c r="AH1211" s="68">
        <f t="shared" si="134"/>
        <v>0</v>
      </c>
      <c r="AI1211" s="68">
        <f t="shared" si="134"/>
        <v>0</v>
      </c>
      <c r="AJ1211" s="68">
        <f t="shared" si="134"/>
        <v>0</v>
      </c>
      <c r="AK1211" s="68">
        <f t="shared" si="134"/>
        <v>0</v>
      </c>
      <c r="AL1211" s="68">
        <f t="shared" si="134"/>
        <v>0</v>
      </c>
      <c r="AM1211" s="68">
        <f t="shared" si="134"/>
        <v>0</v>
      </c>
      <c r="AN1211" s="68">
        <f t="shared" si="134"/>
        <v>0</v>
      </c>
      <c r="AO1211" s="68">
        <f t="shared" si="134"/>
        <v>0</v>
      </c>
      <c r="AP1211" s="68">
        <f t="shared" si="134"/>
        <v>0</v>
      </c>
      <c r="AQ1211" s="68">
        <f t="shared" si="134"/>
        <v>0</v>
      </c>
      <c r="AR1211" s="68">
        <f t="shared" si="134"/>
        <v>0</v>
      </c>
      <c r="AS1211" s="68">
        <f t="shared" si="134"/>
        <v>2266130.9900000002</v>
      </c>
      <c r="AT1211" s="68">
        <f t="shared" si="134"/>
        <v>1651701.6500000001</v>
      </c>
      <c r="AU1211" s="68">
        <f t="shared" si="134"/>
        <v>23091.97</v>
      </c>
      <c r="AV1211" s="68">
        <f t="shared" si="134"/>
        <v>552934.1</v>
      </c>
      <c r="AW1211" s="68">
        <f t="shared" si="134"/>
        <v>20522.339999999997</v>
      </c>
      <c r="AX1211" s="68">
        <f t="shared" si="134"/>
        <v>18657.5</v>
      </c>
      <c r="AY1211" s="68">
        <f t="shared" si="134"/>
        <v>0</v>
      </c>
      <c r="AZ1211" s="68">
        <f t="shared" si="134"/>
        <v>0</v>
      </c>
      <c r="BA1211" s="68">
        <f t="shared" si="134"/>
        <v>0</v>
      </c>
      <c r="BB1211" s="68">
        <f t="shared" si="134"/>
        <v>0</v>
      </c>
      <c r="BC1211" s="68">
        <f t="shared" si="134"/>
        <v>0</v>
      </c>
      <c r="BD1211" s="68">
        <f t="shared" si="134"/>
        <v>0</v>
      </c>
      <c r="BE1211" s="68">
        <f t="shared" si="134"/>
        <v>0</v>
      </c>
      <c r="BF1211" s="68">
        <f t="shared" si="134"/>
        <v>0</v>
      </c>
      <c r="BG1211" s="68">
        <f t="shared" si="134"/>
        <v>0</v>
      </c>
      <c r="BH1211" s="68">
        <f t="shared" si="134"/>
        <v>0</v>
      </c>
      <c r="BI1211" s="68">
        <f t="shared" si="134"/>
        <v>0</v>
      </c>
      <c r="BJ1211" s="68">
        <f t="shared" si="134"/>
        <v>0</v>
      </c>
      <c r="BK1211" s="68">
        <f t="shared" si="134"/>
        <v>0</v>
      </c>
      <c r="BL1211" s="68">
        <f t="shared" si="134"/>
        <v>0</v>
      </c>
      <c r="BM1211" s="68">
        <f t="shared" si="134"/>
        <v>0</v>
      </c>
      <c r="BN1211" s="68">
        <f t="shared" si="134"/>
        <v>0</v>
      </c>
      <c r="BO1211" s="68">
        <f t="shared" si="134"/>
        <v>0</v>
      </c>
      <c r="BP1211" s="68">
        <f t="shared" si="134"/>
        <v>0</v>
      </c>
      <c r="BQ1211" s="68">
        <f t="shared" si="134"/>
        <v>0</v>
      </c>
      <c r="BR1211" s="68">
        <f t="shared" si="134"/>
        <v>0</v>
      </c>
      <c r="BS1211" s="68">
        <f t="shared" si="134"/>
        <v>0</v>
      </c>
      <c r="BT1211" s="68">
        <f t="shared" si="134"/>
        <v>0</v>
      </c>
      <c r="BU1211" s="68">
        <f t="shared" ref="BU1211:CJ1211" si="135">+BU1210+BU784</f>
        <v>0</v>
      </c>
      <c r="BV1211" s="68">
        <f t="shared" si="135"/>
        <v>0</v>
      </c>
      <c r="BW1211" s="68">
        <f t="shared" si="135"/>
        <v>0</v>
      </c>
      <c r="BX1211" s="68">
        <f t="shared" si="135"/>
        <v>0</v>
      </c>
      <c r="BY1211" s="68">
        <f t="shared" si="135"/>
        <v>0</v>
      </c>
      <c r="BZ1211" s="68">
        <f t="shared" si="135"/>
        <v>0</v>
      </c>
      <c r="CA1211" s="68">
        <f t="shared" si="135"/>
        <v>0</v>
      </c>
      <c r="CB1211" s="68">
        <f t="shared" si="135"/>
        <v>0</v>
      </c>
      <c r="CC1211" s="68">
        <f t="shared" si="135"/>
        <v>0</v>
      </c>
      <c r="CD1211" s="68">
        <f t="shared" si="135"/>
        <v>23.43</v>
      </c>
      <c r="CE1211" s="68">
        <f t="shared" si="135"/>
        <v>2266130.9900000002</v>
      </c>
      <c r="CF1211" s="68">
        <f t="shared" si="135"/>
        <v>0</v>
      </c>
      <c r="CG1211" s="68">
        <f t="shared" si="135"/>
        <v>0</v>
      </c>
      <c r="CH1211" s="68">
        <f t="shared" si="135"/>
        <v>0</v>
      </c>
      <c r="CI1211" s="68">
        <f t="shared" si="135"/>
        <v>0</v>
      </c>
      <c r="CJ1211" s="68">
        <f t="shared" si="135"/>
        <v>0</v>
      </c>
    </row>
    <row r="1212" spans="1:93" ht="36" x14ac:dyDescent="0.25">
      <c r="C1212" s="82"/>
      <c r="D1212" s="78">
        <v>7231</v>
      </c>
      <c r="E1212" s="107" t="s">
        <v>1431</v>
      </c>
      <c r="F1212" s="77" t="s">
        <v>2600</v>
      </c>
      <c r="G1212" s="69"/>
      <c r="R1212" s="69">
        <v>0</v>
      </c>
      <c r="U1212" s="69"/>
      <c r="V1212" s="69"/>
      <c r="AS1212" s="94">
        <f t="shared" si="126"/>
        <v>0</v>
      </c>
      <c r="AT1212" s="69">
        <v>0</v>
      </c>
      <c r="AU1212" s="69"/>
      <c r="BD1212" s="69"/>
      <c r="BE1212" s="69"/>
      <c r="CE1212" s="94">
        <f t="shared" ref="CE1212:CE1215" si="136">SUM(AT1212:CD1212)</f>
        <v>0</v>
      </c>
      <c r="CF1212" s="73">
        <f t="shared" ref="CF1212:CF1215" si="137">+CE1212-AS1212</f>
        <v>0</v>
      </c>
      <c r="CG1212" s="75">
        <f t="shared" ref="CG1212:CH1215" si="138">+D1212</f>
        <v>7231</v>
      </c>
      <c r="CH1212" s="75" t="str">
        <f t="shared" si="138"/>
        <v>لاب فقط</v>
      </c>
    </row>
    <row r="1213" spans="1:93" x14ac:dyDescent="0.25">
      <c r="C1213" s="82"/>
      <c r="D1213" s="78">
        <v>7232</v>
      </c>
      <c r="E1213" s="107" t="s">
        <v>1431</v>
      </c>
      <c r="F1213" s="69" t="s">
        <v>899</v>
      </c>
      <c r="G1213" s="69"/>
      <c r="U1213" s="69"/>
      <c r="V1213" s="69"/>
      <c r="AS1213" s="94">
        <f t="shared" si="126"/>
        <v>0</v>
      </c>
      <c r="AU1213" s="69"/>
      <c r="BD1213" s="69"/>
      <c r="BE1213" s="69"/>
      <c r="CE1213" s="94">
        <f t="shared" si="136"/>
        <v>0</v>
      </c>
      <c r="CF1213" s="73">
        <f t="shared" si="137"/>
        <v>0</v>
      </c>
      <c r="CG1213" s="75">
        <f t="shared" si="138"/>
        <v>7232</v>
      </c>
      <c r="CH1213" s="75" t="str">
        <f t="shared" si="138"/>
        <v>لاب فقط</v>
      </c>
    </row>
    <row r="1214" spans="1:93" s="68" customFormat="1" x14ac:dyDescent="0.25">
      <c r="C1214" s="83"/>
      <c r="D1214" s="84"/>
      <c r="E1214" s="108"/>
      <c r="F1214" s="68" t="s">
        <v>2561</v>
      </c>
      <c r="AS1214" s="106"/>
      <c r="CE1214" s="106"/>
      <c r="CF1214" s="106"/>
      <c r="CG1214" s="67"/>
      <c r="CH1214" s="67"/>
    </row>
    <row r="1215" spans="1:93" x14ac:dyDescent="0.25">
      <c r="A1215" s="69" t="s">
        <v>2601</v>
      </c>
      <c r="B1215" s="69" t="s">
        <v>220</v>
      </c>
      <c r="C1215" s="82">
        <v>5900</v>
      </c>
      <c r="D1215" s="78">
        <v>7233</v>
      </c>
      <c r="E1215" s="107" t="s">
        <v>325</v>
      </c>
      <c r="F1215" s="69" t="s">
        <v>2602</v>
      </c>
      <c r="G1215" s="69" t="s">
        <v>220</v>
      </c>
      <c r="H1215" s="69">
        <v>5827.4</v>
      </c>
      <c r="U1215" s="69"/>
      <c r="V1215" s="69"/>
      <c r="AS1215" s="94">
        <f t="shared" si="126"/>
        <v>5827.4</v>
      </c>
      <c r="AT1215" s="69">
        <v>3997.44</v>
      </c>
      <c r="AU1215" s="69">
        <v>425.86</v>
      </c>
      <c r="AV1215" s="69">
        <v>1404.1</v>
      </c>
      <c r="BD1215" s="69"/>
      <c r="BE1215" s="69"/>
      <c r="CE1215" s="94">
        <f t="shared" si="136"/>
        <v>5827.4</v>
      </c>
      <c r="CF1215" s="73">
        <f t="shared" si="137"/>
        <v>0</v>
      </c>
      <c r="CG1215" s="75">
        <f t="shared" si="138"/>
        <v>7233</v>
      </c>
      <c r="CH1215" s="75" t="str">
        <f t="shared" si="138"/>
        <v xml:space="preserve">برنامج دولى </v>
      </c>
    </row>
    <row r="1216" spans="1:93" s="68" customFormat="1" x14ac:dyDescent="0.25">
      <c r="C1216" s="83"/>
      <c r="D1216" s="84"/>
      <c r="E1216" s="108"/>
      <c r="F1216" s="68" t="s">
        <v>2603</v>
      </c>
      <c r="H1216" s="68">
        <f>SUM(H1215)</f>
        <v>5827.4</v>
      </c>
      <c r="I1216" s="68">
        <f t="shared" ref="I1216:BT1216" si="139">SUM(I1215)</f>
        <v>0</v>
      </c>
      <c r="J1216" s="68">
        <f t="shared" si="139"/>
        <v>0</v>
      </c>
      <c r="K1216" s="68">
        <f t="shared" si="139"/>
        <v>0</v>
      </c>
      <c r="L1216" s="68">
        <f t="shared" si="139"/>
        <v>0</v>
      </c>
      <c r="M1216" s="68">
        <f t="shared" si="139"/>
        <v>0</v>
      </c>
      <c r="N1216" s="68">
        <f t="shared" si="139"/>
        <v>0</v>
      </c>
      <c r="O1216" s="68">
        <f t="shared" si="139"/>
        <v>0</v>
      </c>
      <c r="P1216" s="68">
        <f t="shared" si="139"/>
        <v>0</v>
      </c>
      <c r="Q1216" s="68">
        <f t="shared" si="139"/>
        <v>0</v>
      </c>
      <c r="R1216" s="68">
        <f t="shared" si="139"/>
        <v>0</v>
      </c>
      <c r="S1216" s="68">
        <f t="shared" si="139"/>
        <v>0</v>
      </c>
      <c r="T1216" s="68">
        <f t="shared" si="139"/>
        <v>0</v>
      </c>
      <c r="U1216" s="68">
        <f t="shared" si="139"/>
        <v>0</v>
      </c>
      <c r="V1216" s="68">
        <f t="shared" si="139"/>
        <v>0</v>
      </c>
      <c r="W1216" s="68">
        <f t="shared" si="139"/>
        <v>0</v>
      </c>
      <c r="X1216" s="68">
        <f t="shared" si="139"/>
        <v>0</v>
      </c>
      <c r="Y1216" s="68">
        <f t="shared" si="139"/>
        <v>0</v>
      </c>
      <c r="Z1216" s="68">
        <f t="shared" si="139"/>
        <v>0</v>
      </c>
      <c r="AA1216" s="68">
        <f t="shared" si="139"/>
        <v>0</v>
      </c>
      <c r="AB1216" s="68">
        <f t="shared" si="139"/>
        <v>0</v>
      </c>
      <c r="AC1216" s="68">
        <f t="shared" si="139"/>
        <v>0</v>
      </c>
      <c r="AD1216" s="68">
        <f t="shared" si="139"/>
        <v>0</v>
      </c>
      <c r="AE1216" s="68">
        <f t="shared" si="139"/>
        <v>0</v>
      </c>
      <c r="AF1216" s="68">
        <f t="shared" si="139"/>
        <v>0</v>
      </c>
      <c r="AG1216" s="68">
        <f t="shared" si="139"/>
        <v>0</v>
      </c>
      <c r="AH1216" s="68">
        <f t="shared" si="139"/>
        <v>0</v>
      </c>
      <c r="AI1216" s="68">
        <f t="shared" si="139"/>
        <v>0</v>
      </c>
      <c r="AJ1216" s="68">
        <f t="shared" si="139"/>
        <v>0</v>
      </c>
      <c r="AK1216" s="68">
        <f t="shared" si="139"/>
        <v>0</v>
      </c>
      <c r="AL1216" s="68">
        <f t="shared" si="139"/>
        <v>0</v>
      </c>
      <c r="AM1216" s="68">
        <f t="shared" si="139"/>
        <v>0</v>
      </c>
      <c r="AN1216" s="68">
        <f t="shared" si="139"/>
        <v>0</v>
      </c>
      <c r="AO1216" s="68">
        <f t="shared" si="139"/>
        <v>0</v>
      </c>
      <c r="AP1216" s="68">
        <f t="shared" si="139"/>
        <v>0</v>
      </c>
      <c r="AQ1216" s="68">
        <f t="shared" si="139"/>
        <v>0</v>
      </c>
      <c r="AR1216" s="68">
        <f t="shared" si="139"/>
        <v>0</v>
      </c>
      <c r="AS1216" s="68">
        <f t="shared" si="139"/>
        <v>5827.4</v>
      </c>
      <c r="AT1216" s="68">
        <f t="shared" si="139"/>
        <v>3997.44</v>
      </c>
      <c r="AU1216" s="68">
        <f t="shared" si="139"/>
        <v>425.86</v>
      </c>
      <c r="AV1216" s="68">
        <f t="shared" si="139"/>
        <v>1404.1</v>
      </c>
      <c r="AW1216" s="68">
        <f t="shared" si="139"/>
        <v>0</v>
      </c>
      <c r="AX1216" s="68">
        <f t="shared" si="139"/>
        <v>0</v>
      </c>
      <c r="AY1216" s="68">
        <f t="shared" si="139"/>
        <v>0</v>
      </c>
      <c r="AZ1216" s="68">
        <f t="shared" si="139"/>
        <v>0</v>
      </c>
      <c r="BA1216" s="68">
        <f t="shared" si="139"/>
        <v>0</v>
      </c>
      <c r="BB1216" s="68">
        <f t="shared" si="139"/>
        <v>0</v>
      </c>
      <c r="BC1216" s="68">
        <f t="shared" si="139"/>
        <v>0</v>
      </c>
      <c r="BD1216" s="68">
        <f t="shared" si="139"/>
        <v>0</v>
      </c>
      <c r="BE1216" s="68">
        <f t="shared" si="139"/>
        <v>0</v>
      </c>
      <c r="BF1216" s="68">
        <f t="shared" si="139"/>
        <v>0</v>
      </c>
      <c r="BG1216" s="68">
        <f t="shared" si="139"/>
        <v>0</v>
      </c>
      <c r="BH1216" s="68">
        <f t="shared" si="139"/>
        <v>0</v>
      </c>
      <c r="BI1216" s="68">
        <f t="shared" si="139"/>
        <v>0</v>
      </c>
      <c r="BJ1216" s="68">
        <f t="shared" si="139"/>
        <v>0</v>
      </c>
      <c r="BK1216" s="68">
        <f t="shared" si="139"/>
        <v>0</v>
      </c>
      <c r="BL1216" s="68">
        <f t="shared" si="139"/>
        <v>0</v>
      </c>
      <c r="BM1216" s="68">
        <f t="shared" si="139"/>
        <v>0</v>
      </c>
      <c r="BN1216" s="68">
        <f t="shared" si="139"/>
        <v>0</v>
      </c>
      <c r="BO1216" s="68">
        <f t="shared" si="139"/>
        <v>0</v>
      </c>
      <c r="BP1216" s="68">
        <f t="shared" si="139"/>
        <v>0</v>
      </c>
      <c r="BQ1216" s="68">
        <f t="shared" si="139"/>
        <v>0</v>
      </c>
      <c r="BR1216" s="68">
        <f t="shared" si="139"/>
        <v>0</v>
      </c>
      <c r="BS1216" s="68">
        <f t="shared" si="139"/>
        <v>0</v>
      </c>
      <c r="BT1216" s="68">
        <f t="shared" si="139"/>
        <v>0</v>
      </c>
      <c r="BU1216" s="68">
        <f t="shared" ref="BU1216:CF1216" si="140">SUM(BU1215)</f>
        <v>0</v>
      </c>
      <c r="BV1216" s="68">
        <f t="shared" si="140"/>
        <v>0</v>
      </c>
      <c r="BW1216" s="68">
        <f t="shared" si="140"/>
        <v>0</v>
      </c>
      <c r="BX1216" s="68">
        <f t="shared" si="140"/>
        <v>0</v>
      </c>
      <c r="BY1216" s="68">
        <f t="shared" si="140"/>
        <v>0</v>
      </c>
      <c r="BZ1216" s="68">
        <f t="shared" si="140"/>
        <v>0</v>
      </c>
      <c r="CA1216" s="68">
        <f t="shared" si="140"/>
        <v>0</v>
      </c>
      <c r="CB1216" s="68">
        <f t="shared" si="140"/>
        <v>0</v>
      </c>
      <c r="CC1216" s="68">
        <f t="shared" si="140"/>
        <v>0</v>
      </c>
      <c r="CD1216" s="68">
        <f t="shared" si="140"/>
        <v>0</v>
      </c>
      <c r="CE1216" s="68">
        <f t="shared" si="140"/>
        <v>5827.4</v>
      </c>
      <c r="CF1216" s="68">
        <f t="shared" si="140"/>
        <v>0</v>
      </c>
      <c r="CH1216" s="67"/>
    </row>
    <row r="1217" spans="2:101" s="57" customFormat="1" x14ac:dyDescent="0.25">
      <c r="B1217" s="57">
        <v>0</v>
      </c>
      <c r="C1217" s="86">
        <v>0</v>
      </c>
      <c r="D1217" s="86">
        <v>0</v>
      </c>
      <c r="E1217" s="111">
        <v>0</v>
      </c>
      <c r="F1217" s="57">
        <v>0</v>
      </c>
      <c r="G1217" s="63"/>
      <c r="H1217" s="57">
        <f t="shared" ref="H1217:AN1217" si="141">SUM(H26:H1216)</f>
        <v>33642335.169999994</v>
      </c>
      <c r="I1217" s="57">
        <f t="shared" si="141"/>
        <v>16279405.880000005</v>
      </c>
      <c r="J1217" s="57">
        <f t="shared" si="141"/>
        <v>0</v>
      </c>
      <c r="K1217" s="57">
        <f t="shared" si="141"/>
        <v>0</v>
      </c>
      <c r="L1217" s="57">
        <f t="shared" si="141"/>
        <v>2617385.8600000003</v>
      </c>
      <c r="M1217" s="57">
        <f t="shared" si="141"/>
        <v>2617385.8600000003</v>
      </c>
      <c r="N1217" s="57">
        <f t="shared" si="141"/>
        <v>2617385.8600000003</v>
      </c>
      <c r="O1217" s="57">
        <f t="shared" si="141"/>
        <v>0</v>
      </c>
      <c r="P1217" s="57">
        <f t="shared" si="141"/>
        <v>100250</v>
      </c>
      <c r="Q1217" s="57">
        <f t="shared" si="141"/>
        <v>0</v>
      </c>
      <c r="R1217" s="57">
        <f t="shared" si="141"/>
        <v>123825.60000000001</v>
      </c>
      <c r="S1217" s="57">
        <f t="shared" si="141"/>
        <v>1151.4000000000001</v>
      </c>
      <c r="T1217" s="57">
        <f t="shared" si="141"/>
        <v>2893382.4</v>
      </c>
      <c r="U1217" s="57">
        <f t="shared" si="141"/>
        <v>1317798.42</v>
      </c>
      <c r="V1217" s="57">
        <f t="shared" si="141"/>
        <v>3384</v>
      </c>
      <c r="W1217" s="57">
        <f t="shared" si="141"/>
        <v>266744.5</v>
      </c>
      <c r="X1217" s="57">
        <f t="shared" si="141"/>
        <v>10807.12</v>
      </c>
      <c r="Y1217" s="57">
        <f t="shared" si="141"/>
        <v>0</v>
      </c>
      <c r="Z1217" s="57">
        <f t="shared" si="141"/>
        <v>0</v>
      </c>
      <c r="AA1217" s="57">
        <f t="shared" si="141"/>
        <v>0</v>
      </c>
      <c r="AB1217" s="57">
        <f t="shared" si="141"/>
        <v>0</v>
      </c>
      <c r="AC1217" s="57">
        <f t="shared" si="141"/>
        <v>291198.59999999998</v>
      </c>
      <c r="AD1217" s="57">
        <f t="shared" si="141"/>
        <v>113990.34000000001</v>
      </c>
      <c r="AE1217" s="57">
        <f t="shared" si="141"/>
        <v>0</v>
      </c>
      <c r="AF1217" s="57">
        <f t="shared" si="141"/>
        <v>0</v>
      </c>
      <c r="AG1217" s="57">
        <f t="shared" si="141"/>
        <v>0</v>
      </c>
      <c r="AH1217" s="57">
        <f t="shared" si="141"/>
        <v>0</v>
      </c>
      <c r="AI1217" s="57">
        <f t="shared" si="141"/>
        <v>0</v>
      </c>
      <c r="AJ1217" s="57">
        <f t="shared" si="141"/>
        <v>0</v>
      </c>
      <c r="AK1217" s="57">
        <f t="shared" si="141"/>
        <v>0</v>
      </c>
      <c r="AL1217" s="57">
        <f t="shared" si="141"/>
        <v>0</v>
      </c>
      <c r="AM1217" s="57">
        <f t="shared" si="141"/>
        <v>0</v>
      </c>
      <c r="AN1217" s="57">
        <f t="shared" si="141"/>
        <v>0</v>
      </c>
      <c r="AP1217" s="57">
        <f>SUM(AP26:AP1216)</f>
        <v>0</v>
      </c>
      <c r="AQ1217" s="57">
        <f>SUM(AQ26:AQ1216)</f>
        <v>2000</v>
      </c>
      <c r="AR1217" s="57">
        <f>SUM(AR26:AR1216)</f>
        <v>0</v>
      </c>
      <c r="AS1217" s="94">
        <f t="shared" si="40"/>
        <v>62898431.009999998</v>
      </c>
      <c r="AT1217" s="57">
        <f t="shared" ref="AT1217:BZ1217" si="142">SUM(AT26:AT1216)</f>
        <v>48602004.830000132</v>
      </c>
      <c r="AU1217" s="57">
        <f t="shared" si="142"/>
        <v>3207746.2500000019</v>
      </c>
      <c r="AV1217" s="57">
        <f t="shared" si="142"/>
        <v>4040430.14</v>
      </c>
      <c r="AW1217" s="57">
        <f t="shared" si="142"/>
        <v>221378.02</v>
      </c>
      <c r="AX1217" s="57">
        <f t="shared" si="142"/>
        <v>57800.460000000006</v>
      </c>
      <c r="AY1217" s="57">
        <f t="shared" si="142"/>
        <v>0</v>
      </c>
      <c r="AZ1217" s="57">
        <f t="shared" si="142"/>
        <v>0</v>
      </c>
      <c r="BA1217" s="57">
        <f t="shared" si="142"/>
        <v>0</v>
      </c>
      <c r="BB1217" s="57">
        <f t="shared" si="142"/>
        <v>0</v>
      </c>
      <c r="BC1217" s="57">
        <f t="shared" si="142"/>
        <v>0</v>
      </c>
      <c r="BD1217" s="57">
        <f t="shared" si="142"/>
        <v>0</v>
      </c>
      <c r="BE1217" s="57">
        <f t="shared" si="142"/>
        <v>60</v>
      </c>
      <c r="BF1217" s="57">
        <f t="shared" si="142"/>
        <v>201231</v>
      </c>
      <c r="BG1217" s="57">
        <f t="shared" si="142"/>
        <v>84469.799999999988</v>
      </c>
      <c r="BH1217" s="57">
        <f t="shared" si="142"/>
        <v>3376</v>
      </c>
      <c r="BI1217" s="57">
        <f t="shared" si="142"/>
        <v>99367.299999999988</v>
      </c>
      <c r="BJ1217" s="57">
        <f t="shared" si="142"/>
        <v>625470.30000000005</v>
      </c>
      <c r="BK1217" s="57">
        <f t="shared" si="142"/>
        <v>124836.79999999999</v>
      </c>
      <c r="BL1217" s="57">
        <f t="shared" si="142"/>
        <v>2617385.8600000003</v>
      </c>
      <c r="BM1217" s="57">
        <f t="shared" si="142"/>
        <v>2617385.8600000003</v>
      </c>
      <c r="BN1217" s="57">
        <f t="shared" si="142"/>
        <v>0</v>
      </c>
      <c r="BO1217" s="57">
        <f t="shared" si="142"/>
        <v>100250</v>
      </c>
      <c r="BP1217" s="57">
        <f t="shared" si="142"/>
        <v>0</v>
      </c>
      <c r="BQ1217" s="57">
        <f t="shared" si="142"/>
        <v>291198.59999999998</v>
      </c>
      <c r="BR1217" s="57">
        <f t="shared" si="142"/>
        <v>0</v>
      </c>
      <c r="BS1217" s="57">
        <f t="shared" si="142"/>
        <v>0</v>
      </c>
      <c r="BT1217" s="57">
        <f t="shared" si="142"/>
        <v>0</v>
      </c>
      <c r="BU1217" s="57">
        <f t="shared" si="142"/>
        <v>0</v>
      </c>
      <c r="BV1217" s="57">
        <f t="shared" si="142"/>
        <v>0</v>
      </c>
      <c r="BW1217" s="57">
        <f t="shared" si="142"/>
        <v>0</v>
      </c>
      <c r="BX1217" s="57">
        <f t="shared" si="142"/>
        <v>0</v>
      </c>
      <c r="BY1217" s="57">
        <f t="shared" si="142"/>
        <v>0</v>
      </c>
      <c r="BZ1217" s="57">
        <f t="shared" si="142"/>
        <v>0</v>
      </c>
      <c r="CB1217" s="57">
        <f>SUM(CB26:CB1216)</f>
        <v>0</v>
      </c>
      <c r="CC1217" s="57">
        <f>SUM(CC26:CC1216)</f>
        <v>0</v>
      </c>
      <c r="CD1217" s="57">
        <f>SUM(CD26:CD1216)</f>
        <v>4039.7899999999995</v>
      </c>
      <c r="CE1217" s="57">
        <f>SUM(CE26:CE1216)</f>
        <v>62896031.009999938</v>
      </c>
      <c r="CF1217" s="57">
        <f>SUM(CF26:CF1216)</f>
        <v>0</v>
      </c>
      <c r="CG1217" s="89"/>
      <c r="CH1217" s="89">
        <f t="shared" ref="CH1217:CW1217" si="143">SUM(CH26:CH1216)</f>
        <v>0</v>
      </c>
      <c r="CI1217" s="57">
        <f t="shared" si="143"/>
        <v>0</v>
      </c>
      <c r="CJ1217" s="57">
        <f t="shared" si="143"/>
        <v>0</v>
      </c>
      <c r="CK1217" s="57">
        <f t="shared" si="143"/>
        <v>0</v>
      </c>
      <c r="CL1217" s="57">
        <f t="shared" si="143"/>
        <v>0</v>
      </c>
      <c r="CM1217" s="57">
        <f t="shared" si="143"/>
        <v>0</v>
      </c>
      <c r="CN1217" s="57">
        <f t="shared" si="143"/>
        <v>0</v>
      </c>
      <c r="CO1217" s="57">
        <f t="shared" si="143"/>
        <v>0</v>
      </c>
      <c r="CP1217" s="57">
        <f t="shared" si="143"/>
        <v>0</v>
      </c>
      <c r="CQ1217" s="57">
        <f t="shared" si="143"/>
        <v>0</v>
      </c>
      <c r="CR1217" s="57">
        <f t="shared" si="143"/>
        <v>0</v>
      </c>
      <c r="CS1217" s="57">
        <f t="shared" si="143"/>
        <v>0</v>
      </c>
      <c r="CT1217" s="57">
        <f t="shared" si="143"/>
        <v>0</v>
      </c>
      <c r="CU1217" s="57">
        <f t="shared" si="143"/>
        <v>0</v>
      </c>
      <c r="CV1217" s="57">
        <f t="shared" si="143"/>
        <v>0</v>
      </c>
      <c r="CW1217" s="57">
        <f t="shared" si="143"/>
        <v>0</v>
      </c>
    </row>
    <row r="1218" spans="2:101" ht="36" x14ac:dyDescent="0.25">
      <c r="B1218" s="69" t="s">
        <v>2604</v>
      </c>
      <c r="C1218" s="70"/>
      <c r="D1218" s="70">
        <v>287</v>
      </c>
      <c r="E1218" s="112" t="s">
        <v>332</v>
      </c>
      <c r="F1218" s="77" t="s">
        <v>2605</v>
      </c>
      <c r="U1218" s="69"/>
      <c r="V1218" s="69"/>
      <c r="AS1218" s="94">
        <f t="shared" si="40"/>
        <v>0</v>
      </c>
      <c r="AU1218" s="69"/>
      <c r="BD1218" s="69"/>
      <c r="BE1218" s="69"/>
      <c r="CE1218" s="94">
        <f t="shared" ref="CE1218:CE1258" si="144">SUM(AT1218:CD1218)</f>
        <v>0</v>
      </c>
      <c r="CF1218" s="73">
        <f t="shared" ref="CF1218:CF1258" si="145">+CE1218-AS1218</f>
        <v>0</v>
      </c>
      <c r="CG1218" s="73">
        <f>+CE1218-AS1218</f>
        <v>0</v>
      </c>
      <c r="CH1218" s="75">
        <f>+D1218</f>
        <v>287</v>
      </c>
      <c r="CI1218" s="69" t="str">
        <f>+E1218</f>
        <v xml:space="preserve">لاب فقط </v>
      </c>
    </row>
    <row r="1219" spans="2:101" x14ac:dyDescent="0.25">
      <c r="D1219" s="75">
        <v>288</v>
      </c>
      <c r="F1219" s="69" t="s">
        <v>2606</v>
      </c>
      <c r="Y1219" s="69">
        <v>6705</v>
      </c>
      <c r="AS1219" s="94">
        <f t="shared" si="40"/>
        <v>6705</v>
      </c>
      <c r="CA1219" s="69">
        <v>6705</v>
      </c>
      <c r="CE1219" s="94">
        <f t="shared" si="144"/>
        <v>6705</v>
      </c>
      <c r="CF1219" s="73">
        <f t="shared" si="145"/>
        <v>0</v>
      </c>
      <c r="CG1219" s="73">
        <f>+CE1219-AS1219</f>
        <v>0</v>
      </c>
      <c r="CH1219" s="75">
        <f>+D1219</f>
        <v>288</v>
      </c>
      <c r="CI1219" s="69">
        <f>+E1219</f>
        <v>0</v>
      </c>
    </row>
    <row r="1220" spans="2:101" x14ac:dyDescent="0.25">
      <c r="C1220" s="70"/>
      <c r="D1220" s="70">
        <v>289</v>
      </c>
      <c r="E1220" s="112"/>
      <c r="F1220" s="69" t="s">
        <v>2607</v>
      </c>
      <c r="Q1220" s="69">
        <v>6000</v>
      </c>
      <c r="U1220" s="69"/>
      <c r="V1220" s="69"/>
      <c r="AS1220" s="94">
        <f t="shared" si="40"/>
        <v>6000</v>
      </c>
      <c r="AU1220" s="69"/>
      <c r="BD1220" s="69"/>
      <c r="BE1220" s="69"/>
      <c r="BP1220" s="69">
        <v>6000</v>
      </c>
      <c r="CE1220" s="94">
        <f t="shared" si="144"/>
        <v>6000</v>
      </c>
      <c r="CF1220" s="73">
        <f t="shared" si="145"/>
        <v>0</v>
      </c>
      <c r="CG1220" s="73">
        <f t="shared" ref="CG1220:CG1258" si="146">+CE1220-AS1220</f>
        <v>0</v>
      </c>
      <c r="CH1220" s="75">
        <f t="shared" ref="CH1220:CI1259" si="147">+D1220</f>
        <v>289</v>
      </c>
      <c r="CI1220" s="69">
        <f t="shared" si="147"/>
        <v>0</v>
      </c>
    </row>
    <row r="1221" spans="2:101" x14ac:dyDescent="0.25">
      <c r="C1221" s="70"/>
      <c r="D1221" s="70">
        <v>290</v>
      </c>
      <c r="E1221" s="112"/>
      <c r="F1221" s="69" t="s">
        <v>2608</v>
      </c>
      <c r="Q1221" s="69">
        <v>16000</v>
      </c>
      <c r="U1221" s="69"/>
      <c r="V1221" s="69"/>
      <c r="AS1221" s="94">
        <f t="shared" si="40"/>
        <v>16000</v>
      </c>
      <c r="AU1221" s="69"/>
      <c r="BD1221" s="69"/>
      <c r="BE1221" s="69"/>
      <c r="BP1221" s="69">
        <v>16000</v>
      </c>
      <c r="CE1221" s="94">
        <f t="shared" si="144"/>
        <v>16000</v>
      </c>
      <c r="CF1221" s="73">
        <f t="shared" si="145"/>
        <v>0</v>
      </c>
      <c r="CG1221" s="73">
        <f t="shared" si="146"/>
        <v>0</v>
      </c>
      <c r="CH1221" s="75">
        <f t="shared" si="147"/>
        <v>290</v>
      </c>
      <c r="CI1221" s="69">
        <f t="shared" si="147"/>
        <v>0</v>
      </c>
    </row>
    <row r="1222" spans="2:101" x14ac:dyDescent="0.25">
      <c r="C1222" s="70"/>
      <c r="D1222" s="70">
        <v>291</v>
      </c>
      <c r="E1222" s="112"/>
      <c r="F1222" s="69" t="s">
        <v>2609</v>
      </c>
      <c r="U1222" s="69"/>
      <c r="V1222" s="69"/>
      <c r="X1222" s="69">
        <v>589050</v>
      </c>
      <c r="AF1222" s="69">
        <v>589050</v>
      </c>
      <c r="AS1222" s="94">
        <f t="shared" si="40"/>
        <v>1178100</v>
      </c>
      <c r="AU1222" s="69"/>
      <c r="AZ1222" s="69">
        <v>589050</v>
      </c>
      <c r="BD1222" s="69"/>
      <c r="BE1222" s="69"/>
      <c r="CD1222" s="69">
        <v>589050</v>
      </c>
      <c r="CE1222" s="94">
        <f t="shared" si="144"/>
        <v>1178100</v>
      </c>
      <c r="CF1222" s="73">
        <f t="shared" si="145"/>
        <v>0</v>
      </c>
      <c r="CG1222" s="73">
        <f t="shared" si="146"/>
        <v>0</v>
      </c>
      <c r="CH1222" s="75">
        <f t="shared" si="147"/>
        <v>291</v>
      </c>
      <c r="CI1222" s="69">
        <f t="shared" si="147"/>
        <v>0</v>
      </c>
    </row>
    <row r="1223" spans="2:101" x14ac:dyDescent="0.25">
      <c r="C1223" s="70"/>
      <c r="D1223" s="70">
        <v>292</v>
      </c>
      <c r="E1223" s="112" t="s">
        <v>122</v>
      </c>
      <c r="F1223" s="69" t="s">
        <v>2610</v>
      </c>
      <c r="U1223" s="69"/>
      <c r="V1223" s="69"/>
      <c r="AR1223" s="69">
        <v>150</v>
      </c>
      <c r="AS1223" s="94">
        <f t="shared" ref="AS1223:AS1258" si="148">SUM(H1223:AR1223)</f>
        <v>150</v>
      </c>
      <c r="AU1223" s="69"/>
      <c r="BD1223" s="69"/>
      <c r="BE1223" s="69"/>
      <c r="CD1223" s="69">
        <v>150</v>
      </c>
      <c r="CE1223" s="94">
        <f t="shared" si="144"/>
        <v>150</v>
      </c>
      <c r="CF1223" s="73">
        <f t="shared" si="145"/>
        <v>0</v>
      </c>
      <c r="CG1223" s="73">
        <f t="shared" si="146"/>
        <v>0</v>
      </c>
      <c r="CH1223" s="75">
        <f t="shared" si="147"/>
        <v>292</v>
      </c>
      <c r="CI1223" s="69" t="str">
        <f t="shared" si="147"/>
        <v>علاج تخصصى</v>
      </c>
    </row>
    <row r="1224" spans="2:101" x14ac:dyDescent="0.25">
      <c r="C1224" s="70"/>
      <c r="D1224" s="70">
        <v>293</v>
      </c>
      <c r="E1224" s="112" t="s">
        <v>122</v>
      </c>
      <c r="F1224" s="69" t="s">
        <v>2611</v>
      </c>
      <c r="U1224" s="69"/>
      <c r="V1224" s="69"/>
      <c r="AR1224" s="69">
        <v>100</v>
      </c>
      <c r="AS1224" s="94">
        <f t="shared" si="148"/>
        <v>100</v>
      </c>
      <c r="AU1224" s="69"/>
      <c r="BD1224" s="69"/>
      <c r="BE1224" s="69"/>
      <c r="CD1224" s="69">
        <v>100</v>
      </c>
      <c r="CE1224" s="94">
        <f t="shared" si="144"/>
        <v>100</v>
      </c>
      <c r="CF1224" s="73">
        <f t="shared" si="145"/>
        <v>0</v>
      </c>
      <c r="CG1224" s="73">
        <f t="shared" si="146"/>
        <v>0</v>
      </c>
      <c r="CH1224" s="75">
        <f t="shared" si="147"/>
        <v>293</v>
      </c>
      <c r="CI1224" s="69" t="str">
        <f t="shared" si="147"/>
        <v>علاج تخصصى</v>
      </c>
    </row>
    <row r="1225" spans="2:101" x14ac:dyDescent="0.25">
      <c r="C1225" s="70"/>
      <c r="D1225" s="70">
        <v>294</v>
      </c>
      <c r="E1225" s="112" t="s">
        <v>122</v>
      </c>
      <c r="F1225" s="69" t="s">
        <v>2612</v>
      </c>
      <c r="U1225" s="69"/>
      <c r="V1225" s="69"/>
      <c r="AR1225" s="69">
        <v>50</v>
      </c>
      <c r="AS1225" s="94">
        <f t="shared" si="148"/>
        <v>50</v>
      </c>
      <c r="AU1225" s="69"/>
      <c r="BD1225" s="69"/>
      <c r="BE1225" s="69"/>
      <c r="CD1225" s="69">
        <v>50</v>
      </c>
      <c r="CE1225" s="94">
        <f t="shared" si="144"/>
        <v>50</v>
      </c>
      <c r="CF1225" s="73">
        <f t="shared" si="145"/>
        <v>0</v>
      </c>
      <c r="CG1225" s="73">
        <f t="shared" si="146"/>
        <v>0</v>
      </c>
      <c r="CH1225" s="75">
        <f t="shared" si="147"/>
        <v>294</v>
      </c>
      <c r="CI1225" s="69" t="str">
        <f t="shared" si="147"/>
        <v>علاج تخصصى</v>
      </c>
    </row>
    <row r="1226" spans="2:101" x14ac:dyDescent="0.25">
      <c r="C1226" s="70"/>
      <c r="D1226" s="70">
        <v>295</v>
      </c>
      <c r="E1226" s="112" t="s">
        <v>249</v>
      </c>
      <c r="F1226" s="69" t="s">
        <v>2613</v>
      </c>
      <c r="U1226" s="69"/>
      <c r="V1226" s="69"/>
      <c r="AR1226" s="69">
        <v>6195</v>
      </c>
      <c r="AS1226" s="94">
        <f t="shared" si="148"/>
        <v>6195</v>
      </c>
      <c r="AU1226" s="69"/>
      <c r="BD1226" s="69"/>
      <c r="BE1226" s="69"/>
      <c r="CD1226" s="69">
        <v>6195</v>
      </c>
      <c r="CE1226" s="94">
        <f t="shared" si="144"/>
        <v>6195</v>
      </c>
      <c r="CF1226" s="73">
        <f t="shared" si="145"/>
        <v>0</v>
      </c>
      <c r="CG1226" s="73">
        <f t="shared" si="146"/>
        <v>0</v>
      </c>
      <c r="CH1226" s="75">
        <f t="shared" si="147"/>
        <v>295</v>
      </c>
      <c r="CI1226" s="69" t="str">
        <f t="shared" si="147"/>
        <v>خدمة عامة</v>
      </c>
    </row>
    <row r="1227" spans="2:101" x14ac:dyDescent="0.25">
      <c r="C1227" s="70"/>
      <c r="D1227" s="70">
        <v>296</v>
      </c>
      <c r="E1227" s="112" t="s">
        <v>249</v>
      </c>
      <c r="F1227" s="69" t="s">
        <v>2614</v>
      </c>
      <c r="U1227" s="69"/>
      <c r="V1227" s="69"/>
      <c r="AR1227" s="69">
        <v>4985</v>
      </c>
      <c r="AS1227" s="94">
        <f t="shared" si="148"/>
        <v>4985</v>
      </c>
      <c r="AU1227" s="69"/>
      <c r="BD1227" s="69"/>
      <c r="BE1227" s="69"/>
      <c r="CD1227" s="69">
        <v>4985</v>
      </c>
      <c r="CE1227" s="94">
        <f t="shared" si="144"/>
        <v>4985</v>
      </c>
      <c r="CF1227" s="73">
        <f t="shared" si="145"/>
        <v>0</v>
      </c>
      <c r="CG1227" s="73">
        <f t="shared" si="146"/>
        <v>0</v>
      </c>
      <c r="CH1227" s="75">
        <f t="shared" si="147"/>
        <v>296</v>
      </c>
      <c r="CI1227" s="69" t="str">
        <f t="shared" si="147"/>
        <v>خدمة عامة</v>
      </c>
    </row>
    <row r="1228" spans="2:101" x14ac:dyDescent="0.25">
      <c r="C1228" s="70"/>
      <c r="D1228" s="70">
        <v>297</v>
      </c>
      <c r="E1228" s="112" t="s">
        <v>249</v>
      </c>
      <c r="F1228" s="69" t="s">
        <v>2615</v>
      </c>
      <c r="U1228" s="69"/>
      <c r="V1228" s="69"/>
      <c r="AR1228" s="69">
        <v>7360</v>
      </c>
      <c r="AS1228" s="94">
        <f t="shared" si="148"/>
        <v>7360</v>
      </c>
      <c r="AU1228" s="69"/>
      <c r="BD1228" s="69"/>
      <c r="BE1228" s="69"/>
      <c r="CD1228" s="69">
        <v>7360</v>
      </c>
      <c r="CE1228" s="94">
        <f t="shared" si="144"/>
        <v>7360</v>
      </c>
      <c r="CF1228" s="73">
        <f t="shared" si="145"/>
        <v>0</v>
      </c>
      <c r="CG1228" s="73">
        <f t="shared" si="146"/>
        <v>0</v>
      </c>
      <c r="CH1228" s="75">
        <f t="shared" si="147"/>
        <v>297</v>
      </c>
      <c r="CI1228" s="69" t="str">
        <f t="shared" si="147"/>
        <v>خدمة عامة</v>
      </c>
    </row>
    <row r="1229" spans="2:101" x14ac:dyDescent="0.25">
      <c r="C1229" s="70"/>
      <c r="D1229" s="70">
        <v>298</v>
      </c>
      <c r="E1229" s="112" t="s">
        <v>249</v>
      </c>
      <c r="F1229" s="69" t="s">
        <v>2616</v>
      </c>
      <c r="U1229" s="69"/>
      <c r="V1229" s="69"/>
      <c r="AR1229" s="69">
        <v>5270</v>
      </c>
      <c r="AS1229" s="94">
        <f t="shared" si="148"/>
        <v>5270</v>
      </c>
      <c r="AU1229" s="69"/>
      <c r="BD1229" s="69"/>
      <c r="BE1229" s="69"/>
      <c r="CD1229" s="69">
        <v>5270</v>
      </c>
      <c r="CE1229" s="94">
        <f t="shared" si="144"/>
        <v>5270</v>
      </c>
      <c r="CF1229" s="73">
        <f t="shared" si="145"/>
        <v>0</v>
      </c>
      <c r="CG1229" s="73">
        <f t="shared" si="146"/>
        <v>0</v>
      </c>
      <c r="CH1229" s="75">
        <f t="shared" si="147"/>
        <v>298</v>
      </c>
      <c r="CI1229" s="69" t="str">
        <f t="shared" si="147"/>
        <v>خدمة عامة</v>
      </c>
    </row>
    <row r="1230" spans="2:101" x14ac:dyDescent="0.25">
      <c r="C1230" s="70"/>
      <c r="D1230" s="70">
        <v>299</v>
      </c>
      <c r="E1230" s="112" t="s">
        <v>249</v>
      </c>
      <c r="F1230" s="69" t="s">
        <v>2617</v>
      </c>
      <c r="U1230" s="69"/>
      <c r="V1230" s="69"/>
      <c r="AR1230" s="69">
        <v>1040</v>
      </c>
      <c r="AS1230" s="94">
        <f t="shared" si="148"/>
        <v>1040</v>
      </c>
      <c r="AU1230" s="69"/>
      <c r="BD1230" s="69"/>
      <c r="BE1230" s="69"/>
      <c r="CD1230" s="69">
        <v>1040</v>
      </c>
      <c r="CE1230" s="94">
        <f t="shared" si="144"/>
        <v>1040</v>
      </c>
      <c r="CF1230" s="73">
        <f t="shared" si="145"/>
        <v>0</v>
      </c>
      <c r="CG1230" s="73">
        <f t="shared" si="146"/>
        <v>0</v>
      </c>
      <c r="CH1230" s="75">
        <f t="shared" si="147"/>
        <v>299</v>
      </c>
      <c r="CI1230" s="69" t="str">
        <f t="shared" si="147"/>
        <v>خدمة عامة</v>
      </c>
    </row>
    <row r="1231" spans="2:101" x14ac:dyDescent="0.25">
      <c r="C1231" s="70"/>
      <c r="D1231" s="70">
        <v>300</v>
      </c>
      <c r="E1231" s="112" t="s">
        <v>249</v>
      </c>
      <c r="F1231" s="69" t="s">
        <v>2618</v>
      </c>
      <c r="U1231" s="69"/>
      <c r="V1231" s="69"/>
      <c r="AR1231" s="69">
        <v>10270</v>
      </c>
      <c r="AS1231" s="94">
        <f t="shared" si="148"/>
        <v>10270</v>
      </c>
      <c r="AU1231" s="69"/>
      <c r="BD1231" s="69"/>
      <c r="BE1231" s="69"/>
      <c r="CD1231" s="69">
        <v>10270</v>
      </c>
      <c r="CE1231" s="94">
        <f t="shared" si="144"/>
        <v>10270</v>
      </c>
      <c r="CF1231" s="73">
        <f t="shared" si="145"/>
        <v>0</v>
      </c>
      <c r="CG1231" s="73">
        <f t="shared" si="146"/>
        <v>0</v>
      </c>
      <c r="CH1231" s="75">
        <f t="shared" si="147"/>
        <v>300</v>
      </c>
      <c r="CI1231" s="69" t="str">
        <f t="shared" si="147"/>
        <v>خدمة عامة</v>
      </c>
    </row>
    <row r="1232" spans="2:101" x14ac:dyDescent="0.25">
      <c r="C1232" s="70"/>
      <c r="D1232" s="70">
        <v>301</v>
      </c>
      <c r="E1232" s="112" t="s">
        <v>249</v>
      </c>
      <c r="F1232" s="69" t="s">
        <v>2619</v>
      </c>
      <c r="U1232" s="69"/>
      <c r="V1232" s="69"/>
      <c r="AR1232" s="69">
        <v>5820</v>
      </c>
      <c r="AS1232" s="94">
        <f t="shared" si="148"/>
        <v>5820</v>
      </c>
      <c r="AU1232" s="69"/>
      <c r="BD1232" s="69"/>
      <c r="BE1232" s="69"/>
      <c r="CD1232" s="69">
        <v>5820</v>
      </c>
      <c r="CE1232" s="94">
        <f t="shared" si="144"/>
        <v>5820</v>
      </c>
      <c r="CF1232" s="73">
        <f t="shared" si="145"/>
        <v>0</v>
      </c>
      <c r="CG1232" s="73">
        <f t="shared" si="146"/>
        <v>0</v>
      </c>
      <c r="CH1232" s="75">
        <f t="shared" si="147"/>
        <v>301</v>
      </c>
      <c r="CI1232" s="69" t="str">
        <f t="shared" si="147"/>
        <v>خدمة عامة</v>
      </c>
    </row>
    <row r="1233" spans="2:91" x14ac:dyDescent="0.25">
      <c r="C1233" s="70"/>
      <c r="D1233" s="70">
        <v>302</v>
      </c>
      <c r="E1233" s="112" t="s">
        <v>249</v>
      </c>
      <c r="F1233" s="69" t="s">
        <v>2620</v>
      </c>
      <c r="U1233" s="69"/>
      <c r="V1233" s="69"/>
      <c r="AR1233" s="69">
        <v>3615</v>
      </c>
      <c r="AS1233" s="94">
        <f t="shared" si="148"/>
        <v>3615</v>
      </c>
      <c r="AU1233" s="69"/>
      <c r="BD1233" s="69"/>
      <c r="BE1233" s="69"/>
      <c r="CD1233" s="69">
        <v>3615</v>
      </c>
      <c r="CE1233" s="94">
        <f t="shared" si="144"/>
        <v>3615</v>
      </c>
      <c r="CF1233" s="73">
        <f t="shared" si="145"/>
        <v>0</v>
      </c>
      <c r="CG1233" s="73">
        <f t="shared" si="146"/>
        <v>0</v>
      </c>
      <c r="CH1233" s="75">
        <f t="shared" si="147"/>
        <v>302</v>
      </c>
      <c r="CI1233" s="69" t="str">
        <f t="shared" si="147"/>
        <v>خدمة عامة</v>
      </c>
    </row>
    <row r="1234" spans="2:91" x14ac:dyDescent="0.25">
      <c r="C1234" s="82"/>
      <c r="D1234" s="70">
        <v>303</v>
      </c>
      <c r="E1234" s="112" t="s">
        <v>249</v>
      </c>
      <c r="F1234" s="69" t="s">
        <v>2621</v>
      </c>
      <c r="U1234" s="69"/>
      <c r="V1234" s="69"/>
      <c r="AR1234" s="69">
        <v>11885</v>
      </c>
      <c r="AS1234" s="94">
        <f t="shared" si="148"/>
        <v>11885</v>
      </c>
      <c r="AU1234" s="69"/>
      <c r="BD1234" s="69"/>
      <c r="BE1234" s="69"/>
      <c r="CD1234" s="69">
        <v>11885</v>
      </c>
      <c r="CE1234" s="94">
        <f t="shared" si="144"/>
        <v>11885</v>
      </c>
      <c r="CF1234" s="73">
        <f t="shared" si="145"/>
        <v>0</v>
      </c>
      <c r="CG1234" s="73">
        <f t="shared" si="146"/>
        <v>0</v>
      </c>
      <c r="CH1234" s="75">
        <f t="shared" si="147"/>
        <v>303</v>
      </c>
      <c r="CI1234" s="69" t="str">
        <f t="shared" si="147"/>
        <v>خدمة عامة</v>
      </c>
    </row>
    <row r="1235" spans="2:91" x14ac:dyDescent="0.25">
      <c r="C1235" s="82"/>
      <c r="D1235" s="70">
        <v>304</v>
      </c>
      <c r="E1235" s="112" t="s">
        <v>249</v>
      </c>
      <c r="F1235" s="69" t="s">
        <v>2622</v>
      </c>
      <c r="U1235" s="69"/>
      <c r="V1235" s="69"/>
      <c r="AR1235" s="69">
        <v>1640</v>
      </c>
      <c r="AS1235" s="94">
        <f t="shared" si="148"/>
        <v>1640</v>
      </c>
      <c r="AU1235" s="69"/>
      <c r="BD1235" s="69"/>
      <c r="BE1235" s="69"/>
      <c r="CD1235" s="69">
        <v>1640</v>
      </c>
      <c r="CE1235" s="94">
        <f t="shared" si="144"/>
        <v>1640</v>
      </c>
      <c r="CF1235" s="73">
        <f t="shared" si="145"/>
        <v>0</v>
      </c>
      <c r="CG1235" s="73">
        <f t="shared" si="146"/>
        <v>0</v>
      </c>
      <c r="CH1235" s="75">
        <f t="shared" si="147"/>
        <v>304</v>
      </c>
      <c r="CI1235" s="69" t="str">
        <f t="shared" si="147"/>
        <v>خدمة عامة</v>
      </c>
    </row>
    <row r="1236" spans="2:91" x14ac:dyDescent="0.25">
      <c r="C1236" s="82"/>
      <c r="D1236" s="70">
        <v>305</v>
      </c>
      <c r="E1236" s="112" t="s">
        <v>122</v>
      </c>
      <c r="F1236" s="69" t="s">
        <v>2623</v>
      </c>
      <c r="U1236" s="69"/>
      <c r="V1236" s="69"/>
      <c r="AR1236" s="69">
        <v>100</v>
      </c>
      <c r="AS1236" s="94">
        <f t="shared" si="148"/>
        <v>100</v>
      </c>
      <c r="AU1236" s="69"/>
      <c r="BD1236" s="69"/>
      <c r="BE1236" s="69"/>
      <c r="CD1236" s="69">
        <v>100</v>
      </c>
      <c r="CE1236" s="94">
        <f t="shared" si="144"/>
        <v>100</v>
      </c>
      <c r="CF1236" s="73">
        <f t="shared" si="145"/>
        <v>0</v>
      </c>
      <c r="CG1236" s="73">
        <f t="shared" si="146"/>
        <v>0</v>
      </c>
      <c r="CH1236" s="75">
        <f t="shared" si="147"/>
        <v>305</v>
      </c>
      <c r="CI1236" s="69" t="str">
        <f t="shared" si="147"/>
        <v>علاج تخصصى</v>
      </c>
    </row>
    <row r="1237" spans="2:91" x14ac:dyDescent="0.25">
      <c r="C1237" s="82"/>
      <c r="D1237" s="70">
        <v>306</v>
      </c>
      <c r="E1237" s="112" t="s">
        <v>122</v>
      </c>
      <c r="F1237" s="69" t="s">
        <v>2624</v>
      </c>
      <c r="U1237" s="69"/>
      <c r="V1237" s="69"/>
      <c r="AR1237" s="69">
        <v>150</v>
      </c>
      <c r="AS1237" s="94">
        <f t="shared" si="148"/>
        <v>150</v>
      </c>
      <c r="AU1237" s="69"/>
      <c r="BD1237" s="69"/>
      <c r="BE1237" s="69"/>
      <c r="CD1237" s="69">
        <v>150</v>
      </c>
      <c r="CE1237" s="94">
        <f t="shared" si="144"/>
        <v>150</v>
      </c>
      <c r="CF1237" s="73">
        <f t="shared" si="145"/>
        <v>0</v>
      </c>
      <c r="CG1237" s="73">
        <f t="shared" si="146"/>
        <v>0</v>
      </c>
      <c r="CH1237" s="75">
        <f t="shared" si="147"/>
        <v>306</v>
      </c>
      <c r="CI1237" s="69" t="str">
        <f t="shared" si="147"/>
        <v>علاج تخصصى</v>
      </c>
    </row>
    <row r="1238" spans="2:91" x14ac:dyDescent="0.25">
      <c r="C1238" s="82"/>
      <c r="D1238" s="70">
        <v>307</v>
      </c>
      <c r="E1238" s="112" t="s">
        <v>122</v>
      </c>
      <c r="F1238" s="69" t="s">
        <v>2625</v>
      </c>
      <c r="U1238" s="69"/>
      <c r="V1238" s="69"/>
      <c r="AR1238" s="69">
        <v>50</v>
      </c>
      <c r="AS1238" s="94">
        <f t="shared" si="148"/>
        <v>50</v>
      </c>
      <c r="AU1238" s="69"/>
      <c r="BD1238" s="69"/>
      <c r="BE1238" s="69"/>
      <c r="CD1238" s="69">
        <v>50</v>
      </c>
      <c r="CE1238" s="94">
        <f t="shared" si="144"/>
        <v>50</v>
      </c>
      <c r="CF1238" s="73">
        <f t="shared" si="145"/>
        <v>0</v>
      </c>
      <c r="CG1238" s="73">
        <f t="shared" si="146"/>
        <v>0</v>
      </c>
      <c r="CH1238" s="75">
        <f t="shared" si="147"/>
        <v>307</v>
      </c>
      <c r="CI1238" s="69" t="str">
        <f t="shared" si="147"/>
        <v>علاج تخصصى</v>
      </c>
    </row>
    <row r="1239" spans="2:91" x14ac:dyDescent="0.25">
      <c r="C1239" s="82"/>
      <c r="D1239" s="70">
        <v>308</v>
      </c>
      <c r="E1239" s="112" t="s">
        <v>122</v>
      </c>
      <c r="F1239" s="69" t="s">
        <v>2626</v>
      </c>
      <c r="U1239" s="69"/>
      <c r="V1239" s="69"/>
      <c r="AR1239" s="69">
        <v>800</v>
      </c>
      <c r="AS1239" s="94">
        <f t="shared" si="148"/>
        <v>800</v>
      </c>
      <c r="AU1239" s="69"/>
      <c r="BD1239" s="69"/>
      <c r="BE1239" s="69"/>
      <c r="CD1239" s="69">
        <v>800</v>
      </c>
      <c r="CE1239" s="94">
        <f t="shared" si="144"/>
        <v>800</v>
      </c>
      <c r="CF1239" s="73">
        <f t="shared" si="145"/>
        <v>0</v>
      </c>
      <c r="CG1239" s="73">
        <f t="shared" si="146"/>
        <v>0</v>
      </c>
      <c r="CH1239" s="75">
        <f t="shared" si="147"/>
        <v>308</v>
      </c>
      <c r="CI1239" s="69" t="str">
        <f t="shared" si="147"/>
        <v>علاج تخصصى</v>
      </c>
    </row>
    <row r="1240" spans="2:91" x14ac:dyDescent="0.25">
      <c r="C1240" s="70"/>
      <c r="D1240" s="70">
        <v>309</v>
      </c>
      <c r="E1240" s="112"/>
      <c r="F1240" s="69" t="s">
        <v>2627</v>
      </c>
      <c r="Q1240" s="69">
        <v>5065</v>
      </c>
      <c r="U1240" s="69"/>
      <c r="V1240" s="69"/>
      <c r="AS1240" s="94">
        <f>SUM(H1240:AR1240)</f>
        <v>5065</v>
      </c>
      <c r="AU1240" s="69"/>
      <c r="BD1240" s="69"/>
      <c r="BE1240" s="69"/>
      <c r="BP1240" s="69">
        <v>5065</v>
      </c>
      <c r="CE1240" s="94">
        <f>SUM(AT1240:CD1240)</f>
        <v>5065</v>
      </c>
      <c r="CF1240" s="73">
        <f>+CE1240-AS1240</f>
        <v>0</v>
      </c>
      <c r="CG1240" s="73">
        <f>+CE1240-AS1240</f>
        <v>0</v>
      </c>
      <c r="CH1240" s="75">
        <f>+D1240</f>
        <v>309</v>
      </c>
      <c r="CI1240" s="69">
        <f>+E1240</f>
        <v>0</v>
      </c>
    </row>
    <row r="1241" spans="2:91" x14ac:dyDescent="0.25">
      <c r="C1241" s="82"/>
      <c r="D1241" s="70">
        <v>310</v>
      </c>
      <c r="E1241" s="113"/>
      <c r="F1241" s="69" t="s">
        <v>2628</v>
      </c>
      <c r="U1241" s="69"/>
      <c r="V1241" s="69"/>
      <c r="AJ1241" s="69">
        <v>16000</v>
      </c>
      <c r="AS1241" s="94">
        <f t="shared" si="148"/>
        <v>16000</v>
      </c>
      <c r="AU1241" s="69"/>
      <c r="BD1241" s="69"/>
      <c r="BE1241" s="69"/>
      <c r="BU1241" s="69">
        <v>16000</v>
      </c>
      <c r="CE1241" s="94">
        <f t="shared" si="144"/>
        <v>16000</v>
      </c>
      <c r="CF1241" s="73">
        <f t="shared" si="145"/>
        <v>0</v>
      </c>
      <c r="CG1241" s="73">
        <f t="shared" si="146"/>
        <v>0</v>
      </c>
      <c r="CH1241" s="75">
        <f t="shared" si="147"/>
        <v>310</v>
      </c>
      <c r="CI1241" s="69">
        <f t="shared" si="147"/>
        <v>0</v>
      </c>
    </row>
    <row r="1242" spans="2:91" x14ac:dyDescent="0.25">
      <c r="C1242" s="82"/>
      <c r="D1242" s="70">
        <v>311</v>
      </c>
      <c r="E1242" s="113" t="s">
        <v>122</v>
      </c>
      <c r="F1242" s="69" t="s">
        <v>2629</v>
      </c>
      <c r="K1242" s="69">
        <v>607.5</v>
      </c>
      <c r="U1242" s="69"/>
      <c r="V1242" s="69"/>
      <c r="AP1242" s="69">
        <v>2550</v>
      </c>
      <c r="AS1242" s="94">
        <f t="shared" si="148"/>
        <v>3157.5</v>
      </c>
      <c r="AU1242" s="69"/>
      <c r="BD1242" s="69"/>
      <c r="BE1242" s="69"/>
      <c r="BZ1242" s="69">
        <v>607.5</v>
      </c>
      <c r="CC1242" s="69">
        <v>2550</v>
      </c>
      <c r="CE1242" s="94">
        <f t="shared" si="144"/>
        <v>3157.5</v>
      </c>
      <c r="CF1242" s="73">
        <f t="shared" si="145"/>
        <v>0</v>
      </c>
      <c r="CG1242" s="73">
        <f t="shared" si="146"/>
        <v>0</v>
      </c>
      <c r="CH1242" s="75">
        <f t="shared" si="147"/>
        <v>311</v>
      </c>
      <c r="CI1242" s="69" t="str">
        <f t="shared" si="147"/>
        <v>علاج تخصصى</v>
      </c>
    </row>
    <row r="1243" spans="2:91" x14ac:dyDescent="0.25">
      <c r="C1243" s="82"/>
      <c r="D1243" s="70">
        <v>312</v>
      </c>
      <c r="E1243" s="113" t="s">
        <v>249</v>
      </c>
      <c r="F1243" s="69" t="s">
        <v>2629</v>
      </c>
      <c r="K1243" s="69">
        <v>21732.75</v>
      </c>
      <c r="U1243" s="69"/>
      <c r="V1243" s="69"/>
      <c r="AP1243" s="69">
        <v>270975</v>
      </c>
      <c r="AS1243" s="94">
        <f t="shared" si="148"/>
        <v>292707.75</v>
      </c>
      <c r="AU1243" s="69"/>
      <c r="BD1243" s="69"/>
      <c r="BE1243" s="69"/>
      <c r="BZ1243" s="69">
        <v>21732.75</v>
      </c>
      <c r="CC1243" s="69">
        <v>80955</v>
      </c>
      <c r="CD1243" s="69">
        <v>190020</v>
      </c>
      <c r="CE1243" s="94">
        <f t="shared" si="144"/>
        <v>292707.75</v>
      </c>
      <c r="CF1243" s="73">
        <f t="shared" si="145"/>
        <v>0</v>
      </c>
      <c r="CG1243" s="73">
        <f t="shared" si="146"/>
        <v>0</v>
      </c>
      <c r="CH1243" s="75">
        <f t="shared" si="147"/>
        <v>312</v>
      </c>
      <c r="CI1243" s="69" t="str">
        <f t="shared" si="147"/>
        <v>خدمة عامة</v>
      </c>
    </row>
    <row r="1244" spans="2:91" s="68" customFormat="1" x14ac:dyDescent="0.25">
      <c r="C1244" s="83"/>
      <c r="D1244" s="84"/>
      <c r="E1244" s="108"/>
      <c r="F1244" s="68" t="s">
        <v>2630</v>
      </c>
      <c r="K1244" s="68">
        <f>SUM(K1218:K1243)</f>
        <v>22340.25</v>
      </c>
      <c r="L1244" s="68">
        <f t="shared" ref="L1244:BW1244" si="149">SUM(L1218:L1243)</f>
        <v>0</v>
      </c>
      <c r="M1244" s="68">
        <f t="shared" si="149"/>
        <v>0</v>
      </c>
      <c r="N1244" s="68">
        <f t="shared" si="149"/>
        <v>0</v>
      </c>
      <c r="O1244" s="68">
        <f t="shared" si="149"/>
        <v>0</v>
      </c>
      <c r="P1244" s="68">
        <f t="shared" si="149"/>
        <v>0</v>
      </c>
      <c r="Q1244" s="68">
        <f t="shared" si="149"/>
        <v>27065</v>
      </c>
      <c r="R1244" s="68">
        <f t="shared" si="149"/>
        <v>0</v>
      </c>
      <c r="S1244" s="68">
        <f t="shared" si="149"/>
        <v>0</v>
      </c>
      <c r="T1244" s="68">
        <f t="shared" si="149"/>
        <v>0</v>
      </c>
      <c r="U1244" s="68">
        <f t="shared" si="149"/>
        <v>0</v>
      </c>
      <c r="V1244" s="68">
        <f t="shared" si="149"/>
        <v>0</v>
      </c>
      <c r="W1244" s="68">
        <f t="shared" si="149"/>
        <v>0</v>
      </c>
      <c r="X1244" s="68">
        <f t="shared" si="149"/>
        <v>589050</v>
      </c>
      <c r="Y1244" s="68">
        <f t="shared" si="149"/>
        <v>6705</v>
      </c>
      <c r="Z1244" s="68">
        <f t="shared" si="149"/>
        <v>0</v>
      </c>
      <c r="AA1244" s="68">
        <f t="shared" si="149"/>
        <v>0</v>
      </c>
      <c r="AB1244" s="68">
        <f t="shared" si="149"/>
        <v>0</v>
      </c>
      <c r="AC1244" s="68">
        <f t="shared" si="149"/>
        <v>0</v>
      </c>
      <c r="AD1244" s="68">
        <f t="shared" si="149"/>
        <v>0</v>
      </c>
      <c r="AE1244" s="68">
        <f t="shared" si="149"/>
        <v>0</v>
      </c>
      <c r="AF1244" s="68">
        <f t="shared" si="149"/>
        <v>589050</v>
      </c>
      <c r="AG1244" s="68">
        <f t="shared" si="149"/>
        <v>0</v>
      </c>
      <c r="AH1244" s="68">
        <f t="shared" si="149"/>
        <v>0</v>
      </c>
      <c r="AI1244" s="68">
        <f t="shared" si="149"/>
        <v>0</v>
      </c>
      <c r="AJ1244" s="68">
        <f t="shared" si="149"/>
        <v>16000</v>
      </c>
      <c r="AK1244" s="68">
        <f t="shared" si="149"/>
        <v>0</v>
      </c>
      <c r="AL1244" s="68">
        <f t="shared" si="149"/>
        <v>0</v>
      </c>
      <c r="AM1244" s="68">
        <f t="shared" si="149"/>
        <v>0</v>
      </c>
      <c r="AN1244" s="68">
        <f t="shared" si="149"/>
        <v>0</v>
      </c>
      <c r="AO1244" s="68">
        <f t="shared" si="149"/>
        <v>0</v>
      </c>
      <c r="AP1244" s="68">
        <f t="shared" si="149"/>
        <v>273525</v>
      </c>
      <c r="AQ1244" s="68">
        <f t="shared" si="149"/>
        <v>0</v>
      </c>
      <c r="AR1244" s="68">
        <f t="shared" si="149"/>
        <v>59480</v>
      </c>
      <c r="AS1244" s="68">
        <f t="shared" si="149"/>
        <v>1583215.25</v>
      </c>
      <c r="AT1244" s="68">
        <f t="shared" si="149"/>
        <v>0</v>
      </c>
      <c r="AU1244" s="68">
        <f t="shared" si="149"/>
        <v>0</v>
      </c>
      <c r="AV1244" s="68">
        <f t="shared" si="149"/>
        <v>0</v>
      </c>
      <c r="AW1244" s="68">
        <f t="shared" si="149"/>
        <v>0</v>
      </c>
      <c r="AX1244" s="68">
        <f t="shared" si="149"/>
        <v>0</v>
      </c>
      <c r="AY1244" s="68">
        <f t="shared" si="149"/>
        <v>0</v>
      </c>
      <c r="AZ1244" s="68">
        <f t="shared" si="149"/>
        <v>589050</v>
      </c>
      <c r="BA1244" s="68">
        <f t="shared" si="149"/>
        <v>0</v>
      </c>
      <c r="BB1244" s="68">
        <f t="shared" si="149"/>
        <v>0</v>
      </c>
      <c r="BC1244" s="68">
        <f t="shared" si="149"/>
        <v>0</v>
      </c>
      <c r="BD1244" s="68">
        <f t="shared" si="149"/>
        <v>0</v>
      </c>
      <c r="BE1244" s="68">
        <f t="shared" si="149"/>
        <v>0</v>
      </c>
      <c r="BF1244" s="68">
        <f t="shared" si="149"/>
        <v>0</v>
      </c>
      <c r="BG1244" s="68">
        <f t="shared" si="149"/>
        <v>0</v>
      </c>
      <c r="BH1244" s="68">
        <f t="shared" si="149"/>
        <v>0</v>
      </c>
      <c r="BI1244" s="68">
        <f t="shared" si="149"/>
        <v>0</v>
      </c>
      <c r="BJ1244" s="68">
        <f t="shared" si="149"/>
        <v>0</v>
      </c>
      <c r="BK1244" s="68">
        <f t="shared" si="149"/>
        <v>0</v>
      </c>
      <c r="BL1244" s="68">
        <f t="shared" si="149"/>
        <v>0</v>
      </c>
      <c r="BM1244" s="68">
        <f t="shared" si="149"/>
        <v>0</v>
      </c>
      <c r="BN1244" s="68">
        <f t="shared" si="149"/>
        <v>0</v>
      </c>
      <c r="BO1244" s="68">
        <f t="shared" si="149"/>
        <v>0</v>
      </c>
      <c r="BP1244" s="68">
        <f t="shared" si="149"/>
        <v>27065</v>
      </c>
      <c r="BQ1244" s="68">
        <f t="shared" si="149"/>
        <v>0</v>
      </c>
      <c r="BR1244" s="68">
        <f t="shared" si="149"/>
        <v>0</v>
      </c>
      <c r="BS1244" s="68">
        <f t="shared" si="149"/>
        <v>0</v>
      </c>
      <c r="BT1244" s="68">
        <f t="shared" si="149"/>
        <v>0</v>
      </c>
      <c r="BU1244" s="68">
        <f t="shared" si="149"/>
        <v>16000</v>
      </c>
      <c r="BV1244" s="68">
        <f t="shared" si="149"/>
        <v>0</v>
      </c>
      <c r="BW1244" s="68">
        <f t="shared" si="149"/>
        <v>0</v>
      </c>
      <c r="BX1244" s="68">
        <f t="shared" ref="BX1244:CI1244" si="150">SUM(BX1218:BX1243)</f>
        <v>0</v>
      </c>
      <c r="BY1244" s="68">
        <f t="shared" si="150"/>
        <v>0</v>
      </c>
      <c r="BZ1244" s="68">
        <f t="shared" si="150"/>
        <v>22340.25</v>
      </c>
      <c r="CA1244" s="68">
        <f t="shared" si="150"/>
        <v>6705</v>
      </c>
      <c r="CB1244" s="68">
        <f t="shared" si="150"/>
        <v>0</v>
      </c>
      <c r="CC1244" s="68">
        <f t="shared" si="150"/>
        <v>83505</v>
      </c>
      <c r="CD1244" s="68">
        <f t="shared" si="150"/>
        <v>838550</v>
      </c>
      <c r="CE1244" s="68">
        <f t="shared" si="150"/>
        <v>1583215.25</v>
      </c>
      <c r="CF1244" s="68">
        <f t="shared" si="150"/>
        <v>0</v>
      </c>
      <c r="CH1244" s="67"/>
      <c r="CI1244" s="68">
        <f t="shared" si="150"/>
        <v>0</v>
      </c>
    </row>
    <row r="1245" spans="2:91" x14ac:dyDescent="0.25">
      <c r="B1245" s="69" t="s">
        <v>2631</v>
      </c>
      <c r="C1245" s="82"/>
      <c r="D1245" s="70">
        <v>313</v>
      </c>
      <c r="E1245" s="114" t="s">
        <v>325</v>
      </c>
      <c r="F1245" s="69" t="s">
        <v>2632</v>
      </c>
      <c r="U1245" s="69"/>
      <c r="V1245" s="69"/>
      <c r="AA1245" s="69">
        <v>7795.55</v>
      </c>
      <c r="AS1245" s="94">
        <f t="shared" si="148"/>
        <v>7795.55</v>
      </c>
      <c r="AU1245" s="69"/>
      <c r="BD1245" s="69"/>
      <c r="BE1245" s="69"/>
      <c r="CD1245" s="69">
        <v>7795.55</v>
      </c>
      <c r="CE1245" s="94">
        <f t="shared" si="144"/>
        <v>7795.55</v>
      </c>
      <c r="CF1245" s="73">
        <f t="shared" si="145"/>
        <v>0</v>
      </c>
      <c r="CG1245" s="73">
        <f t="shared" si="146"/>
        <v>0</v>
      </c>
      <c r="CH1245" s="75">
        <f t="shared" si="147"/>
        <v>313</v>
      </c>
      <c r="CI1245" s="69" t="str">
        <f t="shared" si="147"/>
        <v xml:space="preserve">برنامج دولى </v>
      </c>
    </row>
    <row r="1246" spans="2:91" x14ac:dyDescent="0.25">
      <c r="B1246" s="69" t="s">
        <v>2631</v>
      </c>
      <c r="C1246" s="82"/>
      <c r="D1246" s="70">
        <v>314</v>
      </c>
      <c r="E1246" s="114" t="s">
        <v>121</v>
      </c>
      <c r="F1246" s="69" t="s">
        <v>2633</v>
      </c>
      <c r="H1246" s="69">
        <v>6278.51</v>
      </c>
      <c r="U1246" s="69"/>
      <c r="V1246" s="69"/>
      <c r="AS1246" s="94">
        <f t="shared" si="148"/>
        <v>6278.51</v>
      </c>
      <c r="AU1246" s="69"/>
      <c r="BD1246" s="69"/>
      <c r="BE1246" s="69"/>
      <c r="CD1246" s="69">
        <v>6278.51</v>
      </c>
      <c r="CE1246" s="94">
        <f t="shared" si="144"/>
        <v>6278.51</v>
      </c>
      <c r="CF1246" s="73">
        <f t="shared" si="145"/>
        <v>0</v>
      </c>
      <c r="CG1246" s="73">
        <f t="shared" si="146"/>
        <v>0</v>
      </c>
      <c r="CH1246" s="75">
        <f t="shared" si="147"/>
        <v>314</v>
      </c>
      <c r="CI1246" s="69" t="str">
        <f t="shared" si="147"/>
        <v>ماليزى اسنان</v>
      </c>
    </row>
    <row r="1247" spans="2:91" s="68" customFormat="1" x14ac:dyDescent="0.25">
      <c r="C1247" s="84"/>
      <c r="D1247" s="84"/>
      <c r="E1247" s="108"/>
      <c r="F1247" s="68" t="s">
        <v>2634</v>
      </c>
      <c r="H1247" s="68">
        <f>SUM(H1245:H1246)</f>
        <v>6278.51</v>
      </c>
      <c r="I1247" s="68">
        <f t="shared" ref="I1247:BT1247" si="151">SUM(I1245:I1246)</f>
        <v>0</v>
      </c>
      <c r="J1247" s="68">
        <f t="shared" si="151"/>
        <v>0</v>
      </c>
      <c r="K1247" s="68">
        <f t="shared" si="151"/>
        <v>0</v>
      </c>
      <c r="L1247" s="68">
        <f t="shared" si="151"/>
        <v>0</v>
      </c>
      <c r="M1247" s="68">
        <f t="shared" si="151"/>
        <v>0</v>
      </c>
      <c r="N1247" s="68">
        <f t="shared" si="151"/>
        <v>0</v>
      </c>
      <c r="O1247" s="68">
        <f t="shared" si="151"/>
        <v>0</v>
      </c>
      <c r="P1247" s="68">
        <f t="shared" si="151"/>
        <v>0</v>
      </c>
      <c r="Q1247" s="68">
        <f t="shared" si="151"/>
        <v>0</v>
      </c>
      <c r="R1247" s="68">
        <f t="shared" si="151"/>
        <v>0</v>
      </c>
      <c r="S1247" s="68">
        <f t="shared" si="151"/>
        <v>0</v>
      </c>
      <c r="T1247" s="68">
        <f t="shared" si="151"/>
        <v>0</v>
      </c>
      <c r="U1247" s="68">
        <f t="shared" si="151"/>
        <v>0</v>
      </c>
      <c r="V1247" s="68">
        <f t="shared" si="151"/>
        <v>0</v>
      </c>
      <c r="W1247" s="68">
        <f t="shared" si="151"/>
        <v>0</v>
      </c>
      <c r="X1247" s="68">
        <f t="shared" si="151"/>
        <v>0</v>
      </c>
      <c r="Y1247" s="68">
        <f t="shared" si="151"/>
        <v>0</v>
      </c>
      <c r="Z1247" s="68">
        <f t="shared" si="151"/>
        <v>0</v>
      </c>
      <c r="AA1247" s="68">
        <f t="shared" si="151"/>
        <v>7795.55</v>
      </c>
      <c r="AB1247" s="68">
        <f t="shared" si="151"/>
        <v>0</v>
      </c>
      <c r="AC1247" s="68">
        <f t="shared" si="151"/>
        <v>0</v>
      </c>
      <c r="AD1247" s="68">
        <f t="shared" si="151"/>
        <v>0</v>
      </c>
      <c r="AE1247" s="68">
        <f t="shared" si="151"/>
        <v>0</v>
      </c>
      <c r="AF1247" s="68">
        <f t="shared" si="151"/>
        <v>0</v>
      </c>
      <c r="AG1247" s="68">
        <f t="shared" si="151"/>
        <v>0</v>
      </c>
      <c r="AH1247" s="68">
        <f t="shared" si="151"/>
        <v>0</v>
      </c>
      <c r="AI1247" s="68">
        <f t="shared" si="151"/>
        <v>0</v>
      </c>
      <c r="AJ1247" s="68">
        <f t="shared" si="151"/>
        <v>0</v>
      </c>
      <c r="AK1247" s="68">
        <f t="shared" si="151"/>
        <v>0</v>
      </c>
      <c r="AL1247" s="68">
        <f t="shared" si="151"/>
        <v>0</v>
      </c>
      <c r="AM1247" s="68">
        <f t="shared" si="151"/>
        <v>0</v>
      </c>
      <c r="AN1247" s="68">
        <f t="shared" si="151"/>
        <v>0</v>
      </c>
      <c r="AO1247" s="68">
        <f t="shared" si="151"/>
        <v>0</v>
      </c>
      <c r="AP1247" s="68">
        <f t="shared" si="151"/>
        <v>0</v>
      </c>
      <c r="AQ1247" s="68">
        <f t="shared" si="151"/>
        <v>0</v>
      </c>
      <c r="AR1247" s="68">
        <f t="shared" si="151"/>
        <v>0</v>
      </c>
      <c r="AS1247" s="68">
        <f t="shared" si="151"/>
        <v>14074.060000000001</v>
      </c>
      <c r="AT1247" s="68">
        <f t="shared" si="151"/>
        <v>0</v>
      </c>
      <c r="AU1247" s="68">
        <f t="shared" si="151"/>
        <v>0</v>
      </c>
      <c r="AV1247" s="68">
        <f t="shared" si="151"/>
        <v>0</v>
      </c>
      <c r="AW1247" s="68">
        <f t="shared" si="151"/>
        <v>0</v>
      </c>
      <c r="AX1247" s="68">
        <f t="shared" si="151"/>
        <v>0</v>
      </c>
      <c r="AY1247" s="68">
        <f t="shared" si="151"/>
        <v>0</v>
      </c>
      <c r="AZ1247" s="68">
        <f t="shared" si="151"/>
        <v>0</v>
      </c>
      <c r="BA1247" s="68">
        <f t="shared" si="151"/>
        <v>0</v>
      </c>
      <c r="BB1247" s="68">
        <f t="shared" si="151"/>
        <v>0</v>
      </c>
      <c r="BC1247" s="68">
        <f t="shared" si="151"/>
        <v>0</v>
      </c>
      <c r="BD1247" s="68">
        <f t="shared" si="151"/>
        <v>0</v>
      </c>
      <c r="BE1247" s="68">
        <f t="shared" si="151"/>
        <v>0</v>
      </c>
      <c r="BF1247" s="68">
        <f t="shared" si="151"/>
        <v>0</v>
      </c>
      <c r="BG1247" s="68">
        <f t="shared" si="151"/>
        <v>0</v>
      </c>
      <c r="BH1247" s="68">
        <f t="shared" si="151"/>
        <v>0</v>
      </c>
      <c r="BI1247" s="68">
        <f t="shared" si="151"/>
        <v>0</v>
      </c>
      <c r="BJ1247" s="68">
        <f t="shared" si="151"/>
        <v>0</v>
      </c>
      <c r="BK1247" s="68">
        <f t="shared" si="151"/>
        <v>0</v>
      </c>
      <c r="BL1247" s="68">
        <f t="shared" si="151"/>
        <v>0</v>
      </c>
      <c r="BM1247" s="68">
        <f t="shared" si="151"/>
        <v>0</v>
      </c>
      <c r="BN1247" s="68">
        <f t="shared" si="151"/>
        <v>0</v>
      </c>
      <c r="BO1247" s="68">
        <f t="shared" si="151"/>
        <v>0</v>
      </c>
      <c r="BP1247" s="68">
        <f t="shared" si="151"/>
        <v>0</v>
      </c>
      <c r="BQ1247" s="68">
        <f t="shared" si="151"/>
        <v>0</v>
      </c>
      <c r="BR1247" s="68">
        <f t="shared" si="151"/>
        <v>0</v>
      </c>
      <c r="BS1247" s="68">
        <f t="shared" si="151"/>
        <v>0</v>
      </c>
      <c r="BT1247" s="68">
        <f t="shared" si="151"/>
        <v>0</v>
      </c>
      <c r="BU1247" s="68">
        <f t="shared" ref="BU1247:CM1247" si="152">SUM(BU1245:BU1246)</f>
        <v>0</v>
      </c>
      <c r="BV1247" s="68">
        <f t="shared" si="152"/>
        <v>0</v>
      </c>
      <c r="BW1247" s="68">
        <f t="shared" si="152"/>
        <v>0</v>
      </c>
      <c r="BX1247" s="68">
        <f t="shared" si="152"/>
        <v>0</v>
      </c>
      <c r="BY1247" s="68">
        <f t="shared" si="152"/>
        <v>0</v>
      </c>
      <c r="BZ1247" s="68">
        <f t="shared" si="152"/>
        <v>0</v>
      </c>
      <c r="CA1247" s="68">
        <f t="shared" si="152"/>
        <v>0</v>
      </c>
      <c r="CB1247" s="68">
        <f t="shared" si="152"/>
        <v>0</v>
      </c>
      <c r="CC1247" s="68">
        <f t="shared" si="152"/>
        <v>0</v>
      </c>
      <c r="CE1247" s="68">
        <f t="shared" si="152"/>
        <v>14074.060000000001</v>
      </c>
      <c r="CF1247" s="68">
        <f t="shared" si="152"/>
        <v>0</v>
      </c>
      <c r="CG1247" s="68">
        <f t="shared" si="152"/>
        <v>0</v>
      </c>
      <c r="CI1247" s="68">
        <f t="shared" si="152"/>
        <v>0</v>
      </c>
      <c r="CJ1247" s="68">
        <f t="shared" si="152"/>
        <v>0</v>
      </c>
      <c r="CK1247" s="68">
        <f t="shared" si="152"/>
        <v>0</v>
      </c>
      <c r="CL1247" s="68">
        <f t="shared" si="152"/>
        <v>0</v>
      </c>
      <c r="CM1247" s="68">
        <f t="shared" si="152"/>
        <v>0</v>
      </c>
    </row>
    <row r="1248" spans="2:91" ht="36" x14ac:dyDescent="0.25">
      <c r="C1248" s="78"/>
      <c r="D1248" s="78">
        <v>315</v>
      </c>
      <c r="F1248" s="77" t="s">
        <v>2635</v>
      </c>
      <c r="G1248" s="69"/>
      <c r="R1248" s="69">
        <v>486077.95</v>
      </c>
      <c r="S1248" s="69">
        <v>232207.5</v>
      </c>
      <c r="U1248" s="69"/>
      <c r="V1248" s="69"/>
      <c r="AS1248" s="94">
        <f t="shared" si="148"/>
        <v>718285.45</v>
      </c>
      <c r="AU1248" s="69"/>
      <c r="BD1248" s="69"/>
      <c r="BE1248" s="69"/>
      <c r="CD1248" s="69">
        <v>718285.45</v>
      </c>
      <c r="CE1248" s="94">
        <f t="shared" si="144"/>
        <v>718285.45</v>
      </c>
      <c r="CF1248" s="73">
        <f t="shared" ref="CF1248" si="153">+CE1248-AS1248</f>
        <v>0</v>
      </c>
      <c r="CG1248" s="73">
        <f t="shared" ref="CG1248" si="154">+CE1248-AS1248</f>
        <v>0</v>
      </c>
      <c r="CH1248" s="75">
        <f t="shared" ref="CH1248:CI1248" si="155">+D1248</f>
        <v>315</v>
      </c>
      <c r="CI1248" s="69">
        <f t="shared" si="155"/>
        <v>0</v>
      </c>
    </row>
    <row r="1249" spans="3:122" x14ac:dyDescent="0.25">
      <c r="C1249" s="70"/>
      <c r="D1249" s="70">
        <v>316</v>
      </c>
      <c r="E1249" s="107" t="s">
        <v>332</v>
      </c>
      <c r="F1249" s="69" t="s">
        <v>2636</v>
      </c>
      <c r="U1249" s="69"/>
      <c r="V1249" s="69"/>
      <c r="AS1249" s="94">
        <f t="shared" si="148"/>
        <v>0</v>
      </c>
      <c r="AU1249" s="69"/>
      <c r="BD1249" s="69"/>
      <c r="BE1249" s="69"/>
      <c r="CE1249" s="94">
        <f t="shared" si="144"/>
        <v>0</v>
      </c>
      <c r="CF1249" s="73">
        <f t="shared" si="145"/>
        <v>0</v>
      </c>
      <c r="CG1249" s="73">
        <f t="shared" si="146"/>
        <v>0</v>
      </c>
      <c r="CH1249" s="75">
        <f t="shared" si="147"/>
        <v>316</v>
      </c>
      <c r="CI1249" s="69" t="str">
        <f t="shared" si="147"/>
        <v xml:space="preserve">لاب فقط </v>
      </c>
    </row>
    <row r="1250" spans="3:122" x14ac:dyDescent="0.25">
      <c r="C1250" s="82"/>
      <c r="D1250" s="70">
        <v>317</v>
      </c>
      <c r="F1250" s="69" t="s">
        <v>2637</v>
      </c>
      <c r="U1250" s="69"/>
      <c r="V1250" s="69"/>
      <c r="AC1250" s="69">
        <v>27450</v>
      </c>
      <c r="AS1250" s="94">
        <f t="shared" si="148"/>
        <v>27450</v>
      </c>
      <c r="AU1250" s="69"/>
      <c r="BD1250" s="69"/>
      <c r="BE1250" s="69"/>
      <c r="BQ1250" s="69">
        <v>27450</v>
      </c>
      <c r="CE1250" s="94">
        <f t="shared" si="144"/>
        <v>27450</v>
      </c>
      <c r="CF1250" s="73">
        <f t="shared" si="145"/>
        <v>0</v>
      </c>
      <c r="CG1250" s="73">
        <f t="shared" si="146"/>
        <v>0</v>
      </c>
      <c r="CH1250" s="75">
        <f t="shared" si="147"/>
        <v>317</v>
      </c>
      <c r="CI1250" s="69">
        <f t="shared" si="147"/>
        <v>0</v>
      </c>
    </row>
    <row r="1251" spans="3:122" x14ac:dyDescent="0.25">
      <c r="C1251" s="82"/>
      <c r="D1251" s="70">
        <v>318</v>
      </c>
      <c r="F1251" s="69" t="s">
        <v>2638</v>
      </c>
      <c r="K1251" s="69">
        <v>22060811.530000001</v>
      </c>
      <c r="U1251" s="69"/>
      <c r="V1251" s="69"/>
      <c r="AE1251" s="69">
        <v>23481647.489999998</v>
      </c>
      <c r="AF1251" s="69">
        <v>6945711.3200000003</v>
      </c>
      <c r="AS1251" s="94">
        <f t="shared" si="148"/>
        <v>52488170.339999996</v>
      </c>
      <c r="AU1251" s="69"/>
      <c r="AZ1251" s="69">
        <v>45542459.020000003</v>
      </c>
      <c r="BD1251" s="69"/>
      <c r="BE1251" s="69"/>
      <c r="CD1251" s="69">
        <v>6945711.3200000003</v>
      </c>
      <c r="CE1251" s="94">
        <f t="shared" si="144"/>
        <v>52488170.340000004</v>
      </c>
      <c r="CF1251" s="73">
        <f t="shared" si="145"/>
        <v>0</v>
      </c>
      <c r="CG1251" s="73">
        <f t="shared" si="146"/>
        <v>0</v>
      </c>
      <c r="CH1251" s="75">
        <f t="shared" si="147"/>
        <v>318</v>
      </c>
      <c r="CI1251" s="69">
        <f t="shared" si="147"/>
        <v>0</v>
      </c>
    </row>
    <row r="1252" spans="3:122" x14ac:dyDescent="0.25">
      <c r="C1252" s="82"/>
      <c r="D1252" s="70">
        <v>319</v>
      </c>
      <c r="F1252" s="69" t="s">
        <v>2639</v>
      </c>
      <c r="U1252" s="69"/>
      <c r="V1252" s="69"/>
      <c r="AH1252" s="69">
        <v>24616441.920000002</v>
      </c>
      <c r="AS1252" s="94">
        <f t="shared" si="148"/>
        <v>24616441.920000002</v>
      </c>
      <c r="AT1252" s="69">
        <v>239181.83</v>
      </c>
      <c r="AU1252" s="69"/>
      <c r="BA1252" s="69">
        <f>88147.56+15404034.21+8873078.32+12000</f>
        <v>24377260.090000004</v>
      </c>
      <c r="BD1252" s="69"/>
      <c r="BE1252" s="69"/>
      <c r="CE1252" s="94">
        <f t="shared" si="144"/>
        <v>24616441.920000002</v>
      </c>
      <c r="CF1252" s="73">
        <f t="shared" si="145"/>
        <v>0</v>
      </c>
      <c r="CG1252" s="73">
        <f t="shared" si="146"/>
        <v>0</v>
      </c>
      <c r="CH1252" s="75">
        <f t="shared" si="147"/>
        <v>319</v>
      </c>
      <c r="CI1252" s="69">
        <f t="shared" si="147"/>
        <v>0</v>
      </c>
    </row>
    <row r="1253" spans="3:122" x14ac:dyDescent="0.25">
      <c r="C1253" s="82"/>
      <c r="D1253" s="70">
        <v>320</v>
      </c>
      <c r="F1253" s="69" t="s">
        <v>2640</v>
      </c>
      <c r="Q1253" s="69">
        <v>8000</v>
      </c>
      <c r="U1253" s="69"/>
      <c r="V1253" s="69"/>
      <c r="AS1253" s="94">
        <f t="shared" si="148"/>
        <v>8000</v>
      </c>
      <c r="AU1253" s="69"/>
      <c r="BD1253" s="69"/>
      <c r="BE1253" s="69"/>
      <c r="BP1253" s="69">
        <v>8000</v>
      </c>
      <c r="CE1253" s="94">
        <f t="shared" si="144"/>
        <v>8000</v>
      </c>
      <c r="CF1253" s="73">
        <f t="shared" si="145"/>
        <v>0</v>
      </c>
      <c r="CG1253" s="73">
        <f t="shared" si="146"/>
        <v>0</v>
      </c>
      <c r="CH1253" s="75">
        <f t="shared" si="147"/>
        <v>320</v>
      </c>
      <c r="CI1253" s="69">
        <f t="shared" si="147"/>
        <v>0</v>
      </c>
    </row>
    <row r="1254" spans="3:122" x14ac:dyDescent="0.25">
      <c r="C1254" s="82"/>
      <c r="D1254" s="70">
        <v>321</v>
      </c>
      <c r="E1254" s="107" t="s">
        <v>2641</v>
      </c>
      <c r="F1254" s="69" t="s">
        <v>2642</v>
      </c>
      <c r="U1254" s="69"/>
      <c r="V1254" s="69"/>
      <c r="AR1254" s="69">
        <v>11920</v>
      </c>
      <c r="AS1254" s="94">
        <f t="shared" si="148"/>
        <v>11920</v>
      </c>
      <c r="AU1254" s="69"/>
      <c r="BD1254" s="69"/>
      <c r="BE1254" s="69"/>
      <c r="CD1254" s="69">
        <v>11920</v>
      </c>
      <c r="CE1254" s="94">
        <f t="shared" si="144"/>
        <v>11920</v>
      </c>
      <c r="CF1254" s="73">
        <f t="shared" si="145"/>
        <v>0</v>
      </c>
      <c r="CG1254" s="73">
        <f t="shared" si="146"/>
        <v>0</v>
      </c>
      <c r="CH1254" s="75">
        <f t="shared" si="147"/>
        <v>321</v>
      </c>
      <c r="CI1254" s="69" t="str">
        <f t="shared" si="147"/>
        <v>خدمه عامة</v>
      </c>
    </row>
    <row r="1255" spans="3:122" x14ac:dyDescent="0.25">
      <c r="C1255" s="82"/>
      <c r="D1255" s="70">
        <v>322</v>
      </c>
      <c r="E1255" s="107" t="s">
        <v>122</v>
      </c>
      <c r="F1255" s="69" t="s">
        <v>2643</v>
      </c>
      <c r="U1255" s="69"/>
      <c r="V1255" s="69"/>
      <c r="AR1255" s="69">
        <v>550</v>
      </c>
      <c r="AS1255" s="94">
        <f t="shared" si="148"/>
        <v>550</v>
      </c>
      <c r="AU1255" s="69"/>
      <c r="BD1255" s="69"/>
      <c r="BE1255" s="69"/>
      <c r="CD1255" s="69">
        <v>550</v>
      </c>
      <c r="CE1255" s="94">
        <f t="shared" si="144"/>
        <v>550</v>
      </c>
      <c r="CF1255" s="73">
        <f t="shared" si="145"/>
        <v>0</v>
      </c>
      <c r="CG1255" s="73">
        <f t="shared" si="146"/>
        <v>0</v>
      </c>
      <c r="CH1255" s="75">
        <f t="shared" si="147"/>
        <v>322</v>
      </c>
      <c r="CI1255" s="69" t="str">
        <f t="shared" si="147"/>
        <v>علاج تخصصى</v>
      </c>
    </row>
    <row r="1256" spans="3:122" x14ac:dyDescent="0.25">
      <c r="C1256" s="82"/>
      <c r="D1256" s="70">
        <v>323</v>
      </c>
      <c r="F1256" s="69" t="s">
        <v>2644</v>
      </c>
      <c r="U1256" s="69"/>
      <c r="V1256" s="69"/>
      <c r="AJ1256" s="69">
        <v>139500</v>
      </c>
      <c r="AS1256" s="94">
        <f t="shared" si="148"/>
        <v>139500</v>
      </c>
      <c r="AU1256" s="69"/>
      <c r="BD1256" s="69"/>
      <c r="BE1256" s="69"/>
      <c r="BU1256" s="69">
        <v>139500</v>
      </c>
      <c r="CE1256" s="94">
        <f t="shared" ref="CE1256:CE1257" si="156">SUM(AT1256:CD1256)</f>
        <v>139500</v>
      </c>
      <c r="CF1256" s="73">
        <f t="shared" si="145"/>
        <v>0</v>
      </c>
      <c r="CG1256" s="73">
        <f t="shared" si="146"/>
        <v>0</v>
      </c>
      <c r="CH1256" s="75">
        <f t="shared" si="147"/>
        <v>323</v>
      </c>
      <c r="CI1256" s="69">
        <f t="shared" si="147"/>
        <v>0</v>
      </c>
    </row>
    <row r="1257" spans="3:122" x14ac:dyDescent="0.25">
      <c r="C1257" s="82"/>
      <c r="D1257" s="70">
        <v>324</v>
      </c>
      <c r="F1257" s="69" t="s">
        <v>2645</v>
      </c>
      <c r="U1257" s="69"/>
      <c r="V1257" s="69"/>
      <c r="AL1257" s="69">
        <v>33000</v>
      </c>
      <c r="AS1257" s="94">
        <f t="shared" si="148"/>
        <v>33000</v>
      </c>
      <c r="AU1257" s="69"/>
      <c r="BD1257" s="69"/>
      <c r="BE1257" s="69"/>
      <c r="BS1257" s="69">
        <v>33000</v>
      </c>
      <c r="CE1257" s="94">
        <f t="shared" si="156"/>
        <v>33000</v>
      </c>
      <c r="CF1257" s="73">
        <f t="shared" si="145"/>
        <v>0</v>
      </c>
      <c r="CG1257" s="73">
        <f t="shared" si="146"/>
        <v>0</v>
      </c>
      <c r="CH1257" s="75">
        <f t="shared" si="147"/>
        <v>324</v>
      </c>
      <c r="CI1257" s="69">
        <f t="shared" si="147"/>
        <v>0</v>
      </c>
    </row>
    <row r="1258" spans="3:122" ht="36" x14ac:dyDescent="0.25">
      <c r="C1258" s="75">
        <v>12301</v>
      </c>
      <c r="D1258" s="98">
        <v>325</v>
      </c>
      <c r="E1258" s="112"/>
      <c r="F1258" s="77" t="s">
        <v>2646</v>
      </c>
      <c r="U1258" s="69"/>
      <c r="V1258" s="69"/>
      <c r="X1258" s="69">
        <v>27290</v>
      </c>
      <c r="AF1258" s="69">
        <v>27290</v>
      </c>
      <c r="AS1258" s="94">
        <f t="shared" si="148"/>
        <v>54580</v>
      </c>
      <c r="AU1258" s="69"/>
      <c r="AZ1258" s="69">
        <v>27290</v>
      </c>
      <c r="BD1258" s="69"/>
      <c r="BE1258" s="69"/>
      <c r="CD1258" s="69">
        <v>27290</v>
      </c>
      <c r="CE1258" s="94">
        <f t="shared" si="144"/>
        <v>54580</v>
      </c>
      <c r="CF1258" s="73">
        <f t="shared" si="145"/>
        <v>0</v>
      </c>
      <c r="CG1258" s="73">
        <f t="shared" si="146"/>
        <v>0</v>
      </c>
      <c r="CH1258" s="75">
        <f t="shared" si="147"/>
        <v>325</v>
      </c>
      <c r="CI1258" s="69">
        <f t="shared" si="147"/>
        <v>0</v>
      </c>
    </row>
    <row r="1259" spans="3:122" x14ac:dyDescent="0.25">
      <c r="D1259" s="98">
        <v>326</v>
      </c>
      <c r="E1259" s="112" t="s">
        <v>1431</v>
      </c>
      <c r="F1259" s="77" t="s">
        <v>2647</v>
      </c>
      <c r="U1259" s="69"/>
      <c r="V1259" s="69"/>
      <c r="AS1259" s="94"/>
      <c r="AU1259" s="69"/>
      <c r="BD1259" s="69"/>
      <c r="BE1259" s="69"/>
      <c r="CE1259" s="94"/>
      <c r="CF1259" s="73"/>
      <c r="CG1259" s="73"/>
      <c r="CH1259" s="75">
        <f t="shared" si="147"/>
        <v>326</v>
      </c>
    </row>
    <row r="1260" spans="3:122" s="68" customFormat="1" x14ac:dyDescent="0.25">
      <c r="C1260" s="67"/>
      <c r="D1260" s="115"/>
      <c r="E1260" s="116"/>
      <c r="F1260" s="68" t="s">
        <v>2648</v>
      </c>
      <c r="K1260" s="68">
        <f>SUM(K1248:K1258)</f>
        <v>22060811.530000001</v>
      </c>
      <c r="L1260" s="68">
        <f t="shared" ref="L1260:BW1260" si="157">SUM(L1248:L1258)</f>
        <v>0</v>
      </c>
      <c r="M1260" s="68">
        <f t="shared" si="157"/>
        <v>0</v>
      </c>
      <c r="N1260" s="68">
        <f t="shared" si="157"/>
        <v>0</v>
      </c>
      <c r="O1260" s="68">
        <f t="shared" si="157"/>
        <v>0</v>
      </c>
      <c r="P1260" s="68">
        <f t="shared" si="157"/>
        <v>0</v>
      </c>
      <c r="Q1260" s="68">
        <f t="shared" si="157"/>
        <v>8000</v>
      </c>
      <c r="R1260" s="68">
        <f t="shared" si="157"/>
        <v>486077.95</v>
      </c>
      <c r="S1260" s="68">
        <f t="shared" si="157"/>
        <v>232207.5</v>
      </c>
      <c r="T1260" s="68">
        <f t="shared" si="157"/>
        <v>0</v>
      </c>
      <c r="U1260" s="68">
        <f t="shared" si="157"/>
        <v>0</v>
      </c>
      <c r="V1260" s="68">
        <f t="shared" si="157"/>
        <v>0</v>
      </c>
      <c r="W1260" s="68">
        <f t="shared" si="157"/>
        <v>0</v>
      </c>
      <c r="X1260" s="68">
        <f t="shared" si="157"/>
        <v>27290</v>
      </c>
      <c r="Y1260" s="68">
        <f t="shared" si="157"/>
        <v>0</v>
      </c>
      <c r="Z1260" s="68">
        <f t="shared" si="157"/>
        <v>0</v>
      </c>
      <c r="AA1260" s="68">
        <f t="shared" si="157"/>
        <v>0</v>
      </c>
      <c r="AB1260" s="68">
        <f t="shared" si="157"/>
        <v>0</v>
      </c>
      <c r="AC1260" s="68">
        <f t="shared" si="157"/>
        <v>27450</v>
      </c>
      <c r="AD1260" s="68">
        <f t="shared" si="157"/>
        <v>0</v>
      </c>
      <c r="AE1260" s="68">
        <f t="shared" si="157"/>
        <v>23481647.489999998</v>
      </c>
      <c r="AF1260" s="68">
        <f t="shared" si="157"/>
        <v>6973001.3200000003</v>
      </c>
      <c r="AG1260" s="68">
        <f t="shared" si="157"/>
        <v>0</v>
      </c>
      <c r="AH1260" s="68">
        <f t="shared" si="157"/>
        <v>24616441.920000002</v>
      </c>
      <c r="AI1260" s="68">
        <f t="shared" si="157"/>
        <v>0</v>
      </c>
      <c r="AJ1260" s="68">
        <f t="shared" si="157"/>
        <v>139500</v>
      </c>
      <c r="AK1260" s="68">
        <f t="shared" si="157"/>
        <v>0</v>
      </c>
      <c r="AL1260" s="68">
        <f t="shared" si="157"/>
        <v>33000</v>
      </c>
      <c r="AM1260" s="68">
        <f t="shared" si="157"/>
        <v>0</v>
      </c>
      <c r="AN1260" s="68">
        <f t="shared" si="157"/>
        <v>0</v>
      </c>
      <c r="AO1260" s="68">
        <f t="shared" si="157"/>
        <v>0</v>
      </c>
      <c r="AP1260" s="68">
        <f t="shared" si="157"/>
        <v>0</v>
      </c>
      <c r="AQ1260" s="68">
        <f t="shared" si="157"/>
        <v>0</v>
      </c>
      <c r="AR1260" s="68">
        <f t="shared" si="157"/>
        <v>12470</v>
      </c>
      <c r="AS1260" s="68">
        <f t="shared" si="157"/>
        <v>78097897.710000008</v>
      </c>
      <c r="AT1260" s="68">
        <f t="shared" si="157"/>
        <v>239181.83</v>
      </c>
      <c r="AU1260" s="68">
        <f t="shared" si="157"/>
        <v>0</v>
      </c>
      <c r="AV1260" s="68">
        <f t="shared" si="157"/>
        <v>0</v>
      </c>
      <c r="AW1260" s="68">
        <f t="shared" si="157"/>
        <v>0</v>
      </c>
      <c r="AX1260" s="68">
        <f t="shared" si="157"/>
        <v>0</v>
      </c>
      <c r="AY1260" s="68">
        <f t="shared" si="157"/>
        <v>0</v>
      </c>
      <c r="AZ1260" s="68">
        <f t="shared" si="157"/>
        <v>45569749.020000003</v>
      </c>
      <c r="BA1260" s="68">
        <f t="shared" si="157"/>
        <v>24377260.090000004</v>
      </c>
      <c r="BB1260" s="68">
        <f t="shared" si="157"/>
        <v>0</v>
      </c>
      <c r="BC1260" s="68">
        <f t="shared" si="157"/>
        <v>0</v>
      </c>
      <c r="BD1260" s="68">
        <f t="shared" si="157"/>
        <v>0</v>
      </c>
      <c r="BE1260" s="68">
        <f t="shared" si="157"/>
        <v>0</v>
      </c>
      <c r="BF1260" s="68">
        <f t="shared" si="157"/>
        <v>0</v>
      </c>
      <c r="BG1260" s="68">
        <f t="shared" si="157"/>
        <v>0</v>
      </c>
      <c r="BH1260" s="68">
        <f t="shared" si="157"/>
        <v>0</v>
      </c>
      <c r="BI1260" s="68">
        <f t="shared" si="157"/>
        <v>0</v>
      </c>
      <c r="BJ1260" s="68">
        <f t="shared" si="157"/>
        <v>0</v>
      </c>
      <c r="BK1260" s="68">
        <f t="shared" si="157"/>
        <v>0</v>
      </c>
      <c r="BL1260" s="68">
        <f t="shared" si="157"/>
        <v>0</v>
      </c>
      <c r="BM1260" s="68">
        <f t="shared" si="157"/>
        <v>0</v>
      </c>
      <c r="BN1260" s="68">
        <f t="shared" si="157"/>
        <v>0</v>
      </c>
      <c r="BO1260" s="68">
        <f t="shared" si="157"/>
        <v>0</v>
      </c>
      <c r="BP1260" s="68">
        <f t="shared" si="157"/>
        <v>8000</v>
      </c>
      <c r="BQ1260" s="68">
        <f t="shared" si="157"/>
        <v>27450</v>
      </c>
      <c r="BR1260" s="68">
        <f t="shared" si="157"/>
        <v>0</v>
      </c>
      <c r="BS1260" s="68">
        <f t="shared" si="157"/>
        <v>33000</v>
      </c>
      <c r="BT1260" s="68">
        <f t="shared" si="157"/>
        <v>0</v>
      </c>
      <c r="BU1260" s="68">
        <f t="shared" si="157"/>
        <v>139500</v>
      </c>
      <c r="BV1260" s="68">
        <f t="shared" si="157"/>
        <v>0</v>
      </c>
      <c r="BW1260" s="68">
        <f t="shared" si="157"/>
        <v>0</v>
      </c>
      <c r="BX1260" s="68">
        <f t="shared" ref="BX1260:DR1260" si="158">SUM(BX1248:BX1258)</f>
        <v>0</v>
      </c>
      <c r="BY1260" s="68">
        <f t="shared" si="158"/>
        <v>0</v>
      </c>
      <c r="BZ1260" s="68">
        <f t="shared" si="158"/>
        <v>0</v>
      </c>
      <c r="CA1260" s="68">
        <f t="shared" si="158"/>
        <v>0</v>
      </c>
      <c r="CB1260" s="68">
        <f t="shared" si="158"/>
        <v>0</v>
      </c>
      <c r="CC1260" s="68">
        <f t="shared" si="158"/>
        <v>0</v>
      </c>
      <c r="CD1260" s="68">
        <f t="shared" si="158"/>
        <v>7703756.7700000005</v>
      </c>
      <c r="CE1260" s="68">
        <f t="shared" si="158"/>
        <v>78097897.710000008</v>
      </c>
      <c r="CF1260" s="68">
        <f t="shared" si="158"/>
        <v>0</v>
      </c>
      <c r="CG1260" s="68">
        <f t="shared" si="158"/>
        <v>0</v>
      </c>
      <c r="CI1260" s="68">
        <f t="shared" si="158"/>
        <v>0</v>
      </c>
      <c r="CJ1260" s="68">
        <f t="shared" si="158"/>
        <v>0</v>
      </c>
      <c r="CK1260" s="68">
        <f t="shared" si="158"/>
        <v>0</v>
      </c>
      <c r="CL1260" s="68">
        <f t="shared" si="158"/>
        <v>0</v>
      </c>
      <c r="CM1260" s="68">
        <f t="shared" si="158"/>
        <v>0</v>
      </c>
      <c r="CN1260" s="68">
        <f t="shared" si="158"/>
        <v>0</v>
      </c>
      <c r="CO1260" s="68">
        <f t="shared" si="158"/>
        <v>0</v>
      </c>
      <c r="CP1260" s="68">
        <f t="shared" si="158"/>
        <v>0</v>
      </c>
      <c r="CQ1260" s="68">
        <f t="shared" si="158"/>
        <v>0</v>
      </c>
      <c r="CR1260" s="68">
        <f t="shared" si="158"/>
        <v>0</v>
      </c>
      <c r="CS1260" s="68">
        <f t="shared" si="158"/>
        <v>0</v>
      </c>
      <c r="CT1260" s="68">
        <f t="shared" si="158"/>
        <v>0</v>
      </c>
      <c r="CU1260" s="68">
        <f t="shared" si="158"/>
        <v>0</v>
      </c>
      <c r="CV1260" s="68">
        <f t="shared" si="158"/>
        <v>0</v>
      </c>
      <c r="CW1260" s="68">
        <f t="shared" si="158"/>
        <v>0</v>
      </c>
      <c r="CX1260" s="68">
        <f t="shared" si="158"/>
        <v>0</v>
      </c>
      <c r="CY1260" s="68">
        <f t="shared" si="158"/>
        <v>0</v>
      </c>
      <c r="CZ1260" s="68">
        <f t="shared" si="158"/>
        <v>0</v>
      </c>
      <c r="DA1260" s="68">
        <f t="shared" si="158"/>
        <v>0</v>
      </c>
      <c r="DB1260" s="68">
        <f t="shared" si="158"/>
        <v>0</v>
      </c>
      <c r="DC1260" s="68">
        <f t="shared" si="158"/>
        <v>0</v>
      </c>
      <c r="DD1260" s="68">
        <f t="shared" si="158"/>
        <v>0</v>
      </c>
      <c r="DE1260" s="68">
        <f t="shared" si="158"/>
        <v>0</v>
      </c>
      <c r="DF1260" s="68">
        <f t="shared" si="158"/>
        <v>0</v>
      </c>
      <c r="DG1260" s="68">
        <f t="shared" si="158"/>
        <v>0</v>
      </c>
      <c r="DH1260" s="68">
        <f t="shared" si="158"/>
        <v>0</v>
      </c>
      <c r="DI1260" s="68">
        <f t="shared" si="158"/>
        <v>0</v>
      </c>
      <c r="DJ1260" s="68">
        <f t="shared" si="158"/>
        <v>0</v>
      </c>
      <c r="DK1260" s="68">
        <f t="shared" si="158"/>
        <v>0</v>
      </c>
      <c r="DL1260" s="68">
        <f t="shared" si="158"/>
        <v>0</v>
      </c>
      <c r="DM1260" s="68">
        <f t="shared" si="158"/>
        <v>0</v>
      </c>
      <c r="DN1260" s="68">
        <f t="shared" si="158"/>
        <v>0</v>
      </c>
      <c r="DO1260" s="68">
        <f t="shared" si="158"/>
        <v>0</v>
      </c>
      <c r="DP1260" s="68">
        <f t="shared" si="158"/>
        <v>0</v>
      </c>
      <c r="DQ1260" s="68">
        <f t="shared" si="158"/>
        <v>0</v>
      </c>
      <c r="DR1260" s="68">
        <f t="shared" si="158"/>
        <v>0</v>
      </c>
    </row>
  </sheetData>
  <autoFilter ref="E2:E1260" xr:uid="{795E4AC6-7D32-4AFF-A519-D608AE6A1696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40A1A-9110-4789-B6D0-A905ED506B04}">
  <dimension ref="A2:CU1279"/>
  <sheetViews>
    <sheetView rightToLeft="1" workbookViewId="0">
      <selection activeCell="F9" sqref="F9"/>
    </sheetView>
  </sheetViews>
  <sheetFormatPr defaultColWidth="9.140625" defaultRowHeight="18" x14ac:dyDescent="0.25"/>
  <cols>
    <col min="1" max="1" width="13.28515625" style="69" customWidth="1"/>
    <col min="2" max="2" width="35.28515625" style="69" customWidth="1"/>
    <col min="3" max="3" width="19.85546875" style="75" customWidth="1"/>
    <col min="4" max="4" width="11.42578125" style="75" customWidth="1"/>
    <col min="5" max="5" width="12" style="69" customWidth="1"/>
    <col min="6" max="6" width="32.5703125" style="69" customWidth="1"/>
    <col min="7" max="7" width="9.42578125" style="63" customWidth="1"/>
    <col min="8" max="8" width="13.140625" style="69" customWidth="1"/>
    <col min="9" max="9" width="13.5703125" style="69" customWidth="1"/>
    <col min="10" max="10" width="9.5703125" style="69" customWidth="1"/>
    <col min="11" max="11" width="15.28515625" style="69" customWidth="1"/>
    <col min="12" max="12" width="14.42578125" style="69" customWidth="1"/>
    <col min="13" max="13" width="13.7109375" style="69" customWidth="1"/>
    <col min="14" max="14" width="11.5703125" style="69" customWidth="1"/>
    <col min="15" max="15" width="6.42578125" style="69" customWidth="1"/>
    <col min="16" max="16" width="11.7109375" style="69" customWidth="1"/>
    <col min="17" max="17" width="12.140625" style="69" customWidth="1"/>
    <col min="18" max="18" width="11.42578125" style="69" customWidth="1"/>
    <col min="19" max="19" width="14.42578125" style="69" customWidth="1"/>
    <col min="20" max="20" width="11.5703125" style="69" customWidth="1"/>
    <col min="21" max="21" width="13.5703125" style="52" customWidth="1"/>
    <col min="22" max="22" width="11.5703125" style="52" customWidth="1"/>
    <col min="23" max="23" width="14.42578125" style="69" customWidth="1"/>
    <col min="24" max="24" width="16.7109375" style="69" customWidth="1"/>
    <col min="25" max="25" width="12.85546875" style="69" customWidth="1"/>
    <col min="26" max="26" width="11.28515625" style="69" customWidth="1"/>
    <col min="27" max="27" width="7.5703125" style="69" customWidth="1"/>
    <col min="28" max="28" width="12" style="69" customWidth="1"/>
    <col min="29" max="29" width="14.7109375" style="69" customWidth="1"/>
    <col min="30" max="30" width="11.42578125" style="69" customWidth="1"/>
    <col min="31" max="31" width="15.7109375" style="69" customWidth="1"/>
    <col min="32" max="32" width="14.28515625" style="69" customWidth="1"/>
    <col min="33" max="33" width="10.140625" style="69" customWidth="1"/>
    <col min="34" max="34" width="15.28515625" style="69" customWidth="1"/>
    <col min="35" max="35" width="11.5703125" style="69" customWidth="1"/>
    <col min="36" max="36" width="10.140625" style="69" customWidth="1"/>
    <col min="37" max="37" width="11.42578125" style="69" customWidth="1"/>
    <col min="38" max="38" width="11.140625" style="69" customWidth="1"/>
    <col min="39" max="41" width="10.140625" style="69" customWidth="1"/>
    <col min="42" max="42" width="14.85546875" style="69" customWidth="1"/>
    <col min="43" max="43" width="10.140625" style="69" customWidth="1"/>
    <col min="44" max="44" width="11" style="69" customWidth="1"/>
    <col min="45" max="45" width="13.28515625" style="91" customWidth="1"/>
    <col min="46" max="46" width="13.140625" style="69" customWidth="1"/>
    <col min="47" max="47" width="11.28515625" style="52" customWidth="1"/>
    <col min="48" max="48" width="12.42578125" style="69" customWidth="1"/>
    <col min="49" max="49" width="12.28515625" style="69" customWidth="1"/>
    <col min="50" max="50" width="10.85546875" style="69" customWidth="1"/>
    <col min="51" max="51" width="9.5703125" style="69" customWidth="1"/>
    <col min="52" max="52" width="14.5703125" style="69" customWidth="1"/>
    <col min="53" max="53" width="16" style="69" customWidth="1"/>
    <col min="54" max="54" width="10.140625" style="69" customWidth="1"/>
    <col min="55" max="55" width="12.140625" style="69" customWidth="1"/>
    <col min="56" max="56" width="18.140625" style="69" customWidth="1"/>
    <col min="57" max="57" width="10.140625" style="69" customWidth="1"/>
    <col min="58" max="58" width="11.42578125" style="69" customWidth="1"/>
    <col min="59" max="59" width="10.7109375" style="69" customWidth="1"/>
    <col min="60" max="60" width="10" style="69" customWidth="1"/>
    <col min="61" max="61" width="10.28515625" style="69" customWidth="1"/>
    <col min="62" max="62" width="11.28515625" style="69" customWidth="1"/>
    <col min="63" max="63" width="11.7109375" style="69" customWidth="1"/>
    <col min="64" max="64" width="18.5703125" style="69" customWidth="1"/>
    <col min="65" max="65" width="16.85546875" style="69" customWidth="1"/>
    <col min="66" max="66" width="13" style="69" customWidth="1"/>
    <col min="67" max="68" width="11.140625" style="69" customWidth="1"/>
    <col min="69" max="69" width="13.85546875" style="69" customWidth="1"/>
    <col min="70" max="70" width="14.42578125" style="69" customWidth="1"/>
    <col min="71" max="71" width="13.28515625" style="69" customWidth="1"/>
    <col min="72" max="72" width="12.42578125" style="69" customWidth="1"/>
    <col min="73" max="73" width="4.85546875" style="69" customWidth="1"/>
    <col min="74" max="74" width="12.42578125" style="69" customWidth="1"/>
    <col min="75" max="76" width="9.140625" style="69"/>
    <col min="77" max="77" width="10.85546875" style="69" customWidth="1"/>
    <col min="78" max="78" width="16.140625" style="69" customWidth="1"/>
    <col min="79" max="79" width="9.140625" style="69"/>
    <col min="80" max="80" width="11.28515625" style="69" customWidth="1"/>
    <col min="81" max="81" width="14.28515625" style="69" customWidth="1"/>
    <col min="82" max="82" width="13.85546875" style="91" customWidth="1"/>
    <col min="83" max="83" width="15.7109375" style="69" customWidth="1"/>
    <col min="84" max="84" width="11.42578125" style="75" customWidth="1"/>
    <col min="85" max="85" width="11.140625" style="69" customWidth="1"/>
    <col min="86" max="86" width="9.140625" style="69"/>
    <col min="87" max="87" width="11" style="69" customWidth="1"/>
    <col min="88" max="16384" width="9.140625" style="69"/>
  </cols>
  <sheetData>
    <row r="2" spans="1:84" s="52" customFormat="1" ht="36" customHeight="1" x14ac:dyDescent="0.25">
      <c r="C2" s="69"/>
      <c r="G2" s="53"/>
      <c r="H2" s="54" t="s">
        <v>1</v>
      </c>
      <c r="I2" s="54" t="s">
        <v>2</v>
      </c>
      <c r="J2" s="54" t="s">
        <v>3</v>
      </c>
      <c r="K2" s="54" t="s">
        <v>4</v>
      </c>
      <c r="L2" s="54" t="s">
        <v>5</v>
      </c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90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77"/>
      <c r="BE2" s="77"/>
      <c r="BO2" s="52" t="s">
        <v>6</v>
      </c>
      <c r="CD2" s="91"/>
      <c r="CF2" s="58"/>
    </row>
    <row r="3" spans="1:84" s="56" customFormat="1" ht="72" customHeight="1" x14ac:dyDescent="0.25">
      <c r="A3" s="52" t="s">
        <v>7</v>
      </c>
      <c r="B3" s="52"/>
      <c r="C3" s="78" t="s">
        <v>8</v>
      </c>
      <c r="D3" s="59" t="s">
        <v>9</v>
      </c>
      <c r="E3" s="54" t="s">
        <v>10</v>
      </c>
      <c r="F3" s="60" t="s">
        <v>11</v>
      </c>
      <c r="G3" s="53" t="s">
        <v>12</v>
      </c>
      <c r="H3" s="54" t="s">
        <v>13</v>
      </c>
      <c r="I3" s="54" t="s">
        <v>14</v>
      </c>
      <c r="J3" s="54" t="s">
        <v>15</v>
      </c>
      <c r="K3" s="54" t="s">
        <v>16</v>
      </c>
      <c r="L3" s="54" t="s">
        <v>17</v>
      </c>
      <c r="M3" s="54" t="s">
        <v>18</v>
      </c>
      <c r="N3" s="54" t="s">
        <v>19</v>
      </c>
      <c r="O3" s="54" t="s">
        <v>20</v>
      </c>
      <c r="P3" s="54" t="s">
        <v>21</v>
      </c>
      <c r="Q3" s="54" t="s">
        <v>22</v>
      </c>
      <c r="R3" s="54" t="s">
        <v>23</v>
      </c>
      <c r="S3" s="54" t="s">
        <v>24</v>
      </c>
      <c r="T3" s="54" t="s">
        <v>25</v>
      </c>
      <c r="U3" s="54" t="s">
        <v>26</v>
      </c>
      <c r="V3" s="54" t="s">
        <v>27</v>
      </c>
      <c r="W3" s="54" t="s">
        <v>28</v>
      </c>
      <c r="X3" s="54" t="s">
        <v>29</v>
      </c>
      <c r="Y3" s="54" t="s">
        <v>30</v>
      </c>
      <c r="Z3" s="54" t="s">
        <v>31</v>
      </c>
      <c r="AA3" s="54" t="s">
        <v>32</v>
      </c>
      <c r="AB3" s="54" t="s">
        <v>33</v>
      </c>
      <c r="AC3" s="54" t="s">
        <v>34</v>
      </c>
      <c r="AD3" s="54" t="s">
        <v>35</v>
      </c>
      <c r="AE3" s="54" t="s">
        <v>36</v>
      </c>
      <c r="AF3" s="54" t="s">
        <v>37</v>
      </c>
      <c r="AG3" s="54" t="s">
        <v>38</v>
      </c>
      <c r="AH3" s="54" t="s">
        <v>39</v>
      </c>
      <c r="AI3" s="54" t="s">
        <v>40</v>
      </c>
      <c r="AJ3" s="54" t="s">
        <v>41</v>
      </c>
      <c r="AK3" s="54" t="s">
        <v>42</v>
      </c>
      <c r="AL3" s="54" t="s">
        <v>43</v>
      </c>
      <c r="AM3" s="54" t="s">
        <v>44</v>
      </c>
      <c r="AN3" s="54" t="s">
        <v>45</v>
      </c>
      <c r="AO3" s="54" t="s">
        <v>55</v>
      </c>
      <c r="AP3" s="54" t="s">
        <v>46</v>
      </c>
      <c r="AQ3" s="54" t="s">
        <v>47</v>
      </c>
      <c r="AR3" s="54" t="s">
        <v>48</v>
      </c>
      <c r="AS3" s="90" t="s">
        <v>50</v>
      </c>
      <c r="AT3" s="54" t="s">
        <v>51</v>
      </c>
      <c r="AU3" s="54" t="s">
        <v>52</v>
      </c>
      <c r="AV3" s="54" t="s">
        <v>25</v>
      </c>
      <c r="AW3" s="54" t="s">
        <v>53</v>
      </c>
      <c r="AX3" s="54" t="s">
        <v>54</v>
      </c>
      <c r="AY3" s="54" t="s">
        <v>55</v>
      </c>
      <c r="AZ3" s="54" t="s">
        <v>37</v>
      </c>
      <c r="BA3" s="54" t="s">
        <v>39</v>
      </c>
      <c r="BB3" s="54" t="s">
        <v>56</v>
      </c>
      <c r="BC3" s="54" t="s">
        <v>57</v>
      </c>
      <c r="BD3" s="77" t="s">
        <v>58</v>
      </c>
      <c r="BE3" s="77" t="s">
        <v>59</v>
      </c>
      <c r="BF3" s="56" t="s">
        <v>31</v>
      </c>
      <c r="BG3" s="56" t="s">
        <v>60</v>
      </c>
      <c r="BH3" s="56" t="s">
        <v>27</v>
      </c>
      <c r="BI3" s="56" t="s">
        <v>61</v>
      </c>
      <c r="BJ3" s="56" t="s">
        <v>62</v>
      </c>
      <c r="BK3" s="56" t="s">
        <v>24</v>
      </c>
      <c r="BL3" s="56" t="s">
        <v>63</v>
      </c>
      <c r="BM3" s="56" t="s">
        <v>64</v>
      </c>
      <c r="BN3" s="56" t="s">
        <v>18</v>
      </c>
      <c r="BO3" s="56" t="s">
        <v>65</v>
      </c>
      <c r="BP3" s="56" t="s">
        <v>21</v>
      </c>
      <c r="BQ3" s="56" t="s">
        <v>66</v>
      </c>
      <c r="BR3" s="56" t="s">
        <v>67</v>
      </c>
      <c r="BS3" s="56" t="s">
        <v>40</v>
      </c>
      <c r="BT3" s="56" t="s">
        <v>68</v>
      </c>
      <c r="BU3" s="56" t="s">
        <v>69</v>
      </c>
      <c r="BV3" s="56" t="s">
        <v>41</v>
      </c>
      <c r="BW3" s="56" t="s">
        <v>70</v>
      </c>
      <c r="BX3" s="56" t="s">
        <v>71</v>
      </c>
      <c r="BY3" s="56" t="s">
        <v>72</v>
      </c>
      <c r="BZ3" s="56" t="s">
        <v>46</v>
      </c>
      <c r="CA3" s="56" t="s">
        <v>73</v>
      </c>
      <c r="CB3" s="56" t="s">
        <v>74</v>
      </c>
      <c r="CC3" s="56" t="s">
        <v>75</v>
      </c>
      <c r="CD3" s="92" t="s">
        <v>76</v>
      </c>
      <c r="CE3" s="56" t="s">
        <v>77</v>
      </c>
      <c r="CF3" s="62"/>
    </row>
    <row r="4" spans="1:84" s="63" customFormat="1" ht="15" customHeight="1" x14ac:dyDescent="0.25">
      <c r="C4" s="75"/>
      <c r="D4" s="64"/>
      <c r="E4" s="63" t="s">
        <v>78</v>
      </c>
      <c r="AS4" s="91"/>
      <c r="AU4" s="52"/>
      <c r="BD4" s="69"/>
      <c r="BE4" s="69"/>
      <c r="CD4" s="91"/>
      <c r="CF4" s="64"/>
    </row>
    <row r="5" spans="1:84" s="63" customFormat="1" x14ac:dyDescent="0.25">
      <c r="C5" s="75"/>
      <c r="D5" s="64"/>
      <c r="E5" s="63" t="s">
        <v>128</v>
      </c>
      <c r="AS5" s="91"/>
      <c r="AU5" s="52"/>
      <c r="BD5" s="69"/>
      <c r="BE5" s="69"/>
      <c r="CD5" s="91"/>
      <c r="CF5" s="64"/>
    </row>
    <row r="6" spans="1:84" s="63" customFormat="1" x14ac:dyDescent="0.25">
      <c r="C6" s="75"/>
      <c r="D6" s="64"/>
      <c r="E6" s="63" t="s">
        <v>130</v>
      </c>
      <c r="AS6" s="91"/>
      <c r="AU6" s="52"/>
      <c r="BD6" s="69"/>
      <c r="BE6" s="69"/>
      <c r="CD6" s="91"/>
      <c r="CF6" s="64"/>
    </row>
    <row r="7" spans="1:84" s="63" customFormat="1" x14ac:dyDescent="0.25">
      <c r="C7" s="75"/>
      <c r="D7" s="64"/>
      <c r="E7" s="63" t="s">
        <v>724</v>
      </c>
      <c r="AS7" s="91"/>
      <c r="AU7" s="52"/>
      <c r="BD7" s="69"/>
      <c r="BE7" s="69"/>
      <c r="CD7" s="91"/>
      <c r="CF7" s="64"/>
    </row>
    <row r="8" spans="1:84" s="63" customFormat="1" x14ac:dyDescent="0.25">
      <c r="C8" s="75"/>
      <c r="D8" s="64"/>
      <c r="E8" s="63" t="s">
        <v>725</v>
      </c>
      <c r="AS8" s="91"/>
      <c r="AU8" s="52"/>
      <c r="BD8" s="69"/>
      <c r="BE8" s="69"/>
      <c r="CD8" s="91"/>
      <c r="CF8" s="64"/>
    </row>
    <row r="9" spans="1:84" s="63" customFormat="1" x14ac:dyDescent="0.25">
      <c r="C9" s="75"/>
      <c r="D9" s="64"/>
      <c r="E9" s="63" t="s">
        <v>726</v>
      </c>
      <c r="AS9" s="91"/>
      <c r="AU9" s="52"/>
      <c r="BD9" s="69"/>
      <c r="BE9" s="69"/>
      <c r="CD9" s="91"/>
      <c r="CF9" s="64"/>
    </row>
    <row r="10" spans="1:84" s="63" customFormat="1" x14ac:dyDescent="0.25">
      <c r="C10" s="75"/>
      <c r="D10" s="64"/>
      <c r="E10" s="63" t="s">
        <v>121</v>
      </c>
      <c r="AS10" s="91"/>
      <c r="AU10" s="52"/>
      <c r="BD10" s="69"/>
      <c r="BE10" s="69"/>
      <c r="CD10" s="91"/>
      <c r="CF10" s="64"/>
    </row>
    <row r="11" spans="1:84" s="63" customFormat="1" x14ac:dyDescent="0.25">
      <c r="C11" s="75"/>
      <c r="D11" s="64"/>
      <c r="E11" s="63" t="s">
        <v>123</v>
      </c>
      <c r="AS11" s="91"/>
      <c r="AU11" s="52"/>
      <c r="BD11" s="69"/>
      <c r="BE11" s="69"/>
      <c r="CD11" s="91"/>
      <c r="CF11" s="64"/>
    </row>
    <row r="12" spans="1:84" s="63" customFormat="1" x14ac:dyDescent="0.25">
      <c r="C12" s="75"/>
      <c r="D12" s="64"/>
      <c r="E12" s="63" t="s">
        <v>122</v>
      </c>
      <c r="AS12" s="91"/>
      <c r="AU12" s="52"/>
      <c r="BD12" s="69"/>
      <c r="BE12" s="69"/>
      <c r="CD12" s="91"/>
      <c r="CF12" s="64"/>
    </row>
    <row r="13" spans="1:84" s="63" customFormat="1" x14ac:dyDescent="0.25">
      <c r="C13" s="75"/>
      <c r="D13" s="64"/>
      <c r="E13" s="63" t="s">
        <v>137</v>
      </c>
      <c r="AS13" s="91"/>
      <c r="AU13" s="52"/>
      <c r="BD13" s="69"/>
      <c r="BE13" s="69"/>
      <c r="CD13" s="91"/>
      <c r="CF13" s="64"/>
    </row>
    <row r="14" spans="1:84" s="63" customFormat="1" x14ac:dyDescent="0.25">
      <c r="C14" s="75"/>
      <c r="D14" s="64"/>
      <c r="E14" s="63" t="s">
        <v>125</v>
      </c>
      <c r="AS14" s="91"/>
      <c r="AU14" s="52"/>
      <c r="BD14" s="69"/>
      <c r="BE14" s="69"/>
      <c r="CD14" s="91"/>
      <c r="CF14" s="64"/>
    </row>
    <row r="15" spans="1:84" s="63" customFormat="1" x14ac:dyDescent="0.25">
      <c r="C15" s="75"/>
      <c r="D15" s="64"/>
      <c r="E15" s="63" t="s">
        <v>727</v>
      </c>
      <c r="AS15" s="91"/>
      <c r="AU15" s="52"/>
      <c r="BD15" s="69"/>
      <c r="BE15" s="69"/>
      <c r="CD15" s="91"/>
      <c r="CF15" s="64"/>
    </row>
    <row r="16" spans="1:84" s="63" customFormat="1" x14ac:dyDescent="0.25">
      <c r="C16" s="75"/>
      <c r="D16" s="64"/>
      <c r="E16" s="63" t="s">
        <v>728</v>
      </c>
      <c r="AS16" s="91"/>
      <c r="AU16" s="52"/>
      <c r="BD16" s="69"/>
      <c r="BE16" s="69"/>
      <c r="CD16" s="91"/>
      <c r="CF16" s="64"/>
    </row>
    <row r="17" spans="3:85" s="63" customFormat="1" x14ac:dyDescent="0.25">
      <c r="C17" s="75"/>
      <c r="D17" s="64"/>
      <c r="E17" s="63" t="s">
        <v>124</v>
      </c>
      <c r="AS17" s="91"/>
      <c r="AU17" s="52"/>
      <c r="BD17" s="69"/>
      <c r="BE17" s="69"/>
      <c r="CD17" s="91"/>
      <c r="CF17" s="64"/>
    </row>
    <row r="18" spans="3:85" s="63" customFormat="1" x14ac:dyDescent="0.25">
      <c r="C18" s="75"/>
      <c r="D18" s="64"/>
      <c r="E18" s="63" t="s">
        <v>132</v>
      </c>
      <c r="AS18" s="91"/>
      <c r="AU18" s="52"/>
      <c r="BD18" s="69"/>
      <c r="BE18" s="69"/>
      <c r="CD18" s="91"/>
      <c r="CF18" s="64"/>
    </row>
    <row r="19" spans="3:85" s="63" customFormat="1" x14ac:dyDescent="0.25">
      <c r="C19" s="75"/>
      <c r="D19" s="64"/>
      <c r="E19" s="63" t="s">
        <v>119</v>
      </c>
      <c r="AS19" s="91"/>
      <c r="AU19" s="52"/>
      <c r="BD19" s="69"/>
      <c r="BE19" s="69"/>
      <c r="CD19" s="91"/>
      <c r="CF19" s="64"/>
    </row>
    <row r="20" spans="3:85" s="63" customFormat="1" x14ac:dyDescent="0.25">
      <c r="C20" s="75"/>
      <c r="D20" s="64"/>
      <c r="E20" s="63" t="s">
        <v>729</v>
      </c>
      <c r="AS20" s="91"/>
      <c r="AU20" s="52"/>
      <c r="BD20" s="69"/>
      <c r="BE20" s="69"/>
      <c r="CD20" s="91"/>
      <c r="CF20" s="64"/>
    </row>
    <row r="21" spans="3:85" s="63" customFormat="1" x14ac:dyDescent="0.25">
      <c r="C21" s="75"/>
      <c r="D21" s="64"/>
      <c r="E21" s="63" t="s">
        <v>730</v>
      </c>
      <c r="AS21" s="91"/>
      <c r="AU21" s="52"/>
      <c r="BD21" s="69"/>
      <c r="BE21" s="69"/>
      <c r="CD21" s="91"/>
      <c r="CF21" s="64"/>
    </row>
    <row r="22" spans="3:85" s="63" customFormat="1" x14ac:dyDescent="0.25">
      <c r="C22" s="75"/>
      <c r="D22" s="64"/>
      <c r="E22" s="63" t="s">
        <v>731</v>
      </c>
      <c r="AS22" s="91"/>
      <c r="AU22" s="52"/>
      <c r="BD22" s="69"/>
      <c r="BE22" s="69"/>
      <c r="CD22" s="91"/>
      <c r="CF22" s="64"/>
    </row>
    <row r="23" spans="3:85" s="63" customFormat="1" x14ac:dyDescent="0.25">
      <c r="C23" s="75"/>
      <c r="D23" s="64"/>
      <c r="E23" s="63" t="s">
        <v>116</v>
      </c>
      <c r="AS23" s="91"/>
      <c r="AU23" s="52"/>
      <c r="BD23" s="69"/>
      <c r="BE23" s="69"/>
      <c r="CD23" s="91"/>
      <c r="CF23" s="64"/>
    </row>
    <row r="24" spans="3:85" s="63" customFormat="1" x14ac:dyDescent="0.25">
      <c r="C24" s="75"/>
      <c r="D24" s="64"/>
      <c r="E24" s="63" t="s">
        <v>732</v>
      </c>
      <c r="AS24" s="91"/>
      <c r="AU24" s="52"/>
      <c r="BD24" s="69"/>
      <c r="BE24" s="69"/>
      <c r="CD24" s="91"/>
      <c r="CF24" s="64"/>
    </row>
    <row r="25" spans="3:85" s="63" customFormat="1" x14ac:dyDescent="0.25">
      <c r="C25" s="75"/>
      <c r="D25" s="64"/>
      <c r="E25" s="63" t="s">
        <v>733</v>
      </c>
      <c r="AS25" s="91"/>
      <c r="AU25" s="52"/>
      <c r="BD25" s="69"/>
      <c r="BE25" s="69"/>
      <c r="CD25" s="91"/>
      <c r="CF25" s="64"/>
    </row>
    <row r="26" spans="3:85" s="63" customFormat="1" x14ac:dyDescent="0.25">
      <c r="C26" s="75">
        <v>5947</v>
      </c>
      <c r="D26" s="64">
        <v>7234</v>
      </c>
      <c r="F26" s="63" t="s">
        <v>1769</v>
      </c>
      <c r="G26" s="63" t="s">
        <v>220</v>
      </c>
      <c r="AD26" s="63">
        <v>1890.52</v>
      </c>
      <c r="AS26" s="91">
        <f>SUM(H26:AR26)</f>
        <v>1890.52</v>
      </c>
      <c r="AT26" s="63">
        <v>1890.52</v>
      </c>
      <c r="AU26" s="52"/>
      <c r="BD26" s="69"/>
      <c r="BE26" s="69"/>
      <c r="CD26" s="91">
        <f>SUM(AT26:CC26)</f>
        <v>1890.52</v>
      </c>
      <c r="CE26" s="63">
        <f>+CD26-AS26</f>
        <v>0</v>
      </c>
      <c r="CF26" s="64">
        <f>+D26</f>
        <v>7234</v>
      </c>
      <c r="CG26" s="63">
        <f>+E26</f>
        <v>0</v>
      </c>
    </row>
    <row r="27" spans="3:85" s="63" customFormat="1" ht="36" x14ac:dyDescent="0.25">
      <c r="C27" s="75">
        <v>5908</v>
      </c>
      <c r="D27" s="64">
        <v>7235</v>
      </c>
      <c r="F27" s="93" t="s">
        <v>1770</v>
      </c>
      <c r="G27" s="63" t="s">
        <v>220</v>
      </c>
      <c r="T27" s="63">
        <v>574540.4</v>
      </c>
      <c r="AS27" s="91">
        <f t="shared" ref="AS27:AS43" si="0">SUM(H27:AR27)</f>
        <v>574540.4</v>
      </c>
      <c r="AT27" s="63">
        <v>574540.4</v>
      </c>
      <c r="AU27" s="52"/>
      <c r="BD27" s="69"/>
      <c r="BE27" s="69"/>
      <c r="CD27" s="91">
        <f t="shared" ref="CD27:CD43" si="1">SUM(AT27:CC27)</f>
        <v>574540.4</v>
      </c>
      <c r="CE27" s="63">
        <f t="shared" ref="CE27:CE43" si="2">+CD27-AS27</f>
        <v>0</v>
      </c>
      <c r="CF27" s="64">
        <f t="shared" ref="CF27:CG43" si="3">+D27</f>
        <v>7235</v>
      </c>
      <c r="CG27" s="63">
        <f t="shared" si="3"/>
        <v>0</v>
      </c>
    </row>
    <row r="28" spans="3:85" s="63" customFormat="1" x14ac:dyDescent="0.25">
      <c r="C28" s="75">
        <v>5956</v>
      </c>
      <c r="D28" s="64">
        <v>7236</v>
      </c>
      <c r="F28" s="63" t="s">
        <v>1771</v>
      </c>
      <c r="G28" s="63" t="s">
        <v>220</v>
      </c>
      <c r="U28" s="63">
        <v>12989.3</v>
      </c>
      <c r="AS28" s="91">
        <f t="shared" si="0"/>
        <v>12989.3</v>
      </c>
      <c r="AT28" s="63">
        <v>12989.3</v>
      </c>
      <c r="AU28" s="52"/>
      <c r="BD28" s="69"/>
      <c r="BE28" s="69"/>
      <c r="CD28" s="91">
        <f t="shared" si="1"/>
        <v>12989.3</v>
      </c>
      <c r="CE28" s="63">
        <f t="shared" si="2"/>
        <v>0</v>
      </c>
      <c r="CF28" s="64">
        <f t="shared" si="3"/>
        <v>7236</v>
      </c>
      <c r="CG28" s="63">
        <f t="shared" si="3"/>
        <v>0</v>
      </c>
    </row>
    <row r="29" spans="3:85" s="63" customFormat="1" x14ac:dyDescent="0.25">
      <c r="C29" s="75">
        <v>5937</v>
      </c>
      <c r="D29" s="64">
        <v>7237</v>
      </c>
      <c r="F29" s="63" t="s">
        <v>1772</v>
      </c>
      <c r="G29" s="63" t="s">
        <v>220</v>
      </c>
      <c r="AD29" s="63">
        <v>1334</v>
      </c>
      <c r="AS29" s="91">
        <f t="shared" si="0"/>
        <v>1334</v>
      </c>
      <c r="AT29" s="63">
        <v>1334</v>
      </c>
      <c r="AU29" s="52"/>
      <c r="BD29" s="69"/>
      <c r="BE29" s="69"/>
      <c r="CD29" s="91">
        <f t="shared" si="1"/>
        <v>1334</v>
      </c>
      <c r="CE29" s="63">
        <f t="shared" si="2"/>
        <v>0</v>
      </c>
      <c r="CF29" s="64">
        <f t="shared" si="3"/>
        <v>7237</v>
      </c>
      <c r="CG29" s="63">
        <f t="shared" si="3"/>
        <v>0</v>
      </c>
    </row>
    <row r="30" spans="3:85" s="63" customFormat="1" x14ac:dyDescent="0.25">
      <c r="C30" s="75">
        <v>5954</v>
      </c>
      <c r="D30" s="64">
        <v>7238</v>
      </c>
      <c r="F30" s="63" t="s">
        <v>1773</v>
      </c>
      <c r="G30" s="63" t="s">
        <v>220</v>
      </c>
      <c r="AD30" s="63">
        <v>1177.31</v>
      </c>
      <c r="AS30" s="91">
        <f t="shared" si="0"/>
        <v>1177.31</v>
      </c>
      <c r="AT30" s="63">
        <v>1177.31</v>
      </c>
      <c r="AU30" s="52"/>
      <c r="BD30" s="69"/>
      <c r="BE30" s="69"/>
      <c r="CD30" s="91">
        <f t="shared" si="1"/>
        <v>1177.31</v>
      </c>
      <c r="CE30" s="63">
        <f t="shared" si="2"/>
        <v>0</v>
      </c>
      <c r="CF30" s="64">
        <f t="shared" si="3"/>
        <v>7238</v>
      </c>
      <c r="CG30" s="63">
        <f t="shared" si="3"/>
        <v>0</v>
      </c>
    </row>
    <row r="31" spans="3:85" s="63" customFormat="1" x14ac:dyDescent="0.25">
      <c r="C31" s="75">
        <v>5952</v>
      </c>
      <c r="D31" s="64">
        <v>7239</v>
      </c>
      <c r="F31" s="63" t="s">
        <v>1774</v>
      </c>
      <c r="G31" s="63" t="s">
        <v>220</v>
      </c>
      <c r="AD31" s="63">
        <v>2311.2399999999998</v>
      </c>
      <c r="AS31" s="91">
        <f t="shared" si="0"/>
        <v>2311.2399999999998</v>
      </c>
      <c r="AT31" s="63">
        <v>2311.2399999999998</v>
      </c>
      <c r="AU31" s="52"/>
      <c r="BD31" s="69"/>
      <c r="BE31" s="69"/>
      <c r="CD31" s="91">
        <f t="shared" si="1"/>
        <v>2311.2399999999998</v>
      </c>
      <c r="CE31" s="63">
        <f t="shared" si="2"/>
        <v>0</v>
      </c>
      <c r="CF31" s="64">
        <f t="shared" si="3"/>
        <v>7239</v>
      </c>
      <c r="CG31" s="63">
        <f t="shared" si="3"/>
        <v>0</v>
      </c>
    </row>
    <row r="32" spans="3:85" s="63" customFormat="1" x14ac:dyDescent="0.25">
      <c r="C32" s="75">
        <v>5924</v>
      </c>
      <c r="D32" s="64">
        <v>7240</v>
      </c>
      <c r="F32" s="63" t="s">
        <v>1775</v>
      </c>
      <c r="G32" s="63" t="s">
        <v>220</v>
      </c>
      <c r="AD32" s="63">
        <v>1700</v>
      </c>
      <c r="AS32" s="91">
        <f t="shared" si="0"/>
        <v>1700</v>
      </c>
      <c r="AT32" s="63">
        <v>1700</v>
      </c>
      <c r="AU32" s="52"/>
      <c r="BD32" s="69"/>
      <c r="BE32" s="69"/>
      <c r="CD32" s="91">
        <f t="shared" si="1"/>
        <v>1700</v>
      </c>
      <c r="CE32" s="63">
        <f t="shared" si="2"/>
        <v>0</v>
      </c>
      <c r="CF32" s="64">
        <f t="shared" si="3"/>
        <v>7240</v>
      </c>
      <c r="CG32" s="63">
        <f t="shared" si="3"/>
        <v>0</v>
      </c>
    </row>
    <row r="33" spans="3:92" s="63" customFormat="1" x14ac:dyDescent="0.25">
      <c r="C33" s="75">
        <v>5925</v>
      </c>
      <c r="D33" s="64">
        <v>7241</v>
      </c>
      <c r="F33" s="63" t="s">
        <v>1776</v>
      </c>
      <c r="G33" s="63" t="s">
        <v>220</v>
      </c>
      <c r="AD33" s="63">
        <v>2</v>
      </c>
      <c r="AS33" s="91">
        <f t="shared" si="0"/>
        <v>2</v>
      </c>
      <c r="AT33" s="63">
        <v>2</v>
      </c>
      <c r="AU33" s="52"/>
      <c r="BD33" s="69"/>
      <c r="BE33" s="69"/>
      <c r="CD33" s="91">
        <f t="shared" si="1"/>
        <v>2</v>
      </c>
      <c r="CE33" s="63">
        <f t="shared" si="2"/>
        <v>0</v>
      </c>
      <c r="CF33" s="64">
        <f t="shared" si="3"/>
        <v>7241</v>
      </c>
      <c r="CG33" s="63">
        <f t="shared" si="3"/>
        <v>0</v>
      </c>
    </row>
    <row r="34" spans="3:92" s="63" customFormat="1" x14ac:dyDescent="0.25">
      <c r="C34" s="75">
        <v>5927</v>
      </c>
      <c r="D34" s="64">
        <v>7242</v>
      </c>
      <c r="F34" s="63" t="s">
        <v>1777</v>
      </c>
      <c r="G34" s="63" t="s">
        <v>220</v>
      </c>
      <c r="AD34" s="63">
        <v>85</v>
      </c>
      <c r="AS34" s="91">
        <f t="shared" si="0"/>
        <v>85</v>
      </c>
      <c r="AT34" s="63">
        <v>85</v>
      </c>
      <c r="AU34" s="52"/>
      <c r="BD34" s="69"/>
      <c r="BE34" s="69"/>
      <c r="CD34" s="91">
        <f t="shared" si="1"/>
        <v>85</v>
      </c>
      <c r="CE34" s="63">
        <f t="shared" si="2"/>
        <v>0</v>
      </c>
      <c r="CF34" s="64">
        <f t="shared" si="3"/>
        <v>7242</v>
      </c>
      <c r="CG34" s="63">
        <f t="shared" si="3"/>
        <v>0</v>
      </c>
    </row>
    <row r="35" spans="3:92" s="63" customFormat="1" x14ac:dyDescent="0.25">
      <c r="C35" s="75">
        <v>5928</v>
      </c>
      <c r="D35" s="64">
        <v>7243</v>
      </c>
      <c r="F35" s="63" t="s">
        <v>1778</v>
      </c>
      <c r="G35" s="63" t="s">
        <v>220</v>
      </c>
      <c r="AD35" s="63">
        <v>700</v>
      </c>
      <c r="AS35" s="91">
        <f t="shared" si="0"/>
        <v>700</v>
      </c>
      <c r="AT35" s="63">
        <v>700</v>
      </c>
      <c r="AU35" s="52"/>
      <c r="BD35" s="69"/>
      <c r="BE35" s="69"/>
      <c r="CD35" s="91">
        <f t="shared" si="1"/>
        <v>700</v>
      </c>
      <c r="CE35" s="63">
        <f t="shared" si="2"/>
        <v>0</v>
      </c>
      <c r="CF35" s="64">
        <f t="shared" si="3"/>
        <v>7243</v>
      </c>
      <c r="CG35" s="63">
        <f t="shared" si="3"/>
        <v>0</v>
      </c>
    </row>
    <row r="36" spans="3:92" s="63" customFormat="1" x14ac:dyDescent="0.25">
      <c r="C36" s="75">
        <v>5931</v>
      </c>
      <c r="D36" s="64">
        <v>7244</v>
      </c>
      <c r="F36" s="63" t="s">
        <v>1779</v>
      </c>
      <c r="G36" s="63" t="s">
        <v>220</v>
      </c>
      <c r="AD36" s="63">
        <v>1395</v>
      </c>
      <c r="AS36" s="91">
        <f t="shared" si="0"/>
        <v>1395</v>
      </c>
      <c r="AT36" s="63">
        <v>1395</v>
      </c>
      <c r="AU36" s="52"/>
      <c r="BD36" s="69"/>
      <c r="BE36" s="69"/>
      <c r="CD36" s="91">
        <f t="shared" si="1"/>
        <v>1395</v>
      </c>
      <c r="CE36" s="63">
        <f t="shared" si="2"/>
        <v>0</v>
      </c>
      <c r="CF36" s="64">
        <f t="shared" si="3"/>
        <v>7244</v>
      </c>
      <c r="CG36" s="63">
        <f t="shared" si="3"/>
        <v>0</v>
      </c>
    </row>
    <row r="37" spans="3:92" s="63" customFormat="1" x14ac:dyDescent="0.25">
      <c r="C37" s="75">
        <v>5938</v>
      </c>
      <c r="D37" s="64">
        <v>7245</v>
      </c>
      <c r="F37" s="63" t="s">
        <v>1780</v>
      </c>
      <c r="G37" s="63" t="s">
        <v>220</v>
      </c>
      <c r="AD37" s="63">
        <v>3200</v>
      </c>
      <c r="AS37" s="91">
        <f t="shared" si="0"/>
        <v>3200</v>
      </c>
      <c r="AT37" s="63">
        <v>3200</v>
      </c>
      <c r="AU37" s="52"/>
      <c r="BD37" s="69"/>
      <c r="BE37" s="69"/>
      <c r="CD37" s="91">
        <f t="shared" si="1"/>
        <v>3200</v>
      </c>
      <c r="CE37" s="63">
        <f t="shared" si="2"/>
        <v>0</v>
      </c>
      <c r="CF37" s="64">
        <f t="shared" si="3"/>
        <v>7245</v>
      </c>
      <c r="CG37" s="63">
        <f t="shared" si="3"/>
        <v>0</v>
      </c>
    </row>
    <row r="38" spans="3:92" s="63" customFormat="1" x14ac:dyDescent="0.25">
      <c r="C38" s="75">
        <v>5943</v>
      </c>
      <c r="D38" s="64">
        <v>7246</v>
      </c>
      <c r="F38" s="63" t="s">
        <v>1781</v>
      </c>
      <c r="G38" s="63" t="s">
        <v>220</v>
      </c>
      <c r="AD38" s="63">
        <v>106</v>
      </c>
      <c r="AS38" s="91">
        <f t="shared" si="0"/>
        <v>106</v>
      </c>
      <c r="AT38" s="63">
        <v>106</v>
      </c>
      <c r="AU38" s="52"/>
      <c r="BD38" s="69"/>
      <c r="BE38" s="69"/>
      <c r="CD38" s="91">
        <f t="shared" si="1"/>
        <v>106</v>
      </c>
      <c r="CE38" s="63">
        <f t="shared" si="2"/>
        <v>0</v>
      </c>
      <c r="CF38" s="64">
        <f t="shared" si="3"/>
        <v>7246</v>
      </c>
      <c r="CG38" s="63">
        <f t="shared" si="3"/>
        <v>0</v>
      </c>
    </row>
    <row r="39" spans="3:92" s="63" customFormat="1" x14ac:dyDescent="0.25">
      <c r="C39" s="75">
        <v>5944</v>
      </c>
      <c r="D39" s="64">
        <v>7247</v>
      </c>
      <c r="F39" s="63" t="s">
        <v>1782</v>
      </c>
      <c r="G39" s="63" t="s">
        <v>220</v>
      </c>
      <c r="AD39" s="63">
        <v>14</v>
      </c>
      <c r="AS39" s="91">
        <f t="shared" si="0"/>
        <v>14</v>
      </c>
      <c r="AT39" s="63">
        <v>14</v>
      </c>
      <c r="AU39" s="52"/>
      <c r="BD39" s="69"/>
      <c r="BE39" s="69"/>
      <c r="CD39" s="91">
        <f t="shared" si="1"/>
        <v>14</v>
      </c>
      <c r="CE39" s="63">
        <f t="shared" si="2"/>
        <v>0</v>
      </c>
      <c r="CF39" s="64">
        <f t="shared" si="3"/>
        <v>7247</v>
      </c>
      <c r="CG39" s="63">
        <f t="shared" si="3"/>
        <v>0</v>
      </c>
    </row>
    <row r="40" spans="3:92" s="63" customFormat="1" x14ac:dyDescent="0.25">
      <c r="C40" s="75">
        <v>5950</v>
      </c>
      <c r="D40" s="64">
        <v>7248</v>
      </c>
      <c r="F40" s="63" t="s">
        <v>1783</v>
      </c>
      <c r="G40" s="63" t="s">
        <v>220</v>
      </c>
      <c r="AD40" s="63">
        <v>26</v>
      </c>
      <c r="AS40" s="91">
        <f t="shared" si="0"/>
        <v>26</v>
      </c>
      <c r="AT40" s="63">
        <v>26</v>
      </c>
      <c r="AU40" s="52"/>
      <c r="BD40" s="69"/>
      <c r="BE40" s="69"/>
      <c r="CD40" s="91">
        <f t="shared" si="1"/>
        <v>26</v>
      </c>
      <c r="CE40" s="63">
        <f t="shared" si="2"/>
        <v>0</v>
      </c>
      <c r="CF40" s="64">
        <f t="shared" si="3"/>
        <v>7248</v>
      </c>
      <c r="CG40" s="63">
        <f t="shared" si="3"/>
        <v>0</v>
      </c>
    </row>
    <row r="41" spans="3:92" s="63" customFormat="1" x14ac:dyDescent="0.25">
      <c r="C41" s="75">
        <v>5935</v>
      </c>
      <c r="D41" s="64">
        <v>7249</v>
      </c>
      <c r="F41" s="63" t="s">
        <v>1784</v>
      </c>
      <c r="G41" s="63" t="s">
        <v>220</v>
      </c>
      <c r="AD41" s="63">
        <v>6451</v>
      </c>
      <c r="AS41" s="91">
        <f t="shared" si="0"/>
        <v>6451</v>
      </c>
      <c r="AT41" s="63">
        <v>6451</v>
      </c>
      <c r="AU41" s="52"/>
      <c r="BD41" s="69"/>
      <c r="BE41" s="69"/>
      <c r="CD41" s="91">
        <f t="shared" si="1"/>
        <v>6451</v>
      </c>
      <c r="CE41" s="63">
        <f t="shared" si="2"/>
        <v>0</v>
      </c>
      <c r="CF41" s="64">
        <f t="shared" si="3"/>
        <v>7249</v>
      </c>
      <c r="CG41" s="63">
        <f t="shared" si="3"/>
        <v>0</v>
      </c>
    </row>
    <row r="42" spans="3:92" s="63" customFormat="1" x14ac:dyDescent="0.25">
      <c r="C42" s="75">
        <v>5923</v>
      </c>
      <c r="D42" s="64">
        <v>7250</v>
      </c>
      <c r="F42" s="63" t="s">
        <v>1785</v>
      </c>
      <c r="G42" s="63" t="s">
        <v>220</v>
      </c>
      <c r="AD42" s="63">
        <v>988.13</v>
      </c>
      <c r="AS42" s="91">
        <f t="shared" si="0"/>
        <v>988.13</v>
      </c>
      <c r="AT42" s="63">
        <v>988.13</v>
      </c>
      <c r="AU42" s="52"/>
      <c r="BD42" s="69"/>
      <c r="BE42" s="69"/>
      <c r="CD42" s="91">
        <f t="shared" si="1"/>
        <v>988.13</v>
      </c>
      <c r="CE42" s="63">
        <f t="shared" si="2"/>
        <v>0</v>
      </c>
      <c r="CF42" s="64">
        <f t="shared" si="3"/>
        <v>7250</v>
      </c>
      <c r="CG42" s="63">
        <f t="shared" si="3"/>
        <v>0</v>
      </c>
    </row>
    <row r="43" spans="3:92" s="63" customFormat="1" x14ac:dyDescent="0.25">
      <c r="C43" s="75">
        <v>5955</v>
      </c>
      <c r="D43" s="64">
        <v>7251</v>
      </c>
      <c r="F43" s="63" t="s">
        <v>1786</v>
      </c>
      <c r="G43" s="63" t="s">
        <v>220</v>
      </c>
      <c r="U43" s="63">
        <v>11192.48</v>
      </c>
      <c r="AS43" s="91">
        <f t="shared" si="0"/>
        <v>11192.48</v>
      </c>
      <c r="AT43" s="63">
        <v>11192.48</v>
      </c>
      <c r="AU43" s="52"/>
      <c r="BD43" s="69"/>
      <c r="BE43" s="69"/>
      <c r="CD43" s="91">
        <f t="shared" si="1"/>
        <v>11192.48</v>
      </c>
      <c r="CE43" s="63">
        <f t="shared" si="2"/>
        <v>0</v>
      </c>
      <c r="CF43" s="64">
        <f t="shared" si="3"/>
        <v>7251</v>
      </c>
      <c r="CG43" s="63">
        <f t="shared" si="3"/>
        <v>0</v>
      </c>
    </row>
    <row r="44" spans="3:92" s="68" customFormat="1" x14ac:dyDescent="0.25">
      <c r="C44" s="75"/>
      <c r="D44" s="67"/>
      <c r="F44" s="68" t="s">
        <v>1787</v>
      </c>
      <c r="T44" s="68">
        <f>SUM(T26:T43)</f>
        <v>574540.4</v>
      </c>
      <c r="U44" s="68">
        <f t="shared" ref="U44:CG44" si="4">SUM(U26:U43)</f>
        <v>24181.78</v>
      </c>
      <c r="V44" s="68">
        <f t="shared" si="4"/>
        <v>0</v>
      </c>
      <c r="W44" s="68">
        <f t="shared" si="4"/>
        <v>0</v>
      </c>
      <c r="X44" s="68">
        <f t="shared" si="4"/>
        <v>0</v>
      </c>
      <c r="Y44" s="68">
        <f t="shared" si="4"/>
        <v>0</v>
      </c>
      <c r="Z44" s="68">
        <f t="shared" si="4"/>
        <v>0</v>
      </c>
      <c r="AA44" s="68">
        <f t="shared" si="4"/>
        <v>0</v>
      </c>
      <c r="AB44" s="68">
        <f t="shared" si="4"/>
        <v>0</v>
      </c>
      <c r="AC44" s="68">
        <f t="shared" si="4"/>
        <v>0</v>
      </c>
      <c r="AD44" s="68">
        <f t="shared" si="4"/>
        <v>21380.2</v>
      </c>
      <c r="AE44" s="68">
        <f t="shared" si="4"/>
        <v>0</v>
      </c>
      <c r="AF44" s="68">
        <f t="shared" si="4"/>
        <v>0</v>
      </c>
      <c r="AG44" s="68">
        <f t="shared" si="4"/>
        <v>0</v>
      </c>
      <c r="AH44" s="68">
        <f t="shared" si="4"/>
        <v>0</v>
      </c>
      <c r="AI44" s="68">
        <f t="shared" si="4"/>
        <v>0</v>
      </c>
      <c r="AJ44" s="68">
        <f t="shared" si="4"/>
        <v>0</v>
      </c>
      <c r="AK44" s="68">
        <f t="shared" si="4"/>
        <v>0</v>
      </c>
      <c r="AL44" s="68">
        <f t="shared" si="4"/>
        <v>0</v>
      </c>
      <c r="AM44" s="68">
        <f t="shared" si="4"/>
        <v>0</v>
      </c>
      <c r="AN44" s="68">
        <f t="shared" si="4"/>
        <v>0</v>
      </c>
      <c r="AP44" s="68">
        <f t="shared" si="4"/>
        <v>0</v>
      </c>
      <c r="AQ44" s="68">
        <f t="shared" si="4"/>
        <v>0</v>
      </c>
      <c r="AR44" s="68">
        <f t="shared" si="4"/>
        <v>0</v>
      </c>
      <c r="AS44" s="68">
        <f t="shared" si="4"/>
        <v>620102.38000000012</v>
      </c>
      <c r="AT44" s="68">
        <f t="shared" si="4"/>
        <v>620102.38000000012</v>
      </c>
      <c r="AU44" s="68">
        <f t="shared" si="4"/>
        <v>0</v>
      </c>
      <c r="AV44" s="68">
        <f t="shared" si="4"/>
        <v>0</v>
      </c>
      <c r="AW44" s="68">
        <f t="shared" si="4"/>
        <v>0</v>
      </c>
      <c r="AX44" s="68">
        <f t="shared" si="4"/>
        <v>0</v>
      </c>
      <c r="AY44" s="68">
        <f t="shared" si="4"/>
        <v>0</v>
      </c>
      <c r="AZ44" s="68">
        <f t="shared" si="4"/>
        <v>0</v>
      </c>
      <c r="BA44" s="68">
        <f t="shared" si="4"/>
        <v>0</v>
      </c>
      <c r="BB44" s="68">
        <f t="shared" si="4"/>
        <v>0</v>
      </c>
      <c r="BC44" s="68">
        <f t="shared" si="4"/>
        <v>0</v>
      </c>
      <c r="BD44" s="68">
        <f t="shared" si="4"/>
        <v>0</v>
      </c>
      <c r="BE44" s="68">
        <f t="shared" si="4"/>
        <v>0</v>
      </c>
      <c r="BF44" s="68">
        <f t="shared" si="4"/>
        <v>0</v>
      </c>
      <c r="BG44" s="68">
        <f t="shared" si="4"/>
        <v>0</v>
      </c>
      <c r="BH44" s="68">
        <f t="shared" si="4"/>
        <v>0</v>
      </c>
      <c r="BI44" s="68">
        <f t="shared" si="4"/>
        <v>0</v>
      </c>
      <c r="BJ44" s="68">
        <f t="shared" si="4"/>
        <v>0</v>
      </c>
      <c r="BK44" s="68">
        <f t="shared" si="4"/>
        <v>0</v>
      </c>
      <c r="BL44" s="68">
        <f t="shared" si="4"/>
        <v>0</v>
      </c>
      <c r="BM44" s="68">
        <f t="shared" si="4"/>
        <v>0</v>
      </c>
      <c r="BN44" s="68">
        <f t="shared" si="4"/>
        <v>0</v>
      </c>
      <c r="BO44" s="68">
        <f t="shared" si="4"/>
        <v>0</v>
      </c>
      <c r="BP44" s="68">
        <f t="shared" si="4"/>
        <v>0</v>
      </c>
      <c r="BQ44" s="68">
        <f t="shared" si="4"/>
        <v>0</v>
      </c>
      <c r="BR44" s="68">
        <f t="shared" si="4"/>
        <v>0</v>
      </c>
      <c r="BS44" s="68">
        <f t="shared" si="4"/>
        <v>0</v>
      </c>
      <c r="BT44" s="68">
        <f t="shared" si="4"/>
        <v>0</v>
      </c>
      <c r="BU44" s="68">
        <f t="shared" si="4"/>
        <v>0</v>
      </c>
      <c r="BV44" s="68">
        <f t="shared" si="4"/>
        <v>0</v>
      </c>
      <c r="BW44" s="68">
        <f t="shared" si="4"/>
        <v>0</v>
      </c>
      <c r="BX44" s="68">
        <f t="shared" si="4"/>
        <v>0</v>
      </c>
      <c r="BY44" s="68">
        <f t="shared" si="4"/>
        <v>0</v>
      </c>
      <c r="BZ44" s="68">
        <f t="shared" si="4"/>
        <v>0</v>
      </c>
      <c r="CA44" s="68">
        <f t="shared" si="4"/>
        <v>0</v>
      </c>
      <c r="CB44" s="68">
        <f t="shared" si="4"/>
        <v>0</v>
      </c>
      <c r="CC44" s="68">
        <f t="shared" si="4"/>
        <v>0</v>
      </c>
      <c r="CD44" s="68">
        <f t="shared" si="4"/>
        <v>620102.38000000012</v>
      </c>
      <c r="CE44" s="68">
        <f t="shared" si="4"/>
        <v>0</v>
      </c>
      <c r="CG44" s="68">
        <f t="shared" si="4"/>
        <v>0</v>
      </c>
      <c r="CH44" s="68">
        <f t="shared" ref="CH44" si="5">SUM(CH26:CH43)</f>
        <v>0</v>
      </c>
      <c r="CI44" s="68">
        <f t="shared" ref="CI44:CN44" si="6">SUM(CI27:CI43)</f>
        <v>0</v>
      </c>
      <c r="CJ44" s="68">
        <f t="shared" si="6"/>
        <v>0</v>
      </c>
      <c r="CK44" s="68">
        <f t="shared" si="6"/>
        <v>0</v>
      </c>
      <c r="CL44" s="68">
        <f t="shared" si="6"/>
        <v>0</v>
      </c>
      <c r="CM44" s="68">
        <f t="shared" si="6"/>
        <v>0</v>
      </c>
      <c r="CN44" s="68">
        <f t="shared" si="6"/>
        <v>0</v>
      </c>
    </row>
    <row r="45" spans="3:92" x14ac:dyDescent="0.25">
      <c r="C45" s="69">
        <f>SUM(AV45:AV46)</f>
        <v>6861.8</v>
      </c>
      <c r="D45" s="75">
        <v>7252</v>
      </c>
      <c r="E45" s="69" t="s">
        <v>121</v>
      </c>
      <c r="F45" s="69" t="s">
        <v>1788</v>
      </c>
      <c r="G45" s="69"/>
      <c r="H45" s="69">
        <v>22252.09</v>
      </c>
      <c r="U45" s="69"/>
      <c r="V45" s="69"/>
      <c r="AS45" s="91">
        <f t="shared" ref="AS45:AS74" si="7">SUM(H45:AR45)</f>
        <v>22252.09</v>
      </c>
      <c r="AT45" s="69">
        <v>14865.36</v>
      </c>
      <c r="AU45" s="69">
        <v>2025.35</v>
      </c>
      <c r="AV45" s="69">
        <v>5361.38</v>
      </c>
      <c r="CD45" s="91">
        <f t="shared" ref="CD45:CD74" si="8">SUM(AT45:CC45)</f>
        <v>22252.09</v>
      </c>
      <c r="CE45" s="69">
        <f t="shared" ref="CE45:CE74" si="9">+CD45-AS45</f>
        <v>0</v>
      </c>
      <c r="CF45" s="75">
        <f t="shared" ref="CF45:CG74" si="10">+D45</f>
        <v>7252</v>
      </c>
      <c r="CG45" s="69" t="str">
        <f t="shared" si="10"/>
        <v>ماليزى اسنان</v>
      </c>
    </row>
    <row r="46" spans="3:92" x14ac:dyDescent="0.25">
      <c r="D46" s="75">
        <v>7253</v>
      </c>
      <c r="E46" s="69" t="s">
        <v>121</v>
      </c>
      <c r="F46" s="69" t="s">
        <v>1788</v>
      </c>
      <c r="G46" s="69"/>
      <c r="H46" s="69">
        <v>6227.44</v>
      </c>
      <c r="U46" s="69"/>
      <c r="V46" s="69"/>
      <c r="AS46" s="91">
        <f t="shared" si="7"/>
        <v>6227.44</v>
      </c>
      <c r="AT46" s="69">
        <v>4158.4399999999996</v>
      </c>
      <c r="AU46" s="69">
        <v>568.58000000000004</v>
      </c>
      <c r="AV46" s="69">
        <v>1500.42</v>
      </c>
      <c r="CD46" s="91">
        <f t="shared" si="8"/>
        <v>6227.44</v>
      </c>
      <c r="CE46" s="69">
        <f t="shared" si="9"/>
        <v>0</v>
      </c>
      <c r="CF46" s="75">
        <f t="shared" si="10"/>
        <v>7253</v>
      </c>
      <c r="CG46" s="69" t="str">
        <f t="shared" si="10"/>
        <v>ماليزى اسنان</v>
      </c>
    </row>
    <row r="47" spans="3:92" x14ac:dyDescent="0.25">
      <c r="D47" s="75">
        <v>7254</v>
      </c>
      <c r="E47" s="69" t="s">
        <v>78</v>
      </c>
      <c r="F47" s="69" t="s">
        <v>1788</v>
      </c>
      <c r="G47" s="69"/>
      <c r="H47" s="69">
        <v>6225</v>
      </c>
      <c r="U47" s="69"/>
      <c r="V47" s="69"/>
      <c r="AS47" s="91">
        <f t="shared" si="7"/>
        <v>6225</v>
      </c>
      <c r="AT47" s="69">
        <v>5553.1</v>
      </c>
      <c r="AU47" s="69">
        <v>671.9</v>
      </c>
      <c r="CD47" s="91">
        <f t="shared" si="8"/>
        <v>6225</v>
      </c>
      <c r="CE47" s="69">
        <f t="shared" si="9"/>
        <v>0</v>
      </c>
      <c r="CF47" s="75">
        <f t="shared" si="10"/>
        <v>7254</v>
      </c>
      <c r="CG47" s="69" t="str">
        <f t="shared" si="10"/>
        <v>برنامج دولى</v>
      </c>
    </row>
    <row r="48" spans="3:92" x14ac:dyDescent="0.25">
      <c r="D48" s="75">
        <v>7255</v>
      </c>
      <c r="E48" s="69" t="s">
        <v>78</v>
      </c>
      <c r="F48" s="69" t="s">
        <v>1788</v>
      </c>
      <c r="G48" s="69"/>
      <c r="H48" s="69">
        <v>5758.44</v>
      </c>
      <c r="U48" s="69"/>
      <c r="V48" s="69"/>
      <c r="AS48" s="91">
        <f t="shared" si="7"/>
        <v>5758.44</v>
      </c>
      <c r="AT48" s="69">
        <v>3847.44</v>
      </c>
      <c r="AU48" s="69">
        <v>523.58000000000004</v>
      </c>
      <c r="AV48" s="69">
        <v>1387.42</v>
      </c>
      <c r="CD48" s="91">
        <f t="shared" si="8"/>
        <v>5758.4400000000005</v>
      </c>
      <c r="CE48" s="69">
        <f t="shared" si="9"/>
        <v>0</v>
      </c>
      <c r="CF48" s="75">
        <f t="shared" si="10"/>
        <v>7255</v>
      </c>
      <c r="CG48" s="69" t="str">
        <f t="shared" si="10"/>
        <v>برنامج دولى</v>
      </c>
    </row>
    <row r="49" spans="3:85" x14ac:dyDescent="0.25">
      <c r="D49" s="75">
        <v>7256</v>
      </c>
      <c r="E49" s="69" t="s">
        <v>78</v>
      </c>
      <c r="F49" s="69" t="s">
        <v>1788</v>
      </c>
      <c r="G49" s="69"/>
      <c r="H49" s="69">
        <v>51560.2</v>
      </c>
      <c r="U49" s="69"/>
      <c r="V49" s="69"/>
      <c r="AS49" s="91">
        <f t="shared" si="7"/>
        <v>51560.2</v>
      </c>
      <c r="AT49" s="69">
        <v>44275.68</v>
      </c>
      <c r="AU49" s="69">
        <v>5430.39</v>
      </c>
      <c r="AV49" s="69">
        <v>1854.13</v>
      </c>
      <c r="CD49" s="91">
        <f t="shared" si="8"/>
        <v>51560.2</v>
      </c>
      <c r="CE49" s="69">
        <f t="shared" si="9"/>
        <v>0</v>
      </c>
      <c r="CF49" s="75">
        <f t="shared" si="10"/>
        <v>7256</v>
      </c>
      <c r="CG49" s="69" t="str">
        <f t="shared" si="10"/>
        <v>برنامج دولى</v>
      </c>
    </row>
    <row r="50" spans="3:85" x14ac:dyDescent="0.25">
      <c r="D50" s="75">
        <v>7257</v>
      </c>
      <c r="E50" s="69" t="s">
        <v>78</v>
      </c>
      <c r="F50" s="69" t="s">
        <v>1788</v>
      </c>
      <c r="G50" s="69"/>
      <c r="H50" s="69">
        <v>42352.11</v>
      </c>
      <c r="U50" s="69"/>
      <c r="V50" s="69"/>
      <c r="AS50" s="91">
        <f t="shared" si="7"/>
        <v>42352.11</v>
      </c>
      <c r="AT50" s="69">
        <v>37581.440000000002</v>
      </c>
      <c r="AU50" s="69">
        <v>4543.84</v>
      </c>
      <c r="AV50" s="69">
        <v>226.83</v>
      </c>
      <c r="CD50" s="91">
        <f t="shared" si="8"/>
        <v>42352.11</v>
      </c>
      <c r="CE50" s="69">
        <f t="shared" si="9"/>
        <v>0</v>
      </c>
      <c r="CF50" s="75">
        <f t="shared" si="10"/>
        <v>7257</v>
      </c>
      <c r="CG50" s="69" t="str">
        <f t="shared" si="10"/>
        <v>برنامج دولى</v>
      </c>
    </row>
    <row r="51" spans="3:85" x14ac:dyDescent="0.25">
      <c r="D51" s="75">
        <v>7258</v>
      </c>
      <c r="E51" s="69" t="s">
        <v>78</v>
      </c>
      <c r="F51" s="69" t="s">
        <v>1788</v>
      </c>
      <c r="G51" s="69"/>
      <c r="H51" s="69">
        <v>15134.95</v>
      </c>
      <c r="U51" s="69"/>
      <c r="V51" s="69"/>
      <c r="AS51" s="91">
        <f t="shared" si="7"/>
        <v>15134.95</v>
      </c>
      <c r="AT51" s="69">
        <v>13503.84</v>
      </c>
      <c r="AU51" s="69">
        <v>1631.11</v>
      </c>
      <c r="CD51" s="91">
        <f t="shared" si="8"/>
        <v>15134.95</v>
      </c>
      <c r="CE51" s="69">
        <f t="shared" si="9"/>
        <v>0</v>
      </c>
      <c r="CF51" s="75">
        <f t="shared" si="10"/>
        <v>7258</v>
      </c>
      <c r="CG51" s="69" t="str">
        <f t="shared" si="10"/>
        <v>برنامج دولى</v>
      </c>
    </row>
    <row r="52" spans="3:85" x14ac:dyDescent="0.25">
      <c r="D52" s="75">
        <v>7259</v>
      </c>
      <c r="E52" s="69" t="s">
        <v>78</v>
      </c>
      <c r="F52" s="69" t="s">
        <v>1788</v>
      </c>
      <c r="G52" s="69"/>
      <c r="H52" s="69">
        <v>5011.25</v>
      </c>
      <c r="U52" s="69"/>
      <c r="V52" s="69"/>
      <c r="AS52" s="91">
        <f t="shared" si="7"/>
        <v>5011.25</v>
      </c>
      <c r="AT52" s="69">
        <v>4470.42</v>
      </c>
      <c r="AU52" s="69">
        <v>540.83000000000004</v>
      </c>
      <c r="CD52" s="91">
        <f t="shared" si="8"/>
        <v>5011.25</v>
      </c>
      <c r="CE52" s="69">
        <f t="shared" si="9"/>
        <v>0</v>
      </c>
      <c r="CF52" s="75">
        <f t="shared" si="10"/>
        <v>7259</v>
      </c>
      <c r="CG52" s="69" t="str">
        <f t="shared" si="10"/>
        <v>برنامج دولى</v>
      </c>
    </row>
    <row r="53" spans="3:85" x14ac:dyDescent="0.25">
      <c r="D53" s="75">
        <v>7260</v>
      </c>
      <c r="E53" s="69" t="s">
        <v>132</v>
      </c>
      <c r="F53" s="69" t="s">
        <v>1788</v>
      </c>
      <c r="G53" s="69"/>
      <c r="H53" s="69">
        <v>4793.37</v>
      </c>
      <c r="U53" s="69"/>
      <c r="V53" s="69"/>
      <c r="AS53" s="91">
        <f t="shared" si="7"/>
        <v>4793.37</v>
      </c>
      <c r="AT53" s="69">
        <v>4278.43</v>
      </c>
      <c r="AU53" s="69">
        <v>514.94000000000005</v>
      </c>
      <c r="CD53" s="91">
        <f t="shared" si="8"/>
        <v>4793.3700000000008</v>
      </c>
      <c r="CE53" s="69">
        <f t="shared" si="9"/>
        <v>0</v>
      </c>
      <c r="CF53" s="75">
        <f t="shared" si="10"/>
        <v>7260</v>
      </c>
      <c r="CG53" s="69" t="str">
        <f t="shared" si="10"/>
        <v>صيدلة اكلينيكى</v>
      </c>
    </row>
    <row r="54" spans="3:85" x14ac:dyDescent="0.25">
      <c r="D54" s="75">
        <v>7261</v>
      </c>
      <c r="E54" s="69" t="s">
        <v>132</v>
      </c>
      <c r="F54" s="69" t="s">
        <v>1788</v>
      </c>
      <c r="G54" s="69"/>
      <c r="H54" s="69">
        <v>21876.76</v>
      </c>
      <c r="U54" s="69"/>
      <c r="V54" s="69"/>
      <c r="AS54" s="91">
        <f t="shared" si="7"/>
        <v>21876.76</v>
      </c>
      <c r="AT54" s="69">
        <v>14616.88</v>
      </c>
      <c r="AU54" s="69">
        <v>1988.93</v>
      </c>
      <c r="AV54" s="69">
        <v>5270.95</v>
      </c>
      <c r="CD54" s="91">
        <f t="shared" si="8"/>
        <v>21876.76</v>
      </c>
      <c r="CE54" s="69">
        <f t="shared" si="9"/>
        <v>0</v>
      </c>
      <c r="CF54" s="75">
        <f t="shared" si="10"/>
        <v>7261</v>
      </c>
      <c r="CG54" s="69" t="str">
        <f t="shared" si="10"/>
        <v>صيدلة اكلينيكى</v>
      </c>
    </row>
    <row r="55" spans="3:85" x14ac:dyDescent="0.25">
      <c r="C55" s="75">
        <v>12178</v>
      </c>
      <c r="D55" s="75">
        <v>7262</v>
      </c>
      <c r="E55" s="69" t="s">
        <v>78</v>
      </c>
      <c r="F55" s="69" t="s">
        <v>1789</v>
      </c>
      <c r="G55" s="69"/>
      <c r="H55" s="69">
        <v>4000</v>
      </c>
      <c r="U55" s="69"/>
      <c r="V55" s="69"/>
      <c r="AS55" s="91">
        <f t="shared" si="7"/>
        <v>4000</v>
      </c>
      <c r="AT55" s="69">
        <v>4000</v>
      </c>
      <c r="AU55" s="69"/>
      <c r="CD55" s="91">
        <f t="shared" si="8"/>
        <v>4000</v>
      </c>
      <c r="CE55" s="69">
        <f t="shared" si="9"/>
        <v>0</v>
      </c>
      <c r="CF55" s="75">
        <f t="shared" si="10"/>
        <v>7262</v>
      </c>
      <c r="CG55" s="69" t="str">
        <f t="shared" si="10"/>
        <v>برنامج دولى</v>
      </c>
    </row>
    <row r="56" spans="3:85" ht="54" x14ac:dyDescent="0.25">
      <c r="C56" s="82">
        <v>12450</v>
      </c>
      <c r="D56" s="75">
        <v>7263</v>
      </c>
      <c r="E56" s="71" t="s">
        <v>121</v>
      </c>
      <c r="F56" s="77" t="s">
        <v>1790</v>
      </c>
      <c r="H56" s="69">
        <v>4500</v>
      </c>
      <c r="U56" s="69"/>
      <c r="V56" s="69"/>
      <c r="AS56" s="94">
        <f t="shared" si="7"/>
        <v>4500</v>
      </c>
      <c r="AT56" s="69">
        <v>4500</v>
      </c>
      <c r="AU56" s="69"/>
      <c r="CD56" s="91">
        <f t="shared" si="8"/>
        <v>4500</v>
      </c>
      <c r="CE56" s="69">
        <f t="shared" si="9"/>
        <v>0</v>
      </c>
      <c r="CF56" s="75">
        <f t="shared" si="10"/>
        <v>7263</v>
      </c>
      <c r="CG56" s="69" t="str">
        <f t="shared" si="10"/>
        <v>ماليزى اسنان</v>
      </c>
    </row>
    <row r="57" spans="3:85" ht="18.75" x14ac:dyDescent="0.25">
      <c r="C57" s="82">
        <v>12441</v>
      </c>
      <c r="D57" s="75">
        <v>7264</v>
      </c>
      <c r="E57" s="71" t="s">
        <v>121</v>
      </c>
      <c r="F57" s="69" t="s">
        <v>1791</v>
      </c>
      <c r="H57" s="69">
        <v>31409.46</v>
      </c>
      <c r="U57" s="69"/>
      <c r="V57" s="69"/>
      <c r="AS57" s="94">
        <f t="shared" si="7"/>
        <v>31409.46</v>
      </c>
      <c r="AT57" s="69">
        <v>27987.84</v>
      </c>
      <c r="AU57" s="69">
        <v>3275.1</v>
      </c>
      <c r="AV57" s="69">
        <v>146.52000000000001</v>
      </c>
      <c r="CD57" s="91">
        <f t="shared" si="8"/>
        <v>31409.46</v>
      </c>
      <c r="CE57" s="69">
        <f t="shared" si="9"/>
        <v>0</v>
      </c>
      <c r="CF57" s="75">
        <f t="shared" si="10"/>
        <v>7264</v>
      </c>
      <c r="CG57" s="69" t="str">
        <f t="shared" si="10"/>
        <v>ماليزى اسنان</v>
      </c>
    </row>
    <row r="58" spans="3:85" ht="18.75" x14ac:dyDescent="0.25">
      <c r="C58" s="82">
        <v>12440</v>
      </c>
      <c r="D58" s="75">
        <v>7265</v>
      </c>
      <c r="E58" s="71" t="s">
        <v>121</v>
      </c>
      <c r="F58" s="69" t="s">
        <v>1791</v>
      </c>
      <c r="H58" s="69">
        <v>14400</v>
      </c>
      <c r="U58" s="69"/>
      <c r="V58" s="69"/>
      <c r="AS58" s="94">
        <f t="shared" si="7"/>
        <v>14400</v>
      </c>
      <c r="AT58" s="69">
        <v>12867.2</v>
      </c>
      <c r="AU58" s="69">
        <v>1532.8</v>
      </c>
      <c r="CD58" s="91">
        <f t="shared" si="8"/>
        <v>14400</v>
      </c>
      <c r="CE58" s="69">
        <f t="shared" si="9"/>
        <v>0</v>
      </c>
      <c r="CF58" s="75">
        <f t="shared" si="10"/>
        <v>7265</v>
      </c>
      <c r="CG58" s="69" t="str">
        <f t="shared" si="10"/>
        <v>ماليزى اسنان</v>
      </c>
    </row>
    <row r="59" spans="3:85" ht="18.75" x14ac:dyDescent="0.25">
      <c r="C59" s="82">
        <v>12433</v>
      </c>
      <c r="D59" s="75">
        <v>7266</v>
      </c>
      <c r="E59" s="71" t="s">
        <v>121</v>
      </c>
      <c r="F59" s="69" t="s">
        <v>1791</v>
      </c>
      <c r="H59" s="69">
        <v>28800</v>
      </c>
      <c r="U59" s="69"/>
      <c r="V59" s="69"/>
      <c r="AS59" s="94">
        <f t="shared" si="7"/>
        <v>28800</v>
      </c>
      <c r="AT59" s="69">
        <v>25734.35</v>
      </c>
      <c r="AU59" s="69">
        <v>3065.65</v>
      </c>
      <c r="CD59" s="91">
        <f t="shared" si="8"/>
        <v>28800</v>
      </c>
      <c r="CE59" s="69">
        <f t="shared" si="9"/>
        <v>0</v>
      </c>
      <c r="CF59" s="75">
        <f t="shared" si="10"/>
        <v>7266</v>
      </c>
      <c r="CG59" s="69" t="str">
        <f t="shared" si="10"/>
        <v>ماليزى اسنان</v>
      </c>
    </row>
    <row r="60" spans="3:85" ht="18.75" x14ac:dyDescent="0.25">
      <c r="C60" s="82">
        <v>12435</v>
      </c>
      <c r="D60" s="75">
        <v>7267</v>
      </c>
      <c r="E60" s="71" t="s">
        <v>121</v>
      </c>
      <c r="F60" s="69" t="s">
        <v>1791</v>
      </c>
      <c r="H60" s="69">
        <v>213720</v>
      </c>
      <c r="U60" s="69"/>
      <c r="V60" s="69"/>
      <c r="AS60" s="94">
        <f t="shared" si="7"/>
        <v>213720</v>
      </c>
      <c r="AT60" s="69">
        <v>191139.85</v>
      </c>
      <c r="AU60" s="69">
        <v>22580.15</v>
      </c>
      <c r="CD60" s="91">
        <f t="shared" si="8"/>
        <v>213720</v>
      </c>
      <c r="CE60" s="69">
        <f t="shared" si="9"/>
        <v>0</v>
      </c>
      <c r="CF60" s="75">
        <f t="shared" si="10"/>
        <v>7267</v>
      </c>
      <c r="CG60" s="69" t="str">
        <f t="shared" si="10"/>
        <v>ماليزى اسنان</v>
      </c>
    </row>
    <row r="61" spans="3:85" ht="18.75" x14ac:dyDescent="0.25">
      <c r="C61" s="82">
        <v>12434</v>
      </c>
      <c r="D61" s="75">
        <v>7268</v>
      </c>
      <c r="E61" s="71" t="s">
        <v>121</v>
      </c>
      <c r="F61" s="69" t="s">
        <v>1791</v>
      </c>
      <c r="H61" s="69">
        <v>240420</v>
      </c>
      <c r="U61" s="69"/>
      <c r="V61" s="69"/>
      <c r="AS61" s="94">
        <f t="shared" si="7"/>
        <v>240420</v>
      </c>
      <c r="AT61" s="69">
        <v>214976.3</v>
      </c>
      <c r="AU61" s="69">
        <v>25443.7</v>
      </c>
      <c r="CD61" s="91">
        <f t="shared" si="8"/>
        <v>240420</v>
      </c>
      <c r="CE61" s="69">
        <f t="shared" si="9"/>
        <v>0</v>
      </c>
      <c r="CF61" s="75">
        <f t="shared" si="10"/>
        <v>7268</v>
      </c>
      <c r="CG61" s="69" t="str">
        <f t="shared" si="10"/>
        <v>ماليزى اسنان</v>
      </c>
    </row>
    <row r="62" spans="3:85" ht="18.75" x14ac:dyDescent="0.25">
      <c r="C62" s="82">
        <v>12431</v>
      </c>
      <c r="D62" s="75">
        <v>7269</v>
      </c>
      <c r="E62" s="71" t="s">
        <v>121</v>
      </c>
      <c r="F62" s="69" t="s">
        <v>1791</v>
      </c>
      <c r="H62" s="69">
        <v>162360</v>
      </c>
      <c r="U62" s="69"/>
      <c r="V62" s="69"/>
      <c r="AS62" s="94">
        <f t="shared" si="7"/>
        <v>162360</v>
      </c>
      <c r="AT62" s="69">
        <v>145210.25</v>
      </c>
      <c r="AU62" s="69">
        <v>17149.75</v>
      </c>
      <c r="CD62" s="91">
        <f t="shared" si="8"/>
        <v>162360</v>
      </c>
      <c r="CE62" s="69">
        <f t="shared" si="9"/>
        <v>0</v>
      </c>
      <c r="CF62" s="75">
        <f t="shared" si="10"/>
        <v>7269</v>
      </c>
      <c r="CG62" s="69" t="str">
        <f t="shared" si="10"/>
        <v>ماليزى اسنان</v>
      </c>
    </row>
    <row r="63" spans="3:85" ht="18.75" x14ac:dyDescent="0.25">
      <c r="C63" s="82">
        <v>12430</v>
      </c>
      <c r="D63" s="75">
        <v>7270</v>
      </c>
      <c r="E63" s="71" t="s">
        <v>121</v>
      </c>
      <c r="F63" s="69" t="s">
        <v>1791</v>
      </c>
      <c r="H63" s="69">
        <v>14400</v>
      </c>
      <c r="U63" s="69"/>
      <c r="V63" s="69"/>
      <c r="AS63" s="94">
        <f t="shared" si="7"/>
        <v>14400</v>
      </c>
      <c r="AT63" s="69">
        <v>12867.2</v>
      </c>
      <c r="AU63" s="69">
        <v>1532.8</v>
      </c>
      <c r="CD63" s="91">
        <f t="shared" si="8"/>
        <v>14400</v>
      </c>
      <c r="CE63" s="69">
        <f t="shared" si="9"/>
        <v>0</v>
      </c>
      <c r="CF63" s="75">
        <f t="shared" si="10"/>
        <v>7270</v>
      </c>
      <c r="CG63" s="69" t="str">
        <f t="shared" si="10"/>
        <v>ماليزى اسنان</v>
      </c>
    </row>
    <row r="64" spans="3:85" ht="18.75" x14ac:dyDescent="0.25">
      <c r="C64" s="82">
        <v>12429</v>
      </c>
      <c r="D64" s="75">
        <v>7271</v>
      </c>
      <c r="E64" s="71" t="s">
        <v>121</v>
      </c>
      <c r="F64" s="69" t="s">
        <v>1791</v>
      </c>
      <c r="H64" s="69">
        <v>33600</v>
      </c>
      <c r="U64" s="69"/>
      <c r="V64" s="69"/>
      <c r="AS64" s="94">
        <f t="shared" si="7"/>
        <v>33600</v>
      </c>
      <c r="AT64" s="69">
        <v>30089.599999999999</v>
      </c>
      <c r="AU64" s="69">
        <v>3510.4</v>
      </c>
      <c r="CD64" s="91">
        <f t="shared" si="8"/>
        <v>33600</v>
      </c>
      <c r="CE64" s="69">
        <f t="shared" si="9"/>
        <v>0</v>
      </c>
      <c r="CF64" s="75">
        <f t="shared" si="10"/>
        <v>7271</v>
      </c>
      <c r="CG64" s="69" t="str">
        <f t="shared" si="10"/>
        <v>ماليزى اسنان</v>
      </c>
    </row>
    <row r="65" spans="1:85" ht="18.75" x14ac:dyDescent="0.25">
      <c r="C65" s="82">
        <v>12449</v>
      </c>
      <c r="D65" s="75">
        <v>7272</v>
      </c>
      <c r="E65" s="71" t="s">
        <v>121</v>
      </c>
      <c r="F65" s="69" t="s">
        <v>1791</v>
      </c>
      <c r="H65" s="69">
        <v>1477.35</v>
      </c>
      <c r="U65" s="69"/>
      <c r="V65" s="69"/>
      <c r="AS65" s="94">
        <f t="shared" si="7"/>
        <v>1477.35</v>
      </c>
      <c r="AT65" s="69">
        <v>986.32</v>
      </c>
      <c r="AU65" s="69">
        <f>126+9.08</f>
        <v>135.08000000000001</v>
      </c>
      <c r="AV65" s="69">
        <v>355.95</v>
      </c>
      <c r="CD65" s="91">
        <f t="shared" si="8"/>
        <v>1477.3500000000001</v>
      </c>
      <c r="CE65" s="69">
        <f t="shared" si="9"/>
        <v>0</v>
      </c>
      <c r="CF65" s="75">
        <f t="shared" si="10"/>
        <v>7272</v>
      </c>
      <c r="CG65" s="69" t="str">
        <f t="shared" si="10"/>
        <v>ماليزى اسنان</v>
      </c>
    </row>
    <row r="66" spans="1:85" ht="18.75" x14ac:dyDescent="0.25">
      <c r="C66" s="82">
        <v>12432</v>
      </c>
      <c r="D66" s="75">
        <v>7273</v>
      </c>
      <c r="E66" s="71" t="s">
        <v>121</v>
      </c>
      <c r="F66" s="69" t="s">
        <v>1791</v>
      </c>
      <c r="H66" s="69">
        <v>5909.4</v>
      </c>
      <c r="U66" s="69"/>
      <c r="V66" s="69"/>
      <c r="AS66" s="94">
        <f t="shared" si="7"/>
        <v>5909.4</v>
      </c>
      <c r="AT66" s="69">
        <v>3941.68</v>
      </c>
      <c r="AU66" s="69">
        <f>504+39.92</f>
        <v>543.91999999999996</v>
      </c>
      <c r="AV66" s="69">
        <v>1423.8</v>
      </c>
      <c r="CD66" s="91">
        <f t="shared" si="8"/>
        <v>5909.4</v>
      </c>
      <c r="CE66" s="69">
        <f t="shared" si="9"/>
        <v>0</v>
      </c>
      <c r="CF66" s="75">
        <f t="shared" si="10"/>
        <v>7273</v>
      </c>
      <c r="CG66" s="69" t="str">
        <f t="shared" si="10"/>
        <v>ماليزى اسنان</v>
      </c>
    </row>
    <row r="67" spans="1:85" ht="18.75" x14ac:dyDescent="0.25">
      <c r="C67" s="82">
        <v>12438</v>
      </c>
      <c r="D67" s="75">
        <v>7274</v>
      </c>
      <c r="E67" s="71" t="s">
        <v>121</v>
      </c>
      <c r="F67" s="69" t="s">
        <v>1791</v>
      </c>
      <c r="H67" s="69">
        <v>2954.7</v>
      </c>
      <c r="U67" s="69"/>
      <c r="V67" s="69"/>
      <c r="AS67" s="94">
        <f t="shared" si="7"/>
        <v>2954.7</v>
      </c>
      <c r="AT67" s="69">
        <v>1972.27</v>
      </c>
      <c r="AU67" s="69">
        <f>252+18.53</f>
        <v>270.52999999999997</v>
      </c>
      <c r="AV67" s="69">
        <v>711.9</v>
      </c>
      <c r="CD67" s="91">
        <f t="shared" si="8"/>
        <v>2954.7000000000003</v>
      </c>
      <c r="CE67" s="69">
        <f t="shared" si="9"/>
        <v>0</v>
      </c>
      <c r="CF67" s="75">
        <f t="shared" si="10"/>
        <v>7274</v>
      </c>
      <c r="CG67" s="69" t="str">
        <f t="shared" si="10"/>
        <v>ماليزى اسنان</v>
      </c>
    </row>
    <row r="68" spans="1:85" ht="18.75" x14ac:dyDescent="0.25">
      <c r="C68" s="82">
        <v>12427</v>
      </c>
      <c r="D68" s="75">
        <v>7275</v>
      </c>
      <c r="E68" s="71" t="s">
        <v>121</v>
      </c>
      <c r="F68" s="69" t="s">
        <v>1791</v>
      </c>
      <c r="H68" s="69">
        <v>22800</v>
      </c>
      <c r="U68" s="69"/>
      <c r="V68" s="69"/>
      <c r="AS68" s="94">
        <f t="shared" si="7"/>
        <v>22800</v>
      </c>
      <c r="AT68" s="69">
        <v>20372.400000000001</v>
      </c>
      <c r="AU68" s="69">
        <v>2427.6</v>
      </c>
      <c r="CD68" s="91">
        <f t="shared" si="8"/>
        <v>22800</v>
      </c>
      <c r="CE68" s="69">
        <f t="shared" si="9"/>
        <v>0</v>
      </c>
      <c r="CF68" s="75">
        <f t="shared" si="10"/>
        <v>7275</v>
      </c>
      <c r="CG68" s="69" t="str">
        <f t="shared" si="10"/>
        <v>ماليزى اسنان</v>
      </c>
    </row>
    <row r="69" spans="1:85" ht="18.75" x14ac:dyDescent="0.25">
      <c r="A69" s="77"/>
      <c r="C69" s="82">
        <v>12428</v>
      </c>
      <c r="D69" s="75">
        <v>7276</v>
      </c>
      <c r="E69" s="71" t="s">
        <v>121</v>
      </c>
      <c r="F69" s="69" t="s">
        <v>1791</v>
      </c>
      <c r="H69" s="69">
        <v>173940</v>
      </c>
      <c r="U69" s="69"/>
      <c r="V69" s="69"/>
      <c r="AS69" s="94">
        <f t="shared" si="7"/>
        <v>173940</v>
      </c>
      <c r="AT69" s="69">
        <v>155528</v>
      </c>
      <c r="AU69" s="69">
        <v>18412</v>
      </c>
      <c r="CD69" s="91">
        <f t="shared" si="8"/>
        <v>173940</v>
      </c>
      <c r="CE69" s="69">
        <f t="shared" si="9"/>
        <v>0</v>
      </c>
      <c r="CF69" s="75">
        <f t="shared" si="10"/>
        <v>7276</v>
      </c>
      <c r="CG69" s="69" t="str">
        <f t="shared" si="10"/>
        <v>ماليزى اسنان</v>
      </c>
    </row>
    <row r="70" spans="1:85" ht="18.75" x14ac:dyDescent="0.25">
      <c r="C70" s="82">
        <v>12426</v>
      </c>
      <c r="D70" s="75">
        <v>7277</v>
      </c>
      <c r="E70" s="71" t="s">
        <v>121</v>
      </c>
      <c r="F70" s="69" t="s">
        <v>1791</v>
      </c>
      <c r="H70" s="69">
        <v>47790</v>
      </c>
      <c r="U70" s="69"/>
      <c r="V70" s="69"/>
      <c r="AS70" s="94">
        <f t="shared" si="7"/>
        <v>47790</v>
      </c>
      <c r="AT70" s="69">
        <v>42648.2</v>
      </c>
      <c r="AU70" s="69">
        <v>5141.8</v>
      </c>
      <c r="CD70" s="91">
        <f t="shared" si="8"/>
        <v>47790</v>
      </c>
      <c r="CE70" s="69">
        <f t="shared" si="9"/>
        <v>0</v>
      </c>
      <c r="CF70" s="75">
        <f t="shared" si="10"/>
        <v>7277</v>
      </c>
      <c r="CG70" s="69" t="str">
        <f t="shared" si="10"/>
        <v>ماليزى اسنان</v>
      </c>
    </row>
    <row r="71" spans="1:85" ht="18.75" x14ac:dyDescent="0.25">
      <c r="C71" s="82">
        <v>12425</v>
      </c>
      <c r="D71" s="75">
        <v>7278</v>
      </c>
      <c r="E71" s="71" t="s">
        <v>121</v>
      </c>
      <c r="F71" s="69" t="s">
        <v>1791</v>
      </c>
      <c r="H71" s="69">
        <v>221430.19</v>
      </c>
      <c r="U71" s="69"/>
      <c r="V71" s="69"/>
      <c r="AS71" s="94">
        <f t="shared" si="7"/>
        <v>221430.19</v>
      </c>
      <c r="AT71" s="69">
        <v>197785.97</v>
      </c>
      <c r="AU71" s="69">
        <v>23398.25</v>
      </c>
      <c r="AV71" s="69">
        <v>245.97</v>
      </c>
      <c r="CD71" s="91">
        <f t="shared" si="8"/>
        <v>221430.19</v>
      </c>
      <c r="CE71" s="69">
        <f t="shared" si="9"/>
        <v>0</v>
      </c>
      <c r="CF71" s="75">
        <f t="shared" si="10"/>
        <v>7278</v>
      </c>
      <c r="CG71" s="69" t="str">
        <f t="shared" si="10"/>
        <v>ماليزى اسنان</v>
      </c>
    </row>
    <row r="72" spans="1:85" ht="18.75" x14ac:dyDescent="0.25">
      <c r="C72" s="82">
        <v>12424</v>
      </c>
      <c r="D72" s="75">
        <v>7279</v>
      </c>
      <c r="E72" s="71" t="s">
        <v>121</v>
      </c>
      <c r="F72" s="69" t="s">
        <v>1791</v>
      </c>
      <c r="H72" s="69">
        <v>50400</v>
      </c>
      <c r="U72" s="69"/>
      <c r="V72" s="69"/>
      <c r="AS72" s="94">
        <f t="shared" si="7"/>
        <v>50400</v>
      </c>
      <c r="AT72" s="69">
        <v>45088.35</v>
      </c>
      <c r="AU72" s="69">
        <v>5311.65</v>
      </c>
      <c r="CD72" s="91">
        <f t="shared" si="8"/>
        <v>50400</v>
      </c>
      <c r="CE72" s="69">
        <f t="shared" si="9"/>
        <v>0</v>
      </c>
      <c r="CF72" s="75">
        <f t="shared" si="10"/>
        <v>7279</v>
      </c>
      <c r="CG72" s="69" t="str">
        <f t="shared" si="10"/>
        <v>ماليزى اسنان</v>
      </c>
    </row>
    <row r="73" spans="1:85" ht="18.75" x14ac:dyDescent="0.25">
      <c r="C73" s="82">
        <v>12442</v>
      </c>
      <c r="D73" s="75">
        <v>7280</v>
      </c>
      <c r="E73" s="71" t="s">
        <v>121</v>
      </c>
      <c r="F73" s="69" t="s">
        <v>1791</v>
      </c>
      <c r="H73" s="69">
        <v>14816.12</v>
      </c>
      <c r="U73" s="69"/>
      <c r="V73" s="69"/>
      <c r="AS73" s="94">
        <f t="shared" si="7"/>
        <v>14816.12</v>
      </c>
      <c r="AT73" s="69">
        <v>12053.29</v>
      </c>
      <c r="AU73" s="69">
        <v>1491.8</v>
      </c>
      <c r="AV73" s="69">
        <v>1271.03</v>
      </c>
      <c r="CD73" s="91">
        <f t="shared" si="8"/>
        <v>14816.12</v>
      </c>
      <c r="CE73" s="69">
        <f t="shared" si="9"/>
        <v>0</v>
      </c>
      <c r="CF73" s="75">
        <f t="shared" si="10"/>
        <v>7280</v>
      </c>
      <c r="CG73" s="69" t="str">
        <f t="shared" si="10"/>
        <v>ماليزى اسنان</v>
      </c>
    </row>
    <row r="74" spans="1:85" ht="18.75" x14ac:dyDescent="0.25">
      <c r="C74" s="82">
        <v>12448</v>
      </c>
      <c r="D74" s="75">
        <v>7281</v>
      </c>
      <c r="E74" s="71" t="s">
        <v>121</v>
      </c>
      <c r="F74" s="69" t="s">
        <v>1791</v>
      </c>
      <c r="H74" s="69">
        <v>194656.8</v>
      </c>
      <c r="U74" s="69"/>
      <c r="V74" s="69"/>
      <c r="AS74" s="94">
        <f t="shared" si="7"/>
        <v>194656.8</v>
      </c>
      <c r="AT74" s="69">
        <v>173377.65</v>
      </c>
      <c r="AU74" s="69">
        <v>20465.55</v>
      </c>
      <c r="AV74" s="69">
        <v>813.6</v>
      </c>
      <c r="CD74" s="91">
        <f t="shared" si="8"/>
        <v>194656.8</v>
      </c>
      <c r="CE74" s="69">
        <f t="shared" si="9"/>
        <v>0</v>
      </c>
      <c r="CF74" s="75">
        <f t="shared" si="10"/>
        <v>7281</v>
      </c>
      <c r="CG74" s="69" t="str">
        <f t="shared" si="10"/>
        <v>ماليزى اسنان</v>
      </c>
    </row>
    <row r="75" spans="1:85" x14ac:dyDescent="0.25">
      <c r="D75" s="75">
        <v>7282</v>
      </c>
      <c r="E75" s="69" t="s">
        <v>1431</v>
      </c>
      <c r="CG75" s="69" t="str">
        <f t="shared" ref="CG75:CG138" si="11">+E75</f>
        <v>لاب فقط</v>
      </c>
    </row>
    <row r="76" spans="1:85" ht="18.75" x14ac:dyDescent="0.25">
      <c r="C76" s="82">
        <v>12447</v>
      </c>
      <c r="D76" s="75">
        <v>7283</v>
      </c>
      <c r="E76" s="71" t="s">
        <v>121</v>
      </c>
      <c r="F76" s="69" t="s">
        <v>1791</v>
      </c>
      <c r="H76" s="69">
        <v>164880</v>
      </c>
      <c r="U76" s="69"/>
      <c r="V76" s="69"/>
      <c r="AS76" s="94">
        <f t="shared" ref="AS76:AS139" si="12">SUM(H76:AR76)</f>
        <v>164880</v>
      </c>
      <c r="AT76" s="69">
        <v>147296.9</v>
      </c>
      <c r="AU76" s="69">
        <v>17583.099999999999</v>
      </c>
      <c r="CD76" s="91">
        <f t="shared" ref="CD76:CD139" si="13">SUM(AT76:CC76)</f>
        <v>164880</v>
      </c>
      <c r="CE76" s="69">
        <f t="shared" ref="CE76:CE139" si="14">+CD76-AS76</f>
        <v>0</v>
      </c>
      <c r="CF76" s="75">
        <f t="shared" ref="CF76:CG139" si="15">+D76</f>
        <v>7283</v>
      </c>
      <c r="CG76" s="69" t="str">
        <f t="shared" si="11"/>
        <v>ماليزى اسنان</v>
      </c>
    </row>
    <row r="77" spans="1:85" ht="18.75" x14ac:dyDescent="0.25">
      <c r="C77" s="82">
        <v>12446</v>
      </c>
      <c r="D77" s="75">
        <v>7284</v>
      </c>
      <c r="E77" s="71" t="s">
        <v>121</v>
      </c>
      <c r="F77" s="69" t="s">
        <v>1791</v>
      </c>
      <c r="H77" s="69">
        <v>54000</v>
      </c>
      <c r="U77" s="69"/>
      <c r="V77" s="69"/>
      <c r="AS77" s="94">
        <f t="shared" si="12"/>
        <v>54000</v>
      </c>
      <c r="AT77" s="69">
        <v>48338.8</v>
      </c>
      <c r="AU77" s="69">
        <v>5661.2</v>
      </c>
      <c r="CD77" s="91">
        <f t="shared" si="13"/>
        <v>54000</v>
      </c>
      <c r="CE77" s="69">
        <f t="shared" si="14"/>
        <v>0</v>
      </c>
      <c r="CF77" s="75">
        <f t="shared" si="15"/>
        <v>7284</v>
      </c>
      <c r="CG77" s="69" t="str">
        <f t="shared" si="11"/>
        <v>ماليزى اسنان</v>
      </c>
    </row>
    <row r="78" spans="1:85" ht="18.75" x14ac:dyDescent="0.25">
      <c r="C78" s="82">
        <v>12443</v>
      </c>
      <c r="D78" s="75">
        <v>7285</v>
      </c>
      <c r="E78" s="71" t="s">
        <v>121</v>
      </c>
      <c r="F78" s="69" t="s">
        <v>1791</v>
      </c>
      <c r="H78" s="69">
        <v>33600</v>
      </c>
      <c r="U78" s="69"/>
      <c r="V78" s="69"/>
      <c r="AS78" s="94">
        <f t="shared" si="12"/>
        <v>33600</v>
      </c>
      <c r="AT78" s="69">
        <v>30089.599999999999</v>
      </c>
      <c r="AU78" s="69">
        <v>3510.4</v>
      </c>
      <c r="CD78" s="91">
        <f t="shared" si="13"/>
        <v>33600</v>
      </c>
      <c r="CE78" s="69">
        <f t="shared" si="14"/>
        <v>0</v>
      </c>
      <c r="CF78" s="75">
        <f t="shared" si="15"/>
        <v>7285</v>
      </c>
      <c r="CG78" s="69" t="str">
        <f t="shared" si="11"/>
        <v>ماليزى اسنان</v>
      </c>
    </row>
    <row r="79" spans="1:85" ht="18.75" x14ac:dyDescent="0.25">
      <c r="C79" s="82">
        <v>12437</v>
      </c>
      <c r="D79" s="75">
        <v>7286</v>
      </c>
      <c r="E79" s="71" t="s">
        <v>121</v>
      </c>
      <c r="F79" s="69" t="s">
        <v>1791</v>
      </c>
      <c r="H79" s="69">
        <v>226279.23</v>
      </c>
      <c r="U79" s="69"/>
      <c r="V79" s="69"/>
      <c r="AS79" s="94">
        <f t="shared" si="12"/>
        <v>226279.23</v>
      </c>
      <c r="AT79" s="69">
        <v>201387.71</v>
      </c>
      <c r="AU79" s="69">
        <v>23779.15</v>
      </c>
      <c r="AV79" s="69">
        <v>1112.3699999999999</v>
      </c>
      <c r="CD79" s="91">
        <f t="shared" si="13"/>
        <v>226279.22999999998</v>
      </c>
      <c r="CE79" s="69">
        <f t="shared" si="14"/>
        <v>0</v>
      </c>
      <c r="CF79" s="75">
        <f t="shared" si="15"/>
        <v>7286</v>
      </c>
      <c r="CG79" s="69" t="str">
        <f t="shared" si="11"/>
        <v>ماليزى اسنان</v>
      </c>
    </row>
    <row r="80" spans="1:85" ht="18.75" x14ac:dyDescent="0.25">
      <c r="C80" s="82">
        <v>12436</v>
      </c>
      <c r="D80" s="75">
        <v>7287</v>
      </c>
      <c r="E80" s="71" t="s">
        <v>121</v>
      </c>
      <c r="F80" s="69" t="s">
        <v>1791</v>
      </c>
      <c r="H80" s="69">
        <v>21600</v>
      </c>
      <c r="U80" s="69"/>
      <c r="V80" s="69"/>
      <c r="AS80" s="94">
        <f t="shared" si="12"/>
        <v>21600</v>
      </c>
      <c r="AT80" s="69">
        <v>19325.599999999999</v>
      </c>
      <c r="AU80" s="69">
        <v>2274.4</v>
      </c>
      <c r="CD80" s="91">
        <f t="shared" si="13"/>
        <v>21600</v>
      </c>
      <c r="CE80" s="69">
        <f t="shared" si="14"/>
        <v>0</v>
      </c>
      <c r="CF80" s="75">
        <f t="shared" si="15"/>
        <v>7287</v>
      </c>
      <c r="CG80" s="69" t="str">
        <f t="shared" si="11"/>
        <v>ماليزى اسنان</v>
      </c>
    </row>
    <row r="81" spans="2:85" ht="18.75" x14ac:dyDescent="0.25">
      <c r="C81" s="82">
        <v>12444</v>
      </c>
      <c r="D81" s="75">
        <v>7288</v>
      </c>
      <c r="E81" s="71" t="s">
        <v>121</v>
      </c>
      <c r="F81" s="69" t="s">
        <v>1791</v>
      </c>
      <c r="H81" s="69">
        <v>222420</v>
      </c>
      <c r="U81" s="69"/>
      <c r="V81" s="69"/>
      <c r="AS81" s="94">
        <f t="shared" si="12"/>
        <v>222420</v>
      </c>
      <c r="AT81" s="69">
        <v>198867.3</v>
      </c>
      <c r="AU81" s="69">
        <v>23552.7</v>
      </c>
      <c r="CD81" s="91">
        <f t="shared" si="13"/>
        <v>222420</v>
      </c>
      <c r="CE81" s="69">
        <f t="shared" si="14"/>
        <v>0</v>
      </c>
      <c r="CF81" s="75">
        <f t="shared" si="15"/>
        <v>7288</v>
      </c>
      <c r="CG81" s="69" t="str">
        <f t="shared" si="11"/>
        <v>ماليزى اسنان</v>
      </c>
    </row>
    <row r="82" spans="2:85" ht="18.75" x14ac:dyDescent="0.25">
      <c r="C82" s="82">
        <v>12439</v>
      </c>
      <c r="D82" s="75">
        <v>7289</v>
      </c>
      <c r="E82" s="71" t="s">
        <v>121</v>
      </c>
      <c r="F82" s="69" t="s">
        <v>1791</v>
      </c>
      <c r="H82" s="69">
        <v>16200</v>
      </c>
      <c r="U82" s="69"/>
      <c r="V82" s="69"/>
      <c r="AS82" s="94">
        <f t="shared" si="12"/>
        <v>16200</v>
      </c>
      <c r="AT82" s="69">
        <v>14481.8</v>
      </c>
      <c r="AU82" s="69">
        <v>1718.2</v>
      </c>
      <c r="CD82" s="91">
        <f t="shared" si="13"/>
        <v>16200</v>
      </c>
      <c r="CE82" s="69">
        <f t="shared" si="14"/>
        <v>0</v>
      </c>
      <c r="CF82" s="75">
        <f t="shared" si="15"/>
        <v>7289</v>
      </c>
      <c r="CG82" s="69" t="str">
        <f t="shared" si="11"/>
        <v>ماليزى اسنان</v>
      </c>
    </row>
    <row r="83" spans="2:85" ht="18.75" x14ac:dyDescent="0.25">
      <c r="C83" s="82">
        <v>12591</v>
      </c>
      <c r="D83" s="75">
        <v>7290</v>
      </c>
      <c r="E83" s="71" t="s">
        <v>121</v>
      </c>
      <c r="F83" s="69" t="s">
        <v>1791</v>
      </c>
      <c r="H83" s="69">
        <v>2954.7</v>
      </c>
      <c r="U83" s="69"/>
      <c r="V83" s="69"/>
      <c r="AS83" s="94">
        <f t="shared" si="12"/>
        <v>2954.7</v>
      </c>
      <c r="AT83" s="69">
        <v>1974.35</v>
      </c>
      <c r="AU83" s="69">
        <f>16.45+252</f>
        <v>268.45</v>
      </c>
      <c r="AV83" s="69">
        <v>711.9</v>
      </c>
      <c r="CD83" s="91">
        <f t="shared" si="13"/>
        <v>2954.7</v>
      </c>
      <c r="CE83" s="69">
        <f t="shared" si="14"/>
        <v>0</v>
      </c>
      <c r="CF83" s="75">
        <f t="shared" si="15"/>
        <v>7290</v>
      </c>
      <c r="CG83" s="69" t="str">
        <f t="shared" si="11"/>
        <v>ماليزى اسنان</v>
      </c>
    </row>
    <row r="84" spans="2:85" ht="18.75" x14ac:dyDescent="0.25">
      <c r="C84" s="82">
        <v>12585</v>
      </c>
      <c r="D84" s="75">
        <v>7291</v>
      </c>
      <c r="E84" s="71" t="s">
        <v>121</v>
      </c>
      <c r="F84" s="69" t="s">
        <v>1792</v>
      </c>
      <c r="H84" s="69">
        <v>13296.15</v>
      </c>
      <c r="U84" s="69"/>
      <c r="V84" s="69"/>
      <c r="AS84" s="94">
        <f t="shared" si="12"/>
        <v>13296.15</v>
      </c>
      <c r="AT84" s="69">
        <v>8874.9500000000007</v>
      </c>
      <c r="AU84" s="69">
        <f>83.65+1134</f>
        <v>1217.6500000000001</v>
      </c>
      <c r="AV84" s="69">
        <v>3203.55</v>
      </c>
      <c r="CD84" s="91">
        <f t="shared" si="13"/>
        <v>13296.150000000001</v>
      </c>
      <c r="CE84" s="69">
        <f t="shared" si="14"/>
        <v>0</v>
      </c>
      <c r="CF84" s="75">
        <f t="shared" si="15"/>
        <v>7291</v>
      </c>
      <c r="CG84" s="69" t="str">
        <f t="shared" si="11"/>
        <v>ماليزى اسنان</v>
      </c>
    </row>
    <row r="85" spans="2:85" ht="18.75" x14ac:dyDescent="0.25">
      <c r="C85" s="82">
        <v>12584</v>
      </c>
      <c r="D85" s="75">
        <v>7292</v>
      </c>
      <c r="E85" s="71" t="s">
        <v>121</v>
      </c>
      <c r="F85" s="69" t="s">
        <v>1793</v>
      </c>
      <c r="H85" s="69">
        <v>12840</v>
      </c>
      <c r="U85" s="69"/>
      <c r="V85" s="69"/>
      <c r="AS85" s="94">
        <f t="shared" si="12"/>
        <v>12840</v>
      </c>
      <c r="AT85" s="69">
        <v>11470.65</v>
      </c>
      <c r="AU85" s="69">
        <v>1369.35</v>
      </c>
      <c r="CD85" s="91">
        <f t="shared" si="13"/>
        <v>12840</v>
      </c>
      <c r="CE85" s="69">
        <f t="shared" si="14"/>
        <v>0</v>
      </c>
      <c r="CF85" s="75">
        <f t="shared" si="15"/>
        <v>7292</v>
      </c>
      <c r="CG85" s="69" t="str">
        <f t="shared" si="11"/>
        <v>ماليزى اسنان</v>
      </c>
    </row>
    <row r="86" spans="2:85" ht="18.75" x14ac:dyDescent="0.25">
      <c r="C86" s="82">
        <v>12586</v>
      </c>
      <c r="D86" s="75">
        <v>7293</v>
      </c>
      <c r="E86" s="71" t="s">
        <v>121</v>
      </c>
      <c r="F86" s="69" t="s">
        <v>1794</v>
      </c>
      <c r="H86" s="69">
        <v>33402.800000000003</v>
      </c>
      <c r="U86" s="69"/>
      <c r="V86" s="69"/>
      <c r="AS86" s="94">
        <f t="shared" si="12"/>
        <v>33402.800000000003</v>
      </c>
      <c r="AT86" s="69">
        <v>29699.15</v>
      </c>
      <c r="AU86" s="69">
        <v>3568.05</v>
      </c>
      <c r="AV86" s="69">
        <v>135.6</v>
      </c>
      <c r="CD86" s="91">
        <f t="shared" si="13"/>
        <v>33402.800000000003</v>
      </c>
      <c r="CE86" s="69">
        <f t="shared" si="14"/>
        <v>0</v>
      </c>
      <c r="CF86" s="75">
        <f t="shared" si="15"/>
        <v>7293</v>
      </c>
      <c r="CG86" s="69" t="str">
        <f t="shared" si="11"/>
        <v>ماليزى اسنان</v>
      </c>
    </row>
    <row r="87" spans="2:85" ht="18.75" x14ac:dyDescent="0.25">
      <c r="C87" s="82">
        <v>12587</v>
      </c>
      <c r="D87" s="75">
        <v>7294</v>
      </c>
      <c r="E87" s="71" t="s">
        <v>121</v>
      </c>
      <c r="F87" s="69" t="s">
        <v>1794</v>
      </c>
      <c r="H87" s="69">
        <v>10200</v>
      </c>
      <c r="U87" s="69"/>
      <c r="V87" s="69"/>
      <c r="AS87" s="94">
        <f t="shared" si="12"/>
        <v>10200</v>
      </c>
      <c r="AT87" s="69">
        <v>9099.7999999999993</v>
      </c>
      <c r="AU87" s="69">
        <v>1100.2</v>
      </c>
      <c r="CD87" s="91">
        <f t="shared" si="13"/>
        <v>10200</v>
      </c>
      <c r="CE87" s="69">
        <f t="shared" si="14"/>
        <v>0</v>
      </c>
      <c r="CF87" s="75">
        <f t="shared" si="15"/>
        <v>7294</v>
      </c>
      <c r="CG87" s="69" t="str">
        <f t="shared" si="11"/>
        <v>ماليزى اسنان</v>
      </c>
    </row>
    <row r="88" spans="2:85" ht="18.75" x14ac:dyDescent="0.25">
      <c r="C88" s="82">
        <v>12588</v>
      </c>
      <c r="D88" s="75">
        <v>7295</v>
      </c>
      <c r="E88" s="71" t="s">
        <v>121</v>
      </c>
      <c r="F88" s="69" t="s">
        <v>1794</v>
      </c>
      <c r="H88" s="69">
        <v>3990</v>
      </c>
      <c r="U88" s="69"/>
      <c r="V88" s="69"/>
      <c r="AS88" s="94">
        <f t="shared" si="12"/>
        <v>3990</v>
      </c>
      <c r="AT88" s="69">
        <v>3561.45</v>
      </c>
      <c r="AU88" s="69">
        <v>428.55</v>
      </c>
      <c r="CD88" s="91">
        <f t="shared" si="13"/>
        <v>3990</v>
      </c>
      <c r="CE88" s="69">
        <f t="shared" si="14"/>
        <v>0</v>
      </c>
      <c r="CF88" s="75">
        <f t="shared" si="15"/>
        <v>7295</v>
      </c>
      <c r="CG88" s="69" t="str">
        <f t="shared" si="11"/>
        <v>ماليزى اسنان</v>
      </c>
    </row>
    <row r="89" spans="2:85" ht="18.75" x14ac:dyDescent="0.25">
      <c r="B89" s="69" t="s">
        <v>1795</v>
      </c>
      <c r="C89" s="82">
        <v>12583</v>
      </c>
      <c r="D89" s="75">
        <v>7296</v>
      </c>
      <c r="E89" s="71" t="s">
        <v>121</v>
      </c>
      <c r="F89" s="69" t="s">
        <v>1796</v>
      </c>
      <c r="H89" s="69">
        <v>1000</v>
      </c>
      <c r="U89" s="69"/>
      <c r="V89" s="69"/>
      <c r="AS89" s="94">
        <f t="shared" si="12"/>
        <v>1000</v>
      </c>
      <c r="AT89" s="69">
        <v>894.1</v>
      </c>
      <c r="AU89" s="69">
        <v>105.9</v>
      </c>
      <c r="CD89" s="91">
        <f t="shared" si="13"/>
        <v>1000</v>
      </c>
      <c r="CE89" s="69">
        <f t="shared" si="14"/>
        <v>0</v>
      </c>
      <c r="CF89" s="75">
        <f t="shared" si="15"/>
        <v>7296</v>
      </c>
      <c r="CG89" s="69" t="str">
        <f t="shared" si="11"/>
        <v>ماليزى اسنان</v>
      </c>
    </row>
    <row r="90" spans="2:85" ht="18.75" x14ac:dyDescent="0.25">
      <c r="B90" s="69" t="s">
        <v>1797</v>
      </c>
      <c r="C90" s="82">
        <v>12582</v>
      </c>
      <c r="D90" s="75">
        <v>7297</v>
      </c>
      <c r="E90" s="71" t="s">
        <v>121</v>
      </c>
      <c r="F90" s="69" t="s">
        <v>1796</v>
      </c>
      <c r="H90" s="69">
        <v>3500</v>
      </c>
      <c r="U90" s="69"/>
      <c r="V90" s="69"/>
      <c r="AS90" s="94">
        <f t="shared" si="12"/>
        <v>3500</v>
      </c>
      <c r="AT90" s="69">
        <v>3129.35</v>
      </c>
      <c r="AU90" s="69">
        <v>370.65</v>
      </c>
      <c r="CD90" s="91">
        <f t="shared" si="13"/>
        <v>3500</v>
      </c>
      <c r="CE90" s="69">
        <f t="shared" si="14"/>
        <v>0</v>
      </c>
      <c r="CF90" s="75">
        <f t="shared" si="15"/>
        <v>7297</v>
      </c>
      <c r="CG90" s="69" t="str">
        <f t="shared" si="11"/>
        <v>ماليزى اسنان</v>
      </c>
    </row>
    <row r="91" spans="2:85" ht="18.75" x14ac:dyDescent="0.25">
      <c r="C91" s="82">
        <v>12451</v>
      </c>
      <c r="D91" s="75">
        <v>7298</v>
      </c>
      <c r="E91" s="71" t="s">
        <v>121</v>
      </c>
      <c r="F91" s="69" t="s">
        <v>1798</v>
      </c>
      <c r="H91" s="69">
        <v>18281.72</v>
      </c>
      <c r="U91" s="69"/>
      <c r="V91" s="69"/>
      <c r="AS91" s="94">
        <f t="shared" si="12"/>
        <v>18281.72</v>
      </c>
      <c r="AT91" s="69">
        <v>15803.07</v>
      </c>
      <c r="AU91" s="69">
        <v>1935.4</v>
      </c>
      <c r="AV91" s="69">
        <v>543.25</v>
      </c>
      <c r="CD91" s="91">
        <f t="shared" si="13"/>
        <v>18281.72</v>
      </c>
      <c r="CE91" s="69">
        <f t="shared" si="14"/>
        <v>0</v>
      </c>
      <c r="CF91" s="75">
        <f t="shared" si="15"/>
        <v>7298</v>
      </c>
      <c r="CG91" s="69" t="str">
        <f t="shared" si="11"/>
        <v>ماليزى اسنان</v>
      </c>
    </row>
    <row r="92" spans="2:85" ht="18.75" x14ac:dyDescent="0.25">
      <c r="C92" s="82">
        <v>12452</v>
      </c>
      <c r="D92" s="75">
        <v>7299</v>
      </c>
      <c r="E92" s="71" t="s">
        <v>121</v>
      </c>
      <c r="F92" s="69" t="s">
        <v>1798</v>
      </c>
      <c r="H92" s="69">
        <v>18613.810000000001</v>
      </c>
      <c r="U92" s="69"/>
      <c r="V92" s="69"/>
      <c r="AS92" s="94">
        <f t="shared" si="12"/>
        <v>18613.810000000001</v>
      </c>
      <c r="AT92" s="69">
        <v>12736.8</v>
      </c>
      <c r="AU92" s="69">
        <v>1719.25</v>
      </c>
      <c r="AV92" s="69">
        <v>4157.76</v>
      </c>
      <c r="CD92" s="91">
        <f t="shared" si="13"/>
        <v>18613.809999999998</v>
      </c>
      <c r="CE92" s="69">
        <f t="shared" si="14"/>
        <v>0</v>
      </c>
      <c r="CF92" s="75">
        <f t="shared" si="15"/>
        <v>7299</v>
      </c>
      <c r="CG92" s="69" t="str">
        <f t="shared" si="11"/>
        <v>ماليزى اسنان</v>
      </c>
    </row>
    <row r="93" spans="2:85" ht="18.75" x14ac:dyDescent="0.25">
      <c r="C93" s="82">
        <v>12486</v>
      </c>
      <c r="D93" s="75">
        <v>7300</v>
      </c>
      <c r="E93" s="71" t="s">
        <v>121</v>
      </c>
      <c r="F93" s="69" t="s">
        <v>1799</v>
      </c>
      <c r="H93" s="69">
        <v>11197.36</v>
      </c>
      <c r="U93" s="69"/>
      <c r="V93" s="69"/>
      <c r="AS93" s="94">
        <f t="shared" si="12"/>
        <v>11197.36</v>
      </c>
      <c r="AT93" s="69">
        <v>7483.3</v>
      </c>
      <c r="AU93" s="69">
        <v>1016.2</v>
      </c>
      <c r="AV93" s="69">
        <v>2697.86</v>
      </c>
      <c r="CD93" s="91">
        <f t="shared" si="13"/>
        <v>11197.36</v>
      </c>
      <c r="CE93" s="69">
        <f t="shared" si="14"/>
        <v>0</v>
      </c>
      <c r="CF93" s="75">
        <f t="shared" si="15"/>
        <v>7300</v>
      </c>
      <c r="CG93" s="69" t="str">
        <f t="shared" si="11"/>
        <v>ماليزى اسنان</v>
      </c>
    </row>
    <row r="94" spans="2:85" ht="18.75" x14ac:dyDescent="0.25">
      <c r="C94" s="82">
        <v>12484</v>
      </c>
      <c r="D94" s="75">
        <v>7301</v>
      </c>
      <c r="E94" s="71" t="s">
        <v>121</v>
      </c>
      <c r="F94" s="69" t="s">
        <v>1800</v>
      </c>
      <c r="H94" s="69">
        <v>2345</v>
      </c>
      <c r="U94" s="69"/>
      <c r="V94" s="69"/>
      <c r="AS94" s="94">
        <f t="shared" si="12"/>
        <v>2345</v>
      </c>
      <c r="AT94" s="69">
        <v>1567</v>
      </c>
      <c r="AU94" s="69">
        <v>213</v>
      </c>
      <c r="AV94" s="69">
        <v>565</v>
      </c>
      <c r="CD94" s="91">
        <f t="shared" si="13"/>
        <v>2345</v>
      </c>
      <c r="CE94" s="69">
        <f t="shared" si="14"/>
        <v>0</v>
      </c>
      <c r="CF94" s="75">
        <f t="shared" si="15"/>
        <v>7301</v>
      </c>
      <c r="CG94" s="69" t="str">
        <f t="shared" si="11"/>
        <v>ماليزى اسنان</v>
      </c>
    </row>
    <row r="95" spans="2:85" ht="18.75" x14ac:dyDescent="0.25">
      <c r="C95" s="82">
        <v>12481</v>
      </c>
      <c r="D95" s="75">
        <v>7302</v>
      </c>
      <c r="E95" s="71" t="s">
        <v>121</v>
      </c>
      <c r="F95" s="69" t="s">
        <v>1801</v>
      </c>
      <c r="H95" s="69">
        <v>13835.51</v>
      </c>
      <c r="U95" s="69"/>
      <c r="V95" s="69"/>
      <c r="AS95" s="94">
        <f t="shared" si="12"/>
        <v>13835.51</v>
      </c>
      <c r="AT95" s="69">
        <v>9251</v>
      </c>
      <c r="AU95" s="69">
        <v>1251</v>
      </c>
      <c r="AV95" s="69">
        <v>3333.51</v>
      </c>
      <c r="CD95" s="91">
        <f t="shared" si="13"/>
        <v>13835.51</v>
      </c>
      <c r="CE95" s="69">
        <f t="shared" si="14"/>
        <v>0</v>
      </c>
      <c r="CF95" s="75">
        <f t="shared" si="15"/>
        <v>7302</v>
      </c>
      <c r="CG95" s="69" t="str">
        <f t="shared" si="11"/>
        <v>ماليزى اسنان</v>
      </c>
    </row>
    <row r="96" spans="2:85" ht="18.75" x14ac:dyDescent="0.25">
      <c r="C96" s="82">
        <v>12480</v>
      </c>
      <c r="D96" s="75">
        <v>7303</v>
      </c>
      <c r="E96" s="71" t="s">
        <v>121</v>
      </c>
      <c r="F96" s="69" t="s">
        <v>1801</v>
      </c>
      <c r="H96" s="69">
        <v>5862.5</v>
      </c>
      <c r="U96" s="69"/>
      <c r="V96" s="69"/>
      <c r="AS96" s="94">
        <f t="shared" si="12"/>
        <v>5862.5</v>
      </c>
      <c r="AT96" s="69">
        <v>3920.5</v>
      </c>
      <c r="AU96" s="69">
        <v>529.5</v>
      </c>
      <c r="AV96" s="69">
        <v>1412.5</v>
      </c>
      <c r="CD96" s="91">
        <f t="shared" si="13"/>
        <v>5862.5</v>
      </c>
      <c r="CE96" s="69">
        <f t="shared" si="14"/>
        <v>0</v>
      </c>
      <c r="CF96" s="75">
        <f t="shared" si="15"/>
        <v>7303</v>
      </c>
      <c r="CG96" s="69" t="str">
        <f t="shared" si="11"/>
        <v>ماليزى اسنان</v>
      </c>
    </row>
    <row r="97" spans="3:85" ht="18.75" x14ac:dyDescent="0.25">
      <c r="C97" s="82">
        <v>12479</v>
      </c>
      <c r="D97" s="75">
        <v>7304</v>
      </c>
      <c r="E97" s="71" t="s">
        <v>121</v>
      </c>
      <c r="F97" s="69" t="s">
        <v>1801</v>
      </c>
      <c r="H97" s="69">
        <v>2345</v>
      </c>
      <c r="U97" s="69"/>
      <c r="V97" s="69"/>
      <c r="AS97" s="94">
        <f t="shared" si="12"/>
        <v>2345</v>
      </c>
      <c r="AT97" s="69">
        <v>1568.2</v>
      </c>
      <c r="AU97" s="69">
        <v>211.8</v>
      </c>
      <c r="AV97" s="69">
        <v>565</v>
      </c>
      <c r="CD97" s="91">
        <f t="shared" si="13"/>
        <v>2345</v>
      </c>
      <c r="CE97" s="69">
        <f t="shared" si="14"/>
        <v>0</v>
      </c>
      <c r="CF97" s="75">
        <f t="shared" si="15"/>
        <v>7304</v>
      </c>
      <c r="CG97" s="69" t="str">
        <f t="shared" si="11"/>
        <v>ماليزى اسنان</v>
      </c>
    </row>
    <row r="98" spans="3:85" ht="18.75" x14ac:dyDescent="0.25">
      <c r="C98" s="82">
        <v>12471</v>
      </c>
      <c r="D98" s="75">
        <v>7305</v>
      </c>
      <c r="E98" s="71" t="s">
        <v>121</v>
      </c>
      <c r="F98" s="69" t="s">
        <v>1802</v>
      </c>
      <c r="H98" s="69">
        <v>5276.25</v>
      </c>
      <c r="U98" s="69"/>
      <c r="V98" s="69"/>
      <c r="AS98" s="94">
        <f t="shared" si="12"/>
        <v>5276.25</v>
      </c>
      <c r="AT98" s="69">
        <v>3527.65</v>
      </c>
      <c r="AU98" s="69">
        <v>477.35</v>
      </c>
      <c r="AV98" s="69">
        <v>1271.25</v>
      </c>
      <c r="CD98" s="91">
        <f t="shared" si="13"/>
        <v>5276.25</v>
      </c>
      <c r="CE98" s="69">
        <f t="shared" si="14"/>
        <v>0</v>
      </c>
      <c r="CF98" s="75">
        <f t="shared" si="15"/>
        <v>7305</v>
      </c>
      <c r="CG98" s="69" t="str">
        <f t="shared" si="11"/>
        <v>ماليزى اسنان</v>
      </c>
    </row>
    <row r="99" spans="3:85" ht="18.75" x14ac:dyDescent="0.25">
      <c r="C99" s="82">
        <v>12477</v>
      </c>
      <c r="D99" s="75">
        <v>7306</v>
      </c>
      <c r="E99" s="71" t="s">
        <v>121</v>
      </c>
      <c r="F99" s="69" t="s">
        <v>1803</v>
      </c>
      <c r="H99" s="69">
        <v>5686.62</v>
      </c>
      <c r="U99" s="69"/>
      <c r="V99" s="69"/>
      <c r="AS99" s="94">
        <f t="shared" si="12"/>
        <v>5686.62</v>
      </c>
      <c r="AT99" s="69">
        <v>3800.95</v>
      </c>
      <c r="AU99" s="69">
        <v>515.54999999999995</v>
      </c>
      <c r="AV99" s="69">
        <v>1370.12</v>
      </c>
      <c r="CD99" s="91">
        <f t="shared" si="13"/>
        <v>5686.62</v>
      </c>
      <c r="CE99" s="69">
        <f t="shared" si="14"/>
        <v>0</v>
      </c>
      <c r="CF99" s="75">
        <f t="shared" si="15"/>
        <v>7306</v>
      </c>
      <c r="CG99" s="69" t="str">
        <f t="shared" si="11"/>
        <v>ماليزى اسنان</v>
      </c>
    </row>
    <row r="100" spans="3:85" ht="18.75" x14ac:dyDescent="0.25">
      <c r="C100" s="82">
        <v>12475</v>
      </c>
      <c r="D100" s="75">
        <v>7307</v>
      </c>
      <c r="E100" s="71" t="s">
        <v>121</v>
      </c>
      <c r="F100" s="69" t="s">
        <v>1804</v>
      </c>
      <c r="H100" s="69">
        <v>4689.99</v>
      </c>
      <c r="U100" s="69"/>
      <c r="V100" s="69"/>
      <c r="AS100" s="94">
        <f t="shared" si="12"/>
        <v>4689.99</v>
      </c>
      <c r="AT100" s="69">
        <v>3134.35</v>
      </c>
      <c r="AU100" s="69">
        <v>425.65</v>
      </c>
      <c r="AV100" s="69">
        <v>1129.99</v>
      </c>
      <c r="CD100" s="91">
        <f t="shared" si="13"/>
        <v>4689.99</v>
      </c>
      <c r="CE100" s="69">
        <f t="shared" si="14"/>
        <v>0</v>
      </c>
      <c r="CF100" s="75">
        <f t="shared" si="15"/>
        <v>7307</v>
      </c>
      <c r="CG100" s="69" t="str">
        <f t="shared" si="11"/>
        <v>ماليزى اسنان</v>
      </c>
    </row>
    <row r="101" spans="3:85" ht="18.75" x14ac:dyDescent="0.25">
      <c r="C101" s="82">
        <v>12468</v>
      </c>
      <c r="D101" s="75">
        <v>7308</v>
      </c>
      <c r="E101" s="71" t="s">
        <v>121</v>
      </c>
      <c r="F101" s="69" t="s">
        <v>1805</v>
      </c>
      <c r="H101" s="69">
        <v>4396.87</v>
      </c>
      <c r="U101" s="69"/>
      <c r="V101" s="69"/>
      <c r="AS101" s="94">
        <f t="shared" si="12"/>
        <v>4396.87</v>
      </c>
      <c r="AT101" s="69">
        <v>2938.15</v>
      </c>
      <c r="AU101" s="69">
        <v>399.35</v>
      </c>
      <c r="AV101" s="69">
        <v>1059.3699999999999</v>
      </c>
      <c r="CD101" s="91">
        <f t="shared" si="13"/>
        <v>4396.87</v>
      </c>
      <c r="CE101" s="69">
        <f t="shared" si="14"/>
        <v>0</v>
      </c>
      <c r="CF101" s="75">
        <f t="shared" si="15"/>
        <v>7308</v>
      </c>
      <c r="CG101" s="69" t="str">
        <f t="shared" si="11"/>
        <v>ماليزى اسنان</v>
      </c>
    </row>
    <row r="102" spans="3:85" ht="18.75" x14ac:dyDescent="0.25">
      <c r="C102" s="82">
        <v>12485</v>
      </c>
      <c r="D102" s="75">
        <v>7309</v>
      </c>
      <c r="E102" s="71" t="s">
        <v>121</v>
      </c>
      <c r="F102" s="69" t="s">
        <v>1806</v>
      </c>
      <c r="H102" s="69">
        <v>38379.599999999999</v>
      </c>
      <c r="U102" s="69"/>
      <c r="V102" s="69"/>
      <c r="AS102" s="94">
        <f t="shared" si="12"/>
        <v>38379.599999999999</v>
      </c>
      <c r="AT102" s="69">
        <v>25521.72</v>
      </c>
      <c r="AU102" s="69">
        <v>3474.6</v>
      </c>
      <c r="AV102" s="69">
        <v>9383.2800000000007</v>
      </c>
      <c r="CD102" s="91">
        <f t="shared" si="13"/>
        <v>38379.599999999999</v>
      </c>
      <c r="CE102" s="69">
        <f t="shared" si="14"/>
        <v>0</v>
      </c>
      <c r="CF102" s="75">
        <f t="shared" si="15"/>
        <v>7309</v>
      </c>
      <c r="CG102" s="69" t="str">
        <f t="shared" si="11"/>
        <v>ماليزى اسنان</v>
      </c>
    </row>
    <row r="103" spans="3:85" ht="18.75" x14ac:dyDescent="0.25">
      <c r="C103" s="82">
        <v>12483</v>
      </c>
      <c r="D103" s="75">
        <v>7310</v>
      </c>
      <c r="E103" s="71" t="s">
        <v>121</v>
      </c>
      <c r="F103" s="69" t="s">
        <v>1807</v>
      </c>
      <c r="H103" s="69">
        <v>38455.839999999997</v>
      </c>
      <c r="U103" s="69"/>
      <c r="V103" s="69"/>
      <c r="AS103" s="94">
        <f t="shared" si="12"/>
        <v>38455.839999999997</v>
      </c>
      <c r="AT103" s="69">
        <v>26463.06</v>
      </c>
      <c r="AU103" s="69">
        <v>3549.15</v>
      </c>
      <c r="AV103" s="69">
        <v>8443.6299999999992</v>
      </c>
      <c r="CD103" s="91">
        <f t="shared" si="13"/>
        <v>38455.840000000004</v>
      </c>
      <c r="CE103" s="69">
        <f t="shared" si="14"/>
        <v>0</v>
      </c>
      <c r="CF103" s="75">
        <f t="shared" si="15"/>
        <v>7310</v>
      </c>
      <c r="CG103" s="69" t="str">
        <f t="shared" si="11"/>
        <v>ماليزى اسنان</v>
      </c>
    </row>
    <row r="104" spans="3:85" ht="18.75" x14ac:dyDescent="0.25">
      <c r="C104" s="82">
        <v>12482</v>
      </c>
      <c r="D104" s="75">
        <v>7311</v>
      </c>
      <c r="E104" s="71" t="s">
        <v>121</v>
      </c>
      <c r="F104" s="69" t="str">
        <f>+F97</f>
        <v xml:space="preserve">جهود ماليزى خريف امن </v>
      </c>
      <c r="H104" s="69">
        <v>1250</v>
      </c>
      <c r="U104" s="69"/>
      <c r="V104" s="69"/>
      <c r="AS104" s="94">
        <f t="shared" si="12"/>
        <v>1250</v>
      </c>
      <c r="AT104" s="69">
        <v>1116</v>
      </c>
      <c r="AU104" s="69">
        <v>134</v>
      </c>
      <c r="CD104" s="91">
        <f t="shared" si="13"/>
        <v>1250</v>
      </c>
      <c r="CE104" s="69">
        <f t="shared" si="14"/>
        <v>0</v>
      </c>
      <c r="CF104" s="75">
        <f t="shared" si="15"/>
        <v>7311</v>
      </c>
      <c r="CG104" s="69" t="str">
        <f t="shared" si="11"/>
        <v>ماليزى اسنان</v>
      </c>
    </row>
    <row r="105" spans="3:85" ht="18.75" x14ac:dyDescent="0.25">
      <c r="C105" s="82">
        <v>12463</v>
      </c>
      <c r="D105" s="75">
        <v>7312</v>
      </c>
      <c r="E105" s="71" t="s">
        <v>121</v>
      </c>
      <c r="F105" s="69" t="s">
        <v>1808</v>
      </c>
      <c r="H105" s="69">
        <v>4690</v>
      </c>
      <c r="U105" s="69"/>
      <c r="V105" s="69"/>
      <c r="AS105" s="94">
        <f t="shared" si="12"/>
        <v>4690</v>
      </c>
      <c r="AT105" s="69">
        <v>3136.4</v>
      </c>
      <c r="AU105" s="69">
        <v>423.6</v>
      </c>
      <c r="AV105" s="69">
        <v>1130</v>
      </c>
      <c r="CD105" s="91">
        <f t="shared" si="13"/>
        <v>4690</v>
      </c>
      <c r="CE105" s="69">
        <f t="shared" si="14"/>
        <v>0</v>
      </c>
      <c r="CF105" s="75">
        <f t="shared" si="15"/>
        <v>7312</v>
      </c>
      <c r="CG105" s="69" t="str">
        <f t="shared" si="11"/>
        <v>ماليزى اسنان</v>
      </c>
    </row>
    <row r="106" spans="3:85" ht="18.75" x14ac:dyDescent="0.25">
      <c r="C106" s="82">
        <v>12462</v>
      </c>
      <c r="D106" s="75">
        <v>7313</v>
      </c>
      <c r="E106" s="71" t="s">
        <v>121</v>
      </c>
      <c r="F106" s="69" t="s">
        <v>1809</v>
      </c>
      <c r="H106" s="69">
        <v>11349</v>
      </c>
      <c r="U106" s="69"/>
      <c r="V106" s="69"/>
      <c r="AS106" s="94">
        <f t="shared" si="12"/>
        <v>11349</v>
      </c>
      <c r="AT106" s="69">
        <v>7923.65</v>
      </c>
      <c r="AU106" s="69">
        <v>1052.3499999999999</v>
      </c>
      <c r="AV106" s="69">
        <v>2373</v>
      </c>
      <c r="CD106" s="91">
        <f t="shared" si="13"/>
        <v>11349</v>
      </c>
      <c r="CE106" s="69">
        <f t="shared" si="14"/>
        <v>0</v>
      </c>
      <c r="CF106" s="75">
        <f t="shared" si="15"/>
        <v>7313</v>
      </c>
      <c r="CG106" s="69" t="str">
        <f t="shared" si="11"/>
        <v>ماليزى اسنان</v>
      </c>
    </row>
    <row r="107" spans="3:85" ht="18.75" x14ac:dyDescent="0.25">
      <c r="C107" s="82">
        <v>12467</v>
      </c>
      <c r="D107" s="75">
        <v>7314</v>
      </c>
      <c r="E107" s="71" t="s">
        <v>121</v>
      </c>
      <c r="F107" s="69" t="s">
        <v>1810</v>
      </c>
      <c r="H107" s="69">
        <v>40978.86</v>
      </c>
      <c r="U107" s="69"/>
      <c r="V107" s="69"/>
      <c r="AS107" s="94">
        <f t="shared" si="12"/>
        <v>40978.86</v>
      </c>
      <c r="AT107" s="69">
        <v>27383.15</v>
      </c>
      <c r="AU107" s="69">
        <v>3722.35</v>
      </c>
      <c r="AV107" s="69">
        <v>9873.36</v>
      </c>
      <c r="CD107" s="91">
        <f t="shared" si="13"/>
        <v>40978.86</v>
      </c>
      <c r="CE107" s="69">
        <f t="shared" si="14"/>
        <v>0</v>
      </c>
      <c r="CF107" s="75">
        <f t="shared" si="15"/>
        <v>7314</v>
      </c>
      <c r="CG107" s="69" t="str">
        <f t="shared" si="11"/>
        <v>ماليزى اسنان</v>
      </c>
    </row>
    <row r="108" spans="3:85" ht="18.75" x14ac:dyDescent="0.25">
      <c r="C108" s="82">
        <v>12460</v>
      </c>
      <c r="D108" s="75">
        <v>7315</v>
      </c>
      <c r="E108" s="71" t="s">
        <v>121</v>
      </c>
      <c r="F108" s="69" t="s">
        <v>1811</v>
      </c>
      <c r="H108" s="69">
        <v>8451</v>
      </c>
      <c r="U108" s="69"/>
      <c r="V108" s="69"/>
      <c r="AS108" s="94">
        <f t="shared" si="12"/>
        <v>8451</v>
      </c>
      <c r="AT108" s="69">
        <v>6474.63</v>
      </c>
      <c r="AU108" s="69">
        <v>828.35</v>
      </c>
      <c r="AV108" s="69">
        <v>1148.02</v>
      </c>
      <c r="CD108" s="91">
        <f t="shared" si="13"/>
        <v>8451</v>
      </c>
      <c r="CE108" s="69">
        <f t="shared" si="14"/>
        <v>0</v>
      </c>
      <c r="CF108" s="75">
        <f t="shared" si="15"/>
        <v>7315</v>
      </c>
      <c r="CG108" s="69" t="str">
        <f t="shared" si="11"/>
        <v>ماليزى اسنان</v>
      </c>
    </row>
    <row r="109" spans="3:85" ht="18.75" x14ac:dyDescent="0.25">
      <c r="C109" s="82">
        <v>12458</v>
      </c>
      <c r="D109" s="75">
        <v>7316</v>
      </c>
      <c r="E109" s="71" t="s">
        <v>121</v>
      </c>
      <c r="F109" s="69" t="s">
        <v>1812</v>
      </c>
      <c r="H109" s="69">
        <v>16884</v>
      </c>
      <c r="U109" s="69"/>
      <c r="V109" s="69"/>
      <c r="AS109" s="94">
        <f t="shared" si="12"/>
        <v>16884</v>
      </c>
      <c r="AT109" s="69">
        <v>11283.3</v>
      </c>
      <c r="AU109" s="69">
        <v>1532.7</v>
      </c>
      <c r="AV109" s="69">
        <v>4068</v>
      </c>
      <c r="CD109" s="91">
        <f t="shared" si="13"/>
        <v>16884</v>
      </c>
      <c r="CE109" s="69">
        <f t="shared" si="14"/>
        <v>0</v>
      </c>
      <c r="CF109" s="75">
        <f t="shared" si="15"/>
        <v>7316</v>
      </c>
      <c r="CG109" s="69" t="str">
        <f t="shared" si="11"/>
        <v>ماليزى اسنان</v>
      </c>
    </row>
    <row r="110" spans="3:85" ht="18.75" x14ac:dyDescent="0.25">
      <c r="C110" s="82">
        <v>12457</v>
      </c>
      <c r="D110" s="75">
        <v>7317</v>
      </c>
      <c r="E110" s="71" t="s">
        <v>121</v>
      </c>
      <c r="F110" s="69" t="s">
        <v>1813</v>
      </c>
      <c r="H110" s="69">
        <v>1758.75</v>
      </c>
      <c r="U110" s="69"/>
      <c r="V110" s="69"/>
      <c r="AS110" s="94">
        <f t="shared" si="12"/>
        <v>1758.75</v>
      </c>
      <c r="AT110" s="69">
        <v>1175.3499999999999</v>
      </c>
      <c r="AU110" s="69">
        <v>159.65</v>
      </c>
      <c r="AV110" s="69">
        <v>423.75</v>
      </c>
      <c r="CD110" s="91">
        <f t="shared" si="13"/>
        <v>1758.75</v>
      </c>
      <c r="CE110" s="69">
        <f t="shared" si="14"/>
        <v>0</v>
      </c>
      <c r="CF110" s="75">
        <f t="shared" si="15"/>
        <v>7317</v>
      </c>
      <c r="CG110" s="69" t="str">
        <f t="shared" si="11"/>
        <v>ماليزى اسنان</v>
      </c>
    </row>
    <row r="111" spans="3:85" ht="18.75" x14ac:dyDescent="0.25">
      <c r="C111" s="82">
        <v>12456</v>
      </c>
      <c r="D111" s="75">
        <v>7318</v>
      </c>
      <c r="E111" s="71" t="s">
        <v>121</v>
      </c>
      <c r="F111" s="69" t="s">
        <v>1814</v>
      </c>
      <c r="H111" s="69">
        <v>35297.18</v>
      </c>
      <c r="U111" s="69"/>
      <c r="V111" s="69"/>
      <c r="AS111" s="94">
        <f t="shared" si="12"/>
        <v>35297.18</v>
      </c>
      <c r="AT111" s="69">
        <v>23886.31</v>
      </c>
      <c r="AU111" s="69">
        <v>3227.1</v>
      </c>
      <c r="AV111" s="69">
        <v>8183.77</v>
      </c>
      <c r="CD111" s="91">
        <f t="shared" si="13"/>
        <v>35297.18</v>
      </c>
      <c r="CE111" s="69">
        <f t="shared" si="14"/>
        <v>0</v>
      </c>
      <c r="CF111" s="75">
        <f t="shared" si="15"/>
        <v>7318</v>
      </c>
      <c r="CG111" s="69" t="str">
        <f t="shared" si="11"/>
        <v>ماليزى اسنان</v>
      </c>
    </row>
    <row r="112" spans="3:85" ht="18.75" x14ac:dyDescent="0.25">
      <c r="C112" s="82">
        <v>12454</v>
      </c>
      <c r="D112" s="75">
        <v>7319</v>
      </c>
      <c r="E112" s="71" t="s">
        <v>121</v>
      </c>
      <c r="F112" s="69" t="s">
        <v>1815</v>
      </c>
      <c r="H112" s="69">
        <v>13768.12</v>
      </c>
      <c r="U112" s="69"/>
      <c r="V112" s="69"/>
      <c r="AS112" s="94">
        <f t="shared" si="12"/>
        <v>13768.12</v>
      </c>
      <c r="AT112" s="69">
        <v>9593.85</v>
      </c>
      <c r="AU112" s="69">
        <v>1278.6500000000001</v>
      </c>
      <c r="AV112" s="69">
        <v>2895.62</v>
      </c>
      <c r="CD112" s="91">
        <f t="shared" si="13"/>
        <v>13768.119999999999</v>
      </c>
      <c r="CE112" s="69">
        <f t="shared" si="14"/>
        <v>0</v>
      </c>
      <c r="CF112" s="75">
        <f t="shared" si="15"/>
        <v>7319</v>
      </c>
      <c r="CG112" s="69" t="str">
        <f t="shared" si="11"/>
        <v>ماليزى اسنان</v>
      </c>
    </row>
    <row r="113" spans="3:85" ht="18.75" x14ac:dyDescent="0.25">
      <c r="C113" s="82">
        <v>12465</v>
      </c>
      <c r="D113" s="75">
        <v>7320</v>
      </c>
      <c r="E113" s="71" t="s">
        <v>121</v>
      </c>
      <c r="F113" s="69" t="s">
        <v>1816</v>
      </c>
      <c r="H113" s="69">
        <v>3517.5</v>
      </c>
      <c r="U113" s="69"/>
      <c r="V113" s="69"/>
      <c r="AS113" s="94">
        <f t="shared" si="12"/>
        <v>3517.5</v>
      </c>
      <c r="AT113" s="69">
        <v>2350.35</v>
      </c>
      <c r="AU113" s="69">
        <v>319.64999999999998</v>
      </c>
      <c r="AV113" s="69">
        <v>847.5</v>
      </c>
      <c r="CD113" s="91">
        <f t="shared" si="13"/>
        <v>3517.5</v>
      </c>
      <c r="CE113" s="69">
        <f t="shared" si="14"/>
        <v>0</v>
      </c>
      <c r="CF113" s="75">
        <f t="shared" si="15"/>
        <v>7320</v>
      </c>
      <c r="CG113" s="69" t="str">
        <f t="shared" si="11"/>
        <v>ماليزى اسنان</v>
      </c>
    </row>
    <row r="114" spans="3:85" ht="18.75" x14ac:dyDescent="0.25">
      <c r="C114" s="82">
        <v>12466</v>
      </c>
      <c r="D114" s="75">
        <v>7321</v>
      </c>
      <c r="E114" s="71" t="s">
        <v>121</v>
      </c>
      <c r="F114" s="69" t="s">
        <v>1817</v>
      </c>
      <c r="H114" s="69">
        <v>8207.48</v>
      </c>
      <c r="U114" s="69"/>
      <c r="V114" s="69"/>
      <c r="AS114" s="94">
        <f t="shared" si="12"/>
        <v>8207.48</v>
      </c>
      <c r="AT114" s="69">
        <v>5484.65</v>
      </c>
      <c r="AU114" s="69">
        <v>745.35</v>
      </c>
      <c r="AV114" s="69">
        <v>1977.48</v>
      </c>
      <c r="CD114" s="91">
        <f t="shared" si="13"/>
        <v>8207.48</v>
      </c>
      <c r="CE114" s="69">
        <f t="shared" si="14"/>
        <v>0</v>
      </c>
      <c r="CF114" s="75">
        <f t="shared" si="15"/>
        <v>7321</v>
      </c>
      <c r="CG114" s="69" t="str">
        <f t="shared" si="11"/>
        <v>ماليزى اسنان</v>
      </c>
    </row>
    <row r="115" spans="3:85" ht="18.75" x14ac:dyDescent="0.25">
      <c r="C115" s="82">
        <v>12472</v>
      </c>
      <c r="D115" s="75">
        <v>7322</v>
      </c>
      <c r="E115" s="71" t="s">
        <v>121</v>
      </c>
      <c r="F115" s="69" t="s">
        <v>1818</v>
      </c>
      <c r="H115" s="69">
        <v>1172.5</v>
      </c>
      <c r="U115" s="69"/>
      <c r="V115" s="69"/>
      <c r="AS115" s="94">
        <f t="shared" si="12"/>
        <v>1172.5</v>
      </c>
      <c r="AT115" s="69">
        <v>784.1</v>
      </c>
      <c r="AU115" s="69">
        <v>105.9</v>
      </c>
      <c r="AV115" s="69">
        <v>282.5</v>
      </c>
      <c r="CD115" s="91">
        <f t="shared" si="13"/>
        <v>1172.5</v>
      </c>
      <c r="CE115" s="69">
        <f t="shared" si="14"/>
        <v>0</v>
      </c>
      <c r="CF115" s="75">
        <f t="shared" si="15"/>
        <v>7322</v>
      </c>
      <c r="CG115" s="69" t="str">
        <f t="shared" si="11"/>
        <v>ماليزى اسنان</v>
      </c>
    </row>
    <row r="116" spans="3:85" ht="18.75" x14ac:dyDescent="0.25">
      <c r="C116" s="82">
        <v>12473</v>
      </c>
      <c r="D116" s="75">
        <v>7323</v>
      </c>
      <c r="E116" s="71" t="s">
        <v>121</v>
      </c>
      <c r="F116" s="69" t="s">
        <v>1819</v>
      </c>
      <c r="H116" s="69">
        <v>1172.5</v>
      </c>
      <c r="U116" s="69"/>
      <c r="V116" s="69"/>
      <c r="AS116" s="94">
        <f t="shared" si="12"/>
        <v>1172.5</v>
      </c>
      <c r="AT116" s="69">
        <v>784.1</v>
      </c>
      <c r="AU116" s="69">
        <v>105.9</v>
      </c>
      <c r="AV116" s="69">
        <v>282.5</v>
      </c>
      <c r="CD116" s="91">
        <f t="shared" si="13"/>
        <v>1172.5</v>
      </c>
      <c r="CE116" s="69">
        <f t="shared" si="14"/>
        <v>0</v>
      </c>
      <c r="CF116" s="75">
        <f t="shared" si="15"/>
        <v>7323</v>
      </c>
      <c r="CG116" s="69" t="str">
        <f t="shared" si="11"/>
        <v>ماليزى اسنان</v>
      </c>
    </row>
    <row r="117" spans="3:85" ht="18.75" x14ac:dyDescent="0.25">
      <c r="C117" s="82">
        <v>12474</v>
      </c>
      <c r="D117" s="75">
        <v>7324</v>
      </c>
      <c r="E117" s="71" t="s">
        <v>121</v>
      </c>
      <c r="F117" s="69" t="s">
        <v>1819</v>
      </c>
      <c r="H117" s="69">
        <v>2931.24</v>
      </c>
      <c r="U117" s="69"/>
      <c r="V117" s="69"/>
      <c r="AS117" s="94">
        <f t="shared" si="12"/>
        <v>2931.24</v>
      </c>
      <c r="AT117" s="69">
        <v>1959</v>
      </c>
      <c r="AU117" s="69">
        <v>266</v>
      </c>
      <c r="AV117" s="69">
        <v>706.24</v>
      </c>
      <c r="CD117" s="91">
        <f t="shared" si="13"/>
        <v>2931.24</v>
      </c>
      <c r="CE117" s="69">
        <f t="shared" si="14"/>
        <v>0</v>
      </c>
      <c r="CF117" s="75">
        <f t="shared" si="15"/>
        <v>7324</v>
      </c>
      <c r="CG117" s="69" t="str">
        <f t="shared" si="11"/>
        <v>ماليزى اسنان</v>
      </c>
    </row>
    <row r="118" spans="3:85" ht="18.75" x14ac:dyDescent="0.25">
      <c r="C118" s="82">
        <v>12478</v>
      </c>
      <c r="D118" s="75">
        <v>7325</v>
      </c>
      <c r="E118" s="71" t="s">
        <v>121</v>
      </c>
      <c r="F118" s="69" t="s">
        <v>1820</v>
      </c>
      <c r="H118" s="69">
        <v>6155.61</v>
      </c>
      <c r="U118" s="69"/>
      <c r="V118" s="69"/>
      <c r="AS118" s="94">
        <f t="shared" si="12"/>
        <v>6155.61</v>
      </c>
      <c r="AT118" s="69">
        <v>4113.8500000000004</v>
      </c>
      <c r="AU118" s="69">
        <v>558.65</v>
      </c>
      <c r="AV118" s="69">
        <v>1483.11</v>
      </c>
      <c r="CD118" s="91">
        <f t="shared" si="13"/>
        <v>6155.61</v>
      </c>
      <c r="CE118" s="69">
        <f t="shared" si="14"/>
        <v>0</v>
      </c>
      <c r="CF118" s="75">
        <f t="shared" si="15"/>
        <v>7325</v>
      </c>
      <c r="CG118" s="69" t="str">
        <f t="shared" si="11"/>
        <v>ماليزى اسنان</v>
      </c>
    </row>
    <row r="119" spans="3:85" ht="18.75" x14ac:dyDescent="0.25">
      <c r="C119" s="82">
        <v>12476</v>
      </c>
      <c r="D119" s="75">
        <v>7326</v>
      </c>
      <c r="E119" s="71" t="s">
        <v>121</v>
      </c>
      <c r="F119" s="69" t="s">
        <v>1821</v>
      </c>
      <c r="H119" s="69">
        <v>6141.69</v>
      </c>
      <c r="U119" s="69"/>
      <c r="V119" s="69"/>
      <c r="AS119" s="94">
        <f t="shared" si="12"/>
        <v>6141.69</v>
      </c>
      <c r="AT119" s="69">
        <v>4122.6899999999996</v>
      </c>
      <c r="AU119" s="69">
        <v>558.70000000000005</v>
      </c>
      <c r="AV119" s="69">
        <v>1460.3</v>
      </c>
      <c r="CD119" s="91">
        <f t="shared" si="13"/>
        <v>6141.69</v>
      </c>
      <c r="CE119" s="69">
        <f t="shared" si="14"/>
        <v>0</v>
      </c>
      <c r="CF119" s="75">
        <f t="shared" si="15"/>
        <v>7326</v>
      </c>
      <c r="CG119" s="69" t="str">
        <f t="shared" si="11"/>
        <v>ماليزى اسنان</v>
      </c>
    </row>
    <row r="120" spans="3:85" ht="18.75" x14ac:dyDescent="0.25">
      <c r="C120" s="82">
        <v>12464</v>
      </c>
      <c r="D120" s="75">
        <v>7327</v>
      </c>
      <c r="E120" s="71" t="s">
        <v>121</v>
      </c>
      <c r="F120" s="69" t="s">
        <v>1822</v>
      </c>
      <c r="H120" s="69">
        <v>8500.61</v>
      </c>
      <c r="U120" s="69"/>
      <c r="V120" s="69"/>
      <c r="AS120" s="94">
        <f t="shared" si="12"/>
        <v>8500.61</v>
      </c>
      <c r="AT120" s="69">
        <v>5682.05</v>
      </c>
      <c r="AU120" s="69">
        <v>770.45</v>
      </c>
      <c r="AV120" s="69">
        <v>2048.11</v>
      </c>
      <c r="CD120" s="91">
        <f t="shared" si="13"/>
        <v>8500.61</v>
      </c>
      <c r="CE120" s="69">
        <f t="shared" si="14"/>
        <v>0</v>
      </c>
      <c r="CF120" s="75">
        <f t="shared" si="15"/>
        <v>7327</v>
      </c>
      <c r="CG120" s="69" t="str">
        <f t="shared" si="11"/>
        <v>ماليزى اسنان</v>
      </c>
    </row>
    <row r="121" spans="3:85" ht="18.75" x14ac:dyDescent="0.25">
      <c r="C121" s="82">
        <v>12461</v>
      </c>
      <c r="D121" s="75">
        <v>7328</v>
      </c>
      <c r="E121" s="71" t="s">
        <v>121</v>
      </c>
      <c r="F121" s="69" t="s">
        <v>1823</v>
      </c>
      <c r="H121" s="69">
        <v>4924.5</v>
      </c>
      <c r="U121" s="69"/>
      <c r="V121" s="69"/>
      <c r="AS121" s="94">
        <f t="shared" si="12"/>
        <v>4924.5</v>
      </c>
      <c r="AT121" s="69">
        <v>3292.1</v>
      </c>
      <c r="AU121" s="69">
        <v>445.9</v>
      </c>
      <c r="AV121" s="69">
        <v>1186.5</v>
      </c>
      <c r="CD121" s="91">
        <f t="shared" si="13"/>
        <v>4924.5</v>
      </c>
      <c r="CE121" s="69">
        <f t="shared" si="14"/>
        <v>0</v>
      </c>
      <c r="CF121" s="75">
        <f t="shared" si="15"/>
        <v>7328</v>
      </c>
      <c r="CG121" s="69" t="str">
        <f t="shared" si="11"/>
        <v>ماليزى اسنان</v>
      </c>
    </row>
    <row r="122" spans="3:85" ht="18.75" x14ac:dyDescent="0.25">
      <c r="C122" s="82">
        <v>12459</v>
      </c>
      <c r="D122" s="75">
        <v>7329</v>
      </c>
      <c r="E122" s="71" t="s">
        <v>121</v>
      </c>
      <c r="F122" s="69" t="s">
        <v>1824</v>
      </c>
      <c r="H122" s="69">
        <v>1993.25</v>
      </c>
      <c r="U122" s="69"/>
      <c r="V122" s="69"/>
      <c r="AS122" s="94">
        <f t="shared" si="12"/>
        <v>1993.25</v>
      </c>
      <c r="AT122" s="69">
        <v>1332</v>
      </c>
      <c r="AU122" s="69">
        <v>181</v>
      </c>
      <c r="AV122" s="69">
        <v>480.25</v>
      </c>
      <c r="CD122" s="91">
        <f t="shared" si="13"/>
        <v>1993.25</v>
      </c>
      <c r="CE122" s="69">
        <f t="shared" si="14"/>
        <v>0</v>
      </c>
      <c r="CF122" s="75">
        <f t="shared" si="15"/>
        <v>7329</v>
      </c>
      <c r="CG122" s="69" t="str">
        <f t="shared" si="11"/>
        <v>ماليزى اسنان</v>
      </c>
    </row>
    <row r="123" spans="3:85" ht="18.75" x14ac:dyDescent="0.25">
      <c r="C123" s="82">
        <v>12455</v>
      </c>
      <c r="D123" s="75">
        <v>7330</v>
      </c>
      <c r="E123" s="71" t="s">
        <v>121</v>
      </c>
      <c r="F123" s="69" t="s">
        <v>1825</v>
      </c>
      <c r="H123" s="69">
        <v>8500.6200000000008</v>
      </c>
      <c r="U123" s="69"/>
      <c r="V123" s="69"/>
      <c r="AS123" s="94">
        <f t="shared" si="12"/>
        <v>8500.6200000000008</v>
      </c>
      <c r="AT123" s="69">
        <v>5680.85</v>
      </c>
      <c r="AU123" s="69">
        <v>771.65</v>
      </c>
      <c r="AV123" s="69">
        <v>2048.12</v>
      </c>
      <c r="CD123" s="91">
        <f t="shared" si="13"/>
        <v>8500.619999999999</v>
      </c>
      <c r="CE123" s="69">
        <f t="shared" si="14"/>
        <v>0</v>
      </c>
      <c r="CF123" s="75">
        <f t="shared" si="15"/>
        <v>7330</v>
      </c>
      <c r="CG123" s="69" t="str">
        <f t="shared" si="11"/>
        <v>ماليزى اسنان</v>
      </c>
    </row>
    <row r="124" spans="3:85" ht="18.75" x14ac:dyDescent="0.25">
      <c r="C124" s="82">
        <v>12453</v>
      </c>
      <c r="D124" s="75">
        <v>7331</v>
      </c>
      <c r="E124" s="71" t="s">
        <v>121</v>
      </c>
      <c r="F124" s="69" t="s">
        <v>1826</v>
      </c>
      <c r="H124" s="69">
        <v>2345</v>
      </c>
      <c r="U124" s="69"/>
      <c r="V124" s="69"/>
      <c r="AS124" s="94">
        <f t="shared" si="12"/>
        <v>2345</v>
      </c>
      <c r="AT124" s="69">
        <v>1568.2</v>
      </c>
      <c r="AU124" s="69">
        <v>211.8</v>
      </c>
      <c r="AV124" s="69">
        <v>565</v>
      </c>
      <c r="CD124" s="91">
        <f t="shared" si="13"/>
        <v>2345</v>
      </c>
      <c r="CE124" s="69">
        <f t="shared" si="14"/>
        <v>0</v>
      </c>
      <c r="CF124" s="75">
        <f t="shared" si="15"/>
        <v>7331</v>
      </c>
      <c r="CG124" s="69" t="str">
        <f t="shared" si="11"/>
        <v>ماليزى اسنان</v>
      </c>
    </row>
    <row r="125" spans="3:85" x14ac:dyDescent="0.25">
      <c r="C125" s="75">
        <v>12352</v>
      </c>
      <c r="D125" s="75">
        <v>7332</v>
      </c>
      <c r="E125" s="69" t="s">
        <v>130</v>
      </c>
      <c r="F125" s="69" t="s">
        <v>863</v>
      </c>
      <c r="H125" s="69">
        <v>460.7</v>
      </c>
      <c r="AS125" s="91">
        <f t="shared" si="12"/>
        <v>460.7</v>
      </c>
      <c r="AT125" s="69">
        <v>364.32</v>
      </c>
      <c r="AU125" s="52">
        <v>40.479999999999997</v>
      </c>
      <c r="AV125" s="69">
        <v>33.9</v>
      </c>
      <c r="AW125" s="69">
        <v>22</v>
      </c>
      <c r="CD125" s="91">
        <f t="shared" si="13"/>
        <v>460.7</v>
      </c>
      <c r="CE125" s="69">
        <f t="shared" si="14"/>
        <v>0</v>
      </c>
      <c r="CF125" s="75">
        <f t="shared" si="15"/>
        <v>7332</v>
      </c>
      <c r="CG125" s="69" t="str">
        <f t="shared" si="11"/>
        <v>خ ت طب</v>
      </c>
    </row>
    <row r="126" spans="3:85" x14ac:dyDescent="0.25">
      <c r="C126" s="75">
        <v>12351</v>
      </c>
      <c r="D126" s="75">
        <v>7333</v>
      </c>
      <c r="E126" s="69" t="s">
        <v>130</v>
      </c>
      <c r="F126" s="69" t="s">
        <v>863</v>
      </c>
      <c r="H126" s="69">
        <v>115</v>
      </c>
      <c r="AS126" s="91">
        <f t="shared" si="12"/>
        <v>115</v>
      </c>
      <c r="AT126" s="69">
        <v>94.64</v>
      </c>
      <c r="AU126" s="52">
        <v>14.61</v>
      </c>
      <c r="AW126" s="69">
        <v>5.75</v>
      </c>
      <c r="CD126" s="91">
        <f t="shared" si="13"/>
        <v>115</v>
      </c>
      <c r="CE126" s="69">
        <f t="shared" si="14"/>
        <v>0</v>
      </c>
      <c r="CF126" s="75">
        <f t="shared" si="15"/>
        <v>7333</v>
      </c>
      <c r="CG126" s="69" t="str">
        <f t="shared" si="11"/>
        <v>خ ت طب</v>
      </c>
    </row>
    <row r="127" spans="3:85" x14ac:dyDescent="0.25">
      <c r="C127" s="75">
        <v>12350</v>
      </c>
      <c r="D127" s="75">
        <v>7334</v>
      </c>
      <c r="E127" s="69" t="s">
        <v>130</v>
      </c>
      <c r="F127" s="69" t="s">
        <v>497</v>
      </c>
      <c r="H127" s="69">
        <v>270.47000000000003</v>
      </c>
      <c r="AS127" s="91">
        <f t="shared" si="12"/>
        <v>270.47000000000003</v>
      </c>
      <c r="AT127" s="69">
        <v>214.08</v>
      </c>
      <c r="AU127" s="52">
        <v>34.72</v>
      </c>
      <c r="AV127" s="69">
        <v>8.39</v>
      </c>
      <c r="AW127" s="69">
        <v>13.28</v>
      </c>
      <c r="CD127" s="91">
        <f t="shared" si="13"/>
        <v>270.46999999999997</v>
      </c>
      <c r="CE127" s="69">
        <f t="shared" si="14"/>
        <v>0</v>
      </c>
      <c r="CF127" s="75">
        <f t="shared" si="15"/>
        <v>7334</v>
      </c>
      <c r="CG127" s="69" t="str">
        <f t="shared" si="11"/>
        <v>خ ت طب</v>
      </c>
    </row>
    <row r="128" spans="3:85" x14ac:dyDescent="0.25">
      <c r="C128" s="75">
        <v>12349</v>
      </c>
      <c r="D128" s="75">
        <v>7335</v>
      </c>
      <c r="E128" s="69" t="s">
        <v>130</v>
      </c>
      <c r="F128" s="69" t="s">
        <v>1827</v>
      </c>
      <c r="H128" s="69">
        <v>175.88</v>
      </c>
      <c r="AS128" s="91">
        <f t="shared" si="12"/>
        <v>175.88</v>
      </c>
      <c r="AT128" s="69">
        <v>106.68</v>
      </c>
      <c r="AU128" s="52">
        <v>19.32</v>
      </c>
      <c r="AV128" s="69">
        <v>42.38</v>
      </c>
      <c r="AW128" s="69">
        <v>7.5</v>
      </c>
      <c r="CD128" s="91">
        <f t="shared" si="13"/>
        <v>175.88</v>
      </c>
      <c r="CE128" s="69">
        <f t="shared" si="14"/>
        <v>0</v>
      </c>
      <c r="CF128" s="75">
        <f t="shared" si="15"/>
        <v>7335</v>
      </c>
      <c r="CG128" s="69" t="str">
        <f t="shared" si="11"/>
        <v>خ ت طب</v>
      </c>
    </row>
    <row r="129" spans="3:85" x14ac:dyDescent="0.25">
      <c r="C129" s="75">
        <v>12348</v>
      </c>
      <c r="D129" s="75">
        <v>7336</v>
      </c>
      <c r="E129" s="69" t="s">
        <v>130</v>
      </c>
      <c r="F129" s="69" t="s">
        <v>1828</v>
      </c>
      <c r="H129" s="69">
        <v>250</v>
      </c>
      <c r="AS129" s="91">
        <f t="shared" si="12"/>
        <v>250</v>
      </c>
      <c r="AT129" s="69">
        <v>223.8</v>
      </c>
      <c r="AU129" s="52">
        <v>26.2</v>
      </c>
      <c r="CD129" s="91">
        <f t="shared" si="13"/>
        <v>250</v>
      </c>
      <c r="CE129" s="69">
        <f t="shared" si="14"/>
        <v>0</v>
      </c>
      <c r="CF129" s="75">
        <f t="shared" si="15"/>
        <v>7336</v>
      </c>
      <c r="CG129" s="69" t="str">
        <f t="shared" si="11"/>
        <v>خ ت طب</v>
      </c>
    </row>
    <row r="130" spans="3:85" x14ac:dyDescent="0.25">
      <c r="C130" s="75">
        <v>12347</v>
      </c>
      <c r="D130" s="75">
        <v>7337</v>
      </c>
      <c r="E130" s="69" t="s">
        <v>130</v>
      </c>
      <c r="F130" s="69" t="s">
        <v>1828</v>
      </c>
      <c r="H130" s="69">
        <v>727.62</v>
      </c>
      <c r="AS130" s="91">
        <f t="shared" si="12"/>
        <v>727.62</v>
      </c>
      <c r="AT130" s="69">
        <v>532.75</v>
      </c>
      <c r="AU130" s="52">
        <v>67.75</v>
      </c>
      <c r="AV130" s="69">
        <v>127.12</v>
      </c>
      <c r="CD130" s="91">
        <f t="shared" si="13"/>
        <v>727.62</v>
      </c>
      <c r="CE130" s="69">
        <f t="shared" si="14"/>
        <v>0</v>
      </c>
      <c r="CF130" s="75">
        <f t="shared" si="15"/>
        <v>7337</v>
      </c>
      <c r="CG130" s="69" t="str">
        <f t="shared" si="11"/>
        <v>خ ت طب</v>
      </c>
    </row>
    <row r="131" spans="3:85" x14ac:dyDescent="0.25">
      <c r="C131" s="75">
        <v>12346</v>
      </c>
      <c r="D131" s="75">
        <v>7338</v>
      </c>
      <c r="E131" s="69" t="s">
        <v>130</v>
      </c>
      <c r="F131" s="69" t="s">
        <v>498</v>
      </c>
      <c r="H131" s="69">
        <v>708.62</v>
      </c>
      <c r="AS131" s="91">
        <f t="shared" si="12"/>
        <v>708.62</v>
      </c>
      <c r="AT131" s="69">
        <v>557.97</v>
      </c>
      <c r="AU131" s="52">
        <v>101.53</v>
      </c>
      <c r="AV131" s="69">
        <v>14.12</v>
      </c>
      <c r="AW131" s="69">
        <v>35</v>
      </c>
      <c r="CD131" s="91">
        <f t="shared" si="13"/>
        <v>708.62</v>
      </c>
      <c r="CE131" s="69">
        <f t="shared" si="14"/>
        <v>0</v>
      </c>
      <c r="CF131" s="75">
        <f t="shared" si="15"/>
        <v>7338</v>
      </c>
      <c r="CG131" s="69" t="str">
        <f t="shared" si="11"/>
        <v>خ ت طب</v>
      </c>
    </row>
    <row r="132" spans="3:85" x14ac:dyDescent="0.25">
      <c r="C132" s="75">
        <v>12345</v>
      </c>
      <c r="D132" s="75">
        <v>7339</v>
      </c>
      <c r="E132" s="69" t="s">
        <v>130</v>
      </c>
      <c r="F132" s="69" t="s">
        <v>498</v>
      </c>
      <c r="H132" s="69">
        <v>50</v>
      </c>
      <c r="AS132" s="91">
        <f t="shared" si="12"/>
        <v>50</v>
      </c>
      <c r="AT132" s="69">
        <v>40.380000000000003</v>
      </c>
      <c r="AU132" s="52">
        <v>7.12</v>
      </c>
      <c r="AW132" s="69">
        <v>2.5</v>
      </c>
      <c r="CD132" s="91">
        <f t="shared" si="13"/>
        <v>50</v>
      </c>
      <c r="CE132" s="69">
        <f t="shared" si="14"/>
        <v>0</v>
      </c>
      <c r="CF132" s="75">
        <f t="shared" si="15"/>
        <v>7339</v>
      </c>
      <c r="CG132" s="69" t="str">
        <f t="shared" si="11"/>
        <v>خ ت طب</v>
      </c>
    </row>
    <row r="133" spans="3:85" x14ac:dyDescent="0.25">
      <c r="C133" s="75">
        <v>12344</v>
      </c>
      <c r="D133" s="75">
        <v>7340</v>
      </c>
      <c r="E133" s="69" t="s">
        <v>130</v>
      </c>
      <c r="F133" s="69" t="s">
        <v>498</v>
      </c>
      <c r="H133" s="69">
        <v>158.62</v>
      </c>
      <c r="AS133" s="91">
        <f t="shared" si="12"/>
        <v>158.62</v>
      </c>
      <c r="AT133" s="69">
        <v>123.3</v>
      </c>
      <c r="AU133" s="52">
        <v>13.7</v>
      </c>
      <c r="AV133" s="69">
        <v>14.12</v>
      </c>
      <c r="AW133" s="69">
        <v>7.5</v>
      </c>
      <c r="CD133" s="91">
        <f t="shared" si="13"/>
        <v>158.62</v>
      </c>
      <c r="CE133" s="69">
        <f t="shared" si="14"/>
        <v>0</v>
      </c>
      <c r="CF133" s="75">
        <f t="shared" si="15"/>
        <v>7340</v>
      </c>
      <c r="CG133" s="69" t="str">
        <f t="shared" si="11"/>
        <v>خ ت طب</v>
      </c>
    </row>
    <row r="134" spans="3:85" x14ac:dyDescent="0.25">
      <c r="C134" s="75">
        <v>12353</v>
      </c>
      <c r="D134" s="75">
        <v>7341</v>
      </c>
      <c r="E134" s="69" t="s">
        <v>130</v>
      </c>
      <c r="F134" s="69" t="s">
        <v>495</v>
      </c>
      <c r="H134" s="69">
        <v>620.70000000000005</v>
      </c>
      <c r="AS134" s="91">
        <f t="shared" si="12"/>
        <v>620.70000000000005</v>
      </c>
      <c r="AT134" s="69">
        <v>501.12</v>
      </c>
      <c r="AU134" s="52">
        <v>55.68</v>
      </c>
      <c r="AV134" s="69">
        <v>33.9</v>
      </c>
      <c r="AW134" s="69">
        <v>30</v>
      </c>
      <c r="CD134" s="91">
        <f t="shared" si="13"/>
        <v>620.69999999999993</v>
      </c>
      <c r="CE134" s="69">
        <f t="shared" si="14"/>
        <v>0</v>
      </c>
      <c r="CF134" s="75">
        <f t="shared" si="15"/>
        <v>7341</v>
      </c>
      <c r="CG134" s="69" t="str">
        <f t="shared" si="11"/>
        <v>خ ت طب</v>
      </c>
    </row>
    <row r="135" spans="3:85" x14ac:dyDescent="0.25">
      <c r="C135" s="75">
        <v>12354</v>
      </c>
      <c r="D135" s="75">
        <v>7342</v>
      </c>
      <c r="E135" s="69" t="s">
        <v>130</v>
      </c>
      <c r="F135" s="69" t="s">
        <v>495</v>
      </c>
      <c r="H135" s="69">
        <v>440</v>
      </c>
      <c r="AS135" s="91">
        <f t="shared" si="12"/>
        <v>440</v>
      </c>
      <c r="AT135" s="69">
        <v>357.81</v>
      </c>
      <c r="AU135" s="52">
        <v>60.19</v>
      </c>
      <c r="AW135" s="69">
        <v>22</v>
      </c>
      <c r="CD135" s="91">
        <f t="shared" si="13"/>
        <v>440</v>
      </c>
      <c r="CE135" s="69">
        <f t="shared" si="14"/>
        <v>0</v>
      </c>
      <c r="CF135" s="75">
        <f t="shared" si="15"/>
        <v>7342</v>
      </c>
      <c r="CG135" s="69" t="str">
        <f t="shared" si="11"/>
        <v>خ ت طب</v>
      </c>
    </row>
    <row r="136" spans="3:85" x14ac:dyDescent="0.25">
      <c r="C136" s="75">
        <v>12355</v>
      </c>
      <c r="D136" s="75">
        <v>7343</v>
      </c>
      <c r="E136" s="69" t="s">
        <v>130</v>
      </c>
      <c r="F136" s="69" t="s">
        <v>1028</v>
      </c>
      <c r="H136" s="69">
        <v>286.89999999999998</v>
      </c>
      <c r="AS136" s="91">
        <f t="shared" si="12"/>
        <v>286.89999999999998</v>
      </c>
      <c r="AT136" s="69">
        <v>235.44</v>
      </c>
      <c r="AU136" s="52">
        <v>26.16</v>
      </c>
      <c r="AV136" s="69">
        <v>11.3</v>
      </c>
      <c r="AW136" s="69">
        <v>14</v>
      </c>
      <c r="CD136" s="91">
        <f t="shared" si="13"/>
        <v>286.90000000000003</v>
      </c>
      <c r="CE136" s="69">
        <f t="shared" si="14"/>
        <v>0</v>
      </c>
      <c r="CF136" s="75">
        <f t="shared" si="15"/>
        <v>7343</v>
      </c>
      <c r="CG136" s="69" t="str">
        <f t="shared" si="11"/>
        <v>خ ت طب</v>
      </c>
    </row>
    <row r="137" spans="3:85" x14ac:dyDescent="0.25">
      <c r="C137" s="75">
        <v>12356</v>
      </c>
      <c r="D137" s="75">
        <v>7344</v>
      </c>
      <c r="E137" s="69" t="s">
        <v>130</v>
      </c>
      <c r="F137" s="69" t="s">
        <v>1029</v>
      </c>
      <c r="H137" s="69">
        <v>133.80000000000001</v>
      </c>
      <c r="AS137" s="91">
        <f t="shared" si="12"/>
        <v>133.80000000000001</v>
      </c>
      <c r="AT137" s="69">
        <v>91.1</v>
      </c>
      <c r="AU137" s="52">
        <v>14.1</v>
      </c>
      <c r="AV137" s="69">
        <v>22.6</v>
      </c>
      <c r="AW137" s="69">
        <v>6</v>
      </c>
      <c r="CD137" s="91">
        <f t="shared" si="13"/>
        <v>133.79999999999998</v>
      </c>
      <c r="CE137" s="69">
        <f t="shared" si="14"/>
        <v>0</v>
      </c>
      <c r="CF137" s="75">
        <f t="shared" si="15"/>
        <v>7344</v>
      </c>
      <c r="CG137" s="69" t="str">
        <f t="shared" si="11"/>
        <v>خ ت طب</v>
      </c>
    </row>
    <row r="138" spans="3:85" x14ac:dyDescent="0.25">
      <c r="C138" s="75">
        <v>12357</v>
      </c>
      <c r="D138" s="75">
        <v>7345</v>
      </c>
      <c r="E138" s="69" t="s">
        <v>130</v>
      </c>
      <c r="F138" s="69" t="s">
        <v>485</v>
      </c>
      <c r="H138" s="69">
        <v>46.9</v>
      </c>
      <c r="AS138" s="91">
        <f t="shared" si="12"/>
        <v>46.9</v>
      </c>
      <c r="AT138" s="69">
        <v>30.24</v>
      </c>
      <c r="AU138" s="52">
        <v>3.36</v>
      </c>
      <c r="AV138" s="69">
        <v>11.3</v>
      </c>
      <c r="AW138" s="69">
        <v>2</v>
      </c>
      <c r="CD138" s="91">
        <f t="shared" si="13"/>
        <v>46.900000000000006</v>
      </c>
      <c r="CE138" s="69">
        <f t="shared" si="14"/>
        <v>0</v>
      </c>
      <c r="CF138" s="75">
        <f t="shared" si="15"/>
        <v>7345</v>
      </c>
      <c r="CG138" s="69" t="str">
        <f t="shared" si="11"/>
        <v>خ ت طب</v>
      </c>
    </row>
    <row r="139" spans="3:85" x14ac:dyDescent="0.25">
      <c r="C139" s="75">
        <v>12358</v>
      </c>
      <c r="D139" s="75">
        <v>7346</v>
      </c>
      <c r="E139" s="69" t="s">
        <v>130</v>
      </c>
      <c r="F139" s="69" t="s">
        <v>485</v>
      </c>
      <c r="H139" s="69">
        <v>200.7</v>
      </c>
      <c r="AS139" s="91">
        <f t="shared" si="12"/>
        <v>200.7</v>
      </c>
      <c r="AT139" s="69">
        <v>135.72</v>
      </c>
      <c r="AU139" s="52">
        <v>22.08</v>
      </c>
      <c r="AV139" s="69">
        <v>33.9</v>
      </c>
      <c r="AW139" s="69">
        <v>9</v>
      </c>
      <c r="CD139" s="91">
        <f t="shared" si="13"/>
        <v>200.70000000000002</v>
      </c>
      <c r="CE139" s="69">
        <f t="shared" si="14"/>
        <v>0</v>
      </c>
      <c r="CF139" s="75">
        <f t="shared" si="15"/>
        <v>7346</v>
      </c>
      <c r="CG139" s="69" t="str">
        <f t="shared" si="15"/>
        <v>خ ت طب</v>
      </c>
    </row>
    <row r="140" spans="3:85" x14ac:dyDescent="0.25">
      <c r="C140" s="75">
        <v>12359</v>
      </c>
      <c r="D140" s="75">
        <v>7347</v>
      </c>
      <c r="E140" s="69" t="s">
        <v>130</v>
      </c>
      <c r="F140" s="69" t="s">
        <v>1030</v>
      </c>
      <c r="H140" s="69">
        <v>440</v>
      </c>
      <c r="AS140" s="91">
        <f t="shared" ref="AS140:AS164" si="16">SUM(H140:AR140)</f>
        <v>440</v>
      </c>
      <c r="AT140" s="69">
        <v>376.2</v>
      </c>
      <c r="AU140" s="52">
        <v>41.8</v>
      </c>
      <c r="AW140" s="69">
        <v>22</v>
      </c>
      <c r="CD140" s="91">
        <f t="shared" ref="CD140:CD164" si="17">SUM(AT140:CC140)</f>
        <v>440</v>
      </c>
      <c r="CE140" s="69">
        <f t="shared" ref="CE140:CE164" si="18">+CD140-AS140</f>
        <v>0</v>
      </c>
      <c r="CF140" s="75">
        <f t="shared" ref="CF140:CG164" si="19">+D140</f>
        <v>7347</v>
      </c>
      <c r="CG140" s="69" t="str">
        <f t="shared" si="19"/>
        <v>خ ت طب</v>
      </c>
    </row>
    <row r="141" spans="3:85" x14ac:dyDescent="0.25">
      <c r="C141" s="75">
        <v>12360</v>
      </c>
      <c r="D141" s="75">
        <v>7348</v>
      </c>
      <c r="E141" s="69" t="s">
        <v>130</v>
      </c>
      <c r="F141" s="69" t="s">
        <v>1030</v>
      </c>
      <c r="H141" s="69">
        <v>311.89999999999998</v>
      </c>
      <c r="AS141" s="91">
        <f t="shared" si="16"/>
        <v>311.89999999999998</v>
      </c>
      <c r="AT141" s="69">
        <v>249.31</v>
      </c>
      <c r="AU141" s="52">
        <v>36.04</v>
      </c>
      <c r="AV141" s="69">
        <v>11.3</v>
      </c>
      <c r="AW141" s="69">
        <v>15.25</v>
      </c>
      <c r="CD141" s="91">
        <f t="shared" si="17"/>
        <v>311.90000000000003</v>
      </c>
      <c r="CE141" s="69">
        <f t="shared" si="18"/>
        <v>0</v>
      </c>
      <c r="CF141" s="75">
        <f t="shared" si="19"/>
        <v>7348</v>
      </c>
      <c r="CG141" s="69" t="str">
        <f t="shared" si="19"/>
        <v>خ ت طب</v>
      </c>
    </row>
    <row r="142" spans="3:85" x14ac:dyDescent="0.25">
      <c r="C142" s="75">
        <v>12361</v>
      </c>
      <c r="D142" s="75">
        <v>7349</v>
      </c>
      <c r="E142" s="69" t="s">
        <v>130</v>
      </c>
      <c r="F142" s="69" t="s">
        <v>1829</v>
      </c>
      <c r="H142" s="69">
        <v>175.88</v>
      </c>
      <c r="AS142" s="91">
        <f t="shared" si="16"/>
        <v>175.88</v>
      </c>
      <c r="AT142" s="69">
        <v>112.95</v>
      </c>
      <c r="AU142" s="52">
        <v>13.05</v>
      </c>
      <c r="AV142" s="69">
        <v>42.38</v>
      </c>
      <c r="AW142" s="69">
        <v>7.5</v>
      </c>
      <c r="CD142" s="91">
        <f t="shared" si="17"/>
        <v>175.88</v>
      </c>
      <c r="CE142" s="69">
        <f t="shared" si="18"/>
        <v>0</v>
      </c>
      <c r="CF142" s="75">
        <f t="shared" si="19"/>
        <v>7349</v>
      </c>
      <c r="CG142" s="69" t="str">
        <f t="shared" si="19"/>
        <v>خ ت طب</v>
      </c>
    </row>
    <row r="143" spans="3:85" x14ac:dyDescent="0.25">
      <c r="C143" s="75">
        <v>12362</v>
      </c>
      <c r="D143" s="75">
        <v>7350</v>
      </c>
      <c r="E143" s="69" t="s">
        <v>130</v>
      </c>
      <c r="F143" s="69" t="s">
        <v>499</v>
      </c>
      <c r="H143" s="69">
        <v>166.9</v>
      </c>
      <c r="AS143" s="91">
        <f t="shared" si="16"/>
        <v>166.9</v>
      </c>
      <c r="AT143" s="69">
        <v>136.77000000000001</v>
      </c>
      <c r="AU143" s="52">
        <v>10.83</v>
      </c>
      <c r="AV143" s="69">
        <v>11.3</v>
      </c>
      <c r="AW143" s="69">
        <v>8</v>
      </c>
      <c r="CD143" s="91">
        <f t="shared" si="17"/>
        <v>166.90000000000003</v>
      </c>
      <c r="CE143" s="69">
        <f t="shared" si="18"/>
        <v>0</v>
      </c>
      <c r="CF143" s="75">
        <f t="shared" si="19"/>
        <v>7350</v>
      </c>
      <c r="CG143" s="69" t="str">
        <f t="shared" si="19"/>
        <v>خ ت طب</v>
      </c>
    </row>
    <row r="144" spans="3:85" x14ac:dyDescent="0.25">
      <c r="C144" s="75">
        <v>12365</v>
      </c>
      <c r="D144" s="75">
        <v>7351</v>
      </c>
      <c r="E144" s="69" t="s">
        <v>130</v>
      </c>
      <c r="F144" s="69" t="s">
        <v>493</v>
      </c>
      <c r="H144" s="69">
        <v>46.9</v>
      </c>
      <c r="AS144" s="91">
        <f t="shared" si="16"/>
        <v>46.9</v>
      </c>
      <c r="AT144" s="69">
        <v>30.24</v>
      </c>
      <c r="AU144" s="52">
        <v>3.36</v>
      </c>
      <c r="AV144" s="69">
        <v>11.3</v>
      </c>
      <c r="AW144" s="69">
        <v>2</v>
      </c>
      <c r="CD144" s="91">
        <f t="shared" si="17"/>
        <v>46.900000000000006</v>
      </c>
      <c r="CE144" s="69">
        <f t="shared" si="18"/>
        <v>0</v>
      </c>
      <c r="CF144" s="75">
        <f t="shared" si="19"/>
        <v>7351</v>
      </c>
      <c r="CG144" s="69" t="str">
        <f t="shared" si="19"/>
        <v>خ ت طب</v>
      </c>
    </row>
    <row r="145" spans="3:85" x14ac:dyDescent="0.25">
      <c r="C145" s="75">
        <v>12363</v>
      </c>
      <c r="D145" s="75">
        <v>7352</v>
      </c>
      <c r="E145" s="69" t="s">
        <v>130</v>
      </c>
      <c r="F145" s="69" t="s">
        <v>493</v>
      </c>
      <c r="H145" s="69">
        <v>200</v>
      </c>
      <c r="AS145" s="91">
        <f t="shared" si="16"/>
        <v>200</v>
      </c>
      <c r="AT145" s="69">
        <v>171</v>
      </c>
      <c r="AU145" s="52">
        <v>19</v>
      </c>
      <c r="AW145" s="69">
        <v>10</v>
      </c>
      <c r="CD145" s="91">
        <f t="shared" si="17"/>
        <v>200</v>
      </c>
      <c r="CE145" s="69">
        <f t="shared" si="18"/>
        <v>0</v>
      </c>
      <c r="CF145" s="75">
        <f t="shared" si="19"/>
        <v>7352</v>
      </c>
      <c r="CG145" s="69" t="str">
        <f t="shared" si="19"/>
        <v>خ ت طب</v>
      </c>
    </row>
    <row r="146" spans="3:85" x14ac:dyDescent="0.25">
      <c r="C146" s="75">
        <v>12364</v>
      </c>
      <c r="D146" s="75">
        <v>7353</v>
      </c>
      <c r="E146" s="69" t="s">
        <v>130</v>
      </c>
      <c r="F146" s="69" t="s">
        <v>493</v>
      </c>
      <c r="H146" s="69">
        <v>120</v>
      </c>
      <c r="AS146" s="91">
        <f t="shared" si="16"/>
        <v>120</v>
      </c>
      <c r="AT146" s="69">
        <v>102.6</v>
      </c>
      <c r="AU146" s="52">
        <v>11.4</v>
      </c>
      <c r="AW146" s="69">
        <v>6</v>
      </c>
      <c r="CD146" s="91">
        <f t="shared" si="17"/>
        <v>120</v>
      </c>
      <c r="CE146" s="69">
        <f t="shared" si="18"/>
        <v>0</v>
      </c>
      <c r="CF146" s="75">
        <f t="shared" si="19"/>
        <v>7353</v>
      </c>
      <c r="CG146" s="69" t="str">
        <f t="shared" si="19"/>
        <v>خ ت طب</v>
      </c>
    </row>
    <row r="147" spans="3:85" x14ac:dyDescent="0.25">
      <c r="C147" s="75">
        <v>12366</v>
      </c>
      <c r="D147" s="75">
        <v>7354</v>
      </c>
      <c r="E147" s="69" t="s">
        <v>130</v>
      </c>
      <c r="F147" s="69" t="s">
        <v>494</v>
      </c>
      <c r="H147" s="69">
        <v>448.3</v>
      </c>
      <c r="AS147" s="91">
        <f t="shared" si="16"/>
        <v>448.3</v>
      </c>
      <c r="AT147" s="69">
        <v>314.27999999999997</v>
      </c>
      <c r="AU147" s="52">
        <v>34.92</v>
      </c>
      <c r="AV147" s="69">
        <v>79.099999999999994</v>
      </c>
      <c r="AW147" s="69">
        <v>20</v>
      </c>
      <c r="CD147" s="91">
        <f t="shared" si="17"/>
        <v>448.29999999999995</v>
      </c>
      <c r="CE147" s="69">
        <f t="shared" si="18"/>
        <v>0</v>
      </c>
      <c r="CF147" s="75">
        <f t="shared" si="19"/>
        <v>7354</v>
      </c>
      <c r="CG147" s="69" t="str">
        <f t="shared" si="19"/>
        <v>خ ت طب</v>
      </c>
    </row>
    <row r="148" spans="3:85" x14ac:dyDescent="0.25">
      <c r="C148" s="75">
        <v>12367</v>
      </c>
      <c r="D148" s="75">
        <v>7355</v>
      </c>
      <c r="E148" s="69" t="s">
        <v>130</v>
      </c>
      <c r="F148" s="69" t="s">
        <v>494</v>
      </c>
      <c r="H148" s="69">
        <v>340.35</v>
      </c>
      <c r="AS148" s="91">
        <f t="shared" si="16"/>
        <v>340.35</v>
      </c>
      <c r="AT148" s="69">
        <v>268.61</v>
      </c>
      <c r="AU148" s="52">
        <v>38.29</v>
      </c>
      <c r="AV148" s="69">
        <v>16.95</v>
      </c>
      <c r="AW148" s="69">
        <v>16.5</v>
      </c>
      <c r="CD148" s="91">
        <f t="shared" si="17"/>
        <v>340.35</v>
      </c>
      <c r="CE148" s="69">
        <f t="shared" si="18"/>
        <v>0</v>
      </c>
      <c r="CF148" s="75">
        <f t="shared" si="19"/>
        <v>7355</v>
      </c>
      <c r="CG148" s="69" t="str">
        <f t="shared" si="19"/>
        <v>خ ت طب</v>
      </c>
    </row>
    <row r="149" spans="3:85" x14ac:dyDescent="0.25">
      <c r="C149" s="75">
        <v>12368</v>
      </c>
      <c r="D149" s="75">
        <v>7356</v>
      </c>
      <c r="E149" s="69" t="s">
        <v>130</v>
      </c>
      <c r="F149" s="69" t="s">
        <v>490</v>
      </c>
      <c r="H149" s="69">
        <v>93.8</v>
      </c>
      <c r="AS149" s="91">
        <f t="shared" si="16"/>
        <v>93.8</v>
      </c>
      <c r="AT149" s="69">
        <v>58.8</v>
      </c>
      <c r="AU149" s="52">
        <v>8.4</v>
      </c>
      <c r="AV149" s="69">
        <v>22.6</v>
      </c>
      <c r="AW149" s="69">
        <v>4</v>
      </c>
      <c r="CD149" s="91">
        <f t="shared" si="17"/>
        <v>93.800000000000011</v>
      </c>
      <c r="CE149" s="69">
        <f t="shared" si="18"/>
        <v>0</v>
      </c>
      <c r="CF149" s="75">
        <f t="shared" si="19"/>
        <v>7356</v>
      </c>
      <c r="CG149" s="69" t="str">
        <f t="shared" si="19"/>
        <v>خ ت طب</v>
      </c>
    </row>
    <row r="150" spans="3:85" x14ac:dyDescent="0.25">
      <c r="C150" s="75">
        <v>12369</v>
      </c>
      <c r="D150" s="75">
        <v>7357</v>
      </c>
      <c r="E150" s="69" t="s">
        <v>130</v>
      </c>
      <c r="F150" s="69" t="s">
        <v>489</v>
      </c>
      <c r="H150" s="69">
        <v>135</v>
      </c>
      <c r="AS150" s="91">
        <f t="shared" si="16"/>
        <v>135</v>
      </c>
      <c r="AT150" s="69">
        <v>105.24</v>
      </c>
      <c r="AU150" s="52">
        <v>23.01</v>
      </c>
      <c r="AW150" s="69">
        <v>6.75</v>
      </c>
      <c r="CD150" s="91">
        <f t="shared" si="17"/>
        <v>135</v>
      </c>
      <c r="CE150" s="69">
        <f t="shared" si="18"/>
        <v>0</v>
      </c>
      <c r="CF150" s="75">
        <f t="shared" si="19"/>
        <v>7357</v>
      </c>
      <c r="CG150" s="69" t="str">
        <f t="shared" si="19"/>
        <v>خ ت طب</v>
      </c>
    </row>
    <row r="151" spans="3:85" x14ac:dyDescent="0.25">
      <c r="C151" s="75">
        <v>12370</v>
      </c>
      <c r="D151" s="75">
        <v>7358</v>
      </c>
      <c r="E151" s="69" t="s">
        <v>130</v>
      </c>
      <c r="F151" s="69" t="s">
        <v>1830</v>
      </c>
      <c r="H151" s="69">
        <v>312.89999999999998</v>
      </c>
      <c r="AS151" s="91">
        <f t="shared" si="16"/>
        <v>312.89999999999998</v>
      </c>
      <c r="AT151" s="69">
        <v>257.67</v>
      </c>
      <c r="AU151" s="52">
        <v>28.63</v>
      </c>
      <c r="AV151" s="69">
        <v>11.3</v>
      </c>
      <c r="AW151" s="69">
        <v>15.3</v>
      </c>
      <c r="CD151" s="91">
        <f t="shared" si="17"/>
        <v>312.90000000000003</v>
      </c>
      <c r="CE151" s="69">
        <f t="shared" si="18"/>
        <v>0</v>
      </c>
      <c r="CF151" s="75">
        <f t="shared" si="19"/>
        <v>7358</v>
      </c>
      <c r="CG151" s="69" t="str">
        <f t="shared" si="19"/>
        <v>خ ت طب</v>
      </c>
    </row>
    <row r="152" spans="3:85" x14ac:dyDescent="0.25">
      <c r="C152" s="75">
        <v>12371</v>
      </c>
      <c r="D152" s="75">
        <v>7359</v>
      </c>
      <c r="E152" s="69" t="s">
        <v>130</v>
      </c>
      <c r="F152" s="69" t="s">
        <v>855</v>
      </c>
      <c r="H152" s="69">
        <v>515.9</v>
      </c>
      <c r="AS152" s="91">
        <f t="shared" si="16"/>
        <v>515.9</v>
      </c>
      <c r="AT152" s="69">
        <v>332.64</v>
      </c>
      <c r="AU152" s="52">
        <v>36.96</v>
      </c>
      <c r="AV152" s="69">
        <v>124.3</v>
      </c>
      <c r="AW152" s="69">
        <v>22</v>
      </c>
      <c r="CD152" s="91">
        <f t="shared" si="17"/>
        <v>515.9</v>
      </c>
      <c r="CE152" s="69">
        <f t="shared" si="18"/>
        <v>0</v>
      </c>
      <c r="CF152" s="75">
        <f t="shared" si="19"/>
        <v>7359</v>
      </c>
      <c r="CG152" s="69" t="str">
        <f t="shared" si="19"/>
        <v>خ ت طب</v>
      </c>
    </row>
    <row r="153" spans="3:85" x14ac:dyDescent="0.25">
      <c r="C153" s="75">
        <v>12372</v>
      </c>
      <c r="D153" s="75">
        <v>7360</v>
      </c>
      <c r="E153" s="69" t="s">
        <v>130</v>
      </c>
      <c r="F153" s="69" t="s">
        <v>855</v>
      </c>
      <c r="H153" s="69">
        <v>153.80000000000001</v>
      </c>
      <c r="AS153" s="91">
        <f t="shared" si="16"/>
        <v>153.80000000000001</v>
      </c>
      <c r="AT153" s="69">
        <v>105.48</v>
      </c>
      <c r="AU153" s="52">
        <v>18.72</v>
      </c>
      <c r="AV153" s="69">
        <v>22.6</v>
      </c>
      <c r="AW153" s="69">
        <v>7</v>
      </c>
      <c r="CD153" s="91">
        <f t="shared" si="17"/>
        <v>153.80000000000001</v>
      </c>
      <c r="CE153" s="69">
        <f t="shared" si="18"/>
        <v>0</v>
      </c>
      <c r="CF153" s="75">
        <f t="shared" si="19"/>
        <v>7360</v>
      </c>
      <c r="CG153" s="69" t="str">
        <f t="shared" si="19"/>
        <v>خ ت طب</v>
      </c>
    </row>
    <row r="154" spans="3:85" x14ac:dyDescent="0.25">
      <c r="C154" s="75">
        <v>12373</v>
      </c>
      <c r="D154" s="75">
        <v>7361</v>
      </c>
      <c r="E154" s="69" t="s">
        <v>130</v>
      </c>
      <c r="F154" s="69" t="s">
        <v>855</v>
      </c>
      <c r="H154" s="69">
        <v>963.18</v>
      </c>
      <c r="AS154" s="91">
        <f t="shared" si="16"/>
        <v>963.18</v>
      </c>
      <c r="AT154" s="69">
        <v>675.54</v>
      </c>
      <c r="AU154" s="52">
        <v>132.66999999999999</v>
      </c>
      <c r="AV154" s="69">
        <v>110.18</v>
      </c>
      <c r="AW154" s="69">
        <v>44.79</v>
      </c>
      <c r="CD154" s="91">
        <f t="shared" si="17"/>
        <v>963.17999999999984</v>
      </c>
      <c r="CE154" s="69">
        <f t="shared" si="18"/>
        <v>0</v>
      </c>
      <c r="CF154" s="75">
        <f t="shared" si="19"/>
        <v>7361</v>
      </c>
      <c r="CG154" s="69" t="str">
        <f t="shared" si="19"/>
        <v>خ ت طب</v>
      </c>
    </row>
    <row r="155" spans="3:85" x14ac:dyDescent="0.25">
      <c r="C155" s="75">
        <v>12374</v>
      </c>
      <c r="D155" s="75">
        <v>7362</v>
      </c>
      <c r="E155" s="69" t="s">
        <v>130</v>
      </c>
      <c r="F155" s="69" t="s">
        <v>492</v>
      </c>
      <c r="H155" s="69">
        <v>75</v>
      </c>
      <c r="AS155" s="91">
        <f t="shared" si="16"/>
        <v>75</v>
      </c>
      <c r="AT155" s="69">
        <v>60.44</v>
      </c>
      <c r="AU155" s="52">
        <v>10.81</v>
      </c>
      <c r="AW155" s="69">
        <v>3.75</v>
      </c>
      <c r="CD155" s="91">
        <f t="shared" si="17"/>
        <v>75</v>
      </c>
      <c r="CE155" s="69">
        <f t="shared" si="18"/>
        <v>0</v>
      </c>
      <c r="CF155" s="75">
        <f t="shared" si="19"/>
        <v>7362</v>
      </c>
      <c r="CG155" s="69" t="str">
        <f t="shared" si="19"/>
        <v>خ ت طب</v>
      </c>
    </row>
    <row r="156" spans="3:85" x14ac:dyDescent="0.25">
      <c r="C156" s="75">
        <v>12375</v>
      </c>
      <c r="D156" s="75">
        <v>7363</v>
      </c>
      <c r="E156" s="69" t="s">
        <v>130</v>
      </c>
      <c r="F156" s="69" t="s">
        <v>1831</v>
      </c>
      <c r="H156" s="69">
        <v>20000</v>
      </c>
      <c r="AS156" s="91">
        <f t="shared" si="16"/>
        <v>20000</v>
      </c>
      <c r="AT156" s="69">
        <v>15072.96</v>
      </c>
      <c r="AU156" s="52">
        <v>3927.04</v>
      </c>
      <c r="AW156" s="69">
        <v>1000</v>
      </c>
      <c r="CD156" s="91">
        <f t="shared" si="17"/>
        <v>20000</v>
      </c>
      <c r="CE156" s="69">
        <f t="shared" si="18"/>
        <v>0</v>
      </c>
      <c r="CF156" s="75">
        <f t="shared" si="19"/>
        <v>7363</v>
      </c>
      <c r="CG156" s="69" t="str">
        <f t="shared" si="19"/>
        <v>خ ت طب</v>
      </c>
    </row>
    <row r="157" spans="3:85" x14ac:dyDescent="0.25">
      <c r="C157" s="75">
        <v>12376</v>
      </c>
      <c r="D157" s="75">
        <v>7364</v>
      </c>
      <c r="E157" s="69" t="s">
        <v>130</v>
      </c>
      <c r="F157" s="69" t="s">
        <v>1832</v>
      </c>
      <c r="H157" s="69">
        <v>110.35</v>
      </c>
      <c r="AS157" s="91">
        <f t="shared" si="16"/>
        <v>110.35</v>
      </c>
      <c r="AT157" s="69">
        <v>77</v>
      </c>
      <c r="AU157" s="52">
        <v>11.4</v>
      </c>
      <c r="AV157" s="69">
        <v>16.95</v>
      </c>
      <c r="AW157" s="69">
        <v>5</v>
      </c>
      <c r="CD157" s="91">
        <f t="shared" si="17"/>
        <v>110.35000000000001</v>
      </c>
      <c r="CE157" s="69">
        <f t="shared" si="18"/>
        <v>0</v>
      </c>
      <c r="CF157" s="75">
        <f t="shared" si="19"/>
        <v>7364</v>
      </c>
      <c r="CG157" s="69" t="str">
        <f t="shared" si="19"/>
        <v>خ ت طب</v>
      </c>
    </row>
    <row r="158" spans="3:85" x14ac:dyDescent="0.25">
      <c r="C158" s="75">
        <v>12377</v>
      </c>
      <c r="D158" s="75">
        <v>7365</v>
      </c>
      <c r="E158" s="69" t="s">
        <v>130</v>
      </c>
      <c r="F158" s="69" t="s">
        <v>1833</v>
      </c>
      <c r="H158" s="69">
        <v>1697.39</v>
      </c>
      <c r="AS158" s="91">
        <f t="shared" si="16"/>
        <v>1697.39</v>
      </c>
      <c r="AT158" s="69">
        <v>1028.8399999999999</v>
      </c>
      <c r="AU158" s="52">
        <v>190.91</v>
      </c>
      <c r="AV158" s="69">
        <v>405.14</v>
      </c>
      <c r="AW158" s="69">
        <v>72.5</v>
      </c>
      <c r="CD158" s="91">
        <f t="shared" si="17"/>
        <v>1697.3899999999999</v>
      </c>
      <c r="CE158" s="69">
        <f t="shared" si="18"/>
        <v>0</v>
      </c>
      <c r="CF158" s="75">
        <f t="shared" si="19"/>
        <v>7365</v>
      </c>
      <c r="CG158" s="69" t="str">
        <f t="shared" si="19"/>
        <v>خ ت طب</v>
      </c>
    </row>
    <row r="159" spans="3:85" x14ac:dyDescent="0.25">
      <c r="C159" s="75">
        <v>12378</v>
      </c>
      <c r="D159" s="75">
        <v>7366</v>
      </c>
      <c r="E159" s="69" t="s">
        <v>130</v>
      </c>
      <c r="F159" s="69" t="s">
        <v>1834</v>
      </c>
      <c r="H159" s="69">
        <v>517.75</v>
      </c>
      <c r="AS159" s="91">
        <f t="shared" si="16"/>
        <v>517.75</v>
      </c>
      <c r="AT159" s="69">
        <v>368.12</v>
      </c>
      <c r="AU159" s="52">
        <v>42.05</v>
      </c>
      <c r="AV159" s="69">
        <v>84.27</v>
      </c>
      <c r="AW159" s="69">
        <v>23.31</v>
      </c>
      <c r="CD159" s="91">
        <f t="shared" si="17"/>
        <v>517.75</v>
      </c>
      <c r="CE159" s="69">
        <f t="shared" si="18"/>
        <v>0</v>
      </c>
      <c r="CF159" s="75">
        <f t="shared" si="19"/>
        <v>7366</v>
      </c>
      <c r="CG159" s="69" t="str">
        <f t="shared" si="19"/>
        <v>خ ت طب</v>
      </c>
    </row>
    <row r="160" spans="3:85" x14ac:dyDescent="0.25">
      <c r="C160" s="75">
        <v>12379</v>
      </c>
      <c r="D160" s="75">
        <v>7367</v>
      </c>
      <c r="E160" s="69" t="s">
        <v>130</v>
      </c>
      <c r="F160" s="69" t="s">
        <v>1834</v>
      </c>
      <c r="H160" s="69">
        <v>981.27</v>
      </c>
      <c r="AS160" s="91">
        <f t="shared" si="16"/>
        <v>981.27</v>
      </c>
      <c r="AT160" s="69">
        <v>801.61</v>
      </c>
      <c r="AU160" s="52">
        <v>130.59</v>
      </c>
      <c r="AW160" s="69">
        <v>49.07</v>
      </c>
      <c r="CD160" s="91">
        <f t="shared" si="17"/>
        <v>981.2700000000001</v>
      </c>
      <c r="CE160" s="69">
        <f t="shared" si="18"/>
        <v>0</v>
      </c>
      <c r="CF160" s="75">
        <f t="shared" si="19"/>
        <v>7367</v>
      </c>
      <c r="CG160" s="69" t="str">
        <f t="shared" si="19"/>
        <v>خ ت طب</v>
      </c>
    </row>
    <row r="161" spans="2:90" x14ac:dyDescent="0.25">
      <c r="C161" s="75">
        <v>12677</v>
      </c>
      <c r="D161" s="75">
        <v>7368</v>
      </c>
      <c r="E161" s="69" t="s">
        <v>130</v>
      </c>
      <c r="F161" s="69" t="s">
        <v>1835</v>
      </c>
      <c r="H161" s="69">
        <v>2000</v>
      </c>
      <c r="AS161" s="91">
        <f t="shared" si="16"/>
        <v>2000</v>
      </c>
      <c r="AT161" s="69">
        <v>1686.7</v>
      </c>
      <c r="AU161" s="52">
        <v>213.3</v>
      </c>
      <c r="AW161" s="69">
        <v>100</v>
      </c>
      <c r="CD161" s="91">
        <f t="shared" si="17"/>
        <v>2000</v>
      </c>
      <c r="CE161" s="69">
        <f t="shared" si="18"/>
        <v>0</v>
      </c>
      <c r="CF161" s="75">
        <f t="shared" si="19"/>
        <v>7368</v>
      </c>
      <c r="CG161" s="69" t="str">
        <f t="shared" si="19"/>
        <v>خ ت طب</v>
      </c>
    </row>
    <row r="162" spans="2:90" x14ac:dyDescent="0.25">
      <c r="C162" s="75">
        <v>12676</v>
      </c>
      <c r="D162" s="75">
        <v>7369</v>
      </c>
      <c r="E162" s="69" t="s">
        <v>130</v>
      </c>
      <c r="F162" s="69" t="s">
        <v>856</v>
      </c>
      <c r="H162" s="69">
        <v>850</v>
      </c>
      <c r="AS162" s="91">
        <f t="shared" si="16"/>
        <v>850</v>
      </c>
      <c r="AT162" s="69">
        <v>721.71</v>
      </c>
      <c r="AU162" s="52">
        <v>85.79</v>
      </c>
      <c r="AW162" s="69">
        <v>42.5</v>
      </c>
      <c r="CD162" s="91">
        <f t="shared" si="17"/>
        <v>850</v>
      </c>
      <c r="CE162" s="69">
        <f t="shared" si="18"/>
        <v>0</v>
      </c>
      <c r="CF162" s="75">
        <f t="shared" si="19"/>
        <v>7369</v>
      </c>
      <c r="CG162" s="69" t="str">
        <f t="shared" si="19"/>
        <v>خ ت طب</v>
      </c>
    </row>
    <row r="163" spans="2:90" x14ac:dyDescent="0.25">
      <c r="C163" s="75">
        <v>12082</v>
      </c>
      <c r="D163" s="75">
        <v>7370</v>
      </c>
      <c r="E163" s="69" t="s">
        <v>130</v>
      </c>
      <c r="F163" s="69" t="s">
        <v>868</v>
      </c>
      <c r="H163" s="69">
        <v>293.12</v>
      </c>
      <c r="AS163" s="91">
        <f t="shared" si="16"/>
        <v>293.12</v>
      </c>
      <c r="AT163" s="69">
        <v>188.06</v>
      </c>
      <c r="AU163" s="52">
        <v>21.94</v>
      </c>
      <c r="AV163" s="69">
        <v>70.62</v>
      </c>
      <c r="AW163" s="69">
        <v>12.5</v>
      </c>
      <c r="CD163" s="91">
        <f t="shared" si="17"/>
        <v>293.12</v>
      </c>
      <c r="CE163" s="69">
        <f t="shared" si="18"/>
        <v>0</v>
      </c>
      <c r="CF163" s="75">
        <f t="shared" si="19"/>
        <v>7370</v>
      </c>
      <c r="CG163" s="69" t="str">
        <f t="shared" si="19"/>
        <v>خ ت طب</v>
      </c>
    </row>
    <row r="164" spans="2:90" x14ac:dyDescent="0.25">
      <c r="C164" s="75">
        <v>12081</v>
      </c>
      <c r="D164" s="75">
        <v>7371</v>
      </c>
      <c r="E164" s="69" t="s">
        <v>130</v>
      </c>
      <c r="F164" s="69" t="s">
        <v>868</v>
      </c>
      <c r="H164" s="69">
        <v>762.12</v>
      </c>
      <c r="AS164" s="91">
        <f t="shared" si="16"/>
        <v>762.12</v>
      </c>
      <c r="AT164" s="69">
        <v>489.02</v>
      </c>
      <c r="AU164" s="52">
        <v>56.98</v>
      </c>
      <c r="AV164" s="69">
        <v>183.62</v>
      </c>
      <c r="AW164" s="69">
        <v>32.5</v>
      </c>
      <c r="CD164" s="91">
        <f t="shared" si="17"/>
        <v>762.12</v>
      </c>
      <c r="CE164" s="69">
        <f t="shared" si="18"/>
        <v>0</v>
      </c>
      <c r="CF164" s="75">
        <f t="shared" si="19"/>
        <v>7371</v>
      </c>
      <c r="CG164" s="69" t="str">
        <f t="shared" si="19"/>
        <v>خ ت طب</v>
      </c>
    </row>
    <row r="165" spans="2:90" s="68" customFormat="1" x14ac:dyDescent="0.25">
      <c r="C165" s="75"/>
      <c r="D165" s="67"/>
      <c r="F165" s="68" t="s">
        <v>1836</v>
      </c>
      <c r="H165" s="68">
        <f t="shared" ref="H165:BS165" si="20">SUM(H45:H164)</f>
        <v>2880851.7100000009</v>
      </c>
      <c r="I165" s="68">
        <f t="shared" si="20"/>
        <v>0</v>
      </c>
      <c r="J165" s="68">
        <f t="shared" si="20"/>
        <v>0</v>
      </c>
      <c r="K165" s="68">
        <f t="shared" si="20"/>
        <v>0</v>
      </c>
      <c r="L165" s="68">
        <f t="shared" si="20"/>
        <v>0</v>
      </c>
      <c r="M165" s="68">
        <f t="shared" si="20"/>
        <v>0</v>
      </c>
      <c r="N165" s="68">
        <f t="shared" si="20"/>
        <v>0</v>
      </c>
      <c r="O165" s="68">
        <f t="shared" si="20"/>
        <v>0</v>
      </c>
      <c r="P165" s="68">
        <f t="shared" si="20"/>
        <v>0</v>
      </c>
      <c r="Q165" s="68">
        <f t="shared" si="20"/>
        <v>0</v>
      </c>
      <c r="R165" s="68">
        <f t="shared" si="20"/>
        <v>0</v>
      </c>
      <c r="S165" s="68">
        <f t="shared" si="20"/>
        <v>0</v>
      </c>
      <c r="T165" s="68">
        <f t="shared" si="20"/>
        <v>0</v>
      </c>
      <c r="U165" s="68">
        <f t="shared" si="20"/>
        <v>0</v>
      </c>
      <c r="V165" s="68">
        <f t="shared" si="20"/>
        <v>0</v>
      </c>
      <c r="W165" s="68">
        <f t="shared" si="20"/>
        <v>0</v>
      </c>
      <c r="X165" s="68">
        <f t="shared" si="20"/>
        <v>0</v>
      </c>
      <c r="Y165" s="68">
        <f t="shared" si="20"/>
        <v>0</v>
      </c>
      <c r="Z165" s="68">
        <f t="shared" si="20"/>
        <v>0</v>
      </c>
      <c r="AA165" s="68">
        <f t="shared" si="20"/>
        <v>0</v>
      </c>
      <c r="AB165" s="68">
        <f t="shared" si="20"/>
        <v>0</v>
      </c>
      <c r="AC165" s="68">
        <f t="shared" si="20"/>
        <v>0</v>
      </c>
      <c r="AD165" s="68">
        <f t="shared" si="20"/>
        <v>0</v>
      </c>
      <c r="AE165" s="68">
        <f t="shared" si="20"/>
        <v>0</v>
      </c>
      <c r="AF165" s="68">
        <f t="shared" si="20"/>
        <v>0</v>
      </c>
      <c r="AG165" s="68">
        <f t="shared" si="20"/>
        <v>0</v>
      </c>
      <c r="AH165" s="68">
        <f t="shared" si="20"/>
        <v>0</v>
      </c>
      <c r="AI165" s="68">
        <f t="shared" si="20"/>
        <v>0</v>
      </c>
      <c r="AJ165" s="68">
        <f t="shared" si="20"/>
        <v>0</v>
      </c>
      <c r="AK165" s="68">
        <f t="shared" si="20"/>
        <v>0</v>
      </c>
      <c r="AL165" s="68">
        <f t="shared" si="20"/>
        <v>0</v>
      </c>
      <c r="AM165" s="68">
        <f t="shared" si="20"/>
        <v>0</v>
      </c>
      <c r="AN165" s="68">
        <f t="shared" si="20"/>
        <v>0</v>
      </c>
      <c r="AP165" s="68">
        <f t="shared" si="20"/>
        <v>0</v>
      </c>
      <c r="AQ165" s="68">
        <f t="shared" si="20"/>
        <v>0</v>
      </c>
      <c r="AR165" s="68">
        <f t="shared" si="20"/>
        <v>0</v>
      </c>
      <c r="AS165" s="91">
        <f t="shared" si="20"/>
        <v>2880851.7100000009</v>
      </c>
      <c r="AT165" s="68">
        <f t="shared" si="20"/>
        <v>2473012.7300000014</v>
      </c>
      <c r="AU165" s="68">
        <f t="shared" si="20"/>
        <v>299408.31999999989</v>
      </c>
      <c r="AV165" s="68">
        <f t="shared" si="20"/>
        <v>106705.91000000002</v>
      </c>
      <c r="AW165" s="68">
        <f t="shared" si="20"/>
        <v>1724.7499999999998</v>
      </c>
      <c r="AX165" s="68">
        <f t="shared" si="20"/>
        <v>0</v>
      </c>
      <c r="AY165" s="68">
        <f t="shared" si="20"/>
        <v>0</v>
      </c>
      <c r="AZ165" s="68">
        <f t="shared" si="20"/>
        <v>0</v>
      </c>
      <c r="BA165" s="68">
        <f t="shared" si="20"/>
        <v>0</v>
      </c>
      <c r="BB165" s="68">
        <f t="shared" si="20"/>
        <v>0</v>
      </c>
      <c r="BC165" s="68">
        <f t="shared" si="20"/>
        <v>0</v>
      </c>
      <c r="BD165" s="68">
        <f t="shared" si="20"/>
        <v>0</v>
      </c>
      <c r="BE165" s="68">
        <f t="shared" si="20"/>
        <v>0</v>
      </c>
      <c r="BF165" s="68">
        <f t="shared" si="20"/>
        <v>0</v>
      </c>
      <c r="BG165" s="68">
        <f t="shared" si="20"/>
        <v>0</v>
      </c>
      <c r="BH165" s="68">
        <f t="shared" si="20"/>
        <v>0</v>
      </c>
      <c r="BI165" s="68">
        <f t="shared" si="20"/>
        <v>0</v>
      </c>
      <c r="BJ165" s="68">
        <f t="shared" si="20"/>
        <v>0</v>
      </c>
      <c r="BK165" s="68">
        <f t="shared" si="20"/>
        <v>0</v>
      </c>
      <c r="BL165" s="68">
        <f t="shared" si="20"/>
        <v>0</v>
      </c>
      <c r="BM165" s="68">
        <f t="shared" si="20"/>
        <v>0</v>
      </c>
      <c r="BN165" s="68">
        <f t="shared" si="20"/>
        <v>0</v>
      </c>
      <c r="BO165" s="68">
        <f t="shared" si="20"/>
        <v>0</v>
      </c>
      <c r="BP165" s="68">
        <f t="shared" si="20"/>
        <v>0</v>
      </c>
      <c r="BQ165" s="68">
        <f t="shared" si="20"/>
        <v>0</v>
      </c>
      <c r="BR165" s="68">
        <f t="shared" si="20"/>
        <v>0</v>
      </c>
      <c r="BS165" s="68">
        <f t="shared" si="20"/>
        <v>0</v>
      </c>
      <c r="BT165" s="68">
        <f t="shared" ref="BT165:CE165" si="21">SUM(BT45:BT164)</f>
        <v>0</v>
      </c>
      <c r="BU165" s="68">
        <f t="shared" si="21"/>
        <v>0</v>
      </c>
      <c r="BV165" s="68">
        <f t="shared" si="21"/>
        <v>0</v>
      </c>
      <c r="BW165" s="68">
        <f t="shared" si="21"/>
        <v>0</v>
      </c>
      <c r="BX165" s="68">
        <f t="shared" si="21"/>
        <v>0</v>
      </c>
      <c r="BY165" s="68">
        <f t="shared" si="21"/>
        <v>0</v>
      </c>
      <c r="BZ165" s="68">
        <f t="shared" si="21"/>
        <v>0</v>
      </c>
      <c r="CA165" s="68">
        <f t="shared" si="21"/>
        <v>0</v>
      </c>
      <c r="CB165" s="68">
        <f t="shared" si="21"/>
        <v>0</v>
      </c>
      <c r="CC165" s="68">
        <f t="shared" si="21"/>
        <v>0</v>
      </c>
      <c r="CD165" s="91">
        <f t="shared" si="21"/>
        <v>2880851.7100000009</v>
      </c>
      <c r="CE165" s="68">
        <f t="shared" si="21"/>
        <v>0</v>
      </c>
      <c r="CG165" s="68">
        <f t="shared" ref="CG165:CL165" si="22">SUM(CG45:CG164)</f>
        <v>0</v>
      </c>
      <c r="CH165" s="68">
        <f t="shared" si="22"/>
        <v>0</v>
      </c>
      <c r="CI165" s="68">
        <f t="shared" si="22"/>
        <v>0</v>
      </c>
      <c r="CJ165" s="68">
        <f t="shared" si="22"/>
        <v>0</v>
      </c>
      <c r="CK165" s="68">
        <f t="shared" si="22"/>
        <v>0</v>
      </c>
      <c r="CL165" s="68">
        <f t="shared" si="22"/>
        <v>0</v>
      </c>
    </row>
    <row r="166" spans="2:90" x14ac:dyDescent="0.25">
      <c r="B166" s="69">
        <v>1</v>
      </c>
      <c r="C166" s="75">
        <v>12694</v>
      </c>
      <c r="D166" s="75">
        <v>7372</v>
      </c>
      <c r="E166" s="69" t="s">
        <v>78</v>
      </c>
      <c r="F166" s="69" t="s">
        <v>1770</v>
      </c>
      <c r="T166" s="69">
        <v>512171.61</v>
      </c>
      <c r="AS166" s="91">
        <f t="shared" ref="AS166:AS229" si="23">SUM(H166:AR166)</f>
        <v>512171.61</v>
      </c>
      <c r="AT166" s="69">
        <v>512171.61</v>
      </c>
      <c r="CD166" s="91">
        <f t="shared" ref="CD166:CD229" si="24">SUM(AT166:CC166)</f>
        <v>512171.61</v>
      </c>
      <c r="CE166" s="69">
        <f t="shared" ref="CE166:CE229" si="25">+CD166-AS166</f>
        <v>0</v>
      </c>
      <c r="CF166" s="75">
        <f t="shared" ref="CF166:CG229" si="26">+D166</f>
        <v>7372</v>
      </c>
      <c r="CG166" s="69" t="str">
        <f t="shared" si="26"/>
        <v>برنامج دولى</v>
      </c>
    </row>
    <row r="167" spans="2:90" x14ac:dyDescent="0.25">
      <c r="B167" s="69">
        <v>2</v>
      </c>
      <c r="C167" s="75">
        <v>12696</v>
      </c>
      <c r="D167" s="75">
        <v>7373</v>
      </c>
      <c r="E167" s="69" t="s">
        <v>128</v>
      </c>
      <c r="F167" s="69" t="s">
        <v>1770</v>
      </c>
      <c r="T167" s="69">
        <v>28510.15</v>
      </c>
      <c r="AS167" s="91">
        <f t="shared" si="23"/>
        <v>28510.15</v>
      </c>
      <c r="AT167" s="69">
        <v>28510.15</v>
      </c>
      <c r="CD167" s="91">
        <f t="shared" si="24"/>
        <v>28510.15</v>
      </c>
      <c r="CE167" s="69">
        <f t="shared" si="25"/>
        <v>0</v>
      </c>
      <c r="CF167" s="75">
        <f t="shared" si="26"/>
        <v>7373</v>
      </c>
      <c r="CG167" s="69" t="str">
        <f t="shared" si="26"/>
        <v>مركز مؤتمرات</v>
      </c>
    </row>
    <row r="168" spans="2:90" x14ac:dyDescent="0.25">
      <c r="B168" s="69">
        <v>3</v>
      </c>
      <c r="C168" s="75">
        <v>12695</v>
      </c>
      <c r="D168" s="75">
        <v>7374</v>
      </c>
      <c r="E168" s="69" t="s">
        <v>130</v>
      </c>
      <c r="F168" s="69" t="s">
        <v>1770</v>
      </c>
      <c r="T168" s="69">
        <v>2224.34</v>
      </c>
      <c r="AS168" s="91">
        <f t="shared" si="23"/>
        <v>2224.34</v>
      </c>
      <c r="AT168" s="69">
        <v>2224.34</v>
      </c>
      <c r="CD168" s="91">
        <f t="shared" si="24"/>
        <v>2224.34</v>
      </c>
      <c r="CE168" s="69">
        <f t="shared" si="25"/>
        <v>0</v>
      </c>
      <c r="CF168" s="75">
        <f t="shared" si="26"/>
        <v>7374</v>
      </c>
      <c r="CG168" s="69" t="str">
        <f t="shared" si="26"/>
        <v>خ ت طب</v>
      </c>
    </row>
    <row r="169" spans="2:90" x14ac:dyDescent="0.25">
      <c r="B169" s="69">
        <v>4</v>
      </c>
      <c r="C169" s="75">
        <v>11873</v>
      </c>
      <c r="D169" s="75">
        <v>7375</v>
      </c>
      <c r="E169" s="69" t="s">
        <v>78</v>
      </c>
      <c r="F169" s="69" t="s">
        <v>1837</v>
      </c>
      <c r="I169" s="69">
        <v>8000</v>
      </c>
      <c r="P169" s="69">
        <v>8000</v>
      </c>
      <c r="AS169" s="91">
        <f t="shared" si="23"/>
        <v>16000</v>
      </c>
      <c r="AT169" s="69">
        <v>8000</v>
      </c>
      <c r="BO169" s="69">
        <v>8000</v>
      </c>
      <c r="CD169" s="91">
        <f t="shared" si="24"/>
        <v>16000</v>
      </c>
      <c r="CE169" s="69">
        <f t="shared" si="25"/>
        <v>0</v>
      </c>
      <c r="CF169" s="75">
        <f t="shared" si="26"/>
        <v>7375</v>
      </c>
      <c r="CG169" s="69" t="str">
        <f t="shared" si="26"/>
        <v>برنامج دولى</v>
      </c>
    </row>
    <row r="170" spans="2:90" x14ac:dyDescent="0.25">
      <c r="B170" s="69">
        <v>5</v>
      </c>
      <c r="D170" s="75">
        <v>7376</v>
      </c>
      <c r="E170" s="69" t="s">
        <v>1431</v>
      </c>
      <c r="F170" s="69" t="s">
        <v>899</v>
      </c>
      <c r="AS170" s="91">
        <f t="shared" si="23"/>
        <v>0</v>
      </c>
      <c r="CD170" s="91">
        <f t="shared" si="24"/>
        <v>0</v>
      </c>
      <c r="CE170" s="69">
        <f t="shared" si="25"/>
        <v>0</v>
      </c>
      <c r="CF170" s="75">
        <f t="shared" si="26"/>
        <v>7376</v>
      </c>
      <c r="CG170" s="69" t="str">
        <f t="shared" si="26"/>
        <v>لاب فقط</v>
      </c>
    </row>
    <row r="171" spans="2:90" x14ac:dyDescent="0.25">
      <c r="B171" s="69">
        <v>6</v>
      </c>
      <c r="C171" s="75">
        <v>12255</v>
      </c>
      <c r="D171" s="75">
        <v>7377</v>
      </c>
      <c r="E171" s="69" t="s">
        <v>78</v>
      </c>
      <c r="F171" s="69" t="s">
        <v>1838</v>
      </c>
      <c r="I171" s="69">
        <v>520</v>
      </c>
      <c r="AS171" s="91">
        <f t="shared" si="23"/>
        <v>520</v>
      </c>
      <c r="AT171" s="69">
        <v>520</v>
      </c>
      <c r="CD171" s="91">
        <f t="shared" si="24"/>
        <v>520</v>
      </c>
      <c r="CE171" s="69">
        <f t="shared" si="25"/>
        <v>0</v>
      </c>
      <c r="CF171" s="75">
        <f t="shared" si="26"/>
        <v>7377</v>
      </c>
      <c r="CG171" s="69" t="str">
        <f t="shared" si="26"/>
        <v>برنامج دولى</v>
      </c>
    </row>
    <row r="172" spans="2:90" x14ac:dyDescent="0.25">
      <c r="B172" s="69">
        <v>7</v>
      </c>
      <c r="C172" s="75">
        <v>12302</v>
      </c>
      <c r="D172" s="75">
        <v>7378</v>
      </c>
      <c r="E172" s="69" t="s">
        <v>78</v>
      </c>
      <c r="F172" s="69" t="s">
        <v>1839</v>
      </c>
      <c r="I172" s="69">
        <v>340</v>
      </c>
      <c r="AS172" s="91">
        <f t="shared" si="23"/>
        <v>340</v>
      </c>
      <c r="AT172" s="69">
        <v>340</v>
      </c>
      <c r="CD172" s="91">
        <f t="shared" si="24"/>
        <v>340</v>
      </c>
      <c r="CE172" s="69">
        <f t="shared" si="25"/>
        <v>0</v>
      </c>
      <c r="CF172" s="75">
        <f t="shared" si="26"/>
        <v>7378</v>
      </c>
      <c r="CG172" s="69" t="str">
        <f t="shared" si="26"/>
        <v>برنامج دولى</v>
      </c>
    </row>
    <row r="173" spans="2:90" x14ac:dyDescent="0.25">
      <c r="B173" s="69">
        <v>8</v>
      </c>
      <c r="C173" s="75">
        <v>12253</v>
      </c>
      <c r="D173" s="75">
        <v>7379</v>
      </c>
      <c r="E173" s="69" t="s">
        <v>78</v>
      </c>
      <c r="F173" s="69" t="s">
        <v>1840</v>
      </c>
      <c r="I173" s="69">
        <v>4500.72</v>
      </c>
      <c r="AS173" s="91">
        <f t="shared" si="23"/>
        <v>4500.72</v>
      </c>
      <c r="AT173" s="69">
        <v>4500.72</v>
      </c>
      <c r="CD173" s="91">
        <f t="shared" si="24"/>
        <v>4500.72</v>
      </c>
      <c r="CE173" s="69">
        <f t="shared" si="25"/>
        <v>0</v>
      </c>
      <c r="CF173" s="75">
        <f t="shared" si="26"/>
        <v>7379</v>
      </c>
      <c r="CG173" s="69" t="str">
        <f t="shared" si="26"/>
        <v>برنامج دولى</v>
      </c>
    </row>
    <row r="174" spans="2:90" x14ac:dyDescent="0.25">
      <c r="B174" s="69">
        <v>9</v>
      </c>
      <c r="C174" s="75">
        <v>10101</v>
      </c>
      <c r="D174" s="75">
        <v>7380</v>
      </c>
      <c r="E174" s="69" t="s">
        <v>78</v>
      </c>
      <c r="F174" s="69" t="s">
        <v>1841</v>
      </c>
      <c r="I174" s="69">
        <v>55200</v>
      </c>
      <c r="AS174" s="91">
        <f t="shared" si="23"/>
        <v>55200</v>
      </c>
      <c r="AT174" s="69">
        <v>48867.95</v>
      </c>
      <c r="AU174" s="52">
        <v>1598.4</v>
      </c>
      <c r="AW174" s="69">
        <v>5</v>
      </c>
      <c r="BG174" s="69">
        <v>1452.65</v>
      </c>
      <c r="BH174" s="69">
        <v>80</v>
      </c>
      <c r="BI174" s="69">
        <f>218*2</f>
        <v>436</v>
      </c>
      <c r="CC174" s="69">
        <v>2760</v>
      </c>
      <c r="CD174" s="91">
        <f t="shared" si="24"/>
        <v>55200</v>
      </c>
      <c r="CE174" s="69">
        <f t="shared" si="25"/>
        <v>0</v>
      </c>
      <c r="CF174" s="75">
        <f t="shared" si="26"/>
        <v>7380</v>
      </c>
      <c r="CG174" s="69" t="str">
        <f t="shared" si="26"/>
        <v>برنامج دولى</v>
      </c>
    </row>
    <row r="175" spans="2:90" ht="54" x14ac:dyDescent="0.25">
      <c r="B175" s="69">
        <v>10</v>
      </c>
      <c r="C175" s="75">
        <v>11867</v>
      </c>
      <c r="D175" s="75">
        <v>7381</v>
      </c>
      <c r="E175" s="69" t="s">
        <v>121</v>
      </c>
      <c r="F175" s="77" t="s">
        <v>1842</v>
      </c>
      <c r="I175" s="69">
        <v>4924.8</v>
      </c>
      <c r="AS175" s="91">
        <f t="shared" si="23"/>
        <v>4924.8</v>
      </c>
      <c r="AT175" s="69">
        <v>4138.75</v>
      </c>
      <c r="AU175" s="52">
        <f>64+192+34.2</f>
        <v>290.2</v>
      </c>
      <c r="AW175" s="69">
        <v>5</v>
      </c>
      <c r="BG175" s="69">
        <v>129.6</v>
      </c>
      <c r="BH175" s="69">
        <v>76</v>
      </c>
      <c r="BI175" s="69">
        <f>19.5*2</f>
        <v>39</v>
      </c>
      <c r="BJ175" s="69">
        <v>246.25</v>
      </c>
      <c r="CD175" s="91">
        <f t="shared" si="24"/>
        <v>4924.8</v>
      </c>
      <c r="CE175" s="69">
        <f t="shared" si="25"/>
        <v>0</v>
      </c>
      <c r="CF175" s="75">
        <f t="shared" si="26"/>
        <v>7381</v>
      </c>
      <c r="CG175" s="69" t="str">
        <f t="shared" si="26"/>
        <v>ماليزى اسنان</v>
      </c>
    </row>
    <row r="176" spans="2:90" x14ac:dyDescent="0.25">
      <c r="B176" s="69">
        <v>11</v>
      </c>
      <c r="C176" s="75">
        <v>9250</v>
      </c>
      <c r="D176" s="75">
        <v>7382</v>
      </c>
      <c r="E176" s="69" t="s">
        <v>132</v>
      </c>
      <c r="F176" s="69" t="s">
        <v>1843</v>
      </c>
      <c r="I176" s="69">
        <v>2295</v>
      </c>
      <c r="AS176" s="91">
        <f t="shared" si="23"/>
        <v>2295</v>
      </c>
      <c r="AT176" s="69">
        <v>2093.75</v>
      </c>
      <c r="AU176" s="52">
        <v>148.30000000000001</v>
      </c>
      <c r="BG176" s="69">
        <v>22.95</v>
      </c>
      <c r="BH176" s="69">
        <v>30</v>
      </c>
      <c r="CD176" s="91">
        <f t="shared" si="24"/>
        <v>2295</v>
      </c>
      <c r="CE176" s="69">
        <f t="shared" si="25"/>
        <v>0</v>
      </c>
      <c r="CF176" s="75">
        <f t="shared" si="26"/>
        <v>7382</v>
      </c>
      <c r="CG176" s="69" t="str">
        <f t="shared" si="26"/>
        <v>صيدلة اكلينيكى</v>
      </c>
    </row>
    <row r="177" spans="2:85" x14ac:dyDescent="0.25">
      <c r="B177" s="69">
        <v>12</v>
      </c>
      <c r="C177" s="75">
        <v>11041</v>
      </c>
      <c r="D177" s="75">
        <v>7383</v>
      </c>
      <c r="E177" s="69" t="s">
        <v>119</v>
      </c>
      <c r="F177" s="69" t="s">
        <v>1844</v>
      </c>
      <c r="X177" s="69">
        <v>3350</v>
      </c>
      <c r="AS177" s="91">
        <f t="shared" si="23"/>
        <v>3350</v>
      </c>
      <c r="AT177" s="69">
        <v>3350</v>
      </c>
      <c r="CD177" s="91">
        <f t="shared" si="24"/>
        <v>3350</v>
      </c>
      <c r="CE177" s="69">
        <f t="shared" si="25"/>
        <v>0</v>
      </c>
      <c r="CF177" s="75">
        <f t="shared" si="26"/>
        <v>7383</v>
      </c>
      <c r="CG177" s="69" t="str">
        <f t="shared" si="26"/>
        <v>خ ت صيدلة</v>
      </c>
    </row>
    <row r="178" spans="2:85" ht="54" x14ac:dyDescent="0.25">
      <c r="B178" s="77" t="s">
        <v>1845</v>
      </c>
      <c r="C178" s="75">
        <v>13048</v>
      </c>
      <c r="D178" s="75">
        <v>7384</v>
      </c>
      <c r="E178" s="69" t="s">
        <v>119</v>
      </c>
      <c r="F178" s="77" t="s">
        <v>1846</v>
      </c>
      <c r="X178" s="69">
        <v>356225.44</v>
      </c>
      <c r="AS178" s="91">
        <f t="shared" si="23"/>
        <v>356225.44</v>
      </c>
      <c r="AT178" s="69">
        <v>356225.44</v>
      </c>
      <c r="CD178" s="91">
        <f t="shared" si="24"/>
        <v>356225.44</v>
      </c>
      <c r="CE178" s="69">
        <f t="shared" si="25"/>
        <v>0</v>
      </c>
      <c r="CF178" s="75">
        <f t="shared" si="26"/>
        <v>7384</v>
      </c>
      <c r="CG178" s="69" t="str">
        <f t="shared" si="26"/>
        <v>خ ت صيدلة</v>
      </c>
    </row>
    <row r="179" spans="2:85" ht="36" x14ac:dyDescent="0.25">
      <c r="B179" s="77" t="s">
        <v>1847</v>
      </c>
      <c r="C179" s="75">
        <v>10774</v>
      </c>
      <c r="D179" s="75">
        <v>7385</v>
      </c>
      <c r="E179" s="69" t="s">
        <v>119</v>
      </c>
      <c r="F179" s="69" t="s">
        <v>1848</v>
      </c>
      <c r="R179" s="69">
        <v>2514.85</v>
      </c>
      <c r="AS179" s="91">
        <f t="shared" si="23"/>
        <v>2514.85</v>
      </c>
      <c r="AT179" s="69">
        <v>2514.85</v>
      </c>
      <c r="CD179" s="91">
        <f t="shared" si="24"/>
        <v>2514.85</v>
      </c>
      <c r="CE179" s="69">
        <f t="shared" si="25"/>
        <v>0</v>
      </c>
      <c r="CF179" s="75">
        <f t="shared" si="26"/>
        <v>7385</v>
      </c>
      <c r="CG179" s="69" t="str">
        <f t="shared" si="26"/>
        <v>خ ت صيدلة</v>
      </c>
    </row>
    <row r="180" spans="2:85" x14ac:dyDescent="0.25">
      <c r="B180" s="69">
        <v>15</v>
      </c>
      <c r="C180" s="75">
        <v>12698</v>
      </c>
      <c r="D180" s="75">
        <v>7386</v>
      </c>
      <c r="E180" s="69" t="s">
        <v>119</v>
      </c>
      <c r="F180" s="69" t="s">
        <v>1770</v>
      </c>
      <c r="T180" s="69">
        <v>4863.4399999999996</v>
      </c>
      <c r="AS180" s="91">
        <f t="shared" si="23"/>
        <v>4863.4399999999996</v>
      </c>
      <c r="AT180" s="69">
        <v>4863.4399999999996</v>
      </c>
      <c r="CD180" s="91">
        <f t="shared" si="24"/>
        <v>4863.4399999999996</v>
      </c>
      <c r="CE180" s="69">
        <f t="shared" si="25"/>
        <v>0</v>
      </c>
      <c r="CF180" s="75">
        <f t="shared" si="26"/>
        <v>7386</v>
      </c>
      <c r="CG180" s="69" t="str">
        <f t="shared" si="26"/>
        <v>خ ت صيدلة</v>
      </c>
    </row>
    <row r="181" spans="2:85" x14ac:dyDescent="0.25">
      <c r="B181" s="69">
        <v>16</v>
      </c>
      <c r="C181" s="75">
        <v>12697</v>
      </c>
      <c r="D181" s="75">
        <v>7387</v>
      </c>
      <c r="E181" s="69" t="s">
        <v>132</v>
      </c>
      <c r="F181" s="69" t="s">
        <v>1770</v>
      </c>
      <c r="T181" s="69">
        <v>61658.94</v>
      </c>
      <c r="AS181" s="91">
        <f t="shared" si="23"/>
        <v>61658.94</v>
      </c>
      <c r="AT181" s="69">
        <v>61658.94</v>
      </c>
      <c r="CD181" s="91">
        <f t="shared" si="24"/>
        <v>61658.94</v>
      </c>
      <c r="CE181" s="69">
        <f t="shared" si="25"/>
        <v>0</v>
      </c>
      <c r="CF181" s="75">
        <f t="shared" si="26"/>
        <v>7387</v>
      </c>
      <c r="CG181" s="69" t="str">
        <f t="shared" si="26"/>
        <v>صيدلة اكلينيكى</v>
      </c>
    </row>
    <row r="182" spans="2:85" x14ac:dyDescent="0.25">
      <c r="B182" s="69">
        <v>17</v>
      </c>
      <c r="C182" s="75">
        <v>12699</v>
      </c>
      <c r="D182" s="75">
        <v>7388</v>
      </c>
      <c r="E182" s="69" t="s">
        <v>121</v>
      </c>
      <c r="F182" s="69" t="s">
        <v>1770</v>
      </c>
      <c r="T182" s="69">
        <v>393419.99</v>
      </c>
      <c r="AS182" s="91">
        <f t="shared" si="23"/>
        <v>393419.99</v>
      </c>
      <c r="AT182" s="69">
        <v>393419.99</v>
      </c>
      <c r="CD182" s="91">
        <f t="shared" si="24"/>
        <v>393419.99</v>
      </c>
      <c r="CE182" s="69">
        <f t="shared" si="25"/>
        <v>0</v>
      </c>
      <c r="CF182" s="75">
        <f t="shared" si="26"/>
        <v>7388</v>
      </c>
      <c r="CG182" s="69" t="str">
        <f t="shared" si="26"/>
        <v>ماليزى اسنان</v>
      </c>
    </row>
    <row r="183" spans="2:85" ht="36" x14ac:dyDescent="0.25">
      <c r="B183" s="69">
        <v>18</v>
      </c>
      <c r="C183" s="75">
        <v>12700</v>
      </c>
      <c r="D183" s="75">
        <v>7389</v>
      </c>
      <c r="E183" s="69" t="s">
        <v>137</v>
      </c>
      <c r="F183" s="77" t="s">
        <v>1770</v>
      </c>
      <c r="T183" s="69">
        <v>117086.74</v>
      </c>
      <c r="AS183" s="91">
        <f t="shared" si="23"/>
        <v>117086.74</v>
      </c>
      <c r="AT183" s="69">
        <v>117086.74</v>
      </c>
      <c r="CD183" s="91">
        <f t="shared" si="24"/>
        <v>117086.74</v>
      </c>
      <c r="CE183" s="69">
        <f t="shared" si="25"/>
        <v>0</v>
      </c>
      <c r="CF183" s="75">
        <f t="shared" si="26"/>
        <v>7389</v>
      </c>
      <c r="CG183" s="69" t="str">
        <f t="shared" si="26"/>
        <v xml:space="preserve">خدمة عامة </v>
      </c>
    </row>
    <row r="184" spans="2:85" x14ac:dyDescent="0.25">
      <c r="B184" s="69">
        <v>19</v>
      </c>
      <c r="C184" s="75">
        <v>12701</v>
      </c>
      <c r="D184" s="75">
        <v>7390</v>
      </c>
      <c r="E184" s="69" t="s">
        <v>123</v>
      </c>
      <c r="F184" s="69" t="s">
        <v>1770</v>
      </c>
      <c r="T184" s="69">
        <v>48752.61</v>
      </c>
      <c r="AS184" s="91">
        <f t="shared" si="23"/>
        <v>48752.61</v>
      </c>
      <c r="AT184" s="69">
        <v>48752.61</v>
      </c>
      <c r="CD184" s="91">
        <f t="shared" si="24"/>
        <v>48752.61</v>
      </c>
      <c r="CE184" s="69">
        <f t="shared" si="25"/>
        <v>0</v>
      </c>
      <c r="CF184" s="75">
        <f t="shared" si="26"/>
        <v>7390</v>
      </c>
      <c r="CG184" s="69" t="str">
        <f t="shared" si="26"/>
        <v>خ ت اسنان</v>
      </c>
    </row>
    <row r="185" spans="2:85" x14ac:dyDescent="0.25">
      <c r="B185" s="69">
        <v>20</v>
      </c>
      <c r="C185" s="75">
        <v>12702</v>
      </c>
      <c r="D185" s="75">
        <v>7391</v>
      </c>
      <c r="E185" s="69" t="s">
        <v>125</v>
      </c>
      <c r="F185" s="69" t="s">
        <v>1770</v>
      </c>
      <c r="T185" s="69">
        <v>519.79999999999995</v>
      </c>
      <c r="AS185" s="91">
        <f t="shared" si="23"/>
        <v>519.79999999999995</v>
      </c>
      <c r="AT185" s="69">
        <v>519.79999999999995</v>
      </c>
      <c r="CD185" s="91">
        <f t="shared" si="24"/>
        <v>519.79999999999995</v>
      </c>
      <c r="CE185" s="69">
        <f t="shared" si="25"/>
        <v>0</v>
      </c>
      <c r="CF185" s="75">
        <f t="shared" si="26"/>
        <v>7391</v>
      </c>
      <c r="CG185" s="69" t="str">
        <f t="shared" si="26"/>
        <v>اختبار مواد</v>
      </c>
    </row>
    <row r="186" spans="2:85" x14ac:dyDescent="0.25">
      <c r="C186" s="75">
        <v>1326</v>
      </c>
      <c r="D186" s="75">
        <v>7392</v>
      </c>
      <c r="E186" s="69" t="s">
        <v>132</v>
      </c>
      <c r="F186" s="69" t="s">
        <v>1849</v>
      </c>
      <c r="H186" s="69">
        <v>800</v>
      </c>
      <c r="AS186" s="91">
        <f t="shared" si="23"/>
        <v>800</v>
      </c>
      <c r="AT186" s="69">
        <v>714.75</v>
      </c>
      <c r="AU186" s="52">
        <v>85.25</v>
      </c>
      <c r="CD186" s="91">
        <f t="shared" si="24"/>
        <v>800</v>
      </c>
      <c r="CE186" s="69">
        <f t="shared" si="25"/>
        <v>0</v>
      </c>
      <c r="CF186" s="75">
        <f t="shared" si="26"/>
        <v>7392</v>
      </c>
      <c r="CG186" s="69" t="str">
        <f t="shared" si="26"/>
        <v>صيدلة اكلينيكى</v>
      </c>
    </row>
    <row r="187" spans="2:85" x14ac:dyDescent="0.25">
      <c r="C187" s="75">
        <v>12322</v>
      </c>
      <c r="D187" s="75">
        <v>7393</v>
      </c>
      <c r="E187" s="69" t="s">
        <v>132</v>
      </c>
      <c r="F187" s="69" t="s">
        <v>1232</v>
      </c>
      <c r="H187" s="69">
        <v>26568.79</v>
      </c>
      <c r="AS187" s="91">
        <f t="shared" si="23"/>
        <v>26568.79</v>
      </c>
      <c r="AT187" s="69">
        <v>17791.900000000001</v>
      </c>
      <c r="AU187" s="52">
        <v>2375.5</v>
      </c>
      <c r="AV187" s="69">
        <v>6401.39</v>
      </c>
      <c r="CD187" s="91">
        <f t="shared" si="24"/>
        <v>26568.79</v>
      </c>
      <c r="CE187" s="69">
        <f t="shared" si="25"/>
        <v>0</v>
      </c>
      <c r="CF187" s="75">
        <f t="shared" si="26"/>
        <v>7393</v>
      </c>
      <c r="CG187" s="69" t="str">
        <f t="shared" si="26"/>
        <v>صيدلة اكلينيكى</v>
      </c>
    </row>
    <row r="188" spans="2:85" x14ac:dyDescent="0.25">
      <c r="C188" s="75">
        <v>12321</v>
      </c>
      <c r="D188" s="75">
        <v>7394</v>
      </c>
      <c r="E188" s="69" t="s">
        <v>132</v>
      </c>
      <c r="F188" s="69" t="s">
        <v>1232</v>
      </c>
      <c r="H188" s="69">
        <v>340.02</v>
      </c>
      <c r="AS188" s="91">
        <f t="shared" si="23"/>
        <v>340.02</v>
      </c>
      <c r="AT188" s="69">
        <v>227.75</v>
      </c>
      <c r="AU188" s="52">
        <v>30.35</v>
      </c>
      <c r="AV188" s="69">
        <v>81.92</v>
      </c>
      <c r="CD188" s="91">
        <f t="shared" si="24"/>
        <v>340.02000000000004</v>
      </c>
      <c r="CE188" s="69">
        <f t="shared" si="25"/>
        <v>0</v>
      </c>
      <c r="CF188" s="75">
        <f t="shared" si="26"/>
        <v>7394</v>
      </c>
      <c r="CG188" s="69" t="str">
        <f t="shared" si="26"/>
        <v>صيدلة اكلينيكى</v>
      </c>
    </row>
    <row r="189" spans="2:85" x14ac:dyDescent="0.25">
      <c r="C189" s="75">
        <v>12320</v>
      </c>
      <c r="D189" s="75">
        <v>7395</v>
      </c>
      <c r="E189" s="69" t="s">
        <v>132</v>
      </c>
      <c r="F189" s="69" t="s">
        <v>1232</v>
      </c>
      <c r="H189" s="69">
        <v>3617.17</v>
      </c>
      <c r="AS189" s="91">
        <f t="shared" si="23"/>
        <v>3617.17</v>
      </c>
      <c r="AT189" s="69">
        <v>2422.5</v>
      </c>
      <c r="AU189" s="52">
        <v>323.14999999999998</v>
      </c>
      <c r="AV189" s="69">
        <v>871.52</v>
      </c>
      <c r="CD189" s="91">
        <f t="shared" si="24"/>
        <v>3617.17</v>
      </c>
      <c r="CE189" s="69">
        <f t="shared" si="25"/>
        <v>0</v>
      </c>
      <c r="CF189" s="75">
        <f t="shared" si="26"/>
        <v>7395</v>
      </c>
      <c r="CG189" s="69" t="str">
        <f t="shared" si="26"/>
        <v>صيدلة اكلينيكى</v>
      </c>
    </row>
    <row r="190" spans="2:85" x14ac:dyDescent="0.25">
      <c r="C190" s="75">
        <v>12323</v>
      </c>
      <c r="D190" s="75">
        <v>7396</v>
      </c>
      <c r="E190" s="69" t="s">
        <v>132</v>
      </c>
      <c r="F190" s="69" t="s">
        <v>1232</v>
      </c>
      <c r="H190" s="69">
        <v>8414.92</v>
      </c>
      <c r="AS190" s="91">
        <f t="shared" si="23"/>
        <v>8414.92</v>
      </c>
      <c r="AT190" s="69">
        <v>7332.78</v>
      </c>
      <c r="AU190" s="52">
        <f>269.5+51.27</f>
        <v>320.77</v>
      </c>
      <c r="AV190" s="69">
        <v>761.37</v>
      </c>
      <c r="CD190" s="91">
        <f t="shared" si="24"/>
        <v>8414.92</v>
      </c>
      <c r="CE190" s="69">
        <f t="shared" si="25"/>
        <v>0</v>
      </c>
      <c r="CF190" s="75">
        <f t="shared" si="26"/>
        <v>7396</v>
      </c>
      <c r="CG190" s="69" t="str">
        <f t="shared" si="26"/>
        <v>صيدلة اكلينيكى</v>
      </c>
    </row>
    <row r="191" spans="2:85" x14ac:dyDescent="0.25">
      <c r="C191" s="75">
        <v>12319</v>
      </c>
      <c r="D191" s="75">
        <v>7397</v>
      </c>
      <c r="E191" s="69" t="s">
        <v>132</v>
      </c>
      <c r="F191" s="69" t="s">
        <v>1232</v>
      </c>
      <c r="H191" s="69">
        <v>1688.39</v>
      </c>
      <c r="AS191" s="91">
        <f t="shared" si="23"/>
        <v>1688.39</v>
      </c>
      <c r="AT191" s="69">
        <v>1130.3499999999999</v>
      </c>
      <c r="AU191" s="52">
        <v>151.25</v>
      </c>
      <c r="AV191" s="69">
        <v>406.79</v>
      </c>
      <c r="CD191" s="91">
        <f t="shared" si="24"/>
        <v>1688.3899999999999</v>
      </c>
      <c r="CE191" s="69">
        <f t="shared" si="25"/>
        <v>0</v>
      </c>
      <c r="CF191" s="75">
        <f t="shared" si="26"/>
        <v>7397</v>
      </c>
      <c r="CG191" s="69" t="str">
        <f t="shared" si="26"/>
        <v>صيدلة اكلينيكى</v>
      </c>
    </row>
    <row r="192" spans="2:85" x14ac:dyDescent="0.25">
      <c r="C192" s="75">
        <v>12317</v>
      </c>
      <c r="D192" s="75">
        <v>7398</v>
      </c>
      <c r="E192" s="69" t="s">
        <v>132</v>
      </c>
      <c r="F192" s="69" t="s">
        <v>1232</v>
      </c>
      <c r="H192" s="69">
        <v>500</v>
      </c>
      <c r="AS192" s="91">
        <f t="shared" si="23"/>
        <v>500</v>
      </c>
      <c r="AT192" s="69">
        <v>447.05</v>
      </c>
      <c r="AU192" s="52">
        <v>52.95</v>
      </c>
      <c r="CD192" s="91">
        <f t="shared" si="24"/>
        <v>500</v>
      </c>
      <c r="CE192" s="69">
        <f t="shared" si="25"/>
        <v>0</v>
      </c>
      <c r="CF192" s="75">
        <f t="shared" si="26"/>
        <v>7398</v>
      </c>
      <c r="CG192" s="69" t="str">
        <f t="shared" si="26"/>
        <v>صيدلة اكلينيكى</v>
      </c>
    </row>
    <row r="193" spans="3:85" x14ac:dyDescent="0.25">
      <c r="C193" s="75">
        <v>12318</v>
      </c>
      <c r="D193" s="75">
        <v>7399</v>
      </c>
      <c r="E193" s="69" t="s">
        <v>132</v>
      </c>
      <c r="F193" s="69" t="s">
        <v>1232</v>
      </c>
      <c r="H193" s="69">
        <v>350</v>
      </c>
      <c r="AS193" s="91">
        <f t="shared" si="23"/>
        <v>350</v>
      </c>
      <c r="AT193" s="69">
        <v>313.05</v>
      </c>
      <c r="AU193" s="52">
        <v>36.950000000000003</v>
      </c>
      <c r="CD193" s="91">
        <f t="shared" si="24"/>
        <v>350</v>
      </c>
      <c r="CE193" s="69">
        <f t="shared" si="25"/>
        <v>0</v>
      </c>
      <c r="CF193" s="75">
        <f t="shared" si="26"/>
        <v>7399</v>
      </c>
      <c r="CG193" s="69" t="str">
        <f t="shared" si="26"/>
        <v>صيدلة اكلينيكى</v>
      </c>
    </row>
    <row r="194" spans="3:85" x14ac:dyDescent="0.25">
      <c r="C194" s="75">
        <v>12316</v>
      </c>
      <c r="D194" s="75">
        <v>7400</v>
      </c>
      <c r="E194" s="69" t="s">
        <v>132</v>
      </c>
      <c r="F194" s="69" t="s">
        <v>1232</v>
      </c>
      <c r="H194" s="69">
        <v>600</v>
      </c>
      <c r="AS194" s="91">
        <f t="shared" si="23"/>
        <v>600</v>
      </c>
      <c r="AT194" s="69">
        <v>536.15</v>
      </c>
      <c r="AU194" s="52">
        <v>63.85</v>
      </c>
      <c r="CD194" s="91">
        <f t="shared" si="24"/>
        <v>600</v>
      </c>
      <c r="CE194" s="69">
        <f t="shared" si="25"/>
        <v>0</v>
      </c>
      <c r="CF194" s="75">
        <f t="shared" si="26"/>
        <v>7400</v>
      </c>
      <c r="CG194" s="69" t="str">
        <f t="shared" si="26"/>
        <v>صيدلة اكلينيكى</v>
      </c>
    </row>
    <row r="195" spans="3:85" x14ac:dyDescent="0.25">
      <c r="C195" s="75">
        <v>12315</v>
      </c>
      <c r="D195" s="75">
        <v>7401</v>
      </c>
      <c r="E195" s="69" t="s">
        <v>132</v>
      </c>
      <c r="F195" s="69" t="s">
        <v>1239</v>
      </c>
      <c r="H195" s="69">
        <v>1582.88</v>
      </c>
      <c r="AS195" s="91">
        <f t="shared" si="23"/>
        <v>1582.88</v>
      </c>
      <c r="AT195" s="69">
        <v>1057.8499999999999</v>
      </c>
      <c r="AU195" s="52">
        <v>143.65</v>
      </c>
      <c r="AV195" s="69">
        <v>381.38</v>
      </c>
      <c r="CD195" s="91">
        <f t="shared" si="24"/>
        <v>1582.88</v>
      </c>
      <c r="CE195" s="69">
        <f t="shared" si="25"/>
        <v>0</v>
      </c>
      <c r="CF195" s="75">
        <f t="shared" si="26"/>
        <v>7401</v>
      </c>
      <c r="CG195" s="69" t="str">
        <f t="shared" si="26"/>
        <v>صيدلة اكلينيكى</v>
      </c>
    </row>
    <row r="196" spans="3:85" x14ac:dyDescent="0.25">
      <c r="C196" s="75">
        <v>12298</v>
      </c>
      <c r="D196" s="75">
        <v>7402</v>
      </c>
      <c r="E196" s="69" t="s">
        <v>123</v>
      </c>
      <c r="F196" s="69" t="s">
        <v>1240</v>
      </c>
      <c r="H196" s="69">
        <v>777.3</v>
      </c>
      <c r="AS196" s="91">
        <f t="shared" si="23"/>
        <v>777.3</v>
      </c>
      <c r="AT196" s="69">
        <v>506.58</v>
      </c>
      <c r="AU196" s="52">
        <v>67.53</v>
      </c>
      <c r="AV196" s="69">
        <v>169.5</v>
      </c>
      <c r="AW196" s="69">
        <v>33.69</v>
      </c>
      <c r="CD196" s="91">
        <f t="shared" si="24"/>
        <v>777.3</v>
      </c>
      <c r="CE196" s="69">
        <f t="shared" si="25"/>
        <v>0</v>
      </c>
      <c r="CF196" s="75">
        <f t="shared" si="26"/>
        <v>7402</v>
      </c>
      <c r="CG196" s="69" t="str">
        <f t="shared" si="26"/>
        <v>خ ت اسنان</v>
      </c>
    </row>
    <row r="197" spans="3:85" x14ac:dyDescent="0.25">
      <c r="C197" s="75">
        <v>12297</v>
      </c>
      <c r="D197" s="75">
        <v>7403</v>
      </c>
      <c r="E197" s="69" t="s">
        <v>123</v>
      </c>
      <c r="F197" s="69" t="s">
        <v>1240</v>
      </c>
      <c r="H197" s="69">
        <v>3404.16</v>
      </c>
      <c r="AS197" s="91">
        <f t="shared" si="23"/>
        <v>3404.16</v>
      </c>
      <c r="AT197" s="69">
        <v>2197.64</v>
      </c>
      <c r="AU197" s="52">
        <v>298.39999999999998</v>
      </c>
      <c r="AV197" s="69">
        <v>761.16</v>
      </c>
      <c r="AW197" s="69">
        <v>146.96</v>
      </c>
      <c r="CD197" s="91">
        <f t="shared" si="24"/>
        <v>3404.16</v>
      </c>
      <c r="CE197" s="69">
        <f t="shared" si="25"/>
        <v>0</v>
      </c>
      <c r="CF197" s="75">
        <f t="shared" si="26"/>
        <v>7403</v>
      </c>
      <c r="CG197" s="69" t="str">
        <f t="shared" si="26"/>
        <v>خ ت اسنان</v>
      </c>
    </row>
    <row r="198" spans="3:85" x14ac:dyDescent="0.25">
      <c r="C198" s="75">
        <v>12299</v>
      </c>
      <c r="D198" s="75">
        <v>7404</v>
      </c>
      <c r="E198" s="69" t="s">
        <v>123</v>
      </c>
      <c r="F198" s="69" t="s">
        <v>1240</v>
      </c>
      <c r="H198" s="69">
        <v>75</v>
      </c>
      <c r="AS198" s="91">
        <f t="shared" si="23"/>
        <v>75</v>
      </c>
      <c r="AT198" s="69">
        <v>63.6</v>
      </c>
      <c r="AU198" s="52">
        <v>7.65</v>
      </c>
      <c r="AW198" s="69">
        <v>3.75</v>
      </c>
      <c r="CD198" s="91">
        <f t="shared" si="24"/>
        <v>75</v>
      </c>
      <c r="CE198" s="69">
        <f t="shared" si="25"/>
        <v>0</v>
      </c>
      <c r="CF198" s="75">
        <f t="shared" si="26"/>
        <v>7404</v>
      </c>
      <c r="CG198" s="69" t="str">
        <f t="shared" si="26"/>
        <v>خ ت اسنان</v>
      </c>
    </row>
    <row r="199" spans="3:85" x14ac:dyDescent="0.25">
      <c r="C199" s="75">
        <v>12300</v>
      </c>
      <c r="D199" s="75">
        <v>7405</v>
      </c>
      <c r="E199" s="69" t="s">
        <v>123</v>
      </c>
      <c r="F199" s="69" t="s">
        <v>1240</v>
      </c>
      <c r="H199" s="69">
        <v>46.9</v>
      </c>
      <c r="AS199" s="91">
        <f t="shared" si="23"/>
        <v>46.9</v>
      </c>
      <c r="AT199" s="69">
        <v>29.6</v>
      </c>
      <c r="AU199" s="52">
        <v>4</v>
      </c>
      <c r="AV199" s="69">
        <v>11.3</v>
      </c>
      <c r="AW199" s="69">
        <v>2</v>
      </c>
      <c r="CD199" s="91">
        <f t="shared" si="24"/>
        <v>46.900000000000006</v>
      </c>
      <c r="CE199" s="69">
        <f t="shared" si="25"/>
        <v>0</v>
      </c>
      <c r="CF199" s="75">
        <f t="shared" si="26"/>
        <v>7405</v>
      </c>
      <c r="CG199" s="69" t="str">
        <f t="shared" si="26"/>
        <v>خ ت اسنان</v>
      </c>
    </row>
    <row r="200" spans="3:85" x14ac:dyDescent="0.25">
      <c r="C200" s="75">
        <v>12296</v>
      </c>
      <c r="D200" s="75">
        <v>7406</v>
      </c>
      <c r="E200" s="69" t="s">
        <v>123</v>
      </c>
      <c r="F200" s="69" t="s">
        <v>1850</v>
      </c>
      <c r="H200" s="69">
        <v>293.12</v>
      </c>
      <c r="AS200" s="91">
        <f t="shared" si="23"/>
        <v>293.12</v>
      </c>
      <c r="AT200" s="69">
        <v>183.95</v>
      </c>
      <c r="AU200" s="52">
        <v>26.05</v>
      </c>
      <c r="AV200" s="69">
        <v>70.62</v>
      </c>
      <c r="AW200" s="69">
        <v>12.5</v>
      </c>
      <c r="CD200" s="91">
        <f t="shared" si="24"/>
        <v>293.12</v>
      </c>
      <c r="CE200" s="69">
        <f t="shared" si="25"/>
        <v>0</v>
      </c>
      <c r="CF200" s="75">
        <f t="shared" si="26"/>
        <v>7406</v>
      </c>
      <c r="CG200" s="69" t="str">
        <f t="shared" si="26"/>
        <v>خ ت اسنان</v>
      </c>
    </row>
    <row r="201" spans="3:85" x14ac:dyDescent="0.25">
      <c r="C201" s="75">
        <v>12295</v>
      </c>
      <c r="D201" s="75">
        <v>7407</v>
      </c>
      <c r="E201" s="69" t="s">
        <v>123</v>
      </c>
      <c r="F201" s="69" t="s">
        <v>1851</v>
      </c>
      <c r="H201" s="69">
        <v>1000</v>
      </c>
      <c r="AS201" s="91">
        <f t="shared" si="23"/>
        <v>1000</v>
      </c>
      <c r="AT201" s="69">
        <v>843.35</v>
      </c>
      <c r="AU201" s="52">
        <v>106.65</v>
      </c>
      <c r="AW201" s="69">
        <v>50</v>
      </c>
      <c r="CD201" s="91">
        <f t="shared" si="24"/>
        <v>1000</v>
      </c>
      <c r="CE201" s="69">
        <f t="shared" si="25"/>
        <v>0</v>
      </c>
      <c r="CF201" s="75">
        <f t="shared" si="26"/>
        <v>7407</v>
      </c>
      <c r="CG201" s="69" t="str">
        <f t="shared" si="26"/>
        <v>خ ت اسنان</v>
      </c>
    </row>
    <row r="202" spans="3:85" x14ac:dyDescent="0.25">
      <c r="C202" s="75">
        <v>12294</v>
      </c>
      <c r="D202" s="75">
        <v>7408</v>
      </c>
      <c r="E202" s="69" t="s">
        <v>123</v>
      </c>
      <c r="F202" s="69" t="s">
        <v>1852</v>
      </c>
      <c r="H202" s="69">
        <v>1055.24</v>
      </c>
      <c r="AS202" s="91">
        <f t="shared" si="23"/>
        <v>1055.24</v>
      </c>
      <c r="AT202" s="69">
        <v>661.4</v>
      </c>
      <c r="AU202" s="52">
        <v>94.6</v>
      </c>
      <c r="AV202" s="69">
        <v>254.24</v>
      </c>
      <c r="AW202" s="69">
        <v>45</v>
      </c>
      <c r="CD202" s="91">
        <f t="shared" si="24"/>
        <v>1055.24</v>
      </c>
      <c r="CE202" s="69">
        <f t="shared" si="25"/>
        <v>0</v>
      </c>
      <c r="CF202" s="75">
        <f t="shared" si="26"/>
        <v>7408</v>
      </c>
      <c r="CG202" s="69" t="str">
        <f t="shared" si="26"/>
        <v>خ ت اسنان</v>
      </c>
    </row>
    <row r="203" spans="3:85" x14ac:dyDescent="0.25">
      <c r="C203" s="75">
        <v>12292</v>
      </c>
      <c r="D203" s="75">
        <v>7409</v>
      </c>
      <c r="E203" s="69" t="s">
        <v>123</v>
      </c>
      <c r="F203" s="69" t="s">
        <v>1853</v>
      </c>
      <c r="H203" s="69">
        <v>462.26</v>
      </c>
      <c r="AS203" s="91">
        <f t="shared" si="23"/>
        <v>462.26</v>
      </c>
      <c r="AT203" s="69">
        <v>301.12</v>
      </c>
      <c r="AU203" s="52">
        <v>41.12</v>
      </c>
      <c r="AV203" s="69">
        <v>99.96</v>
      </c>
      <c r="AW203" s="69">
        <v>20.059999999999999</v>
      </c>
      <c r="CD203" s="91">
        <f t="shared" si="24"/>
        <v>462.26</v>
      </c>
      <c r="CE203" s="69">
        <f t="shared" si="25"/>
        <v>0</v>
      </c>
      <c r="CF203" s="75">
        <f t="shared" si="26"/>
        <v>7409</v>
      </c>
      <c r="CG203" s="69" t="str">
        <f t="shared" si="26"/>
        <v>خ ت اسنان</v>
      </c>
    </row>
    <row r="204" spans="3:85" x14ac:dyDescent="0.25">
      <c r="C204" s="75">
        <v>11358</v>
      </c>
      <c r="D204" s="75">
        <v>7410</v>
      </c>
      <c r="E204" s="69" t="s">
        <v>137</v>
      </c>
      <c r="F204" s="69" t="s">
        <v>1854</v>
      </c>
      <c r="H204" s="69">
        <v>1231.1400000000001</v>
      </c>
      <c r="AS204" s="91">
        <f t="shared" si="23"/>
        <v>1231.1400000000001</v>
      </c>
      <c r="AT204" s="69">
        <v>789.21</v>
      </c>
      <c r="AU204" s="52">
        <v>92.79</v>
      </c>
      <c r="AV204" s="69">
        <v>296.64</v>
      </c>
      <c r="AW204" s="69">
        <v>52.5</v>
      </c>
      <c r="CD204" s="91">
        <f t="shared" si="24"/>
        <v>1231.1399999999999</v>
      </c>
      <c r="CE204" s="69">
        <f t="shared" si="25"/>
        <v>0</v>
      </c>
      <c r="CF204" s="75">
        <f t="shared" si="26"/>
        <v>7410</v>
      </c>
      <c r="CG204" s="69" t="str">
        <f t="shared" si="26"/>
        <v xml:space="preserve">خدمة عامة </v>
      </c>
    </row>
    <row r="205" spans="3:85" x14ac:dyDescent="0.25">
      <c r="C205" s="75">
        <v>10947</v>
      </c>
      <c r="D205" s="75">
        <v>7411</v>
      </c>
      <c r="E205" s="69" t="s">
        <v>137</v>
      </c>
      <c r="F205" s="69" t="s">
        <v>1855</v>
      </c>
      <c r="H205" s="69">
        <v>267.27</v>
      </c>
      <c r="AS205" s="91">
        <f t="shared" si="23"/>
        <v>267.27</v>
      </c>
      <c r="AT205" s="69">
        <v>167.73</v>
      </c>
      <c r="AU205" s="52">
        <v>23.74</v>
      </c>
      <c r="AV205" s="69">
        <v>64.400000000000006</v>
      </c>
      <c r="AW205" s="69">
        <v>11.4</v>
      </c>
      <c r="CD205" s="91">
        <f t="shared" si="24"/>
        <v>267.27</v>
      </c>
      <c r="CE205" s="69">
        <f t="shared" si="25"/>
        <v>0</v>
      </c>
      <c r="CF205" s="75">
        <f t="shared" si="26"/>
        <v>7411</v>
      </c>
      <c r="CG205" s="69" t="str">
        <f t="shared" si="26"/>
        <v xml:space="preserve">خدمة عامة </v>
      </c>
    </row>
    <row r="206" spans="3:85" x14ac:dyDescent="0.25">
      <c r="C206" s="75">
        <v>10946</v>
      </c>
      <c r="D206" s="75">
        <v>7412</v>
      </c>
      <c r="E206" s="69" t="s">
        <v>137</v>
      </c>
      <c r="F206" s="69" t="s">
        <v>1855</v>
      </c>
      <c r="H206" s="69">
        <v>4370.37</v>
      </c>
      <c r="AS206" s="91">
        <f t="shared" si="23"/>
        <v>4370.37</v>
      </c>
      <c r="AT206" s="69">
        <v>3627.36</v>
      </c>
      <c r="AU206" s="52">
        <v>462.05</v>
      </c>
      <c r="AV206" s="69">
        <v>64.400000000000006</v>
      </c>
      <c r="AW206" s="69">
        <v>216.56</v>
      </c>
      <c r="CD206" s="91">
        <f t="shared" si="24"/>
        <v>4370.3700000000008</v>
      </c>
      <c r="CE206" s="69">
        <f t="shared" si="25"/>
        <v>0</v>
      </c>
      <c r="CF206" s="75">
        <f t="shared" si="26"/>
        <v>7412</v>
      </c>
      <c r="CG206" s="69" t="str">
        <f t="shared" si="26"/>
        <v xml:space="preserve">خدمة عامة </v>
      </c>
    </row>
    <row r="207" spans="3:85" x14ac:dyDescent="0.25">
      <c r="C207" s="75">
        <v>11357</v>
      </c>
      <c r="D207" s="75">
        <v>7413</v>
      </c>
      <c r="E207" s="69" t="s">
        <v>137</v>
      </c>
      <c r="F207" s="69" t="s">
        <v>1856</v>
      </c>
      <c r="H207" s="69">
        <v>157680.87</v>
      </c>
      <c r="AS207" s="91">
        <f t="shared" si="23"/>
        <v>157680.87</v>
      </c>
      <c r="AT207" s="69">
        <v>121255.45</v>
      </c>
      <c r="AU207" s="52">
        <v>15870.3</v>
      </c>
      <c r="AV207" s="69">
        <v>13070.12</v>
      </c>
      <c r="AW207" s="69">
        <v>7485</v>
      </c>
      <c r="CD207" s="91">
        <f t="shared" si="24"/>
        <v>157680.87</v>
      </c>
      <c r="CE207" s="69">
        <f t="shared" si="25"/>
        <v>0</v>
      </c>
      <c r="CF207" s="75">
        <f t="shared" si="26"/>
        <v>7413</v>
      </c>
      <c r="CG207" s="69" t="str">
        <f t="shared" si="26"/>
        <v xml:space="preserve">خدمة عامة </v>
      </c>
    </row>
    <row r="208" spans="3:85" x14ac:dyDescent="0.25">
      <c r="C208" s="75">
        <v>11360</v>
      </c>
      <c r="D208" s="75">
        <v>7414</v>
      </c>
      <c r="E208" s="69" t="s">
        <v>137</v>
      </c>
      <c r="F208" s="69" t="s">
        <v>1856</v>
      </c>
      <c r="H208" s="69">
        <v>5510.75</v>
      </c>
      <c r="AS208" s="91">
        <f t="shared" si="23"/>
        <v>5510.75</v>
      </c>
      <c r="AT208" s="69">
        <v>3447.6</v>
      </c>
      <c r="AU208" s="52">
        <v>500.4</v>
      </c>
      <c r="AV208" s="69">
        <v>1327.75</v>
      </c>
      <c r="AW208" s="69">
        <v>235</v>
      </c>
      <c r="CD208" s="91">
        <f t="shared" si="24"/>
        <v>5510.75</v>
      </c>
      <c r="CE208" s="69">
        <f t="shared" si="25"/>
        <v>0</v>
      </c>
      <c r="CF208" s="75">
        <f t="shared" si="26"/>
        <v>7414</v>
      </c>
      <c r="CG208" s="69" t="str">
        <f t="shared" si="26"/>
        <v xml:space="preserve">خدمة عامة </v>
      </c>
    </row>
    <row r="209" spans="3:85" x14ac:dyDescent="0.25">
      <c r="C209" s="75">
        <v>11359</v>
      </c>
      <c r="D209" s="75">
        <v>7415</v>
      </c>
      <c r="E209" s="69" t="s">
        <v>137</v>
      </c>
      <c r="F209" s="69" t="s">
        <v>1856</v>
      </c>
      <c r="H209" s="69">
        <v>1055.25</v>
      </c>
      <c r="AS209" s="91">
        <f t="shared" si="23"/>
        <v>1055.25</v>
      </c>
      <c r="AT209" s="69">
        <v>660.7</v>
      </c>
      <c r="AU209" s="52">
        <v>95.3</v>
      </c>
      <c r="AV209" s="69">
        <v>254.25</v>
      </c>
      <c r="AW209" s="69">
        <v>45</v>
      </c>
      <c r="CD209" s="91">
        <f t="shared" si="24"/>
        <v>1055.25</v>
      </c>
      <c r="CE209" s="69">
        <f t="shared" si="25"/>
        <v>0</v>
      </c>
      <c r="CF209" s="75">
        <f t="shared" si="26"/>
        <v>7415</v>
      </c>
      <c r="CG209" s="69" t="str">
        <f t="shared" si="26"/>
        <v xml:space="preserve">خدمة عامة </v>
      </c>
    </row>
    <row r="210" spans="3:85" x14ac:dyDescent="0.25">
      <c r="C210" s="75">
        <v>10943</v>
      </c>
      <c r="D210" s="75">
        <v>7416</v>
      </c>
      <c r="E210" s="69" t="s">
        <v>137</v>
      </c>
      <c r="F210" s="69" t="s">
        <v>1857</v>
      </c>
      <c r="H210" s="69">
        <v>5793.25</v>
      </c>
      <c r="AS210" s="91">
        <f t="shared" si="23"/>
        <v>5793.25</v>
      </c>
      <c r="AT210" s="69">
        <v>4451.5</v>
      </c>
      <c r="AU210" s="52">
        <v>586.5</v>
      </c>
      <c r="AV210" s="69">
        <v>480.25</v>
      </c>
      <c r="AW210" s="69">
        <v>275</v>
      </c>
      <c r="CD210" s="91">
        <f t="shared" si="24"/>
        <v>5793.25</v>
      </c>
      <c r="CE210" s="69">
        <f t="shared" si="25"/>
        <v>0</v>
      </c>
      <c r="CF210" s="75">
        <f t="shared" si="26"/>
        <v>7416</v>
      </c>
      <c r="CG210" s="69" t="str">
        <f t="shared" si="26"/>
        <v xml:space="preserve">خدمة عامة </v>
      </c>
    </row>
    <row r="211" spans="3:85" x14ac:dyDescent="0.25">
      <c r="C211" s="75">
        <v>10942</v>
      </c>
      <c r="D211" s="75">
        <v>7417</v>
      </c>
      <c r="E211" s="69" t="s">
        <v>137</v>
      </c>
      <c r="F211" s="69" t="s">
        <v>1857</v>
      </c>
      <c r="H211" s="69">
        <v>115442.92</v>
      </c>
      <c r="AS211" s="91">
        <f t="shared" si="23"/>
        <v>115442.92</v>
      </c>
      <c r="AT211" s="69">
        <v>97006.95</v>
      </c>
      <c r="AU211" s="52">
        <v>12278.15</v>
      </c>
      <c r="AV211" s="69">
        <v>397.82</v>
      </c>
      <c r="AW211" s="69">
        <v>5760</v>
      </c>
      <c r="CD211" s="91">
        <f t="shared" si="24"/>
        <v>115442.92</v>
      </c>
      <c r="CE211" s="69">
        <f t="shared" si="25"/>
        <v>0</v>
      </c>
      <c r="CF211" s="75">
        <f t="shared" si="26"/>
        <v>7417</v>
      </c>
      <c r="CG211" s="69" t="str">
        <f t="shared" si="26"/>
        <v xml:space="preserve">خدمة عامة </v>
      </c>
    </row>
    <row r="212" spans="3:85" x14ac:dyDescent="0.25">
      <c r="C212" s="75">
        <v>11948</v>
      </c>
      <c r="D212" s="75">
        <v>7418</v>
      </c>
      <c r="E212" s="69" t="s">
        <v>78</v>
      </c>
      <c r="F212" s="69" t="s">
        <v>1858</v>
      </c>
      <c r="H212" s="69">
        <v>3360</v>
      </c>
      <c r="AS212" s="91">
        <f t="shared" si="23"/>
        <v>3360</v>
      </c>
      <c r="AT212" s="69">
        <v>2999.15</v>
      </c>
      <c r="AU212" s="52">
        <v>360.85</v>
      </c>
      <c r="CD212" s="91">
        <f t="shared" si="24"/>
        <v>3360</v>
      </c>
      <c r="CE212" s="69">
        <f t="shared" si="25"/>
        <v>0</v>
      </c>
      <c r="CF212" s="75">
        <f t="shared" si="26"/>
        <v>7418</v>
      </c>
      <c r="CG212" s="69" t="str">
        <f t="shared" si="26"/>
        <v>برنامج دولى</v>
      </c>
    </row>
    <row r="213" spans="3:85" x14ac:dyDescent="0.25">
      <c r="C213" s="75">
        <v>11947</v>
      </c>
      <c r="D213" s="75">
        <v>7419</v>
      </c>
      <c r="E213" s="69" t="s">
        <v>78</v>
      </c>
      <c r="F213" s="69" t="s">
        <v>1858</v>
      </c>
      <c r="H213" s="69">
        <v>1680</v>
      </c>
      <c r="AS213" s="91">
        <f t="shared" si="23"/>
        <v>1680</v>
      </c>
      <c r="AT213" s="69">
        <v>1499.75</v>
      </c>
      <c r="AU213" s="52">
        <v>180.25</v>
      </c>
      <c r="CD213" s="91">
        <f t="shared" si="24"/>
        <v>1680</v>
      </c>
      <c r="CE213" s="69">
        <f t="shared" si="25"/>
        <v>0</v>
      </c>
      <c r="CF213" s="75">
        <f t="shared" si="26"/>
        <v>7419</v>
      </c>
      <c r="CG213" s="69" t="str">
        <f t="shared" si="26"/>
        <v>برنامج دولى</v>
      </c>
    </row>
    <row r="214" spans="3:85" x14ac:dyDescent="0.25">
      <c r="C214" s="75">
        <v>11949</v>
      </c>
      <c r="D214" s="75">
        <v>7420</v>
      </c>
      <c r="E214" s="69" t="s">
        <v>78</v>
      </c>
      <c r="F214" s="69" t="s">
        <v>1858</v>
      </c>
      <c r="H214" s="69">
        <v>3360</v>
      </c>
      <c r="AS214" s="91">
        <f t="shared" si="23"/>
        <v>3360</v>
      </c>
      <c r="AT214" s="69">
        <v>2999.15</v>
      </c>
      <c r="AU214" s="52">
        <v>360.85</v>
      </c>
      <c r="CD214" s="91">
        <f t="shared" si="24"/>
        <v>3360</v>
      </c>
      <c r="CE214" s="69">
        <f t="shared" si="25"/>
        <v>0</v>
      </c>
      <c r="CF214" s="75">
        <f t="shared" si="26"/>
        <v>7420</v>
      </c>
      <c r="CG214" s="69" t="str">
        <f t="shared" si="26"/>
        <v>برنامج دولى</v>
      </c>
    </row>
    <row r="215" spans="3:85" x14ac:dyDescent="0.25">
      <c r="C215" s="75">
        <v>11950</v>
      </c>
      <c r="D215" s="75">
        <v>7421</v>
      </c>
      <c r="E215" s="69" t="s">
        <v>78</v>
      </c>
      <c r="F215" s="69" t="s">
        <v>1858</v>
      </c>
      <c r="H215" s="69">
        <v>5040</v>
      </c>
      <c r="AS215" s="91">
        <f t="shared" si="23"/>
        <v>5040</v>
      </c>
      <c r="AT215" s="69">
        <v>4496.05</v>
      </c>
      <c r="AU215" s="52">
        <v>543.95000000000005</v>
      </c>
      <c r="CD215" s="91">
        <f t="shared" si="24"/>
        <v>5040</v>
      </c>
      <c r="CE215" s="69">
        <f t="shared" si="25"/>
        <v>0</v>
      </c>
      <c r="CF215" s="75">
        <f t="shared" si="26"/>
        <v>7421</v>
      </c>
      <c r="CG215" s="69" t="str">
        <f t="shared" si="26"/>
        <v>برنامج دولى</v>
      </c>
    </row>
    <row r="216" spans="3:85" x14ac:dyDescent="0.25">
      <c r="C216" s="75">
        <v>12145</v>
      </c>
      <c r="D216" s="75">
        <v>7422</v>
      </c>
      <c r="E216" s="69" t="s">
        <v>78</v>
      </c>
      <c r="F216" s="69" t="s">
        <v>1859</v>
      </c>
      <c r="H216" s="69">
        <v>16199.65</v>
      </c>
      <c r="AS216" s="91">
        <f t="shared" si="23"/>
        <v>16199.65</v>
      </c>
      <c r="AT216" s="69">
        <v>13549.72</v>
      </c>
      <c r="AU216" s="52">
        <v>1667.9</v>
      </c>
      <c r="AV216" s="69">
        <v>982.03</v>
      </c>
      <c r="CD216" s="91">
        <f t="shared" si="24"/>
        <v>16199.65</v>
      </c>
      <c r="CE216" s="69">
        <f t="shared" si="25"/>
        <v>0</v>
      </c>
      <c r="CF216" s="75">
        <f t="shared" si="26"/>
        <v>7422</v>
      </c>
      <c r="CG216" s="69" t="str">
        <f t="shared" si="26"/>
        <v>برنامج دولى</v>
      </c>
    </row>
    <row r="217" spans="3:85" x14ac:dyDescent="0.25">
      <c r="C217" s="75">
        <v>12246</v>
      </c>
      <c r="D217" s="75">
        <v>7423</v>
      </c>
      <c r="E217" s="69" t="s">
        <v>78</v>
      </c>
      <c r="F217" s="69" t="s">
        <v>1860</v>
      </c>
      <c r="H217" s="69">
        <v>3517.52</v>
      </c>
      <c r="AS217" s="91">
        <f t="shared" si="23"/>
        <v>3517.52</v>
      </c>
      <c r="AT217" s="69">
        <v>2352.6</v>
      </c>
      <c r="AU217" s="52">
        <v>317.39999999999998</v>
      </c>
      <c r="AV217" s="69">
        <v>847.52</v>
      </c>
      <c r="CD217" s="91">
        <f t="shared" si="24"/>
        <v>3517.52</v>
      </c>
      <c r="CE217" s="69">
        <f t="shared" si="25"/>
        <v>0</v>
      </c>
      <c r="CF217" s="75">
        <f t="shared" si="26"/>
        <v>7423</v>
      </c>
      <c r="CG217" s="69" t="str">
        <f t="shared" si="26"/>
        <v>برنامج دولى</v>
      </c>
    </row>
    <row r="218" spans="3:85" x14ac:dyDescent="0.25">
      <c r="C218" s="75">
        <v>12247</v>
      </c>
      <c r="D218" s="75">
        <v>7424</v>
      </c>
      <c r="E218" s="69" t="s">
        <v>78</v>
      </c>
      <c r="F218" s="69" t="s">
        <v>1860</v>
      </c>
      <c r="H218" s="69">
        <v>11226.74</v>
      </c>
      <c r="AS218" s="91">
        <f t="shared" si="23"/>
        <v>11226.74</v>
      </c>
      <c r="AT218" s="69">
        <v>7509.45</v>
      </c>
      <c r="AU218" s="52">
        <v>1012.3</v>
      </c>
      <c r="AV218" s="69">
        <v>2704.99</v>
      </c>
      <c r="CD218" s="91">
        <f t="shared" si="24"/>
        <v>11226.74</v>
      </c>
      <c r="CE218" s="69">
        <f t="shared" si="25"/>
        <v>0</v>
      </c>
      <c r="CF218" s="75">
        <f t="shared" si="26"/>
        <v>7424</v>
      </c>
      <c r="CG218" s="69" t="str">
        <f t="shared" si="26"/>
        <v>برنامج دولى</v>
      </c>
    </row>
    <row r="219" spans="3:85" x14ac:dyDescent="0.25">
      <c r="C219" s="75">
        <v>12245</v>
      </c>
      <c r="D219" s="75">
        <v>7425</v>
      </c>
      <c r="E219" s="69" t="s">
        <v>78</v>
      </c>
      <c r="F219" s="69" t="s">
        <v>1860</v>
      </c>
      <c r="H219" s="69">
        <v>879.38</v>
      </c>
      <c r="AS219" s="91">
        <f t="shared" si="23"/>
        <v>879.38</v>
      </c>
      <c r="AT219" s="69">
        <v>587.6</v>
      </c>
      <c r="AU219" s="52">
        <f>4.9+75</f>
        <v>79.900000000000006</v>
      </c>
      <c r="AV219" s="69">
        <v>211.88</v>
      </c>
      <c r="CD219" s="91">
        <f t="shared" si="24"/>
        <v>879.38</v>
      </c>
      <c r="CE219" s="69">
        <f t="shared" si="25"/>
        <v>0</v>
      </c>
      <c r="CF219" s="75">
        <f t="shared" si="26"/>
        <v>7425</v>
      </c>
      <c r="CG219" s="69" t="str">
        <f t="shared" si="26"/>
        <v>برنامج دولى</v>
      </c>
    </row>
    <row r="220" spans="3:85" x14ac:dyDescent="0.25">
      <c r="C220" s="75">
        <v>12248</v>
      </c>
      <c r="D220" s="75">
        <v>7426</v>
      </c>
      <c r="E220" s="69" t="s">
        <v>78</v>
      </c>
      <c r="F220" s="69" t="s">
        <v>1861</v>
      </c>
      <c r="H220" s="69">
        <v>2708.48</v>
      </c>
      <c r="AS220" s="91">
        <f t="shared" si="23"/>
        <v>2708.48</v>
      </c>
      <c r="AT220" s="69">
        <v>1810.8</v>
      </c>
      <c r="AU220" s="52">
        <f>14.1+231</f>
        <v>245.1</v>
      </c>
      <c r="AV220" s="69">
        <v>652.58000000000004</v>
      </c>
      <c r="CD220" s="91">
        <f t="shared" si="24"/>
        <v>2708.48</v>
      </c>
      <c r="CE220" s="69">
        <f t="shared" si="25"/>
        <v>0</v>
      </c>
      <c r="CF220" s="75">
        <f t="shared" si="26"/>
        <v>7426</v>
      </c>
      <c r="CG220" s="69" t="str">
        <f t="shared" si="26"/>
        <v>برنامج دولى</v>
      </c>
    </row>
    <row r="221" spans="3:85" x14ac:dyDescent="0.25">
      <c r="C221" s="75">
        <v>12250</v>
      </c>
      <c r="D221" s="75">
        <v>7427</v>
      </c>
      <c r="E221" s="69" t="s">
        <v>78</v>
      </c>
      <c r="F221" s="69" t="s">
        <v>1861</v>
      </c>
      <c r="H221" s="69">
        <v>2673.3</v>
      </c>
      <c r="AS221" s="91">
        <f t="shared" si="23"/>
        <v>2673.3</v>
      </c>
      <c r="AT221" s="69">
        <v>1788.7</v>
      </c>
      <c r="AU221" s="52">
        <v>240.5</v>
      </c>
      <c r="AV221" s="69">
        <v>644.1</v>
      </c>
      <c r="CD221" s="91">
        <f t="shared" si="24"/>
        <v>2673.3</v>
      </c>
      <c r="CE221" s="69">
        <f t="shared" si="25"/>
        <v>0</v>
      </c>
      <c r="CF221" s="75">
        <f t="shared" si="26"/>
        <v>7427</v>
      </c>
      <c r="CG221" s="69" t="str">
        <f t="shared" si="26"/>
        <v>برنامج دولى</v>
      </c>
    </row>
    <row r="222" spans="3:85" x14ac:dyDescent="0.25">
      <c r="C222" s="75">
        <v>12251</v>
      </c>
      <c r="D222" s="75">
        <v>7428</v>
      </c>
      <c r="E222" s="69" t="s">
        <v>78</v>
      </c>
      <c r="F222" s="69" t="s">
        <v>1861</v>
      </c>
      <c r="H222" s="69">
        <v>105.52</v>
      </c>
      <c r="AS222" s="91">
        <f t="shared" si="23"/>
        <v>105.52</v>
      </c>
      <c r="AT222" s="69">
        <v>70.900000000000006</v>
      </c>
      <c r="AU222" s="52">
        <v>9.1999999999999993</v>
      </c>
      <c r="AV222" s="69">
        <v>25.42</v>
      </c>
      <c r="CD222" s="91">
        <f t="shared" si="24"/>
        <v>105.52000000000001</v>
      </c>
      <c r="CE222" s="69">
        <f t="shared" si="25"/>
        <v>0</v>
      </c>
      <c r="CF222" s="75">
        <f t="shared" si="26"/>
        <v>7428</v>
      </c>
      <c r="CG222" s="69" t="str">
        <f t="shared" si="26"/>
        <v>برنامج دولى</v>
      </c>
    </row>
    <row r="223" spans="3:85" x14ac:dyDescent="0.25">
      <c r="C223" s="75">
        <v>12249</v>
      </c>
      <c r="D223" s="75">
        <v>7429</v>
      </c>
      <c r="E223" s="69" t="s">
        <v>78</v>
      </c>
      <c r="F223" s="69" t="s">
        <v>1861</v>
      </c>
      <c r="H223" s="69">
        <v>49029.120000000003</v>
      </c>
      <c r="AS223" s="91">
        <f t="shared" si="23"/>
        <v>49029.120000000003</v>
      </c>
      <c r="AT223" s="69">
        <v>40140.99</v>
      </c>
      <c r="AU223" s="52">
        <v>4991.8999999999996</v>
      </c>
      <c r="AV223" s="69">
        <v>3896.23</v>
      </c>
      <c r="CD223" s="91">
        <f t="shared" si="24"/>
        <v>49029.120000000003</v>
      </c>
      <c r="CE223" s="69">
        <f t="shared" si="25"/>
        <v>0</v>
      </c>
      <c r="CF223" s="75">
        <f t="shared" si="26"/>
        <v>7429</v>
      </c>
      <c r="CG223" s="69" t="str">
        <f t="shared" si="26"/>
        <v>برنامج دولى</v>
      </c>
    </row>
    <row r="224" spans="3:85" x14ac:dyDescent="0.25">
      <c r="C224" s="75">
        <v>12243</v>
      </c>
      <c r="D224" s="75">
        <v>7430</v>
      </c>
      <c r="E224" s="69" t="s">
        <v>78</v>
      </c>
      <c r="F224" s="69" t="s">
        <v>1862</v>
      </c>
      <c r="H224" s="69">
        <v>41690.75</v>
      </c>
      <c r="AS224" s="91">
        <f t="shared" si="23"/>
        <v>41690.75</v>
      </c>
      <c r="AT224" s="69">
        <v>32683.85</v>
      </c>
      <c r="AU224" s="52">
        <v>4141.75</v>
      </c>
      <c r="AV224" s="69">
        <v>4865.1499999999996</v>
      </c>
      <c r="CD224" s="91">
        <f t="shared" si="24"/>
        <v>41690.75</v>
      </c>
      <c r="CE224" s="69">
        <f t="shared" si="25"/>
        <v>0</v>
      </c>
      <c r="CF224" s="75">
        <f t="shared" si="26"/>
        <v>7430</v>
      </c>
      <c r="CG224" s="69" t="str">
        <f t="shared" si="26"/>
        <v>برنامج دولى</v>
      </c>
    </row>
    <row r="225" spans="3:85" x14ac:dyDescent="0.25">
      <c r="C225" s="75">
        <v>12314</v>
      </c>
      <c r="D225" s="75">
        <v>7431</v>
      </c>
      <c r="E225" s="69" t="s">
        <v>78</v>
      </c>
      <c r="F225" s="69" t="s">
        <v>1010</v>
      </c>
      <c r="H225" s="69">
        <v>3104.3</v>
      </c>
      <c r="AS225" s="91">
        <f t="shared" si="23"/>
        <v>3104.3</v>
      </c>
      <c r="AT225" s="69">
        <v>2657.62</v>
      </c>
      <c r="AU225" s="52">
        <v>325</v>
      </c>
      <c r="AV225" s="69">
        <v>121.68</v>
      </c>
      <c r="CD225" s="91">
        <f t="shared" si="24"/>
        <v>3104.2999999999997</v>
      </c>
      <c r="CE225" s="69">
        <f t="shared" si="25"/>
        <v>0</v>
      </c>
      <c r="CF225" s="75">
        <f t="shared" si="26"/>
        <v>7431</v>
      </c>
      <c r="CG225" s="69" t="str">
        <f t="shared" si="26"/>
        <v>برنامج دولى</v>
      </c>
    </row>
    <row r="226" spans="3:85" x14ac:dyDescent="0.25">
      <c r="C226" s="75">
        <v>12312</v>
      </c>
      <c r="D226" s="75">
        <v>7432</v>
      </c>
      <c r="E226" s="69" t="s">
        <v>78</v>
      </c>
      <c r="F226" s="69" t="s">
        <v>1010</v>
      </c>
      <c r="H226" s="69">
        <v>10330.84</v>
      </c>
      <c r="AS226" s="91">
        <f t="shared" si="23"/>
        <v>10330.84</v>
      </c>
      <c r="AT226" s="69">
        <v>7537.92</v>
      </c>
      <c r="AU226" s="52">
        <v>981.9</v>
      </c>
      <c r="AV226" s="69">
        <v>1811.02</v>
      </c>
      <c r="CD226" s="91">
        <f t="shared" si="24"/>
        <v>10330.84</v>
      </c>
      <c r="CE226" s="69">
        <f t="shared" si="25"/>
        <v>0</v>
      </c>
      <c r="CF226" s="75">
        <f t="shared" si="26"/>
        <v>7432</v>
      </c>
      <c r="CG226" s="69" t="str">
        <f t="shared" si="26"/>
        <v>برنامج دولى</v>
      </c>
    </row>
    <row r="227" spans="3:85" x14ac:dyDescent="0.25">
      <c r="C227" s="75">
        <v>12313</v>
      </c>
      <c r="D227" s="75">
        <v>7433</v>
      </c>
      <c r="E227" s="69" t="s">
        <v>78</v>
      </c>
      <c r="F227" s="69" t="s">
        <v>1010</v>
      </c>
      <c r="H227" s="69">
        <v>6542.55</v>
      </c>
      <c r="AS227" s="91">
        <f t="shared" si="23"/>
        <v>6542.55</v>
      </c>
      <c r="AT227" s="69">
        <v>4373.6499999999996</v>
      </c>
      <c r="AU227" s="52">
        <v>592.54999999999995</v>
      </c>
      <c r="AV227" s="69">
        <v>1576.35</v>
      </c>
      <c r="CD227" s="91">
        <f t="shared" si="24"/>
        <v>6542.5499999999993</v>
      </c>
      <c r="CE227" s="69">
        <f t="shared" si="25"/>
        <v>0</v>
      </c>
      <c r="CF227" s="75">
        <f t="shared" si="26"/>
        <v>7433</v>
      </c>
      <c r="CG227" s="69" t="str">
        <f t="shared" si="26"/>
        <v>برنامج دولى</v>
      </c>
    </row>
    <row r="228" spans="3:85" x14ac:dyDescent="0.25">
      <c r="C228" s="75">
        <v>12778</v>
      </c>
      <c r="D228" s="75">
        <v>7434</v>
      </c>
      <c r="E228" s="69" t="s">
        <v>78</v>
      </c>
      <c r="F228" s="69" t="s">
        <v>1010</v>
      </c>
      <c r="H228" s="69">
        <v>1266.3</v>
      </c>
      <c r="AS228" s="91">
        <f t="shared" si="23"/>
        <v>1266.3</v>
      </c>
      <c r="AT228" s="69">
        <v>846.35</v>
      </c>
      <c r="AU228" s="52">
        <v>114.85</v>
      </c>
      <c r="AV228" s="69">
        <v>305.10000000000002</v>
      </c>
      <c r="CD228" s="91">
        <f t="shared" si="24"/>
        <v>1266.3000000000002</v>
      </c>
      <c r="CE228" s="69">
        <f t="shared" si="25"/>
        <v>0</v>
      </c>
      <c r="CF228" s="75">
        <f t="shared" si="26"/>
        <v>7434</v>
      </c>
      <c r="CG228" s="69" t="str">
        <f t="shared" si="26"/>
        <v>برنامج دولى</v>
      </c>
    </row>
    <row r="229" spans="3:85" x14ac:dyDescent="0.25">
      <c r="C229" s="75">
        <v>12311</v>
      </c>
      <c r="D229" s="75">
        <v>7435</v>
      </c>
      <c r="E229" s="69" t="s">
        <v>78</v>
      </c>
      <c r="F229" s="69" t="s">
        <v>1010</v>
      </c>
      <c r="H229" s="69">
        <v>84680.320000000007</v>
      </c>
      <c r="AS229" s="91">
        <f t="shared" si="23"/>
        <v>84680.320000000007</v>
      </c>
      <c r="AT229" s="69">
        <v>68712.990000000005</v>
      </c>
      <c r="AU229" s="52">
        <v>8582.9500000000007</v>
      </c>
      <c r="AV229" s="69">
        <v>7384.38</v>
      </c>
      <c r="CD229" s="91">
        <f t="shared" si="24"/>
        <v>84680.320000000007</v>
      </c>
      <c r="CE229" s="69">
        <f t="shared" si="25"/>
        <v>0</v>
      </c>
      <c r="CF229" s="75">
        <f t="shared" si="26"/>
        <v>7435</v>
      </c>
      <c r="CG229" s="69" t="str">
        <f t="shared" si="26"/>
        <v>برنامج دولى</v>
      </c>
    </row>
    <row r="230" spans="3:85" x14ac:dyDescent="0.25">
      <c r="C230" s="75">
        <v>12140</v>
      </c>
      <c r="D230" s="75">
        <v>7436</v>
      </c>
      <c r="E230" s="69" t="s">
        <v>78</v>
      </c>
      <c r="F230" s="69" t="s">
        <v>1863</v>
      </c>
      <c r="H230" s="69">
        <v>5242.59</v>
      </c>
      <c r="AS230" s="91">
        <f t="shared" ref="AS230:AS293" si="27">SUM(H230:AR230)</f>
        <v>5242.59</v>
      </c>
      <c r="AT230" s="69">
        <v>3547.36</v>
      </c>
      <c r="AU230" s="52">
        <v>479.1</v>
      </c>
      <c r="AV230" s="69">
        <v>1216.1300000000001</v>
      </c>
      <c r="CD230" s="91">
        <f t="shared" ref="CD230:CD293" si="28">SUM(AT230:CC230)</f>
        <v>5242.59</v>
      </c>
      <c r="CE230" s="69">
        <f t="shared" ref="CE230:CE293" si="29">+CD230-AS230</f>
        <v>0</v>
      </c>
      <c r="CF230" s="75">
        <f t="shared" ref="CF230:CG293" si="30">+D230</f>
        <v>7436</v>
      </c>
      <c r="CG230" s="69" t="str">
        <f t="shared" si="30"/>
        <v>برنامج دولى</v>
      </c>
    </row>
    <row r="231" spans="3:85" x14ac:dyDescent="0.25">
      <c r="C231" s="75">
        <v>12144</v>
      </c>
      <c r="D231" s="75">
        <v>7437</v>
      </c>
      <c r="E231" s="69" t="s">
        <v>78</v>
      </c>
      <c r="F231" s="69" t="s">
        <v>1863</v>
      </c>
      <c r="H231" s="69">
        <v>1758.75</v>
      </c>
      <c r="AS231" s="91">
        <f t="shared" si="27"/>
        <v>1758.75</v>
      </c>
      <c r="AT231" s="69">
        <v>1175.3499999999999</v>
      </c>
      <c r="AU231" s="52">
        <v>159.65</v>
      </c>
      <c r="AV231" s="69">
        <v>423.75</v>
      </c>
      <c r="CD231" s="91">
        <f t="shared" si="28"/>
        <v>1758.75</v>
      </c>
      <c r="CE231" s="69">
        <f t="shared" si="29"/>
        <v>0</v>
      </c>
      <c r="CF231" s="75">
        <f t="shared" si="30"/>
        <v>7437</v>
      </c>
      <c r="CG231" s="69" t="str">
        <f t="shared" si="30"/>
        <v>برنامج دولى</v>
      </c>
    </row>
    <row r="232" spans="3:85" x14ac:dyDescent="0.25">
      <c r="C232" s="75">
        <v>12143</v>
      </c>
      <c r="D232" s="75">
        <v>7438</v>
      </c>
      <c r="E232" s="69" t="s">
        <v>78</v>
      </c>
      <c r="F232" s="69" t="s">
        <v>1864</v>
      </c>
      <c r="H232" s="69">
        <v>4572.75</v>
      </c>
      <c r="AS232" s="91">
        <f t="shared" si="27"/>
        <v>4572.75</v>
      </c>
      <c r="AT232" s="69">
        <v>3054.35</v>
      </c>
      <c r="AU232" s="52">
        <f>390+26.65</f>
        <v>416.65</v>
      </c>
      <c r="AV232" s="69">
        <v>1101.75</v>
      </c>
      <c r="CD232" s="91">
        <f t="shared" si="28"/>
        <v>4572.75</v>
      </c>
      <c r="CE232" s="69">
        <f t="shared" si="29"/>
        <v>0</v>
      </c>
      <c r="CF232" s="75">
        <f t="shared" si="30"/>
        <v>7438</v>
      </c>
      <c r="CG232" s="69" t="str">
        <f t="shared" si="30"/>
        <v>برنامج دولى</v>
      </c>
    </row>
    <row r="233" spans="3:85" x14ac:dyDescent="0.25">
      <c r="C233" s="75">
        <v>12142</v>
      </c>
      <c r="D233" s="75">
        <v>7439</v>
      </c>
      <c r="E233" s="69" t="s">
        <v>78</v>
      </c>
      <c r="F233" s="69" t="s">
        <v>1864</v>
      </c>
      <c r="H233" s="69">
        <v>1758.75</v>
      </c>
      <c r="AS233" s="91">
        <f t="shared" si="27"/>
        <v>1758.75</v>
      </c>
      <c r="AT233" s="69">
        <v>1175.3499999999999</v>
      </c>
      <c r="AU233" s="52">
        <v>159.65</v>
      </c>
      <c r="AV233" s="69">
        <v>423.75</v>
      </c>
      <c r="CD233" s="91">
        <f t="shared" si="28"/>
        <v>1758.75</v>
      </c>
      <c r="CE233" s="69">
        <f t="shared" si="29"/>
        <v>0</v>
      </c>
      <c r="CF233" s="75">
        <f t="shared" si="30"/>
        <v>7439</v>
      </c>
      <c r="CG233" s="69" t="str">
        <f t="shared" si="30"/>
        <v>برنامج دولى</v>
      </c>
    </row>
    <row r="234" spans="3:85" x14ac:dyDescent="0.25">
      <c r="C234" s="75">
        <v>12141</v>
      </c>
      <c r="D234" s="75">
        <v>7440</v>
      </c>
      <c r="E234" s="69" t="s">
        <v>78</v>
      </c>
      <c r="F234" s="69" t="s">
        <v>1864</v>
      </c>
      <c r="H234" s="69">
        <v>5217.07</v>
      </c>
      <c r="AS234" s="91">
        <f t="shared" si="27"/>
        <v>5217.07</v>
      </c>
      <c r="AT234" s="69">
        <v>3640.77</v>
      </c>
      <c r="AU234" s="52">
        <v>483.85</v>
      </c>
      <c r="AV234" s="69">
        <v>1092.45</v>
      </c>
      <c r="CD234" s="91">
        <f t="shared" si="28"/>
        <v>5217.07</v>
      </c>
      <c r="CE234" s="69">
        <f t="shared" si="29"/>
        <v>0</v>
      </c>
      <c r="CF234" s="75">
        <f t="shared" si="30"/>
        <v>7440</v>
      </c>
      <c r="CG234" s="69" t="str">
        <f t="shared" si="30"/>
        <v>برنامج دولى</v>
      </c>
    </row>
    <row r="235" spans="3:85" x14ac:dyDescent="0.25">
      <c r="C235" s="75">
        <v>12831</v>
      </c>
      <c r="D235" s="75">
        <v>7441</v>
      </c>
      <c r="E235" s="69" t="s">
        <v>78</v>
      </c>
      <c r="F235" s="69" t="s">
        <v>1865</v>
      </c>
      <c r="H235" s="69">
        <v>1200</v>
      </c>
      <c r="AS235" s="91">
        <f t="shared" si="27"/>
        <v>1200</v>
      </c>
      <c r="AT235" s="69">
        <v>1071.3499999999999</v>
      </c>
      <c r="AU235" s="52">
        <v>128.65</v>
      </c>
      <c r="CD235" s="91">
        <f t="shared" si="28"/>
        <v>1200</v>
      </c>
      <c r="CE235" s="69">
        <f t="shared" si="29"/>
        <v>0</v>
      </c>
      <c r="CF235" s="75">
        <f t="shared" si="30"/>
        <v>7441</v>
      </c>
      <c r="CG235" s="69" t="str">
        <f t="shared" si="30"/>
        <v>برنامج دولى</v>
      </c>
    </row>
    <row r="236" spans="3:85" x14ac:dyDescent="0.25">
      <c r="C236" s="75">
        <v>12830</v>
      </c>
      <c r="D236" s="75">
        <v>7442</v>
      </c>
      <c r="E236" s="69" t="s">
        <v>78</v>
      </c>
      <c r="F236" s="69" t="s">
        <v>1865</v>
      </c>
      <c r="H236" s="69">
        <v>9600</v>
      </c>
      <c r="AS236" s="91">
        <f t="shared" si="27"/>
        <v>9600</v>
      </c>
      <c r="AT236" s="69">
        <v>8563.6</v>
      </c>
      <c r="AU236" s="52">
        <v>1036.4000000000001</v>
      </c>
      <c r="CD236" s="91">
        <f t="shared" si="28"/>
        <v>9600</v>
      </c>
      <c r="CE236" s="69">
        <f t="shared" si="29"/>
        <v>0</v>
      </c>
      <c r="CF236" s="75">
        <f t="shared" si="30"/>
        <v>7442</v>
      </c>
      <c r="CG236" s="69" t="str">
        <f t="shared" si="30"/>
        <v>برنامج دولى</v>
      </c>
    </row>
    <row r="237" spans="3:85" x14ac:dyDescent="0.25">
      <c r="C237" s="75">
        <v>12829</v>
      </c>
      <c r="D237" s="75">
        <v>7443</v>
      </c>
      <c r="E237" s="69" t="s">
        <v>78</v>
      </c>
      <c r="F237" s="69" t="s">
        <v>1866</v>
      </c>
      <c r="H237" s="69">
        <v>600</v>
      </c>
      <c r="AS237" s="91">
        <f t="shared" si="27"/>
        <v>600</v>
      </c>
      <c r="AT237" s="69">
        <v>536.15</v>
      </c>
      <c r="AU237" s="52">
        <v>63.85</v>
      </c>
      <c r="CD237" s="91">
        <f t="shared" si="28"/>
        <v>600</v>
      </c>
      <c r="CE237" s="69">
        <f t="shared" si="29"/>
        <v>0</v>
      </c>
      <c r="CF237" s="75">
        <f t="shared" si="30"/>
        <v>7443</v>
      </c>
      <c r="CG237" s="69" t="str">
        <f t="shared" si="30"/>
        <v>برنامج دولى</v>
      </c>
    </row>
    <row r="238" spans="3:85" x14ac:dyDescent="0.25">
      <c r="C238" s="75">
        <v>12828</v>
      </c>
      <c r="D238" s="75">
        <v>7444</v>
      </c>
      <c r="E238" s="69" t="s">
        <v>78</v>
      </c>
      <c r="F238" s="69" t="s">
        <v>1866</v>
      </c>
      <c r="H238" s="69">
        <v>200</v>
      </c>
      <c r="AS238" s="91">
        <f t="shared" si="27"/>
        <v>200</v>
      </c>
      <c r="AT238" s="69">
        <v>179.1</v>
      </c>
      <c r="AU238" s="52">
        <v>20.9</v>
      </c>
      <c r="CD238" s="91">
        <f t="shared" si="28"/>
        <v>200</v>
      </c>
      <c r="CE238" s="69">
        <f t="shared" si="29"/>
        <v>0</v>
      </c>
      <c r="CF238" s="75">
        <f t="shared" si="30"/>
        <v>7444</v>
      </c>
      <c r="CG238" s="69" t="str">
        <f t="shared" si="30"/>
        <v>برنامج دولى</v>
      </c>
    </row>
    <row r="239" spans="3:85" x14ac:dyDescent="0.25">
      <c r="C239" s="75">
        <v>12827</v>
      </c>
      <c r="D239" s="75">
        <v>7445</v>
      </c>
      <c r="E239" s="69" t="s">
        <v>78</v>
      </c>
      <c r="F239" s="69" t="s">
        <v>1866</v>
      </c>
      <c r="H239" s="69">
        <v>1303.5</v>
      </c>
      <c r="AS239" s="91">
        <f t="shared" si="27"/>
        <v>1303.5</v>
      </c>
      <c r="AT239" s="69">
        <v>1008</v>
      </c>
      <c r="AU239" s="52">
        <v>126</v>
      </c>
      <c r="AV239" s="69">
        <v>169.5</v>
      </c>
      <c r="CD239" s="91">
        <f t="shared" si="28"/>
        <v>1303.5</v>
      </c>
      <c r="CE239" s="69">
        <f t="shared" si="29"/>
        <v>0</v>
      </c>
      <c r="CF239" s="75">
        <f t="shared" si="30"/>
        <v>7445</v>
      </c>
      <c r="CG239" s="69" t="str">
        <f t="shared" si="30"/>
        <v>برنامج دولى</v>
      </c>
    </row>
    <row r="240" spans="3:85" x14ac:dyDescent="0.25">
      <c r="C240" s="75">
        <v>12826</v>
      </c>
      <c r="D240" s="75">
        <v>7446</v>
      </c>
      <c r="E240" s="69" t="s">
        <v>78</v>
      </c>
      <c r="F240" s="69" t="s">
        <v>1866</v>
      </c>
      <c r="H240" s="69">
        <v>703.5</v>
      </c>
      <c r="AS240" s="91">
        <f t="shared" si="27"/>
        <v>703.5</v>
      </c>
      <c r="AT240" s="69">
        <v>470.6</v>
      </c>
      <c r="AU240" s="52">
        <v>63.4</v>
      </c>
      <c r="AV240" s="69">
        <v>169.5</v>
      </c>
      <c r="CD240" s="91">
        <f t="shared" si="28"/>
        <v>703.5</v>
      </c>
      <c r="CE240" s="69">
        <f t="shared" si="29"/>
        <v>0</v>
      </c>
      <c r="CF240" s="75">
        <f t="shared" si="30"/>
        <v>7446</v>
      </c>
      <c r="CG240" s="69" t="str">
        <f t="shared" si="30"/>
        <v>برنامج دولى</v>
      </c>
    </row>
    <row r="241" spans="3:85" x14ac:dyDescent="0.25">
      <c r="C241" s="75">
        <v>12825</v>
      </c>
      <c r="D241" s="75">
        <v>7447</v>
      </c>
      <c r="E241" s="69" t="s">
        <v>78</v>
      </c>
      <c r="F241" s="69" t="s">
        <v>1866</v>
      </c>
      <c r="H241" s="69">
        <v>600</v>
      </c>
      <c r="AS241" s="91">
        <f t="shared" si="27"/>
        <v>600</v>
      </c>
      <c r="AT241" s="69">
        <v>536.15</v>
      </c>
      <c r="AU241" s="52">
        <v>63.85</v>
      </c>
      <c r="CD241" s="91">
        <f t="shared" si="28"/>
        <v>600</v>
      </c>
      <c r="CE241" s="69">
        <f t="shared" si="29"/>
        <v>0</v>
      </c>
      <c r="CF241" s="75">
        <f t="shared" si="30"/>
        <v>7447</v>
      </c>
      <c r="CG241" s="69" t="str">
        <f t="shared" si="30"/>
        <v>برنامج دولى</v>
      </c>
    </row>
    <row r="242" spans="3:85" x14ac:dyDescent="0.25">
      <c r="C242" s="75">
        <v>12824</v>
      </c>
      <c r="D242" s="75">
        <v>7448</v>
      </c>
      <c r="E242" s="69" t="s">
        <v>78</v>
      </c>
      <c r="F242" s="69" t="s">
        <v>1866</v>
      </c>
      <c r="H242" s="69">
        <v>1000</v>
      </c>
      <c r="AS242" s="91">
        <f t="shared" si="27"/>
        <v>1000</v>
      </c>
      <c r="AT242" s="69">
        <v>893.35</v>
      </c>
      <c r="AU242" s="52">
        <v>106.65</v>
      </c>
      <c r="CD242" s="91">
        <f t="shared" si="28"/>
        <v>1000</v>
      </c>
      <c r="CE242" s="69">
        <f t="shared" si="29"/>
        <v>0</v>
      </c>
      <c r="CF242" s="75">
        <f t="shared" si="30"/>
        <v>7448</v>
      </c>
      <c r="CG242" s="69" t="str">
        <f t="shared" si="30"/>
        <v>برنامج دولى</v>
      </c>
    </row>
    <row r="243" spans="3:85" x14ac:dyDescent="0.25">
      <c r="C243" s="75">
        <v>12823</v>
      </c>
      <c r="D243" s="75">
        <v>7449</v>
      </c>
      <c r="E243" s="69" t="s">
        <v>78</v>
      </c>
      <c r="F243" s="69" t="s">
        <v>1866</v>
      </c>
      <c r="H243" s="69">
        <v>200</v>
      </c>
      <c r="AS243" s="91">
        <f t="shared" si="27"/>
        <v>200</v>
      </c>
      <c r="AT243" s="69">
        <v>179.1</v>
      </c>
      <c r="AU243" s="52">
        <v>20.9</v>
      </c>
      <c r="CD243" s="91">
        <f t="shared" si="28"/>
        <v>200</v>
      </c>
      <c r="CE243" s="69">
        <f t="shared" si="29"/>
        <v>0</v>
      </c>
      <c r="CF243" s="75">
        <f t="shared" si="30"/>
        <v>7449</v>
      </c>
      <c r="CG243" s="69" t="str">
        <f t="shared" si="30"/>
        <v>برنامج دولى</v>
      </c>
    </row>
    <row r="244" spans="3:85" x14ac:dyDescent="0.25">
      <c r="C244" s="75">
        <v>12822</v>
      </c>
      <c r="D244" s="75">
        <v>7450</v>
      </c>
      <c r="E244" s="69" t="s">
        <v>78</v>
      </c>
      <c r="F244" s="69" t="s">
        <v>1866</v>
      </c>
      <c r="H244" s="69">
        <v>469</v>
      </c>
      <c r="AS244" s="91">
        <f t="shared" si="27"/>
        <v>469</v>
      </c>
      <c r="AT244" s="69">
        <v>314</v>
      </c>
      <c r="AU244" s="52">
        <v>42</v>
      </c>
      <c r="AV244" s="69">
        <v>113</v>
      </c>
      <c r="CD244" s="91">
        <f t="shared" si="28"/>
        <v>469</v>
      </c>
      <c r="CE244" s="69">
        <f t="shared" si="29"/>
        <v>0</v>
      </c>
      <c r="CF244" s="75">
        <f t="shared" si="30"/>
        <v>7450</v>
      </c>
      <c r="CG244" s="69" t="str">
        <f t="shared" si="30"/>
        <v>برنامج دولى</v>
      </c>
    </row>
    <row r="245" spans="3:85" x14ac:dyDescent="0.25">
      <c r="C245" s="75">
        <v>12821</v>
      </c>
      <c r="D245" s="75">
        <v>7451</v>
      </c>
      <c r="E245" s="69" t="s">
        <v>78</v>
      </c>
      <c r="F245" s="69" t="s">
        <v>1866</v>
      </c>
      <c r="H245" s="69">
        <v>469</v>
      </c>
      <c r="AS245" s="91">
        <f t="shared" si="27"/>
        <v>469</v>
      </c>
      <c r="AT245" s="69">
        <v>314</v>
      </c>
      <c r="AU245" s="52">
        <v>42</v>
      </c>
      <c r="AV245" s="69">
        <v>113</v>
      </c>
      <c r="CD245" s="91">
        <f t="shared" si="28"/>
        <v>469</v>
      </c>
      <c r="CE245" s="69">
        <f t="shared" si="29"/>
        <v>0</v>
      </c>
      <c r="CF245" s="75">
        <f t="shared" si="30"/>
        <v>7451</v>
      </c>
      <c r="CG245" s="69" t="str">
        <f t="shared" si="30"/>
        <v>برنامج دولى</v>
      </c>
    </row>
    <row r="246" spans="3:85" x14ac:dyDescent="0.25">
      <c r="C246" s="75">
        <v>12820</v>
      </c>
      <c r="D246" s="75">
        <v>7452</v>
      </c>
      <c r="E246" s="69" t="s">
        <v>78</v>
      </c>
      <c r="F246" s="69" t="s">
        <v>1866</v>
      </c>
      <c r="H246" s="69">
        <v>234.5</v>
      </c>
      <c r="AS246" s="91">
        <f t="shared" si="27"/>
        <v>234.5</v>
      </c>
      <c r="AT246" s="69">
        <v>157.19999999999999</v>
      </c>
      <c r="AU246" s="52">
        <v>20.8</v>
      </c>
      <c r="AV246" s="69">
        <v>56.5</v>
      </c>
      <c r="CD246" s="91">
        <f t="shared" si="28"/>
        <v>234.5</v>
      </c>
      <c r="CE246" s="69">
        <f t="shared" si="29"/>
        <v>0</v>
      </c>
      <c r="CF246" s="75">
        <f t="shared" si="30"/>
        <v>7452</v>
      </c>
      <c r="CG246" s="69" t="str">
        <f t="shared" si="30"/>
        <v>برنامج دولى</v>
      </c>
    </row>
    <row r="247" spans="3:85" x14ac:dyDescent="0.25">
      <c r="C247" s="75">
        <v>12819</v>
      </c>
      <c r="D247" s="75">
        <v>7453</v>
      </c>
      <c r="E247" s="69" t="s">
        <v>78</v>
      </c>
      <c r="F247" s="69" t="s">
        <v>1866</v>
      </c>
      <c r="H247" s="69">
        <v>234.5</v>
      </c>
      <c r="AS247" s="91">
        <f t="shared" si="27"/>
        <v>234.5</v>
      </c>
      <c r="AT247" s="69">
        <v>157.19999999999999</v>
      </c>
      <c r="AU247" s="52">
        <v>20.8</v>
      </c>
      <c r="AV247" s="69">
        <v>56.5</v>
      </c>
      <c r="CD247" s="91">
        <f t="shared" si="28"/>
        <v>234.5</v>
      </c>
      <c r="CE247" s="69">
        <f t="shared" si="29"/>
        <v>0</v>
      </c>
      <c r="CF247" s="75">
        <f t="shared" si="30"/>
        <v>7453</v>
      </c>
      <c r="CG247" s="69" t="str">
        <f t="shared" si="30"/>
        <v>برنامج دولى</v>
      </c>
    </row>
    <row r="248" spans="3:85" x14ac:dyDescent="0.25">
      <c r="C248" s="75">
        <v>12818</v>
      </c>
      <c r="D248" s="75">
        <v>7454</v>
      </c>
      <c r="E248" s="69" t="s">
        <v>78</v>
      </c>
      <c r="F248" s="69" t="s">
        <v>1866</v>
      </c>
      <c r="H248" s="69">
        <v>1172.5</v>
      </c>
      <c r="AS248" s="91">
        <f t="shared" si="27"/>
        <v>1172.5</v>
      </c>
      <c r="AT248" s="69">
        <v>784.1</v>
      </c>
      <c r="AU248" s="52">
        <v>105.9</v>
      </c>
      <c r="AV248" s="69">
        <v>282.5</v>
      </c>
      <c r="CD248" s="91">
        <f t="shared" si="28"/>
        <v>1172.5</v>
      </c>
      <c r="CE248" s="69">
        <f t="shared" si="29"/>
        <v>0</v>
      </c>
      <c r="CF248" s="75">
        <f t="shared" si="30"/>
        <v>7454</v>
      </c>
      <c r="CG248" s="69" t="str">
        <f t="shared" si="30"/>
        <v>برنامج دولى</v>
      </c>
    </row>
    <row r="249" spans="3:85" x14ac:dyDescent="0.25">
      <c r="C249" s="75">
        <v>12817</v>
      </c>
      <c r="D249" s="75">
        <v>7455</v>
      </c>
      <c r="E249" s="69" t="s">
        <v>78</v>
      </c>
      <c r="F249" s="69" t="s">
        <v>1866</v>
      </c>
      <c r="H249" s="69">
        <v>2579.5</v>
      </c>
      <c r="AS249" s="91">
        <f t="shared" si="27"/>
        <v>2579.5</v>
      </c>
      <c r="AT249" s="69">
        <v>1727.35</v>
      </c>
      <c r="AU249" s="52">
        <v>230.65</v>
      </c>
      <c r="AV249" s="69">
        <v>621.5</v>
      </c>
      <c r="CD249" s="91">
        <f t="shared" si="28"/>
        <v>2579.5</v>
      </c>
      <c r="CE249" s="69">
        <f t="shared" si="29"/>
        <v>0</v>
      </c>
      <c r="CF249" s="75">
        <f t="shared" si="30"/>
        <v>7455</v>
      </c>
      <c r="CG249" s="69" t="str">
        <f t="shared" si="30"/>
        <v>برنامج دولى</v>
      </c>
    </row>
    <row r="250" spans="3:85" x14ac:dyDescent="0.25">
      <c r="C250" s="75">
        <v>12816</v>
      </c>
      <c r="D250" s="75">
        <v>7456</v>
      </c>
      <c r="E250" s="69" t="s">
        <v>78</v>
      </c>
      <c r="F250" s="69" t="s">
        <v>1866</v>
      </c>
      <c r="H250" s="69">
        <v>4400</v>
      </c>
      <c r="AS250" s="91">
        <f t="shared" si="27"/>
        <v>4400</v>
      </c>
      <c r="AT250" s="69">
        <v>3928.9</v>
      </c>
      <c r="AU250" s="52">
        <v>471.1</v>
      </c>
      <c r="CD250" s="91">
        <f t="shared" si="28"/>
        <v>4400</v>
      </c>
      <c r="CE250" s="69">
        <f t="shared" si="29"/>
        <v>0</v>
      </c>
      <c r="CF250" s="75">
        <f t="shared" si="30"/>
        <v>7456</v>
      </c>
      <c r="CG250" s="69" t="str">
        <f t="shared" si="30"/>
        <v>برنامج دولى</v>
      </c>
    </row>
    <row r="251" spans="3:85" x14ac:dyDescent="0.25">
      <c r="C251" s="75">
        <v>12815</v>
      </c>
      <c r="D251" s="75">
        <v>7457</v>
      </c>
      <c r="E251" s="69" t="s">
        <v>78</v>
      </c>
      <c r="F251" s="69" t="s">
        <v>1867</v>
      </c>
      <c r="H251" s="69">
        <v>1000</v>
      </c>
      <c r="AS251" s="91">
        <f t="shared" si="27"/>
        <v>1000</v>
      </c>
      <c r="AT251" s="69">
        <v>893.35</v>
      </c>
      <c r="AU251" s="52">
        <v>106.65</v>
      </c>
      <c r="CD251" s="91">
        <f t="shared" si="28"/>
        <v>1000</v>
      </c>
      <c r="CE251" s="69">
        <f t="shared" si="29"/>
        <v>0</v>
      </c>
      <c r="CF251" s="75">
        <f t="shared" si="30"/>
        <v>7457</v>
      </c>
      <c r="CG251" s="69" t="str">
        <f t="shared" si="30"/>
        <v>برنامج دولى</v>
      </c>
    </row>
    <row r="252" spans="3:85" x14ac:dyDescent="0.25">
      <c r="C252" s="75">
        <v>12814</v>
      </c>
      <c r="D252" s="75">
        <v>7458</v>
      </c>
      <c r="E252" s="69" t="s">
        <v>78</v>
      </c>
      <c r="F252" s="69" t="s">
        <v>1868</v>
      </c>
      <c r="H252" s="69">
        <v>900</v>
      </c>
      <c r="AS252" s="91">
        <f t="shared" si="27"/>
        <v>900</v>
      </c>
      <c r="AT252" s="69">
        <v>804.05</v>
      </c>
      <c r="AU252" s="52">
        <v>95.95</v>
      </c>
      <c r="CD252" s="91">
        <f t="shared" si="28"/>
        <v>900</v>
      </c>
      <c r="CE252" s="69">
        <f t="shared" si="29"/>
        <v>0</v>
      </c>
      <c r="CF252" s="75">
        <f t="shared" si="30"/>
        <v>7458</v>
      </c>
      <c r="CG252" s="69" t="str">
        <f t="shared" si="30"/>
        <v>برنامج دولى</v>
      </c>
    </row>
    <row r="253" spans="3:85" x14ac:dyDescent="0.25">
      <c r="C253" s="75">
        <v>12813</v>
      </c>
      <c r="D253" s="75">
        <v>7459</v>
      </c>
      <c r="E253" s="69" t="s">
        <v>78</v>
      </c>
      <c r="F253" s="69" t="s">
        <v>1868</v>
      </c>
      <c r="H253" s="69">
        <v>5613.03</v>
      </c>
      <c r="AS253" s="91">
        <f t="shared" si="27"/>
        <v>5613.03</v>
      </c>
      <c r="AT253" s="69">
        <v>4536.78</v>
      </c>
      <c r="AU253" s="52">
        <v>563.6</v>
      </c>
      <c r="AV253" s="69">
        <v>512.65</v>
      </c>
      <c r="CD253" s="91">
        <f t="shared" si="28"/>
        <v>5613.03</v>
      </c>
      <c r="CE253" s="69">
        <f t="shared" si="29"/>
        <v>0</v>
      </c>
      <c r="CF253" s="75">
        <f t="shared" si="30"/>
        <v>7459</v>
      </c>
      <c r="CG253" s="69" t="str">
        <f t="shared" si="30"/>
        <v>برنامج دولى</v>
      </c>
    </row>
    <row r="254" spans="3:85" x14ac:dyDescent="0.25">
      <c r="C254" s="75">
        <v>12812</v>
      </c>
      <c r="D254" s="75">
        <v>7460</v>
      </c>
      <c r="E254" s="69" t="s">
        <v>78</v>
      </c>
      <c r="F254" s="69" t="s">
        <v>1869</v>
      </c>
      <c r="H254" s="69">
        <v>2503.5</v>
      </c>
      <c r="AS254" s="91">
        <f t="shared" si="27"/>
        <v>2503.5</v>
      </c>
      <c r="AT254" s="69">
        <v>2079.0500000000002</v>
      </c>
      <c r="AU254" s="52">
        <v>254.95</v>
      </c>
      <c r="AV254" s="69">
        <v>169.5</v>
      </c>
      <c r="CD254" s="91">
        <f t="shared" si="28"/>
        <v>2503.5</v>
      </c>
      <c r="CE254" s="69">
        <f t="shared" si="29"/>
        <v>0</v>
      </c>
      <c r="CF254" s="75">
        <f t="shared" si="30"/>
        <v>7460</v>
      </c>
      <c r="CG254" s="69" t="str">
        <f t="shared" si="30"/>
        <v>برنامج دولى</v>
      </c>
    </row>
    <row r="255" spans="3:85" x14ac:dyDescent="0.25">
      <c r="C255" s="75">
        <v>12811</v>
      </c>
      <c r="D255" s="75">
        <v>7461</v>
      </c>
      <c r="E255" s="69" t="s">
        <v>78</v>
      </c>
      <c r="F255" s="69" t="s">
        <v>1869</v>
      </c>
      <c r="H255" s="69">
        <v>2240.5100000000002</v>
      </c>
      <c r="AS255" s="91">
        <f t="shared" si="27"/>
        <v>2240.5100000000002</v>
      </c>
      <c r="AT255" s="69">
        <v>1939.97</v>
      </c>
      <c r="AU255" s="52">
        <v>234.2</v>
      </c>
      <c r="AV255" s="69">
        <v>66.34</v>
      </c>
      <c r="CD255" s="91">
        <f t="shared" si="28"/>
        <v>2240.5100000000002</v>
      </c>
      <c r="CE255" s="69">
        <f t="shared" si="29"/>
        <v>0</v>
      </c>
      <c r="CF255" s="75">
        <f t="shared" si="30"/>
        <v>7461</v>
      </c>
      <c r="CG255" s="69" t="str">
        <f t="shared" si="30"/>
        <v>برنامج دولى</v>
      </c>
    </row>
    <row r="256" spans="3:85" x14ac:dyDescent="0.25">
      <c r="C256" s="75">
        <v>12810</v>
      </c>
      <c r="D256" s="75">
        <v>7462</v>
      </c>
      <c r="E256" s="69" t="s">
        <v>78</v>
      </c>
      <c r="F256" s="69" t="s">
        <v>1870</v>
      </c>
      <c r="H256" s="69">
        <v>1800</v>
      </c>
      <c r="AS256" s="91">
        <f t="shared" si="27"/>
        <v>1800</v>
      </c>
      <c r="AT256" s="69">
        <v>1607.55</v>
      </c>
      <c r="AU256" s="52">
        <v>192.45</v>
      </c>
      <c r="CD256" s="91">
        <f t="shared" si="28"/>
        <v>1800</v>
      </c>
      <c r="CE256" s="69">
        <f t="shared" si="29"/>
        <v>0</v>
      </c>
      <c r="CF256" s="75">
        <f t="shared" si="30"/>
        <v>7462</v>
      </c>
      <c r="CG256" s="69" t="str">
        <f t="shared" si="30"/>
        <v>برنامج دولى</v>
      </c>
    </row>
    <row r="257" spans="3:85" x14ac:dyDescent="0.25">
      <c r="C257" s="75">
        <v>12809</v>
      </c>
      <c r="D257" s="75">
        <v>7463</v>
      </c>
      <c r="E257" s="69" t="s">
        <v>78</v>
      </c>
      <c r="F257" s="69" t="s">
        <v>1870</v>
      </c>
      <c r="H257" s="69">
        <v>1350</v>
      </c>
      <c r="AS257" s="91">
        <f t="shared" si="27"/>
        <v>1350</v>
      </c>
      <c r="AT257" s="69">
        <v>1205.25</v>
      </c>
      <c r="AU257" s="52">
        <v>144.75</v>
      </c>
      <c r="CD257" s="91">
        <f t="shared" si="28"/>
        <v>1350</v>
      </c>
      <c r="CE257" s="69">
        <f t="shared" si="29"/>
        <v>0</v>
      </c>
      <c r="CF257" s="75">
        <f t="shared" si="30"/>
        <v>7463</v>
      </c>
      <c r="CG257" s="69" t="str">
        <f t="shared" si="30"/>
        <v>برنامج دولى</v>
      </c>
    </row>
    <row r="258" spans="3:85" x14ac:dyDescent="0.25">
      <c r="C258" s="75">
        <v>12808</v>
      </c>
      <c r="D258" s="75">
        <v>7464</v>
      </c>
      <c r="E258" s="69" t="s">
        <v>78</v>
      </c>
      <c r="F258" s="69" t="s">
        <v>1871</v>
      </c>
      <c r="H258" s="69">
        <v>7200</v>
      </c>
      <c r="AS258" s="91">
        <f t="shared" si="27"/>
        <v>7200</v>
      </c>
      <c r="AT258" s="69">
        <v>6427.4</v>
      </c>
      <c r="AU258" s="52">
        <v>772.6</v>
      </c>
      <c r="CD258" s="91">
        <f t="shared" si="28"/>
        <v>7200</v>
      </c>
      <c r="CE258" s="69">
        <f t="shared" si="29"/>
        <v>0</v>
      </c>
      <c r="CF258" s="75">
        <f t="shared" si="30"/>
        <v>7464</v>
      </c>
      <c r="CG258" s="69" t="str">
        <f t="shared" si="30"/>
        <v>برنامج دولى</v>
      </c>
    </row>
    <row r="259" spans="3:85" x14ac:dyDescent="0.25">
      <c r="C259" s="75">
        <v>12807</v>
      </c>
      <c r="D259" s="75">
        <v>7465</v>
      </c>
      <c r="E259" s="69" t="s">
        <v>78</v>
      </c>
      <c r="F259" s="69" t="s">
        <v>665</v>
      </c>
      <c r="H259" s="69">
        <v>410.38</v>
      </c>
      <c r="AS259" s="91">
        <f t="shared" si="27"/>
        <v>410.38</v>
      </c>
      <c r="AT259" s="69">
        <v>274.8</v>
      </c>
      <c r="AU259" s="52">
        <v>36.700000000000003</v>
      </c>
      <c r="AV259" s="69">
        <v>98.88</v>
      </c>
      <c r="CD259" s="91">
        <f t="shared" si="28"/>
        <v>410.38</v>
      </c>
      <c r="CE259" s="69">
        <f t="shared" si="29"/>
        <v>0</v>
      </c>
      <c r="CF259" s="75">
        <f t="shared" si="30"/>
        <v>7465</v>
      </c>
      <c r="CG259" s="69" t="str">
        <f t="shared" si="30"/>
        <v>برنامج دولى</v>
      </c>
    </row>
    <row r="260" spans="3:85" x14ac:dyDescent="0.25">
      <c r="C260" s="75">
        <v>12806</v>
      </c>
      <c r="D260" s="75">
        <v>7466</v>
      </c>
      <c r="E260" s="69" t="s">
        <v>78</v>
      </c>
      <c r="F260" s="69" t="s">
        <v>665</v>
      </c>
      <c r="H260" s="69">
        <v>351.75</v>
      </c>
      <c r="AS260" s="91">
        <f t="shared" si="27"/>
        <v>351.75</v>
      </c>
      <c r="AT260" s="69">
        <v>235.55</v>
      </c>
      <c r="AU260" s="52">
        <v>31.45</v>
      </c>
      <c r="AV260" s="69">
        <v>84.75</v>
      </c>
      <c r="CD260" s="91">
        <f t="shared" si="28"/>
        <v>351.75</v>
      </c>
      <c r="CE260" s="69">
        <f t="shared" si="29"/>
        <v>0</v>
      </c>
      <c r="CF260" s="75">
        <f t="shared" si="30"/>
        <v>7466</v>
      </c>
      <c r="CG260" s="69" t="str">
        <f t="shared" si="30"/>
        <v>برنامج دولى</v>
      </c>
    </row>
    <row r="261" spans="3:85" x14ac:dyDescent="0.25">
      <c r="C261" s="75">
        <v>12805</v>
      </c>
      <c r="D261" s="75">
        <v>7467</v>
      </c>
      <c r="E261" s="69" t="s">
        <v>78</v>
      </c>
      <c r="F261" s="69" t="s">
        <v>1872</v>
      </c>
      <c r="H261" s="69">
        <v>2400</v>
      </c>
      <c r="AS261" s="91">
        <f t="shared" si="27"/>
        <v>2400</v>
      </c>
      <c r="AT261" s="69">
        <v>2142.6999999999998</v>
      </c>
      <c r="AU261" s="52">
        <v>257.3</v>
      </c>
      <c r="CD261" s="91">
        <f t="shared" si="28"/>
        <v>2400</v>
      </c>
      <c r="CE261" s="69">
        <f t="shared" si="29"/>
        <v>0</v>
      </c>
      <c r="CF261" s="75">
        <f t="shared" si="30"/>
        <v>7467</v>
      </c>
      <c r="CG261" s="69" t="str">
        <f t="shared" si="30"/>
        <v>برنامج دولى</v>
      </c>
    </row>
    <row r="262" spans="3:85" x14ac:dyDescent="0.25">
      <c r="C262" s="75">
        <v>12832</v>
      </c>
      <c r="D262" s="75">
        <v>7468</v>
      </c>
      <c r="E262" s="69" t="s">
        <v>78</v>
      </c>
      <c r="F262" s="69" t="s">
        <v>1873</v>
      </c>
      <c r="H262" s="69">
        <v>900</v>
      </c>
      <c r="AS262" s="91">
        <f t="shared" si="27"/>
        <v>900</v>
      </c>
      <c r="AT262" s="69">
        <v>804.05</v>
      </c>
      <c r="AU262" s="52">
        <v>95.95</v>
      </c>
      <c r="CD262" s="91">
        <f t="shared" si="28"/>
        <v>900</v>
      </c>
      <c r="CE262" s="69">
        <f t="shared" si="29"/>
        <v>0</v>
      </c>
      <c r="CF262" s="75">
        <f t="shared" si="30"/>
        <v>7468</v>
      </c>
      <c r="CG262" s="69" t="str">
        <f t="shared" si="30"/>
        <v>برنامج دولى</v>
      </c>
    </row>
    <row r="263" spans="3:85" x14ac:dyDescent="0.25">
      <c r="C263" s="75">
        <v>12804</v>
      </c>
      <c r="D263" s="75">
        <v>7469</v>
      </c>
      <c r="E263" s="69" t="s">
        <v>78</v>
      </c>
      <c r="F263" s="69" t="s">
        <v>1873</v>
      </c>
      <c r="H263" s="69">
        <v>5100.38</v>
      </c>
      <c r="AS263" s="91">
        <f t="shared" si="27"/>
        <v>5100.38</v>
      </c>
      <c r="AT263" s="69">
        <v>3411.65</v>
      </c>
      <c r="AU263" s="52">
        <f>24.85+435</f>
        <v>459.85</v>
      </c>
      <c r="AV263" s="69">
        <f>1688.73-24.85-435</f>
        <v>1228.8800000000001</v>
      </c>
      <c r="CD263" s="91">
        <f t="shared" si="28"/>
        <v>5100.38</v>
      </c>
      <c r="CE263" s="69">
        <f t="shared" si="29"/>
        <v>0</v>
      </c>
      <c r="CF263" s="75">
        <f t="shared" si="30"/>
        <v>7469</v>
      </c>
      <c r="CG263" s="69" t="str">
        <f t="shared" si="30"/>
        <v>برنامج دولى</v>
      </c>
    </row>
    <row r="264" spans="3:85" x14ac:dyDescent="0.25">
      <c r="C264" s="75">
        <v>12779</v>
      </c>
      <c r="D264" s="75">
        <v>7470</v>
      </c>
      <c r="E264" s="69" t="s">
        <v>78</v>
      </c>
      <c r="F264" s="69" t="s">
        <v>1874</v>
      </c>
      <c r="H264" s="69">
        <v>8475</v>
      </c>
      <c r="AS264" s="91">
        <f t="shared" si="27"/>
        <v>8475</v>
      </c>
      <c r="AT264" s="69">
        <v>6826.45</v>
      </c>
      <c r="AU264" s="52">
        <v>853.55</v>
      </c>
      <c r="AV264" s="69">
        <v>795</v>
      </c>
      <c r="CD264" s="91">
        <f t="shared" si="28"/>
        <v>8475</v>
      </c>
      <c r="CE264" s="69">
        <f t="shared" si="29"/>
        <v>0</v>
      </c>
      <c r="CF264" s="75">
        <f t="shared" si="30"/>
        <v>7470</v>
      </c>
      <c r="CG264" s="69" t="str">
        <f t="shared" si="30"/>
        <v>برنامج دولى</v>
      </c>
    </row>
    <row r="265" spans="3:85" x14ac:dyDescent="0.25">
      <c r="C265" s="75">
        <v>12847</v>
      </c>
      <c r="D265" s="75">
        <v>7471</v>
      </c>
      <c r="E265" s="69" t="s">
        <v>78</v>
      </c>
      <c r="F265" s="69" t="s">
        <v>1874</v>
      </c>
      <c r="H265" s="69">
        <v>289973.95</v>
      </c>
      <c r="AS265" s="91">
        <f t="shared" si="27"/>
        <v>289973.95</v>
      </c>
      <c r="AT265" s="69">
        <v>242073.35</v>
      </c>
      <c r="AU265" s="52">
        <v>29894.55</v>
      </c>
      <c r="AV265" s="69">
        <v>18006.05</v>
      </c>
      <c r="CD265" s="91">
        <f t="shared" si="28"/>
        <v>289973.95</v>
      </c>
      <c r="CE265" s="69">
        <f t="shared" si="29"/>
        <v>0</v>
      </c>
      <c r="CF265" s="75">
        <f t="shared" si="30"/>
        <v>7471</v>
      </c>
      <c r="CG265" s="69" t="str">
        <f t="shared" si="30"/>
        <v>برنامج دولى</v>
      </c>
    </row>
    <row r="266" spans="3:85" x14ac:dyDescent="0.25">
      <c r="C266" s="75">
        <v>12780</v>
      </c>
      <c r="D266" s="75">
        <v>7472</v>
      </c>
      <c r="E266" s="69" t="s">
        <v>78</v>
      </c>
      <c r="F266" s="69" t="s">
        <v>1875</v>
      </c>
      <c r="H266" s="69">
        <v>1373.86</v>
      </c>
      <c r="AS266" s="91">
        <f t="shared" si="27"/>
        <v>1373.86</v>
      </c>
      <c r="AT266" s="69">
        <v>961.33</v>
      </c>
      <c r="AU266" s="52">
        <v>127.8</v>
      </c>
      <c r="AV266" s="69">
        <v>284.73</v>
      </c>
      <c r="CD266" s="91">
        <f t="shared" si="28"/>
        <v>1373.8600000000001</v>
      </c>
      <c r="CE266" s="69">
        <f t="shared" si="29"/>
        <v>0</v>
      </c>
      <c r="CF266" s="75">
        <f t="shared" si="30"/>
        <v>7472</v>
      </c>
      <c r="CG266" s="69" t="str">
        <f t="shared" si="30"/>
        <v>برنامج دولى</v>
      </c>
    </row>
    <row r="267" spans="3:85" x14ac:dyDescent="0.25">
      <c r="C267" s="75">
        <v>12781</v>
      </c>
      <c r="D267" s="75">
        <v>7473</v>
      </c>
      <c r="E267" s="69" t="s">
        <v>78</v>
      </c>
      <c r="F267" s="69" t="s">
        <v>1875</v>
      </c>
      <c r="H267" s="69">
        <v>1600</v>
      </c>
      <c r="AS267" s="91">
        <f t="shared" si="27"/>
        <v>1600</v>
      </c>
      <c r="AT267" s="69">
        <v>1429.5</v>
      </c>
      <c r="AU267" s="52">
        <v>170.5</v>
      </c>
      <c r="CD267" s="91">
        <f t="shared" si="28"/>
        <v>1600</v>
      </c>
      <c r="CE267" s="69">
        <f t="shared" si="29"/>
        <v>0</v>
      </c>
      <c r="CF267" s="75">
        <f t="shared" si="30"/>
        <v>7473</v>
      </c>
      <c r="CG267" s="69" t="str">
        <f t="shared" si="30"/>
        <v>برنامج دولى</v>
      </c>
    </row>
    <row r="268" spans="3:85" x14ac:dyDescent="0.25">
      <c r="C268" s="75">
        <v>12782</v>
      </c>
      <c r="D268" s="75">
        <v>7474</v>
      </c>
      <c r="E268" s="69" t="s">
        <v>78</v>
      </c>
      <c r="F268" s="69" t="s">
        <v>1385</v>
      </c>
      <c r="H268" s="69">
        <v>15053.5</v>
      </c>
      <c r="AS268" s="91">
        <f t="shared" si="27"/>
        <v>15053.5</v>
      </c>
      <c r="AT268" s="69">
        <v>13351.3</v>
      </c>
      <c r="AU268" s="52">
        <v>1532.7</v>
      </c>
      <c r="AV268" s="69">
        <v>169.5</v>
      </c>
      <c r="CD268" s="91">
        <f t="shared" si="28"/>
        <v>15053.5</v>
      </c>
      <c r="CE268" s="69">
        <f t="shared" si="29"/>
        <v>0</v>
      </c>
      <c r="CF268" s="75">
        <f t="shared" si="30"/>
        <v>7474</v>
      </c>
      <c r="CG268" s="69" t="str">
        <f t="shared" si="30"/>
        <v>برنامج دولى</v>
      </c>
    </row>
    <row r="269" spans="3:85" x14ac:dyDescent="0.25">
      <c r="C269" s="75">
        <v>12783</v>
      </c>
      <c r="D269" s="75">
        <v>7475</v>
      </c>
      <c r="E269" s="69" t="s">
        <v>78</v>
      </c>
      <c r="F269" s="69" t="s">
        <v>1385</v>
      </c>
      <c r="H269" s="69">
        <v>1200</v>
      </c>
      <c r="AS269" s="91">
        <f t="shared" si="27"/>
        <v>1200</v>
      </c>
      <c r="AT269" s="69">
        <v>1072.3</v>
      </c>
      <c r="AU269" s="52">
        <v>127.7</v>
      </c>
      <c r="CD269" s="91">
        <f t="shared" si="28"/>
        <v>1200</v>
      </c>
      <c r="CE269" s="69">
        <f t="shared" si="29"/>
        <v>0</v>
      </c>
      <c r="CF269" s="75">
        <f t="shared" si="30"/>
        <v>7475</v>
      </c>
      <c r="CG269" s="69" t="str">
        <f t="shared" si="30"/>
        <v>برنامج دولى</v>
      </c>
    </row>
    <row r="270" spans="3:85" x14ac:dyDescent="0.25">
      <c r="C270" s="75">
        <v>12784</v>
      </c>
      <c r="D270" s="75">
        <v>7476</v>
      </c>
      <c r="E270" s="69" t="s">
        <v>78</v>
      </c>
      <c r="F270" s="69" t="s">
        <v>1385</v>
      </c>
      <c r="H270" s="69">
        <v>25598.1</v>
      </c>
      <c r="AS270" s="91">
        <f t="shared" si="27"/>
        <v>25598.1</v>
      </c>
      <c r="AT270" s="69">
        <v>22175.4</v>
      </c>
      <c r="AU270" s="52">
        <v>2688.85</v>
      </c>
      <c r="AV270" s="69">
        <v>733.85</v>
      </c>
      <c r="CD270" s="91">
        <f t="shared" si="28"/>
        <v>25598.1</v>
      </c>
      <c r="CE270" s="69">
        <f t="shared" si="29"/>
        <v>0</v>
      </c>
      <c r="CF270" s="75">
        <f t="shared" si="30"/>
        <v>7476</v>
      </c>
      <c r="CG270" s="69" t="str">
        <f t="shared" si="30"/>
        <v>برنامج دولى</v>
      </c>
    </row>
    <row r="271" spans="3:85" x14ac:dyDescent="0.25">
      <c r="C271" s="75">
        <v>12785</v>
      </c>
      <c r="D271" s="75">
        <v>7477</v>
      </c>
      <c r="E271" s="69" t="s">
        <v>78</v>
      </c>
      <c r="F271" s="69" t="s">
        <v>1385</v>
      </c>
      <c r="H271" s="69">
        <v>1886.25</v>
      </c>
      <c r="AS271" s="91">
        <f t="shared" si="27"/>
        <v>1886.25</v>
      </c>
      <c r="AT271" s="69">
        <v>1553</v>
      </c>
      <c r="AU271" s="52">
        <v>192</v>
      </c>
      <c r="AV271" s="69">
        <v>141.25</v>
      </c>
      <c r="CD271" s="91">
        <f t="shared" si="28"/>
        <v>1886.25</v>
      </c>
      <c r="CE271" s="69">
        <f t="shared" si="29"/>
        <v>0</v>
      </c>
      <c r="CF271" s="75">
        <f t="shared" si="30"/>
        <v>7477</v>
      </c>
      <c r="CG271" s="69" t="str">
        <f t="shared" si="30"/>
        <v>برنامج دولى</v>
      </c>
    </row>
    <row r="272" spans="3:85" x14ac:dyDescent="0.25">
      <c r="C272" s="75">
        <v>12786</v>
      </c>
      <c r="D272" s="75">
        <v>7478</v>
      </c>
      <c r="E272" s="69" t="s">
        <v>78</v>
      </c>
      <c r="F272" s="69" t="s">
        <v>1385</v>
      </c>
      <c r="H272" s="69">
        <v>1407</v>
      </c>
      <c r="AS272" s="91">
        <f t="shared" si="27"/>
        <v>1407</v>
      </c>
      <c r="AT272" s="69">
        <v>939.35</v>
      </c>
      <c r="AU272" s="52">
        <f>8.65+120</f>
        <v>128.65</v>
      </c>
      <c r="AV272" s="69">
        <v>339</v>
      </c>
      <c r="CD272" s="91">
        <f t="shared" si="28"/>
        <v>1407</v>
      </c>
      <c r="CE272" s="69">
        <f t="shared" si="29"/>
        <v>0</v>
      </c>
      <c r="CF272" s="75">
        <f t="shared" si="30"/>
        <v>7478</v>
      </c>
      <c r="CG272" s="69" t="str">
        <f t="shared" si="30"/>
        <v>برنامج دولى</v>
      </c>
    </row>
    <row r="273" spans="3:85" x14ac:dyDescent="0.25">
      <c r="C273" s="75">
        <v>12787</v>
      </c>
      <c r="D273" s="75">
        <v>7479</v>
      </c>
      <c r="E273" s="69" t="s">
        <v>78</v>
      </c>
      <c r="F273" s="69" t="s">
        <v>1876</v>
      </c>
      <c r="H273" s="69">
        <v>2793.12</v>
      </c>
      <c r="AS273" s="91">
        <f t="shared" si="27"/>
        <v>2793.12</v>
      </c>
      <c r="AT273" s="69">
        <v>2430.5500000000002</v>
      </c>
      <c r="AU273" s="52">
        <v>291.95</v>
      </c>
      <c r="AV273" s="69">
        <v>70.62</v>
      </c>
      <c r="CD273" s="91">
        <f t="shared" si="28"/>
        <v>2793.12</v>
      </c>
      <c r="CE273" s="69">
        <f t="shared" si="29"/>
        <v>0</v>
      </c>
      <c r="CF273" s="75">
        <f t="shared" si="30"/>
        <v>7479</v>
      </c>
      <c r="CG273" s="69" t="str">
        <f t="shared" si="30"/>
        <v>برنامج دولى</v>
      </c>
    </row>
    <row r="274" spans="3:85" x14ac:dyDescent="0.25">
      <c r="C274" s="75">
        <v>12788</v>
      </c>
      <c r="D274" s="75">
        <v>7480</v>
      </c>
      <c r="E274" s="69" t="s">
        <v>78</v>
      </c>
      <c r="F274" s="69" t="s">
        <v>1876</v>
      </c>
      <c r="H274" s="69">
        <v>650</v>
      </c>
      <c r="AS274" s="91">
        <f t="shared" si="27"/>
        <v>650</v>
      </c>
      <c r="AT274" s="69">
        <v>580.79999999999995</v>
      </c>
      <c r="AU274" s="52">
        <v>69.2</v>
      </c>
      <c r="CD274" s="91">
        <f t="shared" si="28"/>
        <v>650</v>
      </c>
      <c r="CE274" s="69">
        <f t="shared" si="29"/>
        <v>0</v>
      </c>
      <c r="CF274" s="75">
        <f t="shared" si="30"/>
        <v>7480</v>
      </c>
      <c r="CG274" s="69" t="str">
        <f t="shared" si="30"/>
        <v>برنامج دولى</v>
      </c>
    </row>
    <row r="275" spans="3:85" x14ac:dyDescent="0.25">
      <c r="C275" s="75">
        <v>12789</v>
      </c>
      <c r="D275" s="75">
        <v>7481</v>
      </c>
      <c r="E275" s="69" t="s">
        <v>78</v>
      </c>
      <c r="F275" s="69" t="s">
        <v>1876</v>
      </c>
      <c r="H275" s="69">
        <v>8720.76</v>
      </c>
      <c r="AS275" s="91">
        <f t="shared" si="27"/>
        <v>8720.76</v>
      </c>
      <c r="AT275" s="69">
        <v>7607.9</v>
      </c>
      <c r="AU275" s="52">
        <v>915.1</v>
      </c>
      <c r="AV275" s="69">
        <v>197.76</v>
      </c>
      <c r="CD275" s="91">
        <f t="shared" si="28"/>
        <v>8720.76</v>
      </c>
      <c r="CE275" s="69">
        <f t="shared" si="29"/>
        <v>0</v>
      </c>
      <c r="CF275" s="75">
        <f t="shared" si="30"/>
        <v>7481</v>
      </c>
      <c r="CG275" s="69" t="str">
        <f t="shared" si="30"/>
        <v>برنامج دولى</v>
      </c>
    </row>
    <row r="276" spans="3:85" x14ac:dyDescent="0.25">
      <c r="C276" s="75">
        <v>12790</v>
      </c>
      <c r="D276" s="75">
        <v>7482</v>
      </c>
      <c r="E276" s="69" t="s">
        <v>78</v>
      </c>
      <c r="F276" s="69" t="s">
        <v>1876</v>
      </c>
      <c r="H276" s="69">
        <v>2900</v>
      </c>
      <c r="AS276" s="91">
        <f t="shared" si="27"/>
        <v>2900</v>
      </c>
      <c r="AT276" s="69">
        <v>2588.6</v>
      </c>
      <c r="AU276" s="52">
        <v>311.39999999999998</v>
      </c>
      <c r="CD276" s="91">
        <f t="shared" si="28"/>
        <v>2900</v>
      </c>
      <c r="CE276" s="69">
        <f t="shared" si="29"/>
        <v>0</v>
      </c>
      <c r="CF276" s="75">
        <f t="shared" si="30"/>
        <v>7482</v>
      </c>
      <c r="CG276" s="69" t="str">
        <f t="shared" si="30"/>
        <v>برنامج دولى</v>
      </c>
    </row>
    <row r="277" spans="3:85" x14ac:dyDescent="0.25">
      <c r="C277" s="75">
        <v>12791</v>
      </c>
      <c r="D277" s="75">
        <v>7483</v>
      </c>
      <c r="E277" s="69" t="s">
        <v>78</v>
      </c>
      <c r="F277" s="69" t="s">
        <v>1877</v>
      </c>
      <c r="H277" s="69">
        <v>1500</v>
      </c>
      <c r="AS277" s="91">
        <f t="shared" si="27"/>
        <v>1500</v>
      </c>
      <c r="AT277" s="69">
        <v>1339.1</v>
      </c>
      <c r="AU277" s="52">
        <v>160.9</v>
      </c>
      <c r="CD277" s="91">
        <f t="shared" si="28"/>
        <v>1500</v>
      </c>
      <c r="CE277" s="69">
        <f t="shared" si="29"/>
        <v>0</v>
      </c>
      <c r="CF277" s="75">
        <f t="shared" si="30"/>
        <v>7483</v>
      </c>
      <c r="CG277" s="69" t="str">
        <f t="shared" si="30"/>
        <v>برنامج دولى</v>
      </c>
    </row>
    <row r="278" spans="3:85" x14ac:dyDescent="0.25">
      <c r="C278" s="75">
        <v>12792</v>
      </c>
      <c r="D278" s="75">
        <v>7484</v>
      </c>
      <c r="E278" s="69" t="s">
        <v>78</v>
      </c>
      <c r="F278" s="69" t="s">
        <v>1877</v>
      </c>
      <c r="H278" s="69">
        <v>1000</v>
      </c>
      <c r="AS278" s="91">
        <f t="shared" si="27"/>
        <v>1000</v>
      </c>
      <c r="AT278" s="69">
        <v>893.85</v>
      </c>
      <c r="AU278" s="52">
        <v>106.15</v>
      </c>
      <c r="CD278" s="91">
        <f t="shared" si="28"/>
        <v>1000</v>
      </c>
      <c r="CE278" s="69">
        <f t="shared" si="29"/>
        <v>0</v>
      </c>
      <c r="CF278" s="75">
        <f t="shared" si="30"/>
        <v>7484</v>
      </c>
      <c r="CG278" s="69" t="str">
        <f t="shared" si="30"/>
        <v>برنامج دولى</v>
      </c>
    </row>
    <row r="279" spans="3:85" x14ac:dyDescent="0.25">
      <c r="C279" s="75">
        <v>12793</v>
      </c>
      <c r="D279" s="75">
        <v>7485</v>
      </c>
      <c r="E279" s="69" t="s">
        <v>78</v>
      </c>
      <c r="F279" s="69" t="s">
        <v>1878</v>
      </c>
      <c r="H279" s="69">
        <v>2400</v>
      </c>
      <c r="AS279" s="91">
        <f t="shared" si="27"/>
        <v>2400</v>
      </c>
      <c r="AT279" s="69">
        <v>2142.6999999999998</v>
      </c>
      <c r="AU279" s="52">
        <v>257.3</v>
      </c>
      <c r="CD279" s="91">
        <f t="shared" si="28"/>
        <v>2400</v>
      </c>
      <c r="CE279" s="69">
        <f t="shared" si="29"/>
        <v>0</v>
      </c>
      <c r="CF279" s="75">
        <f t="shared" si="30"/>
        <v>7485</v>
      </c>
      <c r="CG279" s="69" t="str">
        <f t="shared" si="30"/>
        <v>برنامج دولى</v>
      </c>
    </row>
    <row r="280" spans="3:85" x14ac:dyDescent="0.25">
      <c r="C280" s="75">
        <v>12793</v>
      </c>
      <c r="D280" s="75">
        <v>7486</v>
      </c>
      <c r="E280" s="69" t="s">
        <v>78</v>
      </c>
      <c r="F280" s="69" t="s">
        <v>429</v>
      </c>
      <c r="H280" s="69">
        <v>5700</v>
      </c>
      <c r="AS280" s="91">
        <f t="shared" si="27"/>
        <v>5700</v>
      </c>
      <c r="AT280" s="69">
        <v>5087.95</v>
      </c>
      <c r="AU280" s="52">
        <v>612.04999999999995</v>
      </c>
      <c r="CD280" s="91">
        <f t="shared" si="28"/>
        <v>5700</v>
      </c>
      <c r="CE280" s="69">
        <f t="shared" si="29"/>
        <v>0</v>
      </c>
      <c r="CF280" s="75">
        <f t="shared" si="30"/>
        <v>7486</v>
      </c>
      <c r="CG280" s="69" t="str">
        <f t="shared" si="30"/>
        <v>برنامج دولى</v>
      </c>
    </row>
    <row r="281" spans="3:85" x14ac:dyDescent="0.25">
      <c r="C281" s="75">
        <v>12793</v>
      </c>
      <c r="D281" s="75">
        <v>7487</v>
      </c>
      <c r="E281" s="69" t="s">
        <v>78</v>
      </c>
      <c r="F281" s="69" t="s">
        <v>889</v>
      </c>
      <c r="H281" s="69">
        <v>1200</v>
      </c>
      <c r="AS281" s="91">
        <f t="shared" si="27"/>
        <v>1200</v>
      </c>
      <c r="AT281" s="69">
        <v>1071.3499999999999</v>
      </c>
      <c r="AU281" s="52">
        <v>128.65</v>
      </c>
      <c r="CD281" s="91">
        <f t="shared" si="28"/>
        <v>1200</v>
      </c>
      <c r="CE281" s="69">
        <f t="shared" si="29"/>
        <v>0</v>
      </c>
      <c r="CF281" s="75">
        <f t="shared" si="30"/>
        <v>7487</v>
      </c>
      <c r="CG281" s="69" t="str">
        <f t="shared" si="30"/>
        <v>برنامج دولى</v>
      </c>
    </row>
    <row r="282" spans="3:85" x14ac:dyDescent="0.25">
      <c r="C282" s="75">
        <v>12795</v>
      </c>
      <c r="D282" s="75">
        <v>7488</v>
      </c>
      <c r="E282" s="69" t="s">
        <v>78</v>
      </c>
      <c r="F282" s="69" t="s">
        <v>889</v>
      </c>
      <c r="H282" s="69">
        <v>750</v>
      </c>
      <c r="AS282" s="91">
        <f t="shared" si="27"/>
        <v>750</v>
      </c>
      <c r="AT282" s="69">
        <v>670.1</v>
      </c>
      <c r="AU282" s="52">
        <v>79.900000000000006</v>
      </c>
      <c r="CD282" s="91">
        <f t="shared" si="28"/>
        <v>750</v>
      </c>
      <c r="CE282" s="69">
        <f t="shared" si="29"/>
        <v>0</v>
      </c>
      <c r="CF282" s="75">
        <f t="shared" si="30"/>
        <v>7488</v>
      </c>
      <c r="CG282" s="69" t="str">
        <f t="shared" si="30"/>
        <v>برنامج دولى</v>
      </c>
    </row>
    <row r="283" spans="3:85" x14ac:dyDescent="0.25">
      <c r="C283" s="75">
        <v>12796</v>
      </c>
      <c r="D283" s="75">
        <v>7489</v>
      </c>
      <c r="E283" s="69" t="s">
        <v>78</v>
      </c>
      <c r="F283" s="69" t="s">
        <v>1879</v>
      </c>
      <c r="H283" s="69">
        <v>1100</v>
      </c>
      <c r="AS283" s="91">
        <f t="shared" si="27"/>
        <v>1100</v>
      </c>
      <c r="AT283" s="69">
        <v>983.2</v>
      </c>
      <c r="AU283" s="52">
        <v>116.8</v>
      </c>
      <c r="CD283" s="91">
        <f t="shared" si="28"/>
        <v>1100</v>
      </c>
      <c r="CE283" s="69">
        <f t="shared" si="29"/>
        <v>0</v>
      </c>
      <c r="CF283" s="75">
        <f t="shared" si="30"/>
        <v>7489</v>
      </c>
      <c r="CG283" s="69" t="str">
        <f t="shared" si="30"/>
        <v>برنامج دولى</v>
      </c>
    </row>
    <row r="284" spans="3:85" x14ac:dyDescent="0.25">
      <c r="C284" s="75">
        <v>12797</v>
      </c>
      <c r="D284" s="75">
        <v>7490</v>
      </c>
      <c r="E284" s="69" t="s">
        <v>78</v>
      </c>
      <c r="F284" s="69" t="s">
        <v>1880</v>
      </c>
      <c r="H284" s="69">
        <v>6807</v>
      </c>
      <c r="AS284" s="91">
        <f t="shared" si="27"/>
        <v>6807</v>
      </c>
      <c r="AT284" s="69">
        <v>5761.25</v>
      </c>
      <c r="AU284" s="52">
        <v>706.75</v>
      </c>
      <c r="AV284" s="69">
        <v>339</v>
      </c>
      <c r="CD284" s="91">
        <f t="shared" si="28"/>
        <v>6807</v>
      </c>
      <c r="CE284" s="69">
        <f t="shared" si="29"/>
        <v>0</v>
      </c>
      <c r="CF284" s="75">
        <f t="shared" si="30"/>
        <v>7490</v>
      </c>
      <c r="CG284" s="69" t="str">
        <f t="shared" si="30"/>
        <v>برنامج دولى</v>
      </c>
    </row>
    <row r="285" spans="3:85" x14ac:dyDescent="0.25">
      <c r="C285" s="75">
        <v>12798</v>
      </c>
      <c r="D285" s="75">
        <v>7491</v>
      </c>
      <c r="E285" s="69" t="s">
        <v>78</v>
      </c>
      <c r="F285" s="69" t="s">
        <v>1881</v>
      </c>
      <c r="H285" s="69">
        <v>1524.24</v>
      </c>
      <c r="AS285" s="91">
        <f t="shared" si="27"/>
        <v>1524.24</v>
      </c>
      <c r="AT285" s="69">
        <v>1019.6</v>
      </c>
      <c r="AU285" s="52">
        <v>137.4</v>
      </c>
      <c r="AV285" s="69">
        <v>367.24</v>
      </c>
      <c r="CD285" s="91">
        <f t="shared" si="28"/>
        <v>1524.24</v>
      </c>
      <c r="CE285" s="69">
        <f t="shared" si="29"/>
        <v>0</v>
      </c>
      <c r="CF285" s="75">
        <f t="shared" si="30"/>
        <v>7491</v>
      </c>
      <c r="CG285" s="69" t="str">
        <f t="shared" si="30"/>
        <v>برنامج دولى</v>
      </c>
    </row>
    <row r="286" spans="3:85" x14ac:dyDescent="0.25">
      <c r="C286" s="75">
        <v>12799</v>
      </c>
      <c r="D286" s="75">
        <v>7492</v>
      </c>
      <c r="E286" s="69" t="s">
        <v>78</v>
      </c>
      <c r="F286" s="69" t="s">
        <v>1881</v>
      </c>
      <c r="H286" s="69">
        <v>5450</v>
      </c>
      <c r="AS286" s="91">
        <f t="shared" si="27"/>
        <v>5450</v>
      </c>
      <c r="AT286" s="69">
        <v>4868.95</v>
      </c>
      <c r="AU286" s="52">
        <v>581.04999999999995</v>
      </c>
      <c r="CD286" s="91">
        <f t="shared" si="28"/>
        <v>5450</v>
      </c>
      <c r="CE286" s="69">
        <f t="shared" si="29"/>
        <v>0</v>
      </c>
      <c r="CF286" s="75">
        <f t="shared" si="30"/>
        <v>7492</v>
      </c>
      <c r="CG286" s="69" t="str">
        <f t="shared" si="30"/>
        <v>برنامج دولى</v>
      </c>
    </row>
    <row r="287" spans="3:85" x14ac:dyDescent="0.25">
      <c r="C287" s="75">
        <v>12800</v>
      </c>
      <c r="D287" s="75">
        <v>7493</v>
      </c>
      <c r="E287" s="69" t="s">
        <v>78</v>
      </c>
      <c r="F287" s="69" t="s">
        <v>1881</v>
      </c>
      <c r="H287" s="69">
        <v>3100</v>
      </c>
      <c r="AS287" s="91">
        <f t="shared" si="27"/>
        <v>3100</v>
      </c>
      <c r="AT287" s="69">
        <v>2768.75</v>
      </c>
      <c r="AU287" s="52">
        <v>331.25</v>
      </c>
      <c r="CD287" s="91">
        <f t="shared" si="28"/>
        <v>3100</v>
      </c>
      <c r="CE287" s="69">
        <f t="shared" si="29"/>
        <v>0</v>
      </c>
      <c r="CF287" s="75">
        <f t="shared" si="30"/>
        <v>7493</v>
      </c>
      <c r="CG287" s="69" t="str">
        <f t="shared" si="30"/>
        <v>برنامج دولى</v>
      </c>
    </row>
    <row r="288" spans="3:85" x14ac:dyDescent="0.25">
      <c r="C288" s="75">
        <v>12801</v>
      </c>
      <c r="D288" s="75">
        <v>7494</v>
      </c>
      <c r="E288" s="69" t="s">
        <v>78</v>
      </c>
      <c r="F288" s="69" t="s">
        <v>1882</v>
      </c>
      <c r="H288" s="69">
        <v>700</v>
      </c>
      <c r="AS288" s="91">
        <f t="shared" si="27"/>
        <v>700</v>
      </c>
      <c r="AT288" s="69">
        <v>625.45000000000005</v>
      </c>
      <c r="AU288" s="52">
        <v>74.55</v>
      </c>
      <c r="CD288" s="91">
        <f t="shared" si="28"/>
        <v>700</v>
      </c>
      <c r="CE288" s="69">
        <f t="shared" si="29"/>
        <v>0</v>
      </c>
      <c r="CF288" s="75">
        <f t="shared" si="30"/>
        <v>7494</v>
      </c>
      <c r="CG288" s="69" t="str">
        <f t="shared" si="30"/>
        <v>برنامج دولى</v>
      </c>
    </row>
    <row r="289" spans="3:85" x14ac:dyDescent="0.25">
      <c r="C289" s="75">
        <v>12802</v>
      </c>
      <c r="D289" s="75">
        <v>7495</v>
      </c>
      <c r="E289" s="69" t="s">
        <v>78</v>
      </c>
      <c r="F289" s="69" t="s">
        <v>1882</v>
      </c>
      <c r="H289" s="69">
        <v>1962.12</v>
      </c>
      <c r="AS289" s="91">
        <f t="shared" si="27"/>
        <v>1962.12</v>
      </c>
      <c r="AT289" s="69">
        <v>1582.1</v>
      </c>
      <c r="AU289" s="52">
        <v>196.4</v>
      </c>
      <c r="AV289" s="69">
        <v>183.62</v>
      </c>
      <c r="CD289" s="91">
        <f t="shared" si="28"/>
        <v>1962.12</v>
      </c>
      <c r="CE289" s="69">
        <f t="shared" si="29"/>
        <v>0</v>
      </c>
      <c r="CF289" s="75">
        <f t="shared" si="30"/>
        <v>7495</v>
      </c>
      <c r="CG289" s="69" t="str">
        <f t="shared" si="30"/>
        <v>برنامج دولى</v>
      </c>
    </row>
    <row r="290" spans="3:85" x14ac:dyDescent="0.25">
      <c r="C290" s="75">
        <v>12803</v>
      </c>
      <c r="D290" s="75">
        <v>7496</v>
      </c>
      <c r="E290" s="69" t="s">
        <v>78</v>
      </c>
      <c r="F290" s="69" t="s">
        <v>1882</v>
      </c>
      <c r="H290" s="69">
        <v>600</v>
      </c>
      <c r="AS290" s="91">
        <f t="shared" si="27"/>
        <v>600</v>
      </c>
      <c r="AT290" s="69">
        <v>536.15</v>
      </c>
      <c r="AU290" s="52">
        <v>63.85</v>
      </c>
      <c r="CD290" s="91">
        <f t="shared" si="28"/>
        <v>600</v>
      </c>
      <c r="CE290" s="69">
        <f t="shared" si="29"/>
        <v>0</v>
      </c>
      <c r="CF290" s="75">
        <f t="shared" si="30"/>
        <v>7496</v>
      </c>
      <c r="CG290" s="69" t="str">
        <f t="shared" si="30"/>
        <v>برنامج دولى</v>
      </c>
    </row>
    <row r="291" spans="3:85" ht="18.75" x14ac:dyDescent="0.25">
      <c r="C291" s="82">
        <v>12445</v>
      </c>
      <c r="D291" s="75">
        <v>7497</v>
      </c>
      <c r="E291" s="71" t="s">
        <v>121</v>
      </c>
      <c r="F291" s="69" t="s">
        <v>1791</v>
      </c>
      <c r="H291" s="69">
        <v>222908.45</v>
      </c>
      <c r="U291" s="69"/>
      <c r="V291" s="69"/>
      <c r="AS291" s="94">
        <f t="shared" si="27"/>
        <v>222908.45</v>
      </c>
      <c r="AT291" s="69">
        <v>198231.84</v>
      </c>
      <c r="AU291" s="69">
        <v>23581.9</v>
      </c>
      <c r="AV291" s="69">
        <v>1094.71</v>
      </c>
      <c r="CD291" s="91">
        <f t="shared" si="28"/>
        <v>222908.44999999998</v>
      </c>
      <c r="CE291" s="69">
        <f t="shared" si="29"/>
        <v>0</v>
      </c>
      <c r="CF291" s="75">
        <f t="shared" si="30"/>
        <v>7497</v>
      </c>
      <c r="CG291" s="69" t="str">
        <f t="shared" si="30"/>
        <v>ماليزى اسنان</v>
      </c>
    </row>
    <row r="292" spans="3:85" ht="18.75" x14ac:dyDescent="0.25">
      <c r="C292" s="75">
        <v>12716</v>
      </c>
      <c r="D292" s="75">
        <v>7498</v>
      </c>
      <c r="E292" s="71" t="s">
        <v>121</v>
      </c>
      <c r="F292" s="69" t="s">
        <v>1883</v>
      </c>
      <c r="H292" s="69">
        <v>1804.51</v>
      </c>
      <c r="AS292" s="91">
        <f t="shared" si="27"/>
        <v>1804.51</v>
      </c>
      <c r="AT292" s="69">
        <v>1206.53</v>
      </c>
      <c r="AU292" s="52">
        <v>163.16999999999999</v>
      </c>
      <c r="AV292" s="69">
        <v>434.81</v>
      </c>
      <c r="CD292" s="91">
        <f t="shared" si="28"/>
        <v>1804.51</v>
      </c>
      <c r="CE292" s="69">
        <f t="shared" si="29"/>
        <v>0</v>
      </c>
      <c r="CF292" s="75">
        <f t="shared" si="30"/>
        <v>7498</v>
      </c>
      <c r="CG292" s="69" t="str">
        <f t="shared" si="30"/>
        <v>ماليزى اسنان</v>
      </c>
    </row>
    <row r="293" spans="3:85" ht="18.75" x14ac:dyDescent="0.25">
      <c r="C293" s="75">
        <v>12717</v>
      </c>
      <c r="D293" s="75">
        <v>7499</v>
      </c>
      <c r="E293" s="71" t="s">
        <v>121</v>
      </c>
      <c r="F293" s="69" t="s">
        <v>1883</v>
      </c>
      <c r="H293" s="69">
        <v>8155.18</v>
      </c>
      <c r="AS293" s="91">
        <f t="shared" si="27"/>
        <v>8155.18</v>
      </c>
      <c r="AT293" s="69">
        <v>5259.78</v>
      </c>
      <c r="AU293" s="52">
        <v>930.47</v>
      </c>
      <c r="AV293" s="69">
        <v>1964.93</v>
      </c>
      <c r="CD293" s="91">
        <f t="shared" si="28"/>
        <v>8155.18</v>
      </c>
      <c r="CE293" s="69">
        <f t="shared" si="29"/>
        <v>0</v>
      </c>
      <c r="CF293" s="75">
        <f t="shared" si="30"/>
        <v>7499</v>
      </c>
      <c r="CG293" s="69" t="str">
        <f t="shared" si="30"/>
        <v>ماليزى اسنان</v>
      </c>
    </row>
    <row r="294" spans="3:85" ht="18.75" x14ac:dyDescent="0.25">
      <c r="C294" s="75">
        <v>12718</v>
      </c>
      <c r="D294" s="75">
        <v>7500</v>
      </c>
      <c r="E294" s="71" t="s">
        <v>121</v>
      </c>
      <c r="F294" s="69" t="s">
        <v>1883</v>
      </c>
      <c r="H294" s="69">
        <v>257.10000000000002</v>
      </c>
      <c r="AS294" s="91">
        <f t="shared" ref="AS294:AS357" si="31">SUM(H294:AR294)</f>
        <v>257.10000000000002</v>
      </c>
      <c r="AT294" s="69">
        <v>174.83</v>
      </c>
      <c r="AU294" s="52">
        <v>20.329999999999998</v>
      </c>
      <c r="AV294" s="69">
        <v>61.94</v>
      </c>
      <c r="CD294" s="91">
        <f t="shared" ref="CD294:CD357" si="32">SUM(AT294:CC294)</f>
        <v>257.10000000000002</v>
      </c>
      <c r="CE294" s="69">
        <f t="shared" ref="CE294:CE357" si="33">+CD294-AS294</f>
        <v>0</v>
      </c>
      <c r="CF294" s="75">
        <f t="shared" ref="CF294:CG357" si="34">+D294</f>
        <v>7500</v>
      </c>
      <c r="CG294" s="69" t="str">
        <f t="shared" si="34"/>
        <v>ماليزى اسنان</v>
      </c>
    </row>
    <row r="295" spans="3:85" ht="18.75" x14ac:dyDescent="0.25">
      <c r="C295" s="75">
        <v>12719</v>
      </c>
      <c r="D295" s="75">
        <v>7501</v>
      </c>
      <c r="E295" s="71" t="s">
        <v>121</v>
      </c>
      <c r="F295" s="69" t="s">
        <v>1883</v>
      </c>
      <c r="H295" s="69">
        <v>9542.24</v>
      </c>
      <c r="AS295" s="91">
        <f t="shared" si="31"/>
        <v>9542.24</v>
      </c>
      <c r="AT295" s="69">
        <v>6281.23</v>
      </c>
      <c r="AU295" s="52">
        <v>947.92</v>
      </c>
      <c r="AV295" s="69">
        <v>2313.09</v>
      </c>
      <c r="CD295" s="91">
        <f t="shared" si="32"/>
        <v>9542.24</v>
      </c>
      <c r="CE295" s="69">
        <f t="shared" si="33"/>
        <v>0</v>
      </c>
      <c r="CF295" s="75">
        <f t="shared" si="34"/>
        <v>7501</v>
      </c>
      <c r="CG295" s="69" t="str">
        <f t="shared" si="34"/>
        <v>ماليزى اسنان</v>
      </c>
    </row>
    <row r="296" spans="3:85" ht="18.75" x14ac:dyDescent="0.25">
      <c r="C296" s="75">
        <v>12720</v>
      </c>
      <c r="D296" s="75">
        <v>7502</v>
      </c>
      <c r="E296" s="71" t="s">
        <v>121</v>
      </c>
      <c r="F296" s="69" t="s">
        <v>1883</v>
      </c>
      <c r="H296" s="69">
        <v>9390.43</v>
      </c>
      <c r="AS296" s="91">
        <f t="shared" si="31"/>
        <v>9390.43</v>
      </c>
      <c r="AT296" s="69">
        <v>6180.26</v>
      </c>
      <c r="AU296" s="52">
        <v>947.7</v>
      </c>
      <c r="AV296" s="69">
        <v>2262.4699999999998</v>
      </c>
      <c r="CD296" s="91">
        <f t="shared" si="32"/>
        <v>9390.43</v>
      </c>
      <c r="CE296" s="69">
        <f t="shared" si="33"/>
        <v>0</v>
      </c>
      <c r="CF296" s="75">
        <f t="shared" si="34"/>
        <v>7502</v>
      </c>
      <c r="CG296" s="69" t="str">
        <f t="shared" si="34"/>
        <v>ماليزى اسنان</v>
      </c>
    </row>
    <row r="297" spans="3:85" ht="18.75" x14ac:dyDescent="0.25">
      <c r="C297" s="75">
        <v>12721</v>
      </c>
      <c r="D297" s="75">
        <v>7503</v>
      </c>
      <c r="E297" s="71" t="s">
        <v>121</v>
      </c>
      <c r="F297" s="69" t="s">
        <v>1883</v>
      </c>
      <c r="H297" s="69">
        <v>230.6</v>
      </c>
      <c r="AS297" s="91">
        <f t="shared" si="31"/>
        <v>230.6</v>
      </c>
      <c r="AT297" s="69">
        <v>156.85</v>
      </c>
      <c r="AU297" s="52">
        <v>18.18</v>
      </c>
      <c r="AV297" s="69">
        <v>55.57</v>
      </c>
      <c r="CD297" s="91">
        <f t="shared" si="32"/>
        <v>230.6</v>
      </c>
      <c r="CE297" s="69">
        <f t="shared" si="33"/>
        <v>0</v>
      </c>
      <c r="CF297" s="75">
        <f t="shared" si="34"/>
        <v>7503</v>
      </c>
      <c r="CG297" s="69" t="str">
        <f t="shared" si="34"/>
        <v>ماليزى اسنان</v>
      </c>
    </row>
    <row r="298" spans="3:85" ht="18.75" x14ac:dyDescent="0.25">
      <c r="C298" s="75">
        <v>12722</v>
      </c>
      <c r="D298" s="75">
        <v>7504</v>
      </c>
      <c r="E298" s="71" t="s">
        <v>121</v>
      </c>
      <c r="F298" s="69" t="s">
        <v>1883</v>
      </c>
      <c r="H298" s="69">
        <v>2452.12</v>
      </c>
      <c r="AS298" s="91">
        <f t="shared" si="31"/>
        <v>2452.12</v>
      </c>
      <c r="AT298" s="69">
        <v>1756.79</v>
      </c>
      <c r="AU298" s="52">
        <v>204.31</v>
      </c>
      <c r="AV298" s="69">
        <v>491.02</v>
      </c>
      <c r="CD298" s="91">
        <f t="shared" si="32"/>
        <v>2452.12</v>
      </c>
      <c r="CE298" s="69">
        <f t="shared" si="33"/>
        <v>0</v>
      </c>
      <c r="CF298" s="75">
        <f t="shared" si="34"/>
        <v>7504</v>
      </c>
      <c r="CG298" s="69" t="str">
        <f t="shared" si="34"/>
        <v>ماليزى اسنان</v>
      </c>
    </row>
    <row r="299" spans="3:85" ht="18.75" x14ac:dyDescent="0.25">
      <c r="C299" s="75">
        <v>12724</v>
      </c>
      <c r="D299" s="75">
        <v>7505</v>
      </c>
      <c r="E299" s="71" t="s">
        <v>121</v>
      </c>
      <c r="F299" s="69" t="s">
        <v>1883</v>
      </c>
      <c r="H299" s="69">
        <v>311.3</v>
      </c>
      <c r="AS299" s="91">
        <f t="shared" si="31"/>
        <v>311.3</v>
      </c>
      <c r="AT299" s="69">
        <v>247.68</v>
      </c>
      <c r="AU299" s="52">
        <v>63.62</v>
      </c>
      <c r="CD299" s="91">
        <f t="shared" si="32"/>
        <v>311.3</v>
      </c>
      <c r="CE299" s="69">
        <f t="shared" si="33"/>
        <v>0</v>
      </c>
      <c r="CF299" s="75">
        <f t="shared" si="34"/>
        <v>7505</v>
      </c>
      <c r="CG299" s="69" t="str">
        <f t="shared" si="34"/>
        <v>ماليزى اسنان</v>
      </c>
    </row>
    <row r="300" spans="3:85" ht="18.75" x14ac:dyDescent="0.25">
      <c r="C300" s="75">
        <v>12723</v>
      </c>
      <c r="D300" s="75">
        <v>7506</v>
      </c>
      <c r="E300" s="71" t="s">
        <v>121</v>
      </c>
      <c r="F300" s="69" t="s">
        <v>1883</v>
      </c>
      <c r="H300" s="69">
        <v>955.08</v>
      </c>
      <c r="AS300" s="91">
        <f t="shared" si="31"/>
        <v>955.08</v>
      </c>
      <c r="AT300" s="69">
        <v>674.68</v>
      </c>
      <c r="AU300" s="52">
        <v>100.21</v>
      </c>
      <c r="AV300" s="69">
        <v>180.19</v>
      </c>
      <c r="CD300" s="91">
        <f t="shared" si="32"/>
        <v>955.07999999999993</v>
      </c>
      <c r="CE300" s="69">
        <f t="shared" si="33"/>
        <v>0</v>
      </c>
      <c r="CF300" s="75">
        <f t="shared" si="34"/>
        <v>7506</v>
      </c>
      <c r="CG300" s="69" t="str">
        <f t="shared" si="34"/>
        <v>ماليزى اسنان</v>
      </c>
    </row>
    <row r="301" spans="3:85" ht="18.75" x14ac:dyDescent="0.25">
      <c r="C301" s="75">
        <v>12725</v>
      </c>
      <c r="D301" s="75">
        <v>7507</v>
      </c>
      <c r="E301" s="71" t="s">
        <v>121</v>
      </c>
      <c r="F301" s="69" t="s">
        <v>1883</v>
      </c>
      <c r="H301" s="69">
        <v>10741.68</v>
      </c>
      <c r="AS301" s="91">
        <f t="shared" si="31"/>
        <v>10741.68</v>
      </c>
      <c r="AT301" s="69">
        <v>7564.21</v>
      </c>
      <c r="AU301" s="52">
        <v>974.27</v>
      </c>
      <c r="AV301" s="69">
        <v>2203.1999999999998</v>
      </c>
      <c r="CD301" s="91">
        <f t="shared" si="32"/>
        <v>10741.68</v>
      </c>
      <c r="CE301" s="69">
        <f t="shared" si="33"/>
        <v>0</v>
      </c>
      <c r="CF301" s="75">
        <f t="shared" si="34"/>
        <v>7507</v>
      </c>
      <c r="CG301" s="69" t="str">
        <f t="shared" si="34"/>
        <v>ماليزى اسنان</v>
      </c>
    </row>
    <row r="302" spans="3:85" ht="18.75" x14ac:dyDescent="0.25">
      <c r="C302" s="75">
        <v>12726</v>
      </c>
      <c r="D302" s="75">
        <v>7508</v>
      </c>
      <c r="E302" s="71" t="s">
        <v>121</v>
      </c>
      <c r="F302" s="69" t="s">
        <v>1883</v>
      </c>
      <c r="H302" s="69">
        <v>867.3</v>
      </c>
      <c r="AS302" s="91">
        <f t="shared" si="31"/>
        <v>867.3</v>
      </c>
      <c r="AT302" s="69">
        <v>581.9</v>
      </c>
      <c r="AU302" s="52">
        <v>76.45</v>
      </c>
      <c r="AV302" s="69">
        <v>208.95</v>
      </c>
      <c r="CD302" s="91">
        <f t="shared" si="32"/>
        <v>867.3</v>
      </c>
      <c r="CE302" s="69">
        <f t="shared" si="33"/>
        <v>0</v>
      </c>
      <c r="CF302" s="75">
        <f t="shared" si="34"/>
        <v>7508</v>
      </c>
      <c r="CG302" s="69" t="str">
        <f t="shared" si="34"/>
        <v>ماليزى اسنان</v>
      </c>
    </row>
    <row r="303" spans="3:85" ht="18.75" x14ac:dyDescent="0.25">
      <c r="C303" s="75">
        <v>12727</v>
      </c>
      <c r="D303" s="75">
        <v>7509</v>
      </c>
      <c r="E303" s="71" t="s">
        <v>121</v>
      </c>
      <c r="F303" s="69" t="s">
        <v>1883</v>
      </c>
      <c r="H303" s="69">
        <v>369</v>
      </c>
      <c r="AS303" s="91">
        <f t="shared" si="31"/>
        <v>369</v>
      </c>
      <c r="AT303" s="69">
        <v>330.4</v>
      </c>
      <c r="AU303" s="52">
        <v>38.6</v>
      </c>
      <c r="CD303" s="91">
        <f t="shared" si="32"/>
        <v>369</v>
      </c>
      <c r="CE303" s="69">
        <f t="shared" si="33"/>
        <v>0</v>
      </c>
      <c r="CF303" s="75">
        <f t="shared" si="34"/>
        <v>7509</v>
      </c>
      <c r="CG303" s="69" t="str">
        <f t="shared" si="34"/>
        <v>ماليزى اسنان</v>
      </c>
    </row>
    <row r="304" spans="3:85" ht="18.75" x14ac:dyDescent="0.25">
      <c r="C304" s="75">
        <v>12728</v>
      </c>
      <c r="D304" s="75">
        <v>7510</v>
      </c>
      <c r="E304" s="71" t="s">
        <v>121</v>
      </c>
      <c r="F304" s="69" t="s">
        <v>1883</v>
      </c>
      <c r="H304" s="69">
        <v>229.52</v>
      </c>
      <c r="AS304" s="91">
        <f t="shared" si="31"/>
        <v>229.52</v>
      </c>
      <c r="AT304" s="69">
        <v>153.88</v>
      </c>
      <c r="AU304" s="52">
        <v>20.329999999999998</v>
      </c>
      <c r="AV304" s="69">
        <v>55.31</v>
      </c>
      <c r="CD304" s="91">
        <f t="shared" si="32"/>
        <v>229.51999999999998</v>
      </c>
      <c r="CE304" s="69">
        <f t="shared" si="33"/>
        <v>0</v>
      </c>
      <c r="CF304" s="75">
        <f t="shared" si="34"/>
        <v>7510</v>
      </c>
      <c r="CG304" s="69" t="str">
        <f t="shared" si="34"/>
        <v>ماليزى اسنان</v>
      </c>
    </row>
    <row r="305" spans="3:85" ht="18.75" x14ac:dyDescent="0.25">
      <c r="C305" s="75">
        <v>12729</v>
      </c>
      <c r="D305" s="75">
        <v>7511</v>
      </c>
      <c r="E305" s="71" t="s">
        <v>121</v>
      </c>
      <c r="F305" s="69" t="s">
        <v>1883</v>
      </c>
      <c r="H305" s="69">
        <v>173.46</v>
      </c>
      <c r="AS305" s="91">
        <f t="shared" si="31"/>
        <v>173.46</v>
      </c>
      <c r="AT305" s="69">
        <v>116.38</v>
      </c>
      <c r="AU305" s="52">
        <v>15.29</v>
      </c>
      <c r="AV305" s="69">
        <v>41.79</v>
      </c>
      <c r="CD305" s="91">
        <f t="shared" si="32"/>
        <v>173.45999999999998</v>
      </c>
      <c r="CE305" s="69">
        <f t="shared" si="33"/>
        <v>0</v>
      </c>
      <c r="CF305" s="75">
        <f t="shared" si="34"/>
        <v>7511</v>
      </c>
      <c r="CG305" s="69" t="str">
        <f t="shared" si="34"/>
        <v>ماليزى اسنان</v>
      </c>
    </row>
    <row r="306" spans="3:85" ht="18.75" x14ac:dyDescent="0.25">
      <c r="C306" s="75">
        <v>12730</v>
      </c>
      <c r="D306" s="75">
        <v>7512</v>
      </c>
      <c r="E306" s="71" t="s">
        <v>121</v>
      </c>
      <c r="F306" s="69" t="s">
        <v>1883</v>
      </c>
      <c r="H306" s="69">
        <v>4923.96</v>
      </c>
      <c r="AS306" s="91">
        <f t="shared" si="31"/>
        <v>4923.96</v>
      </c>
      <c r="AT306" s="69">
        <v>3344.09</v>
      </c>
      <c r="AU306" s="52">
        <v>438.21</v>
      </c>
      <c r="AV306" s="69">
        <v>1141.6600000000001</v>
      </c>
      <c r="CD306" s="91">
        <f t="shared" si="32"/>
        <v>4923.96</v>
      </c>
      <c r="CE306" s="69">
        <f t="shared" si="33"/>
        <v>0</v>
      </c>
      <c r="CF306" s="75">
        <f t="shared" si="34"/>
        <v>7512</v>
      </c>
      <c r="CG306" s="69" t="str">
        <f t="shared" si="34"/>
        <v>ماليزى اسنان</v>
      </c>
    </row>
    <row r="307" spans="3:85" ht="18.75" x14ac:dyDescent="0.25">
      <c r="C307" s="75">
        <v>12715</v>
      </c>
      <c r="D307" s="75">
        <v>7513</v>
      </c>
      <c r="E307" s="71" t="s">
        <v>121</v>
      </c>
      <c r="F307" s="69" t="s">
        <v>1883</v>
      </c>
      <c r="H307" s="69">
        <v>14980.18</v>
      </c>
      <c r="AS307" s="91">
        <f t="shared" si="31"/>
        <v>14980.18</v>
      </c>
      <c r="AT307" s="69">
        <v>10296.52</v>
      </c>
      <c r="AU307" s="52">
        <v>1679.21</v>
      </c>
      <c r="AV307" s="69">
        <v>3004.45</v>
      </c>
      <c r="CD307" s="91">
        <f t="shared" si="32"/>
        <v>14980.18</v>
      </c>
      <c r="CE307" s="69">
        <f t="shared" si="33"/>
        <v>0</v>
      </c>
      <c r="CF307" s="75">
        <f t="shared" si="34"/>
        <v>7513</v>
      </c>
      <c r="CG307" s="69" t="str">
        <f t="shared" si="34"/>
        <v>ماليزى اسنان</v>
      </c>
    </row>
    <row r="308" spans="3:85" x14ac:dyDescent="0.25">
      <c r="C308" s="75">
        <v>12932</v>
      </c>
      <c r="D308" s="75">
        <v>7514</v>
      </c>
      <c r="E308" s="69" t="s">
        <v>119</v>
      </c>
      <c r="F308" s="69" t="s">
        <v>1884</v>
      </c>
      <c r="H308" s="69">
        <v>2000</v>
      </c>
      <c r="AS308" s="91">
        <f t="shared" si="31"/>
        <v>2000</v>
      </c>
      <c r="AT308" s="69">
        <v>1785.35</v>
      </c>
      <c r="AU308" s="52">
        <v>214.65</v>
      </c>
      <c r="CD308" s="91">
        <f t="shared" si="32"/>
        <v>2000</v>
      </c>
      <c r="CE308" s="69">
        <f t="shared" si="33"/>
        <v>0</v>
      </c>
      <c r="CF308" s="75">
        <f t="shared" si="34"/>
        <v>7514</v>
      </c>
      <c r="CG308" s="69" t="str">
        <f t="shared" si="34"/>
        <v>خ ت صيدلة</v>
      </c>
    </row>
    <row r="309" spans="3:85" x14ac:dyDescent="0.25">
      <c r="C309" s="75">
        <v>12948</v>
      </c>
      <c r="D309" s="75">
        <v>7515</v>
      </c>
      <c r="E309" s="69" t="s">
        <v>119</v>
      </c>
      <c r="F309" s="69" t="s">
        <v>1885</v>
      </c>
      <c r="H309" s="69">
        <v>1618.08</v>
      </c>
      <c r="AS309" s="91">
        <f t="shared" si="31"/>
        <v>1618.08</v>
      </c>
      <c r="AT309" s="69">
        <v>980.46</v>
      </c>
      <c r="AU309" s="52">
        <v>178.74</v>
      </c>
      <c r="AV309" s="69">
        <v>389.88</v>
      </c>
      <c r="AW309" s="69">
        <v>69</v>
      </c>
      <c r="CD309" s="91">
        <f t="shared" si="32"/>
        <v>1618.08</v>
      </c>
      <c r="CE309" s="69">
        <f t="shared" si="33"/>
        <v>0</v>
      </c>
      <c r="CF309" s="75">
        <f t="shared" si="34"/>
        <v>7515</v>
      </c>
      <c r="CG309" s="69" t="str">
        <f t="shared" si="34"/>
        <v>خ ت صيدلة</v>
      </c>
    </row>
    <row r="310" spans="3:85" x14ac:dyDescent="0.25">
      <c r="C310" s="75">
        <v>12930</v>
      </c>
      <c r="D310" s="75">
        <v>7516</v>
      </c>
      <c r="E310" s="69" t="s">
        <v>119</v>
      </c>
      <c r="F310" s="69" t="s">
        <v>1886</v>
      </c>
      <c r="H310" s="69">
        <v>469</v>
      </c>
      <c r="AS310" s="91">
        <f t="shared" si="31"/>
        <v>469</v>
      </c>
      <c r="AT310" s="69">
        <v>267.2</v>
      </c>
      <c r="AU310" s="52">
        <v>68.8</v>
      </c>
      <c r="AV310" s="69">
        <v>113</v>
      </c>
      <c r="AW310" s="69">
        <v>20</v>
      </c>
      <c r="CD310" s="91">
        <f t="shared" si="32"/>
        <v>469</v>
      </c>
      <c r="CE310" s="69">
        <f t="shared" si="33"/>
        <v>0</v>
      </c>
      <c r="CF310" s="75">
        <f t="shared" si="34"/>
        <v>7516</v>
      </c>
      <c r="CG310" s="69" t="str">
        <f t="shared" si="34"/>
        <v>خ ت صيدلة</v>
      </c>
    </row>
    <row r="311" spans="3:85" x14ac:dyDescent="0.25">
      <c r="C311" s="75">
        <v>12931</v>
      </c>
      <c r="D311" s="75">
        <v>7517</v>
      </c>
      <c r="E311" s="69" t="s">
        <v>119</v>
      </c>
      <c r="F311" s="69" t="s">
        <v>1887</v>
      </c>
      <c r="H311" s="69">
        <v>469</v>
      </c>
      <c r="AS311" s="91">
        <f t="shared" si="31"/>
        <v>469</v>
      </c>
      <c r="AT311" s="69">
        <v>267.2</v>
      </c>
      <c r="AU311" s="52">
        <v>68.8</v>
      </c>
      <c r="AV311" s="69">
        <v>113</v>
      </c>
      <c r="AW311" s="69">
        <v>20</v>
      </c>
      <c r="CD311" s="91">
        <f t="shared" si="32"/>
        <v>469</v>
      </c>
      <c r="CE311" s="69">
        <f t="shared" si="33"/>
        <v>0</v>
      </c>
      <c r="CF311" s="75">
        <f t="shared" si="34"/>
        <v>7517</v>
      </c>
      <c r="CG311" s="69" t="str">
        <f t="shared" si="34"/>
        <v>خ ت صيدلة</v>
      </c>
    </row>
    <row r="312" spans="3:85" x14ac:dyDescent="0.25">
      <c r="C312" s="75">
        <v>12940</v>
      </c>
      <c r="D312" s="75">
        <v>7518</v>
      </c>
      <c r="E312" s="69" t="s">
        <v>119</v>
      </c>
      <c r="F312" s="69" t="s">
        <v>1888</v>
      </c>
      <c r="H312" s="69">
        <v>46.9</v>
      </c>
      <c r="AS312" s="91">
        <f t="shared" si="31"/>
        <v>46.9</v>
      </c>
      <c r="AT312" s="69">
        <v>30.24</v>
      </c>
      <c r="AU312" s="52">
        <v>3.36</v>
      </c>
      <c r="AV312" s="69">
        <v>11.3</v>
      </c>
      <c r="AW312" s="69">
        <v>2</v>
      </c>
      <c r="CD312" s="91">
        <f t="shared" si="32"/>
        <v>46.900000000000006</v>
      </c>
      <c r="CE312" s="69">
        <f t="shared" si="33"/>
        <v>0</v>
      </c>
      <c r="CF312" s="75">
        <f t="shared" si="34"/>
        <v>7518</v>
      </c>
      <c r="CG312" s="69" t="str">
        <f t="shared" si="34"/>
        <v>خ ت صيدلة</v>
      </c>
    </row>
    <row r="313" spans="3:85" x14ac:dyDescent="0.25">
      <c r="C313" s="75">
        <v>12950</v>
      </c>
      <c r="D313" s="75">
        <v>7519</v>
      </c>
      <c r="E313" s="69" t="s">
        <v>119</v>
      </c>
      <c r="F313" s="69" t="s">
        <v>1889</v>
      </c>
      <c r="H313" s="69">
        <v>2239.4899999999998</v>
      </c>
      <c r="AS313" s="91">
        <f t="shared" si="31"/>
        <v>2239.4899999999998</v>
      </c>
      <c r="AT313" s="69">
        <v>1413.92</v>
      </c>
      <c r="AU313" s="52">
        <v>190.48</v>
      </c>
      <c r="AV313" s="69">
        <v>539.59</v>
      </c>
      <c r="AW313" s="69">
        <v>95.5</v>
      </c>
      <c r="CD313" s="91">
        <f t="shared" si="32"/>
        <v>2239.4900000000002</v>
      </c>
      <c r="CE313" s="69">
        <f t="shared" si="33"/>
        <v>0</v>
      </c>
      <c r="CF313" s="75">
        <f t="shared" si="34"/>
        <v>7519</v>
      </c>
      <c r="CG313" s="69" t="str">
        <f t="shared" si="34"/>
        <v>خ ت صيدلة</v>
      </c>
    </row>
    <row r="314" spans="3:85" x14ac:dyDescent="0.25">
      <c r="C314" s="75">
        <v>12951</v>
      </c>
      <c r="D314" s="75">
        <v>7520</v>
      </c>
      <c r="E314" s="69" t="s">
        <v>119</v>
      </c>
      <c r="F314" s="69" t="s">
        <v>1889</v>
      </c>
      <c r="H314" s="69">
        <v>914.56</v>
      </c>
      <c r="AS314" s="91">
        <f t="shared" si="31"/>
        <v>914.56</v>
      </c>
      <c r="AT314" s="69">
        <v>586.17999999999995</v>
      </c>
      <c r="AU314" s="52">
        <v>69.02</v>
      </c>
      <c r="AV314" s="69">
        <v>220.36</v>
      </c>
      <c r="AW314" s="69">
        <v>39</v>
      </c>
      <c r="CD314" s="91">
        <f t="shared" si="32"/>
        <v>914.56</v>
      </c>
      <c r="CE314" s="69">
        <f t="shared" si="33"/>
        <v>0</v>
      </c>
      <c r="CF314" s="75">
        <f t="shared" si="34"/>
        <v>7520</v>
      </c>
      <c r="CG314" s="69" t="str">
        <f t="shared" si="34"/>
        <v>خ ت صيدلة</v>
      </c>
    </row>
    <row r="315" spans="3:85" x14ac:dyDescent="0.25">
      <c r="C315" s="75">
        <v>12933</v>
      </c>
      <c r="D315" s="75">
        <v>7521</v>
      </c>
      <c r="E315" s="69" t="s">
        <v>119</v>
      </c>
      <c r="F315" s="69" t="s">
        <v>1890</v>
      </c>
      <c r="H315" s="69">
        <v>703.5</v>
      </c>
      <c r="AS315" s="91">
        <f t="shared" si="31"/>
        <v>703.5</v>
      </c>
      <c r="AT315" s="69">
        <v>425.51</v>
      </c>
      <c r="AU315" s="52">
        <v>78.489999999999995</v>
      </c>
      <c r="AV315" s="69">
        <v>169.5</v>
      </c>
      <c r="AW315" s="69">
        <v>30</v>
      </c>
      <c r="CD315" s="91">
        <f t="shared" si="32"/>
        <v>703.5</v>
      </c>
      <c r="CE315" s="69">
        <f t="shared" si="33"/>
        <v>0</v>
      </c>
      <c r="CF315" s="75">
        <f t="shared" si="34"/>
        <v>7521</v>
      </c>
      <c r="CG315" s="69" t="str">
        <f t="shared" si="34"/>
        <v>خ ت صيدلة</v>
      </c>
    </row>
    <row r="316" spans="3:85" x14ac:dyDescent="0.25">
      <c r="C316" s="75">
        <v>12949</v>
      </c>
      <c r="D316" s="75">
        <v>7522</v>
      </c>
      <c r="E316" s="69" t="s">
        <v>119</v>
      </c>
      <c r="F316" s="69" t="str">
        <f>+F313</f>
        <v xml:space="preserve">مكافاه اعمال نظافه </v>
      </c>
      <c r="H316" s="69">
        <v>1237.28</v>
      </c>
      <c r="AS316" s="91">
        <f t="shared" si="31"/>
        <v>1237.28</v>
      </c>
      <c r="AT316" s="69">
        <v>1035.5899999999999</v>
      </c>
      <c r="AU316" s="52">
        <f>6.45+26.56</f>
        <v>33.01</v>
      </c>
      <c r="AV316" s="69">
        <v>110.18</v>
      </c>
      <c r="AW316" s="69">
        <v>58.5</v>
      </c>
      <c r="CD316" s="91">
        <f t="shared" si="32"/>
        <v>1237.28</v>
      </c>
      <c r="CE316" s="69">
        <f t="shared" si="33"/>
        <v>0</v>
      </c>
      <c r="CF316" s="75">
        <f t="shared" si="34"/>
        <v>7522</v>
      </c>
      <c r="CG316" s="69" t="str">
        <f t="shared" si="34"/>
        <v>خ ت صيدلة</v>
      </c>
    </row>
    <row r="317" spans="3:85" x14ac:dyDescent="0.25">
      <c r="C317" s="75">
        <v>12942</v>
      </c>
      <c r="D317" s="75">
        <v>7523</v>
      </c>
      <c r="E317" s="69" t="s">
        <v>119</v>
      </c>
      <c r="F317" s="69" t="s">
        <v>1243</v>
      </c>
      <c r="H317" s="69">
        <v>1000</v>
      </c>
      <c r="AS317" s="91">
        <f t="shared" si="31"/>
        <v>1000</v>
      </c>
      <c r="AT317" s="69">
        <v>849.01</v>
      </c>
      <c r="AU317" s="52">
        <v>100.99</v>
      </c>
      <c r="AW317" s="69">
        <v>50</v>
      </c>
      <c r="CD317" s="91">
        <f t="shared" si="32"/>
        <v>1000</v>
      </c>
      <c r="CE317" s="69">
        <f t="shared" si="33"/>
        <v>0</v>
      </c>
      <c r="CF317" s="75">
        <f t="shared" si="34"/>
        <v>7523</v>
      </c>
      <c r="CG317" s="69" t="str">
        <f t="shared" si="34"/>
        <v>خ ت صيدلة</v>
      </c>
    </row>
    <row r="318" spans="3:85" x14ac:dyDescent="0.25">
      <c r="C318" s="75">
        <v>12939</v>
      </c>
      <c r="D318" s="75">
        <v>7524</v>
      </c>
      <c r="E318" s="69" t="s">
        <v>119</v>
      </c>
      <c r="F318" s="69" t="s">
        <v>1891</v>
      </c>
      <c r="H318" s="69">
        <v>936.81</v>
      </c>
      <c r="AS318" s="91">
        <f t="shared" si="31"/>
        <v>936.81</v>
      </c>
      <c r="AT318" s="69">
        <v>583.75</v>
      </c>
      <c r="AU318" s="52">
        <v>104.9</v>
      </c>
      <c r="AV318" s="69">
        <v>207.66</v>
      </c>
      <c r="AW318" s="69">
        <v>40.5</v>
      </c>
      <c r="CD318" s="91">
        <f t="shared" si="32"/>
        <v>936.81</v>
      </c>
      <c r="CE318" s="69">
        <f t="shared" si="33"/>
        <v>0</v>
      </c>
      <c r="CF318" s="75">
        <f t="shared" si="34"/>
        <v>7524</v>
      </c>
      <c r="CG318" s="69" t="str">
        <f t="shared" si="34"/>
        <v>خ ت صيدلة</v>
      </c>
    </row>
    <row r="319" spans="3:85" x14ac:dyDescent="0.25">
      <c r="C319" s="75">
        <v>12947</v>
      </c>
      <c r="D319" s="75">
        <v>7525</v>
      </c>
      <c r="E319" s="69" t="s">
        <v>119</v>
      </c>
      <c r="F319" s="69" t="s">
        <v>1885</v>
      </c>
      <c r="H319" s="69">
        <v>769.36</v>
      </c>
      <c r="AS319" s="91">
        <f t="shared" si="31"/>
        <v>769.36</v>
      </c>
      <c r="AT319" s="69">
        <v>620.5</v>
      </c>
      <c r="AU319" s="52">
        <f>3+15.9</f>
        <v>18.899999999999999</v>
      </c>
      <c r="AV319" s="69">
        <v>129.96</v>
      </c>
      <c r="CD319" s="91">
        <f t="shared" si="32"/>
        <v>769.36</v>
      </c>
      <c r="CE319" s="69">
        <f t="shared" si="33"/>
        <v>0</v>
      </c>
      <c r="CF319" s="75">
        <f t="shared" si="34"/>
        <v>7525</v>
      </c>
      <c r="CG319" s="69" t="str">
        <f t="shared" si="34"/>
        <v>خ ت صيدلة</v>
      </c>
    </row>
    <row r="320" spans="3:85" x14ac:dyDescent="0.25">
      <c r="C320" s="75">
        <v>13040</v>
      </c>
      <c r="D320" s="75">
        <v>7526</v>
      </c>
      <c r="E320" s="69" t="s">
        <v>119</v>
      </c>
      <c r="F320" s="69" t="s">
        <v>1885</v>
      </c>
      <c r="H320" s="69">
        <v>269.68</v>
      </c>
      <c r="AS320" s="91">
        <f t="shared" si="31"/>
        <v>269.68</v>
      </c>
      <c r="AT320" s="69">
        <v>173.02</v>
      </c>
      <c r="AU320" s="52">
        <v>20.18</v>
      </c>
      <c r="AV320" s="69">
        <v>64.98</v>
      </c>
      <c r="AW320" s="69">
        <v>11.5</v>
      </c>
      <c r="CD320" s="91">
        <f t="shared" si="32"/>
        <v>269.68</v>
      </c>
      <c r="CE320" s="69">
        <f t="shared" si="33"/>
        <v>0</v>
      </c>
      <c r="CF320" s="75">
        <f t="shared" si="34"/>
        <v>7526</v>
      </c>
      <c r="CG320" s="69" t="str">
        <f t="shared" si="34"/>
        <v>خ ت صيدلة</v>
      </c>
    </row>
    <row r="321" spans="3:85" x14ac:dyDescent="0.25">
      <c r="C321" s="75">
        <v>12926</v>
      </c>
      <c r="D321" s="75">
        <v>7527</v>
      </c>
      <c r="E321" s="69" t="s">
        <v>119</v>
      </c>
      <c r="F321" s="69" t="str">
        <f>+F318</f>
        <v>مكافاه خ ت اكتوبر</v>
      </c>
      <c r="H321" s="69">
        <v>46.9</v>
      </c>
      <c r="AS321" s="91">
        <f t="shared" si="31"/>
        <v>46.9</v>
      </c>
      <c r="AT321" s="69">
        <v>30.24</v>
      </c>
      <c r="AU321" s="52">
        <v>3.36</v>
      </c>
      <c r="AV321" s="69">
        <v>11.3</v>
      </c>
      <c r="AW321" s="69">
        <v>2</v>
      </c>
      <c r="CD321" s="91">
        <f t="shared" si="32"/>
        <v>46.900000000000006</v>
      </c>
      <c r="CE321" s="69">
        <f t="shared" si="33"/>
        <v>0</v>
      </c>
      <c r="CF321" s="75">
        <f t="shared" si="34"/>
        <v>7527</v>
      </c>
      <c r="CG321" s="69" t="str">
        <f t="shared" si="34"/>
        <v>خ ت صيدلة</v>
      </c>
    </row>
    <row r="322" spans="3:85" x14ac:dyDescent="0.25">
      <c r="C322" s="75">
        <v>12928</v>
      </c>
      <c r="D322" s="75">
        <v>7528</v>
      </c>
      <c r="E322" s="69" t="s">
        <v>119</v>
      </c>
      <c r="F322" s="69" t="s">
        <v>1888</v>
      </c>
      <c r="H322" s="69">
        <v>46.9</v>
      </c>
      <c r="AS322" s="91">
        <f t="shared" si="31"/>
        <v>46.9</v>
      </c>
      <c r="AT322" s="69">
        <v>30.24</v>
      </c>
      <c r="AU322" s="52">
        <v>3.36</v>
      </c>
      <c r="AV322" s="69">
        <v>11.3</v>
      </c>
      <c r="AW322" s="69">
        <v>2</v>
      </c>
      <c r="CD322" s="91">
        <f t="shared" si="32"/>
        <v>46.900000000000006</v>
      </c>
      <c r="CE322" s="69">
        <f t="shared" si="33"/>
        <v>0</v>
      </c>
      <c r="CF322" s="75">
        <f t="shared" si="34"/>
        <v>7528</v>
      </c>
      <c r="CG322" s="69" t="str">
        <f t="shared" si="34"/>
        <v>خ ت صيدلة</v>
      </c>
    </row>
    <row r="323" spans="3:85" x14ac:dyDescent="0.25">
      <c r="C323" s="75">
        <v>12925</v>
      </c>
      <c r="D323" s="75">
        <v>7529</v>
      </c>
      <c r="E323" s="69" t="s">
        <v>119</v>
      </c>
      <c r="F323" s="69" t="s">
        <v>1892</v>
      </c>
      <c r="H323" s="69">
        <v>586.25</v>
      </c>
      <c r="AS323" s="91">
        <f t="shared" si="31"/>
        <v>586.25</v>
      </c>
      <c r="AT323" s="69">
        <v>406.96</v>
      </c>
      <c r="AU323" s="52">
        <f>2.6+10.44</f>
        <v>13.04</v>
      </c>
      <c r="AV323" s="69">
        <v>141.25</v>
      </c>
      <c r="AW323" s="69">
        <v>25</v>
      </c>
      <c r="CD323" s="91">
        <f t="shared" si="32"/>
        <v>586.25</v>
      </c>
      <c r="CE323" s="69">
        <f t="shared" si="33"/>
        <v>0</v>
      </c>
      <c r="CF323" s="75">
        <f t="shared" si="34"/>
        <v>7529</v>
      </c>
      <c r="CG323" s="69" t="str">
        <f t="shared" si="34"/>
        <v>خ ت صيدلة</v>
      </c>
    </row>
    <row r="324" spans="3:85" x14ac:dyDescent="0.25">
      <c r="C324" s="75">
        <v>12936</v>
      </c>
      <c r="D324" s="75">
        <v>7530</v>
      </c>
      <c r="E324" s="69" t="s">
        <v>119</v>
      </c>
      <c r="F324" s="69" t="s">
        <v>1888</v>
      </c>
      <c r="H324" s="69">
        <v>93.8</v>
      </c>
      <c r="AS324" s="91">
        <f t="shared" si="31"/>
        <v>93.8</v>
      </c>
      <c r="AT324" s="69">
        <v>60.48</v>
      </c>
      <c r="AU324" s="52">
        <v>6.72</v>
      </c>
      <c r="AV324" s="69">
        <v>22.6</v>
      </c>
      <c r="AW324" s="69">
        <v>4</v>
      </c>
      <c r="CD324" s="91">
        <f t="shared" si="32"/>
        <v>93.800000000000011</v>
      </c>
      <c r="CE324" s="69">
        <f t="shared" si="33"/>
        <v>0</v>
      </c>
      <c r="CF324" s="75">
        <f t="shared" si="34"/>
        <v>7530</v>
      </c>
      <c r="CG324" s="69" t="str">
        <f t="shared" si="34"/>
        <v>خ ت صيدلة</v>
      </c>
    </row>
    <row r="325" spans="3:85" x14ac:dyDescent="0.25">
      <c r="C325" s="75">
        <v>12934</v>
      </c>
      <c r="D325" s="75">
        <v>7531</v>
      </c>
      <c r="E325" s="69" t="s">
        <v>119</v>
      </c>
      <c r="F325" s="69" t="str">
        <f>+F321</f>
        <v>مكافاه خ ت اكتوبر</v>
      </c>
      <c r="H325" s="69">
        <v>93.8</v>
      </c>
      <c r="AS325" s="91">
        <f t="shared" si="31"/>
        <v>93.8</v>
      </c>
      <c r="AT325" s="69">
        <v>60.48</v>
      </c>
      <c r="AU325" s="52">
        <v>6.72</v>
      </c>
      <c r="AV325" s="69">
        <v>22.6</v>
      </c>
      <c r="AW325" s="69">
        <v>4</v>
      </c>
      <c r="CD325" s="91">
        <f t="shared" si="32"/>
        <v>93.800000000000011</v>
      </c>
      <c r="CE325" s="69">
        <f t="shared" si="33"/>
        <v>0</v>
      </c>
      <c r="CF325" s="75">
        <f t="shared" si="34"/>
        <v>7531</v>
      </c>
      <c r="CG325" s="69" t="str">
        <f t="shared" si="34"/>
        <v>خ ت صيدلة</v>
      </c>
    </row>
    <row r="326" spans="3:85" x14ac:dyDescent="0.25">
      <c r="D326" s="75">
        <v>7532</v>
      </c>
      <c r="E326" s="69" t="s">
        <v>119</v>
      </c>
      <c r="F326" s="69" t="str">
        <f>+F325</f>
        <v>مكافاه خ ت اكتوبر</v>
      </c>
      <c r="H326" s="69">
        <v>689.5</v>
      </c>
      <c r="AS326" s="91">
        <f t="shared" si="31"/>
        <v>689.5</v>
      </c>
      <c r="AT326" s="69">
        <v>441.63</v>
      </c>
      <c r="AU326" s="52">
        <v>49.07</v>
      </c>
      <c r="AV326" s="69">
        <v>169.5</v>
      </c>
      <c r="AW326" s="69">
        <v>29.3</v>
      </c>
      <c r="CD326" s="91">
        <f t="shared" si="32"/>
        <v>689.5</v>
      </c>
      <c r="CE326" s="69">
        <f t="shared" si="33"/>
        <v>0</v>
      </c>
      <c r="CF326" s="75">
        <f t="shared" si="34"/>
        <v>7532</v>
      </c>
      <c r="CG326" s="69" t="str">
        <f t="shared" si="34"/>
        <v>خ ت صيدلة</v>
      </c>
    </row>
    <row r="327" spans="3:85" x14ac:dyDescent="0.25">
      <c r="C327" s="75">
        <v>12937</v>
      </c>
      <c r="D327" s="75">
        <v>7533</v>
      </c>
      <c r="E327" s="69" t="s">
        <v>119</v>
      </c>
      <c r="F327" s="69" t="str">
        <f>+F329</f>
        <v>مكافاه خ ت نوفمبر</v>
      </c>
      <c r="H327" s="69">
        <v>736.4</v>
      </c>
      <c r="AS327" s="91">
        <f t="shared" si="31"/>
        <v>736.4</v>
      </c>
      <c r="AT327" s="69">
        <v>471.87</v>
      </c>
      <c r="AU327" s="52">
        <v>52.43</v>
      </c>
      <c r="AV327" s="69">
        <v>180.8</v>
      </c>
      <c r="AW327" s="69">
        <v>31.3</v>
      </c>
      <c r="CD327" s="91">
        <f t="shared" si="32"/>
        <v>736.39999999999986</v>
      </c>
      <c r="CE327" s="69">
        <f t="shared" si="33"/>
        <v>0</v>
      </c>
      <c r="CF327" s="75">
        <f t="shared" si="34"/>
        <v>7533</v>
      </c>
      <c r="CG327" s="69" t="str">
        <f t="shared" si="34"/>
        <v>خ ت صيدلة</v>
      </c>
    </row>
    <row r="328" spans="3:85" x14ac:dyDescent="0.25">
      <c r="C328" s="75">
        <v>12927</v>
      </c>
      <c r="D328" s="75">
        <v>7534</v>
      </c>
      <c r="E328" s="69" t="s">
        <v>119</v>
      </c>
      <c r="F328" s="69" t="str">
        <f>+F321</f>
        <v>مكافاه خ ت اكتوبر</v>
      </c>
      <c r="H328" s="69">
        <v>5571.95</v>
      </c>
      <c r="AS328" s="91">
        <f t="shared" si="31"/>
        <v>5571.95</v>
      </c>
      <c r="AT328" s="69">
        <v>3419.7</v>
      </c>
      <c r="AU328" s="52">
        <v>572.12</v>
      </c>
      <c r="AV328" s="69">
        <v>1342.52</v>
      </c>
      <c r="AW328" s="69">
        <v>237.61</v>
      </c>
      <c r="CD328" s="91">
        <f t="shared" si="32"/>
        <v>5571.95</v>
      </c>
      <c r="CE328" s="69">
        <f t="shared" si="33"/>
        <v>0</v>
      </c>
      <c r="CF328" s="75">
        <f t="shared" si="34"/>
        <v>7534</v>
      </c>
      <c r="CG328" s="69" t="str">
        <f t="shared" si="34"/>
        <v>خ ت صيدلة</v>
      </c>
    </row>
    <row r="329" spans="3:85" x14ac:dyDescent="0.25">
      <c r="C329" s="75">
        <v>12929</v>
      </c>
      <c r="D329" s="75">
        <v>7535</v>
      </c>
      <c r="E329" s="69" t="s">
        <v>119</v>
      </c>
      <c r="F329" s="69" t="str">
        <f>+F322</f>
        <v>مكافاه خ ت نوفمبر</v>
      </c>
      <c r="H329" s="69">
        <v>5525.05</v>
      </c>
      <c r="AS329" s="91">
        <f t="shared" si="31"/>
        <v>5525.05</v>
      </c>
      <c r="AT329" s="69">
        <v>3389.46</v>
      </c>
      <c r="AU329" s="52">
        <v>568.76</v>
      </c>
      <c r="AV329" s="69">
        <v>1331.22</v>
      </c>
      <c r="AW329" s="69">
        <v>235.61</v>
      </c>
      <c r="CD329" s="91">
        <f t="shared" si="32"/>
        <v>5525.05</v>
      </c>
      <c r="CE329" s="69">
        <f t="shared" si="33"/>
        <v>0</v>
      </c>
      <c r="CF329" s="75">
        <f t="shared" si="34"/>
        <v>7535</v>
      </c>
      <c r="CG329" s="69" t="str">
        <f t="shared" si="34"/>
        <v>خ ت صيدلة</v>
      </c>
    </row>
    <row r="330" spans="3:85" x14ac:dyDescent="0.25">
      <c r="C330" s="75">
        <v>12945</v>
      </c>
      <c r="D330" s="75">
        <v>7536</v>
      </c>
      <c r="E330" s="69" t="s">
        <v>119</v>
      </c>
      <c r="F330" s="69" t="s">
        <v>1893</v>
      </c>
      <c r="H330" s="69">
        <v>1618.08</v>
      </c>
      <c r="AS330" s="91">
        <f t="shared" si="31"/>
        <v>1618.08</v>
      </c>
      <c r="AT330" s="69">
        <v>980.46</v>
      </c>
      <c r="AU330" s="52">
        <v>178.74</v>
      </c>
      <c r="AV330" s="69">
        <v>389.88</v>
      </c>
      <c r="AW330" s="69">
        <v>69</v>
      </c>
      <c r="CD330" s="91">
        <f t="shared" si="32"/>
        <v>1618.08</v>
      </c>
      <c r="CE330" s="69">
        <f t="shared" si="33"/>
        <v>0</v>
      </c>
      <c r="CF330" s="75">
        <f t="shared" si="34"/>
        <v>7536</v>
      </c>
      <c r="CG330" s="69" t="str">
        <f t="shared" si="34"/>
        <v>خ ت صيدلة</v>
      </c>
    </row>
    <row r="331" spans="3:85" x14ac:dyDescent="0.25">
      <c r="C331" s="75">
        <v>12943</v>
      </c>
      <c r="D331" s="75">
        <v>7537</v>
      </c>
      <c r="E331" s="69" t="s">
        <v>119</v>
      </c>
      <c r="F331" s="69" t="s">
        <v>1894</v>
      </c>
      <c r="H331" s="69">
        <v>1560.27</v>
      </c>
      <c r="AS331" s="91">
        <f t="shared" si="31"/>
        <v>1560.27</v>
      </c>
      <c r="AT331" s="69">
        <v>926.54</v>
      </c>
      <c r="AU331" s="52">
        <v>191.29</v>
      </c>
      <c r="AV331" s="69">
        <v>375.91</v>
      </c>
      <c r="AW331" s="69">
        <v>66.53</v>
      </c>
      <c r="CD331" s="91">
        <f t="shared" si="32"/>
        <v>1560.27</v>
      </c>
      <c r="CE331" s="69">
        <f t="shared" si="33"/>
        <v>0</v>
      </c>
      <c r="CF331" s="75">
        <f t="shared" si="34"/>
        <v>7537</v>
      </c>
      <c r="CG331" s="69" t="str">
        <f t="shared" si="34"/>
        <v>خ ت صيدلة</v>
      </c>
    </row>
    <row r="332" spans="3:85" x14ac:dyDescent="0.25">
      <c r="C332" s="75">
        <v>12946</v>
      </c>
      <c r="D332" s="75">
        <v>7538</v>
      </c>
      <c r="E332" s="69" t="s">
        <v>119</v>
      </c>
      <c r="F332" s="69" t="s">
        <v>1893</v>
      </c>
      <c r="H332" s="69">
        <v>269.68</v>
      </c>
      <c r="AS332" s="91">
        <f t="shared" si="31"/>
        <v>269.68</v>
      </c>
      <c r="AT332" s="69">
        <v>173.02</v>
      </c>
      <c r="AU332" s="52">
        <v>20.18</v>
      </c>
      <c r="AV332" s="69">
        <v>64.98</v>
      </c>
      <c r="AW332" s="69">
        <v>11.5</v>
      </c>
      <c r="CD332" s="91">
        <f t="shared" si="32"/>
        <v>269.68</v>
      </c>
      <c r="CE332" s="69">
        <f t="shared" si="33"/>
        <v>0</v>
      </c>
      <c r="CF332" s="75">
        <f t="shared" si="34"/>
        <v>7538</v>
      </c>
      <c r="CG332" s="69" t="str">
        <f t="shared" si="34"/>
        <v>خ ت صيدلة</v>
      </c>
    </row>
    <row r="333" spans="3:85" x14ac:dyDescent="0.25">
      <c r="C333" s="75">
        <v>12941</v>
      </c>
      <c r="D333" s="75">
        <v>7539</v>
      </c>
      <c r="E333" s="69" t="s">
        <v>119</v>
      </c>
      <c r="F333" s="69" t="str">
        <f>+F329</f>
        <v>مكافاه خ ت نوفمبر</v>
      </c>
      <c r="H333" s="69">
        <v>936.81</v>
      </c>
      <c r="AS333" s="91">
        <f t="shared" si="31"/>
        <v>936.81</v>
      </c>
      <c r="AT333" s="69">
        <v>583.75</v>
      </c>
      <c r="AU333" s="52">
        <v>104.9</v>
      </c>
      <c r="AV333" s="69">
        <v>207.66</v>
      </c>
      <c r="AW333" s="69">
        <v>40.5</v>
      </c>
      <c r="CD333" s="91">
        <f t="shared" si="32"/>
        <v>936.81</v>
      </c>
      <c r="CE333" s="69">
        <f t="shared" si="33"/>
        <v>0</v>
      </c>
      <c r="CF333" s="75">
        <f t="shared" si="34"/>
        <v>7539</v>
      </c>
      <c r="CG333" s="69" t="str">
        <f t="shared" si="34"/>
        <v>خ ت صيدلة</v>
      </c>
    </row>
    <row r="334" spans="3:85" x14ac:dyDescent="0.25">
      <c r="C334" s="75">
        <v>12938</v>
      </c>
      <c r="D334" s="75">
        <v>7540</v>
      </c>
      <c r="E334" s="69" t="s">
        <v>119</v>
      </c>
      <c r="F334" s="69" t="s">
        <v>1895</v>
      </c>
      <c r="H334" s="69">
        <v>46.9</v>
      </c>
      <c r="AS334" s="91">
        <f t="shared" si="31"/>
        <v>46.9</v>
      </c>
      <c r="AT334" s="69">
        <v>30.24</v>
      </c>
      <c r="AU334" s="52">
        <v>3.36</v>
      </c>
      <c r="AV334" s="69">
        <v>11.3</v>
      </c>
      <c r="AW334" s="69">
        <v>2</v>
      </c>
      <c r="CD334" s="91">
        <f t="shared" si="32"/>
        <v>46.900000000000006</v>
      </c>
      <c r="CE334" s="69">
        <f t="shared" si="33"/>
        <v>0</v>
      </c>
      <c r="CF334" s="75">
        <f t="shared" si="34"/>
        <v>7540</v>
      </c>
      <c r="CG334" s="69" t="str">
        <f t="shared" si="34"/>
        <v>خ ت صيدلة</v>
      </c>
    </row>
    <row r="335" spans="3:85" x14ac:dyDescent="0.25">
      <c r="C335" s="75">
        <v>12944</v>
      </c>
      <c r="D335" s="75">
        <v>7541</v>
      </c>
      <c r="E335" s="69" t="s">
        <v>119</v>
      </c>
      <c r="F335" s="69" t="s">
        <v>1896</v>
      </c>
      <c r="H335" s="69">
        <v>769.36</v>
      </c>
      <c r="AS335" s="91">
        <f t="shared" si="31"/>
        <v>769.36</v>
      </c>
      <c r="AT335" s="69">
        <v>620.5</v>
      </c>
      <c r="AU335" s="52">
        <f>15.9+3</f>
        <v>18.899999999999999</v>
      </c>
      <c r="AV335" s="69">
        <v>129.96</v>
      </c>
      <c r="CD335" s="91">
        <f t="shared" si="32"/>
        <v>769.36</v>
      </c>
      <c r="CE335" s="69">
        <f t="shared" si="33"/>
        <v>0</v>
      </c>
      <c r="CF335" s="75">
        <f t="shared" si="34"/>
        <v>7541</v>
      </c>
      <c r="CG335" s="69" t="str">
        <f t="shared" si="34"/>
        <v>خ ت صيدلة</v>
      </c>
    </row>
    <row r="336" spans="3:85" x14ac:dyDescent="0.25">
      <c r="C336" s="75">
        <v>12678</v>
      </c>
      <c r="D336" s="75">
        <v>7542</v>
      </c>
      <c r="E336" s="69" t="s">
        <v>78</v>
      </c>
      <c r="F336" s="69" t="s">
        <v>1897</v>
      </c>
      <c r="H336" s="69">
        <v>38458</v>
      </c>
      <c r="AS336" s="91">
        <f t="shared" si="31"/>
        <v>38458</v>
      </c>
      <c r="AT336" s="69">
        <v>25696</v>
      </c>
      <c r="AU336" s="52">
        <f>3280+216</f>
        <v>3496</v>
      </c>
      <c r="AV336" s="69">
        <v>9266</v>
      </c>
      <c r="CD336" s="91">
        <f t="shared" si="32"/>
        <v>38458</v>
      </c>
      <c r="CE336" s="69">
        <f t="shared" si="33"/>
        <v>0</v>
      </c>
      <c r="CF336" s="75">
        <f t="shared" si="34"/>
        <v>7542</v>
      </c>
      <c r="CG336" s="69" t="str">
        <f t="shared" si="34"/>
        <v>برنامج دولى</v>
      </c>
    </row>
    <row r="337" spans="3:85" x14ac:dyDescent="0.25">
      <c r="C337" s="75">
        <v>12580</v>
      </c>
      <c r="D337" s="75">
        <v>7543</v>
      </c>
      <c r="E337" s="69" t="s">
        <v>78</v>
      </c>
      <c r="F337" s="69" t="s">
        <v>1898</v>
      </c>
      <c r="H337" s="69">
        <v>650</v>
      </c>
      <c r="AS337" s="91">
        <f t="shared" si="31"/>
        <v>650</v>
      </c>
      <c r="AT337" s="69">
        <v>580.79999999999995</v>
      </c>
      <c r="AU337" s="52">
        <v>69.2</v>
      </c>
      <c r="CD337" s="91">
        <f t="shared" si="32"/>
        <v>650</v>
      </c>
      <c r="CE337" s="69">
        <f t="shared" si="33"/>
        <v>0</v>
      </c>
      <c r="CF337" s="75">
        <f t="shared" si="34"/>
        <v>7543</v>
      </c>
      <c r="CG337" s="69" t="str">
        <f t="shared" si="34"/>
        <v>برنامج دولى</v>
      </c>
    </row>
    <row r="338" spans="3:85" x14ac:dyDescent="0.25">
      <c r="C338" s="75">
        <v>12553</v>
      </c>
      <c r="D338" s="75">
        <v>7544</v>
      </c>
      <c r="E338" s="69" t="s">
        <v>78</v>
      </c>
      <c r="F338" s="69" t="s">
        <v>1899</v>
      </c>
      <c r="H338" s="69">
        <v>3079.5</v>
      </c>
      <c r="AS338" s="91">
        <f t="shared" si="31"/>
        <v>3079.5</v>
      </c>
      <c r="AT338" s="69">
        <v>2171.0500000000002</v>
      </c>
      <c r="AU338" s="52">
        <v>286.95</v>
      </c>
      <c r="AV338" s="69">
        <v>621.5</v>
      </c>
      <c r="CD338" s="91">
        <f t="shared" si="32"/>
        <v>3079.5</v>
      </c>
      <c r="CE338" s="69">
        <f t="shared" si="33"/>
        <v>0</v>
      </c>
      <c r="CF338" s="75">
        <f t="shared" si="34"/>
        <v>7544</v>
      </c>
      <c r="CG338" s="69" t="str">
        <f t="shared" si="34"/>
        <v>برنامج دولى</v>
      </c>
    </row>
    <row r="339" spans="3:85" x14ac:dyDescent="0.25">
      <c r="C339" s="75">
        <v>12554</v>
      </c>
      <c r="D339" s="75">
        <v>7545</v>
      </c>
      <c r="E339" s="69" t="s">
        <v>78</v>
      </c>
      <c r="F339" s="69" t="s">
        <v>1899</v>
      </c>
      <c r="H339" s="69">
        <v>1289.75</v>
      </c>
      <c r="AS339" s="91">
        <f t="shared" si="31"/>
        <v>1289.75</v>
      </c>
      <c r="AT339" s="69">
        <v>861.1</v>
      </c>
      <c r="AU339" s="52">
        <v>117.9</v>
      </c>
      <c r="AV339" s="69">
        <v>310.75</v>
      </c>
      <c r="CD339" s="91">
        <f t="shared" si="32"/>
        <v>1289.75</v>
      </c>
      <c r="CE339" s="69">
        <f t="shared" si="33"/>
        <v>0</v>
      </c>
      <c r="CF339" s="75">
        <f t="shared" si="34"/>
        <v>7545</v>
      </c>
      <c r="CG339" s="69" t="str">
        <f t="shared" si="34"/>
        <v>برنامج دولى</v>
      </c>
    </row>
    <row r="340" spans="3:85" x14ac:dyDescent="0.25">
      <c r="C340" s="75">
        <v>12552</v>
      </c>
      <c r="D340" s="75">
        <v>7546</v>
      </c>
      <c r="E340" s="69" t="s">
        <v>78</v>
      </c>
      <c r="F340" s="69" t="str">
        <f>+F338</f>
        <v>مكافاه بعد مواعيد العمل عاملين مكتب العميد</v>
      </c>
      <c r="H340" s="69">
        <v>1113.8800000000001</v>
      </c>
      <c r="AS340" s="91">
        <f t="shared" si="31"/>
        <v>1113.8800000000001</v>
      </c>
      <c r="AT340" s="69">
        <v>744.9</v>
      </c>
      <c r="AU340" s="52">
        <v>100.6</v>
      </c>
      <c r="AV340" s="69">
        <v>268.38</v>
      </c>
      <c r="CD340" s="91">
        <f t="shared" si="32"/>
        <v>1113.8800000000001</v>
      </c>
      <c r="CE340" s="69">
        <f t="shared" si="33"/>
        <v>0</v>
      </c>
      <c r="CF340" s="75">
        <f t="shared" si="34"/>
        <v>7546</v>
      </c>
      <c r="CG340" s="69" t="str">
        <f t="shared" si="34"/>
        <v>برنامج دولى</v>
      </c>
    </row>
    <row r="341" spans="3:85" x14ac:dyDescent="0.25">
      <c r="C341" s="75">
        <v>12551</v>
      </c>
      <c r="D341" s="75">
        <v>7547</v>
      </c>
      <c r="E341" s="69" t="s">
        <v>78</v>
      </c>
      <c r="F341" s="69" t="str">
        <f>+F340</f>
        <v>مكافاه بعد مواعيد العمل عاملين مكتب العميد</v>
      </c>
      <c r="H341" s="69">
        <v>3693.38</v>
      </c>
      <c r="AS341" s="91">
        <f t="shared" si="31"/>
        <v>3693.38</v>
      </c>
      <c r="AT341" s="69">
        <v>2468.9</v>
      </c>
      <c r="AU341" s="52">
        <v>334.6</v>
      </c>
      <c r="AV341" s="69">
        <v>889.88</v>
      </c>
      <c r="CD341" s="91">
        <f t="shared" si="32"/>
        <v>3693.38</v>
      </c>
      <c r="CE341" s="69">
        <f t="shared" si="33"/>
        <v>0</v>
      </c>
      <c r="CF341" s="75">
        <f t="shared" si="34"/>
        <v>7547</v>
      </c>
      <c r="CG341" s="69" t="str">
        <f t="shared" si="34"/>
        <v>برنامج دولى</v>
      </c>
    </row>
    <row r="342" spans="3:85" x14ac:dyDescent="0.25">
      <c r="C342" s="75">
        <v>12550</v>
      </c>
      <c r="D342" s="75">
        <v>7548</v>
      </c>
      <c r="E342" s="69" t="s">
        <v>78</v>
      </c>
      <c r="F342" s="69" t="s">
        <v>1900</v>
      </c>
      <c r="H342" s="69">
        <v>2051.88</v>
      </c>
      <c r="AS342" s="91">
        <f t="shared" si="31"/>
        <v>2051.88</v>
      </c>
      <c r="AT342" s="69">
        <v>1372.95</v>
      </c>
      <c r="AU342" s="52">
        <v>184.55</v>
      </c>
      <c r="AV342" s="69">
        <v>494.38</v>
      </c>
      <c r="CD342" s="91">
        <f t="shared" si="32"/>
        <v>2051.88</v>
      </c>
      <c r="CE342" s="69">
        <f t="shared" si="33"/>
        <v>0</v>
      </c>
      <c r="CF342" s="75">
        <f t="shared" si="34"/>
        <v>7548</v>
      </c>
      <c r="CG342" s="69" t="str">
        <f t="shared" si="34"/>
        <v>برنامج دولى</v>
      </c>
    </row>
    <row r="343" spans="3:85" x14ac:dyDescent="0.25">
      <c r="C343" s="75">
        <v>12549</v>
      </c>
      <c r="D343" s="75">
        <v>7549</v>
      </c>
      <c r="E343" s="69" t="s">
        <v>78</v>
      </c>
      <c r="F343" s="69" t="s">
        <v>1900</v>
      </c>
      <c r="H343" s="69">
        <v>879.38</v>
      </c>
      <c r="AS343" s="91">
        <f t="shared" si="31"/>
        <v>879.38</v>
      </c>
      <c r="AT343" s="69">
        <v>588.15</v>
      </c>
      <c r="AU343" s="52">
        <v>79.349999999999994</v>
      </c>
      <c r="AV343" s="69">
        <v>211.88</v>
      </c>
      <c r="CD343" s="91">
        <f t="shared" si="32"/>
        <v>879.38</v>
      </c>
      <c r="CE343" s="69">
        <f t="shared" si="33"/>
        <v>0</v>
      </c>
      <c r="CF343" s="75">
        <f t="shared" si="34"/>
        <v>7549</v>
      </c>
      <c r="CG343" s="69" t="str">
        <f t="shared" si="34"/>
        <v>برنامج دولى</v>
      </c>
    </row>
    <row r="344" spans="3:85" x14ac:dyDescent="0.25">
      <c r="C344" s="75">
        <v>12548</v>
      </c>
      <c r="D344" s="75">
        <v>7550</v>
      </c>
      <c r="E344" s="69" t="s">
        <v>78</v>
      </c>
      <c r="F344" s="69" t="s">
        <v>1900</v>
      </c>
      <c r="H344" s="69">
        <v>9086.25</v>
      </c>
      <c r="AS344" s="91">
        <f t="shared" si="31"/>
        <v>9086.25</v>
      </c>
      <c r="AT344" s="69">
        <v>7980.1</v>
      </c>
      <c r="AU344" s="52">
        <v>964.9</v>
      </c>
      <c r="AV344" s="69">
        <v>141.25</v>
      </c>
      <c r="CD344" s="91">
        <f t="shared" si="32"/>
        <v>9086.25</v>
      </c>
      <c r="CE344" s="69">
        <f t="shared" si="33"/>
        <v>0</v>
      </c>
      <c r="CF344" s="75">
        <f t="shared" si="34"/>
        <v>7550</v>
      </c>
      <c r="CG344" s="69" t="str">
        <f t="shared" si="34"/>
        <v>برنامج دولى</v>
      </c>
    </row>
    <row r="345" spans="3:85" x14ac:dyDescent="0.25">
      <c r="C345" s="75">
        <v>12547</v>
      </c>
      <c r="D345" s="75">
        <v>7551</v>
      </c>
      <c r="E345" s="69" t="s">
        <v>78</v>
      </c>
      <c r="F345" s="69" t="s">
        <v>1900</v>
      </c>
      <c r="H345" s="69">
        <v>7836.25</v>
      </c>
      <c r="AS345" s="91">
        <f t="shared" si="31"/>
        <v>7836.25</v>
      </c>
      <c r="AT345" s="69">
        <v>6864.85</v>
      </c>
      <c r="AU345" s="52">
        <v>830.15</v>
      </c>
      <c r="AV345" s="69">
        <v>141.25</v>
      </c>
      <c r="CD345" s="91">
        <f t="shared" si="32"/>
        <v>7836.25</v>
      </c>
      <c r="CE345" s="69">
        <f t="shared" si="33"/>
        <v>0</v>
      </c>
      <c r="CF345" s="75">
        <f t="shared" si="34"/>
        <v>7551</v>
      </c>
      <c r="CG345" s="69" t="str">
        <f t="shared" si="34"/>
        <v>برنامج دولى</v>
      </c>
    </row>
    <row r="346" spans="3:85" x14ac:dyDescent="0.25">
      <c r="C346" s="75">
        <v>12546</v>
      </c>
      <c r="D346" s="75">
        <v>7552</v>
      </c>
      <c r="E346" s="69" t="s">
        <v>78</v>
      </c>
      <c r="F346" s="69" t="s">
        <v>1900</v>
      </c>
      <c r="H346" s="69">
        <v>3903.5</v>
      </c>
      <c r="AS346" s="91">
        <f t="shared" si="31"/>
        <v>3903.5</v>
      </c>
      <c r="AT346" s="69">
        <v>3328.65</v>
      </c>
      <c r="AU346" s="52">
        <v>405.35</v>
      </c>
      <c r="AV346" s="69">
        <v>169.5</v>
      </c>
      <c r="CD346" s="91">
        <f t="shared" si="32"/>
        <v>3903.5</v>
      </c>
      <c r="CE346" s="69">
        <f t="shared" si="33"/>
        <v>0</v>
      </c>
      <c r="CF346" s="75">
        <f t="shared" si="34"/>
        <v>7552</v>
      </c>
      <c r="CG346" s="69" t="str">
        <f t="shared" si="34"/>
        <v>برنامج دولى</v>
      </c>
    </row>
    <row r="347" spans="3:85" x14ac:dyDescent="0.25">
      <c r="C347" s="75">
        <v>12545</v>
      </c>
      <c r="D347" s="75">
        <v>7553</v>
      </c>
      <c r="E347" s="69" t="s">
        <v>78</v>
      </c>
      <c r="F347" s="69" t="s">
        <v>1900</v>
      </c>
      <c r="H347" s="69">
        <v>5100</v>
      </c>
      <c r="AS347" s="91">
        <f t="shared" si="31"/>
        <v>5100</v>
      </c>
      <c r="AT347" s="69">
        <v>4553.1499999999996</v>
      </c>
      <c r="AU347" s="52">
        <v>546.85</v>
      </c>
      <c r="CD347" s="91">
        <f t="shared" si="32"/>
        <v>5100</v>
      </c>
      <c r="CE347" s="69">
        <f t="shared" si="33"/>
        <v>0</v>
      </c>
      <c r="CF347" s="75">
        <f t="shared" si="34"/>
        <v>7553</v>
      </c>
      <c r="CG347" s="69" t="str">
        <f t="shared" si="34"/>
        <v>برنامج دولى</v>
      </c>
    </row>
    <row r="348" spans="3:85" x14ac:dyDescent="0.25">
      <c r="C348" s="75">
        <v>12544</v>
      </c>
      <c r="D348" s="75">
        <v>7554</v>
      </c>
      <c r="E348" s="69" t="s">
        <v>78</v>
      </c>
      <c r="F348" s="69" t="s">
        <v>1900</v>
      </c>
      <c r="H348" s="69">
        <v>1876</v>
      </c>
      <c r="AS348" s="91">
        <f t="shared" si="31"/>
        <v>1876</v>
      </c>
      <c r="AT348" s="69">
        <v>1255.2</v>
      </c>
      <c r="AU348" s="52">
        <v>168.8</v>
      </c>
      <c r="AV348" s="69">
        <v>452</v>
      </c>
      <c r="CD348" s="91">
        <f t="shared" si="32"/>
        <v>1876</v>
      </c>
      <c r="CE348" s="69">
        <f t="shared" si="33"/>
        <v>0</v>
      </c>
      <c r="CF348" s="75">
        <f t="shared" si="34"/>
        <v>7554</v>
      </c>
      <c r="CG348" s="69" t="str">
        <f t="shared" si="34"/>
        <v>برنامج دولى</v>
      </c>
    </row>
    <row r="349" spans="3:85" x14ac:dyDescent="0.25">
      <c r="C349" s="75">
        <v>12543</v>
      </c>
      <c r="D349" s="75">
        <v>7555</v>
      </c>
      <c r="E349" s="69" t="s">
        <v>78</v>
      </c>
      <c r="F349" s="69" t="s">
        <v>1901</v>
      </c>
      <c r="H349" s="69">
        <v>1750</v>
      </c>
      <c r="AS349" s="91">
        <f t="shared" si="31"/>
        <v>1750</v>
      </c>
      <c r="AT349" s="69">
        <v>1564.2</v>
      </c>
      <c r="AU349" s="52">
        <v>185.8</v>
      </c>
      <c r="CD349" s="91">
        <f t="shared" si="32"/>
        <v>1750</v>
      </c>
      <c r="CE349" s="69">
        <f t="shared" si="33"/>
        <v>0</v>
      </c>
      <c r="CF349" s="75">
        <f t="shared" si="34"/>
        <v>7555</v>
      </c>
      <c r="CG349" s="69" t="str">
        <f t="shared" si="34"/>
        <v>برنامج دولى</v>
      </c>
    </row>
    <row r="350" spans="3:85" x14ac:dyDescent="0.25">
      <c r="C350" s="75">
        <v>12542</v>
      </c>
      <c r="D350" s="75">
        <v>7556</v>
      </c>
      <c r="E350" s="69" t="s">
        <v>78</v>
      </c>
      <c r="F350" s="69" t="s">
        <v>1901</v>
      </c>
      <c r="H350" s="69">
        <v>750</v>
      </c>
      <c r="AS350" s="91">
        <f t="shared" si="31"/>
        <v>750</v>
      </c>
      <c r="AT350" s="69">
        <v>670.1</v>
      </c>
      <c r="AU350" s="52">
        <v>79.900000000000006</v>
      </c>
      <c r="CD350" s="91">
        <f t="shared" si="32"/>
        <v>750</v>
      </c>
      <c r="CE350" s="69">
        <f t="shared" si="33"/>
        <v>0</v>
      </c>
      <c r="CF350" s="75">
        <f t="shared" si="34"/>
        <v>7556</v>
      </c>
      <c r="CG350" s="69" t="str">
        <f t="shared" si="34"/>
        <v>برنامج دولى</v>
      </c>
    </row>
    <row r="351" spans="3:85" x14ac:dyDescent="0.25">
      <c r="C351" s="75">
        <v>12541</v>
      </c>
      <c r="D351" s="75">
        <v>7557</v>
      </c>
      <c r="E351" s="69" t="s">
        <v>78</v>
      </c>
      <c r="F351" s="69" t="s">
        <v>1902</v>
      </c>
      <c r="H351" s="69">
        <v>2100</v>
      </c>
      <c r="AS351" s="91">
        <f t="shared" si="31"/>
        <v>2100</v>
      </c>
      <c r="AT351" s="69">
        <v>1874.6</v>
      </c>
      <c r="AU351" s="52">
        <v>225.4</v>
      </c>
      <c r="CD351" s="91">
        <f t="shared" si="32"/>
        <v>2100</v>
      </c>
      <c r="CE351" s="69">
        <f t="shared" si="33"/>
        <v>0</v>
      </c>
      <c r="CF351" s="75">
        <f t="shared" si="34"/>
        <v>7557</v>
      </c>
      <c r="CG351" s="69" t="str">
        <f t="shared" si="34"/>
        <v>برنامج دولى</v>
      </c>
    </row>
    <row r="352" spans="3:85" x14ac:dyDescent="0.25">
      <c r="C352" s="75">
        <v>12540</v>
      </c>
      <c r="D352" s="75">
        <v>7558</v>
      </c>
      <c r="E352" s="69" t="s">
        <v>78</v>
      </c>
      <c r="F352" s="69" t="s">
        <v>1902</v>
      </c>
      <c r="H352" s="69">
        <v>8325</v>
      </c>
      <c r="AS352" s="91">
        <f t="shared" si="31"/>
        <v>8325</v>
      </c>
      <c r="AT352" s="69">
        <v>7431.5</v>
      </c>
      <c r="AU352" s="52">
        <v>893.5</v>
      </c>
      <c r="CD352" s="91">
        <f t="shared" si="32"/>
        <v>8325</v>
      </c>
      <c r="CE352" s="69">
        <f t="shared" si="33"/>
        <v>0</v>
      </c>
      <c r="CF352" s="75">
        <f t="shared" si="34"/>
        <v>7558</v>
      </c>
      <c r="CG352" s="69" t="str">
        <f t="shared" si="34"/>
        <v>برنامج دولى</v>
      </c>
    </row>
    <row r="353" spans="3:85" x14ac:dyDescent="0.25">
      <c r="C353" s="75">
        <v>12539</v>
      </c>
      <c r="D353" s="75">
        <v>7559</v>
      </c>
      <c r="E353" s="69" t="s">
        <v>78</v>
      </c>
      <c r="F353" s="69" t="s">
        <v>1903</v>
      </c>
      <c r="H353" s="69">
        <v>1758.75</v>
      </c>
      <c r="AS353" s="91">
        <f t="shared" si="31"/>
        <v>1758.75</v>
      </c>
      <c r="AT353" s="69">
        <v>1175.3499999999999</v>
      </c>
      <c r="AU353" s="52">
        <v>159.65</v>
      </c>
      <c r="AV353" s="69">
        <v>423.75</v>
      </c>
      <c r="CD353" s="91">
        <f t="shared" si="32"/>
        <v>1758.75</v>
      </c>
      <c r="CE353" s="69">
        <f t="shared" si="33"/>
        <v>0</v>
      </c>
      <c r="CF353" s="75">
        <f t="shared" si="34"/>
        <v>7559</v>
      </c>
      <c r="CG353" s="69" t="str">
        <f t="shared" si="34"/>
        <v>برنامج دولى</v>
      </c>
    </row>
    <row r="354" spans="3:85" x14ac:dyDescent="0.25">
      <c r="C354" s="75">
        <v>12538</v>
      </c>
      <c r="D354" s="75">
        <v>7560</v>
      </c>
      <c r="E354" s="69" t="s">
        <v>78</v>
      </c>
      <c r="F354" s="69" t="s">
        <v>1903</v>
      </c>
      <c r="H354" s="69">
        <v>10039.74</v>
      </c>
      <c r="AS354" s="91">
        <f t="shared" si="31"/>
        <v>10039.74</v>
      </c>
      <c r="AT354" s="69">
        <v>8901.9599999999991</v>
      </c>
      <c r="AU354" s="52">
        <v>1072.7</v>
      </c>
      <c r="AV354" s="69">
        <v>65.08</v>
      </c>
      <c r="CD354" s="91">
        <f t="shared" si="32"/>
        <v>10039.74</v>
      </c>
      <c r="CE354" s="69">
        <f t="shared" si="33"/>
        <v>0</v>
      </c>
      <c r="CF354" s="75">
        <f t="shared" si="34"/>
        <v>7560</v>
      </c>
      <c r="CG354" s="69" t="str">
        <f t="shared" si="34"/>
        <v>برنامج دولى</v>
      </c>
    </row>
    <row r="355" spans="3:85" x14ac:dyDescent="0.25">
      <c r="C355" s="75">
        <v>12537</v>
      </c>
      <c r="D355" s="75">
        <v>7561</v>
      </c>
      <c r="E355" s="69" t="s">
        <v>78</v>
      </c>
      <c r="F355" s="69" t="s">
        <v>1904</v>
      </c>
      <c r="H355" s="69">
        <v>1465.62</v>
      </c>
      <c r="AS355" s="91">
        <f t="shared" si="31"/>
        <v>1465.62</v>
      </c>
      <c r="AT355" s="69">
        <v>979.5</v>
      </c>
      <c r="AU355" s="52">
        <v>133</v>
      </c>
      <c r="AV355" s="69">
        <v>353.12</v>
      </c>
      <c r="CD355" s="91">
        <f t="shared" si="32"/>
        <v>1465.62</v>
      </c>
      <c r="CE355" s="69">
        <f t="shared" si="33"/>
        <v>0</v>
      </c>
      <c r="CF355" s="75">
        <f t="shared" si="34"/>
        <v>7561</v>
      </c>
      <c r="CG355" s="69" t="str">
        <f t="shared" si="34"/>
        <v>برنامج دولى</v>
      </c>
    </row>
    <row r="356" spans="3:85" x14ac:dyDescent="0.25">
      <c r="C356" s="75">
        <v>12536</v>
      </c>
      <c r="D356" s="75">
        <v>7562</v>
      </c>
      <c r="E356" s="69" t="s">
        <v>78</v>
      </c>
      <c r="F356" s="69" t="s">
        <v>1904</v>
      </c>
      <c r="H356" s="69">
        <v>1465.62</v>
      </c>
      <c r="AS356" s="91">
        <f t="shared" si="31"/>
        <v>1465.62</v>
      </c>
      <c r="AT356" s="69">
        <v>979.5</v>
      </c>
      <c r="AU356" s="52">
        <v>133</v>
      </c>
      <c r="AV356" s="69">
        <v>353.12</v>
      </c>
      <c r="CD356" s="91">
        <f t="shared" si="32"/>
        <v>1465.62</v>
      </c>
      <c r="CE356" s="69">
        <f t="shared" si="33"/>
        <v>0</v>
      </c>
      <c r="CF356" s="75">
        <f t="shared" si="34"/>
        <v>7562</v>
      </c>
      <c r="CG356" s="69" t="str">
        <f t="shared" si="34"/>
        <v>برنامج دولى</v>
      </c>
    </row>
    <row r="357" spans="3:85" x14ac:dyDescent="0.25">
      <c r="C357" s="75">
        <v>12535</v>
      </c>
      <c r="D357" s="75">
        <v>7563</v>
      </c>
      <c r="E357" s="69" t="s">
        <v>78</v>
      </c>
      <c r="F357" s="69" t="s">
        <v>1904</v>
      </c>
      <c r="H357" s="69">
        <v>1453.08</v>
      </c>
      <c r="AS357" s="91">
        <f t="shared" si="31"/>
        <v>1453.08</v>
      </c>
      <c r="AT357" s="69">
        <v>987.46</v>
      </c>
      <c r="AU357" s="52">
        <v>133.05000000000001</v>
      </c>
      <c r="AV357" s="69">
        <v>332.57</v>
      </c>
      <c r="CD357" s="91">
        <f t="shared" si="32"/>
        <v>1453.08</v>
      </c>
      <c r="CE357" s="69">
        <f t="shared" si="33"/>
        <v>0</v>
      </c>
      <c r="CF357" s="75">
        <f t="shared" si="34"/>
        <v>7563</v>
      </c>
      <c r="CG357" s="69" t="str">
        <f t="shared" si="34"/>
        <v>برنامج دولى</v>
      </c>
    </row>
    <row r="358" spans="3:85" x14ac:dyDescent="0.25">
      <c r="C358" s="75">
        <v>12534</v>
      </c>
      <c r="D358" s="75">
        <v>7564</v>
      </c>
      <c r="E358" s="69" t="s">
        <v>78</v>
      </c>
      <c r="F358" s="69" t="s">
        <v>1905</v>
      </c>
      <c r="H358" s="69">
        <v>1758.75</v>
      </c>
      <c r="AS358" s="91">
        <f t="shared" ref="AS358:AS408" si="35">SUM(H358:AR358)</f>
        <v>1758.75</v>
      </c>
      <c r="AT358" s="69">
        <v>1174.0999999999999</v>
      </c>
      <c r="AU358" s="52">
        <f>10.9+150</f>
        <v>160.9</v>
      </c>
      <c r="AV358" s="69">
        <f>584.65-AU358</f>
        <v>423.75</v>
      </c>
      <c r="CD358" s="91">
        <f t="shared" ref="CD358:CD408" si="36">SUM(AT358:CC358)</f>
        <v>1758.75</v>
      </c>
      <c r="CE358" s="69">
        <f t="shared" ref="CE358:CE408" si="37">+CD358-AS358</f>
        <v>0</v>
      </c>
      <c r="CF358" s="75">
        <f t="shared" ref="CF358:CG408" si="38">+D358</f>
        <v>7564</v>
      </c>
      <c r="CG358" s="69" t="str">
        <f t="shared" si="38"/>
        <v>برنامج دولى</v>
      </c>
    </row>
    <row r="359" spans="3:85" x14ac:dyDescent="0.25">
      <c r="C359" s="75">
        <v>12533</v>
      </c>
      <c r="D359" s="75">
        <v>7565</v>
      </c>
      <c r="E359" s="69" t="s">
        <v>78</v>
      </c>
      <c r="F359" s="69" t="s">
        <v>1906</v>
      </c>
      <c r="H359" s="69">
        <v>2750</v>
      </c>
      <c r="AS359" s="91">
        <f t="shared" si="35"/>
        <v>2750</v>
      </c>
      <c r="AT359" s="69">
        <v>2456.8000000000002</v>
      </c>
      <c r="AU359" s="52">
        <v>293.2</v>
      </c>
      <c r="CD359" s="91">
        <f t="shared" si="36"/>
        <v>2750</v>
      </c>
      <c r="CE359" s="69">
        <f t="shared" si="37"/>
        <v>0</v>
      </c>
      <c r="CF359" s="75">
        <f t="shared" si="38"/>
        <v>7565</v>
      </c>
      <c r="CG359" s="69" t="str">
        <f t="shared" si="38"/>
        <v>برنامج دولى</v>
      </c>
    </row>
    <row r="360" spans="3:85" x14ac:dyDescent="0.25">
      <c r="C360" s="75">
        <v>12532</v>
      </c>
      <c r="D360" s="75">
        <v>7566</v>
      </c>
      <c r="E360" s="69" t="s">
        <v>78</v>
      </c>
      <c r="F360" s="69" t="s">
        <v>1906</v>
      </c>
      <c r="H360" s="69">
        <v>2640.23</v>
      </c>
      <c r="AS360" s="91">
        <f t="shared" si="35"/>
        <v>2640.23</v>
      </c>
      <c r="AT360" s="69">
        <v>2142.88</v>
      </c>
      <c r="AU360" s="52">
        <v>267.7</v>
      </c>
      <c r="AV360" s="69">
        <v>229.65</v>
      </c>
      <c r="CD360" s="91">
        <f t="shared" si="36"/>
        <v>2640.23</v>
      </c>
      <c r="CE360" s="69">
        <f t="shared" si="37"/>
        <v>0</v>
      </c>
      <c r="CF360" s="75">
        <f t="shared" si="38"/>
        <v>7566</v>
      </c>
      <c r="CG360" s="69" t="str">
        <f t="shared" si="38"/>
        <v>برنامج دولى</v>
      </c>
    </row>
    <row r="361" spans="3:85" x14ac:dyDescent="0.25">
      <c r="C361" s="75">
        <v>12531</v>
      </c>
      <c r="D361" s="75">
        <v>7567</v>
      </c>
      <c r="E361" s="69" t="s">
        <v>78</v>
      </c>
      <c r="F361" s="69" t="s">
        <v>1906</v>
      </c>
      <c r="H361" s="69">
        <v>3379.38</v>
      </c>
      <c r="AS361" s="91">
        <f t="shared" si="35"/>
        <v>3379.38</v>
      </c>
      <c r="AT361" s="69">
        <v>2819.75</v>
      </c>
      <c r="AU361" s="52">
        <v>347.75</v>
      </c>
      <c r="AV361" s="69">
        <v>211.88</v>
      </c>
      <c r="CD361" s="91">
        <f t="shared" si="36"/>
        <v>3379.38</v>
      </c>
      <c r="CE361" s="69">
        <f t="shared" si="37"/>
        <v>0</v>
      </c>
      <c r="CF361" s="75">
        <f t="shared" si="38"/>
        <v>7567</v>
      </c>
      <c r="CG361" s="69" t="str">
        <f t="shared" si="38"/>
        <v>برنامج دولى</v>
      </c>
    </row>
    <row r="362" spans="3:85" x14ac:dyDescent="0.25">
      <c r="C362" s="75">
        <v>12530</v>
      </c>
      <c r="D362" s="75">
        <v>7568</v>
      </c>
      <c r="E362" s="69" t="s">
        <v>78</v>
      </c>
      <c r="F362" s="69" t="s">
        <v>1907</v>
      </c>
      <c r="H362" s="69">
        <v>1306.68</v>
      </c>
      <c r="AS362" s="91">
        <f t="shared" si="35"/>
        <v>1306.68</v>
      </c>
      <c r="AT362" s="69">
        <v>1003.83</v>
      </c>
      <c r="AU362" s="52">
        <v>128.15</v>
      </c>
      <c r="AV362" s="69">
        <v>174.7</v>
      </c>
      <c r="CD362" s="91">
        <f t="shared" si="36"/>
        <v>1306.68</v>
      </c>
      <c r="CE362" s="69">
        <f t="shared" si="37"/>
        <v>0</v>
      </c>
      <c r="CF362" s="75">
        <f t="shared" si="38"/>
        <v>7568</v>
      </c>
      <c r="CG362" s="69" t="str">
        <f t="shared" si="38"/>
        <v>برنامج دولى</v>
      </c>
    </row>
    <row r="363" spans="3:85" x14ac:dyDescent="0.25">
      <c r="C363" s="75">
        <v>12529</v>
      </c>
      <c r="D363" s="75">
        <v>7569</v>
      </c>
      <c r="E363" s="69" t="s">
        <v>78</v>
      </c>
      <c r="F363" s="69" t="s">
        <v>1908</v>
      </c>
      <c r="H363" s="69">
        <v>200</v>
      </c>
      <c r="AS363" s="91">
        <f t="shared" si="35"/>
        <v>200</v>
      </c>
      <c r="AT363" s="69">
        <v>179.1</v>
      </c>
      <c r="AU363" s="52">
        <v>20.9</v>
      </c>
      <c r="CD363" s="91">
        <f t="shared" si="36"/>
        <v>200</v>
      </c>
      <c r="CE363" s="69">
        <f t="shared" si="37"/>
        <v>0</v>
      </c>
      <c r="CF363" s="75">
        <f t="shared" si="38"/>
        <v>7569</v>
      </c>
      <c r="CG363" s="69" t="str">
        <f t="shared" si="38"/>
        <v>برنامج دولى</v>
      </c>
    </row>
    <row r="364" spans="3:85" x14ac:dyDescent="0.25">
      <c r="C364" s="75">
        <v>12528</v>
      </c>
      <c r="D364" s="75">
        <v>7570</v>
      </c>
      <c r="E364" s="69" t="s">
        <v>78</v>
      </c>
      <c r="F364" s="69" t="s">
        <v>1909</v>
      </c>
      <c r="H364" s="69">
        <v>1000</v>
      </c>
      <c r="AS364" s="91">
        <f t="shared" si="35"/>
        <v>1000</v>
      </c>
      <c r="AT364" s="69">
        <v>893.35</v>
      </c>
      <c r="AU364" s="52">
        <v>106.65</v>
      </c>
      <c r="CD364" s="91">
        <f t="shared" si="36"/>
        <v>1000</v>
      </c>
      <c r="CE364" s="69">
        <f t="shared" si="37"/>
        <v>0</v>
      </c>
      <c r="CF364" s="75">
        <f t="shared" si="38"/>
        <v>7570</v>
      </c>
      <c r="CG364" s="69" t="str">
        <f t="shared" si="38"/>
        <v>برنامج دولى</v>
      </c>
    </row>
    <row r="365" spans="3:85" x14ac:dyDescent="0.25">
      <c r="C365" s="75">
        <v>12527</v>
      </c>
      <c r="D365" s="75">
        <v>7571</v>
      </c>
      <c r="E365" s="69" t="s">
        <v>78</v>
      </c>
      <c r="F365" s="69" t="s">
        <v>1515</v>
      </c>
      <c r="H365" s="69">
        <v>2500</v>
      </c>
      <c r="AS365" s="91">
        <f t="shared" si="35"/>
        <v>2500</v>
      </c>
      <c r="AT365" s="69">
        <v>2231.6</v>
      </c>
      <c r="AU365" s="52">
        <v>268.39999999999998</v>
      </c>
      <c r="CD365" s="91">
        <f t="shared" si="36"/>
        <v>2500</v>
      </c>
      <c r="CE365" s="69">
        <f t="shared" si="37"/>
        <v>0</v>
      </c>
      <c r="CF365" s="75">
        <f t="shared" si="38"/>
        <v>7571</v>
      </c>
      <c r="CG365" s="69" t="str">
        <f t="shared" si="38"/>
        <v>برنامج دولى</v>
      </c>
    </row>
    <row r="366" spans="3:85" x14ac:dyDescent="0.25">
      <c r="C366" s="75">
        <v>12526</v>
      </c>
      <c r="D366" s="75">
        <v>7572</v>
      </c>
      <c r="E366" s="69" t="s">
        <v>78</v>
      </c>
      <c r="F366" s="69" t="s">
        <v>1910</v>
      </c>
      <c r="H366" s="69">
        <v>450</v>
      </c>
      <c r="AS366" s="91">
        <f t="shared" si="35"/>
        <v>450</v>
      </c>
      <c r="AT366" s="69">
        <v>402.4</v>
      </c>
      <c r="AU366" s="52">
        <v>47.6</v>
      </c>
      <c r="CD366" s="91">
        <f t="shared" si="36"/>
        <v>450</v>
      </c>
      <c r="CE366" s="69">
        <f t="shared" si="37"/>
        <v>0</v>
      </c>
      <c r="CF366" s="75">
        <f t="shared" si="38"/>
        <v>7572</v>
      </c>
      <c r="CG366" s="69" t="str">
        <f t="shared" si="38"/>
        <v>برنامج دولى</v>
      </c>
    </row>
    <row r="367" spans="3:85" x14ac:dyDescent="0.25">
      <c r="C367" s="75">
        <v>12525</v>
      </c>
      <c r="D367" s="75">
        <v>7573</v>
      </c>
      <c r="E367" s="69" t="s">
        <v>78</v>
      </c>
      <c r="F367" s="69" t="s">
        <v>1911</v>
      </c>
      <c r="H367" s="69">
        <v>762.13</v>
      </c>
      <c r="AS367" s="91">
        <f t="shared" si="35"/>
        <v>762.13</v>
      </c>
      <c r="AT367" s="69">
        <v>509.8</v>
      </c>
      <c r="AU367" s="52">
        <f>3.7+65</f>
        <v>68.7</v>
      </c>
      <c r="AV367" s="69">
        <v>183.63</v>
      </c>
      <c r="CD367" s="91">
        <f t="shared" si="36"/>
        <v>762.13</v>
      </c>
      <c r="CE367" s="69">
        <f t="shared" si="37"/>
        <v>0</v>
      </c>
      <c r="CF367" s="75">
        <f t="shared" si="38"/>
        <v>7573</v>
      </c>
      <c r="CG367" s="69" t="str">
        <f t="shared" si="38"/>
        <v>برنامج دولى</v>
      </c>
    </row>
    <row r="368" spans="3:85" x14ac:dyDescent="0.25">
      <c r="C368" s="75">
        <v>12524</v>
      </c>
      <c r="D368" s="75">
        <v>7574</v>
      </c>
      <c r="E368" s="69" t="s">
        <v>78</v>
      </c>
      <c r="F368" s="69" t="s">
        <v>1911</v>
      </c>
      <c r="H368" s="69">
        <v>650</v>
      </c>
      <c r="AS368" s="91">
        <f t="shared" si="35"/>
        <v>650</v>
      </c>
      <c r="AT368" s="69">
        <v>580.79999999999995</v>
      </c>
      <c r="AU368" s="52">
        <v>69.2</v>
      </c>
      <c r="CD368" s="91">
        <f t="shared" si="36"/>
        <v>650</v>
      </c>
      <c r="CE368" s="69">
        <f t="shared" si="37"/>
        <v>0</v>
      </c>
      <c r="CF368" s="75">
        <f t="shared" si="38"/>
        <v>7574</v>
      </c>
      <c r="CG368" s="69" t="str">
        <f t="shared" si="38"/>
        <v>برنامج دولى</v>
      </c>
    </row>
    <row r="369" spans="3:85" x14ac:dyDescent="0.25">
      <c r="C369" s="75">
        <v>12523</v>
      </c>
      <c r="D369" s="75">
        <v>7575</v>
      </c>
      <c r="E369" s="69" t="s">
        <v>78</v>
      </c>
      <c r="F369" s="69" t="s">
        <v>1912</v>
      </c>
      <c r="H369" s="69">
        <v>1350</v>
      </c>
      <c r="AS369" s="91">
        <f t="shared" si="35"/>
        <v>1350</v>
      </c>
      <c r="AT369" s="69">
        <v>1206.9000000000001</v>
      </c>
      <c r="AU369" s="52">
        <v>143.1</v>
      </c>
      <c r="CD369" s="91">
        <f t="shared" si="36"/>
        <v>1350</v>
      </c>
      <c r="CE369" s="69">
        <f t="shared" si="37"/>
        <v>0</v>
      </c>
      <c r="CF369" s="75">
        <f t="shared" si="38"/>
        <v>7575</v>
      </c>
      <c r="CG369" s="69" t="str">
        <f t="shared" si="38"/>
        <v>برنامج دولى</v>
      </c>
    </row>
    <row r="370" spans="3:85" x14ac:dyDescent="0.25">
      <c r="C370" s="75">
        <v>12522</v>
      </c>
      <c r="D370" s="75">
        <v>7576</v>
      </c>
      <c r="E370" s="69" t="s">
        <v>78</v>
      </c>
      <c r="F370" s="69" t="s">
        <v>1912</v>
      </c>
      <c r="H370" s="69">
        <v>2696.75</v>
      </c>
      <c r="AS370" s="91">
        <f t="shared" si="35"/>
        <v>2696.75</v>
      </c>
      <c r="AT370" s="69">
        <v>1805.55</v>
      </c>
      <c r="AU370" s="52">
        <v>241.45</v>
      </c>
      <c r="AV370" s="69">
        <v>649.75</v>
      </c>
      <c r="CD370" s="91">
        <f t="shared" si="36"/>
        <v>2696.75</v>
      </c>
      <c r="CE370" s="69">
        <f t="shared" si="37"/>
        <v>0</v>
      </c>
      <c r="CF370" s="75">
        <f t="shared" si="38"/>
        <v>7576</v>
      </c>
      <c r="CG370" s="69" t="str">
        <f t="shared" si="38"/>
        <v>برنامج دولى</v>
      </c>
    </row>
    <row r="371" spans="3:85" x14ac:dyDescent="0.25">
      <c r="C371" s="75">
        <v>12521</v>
      </c>
      <c r="D371" s="75">
        <v>7577</v>
      </c>
      <c r="E371" s="69" t="s">
        <v>78</v>
      </c>
      <c r="F371" s="69" t="s">
        <v>1913</v>
      </c>
      <c r="H371" s="69">
        <v>1172.5</v>
      </c>
      <c r="AS371" s="91">
        <f t="shared" si="35"/>
        <v>1172.5</v>
      </c>
      <c r="AT371" s="69">
        <v>784.1</v>
      </c>
      <c r="AU371" s="52">
        <v>105.9</v>
      </c>
      <c r="AV371" s="69">
        <v>282.5</v>
      </c>
      <c r="CD371" s="91">
        <f t="shared" si="36"/>
        <v>1172.5</v>
      </c>
      <c r="CE371" s="69">
        <f t="shared" si="37"/>
        <v>0</v>
      </c>
      <c r="CF371" s="75">
        <f t="shared" si="38"/>
        <v>7577</v>
      </c>
      <c r="CG371" s="69" t="str">
        <f t="shared" si="38"/>
        <v>برنامج دولى</v>
      </c>
    </row>
    <row r="372" spans="3:85" x14ac:dyDescent="0.25">
      <c r="C372" s="75">
        <v>12520</v>
      </c>
      <c r="D372" s="75">
        <v>7578</v>
      </c>
      <c r="E372" s="69" t="s">
        <v>78</v>
      </c>
      <c r="F372" s="69" t="s">
        <v>1913</v>
      </c>
      <c r="H372" s="69">
        <v>2700</v>
      </c>
      <c r="AS372" s="91">
        <f t="shared" si="35"/>
        <v>2700</v>
      </c>
      <c r="AT372" s="69">
        <v>2410.9499999999998</v>
      </c>
      <c r="AU372" s="52">
        <v>289.05</v>
      </c>
      <c r="CD372" s="91">
        <f t="shared" si="36"/>
        <v>2700</v>
      </c>
      <c r="CE372" s="69">
        <f t="shared" si="37"/>
        <v>0</v>
      </c>
      <c r="CF372" s="75">
        <f t="shared" si="38"/>
        <v>7578</v>
      </c>
      <c r="CG372" s="69" t="str">
        <f t="shared" si="38"/>
        <v>برنامج دولى</v>
      </c>
    </row>
    <row r="373" spans="3:85" x14ac:dyDescent="0.25">
      <c r="C373" s="75">
        <v>12519</v>
      </c>
      <c r="D373" s="75">
        <v>7579</v>
      </c>
      <c r="E373" s="69" t="s">
        <v>78</v>
      </c>
      <c r="F373" s="69" t="s">
        <v>1913</v>
      </c>
      <c r="H373" s="69">
        <v>2000</v>
      </c>
      <c r="AS373" s="91">
        <f t="shared" si="35"/>
        <v>2000</v>
      </c>
      <c r="AT373" s="69">
        <v>1786.7</v>
      </c>
      <c r="AU373" s="52">
        <v>213.3</v>
      </c>
      <c r="CD373" s="91">
        <f t="shared" si="36"/>
        <v>2000</v>
      </c>
      <c r="CE373" s="69">
        <f t="shared" si="37"/>
        <v>0</v>
      </c>
      <c r="CF373" s="75">
        <f t="shared" si="38"/>
        <v>7579</v>
      </c>
      <c r="CG373" s="69" t="str">
        <f t="shared" si="38"/>
        <v>برنامج دولى</v>
      </c>
    </row>
    <row r="374" spans="3:85" x14ac:dyDescent="0.25">
      <c r="C374" s="75">
        <v>12518</v>
      </c>
      <c r="D374" s="75">
        <v>7580</v>
      </c>
      <c r="E374" s="69" t="s">
        <v>78</v>
      </c>
      <c r="F374" s="69" t="s">
        <v>1914</v>
      </c>
      <c r="H374" s="69">
        <v>1500</v>
      </c>
      <c r="AS374" s="91">
        <f t="shared" si="35"/>
        <v>1500</v>
      </c>
      <c r="AT374" s="69">
        <v>1339.1</v>
      </c>
      <c r="AU374" s="52">
        <v>160.9</v>
      </c>
      <c r="CD374" s="91">
        <f t="shared" si="36"/>
        <v>1500</v>
      </c>
      <c r="CE374" s="69">
        <f t="shared" si="37"/>
        <v>0</v>
      </c>
      <c r="CF374" s="75">
        <f t="shared" si="38"/>
        <v>7580</v>
      </c>
      <c r="CG374" s="69" t="str">
        <f t="shared" si="38"/>
        <v>برنامج دولى</v>
      </c>
    </row>
    <row r="375" spans="3:85" x14ac:dyDescent="0.25">
      <c r="C375" s="75">
        <v>12517</v>
      </c>
      <c r="D375" s="75">
        <v>7581</v>
      </c>
      <c r="E375" s="69" t="s">
        <v>78</v>
      </c>
      <c r="F375" s="69" t="s">
        <v>1915</v>
      </c>
      <c r="H375" s="69">
        <v>1566.8</v>
      </c>
      <c r="AS375" s="91">
        <f t="shared" si="35"/>
        <v>1566.8</v>
      </c>
      <c r="AT375" s="69">
        <v>1296.81</v>
      </c>
      <c r="AU375" s="52">
        <v>160.6</v>
      </c>
      <c r="AV375" s="69">
        <v>109.39</v>
      </c>
      <c r="CD375" s="91">
        <f t="shared" si="36"/>
        <v>1566.8</v>
      </c>
      <c r="CE375" s="69">
        <f t="shared" si="37"/>
        <v>0</v>
      </c>
      <c r="CF375" s="75">
        <f t="shared" si="38"/>
        <v>7581</v>
      </c>
      <c r="CG375" s="69" t="str">
        <f t="shared" si="38"/>
        <v>برنامج دولى</v>
      </c>
    </row>
    <row r="376" spans="3:85" x14ac:dyDescent="0.25">
      <c r="C376" s="75">
        <v>12516</v>
      </c>
      <c r="D376" s="75">
        <v>7582</v>
      </c>
      <c r="E376" s="69" t="s">
        <v>78</v>
      </c>
      <c r="F376" s="69" t="s">
        <v>1916</v>
      </c>
      <c r="H376" s="69">
        <v>600</v>
      </c>
      <c r="AS376" s="91">
        <f t="shared" si="35"/>
        <v>600</v>
      </c>
      <c r="AT376" s="69">
        <v>536.15</v>
      </c>
      <c r="AU376" s="52">
        <v>63.85</v>
      </c>
      <c r="CD376" s="91">
        <f t="shared" si="36"/>
        <v>600</v>
      </c>
      <c r="CE376" s="69">
        <f t="shared" si="37"/>
        <v>0</v>
      </c>
      <c r="CF376" s="75">
        <f t="shared" si="38"/>
        <v>7582</v>
      </c>
      <c r="CG376" s="69" t="str">
        <f t="shared" si="38"/>
        <v>برنامج دولى</v>
      </c>
    </row>
    <row r="377" spans="3:85" x14ac:dyDescent="0.25">
      <c r="C377" s="75">
        <v>12515</v>
      </c>
      <c r="D377" s="75">
        <v>7583</v>
      </c>
      <c r="E377" s="69" t="s">
        <v>78</v>
      </c>
      <c r="F377" s="69" t="s">
        <v>1916</v>
      </c>
      <c r="H377" s="69">
        <v>600</v>
      </c>
      <c r="AS377" s="91">
        <f t="shared" si="35"/>
        <v>600</v>
      </c>
      <c r="AT377" s="69">
        <v>536.15</v>
      </c>
      <c r="AU377" s="52">
        <v>63.85</v>
      </c>
      <c r="CD377" s="91">
        <f t="shared" si="36"/>
        <v>600</v>
      </c>
      <c r="CE377" s="69">
        <f t="shared" si="37"/>
        <v>0</v>
      </c>
      <c r="CF377" s="75">
        <f t="shared" si="38"/>
        <v>7583</v>
      </c>
      <c r="CG377" s="69" t="str">
        <f t="shared" si="38"/>
        <v>برنامج دولى</v>
      </c>
    </row>
    <row r="378" spans="3:85" x14ac:dyDescent="0.25">
      <c r="C378" s="75">
        <v>12514</v>
      </c>
      <c r="D378" s="75">
        <v>7584</v>
      </c>
      <c r="E378" s="69" t="s">
        <v>78</v>
      </c>
      <c r="F378" s="69" t="s">
        <v>1916</v>
      </c>
      <c r="H378" s="69">
        <v>600</v>
      </c>
      <c r="AS378" s="91">
        <f t="shared" si="35"/>
        <v>600</v>
      </c>
      <c r="AT378" s="69">
        <v>536.15</v>
      </c>
      <c r="AU378" s="52">
        <v>63.85</v>
      </c>
      <c r="CD378" s="91">
        <f t="shared" si="36"/>
        <v>600</v>
      </c>
      <c r="CE378" s="69">
        <f t="shared" si="37"/>
        <v>0</v>
      </c>
      <c r="CF378" s="75">
        <f t="shared" si="38"/>
        <v>7584</v>
      </c>
      <c r="CG378" s="69" t="str">
        <f t="shared" si="38"/>
        <v>برنامج دولى</v>
      </c>
    </row>
    <row r="379" spans="3:85" x14ac:dyDescent="0.25">
      <c r="C379" s="75">
        <v>12513</v>
      </c>
      <c r="D379" s="75">
        <v>7585</v>
      </c>
      <c r="E379" s="69" t="s">
        <v>78</v>
      </c>
      <c r="F379" s="69" t="s">
        <v>1916</v>
      </c>
      <c r="H379" s="69">
        <v>1200</v>
      </c>
      <c r="AS379" s="91">
        <f t="shared" si="35"/>
        <v>1200</v>
      </c>
      <c r="AT379" s="69">
        <v>1072.3</v>
      </c>
      <c r="AU379" s="52">
        <v>127.7</v>
      </c>
      <c r="CD379" s="91">
        <f t="shared" si="36"/>
        <v>1200</v>
      </c>
      <c r="CE379" s="69">
        <f t="shared" si="37"/>
        <v>0</v>
      </c>
      <c r="CF379" s="75">
        <f t="shared" si="38"/>
        <v>7585</v>
      </c>
      <c r="CG379" s="69" t="str">
        <f t="shared" si="38"/>
        <v>برنامج دولى</v>
      </c>
    </row>
    <row r="380" spans="3:85" x14ac:dyDescent="0.25">
      <c r="C380" s="75">
        <v>12512</v>
      </c>
      <c r="D380" s="75">
        <v>7586</v>
      </c>
      <c r="E380" s="69" t="s">
        <v>78</v>
      </c>
      <c r="F380" s="69" t="s">
        <v>1215</v>
      </c>
      <c r="H380" s="69">
        <v>1000</v>
      </c>
      <c r="AS380" s="91">
        <f t="shared" si="35"/>
        <v>1000</v>
      </c>
      <c r="AT380" s="69">
        <v>893.35</v>
      </c>
      <c r="AU380" s="52">
        <v>106.65</v>
      </c>
      <c r="CD380" s="91">
        <f t="shared" si="36"/>
        <v>1000</v>
      </c>
      <c r="CE380" s="69">
        <f t="shared" si="37"/>
        <v>0</v>
      </c>
      <c r="CF380" s="75">
        <f t="shared" si="38"/>
        <v>7586</v>
      </c>
      <c r="CG380" s="69" t="str">
        <f t="shared" si="38"/>
        <v>برنامج دولى</v>
      </c>
    </row>
    <row r="381" spans="3:85" x14ac:dyDescent="0.25">
      <c r="C381" s="75">
        <v>12511</v>
      </c>
      <c r="D381" s="75">
        <v>7587</v>
      </c>
      <c r="E381" s="69" t="s">
        <v>78</v>
      </c>
      <c r="F381" s="69" t="s">
        <v>1215</v>
      </c>
      <c r="H381" s="69">
        <v>3000</v>
      </c>
      <c r="AS381" s="91">
        <f t="shared" si="35"/>
        <v>3000</v>
      </c>
      <c r="AT381" s="69">
        <v>2680.05</v>
      </c>
      <c r="AU381" s="52">
        <v>319.95</v>
      </c>
      <c r="CD381" s="91">
        <f t="shared" si="36"/>
        <v>3000</v>
      </c>
      <c r="CE381" s="69">
        <f t="shared" si="37"/>
        <v>0</v>
      </c>
      <c r="CF381" s="75">
        <f t="shared" si="38"/>
        <v>7587</v>
      </c>
      <c r="CG381" s="69" t="str">
        <f t="shared" si="38"/>
        <v>برنامج دولى</v>
      </c>
    </row>
    <row r="382" spans="3:85" x14ac:dyDescent="0.25">
      <c r="C382" s="75">
        <v>12510</v>
      </c>
      <c r="D382" s="75">
        <v>7588</v>
      </c>
      <c r="E382" s="69" t="s">
        <v>78</v>
      </c>
      <c r="F382" s="69" t="s">
        <v>885</v>
      </c>
      <c r="H382" s="69">
        <v>1520.75</v>
      </c>
      <c r="AS382" s="91">
        <f t="shared" si="35"/>
        <v>1520.75</v>
      </c>
      <c r="AT382" s="69">
        <v>1174.4000000000001</v>
      </c>
      <c r="AU382" s="52">
        <v>148.6</v>
      </c>
      <c r="AV382" s="69">
        <v>197.75</v>
      </c>
      <c r="CD382" s="91">
        <f t="shared" si="36"/>
        <v>1520.75</v>
      </c>
      <c r="CE382" s="69">
        <f t="shared" si="37"/>
        <v>0</v>
      </c>
      <c r="CF382" s="75">
        <f t="shared" si="38"/>
        <v>7588</v>
      </c>
      <c r="CG382" s="69" t="str">
        <f t="shared" si="38"/>
        <v>برنامج دولى</v>
      </c>
    </row>
    <row r="383" spans="3:85" x14ac:dyDescent="0.25">
      <c r="C383" s="75">
        <v>12509</v>
      </c>
      <c r="D383" s="75">
        <v>7589</v>
      </c>
      <c r="E383" s="69" t="s">
        <v>78</v>
      </c>
      <c r="F383" s="69" t="s">
        <v>885</v>
      </c>
      <c r="H383" s="69">
        <v>2462.25</v>
      </c>
      <c r="AS383" s="91">
        <f t="shared" si="35"/>
        <v>2462.25</v>
      </c>
      <c r="AT383" s="69">
        <v>1646.85</v>
      </c>
      <c r="AU383" s="52">
        <v>222.15</v>
      </c>
      <c r="AV383" s="69">
        <v>593.25</v>
      </c>
      <c r="CD383" s="91">
        <f t="shared" si="36"/>
        <v>2462.25</v>
      </c>
      <c r="CE383" s="69">
        <f t="shared" si="37"/>
        <v>0</v>
      </c>
      <c r="CF383" s="75">
        <f t="shared" si="38"/>
        <v>7589</v>
      </c>
      <c r="CG383" s="69" t="str">
        <f t="shared" si="38"/>
        <v>برنامج دولى</v>
      </c>
    </row>
    <row r="384" spans="3:85" x14ac:dyDescent="0.25">
      <c r="C384" s="75">
        <v>12508</v>
      </c>
      <c r="D384" s="75">
        <v>7590</v>
      </c>
      <c r="E384" s="69" t="s">
        <v>78</v>
      </c>
      <c r="F384" s="69" t="s">
        <v>885</v>
      </c>
      <c r="H384" s="69">
        <v>1200</v>
      </c>
      <c r="AS384" s="91">
        <f t="shared" si="35"/>
        <v>1200</v>
      </c>
      <c r="AT384" s="69">
        <v>1071.3499999999999</v>
      </c>
      <c r="AU384" s="52">
        <v>128.65</v>
      </c>
      <c r="CD384" s="91">
        <f t="shared" si="36"/>
        <v>1200</v>
      </c>
      <c r="CE384" s="69">
        <f t="shared" si="37"/>
        <v>0</v>
      </c>
      <c r="CF384" s="75">
        <f t="shared" si="38"/>
        <v>7590</v>
      </c>
      <c r="CG384" s="69" t="str">
        <f t="shared" si="38"/>
        <v>برنامج دولى</v>
      </c>
    </row>
    <row r="385" spans="3:85" x14ac:dyDescent="0.25">
      <c r="C385" s="75">
        <v>12507</v>
      </c>
      <c r="D385" s="75">
        <v>7591</v>
      </c>
      <c r="E385" s="69" t="s">
        <v>78</v>
      </c>
      <c r="F385" s="69" t="s">
        <v>885</v>
      </c>
      <c r="H385" s="69">
        <v>3741.5</v>
      </c>
      <c r="AS385" s="91">
        <f t="shared" si="35"/>
        <v>3741.5</v>
      </c>
      <c r="AT385" s="69">
        <v>3048.8</v>
      </c>
      <c r="AU385" s="52">
        <v>297.2</v>
      </c>
      <c r="AV385" s="69">
        <v>395.5</v>
      </c>
      <c r="CD385" s="91">
        <f t="shared" si="36"/>
        <v>3741.5</v>
      </c>
      <c r="CE385" s="69">
        <f t="shared" si="37"/>
        <v>0</v>
      </c>
      <c r="CF385" s="75">
        <f t="shared" si="38"/>
        <v>7591</v>
      </c>
      <c r="CG385" s="69" t="str">
        <f t="shared" si="38"/>
        <v>برنامج دولى</v>
      </c>
    </row>
    <row r="386" spans="3:85" x14ac:dyDescent="0.25">
      <c r="C386" s="75">
        <v>12506</v>
      </c>
      <c r="D386" s="75">
        <v>7592</v>
      </c>
      <c r="E386" s="69" t="s">
        <v>78</v>
      </c>
      <c r="F386" s="69" t="s">
        <v>885</v>
      </c>
      <c r="H386" s="69">
        <v>469</v>
      </c>
      <c r="AS386" s="91">
        <f t="shared" si="35"/>
        <v>469</v>
      </c>
      <c r="AT386" s="69">
        <v>314</v>
      </c>
      <c r="AU386" s="52">
        <v>42</v>
      </c>
      <c r="AV386" s="69">
        <f>155-42</f>
        <v>113</v>
      </c>
      <c r="CD386" s="91">
        <f t="shared" si="36"/>
        <v>469</v>
      </c>
      <c r="CE386" s="69">
        <f t="shared" si="37"/>
        <v>0</v>
      </c>
      <c r="CF386" s="75">
        <f t="shared" si="38"/>
        <v>7592</v>
      </c>
      <c r="CG386" s="69" t="str">
        <f t="shared" si="38"/>
        <v>برنامج دولى</v>
      </c>
    </row>
    <row r="387" spans="3:85" x14ac:dyDescent="0.25">
      <c r="C387" s="75">
        <v>12504</v>
      </c>
      <c r="D387" s="75">
        <v>7593</v>
      </c>
      <c r="E387" s="69" t="s">
        <v>78</v>
      </c>
      <c r="F387" s="69" t="s">
        <v>1865</v>
      </c>
      <c r="H387" s="69">
        <v>25805.360000000001</v>
      </c>
      <c r="AS387" s="91">
        <f t="shared" si="35"/>
        <v>25805.360000000001</v>
      </c>
      <c r="AT387" s="69">
        <v>23097.77</v>
      </c>
      <c r="AU387" s="52">
        <v>2707.59</v>
      </c>
      <c r="CD387" s="91">
        <f t="shared" si="36"/>
        <v>25805.360000000001</v>
      </c>
      <c r="CE387" s="69">
        <f t="shared" si="37"/>
        <v>0</v>
      </c>
      <c r="CF387" s="75">
        <f t="shared" si="38"/>
        <v>7593</v>
      </c>
      <c r="CG387" s="69" t="str">
        <f t="shared" si="38"/>
        <v>برنامج دولى</v>
      </c>
    </row>
    <row r="388" spans="3:85" x14ac:dyDescent="0.25">
      <c r="C388" s="75">
        <v>12505</v>
      </c>
      <c r="D388" s="75">
        <v>7594</v>
      </c>
      <c r="E388" s="69" t="s">
        <v>78</v>
      </c>
      <c r="F388" s="69" t="s">
        <v>1917</v>
      </c>
      <c r="H388" s="69">
        <v>1439.1</v>
      </c>
      <c r="AS388" s="91">
        <f t="shared" si="35"/>
        <v>1439.1</v>
      </c>
      <c r="AT388" s="69">
        <v>960.78</v>
      </c>
      <c r="AU388" s="52">
        <f>122.74+8.85</f>
        <v>131.59</v>
      </c>
      <c r="AV388" s="69">
        <f>478.32-131.59</f>
        <v>346.73</v>
      </c>
      <c r="CD388" s="91">
        <f t="shared" si="36"/>
        <v>1439.1</v>
      </c>
      <c r="CE388" s="69">
        <f t="shared" si="37"/>
        <v>0</v>
      </c>
      <c r="CF388" s="75">
        <f t="shared" si="38"/>
        <v>7594</v>
      </c>
      <c r="CG388" s="69" t="str">
        <f t="shared" si="38"/>
        <v>برنامج دولى</v>
      </c>
    </row>
    <row r="389" spans="3:85" x14ac:dyDescent="0.25">
      <c r="C389" s="75">
        <v>12503</v>
      </c>
      <c r="D389" s="75">
        <v>7595</v>
      </c>
      <c r="E389" s="69" t="s">
        <v>78</v>
      </c>
      <c r="F389" s="69" t="str">
        <f t="shared" ref="F389:F395" si="39">+F387</f>
        <v>مكافاه برتوكول ابحاث اكلينكيه</v>
      </c>
      <c r="H389" s="69">
        <v>2863.9</v>
      </c>
      <c r="AS389" s="91">
        <f t="shared" si="35"/>
        <v>2863.9</v>
      </c>
      <c r="AT389" s="69">
        <v>2556.41</v>
      </c>
      <c r="AU389" s="52">
        <v>307.49</v>
      </c>
      <c r="CD389" s="91">
        <f t="shared" si="36"/>
        <v>2863.8999999999996</v>
      </c>
      <c r="CE389" s="69">
        <f t="shared" si="37"/>
        <v>0</v>
      </c>
      <c r="CF389" s="75">
        <f t="shared" si="38"/>
        <v>7595</v>
      </c>
      <c r="CG389" s="69" t="str">
        <f t="shared" si="38"/>
        <v>برنامج دولى</v>
      </c>
    </row>
    <row r="390" spans="3:85" x14ac:dyDescent="0.25">
      <c r="C390" s="75">
        <v>12502</v>
      </c>
      <c r="D390" s="75">
        <v>7596</v>
      </c>
      <c r="E390" s="69" t="s">
        <v>78</v>
      </c>
      <c r="F390" s="69" t="str">
        <f t="shared" si="39"/>
        <v>مكافاه مركزابحاث اكلينكيه</v>
      </c>
      <c r="H390" s="69">
        <v>2147.8000000000002</v>
      </c>
      <c r="AS390" s="91">
        <f t="shared" si="35"/>
        <v>2147.8000000000002</v>
      </c>
      <c r="AT390" s="69">
        <v>1433.73</v>
      </c>
      <c r="AU390" s="52">
        <f>13.4+183.18</f>
        <v>196.58</v>
      </c>
      <c r="AV390" s="69">
        <v>517.49</v>
      </c>
      <c r="CD390" s="91">
        <f t="shared" si="36"/>
        <v>2147.8000000000002</v>
      </c>
      <c r="CE390" s="69">
        <f t="shared" si="37"/>
        <v>0</v>
      </c>
      <c r="CF390" s="75">
        <f t="shared" si="38"/>
        <v>7596</v>
      </c>
      <c r="CG390" s="69" t="str">
        <f t="shared" si="38"/>
        <v>برنامج دولى</v>
      </c>
    </row>
    <row r="391" spans="3:85" x14ac:dyDescent="0.25">
      <c r="C391" s="75">
        <v>12501</v>
      </c>
      <c r="D391" s="75">
        <v>7597</v>
      </c>
      <c r="E391" s="69" t="s">
        <v>78</v>
      </c>
      <c r="F391" s="69" t="str">
        <f t="shared" si="39"/>
        <v>مكافاه برتوكول ابحاث اكلينكيه</v>
      </c>
      <c r="H391" s="69">
        <v>4274.29</v>
      </c>
      <c r="AS391" s="91">
        <f t="shared" si="35"/>
        <v>4274.29</v>
      </c>
      <c r="AT391" s="69">
        <v>3815.16</v>
      </c>
      <c r="AU391" s="52">
        <v>459.13</v>
      </c>
      <c r="CD391" s="91">
        <f t="shared" si="36"/>
        <v>4274.29</v>
      </c>
      <c r="CE391" s="69">
        <f t="shared" si="37"/>
        <v>0</v>
      </c>
      <c r="CF391" s="75">
        <f t="shared" si="38"/>
        <v>7597</v>
      </c>
      <c r="CG391" s="69" t="str">
        <f t="shared" si="38"/>
        <v>برنامج دولى</v>
      </c>
    </row>
    <row r="392" spans="3:85" x14ac:dyDescent="0.25">
      <c r="C392" s="75">
        <v>12500</v>
      </c>
      <c r="D392" s="75">
        <v>7598</v>
      </c>
      <c r="E392" s="69" t="s">
        <v>78</v>
      </c>
      <c r="F392" s="69" t="str">
        <f t="shared" si="39"/>
        <v>مكافاه مركزابحاث اكلينكيه</v>
      </c>
      <c r="H392" s="69">
        <v>34549.1</v>
      </c>
      <c r="AS392" s="91">
        <f t="shared" si="35"/>
        <v>34549.1</v>
      </c>
      <c r="AT392" s="69">
        <v>30940.94</v>
      </c>
      <c r="AU392" s="52">
        <v>3608.16</v>
      </c>
      <c r="CD392" s="91">
        <f t="shared" si="36"/>
        <v>34549.1</v>
      </c>
      <c r="CE392" s="69">
        <f t="shared" si="37"/>
        <v>0</v>
      </c>
      <c r="CF392" s="75">
        <f t="shared" si="38"/>
        <v>7598</v>
      </c>
      <c r="CG392" s="69" t="str">
        <f t="shared" si="38"/>
        <v>برنامج دولى</v>
      </c>
    </row>
    <row r="393" spans="3:85" x14ac:dyDescent="0.25">
      <c r="C393" s="75">
        <v>12499</v>
      </c>
      <c r="D393" s="75">
        <v>7599</v>
      </c>
      <c r="E393" s="69" t="s">
        <v>78</v>
      </c>
      <c r="F393" s="69" t="str">
        <f t="shared" si="39"/>
        <v>مكافاه برتوكول ابحاث اكلينكيه</v>
      </c>
      <c r="H393" s="69">
        <v>5682.16</v>
      </c>
      <c r="AS393" s="91">
        <f t="shared" si="35"/>
        <v>5682.16</v>
      </c>
      <c r="AT393" s="69">
        <v>4638.67</v>
      </c>
      <c r="AU393" s="52">
        <v>581.4</v>
      </c>
      <c r="AV393" s="69">
        <v>462.09</v>
      </c>
      <c r="CD393" s="91">
        <f t="shared" si="36"/>
        <v>5682.16</v>
      </c>
      <c r="CE393" s="69">
        <f t="shared" si="37"/>
        <v>0</v>
      </c>
      <c r="CF393" s="75">
        <f t="shared" si="38"/>
        <v>7599</v>
      </c>
      <c r="CG393" s="69" t="str">
        <f t="shared" si="38"/>
        <v>برنامج دولى</v>
      </c>
    </row>
    <row r="394" spans="3:85" x14ac:dyDescent="0.25">
      <c r="C394" s="75">
        <v>12498</v>
      </c>
      <c r="D394" s="75">
        <v>7600</v>
      </c>
      <c r="E394" s="69" t="s">
        <v>78</v>
      </c>
      <c r="F394" s="69" t="str">
        <f t="shared" si="39"/>
        <v>مكافاه مركزابحاث اكلينكيه</v>
      </c>
      <c r="H394" s="69">
        <v>140.69999999999999</v>
      </c>
      <c r="AS394" s="91">
        <f t="shared" si="35"/>
        <v>140.69999999999999</v>
      </c>
      <c r="AT394" s="69">
        <v>94.35</v>
      </c>
      <c r="AU394" s="52">
        <f>12+0.45</f>
        <v>12.45</v>
      </c>
      <c r="AV394" s="69">
        <f>46.35-12.45</f>
        <v>33.900000000000006</v>
      </c>
      <c r="CD394" s="91">
        <f t="shared" si="36"/>
        <v>140.69999999999999</v>
      </c>
      <c r="CE394" s="69">
        <f t="shared" si="37"/>
        <v>0</v>
      </c>
      <c r="CF394" s="75">
        <f t="shared" si="38"/>
        <v>7600</v>
      </c>
      <c r="CG394" s="69" t="str">
        <f t="shared" si="38"/>
        <v>برنامج دولى</v>
      </c>
    </row>
    <row r="395" spans="3:85" x14ac:dyDescent="0.25">
      <c r="C395" s="75">
        <v>12497</v>
      </c>
      <c r="D395" s="75">
        <v>7601</v>
      </c>
      <c r="E395" s="69" t="s">
        <v>78</v>
      </c>
      <c r="F395" s="69" t="str">
        <f t="shared" si="39"/>
        <v>مكافاه برتوكول ابحاث اكلينكيه</v>
      </c>
      <c r="H395" s="69">
        <v>2726.3</v>
      </c>
      <c r="AS395" s="91">
        <f t="shared" si="35"/>
        <v>2726.3</v>
      </c>
      <c r="AT395" s="69">
        <v>1885.21</v>
      </c>
      <c r="AU395" s="52">
        <v>251.69</v>
      </c>
      <c r="AV395" s="69">
        <v>589.4</v>
      </c>
      <c r="CD395" s="91">
        <f t="shared" si="36"/>
        <v>2726.3</v>
      </c>
      <c r="CE395" s="69">
        <f t="shared" si="37"/>
        <v>0</v>
      </c>
      <c r="CF395" s="75">
        <f t="shared" si="38"/>
        <v>7601</v>
      </c>
      <c r="CG395" s="69" t="str">
        <f t="shared" si="38"/>
        <v>برنامج دولى</v>
      </c>
    </row>
    <row r="396" spans="3:85" x14ac:dyDescent="0.25">
      <c r="C396" s="75">
        <v>12496</v>
      </c>
      <c r="D396" s="75">
        <v>7602</v>
      </c>
      <c r="E396" s="69" t="s">
        <v>78</v>
      </c>
      <c r="F396" s="69" t="s">
        <v>1918</v>
      </c>
      <c r="H396" s="69">
        <v>1758.76</v>
      </c>
      <c r="AS396" s="91">
        <f t="shared" si="35"/>
        <v>1758.76</v>
      </c>
      <c r="AT396" s="69">
        <v>1176.3</v>
      </c>
      <c r="AU396" s="52">
        <v>158.69999999999999</v>
      </c>
      <c r="AV396" s="69">
        <v>423.76</v>
      </c>
      <c r="CD396" s="91">
        <f t="shared" si="36"/>
        <v>1758.76</v>
      </c>
      <c r="CE396" s="69">
        <f t="shared" si="37"/>
        <v>0</v>
      </c>
      <c r="CF396" s="75">
        <f t="shared" si="38"/>
        <v>7602</v>
      </c>
      <c r="CG396" s="69" t="str">
        <f t="shared" si="38"/>
        <v>برنامج دولى</v>
      </c>
    </row>
    <row r="397" spans="3:85" x14ac:dyDescent="0.25">
      <c r="C397" s="75">
        <v>12495</v>
      </c>
      <c r="D397" s="75">
        <v>7603</v>
      </c>
      <c r="E397" s="69" t="s">
        <v>78</v>
      </c>
      <c r="F397" s="69" t="s">
        <v>1918</v>
      </c>
      <c r="H397" s="69">
        <v>2000</v>
      </c>
      <c r="AS397" s="91">
        <f t="shared" si="35"/>
        <v>2000</v>
      </c>
      <c r="AT397" s="69">
        <v>1786.7</v>
      </c>
      <c r="AU397" s="52">
        <v>213.3</v>
      </c>
      <c r="CD397" s="91">
        <f t="shared" si="36"/>
        <v>2000</v>
      </c>
      <c r="CE397" s="69">
        <f t="shared" si="37"/>
        <v>0</v>
      </c>
      <c r="CF397" s="75">
        <f t="shared" si="38"/>
        <v>7603</v>
      </c>
      <c r="CG397" s="69" t="str">
        <f t="shared" si="38"/>
        <v>برنامج دولى</v>
      </c>
    </row>
    <row r="398" spans="3:85" x14ac:dyDescent="0.25">
      <c r="C398" s="75">
        <v>12494</v>
      </c>
      <c r="D398" s="75">
        <v>7604</v>
      </c>
      <c r="E398" s="69" t="s">
        <v>78</v>
      </c>
      <c r="F398" s="69" t="str">
        <f>+F392</f>
        <v>مكافاه مركزابحاث اكلينكيه</v>
      </c>
      <c r="H398" s="69">
        <v>1525.1</v>
      </c>
      <c r="AS398" s="91">
        <f t="shared" si="35"/>
        <v>1525.1</v>
      </c>
      <c r="AT398" s="69">
        <v>1018.17</v>
      </c>
      <c r="AU398" s="52">
        <f>9.4+130.07</f>
        <v>139.47</v>
      </c>
      <c r="AV398" s="69">
        <v>367.46</v>
      </c>
      <c r="CD398" s="91">
        <f t="shared" si="36"/>
        <v>1525.1</v>
      </c>
      <c r="CE398" s="69">
        <f t="shared" si="37"/>
        <v>0</v>
      </c>
      <c r="CF398" s="75">
        <f t="shared" si="38"/>
        <v>7604</v>
      </c>
      <c r="CG398" s="69" t="str">
        <f t="shared" si="38"/>
        <v>برنامج دولى</v>
      </c>
    </row>
    <row r="399" spans="3:85" x14ac:dyDescent="0.25">
      <c r="C399" s="75">
        <v>12493</v>
      </c>
      <c r="D399" s="75">
        <v>7605</v>
      </c>
      <c r="E399" s="69" t="s">
        <v>78</v>
      </c>
      <c r="F399" s="69" t="str">
        <f>+F395</f>
        <v>مكافاه برتوكول ابحاث اكلينكيه</v>
      </c>
      <c r="H399" s="69">
        <v>14618.57</v>
      </c>
      <c r="AS399" s="91">
        <f t="shared" si="35"/>
        <v>14618.57</v>
      </c>
      <c r="AT399" s="69">
        <v>13063.21</v>
      </c>
      <c r="AU399" s="52">
        <v>1555.36</v>
      </c>
      <c r="CD399" s="91">
        <f t="shared" si="36"/>
        <v>14618.57</v>
      </c>
      <c r="CE399" s="69">
        <f t="shared" si="37"/>
        <v>0</v>
      </c>
      <c r="CF399" s="75">
        <f t="shared" si="38"/>
        <v>7605</v>
      </c>
      <c r="CG399" s="69" t="str">
        <f t="shared" si="38"/>
        <v>برنامج دولى</v>
      </c>
    </row>
    <row r="400" spans="3:85" x14ac:dyDescent="0.25">
      <c r="C400" s="75">
        <v>12421</v>
      </c>
      <c r="D400" s="75">
        <v>7606</v>
      </c>
      <c r="E400" s="69" t="s">
        <v>78</v>
      </c>
      <c r="F400" s="69" t="s">
        <v>1919</v>
      </c>
      <c r="H400" s="69">
        <v>6000</v>
      </c>
      <c r="AS400" s="91">
        <f t="shared" si="35"/>
        <v>6000</v>
      </c>
      <c r="AT400" s="69">
        <v>5355.7</v>
      </c>
      <c r="AU400" s="52">
        <v>644.29999999999995</v>
      </c>
      <c r="CD400" s="91">
        <f t="shared" si="36"/>
        <v>6000</v>
      </c>
      <c r="CE400" s="69">
        <f t="shared" si="37"/>
        <v>0</v>
      </c>
      <c r="CF400" s="75">
        <f t="shared" si="38"/>
        <v>7606</v>
      </c>
      <c r="CG400" s="69" t="str">
        <f t="shared" si="38"/>
        <v>برنامج دولى</v>
      </c>
    </row>
    <row r="401" spans="2:86" x14ac:dyDescent="0.25">
      <c r="C401" s="75">
        <v>12422</v>
      </c>
      <c r="D401" s="75">
        <v>7607</v>
      </c>
      <c r="E401" s="69" t="s">
        <v>78</v>
      </c>
      <c r="F401" s="69" t="s">
        <v>1919</v>
      </c>
      <c r="H401" s="69">
        <v>5342.25</v>
      </c>
      <c r="AS401" s="91">
        <f t="shared" si="35"/>
        <v>5342.25</v>
      </c>
      <c r="AT401" s="69">
        <v>4247.41</v>
      </c>
      <c r="AU401" s="52">
        <v>534.35</v>
      </c>
      <c r="AV401" s="69">
        <v>560.49</v>
      </c>
      <c r="CD401" s="91">
        <f t="shared" si="36"/>
        <v>5342.25</v>
      </c>
      <c r="CE401" s="69">
        <f t="shared" si="37"/>
        <v>0</v>
      </c>
      <c r="CF401" s="75">
        <f t="shared" si="38"/>
        <v>7607</v>
      </c>
      <c r="CG401" s="69" t="str">
        <f t="shared" si="38"/>
        <v>برنامج دولى</v>
      </c>
    </row>
    <row r="402" spans="2:86" x14ac:dyDescent="0.25">
      <c r="C402" s="75">
        <v>12423</v>
      </c>
      <c r="D402" s="75">
        <v>7608</v>
      </c>
      <c r="E402" s="69" t="s">
        <v>78</v>
      </c>
      <c r="F402" s="69" t="s">
        <v>1920</v>
      </c>
      <c r="H402" s="69">
        <v>2400</v>
      </c>
      <c r="AS402" s="91">
        <f t="shared" si="35"/>
        <v>2400</v>
      </c>
      <c r="AT402" s="69">
        <v>2143.65</v>
      </c>
      <c r="AU402" s="52">
        <v>256.35000000000002</v>
      </c>
      <c r="CD402" s="91">
        <f t="shared" si="36"/>
        <v>2400</v>
      </c>
      <c r="CE402" s="69">
        <f t="shared" si="37"/>
        <v>0</v>
      </c>
      <c r="CF402" s="75">
        <f t="shared" si="38"/>
        <v>7608</v>
      </c>
      <c r="CG402" s="69" t="str">
        <f t="shared" si="38"/>
        <v>برنامج دولى</v>
      </c>
    </row>
    <row r="403" spans="2:86" x14ac:dyDescent="0.25">
      <c r="C403" s="75">
        <v>12492</v>
      </c>
      <c r="D403" s="75">
        <v>7609</v>
      </c>
      <c r="E403" s="69" t="s">
        <v>78</v>
      </c>
      <c r="F403" s="69" t="str">
        <f>+F395</f>
        <v>مكافاه برتوكول ابحاث اكلينكيه</v>
      </c>
      <c r="H403" s="69">
        <v>10243.799999999999</v>
      </c>
      <c r="AS403" s="91">
        <f t="shared" si="35"/>
        <v>10243.799999999999</v>
      </c>
      <c r="AT403" s="69">
        <v>7875.78</v>
      </c>
      <c r="AU403" s="52">
        <v>1012.35</v>
      </c>
      <c r="AV403" s="69">
        <v>1355.67</v>
      </c>
      <c r="CD403" s="91">
        <f t="shared" si="36"/>
        <v>10243.799999999999</v>
      </c>
      <c r="CE403" s="69">
        <f t="shared" si="37"/>
        <v>0</v>
      </c>
      <c r="CF403" s="75">
        <f t="shared" si="38"/>
        <v>7609</v>
      </c>
      <c r="CG403" s="69" t="str">
        <f t="shared" si="38"/>
        <v>برنامج دولى</v>
      </c>
    </row>
    <row r="404" spans="2:86" x14ac:dyDescent="0.25">
      <c r="C404" s="75">
        <v>12491</v>
      </c>
      <c r="D404" s="75">
        <v>7610</v>
      </c>
      <c r="E404" s="69" t="s">
        <v>78</v>
      </c>
      <c r="F404" s="69" t="s">
        <v>1921</v>
      </c>
      <c r="H404" s="69">
        <v>2250</v>
      </c>
      <c r="AS404" s="91">
        <f t="shared" si="35"/>
        <v>2250</v>
      </c>
      <c r="AT404" s="69">
        <v>2010.3</v>
      </c>
      <c r="AU404" s="52">
        <v>239.7</v>
      </c>
      <c r="CD404" s="91">
        <f t="shared" si="36"/>
        <v>2250</v>
      </c>
      <c r="CE404" s="69">
        <f t="shared" si="37"/>
        <v>0</v>
      </c>
      <c r="CF404" s="75">
        <f t="shared" si="38"/>
        <v>7610</v>
      </c>
      <c r="CG404" s="69" t="str">
        <f t="shared" si="38"/>
        <v>برنامج دولى</v>
      </c>
    </row>
    <row r="405" spans="2:86" x14ac:dyDescent="0.25">
      <c r="C405" s="75">
        <v>12490</v>
      </c>
      <c r="D405" s="75">
        <v>7611</v>
      </c>
      <c r="E405" s="69" t="s">
        <v>78</v>
      </c>
      <c r="F405" s="69" t="s">
        <v>1921</v>
      </c>
      <c r="H405" s="69">
        <v>750</v>
      </c>
      <c r="AS405" s="91">
        <f t="shared" si="35"/>
        <v>750</v>
      </c>
      <c r="AT405" s="69">
        <v>670.1</v>
      </c>
      <c r="AU405" s="52">
        <v>79.900000000000006</v>
      </c>
      <c r="CD405" s="91">
        <f t="shared" si="36"/>
        <v>750</v>
      </c>
      <c r="CE405" s="69">
        <f t="shared" si="37"/>
        <v>0</v>
      </c>
      <c r="CF405" s="75">
        <f t="shared" si="38"/>
        <v>7611</v>
      </c>
      <c r="CG405" s="69" t="str">
        <f t="shared" si="38"/>
        <v>برنامج دولى</v>
      </c>
    </row>
    <row r="406" spans="2:86" x14ac:dyDescent="0.25">
      <c r="C406" s="75">
        <v>12489</v>
      </c>
      <c r="D406" s="75">
        <v>7612</v>
      </c>
      <c r="E406" s="69" t="s">
        <v>78</v>
      </c>
      <c r="F406" s="69" t="s">
        <v>1511</v>
      </c>
      <c r="H406" s="69">
        <v>6763.31</v>
      </c>
      <c r="AS406" s="91">
        <f t="shared" si="35"/>
        <v>6763.31</v>
      </c>
      <c r="AT406" s="69">
        <v>5021.9799999999996</v>
      </c>
      <c r="AU406" s="52">
        <v>655.04999999999995</v>
      </c>
      <c r="AV406" s="69">
        <v>1086.28</v>
      </c>
      <c r="CD406" s="91">
        <f t="shared" si="36"/>
        <v>6763.3099999999995</v>
      </c>
      <c r="CE406" s="69">
        <f t="shared" si="37"/>
        <v>0</v>
      </c>
      <c r="CF406" s="75">
        <f t="shared" si="38"/>
        <v>7612</v>
      </c>
      <c r="CG406" s="69" t="str">
        <f t="shared" si="38"/>
        <v>برنامج دولى</v>
      </c>
    </row>
    <row r="407" spans="2:86" x14ac:dyDescent="0.25">
      <c r="C407" s="75">
        <v>12488</v>
      </c>
      <c r="D407" s="75">
        <v>7613</v>
      </c>
      <c r="E407" s="69" t="s">
        <v>78</v>
      </c>
      <c r="F407" s="69" t="s">
        <v>1650</v>
      </c>
      <c r="H407" s="69">
        <v>175.88</v>
      </c>
      <c r="AS407" s="91">
        <f t="shared" si="35"/>
        <v>175.88</v>
      </c>
      <c r="AT407" s="69">
        <v>118</v>
      </c>
      <c r="AU407" s="52">
        <v>15.5</v>
      </c>
      <c r="AV407" s="69">
        <v>42.38</v>
      </c>
      <c r="CD407" s="91">
        <f t="shared" si="36"/>
        <v>175.88</v>
      </c>
      <c r="CE407" s="69">
        <f t="shared" si="37"/>
        <v>0</v>
      </c>
      <c r="CF407" s="75">
        <f t="shared" si="38"/>
        <v>7613</v>
      </c>
      <c r="CG407" s="69" t="str">
        <f t="shared" si="38"/>
        <v>برنامج دولى</v>
      </c>
    </row>
    <row r="408" spans="2:86" x14ac:dyDescent="0.25">
      <c r="C408" s="75">
        <v>12487</v>
      </c>
      <c r="D408" s="75">
        <v>7614</v>
      </c>
      <c r="E408" s="69" t="s">
        <v>78</v>
      </c>
      <c r="F408" s="69" t="s">
        <v>1922</v>
      </c>
      <c r="H408" s="69">
        <v>1200</v>
      </c>
      <c r="AS408" s="91">
        <f t="shared" si="35"/>
        <v>1200</v>
      </c>
      <c r="AT408" s="69">
        <v>1071.3499999999999</v>
      </c>
      <c r="AU408" s="52">
        <v>128.65</v>
      </c>
      <c r="CD408" s="91">
        <f t="shared" si="36"/>
        <v>1200</v>
      </c>
      <c r="CE408" s="69">
        <f t="shared" si="37"/>
        <v>0</v>
      </c>
      <c r="CF408" s="75">
        <f t="shared" si="38"/>
        <v>7614</v>
      </c>
      <c r="CG408" s="69" t="str">
        <f t="shared" si="38"/>
        <v>برنامج دولى</v>
      </c>
    </row>
    <row r="409" spans="2:86" s="68" customFormat="1" x14ac:dyDescent="0.25">
      <c r="C409" s="75"/>
      <c r="D409" s="67"/>
      <c r="F409" s="68" t="s">
        <v>1923</v>
      </c>
      <c r="H409" s="68">
        <f t="shared" ref="H409:AM409" si="40">SUM(H166:H408)</f>
        <v>1670149.2000000002</v>
      </c>
      <c r="I409" s="68">
        <f t="shared" si="40"/>
        <v>75780.52</v>
      </c>
      <c r="J409" s="68">
        <f t="shared" si="40"/>
        <v>0</v>
      </c>
      <c r="K409" s="68">
        <f t="shared" si="40"/>
        <v>0</v>
      </c>
      <c r="L409" s="68">
        <f t="shared" si="40"/>
        <v>0</v>
      </c>
      <c r="M409" s="68">
        <f t="shared" si="40"/>
        <v>0</v>
      </c>
      <c r="N409" s="68">
        <f t="shared" si="40"/>
        <v>0</v>
      </c>
      <c r="O409" s="68">
        <f t="shared" si="40"/>
        <v>0</v>
      </c>
      <c r="P409" s="68">
        <f t="shared" si="40"/>
        <v>8000</v>
      </c>
      <c r="Q409" s="68">
        <f t="shared" si="40"/>
        <v>0</v>
      </c>
      <c r="R409" s="68">
        <f t="shared" si="40"/>
        <v>2514.85</v>
      </c>
      <c r="S409" s="68">
        <f t="shared" si="40"/>
        <v>0</v>
      </c>
      <c r="T409" s="68">
        <f t="shared" si="40"/>
        <v>1169207.6200000001</v>
      </c>
      <c r="U409" s="68">
        <f t="shared" si="40"/>
        <v>0</v>
      </c>
      <c r="V409" s="68">
        <f t="shared" si="40"/>
        <v>0</v>
      </c>
      <c r="W409" s="68">
        <f t="shared" si="40"/>
        <v>0</v>
      </c>
      <c r="X409" s="68">
        <f t="shared" si="40"/>
        <v>359575.44</v>
      </c>
      <c r="Y409" s="68">
        <f t="shared" si="40"/>
        <v>0</v>
      </c>
      <c r="Z409" s="68">
        <f t="shared" si="40"/>
        <v>0</v>
      </c>
      <c r="AA409" s="68">
        <f t="shared" si="40"/>
        <v>0</v>
      </c>
      <c r="AB409" s="68">
        <f t="shared" si="40"/>
        <v>0</v>
      </c>
      <c r="AC409" s="68">
        <f t="shared" si="40"/>
        <v>0</v>
      </c>
      <c r="AD409" s="68">
        <f t="shared" si="40"/>
        <v>0</v>
      </c>
      <c r="AE409" s="68">
        <f t="shared" si="40"/>
        <v>0</v>
      </c>
      <c r="AF409" s="68">
        <f t="shared" si="40"/>
        <v>0</v>
      </c>
      <c r="AG409" s="68">
        <f t="shared" si="40"/>
        <v>0</v>
      </c>
      <c r="AH409" s="68">
        <f t="shared" si="40"/>
        <v>0</v>
      </c>
      <c r="AI409" s="68">
        <f t="shared" si="40"/>
        <v>0</v>
      </c>
      <c r="AJ409" s="68">
        <f t="shared" si="40"/>
        <v>0</v>
      </c>
      <c r="AK409" s="68">
        <f t="shared" si="40"/>
        <v>0</v>
      </c>
      <c r="AL409" s="68">
        <f t="shared" si="40"/>
        <v>0</v>
      </c>
      <c r="AM409" s="68">
        <f t="shared" si="40"/>
        <v>0</v>
      </c>
      <c r="AN409" s="68">
        <f t="shared" ref="AN409:CE409" si="41">SUM(AN166:AN408)</f>
        <v>0</v>
      </c>
      <c r="AP409" s="68">
        <f t="shared" si="41"/>
        <v>0</v>
      </c>
      <c r="AQ409" s="68">
        <f t="shared" si="41"/>
        <v>0</v>
      </c>
      <c r="AR409" s="68">
        <f t="shared" si="41"/>
        <v>0</v>
      </c>
      <c r="AS409" s="91">
        <f t="shared" si="41"/>
        <v>3285227.629999998</v>
      </c>
      <c r="AT409" s="68">
        <f t="shared" si="41"/>
        <v>2957007.060000001</v>
      </c>
      <c r="AU409" s="68">
        <f t="shared" si="41"/>
        <v>171622.59999999986</v>
      </c>
      <c r="AV409" s="68">
        <f t="shared" si="41"/>
        <v>127724.75000000003</v>
      </c>
      <c r="AW409" s="68">
        <f t="shared" si="41"/>
        <v>15600.77</v>
      </c>
      <c r="AX409" s="68">
        <f t="shared" si="41"/>
        <v>0</v>
      </c>
      <c r="AY409" s="68">
        <f t="shared" si="41"/>
        <v>0</v>
      </c>
      <c r="AZ409" s="68">
        <f t="shared" si="41"/>
        <v>0</v>
      </c>
      <c r="BA409" s="68">
        <f t="shared" si="41"/>
        <v>0</v>
      </c>
      <c r="BB409" s="68">
        <f t="shared" si="41"/>
        <v>0</v>
      </c>
      <c r="BC409" s="68">
        <f t="shared" si="41"/>
        <v>0</v>
      </c>
      <c r="BD409" s="68">
        <f t="shared" si="41"/>
        <v>0</v>
      </c>
      <c r="BE409" s="68">
        <f t="shared" si="41"/>
        <v>0</v>
      </c>
      <c r="BF409" s="68">
        <f t="shared" si="41"/>
        <v>0</v>
      </c>
      <c r="BG409" s="68">
        <f t="shared" si="41"/>
        <v>1605.2</v>
      </c>
      <c r="BH409" s="68">
        <f t="shared" si="41"/>
        <v>186</v>
      </c>
      <c r="BI409" s="68">
        <f t="shared" si="41"/>
        <v>475</v>
      </c>
      <c r="BJ409" s="68">
        <f t="shared" si="41"/>
        <v>246.25</v>
      </c>
      <c r="BK409" s="68">
        <f t="shared" si="41"/>
        <v>0</v>
      </c>
      <c r="BL409" s="68">
        <f t="shared" si="41"/>
        <v>0</v>
      </c>
      <c r="BM409" s="68">
        <f t="shared" si="41"/>
        <v>0</v>
      </c>
      <c r="BN409" s="68">
        <f t="shared" si="41"/>
        <v>0</v>
      </c>
      <c r="BO409" s="68">
        <f t="shared" si="41"/>
        <v>8000</v>
      </c>
      <c r="BP409" s="68">
        <f t="shared" si="41"/>
        <v>0</v>
      </c>
      <c r="BQ409" s="68">
        <f t="shared" si="41"/>
        <v>0</v>
      </c>
      <c r="BR409" s="68">
        <f t="shared" si="41"/>
        <v>0</v>
      </c>
      <c r="BS409" s="68">
        <f t="shared" si="41"/>
        <v>0</v>
      </c>
      <c r="BT409" s="68">
        <f t="shared" si="41"/>
        <v>0</v>
      </c>
      <c r="BU409" s="68">
        <f t="shared" si="41"/>
        <v>0</v>
      </c>
      <c r="BV409" s="68">
        <f t="shared" si="41"/>
        <v>0</v>
      </c>
      <c r="BW409" s="68">
        <f t="shared" si="41"/>
        <v>0</v>
      </c>
      <c r="BX409" s="68">
        <f t="shared" si="41"/>
        <v>0</v>
      </c>
      <c r="BY409" s="68">
        <f t="shared" si="41"/>
        <v>0</v>
      </c>
      <c r="BZ409" s="68">
        <f t="shared" si="41"/>
        <v>0</v>
      </c>
      <c r="CA409" s="68">
        <f t="shared" si="41"/>
        <v>0</v>
      </c>
      <c r="CB409" s="68">
        <f t="shared" si="41"/>
        <v>0</v>
      </c>
      <c r="CC409" s="68">
        <f t="shared" si="41"/>
        <v>2760</v>
      </c>
      <c r="CD409" s="91">
        <f t="shared" si="41"/>
        <v>3285227.629999998</v>
      </c>
      <c r="CE409" s="68">
        <f t="shared" si="41"/>
        <v>0</v>
      </c>
      <c r="CG409" s="68">
        <f>SUM(CG166:CG408)</f>
        <v>0</v>
      </c>
      <c r="CH409" s="68">
        <f>SUM(CH166:CH408)</f>
        <v>0</v>
      </c>
    </row>
    <row r="410" spans="2:86" x14ac:dyDescent="0.25">
      <c r="B410" s="80"/>
      <c r="C410" s="75">
        <v>12738</v>
      </c>
      <c r="D410" s="75">
        <v>7615</v>
      </c>
      <c r="E410" s="69" t="s">
        <v>128</v>
      </c>
      <c r="F410" s="69" t="s">
        <v>1924</v>
      </c>
      <c r="H410" s="69">
        <v>4000</v>
      </c>
      <c r="AS410" s="91">
        <f t="shared" ref="AS410:AS441" si="42">SUM(H410:AR410)</f>
        <v>4000</v>
      </c>
      <c r="AT410" s="69">
        <v>3570.35</v>
      </c>
      <c r="AU410" s="52">
        <v>429.65</v>
      </c>
      <c r="CD410" s="91">
        <f t="shared" ref="CD410:CD473" si="43">SUM(AT410:CC410)</f>
        <v>4000</v>
      </c>
      <c r="CE410" s="69">
        <f t="shared" ref="CE410:CE473" si="44">+CD410-AS410</f>
        <v>0</v>
      </c>
      <c r="CF410" s="75">
        <f t="shared" ref="CF410:CG441" si="45">+D410</f>
        <v>7615</v>
      </c>
      <c r="CG410" s="69" t="str">
        <f t="shared" si="45"/>
        <v>مركز مؤتمرات</v>
      </c>
    </row>
    <row r="411" spans="2:86" x14ac:dyDescent="0.25">
      <c r="C411" s="75">
        <v>12739</v>
      </c>
      <c r="D411" s="75">
        <v>7616</v>
      </c>
      <c r="E411" s="69" t="s">
        <v>128</v>
      </c>
      <c r="F411" s="69" t="s">
        <v>1925</v>
      </c>
      <c r="H411" s="69">
        <v>4000</v>
      </c>
      <c r="AS411" s="91">
        <f t="shared" si="42"/>
        <v>4000</v>
      </c>
      <c r="AT411" s="69">
        <v>3570.35</v>
      </c>
      <c r="AU411" s="52">
        <v>429.65</v>
      </c>
      <c r="CD411" s="91">
        <f t="shared" si="43"/>
        <v>4000</v>
      </c>
      <c r="CE411" s="69">
        <f t="shared" si="44"/>
        <v>0</v>
      </c>
      <c r="CF411" s="75">
        <f t="shared" si="45"/>
        <v>7616</v>
      </c>
      <c r="CG411" s="69" t="str">
        <f t="shared" si="45"/>
        <v>مركز مؤتمرات</v>
      </c>
    </row>
    <row r="412" spans="2:86" x14ac:dyDescent="0.25">
      <c r="C412" s="75">
        <v>12741</v>
      </c>
      <c r="D412" s="75">
        <v>7617</v>
      </c>
      <c r="E412" s="69" t="s">
        <v>128</v>
      </c>
      <c r="F412" s="69" t="s">
        <v>1926</v>
      </c>
      <c r="H412" s="69">
        <v>500</v>
      </c>
      <c r="AS412" s="91">
        <f t="shared" si="42"/>
        <v>500</v>
      </c>
      <c r="AT412" s="69">
        <v>447.05</v>
      </c>
      <c r="AU412" s="52">
        <v>52.95</v>
      </c>
      <c r="CD412" s="91">
        <f t="shared" si="43"/>
        <v>500</v>
      </c>
      <c r="CE412" s="69">
        <f t="shared" si="44"/>
        <v>0</v>
      </c>
      <c r="CF412" s="75">
        <f t="shared" si="45"/>
        <v>7617</v>
      </c>
      <c r="CG412" s="69" t="str">
        <f t="shared" si="45"/>
        <v>مركز مؤتمرات</v>
      </c>
    </row>
    <row r="413" spans="2:86" x14ac:dyDescent="0.25">
      <c r="C413" s="75">
        <v>12742</v>
      </c>
      <c r="D413" s="75">
        <v>7618</v>
      </c>
      <c r="E413" s="69" t="s">
        <v>128</v>
      </c>
      <c r="F413" s="69" t="s">
        <v>1926</v>
      </c>
      <c r="H413" s="69">
        <v>586.25</v>
      </c>
      <c r="AS413" s="91">
        <f t="shared" si="42"/>
        <v>586.25</v>
      </c>
      <c r="AT413" s="69">
        <v>392.4</v>
      </c>
      <c r="AU413" s="52">
        <v>52.6</v>
      </c>
      <c r="AV413" s="69">
        <v>141.25</v>
      </c>
      <c r="CD413" s="91">
        <f t="shared" si="43"/>
        <v>586.25</v>
      </c>
      <c r="CE413" s="69">
        <f t="shared" si="44"/>
        <v>0</v>
      </c>
      <c r="CF413" s="75">
        <f t="shared" si="45"/>
        <v>7618</v>
      </c>
      <c r="CG413" s="69" t="str">
        <f t="shared" si="45"/>
        <v>مركز مؤتمرات</v>
      </c>
    </row>
    <row r="414" spans="2:86" x14ac:dyDescent="0.25">
      <c r="C414" s="75">
        <v>12743</v>
      </c>
      <c r="D414" s="75">
        <v>7619</v>
      </c>
      <c r="E414" s="69" t="s">
        <v>128</v>
      </c>
      <c r="F414" s="69" t="s">
        <v>1927</v>
      </c>
      <c r="H414" s="69">
        <v>15852</v>
      </c>
      <c r="AS414" s="91">
        <f t="shared" si="42"/>
        <v>15852</v>
      </c>
      <c r="AT414" s="69">
        <v>14153.5</v>
      </c>
      <c r="AU414" s="52">
        <v>1698.5</v>
      </c>
      <c r="CD414" s="91">
        <f t="shared" si="43"/>
        <v>15852</v>
      </c>
      <c r="CE414" s="69">
        <f t="shared" si="44"/>
        <v>0</v>
      </c>
      <c r="CF414" s="75">
        <f t="shared" si="45"/>
        <v>7619</v>
      </c>
      <c r="CG414" s="69" t="str">
        <f t="shared" si="45"/>
        <v>مركز مؤتمرات</v>
      </c>
    </row>
    <row r="415" spans="2:86" x14ac:dyDescent="0.25">
      <c r="C415" s="75">
        <v>12744</v>
      </c>
      <c r="D415" s="75">
        <v>7620</v>
      </c>
      <c r="E415" s="69" t="s">
        <v>128</v>
      </c>
      <c r="F415" s="69" t="s">
        <v>1927</v>
      </c>
      <c r="H415" s="69">
        <v>2857.17</v>
      </c>
      <c r="AS415" s="91">
        <f t="shared" si="42"/>
        <v>2857.17</v>
      </c>
      <c r="AT415" s="69">
        <v>2550.75</v>
      </c>
      <c r="AU415" s="52">
        <v>306.42</v>
      </c>
      <c r="CD415" s="91">
        <f t="shared" si="43"/>
        <v>2857.17</v>
      </c>
      <c r="CE415" s="69">
        <f t="shared" si="44"/>
        <v>0</v>
      </c>
      <c r="CF415" s="75">
        <f t="shared" si="45"/>
        <v>7620</v>
      </c>
      <c r="CG415" s="69" t="str">
        <f t="shared" si="45"/>
        <v>مركز مؤتمرات</v>
      </c>
    </row>
    <row r="416" spans="2:86" x14ac:dyDescent="0.25">
      <c r="C416" s="75">
        <v>12737</v>
      </c>
      <c r="D416" s="75">
        <v>7621</v>
      </c>
      <c r="E416" s="69" t="s">
        <v>128</v>
      </c>
      <c r="F416" s="69" t="s">
        <v>1927</v>
      </c>
      <c r="H416" s="69">
        <v>3535.27</v>
      </c>
      <c r="AS416" s="91">
        <f t="shared" si="42"/>
        <v>3535.27</v>
      </c>
      <c r="AT416" s="69">
        <v>3153.85</v>
      </c>
      <c r="AU416" s="52">
        <v>379.18</v>
      </c>
      <c r="AV416" s="69">
        <v>2.2400000000000002</v>
      </c>
      <c r="CD416" s="91">
        <f t="shared" si="43"/>
        <v>3535.2699999999995</v>
      </c>
      <c r="CE416" s="69">
        <f t="shared" si="44"/>
        <v>0</v>
      </c>
      <c r="CF416" s="75">
        <f t="shared" si="45"/>
        <v>7621</v>
      </c>
      <c r="CG416" s="69" t="str">
        <f t="shared" si="45"/>
        <v>مركز مؤتمرات</v>
      </c>
    </row>
    <row r="417" spans="3:85" x14ac:dyDescent="0.25">
      <c r="C417" s="75">
        <v>12745</v>
      </c>
      <c r="D417" s="75">
        <v>7622</v>
      </c>
      <c r="E417" s="69" t="s">
        <v>128</v>
      </c>
      <c r="F417" s="69" t="s">
        <v>1927</v>
      </c>
      <c r="H417" s="69">
        <v>4198.97</v>
      </c>
      <c r="AS417" s="91">
        <f t="shared" si="42"/>
        <v>4198.97</v>
      </c>
      <c r="AT417" s="69">
        <v>3209.48</v>
      </c>
      <c r="AU417" s="52">
        <v>411.03</v>
      </c>
      <c r="AV417" s="69">
        <v>578.46</v>
      </c>
      <c r="CD417" s="91">
        <f t="shared" si="43"/>
        <v>4198.97</v>
      </c>
      <c r="CE417" s="69">
        <f t="shared" si="44"/>
        <v>0</v>
      </c>
      <c r="CF417" s="75">
        <f t="shared" si="45"/>
        <v>7622</v>
      </c>
      <c r="CG417" s="69" t="str">
        <f t="shared" si="45"/>
        <v>مركز مؤتمرات</v>
      </c>
    </row>
    <row r="418" spans="3:85" x14ac:dyDescent="0.25">
      <c r="C418" s="75">
        <v>12740</v>
      </c>
      <c r="D418" s="75">
        <v>7623</v>
      </c>
      <c r="E418" s="69" t="s">
        <v>128</v>
      </c>
      <c r="F418" s="69" t="str">
        <f>+F412</f>
        <v>مكافاه المستعان بهم فى المركز يناير</v>
      </c>
      <c r="H418" s="69">
        <v>2345.0100000000002</v>
      </c>
      <c r="AS418" s="91">
        <f t="shared" si="42"/>
        <v>2345.0100000000002</v>
      </c>
      <c r="AT418" s="69">
        <v>1569.15</v>
      </c>
      <c r="AU418" s="52">
        <f>10.85+200</f>
        <v>210.85</v>
      </c>
      <c r="AV418" s="69">
        <v>565.01</v>
      </c>
      <c r="CD418" s="91">
        <f t="shared" si="43"/>
        <v>2345.0100000000002</v>
      </c>
      <c r="CE418" s="69">
        <f t="shared" si="44"/>
        <v>0</v>
      </c>
      <c r="CF418" s="75">
        <f t="shared" si="45"/>
        <v>7623</v>
      </c>
      <c r="CG418" s="69" t="str">
        <f t="shared" si="45"/>
        <v>مركز مؤتمرات</v>
      </c>
    </row>
    <row r="419" spans="3:85" x14ac:dyDescent="0.25">
      <c r="C419" s="75">
        <v>12691</v>
      </c>
      <c r="D419" s="75">
        <v>7624</v>
      </c>
      <c r="E419" s="69" t="s">
        <v>78</v>
      </c>
      <c r="F419" s="69" t="s">
        <v>1928</v>
      </c>
      <c r="H419" s="69">
        <v>3781.31</v>
      </c>
      <c r="AS419" s="91">
        <f t="shared" si="42"/>
        <v>3781.31</v>
      </c>
      <c r="AT419" s="69">
        <v>2530.1</v>
      </c>
      <c r="AU419" s="52">
        <f>17.65+322.5</f>
        <v>340.15</v>
      </c>
      <c r="AV419" s="69">
        <f>1251.21-17.65-322.5</f>
        <v>911.06</v>
      </c>
      <c r="CD419" s="91">
        <f t="shared" si="43"/>
        <v>3781.31</v>
      </c>
      <c r="CE419" s="69">
        <f t="shared" si="44"/>
        <v>0</v>
      </c>
      <c r="CF419" s="75">
        <f t="shared" si="45"/>
        <v>7624</v>
      </c>
      <c r="CG419" s="69" t="str">
        <f t="shared" si="45"/>
        <v>برنامج دولى</v>
      </c>
    </row>
    <row r="420" spans="3:85" x14ac:dyDescent="0.25">
      <c r="C420" s="75">
        <v>12692</v>
      </c>
      <c r="D420" s="75">
        <v>7625</v>
      </c>
      <c r="E420" s="69" t="s">
        <v>78</v>
      </c>
      <c r="F420" s="69" t="s">
        <v>1928</v>
      </c>
      <c r="H420" s="69">
        <v>293.12</v>
      </c>
      <c r="AS420" s="91">
        <f t="shared" si="42"/>
        <v>293.12</v>
      </c>
      <c r="AT420" s="69">
        <v>196.45</v>
      </c>
      <c r="AU420" s="52">
        <v>26.05</v>
      </c>
      <c r="AV420" s="69">
        <v>70.62</v>
      </c>
      <c r="CD420" s="91">
        <f t="shared" si="43"/>
        <v>293.12</v>
      </c>
      <c r="CE420" s="69">
        <f t="shared" si="44"/>
        <v>0</v>
      </c>
      <c r="CF420" s="75">
        <f t="shared" si="45"/>
        <v>7625</v>
      </c>
      <c r="CG420" s="69" t="str">
        <f t="shared" si="45"/>
        <v>برنامج دولى</v>
      </c>
    </row>
    <row r="421" spans="3:85" x14ac:dyDescent="0.25">
      <c r="C421" s="75">
        <v>12577</v>
      </c>
      <c r="D421" s="75">
        <v>7626</v>
      </c>
      <c r="E421" s="69" t="s">
        <v>78</v>
      </c>
      <c r="F421" s="69" t="s">
        <v>1928</v>
      </c>
      <c r="H421" s="69">
        <v>725.88</v>
      </c>
      <c r="AS421" s="91">
        <f t="shared" si="42"/>
        <v>725.88</v>
      </c>
      <c r="AT421" s="69">
        <v>609.5</v>
      </c>
      <c r="AU421" s="52">
        <v>74</v>
      </c>
      <c r="AV421" s="69">
        <v>42.38</v>
      </c>
      <c r="CD421" s="91">
        <f t="shared" si="43"/>
        <v>725.88</v>
      </c>
      <c r="CE421" s="69">
        <f t="shared" si="44"/>
        <v>0</v>
      </c>
      <c r="CF421" s="75">
        <f t="shared" si="45"/>
        <v>7626</v>
      </c>
      <c r="CG421" s="69" t="str">
        <f t="shared" si="45"/>
        <v>برنامج دولى</v>
      </c>
    </row>
    <row r="422" spans="3:85" x14ac:dyDescent="0.25">
      <c r="C422" s="75">
        <v>12576</v>
      </c>
      <c r="D422" s="75">
        <v>7627</v>
      </c>
      <c r="E422" s="69" t="s">
        <v>78</v>
      </c>
      <c r="F422" s="69" t="s">
        <v>1928</v>
      </c>
      <c r="H422" s="69">
        <v>850.06</v>
      </c>
      <c r="AS422" s="91">
        <f t="shared" si="42"/>
        <v>850.06</v>
      </c>
      <c r="AT422" s="69">
        <v>568.54999999999995</v>
      </c>
      <c r="AU422" s="52">
        <v>76.7</v>
      </c>
      <c r="AV422" s="69">
        <v>204.81</v>
      </c>
      <c r="CD422" s="91">
        <f t="shared" si="43"/>
        <v>850.06</v>
      </c>
      <c r="CE422" s="69">
        <f t="shared" si="44"/>
        <v>0</v>
      </c>
      <c r="CF422" s="75">
        <f t="shared" si="45"/>
        <v>7627</v>
      </c>
      <c r="CG422" s="69" t="str">
        <f t="shared" si="45"/>
        <v>برنامج دولى</v>
      </c>
    </row>
    <row r="423" spans="3:85" x14ac:dyDescent="0.25">
      <c r="C423" s="75">
        <v>12575</v>
      </c>
      <c r="D423" s="75">
        <v>7628</v>
      </c>
      <c r="E423" s="69" t="s">
        <v>78</v>
      </c>
      <c r="F423" s="69" t="s">
        <v>1928</v>
      </c>
      <c r="H423" s="69">
        <v>200</v>
      </c>
      <c r="AS423" s="91">
        <f t="shared" si="42"/>
        <v>200</v>
      </c>
      <c r="AT423" s="69">
        <v>179.1</v>
      </c>
      <c r="AU423" s="52">
        <v>20.9</v>
      </c>
      <c r="CD423" s="91">
        <f t="shared" si="43"/>
        <v>200</v>
      </c>
      <c r="CE423" s="69">
        <f t="shared" si="44"/>
        <v>0</v>
      </c>
      <c r="CF423" s="75">
        <f t="shared" si="45"/>
        <v>7628</v>
      </c>
      <c r="CG423" s="69" t="str">
        <f t="shared" si="45"/>
        <v>برنامج دولى</v>
      </c>
    </row>
    <row r="424" spans="3:85" x14ac:dyDescent="0.25">
      <c r="C424" s="75">
        <v>12574</v>
      </c>
      <c r="D424" s="75">
        <v>7629</v>
      </c>
      <c r="E424" s="69" t="s">
        <v>78</v>
      </c>
      <c r="F424" s="69" t="s">
        <v>1928</v>
      </c>
      <c r="H424" s="69">
        <v>3336.25</v>
      </c>
      <c r="AS424" s="91">
        <f t="shared" si="42"/>
        <v>3336.25</v>
      </c>
      <c r="AT424" s="69">
        <v>2848.95</v>
      </c>
      <c r="AU424" s="52">
        <v>346.05</v>
      </c>
      <c r="AV424" s="69">
        <v>141.25</v>
      </c>
      <c r="CD424" s="91">
        <f t="shared" si="43"/>
        <v>3336.25</v>
      </c>
      <c r="CE424" s="69">
        <f t="shared" si="44"/>
        <v>0</v>
      </c>
      <c r="CF424" s="75">
        <f t="shared" si="45"/>
        <v>7629</v>
      </c>
      <c r="CG424" s="69" t="str">
        <f t="shared" si="45"/>
        <v>برنامج دولى</v>
      </c>
    </row>
    <row r="425" spans="3:85" x14ac:dyDescent="0.25">
      <c r="C425" s="75">
        <v>12573</v>
      </c>
      <c r="D425" s="75">
        <v>7630</v>
      </c>
      <c r="E425" s="69" t="s">
        <v>78</v>
      </c>
      <c r="F425" s="69" t="s">
        <v>1928</v>
      </c>
      <c r="H425" s="69">
        <v>175.88</v>
      </c>
      <c r="AS425" s="91">
        <f t="shared" si="42"/>
        <v>175.88</v>
      </c>
      <c r="AT425" s="69">
        <v>118</v>
      </c>
      <c r="AU425" s="52">
        <v>15.5</v>
      </c>
      <c r="AV425" s="69">
        <v>42.38</v>
      </c>
      <c r="CD425" s="91">
        <f t="shared" si="43"/>
        <v>175.88</v>
      </c>
      <c r="CE425" s="69">
        <f t="shared" si="44"/>
        <v>0</v>
      </c>
      <c r="CF425" s="75">
        <f t="shared" si="45"/>
        <v>7630</v>
      </c>
      <c r="CG425" s="69" t="str">
        <f t="shared" si="45"/>
        <v>برنامج دولى</v>
      </c>
    </row>
    <row r="426" spans="3:85" x14ac:dyDescent="0.25">
      <c r="C426" s="75">
        <v>12572</v>
      </c>
      <c r="D426" s="75">
        <v>7631</v>
      </c>
      <c r="E426" s="69" t="s">
        <v>78</v>
      </c>
      <c r="F426" s="69" t="s">
        <v>1928</v>
      </c>
      <c r="H426" s="69">
        <v>300</v>
      </c>
      <c r="AS426" s="91">
        <f t="shared" si="42"/>
        <v>300</v>
      </c>
      <c r="AT426" s="69">
        <v>268.35000000000002</v>
      </c>
      <c r="AU426" s="52">
        <v>31.65</v>
      </c>
      <c r="CD426" s="91">
        <f t="shared" si="43"/>
        <v>300</v>
      </c>
      <c r="CE426" s="69">
        <f t="shared" si="44"/>
        <v>0</v>
      </c>
      <c r="CF426" s="75">
        <f t="shared" si="45"/>
        <v>7631</v>
      </c>
      <c r="CG426" s="69" t="str">
        <f t="shared" si="45"/>
        <v>برنامج دولى</v>
      </c>
    </row>
    <row r="427" spans="3:85" x14ac:dyDescent="0.25">
      <c r="C427" s="75">
        <v>12571</v>
      </c>
      <c r="D427" s="75">
        <v>7632</v>
      </c>
      <c r="E427" s="69" t="s">
        <v>78</v>
      </c>
      <c r="F427" s="69" t="s">
        <v>1928</v>
      </c>
      <c r="H427" s="69">
        <v>117.25</v>
      </c>
      <c r="AS427" s="91">
        <f t="shared" si="42"/>
        <v>117.25</v>
      </c>
      <c r="AT427" s="69">
        <v>78.75</v>
      </c>
      <c r="AU427" s="52">
        <v>10.25</v>
      </c>
      <c r="AV427" s="69">
        <v>28.25</v>
      </c>
      <c r="CD427" s="91">
        <f t="shared" si="43"/>
        <v>117.25</v>
      </c>
      <c r="CE427" s="69">
        <f t="shared" si="44"/>
        <v>0</v>
      </c>
      <c r="CF427" s="75">
        <f t="shared" si="45"/>
        <v>7632</v>
      </c>
      <c r="CG427" s="69" t="str">
        <f t="shared" si="45"/>
        <v>برنامج دولى</v>
      </c>
    </row>
    <row r="428" spans="3:85" x14ac:dyDescent="0.25">
      <c r="C428" s="75">
        <v>12568</v>
      </c>
      <c r="D428" s="75">
        <v>7633</v>
      </c>
      <c r="E428" s="69" t="s">
        <v>78</v>
      </c>
      <c r="F428" s="69" t="s">
        <v>1928</v>
      </c>
      <c r="H428" s="69">
        <v>23098.59</v>
      </c>
      <c r="AS428" s="91">
        <f t="shared" si="42"/>
        <v>23098.59</v>
      </c>
      <c r="AT428" s="69">
        <v>19329.79</v>
      </c>
      <c r="AU428" s="52">
        <v>2352.9</v>
      </c>
      <c r="AV428" s="69">
        <v>1415.9</v>
      </c>
      <c r="CD428" s="91">
        <f t="shared" si="43"/>
        <v>23098.590000000004</v>
      </c>
      <c r="CE428" s="69">
        <f t="shared" si="44"/>
        <v>0</v>
      </c>
      <c r="CF428" s="75">
        <f t="shared" si="45"/>
        <v>7633</v>
      </c>
      <c r="CG428" s="69" t="str">
        <f t="shared" si="45"/>
        <v>برنامج دولى</v>
      </c>
    </row>
    <row r="429" spans="3:85" x14ac:dyDescent="0.25">
      <c r="C429" s="75">
        <v>12570</v>
      </c>
      <c r="D429" s="75">
        <v>7634</v>
      </c>
      <c r="E429" s="69" t="s">
        <v>78</v>
      </c>
      <c r="F429" s="69" t="s">
        <v>1928</v>
      </c>
      <c r="H429" s="69">
        <v>117.25</v>
      </c>
      <c r="AS429" s="91">
        <f t="shared" si="42"/>
        <v>117.25</v>
      </c>
      <c r="AT429" s="69">
        <v>78.75</v>
      </c>
      <c r="AU429" s="52">
        <v>10.25</v>
      </c>
      <c r="AV429" s="69">
        <v>28.25</v>
      </c>
      <c r="CD429" s="91">
        <f t="shared" si="43"/>
        <v>117.25</v>
      </c>
      <c r="CE429" s="69">
        <f t="shared" si="44"/>
        <v>0</v>
      </c>
      <c r="CF429" s="75">
        <f t="shared" si="45"/>
        <v>7634</v>
      </c>
      <c r="CG429" s="69" t="str">
        <f t="shared" si="45"/>
        <v>برنامج دولى</v>
      </c>
    </row>
    <row r="430" spans="3:85" x14ac:dyDescent="0.25">
      <c r="C430" s="75">
        <v>12566</v>
      </c>
      <c r="D430" s="75">
        <v>7635</v>
      </c>
      <c r="E430" s="69" t="s">
        <v>78</v>
      </c>
      <c r="F430" s="69" t="s">
        <v>1928</v>
      </c>
      <c r="H430" s="69">
        <v>53093.17</v>
      </c>
      <c r="AS430" s="91">
        <f t="shared" si="42"/>
        <v>53093.17</v>
      </c>
      <c r="AT430" s="69">
        <v>44951.28</v>
      </c>
      <c r="AU430" s="52">
        <v>5450.9</v>
      </c>
      <c r="AV430" s="69">
        <v>2690.99</v>
      </c>
      <c r="CD430" s="91">
        <f t="shared" si="43"/>
        <v>53093.17</v>
      </c>
      <c r="CE430" s="69">
        <f t="shared" si="44"/>
        <v>0</v>
      </c>
      <c r="CF430" s="75">
        <f t="shared" si="45"/>
        <v>7635</v>
      </c>
      <c r="CG430" s="69" t="str">
        <f t="shared" si="45"/>
        <v>برنامج دولى</v>
      </c>
    </row>
    <row r="431" spans="3:85" x14ac:dyDescent="0.25">
      <c r="C431" s="75">
        <v>12175</v>
      </c>
      <c r="D431" s="75">
        <v>7636</v>
      </c>
      <c r="E431" s="69" t="s">
        <v>78</v>
      </c>
      <c r="F431" s="69" t="s">
        <v>1929</v>
      </c>
      <c r="H431" s="69">
        <v>1477.36</v>
      </c>
      <c r="AS431" s="91">
        <f t="shared" si="42"/>
        <v>1477.36</v>
      </c>
      <c r="AT431" s="69">
        <v>988.2</v>
      </c>
      <c r="AU431" s="52">
        <v>133.19999999999999</v>
      </c>
      <c r="AV431" s="69">
        <v>355.96</v>
      </c>
      <c r="CD431" s="91">
        <f t="shared" si="43"/>
        <v>1477.3600000000001</v>
      </c>
      <c r="CE431" s="69">
        <f t="shared" si="44"/>
        <v>0</v>
      </c>
      <c r="CF431" s="75">
        <f t="shared" si="45"/>
        <v>7636</v>
      </c>
      <c r="CG431" s="69" t="str">
        <f t="shared" si="45"/>
        <v>برنامج دولى</v>
      </c>
    </row>
    <row r="432" spans="3:85" x14ac:dyDescent="0.25">
      <c r="C432" s="75">
        <v>12167</v>
      </c>
      <c r="D432" s="75">
        <v>7637</v>
      </c>
      <c r="E432" s="69" t="s">
        <v>78</v>
      </c>
      <c r="F432" s="69" t="s">
        <v>1929</v>
      </c>
      <c r="H432" s="69">
        <v>633.15</v>
      </c>
      <c r="AS432" s="91">
        <f t="shared" si="42"/>
        <v>633.15</v>
      </c>
      <c r="AT432" s="69">
        <v>423.55</v>
      </c>
      <c r="AU432" s="52">
        <v>57.05</v>
      </c>
      <c r="AV432" s="69">
        <v>152.55000000000001</v>
      </c>
      <c r="CD432" s="91">
        <f t="shared" si="43"/>
        <v>633.15000000000009</v>
      </c>
      <c r="CE432" s="69">
        <f t="shared" si="44"/>
        <v>0</v>
      </c>
      <c r="CF432" s="75">
        <f t="shared" si="45"/>
        <v>7637</v>
      </c>
      <c r="CG432" s="69" t="str">
        <f t="shared" si="45"/>
        <v>برنامج دولى</v>
      </c>
    </row>
    <row r="433" spans="3:85" x14ac:dyDescent="0.25">
      <c r="C433" s="75">
        <v>12165</v>
      </c>
      <c r="D433" s="75">
        <v>7638</v>
      </c>
      <c r="E433" s="69" t="s">
        <v>78</v>
      </c>
      <c r="F433" s="69" t="s">
        <v>1929</v>
      </c>
      <c r="H433" s="69">
        <v>738.68</v>
      </c>
      <c r="AS433" s="91">
        <f t="shared" si="42"/>
        <v>738.68</v>
      </c>
      <c r="AT433" s="69">
        <v>494.1</v>
      </c>
      <c r="AU433" s="52">
        <v>66.599999999999994</v>
      </c>
      <c r="AV433" s="69">
        <v>177.98</v>
      </c>
      <c r="CD433" s="91">
        <f t="shared" si="43"/>
        <v>738.68000000000006</v>
      </c>
      <c r="CE433" s="69">
        <f t="shared" si="44"/>
        <v>0</v>
      </c>
      <c r="CF433" s="75">
        <f t="shared" si="45"/>
        <v>7638</v>
      </c>
      <c r="CG433" s="69" t="str">
        <f t="shared" si="45"/>
        <v>برنامج دولى</v>
      </c>
    </row>
    <row r="434" spans="3:85" x14ac:dyDescent="0.25">
      <c r="C434" s="75">
        <v>12166</v>
      </c>
      <c r="D434" s="75">
        <v>7639</v>
      </c>
      <c r="E434" s="69" t="s">
        <v>78</v>
      </c>
      <c r="F434" s="69" t="s">
        <v>1929</v>
      </c>
      <c r="H434" s="69">
        <v>316.56</v>
      </c>
      <c r="AS434" s="91">
        <f t="shared" si="42"/>
        <v>316.56</v>
      </c>
      <c r="AT434" s="69">
        <v>212.84</v>
      </c>
      <c r="AU434" s="52">
        <v>27.4</v>
      </c>
      <c r="AV434" s="69">
        <v>76.319999999999993</v>
      </c>
      <c r="CD434" s="91">
        <f t="shared" si="43"/>
        <v>316.56</v>
      </c>
      <c r="CE434" s="69">
        <f t="shared" si="44"/>
        <v>0</v>
      </c>
      <c r="CF434" s="75">
        <f t="shared" si="45"/>
        <v>7639</v>
      </c>
      <c r="CG434" s="69" t="str">
        <f t="shared" si="45"/>
        <v>برنامج دولى</v>
      </c>
    </row>
    <row r="435" spans="3:85" x14ac:dyDescent="0.25">
      <c r="C435" s="75">
        <v>12169</v>
      </c>
      <c r="D435" s="75">
        <v>7640</v>
      </c>
      <c r="E435" s="69" t="s">
        <v>78</v>
      </c>
      <c r="F435" s="69" t="s">
        <v>1929</v>
      </c>
      <c r="H435" s="69">
        <v>5487.3</v>
      </c>
      <c r="AS435" s="91">
        <f t="shared" si="42"/>
        <v>5487.3</v>
      </c>
      <c r="AT435" s="69">
        <v>3666.7</v>
      </c>
      <c r="AU435" s="52">
        <v>498.5</v>
      </c>
      <c r="AV435" s="69">
        <v>1322.1</v>
      </c>
      <c r="CD435" s="91">
        <f t="shared" si="43"/>
        <v>5487.2999999999993</v>
      </c>
      <c r="CE435" s="69">
        <f t="shared" si="44"/>
        <v>0</v>
      </c>
      <c r="CF435" s="75">
        <f t="shared" si="45"/>
        <v>7640</v>
      </c>
      <c r="CG435" s="69" t="str">
        <f t="shared" si="45"/>
        <v>برنامج دولى</v>
      </c>
    </row>
    <row r="436" spans="3:85" x14ac:dyDescent="0.25">
      <c r="C436" s="75">
        <v>12170</v>
      </c>
      <c r="D436" s="75">
        <v>7641</v>
      </c>
      <c r="E436" s="69" t="s">
        <v>78</v>
      </c>
      <c r="F436" s="69" t="s">
        <v>1929</v>
      </c>
      <c r="H436" s="69">
        <v>2321.56</v>
      </c>
      <c r="AS436" s="91">
        <f t="shared" si="42"/>
        <v>2321.56</v>
      </c>
      <c r="AT436" s="69">
        <v>1552.5</v>
      </c>
      <c r="AU436" s="52">
        <v>209.7</v>
      </c>
      <c r="AV436" s="69">
        <v>559.36</v>
      </c>
      <c r="CD436" s="91">
        <f t="shared" si="43"/>
        <v>2321.56</v>
      </c>
      <c r="CE436" s="69">
        <f t="shared" si="44"/>
        <v>0</v>
      </c>
      <c r="CF436" s="75">
        <f t="shared" si="45"/>
        <v>7641</v>
      </c>
      <c r="CG436" s="69" t="str">
        <f t="shared" si="45"/>
        <v>برنامج دولى</v>
      </c>
    </row>
    <row r="437" spans="3:85" x14ac:dyDescent="0.25">
      <c r="C437" s="75">
        <v>12168</v>
      </c>
      <c r="D437" s="75">
        <v>7642</v>
      </c>
      <c r="E437" s="69" t="s">
        <v>78</v>
      </c>
      <c r="F437" s="69" t="s">
        <v>1929</v>
      </c>
      <c r="H437" s="69">
        <v>2321.56</v>
      </c>
      <c r="AS437" s="91">
        <f t="shared" si="42"/>
        <v>2321.56</v>
      </c>
      <c r="AT437" s="69">
        <v>1553.25</v>
      </c>
      <c r="AU437" s="52">
        <v>208.95</v>
      </c>
      <c r="AV437" s="69">
        <v>559.36</v>
      </c>
      <c r="CD437" s="91">
        <f t="shared" si="43"/>
        <v>2321.56</v>
      </c>
      <c r="CE437" s="69">
        <f t="shared" si="44"/>
        <v>0</v>
      </c>
      <c r="CF437" s="75">
        <f t="shared" si="45"/>
        <v>7642</v>
      </c>
      <c r="CG437" s="69" t="str">
        <f t="shared" si="45"/>
        <v>برنامج دولى</v>
      </c>
    </row>
    <row r="438" spans="3:85" x14ac:dyDescent="0.25">
      <c r="C438" s="75">
        <v>12171</v>
      </c>
      <c r="D438" s="75">
        <v>7643</v>
      </c>
      <c r="E438" s="69" t="s">
        <v>78</v>
      </c>
      <c r="F438" s="69" t="s">
        <v>1929</v>
      </c>
      <c r="H438" s="69">
        <v>16876.8</v>
      </c>
      <c r="AS438" s="91">
        <f t="shared" si="42"/>
        <v>16876.8</v>
      </c>
      <c r="AT438" s="69">
        <v>14302.95</v>
      </c>
      <c r="AU438" s="52">
        <v>1760.25</v>
      </c>
      <c r="AV438" s="69">
        <v>813.6</v>
      </c>
      <c r="CD438" s="91">
        <f t="shared" si="43"/>
        <v>16876.8</v>
      </c>
      <c r="CE438" s="69">
        <f t="shared" si="44"/>
        <v>0</v>
      </c>
      <c r="CF438" s="75">
        <f t="shared" si="45"/>
        <v>7643</v>
      </c>
      <c r="CG438" s="69" t="str">
        <f t="shared" si="45"/>
        <v>برنامج دولى</v>
      </c>
    </row>
    <row r="439" spans="3:85" x14ac:dyDescent="0.25">
      <c r="C439" s="75">
        <v>12173</v>
      </c>
      <c r="D439" s="75">
        <v>7644</v>
      </c>
      <c r="E439" s="69" t="s">
        <v>78</v>
      </c>
      <c r="F439" s="69" t="s">
        <v>1929</v>
      </c>
      <c r="H439" s="69">
        <v>12711.94</v>
      </c>
      <c r="AS439" s="91">
        <f t="shared" si="42"/>
        <v>12711.94</v>
      </c>
      <c r="AT439" s="69">
        <v>10703.4</v>
      </c>
      <c r="AU439" s="52">
        <v>1309.3499999999999</v>
      </c>
      <c r="AV439" s="69">
        <v>699.19</v>
      </c>
      <c r="CD439" s="91">
        <f t="shared" si="43"/>
        <v>12711.94</v>
      </c>
      <c r="CE439" s="69">
        <f t="shared" si="44"/>
        <v>0</v>
      </c>
      <c r="CF439" s="75">
        <f t="shared" si="45"/>
        <v>7644</v>
      </c>
      <c r="CG439" s="69" t="str">
        <f t="shared" si="45"/>
        <v>برنامج دولى</v>
      </c>
    </row>
    <row r="440" spans="3:85" x14ac:dyDescent="0.25">
      <c r="C440" s="75">
        <v>12172</v>
      </c>
      <c r="D440" s="75">
        <v>7645</v>
      </c>
      <c r="E440" s="69" t="s">
        <v>78</v>
      </c>
      <c r="F440" s="69" t="s">
        <v>1929</v>
      </c>
      <c r="H440" s="69">
        <v>17505.919999999998</v>
      </c>
      <c r="AS440" s="91">
        <f t="shared" si="42"/>
        <v>17505.919999999998</v>
      </c>
      <c r="AT440" s="69">
        <v>15087.95</v>
      </c>
      <c r="AU440" s="52">
        <v>1826.9</v>
      </c>
      <c r="AV440" s="69">
        <v>591.07000000000005</v>
      </c>
      <c r="CD440" s="91">
        <f t="shared" si="43"/>
        <v>17505.920000000002</v>
      </c>
      <c r="CE440" s="69">
        <f t="shared" si="44"/>
        <v>0</v>
      </c>
      <c r="CF440" s="75">
        <f t="shared" si="45"/>
        <v>7645</v>
      </c>
      <c r="CG440" s="69" t="str">
        <f t="shared" si="45"/>
        <v>برنامج دولى</v>
      </c>
    </row>
    <row r="441" spans="3:85" x14ac:dyDescent="0.25">
      <c r="C441" s="75">
        <v>12177</v>
      </c>
      <c r="D441" s="75">
        <v>7646</v>
      </c>
      <c r="E441" s="69" t="s">
        <v>78</v>
      </c>
      <c r="F441" s="69" t="s">
        <v>1929</v>
      </c>
      <c r="H441" s="69">
        <v>316.56</v>
      </c>
      <c r="AS441" s="91">
        <f t="shared" si="42"/>
        <v>316.56</v>
      </c>
      <c r="AT441" s="69">
        <v>212.84</v>
      </c>
      <c r="AU441" s="52">
        <v>27.4</v>
      </c>
      <c r="AV441" s="69">
        <v>76.319999999999993</v>
      </c>
      <c r="CD441" s="91">
        <f t="shared" si="43"/>
        <v>316.56</v>
      </c>
      <c r="CE441" s="69">
        <f t="shared" si="44"/>
        <v>0</v>
      </c>
      <c r="CF441" s="75">
        <f t="shared" si="45"/>
        <v>7646</v>
      </c>
      <c r="CG441" s="69" t="str">
        <f t="shared" si="45"/>
        <v>برنامج دولى</v>
      </c>
    </row>
    <row r="442" spans="3:85" x14ac:dyDescent="0.25">
      <c r="C442" s="75">
        <v>12176</v>
      </c>
      <c r="D442" s="75">
        <v>7647</v>
      </c>
      <c r="E442" s="69" t="s">
        <v>78</v>
      </c>
      <c r="F442" s="69" t="s">
        <v>1929</v>
      </c>
      <c r="H442" s="69">
        <v>633.15</v>
      </c>
      <c r="AS442" s="91">
        <f t="shared" ref="AS442:AS473" si="46">SUM(H442:AR442)</f>
        <v>633.15</v>
      </c>
      <c r="AT442" s="69">
        <v>423.55</v>
      </c>
      <c r="AU442" s="52">
        <v>57.05</v>
      </c>
      <c r="AV442" s="69">
        <v>152.55000000000001</v>
      </c>
      <c r="CD442" s="91">
        <f t="shared" si="43"/>
        <v>633.15000000000009</v>
      </c>
      <c r="CE442" s="69">
        <f t="shared" si="44"/>
        <v>0</v>
      </c>
      <c r="CF442" s="75">
        <f t="shared" ref="CF442:CG473" si="47">+D442</f>
        <v>7647</v>
      </c>
      <c r="CG442" s="69" t="str">
        <f t="shared" si="47"/>
        <v>برنامج دولى</v>
      </c>
    </row>
    <row r="443" spans="3:85" x14ac:dyDescent="0.25">
      <c r="C443" s="75">
        <v>12161</v>
      </c>
      <c r="D443" s="75">
        <v>7648</v>
      </c>
      <c r="E443" s="69" t="s">
        <v>78</v>
      </c>
      <c r="F443" s="69" t="s">
        <v>1930</v>
      </c>
      <c r="H443" s="69">
        <v>11201.96</v>
      </c>
      <c r="AS443" s="91">
        <f t="shared" si="46"/>
        <v>11201.96</v>
      </c>
      <c r="AT443" s="69">
        <v>8706.1299999999992</v>
      </c>
      <c r="AU443" s="52">
        <v>1107.6300000000001</v>
      </c>
      <c r="AV443" s="69">
        <v>1388.2</v>
      </c>
      <c r="CD443" s="91">
        <f t="shared" si="43"/>
        <v>11201.96</v>
      </c>
      <c r="CE443" s="69">
        <f t="shared" si="44"/>
        <v>0</v>
      </c>
      <c r="CF443" s="75">
        <f t="shared" si="47"/>
        <v>7648</v>
      </c>
      <c r="CG443" s="69" t="str">
        <f t="shared" si="47"/>
        <v>برنامج دولى</v>
      </c>
    </row>
    <row r="444" spans="3:85" x14ac:dyDescent="0.25">
      <c r="C444" s="75">
        <v>12163</v>
      </c>
      <c r="D444" s="75">
        <v>7649</v>
      </c>
      <c r="E444" s="69" t="s">
        <v>78</v>
      </c>
      <c r="F444" s="69" t="s">
        <v>1930</v>
      </c>
      <c r="H444" s="69">
        <v>38848.29</v>
      </c>
      <c r="AS444" s="91">
        <f t="shared" si="46"/>
        <v>38848.29</v>
      </c>
      <c r="AT444" s="69">
        <v>33361.78</v>
      </c>
      <c r="AU444" s="52">
        <v>4080.9</v>
      </c>
      <c r="AV444" s="69">
        <v>1405.61</v>
      </c>
      <c r="CD444" s="91">
        <f t="shared" si="43"/>
        <v>38848.29</v>
      </c>
      <c r="CE444" s="69">
        <f t="shared" si="44"/>
        <v>0</v>
      </c>
      <c r="CF444" s="75">
        <f t="shared" si="47"/>
        <v>7649</v>
      </c>
      <c r="CG444" s="69" t="str">
        <f t="shared" si="47"/>
        <v>برنامج دولى</v>
      </c>
    </row>
    <row r="445" spans="3:85" x14ac:dyDescent="0.25">
      <c r="C445" s="75">
        <v>11848</v>
      </c>
      <c r="D445" s="75">
        <v>7650</v>
      </c>
      <c r="E445" s="69" t="s">
        <v>78</v>
      </c>
      <c r="F445" s="69" t="s">
        <v>1007</v>
      </c>
      <c r="H445" s="69">
        <v>5276.25</v>
      </c>
      <c r="AS445" s="91">
        <f t="shared" si="46"/>
        <v>5276.25</v>
      </c>
      <c r="AT445" s="69">
        <v>3526.05</v>
      </c>
      <c r="AU445" s="52">
        <v>478.95</v>
      </c>
      <c r="AV445" s="69">
        <v>1271.25</v>
      </c>
      <c r="CD445" s="91">
        <f t="shared" si="43"/>
        <v>5276.25</v>
      </c>
      <c r="CE445" s="69">
        <f t="shared" si="44"/>
        <v>0</v>
      </c>
      <c r="CF445" s="75">
        <f t="shared" si="47"/>
        <v>7650</v>
      </c>
      <c r="CG445" s="69" t="str">
        <f t="shared" si="47"/>
        <v>برنامج دولى</v>
      </c>
    </row>
    <row r="446" spans="3:85" x14ac:dyDescent="0.25">
      <c r="C446" s="75">
        <v>11856</v>
      </c>
      <c r="D446" s="75">
        <v>7651</v>
      </c>
      <c r="E446" s="69" t="s">
        <v>78</v>
      </c>
      <c r="F446" s="69" t="s">
        <v>1931</v>
      </c>
      <c r="H446" s="69">
        <v>35.18</v>
      </c>
      <c r="AS446" s="91">
        <f t="shared" si="46"/>
        <v>35.18</v>
      </c>
      <c r="AT446" s="69">
        <v>23.7</v>
      </c>
      <c r="AU446" s="52">
        <v>3</v>
      </c>
      <c r="AV446" s="69">
        <f>11.48-3</f>
        <v>8.48</v>
      </c>
      <c r="CD446" s="91">
        <f t="shared" si="43"/>
        <v>35.18</v>
      </c>
      <c r="CE446" s="69">
        <f t="shared" si="44"/>
        <v>0</v>
      </c>
      <c r="CF446" s="75">
        <f t="shared" si="47"/>
        <v>7651</v>
      </c>
      <c r="CG446" s="69" t="str">
        <f t="shared" si="47"/>
        <v>برنامج دولى</v>
      </c>
    </row>
    <row r="447" spans="3:85" x14ac:dyDescent="0.25">
      <c r="C447" s="75">
        <v>11849</v>
      </c>
      <c r="D447" s="75">
        <v>7652</v>
      </c>
      <c r="E447" s="69" t="s">
        <v>78</v>
      </c>
      <c r="F447" s="69" t="s">
        <v>1007</v>
      </c>
      <c r="H447" s="69">
        <v>1758.75</v>
      </c>
      <c r="AS447" s="91">
        <f t="shared" si="46"/>
        <v>1758.75</v>
      </c>
      <c r="AT447" s="69">
        <v>1174.0999999999999</v>
      </c>
      <c r="AU447" s="52">
        <f>150+10.9</f>
        <v>160.9</v>
      </c>
      <c r="AV447" s="69">
        <f>584.65-AU447</f>
        <v>423.75</v>
      </c>
      <c r="CD447" s="91">
        <f t="shared" si="43"/>
        <v>1758.75</v>
      </c>
      <c r="CE447" s="69">
        <f t="shared" si="44"/>
        <v>0</v>
      </c>
      <c r="CF447" s="75">
        <f t="shared" si="47"/>
        <v>7652</v>
      </c>
      <c r="CG447" s="69" t="str">
        <f t="shared" si="47"/>
        <v>برنامج دولى</v>
      </c>
    </row>
    <row r="448" spans="3:85" x14ac:dyDescent="0.25">
      <c r="C448" s="75">
        <v>11847</v>
      </c>
      <c r="D448" s="75">
        <v>7653</v>
      </c>
      <c r="E448" s="69" t="s">
        <v>78</v>
      </c>
      <c r="F448" s="69" t="s">
        <v>1007</v>
      </c>
      <c r="H448" s="69">
        <v>20412.54</v>
      </c>
      <c r="AS448" s="91">
        <f t="shared" si="46"/>
        <v>20412.54</v>
      </c>
      <c r="AT448" s="69">
        <v>13552.22</v>
      </c>
      <c r="AU448" s="52">
        <v>1844.85</v>
      </c>
      <c r="AV448" s="69">
        <v>5015.47</v>
      </c>
      <c r="CD448" s="91">
        <f t="shared" si="43"/>
        <v>20412.54</v>
      </c>
      <c r="CE448" s="69">
        <f t="shared" si="44"/>
        <v>0</v>
      </c>
      <c r="CF448" s="75">
        <f t="shared" si="47"/>
        <v>7653</v>
      </c>
      <c r="CG448" s="69" t="str">
        <f t="shared" si="47"/>
        <v>برنامج دولى</v>
      </c>
    </row>
    <row r="449" spans="3:85" x14ac:dyDescent="0.25">
      <c r="C449" s="75">
        <v>11858</v>
      </c>
      <c r="D449" s="75">
        <v>7654</v>
      </c>
      <c r="E449" s="69" t="s">
        <v>78</v>
      </c>
      <c r="F449" s="69" t="str">
        <f>+F446</f>
        <v>عب تدريس فرقه رابعه</v>
      </c>
      <c r="H449" s="69">
        <v>35.18</v>
      </c>
      <c r="AS449" s="91">
        <f t="shared" si="46"/>
        <v>35.18</v>
      </c>
      <c r="AT449" s="69">
        <v>23.7</v>
      </c>
      <c r="AU449" s="52">
        <v>3</v>
      </c>
      <c r="AV449" s="69">
        <v>8.48</v>
      </c>
      <c r="CD449" s="91">
        <f t="shared" si="43"/>
        <v>35.18</v>
      </c>
      <c r="CE449" s="69">
        <f t="shared" si="44"/>
        <v>0</v>
      </c>
      <c r="CF449" s="75">
        <f t="shared" si="47"/>
        <v>7654</v>
      </c>
      <c r="CG449" s="69" t="str">
        <f t="shared" si="47"/>
        <v>برنامج دولى</v>
      </c>
    </row>
    <row r="450" spans="3:85" x14ac:dyDescent="0.25">
      <c r="C450" s="75">
        <v>11857</v>
      </c>
      <c r="D450" s="75">
        <v>7655</v>
      </c>
      <c r="E450" s="69" t="s">
        <v>78</v>
      </c>
      <c r="F450" s="69" t="str">
        <f>+F447</f>
        <v>مكافاه كنترول مصرى</v>
      </c>
      <c r="H450" s="69">
        <v>726.22</v>
      </c>
      <c r="AS450" s="91">
        <f t="shared" si="46"/>
        <v>726.22</v>
      </c>
      <c r="AT450" s="69">
        <v>594.75</v>
      </c>
      <c r="AU450" s="52">
        <v>72.150000000000006</v>
      </c>
      <c r="AV450" s="69">
        <v>59.32</v>
      </c>
      <c r="CD450" s="91">
        <f t="shared" si="43"/>
        <v>726.22</v>
      </c>
      <c r="CE450" s="69">
        <f t="shared" si="44"/>
        <v>0</v>
      </c>
      <c r="CF450" s="75">
        <f t="shared" si="47"/>
        <v>7655</v>
      </c>
      <c r="CG450" s="69" t="str">
        <f t="shared" si="47"/>
        <v>برنامج دولى</v>
      </c>
    </row>
    <row r="451" spans="3:85" x14ac:dyDescent="0.25">
      <c r="C451" s="75">
        <v>11859</v>
      </c>
      <c r="D451" s="75">
        <v>7656</v>
      </c>
      <c r="E451" s="69" t="s">
        <v>78</v>
      </c>
      <c r="F451" s="69" t="s">
        <v>1932</v>
      </c>
      <c r="H451" s="69">
        <v>4045.13</v>
      </c>
      <c r="AS451" s="91">
        <f t="shared" si="46"/>
        <v>4045.13</v>
      </c>
      <c r="AT451" s="69">
        <v>2703.2</v>
      </c>
      <c r="AU451" s="52">
        <f>22.3+345</f>
        <v>367.3</v>
      </c>
      <c r="AV451" s="69">
        <f>1341.93-22.3-345</f>
        <v>974.63000000000011</v>
      </c>
      <c r="CD451" s="91">
        <f t="shared" si="43"/>
        <v>4045.13</v>
      </c>
      <c r="CE451" s="69">
        <f t="shared" si="44"/>
        <v>0</v>
      </c>
      <c r="CF451" s="75">
        <f t="shared" si="47"/>
        <v>7656</v>
      </c>
      <c r="CG451" s="69" t="str">
        <f t="shared" si="47"/>
        <v>برنامج دولى</v>
      </c>
    </row>
    <row r="452" spans="3:85" x14ac:dyDescent="0.25">
      <c r="C452" s="75">
        <v>11852</v>
      </c>
      <c r="D452" s="75">
        <v>7657</v>
      </c>
      <c r="E452" s="69" t="s">
        <v>78</v>
      </c>
      <c r="F452" s="69" t="str">
        <f>+F439</f>
        <v>عب تدريس جراحه</v>
      </c>
      <c r="H452" s="69">
        <v>633.15</v>
      </c>
      <c r="AS452" s="91">
        <f t="shared" si="46"/>
        <v>633.15</v>
      </c>
      <c r="AT452" s="69">
        <v>423.55</v>
      </c>
      <c r="AU452" s="52">
        <v>57.05</v>
      </c>
      <c r="AV452" s="69">
        <v>152.55000000000001</v>
      </c>
      <c r="CD452" s="91">
        <f t="shared" si="43"/>
        <v>633.15000000000009</v>
      </c>
      <c r="CE452" s="69">
        <f t="shared" si="44"/>
        <v>0</v>
      </c>
      <c r="CF452" s="75">
        <f t="shared" si="47"/>
        <v>7657</v>
      </c>
      <c r="CG452" s="69" t="str">
        <f t="shared" si="47"/>
        <v>برنامج دولى</v>
      </c>
    </row>
    <row r="453" spans="3:85" x14ac:dyDescent="0.25">
      <c r="C453" s="75">
        <v>11855</v>
      </c>
      <c r="D453" s="75">
        <v>7658</v>
      </c>
      <c r="E453" s="69" t="s">
        <v>78</v>
      </c>
      <c r="F453" s="69" t="str">
        <f>+F440</f>
        <v>عب تدريس جراحه</v>
      </c>
      <c r="H453" s="69">
        <v>1260</v>
      </c>
      <c r="AS453" s="91">
        <f t="shared" si="46"/>
        <v>1260</v>
      </c>
      <c r="AT453" s="69">
        <v>1125.8</v>
      </c>
      <c r="AU453" s="52">
        <v>134.19999999999999</v>
      </c>
      <c r="CD453" s="91">
        <f t="shared" si="43"/>
        <v>1260</v>
      </c>
      <c r="CE453" s="69">
        <f t="shared" si="44"/>
        <v>0</v>
      </c>
      <c r="CF453" s="75">
        <f t="shared" si="47"/>
        <v>7658</v>
      </c>
      <c r="CG453" s="69" t="str">
        <f t="shared" si="47"/>
        <v>برنامج دولى</v>
      </c>
    </row>
    <row r="454" spans="3:85" x14ac:dyDescent="0.25">
      <c r="C454" s="75">
        <v>11861</v>
      </c>
      <c r="D454" s="75">
        <v>7659</v>
      </c>
      <c r="E454" s="69" t="s">
        <v>78</v>
      </c>
      <c r="F454" s="69" t="str">
        <f>+F441</f>
        <v>عب تدريس جراحه</v>
      </c>
      <c r="H454" s="69">
        <v>7281.24</v>
      </c>
      <c r="AS454" s="91">
        <f t="shared" si="46"/>
        <v>7281.24</v>
      </c>
      <c r="AT454" s="69">
        <v>4865.8999999999996</v>
      </c>
      <c r="AU454" s="52">
        <v>661</v>
      </c>
      <c r="AV454" s="69">
        <v>1754.34</v>
      </c>
      <c r="CD454" s="91">
        <f t="shared" si="43"/>
        <v>7281.24</v>
      </c>
      <c r="CE454" s="69">
        <f t="shared" si="44"/>
        <v>0</v>
      </c>
      <c r="CF454" s="75">
        <f t="shared" si="47"/>
        <v>7659</v>
      </c>
      <c r="CG454" s="69" t="str">
        <f t="shared" si="47"/>
        <v>برنامج دولى</v>
      </c>
    </row>
    <row r="455" spans="3:85" x14ac:dyDescent="0.25">
      <c r="C455" s="75">
        <v>11862</v>
      </c>
      <c r="D455" s="75">
        <v>7660</v>
      </c>
      <c r="E455" s="69" t="s">
        <v>78</v>
      </c>
      <c r="F455" s="69" t="str">
        <f>+F442</f>
        <v>عب تدريس جراحه</v>
      </c>
      <c r="H455" s="69">
        <v>10680.79</v>
      </c>
      <c r="AS455" s="91">
        <f t="shared" si="46"/>
        <v>10680.79</v>
      </c>
      <c r="AT455" s="69">
        <v>7883.01</v>
      </c>
      <c r="AU455" s="52">
        <v>1027.8</v>
      </c>
      <c r="AV455" s="69">
        <v>1769.98</v>
      </c>
      <c r="CD455" s="91">
        <f t="shared" si="43"/>
        <v>10680.789999999999</v>
      </c>
      <c r="CE455" s="69">
        <f t="shared" si="44"/>
        <v>0</v>
      </c>
      <c r="CF455" s="75">
        <f t="shared" si="47"/>
        <v>7660</v>
      </c>
      <c r="CG455" s="69" t="str">
        <f t="shared" si="47"/>
        <v>برنامج دولى</v>
      </c>
    </row>
    <row r="456" spans="3:85" x14ac:dyDescent="0.25">
      <c r="C456" s="75">
        <v>11860</v>
      </c>
      <c r="D456" s="75">
        <v>7661</v>
      </c>
      <c r="E456" s="69" t="s">
        <v>78</v>
      </c>
      <c r="F456" s="69" t="str">
        <f>+F455</f>
        <v>عب تدريس جراحه</v>
      </c>
      <c r="H456" s="69">
        <v>2427.08</v>
      </c>
      <c r="AS456" s="91">
        <f t="shared" si="46"/>
        <v>2427.08</v>
      </c>
      <c r="AT456" s="69">
        <v>1621.85</v>
      </c>
      <c r="AU456" s="52">
        <v>220.45</v>
      </c>
      <c r="AV456" s="69">
        <v>584.78</v>
      </c>
      <c r="CD456" s="91">
        <f t="shared" si="43"/>
        <v>2427.08</v>
      </c>
      <c r="CE456" s="69">
        <f t="shared" si="44"/>
        <v>0</v>
      </c>
      <c r="CF456" s="75">
        <f t="shared" si="47"/>
        <v>7661</v>
      </c>
      <c r="CG456" s="69" t="str">
        <f t="shared" si="47"/>
        <v>برنامج دولى</v>
      </c>
    </row>
    <row r="457" spans="3:85" x14ac:dyDescent="0.25">
      <c r="C457" s="75">
        <v>11840</v>
      </c>
      <c r="D457" s="75">
        <v>7662</v>
      </c>
      <c r="E457" s="69" t="s">
        <v>78</v>
      </c>
      <c r="F457" s="69" t="s">
        <v>582</v>
      </c>
      <c r="H457" s="69">
        <v>11994</v>
      </c>
      <c r="AS457" s="91">
        <f t="shared" si="46"/>
        <v>11994</v>
      </c>
      <c r="AT457" s="69">
        <v>10069.85</v>
      </c>
      <c r="AU457" s="52">
        <v>1246.1500000000001</v>
      </c>
      <c r="AV457" s="69">
        <v>678</v>
      </c>
      <c r="CD457" s="91">
        <f t="shared" si="43"/>
        <v>11994</v>
      </c>
      <c r="CE457" s="69">
        <f t="shared" si="44"/>
        <v>0</v>
      </c>
      <c r="CF457" s="75">
        <f t="shared" si="47"/>
        <v>7662</v>
      </c>
      <c r="CG457" s="69" t="str">
        <f t="shared" si="47"/>
        <v>برنامج دولى</v>
      </c>
    </row>
    <row r="458" spans="3:85" x14ac:dyDescent="0.25">
      <c r="C458" s="75">
        <v>11839</v>
      </c>
      <c r="D458" s="75">
        <v>7663</v>
      </c>
      <c r="E458" s="69" t="s">
        <v>78</v>
      </c>
      <c r="F458" s="69" t="s">
        <v>582</v>
      </c>
      <c r="H458" s="69">
        <v>175.88</v>
      </c>
      <c r="AS458" s="91">
        <f t="shared" si="46"/>
        <v>175.88</v>
      </c>
      <c r="AT458" s="69">
        <v>117.9</v>
      </c>
      <c r="AU458" s="52">
        <f>15+0.6</f>
        <v>15.6</v>
      </c>
      <c r="AV458" s="69">
        <v>42.38</v>
      </c>
      <c r="CD458" s="91">
        <f t="shared" si="43"/>
        <v>175.88</v>
      </c>
      <c r="CE458" s="69">
        <f t="shared" si="44"/>
        <v>0</v>
      </c>
      <c r="CF458" s="75">
        <f t="shared" si="47"/>
        <v>7663</v>
      </c>
      <c r="CG458" s="69" t="str">
        <f t="shared" si="47"/>
        <v>برنامج دولى</v>
      </c>
    </row>
    <row r="459" spans="3:85" x14ac:dyDescent="0.25">
      <c r="C459" s="75">
        <v>11842</v>
      </c>
      <c r="D459" s="75">
        <v>7664</v>
      </c>
      <c r="E459" s="69" t="s">
        <v>78</v>
      </c>
      <c r="F459" s="69" t="str">
        <f>+F454</f>
        <v>عب تدريس جراحه</v>
      </c>
      <c r="H459" s="69">
        <v>1890</v>
      </c>
      <c r="AS459" s="91">
        <f t="shared" si="46"/>
        <v>1890</v>
      </c>
      <c r="AT459" s="69">
        <v>1687.8</v>
      </c>
      <c r="AU459" s="52">
        <v>202.2</v>
      </c>
      <c r="CD459" s="91">
        <f t="shared" si="43"/>
        <v>1890</v>
      </c>
      <c r="CE459" s="69">
        <f t="shared" si="44"/>
        <v>0</v>
      </c>
      <c r="CF459" s="75">
        <f t="shared" si="47"/>
        <v>7664</v>
      </c>
      <c r="CG459" s="69" t="str">
        <f t="shared" si="47"/>
        <v>برنامج دولى</v>
      </c>
    </row>
    <row r="460" spans="3:85" x14ac:dyDescent="0.25">
      <c r="C460" s="75">
        <v>11846</v>
      </c>
      <c r="D460" s="75">
        <v>7665</v>
      </c>
      <c r="E460" s="69" t="s">
        <v>78</v>
      </c>
      <c r="F460" s="69" t="str">
        <f>+F455</f>
        <v>عب تدريس جراحه</v>
      </c>
      <c r="H460" s="69">
        <v>1260</v>
      </c>
      <c r="AS460" s="91">
        <f t="shared" si="46"/>
        <v>1260</v>
      </c>
      <c r="AT460" s="69">
        <v>1124.9000000000001</v>
      </c>
      <c r="AU460" s="52">
        <v>135.1</v>
      </c>
      <c r="CD460" s="91">
        <f t="shared" si="43"/>
        <v>1260</v>
      </c>
      <c r="CE460" s="69">
        <f t="shared" si="44"/>
        <v>0</v>
      </c>
      <c r="CF460" s="75">
        <f t="shared" si="47"/>
        <v>7665</v>
      </c>
      <c r="CG460" s="69" t="str">
        <f t="shared" si="47"/>
        <v>برنامج دولى</v>
      </c>
    </row>
    <row r="461" spans="3:85" x14ac:dyDescent="0.25">
      <c r="C461" s="75">
        <v>11843</v>
      </c>
      <c r="D461" s="75">
        <v>7666</v>
      </c>
      <c r="E461" s="69" t="s">
        <v>78</v>
      </c>
      <c r="F461" s="69" t="str">
        <f>+F456</f>
        <v>عب تدريس جراحه</v>
      </c>
      <c r="H461" s="69">
        <v>175.88</v>
      </c>
      <c r="AS461" s="91">
        <f t="shared" si="46"/>
        <v>175.88</v>
      </c>
      <c r="AT461" s="69">
        <v>117.9</v>
      </c>
      <c r="AU461" s="52">
        <f>15+0.6</f>
        <v>15.6</v>
      </c>
      <c r="AV461" s="69">
        <f>57.98-15.6</f>
        <v>42.379999999999995</v>
      </c>
      <c r="CD461" s="91">
        <f t="shared" si="43"/>
        <v>175.88</v>
      </c>
      <c r="CE461" s="69">
        <f t="shared" si="44"/>
        <v>0</v>
      </c>
      <c r="CF461" s="75">
        <f t="shared" si="47"/>
        <v>7666</v>
      </c>
      <c r="CG461" s="69" t="str">
        <f t="shared" si="47"/>
        <v>برنامج دولى</v>
      </c>
    </row>
    <row r="462" spans="3:85" x14ac:dyDescent="0.25">
      <c r="C462" s="75">
        <v>11844</v>
      </c>
      <c r="D462" s="75">
        <v>7667</v>
      </c>
      <c r="E462" s="69" t="s">
        <v>78</v>
      </c>
      <c r="F462" s="69" t="str">
        <f t="shared" ref="F462:F468" si="48">+F461</f>
        <v>عب تدريس جراحه</v>
      </c>
      <c r="H462" s="69">
        <v>633.15</v>
      </c>
      <c r="AS462" s="91">
        <f t="shared" si="46"/>
        <v>633.15</v>
      </c>
      <c r="AT462" s="69">
        <v>423.55</v>
      </c>
      <c r="AU462" s="52">
        <v>57.05</v>
      </c>
      <c r="AV462" s="69">
        <v>152.55000000000001</v>
      </c>
      <c r="CD462" s="91">
        <f t="shared" si="43"/>
        <v>633.15000000000009</v>
      </c>
      <c r="CE462" s="69">
        <f t="shared" si="44"/>
        <v>0</v>
      </c>
      <c r="CF462" s="75">
        <f t="shared" si="47"/>
        <v>7667</v>
      </c>
      <c r="CG462" s="69" t="str">
        <f t="shared" si="47"/>
        <v>برنامج دولى</v>
      </c>
    </row>
    <row r="463" spans="3:85" x14ac:dyDescent="0.25">
      <c r="C463" s="75">
        <v>11841</v>
      </c>
      <c r="D463" s="75">
        <v>7668</v>
      </c>
      <c r="E463" s="69" t="s">
        <v>78</v>
      </c>
      <c r="F463" s="69" t="str">
        <f t="shared" si="48"/>
        <v>عب تدريس جراحه</v>
      </c>
      <c r="H463" s="69">
        <v>316.56</v>
      </c>
      <c r="AS463" s="91">
        <f t="shared" si="46"/>
        <v>316.56</v>
      </c>
      <c r="AT463" s="69">
        <v>212.84</v>
      </c>
      <c r="AU463" s="52">
        <v>27.4</v>
      </c>
      <c r="AV463" s="69">
        <v>76.319999999999993</v>
      </c>
      <c r="CD463" s="91">
        <f t="shared" si="43"/>
        <v>316.56</v>
      </c>
      <c r="CE463" s="69">
        <f t="shared" si="44"/>
        <v>0</v>
      </c>
      <c r="CF463" s="75">
        <f t="shared" si="47"/>
        <v>7668</v>
      </c>
      <c r="CG463" s="69" t="str">
        <f t="shared" si="47"/>
        <v>برنامج دولى</v>
      </c>
    </row>
    <row r="464" spans="3:85" x14ac:dyDescent="0.25">
      <c r="C464" s="75">
        <v>11845</v>
      </c>
      <c r="D464" s="75">
        <v>7669</v>
      </c>
      <c r="E464" s="69" t="s">
        <v>78</v>
      </c>
      <c r="F464" s="69" t="str">
        <f t="shared" si="48"/>
        <v>عب تدريس جراحه</v>
      </c>
      <c r="H464" s="69">
        <v>633.15</v>
      </c>
      <c r="AS464" s="91">
        <f t="shared" si="46"/>
        <v>633.15</v>
      </c>
      <c r="AT464" s="69">
        <v>423.55</v>
      </c>
      <c r="AU464" s="52">
        <v>57.05</v>
      </c>
      <c r="AV464" s="69">
        <v>152.55000000000001</v>
      </c>
      <c r="CD464" s="91">
        <f t="shared" si="43"/>
        <v>633.15000000000009</v>
      </c>
      <c r="CE464" s="69">
        <f t="shared" si="44"/>
        <v>0</v>
      </c>
      <c r="CF464" s="75">
        <f t="shared" si="47"/>
        <v>7669</v>
      </c>
      <c r="CG464" s="69" t="str">
        <f t="shared" si="47"/>
        <v>برنامج دولى</v>
      </c>
    </row>
    <row r="465" spans="3:85" x14ac:dyDescent="0.25">
      <c r="C465" s="75">
        <v>11851</v>
      </c>
      <c r="D465" s="75">
        <v>7670</v>
      </c>
      <c r="E465" s="69" t="s">
        <v>78</v>
      </c>
      <c r="F465" s="69" t="str">
        <f t="shared" si="48"/>
        <v>عب تدريس جراحه</v>
      </c>
      <c r="H465" s="69">
        <v>606.78</v>
      </c>
      <c r="AS465" s="91">
        <f t="shared" si="46"/>
        <v>606.78</v>
      </c>
      <c r="AT465" s="69">
        <v>406.41</v>
      </c>
      <c r="AU465" s="52">
        <f>51.75+2.4</f>
        <v>54.15</v>
      </c>
      <c r="AV465" s="69">
        <f>200.37-54.15</f>
        <v>146.22</v>
      </c>
      <c r="CD465" s="91">
        <f t="shared" si="43"/>
        <v>606.78</v>
      </c>
      <c r="CE465" s="69">
        <f t="shared" si="44"/>
        <v>0</v>
      </c>
      <c r="CF465" s="75">
        <f t="shared" si="47"/>
        <v>7670</v>
      </c>
      <c r="CG465" s="69" t="str">
        <f t="shared" si="47"/>
        <v>برنامج دولى</v>
      </c>
    </row>
    <row r="466" spans="3:85" x14ac:dyDescent="0.25">
      <c r="C466" s="75">
        <v>11850</v>
      </c>
      <c r="D466" s="75">
        <v>7671</v>
      </c>
      <c r="E466" s="69" t="s">
        <v>78</v>
      </c>
      <c r="F466" s="69" t="str">
        <f t="shared" si="48"/>
        <v>عب تدريس جراحه</v>
      </c>
      <c r="H466" s="69">
        <v>633.15</v>
      </c>
      <c r="AS466" s="91">
        <f t="shared" si="46"/>
        <v>633.15</v>
      </c>
      <c r="AT466" s="69">
        <v>423.55</v>
      </c>
      <c r="AU466" s="52">
        <v>57.05</v>
      </c>
      <c r="AV466" s="69">
        <v>152.55000000000001</v>
      </c>
      <c r="CD466" s="91">
        <f t="shared" si="43"/>
        <v>633.15000000000009</v>
      </c>
      <c r="CE466" s="69">
        <f t="shared" si="44"/>
        <v>0</v>
      </c>
      <c r="CF466" s="75">
        <f t="shared" si="47"/>
        <v>7671</v>
      </c>
      <c r="CG466" s="69" t="str">
        <f t="shared" si="47"/>
        <v>برنامج دولى</v>
      </c>
    </row>
    <row r="467" spans="3:85" x14ac:dyDescent="0.25">
      <c r="C467" s="75">
        <v>11854</v>
      </c>
      <c r="D467" s="75">
        <v>7672</v>
      </c>
      <c r="E467" s="69" t="s">
        <v>78</v>
      </c>
      <c r="F467" s="69" t="str">
        <f t="shared" si="48"/>
        <v>عب تدريس جراحه</v>
      </c>
      <c r="H467" s="69">
        <v>720</v>
      </c>
      <c r="AS467" s="91">
        <f t="shared" si="46"/>
        <v>720</v>
      </c>
      <c r="AT467" s="69">
        <v>643.29999999999995</v>
      </c>
      <c r="AU467" s="52">
        <v>76.7</v>
      </c>
      <c r="CD467" s="91">
        <f t="shared" si="43"/>
        <v>720</v>
      </c>
      <c r="CE467" s="69">
        <f t="shared" si="44"/>
        <v>0</v>
      </c>
      <c r="CF467" s="75">
        <f t="shared" si="47"/>
        <v>7672</v>
      </c>
      <c r="CG467" s="69" t="str">
        <f t="shared" si="47"/>
        <v>برنامج دولى</v>
      </c>
    </row>
    <row r="468" spans="3:85" x14ac:dyDescent="0.25">
      <c r="C468" s="75">
        <v>11853</v>
      </c>
      <c r="D468" s="75">
        <v>7673</v>
      </c>
      <c r="E468" s="69" t="s">
        <v>78</v>
      </c>
      <c r="F468" s="69" t="str">
        <f t="shared" si="48"/>
        <v>عب تدريس جراحه</v>
      </c>
      <c r="H468" s="69">
        <v>237.42</v>
      </c>
      <c r="AS468" s="91">
        <f t="shared" si="46"/>
        <v>237.42</v>
      </c>
      <c r="AT468" s="69">
        <v>159.63</v>
      </c>
      <c r="AU468" s="52">
        <v>20.55</v>
      </c>
      <c r="AV468" s="69">
        <v>57.24</v>
      </c>
      <c r="CD468" s="91">
        <f t="shared" si="43"/>
        <v>237.42000000000002</v>
      </c>
      <c r="CE468" s="69">
        <f t="shared" si="44"/>
        <v>0</v>
      </c>
      <c r="CF468" s="75">
        <f t="shared" si="47"/>
        <v>7673</v>
      </c>
      <c r="CG468" s="69" t="str">
        <f t="shared" si="47"/>
        <v>برنامج دولى</v>
      </c>
    </row>
    <row r="469" spans="3:85" x14ac:dyDescent="0.25">
      <c r="C469" s="75">
        <v>11954</v>
      </c>
      <c r="D469" s="75">
        <v>7674</v>
      </c>
      <c r="E469" s="69" t="s">
        <v>78</v>
      </c>
      <c r="F469" s="69" t="s">
        <v>1933</v>
      </c>
      <c r="H469" s="69">
        <v>14754.49</v>
      </c>
      <c r="AS469" s="91">
        <f t="shared" si="46"/>
        <v>14754.49</v>
      </c>
      <c r="AT469" s="69">
        <v>11068.65</v>
      </c>
      <c r="AU469" s="52">
        <v>1410.3</v>
      </c>
      <c r="AV469" s="69">
        <v>2275.54</v>
      </c>
      <c r="CD469" s="91">
        <f t="shared" si="43"/>
        <v>14754.489999999998</v>
      </c>
      <c r="CE469" s="69">
        <f t="shared" si="44"/>
        <v>0</v>
      </c>
      <c r="CF469" s="75">
        <f t="shared" si="47"/>
        <v>7674</v>
      </c>
      <c r="CG469" s="69" t="str">
        <f t="shared" si="47"/>
        <v>برنامج دولى</v>
      </c>
    </row>
    <row r="470" spans="3:85" x14ac:dyDescent="0.25">
      <c r="C470" s="75">
        <v>11952</v>
      </c>
      <c r="D470" s="75">
        <v>7675</v>
      </c>
      <c r="E470" s="69" t="s">
        <v>78</v>
      </c>
      <c r="F470" s="69" t="s">
        <v>1933</v>
      </c>
      <c r="H470" s="69">
        <v>633.16</v>
      </c>
      <c r="AS470" s="91">
        <f t="shared" si="46"/>
        <v>633.16</v>
      </c>
      <c r="AT470" s="69">
        <v>424.1</v>
      </c>
      <c r="AU470" s="52">
        <v>56.5</v>
      </c>
      <c r="AV470" s="69">
        <v>152.56</v>
      </c>
      <c r="CD470" s="91">
        <f t="shared" si="43"/>
        <v>633.16000000000008</v>
      </c>
      <c r="CE470" s="69">
        <f t="shared" si="44"/>
        <v>0</v>
      </c>
      <c r="CF470" s="75">
        <f t="shared" si="47"/>
        <v>7675</v>
      </c>
      <c r="CG470" s="69" t="str">
        <f t="shared" si="47"/>
        <v>برنامج دولى</v>
      </c>
    </row>
    <row r="471" spans="3:85" x14ac:dyDescent="0.25">
      <c r="C471" s="75">
        <v>11953</v>
      </c>
      <c r="D471" s="75">
        <v>7676</v>
      </c>
      <c r="E471" s="69" t="s">
        <v>78</v>
      </c>
      <c r="F471" s="69" t="s">
        <v>1933</v>
      </c>
      <c r="H471" s="69">
        <v>4221</v>
      </c>
      <c r="AS471" s="91">
        <f t="shared" si="46"/>
        <v>4221</v>
      </c>
      <c r="AT471" s="69">
        <v>2824.2</v>
      </c>
      <c r="AU471" s="52">
        <v>379.8</v>
      </c>
      <c r="AV471" s="69">
        <v>1017</v>
      </c>
      <c r="CD471" s="91">
        <f t="shared" si="43"/>
        <v>4221</v>
      </c>
      <c r="CE471" s="69">
        <f t="shared" si="44"/>
        <v>0</v>
      </c>
      <c r="CF471" s="75">
        <f t="shared" si="47"/>
        <v>7676</v>
      </c>
      <c r="CG471" s="69" t="str">
        <f t="shared" si="47"/>
        <v>برنامج دولى</v>
      </c>
    </row>
    <row r="472" spans="3:85" x14ac:dyDescent="0.25">
      <c r="C472" s="75">
        <v>11951</v>
      </c>
      <c r="D472" s="75">
        <v>7677</v>
      </c>
      <c r="E472" s="69" t="s">
        <v>78</v>
      </c>
      <c r="F472" s="69" t="s">
        <v>1933</v>
      </c>
      <c r="H472" s="69">
        <v>527.63</v>
      </c>
      <c r="AS472" s="91">
        <f t="shared" si="46"/>
        <v>527.63</v>
      </c>
      <c r="AT472" s="69">
        <v>353.2</v>
      </c>
      <c r="AU472" s="52">
        <f>2.3+45</f>
        <v>47.3</v>
      </c>
      <c r="AV472" s="69">
        <f>174.43-47.3</f>
        <v>127.13000000000001</v>
      </c>
      <c r="CD472" s="91">
        <f t="shared" si="43"/>
        <v>527.63</v>
      </c>
      <c r="CE472" s="69">
        <f t="shared" si="44"/>
        <v>0</v>
      </c>
      <c r="CF472" s="75">
        <f t="shared" si="47"/>
        <v>7677</v>
      </c>
      <c r="CG472" s="69" t="str">
        <f t="shared" si="47"/>
        <v>برنامج دولى</v>
      </c>
    </row>
    <row r="473" spans="3:85" x14ac:dyDescent="0.25">
      <c r="C473" s="75">
        <v>11864</v>
      </c>
      <c r="D473" s="75">
        <v>7678</v>
      </c>
      <c r="E473" s="69" t="s">
        <v>78</v>
      </c>
      <c r="F473" s="69" t="str">
        <f>+F468</f>
        <v>عب تدريس جراحه</v>
      </c>
      <c r="H473" s="69">
        <v>17948.14</v>
      </c>
      <c r="AS473" s="91">
        <f t="shared" si="46"/>
        <v>17948.14</v>
      </c>
      <c r="AT473" s="69">
        <v>15083.96</v>
      </c>
      <c r="AU473" s="52">
        <v>1843.65</v>
      </c>
      <c r="AV473" s="69">
        <v>1020.53</v>
      </c>
      <c r="CD473" s="91">
        <f t="shared" si="43"/>
        <v>17948.14</v>
      </c>
      <c r="CE473" s="69">
        <f t="shared" si="44"/>
        <v>0</v>
      </c>
      <c r="CF473" s="75">
        <f t="shared" si="47"/>
        <v>7678</v>
      </c>
      <c r="CG473" s="69" t="str">
        <f t="shared" si="47"/>
        <v>برنامج دولى</v>
      </c>
    </row>
    <row r="474" spans="3:85" x14ac:dyDescent="0.25">
      <c r="C474" s="75">
        <v>11863</v>
      </c>
      <c r="D474" s="75">
        <v>7679</v>
      </c>
      <c r="E474" s="69" t="s">
        <v>78</v>
      </c>
      <c r="F474" s="69" t="str">
        <f>+F473</f>
        <v>عب تدريس جراحه</v>
      </c>
      <c r="H474" s="69">
        <v>17532.88</v>
      </c>
      <c r="AS474" s="91">
        <f t="shared" ref="AS474:AS505" si="49">SUM(H474:AR474)</f>
        <v>17532.88</v>
      </c>
      <c r="AT474" s="69">
        <v>13973.01</v>
      </c>
      <c r="AU474" s="52">
        <v>1745.5</v>
      </c>
      <c r="AV474" s="69">
        <v>1814.37</v>
      </c>
      <c r="CD474" s="91">
        <f t="shared" ref="CD474:CD537" si="50">SUM(AT474:CC474)</f>
        <v>17532.88</v>
      </c>
      <c r="CE474" s="69">
        <f t="shared" ref="CE474:CE537" si="51">+CD474-AS474</f>
        <v>0</v>
      </c>
      <c r="CF474" s="75">
        <f t="shared" ref="CF474:CG505" si="52">+D474</f>
        <v>7679</v>
      </c>
      <c r="CG474" s="69" t="str">
        <f t="shared" si="52"/>
        <v>برنامج دولى</v>
      </c>
    </row>
    <row r="475" spans="3:85" x14ac:dyDescent="0.25">
      <c r="C475" s="75">
        <v>11956</v>
      </c>
      <c r="D475" s="75">
        <v>7680</v>
      </c>
      <c r="E475" s="69" t="s">
        <v>78</v>
      </c>
      <c r="F475" s="69" t="s">
        <v>1934</v>
      </c>
      <c r="H475" s="69">
        <v>527.62</v>
      </c>
      <c r="AS475" s="91">
        <f t="shared" si="49"/>
        <v>527.62</v>
      </c>
      <c r="AT475" s="69">
        <v>353.9</v>
      </c>
      <c r="AU475" s="52">
        <v>46.6</v>
      </c>
      <c r="AV475" s="69">
        <v>127.12</v>
      </c>
      <c r="CD475" s="91">
        <f t="shared" si="50"/>
        <v>527.62</v>
      </c>
      <c r="CE475" s="69">
        <f t="shared" si="51"/>
        <v>0</v>
      </c>
      <c r="CF475" s="75">
        <f t="shared" si="52"/>
        <v>7680</v>
      </c>
      <c r="CG475" s="69" t="str">
        <f t="shared" si="52"/>
        <v>برنامج دولى</v>
      </c>
    </row>
    <row r="476" spans="3:85" x14ac:dyDescent="0.25">
      <c r="C476" s="75">
        <v>11955</v>
      </c>
      <c r="D476" s="75">
        <v>7681</v>
      </c>
      <c r="E476" s="69" t="s">
        <v>78</v>
      </c>
      <c r="F476" s="69" t="s">
        <v>1934</v>
      </c>
      <c r="H476" s="69">
        <v>211.05</v>
      </c>
      <c r="AS476" s="91">
        <f t="shared" si="49"/>
        <v>211.05</v>
      </c>
      <c r="AT476" s="69">
        <v>141.5</v>
      </c>
      <c r="AU476" s="52">
        <v>18.7</v>
      </c>
      <c r="AV476" s="69">
        <v>50.85</v>
      </c>
      <c r="CD476" s="91">
        <f t="shared" si="50"/>
        <v>211.04999999999998</v>
      </c>
      <c r="CE476" s="69">
        <f t="shared" si="51"/>
        <v>0</v>
      </c>
      <c r="CF476" s="75">
        <f t="shared" si="52"/>
        <v>7681</v>
      </c>
      <c r="CG476" s="69" t="str">
        <f t="shared" si="52"/>
        <v>برنامج دولى</v>
      </c>
    </row>
    <row r="477" spans="3:85" x14ac:dyDescent="0.25">
      <c r="C477" s="75">
        <v>12162</v>
      </c>
      <c r="D477" s="75">
        <v>7682</v>
      </c>
      <c r="E477" s="69" t="s">
        <v>78</v>
      </c>
      <c r="F477" s="69" t="str">
        <f>+F444</f>
        <v>مراجعه عمليه ونظريه</v>
      </c>
      <c r="H477" s="69">
        <v>6588.63</v>
      </c>
      <c r="AS477" s="91">
        <f t="shared" si="49"/>
        <v>6588.63</v>
      </c>
      <c r="AT477" s="69">
        <v>4402.45</v>
      </c>
      <c r="AU477" s="52">
        <v>598.73</v>
      </c>
      <c r="AV477" s="69">
        <v>1587.45</v>
      </c>
      <c r="CD477" s="91">
        <f t="shared" si="50"/>
        <v>6588.63</v>
      </c>
      <c r="CE477" s="69">
        <f t="shared" si="51"/>
        <v>0</v>
      </c>
      <c r="CF477" s="75">
        <f t="shared" si="52"/>
        <v>7682</v>
      </c>
      <c r="CG477" s="69" t="str">
        <f t="shared" si="52"/>
        <v>برنامج دولى</v>
      </c>
    </row>
    <row r="478" spans="3:85" x14ac:dyDescent="0.25">
      <c r="C478" s="75">
        <v>12164</v>
      </c>
      <c r="D478" s="75">
        <v>7683</v>
      </c>
      <c r="E478" s="69" t="s">
        <v>78</v>
      </c>
      <c r="F478" s="69" t="str">
        <f>+F446</f>
        <v>عب تدريس فرقه رابعه</v>
      </c>
      <c r="H478" s="69">
        <v>1512.53</v>
      </c>
      <c r="AS478" s="91">
        <f t="shared" si="49"/>
        <v>1512.53</v>
      </c>
      <c r="AT478" s="69">
        <v>1011.4</v>
      </c>
      <c r="AU478" s="52">
        <f>7.7+129</f>
        <v>136.69999999999999</v>
      </c>
      <c r="AV478" s="69">
        <f>501.13-136.7</f>
        <v>364.43</v>
      </c>
      <c r="CD478" s="91">
        <f t="shared" si="50"/>
        <v>1512.53</v>
      </c>
      <c r="CE478" s="69">
        <f t="shared" si="51"/>
        <v>0</v>
      </c>
      <c r="CF478" s="75">
        <f t="shared" si="52"/>
        <v>7683</v>
      </c>
      <c r="CG478" s="69" t="str">
        <f t="shared" si="52"/>
        <v>برنامج دولى</v>
      </c>
    </row>
    <row r="479" spans="3:85" x14ac:dyDescent="0.25">
      <c r="C479" s="75">
        <v>12174</v>
      </c>
      <c r="D479" s="75">
        <v>7684</v>
      </c>
      <c r="E479" s="69" t="s">
        <v>78</v>
      </c>
      <c r="F479" s="69" t="str">
        <f>+F478</f>
        <v>عب تدريس فرقه رابعه</v>
      </c>
      <c r="H479" s="69">
        <v>1336.65</v>
      </c>
      <c r="AS479" s="91">
        <f t="shared" si="49"/>
        <v>1336.65</v>
      </c>
      <c r="AT479" s="69">
        <v>893.85</v>
      </c>
      <c r="AU479" s="52">
        <f>6.75+114</f>
        <v>120.75</v>
      </c>
      <c r="AV479" s="69">
        <f>442.8-120.75</f>
        <v>322.05</v>
      </c>
      <c r="CD479" s="91">
        <f t="shared" si="50"/>
        <v>1336.65</v>
      </c>
      <c r="CE479" s="69">
        <f t="shared" si="51"/>
        <v>0</v>
      </c>
      <c r="CF479" s="75">
        <f t="shared" si="52"/>
        <v>7684</v>
      </c>
      <c r="CG479" s="69" t="str">
        <f t="shared" si="52"/>
        <v>برنامج دولى</v>
      </c>
    </row>
    <row r="480" spans="3:85" x14ac:dyDescent="0.25">
      <c r="C480" s="75">
        <v>12402</v>
      </c>
      <c r="D480" s="75">
        <v>7685</v>
      </c>
      <c r="E480" s="69" t="s">
        <v>78</v>
      </c>
      <c r="F480" s="69" t="s">
        <v>1935</v>
      </c>
      <c r="H480" s="69">
        <v>321.60000000000002</v>
      </c>
      <c r="AS480" s="91">
        <f t="shared" si="49"/>
        <v>321.60000000000002</v>
      </c>
      <c r="AT480" s="69">
        <v>321.60000000000002</v>
      </c>
      <c r="CD480" s="91">
        <f t="shared" si="50"/>
        <v>321.60000000000002</v>
      </c>
      <c r="CE480" s="69">
        <f t="shared" si="51"/>
        <v>0</v>
      </c>
      <c r="CF480" s="75">
        <f t="shared" si="52"/>
        <v>7685</v>
      </c>
      <c r="CG480" s="69" t="str">
        <f t="shared" si="52"/>
        <v>برنامج دولى</v>
      </c>
    </row>
    <row r="481" spans="3:85" x14ac:dyDescent="0.25">
      <c r="C481" s="75">
        <v>12156</v>
      </c>
      <c r="D481" s="75">
        <v>7686</v>
      </c>
      <c r="E481" s="69" t="s">
        <v>78</v>
      </c>
      <c r="F481" s="69" t="s">
        <v>935</v>
      </c>
      <c r="H481" s="69">
        <v>19129.099999999999</v>
      </c>
      <c r="AS481" s="91">
        <f t="shared" si="49"/>
        <v>19129.099999999999</v>
      </c>
      <c r="AT481" s="69">
        <v>16447.47</v>
      </c>
      <c r="AU481" s="52">
        <v>2011.65</v>
      </c>
      <c r="AV481" s="69">
        <v>669.98</v>
      </c>
      <c r="CD481" s="91">
        <f t="shared" si="50"/>
        <v>19129.100000000002</v>
      </c>
      <c r="CE481" s="69">
        <f t="shared" si="51"/>
        <v>0</v>
      </c>
      <c r="CF481" s="75">
        <f t="shared" si="52"/>
        <v>7686</v>
      </c>
      <c r="CG481" s="69" t="str">
        <f t="shared" si="52"/>
        <v>برنامج دولى</v>
      </c>
    </row>
    <row r="482" spans="3:85" x14ac:dyDescent="0.25">
      <c r="C482" s="75">
        <v>12257</v>
      </c>
      <c r="D482" s="75">
        <v>7687</v>
      </c>
      <c r="E482" s="69" t="s">
        <v>78</v>
      </c>
      <c r="F482" s="69" t="str">
        <f>+F477</f>
        <v>مراجعه عمليه ونظريه</v>
      </c>
      <c r="H482" s="69">
        <v>8004.3</v>
      </c>
      <c r="AS482" s="91">
        <f t="shared" si="49"/>
        <v>8004.3</v>
      </c>
      <c r="AT482" s="69">
        <v>7144.57</v>
      </c>
      <c r="AU482" s="52">
        <v>859.73</v>
      </c>
      <c r="CD482" s="91">
        <f t="shared" si="50"/>
        <v>8004.2999999999993</v>
      </c>
      <c r="CE482" s="69">
        <f t="shared" si="51"/>
        <v>0</v>
      </c>
      <c r="CF482" s="75">
        <f t="shared" si="52"/>
        <v>7687</v>
      </c>
      <c r="CG482" s="69" t="str">
        <f t="shared" si="52"/>
        <v>برنامج دولى</v>
      </c>
    </row>
    <row r="483" spans="3:85" x14ac:dyDescent="0.25">
      <c r="C483" s="75">
        <v>12244</v>
      </c>
      <c r="D483" s="75">
        <v>7688</v>
      </c>
      <c r="E483" s="69" t="s">
        <v>78</v>
      </c>
      <c r="F483" s="69" t="str">
        <f>+F482</f>
        <v>مراجعه عمليه ونظريه</v>
      </c>
      <c r="H483" s="69">
        <v>9180.66</v>
      </c>
      <c r="AS483" s="91">
        <f t="shared" si="49"/>
        <v>9180.66</v>
      </c>
      <c r="AT483" s="69">
        <v>6134.55</v>
      </c>
      <c r="AU483" s="52">
        <v>834.15</v>
      </c>
      <c r="AV483" s="69">
        <v>2211.96</v>
      </c>
      <c r="CD483" s="91">
        <f t="shared" si="50"/>
        <v>9180.66</v>
      </c>
      <c r="CE483" s="69">
        <f t="shared" si="51"/>
        <v>0</v>
      </c>
      <c r="CF483" s="75">
        <f t="shared" si="52"/>
        <v>7688</v>
      </c>
      <c r="CG483" s="69" t="str">
        <f t="shared" si="52"/>
        <v>برنامج دولى</v>
      </c>
    </row>
    <row r="484" spans="3:85" x14ac:dyDescent="0.25">
      <c r="C484" s="75">
        <v>12157</v>
      </c>
      <c r="D484" s="75">
        <v>7689</v>
      </c>
      <c r="E484" s="69" t="s">
        <v>78</v>
      </c>
      <c r="F484" s="69" t="s">
        <v>1936</v>
      </c>
      <c r="H484" s="69">
        <v>6331.5</v>
      </c>
      <c r="AS484" s="91">
        <f t="shared" si="49"/>
        <v>6331.5</v>
      </c>
      <c r="AT484" s="69">
        <v>4232.75</v>
      </c>
      <c r="AU484" s="52">
        <f>33.25+540</f>
        <v>573.25</v>
      </c>
      <c r="AV484" s="69">
        <f>2098.75-33.25-540</f>
        <v>1525.5</v>
      </c>
      <c r="CD484" s="91">
        <f t="shared" si="50"/>
        <v>6331.5</v>
      </c>
      <c r="CE484" s="69">
        <f t="shared" si="51"/>
        <v>0</v>
      </c>
      <c r="CF484" s="75">
        <f t="shared" si="52"/>
        <v>7689</v>
      </c>
      <c r="CG484" s="69" t="str">
        <f t="shared" si="52"/>
        <v>برنامج دولى</v>
      </c>
    </row>
    <row r="485" spans="3:85" x14ac:dyDescent="0.25">
      <c r="C485" s="75">
        <v>12159</v>
      </c>
      <c r="D485" s="75">
        <v>7690</v>
      </c>
      <c r="E485" s="69" t="s">
        <v>78</v>
      </c>
      <c r="F485" s="69" t="s">
        <v>1936</v>
      </c>
      <c r="H485" s="69">
        <v>3000</v>
      </c>
      <c r="AS485" s="91">
        <f t="shared" si="49"/>
        <v>3000</v>
      </c>
      <c r="AT485" s="69">
        <v>2678.2</v>
      </c>
      <c r="AU485" s="52">
        <v>321.8</v>
      </c>
      <c r="CD485" s="91">
        <f t="shared" si="50"/>
        <v>3000</v>
      </c>
      <c r="CE485" s="69">
        <f t="shared" si="51"/>
        <v>0</v>
      </c>
      <c r="CF485" s="75">
        <f t="shared" si="52"/>
        <v>7690</v>
      </c>
      <c r="CG485" s="69" t="str">
        <f t="shared" si="52"/>
        <v>برنامج دولى</v>
      </c>
    </row>
    <row r="486" spans="3:85" x14ac:dyDescent="0.25">
      <c r="C486" s="75">
        <v>12158</v>
      </c>
      <c r="D486" s="75">
        <v>7691</v>
      </c>
      <c r="E486" s="69" t="s">
        <v>78</v>
      </c>
      <c r="F486" s="69" t="s">
        <v>1936</v>
      </c>
      <c r="H486" s="69">
        <v>1758.75</v>
      </c>
      <c r="AS486" s="91">
        <f t="shared" si="49"/>
        <v>1758.75</v>
      </c>
      <c r="AT486" s="69">
        <v>1175.3499999999999</v>
      </c>
      <c r="AU486" s="52">
        <v>159.65</v>
      </c>
      <c r="AV486" s="69">
        <v>423.75</v>
      </c>
      <c r="CD486" s="91">
        <f t="shared" si="50"/>
        <v>1758.75</v>
      </c>
      <c r="CE486" s="69">
        <f t="shared" si="51"/>
        <v>0</v>
      </c>
      <c r="CF486" s="75">
        <f t="shared" si="52"/>
        <v>7691</v>
      </c>
      <c r="CG486" s="69" t="str">
        <f t="shared" si="52"/>
        <v>برنامج دولى</v>
      </c>
    </row>
    <row r="487" spans="3:85" x14ac:dyDescent="0.25">
      <c r="C487" s="75">
        <v>12160</v>
      </c>
      <c r="D487" s="75">
        <v>7692</v>
      </c>
      <c r="E487" s="69" t="s">
        <v>78</v>
      </c>
      <c r="F487" s="69" t="s">
        <v>1936</v>
      </c>
      <c r="H487" s="69">
        <v>7550</v>
      </c>
      <c r="AS487" s="91">
        <f t="shared" si="49"/>
        <v>7550</v>
      </c>
      <c r="AT487" s="69">
        <v>6741.25</v>
      </c>
      <c r="AU487" s="52">
        <v>808.75</v>
      </c>
      <c r="CD487" s="91">
        <f t="shared" si="50"/>
        <v>7550</v>
      </c>
      <c r="CE487" s="69">
        <f t="shared" si="51"/>
        <v>0</v>
      </c>
      <c r="CF487" s="75">
        <f t="shared" si="52"/>
        <v>7692</v>
      </c>
      <c r="CG487" s="69" t="str">
        <f t="shared" si="52"/>
        <v>برنامج دولى</v>
      </c>
    </row>
    <row r="488" spans="3:85" x14ac:dyDescent="0.25">
      <c r="C488" s="75">
        <v>12239</v>
      </c>
      <c r="D488" s="75">
        <v>7693</v>
      </c>
      <c r="E488" s="69" t="s">
        <v>78</v>
      </c>
      <c r="F488" s="69" t="str">
        <f>+F473</f>
        <v>عب تدريس جراحه</v>
      </c>
      <c r="H488" s="69">
        <v>7035.01</v>
      </c>
      <c r="AS488" s="91">
        <f t="shared" si="49"/>
        <v>7035.01</v>
      </c>
      <c r="AT488" s="69">
        <v>4703.3</v>
      </c>
      <c r="AU488" s="52">
        <f>36.7+600</f>
        <v>636.70000000000005</v>
      </c>
      <c r="AV488" s="69">
        <f>2331.71-636.7</f>
        <v>1695.01</v>
      </c>
      <c r="CD488" s="91">
        <f t="shared" si="50"/>
        <v>7035.01</v>
      </c>
      <c r="CE488" s="69">
        <f t="shared" si="51"/>
        <v>0</v>
      </c>
      <c r="CF488" s="75">
        <f t="shared" si="52"/>
        <v>7693</v>
      </c>
      <c r="CG488" s="69" t="str">
        <f t="shared" si="52"/>
        <v>برنامج دولى</v>
      </c>
    </row>
    <row r="489" spans="3:85" x14ac:dyDescent="0.25">
      <c r="C489" s="75">
        <v>12241</v>
      </c>
      <c r="D489" s="75">
        <v>7694</v>
      </c>
      <c r="E489" s="69" t="s">
        <v>78</v>
      </c>
      <c r="F489" s="69" t="str">
        <f>+F474</f>
        <v>عب تدريس جراحه</v>
      </c>
      <c r="H489" s="69">
        <v>5346.6</v>
      </c>
      <c r="AS489" s="91">
        <f t="shared" si="49"/>
        <v>5346.6</v>
      </c>
      <c r="AT489" s="69">
        <v>3574.7</v>
      </c>
      <c r="AU489" s="52">
        <v>483.7</v>
      </c>
      <c r="AV489" s="69">
        <v>1288.2</v>
      </c>
      <c r="CD489" s="91">
        <f t="shared" si="50"/>
        <v>5346.5999999999995</v>
      </c>
      <c r="CE489" s="69">
        <f t="shared" si="51"/>
        <v>0</v>
      </c>
      <c r="CF489" s="75">
        <f t="shared" si="52"/>
        <v>7694</v>
      </c>
      <c r="CG489" s="69" t="str">
        <f t="shared" si="52"/>
        <v>برنامج دولى</v>
      </c>
    </row>
    <row r="490" spans="3:85" x14ac:dyDescent="0.25">
      <c r="C490" s="75">
        <v>12240</v>
      </c>
      <c r="D490" s="75">
        <v>7695</v>
      </c>
      <c r="E490" s="69" t="s">
        <v>78</v>
      </c>
      <c r="F490" s="69" t="str">
        <f>+F489</f>
        <v>عب تدريس جراحه</v>
      </c>
      <c r="H490" s="69">
        <v>562.79999999999995</v>
      </c>
      <c r="AS490" s="91">
        <f t="shared" si="49"/>
        <v>562.79999999999995</v>
      </c>
      <c r="AT490" s="69">
        <v>376.75</v>
      </c>
      <c r="AU490" s="52">
        <v>50.45</v>
      </c>
      <c r="AV490" s="69">
        <v>135.6</v>
      </c>
      <c r="CD490" s="91">
        <f t="shared" si="50"/>
        <v>562.79999999999995</v>
      </c>
      <c r="CE490" s="69">
        <f t="shared" si="51"/>
        <v>0</v>
      </c>
      <c r="CF490" s="75">
        <f t="shared" si="52"/>
        <v>7695</v>
      </c>
      <c r="CG490" s="69" t="str">
        <f t="shared" si="52"/>
        <v>برنامج دولى</v>
      </c>
    </row>
    <row r="491" spans="3:85" x14ac:dyDescent="0.25">
      <c r="C491" s="75">
        <v>12242</v>
      </c>
      <c r="D491" s="75">
        <v>7696</v>
      </c>
      <c r="E491" s="69" t="s">
        <v>78</v>
      </c>
      <c r="F491" s="69" t="str">
        <f>+F490</f>
        <v>عب تدريس جراحه</v>
      </c>
      <c r="H491" s="69">
        <v>30005.55</v>
      </c>
      <c r="AS491" s="91">
        <f t="shared" si="49"/>
        <v>30005.55</v>
      </c>
      <c r="AT491" s="69">
        <v>22485.05</v>
      </c>
      <c r="AU491" s="52">
        <v>2893.15</v>
      </c>
      <c r="AV491" s="69">
        <v>4627.3500000000004</v>
      </c>
      <c r="CD491" s="91">
        <f t="shared" si="50"/>
        <v>30005.550000000003</v>
      </c>
      <c r="CE491" s="69">
        <f t="shared" si="51"/>
        <v>0</v>
      </c>
      <c r="CF491" s="75">
        <f t="shared" si="52"/>
        <v>7696</v>
      </c>
      <c r="CG491" s="69" t="str">
        <f t="shared" si="52"/>
        <v>برنامج دولى</v>
      </c>
    </row>
    <row r="492" spans="3:85" x14ac:dyDescent="0.25">
      <c r="C492" s="75">
        <v>13119</v>
      </c>
      <c r="D492" s="75">
        <v>7697</v>
      </c>
      <c r="E492" s="69" t="s">
        <v>121</v>
      </c>
      <c r="F492" s="69" t="s">
        <v>1937</v>
      </c>
      <c r="H492" s="69">
        <v>20000</v>
      </c>
      <c r="AS492" s="91">
        <f t="shared" si="49"/>
        <v>20000</v>
      </c>
      <c r="AT492" s="69">
        <v>17852.8</v>
      </c>
      <c r="AU492" s="52">
        <v>2147.1999999999998</v>
      </c>
      <c r="CD492" s="91">
        <f t="shared" si="50"/>
        <v>20000</v>
      </c>
      <c r="CE492" s="69">
        <f t="shared" si="51"/>
        <v>0</v>
      </c>
      <c r="CF492" s="75">
        <f t="shared" si="52"/>
        <v>7697</v>
      </c>
      <c r="CG492" s="69" t="str">
        <f t="shared" si="52"/>
        <v>ماليزى اسنان</v>
      </c>
    </row>
    <row r="493" spans="3:85" x14ac:dyDescent="0.25">
      <c r="C493" s="75">
        <v>13120</v>
      </c>
      <c r="D493" s="75">
        <v>7698</v>
      </c>
      <c r="E493" s="69" t="s">
        <v>121</v>
      </c>
      <c r="F493" s="69" t="s">
        <v>1938</v>
      </c>
      <c r="H493" s="69">
        <v>15000</v>
      </c>
      <c r="AS493" s="91">
        <f t="shared" si="49"/>
        <v>15000</v>
      </c>
      <c r="AT493" s="69">
        <v>13389.6</v>
      </c>
      <c r="AU493" s="52">
        <v>1610.4</v>
      </c>
      <c r="CD493" s="91">
        <f t="shared" si="50"/>
        <v>15000</v>
      </c>
      <c r="CE493" s="69">
        <f t="shared" si="51"/>
        <v>0</v>
      </c>
      <c r="CF493" s="75">
        <f t="shared" si="52"/>
        <v>7698</v>
      </c>
      <c r="CG493" s="69" t="str">
        <f t="shared" si="52"/>
        <v>ماليزى اسنان</v>
      </c>
    </row>
    <row r="494" spans="3:85" x14ac:dyDescent="0.25">
      <c r="C494" s="75">
        <v>13121</v>
      </c>
      <c r="D494" s="75">
        <v>7699</v>
      </c>
      <c r="E494" s="69" t="s">
        <v>121</v>
      </c>
      <c r="F494" s="69" t="s">
        <v>1939</v>
      </c>
      <c r="H494" s="69">
        <v>2500</v>
      </c>
      <c r="AS494" s="91">
        <f t="shared" si="49"/>
        <v>2500</v>
      </c>
      <c r="AT494" s="69">
        <v>2231.6</v>
      </c>
      <c r="AU494" s="52">
        <v>268.39999999999998</v>
      </c>
      <c r="CD494" s="91">
        <f t="shared" si="50"/>
        <v>2500</v>
      </c>
      <c r="CE494" s="69">
        <f t="shared" si="51"/>
        <v>0</v>
      </c>
      <c r="CF494" s="75">
        <f t="shared" si="52"/>
        <v>7699</v>
      </c>
      <c r="CG494" s="69" t="str">
        <f t="shared" si="52"/>
        <v>ماليزى اسنان</v>
      </c>
    </row>
    <row r="495" spans="3:85" x14ac:dyDescent="0.25">
      <c r="C495" s="75">
        <v>13122</v>
      </c>
      <c r="D495" s="75">
        <v>7700</v>
      </c>
      <c r="E495" s="69" t="s">
        <v>121</v>
      </c>
      <c r="F495" s="69" t="s">
        <v>1939</v>
      </c>
      <c r="H495" s="69">
        <v>2500</v>
      </c>
      <c r="AS495" s="91">
        <f t="shared" si="49"/>
        <v>2500</v>
      </c>
      <c r="AT495" s="69">
        <v>2231.6</v>
      </c>
      <c r="AU495" s="52">
        <v>268.39999999999998</v>
      </c>
      <c r="CD495" s="91">
        <f t="shared" si="50"/>
        <v>2500</v>
      </c>
      <c r="CE495" s="69">
        <f t="shared" si="51"/>
        <v>0</v>
      </c>
      <c r="CF495" s="75">
        <f t="shared" si="52"/>
        <v>7700</v>
      </c>
      <c r="CG495" s="69" t="str">
        <f t="shared" si="52"/>
        <v>ماليزى اسنان</v>
      </c>
    </row>
    <row r="496" spans="3:85" x14ac:dyDescent="0.25">
      <c r="C496" s="75">
        <v>13123</v>
      </c>
      <c r="D496" s="75">
        <v>7701</v>
      </c>
      <c r="E496" s="69" t="s">
        <v>121</v>
      </c>
      <c r="F496" s="69" t="s">
        <v>1939</v>
      </c>
      <c r="H496" s="69">
        <v>12500</v>
      </c>
      <c r="AS496" s="91">
        <f t="shared" si="49"/>
        <v>12500</v>
      </c>
      <c r="AT496" s="69">
        <v>11157.65</v>
      </c>
      <c r="AU496" s="52">
        <v>1342.35</v>
      </c>
      <c r="CD496" s="91">
        <f t="shared" si="50"/>
        <v>12500</v>
      </c>
      <c r="CE496" s="69">
        <f t="shared" si="51"/>
        <v>0</v>
      </c>
      <c r="CF496" s="75">
        <f t="shared" si="52"/>
        <v>7701</v>
      </c>
      <c r="CG496" s="69" t="str">
        <f t="shared" si="52"/>
        <v>ماليزى اسنان</v>
      </c>
    </row>
    <row r="497" spans="3:85" x14ac:dyDescent="0.25">
      <c r="C497" s="75">
        <v>13125</v>
      </c>
      <c r="D497" s="75">
        <v>7702</v>
      </c>
      <c r="E497" s="69" t="s">
        <v>121</v>
      </c>
      <c r="F497" s="69" t="s">
        <v>1939</v>
      </c>
      <c r="H497" s="69">
        <v>2500</v>
      </c>
      <c r="AS497" s="91">
        <f t="shared" si="49"/>
        <v>2500</v>
      </c>
      <c r="AT497" s="69">
        <v>2231.6</v>
      </c>
      <c r="AU497" s="52">
        <v>268.39999999999998</v>
      </c>
      <c r="CD497" s="91">
        <f t="shared" si="50"/>
        <v>2500</v>
      </c>
      <c r="CE497" s="69">
        <f t="shared" si="51"/>
        <v>0</v>
      </c>
      <c r="CF497" s="75">
        <f t="shared" si="52"/>
        <v>7702</v>
      </c>
      <c r="CG497" s="69" t="str">
        <f t="shared" si="52"/>
        <v>ماليزى اسنان</v>
      </c>
    </row>
    <row r="498" spans="3:85" x14ac:dyDescent="0.25">
      <c r="C498" s="75">
        <v>13126</v>
      </c>
      <c r="D498" s="75">
        <v>7703</v>
      </c>
      <c r="E498" s="69" t="s">
        <v>121</v>
      </c>
      <c r="F498" s="69" t="s">
        <v>1939</v>
      </c>
      <c r="H498" s="69">
        <v>10000</v>
      </c>
      <c r="AS498" s="91">
        <f t="shared" si="49"/>
        <v>10000</v>
      </c>
      <c r="AT498" s="69">
        <v>8926.4</v>
      </c>
      <c r="AU498" s="52">
        <v>1073.5999999999999</v>
      </c>
      <c r="CD498" s="91">
        <f t="shared" si="50"/>
        <v>10000</v>
      </c>
      <c r="CE498" s="69">
        <f t="shared" si="51"/>
        <v>0</v>
      </c>
      <c r="CF498" s="75">
        <f t="shared" si="52"/>
        <v>7703</v>
      </c>
      <c r="CG498" s="69" t="str">
        <f t="shared" si="52"/>
        <v>ماليزى اسنان</v>
      </c>
    </row>
    <row r="499" spans="3:85" x14ac:dyDescent="0.25">
      <c r="C499" s="75">
        <v>13127</v>
      </c>
      <c r="D499" s="75">
        <v>7704</v>
      </c>
      <c r="E499" s="69" t="s">
        <v>121</v>
      </c>
      <c r="F499" s="69" t="s">
        <v>1938</v>
      </c>
      <c r="H499" s="69">
        <v>2500</v>
      </c>
      <c r="AS499" s="91">
        <f t="shared" si="49"/>
        <v>2500</v>
      </c>
      <c r="AT499" s="69">
        <v>2231.6</v>
      </c>
      <c r="AU499" s="52">
        <v>268.39999999999998</v>
      </c>
      <c r="CD499" s="91">
        <f t="shared" si="50"/>
        <v>2500</v>
      </c>
      <c r="CE499" s="69">
        <f t="shared" si="51"/>
        <v>0</v>
      </c>
      <c r="CF499" s="75">
        <f t="shared" si="52"/>
        <v>7704</v>
      </c>
      <c r="CG499" s="69" t="str">
        <f t="shared" si="52"/>
        <v>ماليزى اسنان</v>
      </c>
    </row>
    <row r="500" spans="3:85" x14ac:dyDescent="0.25">
      <c r="C500" s="75">
        <v>13128</v>
      </c>
      <c r="D500" s="75">
        <v>7705</v>
      </c>
      <c r="E500" s="69" t="s">
        <v>121</v>
      </c>
      <c r="F500" s="69" t="s">
        <v>1938</v>
      </c>
      <c r="H500" s="69">
        <v>2500</v>
      </c>
      <c r="AS500" s="91">
        <f t="shared" si="49"/>
        <v>2500</v>
      </c>
      <c r="AT500" s="69">
        <v>2231.6</v>
      </c>
      <c r="AU500" s="52">
        <v>268.39999999999998</v>
      </c>
      <c r="CD500" s="91">
        <f t="shared" si="50"/>
        <v>2500</v>
      </c>
      <c r="CE500" s="69">
        <f t="shared" si="51"/>
        <v>0</v>
      </c>
      <c r="CF500" s="75">
        <f t="shared" si="52"/>
        <v>7705</v>
      </c>
      <c r="CG500" s="69" t="str">
        <f t="shared" si="52"/>
        <v>ماليزى اسنان</v>
      </c>
    </row>
    <row r="501" spans="3:85" x14ac:dyDescent="0.25">
      <c r="C501" s="75">
        <v>13129</v>
      </c>
      <c r="D501" s="75">
        <v>7706</v>
      </c>
      <c r="E501" s="69" t="s">
        <v>121</v>
      </c>
      <c r="F501" s="69" t="s">
        <v>1937</v>
      </c>
      <c r="H501" s="69">
        <v>2931.25</v>
      </c>
      <c r="AS501" s="91">
        <f t="shared" si="49"/>
        <v>2931.25</v>
      </c>
      <c r="AT501" s="69">
        <v>1958.65</v>
      </c>
      <c r="AU501" s="52">
        <v>266.35000000000002</v>
      </c>
      <c r="AV501" s="69">
        <v>706.25</v>
      </c>
      <c r="CD501" s="91">
        <f t="shared" si="50"/>
        <v>2931.25</v>
      </c>
      <c r="CE501" s="69">
        <f t="shared" si="51"/>
        <v>0</v>
      </c>
      <c r="CF501" s="75">
        <f t="shared" si="52"/>
        <v>7706</v>
      </c>
      <c r="CG501" s="69" t="str">
        <f t="shared" si="52"/>
        <v>ماليزى اسنان</v>
      </c>
    </row>
    <row r="502" spans="3:85" x14ac:dyDescent="0.25">
      <c r="C502" s="75">
        <v>12130</v>
      </c>
      <c r="D502" s="75">
        <v>7707</v>
      </c>
      <c r="E502" s="69" t="s">
        <v>121</v>
      </c>
      <c r="F502" s="69" t="s">
        <v>1938</v>
      </c>
      <c r="H502" s="69">
        <v>5000</v>
      </c>
      <c r="AS502" s="91">
        <f t="shared" si="49"/>
        <v>5000</v>
      </c>
      <c r="AT502" s="69">
        <v>4462.8500000000004</v>
      </c>
      <c r="AU502" s="52">
        <v>537.15</v>
      </c>
      <c r="CD502" s="91">
        <f t="shared" si="50"/>
        <v>5000</v>
      </c>
      <c r="CE502" s="69">
        <f t="shared" si="51"/>
        <v>0</v>
      </c>
      <c r="CF502" s="75">
        <f t="shared" si="52"/>
        <v>7707</v>
      </c>
      <c r="CG502" s="69" t="str">
        <f t="shared" si="52"/>
        <v>ماليزى اسنان</v>
      </c>
    </row>
    <row r="503" spans="3:85" x14ac:dyDescent="0.25">
      <c r="C503" s="75">
        <v>13131</v>
      </c>
      <c r="D503" s="75">
        <v>7708</v>
      </c>
      <c r="E503" s="69" t="s">
        <v>121</v>
      </c>
      <c r="F503" s="69" t="s">
        <v>1938</v>
      </c>
      <c r="H503" s="69">
        <v>10000</v>
      </c>
      <c r="AS503" s="91">
        <f t="shared" si="49"/>
        <v>10000</v>
      </c>
      <c r="AT503" s="69">
        <v>8926.4</v>
      </c>
      <c r="AU503" s="52">
        <v>1073.5999999999999</v>
      </c>
      <c r="CD503" s="91">
        <f t="shared" si="50"/>
        <v>10000</v>
      </c>
      <c r="CE503" s="69">
        <f t="shared" si="51"/>
        <v>0</v>
      </c>
      <c r="CF503" s="75">
        <f t="shared" si="52"/>
        <v>7708</v>
      </c>
      <c r="CG503" s="69" t="str">
        <f t="shared" si="52"/>
        <v>ماليزى اسنان</v>
      </c>
    </row>
    <row r="504" spans="3:85" x14ac:dyDescent="0.25">
      <c r="C504" s="75">
        <v>13132</v>
      </c>
      <c r="D504" s="75">
        <v>7709</v>
      </c>
      <c r="E504" s="69" t="s">
        <v>121</v>
      </c>
      <c r="F504" s="69" t="s">
        <v>1940</v>
      </c>
      <c r="H504" s="69">
        <v>2500</v>
      </c>
      <c r="AS504" s="91">
        <f t="shared" si="49"/>
        <v>2500</v>
      </c>
      <c r="AT504" s="69">
        <v>2231.6</v>
      </c>
      <c r="AU504" s="52">
        <v>268.39999999999998</v>
      </c>
      <c r="CD504" s="91">
        <f t="shared" si="50"/>
        <v>2500</v>
      </c>
      <c r="CE504" s="69">
        <f t="shared" si="51"/>
        <v>0</v>
      </c>
      <c r="CF504" s="75">
        <f t="shared" si="52"/>
        <v>7709</v>
      </c>
      <c r="CG504" s="69" t="str">
        <f t="shared" si="52"/>
        <v>ماليزى اسنان</v>
      </c>
    </row>
    <row r="505" spans="3:85" x14ac:dyDescent="0.25">
      <c r="C505" s="75">
        <v>13133</v>
      </c>
      <c r="D505" s="75">
        <v>7710</v>
      </c>
      <c r="E505" s="69" t="s">
        <v>121</v>
      </c>
      <c r="F505" s="69" t="s">
        <v>1940</v>
      </c>
      <c r="H505" s="69">
        <v>22500</v>
      </c>
      <c r="AS505" s="91">
        <f t="shared" si="49"/>
        <v>22500</v>
      </c>
      <c r="AT505" s="69">
        <v>20084.400000000001</v>
      </c>
      <c r="AU505" s="52">
        <v>2415.6</v>
      </c>
      <c r="CD505" s="91">
        <f t="shared" si="50"/>
        <v>22500</v>
      </c>
      <c r="CE505" s="69">
        <f t="shared" si="51"/>
        <v>0</v>
      </c>
      <c r="CF505" s="75">
        <f t="shared" si="52"/>
        <v>7710</v>
      </c>
      <c r="CG505" s="69" t="str">
        <f t="shared" si="52"/>
        <v>ماليزى اسنان</v>
      </c>
    </row>
    <row r="506" spans="3:85" x14ac:dyDescent="0.25">
      <c r="C506" s="75">
        <v>13134</v>
      </c>
      <c r="D506" s="75">
        <v>7711</v>
      </c>
      <c r="E506" s="69" t="s">
        <v>121</v>
      </c>
      <c r="F506" s="69" t="s">
        <v>1938</v>
      </c>
      <c r="H506" s="69">
        <v>2500</v>
      </c>
      <c r="AS506" s="91">
        <f t="shared" ref="AS506:AS537" si="53">SUM(H506:AR506)</f>
        <v>2500</v>
      </c>
      <c r="AT506" s="69">
        <v>2231.6</v>
      </c>
      <c r="AU506" s="52">
        <v>268.39999999999998</v>
      </c>
      <c r="CD506" s="91">
        <f t="shared" si="50"/>
        <v>2500</v>
      </c>
      <c r="CE506" s="69">
        <f t="shared" si="51"/>
        <v>0</v>
      </c>
      <c r="CF506" s="75">
        <f t="shared" ref="CF506:CG541" si="54">+D506</f>
        <v>7711</v>
      </c>
      <c r="CG506" s="69" t="str">
        <f t="shared" si="54"/>
        <v>ماليزى اسنان</v>
      </c>
    </row>
    <row r="507" spans="3:85" x14ac:dyDescent="0.25">
      <c r="C507" s="75">
        <v>13135</v>
      </c>
      <c r="D507" s="75">
        <v>7712</v>
      </c>
      <c r="E507" s="69" t="s">
        <v>121</v>
      </c>
      <c r="F507" s="69" t="s">
        <v>1940</v>
      </c>
      <c r="H507" s="69">
        <v>2500</v>
      </c>
      <c r="AS507" s="91">
        <f t="shared" si="53"/>
        <v>2500</v>
      </c>
      <c r="AT507" s="69">
        <v>2231.6</v>
      </c>
      <c r="AU507" s="52">
        <v>268.39999999999998</v>
      </c>
      <c r="CD507" s="91">
        <f t="shared" si="50"/>
        <v>2500</v>
      </c>
      <c r="CE507" s="69">
        <f t="shared" si="51"/>
        <v>0</v>
      </c>
      <c r="CF507" s="75">
        <f t="shared" si="54"/>
        <v>7712</v>
      </c>
      <c r="CG507" s="69" t="str">
        <f t="shared" si="54"/>
        <v>ماليزى اسنان</v>
      </c>
    </row>
    <row r="508" spans="3:85" x14ac:dyDescent="0.25">
      <c r="C508" s="75">
        <v>13136</v>
      </c>
      <c r="D508" s="75">
        <v>7713</v>
      </c>
      <c r="E508" s="69" t="s">
        <v>121</v>
      </c>
      <c r="F508" s="69" t="s">
        <v>1941</v>
      </c>
      <c r="H508" s="69">
        <v>5000</v>
      </c>
      <c r="AS508" s="91">
        <f t="shared" si="53"/>
        <v>5000</v>
      </c>
      <c r="AT508" s="69">
        <v>4463.2</v>
      </c>
      <c r="AU508" s="52">
        <v>536.79999999999995</v>
      </c>
      <c r="CD508" s="91">
        <f t="shared" si="50"/>
        <v>5000</v>
      </c>
      <c r="CE508" s="69">
        <f t="shared" si="51"/>
        <v>0</v>
      </c>
      <c r="CF508" s="75">
        <f t="shared" si="54"/>
        <v>7713</v>
      </c>
      <c r="CG508" s="69" t="str">
        <f t="shared" si="54"/>
        <v>ماليزى اسنان</v>
      </c>
    </row>
    <row r="509" spans="3:85" x14ac:dyDescent="0.25">
      <c r="C509" s="75">
        <v>13137</v>
      </c>
      <c r="D509" s="75">
        <v>7714</v>
      </c>
      <c r="E509" s="69" t="s">
        <v>121</v>
      </c>
      <c r="F509" s="69" t="s">
        <v>1937</v>
      </c>
      <c r="H509" s="69">
        <v>2500</v>
      </c>
      <c r="AS509" s="91">
        <f t="shared" si="53"/>
        <v>2500</v>
      </c>
      <c r="AT509" s="69">
        <v>2231.6</v>
      </c>
      <c r="AU509" s="52">
        <v>268.39999999999998</v>
      </c>
      <c r="CD509" s="91">
        <f t="shared" si="50"/>
        <v>2500</v>
      </c>
      <c r="CE509" s="69">
        <f t="shared" si="51"/>
        <v>0</v>
      </c>
      <c r="CF509" s="75">
        <f t="shared" si="54"/>
        <v>7714</v>
      </c>
      <c r="CG509" s="69" t="str">
        <f t="shared" si="54"/>
        <v>ماليزى اسنان</v>
      </c>
    </row>
    <row r="510" spans="3:85" x14ac:dyDescent="0.25">
      <c r="C510" s="75">
        <v>13140</v>
      </c>
      <c r="D510" s="75">
        <v>7715</v>
      </c>
      <c r="E510" s="69" t="s">
        <v>121</v>
      </c>
      <c r="F510" s="69" t="s">
        <v>1940</v>
      </c>
      <c r="H510" s="69">
        <v>20000</v>
      </c>
      <c r="AS510" s="91">
        <f t="shared" si="53"/>
        <v>20000</v>
      </c>
      <c r="AT510" s="69">
        <v>17852.8</v>
      </c>
      <c r="AU510" s="52">
        <v>2147.1999999999998</v>
      </c>
      <c r="CD510" s="91">
        <f t="shared" si="50"/>
        <v>20000</v>
      </c>
      <c r="CE510" s="69">
        <f t="shared" si="51"/>
        <v>0</v>
      </c>
      <c r="CF510" s="75">
        <f t="shared" si="54"/>
        <v>7715</v>
      </c>
      <c r="CG510" s="69" t="str">
        <f t="shared" si="54"/>
        <v>ماليزى اسنان</v>
      </c>
    </row>
    <row r="511" spans="3:85" x14ac:dyDescent="0.25">
      <c r="C511" s="75">
        <v>13139</v>
      </c>
      <c r="D511" s="75">
        <v>7716</v>
      </c>
      <c r="E511" s="69" t="s">
        <v>121</v>
      </c>
      <c r="F511" s="69" t="s">
        <v>1942</v>
      </c>
      <c r="H511" s="69">
        <v>7500</v>
      </c>
      <c r="AS511" s="91">
        <f t="shared" si="53"/>
        <v>7500</v>
      </c>
      <c r="AT511" s="69">
        <v>6694.8</v>
      </c>
      <c r="AU511" s="52">
        <v>805.2</v>
      </c>
      <c r="CD511" s="91">
        <f t="shared" si="50"/>
        <v>7500</v>
      </c>
      <c r="CE511" s="69">
        <f t="shared" si="51"/>
        <v>0</v>
      </c>
      <c r="CF511" s="75">
        <f t="shared" si="54"/>
        <v>7716</v>
      </c>
      <c r="CG511" s="69" t="str">
        <f t="shared" si="54"/>
        <v>ماليزى اسنان</v>
      </c>
    </row>
    <row r="512" spans="3:85" x14ac:dyDescent="0.25">
      <c r="C512" s="75">
        <v>13138</v>
      </c>
      <c r="D512" s="75">
        <v>7717</v>
      </c>
      <c r="E512" s="69" t="s">
        <v>121</v>
      </c>
      <c r="F512" s="69" t="s">
        <v>1942</v>
      </c>
      <c r="H512" s="69">
        <v>8500</v>
      </c>
      <c r="AS512" s="91">
        <f t="shared" si="53"/>
        <v>8500</v>
      </c>
      <c r="AT512" s="69">
        <v>7587.65</v>
      </c>
      <c r="AU512" s="52">
        <v>912.35</v>
      </c>
      <c r="CD512" s="91">
        <f t="shared" si="50"/>
        <v>8500</v>
      </c>
      <c r="CE512" s="69">
        <f t="shared" si="51"/>
        <v>0</v>
      </c>
      <c r="CF512" s="75">
        <f t="shared" si="54"/>
        <v>7717</v>
      </c>
      <c r="CG512" s="69" t="str">
        <f t="shared" si="54"/>
        <v>ماليزى اسنان</v>
      </c>
    </row>
    <row r="513" spans="3:85" x14ac:dyDescent="0.25">
      <c r="C513" s="75">
        <v>13141</v>
      </c>
      <c r="D513" s="75">
        <v>7718</v>
      </c>
      <c r="E513" s="69" t="s">
        <v>121</v>
      </c>
      <c r="F513" s="69" t="s">
        <v>1941</v>
      </c>
      <c r="H513" s="69">
        <v>2500</v>
      </c>
      <c r="AS513" s="91">
        <f t="shared" si="53"/>
        <v>2500</v>
      </c>
      <c r="AT513" s="69">
        <v>2231.6</v>
      </c>
      <c r="AU513" s="52">
        <v>268.39999999999998</v>
      </c>
      <c r="CD513" s="91">
        <f t="shared" si="50"/>
        <v>2500</v>
      </c>
      <c r="CE513" s="69">
        <f t="shared" si="51"/>
        <v>0</v>
      </c>
      <c r="CF513" s="75">
        <f t="shared" si="54"/>
        <v>7718</v>
      </c>
      <c r="CG513" s="69" t="str">
        <f t="shared" si="54"/>
        <v>ماليزى اسنان</v>
      </c>
    </row>
    <row r="514" spans="3:85" x14ac:dyDescent="0.25">
      <c r="C514" s="75">
        <v>13142</v>
      </c>
      <c r="D514" s="75">
        <v>7719</v>
      </c>
      <c r="E514" s="69" t="s">
        <v>121</v>
      </c>
      <c r="F514" s="69" t="s">
        <v>1941</v>
      </c>
      <c r="H514" s="69">
        <v>5000</v>
      </c>
      <c r="AS514" s="91">
        <f t="shared" si="53"/>
        <v>5000</v>
      </c>
      <c r="AT514" s="69">
        <v>4463.2</v>
      </c>
      <c r="AU514" s="52">
        <v>536.79999999999995</v>
      </c>
      <c r="CD514" s="91">
        <f t="shared" si="50"/>
        <v>5000</v>
      </c>
      <c r="CE514" s="69">
        <f t="shared" si="51"/>
        <v>0</v>
      </c>
      <c r="CF514" s="75">
        <f t="shared" si="54"/>
        <v>7719</v>
      </c>
      <c r="CG514" s="69" t="str">
        <f t="shared" si="54"/>
        <v>ماليزى اسنان</v>
      </c>
    </row>
    <row r="515" spans="3:85" x14ac:dyDescent="0.25">
      <c r="C515" s="75">
        <v>13156</v>
      </c>
      <c r="D515" s="75">
        <v>7720</v>
      </c>
      <c r="E515" s="69" t="s">
        <v>121</v>
      </c>
      <c r="F515" s="69" t="s">
        <v>1943</v>
      </c>
      <c r="H515" s="69">
        <v>72846.3</v>
      </c>
      <c r="AS515" s="91">
        <f t="shared" si="53"/>
        <v>72846.3</v>
      </c>
      <c r="AT515" s="69">
        <v>64741.65</v>
      </c>
      <c r="AU515" s="52">
        <v>7799.55</v>
      </c>
      <c r="AV515" s="69">
        <v>305.10000000000002</v>
      </c>
      <c r="CD515" s="91">
        <f t="shared" si="50"/>
        <v>72846.3</v>
      </c>
      <c r="CE515" s="69">
        <f t="shared" si="51"/>
        <v>0</v>
      </c>
      <c r="CF515" s="75">
        <f t="shared" si="54"/>
        <v>7720</v>
      </c>
      <c r="CG515" s="69" t="str">
        <f t="shared" si="54"/>
        <v>ماليزى اسنان</v>
      </c>
    </row>
    <row r="516" spans="3:85" x14ac:dyDescent="0.25">
      <c r="C516" s="75">
        <v>13157</v>
      </c>
      <c r="D516" s="75">
        <v>7721</v>
      </c>
      <c r="E516" s="69" t="s">
        <v>121</v>
      </c>
      <c r="F516" s="69" t="s">
        <v>1943</v>
      </c>
      <c r="H516" s="69">
        <v>19200</v>
      </c>
      <c r="AS516" s="91">
        <f t="shared" si="53"/>
        <v>19200</v>
      </c>
      <c r="AT516" s="69">
        <v>17138.8</v>
      </c>
      <c r="AU516" s="52">
        <v>2061.1999999999998</v>
      </c>
      <c r="CD516" s="91">
        <f t="shared" si="50"/>
        <v>19200</v>
      </c>
      <c r="CE516" s="69">
        <f t="shared" si="51"/>
        <v>0</v>
      </c>
      <c r="CF516" s="75">
        <f t="shared" si="54"/>
        <v>7721</v>
      </c>
      <c r="CG516" s="69" t="str">
        <f t="shared" si="54"/>
        <v>ماليزى اسنان</v>
      </c>
    </row>
    <row r="517" spans="3:85" x14ac:dyDescent="0.25">
      <c r="C517" s="75">
        <v>13166</v>
      </c>
      <c r="D517" s="75">
        <v>7722</v>
      </c>
      <c r="E517" s="69" t="s">
        <v>121</v>
      </c>
      <c r="F517" s="69" t="s">
        <v>1944</v>
      </c>
      <c r="H517" s="69">
        <v>7126.47</v>
      </c>
      <c r="AS517" s="91">
        <f t="shared" si="53"/>
        <v>7126.47</v>
      </c>
      <c r="AT517" s="69">
        <v>6168.16</v>
      </c>
      <c r="AU517" s="52">
        <v>751.2</v>
      </c>
      <c r="AV517" s="69">
        <v>207.11</v>
      </c>
      <c r="CD517" s="91">
        <f t="shared" si="50"/>
        <v>7126.4699999999993</v>
      </c>
      <c r="CE517" s="69">
        <f t="shared" si="51"/>
        <v>0</v>
      </c>
      <c r="CF517" s="75">
        <f t="shared" si="54"/>
        <v>7722</v>
      </c>
      <c r="CG517" s="69" t="str">
        <f t="shared" si="54"/>
        <v>ماليزى اسنان</v>
      </c>
    </row>
    <row r="518" spans="3:85" x14ac:dyDescent="0.25">
      <c r="C518" s="75">
        <v>13155</v>
      </c>
      <c r="D518" s="75">
        <v>7723</v>
      </c>
      <c r="E518" s="69" t="s">
        <v>121</v>
      </c>
      <c r="F518" s="69" t="s">
        <v>1945</v>
      </c>
      <c r="H518" s="69">
        <v>5252</v>
      </c>
      <c r="AS518" s="91">
        <f t="shared" si="53"/>
        <v>5252</v>
      </c>
      <c r="AT518" s="69">
        <v>3846.45</v>
      </c>
      <c r="AU518" s="52">
        <v>501.55</v>
      </c>
      <c r="AV518" s="69">
        <v>904</v>
      </c>
      <c r="CD518" s="91">
        <f t="shared" si="50"/>
        <v>5252</v>
      </c>
      <c r="CE518" s="69">
        <f t="shared" si="51"/>
        <v>0</v>
      </c>
      <c r="CF518" s="75">
        <f t="shared" si="54"/>
        <v>7723</v>
      </c>
      <c r="CG518" s="69" t="str">
        <f t="shared" si="54"/>
        <v>ماليزى اسنان</v>
      </c>
    </row>
    <row r="519" spans="3:85" x14ac:dyDescent="0.25">
      <c r="C519" s="75">
        <v>13154</v>
      </c>
      <c r="D519" s="75">
        <v>7724</v>
      </c>
      <c r="E519" s="69" t="s">
        <v>121</v>
      </c>
      <c r="F519" s="69" t="s">
        <v>1945</v>
      </c>
      <c r="H519" s="69">
        <v>4500</v>
      </c>
      <c r="AS519" s="91">
        <f t="shared" si="53"/>
        <v>4500</v>
      </c>
      <c r="AT519" s="69">
        <v>4016.6</v>
      </c>
      <c r="AU519" s="52">
        <v>483.4</v>
      </c>
      <c r="CD519" s="91">
        <f t="shared" si="50"/>
        <v>4500</v>
      </c>
      <c r="CE519" s="69">
        <f t="shared" si="51"/>
        <v>0</v>
      </c>
      <c r="CF519" s="75">
        <f t="shared" si="54"/>
        <v>7724</v>
      </c>
      <c r="CG519" s="69" t="str">
        <f t="shared" si="54"/>
        <v>ماليزى اسنان</v>
      </c>
    </row>
    <row r="520" spans="3:85" x14ac:dyDescent="0.25">
      <c r="C520" s="75">
        <v>13152</v>
      </c>
      <c r="D520" s="75">
        <v>7725</v>
      </c>
      <c r="E520" s="69" t="s">
        <v>121</v>
      </c>
      <c r="F520" s="69" t="s">
        <v>1946</v>
      </c>
      <c r="H520" s="69">
        <v>3696.75</v>
      </c>
      <c r="AS520" s="91">
        <f t="shared" si="53"/>
        <v>3696.75</v>
      </c>
      <c r="AT520" s="69">
        <v>2696.95</v>
      </c>
      <c r="AU520" s="52">
        <v>350.05</v>
      </c>
      <c r="AV520" s="69">
        <v>649.75</v>
      </c>
      <c r="CD520" s="91">
        <f t="shared" si="50"/>
        <v>3696.75</v>
      </c>
      <c r="CE520" s="69">
        <f t="shared" si="51"/>
        <v>0</v>
      </c>
      <c r="CF520" s="75">
        <f t="shared" si="54"/>
        <v>7725</v>
      </c>
      <c r="CG520" s="69" t="str">
        <f t="shared" si="54"/>
        <v>ماليزى اسنان</v>
      </c>
    </row>
    <row r="521" spans="3:85" x14ac:dyDescent="0.25">
      <c r="C521" s="75">
        <v>13148</v>
      </c>
      <c r="D521" s="75">
        <v>7726</v>
      </c>
      <c r="E521" s="69" t="s">
        <v>121</v>
      </c>
      <c r="F521" s="69" t="s">
        <v>1947</v>
      </c>
      <c r="H521" s="69">
        <v>1172.5</v>
      </c>
      <c r="AS521" s="91">
        <f t="shared" si="53"/>
        <v>1172.5</v>
      </c>
      <c r="AT521" s="69">
        <v>784.1</v>
      </c>
      <c r="AU521" s="52">
        <v>105.9</v>
      </c>
      <c r="AV521" s="69">
        <v>282.5</v>
      </c>
      <c r="CD521" s="91">
        <f t="shared" si="50"/>
        <v>1172.5</v>
      </c>
      <c r="CE521" s="69">
        <f t="shared" si="51"/>
        <v>0</v>
      </c>
      <c r="CF521" s="75">
        <f t="shared" si="54"/>
        <v>7726</v>
      </c>
      <c r="CG521" s="69" t="str">
        <f t="shared" si="54"/>
        <v>ماليزى اسنان</v>
      </c>
    </row>
    <row r="522" spans="3:85" x14ac:dyDescent="0.25">
      <c r="C522" s="75">
        <v>13147</v>
      </c>
      <c r="D522" s="75">
        <v>7727</v>
      </c>
      <c r="E522" s="69" t="s">
        <v>121</v>
      </c>
      <c r="F522" s="69" t="s">
        <v>1948</v>
      </c>
      <c r="H522" s="69">
        <v>1407</v>
      </c>
      <c r="AS522" s="91">
        <f t="shared" si="53"/>
        <v>1407</v>
      </c>
      <c r="AT522" s="69">
        <v>940.35</v>
      </c>
      <c r="AU522" s="52">
        <v>127.65</v>
      </c>
      <c r="AV522" s="69">
        <v>339</v>
      </c>
      <c r="CD522" s="91">
        <f t="shared" si="50"/>
        <v>1407</v>
      </c>
      <c r="CE522" s="69">
        <f t="shared" si="51"/>
        <v>0</v>
      </c>
      <c r="CF522" s="75">
        <f t="shared" si="54"/>
        <v>7727</v>
      </c>
      <c r="CG522" s="69" t="str">
        <f t="shared" si="54"/>
        <v>ماليزى اسنان</v>
      </c>
    </row>
    <row r="523" spans="3:85" x14ac:dyDescent="0.25">
      <c r="C523" s="75">
        <v>13146</v>
      </c>
      <c r="D523" s="75">
        <v>7728</v>
      </c>
      <c r="E523" s="69" t="s">
        <v>121</v>
      </c>
      <c r="F523" s="69" t="s">
        <v>1947</v>
      </c>
      <c r="H523" s="69">
        <v>3283</v>
      </c>
      <c r="AS523" s="91">
        <f t="shared" si="53"/>
        <v>3283</v>
      </c>
      <c r="AT523" s="69">
        <v>2195.5500000000002</v>
      </c>
      <c r="AU523" s="52">
        <v>296.45</v>
      </c>
      <c r="AV523" s="69">
        <v>791</v>
      </c>
      <c r="CD523" s="91">
        <f t="shared" si="50"/>
        <v>3283</v>
      </c>
      <c r="CE523" s="69">
        <f t="shared" si="51"/>
        <v>0</v>
      </c>
      <c r="CF523" s="75">
        <f t="shared" si="54"/>
        <v>7728</v>
      </c>
      <c r="CG523" s="69" t="str">
        <f t="shared" si="54"/>
        <v>ماليزى اسنان</v>
      </c>
    </row>
    <row r="524" spans="3:85" x14ac:dyDescent="0.25">
      <c r="C524" s="75">
        <v>13145</v>
      </c>
      <c r="D524" s="75">
        <v>7729</v>
      </c>
      <c r="E524" s="69" t="s">
        <v>121</v>
      </c>
      <c r="F524" s="69" t="s">
        <v>1949</v>
      </c>
      <c r="H524" s="69">
        <v>2345</v>
      </c>
      <c r="AS524" s="91">
        <f t="shared" si="53"/>
        <v>2345</v>
      </c>
      <c r="AT524" s="69">
        <v>1567</v>
      </c>
      <c r="AU524" s="52">
        <v>213</v>
      </c>
      <c r="AV524" s="69">
        <v>565</v>
      </c>
      <c r="CD524" s="91">
        <f t="shared" si="50"/>
        <v>2345</v>
      </c>
      <c r="CE524" s="69">
        <f t="shared" si="51"/>
        <v>0</v>
      </c>
      <c r="CF524" s="75">
        <f t="shared" si="54"/>
        <v>7729</v>
      </c>
      <c r="CG524" s="69" t="str">
        <f t="shared" si="54"/>
        <v>ماليزى اسنان</v>
      </c>
    </row>
    <row r="525" spans="3:85" x14ac:dyDescent="0.25">
      <c r="C525" s="75">
        <v>13144</v>
      </c>
      <c r="D525" s="75">
        <v>7730</v>
      </c>
      <c r="E525" s="69" t="s">
        <v>121</v>
      </c>
      <c r="F525" s="69" t="s">
        <v>1950</v>
      </c>
      <c r="H525" s="69">
        <v>7035</v>
      </c>
      <c r="AS525" s="91">
        <f t="shared" si="53"/>
        <v>7035</v>
      </c>
      <c r="AT525" s="69">
        <v>4701.3999999999996</v>
      </c>
      <c r="AU525" s="52">
        <v>638.6</v>
      </c>
      <c r="AV525" s="69">
        <v>1695</v>
      </c>
      <c r="CD525" s="91">
        <f t="shared" si="50"/>
        <v>7035</v>
      </c>
      <c r="CE525" s="69">
        <f t="shared" si="51"/>
        <v>0</v>
      </c>
      <c r="CF525" s="75">
        <f t="shared" si="54"/>
        <v>7730</v>
      </c>
      <c r="CG525" s="69" t="str">
        <f t="shared" si="54"/>
        <v>ماليزى اسنان</v>
      </c>
    </row>
    <row r="526" spans="3:85" x14ac:dyDescent="0.25">
      <c r="C526" s="75">
        <v>13143</v>
      </c>
      <c r="D526" s="75">
        <v>7731</v>
      </c>
      <c r="E526" s="69" t="s">
        <v>121</v>
      </c>
      <c r="F526" s="69" t="s">
        <v>1951</v>
      </c>
      <c r="H526" s="69">
        <v>4165.75</v>
      </c>
      <c r="AS526" s="91">
        <f t="shared" si="53"/>
        <v>4165.75</v>
      </c>
      <c r="AT526" s="69">
        <v>3010.45</v>
      </c>
      <c r="AU526" s="52">
        <v>392.55</v>
      </c>
      <c r="AV526" s="69">
        <v>762.75</v>
      </c>
      <c r="CD526" s="91">
        <f t="shared" si="50"/>
        <v>4165.75</v>
      </c>
      <c r="CE526" s="69">
        <f t="shared" si="51"/>
        <v>0</v>
      </c>
      <c r="CF526" s="75">
        <f t="shared" si="54"/>
        <v>7731</v>
      </c>
      <c r="CG526" s="69" t="str">
        <f t="shared" si="54"/>
        <v>ماليزى اسنان</v>
      </c>
    </row>
    <row r="527" spans="3:85" x14ac:dyDescent="0.25">
      <c r="C527" s="75">
        <v>13150</v>
      </c>
      <c r="D527" s="75">
        <v>7732</v>
      </c>
      <c r="E527" s="69" t="s">
        <v>121</v>
      </c>
      <c r="F527" s="69" t="s">
        <v>1952</v>
      </c>
      <c r="H527" s="69">
        <v>4597.2</v>
      </c>
      <c r="AS527" s="91">
        <f t="shared" si="53"/>
        <v>4597.2</v>
      </c>
      <c r="AT527" s="69">
        <v>3182.2</v>
      </c>
      <c r="AU527" s="52">
        <v>420.6</v>
      </c>
      <c r="AV527" s="69">
        <v>994.4</v>
      </c>
      <c r="CD527" s="91">
        <f t="shared" si="50"/>
        <v>4597.2</v>
      </c>
      <c r="CE527" s="69">
        <f t="shared" si="51"/>
        <v>0</v>
      </c>
      <c r="CF527" s="75">
        <f t="shared" si="54"/>
        <v>7732</v>
      </c>
      <c r="CG527" s="69" t="str">
        <f t="shared" si="54"/>
        <v>ماليزى اسنان</v>
      </c>
    </row>
    <row r="528" spans="3:85" x14ac:dyDescent="0.25">
      <c r="C528" s="75">
        <v>13165</v>
      </c>
      <c r="D528" s="75">
        <v>7733</v>
      </c>
      <c r="E528" s="69" t="s">
        <v>121</v>
      </c>
      <c r="F528" s="69" t="s">
        <v>1953</v>
      </c>
      <c r="H528" s="69">
        <v>2814</v>
      </c>
      <c r="AS528" s="91">
        <f t="shared" si="53"/>
        <v>2814</v>
      </c>
      <c r="AT528" s="69">
        <v>1884</v>
      </c>
      <c r="AU528" s="52">
        <v>252</v>
      </c>
      <c r="AV528" s="69">
        <v>678</v>
      </c>
      <c r="CD528" s="91">
        <f t="shared" si="50"/>
        <v>2814</v>
      </c>
      <c r="CE528" s="69">
        <f t="shared" si="51"/>
        <v>0</v>
      </c>
      <c r="CF528" s="75">
        <f t="shared" si="54"/>
        <v>7733</v>
      </c>
      <c r="CG528" s="69" t="str">
        <f t="shared" si="54"/>
        <v>ماليزى اسنان</v>
      </c>
    </row>
    <row r="529" spans="2:88" x14ac:dyDescent="0.25">
      <c r="C529" s="75">
        <v>13161</v>
      </c>
      <c r="D529" s="75">
        <v>7734</v>
      </c>
      <c r="E529" s="69" t="s">
        <v>121</v>
      </c>
      <c r="F529" s="69" t="s">
        <v>1954</v>
      </c>
      <c r="H529" s="69">
        <v>820.76</v>
      </c>
      <c r="AS529" s="91">
        <f t="shared" si="53"/>
        <v>820.76</v>
      </c>
      <c r="AT529" s="69">
        <v>549.6</v>
      </c>
      <c r="AU529" s="52">
        <v>73.400000000000006</v>
      </c>
      <c r="AV529" s="69">
        <v>197.76</v>
      </c>
      <c r="CD529" s="91">
        <f t="shared" si="50"/>
        <v>820.76</v>
      </c>
      <c r="CE529" s="69">
        <f t="shared" si="51"/>
        <v>0</v>
      </c>
      <c r="CF529" s="75">
        <f t="shared" si="54"/>
        <v>7734</v>
      </c>
      <c r="CG529" s="69" t="str">
        <f t="shared" si="54"/>
        <v>ماليزى اسنان</v>
      </c>
    </row>
    <row r="530" spans="2:88" x14ac:dyDescent="0.25">
      <c r="C530" s="75">
        <v>13162</v>
      </c>
      <c r="D530" s="75">
        <v>7735</v>
      </c>
      <c r="E530" s="69" t="s">
        <v>121</v>
      </c>
      <c r="F530" s="69" t="s">
        <v>1954</v>
      </c>
      <c r="H530" s="69">
        <v>4045.14</v>
      </c>
      <c r="AS530" s="91">
        <f t="shared" si="53"/>
        <v>4045.14</v>
      </c>
      <c r="AT530" s="69">
        <v>2708.4</v>
      </c>
      <c r="AU530" s="52">
        <v>362.1</v>
      </c>
      <c r="AV530" s="69">
        <v>974.64</v>
      </c>
      <c r="CD530" s="91">
        <f t="shared" si="50"/>
        <v>4045.14</v>
      </c>
      <c r="CE530" s="69">
        <f t="shared" si="51"/>
        <v>0</v>
      </c>
      <c r="CF530" s="75">
        <f t="shared" si="54"/>
        <v>7735</v>
      </c>
      <c r="CG530" s="69" t="str">
        <f t="shared" si="54"/>
        <v>ماليزى اسنان</v>
      </c>
    </row>
    <row r="531" spans="2:88" x14ac:dyDescent="0.25">
      <c r="C531" s="75">
        <v>13160</v>
      </c>
      <c r="D531" s="75">
        <v>7736</v>
      </c>
      <c r="E531" s="69" t="s">
        <v>121</v>
      </c>
      <c r="F531" s="69" t="s">
        <v>1954</v>
      </c>
      <c r="H531" s="69">
        <v>2051.9</v>
      </c>
      <c r="AS531" s="91">
        <f t="shared" si="53"/>
        <v>2051.9</v>
      </c>
      <c r="AT531" s="69">
        <v>1374</v>
      </c>
      <c r="AU531" s="52">
        <v>183.5</v>
      </c>
      <c r="AV531" s="69">
        <v>494.4</v>
      </c>
      <c r="CD531" s="91">
        <f t="shared" si="50"/>
        <v>2051.9</v>
      </c>
      <c r="CE531" s="69">
        <f t="shared" si="51"/>
        <v>0</v>
      </c>
      <c r="CF531" s="75">
        <f t="shared" si="54"/>
        <v>7736</v>
      </c>
      <c r="CG531" s="69" t="str">
        <f t="shared" si="54"/>
        <v>ماليزى اسنان</v>
      </c>
    </row>
    <row r="532" spans="2:88" x14ac:dyDescent="0.25">
      <c r="C532" s="75">
        <v>13168</v>
      </c>
      <c r="D532" s="75">
        <v>7737</v>
      </c>
      <c r="E532" s="69" t="s">
        <v>121</v>
      </c>
      <c r="F532" s="69" t="s">
        <v>1955</v>
      </c>
      <c r="H532" s="69">
        <v>644.88</v>
      </c>
      <c r="AS532" s="91">
        <f t="shared" si="53"/>
        <v>644.88</v>
      </c>
      <c r="AT532" s="69">
        <v>431</v>
      </c>
      <c r="AU532" s="52">
        <f>55+3.5</f>
        <v>58.5</v>
      </c>
      <c r="AV532" s="69">
        <v>155.38</v>
      </c>
      <c r="CD532" s="91">
        <f t="shared" si="50"/>
        <v>644.88</v>
      </c>
      <c r="CE532" s="69">
        <f t="shared" si="51"/>
        <v>0</v>
      </c>
      <c r="CF532" s="75">
        <f t="shared" si="54"/>
        <v>7737</v>
      </c>
      <c r="CG532" s="69" t="str">
        <f t="shared" si="54"/>
        <v>ماليزى اسنان</v>
      </c>
    </row>
    <row r="533" spans="2:88" x14ac:dyDescent="0.25">
      <c r="C533" s="75">
        <v>13153</v>
      </c>
      <c r="D533" s="75">
        <v>7738</v>
      </c>
      <c r="E533" s="69" t="s">
        <v>121</v>
      </c>
      <c r="F533" s="69" t="s">
        <v>1956</v>
      </c>
      <c r="H533" s="69">
        <v>2931.25</v>
      </c>
      <c r="AS533" s="91">
        <f t="shared" si="53"/>
        <v>2931.25</v>
      </c>
      <c r="AT533" s="69">
        <v>1958.65</v>
      </c>
      <c r="AU533" s="52">
        <v>266.35000000000002</v>
      </c>
      <c r="AV533" s="69">
        <v>706.25</v>
      </c>
      <c r="CD533" s="91">
        <f t="shared" si="50"/>
        <v>2931.25</v>
      </c>
      <c r="CE533" s="69">
        <f t="shared" si="51"/>
        <v>0</v>
      </c>
      <c r="CF533" s="75">
        <f t="shared" si="54"/>
        <v>7738</v>
      </c>
      <c r="CG533" s="69" t="str">
        <f t="shared" si="54"/>
        <v>ماليزى اسنان</v>
      </c>
    </row>
    <row r="534" spans="2:88" x14ac:dyDescent="0.25">
      <c r="C534" s="75">
        <v>13151</v>
      </c>
      <c r="D534" s="75">
        <v>7739</v>
      </c>
      <c r="E534" s="69" t="s">
        <v>121</v>
      </c>
      <c r="F534" s="69" t="s">
        <v>1957</v>
      </c>
      <c r="H534" s="69">
        <v>4338.25</v>
      </c>
      <c r="AS534" s="91">
        <f t="shared" si="53"/>
        <v>4338.25</v>
      </c>
      <c r="AT534" s="69">
        <v>2901.5</v>
      </c>
      <c r="AU534" s="52">
        <v>391.5</v>
      </c>
      <c r="AV534" s="69">
        <v>1045.25</v>
      </c>
      <c r="CD534" s="91">
        <f t="shared" si="50"/>
        <v>4338.25</v>
      </c>
      <c r="CE534" s="69">
        <f t="shared" si="51"/>
        <v>0</v>
      </c>
      <c r="CF534" s="75">
        <f t="shared" si="54"/>
        <v>7739</v>
      </c>
      <c r="CG534" s="69" t="str">
        <f t="shared" si="54"/>
        <v>ماليزى اسنان</v>
      </c>
    </row>
    <row r="535" spans="2:88" x14ac:dyDescent="0.25">
      <c r="C535" s="75">
        <v>13150</v>
      </c>
      <c r="D535" s="75">
        <v>7740</v>
      </c>
      <c r="E535" s="69" t="s">
        <v>121</v>
      </c>
      <c r="F535" s="69" t="s">
        <v>1958</v>
      </c>
      <c r="H535" s="69">
        <v>2274.64</v>
      </c>
      <c r="AS535" s="91">
        <f t="shared" si="53"/>
        <v>2274.64</v>
      </c>
      <c r="AT535" s="69">
        <v>1522.55</v>
      </c>
      <c r="AU535" s="52">
        <v>204.05</v>
      </c>
      <c r="AV535" s="69">
        <v>548.04</v>
      </c>
      <c r="CD535" s="91">
        <f t="shared" si="50"/>
        <v>2274.64</v>
      </c>
      <c r="CE535" s="69">
        <f t="shared" si="51"/>
        <v>0</v>
      </c>
      <c r="CF535" s="75">
        <f t="shared" si="54"/>
        <v>7740</v>
      </c>
      <c r="CG535" s="69" t="str">
        <f t="shared" si="54"/>
        <v>ماليزى اسنان</v>
      </c>
    </row>
    <row r="536" spans="2:88" x14ac:dyDescent="0.25">
      <c r="C536" s="75">
        <v>13167</v>
      </c>
      <c r="D536" s="75">
        <v>7741</v>
      </c>
      <c r="E536" s="69" t="s">
        <v>121</v>
      </c>
      <c r="F536" s="69" t="s">
        <v>1944</v>
      </c>
      <c r="H536" s="69">
        <v>7450.23</v>
      </c>
      <c r="AS536" s="91">
        <f t="shared" si="53"/>
        <v>7450.23</v>
      </c>
      <c r="AT536" s="69">
        <v>5963.29</v>
      </c>
      <c r="AU536" s="52">
        <v>749.6</v>
      </c>
      <c r="AV536" s="69">
        <v>737.34</v>
      </c>
      <c r="CD536" s="91">
        <f t="shared" si="50"/>
        <v>7450.2300000000005</v>
      </c>
      <c r="CE536" s="69">
        <f t="shared" si="51"/>
        <v>0</v>
      </c>
      <c r="CF536" s="75">
        <f t="shared" si="54"/>
        <v>7741</v>
      </c>
      <c r="CG536" s="69" t="str">
        <f t="shared" si="54"/>
        <v>ماليزى اسنان</v>
      </c>
    </row>
    <row r="537" spans="2:88" x14ac:dyDescent="0.25">
      <c r="B537" s="69" t="s">
        <v>599</v>
      </c>
      <c r="C537" s="75">
        <v>13159</v>
      </c>
      <c r="D537" s="75">
        <v>7742</v>
      </c>
      <c r="E537" s="69" t="s">
        <v>121</v>
      </c>
      <c r="F537" s="69" t="s">
        <v>1959</v>
      </c>
      <c r="H537" s="69">
        <v>2579.5</v>
      </c>
      <c r="AS537" s="91">
        <f t="shared" si="53"/>
        <v>2579.5</v>
      </c>
      <c r="AT537" s="69">
        <v>1724.45</v>
      </c>
      <c r="AU537" s="52">
        <v>233.55</v>
      </c>
      <c r="AV537" s="69">
        <v>621.5</v>
      </c>
      <c r="CD537" s="91">
        <f t="shared" si="50"/>
        <v>2579.5</v>
      </c>
      <c r="CE537" s="69">
        <f t="shared" si="51"/>
        <v>0</v>
      </c>
      <c r="CF537" s="75">
        <f t="shared" si="54"/>
        <v>7742</v>
      </c>
      <c r="CG537" s="69" t="str">
        <f t="shared" si="54"/>
        <v>ماليزى اسنان</v>
      </c>
    </row>
    <row r="538" spans="2:88" x14ac:dyDescent="0.25">
      <c r="B538" s="69" t="s">
        <v>599</v>
      </c>
      <c r="C538" s="75">
        <v>13158</v>
      </c>
      <c r="D538" s="75">
        <v>7743</v>
      </c>
      <c r="E538" s="69" t="s">
        <v>121</v>
      </c>
      <c r="F538" s="69" t="s">
        <v>1960</v>
      </c>
      <c r="H538" s="69">
        <v>18689.46</v>
      </c>
      <c r="AS538" s="91">
        <f t="shared" ref="AS538:AS541" si="55">SUM(H538:AR538)</f>
        <v>18689.46</v>
      </c>
      <c r="AT538" s="69">
        <v>16394.34</v>
      </c>
      <c r="AU538" s="52">
        <v>1984.85</v>
      </c>
      <c r="AV538" s="69">
        <v>310.27</v>
      </c>
      <c r="CD538" s="91">
        <f t="shared" ref="CD538:CD541" si="56">SUM(AT538:CC538)</f>
        <v>18689.46</v>
      </c>
      <c r="CE538" s="69">
        <f t="shared" ref="CE538:CE541" si="57">+CD538-AS538</f>
        <v>0</v>
      </c>
      <c r="CF538" s="75">
        <f t="shared" si="54"/>
        <v>7743</v>
      </c>
      <c r="CG538" s="69" t="str">
        <f t="shared" si="54"/>
        <v>ماليزى اسنان</v>
      </c>
    </row>
    <row r="539" spans="2:88" x14ac:dyDescent="0.25">
      <c r="C539" s="75">
        <v>10855</v>
      </c>
      <c r="D539" s="75">
        <v>7744</v>
      </c>
      <c r="E539" s="69" t="s">
        <v>78</v>
      </c>
      <c r="F539" s="69" t="s">
        <v>1961</v>
      </c>
      <c r="G539" s="69" t="s">
        <v>1961</v>
      </c>
      <c r="H539" s="69">
        <v>7281.32</v>
      </c>
      <c r="AS539" s="91">
        <f t="shared" si="55"/>
        <v>7281.32</v>
      </c>
      <c r="AT539" s="69">
        <v>5576.04</v>
      </c>
      <c r="AU539" s="52">
        <v>699.97</v>
      </c>
      <c r="AV539" s="69">
        <v>1005.31</v>
      </c>
      <c r="CD539" s="91">
        <f t="shared" si="56"/>
        <v>7281.32</v>
      </c>
      <c r="CE539" s="69">
        <f t="shared" si="57"/>
        <v>0</v>
      </c>
      <c r="CF539" s="75">
        <f t="shared" si="54"/>
        <v>7744</v>
      </c>
      <c r="CG539" s="69" t="str">
        <f t="shared" si="54"/>
        <v>برنامج دولى</v>
      </c>
    </row>
    <row r="540" spans="2:88" x14ac:dyDescent="0.25">
      <c r="C540" s="75">
        <v>10852</v>
      </c>
      <c r="D540" s="75">
        <v>7745</v>
      </c>
      <c r="E540" s="69" t="s">
        <v>78</v>
      </c>
      <c r="F540" s="69" t="s">
        <v>1961</v>
      </c>
      <c r="H540" s="69">
        <v>768.94</v>
      </c>
      <c r="AS540" s="91">
        <f t="shared" si="55"/>
        <v>768.94</v>
      </c>
      <c r="AT540" s="69">
        <v>570.69000000000005</v>
      </c>
      <c r="AU540" s="52">
        <v>72.25</v>
      </c>
      <c r="AV540" s="69">
        <v>126</v>
      </c>
      <c r="CD540" s="91">
        <f t="shared" si="56"/>
        <v>768.94</v>
      </c>
      <c r="CE540" s="69">
        <f t="shared" si="57"/>
        <v>0</v>
      </c>
      <c r="CF540" s="75">
        <f t="shared" si="54"/>
        <v>7745</v>
      </c>
      <c r="CG540" s="69" t="str">
        <f t="shared" si="54"/>
        <v>برنامج دولى</v>
      </c>
    </row>
    <row r="541" spans="2:88" ht="36" x14ac:dyDescent="0.25">
      <c r="C541" s="75">
        <v>12256</v>
      </c>
      <c r="D541" s="75">
        <v>7746</v>
      </c>
      <c r="E541" s="69" t="s">
        <v>78</v>
      </c>
      <c r="F541" s="77" t="s">
        <v>1962</v>
      </c>
      <c r="I541" s="69">
        <v>24292.92</v>
      </c>
      <c r="AS541" s="91">
        <f t="shared" si="55"/>
        <v>24292.92</v>
      </c>
      <c r="AT541" s="69">
        <v>24292.92</v>
      </c>
      <c r="CD541" s="91">
        <f t="shared" si="56"/>
        <v>24292.92</v>
      </c>
      <c r="CE541" s="69">
        <f t="shared" si="57"/>
        <v>0</v>
      </c>
      <c r="CF541" s="75">
        <f t="shared" si="54"/>
        <v>7746</v>
      </c>
      <c r="CG541" s="69" t="str">
        <f t="shared" si="54"/>
        <v>برنامج دولى</v>
      </c>
    </row>
    <row r="542" spans="2:88" s="68" customFormat="1" x14ac:dyDescent="0.25">
      <c r="C542" s="75"/>
      <c r="D542" s="67"/>
      <c r="F542" s="68" t="s">
        <v>1963</v>
      </c>
      <c r="H542" s="68">
        <f t="shared" ref="H542:BS542" si="58">SUM(H410:H541)</f>
        <v>835469.83999999973</v>
      </c>
      <c r="I542" s="68">
        <f t="shared" si="58"/>
        <v>24292.92</v>
      </c>
      <c r="J542" s="68">
        <f t="shared" si="58"/>
        <v>0</v>
      </c>
      <c r="K542" s="68">
        <f t="shared" si="58"/>
        <v>0</v>
      </c>
      <c r="L542" s="68">
        <f t="shared" si="58"/>
        <v>0</v>
      </c>
      <c r="M542" s="68">
        <f t="shared" si="58"/>
        <v>0</v>
      </c>
      <c r="N542" s="68">
        <f t="shared" si="58"/>
        <v>0</v>
      </c>
      <c r="O542" s="68">
        <f t="shared" si="58"/>
        <v>0</v>
      </c>
      <c r="P542" s="68">
        <f t="shared" si="58"/>
        <v>0</v>
      </c>
      <c r="Q542" s="68">
        <f t="shared" si="58"/>
        <v>0</v>
      </c>
      <c r="R542" s="68">
        <f t="shared" si="58"/>
        <v>0</v>
      </c>
      <c r="S542" s="68">
        <f t="shared" si="58"/>
        <v>0</v>
      </c>
      <c r="T542" s="68">
        <f t="shared" si="58"/>
        <v>0</v>
      </c>
      <c r="U542" s="68">
        <f t="shared" si="58"/>
        <v>0</v>
      </c>
      <c r="V542" s="68">
        <f t="shared" si="58"/>
        <v>0</v>
      </c>
      <c r="W542" s="68">
        <f t="shared" si="58"/>
        <v>0</v>
      </c>
      <c r="X542" s="68">
        <f t="shared" si="58"/>
        <v>0</v>
      </c>
      <c r="Y542" s="68">
        <f t="shared" si="58"/>
        <v>0</v>
      </c>
      <c r="Z542" s="68">
        <f t="shared" si="58"/>
        <v>0</v>
      </c>
      <c r="AA542" s="68">
        <f t="shared" si="58"/>
        <v>0</v>
      </c>
      <c r="AB542" s="68">
        <f t="shared" si="58"/>
        <v>0</v>
      </c>
      <c r="AC542" s="68">
        <f t="shared" si="58"/>
        <v>0</v>
      </c>
      <c r="AD542" s="68">
        <f t="shared" si="58"/>
        <v>0</v>
      </c>
      <c r="AE542" s="68">
        <f t="shared" si="58"/>
        <v>0</v>
      </c>
      <c r="AF542" s="68">
        <f t="shared" si="58"/>
        <v>0</v>
      </c>
      <c r="AG542" s="68">
        <f t="shared" si="58"/>
        <v>0</v>
      </c>
      <c r="AH542" s="68">
        <f t="shared" si="58"/>
        <v>0</v>
      </c>
      <c r="AI542" s="68">
        <f t="shared" si="58"/>
        <v>0</v>
      </c>
      <c r="AJ542" s="68">
        <f t="shared" si="58"/>
        <v>0</v>
      </c>
      <c r="AK542" s="68">
        <f t="shared" si="58"/>
        <v>0</v>
      </c>
      <c r="AL542" s="68">
        <f t="shared" si="58"/>
        <v>0</v>
      </c>
      <c r="AM542" s="68">
        <f t="shared" si="58"/>
        <v>0</v>
      </c>
      <c r="AN542" s="68">
        <f t="shared" si="58"/>
        <v>0</v>
      </c>
      <c r="AP542" s="68">
        <f t="shared" si="58"/>
        <v>0</v>
      </c>
      <c r="AQ542" s="68">
        <f t="shared" si="58"/>
        <v>0</v>
      </c>
      <c r="AR542" s="68">
        <f t="shared" si="58"/>
        <v>0</v>
      </c>
      <c r="AS542" s="91">
        <f t="shared" si="58"/>
        <v>859762.75999999978</v>
      </c>
      <c r="AT542" s="68">
        <f t="shared" si="58"/>
        <v>708916.44999999972</v>
      </c>
      <c r="AU542" s="68">
        <f t="shared" si="58"/>
        <v>84891.690000000031</v>
      </c>
      <c r="AV542" s="68">
        <f t="shared" si="58"/>
        <v>65954.62000000001</v>
      </c>
      <c r="AW542" s="68">
        <f t="shared" si="58"/>
        <v>0</v>
      </c>
      <c r="AX542" s="68">
        <f t="shared" si="58"/>
        <v>0</v>
      </c>
      <c r="AY542" s="68">
        <f t="shared" si="58"/>
        <v>0</v>
      </c>
      <c r="AZ542" s="68">
        <f t="shared" si="58"/>
        <v>0</v>
      </c>
      <c r="BA542" s="68">
        <f t="shared" si="58"/>
        <v>0</v>
      </c>
      <c r="BB542" s="68">
        <f t="shared" si="58"/>
        <v>0</v>
      </c>
      <c r="BC542" s="68">
        <f t="shared" si="58"/>
        <v>0</v>
      </c>
      <c r="BD542" s="68">
        <f t="shared" si="58"/>
        <v>0</v>
      </c>
      <c r="BE542" s="68">
        <f t="shared" si="58"/>
        <v>0</v>
      </c>
      <c r="BF542" s="68">
        <f t="shared" si="58"/>
        <v>0</v>
      </c>
      <c r="BG542" s="68">
        <f t="shared" si="58"/>
        <v>0</v>
      </c>
      <c r="BH542" s="68">
        <f t="shared" si="58"/>
        <v>0</v>
      </c>
      <c r="BI542" s="68">
        <f t="shared" si="58"/>
        <v>0</v>
      </c>
      <c r="BJ542" s="68">
        <f t="shared" si="58"/>
        <v>0</v>
      </c>
      <c r="BK542" s="68">
        <f t="shared" si="58"/>
        <v>0</v>
      </c>
      <c r="BL542" s="68">
        <f t="shared" si="58"/>
        <v>0</v>
      </c>
      <c r="BM542" s="68">
        <f t="shared" si="58"/>
        <v>0</v>
      </c>
      <c r="BN542" s="68">
        <f t="shared" si="58"/>
        <v>0</v>
      </c>
      <c r="BO542" s="68">
        <f t="shared" si="58"/>
        <v>0</v>
      </c>
      <c r="BP542" s="68">
        <f t="shared" si="58"/>
        <v>0</v>
      </c>
      <c r="BQ542" s="68">
        <f t="shared" si="58"/>
        <v>0</v>
      </c>
      <c r="BR542" s="68">
        <f t="shared" si="58"/>
        <v>0</v>
      </c>
      <c r="BS542" s="68">
        <f t="shared" si="58"/>
        <v>0</v>
      </c>
      <c r="BT542" s="68">
        <f t="shared" ref="BT542:CD542" si="59">SUM(BT410:BT541)</f>
        <v>0</v>
      </c>
      <c r="BU542" s="68">
        <f t="shared" si="59"/>
        <v>0</v>
      </c>
      <c r="BV542" s="68">
        <f t="shared" si="59"/>
        <v>0</v>
      </c>
      <c r="BW542" s="68">
        <f t="shared" si="59"/>
        <v>0</v>
      </c>
      <c r="BX542" s="68">
        <f t="shared" si="59"/>
        <v>0</v>
      </c>
      <c r="BY542" s="68">
        <f t="shared" si="59"/>
        <v>0</v>
      </c>
      <c r="BZ542" s="68">
        <f t="shared" si="59"/>
        <v>0</v>
      </c>
      <c r="CA542" s="68">
        <f t="shared" si="59"/>
        <v>0</v>
      </c>
      <c r="CB542" s="68">
        <f t="shared" si="59"/>
        <v>0</v>
      </c>
      <c r="CC542" s="68">
        <f t="shared" si="59"/>
        <v>0</v>
      </c>
      <c r="CD542" s="91">
        <f t="shared" si="59"/>
        <v>859762.75999999978</v>
      </c>
      <c r="CG542" s="68">
        <f>SUM(CG410:CG541)</f>
        <v>0</v>
      </c>
      <c r="CH542" s="68">
        <f>SUM(CH410:CH541)</f>
        <v>0</v>
      </c>
      <c r="CI542" s="68">
        <f>SUM(CI410:CI541)</f>
        <v>0</v>
      </c>
      <c r="CJ542" s="68">
        <f>SUM(CJ410:CJ541)</f>
        <v>0</v>
      </c>
    </row>
    <row r="543" spans="2:88" x14ac:dyDescent="0.25">
      <c r="C543" s="75">
        <v>13115</v>
      </c>
      <c r="D543" s="75">
        <v>7747</v>
      </c>
      <c r="E543" s="69" t="s">
        <v>78</v>
      </c>
      <c r="F543" s="69" t="s">
        <v>1964</v>
      </c>
      <c r="H543" s="69">
        <v>1260</v>
      </c>
      <c r="AS543" s="91">
        <f>SUM(H543:AR543)</f>
        <v>1260</v>
      </c>
      <c r="AT543" s="69">
        <v>1124.9000000000001</v>
      </c>
      <c r="AU543" s="52">
        <v>135.1</v>
      </c>
      <c r="CD543" s="91">
        <f>SUM(AT543:CC543)</f>
        <v>1260</v>
      </c>
      <c r="CE543" s="69">
        <f>+CD543-AS543</f>
        <v>0</v>
      </c>
      <c r="CF543" s="75">
        <f>+D543</f>
        <v>7747</v>
      </c>
      <c r="CG543" s="69" t="str">
        <f>+E543</f>
        <v>برنامج دولى</v>
      </c>
    </row>
    <row r="544" spans="2:88" x14ac:dyDescent="0.25">
      <c r="C544" s="75">
        <v>13116</v>
      </c>
      <c r="D544" s="75">
        <v>7748</v>
      </c>
      <c r="E544" s="69" t="s">
        <v>78</v>
      </c>
      <c r="F544" s="69" t="s">
        <v>1965</v>
      </c>
      <c r="H544" s="69">
        <v>14550</v>
      </c>
      <c r="AS544" s="91">
        <f t="shared" ref="AS544:AS546" si="60">SUM(H544:AR544)</f>
        <v>14550</v>
      </c>
      <c r="AT544" s="69">
        <v>12982.5</v>
      </c>
      <c r="AU544" s="52">
        <v>1567.5</v>
      </c>
      <c r="CD544" s="91">
        <f>SUM(AT544:CC544)</f>
        <v>14550</v>
      </c>
      <c r="CE544" s="69">
        <f>+CD544-AS544</f>
        <v>0</v>
      </c>
      <c r="CF544" s="75">
        <f>+D544</f>
        <v>7748</v>
      </c>
      <c r="CG544" s="69" t="str">
        <f>+E544</f>
        <v>برنامج دولى</v>
      </c>
    </row>
    <row r="545" spans="2:85" x14ac:dyDescent="0.25">
      <c r="B545" s="69" t="s">
        <v>1966</v>
      </c>
      <c r="D545" s="75">
        <v>7749</v>
      </c>
      <c r="E545" s="69" t="s">
        <v>1431</v>
      </c>
      <c r="F545" s="69" t="s">
        <v>1967</v>
      </c>
      <c r="AS545" s="91">
        <f t="shared" si="60"/>
        <v>0</v>
      </c>
      <c r="CD545" s="91">
        <f t="shared" ref="CD545:CD546" si="61">SUM(AT545:CC545)</f>
        <v>0</v>
      </c>
      <c r="CE545" s="69">
        <f t="shared" ref="CE545:CE546" si="62">+CD545-AS545</f>
        <v>0</v>
      </c>
      <c r="CF545" s="75">
        <f t="shared" ref="CF545:CG546" si="63">+D545</f>
        <v>7749</v>
      </c>
      <c r="CG545" s="69" t="str">
        <f t="shared" si="63"/>
        <v>لاب فقط</v>
      </c>
    </row>
    <row r="546" spans="2:85" x14ac:dyDescent="0.25">
      <c r="B546" s="69" t="s">
        <v>1966</v>
      </c>
      <c r="D546" s="75">
        <v>7750</v>
      </c>
      <c r="E546" s="69" t="s">
        <v>1431</v>
      </c>
      <c r="F546" s="69" t="s">
        <v>1968</v>
      </c>
      <c r="AS546" s="91">
        <f t="shared" si="60"/>
        <v>0</v>
      </c>
      <c r="CD546" s="91">
        <f t="shared" si="61"/>
        <v>0</v>
      </c>
      <c r="CE546" s="69">
        <f t="shared" si="62"/>
        <v>0</v>
      </c>
      <c r="CF546" s="75">
        <f t="shared" si="63"/>
        <v>7750</v>
      </c>
      <c r="CG546" s="69" t="str">
        <f t="shared" si="63"/>
        <v>لاب فقط</v>
      </c>
    </row>
    <row r="547" spans="2:85" x14ac:dyDescent="0.25">
      <c r="C547" s="75">
        <v>13092</v>
      </c>
      <c r="D547" s="75">
        <v>7751</v>
      </c>
      <c r="E547" s="69" t="s">
        <v>78</v>
      </c>
      <c r="F547" s="69" t="s">
        <v>1969</v>
      </c>
      <c r="H547" s="69">
        <v>10628.25</v>
      </c>
      <c r="AS547" s="91">
        <f>SUM(H547:AR547)</f>
        <v>10628.25</v>
      </c>
      <c r="AT547" s="69">
        <v>7738.39</v>
      </c>
      <c r="AU547" s="52">
        <v>1009.4</v>
      </c>
      <c r="AV547" s="69">
        <v>1880.46</v>
      </c>
      <c r="CD547" s="91">
        <f>SUM(AT547:CC547)</f>
        <v>10628.25</v>
      </c>
      <c r="CE547" s="69">
        <f>+CD547-AS547</f>
        <v>0</v>
      </c>
      <c r="CF547" s="75">
        <f>+D547</f>
        <v>7751</v>
      </c>
      <c r="CG547" s="69" t="str">
        <f>+E547</f>
        <v>برنامج دولى</v>
      </c>
    </row>
    <row r="548" spans="2:85" x14ac:dyDescent="0.25">
      <c r="D548" s="75">
        <v>7752</v>
      </c>
      <c r="E548" s="69" t="s">
        <v>1431</v>
      </c>
      <c r="F548" s="69" t="s">
        <v>1970</v>
      </c>
      <c r="AS548" s="91">
        <f>SUM(H548:AR548)</f>
        <v>0</v>
      </c>
      <c r="CD548" s="91">
        <f>SUM(AT548:CC548)</f>
        <v>0</v>
      </c>
      <c r="CE548" s="69">
        <f>+CD548-AS548</f>
        <v>0</v>
      </c>
      <c r="CF548" s="75">
        <f>+D548</f>
        <v>7752</v>
      </c>
      <c r="CG548" s="69" t="str">
        <f>+E548</f>
        <v>لاب فقط</v>
      </c>
    </row>
    <row r="549" spans="2:85" x14ac:dyDescent="0.25">
      <c r="D549" s="75">
        <v>7753</v>
      </c>
      <c r="E549" s="69" t="s">
        <v>1431</v>
      </c>
      <c r="F549" s="69" t="s">
        <v>1971</v>
      </c>
      <c r="AS549" s="91">
        <f t="shared" ref="AS549:AS573" si="64">SUM(H549:AR549)</f>
        <v>0</v>
      </c>
      <c r="CD549" s="91">
        <f t="shared" ref="CD549:CD589" si="65">SUM(AT549:CC549)</f>
        <v>0</v>
      </c>
      <c r="CE549" s="69">
        <f t="shared" ref="CE549:CE612" si="66">+CD549-AS549</f>
        <v>0</v>
      </c>
      <c r="CF549" s="75">
        <f t="shared" ref="CF549:CG576" si="67">+D549</f>
        <v>7753</v>
      </c>
      <c r="CG549" s="69" t="str">
        <f t="shared" si="67"/>
        <v>لاب فقط</v>
      </c>
    </row>
    <row r="550" spans="2:85" x14ac:dyDescent="0.25">
      <c r="C550" s="75">
        <v>13093</v>
      </c>
      <c r="D550" s="75">
        <v>7754</v>
      </c>
      <c r="E550" s="69" t="s">
        <v>78</v>
      </c>
      <c r="F550" s="69" t="str">
        <f>+F547</f>
        <v>عب تدريس طب اطفال</v>
      </c>
      <c r="H550" s="69">
        <v>2849.17</v>
      </c>
      <c r="AS550" s="91">
        <f t="shared" si="64"/>
        <v>2849.17</v>
      </c>
      <c r="AT550" s="69">
        <v>1905.85</v>
      </c>
      <c r="AU550" s="52">
        <v>256.85000000000002</v>
      </c>
      <c r="AV550" s="69">
        <v>686.47</v>
      </c>
      <c r="CD550" s="91">
        <f t="shared" si="65"/>
        <v>2849.17</v>
      </c>
      <c r="CE550" s="69">
        <f t="shared" si="66"/>
        <v>0</v>
      </c>
      <c r="CF550" s="75">
        <f t="shared" si="67"/>
        <v>7754</v>
      </c>
      <c r="CG550" s="69" t="str">
        <f t="shared" si="67"/>
        <v>برنامج دولى</v>
      </c>
    </row>
    <row r="551" spans="2:85" x14ac:dyDescent="0.25">
      <c r="C551" s="75">
        <v>13108</v>
      </c>
      <c r="D551" s="75">
        <v>7755</v>
      </c>
      <c r="E551" s="69" t="s">
        <v>78</v>
      </c>
      <c r="F551" s="69" t="s">
        <v>1004</v>
      </c>
      <c r="H551" s="69">
        <v>1260.6600000000001</v>
      </c>
      <c r="AS551" s="91">
        <f t="shared" si="64"/>
        <v>1260.6600000000001</v>
      </c>
      <c r="AT551" s="69">
        <v>850.7</v>
      </c>
      <c r="AU551" s="52">
        <v>114.1</v>
      </c>
      <c r="AV551" s="69">
        <v>295.86</v>
      </c>
      <c r="CD551" s="91">
        <f t="shared" si="65"/>
        <v>1260.6600000000001</v>
      </c>
      <c r="CE551" s="69">
        <f t="shared" si="66"/>
        <v>0</v>
      </c>
      <c r="CF551" s="75">
        <f t="shared" si="67"/>
        <v>7755</v>
      </c>
      <c r="CG551" s="69" t="str">
        <f t="shared" si="67"/>
        <v>برنامج دولى</v>
      </c>
    </row>
    <row r="552" spans="2:85" x14ac:dyDescent="0.25">
      <c r="C552" s="75">
        <v>13107</v>
      </c>
      <c r="D552" s="75">
        <v>7756</v>
      </c>
      <c r="E552" s="69" t="s">
        <v>78</v>
      </c>
      <c r="F552" s="69" t="s">
        <v>1004</v>
      </c>
      <c r="H552" s="69">
        <v>5040.16</v>
      </c>
      <c r="AS552" s="91">
        <f t="shared" si="64"/>
        <v>5040.16</v>
      </c>
      <c r="AT552" s="69">
        <v>4045.7</v>
      </c>
      <c r="AU552" s="52">
        <v>502.9</v>
      </c>
      <c r="AV552" s="69">
        <v>491.56</v>
      </c>
      <c r="CD552" s="91">
        <f t="shared" si="65"/>
        <v>5040.16</v>
      </c>
      <c r="CE552" s="69">
        <f t="shared" si="66"/>
        <v>0</v>
      </c>
      <c r="CF552" s="75">
        <f t="shared" si="67"/>
        <v>7756</v>
      </c>
      <c r="CG552" s="69" t="str">
        <f t="shared" si="67"/>
        <v>برنامج دولى</v>
      </c>
    </row>
    <row r="553" spans="2:85" x14ac:dyDescent="0.25">
      <c r="C553" s="75">
        <v>13109</v>
      </c>
      <c r="D553" s="75">
        <v>7757</v>
      </c>
      <c r="E553" s="69" t="s">
        <v>78</v>
      </c>
      <c r="F553" s="69" t="s">
        <v>1004</v>
      </c>
      <c r="H553" s="69">
        <v>1266.31</v>
      </c>
      <c r="AS553" s="91">
        <f t="shared" si="64"/>
        <v>1266.31</v>
      </c>
      <c r="AT553" s="69">
        <v>847.65</v>
      </c>
      <c r="AU553" s="52">
        <v>113.55</v>
      </c>
      <c r="AV553" s="69">
        <v>305.11</v>
      </c>
      <c r="CD553" s="91">
        <f t="shared" si="65"/>
        <v>1266.31</v>
      </c>
      <c r="CE553" s="69">
        <f t="shared" si="66"/>
        <v>0</v>
      </c>
      <c r="CF553" s="75">
        <f t="shared" si="67"/>
        <v>7757</v>
      </c>
      <c r="CG553" s="69" t="str">
        <f t="shared" si="67"/>
        <v>برنامج دولى</v>
      </c>
    </row>
    <row r="554" spans="2:85" x14ac:dyDescent="0.25">
      <c r="C554" s="75">
        <v>13102</v>
      </c>
      <c r="D554" s="75">
        <v>7758</v>
      </c>
      <c r="E554" s="69" t="s">
        <v>78</v>
      </c>
      <c r="F554" s="69" t="s">
        <v>1004</v>
      </c>
      <c r="H554" s="69">
        <v>949.73</v>
      </c>
      <c r="AS554" s="91">
        <f t="shared" si="64"/>
        <v>949.73</v>
      </c>
      <c r="AT554" s="69">
        <v>635.6</v>
      </c>
      <c r="AU554" s="52">
        <v>85.3</v>
      </c>
      <c r="AV554" s="69">
        <v>228.83</v>
      </c>
      <c r="CD554" s="91">
        <f t="shared" si="65"/>
        <v>949.73</v>
      </c>
      <c r="CE554" s="69">
        <f t="shared" si="66"/>
        <v>0</v>
      </c>
      <c r="CF554" s="75">
        <f t="shared" si="67"/>
        <v>7758</v>
      </c>
      <c r="CG554" s="69" t="str">
        <f t="shared" si="67"/>
        <v>برنامج دولى</v>
      </c>
    </row>
    <row r="555" spans="2:85" x14ac:dyDescent="0.25">
      <c r="C555" s="75">
        <v>13103</v>
      </c>
      <c r="D555" s="75">
        <v>7759</v>
      </c>
      <c r="E555" s="69" t="s">
        <v>78</v>
      </c>
      <c r="F555" s="69" t="s">
        <v>1004</v>
      </c>
      <c r="H555" s="69">
        <v>738.68</v>
      </c>
      <c r="AS555" s="91">
        <f t="shared" si="64"/>
        <v>738.68</v>
      </c>
      <c r="AT555" s="69">
        <v>494.1</v>
      </c>
      <c r="AU555" s="52">
        <v>66.599999999999994</v>
      </c>
      <c r="AV555" s="69">
        <v>177.98</v>
      </c>
      <c r="CD555" s="91">
        <f t="shared" si="65"/>
        <v>738.68000000000006</v>
      </c>
      <c r="CE555" s="69">
        <f t="shared" si="66"/>
        <v>0</v>
      </c>
      <c r="CF555" s="75">
        <f t="shared" si="67"/>
        <v>7759</v>
      </c>
      <c r="CG555" s="69" t="str">
        <f t="shared" si="67"/>
        <v>برنامج دولى</v>
      </c>
    </row>
    <row r="556" spans="2:85" x14ac:dyDescent="0.25">
      <c r="C556" s="75">
        <v>13104</v>
      </c>
      <c r="D556" s="75">
        <v>7760</v>
      </c>
      <c r="E556" s="69" t="s">
        <v>78</v>
      </c>
      <c r="F556" s="69" t="s">
        <v>1004</v>
      </c>
      <c r="H556" s="69">
        <v>1266.3</v>
      </c>
      <c r="AS556" s="91">
        <f t="shared" si="64"/>
        <v>1266.3</v>
      </c>
      <c r="AT556" s="69">
        <v>847.1</v>
      </c>
      <c r="AU556" s="52">
        <v>114.1</v>
      </c>
      <c r="AV556" s="69">
        <v>305.10000000000002</v>
      </c>
      <c r="CD556" s="91">
        <f t="shared" si="65"/>
        <v>1266.3000000000002</v>
      </c>
      <c r="CE556" s="69">
        <f t="shared" si="66"/>
        <v>0</v>
      </c>
      <c r="CF556" s="75">
        <f t="shared" si="67"/>
        <v>7760</v>
      </c>
      <c r="CG556" s="69" t="str">
        <f t="shared" si="67"/>
        <v>برنامج دولى</v>
      </c>
    </row>
    <row r="557" spans="2:85" x14ac:dyDescent="0.25">
      <c r="C557" s="75">
        <v>13105</v>
      </c>
      <c r="D557" s="75">
        <v>7761</v>
      </c>
      <c r="E557" s="69" t="s">
        <v>78</v>
      </c>
      <c r="F557" s="69" t="s">
        <v>1004</v>
      </c>
      <c r="H557" s="69">
        <v>4049.18</v>
      </c>
      <c r="AS557" s="91">
        <f t="shared" si="64"/>
        <v>4049.18</v>
      </c>
      <c r="AT557" s="69">
        <v>2977.85</v>
      </c>
      <c r="AU557" s="52">
        <v>384.85</v>
      </c>
      <c r="AV557" s="69">
        <v>686.48</v>
      </c>
      <c r="CD557" s="91">
        <f t="shared" si="65"/>
        <v>4049.18</v>
      </c>
      <c r="CE557" s="69">
        <f t="shared" si="66"/>
        <v>0</v>
      </c>
      <c r="CF557" s="75">
        <f t="shared" si="67"/>
        <v>7761</v>
      </c>
      <c r="CG557" s="69" t="str">
        <f t="shared" si="67"/>
        <v>برنامج دولى</v>
      </c>
    </row>
    <row r="558" spans="2:85" x14ac:dyDescent="0.25">
      <c r="C558" s="75">
        <v>13106</v>
      </c>
      <c r="D558" s="75">
        <v>7762</v>
      </c>
      <c r="E558" s="69" t="s">
        <v>78</v>
      </c>
      <c r="F558" s="69" t="s">
        <v>1004</v>
      </c>
      <c r="H558" s="69">
        <v>316.58</v>
      </c>
      <c r="AS558" s="91">
        <f t="shared" si="64"/>
        <v>316.58</v>
      </c>
      <c r="AT558" s="69">
        <v>212.05</v>
      </c>
      <c r="AU558" s="52">
        <v>28.25</v>
      </c>
      <c r="AV558" s="69">
        <v>76.28</v>
      </c>
      <c r="CD558" s="91">
        <f t="shared" si="65"/>
        <v>316.58000000000004</v>
      </c>
      <c r="CE558" s="69">
        <f t="shared" si="66"/>
        <v>0</v>
      </c>
      <c r="CF558" s="75">
        <f t="shared" si="67"/>
        <v>7762</v>
      </c>
      <c r="CG558" s="69" t="str">
        <f t="shared" si="67"/>
        <v>برنامج دولى</v>
      </c>
    </row>
    <row r="559" spans="2:85" x14ac:dyDescent="0.25">
      <c r="C559" s="75">
        <v>13090</v>
      </c>
      <c r="D559" s="75">
        <v>7763</v>
      </c>
      <c r="E559" s="69" t="s">
        <v>78</v>
      </c>
      <c r="F559" s="69" t="s">
        <v>498</v>
      </c>
      <c r="H559" s="69">
        <v>4400</v>
      </c>
      <c r="AS559" s="91">
        <f t="shared" si="64"/>
        <v>4400</v>
      </c>
      <c r="AT559" s="69">
        <v>3929.05</v>
      </c>
      <c r="AU559" s="52">
        <v>470.95</v>
      </c>
      <c r="CD559" s="91">
        <f t="shared" si="65"/>
        <v>4400</v>
      </c>
      <c r="CE559" s="69">
        <f t="shared" si="66"/>
        <v>0</v>
      </c>
      <c r="CF559" s="75">
        <f t="shared" si="67"/>
        <v>7763</v>
      </c>
      <c r="CG559" s="69" t="str">
        <f t="shared" si="67"/>
        <v>برنامج دولى</v>
      </c>
    </row>
    <row r="560" spans="2:85" x14ac:dyDescent="0.25">
      <c r="C560" s="75">
        <v>13095</v>
      </c>
      <c r="D560" s="75">
        <v>7764</v>
      </c>
      <c r="E560" s="69" t="s">
        <v>78</v>
      </c>
      <c r="F560" s="69" t="s">
        <v>1972</v>
      </c>
      <c r="H560" s="69">
        <v>2160</v>
      </c>
      <c r="AS560" s="91">
        <f t="shared" si="64"/>
        <v>2160</v>
      </c>
      <c r="AT560" s="69">
        <v>1928.95</v>
      </c>
      <c r="AU560" s="52">
        <v>231.05</v>
      </c>
      <c r="CD560" s="91">
        <f t="shared" si="65"/>
        <v>2160</v>
      </c>
      <c r="CE560" s="69">
        <f t="shared" si="66"/>
        <v>0</v>
      </c>
      <c r="CF560" s="75">
        <f t="shared" si="67"/>
        <v>7764</v>
      </c>
      <c r="CG560" s="69" t="str">
        <f t="shared" si="67"/>
        <v>برنامج دولى</v>
      </c>
    </row>
    <row r="561" spans="2:85" x14ac:dyDescent="0.25">
      <c r="C561" s="75">
        <v>13101</v>
      </c>
      <c r="D561" s="75">
        <v>7765</v>
      </c>
      <c r="E561" s="69" t="s">
        <v>78</v>
      </c>
      <c r="F561" s="69" t="s">
        <v>1973</v>
      </c>
      <c r="H561" s="69">
        <v>1758.75</v>
      </c>
      <c r="AS561" s="91">
        <f t="shared" si="64"/>
        <v>1758.75</v>
      </c>
      <c r="AT561" s="69">
        <v>1174.0999999999999</v>
      </c>
      <c r="AU561" s="52">
        <f>150+10.9</f>
        <v>160.9</v>
      </c>
      <c r="AV561" s="69">
        <f>584.65-160.9</f>
        <v>423.75</v>
      </c>
      <c r="CD561" s="91">
        <f t="shared" si="65"/>
        <v>1758.75</v>
      </c>
      <c r="CE561" s="69">
        <f t="shared" si="66"/>
        <v>0</v>
      </c>
      <c r="CF561" s="75">
        <f t="shared" si="67"/>
        <v>7765</v>
      </c>
      <c r="CG561" s="69" t="str">
        <f t="shared" si="67"/>
        <v>برنامج دولى</v>
      </c>
    </row>
    <row r="562" spans="2:85" x14ac:dyDescent="0.25">
      <c r="C562" s="75">
        <v>13099</v>
      </c>
      <c r="D562" s="75">
        <v>7766</v>
      </c>
      <c r="E562" s="69" t="s">
        <v>78</v>
      </c>
      <c r="F562" s="69" t="s">
        <v>1973</v>
      </c>
      <c r="H562" s="69">
        <v>6106.66</v>
      </c>
      <c r="AS562" s="91">
        <f t="shared" si="64"/>
        <v>6106.66</v>
      </c>
      <c r="AT562" s="69">
        <v>5288.89</v>
      </c>
      <c r="AU562" s="52">
        <v>643.1</v>
      </c>
      <c r="AV562" s="69">
        <v>174.67</v>
      </c>
      <c r="CD562" s="91">
        <f t="shared" si="65"/>
        <v>6106.6600000000008</v>
      </c>
      <c r="CE562" s="69">
        <f t="shared" si="66"/>
        <v>0</v>
      </c>
      <c r="CF562" s="75">
        <f t="shared" si="67"/>
        <v>7766</v>
      </c>
      <c r="CG562" s="69" t="str">
        <f t="shared" si="67"/>
        <v>برنامج دولى</v>
      </c>
    </row>
    <row r="563" spans="2:85" x14ac:dyDescent="0.25">
      <c r="C563" s="75">
        <v>13098</v>
      </c>
      <c r="D563" s="75">
        <v>7767</v>
      </c>
      <c r="E563" s="69" t="s">
        <v>78</v>
      </c>
      <c r="F563" s="69" t="s">
        <v>1973</v>
      </c>
      <c r="H563" s="69">
        <v>23064</v>
      </c>
      <c r="AS563" s="91">
        <f t="shared" si="64"/>
        <v>23064</v>
      </c>
      <c r="AT563" s="69">
        <v>19960.45</v>
      </c>
      <c r="AU563" s="52">
        <v>2425.5500000000002</v>
      </c>
      <c r="AV563" s="69">
        <v>678</v>
      </c>
      <c r="CD563" s="91">
        <f t="shared" si="65"/>
        <v>23064</v>
      </c>
      <c r="CE563" s="69">
        <f t="shared" si="66"/>
        <v>0</v>
      </c>
      <c r="CF563" s="75">
        <f t="shared" si="67"/>
        <v>7767</v>
      </c>
      <c r="CG563" s="69" t="str">
        <f t="shared" si="67"/>
        <v>برنامج دولى</v>
      </c>
    </row>
    <row r="564" spans="2:85" x14ac:dyDescent="0.25">
      <c r="C564" s="75">
        <v>13096</v>
      </c>
      <c r="D564" s="75">
        <v>7768</v>
      </c>
      <c r="E564" s="69" t="s">
        <v>78</v>
      </c>
      <c r="F564" s="69" t="str">
        <f>+F560</f>
        <v>عب نظرى ا ه ت</v>
      </c>
      <c r="H564" s="69">
        <v>34024.35</v>
      </c>
      <c r="AS564" s="91">
        <f t="shared" si="64"/>
        <v>34024.35</v>
      </c>
      <c r="AT564" s="69">
        <v>29722.2</v>
      </c>
      <c r="AU564" s="52">
        <v>3607.2</v>
      </c>
      <c r="AV564" s="69">
        <v>694.95</v>
      </c>
      <c r="CD564" s="91">
        <f t="shared" si="65"/>
        <v>34024.35</v>
      </c>
      <c r="CE564" s="69">
        <f t="shared" si="66"/>
        <v>0</v>
      </c>
      <c r="CF564" s="75">
        <f t="shared" si="67"/>
        <v>7768</v>
      </c>
      <c r="CG564" s="69" t="str">
        <f t="shared" si="67"/>
        <v>برنامج دولى</v>
      </c>
    </row>
    <row r="565" spans="2:85" x14ac:dyDescent="0.25">
      <c r="C565" s="75">
        <v>13097</v>
      </c>
      <c r="D565" s="75">
        <v>7769</v>
      </c>
      <c r="E565" s="69" t="s">
        <v>78</v>
      </c>
      <c r="F565" s="69" t="str">
        <f>+F564</f>
        <v>عب نظرى ا ه ت</v>
      </c>
      <c r="H565" s="69">
        <v>406.58</v>
      </c>
      <c r="AS565" s="91">
        <f t="shared" si="64"/>
        <v>406.58</v>
      </c>
      <c r="AT565" s="69">
        <v>293.35000000000002</v>
      </c>
      <c r="AU565" s="52">
        <v>36.950000000000003</v>
      </c>
      <c r="AV565" s="69">
        <v>76.28</v>
      </c>
      <c r="CD565" s="91">
        <f t="shared" si="65"/>
        <v>406.58000000000004</v>
      </c>
      <c r="CE565" s="69">
        <f t="shared" si="66"/>
        <v>0</v>
      </c>
      <c r="CF565" s="75">
        <f t="shared" si="67"/>
        <v>7769</v>
      </c>
      <c r="CG565" s="69" t="str">
        <f t="shared" si="67"/>
        <v>برنامج دولى</v>
      </c>
    </row>
    <row r="566" spans="2:85" x14ac:dyDescent="0.25">
      <c r="C566" s="75">
        <v>13189</v>
      </c>
      <c r="D566" s="75">
        <v>7770</v>
      </c>
      <c r="E566" s="69" t="s">
        <v>78</v>
      </c>
      <c r="F566" s="69" t="str">
        <f>+F565</f>
        <v>عب نظرى ا ه ت</v>
      </c>
      <c r="H566" s="69">
        <v>3508.03</v>
      </c>
      <c r="AS566" s="91">
        <f t="shared" si="64"/>
        <v>3508.03</v>
      </c>
      <c r="AT566" s="69">
        <v>2723.48</v>
      </c>
      <c r="AU566" s="52">
        <v>345.6</v>
      </c>
      <c r="AV566" s="69">
        <v>438.95</v>
      </c>
      <c r="CD566" s="91">
        <f t="shared" si="65"/>
        <v>3508.0299999999997</v>
      </c>
      <c r="CE566" s="69">
        <f t="shared" si="66"/>
        <v>0</v>
      </c>
      <c r="CF566" s="75">
        <f t="shared" si="67"/>
        <v>7770</v>
      </c>
      <c r="CG566" s="69" t="str">
        <f t="shared" si="67"/>
        <v>برنامج دولى</v>
      </c>
    </row>
    <row r="567" spans="2:85" x14ac:dyDescent="0.25">
      <c r="C567" s="75">
        <v>12854</v>
      </c>
      <c r="D567" s="75">
        <v>7771</v>
      </c>
      <c r="E567" s="69" t="s">
        <v>78</v>
      </c>
      <c r="F567" s="69" t="s">
        <v>1974</v>
      </c>
      <c r="H567" s="69">
        <v>20311.259999999998</v>
      </c>
      <c r="AS567" s="91">
        <f t="shared" si="64"/>
        <v>20311.259999999998</v>
      </c>
      <c r="AT567" s="69">
        <v>15364.75</v>
      </c>
      <c r="AU567" s="52">
        <f>130.25+1850</f>
        <v>1980.25</v>
      </c>
      <c r="AV567" s="69">
        <v>2966.26</v>
      </c>
      <c r="CD567" s="91">
        <f t="shared" si="65"/>
        <v>20311.260000000002</v>
      </c>
      <c r="CE567" s="69">
        <f t="shared" si="66"/>
        <v>0</v>
      </c>
      <c r="CF567" s="75">
        <f t="shared" si="67"/>
        <v>7771</v>
      </c>
      <c r="CG567" s="69" t="str">
        <f t="shared" si="67"/>
        <v>برنامج دولى</v>
      </c>
    </row>
    <row r="568" spans="2:85" x14ac:dyDescent="0.25">
      <c r="C568" s="75">
        <v>12853</v>
      </c>
      <c r="D568" s="75">
        <v>7772</v>
      </c>
      <c r="E568" s="69" t="s">
        <v>78</v>
      </c>
      <c r="F568" s="69" t="s">
        <v>1974</v>
      </c>
      <c r="H568" s="69">
        <v>2000</v>
      </c>
      <c r="AS568" s="91">
        <f t="shared" si="64"/>
        <v>2000</v>
      </c>
      <c r="AT568" s="69">
        <v>1788.2</v>
      </c>
      <c r="AU568" s="52">
        <v>211.8</v>
      </c>
      <c r="CD568" s="91">
        <f t="shared" si="65"/>
        <v>2000</v>
      </c>
      <c r="CE568" s="69">
        <f t="shared" si="66"/>
        <v>0</v>
      </c>
      <c r="CF568" s="75">
        <f t="shared" si="67"/>
        <v>7772</v>
      </c>
      <c r="CG568" s="69" t="str">
        <f t="shared" si="67"/>
        <v>برنامج دولى</v>
      </c>
    </row>
    <row r="569" spans="2:85" x14ac:dyDescent="0.25">
      <c r="C569" s="75">
        <v>12852</v>
      </c>
      <c r="D569" s="75">
        <v>7773</v>
      </c>
      <c r="E569" s="69" t="s">
        <v>78</v>
      </c>
      <c r="F569" s="69" t="s">
        <v>1974</v>
      </c>
      <c r="H569" s="69">
        <v>7035</v>
      </c>
      <c r="AS569" s="91">
        <f t="shared" si="64"/>
        <v>7035</v>
      </c>
      <c r="AT569" s="69">
        <v>4698.6000000000004</v>
      </c>
      <c r="AU569" s="52">
        <v>641.4</v>
      </c>
      <c r="AV569" s="69">
        <v>1695</v>
      </c>
      <c r="CD569" s="91">
        <f t="shared" si="65"/>
        <v>7035</v>
      </c>
      <c r="CE569" s="69">
        <f t="shared" si="66"/>
        <v>0</v>
      </c>
      <c r="CF569" s="75">
        <f t="shared" si="67"/>
        <v>7773</v>
      </c>
      <c r="CG569" s="69" t="str">
        <f t="shared" si="67"/>
        <v>برنامج دولى</v>
      </c>
    </row>
    <row r="570" spans="2:85" x14ac:dyDescent="0.25">
      <c r="C570" s="75">
        <v>12851</v>
      </c>
      <c r="D570" s="75">
        <v>7774</v>
      </c>
      <c r="E570" s="69" t="s">
        <v>78</v>
      </c>
      <c r="F570" s="69" t="s">
        <v>1974</v>
      </c>
      <c r="H570" s="69">
        <v>1379.38</v>
      </c>
      <c r="AS570" s="91">
        <f t="shared" si="64"/>
        <v>1379.38</v>
      </c>
      <c r="AT570" s="69">
        <v>1035.2</v>
      </c>
      <c r="AU570" s="52">
        <v>132.30000000000001</v>
      </c>
      <c r="AV570" s="69">
        <v>211.88</v>
      </c>
      <c r="CD570" s="91">
        <f t="shared" si="65"/>
        <v>1379.38</v>
      </c>
      <c r="CE570" s="69">
        <f t="shared" si="66"/>
        <v>0</v>
      </c>
      <c r="CF570" s="75">
        <f t="shared" si="67"/>
        <v>7774</v>
      </c>
      <c r="CG570" s="69" t="str">
        <f t="shared" si="67"/>
        <v>برنامج دولى</v>
      </c>
    </row>
    <row r="571" spans="2:85" x14ac:dyDescent="0.25">
      <c r="C571" s="75">
        <v>12850</v>
      </c>
      <c r="D571" s="75">
        <v>7775</v>
      </c>
      <c r="E571" s="69" t="s">
        <v>78</v>
      </c>
      <c r="F571" s="69" t="s">
        <v>1974</v>
      </c>
      <c r="H571" s="69">
        <v>21250</v>
      </c>
      <c r="AS571" s="91">
        <f t="shared" si="64"/>
        <v>21250</v>
      </c>
      <c r="AT571" s="69">
        <v>18957.95</v>
      </c>
      <c r="AU571" s="52">
        <v>2292.0500000000002</v>
      </c>
      <c r="CD571" s="91">
        <f t="shared" si="65"/>
        <v>21250</v>
      </c>
      <c r="CE571" s="69">
        <f t="shared" si="66"/>
        <v>0</v>
      </c>
      <c r="CF571" s="75">
        <f t="shared" si="67"/>
        <v>7775</v>
      </c>
      <c r="CG571" s="69" t="str">
        <f t="shared" si="67"/>
        <v>برنامج دولى</v>
      </c>
    </row>
    <row r="572" spans="2:85" x14ac:dyDescent="0.25">
      <c r="C572" s="75">
        <v>13269</v>
      </c>
      <c r="D572" s="75">
        <v>7776</v>
      </c>
      <c r="E572" s="69" t="s">
        <v>78</v>
      </c>
      <c r="F572" s="69" t="s">
        <v>1975</v>
      </c>
      <c r="H572" s="69">
        <v>1002.82</v>
      </c>
      <c r="AS572" s="91">
        <f t="shared" si="64"/>
        <v>1002.82</v>
      </c>
      <c r="AT572" s="69">
        <v>680.59</v>
      </c>
      <c r="AU572" s="52">
        <v>80.62</v>
      </c>
      <c r="AV572" s="69">
        <v>241.61</v>
      </c>
      <c r="CD572" s="91">
        <f t="shared" si="65"/>
        <v>1002.82</v>
      </c>
      <c r="CE572" s="69">
        <f t="shared" si="66"/>
        <v>0</v>
      </c>
      <c r="CF572" s="75">
        <f t="shared" si="67"/>
        <v>7776</v>
      </c>
      <c r="CG572" s="69" t="str">
        <f t="shared" si="67"/>
        <v>برنامج دولى</v>
      </c>
    </row>
    <row r="573" spans="2:85" x14ac:dyDescent="0.25">
      <c r="C573" s="75">
        <v>12849</v>
      </c>
      <c r="D573" s="75">
        <v>7777</v>
      </c>
      <c r="E573" s="69" t="s">
        <v>78</v>
      </c>
      <c r="F573" s="69" t="s">
        <v>1976</v>
      </c>
      <c r="H573" s="69">
        <v>2000</v>
      </c>
      <c r="AS573" s="91">
        <f t="shared" si="64"/>
        <v>2000</v>
      </c>
      <c r="AT573" s="69">
        <v>2000</v>
      </c>
      <c r="CD573" s="91">
        <f t="shared" si="65"/>
        <v>2000</v>
      </c>
      <c r="CE573" s="69">
        <f t="shared" si="66"/>
        <v>0</v>
      </c>
      <c r="CF573" s="75">
        <f t="shared" si="67"/>
        <v>7777</v>
      </c>
      <c r="CG573" s="69" t="str">
        <f t="shared" si="67"/>
        <v>برنامج دولى</v>
      </c>
    </row>
    <row r="574" spans="2:85" x14ac:dyDescent="0.25">
      <c r="B574" s="69" t="s">
        <v>574</v>
      </c>
      <c r="C574" s="82">
        <v>13085</v>
      </c>
      <c r="D574" s="75">
        <v>7778</v>
      </c>
      <c r="E574" s="69" t="s">
        <v>78</v>
      </c>
      <c r="F574" s="69" t="s">
        <v>567</v>
      </c>
      <c r="H574" s="69">
        <v>98766</v>
      </c>
      <c r="U574" s="69"/>
      <c r="V574" s="69"/>
      <c r="AS574" s="91">
        <f>SUM(H574:AR574)</f>
        <v>98766</v>
      </c>
      <c r="AT574" s="69">
        <v>87207.06</v>
      </c>
      <c r="AU574" s="69">
        <v>10566.5</v>
      </c>
      <c r="AV574" s="69">
        <v>992.44</v>
      </c>
      <c r="CD574" s="91">
        <f t="shared" si="65"/>
        <v>98766</v>
      </c>
      <c r="CE574" s="69">
        <f t="shared" si="66"/>
        <v>0</v>
      </c>
      <c r="CF574" s="75">
        <f t="shared" si="67"/>
        <v>7778</v>
      </c>
      <c r="CG574" s="69" t="str">
        <f t="shared" si="67"/>
        <v>برنامج دولى</v>
      </c>
    </row>
    <row r="575" spans="2:85" x14ac:dyDescent="0.25">
      <c r="B575" s="69" t="s">
        <v>574</v>
      </c>
      <c r="C575" s="82">
        <v>13086</v>
      </c>
      <c r="D575" s="75">
        <v>7779</v>
      </c>
      <c r="E575" s="69" t="s">
        <v>78</v>
      </c>
      <c r="F575" s="69" t="s">
        <v>567</v>
      </c>
      <c r="H575" s="69">
        <v>4063.49</v>
      </c>
      <c r="U575" s="69"/>
      <c r="V575" s="69"/>
      <c r="AS575" s="94">
        <f>SUM(H575:AR575)</f>
        <v>4063.49</v>
      </c>
      <c r="AT575" s="69">
        <v>2647.06</v>
      </c>
      <c r="AU575" s="69">
        <v>362.6</v>
      </c>
      <c r="AV575" s="69">
        <v>1053.83</v>
      </c>
      <c r="CD575" s="91">
        <f t="shared" si="65"/>
        <v>4063.49</v>
      </c>
      <c r="CE575" s="69">
        <f t="shared" si="66"/>
        <v>0</v>
      </c>
      <c r="CF575" s="75">
        <f t="shared" si="67"/>
        <v>7779</v>
      </c>
      <c r="CG575" s="69" t="str">
        <f t="shared" si="67"/>
        <v>برنامج دولى</v>
      </c>
    </row>
    <row r="576" spans="2:85" x14ac:dyDescent="0.25">
      <c r="B576" s="69" t="s">
        <v>574</v>
      </c>
      <c r="C576" s="75">
        <v>1302</v>
      </c>
      <c r="D576" s="75">
        <v>7780</v>
      </c>
      <c r="E576" s="69" t="s">
        <v>78</v>
      </c>
      <c r="F576" s="69" t="s">
        <v>567</v>
      </c>
      <c r="H576" s="69">
        <v>4096.8</v>
      </c>
      <c r="AS576" s="94">
        <f t="shared" ref="AS576:AS602" si="68">SUM(H576:AR576)</f>
        <v>4096.8</v>
      </c>
      <c r="AT576" s="69">
        <v>2900.65</v>
      </c>
      <c r="AU576" s="52">
        <v>382.55</v>
      </c>
      <c r="AV576" s="69">
        <v>813.6</v>
      </c>
      <c r="CD576" s="91">
        <f t="shared" si="65"/>
        <v>4096.8</v>
      </c>
      <c r="CE576" s="69">
        <f t="shared" si="66"/>
        <v>0</v>
      </c>
      <c r="CF576" s="75">
        <f t="shared" si="67"/>
        <v>7780</v>
      </c>
      <c r="CG576" s="69" t="str">
        <f t="shared" si="67"/>
        <v>برنامج دولى</v>
      </c>
    </row>
    <row r="577" spans="2:85" x14ac:dyDescent="0.25">
      <c r="B577" s="69" t="s">
        <v>574</v>
      </c>
      <c r="C577" s="75">
        <v>13083</v>
      </c>
      <c r="D577" s="75">
        <v>7781</v>
      </c>
      <c r="E577" s="69" t="s">
        <v>78</v>
      </c>
      <c r="F577" s="69" t="s">
        <v>565</v>
      </c>
      <c r="H577" s="69">
        <v>7969.69</v>
      </c>
      <c r="AS577" s="94">
        <f t="shared" si="68"/>
        <v>7969.69</v>
      </c>
      <c r="AT577" s="69">
        <v>6865.04</v>
      </c>
      <c r="AU577" s="52">
        <v>826.75</v>
      </c>
      <c r="AV577" s="69">
        <v>277.89999999999998</v>
      </c>
      <c r="CD577" s="91">
        <f t="shared" si="65"/>
        <v>7969.69</v>
      </c>
      <c r="CE577" s="69">
        <f t="shared" si="66"/>
        <v>0</v>
      </c>
      <c r="CF577" s="75">
        <f t="shared" ref="CF577:CG592" si="69">+D577</f>
        <v>7781</v>
      </c>
      <c r="CG577" s="69" t="str">
        <f t="shared" si="69"/>
        <v>برنامج دولى</v>
      </c>
    </row>
    <row r="578" spans="2:85" x14ac:dyDescent="0.25">
      <c r="B578" s="69" t="s">
        <v>574</v>
      </c>
      <c r="C578" s="75">
        <v>13084</v>
      </c>
      <c r="D578" s="75">
        <v>7782</v>
      </c>
      <c r="E578" s="69" t="s">
        <v>78</v>
      </c>
      <c r="F578" s="69" t="s">
        <v>565</v>
      </c>
      <c r="H578" s="69">
        <v>540</v>
      </c>
      <c r="AS578" s="94">
        <f t="shared" si="68"/>
        <v>540</v>
      </c>
      <c r="AT578" s="69">
        <v>482.55</v>
      </c>
      <c r="AU578" s="52">
        <v>57.45</v>
      </c>
      <c r="CD578" s="91">
        <f t="shared" si="65"/>
        <v>540</v>
      </c>
      <c r="CE578" s="69">
        <f t="shared" si="66"/>
        <v>0</v>
      </c>
      <c r="CF578" s="75">
        <f t="shared" si="69"/>
        <v>7782</v>
      </c>
      <c r="CG578" s="69" t="str">
        <f t="shared" si="69"/>
        <v>برنامج دولى</v>
      </c>
    </row>
    <row r="579" spans="2:85" x14ac:dyDescent="0.25">
      <c r="B579" s="69" t="s">
        <v>574</v>
      </c>
      <c r="C579" s="75">
        <v>13071</v>
      </c>
      <c r="D579" s="75">
        <v>7783</v>
      </c>
      <c r="E579" s="69" t="s">
        <v>78</v>
      </c>
      <c r="F579" s="69" t="s">
        <v>569</v>
      </c>
      <c r="H579" s="69">
        <v>246.23</v>
      </c>
      <c r="AS579" s="94">
        <f t="shared" si="68"/>
        <v>246.23</v>
      </c>
      <c r="AT579" s="69">
        <v>164.9</v>
      </c>
      <c r="AU579" s="52">
        <f>1+21</f>
        <v>22</v>
      </c>
      <c r="AV579" s="69">
        <f>81.33-AU579</f>
        <v>59.33</v>
      </c>
      <c r="CD579" s="91">
        <f t="shared" si="65"/>
        <v>246.23000000000002</v>
      </c>
      <c r="CE579" s="69">
        <f t="shared" si="66"/>
        <v>0</v>
      </c>
      <c r="CF579" s="75">
        <f t="shared" si="69"/>
        <v>7783</v>
      </c>
      <c r="CG579" s="69" t="str">
        <f t="shared" si="69"/>
        <v>برنامج دولى</v>
      </c>
    </row>
    <row r="580" spans="2:85" x14ac:dyDescent="0.25">
      <c r="B580" s="69" t="s">
        <v>574</v>
      </c>
      <c r="C580" s="75">
        <v>13072</v>
      </c>
      <c r="D580" s="75">
        <v>7784</v>
      </c>
      <c r="E580" s="69" t="s">
        <v>78</v>
      </c>
      <c r="F580" s="69" t="s">
        <v>569</v>
      </c>
      <c r="H580" s="69">
        <v>2940</v>
      </c>
      <c r="AS580" s="94">
        <f t="shared" si="68"/>
        <v>2940</v>
      </c>
      <c r="AT580" s="69">
        <v>2624.3</v>
      </c>
      <c r="AU580" s="52">
        <v>315.7</v>
      </c>
      <c r="CD580" s="91">
        <f t="shared" si="65"/>
        <v>2940</v>
      </c>
      <c r="CE580" s="69">
        <f t="shared" si="66"/>
        <v>0</v>
      </c>
      <c r="CF580" s="75">
        <f t="shared" si="69"/>
        <v>7784</v>
      </c>
      <c r="CG580" s="69" t="str">
        <f t="shared" si="69"/>
        <v>برنامج دولى</v>
      </c>
    </row>
    <row r="581" spans="2:85" x14ac:dyDescent="0.25">
      <c r="B581" s="69" t="s">
        <v>574</v>
      </c>
      <c r="C581" s="75">
        <v>13073</v>
      </c>
      <c r="D581" s="75">
        <v>7785</v>
      </c>
      <c r="E581" s="69" t="s">
        <v>78</v>
      </c>
      <c r="F581" s="69" t="s">
        <v>569</v>
      </c>
      <c r="H581" s="69">
        <v>10200</v>
      </c>
      <c r="AS581" s="94">
        <f t="shared" si="68"/>
        <v>10200</v>
      </c>
      <c r="AT581" s="69">
        <v>9099.7999999999993</v>
      </c>
      <c r="AU581" s="52">
        <v>1100.2</v>
      </c>
      <c r="CD581" s="91">
        <f t="shared" si="65"/>
        <v>10200</v>
      </c>
      <c r="CE581" s="69">
        <f t="shared" si="66"/>
        <v>0</v>
      </c>
      <c r="CF581" s="75">
        <f t="shared" si="69"/>
        <v>7785</v>
      </c>
      <c r="CG581" s="69" t="str">
        <f t="shared" si="69"/>
        <v>برنامج دولى</v>
      </c>
    </row>
    <row r="582" spans="2:85" x14ac:dyDescent="0.25">
      <c r="B582" s="69" t="s">
        <v>574</v>
      </c>
      <c r="C582" s="75">
        <v>13075</v>
      </c>
      <c r="D582" s="75">
        <v>7786</v>
      </c>
      <c r="E582" s="69" t="s">
        <v>78</v>
      </c>
      <c r="F582" s="69" t="s">
        <v>569</v>
      </c>
      <c r="H582" s="69">
        <v>246.22</v>
      </c>
      <c r="AS582" s="94">
        <f t="shared" si="68"/>
        <v>246.22</v>
      </c>
      <c r="AT582" s="69">
        <v>165.05</v>
      </c>
      <c r="AU582" s="52">
        <v>21.85</v>
      </c>
      <c r="AV582" s="69">
        <v>59.32</v>
      </c>
      <c r="CD582" s="91">
        <f t="shared" si="65"/>
        <v>246.22</v>
      </c>
      <c r="CE582" s="69">
        <f t="shared" si="66"/>
        <v>0</v>
      </c>
      <c r="CF582" s="75">
        <f t="shared" si="69"/>
        <v>7786</v>
      </c>
      <c r="CG582" s="69" t="str">
        <f t="shared" si="69"/>
        <v>برنامج دولى</v>
      </c>
    </row>
    <row r="583" spans="2:85" x14ac:dyDescent="0.25">
      <c r="B583" s="69" t="s">
        <v>574</v>
      </c>
      <c r="C583" s="75">
        <v>13074</v>
      </c>
      <c r="D583" s="75">
        <v>7787</v>
      </c>
      <c r="E583" s="69" t="s">
        <v>78</v>
      </c>
      <c r="F583" s="69" t="s">
        <v>569</v>
      </c>
      <c r="H583" s="69">
        <v>840</v>
      </c>
      <c r="AS583" s="94">
        <f t="shared" si="68"/>
        <v>840</v>
      </c>
      <c r="AT583" s="69">
        <v>751.1</v>
      </c>
      <c r="AU583" s="52">
        <v>88.9</v>
      </c>
      <c r="CD583" s="91">
        <f t="shared" si="65"/>
        <v>840</v>
      </c>
      <c r="CE583" s="69">
        <f t="shared" si="66"/>
        <v>0</v>
      </c>
      <c r="CF583" s="75">
        <f t="shared" si="69"/>
        <v>7787</v>
      </c>
      <c r="CG583" s="69" t="str">
        <f t="shared" si="69"/>
        <v>برنامج دولى</v>
      </c>
    </row>
    <row r="584" spans="2:85" x14ac:dyDescent="0.25">
      <c r="B584" s="69" t="s">
        <v>574</v>
      </c>
      <c r="C584" s="75">
        <v>13077</v>
      </c>
      <c r="D584" s="75">
        <v>7788</v>
      </c>
      <c r="E584" s="69" t="s">
        <v>78</v>
      </c>
      <c r="F584" s="69" t="s">
        <v>1977</v>
      </c>
      <c r="H584" s="69">
        <v>32902.17</v>
      </c>
      <c r="AS584" s="94">
        <f t="shared" si="68"/>
        <v>32902.17</v>
      </c>
      <c r="AT584" s="69">
        <v>28043.61</v>
      </c>
      <c r="AU584" s="52">
        <v>3446.6</v>
      </c>
      <c r="AV584" s="69">
        <v>1411.96</v>
      </c>
      <c r="CD584" s="91">
        <f t="shared" si="65"/>
        <v>32902.17</v>
      </c>
      <c r="CE584" s="69">
        <f t="shared" si="66"/>
        <v>0</v>
      </c>
      <c r="CF584" s="75">
        <f t="shared" si="69"/>
        <v>7788</v>
      </c>
      <c r="CG584" s="69" t="str">
        <f t="shared" si="69"/>
        <v>برنامج دولى</v>
      </c>
    </row>
    <row r="585" spans="2:85" x14ac:dyDescent="0.25">
      <c r="B585" s="69" t="s">
        <v>574</v>
      </c>
      <c r="C585" s="75">
        <v>13076</v>
      </c>
      <c r="D585" s="75">
        <v>7789</v>
      </c>
      <c r="E585" s="69" t="s">
        <v>78</v>
      </c>
      <c r="F585" s="69" t="s">
        <v>1978</v>
      </c>
      <c r="H585" s="69">
        <v>1090.06</v>
      </c>
      <c r="AS585" s="94">
        <f t="shared" si="68"/>
        <v>1090.06</v>
      </c>
      <c r="AT585" s="69">
        <v>775.26</v>
      </c>
      <c r="AU585" s="52">
        <v>101.8</v>
      </c>
      <c r="AV585" s="69">
        <v>213</v>
      </c>
      <c r="CD585" s="91">
        <f t="shared" si="65"/>
        <v>1090.06</v>
      </c>
      <c r="CE585" s="69">
        <f t="shared" si="66"/>
        <v>0</v>
      </c>
      <c r="CF585" s="75">
        <f t="shared" si="69"/>
        <v>7789</v>
      </c>
      <c r="CG585" s="69" t="str">
        <f t="shared" si="69"/>
        <v>برنامج دولى</v>
      </c>
    </row>
    <row r="586" spans="2:85" x14ac:dyDescent="0.25">
      <c r="B586" s="69" t="s">
        <v>574</v>
      </c>
      <c r="C586" s="75">
        <v>13082</v>
      </c>
      <c r="D586" s="75">
        <v>7790</v>
      </c>
      <c r="E586" s="69" t="s">
        <v>78</v>
      </c>
      <c r="F586" s="69" t="s">
        <v>1979</v>
      </c>
      <c r="H586" s="69">
        <v>5400</v>
      </c>
      <c r="AS586" s="94">
        <f t="shared" si="68"/>
        <v>5400</v>
      </c>
      <c r="AT586" s="69">
        <v>4817.2</v>
      </c>
      <c r="AU586" s="52">
        <v>582.79999999999995</v>
      </c>
      <c r="CD586" s="91">
        <f t="shared" si="65"/>
        <v>5400</v>
      </c>
      <c r="CE586" s="69">
        <f t="shared" si="66"/>
        <v>0</v>
      </c>
      <c r="CF586" s="75">
        <f t="shared" si="69"/>
        <v>7790</v>
      </c>
      <c r="CG586" s="69" t="str">
        <f t="shared" si="69"/>
        <v>برنامج دولى</v>
      </c>
    </row>
    <row r="587" spans="2:85" x14ac:dyDescent="0.25">
      <c r="B587" s="69" t="s">
        <v>574</v>
      </c>
      <c r="C587" s="75">
        <v>13087</v>
      </c>
      <c r="D587" s="75">
        <v>7791</v>
      </c>
      <c r="E587" s="69" t="s">
        <v>78</v>
      </c>
      <c r="F587" s="69" t="s">
        <v>360</v>
      </c>
      <c r="H587" s="69">
        <v>241912.85</v>
      </c>
      <c r="AS587" s="94">
        <f t="shared" si="68"/>
        <v>241912.85</v>
      </c>
      <c r="AT587" s="69">
        <v>206184.29</v>
      </c>
      <c r="AU587" s="52">
        <v>25373.75</v>
      </c>
      <c r="AV587" s="69">
        <v>10354.81</v>
      </c>
      <c r="CD587" s="91">
        <f t="shared" si="65"/>
        <v>241912.85</v>
      </c>
      <c r="CE587" s="69">
        <f t="shared" si="66"/>
        <v>0</v>
      </c>
      <c r="CF587" s="75">
        <f t="shared" si="69"/>
        <v>7791</v>
      </c>
      <c r="CG587" s="69" t="str">
        <f t="shared" si="69"/>
        <v>برنامج دولى</v>
      </c>
    </row>
    <row r="588" spans="2:85" x14ac:dyDescent="0.25">
      <c r="B588" s="69" t="s">
        <v>574</v>
      </c>
      <c r="C588" s="75">
        <v>13089</v>
      </c>
      <c r="D588" s="75">
        <v>7792</v>
      </c>
      <c r="E588" s="69" t="s">
        <v>78</v>
      </c>
      <c r="F588" s="69" t="s">
        <v>360</v>
      </c>
      <c r="H588" s="69">
        <v>27904.91</v>
      </c>
      <c r="AS588" s="94">
        <f t="shared" si="68"/>
        <v>27904.91</v>
      </c>
      <c r="AT588" s="69">
        <v>20367.91</v>
      </c>
      <c r="AU588" s="52">
        <v>2665.05</v>
      </c>
      <c r="AV588" s="69">
        <v>4871.95</v>
      </c>
      <c r="CD588" s="91">
        <f t="shared" si="65"/>
        <v>27904.91</v>
      </c>
      <c r="CE588" s="69">
        <f t="shared" si="66"/>
        <v>0</v>
      </c>
      <c r="CF588" s="75">
        <f t="shared" si="69"/>
        <v>7792</v>
      </c>
      <c r="CG588" s="69" t="str">
        <f t="shared" si="69"/>
        <v>برنامج دولى</v>
      </c>
    </row>
    <row r="589" spans="2:85" x14ac:dyDescent="0.25">
      <c r="B589" s="69" t="s">
        <v>574</v>
      </c>
      <c r="C589" s="75">
        <v>13088</v>
      </c>
      <c r="D589" s="75">
        <v>7793</v>
      </c>
      <c r="E589" s="69" t="s">
        <v>78</v>
      </c>
      <c r="F589" s="69" t="s">
        <v>360</v>
      </c>
      <c r="H589" s="69">
        <v>7668.15</v>
      </c>
      <c r="AS589" s="94">
        <f t="shared" si="68"/>
        <v>7668.15</v>
      </c>
      <c r="AT589" s="69">
        <v>5125.05</v>
      </c>
      <c r="AU589" s="52">
        <v>695.55</v>
      </c>
      <c r="AV589" s="69">
        <v>1847.55</v>
      </c>
      <c r="CD589" s="91">
        <f t="shared" si="65"/>
        <v>7668.1500000000005</v>
      </c>
      <c r="CE589" s="69">
        <f t="shared" si="66"/>
        <v>0</v>
      </c>
      <c r="CF589" s="75">
        <f t="shared" si="69"/>
        <v>7793</v>
      </c>
      <c r="CG589" s="69" t="str">
        <f t="shared" si="69"/>
        <v>برنامج دولى</v>
      </c>
    </row>
    <row r="590" spans="2:85" x14ac:dyDescent="0.25">
      <c r="B590" s="69" t="s">
        <v>574</v>
      </c>
      <c r="C590" s="75">
        <v>13111</v>
      </c>
      <c r="D590" s="75">
        <v>7794</v>
      </c>
      <c r="E590" s="69" t="s">
        <v>78</v>
      </c>
      <c r="F590" s="69" t="s">
        <v>1980</v>
      </c>
      <c r="H590" s="69">
        <v>10034.61</v>
      </c>
      <c r="AS590" s="94">
        <f t="shared" si="68"/>
        <v>10034.61</v>
      </c>
      <c r="AT590" s="69">
        <v>8619.57</v>
      </c>
      <c r="AU590" s="52">
        <v>1047.2</v>
      </c>
      <c r="AV590" s="69">
        <v>367.84</v>
      </c>
      <c r="CD590" s="91">
        <f t="shared" ref="CD590:CD618" si="70">SUM(AT590:CC590)</f>
        <v>10034.61</v>
      </c>
      <c r="CE590" s="69">
        <f t="shared" si="66"/>
        <v>0</v>
      </c>
      <c r="CF590" s="75">
        <f t="shared" si="69"/>
        <v>7794</v>
      </c>
      <c r="CG590" s="69" t="str">
        <f t="shared" si="69"/>
        <v>برنامج دولى</v>
      </c>
    </row>
    <row r="591" spans="2:85" x14ac:dyDescent="0.25">
      <c r="B591" s="69" t="s">
        <v>574</v>
      </c>
      <c r="C591" s="75">
        <v>13112</v>
      </c>
      <c r="D591" s="75">
        <v>7795</v>
      </c>
      <c r="E591" s="69" t="s">
        <v>78</v>
      </c>
      <c r="F591" s="69" t="s">
        <v>1980</v>
      </c>
      <c r="H591" s="69">
        <v>29611.43</v>
      </c>
      <c r="AS591" s="94">
        <f t="shared" si="68"/>
        <v>29611.43</v>
      </c>
      <c r="AT591" s="69">
        <v>20245.22</v>
      </c>
      <c r="AU591" s="52">
        <v>2731.25</v>
      </c>
      <c r="AV591" s="69">
        <v>6634.96</v>
      </c>
      <c r="CD591" s="91">
        <f t="shared" si="70"/>
        <v>29611.43</v>
      </c>
      <c r="CE591" s="69">
        <f t="shared" si="66"/>
        <v>0</v>
      </c>
      <c r="CF591" s="75">
        <f t="shared" si="69"/>
        <v>7795</v>
      </c>
      <c r="CG591" s="69" t="str">
        <f t="shared" si="69"/>
        <v>برنامج دولى</v>
      </c>
    </row>
    <row r="592" spans="2:85" x14ac:dyDescent="0.25">
      <c r="B592" s="69" t="s">
        <v>574</v>
      </c>
      <c r="C592" s="75">
        <v>13110</v>
      </c>
      <c r="D592" s="75">
        <v>7796</v>
      </c>
      <c r="E592" s="69" t="s">
        <v>78</v>
      </c>
      <c r="F592" s="69" t="s">
        <v>1980</v>
      </c>
      <c r="H592" s="69">
        <v>101168.22</v>
      </c>
      <c r="AS592" s="94">
        <f t="shared" si="68"/>
        <v>101168.22</v>
      </c>
      <c r="AT592" s="69">
        <v>83983.1</v>
      </c>
      <c r="AU592" s="52">
        <v>10391.65</v>
      </c>
      <c r="AV592" s="69">
        <v>6793.47</v>
      </c>
      <c r="CD592" s="91">
        <f t="shared" si="70"/>
        <v>101168.22</v>
      </c>
      <c r="CE592" s="69">
        <f t="shared" si="66"/>
        <v>0</v>
      </c>
      <c r="CF592" s="75">
        <f t="shared" si="69"/>
        <v>7796</v>
      </c>
      <c r="CG592" s="69" t="str">
        <f t="shared" si="69"/>
        <v>برنامج دولى</v>
      </c>
    </row>
    <row r="593" spans="3:85" x14ac:dyDescent="0.25">
      <c r="C593" s="75">
        <v>13049</v>
      </c>
      <c r="D593" s="75">
        <v>7797</v>
      </c>
      <c r="E593" s="69" t="s">
        <v>78</v>
      </c>
      <c r="F593" s="69" t="s">
        <v>1981</v>
      </c>
      <c r="X593" s="69">
        <v>9500</v>
      </c>
      <c r="AS593" s="94">
        <f t="shared" si="68"/>
        <v>9500</v>
      </c>
      <c r="AT593" s="69">
        <v>9500</v>
      </c>
      <c r="CD593" s="91">
        <f t="shared" si="70"/>
        <v>9500</v>
      </c>
      <c r="CE593" s="69">
        <f t="shared" si="66"/>
        <v>0</v>
      </c>
      <c r="CF593" s="75">
        <f t="shared" ref="CF593:CG621" si="71">+D593</f>
        <v>7797</v>
      </c>
      <c r="CG593" s="69" t="str">
        <f t="shared" si="71"/>
        <v>برنامج دولى</v>
      </c>
    </row>
    <row r="594" spans="3:85" x14ac:dyDescent="0.25">
      <c r="C594" s="75">
        <v>12969</v>
      </c>
      <c r="D594" s="75">
        <v>7798</v>
      </c>
      <c r="E594" s="69" t="s">
        <v>78</v>
      </c>
      <c r="F594" s="69" t="s">
        <v>1982</v>
      </c>
      <c r="X594" s="69">
        <v>899.75</v>
      </c>
      <c r="AS594" s="94">
        <f t="shared" si="68"/>
        <v>899.75</v>
      </c>
      <c r="AT594" s="69">
        <v>899.75</v>
      </c>
      <c r="CD594" s="91">
        <f t="shared" si="70"/>
        <v>899.75</v>
      </c>
      <c r="CE594" s="69">
        <f t="shared" si="66"/>
        <v>0</v>
      </c>
      <c r="CF594" s="75">
        <f t="shared" si="71"/>
        <v>7798</v>
      </c>
      <c r="CG594" s="69" t="str">
        <f t="shared" si="71"/>
        <v>برنامج دولى</v>
      </c>
    </row>
    <row r="595" spans="3:85" ht="36" x14ac:dyDescent="0.25">
      <c r="C595" s="75">
        <v>6162</v>
      </c>
      <c r="D595" s="75">
        <v>7799</v>
      </c>
      <c r="E595" s="69" t="s">
        <v>78</v>
      </c>
      <c r="F595" s="77" t="s">
        <v>1983</v>
      </c>
      <c r="I595" s="69">
        <v>8550</v>
      </c>
      <c r="AS595" s="94">
        <f t="shared" si="68"/>
        <v>8550</v>
      </c>
      <c r="AT595" s="69">
        <v>8068.8</v>
      </c>
      <c r="AU595" s="52">
        <v>430.2</v>
      </c>
      <c r="AW595" s="69">
        <v>5</v>
      </c>
      <c r="BG595" s="69">
        <v>26</v>
      </c>
      <c r="BH595" s="69">
        <v>20</v>
      </c>
      <c r="CD595" s="91">
        <f t="shared" si="70"/>
        <v>8550</v>
      </c>
      <c r="CE595" s="69">
        <f t="shared" si="66"/>
        <v>0</v>
      </c>
      <c r="CF595" s="75">
        <f t="shared" si="71"/>
        <v>7799</v>
      </c>
      <c r="CG595" s="69" t="str">
        <f t="shared" si="71"/>
        <v>برنامج دولى</v>
      </c>
    </row>
    <row r="596" spans="3:85" ht="54" x14ac:dyDescent="0.25">
      <c r="C596" s="75">
        <v>13054</v>
      </c>
      <c r="D596" s="75">
        <v>7800</v>
      </c>
      <c r="E596" s="69" t="s">
        <v>130</v>
      </c>
      <c r="F596" s="77" t="s">
        <v>1984</v>
      </c>
      <c r="I596" s="69">
        <v>5400</v>
      </c>
      <c r="AS596" s="94">
        <v>5400</v>
      </c>
      <c r="AT596" s="69">
        <v>4925.3999999999996</v>
      </c>
      <c r="AU596" s="52">
        <v>283.89999999999998</v>
      </c>
      <c r="BG596" s="69">
        <v>142.1</v>
      </c>
      <c r="BH596" s="69">
        <v>6</v>
      </c>
      <c r="BI596" s="69">
        <v>42.6</v>
      </c>
      <c r="CD596" s="91">
        <v>5400</v>
      </c>
      <c r="CE596" s="69">
        <v>0</v>
      </c>
      <c r="CF596" s="75">
        <f t="shared" si="71"/>
        <v>7800</v>
      </c>
      <c r="CG596" s="69" t="s">
        <v>130</v>
      </c>
    </row>
    <row r="597" spans="3:85" ht="36" x14ac:dyDescent="0.25">
      <c r="C597" s="75">
        <v>13053</v>
      </c>
      <c r="D597" s="75">
        <v>7801</v>
      </c>
      <c r="E597" s="69" t="s">
        <v>130</v>
      </c>
      <c r="F597" s="77" t="s">
        <v>1985</v>
      </c>
      <c r="I597" s="69">
        <v>14250</v>
      </c>
      <c r="AS597" s="94">
        <f t="shared" si="68"/>
        <v>14250</v>
      </c>
      <c r="AT597" s="69">
        <v>13033.5</v>
      </c>
      <c r="AU597" s="52">
        <v>709</v>
      </c>
      <c r="BG597" s="69">
        <v>375</v>
      </c>
      <c r="BH597" s="69">
        <v>20</v>
      </c>
      <c r="BI597" s="69">
        <f>56.25*2</f>
        <v>112.5</v>
      </c>
      <c r="CD597" s="91">
        <f t="shared" si="70"/>
        <v>14250</v>
      </c>
      <c r="CE597" s="69">
        <f t="shared" si="66"/>
        <v>0</v>
      </c>
      <c r="CF597" s="75">
        <f t="shared" si="71"/>
        <v>7801</v>
      </c>
      <c r="CG597" s="69" t="str">
        <f t="shared" si="71"/>
        <v>خ ت طب</v>
      </c>
    </row>
    <row r="598" spans="3:85" x14ac:dyDescent="0.25">
      <c r="C598" s="75">
        <v>12903</v>
      </c>
      <c r="D598" s="75">
        <v>7802</v>
      </c>
      <c r="E598" s="69" t="s">
        <v>121</v>
      </c>
      <c r="F598" s="69" t="s">
        <v>1986</v>
      </c>
      <c r="I598" s="69">
        <v>9120</v>
      </c>
      <c r="AS598" s="94">
        <f t="shared" si="68"/>
        <v>9120</v>
      </c>
      <c r="AT598" s="69">
        <v>8410</v>
      </c>
      <c r="AU598" s="52">
        <v>625</v>
      </c>
      <c r="AW598" s="69">
        <v>5</v>
      </c>
      <c r="BG598" s="69">
        <v>80</v>
      </c>
      <c r="CD598" s="91">
        <f t="shared" si="70"/>
        <v>9120</v>
      </c>
      <c r="CE598" s="69">
        <f t="shared" si="66"/>
        <v>0</v>
      </c>
      <c r="CF598" s="75">
        <f t="shared" si="71"/>
        <v>7802</v>
      </c>
      <c r="CG598" s="69" t="str">
        <f t="shared" si="71"/>
        <v>ماليزى اسنان</v>
      </c>
    </row>
    <row r="599" spans="3:85" ht="36" x14ac:dyDescent="0.25">
      <c r="C599" s="75">
        <v>12904</v>
      </c>
      <c r="D599" s="75">
        <v>7803</v>
      </c>
      <c r="E599" s="69" t="s">
        <v>121</v>
      </c>
      <c r="F599" s="77" t="s">
        <v>1987</v>
      </c>
      <c r="I599" s="69">
        <v>2000</v>
      </c>
      <c r="AS599" s="94">
        <f t="shared" si="68"/>
        <v>2000</v>
      </c>
      <c r="AT599" s="69">
        <v>1827.65</v>
      </c>
      <c r="AU599" s="52">
        <f>25.75+77.25+3.6</f>
        <v>106.6</v>
      </c>
      <c r="AW599" s="69">
        <v>5</v>
      </c>
      <c r="BG599" s="69">
        <v>52.75</v>
      </c>
      <c r="BH599" s="69">
        <v>8</v>
      </c>
      <c r="CD599" s="91">
        <f t="shared" si="70"/>
        <v>2000</v>
      </c>
      <c r="CE599" s="69">
        <f t="shared" si="66"/>
        <v>0</v>
      </c>
      <c r="CF599" s="75">
        <f t="shared" si="71"/>
        <v>7803</v>
      </c>
      <c r="CG599" s="69" t="str">
        <f t="shared" si="71"/>
        <v>ماليزى اسنان</v>
      </c>
    </row>
    <row r="600" spans="3:85" ht="36" x14ac:dyDescent="0.25">
      <c r="C600" s="75">
        <v>11042</v>
      </c>
      <c r="D600" s="75">
        <v>7804</v>
      </c>
      <c r="E600" s="69" t="s">
        <v>119</v>
      </c>
      <c r="F600" s="77" t="s">
        <v>1988</v>
      </c>
      <c r="L600" s="69">
        <v>20976</v>
      </c>
      <c r="M600" s="69">
        <v>20976</v>
      </c>
      <c r="N600" s="69">
        <v>20976</v>
      </c>
      <c r="AS600" s="94">
        <f t="shared" si="68"/>
        <v>62928</v>
      </c>
      <c r="AT600" s="69">
        <v>18695.8</v>
      </c>
      <c r="AU600" s="52">
        <f>210.5+631.5+10.8</f>
        <v>852.8</v>
      </c>
      <c r="AW600" s="69">
        <v>5</v>
      </c>
      <c r="BG600" s="69">
        <v>184</v>
      </c>
      <c r="BH600" s="69">
        <v>24</v>
      </c>
      <c r="BI600" s="69">
        <f>82.8*2</f>
        <v>165.6</v>
      </c>
      <c r="BK600" s="69">
        <v>1048.8</v>
      </c>
      <c r="BL600" s="69">
        <v>20976</v>
      </c>
      <c r="BM600" s="69">
        <v>20976</v>
      </c>
      <c r="CD600" s="91">
        <f t="shared" si="70"/>
        <v>62928</v>
      </c>
      <c r="CE600" s="69">
        <f t="shared" si="66"/>
        <v>0</v>
      </c>
      <c r="CF600" s="75">
        <f t="shared" si="71"/>
        <v>7804</v>
      </c>
      <c r="CG600" s="69" t="str">
        <f t="shared" si="71"/>
        <v>خ ت صيدلة</v>
      </c>
    </row>
    <row r="601" spans="3:85" x14ac:dyDescent="0.25">
      <c r="C601" s="75">
        <v>13113</v>
      </c>
      <c r="D601" s="75">
        <v>7805</v>
      </c>
      <c r="E601" s="69" t="s">
        <v>78</v>
      </c>
      <c r="F601" s="69" t="s">
        <v>1989</v>
      </c>
      <c r="J601" s="69">
        <v>4000</v>
      </c>
      <c r="AS601" s="94">
        <f t="shared" si="68"/>
        <v>4000</v>
      </c>
      <c r="AT601" s="69">
        <v>4000</v>
      </c>
      <c r="CD601" s="91">
        <f t="shared" si="70"/>
        <v>4000</v>
      </c>
      <c r="CE601" s="69">
        <f t="shared" si="66"/>
        <v>0</v>
      </c>
      <c r="CF601" s="75">
        <f t="shared" si="71"/>
        <v>7805</v>
      </c>
      <c r="CG601" s="69" t="str">
        <f t="shared" si="71"/>
        <v>برنامج دولى</v>
      </c>
    </row>
    <row r="602" spans="3:85" ht="36" x14ac:dyDescent="0.25">
      <c r="C602" s="82">
        <v>12841</v>
      </c>
      <c r="D602" s="75">
        <v>7806</v>
      </c>
      <c r="E602" s="69" t="s">
        <v>78</v>
      </c>
      <c r="F602" s="77" t="s">
        <v>1990</v>
      </c>
      <c r="S602" s="69">
        <v>22951.55</v>
      </c>
      <c r="U602" s="69"/>
      <c r="V602" s="69"/>
      <c r="AS602" s="94">
        <f t="shared" si="68"/>
        <v>22951.55</v>
      </c>
      <c r="AT602" s="69">
        <v>22951.55</v>
      </c>
      <c r="AU602" s="69"/>
      <c r="CD602" s="91">
        <f t="shared" si="70"/>
        <v>22951.55</v>
      </c>
      <c r="CE602" s="69">
        <f t="shared" si="66"/>
        <v>0</v>
      </c>
      <c r="CF602" s="75">
        <f t="shared" si="71"/>
        <v>7806</v>
      </c>
      <c r="CG602" s="69" t="str">
        <f t="shared" si="71"/>
        <v>برنامج دولى</v>
      </c>
    </row>
    <row r="603" spans="3:85" ht="18.75" x14ac:dyDescent="0.25">
      <c r="C603" s="82">
        <v>12382</v>
      </c>
      <c r="D603" s="75">
        <v>7807</v>
      </c>
      <c r="E603" s="71" t="s">
        <v>119</v>
      </c>
      <c r="F603" s="69" t="s">
        <v>1848</v>
      </c>
      <c r="R603" s="69">
        <v>1527.6</v>
      </c>
      <c r="U603" s="69"/>
      <c r="V603" s="69"/>
      <c r="AS603" s="94">
        <f t="shared" ref="AS603:AS624" si="72">SUM(H603:AR603)</f>
        <v>1527.6</v>
      </c>
      <c r="AT603" s="69">
        <v>1527.6</v>
      </c>
      <c r="AU603" s="69"/>
      <c r="CD603" s="91">
        <f t="shared" si="70"/>
        <v>1527.6</v>
      </c>
      <c r="CE603" s="69">
        <f t="shared" si="66"/>
        <v>0</v>
      </c>
      <c r="CF603" s="75">
        <f t="shared" si="71"/>
        <v>7807</v>
      </c>
      <c r="CG603" s="69" t="str">
        <f t="shared" si="71"/>
        <v>خ ت صيدلة</v>
      </c>
    </row>
    <row r="604" spans="3:85" ht="18.75" x14ac:dyDescent="0.25">
      <c r="C604" s="82">
        <v>13063</v>
      </c>
      <c r="D604" s="75">
        <v>7808</v>
      </c>
      <c r="E604" s="71" t="s">
        <v>119</v>
      </c>
      <c r="F604" s="69" t="s">
        <v>1991</v>
      </c>
      <c r="U604" s="69">
        <v>7238.45</v>
      </c>
      <c r="V604" s="69"/>
      <c r="AS604" s="94">
        <f t="shared" si="72"/>
        <v>7238.45</v>
      </c>
      <c r="AT604" s="69">
        <v>7238.45</v>
      </c>
      <c r="AU604" s="69"/>
      <c r="CD604" s="91">
        <f t="shared" si="70"/>
        <v>7238.45</v>
      </c>
      <c r="CE604" s="69">
        <f t="shared" si="66"/>
        <v>0</v>
      </c>
      <c r="CF604" s="75">
        <f t="shared" si="71"/>
        <v>7808</v>
      </c>
      <c r="CG604" s="69" t="str">
        <f t="shared" si="71"/>
        <v>خ ت صيدلة</v>
      </c>
    </row>
    <row r="605" spans="3:85" ht="18.75" x14ac:dyDescent="0.25">
      <c r="C605" s="82">
        <v>13064</v>
      </c>
      <c r="D605" s="75">
        <v>7809</v>
      </c>
      <c r="E605" s="71" t="s">
        <v>119</v>
      </c>
      <c r="F605" s="69" t="s">
        <v>1992</v>
      </c>
      <c r="U605" s="69">
        <v>311.95</v>
      </c>
      <c r="V605" s="69"/>
      <c r="AS605" s="94">
        <f t="shared" si="72"/>
        <v>311.95</v>
      </c>
      <c r="AT605" s="69">
        <v>311.95</v>
      </c>
      <c r="AU605" s="69"/>
      <c r="CD605" s="91">
        <f t="shared" si="70"/>
        <v>311.95</v>
      </c>
      <c r="CE605" s="69">
        <f t="shared" si="66"/>
        <v>0</v>
      </c>
      <c r="CF605" s="75">
        <f t="shared" si="71"/>
        <v>7809</v>
      </c>
      <c r="CG605" s="69" t="str">
        <f t="shared" si="71"/>
        <v>خ ت صيدلة</v>
      </c>
    </row>
    <row r="606" spans="3:85" ht="18.75" x14ac:dyDescent="0.25">
      <c r="C606" s="82">
        <v>13065</v>
      </c>
      <c r="D606" s="75">
        <v>7810</v>
      </c>
      <c r="E606" s="71" t="s">
        <v>119</v>
      </c>
      <c r="F606" s="69" t="s">
        <v>1993</v>
      </c>
      <c r="U606" s="69">
        <v>1760.8</v>
      </c>
      <c r="V606" s="69"/>
      <c r="AS606" s="94">
        <f t="shared" si="72"/>
        <v>1760.8</v>
      </c>
      <c r="AT606" s="69">
        <v>1760.8</v>
      </c>
      <c r="AU606" s="69"/>
      <c r="CD606" s="91">
        <f t="shared" si="70"/>
        <v>1760.8</v>
      </c>
      <c r="CE606" s="69">
        <f t="shared" si="66"/>
        <v>0</v>
      </c>
      <c r="CF606" s="75">
        <f t="shared" si="71"/>
        <v>7810</v>
      </c>
      <c r="CG606" s="69" t="str">
        <f t="shared" si="71"/>
        <v>خ ت صيدلة</v>
      </c>
    </row>
    <row r="607" spans="3:85" ht="18.75" x14ac:dyDescent="0.25">
      <c r="C607" s="82">
        <v>13066</v>
      </c>
      <c r="D607" s="75">
        <v>7811</v>
      </c>
      <c r="E607" s="71" t="s">
        <v>119</v>
      </c>
      <c r="F607" s="69" t="s">
        <v>1994</v>
      </c>
      <c r="U607" s="69"/>
      <c r="V607" s="69">
        <v>40</v>
      </c>
      <c r="AS607" s="94">
        <f t="shared" si="72"/>
        <v>40</v>
      </c>
      <c r="AT607" s="69">
        <v>40</v>
      </c>
      <c r="AU607" s="69"/>
      <c r="CD607" s="91">
        <f t="shared" si="70"/>
        <v>40</v>
      </c>
      <c r="CE607" s="69">
        <f t="shared" si="66"/>
        <v>0</v>
      </c>
      <c r="CF607" s="75">
        <f t="shared" si="71"/>
        <v>7811</v>
      </c>
      <c r="CG607" s="69" t="str">
        <f t="shared" si="71"/>
        <v>خ ت صيدلة</v>
      </c>
    </row>
    <row r="608" spans="3:85" ht="18.75" x14ac:dyDescent="0.25">
      <c r="C608" s="82">
        <v>13067</v>
      </c>
      <c r="D608" s="75">
        <v>7812</v>
      </c>
      <c r="E608" s="71" t="s">
        <v>132</v>
      </c>
      <c r="F608" s="69" t="s">
        <v>1991</v>
      </c>
      <c r="U608" s="69">
        <v>50810.2</v>
      </c>
      <c r="V608" s="69"/>
      <c r="AS608" s="94">
        <f t="shared" si="72"/>
        <v>50810.2</v>
      </c>
      <c r="AT608" s="69">
        <v>50810.2</v>
      </c>
      <c r="AU608" s="69"/>
      <c r="CD608" s="91">
        <f t="shared" si="70"/>
        <v>50810.2</v>
      </c>
      <c r="CE608" s="69">
        <f t="shared" si="66"/>
        <v>0</v>
      </c>
      <c r="CF608" s="75">
        <f t="shared" si="71"/>
        <v>7812</v>
      </c>
      <c r="CG608" s="69" t="str">
        <f t="shared" si="71"/>
        <v>صيدلة اكلينيكى</v>
      </c>
    </row>
    <row r="609" spans="3:85" ht="18.75" x14ac:dyDescent="0.25">
      <c r="C609" s="82">
        <v>13068</v>
      </c>
      <c r="D609" s="75">
        <v>7813</v>
      </c>
      <c r="E609" s="71" t="s">
        <v>132</v>
      </c>
      <c r="F609" s="69" t="str">
        <f>+F605</f>
        <v>دمغه عاديه يناير</v>
      </c>
      <c r="U609" s="69">
        <v>3815.18</v>
      </c>
      <c r="V609" s="69"/>
      <c r="AS609" s="94">
        <f t="shared" si="72"/>
        <v>3815.18</v>
      </c>
      <c r="AT609" s="69">
        <v>3815.18</v>
      </c>
      <c r="AU609" s="69"/>
      <c r="CD609" s="91">
        <f t="shared" si="70"/>
        <v>3815.18</v>
      </c>
      <c r="CE609" s="69">
        <f t="shared" si="66"/>
        <v>0</v>
      </c>
      <c r="CF609" s="75">
        <f t="shared" si="71"/>
        <v>7813</v>
      </c>
      <c r="CG609" s="69" t="str">
        <f t="shared" si="71"/>
        <v>صيدلة اكلينيكى</v>
      </c>
    </row>
    <row r="610" spans="3:85" ht="18.75" x14ac:dyDescent="0.25">
      <c r="C610" s="82">
        <v>13069</v>
      </c>
      <c r="D610" s="75">
        <v>7814</v>
      </c>
      <c r="E610" s="71" t="s">
        <v>132</v>
      </c>
      <c r="F610" s="69" t="str">
        <f>+F606</f>
        <v>ضرائب متنوعه يناير</v>
      </c>
      <c r="U610" s="69">
        <v>21936.3</v>
      </c>
      <c r="V610" s="69"/>
      <c r="AS610" s="94">
        <f t="shared" si="72"/>
        <v>21936.3</v>
      </c>
      <c r="AT610" s="69">
        <v>21936.3</v>
      </c>
      <c r="AU610" s="69"/>
      <c r="CD610" s="91">
        <f t="shared" si="70"/>
        <v>21936.3</v>
      </c>
      <c r="CE610" s="69">
        <f t="shared" si="66"/>
        <v>0</v>
      </c>
      <c r="CF610" s="75">
        <f t="shared" si="71"/>
        <v>7814</v>
      </c>
      <c r="CG610" s="69" t="str">
        <f t="shared" si="71"/>
        <v>صيدلة اكلينيكى</v>
      </c>
    </row>
    <row r="611" spans="3:85" ht="18.75" x14ac:dyDescent="0.25">
      <c r="C611" s="82">
        <v>13070</v>
      </c>
      <c r="D611" s="75">
        <v>7815</v>
      </c>
      <c r="E611" s="71" t="s">
        <v>132</v>
      </c>
      <c r="F611" s="69" t="str">
        <f>+F607</f>
        <v>تنميه موارد يناير</v>
      </c>
      <c r="U611" s="69"/>
      <c r="V611" s="69">
        <v>126</v>
      </c>
      <c r="AS611" s="94">
        <f t="shared" si="72"/>
        <v>126</v>
      </c>
      <c r="AT611" s="69">
        <v>126</v>
      </c>
      <c r="AU611" s="69"/>
      <c r="CD611" s="91">
        <f t="shared" si="70"/>
        <v>126</v>
      </c>
      <c r="CE611" s="69">
        <f t="shared" si="66"/>
        <v>0</v>
      </c>
      <c r="CF611" s="75">
        <f t="shared" si="71"/>
        <v>7815</v>
      </c>
      <c r="CG611" s="69" t="str">
        <f t="shared" si="71"/>
        <v>صيدلة اكلينيكى</v>
      </c>
    </row>
    <row r="612" spans="3:85" ht="18.75" x14ac:dyDescent="0.25">
      <c r="C612" s="82">
        <v>13061</v>
      </c>
      <c r="D612" s="75">
        <v>7816</v>
      </c>
      <c r="E612" s="71" t="s">
        <v>730</v>
      </c>
      <c r="F612" s="69" t="str">
        <f>+F610</f>
        <v>ضرائب متنوعه يناير</v>
      </c>
      <c r="U612" s="69">
        <v>697.5</v>
      </c>
      <c r="V612" s="69"/>
      <c r="AS612" s="94">
        <f t="shared" si="72"/>
        <v>697.5</v>
      </c>
      <c r="AT612" s="69">
        <v>697.5</v>
      </c>
      <c r="AU612" s="69"/>
      <c r="CD612" s="91">
        <f t="shared" si="70"/>
        <v>697.5</v>
      </c>
      <c r="CE612" s="69">
        <f t="shared" si="66"/>
        <v>0</v>
      </c>
      <c r="CF612" s="75">
        <f t="shared" si="71"/>
        <v>7816</v>
      </c>
      <c r="CG612" s="69" t="str">
        <f t="shared" si="71"/>
        <v>علمى صيدلة</v>
      </c>
    </row>
    <row r="613" spans="3:85" ht="18.75" x14ac:dyDescent="0.25">
      <c r="C613" s="82">
        <v>13062</v>
      </c>
      <c r="D613" s="75">
        <v>7817</v>
      </c>
      <c r="E613" s="71" t="s">
        <v>730</v>
      </c>
      <c r="F613" s="69" t="str">
        <f>+F611</f>
        <v>تنميه موارد يناير</v>
      </c>
      <c r="U613" s="69"/>
      <c r="V613" s="69">
        <v>30</v>
      </c>
      <c r="AS613" s="94">
        <f t="shared" si="72"/>
        <v>30</v>
      </c>
      <c r="AT613" s="69">
        <v>30</v>
      </c>
      <c r="AU613" s="69"/>
      <c r="CD613" s="91">
        <f t="shared" si="70"/>
        <v>30</v>
      </c>
      <c r="CE613" s="69">
        <f t="shared" ref="CE613:CE676" si="73">+CD613-AS613</f>
        <v>0</v>
      </c>
      <c r="CF613" s="75">
        <f t="shared" si="71"/>
        <v>7817</v>
      </c>
      <c r="CG613" s="69" t="str">
        <f t="shared" si="71"/>
        <v>علمى صيدلة</v>
      </c>
    </row>
    <row r="614" spans="3:85" ht="18.75" x14ac:dyDescent="0.25">
      <c r="C614" s="82">
        <v>13059</v>
      </c>
      <c r="D614" s="75">
        <v>7818</v>
      </c>
      <c r="E614" s="71" t="s">
        <v>729</v>
      </c>
      <c r="F614" s="69" t="str">
        <f>+F612</f>
        <v>ضرائب متنوعه يناير</v>
      </c>
      <c r="U614" s="69">
        <v>4790</v>
      </c>
      <c r="V614" s="69"/>
      <c r="AS614" s="94">
        <f t="shared" si="72"/>
        <v>4790</v>
      </c>
      <c r="AT614" s="69">
        <v>4790</v>
      </c>
      <c r="AU614" s="69"/>
      <c r="CD614" s="91">
        <f t="shared" si="70"/>
        <v>4790</v>
      </c>
      <c r="CE614" s="69">
        <f t="shared" si="73"/>
        <v>0</v>
      </c>
      <c r="CF614" s="75">
        <f t="shared" si="71"/>
        <v>7818</v>
      </c>
      <c r="CG614" s="69" t="str">
        <f t="shared" si="71"/>
        <v>خدمات صيدلة</v>
      </c>
    </row>
    <row r="615" spans="3:85" ht="18.75" x14ac:dyDescent="0.25">
      <c r="C615" s="82">
        <v>13060</v>
      </c>
      <c r="D615" s="75">
        <v>7819</v>
      </c>
      <c r="E615" s="71" t="s">
        <v>729</v>
      </c>
      <c r="F615" s="69" t="str">
        <f>+F613</f>
        <v>تنميه موارد يناير</v>
      </c>
      <c r="U615" s="69"/>
      <c r="V615" s="69">
        <v>68</v>
      </c>
      <c r="AS615" s="94">
        <f t="shared" si="72"/>
        <v>68</v>
      </c>
      <c r="AT615" s="69">
        <v>68</v>
      </c>
      <c r="AU615" s="69"/>
      <c r="CD615" s="91">
        <f t="shared" si="70"/>
        <v>68</v>
      </c>
      <c r="CE615" s="69">
        <f t="shared" si="73"/>
        <v>0</v>
      </c>
      <c r="CF615" s="75">
        <f t="shared" si="71"/>
        <v>7819</v>
      </c>
      <c r="CG615" s="69" t="str">
        <f t="shared" si="71"/>
        <v>خدمات صيدلة</v>
      </c>
    </row>
    <row r="616" spans="3:85" ht="18.75" x14ac:dyDescent="0.25">
      <c r="C616" s="82">
        <v>13250</v>
      </c>
      <c r="D616" s="75">
        <v>7820</v>
      </c>
      <c r="E616" s="71" t="s">
        <v>121</v>
      </c>
      <c r="F616" s="69" t="str">
        <f>+F608</f>
        <v>كسب عمل يناير</v>
      </c>
      <c r="U616" s="69">
        <v>727470.8</v>
      </c>
      <c r="V616" s="69"/>
      <c r="AS616" s="94">
        <f t="shared" si="72"/>
        <v>727470.8</v>
      </c>
      <c r="AT616" s="69">
        <v>727470.8</v>
      </c>
      <c r="AU616" s="69"/>
      <c r="CD616" s="91">
        <f t="shared" si="70"/>
        <v>727470.8</v>
      </c>
      <c r="CE616" s="69">
        <f t="shared" si="73"/>
        <v>0</v>
      </c>
      <c r="CF616" s="75">
        <f t="shared" si="71"/>
        <v>7820</v>
      </c>
      <c r="CG616" s="69" t="str">
        <f t="shared" si="71"/>
        <v>ماليزى اسنان</v>
      </c>
    </row>
    <row r="617" spans="3:85" ht="18.75" x14ac:dyDescent="0.25">
      <c r="C617" s="82">
        <v>13251</v>
      </c>
      <c r="D617" s="75">
        <v>7821</v>
      </c>
      <c r="E617" s="71" t="s">
        <v>121</v>
      </c>
      <c r="F617" s="69" t="str">
        <f>+F609</f>
        <v>دمغه عاديه يناير</v>
      </c>
      <c r="U617" s="69">
        <v>52500.85</v>
      </c>
      <c r="V617" s="69"/>
      <c r="AS617" s="94">
        <f t="shared" si="72"/>
        <v>52500.85</v>
      </c>
      <c r="AT617" s="69">
        <v>52500.85</v>
      </c>
      <c r="AU617" s="69"/>
      <c r="CD617" s="91">
        <f t="shared" si="70"/>
        <v>52500.85</v>
      </c>
      <c r="CE617" s="69">
        <f t="shared" si="73"/>
        <v>0</v>
      </c>
      <c r="CF617" s="75">
        <f t="shared" si="71"/>
        <v>7821</v>
      </c>
      <c r="CG617" s="69" t="str">
        <f t="shared" si="71"/>
        <v>ماليزى اسنان</v>
      </c>
    </row>
    <row r="618" spans="3:85" ht="18.75" x14ac:dyDescent="0.25">
      <c r="C618" s="82">
        <v>13252</v>
      </c>
      <c r="D618" s="75">
        <v>7822</v>
      </c>
      <c r="E618" s="71" t="s">
        <v>121</v>
      </c>
      <c r="F618" s="69" t="str">
        <f>+F614</f>
        <v>ضرائب متنوعه يناير</v>
      </c>
      <c r="U618" s="69">
        <v>17773.400000000001</v>
      </c>
      <c r="V618" s="69"/>
      <c r="AS618" s="94">
        <f t="shared" si="72"/>
        <v>17773.400000000001</v>
      </c>
      <c r="AT618" s="69">
        <v>17773.400000000001</v>
      </c>
      <c r="AU618" s="69"/>
      <c r="CD618" s="91">
        <f t="shared" si="70"/>
        <v>17773.400000000001</v>
      </c>
      <c r="CE618" s="69">
        <f t="shared" si="73"/>
        <v>0</v>
      </c>
      <c r="CF618" s="75">
        <f t="shared" si="71"/>
        <v>7822</v>
      </c>
      <c r="CG618" s="69" t="str">
        <f t="shared" si="71"/>
        <v>ماليزى اسنان</v>
      </c>
    </row>
    <row r="619" spans="3:85" ht="18.75" x14ac:dyDescent="0.25">
      <c r="C619" s="82">
        <v>13253</v>
      </c>
      <c r="D619" s="75">
        <v>7823</v>
      </c>
      <c r="E619" s="71" t="s">
        <v>121</v>
      </c>
      <c r="F619" s="69" t="str">
        <f>+F615</f>
        <v>تنميه موارد يناير</v>
      </c>
      <c r="U619" s="69"/>
      <c r="V619" s="69">
        <v>792</v>
      </c>
      <c r="AS619" s="94">
        <f t="shared" si="72"/>
        <v>792</v>
      </c>
      <c r="AT619" s="69">
        <v>792</v>
      </c>
      <c r="AU619" s="69"/>
      <c r="CD619" s="91">
        <f t="shared" ref="CD619:CD682" si="74">SUM(AT619:CC619)</f>
        <v>792</v>
      </c>
      <c r="CE619" s="69">
        <f t="shared" si="73"/>
        <v>0</v>
      </c>
      <c r="CF619" s="75">
        <f t="shared" si="71"/>
        <v>7823</v>
      </c>
      <c r="CG619" s="69" t="str">
        <f t="shared" si="71"/>
        <v>ماليزى اسنان</v>
      </c>
    </row>
    <row r="620" spans="3:85" ht="18.75" x14ac:dyDescent="0.25">
      <c r="C620" s="82">
        <v>13254</v>
      </c>
      <c r="D620" s="75">
        <v>7824</v>
      </c>
      <c r="E620" s="71" t="s">
        <v>123</v>
      </c>
      <c r="F620" s="69" t="str">
        <f>+F616</f>
        <v>كسب عمل يناير</v>
      </c>
      <c r="U620" s="69">
        <v>32679.02</v>
      </c>
      <c r="V620" s="69"/>
      <c r="AS620" s="94">
        <f t="shared" si="72"/>
        <v>32679.02</v>
      </c>
      <c r="AT620" s="69">
        <v>32679.02</v>
      </c>
      <c r="AU620" s="69"/>
      <c r="CD620" s="91">
        <f t="shared" si="74"/>
        <v>32679.02</v>
      </c>
      <c r="CE620" s="69">
        <f t="shared" si="73"/>
        <v>0</v>
      </c>
      <c r="CF620" s="75">
        <f t="shared" si="71"/>
        <v>7824</v>
      </c>
      <c r="CG620" s="69" t="str">
        <f t="shared" si="71"/>
        <v>خ ت اسنان</v>
      </c>
    </row>
    <row r="621" spans="3:85" ht="18.75" x14ac:dyDescent="0.25">
      <c r="C621" s="82">
        <v>13255</v>
      </c>
      <c r="D621" s="75">
        <v>7825</v>
      </c>
      <c r="E621" s="71" t="s">
        <v>123</v>
      </c>
      <c r="F621" s="69" t="str">
        <f>+F617</f>
        <v>دمغه عاديه يناير</v>
      </c>
      <c r="U621" s="69">
        <v>2224.8000000000002</v>
      </c>
      <c r="V621" s="69"/>
      <c r="AS621" s="94">
        <f t="shared" si="72"/>
        <v>2224.8000000000002</v>
      </c>
      <c r="AT621" s="69">
        <v>2224.8000000000002</v>
      </c>
      <c r="AU621" s="69"/>
      <c r="CD621" s="91">
        <f t="shared" si="74"/>
        <v>2224.8000000000002</v>
      </c>
      <c r="CE621" s="69">
        <f t="shared" si="73"/>
        <v>0</v>
      </c>
      <c r="CF621" s="75">
        <f t="shared" si="71"/>
        <v>7825</v>
      </c>
      <c r="CG621" s="69" t="str">
        <f t="shared" si="71"/>
        <v>خ ت اسنان</v>
      </c>
    </row>
    <row r="622" spans="3:85" ht="18.75" x14ac:dyDescent="0.25">
      <c r="C622" s="82">
        <v>13256</v>
      </c>
      <c r="D622" s="75">
        <v>7826</v>
      </c>
      <c r="E622" s="71" t="s">
        <v>137</v>
      </c>
      <c r="F622" s="69" t="str">
        <f>+F621</f>
        <v>دمغه عاديه يناير</v>
      </c>
      <c r="U622" s="69">
        <v>5381.7</v>
      </c>
      <c r="V622" s="69"/>
      <c r="AS622" s="94">
        <f t="shared" si="72"/>
        <v>5381.7</v>
      </c>
      <c r="AT622" s="69">
        <v>5381.7</v>
      </c>
      <c r="AU622" s="69"/>
      <c r="CD622" s="91">
        <f t="shared" si="74"/>
        <v>5381.7</v>
      </c>
      <c r="CE622" s="69">
        <f t="shared" si="73"/>
        <v>0</v>
      </c>
      <c r="CF622" s="75">
        <f t="shared" ref="CF622:CG642" si="75">+D622</f>
        <v>7826</v>
      </c>
      <c r="CG622" s="69" t="str">
        <f t="shared" si="75"/>
        <v xml:space="preserve">خدمة عامة </v>
      </c>
    </row>
    <row r="623" spans="3:85" ht="18.75" x14ac:dyDescent="0.25">
      <c r="C623" s="82">
        <v>13257</v>
      </c>
      <c r="D623" s="75">
        <v>7827</v>
      </c>
      <c r="E623" s="71" t="s">
        <v>137</v>
      </c>
      <c r="F623" s="69" t="str">
        <f>+F620</f>
        <v>كسب عمل يناير</v>
      </c>
      <c r="U623" s="69">
        <v>82238.97</v>
      </c>
      <c r="V623" s="69"/>
      <c r="AS623" s="94">
        <f t="shared" si="72"/>
        <v>82238.97</v>
      </c>
      <c r="AT623" s="69">
        <v>82238.97</v>
      </c>
      <c r="AU623" s="69"/>
      <c r="CD623" s="91">
        <f t="shared" si="74"/>
        <v>82238.97</v>
      </c>
      <c r="CE623" s="69">
        <f t="shared" si="73"/>
        <v>0</v>
      </c>
      <c r="CF623" s="75">
        <f t="shared" si="75"/>
        <v>7827</v>
      </c>
      <c r="CG623" s="69" t="str">
        <f t="shared" si="75"/>
        <v xml:space="preserve">خدمة عامة </v>
      </c>
    </row>
    <row r="624" spans="3:85" ht="18.75" x14ac:dyDescent="0.25">
      <c r="C624" s="82">
        <v>13258</v>
      </c>
      <c r="D624" s="75">
        <v>7828</v>
      </c>
      <c r="E624" s="71" t="s">
        <v>125</v>
      </c>
      <c r="F624" s="69" t="str">
        <f>+F623</f>
        <v>كسب عمل يناير</v>
      </c>
      <c r="U624" s="69">
        <v>495</v>
      </c>
      <c r="V624" s="69"/>
      <c r="AS624" s="94">
        <f t="shared" si="72"/>
        <v>495</v>
      </c>
      <c r="AT624" s="69">
        <v>495</v>
      </c>
      <c r="AU624" s="69"/>
      <c r="CD624" s="91">
        <f t="shared" si="74"/>
        <v>495</v>
      </c>
      <c r="CE624" s="69">
        <f t="shared" si="73"/>
        <v>0</v>
      </c>
      <c r="CF624" s="75">
        <f t="shared" si="75"/>
        <v>7828</v>
      </c>
      <c r="CG624" s="69" t="str">
        <f t="shared" si="75"/>
        <v>اختبار مواد</v>
      </c>
    </row>
    <row r="625" spans="3:85" ht="18.75" x14ac:dyDescent="0.25">
      <c r="C625" s="82">
        <v>13259</v>
      </c>
      <c r="D625" s="75">
        <v>7829</v>
      </c>
      <c r="E625" s="71" t="s">
        <v>125</v>
      </c>
      <c r="F625" s="69" t="str">
        <f>+F622</f>
        <v>دمغه عاديه يناير</v>
      </c>
      <c r="U625" s="69">
        <v>32.15</v>
      </c>
      <c r="V625" s="69"/>
      <c r="AS625" s="94">
        <f t="shared" ref="AS625:AS639" si="76">SUM(H625:AR625)</f>
        <v>32.15</v>
      </c>
      <c r="AT625" s="69">
        <v>32.15</v>
      </c>
      <c r="AU625" s="69"/>
      <c r="CD625" s="91">
        <f t="shared" si="74"/>
        <v>32.15</v>
      </c>
      <c r="CE625" s="69">
        <f t="shared" si="73"/>
        <v>0</v>
      </c>
      <c r="CF625" s="75">
        <f t="shared" si="75"/>
        <v>7829</v>
      </c>
      <c r="CG625" s="69" t="str">
        <f t="shared" si="75"/>
        <v>اختبار مواد</v>
      </c>
    </row>
    <row r="626" spans="3:85" ht="18.75" x14ac:dyDescent="0.25">
      <c r="C626" s="82">
        <v>12955</v>
      </c>
      <c r="D626" s="75">
        <v>7830</v>
      </c>
      <c r="E626" s="71" t="s">
        <v>78</v>
      </c>
      <c r="F626" s="69" t="str">
        <f>+F624</f>
        <v>كسب عمل يناير</v>
      </c>
      <c r="U626" s="69">
        <v>313763.14</v>
      </c>
      <c r="V626" s="69"/>
      <c r="AS626" s="94">
        <f t="shared" si="76"/>
        <v>313763.14</v>
      </c>
      <c r="AT626" s="69">
        <v>313763.14</v>
      </c>
      <c r="AU626" s="69"/>
      <c r="CD626" s="91">
        <f t="shared" si="74"/>
        <v>313763.14</v>
      </c>
      <c r="CE626" s="69">
        <f t="shared" si="73"/>
        <v>0</v>
      </c>
      <c r="CF626" s="75">
        <f t="shared" si="75"/>
        <v>7830</v>
      </c>
      <c r="CG626" s="69" t="str">
        <f t="shared" si="75"/>
        <v>برنامج دولى</v>
      </c>
    </row>
    <row r="627" spans="3:85" ht="18.75" x14ac:dyDescent="0.25">
      <c r="C627" s="82">
        <v>12956</v>
      </c>
      <c r="D627" s="75">
        <v>7831</v>
      </c>
      <c r="E627" s="71" t="s">
        <v>78</v>
      </c>
      <c r="F627" s="69" t="str">
        <f>+F625</f>
        <v>دمغه عاديه يناير</v>
      </c>
      <c r="U627" s="69">
        <v>20701.060000000001</v>
      </c>
      <c r="V627" s="69"/>
      <c r="AS627" s="94">
        <f t="shared" si="76"/>
        <v>20701.060000000001</v>
      </c>
      <c r="AT627" s="69">
        <v>20701.060000000001</v>
      </c>
      <c r="AU627" s="69"/>
      <c r="CD627" s="91">
        <f t="shared" si="74"/>
        <v>20701.060000000001</v>
      </c>
      <c r="CE627" s="69">
        <f t="shared" si="73"/>
        <v>0</v>
      </c>
      <c r="CF627" s="75">
        <f t="shared" si="75"/>
        <v>7831</v>
      </c>
      <c r="CG627" s="69" t="str">
        <f t="shared" si="75"/>
        <v>برنامج دولى</v>
      </c>
    </row>
    <row r="628" spans="3:85" ht="18.75" x14ac:dyDescent="0.25">
      <c r="C628" s="82">
        <v>12957</v>
      </c>
      <c r="D628" s="75">
        <v>7832</v>
      </c>
      <c r="E628" s="71" t="s">
        <v>78</v>
      </c>
      <c r="F628" s="69" t="str">
        <f>+F614</f>
        <v>ضرائب متنوعه يناير</v>
      </c>
      <c r="U628" s="69">
        <v>151502.9</v>
      </c>
      <c r="V628" s="69"/>
      <c r="AS628" s="94">
        <f t="shared" si="76"/>
        <v>151502.9</v>
      </c>
      <c r="AT628" s="69">
        <v>151502.9</v>
      </c>
      <c r="AU628" s="69"/>
      <c r="CD628" s="91">
        <f t="shared" si="74"/>
        <v>151502.9</v>
      </c>
      <c r="CE628" s="69">
        <f t="shared" si="73"/>
        <v>0</v>
      </c>
      <c r="CF628" s="75">
        <f t="shared" si="75"/>
        <v>7832</v>
      </c>
      <c r="CG628" s="69" t="str">
        <f t="shared" si="75"/>
        <v>برنامج دولى</v>
      </c>
    </row>
    <row r="629" spans="3:85" ht="18.75" x14ac:dyDescent="0.25">
      <c r="C629" s="82">
        <v>12958</v>
      </c>
      <c r="D629" s="75">
        <v>7833</v>
      </c>
      <c r="E629" s="71" t="s">
        <v>78</v>
      </c>
      <c r="F629" s="69" t="str">
        <f>+F619</f>
        <v>تنميه موارد يناير</v>
      </c>
      <c r="U629" s="69"/>
      <c r="V629" s="69">
        <v>282</v>
      </c>
      <c r="AS629" s="94">
        <f t="shared" si="76"/>
        <v>282</v>
      </c>
      <c r="AT629" s="69">
        <v>282</v>
      </c>
      <c r="AU629" s="69"/>
      <c r="CD629" s="91">
        <f t="shared" si="74"/>
        <v>282</v>
      </c>
      <c r="CE629" s="69">
        <f t="shared" si="73"/>
        <v>0</v>
      </c>
      <c r="CF629" s="75">
        <f t="shared" si="75"/>
        <v>7833</v>
      </c>
      <c r="CG629" s="69" t="str">
        <f t="shared" si="75"/>
        <v>برنامج دولى</v>
      </c>
    </row>
    <row r="630" spans="3:85" ht="18.75" x14ac:dyDescent="0.25">
      <c r="C630" s="82">
        <v>12959</v>
      </c>
      <c r="D630" s="75">
        <v>7834</v>
      </c>
      <c r="E630" s="71" t="s">
        <v>130</v>
      </c>
      <c r="F630" s="69" t="str">
        <f>+F629</f>
        <v>تنميه موارد يناير</v>
      </c>
      <c r="U630" s="69"/>
      <c r="V630" s="69">
        <v>252</v>
      </c>
      <c r="AS630" s="94">
        <f t="shared" si="76"/>
        <v>252</v>
      </c>
      <c r="AT630" s="69">
        <v>252</v>
      </c>
      <c r="AU630" s="69"/>
      <c r="CD630" s="91">
        <f t="shared" si="74"/>
        <v>252</v>
      </c>
      <c r="CE630" s="69">
        <f t="shared" si="73"/>
        <v>0</v>
      </c>
      <c r="CF630" s="75">
        <f t="shared" si="75"/>
        <v>7834</v>
      </c>
      <c r="CG630" s="69" t="str">
        <f t="shared" si="75"/>
        <v>خ ت طب</v>
      </c>
    </row>
    <row r="631" spans="3:85" ht="18.75" x14ac:dyDescent="0.25">
      <c r="C631" s="82">
        <v>12960</v>
      </c>
      <c r="D631" s="75">
        <v>7835</v>
      </c>
      <c r="E631" s="71" t="s">
        <v>130</v>
      </c>
      <c r="F631" s="69" t="str">
        <f>+F626</f>
        <v>كسب عمل يناير</v>
      </c>
      <c r="U631" s="69">
        <v>48573.34</v>
      </c>
      <c r="V631" s="69"/>
      <c r="AS631" s="94">
        <f t="shared" si="76"/>
        <v>48573.34</v>
      </c>
      <c r="AT631" s="69">
        <v>48573.34</v>
      </c>
      <c r="AU631" s="69"/>
      <c r="CD631" s="91">
        <f t="shared" si="74"/>
        <v>48573.34</v>
      </c>
      <c r="CE631" s="69">
        <f t="shared" si="73"/>
        <v>0</v>
      </c>
      <c r="CF631" s="75">
        <f t="shared" si="75"/>
        <v>7835</v>
      </c>
      <c r="CG631" s="69" t="str">
        <f t="shared" si="75"/>
        <v>خ ت طب</v>
      </c>
    </row>
    <row r="632" spans="3:85" ht="18.75" x14ac:dyDescent="0.25">
      <c r="C632" s="82">
        <v>12961</v>
      </c>
      <c r="D632" s="75">
        <v>7836</v>
      </c>
      <c r="E632" s="71" t="s">
        <v>130</v>
      </c>
      <c r="F632" s="69" t="str">
        <f>+F627</f>
        <v>دمغه عاديه يناير</v>
      </c>
      <c r="U632" s="69">
        <v>1901.6</v>
      </c>
      <c r="V632" s="69"/>
      <c r="AS632" s="94">
        <f t="shared" si="76"/>
        <v>1901.6</v>
      </c>
      <c r="AT632" s="69">
        <v>1901.6</v>
      </c>
      <c r="AU632" s="69"/>
      <c r="CD632" s="91">
        <f t="shared" si="74"/>
        <v>1901.6</v>
      </c>
      <c r="CE632" s="69">
        <f t="shared" si="73"/>
        <v>0</v>
      </c>
      <c r="CF632" s="75">
        <f t="shared" si="75"/>
        <v>7836</v>
      </c>
      <c r="CG632" s="69" t="str">
        <f t="shared" si="75"/>
        <v>خ ت طب</v>
      </c>
    </row>
    <row r="633" spans="3:85" ht="18.75" x14ac:dyDescent="0.25">
      <c r="C633" s="82">
        <v>12962</v>
      </c>
      <c r="D633" s="75">
        <v>7837</v>
      </c>
      <c r="E633" s="71" t="s">
        <v>130</v>
      </c>
      <c r="F633" s="69" t="str">
        <f>+F628</f>
        <v>ضرائب متنوعه يناير</v>
      </c>
      <c r="U633" s="69">
        <v>5421.6</v>
      </c>
      <c r="V633" s="69"/>
      <c r="AS633" s="94">
        <f t="shared" si="76"/>
        <v>5421.6</v>
      </c>
      <c r="AT633" s="69">
        <v>5421.6</v>
      </c>
      <c r="AU633" s="69"/>
      <c r="CD633" s="91">
        <f t="shared" si="74"/>
        <v>5421.6</v>
      </c>
      <c r="CE633" s="69">
        <f t="shared" si="73"/>
        <v>0</v>
      </c>
      <c r="CF633" s="75">
        <f t="shared" si="75"/>
        <v>7837</v>
      </c>
      <c r="CG633" s="69" t="str">
        <f t="shared" si="75"/>
        <v>خ ت طب</v>
      </c>
    </row>
    <row r="634" spans="3:85" ht="18.75" x14ac:dyDescent="0.25">
      <c r="C634" s="82">
        <v>12963</v>
      </c>
      <c r="D634" s="75">
        <v>7838</v>
      </c>
      <c r="E634" s="71" t="s">
        <v>128</v>
      </c>
      <c r="F634" s="69" t="str">
        <f>+F631</f>
        <v>كسب عمل يناير</v>
      </c>
      <c r="U634" s="69">
        <v>12462.8</v>
      </c>
      <c r="V634" s="69"/>
      <c r="AS634" s="94">
        <f t="shared" si="76"/>
        <v>12462.8</v>
      </c>
      <c r="AT634" s="69">
        <v>12462.8</v>
      </c>
      <c r="AU634" s="69"/>
      <c r="CD634" s="91">
        <f t="shared" si="74"/>
        <v>12462.8</v>
      </c>
      <c r="CE634" s="69">
        <f t="shared" si="73"/>
        <v>0</v>
      </c>
      <c r="CF634" s="75">
        <f t="shared" si="75"/>
        <v>7838</v>
      </c>
      <c r="CG634" s="69" t="str">
        <f t="shared" si="75"/>
        <v>مركز مؤتمرات</v>
      </c>
    </row>
    <row r="635" spans="3:85" ht="18.75" x14ac:dyDescent="0.25">
      <c r="C635" s="82">
        <v>12964</v>
      </c>
      <c r="D635" s="75">
        <v>7839</v>
      </c>
      <c r="E635" s="71" t="s">
        <v>128</v>
      </c>
      <c r="F635" s="69" t="str">
        <f>+F632</f>
        <v>دمغه عاديه يناير</v>
      </c>
      <c r="U635" s="69">
        <v>812.25</v>
      </c>
      <c r="V635" s="69"/>
      <c r="AS635" s="94">
        <f t="shared" si="76"/>
        <v>812.25</v>
      </c>
      <c r="AT635" s="69">
        <v>812.25</v>
      </c>
      <c r="AU635" s="69"/>
      <c r="CD635" s="91">
        <f t="shared" si="74"/>
        <v>812.25</v>
      </c>
      <c r="CE635" s="69">
        <f t="shared" si="73"/>
        <v>0</v>
      </c>
      <c r="CF635" s="75">
        <f t="shared" si="75"/>
        <v>7839</v>
      </c>
      <c r="CG635" s="69" t="str">
        <f t="shared" si="75"/>
        <v>مركز مؤتمرات</v>
      </c>
    </row>
    <row r="636" spans="3:85" ht="18.75" x14ac:dyDescent="0.25">
      <c r="C636" s="82">
        <v>12965</v>
      </c>
      <c r="D636" s="75">
        <v>7840</v>
      </c>
      <c r="E636" s="71" t="s">
        <v>128</v>
      </c>
      <c r="F636" s="69" t="str">
        <f>+F633</f>
        <v>ضرائب متنوعه يناير</v>
      </c>
      <c r="U636" s="69">
        <v>988.7</v>
      </c>
      <c r="V636" s="69"/>
      <c r="AS636" s="94">
        <f t="shared" si="76"/>
        <v>988.7</v>
      </c>
      <c r="AT636" s="69">
        <v>988.7</v>
      </c>
      <c r="AU636" s="69"/>
      <c r="CD636" s="91">
        <f t="shared" si="74"/>
        <v>988.7</v>
      </c>
      <c r="CE636" s="69">
        <f t="shared" si="73"/>
        <v>0</v>
      </c>
      <c r="CF636" s="75">
        <f t="shared" si="75"/>
        <v>7840</v>
      </c>
      <c r="CG636" s="69" t="str">
        <f t="shared" si="75"/>
        <v>مركز مؤتمرات</v>
      </c>
    </row>
    <row r="637" spans="3:85" ht="18.75" x14ac:dyDescent="0.25">
      <c r="C637" s="82">
        <v>12966</v>
      </c>
      <c r="D637" s="75">
        <v>7841</v>
      </c>
      <c r="E637" s="71" t="s">
        <v>128</v>
      </c>
      <c r="F637" s="69" t="str">
        <f>+F630</f>
        <v>تنميه موارد يناير</v>
      </c>
      <c r="U637" s="69"/>
      <c r="V637" s="69">
        <v>98</v>
      </c>
      <c r="AS637" s="94">
        <f t="shared" si="76"/>
        <v>98</v>
      </c>
      <c r="AT637" s="69">
        <v>98</v>
      </c>
      <c r="AU637" s="69"/>
      <c r="CD637" s="91">
        <f t="shared" si="74"/>
        <v>98</v>
      </c>
      <c r="CE637" s="69">
        <f t="shared" si="73"/>
        <v>0</v>
      </c>
      <c r="CF637" s="75">
        <f t="shared" si="75"/>
        <v>7841</v>
      </c>
      <c r="CG637" s="69" t="str">
        <f t="shared" si="75"/>
        <v>مركز مؤتمرات</v>
      </c>
    </row>
    <row r="638" spans="3:85" ht="18.75" x14ac:dyDescent="0.25">
      <c r="C638" s="82">
        <v>12967</v>
      </c>
      <c r="D638" s="75">
        <v>7842</v>
      </c>
      <c r="E638" s="71" t="s">
        <v>1995</v>
      </c>
      <c r="F638" s="69" t="str">
        <f>+F634</f>
        <v>كسب عمل يناير</v>
      </c>
      <c r="U638" s="69">
        <v>150</v>
      </c>
      <c r="V638" s="69"/>
      <c r="AS638" s="94">
        <f t="shared" si="76"/>
        <v>150</v>
      </c>
      <c r="AT638" s="69">
        <v>150</v>
      </c>
      <c r="AU638" s="69"/>
      <c r="CD638" s="91">
        <f t="shared" si="74"/>
        <v>150</v>
      </c>
      <c r="CE638" s="69">
        <f t="shared" si="73"/>
        <v>0</v>
      </c>
      <c r="CF638" s="75">
        <f t="shared" si="75"/>
        <v>7842</v>
      </c>
      <c r="CG638" s="69" t="str">
        <f t="shared" si="75"/>
        <v>تحاليل طبيه</v>
      </c>
    </row>
    <row r="639" spans="3:85" ht="18.75" x14ac:dyDescent="0.25">
      <c r="C639" s="82">
        <v>12968</v>
      </c>
      <c r="D639" s="75">
        <v>7843</v>
      </c>
      <c r="E639" s="71" t="s">
        <v>1995</v>
      </c>
      <c r="F639" s="69" t="str">
        <f>+F635</f>
        <v>دمغه عاديه يناير</v>
      </c>
      <c r="U639" s="69">
        <v>10.9</v>
      </c>
      <c r="V639" s="69"/>
      <c r="AS639" s="94">
        <f t="shared" si="76"/>
        <v>10.9</v>
      </c>
      <c r="AT639" s="69">
        <v>10.9</v>
      </c>
      <c r="AU639" s="69"/>
      <c r="CD639" s="91">
        <f t="shared" si="74"/>
        <v>10.9</v>
      </c>
      <c r="CE639" s="69">
        <f t="shared" si="73"/>
        <v>0</v>
      </c>
      <c r="CF639" s="75">
        <f t="shared" si="75"/>
        <v>7843</v>
      </c>
      <c r="CG639" s="69" t="str">
        <f t="shared" si="75"/>
        <v>تحاليل طبيه</v>
      </c>
    </row>
    <row r="640" spans="3:85" x14ac:dyDescent="0.25">
      <c r="C640" s="75">
        <v>13100</v>
      </c>
      <c r="D640" s="75">
        <v>7844</v>
      </c>
      <c r="E640" s="69" t="s">
        <v>78</v>
      </c>
      <c r="F640" s="69" t="s">
        <v>1996</v>
      </c>
      <c r="H640" s="69">
        <v>1758.75</v>
      </c>
      <c r="AS640" s="91">
        <f>SUM(H640:AR640)</f>
        <v>1758.75</v>
      </c>
      <c r="AT640" s="69">
        <v>1175.3499999999999</v>
      </c>
      <c r="AU640" s="52">
        <v>159.65</v>
      </c>
      <c r="AV640" s="69">
        <v>423.75</v>
      </c>
      <c r="CD640" s="91">
        <f t="shared" si="74"/>
        <v>1758.75</v>
      </c>
      <c r="CE640" s="69">
        <f t="shared" si="73"/>
        <v>0</v>
      </c>
      <c r="CF640" s="75">
        <f t="shared" si="75"/>
        <v>7844</v>
      </c>
      <c r="CG640" s="69" t="str">
        <f t="shared" si="75"/>
        <v>برنامج دولى</v>
      </c>
    </row>
    <row r="641" spans="3:94" x14ac:dyDescent="0.25">
      <c r="C641" s="75">
        <v>13091</v>
      </c>
      <c r="D641" s="75">
        <v>7845</v>
      </c>
      <c r="E641" s="69" t="s">
        <v>78</v>
      </c>
      <c r="F641" s="69" t="s">
        <v>1969</v>
      </c>
      <c r="H641" s="69">
        <v>27026.95</v>
      </c>
      <c r="AS641" s="91">
        <f t="shared" ref="AS641:AS704" si="77">SUM(H641:AR641)</f>
        <v>27026.95</v>
      </c>
      <c r="AT641" s="69">
        <v>19615.169999999998</v>
      </c>
      <c r="AU641" s="52">
        <v>2552.85</v>
      </c>
      <c r="AV641" s="69">
        <v>4858.93</v>
      </c>
      <c r="CD641" s="91">
        <f t="shared" si="74"/>
        <v>27026.949999999997</v>
      </c>
      <c r="CE641" s="69">
        <f t="shared" si="73"/>
        <v>0</v>
      </c>
      <c r="CF641" s="75">
        <f t="shared" si="75"/>
        <v>7845</v>
      </c>
      <c r="CG641" s="69" t="str">
        <f t="shared" si="75"/>
        <v>برنامج دولى</v>
      </c>
    </row>
    <row r="642" spans="3:94" ht="36" x14ac:dyDescent="0.25">
      <c r="C642" s="75">
        <v>13190</v>
      </c>
      <c r="D642" s="75">
        <v>7846</v>
      </c>
      <c r="E642" s="69" t="s">
        <v>78</v>
      </c>
      <c r="F642" s="77" t="s">
        <v>1997</v>
      </c>
      <c r="I642" s="69">
        <v>264229.77</v>
      </c>
      <c r="AS642" s="91">
        <f t="shared" si="77"/>
        <v>264229.77</v>
      </c>
      <c r="AT642" s="69">
        <v>264229.77</v>
      </c>
      <c r="CD642" s="91">
        <f t="shared" si="74"/>
        <v>264229.77</v>
      </c>
      <c r="CE642" s="69">
        <f t="shared" si="73"/>
        <v>0</v>
      </c>
      <c r="CF642" s="75">
        <f t="shared" si="75"/>
        <v>7846</v>
      </c>
      <c r="CG642" s="69" t="str">
        <f t="shared" si="75"/>
        <v>برنامج دولى</v>
      </c>
    </row>
    <row r="643" spans="3:94" s="68" customFormat="1" x14ac:dyDescent="0.25">
      <c r="C643" s="75"/>
      <c r="D643" s="67"/>
      <c r="F643" s="68" t="s">
        <v>1998</v>
      </c>
      <c r="H643" s="68">
        <f>SUM(H543:H642)</f>
        <v>790968.37999999989</v>
      </c>
      <c r="I643" s="68">
        <f t="shared" ref="I643:BU643" si="78">SUM(I543:I642)</f>
        <v>303549.77</v>
      </c>
      <c r="J643" s="68">
        <f t="shared" si="78"/>
        <v>4000</v>
      </c>
      <c r="K643" s="68">
        <f t="shared" si="78"/>
        <v>0</v>
      </c>
      <c r="L643" s="68">
        <f t="shared" si="78"/>
        <v>20976</v>
      </c>
      <c r="M643" s="68">
        <f t="shared" si="78"/>
        <v>20976</v>
      </c>
      <c r="N643" s="68">
        <f t="shared" si="78"/>
        <v>20976</v>
      </c>
      <c r="O643" s="68">
        <f t="shared" si="78"/>
        <v>0</v>
      </c>
      <c r="P643" s="68">
        <f t="shared" si="78"/>
        <v>0</v>
      </c>
      <c r="Q643" s="68">
        <f t="shared" si="78"/>
        <v>0</v>
      </c>
      <c r="R643" s="68">
        <f t="shared" si="78"/>
        <v>1527.6</v>
      </c>
      <c r="S643" s="68">
        <f t="shared" si="78"/>
        <v>22951.55</v>
      </c>
      <c r="T643" s="68">
        <f t="shared" si="78"/>
        <v>0</v>
      </c>
      <c r="U643" s="68">
        <f t="shared" si="78"/>
        <v>1568445.36</v>
      </c>
      <c r="V643" s="68">
        <f t="shared" si="78"/>
        <v>1688</v>
      </c>
      <c r="W643" s="68">
        <f t="shared" si="78"/>
        <v>0</v>
      </c>
      <c r="X643" s="68">
        <f t="shared" si="78"/>
        <v>10399.75</v>
      </c>
      <c r="Y643" s="68">
        <f t="shared" si="78"/>
        <v>0</v>
      </c>
      <c r="Z643" s="68">
        <f t="shared" si="78"/>
        <v>0</v>
      </c>
      <c r="AA643" s="68">
        <f t="shared" si="78"/>
        <v>0</v>
      </c>
      <c r="AB643" s="68">
        <f t="shared" si="78"/>
        <v>0</v>
      </c>
      <c r="AC643" s="68">
        <f t="shared" si="78"/>
        <v>0</v>
      </c>
      <c r="AD643" s="68">
        <f t="shared" si="78"/>
        <v>0</v>
      </c>
      <c r="AE643" s="68">
        <f t="shared" si="78"/>
        <v>0</v>
      </c>
      <c r="AF643" s="68">
        <f t="shared" si="78"/>
        <v>0</v>
      </c>
      <c r="AG643" s="68">
        <f t="shared" si="78"/>
        <v>0</v>
      </c>
      <c r="AH643" s="68">
        <f t="shared" si="78"/>
        <v>0</v>
      </c>
      <c r="AI643" s="68">
        <f t="shared" si="78"/>
        <v>0</v>
      </c>
      <c r="AJ643" s="68">
        <f t="shared" si="78"/>
        <v>0</v>
      </c>
      <c r="AK643" s="68">
        <f t="shared" si="78"/>
        <v>0</v>
      </c>
      <c r="AL643" s="68">
        <f t="shared" si="78"/>
        <v>0</v>
      </c>
      <c r="AM643" s="68">
        <f t="shared" si="78"/>
        <v>0</v>
      </c>
      <c r="AN643" s="68">
        <f t="shared" si="78"/>
        <v>0</v>
      </c>
      <c r="AP643" s="68">
        <f t="shared" si="78"/>
        <v>0</v>
      </c>
      <c r="AQ643" s="68">
        <f t="shared" si="78"/>
        <v>0</v>
      </c>
      <c r="AR643" s="68">
        <f t="shared" si="78"/>
        <v>0</v>
      </c>
      <c r="AS643" s="91">
        <f t="shared" si="77"/>
        <v>2766458.41</v>
      </c>
      <c r="AT643" s="68">
        <f t="shared" si="78"/>
        <v>2584270.5699999998</v>
      </c>
      <c r="AU643" s="68">
        <f t="shared" si="78"/>
        <v>84138.37</v>
      </c>
      <c r="AV643" s="68">
        <f t="shared" si="78"/>
        <v>53770.119999999995</v>
      </c>
      <c r="AW643" s="68">
        <f t="shared" si="78"/>
        <v>20</v>
      </c>
      <c r="AX643" s="68">
        <f t="shared" si="78"/>
        <v>0</v>
      </c>
      <c r="AY643" s="68">
        <f t="shared" si="78"/>
        <v>0</v>
      </c>
      <c r="AZ643" s="68">
        <f t="shared" si="78"/>
        <v>0</v>
      </c>
      <c r="BA643" s="68">
        <f t="shared" si="78"/>
        <v>0</v>
      </c>
      <c r="BB643" s="68">
        <f t="shared" si="78"/>
        <v>0</v>
      </c>
      <c r="BC643" s="68">
        <f t="shared" si="78"/>
        <v>0</v>
      </c>
      <c r="BD643" s="68">
        <f t="shared" si="78"/>
        <v>0</v>
      </c>
      <c r="BE643" s="68">
        <f t="shared" si="78"/>
        <v>0</v>
      </c>
      <c r="BF643" s="68">
        <f t="shared" si="78"/>
        <v>0</v>
      </c>
      <c r="BG643" s="68">
        <f t="shared" si="78"/>
        <v>859.85</v>
      </c>
      <c r="BH643" s="68">
        <f t="shared" si="78"/>
        <v>78</v>
      </c>
      <c r="BI643" s="68">
        <f t="shared" si="78"/>
        <v>320.7</v>
      </c>
      <c r="BJ643" s="68">
        <f t="shared" si="78"/>
        <v>0</v>
      </c>
      <c r="BK643" s="68">
        <f t="shared" si="78"/>
        <v>1048.8</v>
      </c>
      <c r="BL643" s="68">
        <f t="shared" si="78"/>
        <v>20976</v>
      </c>
      <c r="BM643" s="68">
        <f t="shared" si="78"/>
        <v>20976</v>
      </c>
      <c r="BN643" s="68">
        <f t="shared" si="78"/>
        <v>0</v>
      </c>
      <c r="BO643" s="68">
        <f t="shared" si="78"/>
        <v>0</v>
      </c>
      <c r="BP643" s="68">
        <f t="shared" si="78"/>
        <v>0</v>
      </c>
      <c r="BQ643" s="68">
        <f t="shared" si="78"/>
        <v>0</v>
      </c>
      <c r="BR643" s="68">
        <f t="shared" si="78"/>
        <v>0</v>
      </c>
      <c r="BS643" s="68">
        <f t="shared" si="78"/>
        <v>0</v>
      </c>
      <c r="BT643" s="68">
        <f t="shared" si="78"/>
        <v>0</v>
      </c>
      <c r="BU643" s="68">
        <f t="shared" si="78"/>
        <v>0</v>
      </c>
      <c r="BV643" s="68">
        <f t="shared" ref="BV643:CP643" si="79">SUM(BV543:BV642)</f>
        <v>0</v>
      </c>
      <c r="BW643" s="68">
        <f t="shared" si="79"/>
        <v>0</v>
      </c>
      <c r="BX643" s="68">
        <f t="shared" si="79"/>
        <v>0</v>
      </c>
      <c r="BY643" s="68">
        <f t="shared" si="79"/>
        <v>0</v>
      </c>
      <c r="BZ643" s="68">
        <f t="shared" si="79"/>
        <v>0</v>
      </c>
      <c r="CA643" s="68">
        <f t="shared" si="79"/>
        <v>0</v>
      </c>
      <c r="CB643" s="68">
        <f t="shared" si="79"/>
        <v>0</v>
      </c>
      <c r="CC643" s="68">
        <f t="shared" si="79"/>
        <v>0</v>
      </c>
      <c r="CD643" s="91">
        <f t="shared" si="74"/>
        <v>2766458.41</v>
      </c>
      <c r="CE643" s="69">
        <f t="shared" si="73"/>
        <v>0</v>
      </c>
      <c r="CF643" s="75">
        <f t="shared" ref="CF643:CG706" si="80">+D643</f>
        <v>0</v>
      </c>
      <c r="CG643" s="69">
        <f t="shared" si="80"/>
        <v>0</v>
      </c>
      <c r="CH643" s="68">
        <f t="shared" si="79"/>
        <v>0</v>
      </c>
      <c r="CI643" s="68">
        <f t="shared" si="79"/>
        <v>0</v>
      </c>
      <c r="CJ643" s="68">
        <f t="shared" si="79"/>
        <v>0</v>
      </c>
      <c r="CK643" s="68">
        <f t="shared" si="79"/>
        <v>0</v>
      </c>
      <c r="CL643" s="68">
        <f t="shared" si="79"/>
        <v>0</v>
      </c>
      <c r="CM643" s="68">
        <f t="shared" si="79"/>
        <v>0</v>
      </c>
      <c r="CN643" s="68">
        <f t="shared" si="79"/>
        <v>0</v>
      </c>
      <c r="CO643" s="68">
        <f t="shared" si="79"/>
        <v>0</v>
      </c>
      <c r="CP643" s="68">
        <f t="shared" si="79"/>
        <v>0</v>
      </c>
    </row>
    <row r="644" spans="3:94" ht="36" x14ac:dyDescent="0.25">
      <c r="C644" s="75">
        <v>10772</v>
      </c>
      <c r="D644" s="75">
        <v>7847</v>
      </c>
      <c r="E644" s="69" t="s">
        <v>132</v>
      </c>
      <c r="F644" s="77" t="s">
        <v>1999</v>
      </c>
      <c r="L644" s="69">
        <v>26897.13</v>
      </c>
      <c r="M644" s="69">
        <v>26897.13</v>
      </c>
      <c r="N644" s="69">
        <v>26897.13</v>
      </c>
      <c r="AS644" s="91">
        <f t="shared" si="77"/>
        <v>80691.39</v>
      </c>
      <c r="AT644" s="69">
        <v>24127.98</v>
      </c>
      <c r="AU644" s="52">
        <f>241.75+725.25+1.8</f>
        <v>968.8</v>
      </c>
      <c r="AW644" s="69">
        <v>5</v>
      </c>
      <c r="BG644" s="69">
        <v>235.95</v>
      </c>
      <c r="BH644" s="69">
        <v>2</v>
      </c>
      <c r="BI644" s="69">
        <f>106.25*2</f>
        <v>212.5</v>
      </c>
      <c r="BK644" s="69">
        <v>1344.9</v>
      </c>
      <c r="BL644" s="69">
        <v>26897.13</v>
      </c>
      <c r="BM644" s="69">
        <v>26897.13</v>
      </c>
      <c r="CD644" s="91">
        <f t="shared" si="74"/>
        <v>80691.39</v>
      </c>
      <c r="CE644" s="69">
        <f t="shared" si="73"/>
        <v>0</v>
      </c>
      <c r="CF644" s="75">
        <f t="shared" si="80"/>
        <v>7847</v>
      </c>
      <c r="CG644" s="69" t="str">
        <f t="shared" si="80"/>
        <v>صيدلة اكلينيكى</v>
      </c>
    </row>
    <row r="645" spans="3:94" ht="36" x14ac:dyDescent="0.25">
      <c r="C645" s="75">
        <v>10773</v>
      </c>
      <c r="D645" s="75">
        <v>7848</v>
      </c>
      <c r="E645" s="69" t="s">
        <v>132</v>
      </c>
      <c r="F645" s="77" t="s">
        <v>1999</v>
      </c>
      <c r="L645" s="69">
        <v>18999.900000000001</v>
      </c>
      <c r="M645" s="69">
        <v>18999.900000000001</v>
      </c>
      <c r="N645" s="69">
        <v>18999.900000000001</v>
      </c>
      <c r="AS645" s="91">
        <f t="shared" si="77"/>
        <v>56999.700000000004</v>
      </c>
      <c r="AT645" s="69">
        <v>16963.95</v>
      </c>
      <c r="AU645" s="52">
        <f>193.75+581.25+2.7</f>
        <v>777.7</v>
      </c>
      <c r="AW645" s="69">
        <v>5</v>
      </c>
      <c r="BG645" s="69">
        <v>156.25</v>
      </c>
      <c r="BH645" s="69">
        <v>6</v>
      </c>
      <c r="BI645" s="69">
        <f>70.5*2</f>
        <v>141</v>
      </c>
      <c r="BK645" s="69">
        <v>950</v>
      </c>
      <c r="BL645" s="69">
        <v>18999.900000000001</v>
      </c>
      <c r="BM645" s="69">
        <v>18999.900000000001</v>
      </c>
      <c r="CD645" s="91">
        <f t="shared" si="74"/>
        <v>56999.700000000004</v>
      </c>
      <c r="CE645" s="69">
        <f t="shared" si="73"/>
        <v>0</v>
      </c>
      <c r="CF645" s="75">
        <f t="shared" si="80"/>
        <v>7848</v>
      </c>
      <c r="CG645" s="69" t="str">
        <f t="shared" si="80"/>
        <v>صيدلة اكلينيكى</v>
      </c>
    </row>
    <row r="646" spans="3:94" ht="18.75" x14ac:dyDescent="0.25">
      <c r="C646" s="82">
        <v>13055</v>
      </c>
      <c r="D646" s="75">
        <v>7849</v>
      </c>
      <c r="E646" s="71" t="s">
        <v>130</v>
      </c>
      <c r="F646" s="69" t="s">
        <v>2000</v>
      </c>
      <c r="I646" s="69">
        <v>12383.35</v>
      </c>
      <c r="U646" s="69"/>
      <c r="V646" s="69"/>
      <c r="AS646" s="91">
        <f t="shared" si="77"/>
        <v>12383.35</v>
      </c>
      <c r="AT646" s="69">
        <v>11083.35</v>
      </c>
      <c r="AU646" s="69">
        <v>725.3</v>
      </c>
      <c r="AW646" s="69">
        <v>5</v>
      </c>
      <c r="BG646" s="69">
        <v>325.89999999999998</v>
      </c>
      <c r="BH646" s="69">
        <v>146</v>
      </c>
      <c r="BI646" s="69">
        <f>48.9*2</f>
        <v>97.8</v>
      </c>
      <c r="CD646" s="91">
        <f t="shared" si="74"/>
        <v>12383.349999999999</v>
      </c>
      <c r="CE646" s="69">
        <f t="shared" si="73"/>
        <v>0</v>
      </c>
      <c r="CF646" s="75">
        <f t="shared" si="80"/>
        <v>7849</v>
      </c>
      <c r="CG646" s="69" t="str">
        <f t="shared" si="80"/>
        <v>خ ت طب</v>
      </c>
    </row>
    <row r="647" spans="3:94" ht="36" x14ac:dyDescent="0.25">
      <c r="C647" s="82">
        <v>13056</v>
      </c>
      <c r="D647" s="75">
        <v>7850</v>
      </c>
      <c r="E647" s="71" t="s">
        <v>78</v>
      </c>
      <c r="F647" s="77" t="s">
        <v>2001</v>
      </c>
      <c r="I647" s="69">
        <v>135147</v>
      </c>
      <c r="U647" s="69"/>
      <c r="V647" s="69"/>
      <c r="AS647" s="91">
        <f t="shared" si="77"/>
        <v>135147</v>
      </c>
      <c r="AT647" s="69">
        <v>120399.95</v>
      </c>
      <c r="AU647" s="69">
        <v>3281.2</v>
      </c>
      <c r="AW647" s="69">
        <v>5</v>
      </c>
      <c r="BG647" s="69">
        <v>3556.5</v>
      </c>
      <c r="BH647" s="69">
        <v>80</v>
      </c>
      <c r="BI647" s="69">
        <f>533.5*2</f>
        <v>1067</v>
      </c>
      <c r="BJ647" s="69">
        <f>2394+4363.35</f>
        <v>6757.35</v>
      </c>
      <c r="CD647" s="91">
        <f t="shared" si="74"/>
        <v>135147</v>
      </c>
      <c r="CE647" s="69">
        <f t="shared" si="73"/>
        <v>0</v>
      </c>
      <c r="CF647" s="75">
        <f t="shared" si="80"/>
        <v>7850</v>
      </c>
      <c r="CG647" s="69" t="str">
        <f t="shared" si="80"/>
        <v>برنامج دولى</v>
      </c>
    </row>
    <row r="648" spans="3:94" ht="18.75" x14ac:dyDescent="0.25">
      <c r="C648" s="82">
        <v>13301</v>
      </c>
      <c r="D648" s="75">
        <v>7851</v>
      </c>
      <c r="E648" s="71" t="s">
        <v>78</v>
      </c>
      <c r="F648" s="69" t="s">
        <v>2002</v>
      </c>
      <c r="H648" s="69">
        <v>2600</v>
      </c>
      <c r="U648" s="69"/>
      <c r="V648" s="69"/>
      <c r="AS648" s="91">
        <f t="shared" si="77"/>
        <v>2600</v>
      </c>
      <c r="AT648" s="69">
        <v>2320.85</v>
      </c>
      <c r="AU648" s="69">
        <f>19.15+260</f>
        <v>279.14999999999998</v>
      </c>
      <c r="CD648" s="91">
        <f t="shared" si="74"/>
        <v>2600</v>
      </c>
      <c r="CE648" s="69">
        <f t="shared" si="73"/>
        <v>0</v>
      </c>
      <c r="CF648" s="75">
        <f t="shared" si="80"/>
        <v>7851</v>
      </c>
      <c r="CG648" s="69" t="str">
        <f t="shared" si="80"/>
        <v>برنامج دولى</v>
      </c>
    </row>
    <row r="649" spans="3:94" ht="18.75" x14ac:dyDescent="0.25">
      <c r="C649" s="82">
        <v>13300</v>
      </c>
      <c r="D649" s="75">
        <v>7852</v>
      </c>
      <c r="E649" s="71" t="s">
        <v>78</v>
      </c>
      <c r="F649" s="69" t="s">
        <v>2002</v>
      </c>
      <c r="H649" s="69">
        <v>2600</v>
      </c>
      <c r="U649" s="69"/>
      <c r="V649" s="69"/>
      <c r="AS649" s="91">
        <f t="shared" si="77"/>
        <v>2600</v>
      </c>
      <c r="AT649" s="69">
        <v>2320.85</v>
      </c>
      <c r="AU649" s="69">
        <f>19.15+260</f>
        <v>279.14999999999998</v>
      </c>
      <c r="CD649" s="91">
        <f t="shared" si="74"/>
        <v>2600</v>
      </c>
      <c r="CE649" s="69">
        <f t="shared" si="73"/>
        <v>0</v>
      </c>
      <c r="CF649" s="75">
        <f t="shared" si="80"/>
        <v>7852</v>
      </c>
      <c r="CG649" s="69" t="str">
        <f t="shared" si="80"/>
        <v>برنامج دولى</v>
      </c>
    </row>
    <row r="650" spans="3:94" ht="18.75" x14ac:dyDescent="0.25">
      <c r="C650" s="82">
        <v>13299</v>
      </c>
      <c r="D650" s="75">
        <v>7853</v>
      </c>
      <c r="E650" s="71" t="s">
        <v>78</v>
      </c>
      <c r="F650" s="69" t="s">
        <v>2003</v>
      </c>
      <c r="H650" s="69">
        <v>11234.9</v>
      </c>
      <c r="U650" s="69"/>
      <c r="V650" s="69"/>
      <c r="AS650" s="91">
        <f t="shared" si="77"/>
        <v>11234.9</v>
      </c>
      <c r="AT650" s="69">
        <v>7498.98</v>
      </c>
      <c r="AU650" s="69">
        <f>70.8+958.2</f>
        <v>1029</v>
      </c>
      <c r="AV650" s="69">
        <v>2706.92</v>
      </c>
      <c r="CD650" s="91">
        <f t="shared" si="74"/>
        <v>11234.9</v>
      </c>
      <c r="CE650" s="69">
        <f t="shared" si="73"/>
        <v>0</v>
      </c>
      <c r="CF650" s="75">
        <f t="shared" si="80"/>
        <v>7853</v>
      </c>
      <c r="CG650" s="69" t="str">
        <f t="shared" si="80"/>
        <v>برنامج دولى</v>
      </c>
    </row>
    <row r="651" spans="3:94" ht="18.75" x14ac:dyDescent="0.25">
      <c r="C651" s="82">
        <v>13305</v>
      </c>
      <c r="D651" s="75">
        <v>7854</v>
      </c>
      <c r="E651" s="71" t="s">
        <v>78</v>
      </c>
      <c r="F651" s="69" t="s">
        <v>2004</v>
      </c>
      <c r="H651" s="69">
        <v>7490.87</v>
      </c>
      <c r="U651" s="69"/>
      <c r="V651" s="69"/>
      <c r="AS651" s="91">
        <f t="shared" si="77"/>
        <v>7490.87</v>
      </c>
      <c r="AT651" s="69">
        <v>5005.2</v>
      </c>
      <c r="AU651" s="69">
        <f>41.95+638.88</f>
        <v>680.83</v>
      </c>
      <c r="AV651" s="69">
        <v>1804.84</v>
      </c>
      <c r="CD651" s="91">
        <f t="shared" si="74"/>
        <v>7490.87</v>
      </c>
      <c r="CE651" s="69">
        <f t="shared" si="73"/>
        <v>0</v>
      </c>
      <c r="CF651" s="75">
        <f t="shared" si="80"/>
        <v>7854</v>
      </c>
      <c r="CG651" s="69" t="str">
        <f t="shared" si="80"/>
        <v>برنامج دولى</v>
      </c>
    </row>
    <row r="652" spans="3:94" ht="18.75" x14ac:dyDescent="0.25">
      <c r="C652" s="82">
        <v>13298</v>
      </c>
      <c r="D652" s="75">
        <v>7855</v>
      </c>
      <c r="E652" s="71" t="s">
        <v>78</v>
      </c>
      <c r="F652" s="69" t="s">
        <v>667</v>
      </c>
      <c r="H652" s="69">
        <v>17169.03</v>
      </c>
      <c r="U652" s="69"/>
      <c r="V652" s="69"/>
      <c r="AS652" s="91">
        <f t="shared" si="77"/>
        <v>17169.03</v>
      </c>
      <c r="AT652" s="69">
        <v>14756.73</v>
      </c>
      <c r="AU652" s="69">
        <v>1807.95</v>
      </c>
      <c r="AV652" s="69">
        <v>604.35</v>
      </c>
      <c r="CD652" s="91">
        <f t="shared" si="74"/>
        <v>17169.03</v>
      </c>
      <c r="CE652" s="69">
        <f t="shared" si="73"/>
        <v>0</v>
      </c>
      <c r="CF652" s="75">
        <f t="shared" si="80"/>
        <v>7855</v>
      </c>
      <c r="CG652" s="69" t="str">
        <f t="shared" si="80"/>
        <v>برنامج دولى</v>
      </c>
    </row>
    <row r="653" spans="3:94" ht="18.75" x14ac:dyDescent="0.25">
      <c r="C653" s="82">
        <v>13297</v>
      </c>
      <c r="D653" s="75">
        <v>7856</v>
      </c>
      <c r="E653" s="71" t="s">
        <v>78</v>
      </c>
      <c r="F653" s="69" t="s">
        <v>667</v>
      </c>
      <c r="H653" s="69">
        <v>7757.58</v>
      </c>
      <c r="U653" s="69"/>
      <c r="V653" s="69"/>
      <c r="AS653" s="91">
        <f t="shared" si="77"/>
        <v>7757.58</v>
      </c>
      <c r="AT653" s="69">
        <v>6438.53</v>
      </c>
      <c r="AU653" s="69">
        <v>795.66</v>
      </c>
      <c r="AV653" s="69">
        <v>523.39</v>
      </c>
      <c r="CD653" s="91">
        <f t="shared" si="74"/>
        <v>7757.58</v>
      </c>
      <c r="CE653" s="69">
        <f t="shared" si="73"/>
        <v>0</v>
      </c>
      <c r="CF653" s="75">
        <f t="shared" si="80"/>
        <v>7856</v>
      </c>
      <c r="CG653" s="69" t="str">
        <f t="shared" si="80"/>
        <v>برنامج دولى</v>
      </c>
    </row>
    <row r="654" spans="3:94" ht="18.75" x14ac:dyDescent="0.25">
      <c r="C654" s="82">
        <v>13296</v>
      </c>
      <c r="D654" s="75">
        <v>7857</v>
      </c>
      <c r="E654" s="71" t="s">
        <v>78</v>
      </c>
      <c r="F654" s="69" t="s">
        <v>667</v>
      </c>
      <c r="H654" s="69">
        <v>5963.06</v>
      </c>
      <c r="U654" s="69"/>
      <c r="V654" s="69"/>
      <c r="AS654" s="91">
        <f t="shared" si="77"/>
        <v>5963.06</v>
      </c>
      <c r="AT654" s="69">
        <v>3988.8</v>
      </c>
      <c r="AU654" s="69">
        <v>537.53</v>
      </c>
      <c r="AV654" s="69">
        <v>1436.73</v>
      </c>
      <c r="CD654" s="91">
        <f t="shared" si="74"/>
        <v>5963.0599999999995</v>
      </c>
      <c r="CE654" s="69">
        <f t="shared" si="73"/>
        <v>0</v>
      </c>
      <c r="CF654" s="75">
        <f t="shared" si="80"/>
        <v>7857</v>
      </c>
      <c r="CG654" s="69" t="str">
        <f t="shared" si="80"/>
        <v>برنامج دولى</v>
      </c>
    </row>
    <row r="655" spans="3:94" ht="18.75" x14ac:dyDescent="0.25">
      <c r="C655" s="82">
        <v>13295</v>
      </c>
      <c r="D655" s="75">
        <v>7858</v>
      </c>
      <c r="E655" s="71" t="s">
        <v>78</v>
      </c>
      <c r="F655" s="69" t="s">
        <v>667</v>
      </c>
      <c r="H655" s="69">
        <v>1876</v>
      </c>
      <c r="U655" s="69"/>
      <c r="V655" s="69"/>
      <c r="AS655" s="91">
        <f t="shared" si="77"/>
        <v>1876</v>
      </c>
      <c r="AT655" s="69">
        <v>1253.7</v>
      </c>
      <c r="AU655" s="69">
        <v>170.3</v>
      </c>
      <c r="AV655" s="69">
        <v>452</v>
      </c>
      <c r="CD655" s="91">
        <f t="shared" si="74"/>
        <v>1876</v>
      </c>
      <c r="CE655" s="69">
        <f t="shared" si="73"/>
        <v>0</v>
      </c>
      <c r="CF655" s="75">
        <f t="shared" si="80"/>
        <v>7858</v>
      </c>
      <c r="CG655" s="69" t="str">
        <f t="shared" si="80"/>
        <v>برنامج دولى</v>
      </c>
    </row>
    <row r="656" spans="3:94" ht="18.75" x14ac:dyDescent="0.25">
      <c r="C656" s="82">
        <v>13294</v>
      </c>
      <c r="D656" s="75">
        <v>7859</v>
      </c>
      <c r="E656" s="71" t="s">
        <v>78</v>
      </c>
      <c r="F656" s="69" t="s">
        <v>667</v>
      </c>
      <c r="H656" s="69">
        <v>3309.53</v>
      </c>
      <c r="U656" s="69"/>
      <c r="V656" s="69"/>
      <c r="AS656" s="91">
        <f t="shared" si="77"/>
        <v>3309.53</v>
      </c>
      <c r="AT656" s="69">
        <v>2215.86</v>
      </c>
      <c r="AU656" s="69">
        <v>296.27</v>
      </c>
      <c r="AV656" s="69">
        <v>797.4</v>
      </c>
      <c r="CD656" s="91">
        <f t="shared" si="74"/>
        <v>3309.53</v>
      </c>
      <c r="CE656" s="69">
        <f t="shared" si="73"/>
        <v>0</v>
      </c>
      <c r="CF656" s="75">
        <f t="shared" si="80"/>
        <v>7859</v>
      </c>
      <c r="CG656" s="69" t="str">
        <f t="shared" si="80"/>
        <v>برنامج دولى</v>
      </c>
    </row>
    <row r="657" spans="3:85" ht="18.75" x14ac:dyDescent="0.25">
      <c r="C657" s="82">
        <v>13293</v>
      </c>
      <c r="D657" s="75">
        <v>7860</v>
      </c>
      <c r="E657" s="71" t="s">
        <v>78</v>
      </c>
      <c r="F657" s="69" t="s">
        <v>667</v>
      </c>
      <c r="H657" s="69">
        <v>4980.75</v>
      </c>
      <c r="U657" s="69"/>
      <c r="V657" s="69"/>
      <c r="AS657" s="91">
        <f t="shared" si="77"/>
        <v>4980.75</v>
      </c>
      <c r="AT657" s="69">
        <v>3331.53</v>
      </c>
      <c r="AU657" s="69">
        <v>449.2</v>
      </c>
      <c r="AV657" s="69">
        <v>1200.02</v>
      </c>
      <c r="CD657" s="91">
        <f t="shared" si="74"/>
        <v>4980.75</v>
      </c>
      <c r="CE657" s="69">
        <f t="shared" si="73"/>
        <v>0</v>
      </c>
      <c r="CF657" s="75">
        <f t="shared" si="80"/>
        <v>7860</v>
      </c>
      <c r="CG657" s="69" t="str">
        <f t="shared" si="80"/>
        <v>برنامج دولى</v>
      </c>
    </row>
    <row r="658" spans="3:85" ht="18.75" x14ac:dyDescent="0.25">
      <c r="C658" s="82">
        <v>13292</v>
      </c>
      <c r="D658" s="75">
        <v>7861</v>
      </c>
      <c r="E658" s="71" t="s">
        <v>78</v>
      </c>
      <c r="F658" s="69" t="s">
        <v>667</v>
      </c>
      <c r="H658" s="69">
        <v>938.31</v>
      </c>
      <c r="U658" s="69"/>
      <c r="V658" s="69"/>
      <c r="AS658" s="91">
        <f t="shared" si="77"/>
        <v>938.31</v>
      </c>
      <c r="AT658" s="69">
        <v>627.57000000000005</v>
      </c>
      <c r="AU658" s="69">
        <v>84.68</v>
      </c>
      <c r="AV658" s="69">
        <v>226.06</v>
      </c>
      <c r="CD658" s="91">
        <f t="shared" si="74"/>
        <v>938.31</v>
      </c>
      <c r="CE658" s="69">
        <f t="shared" si="73"/>
        <v>0</v>
      </c>
      <c r="CF658" s="75">
        <f t="shared" si="80"/>
        <v>7861</v>
      </c>
      <c r="CG658" s="69" t="str">
        <f t="shared" si="80"/>
        <v>برنامج دولى</v>
      </c>
    </row>
    <row r="659" spans="3:85" ht="18.75" x14ac:dyDescent="0.25">
      <c r="C659" s="82">
        <v>13291</v>
      </c>
      <c r="D659" s="75">
        <v>7862</v>
      </c>
      <c r="E659" s="71" t="s">
        <v>78</v>
      </c>
      <c r="F659" s="69" t="s">
        <v>667</v>
      </c>
      <c r="H659" s="69">
        <v>613.72</v>
      </c>
      <c r="U659" s="69"/>
      <c r="V659" s="69"/>
      <c r="AS659" s="91">
        <f t="shared" si="77"/>
        <v>613.72</v>
      </c>
      <c r="AT659" s="69">
        <v>410.58</v>
      </c>
      <c r="AU659" s="69">
        <v>55.29</v>
      </c>
      <c r="AV659" s="69">
        <v>147.85</v>
      </c>
      <c r="CD659" s="91">
        <f t="shared" si="74"/>
        <v>613.72</v>
      </c>
      <c r="CE659" s="69">
        <f t="shared" si="73"/>
        <v>0</v>
      </c>
      <c r="CF659" s="75">
        <f t="shared" si="80"/>
        <v>7862</v>
      </c>
      <c r="CG659" s="69" t="str">
        <f t="shared" si="80"/>
        <v>برنامج دولى</v>
      </c>
    </row>
    <row r="660" spans="3:85" ht="18.75" x14ac:dyDescent="0.25">
      <c r="C660" s="82">
        <v>13290</v>
      </c>
      <c r="D660" s="75">
        <v>7863</v>
      </c>
      <c r="E660" s="71" t="s">
        <v>78</v>
      </c>
      <c r="F660" s="69" t="s">
        <v>667</v>
      </c>
      <c r="H660" s="69">
        <v>1346.89</v>
      </c>
      <c r="U660" s="69"/>
      <c r="V660" s="69"/>
      <c r="AS660" s="91">
        <f t="shared" si="77"/>
        <v>1346.89</v>
      </c>
      <c r="AT660" s="69">
        <v>901.73</v>
      </c>
      <c r="AU660" s="69">
        <v>120.62</v>
      </c>
      <c r="AV660" s="69">
        <v>324.54000000000002</v>
      </c>
      <c r="CD660" s="91">
        <f t="shared" si="74"/>
        <v>1346.89</v>
      </c>
      <c r="CE660" s="69">
        <f t="shared" si="73"/>
        <v>0</v>
      </c>
      <c r="CF660" s="75">
        <f t="shared" si="80"/>
        <v>7863</v>
      </c>
      <c r="CG660" s="69" t="str">
        <f t="shared" si="80"/>
        <v>برنامج دولى</v>
      </c>
    </row>
    <row r="661" spans="3:85" ht="18.75" x14ac:dyDescent="0.25">
      <c r="C661" s="82">
        <v>13289</v>
      </c>
      <c r="D661" s="75">
        <v>7864</v>
      </c>
      <c r="E661" s="71" t="s">
        <v>78</v>
      </c>
      <c r="F661" s="69" t="s">
        <v>667</v>
      </c>
      <c r="H661" s="69">
        <v>1020.88</v>
      </c>
      <c r="U661" s="69"/>
      <c r="V661" s="69"/>
      <c r="AS661" s="91">
        <f t="shared" si="77"/>
        <v>1020.88</v>
      </c>
      <c r="AT661" s="69">
        <v>682.74</v>
      </c>
      <c r="AU661" s="69">
        <v>92.17</v>
      </c>
      <c r="AV661" s="69">
        <v>245.97</v>
      </c>
      <c r="CD661" s="91">
        <f t="shared" si="74"/>
        <v>1020.88</v>
      </c>
      <c r="CE661" s="69">
        <f t="shared" si="73"/>
        <v>0</v>
      </c>
      <c r="CF661" s="75">
        <f t="shared" si="80"/>
        <v>7864</v>
      </c>
      <c r="CG661" s="69" t="str">
        <f t="shared" si="80"/>
        <v>برنامج دولى</v>
      </c>
    </row>
    <row r="662" spans="3:85" ht="18.75" x14ac:dyDescent="0.25">
      <c r="C662" s="82">
        <v>13307</v>
      </c>
      <c r="D662" s="75">
        <v>7865</v>
      </c>
      <c r="E662" s="71" t="s">
        <v>78</v>
      </c>
      <c r="F662" s="69" t="s">
        <v>937</v>
      </c>
      <c r="H662" s="69">
        <v>5159</v>
      </c>
      <c r="U662" s="69"/>
      <c r="V662" s="69"/>
      <c r="AS662" s="91">
        <f t="shared" si="77"/>
        <v>5159</v>
      </c>
      <c r="AT662" s="69">
        <v>3447</v>
      </c>
      <c r="AU662" s="69">
        <v>469</v>
      </c>
      <c r="AV662" s="69">
        <v>1243</v>
      </c>
      <c r="CD662" s="91">
        <f t="shared" si="74"/>
        <v>5159</v>
      </c>
      <c r="CE662" s="69">
        <f t="shared" si="73"/>
        <v>0</v>
      </c>
      <c r="CF662" s="75">
        <f t="shared" si="80"/>
        <v>7865</v>
      </c>
      <c r="CG662" s="69" t="str">
        <f t="shared" si="80"/>
        <v>برنامج دولى</v>
      </c>
    </row>
    <row r="663" spans="3:85" ht="18.75" x14ac:dyDescent="0.25">
      <c r="C663" s="82">
        <v>13306</v>
      </c>
      <c r="D663" s="75">
        <v>7866</v>
      </c>
      <c r="E663" s="71" t="s">
        <v>78</v>
      </c>
      <c r="F663" s="69" t="s">
        <v>937</v>
      </c>
      <c r="H663" s="69">
        <v>10552.5</v>
      </c>
      <c r="U663" s="69"/>
      <c r="V663" s="69"/>
      <c r="AS663" s="91">
        <f t="shared" si="77"/>
        <v>10552.5</v>
      </c>
      <c r="AT663" s="69">
        <v>7050.65</v>
      </c>
      <c r="AU663" s="69">
        <v>959.35</v>
      </c>
      <c r="AV663" s="69">
        <v>2542.5</v>
      </c>
      <c r="CD663" s="91">
        <f t="shared" si="74"/>
        <v>10552.5</v>
      </c>
      <c r="CE663" s="69">
        <f t="shared" si="73"/>
        <v>0</v>
      </c>
      <c r="CF663" s="75">
        <f t="shared" si="80"/>
        <v>7866</v>
      </c>
      <c r="CG663" s="69" t="str">
        <f t="shared" si="80"/>
        <v>برنامج دولى</v>
      </c>
    </row>
    <row r="664" spans="3:85" ht="18.75" x14ac:dyDescent="0.25">
      <c r="C664" s="82">
        <v>13304</v>
      </c>
      <c r="D664" s="75">
        <v>7867</v>
      </c>
      <c r="E664" s="71" t="s">
        <v>78</v>
      </c>
      <c r="F664" s="69" t="s">
        <v>2005</v>
      </c>
      <c r="H664" s="69">
        <v>4993.91</v>
      </c>
      <c r="U664" s="69"/>
      <c r="V664" s="69"/>
      <c r="AS664" s="91">
        <f t="shared" si="77"/>
        <v>4993.91</v>
      </c>
      <c r="AT664" s="69">
        <v>3337.07</v>
      </c>
      <c r="AU664" s="69">
        <v>453.62</v>
      </c>
      <c r="AV664" s="69">
        <v>1203.22</v>
      </c>
      <c r="CD664" s="91">
        <f t="shared" si="74"/>
        <v>4993.91</v>
      </c>
      <c r="CE664" s="69">
        <f t="shared" si="73"/>
        <v>0</v>
      </c>
      <c r="CF664" s="75">
        <f t="shared" si="80"/>
        <v>7867</v>
      </c>
      <c r="CG664" s="69" t="str">
        <f t="shared" si="80"/>
        <v>برنامج دولى</v>
      </c>
    </row>
    <row r="665" spans="3:85" ht="18.75" x14ac:dyDescent="0.25">
      <c r="C665" s="82">
        <v>13303</v>
      </c>
      <c r="D665" s="75">
        <v>7868</v>
      </c>
      <c r="E665" s="71" t="s">
        <v>78</v>
      </c>
      <c r="F665" s="69" t="s">
        <v>2005</v>
      </c>
      <c r="H665" s="69">
        <v>3993</v>
      </c>
      <c r="U665" s="69"/>
      <c r="V665" s="69"/>
      <c r="AS665" s="91">
        <f t="shared" si="77"/>
        <v>3993</v>
      </c>
      <c r="AT665" s="69">
        <v>3564.1</v>
      </c>
      <c r="AU665" s="69">
        <v>428.9</v>
      </c>
      <c r="CD665" s="91">
        <f t="shared" si="74"/>
        <v>3993</v>
      </c>
      <c r="CE665" s="69">
        <f t="shared" si="73"/>
        <v>0</v>
      </c>
      <c r="CF665" s="75">
        <f t="shared" si="80"/>
        <v>7868</v>
      </c>
      <c r="CG665" s="69" t="str">
        <f t="shared" si="80"/>
        <v>برنامج دولى</v>
      </c>
    </row>
    <row r="666" spans="3:85" ht="18.75" x14ac:dyDescent="0.25">
      <c r="C666" s="82">
        <v>13302</v>
      </c>
      <c r="D666" s="75">
        <v>7869</v>
      </c>
      <c r="E666" s="71" t="s">
        <v>78</v>
      </c>
      <c r="F666" s="69" t="s">
        <v>2005</v>
      </c>
      <c r="H666" s="69">
        <v>9955.8799999999992</v>
      </c>
      <c r="U666" s="69"/>
      <c r="V666" s="69"/>
      <c r="AS666" s="91">
        <f t="shared" si="77"/>
        <v>9955.8799999999992</v>
      </c>
      <c r="AT666" s="69">
        <v>8881.0400000000009</v>
      </c>
      <c r="AU666" s="69">
        <v>1074.8399999999999</v>
      </c>
      <c r="CD666" s="91">
        <f t="shared" si="74"/>
        <v>9955.880000000001</v>
      </c>
      <c r="CE666" s="69">
        <f t="shared" si="73"/>
        <v>0</v>
      </c>
      <c r="CF666" s="75">
        <f t="shared" si="80"/>
        <v>7869</v>
      </c>
      <c r="CG666" s="69" t="str">
        <f t="shared" si="80"/>
        <v>برنامج دولى</v>
      </c>
    </row>
    <row r="667" spans="3:85" ht="18.75" x14ac:dyDescent="0.25">
      <c r="C667" s="82">
        <v>13263</v>
      </c>
      <c r="D667" s="75">
        <v>7870</v>
      </c>
      <c r="E667" s="71" t="s">
        <v>78</v>
      </c>
      <c r="F667" s="69" t="s">
        <v>2006</v>
      </c>
      <c r="H667" s="69">
        <v>117631.5</v>
      </c>
      <c r="U667" s="69"/>
      <c r="V667" s="69"/>
      <c r="AS667" s="91">
        <f t="shared" si="77"/>
        <v>117631.5</v>
      </c>
      <c r="AT667" s="69">
        <v>93322.91</v>
      </c>
      <c r="AU667" s="69">
        <v>11777.85</v>
      </c>
      <c r="AV667" s="69">
        <v>12530.74</v>
      </c>
      <c r="CD667" s="91">
        <f t="shared" si="74"/>
        <v>117631.50000000001</v>
      </c>
      <c r="CE667" s="69">
        <f t="shared" si="73"/>
        <v>0</v>
      </c>
      <c r="CF667" s="75">
        <f t="shared" si="80"/>
        <v>7870</v>
      </c>
      <c r="CG667" s="69" t="str">
        <f t="shared" si="80"/>
        <v>برنامج دولى</v>
      </c>
    </row>
    <row r="668" spans="3:85" ht="18.75" x14ac:dyDescent="0.25">
      <c r="C668" s="82">
        <v>13264</v>
      </c>
      <c r="D668" s="75">
        <v>7871</v>
      </c>
      <c r="E668" s="71" t="s">
        <v>78</v>
      </c>
      <c r="F668" s="69" t="s">
        <v>2006</v>
      </c>
      <c r="H668" s="69">
        <v>8864.1</v>
      </c>
      <c r="U668" s="69"/>
      <c r="V668" s="69"/>
      <c r="AS668" s="91">
        <f t="shared" si="77"/>
        <v>8864.1</v>
      </c>
      <c r="AT668" s="69">
        <v>5924.35</v>
      </c>
      <c r="AU668" s="69">
        <v>804.05</v>
      </c>
      <c r="AV668" s="69">
        <v>2135.6999999999998</v>
      </c>
      <c r="CD668" s="91">
        <f t="shared" si="74"/>
        <v>8864.1</v>
      </c>
      <c r="CE668" s="69">
        <f t="shared" si="73"/>
        <v>0</v>
      </c>
      <c r="CF668" s="75">
        <f t="shared" si="80"/>
        <v>7871</v>
      </c>
      <c r="CG668" s="69" t="str">
        <f t="shared" si="80"/>
        <v>برنامج دولى</v>
      </c>
    </row>
    <row r="669" spans="3:85" ht="18.75" x14ac:dyDescent="0.25">
      <c r="C669" s="82">
        <v>13265</v>
      </c>
      <c r="D669" s="75">
        <v>7872</v>
      </c>
      <c r="E669" s="71" t="s">
        <v>78</v>
      </c>
      <c r="F669" s="69" t="s">
        <v>2006</v>
      </c>
      <c r="H669" s="69">
        <v>11795.11</v>
      </c>
      <c r="U669" s="69"/>
      <c r="V669" s="69"/>
      <c r="AS669" s="91">
        <f t="shared" si="77"/>
        <v>11795.11</v>
      </c>
      <c r="AT669" s="69">
        <v>7732.98</v>
      </c>
      <c r="AU669" s="69">
        <v>1056.8</v>
      </c>
      <c r="AV669" s="69">
        <v>3005.33</v>
      </c>
      <c r="CD669" s="91">
        <f t="shared" si="74"/>
        <v>11795.109999999999</v>
      </c>
      <c r="CE669" s="69">
        <f t="shared" si="73"/>
        <v>0</v>
      </c>
      <c r="CF669" s="75">
        <f t="shared" si="80"/>
        <v>7872</v>
      </c>
      <c r="CG669" s="69" t="str">
        <f t="shared" si="80"/>
        <v>برنامج دولى</v>
      </c>
    </row>
    <row r="670" spans="3:85" ht="18.75" x14ac:dyDescent="0.25">
      <c r="C670" s="82">
        <v>13266</v>
      </c>
      <c r="D670" s="75">
        <v>7873</v>
      </c>
      <c r="E670" s="71" t="s">
        <v>78</v>
      </c>
      <c r="F670" s="69" t="s">
        <v>1202</v>
      </c>
      <c r="H670" s="69">
        <v>45014.77</v>
      </c>
      <c r="U670" s="69"/>
      <c r="V670" s="69"/>
      <c r="AS670" s="91">
        <f t="shared" si="77"/>
        <v>45014.77</v>
      </c>
      <c r="AT670" s="69">
        <v>36142.699999999997</v>
      </c>
      <c r="AU670" s="69">
        <v>4524.3999999999996</v>
      </c>
      <c r="AV670" s="69">
        <v>4347.67</v>
      </c>
      <c r="CD670" s="91">
        <f t="shared" si="74"/>
        <v>45014.77</v>
      </c>
      <c r="CE670" s="69">
        <f t="shared" si="73"/>
        <v>0</v>
      </c>
      <c r="CF670" s="75">
        <f t="shared" si="80"/>
        <v>7873</v>
      </c>
      <c r="CG670" s="69" t="str">
        <f t="shared" si="80"/>
        <v>برنامج دولى</v>
      </c>
    </row>
    <row r="671" spans="3:85" ht="18.75" x14ac:dyDescent="0.25">
      <c r="C671" s="82">
        <v>13267</v>
      </c>
      <c r="D671" s="75">
        <v>7874</v>
      </c>
      <c r="E671" s="71" t="s">
        <v>78</v>
      </c>
      <c r="F671" s="69" t="s">
        <v>1202</v>
      </c>
      <c r="H671" s="69">
        <v>4713.45</v>
      </c>
      <c r="U671" s="69"/>
      <c r="V671" s="69"/>
      <c r="AS671" s="91">
        <f t="shared" si="77"/>
        <v>4713.45</v>
      </c>
      <c r="AT671" s="69">
        <v>3152.6</v>
      </c>
      <c r="AU671" s="69">
        <v>425.2</v>
      </c>
      <c r="AV671" s="69">
        <v>1135.6500000000001</v>
      </c>
      <c r="CD671" s="91">
        <f t="shared" si="74"/>
        <v>4713.45</v>
      </c>
      <c r="CE671" s="69">
        <f t="shared" si="73"/>
        <v>0</v>
      </c>
      <c r="CF671" s="75">
        <f t="shared" si="80"/>
        <v>7874</v>
      </c>
      <c r="CG671" s="69" t="str">
        <f t="shared" si="80"/>
        <v>برنامج دولى</v>
      </c>
    </row>
    <row r="672" spans="3:85" ht="18.75" x14ac:dyDescent="0.25">
      <c r="C672" s="82">
        <v>13268</v>
      </c>
      <c r="D672" s="75">
        <v>7875</v>
      </c>
      <c r="E672" s="71" t="s">
        <v>78</v>
      </c>
      <c r="F672" s="69" t="s">
        <v>1202</v>
      </c>
      <c r="H672" s="69">
        <v>105.52</v>
      </c>
      <c r="U672" s="69"/>
      <c r="V672" s="69"/>
      <c r="AS672" s="91">
        <f t="shared" si="77"/>
        <v>105.52</v>
      </c>
      <c r="AT672" s="69">
        <v>70.900000000000006</v>
      </c>
      <c r="AU672" s="69">
        <v>9.1999999999999993</v>
      </c>
      <c r="AV672" s="69">
        <v>25.42</v>
      </c>
      <c r="CD672" s="91">
        <f t="shared" si="74"/>
        <v>105.52000000000001</v>
      </c>
      <c r="CE672" s="69">
        <f t="shared" si="73"/>
        <v>0</v>
      </c>
      <c r="CF672" s="75">
        <f t="shared" si="80"/>
        <v>7875</v>
      </c>
      <c r="CG672" s="69" t="str">
        <f t="shared" si="80"/>
        <v>برنامج دولى</v>
      </c>
    </row>
    <row r="673" spans="2:85" ht="18.75" x14ac:dyDescent="0.25">
      <c r="C673" s="82">
        <v>13268</v>
      </c>
      <c r="D673" s="75">
        <v>7876</v>
      </c>
      <c r="E673" s="71" t="s">
        <v>78</v>
      </c>
      <c r="F673" s="69" t="s">
        <v>1202</v>
      </c>
      <c r="H673" s="69">
        <v>1055.25</v>
      </c>
      <c r="U673" s="69"/>
      <c r="V673" s="69"/>
      <c r="AS673" s="91">
        <f t="shared" si="77"/>
        <v>1055.25</v>
      </c>
      <c r="AT673" s="69">
        <v>706.1</v>
      </c>
      <c r="AU673" s="69">
        <f>90+4.9</f>
        <v>94.9</v>
      </c>
      <c r="AV673" s="69">
        <f>349.15-AU673</f>
        <v>254.24999999999997</v>
      </c>
      <c r="CD673" s="91">
        <f t="shared" si="74"/>
        <v>1055.25</v>
      </c>
      <c r="CE673" s="69">
        <f t="shared" si="73"/>
        <v>0</v>
      </c>
      <c r="CF673" s="75">
        <f t="shared" si="80"/>
        <v>7876</v>
      </c>
      <c r="CG673" s="69" t="str">
        <f t="shared" si="80"/>
        <v>برنامج دولى</v>
      </c>
    </row>
    <row r="674" spans="2:85" ht="18.75" x14ac:dyDescent="0.25">
      <c r="C674" s="82">
        <v>13235</v>
      </c>
      <c r="D674" s="75">
        <v>7877</v>
      </c>
      <c r="E674" s="71" t="s">
        <v>78</v>
      </c>
      <c r="F674" s="69" t="s">
        <v>2007</v>
      </c>
      <c r="H674" s="69">
        <v>3650.66</v>
      </c>
      <c r="U674" s="69"/>
      <c r="V674" s="69"/>
      <c r="AS674" s="91">
        <f t="shared" si="77"/>
        <v>3650.66</v>
      </c>
      <c r="AT674" s="69">
        <v>2556.65</v>
      </c>
      <c r="AU674" s="69">
        <f>16.75+318.75</f>
        <v>335.5</v>
      </c>
      <c r="AV674" s="69">
        <f>1094.01-16.75-318.75</f>
        <v>758.51</v>
      </c>
      <c r="CD674" s="91">
        <f t="shared" si="74"/>
        <v>3650.66</v>
      </c>
      <c r="CE674" s="69">
        <f t="shared" si="73"/>
        <v>0</v>
      </c>
      <c r="CF674" s="75">
        <f t="shared" si="80"/>
        <v>7877</v>
      </c>
      <c r="CG674" s="69" t="str">
        <f t="shared" si="80"/>
        <v>برنامج دولى</v>
      </c>
    </row>
    <row r="675" spans="2:85" ht="18.75" x14ac:dyDescent="0.25">
      <c r="C675" s="82">
        <v>13237</v>
      </c>
      <c r="D675" s="75">
        <v>7878</v>
      </c>
      <c r="E675" s="71" t="s">
        <v>78</v>
      </c>
      <c r="F675" s="69" t="s">
        <v>2007</v>
      </c>
      <c r="H675" s="69">
        <v>2838.83</v>
      </c>
      <c r="U675" s="69"/>
      <c r="V675" s="69"/>
      <c r="AS675" s="91">
        <f t="shared" si="77"/>
        <v>2838.83</v>
      </c>
      <c r="AT675" s="69">
        <v>1913.5</v>
      </c>
      <c r="AU675" s="69">
        <f>12.8+243</f>
        <v>255.8</v>
      </c>
      <c r="AV675" s="69">
        <f>925.33-AU675</f>
        <v>669.53</v>
      </c>
      <c r="CD675" s="91">
        <f t="shared" si="74"/>
        <v>2838.83</v>
      </c>
      <c r="CE675" s="69">
        <f t="shared" si="73"/>
        <v>0</v>
      </c>
      <c r="CF675" s="75">
        <f t="shared" si="80"/>
        <v>7878</v>
      </c>
      <c r="CG675" s="69" t="str">
        <f t="shared" si="80"/>
        <v>برنامج دولى</v>
      </c>
    </row>
    <row r="676" spans="2:85" ht="18.75" x14ac:dyDescent="0.25">
      <c r="C676" s="82">
        <v>13236</v>
      </c>
      <c r="D676" s="75">
        <v>7879</v>
      </c>
      <c r="E676" s="71" t="s">
        <v>78</v>
      </c>
      <c r="F676" s="69" t="s">
        <v>2007</v>
      </c>
      <c r="H676" s="69">
        <v>3283.65</v>
      </c>
      <c r="U676" s="69"/>
      <c r="V676" s="69"/>
      <c r="AS676" s="91">
        <f t="shared" si="77"/>
        <v>3283.65</v>
      </c>
      <c r="AT676" s="69">
        <v>2319.9</v>
      </c>
      <c r="AU676" s="69">
        <f>14.7+288</f>
        <v>302.7</v>
      </c>
      <c r="AV676" s="69">
        <f>963.75-302.7</f>
        <v>661.05</v>
      </c>
      <c r="CD676" s="91">
        <f t="shared" si="74"/>
        <v>3283.6499999999996</v>
      </c>
      <c r="CE676" s="69">
        <f t="shared" si="73"/>
        <v>0</v>
      </c>
      <c r="CF676" s="75">
        <f t="shared" si="80"/>
        <v>7879</v>
      </c>
      <c r="CG676" s="69" t="str">
        <f t="shared" si="80"/>
        <v>برنامج دولى</v>
      </c>
    </row>
    <row r="677" spans="2:85" ht="18.75" x14ac:dyDescent="0.25">
      <c r="C677" s="82">
        <v>11306</v>
      </c>
      <c r="D677" s="75">
        <v>7880</v>
      </c>
      <c r="E677" s="71" t="s">
        <v>119</v>
      </c>
      <c r="F677" s="69" t="s">
        <v>821</v>
      </c>
      <c r="H677" s="69">
        <v>5700</v>
      </c>
      <c r="U677" s="69"/>
      <c r="V677" s="69"/>
      <c r="AS677" s="91">
        <f t="shared" si="77"/>
        <v>5700</v>
      </c>
      <c r="AT677" s="69">
        <v>4295.84</v>
      </c>
      <c r="AU677" s="69">
        <v>1119.1600000000001</v>
      </c>
      <c r="AW677" s="69">
        <v>285</v>
      </c>
      <c r="CD677" s="91">
        <f t="shared" si="74"/>
        <v>5700</v>
      </c>
      <c r="CE677" s="69">
        <f t="shared" ref="CE677:CE740" si="81">+CD677-AS677</f>
        <v>0</v>
      </c>
      <c r="CF677" s="75">
        <f t="shared" si="80"/>
        <v>7880</v>
      </c>
      <c r="CG677" s="69" t="str">
        <f t="shared" si="80"/>
        <v>خ ت صيدلة</v>
      </c>
    </row>
    <row r="678" spans="2:85" ht="18.75" x14ac:dyDescent="0.25">
      <c r="C678" s="82">
        <v>12708</v>
      </c>
      <c r="D678" s="75">
        <v>7881</v>
      </c>
      <c r="E678" s="71" t="s">
        <v>729</v>
      </c>
      <c r="F678" s="69" t="s">
        <v>2008</v>
      </c>
      <c r="H678" s="69">
        <v>5549.65</v>
      </c>
      <c r="U678" s="69"/>
      <c r="V678" s="69"/>
      <c r="AS678" s="91">
        <f t="shared" si="77"/>
        <v>5549.65</v>
      </c>
      <c r="AT678" s="69">
        <v>4394.8500000000004</v>
      </c>
      <c r="AU678" s="69">
        <v>557.76</v>
      </c>
      <c r="AV678" s="69">
        <v>597.04</v>
      </c>
      <c r="CD678" s="91">
        <f t="shared" si="74"/>
        <v>5549.6500000000005</v>
      </c>
      <c r="CE678" s="69">
        <f t="shared" si="81"/>
        <v>0</v>
      </c>
      <c r="CF678" s="75">
        <f t="shared" si="80"/>
        <v>7881</v>
      </c>
      <c r="CG678" s="69" t="str">
        <f t="shared" si="80"/>
        <v>خدمات صيدلة</v>
      </c>
    </row>
    <row r="679" spans="2:85" ht="18.75" x14ac:dyDescent="0.25">
      <c r="C679" s="82">
        <v>12709</v>
      </c>
      <c r="D679" s="75">
        <v>7882</v>
      </c>
      <c r="E679" s="71" t="s">
        <v>729</v>
      </c>
      <c r="F679" s="69" t="s">
        <v>2009</v>
      </c>
      <c r="H679" s="69">
        <v>7679.89</v>
      </c>
      <c r="U679" s="69"/>
      <c r="V679" s="69"/>
      <c r="AS679" s="91">
        <f t="shared" si="77"/>
        <v>7679.89</v>
      </c>
      <c r="AT679" s="69">
        <v>5126.5</v>
      </c>
      <c r="AU679" s="69">
        <f>655+48</f>
        <v>703</v>
      </c>
      <c r="AV679" s="69">
        <v>1850.39</v>
      </c>
      <c r="CD679" s="91">
        <f t="shared" si="74"/>
        <v>7679.89</v>
      </c>
      <c r="CE679" s="69">
        <f t="shared" si="81"/>
        <v>0</v>
      </c>
      <c r="CF679" s="75">
        <f t="shared" si="80"/>
        <v>7882</v>
      </c>
      <c r="CG679" s="69" t="str">
        <f t="shared" si="80"/>
        <v>خدمات صيدلة</v>
      </c>
    </row>
    <row r="680" spans="2:85" ht="18.75" x14ac:dyDescent="0.25">
      <c r="C680" s="82">
        <v>12711</v>
      </c>
      <c r="D680" s="75">
        <v>7883</v>
      </c>
      <c r="E680" s="71" t="s">
        <v>729</v>
      </c>
      <c r="F680" s="69" t="s">
        <v>2009</v>
      </c>
      <c r="H680" s="69">
        <v>3107.12</v>
      </c>
      <c r="U680" s="69"/>
      <c r="V680" s="69"/>
      <c r="AS680" s="91">
        <f t="shared" si="77"/>
        <v>3107.12</v>
      </c>
      <c r="AT680" s="69">
        <v>2076.15</v>
      </c>
      <c r="AU680" s="69">
        <v>282.35000000000002</v>
      </c>
      <c r="AV680" s="69">
        <v>748.62</v>
      </c>
      <c r="CD680" s="91">
        <f t="shared" si="74"/>
        <v>3107.12</v>
      </c>
      <c r="CE680" s="69">
        <f t="shared" si="81"/>
        <v>0</v>
      </c>
      <c r="CF680" s="75">
        <f t="shared" si="80"/>
        <v>7883</v>
      </c>
      <c r="CG680" s="69" t="str">
        <f t="shared" si="80"/>
        <v>خدمات صيدلة</v>
      </c>
    </row>
    <row r="681" spans="2:85" ht="18.75" x14ac:dyDescent="0.25">
      <c r="C681" s="82">
        <v>12710</v>
      </c>
      <c r="D681" s="75">
        <v>7884</v>
      </c>
      <c r="E681" s="71" t="s">
        <v>729</v>
      </c>
      <c r="F681" s="69" t="s">
        <v>2009</v>
      </c>
      <c r="H681" s="69">
        <v>4643.0200000000004</v>
      </c>
      <c r="U681" s="69"/>
      <c r="V681" s="69"/>
      <c r="AS681" s="91">
        <f t="shared" si="77"/>
        <v>4643.0200000000004</v>
      </c>
      <c r="AT681" s="69">
        <v>2783.29</v>
      </c>
      <c r="AU681" s="69">
        <v>397.25</v>
      </c>
      <c r="AV681" s="69">
        <v>1462.48</v>
      </c>
      <c r="CD681" s="91">
        <f t="shared" si="74"/>
        <v>4643.0200000000004</v>
      </c>
      <c r="CE681" s="69">
        <f t="shared" si="81"/>
        <v>0</v>
      </c>
      <c r="CF681" s="75">
        <f t="shared" si="80"/>
        <v>7884</v>
      </c>
      <c r="CG681" s="69" t="str">
        <f t="shared" si="80"/>
        <v>خدمات صيدلة</v>
      </c>
    </row>
    <row r="682" spans="2:85" ht="18.75" x14ac:dyDescent="0.25">
      <c r="C682" s="82">
        <v>12712</v>
      </c>
      <c r="D682" s="75">
        <v>7885</v>
      </c>
      <c r="E682" s="71" t="s">
        <v>729</v>
      </c>
      <c r="F682" s="69" t="s">
        <v>2009</v>
      </c>
      <c r="H682" s="69">
        <v>410.38</v>
      </c>
      <c r="U682" s="69"/>
      <c r="V682" s="69"/>
      <c r="AS682" s="91">
        <f t="shared" si="77"/>
        <v>410.38</v>
      </c>
      <c r="AT682" s="69">
        <v>274.8</v>
      </c>
      <c r="AU682" s="69">
        <v>36.700000000000003</v>
      </c>
      <c r="AV682" s="69">
        <v>98.88</v>
      </c>
      <c r="CD682" s="91">
        <f t="shared" si="74"/>
        <v>410.38</v>
      </c>
      <c r="CE682" s="69">
        <f t="shared" si="81"/>
        <v>0</v>
      </c>
      <c r="CF682" s="75">
        <f t="shared" si="80"/>
        <v>7885</v>
      </c>
      <c r="CG682" s="69" t="str">
        <f t="shared" si="80"/>
        <v>خدمات صيدلة</v>
      </c>
    </row>
    <row r="683" spans="2:85" ht="18.75" x14ac:dyDescent="0.25">
      <c r="C683" s="82">
        <v>12413</v>
      </c>
      <c r="D683" s="75">
        <v>7886</v>
      </c>
      <c r="E683" s="71" t="s">
        <v>122</v>
      </c>
      <c r="F683" s="69" t="s">
        <v>2010</v>
      </c>
      <c r="H683" s="69">
        <v>5688.91</v>
      </c>
      <c r="U683" s="69"/>
      <c r="V683" s="69"/>
      <c r="AS683" s="91">
        <f t="shared" si="77"/>
        <v>5688.91</v>
      </c>
      <c r="AT683" s="69">
        <v>3607.03</v>
      </c>
      <c r="AU683" s="69">
        <v>513.15</v>
      </c>
      <c r="AV683" s="69">
        <v>1324.73</v>
      </c>
      <c r="AW683" s="69">
        <v>244</v>
      </c>
      <c r="CD683" s="91">
        <f t="shared" ref="CD683:CD706" si="82">SUM(AT683:CC683)</f>
        <v>5688.91</v>
      </c>
      <c r="CE683" s="69">
        <f t="shared" si="81"/>
        <v>0</v>
      </c>
      <c r="CF683" s="75">
        <f t="shared" si="80"/>
        <v>7886</v>
      </c>
      <c r="CG683" s="69" t="str">
        <f t="shared" si="80"/>
        <v>علاج تخصصى</v>
      </c>
    </row>
    <row r="684" spans="2:85" ht="18.75" x14ac:dyDescent="0.25">
      <c r="C684" s="82">
        <v>12416</v>
      </c>
      <c r="D684" s="75">
        <v>7887</v>
      </c>
      <c r="E684" s="71" t="s">
        <v>122</v>
      </c>
      <c r="F684" s="69" t="s">
        <v>2011</v>
      </c>
      <c r="H684" s="69">
        <v>7497.58</v>
      </c>
      <c r="U684" s="69"/>
      <c r="V684" s="69"/>
      <c r="AS684" s="91">
        <f t="shared" si="77"/>
        <v>7497.58</v>
      </c>
      <c r="AT684" s="69">
        <v>4683.07</v>
      </c>
      <c r="AU684" s="69">
        <f>48.8+639.45</f>
        <v>688.25</v>
      </c>
      <c r="AV684" s="69">
        <v>1806.52</v>
      </c>
      <c r="AW684" s="69">
        <v>319.74</v>
      </c>
      <c r="CD684" s="91">
        <f t="shared" si="82"/>
        <v>7497.58</v>
      </c>
      <c r="CE684" s="69">
        <f t="shared" si="81"/>
        <v>0</v>
      </c>
      <c r="CF684" s="75">
        <f t="shared" si="80"/>
        <v>7887</v>
      </c>
      <c r="CG684" s="69" t="str">
        <f t="shared" si="80"/>
        <v>علاج تخصصى</v>
      </c>
    </row>
    <row r="685" spans="2:85" ht="18.75" x14ac:dyDescent="0.25">
      <c r="C685" s="82">
        <v>12419</v>
      </c>
      <c r="D685" s="75">
        <v>7888</v>
      </c>
      <c r="E685" s="71" t="s">
        <v>122</v>
      </c>
      <c r="F685" s="69" t="s">
        <v>2012</v>
      </c>
      <c r="H685" s="69">
        <v>6122.78</v>
      </c>
      <c r="U685" s="69"/>
      <c r="V685" s="69"/>
      <c r="AS685" s="91">
        <f t="shared" si="77"/>
        <v>6122.78</v>
      </c>
      <c r="AT685" s="69">
        <v>3950.35</v>
      </c>
      <c r="AU685" s="69">
        <v>559.95000000000005</v>
      </c>
      <c r="AV685" s="69">
        <v>1347.48</v>
      </c>
      <c r="AW685" s="69">
        <v>265</v>
      </c>
      <c r="CD685" s="91">
        <f t="shared" si="82"/>
        <v>6122.7800000000007</v>
      </c>
      <c r="CE685" s="69">
        <f t="shared" si="81"/>
        <v>0</v>
      </c>
      <c r="CF685" s="75">
        <f t="shared" si="80"/>
        <v>7888</v>
      </c>
      <c r="CG685" s="69" t="str">
        <f t="shared" si="80"/>
        <v>علاج تخصصى</v>
      </c>
    </row>
    <row r="686" spans="2:85" ht="18.75" x14ac:dyDescent="0.25">
      <c r="C686" s="82">
        <v>12418</v>
      </c>
      <c r="D686" s="75">
        <v>7889</v>
      </c>
      <c r="E686" s="71" t="s">
        <v>122</v>
      </c>
      <c r="F686" s="69" t="s">
        <v>2013</v>
      </c>
      <c r="H686" s="69">
        <v>4764.7</v>
      </c>
      <c r="U686" s="69"/>
      <c r="V686" s="69"/>
      <c r="AS686" s="91">
        <f t="shared" si="77"/>
        <v>4764.7</v>
      </c>
      <c r="AT686" s="69">
        <v>3758.62</v>
      </c>
      <c r="AU686" s="69">
        <v>489.14</v>
      </c>
      <c r="AV686" s="69">
        <v>287.49</v>
      </c>
      <c r="AW686" s="69">
        <v>229.45</v>
      </c>
      <c r="CD686" s="91">
        <f t="shared" si="82"/>
        <v>4764.7</v>
      </c>
      <c r="CE686" s="69">
        <f t="shared" si="81"/>
        <v>0</v>
      </c>
      <c r="CF686" s="75">
        <f t="shared" si="80"/>
        <v>7889</v>
      </c>
      <c r="CG686" s="69" t="str">
        <f t="shared" si="80"/>
        <v>علاج تخصصى</v>
      </c>
    </row>
    <row r="687" spans="2:85" ht="18.75" x14ac:dyDescent="0.25">
      <c r="B687" s="69">
        <f>SUM(H683:H693)</f>
        <v>131990.87</v>
      </c>
      <c r="C687" s="82">
        <v>12417</v>
      </c>
      <c r="D687" s="75">
        <v>7890</v>
      </c>
      <c r="E687" s="71" t="s">
        <v>122</v>
      </c>
      <c r="F687" s="69" t="s">
        <v>2014</v>
      </c>
      <c r="H687" s="69">
        <v>52461.54</v>
      </c>
      <c r="U687" s="69"/>
      <c r="V687" s="69"/>
      <c r="AS687" s="91">
        <f t="shared" si="77"/>
        <v>52461.54</v>
      </c>
      <c r="AT687" s="69">
        <v>41541.440000000002</v>
      </c>
      <c r="AU687" s="69">
        <v>5415.4</v>
      </c>
      <c r="AV687" s="69">
        <v>2972.37</v>
      </c>
      <c r="AW687" s="69">
        <v>2532.33</v>
      </c>
      <c r="CD687" s="91">
        <f t="shared" si="82"/>
        <v>52461.540000000008</v>
      </c>
      <c r="CE687" s="69">
        <f t="shared" si="81"/>
        <v>0</v>
      </c>
      <c r="CF687" s="75">
        <f t="shared" si="80"/>
        <v>7890</v>
      </c>
      <c r="CG687" s="69" t="str">
        <f t="shared" si="80"/>
        <v>علاج تخصصى</v>
      </c>
    </row>
    <row r="688" spans="2:85" ht="18.75" x14ac:dyDescent="0.25">
      <c r="C688" s="82">
        <v>12420</v>
      </c>
      <c r="D688" s="75">
        <v>7891</v>
      </c>
      <c r="E688" s="71" t="s">
        <v>122</v>
      </c>
      <c r="F688" s="69" t="str">
        <f>+F685</f>
        <v>مكافاه الاداريين ديسمبر</v>
      </c>
      <c r="H688" s="69">
        <v>621.41999999999996</v>
      </c>
      <c r="U688" s="69"/>
      <c r="V688" s="69"/>
      <c r="AS688" s="91">
        <f t="shared" si="77"/>
        <v>621.41999999999996</v>
      </c>
      <c r="AT688" s="69">
        <v>389.25</v>
      </c>
      <c r="AU688" s="69">
        <v>55.95</v>
      </c>
      <c r="AV688" s="69">
        <v>149.72</v>
      </c>
      <c r="AW688" s="69">
        <v>26.5</v>
      </c>
      <c r="CD688" s="91">
        <f t="shared" si="82"/>
        <v>621.41999999999996</v>
      </c>
      <c r="CE688" s="69">
        <f t="shared" si="81"/>
        <v>0</v>
      </c>
      <c r="CF688" s="75">
        <f t="shared" si="80"/>
        <v>7891</v>
      </c>
      <c r="CG688" s="69" t="str">
        <f t="shared" si="80"/>
        <v>علاج تخصصى</v>
      </c>
    </row>
    <row r="689" spans="3:85" ht="18.75" x14ac:dyDescent="0.25">
      <c r="C689" s="82">
        <v>12409</v>
      </c>
      <c r="D689" s="75">
        <v>7892</v>
      </c>
      <c r="E689" s="71" t="s">
        <v>122</v>
      </c>
      <c r="F689" s="69" t="s">
        <v>2015</v>
      </c>
      <c r="H689" s="69">
        <v>6990.62</v>
      </c>
      <c r="U689" s="69"/>
      <c r="V689" s="69"/>
      <c r="AS689" s="91">
        <f t="shared" si="77"/>
        <v>6990.62</v>
      </c>
      <c r="AT689" s="69">
        <v>4365.97</v>
      </c>
      <c r="AU689" s="69">
        <f>46+596.22</f>
        <v>642.22</v>
      </c>
      <c r="AV689" s="69">
        <v>1684.32</v>
      </c>
      <c r="AW689" s="69">
        <v>298.11</v>
      </c>
      <c r="CD689" s="91">
        <f t="shared" si="82"/>
        <v>6990.62</v>
      </c>
      <c r="CE689" s="69">
        <f t="shared" si="81"/>
        <v>0</v>
      </c>
      <c r="CF689" s="75">
        <f t="shared" si="80"/>
        <v>7892</v>
      </c>
      <c r="CG689" s="69" t="str">
        <f t="shared" si="80"/>
        <v>علاج تخصصى</v>
      </c>
    </row>
    <row r="690" spans="3:85" ht="18.75" x14ac:dyDescent="0.25">
      <c r="C690" s="82">
        <v>12412</v>
      </c>
      <c r="D690" s="75">
        <v>7893</v>
      </c>
      <c r="E690" s="71" t="s">
        <v>122</v>
      </c>
      <c r="F690" s="69" t="s">
        <v>2016</v>
      </c>
      <c r="H690" s="69">
        <v>2050.96</v>
      </c>
      <c r="U690" s="69"/>
      <c r="V690" s="69"/>
      <c r="AS690" s="91">
        <f t="shared" si="77"/>
        <v>2050.96</v>
      </c>
      <c r="AT690" s="69">
        <v>1631.98</v>
      </c>
      <c r="AU690" s="69">
        <v>209.36</v>
      </c>
      <c r="AV690" s="69">
        <v>110.44</v>
      </c>
      <c r="AW690" s="69">
        <v>99.18</v>
      </c>
      <c r="CD690" s="91">
        <f t="shared" si="82"/>
        <v>2050.96</v>
      </c>
      <c r="CE690" s="69">
        <f t="shared" si="81"/>
        <v>0</v>
      </c>
      <c r="CF690" s="75">
        <f t="shared" si="80"/>
        <v>7893</v>
      </c>
      <c r="CG690" s="69" t="str">
        <f t="shared" si="80"/>
        <v>علاج تخصصى</v>
      </c>
    </row>
    <row r="691" spans="3:85" ht="18.75" x14ac:dyDescent="0.25">
      <c r="C691" s="82">
        <v>12410</v>
      </c>
      <c r="D691" s="75">
        <v>7894</v>
      </c>
      <c r="E691" s="71" t="s">
        <v>122</v>
      </c>
      <c r="F691" s="69" t="str">
        <f>+F689</f>
        <v>مكافاه علاج بالاجر قسم الاطفال نوفمبر</v>
      </c>
      <c r="H691" s="69">
        <v>36923.43</v>
      </c>
      <c r="U691" s="69"/>
      <c r="V691" s="69"/>
      <c r="AS691" s="91">
        <f t="shared" si="77"/>
        <v>36923.43</v>
      </c>
      <c r="AT691" s="69">
        <v>28592.41</v>
      </c>
      <c r="AU691" s="69">
        <v>3744.81</v>
      </c>
      <c r="AV691" s="69">
        <v>2826.34</v>
      </c>
      <c r="AW691" s="69">
        <v>1759.87</v>
      </c>
      <c r="CD691" s="91">
        <f t="shared" si="82"/>
        <v>36923.43</v>
      </c>
      <c r="CE691" s="69">
        <f t="shared" si="81"/>
        <v>0</v>
      </c>
      <c r="CF691" s="75">
        <f t="shared" si="80"/>
        <v>7894</v>
      </c>
      <c r="CG691" s="69" t="str">
        <f t="shared" si="80"/>
        <v>علاج تخصصى</v>
      </c>
    </row>
    <row r="692" spans="3:85" ht="18.75" x14ac:dyDescent="0.25">
      <c r="C692" s="82">
        <v>12411</v>
      </c>
      <c r="D692" s="75">
        <v>7895</v>
      </c>
      <c r="E692" s="71" t="s">
        <v>122</v>
      </c>
      <c r="F692" s="69" t="str">
        <f>+F690</f>
        <v>مكافاه علاج بالاجر قسم التقويم نوفمبر</v>
      </c>
      <c r="H692" s="69">
        <v>8296.75</v>
      </c>
      <c r="U692" s="69"/>
      <c r="V692" s="69"/>
      <c r="AS692" s="91">
        <f t="shared" si="77"/>
        <v>8296.75</v>
      </c>
      <c r="AT692" s="69">
        <v>6986.23</v>
      </c>
      <c r="AU692" s="69">
        <v>895.68</v>
      </c>
      <c r="AW692" s="69">
        <v>414.84</v>
      </c>
      <c r="CD692" s="91">
        <f t="shared" si="82"/>
        <v>8296.75</v>
      </c>
      <c r="CE692" s="69">
        <f t="shared" si="81"/>
        <v>0</v>
      </c>
      <c r="CF692" s="75">
        <f t="shared" si="80"/>
        <v>7895</v>
      </c>
      <c r="CG692" s="69" t="str">
        <f t="shared" si="80"/>
        <v>علاج تخصصى</v>
      </c>
    </row>
    <row r="693" spans="3:85" ht="18.75" x14ac:dyDescent="0.25">
      <c r="C693" s="82">
        <v>12414</v>
      </c>
      <c r="D693" s="75">
        <v>7896</v>
      </c>
      <c r="E693" s="71" t="s">
        <v>122</v>
      </c>
      <c r="F693" s="69" t="s">
        <v>2010</v>
      </c>
      <c r="H693" s="69">
        <v>572.17999999999995</v>
      </c>
      <c r="U693" s="69"/>
      <c r="V693" s="69"/>
      <c r="AS693" s="91">
        <f t="shared" si="77"/>
        <v>572.17999999999995</v>
      </c>
      <c r="AT693" s="69">
        <v>358.62</v>
      </c>
      <c r="AU693" s="69">
        <v>51.3</v>
      </c>
      <c r="AV693" s="69">
        <v>137.86000000000001</v>
      </c>
      <c r="AW693" s="69">
        <v>24.4</v>
      </c>
      <c r="CD693" s="91">
        <f t="shared" si="82"/>
        <v>572.17999999999995</v>
      </c>
      <c r="CE693" s="69">
        <f t="shared" si="81"/>
        <v>0</v>
      </c>
      <c r="CF693" s="75">
        <f t="shared" si="80"/>
        <v>7896</v>
      </c>
      <c r="CG693" s="69" t="str">
        <f t="shared" si="80"/>
        <v>علاج تخصصى</v>
      </c>
    </row>
    <row r="694" spans="3:85" ht="18.75" x14ac:dyDescent="0.25">
      <c r="C694" s="82">
        <v>12415</v>
      </c>
      <c r="D694" s="75">
        <v>7897</v>
      </c>
      <c r="E694" s="71" t="s">
        <v>125</v>
      </c>
      <c r="F694" s="69" t="s">
        <v>2017</v>
      </c>
      <c r="H694" s="69">
        <v>6033.32</v>
      </c>
      <c r="U694" s="69"/>
      <c r="V694" s="69"/>
      <c r="AS694" s="91">
        <f t="shared" si="77"/>
        <v>6033.32</v>
      </c>
      <c r="AT694" s="69">
        <v>4178.93</v>
      </c>
      <c r="AU694" s="69">
        <v>575</v>
      </c>
      <c r="AV694" s="69">
        <v>1008.52</v>
      </c>
      <c r="AW694" s="69">
        <v>270.87</v>
      </c>
      <c r="CD694" s="91">
        <f t="shared" si="82"/>
        <v>6033.3200000000006</v>
      </c>
      <c r="CE694" s="69">
        <f t="shared" si="81"/>
        <v>0</v>
      </c>
      <c r="CF694" s="75">
        <f t="shared" si="80"/>
        <v>7897</v>
      </c>
      <c r="CG694" s="69" t="str">
        <f t="shared" si="80"/>
        <v>اختبار مواد</v>
      </c>
    </row>
    <row r="695" spans="3:85" ht="18.75" x14ac:dyDescent="0.25">
      <c r="C695" s="82">
        <v>12763</v>
      </c>
      <c r="D695" s="75">
        <v>7898</v>
      </c>
      <c r="E695" s="71" t="s">
        <v>137</v>
      </c>
      <c r="F695" s="69" t="s">
        <v>2018</v>
      </c>
      <c r="H695" s="69">
        <v>4807.25</v>
      </c>
      <c r="U695" s="69"/>
      <c r="V695" s="69"/>
      <c r="AS695" s="91">
        <f t="shared" si="77"/>
        <v>4807.25</v>
      </c>
      <c r="AT695" s="69">
        <v>3007</v>
      </c>
      <c r="AU695" s="69">
        <f>27+410</f>
        <v>437</v>
      </c>
      <c r="AV695" s="69">
        <v>1158.25</v>
      </c>
      <c r="AW695" s="69">
        <v>205</v>
      </c>
      <c r="CD695" s="91">
        <f t="shared" si="82"/>
        <v>4807.25</v>
      </c>
      <c r="CE695" s="69">
        <f t="shared" si="81"/>
        <v>0</v>
      </c>
      <c r="CF695" s="75">
        <f t="shared" si="80"/>
        <v>7898</v>
      </c>
      <c r="CG695" s="69" t="str">
        <f t="shared" si="80"/>
        <v xml:space="preserve">خدمة عامة </v>
      </c>
    </row>
    <row r="696" spans="3:85" ht="18.75" x14ac:dyDescent="0.25">
      <c r="C696" s="82">
        <v>12290</v>
      </c>
      <c r="D696" s="75">
        <v>7899</v>
      </c>
      <c r="E696" s="71" t="s">
        <v>137</v>
      </c>
      <c r="F696" s="69" t="s">
        <v>2018</v>
      </c>
      <c r="H696" s="69">
        <v>351.75</v>
      </c>
      <c r="U696" s="69"/>
      <c r="V696" s="69"/>
      <c r="AS696" s="91">
        <f t="shared" si="77"/>
        <v>351.75</v>
      </c>
      <c r="AT696" s="69">
        <v>220.55</v>
      </c>
      <c r="AU696" s="69">
        <f>1.45+30</f>
        <v>31.45</v>
      </c>
      <c r="AV696" s="69">
        <v>84.75</v>
      </c>
      <c r="AW696" s="69">
        <v>15</v>
      </c>
      <c r="CD696" s="91">
        <f t="shared" si="82"/>
        <v>351.75</v>
      </c>
      <c r="CE696" s="69">
        <f t="shared" si="81"/>
        <v>0</v>
      </c>
      <c r="CF696" s="75">
        <f t="shared" si="80"/>
        <v>7899</v>
      </c>
      <c r="CG696" s="69" t="str">
        <f t="shared" si="80"/>
        <v xml:space="preserve">خدمة عامة </v>
      </c>
    </row>
    <row r="697" spans="3:85" ht="18.75" x14ac:dyDescent="0.25">
      <c r="C697" s="82">
        <v>12291</v>
      </c>
      <c r="D697" s="75">
        <v>7900</v>
      </c>
      <c r="E697" s="71" t="s">
        <v>137</v>
      </c>
      <c r="F697" s="69" t="s">
        <v>2018</v>
      </c>
      <c r="H697" s="69">
        <v>3283</v>
      </c>
      <c r="U697" s="69"/>
      <c r="V697" s="69"/>
      <c r="AS697" s="91">
        <f t="shared" si="77"/>
        <v>3283</v>
      </c>
      <c r="AT697" s="69">
        <v>2053.65</v>
      </c>
      <c r="AU697" s="69">
        <f>18.35+280</f>
        <v>298.35000000000002</v>
      </c>
      <c r="AV697" s="69">
        <v>791</v>
      </c>
      <c r="AW697" s="69">
        <v>140</v>
      </c>
      <c r="CD697" s="91">
        <f t="shared" si="82"/>
        <v>3283</v>
      </c>
      <c r="CE697" s="69">
        <f t="shared" si="81"/>
        <v>0</v>
      </c>
      <c r="CF697" s="75">
        <f t="shared" si="80"/>
        <v>7900</v>
      </c>
      <c r="CG697" s="69" t="str">
        <f t="shared" si="80"/>
        <v xml:space="preserve">خدمة عامة </v>
      </c>
    </row>
    <row r="698" spans="3:85" ht="18.75" x14ac:dyDescent="0.25">
      <c r="C698" s="82">
        <v>12746</v>
      </c>
      <c r="D698" s="75">
        <v>7901</v>
      </c>
      <c r="E698" s="71" t="s">
        <v>137</v>
      </c>
      <c r="F698" s="69" t="s">
        <v>2019</v>
      </c>
      <c r="H698" s="69">
        <v>8488.0499999999993</v>
      </c>
      <c r="U698" s="69"/>
      <c r="V698" s="69"/>
      <c r="AS698" s="91">
        <f t="shared" si="77"/>
        <v>8488.0499999999993</v>
      </c>
      <c r="AT698" s="69">
        <v>6912.08</v>
      </c>
      <c r="AU698" s="69">
        <v>893.5</v>
      </c>
      <c r="AV698" s="69">
        <v>266.2</v>
      </c>
      <c r="AW698" s="69">
        <v>416.27</v>
      </c>
      <c r="CD698" s="91">
        <f t="shared" si="82"/>
        <v>8488.0499999999993</v>
      </c>
      <c r="CE698" s="69">
        <f t="shared" si="81"/>
        <v>0</v>
      </c>
      <c r="CF698" s="75">
        <f t="shared" si="80"/>
        <v>7901</v>
      </c>
      <c r="CG698" s="69" t="str">
        <f t="shared" si="80"/>
        <v xml:space="preserve">خدمة عامة </v>
      </c>
    </row>
    <row r="699" spans="3:85" ht="36" x14ac:dyDescent="0.25">
      <c r="C699" s="82">
        <v>12762</v>
      </c>
      <c r="D699" s="75">
        <v>7902</v>
      </c>
      <c r="E699" s="71" t="s">
        <v>137</v>
      </c>
      <c r="F699" s="77" t="s">
        <v>2020</v>
      </c>
      <c r="H699" s="69">
        <v>2100</v>
      </c>
      <c r="U699" s="69"/>
      <c r="V699" s="69"/>
      <c r="AS699" s="91">
        <f t="shared" si="77"/>
        <v>2100</v>
      </c>
      <c r="AT699" s="69">
        <v>1769.6</v>
      </c>
      <c r="AU699" s="69">
        <v>225.4</v>
      </c>
      <c r="AW699" s="69">
        <v>105</v>
      </c>
      <c r="CD699" s="91">
        <f t="shared" si="82"/>
        <v>2100</v>
      </c>
      <c r="CE699" s="69">
        <f t="shared" si="81"/>
        <v>0</v>
      </c>
      <c r="CF699" s="75">
        <f t="shared" si="80"/>
        <v>7902</v>
      </c>
      <c r="CG699" s="69" t="str">
        <f t="shared" si="80"/>
        <v xml:space="preserve">خدمة عامة </v>
      </c>
    </row>
    <row r="700" spans="3:85" ht="18.75" x14ac:dyDescent="0.25">
      <c r="C700" s="82">
        <v>12408</v>
      </c>
      <c r="D700" s="75">
        <v>7903</v>
      </c>
      <c r="E700" s="71" t="s">
        <v>137</v>
      </c>
      <c r="F700" s="69" t="s">
        <v>2021</v>
      </c>
      <c r="H700" s="69">
        <v>6610.46</v>
      </c>
      <c r="U700" s="69"/>
      <c r="V700" s="69"/>
      <c r="AS700" s="91">
        <f t="shared" si="77"/>
        <v>6610.46</v>
      </c>
      <c r="AT700" s="69">
        <v>5249.02</v>
      </c>
      <c r="AU700" s="69">
        <v>680.9</v>
      </c>
      <c r="AV700" s="69">
        <v>361.04</v>
      </c>
      <c r="AW700" s="69">
        <v>319.5</v>
      </c>
      <c r="CD700" s="91">
        <f t="shared" si="82"/>
        <v>6610.46</v>
      </c>
      <c r="CE700" s="69">
        <f t="shared" si="81"/>
        <v>0</v>
      </c>
      <c r="CF700" s="75">
        <f t="shared" si="80"/>
        <v>7903</v>
      </c>
      <c r="CG700" s="69" t="str">
        <f t="shared" si="80"/>
        <v xml:space="preserve">خدمة عامة </v>
      </c>
    </row>
    <row r="701" spans="3:85" ht="18.75" x14ac:dyDescent="0.25">
      <c r="C701" s="82">
        <v>12293</v>
      </c>
      <c r="D701" s="75">
        <v>7904</v>
      </c>
      <c r="E701" s="71" t="s">
        <v>124</v>
      </c>
      <c r="F701" s="69" t="s">
        <v>2022</v>
      </c>
      <c r="H701" s="69">
        <v>769.77</v>
      </c>
      <c r="U701" s="69"/>
      <c r="V701" s="69"/>
      <c r="AS701" s="91">
        <f t="shared" si="77"/>
        <v>769.77</v>
      </c>
      <c r="AT701" s="69">
        <v>525.26</v>
      </c>
      <c r="AU701" s="69">
        <v>70.86</v>
      </c>
      <c r="AV701" s="69">
        <v>139.41999999999999</v>
      </c>
      <c r="AW701" s="69">
        <v>34.229999999999997</v>
      </c>
      <c r="CD701" s="91">
        <f t="shared" si="82"/>
        <v>769.77</v>
      </c>
      <c r="CE701" s="69">
        <f t="shared" si="81"/>
        <v>0</v>
      </c>
      <c r="CF701" s="75">
        <f t="shared" si="80"/>
        <v>7904</v>
      </c>
      <c r="CG701" s="69" t="str">
        <f t="shared" si="80"/>
        <v>تكافل اسنان</v>
      </c>
    </row>
    <row r="702" spans="3:85" ht="18.75" x14ac:dyDescent="0.25">
      <c r="C702" s="82">
        <v>12981</v>
      </c>
      <c r="D702" s="75">
        <v>7905</v>
      </c>
      <c r="E702" s="71" t="s">
        <v>78</v>
      </c>
      <c r="F702" s="69" t="s">
        <v>2023</v>
      </c>
      <c r="H702" s="69">
        <v>2110.5</v>
      </c>
      <c r="U702" s="69"/>
      <c r="V702" s="69"/>
      <c r="AS702" s="91">
        <f t="shared" si="77"/>
        <v>2110.5</v>
      </c>
      <c r="AT702" s="69">
        <v>1411.4</v>
      </c>
      <c r="AU702" s="69">
        <v>190.6</v>
      </c>
      <c r="AV702" s="69">
        <v>508.5</v>
      </c>
      <c r="CD702" s="91">
        <f t="shared" si="82"/>
        <v>2110.5</v>
      </c>
      <c r="CE702" s="69">
        <f t="shared" si="81"/>
        <v>0</v>
      </c>
      <c r="CF702" s="75">
        <f t="shared" si="80"/>
        <v>7905</v>
      </c>
      <c r="CG702" s="69" t="str">
        <f t="shared" si="80"/>
        <v>برنامج دولى</v>
      </c>
    </row>
    <row r="703" spans="3:85" ht="18.75" x14ac:dyDescent="0.25">
      <c r="C703" s="82">
        <v>12980</v>
      </c>
      <c r="D703" s="75">
        <v>7906</v>
      </c>
      <c r="E703" s="71" t="s">
        <v>78</v>
      </c>
      <c r="F703" s="69" t="s">
        <v>2023</v>
      </c>
      <c r="H703" s="69">
        <v>45</v>
      </c>
      <c r="U703" s="69"/>
      <c r="V703" s="69"/>
      <c r="AS703" s="91">
        <f t="shared" si="77"/>
        <v>45</v>
      </c>
      <c r="AT703" s="69">
        <v>40.5</v>
      </c>
      <c r="AU703" s="69">
        <v>4.5</v>
      </c>
      <c r="CD703" s="91">
        <f t="shared" si="82"/>
        <v>45</v>
      </c>
      <c r="CE703" s="69">
        <f t="shared" si="81"/>
        <v>0</v>
      </c>
      <c r="CF703" s="75">
        <f t="shared" si="80"/>
        <v>7906</v>
      </c>
      <c r="CG703" s="69" t="str">
        <f t="shared" si="80"/>
        <v>برنامج دولى</v>
      </c>
    </row>
    <row r="704" spans="3:85" ht="18.75" x14ac:dyDescent="0.25">
      <c r="C704" s="82">
        <v>12979</v>
      </c>
      <c r="D704" s="75">
        <v>7907</v>
      </c>
      <c r="E704" s="71" t="s">
        <v>78</v>
      </c>
      <c r="F704" s="69" t="s">
        <v>2023</v>
      </c>
      <c r="H704" s="69">
        <v>3266.87</v>
      </c>
      <c r="U704" s="69"/>
      <c r="V704" s="69"/>
      <c r="AS704" s="91">
        <f t="shared" si="77"/>
        <v>3266.87</v>
      </c>
      <c r="AT704" s="69">
        <v>2510.73</v>
      </c>
      <c r="AU704" s="69">
        <v>319.10000000000002</v>
      </c>
      <c r="AV704" s="69">
        <v>437.04</v>
      </c>
      <c r="CD704" s="91">
        <f t="shared" si="82"/>
        <v>3266.87</v>
      </c>
      <c r="CE704" s="69">
        <f t="shared" si="81"/>
        <v>0</v>
      </c>
      <c r="CF704" s="75">
        <f t="shared" si="80"/>
        <v>7907</v>
      </c>
      <c r="CG704" s="69" t="str">
        <f t="shared" si="80"/>
        <v>برنامج دولى</v>
      </c>
    </row>
    <row r="705" spans="3:85" ht="18.75" x14ac:dyDescent="0.25">
      <c r="C705" s="82">
        <v>12977</v>
      </c>
      <c r="D705" s="75">
        <v>7908</v>
      </c>
      <c r="E705" s="71" t="s">
        <v>78</v>
      </c>
      <c r="F705" s="69" t="s">
        <v>2023</v>
      </c>
      <c r="H705" s="69">
        <v>22292.16</v>
      </c>
      <c r="U705" s="69"/>
      <c r="V705" s="69"/>
      <c r="AS705" s="91">
        <f t="shared" ref="AS705:AS771" si="83">SUM(H705:AR705)</f>
        <v>22292.16</v>
      </c>
      <c r="AT705" s="69">
        <v>17612.04</v>
      </c>
      <c r="AU705" s="69">
        <v>2220.0500000000002</v>
      </c>
      <c r="AV705" s="69">
        <v>2460.0700000000002</v>
      </c>
      <c r="CD705" s="91">
        <f t="shared" si="82"/>
        <v>22292.16</v>
      </c>
      <c r="CE705" s="69">
        <f t="shared" si="81"/>
        <v>0</v>
      </c>
      <c r="CF705" s="75">
        <f t="shared" si="80"/>
        <v>7908</v>
      </c>
      <c r="CG705" s="69" t="str">
        <f t="shared" si="80"/>
        <v>برنامج دولى</v>
      </c>
    </row>
    <row r="706" spans="3:85" ht="18.75" x14ac:dyDescent="0.25">
      <c r="C706" s="82">
        <v>12978</v>
      </c>
      <c r="D706" s="75">
        <v>7909</v>
      </c>
      <c r="E706" s="71" t="s">
        <v>78</v>
      </c>
      <c r="F706" s="69" t="s">
        <v>2023</v>
      </c>
      <c r="H706" s="69">
        <v>2989.88</v>
      </c>
      <c r="U706" s="69"/>
      <c r="V706" s="69"/>
      <c r="AS706" s="91">
        <f t="shared" si="83"/>
        <v>2989.88</v>
      </c>
      <c r="AT706" s="69">
        <v>1998.55</v>
      </c>
      <c r="AU706" s="69">
        <f>15.95+255</f>
        <v>270.95</v>
      </c>
      <c r="AV706" s="69">
        <f>991.33-15.95-255</f>
        <v>720.38</v>
      </c>
      <c r="CD706" s="91">
        <f t="shared" si="82"/>
        <v>2989.88</v>
      </c>
      <c r="CE706" s="69">
        <f t="shared" si="81"/>
        <v>0</v>
      </c>
      <c r="CF706" s="75">
        <f t="shared" si="80"/>
        <v>7909</v>
      </c>
      <c r="CG706" s="69" t="str">
        <f t="shared" si="80"/>
        <v>برنامج دولى</v>
      </c>
    </row>
    <row r="707" spans="3:85" ht="18.75" x14ac:dyDescent="0.25">
      <c r="C707" s="82">
        <v>12982</v>
      </c>
      <c r="D707" s="75">
        <v>7910</v>
      </c>
      <c r="E707" s="71" t="s">
        <v>78</v>
      </c>
      <c r="F707" s="69" t="s">
        <v>2023</v>
      </c>
      <c r="H707" s="69">
        <v>2585.36</v>
      </c>
      <c r="U707" s="69"/>
      <c r="V707" s="69"/>
      <c r="AS707" s="91">
        <f t="shared" si="83"/>
        <v>2585.36</v>
      </c>
      <c r="AT707" s="69">
        <v>1729.7</v>
      </c>
      <c r="AU707" s="69">
        <v>232.75</v>
      </c>
      <c r="AV707" s="69">
        <v>622.91</v>
      </c>
      <c r="CD707" s="91">
        <f t="shared" ref="CD707:CD744" si="84">SUM(AT707:CC707)</f>
        <v>2585.36</v>
      </c>
      <c r="CE707" s="69">
        <f t="shared" si="81"/>
        <v>0</v>
      </c>
      <c r="CF707" s="75">
        <f t="shared" ref="CF707:CG743" si="85">+D707</f>
        <v>7910</v>
      </c>
      <c r="CG707" s="69" t="str">
        <f t="shared" si="85"/>
        <v>برنامج دولى</v>
      </c>
    </row>
    <row r="708" spans="3:85" ht="18.75" x14ac:dyDescent="0.25">
      <c r="C708" s="82">
        <v>12986</v>
      </c>
      <c r="D708" s="75">
        <v>7911</v>
      </c>
      <c r="E708" s="71" t="s">
        <v>78</v>
      </c>
      <c r="F708" s="69" t="s">
        <v>2023</v>
      </c>
      <c r="H708" s="69">
        <v>9813.83</v>
      </c>
      <c r="U708" s="69"/>
      <c r="V708" s="69"/>
      <c r="AS708" s="91">
        <f t="shared" si="83"/>
        <v>9813.83</v>
      </c>
      <c r="AT708" s="69">
        <v>6557.85</v>
      </c>
      <c r="AU708" s="69">
        <v>891.45</v>
      </c>
      <c r="AV708" s="69">
        <v>2364.5300000000002</v>
      </c>
      <c r="CD708" s="91">
        <f t="shared" si="84"/>
        <v>9813.83</v>
      </c>
      <c r="CE708" s="69">
        <f t="shared" si="81"/>
        <v>0</v>
      </c>
      <c r="CF708" s="75">
        <f t="shared" si="85"/>
        <v>7911</v>
      </c>
      <c r="CG708" s="69" t="str">
        <f t="shared" si="85"/>
        <v>برنامج دولى</v>
      </c>
    </row>
    <row r="709" spans="3:85" ht="18.75" x14ac:dyDescent="0.25">
      <c r="C709" s="82">
        <v>12985</v>
      </c>
      <c r="D709" s="75">
        <v>7912</v>
      </c>
      <c r="E709" s="71" t="s">
        <v>78</v>
      </c>
      <c r="F709" s="69" t="s">
        <v>2023</v>
      </c>
      <c r="H709" s="69">
        <v>1688.4</v>
      </c>
      <c r="U709" s="69"/>
      <c r="V709" s="69"/>
      <c r="AS709" s="91">
        <f t="shared" si="83"/>
        <v>1688.4</v>
      </c>
      <c r="AT709" s="69">
        <v>1129.3</v>
      </c>
      <c r="AU709" s="69">
        <v>152.30000000000001</v>
      </c>
      <c r="AV709" s="69">
        <v>406.8</v>
      </c>
      <c r="CD709" s="91">
        <f t="shared" si="84"/>
        <v>1688.3999999999999</v>
      </c>
      <c r="CE709" s="69">
        <f t="shared" si="81"/>
        <v>0</v>
      </c>
      <c r="CF709" s="75">
        <f t="shared" si="85"/>
        <v>7912</v>
      </c>
      <c r="CG709" s="69" t="str">
        <f t="shared" si="85"/>
        <v>برنامج دولى</v>
      </c>
    </row>
    <row r="710" spans="3:85" ht="18.75" x14ac:dyDescent="0.25">
      <c r="C710" s="82">
        <v>12984</v>
      </c>
      <c r="D710" s="75">
        <v>7913</v>
      </c>
      <c r="E710" s="71" t="s">
        <v>78</v>
      </c>
      <c r="F710" s="69" t="s">
        <v>2023</v>
      </c>
      <c r="H710" s="69">
        <v>90</v>
      </c>
      <c r="U710" s="69"/>
      <c r="V710" s="69"/>
      <c r="AS710" s="91">
        <f t="shared" si="83"/>
        <v>90</v>
      </c>
      <c r="AT710" s="69">
        <v>80.75</v>
      </c>
      <c r="AU710" s="69">
        <v>9.25</v>
      </c>
      <c r="CD710" s="91">
        <f t="shared" si="84"/>
        <v>90</v>
      </c>
      <c r="CE710" s="69">
        <f t="shared" si="81"/>
        <v>0</v>
      </c>
      <c r="CF710" s="75">
        <f t="shared" si="85"/>
        <v>7913</v>
      </c>
      <c r="CG710" s="69" t="str">
        <f t="shared" si="85"/>
        <v>برنامج دولى</v>
      </c>
    </row>
    <row r="711" spans="3:85" ht="18.75" x14ac:dyDescent="0.25">
      <c r="C711" s="82">
        <v>12983</v>
      </c>
      <c r="D711" s="75">
        <v>7914</v>
      </c>
      <c r="E711" s="71" t="s">
        <v>78</v>
      </c>
      <c r="F711" s="69" t="s">
        <v>2023</v>
      </c>
      <c r="H711" s="69">
        <v>2031.35</v>
      </c>
      <c r="U711" s="69"/>
      <c r="V711" s="69"/>
      <c r="AS711" s="91">
        <f t="shared" si="83"/>
        <v>2031.35</v>
      </c>
      <c r="AT711" s="69">
        <v>1359.64</v>
      </c>
      <c r="AU711" s="69">
        <v>182.3</v>
      </c>
      <c r="AV711" s="69">
        <v>489.41</v>
      </c>
      <c r="CD711" s="91">
        <f t="shared" si="84"/>
        <v>2031.3500000000001</v>
      </c>
      <c r="CE711" s="69">
        <f t="shared" si="81"/>
        <v>0</v>
      </c>
      <c r="CF711" s="75">
        <f t="shared" si="85"/>
        <v>7914</v>
      </c>
      <c r="CG711" s="69" t="str">
        <f t="shared" si="85"/>
        <v>برنامج دولى</v>
      </c>
    </row>
    <row r="712" spans="3:85" ht="18.75" x14ac:dyDescent="0.25">
      <c r="C712" s="82"/>
      <c r="D712" s="75">
        <v>7915</v>
      </c>
      <c r="E712" s="71" t="s">
        <v>78</v>
      </c>
      <c r="F712" s="69" t="s">
        <v>2023</v>
      </c>
      <c r="H712" s="69">
        <v>422.1</v>
      </c>
      <c r="U712" s="69"/>
      <c r="V712" s="69"/>
      <c r="AS712" s="91">
        <f t="shared" si="83"/>
        <v>422.1</v>
      </c>
      <c r="AT712" s="69">
        <v>282.60000000000002</v>
      </c>
      <c r="AU712" s="69">
        <f>1.8+36</f>
        <v>37.799999999999997</v>
      </c>
      <c r="AV712" s="69">
        <f>139.5-37.8</f>
        <v>101.7</v>
      </c>
      <c r="CD712" s="91">
        <f t="shared" si="84"/>
        <v>422.1</v>
      </c>
      <c r="CE712" s="69">
        <f t="shared" si="81"/>
        <v>0</v>
      </c>
      <c r="CF712" s="75">
        <f t="shared" si="85"/>
        <v>7915</v>
      </c>
      <c r="CG712" s="69" t="str">
        <f t="shared" si="85"/>
        <v>برنامج دولى</v>
      </c>
    </row>
    <row r="713" spans="3:85" ht="18.75" x14ac:dyDescent="0.25">
      <c r="C713" s="82">
        <v>12987</v>
      </c>
      <c r="D713" s="75">
        <v>7916</v>
      </c>
      <c r="E713" s="71" t="s">
        <v>78</v>
      </c>
      <c r="F713" s="69" t="s">
        <v>2023</v>
      </c>
      <c r="H713" s="69">
        <v>17639.02</v>
      </c>
      <c r="U713" s="69"/>
      <c r="V713" s="69"/>
      <c r="AS713" s="91">
        <f t="shared" si="83"/>
        <v>17639.02</v>
      </c>
      <c r="AT713" s="69">
        <v>12251.1</v>
      </c>
      <c r="AU713" s="69">
        <v>1631.05</v>
      </c>
      <c r="AV713" s="69">
        <v>3756.87</v>
      </c>
      <c r="CD713" s="91">
        <f t="shared" si="84"/>
        <v>17639.02</v>
      </c>
      <c r="CE713" s="69">
        <f t="shared" si="81"/>
        <v>0</v>
      </c>
      <c r="CF713" s="75">
        <f t="shared" si="85"/>
        <v>7916</v>
      </c>
      <c r="CG713" s="69" t="str">
        <f t="shared" si="85"/>
        <v>برنامج دولى</v>
      </c>
    </row>
    <row r="714" spans="3:85" ht="18.75" x14ac:dyDescent="0.25">
      <c r="C714" s="82">
        <v>13022</v>
      </c>
      <c r="D714" s="75">
        <v>7917</v>
      </c>
      <c r="E714" s="71" t="s">
        <v>78</v>
      </c>
      <c r="F714" s="69" t="s">
        <v>2023</v>
      </c>
      <c r="H714" s="69">
        <v>2849.18</v>
      </c>
      <c r="U714" s="69"/>
      <c r="V714" s="69"/>
      <c r="AS714" s="91">
        <f t="shared" si="83"/>
        <v>2849.18</v>
      </c>
      <c r="AT714" s="69">
        <v>1906.63</v>
      </c>
      <c r="AU714" s="69">
        <v>256.05</v>
      </c>
      <c r="AV714" s="69">
        <v>686.5</v>
      </c>
      <c r="CD714" s="91">
        <f t="shared" si="84"/>
        <v>2849.1800000000003</v>
      </c>
      <c r="CE714" s="69">
        <f t="shared" si="81"/>
        <v>0</v>
      </c>
      <c r="CF714" s="75">
        <f t="shared" si="85"/>
        <v>7917</v>
      </c>
      <c r="CG714" s="69" t="str">
        <f t="shared" si="85"/>
        <v>برنامج دولى</v>
      </c>
    </row>
    <row r="715" spans="3:85" ht="18.75" x14ac:dyDescent="0.25">
      <c r="C715" s="82">
        <v>13018</v>
      </c>
      <c r="D715" s="75">
        <v>7918</v>
      </c>
      <c r="E715" s="71" t="s">
        <v>78</v>
      </c>
      <c r="F715" s="69" t="s">
        <v>2023</v>
      </c>
      <c r="H715" s="69">
        <v>20555.810000000001</v>
      </c>
      <c r="U715" s="69"/>
      <c r="V715" s="69"/>
      <c r="AS715" s="91">
        <f t="shared" si="83"/>
        <v>20555.810000000001</v>
      </c>
      <c r="AT715" s="69">
        <v>17018.23</v>
      </c>
      <c r="AU715" s="69">
        <v>2103.3000000000002</v>
      </c>
      <c r="AV715" s="69">
        <v>1434.28</v>
      </c>
      <c r="CD715" s="91">
        <f t="shared" si="84"/>
        <v>20555.809999999998</v>
      </c>
      <c r="CE715" s="69">
        <f t="shared" si="81"/>
        <v>0</v>
      </c>
      <c r="CF715" s="75">
        <f t="shared" si="85"/>
        <v>7918</v>
      </c>
      <c r="CG715" s="69" t="str">
        <f t="shared" si="85"/>
        <v>برنامج دولى</v>
      </c>
    </row>
    <row r="716" spans="3:85" ht="18.75" x14ac:dyDescent="0.25">
      <c r="C716" s="82">
        <v>13021</v>
      </c>
      <c r="D716" s="75">
        <v>7919</v>
      </c>
      <c r="E716" s="71" t="s">
        <v>78</v>
      </c>
      <c r="F716" s="69" t="s">
        <v>2023</v>
      </c>
      <c r="H716" s="69">
        <v>1872.2</v>
      </c>
      <c r="U716" s="69"/>
      <c r="V716" s="69"/>
      <c r="AS716" s="91">
        <f t="shared" si="83"/>
        <v>1872.2</v>
      </c>
      <c r="AT716" s="69">
        <v>1287.6199999999999</v>
      </c>
      <c r="AU716" s="69">
        <v>171.55</v>
      </c>
      <c r="AV716" s="69">
        <v>413.03</v>
      </c>
      <c r="CD716" s="91">
        <f t="shared" si="84"/>
        <v>1872.1999999999998</v>
      </c>
      <c r="CE716" s="69">
        <f t="shared" si="81"/>
        <v>0</v>
      </c>
      <c r="CF716" s="75">
        <f t="shared" si="85"/>
        <v>7919</v>
      </c>
      <c r="CG716" s="69" t="str">
        <f t="shared" si="85"/>
        <v>برنامج دولى</v>
      </c>
    </row>
    <row r="717" spans="3:85" ht="18.75" x14ac:dyDescent="0.25">
      <c r="C717" s="82">
        <v>13020</v>
      </c>
      <c r="D717" s="75">
        <v>7920</v>
      </c>
      <c r="E717" s="71" t="s">
        <v>78</v>
      </c>
      <c r="F717" s="69" t="s">
        <v>2023</v>
      </c>
      <c r="H717" s="69">
        <v>527.63</v>
      </c>
      <c r="U717" s="69"/>
      <c r="V717" s="69"/>
      <c r="AS717" s="91">
        <f t="shared" si="83"/>
        <v>527.63</v>
      </c>
      <c r="AT717" s="69">
        <v>353.2</v>
      </c>
      <c r="AU717" s="69">
        <f>45+2.3</f>
        <v>47.3</v>
      </c>
      <c r="AV717" s="69">
        <v>127.13</v>
      </c>
      <c r="CD717" s="91">
        <f t="shared" si="84"/>
        <v>527.63</v>
      </c>
      <c r="CE717" s="69">
        <f t="shared" si="81"/>
        <v>0</v>
      </c>
      <c r="CF717" s="75">
        <f t="shared" si="85"/>
        <v>7920</v>
      </c>
      <c r="CG717" s="69" t="str">
        <f t="shared" si="85"/>
        <v>برنامج دولى</v>
      </c>
    </row>
    <row r="718" spans="3:85" ht="18.75" x14ac:dyDescent="0.25">
      <c r="C718" s="82">
        <v>13019</v>
      </c>
      <c r="D718" s="75">
        <v>7921</v>
      </c>
      <c r="E718" s="71" t="s">
        <v>78</v>
      </c>
      <c r="F718" s="69" t="s">
        <v>2023</v>
      </c>
      <c r="H718" s="69">
        <v>4676.03</v>
      </c>
      <c r="U718" s="69"/>
      <c r="V718" s="69"/>
      <c r="AS718" s="91">
        <f t="shared" si="83"/>
        <v>4676.03</v>
      </c>
      <c r="AT718" s="69">
        <v>3677.95</v>
      </c>
      <c r="AU718" s="69">
        <v>464.15</v>
      </c>
      <c r="AV718" s="69">
        <v>533.92999999999995</v>
      </c>
      <c r="CD718" s="91">
        <f t="shared" si="84"/>
        <v>4676.03</v>
      </c>
      <c r="CE718" s="69">
        <f t="shared" si="81"/>
        <v>0</v>
      </c>
      <c r="CF718" s="75">
        <f t="shared" si="85"/>
        <v>7921</v>
      </c>
      <c r="CG718" s="69" t="str">
        <f t="shared" si="85"/>
        <v>برنامج دولى</v>
      </c>
    </row>
    <row r="719" spans="3:85" ht="18.75" x14ac:dyDescent="0.25">
      <c r="C719" s="82">
        <v>13025</v>
      </c>
      <c r="D719" s="75">
        <v>7922</v>
      </c>
      <c r="E719" s="71" t="s">
        <v>78</v>
      </c>
      <c r="F719" s="69" t="s">
        <v>586</v>
      </c>
      <c r="H719" s="69">
        <v>4537.58</v>
      </c>
      <c r="U719" s="69"/>
      <c r="V719" s="69"/>
      <c r="AS719" s="91">
        <f t="shared" si="83"/>
        <v>4537.58</v>
      </c>
      <c r="AT719" s="69">
        <v>3031.8</v>
      </c>
      <c r="AU719" s="69">
        <v>412.5</v>
      </c>
      <c r="AV719" s="69">
        <v>1093.28</v>
      </c>
      <c r="CD719" s="91">
        <f t="shared" si="84"/>
        <v>4537.58</v>
      </c>
      <c r="CE719" s="69">
        <f t="shared" si="81"/>
        <v>0</v>
      </c>
      <c r="CF719" s="75">
        <f t="shared" si="85"/>
        <v>7922</v>
      </c>
      <c r="CG719" s="69" t="str">
        <f t="shared" si="85"/>
        <v>برنامج دولى</v>
      </c>
    </row>
    <row r="720" spans="3:85" ht="18.75" x14ac:dyDescent="0.25">
      <c r="C720" s="82">
        <v>12970</v>
      </c>
      <c r="D720" s="75">
        <v>7923</v>
      </c>
      <c r="E720" s="71" t="s">
        <v>78</v>
      </c>
      <c r="F720" s="69" t="s">
        <v>586</v>
      </c>
      <c r="H720" s="69">
        <v>30289.82</v>
      </c>
      <c r="U720" s="69"/>
      <c r="V720" s="69"/>
      <c r="AS720" s="91">
        <f t="shared" si="83"/>
        <v>30289.82</v>
      </c>
      <c r="AT720" s="69">
        <v>26080.49</v>
      </c>
      <c r="AU720" s="69">
        <v>3096</v>
      </c>
      <c r="AV720" s="69">
        <v>1113.33</v>
      </c>
      <c r="CD720" s="91">
        <f t="shared" si="84"/>
        <v>30289.82</v>
      </c>
      <c r="CE720" s="69">
        <f t="shared" si="81"/>
        <v>0</v>
      </c>
      <c r="CF720" s="75">
        <f t="shared" si="85"/>
        <v>7923</v>
      </c>
      <c r="CG720" s="69" t="str">
        <f t="shared" si="85"/>
        <v>برنامج دولى</v>
      </c>
    </row>
    <row r="721" spans="3:85" ht="18.75" x14ac:dyDescent="0.25">
      <c r="C721" s="82">
        <v>13024</v>
      </c>
      <c r="D721" s="75">
        <v>7924</v>
      </c>
      <c r="E721" s="71" t="s">
        <v>78</v>
      </c>
      <c r="F721" s="69" t="s">
        <v>586</v>
      </c>
      <c r="H721" s="69">
        <v>8301.2999999999993</v>
      </c>
      <c r="U721" s="69"/>
      <c r="V721" s="69"/>
      <c r="AS721" s="91">
        <f t="shared" si="83"/>
        <v>8301.2999999999993</v>
      </c>
      <c r="AT721" s="69">
        <v>5546.7</v>
      </c>
      <c r="AU721" s="69">
        <v>754.5</v>
      </c>
      <c r="AV721" s="69">
        <v>2000.1</v>
      </c>
      <c r="CD721" s="91">
        <f t="shared" si="84"/>
        <v>8301.2999999999993</v>
      </c>
      <c r="CE721" s="69">
        <f t="shared" si="81"/>
        <v>0</v>
      </c>
      <c r="CF721" s="75">
        <f t="shared" si="85"/>
        <v>7924</v>
      </c>
      <c r="CG721" s="69" t="str">
        <f t="shared" si="85"/>
        <v>برنامج دولى</v>
      </c>
    </row>
    <row r="722" spans="3:85" ht="18.75" x14ac:dyDescent="0.25">
      <c r="C722" s="82">
        <v>13023</v>
      </c>
      <c r="D722" s="75">
        <v>7925</v>
      </c>
      <c r="E722" s="71" t="s">
        <v>78</v>
      </c>
      <c r="F722" s="69" t="s">
        <v>586</v>
      </c>
      <c r="H722" s="69">
        <v>4150.6400000000003</v>
      </c>
      <c r="U722" s="69"/>
      <c r="V722" s="69"/>
      <c r="AS722" s="91">
        <f t="shared" si="83"/>
        <v>4150.6400000000003</v>
      </c>
      <c r="AT722" s="69">
        <v>2773.7</v>
      </c>
      <c r="AU722" s="69">
        <v>376.9</v>
      </c>
      <c r="AV722" s="69">
        <v>1000.04</v>
      </c>
      <c r="CD722" s="91">
        <f t="shared" si="84"/>
        <v>4150.6399999999994</v>
      </c>
      <c r="CE722" s="69">
        <f t="shared" si="81"/>
        <v>0</v>
      </c>
      <c r="CF722" s="75">
        <f t="shared" si="85"/>
        <v>7925</v>
      </c>
      <c r="CG722" s="69" t="str">
        <f t="shared" si="85"/>
        <v>برنامج دولى</v>
      </c>
    </row>
    <row r="723" spans="3:85" ht="18.75" x14ac:dyDescent="0.25">
      <c r="C723" s="82">
        <v>13026</v>
      </c>
      <c r="D723" s="75">
        <v>7926</v>
      </c>
      <c r="E723" s="71" t="s">
        <v>78</v>
      </c>
      <c r="F723" s="69" t="s">
        <v>586</v>
      </c>
      <c r="H723" s="69">
        <v>53100</v>
      </c>
      <c r="U723" s="69"/>
      <c r="V723" s="69"/>
      <c r="AS723" s="91">
        <f t="shared" si="83"/>
        <v>53100</v>
      </c>
      <c r="AT723" s="69">
        <v>47531.5</v>
      </c>
      <c r="AU723" s="69">
        <v>5568.5</v>
      </c>
      <c r="CD723" s="91">
        <f t="shared" si="84"/>
        <v>53100</v>
      </c>
      <c r="CE723" s="69">
        <f t="shared" si="81"/>
        <v>0</v>
      </c>
      <c r="CF723" s="75">
        <f t="shared" si="85"/>
        <v>7926</v>
      </c>
      <c r="CG723" s="69" t="str">
        <f t="shared" si="85"/>
        <v>برنامج دولى</v>
      </c>
    </row>
    <row r="724" spans="3:85" ht="18.75" x14ac:dyDescent="0.25">
      <c r="C724" s="82">
        <v>13041</v>
      </c>
      <c r="D724" s="75">
        <v>7927</v>
      </c>
      <c r="E724" s="71" t="s">
        <v>78</v>
      </c>
      <c r="F724" s="69" t="s">
        <v>2024</v>
      </c>
      <c r="H724" s="69">
        <v>1969.8</v>
      </c>
      <c r="U724" s="69"/>
      <c r="V724" s="69"/>
      <c r="AS724" s="91">
        <f t="shared" si="83"/>
        <v>1969.8</v>
      </c>
      <c r="AT724" s="69">
        <v>1317.05</v>
      </c>
      <c r="AU724" s="69">
        <v>178.15</v>
      </c>
      <c r="AV724" s="69">
        <v>474.6</v>
      </c>
      <c r="CD724" s="91">
        <f t="shared" si="84"/>
        <v>1969.8000000000002</v>
      </c>
      <c r="CE724" s="69">
        <f t="shared" si="81"/>
        <v>0</v>
      </c>
      <c r="CF724" s="75">
        <f t="shared" si="85"/>
        <v>7927</v>
      </c>
      <c r="CG724" s="69" t="str">
        <f t="shared" si="85"/>
        <v>برنامج دولى</v>
      </c>
    </row>
    <row r="725" spans="3:85" ht="18.75" x14ac:dyDescent="0.25">
      <c r="C725" s="82">
        <v>13043</v>
      </c>
      <c r="D725" s="75">
        <v>7928</v>
      </c>
      <c r="E725" s="71" t="s">
        <v>78</v>
      </c>
      <c r="F725" s="69" t="s">
        <v>2024</v>
      </c>
      <c r="H725" s="69">
        <v>501.24</v>
      </c>
      <c r="U725" s="69"/>
      <c r="V725" s="69"/>
      <c r="AS725" s="91">
        <f t="shared" si="83"/>
        <v>501.24</v>
      </c>
      <c r="AT725" s="69">
        <v>335.56</v>
      </c>
      <c r="AU725" s="69">
        <v>44.9</v>
      </c>
      <c r="AV725" s="69">
        <v>120.78</v>
      </c>
      <c r="CD725" s="91">
        <f t="shared" si="84"/>
        <v>501.24</v>
      </c>
      <c r="CE725" s="69">
        <f t="shared" si="81"/>
        <v>0</v>
      </c>
      <c r="CF725" s="75">
        <f t="shared" si="85"/>
        <v>7928</v>
      </c>
      <c r="CG725" s="69" t="str">
        <f t="shared" si="85"/>
        <v>برنامج دولى</v>
      </c>
    </row>
    <row r="726" spans="3:85" ht="18.75" x14ac:dyDescent="0.25">
      <c r="C726" s="82">
        <v>13042</v>
      </c>
      <c r="D726" s="75">
        <v>7929</v>
      </c>
      <c r="E726" s="71" t="s">
        <v>78</v>
      </c>
      <c r="F726" s="69" t="s">
        <v>2024</v>
      </c>
      <c r="H726" s="69">
        <v>5971.35</v>
      </c>
      <c r="U726" s="69"/>
      <c r="V726" s="69"/>
      <c r="AS726" s="91">
        <f t="shared" si="83"/>
        <v>5971.35</v>
      </c>
      <c r="AT726" s="69">
        <v>4373.45</v>
      </c>
      <c r="AU726" s="69">
        <v>563.95000000000005</v>
      </c>
      <c r="AV726" s="69">
        <v>1033.95</v>
      </c>
      <c r="CD726" s="91">
        <f t="shared" si="84"/>
        <v>5971.3499999999995</v>
      </c>
      <c r="CE726" s="69">
        <f t="shared" si="81"/>
        <v>0</v>
      </c>
      <c r="CF726" s="75">
        <f t="shared" si="85"/>
        <v>7929</v>
      </c>
      <c r="CG726" s="69" t="str">
        <f t="shared" si="85"/>
        <v>برنامج دولى</v>
      </c>
    </row>
    <row r="727" spans="3:85" ht="18.75" x14ac:dyDescent="0.25">
      <c r="C727" s="82">
        <v>12974</v>
      </c>
      <c r="D727" s="75">
        <v>7930</v>
      </c>
      <c r="E727" s="71" t="s">
        <v>78</v>
      </c>
      <c r="F727" s="69" t="str">
        <f>+F712</f>
        <v>عب تدريس قلب واوعيه</v>
      </c>
      <c r="H727" s="69">
        <v>1206.1400000000001</v>
      </c>
      <c r="U727" s="69"/>
      <c r="V727" s="69"/>
      <c r="AS727" s="91">
        <f t="shared" si="83"/>
        <v>1206.1400000000001</v>
      </c>
      <c r="AT727" s="69">
        <v>1067.48</v>
      </c>
      <c r="AU727" s="69">
        <v>128.6</v>
      </c>
      <c r="AV727" s="69">
        <v>10.06</v>
      </c>
      <c r="CD727" s="91">
        <f t="shared" si="84"/>
        <v>1206.1399999999999</v>
      </c>
      <c r="CE727" s="69">
        <f t="shared" si="81"/>
        <v>0</v>
      </c>
      <c r="CF727" s="75">
        <f t="shared" si="85"/>
        <v>7930</v>
      </c>
      <c r="CG727" s="69" t="str">
        <f t="shared" si="85"/>
        <v>برنامج دولى</v>
      </c>
    </row>
    <row r="728" spans="3:85" ht="18.75" x14ac:dyDescent="0.25">
      <c r="C728" s="82">
        <v>12971</v>
      </c>
      <c r="D728" s="75">
        <v>7931</v>
      </c>
      <c r="E728" s="71" t="s">
        <v>78</v>
      </c>
      <c r="F728" s="69" t="str">
        <f t="shared" ref="F728:F732" si="86">+F713</f>
        <v>عب تدريس قلب واوعيه</v>
      </c>
      <c r="H728" s="69">
        <v>90</v>
      </c>
      <c r="U728" s="69"/>
      <c r="V728" s="69"/>
      <c r="AS728" s="91">
        <f t="shared" si="83"/>
        <v>90</v>
      </c>
      <c r="AT728" s="69">
        <v>80.75</v>
      </c>
      <c r="AU728" s="69">
        <v>9.25</v>
      </c>
      <c r="CD728" s="91">
        <f t="shared" si="84"/>
        <v>90</v>
      </c>
      <c r="CE728" s="69">
        <f t="shared" si="81"/>
        <v>0</v>
      </c>
      <c r="CF728" s="75">
        <f t="shared" si="85"/>
        <v>7931</v>
      </c>
      <c r="CG728" s="69" t="str">
        <f t="shared" si="85"/>
        <v>برنامج دولى</v>
      </c>
    </row>
    <row r="729" spans="3:85" ht="18.75" x14ac:dyDescent="0.25">
      <c r="C729" s="82">
        <v>12973</v>
      </c>
      <c r="D729" s="75">
        <v>7932</v>
      </c>
      <c r="E729" s="71" t="s">
        <v>78</v>
      </c>
      <c r="F729" s="69" t="str">
        <f t="shared" si="86"/>
        <v>عب تدريس قلب واوعيه</v>
      </c>
      <c r="H729" s="69">
        <v>1688.4</v>
      </c>
      <c r="U729" s="69"/>
      <c r="V729" s="69"/>
      <c r="AS729" s="91">
        <f t="shared" si="83"/>
        <v>1688.4</v>
      </c>
      <c r="AT729" s="69">
        <v>1129.3</v>
      </c>
      <c r="AU729" s="69">
        <v>152.30000000000001</v>
      </c>
      <c r="AV729" s="69">
        <v>406.8</v>
      </c>
      <c r="CD729" s="91">
        <f t="shared" si="84"/>
        <v>1688.3999999999999</v>
      </c>
      <c r="CE729" s="69">
        <f t="shared" si="81"/>
        <v>0</v>
      </c>
      <c r="CF729" s="75">
        <f t="shared" si="85"/>
        <v>7932</v>
      </c>
      <c r="CG729" s="69" t="str">
        <f t="shared" si="85"/>
        <v>برنامج دولى</v>
      </c>
    </row>
    <row r="730" spans="3:85" ht="18.75" x14ac:dyDescent="0.25">
      <c r="C730" s="82">
        <v>12972</v>
      </c>
      <c r="D730" s="75">
        <v>7933</v>
      </c>
      <c r="E730" s="71" t="s">
        <v>78</v>
      </c>
      <c r="F730" s="69" t="str">
        <f t="shared" si="86"/>
        <v>عب تدريس قلب واوعيه</v>
      </c>
      <c r="H730" s="69">
        <v>2031.37</v>
      </c>
      <c r="U730" s="69"/>
      <c r="V730" s="69"/>
      <c r="AS730" s="91">
        <f t="shared" si="83"/>
        <v>2031.37</v>
      </c>
      <c r="AT730" s="69">
        <v>1359.62</v>
      </c>
      <c r="AU730" s="69">
        <v>182.3</v>
      </c>
      <c r="AV730" s="69">
        <v>489.45</v>
      </c>
      <c r="CD730" s="91">
        <f t="shared" si="84"/>
        <v>2031.37</v>
      </c>
      <c r="CE730" s="69">
        <f t="shared" si="81"/>
        <v>0</v>
      </c>
      <c r="CF730" s="75">
        <f t="shared" si="85"/>
        <v>7933</v>
      </c>
      <c r="CG730" s="69" t="str">
        <f t="shared" si="85"/>
        <v>برنامج دولى</v>
      </c>
    </row>
    <row r="731" spans="3:85" ht="18.75" x14ac:dyDescent="0.25">
      <c r="C731" s="82"/>
      <c r="D731" s="75">
        <v>7934</v>
      </c>
      <c r="E731" s="71" t="s">
        <v>78</v>
      </c>
      <c r="F731" s="69" t="str">
        <f t="shared" si="86"/>
        <v>عب تدريس قلب واوعيه</v>
      </c>
      <c r="H731" s="69">
        <v>422.1</v>
      </c>
      <c r="U731" s="69"/>
      <c r="V731" s="69"/>
      <c r="AS731" s="91">
        <f t="shared" si="83"/>
        <v>422.1</v>
      </c>
      <c r="AT731" s="69">
        <v>282.60000000000002</v>
      </c>
      <c r="AU731" s="69">
        <f>36+1.8</f>
        <v>37.799999999999997</v>
      </c>
      <c r="AV731" s="69">
        <f>139.5-37.8</f>
        <v>101.7</v>
      </c>
      <c r="CD731" s="91">
        <f t="shared" si="84"/>
        <v>422.1</v>
      </c>
      <c r="CE731" s="69">
        <f t="shared" si="81"/>
        <v>0</v>
      </c>
      <c r="CF731" s="75">
        <f t="shared" si="85"/>
        <v>7934</v>
      </c>
      <c r="CG731" s="69" t="str">
        <f t="shared" si="85"/>
        <v>برنامج دولى</v>
      </c>
    </row>
    <row r="732" spans="3:85" ht="18.75" x14ac:dyDescent="0.25">
      <c r="C732" s="82">
        <v>12975</v>
      </c>
      <c r="D732" s="75">
        <v>7935</v>
      </c>
      <c r="E732" s="71" t="s">
        <v>78</v>
      </c>
      <c r="F732" s="69" t="str">
        <f t="shared" si="86"/>
        <v>عب تدريس قلب واوعيه</v>
      </c>
      <c r="H732" s="69">
        <v>26095.27</v>
      </c>
      <c r="U732" s="69"/>
      <c r="V732" s="69"/>
      <c r="AS732" s="91">
        <f t="shared" si="83"/>
        <v>26095.27</v>
      </c>
      <c r="AT732" s="69">
        <v>18703.3</v>
      </c>
      <c r="AU732" s="69">
        <v>2462.1</v>
      </c>
      <c r="AV732" s="69">
        <v>4929.87</v>
      </c>
      <c r="CD732" s="91">
        <f t="shared" si="84"/>
        <v>26095.269999999997</v>
      </c>
      <c r="CE732" s="69">
        <f t="shared" si="81"/>
        <v>0</v>
      </c>
      <c r="CF732" s="75">
        <f t="shared" si="85"/>
        <v>7935</v>
      </c>
      <c r="CG732" s="69" t="str">
        <f t="shared" si="85"/>
        <v>برنامج دولى</v>
      </c>
    </row>
    <row r="733" spans="3:85" ht="18.75" x14ac:dyDescent="0.25">
      <c r="C733" s="82">
        <v>13012</v>
      </c>
      <c r="D733" s="75">
        <v>7936</v>
      </c>
      <c r="E733" s="71" t="s">
        <v>78</v>
      </c>
      <c r="F733" s="69" t="s">
        <v>1005</v>
      </c>
      <c r="H733" s="69">
        <v>11165.75</v>
      </c>
      <c r="U733" s="69"/>
      <c r="V733" s="69"/>
      <c r="AS733" s="91">
        <f t="shared" si="83"/>
        <v>11165.75</v>
      </c>
      <c r="AT733" s="69">
        <v>7580</v>
      </c>
      <c r="AU733" s="69">
        <v>1021.55</v>
      </c>
      <c r="AV733" s="69">
        <v>2564.1999999999998</v>
      </c>
      <c r="CD733" s="91">
        <f t="shared" si="84"/>
        <v>11165.75</v>
      </c>
      <c r="CE733" s="69">
        <f t="shared" si="81"/>
        <v>0</v>
      </c>
      <c r="CF733" s="75">
        <f t="shared" si="85"/>
        <v>7936</v>
      </c>
      <c r="CG733" s="69" t="str">
        <f t="shared" si="85"/>
        <v>برنامج دولى</v>
      </c>
    </row>
    <row r="734" spans="3:85" ht="18.75" x14ac:dyDescent="0.25">
      <c r="C734" s="82">
        <v>13011</v>
      </c>
      <c r="D734" s="75">
        <v>7937</v>
      </c>
      <c r="E734" s="71" t="s">
        <v>78</v>
      </c>
      <c r="F734" s="69" t="s">
        <v>1005</v>
      </c>
      <c r="H734" s="69">
        <v>480</v>
      </c>
      <c r="U734" s="69"/>
      <c r="V734" s="69"/>
      <c r="AS734" s="91">
        <f t="shared" si="83"/>
        <v>480</v>
      </c>
      <c r="AT734" s="69">
        <v>429.55</v>
      </c>
      <c r="AU734" s="69">
        <v>50.45</v>
      </c>
      <c r="CD734" s="91">
        <f t="shared" si="84"/>
        <v>480</v>
      </c>
      <c r="CE734" s="69">
        <f t="shared" si="81"/>
        <v>0</v>
      </c>
      <c r="CF734" s="75">
        <f t="shared" si="85"/>
        <v>7937</v>
      </c>
      <c r="CG734" s="69" t="str">
        <f t="shared" si="85"/>
        <v>برنامج دولى</v>
      </c>
    </row>
    <row r="735" spans="3:85" ht="18.75" x14ac:dyDescent="0.25">
      <c r="C735" s="82">
        <v>13010</v>
      </c>
      <c r="D735" s="75">
        <v>7938</v>
      </c>
      <c r="E735" s="71" t="s">
        <v>78</v>
      </c>
      <c r="F735" s="69" t="s">
        <v>1005</v>
      </c>
      <c r="H735" s="69">
        <v>28251.05</v>
      </c>
      <c r="U735" s="69"/>
      <c r="V735" s="69"/>
      <c r="AS735" s="91">
        <f t="shared" si="83"/>
        <v>28251.05</v>
      </c>
      <c r="AT735" s="69">
        <v>21907.97</v>
      </c>
      <c r="AU735" s="69">
        <v>2771.2</v>
      </c>
      <c r="AV735" s="69">
        <v>3571.88</v>
      </c>
      <c r="CD735" s="91">
        <f t="shared" si="84"/>
        <v>28251.050000000003</v>
      </c>
      <c r="CE735" s="69">
        <f t="shared" si="81"/>
        <v>0</v>
      </c>
      <c r="CF735" s="75">
        <f t="shared" si="85"/>
        <v>7938</v>
      </c>
      <c r="CG735" s="69" t="str">
        <f t="shared" si="85"/>
        <v>برنامج دولى</v>
      </c>
    </row>
    <row r="736" spans="3:85" ht="18.75" x14ac:dyDescent="0.25">
      <c r="C736" s="82">
        <v>12990</v>
      </c>
      <c r="D736" s="75">
        <v>7939</v>
      </c>
      <c r="E736" s="71" t="s">
        <v>78</v>
      </c>
      <c r="F736" s="69" t="s">
        <v>2025</v>
      </c>
      <c r="H736" s="69">
        <v>7975</v>
      </c>
      <c r="U736" s="69"/>
      <c r="V736" s="69"/>
      <c r="AS736" s="91">
        <f t="shared" si="83"/>
        <v>7975</v>
      </c>
      <c r="AT736" s="69">
        <v>7128.5</v>
      </c>
      <c r="AU736" s="69">
        <v>846.5</v>
      </c>
      <c r="CD736" s="91">
        <f t="shared" si="84"/>
        <v>7975</v>
      </c>
      <c r="CE736" s="69">
        <f t="shared" si="81"/>
        <v>0</v>
      </c>
      <c r="CF736" s="75">
        <f t="shared" si="85"/>
        <v>7939</v>
      </c>
      <c r="CG736" s="69" t="str">
        <f t="shared" si="85"/>
        <v>برنامج دولى</v>
      </c>
    </row>
    <row r="737" spans="3:90" ht="18.75" x14ac:dyDescent="0.25">
      <c r="C737" s="82">
        <v>12989</v>
      </c>
      <c r="D737" s="75">
        <v>7940</v>
      </c>
      <c r="E737" s="71" t="s">
        <v>78</v>
      </c>
      <c r="F737" s="69" t="s">
        <v>2025</v>
      </c>
      <c r="H737" s="69">
        <v>1222.44</v>
      </c>
      <c r="U737" s="69"/>
      <c r="V737" s="69"/>
      <c r="AS737" s="91">
        <f t="shared" si="83"/>
        <v>1222.44</v>
      </c>
      <c r="AT737" s="69">
        <v>1020</v>
      </c>
      <c r="AU737" s="69">
        <v>124.75</v>
      </c>
      <c r="AV737" s="69">
        <v>77.69</v>
      </c>
      <c r="CD737" s="91">
        <f t="shared" si="84"/>
        <v>1222.44</v>
      </c>
      <c r="CE737" s="69">
        <f t="shared" si="81"/>
        <v>0</v>
      </c>
      <c r="CF737" s="75">
        <f t="shared" si="85"/>
        <v>7940</v>
      </c>
      <c r="CG737" s="69" t="str">
        <f t="shared" si="85"/>
        <v>برنامج دولى</v>
      </c>
    </row>
    <row r="738" spans="3:90" ht="18.75" x14ac:dyDescent="0.25">
      <c r="C738" s="82">
        <v>12991</v>
      </c>
      <c r="D738" s="75">
        <v>7941</v>
      </c>
      <c r="E738" s="71" t="s">
        <v>78</v>
      </c>
      <c r="F738" s="69" t="s">
        <v>2025</v>
      </c>
      <c r="H738" s="69">
        <v>250</v>
      </c>
      <c r="U738" s="69"/>
      <c r="V738" s="69"/>
      <c r="AS738" s="91">
        <f t="shared" si="83"/>
        <v>250</v>
      </c>
      <c r="AT738" s="69">
        <v>223.8</v>
      </c>
      <c r="AU738" s="69">
        <v>26.2</v>
      </c>
      <c r="CD738" s="91">
        <f t="shared" si="84"/>
        <v>250</v>
      </c>
      <c r="CE738" s="69">
        <f t="shared" si="81"/>
        <v>0</v>
      </c>
      <c r="CF738" s="75">
        <f t="shared" si="85"/>
        <v>7941</v>
      </c>
      <c r="CG738" s="69" t="str">
        <f t="shared" si="85"/>
        <v>برنامج دولى</v>
      </c>
    </row>
    <row r="739" spans="3:90" ht="18.75" x14ac:dyDescent="0.25">
      <c r="C739" s="82">
        <v>12992</v>
      </c>
      <c r="D739" s="75">
        <v>7942</v>
      </c>
      <c r="E739" s="71" t="s">
        <v>78</v>
      </c>
      <c r="F739" s="69" t="s">
        <v>2025</v>
      </c>
      <c r="H739" s="69">
        <v>1055.25</v>
      </c>
      <c r="U739" s="69"/>
      <c r="V739" s="69"/>
      <c r="AS739" s="91">
        <f t="shared" si="83"/>
        <v>1055.25</v>
      </c>
      <c r="AT739" s="69">
        <v>705.7</v>
      </c>
      <c r="AU739" s="69">
        <f>90+5.3</f>
        <v>95.3</v>
      </c>
      <c r="AV739" s="69">
        <f>349.55-5.3-90</f>
        <v>254.25</v>
      </c>
      <c r="CD739" s="91">
        <f t="shared" si="84"/>
        <v>1055.25</v>
      </c>
      <c r="CE739" s="69">
        <f t="shared" si="81"/>
        <v>0</v>
      </c>
      <c r="CF739" s="75">
        <f t="shared" si="85"/>
        <v>7942</v>
      </c>
      <c r="CG739" s="69" t="str">
        <f t="shared" si="85"/>
        <v>برنامج دولى</v>
      </c>
    </row>
    <row r="740" spans="3:90" ht="18.75" x14ac:dyDescent="0.25">
      <c r="C740" s="82">
        <v>12988</v>
      </c>
      <c r="D740" s="75">
        <v>7943</v>
      </c>
      <c r="E740" s="71" t="s">
        <v>78</v>
      </c>
      <c r="F740" s="69" t="s">
        <v>2025</v>
      </c>
      <c r="H740" s="69">
        <v>3075</v>
      </c>
      <c r="U740" s="69"/>
      <c r="V740" s="69"/>
      <c r="AS740" s="91">
        <f t="shared" si="83"/>
        <v>3075</v>
      </c>
      <c r="AT740" s="69">
        <v>2747.55</v>
      </c>
      <c r="AU740" s="69">
        <v>327.45</v>
      </c>
      <c r="CD740" s="91">
        <f t="shared" si="84"/>
        <v>3075</v>
      </c>
      <c r="CE740" s="69">
        <f t="shared" si="81"/>
        <v>0</v>
      </c>
      <c r="CF740" s="75">
        <f t="shared" si="85"/>
        <v>7943</v>
      </c>
      <c r="CG740" s="69" t="str">
        <f t="shared" si="85"/>
        <v>برنامج دولى</v>
      </c>
    </row>
    <row r="741" spans="3:90" ht="18.75" x14ac:dyDescent="0.25">
      <c r="C741" s="82">
        <v>13033</v>
      </c>
      <c r="D741" s="75">
        <v>7944</v>
      </c>
      <c r="E741" s="71" t="s">
        <v>78</v>
      </c>
      <c r="F741" s="69" t="str">
        <f>+F726</f>
        <v>عب تدريس مخ واعصاب</v>
      </c>
      <c r="H741" s="69">
        <v>14135.67</v>
      </c>
      <c r="U741" s="69"/>
      <c r="V741" s="69"/>
      <c r="AS741" s="91">
        <f t="shared" si="83"/>
        <v>14135.67</v>
      </c>
      <c r="AT741" s="69">
        <v>10514.33</v>
      </c>
      <c r="AU741" s="69">
        <v>1352.05</v>
      </c>
      <c r="AV741" s="69">
        <v>2269.29</v>
      </c>
      <c r="CD741" s="91">
        <f t="shared" si="84"/>
        <v>14135.669999999998</v>
      </c>
      <c r="CE741" s="69">
        <f t="shared" ref="CE741:CE744" si="87">+CD741-AS741</f>
        <v>0</v>
      </c>
      <c r="CF741" s="75">
        <f t="shared" si="85"/>
        <v>7944</v>
      </c>
      <c r="CG741" s="69" t="str">
        <f t="shared" si="85"/>
        <v>برنامج دولى</v>
      </c>
    </row>
    <row r="742" spans="3:90" ht="18.75" x14ac:dyDescent="0.25">
      <c r="C742" s="82">
        <v>13034</v>
      </c>
      <c r="D742" s="75">
        <v>7945</v>
      </c>
      <c r="E742" s="71" t="s">
        <v>78</v>
      </c>
      <c r="F742" s="69" t="str">
        <f>+F741</f>
        <v>عب تدريس مخ واعصاب</v>
      </c>
      <c r="H742" s="69">
        <v>1477.35</v>
      </c>
      <c r="U742" s="69"/>
      <c r="V742" s="69"/>
      <c r="AS742" s="91">
        <f t="shared" si="83"/>
        <v>1477.35</v>
      </c>
      <c r="AT742" s="69">
        <v>989.1</v>
      </c>
      <c r="AU742" s="69">
        <v>132.30000000000001</v>
      </c>
      <c r="AV742" s="69">
        <v>355.95</v>
      </c>
      <c r="CD742" s="91">
        <f t="shared" si="84"/>
        <v>1477.3500000000001</v>
      </c>
      <c r="CE742" s="69">
        <f t="shared" si="87"/>
        <v>0</v>
      </c>
      <c r="CF742" s="75">
        <f t="shared" si="85"/>
        <v>7945</v>
      </c>
      <c r="CG742" s="69" t="str">
        <f t="shared" si="85"/>
        <v>برنامج دولى</v>
      </c>
    </row>
    <row r="743" spans="3:90" ht="18.75" x14ac:dyDescent="0.25">
      <c r="C743" s="82">
        <v>13035</v>
      </c>
      <c r="D743" s="75">
        <v>7946</v>
      </c>
      <c r="E743" s="71" t="s">
        <v>78</v>
      </c>
      <c r="F743" s="69" t="str">
        <f>+F742</f>
        <v>عب تدريس مخ واعصاب</v>
      </c>
      <c r="H743" s="69">
        <v>1055.25</v>
      </c>
      <c r="U743" s="69"/>
      <c r="V743" s="69"/>
      <c r="AS743" s="91">
        <f t="shared" si="83"/>
        <v>1055.25</v>
      </c>
      <c r="AT743" s="69">
        <v>705.7</v>
      </c>
      <c r="AU743" s="69">
        <v>95.3</v>
      </c>
      <c r="AV743" s="69">
        <v>254.25</v>
      </c>
      <c r="CD743" s="91">
        <f t="shared" si="84"/>
        <v>1055.25</v>
      </c>
      <c r="CE743" s="69">
        <f t="shared" si="87"/>
        <v>0</v>
      </c>
      <c r="CF743" s="75">
        <f t="shared" si="85"/>
        <v>7946</v>
      </c>
      <c r="CG743" s="69" t="str">
        <f t="shared" si="85"/>
        <v>برنامج دولى</v>
      </c>
    </row>
    <row r="744" spans="3:90" ht="18.75" x14ac:dyDescent="0.25">
      <c r="C744" s="75">
        <v>13038</v>
      </c>
      <c r="D744" s="75">
        <v>7947</v>
      </c>
      <c r="E744" s="71" t="s">
        <v>78</v>
      </c>
      <c r="F744" s="69" t="str">
        <f>+F743</f>
        <v>عب تدريس مخ واعصاب</v>
      </c>
      <c r="H744" s="69">
        <v>5572.04</v>
      </c>
      <c r="AS744" s="91">
        <f t="shared" si="83"/>
        <v>5572.04</v>
      </c>
      <c r="AT744" s="69">
        <v>3985.5</v>
      </c>
      <c r="AU744" s="52">
        <v>518.70000000000005</v>
      </c>
      <c r="AV744" s="69">
        <v>1067.8399999999999</v>
      </c>
      <c r="CD744" s="91">
        <f t="shared" si="84"/>
        <v>5572.04</v>
      </c>
      <c r="CE744" s="69">
        <f t="shared" si="87"/>
        <v>0</v>
      </c>
      <c r="CF744" s="75">
        <f t="shared" ref="CF744:CG744" si="88">+D744</f>
        <v>7947</v>
      </c>
      <c r="CG744" s="69" t="str">
        <f t="shared" si="88"/>
        <v>برنامج دولى</v>
      </c>
    </row>
    <row r="745" spans="3:90" s="68" customFormat="1" x14ac:dyDescent="0.25">
      <c r="C745" s="82"/>
      <c r="D745" s="84"/>
      <c r="F745" s="68" t="s">
        <v>2026</v>
      </c>
      <c r="H745" s="68">
        <f>SUM(H644:H744)</f>
        <v>805558.31000000017</v>
      </c>
      <c r="I745" s="68">
        <f t="shared" ref="I745:BU745" si="89">SUM(I644:I744)</f>
        <v>147530.35</v>
      </c>
      <c r="J745" s="68">
        <f t="shared" si="89"/>
        <v>0</v>
      </c>
      <c r="K745" s="68">
        <f t="shared" si="89"/>
        <v>0</v>
      </c>
      <c r="L745" s="68">
        <f t="shared" si="89"/>
        <v>45897.03</v>
      </c>
      <c r="M745" s="68">
        <f t="shared" si="89"/>
        <v>45897.03</v>
      </c>
      <c r="N745" s="68">
        <f t="shared" si="89"/>
        <v>45897.03</v>
      </c>
      <c r="O745" s="68">
        <f t="shared" si="89"/>
        <v>0</v>
      </c>
      <c r="P745" s="68">
        <f t="shared" si="89"/>
        <v>0</v>
      </c>
      <c r="Q745" s="68">
        <f t="shared" si="89"/>
        <v>0</v>
      </c>
      <c r="R745" s="68">
        <f t="shared" si="89"/>
        <v>0</v>
      </c>
      <c r="S745" s="68">
        <f t="shared" si="89"/>
        <v>0</v>
      </c>
      <c r="T745" s="68">
        <f t="shared" si="89"/>
        <v>0</v>
      </c>
      <c r="U745" s="68">
        <f t="shared" si="89"/>
        <v>0</v>
      </c>
      <c r="V745" s="68">
        <f t="shared" si="89"/>
        <v>0</v>
      </c>
      <c r="W745" s="68">
        <f t="shared" si="89"/>
        <v>0</v>
      </c>
      <c r="X745" s="68">
        <f t="shared" si="89"/>
        <v>0</v>
      </c>
      <c r="Y745" s="68">
        <f t="shared" si="89"/>
        <v>0</v>
      </c>
      <c r="Z745" s="68">
        <f t="shared" si="89"/>
        <v>0</v>
      </c>
      <c r="AA745" s="68">
        <f t="shared" si="89"/>
        <v>0</v>
      </c>
      <c r="AB745" s="68">
        <f t="shared" si="89"/>
        <v>0</v>
      </c>
      <c r="AC745" s="68">
        <f t="shared" si="89"/>
        <v>0</v>
      </c>
      <c r="AD745" s="68">
        <f t="shared" si="89"/>
        <v>0</v>
      </c>
      <c r="AE745" s="68">
        <f t="shared" si="89"/>
        <v>0</v>
      </c>
      <c r="AF745" s="68">
        <f t="shared" si="89"/>
        <v>0</v>
      </c>
      <c r="AG745" s="68">
        <f t="shared" si="89"/>
        <v>0</v>
      </c>
      <c r="AH745" s="68">
        <f t="shared" si="89"/>
        <v>0</v>
      </c>
      <c r="AI745" s="68">
        <f t="shared" si="89"/>
        <v>0</v>
      </c>
      <c r="AJ745" s="68">
        <f t="shared" si="89"/>
        <v>0</v>
      </c>
      <c r="AK745" s="68">
        <f t="shared" si="89"/>
        <v>0</v>
      </c>
      <c r="AL745" s="68">
        <f t="shared" si="89"/>
        <v>0</v>
      </c>
      <c r="AM745" s="68">
        <f t="shared" si="89"/>
        <v>0</v>
      </c>
      <c r="AN745" s="68">
        <f t="shared" si="89"/>
        <v>0</v>
      </c>
      <c r="AP745" s="68">
        <f t="shared" si="89"/>
        <v>0</v>
      </c>
      <c r="AQ745" s="68">
        <f t="shared" si="89"/>
        <v>0</v>
      </c>
      <c r="AR745" s="68">
        <f t="shared" si="89"/>
        <v>0</v>
      </c>
      <c r="AS745" s="68">
        <f t="shared" si="89"/>
        <v>1090779.7500000002</v>
      </c>
      <c r="AT745" s="68">
        <f t="shared" si="89"/>
        <v>789942.60999999987</v>
      </c>
      <c r="AU745" s="68">
        <f t="shared" si="89"/>
        <v>85490.750000000015</v>
      </c>
      <c r="AV745" s="68">
        <f t="shared" si="89"/>
        <v>100448.88999999998</v>
      </c>
      <c r="AW745" s="68">
        <f t="shared" si="89"/>
        <v>8024.2899999999991</v>
      </c>
      <c r="AX745" s="68">
        <f t="shared" si="89"/>
        <v>0</v>
      </c>
      <c r="AY745" s="68">
        <f t="shared" si="89"/>
        <v>0</v>
      </c>
      <c r="AZ745" s="68">
        <f t="shared" si="89"/>
        <v>0</v>
      </c>
      <c r="BA745" s="68">
        <f t="shared" si="89"/>
        <v>0</v>
      </c>
      <c r="BB745" s="68">
        <f t="shared" si="89"/>
        <v>0</v>
      </c>
      <c r="BC745" s="68">
        <f t="shared" si="89"/>
        <v>0</v>
      </c>
      <c r="BD745" s="68">
        <f t="shared" si="89"/>
        <v>0</v>
      </c>
      <c r="BE745" s="68">
        <f t="shared" si="89"/>
        <v>0</v>
      </c>
      <c r="BF745" s="68">
        <f t="shared" si="89"/>
        <v>0</v>
      </c>
      <c r="BG745" s="68">
        <f t="shared" si="89"/>
        <v>4274.6000000000004</v>
      </c>
      <c r="BH745" s="68">
        <f t="shared" si="89"/>
        <v>234</v>
      </c>
      <c r="BI745" s="68">
        <f t="shared" si="89"/>
        <v>1518.3</v>
      </c>
      <c r="BJ745" s="68">
        <f t="shared" si="89"/>
        <v>6757.35</v>
      </c>
      <c r="BK745" s="68">
        <f t="shared" si="89"/>
        <v>2294.9</v>
      </c>
      <c r="BL745" s="68">
        <f t="shared" si="89"/>
        <v>45897.03</v>
      </c>
      <c r="BM745" s="68">
        <f t="shared" si="89"/>
        <v>45897.03</v>
      </c>
      <c r="BN745" s="68">
        <f t="shared" si="89"/>
        <v>0</v>
      </c>
      <c r="BO745" s="68">
        <f t="shared" si="89"/>
        <v>0</v>
      </c>
      <c r="BP745" s="68">
        <f t="shared" si="89"/>
        <v>0</v>
      </c>
      <c r="BQ745" s="68">
        <f t="shared" si="89"/>
        <v>0</v>
      </c>
      <c r="BR745" s="68">
        <f t="shared" si="89"/>
        <v>0</v>
      </c>
      <c r="BS745" s="68">
        <f t="shared" si="89"/>
        <v>0</v>
      </c>
      <c r="BT745" s="68">
        <f t="shared" si="89"/>
        <v>0</v>
      </c>
      <c r="BU745" s="68">
        <f t="shared" si="89"/>
        <v>0</v>
      </c>
      <c r="BV745" s="68">
        <f t="shared" ref="BV745:CL745" si="90">SUM(BV644:BV744)</f>
        <v>0</v>
      </c>
      <c r="BW745" s="68">
        <f t="shared" si="90"/>
        <v>0</v>
      </c>
      <c r="BX745" s="68">
        <f t="shared" si="90"/>
        <v>0</v>
      </c>
      <c r="BY745" s="68">
        <f t="shared" si="90"/>
        <v>0</v>
      </c>
      <c r="BZ745" s="68">
        <f t="shared" si="90"/>
        <v>0</v>
      </c>
      <c r="CA745" s="68">
        <f t="shared" si="90"/>
        <v>0</v>
      </c>
      <c r="CB745" s="68">
        <f t="shared" si="90"/>
        <v>0</v>
      </c>
      <c r="CC745" s="68">
        <f t="shared" si="90"/>
        <v>0</v>
      </c>
      <c r="CD745" s="68">
        <f t="shared" si="90"/>
        <v>1090779.75</v>
      </c>
      <c r="CE745" s="68">
        <f t="shared" si="90"/>
        <v>0</v>
      </c>
      <c r="CG745" s="68">
        <f t="shared" si="90"/>
        <v>0</v>
      </c>
      <c r="CH745" s="68">
        <f t="shared" si="90"/>
        <v>0</v>
      </c>
      <c r="CI745" s="68">
        <f t="shared" si="90"/>
        <v>0</v>
      </c>
      <c r="CJ745" s="68">
        <f t="shared" si="90"/>
        <v>0</v>
      </c>
      <c r="CK745" s="68">
        <f t="shared" si="90"/>
        <v>0</v>
      </c>
      <c r="CL745" s="68">
        <f t="shared" si="90"/>
        <v>0</v>
      </c>
    </row>
    <row r="746" spans="3:90" x14ac:dyDescent="0.25">
      <c r="C746" s="82">
        <v>5960</v>
      </c>
      <c r="D746" s="78">
        <v>7948</v>
      </c>
      <c r="E746" s="69" t="s">
        <v>121</v>
      </c>
      <c r="F746" s="69" t="s">
        <v>2027</v>
      </c>
      <c r="G746" s="69" t="s">
        <v>220</v>
      </c>
      <c r="H746" s="69">
        <v>5228.3500000000004</v>
      </c>
      <c r="U746" s="69"/>
      <c r="V746" s="69"/>
      <c r="AS746" s="91">
        <f t="shared" si="83"/>
        <v>5228.3500000000004</v>
      </c>
      <c r="AT746" s="69">
        <v>3736.4</v>
      </c>
      <c r="AU746" s="69">
        <f>18.91+29.4</f>
        <v>48.31</v>
      </c>
      <c r="AV746" s="69">
        <f>1081.5+178.4</f>
        <v>1259.9000000000001</v>
      </c>
      <c r="AW746" s="69">
        <f>179.72+2.23</f>
        <v>181.95</v>
      </c>
      <c r="CC746" s="69">
        <v>1.79</v>
      </c>
      <c r="CD746" s="91">
        <f t="shared" ref="CD746:CD794" si="91">SUM(AT746:CC746)</f>
        <v>5228.3500000000004</v>
      </c>
      <c r="CE746" s="69">
        <f t="shared" ref="CE746:CE794" si="92">+CD746-AS746</f>
        <v>0</v>
      </c>
      <c r="CF746" s="75">
        <f t="shared" ref="CF746:CG794" si="93">+D746</f>
        <v>7948</v>
      </c>
      <c r="CG746" s="69" t="str">
        <f t="shared" si="93"/>
        <v>ماليزى اسنان</v>
      </c>
    </row>
    <row r="747" spans="3:90" x14ac:dyDescent="0.25">
      <c r="C747" s="82">
        <v>5959</v>
      </c>
      <c r="D747" s="78">
        <v>7948</v>
      </c>
      <c r="E747" s="69" t="s">
        <v>121</v>
      </c>
      <c r="F747" s="69" t="s">
        <v>2027</v>
      </c>
      <c r="G747" s="69" t="s">
        <v>220</v>
      </c>
      <c r="H747" s="69">
        <v>10778.5</v>
      </c>
      <c r="U747" s="69"/>
      <c r="V747" s="69"/>
      <c r="AS747" s="91">
        <f t="shared" si="83"/>
        <v>10778.5</v>
      </c>
      <c r="AT747" s="69">
        <v>7745.89</v>
      </c>
      <c r="AU747" s="69">
        <f>38.17+60.55</f>
        <v>98.72</v>
      </c>
      <c r="AV747" s="69">
        <f>2229.7+367.9+16</f>
        <v>2613.6</v>
      </c>
      <c r="AW747" s="69">
        <f>314.83+4.59</f>
        <v>319.41999999999996</v>
      </c>
      <c r="CC747" s="69">
        <v>0.87</v>
      </c>
      <c r="CD747" s="91">
        <f t="shared" ref="CD747:CD750" si="94">SUM(AT747:CC747)</f>
        <v>10778.500000000002</v>
      </c>
      <c r="CE747" s="69">
        <f t="shared" si="92"/>
        <v>0</v>
      </c>
      <c r="CF747" s="75">
        <f t="shared" si="93"/>
        <v>7948</v>
      </c>
      <c r="CG747" s="69" t="str">
        <f t="shared" si="93"/>
        <v>ماليزى اسنان</v>
      </c>
    </row>
    <row r="748" spans="3:90" x14ac:dyDescent="0.25">
      <c r="C748" s="82">
        <v>5962</v>
      </c>
      <c r="D748" s="78">
        <v>7949</v>
      </c>
      <c r="E748" s="69" t="s">
        <v>121</v>
      </c>
      <c r="F748" s="69" t="s">
        <v>2027</v>
      </c>
      <c r="G748" s="69" t="s">
        <v>220</v>
      </c>
      <c r="H748" s="69">
        <v>5195.37</v>
      </c>
      <c r="U748" s="69"/>
      <c r="V748" s="69"/>
      <c r="AS748" s="91">
        <f t="shared" si="83"/>
        <v>5195.37</v>
      </c>
      <c r="AT748" s="69">
        <v>3805.35</v>
      </c>
      <c r="AU748" s="69">
        <f>16.4+29.2</f>
        <v>45.599999999999994</v>
      </c>
      <c r="AV748" s="69">
        <f>1074.8+177.4</f>
        <v>1252.2</v>
      </c>
      <c r="AW748" s="69">
        <f>89.13+2.22</f>
        <v>91.35</v>
      </c>
      <c r="CC748" s="69">
        <v>0.87</v>
      </c>
      <c r="CD748" s="91">
        <f t="shared" si="94"/>
        <v>5195.37</v>
      </c>
      <c r="CE748" s="69">
        <f t="shared" si="92"/>
        <v>0</v>
      </c>
      <c r="CF748" s="75">
        <f t="shared" si="93"/>
        <v>7949</v>
      </c>
      <c r="CG748" s="69" t="str">
        <f t="shared" si="93"/>
        <v>ماليزى اسنان</v>
      </c>
    </row>
    <row r="749" spans="3:90" x14ac:dyDescent="0.25">
      <c r="C749" s="82">
        <v>5963</v>
      </c>
      <c r="D749" s="78">
        <v>7949</v>
      </c>
      <c r="E749" s="69" t="s">
        <v>121</v>
      </c>
      <c r="F749" s="69" t="s">
        <v>2027</v>
      </c>
      <c r="G749" s="69" t="s">
        <v>220</v>
      </c>
      <c r="H749" s="69">
        <v>5195.37</v>
      </c>
      <c r="U749" s="69"/>
      <c r="V749" s="69"/>
      <c r="AS749" s="91">
        <f t="shared" si="83"/>
        <v>5195.37</v>
      </c>
      <c r="AT749" s="69">
        <v>3892.35</v>
      </c>
      <c r="AU749" s="69">
        <f>16.4+29.2</f>
        <v>45.599999999999994</v>
      </c>
      <c r="AV749" s="69">
        <f>1074.8+177.4</f>
        <v>1252.2</v>
      </c>
      <c r="AW749" s="69">
        <f>3+2.22</f>
        <v>5.2200000000000006</v>
      </c>
      <c r="CD749" s="91">
        <f t="shared" si="94"/>
        <v>5195.37</v>
      </c>
      <c r="CE749" s="69">
        <f t="shared" si="92"/>
        <v>0</v>
      </c>
      <c r="CF749" s="75">
        <f t="shared" si="93"/>
        <v>7949</v>
      </c>
      <c r="CG749" s="69" t="str">
        <f t="shared" si="93"/>
        <v>ماليزى اسنان</v>
      </c>
    </row>
    <row r="750" spans="3:90" x14ac:dyDescent="0.25">
      <c r="C750" s="82">
        <v>5964</v>
      </c>
      <c r="D750" s="78">
        <v>7949</v>
      </c>
      <c r="E750" s="69" t="s">
        <v>121</v>
      </c>
      <c r="F750" s="69" t="s">
        <v>2027</v>
      </c>
      <c r="G750" s="69" t="s">
        <v>220</v>
      </c>
      <c r="H750" s="69">
        <v>10437.459999999999</v>
      </c>
      <c r="U750" s="69"/>
      <c r="V750" s="69"/>
      <c r="AS750" s="91">
        <f t="shared" si="83"/>
        <v>10437.459999999999</v>
      </c>
      <c r="AT750" s="69">
        <v>7598.7</v>
      </c>
      <c r="AU750" s="69">
        <f>36.3+58.7</f>
        <v>95</v>
      </c>
      <c r="AV750" s="69">
        <f>2159.4+356.4</f>
        <v>2515.8000000000002</v>
      </c>
      <c r="AW750" s="69">
        <f>221.33+4.45</f>
        <v>225.78</v>
      </c>
      <c r="CC750" s="69">
        <v>2.1800000000000002</v>
      </c>
      <c r="CD750" s="91">
        <f t="shared" si="94"/>
        <v>10437.460000000001</v>
      </c>
      <c r="CE750" s="69">
        <f t="shared" si="92"/>
        <v>0</v>
      </c>
      <c r="CF750" s="75">
        <f t="shared" si="93"/>
        <v>7949</v>
      </c>
      <c r="CG750" s="69" t="str">
        <f t="shared" si="93"/>
        <v>ماليزى اسنان</v>
      </c>
    </row>
    <row r="751" spans="3:90" x14ac:dyDescent="0.25">
      <c r="C751" s="82">
        <v>5961</v>
      </c>
      <c r="D751" s="78">
        <v>7950</v>
      </c>
      <c r="E751" s="69" t="s">
        <v>121</v>
      </c>
      <c r="F751" s="69" t="s">
        <v>2027</v>
      </c>
      <c r="G751" s="69" t="s">
        <v>220</v>
      </c>
      <c r="H751" s="69">
        <v>287200.18</v>
      </c>
      <c r="U751" s="69"/>
      <c r="V751" s="69"/>
      <c r="AS751" s="91">
        <f t="shared" si="83"/>
        <v>287200.18</v>
      </c>
      <c r="AT751" s="69">
        <v>213233.89</v>
      </c>
      <c r="AU751" s="69">
        <f>1409.05+1615.7</f>
        <v>3024.75</v>
      </c>
      <c r="AV751" s="69">
        <f>59413.7+9804</f>
        <v>69217.7</v>
      </c>
      <c r="AW751" s="69">
        <f>1460.01+122.41</f>
        <v>1582.42</v>
      </c>
      <c r="AY751" s="69">
        <v>128.31</v>
      </c>
      <c r="CC751" s="69">
        <v>13.11</v>
      </c>
      <c r="CD751" s="91">
        <f t="shared" si="91"/>
        <v>287200.18</v>
      </c>
      <c r="CE751" s="69">
        <f t="shared" si="92"/>
        <v>0</v>
      </c>
      <c r="CF751" s="75">
        <f t="shared" si="93"/>
        <v>7950</v>
      </c>
      <c r="CG751" s="69" t="str">
        <f t="shared" si="93"/>
        <v>ماليزى اسنان</v>
      </c>
    </row>
    <row r="752" spans="3:90" x14ac:dyDescent="0.25">
      <c r="C752" s="82">
        <v>5965</v>
      </c>
      <c r="D752" s="78">
        <v>7951</v>
      </c>
      <c r="E752" s="69" t="s">
        <v>121</v>
      </c>
      <c r="F752" s="69" t="s">
        <v>2027</v>
      </c>
      <c r="G752" s="69" t="s">
        <v>220</v>
      </c>
      <c r="H752" s="69">
        <v>5195.37</v>
      </c>
      <c r="U752" s="69"/>
      <c r="V752" s="69"/>
      <c r="AS752" s="91">
        <f t="shared" si="83"/>
        <v>5195.37</v>
      </c>
      <c r="AT752" s="69">
        <v>3892.35</v>
      </c>
      <c r="AU752" s="69">
        <f>16.4+29.2</f>
        <v>45.599999999999994</v>
      </c>
      <c r="AV752" s="69">
        <f>1074.8+177.4</f>
        <v>1252.2</v>
      </c>
      <c r="AW752" s="69">
        <f>3+2.22</f>
        <v>5.2200000000000006</v>
      </c>
      <c r="CD752" s="91">
        <f t="shared" si="91"/>
        <v>5195.37</v>
      </c>
      <c r="CE752" s="69">
        <f t="shared" si="92"/>
        <v>0</v>
      </c>
      <c r="CF752" s="75">
        <f t="shared" si="93"/>
        <v>7951</v>
      </c>
      <c r="CG752" s="69" t="str">
        <f t="shared" si="93"/>
        <v>ماليزى اسنان</v>
      </c>
    </row>
    <row r="753" spans="2:85" x14ac:dyDescent="0.25">
      <c r="B753" s="69">
        <f>SUM(AV754:AV760)</f>
        <v>56700.9</v>
      </c>
      <c r="C753" s="82">
        <v>5966</v>
      </c>
      <c r="D753" s="78">
        <v>7952</v>
      </c>
      <c r="E753" s="69" t="s">
        <v>121</v>
      </c>
      <c r="F753" s="69" t="s">
        <v>2027</v>
      </c>
      <c r="G753" s="69" t="s">
        <v>220</v>
      </c>
      <c r="H753" s="69">
        <v>31685.82</v>
      </c>
      <c r="U753" s="69"/>
      <c r="V753" s="69"/>
      <c r="AS753" s="91">
        <f t="shared" si="83"/>
        <v>31685.82</v>
      </c>
      <c r="AT753" s="69">
        <v>23702.22</v>
      </c>
      <c r="AU753" s="69">
        <f>137.1+178.2</f>
        <v>315.29999999999995</v>
      </c>
      <c r="AV753" s="69">
        <f>6555+1081.8</f>
        <v>7636.8</v>
      </c>
      <c r="AW753" s="69">
        <f>18+13.5</f>
        <v>31.5</v>
      </c>
      <c r="CD753" s="91">
        <f t="shared" si="91"/>
        <v>31685.82</v>
      </c>
      <c r="CE753" s="69">
        <f t="shared" si="92"/>
        <v>0</v>
      </c>
      <c r="CF753" s="75">
        <f t="shared" si="93"/>
        <v>7952</v>
      </c>
      <c r="CG753" s="69" t="str">
        <f t="shared" si="93"/>
        <v>ماليزى اسنان</v>
      </c>
    </row>
    <row r="754" spans="2:85" x14ac:dyDescent="0.25">
      <c r="C754" s="82">
        <v>6162</v>
      </c>
      <c r="D754" s="78">
        <v>7953</v>
      </c>
      <c r="E754" s="69" t="s">
        <v>132</v>
      </c>
      <c r="F754" s="69" t="s">
        <v>2027</v>
      </c>
      <c r="G754" s="69" t="s">
        <v>220</v>
      </c>
      <c r="H754" s="69">
        <v>4828.78</v>
      </c>
      <c r="U754" s="69"/>
      <c r="V754" s="69"/>
      <c r="AS754" s="91">
        <f t="shared" si="83"/>
        <v>4828.78</v>
      </c>
      <c r="AT754" s="69">
        <v>3257.97</v>
      </c>
      <c r="AU754" s="69">
        <v>27.15</v>
      </c>
      <c r="AV754" s="69">
        <f>998.8+164.8</f>
        <v>1163.5999999999999</v>
      </c>
      <c r="AW754" s="69">
        <f>378+2.06</f>
        <v>380.06</v>
      </c>
      <c r="CD754" s="91">
        <f t="shared" si="91"/>
        <v>4828.78</v>
      </c>
      <c r="CE754" s="69">
        <f t="shared" si="92"/>
        <v>0</v>
      </c>
      <c r="CF754" s="75">
        <f t="shared" si="93"/>
        <v>7953</v>
      </c>
      <c r="CG754" s="69" t="str">
        <f t="shared" si="93"/>
        <v>صيدلة اكلينيكى</v>
      </c>
    </row>
    <row r="755" spans="2:85" x14ac:dyDescent="0.25">
      <c r="C755" s="82">
        <v>6160</v>
      </c>
      <c r="D755" s="78">
        <v>7954</v>
      </c>
      <c r="E755" s="69" t="s">
        <v>132</v>
      </c>
      <c r="F755" s="69" t="s">
        <v>2027</v>
      </c>
      <c r="G755" s="69" t="s">
        <v>220</v>
      </c>
      <c r="H755" s="69">
        <v>60045.03</v>
      </c>
      <c r="U755" s="69"/>
      <c r="V755" s="69"/>
      <c r="AS755" s="91">
        <f t="shared" si="83"/>
        <v>60045.03</v>
      </c>
      <c r="AT755" s="69">
        <v>43386.36</v>
      </c>
      <c r="AU755" s="69">
        <v>401.06</v>
      </c>
      <c r="AV755" s="69">
        <v>14470.9</v>
      </c>
      <c r="AW755" s="69">
        <v>1786.7099999999998</v>
      </c>
      <c r="CD755" s="91">
        <f t="shared" si="91"/>
        <v>60045.03</v>
      </c>
      <c r="CE755" s="69">
        <f t="shared" si="92"/>
        <v>0</v>
      </c>
      <c r="CF755" s="75">
        <f t="shared" si="93"/>
        <v>7954</v>
      </c>
      <c r="CG755" s="69" t="str">
        <f t="shared" si="93"/>
        <v>صيدلة اكلينيكى</v>
      </c>
    </row>
    <row r="756" spans="2:85" x14ac:dyDescent="0.25">
      <c r="C756" s="82">
        <v>6161</v>
      </c>
      <c r="D756" s="78">
        <v>7955</v>
      </c>
      <c r="E756" s="69" t="s">
        <v>132</v>
      </c>
      <c r="F756" s="69" t="s">
        <v>2027</v>
      </c>
      <c r="G756" s="69" t="s">
        <v>220</v>
      </c>
      <c r="H756" s="69">
        <v>5058.55</v>
      </c>
      <c r="U756" s="69"/>
      <c r="V756" s="69"/>
      <c r="AS756" s="91">
        <f t="shared" si="83"/>
        <v>5058.55</v>
      </c>
      <c r="AT756" s="69">
        <v>3674.84</v>
      </c>
      <c r="AU756" s="69">
        <v>27.45</v>
      </c>
      <c r="AV756" s="69">
        <f>1046.4+172.7</f>
        <v>1219.1000000000001</v>
      </c>
      <c r="AW756" s="69">
        <f>135+2.16</f>
        <v>137.16</v>
      </c>
      <c r="CD756" s="91">
        <f t="shared" si="91"/>
        <v>5058.55</v>
      </c>
      <c r="CE756" s="69">
        <f t="shared" si="92"/>
        <v>0</v>
      </c>
      <c r="CF756" s="75">
        <f t="shared" si="93"/>
        <v>7955</v>
      </c>
      <c r="CG756" s="69" t="str">
        <f t="shared" si="93"/>
        <v>صيدلة اكلينيكى</v>
      </c>
    </row>
    <row r="757" spans="2:85" x14ac:dyDescent="0.25">
      <c r="C757" s="82">
        <v>6164</v>
      </c>
      <c r="D757" s="78">
        <v>7956</v>
      </c>
      <c r="E757" s="69" t="s">
        <v>132</v>
      </c>
      <c r="F757" s="69" t="s">
        <v>2027</v>
      </c>
      <c r="G757" s="69" t="s">
        <v>220</v>
      </c>
      <c r="H757" s="69">
        <v>16173.66</v>
      </c>
      <c r="U757" s="69"/>
      <c r="V757" s="69"/>
      <c r="AS757" s="91">
        <f t="shared" si="83"/>
        <v>16173.66</v>
      </c>
      <c r="AT757" s="69">
        <v>11867.59</v>
      </c>
      <c r="AU757" s="69">
        <f>70.39+91</f>
        <v>161.38999999999999</v>
      </c>
      <c r="AV757" s="69">
        <f>3345.9+552.1</f>
        <v>3898</v>
      </c>
      <c r="AW757" s="69">
        <f>239.79+6.89</f>
        <v>246.67999999999998</v>
      </c>
      <c r="CD757" s="91">
        <f t="shared" si="91"/>
        <v>16173.66</v>
      </c>
      <c r="CE757" s="69">
        <f t="shared" si="92"/>
        <v>0</v>
      </c>
      <c r="CF757" s="75">
        <f t="shared" si="93"/>
        <v>7956</v>
      </c>
      <c r="CG757" s="69" t="str">
        <f t="shared" si="93"/>
        <v>صيدلة اكلينيكى</v>
      </c>
    </row>
    <row r="758" spans="2:85" x14ac:dyDescent="0.25">
      <c r="C758" s="82">
        <v>6166</v>
      </c>
      <c r="D758" s="78">
        <v>7957</v>
      </c>
      <c r="E758" s="69" t="s">
        <v>132</v>
      </c>
      <c r="F758" s="69" t="s">
        <v>2027</v>
      </c>
      <c r="G758" s="69" t="s">
        <v>220</v>
      </c>
      <c r="H758" s="69">
        <v>5280.97</v>
      </c>
      <c r="U758" s="69"/>
      <c r="V758" s="69"/>
      <c r="AS758" s="91">
        <f t="shared" si="83"/>
        <v>5280.97</v>
      </c>
      <c r="AT758" s="69">
        <v>3950.37</v>
      </c>
      <c r="AU758" s="69">
        <f>22.85+29.7</f>
        <v>52.55</v>
      </c>
      <c r="AV758" s="69">
        <f>1092.5+180.3</f>
        <v>1272.8</v>
      </c>
      <c r="AW758" s="69">
        <f>3+2.25</f>
        <v>5.25</v>
      </c>
      <c r="CD758" s="91">
        <f t="shared" si="91"/>
        <v>5280.97</v>
      </c>
      <c r="CE758" s="69">
        <f t="shared" si="92"/>
        <v>0</v>
      </c>
      <c r="CF758" s="75">
        <f t="shared" si="93"/>
        <v>7957</v>
      </c>
      <c r="CG758" s="69" t="str">
        <f t="shared" si="93"/>
        <v>صيدلة اكلينيكى</v>
      </c>
    </row>
    <row r="759" spans="2:85" x14ac:dyDescent="0.25">
      <c r="C759" s="82">
        <v>6163</v>
      </c>
      <c r="D759" s="78">
        <v>7958</v>
      </c>
      <c r="E759" s="69" t="s">
        <v>132</v>
      </c>
      <c r="F759" s="69" t="str">
        <f>+F756</f>
        <v>مرتبات مؤقتين فبراير</v>
      </c>
      <c r="G759" s="69" t="s">
        <v>220</v>
      </c>
      <c r="H759" s="69">
        <v>135501.69</v>
      </c>
      <c r="U759" s="69"/>
      <c r="V759" s="69"/>
      <c r="AS759" s="91">
        <f t="shared" si="83"/>
        <v>135501.69</v>
      </c>
      <c r="AT759" s="69">
        <v>97167.75</v>
      </c>
      <c r="AU759" s="69">
        <f>213.39+748</f>
        <v>961.39</v>
      </c>
      <c r="AV759" s="69">
        <f>28685.7+4733.2+39</f>
        <v>33457.9</v>
      </c>
      <c r="AW759" s="69">
        <f>3857.1+57.55</f>
        <v>3914.65</v>
      </c>
      <c r="CD759" s="91">
        <f t="shared" si="91"/>
        <v>135501.69</v>
      </c>
      <c r="CE759" s="69">
        <f t="shared" si="92"/>
        <v>0</v>
      </c>
      <c r="CF759" s="75">
        <f t="shared" si="93"/>
        <v>7958</v>
      </c>
      <c r="CG759" s="69" t="str">
        <f t="shared" si="93"/>
        <v>صيدلة اكلينيكى</v>
      </c>
    </row>
    <row r="760" spans="2:85" x14ac:dyDescent="0.25">
      <c r="C760" s="82">
        <v>6165</v>
      </c>
      <c r="D760" s="78">
        <v>7959</v>
      </c>
      <c r="E760" s="69" t="s">
        <v>132</v>
      </c>
      <c r="F760" s="69" t="str">
        <f>+F757</f>
        <v>مرتبات مؤقتين فبراير</v>
      </c>
      <c r="G760" s="69" t="s">
        <v>220</v>
      </c>
      <c r="H760" s="69">
        <v>5056.25</v>
      </c>
      <c r="U760" s="69"/>
      <c r="V760" s="69"/>
      <c r="AS760" s="91">
        <f t="shared" si="83"/>
        <v>5056.25</v>
      </c>
      <c r="AT760" s="69">
        <v>3798.12</v>
      </c>
      <c r="AU760" s="69">
        <f>5.92+28.45</f>
        <v>34.369999999999997</v>
      </c>
      <c r="AV760" s="69">
        <f>1046+172.6</f>
        <v>1218.5999999999999</v>
      </c>
      <c r="AW760" s="69">
        <f>3+2.16</f>
        <v>5.16</v>
      </c>
      <c r="CD760" s="91">
        <f t="shared" si="91"/>
        <v>5056.25</v>
      </c>
      <c r="CE760" s="69">
        <f t="shared" si="92"/>
        <v>0</v>
      </c>
      <c r="CF760" s="75">
        <f t="shared" si="93"/>
        <v>7959</v>
      </c>
      <c r="CG760" s="69" t="str">
        <f t="shared" si="93"/>
        <v>صيدلة اكلينيكى</v>
      </c>
    </row>
    <row r="761" spans="2:85" x14ac:dyDescent="0.25">
      <c r="C761" s="82">
        <v>5967</v>
      </c>
      <c r="D761" s="78">
        <v>7960</v>
      </c>
      <c r="E761" s="69" t="s">
        <v>121</v>
      </c>
      <c r="F761" s="69" t="str">
        <f>+F758</f>
        <v>مرتبات مؤقتين فبراير</v>
      </c>
      <c r="G761" s="69" t="s">
        <v>220</v>
      </c>
      <c r="H761" s="69">
        <v>117366.18</v>
      </c>
      <c r="U761" s="69"/>
      <c r="V761" s="69"/>
      <c r="AS761" s="91">
        <f t="shared" si="83"/>
        <v>117366.18</v>
      </c>
      <c r="AT761" s="69">
        <v>87819.76</v>
      </c>
      <c r="AU761" s="69">
        <f>19.87+659.6</f>
        <v>679.47</v>
      </c>
      <c r="AV761" s="69">
        <f>24279.4+4006</f>
        <v>28285.4</v>
      </c>
      <c r="AW761" s="69">
        <f>526.92+50.02</f>
        <v>576.93999999999994</v>
      </c>
      <c r="CC761" s="69">
        <v>4.6100000000000003</v>
      </c>
      <c r="CD761" s="91">
        <f t="shared" si="91"/>
        <v>117366.18000000001</v>
      </c>
      <c r="CE761" s="69">
        <f t="shared" si="92"/>
        <v>0</v>
      </c>
      <c r="CF761" s="75">
        <f t="shared" si="93"/>
        <v>7960</v>
      </c>
      <c r="CG761" s="69" t="str">
        <f t="shared" si="93"/>
        <v>ماليزى اسنان</v>
      </c>
    </row>
    <row r="762" spans="2:85" x14ac:dyDescent="0.25">
      <c r="C762" s="82">
        <v>5968</v>
      </c>
      <c r="D762" s="78">
        <v>7961</v>
      </c>
      <c r="E762" s="69" t="s">
        <v>121</v>
      </c>
      <c r="F762" s="69" t="str">
        <f>+F759</f>
        <v>مرتبات مؤقتين فبراير</v>
      </c>
      <c r="G762" s="69" t="s">
        <v>220</v>
      </c>
      <c r="H762" s="69">
        <v>4979.95</v>
      </c>
      <c r="U762" s="69"/>
      <c r="V762" s="69"/>
      <c r="AS762" s="91">
        <f t="shared" si="83"/>
        <v>4979.95</v>
      </c>
      <c r="AT762" s="69">
        <v>3746.45</v>
      </c>
      <c r="AU762" s="69">
        <f>28+0.18</f>
        <v>28.18</v>
      </c>
      <c r="AV762" s="69">
        <f>1030.2+170</f>
        <v>1200.2</v>
      </c>
      <c r="AW762" s="69">
        <f>3+2.12</f>
        <v>5.12</v>
      </c>
      <c r="CD762" s="91">
        <f t="shared" si="91"/>
        <v>4979.95</v>
      </c>
      <c r="CE762" s="69">
        <f t="shared" si="92"/>
        <v>0</v>
      </c>
      <c r="CF762" s="75">
        <f t="shared" si="93"/>
        <v>7961</v>
      </c>
      <c r="CG762" s="69" t="str">
        <f t="shared" si="93"/>
        <v>ماليزى اسنان</v>
      </c>
    </row>
    <row r="763" spans="2:85" x14ac:dyDescent="0.25">
      <c r="C763" s="82">
        <v>6241</v>
      </c>
      <c r="D763" s="78">
        <v>7962</v>
      </c>
      <c r="E763" s="69" t="s">
        <v>78</v>
      </c>
      <c r="F763" s="69" t="s">
        <v>2027</v>
      </c>
      <c r="G763" s="69" t="s">
        <v>220</v>
      </c>
      <c r="H763" s="69">
        <v>5262.03</v>
      </c>
      <c r="U763" s="69"/>
      <c r="V763" s="69"/>
      <c r="AS763" s="91">
        <f t="shared" si="83"/>
        <v>5262.03</v>
      </c>
      <c r="AT763" s="69">
        <v>2607.35</v>
      </c>
      <c r="AU763" s="69">
        <v>22.1</v>
      </c>
      <c r="AV763" s="69">
        <v>1268.0999999999999</v>
      </c>
      <c r="AW763" s="69">
        <v>4.74</v>
      </c>
      <c r="AX763" s="69">
        <v>1000</v>
      </c>
      <c r="AY763" s="69">
        <v>359.74</v>
      </c>
      <c r="CD763" s="91">
        <f t="shared" si="91"/>
        <v>5262.0299999999988</v>
      </c>
      <c r="CE763" s="69">
        <f t="shared" si="92"/>
        <v>0</v>
      </c>
      <c r="CF763" s="75">
        <f t="shared" si="93"/>
        <v>7962</v>
      </c>
      <c r="CG763" s="69" t="str">
        <f t="shared" si="93"/>
        <v>برنامج دولى</v>
      </c>
    </row>
    <row r="764" spans="2:85" x14ac:dyDescent="0.25">
      <c r="C764" s="82">
        <v>6211</v>
      </c>
      <c r="D764" s="78">
        <v>7963</v>
      </c>
      <c r="E764" s="69" t="s">
        <v>78</v>
      </c>
      <c r="F764" s="69" t="s">
        <v>2027</v>
      </c>
      <c r="G764" s="69" t="s">
        <v>220</v>
      </c>
      <c r="H764" s="69">
        <v>5262.03</v>
      </c>
      <c r="U764" s="69"/>
      <c r="V764" s="69"/>
      <c r="AS764" s="91">
        <f t="shared" si="83"/>
        <v>5262.03</v>
      </c>
      <c r="AT764" s="69">
        <v>3867.66</v>
      </c>
      <c r="AU764" s="69">
        <v>51.03</v>
      </c>
      <c r="AV764" s="69">
        <v>1268.0999999999999</v>
      </c>
      <c r="AW764" s="69">
        <v>75.239999999999995</v>
      </c>
      <c r="CD764" s="91">
        <f t="shared" si="91"/>
        <v>5262.03</v>
      </c>
      <c r="CE764" s="69">
        <f t="shared" si="92"/>
        <v>0</v>
      </c>
      <c r="CF764" s="75">
        <f t="shared" si="93"/>
        <v>7963</v>
      </c>
      <c r="CG764" s="69" t="str">
        <f t="shared" si="93"/>
        <v>برنامج دولى</v>
      </c>
    </row>
    <row r="765" spans="2:85" x14ac:dyDescent="0.25">
      <c r="C765" s="82">
        <v>6212</v>
      </c>
      <c r="D765" s="78">
        <v>7963</v>
      </c>
      <c r="E765" s="69" t="s">
        <v>78</v>
      </c>
      <c r="F765" s="69" t="s">
        <v>2027</v>
      </c>
      <c r="G765" s="69" t="s">
        <v>220</v>
      </c>
      <c r="H765" s="69">
        <v>11103.32</v>
      </c>
      <c r="U765" s="69"/>
      <c r="V765" s="69"/>
      <c r="AS765" s="91">
        <f t="shared" si="83"/>
        <v>11103.32</v>
      </c>
      <c r="AT765" s="69">
        <v>8267.6</v>
      </c>
      <c r="AU765" s="69">
        <v>148.98000000000002</v>
      </c>
      <c r="AV765" s="69">
        <v>2676</v>
      </c>
      <c r="AW765" s="69">
        <v>10.74</v>
      </c>
      <c r="CD765" s="91">
        <f t="shared" si="91"/>
        <v>11103.32</v>
      </c>
      <c r="CE765" s="69">
        <f t="shared" si="92"/>
        <v>0</v>
      </c>
      <c r="CF765" s="75">
        <f t="shared" si="93"/>
        <v>7963</v>
      </c>
      <c r="CG765" s="69" t="str">
        <f t="shared" si="93"/>
        <v>برنامج دولى</v>
      </c>
    </row>
    <row r="766" spans="2:85" x14ac:dyDescent="0.25">
      <c r="C766" s="82">
        <v>6213</v>
      </c>
      <c r="D766" s="78">
        <v>7963</v>
      </c>
      <c r="E766" s="69" t="s">
        <v>78</v>
      </c>
      <c r="F766" s="69" t="s">
        <v>2027</v>
      </c>
      <c r="G766" s="69" t="s">
        <v>220</v>
      </c>
      <c r="H766" s="69">
        <v>10485.43</v>
      </c>
      <c r="U766" s="69"/>
      <c r="V766" s="69"/>
      <c r="AS766" s="91">
        <f t="shared" si="83"/>
        <v>10485.43</v>
      </c>
      <c r="AT766" s="69">
        <v>7714.02</v>
      </c>
      <c r="AU766" s="69">
        <v>98.94</v>
      </c>
      <c r="AV766" s="69">
        <v>2527</v>
      </c>
      <c r="AW766" s="69">
        <v>145.47</v>
      </c>
      <c r="CD766" s="91">
        <f t="shared" si="91"/>
        <v>10485.429999999998</v>
      </c>
      <c r="CE766" s="69">
        <f t="shared" si="92"/>
        <v>0</v>
      </c>
      <c r="CF766" s="75">
        <f t="shared" si="93"/>
        <v>7963</v>
      </c>
      <c r="CG766" s="69" t="str">
        <f t="shared" si="93"/>
        <v>برنامج دولى</v>
      </c>
    </row>
    <row r="767" spans="2:85" x14ac:dyDescent="0.25">
      <c r="C767" s="82">
        <v>6216</v>
      </c>
      <c r="D767" s="78">
        <v>7963</v>
      </c>
      <c r="E767" s="69" t="s">
        <v>78</v>
      </c>
      <c r="F767" s="69" t="s">
        <v>2027</v>
      </c>
      <c r="G767" s="69" t="s">
        <v>220</v>
      </c>
      <c r="H767" s="69">
        <v>10813.58</v>
      </c>
      <c r="U767" s="69"/>
      <c r="V767" s="69"/>
      <c r="AS767" s="91">
        <f t="shared" si="83"/>
        <v>10813.58</v>
      </c>
      <c r="AT767" s="69">
        <v>7616.36</v>
      </c>
      <c r="AU767" s="69">
        <v>125.50999999999999</v>
      </c>
      <c r="AV767" s="69">
        <v>2606.1</v>
      </c>
      <c r="AW767" s="69">
        <v>465.61</v>
      </c>
      <c r="CD767" s="91">
        <f t="shared" si="91"/>
        <v>10813.58</v>
      </c>
      <c r="CE767" s="69">
        <f t="shared" si="92"/>
        <v>0</v>
      </c>
      <c r="CF767" s="75">
        <f t="shared" si="93"/>
        <v>7963</v>
      </c>
      <c r="CG767" s="69" t="str">
        <f t="shared" si="93"/>
        <v>برنامج دولى</v>
      </c>
    </row>
    <row r="768" spans="2:85" x14ac:dyDescent="0.25">
      <c r="C768" s="82">
        <v>6214</v>
      </c>
      <c r="D768" s="78">
        <v>7964</v>
      </c>
      <c r="E768" s="69" t="s">
        <v>78</v>
      </c>
      <c r="F768" s="69" t="s">
        <v>2027</v>
      </c>
      <c r="G768" s="69" t="s">
        <v>220</v>
      </c>
      <c r="H768" s="69">
        <v>5262.03</v>
      </c>
      <c r="U768" s="69"/>
      <c r="V768" s="69"/>
      <c r="AS768" s="91">
        <f t="shared" si="83"/>
        <v>5262.03</v>
      </c>
      <c r="AT768" s="69">
        <v>3885.66</v>
      </c>
      <c r="AU768" s="69">
        <v>51.03</v>
      </c>
      <c r="AV768" s="69">
        <v>1268.0999999999999</v>
      </c>
      <c r="AW768" s="69">
        <v>57.24</v>
      </c>
      <c r="CD768" s="91">
        <f t="shared" si="91"/>
        <v>5262.03</v>
      </c>
      <c r="CE768" s="69">
        <f t="shared" si="92"/>
        <v>0</v>
      </c>
      <c r="CF768" s="75">
        <f t="shared" si="93"/>
        <v>7964</v>
      </c>
      <c r="CG768" s="69" t="str">
        <f t="shared" si="93"/>
        <v>برنامج دولى</v>
      </c>
    </row>
    <row r="769" spans="3:85" x14ac:dyDescent="0.25">
      <c r="C769" s="82">
        <v>6215</v>
      </c>
      <c r="D769" s="78">
        <v>7964</v>
      </c>
      <c r="E769" s="69" t="s">
        <v>78</v>
      </c>
      <c r="F769" s="69" t="s">
        <v>2027</v>
      </c>
      <c r="G769" s="69" t="s">
        <v>220</v>
      </c>
      <c r="H769" s="69">
        <v>5223.3999999999996</v>
      </c>
      <c r="U769" s="69"/>
      <c r="V769" s="69"/>
      <c r="AS769" s="91">
        <f t="shared" si="83"/>
        <v>5223.3999999999996</v>
      </c>
      <c r="AT769" s="69">
        <v>3929.87</v>
      </c>
      <c r="AU769" s="69">
        <v>29.4</v>
      </c>
      <c r="AV769" s="69">
        <v>1258.8999999999999</v>
      </c>
      <c r="AW769" s="69">
        <v>5.23</v>
      </c>
      <c r="CD769" s="91">
        <f t="shared" si="91"/>
        <v>5223.3999999999996</v>
      </c>
      <c r="CE769" s="69">
        <f t="shared" si="92"/>
        <v>0</v>
      </c>
      <c r="CF769" s="75">
        <f t="shared" si="93"/>
        <v>7964</v>
      </c>
      <c r="CG769" s="69" t="str">
        <f t="shared" si="93"/>
        <v>برنامج دولى</v>
      </c>
    </row>
    <row r="770" spans="3:85" x14ac:dyDescent="0.25">
      <c r="C770" s="82">
        <v>6217</v>
      </c>
      <c r="D770" s="78">
        <v>7965</v>
      </c>
      <c r="E770" s="69" t="s">
        <v>78</v>
      </c>
      <c r="F770" s="69" t="s">
        <v>2027</v>
      </c>
      <c r="G770" s="69" t="s">
        <v>220</v>
      </c>
      <c r="H770" s="69">
        <v>3894.45</v>
      </c>
      <c r="U770" s="69"/>
      <c r="V770" s="69"/>
      <c r="AS770" s="91">
        <f t="shared" si="83"/>
        <v>3894.45</v>
      </c>
      <c r="AT770" s="69">
        <v>2531.11</v>
      </c>
      <c r="AU770" s="69">
        <v>18.8</v>
      </c>
      <c r="AV770" s="69">
        <v>1338</v>
      </c>
      <c r="AW770" s="69">
        <v>6.54</v>
      </c>
      <c r="CD770" s="91">
        <f t="shared" si="91"/>
        <v>3894.4500000000003</v>
      </c>
      <c r="CE770" s="69">
        <f t="shared" si="92"/>
        <v>0</v>
      </c>
      <c r="CF770" s="75">
        <f t="shared" si="93"/>
        <v>7965</v>
      </c>
      <c r="CG770" s="69" t="str">
        <f t="shared" si="93"/>
        <v>برنامج دولى</v>
      </c>
    </row>
    <row r="771" spans="3:85" x14ac:dyDescent="0.25">
      <c r="C771" s="82">
        <v>6218</v>
      </c>
      <c r="D771" s="78">
        <v>7965</v>
      </c>
      <c r="E771" s="69" t="s">
        <v>78</v>
      </c>
      <c r="F771" s="69" t="s">
        <v>2027</v>
      </c>
      <c r="G771" s="69" t="s">
        <v>220</v>
      </c>
      <c r="H771" s="69">
        <v>65632.899999999994</v>
      </c>
      <c r="U771" s="69"/>
      <c r="V771" s="69"/>
      <c r="AS771" s="91">
        <f t="shared" si="83"/>
        <v>65632.899999999994</v>
      </c>
      <c r="AT771" s="69">
        <v>47626.09</v>
      </c>
      <c r="AU771" s="69">
        <v>747.82999999999993</v>
      </c>
      <c r="AV771" s="69">
        <v>15818.4</v>
      </c>
      <c r="AW771" s="69">
        <v>399.47</v>
      </c>
      <c r="AX771" s="69">
        <v>1041.1099999999999</v>
      </c>
      <c r="CD771" s="91">
        <f t="shared" si="91"/>
        <v>65632.899999999994</v>
      </c>
      <c r="CE771" s="69">
        <f t="shared" si="92"/>
        <v>0</v>
      </c>
      <c r="CF771" s="75">
        <f t="shared" si="93"/>
        <v>7965</v>
      </c>
      <c r="CG771" s="69" t="str">
        <f t="shared" si="93"/>
        <v>برنامج دولى</v>
      </c>
    </row>
    <row r="772" spans="3:85" x14ac:dyDescent="0.25">
      <c r="C772" s="82">
        <v>6220</v>
      </c>
      <c r="D772" s="78">
        <v>7965</v>
      </c>
      <c r="E772" s="69" t="s">
        <v>78</v>
      </c>
      <c r="F772" s="69" t="s">
        <v>2027</v>
      </c>
      <c r="G772" s="69" t="s">
        <v>220</v>
      </c>
      <c r="H772" s="69">
        <v>37506.54</v>
      </c>
      <c r="U772" s="69"/>
      <c r="V772" s="69"/>
      <c r="AS772" s="91">
        <f t="shared" ref="AS772:AS837" si="95">SUM(H772:AR772)</f>
        <v>37506.54</v>
      </c>
      <c r="AT772" s="69">
        <v>26900.06</v>
      </c>
      <c r="AU772" s="69">
        <v>376.29999999999995</v>
      </c>
      <c r="AV772" s="69">
        <v>9039.4</v>
      </c>
      <c r="AW772" s="69">
        <v>1043.6500000000001</v>
      </c>
      <c r="AX772" s="69">
        <v>147.13</v>
      </c>
      <c r="CD772" s="91">
        <f t="shared" si="91"/>
        <v>37506.54</v>
      </c>
      <c r="CE772" s="69">
        <f t="shared" si="92"/>
        <v>0</v>
      </c>
      <c r="CF772" s="75">
        <f t="shared" si="93"/>
        <v>7965</v>
      </c>
      <c r="CG772" s="69" t="str">
        <f t="shared" si="93"/>
        <v>برنامج دولى</v>
      </c>
    </row>
    <row r="773" spans="3:85" x14ac:dyDescent="0.25">
      <c r="C773" s="82">
        <v>6222</v>
      </c>
      <c r="D773" s="78">
        <v>7966</v>
      </c>
      <c r="E773" s="69" t="s">
        <v>78</v>
      </c>
      <c r="F773" s="69" t="s">
        <v>2027</v>
      </c>
      <c r="G773" s="69" t="s">
        <v>220</v>
      </c>
      <c r="H773" s="69">
        <v>11103.1</v>
      </c>
      <c r="U773" s="69"/>
      <c r="V773" s="69"/>
      <c r="AS773" s="91">
        <f t="shared" si="95"/>
        <v>11103.1</v>
      </c>
      <c r="AT773" s="69">
        <v>8267.4</v>
      </c>
      <c r="AU773" s="69">
        <v>148.95999999999998</v>
      </c>
      <c r="AV773" s="69">
        <v>2676</v>
      </c>
      <c r="AW773" s="69">
        <v>10.74</v>
      </c>
      <c r="CD773" s="91">
        <f t="shared" si="91"/>
        <v>11103.099999999999</v>
      </c>
      <c r="CE773" s="69">
        <f t="shared" si="92"/>
        <v>0</v>
      </c>
      <c r="CF773" s="75">
        <f t="shared" si="93"/>
        <v>7966</v>
      </c>
      <c r="CG773" s="69" t="str">
        <f t="shared" si="93"/>
        <v>برنامج دولى</v>
      </c>
    </row>
    <row r="774" spans="3:85" x14ac:dyDescent="0.25">
      <c r="C774" s="82">
        <v>6219</v>
      </c>
      <c r="D774" s="78">
        <v>7967</v>
      </c>
      <c r="E774" s="69" t="s">
        <v>78</v>
      </c>
      <c r="F774" s="69" t="s">
        <v>2027</v>
      </c>
      <c r="G774" s="69" t="s">
        <v>220</v>
      </c>
      <c r="H774" s="69">
        <v>5244.75</v>
      </c>
      <c r="U774" s="69"/>
      <c r="V774" s="69"/>
      <c r="AS774" s="91">
        <f t="shared" si="95"/>
        <v>5244.75</v>
      </c>
      <c r="AT774" s="69">
        <v>3925.88</v>
      </c>
      <c r="AU774" s="69">
        <v>49.629999999999995</v>
      </c>
      <c r="AV774" s="69">
        <v>1264</v>
      </c>
      <c r="AW774" s="69">
        <v>5.24</v>
      </c>
      <c r="CD774" s="91">
        <f t="shared" si="91"/>
        <v>5244.75</v>
      </c>
      <c r="CE774" s="69">
        <f t="shared" si="92"/>
        <v>0</v>
      </c>
      <c r="CF774" s="75">
        <f t="shared" si="93"/>
        <v>7967</v>
      </c>
      <c r="CG774" s="69" t="str">
        <f t="shared" si="93"/>
        <v>برنامج دولى</v>
      </c>
    </row>
    <row r="775" spans="3:85" x14ac:dyDescent="0.25">
      <c r="C775" s="82">
        <v>6225</v>
      </c>
      <c r="D775" s="78">
        <v>7968</v>
      </c>
      <c r="E775" s="69" t="s">
        <v>78</v>
      </c>
      <c r="F775" s="69" t="s">
        <v>2027</v>
      </c>
      <c r="G775" s="69" t="s">
        <v>220</v>
      </c>
      <c r="H775" s="69">
        <v>5262.03</v>
      </c>
      <c r="U775" s="69"/>
      <c r="V775" s="69"/>
      <c r="AS775" s="91">
        <f t="shared" si="95"/>
        <v>5262.03</v>
      </c>
      <c r="AT775" s="69">
        <v>3917.09</v>
      </c>
      <c r="AU775" s="69">
        <v>48.599999999999994</v>
      </c>
      <c r="AV775" s="69">
        <v>1291.0999999999999</v>
      </c>
      <c r="AW775" s="69">
        <v>5.24</v>
      </c>
      <c r="CD775" s="91">
        <f t="shared" si="91"/>
        <v>5262.03</v>
      </c>
      <c r="CE775" s="69">
        <f t="shared" si="92"/>
        <v>0</v>
      </c>
      <c r="CF775" s="75">
        <f t="shared" si="93"/>
        <v>7968</v>
      </c>
      <c r="CG775" s="69" t="str">
        <f t="shared" si="93"/>
        <v>برنامج دولى</v>
      </c>
    </row>
    <row r="776" spans="3:85" x14ac:dyDescent="0.25">
      <c r="C776" s="82">
        <v>6221</v>
      </c>
      <c r="D776" s="78">
        <v>7969</v>
      </c>
      <c r="E776" s="69" t="s">
        <v>78</v>
      </c>
      <c r="F776" s="69" t="s">
        <v>2027</v>
      </c>
      <c r="G776" s="69" t="s">
        <v>220</v>
      </c>
      <c r="H776" s="69">
        <v>1293759.51</v>
      </c>
      <c r="U776" s="69"/>
      <c r="V776" s="69"/>
      <c r="AS776" s="91">
        <f t="shared" si="95"/>
        <v>1293759.51</v>
      </c>
      <c r="AT776" s="69">
        <v>946593.7</v>
      </c>
      <c r="AU776" s="69">
        <v>14308.65</v>
      </c>
      <c r="AV776" s="69">
        <v>317280.8</v>
      </c>
      <c r="AW776" s="69">
        <v>7117.09</v>
      </c>
      <c r="AX776" s="69">
        <v>8459.27</v>
      </c>
      <c r="CD776" s="91">
        <f t="shared" si="91"/>
        <v>1293759.51</v>
      </c>
      <c r="CE776" s="69">
        <f t="shared" si="92"/>
        <v>0</v>
      </c>
      <c r="CF776" s="75">
        <f t="shared" si="93"/>
        <v>7969</v>
      </c>
      <c r="CG776" s="69" t="str">
        <f t="shared" si="93"/>
        <v>برنامج دولى</v>
      </c>
    </row>
    <row r="777" spans="3:85" x14ac:dyDescent="0.25">
      <c r="C777" s="82">
        <v>6223</v>
      </c>
      <c r="D777" s="78">
        <v>7970</v>
      </c>
      <c r="E777" s="69" t="s">
        <v>78</v>
      </c>
      <c r="F777" s="69" t="s">
        <v>2027</v>
      </c>
      <c r="G777" s="69" t="s">
        <v>220</v>
      </c>
      <c r="H777" s="69">
        <v>5262.03</v>
      </c>
      <c r="U777" s="69"/>
      <c r="V777" s="69"/>
      <c r="AS777" s="91">
        <f t="shared" si="95"/>
        <v>5262.03</v>
      </c>
      <c r="AT777" s="69">
        <v>3528.26</v>
      </c>
      <c r="AU777" s="69">
        <v>26.35</v>
      </c>
      <c r="AV777" s="69">
        <v>1268.0999999999999</v>
      </c>
      <c r="AW777" s="69">
        <v>5.0299999999999994</v>
      </c>
      <c r="AX777" s="69">
        <v>434.29</v>
      </c>
      <c r="CD777" s="91">
        <f t="shared" si="91"/>
        <v>5262.03</v>
      </c>
      <c r="CE777" s="69">
        <f t="shared" si="92"/>
        <v>0</v>
      </c>
      <c r="CF777" s="75">
        <f t="shared" si="93"/>
        <v>7970</v>
      </c>
      <c r="CG777" s="69" t="str">
        <f t="shared" si="93"/>
        <v>برنامج دولى</v>
      </c>
    </row>
    <row r="778" spans="3:85" x14ac:dyDescent="0.25">
      <c r="C778" s="82">
        <v>6224</v>
      </c>
      <c r="D778" s="78">
        <v>7970</v>
      </c>
      <c r="E778" s="69" t="s">
        <v>78</v>
      </c>
      <c r="F778" s="69" t="s">
        <v>2027</v>
      </c>
      <c r="G778" s="69" t="s">
        <v>220</v>
      </c>
      <c r="H778" s="69">
        <v>5262.03</v>
      </c>
      <c r="U778" s="69"/>
      <c r="V778" s="69"/>
      <c r="AS778" s="91">
        <f t="shared" si="95"/>
        <v>5262.03</v>
      </c>
      <c r="AT778" s="69">
        <v>3937.66</v>
      </c>
      <c r="AU778" s="69">
        <v>51.03</v>
      </c>
      <c r="AV778" s="69">
        <v>1268.0999999999999</v>
      </c>
      <c r="AW778" s="69">
        <v>5.24</v>
      </c>
      <c r="CD778" s="91">
        <f t="shared" si="91"/>
        <v>5262.03</v>
      </c>
      <c r="CE778" s="69">
        <f t="shared" si="92"/>
        <v>0</v>
      </c>
      <c r="CF778" s="75">
        <f t="shared" si="93"/>
        <v>7970</v>
      </c>
      <c r="CG778" s="69" t="str">
        <f t="shared" si="93"/>
        <v>برنامج دولى</v>
      </c>
    </row>
    <row r="779" spans="3:85" x14ac:dyDescent="0.25">
      <c r="C779" s="82">
        <v>6226</v>
      </c>
      <c r="D779" s="78">
        <v>7970</v>
      </c>
      <c r="E779" s="69" t="s">
        <v>78</v>
      </c>
      <c r="F779" s="69" t="s">
        <v>2027</v>
      </c>
      <c r="G779" s="69" t="s">
        <v>220</v>
      </c>
      <c r="H779" s="69">
        <v>5262.03</v>
      </c>
      <c r="U779" s="69"/>
      <c r="V779" s="69"/>
      <c r="AS779" s="91">
        <f t="shared" si="95"/>
        <v>5262.03</v>
      </c>
      <c r="AT779" s="69">
        <v>2257.66</v>
      </c>
      <c r="AU779" s="69">
        <v>51.03</v>
      </c>
      <c r="AV779" s="69">
        <v>1268.0999999999999</v>
      </c>
      <c r="AW779" s="69">
        <v>1685.24</v>
      </c>
      <c r="CD779" s="91">
        <f t="shared" si="91"/>
        <v>5262.03</v>
      </c>
      <c r="CE779" s="69">
        <f t="shared" si="92"/>
        <v>0</v>
      </c>
      <c r="CF779" s="75">
        <f t="shared" si="93"/>
        <v>7970</v>
      </c>
      <c r="CG779" s="69" t="str">
        <f t="shared" si="93"/>
        <v>برنامج دولى</v>
      </c>
    </row>
    <row r="780" spans="3:85" x14ac:dyDescent="0.25">
      <c r="C780" s="82">
        <v>6227</v>
      </c>
      <c r="D780" s="78">
        <v>7971</v>
      </c>
      <c r="E780" s="69" t="s">
        <v>78</v>
      </c>
      <c r="F780" s="69" t="s">
        <v>2027</v>
      </c>
      <c r="G780" s="69" t="s">
        <v>220</v>
      </c>
      <c r="H780" s="69">
        <v>21406.74</v>
      </c>
      <c r="U780" s="69"/>
      <c r="V780" s="69"/>
      <c r="AS780" s="91">
        <f t="shared" si="95"/>
        <v>21406.74</v>
      </c>
      <c r="AT780" s="69">
        <v>15856.92</v>
      </c>
      <c r="AU780" s="69">
        <v>216.84</v>
      </c>
      <c r="AV780" s="69">
        <v>5159.2</v>
      </c>
      <c r="AW780" s="69">
        <v>21.05</v>
      </c>
      <c r="AX780" s="69">
        <v>152.72999999999999</v>
      </c>
      <c r="CD780" s="91">
        <f t="shared" si="91"/>
        <v>21406.739999999998</v>
      </c>
      <c r="CE780" s="69">
        <f t="shared" si="92"/>
        <v>0</v>
      </c>
      <c r="CF780" s="75">
        <f t="shared" si="93"/>
        <v>7971</v>
      </c>
      <c r="CG780" s="69" t="str">
        <f t="shared" si="93"/>
        <v>برنامج دولى</v>
      </c>
    </row>
    <row r="781" spans="3:85" x14ac:dyDescent="0.25">
      <c r="C781" s="82">
        <v>6228</v>
      </c>
      <c r="D781" s="78">
        <v>7971</v>
      </c>
      <c r="E781" s="69" t="s">
        <v>78</v>
      </c>
      <c r="F781" s="69" t="s">
        <v>2027</v>
      </c>
      <c r="G781" s="69" t="s">
        <v>220</v>
      </c>
      <c r="H781" s="69">
        <v>5272</v>
      </c>
      <c r="U781" s="69"/>
      <c r="V781" s="69"/>
      <c r="AS781" s="91">
        <f t="shared" si="95"/>
        <v>5272</v>
      </c>
      <c r="AT781" s="69">
        <v>3569.41</v>
      </c>
      <c r="AU781" s="69">
        <v>51.84</v>
      </c>
      <c r="AV781" s="69">
        <v>1270.5</v>
      </c>
      <c r="AW781" s="69">
        <v>380.25</v>
      </c>
      <c r="CD781" s="91">
        <f t="shared" si="91"/>
        <v>5272</v>
      </c>
      <c r="CE781" s="69">
        <f t="shared" si="92"/>
        <v>0</v>
      </c>
      <c r="CF781" s="75">
        <f t="shared" si="93"/>
        <v>7971</v>
      </c>
      <c r="CG781" s="69" t="str">
        <f t="shared" si="93"/>
        <v>برنامج دولى</v>
      </c>
    </row>
    <row r="782" spans="3:85" x14ac:dyDescent="0.25">
      <c r="C782" s="82">
        <v>6229</v>
      </c>
      <c r="D782" s="78">
        <v>7971</v>
      </c>
      <c r="E782" s="69" t="s">
        <v>78</v>
      </c>
      <c r="F782" s="69" t="s">
        <v>2027</v>
      </c>
      <c r="G782" s="69" t="s">
        <v>220</v>
      </c>
      <c r="H782" s="69">
        <v>5266.73</v>
      </c>
      <c r="U782" s="69"/>
      <c r="V782" s="69"/>
      <c r="AS782" s="91">
        <f t="shared" si="95"/>
        <v>5266.73</v>
      </c>
      <c r="AT782" s="69">
        <v>3830.71</v>
      </c>
      <c r="AU782" s="69">
        <v>51.370000000000005</v>
      </c>
      <c r="AV782" s="69">
        <v>1269.3999999999999</v>
      </c>
      <c r="AW782" s="69">
        <v>115.25</v>
      </c>
      <c r="CD782" s="91">
        <f t="shared" si="91"/>
        <v>5266.73</v>
      </c>
      <c r="CE782" s="69">
        <f t="shared" si="92"/>
        <v>0</v>
      </c>
      <c r="CF782" s="75">
        <f t="shared" si="93"/>
        <v>7971</v>
      </c>
      <c r="CG782" s="69" t="str">
        <f t="shared" si="93"/>
        <v>برنامج دولى</v>
      </c>
    </row>
    <row r="783" spans="3:85" x14ac:dyDescent="0.25">
      <c r="C783" s="82">
        <v>6230</v>
      </c>
      <c r="D783" s="78">
        <v>7972</v>
      </c>
      <c r="E783" s="69" t="s">
        <v>78</v>
      </c>
      <c r="F783" s="69" t="s">
        <v>2027</v>
      </c>
      <c r="G783" s="69" t="s">
        <v>220</v>
      </c>
      <c r="H783" s="69">
        <v>10524.06</v>
      </c>
      <c r="U783" s="69"/>
      <c r="V783" s="69"/>
      <c r="AS783" s="91">
        <f t="shared" si="95"/>
        <v>10524.06</v>
      </c>
      <c r="AT783" s="69">
        <v>7825.32</v>
      </c>
      <c r="AU783" s="69">
        <v>102.06</v>
      </c>
      <c r="AV783" s="69">
        <v>2536.1999999999998</v>
      </c>
      <c r="AW783" s="69">
        <v>60.480000000000004</v>
      </c>
      <c r="CD783" s="91">
        <f t="shared" si="91"/>
        <v>10524.06</v>
      </c>
      <c r="CE783" s="69">
        <f t="shared" si="92"/>
        <v>0</v>
      </c>
      <c r="CF783" s="75">
        <f t="shared" si="93"/>
        <v>7972</v>
      </c>
      <c r="CG783" s="69" t="str">
        <f t="shared" si="93"/>
        <v>برنامج دولى</v>
      </c>
    </row>
    <row r="784" spans="3:85" x14ac:dyDescent="0.25">
      <c r="C784" s="82">
        <v>6233</v>
      </c>
      <c r="D784" s="78">
        <v>7973</v>
      </c>
      <c r="E784" s="69" t="s">
        <v>78</v>
      </c>
      <c r="F784" s="69" t="s">
        <v>2027</v>
      </c>
      <c r="G784" s="69" t="s">
        <v>220</v>
      </c>
      <c r="H784" s="69">
        <v>16075.61</v>
      </c>
      <c r="U784" s="69"/>
      <c r="V784" s="69"/>
      <c r="AS784" s="91">
        <f t="shared" si="95"/>
        <v>16075.61</v>
      </c>
      <c r="AT784" s="69">
        <v>12009.02</v>
      </c>
      <c r="AU784" s="69">
        <v>176.54000000000002</v>
      </c>
      <c r="AV784" s="69">
        <v>3874.2</v>
      </c>
      <c r="AW784" s="69">
        <v>15.85</v>
      </c>
      <c r="CD784" s="91">
        <f t="shared" si="91"/>
        <v>16075.610000000002</v>
      </c>
      <c r="CE784" s="69">
        <f t="shared" si="92"/>
        <v>0</v>
      </c>
      <c r="CF784" s="75">
        <f t="shared" si="93"/>
        <v>7973</v>
      </c>
      <c r="CG784" s="69" t="str">
        <f t="shared" si="93"/>
        <v>برنامج دولى</v>
      </c>
    </row>
    <row r="785" spans="3:87" x14ac:dyDescent="0.25">
      <c r="C785" s="82">
        <v>6237</v>
      </c>
      <c r="D785" s="78">
        <v>7974</v>
      </c>
      <c r="E785" s="69" t="s">
        <v>78</v>
      </c>
      <c r="F785" s="69" t="s">
        <v>2027</v>
      </c>
      <c r="G785" s="69" t="s">
        <v>220</v>
      </c>
      <c r="H785" s="69">
        <v>5262.03</v>
      </c>
      <c r="U785" s="69"/>
      <c r="V785" s="69"/>
      <c r="AS785" s="91">
        <f t="shared" si="95"/>
        <v>5262.03</v>
      </c>
      <c r="AT785" s="69">
        <v>3937.66</v>
      </c>
      <c r="AU785" s="69">
        <v>51.03</v>
      </c>
      <c r="AV785" s="69">
        <v>1268.0999999999999</v>
      </c>
      <c r="AW785" s="69">
        <v>5.24</v>
      </c>
      <c r="CD785" s="91">
        <f t="shared" si="91"/>
        <v>5262.03</v>
      </c>
      <c r="CE785" s="69">
        <f t="shared" si="92"/>
        <v>0</v>
      </c>
      <c r="CF785" s="75">
        <f t="shared" si="93"/>
        <v>7974</v>
      </c>
      <c r="CG785" s="69" t="str">
        <f t="shared" si="93"/>
        <v>برنامج دولى</v>
      </c>
    </row>
    <row r="786" spans="3:87" x14ac:dyDescent="0.25">
      <c r="C786" s="82">
        <v>6231</v>
      </c>
      <c r="D786" s="78">
        <v>7975</v>
      </c>
      <c r="E786" s="69" t="s">
        <v>78</v>
      </c>
      <c r="F786" s="69" t="s">
        <v>2027</v>
      </c>
      <c r="G786" s="69" t="s">
        <v>220</v>
      </c>
      <c r="H786" s="69">
        <v>11103.1</v>
      </c>
      <c r="U786" s="69"/>
      <c r="V786" s="69"/>
      <c r="AS786" s="91">
        <f t="shared" si="95"/>
        <v>11103.1</v>
      </c>
      <c r="AT786" s="69">
        <v>8263.4</v>
      </c>
      <c r="AU786" s="69">
        <v>148.95999999999998</v>
      </c>
      <c r="AV786" s="69">
        <v>2676</v>
      </c>
      <c r="AW786" s="69">
        <v>14.74</v>
      </c>
      <c r="CD786" s="91">
        <f t="shared" si="91"/>
        <v>11103.099999999999</v>
      </c>
      <c r="CE786" s="69">
        <f t="shared" si="92"/>
        <v>0</v>
      </c>
      <c r="CF786" s="75">
        <f t="shared" si="93"/>
        <v>7975</v>
      </c>
      <c r="CG786" s="69" t="str">
        <f t="shared" si="93"/>
        <v>برنامج دولى</v>
      </c>
    </row>
    <row r="787" spans="3:87" x14ac:dyDescent="0.25">
      <c r="C787" s="82">
        <v>6232</v>
      </c>
      <c r="D787" s="78">
        <v>7975</v>
      </c>
      <c r="E787" s="69" t="s">
        <v>78</v>
      </c>
      <c r="F787" s="69" t="s">
        <v>2027</v>
      </c>
      <c r="G787" s="69" t="s">
        <v>220</v>
      </c>
      <c r="H787" s="69">
        <v>5262.03</v>
      </c>
      <c r="U787" s="69"/>
      <c r="V787" s="69"/>
      <c r="AS787" s="91">
        <f t="shared" si="95"/>
        <v>5262.03</v>
      </c>
      <c r="AT787" s="69">
        <v>3756.84</v>
      </c>
      <c r="AU787" s="69">
        <v>51.03</v>
      </c>
      <c r="AV787" s="69">
        <v>1268.0999999999999</v>
      </c>
      <c r="AW787" s="69">
        <v>186.06</v>
      </c>
      <c r="CD787" s="91">
        <f t="shared" si="91"/>
        <v>5262.0300000000007</v>
      </c>
      <c r="CE787" s="69">
        <f t="shared" si="92"/>
        <v>0</v>
      </c>
      <c r="CF787" s="75">
        <f t="shared" si="93"/>
        <v>7975</v>
      </c>
      <c r="CG787" s="69" t="str">
        <f t="shared" si="93"/>
        <v>برنامج دولى</v>
      </c>
    </row>
    <row r="788" spans="3:87" x14ac:dyDescent="0.25">
      <c r="C788" s="82">
        <v>6234</v>
      </c>
      <c r="D788" s="78">
        <v>7975</v>
      </c>
      <c r="E788" s="69" t="s">
        <v>78</v>
      </c>
      <c r="F788" s="69" t="s">
        <v>2027</v>
      </c>
      <c r="G788" s="69" t="s">
        <v>220</v>
      </c>
      <c r="H788" s="69">
        <v>15708.83</v>
      </c>
      <c r="U788" s="69"/>
      <c r="V788" s="69"/>
      <c r="AS788" s="91">
        <f t="shared" si="95"/>
        <v>15708.83</v>
      </c>
      <c r="AT788" s="69">
        <v>11626.61</v>
      </c>
      <c r="AU788" s="69">
        <v>150.62</v>
      </c>
      <c r="AV788" s="69">
        <v>3785.8999999999996</v>
      </c>
      <c r="AW788" s="69">
        <v>145.69999999999999</v>
      </c>
      <c r="CD788" s="91">
        <f t="shared" si="91"/>
        <v>15708.830000000002</v>
      </c>
      <c r="CE788" s="69">
        <f t="shared" si="92"/>
        <v>0</v>
      </c>
      <c r="CF788" s="75">
        <f t="shared" si="93"/>
        <v>7975</v>
      </c>
      <c r="CG788" s="69" t="str">
        <f t="shared" si="93"/>
        <v>برنامج دولى</v>
      </c>
    </row>
    <row r="789" spans="3:87" x14ac:dyDescent="0.25">
      <c r="C789" s="82">
        <v>6235</v>
      </c>
      <c r="D789" s="78">
        <v>7975</v>
      </c>
      <c r="E789" s="69" t="s">
        <v>78</v>
      </c>
      <c r="F789" s="69" t="s">
        <v>2027</v>
      </c>
      <c r="G789" s="69" t="s">
        <v>220</v>
      </c>
      <c r="H789" s="69">
        <v>5551.55</v>
      </c>
      <c r="U789" s="69"/>
      <c r="V789" s="69"/>
      <c r="AS789" s="91">
        <f t="shared" si="95"/>
        <v>5551.55</v>
      </c>
      <c r="AT789" s="69">
        <v>4131.7</v>
      </c>
      <c r="AU789" s="69">
        <v>74.47999999999999</v>
      </c>
      <c r="AV789" s="69">
        <v>1338</v>
      </c>
      <c r="AW789" s="69">
        <v>7.37</v>
      </c>
      <c r="CD789" s="91">
        <f t="shared" si="91"/>
        <v>5551.5499999999993</v>
      </c>
      <c r="CE789" s="69">
        <f t="shared" si="92"/>
        <v>0</v>
      </c>
      <c r="CF789" s="75">
        <f t="shared" si="93"/>
        <v>7975</v>
      </c>
      <c r="CG789" s="69" t="str">
        <f t="shared" si="93"/>
        <v>برنامج دولى</v>
      </c>
    </row>
    <row r="790" spans="3:87" x14ac:dyDescent="0.25">
      <c r="C790" s="82">
        <v>6236</v>
      </c>
      <c r="D790" s="78">
        <v>7975</v>
      </c>
      <c r="E790" s="69" t="s">
        <v>78</v>
      </c>
      <c r="F790" s="69" t="s">
        <v>2027</v>
      </c>
      <c r="G790" s="69" t="s">
        <v>220</v>
      </c>
      <c r="H790" s="69">
        <v>5262.03</v>
      </c>
      <c r="U790" s="69"/>
      <c r="V790" s="69"/>
      <c r="AS790" s="91">
        <f t="shared" si="95"/>
        <v>5262.03</v>
      </c>
      <c r="AT790" s="69">
        <v>2810.26</v>
      </c>
      <c r="AU790" s="69">
        <v>20.9</v>
      </c>
      <c r="AV790" s="69">
        <v>1268.0999999999999</v>
      </c>
      <c r="AW790" s="69">
        <v>4.66</v>
      </c>
      <c r="AX790" s="69">
        <v>1158.1099999999999</v>
      </c>
      <c r="CD790" s="91">
        <f t="shared" si="91"/>
        <v>5262.03</v>
      </c>
      <c r="CE790" s="69">
        <f t="shared" si="92"/>
        <v>0</v>
      </c>
      <c r="CF790" s="75">
        <f t="shared" si="93"/>
        <v>7975</v>
      </c>
      <c r="CG790" s="69" t="str">
        <f t="shared" si="93"/>
        <v>برنامج دولى</v>
      </c>
    </row>
    <row r="791" spans="3:87" x14ac:dyDescent="0.25">
      <c r="C791" s="82">
        <v>6239</v>
      </c>
      <c r="D791" s="78">
        <v>7976</v>
      </c>
      <c r="E791" s="69" t="s">
        <v>78</v>
      </c>
      <c r="F791" s="69" t="s">
        <v>2027</v>
      </c>
      <c r="G791" s="69" t="s">
        <v>220</v>
      </c>
      <c r="H791" s="69">
        <v>5551.55</v>
      </c>
      <c r="U791" s="69"/>
      <c r="V791" s="69"/>
      <c r="AS791" s="91">
        <f t="shared" si="95"/>
        <v>5551.55</v>
      </c>
      <c r="AT791" s="69">
        <v>4133.7</v>
      </c>
      <c r="AU791" s="69">
        <v>74.47999999999999</v>
      </c>
      <c r="AV791" s="69">
        <v>1338</v>
      </c>
      <c r="AW791" s="69">
        <v>5.37</v>
      </c>
      <c r="CD791" s="91">
        <f t="shared" si="91"/>
        <v>5551.5499999999993</v>
      </c>
      <c r="CE791" s="69">
        <f t="shared" si="92"/>
        <v>0</v>
      </c>
      <c r="CF791" s="75">
        <f t="shared" si="93"/>
        <v>7976</v>
      </c>
      <c r="CG791" s="69" t="str">
        <f t="shared" si="93"/>
        <v>برنامج دولى</v>
      </c>
    </row>
    <row r="792" spans="3:87" x14ac:dyDescent="0.25">
      <c r="C792" s="82">
        <v>6238</v>
      </c>
      <c r="D792" s="78">
        <v>7977</v>
      </c>
      <c r="E792" s="69" t="s">
        <v>78</v>
      </c>
      <c r="F792" s="69" t="s">
        <v>2027</v>
      </c>
      <c r="G792" s="69" t="s">
        <v>220</v>
      </c>
      <c r="H792" s="69">
        <v>5551.55</v>
      </c>
      <c r="U792" s="69"/>
      <c r="V792" s="69"/>
      <c r="AS792" s="91">
        <f t="shared" si="95"/>
        <v>5551.55</v>
      </c>
      <c r="AT792" s="69">
        <v>4133.7</v>
      </c>
      <c r="AU792" s="69">
        <v>74.47999999999999</v>
      </c>
      <c r="AV792" s="69">
        <v>1338</v>
      </c>
      <c r="AW792" s="69">
        <v>5.37</v>
      </c>
      <c r="CD792" s="91">
        <f t="shared" si="91"/>
        <v>5551.5499999999993</v>
      </c>
      <c r="CE792" s="69">
        <f t="shared" si="92"/>
        <v>0</v>
      </c>
      <c r="CF792" s="75">
        <f t="shared" si="93"/>
        <v>7977</v>
      </c>
      <c r="CG792" s="69" t="str">
        <f t="shared" si="93"/>
        <v>برنامج دولى</v>
      </c>
    </row>
    <row r="793" spans="3:87" x14ac:dyDescent="0.25">
      <c r="C793" s="82">
        <v>6240</v>
      </c>
      <c r="D793" s="78">
        <v>7977</v>
      </c>
      <c r="E793" s="69" t="s">
        <v>78</v>
      </c>
      <c r="F793" s="69" t="s">
        <v>2027</v>
      </c>
      <c r="G793" s="69" t="s">
        <v>220</v>
      </c>
      <c r="H793" s="69">
        <v>5553.75</v>
      </c>
      <c r="U793" s="69"/>
      <c r="V793" s="69"/>
      <c r="AS793" s="91">
        <f t="shared" si="95"/>
        <v>5553.75</v>
      </c>
      <c r="AT793" s="69">
        <v>4135.41</v>
      </c>
      <c r="AU793" s="69">
        <v>74.67</v>
      </c>
      <c r="AV793" s="69">
        <v>1338.3</v>
      </c>
      <c r="AW793" s="69">
        <v>5.37</v>
      </c>
      <c r="CD793" s="91">
        <f t="shared" si="91"/>
        <v>5553.75</v>
      </c>
      <c r="CE793" s="69">
        <f t="shared" si="92"/>
        <v>0</v>
      </c>
      <c r="CF793" s="75">
        <f t="shared" si="93"/>
        <v>7977</v>
      </c>
      <c r="CG793" s="69" t="str">
        <f t="shared" si="93"/>
        <v>برنامج دولى</v>
      </c>
    </row>
    <row r="794" spans="3:87" x14ac:dyDescent="0.25">
      <c r="C794" s="82">
        <v>6243</v>
      </c>
      <c r="D794" s="78">
        <v>7978</v>
      </c>
      <c r="E794" s="69" t="s">
        <v>78</v>
      </c>
      <c r="F794" s="69" t="s">
        <v>2028</v>
      </c>
      <c r="G794" s="69" t="s">
        <v>220</v>
      </c>
      <c r="H794" s="69">
        <v>3828.8</v>
      </c>
      <c r="U794" s="69"/>
      <c r="V794" s="69"/>
      <c r="AS794" s="91">
        <f t="shared" si="95"/>
        <v>3828.8</v>
      </c>
      <c r="AT794" s="69">
        <v>2730.93</v>
      </c>
      <c r="AU794" s="69">
        <v>20.7</v>
      </c>
      <c r="AV794" s="69">
        <v>922.90000000000009</v>
      </c>
      <c r="AW794" s="69">
        <v>154.26999999999998</v>
      </c>
      <c r="CD794" s="91">
        <f t="shared" si="91"/>
        <v>3828.7999999999997</v>
      </c>
      <c r="CE794" s="69">
        <f t="shared" si="92"/>
        <v>0</v>
      </c>
      <c r="CF794" s="75">
        <f t="shared" si="93"/>
        <v>7978</v>
      </c>
      <c r="CG794" s="69" t="str">
        <f t="shared" si="93"/>
        <v>برنامج دولى</v>
      </c>
    </row>
    <row r="795" spans="3:87" s="68" customFormat="1" x14ac:dyDescent="0.25">
      <c r="C795" s="83"/>
      <c r="D795" s="84"/>
      <c r="F795" s="68" t="s">
        <v>2029</v>
      </c>
      <c r="H795" s="68">
        <f>SUM(H746:H794)</f>
        <v>2333989.0299999984</v>
      </c>
      <c r="I795" s="68">
        <f t="shared" ref="I795:BU795" si="96">SUM(I746:I794)</f>
        <v>0</v>
      </c>
      <c r="J795" s="68">
        <f t="shared" si="96"/>
        <v>0</v>
      </c>
      <c r="K795" s="68">
        <f t="shared" si="96"/>
        <v>0</v>
      </c>
      <c r="L795" s="68">
        <f t="shared" si="96"/>
        <v>0</v>
      </c>
      <c r="M795" s="68">
        <f t="shared" si="96"/>
        <v>0</v>
      </c>
      <c r="N795" s="68">
        <f t="shared" si="96"/>
        <v>0</v>
      </c>
      <c r="O795" s="68">
        <f t="shared" si="96"/>
        <v>0</v>
      </c>
      <c r="P795" s="68">
        <f t="shared" si="96"/>
        <v>0</v>
      </c>
      <c r="Q795" s="68">
        <f t="shared" si="96"/>
        <v>0</v>
      </c>
      <c r="R795" s="68">
        <f t="shared" si="96"/>
        <v>0</v>
      </c>
      <c r="S795" s="68">
        <f t="shared" si="96"/>
        <v>0</v>
      </c>
      <c r="T795" s="68">
        <f t="shared" si="96"/>
        <v>0</v>
      </c>
      <c r="U795" s="68">
        <f t="shared" si="96"/>
        <v>0</v>
      </c>
      <c r="V795" s="68">
        <f t="shared" si="96"/>
        <v>0</v>
      </c>
      <c r="W795" s="68">
        <f t="shared" si="96"/>
        <v>0</v>
      </c>
      <c r="X795" s="68">
        <f t="shared" si="96"/>
        <v>0</v>
      </c>
      <c r="Y795" s="68">
        <f t="shared" si="96"/>
        <v>0</v>
      </c>
      <c r="Z795" s="68">
        <f t="shared" si="96"/>
        <v>0</v>
      </c>
      <c r="AA795" s="68">
        <f t="shared" si="96"/>
        <v>0</v>
      </c>
      <c r="AB795" s="68">
        <f t="shared" si="96"/>
        <v>0</v>
      </c>
      <c r="AC795" s="68">
        <f t="shared" si="96"/>
        <v>0</v>
      </c>
      <c r="AD795" s="68">
        <f t="shared" si="96"/>
        <v>0</v>
      </c>
      <c r="AE795" s="68">
        <f t="shared" si="96"/>
        <v>0</v>
      </c>
      <c r="AF795" s="68">
        <f t="shared" si="96"/>
        <v>0</v>
      </c>
      <c r="AG795" s="68">
        <f t="shared" si="96"/>
        <v>0</v>
      </c>
      <c r="AH795" s="68">
        <f t="shared" si="96"/>
        <v>0</v>
      </c>
      <c r="AI795" s="68">
        <f t="shared" si="96"/>
        <v>0</v>
      </c>
      <c r="AJ795" s="68">
        <f t="shared" si="96"/>
        <v>0</v>
      </c>
      <c r="AK795" s="68">
        <f t="shared" si="96"/>
        <v>0</v>
      </c>
      <c r="AL795" s="68">
        <f t="shared" si="96"/>
        <v>0</v>
      </c>
      <c r="AM795" s="68">
        <f t="shared" si="96"/>
        <v>0</v>
      </c>
      <c r="AN795" s="68">
        <f t="shared" si="96"/>
        <v>0</v>
      </c>
      <c r="AP795" s="68">
        <f t="shared" si="96"/>
        <v>0</v>
      </c>
      <c r="AQ795" s="68">
        <f t="shared" si="96"/>
        <v>0</v>
      </c>
      <c r="AR795" s="68">
        <f t="shared" si="96"/>
        <v>0</v>
      </c>
      <c r="AS795" s="68">
        <f t="shared" si="96"/>
        <v>2333989.0299999984</v>
      </c>
      <c r="AT795" s="68">
        <f t="shared" si="96"/>
        <v>1706401.3799999994</v>
      </c>
      <c r="AU795" s="68">
        <f t="shared" si="96"/>
        <v>23786.059999999994</v>
      </c>
      <c r="AV795" s="68">
        <f t="shared" si="96"/>
        <v>569222.09999999986</v>
      </c>
      <c r="AW795" s="68">
        <f t="shared" si="96"/>
        <v>21675.37</v>
      </c>
      <c r="AX795" s="68">
        <f t="shared" si="96"/>
        <v>12392.640000000001</v>
      </c>
      <c r="AY795" s="68">
        <f t="shared" si="96"/>
        <v>488.05</v>
      </c>
      <c r="AZ795" s="68">
        <f t="shared" si="96"/>
        <v>0</v>
      </c>
      <c r="BA795" s="68">
        <f t="shared" si="96"/>
        <v>0</v>
      </c>
      <c r="BB795" s="68">
        <f t="shared" si="96"/>
        <v>0</v>
      </c>
      <c r="BC795" s="68">
        <f t="shared" si="96"/>
        <v>0</v>
      </c>
      <c r="BD795" s="68">
        <f t="shared" si="96"/>
        <v>0</v>
      </c>
      <c r="BE795" s="68">
        <f t="shared" si="96"/>
        <v>0</v>
      </c>
      <c r="BF795" s="68">
        <f t="shared" si="96"/>
        <v>0</v>
      </c>
      <c r="BG795" s="68">
        <f t="shared" si="96"/>
        <v>0</v>
      </c>
      <c r="BH795" s="68">
        <f t="shared" si="96"/>
        <v>0</v>
      </c>
      <c r="BI795" s="68">
        <f t="shared" si="96"/>
        <v>0</v>
      </c>
      <c r="BJ795" s="68">
        <f t="shared" si="96"/>
        <v>0</v>
      </c>
      <c r="BK795" s="68">
        <f t="shared" si="96"/>
        <v>0</v>
      </c>
      <c r="BL795" s="68">
        <f t="shared" si="96"/>
        <v>0</v>
      </c>
      <c r="BM795" s="68">
        <f t="shared" si="96"/>
        <v>0</v>
      </c>
      <c r="BN795" s="68">
        <f t="shared" si="96"/>
        <v>0</v>
      </c>
      <c r="BO795" s="68">
        <f t="shared" si="96"/>
        <v>0</v>
      </c>
      <c r="BP795" s="68">
        <f t="shared" si="96"/>
        <v>0</v>
      </c>
      <c r="BQ795" s="68">
        <f t="shared" si="96"/>
        <v>0</v>
      </c>
      <c r="BR795" s="68">
        <f t="shared" si="96"/>
        <v>0</v>
      </c>
      <c r="BS795" s="68">
        <f t="shared" si="96"/>
        <v>0</v>
      </c>
      <c r="BT795" s="68">
        <f t="shared" si="96"/>
        <v>0</v>
      </c>
      <c r="BU795" s="68">
        <f t="shared" si="96"/>
        <v>0</v>
      </c>
      <c r="BV795" s="68">
        <f t="shared" ref="BV795:CI795" si="97">SUM(BV746:BV794)</f>
        <v>0</v>
      </c>
      <c r="BW795" s="68">
        <f t="shared" si="97"/>
        <v>0</v>
      </c>
      <c r="BX795" s="68">
        <f t="shared" si="97"/>
        <v>0</v>
      </c>
      <c r="BY795" s="68">
        <f t="shared" si="97"/>
        <v>0</v>
      </c>
      <c r="BZ795" s="68">
        <f t="shared" si="97"/>
        <v>0</v>
      </c>
      <c r="CA795" s="68">
        <f t="shared" si="97"/>
        <v>0</v>
      </c>
      <c r="CB795" s="68">
        <f t="shared" si="97"/>
        <v>0</v>
      </c>
      <c r="CC795" s="68">
        <f t="shared" si="97"/>
        <v>23.43</v>
      </c>
      <c r="CD795" s="68">
        <f t="shared" si="97"/>
        <v>2333989.0299999984</v>
      </c>
      <c r="CE795" s="68">
        <f t="shared" si="97"/>
        <v>0</v>
      </c>
      <c r="CG795" s="68">
        <f t="shared" si="97"/>
        <v>0</v>
      </c>
      <c r="CH795" s="68">
        <f t="shared" si="97"/>
        <v>0</v>
      </c>
      <c r="CI795" s="68">
        <f t="shared" si="97"/>
        <v>0</v>
      </c>
    </row>
    <row r="796" spans="3:87" x14ac:dyDescent="0.25">
      <c r="C796" s="82">
        <v>6242</v>
      </c>
      <c r="D796" s="78">
        <v>7979</v>
      </c>
      <c r="E796" s="69" t="s">
        <v>78</v>
      </c>
      <c r="F796" s="69" t="s">
        <v>2028</v>
      </c>
      <c r="G796" s="69" t="s">
        <v>220</v>
      </c>
      <c r="H796" s="69">
        <v>2907.4</v>
      </c>
      <c r="U796" s="69"/>
      <c r="V796" s="69"/>
      <c r="AS796" s="91">
        <f t="shared" si="95"/>
        <v>2907.4</v>
      </c>
      <c r="AU796" s="69"/>
      <c r="AV796" s="69">
        <v>2907.4</v>
      </c>
      <c r="CD796" s="91">
        <f t="shared" ref="CD796:CD859" si="98">SUM(AT796:CC796)</f>
        <v>2907.4</v>
      </c>
      <c r="CE796" s="69">
        <f t="shared" ref="CE796:CE859" si="99">+CD796-AS796</f>
        <v>0</v>
      </c>
      <c r="CF796" s="75">
        <f t="shared" ref="CF796:CG832" si="100">+D796</f>
        <v>7979</v>
      </c>
      <c r="CG796" s="69" t="str">
        <f t="shared" si="100"/>
        <v>برنامج دولى</v>
      </c>
    </row>
    <row r="797" spans="3:87" s="68" customFormat="1" x14ac:dyDescent="0.25">
      <c r="C797" s="83"/>
      <c r="D797" s="84"/>
      <c r="F797" s="68" t="s">
        <v>2030</v>
      </c>
      <c r="H797" s="68">
        <f>SUM(H796)</f>
        <v>2907.4</v>
      </c>
      <c r="I797" s="68">
        <f t="shared" ref="I797:BU797" si="101">SUM(I796)</f>
        <v>0</v>
      </c>
      <c r="J797" s="68">
        <f t="shared" si="101"/>
        <v>0</v>
      </c>
      <c r="K797" s="68">
        <f t="shared" si="101"/>
        <v>0</v>
      </c>
      <c r="L797" s="68">
        <f t="shared" si="101"/>
        <v>0</v>
      </c>
      <c r="M797" s="68">
        <f t="shared" si="101"/>
        <v>0</v>
      </c>
      <c r="N797" s="68">
        <f t="shared" si="101"/>
        <v>0</v>
      </c>
      <c r="O797" s="68">
        <f t="shared" si="101"/>
        <v>0</v>
      </c>
      <c r="P797" s="68">
        <f t="shared" si="101"/>
        <v>0</v>
      </c>
      <c r="Q797" s="68">
        <f t="shared" si="101"/>
        <v>0</v>
      </c>
      <c r="R797" s="68">
        <f t="shared" si="101"/>
        <v>0</v>
      </c>
      <c r="S797" s="68">
        <f t="shared" si="101"/>
        <v>0</v>
      </c>
      <c r="T797" s="68">
        <f t="shared" si="101"/>
        <v>0</v>
      </c>
      <c r="U797" s="68">
        <f t="shared" si="101"/>
        <v>0</v>
      </c>
      <c r="V797" s="68">
        <f t="shared" si="101"/>
        <v>0</v>
      </c>
      <c r="W797" s="68">
        <f t="shared" si="101"/>
        <v>0</v>
      </c>
      <c r="X797" s="68">
        <f t="shared" si="101"/>
        <v>0</v>
      </c>
      <c r="Y797" s="68">
        <f t="shared" si="101"/>
        <v>0</v>
      </c>
      <c r="Z797" s="68">
        <f t="shared" si="101"/>
        <v>0</v>
      </c>
      <c r="AA797" s="68">
        <f t="shared" si="101"/>
        <v>0</v>
      </c>
      <c r="AB797" s="68">
        <f t="shared" si="101"/>
        <v>0</v>
      </c>
      <c r="AC797" s="68">
        <f t="shared" si="101"/>
        <v>0</v>
      </c>
      <c r="AD797" s="68">
        <f t="shared" si="101"/>
        <v>0</v>
      </c>
      <c r="AE797" s="68">
        <f t="shared" si="101"/>
        <v>0</v>
      </c>
      <c r="AF797" s="68">
        <f t="shared" si="101"/>
        <v>0</v>
      </c>
      <c r="AG797" s="68">
        <f t="shared" si="101"/>
        <v>0</v>
      </c>
      <c r="AH797" s="68">
        <f t="shared" si="101"/>
        <v>0</v>
      </c>
      <c r="AI797" s="68">
        <f t="shared" si="101"/>
        <v>0</v>
      </c>
      <c r="AJ797" s="68">
        <f t="shared" si="101"/>
        <v>0</v>
      </c>
      <c r="AK797" s="68">
        <f t="shared" si="101"/>
        <v>0</v>
      </c>
      <c r="AL797" s="68">
        <f t="shared" si="101"/>
        <v>0</v>
      </c>
      <c r="AM797" s="68">
        <f t="shared" si="101"/>
        <v>0</v>
      </c>
      <c r="AN797" s="68">
        <f t="shared" si="101"/>
        <v>0</v>
      </c>
      <c r="AP797" s="68">
        <f t="shared" si="101"/>
        <v>0</v>
      </c>
      <c r="AQ797" s="68">
        <f t="shared" si="101"/>
        <v>0</v>
      </c>
      <c r="AR797" s="68">
        <f t="shared" si="101"/>
        <v>0</v>
      </c>
      <c r="AS797" s="68">
        <f t="shared" si="101"/>
        <v>2907.4</v>
      </c>
      <c r="AT797" s="68">
        <f t="shared" si="101"/>
        <v>0</v>
      </c>
      <c r="AU797" s="68">
        <f t="shared" si="101"/>
        <v>0</v>
      </c>
      <c r="AV797" s="68">
        <f t="shared" si="101"/>
        <v>2907.4</v>
      </c>
      <c r="AW797" s="68">
        <f t="shared" si="101"/>
        <v>0</v>
      </c>
      <c r="AX797" s="68">
        <f t="shared" si="101"/>
        <v>0</v>
      </c>
      <c r="AY797" s="68">
        <f t="shared" si="101"/>
        <v>0</v>
      </c>
      <c r="AZ797" s="68">
        <f t="shared" si="101"/>
        <v>0</v>
      </c>
      <c r="BA797" s="68">
        <f t="shared" si="101"/>
        <v>0</v>
      </c>
      <c r="BB797" s="68">
        <f t="shared" si="101"/>
        <v>0</v>
      </c>
      <c r="BC797" s="68">
        <f t="shared" si="101"/>
        <v>0</v>
      </c>
      <c r="BD797" s="68">
        <f t="shared" si="101"/>
        <v>0</v>
      </c>
      <c r="BE797" s="68">
        <f t="shared" si="101"/>
        <v>0</v>
      </c>
      <c r="BF797" s="68">
        <f t="shared" si="101"/>
        <v>0</v>
      </c>
      <c r="BG797" s="68">
        <f t="shared" si="101"/>
        <v>0</v>
      </c>
      <c r="BH797" s="68">
        <f t="shared" si="101"/>
        <v>0</v>
      </c>
      <c r="BI797" s="68">
        <f t="shared" si="101"/>
        <v>0</v>
      </c>
      <c r="BJ797" s="68">
        <f t="shared" si="101"/>
        <v>0</v>
      </c>
      <c r="BK797" s="68">
        <f t="shared" si="101"/>
        <v>0</v>
      </c>
      <c r="BL797" s="68">
        <f t="shared" si="101"/>
        <v>0</v>
      </c>
      <c r="BM797" s="68">
        <f t="shared" si="101"/>
        <v>0</v>
      </c>
      <c r="BN797" s="68">
        <f t="shared" si="101"/>
        <v>0</v>
      </c>
      <c r="BO797" s="68">
        <f t="shared" si="101"/>
        <v>0</v>
      </c>
      <c r="BP797" s="68">
        <f t="shared" si="101"/>
        <v>0</v>
      </c>
      <c r="BQ797" s="68">
        <f t="shared" si="101"/>
        <v>0</v>
      </c>
      <c r="BR797" s="68">
        <f t="shared" si="101"/>
        <v>0</v>
      </c>
      <c r="BS797" s="68">
        <f t="shared" si="101"/>
        <v>0</v>
      </c>
      <c r="BT797" s="68">
        <f t="shared" si="101"/>
        <v>0</v>
      </c>
      <c r="BU797" s="68">
        <f t="shared" si="101"/>
        <v>0</v>
      </c>
      <c r="BV797" s="68">
        <f t="shared" ref="BV797:CI797" si="102">SUM(BV796)</f>
        <v>0</v>
      </c>
      <c r="BW797" s="68">
        <f t="shared" si="102"/>
        <v>0</v>
      </c>
      <c r="BX797" s="68">
        <f t="shared" si="102"/>
        <v>0</v>
      </c>
      <c r="BY797" s="68">
        <f t="shared" si="102"/>
        <v>0</v>
      </c>
      <c r="BZ797" s="68">
        <f t="shared" si="102"/>
        <v>0</v>
      </c>
      <c r="CA797" s="68">
        <f t="shared" si="102"/>
        <v>0</v>
      </c>
      <c r="CB797" s="68">
        <f t="shared" si="102"/>
        <v>0</v>
      </c>
      <c r="CC797" s="68">
        <f t="shared" si="102"/>
        <v>0</v>
      </c>
      <c r="CD797" s="68">
        <f t="shared" si="102"/>
        <v>2907.4</v>
      </c>
      <c r="CE797" s="68">
        <f t="shared" si="102"/>
        <v>0</v>
      </c>
      <c r="CG797" s="68">
        <f t="shared" si="102"/>
        <v>0</v>
      </c>
      <c r="CH797" s="68">
        <f t="shared" si="102"/>
        <v>0</v>
      </c>
      <c r="CI797" s="68">
        <f t="shared" si="102"/>
        <v>0</v>
      </c>
    </row>
    <row r="798" spans="3:87" x14ac:dyDescent="0.25">
      <c r="C798" s="82">
        <v>6733</v>
      </c>
      <c r="D798" s="78">
        <v>7980</v>
      </c>
      <c r="E798" s="69" t="s">
        <v>78</v>
      </c>
      <c r="F798" s="69" t="s">
        <v>2031</v>
      </c>
      <c r="G798" s="69" t="s">
        <v>220</v>
      </c>
      <c r="H798" s="69">
        <v>1557.8</v>
      </c>
      <c r="U798" s="69"/>
      <c r="V798" s="69"/>
      <c r="AS798" s="91">
        <f t="shared" si="95"/>
        <v>1557.8</v>
      </c>
      <c r="AT798" s="69">
        <v>1056.33</v>
      </c>
      <c r="AU798" s="69">
        <f>117.37+8.5</f>
        <v>125.87</v>
      </c>
      <c r="AV798" s="69">
        <f>322.4+53.2</f>
        <v>375.59999999999997</v>
      </c>
      <c r="CD798" s="91">
        <f t="shared" si="98"/>
        <v>1557.7999999999997</v>
      </c>
      <c r="CE798" s="69">
        <f t="shared" si="99"/>
        <v>0</v>
      </c>
      <c r="CF798" s="75">
        <f t="shared" si="100"/>
        <v>7980</v>
      </c>
      <c r="CG798" s="69" t="str">
        <f t="shared" si="100"/>
        <v>برنامج دولى</v>
      </c>
    </row>
    <row r="799" spans="3:87" x14ac:dyDescent="0.25">
      <c r="C799" s="82">
        <v>6734</v>
      </c>
      <c r="D799" s="78">
        <v>7981</v>
      </c>
      <c r="E799" s="69" t="s">
        <v>78</v>
      </c>
      <c r="F799" s="69" t="s">
        <v>2031</v>
      </c>
      <c r="G799" s="69" t="s">
        <v>220</v>
      </c>
      <c r="H799" s="69">
        <v>429206.43</v>
      </c>
      <c r="U799" s="69"/>
      <c r="V799" s="69"/>
      <c r="AS799" s="91">
        <f t="shared" si="95"/>
        <v>429206.43</v>
      </c>
      <c r="AT799" s="69">
        <v>294656.46000000002</v>
      </c>
      <c r="AU799" s="69">
        <f>29334.47+2330.5</f>
        <v>31664.97</v>
      </c>
      <c r="AV799" s="69">
        <f>88308.4+14573.6</f>
        <v>102882</v>
      </c>
      <c r="AW799" s="69">
        <v>3</v>
      </c>
      <c r="CD799" s="91">
        <f t="shared" ref="CD799:CD809" si="103">SUM(AT799:CC799)</f>
        <v>429206.43000000005</v>
      </c>
      <c r="CE799" s="69">
        <f t="shared" si="99"/>
        <v>0</v>
      </c>
      <c r="CF799" s="75">
        <f t="shared" si="100"/>
        <v>7981</v>
      </c>
      <c r="CG799" s="69" t="str">
        <f t="shared" si="100"/>
        <v>برنامج دولى</v>
      </c>
    </row>
    <row r="800" spans="3:87" x14ac:dyDescent="0.25">
      <c r="C800" s="82">
        <v>6738</v>
      </c>
      <c r="D800" s="78">
        <v>7982</v>
      </c>
      <c r="E800" s="69" t="s">
        <v>78</v>
      </c>
      <c r="F800" s="69" t="s">
        <v>2031</v>
      </c>
      <c r="G800" s="69" t="s">
        <v>220</v>
      </c>
      <c r="H800" s="69">
        <v>984.68</v>
      </c>
      <c r="U800" s="69"/>
      <c r="V800" s="69"/>
      <c r="AS800" s="91">
        <f t="shared" si="95"/>
        <v>984.68</v>
      </c>
      <c r="AT800" s="69">
        <v>621.44000000000005</v>
      </c>
      <c r="AU800" s="69">
        <f>121.29+3.85</f>
        <v>125.14</v>
      </c>
      <c r="AV800" s="69">
        <f>204.3+33.8</f>
        <v>238.10000000000002</v>
      </c>
      <c r="CD800" s="91">
        <f t="shared" si="103"/>
        <v>984.68000000000006</v>
      </c>
      <c r="CE800" s="69">
        <f t="shared" si="99"/>
        <v>0</v>
      </c>
      <c r="CF800" s="75">
        <f t="shared" si="100"/>
        <v>7982</v>
      </c>
      <c r="CG800" s="69" t="str">
        <f t="shared" si="100"/>
        <v>برنامج دولى</v>
      </c>
    </row>
    <row r="801" spans="2:93" x14ac:dyDescent="0.25">
      <c r="C801" s="82">
        <v>6744</v>
      </c>
      <c r="D801" s="78">
        <v>7983</v>
      </c>
      <c r="E801" s="69" t="s">
        <v>132</v>
      </c>
      <c r="F801" s="69" t="s">
        <v>2032</v>
      </c>
      <c r="G801" s="69" t="s">
        <v>220</v>
      </c>
      <c r="H801" s="69">
        <v>18224.349999999999</v>
      </c>
      <c r="U801" s="69"/>
      <c r="V801" s="69"/>
      <c r="AS801" s="91">
        <f t="shared" si="95"/>
        <v>18224.349999999999</v>
      </c>
      <c r="AT801" s="69">
        <v>12539.3</v>
      </c>
      <c r="AU801" s="69">
        <f>1190.5+98.65</f>
        <v>1289.1500000000001</v>
      </c>
      <c r="AV801" s="69">
        <f>3773.2+622.7</f>
        <v>4395.8999999999996</v>
      </c>
      <c r="CD801" s="91">
        <f t="shared" si="103"/>
        <v>18224.349999999999</v>
      </c>
      <c r="CE801" s="69">
        <f t="shared" si="99"/>
        <v>0</v>
      </c>
      <c r="CF801" s="75">
        <f t="shared" si="100"/>
        <v>7983</v>
      </c>
      <c r="CG801" s="69" t="str">
        <f t="shared" si="100"/>
        <v>صيدلة اكلينيكى</v>
      </c>
    </row>
    <row r="802" spans="2:93" x14ac:dyDescent="0.25">
      <c r="B802" s="69">
        <f>SUM(AV801:AV803)</f>
        <v>14070.9</v>
      </c>
      <c r="C802" s="82">
        <v>6745</v>
      </c>
      <c r="D802" s="78">
        <v>7984</v>
      </c>
      <c r="E802" s="69" t="s">
        <v>132</v>
      </c>
      <c r="F802" s="69" t="s">
        <v>2032</v>
      </c>
      <c r="G802" s="69" t="s">
        <v>220</v>
      </c>
      <c r="H802" s="69">
        <v>34806.22</v>
      </c>
      <c r="U802" s="69"/>
      <c r="V802" s="69"/>
      <c r="AS802" s="91">
        <f t="shared" si="95"/>
        <v>34806.22</v>
      </c>
      <c r="AT802" s="69">
        <v>23970.75</v>
      </c>
      <c r="AU802" s="69">
        <f>2252.37+187.6</f>
        <v>2439.9699999999998</v>
      </c>
      <c r="AV802" s="69">
        <f>7206.2+1189.3</f>
        <v>8395.5</v>
      </c>
      <c r="CD802" s="91">
        <f t="shared" si="103"/>
        <v>34806.22</v>
      </c>
      <c r="CE802" s="69">
        <f t="shared" si="99"/>
        <v>0</v>
      </c>
      <c r="CF802" s="75">
        <f t="shared" si="100"/>
        <v>7984</v>
      </c>
      <c r="CG802" s="69" t="str">
        <f t="shared" si="100"/>
        <v>صيدلة اكلينيكى</v>
      </c>
    </row>
    <row r="803" spans="2:93" x14ac:dyDescent="0.25">
      <c r="B803" s="69">
        <f>+AV805</f>
        <v>301.3</v>
      </c>
      <c r="C803" s="82">
        <v>6746</v>
      </c>
      <c r="D803" s="78">
        <v>7985</v>
      </c>
      <c r="E803" s="69" t="s">
        <v>132</v>
      </c>
      <c r="F803" s="69" t="s">
        <v>2032</v>
      </c>
      <c r="G803" s="69" t="s">
        <v>220</v>
      </c>
      <c r="H803" s="69">
        <v>5305.25</v>
      </c>
      <c r="U803" s="69"/>
      <c r="V803" s="69"/>
      <c r="AS803" s="91">
        <f t="shared" si="95"/>
        <v>5305.25</v>
      </c>
      <c r="AT803" s="69">
        <v>3619.7</v>
      </c>
      <c r="AU803" s="69">
        <f>377.3+28.75</f>
        <v>406.05</v>
      </c>
      <c r="AV803" s="69">
        <f>1098.2+181.3</f>
        <v>1279.5</v>
      </c>
      <c r="CD803" s="91">
        <f t="shared" si="103"/>
        <v>5305.25</v>
      </c>
      <c r="CE803" s="69">
        <f t="shared" si="99"/>
        <v>0</v>
      </c>
      <c r="CF803" s="75">
        <f t="shared" si="100"/>
        <v>7985</v>
      </c>
      <c r="CG803" s="69" t="str">
        <f t="shared" si="100"/>
        <v>صيدلة اكلينيكى</v>
      </c>
    </row>
    <row r="804" spans="2:93" x14ac:dyDescent="0.25">
      <c r="B804" s="69">
        <f>SUM(AV808:AV809)</f>
        <v>13292.300000000001</v>
      </c>
      <c r="C804" s="82">
        <v>6739</v>
      </c>
      <c r="D804" s="78">
        <v>7985</v>
      </c>
      <c r="E804" s="69" t="s">
        <v>78</v>
      </c>
      <c r="F804" s="69" t="s">
        <v>2031</v>
      </c>
      <c r="G804" s="69" t="s">
        <v>220</v>
      </c>
      <c r="H804" s="69">
        <v>64820.47</v>
      </c>
      <c r="U804" s="69"/>
      <c r="V804" s="69"/>
      <c r="AS804" s="91">
        <f t="shared" si="95"/>
        <v>64820.47</v>
      </c>
      <c r="AT804" s="69">
        <v>41209.03</v>
      </c>
      <c r="AU804" s="69">
        <f>7672.69+254.05</f>
        <v>7926.74</v>
      </c>
      <c r="AV804" s="69">
        <f>13418.6+2214.3+51.8</f>
        <v>15684.7</v>
      </c>
      <c r="CD804" s="91">
        <f t="shared" si="103"/>
        <v>64820.47</v>
      </c>
      <c r="CE804" s="69">
        <f t="shared" si="99"/>
        <v>0</v>
      </c>
      <c r="CF804" s="75">
        <f t="shared" si="100"/>
        <v>7985</v>
      </c>
      <c r="CG804" s="69" t="str">
        <f t="shared" si="100"/>
        <v>برنامج دولى</v>
      </c>
    </row>
    <row r="805" spans="2:93" x14ac:dyDescent="0.25">
      <c r="C805" s="82">
        <v>6747</v>
      </c>
      <c r="D805" s="78">
        <v>7986</v>
      </c>
      <c r="E805" s="69" t="s">
        <v>132</v>
      </c>
      <c r="F805" s="69" t="s">
        <v>2032</v>
      </c>
      <c r="G805" s="69" t="s">
        <v>220</v>
      </c>
      <c r="H805" s="69">
        <v>1249.1500000000001</v>
      </c>
      <c r="U805" s="69"/>
      <c r="V805" s="69"/>
      <c r="AS805" s="91">
        <f t="shared" si="95"/>
        <v>1249.1500000000001</v>
      </c>
      <c r="AT805" s="69">
        <v>847</v>
      </c>
      <c r="AU805" s="69">
        <f>94.1+6.75</f>
        <v>100.85</v>
      </c>
      <c r="AV805" s="69">
        <f>258.6+42.7</f>
        <v>301.3</v>
      </c>
      <c r="CD805" s="91">
        <f t="shared" si="103"/>
        <v>1249.1500000000001</v>
      </c>
      <c r="CE805" s="69">
        <f t="shared" si="99"/>
        <v>0</v>
      </c>
      <c r="CF805" s="75">
        <f t="shared" si="100"/>
        <v>7986</v>
      </c>
      <c r="CG805" s="69" t="str">
        <f t="shared" si="100"/>
        <v>صيدلة اكلينيكى</v>
      </c>
    </row>
    <row r="806" spans="2:93" x14ac:dyDescent="0.25">
      <c r="C806" s="82">
        <v>6741</v>
      </c>
      <c r="D806" s="78">
        <v>7986</v>
      </c>
      <c r="E806" s="69" t="s">
        <v>78</v>
      </c>
      <c r="F806" s="69" t="s">
        <v>2031</v>
      </c>
      <c r="G806" s="69" t="s">
        <v>220</v>
      </c>
      <c r="H806" s="69">
        <v>29.39</v>
      </c>
      <c r="U806" s="69"/>
      <c r="V806" s="69"/>
      <c r="AS806" s="91">
        <f t="shared" si="95"/>
        <v>29.39</v>
      </c>
      <c r="AT806" s="69">
        <v>19.79</v>
      </c>
      <c r="AU806" s="69">
        <v>2.2000000000000002</v>
      </c>
      <c r="AV806" s="69">
        <f>6.3+1.1</f>
        <v>7.4</v>
      </c>
      <c r="CD806" s="91">
        <f t="shared" si="103"/>
        <v>29.39</v>
      </c>
      <c r="CE806" s="69">
        <f t="shared" si="99"/>
        <v>0</v>
      </c>
      <c r="CF806" s="75">
        <f t="shared" si="100"/>
        <v>7986</v>
      </c>
      <c r="CG806" s="69" t="str">
        <f t="shared" si="100"/>
        <v>برنامج دولى</v>
      </c>
    </row>
    <row r="807" spans="2:93" x14ac:dyDescent="0.25">
      <c r="C807" s="82">
        <v>6740</v>
      </c>
      <c r="D807" s="78">
        <v>7987</v>
      </c>
      <c r="E807" s="69" t="s">
        <v>78</v>
      </c>
      <c r="F807" s="69" t="s">
        <v>2031</v>
      </c>
      <c r="G807" s="69" t="s">
        <v>220</v>
      </c>
      <c r="H807" s="69">
        <v>400.7</v>
      </c>
      <c r="U807" s="69"/>
      <c r="V807" s="69"/>
      <c r="AS807" s="91">
        <f t="shared" si="95"/>
        <v>400.7</v>
      </c>
      <c r="AT807" s="69">
        <v>302.25</v>
      </c>
      <c r="AU807" s="69">
        <v>1.25</v>
      </c>
      <c r="AV807" s="69">
        <f>83.3+13.9</f>
        <v>97.2</v>
      </c>
      <c r="CD807" s="91">
        <f t="shared" si="103"/>
        <v>400.7</v>
      </c>
      <c r="CE807" s="69">
        <f t="shared" si="99"/>
        <v>0</v>
      </c>
      <c r="CF807" s="75">
        <f t="shared" si="100"/>
        <v>7987</v>
      </c>
      <c r="CG807" s="69" t="str">
        <f t="shared" si="100"/>
        <v>برنامج دولى</v>
      </c>
    </row>
    <row r="808" spans="2:93" x14ac:dyDescent="0.25">
      <c r="C808" s="82">
        <v>6748</v>
      </c>
      <c r="D808" s="78">
        <v>7988</v>
      </c>
      <c r="E808" s="69" t="s">
        <v>132</v>
      </c>
      <c r="F808" s="69" t="s">
        <v>2032</v>
      </c>
      <c r="G808" s="69" t="s">
        <v>220</v>
      </c>
      <c r="H808" s="69">
        <v>753.66</v>
      </c>
      <c r="U808" s="69"/>
      <c r="V808" s="69"/>
      <c r="AS808" s="91">
        <f t="shared" si="95"/>
        <v>753.66</v>
      </c>
      <c r="AT808" s="69">
        <v>454.77</v>
      </c>
      <c r="AU808" s="69">
        <f>113.69+3.1</f>
        <v>116.78999999999999</v>
      </c>
      <c r="AV808" s="69">
        <f>125.9+13.6+42.6</f>
        <v>182.1</v>
      </c>
      <c r="CD808" s="91">
        <f t="shared" si="103"/>
        <v>753.66</v>
      </c>
      <c r="CE808" s="69">
        <f t="shared" si="99"/>
        <v>0</v>
      </c>
      <c r="CF808" s="75">
        <f t="shared" si="100"/>
        <v>7988</v>
      </c>
      <c r="CG808" s="69" t="str">
        <f t="shared" si="100"/>
        <v>صيدلة اكلينيكى</v>
      </c>
    </row>
    <row r="809" spans="2:93" x14ac:dyDescent="0.25">
      <c r="C809" s="82">
        <v>6749</v>
      </c>
      <c r="D809" s="78">
        <v>7989</v>
      </c>
      <c r="E809" s="69" t="s">
        <v>132</v>
      </c>
      <c r="F809" s="69" t="s">
        <v>2032</v>
      </c>
      <c r="G809" s="69" t="s">
        <v>220</v>
      </c>
      <c r="H809" s="69">
        <v>54208.32</v>
      </c>
      <c r="U809" s="69"/>
      <c r="V809" s="69"/>
      <c r="AS809" s="91">
        <f t="shared" si="95"/>
        <v>54208.32</v>
      </c>
      <c r="AT809" s="69">
        <v>34323.599999999999</v>
      </c>
      <c r="AU809" s="69">
        <f>6553.27+221.25</f>
        <v>6774.52</v>
      </c>
      <c r="AV809" s="69">
        <f>11038.1+1778.1+294</f>
        <v>13110.2</v>
      </c>
      <c r="CD809" s="91">
        <f t="shared" si="103"/>
        <v>54208.319999999992</v>
      </c>
      <c r="CE809" s="69">
        <f t="shared" si="99"/>
        <v>0</v>
      </c>
      <c r="CF809" s="75">
        <f t="shared" si="100"/>
        <v>7989</v>
      </c>
      <c r="CG809" s="69" t="str">
        <f t="shared" si="100"/>
        <v>صيدلة اكلينيكى</v>
      </c>
    </row>
    <row r="810" spans="2:93" s="68" customFormat="1" x14ac:dyDescent="0.25">
      <c r="C810" s="83"/>
      <c r="D810" s="84"/>
      <c r="F810" s="68" t="s">
        <v>2033</v>
      </c>
      <c r="H810" s="68">
        <f>SUM(H798:H809)</f>
        <v>611546.41999999993</v>
      </c>
      <c r="I810" s="68">
        <f t="shared" ref="I810:BT810" si="104">SUM(I798:I809)</f>
        <v>0</v>
      </c>
      <c r="J810" s="68">
        <f t="shared" si="104"/>
        <v>0</v>
      </c>
      <c r="K810" s="68">
        <f t="shared" si="104"/>
        <v>0</v>
      </c>
      <c r="L810" s="68">
        <f t="shared" si="104"/>
        <v>0</v>
      </c>
      <c r="M810" s="68">
        <f t="shared" si="104"/>
        <v>0</v>
      </c>
      <c r="N810" s="68">
        <f t="shared" si="104"/>
        <v>0</v>
      </c>
      <c r="O810" s="68">
        <f t="shared" si="104"/>
        <v>0</v>
      </c>
      <c r="P810" s="68">
        <f t="shared" si="104"/>
        <v>0</v>
      </c>
      <c r="Q810" s="68">
        <f t="shared" si="104"/>
        <v>0</v>
      </c>
      <c r="R810" s="68">
        <f t="shared" si="104"/>
        <v>0</v>
      </c>
      <c r="S810" s="68">
        <f t="shared" si="104"/>
        <v>0</v>
      </c>
      <c r="T810" s="68">
        <f t="shared" si="104"/>
        <v>0</v>
      </c>
      <c r="U810" s="68">
        <f t="shared" si="104"/>
        <v>0</v>
      </c>
      <c r="V810" s="68">
        <f t="shared" si="104"/>
        <v>0</v>
      </c>
      <c r="W810" s="68">
        <f t="shared" si="104"/>
        <v>0</v>
      </c>
      <c r="X810" s="68">
        <f t="shared" si="104"/>
        <v>0</v>
      </c>
      <c r="Y810" s="68">
        <f t="shared" si="104"/>
        <v>0</v>
      </c>
      <c r="Z810" s="68">
        <f t="shared" si="104"/>
        <v>0</v>
      </c>
      <c r="AA810" s="68">
        <f t="shared" si="104"/>
        <v>0</v>
      </c>
      <c r="AB810" s="68">
        <f t="shared" si="104"/>
        <v>0</v>
      </c>
      <c r="AC810" s="68">
        <f t="shared" si="104"/>
        <v>0</v>
      </c>
      <c r="AD810" s="68">
        <f t="shared" si="104"/>
        <v>0</v>
      </c>
      <c r="AE810" s="68">
        <f t="shared" si="104"/>
        <v>0</v>
      </c>
      <c r="AF810" s="68">
        <f t="shared" si="104"/>
        <v>0</v>
      </c>
      <c r="AG810" s="68">
        <f t="shared" si="104"/>
        <v>0</v>
      </c>
      <c r="AH810" s="68">
        <f t="shared" si="104"/>
        <v>0</v>
      </c>
      <c r="AI810" s="68">
        <f t="shared" si="104"/>
        <v>0</v>
      </c>
      <c r="AJ810" s="68">
        <f t="shared" si="104"/>
        <v>0</v>
      </c>
      <c r="AK810" s="68">
        <f t="shared" si="104"/>
        <v>0</v>
      </c>
      <c r="AL810" s="68">
        <f t="shared" si="104"/>
        <v>0</v>
      </c>
      <c r="AM810" s="68">
        <f t="shared" si="104"/>
        <v>0</v>
      </c>
      <c r="AN810" s="68">
        <f t="shared" si="104"/>
        <v>0</v>
      </c>
      <c r="AO810" s="68">
        <f t="shared" si="104"/>
        <v>0</v>
      </c>
      <c r="AP810" s="68">
        <f t="shared" si="104"/>
        <v>0</v>
      </c>
      <c r="AQ810" s="68">
        <f t="shared" si="104"/>
        <v>0</v>
      </c>
      <c r="AR810" s="68">
        <f t="shared" si="104"/>
        <v>0</v>
      </c>
      <c r="AS810" s="68">
        <f t="shared" si="104"/>
        <v>611546.41999999993</v>
      </c>
      <c r="AT810" s="68">
        <f t="shared" si="104"/>
        <v>413620.42</v>
      </c>
      <c r="AU810" s="68">
        <f t="shared" si="104"/>
        <v>50973.5</v>
      </c>
      <c r="AV810" s="68">
        <f t="shared" si="104"/>
        <v>146949.50000000003</v>
      </c>
      <c r="AW810" s="68">
        <f t="shared" si="104"/>
        <v>3</v>
      </c>
      <c r="AX810" s="68">
        <f t="shared" si="104"/>
        <v>0</v>
      </c>
      <c r="AY810" s="68">
        <f t="shared" si="104"/>
        <v>0</v>
      </c>
      <c r="AZ810" s="68">
        <f t="shared" si="104"/>
        <v>0</v>
      </c>
      <c r="BA810" s="68">
        <f t="shared" si="104"/>
        <v>0</v>
      </c>
      <c r="BB810" s="68">
        <f t="shared" si="104"/>
        <v>0</v>
      </c>
      <c r="BC810" s="68">
        <f t="shared" si="104"/>
        <v>0</v>
      </c>
      <c r="BD810" s="68">
        <f t="shared" si="104"/>
        <v>0</v>
      </c>
      <c r="BE810" s="68">
        <f t="shared" si="104"/>
        <v>0</v>
      </c>
      <c r="BF810" s="68">
        <f t="shared" si="104"/>
        <v>0</v>
      </c>
      <c r="BG810" s="68">
        <f t="shared" si="104"/>
        <v>0</v>
      </c>
      <c r="BH810" s="68">
        <f t="shared" si="104"/>
        <v>0</v>
      </c>
      <c r="BI810" s="68">
        <f t="shared" si="104"/>
        <v>0</v>
      </c>
      <c r="BJ810" s="68">
        <f t="shared" si="104"/>
        <v>0</v>
      </c>
      <c r="BK810" s="68">
        <f t="shared" si="104"/>
        <v>0</v>
      </c>
      <c r="BL810" s="68">
        <f t="shared" si="104"/>
        <v>0</v>
      </c>
      <c r="BM810" s="68">
        <f t="shared" si="104"/>
        <v>0</v>
      </c>
      <c r="BN810" s="68">
        <f t="shared" si="104"/>
        <v>0</v>
      </c>
      <c r="BO810" s="68">
        <f t="shared" si="104"/>
        <v>0</v>
      </c>
      <c r="BP810" s="68">
        <f t="shared" si="104"/>
        <v>0</v>
      </c>
      <c r="BQ810" s="68">
        <f t="shared" si="104"/>
        <v>0</v>
      </c>
      <c r="BR810" s="68">
        <f t="shared" si="104"/>
        <v>0</v>
      </c>
      <c r="BS810" s="68">
        <f t="shared" si="104"/>
        <v>0</v>
      </c>
      <c r="BT810" s="68">
        <f t="shared" si="104"/>
        <v>0</v>
      </c>
      <c r="BU810" s="68">
        <f t="shared" ref="BU810:CO810" si="105">SUM(BU798:BU809)</f>
        <v>0</v>
      </c>
      <c r="BV810" s="68">
        <f t="shared" si="105"/>
        <v>0</v>
      </c>
      <c r="BW810" s="68">
        <f t="shared" si="105"/>
        <v>0</v>
      </c>
      <c r="BX810" s="68">
        <f t="shared" si="105"/>
        <v>0</v>
      </c>
      <c r="BY810" s="68">
        <f t="shared" si="105"/>
        <v>0</v>
      </c>
      <c r="BZ810" s="68">
        <f t="shared" si="105"/>
        <v>0</v>
      </c>
      <c r="CA810" s="68">
        <f t="shared" si="105"/>
        <v>0</v>
      </c>
      <c r="CB810" s="68">
        <f t="shared" si="105"/>
        <v>0</v>
      </c>
      <c r="CC810" s="68">
        <f t="shared" si="105"/>
        <v>0</v>
      </c>
      <c r="CD810" s="68">
        <f t="shared" si="105"/>
        <v>611546.41999999993</v>
      </c>
      <c r="CE810" s="68">
        <f t="shared" si="105"/>
        <v>0</v>
      </c>
      <c r="CG810" s="68">
        <f t="shared" si="105"/>
        <v>0</v>
      </c>
      <c r="CH810" s="68">
        <f t="shared" si="105"/>
        <v>0</v>
      </c>
      <c r="CI810" s="68">
        <f t="shared" si="105"/>
        <v>0</v>
      </c>
      <c r="CJ810" s="68">
        <f t="shared" si="105"/>
        <v>0</v>
      </c>
      <c r="CK810" s="68">
        <f t="shared" si="105"/>
        <v>0</v>
      </c>
      <c r="CL810" s="68">
        <f t="shared" si="105"/>
        <v>0</v>
      </c>
      <c r="CM810" s="68">
        <f t="shared" si="105"/>
        <v>0</v>
      </c>
      <c r="CN810" s="68">
        <f t="shared" si="105"/>
        <v>0</v>
      </c>
      <c r="CO810" s="68">
        <f t="shared" si="105"/>
        <v>0</v>
      </c>
    </row>
    <row r="811" spans="2:93" ht="72" x14ac:dyDescent="0.25">
      <c r="C811" s="82">
        <v>13405</v>
      </c>
      <c r="D811" s="75">
        <v>7990</v>
      </c>
      <c r="E811" s="71" t="s">
        <v>78</v>
      </c>
      <c r="F811" s="77" t="s">
        <v>2034</v>
      </c>
      <c r="I811" s="69">
        <v>39500</v>
      </c>
      <c r="U811" s="69"/>
      <c r="V811" s="69"/>
      <c r="AS811" s="91">
        <f>SUM(H811:AR811)</f>
        <v>39500</v>
      </c>
      <c r="AT811" s="69">
        <v>36761</v>
      </c>
      <c r="AU811" s="69">
        <f>324.95+974.85+36+18</f>
        <v>1353.8</v>
      </c>
      <c r="AW811" s="69">
        <f>5+5</f>
        <v>10</v>
      </c>
      <c r="BG811" s="69">
        <v>376.2</v>
      </c>
      <c r="BH811" s="69">
        <v>80</v>
      </c>
      <c r="BI811" s="69">
        <f>163.55+5.95+163.55+5.95</f>
        <v>339</v>
      </c>
      <c r="CC811" s="69">
        <f>200+200+180</f>
        <v>580</v>
      </c>
      <c r="CD811" s="91">
        <f>SUM(AT811:CC811)</f>
        <v>39500</v>
      </c>
      <c r="CE811" s="69">
        <f>+CD811-AS811</f>
        <v>0</v>
      </c>
      <c r="CF811" s="75">
        <f>+D811</f>
        <v>7990</v>
      </c>
      <c r="CG811" s="69" t="str">
        <f>+E811</f>
        <v>برنامج دولى</v>
      </c>
    </row>
    <row r="812" spans="2:93" ht="18.75" x14ac:dyDescent="0.25">
      <c r="C812" s="82">
        <v>12994</v>
      </c>
      <c r="D812" s="78">
        <v>7991</v>
      </c>
      <c r="E812" s="71" t="s">
        <v>78</v>
      </c>
      <c r="F812" s="69" t="s">
        <v>2025</v>
      </c>
      <c r="G812" s="69"/>
      <c r="H812" s="69">
        <v>400</v>
      </c>
      <c r="U812" s="69"/>
      <c r="V812" s="69"/>
      <c r="AS812" s="91">
        <f t="shared" si="95"/>
        <v>400</v>
      </c>
      <c r="AT812" s="69">
        <v>357.7</v>
      </c>
      <c r="AU812" s="69">
        <v>42.3</v>
      </c>
      <c r="CD812" s="91">
        <f t="shared" si="98"/>
        <v>400</v>
      </c>
      <c r="CE812" s="69">
        <f t="shared" si="99"/>
        <v>0</v>
      </c>
      <c r="CF812" s="75">
        <f t="shared" si="100"/>
        <v>7991</v>
      </c>
      <c r="CG812" s="69" t="str">
        <f t="shared" si="100"/>
        <v>برنامج دولى</v>
      </c>
    </row>
    <row r="813" spans="2:93" ht="18.75" x14ac:dyDescent="0.25">
      <c r="C813" s="82">
        <v>13036</v>
      </c>
      <c r="D813" s="78">
        <v>7992</v>
      </c>
      <c r="E813" s="71" t="s">
        <v>78</v>
      </c>
      <c r="F813" s="69" t="s">
        <v>2024</v>
      </c>
      <c r="G813" s="69"/>
      <c r="H813" s="69">
        <v>1354.24</v>
      </c>
      <c r="U813" s="69"/>
      <c r="V813" s="69"/>
      <c r="AS813" s="91">
        <f t="shared" si="95"/>
        <v>1354.24</v>
      </c>
      <c r="AT813" s="69">
        <v>906.75</v>
      </c>
      <c r="AU813" s="69">
        <v>121.2</v>
      </c>
      <c r="AV813" s="69">
        <v>326.29000000000002</v>
      </c>
      <c r="CD813" s="91">
        <f t="shared" si="98"/>
        <v>1354.24</v>
      </c>
      <c r="CE813" s="69">
        <f t="shared" si="99"/>
        <v>0</v>
      </c>
      <c r="CF813" s="75">
        <f t="shared" si="100"/>
        <v>7992</v>
      </c>
      <c r="CG813" s="69" t="str">
        <f t="shared" si="100"/>
        <v>برنامج دولى</v>
      </c>
    </row>
    <row r="814" spans="2:93" ht="18.75" x14ac:dyDescent="0.25">
      <c r="C814" s="82">
        <v>13037</v>
      </c>
      <c r="D814" s="78">
        <v>7993</v>
      </c>
      <c r="E814" s="71" t="s">
        <v>78</v>
      </c>
      <c r="F814" s="69" t="s">
        <v>2024</v>
      </c>
      <c r="G814" s="69"/>
      <c r="H814" s="69">
        <v>615.55999999999995</v>
      </c>
      <c r="U814" s="69"/>
      <c r="V814" s="69"/>
      <c r="AS814" s="91">
        <f t="shared" si="95"/>
        <v>615.55999999999995</v>
      </c>
      <c r="AT814" s="69">
        <v>411.8</v>
      </c>
      <c r="AU814" s="69">
        <v>55.45</v>
      </c>
      <c r="AV814" s="69">
        <v>148.31</v>
      </c>
      <c r="CD814" s="91">
        <f t="shared" si="98"/>
        <v>615.55999999999995</v>
      </c>
      <c r="CE814" s="69">
        <f t="shared" si="99"/>
        <v>0</v>
      </c>
      <c r="CF814" s="75">
        <f t="shared" si="100"/>
        <v>7993</v>
      </c>
      <c r="CG814" s="69" t="str">
        <f t="shared" si="100"/>
        <v>برنامج دولى</v>
      </c>
    </row>
    <row r="815" spans="2:93" ht="18.75" x14ac:dyDescent="0.25">
      <c r="C815" s="82">
        <v>13039</v>
      </c>
      <c r="D815" s="78">
        <v>7994</v>
      </c>
      <c r="E815" s="71" t="s">
        <v>78</v>
      </c>
      <c r="F815" s="69" t="s">
        <v>2024</v>
      </c>
      <c r="G815" s="69"/>
      <c r="H815" s="69">
        <v>457.28</v>
      </c>
      <c r="U815" s="69"/>
      <c r="V815" s="69"/>
      <c r="AS815" s="91">
        <f t="shared" si="95"/>
        <v>457.28</v>
      </c>
      <c r="AT815" s="69">
        <v>306.14999999999998</v>
      </c>
      <c r="AU815" s="69">
        <v>40.950000000000003</v>
      </c>
      <c r="AV815" s="69">
        <v>110.18</v>
      </c>
      <c r="CD815" s="91">
        <f t="shared" si="98"/>
        <v>457.28</v>
      </c>
      <c r="CE815" s="69">
        <f t="shared" si="99"/>
        <v>0</v>
      </c>
      <c r="CF815" s="75">
        <f t="shared" si="100"/>
        <v>7994</v>
      </c>
      <c r="CG815" s="69" t="str">
        <f t="shared" si="100"/>
        <v>برنامج دولى</v>
      </c>
    </row>
    <row r="816" spans="2:93" ht="18.75" x14ac:dyDescent="0.25">
      <c r="C816" s="82">
        <v>13081</v>
      </c>
      <c r="D816" s="78">
        <v>7995</v>
      </c>
      <c r="E816" s="71" t="s">
        <v>78</v>
      </c>
      <c r="F816" s="69" t="s">
        <v>2035</v>
      </c>
      <c r="G816" s="69"/>
      <c r="H816" s="69">
        <v>1639.27</v>
      </c>
      <c r="U816" s="69"/>
      <c r="V816" s="69"/>
      <c r="AS816" s="91">
        <f t="shared" si="95"/>
        <v>1639.27</v>
      </c>
      <c r="AT816" s="69">
        <v>1250.94</v>
      </c>
      <c r="AU816" s="69">
        <v>160.25</v>
      </c>
      <c r="AV816" s="69">
        <v>228.08</v>
      </c>
      <c r="CD816" s="91">
        <f t="shared" si="98"/>
        <v>1639.27</v>
      </c>
      <c r="CE816" s="69">
        <f t="shared" si="99"/>
        <v>0</v>
      </c>
      <c r="CF816" s="75">
        <f t="shared" si="100"/>
        <v>7995</v>
      </c>
      <c r="CG816" s="69" t="str">
        <f t="shared" si="100"/>
        <v>برنامج دولى</v>
      </c>
    </row>
    <row r="817" spans="2:85" ht="18.75" x14ac:dyDescent="0.25">
      <c r="C817" s="82">
        <v>13078</v>
      </c>
      <c r="D817" s="78">
        <v>7996</v>
      </c>
      <c r="E817" s="71" t="s">
        <v>78</v>
      </c>
      <c r="F817" s="69" t="s">
        <v>2035</v>
      </c>
      <c r="G817" s="69"/>
      <c r="H817" s="69">
        <v>6331.5</v>
      </c>
      <c r="U817" s="69"/>
      <c r="V817" s="69"/>
      <c r="AS817" s="91">
        <f t="shared" si="95"/>
        <v>6331.5</v>
      </c>
      <c r="AT817" s="69">
        <v>4228.45</v>
      </c>
      <c r="AU817" s="69">
        <f>37.55+540</f>
        <v>577.54999999999995</v>
      </c>
      <c r="AV817" s="69">
        <v>1525.5</v>
      </c>
      <c r="CD817" s="91">
        <f t="shared" si="98"/>
        <v>6331.5</v>
      </c>
      <c r="CE817" s="69">
        <f t="shared" si="99"/>
        <v>0</v>
      </c>
      <c r="CF817" s="75">
        <f t="shared" si="100"/>
        <v>7996</v>
      </c>
      <c r="CG817" s="69" t="str">
        <f t="shared" si="100"/>
        <v>برنامج دولى</v>
      </c>
    </row>
    <row r="818" spans="2:85" ht="18.75" x14ac:dyDescent="0.25">
      <c r="C818" s="82">
        <v>13080</v>
      </c>
      <c r="D818" s="78">
        <v>7997</v>
      </c>
      <c r="E818" s="71" t="s">
        <v>78</v>
      </c>
      <c r="F818" s="69" t="s">
        <v>2035</v>
      </c>
      <c r="G818" s="69"/>
      <c r="H818" s="69">
        <v>5250</v>
      </c>
      <c r="U818" s="69"/>
      <c r="V818" s="69"/>
      <c r="AS818" s="91">
        <f t="shared" si="95"/>
        <v>5250</v>
      </c>
      <c r="AT818" s="69">
        <v>4687.3999999999996</v>
      </c>
      <c r="AU818" s="69">
        <v>562.6</v>
      </c>
      <c r="CD818" s="91">
        <f t="shared" si="98"/>
        <v>5250</v>
      </c>
      <c r="CE818" s="69">
        <f t="shared" si="99"/>
        <v>0</v>
      </c>
      <c r="CF818" s="75">
        <f t="shared" si="100"/>
        <v>7997</v>
      </c>
      <c r="CG818" s="69" t="str">
        <f t="shared" si="100"/>
        <v>برنامج دولى</v>
      </c>
    </row>
    <row r="819" spans="2:85" ht="18.75" x14ac:dyDescent="0.25">
      <c r="C819" s="82">
        <v>13079</v>
      </c>
      <c r="D819" s="78">
        <v>7998</v>
      </c>
      <c r="E819" s="71" t="s">
        <v>78</v>
      </c>
      <c r="F819" s="69" t="s">
        <v>2035</v>
      </c>
      <c r="G819" s="69"/>
      <c r="H819" s="69">
        <v>5300</v>
      </c>
      <c r="U819" s="69"/>
      <c r="V819" s="69"/>
      <c r="AS819" s="91">
        <f t="shared" si="95"/>
        <v>5300</v>
      </c>
      <c r="AT819" s="69">
        <v>4732.05</v>
      </c>
      <c r="AU819" s="69">
        <v>567.95000000000005</v>
      </c>
      <c r="CD819" s="91">
        <f t="shared" si="98"/>
        <v>5300</v>
      </c>
      <c r="CE819" s="69">
        <f t="shared" si="99"/>
        <v>0</v>
      </c>
      <c r="CF819" s="75">
        <f t="shared" si="100"/>
        <v>7998</v>
      </c>
      <c r="CG819" s="69" t="str">
        <f t="shared" si="100"/>
        <v>برنامج دولى</v>
      </c>
    </row>
    <row r="820" spans="2:85" ht="18.75" x14ac:dyDescent="0.25">
      <c r="C820" s="82">
        <v>13014</v>
      </c>
      <c r="D820" s="78">
        <v>7999</v>
      </c>
      <c r="E820" s="71" t="s">
        <v>78</v>
      </c>
      <c r="F820" s="69" t="s">
        <v>2036</v>
      </c>
      <c r="G820" s="69"/>
      <c r="H820" s="69">
        <v>2110.5</v>
      </c>
      <c r="U820" s="69"/>
      <c r="V820" s="69"/>
      <c r="AS820" s="91">
        <f t="shared" si="95"/>
        <v>2110.5</v>
      </c>
      <c r="AT820" s="69">
        <v>1411.4</v>
      </c>
      <c r="AU820" s="69">
        <v>190.6</v>
      </c>
      <c r="AV820" s="69">
        <v>508.5</v>
      </c>
      <c r="CD820" s="91">
        <f t="shared" si="98"/>
        <v>2110.5</v>
      </c>
      <c r="CE820" s="69">
        <f t="shared" si="99"/>
        <v>0</v>
      </c>
      <c r="CF820" s="75">
        <f t="shared" si="100"/>
        <v>7999</v>
      </c>
      <c r="CG820" s="69" t="str">
        <f t="shared" si="100"/>
        <v>برنامج دولى</v>
      </c>
    </row>
    <row r="821" spans="2:85" ht="18.75" x14ac:dyDescent="0.25">
      <c r="C821" s="82">
        <v>13015</v>
      </c>
      <c r="D821" s="78">
        <v>8000</v>
      </c>
      <c r="E821" s="71" t="s">
        <v>78</v>
      </c>
      <c r="F821" s="69" t="s">
        <v>2036</v>
      </c>
      <c r="G821" s="69"/>
      <c r="H821" s="69">
        <v>1582.87</v>
      </c>
      <c r="U821" s="69"/>
      <c r="V821" s="69"/>
      <c r="AS821" s="91">
        <f t="shared" si="95"/>
        <v>1582.87</v>
      </c>
      <c r="AT821" s="69">
        <v>1058.9000000000001</v>
      </c>
      <c r="AU821" s="69">
        <v>142.6</v>
      </c>
      <c r="AV821" s="69">
        <v>381.37</v>
      </c>
      <c r="CD821" s="91">
        <f t="shared" si="98"/>
        <v>1582.87</v>
      </c>
      <c r="CE821" s="69">
        <f t="shared" si="99"/>
        <v>0</v>
      </c>
      <c r="CF821" s="75">
        <f t="shared" si="100"/>
        <v>8000</v>
      </c>
      <c r="CG821" s="69" t="str">
        <f t="shared" si="100"/>
        <v>برنامج دولى</v>
      </c>
    </row>
    <row r="822" spans="2:85" ht="18.75" x14ac:dyDescent="0.25">
      <c r="C822" s="82">
        <v>13016</v>
      </c>
      <c r="D822" s="78">
        <v>8001</v>
      </c>
      <c r="E822" s="71" t="s">
        <v>78</v>
      </c>
      <c r="F822" s="69" t="s">
        <v>2036</v>
      </c>
      <c r="G822" s="69"/>
      <c r="H822" s="69">
        <v>984.9</v>
      </c>
      <c r="U822" s="69"/>
      <c r="V822" s="69"/>
      <c r="AS822" s="91">
        <f t="shared" si="95"/>
        <v>984.9</v>
      </c>
      <c r="AT822" s="69">
        <v>658.7</v>
      </c>
      <c r="AU822" s="69">
        <v>88.9</v>
      </c>
      <c r="AV822" s="69">
        <v>237.3</v>
      </c>
      <c r="CD822" s="91">
        <f t="shared" si="98"/>
        <v>984.90000000000009</v>
      </c>
      <c r="CE822" s="69">
        <f t="shared" si="99"/>
        <v>0</v>
      </c>
      <c r="CF822" s="75">
        <f t="shared" si="100"/>
        <v>8001</v>
      </c>
      <c r="CG822" s="69" t="str">
        <f t="shared" si="100"/>
        <v>برنامج دولى</v>
      </c>
    </row>
    <row r="823" spans="2:85" ht="18.75" x14ac:dyDescent="0.25">
      <c r="C823" s="82">
        <v>13017</v>
      </c>
      <c r="D823" s="78">
        <v>8002</v>
      </c>
      <c r="E823" s="71" t="s">
        <v>78</v>
      </c>
      <c r="F823" s="69" t="s">
        <v>2036</v>
      </c>
      <c r="G823" s="69"/>
      <c r="H823" s="69">
        <v>1160.78</v>
      </c>
      <c r="U823" s="69"/>
      <c r="V823" s="69"/>
      <c r="AS823" s="91">
        <f t="shared" si="95"/>
        <v>1160.78</v>
      </c>
      <c r="AT823" s="69">
        <v>776.75</v>
      </c>
      <c r="AU823" s="69">
        <f>5.35+99</f>
        <v>104.35</v>
      </c>
      <c r="AV823" s="69">
        <v>279.68</v>
      </c>
      <c r="CD823" s="91">
        <f t="shared" si="98"/>
        <v>1160.78</v>
      </c>
      <c r="CE823" s="69">
        <f t="shared" si="99"/>
        <v>0</v>
      </c>
      <c r="CF823" s="75">
        <f t="shared" si="100"/>
        <v>8002</v>
      </c>
      <c r="CG823" s="69" t="str">
        <f t="shared" si="100"/>
        <v>برنامج دولى</v>
      </c>
    </row>
    <row r="824" spans="2:85" ht="18.75" x14ac:dyDescent="0.25">
      <c r="C824" s="82">
        <v>13013</v>
      </c>
      <c r="D824" s="78">
        <v>8003</v>
      </c>
      <c r="E824" s="71" t="s">
        <v>78</v>
      </c>
      <c r="F824" s="69" t="s">
        <v>2036</v>
      </c>
      <c r="G824" s="69"/>
      <c r="H824" s="69">
        <v>6546.53</v>
      </c>
      <c r="U824" s="69"/>
      <c r="V824" s="69"/>
      <c r="AS824" s="91">
        <f t="shared" si="95"/>
        <v>6546.53</v>
      </c>
      <c r="AT824" s="69">
        <v>4877.3500000000004</v>
      </c>
      <c r="AU824" s="69">
        <v>626.75</v>
      </c>
      <c r="AV824" s="69">
        <v>1042.43</v>
      </c>
      <c r="CD824" s="91">
        <f t="shared" si="98"/>
        <v>6546.5300000000007</v>
      </c>
      <c r="CE824" s="69">
        <f t="shared" si="99"/>
        <v>0</v>
      </c>
      <c r="CF824" s="75">
        <f t="shared" si="100"/>
        <v>8003</v>
      </c>
      <c r="CG824" s="69" t="str">
        <f t="shared" si="100"/>
        <v>برنامج دولى</v>
      </c>
    </row>
    <row r="825" spans="2:85" ht="18.75" x14ac:dyDescent="0.25">
      <c r="C825" s="82">
        <v>12995</v>
      </c>
      <c r="D825" s="78">
        <v>8004</v>
      </c>
      <c r="E825" s="71" t="s">
        <v>78</v>
      </c>
      <c r="F825" s="69" t="s">
        <v>2037</v>
      </c>
      <c r="G825" s="69"/>
      <c r="H825" s="69">
        <v>5176.75</v>
      </c>
      <c r="U825" s="69"/>
      <c r="V825" s="69"/>
      <c r="AS825" s="91">
        <f t="shared" si="95"/>
        <v>5176.75</v>
      </c>
      <c r="AT825" s="69">
        <v>4553.7</v>
      </c>
      <c r="AU825" s="69">
        <v>538.29999999999995</v>
      </c>
      <c r="AV825" s="69">
        <v>84.75</v>
      </c>
      <c r="CD825" s="91">
        <f t="shared" si="98"/>
        <v>5176.75</v>
      </c>
      <c r="CE825" s="69">
        <f t="shared" si="99"/>
        <v>0</v>
      </c>
      <c r="CF825" s="75">
        <f t="shared" si="100"/>
        <v>8004</v>
      </c>
      <c r="CG825" s="69" t="str">
        <f t="shared" si="100"/>
        <v>برنامج دولى</v>
      </c>
    </row>
    <row r="826" spans="2:85" ht="18.75" x14ac:dyDescent="0.25">
      <c r="C826" s="82">
        <v>12993</v>
      </c>
      <c r="D826" s="78">
        <v>8005</v>
      </c>
      <c r="E826" s="71" t="s">
        <v>78</v>
      </c>
      <c r="F826" s="69" t="s">
        <v>2037</v>
      </c>
      <c r="G826" s="69"/>
      <c r="H826" s="69">
        <v>2850</v>
      </c>
      <c r="U826" s="69"/>
      <c r="V826" s="69"/>
      <c r="AS826" s="91">
        <f t="shared" si="95"/>
        <v>2850</v>
      </c>
      <c r="AT826" s="69">
        <v>2549.85</v>
      </c>
      <c r="AU826" s="69">
        <v>300.14999999999998</v>
      </c>
      <c r="CD826" s="91">
        <f t="shared" si="98"/>
        <v>2850</v>
      </c>
      <c r="CE826" s="69">
        <f t="shared" si="99"/>
        <v>0</v>
      </c>
      <c r="CF826" s="75">
        <f t="shared" si="100"/>
        <v>8005</v>
      </c>
      <c r="CG826" s="69" t="str">
        <f t="shared" si="100"/>
        <v>برنامج دولى</v>
      </c>
    </row>
    <row r="827" spans="2:85" ht="18.75" x14ac:dyDescent="0.25">
      <c r="C827" s="75">
        <v>12996</v>
      </c>
      <c r="D827" s="78">
        <v>8006</v>
      </c>
      <c r="E827" s="71" t="s">
        <v>78</v>
      </c>
      <c r="F827" s="69" t="s">
        <v>2037</v>
      </c>
      <c r="H827" s="69">
        <v>300</v>
      </c>
      <c r="AS827" s="91">
        <f t="shared" si="95"/>
        <v>300</v>
      </c>
      <c r="AT827" s="69">
        <v>268.35000000000002</v>
      </c>
      <c r="AU827" s="52">
        <v>31.65</v>
      </c>
      <c r="CD827" s="91">
        <f t="shared" si="98"/>
        <v>300</v>
      </c>
      <c r="CE827" s="69">
        <f t="shared" si="99"/>
        <v>0</v>
      </c>
    </row>
    <row r="828" spans="2:85" ht="18.75" x14ac:dyDescent="0.25">
      <c r="C828" s="82">
        <v>12997</v>
      </c>
      <c r="D828" s="78">
        <v>8007</v>
      </c>
      <c r="E828" s="71" t="s">
        <v>78</v>
      </c>
      <c r="F828" s="69" t="s">
        <v>2037</v>
      </c>
      <c r="G828" s="69"/>
      <c r="H828" s="69">
        <v>469</v>
      </c>
      <c r="U828" s="69"/>
      <c r="V828" s="69"/>
      <c r="AS828" s="91">
        <f t="shared" si="95"/>
        <v>469</v>
      </c>
      <c r="AT828" s="69">
        <v>314</v>
      </c>
      <c r="AU828" s="69">
        <v>42</v>
      </c>
      <c r="AV828" s="69">
        <v>113</v>
      </c>
      <c r="CD828" s="91">
        <f t="shared" si="98"/>
        <v>469</v>
      </c>
      <c r="CE828" s="69">
        <f t="shared" si="99"/>
        <v>0</v>
      </c>
      <c r="CF828" s="75">
        <f t="shared" si="100"/>
        <v>8007</v>
      </c>
      <c r="CG828" s="69" t="str">
        <f t="shared" si="100"/>
        <v>برنامج دولى</v>
      </c>
    </row>
    <row r="829" spans="2:85" x14ac:dyDescent="0.25">
      <c r="C829" s="82">
        <v>12895</v>
      </c>
      <c r="D829" s="78">
        <v>8008</v>
      </c>
      <c r="E829" s="69" t="s">
        <v>132</v>
      </c>
      <c r="F829" s="69" t="s">
        <v>2038</v>
      </c>
      <c r="G829" s="69"/>
      <c r="H829" s="69">
        <v>4000</v>
      </c>
      <c r="U829" s="69"/>
      <c r="V829" s="69"/>
      <c r="AS829" s="91">
        <f t="shared" si="95"/>
        <v>4000</v>
      </c>
      <c r="AT829" s="69">
        <v>3576.4</v>
      </c>
      <c r="AU829" s="69">
        <v>423.6</v>
      </c>
      <c r="CD829" s="91">
        <f t="shared" si="98"/>
        <v>4000</v>
      </c>
      <c r="CE829" s="69">
        <f t="shared" si="99"/>
        <v>0</v>
      </c>
      <c r="CF829" s="75">
        <f t="shared" si="100"/>
        <v>8008</v>
      </c>
      <c r="CG829" s="69" t="str">
        <f t="shared" si="100"/>
        <v>صيدلة اكلينيكى</v>
      </c>
    </row>
    <row r="830" spans="2:85" x14ac:dyDescent="0.25">
      <c r="B830" s="69">
        <f>SUM(AV829:AV833)</f>
        <v>5410.2199999999993</v>
      </c>
      <c r="C830" s="82">
        <v>12894</v>
      </c>
      <c r="D830" s="78">
        <v>8009</v>
      </c>
      <c r="E830" s="69" t="s">
        <v>132</v>
      </c>
      <c r="F830" s="69" t="s">
        <v>2038</v>
      </c>
      <c r="G830" s="69"/>
      <c r="H830" s="69">
        <v>500</v>
      </c>
      <c r="U830" s="69"/>
      <c r="V830" s="69"/>
      <c r="AS830" s="91">
        <f t="shared" si="95"/>
        <v>500</v>
      </c>
      <c r="AT830" s="69">
        <v>447.05</v>
      </c>
      <c r="AU830" s="69">
        <v>52.95</v>
      </c>
      <c r="CD830" s="91">
        <f t="shared" si="98"/>
        <v>500</v>
      </c>
      <c r="CE830" s="69">
        <f t="shared" si="99"/>
        <v>0</v>
      </c>
      <c r="CF830" s="75">
        <f t="shared" si="100"/>
        <v>8009</v>
      </c>
      <c r="CG830" s="69" t="str">
        <f t="shared" si="100"/>
        <v>صيدلة اكلينيكى</v>
      </c>
    </row>
    <row r="831" spans="2:85" x14ac:dyDescent="0.25">
      <c r="B831" s="69">
        <f>SUM(AV906:AV924)</f>
        <v>22312.809999999998</v>
      </c>
      <c r="C831" s="82">
        <v>12896</v>
      </c>
      <c r="D831" s="78">
        <v>8010</v>
      </c>
      <c r="E831" s="69" t="s">
        <v>132</v>
      </c>
      <c r="F831" s="69" t="s">
        <v>2039</v>
      </c>
      <c r="G831" s="69"/>
      <c r="H831" s="69">
        <v>2696.75</v>
      </c>
      <c r="U831" s="69"/>
      <c r="V831" s="69"/>
      <c r="AS831" s="91">
        <f t="shared" si="95"/>
        <v>2696.75</v>
      </c>
      <c r="AT831" s="69">
        <v>1802</v>
      </c>
      <c r="AU831" s="69">
        <v>245</v>
      </c>
      <c r="AV831" s="69">
        <v>649.75</v>
      </c>
      <c r="CD831" s="91">
        <f t="shared" si="98"/>
        <v>2696.75</v>
      </c>
      <c r="CE831" s="69">
        <f t="shared" si="99"/>
        <v>0</v>
      </c>
      <c r="CF831" s="75">
        <f t="shared" si="100"/>
        <v>8010</v>
      </c>
      <c r="CG831" s="69" t="str">
        <f t="shared" si="100"/>
        <v>صيدلة اكلينيكى</v>
      </c>
    </row>
    <row r="832" spans="2:85" x14ac:dyDescent="0.25">
      <c r="B832" s="69">
        <f>SUM(AV937:AV938)</f>
        <v>696.79</v>
      </c>
      <c r="C832" s="82">
        <v>12897</v>
      </c>
      <c r="D832" s="78">
        <v>8011</v>
      </c>
      <c r="E832" s="69" t="s">
        <v>132</v>
      </c>
      <c r="F832" s="69" t="s">
        <v>2039</v>
      </c>
      <c r="G832" s="69"/>
      <c r="H832" s="69">
        <v>17423.84</v>
      </c>
      <c r="U832" s="69"/>
      <c r="V832" s="69"/>
      <c r="AS832" s="91">
        <f t="shared" si="95"/>
        <v>17423.84</v>
      </c>
      <c r="AT832" s="69">
        <v>11855.57</v>
      </c>
      <c r="AU832" s="69">
        <v>1598.8</v>
      </c>
      <c r="AV832" s="69">
        <v>3969.47</v>
      </c>
      <c r="CD832" s="91">
        <f t="shared" si="98"/>
        <v>17423.84</v>
      </c>
      <c r="CE832" s="69">
        <f t="shared" si="99"/>
        <v>0</v>
      </c>
      <c r="CF832" s="75">
        <f t="shared" si="100"/>
        <v>8011</v>
      </c>
      <c r="CG832" s="69" t="str">
        <f t="shared" si="100"/>
        <v>صيدلة اكلينيكى</v>
      </c>
    </row>
    <row r="833" spans="2:85" x14ac:dyDescent="0.25">
      <c r="B833" s="69">
        <f>SUM(B830:B832)</f>
        <v>28419.82</v>
      </c>
      <c r="C833" s="82">
        <v>12898</v>
      </c>
      <c r="D833" s="78">
        <v>8012</v>
      </c>
      <c r="E833" s="69" t="s">
        <v>132</v>
      </c>
      <c r="F833" s="69" t="s">
        <v>2039</v>
      </c>
      <c r="G833" s="69"/>
      <c r="H833" s="69">
        <v>3283</v>
      </c>
      <c r="U833" s="69"/>
      <c r="V833" s="69"/>
      <c r="AS833" s="91">
        <f t="shared" si="95"/>
        <v>3283</v>
      </c>
      <c r="AT833" s="69">
        <v>2191.37</v>
      </c>
      <c r="AU833" s="69">
        <f>280+20.63</f>
        <v>300.63</v>
      </c>
      <c r="AV833" s="69">
        <v>791</v>
      </c>
      <c r="CD833" s="91">
        <f t="shared" si="98"/>
        <v>3283</v>
      </c>
      <c r="CE833" s="69">
        <f t="shared" si="99"/>
        <v>0</v>
      </c>
      <c r="CF833" s="75">
        <f t="shared" ref="CF833:CG896" si="106">+D833</f>
        <v>8012</v>
      </c>
      <c r="CG833" s="69" t="str">
        <f t="shared" si="106"/>
        <v>صيدلة اكلينيكى</v>
      </c>
    </row>
    <row r="834" spans="2:85" x14ac:dyDescent="0.25">
      <c r="C834" s="82">
        <v>12590</v>
      </c>
      <c r="D834" s="78">
        <v>8013</v>
      </c>
      <c r="E834" s="69" t="s">
        <v>121</v>
      </c>
      <c r="F834" s="69" t="s">
        <v>2040</v>
      </c>
      <c r="G834" s="69"/>
      <c r="H834" s="69">
        <v>3000</v>
      </c>
      <c r="U834" s="69"/>
      <c r="V834" s="69"/>
      <c r="AS834" s="91">
        <f t="shared" si="95"/>
        <v>3000</v>
      </c>
      <c r="AT834" s="69">
        <v>2677.85</v>
      </c>
      <c r="AU834" s="69">
        <v>322.14999999999998</v>
      </c>
      <c r="CD834" s="91">
        <f t="shared" si="98"/>
        <v>3000</v>
      </c>
      <c r="CE834" s="69">
        <f t="shared" si="99"/>
        <v>0</v>
      </c>
      <c r="CF834" s="75">
        <f t="shared" si="106"/>
        <v>8013</v>
      </c>
      <c r="CG834" s="69" t="str">
        <f t="shared" si="106"/>
        <v>ماليزى اسنان</v>
      </c>
    </row>
    <row r="835" spans="2:85" x14ac:dyDescent="0.25">
      <c r="C835" s="82">
        <v>12613</v>
      </c>
      <c r="D835" s="78">
        <v>8014</v>
      </c>
      <c r="E835" s="69" t="s">
        <v>121</v>
      </c>
      <c r="F835" s="69" t="s">
        <v>2041</v>
      </c>
      <c r="G835" s="69"/>
      <c r="H835" s="69">
        <v>10943.13</v>
      </c>
      <c r="U835" s="69"/>
      <c r="V835" s="69"/>
      <c r="AS835" s="91">
        <f t="shared" si="95"/>
        <v>10943.13</v>
      </c>
      <c r="AT835" s="69">
        <v>8559.7800000000007</v>
      </c>
      <c r="AU835" s="69">
        <v>1084.45</v>
      </c>
      <c r="AV835" s="69">
        <v>1298.9000000000001</v>
      </c>
      <c r="CD835" s="91">
        <f t="shared" si="98"/>
        <v>10943.130000000001</v>
      </c>
      <c r="CE835" s="69">
        <f t="shared" si="99"/>
        <v>0</v>
      </c>
      <c r="CF835" s="75">
        <f t="shared" si="106"/>
        <v>8014</v>
      </c>
      <c r="CG835" s="69" t="str">
        <f t="shared" si="106"/>
        <v>ماليزى اسنان</v>
      </c>
    </row>
    <row r="836" spans="2:85" x14ac:dyDescent="0.25">
      <c r="C836" s="82">
        <v>12592</v>
      </c>
      <c r="D836" s="78">
        <v>8015</v>
      </c>
      <c r="E836" s="69" t="s">
        <v>121</v>
      </c>
      <c r="F836" s="69" t="s">
        <v>2042</v>
      </c>
      <c r="G836" s="69"/>
      <c r="H836" s="69">
        <v>17124.37</v>
      </c>
      <c r="U836" s="69"/>
      <c r="V836" s="69"/>
      <c r="AS836" s="91">
        <f t="shared" si="95"/>
        <v>17124.37</v>
      </c>
      <c r="AT836" s="69">
        <v>14791.9</v>
      </c>
      <c r="AU836" s="69">
        <v>1801.25</v>
      </c>
      <c r="AV836" s="69">
        <v>531.22</v>
      </c>
      <c r="CD836" s="91">
        <f t="shared" si="98"/>
        <v>17124.370000000003</v>
      </c>
      <c r="CE836" s="69">
        <f t="shared" si="99"/>
        <v>0</v>
      </c>
      <c r="CF836" s="75">
        <f t="shared" si="106"/>
        <v>8015</v>
      </c>
      <c r="CG836" s="69" t="str">
        <f t="shared" si="106"/>
        <v>ماليزى اسنان</v>
      </c>
    </row>
    <row r="837" spans="2:85" x14ac:dyDescent="0.25">
      <c r="C837" s="82">
        <v>12598</v>
      </c>
      <c r="D837" s="78">
        <v>8016</v>
      </c>
      <c r="E837" s="69" t="s">
        <v>121</v>
      </c>
      <c r="F837" s="69" t="s">
        <v>2043</v>
      </c>
      <c r="G837" s="69"/>
      <c r="H837" s="69">
        <v>6558.75</v>
      </c>
      <c r="U837" s="69"/>
      <c r="V837" s="69"/>
      <c r="AS837" s="91">
        <f t="shared" si="95"/>
        <v>6558.75</v>
      </c>
      <c r="AT837" s="69">
        <v>5459.7</v>
      </c>
      <c r="AU837" s="69">
        <v>675.3</v>
      </c>
      <c r="AV837" s="69">
        <v>423.75</v>
      </c>
      <c r="CD837" s="91">
        <f t="shared" si="98"/>
        <v>6558.75</v>
      </c>
      <c r="CE837" s="69">
        <f t="shared" si="99"/>
        <v>0</v>
      </c>
      <c r="CF837" s="75">
        <f t="shared" si="106"/>
        <v>8016</v>
      </c>
      <c r="CG837" s="69" t="str">
        <f t="shared" si="106"/>
        <v>ماليزى اسنان</v>
      </c>
    </row>
    <row r="838" spans="2:85" x14ac:dyDescent="0.25">
      <c r="C838" s="82">
        <v>12612</v>
      </c>
      <c r="D838" s="78">
        <v>8017</v>
      </c>
      <c r="E838" s="69" t="s">
        <v>121</v>
      </c>
      <c r="F838" s="69" t="s">
        <v>2044</v>
      </c>
      <c r="G838" s="69"/>
      <c r="H838" s="69">
        <v>6110.5</v>
      </c>
      <c r="U838" s="69"/>
      <c r="V838" s="69"/>
      <c r="AS838" s="91">
        <f t="shared" ref="AS838:AS901" si="107">SUM(H838:AR838)</f>
        <v>6110.5</v>
      </c>
      <c r="AT838" s="69">
        <v>4982.1000000000004</v>
      </c>
      <c r="AU838" s="69">
        <v>619.9</v>
      </c>
      <c r="AV838" s="69">
        <v>508.5</v>
      </c>
      <c r="CD838" s="91">
        <f t="shared" si="98"/>
        <v>6110.5</v>
      </c>
      <c r="CE838" s="69">
        <f t="shared" si="99"/>
        <v>0</v>
      </c>
      <c r="CF838" s="75">
        <f t="shared" si="106"/>
        <v>8017</v>
      </c>
      <c r="CG838" s="69" t="str">
        <f t="shared" si="106"/>
        <v>ماليزى اسنان</v>
      </c>
    </row>
    <row r="839" spans="2:85" x14ac:dyDescent="0.25">
      <c r="C839" s="82">
        <v>12599</v>
      </c>
      <c r="D839" s="78">
        <v>8018</v>
      </c>
      <c r="E839" s="69" t="s">
        <v>121</v>
      </c>
      <c r="F839" s="69" t="s">
        <v>2045</v>
      </c>
      <c r="G839" s="69"/>
      <c r="H839" s="69">
        <v>7283</v>
      </c>
      <c r="U839" s="69"/>
      <c r="V839" s="69"/>
      <c r="AS839" s="91">
        <f t="shared" si="107"/>
        <v>7283</v>
      </c>
      <c r="AT839" s="69">
        <v>5766.2</v>
      </c>
      <c r="AU839" s="69">
        <v>725.8</v>
      </c>
      <c r="AV839" s="69">
        <v>791</v>
      </c>
      <c r="CD839" s="91">
        <f t="shared" si="98"/>
        <v>7283</v>
      </c>
      <c r="CE839" s="69">
        <f t="shared" si="99"/>
        <v>0</v>
      </c>
      <c r="CF839" s="75">
        <f t="shared" si="106"/>
        <v>8018</v>
      </c>
      <c r="CG839" s="69" t="str">
        <f t="shared" si="106"/>
        <v>ماليزى اسنان</v>
      </c>
    </row>
    <row r="840" spans="2:85" x14ac:dyDescent="0.25">
      <c r="C840" s="82">
        <v>12600</v>
      </c>
      <c r="D840" s="78">
        <v>8019</v>
      </c>
      <c r="E840" s="69" t="s">
        <v>121</v>
      </c>
      <c r="F840" s="69" t="s">
        <v>2045</v>
      </c>
      <c r="G840" s="69"/>
      <c r="H840" s="69">
        <v>1465.62</v>
      </c>
      <c r="U840" s="69"/>
      <c r="V840" s="69"/>
      <c r="AS840" s="91">
        <f t="shared" si="107"/>
        <v>1465.62</v>
      </c>
      <c r="AT840" s="69">
        <v>979.5</v>
      </c>
      <c r="AU840" s="69">
        <v>133</v>
      </c>
      <c r="AV840" s="69">
        <v>353.12</v>
      </c>
      <c r="CD840" s="91">
        <f t="shared" si="98"/>
        <v>1465.62</v>
      </c>
      <c r="CE840" s="69">
        <f t="shared" si="99"/>
        <v>0</v>
      </c>
      <c r="CF840" s="75">
        <f t="shared" si="106"/>
        <v>8019</v>
      </c>
      <c r="CG840" s="69" t="str">
        <f t="shared" si="106"/>
        <v>ماليزى اسنان</v>
      </c>
    </row>
    <row r="841" spans="2:85" x14ac:dyDescent="0.25">
      <c r="C841" s="82">
        <v>12589</v>
      </c>
      <c r="D841" s="78">
        <v>8020</v>
      </c>
      <c r="E841" s="69" t="s">
        <v>121</v>
      </c>
      <c r="F841" s="69" t="s">
        <v>2046</v>
      </c>
      <c r="G841" s="69"/>
      <c r="H841" s="69">
        <v>11600.43</v>
      </c>
      <c r="U841" s="69"/>
      <c r="V841" s="69"/>
      <c r="AS841" s="91">
        <f t="shared" si="107"/>
        <v>11600.43</v>
      </c>
      <c r="AT841" s="69">
        <v>9516.74</v>
      </c>
      <c r="AU841" s="69">
        <v>1182.25</v>
      </c>
      <c r="AV841" s="69">
        <v>901.44</v>
      </c>
      <c r="CD841" s="91">
        <f t="shared" si="98"/>
        <v>11600.43</v>
      </c>
      <c r="CE841" s="69">
        <f t="shared" si="99"/>
        <v>0</v>
      </c>
      <c r="CF841" s="75">
        <f t="shared" si="106"/>
        <v>8020</v>
      </c>
      <c r="CG841" s="69" t="str">
        <f t="shared" si="106"/>
        <v>ماليزى اسنان</v>
      </c>
    </row>
    <row r="842" spans="2:85" x14ac:dyDescent="0.25">
      <c r="C842" s="82">
        <v>13094</v>
      </c>
      <c r="D842" s="78">
        <v>8021</v>
      </c>
      <c r="E842" s="69" t="s">
        <v>78</v>
      </c>
      <c r="F842" s="69" t="s">
        <v>1969</v>
      </c>
      <c r="G842" s="69"/>
      <c r="H842" s="69">
        <v>2287.35</v>
      </c>
      <c r="U842" s="69"/>
      <c r="V842" s="69"/>
      <c r="AS842" s="91">
        <f t="shared" si="107"/>
        <v>2287.35</v>
      </c>
      <c r="AT842" s="69">
        <v>1712.7</v>
      </c>
      <c r="AU842" s="69">
        <f>207+11.7</f>
        <v>218.7</v>
      </c>
      <c r="AV842" s="69">
        <v>355.95</v>
      </c>
      <c r="CD842" s="91">
        <f t="shared" si="98"/>
        <v>2287.35</v>
      </c>
      <c r="CE842" s="69">
        <f t="shared" si="99"/>
        <v>0</v>
      </c>
      <c r="CF842" s="75">
        <f t="shared" si="106"/>
        <v>8021</v>
      </c>
      <c r="CG842" s="69" t="str">
        <f t="shared" si="106"/>
        <v>برنامج دولى</v>
      </c>
    </row>
    <row r="843" spans="2:85" x14ac:dyDescent="0.25">
      <c r="B843" s="69" t="s">
        <v>367</v>
      </c>
      <c r="C843" s="82">
        <v>13003</v>
      </c>
      <c r="D843" s="78">
        <v>8022</v>
      </c>
      <c r="E843" s="69" t="s">
        <v>78</v>
      </c>
      <c r="F843" s="69" t="s">
        <v>2047</v>
      </c>
      <c r="G843" s="69"/>
      <c r="H843" s="69">
        <v>15167.78</v>
      </c>
      <c r="U843" s="69"/>
      <c r="V843" s="69"/>
      <c r="AS843" s="91">
        <f t="shared" si="107"/>
        <v>15167.78</v>
      </c>
      <c r="AT843" s="69">
        <v>12973.15</v>
      </c>
      <c r="AU843" s="69">
        <v>1575.95</v>
      </c>
      <c r="AV843" s="69">
        <v>618.67999999999995</v>
      </c>
      <c r="CD843" s="91">
        <f t="shared" si="98"/>
        <v>15167.78</v>
      </c>
      <c r="CE843" s="69">
        <f t="shared" si="99"/>
        <v>0</v>
      </c>
      <c r="CF843" s="75">
        <f t="shared" si="106"/>
        <v>8022</v>
      </c>
      <c r="CG843" s="69" t="str">
        <f t="shared" si="106"/>
        <v>برنامج دولى</v>
      </c>
    </row>
    <row r="844" spans="2:85" x14ac:dyDescent="0.25">
      <c r="B844" s="69" t="s">
        <v>367</v>
      </c>
      <c r="C844" s="82">
        <v>13002</v>
      </c>
      <c r="D844" s="78">
        <v>8023</v>
      </c>
      <c r="E844" s="69" t="s">
        <v>78</v>
      </c>
      <c r="F844" s="69" t="s">
        <v>2047</v>
      </c>
      <c r="G844" s="69"/>
      <c r="H844" s="69">
        <v>1406.98</v>
      </c>
      <c r="U844" s="69"/>
      <c r="V844" s="69"/>
      <c r="AS844" s="91">
        <f t="shared" si="107"/>
        <v>1406.98</v>
      </c>
      <c r="AT844" s="69">
        <v>944.2</v>
      </c>
      <c r="AU844" s="69">
        <v>123.8</v>
      </c>
      <c r="AV844" s="69">
        <v>338.98</v>
      </c>
      <c r="CD844" s="91">
        <f t="shared" si="98"/>
        <v>1406.98</v>
      </c>
      <c r="CE844" s="69">
        <f t="shared" si="99"/>
        <v>0</v>
      </c>
      <c r="CF844" s="75">
        <f t="shared" si="106"/>
        <v>8023</v>
      </c>
      <c r="CG844" s="69" t="str">
        <f t="shared" si="106"/>
        <v>برنامج دولى</v>
      </c>
    </row>
    <row r="845" spans="2:85" x14ac:dyDescent="0.25">
      <c r="B845" s="69" t="s">
        <v>367</v>
      </c>
      <c r="C845" s="82">
        <v>13004</v>
      </c>
      <c r="D845" s="78">
        <v>8024</v>
      </c>
      <c r="E845" s="69" t="s">
        <v>78</v>
      </c>
      <c r="F845" s="69" t="s">
        <v>2047</v>
      </c>
      <c r="G845" s="69"/>
      <c r="H845" s="69">
        <v>3255.68</v>
      </c>
      <c r="U845" s="69"/>
      <c r="V845" s="69"/>
      <c r="AS845" s="91">
        <f t="shared" si="107"/>
        <v>3255.68</v>
      </c>
      <c r="AT845" s="69">
        <v>2206.5500000000002</v>
      </c>
      <c r="AU845" s="69">
        <v>286.45</v>
      </c>
      <c r="AV845" s="69">
        <v>762.68</v>
      </c>
      <c r="CD845" s="91">
        <f t="shared" si="98"/>
        <v>3255.68</v>
      </c>
      <c r="CE845" s="69">
        <f t="shared" si="99"/>
        <v>0</v>
      </c>
      <c r="CF845" s="75">
        <f t="shared" si="106"/>
        <v>8024</v>
      </c>
      <c r="CG845" s="69" t="str">
        <f t="shared" si="106"/>
        <v>برنامج دولى</v>
      </c>
    </row>
    <row r="846" spans="2:85" x14ac:dyDescent="0.25">
      <c r="B846" s="69" t="s">
        <v>367</v>
      </c>
      <c r="C846" s="82">
        <v>12998</v>
      </c>
      <c r="D846" s="78">
        <v>8025</v>
      </c>
      <c r="E846" s="69" t="s">
        <v>78</v>
      </c>
      <c r="F846" s="69" t="s">
        <v>2047</v>
      </c>
      <c r="G846" s="69"/>
      <c r="H846" s="69">
        <v>17499.54</v>
      </c>
      <c r="U846" s="69"/>
      <c r="V846" s="69"/>
      <c r="AS846" s="91">
        <f t="shared" si="107"/>
        <v>17499.54</v>
      </c>
      <c r="AT846" s="69">
        <v>14919.86</v>
      </c>
      <c r="AU846" s="69">
        <v>1814.8</v>
      </c>
      <c r="AV846" s="69">
        <v>764.88</v>
      </c>
      <c r="CD846" s="91">
        <f t="shared" si="98"/>
        <v>17499.54</v>
      </c>
      <c r="CE846" s="69">
        <f t="shared" si="99"/>
        <v>0</v>
      </c>
      <c r="CF846" s="75">
        <f t="shared" si="106"/>
        <v>8025</v>
      </c>
      <c r="CG846" s="69" t="str">
        <f t="shared" si="106"/>
        <v>برنامج دولى</v>
      </c>
    </row>
    <row r="847" spans="2:85" x14ac:dyDescent="0.25">
      <c r="B847" s="69" t="s">
        <v>367</v>
      </c>
      <c r="C847" s="82">
        <v>13006</v>
      </c>
      <c r="D847" s="78">
        <v>8026</v>
      </c>
      <c r="E847" s="69" t="s">
        <v>78</v>
      </c>
      <c r="F847" s="69" t="s">
        <v>2047</v>
      </c>
      <c r="G847" s="69"/>
      <c r="H847" s="69">
        <v>1195.96</v>
      </c>
      <c r="U847" s="69"/>
      <c r="V847" s="69"/>
      <c r="AS847" s="91">
        <f t="shared" si="107"/>
        <v>1195.96</v>
      </c>
      <c r="AT847" s="69">
        <v>802.05</v>
      </c>
      <c r="AU847" s="69">
        <v>105.75</v>
      </c>
      <c r="AV847" s="69">
        <v>288.16000000000003</v>
      </c>
      <c r="CD847" s="91">
        <f t="shared" si="98"/>
        <v>1195.96</v>
      </c>
      <c r="CE847" s="69">
        <f t="shared" si="99"/>
        <v>0</v>
      </c>
      <c r="CF847" s="75">
        <f t="shared" si="106"/>
        <v>8026</v>
      </c>
      <c r="CG847" s="69" t="str">
        <f t="shared" si="106"/>
        <v>برنامج دولى</v>
      </c>
    </row>
    <row r="848" spans="2:85" x14ac:dyDescent="0.25">
      <c r="B848" s="69" t="s">
        <v>367</v>
      </c>
      <c r="C848" s="82">
        <v>13005</v>
      </c>
      <c r="D848" s="78">
        <v>8027</v>
      </c>
      <c r="E848" s="69" t="s">
        <v>78</v>
      </c>
      <c r="F848" s="69" t="s">
        <v>2047</v>
      </c>
      <c r="G848" s="69"/>
      <c r="H848" s="69">
        <v>492.45</v>
      </c>
      <c r="U848" s="69"/>
      <c r="V848" s="69"/>
      <c r="AS848" s="91">
        <f t="shared" si="107"/>
        <v>492.45</v>
      </c>
      <c r="AT848" s="69">
        <v>329.7</v>
      </c>
      <c r="AU848" s="69">
        <v>44.1</v>
      </c>
      <c r="AV848" s="69">
        <v>118.65</v>
      </c>
      <c r="CD848" s="91">
        <f t="shared" si="98"/>
        <v>492.45000000000005</v>
      </c>
      <c r="CE848" s="69">
        <f t="shared" si="99"/>
        <v>0</v>
      </c>
      <c r="CF848" s="75">
        <f t="shared" si="106"/>
        <v>8027</v>
      </c>
      <c r="CG848" s="69" t="str">
        <f t="shared" si="106"/>
        <v>برنامج دولى</v>
      </c>
    </row>
    <row r="849" spans="2:85" x14ac:dyDescent="0.25">
      <c r="B849" s="69" t="s">
        <v>367</v>
      </c>
      <c r="C849" s="82">
        <v>13009</v>
      </c>
      <c r="D849" s="78">
        <v>8028</v>
      </c>
      <c r="E849" s="69" t="s">
        <v>78</v>
      </c>
      <c r="F849" s="69" t="s">
        <v>2047</v>
      </c>
      <c r="G849" s="69"/>
      <c r="H849" s="69">
        <v>15155.9</v>
      </c>
      <c r="U849" s="69"/>
      <c r="V849" s="69"/>
      <c r="AS849" s="91">
        <f t="shared" si="107"/>
        <v>15155.9</v>
      </c>
      <c r="AT849" s="69">
        <v>12568.55</v>
      </c>
      <c r="AU849" s="69">
        <v>1545.95</v>
      </c>
      <c r="AV849" s="69">
        <v>1041.4000000000001</v>
      </c>
      <c r="CD849" s="91">
        <f t="shared" si="98"/>
        <v>15155.9</v>
      </c>
      <c r="CE849" s="69">
        <f t="shared" si="99"/>
        <v>0</v>
      </c>
      <c r="CF849" s="75">
        <f t="shared" si="106"/>
        <v>8028</v>
      </c>
      <c r="CG849" s="69" t="str">
        <f t="shared" si="106"/>
        <v>برنامج دولى</v>
      </c>
    </row>
    <row r="850" spans="2:85" x14ac:dyDescent="0.25">
      <c r="B850" s="69" t="s">
        <v>367</v>
      </c>
      <c r="C850" s="82">
        <v>13007</v>
      </c>
      <c r="D850" s="78">
        <v>8029</v>
      </c>
      <c r="E850" s="69" t="s">
        <v>78</v>
      </c>
      <c r="F850" s="69" t="s">
        <v>2047</v>
      </c>
      <c r="G850" s="69"/>
      <c r="H850" s="69">
        <v>2954.7</v>
      </c>
      <c r="U850" s="69"/>
      <c r="V850" s="69"/>
      <c r="AS850" s="91">
        <f t="shared" si="107"/>
        <v>2954.7</v>
      </c>
      <c r="AT850" s="69">
        <v>1978.8</v>
      </c>
      <c r="AU850" s="69">
        <v>264</v>
      </c>
      <c r="AV850" s="69">
        <v>711.9</v>
      </c>
      <c r="CD850" s="91">
        <f t="shared" si="98"/>
        <v>2954.7000000000003</v>
      </c>
      <c r="CE850" s="69">
        <f t="shared" si="99"/>
        <v>0</v>
      </c>
      <c r="CF850" s="75">
        <f t="shared" si="106"/>
        <v>8029</v>
      </c>
      <c r="CG850" s="69" t="str">
        <f t="shared" si="106"/>
        <v>برنامج دولى</v>
      </c>
    </row>
    <row r="851" spans="2:85" x14ac:dyDescent="0.25">
      <c r="B851" s="69" t="s">
        <v>367</v>
      </c>
      <c r="C851" s="82">
        <v>13008</v>
      </c>
      <c r="D851" s="78">
        <v>8030</v>
      </c>
      <c r="E851" s="69" t="s">
        <v>78</v>
      </c>
      <c r="F851" s="69" t="s">
        <v>2047</v>
      </c>
      <c r="G851" s="69"/>
      <c r="H851" s="69">
        <v>492.45</v>
      </c>
      <c r="U851" s="69"/>
      <c r="V851" s="69"/>
      <c r="AS851" s="91">
        <f t="shared" si="107"/>
        <v>492.45</v>
      </c>
      <c r="AT851" s="69">
        <v>329.7</v>
      </c>
      <c r="AU851" s="69">
        <v>44.1</v>
      </c>
      <c r="AV851" s="69">
        <v>118.65</v>
      </c>
      <c r="CD851" s="91">
        <f t="shared" si="98"/>
        <v>492.45000000000005</v>
      </c>
      <c r="CE851" s="69">
        <f t="shared" si="99"/>
        <v>0</v>
      </c>
      <c r="CF851" s="75">
        <f t="shared" si="106"/>
        <v>8030</v>
      </c>
      <c r="CG851" s="69" t="str">
        <f t="shared" si="106"/>
        <v>برنامج دولى</v>
      </c>
    </row>
    <row r="852" spans="2:85" x14ac:dyDescent="0.25">
      <c r="B852" s="69" t="s">
        <v>367</v>
      </c>
      <c r="C852" s="82">
        <v>13001</v>
      </c>
      <c r="D852" s="78">
        <v>8031</v>
      </c>
      <c r="E852" s="69" t="s">
        <v>78</v>
      </c>
      <c r="F852" s="69" t="s">
        <v>2047</v>
      </c>
      <c r="G852" s="69"/>
      <c r="H852" s="69">
        <v>492.45</v>
      </c>
      <c r="U852" s="69"/>
      <c r="V852" s="69"/>
      <c r="AS852" s="91">
        <f t="shared" si="107"/>
        <v>492.45</v>
      </c>
      <c r="AT852" s="69">
        <v>329.7</v>
      </c>
      <c r="AU852" s="69">
        <v>44.1</v>
      </c>
      <c r="AV852" s="69">
        <v>118.65</v>
      </c>
      <c r="CD852" s="91">
        <f t="shared" si="98"/>
        <v>492.45000000000005</v>
      </c>
      <c r="CE852" s="69">
        <f t="shared" si="99"/>
        <v>0</v>
      </c>
      <c r="CF852" s="75">
        <f t="shared" si="106"/>
        <v>8031</v>
      </c>
      <c r="CG852" s="69" t="str">
        <f t="shared" si="106"/>
        <v>برنامج دولى</v>
      </c>
    </row>
    <row r="853" spans="2:85" x14ac:dyDescent="0.25">
      <c r="B853" s="69" t="s">
        <v>367</v>
      </c>
      <c r="C853" s="82">
        <v>13000</v>
      </c>
      <c r="D853" s="78">
        <v>8032</v>
      </c>
      <c r="E853" s="69" t="s">
        <v>78</v>
      </c>
      <c r="F853" s="69" t="s">
        <v>2047</v>
      </c>
      <c r="G853" s="69"/>
      <c r="H853" s="69">
        <v>3341.58</v>
      </c>
      <c r="U853" s="69"/>
      <c r="V853" s="69"/>
      <c r="AS853" s="91">
        <f t="shared" si="107"/>
        <v>3341.58</v>
      </c>
      <c r="AT853" s="69">
        <v>2241.6999999999998</v>
      </c>
      <c r="AU853" s="69">
        <v>294.8</v>
      </c>
      <c r="AV853" s="69">
        <v>805.08</v>
      </c>
      <c r="CD853" s="91">
        <f t="shared" si="98"/>
        <v>3341.58</v>
      </c>
      <c r="CE853" s="69">
        <f t="shared" si="99"/>
        <v>0</v>
      </c>
      <c r="CF853" s="75">
        <f t="shared" si="106"/>
        <v>8032</v>
      </c>
      <c r="CG853" s="69" t="str">
        <f t="shared" si="106"/>
        <v>برنامج دولى</v>
      </c>
    </row>
    <row r="854" spans="2:85" x14ac:dyDescent="0.25">
      <c r="B854" s="69" t="s">
        <v>367</v>
      </c>
      <c r="C854" s="82">
        <v>12999</v>
      </c>
      <c r="D854" s="78">
        <v>8033</v>
      </c>
      <c r="E854" s="69" t="s">
        <v>78</v>
      </c>
      <c r="F854" s="69" t="s">
        <v>2047</v>
      </c>
      <c r="G854" s="69"/>
      <c r="H854" s="69">
        <v>993.66</v>
      </c>
      <c r="U854" s="69"/>
      <c r="V854" s="69"/>
      <c r="AS854" s="91">
        <f t="shared" si="107"/>
        <v>993.66</v>
      </c>
      <c r="AT854" s="69">
        <v>667.14</v>
      </c>
      <c r="AU854" s="69">
        <v>87.15</v>
      </c>
      <c r="AV854" s="69">
        <v>239.37</v>
      </c>
      <c r="CD854" s="91">
        <f t="shared" si="98"/>
        <v>993.66</v>
      </c>
      <c r="CE854" s="69">
        <f t="shared" si="99"/>
        <v>0</v>
      </c>
      <c r="CF854" s="75">
        <f t="shared" si="106"/>
        <v>8033</v>
      </c>
      <c r="CG854" s="69" t="str">
        <f t="shared" si="106"/>
        <v>برنامج دولى</v>
      </c>
    </row>
    <row r="855" spans="2:85" x14ac:dyDescent="0.25">
      <c r="B855" s="69" t="s">
        <v>367</v>
      </c>
      <c r="C855" s="82">
        <v>13045</v>
      </c>
      <c r="D855" s="78">
        <v>8034</v>
      </c>
      <c r="E855" s="69" t="s">
        <v>78</v>
      </c>
      <c r="F855" s="69" t="s">
        <v>2048</v>
      </c>
      <c r="G855" s="69"/>
      <c r="H855" s="69">
        <v>2110.5</v>
      </c>
      <c r="U855" s="69"/>
      <c r="V855" s="69"/>
      <c r="AS855" s="91">
        <f t="shared" si="107"/>
        <v>2110.5</v>
      </c>
      <c r="AT855" s="69">
        <v>1411.4</v>
      </c>
      <c r="AU855" s="69">
        <v>190.6</v>
      </c>
      <c r="AV855" s="69">
        <v>508.5</v>
      </c>
      <c r="CD855" s="91">
        <f t="shared" si="98"/>
        <v>2110.5</v>
      </c>
      <c r="CE855" s="69">
        <f t="shared" si="99"/>
        <v>0</v>
      </c>
      <c r="CF855" s="75">
        <f t="shared" si="106"/>
        <v>8034</v>
      </c>
      <c r="CG855" s="69" t="str">
        <f t="shared" si="106"/>
        <v>برنامج دولى</v>
      </c>
    </row>
    <row r="856" spans="2:85" x14ac:dyDescent="0.25">
      <c r="B856" s="69" t="s">
        <v>367</v>
      </c>
      <c r="C856" s="82">
        <v>13046</v>
      </c>
      <c r="D856" s="78">
        <v>8035</v>
      </c>
      <c r="E856" s="69" t="s">
        <v>78</v>
      </c>
      <c r="F856" s="69" t="s">
        <v>2048</v>
      </c>
      <c r="G856" s="69"/>
      <c r="H856" s="69">
        <v>2110.4899999999998</v>
      </c>
      <c r="U856" s="69"/>
      <c r="V856" s="69"/>
      <c r="AS856" s="91">
        <f t="shared" si="107"/>
        <v>2110.4899999999998</v>
      </c>
      <c r="AT856" s="69">
        <v>1412.1</v>
      </c>
      <c r="AU856" s="69">
        <v>189.9</v>
      </c>
      <c r="AV856" s="69">
        <v>508.49</v>
      </c>
      <c r="CD856" s="91">
        <f t="shared" si="98"/>
        <v>2110.4899999999998</v>
      </c>
      <c r="CE856" s="69">
        <f t="shared" si="99"/>
        <v>0</v>
      </c>
      <c r="CF856" s="75">
        <f t="shared" si="106"/>
        <v>8035</v>
      </c>
      <c r="CG856" s="69" t="str">
        <f t="shared" si="106"/>
        <v>برنامج دولى</v>
      </c>
    </row>
    <row r="857" spans="2:85" x14ac:dyDescent="0.25">
      <c r="B857" s="69" t="s">
        <v>367</v>
      </c>
      <c r="C857" s="82">
        <v>13040</v>
      </c>
      <c r="D857" s="78">
        <v>8036</v>
      </c>
      <c r="E857" s="69" t="s">
        <v>78</v>
      </c>
      <c r="F857" s="69" t="s">
        <v>2048</v>
      </c>
      <c r="G857" s="69"/>
      <c r="H857" s="69">
        <v>8170.65</v>
      </c>
      <c r="U857" s="69"/>
      <c r="V857" s="69"/>
      <c r="AS857" s="91">
        <f t="shared" si="107"/>
        <v>8170.65</v>
      </c>
      <c r="AT857" s="69">
        <v>6364.25</v>
      </c>
      <c r="AU857" s="69">
        <v>806.35</v>
      </c>
      <c r="AV857" s="69">
        <v>1000.05</v>
      </c>
      <c r="CD857" s="91">
        <f t="shared" si="98"/>
        <v>8170.6500000000005</v>
      </c>
      <c r="CE857" s="69">
        <f t="shared" si="99"/>
        <v>0</v>
      </c>
      <c r="CF857" s="75">
        <f t="shared" si="106"/>
        <v>8036</v>
      </c>
      <c r="CG857" s="69" t="str">
        <f t="shared" si="106"/>
        <v>برنامج دولى</v>
      </c>
    </row>
    <row r="858" spans="2:85" x14ac:dyDescent="0.25">
      <c r="B858" s="69" t="s">
        <v>367</v>
      </c>
      <c r="C858" s="82">
        <v>13047</v>
      </c>
      <c r="D858" s="78">
        <v>8037</v>
      </c>
      <c r="E858" s="69" t="s">
        <v>78</v>
      </c>
      <c r="F858" s="69" t="s">
        <v>2049</v>
      </c>
      <c r="G858" s="69"/>
      <c r="H858" s="69">
        <v>16345</v>
      </c>
      <c r="U858" s="69"/>
      <c r="V858" s="69"/>
      <c r="AS858" s="91">
        <f t="shared" si="107"/>
        <v>16345</v>
      </c>
      <c r="AT858" s="69">
        <v>14064.45</v>
      </c>
      <c r="AU858" s="69">
        <v>1715.55</v>
      </c>
      <c r="AV858" s="69">
        <v>565</v>
      </c>
      <c r="CD858" s="91">
        <f t="shared" si="98"/>
        <v>16345</v>
      </c>
      <c r="CE858" s="69">
        <f t="shared" si="99"/>
        <v>0</v>
      </c>
      <c r="CF858" s="75">
        <f t="shared" si="106"/>
        <v>8037</v>
      </c>
      <c r="CG858" s="69" t="str">
        <f t="shared" si="106"/>
        <v>برنامج دولى</v>
      </c>
    </row>
    <row r="859" spans="2:85" x14ac:dyDescent="0.25">
      <c r="B859" s="69" t="s">
        <v>367</v>
      </c>
      <c r="C859" s="82">
        <v>12976</v>
      </c>
      <c r="D859" s="78">
        <v>8038</v>
      </c>
      <c r="E859" s="69" t="s">
        <v>78</v>
      </c>
      <c r="F859" s="69" t="s">
        <v>2050</v>
      </c>
      <c r="G859" s="69"/>
      <c r="H859" s="69">
        <v>38595.629999999997</v>
      </c>
      <c r="U859" s="69"/>
      <c r="V859" s="69"/>
      <c r="AS859" s="91">
        <f t="shared" si="107"/>
        <v>38595.629999999997</v>
      </c>
      <c r="AT859" s="69">
        <v>33373.82</v>
      </c>
      <c r="AU859" s="69">
        <v>4067.69</v>
      </c>
      <c r="AV859" s="69">
        <v>1154.1199999999999</v>
      </c>
      <c r="CD859" s="91">
        <f t="shared" si="98"/>
        <v>38595.630000000005</v>
      </c>
      <c r="CE859" s="69">
        <f t="shared" si="99"/>
        <v>0</v>
      </c>
      <c r="CF859" s="75">
        <f t="shared" si="106"/>
        <v>8038</v>
      </c>
      <c r="CG859" s="69" t="str">
        <f t="shared" si="106"/>
        <v>برنامج دولى</v>
      </c>
    </row>
    <row r="860" spans="2:85" x14ac:dyDescent="0.25">
      <c r="B860" s="69" t="s">
        <v>367</v>
      </c>
      <c r="C860" s="82">
        <v>13032</v>
      </c>
      <c r="D860" s="78">
        <v>8039</v>
      </c>
      <c r="E860" s="69" t="s">
        <v>78</v>
      </c>
      <c r="F860" s="69" t="s">
        <v>2051</v>
      </c>
      <c r="G860" s="69"/>
      <c r="H860" s="69">
        <v>351.75</v>
      </c>
      <c r="U860" s="69"/>
      <c r="V860" s="69"/>
      <c r="AS860" s="91">
        <f t="shared" si="107"/>
        <v>351.75</v>
      </c>
      <c r="AT860" s="69">
        <v>235.55</v>
      </c>
      <c r="AU860" s="69">
        <f>30+1.45</f>
        <v>31.45</v>
      </c>
      <c r="AV860" s="69">
        <f>116.2-31.45</f>
        <v>84.75</v>
      </c>
      <c r="CD860" s="91">
        <f t="shared" ref="CD860:CD896" si="108">SUM(AT860:CC860)</f>
        <v>351.75</v>
      </c>
      <c r="CE860" s="69">
        <f t="shared" ref="CE860:CE923" si="109">+CD860-AS860</f>
        <v>0</v>
      </c>
      <c r="CF860" s="75">
        <f t="shared" si="106"/>
        <v>8039</v>
      </c>
      <c r="CG860" s="69" t="str">
        <f t="shared" si="106"/>
        <v>برنامج دولى</v>
      </c>
    </row>
    <row r="861" spans="2:85" x14ac:dyDescent="0.25">
      <c r="B861" s="69" t="s">
        <v>367</v>
      </c>
      <c r="C861" s="82">
        <v>13028</v>
      </c>
      <c r="D861" s="78">
        <v>8040</v>
      </c>
      <c r="E861" s="69" t="s">
        <v>78</v>
      </c>
      <c r="F861" s="69" t="s">
        <v>2051</v>
      </c>
      <c r="G861" s="69"/>
      <c r="H861" s="69">
        <v>738.68</v>
      </c>
      <c r="U861" s="69"/>
      <c r="V861" s="69"/>
      <c r="AS861" s="91">
        <f t="shared" si="107"/>
        <v>738.68</v>
      </c>
      <c r="AT861" s="69">
        <v>494.1</v>
      </c>
      <c r="AU861" s="69">
        <v>66.599999999999994</v>
      </c>
      <c r="AV861" s="69">
        <v>177.98</v>
      </c>
      <c r="CD861" s="91">
        <f t="shared" si="108"/>
        <v>738.68000000000006</v>
      </c>
      <c r="CE861" s="69">
        <f t="shared" si="109"/>
        <v>0</v>
      </c>
      <c r="CF861" s="75">
        <f t="shared" si="106"/>
        <v>8040</v>
      </c>
      <c r="CG861" s="69" t="str">
        <f t="shared" si="106"/>
        <v>برنامج دولى</v>
      </c>
    </row>
    <row r="862" spans="2:85" x14ac:dyDescent="0.25">
      <c r="B862" s="69" t="s">
        <v>367</v>
      </c>
      <c r="C862" s="82">
        <v>13029</v>
      </c>
      <c r="D862" s="78">
        <v>8041</v>
      </c>
      <c r="E862" s="69" t="s">
        <v>78</v>
      </c>
      <c r="F862" s="69" t="s">
        <v>2051</v>
      </c>
      <c r="G862" s="69"/>
      <c r="H862" s="69">
        <v>1899.45</v>
      </c>
      <c r="U862" s="69"/>
      <c r="V862" s="69"/>
      <c r="AS862" s="91">
        <f t="shared" si="107"/>
        <v>1899.45</v>
      </c>
      <c r="AT862" s="69">
        <v>1269.9000000000001</v>
      </c>
      <c r="AU862" s="69">
        <v>171.9</v>
      </c>
      <c r="AV862" s="69">
        <v>457.65</v>
      </c>
      <c r="CD862" s="91">
        <f t="shared" si="108"/>
        <v>1899.4500000000003</v>
      </c>
      <c r="CE862" s="69">
        <f t="shared" si="109"/>
        <v>0</v>
      </c>
      <c r="CF862" s="75">
        <f t="shared" si="106"/>
        <v>8041</v>
      </c>
      <c r="CG862" s="69" t="str">
        <f t="shared" si="106"/>
        <v>برنامج دولى</v>
      </c>
    </row>
    <row r="863" spans="2:85" x14ac:dyDescent="0.25">
      <c r="B863" s="69" t="s">
        <v>367</v>
      </c>
      <c r="C863" s="82">
        <v>13030</v>
      </c>
      <c r="D863" s="78">
        <v>8042</v>
      </c>
      <c r="E863" s="69" t="s">
        <v>78</v>
      </c>
      <c r="F863" s="69" t="s">
        <v>2051</v>
      </c>
      <c r="G863" s="69"/>
      <c r="H863" s="69">
        <v>2532.6</v>
      </c>
      <c r="U863" s="69"/>
      <c r="V863" s="69"/>
      <c r="AS863" s="91">
        <f t="shared" si="107"/>
        <v>2532.6</v>
      </c>
      <c r="AT863" s="69">
        <v>1692.7</v>
      </c>
      <c r="AU863" s="69">
        <v>229.7</v>
      </c>
      <c r="AV863" s="69">
        <v>610.20000000000005</v>
      </c>
      <c r="CD863" s="91">
        <f t="shared" si="108"/>
        <v>2532.6000000000004</v>
      </c>
      <c r="CE863" s="69">
        <f t="shared" si="109"/>
        <v>0</v>
      </c>
      <c r="CF863" s="75">
        <f t="shared" si="106"/>
        <v>8042</v>
      </c>
      <c r="CG863" s="69" t="str">
        <f t="shared" si="106"/>
        <v>برنامج دولى</v>
      </c>
    </row>
    <row r="864" spans="2:85" x14ac:dyDescent="0.25">
      <c r="B864" s="69" t="s">
        <v>367</v>
      </c>
      <c r="C864" s="82">
        <v>13031</v>
      </c>
      <c r="D864" s="78">
        <v>8043</v>
      </c>
      <c r="E864" s="69" t="s">
        <v>78</v>
      </c>
      <c r="F864" s="69" t="s">
        <v>2051</v>
      </c>
      <c r="G864" s="69"/>
      <c r="H864" s="69">
        <v>633.15</v>
      </c>
      <c r="U864" s="69"/>
      <c r="V864" s="69"/>
      <c r="AS864" s="91">
        <f t="shared" si="107"/>
        <v>633.15</v>
      </c>
      <c r="AT864" s="69">
        <v>423.55</v>
      </c>
      <c r="AU864" s="69">
        <v>57.05</v>
      </c>
      <c r="AV864" s="69">
        <v>152.55000000000001</v>
      </c>
      <c r="CD864" s="91">
        <f t="shared" si="108"/>
        <v>633.15000000000009</v>
      </c>
      <c r="CE864" s="69">
        <f t="shared" si="109"/>
        <v>0</v>
      </c>
      <c r="CF864" s="75">
        <f t="shared" si="106"/>
        <v>8043</v>
      </c>
      <c r="CG864" s="69" t="str">
        <f t="shared" si="106"/>
        <v>برنامج دولى</v>
      </c>
    </row>
    <row r="865" spans="2:85" x14ac:dyDescent="0.25">
      <c r="B865" s="69" t="s">
        <v>367</v>
      </c>
      <c r="C865" s="82">
        <v>13027</v>
      </c>
      <c r="D865" s="78">
        <v>8044</v>
      </c>
      <c r="E865" s="69" t="s">
        <v>78</v>
      </c>
      <c r="F865" s="69" t="s">
        <v>2051</v>
      </c>
      <c r="G865" s="69"/>
      <c r="H865" s="69">
        <v>8465.9500000000007</v>
      </c>
      <c r="U865" s="69"/>
      <c r="V865" s="69"/>
      <c r="AS865" s="91">
        <f t="shared" si="107"/>
        <v>8465.9500000000007</v>
      </c>
      <c r="AT865" s="69">
        <v>6316.58</v>
      </c>
      <c r="AU865" s="69">
        <v>813.1</v>
      </c>
      <c r="AV865" s="69">
        <v>1336.27</v>
      </c>
      <c r="CD865" s="91">
        <f t="shared" si="108"/>
        <v>8465.9500000000007</v>
      </c>
      <c r="CE865" s="69">
        <f t="shared" si="109"/>
        <v>0</v>
      </c>
      <c r="CF865" s="75">
        <f t="shared" si="106"/>
        <v>8044</v>
      </c>
      <c r="CG865" s="69" t="str">
        <f t="shared" si="106"/>
        <v>برنامج دولى</v>
      </c>
    </row>
    <row r="866" spans="2:85" x14ac:dyDescent="0.25">
      <c r="C866" s="82">
        <v>13182</v>
      </c>
      <c r="D866" s="78">
        <v>8045</v>
      </c>
      <c r="E866" s="69" t="s">
        <v>78</v>
      </c>
      <c r="F866" s="69" t="s">
        <v>2052</v>
      </c>
      <c r="G866" s="69"/>
      <c r="H866" s="69">
        <v>367.25</v>
      </c>
      <c r="U866" s="69"/>
      <c r="V866" s="69"/>
      <c r="AS866" s="91">
        <f t="shared" si="107"/>
        <v>367.25</v>
      </c>
      <c r="AT866" s="69">
        <v>303.14999999999998</v>
      </c>
      <c r="AU866" s="69">
        <v>35.85</v>
      </c>
      <c r="AV866" s="69">
        <v>28.25</v>
      </c>
      <c r="CD866" s="91">
        <f t="shared" si="108"/>
        <v>367.25</v>
      </c>
      <c r="CE866" s="69">
        <f t="shared" si="109"/>
        <v>0</v>
      </c>
      <c r="CF866" s="75">
        <f t="shared" si="106"/>
        <v>8045</v>
      </c>
      <c r="CG866" s="69" t="str">
        <f t="shared" si="106"/>
        <v>برنامج دولى</v>
      </c>
    </row>
    <row r="867" spans="2:85" x14ac:dyDescent="0.25">
      <c r="C867" s="82">
        <v>11924</v>
      </c>
      <c r="D867" s="78">
        <v>8046</v>
      </c>
      <c r="E867" s="69" t="s">
        <v>119</v>
      </c>
      <c r="F867" s="69" t="s">
        <v>2053</v>
      </c>
      <c r="G867" s="69"/>
      <c r="H867" s="69">
        <v>5984.56</v>
      </c>
      <c r="U867" s="69"/>
      <c r="V867" s="69"/>
      <c r="AS867" s="91">
        <f t="shared" si="107"/>
        <v>5984.56</v>
      </c>
      <c r="AT867" s="69">
        <v>5937.06</v>
      </c>
      <c r="AU867" s="69">
        <v>47.5</v>
      </c>
      <c r="CD867" s="91">
        <f t="shared" si="108"/>
        <v>5984.56</v>
      </c>
      <c r="CE867" s="69">
        <f t="shared" si="109"/>
        <v>0</v>
      </c>
      <c r="CF867" s="75">
        <f t="shared" si="106"/>
        <v>8046</v>
      </c>
      <c r="CG867" s="69" t="str">
        <f t="shared" si="106"/>
        <v>خ ت صيدلة</v>
      </c>
    </row>
    <row r="868" spans="2:85" x14ac:dyDescent="0.25">
      <c r="C868" s="82">
        <v>11902</v>
      </c>
      <c r="D868" s="78">
        <v>8047</v>
      </c>
      <c r="E868" s="69" t="s">
        <v>119</v>
      </c>
      <c r="F868" s="69" t="s">
        <v>2053</v>
      </c>
      <c r="G868" s="69"/>
      <c r="H868" s="69">
        <v>12441.77</v>
      </c>
      <c r="U868" s="69"/>
      <c r="V868" s="69"/>
      <c r="AS868" s="91">
        <f t="shared" si="107"/>
        <v>12441.77</v>
      </c>
      <c r="AT868" s="69">
        <v>12354.82</v>
      </c>
      <c r="AU868" s="69">
        <v>86.95</v>
      </c>
      <c r="CD868" s="91">
        <f t="shared" si="108"/>
        <v>12441.77</v>
      </c>
      <c r="CE868" s="69">
        <f t="shared" si="109"/>
        <v>0</v>
      </c>
      <c r="CF868" s="75">
        <f t="shared" si="106"/>
        <v>8047</v>
      </c>
      <c r="CG868" s="69" t="str">
        <f t="shared" si="106"/>
        <v>خ ت صيدلة</v>
      </c>
    </row>
    <row r="869" spans="2:85" x14ac:dyDescent="0.25">
      <c r="C869" s="82">
        <v>11901</v>
      </c>
      <c r="D869" s="78">
        <v>8048</v>
      </c>
      <c r="E869" s="69" t="s">
        <v>119</v>
      </c>
      <c r="F869" s="69" t="s">
        <v>2053</v>
      </c>
      <c r="G869" s="69"/>
      <c r="H869" s="69">
        <v>2741.05</v>
      </c>
      <c r="U869" s="69"/>
      <c r="V869" s="69"/>
      <c r="AS869" s="91">
        <f t="shared" si="107"/>
        <v>2741.05</v>
      </c>
      <c r="AT869" s="69">
        <v>2720.85</v>
      </c>
      <c r="AU869" s="69">
        <v>20.2</v>
      </c>
      <c r="CD869" s="91">
        <f t="shared" si="108"/>
        <v>2741.0499999999997</v>
      </c>
      <c r="CE869" s="69">
        <f t="shared" si="109"/>
        <v>0</v>
      </c>
      <c r="CF869" s="75">
        <f t="shared" si="106"/>
        <v>8048</v>
      </c>
      <c r="CG869" s="69" t="str">
        <f t="shared" si="106"/>
        <v>خ ت صيدلة</v>
      </c>
    </row>
    <row r="870" spans="2:85" x14ac:dyDescent="0.25">
      <c r="C870" s="82">
        <v>11900</v>
      </c>
      <c r="D870" s="78">
        <v>8049</v>
      </c>
      <c r="E870" s="69" t="s">
        <v>119</v>
      </c>
      <c r="F870" s="69" t="s">
        <v>2053</v>
      </c>
      <c r="G870" s="69"/>
      <c r="H870" s="69">
        <v>6570</v>
      </c>
      <c r="U870" s="69"/>
      <c r="V870" s="69"/>
      <c r="AS870" s="91">
        <f t="shared" si="107"/>
        <v>6570</v>
      </c>
      <c r="AT870" s="69">
        <v>6517.8</v>
      </c>
      <c r="AU870" s="69">
        <v>52.2</v>
      </c>
      <c r="CD870" s="91">
        <f t="shared" si="108"/>
        <v>6570</v>
      </c>
      <c r="CE870" s="69">
        <f t="shared" si="109"/>
        <v>0</v>
      </c>
      <c r="CF870" s="75">
        <f t="shared" si="106"/>
        <v>8049</v>
      </c>
      <c r="CG870" s="69" t="str">
        <f t="shared" si="106"/>
        <v>خ ت صيدلة</v>
      </c>
    </row>
    <row r="871" spans="2:85" x14ac:dyDescent="0.25">
      <c r="C871" s="82">
        <v>11909</v>
      </c>
      <c r="D871" s="78">
        <v>8050</v>
      </c>
      <c r="E871" s="69" t="s">
        <v>119</v>
      </c>
      <c r="F871" s="69" t="s">
        <v>2053</v>
      </c>
      <c r="G871" s="69"/>
      <c r="H871" s="69">
        <v>1989.47</v>
      </c>
      <c r="U871" s="69"/>
      <c r="V871" s="69"/>
      <c r="AS871" s="91">
        <f t="shared" si="107"/>
        <v>1989.47</v>
      </c>
      <c r="AT871" s="69">
        <v>1974.92</v>
      </c>
      <c r="AU871" s="69">
        <v>14.55</v>
      </c>
      <c r="CD871" s="91">
        <f t="shared" si="108"/>
        <v>1989.47</v>
      </c>
      <c r="CE871" s="69">
        <f t="shared" si="109"/>
        <v>0</v>
      </c>
      <c r="CF871" s="75">
        <f t="shared" si="106"/>
        <v>8050</v>
      </c>
      <c r="CG871" s="69" t="str">
        <f t="shared" si="106"/>
        <v>خ ت صيدلة</v>
      </c>
    </row>
    <row r="872" spans="2:85" x14ac:dyDescent="0.25">
      <c r="C872" s="82">
        <v>11937</v>
      </c>
      <c r="D872" s="78">
        <v>8051</v>
      </c>
      <c r="E872" s="69" t="s">
        <v>119</v>
      </c>
      <c r="F872" s="69" t="s">
        <v>2053</v>
      </c>
      <c r="G872" s="69"/>
      <c r="H872" s="69">
        <v>6660</v>
      </c>
      <c r="U872" s="69"/>
      <c r="V872" s="69"/>
      <c r="AS872" s="91">
        <f t="shared" si="107"/>
        <v>6660</v>
      </c>
      <c r="AT872" s="69">
        <v>6607.1</v>
      </c>
      <c r="AU872" s="69">
        <v>52.9</v>
      </c>
      <c r="CD872" s="91">
        <f t="shared" si="108"/>
        <v>6660</v>
      </c>
      <c r="CE872" s="69">
        <f t="shared" si="109"/>
        <v>0</v>
      </c>
      <c r="CF872" s="75">
        <f t="shared" si="106"/>
        <v>8051</v>
      </c>
      <c r="CG872" s="69" t="str">
        <f t="shared" si="106"/>
        <v>خ ت صيدلة</v>
      </c>
    </row>
    <row r="873" spans="2:85" x14ac:dyDescent="0.25">
      <c r="C873" s="82">
        <v>11936</v>
      </c>
      <c r="D873" s="78">
        <v>8052</v>
      </c>
      <c r="E873" s="69" t="s">
        <v>119</v>
      </c>
      <c r="F873" s="69" t="s">
        <v>2053</v>
      </c>
      <c r="G873" s="69"/>
      <c r="H873" s="69">
        <v>3191.74</v>
      </c>
      <c r="U873" s="69"/>
      <c r="V873" s="69"/>
      <c r="AS873" s="91">
        <f t="shared" si="107"/>
        <v>3191.74</v>
      </c>
      <c r="AT873" s="69">
        <v>3168.54</v>
      </c>
      <c r="AU873" s="69">
        <v>23.2</v>
      </c>
      <c r="CD873" s="91">
        <f t="shared" si="108"/>
        <v>3191.74</v>
      </c>
      <c r="CE873" s="69">
        <f t="shared" si="109"/>
        <v>0</v>
      </c>
      <c r="CF873" s="75">
        <f t="shared" si="106"/>
        <v>8052</v>
      </c>
      <c r="CG873" s="69" t="str">
        <f t="shared" si="106"/>
        <v>خ ت صيدلة</v>
      </c>
    </row>
    <row r="874" spans="2:85" x14ac:dyDescent="0.25">
      <c r="C874" s="82">
        <v>11899</v>
      </c>
      <c r="D874" s="78">
        <v>8053</v>
      </c>
      <c r="E874" s="69" t="s">
        <v>119</v>
      </c>
      <c r="F874" s="69" t="s">
        <v>2053</v>
      </c>
      <c r="G874" s="69"/>
      <c r="H874" s="69">
        <v>2362.5</v>
      </c>
      <c r="U874" s="69"/>
      <c r="V874" s="69"/>
      <c r="AS874" s="91">
        <f t="shared" si="107"/>
        <v>2362.5</v>
      </c>
      <c r="AT874" s="69">
        <v>2345.15</v>
      </c>
      <c r="AU874" s="69">
        <v>17.350000000000001</v>
      </c>
      <c r="CD874" s="91">
        <f t="shared" si="108"/>
        <v>2362.5</v>
      </c>
      <c r="CE874" s="69">
        <f t="shared" si="109"/>
        <v>0</v>
      </c>
      <c r="CF874" s="75">
        <f t="shared" si="106"/>
        <v>8053</v>
      </c>
      <c r="CG874" s="69" t="str">
        <f t="shared" si="106"/>
        <v>خ ت صيدلة</v>
      </c>
    </row>
    <row r="875" spans="2:85" x14ac:dyDescent="0.25">
      <c r="C875" s="82">
        <v>11912</v>
      </c>
      <c r="D875" s="78">
        <v>8054</v>
      </c>
      <c r="E875" s="69" t="s">
        <v>119</v>
      </c>
      <c r="F875" s="69" t="s">
        <v>2053</v>
      </c>
      <c r="G875" s="69"/>
      <c r="H875" s="69">
        <v>2216.84</v>
      </c>
      <c r="U875" s="69"/>
      <c r="V875" s="69"/>
      <c r="AS875" s="91">
        <f t="shared" si="107"/>
        <v>2216.84</v>
      </c>
      <c r="AT875" s="69">
        <v>2200.59</v>
      </c>
      <c r="AU875" s="69">
        <v>16.25</v>
      </c>
      <c r="CD875" s="91">
        <f t="shared" si="108"/>
        <v>2216.84</v>
      </c>
      <c r="CE875" s="69">
        <f t="shared" si="109"/>
        <v>0</v>
      </c>
      <c r="CF875" s="75">
        <f t="shared" si="106"/>
        <v>8054</v>
      </c>
      <c r="CG875" s="69" t="str">
        <f t="shared" si="106"/>
        <v>خ ت صيدلة</v>
      </c>
    </row>
    <row r="876" spans="2:85" x14ac:dyDescent="0.25">
      <c r="C876" s="82">
        <v>11911</v>
      </c>
      <c r="D876" s="78">
        <v>8055</v>
      </c>
      <c r="E876" s="69" t="s">
        <v>119</v>
      </c>
      <c r="F876" s="69" t="s">
        <v>2053</v>
      </c>
      <c r="G876" s="69"/>
      <c r="H876" s="69">
        <v>5353.25</v>
      </c>
      <c r="U876" s="69"/>
      <c r="V876" s="69"/>
      <c r="AS876" s="91">
        <f t="shared" si="107"/>
        <v>5353.25</v>
      </c>
      <c r="AT876" s="69">
        <v>5310.8</v>
      </c>
      <c r="AU876" s="69">
        <v>42.45</v>
      </c>
      <c r="CD876" s="91">
        <f t="shared" si="108"/>
        <v>5353.25</v>
      </c>
      <c r="CE876" s="69">
        <f t="shared" si="109"/>
        <v>0</v>
      </c>
      <c r="CF876" s="75">
        <f t="shared" si="106"/>
        <v>8055</v>
      </c>
      <c r="CG876" s="69" t="str">
        <f t="shared" si="106"/>
        <v>خ ت صيدلة</v>
      </c>
    </row>
    <row r="877" spans="2:85" x14ac:dyDescent="0.25">
      <c r="C877" s="82">
        <v>11910</v>
      </c>
      <c r="D877" s="78">
        <v>8056</v>
      </c>
      <c r="E877" s="69" t="s">
        <v>119</v>
      </c>
      <c r="F877" s="69" t="s">
        <v>2053</v>
      </c>
      <c r="G877" s="69"/>
      <c r="H877" s="69">
        <v>2141.0500000000002</v>
      </c>
      <c r="U877" s="69"/>
      <c r="V877" s="69"/>
      <c r="AS877" s="91">
        <f t="shared" si="107"/>
        <v>2141.0500000000002</v>
      </c>
      <c r="AT877" s="69">
        <v>2125.35</v>
      </c>
      <c r="AU877" s="69">
        <v>15.7</v>
      </c>
      <c r="CD877" s="91">
        <f t="shared" si="108"/>
        <v>2141.0499999999997</v>
      </c>
      <c r="CE877" s="69">
        <f t="shared" si="109"/>
        <v>0</v>
      </c>
      <c r="CF877" s="75">
        <f t="shared" si="106"/>
        <v>8056</v>
      </c>
      <c r="CG877" s="69" t="str">
        <f t="shared" si="106"/>
        <v>خ ت صيدلة</v>
      </c>
    </row>
    <row r="878" spans="2:85" x14ac:dyDescent="0.25">
      <c r="C878" s="82">
        <v>11908</v>
      </c>
      <c r="D878" s="78">
        <v>8057</v>
      </c>
      <c r="E878" s="69" t="s">
        <v>119</v>
      </c>
      <c r="F878" s="69" t="s">
        <v>2053</v>
      </c>
      <c r="G878" s="69"/>
      <c r="H878" s="69">
        <v>5414.97</v>
      </c>
      <c r="U878" s="69"/>
      <c r="V878" s="69"/>
      <c r="AS878" s="91">
        <f t="shared" si="107"/>
        <v>5414.97</v>
      </c>
      <c r="AT878" s="69">
        <v>5372.02</v>
      </c>
      <c r="AU878" s="69">
        <v>42.95</v>
      </c>
      <c r="CD878" s="91">
        <f t="shared" si="108"/>
        <v>5414.97</v>
      </c>
      <c r="CE878" s="69">
        <f t="shared" si="109"/>
        <v>0</v>
      </c>
      <c r="CF878" s="75">
        <f t="shared" si="106"/>
        <v>8057</v>
      </c>
      <c r="CG878" s="69" t="str">
        <f t="shared" si="106"/>
        <v>خ ت صيدلة</v>
      </c>
    </row>
    <row r="879" spans="2:85" x14ac:dyDescent="0.25">
      <c r="C879" s="82">
        <v>11913</v>
      </c>
      <c r="D879" s="78">
        <v>8058</v>
      </c>
      <c r="E879" s="69" t="s">
        <v>119</v>
      </c>
      <c r="F879" s="69" t="s">
        <v>2053</v>
      </c>
      <c r="G879" s="69"/>
      <c r="H879" s="69">
        <v>5497.25</v>
      </c>
      <c r="U879" s="69"/>
      <c r="V879" s="69"/>
      <c r="AS879" s="91">
        <f t="shared" si="107"/>
        <v>5497.25</v>
      </c>
      <c r="AT879" s="69">
        <v>5453.65</v>
      </c>
      <c r="AU879" s="69">
        <v>43.6</v>
      </c>
      <c r="CD879" s="91">
        <f t="shared" si="108"/>
        <v>5497.25</v>
      </c>
      <c r="CE879" s="69">
        <f t="shared" si="109"/>
        <v>0</v>
      </c>
      <c r="CF879" s="75">
        <f t="shared" si="106"/>
        <v>8058</v>
      </c>
      <c r="CG879" s="69" t="str">
        <f t="shared" si="106"/>
        <v>خ ت صيدلة</v>
      </c>
    </row>
    <row r="880" spans="2:85" x14ac:dyDescent="0.25">
      <c r="C880" s="82">
        <v>11919</v>
      </c>
      <c r="D880" s="78">
        <v>8059</v>
      </c>
      <c r="E880" s="69" t="s">
        <v>119</v>
      </c>
      <c r="F880" s="69" t="s">
        <v>2053</v>
      </c>
      <c r="G880" s="69"/>
      <c r="H880" s="69">
        <v>2295</v>
      </c>
      <c r="U880" s="69"/>
      <c r="V880" s="69"/>
      <c r="AS880" s="91">
        <f t="shared" si="107"/>
        <v>2295</v>
      </c>
      <c r="AT880" s="69">
        <v>2278.5</v>
      </c>
      <c r="AU880" s="69">
        <v>16.5</v>
      </c>
      <c r="CD880" s="91">
        <f t="shared" si="108"/>
        <v>2295</v>
      </c>
      <c r="CE880" s="69">
        <f t="shared" si="109"/>
        <v>0</v>
      </c>
      <c r="CF880" s="75">
        <f t="shared" si="106"/>
        <v>8059</v>
      </c>
      <c r="CG880" s="69" t="str">
        <f t="shared" si="106"/>
        <v>خ ت صيدلة</v>
      </c>
    </row>
    <row r="881" spans="3:85" x14ac:dyDescent="0.25">
      <c r="C881" s="82">
        <v>11918</v>
      </c>
      <c r="D881" s="78">
        <v>8060</v>
      </c>
      <c r="E881" s="69" t="s">
        <v>119</v>
      </c>
      <c r="F881" s="69" t="s">
        <v>2053</v>
      </c>
      <c r="G881" s="69"/>
      <c r="H881" s="69">
        <v>6660</v>
      </c>
      <c r="U881" s="69"/>
      <c r="V881" s="69"/>
      <c r="AS881" s="91">
        <f t="shared" si="107"/>
        <v>6660</v>
      </c>
      <c r="AT881" s="69">
        <v>6607.1</v>
      </c>
      <c r="AU881" s="69">
        <v>52.9</v>
      </c>
      <c r="CD881" s="91">
        <f t="shared" si="108"/>
        <v>6660</v>
      </c>
      <c r="CE881" s="69">
        <f t="shared" si="109"/>
        <v>0</v>
      </c>
      <c r="CF881" s="75">
        <f t="shared" si="106"/>
        <v>8060</v>
      </c>
      <c r="CG881" s="69" t="str">
        <f t="shared" si="106"/>
        <v>خ ت صيدلة</v>
      </c>
    </row>
    <row r="882" spans="3:85" x14ac:dyDescent="0.25">
      <c r="C882" s="82">
        <v>11917</v>
      </c>
      <c r="D882" s="78">
        <v>8061</v>
      </c>
      <c r="E882" s="69" t="s">
        <v>119</v>
      </c>
      <c r="F882" s="69" t="s">
        <v>2053</v>
      </c>
      <c r="G882" s="69"/>
      <c r="H882" s="69">
        <v>1800</v>
      </c>
      <c r="U882" s="69"/>
      <c r="V882" s="69"/>
      <c r="AS882" s="91">
        <f t="shared" si="107"/>
        <v>1800</v>
      </c>
      <c r="AT882" s="69">
        <v>1786.85</v>
      </c>
      <c r="AU882" s="69">
        <v>13.15</v>
      </c>
      <c r="CD882" s="91">
        <f t="shared" si="108"/>
        <v>1800</v>
      </c>
      <c r="CE882" s="69">
        <f t="shared" si="109"/>
        <v>0</v>
      </c>
      <c r="CF882" s="75">
        <f t="shared" si="106"/>
        <v>8061</v>
      </c>
      <c r="CG882" s="69" t="str">
        <f t="shared" si="106"/>
        <v>خ ت صيدلة</v>
      </c>
    </row>
    <row r="883" spans="3:85" x14ac:dyDescent="0.25">
      <c r="C883" s="82">
        <v>11916</v>
      </c>
      <c r="D883" s="78">
        <v>8062</v>
      </c>
      <c r="E883" s="69" t="s">
        <v>119</v>
      </c>
      <c r="F883" s="69" t="s">
        <v>2053</v>
      </c>
      <c r="G883" s="69"/>
      <c r="H883" s="69">
        <v>7104</v>
      </c>
      <c r="U883" s="69"/>
      <c r="V883" s="69"/>
      <c r="AS883" s="91">
        <f t="shared" si="107"/>
        <v>7104</v>
      </c>
      <c r="AT883" s="69">
        <v>7047.55</v>
      </c>
      <c r="AU883" s="69">
        <v>56.45</v>
      </c>
      <c r="CD883" s="91">
        <f t="shared" si="108"/>
        <v>7104</v>
      </c>
      <c r="CE883" s="69">
        <f t="shared" si="109"/>
        <v>0</v>
      </c>
      <c r="CF883" s="75">
        <f t="shared" si="106"/>
        <v>8062</v>
      </c>
      <c r="CG883" s="69" t="str">
        <f t="shared" si="106"/>
        <v>خ ت صيدلة</v>
      </c>
    </row>
    <row r="884" spans="3:85" x14ac:dyDescent="0.25">
      <c r="C884" s="82">
        <v>11915</v>
      </c>
      <c r="D884" s="78">
        <v>8063</v>
      </c>
      <c r="E884" s="69" t="s">
        <v>119</v>
      </c>
      <c r="F884" s="69" t="s">
        <v>2053</v>
      </c>
      <c r="G884" s="69"/>
      <c r="H884" s="69">
        <v>1185</v>
      </c>
      <c r="U884" s="69"/>
      <c r="V884" s="69"/>
      <c r="AS884" s="91">
        <f t="shared" si="107"/>
        <v>1185</v>
      </c>
      <c r="AT884" s="69">
        <v>1176.45</v>
      </c>
      <c r="AU884" s="69">
        <v>8.5500000000000007</v>
      </c>
      <c r="CD884" s="91">
        <f t="shared" si="108"/>
        <v>1185</v>
      </c>
      <c r="CE884" s="69">
        <f t="shared" si="109"/>
        <v>0</v>
      </c>
      <c r="CF884" s="75">
        <f t="shared" si="106"/>
        <v>8063</v>
      </c>
      <c r="CG884" s="69" t="str">
        <f t="shared" si="106"/>
        <v>خ ت صيدلة</v>
      </c>
    </row>
    <row r="885" spans="3:85" x14ac:dyDescent="0.25">
      <c r="C885" s="82">
        <v>11914</v>
      </c>
      <c r="D885" s="78">
        <v>8064</v>
      </c>
      <c r="E885" s="69" t="s">
        <v>119</v>
      </c>
      <c r="F885" s="69" t="s">
        <v>2053</v>
      </c>
      <c r="G885" s="69"/>
      <c r="H885" s="69">
        <v>4470</v>
      </c>
      <c r="U885" s="69"/>
      <c r="V885" s="69"/>
      <c r="AS885" s="91">
        <f t="shared" si="107"/>
        <v>4470</v>
      </c>
      <c r="AT885" s="69">
        <v>4436.8500000000004</v>
      </c>
      <c r="AU885" s="69">
        <v>33.15</v>
      </c>
      <c r="CD885" s="91">
        <f t="shared" si="108"/>
        <v>4470</v>
      </c>
      <c r="CE885" s="69">
        <f t="shared" si="109"/>
        <v>0</v>
      </c>
      <c r="CF885" s="75">
        <f t="shared" si="106"/>
        <v>8064</v>
      </c>
      <c r="CG885" s="69" t="str">
        <f t="shared" si="106"/>
        <v>خ ت صيدلة</v>
      </c>
    </row>
    <row r="886" spans="3:85" x14ac:dyDescent="0.25">
      <c r="C886" s="82">
        <v>11930</v>
      </c>
      <c r="D886" s="78">
        <v>8065</v>
      </c>
      <c r="E886" s="69" t="s">
        <v>119</v>
      </c>
      <c r="F886" s="69" t="s">
        <v>2053</v>
      </c>
      <c r="G886" s="69"/>
      <c r="H886" s="69">
        <v>14899.94</v>
      </c>
      <c r="U886" s="69"/>
      <c r="V886" s="69"/>
      <c r="AS886" s="91">
        <f t="shared" si="107"/>
        <v>14899.94</v>
      </c>
      <c r="AT886" s="69">
        <v>14805.64</v>
      </c>
      <c r="AU886" s="69">
        <v>94.3</v>
      </c>
      <c r="CD886" s="91">
        <f t="shared" si="108"/>
        <v>14899.939999999999</v>
      </c>
      <c r="CE886" s="69">
        <f t="shared" si="109"/>
        <v>0</v>
      </c>
      <c r="CF886" s="75">
        <f t="shared" si="106"/>
        <v>8065</v>
      </c>
      <c r="CG886" s="69" t="str">
        <f t="shared" si="106"/>
        <v>خ ت صيدلة</v>
      </c>
    </row>
    <row r="887" spans="3:85" x14ac:dyDescent="0.25">
      <c r="C887" s="82">
        <v>11929</v>
      </c>
      <c r="D887" s="78">
        <v>8066</v>
      </c>
      <c r="E887" s="69" t="s">
        <v>119</v>
      </c>
      <c r="F887" s="69" t="s">
        <v>2053</v>
      </c>
      <c r="G887" s="69"/>
      <c r="H887" s="69">
        <v>2930.53</v>
      </c>
      <c r="U887" s="69"/>
      <c r="V887" s="69"/>
      <c r="AS887" s="91">
        <f t="shared" si="107"/>
        <v>2930.53</v>
      </c>
      <c r="AT887" s="69">
        <v>2908.93</v>
      </c>
      <c r="AU887" s="69">
        <v>21.6</v>
      </c>
      <c r="CD887" s="91">
        <f t="shared" si="108"/>
        <v>2930.5299999999997</v>
      </c>
      <c r="CE887" s="69">
        <f t="shared" si="109"/>
        <v>0</v>
      </c>
      <c r="CF887" s="75">
        <f t="shared" si="106"/>
        <v>8066</v>
      </c>
      <c r="CG887" s="69" t="str">
        <f t="shared" si="106"/>
        <v>خ ت صيدلة</v>
      </c>
    </row>
    <row r="888" spans="3:85" x14ac:dyDescent="0.25">
      <c r="C888" s="82">
        <v>11928</v>
      </c>
      <c r="D888" s="78">
        <v>8067</v>
      </c>
      <c r="E888" s="69" t="s">
        <v>119</v>
      </c>
      <c r="F888" s="69" t="s">
        <v>2053</v>
      </c>
      <c r="G888" s="69"/>
      <c r="H888" s="69">
        <v>14614.58</v>
      </c>
      <c r="U888" s="69"/>
      <c r="V888" s="69"/>
      <c r="AS888" s="91">
        <f t="shared" si="107"/>
        <v>14614.58</v>
      </c>
      <c r="AT888" s="69">
        <v>14521.13</v>
      </c>
      <c r="AU888" s="69">
        <v>93.45</v>
      </c>
      <c r="CD888" s="91">
        <f t="shared" si="108"/>
        <v>14614.58</v>
      </c>
      <c r="CE888" s="69">
        <f t="shared" si="109"/>
        <v>0</v>
      </c>
      <c r="CF888" s="75">
        <f t="shared" si="106"/>
        <v>8067</v>
      </c>
      <c r="CG888" s="69" t="str">
        <f t="shared" si="106"/>
        <v>خ ت صيدلة</v>
      </c>
    </row>
    <row r="889" spans="3:85" x14ac:dyDescent="0.25">
      <c r="C889" s="82">
        <v>11927</v>
      </c>
      <c r="D889" s="78">
        <v>8068</v>
      </c>
      <c r="E889" s="69" t="s">
        <v>119</v>
      </c>
      <c r="F889" s="69" t="s">
        <v>2053</v>
      </c>
      <c r="G889" s="69"/>
      <c r="H889" s="69">
        <v>12441.77</v>
      </c>
      <c r="U889" s="69"/>
      <c r="V889" s="69"/>
      <c r="AS889" s="91">
        <f t="shared" si="107"/>
        <v>12441.77</v>
      </c>
      <c r="AT889" s="69">
        <v>12354.82</v>
      </c>
      <c r="AU889" s="69">
        <v>86.95</v>
      </c>
      <c r="CD889" s="91">
        <f t="shared" si="108"/>
        <v>12441.77</v>
      </c>
      <c r="CE889" s="69">
        <f t="shared" si="109"/>
        <v>0</v>
      </c>
      <c r="CF889" s="75">
        <f t="shared" si="106"/>
        <v>8068</v>
      </c>
      <c r="CG889" s="69" t="str">
        <f t="shared" si="106"/>
        <v>خ ت صيدلة</v>
      </c>
    </row>
    <row r="890" spans="3:85" x14ac:dyDescent="0.25">
      <c r="C890" s="82">
        <v>11926</v>
      </c>
      <c r="D890" s="78">
        <v>8069</v>
      </c>
      <c r="E890" s="69" t="s">
        <v>119</v>
      </c>
      <c r="F890" s="69" t="s">
        <v>2053</v>
      </c>
      <c r="G890" s="69"/>
      <c r="H890" s="69">
        <v>164.57</v>
      </c>
      <c r="U890" s="69"/>
      <c r="V890" s="69"/>
      <c r="AS890" s="91">
        <f t="shared" si="107"/>
        <v>164.57</v>
      </c>
      <c r="AT890" s="69">
        <v>163.87</v>
      </c>
      <c r="AU890" s="69">
        <v>0.7</v>
      </c>
      <c r="CD890" s="91">
        <f t="shared" si="108"/>
        <v>164.57</v>
      </c>
      <c r="CE890" s="69">
        <f t="shared" si="109"/>
        <v>0</v>
      </c>
      <c r="CF890" s="75">
        <f t="shared" si="106"/>
        <v>8069</v>
      </c>
      <c r="CG890" s="69" t="str">
        <f t="shared" si="106"/>
        <v>خ ت صيدلة</v>
      </c>
    </row>
    <row r="891" spans="3:85" x14ac:dyDescent="0.25">
      <c r="C891" s="82">
        <v>11925</v>
      </c>
      <c r="D891" s="78">
        <v>8070</v>
      </c>
      <c r="E891" s="69" t="s">
        <v>119</v>
      </c>
      <c r="F891" s="69" t="s">
        <v>2053</v>
      </c>
      <c r="G891" s="69"/>
      <c r="H891" s="69">
        <v>17360.61</v>
      </c>
      <c r="U891" s="69"/>
      <c r="V891" s="69"/>
      <c r="AS891" s="91">
        <f t="shared" si="107"/>
        <v>17360.61</v>
      </c>
      <c r="AT891" s="69">
        <v>17258.91</v>
      </c>
      <c r="AU891" s="69">
        <v>101.7</v>
      </c>
      <c r="CD891" s="91">
        <f t="shared" si="108"/>
        <v>17360.61</v>
      </c>
      <c r="CE891" s="69">
        <f t="shared" si="109"/>
        <v>0</v>
      </c>
      <c r="CF891" s="75">
        <f t="shared" si="106"/>
        <v>8070</v>
      </c>
      <c r="CG891" s="69" t="str">
        <f t="shared" si="106"/>
        <v>خ ت صيدلة</v>
      </c>
    </row>
    <row r="892" spans="3:85" x14ac:dyDescent="0.25">
      <c r="C892" s="82">
        <v>11923</v>
      </c>
      <c r="D892" s="78">
        <v>8071</v>
      </c>
      <c r="E892" s="69" t="s">
        <v>119</v>
      </c>
      <c r="F892" s="69" t="s">
        <v>2053</v>
      </c>
      <c r="G892" s="69"/>
      <c r="H892" s="69">
        <v>3625.51</v>
      </c>
      <c r="U892" s="69"/>
      <c r="V892" s="69"/>
      <c r="AS892" s="91">
        <f t="shared" si="107"/>
        <v>3625.51</v>
      </c>
      <c r="AT892" s="69">
        <v>3598.66</v>
      </c>
      <c r="AU892" s="69">
        <v>26.85</v>
      </c>
      <c r="CD892" s="91">
        <f t="shared" si="108"/>
        <v>3625.5099999999998</v>
      </c>
      <c r="CE892" s="69">
        <f t="shared" si="109"/>
        <v>0</v>
      </c>
      <c r="CF892" s="75">
        <f t="shared" si="106"/>
        <v>8071</v>
      </c>
      <c r="CG892" s="69" t="str">
        <f t="shared" si="106"/>
        <v>خ ت صيدلة</v>
      </c>
    </row>
    <row r="893" spans="3:85" x14ac:dyDescent="0.25">
      <c r="C893" s="82">
        <v>11921</v>
      </c>
      <c r="D893" s="78">
        <v>8072</v>
      </c>
      <c r="E893" s="69" t="s">
        <v>119</v>
      </c>
      <c r="F893" s="69" t="s">
        <v>2053</v>
      </c>
      <c r="G893" s="69"/>
      <c r="H893" s="69">
        <v>5984.56</v>
      </c>
      <c r="U893" s="69"/>
      <c r="V893" s="69"/>
      <c r="AS893" s="91">
        <f t="shared" si="107"/>
        <v>5984.56</v>
      </c>
      <c r="AT893" s="69">
        <v>5937.06</v>
      </c>
      <c r="AU893" s="69">
        <v>47.5</v>
      </c>
      <c r="CD893" s="91">
        <f t="shared" si="108"/>
        <v>5984.56</v>
      </c>
      <c r="CE893" s="69">
        <f t="shared" si="109"/>
        <v>0</v>
      </c>
      <c r="CF893" s="75">
        <f t="shared" si="106"/>
        <v>8072</v>
      </c>
      <c r="CG893" s="69" t="str">
        <f t="shared" si="106"/>
        <v>خ ت صيدلة</v>
      </c>
    </row>
    <row r="894" spans="3:85" x14ac:dyDescent="0.25">
      <c r="C894" s="82">
        <v>11922</v>
      </c>
      <c r="D894" s="78">
        <v>8073</v>
      </c>
      <c r="E894" s="69" t="s">
        <v>119</v>
      </c>
      <c r="F894" s="69" t="s">
        <v>2053</v>
      </c>
      <c r="G894" s="69"/>
      <c r="H894" s="69">
        <v>12441.77</v>
      </c>
      <c r="U894" s="69"/>
      <c r="V894" s="69"/>
      <c r="AS894" s="91">
        <f t="shared" si="107"/>
        <v>12441.77</v>
      </c>
      <c r="AT894" s="69">
        <v>12354.82</v>
      </c>
      <c r="AU894" s="69">
        <v>86.95</v>
      </c>
      <c r="CD894" s="91">
        <f t="shared" si="108"/>
        <v>12441.77</v>
      </c>
      <c r="CE894" s="69">
        <f t="shared" si="109"/>
        <v>0</v>
      </c>
      <c r="CF894" s="75">
        <f t="shared" si="106"/>
        <v>8073</v>
      </c>
      <c r="CG894" s="69" t="str">
        <f t="shared" si="106"/>
        <v>خ ت صيدلة</v>
      </c>
    </row>
    <row r="895" spans="3:85" x14ac:dyDescent="0.25">
      <c r="C895" s="82">
        <v>11920</v>
      </c>
      <c r="D895" s="78">
        <v>8074</v>
      </c>
      <c r="E895" s="69" t="s">
        <v>119</v>
      </c>
      <c r="F895" s="69" t="s">
        <v>2053</v>
      </c>
      <c r="G895" s="69"/>
      <c r="H895" s="69">
        <v>1845</v>
      </c>
      <c r="U895" s="69"/>
      <c r="V895" s="69"/>
      <c r="AS895" s="91">
        <f t="shared" si="107"/>
        <v>1845</v>
      </c>
      <c r="AT895" s="69">
        <v>1831.5</v>
      </c>
      <c r="AU895" s="69">
        <v>13.5</v>
      </c>
      <c r="CD895" s="91">
        <f t="shared" si="108"/>
        <v>1845</v>
      </c>
      <c r="CE895" s="69">
        <f t="shared" si="109"/>
        <v>0</v>
      </c>
      <c r="CF895" s="75">
        <f t="shared" si="106"/>
        <v>8074</v>
      </c>
      <c r="CG895" s="69" t="str">
        <f t="shared" si="106"/>
        <v>خ ت صيدلة</v>
      </c>
    </row>
    <row r="896" spans="3:85" x14ac:dyDescent="0.25">
      <c r="C896" s="82">
        <v>11932</v>
      </c>
      <c r="D896" s="78">
        <v>8075</v>
      </c>
      <c r="E896" s="69" t="s">
        <v>119</v>
      </c>
      <c r="F896" s="69" t="s">
        <v>2053</v>
      </c>
      <c r="G896" s="69"/>
      <c r="H896" s="69">
        <v>4357.8900000000003</v>
      </c>
      <c r="U896" s="69"/>
      <c r="V896" s="69"/>
      <c r="AS896" s="91">
        <f t="shared" si="107"/>
        <v>4357.8900000000003</v>
      </c>
      <c r="AT896" s="69">
        <v>4325.54</v>
      </c>
      <c r="AU896" s="69">
        <v>32.35</v>
      </c>
      <c r="CD896" s="91">
        <f t="shared" si="108"/>
        <v>4357.8900000000003</v>
      </c>
      <c r="CE896" s="69">
        <f t="shared" si="109"/>
        <v>0</v>
      </c>
      <c r="CF896" s="75">
        <f t="shared" si="106"/>
        <v>8075</v>
      </c>
      <c r="CG896" s="69" t="str">
        <f t="shared" si="106"/>
        <v>خ ت صيدلة</v>
      </c>
    </row>
    <row r="897" spans="2:85" x14ac:dyDescent="0.25">
      <c r="C897" s="82">
        <v>11933</v>
      </c>
      <c r="D897" s="78">
        <v>8076</v>
      </c>
      <c r="E897" s="69" t="s">
        <v>119</v>
      </c>
      <c r="F897" s="69" t="s">
        <v>2053</v>
      </c>
      <c r="G897" s="69"/>
      <c r="H897" s="69">
        <v>3810.73</v>
      </c>
      <c r="U897" s="69"/>
      <c r="V897" s="69"/>
      <c r="AS897" s="91">
        <f t="shared" si="107"/>
        <v>3810.73</v>
      </c>
      <c r="AT897" s="69">
        <v>3782.48</v>
      </c>
      <c r="AU897" s="69">
        <v>28.25</v>
      </c>
      <c r="CD897" s="91">
        <f t="shared" ref="CD897:CD1024" si="110">SUM(AT897:CC897)</f>
        <v>3810.73</v>
      </c>
      <c r="CE897" s="69">
        <f t="shared" si="109"/>
        <v>0</v>
      </c>
      <c r="CF897" s="75">
        <f t="shared" ref="CF897:CG953" si="111">+D897</f>
        <v>8076</v>
      </c>
      <c r="CG897" s="69" t="str">
        <f t="shared" si="111"/>
        <v>خ ت صيدلة</v>
      </c>
    </row>
    <row r="898" spans="2:85" x14ac:dyDescent="0.25">
      <c r="C898" s="82">
        <v>11934</v>
      </c>
      <c r="D898" s="78">
        <v>8077</v>
      </c>
      <c r="E898" s="69" t="s">
        <v>119</v>
      </c>
      <c r="F898" s="69" t="s">
        <v>2053</v>
      </c>
      <c r="G898" s="69"/>
      <c r="H898" s="69">
        <v>2905.26</v>
      </c>
      <c r="U898" s="69"/>
      <c r="V898" s="69"/>
      <c r="AS898" s="91">
        <f t="shared" si="107"/>
        <v>2905.26</v>
      </c>
      <c r="AT898" s="69">
        <v>2883.81</v>
      </c>
      <c r="AU898" s="69">
        <v>21.45</v>
      </c>
      <c r="CD898" s="91">
        <f t="shared" si="110"/>
        <v>2905.2599999999998</v>
      </c>
      <c r="CE898" s="69">
        <f t="shared" si="109"/>
        <v>0</v>
      </c>
      <c r="CF898" s="75">
        <f t="shared" si="111"/>
        <v>8077</v>
      </c>
      <c r="CG898" s="69" t="str">
        <f t="shared" si="111"/>
        <v>خ ت صيدلة</v>
      </c>
    </row>
    <row r="899" spans="2:85" x14ac:dyDescent="0.25">
      <c r="C899" s="82">
        <v>11935</v>
      </c>
      <c r="D899" s="78">
        <v>8078</v>
      </c>
      <c r="E899" s="69" t="s">
        <v>119</v>
      </c>
      <c r="F899" s="69" t="s">
        <v>2053</v>
      </c>
      <c r="G899" s="69"/>
      <c r="H899" s="69">
        <v>4945.26</v>
      </c>
      <c r="U899" s="69"/>
      <c r="V899" s="69"/>
      <c r="AS899" s="91">
        <f t="shared" si="107"/>
        <v>4945.26</v>
      </c>
      <c r="AT899" s="69">
        <v>4908.51</v>
      </c>
      <c r="AU899" s="69">
        <v>36.75</v>
      </c>
      <c r="CD899" s="91">
        <f t="shared" si="110"/>
        <v>4945.26</v>
      </c>
      <c r="CE899" s="69">
        <f t="shared" si="109"/>
        <v>0</v>
      </c>
      <c r="CF899" s="75">
        <f t="shared" si="111"/>
        <v>8078</v>
      </c>
      <c r="CG899" s="69" t="str">
        <f t="shared" si="111"/>
        <v>خ ت صيدلة</v>
      </c>
    </row>
    <row r="900" spans="2:85" x14ac:dyDescent="0.25">
      <c r="C900" s="82">
        <v>11931</v>
      </c>
      <c r="D900" s="78">
        <v>8079</v>
      </c>
      <c r="E900" s="69" t="s">
        <v>119</v>
      </c>
      <c r="F900" s="69" t="s">
        <v>2053</v>
      </c>
      <c r="G900" s="69"/>
      <c r="H900" s="69">
        <v>14899.94</v>
      </c>
      <c r="U900" s="69"/>
      <c r="V900" s="69"/>
      <c r="AS900" s="91">
        <f t="shared" si="107"/>
        <v>14899.94</v>
      </c>
      <c r="AT900" s="69">
        <v>14805.64</v>
      </c>
      <c r="AU900" s="69">
        <v>94.3</v>
      </c>
      <c r="CD900" s="91">
        <f t="shared" si="110"/>
        <v>14899.939999999999</v>
      </c>
      <c r="CE900" s="69">
        <f t="shared" si="109"/>
        <v>0</v>
      </c>
      <c r="CF900" s="75">
        <f t="shared" si="111"/>
        <v>8079</v>
      </c>
      <c r="CG900" s="69" t="str">
        <f t="shared" si="111"/>
        <v>خ ت صيدلة</v>
      </c>
    </row>
    <row r="901" spans="2:85" x14ac:dyDescent="0.25">
      <c r="C901" s="82">
        <v>11904</v>
      </c>
      <c r="D901" s="78">
        <v>8080</v>
      </c>
      <c r="E901" s="69" t="s">
        <v>119</v>
      </c>
      <c r="F901" s="69" t="s">
        <v>2053</v>
      </c>
      <c r="G901" s="69"/>
      <c r="H901" s="69">
        <v>1894.74</v>
      </c>
      <c r="U901" s="69"/>
      <c r="V901" s="69"/>
      <c r="AS901" s="91">
        <f t="shared" si="107"/>
        <v>1894.74</v>
      </c>
      <c r="AT901" s="69">
        <v>1880.89</v>
      </c>
      <c r="AU901" s="69">
        <v>13.85</v>
      </c>
      <c r="CD901" s="91">
        <f t="shared" si="110"/>
        <v>1894.74</v>
      </c>
      <c r="CE901" s="69">
        <f t="shared" si="109"/>
        <v>0</v>
      </c>
      <c r="CF901" s="75">
        <f t="shared" si="111"/>
        <v>8080</v>
      </c>
      <c r="CG901" s="69" t="str">
        <f t="shared" si="111"/>
        <v>خ ت صيدلة</v>
      </c>
    </row>
    <row r="902" spans="2:85" x14ac:dyDescent="0.25">
      <c r="C902" s="82">
        <v>11903</v>
      </c>
      <c r="D902" s="78">
        <v>8081</v>
      </c>
      <c r="E902" s="69" t="s">
        <v>119</v>
      </c>
      <c r="F902" s="69" t="s">
        <v>2053</v>
      </c>
      <c r="G902" s="69"/>
      <c r="H902" s="69">
        <v>5867.55</v>
      </c>
      <c r="U902" s="69"/>
      <c r="V902" s="69"/>
      <c r="AS902" s="91">
        <f t="shared" ref="AS902:AS1133" si="112">SUM(H902:AR902)</f>
        <v>5867.55</v>
      </c>
      <c r="AT902" s="69">
        <v>5821</v>
      </c>
      <c r="AU902" s="69">
        <v>46.55</v>
      </c>
      <c r="CD902" s="91">
        <f t="shared" si="110"/>
        <v>5867.55</v>
      </c>
      <c r="CE902" s="69">
        <f t="shared" si="109"/>
        <v>0</v>
      </c>
      <c r="CF902" s="75">
        <f t="shared" si="111"/>
        <v>8081</v>
      </c>
      <c r="CG902" s="69" t="str">
        <f t="shared" si="111"/>
        <v>خ ت صيدلة</v>
      </c>
    </row>
    <row r="903" spans="2:85" x14ac:dyDescent="0.25">
      <c r="C903" s="82">
        <v>11907</v>
      </c>
      <c r="D903" s="78">
        <v>8082</v>
      </c>
      <c r="E903" s="69" t="s">
        <v>119</v>
      </c>
      <c r="F903" s="69" t="s">
        <v>2053</v>
      </c>
      <c r="G903" s="69"/>
      <c r="H903" s="69">
        <v>5332.68</v>
      </c>
      <c r="U903" s="69"/>
      <c r="V903" s="69"/>
      <c r="AS903" s="91">
        <f t="shared" si="112"/>
        <v>5332.68</v>
      </c>
      <c r="AT903" s="69">
        <v>5290.38</v>
      </c>
      <c r="AU903" s="69">
        <v>42.3</v>
      </c>
      <c r="CD903" s="91">
        <f t="shared" si="110"/>
        <v>5332.68</v>
      </c>
      <c r="CE903" s="69">
        <f t="shared" si="109"/>
        <v>0</v>
      </c>
      <c r="CF903" s="75">
        <f t="shared" si="111"/>
        <v>8082</v>
      </c>
      <c r="CG903" s="69" t="str">
        <f t="shared" si="111"/>
        <v>خ ت صيدلة</v>
      </c>
    </row>
    <row r="904" spans="2:85" x14ac:dyDescent="0.25">
      <c r="C904" s="82">
        <v>11906</v>
      </c>
      <c r="D904" s="78">
        <v>8083</v>
      </c>
      <c r="E904" s="69" t="s">
        <v>119</v>
      </c>
      <c r="F904" s="69" t="s">
        <v>2053</v>
      </c>
      <c r="G904" s="69"/>
      <c r="H904" s="69">
        <v>1364.21</v>
      </c>
      <c r="U904" s="69"/>
      <c r="V904" s="69"/>
      <c r="AS904" s="91">
        <f t="shared" si="112"/>
        <v>1364.21</v>
      </c>
      <c r="AT904" s="69">
        <v>1354.31</v>
      </c>
      <c r="AU904" s="69">
        <v>9.9</v>
      </c>
      <c r="CD904" s="91">
        <f t="shared" si="110"/>
        <v>1364.21</v>
      </c>
      <c r="CE904" s="69">
        <f t="shared" si="109"/>
        <v>0</v>
      </c>
      <c r="CF904" s="75">
        <f t="shared" si="111"/>
        <v>8083</v>
      </c>
      <c r="CG904" s="69" t="str">
        <f t="shared" si="111"/>
        <v>خ ت صيدلة</v>
      </c>
    </row>
    <row r="905" spans="2:85" x14ac:dyDescent="0.25">
      <c r="C905" s="82">
        <v>11905</v>
      </c>
      <c r="D905" s="78">
        <v>8084</v>
      </c>
      <c r="E905" s="69" t="s">
        <v>119</v>
      </c>
      <c r="F905" s="69" t="s">
        <v>2053</v>
      </c>
      <c r="G905" s="69"/>
      <c r="H905" s="69">
        <v>1097.1400000000001</v>
      </c>
      <c r="U905" s="69"/>
      <c r="V905" s="69"/>
      <c r="AS905" s="91">
        <f t="shared" si="112"/>
        <v>1097.1400000000001</v>
      </c>
      <c r="AT905" s="69">
        <v>1089.29</v>
      </c>
      <c r="AU905" s="69">
        <v>7.85</v>
      </c>
      <c r="CD905" s="91">
        <f t="shared" si="110"/>
        <v>1097.1399999999999</v>
      </c>
      <c r="CE905" s="69">
        <f t="shared" si="109"/>
        <v>0</v>
      </c>
      <c r="CF905" s="75">
        <f t="shared" si="111"/>
        <v>8084</v>
      </c>
      <c r="CG905" s="69" t="str">
        <f t="shared" si="111"/>
        <v>خ ت صيدلة</v>
      </c>
    </row>
    <row r="906" spans="2:85" x14ac:dyDescent="0.25">
      <c r="C906" s="82">
        <v>13430</v>
      </c>
      <c r="D906" s="78">
        <v>8085</v>
      </c>
      <c r="E906" s="69" t="s">
        <v>132</v>
      </c>
      <c r="F906" s="69" t="s">
        <v>2054</v>
      </c>
      <c r="G906" s="69"/>
      <c r="H906" s="69">
        <v>24771.45</v>
      </c>
      <c r="U906" s="69"/>
      <c r="V906" s="69"/>
      <c r="AS906" s="91">
        <f t="shared" si="112"/>
        <v>24771.45</v>
      </c>
      <c r="AT906" s="69">
        <v>19418.18</v>
      </c>
      <c r="AU906" s="69">
        <v>2452.1999999999998</v>
      </c>
      <c r="AV906" s="69">
        <v>2901.07</v>
      </c>
      <c r="CD906" s="91">
        <f t="shared" si="110"/>
        <v>24771.45</v>
      </c>
      <c r="CE906" s="69">
        <f t="shared" si="109"/>
        <v>0</v>
      </c>
      <c r="CF906" s="75">
        <f t="shared" si="111"/>
        <v>8085</v>
      </c>
      <c r="CG906" s="69" t="str">
        <f t="shared" si="111"/>
        <v>صيدلة اكلينيكى</v>
      </c>
    </row>
    <row r="907" spans="2:85" x14ac:dyDescent="0.25">
      <c r="C907" s="82">
        <v>13428</v>
      </c>
      <c r="D907" s="78">
        <v>8086</v>
      </c>
      <c r="E907" s="69" t="s">
        <v>132</v>
      </c>
      <c r="F907" s="69" t="s">
        <v>2054</v>
      </c>
      <c r="G907" s="69"/>
      <c r="H907" s="69">
        <v>1172.5</v>
      </c>
      <c r="U907" s="69"/>
      <c r="V907" s="69"/>
      <c r="AS907" s="91">
        <f t="shared" si="112"/>
        <v>1172.5</v>
      </c>
      <c r="AT907" s="69">
        <v>784.1</v>
      </c>
      <c r="AU907" s="69">
        <v>105.9</v>
      </c>
      <c r="AV907" s="69">
        <v>282.5</v>
      </c>
      <c r="CD907" s="91">
        <f t="shared" si="110"/>
        <v>1172.5</v>
      </c>
      <c r="CE907" s="69">
        <f t="shared" si="109"/>
        <v>0</v>
      </c>
      <c r="CF907" s="75">
        <f t="shared" si="111"/>
        <v>8086</v>
      </c>
      <c r="CG907" s="69" t="str">
        <f t="shared" si="111"/>
        <v>صيدلة اكلينيكى</v>
      </c>
    </row>
    <row r="908" spans="2:85" x14ac:dyDescent="0.25">
      <c r="B908" s="69">
        <f>139468.93-84365.4</f>
        <v>55103.53</v>
      </c>
      <c r="C908" s="82">
        <v>13427</v>
      </c>
      <c r="D908" s="78">
        <v>8087</v>
      </c>
      <c r="E908" s="69" t="s">
        <v>132</v>
      </c>
      <c r="F908" s="69" t="s">
        <v>2054</v>
      </c>
      <c r="G908" s="69"/>
      <c r="H908" s="69">
        <v>1172.5</v>
      </c>
      <c r="U908" s="69"/>
      <c r="V908" s="69"/>
      <c r="AS908" s="91">
        <f t="shared" si="112"/>
        <v>1172.5</v>
      </c>
      <c r="AT908" s="69">
        <v>784.1</v>
      </c>
      <c r="AU908" s="69">
        <v>105.9</v>
      </c>
      <c r="AV908" s="69">
        <v>282.5</v>
      </c>
      <c r="CD908" s="91">
        <f t="shared" si="110"/>
        <v>1172.5</v>
      </c>
      <c r="CE908" s="69">
        <f t="shared" si="109"/>
        <v>0</v>
      </c>
      <c r="CF908" s="75">
        <f t="shared" si="111"/>
        <v>8087</v>
      </c>
      <c r="CG908" s="69" t="str">
        <f t="shared" si="111"/>
        <v>صيدلة اكلينيكى</v>
      </c>
    </row>
    <row r="909" spans="2:85" x14ac:dyDescent="0.25">
      <c r="C909" s="82">
        <v>13429</v>
      </c>
      <c r="D909" s="78">
        <v>8088</v>
      </c>
      <c r="E909" s="69" t="s">
        <v>132</v>
      </c>
      <c r="F909" s="69" t="s">
        <v>2054</v>
      </c>
      <c r="G909" s="69"/>
      <c r="H909" s="69">
        <v>1172.5</v>
      </c>
      <c r="U909" s="69"/>
      <c r="V909" s="69"/>
      <c r="AS909" s="91">
        <f t="shared" si="112"/>
        <v>1172.5</v>
      </c>
      <c r="AT909" s="69">
        <v>784.1</v>
      </c>
      <c r="AU909" s="69">
        <v>105.9</v>
      </c>
      <c r="AV909" s="69">
        <v>282.5</v>
      </c>
      <c r="CD909" s="91">
        <f t="shared" si="110"/>
        <v>1172.5</v>
      </c>
      <c r="CE909" s="69">
        <f t="shared" si="109"/>
        <v>0</v>
      </c>
      <c r="CF909" s="75">
        <f t="shared" si="111"/>
        <v>8088</v>
      </c>
      <c r="CG909" s="69" t="str">
        <f t="shared" si="111"/>
        <v>صيدلة اكلينيكى</v>
      </c>
    </row>
    <row r="910" spans="2:85" x14ac:dyDescent="0.25">
      <c r="B910" s="69">
        <f>+B908-55036.98</f>
        <v>66.549999999995634</v>
      </c>
      <c r="C910" s="82">
        <v>13435</v>
      </c>
      <c r="D910" s="78">
        <v>8089</v>
      </c>
      <c r="E910" s="69" t="s">
        <v>132</v>
      </c>
      <c r="F910" s="69" t="s">
        <v>2054</v>
      </c>
      <c r="G910" s="69"/>
      <c r="H910" s="69">
        <v>23934.5</v>
      </c>
      <c r="U910" s="69"/>
      <c r="V910" s="69"/>
      <c r="AS910" s="91">
        <f t="shared" si="112"/>
        <v>23934.5</v>
      </c>
      <c r="AT910" s="69">
        <v>17946.099999999999</v>
      </c>
      <c r="AU910" s="69">
        <v>2311.9</v>
      </c>
      <c r="AV910" s="69">
        <v>3676.5</v>
      </c>
      <c r="CD910" s="91">
        <f t="shared" si="110"/>
        <v>23934.5</v>
      </c>
      <c r="CE910" s="69">
        <f t="shared" si="109"/>
        <v>0</v>
      </c>
      <c r="CF910" s="75">
        <f t="shared" si="111"/>
        <v>8089</v>
      </c>
      <c r="CG910" s="69" t="str">
        <f t="shared" si="111"/>
        <v>صيدلة اكلينيكى</v>
      </c>
    </row>
    <row r="911" spans="2:85" x14ac:dyDescent="0.25">
      <c r="C911" s="82">
        <v>13434</v>
      </c>
      <c r="D911" s="78">
        <v>8090</v>
      </c>
      <c r="E911" s="69" t="s">
        <v>132</v>
      </c>
      <c r="F911" s="69" t="s">
        <v>2054</v>
      </c>
      <c r="G911" s="69"/>
      <c r="H911" s="69">
        <v>1172.5</v>
      </c>
      <c r="U911" s="69"/>
      <c r="V911" s="69"/>
      <c r="AS911" s="91">
        <f t="shared" si="112"/>
        <v>1172.5</v>
      </c>
      <c r="AT911" s="69">
        <v>784.1</v>
      </c>
      <c r="AU911" s="69">
        <v>105.9</v>
      </c>
      <c r="AV911" s="69">
        <v>282.5</v>
      </c>
      <c r="CD911" s="91">
        <f t="shared" si="110"/>
        <v>1172.5</v>
      </c>
      <c r="CE911" s="69">
        <f t="shared" si="109"/>
        <v>0</v>
      </c>
      <c r="CF911" s="75">
        <f t="shared" si="111"/>
        <v>8090</v>
      </c>
      <c r="CG911" s="69" t="str">
        <f t="shared" si="111"/>
        <v>صيدلة اكلينيكى</v>
      </c>
    </row>
    <row r="912" spans="2:85" x14ac:dyDescent="0.25">
      <c r="C912" s="82">
        <v>13433</v>
      </c>
      <c r="D912" s="78">
        <v>8091</v>
      </c>
      <c r="E912" s="69" t="s">
        <v>132</v>
      </c>
      <c r="F912" s="69" t="s">
        <v>2054</v>
      </c>
      <c r="G912" s="69"/>
      <c r="H912" s="69">
        <v>1172.5</v>
      </c>
      <c r="U912" s="69"/>
      <c r="V912" s="69"/>
      <c r="AS912" s="91">
        <f t="shared" si="112"/>
        <v>1172.5</v>
      </c>
      <c r="AT912" s="69">
        <v>784.1</v>
      </c>
      <c r="AU912" s="69">
        <v>105.9</v>
      </c>
      <c r="AV912" s="69">
        <v>282.5</v>
      </c>
      <c r="CD912" s="91">
        <f t="shared" si="110"/>
        <v>1172.5</v>
      </c>
      <c r="CE912" s="69">
        <f t="shared" si="109"/>
        <v>0</v>
      </c>
      <c r="CF912" s="75">
        <f t="shared" si="111"/>
        <v>8091</v>
      </c>
      <c r="CG912" s="69" t="str">
        <f t="shared" si="111"/>
        <v>صيدلة اكلينيكى</v>
      </c>
    </row>
    <row r="913" spans="2:85" x14ac:dyDescent="0.25">
      <c r="C913" s="82">
        <v>13431</v>
      </c>
      <c r="D913" s="78">
        <v>8092</v>
      </c>
      <c r="E913" s="69" t="s">
        <v>132</v>
      </c>
      <c r="F913" s="69" t="s">
        <v>2054</v>
      </c>
      <c r="G913" s="69"/>
      <c r="H913" s="69">
        <v>1172.5</v>
      </c>
      <c r="U913" s="69"/>
      <c r="V913" s="69"/>
      <c r="AS913" s="91">
        <f t="shared" si="112"/>
        <v>1172.5</v>
      </c>
      <c r="AT913" s="69">
        <v>784.1</v>
      </c>
      <c r="AU913" s="69">
        <v>105.9</v>
      </c>
      <c r="AV913" s="69">
        <v>282.5</v>
      </c>
      <c r="CD913" s="91">
        <f t="shared" si="110"/>
        <v>1172.5</v>
      </c>
      <c r="CE913" s="69">
        <f t="shared" si="109"/>
        <v>0</v>
      </c>
      <c r="CF913" s="75">
        <f t="shared" si="111"/>
        <v>8092</v>
      </c>
      <c r="CG913" s="69" t="str">
        <f t="shared" si="111"/>
        <v>صيدلة اكلينيكى</v>
      </c>
    </row>
    <row r="914" spans="2:85" x14ac:dyDescent="0.25">
      <c r="C914" s="82">
        <v>13432</v>
      </c>
      <c r="D914" s="78">
        <v>8093</v>
      </c>
      <c r="E914" s="69" t="s">
        <v>132</v>
      </c>
      <c r="F914" s="69" t="s">
        <v>2054</v>
      </c>
      <c r="G914" s="69"/>
      <c r="H914" s="69">
        <v>1172.5</v>
      </c>
      <c r="U914" s="69"/>
      <c r="V914" s="69"/>
      <c r="AS914" s="91">
        <f t="shared" si="112"/>
        <v>1172.5</v>
      </c>
      <c r="AT914" s="69">
        <v>784.1</v>
      </c>
      <c r="AU914" s="69">
        <v>105.9</v>
      </c>
      <c r="AV914" s="69">
        <v>282.5</v>
      </c>
      <c r="CD914" s="91">
        <f t="shared" si="110"/>
        <v>1172.5</v>
      </c>
      <c r="CE914" s="69">
        <f t="shared" si="109"/>
        <v>0</v>
      </c>
      <c r="CF914" s="75">
        <f t="shared" si="111"/>
        <v>8093</v>
      </c>
      <c r="CG914" s="69" t="str">
        <f t="shared" si="111"/>
        <v>صيدلة اكلينيكى</v>
      </c>
    </row>
    <row r="915" spans="2:85" x14ac:dyDescent="0.25">
      <c r="C915" s="82">
        <v>13425</v>
      </c>
      <c r="D915" s="78">
        <v>8094</v>
      </c>
      <c r="E915" s="69" t="s">
        <v>132</v>
      </c>
      <c r="F915" s="69" t="s">
        <v>2055</v>
      </c>
      <c r="G915" s="69"/>
      <c r="H915" s="69">
        <v>6452.1</v>
      </c>
      <c r="U915" s="69"/>
      <c r="V915" s="69"/>
      <c r="AS915" s="91">
        <f t="shared" si="112"/>
        <v>6452.1</v>
      </c>
      <c r="AT915" s="69">
        <v>4543.5</v>
      </c>
      <c r="AU915" s="69">
        <v>595</v>
      </c>
      <c r="AV915" s="69">
        <v>1313.6</v>
      </c>
      <c r="CD915" s="91">
        <f t="shared" si="110"/>
        <v>6452.1</v>
      </c>
      <c r="CE915" s="69">
        <f t="shared" si="109"/>
        <v>0</v>
      </c>
      <c r="CF915" s="75">
        <f t="shared" si="111"/>
        <v>8094</v>
      </c>
      <c r="CG915" s="69" t="str">
        <f t="shared" si="111"/>
        <v>صيدلة اكلينيكى</v>
      </c>
    </row>
    <row r="916" spans="2:85" x14ac:dyDescent="0.25">
      <c r="C916" s="82">
        <v>13424</v>
      </c>
      <c r="D916" s="78">
        <v>8095</v>
      </c>
      <c r="E916" s="69" t="s">
        <v>132</v>
      </c>
      <c r="F916" s="69" t="s">
        <v>2055</v>
      </c>
      <c r="G916" s="69"/>
      <c r="H916" s="69">
        <v>586.25</v>
      </c>
      <c r="U916" s="69"/>
      <c r="V916" s="69"/>
      <c r="AS916" s="91">
        <f t="shared" si="112"/>
        <v>586.25</v>
      </c>
      <c r="AT916" s="69">
        <v>392.4</v>
      </c>
      <c r="AU916" s="69">
        <v>52.6</v>
      </c>
      <c r="AV916" s="69">
        <v>141.25</v>
      </c>
      <c r="CD916" s="91">
        <f t="shared" si="110"/>
        <v>586.25</v>
      </c>
      <c r="CE916" s="69">
        <f t="shared" si="109"/>
        <v>0</v>
      </c>
      <c r="CF916" s="75">
        <f t="shared" si="111"/>
        <v>8095</v>
      </c>
      <c r="CG916" s="69" t="str">
        <f t="shared" si="111"/>
        <v>صيدلة اكلينيكى</v>
      </c>
    </row>
    <row r="917" spans="2:85" x14ac:dyDescent="0.25">
      <c r="C917" s="82">
        <v>13423</v>
      </c>
      <c r="D917" s="78">
        <v>8096</v>
      </c>
      <c r="E917" s="69" t="s">
        <v>132</v>
      </c>
      <c r="F917" s="69" t="s">
        <v>2055</v>
      </c>
      <c r="G917" s="69"/>
      <c r="H917" s="69">
        <v>586.25</v>
      </c>
      <c r="U917" s="69"/>
      <c r="V917" s="69"/>
      <c r="AS917" s="91">
        <f t="shared" si="112"/>
        <v>586.25</v>
      </c>
      <c r="AT917" s="69">
        <v>392.4</v>
      </c>
      <c r="AU917" s="69">
        <v>52.6</v>
      </c>
      <c r="AV917" s="69">
        <v>141.25</v>
      </c>
      <c r="CD917" s="91">
        <f t="shared" si="110"/>
        <v>586.25</v>
      </c>
      <c r="CE917" s="69">
        <f t="shared" si="109"/>
        <v>0</v>
      </c>
      <c r="CF917" s="75">
        <f t="shared" si="111"/>
        <v>8096</v>
      </c>
      <c r="CG917" s="69" t="str">
        <f t="shared" si="111"/>
        <v>صيدلة اكلينيكى</v>
      </c>
    </row>
    <row r="918" spans="2:85" x14ac:dyDescent="0.25">
      <c r="C918" s="82">
        <v>13426</v>
      </c>
      <c r="D918" s="78">
        <v>8097</v>
      </c>
      <c r="E918" s="69" t="s">
        <v>132</v>
      </c>
      <c r="F918" s="69" t="s">
        <v>2055</v>
      </c>
      <c r="G918" s="69"/>
      <c r="H918" s="69">
        <v>8434.6299999999992</v>
      </c>
      <c r="U918" s="69"/>
      <c r="V918" s="69"/>
      <c r="AS918" s="91">
        <f t="shared" si="112"/>
        <v>8434.6299999999992</v>
      </c>
      <c r="AT918" s="69">
        <v>7750.93</v>
      </c>
      <c r="AU918" s="69">
        <f>165+52.57</f>
        <v>217.57</v>
      </c>
      <c r="AV918" s="69">
        <v>466.13</v>
      </c>
      <c r="CD918" s="91">
        <f t="shared" si="110"/>
        <v>8434.6299999999992</v>
      </c>
      <c r="CE918" s="69">
        <f t="shared" si="109"/>
        <v>0</v>
      </c>
      <c r="CF918" s="75">
        <f t="shared" si="111"/>
        <v>8097</v>
      </c>
      <c r="CG918" s="69" t="str">
        <f t="shared" si="111"/>
        <v>صيدلة اكلينيكى</v>
      </c>
    </row>
    <row r="919" spans="2:85" x14ac:dyDescent="0.25">
      <c r="C919" s="82">
        <v>13422</v>
      </c>
      <c r="D919" s="78">
        <v>8098</v>
      </c>
      <c r="E919" s="69" t="s">
        <v>132</v>
      </c>
      <c r="F919" s="69" t="s">
        <v>2055</v>
      </c>
      <c r="G919" s="69"/>
      <c r="H919" s="69">
        <v>1876</v>
      </c>
      <c r="U919" s="69"/>
      <c r="V919" s="69"/>
      <c r="AS919" s="91">
        <f t="shared" si="112"/>
        <v>1876</v>
      </c>
      <c r="AT919" s="69">
        <v>1255.3499999999999</v>
      </c>
      <c r="AU919" s="69">
        <v>168.65</v>
      </c>
      <c r="AV919" s="69">
        <v>452</v>
      </c>
      <c r="CD919" s="91">
        <f t="shared" si="110"/>
        <v>1876</v>
      </c>
      <c r="CE919" s="69">
        <f t="shared" si="109"/>
        <v>0</v>
      </c>
      <c r="CF919" s="75">
        <f t="shared" si="111"/>
        <v>8098</v>
      </c>
      <c r="CG919" s="69" t="str">
        <f t="shared" si="111"/>
        <v>صيدلة اكلينيكى</v>
      </c>
    </row>
    <row r="920" spans="2:85" x14ac:dyDescent="0.25">
      <c r="C920" s="82">
        <v>13438</v>
      </c>
      <c r="D920" s="78">
        <v>8099</v>
      </c>
      <c r="E920" s="69" t="s">
        <v>132</v>
      </c>
      <c r="F920" s="69" t="s">
        <v>2056</v>
      </c>
      <c r="G920" s="69"/>
      <c r="H920" s="69">
        <v>4221</v>
      </c>
      <c r="U920" s="69"/>
      <c r="V920" s="69"/>
      <c r="AS920" s="91">
        <f t="shared" si="112"/>
        <v>4221</v>
      </c>
      <c r="AT920" s="69">
        <v>3100.79</v>
      </c>
      <c r="AU920" s="69">
        <f>23.7+79.51</f>
        <v>103.21000000000001</v>
      </c>
      <c r="AV920" s="69">
        <v>1017</v>
      </c>
      <c r="CD920" s="91">
        <f t="shared" si="110"/>
        <v>4221</v>
      </c>
      <c r="CE920" s="69">
        <f t="shared" si="109"/>
        <v>0</v>
      </c>
      <c r="CF920" s="75">
        <f t="shared" si="111"/>
        <v>8099</v>
      </c>
      <c r="CG920" s="69" t="str">
        <f t="shared" si="111"/>
        <v>صيدلة اكلينيكى</v>
      </c>
    </row>
    <row r="921" spans="2:85" x14ac:dyDescent="0.25">
      <c r="C921" s="82">
        <v>13437</v>
      </c>
      <c r="D921" s="78">
        <v>8100</v>
      </c>
      <c r="E921" s="69" t="s">
        <v>132</v>
      </c>
      <c r="F921" s="69" t="s">
        <v>2057</v>
      </c>
      <c r="G921" s="69"/>
      <c r="H921" s="69">
        <v>6100</v>
      </c>
      <c r="U921" s="69"/>
      <c r="V921" s="69"/>
      <c r="AS921" s="91">
        <f t="shared" si="112"/>
        <v>6100</v>
      </c>
      <c r="AT921" s="69">
        <v>5444.99</v>
      </c>
      <c r="AU921" s="69">
        <v>655.01</v>
      </c>
      <c r="CD921" s="91">
        <f t="shared" si="110"/>
        <v>6100</v>
      </c>
      <c r="CE921" s="69">
        <f t="shared" si="109"/>
        <v>0</v>
      </c>
      <c r="CF921" s="75">
        <f t="shared" si="111"/>
        <v>8100</v>
      </c>
      <c r="CG921" s="69" t="str">
        <f t="shared" si="111"/>
        <v>صيدلة اكلينيكى</v>
      </c>
    </row>
    <row r="922" spans="2:85" x14ac:dyDescent="0.25">
      <c r="B922" s="69" t="s">
        <v>1475</v>
      </c>
      <c r="C922" s="82">
        <v>13439</v>
      </c>
      <c r="D922" s="78">
        <v>8101</v>
      </c>
      <c r="E922" s="69" t="s">
        <v>132</v>
      </c>
      <c r="F922" s="69" t="s">
        <v>2058</v>
      </c>
      <c r="G922" s="69"/>
      <c r="H922" s="69">
        <v>13200</v>
      </c>
      <c r="U922" s="69"/>
      <c r="V922" s="69"/>
      <c r="AS922" s="91">
        <f t="shared" si="112"/>
        <v>13200</v>
      </c>
      <c r="AT922" s="69">
        <v>12239.95</v>
      </c>
      <c r="AU922" s="69">
        <f>96.2+313.85</f>
        <v>410.05</v>
      </c>
      <c r="AW922" s="69">
        <v>550</v>
      </c>
      <c r="CD922" s="91">
        <f t="shared" si="110"/>
        <v>13200</v>
      </c>
      <c r="CE922" s="69">
        <f t="shared" si="109"/>
        <v>0</v>
      </c>
      <c r="CF922" s="75">
        <f t="shared" si="111"/>
        <v>8101</v>
      </c>
      <c r="CG922" s="69" t="str">
        <f t="shared" si="111"/>
        <v>صيدلة اكلينيكى</v>
      </c>
    </row>
    <row r="923" spans="2:85" x14ac:dyDescent="0.25">
      <c r="C923" s="82">
        <v>13436</v>
      </c>
      <c r="D923" s="78">
        <v>8102</v>
      </c>
      <c r="E923" s="69" t="s">
        <v>132</v>
      </c>
      <c r="F923" s="69" t="s">
        <v>2059</v>
      </c>
      <c r="G923" s="69"/>
      <c r="H923" s="69">
        <v>2100</v>
      </c>
      <c r="U923" s="69"/>
      <c r="V923" s="69"/>
      <c r="AS923" s="91">
        <f t="shared" si="112"/>
        <v>2100</v>
      </c>
      <c r="AT923" s="69">
        <v>1874.62</v>
      </c>
      <c r="AU923" s="69">
        <v>225.38</v>
      </c>
      <c r="CD923" s="91">
        <f t="shared" si="110"/>
        <v>2100</v>
      </c>
      <c r="CE923" s="69">
        <f t="shared" si="109"/>
        <v>0</v>
      </c>
      <c r="CF923" s="75">
        <f t="shared" si="111"/>
        <v>8102</v>
      </c>
      <c r="CG923" s="69" t="str">
        <f t="shared" si="111"/>
        <v>صيدلة اكلينيكى</v>
      </c>
    </row>
    <row r="924" spans="2:85" x14ac:dyDescent="0.25">
      <c r="B924" s="69" t="s">
        <v>1475</v>
      </c>
      <c r="C924" s="82">
        <v>13440</v>
      </c>
      <c r="D924" s="78">
        <v>8103</v>
      </c>
      <c r="E924" s="69" t="s">
        <v>132</v>
      </c>
      <c r="F924" s="69" t="str">
        <f>+F922</f>
        <v>مكافاه عمال يوميه فبراير</v>
      </c>
      <c r="G924" s="69"/>
      <c r="H924" s="69">
        <v>42444.51</v>
      </c>
      <c r="U924" s="69"/>
      <c r="V924" s="69"/>
      <c r="AS924" s="91">
        <f t="shared" si="112"/>
        <v>42444.51</v>
      </c>
      <c r="AT924" s="69">
        <v>30499.51</v>
      </c>
      <c r="AU924" s="69">
        <f>236.5+781.99</f>
        <v>1018.49</v>
      </c>
      <c r="AV924" s="69">
        <v>10226.51</v>
      </c>
      <c r="AW924" s="69">
        <v>700</v>
      </c>
      <c r="CD924" s="91">
        <f t="shared" si="110"/>
        <v>42444.51</v>
      </c>
      <c r="CE924" s="69">
        <f t="shared" ref="CE924:CE987" si="113">+CD924-AS924</f>
        <v>0</v>
      </c>
      <c r="CF924" s="75">
        <f t="shared" si="111"/>
        <v>8103</v>
      </c>
      <c r="CG924" s="69" t="str">
        <f t="shared" si="111"/>
        <v>صيدلة اكلينيكى</v>
      </c>
    </row>
    <row r="925" spans="2:85" x14ac:dyDescent="0.25">
      <c r="C925" s="82">
        <v>12307</v>
      </c>
      <c r="D925" s="78">
        <v>8104</v>
      </c>
      <c r="E925" s="69" t="s">
        <v>123</v>
      </c>
      <c r="F925" s="69" t="s">
        <v>1562</v>
      </c>
      <c r="G925" s="69"/>
      <c r="H925" s="69">
        <v>950</v>
      </c>
      <c r="U925" s="69"/>
      <c r="V925" s="69"/>
      <c r="AS925" s="91">
        <f t="shared" si="112"/>
        <v>950</v>
      </c>
      <c r="AT925" s="69">
        <v>743.31</v>
      </c>
      <c r="AU925" s="69">
        <v>159.19</v>
      </c>
      <c r="AW925" s="69">
        <v>47.5</v>
      </c>
      <c r="CD925" s="91">
        <f t="shared" si="110"/>
        <v>950</v>
      </c>
      <c r="CE925" s="69">
        <f t="shared" si="113"/>
        <v>0</v>
      </c>
      <c r="CF925" s="75">
        <f t="shared" si="111"/>
        <v>8104</v>
      </c>
      <c r="CG925" s="69" t="str">
        <f t="shared" si="111"/>
        <v>خ ت اسنان</v>
      </c>
    </row>
    <row r="926" spans="2:85" x14ac:dyDescent="0.25">
      <c r="C926" s="82">
        <v>12304</v>
      </c>
      <c r="D926" s="78">
        <v>8105</v>
      </c>
      <c r="E926" s="69" t="s">
        <v>123</v>
      </c>
      <c r="F926" s="69" t="s">
        <v>1562</v>
      </c>
      <c r="G926" s="69"/>
      <c r="H926" s="69">
        <v>469</v>
      </c>
      <c r="U926" s="69"/>
      <c r="V926" s="69"/>
      <c r="AS926" s="91">
        <f t="shared" si="112"/>
        <v>469</v>
      </c>
      <c r="AT926" s="69">
        <v>314</v>
      </c>
      <c r="AU926" s="69">
        <v>42</v>
      </c>
      <c r="AV926" s="69">
        <v>113</v>
      </c>
      <c r="CD926" s="91">
        <f t="shared" si="110"/>
        <v>469</v>
      </c>
      <c r="CE926" s="69">
        <f t="shared" si="113"/>
        <v>0</v>
      </c>
      <c r="CF926" s="75">
        <f t="shared" si="111"/>
        <v>8105</v>
      </c>
      <c r="CG926" s="69" t="str">
        <f t="shared" si="111"/>
        <v>خ ت اسنان</v>
      </c>
    </row>
    <row r="927" spans="2:85" x14ac:dyDescent="0.25">
      <c r="C927" s="82">
        <v>12309</v>
      </c>
      <c r="D927" s="78">
        <v>8106</v>
      </c>
      <c r="E927" s="69" t="s">
        <v>123</v>
      </c>
      <c r="F927" s="69" t="s">
        <v>1562</v>
      </c>
      <c r="G927" s="69"/>
      <c r="H927" s="69">
        <v>950</v>
      </c>
      <c r="U927" s="69"/>
      <c r="V927" s="69"/>
      <c r="AS927" s="91">
        <f t="shared" si="112"/>
        <v>950</v>
      </c>
      <c r="AT927" s="69">
        <v>716.96</v>
      </c>
      <c r="AU927" s="69">
        <v>185.54</v>
      </c>
      <c r="AW927" s="69">
        <v>47.5</v>
      </c>
      <c r="CD927" s="91">
        <f t="shared" si="110"/>
        <v>950</v>
      </c>
      <c r="CE927" s="69">
        <f t="shared" si="113"/>
        <v>0</v>
      </c>
      <c r="CF927" s="75">
        <f t="shared" si="111"/>
        <v>8106</v>
      </c>
      <c r="CG927" s="69" t="str">
        <f t="shared" si="111"/>
        <v>خ ت اسنان</v>
      </c>
    </row>
    <row r="928" spans="2:85" x14ac:dyDescent="0.25">
      <c r="C928" s="82">
        <v>13287</v>
      </c>
      <c r="D928" s="78">
        <v>8107</v>
      </c>
      <c r="E928" s="69" t="s">
        <v>123</v>
      </c>
      <c r="F928" s="69" t="s">
        <v>425</v>
      </c>
      <c r="G928" s="69"/>
      <c r="H928" s="69">
        <v>1000</v>
      </c>
      <c r="U928" s="69"/>
      <c r="V928" s="69"/>
      <c r="AS928" s="91">
        <f t="shared" si="112"/>
        <v>1000</v>
      </c>
      <c r="AT928" s="69">
        <v>754.68</v>
      </c>
      <c r="AU928" s="69">
        <v>195.32</v>
      </c>
      <c r="AW928" s="69">
        <v>50</v>
      </c>
      <c r="CD928" s="91">
        <f t="shared" si="110"/>
        <v>1000</v>
      </c>
      <c r="CE928" s="69">
        <f t="shared" si="113"/>
        <v>0</v>
      </c>
      <c r="CF928" s="75">
        <f t="shared" si="111"/>
        <v>8107</v>
      </c>
      <c r="CG928" s="69" t="str">
        <f t="shared" si="111"/>
        <v>خ ت اسنان</v>
      </c>
    </row>
    <row r="929" spans="2:85" x14ac:dyDescent="0.25">
      <c r="C929" s="82">
        <v>13284</v>
      </c>
      <c r="D929" s="78">
        <v>8108</v>
      </c>
      <c r="E929" s="69" t="s">
        <v>123</v>
      </c>
      <c r="F929" s="69" t="s">
        <v>425</v>
      </c>
      <c r="G929" s="69"/>
      <c r="H929" s="69">
        <v>2500</v>
      </c>
      <c r="U929" s="69"/>
      <c r="V929" s="69"/>
      <c r="AS929" s="91">
        <f t="shared" si="112"/>
        <v>2500</v>
      </c>
      <c r="AT929" s="69">
        <v>1885.88</v>
      </c>
      <c r="AU929" s="69">
        <v>489.12</v>
      </c>
      <c r="AW929" s="69">
        <v>125</v>
      </c>
      <c r="CD929" s="91">
        <f t="shared" si="110"/>
        <v>2500</v>
      </c>
      <c r="CE929" s="69">
        <f t="shared" si="113"/>
        <v>0</v>
      </c>
      <c r="CF929" s="75">
        <f t="shared" si="111"/>
        <v>8108</v>
      </c>
      <c r="CG929" s="69" t="str">
        <f t="shared" si="111"/>
        <v>خ ت اسنان</v>
      </c>
    </row>
    <row r="930" spans="2:85" x14ac:dyDescent="0.25">
      <c r="C930" s="82">
        <v>13282</v>
      </c>
      <c r="D930" s="78">
        <v>8109</v>
      </c>
      <c r="E930" s="69" t="s">
        <v>123</v>
      </c>
      <c r="F930" s="69" t="s">
        <v>425</v>
      </c>
      <c r="G930" s="69"/>
      <c r="H930" s="69">
        <v>879.38</v>
      </c>
      <c r="U930" s="69"/>
      <c r="V930" s="69"/>
      <c r="AS930" s="91">
        <f t="shared" si="112"/>
        <v>879.38</v>
      </c>
      <c r="AT930" s="69">
        <v>587.6</v>
      </c>
      <c r="AU930" s="69">
        <f>75+4.9</f>
        <v>79.900000000000006</v>
      </c>
      <c r="AV930" s="69">
        <v>211.88</v>
      </c>
      <c r="CD930" s="91">
        <f t="shared" si="110"/>
        <v>879.38</v>
      </c>
      <c r="CE930" s="69">
        <f t="shared" si="113"/>
        <v>0</v>
      </c>
      <c r="CF930" s="75">
        <f t="shared" si="111"/>
        <v>8109</v>
      </c>
      <c r="CG930" s="69" t="str">
        <f t="shared" si="111"/>
        <v>خ ت اسنان</v>
      </c>
    </row>
    <row r="931" spans="2:85" x14ac:dyDescent="0.25">
      <c r="C931" s="82">
        <v>13365</v>
      </c>
      <c r="D931" s="78">
        <v>8110</v>
      </c>
      <c r="E931" s="69" t="s">
        <v>123</v>
      </c>
      <c r="F931" s="69" t="s">
        <v>425</v>
      </c>
      <c r="G931" s="69"/>
      <c r="H931" s="69">
        <v>3000</v>
      </c>
      <c r="U931" s="69"/>
      <c r="V931" s="69"/>
      <c r="AS931" s="91">
        <f t="shared" si="112"/>
        <v>3000</v>
      </c>
      <c r="AT931" s="69">
        <v>2264.16</v>
      </c>
      <c r="AU931" s="69">
        <v>585.84</v>
      </c>
      <c r="AW931" s="69">
        <v>150</v>
      </c>
      <c r="CD931" s="91">
        <f t="shared" si="110"/>
        <v>3000</v>
      </c>
      <c r="CE931" s="69">
        <f t="shared" si="113"/>
        <v>0</v>
      </c>
      <c r="CF931" s="75">
        <f t="shared" si="111"/>
        <v>8110</v>
      </c>
      <c r="CG931" s="69" t="str">
        <f t="shared" si="111"/>
        <v>خ ت اسنان</v>
      </c>
    </row>
    <row r="932" spans="2:85" x14ac:dyDescent="0.25">
      <c r="C932" s="82">
        <v>13368</v>
      </c>
      <c r="D932" s="78">
        <v>8111</v>
      </c>
      <c r="E932" s="69" t="s">
        <v>123</v>
      </c>
      <c r="F932" s="69" t="s">
        <v>425</v>
      </c>
      <c r="G932" s="69"/>
      <c r="H932" s="69">
        <v>1465.63</v>
      </c>
      <c r="U932" s="69"/>
      <c r="V932" s="69"/>
      <c r="AS932" s="91">
        <f t="shared" si="112"/>
        <v>1465.63</v>
      </c>
      <c r="AT932" s="69">
        <v>980.55</v>
      </c>
      <c r="AU932" s="69">
        <f>6.95+125</f>
        <v>131.94999999999999</v>
      </c>
      <c r="AV932" s="69">
        <v>353.13</v>
      </c>
      <c r="CD932" s="91">
        <f t="shared" si="110"/>
        <v>1465.63</v>
      </c>
      <c r="CE932" s="69">
        <f t="shared" si="113"/>
        <v>0</v>
      </c>
      <c r="CF932" s="75">
        <f t="shared" si="111"/>
        <v>8111</v>
      </c>
      <c r="CG932" s="69" t="str">
        <f t="shared" si="111"/>
        <v>خ ت اسنان</v>
      </c>
    </row>
    <row r="933" spans="2:85" x14ac:dyDescent="0.25">
      <c r="C933" s="82">
        <v>13507</v>
      </c>
      <c r="D933" s="78">
        <v>8112</v>
      </c>
      <c r="E933" s="69" t="s">
        <v>132</v>
      </c>
      <c r="F933" s="69" t="s">
        <v>2060</v>
      </c>
      <c r="G933" s="69"/>
      <c r="H933" s="69">
        <v>24302.51</v>
      </c>
      <c r="U933" s="69"/>
      <c r="V933" s="69"/>
      <c r="AS933" s="91">
        <f t="shared" si="112"/>
        <v>24302.51</v>
      </c>
      <c r="AT933" s="69">
        <v>19299.37</v>
      </c>
      <c r="AU933" s="69">
        <v>5003.1400000000003</v>
      </c>
      <c r="CD933" s="91">
        <f t="shared" si="110"/>
        <v>24302.51</v>
      </c>
      <c r="CE933" s="69">
        <f t="shared" si="113"/>
        <v>0</v>
      </c>
      <c r="CF933" s="75">
        <f t="shared" si="111"/>
        <v>8112</v>
      </c>
      <c r="CG933" s="69" t="str">
        <f t="shared" si="111"/>
        <v>صيدلة اكلينيكى</v>
      </c>
    </row>
    <row r="934" spans="2:85" x14ac:dyDescent="0.25">
      <c r="C934" s="82">
        <v>13578</v>
      </c>
      <c r="D934" s="78">
        <v>8113</v>
      </c>
      <c r="E934" s="69" t="s">
        <v>132</v>
      </c>
      <c r="F934" s="69" t="s">
        <v>2060</v>
      </c>
      <c r="G934" s="69"/>
      <c r="H934" s="69">
        <v>1064.25</v>
      </c>
      <c r="U934" s="69"/>
      <c r="V934" s="69"/>
      <c r="AS934" s="91">
        <f t="shared" si="112"/>
        <v>1064.25</v>
      </c>
      <c r="AT934" s="69">
        <v>845.28</v>
      </c>
      <c r="AU934" s="69">
        <v>218.97</v>
      </c>
      <c r="CD934" s="91">
        <f t="shared" si="110"/>
        <v>1064.25</v>
      </c>
      <c r="CE934" s="69">
        <f t="shared" si="113"/>
        <v>0</v>
      </c>
      <c r="CF934" s="75">
        <f t="shared" si="111"/>
        <v>8113</v>
      </c>
      <c r="CG934" s="69" t="str">
        <f t="shared" si="111"/>
        <v>صيدلة اكلينيكى</v>
      </c>
    </row>
    <row r="935" spans="2:85" x14ac:dyDescent="0.25">
      <c r="C935" s="82">
        <v>13505</v>
      </c>
      <c r="D935" s="78">
        <v>8114</v>
      </c>
      <c r="E935" s="69" t="s">
        <v>132</v>
      </c>
      <c r="F935" s="69" t="s">
        <v>2060</v>
      </c>
      <c r="G935" s="69"/>
      <c r="H935" s="69">
        <v>14836.87</v>
      </c>
      <c r="U935" s="69"/>
      <c r="V935" s="69"/>
      <c r="AS935" s="91">
        <f t="shared" si="112"/>
        <v>14836.87</v>
      </c>
      <c r="AT935" s="69">
        <v>11783.66</v>
      </c>
      <c r="AU935" s="69">
        <v>3053.21</v>
      </c>
      <c r="CD935" s="91">
        <f t="shared" si="110"/>
        <v>14836.869999999999</v>
      </c>
      <c r="CE935" s="69">
        <f t="shared" si="113"/>
        <v>0</v>
      </c>
      <c r="CF935" s="75">
        <f t="shared" si="111"/>
        <v>8114</v>
      </c>
      <c r="CG935" s="69" t="str">
        <f t="shared" si="111"/>
        <v>صيدلة اكلينيكى</v>
      </c>
    </row>
    <row r="936" spans="2:85" x14ac:dyDescent="0.25">
      <c r="C936" s="82">
        <v>13508</v>
      </c>
      <c r="D936" s="78">
        <v>8115</v>
      </c>
      <c r="E936" s="69" t="s">
        <v>132</v>
      </c>
      <c r="F936" s="69" t="s">
        <v>2060</v>
      </c>
      <c r="G936" s="69"/>
      <c r="H936" s="69">
        <v>94175.24</v>
      </c>
      <c r="U936" s="69"/>
      <c r="V936" s="69"/>
      <c r="AS936" s="91">
        <f t="shared" si="112"/>
        <v>94175.24</v>
      </c>
      <c r="AT936" s="69">
        <v>74789.89</v>
      </c>
      <c r="AU936" s="69">
        <v>19385.349999999999</v>
      </c>
      <c r="CD936" s="91">
        <f t="shared" si="110"/>
        <v>94175.239999999991</v>
      </c>
      <c r="CE936" s="69">
        <f t="shared" si="113"/>
        <v>0</v>
      </c>
      <c r="CF936" s="75">
        <f t="shared" si="111"/>
        <v>8115</v>
      </c>
      <c r="CG936" s="69" t="str">
        <f t="shared" si="111"/>
        <v>صيدلة اكلينيكى</v>
      </c>
    </row>
    <row r="937" spans="2:85" x14ac:dyDescent="0.25">
      <c r="C937" s="82" t="s">
        <v>2061</v>
      </c>
      <c r="D937" s="78">
        <v>8116</v>
      </c>
      <c r="E937" s="69" t="s">
        <v>132</v>
      </c>
      <c r="F937" s="69" t="s">
        <v>2062</v>
      </c>
      <c r="G937" s="69"/>
      <c r="H937" s="69">
        <v>1189.52</v>
      </c>
      <c r="U937" s="69"/>
      <c r="V937" s="69"/>
      <c r="AS937" s="91">
        <f t="shared" si="112"/>
        <v>1189.52</v>
      </c>
      <c r="AT937" s="69">
        <v>806.85</v>
      </c>
      <c r="AU937" s="69">
        <v>96.05</v>
      </c>
      <c r="AV937" s="69">
        <v>286.62</v>
      </c>
      <c r="CD937" s="91">
        <f t="shared" si="110"/>
        <v>1189.52</v>
      </c>
      <c r="CE937" s="69">
        <f t="shared" si="113"/>
        <v>0</v>
      </c>
      <c r="CF937" s="75">
        <f t="shared" si="111"/>
        <v>8116</v>
      </c>
      <c r="CG937" s="69" t="str">
        <f t="shared" si="111"/>
        <v>صيدلة اكلينيكى</v>
      </c>
    </row>
    <row r="938" spans="2:85" x14ac:dyDescent="0.25">
      <c r="C938" s="82">
        <v>13362</v>
      </c>
      <c r="D938" s="78">
        <v>8117</v>
      </c>
      <c r="E938" s="69" t="s">
        <v>132</v>
      </c>
      <c r="F938" s="69" t="s">
        <v>2063</v>
      </c>
      <c r="G938" s="69"/>
      <c r="H938" s="69">
        <v>1702.34</v>
      </c>
      <c r="U938" s="69"/>
      <c r="V938" s="69"/>
      <c r="AS938" s="91">
        <f t="shared" si="112"/>
        <v>1702.34</v>
      </c>
      <c r="AT938" s="69">
        <v>815.78</v>
      </c>
      <c r="AU938" s="69">
        <v>137.63</v>
      </c>
      <c r="AV938" s="69">
        <v>410.17</v>
      </c>
      <c r="AX938" s="69">
        <v>338.76</v>
      </c>
      <c r="CD938" s="91">
        <f t="shared" si="110"/>
        <v>1702.34</v>
      </c>
      <c r="CE938" s="69">
        <f t="shared" si="113"/>
        <v>0</v>
      </c>
      <c r="CF938" s="75">
        <f t="shared" si="111"/>
        <v>8117</v>
      </c>
      <c r="CG938" s="69" t="str">
        <f t="shared" si="111"/>
        <v>صيدلة اكلينيكى</v>
      </c>
    </row>
    <row r="939" spans="2:85" ht="36" x14ac:dyDescent="0.25">
      <c r="C939" s="82">
        <v>11747</v>
      </c>
      <c r="D939" s="78">
        <v>8118</v>
      </c>
      <c r="E939" s="69" t="s">
        <v>78</v>
      </c>
      <c r="F939" s="77" t="s">
        <v>2064</v>
      </c>
      <c r="G939" s="69"/>
      <c r="L939" s="69">
        <v>835035</v>
      </c>
      <c r="M939" s="69">
        <v>835035</v>
      </c>
      <c r="N939" s="69">
        <v>835035</v>
      </c>
      <c r="U939" s="69"/>
      <c r="V939" s="69"/>
      <c r="AS939" s="91">
        <f t="shared" si="112"/>
        <v>2505105</v>
      </c>
      <c r="AU939" s="69">
        <f>4495+13485+36</f>
        <v>18016</v>
      </c>
      <c r="AW939" s="69">
        <v>5</v>
      </c>
      <c r="BF939" s="69">
        <v>719513.1</v>
      </c>
      <c r="BG939" s="69">
        <v>7325</v>
      </c>
      <c r="BH939" s="69">
        <v>80</v>
      </c>
      <c r="BI939" s="69">
        <f>3296.2*2</f>
        <v>6592.4</v>
      </c>
      <c r="BJ939" s="69">
        <v>41751.75</v>
      </c>
      <c r="BL939" s="69">
        <v>835035</v>
      </c>
      <c r="BM939" s="69">
        <v>835035</v>
      </c>
      <c r="CC939" s="69">
        <v>41751.75</v>
      </c>
      <c r="CD939" s="91">
        <f t="shared" si="110"/>
        <v>2505105</v>
      </c>
      <c r="CE939" s="69">
        <f t="shared" si="113"/>
        <v>0</v>
      </c>
      <c r="CF939" s="75">
        <f t="shared" si="111"/>
        <v>8118</v>
      </c>
      <c r="CG939" s="69" t="str">
        <f t="shared" si="111"/>
        <v>برنامج دولى</v>
      </c>
    </row>
    <row r="940" spans="2:85" ht="36" x14ac:dyDescent="0.25">
      <c r="C940" s="82">
        <v>13564</v>
      </c>
      <c r="D940" s="78">
        <v>8119</v>
      </c>
      <c r="E940" s="69" t="s">
        <v>128</v>
      </c>
      <c r="F940" s="77" t="s">
        <v>2065</v>
      </c>
      <c r="G940" s="69"/>
      <c r="I940" s="69">
        <v>4419.99</v>
      </c>
      <c r="U940" s="69"/>
      <c r="V940" s="69"/>
      <c r="AS940" s="91">
        <f t="shared" si="112"/>
        <v>4419.99</v>
      </c>
      <c r="AT940" s="69">
        <v>3969.54</v>
      </c>
      <c r="AU940" s="69">
        <v>251.2</v>
      </c>
      <c r="BG940" s="69">
        <v>116.35</v>
      </c>
      <c r="BH940" s="69">
        <v>48</v>
      </c>
      <c r="BI940" s="69">
        <f>17.45*2</f>
        <v>34.9</v>
      </c>
      <c r="CD940" s="91">
        <f t="shared" si="110"/>
        <v>4419.99</v>
      </c>
      <c r="CE940" s="69">
        <f t="shared" si="113"/>
        <v>0</v>
      </c>
      <c r="CF940" s="75">
        <f t="shared" si="111"/>
        <v>8119</v>
      </c>
      <c r="CG940" s="69" t="str">
        <f t="shared" si="111"/>
        <v>مركز مؤتمرات</v>
      </c>
    </row>
    <row r="941" spans="2:85" x14ac:dyDescent="0.25">
      <c r="B941" s="69" t="s">
        <v>2066</v>
      </c>
      <c r="C941" s="75">
        <v>6780</v>
      </c>
      <c r="D941" s="75">
        <v>8120</v>
      </c>
      <c r="E941" s="69" t="s">
        <v>78</v>
      </c>
      <c r="F941" s="69" t="s">
        <v>2067</v>
      </c>
      <c r="G941" s="63" t="s">
        <v>220</v>
      </c>
      <c r="H941" s="69">
        <v>288.7</v>
      </c>
      <c r="AS941" s="91">
        <f t="shared" si="112"/>
        <v>288.7</v>
      </c>
      <c r="AT941" s="69">
        <v>195.85</v>
      </c>
      <c r="AU941" s="52">
        <f>21.78+1.05</f>
        <v>22.830000000000002</v>
      </c>
      <c r="AV941" s="69">
        <f>60+9.9</f>
        <v>69.900000000000006</v>
      </c>
      <c r="AW941" s="69">
        <v>0.12</v>
      </c>
      <c r="CD941" s="91">
        <f t="shared" ref="CD941" si="114">SUM(AT941:CC941)</f>
        <v>288.70000000000005</v>
      </c>
      <c r="CE941" s="69">
        <f t="shared" si="113"/>
        <v>0</v>
      </c>
      <c r="CF941" s="75">
        <f t="shared" si="111"/>
        <v>8120</v>
      </c>
      <c r="CG941" s="69" t="str">
        <f t="shared" si="111"/>
        <v>برنامج دولى</v>
      </c>
    </row>
    <row r="942" spans="2:85" x14ac:dyDescent="0.25">
      <c r="B942" s="69" t="s">
        <v>2066</v>
      </c>
      <c r="C942" s="82">
        <v>6781</v>
      </c>
      <c r="D942" s="78">
        <v>8121</v>
      </c>
      <c r="E942" s="69" t="s">
        <v>78</v>
      </c>
      <c r="F942" s="69" t="s">
        <v>2067</v>
      </c>
      <c r="G942" s="63" t="s">
        <v>220</v>
      </c>
      <c r="H942" s="69">
        <v>80120.929999999993</v>
      </c>
      <c r="U942" s="69"/>
      <c r="V942" s="69"/>
      <c r="AS942" s="91">
        <f t="shared" si="112"/>
        <v>80120.929999999993</v>
      </c>
      <c r="AT942" s="69">
        <v>54859.39</v>
      </c>
      <c r="AU942" s="69">
        <f>5687.78+283.5</f>
        <v>5971.28</v>
      </c>
      <c r="AV942" s="69">
        <f>16525.5+2731.4</f>
        <v>19256.900000000001</v>
      </c>
      <c r="AW942" s="69">
        <v>33.36</v>
      </c>
      <c r="CD942" s="91">
        <f t="shared" si="110"/>
        <v>80120.930000000008</v>
      </c>
      <c r="CE942" s="69">
        <f t="shared" si="113"/>
        <v>0</v>
      </c>
      <c r="CF942" s="75">
        <f t="shared" si="111"/>
        <v>8121</v>
      </c>
      <c r="CG942" s="69" t="str">
        <f t="shared" si="111"/>
        <v>برنامج دولى</v>
      </c>
    </row>
    <row r="943" spans="2:85" ht="36" x14ac:dyDescent="0.25">
      <c r="C943" s="82">
        <v>13407</v>
      </c>
      <c r="D943" s="78">
        <v>8122</v>
      </c>
      <c r="E943" s="69" t="s">
        <v>78</v>
      </c>
      <c r="F943" s="77" t="s">
        <v>2068</v>
      </c>
      <c r="G943" s="69"/>
      <c r="U943" s="69"/>
      <c r="V943" s="69"/>
      <c r="Z943" s="69">
        <v>4400</v>
      </c>
      <c r="AS943" s="91">
        <f>SUM(H943:AR943)</f>
        <v>4400</v>
      </c>
      <c r="AT943" s="69">
        <v>4400</v>
      </c>
      <c r="AU943" s="69"/>
      <c r="CD943" s="91">
        <f>SUM(AT943:CC943)</f>
        <v>4400</v>
      </c>
      <c r="CE943" s="69">
        <f>+CD943-AS943</f>
        <v>0</v>
      </c>
      <c r="CF943" s="75">
        <f>+D943</f>
        <v>8122</v>
      </c>
      <c r="CG943" s="69" t="str">
        <f>+E943</f>
        <v>برنامج دولى</v>
      </c>
    </row>
    <row r="944" spans="2:85" x14ac:dyDescent="0.25">
      <c r="B944" s="69" t="s">
        <v>2069</v>
      </c>
      <c r="C944" s="82">
        <v>6786</v>
      </c>
      <c r="D944" s="95">
        <v>8123</v>
      </c>
      <c r="E944" s="69" t="s">
        <v>121</v>
      </c>
      <c r="F944" s="69" t="s">
        <v>2070</v>
      </c>
      <c r="G944" s="69" t="s">
        <v>220</v>
      </c>
      <c r="H944" s="69">
        <v>36583.199999999997</v>
      </c>
      <c r="U944" s="69"/>
      <c r="V944" s="69"/>
      <c r="AS944" s="91">
        <f t="shared" si="112"/>
        <v>36583.199999999997</v>
      </c>
      <c r="AT944" s="69">
        <v>25151.84</v>
      </c>
      <c r="AU944" s="69">
        <f>2401.36+199.2</f>
        <v>2600.56</v>
      </c>
      <c r="AV944" s="69">
        <f>7567.2+1248</f>
        <v>8815.2000000000007</v>
      </c>
      <c r="AW944" s="69">
        <v>15.6</v>
      </c>
      <c r="CD944" s="91">
        <f t="shared" si="110"/>
        <v>36583.200000000004</v>
      </c>
      <c r="CE944" s="69">
        <f t="shared" si="113"/>
        <v>0</v>
      </c>
      <c r="CF944" s="75">
        <f t="shared" si="111"/>
        <v>8123</v>
      </c>
      <c r="CG944" s="69" t="str">
        <f t="shared" si="111"/>
        <v>ماليزى اسنان</v>
      </c>
    </row>
    <row r="945" spans="2:94" x14ac:dyDescent="0.25">
      <c r="B945" s="69" t="str">
        <f>+B944</f>
        <v>22/2/2024</v>
      </c>
      <c r="C945" s="82">
        <v>6788</v>
      </c>
      <c r="D945" s="95">
        <v>8123</v>
      </c>
      <c r="E945" s="69" t="s">
        <v>121</v>
      </c>
      <c r="F945" s="69" t="s">
        <v>2071</v>
      </c>
      <c r="G945" s="69" t="s">
        <v>220</v>
      </c>
      <c r="H945" s="69">
        <v>198.18</v>
      </c>
      <c r="U945" s="69"/>
      <c r="V945" s="69"/>
      <c r="AS945" s="91">
        <f t="shared" si="112"/>
        <v>198.18</v>
      </c>
      <c r="AT945" s="69">
        <v>134.63</v>
      </c>
      <c r="AU945" s="69">
        <f>14.97+0.6</f>
        <v>15.57</v>
      </c>
      <c r="AV945" s="69">
        <f>41.1+6.8</f>
        <v>47.9</v>
      </c>
      <c r="AW945" s="69">
        <v>0.08</v>
      </c>
      <c r="CD945" s="91">
        <f t="shared" ref="CD945:CD948" si="115">SUM(AT945:CC945)</f>
        <v>198.18</v>
      </c>
      <c r="CE945" s="69">
        <f t="shared" si="113"/>
        <v>0</v>
      </c>
      <c r="CF945" s="75">
        <f t="shared" si="111"/>
        <v>8123</v>
      </c>
      <c r="CG945" s="69" t="str">
        <f t="shared" si="111"/>
        <v>ماليزى اسنان</v>
      </c>
    </row>
    <row r="946" spans="2:94" x14ac:dyDescent="0.25">
      <c r="B946" s="69" t="s">
        <v>2069</v>
      </c>
      <c r="C946" s="82">
        <v>6789</v>
      </c>
      <c r="D946" s="95">
        <v>8124</v>
      </c>
      <c r="E946" s="69" t="s">
        <v>121</v>
      </c>
      <c r="F946" s="69" t="s">
        <v>2071</v>
      </c>
      <c r="G946" s="69" t="s">
        <v>220</v>
      </c>
      <c r="H946" s="69">
        <v>942.78</v>
      </c>
      <c r="U946" s="69"/>
      <c r="V946" s="69"/>
      <c r="AS946" s="91">
        <f t="shared" si="112"/>
        <v>942.78</v>
      </c>
      <c r="AT946" s="69">
        <v>596.33000000000004</v>
      </c>
      <c r="AU946" s="69">
        <f>114.3+3.55</f>
        <v>117.85</v>
      </c>
      <c r="AV946" s="69">
        <f>175.1+24.1+29</f>
        <v>228.2</v>
      </c>
      <c r="AW946" s="69">
        <v>0.4</v>
      </c>
      <c r="CD946" s="91">
        <f t="shared" si="115"/>
        <v>942.78000000000009</v>
      </c>
      <c r="CE946" s="69">
        <f t="shared" si="113"/>
        <v>0</v>
      </c>
      <c r="CF946" s="75">
        <f t="shared" si="111"/>
        <v>8124</v>
      </c>
      <c r="CG946" s="69" t="str">
        <f t="shared" si="111"/>
        <v>ماليزى اسنان</v>
      </c>
    </row>
    <row r="947" spans="2:94" x14ac:dyDescent="0.25">
      <c r="B947" s="69" t="s">
        <v>2069</v>
      </c>
      <c r="C947" s="82">
        <v>6785</v>
      </c>
      <c r="D947" s="95">
        <v>8125</v>
      </c>
      <c r="E947" s="69" t="s">
        <v>121</v>
      </c>
      <c r="F947" s="69" t="s">
        <v>2072</v>
      </c>
      <c r="G947" s="69" t="s">
        <v>220</v>
      </c>
      <c r="H947" s="69">
        <v>5620.56</v>
      </c>
      <c r="U947" s="69"/>
      <c r="V947" s="69"/>
      <c r="AS947" s="91">
        <f t="shared" si="112"/>
        <v>5620.56</v>
      </c>
      <c r="AT947" s="69">
        <v>3811.68</v>
      </c>
      <c r="AU947" s="69">
        <f>423.78+27.9</f>
        <v>451.67999999999995</v>
      </c>
      <c r="AV947" s="69">
        <f>1162.8+192</f>
        <v>1354.8</v>
      </c>
      <c r="AW947" s="69">
        <v>2.4</v>
      </c>
      <c r="CD947" s="91">
        <f t="shared" si="115"/>
        <v>5620.5599999999995</v>
      </c>
      <c r="CE947" s="69">
        <f t="shared" si="113"/>
        <v>0</v>
      </c>
      <c r="CF947" s="75">
        <f t="shared" si="111"/>
        <v>8125</v>
      </c>
      <c r="CG947" s="69" t="str">
        <f t="shared" si="111"/>
        <v>ماليزى اسنان</v>
      </c>
    </row>
    <row r="948" spans="2:94" x14ac:dyDescent="0.25">
      <c r="B948" s="69" t="str">
        <f>+B947</f>
        <v>22/2/2024</v>
      </c>
      <c r="C948" s="82">
        <v>6791</v>
      </c>
      <c r="D948" s="95">
        <v>8125</v>
      </c>
      <c r="E948" s="69" t="s">
        <v>121</v>
      </c>
      <c r="F948" s="69" t="str">
        <f>+F945</f>
        <v>مكافاه امتحان دائمين يناير</v>
      </c>
      <c r="G948" s="69" t="s">
        <v>220</v>
      </c>
      <c r="H948" s="69">
        <v>1009.83</v>
      </c>
      <c r="U948" s="69"/>
      <c r="V948" s="69"/>
      <c r="AS948" s="91">
        <f t="shared" si="112"/>
        <v>1009.83</v>
      </c>
      <c r="AT948" s="69">
        <v>646.97</v>
      </c>
      <c r="AU948" s="69">
        <f>114.23+4</f>
        <v>118.23</v>
      </c>
      <c r="AV948" s="69">
        <f>171.6+19.5+53.1</f>
        <v>244.2</v>
      </c>
      <c r="AW948" s="69">
        <v>0.43</v>
      </c>
      <c r="CD948" s="91">
        <f t="shared" si="115"/>
        <v>1009.83</v>
      </c>
      <c r="CE948" s="69">
        <f t="shared" si="113"/>
        <v>0</v>
      </c>
      <c r="CF948" s="75">
        <f t="shared" si="111"/>
        <v>8125</v>
      </c>
      <c r="CG948" s="69" t="str">
        <f t="shared" si="111"/>
        <v>ماليزى اسنان</v>
      </c>
    </row>
    <row r="949" spans="2:94" x14ac:dyDescent="0.25">
      <c r="B949" s="69" t="s">
        <v>2069</v>
      </c>
      <c r="C949" s="82">
        <v>6784</v>
      </c>
      <c r="D949" s="95">
        <v>8126</v>
      </c>
      <c r="E949" s="69" t="s">
        <v>121</v>
      </c>
      <c r="F949" s="69" t="s">
        <v>2073</v>
      </c>
      <c r="G949" s="69" t="s">
        <v>220</v>
      </c>
      <c r="H949" s="69">
        <v>63075.83</v>
      </c>
      <c r="U949" s="69"/>
      <c r="V949" s="69"/>
      <c r="AS949" s="91">
        <f t="shared" si="112"/>
        <v>63075.83</v>
      </c>
      <c r="AT949" s="69">
        <v>42769.11</v>
      </c>
      <c r="AU949" s="69">
        <f>4754.79+316.2</f>
        <v>5070.99</v>
      </c>
      <c r="AV949" s="69">
        <f>13053.6+2155.2</f>
        <v>15208.8</v>
      </c>
      <c r="AW949" s="69">
        <v>26.93</v>
      </c>
      <c r="CD949" s="91">
        <f t="shared" si="110"/>
        <v>63075.829999999994</v>
      </c>
      <c r="CE949" s="69">
        <f t="shared" si="113"/>
        <v>0</v>
      </c>
      <c r="CF949" s="75">
        <f t="shared" si="111"/>
        <v>8126</v>
      </c>
      <c r="CG949" s="69" t="str">
        <f t="shared" si="111"/>
        <v>ماليزى اسنان</v>
      </c>
    </row>
    <row r="950" spans="2:94" x14ac:dyDescent="0.25">
      <c r="B950" s="69" t="str">
        <f>+B949</f>
        <v>22/2/2024</v>
      </c>
      <c r="C950" s="82">
        <v>6787</v>
      </c>
      <c r="D950" s="95">
        <v>8126</v>
      </c>
      <c r="E950" s="69" t="s">
        <v>121</v>
      </c>
      <c r="F950" s="69" t="str">
        <f>+F946</f>
        <v>مكافاه امتحان دائمين يناير</v>
      </c>
      <c r="G950" s="69" t="s">
        <v>220</v>
      </c>
      <c r="H950" s="69">
        <v>1524.3</v>
      </c>
      <c r="U950" s="69"/>
      <c r="V950" s="69"/>
      <c r="AS950" s="91">
        <f t="shared" si="112"/>
        <v>1524.3</v>
      </c>
      <c r="AT950" s="69">
        <v>1033.19</v>
      </c>
      <c r="AU950" s="69">
        <v>123.16</v>
      </c>
      <c r="AV950" s="69">
        <f>52+315.3</f>
        <v>367.3</v>
      </c>
      <c r="AW950" s="69">
        <v>0.65</v>
      </c>
      <c r="CD950" s="91">
        <f t="shared" ref="CD950" si="116">SUM(AT950:CC950)</f>
        <v>1524.3000000000002</v>
      </c>
      <c r="CE950" s="69">
        <f t="shared" si="113"/>
        <v>0</v>
      </c>
      <c r="CF950" s="75">
        <f t="shared" si="111"/>
        <v>8126</v>
      </c>
      <c r="CG950" s="69" t="str">
        <f t="shared" si="111"/>
        <v>ماليزى اسنان</v>
      </c>
    </row>
    <row r="951" spans="2:94" x14ac:dyDescent="0.25">
      <c r="B951" s="69" t="s">
        <v>2069</v>
      </c>
      <c r="C951" s="82"/>
      <c r="D951" s="95">
        <v>8126</v>
      </c>
      <c r="E951" s="69" t="s">
        <v>121</v>
      </c>
      <c r="F951" s="69" t="str">
        <f>+F950</f>
        <v>مكافاه امتحان دائمين يناير</v>
      </c>
      <c r="G951" s="69" t="s">
        <v>220</v>
      </c>
      <c r="H951" s="69">
        <f>172013.42-H950-H949</f>
        <v>107413.29000000002</v>
      </c>
      <c r="U951" s="69"/>
      <c r="V951" s="69"/>
      <c r="AS951" s="91">
        <f t="shared" si="112"/>
        <v>107413.29000000002</v>
      </c>
      <c r="AT951" s="69">
        <f>112929.89-AT950-AT949</f>
        <v>69127.59</v>
      </c>
      <c r="AU951" s="69">
        <f>17797.45-AU950-AU949</f>
        <v>12603.300000000001</v>
      </c>
      <c r="AV951" s="69">
        <f>41212.9-AV950-AV949</f>
        <v>25636.799999999999</v>
      </c>
      <c r="AW951" s="69">
        <f>73.18-AW950-AW949</f>
        <v>45.6</v>
      </c>
      <c r="CD951" s="91">
        <f t="shared" ref="CD951" si="117">SUM(AT951:CC951)</f>
        <v>107413.29000000001</v>
      </c>
      <c r="CE951" s="69">
        <f t="shared" si="113"/>
        <v>0</v>
      </c>
      <c r="CF951" s="75">
        <f t="shared" si="111"/>
        <v>8126</v>
      </c>
      <c r="CG951" s="69" t="str">
        <f t="shared" si="111"/>
        <v>ماليزى اسنان</v>
      </c>
    </row>
    <row r="952" spans="2:94" x14ac:dyDescent="0.25">
      <c r="B952" s="69" t="s">
        <v>2069</v>
      </c>
      <c r="C952" s="82"/>
      <c r="D952" s="95">
        <v>8127</v>
      </c>
      <c r="F952" s="69" t="s">
        <v>2074</v>
      </c>
      <c r="G952" s="69" t="s">
        <v>220</v>
      </c>
      <c r="U952" s="69"/>
      <c r="V952" s="69"/>
      <c r="AD952" s="69">
        <v>633.20000000000005</v>
      </c>
      <c r="AS952" s="91">
        <f t="shared" si="112"/>
        <v>633.20000000000005</v>
      </c>
      <c r="AT952" s="69">
        <v>633.20000000000005</v>
      </c>
      <c r="AU952" s="69"/>
      <c r="CD952" s="91">
        <f t="shared" si="110"/>
        <v>633.20000000000005</v>
      </c>
      <c r="CE952" s="69">
        <f t="shared" si="113"/>
        <v>0</v>
      </c>
      <c r="CF952" s="75">
        <f t="shared" si="111"/>
        <v>8127</v>
      </c>
      <c r="CG952" s="69">
        <f t="shared" si="111"/>
        <v>0</v>
      </c>
    </row>
    <row r="953" spans="2:94" x14ac:dyDescent="0.25">
      <c r="B953" s="69" t="s">
        <v>2069</v>
      </c>
      <c r="C953" s="82"/>
      <c r="D953" s="95">
        <v>8128</v>
      </c>
      <c r="F953" s="69" t="s">
        <v>2074</v>
      </c>
      <c r="G953" s="69" t="s">
        <v>220</v>
      </c>
      <c r="U953" s="69"/>
      <c r="V953" s="69"/>
      <c r="AD953" s="69">
        <v>800</v>
      </c>
      <c r="AS953" s="91">
        <f t="shared" si="112"/>
        <v>800</v>
      </c>
      <c r="AT953" s="69">
        <v>800</v>
      </c>
      <c r="AU953" s="69"/>
      <c r="CD953" s="91">
        <f t="shared" si="110"/>
        <v>800</v>
      </c>
      <c r="CE953" s="69">
        <f t="shared" si="113"/>
        <v>0</v>
      </c>
      <c r="CF953" s="75">
        <f t="shared" si="111"/>
        <v>8128</v>
      </c>
      <c r="CG953" s="69">
        <f t="shared" si="111"/>
        <v>0</v>
      </c>
    </row>
    <row r="954" spans="2:94" x14ac:dyDescent="0.25">
      <c r="B954" s="69" t="s">
        <v>2075</v>
      </c>
      <c r="C954" s="82">
        <v>13707</v>
      </c>
      <c r="D954" s="78">
        <v>8129</v>
      </c>
      <c r="E954" s="69" t="s">
        <v>78</v>
      </c>
      <c r="F954" s="69" t="s">
        <v>2076</v>
      </c>
      <c r="G954" s="69"/>
      <c r="H954" s="69">
        <v>60908.13</v>
      </c>
      <c r="U954" s="69"/>
      <c r="V954" s="69"/>
      <c r="AS954" s="91">
        <f t="shared" si="112"/>
        <v>60908.13</v>
      </c>
      <c r="AT954" s="69">
        <v>40654.28</v>
      </c>
      <c r="AU954" s="69">
        <f>384+5194.71</f>
        <v>5578.71</v>
      </c>
      <c r="AV954" s="69">
        <v>14675.14</v>
      </c>
      <c r="CD954" s="91">
        <f t="shared" si="110"/>
        <v>60908.13</v>
      </c>
      <c r="CE954" s="69">
        <f t="shared" si="113"/>
        <v>0</v>
      </c>
      <c r="CF954" s="75">
        <f t="shared" ref="CF954:CG1019" si="118">+D954</f>
        <v>8129</v>
      </c>
      <c r="CG954" s="69" t="str">
        <f t="shared" si="118"/>
        <v>برنامج دولى</v>
      </c>
    </row>
    <row r="955" spans="2:94" s="68" customFormat="1" x14ac:dyDescent="0.25">
      <c r="C955" s="83"/>
      <c r="D955" s="84"/>
      <c r="F955" s="68" t="s">
        <v>2077</v>
      </c>
      <c r="H955" s="68">
        <f t="shared" ref="H955:AN955" si="119">SUM(H811:H954)-H956-H957</f>
        <v>852745.89999999991</v>
      </c>
      <c r="I955" s="68">
        <f t="shared" si="119"/>
        <v>43919.99</v>
      </c>
      <c r="J955" s="68">
        <f t="shared" si="119"/>
        <v>0</v>
      </c>
      <c r="K955" s="68">
        <f t="shared" si="119"/>
        <v>0</v>
      </c>
      <c r="L955" s="68">
        <f t="shared" si="119"/>
        <v>835035</v>
      </c>
      <c r="M955" s="68">
        <f t="shared" si="119"/>
        <v>835035</v>
      </c>
      <c r="N955" s="68">
        <f t="shared" si="119"/>
        <v>835035</v>
      </c>
      <c r="O955" s="68">
        <f t="shared" si="119"/>
        <v>0</v>
      </c>
      <c r="P955" s="68">
        <f t="shared" si="119"/>
        <v>0</v>
      </c>
      <c r="Q955" s="68">
        <f t="shared" si="119"/>
        <v>0</v>
      </c>
      <c r="R955" s="68">
        <f t="shared" si="119"/>
        <v>0</v>
      </c>
      <c r="S955" s="68">
        <f t="shared" si="119"/>
        <v>0</v>
      </c>
      <c r="T955" s="68">
        <f t="shared" si="119"/>
        <v>0</v>
      </c>
      <c r="U955" s="68">
        <f t="shared" si="119"/>
        <v>0</v>
      </c>
      <c r="V955" s="68">
        <f t="shared" si="119"/>
        <v>0</v>
      </c>
      <c r="W955" s="68">
        <f t="shared" si="119"/>
        <v>0</v>
      </c>
      <c r="X955" s="68">
        <f t="shared" si="119"/>
        <v>0</v>
      </c>
      <c r="Y955" s="68">
        <f t="shared" si="119"/>
        <v>0</v>
      </c>
      <c r="Z955" s="68">
        <f t="shared" si="119"/>
        <v>4400</v>
      </c>
      <c r="AA955" s="68">
        <f t="shared" si="119"/>
        <v>0</v>
      </c>
      <c r="AB955" s="68">
        <f t="shared" si="119"/>
        <v>0</v>
      </c>
      <c r="AC955" s="68">
        <f t="shared" si="119"/>
        <v>0</v>
      </c>
      <c r="AD955" s="68">
        <f t="shared" si="119"/>
        <v>0</v>
      </c>
      <c r="AE955" s="68">
        <f t="shared" si="119"/>
        <v>0</v>
      </c>
      <c r="AF955" s="68">
        <f t="shared" si="119"/>
        <v>0</v>
      </c>
      <c r="AG955" s="68">
        <f t="shared" si="119"/>
        <v>0</v>
      </c>
      <c r="AH955" s="68">
        <f t="shared" si="119"/>
        <v>0</v>
      </c>
      <c r="AI955" s="68">
        <f t="shared" si="119"/>
        <v>0</v>
      </c>
      <c r="AJ955" s="68">
        <f t="shared" si="119"/>
        <v>0</v>
      </c>
      <c r="AK955" s="68">
        <f t="shared" si="119"/>
        <v>0</v>
      </c>
      <c r="AL955" s="68">
        <f t="shared" si="119"/>
        <v>0</v>
      </c>
      <c r="AM955" s="68">
        <f t="shared" si="119"/>
        <v>0</v>
      </c>
      <c r="AN955" s="68">
        <f t="shared" si="119"/>
        <v>0</v>
      </c>
      <c r="AP955" s="68">
        <f t="shared" ref="AP955:BU955" si="120">SUM(AP811:AP954)-AP956-AP957</f>
        <v>0</v>
      </c>
      <c r="AQ955" s="68">
        <f t="shared" si="120"/>
        <v>0</v>
      </c>
      <c r="AR955" s="68">
        <f t="shared" si="120"/>
        <v>0</v>
      </c>
      <c r="AS955" s="68">
        <f t="shared" si="120"/>
        <v>3406170.8900000011</v>
      </c>
      <c r="AT955" s="68">
        <f t="shared" si="120"/>
        <v>755341.09999999974</v>
      </c>
      <c r="AU955" s="68">
        <f t="shared" si="120"/>
        <v>93714.450000000026</v>
      </c>
      <c r="AV955" s="68">
        <f t="shared" si="120"/>
        <v>66433.13</v>
      </c>
      <c r="AW955" s="68">
        <f t="shared" si="120"/>
        <v>1685</v>
      </c>
      <c r="AX955" s="68">
        <f t="shared" si="120"/>
        <v>338.76</v>
      </c>
      <c r="AY955" s="68">
        <f t="shared" si="120"/>
        <v>0</v>
      </c>
      <c r="AZ955" s="68">
        <f t="shared" si="120"/>
        <v>0</v>
      </c>
      <c r="BA955" s="68">
        <f t="shared" si="120"/>
        <v>0</v>
      </c>
      <c r="BB955" s="68">
        <f t="shared" si="120"/>
        <v>0</v>
      </c>
      <c r="BC955" s="68">
        <f t="shared" si="120"/>
        <v>0</v>
      </c>
      <c r="BD955" s="68">
        <f t="shared" si="120"/>
        <v>0</v>
      </c>
      <c r="BE955" s="68">
        <f t="shared" si="120"/>
        <v>0</v>
      </c>
      <c r="BF955" s="68">
        <f t="shared" si="120"/>
        <v>719513.1</v>
      </c>
      <c r="BG955" s="68">
        <f t="shared" si="120"/>
        <v>7817.55</v>
      </c>
      <c r="BH955" s="68">
        <f t="shared" si="120"/>
        <v>208</v>
      </c>
      <c r="BI955" s="68">
        <f t="shared" si="120"/>
        <v>6966.2999999999993</v>
      </c>
      <c r="BJ955" s="68">
        <f t="shared" si="120"/>
        <v>41751.75</v>
      </c>
      <c r="BK955" s="68">
        <f t="shared" si="120"/>
        <v>0</v>
      </c>
      <c r="BL955" s="68">
        <f t="shared" si="120"/>
        <v>835035</v>
      </c>
      <c r="BM955" s="68">
        <f t="shared" si="120"/>
        <v>835035</v>
      </c>
      <c r="BN955" s="68">
        <f t="shared" si="120"/>
        <v>0</v>
      </c>
      <c r="BO955" s="68">
        <f t="shared" si="120"/>
        <v>0</v>
      </c>
      <c r="BP955" s="68">
        <f t="shared" si="120"/>
        <v>0</v>
      </c>
      <c r="BQ955" s="68">
        <f t="shared" si="120"/>
        <v>0</v>
      </c>
      <c r="BR955" s="68">
        <f t="shared" si="120"/>
        <v>0</v>
      </c>
      <c r="BS955" s="68">
        <f t="shared" si="120"/>
        <v>0</v>
      </c>
      <c r="BT955" s="68">
        <f t="shared" si="120"/>
        <v>0</v>
      </c>
      <c r="BU955" s="68">
        <f t="shared" si="120"/>
        <v>0</v>
      </c>
      <c r="BV955" s="68">
        <f t="shared" ref="BV955:CO955" si="121">SUM(BV811:BV954)-BV956-BV957</f>
        <v>0</v>
      </c>
      <c r="BW955" s="68">
        <f t="shared" si="121"/>
        <v>0</v>
      </c>
      <c r="BX955" s="68">
        <f t="shared" si="121"/>
        <v>0</v>
      </c>
      <c r="BY955" s="68">
        <f t="shared" si="121"/>
        <v>0</v>
      </c>
      <c r="BZ955" s="68">
        <f t="shared" si="121"/>
        <v>0</v>
      </c>
      <c r="CA955" s="68">
        <f t="shared" si="121"/>
        <v>0</v>
      </c>
      <c r="CB955" s="68">
        <f t="shared" si="121"/>
        <v>0</v>
      </c>
      <c r="CC955" s="68">
        <f t="shared" si="121"/>
        <v>42331.75</v>
      </c>
      <c r="CD955" s="68">
        <f t="shared" si="121"/>
        <v>3406170.8900000011</v>
      </c>
      <c r="CE955" s="68">
        <f t="shared" si="121"/>
        <v>0</v>
      </c>
      <c r="CG955" s="68">
        <f t="shared" si="121"/>
        <v>0</v>
      </c>
      <c r="CH955" s="68">
        <f t="shared" si="121"/>
        <v>0</v>
      </c>
      <c r="CI955" s="68">
        <f t="shared" si="121"/>
        <v>0</v>
      </c>
      <c r="CJ955" s="68">
        <f t="shared" si="121"/>
        <v>0</v>
      </c>
      <c r="CK955" s="68">
        <f t="shared" si="121"/>
        <v>0</v>
      </c>
      <c r="CL955" s="68">
        <f t="shared" si="121"/>
        <v>0</v>
      </c>
      <c r="CM955" s="68">
        <f t="shared" si="121"/>
        <v>0</v>
      </c>
      <c r="CN955" s="68">
        <f t="shared" si="121"/>
        <v>0</v>
      </c>
      <c r="CO955" s="68">
        <f t="shared" si="121"/>
        <v>0</v>
      </c>
    </row>
    <row r="956" spans="2:94" s="68" customFormat="1" x14ac:dyDescent="0.25">
      <c r="C956" s="83"/>
      <c r="D956" s="84"/>
      <c r="F956" s="68" t="s">
        <v>2078</v>
      </c>
      <c r="H956" s="68">
        <f t="shared" ref="H956:AN956" si="122">SUM(H941:H942)</f>
        <v>80409.62999999999</v>
      </c>
      <c r="I956" s="68">
        <f t="shared" si="122"/>
        <v>0</v>
      </c>
      <c r="J956" s="68">
        <f t="shared" si="122"/>
        <v>0</v>
      </c>
      <c r="K956" s="68">
        <f t="shared" si="122"/>
        <v>0</v>
      </c>
      <c r="L956" s="68">
        <f t="shared" si="122"/>
        <v>0</v>
      </c>
      <c r="M956" s="68">
        <f t="shared" si="122"/>
        <v>0</v>
      </c>
      <c r="N956" s="68">
        <f t="shared" si="122"/>
        <v>0</v>
      </c>
      <c r="O956" s="68">
        <f t="shared" si="122"/>
        <v>0</v>
      </c>
      <c r="P956" s="68">
        <f t="shared" si="122"/>
        <v>0</v>
      </c>
      <c r="Q956" s="68">
        <f t="shared" si="122"/>
        <v>0</v>
      </c>
      <c r="R956" s="68">
        <f t="shared" si="122"/>
        <v>0</v>
      </c>
      <c r="S956" s="68">
        <f t="shared" si="122"/>
        <v>0</v>
      </c>
      <c r="T956" s="68">
        <f t="shared" si="122"/>
        <v>0</v>
      </c>
      <c r="U956" s="68">
        <f t="shared" si="122"/>
        <v>0</v>
      </c>
      <c r="V956" s="68">
        <f t="shared" si="122"/>
        <v>0</v>
      </c>
      <c r="W956" s="68">
        <f t="shared" si="122"/>
        <v>0</v>
      </c>
      <c r="X956" s="68">
        <f t="shared" si="122"/>
        <v>0</v>
      </c>
      <c r="Y956" s="68">
        <f t="shared" si="122"/>
        <v>0</v>
      </c>
      <c r="Z956" s="68">
        <f t="shared" si="122"/>
        <v>0</v>
      </c>
      <c r="AA956" s="68">
        <f t="shared" si="122"/>
        <v>0</v>
      </c>
      <c r="AB956" s="68">
        <f t="shared" si="122"/>
        <v>0</v>
      </c>
      <c r="AC956" s="68">
        <f t="shared" si="122"/>
        <v>0</v>
      </c>
      <c r="AD956" s="68">
        <f t="shared" si="122"/>
        <v>0</v>
      </c>
      <c r="AE956" s="68">
        <f t="shared" si="122"/>
        <v>0</v>
      </c>
      <c r="AF956" s="68">
        <f t="shared" si="122"/>
        <v>0</v>
      </c>
      <c r="AG956" s="68">
        <f t="shared" si="122"/>
        <v>0</v>
      </c>
      <c r="AH956" s="68">
        <f t="shared" si="122"/>
        <v>0</v>
      </c>
      <c r="AI956" s="68">
        <f t="shared" si="122"/>
        <v>0</v>
      </c>
      <c r="AJ956" s="68">
        <f t="shared" si="122"/>
        <v>0</v>
      </c>
      <c r="AK956" s="68">
        <f t="shared" si="122"/>
        <v>0</v>
      </c>
      <c r="AL956" s="68">
        <f t="shared" si="122"/>
        <v>0</v>
      </c>
      <c r="AM956" s="68">
        <f t="shared" si="122"/>
        <v>0</v>
      </c>
      <c r="AN956" s="68">
        <f t="shared" si="122"/>
        <v>0</v>
      </c>
      <c r="AP956" s="68">
        <f t="shared" ref="AP956:CP956" si="123">SUM(AP941:AP942)</f>
        <v>0</v>
      </c>
      <c r="AQ956" s="68">
        <f t="shared" si="123"/>
        <v>0</v>
      </c>
      <c r="AR956" s="68">
        <f t="shared" si="123"/>
        <v>0</v>
      </c>
      <c r="AS956" s="68">
        <f t="shared" si="123"/>
        <v>80409.62999999999</v>
      </c>
      <c r="AT956" s="68">
        <f t="shared" si="123"/>
        <v>55055.24</v>
      </c>
      <c r="AU956" s="68">
        <f t="shared" si="123"/>
        <v>5994.11</v>
      </c>
      <c r="AV956" s="68">
        <f t="shared" si="123"/>
        <v>19326.800000000003</v>
      </c>
      <c r="AW956" s="68">
        <f t="shared" si="123"/>
        <v>33.479999999999997</v>
      </c>
      <c r="AX956" s="68">
        <f t="shared" si="123"/>
        <v>0</v>
      </c>
      <c r="AY956" s="68">
        <f t="shared" si="123"/>
        <v>0</v>
      </c>
      <c r="AZ956" s="68">
        <f t="shared" si="123"/>
        <v>0</v>
      </c>
      <c r="BA956" s="68">
        <f t="shared" si="123"/>
        <v>0</v>
      </c>
      <c r="BB956" s="68">
        <f t="shared" si="123"/>
        <v>0</v>
      </c>
      <c r="BC956" s="68">
        <f t="shared" si="123"/>
        <v>0</v>
      </c>
      <c r="BD956" s="68">
        <f t="shared" si="123"/>
        <v>0</v>
      </c>
      <c r="BE956" s="68">
        <f t="shared" si="123"/>
        <v>0</v>
      </c>
      <c r="BF956" s="68">
        <f t="shared" si="123"/>
        <v>0</v>
      </c>
      <c r="BG956" s="68">
        <f t="shared" si="123"/>
        <v>0</v>
      </c>
      <c r="BH956" s="68">
        <f t="shared" si="123"/>
        <v>0</v>
      </c>
      <c r="BI956" s="68">
        <f t="shared" si="123"/>
        <v>0</v>
      </c>
      <c r="BJ956" s="68">
        <f t="shared" si="123"/>
        <v>0</v>
      </c>
      <c r="BK956" s="68">
        <f t="shared" si="123"/>
        <v>0</v>
      </c>
      <c r="BL956" s="68">
        <f t="shared" si="123"/>
        <v>0</v>
      </c>
      <c r="BM956" s="68">
        <f t="shared" si="123"/>
        <v>0</v>
      </c>
      <c r="BN956" s="68">
        <f t="shared" si="123"/>
        <v>0</v>
      </c>
      <c r="BO956" s="68">
        <f t="shared" si="123"/>
        <v>0</v>
      </c>
      <c r="BP956" s="68">
        <f t="shared" si="123"/>
        <v>0</v>
      </c>
      <c r="BQ956" s="68">
        <f t="shared" si="123"/>
        <v>0</v>
      </c>
      <c r="BR956" s="68">
        <f t="shared" si="123"/>
        <v>0</v>
      </c>
      <c r="BS956" s="68">
        <f t="shared" si="123"/>
        <v>0</v>
      </c>
      <c r="BT956" s="68">
        <f t="shared" si="123"/>
        <v>0</v>
      </c>
      <c r="BU956" s="68">
        <f t="shared" si="123"/>
        <v>0</v>
      </c>
      <c r="BV956" s="68">
        <f t="shared" si="123"/>
        <v>0</v>
      </c>
      <c r="BW956" s="68">
        <f t="shared" si="123"/>
        <v>0</v>
      </c>
      <c r="BX956" s="68">
        <f t="shared" si="123"/>
        <v>0</v>
      </c>
      <c r="BY956" s="68">
        <f t="shared" si="123"/>
        <v>0</v>
      </c>
      <c r="BZ956" s="68">
        <f t="shared" si="123"/>
        <v>0</v>
      </c>
      <c r="CA956" s="68">
        <f t="shared" si="123"/>
        <v>0</v>
      </c>
      <c r="CB956" s="68">
        <f t="shared" si="123"/>
        <v>0</v>
      </c>
      <c r="CC956" s="68">
        <f t="shared" si="123"/>
        <v>0</v>
      </c>
      <c r="CD956" s="68">
        <f t="shared" si="123"/>
        <v>80409.63</v>
      </c>
      <c r="CE956" s="68">
        <f t="shared" si="123"/>
        <v>0</v>
      </c>
      <c r="CG956" s="68">
        <f t="shared" si="123"/>
        <v>0</v>
      </c>
      <c r="CH956" s="68">
        <f t="shared" si="123"/>
        <v>0</v>
      </c>
      <c r="CI956" s="68">
        <f t="shared" si="123"/>
        <v>0</v>
      </c>
      <c r="CJ956" s="68">
        <f t="shared" si="123"/>
        <v>0</v>
      </c>
      <c r="CK956" s="68">
        <f t="shared" si="123"/>
        <v>0</v>
      </c>
      <c r="CL956" s="68">
        <f t="shared" si="123"/>
        <v>0</v>
      </c>
      <c r="CM956" s="68">
        <f t="shared" si="123"/>
        <v>0</v>
      </c>
      <c r="CN956" s="68">
        <f t="shared" si="123"/>
        <v>0</v>
      </c>
      <c r="CO956" s="68">
        <f t="shared" si="123"/>
        <v>0</v>
      </c>
      <c r="CP956" s="68">
        <f t="shared" si="123"/>
        <v>0</v>
      </c>
    </row>
    <row r="957" spans="2:94" s="68" customFormat="1" x14ac:dyDescent="0.25">
      <c r="C957" s="83"/>
      <c r="D957" s="84"/>
      <c r="F957" s="68" t="s">
        <v>2079</v>
      </c>
      <c r="H957" s="68">
        <f>SUM(H944:H953)</f>
        <v>216367.97000000003</v>
      </c>
      <c r="I957" s="68">
        <f t="shared" ref="I957:BT957" si="124">SUM(I944:I953)</f>
        <v>0</v>
      </c>
      <c r="J957" s="68">
        <f t="shared" si="124"/>
        <v>0</v>
      </c>
      <c r="K957" s="68">
        <f t="shared" si="124"/>
        <v>0</v>
      </c>
      <c r="L957" s="68">
        <f t="shared" si="124"/>
        <v>0</v>
      </c>
      <c r="M957" s="68">
        <f t="shared" si="124"/>
        <v>0</v>
      </c>
      <c r="N957" s="68">
        <f t="shared" si="124"/>
        <v>0</v>
      </c>
      <c r="O957" s="68">
        <f t="shared" si="124"/>
        <v>0</v>
      </c>
      <c r="P957" s="68">
        <f t="shared" si="124"/>
        <v>0</v>
      </c>
      <c r="Q957" s="68">
        <f t="shared" si="124"/>
        <v>0</v>
      </c>
      <c r="R957" s="68">
        <f t="shared" si="124"/>
        <v>0</v>
      </c>
      <c r="S957" s="68">
        <f t="shared" si="124"/>
        <v>0</v>
      </c>
      <c r="T957" s="68">
        <f t="shared" si="124"/>
        <v>0</v>
      </c>
      <c r="U957" s="68">
        <f t="shared" si="124"/>
        <v>0</v>
      </c>
      <c r="V957" s="68">
        <f t="shared" si="124"/>
        <v>0</v>
      </c>
      <c r="W957" s="68">
        <f t="shared" si="124"/>
        <v>0</v>
      </c>
      <c r="X957" s="68">
        <f t="shared" si="124"/>
        <v>0</v>
      </c>
      <c r="Y957" s="68">
        <f t="shared" si="124"/>
        <v>0</v>
      </c>
      <c r="Z957" s="68">
        <f t="shared" si="124"/>
        <v>0</v>
      </c>
      <c r="AA957" s="68">
        <f t="shared" si="124"/>
        <v>0</v>
      </c>
      <c r="AB957" s="68">
        <f t="shared" si="124"/>
        <v>0</v>
      </c>
      <c r="AC957" s="68">
        <f t="shared" si="124"/>
        <v>0</v>
      </c>
      <c r="AD957" s="68">
        <f t="shared" si="124"/>
        <v>1433.2</v>
      </c>
      <c r="AE957" s="68">
        <f t="shared" si="124"/>
        <v>0</v>
      </c>
      <c r="AF957" s="68">
        <f t="shared" si="124"/>
        <v>0</v>
      </c>
      <c r="AG957" s="68">
        <f t="shared" si="124"/>
        <v>0</v>
      </c>
      <c r="AH957" s="68">
        <f t="shared" si="124"/>
        <v>0</v>
      </c>
      <c r="AI957" s="68">
        <f t="shared" si="124"/>
        <v>0</v>
      </c>
      <c r="AJ957" s="68">
        <f t="shared" si="124"/>
        <v>0</v>
      </c>
      <c r="AK957" s="68">
        <f t="shared" si="124"/>
        <v>0</v>
      </c>
      <c r="AL957" s="68">
        <f t="shared" si="124"/>
        <v>0</v>
      </c>
      <c r="AM957" s="68">
        <f t="shared" si="124"/>
        <v>0</v>
      </c>
      <c r="AN957" s="68">
        <f t="shared" si="124"/>
        <v>0</v>
      </c>
      <c r="AO957" s="68">
        <f t="shared" si="124"/>
        <v>0</v>
      </c>
      <c r="AP957" s="68">
        <f t="shared" si="124"/>
        <v>0</v>
      </c>
      <c r="AQ957" s="68">
        <f t="shared" si="124"/>
        <v>0</v>
      </c>
      <c r="AR957" s="68">
        <f t="shared" si="124"/>
        <v>0</v>
      </c>
      <c r="AS957" s="68">
        <f t="shared" si="124"/>
        <v>217801.17000000004</v>
      </c>
      <c r="AT957" s="68">
        <f t="shared" si="124"/>
        <v>144704.54</v>
      </c>
      <c r="AU957" s="68">
        <f t="shared" si="124"/>
        <v>21101.34</v>
      </c>
      <c r="AV957" s="68">
        <f t="shared" si="124"/>
        <v>51903.199999999997</v>
      </c>
      <c r="AW957" s="68">
        <f t="shared" si="124"/>
        <v>92.09</v>
      </c>
      <c r="AX957" s="68">
        <f t="shared" si="124"/>
        <v>0</v>
      </c>
      <c r="AY957" s="68">
        <f t="shared" si="124"/>
        <v>0</v>
      </c>
      <c r="AZ957" s="68">
        <f t="shared" si="124"/>
        <v>0</v>
      </c>
      <c r="BA957" s="68">
        <f t="shared" si="124"/>
        <v>0</v>
      </c>
      <c r="BB957" s="68">
        <f t="shared" si="124"/>
        <v>0</v>
      </c>
      <c r="BC957" s="68">
        <f t="shared" si="124"/>
        <v>0</v>
      </c>
      <c r="BD957" s="68">
        <f t="shared" si="124"/>
        <v>0</v>
      </c>
      <c r="BE957" s="68">
        <f t="shared" si="124"/>
        <v>0</v>
      </c>
      <c r="BF957" s="68">
        <f t="shared" si="124"/>
        <v>0</v>
      </c>
      <c r="BG957" s="68">
        <f t="shared" si="124"/>
        <v>0</v>
      </c>
      <c r="BH957" s="68">
        <f t="shared" si="124"/>
        <v>0</v>
      </c>
      <c r="BI957" s="68">
        <f t="shared" si="124"/>
        <v>0</v>
      </c>
      <c r="BJ957" s="68">
        <f t="shared" si="124"/>
        <v>0</v>
      </c>
      <c r="BK957" s="68">
        <f t="shared" si="124"/>
        <v>0</v>
      </c>
      <c r="BL957" s="68">
        <f t="shared" si="124"/>
        <v>0</v>
      </c>
      <c r="BM957" s="68">
        <f t="shared" si="124"/>
        <v>0</v>
      </c>
      <c r="BN957" s="68">
        <f t="shared" si="124"/>
        <v>0</v>
      </c>
      <c r="BO957" s="68">
        <f t="shared" si="124"/>
        <v>0</v>
      </c>
      <c r="BP957" s="68">
        <f t="shared" si="124"/>
        <v>0</v>
      </c>
      <c r="BQ957" s="68">
        <f t="shared" si="124"/>
        <v>0</v>
      </c>
      <c r="BR957" s="68">
        <f t="shared" si="124"/>
        <v>0</v>
      </c>
      <c r="BS957" s="68">
        <f t="shared" si="124"/>
        <v>0</v>
      </c>
      <c r="BT957" s="68">
        <f t="shared" si="124"/>
        <v>0</v>
      </c>
      <c r="BU957" s="68">
        <f t="shared" ref="BU957:CP957" si="125">SUM(BU944:BU953)</f>
        <v>0</v>
      </c>
      <c r="BV957" s="68">
        <f t="shared" si="125"/>
        <v>0</v>
      </c>
      <c r="BW957" s="68">
        <f t="shared" si="125"/>
        <v>0</v>
      </c>
      <c r="BX957" s="68">
        <f t="shared" si="125"/>
        <v>0</v>
      </c>
      <c r="BY957" s="68">
        <f t="shared" si="125"/>
        <v>0</v>
      </c>
      <c r="BZ957" s="68">
        <f t="shared" si="125"/>
        <v>0</v>
      </c>
      <c r="CA957" s="68">
        <f t="shared" si="125"/>
        <v>0</v>
      </c>
      <c r="CB957" s="68">
        <f t="shared" si="125"/>
        <v>0</v>
      </c>
      <c r="CC957" s="68">
        <f t="shared" si="125"/>
        <v>0</v>
      </c>
      <c r="CD957" s="68">
        <f t="shared" si="125"/>
        <v>217801.17000000004</v>
      </c>
      <c r="CE957" s="68">
        <f t="shared" si="125"/>
        <v>0</v>
      </c>
      <c r="CG957" s="68">
        <f t="shared" si="125"/>
        <v>0</v>
      </c>
      <c r="CH957" s="68">
        <f t="shared" si="125"/>
        <v>0</v>
      </c>
      <c r="CI957" s="68">
        <f t="shared" si="125"/>
        <v>0</v>
      </c>
      <c r="CJ957" s="68">
        <f t="shared" si="125"/>
        <v>0</v>
      </c>
      <c r="CK957" s="68">
        <f t="shared" si="125"/>
        <v>0</v>
      </c>
      <c r="CL957" s="68">
        <f t="shared" si="125"/>
        <v>0</v>
      </c>
      <c r="CM957" s="68">
        <f t="shared" si="125"/>
        <v>0</v>
      </c>
      <c r="CN957" s="68">
        <f t="shared" si="125"/>
        <v>0</v>
      </c>
      <c r="CO957" s="68">
        <f t="shared" si="125"/>
        <v>0</v>
      </c>
      <c r="CP957" s="68">
        <f t="shared" si="125"/>
        <v>0</v>
      </c>
    </row>
    <row r="958" spans="2:94" x14ac:dyDescent="0.25">
      <c r="C958" s="82">
        <v>13891</v>
      </c>
      <c r="D958" s="78">
        <v>8130</v>
      </c>
      <c r="E958" s="69" t="s">
        <v>78</v>
      </c>
      <c r="F958" s="69" t="s">
        <v>2080</v>
      </c>
      <c r="G958" s="69"/>
      <c r="I958" s="69">
        <v>10000</v>
      </c>
      <c r="P958" s="69">
        <v>10000</v>
      </c>
      <c r="U958" s="69"/>
      <c r="V958" s="69"/>
      <c r="AS958" s="91">
        <f t="shared" si="112"/>
        <v>20000</v>
      </c>
      <c r="AT958" s="69">
        <v>10000</v>
      </c>
      <c r="AU958" s="69"/>
      <c r="BO958" s="69">
        <v>10000</v>
      </c>
      <c r="CD958" s="91">
        <f t="shared" si="110"/>
        <v>20000</v>
      </c>
      <c r="CE958" s="69">
        <f t="shared" si="113"/>
        <v>0</v>
      </c>
      <c r="CF958" s="75">
        <f t="shared" si="118"/>
        <v>8130</v>
      </c>
      <c r="CG958" s="69" t="str">
        <f t="shared" si="118"/>
        <v>برنامج دولى</v>
      </c>
    </row>
    <row r="959" spans="2:94" x14ac:dyDescent="0.25">
      <c r="C959" s="82">
        <v>13892</v>
      </c>
      <c r="D959" s="78">
        <v>8131</v>
      </c>
      <c r="E959" s="69" t="s">
        <v>78</v>
      </c>
      <c r="F959" s="69" t="s">
        <v>2081</v>
      </c>
      <c r="G959" s="69"/>
      <c r="I959" s="69">
        <v>16000</v>
      </c>
      <c r="P959" s="69">
        <v>16000</v>
      </c>
      <c r="U959" s="69"/>
      <c r="V959" s="69"/>
      <c r="AS959" s="91">
        <f t="shared" si="112"/>
        <v>32000</v>
      </c>
      <c r="AT959" s="69">
        <v>16000</v>
      </c>
      <c r="AU959" s="69"/>
      <c r="BO959" s="69">
        <v>16000</v>
      </c>
      <c r="CD959" s="91">
        <f t="shared" si="110"/>
        <v>32000</v>
      </c>
      <c r="CE959" s="69">
        <f t="shared" si="113"/>
        <v>0</v>
      </c>
      <c r="CF959" s="75">
        <f t="shared" si="118"/>
        <v>8131</v>
      </c>
      <c r="CG959" s="69" t="str">
        <f t="shared" si="118"/>
        <v>برنامج دولى</v>
      </c>
    </row>
    <row r="960" spans="2:94" s="68" customFormat="1" x14ac:dyDescent="0.25">
      <c r="C960" s="83"/>
      <c r="D960" s="84"/>
      <c r="F960" s="68" t="s">
        <v>2082</v>
      </c>
      <c r="I960" s="68">
        <f>SUM(I958:I959)</f>
        <v>26000</v>
      </c>
      <c r="J960" s="68">
        <f t="shared" ref="J960:BV960" si="126">SUM(J958:J959)</f>
        <v>0</v>
      </c>
      <c r="K960" s="68">
        <f t="shared" si="126"/>
        <v>0</v>
      </c>
      <c r="L960" s="68">
        <f t="shared" si="126"/>
        <v>0</v>
      </c>
      <c r="M960" s="68">
        <f t="shared" si="126"/>
        <v>0</v>
      </c>
      <c r="N960" s="68">
        <f t="shared" si="126"/>
        <v>0</v>
      </c>
      <c r="O960" s="68">
        <f t="shared" si="126"/>
        <v>0</v>
      </c>
      <c r="P960" s="68">
        <f t="shared" si="126"/>
        <v>26000</v>
      </c>
      <c r="Q960" s="68">
        <f t="shared" si="126"/>
        <v>0</v>
      </c>
      <c r="R960" s="68">
        <f t="shared" si="126"/>
        <v>0</v>
      </c>
      <c r="S960" s="68">
        <f t="shared" si="126"/>
        <v>0</v>
      </c>
      <c r="T960" s="68">
        <f t="shared" si="126"/>
        <v>0</v>
      </c>
      <c r="U960" s="68">
        <f t="shared" si="126"/>
        <v>0</v>
      </c>
      <c r="V960" s="68">
        <f t="shared" si="126"/>
        <v>0</v>
      </c>
      <c r="W960" s="68">
        <f t="shared" si="126"/>
        <v>0</v>
      </c>
      <c r="X960" s="68">
        <f t="shared" si="126"/>
        <v>0</v>
      </c>
      <c r="Y960" s="68">
        <f t="shared" si="126"/>
        <v>0</v>
      </c>
      <c r="Z960" s="68">
        <f t="shared" si="126"/>
        <v>0</v>
      </c>
      <c r="AA960" s="68">
        <f t="shared" si="126"/>
        <v>0</v>
      </c>
      <c r="AB960" s="68">
        <f t="shared" si="126"/>
        <v>0</v>
      </c>
      <c r="AC960" s="68">
        <f t="shared" si="126"/>
        <v>0</v>
      </c>
      <c r="AD960" s="68">
        <f t="shared" si="126"/>
        <v>0</v>
      </c>
      <c r="AE960" s="68">
        <f t="shared" si="126"/>
        <v>0</v>
      </c>
      <c r="AF960" s="68">
        <f t="shared" si="126"/>
        <v>0</v>
      </c>
      <c r="AG960" s="68">
        <f t="shared" si="126"/>
        <v>0</v>
      </c>
      <c r="AH960" s="68">
        <f t="shared" si="126"/>
        <v>0</v>
      </c>
      <c r="AI960" s="68">
        <f t="shared" si="126"/>
        <v>0</v>
      </c>
      <c r="AJ960" s="68">
        <f t="shared" si="126"/>
        <v>0</v>
      </c>
      <c r="AK960" s="68">
        <f t="shared" si="126"/>
        <v>0</v>
      </c>
      <c r="AL960" s="68">
        <f t="shared" si="126"/>
        <v>0</v>
      </c>
      <c r="AM960" s="68">
        <f t="shared" si="126"/>
        <v>0</v>
      </c>
      <c r="AN960" s="68">
        <f t="shared" si="126"/>
        <v>0</v>
      </c>
      <c r="AP960" s="68">
        <f t="shared" si="126"/>
        <v>0</v>
      </c>
      <c r="AQ960" s="68">
        <f t="shared" si="126"/>
        <v>0</v>
      </c>
      <c r="AR960" s="68">
        <f t="shared" si="126"/>
        <v>0</v>
      </c>
      <c r="AS960" s="68">
        <f t="shared" si="126"/>
        <v>52000</v>
      </c>
      <c r="AT960" s="68">
        <f t="shared" si="126"/>
        <v>26000</v>
      </c>
      <c r="AU960" s="68">
        <f t="shared" si="126"/>
        <v>0</v>
      </c>
      <c r="AV960" s="68">
        <f t="shared" si="126"/>
        <v>0</v>
      </c>
      <c r="AW960" s="68">
        <f t="shared" si="126"/>
        <v>0</v>
      </c>
      <c r="AX960" s="68">
        <f t="shared" si="126"/>
        <v>0</v>
      </c>
      <c r="AY960" s="68">
        <f t="shared" si="126"/>
        <v>0</v>
      </c>
      <c r="AZ960" s="68">
        <f t="shared" si="126"/>
        <v>0</v>
      </c>
      <c r="BA960" s="68">
        <f t="shared" si="126"/>
        <v>0</v>
      </c>
      <c r="BB960" s="68">
        <f t="shared" si="126"/>
        <v>0</v>
      </c>
      <c r="BC960" s="68">
        <f t="shared" si="126"/>
        <v>0</v>
      </c>
      <c r="BD960" s="68">
        <f t="shared" si="126"/>
        <v>0</v>
      </c>
      <c r="BE960" s="68">
        <f t="shared" si="126"/>
        <v>0</v>
      </c>
      <c r="BF960" s="68">
        <f t="shared" si="126"/>
        <v>0</v>
      </c>
      <c r="BG960" s="68">
        <f t="shared" si="126"/>
        <v>0</v>
      </c>
      <c r="BH960" s="68">
        <f t="shared" si="126"/>
        <v>0</v>
      </c>
      <c r="BI960" s="68">
        <f t="shared" si="126"/>
        <v>0</v>
      </c>
      <c r="BJ960" s="68">
        <f t="shared" si="126"/>
        <v>0</v>
      </c>
      <c r="BK960" s="68">
        <f t="shared" si="126"/>
        <v>0</v>
      </c>
      <c r="BL960" s="68">
        <f t="shared" si="126"/>
        <v>0</v>
      </c>
      <c r="BM960" s="68">
        <f t="shared" si="126"/>
        <v>0</v>
      </c>
      <c r="BN960" s="68">
        <f t="shared" si="126"/>
        <v>0</v>
      </c>
      <c r="BO960" s="68">
        <f t="shared" si="126"/>
        <v>26000</v>
      </c>
      <c r="BP960" s="68">
        <f t="shared" si="126"/>
        <v>0</v>
      </c>
      <c r="BQ960" s="68">
        <f t="shared" si="126"/>
        <v>0</v>
      </c>
      <c r="BR960" s="68">
        <f t="shared" si="126"/>
        <v>0</v>
      </c>
      <c r="BS960" s="68">
        <f t="shared" si="126"/>
        <v>0</v>
      </c>
      <c r="BT960" s="68">
        <f t="shared" si="126"/>
        <v>0</v>
      </c>
      <c r="BU960" s="68">
        <f t="shared" si="126"/>
        <v>0</v>
      </c>
      <c r="BV960" s="68">
        <f t="shared" si="126"/>
        <v>0</v>
      </c>
      <c r="BW960" s="68">
        <f t="shared" ref="BW960:CJ960" si="127">SUM(BW958:BW959)</f>
        <v>0</v>
      </c>
      <c r="BX960" s="68">
        <f t="shared" si="127"/>
        <v>0</v>
      </c>
      <c r="BY960" s="68">
        <f t="shared" si="127"/>
        <v>0</v>
      </c>
      <c r="BZ960" s="68">
        <f t="shared" si="127"/>
        <v>0</v>
      </c>
      <c r="CA960" s="68">
        <f t="shared" si="127"/>
        <v>0</v>
      </c>
      <c r="CB960" s="68">
        <f t="shared" si="127"/>
        <v>0</v>
      </c>
      <c r="CC960" s="68">
        <f t="shared" si="127"/>
        <v>0</v>
      </c>
      <c r="CD960" s="68">
        <f t="shared" si="127"/>
        <v>52000</v>
      </c>
      <c r="CE960" s="68">
        <f t="shared" si="127"/>
        <v>0</v>
      </c>
      <c r="CG960" s="68">
        <f t="shared" si="127"/>
        <v>0</v>
      </c>
      <c r="CH960" s="68">
        <f t="shared" si="127"/>
        <v>0</v>
      </c>
      <c r="CI960" s="68">
        <f t="shared" si="127"/>
        <v>0</v>
      </c>
      <c r="CJ960" s="68">
        <f t="shared" si="127"/>
        <v>0</v>
      </c>
    </row>
    <row r="961" spans="2:85" x14ac:dyDescent="0.25">
      <c r="C961" s="82">
        <v>133952</v>
      </c>
      <c r="D961" s="78">
        <v>8132</v>
      </c>
      <c r="E961" s="69" t="s">
        <v>132</v>
      </c>
      <c r="F961" s="69" t="s">
        <v>2083</v>
      </c>
      <c r="G961" s="69"/>
      <c r="H961" s="69">
        <v>1903.24</v>
      </c>
      <c r="U961" s="69"/>
      <c r="V961" s="69"/>
      <c r="AS961" s="91">
        <f t="shared" si="112"/>
        <v>1903.24</v>
      </c>
      <c r="AT961" s="69">
        <v>1222.46</v>
      </c>
      <c r="AU961" s="69">
        <v>222.26</v>
      </c>
      <c r="AV961" s="69">
        <v>458.52</v>
      </c>
      <c r="CD961" s="91">
        <f t="shared" si="110"/>
        <v>1903.24</v>
      </c>
      <c r="CE961" s="69">
        <f t="shared" si="113"/>
        <v>0</v>
      </c>
      <c r="CF961" s="75">
        <f t="shared" si="118"/>
        <v>8132</v>
      </c>
      <c r="CG961" s="69" t="str">
        <f t="shared" si="118"/>
        <v>صيدلة اكلينيكى</v>
      </c>
    </row>
    <row r="962" spans="2:85" x14ac:dyDescent="0.25">
      <c r="C962" s="82">
        <v>13401</v>
      </c>
      <c r="D962" s="78">
        <v>8133</v>
      </c>
      <c r="E962" s="69" t="s">
        <v>132</v>
      </c>
      <c r="F962" s="69" t="s">
        <v>2083</v>
      </c>
      <c r="G962" s="69"/>
      <c r="H962" s="69">
        <v>13428.42</v>
      </c>
      <c r="U962" s="69"/>
      <c r="V962" s="69"/>
      <c r="AS962" s="91">
        <f t="shared" si="112"/>
        <v>13428.42</v>
      </c>
      <c r="AT962" s="69">
        <v>8670.86</v>
      </c>
      <c r="AU962" s="69">
        <v>1681.6</v>
      </c>
      <c r="AV962" s="69">
        <v>3075.96</v>
      </c>
      <c r="CD962" s="91">
        <f t="shared" si="110"/>
        <v>13428.420000000002</v>
      </c>
      <c r="CE962" s="69">
        <f t="shared" si="113"/>
        <v>0</v>
      </c>
      <c r="CF962" s="75">
        <f t="shared" si="118"/>
        <v>8133</v>
      </c>
      <c r="CG962" s="69" t="str">
        <f t="shared" si="118"/>
        <v>صيدلة اكلينيكى</v>
      </c>
    </row>
    <row r="963" spans="2:85" x14ac:dyDescent="0.25">
      <c r="C963" s="82">
        <v>13398</v>
      </c>
      <c r="D963" s="78">
        <v>8134</v>
      </c>
      <c r="E963" s="69" t="s">
        <v>132</v>
      </c>
      <c r="F963" s="69" t="s">
        <v>2083</v>
      </c>
      <c r="G963" s="69"/>
      <c r="H963" s="69">
        <v>9719.52</v>
      </c>
      <c r="U963" s="69"/>
      <c r="V963" s="69"/>
      <c r="AS963" s="91">
        <f t="shared" si="112"/>
        <v>9719.52</v>
      </c>
      <c r="AT963" s="69">
        <v>6857.56</v>
      </c>
      <c r="AU963" s="69">
        <v>1663.03</v>
      </c>
      <c r="AV963" s="69">
        <v>1198.93</v>
      </c>
      <c r="CD963" s="91">
        <f t="shared" si="110"/>
        <v>9719.52</v>
      </c>
      <c r="CE963" s="69">
        <f t="shared" si="113"/>
        <v>0</v>
      </c>
      <c r="CF963" s="75">
        <f t="shared" si="118"/>
        <v>8134</v>
      </c>
      <c r="CG963" s="69" t="str">
        <f t="shared" si="118"/>
        <v>صيدلة اكلينيكى</v>
      </c>
    </row>
    <row r="964" spans="2:85" x14ac:dyDescent="0.25">
      <c r="C964" s="82">
        <v>13404</v>
      </c>
      <c r="D964" s="78">
        <v>8135</v>
      </c>
      <c r="E964" s="69" t="s">
        <v>132</v>
      </c>
      <c r="F964" s="69" t="s">
        <v>2083</v>
      </c>
      <c r="G964" s="69"/>
      <c r="H964" s="69">
        <v>1869.04</v>
      </c>
      <c r="U964" s="69"/>
      <c r="V964" s="69"/>
      <c r="AS964" s="91">
        <f t="shared" si="112"/>
        <v>1869.04</v>
      </c>
      <c r="AT964" s="69">
        <v>1244.71</v>
      </c>
      <c r="AU964" s="69">
        <v>174.09</v>
      </c>
      <c r="AV964" s="69">
        <v>450.24</v>
      </c>
      <c r="CD964" s="91">
        <f t="shared" si="110"/>
        <v>1869.04</v>
      </c>
      <c r="CE964" s="69">
        <f t="shared" si="113"/>
        <v>0</v>
      </c>
      <c r="CF964" s="75">
        <f t="shared" si="118"/>
        <v>8135</v>
      </c>
      <c r="CG964" s="69" t="str">
        <f t="shared" si="118"/>
        <v>صيدلة اكلينيكى</v>
      </c>
    </row>
    <row r="965" spans="2:85" x14ac:dyDescent="0.25">
      <c r="C965" s="82">
        <v>13399</v>
      </c>
      <c r="D965" s="78">
        <v>8136</v>
      </c>
      <c r="E965" s="69" t="s">
        <v>132</v>
      </c>
      <c r="F965" s="69" t="s">
        <v>2083</v>
      </c>
      <c r="G965" s="69"/>
      <c r="H965" s="69">
        <v>11973.98</v>
      </c>
      <c r="U965" s="69"/>
      <c r="V965" s="69"/>
      <c r="AS965" s="91">
        <f t="shared" si="112"/>
        <v>11973.98</v>
      </c>
      <c r="AT965" s="69">
        <v>9472.43</v>
      </c>
      <c r="AU965" s="69">
        <v>2437.71</v>
      </c>
      <c r="AV965" s="69">
        <v>63.84</v>
      </c>
      <c r="CD965" s="91">
        <f t="shared" si="110"/>
        <v>11973.98</v>
      </c>
      <c r="CE965" s="69">
        <f t="shared" si="113"/>
        <v>0</v>
      </c>
      <c r="CF965" s="75">
        <f t="shared" si="118"/>
        <v>8136</v>
      </c>
      <c r="CG965" s="69" t="str">
        <f t="shared" si="118"/>
        <v>صيدلة اكلينيكى</v>
      </c>
    </row>
    <row r="966" spans="2:85" x14ac:dyDescent="0.25">
      <c r="C966" s="82">
        <v>13406</v>
      </c>
      <c r="D966" s="78">
        <v>8137</v>
      </c>
      <c r="E966" s="69" t="s">
        <v>132</v>
      </c>
      <c r="F966" s="69" t="s">
        <v>2083</v>
      </c>
      <c r="G966" s="69"/>
      <c r="H966" s="69">
        <v>331.55</v>
      </c>
      <c r="U966" s="69"/>
      <c r="V966" s="69"/>
      <c r="AS966" s="91">
        <f t="shared" si="112"/>
        <v>331.55</v>
      </c>
      <c r="AT966" s="69">
        <v>253.9</v>
      </c>
      <c r="AU966" s="69">
        <v>65.22</v>
      </c>
      <c r="AV966" s="69">
        <v>12.43</v>
      </c>
      <c r="CD966" s="91">
        <f t="shared" si="110"/>
        <v>331.55</v>
      </c>
      <c r="CE966" s="69">
        <f t="shared" si="113"/>
        <v>0</v>
      </c>
      <c r="CF966" s="75">
        <f t="shared" si="118"/>
        <v>8137</v>
      </c>
      <c r="CG966" s="69" t="str">
        <f t="shared" si="118"/>
        <v>صيدلة اكلينيكى</v>
      </c>
    </row>
    <row r="967" spans="2:85" x14ac:dyDescent="0.25">
      <c r="B967" s="69">
        <f>SUM(B963:B966)</f>
        <v>0</v>
      </c>
      <c r="C967" s="82">
        <v>13394</v>
      </c>
      <c r="D967" s="78">
        <v>8138</v>
      </c>
      <c r="E967" s="69" t="s">
        <v>132</v>
      </c>
      <c r="F967" s="69" t="s">
        <v>2083</v>
      </c>
      <c r="G967" s="69"/>
      <c r="H967" s="69">
        <v>970.62</v>
      </c>
      <c r="U967" s="69"/>
      <c r="V967" s="69"/>
      <c r="AS967" s="91">
        <f t="shared" si="112"/>
        <v>970.62</v>
      </c>
      <c r="AT967" s="69">
        <v>614.07000000000005</v>
      </c>
      <c r="AU967" s="69">
        <v>122.69</v>
      </c>
      <c r="AV967" s="69">
        <v>233.86</v>
      </c>
      <c r="CD967" s="91">
        <f t="shared" si="110"/>
        <v>970.62</v>
      </c>
      <c r="CE967" s="69">
        <f t="shared" si="113"/>
        <v>0</v>
      </c>
      <c r="CF967" s="75">
        <f t="shared" si="118"/>
        <v>8138</v>
      </c>
      <c r="CG967" s="69" t="str">
        <f t="shared" si="118"/>
        <v>صيدلة اكلينيكى</v>
      </c>
    </row>
    <row r="968" spans="2:85" x14ac:dyDescent="0.25">
      <c r="C968" s="82">
        <v>13392</v>
      </c>
      <c r="D968" s="78">
        <v>8139</v>
      </c>
      <c r="E968" s="69" t="s">
        <v>132</v>
      </c>
      <c r="F968" s="69" t="s">
        <v>2083</v>
      </c>
      <c r="G968" s="69"/>
      <c r="H968" s="69">
        <v>958.9</v>
      </c>
      <c r="U968" s="69"/>
      <c r="V968" s="69"/>
      <c r="AS968" s="91">
        <f t="shared" si="112"/>
        <v>958.9</v>
      </c>
      <c r="AT968" s="69">
        <v>762.4</v>
      </c>
      <c r="AU968" s="69">
        <v>196.5</v>
      </c>
      <c r="CD968" s="91">
        <f t="shared" si="110"/>
        <v>958.9</v>
      </c>
      <c r="CE968" s="69">
        <f t="shared" si="113"/>
        <v>0</v>
      </c>
      <c r="CF968" s="75">
        <f t="shared" si="118"/>
        <v>8139</v>
      </c>
      <c r="CG968" s="69" t="str">
        <f t="shared" si="118"/>
        <v>صيدلة اكلينيكى</v>
      </c>
    </row>
    <row r="969" spans="2:85" x14ac:dyDescent="0.25">
      <c r="C969" s="82">
        <v>13677</v>
      </c>
      <c r="D969" s="78">
        <v>8140</v>
      </c>
      <c r="E969" s="69" t="s">
        <v>78</v>
      </c>
      <c r="F969" s="69" t="s">
        <v>2032</v>
      </c>
      <c r="G969" s="69"/>
      <c r="H969" s="69">
        <v>9429.2199999999993</v>
      </c>
      <c r="U969" s="69"/>
      <c r="V969" s="69"/>
      <c r="AS969" s="91">
        <f t="shared" si="112"/>
        <v>9429.2199999999993</v>
      </c>
      <c r="AT969" s="69">
        <v>6169.3</v>
      </c>
      <c r="AU969" s="69">
        <v>1180.44</v>
      </c>
      <c r="AV969" s="69">
        <v>2079.48</v>
      </c>
      <c r="CD969" s="91">
        <f t="shared" si="110"/>
        <v>9429.2199999999993</v>
      </c>
      <c r="CE969" s="69">
        <f t="shared" si="113"/>
        <v>0</v>
      </c>
      <c r="CF969" s="75">
        <f t="shared" si="118"/>
        <v>8140</v>
      </c>
      <c r="CG969" s="69" t="str">
        <f t="shared" si="118"/>
        <v>برنامج دولى</v>
      </c>
    </row>
    <row r="970" spans="2:85" x14ac:dyDescent="0.25">
      <c r="B970" s="69">
        <f>5270.95+8904.37+28419.82+12508.39</f>
        <v>55103.53</v>
      </c>
      <c r="C970" s="82">
        <v>13676</v>
      </c>
      <c r="D970" s="78">
        <v>8141</v>
      </c>
      <c r="E970" s="69" t="s">
        <v>78</v>
      </c>
      <c r="F970" s="69" t="s">
        <v>2032</v>
      </c>
      <c r="G970" s="69"/>
      <c r="H970" s="69">
        <v>946.14</v>
      </c>
      <c r="U970" s="69"/>
      <c r="V970" s="69"/>
      <c r="AS970" s="91">
        <f t="shared" si="112"/>
        <v>946.14</v>
      </c>
      <c r="AT970" s="69">
        <v>681.02</v>
      </c>
      <c r="AU970" s="69">
        <v>98.98</v>
      </c>
      <c r="AV970" s="69">
        <v>166.14</v>
      </c>
      <c r="CD970" s="91">
        <f t="shared" si="110"/>
        <v>946.14</v>
      </c>
      <c r="CE970" s="69">
        <f t="shared" si="113"/>
        <v>0</v>
      </c>
      <c r="CF970" s="75">
        <f t="shared" si="118"/>
        <v>8141</v>
      </c>
      <c r="CG970" s="69" t="str">
        <f t="shared" si="118"/>
        <v>برنامج دولى</v>
      </c>
    </row>
    <row r="971" spans="2:85" x14ac:dyDescent="0.25">
      <c r="C971" s="82">
        <v>13649</v>
      </c>
      <c r="D971" s="78">
        <v>8142</v>
      </c>
      <c r="E971" s="69" t="s">
        <v>78</v>
      </c>
      <c r="F971" s="69" t="s">
        <v>2032</v>
      </c>
      <c r="G971" s="69"/>
      <c r="H971" s="69">
        <v>14838.4</v>
      </c>
      <c r="U971" s="69"/>
      <c r="V971" s="69"/>
      <c r="AS971" s="91">
        <f t="shared" si="112"/>
        <v>14838.4</v>
      </c>
      <c r="AT971" s="69">
        <v>9370.81</v>
      </c>
      <c r="AU971" s="69">
        <v>1945.69</v>
      </c>
      <c r="AV971" s="69">
        <v>3521.9</v>
      </c>
      <c r="CD971" s="91">
        <f t="shared" si="110"/>
        <v>14838.4</v>
      </c>
      <c r="CE971" s="69">
        <f t="shared" si="113"/>
        <v>0</v>
      </c>
      <c r="CF971" s="75">
        <f t="shared" si="118"/>
        <v>8142</v>
      </c>
      <c r="CG971" s="69" t="str">
        <f t="shared" si="118"/>
        <v>برنامج دولى</v>
      </c>
    </row>
    <row r="972" spans="2:85" x14ac:dyDescent="0.25">
      <c r="C972" s="82">
        <v>13669</v>
      </c>
      <c r="D972" s="78">
        <v>8143</v>
      </c>
      <c r="E972" s="69" t="s">
        <v>78</v>
      </c>
      <c r="F972" s="69" t="s">
        <v>2032</v>
      </c>
      <c r="G972" s="69"/>
      <c r="H972" s="69">
        <v>9673.6200000000008</v>
      </c>
      <c r="U972" s="69"/>
      <c r="V972" s="69"/>
      <c r="AS972" s="91">
        <f t="shared" si="112"/>
        <v>9673.6200000000008</v>
      </c>
      <c r="AT972" s="69">
        <v>6634.82</v>
      </c>
      <c r="AU972" s="69">
        <v>1362.91</v>
      </c>
      <c r="AV972" s="69">
        <v>1675.89</v>
      </c>
      <c r="CD972" s="91">
        <f t="shared" si="110"/>
        <v>9673.619999999999</v>
      </c>
      <c r="CE972" s="69">
        <f t="shared" si="113"/>
        <v>0</v>
      </c>
      <c r="CF972" s="75">
        <f t="shared" si="118"/>
        <v>8143</v>
      </c>
      <c r="CG972" s="69" t="str">
        <f t="shared" si="118"/>
        <v>برنامج دولى</v>
      </c>
    </row>
    <row r="973" spans="2:85" x14ac:dyDescent="0.25">
      <c r="C973" s="82">
        <v>13660</v>
      </c>
      <c r="D973" s="78">
        <v>8144</v>
      </c>
      <c r="E973" s="69" t="s">
        <v>78</v>
      </c>
      <c r="F973" s="69" t="s">
        <v>2032</v>
      </c>
      <c r="G973" s="69"/>
      <c r="H973" s="69">
        <v>934.52</v>
      </c>
      <c r="U973" s="69"/>
      <c r="V973" s="69"/>
      <c r="AS973" s="91">
        <f t="shared" si="112"/>
        <v>934.52</v>
      </c>
      <c r="AT973" s="69">
        <v>600.28</v>
      </c>
      <c r="AU973" s="69">
        <v>109.12</v>
      </c>
      <c r="AV973" s="69">
        <v>225.12</v>
      </c>
      <c r="CD973" s="91">
        <f t="shared" si="110"/>
        <v>934.52</v>
      </c>
      <c r="CE973" s="69">
        <f t="shared" si="113"/>
        <v>0</v>
      </c>
      <c r="CF973" s="75">
        <f t="shared" si="118"/>
        <v>8144</v>
      </c>
      <c r="CG973" s="69" t="str">
        <f t="shared" si="118"/>
        <v>برنامج دولى</v>
      </c>
    </row>
    <row r="974" spans="2:85" x14ac:dyDescent="0.25">
      <c r="C974" s="82">
        <v>13651</v>
      </c>
      <c r="D974" s="78">
        <v>8145</v>
      </c>
      <c r="E974" s="69" t="s">
        <v>78</v>
      </c>
      <c r="F974" s="69" t="s">
        <v>2032</v>
      </c>
      <c r="G974" s="69"/>
      <c r="H974" s="69">
        <v>15825.55</v>
      </c>
      <c r="U974" s="69"/>
      <c r="V974" s="69"/>
      <c r="AS974" s="91">
        <f t="shared" si="112"/>
        <v>15825.55</v>
      </c>
      <c r="AT974" s="69">
        <v>10248.56</v>
      </c>
      <c r="AU974" s="69">
        <v>1900.54</v>
      </c>
      <c r="AV974" s="69">
        <v>3676.45</v>
      </c>
      <c r="CD974" s="91">
        <f t="shared" si="110"/>
        <v>15825.55</v>
      </c>
      <c r="CE974" s="69">
        <f t="shared" si="113"/>
        <v>0</v>
      </c>
      <c r="CF974" s="75">
        <f t="shared" si="118"/>
        <v>8145</v>
      </c>
      <c r="CG974" s="69" t="str">
        <f t="shared" si="118"/>
        <v>برنامج دولى</v>
      </c>
    </row>
    <row r="975" spans="2:85" x14ac:dyDescent="0.25">
      <c r="C975" s="82">
        <v>13679</v>
      </c>
      <c r="D975" s="78">
        <v>8146</v>
      </c>
      <c r="E975" s="69" t="s">
        <v>78</v>
      </c>
      <c r="F975" s="69" t="s">
        <v>2032</v>
      </c>
      <c r="G975" s="69"/>
      <c r="H975" s="69">
        <v>8177.57</v>
      </c>
      <c r="U975" s="69"/>
      <c r="V975" s="69"/>
      <c r="AS975" s="91">
        <f t="shared" si="112"/>
        <v>8177.57</v>
      </c>
      <c r="AT975" s="69">
        <v>5205.3500000000004</v>
      </c>
      <c r="AU975" s="69">
        <v>958.89</v>
      </c>
      <c r="AV975" s="69">
        <v>1969.95</v>
      </c>
      <c r="AX975" s="69">
        <v>43.38</v>
      </c>
      <c r="CD975" s="91">
        <f t="shared" si="110"/>
        <v>8177.5700000000006</v>
      </c>
      <c r="CE975" s="69">
        <f t="shared" si="113"/>
        <v>0</v>
      </c>
      <c r="CF975" s="75">
        <f t="shared" si="118"/>
        <v>8146</v>
      </c>
      <c r="CG975" s="69" t="str">
        <f t="shared" si="118"/>
        <v>برنامج دولى</v>
      </c>
    </row>
    <row r="976" spans="2:85" x14ac:dyDescent="0.25">
      <c r="C976" s="82">
        <v>13678</v>
      </c>
      <c r="D976" s="78">
        <v>8147</v>
      </c>
      <c r="E976" s="69" t="s">
        <v>78</v>
      </c>
      <c r="F976" s="69" t="s">
        <v>2032</v>
      </c>
      <c r="G976" s="69"/>
      <c r="H976" s="69">
        <v>11121.47</v>
      </c>
      <c r="U976" s="69"/>
      <c r="V976" s="69"/>
      <c r="AS976" s="91">
        <f t="shared" si="112"/>
        <v>11121.47</v>
      </c>
      <c r="AT976" s="69">
        <v>7123.25</v>
      </c>
      <c r="AU976" s="69">
        <v>1314.61</v>
      </c>
      <c r="AV976" s="69">
        <v>2631.09</v>
      </c>
      <c r="AW976" s="69">
        <v>52.52</v>
      </c>
      <c r="CD976" s="91">
        <f t="shared" si="110"/>
        <v>11121.470000000001</v>
      </c>
      <c r="CE976" s="69">
        <f t="shared" si="113"/>
        <v>0</v>
      </c>
      <c r="CF976" s="75">
        <f t="shared" si="118"/>
        <v>8147</v>
      </c>
      <c r="CG976" s="69" t="str">
        <f t="shared" si="118"/>
        <v>برنامج دولى</v>
      </c>
    </row>
    <row r="977" spans="3:85" x14ac:dyDescent="0.25">
      <c r="C977" s="82">
        <v>13670</v>
      </c>
      <c r="D977" s="78">
        <v>8148</v>
      </c>
      <c r="E977" s="69" t="s">
        <v>78</v>
      </c>
      <c r="F977" s="69" t="s">
        <v>2032</v>
      </c>
      <c r="G977" s="69"/>
      <c r="H977" s="69">
        <v>3524.06</v>
      </c>
      <c r="U977" s="69"/>
      <c r="V977" s="69"/>
      <c r="AS977" s="91">
        <f t="shared" si="112"/>
        <v>3524.06</v>
      </c>
      <c r="AT977" s="69">
        <v>2516.33</v>
      </c>
      <c r="AU977" s="69">
        <v>557.49</v>
      </c>
      <c r="AV977" s="69">
        <v>450.24</v>
      </c>
      <c r="CD977" s="91">
        <f t="shared" si="110"/>
        <v>3524.0599999999995</v>
      </c>
      <c r="CE977" s="69">
        <f t="shared" si="113"/>
        <v>0</v>
      </c>
      <c r="CF977" s="75">
        <f t="shared" si="118"/>
        <v>8148</v>
      </c>
      <c r="CG977" s="69" t="str">
        <f t="shared" si="118"/>
        <v>برنامج دولى</v>
      </c>
    </row>
    <row r="978" spans="3:85" x14ac:dyDescent="0.25">
      <c r="C978" s="82">
        <v>13641</v>
      </c>
      <c r="D978" s="78">
        <v>8149</v>
      </c>
      <c r="E978" s="69" t="s">
        <v>78</v>
      </c>
      <c r="F978" s="69" t="s">
        <v>2032</v>
      </c>
      <c r="G978" s="69"/>
      <c r="H978" s="69">
        <v>233.63</v>
      </c>
      <c r="U978" s="69"/>
      <c r="V978" s="69"/>
      <c r="AS978" s="91">
        <f t="shared" si="112"/>
        <v>233.63</v>
      </c>
      <c r="AT978" s="69">
        <v>150.07</v>
      </c>
      <c r="AU978" s="69">
        <v>27.28</v>
      </c>
      <c r="AV978" s="69">
        <v>56.28</v>
      </c>
      <c r="CD978" s="91">
        <f t="shared" si="110"/>
        <v>233.63</v>
      </c>
      <c r="CE978" s="69">
        <f t="shared" si="113"/>
        <v>0</v>
      </c>
      <c r="CF978" s="75">
        <f t="shared" si="118"/>
        <v>8149</v>
      </c>
      <c r="CG978" s="69" t="str">
        <f t="shared" si="118"/>
        <v>برنامج دولى</v>
      </c>
    </row>
    <row r="979" spans="3:85" x14ac:dyDescent="0.25">
      <c r="C979" s="82">
        <v>13661</v>
      </c>
      <c r="D979" s="78">
        <v>8150</v>
      </c>
      <c r="E979" s="69" t="s">
        <v>78</v>
      </c>
      <c r="F979" s="69" t="s">
        <v>2032</v>
      </c>
      <c r="G979" s="69"/>
      <c r="H979" s="69">
        <v>16309.45</v>
      </c>
      <c r="U979" s="69"/>
      <c r="V979" s="69"/>
      <c r="AS979" s="91">
        <f t="shared" si="112"/>
        <v>16309.45</v>
      </c>
      <c r="AT979" s="69">
        <v>10928.13</v>
      </c>
      <c r="AU979" s="69">
        <v>2187.11</v>
      </c>
      <c r="AV979" s="69">
        <v>3194.21</v>
      </c>
      <c r="CD979" s="91">
        <f t="shared" si="110"/>
        <v>16309.45</v>
      </c>
      <c r="CE979" s="69">
        <f t="shared" si="113"/>
        <v>0</v>
      </c>
      <c r="CF979" s="75">
        <f t="shared" si="118"/>
        <v>8150</v>
      </c>
      <c r="CG979" s="69" t="str">
        <f t="shared" si="118"/>
        <v>برنامج دولى</v>
      </c>
    </row>
    <row r="980" spans="3:85" x14ac:dyDescent="0.25">
      <c r="C980" s="82">
        <v>13671</v>
      </c>
      <c r="D980" s="78">
        <v>8151</v>
      </c>
      <c r="E980" s="69" t="s">
        <v>78</v>
      </c>
      <c r="F980" s="69" t="s">
        <v>2032</v>
      </c>
      <c r="G980" s="69"/>
      <c r="H980" s="69">
        <v>16214.66</v>
      </c>
      <c r="U980" s="69"/>
      <c r="V980" s="69"/>
      <c r="AS980" s="91">
        <f t="shared" si="112"/>
        <v>16214.66</v>
      </c>
      <c r="AT980" s="69">
        <v>10706.88</v>
      </c>
      <c r="AU980" s="69">
        <v>2049.1999999999998</v>
      </c>
      <c r="AV980" s="69">
        <v>3413.6</v>
      </c>
      <c r="AX980" s="69">
        <v>44.98</v>
      </c>
      <c r="CD980" s="91">
        <f t="shared" si="110"/>
        <v>16214.659999999998</v>
      </c>
      <c r="CE980" s="69">
        <f t="shared" si="113"/>
        <v>0</v>
      </c>
      <c r="CF980" s="75">
        <f t="shared" si="118"/>
        <v>8151</v>
      </c>
      <c r="CG980" s="69" t="str">
        <f t="shared" si="118"/>
        <v>برنامج دولى</v>
      </c>
    </row>
    <row r="981" spans="3:85" x14ac:dyDescent="0.25">
      <c r="C981" s="82">
        <v>13657</v>
      </c>
      <c r="D981" s="78">
        <v>8152</v>
      </c>
      <c r="E981" s="69" t="s">
        <v>78</v>
      </c>
      <c r="F981" s="69" t="s">
        <v>2032</v>
      </c>
      <c r="G981" s="69"/>
      <c r="H981" s="69">
        <v>14596.75</v>
      </c>
      <c r="U981" s="69"/>
      <c r="V981" s="69"/>
      <c r="AS981" s="91">
        <f t="shared" si="112"/>
        <v>14596.75</v>
      </c>
      <c r="AT981" s="69">
        <v>9627.57</v>
      </c>
      <c r="AU981" s="69">
        <v>1892.49</v>
      </c>
      <c r="AV981" s="69">
        <v>3076.69</v>
      </c>
      <c r="CD981" s="91">
        <f t="shared" si="110"/>
        <v>14596.75</v>
      </c>
      <c r="CE981" s="69">
        <f t="shared" si="113"/>
        <v>0</v>
      </c>
      <c r="CF981" s="75">
        <f t="shared" si="118"/>
        <v>8152</v>
      </c>
      <c r="CG981" s="69" t="str">
        <f t="shared" si="118"/>
        <v>برنامج دولى</v>
      </c>
    </row>
    <row r="982" spans="3:85" x14ac:dyDescent="0.25">
      <c r="C982" s="82">
        <v>13316</v>
      </c>
      <c r="D982" s="78">
        <v>8153</v>
      </c>
      <c r="E982" s="69" t="s">
        <v>730</v>
      </c>
      <c r="F982" s="69" t="s">
        <v>2084</v>
      </c>
      <c r="G982" s="69"/>
      <c r="H982" s="69">
        <v>16273.5</v>
      </c>
      <c r="U982" s="69"/>
      <c r="V982" s="69"/>
      <c r="AS982" s="91">
        <f t="shared" si="112"/>
        <v>16273.5</v>
      </c>
      <c r="AT982" s="69">
        <v>14547.7</v>
      </c>
      <c r="AU982" s="69">
        <v>1725.8</v>
      </c>
      <c r="CD982" s="91">
        <f t="shared" si="110"/>
        <v>16273.5</v>
      </c>
      <c r="CE982" s="69">
        <f t="shared" si="113"/>
        <v>0</v>
      </c>
      <c r="CF982" s="75">
        <f t="shared" si="118"/>
        <v>8153</v>
      </c>
      <c r="CG982" s="69" t="str">
        <f t="shared" si="118"/>
        <v>علمى صيدلة</v>
      </c>
    </row>
    <row r="983" spans="3:85" x14ac:dyDescent="0.25">
      <c r="C983" s="82">
        <v>13309</v>
      </c>
      <c r="D983" s="78">
        <v>8154</v>
      </c>
      <c r="E983" s="69" t="s">
        <v>730</v>
      </c>
      <c r="F983" s="69" t="s">
        <v>2009</v>
      </c>
      <c r="G983" s="69"/>
      <c r="H983" s="69">
        <v>2931.25</v>
      </c>
      <c r="U983" s="69"/>
      <c r="V983" s="69"/>
      <c r="AS983" s="91">
        <f t="shared" si="112"/>
        <v>2931.25</v>
      </c>
      <c r="AT983" s="69">
        <v>1958.65</v>
      </c>
      <c r="AU983" s="69">
        <v>266.35000000000002</v>
      </c>
      <c r="AV983" s="69">
        <v>706.25</v>
      </c>
      <c r="CD983" s="91">
        <f t="shared" si="110"/>
        <v>2931.25</v>
      </c>
      <c r="CE983" s="69">
        <f t="shared" si="113"/>
        <v>0</v>
      </c>
      <c r="CF983" s="75">
        <f t="shared" si="118"/>
        <v>8154</v>
      </c>
      <c r="CG983" s="69" t="str">
        <f t="shared" si="118"/>
        <v>علمى صيدلة</v>
      </c>
    </row>
    <row r="984" spans="3:85" x14ac:dyDescent="0.25">
      <c r="C984" s="82">
        <v>13465</v>
      </c>
      <c r="D984" s="78">
        <v>8155</v>
      </c>
      <c r="E984" s="69" t="s">
        <v>730</v>
      </c>
      <c r="F984" s="69" t="str">
        <f>+F982</f>
        <v>جهود بحوث دوائيه ديسمبر</v>
      </c>
      <c r="G984" s="69"/>
      <c r="H984" s="69">
        <v>12973.98</v>
      </c>
      <c r="U984" s="69"/>
      <c r="V984" s="69"/>
      <c r="AS984" s="91">
        <f t="shared" si="112"/>
        <v>12973.98</v>
      </c>
      <c r="AT984" s="69">
        <v>11588.03</v>
      </c>
      <c r="AU984" s="69">
        <v>1385.95</v>
      </c>
      <c r="CD984" s="91">
        <f t="shared" si="110"/>
        <v>12973.980000000001</v>
      </c>
      <c r="CE984" s="69">
        <f t="shared" si="113"/>
        <v>0</v>
      </c>
      <c r="CF984" s="75">
        <f t="shared" si="118"/>
        <v>8155</v>
      </c>
      <c r="CG984" s="69" t="str">
        <f t="shared" si="118"/>
        <v>علمى صيدلة</v>
      </c>
    </row>
    <row r="985" spans="3:85" x14ac:dyDescent="0.25">
      <c r="C985" s="82">
        <v>13310</v>
      </c>
      <c r="D985" s="78">
        <v>8156</v>
      </c>
      <c r="E985" s="69" t="s">
        <v>730</v>
      </c>
      <c r="F985" s="69" t="str">
        <f>+F983</f>
        <v>مكافاه تشغيليه</v>
      </c>
      <c r="G985" s="69"/>
      <c r="H985" s="69">
        <v>1758.75</v>
      </c>
      <c r="U985" s="69"/>
      <c r="V985" s="69"/>
      <c r="AS985" s="91">
        <f t="shared" si="112"/>
        <v>1758.75</v>
      </c>
      <c r="AT985" s="69">
        <v>1174.1199999999999</v>
      </c>
      <c r="AU985" s="69">
        <f>150+10.88</f>
        <v>160.88</v>
      </c>
      <c r="AV985" s="69">
        <v>423.75</v>
      </c>
      <c r="CD985" s="91">
        <f t="shared" si="110"/>
        <v>1758.75</v>
      </c>
      <c r="CE985" s="69">
        <f t="shared" si="113"/>
        <v>0</v>
      </c>
      <c r="CF985" s="75">
        <f t="shared" si="118"/>
        <v>8156</v>
      </c>
      <c r="CG985" s="69" t="str">
        <f t="shared" si="118"/>
        <v>علمى صيدلة</v>
      </c>
    </row>
    <row r="986" spans="3:85" x14ac:dyDescent="0.25">
      <c r="C986" s="82">
        <v>13311</v>
      </c>
      <c r="D986" s="78">
        <v>8157</v>
      </c>
      <c r="E986" s="69" t="s">
        <v>730</v>
      </c>
      <c r="F986" s="69" t="str">
        <f>+F985</f>
        <v>مكافاه تشغيليه</v>
      </c>
      <c r="G986" s="69"/>
      <c r="H986" s="69">
        <v>15070</v>
      </c>
      <c r="U986" s="69"/>
      <c r="V986" s="69"/>
      <c r="AS986" s="91">
        <f t="shared" si="112"/>
        <v>15070</v>
      </c>
      <c r="AT986" s="69">
        <v>10295.9</v>
      </c>
      <c r="AU986" s="69">
        <v>1384.1</v>
      </c>
      <c r="AV986" s="69">
        <v>3390</v>
      </c>
      <c r="CD986" s="91">
        <f t="shared" si="110"/>
        <v>15070</v>
      </c>
      <c r="CE986" s="69">
        <f t="shared" si="113"/>
        <v>0</v>
      </c>
      <c r="CF986" s="75">
        <f t="shared" si="118"/>
        <v>8157</v>
      </c>
      <c r="CG986" s="69" t="str">
        <f t="shared" si="118"/>
        <v>علمى صيدلة</v>
      </c>
    </row>
    <row r="987" spans="3:85" x14ac:dyDescent="0.25">
      <c r="C987" s="82">
        <v>13656</v>
      </c>
      <c r="D987" s="78">
        <v>8158</v>
      </c>
      <c r="E987" s="69" t="s">
        <v>78</v>
      </c>
      <c r="F987" s="69" t="str">
        <f>+F981</f>
        <v>مكافاه امتحان</v>
      </c>
      <c r="G987" s="69"/>
      <c r="H987" s="69">
        <v>237.62</v>
      </c>
      <c r="U987" s="69"/>
      <c r="V987" s="69"/>
      <c r="AS987" s="91">
        <f t="shared" si="112"/>
        <v>237.62</v>
      </c>
      <c r="AT987" s="69">
        <v>152.65</v>
      </c>
      <c r="AU987" s="69">
        <v>27.74</v>
      </c>
      <c r="AV987" s="69">
        <v>57.23</v>
      </c>
      <c r="CD987" s="91">
        <f t="shared" si="110"/>
        <v>237.62</v>
      </c>
      <c r="CE987" s="69">
        <f t="shared" si="113"/>
        <v>0</v>
      </c>
      <c r="CF987" s="75">
        <f t="shared" si="118"/>
        <v>8158</v>
      </c>
      <c r="CG987" s="69" t="str">
        <f t="shared" si="118"/>
        <v>برنامج دولى</v>
      </c>
    </row>
    <row r="988" spans="3:85" x14ac:dyDescent="0.25">
      <c r="C988" s="82">
        <v>13655</v>
      </c>
      <c r="D988" s="78">
        <v>8159</v>
      </c>
      <c r="E988" s="69" t="s">
        <v>78</v>
      </c>
      <c r="F988" s="69" t="str">
        <f>+F981</f>
        <v>مكافاه امتحان</v>
      </c>
      <c r="G988" s="69"/>
      <c r="H988" s="69">
        <v>13688.92</v>
      </c>
      <c r="U988" s="69"/>
      <c r="V988" s="69"/>
      <c r="AS988" s="91">
        <f t="shared" si="112"/>
        <v>13688.92</v>
      </c>
      <c r="AT988" s="69">
        <v>9435.2000000000007</v>
      </c>
      <c r="AU988" s="69">
        <v>2155.6</v>
      </c>
      <c r="AV988" s="69">
        <v>2056.34</v>
      </c>
      <c r="AX988" s="69">
        <v>41.78</v>
      </c>
      <c r="CD988" s="91">
        <f t="shared" si="110"/>
        <v>13688.920000000002</v>
      </c>
      <c r="CE988" s="69">
        <f t="shared" ref="CE988:CE1053" si="128">+CD988-AS988</f>
        <v>0</v>
      </c>
      <c r="CF988" s="75">
        <f t="shared" si="118"/>
        <v>8159</v>
      </c>
      <c r="CG988" s="69" t="str">
        <f t="shared" si="118"/>
        <v>برنامج دولى</v>
      </c>
    </row>
    <row r="989" spans="3:85" x14ac:dyDescent="0.25">
      <c r="C989" s="82">
        <v>13668</v>
      </c>
      <c r="D989" s="78">
        <v>8160</v>
      </c>
      <c r="E989" s="69" t="s">
        <v>78</v>
      </c>
      <c r="F989" s="69" t="str">
        <f>+F988</f>
        <v>مكافاه امتحان</v>
      </c>
      <c r="G989" s="69"/>
      <c r="H989" s="69">
        <v>7695.1</v>
      </c>
      <c r="U989" s="69"/>
      <c r="V989" s="69"/>
      <c r="AS989" s="91">
        <f t="shared" si="112"/>
        <v>7695.1</v>
      </c>
      <c r="AT989" s="69">
        <v>4958.07</v>
      </c>
      <c r="AU989" s="69">
        <v>890.67</v>
      </c>
      <c r="AV989" s="69">
        <v>1846.36</v>
      </c>
      <c r="CD989" s="91">
        <f t="shared" si="110"/>
        <v>7695.0999999999995</v>
      </c>
      <c r="CE989" s="69">
        <f t="shared" si="128"/>
        <v>0</v>
      </c>
      <c r="CF989" s="75">
        <f t="shared" si="118"/>
        <v>8160</v>
      </c>
      <c r="CG989" s="69" t="str">
        <f t="shared" si="118"/>
        <v>برنامج دولى</v>
      </c>
    </row>
    <row r="990" spans="3:85" x14ac:dyDescent="0.25">
      <c r="C990" s="82">
        <v>13552</v>
      </c>
      <c r="D990" s="78">
        <v>8161</v>
      </c>
      <c r="E990" s="69" t="s">
        <v>130</v>
      </c>
      <c r="F990" s="69" t="s">
        <v>2085</v>
      </c>
      <c r="G990" s="69"/>
      <c r="H990" s="69">
        <v>293.12</v>
      </c>
      <c r="U990" s="69"/>
      <c r="V990" s="69"/>
      <c r="AS990" s="91">
        <f t="shared" si="112"/>
        <v>293.12</v>
      </c>
      <c r="AT990" s="69">
        <v>177.61</v>
      </c>
      <c r="AU990" s="69">
        <v>32.39</v>
      </c>
      <c r="AV990" s="69">
        <v>70.62</v>
      </c>
      <c r="AW990" s="69">
        <v>12.5</v>
      </c>
      <c r="CD990" s="91">
        <f t="shared" si="110"/>
        <v>293.12</v>
      </c>
      <c r="CE990" s="69">
        <f t="shared" si="128"/>
        <v>0</v>
      </c>
      <c r="CF990" s="75">
        <f t="shared" si="118"/>
        <v>8161</v>
      </c>
      <c r="CG990" s="69" t="str">
        <f t="shared" si="118"/>
        <v>خ ت طب</v>
      </c>
    </row>
    <row r="991" spans="3:85" x14ac:dyDescent="0.25">
      <c r="C991" s="82">
        <v>13551</v>
      </c>
      <c r="D991" s="78">
        <v>8162</v>
      </c>
      <c r="E991" s="69" t="s">
        <v>130</v>
      </c>
      <c r="F991" s="69" t="s">
        <v>2085</v>
      </c>
      <c r="G991" s="69"/>
      <c r="H991" s="69">
        <v>762.12</v>
      </c>
      <c r="U991" s="69"/>
      <c r="V991" s="69"/>
      <c r="AS991" s="91">
        <f t="shared" si="112"/>
        <v>762.12</v>
      </c>
      <c r="AT991" s="69">
        <v>489.02</v>
      </c>
      <c r="AU991" s="69">
        <v>56.98</v>
      </c>
      <c r="AV991" s="69">
        <v>183.62</v>
      </c>
      <c r="AW991" s="69">
        <v>32.5</v>
      </c>
      <c r="CD991" s="91">
        <f t="shared" si="110"/>
        <v>762.12</v>
      </c>
      <c r="CE991" s="69">
        <f t="shared" si="128"/>
        <v>0</v>
      </c>
      <c r="CF991" s="75">
        <f t="shared" si="118"/>
        <v>8162</v>
      </c>
      <c r="CG991" s="69" t="str">
        <f t="shared" si="118"/>
        <v>خ ت طب</v>
      </c>
    </row>
    <row r="992" spans="3:85" x14ac:dyDescent="0.25">
      <c r="C992" s="82">
        <v>12908</v>
      </c>
      <c r="D992" s="78">
        <v>8163</v>
      </c>
      <c r="F992" s="69" t="s">
        <v>2086</v>
      </c>
      <c r="G992" s="69"/>
      <c r="U992" s="69"/>
      <c r="V992" s="69"/>
      <c r="AD992" s="69">
        <v>2323.0500000000002</v>
      </c>
      <c r="AS992" s="91">
        <f t="shared" si="112"/>
        <v>2323.0500000000002</v>
      </c>
      <c r="AT992" s="69">
        <v>2323.0500000000002</v>
      </c>
      <c r="AU992" s="69"/>
      <c r="CD992" s="91">
        <f t="shared" si="110"/>
        <v>2323.0500000000002</v>
      </c>
      <c r="CE992" s="69">
        <f t="shared" si="128"/>
        <v>0</v>
      </c>
      <c r="CF992" s="75">
        <f t="shared" si="118"/>
        <v>8163</v>
      </c>
      <c r="CG992" s="69">
        <f t="shared" si="118"/>
        <v>0</v>
      </c>
    </row>
    <row r="993" spans="3:85" x14ac:dyDescent="0.25">
      <c r="C993" s="82">
        <v>13919</v>
      </c>
      <c r="D993" s="78">
        <v>8164</v>
      </c>
      <c r="E993" s="69" t="s">
        <v>121</v>
      </c>
      <c r="F993" s="69" t="s">
        <v>2087</v>
      </c>
      <c r="G993" s="69"/>
      <c r="H993" s="69">
        <v>228.9</v>
      </c>
      <c r="U993" s="69"/>
      <c r="V993" s="69"/>
      <c r="AS993" s="91">
        <f t="shared" si="112"/>
        <v>228.9</v>
      </c>
      <c r="AT993" s="69">
        <v>155.69999999999999</v>
      </c>
      <c r="AU993" s="69">
        <v>18.05</v>
      </c>
      <c r="AV993" s="69">
        <v>55.15</v>
      </c>
      <c r="CD993" s="91">
        <f t="shared" si="110"/>
        <v>228.9</v>
      </c>
      <c r="CE993" s="69">
        <f t="shared" si="128"/>
        <v>0</v>
      </c>
      <c r="CF993" s="75">
        <f t="shared" si="118"/>
        <v>8164</v>
      </c>
      <c r="CG993" s="69" t="str">
        <f t="shared" si="118"/>
        <v>ماليزى اسنان</v>
      </c>
    </row>
    <row r="994" spans="3:85" x14ac:dyDescent="0.25">
      <c r="C994" s="82">
        <v>13795</v>
      </c>
      <c r="D994" s="78">
        <v>8165</v>
      </c>
      <c r="E994" s="69" t="s">
        <v>121</v>
      </c>
      <c r="F994" s="69" t="s">
        <v>2088</v>
      </c>
      <c r="G994" s="69"/>
      <c r="H994" s="69">
        <v>356.76</v>
      </c>
      <c r="U994" s="69"/>
      <c r="V994" s="69"/>
      <c r="AS994" s="91">
        <f t="shared" si="112"/>
        <v>356.76</v>
      </c>
      <c r="AT994" s="69">
        <v>215.49</v>
      </c>
      <c r="AU994" s="69">
        <v>55.32</v>
      </c>
      <c r="AV994" s="69">
        <v>85.95</v>
      </c>
      <c r="CD994" s="91">
        <f t="shared" si="110"/>
        <v>356.76</v>
      </c>
      <c r="CE994" s="69">
        <f t="shared" si="128"/>
        <v>0</v>
      </c>
      <c r="CF994" s="75">
        <f t="shared" si="118"/>
        <v>8165</v>
      </c>
      <c r="CG994" s="69" t="str">
        <f t="shared" si="118"/>
        <v>ماليزى اسنان</v>
      </c>
    </row>
    <row r="995" spans="3:85" x14ac:dyDescent="0.25">
      <c r="C995" s="82">
        <v>13785</v>
      </c>
      <c r="D995" s="78">
        <v>8166</v>
      </c>
      <c r="E995" s="69" t="s">
        <v>78</v>
      </c>
      <c r="F995" s="69" t="s">
        <v>2089</v>
      </c>
      <c r="G995" s="69"/>
      <c r="H995" s="69">
        <v>1758.76</v>
      </c>
      <c r="U995" s="69"/>
      <c r="V995" s="69"/>
      <c r="AS995" s="91">
        <f t="shared" si="112"/>
        <v>1758.76</v>
      </c>
      <c r="AT995" s="69">
        <v>1176.3</v>
      </c>
      <c r="AU995" s="69">
        <v>158.69999999999999</v>
      </c>
      <c r="AV995" s="69">
        <v>423.76</v>
      </c>
      <c r="CD995" s="91">
        <f t="shared" si="110"/>
        <v>1758.76</v>
      </c>
      <c r="CE995" s="69">
        <f t="shared" si="128"/>
        <v>0</v>
      </c>
      <c r="CF995" s="75">
        <f t="shared" si="118"/>
        <v>8166</v>
      </c>
      <c r="CG995" s="69" t="str">
        <f t="shared" si="118"/>
        <v>برنامج دولى</v>
      </c>
    </row>
    <row r="996" spans="3:85" x14ac:dyDescent="0.25">
      <c r="C996" s="82">
        <v>13784</v>
      </c>
      <c r="D996" s="78">
        <v>8167</v>
      </c>
      <c r="E996" s="69" t="s">
        <v>78</v>
      </c>
      <c r="F996" s="69" t="s">
        <v>2090</v>
      </c>
      <c r="G996" s="69"/>
      <c r="H996" s="69">
        <v>175.88</v>
      </c>
      <c r="U996" s="69"/>
      <c r="V996" s="69"/>
      <c r="AS996" s="91">
        <f t="shared" si="112"/>
        <v>175.88</v>
      </c>
      <c r="AT996" s="69">
        <v>118</v>
      </c>
      <c r="AU996" s="69">
        <v>15.5</v>
      </c>
      <c r="AV996" s="69">
        <v>42.38</v>
      </c>
      <c r="CD996" s="91">
        <f t="shared" si="110"/>
        <v>175.88</v>
      </c>
      <c r="CE996" s="69">
        <f t="shared" si="128"/>
        <v>0</v>
      </c>
      <c r="CF996" s="75">
        <f t="shared" si="118"/>
        <v>8167</v>
      </c>
      <c r="CG996" s="69" t="str">
        <f t="shared" si="118"/>
        <v>برنامج دولى</v>
      </c>
    </row>
    <row r="997" spans="3:85" x14ac:dyDescent="0.25">
      <c r="C997" s="82">
        <v>13783</v>
      </c>
      <c r="D997" s="78">
        <v>8168</v>
      </c>
      <c r="E997" s="69" t="s">
        <v>78</v>
      </c>
      <c r="F997" s="69" t="s">
        <v>2091</v>
      </c>
      <c r="G997" s="69"/>
      <c r="H997" s="69">
        <v>1407</v>
      </c>
      <c r="U997" s="69"/>
      <c r="V997" s="69"/>
      <c r="AS997" s="91">
        <f t="shared" si="112"/>
        <v>1407</v>
      </c>
      <c r="AT997" s="69">
        <v>940.35</v>
      </c>
      <c r="AU997" s="69">
        <v>127.65</v>
      </c>
      <c r="AV997" s="69">
        <v>339</v>
      </c>
      <c r="CD997" s="91">
        <f t="shared" si="110"/>
        <v>1407</v>
      </c>
      <c r="CE997" s="69">
        <f t="shared" si="128"/>
        <v>0</v>
      </c>
      <c r="CF997" s="75">
        <f t="shared" si="118"/>
        <v>8168</v>
      </c>
      <c r="CG997" s="69" t="str">
        <f t="shared" si="118"/>
        <v>برنامج دولى</v>
      </c>
    </row>
    <row r="998" spans="3:85" x14ac:dyDescent="0.25">
      <c r="C998" s="82">
        <v>13782</v>
      </c>
      <c r="D998" s="78">
        <v>8169</v>
      </c>
      <c r="E998" s="69" t="s">
        <v>78</v>
      </c>
      <c r="F998" s="69" t="s">
        <v>2092</v>
      </c>
      <c r="G998" s="69"/>
      <c r="H998" s="69">
        <v>1172.5</v>
      </c>
      <c r="U998" s="69"/>
      <c r="V998" s="69"/>
      <c r="AS998" s="91">
        <f t="shared" si="112"/>
        <v>1172.5</v>
      </c>
      <c r="AT998" s="69">
        <v>784.1</v>
      </c>
      <c r="AU998" s="69">
        <v>105.9</v>
      </c>
      <c r="AV998" s="69">
        <v>282.5</v>
      </c>
      <c r="CD998" s="91">
        <f t="shared" si="110"/>
        <v>1172.5</v>
      </c>
      <c r="CE998" s="69">
        <f t="shared" si="128"/>
        <v>0</v>
      </c>
      <c r="CF998" s="75">
        <f t="shared" si="118"/>
        <v>8169</v>
      </c>
      <c r="CG998" s="69" t="str">
        <f t="shared" si="118"/>
        <v>برنامج دولى</v>
      </c>
    </row>
    <row r="999" spans="3:85" x14ac:dyDescent="0.25">
      <c r="C999" s="82">
        <v>13781</v>
      </c>
      <c r="D999" s="78">
        <v>8170</v>
      </c>
      <c r="E999" s="69" t="s">
        <v>78</v>
      </c>
      <c r="F999" s="69" t="s">
        <v>2093</v>
      </c>
      <c r="G999" s="69"/>
      <c r="H999" s="69">
        <v>938</v>
      </c>
      <c r="U999" s="69"/>
      <c r="V999" s="69"/>
      <c r="AS999" s="91">
        <f t="shared" si="112"/>
        <v>938</v>
      </c>
      <c r="AT999" s="69">
        <v>627.35</v>
      </c>
      <c r="AU999" s="69">
        <v>84.65</v>
      </c>
      <c r="AV999" s="69">
        <v>226</v>
      </c>
      <c r="CD999" s="91">
        <f t="shared" si="110"/>
        <v>938</v>
      </c>
      <c r="CE999" s="69">
        <f t="shared" si="128"/>
        <v>0</v>
      </c>
      <c r="CF999" s="75">
        <f t="shared" si="118"/>
        <v>8170</v>
      </c>
      <c r="CG999" s="69" t="str">
        <f t="shared" si="118"/>
        <v>برنامج دولى</v>
      </c>
    </row>
    <row r="1000" spans="3:85" x14ac:dyDescent="0.25">
      <c r="C1000" s="82">
        <v>13780</v>
      </c>
      <c r="D1000" s="78">
        <v>8171</v>
      </c>
      <c r="E1000" s="69" t="s">
        <v>78</v>
      </c>
      <c r="F1000" s="69" t="s">
        <v>1921</v>
      </c>
      <c r="G1000" s="69"/>
      <c r="H1000" s="69">
        <v>820.75</v>
      </c>
      <c r="U1000" s="69"/>
      <c r="V1000" s="69"/>
      <c r="AS1000" s="91">
        <f t="shared" si="112"/>
        <v>820.75</v>
      </c>
      <c r="AT1000" s="69">
        <v>548.95000000000005</v>
      </c>
      <c r="AU1000" s="69">
        <v>74.05</v>
      </c>
      <c r="AV1000" s="69">
        <v>197.75</v>
      </c>
      <c r="CD1000" s="91">
        <f t="shared" si="110"/>
        <v>820.75</v>
      </c>
      <c r="CE1000" s="69">
        <f t="shared" si="128"/>
        <v>0</v>
      </c>
      <c r="CF1000" s="75">
        <f t="shared" si="118"/>
        <v>8171</v>
      </c>
      <c r="CG1000" s="69" t="str">
        <f t="shared" si="118"/>
        <v>برنامج دولى</v>
      </c>
    </row>
    <row r="1001" spans="3:85" x14ac:dyDescent="0.25">
      <c r="C1001" s="82">
        <v>13779</v>
      </c>
      <c r="D1001" s="78">
        <v>8172</v>
      </c>
      <c r="E1001" s="69" t="s">
        <v>78</v>
      </c>
      <c r="F1001" s="69" t="s">
        <v>1921</v>
      </c>
      <c r="G1001" s="69"/>
      <c r="H1001" s="69">
        <v>2462.25</v>
      </c>
      <c r="U1001" s="69"/>
      <c r="V1001" s="69"/>
      <c r="AS1001" s="91">
        <f t="shared" si="112"/>
        <v>2462.25</v>
      </c>
      <c r="AT1001" s="69">
        <v>1646.85</v>
      </c>
      <c r="AU1001" s="69">
        <v>222.15</v>
      </c>
      <c r="AV1001" s="69">
        <v>593.25</v>
      </c>
      <c r="CD1001" s="91">
        <f t="shared" si="110"/>
        <v>2462.25</v>
      </c>
      <c r="CE1001" s="69">
        <f t="shared" si="128"/>
        <v>0</v>
      </c>
      <c r="CF1001" s="75">
        <f t="shared" si="118"/>
        <v>8172</v>
      </c>
      <c r="CG1001" s="69" t="str">
        <f t="shared" si="118"/>
        <v>برنامج دولى</v>
      </c>
    </row>
    <row r="1002" spans="3:85" x14ac:dyDescent="0.25">
      <c r="C1002" s="82">
        <v>13777</v>
      </c>
      <c r="D1002" s="78">
        <v>8173</v>
      </c>
      <c r="E1002" s="69" t="s">
        <v>78</v>
      </c>
      <c r="F1002" s="69" t="s">
        <v>2094</v>
      </c>
      <c r="G1002" s="69"/>
      <c r="H1002" s="69">
        <v>938</v>
      </c>
      <c r="U1002" s="69"/>
      <c r="V1002" s="69"/>
      <c r="AS1002" s="91">
        <f t="shared" si="112"/>
        <v>938</v>
      </c>
      <c r="AT1002" s="69">
        <v>627.35</v>
      </c>
      <c r="AU1002" s="69">
        <v>84.65</v>
      </c>
      <c r="AV1002" s="69">
        <v>226</v>
      </c>
      <c r="CD1002" s="91">
        <f t="shared" si="110"/>
        <v>938</v>
      </c>
      <c r="CE1002" s="69">
        <f t="shared" si="128"/>
        <v>0</v>
      </c>
      <c r="CF1002" s="75">
        <f t="shared" si="118"/>
        <v>8173</v>
      </c>
      <c r="CG1002" s="69" t="str">
        <f t="shared" si="118"/>
        <v>برنامج دولى</v>
      </c>
    </row>
    <row r="1003" spans="3:85" x14ac:dyDescent="0.25">
      <c r="C1003" s="82">
        <v>13776</v>
      </c>
      <c r="D1003" s="78">
        <v>8174</v>
      </c>
      <c r="E1003" s="69" t="s">
        <v>78</v>
      </c>
      <c r="F1003" s="69" t="s">
        <v>823</v>
      </c>
      <c r="G1003" s="69"/>
      <c r="H1003" s="69">
        <v>351.75</v>
      </c>
      <c r="U1003" s="69"/>
      <c r="V1003" s="69"/>
      <c r="AS1003" s="91">
        <f t="shared" si="112"/>
        <v>351.75</v>
      </c>
      <c r="AT1003" s="69">
        <v>235.55</v>
      </c>
      <c r="AU1003" s="69">
        <v>31.45</v>
      </c>
      <c r="AV1003" s="69">
        <v>84.75</v>
      </c>
      <c r="CD1003" s="91">
        <f t="shared" si="110"/>
        <v>351.75</v>
      </c>
      <c r="CE1003" s="69">
        <f t="shared" si="128"/>
        <v>0</v>
      </c>
      <c r="CF1003" s="75">
        <f t="shared" si="118"/>
        <v>8174</v>
      </c>
      <c r="CG1003" s="69" t="str">
        <f t="shared" si="118"/>
        <v>برنامج دولى</v>
      </c>
    </row>
    <row r="1004" spans="3:85" x14ac:dyDescent="0.25">
      <c r="C1004" s="82">
        <v>13775</v>
      </c>
      <c r="D1004" s="78">
        <v>8175</v>
      </c>
      <c r="E1004" s="69" t="s">
        <v>78</v>
      </c>
      <c r="F1004" s="69" t="s">
        <v>1452</v>
      </c>
      <c r="G1004" s="69"/>
      <c r="H1004" s="69">
        <v>1758.75</v>
      </c>
      <c r="U1004" s="69"/>
      <c r="V1004" s="69"/>
      <c r="AS1004" s="91">
        <f t="shared" si="112"/>
        <v>1758.75</v>
      </c>
      <c r="AT1004" s="69">
        <v>1175.3499999999999</v>
      </c>
      <c r="AU1004" s="69">
        <v>159.65</v>
      </c>
      <c r="AV1004" s="69">
        <v>423.75</v>
      </c>
      <c r="CD1004" s="91">
        <f t="shared" si="110"/>
        <v>1758.75</v>
      </c>
      <c r="CE1004" s="69">
        <f t="shared" si="128"/>
        <v>0</v>
      </c>
      <c r="CF1004" s="75">
        <f t="shared" si="118"/>
        <v>8175</v>
      </c>
      <c r="CG1004" s="69" t="str">
        <f t="shared" si="118"/>
        <v>برنامج دولى</v>
      </c>
    </row>
    <row r="1005" spans="3:85" x14ac:dyDescent="0.25">
      <c r="C1005" s="82">
        <v>13778</v>
      </c>
      <c r="D1005" s="78">
        <v>8176</v>
      </c>
      <c r="E1005" s="69" t="s">
        <v>78</v>
      </c>
      <c r="F1005" s="69" t="str">
        <f>+F1002</f>
        <v>مكافاه اجازات هيئه تدريس</v>
      </c>
      <c r="G1005" s="69"/>
      <c r="H1005" s="69">
        <v>938</v>
      </c>
      <c r="U1005" s="69"/>
      <c r="V1005" s="69"/>
      <c r="AS1005" s="91">
        <f t="shared" si="112"/>
        <v>938</v>
      </c>
      <c r="AT1005" s="69">
        <v>627.35</v>
      </c>
      <c r="AU1005" s="69">
        <v>84.65</v>
      </c>
      <c r="AV1005" s="69">
        <v>226</v>
      </c>
      <c r="CD1005" s="91">
        <f t="shared" si="110"/>
        <v>938</v>
      </c>
      <c r="CE1005" s="69">
        <f t="shared" si="128"/>
        <v>0</v>
      </c>
      <c r="CF1005" s="75">
        <f t="shared" si="118"/>
        <v>8176</v>
      </c>
      <c r="CG1005" s="69" t="str">
        <f t="shared" si="118"/>
        <v>برنامج دولى</v>
      </c>
    </row>
    <row r="1006" spans="3:85" x14ac:dyDescent="0.25">
      <c r="C1006" s="82">
        <v>13767</v>
      </c>
      <c r="D1006" s="78">
        <v>8177</v>
      </c>
      <c r="E1006" s="69" t="s">
        <v>78</v>
      </c>
      <c r="F1006" s="69" t="s">
        <v>1516</v>
      </c>
      <c r="G1006" s="69"/>
      <c r="H1006" s="69">
        <v>1407</v>
      </c>
      <c r="U1006" s="69"/>
      <c r="V1006" s="69"/>
      <c r="AS1006" s="91">
        <f t="shared" si="112"/>
        <v>1407</v>
      </c>
      <c r="AT1006" s="69">
        <v>940.35</v>
      </c>
      <c r="AU1006" s="69">
        <v>127.65</v>
      </c>
      <c r="AV1006" s="69">
        <v>339</v>
      </c>
      <c r="CD1006" s="91">
        <f t="shared" si="110"/>
        <v>1407</v>
      </c>
      <c r="CE1006" s="69">
        <f t="shared" si="128"/>
        <v>0</v>
      </c>
      <c r="CF1006" s="75">
        <f t="shared" si="118"/>
        <v>8177</v>
      </c>
      <c r="CG1006" s="69" t="str">
        <f t="shared" si="118"/>
        <v>برنامج دولى</v>
      </c>
    </row>
    <row r="1007" spans="3:85" x14ac:dyDescent="0.25">
      <c r="C1007" s="82">
        <v>13763</v>
      </c>
      <c r="D1007" s="78">
        <v>8178</v>
      </c>
      <c r="E1007" s="69" t="s">
        <v>78</v>
      </c>
      <c r="F1007" s="69" t="s">
        <v>2095</v>
      </c>
      <c r="G1007" s="69"/>
      <c r="H1007" s="69">
        <v>7559.73</v>
      </c>
      <c r="U1007" s="69"/>
      <c r="V1007" s="69"/>
      <c r="AS1007" s="91">
        <f t="shared" si="112"/>
        <v>7559.73</v>
      </c>
      <c r="AT1007" s="69">
        <v>4983.3599999999997</v>
      </c>
      <c r="AU1007" s="69">
        <v>677.1</v>
      </c>
      <c r="AV1007" s="69">
        <v>1899.27</v>
      </c>
      <c r="CD1007" s="91">
        <f t="shared" si="110"/>
        <v>7559.73</v>
      </c>
      <c r="CE1007" s="69">
        <f t="shared" si="128"/>
        <v>0</v>
      </c>
      <c r="CF1007" s="75">
        <f t="shared" si="118"/>
        <v>8178</v>
      </c>
      <c r="CG1007" s="69" t="str">
        <f t="shared" si="118"/>
        <v>برنامج دولى</v>
      </c>
    </row>
    <row r="1008" spans="3:85" x14ac:dyDescent="0.25">
      <c r="C1008" s="82">
        <v>13762</v>
      </c>
      <c r="D1008" s="78">
        <v>8179</v>
      </c>
      <c r="E1008" s="69" t="s">
        <v>78</v>
      </c>
      <c r="F1008" s="69" t="s">
        <v>2096</v>
      </c>
      <c r="G1008" s="69"/>
      <c r="H1008" s="69">
        <v>2500</v>
      </c>
      <c r="U1008" s="69"/>
      <c r="V1008" s="69"/>
      <c r="AS1008" s="91">
        <f t="shared" si="112"/>
        <v>2500</v>
      </c>
      <c r="AT1008" s="69">
        <v>2231.6</v>
      </c>
      <c r="AU1008" s="69">
        <v>268.39999999999998</v>
      </c>
      <c r="CD1008" s="91">
        <f t="shared" si="110"/>
        <v>2500</v>
      </c>
      <c r="CE1008" s="69">
        <f t="shared" si="128"/>
        <v>0</v>
      </c>
      <c r="CF1008" s="75">
        <f t="shared" si="118"/>
        <v>8179</v>
      </c>
      <c r="CG1008" s="69" t="str">
        <f t="shared" si="118"/>
        <v>برنامج دولى</v>
      </c>
    </row>
    <row r="1009" spans="3:85" x14ac:dyDescent="0.25">
      <c r="C1009" s="82">
        <v>13761</v>
      </c>
      <c r="D1009" s="78">
        <v>8180</v>
      </c>
      <c r="E1009" s="69" t="s">
        <v>78</v>
      </c>
      <c r="F1009" s="69" t="s">
        <v>2096</v>
      </c>
      <c r="G1009" s="69"/>
      <c r="H1009" s="69">
        <v>2500</v>
      </c>
      <c r="U1009" s="69"/>
      <c r="V1009" s="69"/>
      <c r="AS1009" s="91">
        <f t="shared" si="112"/>
        <v>2500</v>
      </c>
      <c r="AT1009" s="69">
        <v>2231.6</v>
      </c>
      <c r="AU1009" s="69">
        <v>268.39999999999998</v>
      </c>
      <c r="CD1009" s="91">
        <f t="shared" si="110"/>
        <v>2500</v>
      </c>
      <c r="CE1009" s="69">
        <f t="shared" si="128"/>
        <v>0</v>
      </c>
      <c r="CF1009" s="75">
        <f t="shared" si="118"/>
        <v>8180</v>
      </c>
      <c r="CG1009" s="69" t="str">
        <f t="shared" si="118"/>
        <v>برنامج دولى</v>
      </c>
    </row>
    <row r="1010" spans="3:85" x14ac:dyDescent="0.25">
      <c r="C1010" s="82">
        <v>13760</v>
      </c>
      <c r="D1010" s="78">
        <v>8181</v>
      </c>
      <c r="E1010" s="69" t="s">
        <v>78</v>
      </c>
      <c r="F1010" s="69" t="s">
        <v>790</v>
      </c>
      <c r="G1010" s="69"/>
      <c r="H1010" s="69">
        <v>19530.310000000001</v>
      </c>
      <c r="U1010" s="69"/>
      <c r="V1010" s="69"/>
      <c r="AS1010" s="91">
        <f t="shared" si="112"/>
        <v>19530.310000000001</v>
      </c>
      <c r="AT1010" s="69">
        <v>16628.919999999998</v>
      </c>
      <c r="AU1010" s="69">
        <v>2032.9</v>
      </c>
      <c r="AV1010" s="69">
        <v>868.49</v>
      </c>
      <c r="CD1010" s="91">
        <f t="shared" si="110"/>
        <v>19530.310000000001</v>
      </c>
      <c r="CE1010" s="69">
        <f t="shared" si="128"/>
        <v>0</v>
      </c>
      <c r="CF1010" s="75">
        <f t="shared" si="118"/>
        <v>8181</v>
      </c>
      <c r="CG1010" s="69" t="str">
        <f t="shared" si="118"/>
        <v>برنامج دولى</v>
      </c>
    </row>
    <row r="1011" spans="3:85" x14ac:dyDescent="0.25">
      <c r="C1011" s="82">
        <v>13758</v>
      </c>
      <c r="D1011" s="78">
        <v>8182</v>
      </c>
      <c r="E1011" s="69" t="s">
        <v>78</v>
      </c>
      <c r="F1011" s="69" t="s">
        <v>2097</v>
      </c>
      <c r="G1011" s="69"/>
      <c r="H1011" s="69">
        <v>12500</v>
      </c>
      <c r="U1011" s="69"/>
      <c r="V1011" s="69"/>
      <c r="AS1011" s="91">
        <f t="shared" si="112"/>
        <v>12500</v>
      </c>
      <c r="AT1011" s="69">
        <v>11158</v>
      </c>
      <c r="AU1011" s="69">
        <v>1342</v>
      </c>
      <c r="CD1011" s="91">
        <f t="shared" si="110"/>
        <v>12500</v>
      </c>
      <c r="CE1011" s="69">
        <f t="shared" si="128"/>
        <v>0</v>
      </c>
      <c r="CF1011" s="75">
        <f t="shared" si="118"/>
        <v>8182</v>
      </c>
      <c r="CG1011" s="69" t="str">
        <f t="shared" si="118"/>
        <v>برنامج دولى</v>
      </c>
    </row>
    <row r="1012" spans="3:85" x14ac:dyDescent="0.25">
      <c r="C1012" s="82">
        <v>13757</v>
      </c>
      <c r="D1012" s="78">
        <v>8183</v>
      </c>
      <c r="E1012" s="69" t="s">
        <v>78</v>
      </c>
      <c r="F1012" s="69" t="s">
        <v>2097</v>
      </c>
      <c r="G1012" s="69"/>
      <c r="H1012" s="69">
        <v>7500</v>
      </c>
      <c r="U1012" s="69"/>
      <c r="V1012" s="69"/>
      <c r="AS1012" s="91">
        <f t="shared" si="112"/>
        <v>7500</v>
      </c>
      <c r="AT1012" s="69">
        <v>6694.8</v>
      </c>
      <c r="AU1012" s="69">
        <v>805.2</v>
      </c>
      <c r="CD1012" s="91">
        <f t="shared" si="110"/>
        <v>7500</v>
      </c>
      <c r="CE1012" s="69">
        <f t="shared" si="128"/>
        <v>0</v>
      </c>
      <c r="CF1012" s="75">
        <f t="shared" si="118"/>
        <v>8183</v>
      </c>
      <c r="CG1012" s="69" t="str">
        <f t="shared" si="118"/>
        <v>برنامج دولى</v>
      </c>
    </row>
    <row r="1013" spans="3:85" x14ac:dyDescent="0.25">
      <c r="C1013" s="82">
        <v>13759</v>
      </c>
      <c r="D1013" s="78">
        <v>8184</v>
      </c>
      <c r="E1013" s="69" t="s">
        <v>78</v>
      </c>
      <c r="F1013" s="69" t="s">
        <v>2098</v>
      </c>
      <c r="G1013" s="69"/>
      <c r="H1013" s="69">
        <v>1172.5</v>
      </c>
      <c r="U1013" s="69"/>
      <c r="V1013" s="69"/>
      <c r="AS1013" s="91">
        <f t="shared" si="112"/>
        <v>1172.5</v>
      </c>
      <c r="AT1013" s="69">
        <v>784.1</v>
      </c>
      <c r="AU1013" s="69">
        <v>105.9</v>
      </c>
      <c r="AV1013" s="69">
        <v>282.5</v>
      </c>
      <c r="CD1013" s="91">
        <f t="shared" si="110"/>
        <v>1172.5</v>
      </c>
      <c r="CE1013" s="69">
        <f t="shared" si="128"/>
        <v>0</v>
      </c>
      <c r="CF1013" s="75">
        <f t="shared" si="118"/>
        <v>8184</v>
      </c>
      <c r="CG1013" s="69" t="str">
        <f t="shared" si="118"/>
        <v>برنامج دولى</v>
      </c>
    </row>
    <row r="1014" spans="3:85" x14ac:dyDescent="0.25">
      <c r="C1014" s="82">
        <v>13756</v>
      </c>
      <c r="D1014" s="78">
        <v>8185</v>
      </c>
      <c r="E1014" s="69" t="s">
        <v>78</v>
      </c>
      <c r="F1014" s="69" t="s">
        <v>2098</v>
      </c>
      <c r="G1014" s="69"/>
      <c r="H1014" s="69">
        <v>20517.5</v>
      </c>
      <c r="U1014" s="69"/>
      <c r="V1014" s="69"/>
      <c r="AS1014" s="91">
        <f t="shared" si="112"/>
        <v>20517.5</v>
      </c>
      <c r="AT1014" s="69">
        <v>17527.599999999999</v>
      </c>
      <c r="AU1014" s="69">
        <v>2142.4</v>
      </c>
      <c r="AV1014" s="69">
        <v>847.5</v>
      </c>
      <c r="CD1014" s="91">
        <f t="shared" si="110"/>
        <v>20517.5</v>
      </c>
      <c r="CE1014" s="69">
        <f t="shared" si="128"/>
        <v>0</v>
      </c>
      <c r="CF1014" s="75">
        <f t="shared" si="118"/>
        <v>8185</v>
      </c>
      <c r="CG1014" s="69" t="str">
        <f t="shared" si="118"/>
        <v>برنامج دولى</v>
      </c>
    </row>
    <row r="1015" spans="3:85" x14ac:dyDescent="0.25">
      <c r="C1015" s="82">
        <v>13773</v>
      </c>
      <c r="D1015" s="78">
        <v>8186</v>
      </c>
      <c r="E1015" s="69" t="s">
        <v>78</v>
      </c>
      <c r="F1015" s="69" t="s">
        <v>1909</v>
      </c>
      <c r="G1015" s="69"/>
      <c r="H1015" s="69">
        <v>1000</v>
      </c>
      <c r="U1015" s="69"/>
      <c r="V1015" s="69"/>
      <c r="AS1015" s="91">
        <f t="shared" si="112"/>
        <v>1000</v>
      </c>
      <c r="AT1015" s="69">
        <v>893.35</v>
      </c>
      <c r="AU1015" s="69">
        <v>106.65</v>
      </c>
      <c r="CD1015" s="91">
        <f t="shared" si="110"/>
        <v>1000</v>
      </c>
      <c r="CE1015" s="69">
        <f t="shared" si="128"/>
        <v>0</v>
      </c>
      <c r="CF1015" s="75">
        <f t="shared" si="118"/>
        <v>8186</v>
      </c>
      <c r="CG1015" s="69" t="str">
        <f t="shared" si="118"/>
        <v>برنامج دولى</v>
      </c>
    </row>
    <row r="1016" spans="3:85" x14ac:dyDescent="0.25">
      <c r="C1016" s="82">
        <v>13774</v>
      </c>
      <c r="D1016" s="78">
        <v>8187</v>
      </c>
      <c r="E1016" s="69" t="s">
        <v>78</v>
      </c>
      <c r="F1016" s="69" t="s">
        <v>2099</v>
      </c>
      <c r="G1016" s="69"/>
      <c r="H1016" s="69">
        <v>750</v>
      </c>
      <c r="U1016" s="69"/>
      <c r="V1016" s="69"/>
      <c r="AS1016" s="91">
        <f t="shared" si="112"/>
        <v>750</v>
      </c>
      <c r="AT1016" s="69">
        <v>670.1</v>
      </c>
      <c r="AU1016" s="69">
        <v>79.900000000000006</v>
      </c>
      <c r="CD1016" s="91">
        <f t="shared" si="110"/>
        <v>750</v>
      </c>
      <c r="CE1016" s="69">
        <f t="shared" si="128"/>
        <v>0</v>
      </c>
      <c r="CF1016" s="75">
        <f t="shared" si="118"/>
        <v>8187</v>
      </c>
      <c r="CG1016" s="69" t="str">
        <f t="shared" si="118"/>
        <v>برنامج دولى</v>
      </c>
    </row>
    <row r="1017" spans="3:85" x14ac:dyDescent="0.25">
      <c r="C1017" s="82">
        <v>13772</v>
      </c>
      <c r="D1017" s="78">
        <v>8188</v>
      </c>
      <c r="E1017" s="69" t="s">
        <v>78</v>
      </c>
      <c r="F1017" s="69" t="s">
        <v>2100</v>
      </c>
      <c r="G1017" s="69"/>
      <c r="H1017" s="69">
        <v>2931.24</v>
      </c>
      <c r="U1017" s="69"/>
      <c r="V1017" s="69"/>
      <c r="AS1017" s="91">
        <f t="shared" si="112"/>
        <v>2931.24</v>
      </c>
      <c r="AT1017" s="69">
        <v>1959</v>
      </c>
      <c r="AU1017" s="69">
        <v>266</v>
      </c>
      <c r="AV1017" s="69">
        <v>706.24</v>
      </c>
      <c r="CD1017" s="91">
        <f t="shared" si="110"/>
        <v>2931.24</v>
      </c>
      <c r="CE1017" s="69">
        <f t="shared" si="128"/>
        <v>0</v>
      </c>
      <c r="CF1017" s="75">
        <f t="shared" si="118"/>
        <v>8188</v>
      </c>
      <c r="CG1017" s="69" t="str">
        <f t="shared" si="118"/>
        <v>برنامج دولى</v>
      </c>
    </row>
    <row r="1018" spans="3:85" x14ac:dyDescent="0.25">
      <c r="C1018" s="82">
        <v>13771</v>
      </c>
      <c r="D1018" s="78">
        <v>8189</v>
      </c>
      <c r="E1018" s="69" t="s">
        <v>78</v>
      </c>
      <c r="F1018" s="69" t="s">
        <v>2101</v>
      </c>
      <c r="G1018" s="69"/>
      <c r="H1018" s="69">
        <v>4221</v>
      </c>
      <c r="U1018" s="69"/>
      <c r="V1018" s="69"/>
      <c r="AS1018" s="91">
        <f t="shared" si="112"/>
        <v>4221</v>
      </c>
      <c r="AT1018" s="69">
        <v>2821.9</v>
      </c>
      <c r="AU1018" s="69">
        <v>382.1</v>
      </c>
      <c r="AV1018" s="69">
        <v>1017</v>
      </c>
      <c r="CD1018" s="91">
        <f t="shared" si="110"/>
        <v>4221</v>
      </c>
      <c r="CE1018" s="69">
        <f t="shared" si="128"/>
        <v>0</v>
      </c>
      <c r="CF1018" s="75">
        <f t="shared" si="118"/>
        <v>8189</v>
      </c>
      <c r="CG1018" s="69" t="str">
        <f t="shared" si="118"/>
        <v>برنامج دولى</v>
      </c>
    </row>
    <row r="1019" spans="3:85" x14ac:dyDescent="0.25">
      <c r="C1019" s="82">
        <v>13770</v>
      </c>
      <c r="D1019" s="78">
        <v>8190</v>
      </c>
      <c r="E1019" s="69" t="s">
        <v>78</v>
      </c>
      <c r="F1019" s="69" t="s">
        <v>1643</v>
      </c>
      <c r="G1019" s="69"/>
      <c r="H1019" s="69">
        <v>410.38</v>
      </c>
      <c r="U1019" s="69"/>
      <c r="V1019" s="69"/>
      <c r="AS1019" s="91">
        <f t="shared" si="112"/>
        <v>410.38</v>
      </c>
      <c r="AT1019" s="69">
        <v>274.8</v>
      </c>
      <c r="AU1019" s="69">
        <v>36.700000000000003</v>
      </c>
      <c r="AV1019" s="69">
        <v>98.88</v>
      </c>
      <c r="CD1019" s="91">
        <f t="shared" si="110"/>
        <v>410.38</v>
      </c>
      <c r="CE1019" s="69">
        <f t="shared" si="128"/>
        <v>0</v>
      </c>
      <c r="CF1019" s="75">
        <f t="shared" si="118"/>
        <v>8190</v>
      </c>
      <c r="CG1019" s="69" t="str">
        <f t="shared" si="118"/>
        <v>برنامج دولى</v>
      </c>
    </row>
    <row r="1020" spans="3:85" x14ac:dyDescent="0.25">
      <c r="C1020" s="82">
        <v>13768</v>
      </c>
      <c r="D1020" s="78">
        <v>8191</v>
      </c>
      <c r="E1020" s="69" t="s">
        <v>78</v>
      </c>
      <c r="F1020" s="69" t="s">
        <v>2102</v>
      </c>
      <c r="G1020" s="69"/>
      <c r="H1020" s="69">
        <v>1172.5</v>
      </c>
      <c r="U1020" s="69"/>
      <c r="V1020" s="69"/>
      <c r="AS1020" s="91">
        <f t="shared" si="112"/>
        <v>1172.5</v>
      </c>
      <c r="AT1020" s="69">
        <v>784.1</v>
      </c>
      <c r="AU1020" s="69">
        <v>105.9</v>
      </c>
      <c r="AV1020" s="69">
        <v>282.5</v>
      </c>
      <c r="CD1020" s="91">
        <f t="shared" si="110"/>
        <v>1172.5</v>
      </c>
      <c r="CE1020" s="69">
        <f t="shared" si="128"/>
        <v>0</v>
      </c>
      <c r="CF1020" s="75">
        <f t="shared" ref="CF1020:CG1035" si="129">+D1020</f>
        <v>8191</v>
      </c>
      <c r="CG1020" s="69" t="str">
        <f t="shared" si="129"/>
        <v>برنامج دولى</v>
      </c>
    </row>
    <row r="1021" spans="3:85" x14ac:dyDescent="0.25">
      <c r="C1021" s="82">
        <v>13769</v>
      </c>
      <c r="D1021" s="78">
        <v>8192</v>
      </c>
      <c r="E1021" s="69" t="s">
        <v>78</v>
      </c>
      <c r="F1021" s="69" t="s">
        <v>1872</v>
      </c>
      <c r="G1021" s="69"/>
      <c r="H1021" s="69">
        <v>2814</v>
      </c>
      <c r="U1021" s="69"/>
      <c r="V1021" s="69"/>
      <c r="AS1021" s="91">
        <f t="shared" si="112"/>
        <v>2814</v>
      </c>
      <c r="AT1021" s="69">
        <v>1880.7</v>
      </c>
      <c r="AU1021" s="69">
        <v>255.3</v>
      </c>
      <c r="AV1021" s="69">
        <v>678</v>
      </c>
      <c r="CD1021" s="91">
        <f t="shared" si="110"/>
        <v>2814</v>
      </c>
      <c r="CE1021" s="69">
        <f t="shared" si="128"/>
        <v>0</v>
      </c>
      <c r="CF1021" s="75">
        <f t="shared" si="129"/>
        <v>8192</v>
      </c>
      <c r="CG1021" s="69" t="str">
        <f t="shared" si="129"/>
        <v>برنامج دولى</v>
      </c>
    </row>
    <row r="1022" spans="3:85" x14ac:dyDescent="0.25">
      <c r="C1022" s="82">
        <v>13746</v>
      </c>
      <c r="D1022" s="78">
        <v>8193</v>
      </c>
      <c r="E1022" s="69" t="s">
        <v>78</v>
      </c>
      <c r="F1022" s="69" t="s">
        <v>2103</v>
      </c>
      <c r="G1022" s="69"/>
      <c r="H1022" s="69">
        <v>24375</v>
      </c>
      <c r="U1022" s="69"/>
      <c r="V1022" s="69"/>
      <c r="AS1022" s="91">
        <f t="shared" si="112"/>
        <v>24375</v>
      </c>
      <c r="AT1022" s="69">
        <v>21743.7</v>
      </c>
      <c r="AU1022" s="69">
        <v>2631.3</v>
      </c>
      <c r="CD1022" s="91">
        <f t="shared" si="110"/>
        <v>24375</v>
      </c>
      <c r="CE1022" s="69">
        <f t="shared" si="128"/>
        <v>0</v>
      </c>
      <c r="CF1022" s="75">
        <f t="shared" si="129"/>
        <v>8193</v>
      </c>
      <c r="CG1022" s="69" t="str">
        <f t="shared" si="129"/>
        <v>برنامج دولى</v>
      </c>
    </row>
    <row r="1023" spans="3:85" x14ac:dyDescent="0.25">
      <c r="C1023" s="82">
        <v>13745</v>
      </c>
      <c r="D1023" s="78">
        <v>8194</v>
      </c>
      <c r="E1023" s="69" t="s">
        <v>78</v>
      </c>
      <c r="F1023" s="69" t="s">
        <v>2104</v>
      </c>
      <c r="G1023" s="69"/>
      <c r="H1023" s="69">
        <v>24434.44</v>
      </c>
      <c r="U1023" s="69"/>
      <c r="V1023" s="69"/>
      <c r="AS1023" s="91">
        <f t="shared" si="112"/>
        <v>24434.44</v>
      </c>
      <c r="AT1023" s="69">
        <v>21716.7</v>
      </c>
      <c r="AU1023" s="69">
        <v>2620.4</v>
      </c>
      <c r="AV1023" s="69">
        <v>97.34</v>
      </c>
      <c r="CD1023" s="91">
        <f t="shared" si="110"/>
        <v>24434.440000000002</v>
      </c>
      <c r="CE1023" s="69">
        <f t="shared" si="128"/>
        <v>0</v>
      </c>
      <c r="CF1023" s="75">
        <f t="shared" si="129"/>
        <v>8194</v>
      </c>
      <c r="CG1023" s="69" t="str">
        <f t="shared" si="129"/>
        <v>برنامج دولى</v>
      </c>
    </row>
    <row r="1024" spans="3:85" x14ac:dyDescent="0.25">
      <c r="C1024" s="82">
        <v>13708</v>
      </c>
      <c r="D1024" s="78">
        <v>8195</v>
      </c>
      <c r="E1024" s="69" t="s">
        <v>78</v>
      </c>
      <c r="F1024" s="69" t="s">
        <v>2105</v>
      </c>
      <c r="G1024" s="69"/>
      <c r="H1024" s="69">
        <v>26250</v>
      </c>
      <c r="U1024" s="69"/>
      <c r="V1024" s="69"/>
      <c r="AS1024" s="91">
        <f t="shared" si="112"/>
        <v>26250</v>
      </c>
      <c r="AT1024" s="69">
        <v>23422.45</v>
      </c>
      <c r="AU1024" s="69">
        <v>2827.55</v>
      </c>
      <c r="CD1024" s="91">
        <f t="shared" si="110"/>
        <v>26250</v>
      </c>
      <c r="CE1024" s="69">
        <f t="shared" si="128"/>
        <v>0</v>
      </c>
      <c r="CF1024" s="75">
        <f t="shared" si="129"/>
        <v>8195</v>
      </c>
      <c r="CG1024" s="69" t="str">
        <f t="shared" si="129"/>
        <v>برنامج دولى</v>
      </c>
    </row>
    <row r="1025" spans="3:85" x14ac:dyDescent="0.25">
      <c r="C1025" s="82">
        <v>13764</v>
      </c>
      <c r="D1025" s="78">
        <v>8196</v>
      </c>
      <c r="E1025" s="69" t="s">
        <v>78</v>
      </c>
      <c r="F1025" s="69" t="s">
        <v>2106</v>
      </c>
      <c r="G1025" s="69"/>
      <c r="H1025" s="69">
        <v>1758.75</v>
      </c>
      <c r="U1025" s="69"/>
      <c r="V1025" s="69"/>
      <c r="AS1025" s="91">
        <f t="shared" si="112"/>
        <v>1758.75</v>
      </c>
      <c r="AT1025" s="69">
        <v>1175.3499999999999</v>
      </c>
      <c r="AU1025" s="69">
        <v>159.65</v>
      </c>
      <c r="AV1025" s="69">
        <v>423.75</v>
      </c>
      <c r="CD1025" s="91">
        <f t="shared" ref="CD1025:CD1037" si="130">SUM(AT1025:CC1025)</f>
        <v>1758.75</v>
      </c>
      <c r="CE1025" s="69">
        <f t="shared" si="128"/>
        <v>0</v>
      </c>
      <c r="CF1025" s="75">
        <f t="shared" si="129"/>
        <v>8196</v>
      </c>
      <c r="CG1025" s="69" t="str">
        <f t="shared" si="129"/>
        <v>برنامج دولى</v>
      </c>
    </row>
    <row r="1026" spans="3:85" x14ac:dyDescent="0.25">
      <c r="C1026" s="82">
        <v>13765</v>
      </c>
      <c r="D1026" s="78">
        <v>8197</v>
      </c>
      <c r="E1026" s="69" t="s">
        <v>78</v>
      </c>
      <c r="F1026" s="69" t="s">
        <v>2107</v>
      </c>
      <c r="G1026" s="69"/>
      <c r="H1026" s="69">
        <v>1066.98</v>
      </c>
      <c r="U1026" s="69"/>
      <c r="V1026" s="69"/>
      <c r="AS1026" s="91">
        <f t="shared" si="112"/>
        <v>1066.98</v>
      </c>
      <c r="AT1026" s="69">
        <v>713.55</v>
      </c>
      <c r="AU1026" s="69">
        <f>5.35+91</f>
        <v>96.35</v>
      </c>
      <c r="AV1026" s="69">
        <v>257.08</v>
      </c>
      <c r="CD1026" s="91">
        <f t="shared" si="130"/>
        <v>1066.98</v>
      </c>
      <c r="CE1026" s="69">
        <f t="shared" si="128"/>
        <v>0</v>
      </c>
      <c r="CF1026" s="75">
        <f t="shared" si="129"/>
        <v>8197</v>
      </c>
      <c r="CG1026" s="69" t="str">
        <f t="shared" si="129"/>
        <v>برنامج دولى</v>
      </c>
    </row>
    <row r="1027" spans="3:85" x14ac:dyDescent="0.25">
      <c r="C1027" s="82">
        <v>13766</v>
      </c>
      <c r="D1027" s="78">
        <v>8198</v>
      </c>
      <c r="E1027" s="69" t="s">
        <v>78</v>
      </c>
      <c r="F1027" s="69" t="s">
        <v>2108</v>
      </c>
      <c r="G1027" s="69"/>
      <c r="H1027" s="69">
        <v>1407</v>
      </c>
      <c r="U1027" s="69"/>
      <c r="V1027" s="69"/>
      <c r="AS1027" s="91">
        <f t="shared" si="112"/>
        <v>1407</v>
      </c>
      <c r="AT1027" s="69">
        <v>940.35</v>
      </c>
      <c r="AU1027" s="69">
        <f>7.65+120</f>
        <v>127.65</v>
      </c>
      <c r="AV1027" s="69">
        <v>339</v>
      </c>
      <c r="CD1027" s="91">
        <f t="shared" si="130"/>
        <v>1407</v>
      </c>
      <c r="CE1027" s="69">
        <f t="shared" si="128"/>
        <v>0</v>
      </c>
      <c r="CF1027" s="75">
        <f t="shared" si="129"/>
        <v>8198</v>
      </c>
      <c r="CG1027" s="69" t="str">
        <f t="shared" si="129"/>
        <v>برنامج دولى</v>
      </c>
    </row>
    <row r="1028" spans="3:85" x14ac:dyDescent="0.25">
      <c r="C1028" s="82">
        <v>14057</v>
      </c>
      <c r="D1028" s="78">
        <v>8199</v>
      </c>
      <c r="E1028" s="69" t="s">
        <v>78</v>
      </c>
      <c r="F1028" s="69" t="s">
        <v>2109</v>
      </c>
      <c r="G1028" s="69"/>
      <c r="H1028" s="69">
        <v>7035</v>
      </c>
      <c r="U1028" s="69"/>
      <c r="V1028" s="69"/>
      <c r="AS1028" s="91">
        <f t="shared" si="112"/>
        <v>7035</v>
      </c>
      <c r="AT1028" s="69">
        <v>4700.7</v>
      </c>
      <c r="AU1028" s="69">
        <v>639.29999999999995</v>
      </c>
      <c r="AV1028" s="69">
        <v>1695</v>
      </c>
      <c r="CD1028" s="91">
        <f t="shared" si="130"/>
        <v>7035</v>
      </c>
      <c r="CE1028" s="69">
        <f t="shared" si="128"/>
        <v>0</v>
      </c>
      <c r="CF1028" s="75">
        <f t="shared" si="129"/>
        <v>8199</v>
      </c>
      <c r="CG1028" s="69" t="str">
        <f t="shared" si="129"/>
        <v>برنامج دولى</v>
      </c>
    </row>
    <row r="1029" spans="3:85" x14ac:dyDescent="0.25">
      <c r="C1029" s="82">
        <v>14056</v>
      </c>
      <c r="D1029" s="78">
        <v>8200</v>
      </c>
      <c r="E1029" s="69" t="s">
        <v>78</v>
      </c>
      <c r="F1029" s="69" t="s">
        <v>2109</v>
      </c>
      <c r="G1029" s="69"/>
      <c r="H1029" s="69">
        <v>3517.5</v>
      </c>
      <c r="U1029" s="69"/>
      <c r="V1029" s="69"/>
      <c r="AS1029" s="91">
        <f t="shared" si="112"/>
        <v>3517.5</v>
      </c>
      <c r="AT1029" s="69">
        <v>2350.35</v>
      </c>
      <c r="AU1029" s="69">
        <v>319.64999999999998</v>
      </c>
      <c r="AV1029" s="69">
        <v>847.5</v>
      </c>
      <c r="CD1029" s="91">
        <f t="shared" si="130"/>
        <v>3517.5</v>
      </c>
      <c r="CE1029" s="69">
        <f t="shared" si="128"/>
        <v>0</v>
      </c>
      <c r="CF1029" s="75">
        <f t="shared" si="129"/>
        <v>8200</v>
      </c>
      <c r="CG1029" s="69" t="str">
        <f t="shared" si="129"/>
        <v>برنامج دولى</v>
      </c>
    </row>
    <row r="1030" spans="3:85" x14ac:dyDescent="0.25">
      <c r="C1030" s="82">
        <v>14055</v>
      </c>
      <c r="D1030" s="78">
        <v>8201</v>
      </c>
      <c r="E1030" s="69" t="s">
        <v>78</v>
      </c>
      <c r="F1030" s="69" t="s">
        <v>2109</v>
      </c>
      <c r="G1030" s="69"/>
      <c r="H1030" s="69">
        <v>10380.74</v>
      </c>
      <c r="U1030" s="69"/>
      <c r="V1030" s="69"/>
      <c r="AS1030" s="91">
        <f t="shared" si="112"/>
        <v>10380.74</v>
      </c>
      <c r="AT1030" s="69">
        <v>7898.85</v>
      </c>
      <c r="AU1030" s="69">
        <v>1012.23</v>
      </c>
      <c r="AV1030" s="69">
        <v>1469.66</v>
      </c>
      <c r="CD1030" s="91">
        <f t="shared" si="130"/>
        <v>10380.74</v>
      </c>
      <c r="CE1030" s="69">
        <f t="shared" si="128"/>
        <v>0</v>
      </c>
      <c r="CF1030" s="75">
        <f t="shared" si="129"/>
        <v>8201</v>
      </c>
      <c r="CG1030" s="69" t="str">
        <f t="shared" si="129"/>
        <v>برنامج دولى</v>
      </c>
    </row>
    <row r="1031" spans="3:85" x14ac:dyDescent="0.25">
      <c r="C1031" s="82">
        <v>14054</v>
      </c>
      <c r="D1031" s="78">
        <v>8202</v>
      </c>
      <c r="E1031" s="69" t="s">
        <v>78</v>
      </c>
      <c r="F1031" s="69" t="s">
        <v>2109</v>
      </c>
      <c r="G1031" s="69"/>
      <c r="H1031" s="69">
        <v>43801.919999999998</v>
      </c>
      <c r="U1031" s="69"/>
      <c r="V1031" s="69"/>
      <c r="AS1031" s="91">
        <f t="shared" si="112"/>
        <v>43801.919999999998</v>
      </c>
      <c r="AT1031" s="69">
        <v>29638.32</v>
      </c>
      <c r="AU1031" s="69">
        <v>4006.85</v>
      </c>
      <c r="AV1031" s="69">
        <v>10156.75</v>
      </c>
      <c r="CD1031" s="91">
        <f t="shared" si="130"/>
        <v>43801.919999999998</v>
      </c>
      <c r="CE1031" s="69">
        <f t="shared" si="128"/>
        <v>0</v>
      </c>
      <c r="CF1031" s="75">
        <f t="shared" si="129"/>
        <v>8202</v>
      </c>
      <c r="CG1031" s="69" t="str">
        <f t="shared" si="129"/>
        <v>برنامج دولى</v>
      </c>
    </row>
    <row r="1032" spans="3:85" x14ac:dyDescent="0.25">
      <c r="C1032" s="82">
        <v>14053</v>
      </c>
      <c r="D1032" s="78">
        <v>8203</v>
      </c>
      <c r="E1032" s="69" t="s">
        <v>78</v>
      </c>
      <c r="F1032" s="69" t="s">
        <v>2109</v>
      </c>
      <c r="G1032" s="69"/>
      <c r="H1032" s="69">
        <v>15061.77</v>
      </c>
      <c r="U1032" s="69"/>
      <c r="V1032" s="69"/>
      <c r="AS1032" s="91">
        <f t="shared" si="112"/>
        <v>15061.77</v>
      </c>
      <c r="AT1032" s="69">
        <v>13352.96</v>
      </c>
      <c r="AU1032" s="69">
        <v>1607.65</v>
      </c>
      <c r="AV1032" s="69">
        <v>101.16</v>
      </c>
      <c r="CD1032" s="91">
        <f t="shared" si="130"/>
        <v>15061.769999999999</v>
      </c>
      <c r="CE1032" s="69">
        <f t="shared" si="128"/>
        <v>0</v>
      </c>
      <c r="CF1032" s="75">
        <f t="shared" si="129"/>
        <v>8203</v>
      </c>
      <c r="CG1032" s="69" t="str">
        <f t="shared" si="129"/>
        <v>برنامج دولى</v>
      </c>
    </row>
    <row r="1033" spans="3:85" x14ac:dyDescent="0.25">
      <c r="C1033" s="82">
        <v>14052</v>
      </c>
      <c r="D1033" s="78">
        <v>8204</v>
      </c>
      <c r="E1033" s="69" t="s">
        <v>78</v>
      </c>
      <c r="F1033" s="69" t="s">
        <v>2109</v>
      </c>
      <c r="G1033" s="69"/>
      <c r="H1033" s="69">
        <v>4500</v>
      </c>
      <c r="U1033" s="69"/>
      <c r="V1033" s="69"/>
      <c r="AS1033" s="91">
        <f t="shared" si="112"/>
        <v>4500</v>
      </c>
      <c r="AT1033" s="69">
        <v>4017.4</v>
      </c>
      <c r="AU1033" s="69">
        <v>482.6</v>
      </c>
      <c r="CD1033" s="91">
        <f t="shared" si="130"/>
        <v>4500</v>
      </c>
      <c r="CE1033" s="69">
        <f t="shared" si="128"/>
        <v>0</v>
      </c>
      <c r="CF1033" s="75">
        <f t="shared" si="129"/>
        <v>8204</v>
      </c>
      <c r="CG1033" s="69" t="str">
        <f t="shared" si="129"/>
        <v>برنامج دولى</v>
      </c>
    </row>
    <row r="1034" spans="3:85" x14ac:dyDescent="0.25">
      <c r="C1034" s="82">
        <v>14051</v>
      </c>
      <c r="D1034" s="78">
        <v>8205</v>
      </c>
      <c r="E1034" s="69" t="s">
        <v>78</v>
      </c>
      <c r="F1034" s="69" t="s">
        <v>2109</v>
      </c>
      <c r="G1034" s="69"/>
      <c r="H1034" s="69">
        <v>3000</v>
      </c>
      <c r="U1034" s="69"/>
      <c r="V1034" s="69"/>
      <c r="AS1034" s="91">
        <f t="shared" si="112"/>
        <v>3000</v>
      </c>
      <c r="AT1034" s="69">
        <v>2677.85</v>
      </c>
      <c r="AU1034" s="69">
        <v>322.14999999999998</v>
      </c>
      <c r="CD1034" s="91">
        <f t="shared" si="130"/>
        <v>3000</v>
      </c>
      <c r="CE1034" s="69">
        <f t="shared" si="128"/>
        <v>0</v>
      </c>
      <c r="CF1034" s="75">
        <f t="shared" si="129"/>
        <v>8205</v>
      </c>
      <c r="CG1034" s="69" t="str">
        <f t="shared" si="129"/>
        <v>برنامج دولى</v>
      </c>
    </row>
    <row r="1035" spans="3:85" x14ac:dyDescent="0.25">
      <c r="C1035" s="82">
        <v>14050</v>
      </c>
      <c r="D1035" s="78">
        <v>8206</v>
      </c>
      <c r="E1035" s="69" t="s">
        <v>78</v>
      </c>
      <c r="F1035" s="69" t="s">
        <v>2109</v>
      </c>
      <c r="G1035" s="69"/>
      <c r="H1035" s="69">
        <v>3000</v>
      </c>
      <c r="U1035" s="69"/>
      <c r="V1035" s="69"/>
      <c r="AS1035" s="91">
        <f t="shared" si="112"/>
        <v>3000</v>
      </c>
      <c r="AT1035" s="69">
        <v>2677.85</v>
      </c>
      <c r="AU1035" s="69">
        <v>322.14999999999998</v>
      </c>
      <c r="CD1035" s="91">
        <f t="shared" si="130"/>
        <v>3000</v>
      </c>
      <c r="CE1035" s="69">
        <f t="shared" si="128"/>
        <v>0</v>
      </c>
      <c r="CF1035" s="75">
        <f t="shared" si="129"/>
        <v>8206</v>
      </c>
      <c r="CG1035" s="69" t="str">
        <f t="shared" si="129"/>
        <v>برنامج دولى</v>
      </c>
    </row>
    <row r="1036" spans="3:85" x14ac:dyDescent="0.25">
      <c r="C1036" s="82">
        <v>14049</v>
      </c>
      <c r="D1036" s="78">
        <v>8207</v>
      </c>
      <c r="E1036" s="69" t="s">
        <v>78</v>
      </c>
      <c r="F1036" s="69" t="s">
        <v>2109</v>
      </c>
      <c r="G1036" s="69"/>
      <c r="H1036" s="69">
        <v>6000</v>
      </c>
      <c r="U1036" s="69"/>
      <c r="V1036" s="69"/>
      <c r="AS1036" s="91">
        <f t="shared" si="112"/>
        <v>6000</v>
      </c>
      <c r="AT1036" s="69">
        <v>5355.7</v>
      </c>
      <c r="AU1036" s="69">
        <v>644.29999999999995</v>
      </c>
      <c r="CD1036" s="91">
        <f t="shared" si="130"/>
        <v>6000</v>
      </c>
      <c r="CE1036" s="69">
        <f t="shared" si="128"/>
        <v>0</v>
      </c>
      <c r="CF1036" s="75">
        <f t="shared" ref="CF1036:CG1051" si="131">+D1036</f>
        <v>8207</v>
      </c>
      <c r="CG1036" s="69" t="str">
        <f t="shared" si="131"/>
        <v>برنامج دولى</v>
      </c>
    </row>
    <row r="1037" spans="3:85" x14ac:dyDescent="0.25">
      <c r="C1037" s="82">
        <v>13750</v>
      </c>
      <c r="D1037" s="78">
        <v>8208</v>
      </c>
      <c r="E1037" s="69" t="s">
        <v>78</v>
      </c>
      <c r="F1037" s="69" t="s">
        <v>2109</v>
      </c>
      <c r="G1037" s="69"/>
      <c r="H1037" s="69">
        <v>31320.05</v>
      </c>
      <c r="U1037" s="69"/>
      <c r="V1037" s="69"/>
      <c r="AS1037" s="91">
        <f t="shared" si="112"/>
        <v>31320.05</v>
      </c>
      <c r="AT1037" s="69">
        <v>21744.81</v>
      </c>
      <c r="AU1037" s="69">
        <v>2909.8</v>
      </c>
      <c r="AV1037" s="69">
        <v>6665.44</v>
      </c>
      <c r="CD1037" s="91">
        <f t="shared" si="130"/>
        <v>31320.05</v>
      </c>
      <c r="CE1037" s="69">
        <f t="shared" si="128"/>
        <v>0</v>
      </c>
      <c r="CF1037" s="75">
        <f t="shared" si="131"/>
        <v>8208</v>
      </c>
      <c r="CG1037" s="69" t="str">
        <f t="shared" si="131"/>
        <v>برنامج دولى</v>
      </c>
    </row>
    <row r="1038" spans="3:85" x14ac:dyDescent="0.25">
      <c r="C1038" s="82">
        <v>13749</v>
      </c>
      <c r="D1038" s="78">
        <v>8209</v>
      </c>
      <c r="E1038" s="69" t="s">
        <v>78</v>
      </c>
      <c r="F1038" s="69" t="s">
        <v>2109</v>
      </c>
      <c r="G1038" s="69"/>
      <c r="H1038" s="69">
        <v>50007.12</v>
      </c>
      <c r="U1038" s="69"/>
      <c r="V1038" s="69"/>
      <c r="AS1038" s="91">
        <f t="shared" si="112"/>
        <v>50007.12</v>
      </c>
      <c r="AT1038" s="69">
        <v>33414.300000000003</v>
      </c>
      <c r="AU1038" s="69">
        <v>4544.2</v>
      </c>
      <c r="AV1038" s="69">
        <v>12048.62</v>
      </c>
      <c r="CD1038" s="91">
        <f t="shared" ref="CD1038:CD1101" si="132">SUM(AT1038:CC1038)</f>
        <v>50007.12</v>
      </c>
      <c r="CE1038" s="69">
        <f t="shared" si="128"/>
        <v>0</v>
      </c>
      <c r="CF1038" s="75">
        <f t="shared" si="131"/>
        <v>8209</v>
      </c>
      <c r="CG1038" s="69" t="str">
        <f t="shared" si="131"/>
        <v>برنامج دولى</v>
      </c>
    </row>
    <row r="1039" spans="3:85" x14ac:dyDescent="0.25">
      <c r="C1039" s="82">
        <v>13748</v>
      </c>
      <c r="D1039" s="78">
        <v>8210</v>
      </c>
      <c r="E1039" s="69" t="s">
        <v>78</v>
      </c>
      <c r="F1039" s="69" t="s">
        <v>2109</v>
      </c>
      <c r="G1039" s="69"/>
      <c r="H1039" s="69">
        <v>3517.5</v>
      </c>
      <c r="U1039" s="69"/>
      <c r="V1039" s="69"/>
      <c r="AS1039" s="91">
        <f t="shared" si="112"/>
        <v>3517.5</v>
      </c>
      <c r="AT1039" s="69">
        <v>2350.35</v>
      </c>
      <c r="AU1039" s="69">
        <v>319.64999999999998</v>
      </c>
      <c r="AV1039" s="69">
        <v>847.5</v>
      </c>
      <c r="CD1039" s="91">
        <f t="shared" si="132"/>
        <v>3517.5</v>
      </c>
      <c r="CE1039" s="69">
        <f t="shared" si="128"/>
        <v>0</v>
      </c>
      <c r="CF1039" s="75">
        <f t="shared" si="131"/>
        <v>8210</v>
      </c>
      <c r="CG1039" s="69" t="str">
        <f t="shared" si="131"/>
        <v>برنامج دولى</v>
      </c>
    </row>
    <row r="1040" spans="3:85" x14ac:dyDescent="0.25">
      <c r="C1040" s="82">
        <v>13747</v>
      </c>
      <c r="D1040" s="78">
        <v>8211</v>
      </c>
      <c r="E1040" s="69" t="s">
        <v>78</v>
      </c>
      <c r="F1040" s="69" t="s">
        <v>2109</v>
      </c>
      <c r="G1040" s="69"/>
      <c r="H1040" s="69">
        <v>6917.75</v>
      </c>
      <c r="U1040" s="69"/>
      <c r="V1040" s="69"/>
      <c r="AS1040" s="91">
        <f t="shared" si="112"/>
        <v>6917.75</v>
      </c>
      <c r="AT1040" s="69">
        <v>4617.45</v>
      </c>
      <c r="AU1040" s="69">
        <f>43.55+590</f>
        <v>633.54999999999995</v>
      </c>
      <c r="AV1040" s="69">
        <v>1666.75</v>
      </c>
      <c r="CD1040" s="91">
        <f t="shared" si="132"/>
        <v>6917.75</v>
      </c>
      <c r="CE1040" s="69">
        <f t="shared" si="128"/>
        <v>0</v>
      </c>
      <c r="CF1040" s="75">
        <f t="shared" si="131"/>
        <v>8211</v>
      </c>
      <c r="CG1040" s="69" t="str">
        <f t="shared" si="131"/>
        <v>برنامج دولى</v>
      </c>
    </row>
    <row r="1041" spans="3:85" x14ac:dyDescent="0.25">
      <c r="C1041" s="82">
        <v>14048</v>
      </c>
      <c r="D1041" s="78">
        <v>8212</v>
      </c>
      <c r="E1041" s="69" t="s">
        <v>78</v>
      </c>
      <c r="F1041" s="69" t="s">
        <v>790</v>
      </c>
      <c r="G1041" s="69"/>
      <c r="H1041" s="69">
        <v>1000</v>
      </c>
      <c r="U1041" s="69"/>
      <c r="V1041" s="69"/>
      <c r="AS1041" s="91">
        <f t="shared" si="112"/>
        <v>1000</v>
      </c>
      <c r="AT1041" s="69">
        <v>893.35</v>
      </c>
      <c r="AU1041" s="69">
        <v>106.65</v>
      </c>
      <c r="CD1041" s="91">
        <f t="shared" si="132"/>
        <v>1000</v>
      </c>
      <c r="CE1041" s="69">
        <f t="shared" si="128"/>
        <v>0</v>
      </c>
      <c r="CF1041" s="75">
        <f t="shared" si="131"/>
        <v>8212</v>
      </c>
      <c r="CG1041" s="69" t="str">
        <f t="shared" si="131"/>
        <v>برنامج دولى</v>
      </c>
    </row>
    <row r="1042" spans="3:85" x14ac:dyDescent="0.25">
      <c r="C1042" s="82">
        <v>14047</v>
      </c>
      <c r="D1042" s="78">
        <v>8213</v>
      </c>
      <c r="E1042" s="69" t="s">
        <v>78</v>
      </c>
      <c r="F1042" s="69" t="s">
        <v>2095</v>
      </c>
      <c r="G1042" s="69"/>
      <c r="H1042" s="69">
        <v>600</v>
      </c>
      <c r="U1042" s="69"/>
      <c r="V1042" s="69"/>
      <c r="AS1042" s="91">
        <f t="shared" si="112"/>
        <v>600</v>
      </c>
      <c r="AT1042" s="69">
        <v>536.15</v>
      </c>
      <c r="AU1042" s="69">
        <v>63.85</v>
      </c>
      <c r="CD1042" s="91">
        <f t="shared" si="132"/>
        <v>600</v>
      </c>
      <c r="CE1042" s="69">
        <f t="shared" si="128"/>
        <v>0</v>
      </c>
      <c r="CF1042" s="75">
        <f t="shared" si="131"/>
        <v>8213</v>
      </c>
      <c r="CG1042" s="69" t="str">
        <f t="shared" si="131"/>
        <v>برنامج دولى</v>
      </c>
    </row>
    <row r="1043" spans="3:85" x14ac:dyDescent="0.25">
      <c r="C1043" s="82">
        <v>14046</v>
      </c>
      <c r="D1043" s="78">
        <v>8214</v>
      </c>
      <c r="E1043" s="69" t="s">
        <v>78</v>
      </c>
      <c r="F1043" s="69" t="s">
        <v>2110</v>
      </c>
      <c r="G1043" s="69"/>
      <c r="H1043" s="69">
        <v>52625</v>
      </c>
      <c r="U1043" s="69"/>
      <c r="V1043" s="69"/>
      <c r="AS1043" s="91">
        <f t="shared" si="112"/>
        <v>52625</v>
      </c>
      <c r="AT1043" s="69">
        <v>46959</v>
      </c>
      <c r="AU1043" s="69">
        <v>5666</v>
      </c>
      <c r="CD1043" s="91">
        <f t="shared" si="132"/>
        <v>52625</v>
      </c>
      <c r="CE1043" s="69">
        <f t="shared" si="128"/>
        <v>0</v>
      </c>
      <c r="CF1043" s="75">
        <f t="shared" si="131"/>
        <v>8214</v>
      </c>
      <c r="CG1043" s="69" t="str">
        <f t="shared" si="131"/>
        <v>برنامج دولى</v>
      </c>
    </row>
    <row r="1044" spans="3:85" x14ac:dyDescent="0.25">
      <c r="C1044" s="82">
        <v>14045</v>
      </c>
      <c r="D1044" s="78">
        <v>8215</v>
      </c>
      <c r="E1044" s="69" t="s">
        <v>78</v>
      </c>
      <c r="F1044" s="69" t="s">
        <v>2111</v>
      </c>
      <c r="G1044" s="69"/>
      <c r="H1044" s="69">
        <v>4983.47</v>
      </c>
      <c r="U1044" s="69"/>
      <c r="V1044" s="69"/>
      <c r="AS1044" s="91">
        <f t="shared" si="112"/>
        <v>4983.47</v>
      </c>
      <c r="AT1044" s="69">
        <v>4091.98</v>
      </c>
      <c r="AU1044" s="69">
        <v>509.15</v>
      </c>
      <c r="AV1044" s="69">
        <v>382.34</v>
      </c>
      <c r="CD1044" s="91">
        <f t="shared" si="132"/>
        <v>4983.47</v>
      </c>
      <c r="CE1044" s="69">
        <f t="shared" si="128"/>
        <v>0</v>
      </c>
      <c r="CF1044" s="75">
        <f t="shared" si="131"/>
        <v>8215</v>
      </c>
      <c r="CG1044" s="69" t="str">
        <f t="shared" si="131"/>
        <v>برنامج دولى</v>
      </c>
    </row>
    <row r="1045" spans="3:85" x14ac:dyDescent="0.25">
      <c r="C1045" s="82">
        <v>14059</v>
      </c>
      <c r="D1045" s="78">
        <v>8216</v>
      </c>
      <c r="E1045" s="69" t="s">
        <v>78</v>
      </c>
      <c r="F1045" s="69" t="s">
        <v>2112</v>
      </c>
      <c r="G1045" s="69"/>
      <c r="H1045" s="69">
        <v>6882.57</v>
      </c>
      <c r="U1045" s="69"/>
      <c r="V1045" s="69"/>
      <c r="AS1045" s="91">
        <f t="shared" si="112"/>
        <v>6882.57</v>
      </c>
      <c r="AT1045" s="69">
        <v>4461.63</v>
      </c>
      <c r="AU1045" s="69">
        <v>762.67</v>
      </c>
      <c r="AV1045" s="69">
        <v>1658.27</v>
      </c>
      <c r="CD1045" s="91">
        <f t="shared" si="132"/>
        <v>6882.57</v>
      </c>
      <c r="CE1045" s="69">
        <f t="shared" si="128"/>
        <v>0</v>
      </c>
      <c r="CF1045" s="75">
        <f t="shared" si="131"/>
        <v>8216</v>
      </c>
      <c r="CG1045" s="69" t="str">
        <f t="shared" si="131"/>
        <v>برنامج دولى</v>
      </c>
    </row>
    <row r="1046" spans="3:85" x14ac:dyDescent="0.25">
      <c r="C1046" s="82">
        <v>14060</v>
      </c>
      <c r="D1046" s="78">
        <v>8217</v>
      </c>
      <c r="E1046" s="69" t="s">
        <v>78</v>
      </c>
      <c r="F1046" s="69" t="s">
        <v>2112</v>
      </c>
      <c r="G1046" s="69"/>
      <c r="H1046" s="69">
        <v>2110.5</v>
      </c>
      <c r="U1046" s="69"/>
      <c r="V1046" s="69"/>
      <c r="AS1046" s="91">
        <f t="shared" si="112"/>
        <v>2110.5</v>
      </c>
      <c r="AT1046" s="69">
        <v>1410.35</v>
      </c>
      <c r="AU1046" s="69">
        <v>191.65</v>
      </c>
      <c r="AV1046" s="69">
        <v>508.5</v>
      </c>
      <c r="CD1046" s="91">
        <f t="shared" si="132"/>
        <v>2110.5</v>
      </c>
      <c r="CE1046" s="69">
        <f t="shared" si="128"/>
        <v>0</v>
      </c>
      <c r="CF1046" s="75">
        <f t="shared" si="131"/>
        <v>8217</v>
      </c>
      <c r="CG1046" s="69" t="str">
        <f t="shared" si="131"/>
        <v>برنامج دولى</v>
      </c>
    </row>
    <row r="1047" spans="3:85" x14ac:dyDescent="0.25">
      <c r="C1047" s="82">
        <v>14061</v>
      </c>
      <c r="D1047" s="78">
        <v>8218</v>
      </c>
      <c r="E1047" s="69" t="s">
        <v>78</v>
      </c>
      <c r="F1047" s="69" t="s">
        <v>2112</v>
      </c>
      <c r="G1047" s="69"/>
      <c r="H1047" s="69">
        <v>11138.75</v>
      </c>
      <c r="U1047" s="69"/>
      <c r="V1047" s="69"/>
      <c r="AS1047" s="91">
        <f t="shared" si="112"/>
        <v>11138.75</v>
      </c>
      <c r="AT1047" s="69">
        <v>7443.75</v>
      </c>
      <c r="AU1047" s="69">
        <v>1011.25</v>
      </c>
      <c r="AV1047" s="69">
        <v>2683.75</v>
      </c>
      <c r="CD1047" s="91">
        <f t="shared" si="132"/>
        <v>11138.75</v>
      </c>
      <c r="CE1047" s="69">
        <f t="shared" si="128"/>
        <v>0</v>
      </c>
      <c r="CF1047" s="75">
        <f t="shared" si="131"/>
        <v>8218</v>
      </c>
      <c r="CG1047" s="69" t="str">
        <f t="shared" si="131"/>
        <v>برنامج دولى</v>
      </c>
    </row>
    <row r="1048" spans="3:85" x14ac:dyDescent="0.25">
      <c r="C1048" s="82">
        <v>14062</v>
      </c>
      <c r="D1048" s="78">
        <v>8219</v>
      </c>
      <c r="E1048" s="69" t="s">
        <v>78</v>
      </c>
      <c r="F1048" s="69" t="s">
        <v>2112</v>
      </c>
      <c r="G1048" s="69"/>
      <c r="H1048" s="69">
        <v>36701.839999999997</v>
      </c>
      <c r="U1048" s="69"/>
      <c r="V1048" s="69"/>
      <c r="AS1048" s="91">
        <f t="shared" si="112"/>
        <v>36701.839999999997</v>
      </c>
      <c r="AT1048" s="69">
        <v>24518.22</v>
      </c>
      <c r="AU1048" s="69">
        <v>3342.3</v>
      </c>
      <c r="AV1048" s="69">
        <v>8666.35</v>
      </c>
      <c r="CA1048" s="69">
        <v>174.97</v>
      </c>
      <c r="CD1048" s="91">
        <f t="shared" si="132"/>
        <v>36701.840000000004</v>
      </c>
      <c r="CE1048" s="69">
        <f t="shared" si="128"/>
        <v>0</v>
      </c>
      <c r="CF1048" s="75">
        <f t="shared" si="131"/>
        <v>8219</v>
      </c>
      <c r="CG1048" s="69" t="str">
        <f t="shared" si="131"/>
        <v>برنامج دولى</v>
      </c>
    </row>
    <row r="1049" spans="3:85" x14ac:dyDescent="0.25">
      <c r="C1049" s="82">
        <v>14063</v>
      </c>
      <c r="D1049" s="78">
        <v>8220</v>
      </c>
      <c r="E1049" s="69" t="s">
        <v>78</v>
      </c>
      <c r="F1049" s="69" t="s">
        <v>2112</v>
      </c>
      <c r="G1049" s="69"/>
      <c r="H1049" s="69">
        <v>2931.25</v>
      </c>
      <c r="U1049" s="69"/>
      <c r="V1049" s="69"/>
      <c r="AS1049" s="91">
        <f t="shared" si="112"/>
        <v>2931.25</v>
      </c>
      <c r="AT1049" s="69">
        <v>1958.65</v>
      </c>
      <c r="AU1049" s="69">
        <v>266.35000000000002</v>
      </c>
      <c r="AV1049" s="69">
        <v>706.25</v>
      </c>
      <c r="CD1049" s="91">
        <f t="shared" si="132"/>
        <v>2931.25</v>
      </c>
      <c r="CE1049" s="69">
        <f t="shared" si="128"/>
        <v>0</v>
      </c>
      <c r="CF1049" s="75">
        <f t="shared" si="131"/>
        <v>8220</v>
      </c>
      <c r="CG1049" s="69" t="str">
        <f t="shared" si="131"/>
        <v>برنامج دولى</v>
      </c>
    </row>
    <row r="1050" spans="3:85" x14ac:dyDescent="0.25">
      <c r="C1050" s="82">
        <v>14064</v>
      </c>
      <c r="D1050" s="78">
        <v>8221</v>
      </c>
      <c r="E1050" s="69" t="s">
        <v>78</v>
      </c>
      <c r="F1050" s="69" t="s">
        <v>2112</v>
      </c>
      <c r="G1050" s="69"/>
      <c r="H1050" s="69">
        <v>5000</v>
      </c>
      <c r="U1050" s="69"/>
      <c r="V1050" s="69"/>
      <c r="AS1050" s="91">
        <f t="shared" si="112"/>
        <v>5000</v>
      </c>
      <c r="AT1050" s="69">
        <v>4463.2</v>
      </c>
      <c r="AU1050" s="69">
        <v>536.79999999999995</v>
      </c>
      <c r="CD1050" s="91">
        <f t="shared" si="132"/>
        <v>5000</v>
      </c>
      <c r="CE1050" s="69">
        <f t="shared" si="128"/>
        <v>0</v>
      </c>
      <c r="CF1050" s="75">
        <f t="shared" si="131"/>
        <v>8221</v>
      </c>
      <c r="CG1050" s="69" t="str">
        <f t="shared" si="131"/>
        <v>برنامج دولى</v>
      </c>
    </row>
    <row r="1051" spans="3:85" x14ac:dyDescent="0.25">
      <c r="C1051" s="82">
        <v>14065</v>
      </c>
      <c r="D1051" s="78">
        <v>8222</v>
      </c>
      <c r="E1051" s="69" t="s">
        <v>78</v>
      </c>
      <c r="F1051" s="69" t="s">
        <v>2112</v>
      </c>
      <c r="G1051" s="69"/>
      <c r="H1051" s="69">
        <v>6800.5</v>
      </c>
      <c r="U1051" s="69"/>
      <c r="V1051" s="69"/>
      <c r="AS1051" s="91">
        <f t="shared" si="112"/>
        <v>6800.5</v>
      </c>
      <c r="AT1051" s="69">
        <v>4294.8</v>
      </c>
      <c r="AU1051" s="69">
        <v>617.20000000000005</v>
      </c>
      <c r="AV1051" s="69">
        <v>1638.5</v>
      </c>
      <c r="CA1051" s="69">
        <v>250</v>
      </c>
      <c r="CD1051" s="91">
        <f t="shared" si="132"/>
        <v>6800.5</v>
      </c>
      <c r="CE1051" s="69">
        <f t="shared" si="128"/>
        <v>0</v>
      </c>
      <c r="CF1051" s="75">
        <f t="shared" si="131"/>
        <v>8222</v>
      </c>
      <c r="CG1051" s="69" t="str">
        <f t="shared" si="131"/>
        <v>برنامج دولى</v>
      </c>
    </row>
    <row r="1052" spans="3:85" x14ac:dyDescent="0.25">
      <c r="C1052" s="82">
        <v>14066</v>
      </c>
      <c r="D1052" s="78">
        <v>8223</v>
      </c>
      <c r="E1052" s="69" t="s">
        <v>78</v>
      </c>
      <c r="F1052" s="69" t="s">
        <v>2112</v>
      </c>
      <c r="G1052" s="69"/>
      <c r="H1052" s="69">
        <v>1993.25</v>
      </c>
      <c r="U1052" s="69"/>
      <c r="V1052" s="69"/>
      <c r="AS1052" s="91">
        <f t="shared" si="112"/>
        <v>1993.25</v>
      </c>
      <c r="AT1052" s="69">
        <v>1332</v>
      </c>
      <c r="AU1052" s="69">
        <v>181</v>
      </c>
      <c r="AV1052" s="69">
        <v>480.25</v>
      </c>
      <c r="CD1052" s="91">
        <f t="shared" si="132"/>
        <v>1993.25</v>
      </c>
      <c r="CE1052" s="69">
        <f t="shared" si="128"/>
        <v>0</v>
      </c>
      <c r="CF1052" s="75">
        <f t="shared" ref="CF1052:CG1121" si="133">+D1052</f>
        <v>8223</v>
      </c>
      <c r="CG1052" s="69" t="str">
        <f t="shared" si="133"/>
        <v>برنامج دولى</v>
      </c>
    </row>
    <row r="1053" spans="3:85" x14ac:dyDescent="0.25">
      <c r="C1053" s="82">
        <v>14067</v>
      </c>
      <c r="D1053" s="78">
        <v>8224</v>
      </c>
      <c r="E1053" s="69" t="s">
        <v>78</v>
      </c>
      <c r="F1053" s="69" t="s">
        <v>2112</v>
      </c>
      <c r="G1053" s="69"/>
      <c r="H1053" s="69">
        <v>2110.5</v>
      </c>
      <c r="U1053" s="69"/>
      <c r="V1053" s="69"/>
      <c r="AS1053" s="91">
        <f t="shared" si="112"/>
        <v>2110.5</v>
      </c>
      <c r="AT1053" s="69">
        <v>1410.35</v>
      </c>
      <c r="AU1053" s="69">
        <v>191.65</v>
      </c>
      <c r="AV1053" s="69">
        <v>508.5</v>
      </c>
      <c r="CD1053" s="91">
        <f t="shared" si="132"/>
        <v>2110.5</v>
      </c>
      <c r="CE1053" s="69">
        <f t="shared" si="128"/>
        <v>0</v>
      </c>
      <c r="CF1053" s="75">
        <f t="shared" si="133"/>
        <v>8224</v>
      </c>
      <c r="CG1053" s="69" t="str">
        <f t="shared" si="133"/>
        <v>برنامج دولى</v>
      </c>
    </row>
    <row r="1054" spans="3:85" x14ac:dyDescent="0.25">
      <c r="C1054" s="82">
        <v>14068</v>
      </c>
      <c r="D1054" s="78">
        <v>8225</v>
      </c>
      <c r="E1054" s="69" t="s">
        <v>78</v>
      </c>
      <c r="F1054" s="69" t="s">
        <v>2112</v>
      </c>
      <c r="G1054" s="69"/>
      <c r="H1054" s="69">
        <v>4907.3100000000004</v>
      </c>
      <c r="U1054" s="69"/>
      <c r="V1054" s="69"/>
      <c r="AS1054" s="91">
        <f t="shared" si="112"/>
        <v>4907.3100000000004</v>
      </c>
      <c r="AT1054" s="69">
        <v>3454.08</v>
      </c>
      <c r="AU1054" s="69">
        <v>458.65</v>
      </c>
      <c r="AV1054" s="69">
        <v>994.58</v>
      </c>
      <c r="CD1054" s="91">
        <f t="shared" si="132"/>
        <v>4907.3100000000004</v>
      </c>
      <c r="CE1054" s="69">
        <f t="shared" ref="CE1054:CE1123" si="134">+CD1054-AS1054</f>
        <v>0</v>
      </c>
      <c r="CF1054" s="75">
        <f t="shared" si="133"/>
        <v>8225</v>
      </c>
      <c r="CG1054" s="69" t="str">
        <f t="shared" si="133"/>
        <v>برنامج دولى</v>
      </c>
    </row>
    <row r="1055" spans="3:85" x14ac:dyDescent="0.25">
      <c r="C1055" s="82">
        <v>13755</v>
      </c>
      <c r="D1055" s="78">
        <v>8226</v>
      </c>
      <c r="E1055" s="69" t="s">
        <v>78</v>
      </c>
      <c r="F1055" s="69" t="s">
        <v>2113</v>
      </c>
      <c r="G1055" s="69"/>
      <c r="H1055" s="69">
        <v>469</v>
      </c>
      <c r="U1055" s="69"/>
      <c r="V1055" s="69"/>
      <c r="AS1055" s="91">
        <f t="shared" si="112"/>
        <v>469</v>
      </c>
      <c r="AT1055" s="69">
        <v>313.7</v>
      </c>
      <c r="AU1055" s="69">
        <v>42.3</v>
      </c>
      <c r="AV1055" s="69">
        <v>113</v>
      </c>
      <c r="CD1055" s="91">
        <f t="shared" si="132"/>
        <v>469</v>
      </c>
      <c r="CE1055" s="69">
        <f t="shared" si="134"/>
        <v>0</v>
      </c>
      <c r="CF1055" s="75">
        <f t="shared" si="133"/>
        <v>8226</v>
      </c>
      <c r="CG1055" s="69" t="str">
        <f t="shared" si="133"/>
        <v>برنامج دولى</v>
      </c>
    </row>
    <row r="1056" spans="3:85" x14ac:dyDescent="0.25">
      <c r="C1056" s="82">
        <v>13640</v>
      </c>
      <c r="D1056" s="78">
        <v>8227</v>
      </c>
      <c r="E1056" s="69" t="s">
        <v>78</v>
      </c>
      <c r="F1056" s="69" t="s">
        <v>2032</v>
      </c>
      <c r="G1056" s="69"/>
      <c r="H1056" s="69">
        <v>233.63</v>
      </c>
      <c r="U1056" s="69"/>
      <c r="V1056" s="69"/>
      <c r="AS1056" s="91">
        <f t="shared" si="112"/>
        <v>233.63</v>
      </c>
      <c r="AT1056" s="69">
        <v>150.07</v>
      </c>
      <c r="AU1056" s="69">
        <v>27.28</v>
      </c>
      <c r="AV1056" s="69">
        <v>56.28</v>
      </c>
      <c r="CD1056" s="91">
        <f t="shared" si="132"/>
        <v>233.63</v>
      </c>
      <c r="CE1056" s="69">
        <f t="shared" si="134"/>
        <v>0</v>
      </c>
      <c r="CF1056" s="75">
        <f t="shared" si="133"/>
        <v>8227</v>
      </c>
      <c r="CG1056" s="69" t="str">
        <f t="shared" si="133"/>
        <v>برنامج دولى</v>
      </c>
    </row>
    <row r="1057" spans="3:85" x14ac:dyDescent="0.25">
      <c r="C1057" s="82">
        <v>13631</v>
      </c>
      <c r="D1057" s="78">
        <v>8228</v>
      </c>
      <c r="E1057" s="69" t="s">
        <v>78</v>
      </c>
      <c r="F1057" s="69" t="s">
        <v>2032</v>
      </c>
      <c r="G1057" s="69"/>
      <c r="H1057" s="69">
        <v>338.4</v>
      </c>
      <c r="U1057" s="69"/>
      <c r="V1057" s="69"/>
      <c r="AS1057" s="91">
        <f t="shared" si="112"/>
        <v>338.4</v>
      </c>
      <c r="AT1057" s="69">
        <v>204.41</v>
      </c>
      <c r="AU1057" s="69">
        <v>52.45</v>
      </c>
      <c r="AV1057" s="69">
        <v>81.540000000000006</v>
      </c>
      <c r="CD1057" s="91">
        <f t="shared" si="132"/>
        <v>338.40000000000003</v>
      </c>
      <c r="CE1057" s="69">
        <f t="shared" si="134"/>
        <v>0</v>
      </c>
      <c r="CF1057" s="75">
        <f t="shared" si="133"/>
        <v>8228</v>
      </c>
      <c r="CG1057" s="69" t="str">
        <f t="shared" si="133"/>
        <v>برنامج دولى</v>
      </c>
    </row>
    <row r="1058" spans="3:85" x14ac:dyDescent="0.25">
      <c r="C1058" s="82">
        <v>13637</v>
      </c>
      <c r="D1058" s="78">
        <v>8229</v>
      </c>
      <c r="E1058" s="69" t="s">
        <v>78</v>
      </c>
      <c r="F1058" s="69" t="s">
        <v>2032</v>
      </c>
      <c r="G1058" s="69"/>
      <c r="H1058" s="69">
        <v>259.33999999999997</v>
      </c>
      <c r="U1058" s="69"/>
      <c r="V1058" s="69"/>
      <c r="AS1058" s="91">
        <f t="shared" si="112"/>
        <v>259.33999999999997</v>
      </c>
      <c r="AT1058" s="69">
        <v>156.77000000000001</v>
      </c>
      <c r="AU1058" s="69">
        <v>40.090000000000003</v>
      </c>
      <c r="AV1058" s="69">
        <v>62.48</v>
      </c>
      <c r="CD1058" s="91">
        <f t="shared" si="132"/>
        <v>259.34000000000003</v>
      </c>
      <c r="CE1058" s="69">
        <f t="shared" si="134"/>
        <v>0</v>
      </c>
      <c r="CF1058" s="75">
        <f t="shared" si="133"/>
        <v>8229</v>
      </c>
      <c r="CG1058" s="69" t="str">
        <f t="shared" si="133"/>
        <v>برنامج دولى</v>
      </c>
    </row>
    <row r="1059" spans="3:85" x14ac:dyDescent="0.25">
      <c r="C1059" s="82">
        <v>13916</v>
      </c>
      <c r="D1059" s="78">
        <v>8230</v>
      </c>
      <c r="E1059" s="69" t="s">
        <v>78</v>
      </c>
      <c r="F1059" s="69" t="s">
        <v>2032</v>
      </c>
      <c r="G1059" s="69"/>
      <c r="H1059" s="69">
        <v>144.72</v>
      </c>
      <c r="U1059" s="69"/>
      <c r="V1059" s="69"/>
      <c r="AS1059" s="91">
        <f t="shared" si="112"/>
        <v>144.72</v>
      </c>
      <c r="AT1059" s="69">
        <v>129.71</v>
      </c>
      <c r="AU1059" s="69">
        <v>15.01</v>
      </c>
      <c r="CD1059" s="91">
        <f t="shared" si="132"/>
        <v>144.72</v>
      </c>
      <c r="CE1059" s="69">
        <f t="shared" si="134"/>
        <v>0</v>
      </c>
      <c r="CF1059" s="75">
        <f t="shared" si="133"/>
        <v>8230</v>
      </c>
      <c r="CG1059" s="69" t="str">
        <f t="shared" si="133"/>
        <v>برنامج دولى</v>
      </c>
    </row>
    <row r="1060" spans="3:85" x14ac:dyDescent="0.25">
      <c r="C1060" s="82">
        <v>13698</v>
      </c>
      <c r="D1060" s="78">
        <v>8231</v>
      </c>
      <c r="E1060" s="69" t="s">
        <v>78</v>
      </c>
      <c r="F1060" s="69" t="s">
        <v>2032</v>
      </c>
      <c r="G1060" s="69"/>
      <c r="H1060" s="69">
        <v>15776.14</v>
      </c>
      <c r="U1060" s="69"/>
      <c r="V1060" s="69"/>
      <c r="AS1060" s="91">
        <f t="shared" si="112"/>
        <v>15776.14</v>
      </c>
      <c r="AT1060" s="69">
        <v>12452.09</v>
      </c>
      <c r="AU1060" s="69">
        <v>3215.5</v>
      </c>
      <c r="AV1060" s="69">
        <v>72.78</v>
      </c>
      <c r="AX1060" s="69">
        <v>35.770000000000003</v>
      </c>
      <c r="CD1060" s="91">
        <f t="shared" si="132"/>
        <v>15776.140000000001</v>
      </c>
      <c r="CE1060" s="69">
        <f t="shared" si="134"/>
        <v>0</v>
      </c>
      <c r="CF1060" s="75">
        <f t="shared" si="133"/>
        <v>8231</v>
      </c>
      <c r="CG1060" s="69" t="str">
        <f t="shared" si="133"/>
        <v>برنامج دولى</v>
      </c>
    </row>
    <row r="1061" spans="3:85" x14ac:dyDescent="0.25">
      <c r="C1061" s="82">
        <v>13630</v>
      </c>
      <c r="D1061" s="78">
        <v>8232</v>
      </c>
      <c r="E1061" s="69" t="s">
        <v>78</v>
      </c>
      <c r="F1061" s="69" t="s">
        <v>2032</v>
      </c>
      <c r="G1061" s="69"/>
      <c r="H1061" s="69">
        <v>29868.58</v>
      </c>
      <c r="U1061" s="69"/>
      <c r="V1061" s="69"/>
      <c r="AS1061" s="91">
        <f t="shared" si="112"/>
        <v>29868.58</v>
      </c>
      <c r="AT1061" s="69">
        <v>23760.18</v>
      </c>
      <c r="AU1061" s="69">
        <v>6108.4</v>
      </c>
      <c r="CD1061" s="91">
        <f t="shared" si="132"/>
        <v>29868.58</v>
      </c>
      <c r="CE1061" s="69">
        <f t="shared" si="134"/>
        <v>0</v>
      </c>
      <c r="CF1061" s="75">
        <f t="shared" si="133"/>
        <v>8232</v>
      </c>
      <c r="CG1061" s="69" t="str">
        <f t="shared" si="133"/>
        <v>برنامج دولى</v>
      </c>
    </row>
    <row r="1062" spans="3:85" x14ac:dyDescent="0.25">
      <c r="C1062" s="82">
        <v>13704</v>
      </c>
      <c r="D1062" s="78">
        <v>8233</v>
      </c>
      <c r="E1062" s="69" t="s">
        <v>78</v>
      </c>
      <c r="F1062" s="69" t="s">
        <v>2032</v>
      </c>
      <c r="G1062" s="69"/>
      <c r="H1062" s="69">
        <v>22576.49</v>
      </c>
      <c r="U1062" s="69"/>
      <c r="V1062" s="69"/>
      <c r="AS1062" s="91">
        <f t="shared" si="112"/>
        <v>22576.49</v>
      </c>
      <c r="AT1062" s="69">
        <v>17041.759999999998</v>
      </c>
      <c r="AU1062" s="69">
        <v>4261.46</v>
      </c>
      <c r="AV1062" s="69">
        <v>1273.27</v>
      </c>
      <c r="CD1062" s="91">
        <f t="shared" si="132"/>
        <v>22576.489999999998</v>
      </c>
      <c r="CE1062" s="69">
        <f t="shared" si="134"/>
        <v>0</v>
      </c>
      <c r="CF1062" s="75">
        <f t="shared" si="133"/>
        <v>8233</v>
      </c>
      <c r="CG1062" s="69" t="str">
        <f t="shared" si="133"/>
        <v>برنامج دولى</v>
      </c>
    </row>
    <row r="1063" spans="3:85" x14ac:dyDescent="0.25">
      <c r="C1063" s="82">
        <v>13646</v>
      </c>
      <c r="D1063" s="78">
        <v>8234</v>
      </c>
      <c r="E1063" s="69" t="s">
        <v>78</v>
      </c>
      <c r="F1063" s="69" t="s">
        <v>2032</v>
      </c>
      <c r="G1063" s="69"/>
      <c r="H1063" s="69">
        <v>12888.88</v>
      </c>
      <c r="U1063" s="69"/>
      <c r="V1063" s="69"/>
      <c r="AS1063" s="91">
        <f t="shared" si="112"/>
        <v>12888.88</v>
      </c>
      <c r="AT1063" s="69">
        <v>8237.15</v>
      </c>
      <c r="AU1063" s="69">
        <v>1654.51</v>
      </c>
      <c r="AV1063" s="69">
        <v>2997.22</v>
      </c>
      <c r="CD1063" s="91">
        <f t="shared" si="132"/>
        <v>12888.88</v>
      </c>
      <c r="CE1063" s="69">
        <f t="shared" si="134"/>
        <v>0</v>
      </c>
      <c r="CF1063" s="75">
        <f t="shared" si="133"/>
        <v>8234</v>
      </c>
      <c r="CG1063" s="69" t="str">
        <f t="shared" si="133"/>
        <v>برنامج دولى</v>
      </c>
    </row>
    <row r="1064" spans="3:85" x14ac:dyDescent="0.25">
      <c r="C1064" s="82">
        <v>13654</v>
      </c>
      <c r="D1064" s="78">
        <v>8235</v>
      </c>
      <c r="E1064" s="69" t="s">
        <v>78</v>
      </c>
      <c r="F1064" s="69" t="s">
        <v>2032</v>
      </c>
      <c r="G1064" s="69"/>
      <c r="H1064" s="69">
        <v>268.83999999999997</v>
      </c>
      <c r="U1064" s="69"/>
      <c r="V1064" s="69"/>
      <c r="AS1064" s="91">
        <f t="shared" si="112"/>
        <v>268.83999999999997</v>
      </c>
      <c r="AT1064" s="69">
        <v>162.5</v>
      </c>
      <c r="AU1064" s="69">
        <v>41.57</v>
      </c>
      <c r="AV1064" s="69">
        <v>64.77</v>
      </c>
      <c r="CD1064" s="91">
        <f t="shared" si="132"/>
        <v>268.83999999999997</v>
      </c>
      <c r="CE1064" s="69">
        <f t="shared" si="134"/>
        <v>0</v>
      </c>
      <c r="CF1064" s="75">
        <f t="shared" si="133"/>
        <v>8235</v>
      </c>
      <c r="CG1064" s="69" t="str">
        <f t="shared" si="133"/>
        <v>برنامج دولى</v>
      </c>
    </row>
    <row r="1065" spans="3:85" x14ac:dyDescent="0.25">
      <c r="C1065" s="82">
        <v>13667</v>
      </c>
      <c r="D1065" s="78">
        <v>8236</v>
      </c>
      <c r="E1065" s="69" t="s">
        <v>78</v>
      </c>
      <c r="F1065" s="69" t="s">
        <v>2032</v>
      </c>
      <c r="G1065" s="69"/>
      <c r="H1065" s="69">
        <v>233.63</v>
      </c>
      <c r="U1065" s="69"/>
      <c r="V1065" s="69"/>
      <c r="AS1065" s="91">
        <f t="shared" si="112"/>
        <v>233.63</v>
      </c>
      <c r="AT1065" s="69">
        <v>150.07</v>
      </c>
      <c r="AU1065" s="69">
        <v>27.28</v>
      </c>
      <c r="AV1065" s="69">
        <v>56.28</v>
      </c>
      <c r="CD1065" s="91">
        <f t="shared" si="132"/>
        <v>233.63</v>
      </c>
      <c r="CE1065" s="69">
        <f t="shared" si="134"/>
        <v>0</v>
      </c>
      <c r="CF1065" s="75">
        <f t="shared" si="133"/>
        <v>8236</v>
      </c>
      <c r="CG1065" s="69" t="str">
        <f t="shared" si="133"/>
        <v>برنامج دولى</v>
      </c>
    </row>
    <row r="1066" spans="3:85" x14ac:dyDescent="0.25">
      <c r="C1066" s="82">
        <v>13642</v>
      </c>
      <c r="D1066" s="78">
        <v>8237</v>
      </c>
      <c r="E1066" s="69" t="s">
        <v>78</v>
      </c>
      <c r="F1066" s="69" t="s">
        <v>2032</v>
      </c>
      <c r="G1066" s="69"/>
      <c r="H1066" s="69">
        <v>15559.76</v>
      </c>
      <c r="U1066" s="69"/>
      <c r="V1066" s="69"/>
      <c r="AS1066" s="91">
        <f t="shared" si="112"/>
        <v>15559.76</v>
      </c>
      <c r="AT1066" s="69">
        <v>10096.530000000001</v>
      </c>
      <c r="AU1066" s="69">
        <v>2074.1999999999998</v>
      </c>
      <c r="AV1066" s="69">
        <v>3389.03</v>
      </c>
      <c r="CD1066" s="91">
        <f t="shared" si="132"/>
        <v>15559.76</v>
      </c>
      <c r="CE1066" s="69">
        <f t="shared" si="134"/>
        <v>0</v>
      </c>
      <c r="CF1066" s="75">
        <f t="shared" si="133"/>
        <v>8237</v>
      </c>
      <c r="CG1066" s="69" t="str">
        <f t="shared" si="133"/>
        <v>برنامج دولى</v>
      </c>
    </row>
    <row r="1067" spans="3:85" x14ac:dyDescent="0.25">
      <c r="C1067" s="82">
        <v>13639</v>
      </c>
      <c r="D1067" s="78">
        <v>8238</v>
      </c>
      <c r="E1067" s="69" t="s">
        <v>78</v>
      </c>
      <c r="F1067" s="69" t="s">
        <v>2032</v>
      </c>
      <c r="G1067" s="69"/>
      <c r="H1067" s="69">
        <v>18797.96</v>
      </c>
      <c r="U1067" s="69"/>
      <c r="V1067" s="69"/>
      <c r="AS1067" s="91">
        <f t="shared" si="112"/>
        <v>18797.96</v>
      </c>
      <c r="AT1067" s="69">
        <v>12123.44</v>
      </c>
      <c r="AU1067" s="69">
        <v>2799.84</v>
      </c>
      <c r="AV1067" s="69">
        <v>3874.68</v>
      </c>
      <c r="CD1067" s="91">
        <f t="shared" si="132"/>
        <v>18797.96</v>
      </c>
      <c r="CE1067" s="69">
        <f t="shared" si="134"/>
        <v>0</v>
      </c>
      <c r="CF1067" s="75">
        <f t="shared" si="133"/>
        <v>8238</v>
      </c>
      <c r="CG1067" s="69" t="str">
        <f t="shared" si="133"/>
        <v>برنامج دولى</v>
      </c>
    </row>
    <row r="1068" spans="3:85" x14ac:dyDescent="0.25">
      <c r="C1068" s="82">
        <v>13636</v>
      </c>
      <c r="D1068" s="78">
        <v>8239</v>
      </c>
      <c r="E1068" s="69" t="s">
        <v>78</v>
      </c>
      <c r="F1068" s="69" t="s">
        <v>2032</v>
      </c>
      <c r="G1068" s="69"/>
      <c r="H1068" s="69">
        <v>23982.33</v>
      </c>
      <c r="U1068" s="69"/>
      <c r="V1068" s="69"/>
      <c r="AS1068" s="91">
        <f t="shared" si="112"/>
        <v>23982.33</v>
      </c>
      <c r="AT1068" s="69">
        <v>17467.54</v>
      </c>
      <c r="AU1068" s="69">
        <v>4481.4399999999996</v>
      </c>
      <c r="AV1068" s="69">
        <v>2033.35</v>
      </c>
      <c r="CD1068" s="91">
        <f t="shared" si="132"/>
        <v>23982.329999999998</v>
      </c>
      <c r="CE1068" s="69">
        <f t="shared" si="134"/>
        <v>0</v>
      </c>
      <c r="CF1068" s="75">
        <f t="shared" si="133"/>
        <v>8239</v>
      </c>
      <c r="CG1068" s="69" t="str">
        <f t="shared" si="133"/>
        <v>برنامج دولى</v>
      </c>
    </row>
    <row r="1069" spans="3:85" x14ac:dyDescent="0.25">
      <c r="C1069" s="82">
        <v>13633</v>
      </c>
      <c r="D1069" s="78">
        <v>8240</v>
      </c>
      <c r="E1069" s="69" t="s">
        <v>78</v>
      </c>
      <c r="F1069" s="69" t="s">
        <v>2032</v>
      </c>
      <c r="G1069" s="69"/>
      <c r="H1069" s="69">
        <v>21837.68</v>
      </c>
      <c r="U1069" s="69"/>
      <c r="V1069" s="69"/>
      <c r="AS1069" s="91">
        <f t="shared" si="112"/>
        <v>21837.68</v>
      </c>
      <c r="AT1069" s="69">
        <v>15391.22</v>
      </c>
      <c r="AU1069" s="69">
        <v>3962.83</v>
      </c>
      <c r="AV1069" s="69">
        <v>2420.94</v>
      </c>
      <c r="AW1069" s="69">
        <v>62.69</v>
      </c>
      <c r="CD1069" s="91">
        <f t="shared" si="132"/>
        <v>21837.679999999997</v>
      </c>
      <c r="CE1069" s="69">
        <f t="shared" si="134"/>
        <v>0</v>
      </c>
      <c r="CF1069" s="75">
        <f t="shared" si="133"/>
        <v>8240</v>
      </c>
      <c r="CG1069" s="69" t="str">
        <f t="shared" si="133"/>
        <v>برنامج دولى</v>
      </c>
    </row>
    <row r="1070" spans="3:85" x14ac:dyDescent="0.25">
      <c r="C1070" s="82">
        <v>13622</v>
      </c>
      <c r="D1070" s="78">
        <v>8241</v>
      </c>
      <c r="E1070" s="69" t="s">
        <v>78</v>
      </c>
      <c r="F1070" s="69" t="s">
        <v>2032</v>
      </c>
      <c r="G1070" s="69"/>
      <c r="H1070" s="69">
        <v>404.62</v>
      </c>
      <c r="U1070" s="69"/>
      <c r="V1070" s="69"/>
      <c r="AS1070" s="91">
        <f t="shared" si="112"/>
        <v>404.62</v>
      </c>
      <c r="AT1070" s="69">
        <v>321.82</v>
      </c>
      <c r="AU1070" s="69">
        <v>82.8</v>
      </c>
      <c r="CD1070" s="91">
        <f t="shared" si="132"/>
        <v>404.62</v>
      </c>
      <c r="CE1070" s="69">
        <f t="shared" si="134"/>
        <v>0</v>
      </c>
      <c r="CF1070" s="75">
        <f t="shared" si="133"/>
        <v>8241</v>
      </c>
      <c r="CG1070" s="69" t="str">
        <f t="shared" si="133"/>
        <v>برنامج دولى</v>
      </c>
    </row>
    <row r="1071" spans="3:85" x14ac:dyDescent="0.25">
      <c r="C1071" s="82">
        <v>13628</v>
      </c>
      <c r="D1071" s="78">
        <v>8242</v>
      </c>
      <c r="E1071" s="69" t="s">
        <v>78</v>
      </c>
      <c r="F1071" s="69" t="s">
        <v>2032</v>
      </c>
      <c r="G1071" s="69"/>
      <c r="H1071" s="69">
        <v>28985.119999999999</v>
      </c>
      <c r="U1071" s="69"/>
      <c r="V1071" s="69"/>
      <c r="AS1071" s="91">
        <f t="shared" si="112"/>
        <v>28985.119999999999</v>
      </c>
      <c r="AT1071" s="69">
        <v>23054.52</v>
      </c>
      <c r="AU1071" s="69">
        <v>5930.6</v>
      </c>
      <c r="CD1071" s="91">
        <f t="shared" si="132"/>
        <v>28985.120000000003</v>
      </c>
      <c r="CE1071" s="69">
        <f t="shared" si="134"/>
        <v>0</v>
      </c>
      <c r="CF1071" s="75">
        <f t="shared" si="133"/>
        <v>8242</v>
      </c>
      <c r="CG1071" s="69" t="str">
        <f t="shared" si="133"/>
        <v>برنامج دولى</v>
      </c>
    </row>
    <row r="1072" spans="3:85" x14ac:dyDescent="0.25">
      <c r="C1072" s="82">
        <v>13624</v>
      </c>
      <c r="D1072" s="78">
        <v>8243</v>
      </c>
      <c r="E1072" s="69" t="s">
        <v>78</v>
      </c>
      <c r="F1072" s="69" t="s">
        <v>2032</v>
      </c>
      <c r="G1072" s="69"/>
      <c r="H1072" s="69">
        <v>29162.85</v>
      </c>
      <c r="U1072" s="69"/>
      <c r="V1072" s="69"/>
      <c r="AS1072" s="91">
        <f t="shared" si="112"/>
        <v>29162.85</v>
      </c>
      <c r="AT1072" s="69">
        <v>23188.83</v>
      </c>
      <c r="AU1072" s="69">
        <v>5974.02</v>
      </c>
      <c r="CD1072" s="91">
        <f t="shared" si="132"/>
        <v>29162.850000000002</v>
      </c>
      <c r="CE1072" s="69">
        <f t="shared" si="134"/>
        <v>0</v>
      </c>
      <c r="CF1072" s="75">
        <f t="shared" si="133"/>
        <v>8243</v>
      </c>
      <c r="CG1072" s="69" t="str">
        <f t="shared" si="133"/>
        <v>برنامج دولى</v>
      </c>
    </row>
    <row r="1073" spans="2:85" x14ac:dyDescent="0.25">
      <c r="B1073" s="69" t="s">
        <v>2114</v>
      </c>
      <c r="C1073" s="82">
        <v>6795</v>
      </c>
      <c r="D1073" s="78">
        <v>8244</v>
      </c>
      <c r="E1073" s="69" t="s">
        <v>121</v>
      </c>
      <c r="F1073" s="69" t="s">
        <v>2071</v>
      </c>
      <c r="G1073" s="69" t="s">
        <v>220</v>
      </c>
      <c r="H1073" s="69">
        <v>330.38</v>
      </c>
      <c r="U1073" s="69"/>
      <c r="V1073" s="69"/>
      <c r="AS1073" s="91">
        <f t="shared" si="112"/>
        <v>330.38</v>
      </c>
      <c r="AT1073" s="69">
        <v>223.95</v>
      </c>
      <c r="AU1073" s="69">
        <f>24.89+1.3</f>
        <v>26.19</v>
      </c>
      <c r="AV1073" s="69">
        <f>39.7+40.4</f>
        <v>80.099999999999994</v>
      </c>
      <c r="AW1073" s="69">
        <v>0.14000000000000001</v>
      </c>
      <c r="CD1073" s="91">
        <f t="shared" si="132"/>
        <v>330.38</v>
      </c>
      <c r="CE1073" s="69">
        <f t="shared" si="134"/>
        <v>0</v>
      </c>
      <c r="CF1073" s="75">
        <f t="shared" si="133"/>
        <v>8244</v>
      </c>
      <c r="CG1073" s="69" t="str">
        <f t="shared" si="133"/>
        <v>ماليزى اسنان</v>
      </c>
    </row>
    <row r="1074" spans="2:85" x14ac:dyDescent="0.25">
      <c r="B1074" s="69" t="s">
        <v>2114</v>
      </c>
      <c r="C1074" s="82">
        <v>6796</v>
      </c>
      <c r="D1074" s="78">
        <v>8245</v>
      </c>
      <c r="E1074" s="69" t="s">
        <v>121</v>
      </c>
      <c r="F1074" s="69" t="s">
        <v>2071</v>
      </c>
      <c r="G1074" s="69" t="s">
        <v>220</v>
      </c>
      <c r="H1074" s="69">
        <v>529.94000000000005</v>
      </c>
      <c r="U1074" s="69"/>
      <c r="V1074" s="69"/>
      <c r="AS1074" s="91">
        <f t="shared" si="112"/>
        <v>529.94000000000005</v>
      </c>
      <c r="AT1074" s="69">
        <v>347</v>
      </c>
      <c r="AU1074" s="69">
        <f>52.47+1.95</f>
        <v>54.42</v>
      </c>
      <c r="AV1074" s="69">
        <f>110.1+18.2</f>
        <v>128.29999999999998</v>
      </c>
      <c r="AW1074" s="69">
        <v>0.22</v>
      </c>
      <c r="CD1074" s="91">
        <f t="shared" si="132"/>
        <v>529.94000000000005</v>
      </c>
      <c r="CE1074" s="69">
        <f t="shared" si="134"/>
        <v>0</v>
      </c>
      <c r="CF1074" s="75">
        <f t="shared" si="133"/>
        <v>8245</v>
      </c>
      <c r="CG1074" s="69" t="str">
        <f t="shared" si="133"/>
        <v>ماليزى اسنان</v>
      </c>
    </row>
    <row r="1075" spans="2:85" x14ac:dyDescent="0.25">
      <c r="B1075" s="69" t="str">
        <f>+B1074</f>
        <v>25/2/2024</v>
      </c>
      <c r="C1075" s="82">
        <v>6793</v>
      </c>
      <c r="D1075" s="96">
        <v>8245</v>
      </c>
      <c r="E1075" s="69" t="s">
        <v>121</v>
      </c>
      <c r="F1075" s="69" t="s">
        <v>2071</v>
      </c>
      <c r="G1075" s="69" t="s">
        <v>220</v>
      </c>
      <c r="H1075" s="69">
        <v>21037.47</v>
      </c>
      <c r="U1075" s="69"/>
      <c r="V1075" s="69"/>
      <c r="AS1075" s="91">
        <f t="shared" si="112"/>
        <v>21037.47</v>
      </c>
      <c r="AT1075" s="69">
        <v>14267.7</v>
      </c>
      <c r="AU1075" s="69">
        <f>1586.26+84.95</f>
        <v>1671.21</v>
      </c>
      <c r="AV1075" s="69">
        <f>722.6+4367</f>
        <v>5089.6000000000004</v>
      </c>
      <c r="AW1075" s="69">
        <v>8.9600000000000009</v>
      </c>
      <c r="CD1075" s="91">
        <f t="shared" ref="CD1075" si="135">SUM(AT1075:CC1075)</f>
        <v>21037.47</v>
      </c>
      <c r="CE1075" s="69">
        <f t="shared" si="134"/>
        <v>0</v>
      </c>
      <c r="CF1075" s="75">
        <f t="shared" si="133"/>
        <v>8245</v>
      </c>
      <c r="CG1075" s="69" t="str">
        <f t="shared" si="133"/>
        <v>ماليزى اسنان</v>
      </c>
    </row>
    <row r="1076" spans="2:85" x14ac:dyDescent="0.25">
      <c r="B1076" s="69" t="s">
        <v>2114</v>
      </c>
      <c r="C1076" s="82">
        <v>6794</v>
      </c>
      <c r="D1076" s="78">
        <v>8246</v>
      </c>
      <c r="E1076" s="69" t="s">
        <v>121</v>
      </c>
      <c r="F1076" s="69" t="s">
        <v>2072</v>
      </c>
      <c r="G1076" s="69" t="s">
        <v>220</v>
      </c>
      <c r="H1076" s="69">
        <v>1874.34</v>
      </c>
      <c r="U1076" s="69"/>
      <c r="V1076" s="69"/>
      <c r="AS1076" s="91">
        <f t="shared" si="112"/>
        <v>1874.34</v>
      </c>
      <c r="AT1076" s="69">
        <v>1271.7</v>
      </c>
      <c r="AU1076" s="69">
        <f>141.36+7.5</f>
        <v>148.86000000000001</v>
      </c>
      <c r="AV1076" s="69">
        <f>388.8+64.2</f>
        <v>453</v>
      </c>
      <c r="AW1076" s="69">
        <v>0.78</v>
      </c>
      <c r="CD1076" s="91">
        <f t="shared" si="132"/>
        <v>1874.34</v>
      </c>
      <c r="CE1076" s="69">
        <f t="shared" si="134"/>
        <v>0</v>
      </c>
      <c r="CF1076" s="75">
        <f t="shared" si="133"/>
        <v>8246</v>
      </c>
      <c r="CG1076" s="69" t="str">
        <f t="shared" si="133"/>
        <v>ماليزى اسنان</v>
      </c>
    </row>
    <row r="1077" spans="2:85" x14ac:dyDescent="0.25">
      <c r="C1077" s="82">
        <v>13483</v>
      </c>
      <c r="D1077" s="78">
        <v>8247</v>
      </c>
      <c r="E1077" s="69" t="s">
        <v>78</v>
      </c>
      <c r="F1077" s="69" t="s">
        <v>2032</v>
      </c>
      <c r="G1077" s="69"/>
      <c r="H1077" s="69">
        <v>153209.32999999999</v>
      </c>
      <c r="U1077" s="69"/>
      <c r="V1077" s="69"/>
      <c r="AS1077" s="91">
        <f t="shared" si="112"/>
        <v>153209.32999999999</v>
      </c>
      <c r="AT1077" s="69">
        <v>121669.95</v>
      </c>
      <c r="AU1077" s="69">
        <v>31539.38</v>
      </c>
      <c r="CD1077" s="91">
        <f t="shared" si="132"/>
        <v>153209.32999999999</v>
      </c>
      <c r="CE1077" s="69">
        <f t="shared" si="134"/>
        <v>0</v>
      </c>
      <c r="CF1077" s="75">
        <f t="shared" si="133"/>
        <v>8247</v>
      </c>
      <c r="CG1077" s="69" t="str">
        <f t="shared" si="133"/>
        <v>برنامج دولى</v>
      </c>
    </row>
    <row r="1078" spans="2:85" x14ac:dyDescent="0.25">
      <c r="C1078" s="82">
        <v>13482</v>
      </c>
      <c r="D1078" s="78">
        <v>8248</v>
      </c>
      <c r="E1078" s="69" t="s">
        <v>78</v>
      </c>
      <c r="F1078" s="69" t="s">
        <v>2032</v>
      </c>
      <c r="G1078" s="69"/>
      <c r="H1078" s="69">
        <v>132393.76999999999</v>
      </c>
      <c r="U1078" s="69"/>
      <c r="V1078" s="69"/>
      <c r="AS1078" s="91">
        <f t="shared" si="112"/>
        <v>132393.76999999999</v>
      </c>
      <c r="AT1078" s="69">
        <v>105140.97</v>
      </c>
      <c r="AU1078" s="69">
        <v>27252.799999999999</v>
      </c>
      <c r="CD1078" s="91">
        <f t="shared" si="132"/>
        <v>132393.76999999999</v>
      </c>
      <c r="CE1078" s="69">
        <f t="shared" si="134"/>
        <v>0</v>
      </c>
      <c r="CF1078" s="75">
        <f t="shared" si="133"/>
        <v>8248</v>
      </c>
      <c r="CG1078" s="69" t="str">
        <f t="shared" si="133"/>
        <v>برنامج دولى</v>
      </c>
    </row>
    <row r="1079" spans="2:85" x14ac:dyDescent="0.25">
      <c r="C1079" s="82">
        <v>13481</v>
      </c>
      <c r="D1079" s="78">
        <v>8249</v>
      </c>
      <c r="E1079" s="69" t="s">
        <v>78</v>
      </c>
      <c r="F1079" s="69" t="s">
        <v>2032</v>
      </c>
      <c r="G1079" s="69"/>
      <c r="H1079" s="69">
        <v>151757.09</v>
      </c>
      <c r="U1079" s="69"/>
      <c r="V1079" s="69"/>
      <c r="AS1079" s="91">
        <f t="shared" si="112"/>
        <v>151757.09</v>
      </c>
      <c r="AT1079" s="69">
        <v>120808.41</v>
      </c>
      <c r="AU1079" s="69">
        <v>30944.91</v>
      </c>
      <c r="AV1079" s="69">
        <v>3.77</v>
      </c>
      <c r="CD1079" s="91">
        <f t="shared" si="132"/>
        <v>151757.09</v>
      </c>
      <c r="CE1079" s="69">
        <f t="shared" si="134"/>
        <v>0</v>
      </c>
      <c r="CF1079" s="75">
        <f t="shared" si="133"/>
        <v>8249</v>
      </c>
      <c r="CG1079" s="69" t="str">
        <f t="shared" si="133"/>
        <v>برنامج دولى</v>
      </c>
    </row>
    <row r="1080" spans="2:85" x14ac:dyDescent="0.25">
      <c r="C1080" s="82">
        <v>13476</v>
      </c>
      <c r="D1080" s="78">
        <v>8250</v>
      </c>
      <c r="E1080" s="69" t="s">
        <v>78</v>
      </c>
      <c r="F1080" s="69" t="s">
        <v>2032</v>
      </c>
      <c r="G1080" s="69"/>
      <c r="H1080" s="69">
        <v>2115.75</v>
      </c>
      <c r="U1080" s="69"/>
      <c r="V1080" s="69"/>
      <c r="AS1080" s="91">
        <f t="shared" si="112"/>
        <v>2115.75</v>
      </c>
      <c r="AT1080" s="69">
        <v>1789.61</v>
      </c>
      <c r="AU1080" s="69">
        <v>326.14</v>
      </c>
      <c r="CD1080" s="91">
        <f t="shared" si="132"/>
        <v>2115.75</v>
      </c>
      <c r="CE1080" s="69">
        <f t="shared" si="134"/>
        <v>0</v>
      </c>
      <c r="CF1080" s="75">
        <f t="shared" si="133"/>
        <v>8250</v>
      </c>
      <c r="CG1080" s="69" t="str">
        <f t="shared" si="133"/>
        <v>برنامج دولى</v>
      </c>
    </row>
    <row r="1081" spans="2:85" x14ac:dyDescent="0.25">
      <c r="C1081" s="82">
        <v>13477</v>
      </c>
      <c r="D1081" s="78">
        <v>8251</v>
      </c>
      <c r="E1081" s="69" t="s">
        <v>78</v>
      </c>
      <c r="F1081" s="69" t="s">
        <v>2032</v>
      </c>
      <c r="G1081" s="69"/>
      <c r="H1081" s="69">
        <v>924.03</v>
      </c>
      <c r="U1081" s="69"/>
      <c r="V1081" s="69"/>
      <c r="AS1081" s="91">
        <f t="shared" si="112"/>
        <v>924.03</v>
      </c>
      <c r="AT1081" s="69">
        <v>734.3</v>
      </c>
      <c r="AU1081" s="69">
        <v>189.73</v>
      </c>
      <c r="CD1081" s="91">
        <f t="shared" si="132"/>
        <v>924.03</v>
      </c>
      <c r="CE1081" s="69">
        <f t="shared" si="134"/>
        <v>0</v>
      </c>
      <c r="CF1081" s="75">
        <f t="shared" si="133"/>
        <v>8251</v>
      </c>
      <c r="CG1081" s="69" t="str">
        <f t="shared" si="133"/>
        <v>برنامج دولى</v>
      </c>
    </row>
    <row r="1082" spans="2:85" x14ac:dyDescent="0.25">
      <c r="C1082" s="82">
        <v>13625</v>
      </c>
      <c r="D1082" s="78">
        <v>8252</v>
      </c>
      <c r="E1082" s="69" t="s">
        <v>78</v>
      </c>
      <c r="F1082" s="69" t="s">
        <v>2032</v>
      </c>
      <c r="G1082" s="69"/>
      <c r="H1082" s="69">
        <v>4221.05</v>
      </c>
      <c r="U1082" s="69"/>
      <c r="V1082" s="69"/>
      <c r="AS1082" s="91">
        <f t="shared" si="112"/>
        <v>4221.05</v>
      </c>
      <c r="AT1082" s="69">
        <v>3351.8</v>
      </c>
      <c r="AU1082" s="69">
        <v>869.25</v>
      </c>
      <c r="CD1082" s="91">
        <f t="shared" si="132"/>
        <v>4221.05</v>
      </c>
      <c r="CE1082" s="69">
        <f t="shared" si="134"/>
        <v>0</v>
      </c>
      <c r="CF1082" s="75">
        <f t="shared" si="133"/>
        <v>8252</v>
      </c>
      <c r="CG1082" s="69" t="str">
        <f t="shared" si="133"/>
        <v>برنامج دولى</v>
      </c>
    </row>
    <row r="1083" spans="2:85" x14ac:dyDescent="0.25">
      <c r="C1083" s="82">
        <v>13478</v>
      </c>
      <c r="D1083" s="78">
        <v>8253</v>
      </c>
      <c r="E1083" s="69" t="s">
        <v>78</v>
      </c>
      <c r="F1083" s="69" t="s">
        <v>2032</v>
      </c>
      <c r="G1083" s="69"/>
      <c r="H1083" s="69">
        <v>16046.79</v>
      </c>
      <c r="U1083" s="69"/>
      <c r="V1083" s="69"/>
      <c r="AS1083" s="91">
        <f t="shared" si="112"/>
        <v>16046.79</v>
      </c>
      <c r="AT1083" s="69">
        <v>12846.3</v>
      </c>
      <c r="AU1083" s="69">
        <v>3200.49</v>
      </c>
      <c r="CD1083" s="91">
        <f t="shared" si="132"/>
        <v>16046.789999999999</v>
      </c>
      <c r="CE1083" s="69">
        <f t="shared" si="134"/>
        <v>0</v>
      </c>
      <c r="CF1083" s="75">
        <f t="shared" si="133"/>
        <v>8253</v>
      </c>
      <c r="CG1083" s="69" t="str">
        <f t="shared" si="133"/>
        <v>برنامج دولى</v>
      </c>
    </row>
    <row r="1084" spans="2:85" x14ac:dyDescent="0.25">
      <c r="C1084" s="82">
        <v>13480</v>
      </c>
      <c r="D1084" s="78">
        <v>8254</v>
      </c>
      <c r="E1084" s="69" t="s">
        <v>78</v>
      </c>
      <c r="F1084" s="69" t="s">
        <v>2032</v>
      </c>
      <c r="G1084" s="69"/>
      <c r="H1084" s="69">
        <v>130179.88</v>
      </c>
      <c r="U1084" s="69"/>
      <c r="V1084" s="69"/>
      <c r="AS1084" s="91">
        <f t="shared" si="112"/>
        <v>130179.88</v>
      </c>
      <c r="AT1084" s="69">
        <v>103392.49</v>
      </c>
      <c r="AU1084" s="69">
        <v>26787.39</v>
      </c>
      <c r="CD1084" s="91">
        <f t="shared" si="132"/>
        <v>130179.88</v>
      </c>
      <c r="CE1084" s="69">
        <f t="shared" si="134"/>
        <v>0</v>
      </c>
      <c r="CF1084" s="75">
        <f t="shared" si="133"/>
        <v>8254</v>
      </c>
      <c r="CG1084" s="69" t="str">
        <f t="shared" si="133"/>
        <v>برنامج دولى</v>
      </c>
    </row>
    <row r="1085" spans="2:85" x14ac:dyDescent="0.25">
      <c r="C1085" s="82">
        <v>13475</v>
      </c>
      <c r="D1085" s="78">
        <v>8255</v>
      </c>
      <c r="E1085" s="69" t="s">
        <v>78</v>
      </c>
      <c r="F1085" s="69" t="s">
        <v>2032</v>
      </c>
      <c r="G1085" s="69"/>
      <c r="H1085" s="69">
        <v>1569.52</v>
      </c>
      <c r="U1085" s="69"/>
      <c r="V1085" s="69"/>
      <c r="AS1085" s="91">
        <f t="shared" si="112"/>
        <v>1569.52</v>
      </c>
      <c r="AT1085" s="69">
        <v>1246.5</v>
      </c>
      <c r="AU1085" s="69">
        <v>323.02</v>
      </c>
      <c r="CD1085" s="91">
        <f t="shared" si="132"/>
        <v>1569.52</v>
      </c>
      <c r="CE1085" s="69">
        <f t="shared" si="134"/>
        <v>0</v>
      </c>
      <c r="CF1085" s="75">
        <f t="shared" si="133"/>
        <v>8255</v>
      </c>
      <c r="CG1085" s="69" t="str">
        <f t="shared" si="133"/>
        <v>برنامج دولى</v>
      </c>
    </row>
    <row r="1086" spans="2:85" x14ac:dyDescent="0.25">
      <c r="C1086" s="82">
        <v>13576</v>
      </c>
      <c r="D1086" s="78">
        <v>8256</v>
      </c>
      <c r="E1086" s="69" t="s">
        <v>78</v>
      </c>
      <c r="F1086" s="69" t="s">
        <v>2032</v>
      </c>
      <c r="G1086" s="69"/>
      <c r="H1086" s="69">
        <v>8452.3700000000008</v>
      </c>
      <c r="U1086" s="69"/>
      <c r="V1086" s="69"/>
      <c r="AS1086" s="91">
        <f t="shared" si="112"/>
        <v>8452.3700000000008</v>
      </c>
      <c r="AT1086" s="69">
        <v>6716.9</v>
      </c>
      <c r="AU1086" s="69">
        <v>1735.47</v>
      </c>
      <c r="CD1086" s="91">
        <f t="shared" si="132"/>
        <v>8452.369999999999</v>
      </c>
      <c r="CE1086" s="69">
        <f t="shared" si="134"/>
        <v>0</v>
      </c>
      <c r="CF1086" s="75">
        <f t="shared" si="133"/>
        <v>8256</v>
      </c>
      <c r="CG1086" s="69" t="str">
        <f t="shared" si="133"/>
        <v>برنامج دولى</v>
      </c>
    </row>
    <row r="1087" spans="2:85" x14ac:dyDescent="0.25">
      <c r="C1087" s="82">
        <v>13584</v>
      </c>
      <c r="D1087" s="78">
        <v>8257</v>
      </c>
      <c r="E1087" s="69" t="s">
        <v>78</v>
      </c>
      <c r="F1087" s="69" t="s">
        <v>2032</v>
      </c>
      <c r="G1087" s="69"/>
      <c r="H1087" s="69">
        <v>555.87</v>
      </c>
      <c r="U1087" s="69"/>
      <c r="V1087" s="69"/>
      <c r="AS1087" s="91">
        <f t="shared" si="112"/>
        <v>555.87</v>
      </c>
      <c r="AT1087" s="69">
        <v>472.07</v>
      </c>
      <c r="AU1087" s="69">
        <v>55.8</v>
      </c>
      <c r="AV1087" s="69">
        <v>28</v>
      </c>
      <c r="CD1087" s="91">
        <f t="shared" si="132"/>
        <v>555.87</v>
      </c>
      <c r="CE1087" s="69">
        <f t="shared" si="134"/>
        <v>0</v>
      </c>
      <c r="CF1087" s="75">
        <f t="shared" si="133"/>
        <v>8257</v>
      </c>
      <c r="CG1087" s="69" t="str">
        <f t="shared" si="133"/>
        <v>برنامج دولى</v>
      </c>
    </row>
    <row r="1088" spans="2:85" x14ac:dyDescent="0.25">
      <c r="C1088" s="82">
        <v>13486</v>
      </c>
      <c r="D1088" s="78">
        <v>8258</v>
      </c>
      <c r="E1088" s="69" t="s">
        <v>78</v>
      </c>
      <c r="F1088" s="69" t="s">
        <v>2032</v>
      </c>
      <c r="G1088" s="69"/>
      <c r="H1088" s="69">
        <v>139084.56</v>
      </c>
      <c r="U1088" s="69"/>
      <c r="V1088" s="69"/>
      <c r="AS1088" s="91">
        <f t="shared" si="112"/>
        <v>139084.56</v>
      </c>
      <c r="AT1088" s="69">
        <v>110455.01</v>
      </c>
      <c r="AU1088" s="69">
        <v>28629.55</v>
      </c>
      <c r="CD1088" s="91">
        <f t="shared" si="132"/>
        <v>139084.56</v>
      </c>
      <c r="CE1088" s="69">
        <f t="shared" si="134"/>
        <v>0</v>
      </c>
      <c r="CF1088" s="75">
        <f t="shared" si="133"/>
        <v>8258</v>
      </c>
      <c r="CG1088" s="69" t="str">
        <f t="shared" si="133"/>
        <v>برنامج دولى</v>
      </c>
    </row>
    <row r="1089" spans="2:85" x14ac:dyDescent="0.25">
      <c r="C1089" s="82">
        <v>13479</v>
      </c>
      <c r="D1089" s="78">
        <v>8259</v>
      </c>
      <c r="E1089" s="69" t="s">
        <v>78</v>
      </c>
      <c r="F1089" s="69" t="s">
        <v>2032</v>
      </c>
      <c r="G1089" s="69"/>
      <c r="H1089" s="69">
        <v>83401.03</v>
      </c>
      <c r="U1089" s="69"/>
      <c r="V1089" s="69"/>
      <c r="AS1089" s="91">
        <f t="shared" si="112"/>
        <v>83401.03</v>
      </c>
      <c r="AT1089" s="69">
        <v>66259.850000000006</v>
      </c>
      <c r="AU1089" s="69">
        <v>17141.18</v>
      </c>
      <c r="CD1089" s="91">
        <f t="shared" si="132"/>
        <v>83401.03</v>
      </c>
      <c r="CE1089" s="69">
        <f t="shared" si="134"/>
        <v>0</v>
      </c>
      <c r="CF1089" s="75">
        <f t="shared" si="133"/>
        <v>8259</v>
      </c>
      <c r="CG1089" s="69" t="str">
        <f t="shared" si="133"/>
        <v>برنامج دولى</v>
      </c>
    </row>
    <row r="1090" spans="2:85" x14ac:dyDescent="0.25">
      <c r="C1090" s="82">
        <v>13888</v>
      </c>
      <c r="D1090" s="78">
        <v>8260</v>
      </c>
      <c r="E1090" s="69" t="s">
        <v>132</v>
      </c>
      <c r="F1090" s="69" t="s">
        <v>2032</v>
      </c>
      <c r="G1090" s="69"/>
      <c r="H1090" s="69">
        <v>339.75</v>
      </c>
      <c r="U1090" s="69"/>
      <c r="V1090" s="69"/>
      <c r="AS1090" s="91">
        <f t="shared" si="112"/>
        <v>339.75</v>
      </c>
      <c r="AT1090" s="69">
        <v>270.27999999999997</v>
      </c>
      <c r="AU1090" s="69">
        <v>69.47</v>
      </c>
      <c r="CD1090" s="91">
        <f t="shared" si="132"/>
        <v>339.75</v>
      </c>
      <c r="CE1090" s="69">
        <f t="shared" si="134"/>
        <v>0</v>
      </c>
      <c r="CF1090" s="75">
        <f t="shared" si="133"/>
        <v>8260</v>
      </c>
      <c r="CG1090" s="69" t="str">
        <f t="shared" si="133"/>
        <v>صيدلة اكلينيكى</v>
      </c>
    </row>
    <row r="1091" spans="2:85" x14ac:dyDescent="0.25">
      <c r="C1091" s="82">
        <v>13896</v>
      </c>
      <c r="D1091" s="78">
        <v>8261</v>
      </c>
      <c r="E1091" s="69" t="s">
        <v>132</v>
      </c>
      <c r="F1091" s="69" t="s">
        <v>2032</v>
      </c>
      <c r="G1091" s="69"/>
      <c r="H1091" s="69">
        <v>238.58</v>
      </c>
      <c r="U1091" s="69"/>
      <c r="V1091" s="69"/>
      <c r="AS1091" s="91">
        <f t="shared" si="112"/>
        <v>238.58</v>
      </c>
      <c r="AT1091" s="69">
        <v>189.94</v>
      </c>
      <c r="AU1091" s="69">
        <v>48.64</v>
      </c>
      <c r="CD1091" s="91">
        <f t="shared" si="132"/>
        <v>238.57999999999998</v>
      </c>
      <c r="CE1091" s="69">
        <f t="shared" si="134"/>
        <v>0</v>
      </c>
      <c r="CF1091" s="75">
        <f t="shared" si="133"/>
        <v>8261</v>
      </c>
      <c r="CG1091" s="69" t="str">
        <f t="shared" si="133"/>
        <v>صيدلة اكلينيكى</v>
      </c>
    </row>
    <row r="1092" spans="2:85" x14ac:dyDescent="0.25">
      <c r="B1092" s="69" t="s">
        <v>1475</v>
      </c>
      <c r="C1092" s="82">
        <v>13893</v>
      </c>
      <c r="D1092" s="78">
        <v>8262</v>
      </c>
      <c r="E1092" s="69" t="s">
        <v>119</v>
      </c>
      <c r="F1092" s="69" t="s">
        <v>2115</v>
      </c>
      <c r="G1092" s="69"/>
      <c r="H1092" s="69">
        <v>3165.75</v>
      </c>
      <c r="U1092" s="69"/>
      <c r="V1092" s="69"/>
      <c r="AS1092" s="91">
        <f t="shared" si="112"/>
        <v>3165.75</v>
      </c>
      <c r="AT1092" s="69">
        <v>2179.4699999999998</v>
      </c>
      <c r="AU1092" s="69">
        <f>17.65+55.88</f>
        <v>73.53</v>
      </c>
      <c r="AV1092" s="69">
        <v>762.75</v>
      </c>
      <c r="AW1092" s="69">
        <v>150</v>
      </c>
      <c r="CD1092" s="91">
        <f t="shared" si="132"/>
        <v>3165.75</v>
      </c>
      <c r="CE1092" s="69">
        <f t="shared" si="134"/>
        <v>0</v>
      </c>
      <c r="CF1092" s="75">
        <f t="shared" si="133"/>
        <v>8262</v>
      </c>
      <c r="CG1092" s="69" t="str">
        <f t="shared" si="133"/>
        <v>خ ت صيدلة</v>
      </c>
    </row>
    <row r="1093" spans="2:85" x14ac:dyDescent="0.25">
      <c r="C1093" s="82">
        <v>14089</v>
      </c>
      <c r="D1093" s="78">
        <v>8263</v>
      </c>
      <c r="E1093" s="69" t="s">
        <v>78</v>
      </c>
      <c r="F1093" s="69" t="s">
        <v>2116</v>
      </c>
      <c r="G1093" s="69"/>
      <c r="H1093" s="69">
        <v>1793.92</v>
      </c>
      <c r="U1093" s="69"/>
      <c r="V1093" s="69"/>
      <c r="AS1093" s="91">
        <f t="shared" si="112"/>
        <v>1793.92</v>
      </c>
      <c r="AT1093" s="69">
        <v>1198.8499999999999</v>
      </c>
      <c r="AU1093" s="69">
        <v>162.85</v>
      </c>
      <c r="AV1093" s="69">
        <v>432.22</v>
      </c>
      <c r="CD1093" s="91">
        <f t="shared" si="132"/>
        <v>1793.9199999999998</v>
      </c>
      <c r="CE1093" s="69">
        <f t="shared" si="134"/>
        <v>0</v>
      </c>
      <c r="CF1093" s="75">
        <f t="shared" si="133"/>
        <v>8263</v>
      </c>
      <c r="CG1093" s="69" t="str">
        <f t="shared" si="133"/>
        <v>برنامج دولى</v>
      </c>
    </row>
    <row r="1094" spans="2:85" x14ac:dyDescent="0.25">
      <c r="C1094" s="82">
        <v>14090</v>
      </c>
      <c r="D1094" s="78">
        <v>8264</v>
      </c>
      <c r="E1094" s="69" t="s">
        <v>78</v>
      </c>
      <c r="F1094" s="69" t="s">
        <v>2116</v>
      </c>
      <c r="G1094" s="69"/>
      <c r="H1094" s="69">
        <v>2500</v>
      </c>
      <c r="U1094" s="69"/>
      <c r="V1094" s="69"/>
      <c r="AS1094" s="91">
        <f t="shared" si="112"/>
        <v>2500</v>
      </c>
      <c r="AT1094" s="69">
        <v>2231.6</v>
      </c>
      <c r="AU1094" s="69">
        <v>268.39999999999998</v>
      </c>
      <c r="CD1094" s="91">
        <f t="shared" si="132"/>
        <v>2500</v>
      </c>
      <c r="CE1094" s="69">
        <f t="shared" si="134"/>
        <v>0</v>
      </c>
      <c r="CF1094" s="75">
        <f t="shared" si="133"/>
        <v>8264</v>
      </c>
      <c r="CG1094" s="69" t="str">
        <f t="shared" si="133"/>
        <v>برنامج دولى</v>
      </c>
    </row>
    <row r="1095" spans="2:85" x14ac:dyDescent="0.25">
      <c r="C1095" s="82">
        <v>13816</v>
      </c>
      <c r="D1095" s="78">
        <v>8265</v>
      </c>
      <c r="E1095" s="69" t="s">
        <v>78</v>
      </c>
      <c r="F1095" s="69" t="s">
        <v>2116</v>
      </c>
      <c r="G1095" s="69"/>
      <c r="H1095" s="69">
        <v>2110.5</v>
      </c>
      <c r="U1095" s="69"/>
      <c r="V1095" s="69"/>
      <c r="AS1095" s="91">
        <f t="shared" si="112"/>
        <v>2110.5</v>
      </c>
      <c r="AT1095" s="69">
        <v>1410.35</v>
      </c>
      <c r="AU1095" s="69">
        <v>191.65</v>
      </c>
      <c r="AV1095" s="69">
        <v>508.5</v>
      </c>
      <c r="CD1095" s="91">
        <f t="shared" si="132"/>
        <v>2110.5</v>
      </c>
      <c r="CE1095" s="69">
        <f t="shared" si="134"/>
        <v>0</v>
      </c>
      <c r="CF1095" s="75">
        <f t="shared" si="133"/>
        <v>8265</v>
      </c>
      <c r="CG1095" s="69" t="str">
        <f t="shared" si="133"/>
        <v>برنامج دولى</v>
      </c>
    </row>
    <row r="1096" spans="2:85" x14ac:dyDescent="0.25">
      <c r="C1096" s="82">
        <v>13815</v>
      </c>
      <c r="D1096" s="78">
        <v>8266</v>
      </c>
      <c r="E1096" s="69" t="s">
        <v>78</v>
      </c>
      <c r="F1096" s="69" t="s">
        <v>2116</v>
      </c>
      <c r="G1096" s="69"/>
      <c r="H1096" s="69">
        <v>8569.77</v>
      </c>
      <c r="U1096" s="69"/>
      <c r="V1096" s="69"/>
      <c r="AS1096" s="91">
        <f t="shared" si="112"/>
        <v>8569.77</v>
      </c>
      <c r="AT1096" s="69">
        <v>6629.04</v>
      </c>
      <c r="AU1096" s="69">
        <v>843.85</v>
      </c>
      <c r="AV1096" s="69">
        <v>1096.8800000000001</v>
      </c>
      <c r="CD1096" s="91">
        <f t="shared" si="132"/>
        <v>8569.77</v>
      </c>
      <c r="CE1096" s="69">
        <f t="shared" si="134"/>
        <v>0</v>
      </c>
      <c r="CF1096" s="75">
        <f t="shared" si="133"/>
        <v>8266</v>
      </c>
      <c r="CG1096" s="69" t="str">
        <f t="shared" si="133"/>
        <v>برنامج دولى</v>
      </c>
    </row>
    <row r="1097" spans="2:85" x14ac:dyDescent="0.25">
      <c r="C1097" s="82">
        <v>13813</v>
      </c>
      <c r="D1097" s="78">
        <v>8267</v>
      </c>
      <c r="E1097" s="69" t="s">
        <v>78</v>
      </c>
      <c r="F1097" s="69" t="s">
        <v>2116</v>
      </c>
      <c r="G1097" s="69"/>
      <c r="H1097" s="69">
        <v>1993.25</v>
      </c>
      <c r="U1097" s="69"/>
      <c r="V1097" s="69"/>
      <c r="AS1097" s="91">
        <f t="shared" si="112"/>
        <v>1993.25</v>
      </c>
      <c r="AT1097" s="69">
        <v>1332</v>
      </c>
      <c r="AU1097" s="69">
        <v>181</v>
      </c>
      <c r="AV1097" s="69">
        <v>480.25</v>
      </c>
      <c r="CD1097" s="91">
        <f t="shared" si="132"/>
        <v>1993.25</v>
      </c>
      <c r="CE1097" s="69">
        <f t="shared" si="134"/>
        <v>0</v>
      </c>
      <c r="CF1097" s="75">
        <f t="shared" si="133"/>
        <v>8267</v>
      </c>
      <c r="CG1097" s="69" t="str">
        <f t="shared" si="133"/>
        <v>برنامج دولى</v>
      </c>
    </row>
    <row r="1098" spans="2:85" x14ac:dyDescent="0.25">
      <c r="C1098" s="82">
        <v>13812</v>
      </c>
      <c r="D1098" s="78">
        <v>8268</v>
      </c>
      <c r="E1098" s="69" t="s">
        <v>78</v>
      </c>
      <c r="F1098" s="69" t="s">
        <v>2116</v>
      </c>
      <c r="G1098" s="69"/>
      <c r="H1098" s="69">
        <v>3126.67</v>
      </c>
      <c r="U1098" s="69"/>
      <c r="V1098" s="69"/>
      <c r="AS1098" s="91">
        <f t="shared" si="112"/>
        <v>3126.67</v>
      </c>
      <c r="AT1098" s="69">
        <v>2089.96</v>
      </c>
      <c r="AU1098" s="69">
        <v>283.37</v>
      </c>
      <c r="AV1098" s="69">
        <v>753.34</v>
      </c>
      <c r="CD1098" s="91">
        <f t="shared" si="132"/>
        <v>3126.67</v>
      </c>
      <c r="CE1098" s="69">
        <f t="shared" si="134"/>
        <v>0</v>
      </c>
      <c r="CF1098" s="75">
        <f t="shared" si="133"/>
        <v>8268</v>
      </c>
      <c r="CG1098" s="69" t="str">
        <f t="shared" si="133"/>
        <v>برنامج دولى</v>
      </c>
    </row>
    <row r="1099" spans="2:85" x14ac:dyDescent="0.25">
      <c r="C1099" s="82">
        <v>13817</v>
      </c>
      <c r="D1099" s="78">
        <v>8269</v>
      </c>
      <c r="E1099" s="69" t="s">
        <v>78</v>
      </c>
      <c r="F1099" s="69" t="s">
        <v>2116</v>
      </c>
      <c r="G1099" s="69"/>
      <c r="H1099" s="69">
        <v>12534.61</v>
      </c>
      <c r="U1099" s="69"/>
      <c r="V1099" s="69"/>
      <c r="AS1099" s="91">
        <f t="shared" si="112"/>
        <v>12534.61</v>
      </c>
      <c r="AT1099" s="69">
        <v>8980.57</v>
      </c>
      <c r="AU1099" s="69">
        <v>1182.77</v>
      </c>
      <c r="AV1099" s="69">
        <v>2371.27</v>
      </c>
      <c r="CD1099" s="91">
        <f t="shared" si="132"/>
        <v>12534.61</v>
      </c>
      <c r="CE1099" s="69">
        <f t="shared" si="134"/>
        <v>0</v>
      </c>
      <c r="CF1099" s="75">
        <f t="shared" si="133"/>
        <v>8269</v>
      </c>
      <c r="CG1099" s="69" t="str">
        <f t="shared" si="133"/>
        <v>برنامج دولى</v>
      </c>
    </row>
    <row r="1100" spans="2:85" x14ac:dyDescent="0.25">
      <c r="C1100" s="82">
        <v>13819</v>
      </c>
      <c r="D1100" s="78">
        <v>8270</v>
      </c>
      <c r="E1100" s="69" t="s">
        <v>78</v>
      </c>
      <c r="F1100" s="69" t="s">
        <v>2116</v>
      </c>
      <c r="G1100" s="69"/>
      <c r="H1100" s="69">
        <v>41955.95</v>
      </c>
      <c r="U1100" s="69"/>
      <c r="V1100" s="69"/>
      <c r="AS1100" s="91">
        <f t="shared" si="112"/>
        <v>41955.95</v>
      </c>
      <c r="AT1100" s="69">
        <v>28007.49</v>
      </c>
      <c r="AU1100" s="69">
        <f>3578.33+261.35</f>
        <v>3839.68</v>
      </c>
      <c r="AV1100" s="69">
        <v>10108.780000000001</v>
      </c>
      <c r="CD1100" s="91">
        <f t="shared" si="132"/>
        <v>41955.950000000004</v>
      </c>
      <c r="CE1100" s="69">
        <f t="shared" si="134"/>
        <v>0</v>
      </c>
      <c r="CF1100" s="75">
        <f t="shared" si="133"/>
        <v>8270</v>
      </c>
      <c r="CG1100" s="69" t="str">
        <f t="shared" si="133"/>
        <v>برنامج دولى</v>
      </c>
    </row>
    <row r="1101" spans="2:85" x14ac:dyDescent="0.25">
      <c r="C1101" s="82">
        <v>13814</v>
      </c>
      <c r="D1101" s="78">
        <v>8271</v>
      </c>
      <c r="E1101" s="69" t="s">
        <v>78</v>
      </c>
      <c r="F1101" s="69" t="s">
        <v>2116</v>
      </c>
      <c r="G1101" s="69"/>
      <c r="H1101" s="69">
        <v>173434.4</v>
      </c>
      <c r="U1101" s="69"/>
      <c r="V1101" s="69"/>
      <c r="AS1101" s="91">
        <f t="shared" si="112"/>
        <v>173434.4</v>
      </c>
      <c r="AT1101" s="69">
        <v>116129.36</v>
      </c>
      <c r="AU1101" s="69">
        <v>15749.85</v>
      </c>
      <c r="AV1101" s="69">
        <v>41555.19</v>
      </c>
      <c r="CD1101" s="91">
        <f t="shared" si="132"/>
        <v>173434.4</v>
      </c>
      <c r="CE1101" s="69">
        <f t="shared" si="134"/>
        <v>0</v>
      </c>
      <c r="CF1101" s="75">
        <f t="shared" si="133"/>
        <v>8271</v>
      </c>
      <c r="CG1101" s="69" t="str">
        <f t="shared" si="133"/>
        <v>برنامج دولى</v>
      </c>
    </row>
    <row r="1102" spans="2:85" x14ac:dyDescent="0.25">
      <c r="B1102" s="69">
        <f>+B1116-1381418.47</f>
        <v>899.75</v>
      </c>
      <c r="C1102" s="82">
        <v>13820</v>
      </c>
      <c r="D1102" s="78">
        <v>8272</v>
      </c>
      <c r="E1102" s="69" t="s">
        <v>78</v>
      </c>
      <c r="F1102" s="69" t="s">
        <v>2116</v>
      </c>
      <c r="G1102" s="69"/>
      <c r="H1102" s="69">
        <v>142578.21</v>
      </c>
      <c r="U1102" s="69"/>
      <c r="V1102" s="69"/>
      <c r="AS1102" s="91">
        <f t="shared" si="112"/>
        <v>142578.21</v>
      </c>
      <c r="AT1102" s="69">
        <v>98024.09</v>
      </c>
      <c r="AU1102" s="69">
        <v>12970</v>
      </c>
      <c r="AV1102" s="69">
        <v>31334.12</v>
      </c>
      <c r="CA1102" s="69">
        <v>250</v>
      </c>
      <c r="CD1102" s="91">
        <f t="shared" ref="CD1102:CD1119" si="136">SUM(AT1102:CC1102)</f>
        <v>142578.21</v>
      </c>
      <c r="CE1102" s="69">
        <f t="shared" si="134"/>
        <v>0</v>
      </c>
      <c r="CF1102" s="75">
        <f t="shared" si="133"/>
        <v>8272</v>
      </c>
      <c r="CG1102" s="69" t="str">
        <f t="shared" si="133"/>
        <v>برنامج دولى</v>
      </c>
    </row>
    <row r="1103" spans="2:85" x14ac:dyDescent="0.25">
      <c r="C1103" s="82">
        <v>13818</v>
      </c>
      <c r="D1103" s="78">
        <v>8273</v>
      </c>
      <c r="E1103" s="69" t="s">
        <v>78</v>
      </c>
      <c r="F1103" s="69" t="s">
        <v>2116</v>
      </c>
      <c r="G1103" s="69"/>
      <c r="H1103" s="69">
        <v>527095.38</v>
      </c>
      <c r="U1103" s="69"/>
      <c r="V1103" s="69"/>
      <c r="AS1103" s="91">
        <f t="shared" si="112"/>
        <v>527095.38</v>
      </c>
      <c r="AT1103" s="69">
        <v>352248.72</v>
      </c>
      <c r="AU1103" s="69">
        <v>47849.29</v>
      </c>
      <c r="AV1103" s="69">
        <v>126997.37</v>
      </c>
      <c r="CD1103" s="91">
        <f t="shared" si="136"/>
        <v>527095.37999999989</v>
      </c>
      <c r="CE1103" s="69">
        <f t="shared" si="134"/>
        <v>0</v>
      </c>
      <c r="CF1103" s="75">
        <f t="shared" si="133"/>
        <v>8273</v>
      </c>
      <c r="CG1103" s="69" t="str">
        <f t="shared" si="133"/>
        <v>برنامج دولى</v>
      </c>
    </row>
    <row r="1104" spans="2:85" x14ac:dyDescent="0.25">
      <c r="D1104" s="75">
        <v>8274</v>
      </c>
      <c r="E1104" s="69" t="s">
        <v>1431</v>
      </c>
      <c r="F1104" s="69" t="s">
        <v>899</v>
      </c>
      <c r="CF1104" s="75">
        <f t="shared" si="133"/>
        <v>8274</v>
      </c>
      <c r="CG1104" s="69" t="str">
        <f t="shared" si="133"/>
        <v>لاب فقط</v>
      </c>
    </row>
    <row r="1105" spans="2:85" x14ac:dyDescent="0.25">
      <c r="B1105" s="69" t="s">
        <v>2117</v>
      </c>
      <c r="C1105" s="82">
        <v>13484</v>
      </c>
      <c r="D1105" s="78">
        <v>8275</v>
      </c>
      <c r="E1105" s="69" t="s">
        <v>78</v>
      </c>
      <c r="F1105" s="69" t="s">
        <v>2032</v>
      </c>
      <c r="G1105" s="69"/>
      <c r="H1105" s="69">
        <v>156488.75</v>
      </c>
      <c r="U1105" s="69"/>
      <c r="V1105" s="69"/>
      <c r="AS1105" s="91">
        <f t="shared" si="112"/>
        <v>156488.75</v>
      </c>
      <c r="AT1105" s="69">
        <v>124275.21</v>
      </c>
      <c r="AU1105" s="69">
        <v>32213.54</v>
      </c>
      <c r="CD1105" s="91">
        <f t="shared" si="136"/>
        <v>156488.75</v>
      </c>
      <c r="CE1105" s="69">
        <f t="shared" si="134"/>
        <v>0</v>
      </c>
      <c r="CF1105" s="75">
        <f t="shared" si="133"/>
        <v>8275</v>
      </c>
      <c r="CG1105" s="69" t="str">
        <f t="shared" si="133"/>
        <v>برنامج دولى</v>
      </c>
    </row>
    <row r="1106" spans="2:85" x14ac:dyDescent="0.25">
      <c r="C1106" s="82">
        <v>13485</v>
      </c>
      <c r="D1106" s="78">
        <v>8276</v>
      </c>
      <c r="E1106" s="69" t="s">
        <v>78</v>
      </c>
      <c r="F1106" s="69" t="s">
        <v>2032</v>
      </c>
      <c r="G1106" s="69"/>
      <c r="H1106" s="69">
        <v>137453.35999999999</v>
      </c>
      <c r="U1106" s="69"/>
      <c r="V1106" s="69"/>
      <c r="AS1106" s="91">
        <f t="shared" si="112"/>
        <v>137453.35999999999</v>
      </c>
      <c r="AT1106" s="69">
        <v>108841.61</v>
      </c>
      <c r="AU1106" s="69">
        <v>28291.56</v>
      </c>
      <c r="AX1106" s="69">
        <v>320.19</v>
      </c>
      <c r="CD1106" s="91">
        <f t="shared" si="136"/>
        <v>137453.36000000002</v>
      </c>
      <c r="CE1106" s="69">
        <f t="shared" si="134"/>
        <v>0</v>
      </c>
      <c r="CF1106" s="75">
        <f t="shared" si="133"/>
        <v>8276</v>
      </c>
      <c r="CG1106" s="69" t="str">
        <f t="shared" si="133"/>
        <v>برنامج دولى</v>
      </c>
    </row>
    <row r="1107" spans="2:85" x14ac:dyDescent="0.25">
      <c r="C1107" s="82">
        <v>13172</v>
      </c>
      <c r="D1107" s="78">
        <v>8277</v>
      </c>
      <c r="E1107" s="69" t="s">
        <v>130</v>
      </c>
      <c r="F1107" s="69" t="s">
        <v>393</v>
      </c>
      <c r="G1107" s="69"/>
      <c r="I1107" s="69">
        <v>2166</v>
      </c>
      <c r="U1107" s="69"/>
      <c r="V1107" s="69"/>
      <c r="AS1107" s="91">
        <f t="shared" ref="AS1107:AS1114" si="137">SUM(H1107:AR1107)</f>
        <v>2166</v>
      </c>
      <c r="AT1107" s="69">
        <v>1859.9</v>
      </c>
      <c r="AU1107" s="69">
        <v>147</v>
      </c>
      <c r="AW1107" s="69">
        <v>5</v>
      </c>
      <c r="BG1107" s="69">
        <v>57</v>
      </c>
      <c r="BH1107" s="69">
        <v>80</v>
      </c>
      <c r="BI1107" s="69">
        <f>8.55*2</f>
        <v>17.100000000000001</v>
      </c>
      <c r="CD1107" s="91">
        <f t="shared" ref="CD1107:CD1114" si="138">SUM(AT1107:CC1107)</f>
        <v>2166</v>
      </c>
      <c r="CE1107" s="69">
        <f t="shared" si="134"/>
        <v>0</v>
      </c>
      <c r="CF1107" s="75">
        <f t="shared" si="133"/>
        <v>8277</v>
      </c>
      <c r="CG1107" s="69" t="str">
        <f t="shared" si="133"/>
        <v>خ ت طب</v>
      </c>
    </row>
    <row r="1108" spans="2:85" x14ac:dyDescent="0.25">
      <c r="C1108" s="82">
        <v>13801</v>
      </c>
      <c r="D1108" s="78">
        <v>8278</v>
      </c>
      <c r="E1108" s="69" t="s">
        <v>325</v>
      </c>
      <c r="F1108" s="69" t="s">
        <v>1672</v>
      </c>
      <c r="G1108" s="69"/>
      <c r="I1108" s="69">
        <v>120</v>
      </c>
      <c r="U1108" s="69"/>
      <c r="V1108" s="69"/>
      <c r="AS1108" s="91">
        <f t="shared" si="137"/>
        <v>120</v>
      </c>
      <c r="AT1108" s="69">
        <v>120</v>
      </c>
      <c r="AU1108" s="69"/>
      <c r="CD1108" s="91">
        <f t="shared" si="138"/>
        <v>120</v>
      </c>
      <c r="CE1108" s="69">
        <f t="shared" si="134"/>
        <v>0</v>
      </c>
      <c r="CF1108" s="75">
        <f t="shared" si="133"/>
        <v>8278</v>
      </c>
      <c r="CG1108" s="69" t="str">
        <f t="shared" si="133"/>
        <v xml:space="preserve">برنامج دولى </v>
      </c>
    </row>
    <row r="1109" spans="2:85" x14ac:dyDescent="0.25">
      <c r="C1109" s="82">
        <v>13802</v>
      </c>
      <c r="D1109" s="78">
        <v>8279</v>
      </c>
      <c r="E1109" s="69" t="s">
        <v>325</v>
      </c>
      <c r="F1109" s="69" t="s">
        <v>2118</v>
      </c>
      <c r="G1109" s="69"/>
      <c r="I1109" s="69">
        <v>160</v>
      </c>
      <c r="U1109" s="69"/>
      <c r="V1109" s="69"/>
      <c r="AS1109" s="91">
        <f t="shared" si="137"/>
        <v>160</v>
      </c>
      <c r="AT1109" s="69">
        <v>160</v>
      </c>
      <c r="AU1109" s="69"/>
      <c r="CD1109" s="91">
        <f t="shared" si="138"/>
        <v>160</v>
      </c>
      <c r="CE1109" s="69">
        <f t="shared" si="134"/>
        <v>0</v>
      </c>
      <c r="CF1109" s="75">
        <f t="shared" si="133"/>
        <v>8279</v>
      </c>
      <c r="CG1109" s="69" t="str">
        <f t="shared" si="133"/>
        <v xml:space="preserve">برنامج دولى </v>
      </c>
    </row>
    <row r="1110" spans="2:85" x14ac:dyDescent="0.25">
      <c r="C1110" s="82">
        <v>13803</v>
      </c>
      <c r="D1110" s="78">
        <v>8280</v>
      </c>
      <c r="E1110" s="69" t="s">
        <v>325</v>
      </c>
      <c r="F1110" s="69" t="s">
        <v>1289</v>
      </c>
      <c r="G1110" s="69"/>
      <c r="I1110" s="69">
        <v>330</v>
      </c>
      <c r="U1110" s="69"/>
      <c r="V1110" s="69"/>
      <c r="AS1110" s="91">
        <f t="shared" si="137"/>
        <v>330</v>
      </c>
      <c r="AT1110" s="69">
        <v>330</v>
      </c>
      <c r="AU1110" s="69"/>
      <c r="CD1110" s="91">
        <f t="shared" si="138"/>
        <v>330</v>
      </c>
      <c r="CE1110" s="69">
        <f t="shared" si="134"/>
        <v>0</v>
      </c>
      <c r="CF1110" s="75">
        <f t="shared" si="133"/>
        <v>8280</v>
      </c>
      <c r="CG1110" s="69" t="str">
        <f t="shared" si="133"/>
        <v xml:space="preserve">برنامج دولى </v>
      </c>
    </row>
    <row r="1111" spans="2:85" x14ac:dyDescent="0.25">
      <c r="C1111" s="82">
        <v>13804</v>
      </c>
      <c r="D1111" s="78">
        <v>8281</v>
      </c>
      <c r="E1111" s="69" t="s">
        <v>325</v>
      </c>
      <c r="F1111" s="69" t="s">
        <v>1673</v>
      </c>
      <c r="G1111" s="69"/>
      <c r="I1111" s="69">
        <v>280</v>
      </c>
      <c r="U1111" s="69"/>
      <c r="V1111" s="69"/>
      <c r="AS1111" s="91">
        <f t="shared" si="137"/>
        <v>280</v>
      </c>
      <c r="AT1111" s="69">
        <v>280</v>
      </c>
      <c r="AU1111" s="69"/>
      <c r="CD1111" s="91">
        <f t="shared" si="138"/>
        <v>280</v>
      </c>
      <c r="CE1111" s="69">
        <f t="shared" si="134"/>
        <v>0</v>
      </c>
      <c r="CF1111" s="75">
        <f t="shared" si="133"/>
        <v>8281</v>
      </c>
      <c r="CG1111" s="69" t="str">
        <f t="shared" si="133"/>
        <v xml:space="preserve">برنامج دولى </v>
      </c>
    </row>
    <row r="1112" spans="2:85" x14ac:dyDescent="0.25">
      <c r="C1112" s="82">
        <v>13805</v>
      </c>
      <c r="D1112" s="78">
        <v>8282</v>
      </c>
      <c r="E1112" s="69" t="s">
        <v>325</v>
      </c>
      <c r="F1112" s="69" t="s">
        <v>2119</v>
      </c>
      <c r="G1112" s="69"/>
      <c r="I1112" s="69">
        <v>360</v>
      </c>
      <c r="U1112" s="69"/>
      <c r="V1112" s="69"/>
      <c r="AS1112" s="91">
        <f t="shared" si="137"/>
        <v>360</v>
      </c>
      <c r="AT1112" s="69">
        <v>360</v>
      </c>
      <c r="AU1112" s="69"/>
      <c r="CD1112" s="91">
        <f t="shared" si="138"/>
        <v>360</v>
      </c>
      <c r="CE1112" s="69">
        <f t="shared" si="134"/>
        <v>0</v>
      </c>
      <c r="CF1112" s="75">
        <f t="shared" si="133"/>
        <v>8282</v>
      </c>
      <c r="CG1112" s="69" t="str">
        <f t="shared" si="133"/>
        <v xml:space="preserve">برنامج دولى </v>
      </c>
    </row>
    <row r="1113" spans="2:85" x14ac:dyDescent="0.25">
      <c r="C1113" s="82">
        <v>13057</v>
      </c>
      <c r="D1113" s="78">
        <v>8283</v>
      </c>
      <c r="E1113" s="69" t="s">
        <v>325</v>
      </c>
      <c r="F1113" s="69" t="s">
        <v>2120</v>
      </c>
      <c r="G1113" s="69"/>
      <c r="I1113" s="69">
        <v>16000</v>
      </c>
      <c r="P1113" s="69">
        <v>16000</v>
      </c>
      <c r="U1113" s="69"/>
      <c r="V1113" s="69"/>
      <c r="AS1113" s="91">
        <f t="shared" si="137"/>
        <v>32000</v>
      </c>
      <c r="AT1113" s="69">
        <v>16000</v>
      </c>
      <c r="AU1113" s="69"/>
      <c r="BO1113" s="69">
        <v>16000</v>
      </c>
      <c r="CD1113" s="91">
        <f t="shared" si="138"/>
        <v>32000</v>
      </c>
      <c r="CE1113" s="69">
        <f t="shared" si="134"/>
        <v>0</v>
      </c>
      <c r="CF1113" s="75">
        <f t="shared" si="133"/>
        <v>8283</v>
      </c>
      <c r="CG1113" s="69" t="str">
        <f t="shared" si="133"/>
        <v xml:space="preserve">برنامج دولى </v>
      </c>
    </row>
    <row r="1114" spans="2:85" x14ac:dyDescent="0.25">
      <c r="C1114" s="82">
        <v>13058</v>
      </c>
      <c r="D1114" s="78">
        <v>8284</v>
      </c>
      <c r="E1114" s="69" t="s">
        <v>325</v>
      </c>
      <c r="F1114" s="69" t="s">
        <v>393</v>
      </c>
      <c r="G1114" s="69"/>
      <c r="I1114" s="69">
        <v>67431</v>
      </c>
      <c r="U1114" s="69"/>
      <c r="V1114" s="69"/>
      <c r="AS1114" s="91">
        <f t="shared" si="137"/>
        <v>67431</v>
      </c>
      <c r="AT1114" s="69">
        <v>59866.95</v>
      </c>
      <c r="AU1114" s="69">
        <f>454.9+1364.7+18.9</f>
        <v>1838.5</v>
      </c>
      <c r="AW1114" s="69">
        <v>5</v>
      </c>
      <c r="BG1114" s="69">
        <v>1774.5</v>
      </c>
      <c r="BH1114" s="69">
        <v>42</v>
      </c>
      <c r="BI1114" s="69">
        <f>266.25*2</f>
        <v>532.5</v>
      </c>
      <c r="BJ1114" s="69">
        <v>3371.55</v>
      </c>
      <c r="CD1114" s="91">
        <f t="shared" si="138"/>
        <v>67431</v>
      </c>
      <c r="CE1114" s="69">
        <f t="shared" si="134"/>
        <v>0</v>
      </c>
      <c r="CF1114" s="75">
        <f t="shared" si="133"/>
        <v>8284</v>
      </c>
      <c r="CG1114" s="69" t="str">
        <f t="shared" si="133"/>
        <v xml:space="preserve">برنامج دولى </v>
      </c>
    </row>
    <row r="1115" spans="2:85" x14ac:dyDescent="0.25">
      <c r="C1115" s="82">
        <v>13879</v>
      </c>
      <c r="D1115" s="78">
        <v>8285</v>
      </c>
      <c r="E1115" s="69" t="s">
        <v>325</v>
      </c>
      <c r="F1115" s="69" t="s">
        <v>2121</v>
      </c>
      <c r="G1115" s="69"/>
      <c r="U1115" s="69"/>
      <c r="V1115" s="69"/>
      <c r="X1115" s="69">
        <v>99760</v>
      </c>
      <c r="AB1115" s="69">
        <v>99760</v>
      </c>
      <c r="AS1115" s="91">
        <f t="shared" si="112"/>
        <v>199520</v>
      </c>
      <c r="AT1115" s="69">
        <v>99760</v>
      </c>
      <c r="AU1115" s="69"/>
      <c r="BR1115" s="69">
        <v>99760</v>
      </c>
      <c r="CD1115" s="91">
        <f t="shared" si="136"/>
        <v>199520</v>
      </c>
      <c r="CE1115" s="69">
        <f t="shared" si="134"/>
        <v>0</v>
      </c>
      <c r="CF1115" s="75">
        <f t="shared" si="133"/>
        <v>8285</v>
      </c>
      <c r="CG1115" s="69" t="str">
        <f t="shared" si="133"/>
        <v xml:space="preserve">برنامج دولى </v>
      </c>
    </row>
    <row r="1116" spans="2:85" ht="54" x14ac:dyDescent="0.25">
      <c r="B1116" s="69">
        <f>480410.19+901908.03</f>
        <v>1382318.22</v>
      </c>
      <c r="C1116" s="82">
        <v>13806</v>
      </c>
      <c r="D1116" s="78">
        <v>8286</v>
      </c>
      <c r="E1116" s="69" t="s">
        <v>325</v>
      </c>
      <c r="F1116" s="77" t="s">
        <v>2122</v>
      </c>
      <c r="G1116" s="69"/>
      <c r="U1116" s="69"/>
      <c r="V1116" s="69"/>
      <c r="X1116" s="69">
        <v>7000</v>
      </c>
      <c r="AS1116" s="91">
        <f t="shared" si="112"/>
        <v>7000</v>
      </c>
      <c r="AT1116" s="69">
        <v>7000</v>
      </c>
      <c r="AU1116" s="69"/>
      <c r="CD1116" s="91">
        <f t="shared" si="136"/>
        <v>7000</v>
      </c>
      <c r="CE1116" s="69">
        <f t="shared" si="134"/>
        <v>0</v>
      </c>
      <c r="CF1116" s="75">
        <f t="shared" si="133"/>
        <v>8286</v>
      </c>
      <c r="CG1116" s="69" t="str">
        <f t="shared" si="133"/>
        <v xml:space="preserve">برنامج دولى </v>
      </c>
    </row>
    <row r="1117" spans="2:85" x14ac:dyDescent="0.25">
      <c r="C1117" s="82">
        <v>13377</v>
      </c>
      <c r="D1117" s="78">
        <v>8287</v>
      </c>
      <c r="E1117" s="69" t="s">
        <v>121</v>
      </c>
      <c r="F1117" s="69" t="s">
        <v>2123</v>
      </c>
      <c r="G1117" s="69"/>
      <c r="H1117" s="69">
        <v>230.6</v>
      </c>
      <c r="U1117" s="69"/>
      <c r="V1117" s="69"/>
      <c r="AS1117" s="91">
        <f t="shared" si="112"/>
        <v>230.6</v>
      </c>
      <c r="AT1117" s="69">
        <v>154.61000000000001</v>
      </c>
      <c r="AU1117" s="69">
        <v>20.420000000000002</v>
      </c>
      <c r="AV1117" s="69">
        <v>55.57</v>
      </c>
      <c r="CD1117" s="91">
        <f t="shared" si="136"/>
        <v>230.60000000000002</v>
      </c>
      <c r="CE1117" s="69">
        <f t="shared" si="134"/>
        <v>0</v>
      </c>
      <c r="CF1117" s="75">
        <f t="shared" si="133"/>
        <v>8287</v>
      </c>
      <c r="CG1117" s="69" t="str">
        <f t="shared" si="133"/>
        <v>ماليزى اسنان</v>
      </c>
    </row>
    <row r="1118" spans="2:85" x14ac:dyDescent="0.25">
      <c r="C1118" s="82">
        <v>13379</v>
      </c>
      <c r="D1118" s="78">
        <v>8288</v>
      </c>
      <c r="E1118" s="69" t="s">
        <v>121</v>
      </c>
      <c r="F1118" s="69" t="s">
        <v>2123</v>
      </c>
      <c r="G1118" s="69"/>
      <c r="H1118" s="69">
        <v>9390.43</v>
      </c>
      <c r="U1118" s="69"/>
      <c r="V1118" s="69"/>
      <c r="AS1118" s="91">
        <f t="shared" si="112"/>
        <v>9390.43</v>
      </c>
      <c r="AT1118" s="69">
        <v>6291.9</v>
      </c>
      <c r="AU1118" s="69">
        <v>836.06</v>
      </c>
      <c r="AV1118" s="69">
        <v>2262.4699999999998</v>
      </c>
      <c r="CD1118" s="91">
        <f t="shared" si="136"/>
        <v>9390.4299999999985</v>
      </c>
      <c r="CE1118" s="69">
        <f t="shared" si="134"/>
        <v>0</v>
      </c>
      <c r="CF1118" s="75">
        <f t="shared" si="133"/>
        <v>8288</v>
      </c>
      <c r="CG1118" s="69" t="str">
        <f t="shared" si="133"/>
        <v>ماليزى اسنان</v>
      </c>
    </row>
    <row r="1119" spans="2:85" x14ac:dyDescent="0.25">
      <c r="C1119" s="82">
        <v>13378</v>
      </c>
      <c r="D1119" s="78">
        <v>8289</v>
      </c>
      <c r="E1119" s="69" t="s">
        <v>121</v>
      </c>
      <c r="F1119" s="69" t="s">
        <v>2123</v>
      </c>
      <c r="G1119" s="69"/>
      <c r="H1119" s="69">
        <v>990.83</v>
      </c>
      <c r="U1119" s="69"/>
      <c r="V1119" s="69"/>
      <c r="AS1119" s="91">
        <f t="shared" si="112"/>
        <v>990.83</v>
      </c>
      <c r="AT1119" s="69">
        <v>664.15</v>
      </c>
      <c r="AU1119" s="69">
        <v>87.95</v>
      </c>
      <c r="AV1119" s="69">
        <v>238.73</v>
      </c>
      <c r="CD1119" s="91">
        <f t="shared" si="136"/>
        <v>990.83</v>
      </c>
      <c r="CE1119" s="69">
        <f t="shared" si="134"/>
        <v>0</v>
      </c>
      <c r="CF1119" s="75">
        <f t="shared" si="133"/>
        <v>8289</v>
      </c>
      <c r="CG1119" s="69" t="str">
        <f t="shared" si="133"/>
        <v>ماليزى اسنان</v>
      </c>
    </row>
    <row r="1120" spans="2:85" x14ac:dyDescent="0.25">
      <c r="C1120" s="82">
        <v>13380</v>
      </c>
      <c r="D1120" s="78">
        <v>8290</v>
      </c>
      <c r="E1120" s="69" t="s">
        <v>121</v>
      </c>
      <c r="F1120" s="69" t="s">
        <v>2123</v>
      </c>
      <c r="G1120" s="69"/>
      <c r="H1120" s="69">
        <v>9798.75</v>
      </c>
      <c r="U1120" s="69"/>
      <c r="V1120" s="69"/>
      <c r="AS1120" s="91">
        <f t="shared" si="112"/>
        <v>9798.75</v>
      </c>
      <c r="AT1120" s="69">
        <v>6552.86</v>
      </c>
      <c r="AU1120" s="69">
        <v>871</v>
      </c>
      <c r="AV1120" s="69">
        <v>2374.89</v>
      </c>
      <c r="CD1120" s="91">
        <f t="shared" ref="CD1120:CD1164" si="139">SUM(AT1120:CC1120)</f>
        <v>9798.75</v>
      </c>
      <c r="CE1120" s="69">
        <f t="shared" si="134"/>
        <v>0</v>
      </c>
      <c r="CF1120" s="75">
        <f t="shared" si="133"/>
        <v>8290</v>
      </c>
      <c r="CG1120" s="69" t="str">
        <f t="shared" si="133"/>
        <v>ماليزى اسنان</v>
      </c>
    </row>
    <row r="1121" spans="3:85" x14ac:dyDescent="0.25">
      <c r="C1121" s="75">
        <v>13383</v>
      </c>
      <c r="D1121" s="78">
        <v>8291</v>
      </c>
      <c r="E1121" s="69" t="s">
        <v>121</v>
      </c>
      <c r="F1121" s="69" t="s">
        <v>2123</v>
      </c>
      <c r="H1121" s="69">
        <v>15424.46</v>
      </c>
      <c r="AS1121" s="91">
        <f t="shared" si="112"/>
        <v>15424.46</v>
      </c>
      <c r="AT1121" s="69">
        <v>10333.59</v>
      </c>
      <c r="AU1121" s="52">
        <v>1374.5</v>
      </c>
      <c r="AV1121" s="69">
        <v>3716.37</v>
      </c>
      <c r="CD1121" s="91">
        <f t="shared" ref="CD1121:CD1128" si="140">SUM(AT1121:CC1121)</f>
        <v>15424.46</v>
      </c>
      <c r="CE1121" s="69">
        <f t="shared" si="134"/>
        <v>0</v>
      </c>
      <c r="CF1121" s="75">
        <f t="shared" si="133"/>
        <v>8291</v>
      </c>
      <c r="CG1121" s="69" t="str">
        <f t="shared" si="133"/>
        <v>ماليزى اسنان</v>
      </c>
    </row>
    <row r="1122" spans="3:85" x14ac:dyDescent="0.25">
      <c r="C1122" s="75">
        <v>13809</v>
      </c>
      <c r="D1122" s="78">
        <v>8292</v>
      </c>
      <c r="E1122" s="69" t="s">
        <v>121</v>
      </c>
      <c r="F1122" s="69" t="s">
        <v>2123</v>
      </c>
      <c r="H1122" s="69">
        <v>365</v>
      </c>
      <c r="AS1122" s="91">
        <f t="shared" si="112"/>
        <v>365</v>
      </c>
      <c r="AT1122" s="69">
        <v>244.43</v>
      </c>
      <c r="AU1122" s="52">
        <v>32.630000000000003</v>
      </c>
      <c r="AV1122" s="69">
        <v>87.94</v>
      </c>
      <c r="CD1122" s="91">
        <f t="shared" si="140"/>
        <v>365</v>
      </c>
      <c r="CE1122" s="69">
        <f t="shared" si="134"/>
        <v>0</v>
      </c>
      <c r="CF1122" s="75">
        <f t="shared" ref="CF1122:CG1137" si="141">+D1122</f>
        <v>8292</v>
      </c>
      <c r="CG1122" s="69" t="str">
        <f t="shared" si="141"/>
        <v>ماليزى اسنان</v>
      </c>
    </row>
    <row r="1123" spans="3:85" x14ac:dyDescent="0.25">
      <c r="C1123" s="75">
        <v>13382</v>
      </c>
      <c r="D1123" s="78">
        <v>8293</v>
      </c>
      <c r="E1123" s="69" t="s">
        <v>121</v>
      </c>
      <c r="F1123" s="69" t="s">
        <v>2123</v>
      </c>
      <c r="H1123" s="69">
        <v>8155.18</v>
      </c>
      <c r="AS1123" s="91">
        <f t="shared" si="112"/>
        <v>8155.18</v>
      </c>
      <c r="AT1123" s="69">
        <v>5462.46</v>
      </c>
      <c r="AU1123" s="52">
        <v>727.79</v>
      </c>
      <c r="AV1123" s="69">
        <v>1964.93</v>
      </c>
      <c r="CD1123" s="91">
        <f t="shared" si="140"/>
        <v>8155.18</v>
      </c>
      <c r="CE1123" s="69">
        <f t="shared" si="134"/>
        <v>0</v>
      </c>
      <c r="CF1123" s="75">
        <f t="shared" si="141"/>
        <v>8293</v>
      </c>
      <c r="CG1123" s="69" t="str">
        <f t="shared" si="141"/>
        <v>ماليزى اسنان</v>
      </c>
    </row>
    <row r="1124" spans="3:85" x14ac:dyDescent="0.25">
      <c r="C1124" s="75">
        <v>13381</v>
      </c>
      <c r="D1124" s="78">
        <v>8294</v>
      </c>
      <c r="E1124" s="69" t="s">
        <v>121</v>
      </c>
      <c r="F1124" s="69" t="s">
        <v>2123</v>
      </c>
      <c r="H1124" s="69">
        <v>257.10000000000002</v>
      </c>
      <c r="AS1124" s="91">
        <f t="shared" si="112"/>
        <v>257.10000000000002</v>
      </c>
      <c r="AT1124" s="69">
        <v>172.33</v>
      </c>
      <c r="AU1124" s="52">
        <v>22.83</v>
      </c>
      <c r="AV1124" s="69">
        <v>61.94</v>
      </c>
      <c r="CD1124" s="91">
        <f t="shared" si="140"/>
        <v>257.10000000000002</v>
      </c>
      <c r="CE1124" s="69">
        <f t="shared" ref="CE1124:CE1187" si="142">+CD1124-AS1124</f>
        <v>0</v>
      </c>
      <c r="CF1124" s="75">
        <f t="shared" si="141"/>
        <v>8294</v>
      </c>
      <c r="CG1124" s="69" t="str">
        <f t="shared" si="141"/>
        <v>ماليزى اسنان</v>
      </c>
    </row>
    <row r="1125" spans="3:85" x14ac:dyDescent="0.25">
      <c r="C1125" s="75">
        <v>13389</v>
      </c>
      <c r="D1125" s="78">
        <v>8295</v>
      </c>
      <c r="E1125" s="69" t="s">
        <v>121</v>
      </c>
      <c r="F1125" s="69" t="s">
        <v>2123</v>
      </c>
      <c r="H1125" s="69">
        <v>2890.28</v>
      </c>
      <c r="AS1125" s="91">
        <f t="shared" si="112"/>
        <v>2890.28</v>
      </c>
      <c r="AT1125" s="69">
        <v>1937.51</v>
      </c>
      <c r="AU1125" s="52">
        <v>256.41000000000003</v>
      </c>
      <c r="AV1125" s="69">
        <v>696.36</v>
      </c>
      <c r="CD1125" s="91">
        <f t="shared" si="140"/>
        <v>2890.28</v>
      </c>
      <c r="CE1125" s="69">
        <f t="shared" si="142"/>
        <v>0</v>
      </c>
      <c r="CF1125" s="75">
        <f t="shared" si="141"/>
        <v>8295</v>
      </c>
      <c r="CG1125" s="69" t="str">
        <f t="shared" si="141"/>
        <v>ماليزى اسنان</v>
      </c>
    </row>
    <row r="1126" spans="3:85" x14ac:dyDescent="0.25">
      <c r="C1126" s="75">
        <v>13821</v>
      </c>
      <c r="D1126" s="78">
        <v>8296</v>
      </c>
      <c r="E1126" s="69" t="s">
        <v>121</v>
      </c>
      <c r="F1126" s="69" t="s">
        <v>2124</v>
      </c>
      <c r="H1126" s="69">
        <v>467.26</v>
      </c>
      <c r="AS1126" s="91">
        <f t="shared" si="112"/>
        <v>467.26</v>
      </c>
      <c r="AT1126" s="69">
        <v>291.31</v>
      </c>
      <c r="AU1126" s="52">
        <v>63.39</v>
      </c>
      <c r="AV1126" s="69">
        <v>112.56</v>
      </c>
      <c r="CD1126" s="91">
        <f t="shared" si="140"/>
        <v>467.26</v>
      </c>
      <c r="CE1126" s="69">
        <f t="shared" si="142"/>
        <v>0</v>
      </c>
      <c r="CF1126" s="75">
        <f t="shared" si="141"/>
        <v>8296</v>
      </c>
      <c r="CG1126" s="69" t="str">
        <f t="shared" si="141"/>
        <v>ماليزى اسنان</v>
      </c>
    </row>
    <row r="1127" spans="3:85" x14ac:dyDescent="0.25">
      <c r="C1127" s="75">
        <v>13541</v>
      </c>
      <c r="D1127" s="78">
        <v>8297</v>
      </c>
      <c r="E1127" s="69" t="s">
        <v>121</v>
      </c>
      <c r="F1127" s="69" t="s">
        <v>2124</v>
      </c>
      <c r="H1127" s="69">
        <v>62715.99</v>
      </c>
      <c r="AS1127" s="91">
        <f t="shared" si="112"/>
        <v>62715.99</v>
      </c>
      <c r="AT1127" s="69">
        <v>49810.22</v>
      </c>
      <c r="AU1127" s="52">
        <v>12905.77</v>
      </c>
      <c r="CD1127" s="91">
        <f t="shared" si="140"/>
        <v>62715.990000000005</v>
      </c>
      <c r="CE1127" s="69">
        <f t="shared" si="142"/>
        <v>0</v>
      </c>
      <c r="CF1127" s="75">
        <f t="shared" si="141"/>
        <v>8297</v>
      </c>
      <c r="CG1127" s="69" t="str">
        <f t="shared" si="141"/>
        <v>ماليزى اسنان</v>
      </c>
    </row>
    <row r="1128" spans="3:85" x14ac:dyDescent="0.25">
      <c r="C1128" s="75">
        <v>13527</v>
      </c>
      <c r="D1128" s="78">
        <v>8298</v>
      </c>
      <c r="E1128" s="69" t="s">
        <v>121</v>
      </c>
      <c r="F1128" s="69" t="s">
        <v>2124</v>
      </c>
      <c r="H1128" s="69">
        <v>15436.23</v>
      </c>
      <c r="AS1128" s="91">
        <f t="shared" si="112"/>
        <v>15436.23</v>
      </c>
      <c r="AT1128" s="69">
        <v>10082.6</v>
      </c>
      <c r="AU1128" s="52">
        <v>1943.34</v>
      </c>
      <c r="AV1128" s="69">
        <v>3410.29</v>
      </c>
      <c r="CD1128" s="91">
        <f t="shared" si="140"/>
        <v>15436.23</v>
      </c>
      <c r="CE1128" s="69">
        <f t="shared" si="142"/>
        <v>0</v>
      </c>
      <c r="CF1128" s="75">
        <f t="shared" si="141"/>
        <v>8298</v>
      </c>
      <c r="CG1128" s="69" t="str">
        <f t="shared" si="141"/>
        <v>ماليزى اسنان</v>
      </c>
    </row>
    <row r="1129" spans="3:85" x14ac:dyDescent="0.25">
      <c r="C1129" s="82">
        <v>13525</v>
      </c>
      <c r="D1129" s="78">
        <v>8299</v>
      </c>
      <c r="E1129" s="69" t="s">
        <v>121</v>
      </c>
      <c r="F1129" s="69" t="s">
        <v>2124</v>
      </c>
      <c r="G1129" s="69"/>
      <c r="H1129" s="69">
        <v>14143.91</v>
      </c>
      <c r="U1129" s="69"/>
      <c r="V1129" s="69"/>
      <c r="AS1129" s="91">
        <f t="shared" si="112"/>
        <v>14143.91</v>
      </c>
      <c r="AT1129" s="69">
        <v>10946.99</v>
      </c>
      <c r="AU1129" s="69">
        <v>2804</v>
      </c>
      <c r="AV1129" s="69">
        <v>392.92</v>
      </c>
      <c r="CD1129" s="91">
        <f t="shared" si="139"/>
        <v>14143.91</v>
      </c>
      <c r="CE1129" s="69">
        <f t="shared" si="142"/>
        <v>0</v>
      </c>
      <c r="CF1129" s="75">
        <f t="shared" si="141"/>
        <v>8299</v>
      </c>
      <c r="CG1129" s="69" t="str">
        <f t="shared" si="141"/>
        <v>ماليزى اسنان</v>
      </c>
    </row>
    <row r="1130" spans="3:85" x14ac:dyDescent="0.25">
      <c r="C1130" s="82">
        <v>13530</v>
      </c>
      <c r="D1130" s="78">
        <v>8300</v>
      </c>
      <c r="E1130" s="69" t="s">
        <v>121</v>
      </c>
      <c r="F1130" s="69" t="s">
        <v>2124</v>
      </c>
      <c r="G1130" s="69"/>
      <c r="H1130" s="69">
        <v>84.78</v>
      </c>
      <c r="U1130" s="69"/>
      <c r="V1130" s="69"/>
      <c r="AS1130" s="91">
        <f t="shared" si="112"/>
        <v>84.78</v>
      </c>
      <c r="AT1130" s="69">
        <v>54.62</v>
      </c>
      <c r="AU1130" s="69">
        <f>9.64+0.1</f>
        <v>9.74</v>
      </c>
      <c r="AV1130" s="69">
        <v>20.420000000000002</v>
      </c>
      <c r="CD1130" s="91">
        <f t="shared" si="139"/>
        <v>84.78</v>
      </c>
      <c r="CE1130" s="69">
        <f t="shared" si="142"/>
        <v>0</v>
      </c>
      <c r="CF1130" s="75">
        <f t="shared" si="141"/>
        <v>8300</v>
      </c>
      <c r="CG1130" s="69" t="str">
        <f t="shared" si="141"/>
        <v>ماليزى اسنان</v>
      </c>
    </row>
    <row r="1131" spans="3:85" x14ac:dyDescent="0.25">
      <c r="C1131" s="82">
        <v>13543</v>
      </c>
      <c r="D1131" s="78">
        <v>8301</v>
      </c>
      <c r="E1131" s="69" t="s">
        <v>121</v>
      </c>
      <c r="F1131" s="69" t="s">
        <v>2125</v>
      </c>
      <c r="G1131" s="69"/>
      <c r="H1131" s="69">
        <v>1643.8</v>
      </c>
      <c r="U1131" s="69"/>
      <c r="V1131" s="69"/>
      <c r="AS1131" s="91">
        <f t="shared" si="112"/>
        <v>1643.8</v>
      </c>
      <c r="AT1131" s="69">
        <v>1305.48</v>
      </c>
      <c r="AU1131" s="69">
        <v>338.32</v>
      </c>
      <c r="CD1131" s="91">
        <f t="shared" si="139"/>
        <v>1643.8</v>
      </c>
      <c r="CE1131" s="69">
        <f t="shared" si="142"/>
        <v>0</v>
      </c>
      <c r="CF1131" s="75">
        <f t="shared" si="141"/>
        <v>8301</v>
      </c>
      <c r="CG1131" s="69" t="str">
        <f t="shared" si="141"/>
        <v>ماليزى اسنان</v>
      </c>
    </row>
    <row r="1132" spans="3:85" x14ac:dyDescent="0.25">
      <c r="C1132" s="82">
        <v>13528</v>
      </c>
      <c r="D1132" s="78">
        <v>8302</v>
      </c>
      <c r="E1132" s="69" t="s">
        <v>121</v>
      </c>
      <c r="F1132" s="69" t="str">
        <f>+F1130</f>
        <v>مكافاه امتحان ا ه ت</v>
      </c>
      <c r="G1132" s="69"/>
      <c r="H1132" s="69">
        <v>17266.45</v>
      </c>
      <c r="U1132" s="69"/>
      <c r="V1132" s="69"/>
      <c r="AS1132" s="91">
        <f t="shared" si="112"/>
        <v>17266.45</v>
      </c>
      <c r="AT1132" s="69">
        <v>11158.48</v>
      </c>
      <c r="AU1132" s="69">
        <v>2072.83</v>
      </c>
      <c r="AV1132" s="69">
        <v>4035.14</v>
      </c>
      <c r="CD1132" s="91">
        <f t="shared" si="139"/>
        <v>17266.45</v>
      </c>
      <c r="CE1132" s="69">
        <f t="shared" si="142"/>
        <v>0</v>
      </c>
      <c r="CF1132" s="75">
        <f t="shared" si="141"/>
        <v>8302</v>
      </c>
      <c r="CG1132" s="69" t="str">
        <f t="shared" si="141"/>
        <v>ماليزى اسنان</v>
      </c>
    </row>
    <row r="1133" spans="3:85" x14ac:dyDescent="0.25">
      <c r="C1133" s="82">
        <v>13544</v>
      </c>
      <c r="D1133" s="78">
        <v>8303</v>
      </c>
      <c r="E1133" s="69" t="s">
        <v>121</v>
      </c>
      <c r="F1133" s="69" t="str">
        <f>+F1131</f>
        <v>مكافاه امتحان متفرغين</v>
      </c>
      <c r="G1133" s="69"/>
      <c r="H1133" s="69">
        <v>73979.649999999994</v>
      </c>
      <c r="U1133" s="69"/>
      <c r="V1133" s="69"/>
      <c r="AS1133" s="91">
        <f t="shared" si="112"/>
        <v>73979.649999999994</v>
      </c>
      <c r="AT1133" s="69">
        <v>58752.38</v>
      </c>
      <c r="AU1133" s="69">
        <v>15227.27</v>
      </c>
      <c r="CD1133" s="91">
        <f t="shared" si="139"/>
        <v>73979.649999999994</v>
      </c>
      <c r="CE1133" s="69">
        <f t="shared" si="142"/>
        <v>0</v>
      </c>
      <c r="CF1133" s="75">
        <f t="shared" si="141"/>
        <v>8303</v>
      </c>
      <c r="CG1133" s="69" t="str">
        <f t="shared" si="141"/>
        <v>ماليزى اسنان</v>
      </c>
    </row>
    <row r="1134" spans="3:85" x14ac:dyDescent="0.25">
      <c r="C1134" s="82">
        <v>13542</v>
      </c>
      <c r="D1134" s="78">
        <v>8304</v>
      </c>
      <c r="E1134" s="69" t="s">
        <v>121</v>
      </c>
      <c r="F1134" s="69" t="str">
        <f>+F1133</f>
        <v>مكافاه امتحان متفرغين</v>
      </c>
      <c r="G1134" s="69"/>
      <c r="H1134" s="69">
        <v>8780.9599999999991</v>
      </c>
      <c r="U1134" s="69"/>
      <c r="V1134" s="69"/>
      <c r="AS1134" s="91">
        <f t="shared" ref="AS1134:AS1135" si="143">SUM(H1134:AR1134)</f>
        <v>8780.9599999999991</v>
      </c>
      <c r="AT1134" s="69">
        <v>6973.8</v>
      </c>
      <c r="AU1134" s="69">
        <v>1807.16</v>
      </c>
      <c r="CD1134" s="91">
        <f t="shared" si="139"/>
        <v>8780.9600000000009</v>
      </c>
      <c r="CE1134" s="69">
        <f t="shared" si="142"/>
        <v>0</v>
      </c>
      <c r="CF1134" s="75">
        <f t="shared" si="141"/>
        <v>8304</v>
      </c>
      <c r="CG1134" s="69" t="str">
        <f t="shared" si="141"/>
        <v>ماليزى اسنان</v>
      </c>
    </row>
    <row r="1135" spans="3:85" x14ac:dyDescent="0.25">
      <c r="C1135" s="82">
        <v>13540</v>
      </c>
      <c r="D1135" s="78">
        <v>8305</v>
      </c>
      <c r="E1135" s="69" t="s">
        <v>121</v>
      </c>
      <c r="F1135" s="69" t="s">
        <v>2126</v>
      </c>
      <c r="G1135" s="69"/>
      <c r="H1135" s="69">
        <v>1139.9000000000001</v>
      </c>
      <c r="U1135" s="69"/>
      <c r="V1135" s="69"/>
      <c r="AS1135" s="91">
        <f t="shared" si="143"/>
        <v>1139.9000000000001</v>
      </c>
      <c r="AT1135" s="69">
        <v>905.36</v>
      </c>
      <c r="AU1135" s="69">
        <v>234.54</v>
      </c>
      <c r="CD1135" s="91">
        <f t="shared" si="139"/>
        <v>1139.9000000000001</v>
      </c>
      <c r="CE1135" s="69">
        <f t="shared" si="142"/>
        <v>0</v>
      </c>
      <c r="CF1135" s="75">
        <f t="shared" si="141"/>
        <v>8305</v>
      </c>
      <c r="CG1135" s="69" t="str">
        <f t="shared" si="141"/>
        <v>ماليزى اسنان</v>
      </c>
    </row>
    <row r="1136" spans="3:85" x14ac:dyDescent="0.25">
      <c r="C1136" s="82">
        <v>13522</v>
      </c>
      <c r="D1136" s="78">
        <v>8306</v>
      </c>
      <c r="E1136" s="69" t="s">
        <v>121</v>
      </c>
      <c r="F1136" s="69" t="str">
        <f>+F1134</f>
        <v>مكافاه امتحان متفرغين</v>
      </c>
      <c r="G1136" s="69"/>
      <c r="H1136" s="69">
        <v>1319.59</v>
      </c>
      <c r="U1136" s="69"/>
      <c r="V1136" s="69"/>
      <c r="AS1136" s="91">
        <f t="shared" ref="AS1136:AS1278" si="144">SUM(H1136:AR1136)</f>
        <v>1319.59</v>
      </c>
      <c r="AT1136" s="69">
        <v>1048.03</v>
      </c>
      <c r="AU1136" s="69">
        <v>271.56</v>
      </c>
      <c r="CD1136" s="91">
        <f t="shared" si="139"/>
        <v>1319.59</v>
      </c>
      <c r="CE1136" s="69">
        <f t="shared" si="142"/>
        <v>0</v>
      </c>
      <c r="CF1136" s="75">
        <f t="shared" si="141"/>
        <v>8306</v>
      </c>
      <c r="CG1136" s="69" t="str">
        <f t="shared" si="141"/>
        <v>ماليزى اسنان</v>
      </c>
    </row>
    <row r="1137" spans="2:85" x14ac:dyDescent="0.25">
      <c r="C1137" s="82">
        <v>13539</v>
      </c>
      <c r="D1137" s="78">
        <v>8307</v>
      </c>
      <c r="E1137" s="69" t="s">
        <v>121</v>
      </c>
      <c r="F1137" s="69" t="str">
        <f>+F1135</f>
        <v>مكافاه امتحان ا ه ت مستبقون</v>
      </c>
      <c r="G1137" s="69"/>
      <c r="H1137" s="69">
        <v>1984.65</v>
      </c>
      <c r="U1137" s="69"/>
      <c r="V1137" s="69"/>
      <c r="AS1137" s="91">
        <f t="shared" si="144"/>
        <v>1984.65</v>
      </c>
      <c r="AT1137" s="69">
        <v>1576.76</v>
      </c>
      <c r="AU1137" s="69">
        <v>407.89</v>
      </c>
      <c r="CD1137" s="91">
        <f t="shared" si="139"/>
        <v>1984.65</v>
      </c>
      <c r="CE1137" s="69">
        <f t="shared" si="142"/>
        <v>0</v>
      </c>
      <c r="CF1137" s="75">
        <f t="shared" si="141"/>
        <v>8307</v>
      </c>
      <c r="CG1137" s="69" t="str">
        <f t="shared" si="141"/>
        <v>ماليزى اسنان</v>
      </c>
    </row>
    <row r="1138" spans="2:85" x14ac:dyDescent="0.25">
      <c r="C1138" s="82">
        <v>13545</v>
      </c>
      <c r="D1138" s="78">
        <v>8308</v>
      </c>
      <c r="E1138" s="69" t="s">
        <v>121</v>
      </c>
      <c r="F1138" s="69" t="str">
        <f>+F1136</f>
        <v>مكافاه امتحان متفرغين</v>
      </c>
      <c r="G1138" s="69"/>
      <c r="H1138" s="69">
        <v>65002.52</v>
      </c>
      <c r="U1138" s="69"/>
      <c r="V1138" s="69"/>
      <c r="AS1138" s="91">
        <f t="shared" si="144"/>
        <v>65002.52</v>
      </c>
      <c r="AT1138" s="69">
        <v>51621.45</v>
      </c>
      <c r="AU1138" s="69">
        <v>13381.07</v>
      </c>
      <c r="CD1138" s="91">
        <f t="shared" si="139"/>
        <v>65002.52</v>
      </c>
      <c r="CE1138" s="69">
        <f t="shared" si="142"/>
        <v>0</v>
      </c>
      <c r="CF1138" s="75">
        <f t="shared" ref="CF1138:CG1182" si="145">+D1138</f>
        <v>8308</v>
      </c>
      <c r="CG1138" s="69" t="str">
        <f t="shared" si="145"/>
        <v>ماليزى اسنان</v>
      </c>
    </row>
    <row r="1139" spans="2:85" x14ac:dyDescent="0.25">
      <c r="C1139" s="82">
        <v>13521</v>
      </c>
      <c r="D1139" s="78">
        <v>8309</v>
      </c>
      <c r="E1139" s="69" t="s">
        <v>121</v>
      </c>
      <c r="F1139" s="69" t="str">
        <f>+F1132</f>
        <v>مكافاه امتحان ا ه ت</v>
      </c>
      <c r="G1139" s="69"/>
      <c r="H1139" s="69">
        <v>10073.540000000001</v>
      </c>
      <c r="U1139" s="69"/>
      <c r="V1139" s="69"/>
      <c r="AS1139" s="91">
        <f t="shared" si="144"/>
        <v>10073.540000000001</v>
      </c>
      <c r="AT1139" s="69">
        <v>7635.96</v>
      </c>
      <c r="AU1139" s="69">
        <v>1839.31</v>
      </c>
      <c r="AV1139" s="69">
        <v>598.27</v>
      </c>
      <c r="CD1139" s="91">
        <f t="shared" si="139"/>
        <v>10073.540000000001</v>
      </c>
      <c r="CE1139" s="69">
        <f t="shared" si="142"/>
        <v>0</v>
      </c>
      <c r="CF1139" s="75">
        <f t="shared" si="145"/>
        <v>8309</v>
      </c>
      <c r="CG1139" s="69" t="str">
        <f t="shared" si="145"/>
        <v>ماليزى اسنان</v>
      </c>
    </row>
    <row r="1140" spans="2:85" x14ac:dyDescent="0.25">
      <c r="C1140" s="82">
        <v>13526</v>
      </c>
      <c r="D1140" s="78">
        <v>8310</v>
      </c>
      <c r="E1140" s="69" t="s">
        <v>121</v>
      </c>
      <c r="F1140" s="69" t="str">
        <f>+F1139</f>
        <v>مكافاه امتحان ا ه ت</v>
      </c>
      <c r="G1140" s="69"/>
      <c r="H1140" s="69">
        <v>15523.78</v>
      </c>
      <c r="U1140" s="69"/>
      <c r="V1140" s="69"/>
      <c r="AS1140" s="91">
        <f t="shared" si="144"/>
        <v>15523.78</v>
      </c>
      <c r="AT1140" s="69">
        <v>9713.0300000000007</v>
      </c>
      <c r="AU1140" s="69">
        <v>2088.0500000000002</v>
      </c>
      <c r="AV1140" s="69">
        <v>3722.7</v>
      </c>
      <c r="CD1140" s="91">
        <f t="shared" si="139"/>
        <v>15523.780000000002</v>
      </c>
      <c r="CE1140" s="69">
        <f t="shared" si="142"/>
        <v>0</v>
      </c>
      <c r="CF1140" s="75">
        <f t="shared" si="145"/>
        <v>8310</v>
      </c>
      <c r="CG1140" s="69" t="str">
        <f t="shared" si="145"/>
        <v>ماليزى اسنان</v>
      </c>
    </row>
    <row r="1141" spans="2:85" x14ac:dyDescent="0.25">
      <c r="C1141" s="82">
        <v>13529</v>
      </c>
      <c r="D1141" s="78">
        <v>8311</v>
      </c>
      <c r="E1141" s="69" t="s">
        <v>121</v>
      </c>
      <c r="F1141" s="69" t="str">
        <f>+F1140</f>
        <v>مكافاه امتحان ا ه ت</v>
      </c>
      <c r="G1141" s="69"/>
      <c r="H1141" s="69">
        <v>5373.49</v>
      </c>
      <c r="U1141" s="69"/>
      <c r="V1141" s="69"/>
      <c r="AS1141" s="91">
        <f t="shared" si="144"/>
        <v>5373.49</v>
      </c>
      <c r="AT1141" s="69">
        <v>3451.61</v>
      </c>
      <c r="AU1141" s="69">
        <v>627.44000000000005</v>
      </c>
      <c r="AV1141" s="69">
        <v>1294.44</v>
      </c>
      <c r="CD1141" s="91">
        <f t="shared" si="139"/>
        <v>5373.49</v>
      </c>
      <c r="CE1141" s="69">
        <f t="shared" si="142"/>
        <v>0</v>
      </c>
      <c r="CF1141" s="75">
        <f t="shared" si="145"/>
        <v>8311</v>
      </c>
      <c r="CG1141" s="69" t="str">
        <f t="shared" si="145"/>
        <v>ماليزى اسنان</v>
      </c>
    </row>
    <row r="1142" spans="2:85" x14ac:dyDescent="0.25">
      <c r="C1142" s="82">
        <v>12276</v>
      </c>
      <c r="D1142" s="78">
        <v>8312</v>
      </c>
      <c r="E1142" s="69" t="s">
        <v>121</v>
      </c>
      <c r="F1142" s="69" t="s">
        <v>2127</v>
      </c>
      <c r="G1142" s="69"/>
      <c r="H1142" s="69">
        <v>22247.37</v>
      </c>
      <c r="U1142" s="69"/>
      <c r="V1142" s="69"/>
      <c r="AS1142" s="91">
        <f t="shared" si="144"/>
        <v>22247.37</v>
      </c>
      <c r="AT1142" s="69">
        <v>17074.62</v>
      </c>
      <c r="AU1142" s="69">
        <v>89.2</v>
      </c>
      <c r="AV1142" s="69">
        <v>5083.55</v>
      </c>
      <c r="CD1142" s="91">
        <f t="shared" si="139"/>
        <v>22247.37</v>
      </c>
      <c r="CE1142" s="69">
        <f t="shared" si="142"/>
        <v>0</v>
      </c>
      <c r="CF1142" s="75">
        <f t="shared" si="145"/>
        <v>8312</v>
      </c>
      <c r="CG1142" s="69" t="str">
        <f t="shared" si="145"/>
        <v>ماليزى اسنان</v>
      </c>
    </row>
    <row r="1143" spans="2:85" x14ac:dyDescent="0.25">
      <c r="C1143" s="82">
        <v>12278</v>
      </c>
      <c r="D1143" s="78">
        <v>8313</v>
      </c>
      <c r="E1143" s="69" t="s">
        <v>121</v>
      </c>
      <c r="F1143" s="69" t="s">
        <v>2127</v>
      </c>
      <c r="G1143" s="69"/>
      <c r="H1143" s="69">
        <v>25723.38</v>
      </c>
      <c r="U1143" s="69"/>
      <c r="V1143" s="69"/>
      <c r="AS1143" s="91">
        <f t="shared" si="144"/>
        <v>25723.38</v>
      </c>
      <c r="AT1143" s="69">
        <v>19617.21</v>
      </c>
      <c r="AU1143" s="69">
        <v>103.65</v>
      </c>
      <c r="AV1143" s="69">
        <v>6002.52</v>
      </c>
      <c r="CD1143" s="91">
        <f t="shared" si="139"/>
        <v>25723.38</v>
      </c>
      <c r="CE1143" s="69">
        <f t="shared" si="142"/>
        <v>0</v>
      </c>
      <c r="CF1143" s="75">
        <f t="shared" si="145"/>
        <v>8313</v>
      </c>
      <c r="CG1143" s="69" t="str">
        <f t="shared" si="145"/>
        <v>ماليزى اسنان</v>
      </c>
    </row>
    <row r="1144" spans="2:85" x14ac:dyDescent="0.25">
      <c r="C1144" s="82">
        <v>12277</v>
      </c>
      <c r="D1144" s="78">
        <v>8314</v>
      </c>
      <c r="E1144" s="69" t="s">
        <v>121</v>
      </c>
      <c r="F1144" s="69" t="s">
        <v>2127</v>
      </c>
      <c r="G1144" s="69"/>
      <c r="H1144" s="69">
        <v>22153.7</v>
      </c>
      <c r="U1144" s="69"/>
      <c r="V1144" s="69"/>
      <c r="AS1144" s="91">
        <f t="shared" si="144"/>
        <v>22153.7</v>
      </c>
      <c r="AT1144" s="69">
        <v>17162.34</v>
      </c>
      <c r="AU1144" s="69">
        <v>91.3</v>
      </c>
      <c r="AV1144" s="69">
        <v>4900.0600000000004</v>
      </c>
      <c r="CD1144" s="91">
        <f t="shared" si="139"/>
        <v>22153.7</v>
      </c>
      <c r="CE1144" s="69">
        <f t="shared" si="142"/>
        <v>0</v>
      </c>
      <c r="CF1144" s="75">
        <f t="shared" si="145"/>
        <v>8314</v>
      </c>
      <c r="CG1144" s="69" t="str">
        <f t="shared" si="145"/>
        <v>ماليزى اسنان</v>
      </c>
    </row>
    <row r="1145" spans="2:85" x14ac:dyDescent="0.25">
      <c r="C1145" s="82">
        <v>12280</v>
      </c>
      <c r="D1145" s="78">
        <v>8315</v>
      </c>
      <c r="E1145" s="69" t="s">
        <v>121</v>
      </c>
      <c r="F1145" s="69" t="s">
        <v>2127</v>
      </c>
      <c r="G1145" s="69"/>
      <c r="H1145" s="69">
        <v>1038.6600000000001</v>
      </c>
      <c r="U1145" s="69"/>
      <c r="V1145" s="69"/>
      <c r="AS1145" s="91">
        <f t="shared" si="144"/>
        <v>1038.6600000000001</v>
      </c>
      <c r="AT1145" s="69">
        <v>1032.96</v>
      </c>
      <c r="AU1145" s="69">
        <v>5.7</v>
      </c>
      <c r="CD1145" s="91">
        <f t="shared" si="139"/>
        <v>1038.6600000000001</v>
      </c>
      <c r="CE1145" s="69">
        <f t="shared" si="142"/>
        <v>0</v>
      </c>
      <c r="CF1145" s="75">
        <f t="shared" si="145"/>
        <v>8315</v>
      </c>
      <c r="CG1145" s="69" t="str">
        <f t="shared" si="145"/>
        <v>ماليزى اسنان</v>
      </c>
    </row>
    <row r="1146" spans="2:85" x14ac:dyDescent="0.25">
      <c r="C1146" s="82">
        <v>12275</v>
      </c>
      <c r="D1146" s="78">
        <v>8316</v>
      </c>
      <c r="E1146" s="69" t="s">
        <v>121</v>
      </c>
      <c r="F1146" s="69" t="s">
        <v>2127</v>
      </c>
      <c r="G1146" s="69"/>
      <c r="H1146" s="69">
        <v>20483.59</v>
      </c>
      <c r="U1146" s="69"/>
      <c r="V1146" s="69"/>
      <c r="AS1146" s="91">
        <f t="shared" si="144"/>
        <v>20483.59</v>
      </c>
      <c r="AT1146" s="69">
        <v>20215.52</v>
      </c>
      <c r="AU1146" s="69">
        <v>123.2</v>
      </c>
      <c r="AV1146" s="69">
        <v>144.87</v>
      </c>
      <c r="CD1146" s="91">
        <f t="shared" si="139"/>
        <v>20483.59</v>
      </c>
      <c r="CE1146" s="69">
        <f t="shared" si="142"/>
        <v>0</v>
      </c>
      <c r="CF1146" s="75">
        <f t="shared" si="145"/>
        <v>8316</v>
      </c>
      <c r="CG1146" s="69" t="str">
        <f t="shared" si="145"/>
        <v>ماليزى اسنان</v>
      </c>
    </row>
    <row r="1147" spans="2:85" x14ac:dyDescent="0.25">
      <c r="C1147" s="82">
        <v>12279</v>
      </c>
      <c r="D1147" s="78">
        <v>8317</v>
      </c>
      <c r="E1147" s="69" t="s">
        <v>121</v>
      </c>
      <c r="F1147" s="69" t="s">
        <v>2127</v>
      </c>
      <c r="G1147" s="69"/>
      <c r="H1147" s="69">
        <v>3154.33</v>
      </c>
      <c r="U1147" s="69"/>
      <c r="V1147" s="69"/>
      <c r="AS1147" s="91">
        <f t="shared" si="144"/>
        <v>3154.33</v>
      </c>
      <c r="AT1147" s="69">
        <v>2383.2600000000002</v>
      </c>
      <c r="AU1147" s="69">
        <v>11.05</v>
      </c>
      <c r="AV1147" s="69">
        <v>760.02</v>
      </c>
      <c r="CD1147" s="91">
        <f t="shared" si="139"/>
        <v>3154.3300000000004</v>
      </c>
      <c r="CE1147" s="69">
        <f t="shared" si="142"/>
        <v>0</v>
      </c>
      <c r="CF1147" s="75">
        <f t="shared" si="145"/>
        <v>8317</v>
      </c>
      <c r="CG1147" s="69" t="str">
        <f t="shared" si="145"/>
        <v>ماليزى اسنان</v>
      </c>
    </row>
    <row r="1148" spans="2:85" x14ac:dyDescent="0.25">
      <c r="C1148" s="82">
        <v>13903</v>
      </c>
      <c r="D1148" s="78">
        <v>8318</v>
      </c>
      <c r="E1148" s="69" t="s">
        <v>724</v>
      </c>
      <c r="F1148" s="69" t="s">
        <v>2128</v>
      </c>
      <c r="G1148" s="69"/>
      <c r="I1148" s="69">
        <v>15000</v>
      </c>
      <c r="P1148" s="69">
        <v>15000</v>
      </c>
      <c r="U1148" s="69"/>
      <c r="V1148" s="69"/>
      <c r="AS1148" s="91">
        <f t="shared" si="144"/>
        <v>30000</v>
      </c>
      <c r="AT1148" s="69">
        <v>15000</v>
      </c>
      <c r="AU1148" s="69"/>
      <c r="BO1148" s="69">
        <v>15000</v>
      </c>
      <c r="CD1148" s="91">
        <f t="shared" si="139"/>
        <v>30000</v>
      </c>
      <c r="CE1148" s="69">
        <f t="shared" si="142"/>
        <v>0</v>
      </c>
      <c r="CF1148" s="75">
        <f t="shared" si="145"/>
        <v>8318</v>
      </c>
      <c r="CG1148" s="69" t="str">
        <f t="shared" si="145"/>
        <v>اتحاد طب</v>
      </c>
    </row>
    <row r="1149" spans="2:85" ht="36" x14ac:dyDescent="0.25">
      <c r="B1149" s="69">
        <f>45341.75-45091.75</f>
        <v>250</v>
      </c>
      <c r="C1149" s="82">
        <v>12131</v>
      </c>
      <c r="D1149" s="78">
        <v>8319</v>
      </c>
      <c r="E1149" s="69" t="s">
        <v>128</v>
      </c>
      <c r="F1149" s="77" t="s">
        <v>2129</v>
      </c>
      <c r="G1149" s="69"/>
      <c r="U1149" s="69"/>
      <c r="V1149" s="69"/>
      <c r="X1149" s="69">
        <v>3675</v>
      </c>
      <c r="AS1149" s="91">
        <f t="shared" si="144"/>
        <v>3675</v>
      </c>
      <c r="AT1149" s="69">
        <v>3675</v>
      </c>
      <c r="AU1149" s="69"/>
      <c r="CD1149" s="91">
        <f t="shared" si="139"/>
        <v>3675</v>
      </c>
      <c r="CE1149" s="69">
        <f t="shared" si="142"/>
        <v>0</v>
      </c>
      <c r="CF1149" s="75">
        <f t="shared" si="145"/>
        <v>8319</v>
      </c>
      <c r="CG1149" s="69" t="str">
        <f t="shared" si="145"/>
        <v>مركز مؤتمرات</v>
      </c>
    </row>
    <row r="1150" spans="2:85" ht="36" x14ac:dyDescent="0.25">
      <c r="C1150" s="82">
        <v>11040</v>
      </c>
      <c r="D1150" s="78">
        <v>8320</v>
      </c>
      <c r="E1150" s="69" t="s">
        <v>132</v>
      </c>
      <c r="F1150" s="77" t="s">
        <v>2130</v>
      </c>
      <c r="G1150" s="69"/>
      <c r="R1150" s="69">
        <v>6370</v>
      </c>
      <c r="U1150" s="69"/>
      <c r="V1150" s="69"/>
      <c r="AS1150" s="91">
        <f t="shared" si="144"/>
        <v>6370</v>
      </c>
      <c r="AT1150" s="69">
        <v>6370</v>
      </c>
      <c r="AU1150" s="69"/>
      <c r="CD1150" s="91">
        <f t="shared" si="139"/>
        <v>6370</v>
      </c>
      <c r="CE1150" s="69">
        <f t="shared" si="142"/>
        <v>0</v>
      </c>
      <c r="CF1150" s="75">
        <f t="shared" si="145"/>
        <v>8320</v>
      </c>
      <c r="CG1150" s="69" t="str">
        <f t="shared" si="145"/>
        <v>صيدلة اكلينيكى</v>
      </c>
    </row>
    <row r="1151" spans="2:85" x14ac:dyDescent="0.25">
      <c r="C1151" s="82">
        <v>13938</v>
      </c>
      <c r="D1151" s="78">
        <v>8321</v>
      </c>
      <c r="E1151" s="69" t="s">
        <v>128</v>
      </c>
      <c r="F1151" s="69" t="s">
        <v>2131</v>
      </c>
      <c r="G1151" s="69"/>
      <c r="H1151" s="69">
        <v>30980.83</v>
      </c>
      <c r="U1151" s="69"/>
      <c r="V1151" s="69"/>
      <c r="AS1151" s="91">
        <f t="shared" si="144"/>
        <v>30980.83</v>
      </c>
      <c r="AT1151" s="69">
        <v>20897.46</v>
      </c>
      <c r="AU1151" s="69">
        <v>2827</v>
      </c>
      <c r="AV1151" s="69">
        <v>7256.37</v>
      </c>
      <c r="CD1151" s="91">
        <f t="shared" si="139"/>
        <v>30980.829999999998</v>
      </c>
      <c r="CE1151" s="69">
        <f t="shared" si="142"/>
        <v>0</v>
      </c>
      <c r="CF1151" s="75">
        <f t="shared" si="145"/>
        <v>8321</v>
      </c>
      <c r="CG1151" s="69" t="str">
        <f t="shared" si="145"/>
        <v>مركز مؤتمرات</v>
      </c>
    </row>
    <row r="1152" spans="2:85" x14ac:dyDescent="0.25">
      <c r="C1152" s="82">
        <v>13937</v>
      </c>
      <c r="D1152" s="78">
        <v>8322</v>
      </c>
      <c r="E1152" s="69" t="s">
        <v>128</v>
      </c>
      <c r="F1152" s="69" t="s">
        <v>2131</v>
      </c>
      <c r="G1152" s="69"/>
      <c r="H1152" s="69">
        <v>4959.67</v>
      </c>
      <c r="U1152" s="69"/>
      <c r="V1152" s="69"/>
      <c r="AS1152" s="91">
        <f t="shared" si="144"/>
        <v>4959.67</v>
      </c>
      <c r="AT1152" s="69">
        <v>3314.2</v>
      </c>
      <c r="AU1152" s="69">
        <v>450.5</v>
      </c>
      <c r="AV1152" s="69">
        <v>1194.97</v>
      </c>
      <c r="CD1152" s="91">
        <f t="shared" si="139"/>
        <v>4959.67</v>
      </c>
      <c r="CE1152" s="69">
        <f t="shared" si="142"/>
        <v>0</v>
      </c>
      <c r="CF1152" s="75">
        <f t="shared" si="145"/>
        <v>8322</v>
      </c>
      <c r="CG1152" s="69" t="str">
        <f t="shared" si="145"/>
        <v>مركز مؤتمرات</v>
      </c>
    </row>
    <row r="1153" spans="3:85" x14ac:dyDescent="0.25">
      <c r="C1153" s="82">
        <v>13936</v>
      </c>
      <c r="D1153" s="78">
        <v>8323</v>
      </c>
      <c r="E1153" s="69" t="s">
        <v>128</v>
      </c>
      <c r="F1153" s="69" t="s">
        <v>2131</v>
      </c>
      <c r="G1153" s="69"/>
      <c r="H1153" s="69">
        <v>3631.83</v>
      </c>
      <c r="U1153" s="69"/>
      <c r="V1153" s="69"/>
      <c r="AS1153" s="91">
        <f t="shared" si="144"/>
        <v>3631.83</v>
      </c>
      <c r="AT1153" s="69">
        <v>2427.0700000000002</v>
      </c>
      <c r="AU1153" s="69">
        <v>329.7</v>
      </c>
      <c r="AV1153" s="69">
        <v>875.06</v>
      </c>
      <c r="CD1153" s="91">
        <f t="shared" si="139"/>
        <v>3631.83</v>
      </c>
      <c r="CE1153" s="69">
        <f t="shared" si="142"/>
        <v>0</v>
      </c>
      <c r="CF1153" s="75">
        <f t="shared" si="145"/>
        <v>8323</v>
      </c>
      <c r="CG1153" s="69" t="str">
        <f t="shared" si="145"/>
        <v>مركز مؤتمرات</v>
      </c>
    </row>
    <row r="1154" spans="3:85" x14ac:dyDescent="0.25">
      <c r="C1154" s="82">
        <v>13935</v>
      </c>
      <c r="D1154" s="78">
        <v>8324</v>
      </c>
      <c r="E1154" s="69" t="s">
        <v>128</v>
      </c>
      <c r="F1154" s="69" t="s">
        <v>2131</v>
      </c>
      <c r="G1154" s="69"/>
      <c r="H1154" s="69">
        <v>2770.03</v>
      </c>
      <c r="U1154" s="69"/>
      <c r="V1154" s="69"/>
      <c r="AS1154" s="91">
        <f t="shared" si="144"/>
        <v>2770.03</v>
      </c>
      <c r="AT1154" s="69">
        <v>1850.99</v>
      </c>
      <c r="AU1154" s="69">
        <v>251.65</v>
      </c>
      <c r="AV1154" s="69">
        <v>667.39</v>
      </c>
      <c r="CD1154" s="91">
        <f t="shared" si="139"/>
        <v>2770.0299999999997</v>
      </c>
      <c r="CE1154" s="69">
        <f t="shared" si="142"/>
        <v>0</v>
      </c>
      <c r="CF1154" s="75">
        <f t="shared" si="145"/>
        <v>8324</v>
      </c>
      <c r="CG1154" s="69" t="str">
        <f t="shared" si="145"/>
        <v>مركز مؤتمرات</v>
      </c>
    </row>
    <row r="1155" spans="3:85" ht="36" x14ac:dyDescent="0.25">
      <c r="C1155" s="82">
        <v>13934</v>
      </c>
      <c r="D1155" s="78">
        <v>8325</v>
      </c>
      <c r="E1155" s="69" t="s">
        <v>128</v>
      </c>
      <c r="F1155" s="77" t="s">
        <v>2132</v>
      </c>
      <c r="G1155" s="69"/>
      <c r="H1155" s="69">
        <v>211.05</v>
      </c>
      <c r="U1155" s="69"/>
      <c r="V1155" s="69"/>
      <c r="AS1155" s="91">
        <f t="shared" si="144"/>
        <v>211.05</v>
      </c>
      <c r="AT1155" s="69">
        <v>141.5</v>
      </c>
      <c r="AU1155" s="69">
        <v>18.7</v>
      </c>
      <c r="AV1155" s="69">
        <v>50.85</v>
      </c>
      <c r="CD1155" s="91">
        <f t="shared" si="139"/>
        <v>211.04999999999998</v>
      </c>
      <c r="CE1155" s="69">
        <f t="shared" si="142"/>
        <v>0</v>
      </c>
      <c r="CF1155" s="75">
        <f t="shared" si="145"/>
        <v>8325</v>
      </c>
      <c r="CG1155" s="69" t="str">
        <f t="shared" si="145"/>
        <v>مركز مؤتمرات</v>
      </c>
    </row>
    <row r="1156" spans="3:85" x14ac:dyDescent="0.25">
      <c r="C1156" s="82">
        <v>13614</v>
      </c>
      <c r="D1156" s="78">
        <v>8326</v>
      </c>
      <c r="E1156" s="69" t="s">
        <v>325</v>
      </c>
      <c r="F1156" s="69" t="s">
        <v>2133</v>
      </c>
      <c r="G1156" s="69"/>
      <c r="H1156" s="69">
        <v>644.88</v>
      </c>
      <c r="U1156" s="69"/>
      <c r="V1156" s="69"/>
      <c r="AS1156" s="91">
        <f t="shared" si="144"/>
        <v>644.88</v>
      </c>
      <c r="AT1156" s="69">
        <v>431.4</v>
      </c>
      <c r="AU1156" s="69">
        <v>58.1</v>
      </c>
      <c r="AV1156" s="69">
        <v>155.38</v>
      </c>
      <c r="CD1156" s="91">
        <f t="shared" si="139"/>
        <v>644.88</v>
      </c>
      <c r="CE1156" s="69">
        <f t="shared" si="142"/>
        <v>0</v>
      </c>
      <c r="CF1156" s="75">
        <f t="shared" si="145"/>
        <v>8326</v>
      </c>
      <c r="CG1156" s="69" t="str">
        <f t="shared" si="145"/>
        <v xml:space="preserve">برنامج دولى </v>
      </c>
    </row>
    <row r="1157" spans="3:85" x14ac:dyDescent="0.25">
      <c r="C1157" s="82">
        <v>13613</v>
      </c>
      <c r="D1157" s="78">
        <v>8327</v>
      </c>
      <c r="E1157" s="69" t="s">
        <v>325</v>
      </c>
      <c r="F1157" s="69" t="s">
        <v>2090</v>
      </c>
      <c r="G1157" s="69"/>
      <c r="H1157" s="69">
        <v>351.75</v>
      </c>
      <c r="U1157" s="69"/>
      <c r="V1157" s="69"/>
      <c r="AS1157" s="91">
        <f t="shared" si="144"/>
        <v>351.75</v>
      </c>
      <c r="AT1157" s="69">
        <v>235.55</v>
      </c>
      <c r="AU1157" s="69">
        <v>31.45</v>
      </c>
      <c r="AV1157" s="69">
        <v>84.75</v>
      </c>
      <c r="CD1157" s="91">
        <f t="shared" si="139"/>
        <v>351.75</v>
      </c>
      <c r="CE1157" s="69">
        <f t="shared" si="142"/>
        <v>0</v>
      </c>
      <c r="CF1157" s="75">
        <f t="shared" si="145"/>
        <v>8327</v>
      </c>
      <c r="CG1157" s="69" t="str">
        <f t="shared" si="145"/>
        <v xml:space="preserve">برنامج دولى </v>
      </c>
    </row>
    <row r="1158" spans="3:85" x14ac:dyDescent="0.25">
      <c r="C1158" s="82">
        <v>13599</v>
      </c>
      <c r="D1158" s="78">
        <v>8328</v>
      </c>
      <c r="E1158" s="69" t="s">
        <v>325</v>
      </c>
      <c r="F1158" s="69" t="s">
        <v>1909</v>
      </c>
      <c r="G1158" s="69"/>
      <c r="H1158" s="69">
        <v>16661.14</v>
      </c>
      <c r="U1158" s="69"/>
      <c r="V1158" s="69"/>
      <c r="AS1158" s="91">
        <f t="shared" si="144"/>
        <v>16661.14</v>
      </c>
      <c r="AT1158" s="69">
        <v>10818.44</v>
      </c>
      <c r="AU1158" s="69">
        <v>1484.6</v>
      </c>
      <c r="AV1158" s="69">
        <v>4358.1000000000004</v>
      </c>
      <c r="CD1158" s="91">
        <f t="shared" si="139"/>
        <v>16661.14</v>
      </c>
      <c r="CE1158" s="69">
        <f t="shared" si="142"/>
        <v>0</v>
      </c>
      <c r="CF1158" s="75">
        <f t="shared" si="145"/>
        <v>8328</v>
      </c>
      <c r="CG1158" s="69" t="str">
        <f t="shared" si="145"/>
        <v xml:space="preserve">برنامج دولى </v>
      </c>
    </row>
    <row r="1159" spans="3:85" x14ac:dyDescent="0.25">
      <c r="C1159" s="82">
        <v>13615</v>
      </c>
      <c r="D1159" s="78">
        <v>8329</v>
      </c>
      <c r="E1159" s="69" t="s">
        <v>325</v>
      </c>
      <c r="F1159" s="69" t="s">
        <v>2134</v>
      </c>
      <c r="G1159" s="69"/>
      <c r="H1159" s="69">
        <v>703.5</v>
      </c>
      <c r="U1159" s="69"/>
      <c r="V1159" s="69"/>
      <c r="AS1159" s="91">
        <f t="shared" si="144"/>
        <v>703.5</v>
      </c>
      <c r="AT1159" s="69">
        <v>470.6</v>
      </c>
      <c r="AU1159" s="69">
        <v>63.4</v>
      </c>
      <c r="AV1159" s="69">
        <v>169.5</v>
      </c>
      <c r="CD1159" s="91">
        <f t="shared" si="139"/>
        <v>703.5</v>
      </c>
      <c r="CE1159" s="69">
        <f t="shared" si="142"/>
        <v>0</v>
      </c>
      <c r="CF1159" s="75">
        <f t="shared" si="145"/>
        <v>8329</v>
      </c>
      <c r="CG1159" s="69" t="str">
        <f t="shared" si="145"/>
        <v xml:space="preserve">برنامج دولى </v>
      </c>
    </row>
    <row r="1160" spans="3:85" x14ac:dyDescent="0.25">
      <c r="C1160" s="82">
        <v>13616</v>
      </c>
      <c r="D1160" s="78">
        <v>8330</v>
      </c>
      <c r="E1160" s="69" t="s">
        <v>325</v>
      </c>
      <c r="F1160" s="69" t="s">
        <v>824</v>
      </c>
      <c r="G1160" s="69"/>
      <c r="H1160" s="69">
        <v>13835.5</v>
      </c>
      <c r="U1160" s="69"/>
      <c r="V1160" s="69"/>
      <c r="AS1160" s="91">
        <f t="shared" si="144"/>
        <v>13835.5</v>
      </c>
      <c r="AT1160" s="69">
        <v>9246.9500000000007</v>
      </c>
      <c r="AU1160" s="69">
        <v>1255.05</v>
      </c>
      <c r="AV1160" s="69">
        <v>3333.5</v>
      </c>
      <c r="CD1160" s="91">
        <f t="shared" si="139"/>
        <v>13835.5</v>
      </c>
      <c r="CE1160" s="69">
        <f t="shared" si="142"/>
        <v>0</v>
      </c>
      <c r="CF1160" s="75">
        <f t="shared" si="145"/>
        <v>8330</v>
      </c>
      <c r="CG1160" s="69" t="str">
        <f t="shared" si="145"/>
        <v xml:space="preserve">برنامج دولى </v>
      </c>
    </row>
    <row r="1161" spans="3:85" x14ac:dyDescent="0.25">
      <c r="C1161" s="82">
        <v>13617</v>
      </c>
      <c r="D1161" s="78">
        <v>8331</v>
      </c>
      <c r="E1161" s="69" t="s">
        <v>325</v>
      </c>
      <c r="F1161" s="69" t="s">
        <v>824</v>
      </c>
      <c r="G1161" s="69"/>
      <c r="H1161" s="69">
        <v>3283</v>
      </c>
      <c r="U1161" s="69"/>
      <c r="V1161" s="69"/>
      <c r="AS1161" s="91">
        <f t="shared" si="144"/>
        <v>3283</v>
      </c>
      <c r="AT1161" s="69">
        <v>2194.0500000000002</v>
      </c>
      <c r="AU1161" s="69">
        <v>297.95</v>
      </c>
      <c r="AV1161" s="69">
        <v>791</v>
      </c>
      <c r="CD1161" s="91">
        <f t="shared" si="139"/>
        <v>3283</v>
      </c>
      <c r="CE1161" s="69">
        <f t="shared" si="142"/>
        <v>0</v>
      </c>
      <c r="CF1161" s="75">
        <f t="shared" si="145"/>
        <v>8331</v>
      </c>
      <c r="CG1161" s="69" t="str">
        <f t="shared" si="145"/>
        <v xml:space="preserve">برنامج دولى </v>
      </c>
    </row>
    <row r="1162" spans="3:85" x14ac:dyDescent="0.25">
      <c r="C1162" s="82">
        <v>14096</v>
      </c>
      <c r="D1162" s="78">
        <v>8332</v>
      </c>
      <c r="E1162" s="69" t="s">
        <v>325</v>
      </c>
      <c r="F1162" s="69" t="s">
        <v>2135</v>
      </c>
      <c r="G1162" s="69"/>
      <c r="H1162" s="69">
        <v>938</v>
      </c>
      <c r="U1162" s="69"/>
      <c r="V1162" s="69"/>
      <c r="AS1162" s="91">
        <f t="shared" si="144"/>
        <v>938</v>
      </c>
      <c r="AT1162" s="69">
        <v>627.4</v>
      </c>
      <c r="AU1162" s="69">
        <f>80+4.6</f>
        <v>84.6</v>
      </c>
      <c r="AV1162" s="69">
        <v>226</v>
      </c>
      <c r="CD1162" s="91">
        <f t="shared" si="139"/>
        <v>938</v>
      </c>
      <c r="CE1162" s="69">
        <f t="shared" si="142"/>
        <v>0</v>
      </c>
      <c r="CF1162" s="75">
        <f t="shared" si="145"/>
        <v>8332</v>
      </c>
      <c r="CG1162" s="69" t="str">
        <f t="shared" si="145"/>
        <v xml:space="preserve">برنامج دولى </v>
      </c>
    </row>
    <row r="1163" spans="3:85" x14ac:dyDescent="0.25">
      <c r="C1163" s="82">
        <v>14087</v>
      </c>
      <c r="D1163" s="78">
        <v>8333</v>
      </c>
      <c r="E1163" s="69" t="s">
        <v>325</v>
      </c>
      <c r="F1163" s="69" t="s">
        <v>2136</v>
      </c>
      <c r="G1163" s="69"/>
      <c r="H1163" s="69">
        <v>46979.33</v>
      </c>
      <c r="U1163" s="69"/>
      <c r="V1163" s="69"/>
      <c r="AS1163" s="91">
        <f t="shared" si="144"/>
        <v>46979.33</v>
      </c>
      <c r="AT1163" s="69">
        <v>40587.56</v>
      </c>
      <c r="AU1163" s="69">
        <v>4938.6099999999997</v>
      </c>
      <c r="AV1163" s="69">
        <v>1453.16</v>
      </c>
      <c r="CD1163" s="91">
        <f t="shared" si="139"/>
        <v>46979.33</v>
      </c>
      <c r="CE1163" s="69">
        <f t="shared" si="142"/>
        <v>0</v>
      </c>
      <c r="CF1163" s="75">
        <f t="shared" si="145"/>
        <v>8333</v>
      </c>
      <c r="CG1163" s="69" t="str">
        <f t="shared" si="145"/>
        <v xml:space="preserve">برنامج دولى </v>
      </c>
    </row>
    <row r="1164" spans="3:85" x14ac:dyDescent="0.25">
      <c r="C1164" s="82">
        <v>14086</v>
      </c>
      <c r="D1164" s="78">
        <v>8334</v>
      </c>
      <c r="E1164" s="69" t="s">
        <v>325</v>
      </c>
      <c r="F1164" s="69" t="s">
        <v>2136</v>
      </c>
      <c r="G1164" s="69"/>
      <c r="H1164" s="69">
        <v>1703.09</v>
      </c>
      <c r="U1164" s="69"/>
      <c r="V1164" s="69"/>
      <c r="AS1164" s="91">
        <f t="shared" si="144"/>
        <v>1703.09</v>
      </c>
      <c r="AT1164" s="69">
        <v>1305.9000000000001</v>
      </c>
      <c r="AU1164" s="69">
        <v>166.95</v>
      </c>
      <c r="AV1164" s="69">
        <v>230.24</v>
      </c>
      <c r="CD1164" s="91">
        <f t="shared" si="139"/>
        <v>1703.0900000000001</v>
      </c>
      <c r="CE1164" s="69">
        <f t="shared" si="142"/>
        <v>0</v>
      </c>
      <c r="CF1164" s="75">
        <f t="shared" si="145"/>
        <v>8334</v>
      </c>
      <c r="CG1164" s="69" t="str">
        <f t="shared" si="145"/>
        <v xml:space="preserve">برنامج دولى </v>
      </c>
    </row>
    <row r="1165" spans="3:85" x14ac:dyDescent="0.25">
      <c r="C1165" s="82">
        <v>14088</v>
      </c>
      <c r="D1165" s="78">
        <v>8335</v>
      </c>
      <c r="E1165" s="69" t="s">
        <v>325</v>
      </c>
      <c r="F1165" s="69" t="s">
        <v>2137</v>
      </c>
      <c r="G1165" s="69"/>
      <c r="H1165" s="69">
        <v>13050</v>
      </c>
      <c r="U1165" s="69"/>
      <c r="V1165" s="69"/>
      <c r="AS1165" s="91">
        <f t="shared" si="144"/>
        <v>13050</v>
      </c>
      <c r="AT1165" s="69">
        <v>11644.1</v>
      </c>
      <c r="AU1165" s="69">
        <v>1405.9</v>
      </c>
      <c r="CD1165" s="91">
        <f t="shared" ref="CD1165:CD1169" si="146">SUM(AT1165:CC1165)</f>
        <v>13050</v>
      </c>
      <c r="CE1165" s="69">
        <f t="shared" si="142"/>
        <v>0</v>
      </c>
      <c r="CF1165" s="75">
        <f t="shared" si="145"/>
        <v>8335</v>
      </c>
      <c r="CG1165" s="69" t="str">
        <f t="shared" si="145"/>
        <v xml:space="preserve">برنامج دولى </v>
      </c>
    </row>
    <row r="1166" spans="3:85" x14ac:dyDescent="0.25">
      <c r="C1166" s="82">
        <v>14058</v>
      </c>
      <c r="D1166" s="78">
        <v>8336</v>
      </c>
      <c r="E1166" s="69" t="s">
        <v>325</v>
      </c>
      <c r="F1166" s="69" t="str">
        <f>+F1158</f>
        <v>مكافاه ابحاث طبيه</v>
      </c>
      <c r="G1166" s="69"/>
      <c r="H1166" s="69">
        <v>234.5</v>
      </c>
      <c r="U1166" s="69"/>
      <c r="V1166" s="69"/>
      <c r="AS1166" s="91">
        <f t="shared" si="144"/>
        <v>234.5</v>
      </c>
      <c r="AT1166" s="69">
        <v>157.19999999999999</v>
      </c>
      <c r="AU1166" s="69">
        <v>20.8</v>
      </c>
      <c r="AV1166" s="69">
        <v>56.5</v>
      </c>
      <c r="CD1166" s="91">
        <f t="shared" si="146"/>
        <v>234.5</v>
      </c>
      <c r="CE1166" s="69">
        <f t="shared" si="142"/>
        <v>0</v>
      </c>
      <c r="CF1166" s="75">
        <f t="shared" si="145"/>
        <v>8336</v>
      </c>
      <c r="CG1166" s="69" t="str">
        <f t="shared" si="145"/>
        <v xml:space="preserve">برنامج دولى </v>
      </c>
    </row>
    <row r="1167" spans="3:85" x14ac:dyDescent="0.25">
      <c r="C1167" s="82">
        <v>13612</v>
      </c>
      <c r="D1167" s="78">
        <v>8337</v>
      </c>
      <c r="E1167" s="69" t="s">
        <v>325</v>
      </c>
      <c r="F1167" s="69" t="s">
        <v>1556</v>
      </c>
      <c r="G1167" s="69"/>
      <c r="H1167" s="69">
        <v>817.19</v>
      </c>
      <c r="U1167" s="69"/>
      <c r="V1167" s="69"/>
      <c r="AS1167" s="91">
        <f t="shared" si="144"/>
        <v>817.19</v>
      </c>
      <c r="AT1167" s="69">
        <v>546.04</v>
      </c>
      <c r="AU1167" s="69">
        <f>69.7+4.55</f>
        <v>74.25</v>
      </c>
      <c r="AV1167" s="69">
        <v>196.9</v>
      </c>
      <c r="CD1167" s="91">
        <f t="shared" si="146"/>
        <v>817.18999999999994</v>
      </c>
      <c r="CE1167" s="69">
        <f t="shared" si="142"/>
        <v>0</v>
      </c>
      <c r="CF1167" s="75">
        <f t="shared" si="145"/>
        <v>8337</v>
      </c>
      <c r="CG1167" s="69" t="str">
        <f t="shared" si="145"/>
        <v xml:space="preserve">برنامج دولى </v>
      </c>
    </row>
    <row r="1168" spans="3:85" x14ac:dyDescent="0.25">
      <c r="C1168" s="82">
        <v>13611</v>
      </c>
      <c r="D1168" s="78">
        <v>8338</v>
      </c>
      <c r="E1168" s="69" t="s">
        <v>325</v>
      </c>
      <c r="F1168" s="69" t="s">
        <v>1556</v>
      </c>
      <c r="G1168" s="69"/>
      <c r="H1168" s="69">
        <v>1906.77</v>
      </c>
      <c r="U1168" s="69"/>
      <c r="V1168" s="69"/>
      <c r="AS1168" s="91">
        <f t="shared" si="144"/>
        <v>1906.77</v>
      </c>
      <c r="AT1168" s="69">
        <v>1274.24</v>
      </c>
      <c r="AU1168" s="69">
        <v>173.12</v>
      </c>
      <c r="AV1168" s="69">
        <v>459.41</v>
      </c>
      <c r="CD1168" s="91">
        <f t="shared" si="146"/>
        <v>1906.7700000000002</v>
      </c>
      <c r="CE1168" s="69">
        <f t="shared" si="142"/>
        <v>0</v>
      </c>
      <c r="CF1168" s="75">
        <f t="shared" si="145"/>
        <v>8338</v>
      </c>
      <c r="CG1168" s="69" t="str">
        <f t="shared" si="145"/>
        <v xml:space="preserve">برنامج دولى </v>
      </c>
    </row>
    <row r="1169" spans="3:85" x14ac:dyDescent="0.25">
      <c r="C1169" s="82">
        <v>13610</v>
      </c>
      <c r="D1169" s="78">
        <v>8339</v>
      </c>
      <c r="E1169" s="69" t="s">
        <v>325</v>
      </c>
      <c r="F1169" s="69" t="s">
        <v>1556</v>
      </c>
      <c r="G1169" s="69"/>
      <c r="H1169" s="69">
        <v>16712.189999999999</v>
      </c>
      <c r="U1169" s="69"/>
      <c r="V1169" s="69"/>
      <c r="AS1169" s="91">
        <f t="shared" si="144"/>
        <v>16712.189999999999</v>
      </c>
      <c r="AT1169" s="69">
        <v>14759.09</v>
      </c>
      <c r="AU1169" s="69">
        <v>1758.11</v>
      </c>
      <c r="AV1169" s="69">
        <v>194.99</v>
      </c>
      <c r="CD1169" s="91">
        <f t="shared" si="146"/>
        <v>16712.190000000002</v>
      </c>
      <c r="CE1169" s="69">
        <f t="shared" si="142"/>
        <v>0</v>
      </c>
      <c r="CF1169" s="75">
        <f t="shared" si="145"/>
        <v>8339</v>
      </c>
      <c r="CG1169" s="69" t="str">
        <f t="shared" si="145"/>
        <v xml:space="preserve">برنامج دولى </v>
      </c>
    </row>
    <row r="1170" spans="3:85" x14ac:dyDescent="0.25">
      <c r="C1170" s="82">
        <v>13601</v>
      </c>
      <c r="D1170" s="78">
        <v>8340</v>
      </c>
      <c r="E1170" s="69" t="s">
        <v>325</v>
      </c>
      <c r="F1170" s="69" t="str">
        <f>+F1166</f>
        <v>مكافاه ابحاث طبيه</v>
      </c>
      <c r="G1170" s="69"/>
      <c r="H1170" s="69">
        <v>351.75</v>
      </c>
      <c r="U1170" s="69"/>
      <c r="V1170" s="69"/>
      <c r="AS1170" s="91">
        <f t="shared" si="144"/>
        <v>351.75</v>
      </c>
      <c r="AT1170" s="69">
        <v>235.55</v>
      </c>
      <c r="AU1170" s="69">
        <v>31.45</v>
      </c>
      <c r="AV1170" s="69">
        <v>84.75</v>
      </c>
      <c r="CD1170" s="91">
        <f t="shared" ref="CD1170:CD1185" si="147">SUM(AT1170:CC1170)</f>
        <v>351.75</v>
      </c>
      <c r="CE1170" s="69">
        <f t="shared" si="142"/>
        <v>0</v>
      </c>
      <c r="CF1170" s="75">
        <f t="shared" si="145"/>
        <v>8340</v>
      </c>
      <c r="CG1170" s="69" t="str">
        <f t="shared" si="145"/>
        <v xml:space="preserve">برنامج دولى </v>
      </c>
    </row>
    <row r="1171" spans="3:85" x14ac:dyDescent="0.25">
      <c r="C1171" s="82">
        <v>13600</v>
      </c>
      <c r="D1171" s="78">
        <v>8341</v>
      </c>
      <c r="E1171" s="69" t="s">
        <v>325</v>
      </c>
      <c r="F1171" s="69" t="str">
        <f t="shared" ref="F1171:F1179" si="148">+F1170</f>
        <v>مكافاه ابحاث طبيه</v>
      </c>
      <c r="G1171" s="69"/>
      <c r="H1171" s="69">
        <v>1113.8800000000001</v>
      </c>
      <c r="U1171" s="69"/>
      <c r="V1171" s="69"/>
      <c r="AS1171" s="91">
        <f t="shared" si="144"/>
        <v>1113.8800000000001</v>
      </c>
      <c r="AT1171" s="69">
        <v>744.9</v>
      </c>
      <c r="AU1171" s="69">
        <v>100.6</v>
      </c>
      <c r="AV1171" s="69">
        <v>268.38</v>
      </c>
      <c r="CD1171" s="91">
        <f t="shared" si="147"/>
        <v>1113.8800000000001</v>
      </c>
      <c r="CE1171" s="69">
        <f t="shared" si="142"/>
        <v>0</v>
      </c>
      <c r="CF1171" s="75">
        <f t="shared" si="145"/>
        <v>8341</v>
      </c>
      <c r="CG1171" s="69" t="str">
        <f t="shared" si="145"/>
        <v xml:space="preserve">برنامج دولى </v>
      </c>
    </row>
    <row r="1172" spans="3:85" x14ac:dyDescent="0.25">
      <c r="C1172" s="82">
        <v>13602</v>
      </c>
      <c r="D1172" s="78">
        <v>8342</v>
      </c>
      <c r="E1172" s="69" t="s">
        <v>325</v>
      </c>
      <c r="F1172" s="69" t="str">
        <f t="shared" si="148"/>
        <v>مكافاه ابحاث طبيه</v>
      </c>
      <c r="G1172" s="69"/>
      <c r="H1172" s="69">
        <v>703.5</v>
      </c>
      <c r="U1172" s="69"/>
      <c r="V1172" s="69"/>
      <c r="AS1172" s="91">
        <f t="shared" si="144"/>
        <v>703.5</v>
      </c>
      <c r="AT1172" s="69">
        <v>471.1</v>
      </c>
      <c r="AU1172" s="69">
        <v>62.9</v>
      </c>
      <c r="AV1172" s="69">
        <v>169.5</v>
      </c>
      <c r="CD1172" s="91">
        <f t="shared" si="147"/>
        <v>703.5</v>
      </c>
      <c r="CE1172" s="69">
        <f t="shared" si="142"/>
        <v>0</v>
      </c>
      <c r="CF1172" s="75">
        <f t="shared" si="145"/>
        <v>8342</v>
      </c>
      <c r="CG1172" s="69" t="str">
        <f t="shared" si="145"/>
        <v xml:space="preserve">برنامج دولى </v>
      </c>
    </row>
    <row r="1173" spans="3:85" x14ac:dyDescent="0.25">
      <c r="C1173" s="82">
        <v>13603</v>
      </c>
      <c r="D1173" s="78">
        <v>8343</v>
      </c>
      <c r="E1173" s="69" t="s">
        <v>325</v>
      </c>
      <c r="F1173" s="69" t="str">
        <f t="shared" si="148"/>
        <v>مكافاه ابحاث طبيه</v>
      </c>
      <c r="G1173" s="69"/>
      <c r="H1173" s="69">
        <v>1055.25</v>
      </c>
      <c r="U1173" s="69"/>
      <c r="V1173" s="69"/>
      <c r="AS1173" s="91">
        <f t="shared" si="144"/>
        <v>1055.25</v>
      </c>
      <c r="AT1173" s="69">
        <v>706.4</v>
      </c>
      <c r="AU1173" s="69">
        <v>94.6</v>
      </c>
      <c r="AV1173" s="69">
        <v>254.25</v>
      </c>
      <c r="CD1173" s="91">
        <f t="shared" si="147"/>
        <v>1055.25</v>
      </c>
      <c r="CE1173" s="69">
        <f t="shared" si="142"/>
        <v>0</v>
      </c>
      <c r="CF1173" s="75">
        <f t="shared" si="145"/>
        <v>8343</v>
      </c>
      <c r="CG1173" s="69" t="str">
        <f t="shared" si="145"/>
        <v xml:space="preserve">برنامج دولى </v>
      </c>
    </row>
    <row r="1174" spans="3:85" x14ac:dyDescent="0.25">
      <c r="C1174" s="82">
        <v>13604</v>
      </c>
      <c r="D1174" s="78">
        <v>8344</v>
      </c>
      <c r="E1174" s="69" t="s">
        <v>325</v>
      </c>
      <c r="F1174" s="69" t="str">
        <f t="shared" si="148"/>
        <v>مكافاه ابحاث طبيه</v>
      </c>
      <c r="G1174" s="69"/>
      <c r="H1174" s="69">
        <v>469</v>
      </c>
      <c r="U1174" s="69"/>
      <c r="V1174" s="69"/>
      <c r="AS1174" s="91">
        <f t="shared" si="144"/>
        <v>469</v>
      </c>
      <c r="AT1174" s="69">
        <v>314</v>
      </c>
      <c r="AU1174" s="69">
        <v>42</v>
      </c>
      <c r="AV1174" s="69">
        <v>113</v>
      </c>
      <c r="CD1174" s="91">
        <f t="shared" si="147"/>
        <v>469</v>
      </c>
      <c r="CE1174" s="69">
        <f t="shared" si="142"/>
        <v>0</v>
      </c>
      <c r="CF1174" s="75">
        <f t="shared" si="145"/>
        <v>8344</v>
      </c>
      <c r="CG1174" s="69" t="str">
        <f t="shared" si="145"/>
        <v xml:space="preserve">برنامج دولى </v>
      </c>
    </row>
    <row r="1175" spans="3:85" x14ac:dyDescent="0.25">
      <c r="C1175" s="82">
        <v>13605</v>
      </c>
      <c r="D1175" s="78">
        <v>8345</v>
      </c>
      <c r="E1175" s="69" t="s">
        <v>325</v>
      </c>
      <c r="F1175" s="69" t="str">
        <f t="shared" si="148"/>
        <v>مكافاه ابحاث طبيه</v>
      </c>
      <c r="G1175" s="69"/>
      <c r="H1175" s="69">
        <v>586.25</v>
      </c>
      <c r="U1175" s="69"/>
      <c r="V1175" s="69"/>
      <c r="AS1175" s="91">
        <f t="shared" si="144"/>
        <v>586.25</v>
      </c>
      <c r="AT1175" s="69">
        <v>392.4</v>
      </c>
      <c r="AU1175" s="69">
        <v>52.6</v>
      </c>
      <c r="AV1175" s="69">
        <v>141.25</v>
      </c>
      <c r="CD1175" s="91">
        <f t="shared" si="147"/>
        <v>586.25</v>
      </c>
      <c r="CE1175" s="69">
        <f t="shared" si="142"/>
        <v>0</v>
      </c>
      <c r="CF1175" s="75">
        <f t="shared" si="145"/>
        <v>8345</v>
      </c>
      <c r="CG1175" s="69" t="str">
        <f t="shared" si="145"/>
        <v xml:space="preserve">برنامج دولى </v>
      </c>
    </row>
    <row r="1176" spans="3:85" x14ac:dyDescent="0.25">
      <c r="C1176" s="82">
        <v>13606</v>
      </c>
      <c r="D1176" s="78">
        <v>8346</v>
      </c>
      <c r="E1176" s="69" t="s">
        <v>325</v>
      </c>
      <c r="F1176" s="69" t="str">
        <f t="shared" si="148"/>
        <v>مكافاه ابحاث طبيه</v>
      </c>
      <c r="G1176" s="69"/>
      <c r="H1176" s="69">
        <v>1600</v>
      </c>
      <c r="U1176" s="69"/>
      <c r="V1176" s="69"/>
      <c r="AS1176" s="91">
        <f t="shared" si="144"/>
        <v>1600</v>
      </c>
      <c r="AT1176" s="69">
        <v>1429.5</v>
      </c>
      <c r="AU1176" s="69">
        <v>170.5</v>
      </c>
      <c r="CD1176" s="91">
        <f t="shared" si="147"/>
        <v>1600</v>
      </c>
      <c r="CE1176" s="69">
        <f t="shared" si="142"/>
        <v>0</v>
      </c>
      <c r="CF1176" s="75">
        <f t="shared" si="145"/>
        <v>8346</v>
      </c>
      <c r="CG1176" s="69" t="str">
        <f t="shared" si="145"/>
        <v xml:space="preserve">برنامج دولى </v>
      </c>
    </row>
    <row r="1177" spans="3:85" x14ac:dyDescent="0.25">
      <c r="C1177" s="82">
        <v>13607</v>
      </c>
      <c r="D1177" s="78">
        <v>8347</v>
      </c>
      <c r="E1177" s="69" t="s">
        <v>325</v>
      </c>
      <c r="F1177" s="69" t="str">
        <f t="shared" si="148"/>
        <v>مكافاه ابحاث طبيه</v>
      </c>
      <c r="G1177" s="69"/>
      <c r="H1177" s="69">
        <v>2755.38</v>
      </c>
      <c r="U1177" s="69"/>
      <c r="V1177" s="69"/>
      <c r="AS1177" s="91">
        <f t="shared" si="144"/>
        <v>2755.38</v>
      </c>
      <c r="AT1177" s="69">
        <v>1843.35</v>
      </c>
      <c r="AU1177" s="69">
        <v>248.15</v>
      </c>
      <c r="AV1177" s="69">
        <v>663.88</v>
      </c>
      <c r="CD1177" s="91">
        <f t="shared" si="147"/>
        <v>2755.38</v>
      </c>
      <c r="CE1177" s="69">
        <f t="shared" si="142"/>
        <v>0</v>
      </c>
      <c r="CF1177" s="75">
        <f t="shared" si="145"/>
        <v>8347</v>
      </c>
      <c r="CG1177" s="69" t="str">
        <f t="shared" si="145"/>
        <v xml:space="preserve">برنامج دولى </v>
      </c>
    </row>
    <row r="1178" spans="3:85" x14ac:dyDescent="0.25">
      <c r="C1178" s="82">
        <v>13608</v>
      </c>
      <c r="D1178" s="78">
        <v>8348</v>
      </c>
      <c r="E1178" s="69" t="s">
        <v>325</v>
      </c>
      <c r="F1178" s="69" t="str">
        <f t="shared" si="148"/>
        <v>مكافاه ابحاث طبيه</v>
      </c>
      <c r="G1178" s="69"/>
      <c r="H1178" s="69">
        <v>2579.5</v>
      </c>
      <c r="U1178" s="69"/>
      <c r="V1178" s="69"/>
      <c r="AS1178" s="91">
        <f t="shared" si="144"/>
        <v>2579.5</v>
      </c>
      <c r="AT1178" s="69">
        <v>1724</v>
      </c>
      <c r="AU1178" s="69">
        <v>234</v>
      </c>
      <c r="AV1178" s="69">
        <v>621.5</v>
      </c>
      <c r="CD1178" s="91">
        <f t="shared" si="147"/>
        <v>2579.5</v>
      </c>
      <c r="CE1178" s="69">
        <f t="shared" si="142"/>
        <v>0</v>
      </c>
      <c r="CF1178" s="75">
        <f t="shared" si="145"/>
        <v>8348</v>
      </c>
      <c r="CG1178" s="69" t="str">
        <f t="shared" si="145"/>
        <v xml:space="preserve">برنامج دولى </v>
      </c>
    </row>
    <row r="1179" spans="3:85" x14ac:dyDescent="0.25">
      <c r="C1179" s="82">
        <v>13609</v>
      </c>
      <c r="D1179" s="78">
        <v>8349</v>
      </c>
      <c r="E1179" s="69" t="s">
        <v>325</v>
      </c>
      <c r="F1179" s="69" t="str">
        <f t="shared" si="148"/>
        <v>مكافاه ابحاث طبيه</v>
      </c>
      <c r="G1179" s="69"/>
      <c r="H1179" s="69">
        <v>6155.63</v>
      </c>
      <c r="U1179" s="69"/>
      <c r="V1179" s="69"/>
      <c r="AS1179" s="91">
        <f t="shared" si="144"/>
        <v>6155.63</v>
      </c>
      <c r="AT1179" s="69">
        <v>4113.8</v>
      </c>
      <c r="AU1179" s="69">
        <f>33.7+525</f>
        <v>558.70000000000005</v>
      </c>
      <c r="AV1179" s="69">
        <v>1483.13</v>
      </c>
      <c r="CD1179" s="91">
        <f t="shared" si="147"/>
        <v>6155.63</v>
      </c>
      <c r="CE1179" s="69">
        <f t="shared" si="142"/>
        <v>0</v>
      </c>
      <c r="CF1179" s="75">
        <f t="shared" si="145"/>
        <v>8349</v>
      </c>
      <c r="CG1179" s="69" t="str">
        <f t="shared" si="145"/>
        <v xml:space="preserve">برنامج دولى </v>
      </c>
    </row>
    <row r="1180" spans="3:85" x14ac:dyDescent="0.25">
      <c r="C1180" s="82">
        <v>14081</v>
      </c>
      <c r="D1180" s="78">
        <v>8350</v>
      </c>
      <c r="E1180" s="69" t="s">
        <v>325</v>
      </c>
      <c r="F1180" s="69" t="s">
        <v>1934</v>
      </c>
      <c r="G1180" s="69"/>
      <c r="H1180" s="69">
        <v>439.7</v>
      </c>
      <c r="U1180" s="69"/>
      <c r="V1180" s="69"/>
      <c r="AS1180" s="91">
        <f t="shared" si="144"/>
        <v>439.7</v>
      </c>
      <c r="AT1180" s="69">
        <v>295.14999999999998</v>
      </c>
      <c r="AU1180" s="69">
        <v>38.6</v>
      </c>
      <c r="AV1180" s="69">
        <v>105.95</v>
      </c>
      <c r="CD1180" s="91">
        <f t="shared" si="147"/>
        <v>439.7</v>
      </c>
      <c r="CE1180" s="69">
        <f t="shared" si="142"/>
        <v>0</v>
      </c>
      <c r="CF1180" s="75">
        <f t="shared" si="145"/>
        <v>8350</v>
      </c>
      <c r="CG1180" s="69" t="str">
        <f t="shared" si="145"/>
        <v xml:space="preserve">برنامج دولى </v>
      </c>
    </row>
    <row r="1181" spans="3:85" x14ac:dyDescent="0.25">
      <c r="C1181" s="82">
        <v>14085</v>
      </c>
      <c r="D1181" s="78">
        <v>8351</v>
      </c>
      <c r="E1181" s="69" t="s">
        <v>325</v>
      </c>
      <c r="F1181" s="69" t="s">
        <v>2006</v>
      </c>
      <c r="G1181" s="69"/>
      <c r="H1181" s="69">
        <v>2280</v>
      </c>
      <c r="U1181" s="69"/>
      <c r="V1181" s="69"/>
      <c r="AS1181" s="91">
        <f t="shared" si="144"/>
        <v>2280</v>
      </c>
      <c r="AT1181" s="69">
        <v>2037.65</v>
      </c>
      <c r="AU1181" s="69">
        <v>242.35</v>
      </c>
      <c r="CD1181" s="91">
        <f t="shared" si="147"/>
        <v>2280</v>
      </c>
      <c r="CE1181" s="69">
        <f t="shared" si="142"/>
        <v>0</v>
      </c>
      <c r="CF1181" s="75">
        <f t="shared" si="145"/>
        <v>8351</v>
      </c>
      <c r="CG1181" s="69" t="str">
        <f t="shared" si="145"/>
        <v xml:space="preserve">برنامج دولى </v>
      </c>
    </row>
    <row r="1182" spans="3:85" x14ac:dyDescent="0.25">
      <c r="C1182" s="82">
        <v>14079</v>
      </c>
      <c r="D1182" s="78">
        <v>8352</v>
      </c>
      <c r="E1182" s="69" t="s">
        <v>325</v>
      </c>
      <c r="F1182" s="69" t="s">
        <v>2138</v>
      </c>
      <c r="G1182" s="69"/>
      <c r="H1182" s="69">
        <v>4313.2299999999996</v>
      </c>
      <c r="U1182" s="69"/>
      <c r="V1182" s="69"/>
      <c r="AS1182" s="91">
        <f t="shared" si="144"/>
        <v>4313.2299999999996</v>
      </c>
      <c r="AT1182" s="69">
        <v>3494.12</v>
      </c>
      <c r="AU1182" s="69">
        <v>437.15</v>
      </c>
      <c r="AV1182" s="69">
        <v>381.96</v>
      </c>
      <c r="CD1182" s="91">
        <f t="shared" si="147"/>
        <v>4313.2299999999996</v>
      </c>
      <c r="CE1182" s="69">
        <f t="shared" si="142"/>
        <v>0</v>
      </c>
      <c r="CF1182" s="75">
        <f t="shared" si="145"/>
        <v>8352</v>
      </c>
      <c r="CG1182" s="69" t="str">
        <f t="shared" si="145"/>
        <v xml:space="preserve">برنامج دولى </v>
      </c>
    </row>
    <row r="1183" spans="3:85" x14ac:dyDescent="0.25">
      <c r="C1183" s="82">
        <v>13824</v>
      </c>
      <c r="D1183" s="78">
        <v>8353</v>
      </c>
      <c r="E1183" s="69" t="s">
        <v>325</v>
      </c>
      <c r="F1183" s="69" t="s">
        <v>576</v>
      </c>
      <c r="G1183" s="69"/>
      <c r="H1183" s="69">
        <v>1125.5999999999999</v>
      </c>
      <c r="U1183" s="69"/>
      <c r="V1183" s="69"/>
      <c r="AS1183" s="91">
        <f t="shared" si="144"/>
        <v>1125.5999999999999</v>
      </c>
      <c r="AT1183" s="69">
        <v>752.75</v>
      </c>
      <c r="AU1183" s="69">
        <v>101.65</v>
      </c>
      <c r="AV1183" s="69">
        <v>271.2</v>
      </c>
      <c r="CD1183" s="91">
        <f t="shared" si="147"/>
        <v>1125.5999999999999</v>
      </c>
      <c r="CE1183" s="69">
        <f t="shared" si="142"/>
        <v>0</v>
      </c>
      <c r="CF1183" s="75">
        <f t="shared" ref="CF1183:CG1198" si="149">+D1183</f>
        <v>8353</v>
      </c>
      <c r="CG1183" s="69" t="str">
        <f t="shared" si="149"/>
        <v xml:space="preserve">برنامج دولى </v>
      </c>
    </row>
    <row r="1184" spans="3:85" x14ac:dyDescent="0.25">
      <c r="C1184" s="82">
        <v>13825</v>
      </c>
      <c r="D1184" s="78">
        <v>8354</v>
      </c>
      <c r="E1184" s="69" t="s">
        <v>325</v>
      </c>
      <c r="F1184" s="69" t="s">
        <v>2139</v>
      </c>
      <c r="G1184" s="69"/>
      <c r="H1184" s="69">
        <v>2205.6</v>
      </c>
      <c r="U1184" s="69"/>
      <c r="V1184" s="69"/>
      <c r="AS1184" s="91">
        <f t="shared" si="144"/>
        <v>2205.6</v>
      </c>
      <c r="AT1184" s="69">
        <v>1717</v>
      </c>
      <c r="AU1184" s="69">
        <v>217.4</v>
      </c>
      <c r="AV1184" s="69">
        <v>271.2</v>
      </c>
      <c r="CD1184" s="91">
        <f t="shared" si="147"/>
        <v>2205.6</v>
      </c>
      <c r="CE1184" s="69">
        <f t="shared" si="142"/>
        <v>0</v>
      </c>
      <c r="CF1184" s="75">
        <f t="shared" si="149"/>
        <v>8354</v>
      </c>
      <c r="CG1184" s="69" t="str">
        <f t="shared" si="149"/>
        <v xml:space="preserve">برنامج دولى </v>
      </c>
    </row>
    <row r="1185" spans="3:85" x14ac:dyDescent="0.25">
      <c r="C1185" s="82">
        <v>13827</v>
      </c>
      <c r="D1185" s="78">
        <v>8355</v>
      </c>
      <c r="E1185" s="69" t="s">
        <v>325</v>
      </c>
      <c r="F1185" s="69" t="s">
        <v>360</v>
      </c>
      <c r="G1185" s="69"/>
      <c r="H1185" s="69">
        <v>1200</v>
      </c>
      <c r="U1185" s="69"/>
      <c r="V1185" s="69"/>
      <c r="AS1185" s="91">
        <f t="shared" si="144"/>
        <v>1200</v>
      </c>
      <c r="AT1185" s="69">
        <v>1071.3499999999999</v>
      </c>
      <c r="AU1185" s="69">
        <v>128.65</v>
      </c>
      <c r="CD1185" s="91">
        <f t="shared" si="147"/>
        <v>1200</v>
      </c>
      <c r="CE1185" s="69">
        <f t="shared" si="142"/>
        <v>0</v>
      </c>
      <c r="CF1185" s="75">
        <f t="shared" si="149"/>
        <v>8355</v>
      </c>
      <c r="CG1185" s="69" t="str">
        <f t="shared" si="149"/>
        <v xml:space="preserve">برنامج دولى </v>
      </c>
    </row>
    <row r="1186" spans="3:85" x14ac:dyDescent="0.25">
      <c r="C1186" s="82">
        <v>13823</v>
      </c>
      <c r="D1186" s="78">
        <v>8356</v>
      </c>
      <c r="E1186" s="69" t="s">
        <v>325</v>
      </c>
      <c r="F1186" s="69" t="s">
        <v>2140</v>
      </c>
      <c r="G1186" s="69"/>
      <c r="H1186" s="69">
        <v>2400</v>
      </c>
      <c r="U1186" s="69"/>
      <c r="V1186" s="69"/>
      <c r="AS1186" s="91">
        <f t="shared" si="144"/>
        <v>2400</v>
      </c>
      <c r="AT1186" s="69">
        <v>2142.6999999999998</v>
      </c>
      <c r="AU1186" s="69">
        <v>257.3</v>
      </c>
      <c r="CD1186" s="91">
        <f t="shared" ref="CD1186:CD1195" si="150">SUM(AT1186:CC1186)</f>
        <v>2400</v>
      </c>
      <c r="CE1186" s="69">
        <f t="shared" si="142"/>
        <v>0</v>
      </c>
      <c r="CF1186" s="75">
        <f t="shared" si="149"/>
        <v>8356</v>
      </c>
      <c r="CG1186" s="69" t="str">
        <f t="shared" si="149"/>
        <v xml:space="preserve">برنامج دولى </v>
      </c>
    </row>
    <row r="1187" spans="3:85" x14ac:dyDescent="0.25">
      <c r="C1187" s="82">
        <v>13791</v>
      </c>
      <c r="D1187" s="78">
        <v>8357</v>
      </c>
      <c r="E1187" s="69" t="s">
        <v>325</v>
      </c>
      <c r="F1187" s="69" t="str">
        <f>+F1180</f>
        <v>عب تدريس ميكربيولوجيا</v>
      </c>
      <c r="G1187" s="69"/>
      <c r="H1187" s="69">
        <v>316.57</v>
      </c>
      <c r="U1187" s="69"/>
      <c r="V1187" s="69"/>
      <c r="AS1187" s="91">
        <f t="shared" si="144"/>
        <v>316.57</v>
      </c>
      <c r="AT1187" s="69">
        <v>212.7</v>
      </c>
      <c r="AU1187" s="69">
        <v>27.6</v>
      </c>
      <c r="AV1187" s="69">
        <v>76.27</v>
      </c>
      <c r="CD1187" s="91">
        <f t="shared" si="150"/>
        <v>316.57</v>
      </c>
      <c r="CE1187" s="69">
        <f t="shared" si="142"/>
        <v>0</v>
      </c>
      <c r="CF1187" s="75">
        <f t="shared" si="149"/>
        <v>8357</v>
      </c>
      <c r="CG1187" s="69" t="str">
        <f t="shared" si="149"/>
        <v xml:space="preserve">برنامج دولى </v>
      </c>
    </row>
    <row r="1188" spans="3:85" x14ac:dyDescent="0.25">
      <c r="C1188" s="82">
        <v>13792</v>
      </c>
      <c r="D1188" s="78">
        <v>8358</v>
      </c>
      <c r="E1188" s="69" t="s">
        <v>325</v>
      </c>
      <c r="F1188" s="69" t="str">
        <f>+F1187</f>
        <v>عب تدريس ميكربيولوجيا</v>
      </c>
      <c r="G1188" s="69"/>
      <c r="H1188" s="69">
        <v>7461.15</v>
      </c>
      <c r="U1188" s="69"/>
      <c r="V1188" s="69"/>
      <c r="AS1188" s="91">
        <f t="shared" si="144"/>
        <v>7461.15</v>
      </c>
      <c r="AT1188" s="69">
        <v>5260</v>
      </c>
      <c r="AU1188" s="69">
        <v>692.6</v>
      </c>
      <c r="AV1188" s="69">
        <v>1508.55</v>
      </c>
      <c r="CD1188" s="91">
        <f t="shared" si="150"/>
        <v>7461.1500000000005</v>
      </c>
      <c r="CE1188" s="69">
        <f t="shared" ref="CE1188:CE1208" si="151">+CD1188-AS1188</f>
        <v>0</v>
      </c>
      <c r="CF1188" s="75">
        <f t="shared" si="149"/>
        <v>8358</v>
      </c>
      <c r="CG1188" s="69" t="str">
        <f t="shared" si="149"/>
        <v xml:space="preserve">برنامج دولى </v>
      </c>
    </row>
    <row r="1189" spans="3:85" x14ac:dyDescent="0.25">
      <c r="C1189" s="82">
        <v>14082</v>
      </c>
      <c r="D1189" s="78">
        <v>8359</v>
      </c>
      <c r="E1189" s="69" t="s">
        <v>325</v>
      </c>
      <c r="F1189" s="69" t="str">
        <f>+F1188</f>
        <v>عب تدريس ميكربيولوجيا</v>
      </c>
      <c r="G1189" s="69"/>
      <c r="H1189" s="69">
        <v>14963.08</v>
      </c>
      <c r="U1189" s="69"/>
      <c r="V1189" s="69"/>
      <c r="AS1189" s="91">
        <f t="shared" si="144"/>
        <v>14963.08</v>
      </c>
      <c r="AT1189" s="69">
        <v>12595.2</v>
      </c>
      <c r="AU1189" s="69">
        <v>1544</v>
      </c>
      <c r="AV1189" s="69">
        <v>823.88</v>
      </c>
      <c r="CD1189" s="91">
        <f t="shared" si="150"/>
        <v>14963.08</v>
      </c>
      <c r="CE1189" s="69">
        <f t="shared" si="151"/>
        <v>0</v>
      </c>
      <c r="CF1189" s="75">
        <f t="shared" si="149"/>
        <v>8359</v>
      </c>
      <c r="CG1189" s="69" t="str">
        <f t="shared" si="149"/>
        <v xml:space="preserve">برنامج دولى </v>
      </c>
    </row>
    <row r="1190" spans="3:85" x14ac:dyDescent="0.25">
      <c r="C1190" s="82">
        <v>13890</v>
      </c>
      <c r="D1190" s="78">
        <v>8360</v>
      </c>
      <c r="E1190" s="69" t="s">
        <v>132</v>
      </c>
      <c r="F1190" s="69" t="s">
        <v>2032</v>
      </c>
      <c r="G1190" s="69"/>
      <c r="H1190" s="69">
        <v>726.38</v>
      </c>
      <c r="U1190" s="69"/>
      <c r="V1190" s="69"/>
      <c r="AS1190" s="91">
        <f t="shared" si="144"/>
        <v>726.38</v>
      </c>
      <c r="AT1190" s="69">
        <v>456.29</v>
      </c>
      <c r="AU1190" s="69">
        <v>105.18</v>
      </c>
      <c r="AV1190" s="69">
        <v>164.91</v>
      </c>
      <c r="CD1190" s="91">
        <f t="shared" si="150"/>
        <v>726.38</v>
      </c>
      <c r="CE1190" s="69">
        <f t="shared" si="151"/>
        <v>0</v>
      </c>
      <c r="CF1190" s="75">
        <f t="shared" si="149"/>
        <v>8360</v>
      </c>
      <c r="CG1190" s="69" t="str">
        <f t="shared" si="149"/>
        <v>صيدلة اكلينيكى</v>
      </c>
    </row>
    <row r="1191" spans="3:85" x14ac:dyDescent="0.25">
      <c r="C1191" s="82">
        <v>13897</v>
      </c>
      <c r="D1191" s="78">
        <v>8361</v>
      </c>
      <c r="E1191" s="69" t="s">
        <v>132</v>
      </c>
      <c r="F1191" s="69" t="s">
        <v>2032</v>
      </c>
      <c r="G1191" s="69"/>
      <c r="H1191" s="69">
        <v>708.73</v>
      </c>
      <c r="U1191" s="69"/>
      <c r="V1191" s="69"/>
      <c r="AS1191" s="91">
        <f t="shared" si="144"/>
        <v>708.73</v>
      </c>
      <c r="AT1191" s="69">
        <v>466.94</v>
      </c>
      <c r="AU1191" s="69">
        <v>104.68</v>
      </c>
      <c r="AV1191" s="69">
        <v>137.11000000000001</v>
      </c>
      <c r="CD1191" s="91">
        <f t="shared" si="150"/>
        <v>708.73</v>
      </c>
      <c r="CE1191" s="69">
        <f t="shared" si="151"/>
        <v>0</v>
      </c>
      <c r="CF1191" s="75">
        <f t="shared" si="149"/>
        <v>8361</v>
      </c>
      <c r="CG1191" s="69" t="str">
        <f t="shared" si="149"/>
        <v>صيدلة اكلينيكى</v>
      </c>
    </row>
    <row r="1192" spans="3:85" x14ac:dyDescent="0.25">
      <c r="C1192" s="82">
        <v>13899</v>
      </c>
      <c r="D1192" s="78">
        <v>8362</v>
      </c>
      <c r="E1192" s="69" t="s">
        <v>132</v>
      </c>
      <c r="F1192" s="69" t="s">
        <v>2032</v>
      </c>
      <c r="G1192" s="69"/>
      <c r="H1192" s="69">
        <v>162.04</v>
      </c>
      <c r="U1192" s="69"/>
      <c r="V1192" s="69"/>
      <c r="AS1192" s="91">
        <f t="shared" si="144"/>
        <v>162.04</v>
      </c>
      <c r="AT1192" s="69">
        <v>110.29</v>
      </c>
      <c r="AU1192" s="69">
        <v>12.71</v>
      </c>
      <c r="AV1192" s="69">
        <v>39.04</v>
      </c>
      <c r="CD1192" s="91">
        <f t="shared" si="150"/>
        <v>162.04</v>
      </c>
      <c r="CE1192" s="69">
        <f t="shared" si="151"/>
        <v>0</v>
      </c>
      <c r="CF1192" s="75">
        <f t="shared" si="149"/>
        <v>8362</v>
      </c>
      <c r="CG1192" s="69" t="str">
        <f t="shared" si="149"/>
        <v>صيدلة اكلينيكى</v>
      </c>
    </row>
    <row r="1193" spans="3:85" x14ac:dyDescent="0.25">
      <c r="C1193" s="82">
        <v>14223</v>
      </c>
      <c r="D1193" s="78">
        <v>8363</v>
      </c>
      <c r="E1193" s="69" t="s">
        <v>121</v>
      </c>
      <c r="F1193" s="69" t="s">
        <v>2141</v>
      </c>
      <c r="G1193" s="69"/>
      <c r="H1193" s="69">
        <v>59.35</v>
      </c>
      <c r="U1193" s="69"/>
      <c r="V1193" s="69"/>
      <c r="AS1193" s="91">
        <f t="shared" si="144"/>
        <v>59.35</v>
      </c>
      <c r="AT1193" s="69">
        <v>40.54</v>
      </c>
      <c r="AU1193" s="69">
        <v>4.5</v>
      </c>
      <c r="AV1193" s="69">
        <v>14.31</v>
      </c>
      <c r="CD1193" s="91">
        <f t="shared" si="150"/>
        <v>59.35</v>
      </c>
      <c r="CE1193" s="69">
        <f t="shared" si="151"/>
        <v>0</v>
      </c>
      <c r="CF1193" s="75">
        <f t="shared" si="149"/>
        <v>8363</v>
      </c>
      <c r="CG1193" s="69" t="str">
        <f t="shared" si="149"/>
        <v>ماليزى اسنان</v>
      </c>
    </row>
    <row r="1194" spans="3:85" x14ac:dyDescent="0.25">
      <c r="C1194" s="82">
        <v>14199</v>
      </c>
      <c r="D1194" s="78">
        <v>8364</v>
      </c>
      <c r="E1194" s="69" t="s">
        <v>121</v>
      </c>
      <c r="F1194" s="69" t="s">
        <v>2123</v>
      </c>
      <c r="G1194" s="69"/>
      <c r="H1194" s="69">
        <f>184.9+31.9</f>
        <v>216.8</v>
      </c>
      <c r="U1194" s="69"/>
      <c r="V1194" s="69"/>
      <c r="AS1194" s="91">
        <f t="shared" si="144"/>
        <v>216.8</v>
      </c>
      <c r="AT1194" s="69">
        <v>147.47</v>
      </c>
      <c r="AU1194" s="69">
        <v>17.09</v>
      </c>
      <c r="AV1194" s="69">
        <v>52.24</v>
      </c>
      <c r="CD1194" s="91">
        <f t="shared" si="150"/>
        <v>216.8</v>
      </c>
      <c r="CE1194" s="69">
        <f t="shared" si="151"/>
        <v>0</v>
      </c>
      <c r="CF1194" s="75">
        <f t="shared" si="149"/>
        <v>8364</v>
      </c>
      <c r="CG1194" s="69" t="str">
        <f t="shared" si="149"/>
        <v>ماليزى اسنان</v>
      </c>
    </row>
    <row r="1195" spans="3:85" x14ac:dyDescent="0.25">
      <c r="C1195" s="82">
        <v>14316</v>
      </c>
      <c r="D1195" s="78">
        <v>8365</v>
      </c>
      <c r="E1195" s="69" t="s">
        <v>132</v>
      </c>
      <c r="F1195" s="69" t="s">
        <v>2142</v>
      </c>
      <c r="G1195" s="69"/>
      <c r="I1195" s="69">
        <v>19152</v>
      </c>
      <c r="U1195" s="69"/>
      <c r="V1195" s="69"/>
      <c r="AB1195" s="69">
        <v>19152</v>
      </c>
      <c r="AS1195" s="91">
        <f t="shared" si="144"/>
        <v>38304</v>
      </c>
      <c r="AT1195" s="69">
        <v>18314.8</v>
      </c>
      <c r="AU1195" s="69">
        <f>200.8+602.4+9</f>
        <v>812.2</v>
      </c>
      <c r="AW1195" s="69">
        <v>5</v>
      </c>
      <c r="BH1195" s="69">
        <v>20</v>
      </c>
      <c r="BR1195" s="69">
        <v>19152</v>
      </c>
      <c r="CD1195" s="91">
        <f t="shared" si="150"/>
        <v>38304</v>
      </c>
      <c r="CE1195" s="69">
        <f t="shared" si="151"/>
        <v>0</v>
      </c>
      <c r="CF1195" s="75">
        <f t="shared" si="149"/>
        <v>8365</v>
      </c>
      <c r="CG1195" s="69" t="str">
        <f t="shared" si="149"/>
        <v>صيدلة اكلينيكى</v>
      </c>
    </row>
    <row r="1196" spans="3:85" x14ac:dyDescent="0.25">
      <c r="C1196" s="82">
        <v>13700</v>
      </c>
      <c r="D1196" s="78">
        <v>8366</v>
      </c>
      <c r="E1196" s="69" t="s">
        <v>132</v>
      </c>
      <c r="F1196" s="69" t="s">
        <v>2032</v>
      </c>
      <c r="G1196" s="69"/>
      <c r="H1196" s="69">
        <v>15305.93</v>
      </c>
      <c r="U1196" s="69"/>
      <c r="V1196" s="69"/>
      <c r="AS1196" s="91">
        <f>SUM(H1196:AR1196)</f>
        <v>15305.93</v>
      </c>
      <c r="AT1196" s="69">
        <v>12171.6</v>
      </c>
      <c r="AU1196" s="69">
        <v>3134.33</v>
      </c>
      <c r="CD1196" s="91">
        <f>SUM(AT1196:CC1196)</f>
        <v>15305.93</v>
      </c>
      <c r="CE1196" s="69">
        <f t="shared" si="151"/>
        <v>0</v>
      </c>
      <c r="CF1196" s="75">
        <f t="shared" si="149"/>
        <v>8366</v>
      </c>
      <c r="CG1196" s="69" t="str">
        <f t="shared" si="149"/>
        <v>صيدلة اكلينيكى</v>
      </c>
    </row>
    <row r="1197" spans="3:85" x14ac:dyDescent="0.25">
      <c r="C1197" s="82">
        <v>14392</v>
      </c>
      <c r="D1197" s="78">
        <v>8367</v>
      </c>
      <c r="E1197" s="69" t="s">
        <v>132</v>
      </c>
      <c r="F1197" s="69" t="s">
        <v>2032</v>
      </c>
      <c r="G1197" s="69"/>
      <c r="H1197" s="69">
        <v>209.12</v>
      </c>
      <c r="U1197" s="69"/>
      <c r="V1197" s="69"/>
      <c r="AS1197" s="91">
        <f t="shared" ref="AS1197:AS1208" si="152">SUM(H1197:AR1197)</f>
        <v>209.12</v>
      </c>
      <c r="AT1197" s="69">
        <v>142.29</v>
      </c>
      <c r="AU1197" s="69">
        <v>16.46</v>
      </c>
      <c r="AV1197" s="69">
        <v>50.37</v>
      </c>
      <c r="CD1197" s="91">
        <f t="shared" ref="CD1197:CD1208" si="153">SUM(AT1197:CC1197)</f>
        <v>209.12</v>
      </c>
      <c r="CE1197" s="69">
        <f t="shared" si="151"/>
        <v>0</v>
      </c>
      <c r="CF1197" s="75">
        <f t="shared" si="149"/>
        <v>8367</v>
      </c>
      <c r="CG1197" s="69" t="str">
        <f t="shared" si="149"/>
        <v>صيدلة اكلينيكى</v>
      </c>
    </row>
    <row r="1198" spans="3:85" x14ac:dyDescent="0.25">
      <c r="C1198" s="82">
        <v>14412</v>
      </c>
      <c r="D1198" s="78">
        <v>8368</v>
      </c>
      <c r="E1198" s="69" t="s">
        <v>78</v>
      </c>
      <c r="F1198" s="69" t="s">
        <v>2143</v>
      </c>
      <c r="G1198" s="69"/>
      <c r="H1198" s="69">
        <v>5727.02</v>
      </c>
      <c r="U1198" s="69"/>
      <c r="V1198" s="69"/>
      <c r="AS1198" s="91">
        <f t="shared" si="152"/>
        <v>5727.02</v>
      </c>
      <c r="AT1198" s="69">
        <v>3867.32</v>
      </c>
      <c r="AU1198" s="69">
        <v>523.73</v>
      </c>
      <c r="AV1198" s="69">
        <v>1335.97</v>
      </c>
      <c r="CD1198" s="91">
        <f t="shared" si="153"/>
        <v>5727.02</v>
      </c>
      <c r="CE1198" s="69">
        <f t="shared" si="151"/>
        <v>0</v>
      </c>
      <c r="CF1198" s="75">
        <f t="shared" si="149"/>
        <v>8368</v>
      </c>
      <c r="CG1198" s="69" t="str">
        <f t="shared" si="149"/>
        <v>برنامج دولى</v>
      </c>
    </row>
    <row r="1199" spans="3:85" x14ac:dyDescent="0.25">
      <c r="C1199" s="82">
        <v>14413</v>
      </c>
      <c r="D1199" s="78">
        <v>8369</v>
      </c>
      <c r="E1199" s="69" t="s">
        <v>78</v>
      </c>
      <c r="F1199" s="69" t="s">
        <v>2143</v>
      </c>
      <c r="G1199" s="69"/>
      <c r="H1199" s="69">
        <v>6404.36</v>
      </c>
      <c r="U1199" s="69"/>
      <c r="V1199" s="69"/>
      <c r="AS1199" s="91">
        <f t="shared" si="152"/>
        <v>6404.36</v>
      </c>
      <c r="AT1199" s="69">
        <v>4906.03</v>
      </c>
      <c r="AU1199" s="69">
        <v>631.4</v>
      </c>
      <c r="AV1199" s="69">
        <v>866.93</v>
      </c>
      <c r="CD1199" s="91">
        <f t="shared" si="153"/>
        <v>6404.36</v>
      </c>
      <c r="CE1199" s="69">
        <f t="shared" si="151"/>
        <v>0</v>
      </c>
      <c r="CF1199" s="75">
        <f t="shared" ref="CF1199:CG1208" si="154">+D1199</f>
        <v>8369</v>
      </c>
      <c r="CG1199" s="69" t="str">
        <f t="shared" si="154"/>
        <v>برنامج دولى</v>
      </c>
    </row>
    <row r="1200" spans="3:85" x14ac:dyDescent="0.25">
      <c r="C1200" s="82">
        <v>14415</v>
      </c>
      <c r="D1200" s="78">
        <v>8370</v>
      </c>
      <c r="E1200" s="69" t="s">
        <v>78</v>
      </c>
      <c r="F1200" s="69" t="s">
        <v>2143</v>
      </c>
      <c r="G1200" s="69"/>
      <c r="H1200" s="69">
        <v>64913.57</v>
      </c>
      <c r="U1200" s="69"/>
      <c r="V1200" s="69"/>
      <c r="AS1200" s="91">
        <f t="shared" si="152"/>
        <v>64913.57</v>
      </c>
      <c r="AT1200" s="69">
        <v>43363.96</v>
      </c>
      <c r="AU1200" s="69">
        <v>5909.53</v>
      </c>
      <c r="AV1200" s="69">
        <v>15640.08</v>
      </c>
      <c r="CD1200" s="91">
        <f t="shared" si="153"/>
        <v>64913.57</v>
      </c>
      <c r="CE1200" s="69">
        <f t="shared" si="151"/>
        <v>0</v>
      </c>
      <c r="CF1200" s="75">
        <f t="shared" si="154"/>
        <v>8370</v>
      </c>
      <c r="CG1200" s="69" t="str">
        <f t="shared" si="154"/>
        <v>برنامج دولى</v>
      </c>
    </row>
    <row r="1201" spans="1:99" x14ac:dyDescent="0.25">
      <c r="B1201" s="69" t="s">
        <v>2144</v>
      </c>
      <c r="C1201" s="82">
        <v>6821</v>
      </c>
      <c r="D1201" s="78">
        <v>8371</v>
      </c>
      <c r="F1201" s="69" t="s">
        <v>2145</v>
      </c>
      <c r="G1201" s="69" t="s">
        <v>220</v>
      </c>
      <c r="U1201" s="69"/>
      <c r="V1201" s="69"/>
      <c r="AD1201" s="69">
        <v>2311.2399999999998</v>
      </c>
      <c r="AS1201" s="91">
        <f t="shared" si="152"/>
        <v>2311.2399999999998</v>
      </c>
      <c r="AT1201" s="69">
        <v>2311.2399999999998</v>
      </c>
      <c r="AU1201" s="69"/>
      <c r="CD1201" s="91">
        <f t="shared" si="153"/>
        <v>2311.2399999999998</v>
      </c>
      <c r="CE1201" s="69">
        <f t="shared" si="151"/>
        <v>0</v>
      </c>
      <c r="CF1201" s="75">
        <f t="shared" si="154"/>
        <v>8371</v>
      </c>
      <c r="CG1201" s="69">
        <f t="shared" si="154"/>
        <v>0</v>
      </c>
    </row>
    <row r="1202" spans="1:99" x14ac:dyDescent="0.25">
      <c r="C1202" s="82">
        <v>14416</v>
      </c>
      <c r="D1202" s="78">
        <v>8372</v>
      </c>
      <c r="E1202" s="69" t="s">
        <v>78</v>
      </c>
      <c r="F1202" s="69" t="s">
        <v>2143</v>
      </c>
      <c r="G1202" s="69"/>
      <c r="H1202" s="69">
        <v>45375.76</v>
      </c>
      <c r="U1202" s="69"/>
      <c r="V1202" s="69"/>
      <c r="AS1202" s="91">
        <f t="shared" si="152"/>
        <v>45375.76</v>
      </c>
      <c r="AT1202" s="69">
        <v>32800.089999999997</v>
      </c>
      <c r="AU1202" s="69">
        <v>4319.25</v>
      </c>
      <c r="AV1202" s="69">
        <v>8256.42</v>
      </c>
      <c r="CD1202" s="91">
        <f t="shared" si="153"/>
        <v>45375.759999999995</v>
      </c>
      <c r="CE1202" s="69">
        <f t="shared" si="151"/>
        <v>0</v>
      </c>
      <c r="CF1202" s="75">
        <f t="shared" si="154"/>
        <v>8372</v>
      </c>
      <c r="CG1202" s="69" t="str">
        <f t="shared" si="154"/>
        <v>برنامج دولى</v>
      </c>
    </row>
    <row r="1203" spans="1:99" x14ac:dyDescent="0.25">
      <c r="C1203" s="82">
        <v>14417</v>
      </c>
      <c r="D1203" s="78">
        <v>8373</v>
      </c>
      <c r="E1203" s="69" t="s">
        <v>78</v>
      </c>
      <c r="F1203" s="69" t="s">
        <v>2143</v>
      </c>
      <c r="G1203" s="69"/>
      <c r="H1203" s="69">
        <v>17392.57</v>
      </c>
      <c r="U1203" s="69"/>
      <c r="V1203" s="69"/>
      <c r="AS1203" s="91">
        <f t="shared" si="152"/>
        <v>17392.57</v>
      </c>
      <c r="AT1203" s="69">
        <v>11618.32</v>
      </c>
      <c r="AU1203" s="69">
        <v>1583.74</v>
      </c>
      <c r="AV1203" s="69">
        <v>4190.51</v>
      </c>
      <c r="CD1203" s="91">
        <f t="shared" si="153"/>
        <v>17392.57</v>
      </c>
      <c r="CE1203" s="69">
        <f t="shared" si="151"/>
        <v>0</v>
      </c>
      <c r="CF1203" s="75">
        <f t="shared" si="154"/>
        <v>8373</v>
      </c>
      <c r="CG1203" s="69" t="str">
        <f t="shared" si="154"/>
        <v>برنامج دولى</v>
      </c>
    </row>
    <row r="1204" spans="1:99" x14ac:dyDescent="0.25">
      <c r="C1204" s="82">
        <v>14419</v>
      </c>
      <c r="D1204" s="78">
        <v>8374</v>
      </c>
      <c r="E1204" s="69" t="s">
        <v>78</v>
      </c>
      <c r="F1204" s="69" t="s">
        <v>2143</v>
      </c>
      <c r="G1204" s="69"/>
      <c r="H1204" s="69">
        <v>5438.47</v>
      </c>
      <c r="U1204" s="69"/>
      <c r="V1204" s="69"/>
      <c r="AS1204" s="91">
        <f t="shared" si="152"/>
        <v>5438.47</v>
      </c>
      <c r="AT1204" s="69">
        <v>3897.4</v>
      </c>
      <c r="AU1204" s="69">
        <v>513.88</v>
      </c>
      <c r="AV1204" s="69">
        <v>1027.19</v>
      </c>
      <c r="CD1204" s="91">
        <f t="shared" si="153"/>
        <v>5438.4699999999993</v>
      </c>
      <c r="CE1204" s="69">
        <f t="shared" si="151"/>
        <v>0</v>
      </c>
      <c r="CF1204" s="75">
        <f t="shared" si="154"/>
        <v>8374</v>
      </c>
      <c r="CG1204" s="69" t="str">
        <f t="shared" si="154"/>
        <v>برنامج دولى</v>
      </c>
    </row>
    <row r="1205" spans="1:99" x14ac:dyDescent="0.25">
      <c r="C1205" s="82">
        <v>14421</v>
      </c>
      <c r="D1205" s="78">
        <v>8375</v>
      </c>
      <c r="E1205" s="69" t="s">
        <v>132</v>
      </c>
      <c r="F1205" s="69" t="s">
        <v>2143</v>
      </c>
      <c r="G1205" s="69"/>
      <c r="H1205" s="69">
        <v>22339.05</v>
      </c>
      <c r="U1205" s="69"/>
      <c r="V1205" s="69"/>
      <c r="AS1205" s="91">
        <f t="shared" si="152"/>
        <v>22339.05</v>
      </c>
      <c r="AT1205" s="69">
        <v>14925.73</v>
      </c>
      <c r="AU1205" s="69">
        <v>2031.01</v>
      </c>
      <c r="AV1205" s="69">
        <v>5382.31</v>
      </c>
      <c r="CD1205" s="91">
        <f t="shared" si="153"/>
        <v>22339.05</v>
      </c>
      <c r="CE1205" s="69">
        <f t="shared" si="151"/>
        <v>0</v>
      </c>
      <c r="CF1205" s="75">
        <f t="shared" si="154"/>
        <v>8375</v>
      </c>
      <c r="CG1205" s="69" t="str">
        <f t="shared" si="154"/>
        <v>صيدلة اكلينيكى</v>
      </c>
    </row>
    <row r="1206" spans="1:99" x14ac:dyDescent="0.25">
      <c r="C1206" s="82">
        <v>14414</v>
      </c>
      <c r="D1206" s="78">
        <v>8376</v>
      </c>
      <c r="E1206" s="69" t="s">
        <v>132</v>
      </c>
      <c r="F1206" s="69" t="s">
        <v>2143</v>
      </c>
      <c r="G1206" s="69"/>
      <c r="H1206" s="69">
        <v>4950.96</v>
      </c>
      <c r="U1206" s="69"/>
      <c r="V1206" s="69"/>
      <c r="AS1206" s="91">
        <f t="shared" si="152"/>
        <v>4950.96</v>
      </c>
      <c r="AT1206" s="69">
        <v>3325.3</v>
      </c>
      <c r="AU1206" s="69">
        <v>451.34</v>
      </c>
      <c r="AV1206" s="69">
        <v>1174.32</v>
      </c>
      <c r="CD1206" s="91">
        <f t="shared" si="153"/>
        <v>4950.96</v>
      </c>
      <c r="CE1206" s="69">
        <f t="shared" si="151"/>
        <v>0</v>
      </c>
      <c r="CF1206" s="75">
        <f t="shared" si="154"/>
        <v>8376</v>
      </c>
      <c r="CG1206" s="69" t="str">
        <f t="shared" si="154"/>
        <v>صيدلة اكلينيكى</v>
      </c>
    </row>
    <row r="1207" spans="1:99" x14ac:dyDescent="0.25">
      <c r="C1207" s="82">
        <v>14420</v>
      </c>
      <c r="D1207" s="78">
        <v>8377</v>
      </c>
      <c r="E1207" s="69" t="s">
        <v>121</v>
      </c>
      <c r="F1207" s="69" t="s">
        <v>2143</v>
      </c>
      <c r="G1207" s="69"/>
      <c r="H1207" s="69">
        <v>22462.61</v>
      </c>
      <c r="U1207" s="69"/>
      <c r="V1207" s="69"/>
      <c r="AS1207" s="91">
        <f t="shared" si="152"/>
        <v>22462.61</v>
      </c>
      <c r="AT1207" s="69">
        <v>15215.18</v>
      </c>
      <c r="AU1207" s="69">
        <v>2059.92</v>
      </c>
      <c r="AV1207" s="69">
        <v>5187.51</v>
      </c>
      <c r="CD1207" s="91">
        <f t="shared" si="153"/>
        <v>22462.61</v>
      </c>
      <c r="CE1207" s="69">
        <f t="shared" si="151"/>
        <v>0</v>
      </c>
      <c r="CF1207" s="75">
        <f t="shared" si="154"/>
        <v>8377</v>
      </c>
      <c r="CG1207" s="69" t="str">
        <f t="shared" si="154"/>
        <v>ماليزى اسنان</v>
      </c>
    </row>
    <row r="1208" spans="1:99" x14ac:dyDescent="0.25">
      <c r="C1208" s="82">
        <v>14418</v>
      </c>
      <c r="D1208" s="78">
        <v>8378</v>
      </c>
      <c r="E1208" s="69" t="s">
        <v>121</v>
      </c>
      <c r="F1208" s="69" t="s">
        <v>2143</v>
      </c>
      <c r="G1208" s="69"/>
      <c r="H1208" s="69">
        <v>6201.86</v>
      </c>
      <c r="U1208" s="69"/>
      <c r="V1208" s="69"/>
      <c r="AS1208" s="91">
        <f t="shared" si="152"/>
        <v>6201.86</v>
      </c>
      <c r="AT1208" s="69">
        <v>4174.6499999999996</v>
      </c>
      <c r="AU1208" s="69">
        <v>568.67999999999995</v>
      </c>
      <c r="AV1208" s="69">
        <v>1458.53</v>
      </c>
      <c r="CD1208" s="91">
        <f t="shared" si="153"/>
        <v>6201.86</v>
      </c>
      <c r="CE1208" s="69">
        <f t="shared" si="151"/>
        <v>0</v>
      </c>
      <c r="CF1208" s="75">
        <f t="shared" si="154"/>
        <v>8378</v>
      </c>
      <c r="CG1208" s="69" t="str">
        <f t="shared" si="154"/>
        <v>ماليزى اسنان</v>
      </c>
    </row>
    <row r="1209" spans="1:99" s="68" customFormat="1" x14ac:dyDescent="0.25">
      <c r="C1209" s="83"/>
      <c r="D1209" s="84"/>
      <c r="F1209" s="68" t="s">
        <v>2146</v>
      </c>
      <c r="H1209" s="68">
        <f t="shared" ref="H1209:AM1209" si="155">SUM(H961:H1208)-H1210-H1211</f>
        <v>3874956.5099999988</v>
      </c>
      <c r="I1209" s="68">
        <f t="shared" si="155"/>
        <v>120999</v>
      </c>
      <c r="J1209" s="68">
        <f t="shared" si="155"/>
        <v>0</v>
      </c>
      <c r="K1209" s="68">
        <f t="shared" si="155"/>
        <v>0</v>
      </c>
      <c r="L1209" s="68">
        <f t="shared" si="155"/>
        <v>0</v>
      </c>
      <c r="M1209" s="68">
        <f t="shared" si="155"/>
        <v>0</v>
      </c>
      <c r="N1209" s="68">
        <f t="shared" si="155"/>
        <v>0</v>
      </c>
      <c r="O1209" s="68">
        <f t="shared" si="155"/>
        <v>0</v>
      </c>
      <c r="P1209" s="68">
        <f t="shared" si="155"/>
        <v>31000</v>
      </c>
      <c r="Q1209" s="68">
        <f t="shared" si="155"/>
        <v>0</v>
      </c>
      <c r="R1209" s="68">
        <f t="shared" si="155"/>
        <v>6370</v>
      </c>
      <c r="S1209" s="68">
        <f t="shared" si="155"/>
        <v>0</v>
      </c>
      <c r="T1209" s="68">
        <f t="shared" si="155"/>
        <v>0</v>
      </c>
      <c r="U1209" s="68">
        <f t="shared" si="155"/>
        <v>0</v>
      </c>
      <c r="V1209" s="68">
        <f t="shared" si="155"/>
        <v>0</v>
      </c>
      <c r="W1209" s="68">
        <f t="shared" si="155"/>
        <v>0</v>
      </c>
      <c r="X1209" s="68">
        <f t="shared" si="155"/>
        <v>110435</v>
      </c>
      <c r="Y1209" s="68">
        <f t="shared" si="155"/>
        <v>0</v>
      </c>
      <c r="Z1209" s="68">
        <f t="shared" si="155"/>
        <v>0</v>
      </c>
      <c r="AA1209" s="68">
        <f t="shared" si="155"/>
        <v>0</v>
      </c>
      <c r="AB1209" s="68">
        <f t="shared" si="155"/>
        <v>118912</v>
      </c>
      <c r="AC1209" s="68">
        <f t="shared" si="155"/>
        <v>0</v>
      </c>
      <c r="AD1209" s="68">
        <f t="shared" si="155"/>
        <v>2323.0500000000002</v>
      </c>
      <c r="AE1209" s="68">
        <f t="shared" si="155"/>
        <v>0</v>
      </c>
      <c r="AF1209" s="68">
        <f t="shared" si="155"/>
        <v>0</v>
      </c>
      <c r="AG1209" s="68">
        <f t="shared" si="155"/>
        <v>0</v>
      </c>
      <c r="AH1209" s="68">
        <f t="shared" si="155"/>
        <v>0</v>
      </c>
      <c r="AI1209" s="68">
        <f t="shared" si="155"/>
        <v>0</v>
      </c>
      <c r="AJ1209" s="68">
        <f t="shared" si="155"/>
        <v>0</v>
      </c>
      <c r="AK1209" s="68">
        <f t="shared" si="155"/>
        <v>0</v>
      </c>
      <c r="AL1209" s="68">
        <f t="shared" si="155"/>
        <v>0</v>
      </c>
      <c r="AM1209" s="68">
        <f t="shared" si="155"/>
        <v>0</v>
      </c>
      <c r="AN1209" s="68">
        <f t="shared" ref="AN1209:BS1209" si="156">SUM(AN961:AN1208)-AN1210-AN1211</f>
        <v>0</v>
      </c>
      <c r="AO1209" s="68">
        <f t="shared" si="156"/>
        <v>0</v>
      </c>
      <c r="AP1209" s="68">
        <f t="shared" si="156"/>
        <v>0</v>
      </c>
      <c r="AQ1209" s="68">
        <f t="shared" si="156"/>
        <v>0</v>
      </c>
      <c r="AR1209" s="68">
        <f t="shared" si="156"/>
        <v>0</v>
      </c>
      <c r="AS1209" s="68">
        <f t="shared" si="156"/>
        <v>4264995.5600000005</v>
      </c>
      <c r="AT1209" s="68">
        <f t="shared" si="156"/>
        <v>3112402.4799999986</v>
      </c>
      <c r="AU1209" s="68">
        <f t="shared" si="156"/>
        <v>541031.21000000008</v>
      </c>
      <c r="AV1209" s="68">
        <f t="shared" si="156"/>
        <v>454268.93999999989</v>
      </c>
      <c r="AW1209" s="68">
        <f t="shared" si="156"/>
        <v>325.20999999999998</v>
      </c>
      <c r="AX1209" s="68">
        <f t="shared" si="156"/>
        <v>486.1</v>
      </c>
      <c r="AY1209" s="68">
        <f t="shared" si="156"/>
        <v>0</v>
      </c>
      <c r="AZ1209" s="68">
        <f t="shared" si="156"/>
        <v>0</v>
      </c>
      <c r="BA1209" s="68">
        <f t="shared" si="156"/>
        <v>0</v>
      </c>
      <c r="BB1209" s="68">
        <f t="shared" si="156"/>
        <v>0</v>
      </c>
      <c r="BC1209" s="68">
        <f t="shared" si="156"/>
        <v>0</v>
      </c>
      <c r="BD1209" s="68">
        <f t="shared" si="156"/>
        <v>0</v>
      </c>
      <c r="BE1209" s="68">
        <f t="shared" si="156"/>
        <v>0</v>
      </c>
      <c r="BF1209" s="68">
        <f t="shared" si="156"/>
        <v>0</v>
      </c>
      <c r="BG1209" s="68">
        <f t="shared" si="156"/>
        <v>1831.5</v>
      </c>
      <c r="BH1209" s="68">
        <f t="shared" si="156"/>
        <v>142</v>
      </c>
      <c r="BI1209" s="68">
        <f t="shared" si="156"/>
        <v>549.6</v>
      </c>
      <c r="BJ1209" s="68">
        <f t="shared" si="156"/>
        <v>3371.55</v>
      </c>
      <c r="BK1209" s="68">
        <f t="shared" si="156"/>
        <v>0</v>
      </c>
      <c r="BL1209" s="68">
        <f t="shared" si="156"/>
        <v>0</v>
      </c>
      <c r="BM1209" s="68">
        <f t="shared" si="156"/>
        <v>0</v>
      </c>
      <c r="BN1209" s="68">
        <f t="shared" si="156"/>
        <v>0</v>
      </c>
      <c r="BO1209" s="68">
        <f t="shared" si="156"/>
        <v>31000</v>
      </c>
      <c r="BP1209" s="68">
        <f t="shared" si="156"/>
        <v>0</v>
      </c>
      <c r="BQ1209" s="68">
        <f t="shared" si="156"/>
        <v>0</v>
      </c>
      <c r="BR1209" s="68">
        <f t="shared" si="156"/>
        <v>118912</v>
      </c>
      <c r="BS1209" s="68">
        <f t="shared" si="156"/>
        <v>0</v>
      </c>
      <c r="BT1209" s="68">
        <f t="shared" ref="BT1209:CE1209" si="157">SUM(BT961:BT1208)-BT1210-BT1211</f>
        <v>0</v>
      </c>
      <c r="BU1209" s="68">
        <f t="shared" si="157"/>
        <v>0</v>
      </c>
      <c r="BV1209" s="68">
        <f t="shared" si="157"/>
        <v>0</v>
      </c>
      <c r="BW1209" s="68">
        <f t="shared" si="157"/>
        <v>0</v>
      </c>
      <c r="BX1209" s="68">
        <f t="shared" si="157"/>
        <v>0</v>
      </c>
      <c r="BY1209" s="68">
        <f t="shared" si="157"/>
        <v>0</v>
      </c>
      <c r="BZ1209" s="68">
        <f t="shared" si="157"/>
        <v>0</v>
      </c>
      <c r="CA1209" s="68">
        <f t="shared" si="157"/>
        <v>674.97</v>
      </c>
      <c r="CB1209" s="68">
        <f t="shared" si="157"/>
        <v>0</v>
      </c>
      <c r="CC1209" s="68">
        <f t="shared" si="157"/>
        <v>0</v>
      </c>
      <c r="CD1209" s="68">
        <f t="shared" si="157"/>
        <v>4264995.5600000005</v>
      </c>
      <c r="CE1209" s="68">
        <f t="shared" si="157"/>
        <v>0</v>
      </c>
      <c r="CG1209" s="68">
        <f t="shared" ref="CG1209:CL1209" si="158">SUM(CG961:CG1208)-CG1210-CG1211</f>
        <v>0</v>
      </c>
      <c r="CH1209" s="68">
        <f t="shared" si="158"/>
        <v>0</v>
      </c>
      <c r="CI1209" s="68">
        <f t="shared" si="158"/>
        <v>0</v>
      </c>
      <c r="CJ1209" s="68">
        <f t="shared" si="158"/>
        <v>0</v>
      </c>
      <c r="CK1209" s="68">
        <f t="shared" si="158"/>
        <v>0</v>
      </c>
      <c r="CL1209" s="68">
        <f t="shared" si="158"/>
        <v>0</v>
      </c>
      <c r="CM1209" s="68">
        <f>SUM(CM961:CM1197)-CM1210</f>
        <v>0</v>
      </c>
      <c r="CN1209" s="68">
        <f>SUM(CN961:CN1197)-CN1210</f>
        <v>0</v>
      </c>
    </row>
    <row r="1210" spans="1:99" s="68" customFormat="1" x14ac:dyDescent="0.25">
      <c r="C1210" s="83"/>
      <c r="D1210" s="84"/>
      <c r="F1210" s="68" t="s">
        <v>2147</v>
      </c>
      <c r="H1210" s="68">
        <f>SUM(H1073:H1076)</f>
        <v>23772.13</v>
      </c>
      <c r="I1210" s="68">
        <f t="shared" ref="I1210:BT1210" si="159">SUM(I1073:I1076)</f>
        <v>0</v>
      </c>
      <c r="J1210" s="68">
        <f t="shared" si="159"/>
        <v>0</v>
      </c>
      <c r="K1210" s="68">
        <f t="shared" si="159"/>
        <v>0</v>
      </c>
      <c r="L1210" s="68">
        <f t="shared" si="159"/>
        <v>0</v>
      </c>
      <c r="M1210" s="68">
        <f t="shared" si="159"/>
        <v>0</v>
      </c>
      <c r="N1210" s="68">
        <f t="shared" si="159"/>
        <v>0</v>
      </c>
      <c r="O1210" s="68">
        <f t="shared" si="159"/>
        <v>0</v>
      </c>
      <c r="P1210" s="68">
        <f t="shared" si="159"/>
        <v>0</v>
      </c>
      <c r="Q1210" s="68">
        <f t="shared" si="159"/>
        <v>0</v>
      </c>
      <c r="R1210" s="68">
        <f t="shared" si="159"/>
        <v>0</v>
      </c>
      <c r="S1210" s="68">
        <f t="shared" si="159"/>
        <v>0</v>
      </c>
      <c r="T1210" s="68">
        <f t="shared" si="159"/>
        <v>0</v>
      </c>
      <c r="U1210" s="68">
        <f t="shared" si="159"/>
        <v>0</v>
      </c>
      <c r="V1210" s="68">
        <f t="shared" si="159"/>
        <v>0</v>
      </c>
      <c r="W1210" s="68">
        <f t="shared" si="159"/>
        <v>0</v>
      </c>
      <c r="X1210" s="68">
        <f t="shared" si="159"/>
        <v>0</v>
      </c>
      <c r="Y1210" s="68">
        <f t="shared" si="159"/>
        <v>0</v>
      </c>
      <c r="Z1210" s="68">
        <f t="shared" si="159"/>
        <v>0</v>
      </c>
      <c r="AA1210" s="68">
        <f t="shared" si="159"/>
        <v>0</v>
      </c>
      <c r="AB1210" s="68">
        <f t="shared" si="159"/>
        <v>0</v>
      </c>
      <c r="AC1210" s="68">
        <f t="shared" si="159"/>
        <v>0</v>
      </c>
      <c r="AD1210" s="68">
        <f t="shared" si="159"/>
        <v>0</v>
      </c>
      <c r="AE1210" s="68">
        <f t="shared" si="159"/>
        <v>0</v>
      </c>
      <c r="AF1210" s="68">
        <f t="shared" si="159"/>
        <v>0</v>
      </c>
      <c r="AG1210" s="68">
        <f t="shared" si="159"/>
        <v>0</v>
      </c>
      <c r="AH1210" s="68">
        <f t="shared" si="159"/>
        <v>0</v>
      </c>
      <c r="AI1210" s="68">
        <f t="shared" si="159"/>
        <v>0</v>
      </c>
      <c r="AJ1210" s="68">
        <f t="shared" si="159"/>
        <v>0</v>
      </c>
      <c r="AK1210" s="68">
        <f t="shared" si="159"/>
        <v>0</v>
      </c>
      <c r="AL1210" s="68">
        <f t="shared" si="159"/>
        <v>0</v>
      </c>
      <c r="AM1210" s="68">
        <f t="shared" si="159"/>
        <v>0</v>
      </c>
      <c r="AN1210" s="68">
        <f t="shared" si="159"/>
        <v>0</v>
      </c>
      <c r="AO1210" s="68">
        <f t="shared" si="159"/>
        <v>0</v>
      </c>
      <c r="AP1210" s="68">
        <f t="shared" si="159"/>
        <v>0</v>
      </c>
      <c r="AQ1210" s="68">
        <f t="shared" si="159"/>
        <v>0</v>
      </c>
      <c r="AR1210" s="68">
        <f t="shared" si="159"/>
        <v>0</v>
      </c>
      <c r="AS1210" s="68">
        <f t="shared" si="159"/>
        <v>23772.13</v>
      </c>
      <c r="AT1210" s="68">
        <f t="shared" si="159"/>
        <v>16110.350000000002</v>
      </c>
      <c r="AU1210" s="68">
        <f t="shared" si="159"/>
        <v>1900.6799999999998</v>
      </c>
      <c r="AV1210" s="68">
        <f t="shared" si="159"/>
        <v>5751</v>
      </c>
      <c r="AW1210" s="68">
        <f t="shared" si="159"/>
        <v>10.1</v>
      </c>
      <c r="AX1210" s="68">
        <f t="shared" si="159"/>
        <v>0</v>
      </c>
      <c r="AY1210" s="68">
        <f t="shared" si="159"/>
        <v>0</v>
      </c>
      <c r="AZ1210" s="68">
        <f t="shared" si="159"/>
        <v>0</v>
      </c>
      <c r="BA1210" s="68">
        <f t="shared" si="159"/>
        <v>0</v>
      </c>
      <c r="BB1210" s="68">
        <f t="shared" si="159"/>
        <v>0</v>
      </c>
      <c r="BC1210" s="68">
        <f t="shared" si="159"/>
        <v>0</v>
      </c>
      <c r="BD1210" s="68">
        <f t="shared" si="159"/>
        <v>0</v>
      </c>
      <c r="BE1210" s="68">
        <f t="shared" si="159"/>
        <v>0</v>
      </c>
      <c r="BF1210" s="68">
        <f t="shared" si="159"/>
        <v>0</v>
      </c>
      <c r="BG1210" s="68">
        <f t="shared" si="159"/>
        <v>0</v>
      </c>
      <c r="BH1210" s="68">
        <f t="shared" si="159"/>
        <v>0</v>
      </c>
      <c r="BI1210" s="68">
        <f t="shared" si="159"/>
        <v>0</v>
      </c>
      <c r="BJ1210" s="68">
        <f t="shared" si="159"/>
        <v>0</v>
      </c>
      <c r="BK1210" s="68">
        <f t="shared" si="159"/>
        <v>0</v>
      </c>
      <c r="BL1210" s="68">
        <f t="shared" si="159"/>
        <v>0</v>
      </c>
      <c r="BM1210" s="68">
        <f t="shared" si="159"/>
        <v>0</v>
      </c>
      <c r="BN1210" s="68">
        <f t="shared" si="159"/>
        <v>0</v>
      </c>
      <c r="BO1210" s="68">
        <f t="shared" si="159"/>
        <v>0</v>
      </c>
      <c r="BP1210" s="68">
        <f t="shared" si="159"/>
        <v>0</v>
      </c>
      <c r="BQ1210" s="68">
        <f t="shared" si="159"/>
        <v>0</v>
      </c>
      <c r="BR1210" s="68">
        <f t="shared" si="159"/>
        <v>0</v>
      </c>
      <c r="BS1210" s="68">
        <f t="shared" si="159"/>
        <v>0</v>
      </c>
      <c r="BT1210" s="68">
        <f t="shared" si="159"/>
        <v>0</v>
      </c>
      <c r="BU1210" s="68">
        <f t="shared" ref="BU1210:CH1210" si="160">SUM(BU1073:BU1076)</f>
        <v>0</v>
      </c>
      <c r="BV1210" s="68">
        <f t="shared" si="160"/>
        <v>0</v>
      </c>
      <c r="BW1210" s="68">
        <f t="shared" si="160"/>
        <v>0</v>
      </c>
      <c r="BX1210" s="68">
        <f t="shared" si="160"/>
        <v>0</v>
      </c>
      <c r="BY1210" s="68">
        <f t="shared" si="160"/>
        <v>0</v>
      </c>
      <c r="BZ1210" s="68">
        <f t="shared" si="160"/>
        <v>0</v>
      </c>
      <c r="CA1210" s="68">
        <f t="shared" si="160"/>
        <v>0</v>
      </c>
      <c r="CB1210" s="68">
        <f t="shared" si="160"/>
        <v>0</v>
      </c>
      <c r="CC1210" s="68">
        <f t="shared" si="160"/>
        <v>0</v>
      </c>
      <c r="CD1210" s="68">
        <f t="shared" si="160"/>
        <v>23772.13</v>
      </c>
      <c r="CE1210" s="68">
        <f t="shared" si="160"/>
        <v>0</v>
      </c>
      <c r="CG1210" s="68">
        <f t="shared" si="160"/>
        <v>0</v>
      </c>
      <c r="CH1210" s="68">
        <f t="shared" si="160"/>
        <v>0</v>
      </c>
      <c r="CI1210" s="68">
        <f>+CI1073+CI1074+CI1076</f>
        <v>0</v>
      </c>
      <c r="CJ1210" s="68">
        <f>+CJ1073+CJ1074+CJ1076</f>
        <v>0</v>
      </c>
    </row>
    <row r="1211" spans="1:99" s="68" customFormat="1" x14ac:dyDescent="0.25">
      <c r="C1211" s="67"/>
      <c r="D1211" s="67"/>
      <c r="F1211" s="68" t="s">
        <v>2148</v>
      </c>
      <c r="H1211" s="68">
        <f t="shared" ref="H1211:BS1211" si="161">+H1201</f>
        <v>0</v>
      </c>
      <c r="I1211" s="68">
        <f t="shared" si="161"/>
        <v>0</v>
      </c>
      <c r="J1211" s="68">
        <f t="shared" si="161"/>
        <v>0</v>
      </c>
      <c r="K1211" s="68">
        <f t="shared" si="161"/>
        <v>0</v>
      </c>
      <c r="L1211" s="68">
        <f t="shared" si="161"/>
        <v>0</v>
      </c>
      <c r="M1211" s="68">
        <f t="shared" si="161"/>
        <v>0</v>
      </c>
      <c r="N1211" s="68">
        <f t="shared" si="161"/>
        <v>0</v>
      </c>
      <c r="O1211" s="68">
        <f t="shared" si="161"/>
        <v>0</v>
      </c>
      <c r="P1211" s="68">
        <f t="shared" si="161"/>
        <v>0</v>
      </c>
      <c r="Q1211" s="68">
        <f t="shared" si="161"/>
        <v>0</v>
      </c>
      <c r="R1211" s="68">
        <f t="shared" si="161"/>
        <v>0</v>
      </c>
      <c r="S1211" s="68">
        <f t="shared" si="161"/>
        <v>0</v>
      </c>
      <c r="T1211" s="68">
        <f t="shared" si="161"/>
        <v>0</v>
      </c>
      <c r="U1211" s="68">
        <f t="shared" si="161"/>
        <v>0</v>
      </c>
      <c r="V1211" s="68">
        <f t="shared" si="161"/>
        <v>0</v>
      </c>
      <c r="W1211" s="68">
        <f t="shared" si="161"/>
        <v>0</v>
      </c>
      <c r="X1211" s="68">
        <f t="shared" si="161"/>
        <v>0</v>
      </c>
      <c r="Y1211" s="68">
        <f t="shared" si="161"/>
        <v>0</v>
      </c>
      <c r="Z1211" s="68">
        <f t="shared" si="161"/>
        <v>0</v>
      </c>
      <c r="AA1211" s="68">
        <f t="shared" si="161"/>
        <v>0</v>
      </c>
      <c r="AB1211" s="68">
        <f t="shared" si="161"/>
        <v>0</v>
      </c>
      <c r="AC1211" s="68">
        <f t="shared" si="161"/>
        <v>0</v>
      </c>
      <c r="AD1211" s="68">
        <f t="shared" si="161"/>
        <v>2311.2399999999998</v>
      </c>
      <c r="AE1211" s="68">
        <f t="shared" si="161"/>
        <v>0</v>
      </c>
      <c r="AF1211" s="68">
        <f t="shared" si="161"/>
        <v>0</v>
      </c>
      <c r="AG1211" s="68">
        <f t="shared" si="161"/>
        <v>0</v>
      </c>
      <c r="AH1211" s="68">
        <f t="shared" si="161"/>
        <v>0</v>
      </c>
      <c r="AI1211" s="68">
        <f t="shared" si="161"/>
        <v>0</v>
      </c>
      <c r="AJ1211" s="68">
        <f t="shared" si="161"/>
        <v>0</v>
      </c>
      <c r="AK1211" s="68">
        <f t="shared" si="161"/>
        <v>0</v>
      </c>
      <c r="AL1211" s="68">
        <f t="shared" si="161"/>
        <v>0</v>
      </c>
      <c r="AM1211" s="68">
        <f t="shared" si="161"/>
        <v>0</v>
      </c>
      <c r="AN1211" s="68">
        <f t="shared" si="161"/>
        <v>0</v>
      </c>
      <c r="AO1211" s="68">
        <f t="shared" si="161"/>
        <v>0</v>
      </c>
      <c r="AP1211" s="68">
        <f t="shared" si="161"/>
        <v>0</v>
      </c>
      <c r="AQ1211" s="68">
        <f t="shared" si="161"/>
        <v>0</v>
      </c>
      <c r="AR1211" s="68">
        <f t="shared" si="161"/>
        <v>0</v>
      </c>
      <c r="AS1211" s="68">
        <f t="shared" si="161"/>
        <v>2311.2399999999998</v>
      </c>
      <c r="AT1211" s="68">
        <f t="shared" si="161"/>
        <v>2311.2399999999998</v>
      </c>
      <c r="AU1211" s="68">
        <f t="shared" si="161"/>
        <v>0</v>
      </c>
      <c r="AV1211" s="68">
        <f t="shared" si="161"/>
        <v>0</v>
      </c>
      <c r="AW1211" s="68">
        <f t="shared" si="161"/>
        <v>0</v>
      </c>
      <c r="AX1211" s="68">
        <f t="shared" si="161"/>
        <v>0</v>
      </c>
      <c r="AY1211" s="68">
        <f t="shared" si="161"/>
        <v>0</v>
      </c>
      <c r="AZ1211" s="68">
        <f t="shared" si="161"/>
        <v>0</v>
      </c>
      <c r="BA1211" s="68">
        <f t="shared" si="161"/>
        <v>0</v>
      </c>
      <c r="BB1211" s="68">
        <f t="shared" si="161"/>
        <v>0</v>
      </c>
      <c r="BC1211" s="68">
        <f t="shared" si="161"/>
        <v>0</v>
      </c>
      <c r="BD1211" s="68">
        <f t="shared" si="161"/>
        <v>0</v>
      </c>
      <c r="BE1211" s="68">
        <f t="shared" si="161"/>
        <v>0</v>
      </c>
      <c r="BF1211" s="68">
        <f t="shared" si="161"/>
        <v>0</v>
      </c>
      <c r="BG1211" s="68">
        <f t="shared" si="161"/>
        <v>0</v>
      </c>
      <c r="BH1211" s="68">
        <f t="shared" si="161"/>
        <v>0</v>
      </c>
      <c r="BI1211" s="68">
        <f t="shared" si="161"/>
        <v>0</v>
      </c>
      <c r="BJ1211" s="68">
        <f t="shared" si="161"/>
        <v>0</v>
      </c>
      <c r="BK1211" s="68">
        <f t="shared" si="161"/>
        <v>0</v>
      </c>
      <c r="BL1211" s="68">
        <f t="shared" si="161"/>
        <v>0</v>
      </c>
      <c r="BM1211" s="68">
        <f t="shared" si="161"/>
        <v>0</v>
      </c>
      <c r="BN1211" s="68">
        <f t="shared" si="161"/>
        <v>0</v>
      </c>
      <c r="BO1211" s="68">
        <f t="shared" si="161"/>
        <v>0</v>
      </c>
      <c r="BP1211" s="68">
        <f t="shared" si="161"/>
        <v>0</v>
      </c>
      <c r="BQ1211" s="68">
        <f t="shared" si="161"/>
        <v>0</v>
      </c>
      <c r="BR1211" s="68">
        <f t="shared" si="161"/>
        <v>0</v>
      </c>
      <c r="BS1211" s="68">
        <f t="shared" si="161"/>
        <v>0</v>
      </c>
      <c r="BT1211" s="68">
        <f t="shared" ref="BT1211:CE1211" si="162">+BT1201</f>
        <v>0</v>
      </c>
      <c r="BU1211" s="68">
        <f t="shared" si="162"/>
        <v>0</v>
      </c>
      <c r="BV1211" s="68">
        <f t="shared" si="162"/>
        <v>0</v>
      </c>
      <c r="BW1211" s="68">
        <f t="shared" si="162"/>
        <v>0</v>
      </c>
      <c r="BX1211" s="68">
        <f t="shared" si="162"/>
        <v>0</v>
      </c>
      <c r="BY1211" s="68">
        <f t="shared" si="162"/>
        <v>0</v>
      </c>
      <c r="BZ1211" s="68">
        <f t="shared" si="162"/>
        <v>0</v>
      </c>
      <c r="CA1211" s="68">
        <f t="shared" si="162"/>
        <v>0</v>
      </c>
      <c r="CB1211" s="68">
        <f t="shared" si="162"/>
        <v>0</v>
      </c>
      <c r="CC1211" s="68">
        <f t="shared" si="162"/>
        <v>0</v>
      </c>
      <c r="CD1211" s="68">
        <f t="shared" si="162"/>
        <v>2311.2399999999998</v>
      </c>
      <c r="CE1211" s="68">
        <f t="shared" si="162"/>
        <v>0</v>
      </c>
      <c r="CG1211" s="68">
        <f t="shared" ref="CG1211:CO1211" si="163">+CG1201</f>
        <v>0</v>
      </c>
      <c r="CH1211" s="68">
        <f t="shared" si="163"/>
        <v>0</v>
      </c>
      <c r="CI1211" s="68">
        <f t="shared" si="163"/>
        <v>0</v>
      </c>
      <c r="CJ1211" s="68">
        <f t="shared" si="163"/>
        <v>0</v>
      </c>
      <c r="CK1211" s="68">
        <f t="shared" si="163"/>
        <v>0</v>
      </c>
      <c r="CL1211" s="68">
        <f t="shared" si="163"/>
        <v>0</v>
      </c>
      <c r="CM1211" s="68">
        <f t="shared" si="163"/>
        <v>0</v>
      </c>
      <c r="CN1211" s="68">
        <f t="shared" si="163"/>
        <v>0</v>
      </c>
      <c r="CO1211" s="68">
        <f t="shared" si="163"/>
        <v>0</v>
      </c>
    </row>
    <row r="1212" spans="1:99" s="57" customFormat="1" x14ac:dyDescent="0.25">
      <c r="A1212" s="57">
        <v>0</v>
      </c>
      <c r="C1212" s="82">
        <v>0</v>
      </c>
      <c r="D1212" s="78"/>
      <c r="E1212" s="57">
        <v>0</v>
      </c>
      <c r="F1212" s="57">
        <v>0</v>
      </c>
      <c r="G1212" s="63"/>
      <c r="H1212" s="57">
        <f t="shared" ref="H1212:AN1212" si="164">SUM(H56:H745)</f>
        <v>13780803.270000013</v>
      </c>
      <c r="I1212" s="57">
        <f t="shared" si="164"/>
        <v>1102307.1200000001</v>
      </c>
      <c r="J1212" s="57">
        <f t="shared" si="164"/>
        <v>8000</v>
      </c>
      <c r="K1212" s="57">
        <f t="shared" si="164"/>
        <v>0</v>
      </c>
      <c r="L1212" s="57">
        <f t="shared" si="164"/>
        <v>133746.06</v>
      </c>
      <c r="M1212" s="57">
        <f t="shared" si="164"/>
        <v>133746.06</v>
      </c>
      <c r="N1212" s="57">
        <f t="shared" si="164"/>
        <v>133746.06</v>
      </c>
      <c r="O1212" s="57">
        <f t="shared" si="164"/>
        <v>0</v>
      </c>
      <c r="P1212" s="57">
        <f t="shared" si="164"/>
        <v>16000</v>
      </c>
      <c r="Q1212" s="57">
        <f t="shared" si="164"/>
        <v>0</v>
      </c>
      <c r="R1212" s="57">
        <f t="shared" si="164"/>
        <v>8084.9</v>
      </c>
      <c r="S1212" s="57">
        <f t="shared" si="164"/>
        <v>45903.1</v>
      </c>
      <c r="T1212" s="57">
        <f t="shared" si="164"/>
        <v>2338415.2400000002</v>
      </c>
      <c r="U1212" s="57">
        <f t="shared" si="164"/>
        <v>3136890.72</v>
      </c>
      <c r="V1212" s="57">
        <f t="shared" si="164"/>
        <v>3376</v>
      </c>
      <c r="W1212" s="57">
        <f t="shared" si="164"/>
        <v>0</v>
      </c>
      <c r="X1212" s="57">
        <f t="shared" si="164"/>
        <v>739950.38</v>
      </c>
      <c r="Y1212" s="57">
        <f t="shared" si="164"/>
        <v>0</v>
      </c>
      <c r="Z1212" s="57">
        <f t="shared" si="164"/>
        <v>0</v>
      </c>
      <c r="AA1212" s="57">
        <f t="shared" si="164"/>
        <v>0</v>
      </c>
      <c r="AB1212" s="57">
        <f t="shared" si="164"/>
        <v>0</v>
      </c>
      <c r="AC1212" s="57">
        <f t="shared" si="164"/>
        <v>0</v>
      </c>
      <c r="AD1212" s="57">
        <f t="shared" si="164"/>
        <v>0</v>
      </c>
      <c r="AE1212" s="57">
        <f t="shared" si="164"/>
        <v>0</v>
      </c>
      <c r="AF1212" s="57">
        <f t="shared" si="164"/>
        <v>0</v>
      </c>
      <c r="AG1212" s="57">
        <f t="shared" si="164"/>
        <v>0</v>
      </c>
      <c r="AH1212" s="57">
        <f t="shared" si="164"/>
        <v>0</v>
      </c>
      <c r="AI1212" s="57">
        <f t="shared" si="164"/>
        <v>0</v>
      </c>
      <c r="AJ1212" s="57">
        <f t="shared" si="164"/>
        <v>0</v>
      </c>
      <c r="AK1212" s="57">
        <f t="shared" si="164"/>
        <v>0</v>
      </c>
      <c r="AL1212" s="57">
        <f t="shared" si="164"/>
        <v>0</v>
      </c>
      <c r="AM1212" s="57">
        <f t="shared" si="164"/>
        <v>0</v>
      </c>
      <c r="AN1212" s="57">
        <f t="shared" si="164"/>
        <v>0</v>
      </c>
      <c r="AP1212" s="57">
        <f>SUM(AP56:AP745)</f>
        <v>0</v>
      </c>
      <c r="AQ1212" s="57">
        <f>SUM(AQ56:AQ745)</f>
        <v>0</v>
      </c>
      <c r="AR1212" s="57">
        <f>SUM(AR56:AR745)</f>
        <v>0</v>
      </c>
      <c r="AS1212" s="91">
        <f t="shared" si="144"/>
        <v>21580968.910000011</v>
      </c>
      <c r="AT1212" s="57">
        <f t="shared" ref="AT1212:CC1212" si="165">SUM(AT56:AT745)</f>
        <v>18875147.810000002</v>
      </c>
      <c r="AU1212" s="57">
        <f t="shared" si="165"/>
        <v>1432664.0100000012</v>
      </c>
      <c r="AV1212" s="57">
        <f t="shared" si="165"/>
        <v>893607.4499999996</v>
      </c>
      <c r="AW1212" s="57">
        <f t="shared" si="165"/>
        <v>50739.619999999995</v>
      </c>
      <c r="AX1212" s="57">
        <f t="shared" si="165"/>
        <v>0</v>
      </c>
      <c r="AY1212" s="57">
        <f t="shared" si="165"/>
        <v>0</v>
      </c>
      <c r="AZ1212" s="57">
        <f t="shared" si="165"/>
        <v>0</v>
      </c>
      <c r="BA1212" s="57">
        <f t="shared" si="165"/>
        <v>0</v>
      </c>
      <c r="BB1212" s="57">
        <f t="shared" si="165"/>
        <v>0</v>
      </c>
      <c r="BC1212" s="57">
        <f t="shared" si="165"/>
        <v>0</v>
      </c>
      <c r="BD1212" s="69">
        <f t="shared" si="165"/>
        <v>0</v>
      </c>
      <c r="BE1212" s="69">
        <f t="shared" si="165"/>
        <v>0</v>
      </c>
      <c r="BF1212" s="57">
        <f t="shared" si="165"/>
        <v>0</v>
      </c>
      <c r="BG1212" s="57">
        <f t="shared" si="165"/>
        <v>13479.300000000001</v>
      </c>
      <c r="BH1212" s="57">
        <f t="shared" si="165"/>
        <v>996</v>
      </c>
      <c r="BI1212" s="57">
        <f t="shared" si="165"/>
        <v>4628</v>
      </c>
      <c r="BJ1212" s="57">
        <f t="shared" si="165"/>
        <v>14007.2</v>
      </c>
      <c r="BK1212" s="57">
        <f t="shared" si="165"/>
        <v>6687.4</v>
      </c>
      <c r="BL1212" s="57">
        <f t="shared" si="165"/>
        <v>133746.06</v>
      </c>
      <c r="BM1212" s="57">
        <f t="shared" si="165"/>
        <v>133746.06</v>
      </c>
      <c r="BN1212" s="57">
        <f t="shared" si="165"/>
        <v>0</v>
      </c>
      <c r="BO1212" s="57">
        <f t="shared" si="165"/>
        <v>16000</v>
      </c>
      <c r="BP1212" s="57">
        <f t="shared" si="165"/>
        <v>0</v>
      </c>
      <c r="BQ1212" s="57">
        <f t="shared" si="165"/>
        <v>0</v>
      </c>
      <c r="BR1212" s="57">
        <f t="shared" si="165"/>
        <v>0</v>
      </c>
      <c r="BS1212" s="57">
        <f t="shared" si="165"/>
        <v>0</v>
      </c>
      <c r="BT1212" s="57">
        <f t="shared" si="165"/>
        <v>0</v>
      </c>
      <c r="BU1212" s="57">
        <f t="shared" si="165"/>
        <v>0</v>
      </c>
      <c r="BV1212" s="57">
        <f t="shared" si="165"/>
        <v>0</v>
      </c>
      <c r="BW1212" s="57">
        <f t="shared" si="165"/>
        <v>0</v>
      </c>
      <c r="BX1212" s="57">
        <f t="shared" si="165"/>
        <v>0</v>
      </c>
      <c r="BY1212" s="57">
        <f t="shared" si="165"/>
        <v>0</v>
      </c>
      <c r="BZ1212" s="57">
        <f t="shared" si="165"/>
        <v>0</v>
      </c>
      <c r="CA1212" s="57">
        <f t="shared" si="165"/>
        <v>0</v>
      </c>
      <c r="CB1212" s="57">
        <f t="shared" si="165"/>
        <v>0</v>
      </c>
      <c r="CC1212" s="57">
        <f t="shared" si="165"/>
        <v>5520</v>
      </c>
      <c r="CD1212" s="91">
        <f t="shared" ref="CD1212:CD1264" si="166">SUM(AT1212:CC1212)</f>
        <v>21580968.91</v>
      </c>
      <c r="CE1212" s="69">
        <f t="shared" ref="CE1212:CE1275" si="167">+CD1212-AS1212</f>
        <v>0</v>
      </c>
      <c r="CF1212" s="75">
        <f t="shared" ref="CF1212:CG1249" si="168">+D1212</f>
        <v>0</v>
      </c>
      <c r="CG1212" s="69">
        <f t="shared" si="168"/>
        <v>0</v>
      </c>
      <c r="CH1212" s="57">
        <f t="shared" ref="CH1212:CU1212" si="169">SUM(CH56:CH745)</f>
        <v>0</v>
      </c>
      <c r="CI1212" s="57">
        <f t="shared" si="169"/>
        <v>0</v>
      </c>
      <c r="CJ1212" s="57">
        <f t="shared" si="169"/>
        <v>0</v>
      </c>
      <c r="CK1212" s="57">
        <f t="shared" si="169"/>
        <v>0</v>
      </c>
      <c r="CL1212" s="57">
        <f t="shared" si="169"/>
        <v>0</v>
      </c>
      <c r="CM1212" s="57">
        <f t="shared" si="169"/>
        <v>0</v>
      </c>
      <c r="CN1212" s="57">
        <f t="shared" si="169"/>
        <v>0</v>
      </c>
      <c r="CO1212" s="57">
        <f t="shared" si="169"/>
        <v>0</v>
      </c>
      <c r="CP1212" s="57">
        <f t="shared" si="169"/>
        <v>0</v>
      </c>
      <c r="CQ1212" s="57">
        <f t="shared" si="169"/>
        <v>0</v>
      </c>
      <c r="CR1212" s="57">
        <f t="shared" si="169"/>
        <v>0</v>
      </c>
      <c r="CS1212" s="57">
        <f t="shared" si="169"/>
        <v>0</v>
      </c>
      <c r="CT1212" s="57">
        <f t="shared" si="169"/>
        <v>0</v>
      </c>
      <c r="CU1212" s="57">
        <f t="shared" si="169"/>
        <v>0</v>
      </c>
    </row>
    <row r="1213" spans="1:99" x14ac:dyDescent="0.25">
      <c r="B1213" s="69" t="s">
        <v>2149</v>
      </c>
      <c r="C1213" s="82"/>
      <c r="D1213" s="78">
        <v>327</v>
      </c>
      <c r="E1213" s="69" t="s">
        <v>1431</v>
      </c>
      <c r="F1213" s="69" t="s">
        <v>1764</v>
      </c>
      <c r="G1213" s="69"/>
      <c r="U1213" s="69"/>
      <c r="V1213" s="69"/>
      <c r="AS1213" s="91">
        <f t="shared" si="144"/>
        <v>0</v>
      </c>
      <c r="AU1213" s="69"/>
      <c r="CD1213" s="91">
        <f t="shared" si="166"/>
        <v>0</v>
      </c>
      <c r="CE1213" s="69">
        <f t="shared" si="167"/>
        <v>0</v>
      </c>
      <c r="CF1213" s="75">
        <f t="shared" si="168"/>
        <v>327</v>
      </c>
      <c r="CG1213" s="69" t="str">
        <f t="shared" si="168"/>
        <v>لاب فقط</v>
      </c>
    </row>
    <row r="1214" spans="1:99" x14ac:dyDescent="0.25">
      <c r="B1214" s="69" t="s">
        <v>2150</v>
      </c>
      <c r="C1214" s="82"/>
      <c r="D1214" s="78">
        <v>328</v>
      </c>
      <c r="E1214" s="69" t="s">
        <v>1431</v>
      </c>
      <c r="F1214" s="69" t="s">
        <v>1764</v>
      </c>
      <c r="G1214" s="69"/>
      <c r="U1214" s="69"/>
      <c r="V1214" s="69"/>
      <c r="AS1214" s="91">
        <f t="shared" si="144"/>
        <v>0</v>
      </c>
      <c r="AU1214" s="69"/>
      <c r="CD1214" s="91">
        <f t="shared" si="166"/>
        <v>0</v>
      </c>
      <c r="CE1214" s="69">
        <f t="shared" si="167"/>
        <v>0</v>
      </c>
      <c r="CF1214" s="75">
        <f t="shared" si="168"/>
        <v>328</v>
      </c>
      <c r="CG1214" s="69" t="str">
        <f t="shared" si="168"/>
        <v>لاب فقط</v>
      </c>
    </row>
    <row r="1215" spans="1:99" x14ac:dyDescent="0.25">
      <c r="B1215" s="69" t="s">
        <v>2150</v>
      </c>
      <c r="C1215" s="82"/>
      <c r="D1215" s="78">
        <v>329</v>
      </c>
      <c r="E1215" s="69" t="s">
        <v>1431</v>
      </c>
      <c r="F1215" s="69" t="s">
        <v>1764</v>
      </c>
      <c r="G1215" s="69"/>
      <c r="U1215" s="69"/>
      <c r="V1215" s="69"/>
      <c r="AS1215" s="91">
        <f t="shared" si="144"/>
        <v>0</v>
      </c>
      <c r="AU1215" s="69"/>
      <c r="CD1215" s="91">
        <f t="shared" si="166"/>
        <v>0</v>
      </c>
      <c r="CE1215" s="69">
        <f t="shared" si="167"/>
        <v>0</v>
      </c>
      <c r="CF1215" s="75">
        <f t="shared" si="168"/>
        <v>329</v>
      </c>
      <c r="CG1215" s="69" t="str">
        <f t="shared" si="168"/>
        <v>لاب فقط</v>
      </c>
    </row>
    <row r="1216" spans="1:99" x14ac:dyDescent="0.25">
      <c r="B1216" s="69" t="s">
        <v>2151</v>
      </c>
      <c r="C1216" s="82"/>
      <c r="D1216" s="78">
        <v>330</v>
      </c>
      <c r="E1216" s="69" t="s">
        <v>1431</v>
      </c>
      <c r="F1216" s="69" t="s">
        <v>1764</v>
      </c>
      <c r="G1216" s="69"/>
      <c r="U1216" s="69"/>
      <c r="V1216" s="69"/>
      <c r="AS1216" s="91">
        <f t="shared" si="144"/>
        <v>0</v>
      </c>
      <c r="AU1216" s="69"/>
      <c r="CD1216" s="91">
        <f t="shared" si="166"/>
        <v>0</v>
      </c>
      <c r="CE1216" s="69">
        <f t="shared" si="167"/>
        <v>0</v>
      </c>
      <c r="CF1216" s="75">
        <f t="shared" si="168"/>
        <v>330</v>
      </c>
      <c r="CG1216" s="69" t="str">
        <f t="shared" si="168"/>
        <v>لاب فقط</v>
      </c>
    </row>
    <row r="1217" spans="3:87" ht="36" x14ac:dyDescent="0.25">
      <c r="C1217" s="82"/>
      <c r="D1217" s="78">
        <v>331</v>
      </c>
      <c r="F1217" s="77" t="s">
        <v>2152</v>
      </c>
      <c r="G1217" s="69"/>
      <c r="U1217" s="69"/>
      <c r="V1217" s="69"/>
      <c r="AC1217" s="69">
        <v>101550</v>
      </c>
      <c r="AS1217" s="91">
        <f t="shared" si="144"/>
        <v>101550</v>
      </c>
      <c r="AU1217" s="69"/>
      <c r="BQ1217" s="69">
        <v>101550</v>
      </c>
      <c r="CD1217" s="91">
        <f t="shared" si="166"/>
        <v>101550</v>
      </c>
      <c r="CE1217" s="69">
        <f t="shared" si="167"/>
        <v>0</v>
      </c>
      <c r="CF1217" s="75">
        <f t="shared" si="168"/>
        <v>331</v>
      </c>
      <c r="CG1217" s="69">
        <f t="shared" si="168"/>
        <v>0</v>
      </c>
    </row>
    <row r="1218" spans="3:87" x14ac:dyDescent="0.25">
      <c r="C1218" s="82"/>
      <c r="D1218" s="78">
        <v>332</v>
      </c>
      <c r="F1218" s="69" t="s">
        <v>2153</v>
      </c>
      <c r="G1218" s="69"/>
      <c r="U1218" s="69"/>
      <c r="V1218" s="69"/>
      <c r="AC1218" s="69">
        <v>250000</v>
      </c>
      <c r="AS1218" s="91">
        <f t="shared" si="144"/>
        <v>250000</v>
      </c>
      <c r="AU1218" s="69"/>
      <c r="BQ1218" s="69">
        <v>250000</v>
      </c>
      <c r="CD1218" s="91">
        <f t="shared" si="166"/>
        <v>250000</v>
      </c>
      <c r="CE1218" s="69">
        <f t="shared" si="167"/>
        <v>0</v>
      </c>
      <c r="CF1218" s="75">
        <f t="shared" si="168"/>
        <v>332</v>
      </c>
      <c r="CG1218" s="69">
        <f t="shared" si="168"/>
        <v>0</v>
      </c>
    </row>
    <row r="1219" spans="3:87" x14ac:dyDescent="0.25">
      <c r="C1219" s="82"/>
      <c r="D1219" s="78">
        <v>333</v>
      </c>
      <c r="E1219" s="69" t="s">
        <v>121</v>
      </c>
      <c r="F1219" s="69" t="s">
        <v>2154</v>
      </c>
      <c r="G1219" s="69"/>
      <c r="Q1219" s="69">
        <v>3000</v>
      </c>
      <c r="U1219" s="69"/>
      <c r="V1219" s="69"/>
      <c r="AF1219" s="69">
        <v>1763</v>
      </c>
      <c r="AS1219" s="91">
        <f t="shared" si="144"/>
        <v>4763</v>
      </c>
      <c r="AU1219" s="69"/>
      <c r="BE1219" s="69">
        <v>1763</v>
      </c>
      <c r="BP1219" s="69">
        <v>3000</v>
      </c>
      <c r="CD1219" s="91">
        <f t="shared" si="166"/>
        <v>4763</v>
      </c>
      <c r="CE1219" s="69">
        <f t="shared" si="167"/>
        <v>0</v>
      </c>
      <c r="CF1219" s="75">
        <f t="shared" si="168"/>
        <v>333</v>
      </c>
      <c r="CG1219" s="69" t="str">
        <f t="shared" si="168"/>
        <v>ماليزى اسنان</v>
      </c>
    </row>
    <row r="1220" spans="3:87" x14ac:dyDescent="0.25">
      <c r="C1220" s="82"/>
      <c r="D1220" s="78">
        <v>334</v>
      </c>
      <c r="F1220" s="69" t="s">
        <v>2155</v>
      </c>
      <c r="G1220" s="69"/>
      <c r="Q1220" s="69">
        <v>3500</v>
      </c>
      <c r="U1220" s="69"/>
      <c r="V1220" s="69"/>
      <c r="AS1220" s="91">
        <f t="shared" si="144"/>
        <v>3500</v>
      </c>
      <c r="AU1220" s="69"/>
      <c r="BP1220" s="69">
        <v>3500</v>
      </c>
      <c r="CD1220" s="91">
        <f t="shared" si="166"/>
        <v>3500</v>
      </c>
      <c r="CE1220" s="69">
        <f t="shared" si="167"/>
        <v>0</v>
      </c>
      <c r="CF1220" s="75">
        <f t="shared" si="168"/>
        <v>334</v>
      </c>
      <c r="CG1220" s="69">
        <f t="shared" si="168"/>
        <v>0</v>
      </c>
    </row>
    <row r="1221" spans="3:87" x14ac:dyDescent="0.25">
      <c r="C1221" s="82"/>
      <c r="D1221" s="78">
        <v>335</v>
      </c>
      <c r="E1221" s="69" t="s">
        <v>122</v>
      </c>
      <c r="F1221" s="69" t="s">
        <v>2156</v>
      </c>
      <c r="G1221" s="69"/>
      <c r="U1221" s="69"/>
      <c r="V1221" s="69"/>
      <c r="AR1221" s="69">
        <v>150</v>
      </c>
      <c r="AS1221" s="91">
        <f t="shared" si="144"/>
        <v>150</v>
      </c>
      <c r="AU1221" s="69"/>
      <c r="CC1221" s="69">
        <v>150</v>
      </c>
      <c r="CD1221" s="91">
        <f t="shared" si="166"/>
        <v>150</v>
      </c>
      <c r="CE1221" s="69">
        <f t="shared" si="167"/>
        <v>0</v>
      </c>
      <c r="CF1221" s="75">
        <f t="shared" si="168"/>
        <v>335</v>
      </c>
      <c r="CG1221" s="69" t="str">
        <f t="shared" si="168"/>
        <v>علاج تخصصى</v>
      </c>
      <c r="CI1221" s="69">
        <f>SUM(CC1221:CC1229)</f>
        <v>1700</v>
      </c>
    </row>
    <row r="1222" spans="3:87" x14ac:dyDescent="0.25">
      <c r="C1222" s="82"/>
      <c r="D1222" s="78">
        <v>336</v>
      </c>
      <c r="E1222" s="69" t="s">
        <v>122</v>
      </c>
      <c r="F1222" s="69" t="s">
        <v>2157</v>
      </c>
      <c r="G1222" s="69"/>
      <c r="U1222" s="69"/>
      <c r="V1222" s="69"/>
      <c r="AR1222" s="69">
        <v>50</v>
      </c>
      <c r="AS1222" s="91">
        <f t="shared" si="144"/>
        <v>50</v>
      </c>
      <c r="AU1222" s="69"/>
      <c r="CC1222" s="69">
        <v>50</v>
      </c>
      <c r="CD1222" s="91">
        <f t="shared" si="166"/>
        <v>50</v>
      </c>
      <c r="CE1222" s="69">
        <f t="shared" si="167"/>
        <v>0</v>
      </c>
      <c r="CF1222" s="75">
        <f t="shared" si="168"/>
        <v>336</v>
      </c>
      <c r="CG1222" s="69" t="str">
        <f t="shared" si="168"/>
        <v>علاج تخصصى</v>
      </c>
    </row>
    <row r="1223" spans="3:87" x14ac:dyDescent="0.25">
      <c r="C1223" s="82"/>
      <c r="D1223" s="78">
        <v>337</v>
      </c>
      <c r="E1223" s="69" t="s">
        <v>122</v>
      </c>
      <c r="F1223" s="69" t="s">
        <v>2158</v>
      </c>
      <c r="G1223" s="69"/>
      <c r="U1223" s="69"/>
      <c r="V1223" s="69"/>
      <c r="AR1223" s="69">
        <v>100</v>
      </c>
      <c r="AS1223" s="91">
        <f t="shared" si="144"/>
        <v>100</v>
      </c>
      <c r="AU1223" s="69"/>
      <c r="CC1223" s="69">
        <v>100</v>
      </c>
      <c r="CD1223" s="91">
        <f t="shared" si="166"/>
        <v>100</v>
      </c>
      <c r="CE1223" s="69">
        <f t="shared" si="167"/>
        <v>0</v>
      </c>
      <c r="CF1223" s="75">
        <f t="shared" si="168"/>
        <v>337</v>
      </c>
      <c r="CG1223" s="69" t="str">
        <f t="shared" si="168"/>
        <v>علاج تخصصى</v>
      </c>
    </row>
    <row r="1224" spans="3:87" x14ac:dyDescent="0.25">
      <c r="C1224" s="82"/>
      <c r="D1224" s="78">
        <v>338</v>
      </c>
      <c r="E1224" s="69" t="s">
        <v>122</v>
      </c>
      <c r="F1224" s="69" t="s">
        <v>2159</v>
      </c>
      <c r="G1224" s="69"/>
      <c r="U1224" s="69"/>
      <c r="V1224" s="69"/>
      <c r="AR1224" s="69">
        <v>300</v>
      </c>
      <c r="AS1224" s="91">
        <f t="shared" si="144"/>
        <v>300</v>
      </c>
      <c r="AU1224" s="69"/>
      <c r="CC1224" s="69">
        <v>300</v>
      </c>
      <c r="CD1224" s="91">
        <f t="shared" si="166"/>
        <v>300</v>
      </c>
      <c r="CE1224" s="69">
        <f t="shared" si="167"/>
        <v>0</v>
      </c>
      <c r="CF1224" s="75">
        <f t="shared" si="168"/>
        <v>338</v>
      </c>
      <c r="CG1224" s="69" t="str">
        <f t="shared" si="168"/>
        <v>علاج تخصصى</v>
      </c>
    </row>
    <row r="1225" spans="3:87" x14ac:dyDescent="0.25">
      <c r="C1225" s="82"/>
      <c r="D1225" s="78">
        <v>339</v>
      </c>
      <c r="E1225" s="69" t="s">
        <v>122</v>
      </c>
      <c r="F1225" s="69" t="s">
        <v>2160</v>
      </c>
      <c r="G1225" s="69"/>
      <c r="U1225" s="69"/>
      <c r="V1225" s="69"/>
      <c r="AR1225" s="69">
        <v>200</v>
      </c>
      <c r="AS1225" s="91">
        <f t="shared" si="144"/>
        <v>200</v>
      </c>
      <c r="AU1225" s="69"/>
      <c r="CC1225" s="69">
        <v>200</v>
      </c>
      <c r="CD1225" s="91">
        <f t="shared" si="166"/>
        <v>200</v>
      </c>
      <c r="CE1225" s="69">
        <f t="shared" si="167"/>
        <v>0</v>
      </c>
      <c r="CF1225" s="75">
        <f t="shared" si="168"/>
        <v>339</v>
      </c>
      <c r="CG1225" s="69" t="str">
        <f t="shared" si="168"/>
        <v>علاج تخصصى</v>
      </c>
    </row>
    <row r="1226" spans="3:87" x14ac:dyDescent="0.25">
      <c r="C1226" s="82"/>
      <c r="D1226" s="78">
        <v>340</v>
      </c>
      <c r="E1226" s="69" t="s">
        <v>122</v>
      </c>
      <c r="F1226" s="69" t="s">
        <v>2161</v>
      </c>
      <c r="G1226" s="69"/>
      <c r="U1226" s="69"/>
      <c r="V1226" s="69"/>
      <c r="AR1226" s="69">
        <v>250</v>
      </c>
      <c r="AS1226" s="91">
        <f t="shared" si="144"/>
        <v>250</v>
      </c>
      <c r="AU1226" s="69"/>
      <c r="CC1226" s="69">
        <v>250</v>
      </c>
      <c r="CD1226" s="91">
        <f t="shared" si="166"/>
        <v>250</v>
      </c>
      <c r="CE1226" s="69">
        <f t="shared" si="167"/>
        <v>0</v>
      </c>
      <c r="CF1226" s="75">
        <f t="shared" si="168"/>
        <v>340</v>
      </c>
      <c r="CG1226" s="69" t="str">
        <f t="shared" si="168"/>
        <v>علاج تخصصى</v>
      </c>
    </row>
    <row r="1227" spans="3:87" x14ac:dyDescent="0.25">
      <c r="C1227" s="82"/>
      <c r="D1227" s="78">
        <v>341</v>
      </c>
      <c r="E1227" s="69" t="s">
        <v>122</v>
      </c>
      <c r="F1227" s="69" t="s">
        <v>2162</v>
      </c>
      <c r="G1227" s="69"/>
      <c r="U1227" s="69"/>
      <c r="V1227" s="69"/>
      <c r="AR1227" s="69">
        <v>150</v>
      </c>
      <c r="AS1227" s="91">
        <f t="shared" si="144"/>
        <v>150</v>
      </c>
      <c r="AU1227" s="69"/>
      <c r="CC1227" s="69">
        <v>150</v>
      </c>
      <c r="CD1227" s="91">
        <f t="shared" si="166"/>
        <v>150</v>
      </c>
      <c r="CE1227" s="69">
        <f t="shared" si="167"/>
        <v>0</v>
      </c>
      <c r="CF1227" s="75">
        <f t="shared" si="168"/>
        <v>341</v>
      </c>
      <c r="CG1227" s="69" t="str">
        <f t="shared" si="168"/>
        <v>علاج تخصصى</v>
      </c>
    </row>
    <row r="1228" spans="3:87" x14ac:dyDescent="0.25">
      <c r="C1228" s="82"/>
      <c r="D1228" s="78">
        <v>342</v>
      </c>
      <c r="E1228" s="69" t="s">
        <v>122</v>
      </c>
      <c r="F1228" s="69" t="s">
        <v>2163</v>
      </c>
      <c r="G1228" s="69"/>
      <c r="U1228" s="69"/>
      <c r="V1228" s="69"/>
      <c r="AR1228" s="69">
        <v>200</v>
      </c>
      <c r="AS1228" s="91">
        <f t="shared" si="144"/>
        <v>200</v>
      </c>
      <c r="AU1228" s="69"/>
      <c r="CC1228" s="69">
        <v>200</v>
      </c>
      <c r="CD1228" s="91">
        <f t="shared" si="166"/>
        <v>200</v>
      </c>
      <c r="CE1228" s="69">
        <f t="shared" si="167"/>
        <v>0</v>
      </c>
      <c r="CF1228" s="75">
        <f t="shared" si="168"/>
        <v>342</v>
      </c>
      <c r="CG1228" s="69" t="str">
        <f t="shared" si="168"/>
        <v>علاج تخصصى</v>
      </c>
    </row>
    <row r="1229" spans="3:87" x14ac:dyDescent="0.25">
      <c r="C1229" s="82"/>
      <c r="D1229" s="78">
        <v>343</v>
      </c>
      <c r="E1229" s="69" t="s">
        <v>122</v>
      </c>
      <c r="F1229" s="69" t="s">
        <v>2164</v>
      </c>
      <c r="G1229" s="69"/>
      <c r="U1229" s="69"/>
      <c r="V1229" s="69"/>
      <c r="AR1229" s="69">
        <v>300</v>
      </c>
      <c r="AS1229" s="91">
        <f t="shared" si="144"/>
        <v>300</v>
      </c>
      <c r="AU1229" s="69"/>
      <c r="CC1229" s="69">
        <v>300</v>
      </c>
      <c r="CD1229" s="91">
        <f t="shared" si="166"/>
        <v>300</v>
      </c>
      <c r="CE1229" s="69">
        <f t="shared" si="167"/>
        <v>0</v>
      </c>
      <c r="CF1229" s="75">
        <f t="shared" si="168"/>
        <v>343</v>
      </c>
      <c r="CG1229" s="69" t="str">
        <f t="shared" si="168"/>
        <v>علاج تخصصى</v>
      </c>
    </row>
    <row r="1230" spans="3:87" x14ac:dyDescent="0.25">
      <c r="C1230" s="82"/>
      <c r="D1230" s="78">
        <v>344</v>
      </c>
      <c r="E1230" s="69" t="s">
        <v>249</v>
      </c>
      <c r="F1230" s="69" t="s">
        <v>2165</v>
      </c>
      <c r="G1230" s="69"/>
      <c r="U1230" s="69"/>
      <c r="V1230" s="69"/>
      <c r="AR1230" s="69">
        <v>8265</v>
      </c>
      <c r="AS1230" s="91">
        <f t="shared" si="144"/>
        <v>8265</v>
      </c>
      <c r="AU1230" s="69"/>
      <c r="CC1230" s="69">
        <v>8265</v>
      </c>
      <c r="CD1230" s="91">
        <f t="shared" si="166"/>
        <v>8265</v>
      </c>
      <c r="CE1230" s="69">
        <f t="shared" si="167"/>
        <v>0</v>
      </c>
      <c r="CF1230" s="75">
        <f t="shared" si="168"/>
        <v>344</v>
      </c>
      <c r="CG1230" s="69" t="str">
        <f t="shared" si="168"/>
        <v>خدمة عامة</v>
      </c>
    </row>
    <row r="1231" spans="3:87" x14ac:dyDescent="0.25">
      <c r="C1231" s="82"/>
      <c r="D1231" s="78">
        <v>345</v>
      </c>
      <c r="E1231" s="69" t="s">
        <v>249</v>
      </c>
      <c r="F1231" s="69" t="s">
        <v>2166</v>
      </c>
      <c r="G1231" s="69"/>
      <c r="U1231" s="69"/>
      <c r="V1231" s="69"/>
      <c r="AR1231" s="69">
        <v>2695</v>
      </c>
      <c r="AS1231" s="91">
        <f t="shared" si="144"/>
        <v>2695</v>
      </c>
      <c r="AU1231" s="69"/>
      <c r="CC1231" s="69">
        <v>2695</v>
      </c>
      <c r="CD1231" s="91">
        <f t="shared" si="166"/>
        <v>2695</v>
      </c>
      <c r="CE1231" s="69">
        <f t="shared" si="167"/>
        <v>0</v>
      </c>
      <c r="CF1231" s="75">
        <f t="shared" si="168"/>
        <v>345</v>
      </c>
      <c r="CG1231" s="69" t="str">
        <f t="shared" si="168"/>
        <v>خدمة عامة</v>
      </c>
      <c r="CI1231" s="69">
        <f>SUM(CC1230:CC1241)</f>
        <v>66885</v>
      </c>
    </row>
    <row r="1232" spans="3:87" x14ac:dyDescent="0.25">
      <c r="C1232" s="82"/>
      <c r="D1232" s="78">
        <v>346</v>
      </c>
      <c r="E1232" s="69" t="s">
        <v>249</v>
      </c>
      <c r="F1232" s="69" t="s">
        <v>2167</v>
      </c>
      <c r="G1232" s="69"/>
      <c r="U1232" s="69"/>
      <c r="V1232" s="69"/>
      <c r="AR1232" s="69">
        <v>4960</v>
      </c>
      <c r="AS1232" s="91">
        <f t="shared" si="144"/>
        <v>4960</v>
      </c>
      <c r="AU1232" s="69"/>
      <c r="CC1232" s="69">
        <v>4960</v>
      </c>
      <c r="CD1232" s="91">
        <f t="shared" si="166"/>
        <v>4960</v>
      </c>
      <c r="CE1232" s="69">
        <f t="shared" si="167"/>
        <v>0</v>
      </c>
      <c r="CF1232" s="75">
        <f t="shared" si="168"/>
        <v>346</v>
      </c>
      <c r="CG1232" s="69" t="str">
        <f t="shared" si="168"/>
        <v>خدمة عامة</v>
      </c>
    </row>
    <row r="1233" spans="3:87" x14ac:dyDescent="0.25">
      <c r="C1233" s="82"/>
      <c r="D1233" s="78">
        <v>347</v>
      </c>
      <c r="E1233" s="69" t="s">
        <v>249</v>
      </c>
      <c r="F1233" s="69" t="s">
        <v>2168</v>
      </c>
      <c r="G1233" s="69"/>
      <c r="U1233" s="69"/>
      <c r="V1233" s="69"/>
      <c r="AR1233" s="69">
        <v>8530</v>
      </c>
      <c r="AS1233" s="91">
        <f t="shared" si="144"/>
        <v>8530</v>
      </c>
      <c r="AU1233" s="69"/>
      <c r="CC1233" s="69">
        <v>8530</v>
      </c>
      <c r="CD1233" s="91">
        <f t="shared" si="166"/>
        <v>8530</v>
      </c>
      <c r="CE1233" s="69">
        <f t="shared" si="167"/>
        <v>0</v>
      </c>
      <c r="CF1233" s="75">
        <f t="shared" si="168"/>
        <v>347</v>
      </c>
      <c r="CG1233" s="69" t="str">
        <f t="shared" si="168"/>
        <v>خدمة عامة</v>
      </c>
    </row>
    <row r="1234" spans="3:87" x14ac:dyDescent="0.25">
      <c r="C1234" s="82"/>
      <c r="D1234" s="78">
        <v>348</v>
      </c>
      <c r="E1234" s="69" t="s">
        <v>249</v>
      </c>
      <c r="F1234" s="69" t="s">
        <v>2169</v>
      </c>
      <c r="G1234" s="69"/>
      <c r="U1234" s="69"/>
      <c r="V1234" s="69"/>
      <c r="AR1234" s="69">
        <v>11820</v>
      </c>
      <c r="AS1234" s="91">
        <f t="shared" si="144"/>
        <v>11820</v>
      </c>
      <c r="AU1234" s="69"/>
      <c r="CC1234" s="69">
        <v>11820</v>
      </c>
      <c r="CD1234" s="91">
        <f t="shared" si="166"/>
        <v>11820</v>
      </c>
      <c r="CE1234" s="69">
        <f t="shared" si="167"/>
        <v>0</v>
      </c>
      <c r="CF1234" s="75">
        <f t="shared" si="168"/>
        <v>348</v>
      </c>
      <c r="CG1234" s="69" t="str">
        <f t="shared" si="168"/>
        <v>خدمة عامة</v>
      </c>
      <c r="CI1234" s="69">
        <f>SUM(CC1230:CC1241)</f>
        <v>66885</v>
      </c>
    </row>
    <row r="1235" spans="3:87" x14ac:dyDescent="0.25">
      <c r="C1235" s="82"/>
      <c r="D1235" s="78">
        <v>349</v>
      </c>
      <c r="E1235" s="69" t="s">
        <v>249</v>
      </c>
      <c r="F1235" s="69" t="s">
        <v>2170</v>
      </c>
      <c r="G1235" s="69"/>
      <c r="U1235" s="69"/>
      <c r="V1235" s="69"/>
      <c r="AR1235" s="69">
        <v>2180</v>
      </c>
      <c r="AS1235" s="91">
        <f t="shared" si="144"/>
        <v>2180</v>
      </c>
      <c r="AU1235" s="69"/>
      <c r="CC1235" s="69">
        <v>2180</v>
      </c>
      <c r="CD1235" s="91">
        <f t="shared" si="166"/>
        <v>2180</v>
      </c>
      <c r="CE1235" s="69">
        <f t="shared" si="167"/>
        <v>0</v>
      </c>
      <c r="CF1235" s="75">
        <f t="shared" si="168"/>
        <v>349</v>
      </c>
      <c r="CG1235" s="69" t="str">
        <f t="shared" si="168"/>
        <v>خدمة عامة</v>
      </c>
    </row>
    <row r="1236" spans="3:87" x14ac:dyDescent="0.25">
      <c r="C1236" s="82"/>
      <c r="D1236" s="78">
        <v>350</v>
      </c>
      <c r="E1236" s="69" t="s">
        <v>249</v>
      </c>
      <c r="F1236" s="69" t="s">
        <v>2171</v>
      </c>
      <c r="G1236" s="69"/>
      <c r="U1236" s="69"/>
      <c r="V1236" s="69"/>
      <c r="AR1236" s="69">
        <v>2170</v>
      </c>
      <c r="AS1236" s="91">
        <f t="shared" si="144"/>
        <v>2170</v>
      </c>
      <c r="AU1236" s="69"/>
      <c r="CC1236" s="69">
        <v>2170</v>
      </c>
      <c r="CD1236" s="91">
        <f t="shared" si="166"/>
        <v>2170</v>
      </c>
      <c r="CE1236" s="69">
        <f t="shared" si="167"/>
        <v>0</v>
      </c>
      <c r="CF1236" s="75">
        <f t="shared" si="168"/>
        <v>350</v>
      </c>
      <c r="CG1236" s="69" t="str">
        <f t="shared" si="168"/>
        <v>خدمة عامة</v>
      </c>
    </row>
    <row r="1237" spans="3:87" x14ac:dyDescent="0.25">
      <c r="C1237" s="82"/>
      <c r="D1237" s="78">
        <v>351</v>
      </c>
      <c r="E1237" s="69" t="s">
        <v>249</v>
      </c>
      <c r="F1237" s="69" t="s">
        <v>2172</v>
      </c>
      <c r="G1237" s="69"/>
      <c r="U1237" s="69"/>
      <c r="V1237" s="69"/>
      <c r="AR1237" s="69">
        <v>3580</v>
      </c>
      <c r="AS1237" s="91">
        <f t="shared" si="144"/>
        <v>3580</v>
      </c>
      <c r="AU1237" s="69"/>
      <c r="CC1237" s="69">
        <v>3580</v>
      </c>
      <c r="CD1237" s="91">
        <f t="shared" si="166"/>
        <v>3580</v>
      </c>
      <c r="CE1237" s="69">
        <f t="shared" si="167"/>
        <v>0</v>
      </c>
      <c r="CF1237" s="75">
        <f t="shared" si="168"/>
        <v>351</v>
      </c>
      <c r="CG1237" s="69" t="str">
        <f t="shared" si="168"/>
        <v>خدمة عامة</v>
      </c>
    </row>
    <row r="1238" spans="3:87" x14ac:dyDescent="0.25">
      <c r="C1238" s="82"/>
      <c r="D1238" s="78">
        <v>352</v>
      </c>
      <c r="E1238" s="69" t="s">
        <v>249</v>
      </c>
      <c r="F1238" s="69" t="s">
        <v>2173</v>
      </c>
      <c r="G1238" s="69"/>
      <c r="U1238" s="69"/>
      <c r="V1238" s="69"/>
      <c r="AR1238" s="69">
        <v>6310</v>
      </c>
      <c r="AS1238" s="91">
        <f t="shared" si="144"/>
        <v>6310</v>
      </c>
      <c r="AU1238" s="69"/>
      <c r="CC1238" s="69">
        <v>6310</v>
      </c>
      <c r="CD1238" s="91">
        <f t="shared" si="166"/>
        <v>6310</v>
      </c>
      <c r="CE1238" s="69">
        <f t="shared" si="167"/>
        <v>0</v>
      </c>
      <c r="CF1238" s="75">
        <f t="shared" si="168"/>
        <v>352</v>
      </c>
      <c r="CG1238" s="69" t="str">
        <f t="shared" si="168"/>
        <v>خدمة عامة</v>
      </c>
    </row>
    <row r="1239" spans="3:87" x14ac:dyDescent="0.25">
      <c r="C1239" s="82"/>
      <c r="D1239" s="78">
        <v>353</v>
      </c>
      <c r="E1239" s="69" t="s">
        <v>249</v>
      </c>
      <c r="F1239" s="69" t="s">
        <v>2174</v>
      </c>
      <c r="G1239" s="69"/>
      <c r="U1239" s="69"/>
      <c r="V1239" s="69"/>
      <c r="AR1239" s="69">
        <v>710</v>
      </c>
      <c r="AS1239" s="91">
        <f t="shared" si="144"/>
        <v>710</v>
      </c>
      <c r="AU1239" s="69"/>
      <c r="CC1239" s="69">
        <v>710</v>
      </c>
      <c r="CD1239" s="91">
        <f t="shared" si="166"/>
        <v>710</v>
      </c>
      <c r="CE1239" s="69">
        <f t="shared" si="167"/>
        <v>0</v>
      </c>
      <c r="CF1239" s="75">
        <f t="shared" si="168"/>
        <v>353</v>
      </c>
      <c r="CG1239" s="69" t="str">
        <f t="shared" si="168"/>
        <v>خدمة عامة</v>
      </c>
    </row>
    <row r="1240" spans="3:87" x14ac:dyDescent="0.25">
      <c r="C1240" s="82"/>
      <c r="D1240" s="78">
        <v>354</v>
      </c>
      <c r="E1240" s="69" t="s">
        <v>249</v>
      </c>
      <c r="F1240" s="69" t="s">
        <v>2175</v>
      </c>
      <c r="G1240" s="69"/>
      <c r="U1240" s="69"/>
      <c r="V1240" s="69"/>
      <c r="AR1240" s="69">
        <v>12435</v>
      </c>
      <c r="AS1240" s="91">
        <f t="shared" si="144"/>
        <v>12435</v>
      </c>
      <c r="AU1240" s="69"/>
      <c r="CC1240" s="69">
        <v>12435</v>
      </c>
      <c r="CD1240" s="91">
        <f t="shared" si="166"/>
        <v>12435</v>
      </c>
      <c r="CE1240" s="69">
        <f t="shared" si="167"/>
        <v>0</v>
      </c>
      <c r="CF1240" s="75">
        <f t="shared" si="168"/>
        <v>354</v>
      </c>
      <c r="CG1240" s="69" t="str">
        <f t="shared" si="168"/>
        <v>خدمة عامة</v>
      </c>
    </row>
    <row r="1241" spans="3:87" x14ac:dyDescent="0.25">
      <c r="C1241" s="82"/>
      <c r="D1241" s="78">
        <v>355</v>
      </c>
      <c r="E1241" s="69" t="s">
        <v>249</v>
      </c>
      <c r="F1241" s="69" t="s">
        <v>2176</v>
      </c>
      <c r="G1241" s="69"/>
      <c r="K1241" s="69">
        <v>13068.75</v>
      </c>
      <c r="U1241" s="69"/>
      <c r="V1241" s="69"/>
      <c r="AP1241" s="69">
        <v>72570</v>
      </c>
      <c r="AS1241" s="91">
        <f t="shared" si="144"/>
        <v>85638.75</v>
      </c>
      <c r="AU1241" s="69"/>
      <c r="BZ1241" s="69">
        <v>13068.75</v>
      </c>
      <c r="CB1241" s="69">
        <v>69340</v>
      </c>
      <c r="CC1241" s="69">
        <v>3230</v>
      </c>
      <c r="CD1241" s="91">
        <f t="shared" si="166"/>
        <v>85638.75</v>
      </c>
      <c r="CE1241" s="69">
        <f t="shared" si="167"/>
        <v>0</v>
      </c>
      <c r="CF1241" s="75">
        <f t="shared" si="168"/>
        <v>355</v>
      </c>
      <c r="CG1241" s="69" t="str">
        <f t="shared" si="168"/>
        <v>خدمة عامة</v>
      </c>
    </row>
    <row r="1242" spans="3:87" x14ac:dyDescent="0.25">
      <c r="C1242" s="82"/>
      <c r="D1242" s="78">
        <v>356</v>
      </c>
      <c r="E1242" s="69" t="s">
        <v>122</v>
      </c>
      <c r="F1242" s="69" t="s">
        <v>2176</v>
      </c>
      <c r="G1242" s="69"/>
      <c r="K1242" s="69">
        <v>330</v>
      </c>
      <c r="U1242" s="69"/>
      <c r="V1242" s="69"/>
      <c r="AP1242" s="69">
        <v>2250</v>
      </c>
      <c r="AS1242" s="91">
        <f t="shared" si="144"/>
        <v>2580</v>
      </c>
      <c r="AU1242" s="69"/>
      <c r="BZ1242" s="69">
        <v>330</v>
      </c>
      <c r="CB1242" s="69">
        <v>2250</v>
      </c>
      <c r="CD1242" s="91">
        <f t="shared" si="166"/>
        <v>2580</v>
      </c>
      <c r="CE1242" s="69">
        <f t="shared" si="167"/>
        <v>0</v>
      </c>
      <c r="CF1242" s="75">
        <f t="shared" si="168"/>
        <v>356</v>
      </c>
      <c r="CG1242" s="69" t="str">
        <f t="shared" si="168"/>
        <v>علاج تخصصى</v>
      </c>
    </row>
    <row r="1243" spans="3:87" x14ac:dyDescent="0.25">
      <c r="D1243" s="78">
        <v>357</v>
      </c>
      <c r="E1243" s="69" t="s">
        <v>121</v>
      </c>
      <c r="F1243" s="69" t="s">
        <v>2177</v>
      </c>
      <c r="AP1243" s="69">
        <v>1000</v>
      </c>
      <c r="AS1243" s="91">
        <f t="shared" si="144"/>
        <v>1000</v>
      </c>
      <c r="CB1243" s="69">
        <v>1000</v>
      </c>
      <c r="CD1243" s="91">
        <f t="shared" si="166"/>
        <v>1000</v>
      </c>
      <c r="CE1243" s="69">
        <f t="shared" si="167"/>
        <v>0</v>
      </c>
      <c r="CF1243" s="75">
        <f t="shared" si="168"/>
        <v>357</v>
      </c>
      <c r="CG1243" s="69" t="str">
        <f t="shared" si="168"/>
        <v>ماليزى اسنان</v>
      </c>
    </row>
    <row r="1244" spans="3:87" x14ac:dyDescent="0.25">
      <c r="C1244" s="82"/>
      <c r="D1244" s="78">
        <v>358</v>
      </c>
      <c r="E1244" s="69" t="s">
        <v>121</v>
      </c>
      <c r="F1244" s="69" t="s">
        <v>2176</v>
      </c>
      <c r="G1244" s="69"/>
      <c r="K1244" s="69">
        <v>150</v>
      </c>
      <c r="U1244" s="69"/>
      <c r="V1244" s="69"/>
      <c r="AS1244" s="91">
        <f>SUM(H1244:AR1244)</f>
        <v>150</v>
      </c>
      <c r="AU1244" s="69"/>
      <c r="BZ1244" s="69">
        <v>150</v>
      </c>
      <c r="CD1244" s="91">
        <f>SUM(AT1244:CC1244)</f>
        <v>150</v>
      </c>
      <c r="CE1244" s="69">
        <f>+CD1244-AS1244</f>
        <v>0</v>
      </c>
      <c r="CF1244" s="75">
        <f>+D1244</f>
        <v>358</v>
      </c>
      <c r="CG1244" s="69" t="str">
        <f>+E1244</f>
        <v>ماليزى اسنان</v>
      </c>
    </row>
    <row r="1245" spans="3:87" x14ac:dyDescent="0.25">
      <c r="C1245" s="82"/>
      <c r="D1245" s="78">
        <v>359</v>
      </c>
      <c r="F1245" s="69" t="s">
        <v>2178</v>
      </c>
      <c r="G1245" s="69"/>
      <c r="U1245" s="69"/>
      <c r="V1245" s="69"/>
      <c r="AL1245" s="69">
        <v>30000</v>
      </c>
      <c r="AS1245" s="91">
        <f t="shared" si="144"/>
        <v>30000</v>
      </c>
      <c r="AU1245" s="69"/>
      <c r="BS1245" s="69">
        <v>30000</v>
      </c>
      <c r="CD1245" s="91">
        <f t="shared" si="166"/>
        <v>30000</v>
      </c>
      <c r="CE1245" s="69">
        <f t="shared" si="167"/>
        <v>0</v>
      </c>
      <c r="CF1245" s="75">
        <f t="shared" si="168"/>
        <v>359</v>
      </c>
      <c r="CG1245" s="69">
        <f t="shared" si="168"/>
        <v>0</v>
      </c>
    </row>
    <row r="1246" spans="3:87" ht="36" x14ac:dyDescent="0.25">
      <c r="C1246" s="82"/>
      <c r="D1246" s="78">
        <v>360</v>
      </c>
      <c r="F1246" s="77" t="s">
        <v>2179</v>
      </c>
      <c r="G1246" s="69"/>
      <c r="U1246" s="69"/>
      <c r="V1246" s="69"/>
      <c r="AL1246" s="69">
        <v>12420</v>
      </c>
      <c r="AS1246" s="91">
        <f t="shared" si="144"/>
        <v>12420</v>
      </c>
      <c r="AU1246" s="69"/>
      <c r="BS1246" s="69">
        <v>12420</v>
      </c>
      <c r="CD1246" s="91">
        <f t="shared" si="166"/>
        <v>12420</v>
      </c>
      <c r="CE1246" s="69">
        <f t="shared" si="167"/>
        <v>0</v>
      </c>
      <c r="CF1246" s="75">
        <f t="shared" si="168"/>
        <v>360</v>
      </c>
      <c r="CG1246" s="69">
        <f t="shared" si="168"/>
        <v>0</v>
      </c>
    </row>
    <row r="1247" spans="3:87" ht="36" x14ac:dyDescent="0.25">
      <c r="C1247" s="82"/>
      <c r="D1247" s="78">
        <v>361</v>
      </c>
      <c r="F1247" s="77" t="s">
        <v>2179</v>
      </c>
      <c r="G1247" s="69"/>
      <c r="U1247" s="69"/>
      <c r="V1247" s="69"/>
      <c r="AL1247" s="69">
        <v>27000</v>
      </c>
      <c r="AS1247" s="91">
        <f t="shared" si="144"/>
        <v>27000</v>
      </c>
      <c r="AU1247" s="69"/>
      <c r="BS1247" s="69">
        <v>27000</v>
      </c>
      <c r="CD1247" s="91">
        <f t="shared" si="166"/>
        <v>27000</v>
      </c>
      <c r="CE1247" s="69">
        <f t="shared" si="167"/>
        <v>0</v>
      </c>
      <c r="CF1247" s="75">
        <f t="shared" si="168"/>
        <v>361</v>
      </c>
      <c r="CG1247" s="69">
        <f t="shared" si="168"/>
        <v>0</v>
      </c>
    </row>
    <row r="1248" spans="3:87" x14ac:dyDescent="0.25">
      <c r="C1248" s="82"/>
      <c r="D1248" s="78">
        <v>362</v>
      </c>
      <c r="F1248" s="69" t="s">
        <v>2180</v>
      </c>
      <c r="G1248" s="69"/>
      <c r="U1248" s="69"/>
      <c r="V1248" s="69"/>
      <c r="AL1248" s="69">
        <v>30000</v>
      </c>
      <c r="AS1248" s="91">
        <f t="shared" si="144"/>
        <v>30000</v>
      </c>
      <c r="AU1248" s="69"/>
      <c r="BE1248" s="69" t="s">
        <v>1179</v>
      </c>
      <c r="BS1248" s="69">
        <v>30000</v>
      </c>
      <c r="CD1248" s="91">
        <f t="shared" si="166"/>
        <v>30000</v>
      </c>
      <c r="CE1248" s="69">
        <f t="shared" si="167"/>
        <v>0</v>
      </c>
      <c r="CF1248" s="75">
        <f t="shared" si="168"/>
        <v>362</v>
      </c>
      <c r="CG1248" s="69">
        <f t="shared" si="168"/>
        <v>0</v>
      </c>
    </row>
    <row r="1249" spans="2:92" x14ac:dyDescent="0.25">
      <c r="C1249" s="82"/>
      <c r="D1249" s="78">
        <v>363</v>
      </c>
      <c r="F1249" s="69" t="s">
        <v>2181</v>
      </c>
      <c r="G1249" s="69"/>
      <c r="U1249" s="69"/>
      <c r="V1249" s="69"/>
      <c r="AL1249" s="69">
        <v>30000</v>
      </c>
      <c r="AS1249" s="91">
        <f t="shared" si="144"/>
        <v>30000</v>
      </c>
      <c r="AU1249" s="69"/>
      <c r="BS1249" s="69">
        <v>30000</v>
      </c>
      <c r="CD1249" s="91">
        <f t="shared" si="166"/>
        <v>30000</v>
      </c>
      <c r="CE1249" s="69">
        <f t="shared" si="167"/>
        <v>0</v>
      </c>
      <c r="CF1249" s="75">
        <f t="shared" si="168"/>
        <v>363</v>
      </c>
      <c r="CG1249" s="69">
        <f t="shared" si="168"/>
        <v>0</v>
      </c>
    </row>
    <row r="1250" spans="2:92" x14ac:dyDescent="0.25">
      <c r="C1250" s="82"/>
      <c r="D1250" s="78">
        <v>364</v>
      </c>
      <c r="F1250" s="69" t="s">
        <v>1157</v>
      </c>
      <c r="G1250" s="69"/>
      <c r="U1250" s="69"/>
      <c r="V1250" s="69"/>
      <c r="AL1250" s="69">
        <v>11000</v>
      </c>
      <c r="AS1250" s="91">
        <f t="shared" si="144"/>
        <v>11000</v>
      </c>
      <c r="AU1250" s="69"/>
      <c r="BS1250" s="69">
        <v>11000</v>
      </c>
      <c r="CD1250" s="91">
        <f t="shared" si="166"/>
        <v>11000</v>
      </c>
      <c r="CE1250" s="69">
        <f t="shared" si="167"/>
        <v>0</v>
      </c>
      <c r="CF1250" s="75">
        <f t="shared" ref="CF1250:CG1278" si="170">+D1250</f>
        <v>364</v>
      </c>
      <c r="CG1250" s="69">
        <f t="shared" si="170"/>
        <v>0</v>
      </c>
    </row>
    <row r="1251" spans="2:92" x14ac:dyDescent="0.25">
      <c r="C1251" s="82"/>
      <c r="D1251" s="78">
        <v>365</v>
      </c>
      <c r="F1251" s="69" t="s">
        <v>2182</v>
      </c>
      <c r="G1251" s="69"/>
      <c r="U1251" s="69"/>
      <c r="V1251" s="69"/>
      <c r="AL1251" s="69">
        <v>11000</v>
      </c>
      <c r="AS1251" s="91">
        <f t="shared" si="144"/>
        <v>11000</v>
      </c>
      <c r="AU1251" s="69"/>
      <c r="BS1251" s="69">
        <v>11000</v>
      </c>
      <c r="CD1251" s="91">
        <f t="shared" si="166"/>
        <v>11000</v>
      </c>
      <c r="CE1251" s="69">
        <f t="shared" si="167"/>
        <v>0</v>
      </c>
      <c r="CF1251" s="75">
        <f t="shared" si="170"/>
        <v>365</v>
      </c>
      <c r="CG1251" s="69">
        <f t="shared" si="170"/>
        <v>0</v>
      </c>
    </row>
    <row r="1252" spans="2:92" x14ac:dyDescent="0.25">
      <c r="C1252" s="82"/>
      <c r="D1252" s="78">
        <v>366</v>
      </c>
      <c r="F1252" s="69" t="s">
        <v>2183</v>
      </c>
      <c r="G1252" s="69"/>
      <c r="U1252" s="69"/>
      <c r="V1252" s="69"/>
      <c r="AL1252" s="69">
        <v>30000</v>
      </c>
      <c r="AS1252" s="91">
        <f t="shared" si="144"/>
        <v>30000</v>
      </c>
      <c r="AU1252" s="69"/>
      <c r="BS1252" s="69">
        <v>30000</v>
      </c>
      <c r="CD1252" s="91">
        <f t="shared" si="166"/>
        <v>30000</v>
      </c>
      <c r="CE1252" s="69">
        <f t="shared" si="167"/>
        <v>0</v>
      </c>
      <c r="CF1252" s="75">
        <f t="shared" si="170"/>
        <v>366</v>
      </c>
      <c r="CG1252" s="69">
        <f t="shared" si="170"/>
        <v>0</v>
      </c>
    </row>
    <row r="1253" spans="2:92" x14ac:dyDescent="0.25">
      <c r="C1253" s="82"/>
      <c r="D1253" s="78">
        <v>367</v>
      </c>
      <c r="F1253" s="69" t="s">
        <v>2184</v>
      </c>
      <c r="G1253" s="69"/>
      <c r="U1253" s="69"/>
      <c r="V1253" s="69"/>
      <c r="AI1253" s="69">
        <v>36000</v>
      </c>
      <c r="AS1253" s="91">
        <f t="shared" si="144"/>
        <v>36000</v>
      </c>
      <c r="AU1253" s="69"/>
      <c r="BT1253" s="69">
        <v>36000</v>
      </c>
      <c r="CD1253" s="91">
        <f t="shared" si="166"/>
        <v>36000</v>
      </c>
      <c r="CE1253" s="69">
        <f t="shared" si="167"/>
        <v>0</v>
      </c>
      <c r="CF1253" s="75">
        <f t="shared" si="170"/>
        <v>367</v>
      </c>
      <c r="CG1253" s="69">
        <f t="shared" si="170"/>
        <v>0</v>
      </c>
    </row>
    <row r="1254" spans="2:92" x14ac:dyDescent="0.25">
      <c r="C1254" s="82"/>
      <c r="D1254" s="78">
        <v>368</v>
      </c>
      <c r="F1254" s="69" t="s">
        <v>2185</v>
      </c>
      <c r="G1254" s="69"/>
      <c r="U1254" s="69"/>
      <c r="V1254" s="69"/>
      <c r="AI1254" s="69">
        <v>36000</v>
      </c>
      <c r="AS1254" s="91">
        <f t="shared" si="144"/>
        <v>36000</v>
      </c>
      <c r="AU1254" s="69"/>
      <c r="BT1254" s="69">
        <v>36000</v>
      </c>
      <c r="CD1254" s="91">
        <f t="shared" si="166"/>
        <v>36000</v>
      </c>
      <c r="CE1254" s="69">
        <f t="shared" si="167"/>
        <v>0</v>
      </c>
      <c r="CF1254" s="75">
        <f t="shared" si="170"/>
        <v>368</v>
      </c>
      <c r="CG1254" s="69">
        <f t="shared" si="170"/>
        <v>0</v>
      </c>
    </row>
    <row r="1255" spans="2:92" x14ac:dyDescent="0.25">
      <c r="C1255" s="82"/>
      <c r="D1255" s="78">
        <v>369</v>
      </c>
      <c r="F1255" s="69" t="s">
        <v>2179</v>
      </c>
      <c r="G1255" s="69"/>
      <c r="U1255" s="69"/>
      <c r="V1255" s="69"/>
      <c r="AI1255" s="69">
        <v>7000</v>
      </c>
      <c r="AS1255" s="91">
        <f t="shared" si="144"/>
        <v>7000</v>
      </c>
      <c r="AU1255" s="69"/>
      <c r="BT1255" s="69">
        <v>7000</v>
      </c>
      <c r="CD1255" s="91">
        <f t="shared" si="166"/>
        <v>7000</v>
      </c>
      <c r="CE1255" s="69">
        <f t="shared" si="167"/>
        <v>0</v>
      </c>
      <c r="CF1255" s="75">
        <f t="shared" si="170"/>
        <v>369</v>
      </c>
      <c r="CG1255" s="69">
        <f t="shared" si="170"/>
        <v>0</v>
      </c>
    </row>
    <row r="1256" spans="2:92" x14ac:dyDescent="0.25">
      <c r="C1256" s="82"/>
      <c r="D1256" s="78">
        <v>370</v>
      </c>
      <c r="F1256" s="69" t="s">
        <v>2185</v>
      </c>
      <c r="G1256" s="69"/>
      <c r="U1256" s="69"/>
      <c r="V1256" s="69"/>
      <c r="AI1256" s="69">
        <v>36000</v>
      </c>
      <c r="AS1256" s="91">
        <f t="shared" si="144"/>
        <v>36000</v>
      </c>
      <c r="AU1256" s="69"/>
      <c r="BT1256" s="69">
        <v>36000</v>
      </c>
      <c r="CD1256" s="91">
        <f t="shared" si="166"/>
        <v>36000</v>
      </c>
      <c r="CE1256" s="69">
        <f t="shared" si="167"/>
        <v>0</v>
      </c>
      <c r="CF1256" s="75">
        <f t="shared" si="170"/>
        <v>370</v>
      </c>
      <c r="CG1256" s="69">
        <f t="shared" si="170"/>
        <v>0</v>
      </c>
    </row>
    <row r="1257" spans="2:92" x14ac:dyDescent="0.25">
      <c r="B1257" s="69">
        <f>+K1260-4000000</f>
        <v>9808179.2699999996</v>
      </c>
      <c r="C1257" s="82"/>
      <c r="D1257" s="78">
        <v>371</v>
      </c>
      <c r="F1257" s="69" t="s">
        <v>2185</v>
      </c>
      <c r="G1257" s="69"/>
      <c r="U1257" s="69"/>
      <c r="V1257" s="69"/>
      <c r="AI1257" s="69">
        <v>7000</v>
      </c>
      <c r="AS1257" s="91">
        <f t="shared" si="144"/>
        <v>7000</v>
      </c>
      <c r="AU1257" s="69"/>
      <c r="BT1257" s="69">
        <v>7000</v>
      </c>
      <c r="CD1257" s="91">
        <f t="shared" si="166"/>
        <v>7000</v>
      </c>
      <c r="CE1257" s="69">
        <f t="shared" si="167"/>
        <v>0</v>
      </c>
      <c r="CF1257" s="75">
        <f t="shared" si="170"/>
        <v>371</v>
      </c>
      <c r="CG1257" s="69">
        <f t="shared" si="170"/>
        <v>0</v>
      </c>
    </row>
    <row r="1258" spans="2:92" x14ac:dyDescent="0.25">
      <c r="C1258" s="82"/>
      <c r="D1258" s="78">
        <v>372</v>
      </c>
      <c r="F1258" s="69" t="s">
        <v>2186</v>
      </c>
      <c r="G1258" s="69"/>
      <c r="U1258" s="69"/>
      <c r="V1258" s="69"/>
      <c r="AK1258" s="69">
        <v>101500</v>
      </c>
      <c r="AS1258" s="91">
        <f t="shared" si="144"/>
        <v>101500</v>
      </c>
      <c r="AU1258" s="69"/>
      <c r="BV1258" s="69">
        <v>101500</v>
      </c>
      <c r="CD1258" s="91">
        <f t="shared" si="166"/>
        <v>101500</v>
      </c>
      <c r="CE1258" s="69">
        <f t="shared" si="167"/>
        <v>0</v>
      </c>
      <c r="CF1258" s="75">
        <f t="shared" si="170"/>
        <v>372</v>
      </c>
      <c r="CG1258" s="69">
        <f t="shared" si="170"/>
        <v>0</v>
      </c>
    </row>
    <row r="1259" spans="2:92" ht="54" x14ac:dyDescent="0.25">
      <c r="B1259" s="69" t="s">
        <v>2187</v>
      </c>
      <c r="C1259" s="97">
        <f>286604817.47-X1259</f>
        <v>26740090.50000003</v>
      </c>
      <c r="D1259" s="78">
        <v>373</v>
      </c>
      <c r="E1259" s="69" t="s">
        <v>78</v>
      </c>
      <c r="F1259" s="77" t="s">
        <v>2188</v>
      </c>
      <c r="G1259" s="69"/>
      <c r="I1259" s="69">
        <v>373513.6</v>
      </c>
      <c r="K1259" s="69">
        <v>26366576.899999999</v>
      </c>
      <c r="U1259" s="69"/>
      <c r="V1259" s="69"/>
      <c r="X1259" s="69">
        <f>180606951.4+79257775.57</f>
        <v>259864726.97</v>
      </c>
      <c r="AP1259" s="69">
        <v>402950476.92000002</v>
      </c>
      <c r="AS1259" s="91">
        <f t="shared" si="144"/>
        <v>689555294.3900001</v>
      </c>
      <c r="AU1259" s="69"/>
      <c r="BZ1259" s="69">
        <v>286604817.47000003</v>
      </c>
      <c r="CC1259" s="69">
        <v>402950476.92000002</v>
      </c>
      <c r="CD1259" s="91">
        <f t="shared" si="166"/>
        <v>689555294.3900001</v>
      </c>
      <c r="CE1259" s="69">
        <f t="shared" si="167"/>
        <v>0</v>
      </c>
      <c r="CF1259" s="75">
        <f t="shared" si="170"/>
        <v>373</v>
      </c>
      <c r="CG1259" s="69" t="str">
        <f t="shared" si="170"/>
        <v>برنامج دولى</v>
      </c>
    </row>
    <row r="1260" spans="2:92" ht="72" x14ac:dyDescent="0.25">
      <c r="B1260" s="77" t="s">
        <v>2189</v>
      </c>
      <c r="C1260" s="97">
        <f>276947414.9-X1260</f>
        <v>9936540.2499999702</v>
      </c>
      <c r="D1260" s="78">
        <v>374</v>
      </c>
      <c r="E1260" s="69" t="s">
        <v>121</v>
      </c>
      <c r="F1260" s="77" t="s">
        <v>2188</v>
      </c>
      <c r="G1260" s="69"/>
      <c r="I1260" s="69">
        <v>128360.98</v>
      </c>
      <c r="K1260" s="69">
        <v>13808179.27</v>
      </c>
      <c r="U1260" s="69"/>
      <c r="V1260" s="69"/>
      <c r="X1260" s="69">
        <f>238436904.35+28573970.3</f>
        <v>267010874.65000001</v>
      </c>
      <c r="AP1260" s="69">
        <v>151168529.24000001</v>
      </c>
      <c r="AS1260" s="91">
        <f t="shared" si="144"/>
        <v>432115944.13999999</v>
      </c>
      <c r="AU1260" s="69"/>
      <c r="BZ1260" s="69">
        <v>280947414.89999998</v>
      </c>
      <c r="CC1260" s="69">
        <v>151168529.24000001</v>
      </c>
      <c r="CD1260" s="91">
        <f t="shared" si="166"/>
        <v>432115944.13999999</v>
      </c>
      <c r="CE1260" s="69">
        <f t="shared" si="167"/>
        <v>0</v>
      </c>
      <c r="CF1260" s="75">
        <f t="shared" si="170"/>
        <v>374</v>
      </c>
      <c r="CG1260" s="69" t="str">
        <f t="shared" si="170"/>
        <v>ماليزى اسنان</v>
      </c>
    </row>
    <row r="1261" spans="2:92" ht="54" x14ac:dyDescent="0.25">
      <c r="B1261" s="69" t="s">
        <v>2190</v>
      </c>
      <c r="C1261" s="82">
        <v>11979.67</v>
      </c>
      <c r="D1261" s="78">
        <v>375</v>
      </c>
      <c r="E1261" s="69" t="s">
        <v>132</v>
      </c>
      <c r="F1261" s="77" t="s">
        <v>2188</v>
      </c>
      <c r="G1261" s="69"/>
      <c r="I1261" s="69">
        <v>11979.67</v>
      </c>
      <c r="K1261" s="69">
        <v>765851.25</v>
      </c>
      <c r="U1261" s="69"/>
      <c r="V1261" s="69"/>
      <c r="AP1261" s="69">
        <v>8292480</v>
      </c>
      <c r="AS1261" s="91">
        <f t="shared" si="144"/>
        <v>9070310.9199999999</v>
      </c>
      <c r="AU1261" s="69"/>
      <c r="BZ1261" s="69">
        <v>777830.92</v>
      </c>
      <c r="CC1261" s="69">
        <v>8292480</v>
      </c>
      <c r="CD1261" s="91">
        <f t="shared" si="166"/>
        <v>9070310.9199999999</v>
      </c>
      <c r="CE1261" s="69">
        <f t="shared" si="167"/>
        <v>0</v>
      </c>
      <c r="CF1261" s="75">
        <f t="shared" si="170"/>
        <v>375</v>
      </c>
      <c r="CG1261" s="69" t="str">
        <f t="shared" si="170"/>
        <v>صيدلة اكلينيكى</v>
      </c>
    </row>
    <row r="1262" spans="2:92" s="68" customFormat="1" x14ac:dyDescent="0.25">
      <c r="C1262" s="83"/>
      <c r="D1262" s="84"/>
      <c r="F1262" s="68" t="s">
        <v>2191</v>
      </c>
      <c r="I1262" s="68">
        <f>SUM(I1213:I1261)</f>
        <v>513854.24999999994</v>
      </c>
      <c r="J1262" s="68">
        <f t="shared" ref="J1262:BU1262" si="171">SUM(J1213:J1261)</f>
        <v>0</v>
      </c>
      <c r="K1262" s="68">
        <f t="shared" si="171"/>
        <v>40954156.170000002</v>
      </c>
      <c r="L1262" s="68">
        <f t="shared" si="171"/>
        <v>0</v>
      </c>
      <c r="M1262" s="68">
        <f t="shared" si="171"/>
        <v>0</v>
      </c>
      <c r="N1262" s="68">
        <f t="shared" si="171"/>
        <v>0</v>
      </c>
      <c r="O1262" s="68">
        <f t="shared" si="171"/>
        <v>0</v>
      </c>
      <c r="P1262" s="68">
        <f t="shared" si="171"/>
        <v>0</v>
      </c>
      <c r="Q1262" s="68">
        <f t="shared" si="171"/>
        <v>6500</v>
      </c>
      <c r="R1262" s="68">
        <f t="shared" si="171"/>
        <v>0</v>
      </c>
      <c r="S1262" s="68">
        <f t="shared" si="171"/>
        <v>0</v>
      </c>
      <c r="T1262" s="68">
        <f t="shared" si="171"/>
        <v>0</v>
      </c>
      <c r="U1262" s="68">
        <f t="shared" si="171"/>
        <v>0</v>
      </c>
      <c r="V1262" s="68">
        <f t="shared" si="171"/>
        <v>0</v>
      </c>
      <c r="W1262" s="68">
        <f t="shared" si="171"/>
        <v>0</v>
      </c>
      <c r="X1262" s="68">
        <f t="shared" si="171"/>
        <v>526875601.62</v>
      </c>
      <c r="Y1262" s="68">
        <f t="shared" si="171"/>
        <v>0</v>
      </c>
      <c r="Z1262" s="68">
        <f t="shared" si="171"/>
        <v>0</v>
      </c>
      <c r="AA1262" s="68">
        <f t="shared" si="171"/>
        <v>0</v>
      </c>
      <c r="AB1262" s="68">
        <f t="shared" si="171"/>
        <v>0</v>
      </c>
      <c r="AC1262" s="68">
        <f t="shared" si="171"/>
        <v>351550</v>
      </c>
      <c r="AD1262" s="68">
        <f t="shared" si="171"/>
        <v>0</v>
      </c>
      <c r="AE1262" s="68">
        <f t="shared" si="171"/>
        <v>0</v>
      </c>
      <c r="AF1262" s="68">
        <f t="shared" si="171"/>
        <v>1763</v>
      </c>
      <c r="AG1262" s="68">
        <f t="shared" si="171"/>
        <v>0</v>
      </c>
      <c r="AH1262" s="68">
        <f t="shared" si="171"/>
        <v>0</v>
      </c>
      <c r="AI1262" s="68">
        <f t="shared" si="171"/>
        <v>122000</v>
      </c>
      <c r="AJ1262" s="68">
        <f t="shared" si="171"/>
        <v>0</v>
      </c>
      <c r="AK1262" s="68">
        <f t="shared" si="171"/>
        <v>101500</v>
      </c>
      <c r="AL1262" s="68">
        <f t="shared" si="171"/>
        <v>181420</v>
      </c>
      <c r="AM1262" s="68">
        <f t="shared" si="171"/>
        <v>0</v>
      </c>
      <c r="AN1262" s="68">
        <f t="shared" si="171"/>
        <v>0</v>
      </c>
      <c r="AO1262" s="68">
        <f t="shared" si="171"/>
        <v>0</v>
      </c>
      <c r="AP1262" s="68">
        <f t="shared" si="171"/>
        <v>562487306.16000009</v>
      </c>
      <c r="AQ1262" s="68">
        <f t="shared" si="171"/>
        <v>0</v>
      </c>
      <c r="AR1262" s="68">
        <f t="shared" si="171"/>
        <v>65355</v>
      </c>
      <c r="AS1262" s="68">
        <f t="shared" si="171"/>
        <v>1131661006.2000003</v>
      </c>
      <c r="AT1262" s="68">
        <f t="shared" si="171"/>
        <v>0</v>
      </c>
      <c r="AU1262" s="68">
        <f t="shared" si="171"/>
        <v>0</v>
      </c>
      <c r="AV1262" s="68">
        <f t="shared" si="171"/>
        <v>0</v>
      </c>
      <c r="AW1262" s="68">
        <f t="shared" si="171"/>
        <v>0</v>
      </c>
      <c r="AX1262" s="68">
        <f t="shared" si="171"/>
        <v>0</v>
      </c>
      <c r="AY1262" s="68">
        <f t="shared" si="171"/>
        <v>0</v>
      </c>
      <c r="AZ1262" s="68">
        <f t="shared" si="171"/>
        <v>0</v>
      </c>
      <c r="BA1262" s="68">
        <f t="shared" si="171"/>
        <v>0</v>
      </c>
      <c r="BB1262" s="68">
        <f t="shared" si="171"/>
        <v>0</v>
      </c>
      <c r="BC1262" s="68">
        <f t="shared" si="171"/>
        <v>0</v>
      </c>
      <c r="BD1262" s="68">
        <f t="shared" si="171"/>
        <v>0</v>
      </c>
      <c r="BE1262" s="68">
        <f t="shared" si="171"/>
        <v>1763</v>
      </c>
      <c r="BF1262" s="68">
        <f t="shared" si="171"/>
        <v>0</v>
      </c>
      <c r="BG1262" s="68">
        <f t="shared" si="171"/>
        <v>0</v>
      </c>
      <c r="BH1262" s="68">
        <f t="shared" si="171"/>
        <v>0</v>
      </c>
      <c r="BI1262" s="68">
        <f t="shared" si="171"/>
        <v>0</v>
      </c>
      <c r="BJ1262" s="68">
        <f t="shared" si="171"/>
        <v>0</v>
      </c>
      <c r="BK1262" s="68">
        <f t="shared" si="171"/>
        <v>0</v>
      </c>
      <c r="BL1262" s="68">
        <f t="shared" si="171"/>
        <v>0</v>
      </c>
      <c r="BM1262" s="68">
        <f t="shared" si="171"/>
        <v>0</v>
      </c>
      <c r="BN1262" s="68">
        <f t="shared" si="171"/>
        <v>0</v>
      </c>
      <c r="BO1262" s="68">
        <f t="shared" si="171"/>
        <v>0</v>
      </c>
      <c r="BP1262" s="68">
        <f t="shared" si="171"/>
        <v>6500</v>
      </c>
      <c r="BQ1262" s="68">
        <f t="shared" si="171"/>
        <v>351550</v>
      </c>
      <c r="BR1262" s="68">
        <f t="shared" si="171"/>
        <v>0</v>
      </c>
      <c r="BS1262" s="68">
        <f t="shared" si="171"/>
        <v>181420</v>
      </c>
      <c r="BT1262" s="68">
        <f t="shared" si="171"/>
        <v>122000</v>
      </c>
      <c r="BU1262" s="68">
        <f t="shared" si="171"/>
        <v>0</v>
      </c>
      <c r="BV1262" s="68">
        <f t="shared" ref="BV1262:CJ1262" si="172">SUM(BV1213:BV1261)</f>
        <v>101500</v>
      </c>
      <c r="BW1262" s="68">
        <f t="shared" si="172"/>
        <v>0</v>
      </c>
      <c r="BX1262" s="68">
        <f t="shared" si="172"/>
        <v>0</v>
      </c>
      <c r="BY1262" s="68">
        <f t="shared" si="172"/>
        <v>0</v>
      </c>
      <c r="BZ1262" s="68">
        <f t="shared" si="172"/>
        <v>568343612.03999996</v>
      </c>
      <c r="CA1262" s="68">
        <f t="shared" si="172"/>
        <v>0</v>
      </c>
      <c r="CB1262" s="68">
        <f t="shared" si="172"/>
        <v>72590</v>
      </c>
      <c r="CC1262" s="68">
        <f t="shared" si="172"/>
        <v>562480071.16000009</v>
      </c>
      <c r="CD1262" s="68">
        <f t="shared" si="172"/>
        <v>1131661006.2000003</v>
      </c>
      <c r="CE1262" s="68">
        <f t="shared" si="172"/>
        <v>0</v>
      </c>
      <c r="CG1262" s="68">
        <f t="shared" si="172"/>
        <v>0</v>
      </c>
      <c r="CH1262" s="68">
        <f t="shared" si="172"/>
        <v>0</v>
      </c>
      <c r="CI1262" s="68">
        <f t="shared" si="172"/>
        <v>135470</v>
      </c>
      <c r="CJ1262" s="68">
        <f t="shared" si="172"/>
        <v>0</v>
      </c>
      <c r="CK1262" s="68">
        <f ca="1">SUM(CK1213:CK1266)</f>
        <v>0</v>
      </c>
      <c r="CL1262" s="68">
        <f ca="1">SUM(CL1213:CL1266)</f>
        <v>0</v>
      </c>
      <c r="CM1262" s="68">
        <f ca="1">SUM(CM1213:CM1266)</f>
        <v>0</v>
      </c>
      <c r="CN1262" s="68">
        <f ca="1">SUM(CN1213:CN1266)</f>
        <v>0</v>
      </c>
    </row>
    <row r="1263" spans="2:92" x14ac:dyDescent="0.25">
      <c r="B1263" s="69" t="s">
        <v>2192</v>
      </c>
      <c r="C1263" s="82"/>
      <c r="D1263" s="78">
        <v>376</v>
      </c>
      <c r="F1263" s="69" t="s">
        <v>2193</v>
      </c>
      <c r="G1263" s="69"/>
      <c r="U1263" s="69"/>
      <c r="V1263" s="69"/>
      <c r="AE1263" s="69">
        <v>231495.67999999999</v>
      </c>
      <c r="AH1263" s="69">
        <v>16365271.1</v>
      </c>
      <c r="AS1263" s="91">
        <f t="shared" si="144"/>
        <v>16596766.779999999</v>
      </c>
      <c r="AU1263" s="69"/>
      <c r="BA1263" s="69">
        <v>16596766.779999999</v>
      </c>
      <c r="CD1263" s="91">
        <f t="shared" si="166"/>
        <v>16596766.779999999</v>
      </c>
      <c r="CE1263" s="69">
        <f t="shared" si="167"/>
        <v>0</v>
      </c>
      <c r="CF1263" s="75">
        <f t="shared" si="170"/>
        <v>376</v>
      </c>
      <c r="CG1263" s="69">
        <f t="shared" si="170"/>
        <v>0</v>
      </c>
    </row>
    <row r="1264" spans="2:92" x14ac:dyDescent="0.25">
      <c r="C1264" s="82"/>
      <c r="D1264" s="78">
        <v>377</v>
      </c>
      <c r="F1264" s="69" t="s">
        <v>2194</v>
      </c>
      <c r="G1264" s="69"/>
      <c r="K1264" s="69">
        <v>5657291.7300000004</v>
      </c>
      <c r="U1264" s="69"/>
      <c r="V1264" s="69"/>
      <c r="AE1264" s="69">
        <v>16365271.1</v>
      </c>
      <c r="AF1264" s="69">
        <v>3036432.82</v>
      </c>
      <c r="AS1264" s="91">
        <f t="shared" si="144"/>
        <v>25058995.649999999</v>
      </c>
      <c r="AU1264" s="69"/>
      <c r="AZ1264" s="69">
        <v>22022562.829999998</v>
      </c>
      <c r="CC1264" s="69">
        <v>3036432.82</v>
      </c>
      <c r="CD1264" s="91">
        <f t="shared" si="166"/>
        <v>25058995.649999999</v>
      </c>
      <c r="CE1264" s="69">
        <f t="shared" si="167"/>
        <v>0</v>
      </c>
      <c r="CF1264" s="75">
        <f t="shared" si="170"/>
        <v>377</v>
      </c>
      <c r="CG1264" s="69">
        <f t="shared" si="170"/>
        <v>0</v>
      </c>
    </row>
    <row r="1265" spans="3:95" ht="54" x14ac:dyDescent="0.25">
      <c r="C1265" s="82"/>
      <c r="D1265" s="78">
        <v>378</v>
      </c>
      <c r="E1265" s="69" t="s">
        <v>78</v>
      </c>
      <c r="F1265" s="77" t="s">
        <v>2195</v>
      </c>
      <c r="G1265" s="69"/>
      <c r="L1265" s="69">
        <v>2741683</v>
      </c>
      <c r="M1265" s="69">
        <v>2741683</v>
      </c>
      <c r="U1265" s="69"/>
      <c r="V1265" s="69"/>
      <c r="AS1265" s="91">
        <f t="shared" si="144"/>
        <v>5483366</v>
      </c>
      <c r="AU1265" s="69"/>
      <c r="BL1265" s="69">
        <v>2741683</v>
      </c>
      <c r="CC1265" s="69">
        <v>2741683</v>
      </c>
      <c r="CD1265" s="91">
        <f>SUM(AT1265:CC1265)</f>
        <v>5483366</v>
      </c>
      <c r="CE1265" s="69">
        <f t="shared" si="167"/>
        <v>0</v>
      </c>
      <c r="CF1265" s="75">
        <f t="shared" si="170"/>
        <v>378</v>
      </c>
      <c r="CG1265" s="69" t="str">
        <f t="shared" si="170"/>
        <v>برنامج دولى</v>
      </c>
    </row>
    <row r="1266" spans="3:95" ht="36" x14ac:dyDescent="0.25">
      <c r="C1266" s="82"/>
      <c r="D1266" s="78">
        <v>379</v>
      </c>
      <c r="F1266" s="77" t="s">
        <v>2196</v>
      </c>
      <c r="G1266" s="69"/>
      <c r="U1266" s="69"/>
      <c r="V1266" s="69"/>
      <c r="AK1266" s="69">
        <v>11500</v>
      </c>
      <c r="AS1266" s="91">
        <f t="shared" si="144"/>
        <v>11500</v>
      </c>
      <c r="AU1266" s="69"/>
      <c r="BV1266" s="69">
        <v>11500</v>
      </c>
      <c r="CD1266" s="91">
        <f t="shared" ref="CD1266:CD1278" si="173">SUM(AT1266:CC1266)</f>
        <v>11500</v>
      </c>
      <c r="CE1266" s="69">
        <f t="shared" si="167"/>
        <v>0</v>
      </c>
      <c r="CF1266" s="75">
        <f t="shared" si="170"/>
        <v>379</v>
      </c>
      <c r="CG1266" s="69">
        <f t="shared" si="170"/>
        <v>0</v>
      </c>
    </row>
    <row r="1267" spans="3:95" x14ac:dyDescent="0.25">
      <c r="C1267" s="82"/>
      <c r="D1267" s="78">
        <v>380</v>
      </c>
      <c r="F1267" s="77" t="s">
        <v>2197</v>
      </c>
      <c r="G1267" s="69"/>
      <c r="R1267" s="69">
        <v>49107.55</v>
      </c>
      <c r="U1267" s="69"/>
      <c r="V1267" s="69"/>
      <c r="AS1267" s="91">
        <f t="shared" si="144"/>
        <v>49107.55</v>
      </c>
      <c r="AU1267" s="69"/>
      <c r="CC1267" s="69">
        <v>49107.55</v>
      </c>
      <c r="CD1267" s="91">
        <f t="shared" si="173"/>
        <v>49107.55</v>
      </c>
      <c r="CE1267" s="69">
        <f t="shared" si="167"/>
        <v>0</v>
      </c>
      <c r="CF1267" s="75">
        <f t="shared" si="170"/>
        <v>380</v>
      </c>
      <c r="CG1267" s="69">
        <f t="shared" si="170"/>
        <v>0</v>
      </c>
    </row>
    <row r="1268" spans="3:95" x14ac:dyDescent="0.25">
      <c r="C1268" s="82"/>
      <c r="D1268" s="78">
        <v>381</v>
      </c>
      <c r="E1268" s="69" t="s">
        <v>1431</v>
      </c>
      <c r="F1268" s="77" t="s">
        <v>1764</v>
      </c>
      <c r="G1268" s="69"/>
      <c r="U1268" s="69"/>
      <c r="V1268" s="69"/>
      <c r="AS1268" s="91">
        <f t="shared" si="144"/>
        <v>0</v>
      </c>
      <c r="AU1268" s="69"/>
      <c r="CD1268" s="91">
        <f t="shared" si="173"/>
        <v>0</v>
      </c>
      <c r="CE1268" s="69">
        <f t="shared" si="167"/>
        <v>0</v>
      </c>
      <c r="CF1268" s="75">
        <f t="shared" si="170"/>
        <v>381</v>
      </c>
      <c r="CG1268" s="69" t="str">
        <f t="shared" si="170"/>
        <v>لاب فقط</v>
      </c>
    </row>
    <row r="1269" spans="3:95" x14ac:dyDescent="0.25">
      <c r="C1269" s="82"/>
      <c r="D1269" s="78">
        <v>382</v>
      </c>
      <c r="E1269" s="69" t="s">
        <v>1431</v>
      </c>
      <c r="F1269" s="77" t="s">
        <v>2198</v>
      </c>
      <c r="G1269" s="69"/>
      <c r="U1269" s="69"/>
      <c r="V1269" s="69"/>
      <c r="AS1269" s="91">
        <f t="shared" si="144"/>
        <v>0</v>
      </c>
      <c r="AU1269" s="69"/>
      <c r="CD1269" s="91">
        <f t="shared" si="173"/>
        <v>0</v>
      </c>
      <c r="CE1269" s="69">
        <f t="shared" si="167"/>
        <v>0</v>
      </c>
      <c r="CF1269" s="75">
        <f t="shared" si="170"/>
        <v>382</v>
      </c>
      <c r="CG1269" s="69" t="str">
        <f t="shared" si="170"/>
        <v>لاب فقط</v>
      </c>
    </row>
    <row r="1270" spans="3:95" x14ac:dyDescent="0.25">
      <c r="C1270" s="82"/>
      <c r="D1270" s="78">
        <v>383</v>
      </c>
      <c r="E1270" s="69" t="s">
        <v>1431</v>
      </c>
      <c r="F1270" s="77" t="s">
        <v>2198</v>
      </c>
      <c r="G1270" s="69"/>
      <c r="U1270" s="69"/>
      <c r="V1270" s="69"/>
      <c r="AS1270" s="91">
        <f t="shared" si="144"/>
        <v>0</v>
      </c>
      <c r="AU1270" s="69"/>
      <c r="CD1270" s="91">
        <f t="shared" si="173"/>
        <v>0</v>
      </c>
      <c r="CE1270" s="69">
        <f t="shared" si="167"/>
        <v>0</v>
      </c>
      <c r="CF1270" s="75">
        <f t="shared" si="170"/>
        <v>383</v>
      </c>
      <c r="CG1270" s="69" t="str">
        <f t="shared" si="170"/>
        <v>لاب فقط</v>
      </c>
    </row>
    <row r="1271" spans="3:95" x14ac:dyDescent="0.25">
      <c r="C1271" s="82"/>
      <c r="D1271" s="78">
        <v>384</v>
      </c>
      <c r="E1271" s="69" t="s">
        <v>1431</v>
      </c>
      <c r="F1271" s="77" t="s">
        <v>2198</v>
      </c>
      <c r="G1271" s="69"/>
      <c r="U1271" s="69"/>
      <c r="V1271" s="69"/>
      <c r="AS1271" s="91">
        <f t="shared" si="144"/>
        <v>0</v>
      </c>
      <c r="AU1271" s="69"/>
      <c r="CD1271" s="91">
        <f t="shared" si="173"/>
        <v>0</v>
      </c>
      <c r="CE1271" s="69">
        <f t="shared" si="167"/>
        <v>0</v>
      </c>
      <c r="CF1271" s="75">
        <f t="shared" si="170"/>
        <v>384</v>
      </c>
      <c r="CG1271" s="69" t="str">
        <f t="shared" si="170"/>
        <v>لاب فقط</v>
      </c>
    </row>
    <row r="1272" spans="3:95" x14ac:dyDescent="0.25">
      <c r="C1272" s="82"/>
      <c r="D1272" s="78">
        <v>385</v>
      </c>
      <c r="E1272" s="69" t="s">
        <v>1431</v>
      </c>
      <c r="F1272" s="77" t="s">
        <v>2198</v>
      </c>
      <c r="G1272" s="69"/>
      <c r="U1272" s="69"/>
      <c r="V1272" s="69"/>
      <c r="AS1272" s="91">
        <f t="shared" si="144"/>
        <v>0</v>
      </c>
      <c r="AU1272" s="69"/>
      <c r="CD1272" s="91">
        <f t="shared" si="173"/>
        <v>0</v>
      </c>
      <c r="CE1272" s="69">
        <f t="shared" si="167"/>
        <v>0</v>
      </c>
      <c r="CF1272" s="75">
        <f t="shared" si="170"/>
        <v>385</v>
      </c>
      <c r="CG1272" s="69" t="str">
        <f t="shared" si="170"/>
        <v>لاب فقط</v>
      </c>
    </row>
    <row r="1273" spans="3:95" x14ac:dyDescent="0.25">
      <c r="C1273" s="82"/>
      <c r="D1273" s="78">
        <v>386</v>
      </c>
      <c r="E1273" s="69" t="s">
        <v>1431</v>
      </c>
      <c r="F1273" s="77" t="s">
        <v>2198</v>
      </c>
      <c r="G1273" s="69"/>
      <c r="U1273" s="69"/>
      <c r="V1273" s="69"/>
      <c r="AS1273" s="91">
        <f t="shared" si="144"/>
        <v>0</v>
      </c>
      <c r="AU1273" s="69"/>
      <c r="CD1273" s="91">
        <f t="shared" si="173"/>
        <v>0</v>
      </c>
      <c r="CE1273" s="69">
        <f t="shared" si="167"/>
        <v>0</v>
      </c>
      <c r="CF1273" s="75">
        <f t="shared" si="170"/>
        <v>386</v>
      </c>
      <c r="CG1273" s="69" t="str">
        <f t="shared" si="170"/>
        <v>لاب فقط</v>
      </c>
    </row>
    <row r="1274" spans="3:95" x14ac:dyDescent="0.25">
      <c r="C1274" s="82"/>
      <c r="D1274" s="78">
        <v>387</v>
      </c>
      <c r="E1274" s="69" t="s">
        <v>1431</v>
      </c>
      <c r="F1274" s="77" t="s">
        <v>2198</v>
      </c>
      <c r="G1274" s="69"/>
      <c r="U1274" s="69"/>
      <c r="V1274" s="69"/>
      <c r="AS1274" s="91">
        <f t="shared" si="144"/>
        <v>0</v>
      </c>
      <c r="AU1274" s="69"/>
      <c r="CD1274" s="91">
        <f t="shared" si="173"/>
        <v>0</v>
      </c>
      <c r="CE1274" s="69">
        <f t="shared" si="167"/>
        <v>0</v>
      </c>
      <c r="CF1274" s="75">
        <f t="shared" si="170"/>
        <v>387</v>
      </c>
      <c r="CG1274" s="69" t="str">
        <f t="shared" si="170"/>
        <v>لاب فقط</v>
      </c>
    </row>
    <row r="1275" spans="3:95" x14ac:dyDescent="0.25">
      <c r="C1275" s="82"/>
      <c r="D1275" s="78">
        <v>388</v>
      </c>
      <c r="E1275" s="69" t="s">
        <v>1431</v>
      </c>
      <c r="F1275" s="77" t="s">
        <v>2198</v>
      </c>
      <c r="G1275" s="69"/>
      <c r="U1275" s="69"/>
      <c r="V1275" s="69"/>
      <c r="AS1275" s="91">
        <f t="shared" si="144"/>
        <v>0</v>
      </c>
      <c r="AU1275" s="69"/>
      <c r="CD1275" s="91">
        <f t="shared" si="173"/>
        <v>0</v>
      </c>
      <c r="CE1275" s="69">
        <f t="shared" si="167"/>
        <v>0</v>
      </c>
      <c r="CF1275" s="75">
        <f t="shared" si="170"/>
        <v>388</v>
      </c>
      <c r="CG1275" s="69" t="str">
        <f t="shared" si="170"/>
        <v>لاب فقط</v>
      </c>
    </row>
    <row r="1276" spans="3:95" x14ac:dyDescent="0.25">
      <c r="C1276" s="82"/>
      <c r="D1276" s="78">
        <v>389</v>
      </c>
      <c r="E1276" s="69" t="s">
        <v>1431</v>
      </c>
      <c r="F1276" s="77" t="s">
        <v>2198</v>
      </c>
      <c r="G1276" s="69"/>
      <c r="U1276" s="69"/>
      <c r="V1276" s="69"/>
      <c r="AS1276" s="91">
        <f t="shared" si="144"/>
        <v>0</v>
      </c>
      <c r="AU1276" s="69"/>
      <c r="CD1276" s="91">
        <f t="shared" si="173"/>
        <v>0</v>
      </c>
      <c r="CE1276" s="69">
        <f t="shared" ref="CE1276:CE1278" si="174">+CD1276-AS1276</f>
        <v>0</v>
      </c>
      <c r="CF1276" s="75">
        <f t="shared" si="170"/>
        <v>389</v>
      </c>
      <c r="CG1276" s="69" t="str">
        <f t="shared" si="170"/>
        <v>لاب فقط</v>
      </c>
    </row>
    <row r="1277" spans="3:95" x14ac:dyDescent="0.25">
      <c r="C1277" s="82"/>
      <c r="D1277" s="78">
        <v>390</v>
      </c>
      <c r="E1277" s="69" t="s">
        <v>1431</v>
      </c>
      <c r="F1277" s="77" t="s">
        <v>2198</v>
      </c>
      <c r="G1277" s="69"/>
      <c r="U1277" s="69"/>
      <c r="V1277" s="69"/>
      <c r="AS1277" s="91">
        <f t="shared" si="144"/>
        <v>0</v>
      </c>
      <c r="AU1277" s="69"/>
      <c r="CD1277" s="91">
        <f t="shared" si="173"/>
        <v>0</v>
      </c>
      <c r="CE1277" s="69">
        <f t="shared" si="174"/>
        <v>0</v>
      </c>
      <c r="CF1277" s="75">
        <f t="shared" si="170"/>
        <v>390</v>
      </c>
      <c r="CG1277" s="69" t="str">
        <f t="shared" si="170"/>
        <v>لاب فقط</v>
      </c>
    </row>
    <row r="1278" spans="3:95" ht="36" x14ac:dyDescent="0.25">
      <c r="C1278" s="82"/>
      <c r="D1278" s="78">
        <v>391</v>
      </c>
      <c r="F1278" s="77" t="s">
        <v>2199</v>
      </c>
      <c r="G1278" s="69"/>
      <c r="U1278" s="69"/>
      <c r="V1278" s="69"/>
      <c r="Z1278" s="69">
        <v>16273.54</v>
      </c>
      <c r="AS1278" s="91">
        <f t="shared" si="144"/>
        <v>16273.54</v>
      </c>
      <c r="AU1278" s="69"/>
      <c r="CC1278" s="69">
        <v>16273.54</v>
      </c>
      <c r="CD1278" s="91">
        <f t="shared" si="173"/>
        <v>16273.54</v>
      </c>
      <c r="CE1278" s="69">
        <f t="shared" si="174"/>
        <v>0</v>
      </c>
      <c r="CF1278" s="75">
        <f t="shared" si="170"/>
        <v>391</v>
      </c>
      <c r="CG1278" s="69">
        <f t="shared" si="170"/>
        <v>0</v>
      </c>
    </row>
    <row r="1279" spans="3:95" s="68" customFormat="1" x14ac:dyDescent="0.25">
      <c r="C1279" s="83"/>
      <c r="D1279" s="84"/>
      <c r="F1279" s="68" t="s">
        <v>2200</v>
      </c>
      <c r="K1279" s="68">
        <f>SUM(K1263:K1278)</f>
        <v>5657291.7300000004</v>
      </c>
      <c r="L1279" s="68">
        <f t="shared" ref="L1279:BW1279" si="175">SUM(L1263:L1278)</f>
        <v>2741683</v>
      </c>
      <c r="M1279" s="68">
        <f t="shared" si="175"/>
        <v>2741683</v>
      </c>
      <c r="N1279" s="68">
        <f t="shared" si="175"/>
        <v>0</v>
      </c>
      <c r="O1279" s="68">
        <f t="shared" si="175"/>
        <v>0</v>
      </c>
      <c r="P1279" s="68">
        <f t="shared" si="175"/>
        <v>0</v>
      </c>
      <c r="Q1279" s="68">
        <f t="shared" si="175"/>
        <v>0</v>
      </c>
      <c r="R1279" s="68">
        <f t="shared" si="175"/>
        <v>49107.55</v>
      </c>
      <c r="S1279" s="68">
        <f t="shared" si="175"/>
        <v>0</v>
      </c>
      <c r="T1279" s="68">
        <f t="shared" si="175"/>
        <v>0</v>
      </c>
      <c r="U1279" s="68">
        <f t="shared" si="175"/>
        <v>0</v>
      </c>
      <c r="V1279" s="68">
        <f t="shared" si="175"/>
        <v>0</v>
      </c>
      <c r="W1279" s="68">
        <f t="shared" si="175"/>
        <v>0</v>
      </c>
      <c r="X1279" s="68">
        <f t="shared" si="175"/>
        <v>0</v>
      </c>
      <c r="Y1279" s="68">
        <f t="shared" si="175"/>
        <v>0</v>
      </c>
      <c r="Z1279" s="68">
        <f t="shared" si="175"/>
        <v>16273.54</v>
      </c>
      <c r="AA1279" s="68">
        <f t="shared" si="175"/>
        <v>0</v>
      </c>
      <c r="AB1279" s="68">
        <f t="shared" si="175"/>
        <v>0</v>
      </c>
      <c r="AC1279" s="68">
        <f t="shared" si="175"/>
        <v>0</v>
      </c>
      <c r="AD1279" s="68">
        <f t="shared" si="175"/>
        <v>0</v>
      </c>
      <c r="AE1279" s="68">
        <f t="shared" si="175"/>
        <v>16596766.779999999</v>
      </c>
      <c r="AF1279" s="68">
        <f t="shared" si="175"/>
        <v>3036432.82</v>
      </c>
      <c r="AG1279" s="68">
        <f t="shared" si="175"/>
        <v>0</v>
      </c>
      <c r="AH1279" s="68">
        <f t="shared" si="175"/>
        <v>16365271.1</v>
      </c>
      <c r="AI1279" s="68">
        <f t="shared" si="175"/>
        <v>0</v>
      </c>
      <c r="AJ1279" s="68">
        <f t="shared" si="175"/>
        <v>0</v>
      </c>
      <c r="AK1279" s="68">
        <f t="shared" si="175"/>
        <v>11500</v>
      </c>
      <c r="AL1279" s="68">
        <f t="shared" si="175"/>
        <v>0</v>
      </c>
      <c r="AM1279" s="68">
        <f t="shared" si="175"/>
        <v>0</v>
      </c>
      <c r="AN1279" s="68">
        <f t="shared" si="175"/>
        <v>0</v>
      </c>
      <c r="AO1279" s="68">
        <f t="shared" si="175"/>
        <v>0</v>
      </c>
      <c r="AP1279" s="68">
        <f t="shared" si="175"/>
        <v>0</v>
      </c>
      <c r="AQ1279" s="68">
        <f t="shared" si="175"/>
        <v>0</v>
      </c>
      <c r="AR1279" s="68">
        <f t="shared" si="175"/>
        <v>0</v>
      </c>
      <c r="AS1279" s="68">
        <f t="shared" si="175"/>
        <v>47216009.519999996</v>
      </c>
      <c r="AT1279" s="68">
        <f t="shared" si="175"/>
        <v>0</v>
      </c>
      <c r="AU1279" s="68">
        <f t="shared" si="175"/>
        <v>0</v>
      </c>
      <c r="AV1279" s="68">
        <f t="shared" si="175"/>
        <v>0</v>
      </c>
      <c r="AW1279" s="68">
        <f t="shared" si="175"/>
        <v>0</v>
      </c>
      <c r="AX1279" s="68">
        <f t="shared" si="175"/>
        <v>0</v>
      </c>
      <c r="AY1279" s="68">
        <f t="shared" si="175"/>
        <v>0</v>
      </c>
      <c r="AZ1279" s="68">
        <f t="shared" si="175"/>
        <v>22022562.829999998</v>
      </c>
      <c r="BA1279" s="68">
        <f t="shared" si="175"/>
        <v>16596766.779999999</v>
      </c>
      <c r="BB1279" s="68">
        <f t="shared" si="175"/>
        <v>0</v>
      </c>
      <c r="BC1279" s="68">
        <f t="shared" si="175"/>
        <v>0</v>
      </c>
      <c r="BD1279" s="68">
        <f t="shared" si="175"/>
        <v>0</v>
      </c>
      <c r="BE1279" s="68">
        <f t="shared" si="175"/>
        <v>0</v>
      </c>
      <c r="BF1279" s="68">
        <f t="shared" si="175"/>
        <v>0</v>
      </c>
      <c r="BG1279" s="68">
        <f t="shared" si="175"/>
        <v>0</v>
      </c>
      <c r="BH1279" s="68">
        <f t="shared" si="175"/>
        <v>0</v>
      </c>
      <c r="BI1279" s="68">
        <f t="shared" si="175"/>
        <v>0</v>
      </c>
      <c r="BJ1279" s="68">
        <f t="shared" si="175"/>
        <v>0</v>
      </c>
      <c r="BK1279" s="68">
        <f t="shared" si="175"/>
        <v>0</v>
      </c>
      <c r="BL1279" s="68">
        <f t="shared" si="175"/>
        <v>2741683</v>
      </c>
      <c r="BM1279" s="68">
        <f t="shared" si="175"/>
        <v>0</v>
      </c>
      <c r="BN1279" s="68">
        <f t="shared" si="175"/>
        <v>0</v>
      </c>
      <c r="BO1279" s="68">
        <f t="shared" si="175"/>
        <v>0</v>
      </c>
      <c r="BP1279" s="68">
        <f t="shared" si="175"/>
        <v>0</v>
      </c>
      <c r="BQ1279" s="68">
        <f t="shared" si="175"/>
        <v>0</v>
      </c>
      <c r="BR1279" s="68">
        <f t="shared" si="175"/>
        <v>0</v>
      </c>
      <c r="BS1279" s="68">
        <f t="shared" si="175"/>
        <v>0</v>
      </c>
      <c r="BT1279" s="68">
        <f t="shared" si="175"/>
        <v>0</v>
      </c>
      <c r="BU1279" s="68">
        <f t="shared" si="175"/>
        <v>0</v>
      </c>
      <c r="BV1279" s="68">
        <f t="shared" si="175"/>
        <v>11500</v>
      </c>
      <c r="BW1279" s="68">
        <f t="shared" si="175"/>
        <v>0</v>
      </c>
      <c r="BX1279" s="68">
        <f t="shared" ref="BX1279:CQ1279" si="176">SUM(BX1263:BX1278)</f>
        <v>0</v>
      </c>
      <c r="BY1279" s="68">
        <f t="shared" si="176"/>
        <v>0</v>
      </c>
      <c r="BZ1279" s="68">
        <f t="shared" si="176"/>
        <v>0</v>
      </c>
      <c r="CA1279" s="68">
        <f t="shared" si="176"/>
        <v>0</v>
      </c>
      <c r="CB1279" s="68">
        <f t="shared" si="176"/>
        <v>0</v>
      </c>
      <c r="CC1279" s="68">
        <f t="shared" si="176"/>
        <v>5843496.9100000001</v>
      </c>
      <c r="CD1279" s="68">
        <f t="shared" si="176"/>
        <v>47216009.519999996</v>
      </c>
      <c r="CE1279" s="68">
        <f t="shared" si="176"/>
        <v>0</v>
      </c>
      <c r="CG1279" s="68">
        <f t="shared" si="176"/>
        <v>0</v>
      </c>
      <c r="CH1279" s="68">
        <f t="shared" si="176"/>
        <v>0</v>
      </c>
      <c r="CI1279" s="68">
        <f t="shared" si="176"/>
        <v>0</v>
      </c>
      <c r="CJ1279" s="68">
        <f t="shared" si="176"/>
        <v>0</v>
      </c>
      <c r="CK1279" s="68">
        <f t="shared" si="176"/>
        <v>0</v>
      </c>
      <c r="CL1279" s="68">
        <f t="shared" si="176"/>
        <v>0</v>
      </c>
      <c r="CM1279" s="68">
        <f t="shared" si="176"/>
        <v>0</v>
      </c>
      <c r="CN1279" s="68">
        <f t="shared" si="176"/>
        <v>0</v>
      </c>
      <c r="CO1279" s="68">
        <f t="shared" si="176"/>
        <v>0</v>
      </c>
      <c r="CP1279" s="68">
        <f t="shared" si="176"/>
        <v>0</v>
      </c>
      <c r="CQ1279" s="68">
        <f t="shared" si="176"/>
        <v>0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D641C-D7B1-4B65-BC56-775BD46C7F76}">
  <dimension ref="A2:CT1344"/>
  <sheetViews>
    <sheetView rightToLeft="1" topLeftCell="A375" workbookViewId="0">
      <selection activeCell="C375" sqref="C1:C1048576"/>
    </sheetView>
  </sheetViews>
  <sheetFormatPr defaultColWidth="9.140625" defaultRowHeight="18" x14ac:dyDescent="0.25"/>
  <cols>
    <col min="1" max="1" width="4.5703125" style="69" customWidth="1"/>
    <col min="2" max="2" width="18.140625" style="69" customWidth="1"/>
    <col min="3" max="3" width="17.42578125" style="75" customWidth="1"/>
    <col min="4" max="4" width="13.5703125" style="75" customWidth="1"/>
    <col min="5" max="5" width="11.140625" style="69" customWidth="1"/>
    <col min="6" max="6" width="42.28515625" style="69" customWidth="1"/>
    <col min="7" max="7" width="10.42578125" style="63" customWidth="1"/>
    <col min="8" max="8" width="14.28515625" style="69" customWidth="1"/>
    <col min="9" max="9" width="13.28515625" style="69" customWidth="1"/>
    <col min="10" max="10" width="12.42578125" style="69" customWidth="1"/>
    <col min="11" max="11" width="13.28515625" style="69" customWidth="1"/>
    <col min="12" max="13" width="12.85546875" style="69" customWidth="1"/>
    <col min="14" max="14" width="13" style="69" customWidth="1"/>
    <col min="15" max="15" width="12.85546875" style="69" customWidth="1"/>
    <col min="16" max="16" width="13" style="69" customWidth="1"/>
    <col min="17" max="17" width="13.140625" style="69" customWidth="1"/>
    <col min="18" max="18" width="9.5703125" style="69" customWidth="1"/>
    <col min="19" max="19" width="12.7109375" style="69" customWidth="1"/>
    <col min="20" max="20" width="13" style="69" customWidth="1"/>
    <col min="21" max="21" width="13.7109375" style="52" customWidth="1"/>
    <col min="22" max="22" width="10" style="52" customWidth="1"/>
    <col min="23" max="23" width="16.5703125" style="69" customWidth="1"/>
    <col min="24" max="24" width="11.85546875" style="69" customWidth="1"/>
    <col min="25" max="25" width="12.85546875" style="69" customWidth="1"/>
    <col min="26" max="26" width="14.42578125" style="69" customWidth="1"/>
    <col min="27" max="27" width="16.5703125" style="69" customWidth="1"/>
    <col min="28" max="28" width="12.85546875" style="69" customWidth="1"/>
    <col min="29" max="29" width="13.5703125" style="69" customWidth="1"/>
    <col min="30" max="30" width="12.7109375" style="69" customWidth="1"/>
    <col min="31" max="31" width="14.28515625" style="69" customWidth="1"/>
    <col min="32" max="32" width="14.85546875" style="69" customWidth="1"/>
    <col min="33" max="33" width="10.140625" style="69" customWidth="1"/>
    <col min="34" max="34" width="15.85546875" style="69" customWidth="1"/>
    <col min="35" max="36" width="10.140625" style="69" customWidth="1"/>
    <col min="37" max="37" width="12.28515625" style="69" customWidth="1"/>
    <col min="38" max="42" width="10.140625" style="69" customWidth="1"/>
    <col min="43" max="43" width="11.42578125" style="69" customWidth="1"/>
    <col min="44" max="44" width="14.7109375" style="57" customWidth="1"/>
    <col min="45" max="45" width="13.85546875" style="69" customWidth="1"/>
    <col min="46" max="46" width="13.5703125" style="52" customWidth="1"/>
    <col min="47" max="47" width="13.140625" style="69" customWidth="1"/>
    <col min="48" max="48" width="11.5703125" style="69" customWidth="1"/>
    <col min="49" max="49" width="10.42578125" style="69" customWidth="1"/>
    <col min="50" max="50" width="9.5703125" style="69" customWidth="1"/>
    <col min="51" max="52" width="14.5703125" style="69" customWidth="1"/>
    <col min="53" max="53" width="10.140625" style="69" customWidth="1"/>
    <col min="54" max="54" width="12.140625" style="69" customWidth="1"/>
    <col min="55" max="56" width="18.140625" style="57" customWidth="1"/>
    <col min="57" max="57" width="11.5703125" style="69" customWidth="1"/>
    <col min="58" max="58" width="11.140625" style="69" customWidth="1"/>
    <col min="59" max="59" width="10.140625" style="69" customWidth="1"/>
    <col min="60" max="60" width="11" style="69" customWidth="1"/>
    <col min="61" max="61" width="12.140625" style="69" customWidth="1"/>
    <col min="62" max="62" width="11.42578125" style="69" customWidth="1"/>
    <col min="63" max="63" width="13" style="69" customWidth="1"/>
    <col min="64" max="64" width="12.28515625" style="69" customWidth="1"/>
    <col min="65" max="65" width="11.140625" style="69" customWidth="1"/>
    <col min="66" max="66" width="11.5703125" style="69" customWidth="1"/>
    <col min="67" max="67" width="11.140625" style="69" customWidth="1"/>
    <col min="68" max="68" width="11.5703125" style="69" customWidth="1"/>
    <col min="69" max="69" width="10.85546875" style="69" customWidth="1"/>
    <col min="70" max="70" width="12.28515625" style="69" customWidth="1"/>
    <col min="71" max="71" width="12.42578125" style="69" customWidth="1"/>
    <col min="72" max="72" width="14.5703125" style="69" customWidth="1"/>
    <col min="73" max="73" width="12.7109375" style="69" customWidth="1"/>
    <col min="74" max="74" width="11.42578125" style="69" customWidth="1"/>
    <col min="75" max="75" width="13.28515625" style="69" customWidth="1"/>
    <col min="76" max="76" width="9.28515625" style="69" customWidth="1"/>
    <col min="77" max="77" width="12.42578125" style="69" customWidth="1"/>
    <col min="78" max="78" width="10.85546875" style="69" customWidth="1"/>
    <col min="79" max="79" width="13" style="69" customWidth="1"/>
    <col min="80" max="80" width="16" style="69" customWidth="1"/>
    <col min="81" max="81" width="15" style="57" customWidth="1"/>
    <col min="82" max="82" width="12.85546875" style="69" customWidth="1"/>
    <col min="83" max="83" width="9.140625" style="75"/>
    <col min="84" max="84" width="12.5703125" style="3" customWidth="1"/>
    <col min="85" max="16384" width="9.140625" style="69"/>
  </cols>
  <sheetData>
    <row r="2" spans="2:84" s="52" customFormat="1" ht="36" customHeight="1" x14ac:dyDescent="0.25">
      <c r="G2" s="53"/>
      <c r="H2" s="54" t="s">
        <v>1</v>
      </c>
      <c r="I2" s="54" t="s">
        <v>2</v>
      </c>
      <c r="J2" s="54" t="s">
        <v>3</v>
      </c>
      <c r="K2" s="54" t="s">
        <v>4</v>
      </c>
      <c r="L2" s="54" t="s">
        <v>5</v>
      </c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5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6"/>
      <c r="BD2" s="56"/>
      <c r="BN2" s="52" t="s">
        <v>6</v>
      </c>
      <c r="CC2" s="57"/>
      <c r="CE2" s="58"/>
      <c r="CF2" s="4"/>
    </row>
    <row r="3" spans="2:84" s="56" customFormat="1" ht="72" customHeight="1" x14ac:dyDescent="0.25">
      <c r="B3" s="52" t="s">
        <v>7</v>
      </c>
      <c r="C3" s="59" t="s">
        <v>8</v>
      </c>
      <c r="D3" s="59" t="s">
        <v>9</v>
      </c>
      <c r="E3" s="54" t="s">
        <v>10</v>
      </c>
      <c r="F3" s="60" t="s">
        <v>11</v>
      </c>
      <c r="G3" s="53" t="s">
        <v>12</v>
      </c>
      <c r="H3" s="54" t="s">
        <v>13</v>
      </c>
      <c r="I3" s="54" t="s">
        <v>14</v>
      </c>
      <c r="J3" s="54" t="s">
        <v>15</v>
      </c>
      <c r="K3" s="54" t="s">
        <v>16</v>
      </c>
      <c r="L3" s="54" t="s">
        <v>17</v>
      </c>
      <c r="M3" s="54" t="s">
        <v>18</v>
      </c>
      <c r="N3" s="54" t="s">
        <v>19</v>
      </c>
      <c r="O3" s="54" t="s">
        <v>20</v>
      </c>
      <c r="P3" s="54" t="s">
        <v>21</v>
      </c>
      <c r="Q3" s="54" t="s">
        <v>22</v>
      </c>
      <c r="R3" s="54" t="s">
        <v>23</v>
      </c>
      <c r="S3" s="54" t="s">
        <v>24</v>
      </c>
      <c r="T3" s="54" t="s">
        <v>25</v>
      </c>
      <c r="U3" s="54" t="s">
        <v>26</v>
      </c>
      <c r="V3" s="54" t="s">
        <v>27</v>
      </c>
      <c r="W3" s="54" t="s">
        <v>28</v>
      </c>
      <c r="X3" s="54" t="s">
        <v>29</v>
      </c>
      <c r="Y3" s="54" t="s">
        <v>30</v>
      </c>
      <c r="Z3" s="54" t="s">
        <v>31</v>
      </c>
      <c r="AA3" s="54" t="s">
        <v>32</v>
      </c>
      <c r="AB3" s="54" t="s">
        <v>33</v>
      </c>
      <c r="AC3" s="54" t="s">
        <v>34</v>
      </c>
      <c r="AD3" s="54" t="s">
        <v>35</v>
      </c>
      <c r="AE3" s="54" t="s">
        <v>36</v>
      </c>
      <c r="AF3" s="54" t="s">
        <v>37</v>
      </c>
      <c r="AG3" s="54" t="s">
        <v>38</v>
      </c>
      <c r="AH3" s="54" t="s">
        <v>39</v>
      </c>
      <c r="AI3" s="54" t="s">
        <v>40</v>
      </c>
      <c r="AJ3" s="54" t="s">
        <v>41</v>
      </c>
      <c r="AK3" s="54" t="s">
        <v>42</v>
      </c>
      <c r="AL3" s="54" t="s">
        <v>43</v>
      </c>
      <c r="AM3" s="54" t="s">
        <v>44</v>
      </c>
      <c r="AN3" s="54" t="s">
        <v>45</v>
      </c>
      <c r="AO3" s="54" t="s">
        <v>46</v>
      </c>
      <c r="AP3" s="54" t="s">
        <v>47</v>
      </c>
      <c r="AQ3" s="54" t="s">
        <v>48</v>
      </c>
      <c r="AR3" s="55" t="s">
        <v>50</v>
      </c>
      <c r="AS3" s="54" t="s">
        <v>51</v>
      </c>
      <c r="AT3" s="54" t="s">
        <v>52</v>
      </c>
      <c r="AU3" s="54" t="s">
        <v>25</v>
      </c>
      <c r="AV3" s="54" t="s">
        <v>53</v>
      </c>
      <c r="AW3" s="54" t="s">
        <v>54</v>
      </c>
      <c r="AX3" s="54" t="s">
        <v>55</v>
      </c>
      <c r="AY3" s="54" t="s">
        <v>37</v>
      </c>
      <c r="AZ3" s="54" t="s">
        <v>39</v>
      </c>
      <c r="BA3" s="54" t="s">
        <v>56</v>
      </c>
      <c r="BB3" s="54" t="s">
        <v>57</v>
      </c>
      <c r="BC3" s="56" t="s">
        <v>58</v>
      </c>
      <c r="BD3" s="56" t="s">
        <v>59</v>
      </c>
      <c r="BE3" s="56" t="s">
        <v>31</v>
      </c>
      <c r="BF3" s="56" t="s">
        <v>60</v>
      </c>
      <c r="BG3" s="56" t="s">
        <v>27</v>
      </c>
      <c r="BH3" s="56" t="s">
        <v>61</v>
      </c>
      <c r="BI3" s="56" t="s">
        <v>62</v>
      </c>
      <c r="BJ3" s="56" t="s">
        <v>24</v>
      </c>
      <c r="BK3" s="56" t="s">
        <v>63</v>
      </c>
      <c r="BL3" s="56" t="s">
        <v>64</v>
      </c>
      <c r="BM3" s="56" t="s">
        <v>18</v>
      </c>
      <c r="BN3" s="56" t="s">
        <v>65</v>
      </c>
      <c r="BO3" s="56" t="s">
        <v>21</v>
      </c>
      <c r="BP3" s="56" t="s">
        <v>66</v>
      </c>
      <c r="BQ3" s="56" t="s">
        <v>67</v>
      </c>
      <c r="BR3" s="56" t="s">
        <v>40</v>
      </c>
      <c r="BS3" s="56" t="s">
        <v>68</v>
      </c>
      <c r="BT3" s="56" t="s">
        <v>69</v>
      </c>
      <c r="BU3" s="56" t="s">
        <v>41</v>
      </c>
      <c r="BV3" s="56" t="s">
        <v>70</v>
      </c>
      <c r="BW3" s="56" t="s">
        <v>71</v>
      </c>
      <c r="BX3" s="56" t="s">
        <v>72</v>
      </c>
      <c r="BY3" s="56" t="s">
        <v>46</v>
      </c>
      <c r="BZ3" s="56" t="s">
        <v>73</v>
      </c>
      <c r="CA3" s="56" t="s">
        <v>74</v>
      </c>
      <c r="CB3" s="56" t="s">
        <v>75</v>
      </c>
      <c r="CC3" s="61" t="s">
        <v>76</v>
      </c>
      <c r="CD3" s="56" t="s">
        <v>77</v>
      </c>
      <c r="CE3" s="62"/>
      <c r="CF3" s="13"/>
    </row>
    <row r="4" spans="2:84" s="63" customFormat="1" ht="15" customHeight="1" x14ac:dyDescent="0.25">
      <c r="C4" s="64"/>
      <c r="D4" s="64"/>
      <c r="E4" s="63" t="s">
        <v>78</v>
      </c>
      <c r="AR4" s="57"/>
      <c r="AT4" s="52"/>
      <c r="BC4" s="57"/>
      <c r="BD4" s="57"/>
      <c r="CC4" s="57"/>
      <c r="CE4" s="64"/>
      <c r="CF4" s="18"/>
    </row>
    <row r="5" spans="2:84" s="63" customFormat="1" x14ac:dyDescent="0.25">
      <c r="C5" s="64"/>
      <c r="D5" s="64"/>
      <c r="E5" s="63" t="s">
        <v>128</v>
      </c>
      <c r="AR5" s="57"/>
      <c r="AT5" s="52"/>
      <c r="BC5" s="57"/>
      <c r="BD5" s="57"/>
      <c r="CC5" s="57"/>
      <c r="CE5" s="64"/>
      <c r="CF5" s="18"/>
    </row>
    <row r="6" spans="2:84" s="63" customFormat="1" x14ac:dyDescent="0.25">
      <c r="C6" s="64"/>
      <c r="D6" s="64"/>
      <c r="E6" s="63" t="s">
        <v>130</v>
      </c>
      <c r="AR6" s="57"/>
      <c r="AT6" s="52"/>
      <c r="BC6" s="57"/>
      <c r="BD6" s="57"/>
      <c r="CC6" s="57"/>
      <c r="CE6" s="64"/>
      <c r="CF6" s="18"/>
    </row>
    <row r="7" spans="2:84" s="63" customFormat="1" x14ac:dyDescent="0.25">
      <c r="C7" s="64"/>
      <c r="D7" s="64"/>
      <c r="E7" s="63" t="s">
        <v>724</v>
      </c>
      <c r="AR7" s="57"/>
      <c r="AT7" s="52"/>
      <c r="BC7" s="57"/>
      <c r="BD7" s="57"/>
      <c r="CC7" s="57"/>
      <c r="CE7" s="64"/>
      <c r="CF7" s="18"/>
    </row>
    <row r="8" spans="2:84" s="63" customFormat="1" x14ac:dyDescent="0.25">
      <c r="C8" s="64"/>
      <c r="D8" s="64"/>
      <c r="E8" s="63" t="s">
        <v>725</v>
      </c>
      <c r="AR8" s="57"/>
      <c r="AT8" s="52"/>
      <c r="BC8" s="57"/>
      <c r="BD8" s="57"/>
      <c r="CC8" s="57"/>
      <c r="CE8" s="64"/>
      <c r="CF8" s="18"/>
    </row>
    <row r="9" spans="2:84" s="63" customFormat="1" x14ac:dyDescent="0.25">
      <c r="C9" s="64"/>
      <c r="D9" s="64"/>
      <c r="E9" s="63" t="s">
        <v>726</v>
      </c>
      <c r="AR9" s="57"/>
      <c r="AT9" s="52"/>
      <c r="BC9" s="57"/>
      <c r="BD9" s="57"/>
      <c r="CC9" s="57"/>
      <c r="CE9" s="64"/>
      <c r="CF9" s="18"/>
    </row>
    <row r="10" spans="2:84" s="63" customFormat="1" x14ac:dyDescent="0.25">
      <c r="C10" s="64"/>
      <c r="D10" s="64"/>
      <c r="E10" s="63" t="s">
        <v>121</v>
      </c>
      <c r="AR10" s="57"/>
      <c r="AT10" s="52"/>
      <c r="BC10" s="57"/>
      <c r="BD10" s="57"/>
      <c r="CC10" s="57"/>
      <c r="CE10" s="64"/>
      <c r="CF10" s="18"/>
    </row>
    <row r="11" spans="2:84" s="63" customFormat="1" x14ac:dyDescent="0.25">
      <c r="C11" s="64"/>
      <c r="D11" s="64"/>
      <c r="E11" s="63" t="s">
        <v>123</v>
      </c>
      <c r="AR11" s="57"/>
      <c r="AT11" s="52"/>
      <c r="BC11" s="57"/>
      <c r="BD11" s="57"/>
      <c r="CC11" s="57"/>
      <c r="CE11" s="64"/>
      <c r="CF11" s="18"/>
    </row>
    <row r="12" spans="2:84" s="63" customFormat="1" x14ac:dyDescent="0.25">
      <c r="C12" s="64"/>
      <c r="D12" s="64"/>
      <c r="E12" s="63" t="s">
        <v>122</v>
      </c>
      <c r="AR12" s="57"/>
      <c r="AT12" s="52"/>
      <c r="BC12" s="57"/>
      <c r="BD12" s="57"/>
      <c r="CC12" s="57"/>
      <c r="CE12" s="64"/>
      <c r="CF12" s="18"/>
    </row>
    <row r="13" spans="2:84" s="63" customFormat="1" x14ac:dyDescent="0.25">
      <c r="C13" s="64"/>
      <c r="D13" s="64"/>
      <c r="E13" s="63" t="s">
        <v>137</v>
      </c>
      <c r="AR13" s="57"/>
      <c r="AT13" s="52"/>
      <c r="BC13" s="57"/>
      <c r="BD13" s="57"/>
      <c r="CC13" s="57"/>
      <c r="CE13" s="64"/>
      <c r="CF13" s="18"/>
    </row>
    <row r="14" spans="2:84" s="63" customFormat="1" x14ac:dyDescent="0.25">
      <c r="C14" s="64"/>
      <c r="D14" s="64"/>
      <c r="E14" s="63" t="s">
        <v>125</v>
      </c>
      <c r="AR14" s="57"/>
      <c r="AT14" s="52"/>
      <c r="BC14" s="57"/>
      <c r="BD14" s="57"/>
      <c r="CC14" s="57"/>
      <c r="CE14" s="64"/>
      <c r="CF14" s="18"/>
    </row>
    <row r="15" spans="2:84" s="63" customFormat="1" x14ac:dyDescent="0.25">
      <c r="C15" s="64"/>
      <c r="D15" s="64"/>
      <c r="E15" s="63" t="s">
        <v>727</v>
      </c>
      <c r="AR15" s="57"/>
      <c r="AT15" s="52"/>
      <c r="BC15" s="57"/>
      <c r="BD15" s="57"/>
      <c r="CC15" s="57"/>
      <c r="CE15" s="64"/>
      <c r="CF15" s="18"/>
    </row>
    <row r="16" spans="2:84" s="63" customFormat="1" x14ac:dyDescent="0.25">
      <c r="C16" s="64"/>
      <c r="D16" s="64"/>
      <c r="E16" s="63" t="s">
        <v>728</v>
      </c>
      <c r="AR16" s="57"/>
      <c r="AT16" s="52"/>
      <c r="BC16" s="57"/>
      <c r="BD16" s="57"/>
      <c r="CC16" s="57"/>
      <c r="CE16" s="64"/>
      <c r="CF16" s="18"/>
    </row>
    <row r="17" spans="2:91" s="63" customFormat="1" x14ac:dyDescent="0.25">
      <c r="C17" s="64"/>
      <c r="D17" s="64"/>
      <c r="E17" s="63" t="s">
        <v>124</v>
      </c>
      <c r="AR17" s="57"/>
      <c r="AT17" s="52"/>
      <c r="BC17" s="57"/>
      <c r="BD17" s="57"/>
      <c r="CC17" s="57"/>
      <c r="CE17" s="64"/>
      <c r="CF17" s="18"/>
    </row>
    <row r="18" spans="2:91" s="63" customFormat="1" x14ac:dyDescent="0.25">
      <c r="C18" s="64"/>
      <c r="D18" s="64"/>
      <c r="E18" s="63" t="s">
        <v>132</v>
      </c>
      <c r="AR18" s="57"/>
      <c r="AT18" s="52"/>
      <c r="BC18" s="57"/>
      <c r="BD18" s="57"/>
      <c r="CC18" s="57"/>
      <c r="CE18" s="64"/>
      <c r="CF18" s="18"/>
    </row>
    <row r="19" spans="2:91" s="63" customFormat="1" x14ac:dyDescent="0.25">
      <c r="C19" s="64"/>
      <c r="D19" s="64"/>
      <c r="E19" s="63" t="s">
        <v>119</v>
      </c>
      <c r="AR19" s="57"/>
      <c r="AT19" s="52"/>
      <c r="BC19" s="57"/>
      <c r="BD19" s="57"/>
      <c r="CC19" s="57"/>
      <c r="CE19" s="64"/>
      <c r="CF19" s="18"/>
    </row>
    <row r="20" spans="2:91" s="63" customFormat="1" x14ac:dyDescent="0.25">
      <c r="C20" s="64"/>
      <c r="D20" s="64"/>
      <c r="E20" s="63" t="s">
        <v>729</v>
      </c>
      <c r="AR20" s="57"/>
      <c r="AT20" s="52"/>
      <c r="BC20" s="57"/>
      <c r="BD20" s="57"/>
      <c r="CC20" s="57"/>
      <c r="CE20" s="64"/>
      <c r="CF20" s="18"/>
    </row>
    <row r="21" spans="2:91" s="63" customFormat="1" x14ac:dyDescent="0.25">
      <c r="C21" s="64"/>
      <c r="D21" s="64"/>
      <c r="E21" s="63" t="s">
        <v>730</v>
      </c>
      <c r="AR21" s="57"/>
      <c r="AT21" s="52"/>
      <c r="BC21" s="57"/>
      <c r="BD21" s="57"/>
      <c r="CC21" s="57"/>
      <c r="CE21" s="64"/>
      <c r="CF21" s="18"/>
    </row>
    <row r="22" spans="2:91" s="63" customFormat="1" x14ac:dyDescent="0.25">
      <c r="C22" s="64"/>
      <c r="D22" s="64"/>
      <c r="E22" s="63" t="s">
        <v>731</v>
      </c>
      <c r="AR22" s="57"/>
      <c r="AT22" s="52"/>
      <c r="BC22" s="57"/>
      <c r="BD22" s="57"/>
      <c r="CC22" s="57"/>
      <c r="CE22" s="64"/>
      <c r="CF22" s="18"/>
    </row>
    <row r="23" spans="2:91" s="63" customFormat="1" x14ac:dyDescent="0.25">
      <c r="C23" s="64"/>
      <c r="D23" s="64"/>
      <c r="E23" s="63" t="s">
        <v>116</v>
      </c>
      <c r="AR23" s="57"/>
      <c r="AT23" s="52"/>
      <c r="BC23" s="57"/>
      <c r="BD23" s="57"/>
      <c r="CC23" s="57"/>
      <c r="CE23" s="64"/>
      <c r="CF23" s="18"/>
    </row>
    <row r="24" spans="2:91" s="63" customFormat="1" x14ac:dyDescent="0.25">
      <c r="C24" s="64"/>
      <c r="D24" s="64"/>
      <c r="E24" s="63" t="s">
        <v>732</v>
      </c>
      <c r="AR24" s="57"/>
      <c r="AT24" s="52"/>
      <c r="BC24" s="57"/>
      <c r="BD24" s="57"/>
      <c r="CC24" s="57"/>
      <c r="CE24" s="64"/>
      <c r="CF24" s="18"/>
    </row>
    <row r="25" spans="2:91" s="63" customFormat="1" x14ac:dyDescent="0.25">
      <c r="C25" s="64"/>
      <c r="D25" s="64"/>
      <c r="E25" s="63" t="s">
        <v>733</v>
      </c>
      <c r="AR25" s="57"/>
      <c r="AT25" s="52"/>
      <c r="BC25" s="57"/>
      <c r="BD25" s="57"/>
      <c r="CC25" s="57"/>
      <c r="CE25" s="64"/>
      <c r="CF25" s="18"/>
    </row>
    <row r="26" spans="2:91" s="63" customFormat="1" x14ac:dyDescent="0.25">
      <c r="B26" s="65">
        <v>45354</v>
      </c>
      <c r="C26" s="64">
        <v>6763</v>
      </c>
      <c r="D26" s="64">
        <v>8379</v>
      </c>
      <c r="F26" s="63" t="s">
        <v>1180</v>
      </c>
      <c r="G26" s="63" t="s">
        <v>220</v>
      </c>
      <c r="AD26" s="63">
        <v>633.20000000000005</v>
      </c>
      <c r="AR26" s="57">
        <f>SUM(H26:AQ26)</f>
        <v>633.20000000000005</v>
      </c>
      <c r="AS26" s="63">
        <v>633.20000000000005</v>
      </c>
      <c r="AT26" s="52"/>
      <c r="BC26" s="57"/>
      <c r="BD26" s="57"/>
      <c r="CC26" s="57">
        <f>SUM(AS26:CB26)</f>
        <v>633.20000000000005</v>
      </c>
      <c r="CD26" s="63">
        <f>+CC26-AR26</f>
        <v>0</v>
      </c>
      <c r="CE26" s="64">
        <f>+D26</f>
        <v>8379</v>
      </c>
      <c r="CF26" s="18">
        <f>+E26</f>
        <v>0</v>
      </c>
    </row>
    <row r="27" spans="2:91" s="63" customFormat="1" x14ac:dyDescent="0.25">
      <c r="B27" s="65">
        <v>45354</v>
      </c>
      <c r="C27" s="64">
        <v>6751</v>
      </c>
      <c r="D27" s="64">
        <v>8380</v>
      </c>
      <c r="F27" s="63" t="s">
        <v>1181</v>
      </c>
      <c r="G27" s="63" t="s">
        <v>220</v>
      </c>
      <c r="AD27" s="63">
        <v>800</v>
      </c>
      <c r="AR27" s="57">
        <f t="shared" ref="AR27:AR41" si="0">SUM(H27:AQ27)</f>
        <v>800</v>
      </c>
      <c r="AS27" s="63">
        <v>800</v>
      </c>
      <c r="AT27" s="52"/>
      <c r="BC27" s="57"/>
      <c r="BD27" s="57"/>
      <c r="CC27" s="57">
        <f t="shared" ref="CC27:CC41" si="1">SUM(AS27:CB27)</f>
        <v>800</v>
      </c>
      <c r="CD27" s="63">
        <f t="shared" ref="CD27:CD41" si="2">+CC27-AR27</f>
        <v>0</v>
      </c>
      <c r="CE27" s="64">
        <f t="shared" ref="CE27:CF41" si="3">+D27</f>
        <v>8380</v>
      </c>
      <c r="CF27" s="18">
        <f t="shared" si="3"/>
        <v>0</v>
      </c>
    </row>
    <row r="28" spans="2:91" s="68" customFormat="1" x14ac:dyDescent="0.25">
      <c r="B28" s="66"/>
      <c r="C28" s="67"/>
      <c r="D28" s="67"/>
      <c r="F28" s="68" t="s">
        <v>1182</v>
      </c>
      <c r="AD28" s="68">
        <f>SUM(AD26:AD27)</f>
        <v>1433.2</v>
      </c>
      <c r="AE28" s="68">
        <f t="shared" ref="AE28:CM28" si="4">SUM(AE26:AE27)</f>
        <v>0</v>
      </c>
      <c r="AF28" s="68">
        <f t="shared" si="4"/>
        <v>0</v>
      </c>
      <c r="AG28" s="68">
        <f t="shared" si="4"/>
        <v>0</v>
      </c>
      <c r="AH28" s="68">
        <f t="shared" si="4"/>
        <v>0</v>
      </c>
      <c r="AI28" s="68">
        <f t="shared" si="4"/>
        <v>0</v>
      </c>
      <c r="AJ28" s="68">
        <f t="shared" si="4"/>
        <v>0</v>
      </c>
      <c r="AK28" s="68">
        <f t="shared" si="4"/>
        <v>0</v>
      </c>
      <c r="AL28" s="68">
        <f t="shared" si="4"/>
        <v>0</v>
      </c>
      <c r="AM28" s="68">
        <f t="shared" si="4"/>
        <v>0</v>
      </c>
      <c r="AN28" s="68">
        <f t="shared" si="4"/>
        <v>0</v>
      </c>
      <c r="AO28" s="68">
        <f t="shared" si="4"/>
        <v>0</v>
      </c>
      <c r="AP28" s="68">
        <f t="shared" si="4"/>
        <v>0</v>
      </c>
      <c r="AQ28" s="68">
        <f t="shared" si="4"/>
        <v>0</v>
      </c>
      <c r="AR28" s="57">
        <f t="shared" si="4"/>
        <v>1433.2</v>
      </c>
      <c r="AS28" s="68">
        <f t="shared" si="4"/>
        <v>1433.2</v>
      </c>
      <c r="AT28" s="68">
        <f t="shared" si="4"/>
        <v>0</v>
      </c>
      <c r="AU28" s="68">
        <f t="shared" si="4"/>
        <v>0</v>
      </c>
      <c r="AV28" s="68">
        <f t="shared" si="4"/>
        <v>0</v>
      </c>
      <c r="AW28" s="68">
        <f t="shared" si="4"/>
        <v>0</v>
      </c>
      <c r="AX28" s="68">
        <f t="shared" si="4"/>
        <v>0</v>
      </c>
      <c r="AY28" s="68">
        <f t="shared" si="4"/>
        <v>0</v>
      </c>
      <c r="AZ28" s="68">
        <f t="shared" si="4"/>
        <v>0</v>
      </c>
      <c r="BA28" s="68">
        <f t="shared" si="4"/>
        <v>0</v>
      </c>
      <c r="BB28" s="68">
        <f t="shared" si="4"/>
        <v>0</v>
      </c>
      <c r="BC28" s="68">
        <f t="shared" si="4"/>
        <v>0</v>
      </c>
      <c r="BD28" s="68">
        <f t="shared" si="4"/>
        <v>0</v>
      </c>
      <c r="BE28" s="68">
        <f t="shared" si="4"/>
        <v>0</v>
      </c>
      <c r="BF28" s="68">
        <f t="shared" si="4"/>
        <v>0</v>
      </c>
      <c r="BG28" s="68">
        <f t="shared" si="4"/>
        <v>0</v>
      </c>
      <c r="BH28" s="68">
        <f t="shared" si="4"/>
        <v>0</v>
      </c>
      <c r="BI28" s="68">
        <f t="shared" si="4"/>
        <v>0</v>
      </c>
      <c r="BJ28" s="68">
        <f t="shared" si="4"/>
        <v>0</v>
      </c>
      <c r="BK28" s="68">
        <f t="shared" si="4"/>
        <v>0</v>
      </c>
      <c r="BL28" s="68">
        <f t="shared" si="4"/>
        <v>0</v>
      </c>
      <c r="BM28" s="68">
        <f t="shared" si="4"/>
        <v>0</v>
      </c>
      <c r="BN28" s="68">
        <f t="shared" si="4"/>
        <v>0</v>
      </c>
      <c r="BO28" s="68">
        <f t="shared" si="4"/>
        <v>0</v>
      </c>
      <c r="BP28" s="68">
        <f t="shared" si="4"/>
        <v>0</v>
      </c>
      <c r="BQ28" s="68">
        <f t="shared" si="4"/>
        <v>0</v>
      </c>
      <c r="BR28" s="68">
        <f t="shared" si="4"/>
        <v>0</v>
      </c>
      <c r="BS28" s="68">
        <f t="shared" si="4"/>
        <v>0</v>
      </c>
      <c r="BT28" s="68">
        <f t="shared" si="4"/>
        <v>0</v>
      </c>
      <c r="BU28" s="68">
        <f t="shared" si="4"/>
        <v>0</v>
      </c>
      <c r="BV28" s="68">
        <f t="shared" si="4"/>
        <v>0</v>
      </c>
      <c r="BW28" s="68">
        <f t="shared" si="4"/>
        <v>0</v>
      </c>
      <c r="BX28" s="68">
        <f t="shared" si="4"/>
        <v>0</v>
      </c>
      <c r="BY28" s="68">
        <f t="shared" si="4"/>
        <v>0</v>
      </c>
      <c r="BZ28" s="68">
        <f t="shared" si="4"/>
        <v>0</v>
      </c>
      <c r="CA28" s="68">
        <f t="shared" si="4"/>
        <v>0</v>
      </c>
      <c r="CB28" s="68">
        <f t="shared" si="4"/>
        <v>0</v>
      </c>
      <c r="CC28" s="57">
        <f t="shared" si="4"/>
        <v>1433.2</v>
      </c>
      <c r="CD28" s="68">
        <f t="shared" si="4"/>
        <v>0</v>
      </c>
      <c r="CF28" s="29">
        <f t="shared" si="4"/>
        <v>0</v>
      </c>
      <c r="CG28" s="68">
        <f t="shared" si="4"/>
        <v>0</v>
      </c>
      <c r="CH28" s="68">
        <f t="shared" si="4"/>
        <v>0</v>
      </c>
      <c r="CI28" s="68">
        <f t="shared" si="4"/>
        <v>0</v>
      </c>
      <c r="CJ28" s="68">
        <f t="shared" si="4"/>
        <v>0</v>
      </c>
      <c r="CK28" s="68">
        <f t="shared" si="4"/>
        <v>0</v>
      </c>
      <c r="CL28" s="68">
        <f t="shared" si="4"/>
        <v>0</v>
      </c>
      <c r="CM28" s="68">
        <f t="shared" si="4"/>
        <v>0</v>
      </c>
    </row>
    <row r="29" spans="2:91" s="63" customFormat="1" x14ac:dyDescent="0.25">
      <c r="B29" s="65">
        <v>45385</v>
      </c>
      <c r="C29" s="64">
        <v>6804</v>
      </c>
      <c r="D29" s="64">
        <v>8381</v>
      </c>
      <c r="F29" s="63" t="s">
        <v>1183</v>
      </c>
      <c r="G29" s="63" t="s">
        <v>220</v>
      </c>
      <c r="AD29" s="63">
        <v>85</v>
      </c>
      <c r="AR29" s="57">
        <f t="shared" si="0"/>
        <v>85</v>
      </c>
      <c r="AS29" s="63">
        <v>85</v>
      </c>
      <c r="AT29" s="52"/>
      <c r="BC29" s="57"/>
      <c r="BD29" s="57"/>
      <c r="CC29" s="57">
        <f t="shared" si="1"/>
        <v>85</v>
      </c>
      <c r="CD29" s="63">
        <f t="shared" si="2"/>
        <v>0</v>
      </c>
      <c r="CE29" s="64">
        <f t="shared" si="3"/>
        <v>8381</v>
      </c>
      <c r="CF29" s="18">
        <f t="shared" si="3"/>
        <v>0</v>
      </c>
    </row>
    <row r="30" spans="2:91" s="63" customFormat="1" x14ac:dyDescent="0.25">
      <c r="B30" s="65">
        <v>45385</v>
      </c>
      <c r="C30" s="64">
        <v>6817</v>
      </c>
      <c r="D30" s="64">
        <v>8382</v>
      </c>
      <c r="F30" s="63" t="s">
        <v>1184</v>
      </c>
      <c r="G30" s="63" t="s">
        <v>220</v>
      </c>
      <c r="AD30" s="63">
        <v>2</v>
      </c>
      <c r="AR30" s="57">
        <f t="shared" si="0"/>
        <v>2</v>
      </c>
      <c r="AS30" s="63">
        <v>2</v>
      </c>
      <c r="AT30" s="52"/>
      <c r="BC30" s="57"/>
      <c r="BD30" s="57"/>
      <c r="CC30" s="57">
        <f t="shared" si="1"/>
        <v>2</v>
      </c>
      <c r="CD30" s="63">
        <f t="shared" si="2"/>
        <v>0</v>
      </c>
      <c r="CE30" s="64">
        <f t="shared" si="3"/>
        <v>8382</v>
      </c>
      <c r="CF30" s="18">
        <f t="shared" si="3"/>
        <v>0</v>
      </c>
    </row>
    <row r="31" spans="2:91" s="63" customFormat="1" x14ac:dyDescent="0.25">
      <c r="B31" s="65">
        <v>45385</v>
      </c>
      <c r="C31" s="64">
        <v>6806</v>
      </c>
      <c r="D31" s="64">
        <v>8383</v>
      </c>
      <c r="F31" s="63" t="s">
        <v>1185</v>
      </c>
      <c r="G31" s="63" t="s">
        <v>220</v>
      </c>
      <c r="AD31" s="63">
        <v>14</v>
      </c>
      <c r="AR31" s="57">
        <f t="shared" si="0"/>
        <v>14</v>
      </c>
      <c r="AS31" s="63">
        <v>14</v>
      </c>
      <c r="AT31" s="52"/>
      <c r="BC31" s="57"/>
      <c r="BD31" s="57"/>
      <c r="CC31" s="57">
        <f t="shared" si="1"/>
        <v>14</v>
      </c>
      <c r="CD31" s="63">
        <f t="shared" si="2"/>
        <v>0</v>
      </c>
      <c r="CE31" s="64">
        <f t="shared" si="3"/>
        <v>8383</v>
      </c>
      <c r="CF31" s="18">
        <f t="shared" si="3"/>
        <v>0</v>
      </c>
    </row>
    <row r="32" spans="2:91" s="63" customFormat="1" x14ac:dyDescent="0.25">
      <c r="B32" s="65">
        <v>45385</v>
      </c>
      <c r="C32" s="64">
        <v>6808</v>
      </c>
      <c r="D32" s="64">
        <v>8384</v>
      </c>
      <c r="F32" s="63" t="s">
        <v>1186</v>
      </c>
      <c r="G32" s="63" t="s">
        <v>220</v>
      </c>
      <c r="AD32" s="63">
        <v>15</v>
      </c>
      <c r="AR32" s="57">
        <f t="shared" si="0"/>
        <v>15</v>
      </c>
      <c r="AS32" s="63">
        <v>15</v>
      </c>
      <c r="AT32" s="52"/>
      <c r="BC32" s="57"/>
      <c r="BD32" s="57"/>
      <c r="CC32" s="57">
        <f t="shared" si="1"/>
        <v>15</v>
      </c>
      <c r="CD32" s="63">
        <f t="shared" si="2"/>
        <v>0</v>
      </c>
      <c r="CE32" s="64">
        <f t="shared" si="3"/>
        <v>8384</v>
      </c>
      <c r="CF32" s="18">
        <f t="shared" si="3"/>
        <v>0</v>
      </c>
    </row>
    <row r="33" spans="2:91" s="63" customFormat="1" x14ac:dyDescent="0.25">
      <c r="B33" s="65">
        <v>45385</v>
      </c>
      <c r="C33" s="64">
        <v>6812</v>
      </c>
      <c r="D33" s="64">
        <v>8385</v>
      </c>
      <c r="F33" s="63" t="s">
        <v>1187</v>
      </c>
      <c r="G33" s="63" t="s">
        <v>220</v>
      </c>
      <c r="AD33" s="63">
        <v>700</v>
      </c>
      <c r="AR33" s="57">
        <f t="shared" si="0"/>
        <v>700</v>
      </c>
      <c r="AS33" s="63">
        <v>700</v>
      </c>
      <c r="AT33" s="52"/>
      <c r="BC33" s="57"/>
      <c r="BD33" s="57"/>
      <c r="CC33" s="57">
        <f t="shared" si="1"/>
        <v>700</v>
      </c>
      <c r="CD33" s="63">
        <f t="shared" si="2"/>
        <v>0</v>
      </c>
      <c r="CE33" s="64">
        <f t="shared" si="3"/>
        <v>8385</v>
      </c>
      <c r="CF33" s="18">
        <f t="shared" si="3"/>
        <v>0</v>
      </c>
    </row>
    <row r="34" spans="2:91" s="63" customFormat="1" x14ac:dyDescent="0.25">
      <c r="B34" s="65">
        <v>45385</v>
      </c>
      <c r="C34" s="64">
        <v>6814</v>
      </c>
      <c r="D34" s="64">
        <v>8386</v>
      </c>
      <c r="F34" s="63" t="s">
        <v>1188</v>
      </c>
      <c r="G34" s="63" t="s">
        <v>220</v>
      </c>
      <c r="AD34" s="63">
        <v>6500</v>
      </c>
      <c r="AR34" s="57">
        <f t="shared" si="0"/>
        <v>6500</v>
      </c>
      <c r="AS34" s="63">
        <v>6500</v>
      </c>
      <c r="AT34" s="52"/>
      <c r="BC34" s="57"/>
      <c r="BD34" s="57"/>
      <c r="CC34" s="57">
        <f t="shared" si="1"/>
        <v>6500</v>
      </c>
      <c r="CD34" s="63">
        <f t="shared" si="2"/>
        <v>0</v>
      </c>
      <c r="CE34" s="64">
        <f t="shared" si="3"/>
        <v>8386</v>
      </c>
      <c r="CF34" s="18">
        <f t="shared" si="3"/>
        <v>0</v>
      </c>
    </row>
    <row r="35" spans="2:91" s="63" customFormat="1" x14ac:dyDescent="0.25">
      <c r="B35" s="65">
        <v>45385</v>
      </c>
      <c r="C35" s="64">
        <v>6828</v>
      </c>
      <c r="D35" s="64">
        <v>8387</v>
      </c>
      <c r="F35" s="63" t="s">
        <v>1189</v>
      </c>
      <c r="G35" s="63" t="s">
        <v>220</v>
      </c>
      <c r="AD35" s="63">
        <v>1177.31</v>
      </c>
      <c r="AR35" s="57">
        <f t="shared" si="0"/>
        <v>1177.31</v>
      </c>
      <c r="AS35" s="63">
        <v>1177.31</v>
      </c>
      <c r="AT35" s="52"/>
      <c r="BC35" s="57"/>
      <c r="BD35" s="57"/>
      <c r="CC35" s="57">
        <f t="shared" si="1"/>
        <v>1177.31</v>
      </c>
      <c r="CD35" s="63">
        <f t="shared" si="2"/>
        <v>0</v>
      </c>
      <c r="CE35" s="64">
        <f t="shared" si="3"/>
        <v>8387</v>
      </c>
      <c r="CF35" s="18">
        <f t="shared" si="3"/>
        <v>0</v>
      </c>
    </row>
    <row r="36" spans="2:91" s="63" customFormat="1" x14ac:dyDescent="0.25">
      <c r="B36" s="65">
        <v>45385</v>
      </c>
      <c r="C36" s="64">
        <v>6809</v>
      </c>
      <c r="D36" s="64">
        <v>8388</v>
      </c>
      <c r="F36" s="63" t="s">
        <v>1190</v>
      </c>
      <c r="G36" s="63" t="s">
        <v>220</v>
      </c>
      <c r="AD36" s="63">
        <v>1450</v>
      </c>
      <c r="AR36" s="57">
        <f t="shared" si="0"/>
        <v>1450</v>
      </c>
      <c r="AS36" s="63">
        <v>1450</v>
      </c>
      <c r="AT36" s="52"/>
      <c r="BC36" s="57"/>
      <c r="BD36" s="57"/>
      <c r="CC36" s="57">
        <f t="shared" si="1"/>
        <v>1450</v>
      </c>
      <c r="CD36" s="63">
        <f t="shared" si="2"/>
        <v>0</v>
      </c>
      <c r="CE36" s="64">
        <f t="shared" si="3"/>
        <v>8388</v>
      </c>
      <c r="CF36" s="18">
        <f t="shared" si="3"/>
        <v>0</v>
      </c>
    </row>
    <row r="37" spans="2:91" s="63" customFormat="1" x14ac:dyDescent="0.25">
      <c r="B37" s="65">
        <v>45385</v>
      </c>
      <c r="C37" s="64">
        <v>6801</v>
      </c>
      <c r="D37" s="64">
        <v>8389</v>
      </c>
      <c r="F37" s="63" t="s">
        <v>1191</v>
      </c>
      <c r="G37" s="63" t="s">
        <v>220</v>
      </c>
      <c r="AD37" s="63">
        <v>1122.77</v>
      </c>
      <c r="AR37" s="57">
        <f t="shared" si="0"/>
        <v>1122.77</v>
      </c>
      <c r="AS37" s="63">
        <v>1122.77</v>
      </c>
      <c r="AT37" s="52"/>
      <c r="BC37" s="57"/>
      <c r="BD37" s="57"/>
      <c r="CC37" s="57">
        <f t="shared" si="1"/>
        <v>1122.77</v>
      </c>
      <c r="CD37" s="63">
        <f t="shared" si="2"/>
        <v>0</v>
      </c>
      <c r="CE37" s="64">
        <f t="shared" si="3"/>
        <v>8389</v>
      </c>
      <c r="CF37" s="18">
        <f t="shared" si="3"/>
        <v>0</v>
      </c>
    </row>
    <row r="38" spans="2:91" s="63" customFormat="1" x14ac:dyDescent="0.25">
      <c r="B38" s="65">
        <v>45385</v>
      </c>
      <c r="C38" s="64">
        <v>6823</v>
      </c>
      <c r="D38" s="64">
        <v>8390</v>
      </c>
      <c r="F38" s="63" t="s">
        <v>1192</v>
      </c>
      <c r="G38" s="63" t="s">
        <v>220</v>
      </c>
      <c r="AD38" s="63">
        <v>1337</v>
      </c>
      <c r="AR38" s="57">
        <f t="shared" si="0"/>
        <v>1337</v>
      </c>
      <c r="AS38" s="63">
        <v>1337</v>
      </c>
      <c r="AT38" s="52"/>
      <c r="BC38" s="57"/>
      <c r="BD38" s="57"/>
      <c r="CC38" s="57">
        <f t="shared" si="1"/>
        <v>1337</v>
      </c>
      <c r="CD38" s="63">
        <f t="shared" si="2"/>
        <v>0</v>
      </c>
      <c r="CE38" s="64">
        <f t="shared" si="3"/>
        <v>8390</v>
      </c>
      <c r="CF38" s="18">
        <f t="shared" si="3"/>
        <v>0</v>
      </c>
    </row>
    <row r="39" spans="2:91" s="63" customFormat="1" x14ac:dyDescent="0.25">
      <c r="B39" s="65">
        <v>45385</v>
      </c>
      <c r="C39" s="64">
        <v>6800</v>
      </c>
      <c r="D39" s="64">
        <v>8391</v>
      </c>
      <c r="F39" s="63" t="s">
        <v>1193</v>
      </c>
      <c r="G39" s="63" t="s">
        <v>220</v>
      </c>
      <c r="AD39" s="63">
        <v>3000</v>
      </c>
      <c r="AR39" s="57">
        <f t="shared" si="0"/>
        <v>3000</v>
      </c>
      <c r="AS39" s="63">
        <v>3000</v>
      </c>
      <c r="AT39" s="52"/>
      <c r="BC39" s="57"/>
      <c r="BD39" s="57"/>
      <c r="CC39" s="57">
        <f t="shared" si="1"/>
        <v>3000</v>
      </c>
      <c r="CD39" s="63">
        <f t="shared" si="2"/>
        <v>0</v>
      </c>
      <c r="CE39" s="64">
        <f t="shared" si="3"/>
        <v>8391</v>
      </c>
      <c r="CF39" s="18">
        <f t="shared" si="3"/>
        <v>0</v>
      </c>
    </row>
    <row r="40" spans="2:91" s="63" customFormat="1" x14ac:dyDescent="0.25">
      <c r="B40" s="65">
        <v>45385</v>
      </c>
      <c r="C40" s="64">
        <v>6803</v>
      </c>
      <c r="D40" s="64">
        <v>8392</v>
      </c>
      <c r="F40" s="63" t="s">
        <v>1194</v>
      </c>
      <c r="G40" s="63" t="s">
        <v>220</v>
      </c>
      <c r="AD40" s="63">
        <v>106</v>
      </c>
      <c r="AR40" s="57">
        <f t="shared" si="0"/>
        <v>106</v>
      </c>
      <c r="AS40" s="63">
        <v>106</v>
      </c>
      <c r="AT40" s="52"/>
      <c r="BC40" s="57"/>
      <c r="BD40" s="57"/>
      <c r="CC40" s="57">
        <f t="shared" si="1"/>
        <v>106</v>
      </c>
      <c r="CD40" s="63">
        <f t="shared" si="2"/>
        <v>0</v>
      </c>
      <c r="CE40" s="64">
        <f t="shared" si="3"/>
        <v>8392</v>
      </c>
      <c r="CF40" s="18">
        <f t="shared" si="3"/>
        <v>0</v>
      </c>
    </row>
    <row r="41" spans="2:91" s="63" customFormat="1" x14ac:dyDescent="0.25">
      <c r="B41" s="65">
        <v>45385</v>
      </c>
      <c r="C41" s="64">
        <v>6805</v>
      </c>
      <c r="D41" s="64">
        <v>8393</v>
      </c>
      <c r="F41" s="63" t="s">
        <v>1195</v>
      </c>
      <c r="G41" s="63" t="s">
        <v>220</v>
      </c>
      <c r="AD41" s="63">
        <v>2</v>
      </c>
      <c r="AR41" s="57">
        <f t="shared" si="0"/>
        <v>2</v>
      </c>
      <c r="AS41" s="63">
        <v>2</v>
      </c>
      <c r="AT41" s="52"/>
      <c r="BC41" s="57"/>
      <c r="BD41" s="57"/>
      <c r="CC41" s="57">
        <f t="shared" si="1"/>
        <v>2</v>
      </c>
      <c r="CD41" s="63">
        <f t="shared" si="2"/>
        <v>0</v>
      </c>
      <c r="CE41" s="64">
        <f t="shared" si="3"/>
        <v>8393</v>
      </c>
      <c r="CF41" s="18">
        <f t="shared" si="3"/>
        <v>0</v>
      </c>
    </row>
    <row r="42" spans="2:91" s="68" customFormat="1" x14ac:dyDescent="0.25">
      <c r="B42" s="66"/>
      <c r="C42" s="67"/>
      <c r="D42" s="67"/>
      <c r="F42" s="68" t="s">
        <v>1196</v>
      </c>
      <c r="AD42" s="68">
        <f>SUM(AD29:AD41)</f>
        <v>15511.08</v>
      </c>
      <c r="AE42" s="68">
        <f t="shared" ref="AE42:CM42" si="5">SUM(AE29:AE41)</f>
        <v>0</v>
      </c>
      <c r="AF42" s="68">
        <f t="shared" si="5"/>
        <v>0</v>
      </c>
      <c r="AG42" s="68">
        <f t="shared" si="5"/>
        <v>0</v>
      </c>
      <c r="AH42" s="68">
        <f t="shared" si="5"/>
        <v>0</v>
      </c>
      <c r="AI42" s="68">
        <f t="shared" si="5"/>
        <v>0</v>
      </c>
      <c r="AJ42" s="68">
        <f t="shared" si="5"/>
        <v>0</v>
      </c>
      <c r="AK42" s="68">
        <f t="shared" si="5"/>
        <v>0</v>
      </c>
      <c r="AL42" s="68">
        <f t="shared" si="5"/>
        <v>0</v>
      </c>
      <c r="AM42" s="68">
        <f t="shared" si="5"/>
        <v>0</v>
      </c>
      <c r="AN42" s="68">
        <f t="shared" si="5"/>
        <v>0</v>
      </c>
      <c r="AO42" s="68">
        <f t="shared" si="5"/>
        <v>0</v>
      </c>
      <c r="AP42" s="68">
        <f t="shared" si="5"/>
        <v>0</v>
      </c>
      <c r="AQ42" s="68">
        <f t="shared" si="5"/>
        <v>0</v>
      </c>
      <c r="AR42" s="57">
        <f t="shared" si="5"/>
        <v>15511.08</v>
      </c>
      <c r="AS42" s="68">
        <f t="shared" si="5"/>
        <v>15511.08</v>
      </c>
      <c r="AT42" s="68">
        <f t="shared" si="5"/>
        <v>0</v>
      </c>
      <c r="AU42" s="68">
        <f t="shared" si="5"/>
        <v>0</v>
      </c>
      <c r="AV42" s="68">
        <f t="shared" si="5"/>
        <v>0</v>
      </c>
      <c r="AW42" s="68">
        <f t="shared" si="5"/>
        <v>0</v>
      </c>
      <c r="AX42" s="68">
        <f t="shared" si="5"/>
        <v>0</v>
      </c>
      <c r="AY42" s="68">
        <f t="shared" si="5"/>
        <v>0</v>
      </c>
      <c r="AZ42" s="68">
        <f t="shared" si="5"/>
        <v>0</v>
      </c>
      <c r="BA42" s="68">
        <f t="shared" si="5"/>
        <v>0</v>
      </c>
      <c r="BB42" s="68">
        <f t="shared" si="5"/>
        <v>0</v>
      </c>
      <c r="BC42" s="68">
        <f t="shared" si="5"/>
        <v>0</v>
      </c>
      <c r="BD42" s="68">
        <f t="shared" si="5"/>
        <v>0</v>
      </c>
      <c r="BE42" s="68">
        <f t="shared" si="5"/>
        <v>0</v>
      </c>
      <c r="BF42" s="68">
        <f t="shared" si="5"/>
        <v>0</v>
      </c>
      <c r="BG42" s="68">
        <f t="shared" si="5"/>
        <v>0</v>
      </c>
      <c r="BH42" s="68">
        <f t="shared" si="5"/>
        <v>0</v>
      </c>
      <c r="BI42" s="68">
        <f t="shared" si="5"/>
        <v>0</v>
      </c>
      <c r="BJ42" s="68">
        <f t="shared" si="5"/>
        <v>0</v>
      </c>
      <c r="BK42" s="68">
        <f t="shared" si="5"/>
        <v>0</v>
      </c>
      <c r="BL42" s="68">
        <f t="shared" si="5"/>
        <v>0</v>
      </c>
      <c r="BM42" s="68">
        <f t="shared" si="5"/>
        <v>0</v>
      </c>
      <c r="BN42" s="68">
        <f t="shared" si="5"/>
        <v>0</v>
      </c>
      <c r="BO42" s="68">
        <f t="shared" si="5"/>
        <v>0</v>
      </c>
      <c r="BP42" s="68">
        <f t="shared" si="5"/>
        <v>0</v>
      </c>
      <c r="BQ42" s="68">
        <f t="shared" si="5"/>
        <v>0</v>
      </c>
      <c r="BR42" s="68">
        <f t="shared" si="5"/>
        <v>0</v>
      </c>
      <c r="BS42" s="68">
        <f t="shared" si="5"/>
        <v>0</v>
      </c>
      <c r="BT42" s="68">
        <f t="shared" si="5"/>
        <v>0</v>
      </c>
      <c r="BU42" s="68">
        <f t="shared" si="5"/>
        <v>0</v>
      </c>
      <c r="BV42" s="68">
        <f t="shared" si="5"/>
        <v>0</v>
      </c>
      <c r="BW42" s="68">
        <f t="shared" si="5"/>
        <v>0</v>
      </c>
      <c r="BX42" s="68">
        <f t="shared" si="5"/>
        <v>0</v>
      </c>
      <c r="BY42" s="68">
        <f t="shared" si="5"/>
        <v>0</v>
      </c>
      <c r="BZ42" s="68">
        <f t="shared" si="5"/>
        <v>0</v>
      </c>
      <c r="CA42" s="68">
        <f t="shared" si="5"/>
        <v>0</v>
      </c>
      <c r="CB42" s="68">
        <f t="shared" si="5"/>
        <v>0</v>
      </c>
      <c r="CC42" s="57">
        <f t="shared" si="5"/>
        <v>15511.08</v>
      </c>
      <c r="CD42" s="68">
        <f t="shared" si="5"/>
        <v>0</v>
      </c>
      <c r="CF42" s="29">
        <f t="shared" si="5"/>
        <v>0</v>
      </c>
      <c r="CG42" s="68">
        <f t="shared" si="5"/>
        <v>0</v>
      </c>
      <c r="CH42" s="68">
        <f t="shared" si="5"/>
        <v>0</v>
      </c>
      <c r="CI42" s="68">
        <f t="shared" si="5"/>
        <v>0</v>
      </c>
      <c r="CJ42" s="68">
        <f t="shared" si="5"/>
        <v>0</v>
      </c>
      <c r="CK42" s="68">
        <f t="shared" si="5"/>
        <v>0</v>
      </c>
      <c r="CL42" s="68">
        <f t="shared" si="5"/>
        <v>0</v>
      </c>
      <c r="CM42" s="68">
        <f t="shared" si="5"/>
        <v>0</v>
      </c>
    </row>
    <row r="43" spans="2:91" ht="18.75" x14ac:dyDescent="0.25">
      <c r="C43" s="70">
        <v>13800</v>
      </c>
      <c r="D43" s="70">
        <v>8394</v>
      </c>
      <c r="E43" s="71" t="s">
        <v>119</v>
      </c>
      <c r="F43" s="72" t="s">
        <v>1197</v>
      </c>
      <c r="H43" s="73"/>
      <c r="I43" s="73"/>
      <c r="J43" s="73"/>
      <c r="K43" s="73"/>
      <c r="L43" s="73">
        <v>90770</v>
      </c>
      <c r="M43" s="73">
        <v>90770</v>
      </c>
      <c r="N43" s="73">
        <v>90770</v>
      </c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4">
        <f t="shared" ref="AR43:AR106" si="6">SUM(H43:AQ43)</f>
        <v>272310</v>
      </c>
      <c r="AS43" s="73">
        <v>83193.5</v>
      </c>
      <c r="AT43" s="73">
        <f>577.45+1732.35+3.6</f>
        <v>2313.4</v>
      </c>
      <c r="AU43" s="73"/>
      <c r="AV43" s="73"/>
      <c r="AW43" s="73"/>
      <c r="AX43" s="73"/>
      <c r="AY43" s="73"/>
      <c r="AZ43" s="73"/>
      <c r="BA43" s="73"/>
      <c r="BB43" s="73"/>
      <c r="BC43" s="69"/>
      <c r="BD43" s="69"/>
      <c r="BG43" s="69">
        <v>8</v>
      </c>
      <c r="BH43" s="69">
        <f>358.3+358.3</f>
        <v>716.6</v>
      </c>
      <c r="BI43" s="69">
        <v>4538.5</v>
      </c>
      <c r="BK43" s="69">
        <v>90770</v>
      </c>
      <c r="BL43" s="69">
        <v>90770</v>
      </c>
      <c r="CC43" s="74">
        <f>SUM(AS43:CB43)</f>
        <v>272310</v>
      </c>
      <c r="CD43" s="73">
        <f>+CC43-AR43</f>
        <v>0</v>
      </c>
      <c r="CE43" s="75">
        <f>+D43</f>
        <v>8394</v>
      </c>
      <c r="CF43" s="3" t="str">
        <f>+E43</f>
        <v>خ ت صيدلة</v>
      </c>
    </row>
    <row r="44" spans="2:91" ht="18.75" x14ac:dyDescent="0.25">
      <c r="C44" s="70">
        <v>14410</v>
      </c>
      <c r="D44" s="70">
        <v>8395</v>
      </c>
      <c r="E44" s="71"/>
      <c r="F44" s="72" t="s">
        <v>1198</v>
      </c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>
        <v>23945</v>
      </c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4">
        <f t="shared" si="6"/>
        <v>23945</v>
      </c>
      <c r="AS44" s="73">
        <v>23945</v>
      </c>
      <c r="AT44" s="73"/>
      <c r="AU44" s="73"/>
      <c r="AV44" s="73"/>
      <c r="AW44" s="73"/>
      <c r="AX44" s="73"/>
      <c r="AY44" s="73"/>
      <c r="AZ44" s="73"/>
      <c r="BA44" s="73"/>
      <c r="BB44" s="73"/>
      <c r="BC44" s="69"/>
      <c r="BD44" s="69"/>
      <c r="CC44" s="74">
        <f t="shared" ref="CC44:CC108" si="7">SUM(AS44:CB44)</f>
        <v>23945</v>
      </c>
      <c r="CD44" s="73">
        <f t="shared" ref="CD44:CD107" si="8">+CC44-AR44</f>
        <v>0</v>
      </c>
      <c r="CE44" s="75">
        <f t="shared" ref="CE44:CF107" si="9">+D44</f>
        <v>8395</v>
      </c>
      <c r="CF44" s="3">
        <f t="shared" si="9"/>
        <v>0</v>
      </c>
    </row>
    <row r="45" spans="2:91" ht="36" x14ac:dyDescent="0.25">
      <c r="C45" s="70">
        <v>10228</v>
      </c>
      <c r="D45" s="70">
        <v>8396</v>
      </c>
      <c r="E45" s="71" t="s">
        <v>121</v>
      </c>
      <c r="F45" s="76" t="s">
        <v>1199</v>
      </c>
      <c r="H45" s="73"/>
      <c r="I45" s="73">
        <v>93423</v>
      </c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4">
        <f t="shared" si="6"/>
        <v>93423</v>
      </c>
      <c r="AS45" s="73">
        <v>90116.5</v>
      </c>
      <c r="AT45" s="73">
        <f>591.5+1774.5+36</f>
        <v>2402</v>
      </c>
      <c r="AU45" s="73"/>
      <c r="AV45" s="73">
        <v>5</v>
      </c>
      <c r="AW45" s="73"/>
      <c r="AX45" s="73"/>
      <c r="AY45" s="73"/>
      <c r="AZ45" s="73"/>
      <c r="BA45" s="73"/>
      <c r="BB45" s="73"/>
      <c r="BC45" s="69"/>
      <c r="BD45" s="69"/>
      <c r="BF45" s="69">
        <v>819.5</v>
      </c>
      <c r="BG45" s="69">
        <v>80</v>
      </c>
      <c r="CC45" s="74">
        <f t="shared" si="7"/>
        <v>93423</v>
      </c>
      <c r="CD45" s="73">
        <f t="shared" si="8"/>
        <v>0</v>
      </c>
      <c r="CE45" s="75">
        <f t="shared" si="9"/>
        <v>8396</v>
      </c>
      <c r="CF45" s="3" t="str">
        <f t="shared" si="9"/>
        <v>ماليزى اسنان</v>
      </c>
    </row>
    <row r="46" spans="2:91" ht="18.75" x14ac:dyDescent="0.25">
      <c r="C46" s="70">
        <v>12390</v>
      </c>
      <c r="D46" s="70">
        <v>8397</v>
      </c>
      <c r="E46" s="71" t="s">
        <v>119</v>
      </c>
      <c r="F46" s="72" t="s">
        <v>870</v>
      </c>
      <c r="H46" s="73"/>
      <c r="I46" s="73">
        <v>33760</v>
      </c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4">
        <f t="shared" si="6"/>
        <v>33760</v>
      </c>
      <c r="AS46" s="73">
        <f>33760-1582.75</f>
        <v>32177.25</v>
      </c>
      <c r="AT46" s="73">
        <f>302.75+908.25+9</f>
        <v>1220</v>
      </c>
      <c r="AU46" s="73"/>
      <c r="AV46" s="73">
        <v>5</v>
      </c>
      <c r="AW46" s="73"/>
      <c r="AX46" s="73"/>
      <c r="AY46" s="73"/>
      <c r="AZ46" s="73"/>
      <c r="BA46" s="73"/>
      <c r="BB46" s="73"/>
      <c r="BC46" s="69"/>
      <c r="BD46" s="69"/>
      <c r="BF46" s="69">
        <v>337.75</v>
      </c>
      <c r="BG46" s="69">
        <v>20</v>
      </c>
      <c r="CC46" s="74">
        <f t="shared" si="7"/>
        <v>33760</v>
      </c>
      <c r="CD46" s="73">
        <f t="shared" si="8"/>
        <v>0</v>
      </c>
      <c r="CE46" s="75">
        <f t="shared" si="9"/>
        <v>8397</v>
      </c>
      <c r="CF46" s="3" t="str">
        <f t="shared" si="9"/>
        <v>خ ت صيدلة</v>
      </c>
    </row>
    <row r="47" spans="2:91" ht="18.75" x14ac:dyDescent="0.25">
      <c r="C47" s="70">
        <v>14101</v>
      </c>
      <c r="D47" s="70">
        <v>8398</v>
      </c>
      <c r="E47" s="71" t="s">
        <v>78</v>
      </c>
      <c r="F47" s="72" t="s">
        <v>1200</v>
      </c>
      <c r="H47" s="73">
        <v>80876.03</v>
      </c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4">
        <f t="shared" si="6"/>
        <v>80876.03</v>
      </c>
      <c r="AS47" s="73">
        <v>68602.149999999994</v>
      </c>
      <c r="AT47" s="73">
        <v>8448.2000000000007</v>
      </c>
      <c r="AU47" s="73">
        <v>3825.68</v>
      </c>
      <c r="AV47" s="73"/>
      <c r="AW47" s="73"/>
      <c r="AX47" s="73"/>
      <c r="AY47" s="73"/>
      <c r="AZ47" s="73"/>
      <c r="BA47" s="73"/>
      <c r="BB47" s="73"/>
      <c r="BC47" s="69"/>
      <c r="BD47" s="69"/>
      <c r="CC47" s="74">
        <f t="shared" si="7"/>
        <v>80876.029999999984</v>
      </c>
      <c r="CD47" s="73">
        <f t="shared" si="8"/>
        <v>0</v>
      </c>
      <c r="CE47" s="75">
        <f t="shared" si="9"/>
        <v>8398</v>
      </c>
      <c r="CF47" s="3" t="str">
        <f t="shared" si="9"/>
        <v>برنامج دولى</v>
      </c>
    </row>
    <row r="48" spans="2:91" ht="18.75" x14ac:dyDescent="0.25">
      <c r="C48" s="70">
        <v>14102</v>
      </c>
      <c r="D48" s="70">
        <v>8399</v>
      </c>
      <c r="E48" s="71" t="s">
        <v>78</v>
      </c>
      <c r="F48" s="72" t="s">
        <v>1200</v>
      </c>
      <c r="H48" s="73">
        <v>6190.79</v>
      </c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4">
        <f t="shared" si="6"/>
        <v>6190.79</v>
      </c>
      <c r="AS48" s="73">
        <v>4137.05</v>
      </c>
      <c r="AT48" s="73">
        <v>562.15</v>
      </c>
      <c r="AU48" s="73">
        <v>1491.59</v>
      </c>
      <c r="AV48" s="73"/>
      <c r="AW48" s="73"/>
      <c r="AX48" s="73"/>
      <c r="AY48" s="73"/>
      <c r="AZ48" s="73"/>
      <c r="BA48" s="73"/>
      <c r="BB48" s="73"/>
      <c r="BC48" s="69"/>
      <c r="BD48" s="69"/>
      <c r="CC48" s="74">
        <f t="shared" si="7"/>
        <v>6190.79</v>
      </c>
      <c r="CD48" s="73">
        <f t="shared" si="8"/>
        <v>0</v>
      </c>
      <c r="CE48" s="75">
        <f t="shared" si="9"/>
        <v>8399</v>
      </c>
      <c r="CF48" s="3" t="str">
        <f t="shared" si="9"/>
        <v>برنامج دولى</v>
      </c>
    </row>
    <row r="49" spans="3:84" ht="18.75" x14ac:dyDescent="0.25">
      <c r="C49" s="70">
        <v>14103</v>
      </c>
      <c r="D49" s="70">
        <v>8400</v>
      </c>
      <c r="E49" s="71" t="s">
        <v>78</v>
      </c>
      <c r="F49" s="72" t="s">
        <v>1201</v>
      </c>
      <c r="H49" s="73">
        <v>59674.03</v>
      </c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4">
        <f t="shared" si="6"/>
        <v>59674.03</v>
      </c>
      <c r="AS49" s="73">
        <v>48415.82</v>
      </c>
      <c r="AT49" s="73">
        <v>6084.6</v>
      </c>
      <c r="AU49" s="73">
        <v>5173.6099999999997</v>
      </c>
      <c r="AV49" s="73"/>
      <c r="AW49" s="73"/>
      <c r="AX49" s="73"/>
      <c r="AY49" s="73"/>
      <c r="AZ49" s="73"/>
      <c r="BA49" s="73"/>
      <c r="BB49" s="73"/>
      <c r="BC49" s="69"/>
      <c r="BD49" s="69"/>
      <c r="CC49" s="74">
        <f t="shared" si="7"/>
        <v>59674.03</v>
      </c>
      <c r="CD49" s="73">
        <f t="shared" si="8"/>
        <v>0</v>
      </c>
      <c r="CE49" s="75">
        <f t="shared" si="9"/>
        <v>8400</v>
      </c>
      <c r="CF49" s="3" t="str">
        <f t="shared" si="9"/>
        <v>برنامج دولى</v>
      </c>
    </row>
    <row r="50" spans="3:84" ht="18.75" x14ac:dyDescent="0.25">
      <c r="C50" s="70">
        <v>14141</v>
      </c>
      <c r="D50" s="70">
        <v>8401</v>
      </c>
      <c r="E50" s="71" t="s">
        <v>78</v>
      </c>
      <c r="F50" s="72" t="s">
        <v>1202</v>
      </c>
      <c r="H50" s="73">
        <v>527.63</v>
      </c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4">
        <f t="shared" si="6"/>
        <v>527.63</v>
      </c>
      <c r="AS50" s="73">
        <v>352.9</v>
      </c>
      <c r="AT50" s="73">
        <f>2.6+45</f>
        <v>47.6</v>
      </c>
      <c r="AU50" s="73">
        <f>174.73-AT50</f>
        <v>127.13</v>
      </c>
      <c r="AV50" s="73"/>
      <c r="AW50" s="73"/>
      <c r="AX50" s="73"/>
      <c r="AY50" s="73"/>
      <c r="AZ50" s="73"/>
      <c r="BA50" s="73"/>
      <c r="BB50" s="73"/>
      <c r="BC50" s="69"/>
      <c r="BD50" s="69"/>
      <c r="CC50" s="74">
        <f t="shared" si="7"/>
        <v>527.63</v>
      </c>
      <c r="CD50" s="73">
        <f t="shared" si="8"/>
        <v>0</v>
      </c>
      <c r="CE50" s="75">
        <f t="shared" si="9"/>
        <v>8401</v>
      </c>
      <c r="CF50" s="3" t="str">
        <f t="shared" si="9"/>
        <v>برنامج دولى</v>
      </c>
    </row>
    <row r="51" spans="3:84" ht="18.75" x14ac:dyDescent="0.25">
      <c r="C51" s="70">
        <v>14142</v>
      </c>
      <c r="D51" s="70">
        <v>8402</v>
      </c>
      <c r="E51" s="71" t="s">
        <v>78</v>
      </c>
      <c r="F51" s="72" t="s">
        <v>1202</v>
      </c>
      <c r="H51" s="73">
        <v>2880</v>
      </c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4">
        <f t="shared" si="6"/>
        <v>2880</v>
      </c>
      <c r="AS51" s="73">
        <v>2570.75</v>
      </c>
      <c r="AT51" s="73">
        <v>309.25</v>
      </c>
      <c r="AU51" s="73"/>
      <c r="AV51" s="73"/>
      <c r="AW51" s="73"/>
      <c r="AX51" s="73"/>
      <c r="AY51" s="73"/>
      <c r="AZ51" s="73"/>
      <c r="BA51" s="73"/>
      <c r="BB51" s="73"/>
      <c r="BC51" s="69"/>
      <c r="BD51" s="69"/>
      <c r="CC51" s="74">
        <f t="shared" si="7"/>
        <v>2880</v>
      </c>
      <c r="CD51" s="73">
        <f t="shared" si="8"/>
        <v>0</v>
      </c>
      <c r="CE51" s="75">
        <f t="shared" si="9"/>
        <v>8402</v>
      </c>
      <c r="CF51" s="3" t="str">
        <f t="shared" si="9"/>
        <v>برنامج دولى</v>
      </c>
    </row>
    <row r="52" spans="3:84" ht="18.75" x14ac:dyDescent="0.25">
      <c r="C52" s="70">
        <v>14593</v>
      </c>
      <c r="D52" s="70">
        <v>8403</v>
      </c>
      <c r="E52" s="71" t="s">
        <v>78</v>
      </c>
      <c r="F52" s="72" t="s">
        <v>1203</v>
      </c>
      <c r="H52" s="73">
        <v>2110.5</v>
      </c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4">
        <f t="shared" si="6"/>
        <v>2110.5</v>
      </c>
      <c r="AS52" s="73">
        <v>1140.3499999999999</v>
      </c>
      <c r="AT52" s="73">
        <v>191.65</v>
      </c>
      <c r="AU52" s="73">
        <v>508.5</v>
      </c>
      <c r="AV52" s="73"/>
      <c r="AW52" s="73">
        <v>270</v>
      </c>
      <c r="AX52" s="73"/>
      <c r="AY52" s="73"/>
      <c r="AZ52" s="73"/>
      <c r="BA52" s="73"/>
      <c r="BB52" s="73"/>
      <c r="BC52" s="69"/>
      <c r="BD52" s="69"/>
      <c r="CC52" s="74">
        <f t="shared" si="7"/>
        <v>2110.5</v>
      </c>
      <c r="CD52" s="73">
        <f t="shared" si="8"/>
        <v>0</v>
      </c>
      <c r="CE52" s="75">
        <f t="shared" si="9"/>
        <v>8403</v>
      </c>
      <c r="CF52" s="3" t="str">
        <f t="shared" si="9"/>
        <v>برنامج دولى</v>
      </c>
    </row>
    <row r="53" spans="3:84" ht="18.75" x14ac:dyDescent="0.25">
      <c r="C53" s="70">
        <v>14143</v>
      </c>
      <c r="D53" s="70">
        <v>8404</v>
      </c>
      <c r="E53" s="71" t="s">
        <v>78</v>
      </c>
      <c r="F53" s="72" t="str">
        <f>+F51</f>
        <v>عب تدريس مانشيستر</v>
      </c>
      <c r="H53" s="73">
        <v>26432.28</v>
      </c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4">
        <f t="shared" si="6"/>
        <v>26432.28</v>
      </c>
      <c r="AS53" s="73">
        <v>22081.33</v>
      </c>
      <c r="AT53" s="73">
        <v>2725.9</v>
      </c>
      <c r="AU53" s="73">
        <v>1625.05</v>
      </c>
      <c r="AV53" s="73"/>
      <c r="AW53" s="73"/>
      <c r="AX53" s="73"/>
      <c r="AY53" s="73"/>
      <c r="AZ53" s="73"/>
      <c r="BA53" s="73"/>
      <c r="BB53" s="73"/>
      <c r="BC53" s="69"/>
      <c r="BD53" s="69"/>
      <c r="CC53" s="74">
        <f t="shared" si="7"/>
        <v>26432.280000000002</v>
      </c>
      <c r="CD53" s="73">
        <f t="shared" si="8"/>
        <v>0</v>
      </c>
      <c r="CE53" s="75">
        <f t="shared" si="9"/>
        <v>8404</v>
      </c>
      <c r="CF53" s="3" t="str">
        <f t="shared" si="9"/>
        <v>برنامج دولى</v>
      </c>
    </row>
    <row r="54" spans="3:84" ht="18.75" x14ac:dyDescent="0.25">
      <c r="C54" s="70">
        <v>14100</v>
      </c>
      <c r="D54" s="70">
        <v>8405</v>
      </c>
      <c r="E54" s="71" t="s">
        <v>78</v>
      </c>
      <c r="F54" s="72" t="str">
        <f>+F53</f>
        <v>عب تدريس مانشيستر</v>
      </c>
      <c r="H54" s="73">
        <v>1037.6600000000001</v>
      </c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4">
        <f t="shared" si="6"/>
        <v>1037.6600000000001</v>
      </c>
      <c r="AS54" s="73">
        <v>694.4</v>
      </c>
      <c r="AT54" s="73">
        <f>4.75+88.5</f>
        <v>93.25</v>
      </c>
      <c r="AU54" s="73">
        <f>343.26-AT54</f>
        <v>250.01</v>
      </c>
      <c r="AV54" s="73"/>
      <c r="AW54" s="73"/>
      <c r="AX54" s="73"/>
      <c r="AY54" s="73"/>
      <c r="AZ54" s="73"/>
      <c r="BA54" s="73"/>
      <c r="BB54" s="73"/>
      <c r="BC54" s="69"/>
      <c r="BD54" s="69"/>
      <c r="CC54" s="74">
        <f t="shared" si="7"/>
        <v>1037.6599999999999</v>
      </c>
      <c r="CD54" s="73">
        <f t="shared" si="8"/>
        <v>0</v>
      </c>
      <c r="CE54" s="75">
        <f t="shared" si="9"/>
        <v>8405</v>
      </c>
      <c r="CF54" s="3" t="str">
        <f t="shared" si="9"/>
        <v>برنامج دولى</v>
      </c>
    </row>
    <row r="55" spans="3:84" ht="18.75" x14ac:dyDescent="0.25">
      <c r="C55" s="70">
        <v>14098</v>
      </c>
      <c r="D55" s="70">
        <v>8406</v>
      </c>
      <c r="E55" s="71" t="s">
        <v>78</v>
      </c>
      <c r="F55" s="72" t="str">
        <f>+F54</f>
        <v>عب تدريس مانشيستر</v>
      </c>
      <c r="H55" s="73">
        <v>3447.15</v>
      </c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4">
        <f t="shared" si="6"/>
        <v>3447.15</v>
      </c>
      <c r="AS55" s="73">
        <v>2305.9</v>
      </c>
      <c r="AT55" s="73">
        <v>310.7</v>
      </c>
      <c r="AU55" s="73">
        <v>830.55</v>
      </c>
      <c r="AV55" s="73"/>
      <c r="AW55" s="73"/>
      <c r="AX55" s="73"/>
      <c r="AY55" s="73"/>
      <c r="AZ55" s="73"/>
      <c r="BA55" s="73"/>
      <c r="BB55" s="73"/>
      <c r="BC55" s="69"/>
      <c r="BD55" s="69"/>
      <c r="CC55" s="74">
        <f t="shared" si="7"/>
        <v>3447.1499999999996</v>
      </c>
      <c r="CD55" s="73">
        <f t="shared" si="8"/>
        <v>0</v>
      </c>
      <c r="CE55" s="75">
        <f t="shared" si="9"/>
        <v>8406</v>
      </c>
      <c r="CF55" s="3" t="str">
        <f t="shared" si="9"/>
        <v>برنامج دولى</v>
      </c>
    </row>
    <row r="56" spans="3:84" ht="18.75" x14ac:dyDescent="0.25">
      <c r="C56" s="70">
        <v>14099</v>
      </c>
      <c r="D56" s="70">
        <v>8407</v>
      </c>
      <c r="E56" s="71" t="s">
        <v>78</v>
      </c>
      <c r="F56" s="72" t="str">
        <f>+F55</f>
        <v>عب تدريس مانشيستر</v>
      </c>
      <c r="H56" s="73">
        <v>246.22</v>
      </c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3"/>
      <c r="AN56" s="73"/>
      <c r="AO56" s="73"/>
      <c r="AP56" s="73"/>
      <c r="AQ56" s="73"/>
      <c r="AR56" s="74">
        <f t="shared" si="6"/>
        <v>246.22</v>
      </c>
      <c r="AS56" s="73">
        <v>165.05</v>
      </c>
      <c r="AT56" s="73">
        <v>21.85</v>
      </c>
      <c r="AU56" s="73">
        <v>59.32</v>
      </c>
      <c r="AV56" s="73"/>
      <c r="AW56" s="73"/>
      <c r="AX56" s="73"/>
      <c r="AY56" s="73"/>
      <c r="AZ56" s="73"/>
      <c r="BA56" s="73"/>
      <c r="BB56" s="73"/>
      <c r="BC56" s="69"/>
      <c r="BD56" s="69"/>
      <c r="CC56" s="74">
        <f t="shared" si="7"/>
        <v>246.22</v>
      </c>
      <c r="CD56" s="73">
        <f t="shared" si="8"/>
        <v>0</v>
      </c>
      <c r="CE56" s="75">
        <f t="shared" si="9"/>
        <v>8407</v>
      </c>
      <c r="CF56" s="3" t="str">
        <f t="shared" si="9"/>
        <v>برنامج دولى</v>
      </c>
    </row>
    <row r="57" spans="3:84" ht="18.75" x14ac:dyDescent="0.25">
      <c r="C57" s="70">
        <v>14097</v>
      </c>
      <c r="D57" s="70">
        <v>8408</v>
      </c>
      <c r="E57" s="71" t="s">
        <v>78</v>
      </c>
      <c r="F57" s="72" t="str">
        <f>+F56</f>
        <v>عب تدريس مانشيستر</v>
      </c>
      <c r="H57" s="73">
        <v>46813.38</v>
      </c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4">
        <f t="shared" si="6"/>
        <v>46813.38</v>
      </c>
      <c r="AS57" s="73">
        <v>39771.54</v>
      </c>
      <c r="AT57" s="73">
        <v>4858.2</v>
      </c>
      <c r="AU57" s="73">
        <v>2183.64</v>
      </c>
      <c r="AV57" s="73"/>
      <c r="AW57" s="73"/>
      <c r="AX57" s="73"/>
      <c r="AY57" s="73"/>
      <c r="AZ57" s="73"/>
      <c r="BA57" s="73"/>
      <c r="BB57" s="73"/>
      <c r="BC57" s="69"/>
      <c r="BD57" s="69"/>
      <c r="CC57" s="74">
        <f t="shared" si="7"/>
        <v>46813.38</v>
      </c>
      <c r="CD57" s="73">
        <f t="shared" si="8"/>
        <v>0</v>
      </c>
      <c r="CE57" s="75">
        <f t="shared" si="9"/>
        <v>8408</v>
      </c>
      <c r="CF57" s="3" t="str">
        <f t="shared" si="9"/>
        <v>برنامج دولى</v>
      </c>
    </row>
    <row r="58" spans="3:84" ht="18.75" x14ac:dyDescent="0.25">
      <c r="C58" s="70">
        <v>14370</v>
      </c>
      <c r="D58" s="70">
        <v>8409</v>
      </c>
      <c r="E58" s="71" t="s">
        <v>78</v>
      </c>
      <c r="F58" s="72" t="s">
        <v>1204</v>
      </c>
      <c r="H58" s="73">
        <v>2356.06</v>
      </c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3"/>
      <c r="AN58" s="73"/>
      <c r="AO58" s="73"/>
      <c r="AP58" s="73"/>
      <c r="AQ58" s="73"/>
      <c r="AR58" s="74">
        <f t="shared" si="6"/>
        <v>2356.06</v>
      </c>
      <c r="AS58" s="73">
        <v>1863.46</v>
      </c>
      <c r="AT58" s="73">
        <v>235.29</v>
      </c>
      <c r="AU58" s="73">
        <v>257.31</v>
      </c>
      <c r="AV58" s="73"/>
      <c r="AW58" s="73"/>
      <c r="AX58" s="73"/>
      <c r="AY58" s="73"/>
      <c r="AZ58" s="73"/>
      <c r="BA58" s="73"/>
      <c r="BB58" s="73"/>
      <c r="BC58" s="69"/>
      <c r="BD58" s="69"/>
      <c r="CC58" s="74">
        <f t="shared" si="7"/>
        <v>2356.06</v>
      </c>
      <c r="CD58" s="73">
        <f t="shared" si="8"/>
        <v>0</v>
      </c>
      <c r="CE58" s="75">
        <f t="shared" si="9"/>
        <v>8409</v>
      </c>
      <c r="CF58" s="3" t="str">
        <f t="shared" si="9"/>
        <v>برنامج دولى</v>
      </c>
    </row>
    <row r="59" spans="3:84" ht="18.75" x14ac:dyDescent="0.25">
      <c r="C59" s="70">
        <v>14368</v>
      </c>
      <c r="D59" s="70">
        <v>8410</v>
      </c>
      <c r="E59" s="71" t="s">
        <v>78</v>
      </c>
      <c r="F59" s="72" t="s">
        <v>1204</v>
      </c>
      <c r="H59" s="73">
        <v>2704.27</v>
      </c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4">
        <f t="shared" si="6"/>
        <v>2704.27</v>
      </c>
      <c r="AS59" s="73">
        <v>1807.03</v>
      </c>
      <c r="AT59" s="73">
        <v>245.69</v>
      </c>
      <c r="AU59" s="73">
        <v>651.54999999999995</v>
      </c>
      <c r="AV59" s="73"/>
      <c r="AW59" s="73"/>
      <c r="AX59" s="73"/>
      <c r="AY59" s="73"/>
      <c r="AZ59" s="73"/>
      <c r="BA59" s="73"/>
      <c r="BB59" s="73"/>
      <c r="BC59" s="69"/>
      <c r="BD59" s="69"/>
      <c r="CC59" s="74">
        <f t="shared" si="7"/>
        <v>2704.2699999999995</v>
      </c>
      <c r="CD59" s="73">
        <f t="shared" si="8"/>
        <v>0</v>
      </c>
      <c r="CE59" s="75">
        <f t="shared" si="9"/>
        <v>8410</v>
      </c>
      <c r="CF59" s="3" t="str">
        <f t="shared" si="9"/>
        <v>برنامج دولى</v>
      </c>
    </row>
    <row r="60" spans="3:84" ht="18.75" x14ac:dyDescent="0.25">
      <c r="C60" s="70">
        <v>14362</v>
      </c>
      <c r="D60" s="70">
        <v>8411</v>
      </c>
      <c r="E60" s="71" t="s">
        <v>78</v>
      </c>
      <c r="F60" s="72" t="s">
        <v>1204</v>
      </c>
      <c r="H60" s="73">
        <v>51730.78</v>
      </c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4">
        <f t="shared" si="6"/>
        <v>51730.78</v>
      </c>
      <c r="AS60" s="73">
        <v>40933.99</v>
      </c>
      <c r="AT60" s="73">
        <v>5166.1099999999997</v>
      </c>
      <c r="AU60" s="73">
        <v>5630.68</v>
      </c>
      <c r="AV60" s="73"/>
      <c r="AW60" s="73"/>
      <c r="AX60" s="73"/>
      <c r="AY60" s="73"/>
      <c r="AZ60" s="73"/>
      <c r="BA60" s="73"/>
      <c r="BB60" s="73"/>
      <c r="BC60" s="69"/>
      <c r="BD60" s="69"/>
      <c r="CC60" s="74">
        <f t="shared" si="7"/>
        <v>51730.78</v>
      </c>
      <c r="CD60" s="73">
        <f t="shared" si="8"/>
        <v>0</v>
      </c>
      <c r="CE60" s="75">
        <f t="shared" si="9"/>
        <v>8411</v>
      </c>
      <c r="CF60" s="3" t="str">
        <f t="shared" si="9"/>
        <v>برنامج دولى</v>
      </c>
    </row>
    <row r="61" spans="3:84" ht="18.75" x14ac:dyDescent="0.25">
      <c r="C61" s="70">
        <v>14359</v>
      </c>
      <c r="D61" s="70">
        <v>8412</v>
      </c>
      <c r="E61" s="71" t="s">
        <v>78</v>
      </c>
      <c r="F61" s="72" t="s">
        <v>1204</v>
      </c>
      <c r="H61" s="73">
        <v>11125.61</v>
      </c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3"/>
      <c r="AN61" s="73"/>
      <c r="AO61" s="73"/>
      <c r="AP61" s="73"/>
      <c r="AQ61" s="73"/>
      <c r="AR61" s="74">
        <f t="shared" si="6"/>
        <v>11125.61</v>
      </c>
      <c r="AS61" s="73">
        <v>8644.59</v>
      </c>
      <c r="AT61" s="73">
        <v>1099.44</v>
      </c>
      <c r="AU61" s="73">
        <v>1381.58</v>
      </c>
      <c r="AV61" s="73"/>
      <c r="AW61" s="73"/>
      <c r="AX61" s="73"/>
      <c r="AY61" s="73"/>
      <c r="AZ61" s="73"/>
      <c r="BA61" s="73"/>
      <c r="BB61" s="73"/>
      <c r="BC61" s="69"/>
      <c r="BD61" s="69"/>
      <c r="CC61" s="74">
        <f t="shared" si="7"/>
        <v>11125.61</v>
      </c>
      <c r="CD61" s="73">
        <f t="shared" si="8"/>
        <v>0</v>
      </c>
      <c r="CE61" s="75">
        <f t="shared" si="9"/>
        <v>8412</v>
      </c>
      <c r="CF61" s="3" t="str">
        <f t="shared" si="9"/>
        <v>برنامج دولى</v>
      </c>
    </row>
    <row r="62" spans="3:84" ht="18.75" x14ac:dyDescent="0.25">
      <c r="C62" s="70">
        <v>14355</v>
      </c>
      <c r="D62" s="70">
        <v>8413</v>
      </c>
      <c r="E62" s="71" t="s">
        <v>78</v>
      </c>
      <c r="F62" s="72" t="s">
        <v>1204</v>
      </c>
      <c r="H62" s="73">
        <v>9836.0499999999993</v>
      </c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3"/>
      <c r="AN62" s="73"/>
      <c r="AO62" s="73"/>
      <c r="AP62" s="73"/>
      <c r="AQ62" s="73"/>
      <c r="AR62" s="74">
        <f t="shared" si="6"/>
        <v>9836.0499999999993</v>
      </c>
      <c r="AS62" s="73">
        <v>6573.96</v>
      </c>
      <c r="AT62" s="73">
        <v>892.2</v>
      </c>
      <c r="AU62" s="73">
        <v>2369.89</v>
      </c>
      <c r="AV62" s="73"/>
      <c r="AW62" s="73"/>
      <c r="AX62" s="73"/>
      <c r="AY62" s="73"/>
      <c r="AZ62" s="73"/>
      <c r="BA62" s="73"/>
      <c r="BB62" s="73"/>
      <c r="BC62" s="69"/>
      <c r="BD62" s="69"/>
      <c r="CC62" s="74">
        <f t="shared" si="7"/>
        <v>9836.0499999999993</v>
      </c>
      <c r="CD62" s="73">
        <f t="shared" si="8"/>
        <v>0</v>
      </c>
      <c r="CE62" s="75">
        <f t="shared" si="9"/>
        <v>8413</v>
      </c>
      <c r="CF62" s="3" t="str">
        <f t="shared" si="9"/>
        <v>برنامج دولى</v>
      </c>
    </row>
    <row r="63" spans="3:84" ht="18.75" x14ac:dyDescent="0.25">
      <c r="C63" s="70">
        <v>14354</v>
      </c>
      <c r="D63" s="70">
        <v>8414</v>
      </c>
      <c r="E63" s="71" t="s">
        <v>78</v>
      </c>
      <c r="F63" s="72" t="s">
        <v>1204</v>
      </c>
      <c r="H63" s="73">
        <v>1338.41</v>
      </c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4">
        <f t="shared" si="6"/>
        <v>1338.41</v>
      </c>
      <c r="AS63" s="73">
        <v>1047.2</v>
      </c>
      <c r="AT63" s="73">
        <v>131.69999999999999</v>
      </c>
      <c r="AU63" s="73">
        <v>159.51</v>
      </c>
      <c r="AV63" s="73"/>
      <c r="AW63" s="73"/>
      <c r="AX63" s="73"/>
      <c r="AY63" s="73"/>
      <c r="AZ63" s="73"/>
      <c r="BA63" s="73"/>
      <c r="BB63" s="73"/>
      <c r="BC63" s="69"/>
      <c r="BD63" s="69"/>
      <c r="CC63" s="74">
        <f t="shared" si="7"/>
        <v>1338.41</v>
      </c>
      <c r="CD63" s="73">
        <f t="shared" si="8"/>
        <v>0</v>
      </c>
      <c r="CE63" s="75">
        <f t="shared" si="9"/>
        <v>8414</v>
      </c>
      <c r="CF63" s="3" t="str">
        <f t="shared" si="9"/>
        <v>برنامج دولى</v>
      </c>
    </row>
    <row r="64" spans="3:84" ht="18.75" x14ac:dyDescent="0.25">
      <c r="C64" s="70">
        <v>14357</v>
      </c>
      <c r="D64" s="70">
        <v>8415</v>
      </c>
      <c r="E64" s="71" t="s">
        <v>78</v>
      </c>
      <c r="F64" s="72" t="s">
        <v>1204</v>
      </c>
      <c r="H64" s="73">
        <v>7187.55</v>
      </c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4">
        <f t="shared" si="6"/>
        <v>7187.55</v>
      </c>
      <c r="AS64" s="73">
        <v>5172.1899999999996</v>
      </c>
      <c r="AT64" s="73">
        <v>680.07</v>
      </c>
      <c r="AU64" s="73">
        <v>1335.29</v>
      </c>
      <c r="AV64" s="73"/>
      <c r="AW64" s="73"/>
      <c r="AX64" s="73"/>
      <c r="AY64" s="73"/>
      <c r="AZ64" s="73"/>
      <c r="BA64" s="73"/>
      <c r="BB64" s="73"/>
      <c r="BC64" s="69"/>
      <c r="BD64" s="69"/>
      <c r="CC64" s="74">
        <f t="shared" si="7"/>
        <v>7187.5499999999993</v>
      </c>
      <c r="CD64" s="73">
        <f t="shared" si="8"/>
        <v>0</v>
      </c>
      <c r="CE64" s="75">
        <f t="shared" si="9"/>
        <v>8415</v>
      </c>
      <c r="CF64" s="3" t="str">
        <f t="shared" si="9"/>
        <v>برنامج دولى</v>
      </c>
    </row>
    <row r="65" spans="2:84" ht="18.75" x14ac:dyDescent="0.25">
      <c r="C65" s="70">
        <v>14356</v>
      </c>
      <c r="D65" s="70">
        <v>8416</v>
      </c>
      <c r="E65" s="71" t="s">
        <v>78</v>
      </c>
      <c r="F65" s="72" t="s">
        <v>1204</v>
      </c>
      <c r="H65" s="73">
        <v>2365.92</v>
      </c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4">
        <f t="shared" si="6"/>
        <v>2365.92</v>
      </c>
      <c r="AS65" s="73">
        <v>2039.08</v>
      </c>
      <c r="AT65" s="73">
        <v>248.61</v>
      </c>
      <c r="AU65" s="73">
        <v>78.23</v>
      </c>
      <c r="AV65" s="73"/>
      <c r="AW65" s="73"/>
      <c r="AX65" s="73"/>
      <c r="AY65" s="73"/>
      <c r="AZ65" s="73"/>
      <c r="BA65" s="73"/>
      <c r="BB65" s="73"/>
      <c r="BC65" s="69"/>
      <c r="BD65" s="69"/>
      <c r="CC65" s="74">
        <f t="shared" si="7"/>
        <v>2365.92</v>
      </c>
      <c r="CD65" s="73">
        <f t="shared" si="8"/>
        <v>0</v>
      </c>
      <c r="CE65" s="75">
        <f t="shared" si="9"/>
        <v>8416</v>
      </c>
      <c r="CF65" s="3" t="str">
        <f t="shared" si="9"/>
        <v>برنامج دولى</v>
      </c>
    </row>
    <row r="66" spans="2:84" ht="18.75" x14ac:dyDescent="0.25">
      <c r="C66" s="70">
        <v>14358</v>
      </c>
      <c r="D66" s="70">
        <v>8417</v>
      </c>
      <c r="E66" s="71" t="s">
        <v>78</v>
      </c>
      <c r="F66" s="72" t="s">
        <v>1204</v>
      </c>
      <c r="H66" s="73">
        <v>6260.55</v>
      </c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4">
        <f t="shared" si="6"/>
        <v>6260.55</v>
      </c>
      <c r="AS66" s="73">
        <v>4717.2700000000004</v>
      </c>
      <c r="AT66" s="73">
        <v>608.15</v>
      </c>
      <c r="AU66" s="73">
        <v>935.13</v>
      </c>
      <c r="AV66" s="73"/>
      <c r="AW66" s="73"/>
      <c r="AX66" s="73"/>
      <c r="AY66" s="73"/>
      <c r="AZ66" s="73"/>
      <c r="BA66" s="73"/>
      <c r="BB66" s="73"/>
      <c r="BC66" s="69"/>
      <c r="BD66" s="69"/>
      <c r="CC66" s="74">
        <f t="shared" si="7"/>
        <v>6260.55</v>
      </c>
      <c r="CD66" s="73">
        <f t="shared" si="8"/>
        <v>0</v>
      </c>
      <c r="CE66" s="75">
        <f t="shared" si="9"/>
        <v>8417</v>
      </c>
      <c r="CF66" s="3" t="str">
        <f t="shared" si="9"/>
        <v>برنامج دولى</v>
      </c>
    </row>
    <row r="67" spans="2:84" ht="18.75" x14ac:dyDescent="0.25">
      <c r="C67" s="70">
        <v>14360</v>
      </c>
      <c r="D67" s="70">
        <v>8418</v>
      </c>
      <c r="E67" s="71" t="s">
        <v>78</v>
      </c>
      <c r="F67" s="72" t="s">
        <v>1204</v>
      </c>
      <c r="H67" s="73">
        <v>5480.46</v>
      </c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4">
        <f t="shared" si="6"/>
        <v>5480.46</v>
      </c>
      <c r="AS67" s="73">
        <v>3662.09</v>
      </c>
      <c r="AT67" s="73">
        <v>497.92</v>
      </c>
      <c r="AU67" s="73">
        <v>1320.45</v>
      </c>
      <c r="AV67" s="73"/>
      <c r="AW67" s="73"/>
      <c r="AX67" s="73"/>
      <c r="AY67" s="73"/>
      <c r="AZ67" s="73"/>
      <c r="BA67" s="73"/>
      <c r="BB67" s="73"/>
      <c r="BC67" s="69"/>
      <c r="BD67" s="69"/>
      <c r="CC67" s="74">
        <f t="shared" si="7"/>
        <v>5480.46</v>
      </c>
      <c r="CD67" s="73">
        <f t="shared" si="8"/>
        <v>0</v>
      </c>
      <c r="CE67" s="75">
        <f t="shared" si="9"/>
        <v>8418</v>
      </c>
      <c r="CF67" s="3" t="str">
        <f t="shared" si="9"/>
        <v>برنامج دولى</v>
      </c>
    </row>
    <row r="68" spans="2:84" ht="18.75" x14ac:dyDescent="0.25">
      <c r="C68" s="70">
        <v>14361</v>
      </c>
      <c r="D68" s="70">
        <v>8419</v>
      </c>
      <c r="E68" s="71" t="s">
        <v>78</v>
      </c>
      <c r="F68" s="72" t="s">
        <v>1204</v>
      </c>
      <c r="H68" s="73">
        <v>2290.56</v>
      </c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4">
        <f t="shared" si="6"/>
        <v>2290.56</v>
      </c>
      <c r="AS68" s="73">
        <v>2044.7</v>
      </c>
      <c r="AT68" s="73">
        <v>245.86</v>
      </c>
      <c r="AU68" s="73"/>
      <c r="AV68" s="73"/>
      <c r="AW68" s="73"/>
      <c r="AX68" s="73"/>
      <c r="AY68" s="73"/>
      <c r="AZ68" s="73"/>
      <c r="BA68" s="73"/>
      <c r="BB68" s="73"/>
      <c r="BC68" s="69"/>
      <c r="BD68" s="69"/>
      <c r="CC68" s="74">
        <f t="shared" si="7"/>
        <v>2290.56</v>
      </c>
      <c r="CD68" s="73">
        <f t="shared" si="8"/>
        <v>0</v>
      </c>
      <c r="CE68" s="75">
        <f t="shared" si="9"/>
        <v>8419</v>
      </c>
      <c r="CF68" s="3" t="str">
        <f t="shared" si="9"/>
        <v>برنامج دولى</v>
      </c>
    </row>
    <row r="69" spans="2:84" ht="18.75" x14ac:dyDescent="0.25">
      <c r="B69" s="77"/>
      <c r="C69" s="78">
        <v>14320</v>
      </c>
      <c r="D69" s="70">
        <v>8420</v>
      </c>
      <c r="E69" s="71" t="s">
        <v>78</v>
      </c>
      <c r="F69" s="72" t="s">
        <v>1204</v>
      </c>
      <c r="H69" s="73">
        <v>4710.37</v>
      </c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4">
        <f t="shared" si="6"/>
        <v>4710.37</v>
      </c>
      <c r="AS69" s="73">
        <v>4204.68</v>
      </c>
      <c r="AT69" s="73">
        <v>505.69</v>
      </c>
      <c r="AU69" s="73"/>
      <c r="AV69" s="73"/>
      <c r="AW69" s="73"/>
      <c r="AX69" s="73"/>
      <c r="AY69" s="73"/>
      <c r="AZ69" s="73"/>
      <c r="BA69" s="73"/>
      <c r="BB69" s="73"/>
      <c r="BC69" s="69"/>
      <c r="BD69" s="69"/>
      <c r="CC69" s="74">
        <f t="shared" si="7"/>
        <v>4710.37</v>
      </c>
      <c r="CD69" s="73">
        <f t="shared" si="8"/>
        <v>0</v>
      </c>
      <c r="CE69" s="75">
        <f t="shared" si="9"/>
        <v>8420</v>
      </c>
      <c r="CF69" s="3" t="str">
        <f t="shared" si="9"/>
        <v>برنامج دولى</v>
      </c>
    </row>
    <row r="70" spans="2:84" ht="18.75" x14ac:dyDescent="0.25">
      <c r="C70" s="70">
        <v>14319</v>
      </c>
      <c r="D70" s="70">
        <v>8421</v>
      </c>
      <c r="E70" s="71" t="s">
        <v>78</v>
      </c>
      <c r="F70" s="72" t="s">
        <v>1204</v>
      </c>
      <c r="H70" s="73">
        <v>8921.7800000000007</v>
      </c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4">
        <f t="shared" si="6"/>
        <v>8921.7800000000007</v>
      </c>
      <c r="AS70" s="73">
        <v>7794.32</v>
      </c>
      <c r="AT70" s="73">
        <v>943.78</v>
      </c>
      <c r="AU70" s="73">
        <v>183.68</v>
      </c>
      <c r="AV70" s="73"/>
      <c r="AW70" s="73"/>
      <c r="AX70" s="73"/>
      <c r="AY70" s="73"/>
      <c r="AZ70" s="73"/>
      <c r="BA70" s="73"/>
      <c r="BB70" s="73"/>
      <c r="BC70" s="69"/>
      <c r="BD70" s="69"/>
      <c r="CC70" s="74">
        <f t="shared" si="7"/>
        <v>8921.7800000000007</v>
      </c>
      <c r="CD70" s="73">
        <f t="shared" si="8"/>
        <v>0</v>
      </c>
      <c r="CE70" s="75">
        <f t="shared" si="9"/>
        <v>8421</v>
      </c>
      <c r="CF70" s="3" t="str">
        <f t="shared" si="9"/>
        <v>برنامج دولى</v>
      </c>
    </row>
    <row r="71" spans="2:84" ht="18.75" x14ac:dyDescent="0.25">
      <c r="C71" s="70">
        <v>14318</v>
      </c>
      <c r="D71" s="70">
        <v>8422</v>
      </c>
      <c r="E71" s="71" t="s">
        <v>78</v>
      </c>
      <c r="F71" s="72" t="s">
        <v>1204</v>
      </c>
      <c r="H71" s="73">
        <v>6780.26</v>
      </c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3"/>
      <c r="AN71" s="73"/>
      <c r="AO71" s="73"/>
      <c r="AP71" s="73"/>
      <c r="AQ71" s="73"/>
      <c r="AR71" s="74">
        <f t="shared" si="6"/>
        <v>6780.26</v>
      </c>
      <c r="AS71" s="73">
        <v>5924.45</v>
      </c>
      <c r="AT71" s="73">
        <v>718.44</v>
      </c>
      <c r="AU71" s="73">
        <v>137.37</v>
      </c>
      <c r="AV71" s="73"/>
      <c r="AW71" s="73"/>
      <c r="AX71" s="73"/>
      <c r="AY71" s="73"/>
      <c r="AZ71" s="73"/>
      <c r="BA71" s="73"/>
      <c r="BB71" s="73"/>
      <c r="BC71" s="69"/>
      <c r="BD71" s="69"/>
      <c r="CC71" s="74">
        <f t="shared" si="7"/>
        <v>6780.2599999999993</v>
      </c>
      <c r="CD71" s="73">
        <f t="shared" si="8"/>
        <v>0</v>
      </c>
      <c r="CE71" s="75">
        <f t="shared" si="9"/>
        <v>8422</v>
      </c>
      <c r="CF71" s="3" t="str">
        <f t="shared" si="9"/>
        <v>برنامج دولى</v>
      </c>
    </row>
    <row r="72" spans="2:84" ht="18.75" x14ac:dyDescent="0.25">
      <c r="C72" s="70">
        <v>14317</v>
      </c>
      <c r="D72" s="70">
        <v>8423</v>
      </c>
      <c r="E72" s="71" t="s">
        <v>78</v>
      </c>
      <c r="F72" s="72" t="s">
        <v>1204</v>
      </c>
      <c r="H72" s="73">
        <v>1290.58</v>
      </c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4">
        <f t="shared" si="6"/>
        <v>1290.58</v>
      </c>
      <c r="AS72" s="73">
        <v>1144.19</v>
      </c>
      <c r="AT72" s="73">
        <v>136.78</v>
      </c>
      <c r="AU72" s="73">
        <v>9.61</v>
      </c>
      <c r="AV72" s="73"/>
      <c r="AW72" s="73"/>
      <c r="AX72" s="73"/>
      <c r="AY72" s="73"/>
      <c r="AZ72" s="73"/>
      <c r="BA72" s="73"/>
      <c r="BB72" s="73"/>
      <c r="BC72" s="69"/>
      <c r="BD72" s="69"/>
      <c r="CC72" s="74">
        <f t="shared" si="7"/>
        <v>1290.58</v>
      </c>
      <c r="CD72" s="73">
        <f t="shared" si="8"/>
        <v>0</v>
      </c>
      <c r="CE72" s="75">
        <f t="shared" si="9"/>
        <v>8423</v>
      </c>
      <c r="CF72" s="3" t="str">
        <f t="shared" si="9"/>
        <v>برنامج دولى</v>
      </c>
    </row>
    <row r="73" spans="2:84" ht="18.75" x14ac:dyDescent="0.25">
      <c r="C73" s="70">
        <v>14104</v>
      </c>
      <c r="D73" s="70">
        <v>8424</v>
      </c>
      <c r="E73" s="71" t="s">
        <v>78</v>
      </c>
      <c r="F73" s="72" t="s">
        <v>1205</v>
      </c>
      <c r="H73" s="73">
        <v>23426.78</v>
      </c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4">
        <f t="shared" si="6"/>
        <v>23426.78</v>
      </c>
      <c r="AS73" s="73">
        <v>18480.25</v>
      </c>
      <c r="AT73" s="73">
        <v>2347.9</v>
      </c>
      <c r="AU73" s="73">
        <v>2598.63</v>
      </c>
      <c r="AV73" s="73"/>
      <c r="AW73" s="73"/>
      <c r="AX73" s="73"/>
      <c r="AY73" s="73"/>
      <c r="AZ73" s="73"/>
      <c r="BA73" s="73"/>
      <c r="BB73" s="73"/>
      <c r="BC73" s="69"/>
      <c r="BD73" s="69"/>
      <c r="CC73" s="74">
        <f t="shared" si="7"/>
        <v>23426.780000000002</v>
      </c>
      <c r="CD73" s="73">
        <f t="shared" si="8"/>
        <v>0</v>
      </c>
      <c r="CE73" s="75">
        <f t="shared" si="9"/>
        <v>8424</v>
      </c>
      <c r="CF73" s="3" t="str">
        <f t="shared" si="9"/>
        <v>برنامج دولى</v>
      </c>
    </row>
    <row r="74" spans="2:84" ht="18.75" x14ac:dyDescent="0.25">
      <c r="C74" s="70">
        <v>14364</v>
      </c>
      <c r="D74" s="70">
        <v>8425</v>
      </c>
      <c r="E74" s="71" t="s">
        <v>78</v>
      </c>
      <c r="F74" s="72" t="str">
        <f>+F71</f>
        <v>وافدين مستشفيات</v>
      </c>
      <c r="H74" s="73">
        <v>6221.5</v>
      </c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4">
        <f t="shared" si="6"/>
        <v>6221.5</v>
      </c>
      <c r="AS74" s="73">
        <v>4157.2</v>
      </c>
      <c r="AT74" s="73">
        <v>565.32000000000005</v>
      </c>
      <c r="AU74" s="73">
        <v>1498.98</v>
      </c>
      <c r="AV74" s="73"/>
      <c r="AW74" s="73"/>
      <c r="AX74" s="73"/>
      <c r="AY74" s="73"/>
      <c r="AZ74" s="73"/>
      <c r="BA74" s="73"/>
      <c r="BB74" s="73"/>
      <c r="BC74" s="69"/>
      <c r="BD74" s="69"/>
      <c r="CC74" s="74">
        <f t="shared" si="7"/>
        <v>6221.5</v>
      </c>
      <c r="CD74" s="73">
        <f t="shared" si="8"/>
        <v>0</v>
      </c>
      <c r="CE74" s="75">
        <f t="shared" si="9"/>
        <v>8425</v>
      </c>
      <c r="CF74" s="3" t="str">
        <f t="shared" si="9"/>
        <v>برنامج دولى</v>
      </c>
    </row>
    <row r="75" spans="2:84" ht="18.75" x14ac:dyDescent="0.25">
      <c r="C75" s="70">
        <v>14363</v>
      </c>
      <c r="D75" s="70">
        <v>8426</v>
      </c>
      <c r="E75" s="71" t="s">
        <v>78</v>
      </c>
      <c r="F75" s="72" t="s">
        <v>1204</v>
      </c>
      <c r="H75" s="73">
        <v>1318.74</v>
      </c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4">
        <f t="shared" si="6"/>
        <v>1318.74</v>
      </c>
      <c r="AS75" s="73">
        <v>1034.06</v>
      </c>
      <c r="AT75" s="73">
        <v>129.93</v>
      </c>
      <c r="AU75" s="73">
        <v>154.75</v>
      </c>
      <c r="AV75" s="73"/>
      <c r="AW75" s="73"/>
      <c r="AX75" s="73"/>
      <c r="AY75" s="73"/>
      <c r="AZ75" s="73"/>
      <c r="BA75" s="73"/>
      <c r="BB75" s="73"/>
      <c r="BC75" s="69"/>
      <c r="BD75" s="69"/>
      <c r="CC75" s="74">
        <f t="shared" si="7"/>
        <v>1318.74</v>
      </c>
      <c r="CD75" s="73">
        <f t="shared" si="8"/>
        <v>0</v>
      </c>
      <c r="CE75" s="75">
        <f t="shared" si="9"/>
        <v>8426</v>
      </c>
      <c r="CF75" s="3" t="str">
        <f t="shared" si="9"/>
        <v>برنامج دولى</v>
      </c>
    </row>
    <row r="76" spans="2:84" ht="18.75" x14ac:dyDescent="0.25">
      <c r="C76" s="70">
        <v>14325</v>
      </c>
      <c r="D76" s="70">
        <v>8427</v>
      </c>
      <c r="E76" s="71" t="s">
        <v>78</v>
      </c>
      <c r="F76" s="72" t="s">
        <v>1204</v>
      </c>
      <c r="H76" s="73">
        <v>51092.55</v>
      </c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4">
        <f t="shared" si="6"/>
        <v>51092.55</v>
      </c>
      <c r="AS76" s="73">
        <v>44856.06</v>
      </c>
      <c r="AT76" s="73">
        <v>5427.74</v>
      </c>
      <c r="AU76" s="73">
        <v>808.75</v>
      </c>
      <c r="AV76" s="73"/>
      <c r="AW76" s="73"/>
      <c r="AX76" s="73"/>
      <c r="AY76" s="73"/>
      <c r="AZ76" s="73"/>
      <c r="BA76" s="73"/>
      <c r="BB76" s="73"/>
      <c r="BC76" s="69"/>
      <c r="BD76" s="69"/>
      <c r="CC76" s="74">
        <f t="shared" si="7"/>
        <v>51092.549999999996</v>
      </c>
      <c r="CD76" s="73">
        <f t="shared" si="8"/>
        <v>0</v>
      </c>
      <c r="CE76" s="75">
        <f t="shared" si="9"/>
        <v>8427</v>
      </c>
      <c r="CF76" s="3" t="str">
        <f t="shared" si="9"/>
        <v>برنامج دولى</v>
      </c>
    </row>
    <row r="77" spans="2:84" ht="18.75" x14ac:dyDescent="0.25">
      <c r="C77" s="70">
        <v>14324</v>
      </c>
      <c r="D77" s="70">
        <v>8428</v>
      </c>
      <c r="E77" s="71" t="s">
        <v>78</v>
      </c>
      <c r="F77" s="72" t="s">
        <v>1204</v>
      </c>
      <c r="H77" s="73">
        <v>2296.63</v>
      </c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4">
        <f t="shared" si="6"/>
        <v>2296.63</v>
      </c>
      <c r="AS77" s="73">
        <v>2050.12</v>
      </c>
      <c r="AT77" s="73">
        <v>246.51</v>
      </c>
      <c r="AU77" s="73"/>
      <c r="AV77" s="73"/>
      <c r="AW77" s="73"/>
      <c r="AX77" s="73"/>
      <c r="AY77" s="73"/>
      <c r="AZ77" s="73"/>
      <c r="BA77" s="73"/>
      <c r="BB77" s="73"/>
      <c r="BC77" s="69"/>
      <c r="BD77" s="69"/>
      <c r="CC77" s="74">
        <f t="shared" si="7"/>
        <v>2296.63</v>
      </c>
      <c r="CD77" s="73">
        <f t="shared" si="8"/>
        <v>0</v>
      </c>
      <c r="CE77" s="75">
        <f t="shared" si="9"/>
        <v>8428</v>
      </c>
      <c r="CF77" s="3" t="str">
        <f t="shared" si="9"/>
        <v>برنامج دولى</v>
      </c>
    </row>
    <row r="78" spans="2:84" ht="18.75" x14ac:dyDescent="0.25">
      <c r="C78" s="70">
        <v>14323</v>
      </c>
      <c r="D78" s="70">
        <v>8429</v>
      </c>
      <c r="E78" s="71" t="s">
        <v>78</v>
      </c>
      <c r="F78" s="72" t="s">
        <v>1204</v>
      </c>
      <c r="H78" s="73">
        <v>4441.72</v>
      </c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4">
        <f t="shared" si="6"/>
        <v>4441.72</v>
      </c>
      <c r="AS78" s="73">
        <v>3964.6</v>
      </c>
      <c r="AT78" s="73">
        <v>477.12</v>
      </c>
      <c r="AU78" s="73"/>
      <c r="AV78" s="73"/>
      <c r="AW78" s="73"/>
      <c r="AX78" s="73"/>
      <c r="AY78" s="73"/>
      <c r="AZ78" s="73"/>
      <c r="BA78" s="73"/>
      <c r="BB78" s="73"/>
      <c r="BC78" s="69"/>
      <c r="BD78" s="69"/>
      <c r="CC78" s="74">
        <f t="shared" si="7"/>
        <v>4441.72</v>
      </c>
      <c r="CD78" s="73">
        <f t="shared" si="8"/>
        <v>0</v>
      </c>
      <c r="CE78" s="75">
        <f t="shared" si="9"/>
        <v>8429</v>
      </c>
      <c r="CF78" s="3" t="str">
        <f t="shared" si="9"/>
        <v>برنامج دولى</v>
      </c>
    </row>
    <row r="79" spans="2:84" ht="18.75" x14ac:dyDescent="0.25">
      <c r="C79" s="70">
        <v>14322</v>
      </c>
      <c r="D79" s="70">
        <v>8430</v>
      </c>
      <c r="E79" s="71" t="s">
        <v>78</v>
      </c>
      <c r="F79" s="72" t="s">
        <v>1204</v>
      </c>
      <c r="H79" s="73">
        <v>5767.24</v>
      </c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4">
        <f t="shared" si="6"/>
        <v>5767.24</v>
      </c>
      <c r="AS79" s="73">
        <v>5147.96</v>
      </c>
      <c r="AT79" s="73">
        <v>619.28</v>
      </c>
      <c r="AU79" s="73"/>
      <c r="AV79" s="73"/>
      <c r="AW79" s="73"/>
      <c r="AX79" s="73"/>
      <c r="AY79" s="73"/>
      <c r="AZ79" s="73"/>
      <c r="BA79" s="73"/>
      <c r="BB79" s="73"/>
      <c r="BC79" s="69"/>
      <c r="BD79" s="69"/>
      <c r="CC79" s="74">
        <f t="shared" si="7"/>
        <v>5767.24</v>
      </c>
      <c r="CD79" s="73">
        <f t="shared" si="8"/>
        <v>0</v>
      </c>
      <c r="CE79" s="75">
        <f t="shared" si="9"/>
        <v>8430</v>
      </c>
      <c r="CF79" s="3" t="str">
        <f t="shared" si="9"/>
        <v>برنامج دولى</v>
      </c>
    </row>
    <row r="80" spans="2:84" ht="18.75" x14ac:dyDescent="0.25">
      <c r="C80" s="70">
        <v>14321</v>
      </c>
      <c r="D80" s="70">
        <v>8431</v>
      </c>
      <c r="E80" s="71" t="s">
        <v>78</v>
      </c>
      <c r="F80" s="72" t="s">
        <v>1204</v>
      </c>
      <c r="H80" s="73">
        <v>10721.28</v>
      </c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4">
        <f t="shared" si="6"/>
        <v>10721.28</v>
      </c>
      <c r="AS80" s="73">
        <v>9496.85</v>
      </c>
      <c r="AT80" s="73">
        <v>1145.3900000000001</v>
      </c>
      <c r="AU80" s="73">
        <v>79.040000000000006</v>
      </c>
      <c r="AV80" s="73"/>
      <c r="AW80" s="73"/>
      <c r="AX80" s="73"/>
      <c r="AY80" s="73"/>
      <c r="AZ80" s="73"/>
      <c r="BA80" s="73"/>
      <c r="BB80" s="73"/>
      <c r="BC80" s="69"/>
      <c r="BD80" s="69"/>
      <c r="CC80" s="74">
        <f t="shared" si="7"/>
        <v>10721.28</v>
      </c>
      <c r="CD80" s="73">
        <f t="shared" si="8"/>
        <v>0</v>
      </c>
      <c r="CE80" s="75">
        <f t="shared" si="9"/>
        <v>8431</v>
      </c>
      <c r="CF80" s="3" t="str">
        <f t="shared" si="9"/>
        <v>برنامج دولى</v>
      </c>
    </row>
    <row r="81" spans="3:84" ht="18.75" x14ac:dyDescent="0.25">
      <c r="C81" s="70">
        <v>14371</v>
      </c>
      <c r="D81" s="70">
        <v>8432</v>
      </c>
      <c r="E81" s="71" t="s">
        <v>78</v>
      </c>
      <c r="F81" s="72" t="s">
        <v>1204</v>
      </c>
      <c r="H81" s="73">
        <v>49980.45</v>
      </c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4">
        <f t="shared" si="6"/>
        <v>49980.45</v>
      </c>
      <c r="AS81" s="73">
        <v>36179.980000000003</v>
      </c>
      <c r="AT81" s="73">
        <v>4743.3599999999997</v>
      </c>
      <c r="AU81" s="73">
        <v>9057.11</v>
      </c>
      <c r="AV81" s="73"/>
      <c r="AW81" s="73"/>
      <c r="AX81" s="73"/>
      <c r="AY81" s="73"/>
      <c r="AZ81" s="73"/>
      <c r="BA81" s="73"/>
      <c r="BB81" s="73"/>
      <c r="BC81" s="69"/>
      <c r="BD81" s="69"/>
      <c r="CC81" s="74">
        <f t="shared" si="7"/>
        <v>49980.450000000004</v>
      </c>
      <c r="CD81" s="73">
        <f t="shared" si="8"/>
        <v>0</v>
      </c>
      <c r="CE81" s="75">
        <f t="shared" si="9"/>
        <v>8432</v>
      </c>
      <c r="CF81" s="3" t="str">
        <f t="shared" si="9"/>
        <v>برنامج دولى</v>
      </c>
    </row>
    <row r="82" spans="3:84" ht="18.75" x14ac:dyDescent="0.25">
      <c r="C82" s="78">
        <v>14369</v>
      </c>
      <c r="D82" s="70">
        <v>8433</v>
      </c>
      <c r="E82" s="71" t="s">
        <v>78</v>
      </c>
      <c r="F82" s="79" t="s">
        <v>1204</v>
      </c>
      <c r="H82" s="73">
        <v>9812.65</v>
      </c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  <c r="AL82" s="73"/>
      <c r="AM82" s="73"/>
      <c r="AN82" s="73"/>
      <c r="AO82" s="73"/>
      <c r="AP82" s="73"/>
      <c r="AQ82" s="73"/>
      <c r="AR82" s="74">
        <f t="shared" si="6"/>
        <v>9812.65</v>
      </c>
      <c r="AS82" s="73">
        <v>6558.29</v>
      </c>
      <c r="AT82" s="73">
        <v>890.09</v>
      </c>
      <c r="AU82" s="73">
        <v>2364.27</v>
      </c>
      <c r="AV82" s="73"/>
      <c r="AW82" s="73"/>
      <c r="AX82" s="73"/>
      <c r="AY82" s="73"/>
      <c r="AZ82" s="73"/>
      <c r="BA82" s="73"/>
      <c r="BB82" s="73"/>
      <c r="BC82" s="69"/>
      <c r="BD82" s="69"/>
      <c r="CC82" s="74">
        <f t="shared" si="7"/>
        <v>9812.65</v>
      </c>
      <c r="CD82" s="73">
        <f t="shared" si="8"/>
        <v>0</v>
      </c>
      <c r="CE82" s="75">
        <f t="shared" si="9"/>
        <v>8433</v>
      </c>
      <c r="CF82" s="3" t="str">
        <f t="shared" si="9"/>
        <v>برنامج دولى</v>
      </c>
    </row>
    <row r="83" spans="3:84" ht="18.75" x14ac:dyDescent="0.25">
      <c r="C83" s="78">
        <v>14367</v>
      </c>
      <c r="D83" s="70">
        <v>8434</v>
      </c>
      <c r="E83" s="71" t="s">
        <v>78</v>
      </c>
      <c r="F83" s="79" t="s">
        <v>1204</v>
      </c>
      <c r="H83" s="73">
        <v>6678.06</v>
      </c>
      <c r="I83" s="73"/>
      <c r="J83" s="73"/>
      <c r="K83" s="73"/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  <c r="AL83" s="73"/>
      <c r="AM83" s="73"/>
      <c r="AN83" s="73"/>
      <c r="AO83" s="73"/>
      <c r="AP83" s="73"/>
      <c r="AQ83" s="73"/>
      <c r="AR83" s="74">
        <f t="shared" si="6"/>
        <v>6678.06</v>
      </c>
      <c r="AS83" s="73">
        <v>4462.58</v>
      </c>
      <c r="AT83" s="73">
        <v>606.5</v>
      </c>
      <c r="AU83" s="73">
        <v>1608.98</v>
      </c>
      <c r="AV83" s="73"/>
      <c r="AW83" s="73"/>
      <c r="AX83" s="73"/>
      <c r="AY83" s="73"/>
      <c r="AZ83" s="73"/>
      <c r="BA83" s="73"/>
      <c r="BB83" s="73"/>
      <c r="BC83" s="69"/>
      <c r="BD83" s="69"/>
      <c r="CC83" s="74">
        <f t="shared" si="7"/>
        <v>6678.0599999999995</v>
      </c>
      <c r="CD83" s="73">
        <f t="shared" si="8"/>
        <v>0</v>
      </c>
      <c r="CE83" s="75">
        <f t="shared" si="9"/>
        <v>8434</v>
      </c>
      <c r="CF83" s="3" t="str">
        <f t="shared" si="9"/>
        <v>برنامج دولى</v>
      </c>
    </row>
    <row r="84" spans="3:84" ht="18.75" x14ac:dyDescent="0.25">
      <c r="C84" s="78">
        <v>14366</v>
      </c>
      <c r="D84" s="70">
        <v>8435</v>
      </c>
      <c r="E84" s="71" t="s">
        <v>78</v>
      </c>
      <c r="F84" s="79" t="s">
        <v>1204</v>
      </c>
      <c r="H84" s="73">
        <v>5541.35</v>
      </c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4">
        <f t="shared" si="6"/>
        <v>5541.35</v>
      </c>
      <c r="AS84" s="73">
        <v>3702.78</v>
      </c>
      <c r="AT84" s="73">
        <v>503.46</v>
      </c>
      <c r="AU84" s="73">
        <v>1335.11</v>
      </c>
      <c r="AV84" s="73" t="s">
        <v>1179</v>
      </c>
      <c r="AW84" s="73"/>
      <c r="AX84" s="73"/>
      <c r="AY84" s="73"/>
      <c r="AZ84" s="73"/>
      <c r="BA84" s="73"/>
      <c r="BB84" s="73"/>
      <c r="BC84" s="69"/>
      <c r="BD84" s="69"/>
      <c r="CC84" s="74">
        <f t="shared" si="7"/>
        <v>5541.3499999999995</v>
      </c>
      <c r="CD84" s="73">
        <f t="shared" si="8"/>
        <v>0</v>
      </c>
      <c r="CE84" s="75">
        <f t="shared" si="9"/>
        <v>8435</v>
      </c>
      <c r="CF84" s="3" t="str">
        <f t="shared" si="9"/>
        <v>برنامج دولى</v>
      </c>
    </row>
    <row r="85" spans="3:84" ht="18.75" x14ac:dyDescent="0.25">
      <c r="C85" s="78">
        <v>14365</v>
      </c>
      <c r="D85" s="70">
        <v>8436</v>
      </c>
      <c r="E85" s="71" t="s">
        <v>78</v>
      </c>
      <c r="F85" s="79" t="s">
        <v>1204</v>
      </c>
      <c r="H85" s="73">
        <v>11940.24</v>
      </c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4">
        <f t="shared" si="6"/>
        <v>11940.24</v>
      </c>
      <c r="AS85" s="73">
        <v>7978.81</v>
      </c>
      <c r="AT85" s="73">
        <v>1084.55</v>
      </c>
      <c r="AU85" s="73">
        <v>2876.88</v>
      </c>
      <c r="AV85" s="73"/>
      <c r="AW85" s="73"/>
      <c r="AX85" s="73"/>
      <c r="AY85" s="73"/>
      <c r="AZ85" s="73"/>
      <c r="BA85" s="73"/>
      <c r="BB85" s="73"/>
      <c r="BC85" s="69"/>
      <c r="BD85" s="69"/>
      <c r="CC85" s="74">
        <f t="shared" si="7"/>
        <v>11940.240000000002</v>
      </c>
      <c r="CD85" s="73">
        <f t="shared" si="8"/>
        <v>0</v>
      </c>
      <c r="CE85" s="75">
        <f t="shared" si="9"/>
        <v>8436</v>
      </c>
      <c r="CF85" s="3" t="str">
        <f t="shared" si="9"/>
        <v>برنامج دولى</v>
      </c>
    </row>
    <row r="86" spans="3:84" ht="18.75" x14ac:dyDescent="0.25">
      <c r="C86" s="78">
        <v>14105</v>
      </c>
      <c r="D86" s="70">
        <v>8437</v>
      </c>
      <c r="E86" s="71" t="s">
        <v>78</v>
      </c>
      <c r="F86" s="79" t="s">
        <v>1206</v>
      </c>
      <c r="H86" s="73">
        <v>1260</v>
      </c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4">
        <f t="shared" si="6"/>
        <v>1260</v>
      </c>
      <c r="AS86" s="73">
        <v>1124.9000000000001</v>
      </c>
      <c r="AT86" s="73">
        <v>135.1</v>
      </c>
      <c r="AU86" s="73"/>
      <c r="AV86" s="73"/>
      <c r="AW86" s="73"/>
      <c r="AX86" s="73"/>
      <c r="AY86" s="73"/>
      <c r="AZ86" s="73"/>
      <c r="BA86" s="73"/>
      <c r="BB86" s="73"/>
      <c r="BC86" s="69"/>
      <c r="BD86" s="69"/>
      <c r="CC86" s="74">
        <f t="shared" si="7"/>
        <v>1260</v>
      </c>
      <c r="CD86" s="73">
        <f t="shared" si="8"/>
        <v>0</v>
      </c>
      <c r="CE86" s="75">
        <f t="shared" si="9"/>
        <v>8437</v>
      </c>
      <c r="CF86" s="3" t="str">
        <f t="shared" si="9"/>
        <v>برنامج دولى</v>
      </c>
    </row>
    <row r="87" spans="3:84" ht="18.75" x14ac:dyDescent="0.25">
      <c r="C87" s="78">
        <v>14106</v>
      </c>
      <c r="D87" s="70">
        <v>8438</v>
      </c>
      <c r="E87" s="71" t="s">
        <v>78</v>
      </c>
      <c r="F87" s="79" t="s">
        <v>1205</v>
      </c>
      <c r="H87" s="73">
        <v>4889.32</v>
      </c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  <c r="AL87" s="73"/>
      <c r="AM87" s="73"/>
      <c r="AN87" s="73"/>
      <c r="AO87" s="73"/>
      <c r="AP87" s="73"/>
      <c r="AQ87" s="73"/>
      <c r="AR87" s="74">
        <f t="shared" si="6"/>
        <v>4889.32</v>
      </c>
      <c r="AS87" s="73">
        <v>3267.9</v>
      </c>
      <c r="AT87" s="73">
        <v>443.4</v>
      </c>
      <c r="AU87" s="73">
        <v>1178.02</v>
      </c>
      <c r="AV87" s="73"/>
      <c r="AW87" s="73"/>
      <c r="AX87" s="73"/>
      <c r="AY87" s="73"/>
      <c r="AZ87" s="73"/>
      <c r="BA87" s="73"/>
      <c r="BB87" s="73"/>
      <c r="BC87" s="69"/>
      <c r="BD87" s="69"/>
      <c r="CC87" s="74">
        <f t="shared" si="7"/>
        <v>4889.32</v>
      </c>
      <c r="CD87" s="73">
        <f t="shared" si="8"/>
        <v>0</v>
      </c>
      <c r="CE87" s="75">
        <f t="shared" si="9"/>
        <v>8438</v>
      </c>
      <c r="CF87" s="3" t="str">
        <f t="shared" si="9"/>
        <v>برنامج دولى</v>
      </c>
    </row>
    <row r="88" spans="3:84" ht="18.75" x14ac:dyDescent="0.25">
      <c r="C88" s="78">
        <v>14107</v>
      </c>
      <c r="D88" s="70">
        <v>8439</v>
      </c>
      <c r="E88" s="71" t="s">
        <v>78</v>
      </c>
      <c r="F88" s="79" t="s">
        <v>1207</v>
      </c>
      <c r="H88" s="73">
        <v>300</v>
      </c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4">
        <f t="shared" si="6"/>
        <v>300</v>
      </c>
      <c r="AS88" s="73">
        <v>268.35000000000002</v>
      </c>
      <c r="AT88" s="73">
        <v>31.65</v>
      </c>
      <c r="AU88" s="73"/>
      <c r="AV88" s="73"/>
      <c r="AW88" s="73"/>
      <c r="AX88" s="73"/>
      <c r="AY88" s="73"/>
      <c r="AZ88" s="73"/>
      <c r="BA88" s="73"/>
      <c r="BB88" s="73"/>
      <c r="BC88" s="69"/>
      <c r="BD88" s="69"/>
      <c r="CC88" s="74">
        <f>SUM(AS88:CB88)</f>
        <v>300</v>
      </c>
      <c r="CD88" s="73">
        <f t="shared" si="8"/>
        <v>0</v>
      </c>
      <c r="CE88" s="75">
        <f t="shared" si="9"/>
        <v>8439</v>
      </c>
      <c r="CF88" s="3" t="str">
        <f t="shared" si="9"/>
        <v>برنامج دولى</v>
      </c>
    </row>
    <row r="89" spans="3:84" ht="18.75" x14ac:dyDescent="0.25">
      <c r="C89" s="78">
        <v>14108</v>
      </c>
      <c r="D89" s="70">
        <v>8440</v>
      </c>
      <c r="E89" s="71" t="s">
        <v>78</v>
      </c>
      <c r="F89" s="79" t="s">
        <v>1208</v>
      </c>
      <c r="H89" s="73">
        <v>150</v>
      </c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4">
        <f t="shared" si="6"/>
        <v>150</v>
      </c>
      <c r="AS89" s="73">
        <v>134.4</v>
      </c>
      <c r="AT89" s="73">
        <v>15.6</v>
      </c>
      <c r="AU89" s="73"/>
      <c r="AV89" s="73"/>
      <c r="AW89" s="73"/>
      <c r="AX89" s="73"/>
      <c r="AY89" s="73"/>
      <c r="AZ89" s="73"/>
      <c r="BA89" s="73"/>
      <c r="BB89" s="73"/>
      <c r="BC89" s="69"/>
      <c r="BD89" s="69"/>
      <c r="CC89" s="74">
        <f t="shared" si="7"/>
        <v>150</v>
      </c>
      <c r="CD89" s="73">
        <f t="shared" si="8"/>
        <v>0</v>
      </c>
      <c r="CE89" s="75">
        <f t="shared" si="9"/>
        <v>8440</v>
      </c>
      <c r="CF89" s="3" t="str">
        <f t="shared" si="9"/>
        <v>برنامج دولى</v>
      </c>
    </row>
    <row r="90" spans="3:84" ht="18.75" x14ac:dyDescent="0.25">
      <c r="C90" s="78">
        <v>14109</v>
      </c>
      <c r="D90" s="70">
        <v>8441</v>
      </c>
      <c r="E90" s="71" t="s">
        <v>78</v>
      </c>
      <c r="F90" s="79" t="s">
        <v>1209</v>
      </c>
      <c r="H90" s="73">
        <v>351.75</v>
      </c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4">
        <f t="shared" si="6"/>
        <v>351.75</v>
      </c>
      <c r="AS90" s="73">
        <v>235.55</v>
      </c>
      <c r="AT90" s="73">
        <v>31.45</v>
      </c>
      <c r="AU90" s="73">
        <v>84.75</v>
      </c>
      <c r="AV90" s="73"/>
      <c r="AW90" s="73"/>
      <c r="AX90" s="73"/>
      <c r="AY90" s="73"/>
      <c r="AZ90" s="73"/>
      <c r="BA90" s="73"/>
      <c r="BB90" s="73"/>
      <c r="BC90" s="69"/>
      <c r="BD90" s="69"/>
      <c r="CC90" s="74">
        <f t="shared" si="7"/>
        <v>351.75</v>
      </c>
      <c r="CD90" s="73">
        <f t="shared" si="8"/>
        <v>0</v>
      </c>
      <c r="CE90" s="75">
        <f t="shared" si="9"/>
        <v>8441</v>
      </c>
      <c r="CF90" s="3" t="str">
        <f t="shared" si="9"/>
        <v>برنامج دولى</v>
      </c>
    </row>
    <row r="91" spans="3:84" ht="18.75" x14ac:dyDescent="0.25">
      <c r="C91" s="78">
        <v>14110</v>
      </c>
      <c r="D91" s="70">
        <v>8442</v>
      </c>
      <c r="E91" s="71" t="s">
        <v>78</v>
      </c>
      <c r="F91" s="79" t="s">
        <v>1210</v>
      </c>
      <c r="H91" s="73">
        <v>500</v>
      </c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4">
        <f t="shared" si="6"/>
        <v>500</v>
      </c>
      <c r="AS91" s="73">
        <v>447.05</v>
      </c>
      <c r="AT91" s="73">
        <v>52.95</v>
      </c>
      <c r="AU91" s="73"/>
      <c r="AV91" s="73"/>
      <c r="AW91" s="73"/>
      <c r="AX91" s="73"/>
      <c r="AY91" s="73"/>
      <c r="AZ91" s="73"/>
      <c r="BA91" s="73"/>
      <c r="BB91" s="73"/>
      <c r="BC91" s="69"/>
      <c r="BD91" s="69"/>
      <c r="CC91" s="74">
        <f t="shared" si="7"/>
        <v>500</v>
      </c>
      <c r="CD91" s="73">
        <f t="shared" si="8"/>
        <v>0</v>
      </c>
      <c r="CE91" s="75">
        <f t="shared" si="9"/>
        <v>8442</v>
      </c>
      <c r="CF91" s="3" t="str">
        <f t="shared" si="9"/>
        <v>برنامج دولى</v>
      </c>
    </row>
    <row r="92" spans="3:84" ht="18.75" x14ac:dyDescent="0.25">
      <c r="C92" s="78">
        <v>14111</v>
      </c>
      <c r="D92" s="70">
        <v>8443</v>
      </c>
      <c r="E92" s="71" t="s">
        <v>78</v>
      </c>
      <c r="F92" s="79" t="str">
        <f>+F88</f>
        <v xml:space="preserve">مكافاه ماموريه محمد سعيد </v>
      </c>
      <c r="H92" s="73">
        <v>300</v>
      </c>
      <c r="I92" s="73"/>
      <c r="J92" s="73"/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  <c r="AL92" s="73"/>
      <c r="AM92" s="73"/>
      <c r="AN92" s="73"/>
      <c r="AO92" s="73"/>
      <c r="AP92" s="73"/>
      <c r="AQ92" s="73"/>
      <c r="AR92" s="74">
        <f t="shared" si="6"/>
        <v>300</v>
      </c>
      <c r="AS92" s="73">
        <v>268.35000000000002</v>
      </c>
      <c r="AT92" s="73">
        <v>31.65</v>
      </c>
      <c r="AU92" s="73"/>
      <c r="AV92" s="73"/>
      <c r="AW92" s="73"/>
      <c r="AX92" s="73"/>
      <c r="AY92" s="73"/>
      <c r="AZ92" s="73"/>
      <c r="BA92" s="73"/>
      <c r="BB92" s="73"/>
      <c r="BC92" s="69"/>
      <c r="BD92" s="69"/>
      <c r="CC92" s="74">
        <f t="shared" si="7"/>
        <v>300</v>
      </c>
      <c r="CD92" s="73">
        <f t="shared" si="8"/>
        <v>0</v>
      </c>
      <c r="CE92" s="75">
        <f t="shared" si="9"/>
        <v>8443</v>
      </c>
      <c r="CF92" s="3" t="str">
        <f t="shared" si="9"/>
        <v>برنامج دولى</v>
      </c>
    </row>
    <row r="93" spans="3:84" ht="18.75" x14ac:dyDescent="0.25">
      <c r="C93" s="78">
        <v>14112</v>
      </c>
      <c r="D93" s="70">
        <v>8444</v>
      </c>
      <c r="E93" s="71" t="s">
        <v>78</v>
      </c>
      <c r="F93" s="79" t="s">
        <v>1211</v>
      </c>
      <c r="H93" s="73">
        <v>3517.5</v>
      </c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4">
        <f t="shared" si="6"/>
        <v>3517.5</v>
      </c>
      <c r="AS93" s="73">
        <v>2353</v>
      </c>
      <c r="AT93" s="73">
        <v>317</v>
      </c>
      <c r="AU93" s="73">
        <v>847.5</v>
      </c>
      <c r="AV93" s="73"/>
      <c r="AW93" s="73"/>
      <c r="AX93" s="73"/>
      <c r="AY93" s="73"/>
      <c r="AZ93" s="73"/>
      <c r="BA93" s="73"/>
      <c r="BB93" s="73"/>
      <c r="BC93" s="69"/>
      <c r="BD93" s="69"/>
      <c r="CC93" s="74">
        <f t="shared" si="7"/>
        <v>3517.5</v>
      </c>
      <c r="CD93" s="73">
        <f t="shared" si="8"/>
        <v>0</v>
      </c>
      <c r="CE93" s="75">
        <f t="shared" si="9"/>
        <v>8444</v>
      </c>
      <c r="CF93" s="3" t="str">
        <f t="shared" si="9"/>
        <v>برنامج دولى</v>
      </c>
    </row>
    <row r="94" spans="3:84" ht="18.75" x14ac:dyDescent="0.25">
      <c r="C94" s="78">
        <v>14113</v>
      </c>
      <c r="D94" s="70">
        <v>8445</v>
      </c>
      <c r="E94" s="71" t="s">
        <v>78</v>
      </c>
      <c r="F94" s="79" t="s">
        <v>1211</v>
      </c>
      <c r="H94" s="73">
        <v>3517.5</v>
      </c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4">
        <f t="shared" si="6"/>
        <v>3517.5</v>
      </c>
      <c r="AS94" s="73">
        <v>2415.5500000000002</v>
      </c>
      <c r="AT94" s="73">
        <v>254.45</v>
      </c>
      <c r="AU94" s="73">
        <v>847.5</v>
      </c>
      <c r="AV94" s="73"/>
      <c r="AW94" s="73"/>
      <c r="AX94" s="73"/>
      <c r="AY94" s="73"/>
      <c r="AZ94" s="73"/>
      <c r="BA94" s="73"/>
      <c r="BB94" s="73"/>
      <c r="BC94" s="69"/>
      <c r="BD94" s="69"/>
      <c r="CC94" s="74">
        <f t="shared" si="7"/>
        <v>3517.5</v>
      </c>
      <c r="CD94" s="73">
        <f t="shared" si="8"/>
        <v>0</v>
      </c>
      <c r="CE94" s="75">
        <f t="shared" si="9"/>
        <v>8445</v>
      </c>
      <c r="CF94" s="3" t="str">
        <f t="shared" si="9"/>
        <v>برنامج دولى</v>
      </c>
    </row>
    <row r="95" spans="3:84" ht="18.75" x14ac:dyDescent="0.25">
      <c r="C95" s="78">
        <v>14114</v>
      </c>
      <c r="D95" s="70">
        <v>8446</v>
      </c>
      <c r="E95" s="71" t="s">
        <v>78</v>
      </c>
      <c r="F95" s="79" t="s">
        <v>798</v>
      </c>
      <c r="H95" s="73">
        <v>8487.19</v>
      </c>
      <c r="I95" s="73"/>
      <c r="J95" s="73"/>
      <c r="K95" s="73"/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  <c r="AL95" s="73"/>
      <c r="AM95" s="73"/>
      <c r="AN95" s="73"/>
      <c r="AO95" s="73"/>
      <c r="AP95" s="73"/>
      <c r="AQ95" s="73"/>
      <c r="AR95" s="74">
        <f t="shared" si="6"/>
        <v>8487.19</v>
      </c>
      <c r="AS95" s="73">
        <v>5819.35</v>
      </c>
      <c r="AT95" s="73">
        <v>764.55</v>
      </c>
      <c r="AU95" s="73">
        <v>1903.29</v>
      </c>
      <c r="AV95" s="73"/>
      <c r="AW95" s="73"/>
      <c r="AX95" s="73"/>
      <c r="AY95" s="73"/>
      <c r="AZ95" s="73"/>
      <c r="BA95" s="73"/>
      <c r="BB95" s="73"/>
      <c r="BC95" s="69"/>
      <c r="BD95" s="69"/>
      <c r="CC95" s="74">
        <f t="shared" si="7"/>
        <v>8487.19</v>
      </c>
      <c r="CD95" s="73">
        <f t="shared" si="8"/>
        <v>0</v>
      </c>
      <c r="CE95" s="75">
        <f t="shared" si="9"/>
        <v>8446</v>
      </c>
      <c r="CF95" s="3" t="str">
        <f t="shared" si="9"/>
        <v>برنامج دولى</v>
      </c>
    </row>
    <row r="96" spans="3:84" ht="18.75" x14ac:dyDescent="0.25">
      <c r="C96" s="78">
        <v>14115</v>
      </c>
      <c r="D96" s="70">
        <v>8447</v>
      </c>
      <c r="E96" s="71" t="s">
        <v>78</v>
      </c>
      <c r="F96" s="79" t="s">
        <v>798</v>
      </c>
      <c r="H96" s="73">
        <v>300</v>
      </c>
      <c r="I96" s="73"/>
      <c r="J96" s="73"/>
      <c r="K96" s="73"/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  <c r="AL96" s="73"/>
      <c r="AM96" s="73"/>
      <c r="AN96" s="73"/>
      <c r="AO96" s="73"/>
      <c r="AP96" s="73"/>
      <c r="AQ96" s="73"/>
      <c r="AR96" s="74">
        <f t="shared" si="6"/>
        <v>300</v>
      </c>
      <c r="AS96" s="73">
        <v>268.35000000000002</v>
      </c>
      <c r="AT96" s="73">
        <v>31.65</v>
      </c>
      <c r="AU96" s="73"/>
      <c r="AV96" s="73"/>
      <c r="AW96" s="73"/>
      <c r="AX96" s="73"/>
      <c r="AY96" s="73"/>
      <c r="AZ96" s="73"/>
      <c r="BA96" s="73"/>
      <c r="BB96" s="73"/>
      <c r="BC96" s="69"/>
      <c r="BD96" s="69"/>
      <c r="CC96" s="74">
        <f t="shared" si="7"/>
        <v>300</v>
      </c>
      <c r="CD96" s="73">
        <f t="shared" si="8"/>
        <v>0</v>
      </c>
      <c r="CE96" s="75">
        <f t="shared" si="9"/>
        <v>8447</v>
      </c>
      <c r="CF96" s="3" t="str">
        <f t="shared" si="9"/>
        <v>برنامج دولى</v>
      </c>
    </row>
    <row r="97" spans="1:84" ht="18.75" x14ac:dyDescent="0.25">
      <c r="C97" s="78">
        <v>14116</v>
      </c>
      <c r="D97" s="70">
        <v>8448</v>
      </c>
      <c r="E97" s="71" t="s">
        <v>78</v>
      </c>
      <c r="F97" s="79" t="s">
        <v>798</v>
      </c>
      <c r="H97" s="73">
        <v>234.5</v>
      </c>
      <c r="I97" s="73"/>
      <c r="J97" s="73"/>
      <c r="K97" s="73"/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  <c r="AL97" s="73"/>
      <c r="AM97" s="73"/>
      <c r="AN97" s="73"/>
      <c r="AO97" s="73"/>
      <c r="AP97" s="73"/>
      <c r="AQ97" s="73"/>
      <c r="AR97" s="74">
        <f t="shared" si="6"/>
        <v>234.5</v>
      </c>
      <c r="AS97" s="73">
        <v>157.19999999999999</v>
      </c>
      <c r="AT97" s="73">
        <v>20.8</v>
      </c>
      <c r="AU97" s="73">
        <v>56.5</v>
      </c>
      <c r="AV97" s="73"/>
      <c r="AW97" s="73"/>
      <c r="AX97" s="73"/>
      <c r="AY97" s="73"/>
      <c r="AZ97" s="73"/>
      <c r="BA97" s="73"/>
      <c r="BB97" s="73"/>
      <c r="BC97" s="69"/>
      <c r="BD97" s="69"/>
      <c r="CC97" s="74">
        <f t="shared" si="7"/>
        <v>234.5</v>
      </c>
      <c r="CD97" s="73">
        <f t="shared" si="8"/>
        <v>0</v>
      </c>
      <c r="CE97" s="75">
        <f t="shared" si="9"/>
        <v>8448</v>
      </c>
      <c r="CF97" s="3" t="str">
        <f t="shared" si="9"/>
        <v>برنامج دولى</v>
      </c>
    </row>
    <row r="98" spans="1:84" ht="18.75" x14ac:dyDescent="0.25">
      <c r="C98" s="78">
        <v>14117</v>
      </c>
      <c r="D98" s="70">
        <v>8449</v>
      </c>
      <c r="E98" s="71" t="s">
        <v>78</v>
      </c>
      <c r="F98" s="79" t="str">
        <f>+F88</f>
        <v xml:space="preserve">مكافاه ماموريه محمد سعيد </v>
      </c>
      <c r="H98" s="73">
        <v>150</v>
      </c>
      <c r="I98" s="73"/>
      <c r="J98" s="73"/>
      <c r="K98" s="73"/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  <c r="AL98" s="73"/>
      <c r="AM98" s="73"/>
      <c r="AN98" s="73"/>
      <c r="AO98" s="73"/>
      <c r="AP98" s="73"/>
      <c r="AQ98" s="73"/>
      <c r="AR98" s="74">
        <f t="shared" si="6"/>
        <v>150</v>
      </c>
      <c r="AS98" s="73">
        <v>134.4</v>
      </c>
      <c r="AT98" s="73">
        <v>15.6</v>
      </c>
      <c r="AU98" s="73"/>
      <c r="AV98" s="73"/>
      <c r="AW98" s="73"/>
      <c r="AX98" s="73"/>
      <c r="AY98" s="73"/>
      <c r="AZ98" s="73"/>
      <c r="BA98" s="73"/>
      <c r="BB98" s="73"/>
      <c r="BC98" s="69"/>
      <c r="BD98" s="69"/>
      <c r="CC98" s="74">
        <f t="shared" si="7"/>
        <v>150</v>
      </c>
      <c r="CD98" s="73">
        <f t="shared" si="8"/>
        <v>0</v>
      </c>
      <c r="CE98" s="75">
        <f t="shared" si="9"/>
        <v>8449</v>
      </c>
      <c r="CF98" s="3" t="str">
        <f t="shared" si="9"/>
        <v>برنامج دولى</v>
      </c>
    </row>
    <row r="99" spans="1:84" ht="18.75" x14ac:dyDescent="0.25">
      <c r="C99" s="78">
        <v>14118</v>
      </c>
      <c r="D99" s="70">
        <v>8450</v>
      </c>
      <c r="E99" s="71" t="s">
        <v>78</v>
      </c>
      <c r="F99" s="79" t="s">
        <v>1212</v>
      </c>
      <c r="H99" s="73">
        <v>3800</v>
      </c>
      <c r="I99" s="73"/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4">
        <f t="shared" si="6"/>
        <v>3800</v>
      </c>
      <c r="AS99" s="73">
        <v>3392.2</v>
      </c>
      <c r="AT99" s="73">
        <v>407.8</v>
      </c>
      <c r="AU99" s="73"/>
      <c r="AV99" s="73"/>
      <c r="AW99" s="73"/>
      <c r="AX99" s="73"/>
      <c r="AY99" s="73"/>
      <c r="AZ99" s="73"/>
      <c r="BA99" s="73"/>
      <c r="BB99" s="73"/>
      <c r="BC99" s="69"/>
      <c r="BD99" s="69"/>
      <c r="CC99" s="74">
        <f t="shared" si="7"/>
        <v>3800</v>
      </c>
      <c r="CD99" s="73">
        <f t="shared" si="8"/>
        <v>0</v>
      </c>
      <c r="CE99" s="75">
        <f t="shared" si="9"/>
        <v>8450</v>
      </c>
      <c r="CF99" s="3" t="str">
        <f t="shared" si="9"/>
        <v>برنامج دولى</v>
      </c>
    </row>
    <row r="100" spans="1:84" ht="18.75" x14ac:dyDescent="0.25">
      <c r="C100" s="78">
        <v>14119</v>
      </c>
      <c r="D100" s="70">
        <v>8451</v>
      </c>
      <c r="E100" s="71" t="s">
        <v>78</v>
      </c>
      <c r="F100" s="79" t="s">
        <v>1212</v>
      </c>
      <c r="H100" s="73">
        <v>9092.52</v>
      </c>
      <c r="I100" s="73"/>
      <c r="J100" s="73"/>
      <c r="K100" s="73"/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73"/>
      <c r="AO100" s="73"/>
      <c r="AP100" s="73"/>
      <c r="AQ100" s="73"/>
      <c r="AR100" s="74">
        <f t="shared" si="6"/>
        <v>9092.52</v>
      </c>
      <c r="AS100" s="73">
        <v>6297.87</v>
      </c>
      <c r="AT100" s="73">
        <v>841.7</v>
      </c>
      <c r="AU100" s="73">
        <v>1952.95</v>
      </c>
      <c r="AV100" s="73"/>
      <c r="AW100" s="73"/>
      <c r="AX100" s="73"/>
      <c r="AY100" s="73"/>
      <c r="AZ100" s="73"/>
      <c r="BA100" s="73"/>
      <c r="BB100" s="73"/>
      <c r="BC100" s="69"/>
      <c r="BD100" s="69"/>
      <c r="CC100" s="74">
        <f t="shared" si="7"/>
        <v>9092.52</v>
      </c>
      <c r="CD100" s="73">
        <f t="shared" si="8"/>
        <v>0</v>
      </c>
      <c r="CE100" s="75">
        <f t="shared" si="9"/>
        <v>8451</v>
      </c>
      <c r="CF100" s="3" t="str">
        <f t="shared" si="9"/>
        <v>برنامج دولى</v>
      </c>
    </row>
    <row r="101" spans="1:84" ht="18.75" x14ac:dyDescent="0.25">
      <c r="C101" s="78">
        <v>14120</v>
      </c>
      <c r="D101" s="70">
        <v>8452</v>
      </c>
      <c r="E101" s="71" t="s">
        <v>78</v>
      </c>
      <c r="F101" s="79" t="s">
        <v>1212</v>
      </c>
      <c r="H101" s="73">
        <v>1500</v>
      </c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4">
        <f t="shared" si="6"/>
        <v>1500</v>
      </c>
      <c r="AS101" s="73">
        <v>1339.1</v>
      </c>
      <c r="AT101" s="73">
        <v>160.9</v>
      </c>
      <c r="AU101" s="73"/>
      <c r="AV101" s="73"/>
      <c r="AW101" s="73"/>
      <c r="AX101" s="73"/>
      <c r="AY101" s="73"/>
      <c r="AZ101" s="73"/>
      <c r="BA101" s="73"/>
      <c r="BB101" s="73"/>
      <c r="BC101" s="69"/>
      <c r="BD101" s="69"/>
      <c r="CC101" s="74">
        <f t="shared" si="7"/>
        <v>1500</v>
      </c>
      <c r="CD101" s="73">
        <f t="shared" si="8"/>
        <v>0</v>
      </c>
      <c r="CE101" s="75">
        <f t="shared" si="9"/>
        <v>8452</v>
      </c>
      <c r="CF101" s="3" t="str">
        <f t="shared" si="9"/>
        <v>برنامج دولى</v>
      </c>
    </row>
    <row r="102" spans="1:84" ht="18.75" x14ac:dyDescent="0.25">
      <c r="C102" s="78">
        <v>14121</v>
      </c>
      <c r="D102" s="70">
        <v>8453</v>
      </c>
      <c r="E102" s="71" t="s">
        <v>78</v>
      </c>
      <c r="F102" s="79" t="s">
        <v>1212</v>
      </c>
      <c r="H102" s="73">
        <v>1800</v>
      </c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4">
        <f t="shared" si="6"/>
        <v>1800</v>
      </c>
      <c r="AS102" s="73">
        <v>1606.85</v>
      </c>
      <c r="AT102" s="73">
        <v>193.15</v>
      </c>
      <c r="AU102" s="73"/>
      <c r="AV102" s="73"/>
      <c r="AW102" s="73"/>
      <c r="AX102" s="73"/>
      <c r="AY102" s="73"/>
      <c r="AZ102" s="73"/>
      <c r="BA102" s="73"/>
      <c r="BB102" s="73"/>
      <c r="BC102" s="69"/>
      <c r="BD102" s="69"/>
      <c r="CC102" s="74">
        <f t="shared" si="7"/>
        <v>1800</v>
      </c>
      <c r="CD102" s="73">
        <f t="shared" si="8"/>
        <v>0</v>
      </c>
      <c r="CE102" s="75">
        <f t="shared" si="9"/>
        <v>8453</v>
      </c>
      <c r="CF102" s="3" t="str">
        <f t="shared" si="9"/>
        <v>برنامج دولى</v>
      </c>
    </row>
    <row r="103" spans="1:84" ht="18.75" x14ac:dyDescent="0.25">
      <c r="C103" s="78">
        <v>14122</v>
      </c>
      <c r="D103" s="70">
        <v>8454</v>
      </c>
      <c r="E103" s="71" t="s">
        <v>78</v>
      </c>
      <c r="F103" s="79" t="s">
        <v>1213</v>
      </c>
      <c r="H103" s="73">
        <v>1733.44</v>
      </c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4">
        <f t="shared" si="6"/>
        <v>1733.44</v>
      </c>
      <c r="AS103" s="73">
        <v>1191.3499999999999</v>
      </c>
      <c r="AT103" s="73">
        <v>159.80000000000001</v>
      </c>
      <c r="AU103" s="73">
        <v>382.29</v>
      </c>
      <c r="AV103" s="73"/>
      <c r="AW103" s="73"/>
      <c r="AX103" s="73"/>
      <c r="AY103" s="73"/>
      <c r="AZ103" s="73"/>
      <c r="BA103" s="73"/>
      <c r="BB103" s="73"/>
      <c r="BC103" s="69"/>
      <c r="BD103" s="69"/>
      <c r="CC103" s="74">
        <f t="shared" si="7"/>
        <v>1733.4399999999998</v>
      </c>
      <c r="CD103" s="73">
        <f t="shared" si="8"/>
        <v>0</v>
      </c>
      <c r="CE103" s="75">
        <f t="shared" si="9"/>
        <v>8454</v>
      </c>
      <c r="CF103" s="3" t="str">
        <f t="shared" si="9"/>
        <v>برنامج دولى</v>
      </c>
    </row>
    <row r="104" spans="1:84" ht="18.75" x14ac:dyDescent="0.25">
      <c r="C104" s="78">
        <v>14123</v>
      </c>
      <c r="D104" s="70">
        <v>8455</v>
      </c>
      <c r="E104" s="71" t="s">
        <v>78</v>
      </c>
      <c r="F104" s="79" t="s">
        <v>1214</v>
      </c>
      <c r="H104" s="73">
        <v>2345</v>
      </c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4">
        <f t="shared" si="6"/>
        <v>2345</v>
      </c>
      <c r="AS104" s="73">
        <v>1568.2</v>
      </c>
      <c r="AT104" s="73">
        <v>211.8</v>
      </c>
      <c r="AU104" s="73">
        <v>565</v>
      </c>
      <c r="AV104" s="73"/>
      <c r="AW104" s="73"/>
      <c r="AX104" s="73"/>
      <c r="AY104" s="73"/>
      <c r="AZ104" s="73"/>
      <c r="BA104" s="73"/>
      <c r="BB104" s="73"/>
      <c r="BC104" s="69"/>
      <c r="BD104" s="69"/>
      <c r="CC104" s="74">
        <f t="shared" si="7"/>
        <v>2345</v>
      </c>
      <c r="CD104" s="73">
        <f t="shared" si="8"/>
        <v>0</v>
      </c>
      <c r="CE104" s="75">
        <f t="shared" si="9"/>
        <v>8455</v>
      </c>
      <c r="CF104" s="3" t="str">
        <f t="shared" si="9"/>
        <v>برنامج دولى</v>
      </c>
    </row>
    <row r="105" spans="1:84" ht="18.75" x14ac:dyDescent="0.25">
      <c r="C105" s="78">
        <v>14124</v>
      </c>
      <c r="D105" s="70">
        <v>8456</v>
      </c>
      <c r="E105" s="71" t="s">
        <v>78</v>
      </c>
      <c r="F105" s="79" t="s">
        <v>1214</v>
      </c>
      <c r="H105" s="73">
        <v>3165.75</v>
      </c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4">
        <f t="shared" si="6"/>
        <v>3165.75</v>
      </c>
      <c r="AS105" s="73">
        <v>2116.1</v>
      </c>
      <c r="AT105" s="73">
        <v>286.89999999999998</v>
      </c>
      <c r="AU105" s="73">
        <v>762.75</v>
      </c>
      <c r="AV105" s="73"/>
      <c r="AW105" s="73"/>
      <c r="AX105" s="73"/>
      <c r="AY105" s="73"/>
      <c r="AZ105" s="73"/>
      <c r="BA105" s="73"/>
      <c r="BB105" s="73"/>
      <c r="BC105" s="69"/>
      <c r="BD105" s="69"/>
      <c r="CC105" s="74">
        <f t="shared" si="7"/>
        <v>3165.75</v>
      </c>
      <c r="CD105" s="73">
        <f t="shared" si="8"/>
        <v>0</v>
      </c>
      <c r="CE105" s="75">
        <f t="shared" si="9"/>
        <v>8456</v>
      </c>
      <c r="CF105" s="3" t="str">
        <f t="shared" si="9"/>
        <v>برنامج دولى</v>
      </c>
    </row>
    <row r="106" spans="1:84" ht="18.75" x14ac:dyDescent="0.25">
      <c r="C106" s="78">
        <v>14125</v>
      </c>
      <c r="D106" s="70">
        <v>8457</v>
      </c>
      <c r="E106" s="71" t="s">
        <v>78</v>
      </c>
      <c r="F106" s="79" t="s">
        <v>1215</v>
      </c>
      <c r="H106" s="73">
        <v>3326.47</v>
      </c>
      <c r="I106" s="73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73"/>
      <c r="AO106" s="73"/>
      <c r="AP106" s="73"/>
      <c r="AQ106" s="73"/>
      <c r="AR106" s="74">
        <f t="shared" si="6"/>
        <v>3326.47</v>
      </c>
      <c r="AS106" s="73">
        <v>2473.2600000000002</v>
      </c>
      <c r="AT106" s="73">
        <v>318.55</v>
      </c>
      <c r="AU106" s="73">
        <v>534.66</v>
      </c>
      <c r="AV106" s="73"/>
      <c r="AW106" s="73"/>
      <c r="AX106" s="73"/>
      <c r="AY106" s="73"/>
      <c r="AZ106" s="73"/>
      <c r="BA106" s="73"/>
      <c r="BB106" s="73"/>
      <c r="BC106" s="69"/>
      <c r="BD106" s="69"/>
      <c r="CC106" s="74">
        <f t="shared" si="7"/>
        <v>3326.4700000000003</v>
      </c>
      <c r="CD106" s="73">
        <f t="shared" si="8"/>
        <v>0</v>
      </c>
      <c r="CE106" s="75">
        <f t="shared" si="9"/>
        <v>8457</v>
      </c>
      <c r="CF106" s="3" t="str">
        <f t="shared" si="9"/>
        <v>برنامج دولى</v>
      </c>
    </row>
    <row r="107" spans="1:84" ht="18.75" x14ac:dyDescent="0.25">
      <c r="A107" s="69">
        <v>1</v>
      </c>
      <c r="B107" s="80">
        <v>45415</v>
      </c>
      <c r="C107" s="78">
        <v>6846</v>
      </c>
      <c r="D107" s="70">
        <v>8458</v>
      </c>
      <c r="E107" s="71" t="s">
        <v>220</v>
      </c>
      <c r="F107" s="79" t="s">
        <v>1216</v>
      </c>
      <c r="G107" s="63" t="s">
        <v>220</v>
      </c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>
        <v>86281.19</v>
      </c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4">
        <f t="shared" ref="AR107:AR170" si="10">SUM(H107:AQ107)</f>
        <v>86281.19</v>
      </c>
      <c r="AS107" s="73">
        <v>86281.19</v>
      </c>
      <c r="AT107" s="73"/>
      <c r="AU107" s="73"/>
      <c r="AV107" s="73"/>
      <c r="AW107" s="73"/>
      <c r="AX107" s="73"/>
      <c r="AY107" s="73"/>
      <c r="AZ107" s="73"/>
      <c r="BA107" s="73"/>
      <c r="BB107" s="73"/>
      <c r="BC107" s="69"/>
      <c r="BD107" s="69"/>
      <c r="CC107" s="74">
        <f t="shared" si="7"/>
        <v>86281.19</v>
      </c>
      <c r="CD107" s="73">
        <f t="shared" si="8"/>
        <v>0</v>
      </c>
      <c r="CE107" s="75">
        <f t="shared" si="9"/>
        <v>8458</v>
      </c>
      <c r="CF107" s="3" t="str">
        <f t="shared" si="9"/>
        <v>بيرول</v>
      </c>
    </row>
    <row r="108" spans="1:84" ht="18.75" x14ac:dyDescent="0.25">
      <c r="A108" s="69">
        <v>2</v>
      </c>
      <c r="B108" s="80">
        <v>45415</v>
      </c>
      <c r="C108" s="78">
        <v>6847</v>
      </c>
      <c r="D108" s="70">
        <v>8459</v>
      </c>
      <c r="E108" s="71" t="s">
        <v>220</v>
      </c>
      <c r="F108" s="79" t="s">
        <v>1217</v>
      </c>
      <c r="G108" s="63" t="s">
        <v>220</v>
      </c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/>
      <c r="S108" s="73"/>
      <c r="T108" s="73"/>
      <c r="U108" s="73">
        <v>17474.5</v>
      </c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4">
        <f t="shared" si="10"/>
        <v>17474.5</v>
      </c>
      <c r="AS108" s="73">
        <v>17474.5</v>
      </c>
      <c r="AT108" s="73"/>
      <c r="AU108" s="73"/>
      <c r="AV108" s="73"/>
      <c r="AW108" s="73"/>
      <c r="AX108" s="73"/>
      <c r="AY108" s="73"/>
      <c r="AZ108" s="73"/>
      <c r="BA108" s="73"/>
      <c r="BB108" s="73"/>
      <c r="BC108" s="69"/>
      <c r="BD108" s="69"/>
      <c r="CC108" s="74">
        <f t="shared" si="7"/>
        <v>17474.5</v>
      </c>
      <c r="CD108" s="73">
        <f t="shared" ref="CD108:CD171" si="11">+CC108-AR108</f>
        <v>0</v>
      </c>
      <c r="CE108" s="75">
        <f t="shared" ref="CE108:CF171" si="12">+D108</f>
        <v>8459</v>
      </c>
      <c r="CF108" s="3" t="str">
        <f t="shared" si="12"/>
        <v>بيرول</v>
      </c>
    </row>
    <row r="109" spans="1:84" ht="18.75" x14ac:dyDescent="0.25">
      <c r="A109" s="69">
        <v>3</v>
      </c>
      <c r="B109" s="80">
        <v>45415</v>
      </c>
      <c r="C109" s="78">
        <v>6842</v>
      </c>
      <c r="D109" s="70">
        <v>8460</v>
      </c>
      <c r="E109" s="71" t="s">
        <v>220</v>
      </c>
      <c r="F109" s="79" t="s">
        <v>1218</v>
      </c>
      <c r="G109" s="63" t="s">
        <v>220</v>
      </c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/>
      <c r="T109" s="73">
        <v>134.80000000000001</v>
      </c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4">
        <f t="shared" si="10"/>
        <v>134.80000000000001</v>
      </c>
      <c r="AS109" s="73">
        <v>134.80000000000001</v>
      </c>
      <c r="AT109" s="73"/>
      <c r="AU109" s="73"/>
      <c r="AV109" s="73"/>
      <c r="AW109" s="73"/>
      <c r="AX109" s="73"/>
      <c r="AY109" s="73"/>
      <c r="AZ109" s="73"/>
      <c r="BA109" s="73"/>
      <c r="BB109" s="73"/>
      <c r="BC109" s="69"/>
      <c r="BD109" s="69"/>
      <c r="CC109" s="74">
        <f t="shared" ref="CC109:CC172" si="13">SUM(AS109:CB109)</f>
        <v>134.80000000000001</v>
      </c>
      <c r="CD109" s="73">
        <f t="shared" si="11"/>
        <v>0</v>
      </c>
      <c r="CE109" s="75">
        <f t="shared" si="12"/>
        <v>8460</v>
      </c>
      <c r="CF109" s="3" t="str">
        <f t="shared" si="12"/>
        <v>بيرول</v>
      </c>
    </row>
    <row r="110" spans="1:84" ht="18.75" x14ac:dyDescent="0.25">
      <c r="A110" s="69">
        <v>4</v>
      </c>
      <c r="B110" s="80">
        <v>45415</v>
      </c>
      <c r="C110" s="78">
        <v>6832</v>
      </c>
      <c r="D110" s="70">
        <v>8461</v>
      </c>
      <c r="E110" s="71" t="s">
        <v>220</v>
      </c>
      <c r="F110" s="79" t="s">
        <v>1218</v>
      </c>
      <c r="G110" s="63" t="s">
        <v>220</v>
      </c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>
        <v>794528.1</v>
      </c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4">
        <f t="shared" si="10"/>
        <v>794528.1</v>
      </c>
      <c r="AS110" s="73">
        <v>794528.1</v>
      </c>
      <c r="AT110" s="73"/>
      <c r="AU110" s="73"/>
      <c r="AV110" s="73"/>
      <c r="AW110" s="73"/>
      <c r="AX110" s="73"/>
      <c r="AY110" s="73"/>
      <c r="AZ110" s="73"/>
      <c r="BA110" s="73"/>
      <c r="BB110" s="73"/>
      <c r="BC110" s="69"/>
      <c r="BD110" s="69"/>
      <c r="CC110" s="74">
        <f t="shared" si="13"/>
        <v>794528.1</v>
      </c>
      <c r="CD110" s="73">
        <f t="shared" si="11"/>
        <v>0</v>
      </c>
      <c r="CE110" s="75">
        <f t="shared" si="12"/>
        <v>8461</v>
      </c>
      <c r="CF110" s="3" t="str">
        <f t="shared" si="12"/>
        <v>بيرول</v>
      </c>
    </row>
    <row r="111" spans="1:84" ht="18.75" x14ac:dyDescent="0.25">
      <c r="A111" s="69">
        <v>5</v>
      </c>
      <c r="B111" s="80">
        <v>45415</v>
      </c>
      <c r="C111" s="78">
        <v>6838</v>
      </c>
      <c r="D111" s="70">
        <v>8462</v>
      </c>
      <c r="E111" s="71" t="s">
        <v>220</v>
      </c>
      <c r="F111" s="79" t="s">
        <v>1218</v>
      </c>
      <c r="G111" s="63" t="s">
        <v>220</v>
      </c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>
        <v>149</v>
      </c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4">
        <f t="shared" si="10"/>
        <v>149</v>
      </c>
      <c r="AS111" s="73">
        <v>149</v>
      </c>
      <c r="AT111" s="73"/>
      <c r="AU111" s="73"/>
      <c r="AV111" s="73"/>
      <c r="AW111" s="73"/>
      <c r="AX111" s="73"/>
      <c r="AY111" s="73"/>
      <c r="AZ111" s="73"/>
      <c r="BA111" s="73"/>
      <c r="BB111" s="73"/>
      <c r="BC111" s="69"/>
      <c r="BD111" s="69"/>
      <c r="CC111" s="74">
        <f t="shared" si="13"/>
        <v>149</v>
      </c>
      <c r="CD111" s="73">
        <f t="shared" si="11"/>
        <v>0</v>
      </c>
      <c r="CE111" s="75">
        <f t="shared" si="12"/>
        <v>8462</v>
      </c>
      <c r="CF111" s="3" t="str">
        <f t="shared" si="12"/>
        <v>بيرول</v>
      </c>
    </row>
    <row r="112" spans="1:84" ht="18.75" x14ac:dyDescent="0.25">
      <c r="A112" s="69">
        <v>6</v>
      </c>
      <c r="B112" s="80">
        <v>45415</v>
      </c>
      <c r="C112" s="78">
        <v>6839</v>
      </c>
      <c r="D112" s="70">
        <v>8463</v>
      </c>
      <c r="E112" s="71" t="s">
        <v>220</v>
      </c>
      <c r="F112" s="79" t="s">
        <v>1218</v>
      </c>
      <c r="G112" s="63" t="s">
        <v>220</v>
      </c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>
        <v>228</v>
      </c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4">
        <f t="shared" si="10"/>
        <v>228</v>
      </c>
      <c r="AS112" s="73">
        <v>228</v>
      </c>
      <c r="AT112" s="73"/>
      <c r="AU112" s="73"/>
      <c r="AV112" s="73"/>
      <c r="AW112" s="73"/>
      <c r="AX112" s="73"/>
      <c r="AY112" s="73"/>
      <c r="AZ112" s="73"/>
      <c r="BA112" s="73"/>
      <c r="BB112" s="73"/>
      <c r="BC112" s="69"/>
      <c r="BD112" s="69"/>
      <c r="CC112" s="74">
        <f t="shared" si="13"/>
        <v>228</v>
      </c>
      <c r="CD112" s="73">
        <f t="shared" si="11"/>
        <v>0</v>
      </c>
      <c r="CE112" s="75">
        <f t="shared" si="12"/>
        <v>8463</v>
      </c>
      <c r="CF112" s="3" t="str">
        <f t="shared" si="12"/>
        <v>بيرول</v>
      </c>
    </row>
    <row r="113" spans="1:84" ht="18.75" x14ac:dyDescent="0.25">
      <c r="A113" s="69">
        <v>7</v>
      </c>
      <c r="B113" s="80">
        <v>45415</v>
      </c>
      <c r="C113" s="78">
        <v>6834</v>
      </c>
      <c r="D113" s="70">
        <v>8464</v>
      </c>
      <c r="E113" s="71" t="s">
        <v>220</v>
      </c>
      <c r="F113" s="79" t="s">
        <v>1218</v>
      </c>
      <c r="G113" s="63" t="s">
        <v>220</v>
      </c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>
        <v>58.5</v>
      </c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4">
        <f t="shared" si="10"/>
        <v>58.5</v>
      </c>
      <c r="AS113" s="73">
        <v>58.5</v>
      </c>
      <c r="AT113" s="73"/>
      <c r="AU113" s="73"/>
      <c r="AV113" s="73"/>
      <c r="AW113" s="73"/>
      <c r="AX113" s="73"/>
      <c r="AY113" s="73"/>
      <c r="AZ113" s="73"/>
      <c r="BA113" s="73"/>
      <c r="BB113" s="73"/>
      <c r="BC113" s="69"/>
      <c r="BD113" s="69"/>
      <c r="CC113" s="74">
        <f t="shared" si="13"/>
        <v>58.5</v>
      </c>
      <c r="CD113" s="73">
        <f t="shared" si="11"/>
        <v>0</v>
      </c>
      <c r="CE113" s="75">
        <f t="shared" si="12"/>
        <v>8464</v>
      </c>
      <c r="CF113" s="3" t="str">
        <f t="shared" si="12"/>
        <v>بيرول</v>
      </c>
    </row>
    <row r="114" spans="1:84" ht="18.75" x14ac:dyDescent="0.25">
      <c r="A114" s="69">
        <v>8</v>
      </c>
      <c r="B114" s="80">
        <v>45415</v>
      </c>
      <c r="C114" s="78">
        <v>6837</v>
      </c>
      <c r="D114" s="70">
        <v>8465</v>
      </c>
      <c r="E114" s="71" t="s">
        <v>220</v>
      </c>
      <c r="F114" s="79" t="s">
        <v>1218</v>
      </c>
      <c r="G114" s="63" t="s">
        <v>220</v>
      </c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>
        <v>97.3</v>
      </c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4">
        <f t="shared" si="10"/>
        <v>97.3</v>
      </c>
      <c r="AS114" s="73">
        <v>97.3</v>
      </c>
      <c r="AT114" s="73"/>
      <c r="AU114" s="73"/>
      <c r="AV114" s="73"/>
      <c r="AW114" s="73"/>
      <c r="AX114" s="73"/>
      <c r="AY114" s="73"/>
      <c r="AZ114" s="73"/>
      <c r="BA114" s="73"/>
      <c r="BB114" s="73"/>
      <c r="BC114" s="69"/>
      <c r="BD114" s="69"/>
      <c r="CC114" s="74">
        <f t="shared" si="13"/>
        <v>97.3</v>
      </c>
      <c r="CD114" s="73">
        <f t="shared" si="11"/>
        <v>0</v>
      </c>
      <c r="CE114" s="75">
        <f t="shared" si="12"/>
        <v>8465</v>
      </c>
      <c r="CF114" s="3" t="str">
        <f t="shared" si="12"/>
        <v>بيرول</v>
      </c>
    </row>
    <row r="115" spans="1:84" ht="18.75" x14ac:dyDescent="0.25">
      <c r="A115" s="69">
        <v>9</v>
      </c>
      <c r="B115" s="80">
        <v>45415</v>
      </c>
      <c r="C115" s="78">
        <v>6831</v>
      </c>
      <c r="D115" s="70">
        <v>8466</v>
      </c>
      <c r="E115" s="71" t="s">
        <v>220</v>
      </c>
      <c r="F115" s="79" t="s">
        <v>1218</v>
      </c>
      <c r="G115" s="63" t="s">
        <v>220</v>
      </c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>
        <v>207</v>
      </c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4">
        <f t="shared" si="10"/>
        <v>207</v>
      </c>
      <c r="AS115" s="73">
        <v>207</v>
      </c>
      <c r="AT115" s="73"/>
      <c r="AU115" s="73"/>
      <c r="AV115" s="73"/>
      <c r="AW115" s="73"/>
      <c r="AX115" s="73"/>
      <c r="AY115" s="73"/>
      <c r="AZ115" s="73"/>
      <c r="BA115" s="73"/>
      <c r="BB115" s="73"/>
      <c r="BC115" s="69"/>
      <c r="BD115" s="69"/>
      <c r="CC115" s="74">
        <f t="shared" si="13"/>
        <v>207</v>
      </c>
      <c r="CD115" s="73">
        <f t="shared" si="11"/>
        <v>0</v>
      </c>
      <c r="CE115" s="75">
        <f t="shared" si="12"/>
        <v>8466</v>
      </c>
      <c r="CF115" s="3" t="str">
        <f t="shared" si="12"/>
        <v>بيرول</v>
      </c>
    </row>
    <row r="116" spans="1:84" ht="18.75" x14ac:dyDescent="0.25">
      <c r="A116" s="69">
        <v>10</v>
      </c>
      <c r="B116" s="80">
        <v>45415</v>
      </c>
      <c r="C116" s="78">
        <v>6833</v>
      </c>
      <c r="D116" s="70">
        <v>8467</v>
      </c>
      <c r="E116" s="71" t="s">
        <v>220</v>
      </c>
      <c r="F116" s="79" t="s">
        <v>1218</v>
      </c>
      <c r="G116" s="63" t="s">
        <v>220</v>
      </c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>
        <v>216.3</v>
      </c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4">
        <f t="shared" si="10"/>
        <v>216.3</v>
      </c>
      <c r="AS116" s="73">
        <v>216.3</v>
      </c>
      <c r="AT116" s="73"/>
      <c r="AU116" s="73"/>
      <c r="AV116" s="73"/>
      <c r="AW116" s="73"/>
      <c r="AX116" s="73"/>
      <c r="AY116" s="73"/>
      <c r="AZ116" s="73"/>
      <c r="BA116" s="73"/>
      <c r="BB116" s="73"/>
      <c r="BC116" s="69"/>
      <c r="BD116" s="69"/>
      <c r="CC116" s="74">
        <f t="shared" si="13"/>
        <v>216.3</v>
      </c>
      <c r="CD116" s="73">
        <f t="shared" si="11"/>
        <v>0</v>
      </c>
      <c r="CE116" s="75">
        <f t="shared" si="12"/>
        <v>8467</v>
      </c>
      <c r="CF116" s="3" t="str">
        <f t="shared" si="12"/>
        <v>بيرول</v>
      </c>
    </row>
    <row r="117" spans="1:84" ht="18.75" x14ac:dyDescent="0.25">
      <c r="A117" s="69">
        <v>11</v>
      </c>
      <c r="B117" s="80">
        <v>45415</v>
      </c>
      <c r="C117" s="78">
        <v>6841</v>
      </c>
      <c r="D117" s="70">
        <v>8468</v>
      </c>
      <c r="E117" s="71" t="s">
        <v>220</v>
      </c>
      <c r="F117" s="79" t="s">
        <v>1218</v>
      </c>
      <c r="G117" s="63" t="s">
        <v>220</v>
      </c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>
        <v>107.1</v>
      </c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4">
        <f t="shared" si="10"/>
        <v>107.1</v>
      </c>
      <c r="AS117" s="73">
        <v>107.1</v>
      </c>
      <c r="AT117" s="73"/>
      <c r="AU117" s="73"/>
      <c r="AV117" s="73"/>
      <c r="AW117" s="73"/>
      <c r="AX117" s="73"/>
      <c r="AY117" s="73"/>
      <c r="AZ117" s="73"/>
      <c r="BA117" s="73"/>
      <c r="BB117" s="73"/>
      <c r="BC117" s="69"/>
      <c r="BD117" s="69"/>
      <c r="CC117" s="74">
        <f t="shared" si="13"/>
        <v>107.1</v>
      </c>
      <c r="CD117" s="73">
        <f t="shared" si="11"/>
        <v>0</v>
      </c>
      <c r="CE117" s="75">
        <f t="shared" si="12"/>
        <v>8468</v>
      </c>
      <c r="CF117" s="3" t="str">
        <f t="shared" si="12"/>
        <v>بيرول</v>
      </c>
    </row>
    <row r="118" spans="1:84" ht="18.75" x14ac:dyDescent="0.25">
      <c r="A118" s="69">
        <v>12</v>
      </c>
      <c r="B118" s="80">
        <v>45415</v>
      </c>
      <c r="C118" s="78">
        <v>6844</v>
      </c>
      <c r="D118" s="70">
        <v>8469</v>
      </c>
      <c r="E118" s="71" t="s">
        <v>220</v>
      </c>
      <c r="F118" s="79" t="s">
        <v>1218</v>
      </c>
      <c r="G118" s="63" t="s">
        <v>220</v>
      </c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>
        <v>104.6</v>
      </c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4">
        <f t="shared" si="10"/>
        <v>104.6</v>
      </c>
      <c r="AS118" s="73">
        <v>104.6</v>
      </c>
      <c r="AT118" s="73"/>
      <c r="AU118" s="73"/>
      <c r="AV118" s="73"/>
      <c r="AW118" s="73"/>
      <c r="AX118" s="73"/>
      <c r="AY118" s="73"/>
      <c r="AZ118" s="73"/>
      <c r="BA118" s="73"/>
      <c r="BB118" s="73"/>
      <c r="BC118" s="69"/>
      <c r="BD118" s="69"/>
      <c r="CC118" s="74">
        <f t="shared" si="13"/>
        <v>104.6</v>
      </c>
      <c r="CD118" s="73">
        <f t="shared" si="11"/>
        <v>0</v>
      </c>
      <c r="CE118" s="75">
        <f t="shared" si="12"/>
        <v>8469</v>
      </c>
      <c r="CF118" s="3" t="str">
        <f t="shared" si="12"/>
        <v>بيرول</v>
      </c>
    </row>
    <row r="119" spans="1:84" ht="18.75" x14ac:dyDescent="0.25">
      <c r="A119" s="69">
        <v>13</v>
      </c>
      <c r="B119" s="80">
        <v>45415</v>
      </c>
      <c r="C119" s="78">
        <v>6843</v>
      </c>
      <c r="D119" s="70">
        <v>8470</v>
      </c>
      <c r="E119" s="71" t="s">
        <v>220</v>
      </c>
      <c r="F119" s="79" t="s">
        <v>1218</v>
      </c>
      <c r="G119" s="63" t="s">
        <v>220</v>
      </c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>
        <v>80.099999999999994</v>
      </c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4">
        <f t="shared" si="10"/>
        <v>80.099999999999994</v>
      </c>
      <c r="AS119" s="73">
        <v>80.099999999999994</v>
      </c>
      <c r="AT119" s="73"/>
      <c r="AU119" s="73"/>
      <c r="AV119" s="73"/>
      <c r="AW119" s="73"/>
      <c r="AX119" s="73"/>
      <c r="AY119" s="73"/>
      <c r="AZ119" s="73"/>
      <c r="BA119" s="73"/>
      <c r="BB119" s="73"/>
      <c r="BC119" s="69"/>
      <c r="BD119" s="69"/>
      <c r="CC119" s="74">
        <f t="shared" si="13"/>
        <v>80.099999999999994</v>
      </c>
      <c r="CD119" s="73">
        <f t="shared" si="11"/>
        <v>0</v>
      </c>
      <c r="CE119" s="75">
        <f t="shared" si="12"/>
        <v>8470</v>
      </c>
      <c r="CF119" s="3" t="str">
        <f t="shared" si="12"/>
        <v>بيرول</v>
      </c>
    </row>
    <row r="120" spans="1:84" ht="18.75" x14ac:dyDescent="0.25">
      <c r="A120" s="69">
        <v>14</v>
      </c>
      <c r="B120" s="80">
        <v>45415</v>
      </c>
      <c r="C120" s="78">
        <v>6840</v>
      </c>
      <c r="D120" s="70">
        <v>8471</v>
      </c>
      <c r="E120" s="71" t="s">
        <v>220</v>
      </c>
      <c r="F120" s="79" t="s">
        <v>1218</v>
      </c>
      <c r="G120" s="63" t="s">
        <v>220</v>
      </c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>
        <v>86</v>
      </c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4">
        <f t="shared" si="10"/>
        <v>86</v>
      </c>
      <c r="AS120" s="73">
        <v>86</v>
      </c>
      <c r="AT120" s="73"/>
      <c r="AU120" s="73"/>
      <c r="AV120" s="73"/>
      <c r="AW120" s="73"/>
      <c r="AX120" s="73"/>
      <c r="AY120" s="73"/>
      <c r="AZ120" s="73"/>
      <c r="BA120" s="73"/>
      <c r="BB120" s="73"/>
      <c r="BC120" s="69"/>
      <c r="BD120" s="69"/>
      <c r="CC120" s="74">
        <f t="shared" si="13"/>
        <v>86</v>
      </c>
      <c r="CD120" s="73">
        <f t="shared" si="11"/>
        <v>0</v>
      </c>
      <c r="CE120" s="75">
        <f t="shared" si="12"/>
        <v>8471</v>
      </c>
      <c r="CF120" s="3" t="str">
        <f t="shared" si="12"/>
        <v>بيرول</v>
      </c>
    </row>
    <row r="121" spans="1:84" ht="18.75" x14ac:dyDescent="0.25">
      <c r="A121" s="69">
        <v>15</v>
      </c>
      <c r="B121" s="80">
        <v>45415</v>
      </c>
      <c r="C121" s="78">
        <v>6835</v>
      </c>
      <c r="D121" s="70">
        <v>8472</v>
      </c>
      <c r="E121" s="71" t="s">
        <v>220</v>
      </c>
      <c r="F121" s="79" t="s">
        <v>1218</v>
      </c>
      <c r="G121" s="63" t="s">
        <v>220</v>
      </c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>
        <v>63.2</v>
      </c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4">
        <f t="shared" si="10"/>
        <v>63.2</v>
      </c>
      <c r="AS121" s="73">
        <v>63.2</v>
      </c>
      <c r="AT121" s="73"/>
      <c r="AU121" s="73"/>
      <c r="AV121" s="73"/>
      <c r="AW121" s="73"/>
      <c r="AX121" s="73"/>
      <c r="AY121" s="73"/>
      <c r="AZ121" s="73"/>
      <c r="BA121" s="73"/>
      <c r="BB121" s="73"/>
      <c r="BC121" s="69"/>
      <c r="BD121" s="69"/>
      <c r="CC121" s="74">
        <f t="shared" si="13"/>
        <v>63.2</v>
      </c>
      <c r="CD121" s="73">
        <f t="shared" si="11"/>
        <v>0</v>
      </c>
      <c r="CE121" s="75">
        <f t="shared" si="12"/>
        <v>8472</v>
      </c>
      <c r="CF121" s="3" t="str">
        <f t="shared" si="12"/>
        <v>بيرول</v>
      </c>
    </row>
    <row r="122" spans="1:84" x14ac:dyDescent="0.25">
      <c r="C122" s="78">
        <v>14477</v>
      </c>
      <c r="D122" s="70">
        <v>8473</v>
      </c>
      <c r="E122" s="69" t="s">
        <v>121</v>
      </c>
      <c r="F122" s="79" t="s">
        <v>1219</v>
      </c>
      <c r="H122" s="73">
        <v>13996.17</v>
      </c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4">
        <f t="shared" si="10"/>
        <v>13996.17</v>
      </c>
      <c r="AS122" s="73">
        <v>9448.1299999999992</v>
      </c>
      <c r="AT122" s="73">
        <v>1278.95</v>
      </c>
      <c r="AU122" s="73">
        <v>3269.09</v>
      </c>
      <c r="AV122" s="73"/>
      <c r="AW122" s="73"/>
      <c r="AX122" s="73"/>
      <c r="AY122" s="73"/>
      <c r="AZ122" s="73"/>
      <c r="BA122" s="73"/>
      <c r="BB122" s="73"/>
      <c r="BC122" s="69"/>
      <c r="BD122" s="69"/>
      <c r="CC122" s="74">
        <f t="shared" si="13"/>
        <v>13996.17</v>
      </c>
      <c r="CD122" s="73">
        <f t="shared" si="11"/>
        <v>0</v>
      </c>
      <c r="CE122" s="75">
        <f t="shared" si="12"/>
        <v>8473</v>
      </c>
      <c r="CF122" s="3" t="str">
        <f t="shared" si="12"/>
        <v>ماليزى اسنان</v>
      </c>
    </row>
    <row r="123" spans="1:84" x14ac:dyDescent="0.25">
      <c r="C123" s="78">
        <v>14475</v>
      </c>
      <c r="D123" s="70">
        <v>8474</v>
      </c>
      <c r="E123" s="69" t="s">
        <v>121</v>
      </c>
      <c r="F123" s="79" t="s">
        <v>1219</v>
      </c>
      <c r="H123" s="73">
        <v>6000</v>
      </c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4">
        <f t="shared" si="10"/>
        <v>6000</v>
      </c>
      <c r="AS123" s="73">
        <v>5355.7</v>
      </c>
      <c r="AT123" s="73">
        <v>644.29999999999995</v>
      </c>
      <c r="AU123" s="73"/>
      <c r="AV123" s="73"/>
      <c r="AW123" s="73"/>
      <c r="AX123" s="73"/>
      <c r="AY123" s="73"/>
      <c r="AZ123" s="73"/>
      <c r="BA123" s="73"/>
      <c r="BB123" s="73"/>
      <c r="BC123" s="69"/>
      <c r="BD123" s="69"/>
      <c r="CC123" s="74">
        <f t="shared" si="13"/>
        <v>6000</v>
      </c>
      <c r="CD123" s="73">
        <f t="shared" si="11"/>
        <v>0</v>
      </c>
      <c r="CE123" s="75">
        <f t="shared" si="12"/>
        <v>8474</v>
      </c>
      <c r="CF123" s="3" t="str">
        <f t="shared" si="12"/>
        <v>ماليزى اسنان</v>
      </c>
    </row>
    <row r="124" spans="1:84" x14ac:dyDescent="0.25">
      <c r="C124" s="78">
        <v>14473</v>
      </c>
      <c r="D124" s="70">
        <v>8475</v>
      </c>
      <c r="E124" s="69" t="s">
        <v>121</v>
      </c>
      <c r="F124" s="79" t="s">
        <v>1220</v>
      </c>
      <c r="H124" s="73">
        <v>31200.240000000002</v>
      </c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4">
        <f t="shared" si="10"/>
        <v>31200.240000000002</v>
      </c>
      <c r="AS124" s="73">
        <v>20848.599999999999</v>
      </c>
      <c r="AT124" s="73">
        <v>2834.3</v>
      </c>
      <c r="AU124" s="73">
        <v>7517.34</v>
      </c>
      <c r="AV124" s="73"/>
      <c r="AW124" s="73"/>
      <c r="AX124" s="73"/>
      <c r="AY124" s="73"/>
      <c r="AZ124" s="73"/>
      <c r="BA124" s="73"/>
      <c r="BB124" s="73"/>
      <c r="BC124" s="69"/>
      <c r="BD124" s="69"/>
      <c r="CC124" s="74">
        <f t="shared" si="13"/>
        <v>31200.239999999998</v>
      </c>
      <c r="CD124" s="73">
        <f t="shared" si="11"/>
        <v>0</v>
      </c>
      <c r="CE124" s="75">
        <f t="shared" si="12"/>
        <v>8475</v>
      </c>
      <c r="CF124" s="3" t="str">
        <f t="shared" si="12"/>
        <v>ماليزى اسنان</v>
      </c>
    </row>
    <row r="125" spans="1:84" x14ac:dyDescent="0.25">
      <c r="C125" s="78">
        <v>14474</v>
      </c>
      <c r="D125" s="70">
        <v>8476</v>
      </c>
      <c r="E125" s="69" t="s">
        <v>121</v>
      </c>
      <c r="F125" s="79" t="s">
        <v>1221</v>
      </c>
      <c r="H125" s="69">
        <v>27272.36</v>
      </c>
      <c r="U125" s="69"/>
      <c r="V125" s="69"/>
      <c r="AR125" s="74">
        <f t="shared" si="10"/>
        <v>27272.36</v>
      </c>
      <c r="AS125" s="69">
        <v>18224.150000000001</v>
      </c>
      <c r="AT125" s="69">
        <v>2477.25</v>
      </c>
      <c r="AU125" s="69">
        <v>6570.96</v>
      </c>
      <c r="BC125" s="69"/>
      <c r="BD125" s="69"/>
      <c r="CC125" s="74">
        <f t="shared" si="13"/>
        <v>27272.36</v>
      </c>
      <c r="CD125" s="73">
        <f t="shared" si="11"/>
        <v>0</v>
      </c>
      <c r="CE125" s="75">
        <f t="shared" si="12"/>
        <v>8476</v>
      </c>
      <c r="CF125" s="3" t="str">
        <f t="shared" si="12"/>
        <v>ماليزى اسنان</v>
      </c>
    </row>
    <row r="126" spans="1:84" x14ac:dyDescent="0.25">
      <c r="C126" s="78">
        <v>14467</v>
      </c>
      <c r="D126" s="70">
        <v>8477</v>
      </c>
      <c r="E126" s="69" t="s">
        <v>121</v>
      </c>
      <c r="F126" s="79" t="s">
        <v>1222</v>
      </c>
      <c r="H126" s="69">
        <v>29854.25</v>
      </c>
      <c r="U126" s="69"/>
      <c r="V126" s="69"/>
      <c r="AR126" s="74">
        <f t="shared" si="10"/>
        <v>29854.25</v>
      </c>
      <c r="AS126" s="69">
        <v>20464.78</v>
      </c>
      <c r="AT126" s="69">
        <v>2749.9</v>
      </c>
      <c r="AU126" s="69">
        <v>6639.57</v>
      </c>
      <c r="BC126" s="69"/>
      <c r="BD126" s="69"/>
      <c r="CC126" s="74">
        <f t="shared" si="13"/>
        <v>29854.25</v>
      </c>
      <c r="CD126" s="73">
        <f t="shared" si="11"/>
        <v>0</v>
      </c>
      <c r="CE126" s="75">
        <f t="shared" si="12"/>
        <v>8477</v>
      </c>
      <c r="CF126" s="3" t="str">
        <f t="shared" si="12"/>
        <v>ماليزى اسنان</v>
      </c>
    </row>
    <row r="127" spans="1:84" x14ac:dyDescent="0.25">
      <c r="C127" s="78">
        <v>14468</v>
      </c>
      <c r="D127" s="70">
        <v>8478</v>
      </c>
      <c r="E127" s="69" t="s">
        <v>121</v>
      </c>
      <c r="F127" s="79" t="s">
        <v>1223</v>
      </c>
      <c r="H127" s="69">
        <v>7150</v>
      </c>
      <c r="U127" s="69"/>
      <c r="V127" s="69"/>
      <c r="AR127" s="74">
        <f t="shared" si="10"/>
        <v>7150</v>
      </c>
      <c r="AS127" s="69">
        <v>6382.1</v>
      </c>
      <c r="AT127" s="69">
        <v>767.9</v>
      </c>
      <c r="BC127" s="69"/>
      <c r="BD127" s="69"/>
      <c r="CC127" s="74">
        <f t="shared" si="13"/>
        <v>7150</v>
      </c>
      <c r="CD127" s="73">
        <f t="shared" si="11"/>
        <v>0</v>
      </c>
      <c r="CE127" s="75">
        <f t="shared" si="12"/>
        <v>8478</v>
      </c>
      <c r="CF127" s="3" t="str">
        <f t="shared" si="12"/>
        <v>ماليزى اسنان</v>
      </c>
    </row>
    <row r="128" spans="1:84" x14ac:dyDescent="0.25">
      <c r="C128" s="78">
        <v>14469</v>
      </c>
      <c r="D128" s="70">
        <v>8479</v>
      </c>
      <c r="E128" s="69" t="s">
        <v>121</v>
      </c>
      <c r="F128" s="79" t="s">
        <v>1223</v>
      </c>
      <c r="H128" s="69">
        <v>3840.17</v>
      </c>
      <c r="U128" s="69"/>
      <c r="V128" s="69"/>
      <c r="AR128" s="74">
        <f t="shared" si="10"/>
        <v>3840.17</v>
      </c>
      <c r="AS128" s="69">
        <v>2908.83</v>
      </c>
      <c r="AT128" s="69">
        <v>374.25</v>
      </c>
      <c r="AU128" s="69">
        <v>557.09</v>
      </c>
      <c r="BC128" s="69"/>
      <c r="BD128" s="69"/>
      <c r="CC128" s="74">
        <f t="shared" si="13"/>
        <v>3840.17</v>
      </c>
      <c r="CD128" s="73">
        <f t="shared" si="11"/>
        <v>0</v>
      </c>
      <c r="CE128" s="75">
        <f t="shared" si="12"/>
        <v>8479</v>
      </c>
      <c r="CF128" s="3" t="str">
        <f t="shared" si="12"/>
        <v>ماليزى اسنان</v>
      </c>
    </row>
    <row r="129" spans="2:84" x14ac:dyDescent="0.25">
      <c r="C129" s="78">
        <v>14470</v>
      </c>
      <c r="D129" s="70">
        <v>8480</v>
      </c>
      <c r="E129" s="69" t="s">
        <v>121</v>
      </c>
      <c r="F129" s="79" t="s">
        <v>1223</v>
      </c>
      <c r="H129" s="69">
        <v>15130.6</v>
      </c>
      <c r="U129" s="69"/>
      <c r="V129" s="69"/>
      <c r="AR129" s="74">
        <f t="shared" si="10"/>
        <v>15130.6</v>
      </c>
      <c r="AS129" s="69">
        <v>12314.71</v>
      </c>
      <c r="AT129" s="69">
        <v>1537.5</v>
      </c>
      <c r="AU129" s="69">
        <v>1278.3900000000001</v>
      </c>
      <c r="BC129" s="69"/>
      <c r="BD129" s="69"/>
      <c r="CC129" s="74">
        <f t="shared" si="13"/>
        <v>15130.599999999999</v>
      </c>
      <c r="CD129" s="73">
        <f t="shared" si="11"/>
        <v>0</v>
      </c>
      <c r="CE129" s="75">
        <f t="shared" si="12"/>
        <v>8480</v>
      </c>
      <c r="CF129" s="3" t="str">
        <f t="shared" si="12"/>
        <v>ماليزى اسنان</v>
      </c>
    </row>
    <row r="130" spans="2:84" x14ac:dyDescent="0.25">
      <c r="C130" s="78">
        <v>14466</v>
      </c>
      <c r="D130" s="70">
        <v>8481</v>
      </c>
      <c r="E130" s="69" t="s">
        <v>121</v>
      </c>
      <c r="F130" s="79" t="s">
        <v>1224</v>
      </c>
      <c r="H130" s="69">
        <v>32298.32</v>
      </c>
      <c r="U130" s="69"/>
      <c r="V130" s="69"/>
      <c r="AR130" s="74">
        <f t="shared" si="10"/>
        <v>32298.32</v>
      </c>
      <c r="AS130" s="69">
        <v>22442.04</v>
      </c>
      <c r="AT130" s="69">
        <v>2997.15</v>
      </c>
      <c r="AU130" s="69">
        <v>6859.13</v>
      </c>
      <c r="BC130" s="69"/>
      <c r="BD130" s="69"/>
      <c r="CC130" s="74">
        <f t="shared" si="13"/>
        <v>32298.320000000003</v>
      </c>
      <c r="CD130" s="73">
        <f t="shared" si="11"/>
        <v>0</v>
      </c>
      <c r="CE130" s="75">
        <f t="shared" si="12"/>
        <v>8481</v>
      </c>
      <c r="CF130" s="3" t="str">
        <f t="shared" si="12"/>
        <v>ماليزى اسنان</v>
      </c>
    </row>
    <row r="131" spans="2:84" x14ac:dyDescent="0.25">
      <c r="C131" s="78">
        <v>14465</v>
      </c>
      <c r="D131" s="70">
        <v>8482</v>
      </c>
      <c r="E131" s="69" t="s">
        <v>121</v>
      </c>
      <c r="F131" s="79" t="s">
        <v>1225</v>
      </c>
      <c r="H131" s="69">
        <v>1000</v>
      </c>
      <c r="U131" s="69"/>
      <c r="V131" s="69"/>
      <c r="AR131" s="74">
        <f t="shared" si="10"/>
        <v>1000</v>
      </c>
      <c r="AS131" s="69">
        <v>894.1</v>
      </c>
      <c r="AT131" s="69">
        <v>105.9</v>
      </c>
      <c r="BC131" s="69"/>
      <c r="BD131" s="69"/>
      <c r="CC131" s="74">
        <f t="shared" si="13"/>
        <v>1000</v>
      </c>
      <c r="CD131" s="73">
        <f t="shared" si="11"/>
        <v>0</v>
      </c>
      <c r="CE131" s="75">
        <f t="shared" si="12"/>
        <v>8482</v>
      </c>
      <c r="CF131" s="3" t="str">
        <f t="shared" si="12"/>
        <v>ماليزى اسنان</v>
      </c>
    </row>
    <row r="132" spans="2:84" x14ac:dyDescent="0.25">
      <c r="C132" s="78">
        <v>14464</v>
      </c>
      <c r="D132" s="70">
        <v>8483</v>
      </c>
      <c r="E132" s="69" t="s">
        <v>121</v>
      </c>
      <c r="F132" s="79" t="s">
        <v>1225</v>
      </c>
      <c r="H132" s="69">
        <v>3000</v>
      </c>
      <c r="U132" s="69"/>
      <c r="V132" s="69"/>
      <c r="AR132" s="74">
        <f t="shared" si="10"/>
        <v>3000</v>
      </c>
      <c r="AS132" s="69">
        <v>2682.3</v>
      </c>
      <c r="AT132" s="69">
        <v>317.7</v>
      </c>
      <c r="BC132" s="69"/>
      <c r="BD132" s="69"/>
      <c r="CC132" s="74">
        <f t="shared" si="13"/>
        <v>3000</v>
      </c>
      <c r="CD132" s="73">
        <f t="shared" si="11"/>
        <v>0</v>
      </c>
      <c r="CE132" s="75">
        <f t="shared" si="12"/>
        <v>8483</v>
      </c>
      <c r="CF132" s="3" t="str">
        <f t="shared" si="12"/>
        <v>ماليزى اسنان</v>
      </c>
    </row>
    <row r="133" spans="2:84" x14ac:dyDescent="0.25">
      <c r="B133" s="69">
        <v>1</v>
      </c>
      <c r="C133" s="78">
        <v>14472</v>
      </c>
      <c r="D133" s="81">
        <v>8484</v>
      </c>
      <c r="E133" s="69" t="s">
        <v>121</v>
      </c>
      <c r="F133" s="79" t="s">
        <v>1226</v>
      </c>
      <c r="H133" s="69">
        <v>69000</v>
      </c>
      <c r="U133" s="69"/>
      <c r="V133" s="69"/>
      <c r="AR133" s="74">
        <f t="shared" si="10"/>
        <v>69000</v>
      </c>
      <c r="AS133" s="69">
        <v>61645</v>
      </c>
      <c r="AT133" s="69">
        <v>7355</v>
      </c>
      <c r="BC133" s="69"/>
      <c r="BD133" s="69"/>
      <c r="CC133" s="74">
        <f t="shared" si="13"/>
        <v>69000</v>
      </c>
      <c r="CD133" s="73">
        <f t="shared" si="11"/>
        <v>0</v>
      </c>
      <c r="CE133" s="75">
        <f t="shared" si="12"/>
        <v>8484</v>
      </c>
      <c r="CF133" s="3" t="str">
        <f t="shared" si="12"/>
        <v>ماليزى اسنان</v>
      </c>
    </row>
    <row r="134" spans="2:84" x14ac:dyDescent="0.25">
      <c r="B134" s="69">
        <v>2</v>
      </c>
      <c r="C134" s="78">
        <v>14471</v>
      </c>
      <c r="D134" s="81">
        <v>8485</v>
      </c>
      <c r="E134" s="69" t="s">
        <v>121</v>
      </c>
      <c r="F134" s="79" t="s">
        <v>1226</v>
      </c>
      <c r="H134" s="69">
        <v>10000</v>
      </c>
      <c r="U134" s="69"/>
      <c r="V134" s="69"/>
      <c r="AR134" s="74">
        <f t="shared" si="10"/>
        <v>10000</v>
      </c>
      <c r="AS134" s="69">
        <v>8920.4</v>
      </c>
      <c r="AT134" s="69">
        <v>1079.5999999999999</v>
      </c>
      <c r="BC134" s="69"/>
      <c r="BD134" s="69"/>
      <c r="CC134" s="74">
        <f t="shared" si="13"/>
        <v>10000</v>
      </c>
      <c r="CD134" s="73">
        <f t="shared" si="11"/>
        <v>0</v>
      </c>
      <c r="CE134" s="75">
        <f t="shared" si="12"/>
        <v>8485</v>
      </c>
      <c r="CF134" s="3" t="str">
        <f t="shared" si="12"/>
        <v>ماليزى اسنان</v>
      </c>
    </row>
    <row r="135" spans="2:84" x14ac:dyDescent="0.25">
      <c r="B135" s="69">
        <v>3</v>
      </c>
      <c r="C135" s="78">
        <v>14476</v>
      </c>
      <c r="D135" s="81">
        <v>8486</v>
      </c>
      <c r="E135" s="69" t="s">
        <v>121</v>
      </c>
      <c r="F135" s="79" t="s">
        <v>1219</v>
      </c>
      <c r="H135" s="69">
        <v>3517.5</v>
      </c>
      <c r="U135" s="69"/>
      <c r="V135" s="69"/>
      <c r="AR135" s="74">
        <f t="shared" si="10"/>
        <v>3517.5</v>
      </c>
      <c r="AS135" s="69">
        <v>2350.35</v>
      </c>
      <c r="AT135" s="69">
        <v>319.64999999999998</v>
      </c>
      <c r="AU135" s="69">
        <v>847.5</v>
      </c>
      <c r="BC135" s="69"/>
      <c r="BD135" s="69"/>
      <c r="CC135" s="74">
        <f t="shared" si="13"/>
        <v>3517.5</v>
      </c>
      <c r="CD135" s="73">
        <f t="shared" si="11"/>
        <v>0</v>
      </c>
      <c r="CE135" s="75">
        <f t="shared" si="12"/>
        <v>8486</v>
      </c>
      <c r="CF135" s="3" t="str">
        <f t="shared" si="12"/>
        <v>ماليزى اسنان</v>
      </c>
    </row>
    <row r="136" spans="2:84" x14ac:dyDescent="0.25">
      <c r="B136" s="69">
        <v>4</v>
      </c>
      <c r="C136" s="78">
        <v>14478</v>
      </c>
      <c r="D136" s="81">
        <v>8487</v>
      </c>
      <c r="E136" s="69" t="s">
        <v>121</v>
      </c>
      <c r="F136" s="79" t="s">
        <v>1219</v>
      </c>
      <c r="H136" s="69">
        <v>7035</v>
      </c>
      <c r="U136" s="69"/>
      <c r="V136" s="69"/>
      <c r="AR136" s="74">
        <f t="shared" si="10"/>
        <v>7035</v>
      </c>
      <c r="AS136" s="69">
        <v>4700.7</v>
      </c>
      <c r="AT136" s="69">
        <v>639.29999999999995</v>
      </c>
      <c r="AU136" s="69">
        <v>1695</v>
      </c>
      <c r="BC136" s="69"/>
      <c r="BD136" s="69"/>
      <c r="CC136" s="74">
        <f t="shared" si="13"/>
        <v>7035</v>
      </c>
      <c r="CD136" s="73">
        <f t="shared" si="11"/>
        <v>0</v>
      </c>
      <c r="CE136" s="75">
        <f t="shared" si="12"/>
        <v>8487</v>
      </c>
      <c r="CF136" s="3" t="str">
        <f t="shared" si="12"/>
        <v>ماليزى اسنان</v>
      </c>
    </row>
    <row r="137" spans="2:84" x14ac:dyDescent="0.25">
      <c r="B137" s="69">
        <v>5</v>
      </c>
      <c r="C137" s="78">
        <v>14126</v>
      </c>
      <c r="D137" s="70">
        <v>8488</v>
      </c>
      <c r="E137" s="69" t="s">
        <v>78</v>
      </c>
      <c r="F137" s="79" t="s">
        <v>1215</v>
      </c>
      <c r="H137" s="69">
        <v>1000</v>
      </c>
      <c r="U137" s="69"/>
      <c r="V137" s="69"/>
      <c r="AR137" s="74">
        <f t="shared" si="10"/>
        <v>1000</v>
      </c>
      <c r="AS137" s="69">
        <v>893.35</v>
      </c>
      <c r="AT137" s="69">
        <v>106.65</v>
      </c>
      <c r="BC137" s="69"/>
      <c r="BD137" s="69"/>
      <c r="CC137" s="74">
        <f t="shared" si="13"/>
        <v>1000</v>
      </c>
      <c r="CD137" s="73">
        <f t="shared" si="11"/>
        <v>0</v>
      </c>
      <c r="CE137" s="75">
        <f t="shared" si="12"/>
        <v>8488</v>
      </c>
      <c r="CF137" s="3" t="str">
        <f t="shared" si="12"/>
        <v>برنامج دولى</v>
      </c>
    </row>
    <row r="138" spans="2:84" x14ac:dyDescent="0.25">
      <c r="B138" s="69">
        <v>6</v>
      </c>
      <c r="C138" s="78">
        <v>14127</v>
      </c>
      <c r="D138" s="70">
        <v>8489</v>
      </c>
      <c r="E138" s="69" t="s">
        <v>78</v>
      </c>
      <c r="F138" s="79" t="s">
        <v>1227</v>
      </c>
      <c r="H138" s="69">
        <v>4253.1400000000003</v>
      </c>
      <c r="U138" s="69"/>
      <c r="V138" s="69"/>
      <c r="AR138" s="74">
        <f t="shared" si="10"/>
        <v>4253.1400000000003</v>
      </c>
      <c r="AS138" s="69">
        <v>2800.71</v>
      </c>
      <c r="AT138" s="69">
        <v>382.8</v>
      </c>
      <c r="AU138" s="69">
        <v>1069.6300000000001</v>
      </c>
      <c r="BC138" s="69"/>
      <c r="BD138" s="69"/>
      <c r="CC138" s="74">
        <f t="shared" si="13"/>
        <v>4253.1400000000003</v>
      </c>
      <c r="CD138" s="73">
        <f t="shared" si="11"/>
        <v>0</v>
      </c>
      <c r="CE138" s="75">
        <f t="shared" si="12"/>
        <v>8489</v>
      </c>
      <c r="CF138" s="3" t="str">
        <f t="shared" si="12"/>
        <v>برنامج دولى</v>
      </c>
    </row>
    <row r="139" spans="2:84" x14ac:dyDescent="0.25">
      <c r="B139" s="69">
        <v>7</v>
      </c>
      <c r="C139" s="78">
        <v>14553</v>
      </c>
      <c r="D139" s="70">
        <v>8490</v>
      </c>
      <c r="E139" s="69" t="s">
        <v>78</v>
      </c>
      <c r="F139" s="79" t="s">
        <v>1228</v>
      </c>
      <c r="H139" s="69">
        <v>3079.5</v>
      </c>
      <c r="U139" s="69"/>
      <c r="V139" s="69"/>
      <c r="AR139" s="74">
        <f t="shared" si="10"/>
        <v>3079.5</v>
      </c>
      <c r="AS139" s="69">
        <v>2171.0500000000002</v>
      </c>
      <c r="AT139" s="69">
        <v>286.95</v>
      </c>
      <c r="AU139" s="69">
        <v>621.5</v>
      </c>
      <c r="BC139" s="69"/>
      <c r="BD139" s="69"/>
      <c r="CC139" s="74">
        <f t="shared" si="13"/>
        <v>3079.5</v>
      </c>
      <c r="CD139" s="73">
        <f t="shared" si="11"/>
        <v>0</v>
      </c>
      <c r="CE139" s="75">
        <f t="shared" si="12"/>
        <v>8490</v>
      </c>
      <c r="CF139" s="3" t="str">
        <f t="shared" si="12"/>
        <v>برنامج دولى</v>
      </c>
    </row>
    <row r="140" spans="2:84" x14ac:dyDescent="0.25">
      <c r="B140" s="69">
        <v>8</v>
      </c>
      <c r="C140" s="78">
        <v>14554</v>
      </c>
      <c r="D140" s="70">
        <v>8491</v>
      </c>
      <c r="E140" s="69" t="s">
        <v>78</v>
      </c>
      <c r="F140" s="79" t="s">
        <v>1228</v>
      </c>
      <c r="H140" s="69">
        <v>1113.8800000000001</v>
      </c>
      <c r="U140" s="69"/>
      <c r="V140" s="69"/>
      <c r="AR140" s="74">
        <f t="shared" si="10"/>
        <v>1113.8800000000001</v>
      </c>
      <c r="AS140" s="69">
        <v>744.9</v>
      </c>
      <c r="AT140" s="69">
        <v>100.6</v>
      </c>
      <c r="AU140" s="69">
        <v>268.38</v>
      </c>
      <c r="BC140" s="69"/>
      <c r="BD140" s="69"/>
      <c r="CC140" s="74">
        <f t="shared" si="13"/>
        <v>1113.8800000000001</v>
      </c>
      <c r="CD140" s="73">
        <f t="shared" si="11"/>
        <v>0</v>
      </c>
      <c r="CE140" s="75">
        <f t="shared" si="12"/>
        <v>8491</v>
      </c>
      <c r="CF140" s="3" t="str">
        <f t="shared" si="12"/>
        <v>برنامج دولى</v>
      </c>
    </row>
    <row r="141" spans="2:84" x14ac:dyDescent="0.25">
      <c r="B141" s="69">
        <v>9</v>
      </c>
      <c r="C141" s="78">
        <v>14555</v>
      </c>
      <c r="D141" s="70">
        <v>8492</v>
      </c>
      <c r="E141" s="69" t="s">
        <v>78</v>
      </c>
      <c r="F141" s="79" t="s">
        <v>1228</v>
      </c>
      <c r="H141" s="69">
        <v>3150</v>
      </c>
      <c r="U141" s="69"/>
      <c r="V141" s="69"/>
      <c r="AR141" s="74">
        <f t="shared" si="10"/>
        <v>3150</v>
      </c>
      <c r="AS141" s="69">
        <v>2812.9</v>
      </c>
      <c r="AT141" s="69">
        <v>337.1</v>
      </c>
      <c r="BC141" s="69"/>
      <c r="BD141" s="69"/>
      <c r="CC141" s="74">
        <f t="shared" si="13"/>
        <v>3150</v>
      </c>
      <c r="CD141" s="73">
        <f t="shared" si="11"/>
        <v>0</v>
      </c>
      <c r="CE141" s="75">
        <f t="shared" si="12"/>
        <v>8492</v>
      </c>
      <c r="CF141" s="3" t="str">
        <f t="shared" si="12"/>
        <v>برنامج دولى</v>
      </c>
    </row>
    <row r="142" spans="2:84" x14ac:dyDescent="0.25">
      <c r="B142" s="69">
        <v>10</v>
      </c>
      <c r="C142" s="78">
        <v>14128</v>
      </c>
      <c r="D142" s="70">
        <v>8493</v>
      </c>
      <c r="E142" s="69" t="s">
        <v>78</v>
      </c>
      <c r="F142" s="79" t="s">
        <v>1227</v>
      </c>
      <c r="H142" s="69">
        <v>2814</v>
      </c>
      <c r="U142" s="69"/>
      <c r="V142" s="69"/>
      <c r="AR142" s="74">
        <f t="shared" si="10"/>
        <v>2814</v>
      </c>
      <c r="AS142" s="69">
        <v>1880.7</v>
      </c>
      <c r="AT142" s="69">
        <v>255.3</v>
      </c>
      <c r="AU142" s="69">
        <v>678</v>
      </c>
      <c r="BC142" s="69"/>
      <c r="BD142" s="69"/>
      <c r="CC142" s="74">
        <f t="shared" si="13"/>
        <v>2814</v>
      </c>
      <c r="CD142" s="73">
        <f t="shared" si="11"/>
        <v>0</v>
      </c>
      <c r="CE142" s="75">
        <f t="shared" si="12"/>
        <v>8493</v>
      </c>
      <c r="CF142" s="3" t="str">
        <f t="shared" si="12"/>
        <v>برنامج دولى</v>
      </c>
    </row>
    <row r="143" spans="2:84" x14ac:dyDescent="0.25">
      <c r="B143" s="69">
        <v>11</v>
      </c>
      <c r="C143" s="78">
        <v>14129</v>
      </c>
      <c r="D143" s="70">
        <v>8494</v>
      </c>
      <c r="E143" s="69" t="s">
        <v>78</v>
      </c>
      <c r="F143" s="79" t="s">
        <v>1229</v>
      </c>
      <c r="H143" s="69">
        <v>1779.38</v>
      </c>
      <c r="U143" s="69"/>
      <c r="V143" s="69"/>
      <c r="AR143" s="74">
        <f t="shared" si="10"/>
        <v>1779.38</v>
      </c>
      <c r="AS143" s="69">
        <v>1392.2</v>
      </c>
      <c r="AT143" s="69">
        <v>175.3</v>
      </c>
      <c r="AU143" s="69">
        <v>211.88</v>
      </c>
      <c r="BC143" s="69"/>
      <c r="BD143" s="69"/>
      <c r="CC143" s="74">
        <f t="shared" si="13"/>
        <v>1779.38</v>
      </c>
      <c r="CD143" s="73">
        <f t="shared" si="11"/>
        <v>0</v>
      </c>
      <c r="CE143" s="75">
        <f t="shared" si="12"/>
        <v>8494</v>
      </c>
      <c r="CF143" s="3" t="str">
        <f t="shared" si="12"/>
        <v>برنامج دولى</v>
      </c>
    </row>
    <row r="144" spans="2:84" x14ac:dyDescent="0.25">
      <c r="B144" s="69">
        <v>12</v>
      </c>
      <c r="C144" s="78">
        <v>14130</v>
      </c>
      <c r="D144" s="70">
        <v>8495</v>
      </c>
      <c r="E144" s="69" t="s">
        <v>78</v>
      </c>
      <c r="F144" s="79" t="s">
        <v>1229</v>
      </c>
      <c r="H144" s="69">
        <v>879.38</v>
      </c>
      <c r="U144" s="69"/>
      <c r="V144" s="69"/>
      <c r="AR144" s="74">
        <f t="shared" si="10"/>
        <v>879.38</v>
      </c>
      <c r="AS144" s="69">
        <v>588.15</v>
      </c>
      <c r="AT144" s="69">
        <v>79.349999999999994</v>
      </c>
      <c r="AU144" s="69">
        <v>211.88</v>
      </c>
      <c r="BC144" s="69"/>
      <c r="BD144" s="69"/>
      <c r="CC144" s="74">
        <f t="shared" si="13"/>
        <v>879.38</v>
      </c>
      <c r="CD144" s="73">
        <f t="shared" si="11"/>
        <v>0</v>
      </c>
      <c r="CE144" s="75">
        <f t="shared" si="12"/>
        <v>8495</v>
      </c>
      <c r="CF144" s="3" t="str">
        <f t="shared" si="12"/>
        <v>برنامج دولى</v>
      </c>
    </row>
    <row r="145" spans="2:84" x14ac:dyDescent="0.25">
      <c r="B145" s="69">
        <v>13</v>
      </c>
      <c r="C145" s="78">
        <v>14131</v>
      </c>
      <c r="D145" s="70">
        <v>8496</v>
      </c>
      <c r="E145" s="69" t="s">
        <v>78</v>
      </c>
      <c r="F145" s="79" t="s">
        <v>1230</v>
      </c>
      <c r="H145" s="69">
        <v>367.28</v>
      </c>
      <c r="U145" s="69"/>
      <c r="V145" s="69"/>
      <c r="AR145" s="74">
        <f t="shared" si="10"/>
        <v>367.28</v>
      </c>
      <c r="AS145" s="69">
        <v>328.45</v>
      </c>
      <c r="AT145" s="69">
        <v>38.83</v>
      </c>
      <c r="BC145" s="69"/>
      <c r="BD145" s="69"/>
      <c r="CC145" s="74">
        <f t="shared" si="13"/>
        <v>367.28</v>
      </c>
      <c r="CD145" s="73">
        <f t="shared" si="11"/>
        <v>0</v>
      </c>
      <c r="CE145" s="75">
        <f t="shared" si="12"/>
        <v>8496</v>
      </c>
      <c r="CF145" s="3" t="str">
        <f t="shared" si="12"/>
        <v>برنامج دولى</v>
      </c>
    </row>
    <row r="146" spans="2:84" x14ac:dyDescent="0.25">
      <c r="B146" s="69">
        <v>14</v>
      </c>
      <c r="C146" s="78">
        <v>14132</v>
      </c>
      <c r="D146" s="70">
        <v>8497</v>
      </c>
      <c r="E146" s="69" t="s">
        <v>78</v>
      </c>
      <c r="F146" s="79" t="s">
        <v>1230</v>
      </c>
      <c r="H146" s="69">
        <v>367.28</v>
      </c>
      <c r="U146" s="69"/>
      <c r="V146" s="69"/>
      <c r="AR146" s="74">
        <f t="shared" si="10"/>
        <v>367.28</v>
      </c>
      <c r="AS146" s="69">
        <v>328.45</v>
      </c>
      <c r="AT146" s="69">
        <v>38.83</v>
      </c>
      <c r="BC146" s="69"/>
      <c r="BD146" s="69"/>
      <c r="CC146" s="74">
        <f t="shared" si="13"/>
        <v>367.28</v>
      </c>
      <c r="CD146" s="73">
        <f t="shared" si="11"/>
        <v>0</v>
      </c>
      <c r="CE146" s="75">
        <f t="shared" si="12"/>
        <v>8497</v>
      </c>
      <c r="CF146" s="3" t="str">
        <f t="shared" si="12"/>
        <v>برنامج دولى</v>
      </c>
    </row>
    <row r="147" spans="2:84" x14ac:dyDescent="0.25">
      <c r="B147" s="69">
        <v>15</v>
      </c>
      <c r="C147" s="78">
        <v>14240</v>
      </c>
      <c r="D147" s="70">
        <v>8498</v>
      </c>
      <c r="E147" s="69" t="s">
        <v>78</v>
      </c>
      <c r="F147" s="79" t="s">
        <v>1209</v>
      </c>
      <c r="H147" s="69">
        <v>175.88</v>
      </c>
      <c r="U147" s="69"/>
      <c r="V147" s="69"/>
      <c r="AR147" s="74">
        <f t="shared" si="10"/>
        <v>175.88</v>
      </c>
      <c r="AS147" s="69">
        <v>118</v>
      </c>
      <c r="AT147" s="69">
        <v>15.5</v>
      </c>
      <c r="AU147" s="69">
        <v>42.38</v>
      </c>
      <c r="BC147" s="69"/>
      <c r="BD147" s="69"/>
      <c r="CC147" s="74">
        <f t="shared" si="13"/>
        <v>175.88</v>
      </c>
      <c r="CD147" s="73">
        <f t="shared" si="11"/>
        <v>0</v>
      </c>
      <c r="CE147" s="75">
        <f t="shared" si="12"/>
        <v>8498</v>
      </c>
      <c r="CF147" s="3" t="str">
        <f t="shared" si="12"/>
        <v>برنامج دولى</v>
      </c>
    </row>
    <row r="148" spans="2:84" x14ac:dyDescent="0.25">
      <c r="C148" s="78">
        <v>13881</v>
      </c>
      <c r="D148" s="70">
        <v>8499</v>
      </c>
      <c r="E148" s="69" t="s">
        <v>132</v>
      </c>
      <c r="F148" s="79" t="s">
        <v>1231</v>
      </c>
      <c r="H148" s="69">
        <v>800</v>
      </c>
      <c r="U148" s="69"/>
      <c r="V148" s="69"/>
      <c r="AR148" s="74">
        <f t="shared" si="10"/>
        <v>800</v>
      </c>
      <c r="AS148" s="69">
        <v>714.75</v>
      </c>
      <c r="AT148" s="69">
        <v>85.25</v>
      </c>
      <c r="BC148" s="69"/>
      <c r="BD148" s="69"/>
      <c r="CC148" s="74">
        <f t="shared" si="13"/>
        <v>800</v>
      </c>
      <c r="CD148" s="73">
        <f t="shared" si="11"/>
        <v>0</v>
      </c>
      <c r="CE148" s="75">
        <f t="shared" si="12"/>
        <v>8499</v>
      </c>
      <c r="CF148" s="3" t="str">
        <f t="shared" si="12"/>
        <v>صيدلة اكلينيكى</v>
      </c>
    </row>
    <row r="149" spans="2:84" x14ac:dyDescent="0.25">
      <c r="C149" s="78">
        <v>13715</v>
      </c>
      <c r="D149" s="70">
        <v>8500</v>
      </c>
      <c r="E149" s="69" t="s">
        <v>132</v>
      </c>
      <c r="F149" s="79" t="s">
        <v>1232</v>
      </c>
      <c r="H149" s="69">
        <v>8587.42</v>
      </c>
      <c r="U149" s="69"/>
      <c r="V149" s="69"/>
      <c r="AR149" s="74">
        <f t="shared" si="10"/>
        <v>8587.42</v>
      </c>
      <c r="AS149" s="69">
        <v>7122.78</v>
      </c>
      <c r="AT149" s="69">
        <v>420.77</v>
      </c>
      <c r="AU149" s="69">
        <v>1043.8699999999999</v>
      </c>
      <c r="BC149" s="69"/>
      <c r="BD149" s="69"/>
      <c r="CC149" s="74">
        <f t="shared" si="13"/>
        <v>8587.4199999999983</v>
      </c>
      <c r="CD149" s="73">
        <f t="shared" si="11"/>
        <v>0</v>
      </c>
      <c r="CE149" s="75">
        <f t="shared" si="12"/>
        <v>8500</v>
      </c>
      <c r="CF149" s="3" t="str">
        <f t="shared" si="12"/>
        <v>صيدلة اكلينيكى</v>
      </c>
    </row>
    <row r="150" spans="2:84" x14ac:dyDescent="0.25">
      <c r="C150" s="78">
        <v>13717</v>
      </c>
      <c r="D150" s="70">
        <v>8501</v>
      </c>
      <c r="E150" s="69" t="s">
        <v>132</v>
      </c>
      <c r="F150" s="79" t="s">
        <v>1232</v>
      </c>
      <c r="H150" s="69">
        <v>351.75</v>
      </c>
      <c r="U150" s="69"/>
      <c r="V150" s="69"/>
      <c r="AR150" s="74">
        <f t="shared" si="10"/>
        <v>351.75</v>
      </c>
      <c r="AS150" s="69">
        <v>235.55</v>
      </c>
      <c r="AT150" s="69">
        <v>31.45</v>
      </c>
      <c r="AU150" s="69">
        <v>84.75</v>
      </c>
      <c r="BC150" s="69"/>
      <c r="BD150" s="69"/>
      <c r="CC150" s="74">
        <f t="shared" si="13"/>
        <v>351.75</v>
      </c>
      <c r="CD150" s="73">
        <f t="shared" si="11"/>
        <v>0</v>
      </c>
      <c r="CE150" s="75">
        <f t="shared" si="12"/>
        <v>8501</v>
      </c>
      <c r="CF150" s="3" t="str">
        <f t="shared" si="12"/>
        <v>صيدلة اكلينيكى</v>
      </c>
    </row>
    <row r="151" spans="2:84" x14ac:dyDescent="0.25">
      <c r="C151" s="78">
        <v>13721</v>
      </c>
      <c r="D151" s="70">
        <v>8502</v>
      </c>
      <c r="E151" s="69" t="s">
        <v>132</v>
      </c>
      <c r="F151" s="79" t="s">
        <v>1232</v>
      </c>
      <c r="H151" s="69">
        <v>410.38</v>
      </c>
      <c r="U151" s="69"/>
      <c r="V151" s="69"/>
      <c r="AR151" s="74">
        <f t="shared" si="10"/>
        <v>410.38</v>
      </c>
      <c r="AS151" s="69">
        <v>274.8</v>
      </c>
      <c r="AT151" s="69">
        <v>36.700000000000003</v>
      </c>
      <c r="AU151" s="69">
        <v>98.88</v>
      </c>
      <c r="BC151" s="69"/>
      <c r="BD151" s="69"/>
      <c r="CC151" s="74">
        <f t="shared" si="13"/>
        <v>410.38</v>
      </c>
      <c r="CD151" s="73">
        <f t="shared" si="11"/>
        <v>0</v>
      </c>
      <c r="CE151" s="75">
        <f t="shared" si="12"/>
        <v>8502</v>
      </c>
      <c r="CF151" s="3" t="str">
        <f t="shared" si="12"/>
        <v>صيدلة اكلينيكى</v>
      </c>
    </row>
    <row r="152" spans="2:84" x14ac:dyDescent="0.25">
      <c r="C152" s="78">
        <v>13719</v>
      </c>
      <c r="D152" s="70">
        <v>8503</v>
      </c>
      <c r="E152" s="69" t="s">
        <v>132</v>
      </c>
      <c r="F152" s="79" t="s">
        <v>1232</v>
      </c>
      <c r="H152" s="69">
        <v>1688.39</v>
      </c>
      <c r="U152" s="69"/>
      <c r="V152" s="69"/>
      <c r="AR152" s="74">
        <f t="shared" si="10"/>
        <v>1688.39</v>
      </c>
      <c r="AS152" s="69">
        <v>1130.3499999999999</v>
      </c>
      <c r="AT152" s="69">
        <v>151.25</v>
      </c>
      <c r="AU152" s="69">
        <v>406.79</v>
      </c>
      <c r="BC152" s="69"/>
      <c r="BD152" s="69"/>
      <c r="CC152" s="74">
        <f t="shared" si="13"/>
        <v>1688.3899999999999</v>
      </c>
      <c r="CD152" s="73">
        <f t="shared" si="11"/>
        <v>0</v>
      </c>
      <c r="CE152" s="75">
        <f t="shared" si="12"/>
        <v>8503</v>
      </c>
      <c r="CF152" s="3" t="str">
        <f t="shared" si="12"/>
        <v>صيدلة اكلينيكى</v>
      </c>
    </row>
    <row r="153" spans="2:84" x14ac:dyDescent="0.25">
      <c r="C153" s="78">
        <v>13720</v>
      </c>
      <c r="D153" s="70">
        <v>8504</v>
      </c>
      <c r="E153" s="69" t="s">
        <v>132</v>
      </c>
      <c r="F153" s="79" t="s">
        <v>1232</v>
      </c>
      <c r="H153" s="69">
        <v>500</v>
      </c>
      <c r="U153" s="69"/>
      <c r="V153" s="69"/>
      <c r="AR153" s="74">
        <f t="shared" si="10"/>
        <v>500</v>
      </c>
      <c r="AS153" s="69">
        <v>447.05</v>
      </c>
      <c r="AT153" s="69">
        <v>52.95</v>
      </c>
      <c r="BC153" s="69"/>
      <c r="BD153" s="69"/>
      <c r="CC153" s="74">
        <f t="shared" si="13"/>
        <v>500</v>
      </c>
      <c r="CD153" s="73">
        <f t="shared" si="11"/>
        <v>0</v>
      </c>
      <c r="CE153" s="75">
        <f t="shared" si="12"/>
        <v>8504</v>
      </c>
      <c r="CF153" s="3" t="str">
        <f t="shared" si="12"/>
        <v>صيدلة اكلينيكى</v>
      </c>
    </row>
    <row r="154" spans="2:84" x14ac:dyDescent="0.25">
      <c r="C154" s="78">
        <v>13718</v>
      </c>
      <c r="D154" s="70">
        <v>8505</v>
      </c>
      <c r="E154" s="69" t="s">
        <v>132</v>
      </c>
      <c r="F154" s="79" t="s">
        <v>1232</v>
      </c>
      <c r="H154" s="69">
        <v>3675.79</v>
      </c>
      <c r="U154" s="69"/>
      <c r="V154" s="69"/>
      <c r="AR154" s="74">
        <f t="shared" si="10"/>
        <v>3675.79</v>
      </c>
      <c r="AS154" s="69">
        <v>2461.6999999999998</v>
      </c>
      <c r="AT154" s="69">
        <v>328.45</v>
      </c>
      <c r="AU154" s="69">
        <v>885.64</v>
      </c>
      <c r="BC154" s="69"/>
      <c r="BD154" s="69"/>
      <c r="CC154" s="74">
        <f t="shared" si="13"/>
        <v>3675.7899999999995</v>
      </c>
      <c r="CD154" s="73">
        <f t="shared" si="11"/>
        <v>0</v>
      </c>
      <c r="CE154" s="75">
        <f t="shared" si="12"/>
        <v>8505</v>
      </c>
      <c r="CF154" s="3" t="str">
        <f t="shared" si="12"/>
        <v>صيدلة اكلينيكى</v>
      </c>
    </row>
    <row r="155" spans="2:84" x14ac:dyDescent="0.25">
      <c r="C155" s="78">
        <v>13716</v>
      </c>
      <c r="D155" s="70">
        <v>8506</v>
      </c>
      <c r="E155" s="69" t="s">
        <v>132</v>
      </c>
      <c r="F155" s="79" t="s">
        <v>1232</v>
      </c>
      <c r="H155" s="69">
        <v>26646.83</v>
      </c>
      <c r="U155" s="69"/>
      <c r="V155" s="69"/>
      <c r="AR155" s="74">
        <f t="shared" si="10"/>
        <v>26646.83</v>
      </c>
      <c r="AS155" s="69">
        <v>18139.3</v>
      </c>
      <c r="AT155" s="69">
        <v>2404.15</v>
      </c>
      <c r="AU155" s="69">
        <v>6103.38</v>
      </c>
      <c r="BC155" s="69"/>
      <c r="BD155" s="69"/>
      <c r="CC155" s="74">
        <f t="shared" si="13"/>
        <v>26646.83</v>
      </c>
      <c r="CD155" s="73">
        <f t="shared" si="11"/>
        <v>0</v>
      </c>
      <c r="CE155" s="75">
        <f t="shared" si="12"/>
        <v>8506</v>
      </c>
      <c r="CF155" s="3" t="str">
        <f t="shared" si="12"/>
        <v>صيدلة اكلينيكى</v>
      </c>
    </row>
    <row r="156" spans="2:84" x14ac:dyDescent="0.25">
      <c r="C156" s="78">
        <v>13709</v>
      </c>
      <c r="D156" s="70">
        <v>8507</v>
      </c>
      <c r="E156" s="69" t="s">
        <v>132</v>
      </c>
      <c r="F156" s="79" t="s">
        <v>1233</v>
      </c>
      <c r="H156" s="69">
        <v>1172.5</v>
      </c>
      <c r="U156" s="69"/>
      <c r="V156" s="69"/>
      <c r="AR156" s="74">
        <f t="shared" si="10"/>
        <v>1172.5</v>
      </c>
      <c r="AS156" s="69">
        <v>782.87</v>
      </c>
      <c r="AT156" s="69">
        <f>100+7.13</f>
        <v>107.13</v>
      </c>
      <c r="AU156" s="69">
        <v>282.5</v>
      </c>
      <c r="BC156" s="69"/>
      <c r="BD156" s="69"/>
      <c r="CC156" s="74">
        <f t="shared" si="13"/>
        <v>1172.5</v>
      </c>
      <c r="CD156" s="73">
        <f t="shared" si="11"/>
        <v>0</v>
      </c>
      <c r="CE156" s="75">
        <f t="shared" si="12"/>
        <v>8507</v>
      </c>
      <c r="CF156" s="3" t="str">
        <f t="shared" si="12"/>
        <v>صيدلة اكلينيكى</v>
      </c>
    </row>
    <row r="157" spans="2:84" x14ac:dyDescent="0.25">
      <c r="C157" s="78">
        <v>13710</v>
      </c>
      <c r="D157" s="70">
        <v>8508</v>
      </c>
      <c r="E157" s="69" t="s">
        <v>132</v>
      </c>
      <c r="F157" s="79" t="s">
        <v>1234</v>
      </c>
      <c r="H157" s="69">
        <v>8607.1299999999992</v>
      </c>
      <c r="U157" s="69"/>
      <c r="V157" s="69"/>
      <c r="AR157" s="74">
        <f t="shared" si="10"/>
        <v>8607.1299999999992</v>
      </c>
      <c r="AS157" s="69">
        <v>7540.93</v>
      </c>
      <c r="AT157" s="69">
        <f>265+52.57</f>
        <v>317.57</v>
      </c>
      <c r="AU157" s="69">
        <v>748.63</v>
      </c>
      <c r="BC157" s="69"/>
      <c r="BD157" s="69"/>
      <c r="CC157" s="74">
        <f t="shared" si="13"/>
        <v>8607.1299999999992</v>
      </c>
      <c r="CD157" s="73">
        <f t="shared" si="11"/>
        <v>0</v>
      </c>
      <c r="CE157" s="75">
        <f t="shared" si="12"/>
        <v>8508</v>
      </c>
      <c r="CF157" s="3" t="str">
        <f t="shared" si="12"/>
        <v>صيدلة اكلينيكى</v>
      </c>
    </row>
    <row r="158" spans="2:84" x14ac:dyDescent="0.25">
      <c r="C158" s="78">
        <v>13712</v>
      </c>
      <c r="D158" s="70">
        <v>8509</v>
      </c>
      <c r="E158" s="69" t="s">
        <v>132</v>
      </c>
      <c r="F158" s="79" t="s">
        <v>1234</v>
      </c>
      <c r="H158" s="69">
        <v>586.25</v>
      </c>
      <c r="U158" s="69"/>
      <c r="V158" s="69"/>
      <c r="AR158" s="74">
        <f t="shared" si="10"/>
        <v>586.25</v>
      </c>
      <c r="AS158" s="69">
        <v>392.4</v>
      </c>
      <c r="AT158" s="69">
        <v>52.6</v>
      </c>
      <c r="AU158" s="69">
        <v>141.25</v>
      </c>
      <c r="BC158" s="69"/>
      <c r="BD158" s="69"/>
      <c r="CC158" s="74">
        <f t="shared" si="13"/>
        <v>586.25</v>
      </c>
      <c r="CD158" s="73">
        <f t="shared" si="11"/>
        <v>0</v>
      </c>
      <c r="CE158" s="75">
        <f t="shared" si="12"/>
        <v>8509</v>
      </c>
      <c r="CF158" s="3" t="str">
        <f t="shared" si="12"/>
        <v>صيدلة اكلينيكى</v>
      </c>
    </row>
    <row r="159" spans="2:84" x14ac:dyDescent="0.25">
      <c r="C159" s="78">
        <v>13711</v>
      </c>
      <c r="D159" s="70">
        <v>8510</v>
      </c>
      <c r="E159" s="69" t="s">
        <v>132</v>
      </c>
      <c r="F159" s="79" t="s">
        <v>1234</v>
      </c>
      <c r="H159" s="69">
        <v>7698.73</v>
      </c>
      <c r="U159" s="69"/>
      <c r="V159" s="69"/>
      <c r="AR159" s="74">
        <f t="shared" si="10"/>
        <v>7698.73</v>
      </c>
      <c r="AS159" s="69">
        <v>5434.35</v>
      </c>
      <c r="AT159" s="69">
        <v>710.65</v>
      </c>
      <c r="AU159" s="69">
        <v>1553.73</v>
      </c>
      <c r="BC159" s="69"/>
      <c r="BD159" s="69"/>
      <c r="CC159" s="74">
        <f t="shared" si="13"/>
        <v>7698.73</v>
      </c>
      <c r="CD159" s="73">
        <f t="shared" si="11"/>
        <v>0</v>
      </c>
      <c r="CE159" s="75">
        <f t="shared" si="12"/>
        <v>8510</v>
      </c>
      <c r="CF159" s="3" t="str">
        <f t="shared" si="12"/>
        <v>صيدلة اكلينيكى</v>
      </c>
    </row>
    <row r="160" spans="2:84" x14ac:dyDescent="0.25">
      <c r="C160" s="78">
        <v>13713</v>
      </c>
      <c r="D160" s="70">
        <v>8511</v>
      </c>
      <c r="E160" s="69" t="s">
        <v>132</v>
      </c>
      <c r="F160" s="79" t="s">
        <v>1234</v>
      </c>
      <c r="H160" s="69">
        <v>586.25</v>
      </c>
      <c r="U160" s="69"/>
      <c r="V160" s="69"/>
      <c r="AR160" s="74">
        <f t="shared" si="10"/>
        <v>586.25</v>
      </c>
      <c r="AS160" s="69">
        <v>392.4</v>
      </c>
      <c r="AT160" s="69">
        <v>52.6</v>
      </c>
      <c r="AU160" s="69">
        <v>141.25</v>
      </c>
      <c r="BC160" s="69"/>
      <c r="BD160" s="69"/>
      <c r="CC160" s="74">
        <f t="shared" si="13"/>
        <v>586.25</v>
      </c>
      <c r="CD160" s="73">
        <f t="shared" si="11"/>
        <v>0</v>
      </c>
      <c r="CE160" s="75">
        <f t="shared" si="12"/>
        <v>8511</v>
      </c>
      <c r="CF160" s="3" t="str">
        <f t="shared" si="12"/>
        <v>صيدلة اكلينيكى</v>
      </c>
    </row>
    <row r="161" spans="3:84" x14ac:dyDescent="0.25">
      <c r="C161" s="78">
        <v>13714</v>
      </c>
      <c r="D161" s="70">
        <v>8512</v>
      </c>
      <c r="E161" s="69" t="s">
        <v>132</v>
      </c>
      <c r="F161" s="79" t="s">
        <v>1234</v>
      </c>
      <c r="H161" s="69">
        <v>1876</v>
      </c>
      <c r="U161" s="69"/>
      <c r="V161" s="69"/>
      <c r="AR161" s="74">
        <f t="shared" si="10"/>
        <v>1876</v>
      </c>
      <c r="AS161" s="69">
        <v>1255.3499999999999</v>
      </c>
      <c r="AT161" s="69">
        <v>168.65</v>
      </c>
      <c r="AU161" s="69">
        <v>452</v>
      </c>
      <c r="BC161" s="69"/>
      <c r="BD161" s="69"/>
      <c r="CC161" s="74">
        <f t="shared" si="13"/>
        <v>1876</v>
      </c>
      <c r="CD161" s="73">
        <f t="shared" si="11"/>
        <v>0</v>
      </c>
      <c r="CE161" s="75">
        <f t="shared" si="12"/>
        <v>8512</v>
      </c>
      <c r="CF161" s="3" t="str">
        <f t="shared" si="12"/>
        <v>صيدلة اكلينيكى</v>
      </c>
    </row>
    <row r="162" spans="3:84" x14ac:dyDescent="0.25">
      <c r="C162" s="78">
        <v>13744</v>
      </c>
      <c r="D162" s="70">
        <v>8513</v>
      </c>
      <c r="E162" s="69" t="s">
        <v>132</v>
      </c>
      <c r="F162" s="79" t="s">
        <v>1235</v>
      </c>
      <c r="H162" s="69">
        <v>3106.25</v>
      </c>
      <c r="U162" s="69"/>
      <c r="V162" s="69"/>
      <c r="AR162" s="74">
        <f t="shared" si="10"/>
        <v>3106.25</v>
      </c>
      <c r="AS162" s="69">
        <v>2642.2</v>
      </c>
      <c r="AT162" s="69">
        <v>322.8</v>
      </c>
      <c r="AU162" s="69">
        <v>141.25</v>
      </c>
      <c r="BC162" s="69"/>
      <c r="BD162" s="69"/>
      <c r="CC162" s="74">
        <f t="shared" si="13"/>
        <v>3106.25</v>
      </c>
      <c r="CD162" s="73">
        <f t="shared" si="11"/>
        <v>0</v>
      </c>
      <c r="CE162" s="75">
        <f t="shared" si="12"/>
        <v>8513</v>
      </c>
      <c r="CF162" s="3" t="str">
        <f t="shared" si="12"/>
        <v>صيدلة اكلينيكى</v>
      </c>
    </row>
    <row r="163" spans="3:84" x14ac:dyDescent="0.25">
      <c r="C163" s="78">
        <v>13736</v>
      </c>
      <c r="D163" s="70">
        <v>8514</v>
      </c>
      <c r="E163" s="69" t="s">
        <v>132</v>
      </c>
      <c r="F163" s="79" t="s">
        <v>1236</v>
      </c>
      <c r="H163" s="69">
        <v>1524.25</v>
      </c>
      <c r="U163" s="69"/>
      <c r="V163" s="69"/>
      <c r="AR163" s="74">
        <f t="shared" si="10"/>
        <v>1524.25</v>
      </c>
      <c r="AS163" s="69">
        <v>1018.7</v>
      </c>
      <c r="AT163" s="69">
        <v>138.30000000000001</v>
      </c>
      <c r="AU163" s="69">
        <v>367.25</v>
      </c>
      <c r="BC163" s="69"/>
      <c r="BD163" s="69"/>
      <c r="CC163" s="74">
        <f t="shared" si="13"/>
        <v>1524.25</v>
      </c>
      <c r="CD163" s="73">
        <f t="shared" si="11"/>
        <v>0</v>
      </c>
      <c r="CE163" s="75">
        <f t="shared" si="12"/>
        <v>8514</v>
      </c>
      <c r="CF163" s="3" t="str">
        <f t="shared" si="12"/>
        <v>صيدلة اكلينيكى</v>
      </c>
    </row>
    <row r="164" spans="3:84" x14ac:dyDescent="0.25">
      <c r="C164" s="78">
        <v>13737</v>
      </c>
      <c r="D164" s="70">
        <v>8515</v>
      </c>
      <c r="E164" s="69" t="s">
        <v>132</v>
      </c>
      <c r="F164" s="79" t="s">
        <v>1236</v>
      </c>
      <c r="H164" s="69">
        <v>1545.91</v>
      </c>
      <c r="U164" s="69"/>
      <c r="V164" s="69"/>
      <c r="AR164" s="74">
        <f t="shared" si="10"/>
        <v>1545.91</v>
      </c>
      <c r="AS164" s="69">
        <v>1310.03</v>
      </c>
      <c r="AT164" s="69">
        <v>160.69999999999999</v>
      </c>
      <c r="AU164" s="69">
        <v>75.180000000000007</v>
      </c>
      <c r="BC164" s="69"/>
      <c r="BD164" s="69"/>
      <c r="CC164" s="74">
        <f t="shared" si="13"/>
        <v>1545.91</v>
      </c>
      <c r="CD164" s="73">
        <f t="shared" si="11"/>
        <v>0</v>
      </c>
      <c r="CE164" s="75">
        <f t="shared" si="12"/>
        <v>8515</v>
      </c>
      <c r="CF164" s="3" t="str">
        <f t="shared" si="12"/>
        <v>صيدلة اكلينيكى</v>
      </c>
    </row>
    <row r="165" spans="3:84" x14ac:dyDescent="0.25">
      <c r="C165" s="78">
        <v>13743</v>
      </c>
      <c r="D165" s="70">
        <v>8516</v>
      </c>
      <c r="E165" s="69" t="s">
        <v>132</v>
      </c>
      <c r="F165" s="79" t="s">
        <v>1236</v>
      </c>
      <c r="H165" s="69">
        <v>16708.13</v>
      </c>
      <c r="U165" s="69"/>
      <c r="V165" s="69"/>
      <c r="AR165" s="74">
        <f t="shared" si="10"/>
        <v>16708.13</v>
      </c>
      <c r="AS165" s="69">
        <v>11166.35</v>
      </c>
      <c r="AT165" s="69">
        <f>1425+91.15</f>
        <v>1516.15</v>
      </c>
      <c r="AU165" s="69">
        <v>4025.63</v>
      </c>
      <c r="BC165" s="69"/>
      <c r="BD165" s="69"/>
      <c r="CC165" s="74">
        <f t="shared" si="13"/>
        <v>16708.13</v>
      </c>
      <c r="CD165" s="73">
        <f t="shared" si="11"/>
        <v>0</v>
      </c>
      <c r="CE165" s="75">
        <f t="shared" si="12"/>
        <v>8516</v>
      </c>
      <c r="CF165" s="3" t="str">
        <f t="shared" si="12"/>
        <v>صيدلة اكلينيكى</v>
      </c>
    </row>
    <row r="166" spans="3:84" x14ac:dyDescent="0.25">
      <c r="C166" s="78">
        <v>13742</v>
      </c>
      <c r="D166" s="70">
        <v>8517</v>
      </c>
      <c r="E166" s="69" t="s">
        <v>132</v>
      </c>
      <c r="F166" s="79" t="s">
        <v>1237</v>
      </c>
      <c r="H166" s="69">
        <v>25405.85</v>
      </c>
      <c r="U166" s="69"/>
      <c r="V166" s="69"/>
      <c r="AR166" s="74">
        <f t="shared" si="10"/>
        <v>25405.85</v>
      </c>
      <c r="AS166" s="69">
        <v>22351.79</v>
      </c>
      <c r="AT166" s="69">
        <v>2716.95</v>
      </c>
      <c r="AU166" s="69">
        <v>337.11</v>
      </c>
      <c r="BC166" s="69"/>
      <c r="BD166" s="69"/>
      <c r="CC166" s="74">
        <f t="shared" si="13"/>
        <v>25405.850000000002</v>
      </c>
      <c r="CD166" s="73">
        <f t="shared" si="11"/>
        <v>0</v>
      </c>
      <c r="CE166" s="75">
        <f t="shared" si="12"/>
        <v>8517</v>
      </c>
      <c r="CF166" s="3" t="str">
        <f t="shared" si="12"/>
        <v>صيدلة اكلينيكى</v>
      </c>
    </row>
    <row r="167" spans="3:84" x14ac:dyDescent="0.25">
      <c r="C167" s="78">
        <v>13741</v>
      </c>
      <c r="D167" s="70">
        <v>8518</v>
      </c>
      <c r="E167" s="69" t="s">
        <v>132</v>
      </c>
      <c r="F167" s="79" t="s">
        <v>1238</v>
      </c>
      <c r="H167" s="69">
        <v>586.25</v>
      </c>
      <c r="U167" s="69"/>
      <c r="V167" s="69"/>
      <c r="AR167" s="74">
        <f t="shared" si="10"/>
        <v>586.25</v>
      </c>
      <c r="AS167" s="69">
        <v>391.85</v>
      </c>
      <c r="AT167" s="69">
        <f>50+3.15</f>
        <v>53.15</v>
      </c>
      <c r="AU167" s="69">
        <v>141.25</v>
      </c>
      <c r="BC167" s="69"/>
      <c r="BD167" s="69"/>
      <c r="CC167" s="74">
        <f t="shared" si="13"/>
        <v>586.25</v>
      </c>
      <c r="CD167" s="73">
        <f t="shared" si="11"/>
        <v>0</v>
      </c>
      <c r="CE167" s="75">
        <f t="shared" si="12"/>
        <v>8518</v>
      </c>
      <c r="CF167" s="3" t="str">
        <f t="shared" si="12"/>
        <v>صيدلة اكلينيكى</v>
      </c>
    </row>
    <row r="168" spans="3:84" x14ac:dyDescent="0.25">
      <c r="C168" s="78">
        <v>13740</v>
      </c>
      <c r="D168" s="70">
        <v>8519</v>
      </c>
      <c r="E168" s="69" t="s">
        <v>132</v>
      </c>
      <c r="F168" s="79" t="s">
        <v>1238</v>
      </c>
      <c r="H168" s="69">
        <v>9224.39</v>
      </c>
      <c r="U168" s="69"/>
      <c r="V168" s="69"/>
      <c r="AR168" s="74">
        <f t="shared" si="10"/>
        <v>9224.39</v>
      </c>
      <c r="AS168" s="69">
        <v>7512.9</v>
      </c>
      <c r="AT168" s="69">
        <v>934.6</v>
      </c>
      <c r="AU168" s="69">
        <v>776.89</v>
      </c>
      <c r="BC168" s="69"/>
      <c r="BD168" s="69"/>
      <c r="CC168" s="74">
        <f t="shared" si="13"/>
        <v>9224.39</v>
      </c>
      <c r="CD168" s="73">
        <f t="shared" si="11"/>
        <v>0</v>
      </c>
      <c r="CE168" s="75">
        <f t="shared" si="12"/>
        <v>8519</v>
      </c>
      <c r="CF168" s="3" t="str">
        <f t="shared" si="12"/>
        <v>صيدلة اكلينيكى</v>
      </c>
    </row>
    <row r="169" spans="3:84" x14ac:dyDescent="0.25">
      <c r="C169" s="78">
        <v>13739</v>
      </c>
      <c r="D169" s="70">
        <v>8520</v>
      </c>
      <c r="E169" s="69" t="s">
        <v>132</v>
      </c>
      <c r="F169" s="79" t="s">
        <v>1238</v>
      </c>
      <c r="H169" s="69">
        <v>879.38</v>
      </c>
      <c r="U169" s="69"/>
      <c r="V169" s="69"/>
      <c r="AR169" s="74">
        <f t="shared" si="10"/>
        <v>879.38</v>
      </c>
      <c r="AS169" s="69">
        <v>588.15</v>
      </c>
      <c r="AT169" s="69">
        <v>79.349999999999994</v>
      </c>
      <c r="AU169" s="69">
        <v>211.88</v>
      </c>
      <c r="BC169" s="69"/>
      <c r="BD169" s="69"/>
      <c r="CC169" s="74">
        <f t="shared" si="13"/>
        <v>879.38</v>
      </c>
      <c r="CD169" s="73">
        <f t="shared" si="11"/>
        <v>0</v>
      </c>
      <c r="CE169" s="75">
        <f t="shared" si="12"/>
        <v>8520</v>
      </c>
      <c r="CF169" s="3" t="str">
        <f t="shared" si="12"/>
        <v>صيدلة اكلينيكى</v>
      </c>
    </row>
    <row r="170" spans="3:84" x14ac:dyDescent="0.25">
      <c r="C170" s="78">
        <v>13738</v>
      </c>
      <c r="D170" s="70">
        <v>8521</v>
      </c>
      <c r="E170" s="69" t="s">
        <v>132</v>
      </c>
      <c r="F170" s="79" t="s">
        <v>1238</v>
      </c>
      <c r="H170" s="69">
        <v>586.25</v>
      </c>
      <c r="U170" s="69"/>
      <c r="V170" s="69"/>
      <c r="AR170" s="74">
        <f t="shared" si="10"/>
        <v>586.25</v>
      </c>
      <c r="AS170" s="69">
        <v>392.4</v>
      </c>
      <c r="AT170" s="69">
        <v>52.6</v>
      </c>
      <c r="AU170" s="69">
        <v>141.25</v>
      </c>
      <c r="BC170" s="69"/>
      <c r="BD170" s="69"/>
      <c r="CC170" s="74">
        <f t="shared" si="13"/>
        <v>586.25</v>
      </c>
      <c r="CD170" s="73">
        <f t="shared" si="11"/>
        <v>0</v>
      </c>
      <c r="CE170" s="75">
        <f t="shared" si="12"/>
        <v>8521</v>
      </c>
      <c r="CF170" s="3" t="str">
        <f t="shared" si="12"/>
        <v>صيدلة اكلينيكى</v>
      </c>
    </row>
    <row r="171" spans="3:84" x14ac:dyDescent="0.25">
      <c r="C171" s="78">
        <v>13724</v>
      </c>
      <c r="D171" s="70">
        <v>8522</v>
      </c>
      <c r="E171" s="69" t="s">
        <v>132</v>
      </c>
      <c r="F171" s="79" t="s">
        <v>1239</v>
      </c>
      <c r="H171" s="69">
        <v>80258.7</v>
      </c>
      <c r="U171" s="69"/>
      <c r="V171" s="69"/>
      <c r="AR171" s="74">
        <f t="shared" ref="AR171:AR234" si="14">SUM(H171:AQ171)</f>
        <v>80258.7</v>
      </c>
      <c r="AS171" s="69">
        <v>63374.34</v>
      </c>
      <c r="AT171" s="69">
        <v>8002.95</v>
      </c>
      <c r="AU171" s="69">
        <v>8881.41</v>
      </c>
      <c r="BC171" s="69"/>
      <c r="BD171" s="69"/>
      <c r="CC171" s="74">
        <f t="shared" si="13"/>
        <v>80258.7</v>
      </c>
      <c r="CD171" s="73">
        <f t="shared" si="11"/>
        <v>0</v>
      </c>
      <c r="CE171" s="75">
        <f t="shared" si="12"/>
        <v>8522</v>
      </c>
      <c r="CF171" s="3" t="str">
        <f t="shared" si="12"/>
        <v>صيدلة اكلينيكى</v>
      </c>
    </row>
    <row r="172" spans="3:84" x14ac:dyDescent="0.25">
      <c r="C172" s="78">
        <v>13723</v>
      </c>
      <c r="D172" s="70">
        <v>8523</v>
      </c>
      <c r="E172" s="69" t="s">
        <v>132</v>
      </c>
      <c r="F172" s="79" t="s">
        <v>1239</v>
      </c>
      <c r="H172" s="69">
        <v>6050.1</v>
      </c>
      <c r="U172" s="69"/>
      <c r="V172" s="69"/>
      <c r="AR172" s="74">
        <f t="shared" si="14"/>
        <v>6050.1</v>
      </c>
      <c r="AS172" s="69">
        <v>4043.7</v>
      </c>
      <c r="AT172" s="69">
        <v>548.70000000000005</v>
      </c>
      <c r="AU172" s="69">
        <v>1457.7</v>
      </c>
      <c r="BC172" s="69"/>
      <c r="BD172" s="69"/>
      <c r="CC172" s="74">
        <f t="shared" si="13"/>
        <v>6050.0999999999995</v>
      </c>
      <c r="CD172" s="73">
        <f t="shared" ref="CD172:CD235" si="15">+CC172-AR172</f>
        <v>0</v>
      </c>
      <c r="CE172" s="75">
        <f t="shared" ref="CE172:CF235" si="16">+D172</f>
        <v>8523</v>
      </c>
      <c r="CF172" s="3" t="str">
        <f t="shared" si="16"/>
        <v>صيدلة اكلينيكى</v>
      </c>
    </row>
    <row r="173" spans="3:84" x14ac:dyDescent="0.25">
      <c r="C173" s="78">
        <v>13722</v>
      </c>
      <c r="D173" s="70">
        <v>8524</v>
      </c>
      <c r="E173" s="69" t="s">
        <v>132</v>
      </c>
      <c r="F173" s="79" t="s">
        <v>1239</v>
      </c>
      <c r="H173" s="69">
        <v>3746.69</v>
      </c>
      <c r="U173" s="69"/>
      <c r="V173" s="69"/>
      <c r="AR173" s="74">
        <f t="shared" si="14"/>
        <v>3746.69</v>
      </c>
      <c r="AS173" s="69">
        <v>2754.76</v>
      </c>
      <c r="AT173" s="69">
        <v>358.65</v>
      </c>
      <c r="AU173" s="69">
        <v>633.28</v>
      </c>
      <c r="BC173" s="69"/>
      <c r="BD173" s="69"/>
      <c r="CC173" s="74">
        <f t="shared" ref="CC173:CC236" si="17">SUM(AS173:CB173)</f>
        <v>3746.6900000000005</v>
      </c>
      <c r="CD173" s="73">
        <f t="shared" si="15"/>
        <v>0</v>
      </c>
      <c r="CE173" s="75">
        <f t="shared" si="16"/>
        <v>8524</v>
      </c>
      <c r="CF173" s="3" t="str">
        <f t="shared" si="16"/>
        <v>صيدلة اكلينيكى</v>
      </c>
    </row>
    <row r="174" spans="3:84" x14ac:dyDescent="0.25">
      <c r="C174" s="78">
        <v>13725</v>
      </c>
      <c r="D174" s="70">
        <v>8525</v>
      </c>
      <c r="E174" s="69" t="s">
        <v>132</v>
      </c>
      <c r="F174" s="79" t="s">
        <v>1239</v>
      </c>
      <c r="H174" s="69">
        <v>3517.5</v>
      </c>
      <c r="U174" s="69"/>
      <c r="V174" s="69"/>
      <c r="AR174" s="74">
        <f t="shared" si="14"/>
        <v>3517.5</v>
      </c>
      <c r="AS174" s="69">
        <v>2347.87</v>
      </c>
      <c r="AT174" s="69">
        <f>300+22.13</f>
        <v>322.13</v>
      </c>
      <c r="AU174" s="69">
        <v>847.5</v>
      </c>
      <c r="BC174" s="69"/>
      <c r="BD174" s="69"/>
      <c r="CC174" s="74">
        <f t="shared" si="17"/>
        <v>3517.5</v>
      </c>
      <c r="CD174" s="73">
        <f t="shared" si="15"/>
        <v>0</v>
      </c>
      <c r="CE174" s="75">
        <f t="shared" si="16"/>
        <v>8525</v>
      </c>
      <c r="CF174" s="3" t="str">
        <f t="shared" si="16"/>
        <v>صيدلة اكلينيكى</v>
      </c>
    </row>
    <row r="175" spans="3:84" x14ac:dyDescent="0.25">
      <c r="C175" s="78">
        <v>14484</v>
      </c>
      <c r="D175" s="70">
        <v>8526</v>
      </c>
      <c r="E175" s="69" t="s">
        <v>119</v>
      </c>
      <c r="F175" s="79" t="s">
        <v>494</v>
      </c>
      <c r="H175" s="69">
        <v>769.36</v>
      </c>
      <c r="U175" s="69"/>
      <c r="V175" s="69"/>
      <c r="AR175" s="74">
        <f t="shared" si="14"/>
        <v>769.36</v>
      </c>
      <c r="AS175" s="69">
        <v>620.5</v>
      </c>
      <c r="AT175" s="69">
        <f>3+15.9</f>
        <v>18.899999999999999</v>
      </c>
      <c r="AU175" s="69">
        <v>129.96</v>
      </c>
      <c r="BC175" s="69"/>
      <c r="BD175" s="69"/>
      <c r="CC175" s="74">
        <f t="shared" si="17"/>
        <v>769.36</v>
      </c>
      <c r="CD175" s="73">
        <f t="shared" si="15"/>
        <v>0</v>
      </c>
      <c r="CE175" s="75">
        <f t="shared" si="16"/>
        <v>8526</v>
      </c>
      <c r="CF175" s="3" t="str">
        <f t="shared" si="16"/>
        <v>خ ت صيدلة</v>
      </c>
    </row>
    <row r="176" spans="3:84" x14ac:dyDescent="0.25">
      <c r="C176" s="78">
        <v>14493</v>
      </c>
      <c r="D176" s="70">
        <v>8527</v>
      </c>
      <c r="E176" s="69" t="s">
        <v>119</v>
      </c>
      <c r="F176" s="79" t="s">
        <v>1240</v>
      </c>
      <c r="H176" s="69">
        <v>783.3</v>
      </c>
      <c r="U176" s="69"/>
      <c r="V176" s="69"/>
      <c r="AR176" s="74">
        <f t="shared" si="14"/>
        <v>783.3</v>
      </c>
      <c r="AS176" s="69">
        <v>502.11</v>
      </c>
      <c r="AT176" s="69">
        <v>55.79</v>
      </c>
      <c r="AU176" s="69">
        <v>192.1</v>
      </c>
      <c r="AV176" s="69">
        <v>33.299999999999997</v>
      </c>
      <c r="BC176" s="69"/>
      <c r="BD176" s="69"/>
      <c r="CC176" s="74">
        <f t="shared" si="17"/>
        <v>783.3</v>
      </c>
      <c r="CD176" s="73">
        <f t="shared" si="15"/>
        <v>0</v>
      </c>
      <c r="CE176" s="75">
        <f t="shared" si="16"/>
        <v>8527</v>
      </c>
      <c r="CF176" s="3" t="str">
        <f t="shared" si="16"/>
        <v>خ ت صيدلة</v>
      </c>
    </row>
    <row r="177" spans="3:84" x14ac:dyDescent="0.25">
      <c r="C177" s="78">
        <v>14495</v>
      </c>
      <c r="D177" s="70">
        <v>8528</v>
      </c>
      <c r="E177" s="69" t="s">
        <v>119</v>
      </c>
      <c r="F177" s="79" t="s">
        <v>1240</v>
      </c>
      <c r="H177" s="69">
        <v>5571.95</v>
      </c>
      <c r="U177" s="69"/>
      <c r="V177" s="69"/>
      <c r="AR177" s="74">
        <f t="shared" si="14"/>
        <v>5571.95</v>
      </c>
      <c r="AS177" s="69">
        <v>3401.27</v>
      </c>
      <c r="AT177" s="69">
        <v>590.54999999999995</v>
      </c>
      <c r="AU177" s="69">
        <v>1342.52</v>
      </c>
      <c r="AV177" s="69">
        <v>237.61</v>
      </c>
      <c r="BC177" s="69"/>
      <c r="BD177" s="69"/>
      <c r="CC177" s="74">
        <f t="shared" si="17"/>
        <v>5571.95</v>
      </c>
      <c r="CD177" s="73">
        <f t="shared" si="15"/>
        <v>0</v>
      </c>
      <c r="CE177" s="75">
        <f t="shared" si="16"/>
        <v>8528</v>
      </c>
      <c r="CF177" s="3" t="str">
        <f t="shared" si="16"/>
        <v>خ ت صيدلة</v>
      </c>
    </row>
    <row r="178" spans="3:84" x14ac:dyDescent="0.25">
      <c r="C178" s="78">
        <v>14491</v>
      </c>
      <c r="D178" s="70">
        <v>8529</v>
      </c>
      <c r="E178" s="69" t="s">
        <v>119</v>
      </c>
      <c r="F178" s="79" t="s">
        <v>1240</v>
      </c>
      <c r="H178" s="69">
        <v>949.75</v>
      </c>
      <c r="U178" s="69"/>
      <c r="V178" s="69"/>
      <c r="AR178" s="74">
        <f t="shared" si="14"/>
        <v>949.75</v>
      </c>
      <c r="AS178" s="69">
        <v>573.63</v>
      </c>
      <c r="AT178" s="69">
        <v>106.77</v>
      </c>
      <c r="AU178" s="69">
        <v>228.85</v>
      </c>
      <c r="AV178" s="69">
        <v>40.5</v>
      </c>
      <c r="BC178" s="69"/>
      <c r="BD178" s="69"/>
      <c r="CC178" s="74">
        <f t="shared" si="17"/>
        <v>949.75</v>
      </c>
      <c r="CD178" s="73">
        <f t="shared" si="15"/>
        <v>0</v>
      </c>
      <c r="CE178" s="75">
        <f t="shared" si="16"/>
        <v>8529</v>
      </c>
      <c r="CF178" s="3" t="str">
        <f t="shared" si="16"/>
        <v>خ ت صيدلة</v>
      </c>
    </row>
    <row r="179" spans="3:84" x14ac:dyDescent="0.25">
      <c r="C179" s="78">
        <v>14486</v>
      </c>
      <c r="D179" s="70">
        <v>8530</v>
      </c>
      <c r="E179" s="69" t="s">
        <v>119</v>
      </c>
      <c r="F179" s="79" t="str">
        <f>+F175</f>
        <v>مكافاه قسم الاستحقاقات</v>
      </c>
      <c r="H179" s="69">
        <v>1618.08</v>
      </c>
      <c r="U179" s="69"/>
      <c r="V179" s="69"/>
      <c r="AR179" s="74">
        <f t="shared" si="14"/>
        <v>1618.08</v>
      </c>
      <c r="AS179" s="69">
        <v>980.46</v>
      </c>
      <c r="AT179" s="69">
        <v>178.74</v>
      </c>
      <c r="AU179" s="69">
        <v>389.88</v>
      </c>
      <c r="AV179" s="69">
        <v>69</v>
      </c>
      <c r="BC179" s="69"/>
      <c r="BD179" s="69"/>
      <c r="CC179" s="74">
        <f t="shared" si="17"/>
        <v>1618.08</v>
      </c>
      <c r="CD179" s="73">
        <f t="shared" si="15"/>
        <v>0</v>
      </c>
      <c r="CE179" s="75">
        <f t="shared" si="16"/>
        <v>8530</v>
      </c>
      <c r="CF179" s="3" t="str">
        <f t="shared" si="16"/>
        <v>خ ت صيدلة</v>
      </c>
    </row>
    <row r="180" spans="3:84" x14ac:dyDescent="0.25">
      <c r="C180" s="78">
        <v>14485</v>
      </c>
      <c r="D180" s="70">
        <v>8531</v>
      </c>
      <c r="E180" s="69" t="s">
        <v>119</v>
      </c>
      <c r="F180" s="79" t="str">
        <f>+F179</f>
        <v>مكافاه قسم الاستحقاقات</v>
      </c>
      <c r="H180" s="69">
        <v>269.68</v>
      </c>
      <c r="U180" s="69"/>
      <c r="V180" s="69"/>
      <c r="AR180" s="74">
        <f t="shared" si="14"/>
        <v>269.68</v>
      </c>
      <c r="AS180" s="69">
        <v>173.02</v>
      </c>
      <c r="AT180" s="69">
        <v>20.18</v>
      </c>
      <c r="AU180" s="69">
        <v>64.98</v>
      </c>
      <c r="AV180" s="69">
        <v>11.5</v>
      </c>
      <c r="BC180" s="69"/>
      <c r="BD180" s="69"/>
      <c r="CC180" s="74">
        <f t="shared" si="17"/>
        <v>269.68</v>
      </c>
      <c r="CD180" s="73">
        <f t="shared" si="15"/>
        <v>0</v>
      </c>
      <c r="CE180" s="75">
        <f t="shared" si="16"/>
        <v>8531</v>
      </c>
      <c r="CF180" s="3" t="str">
        <f t="shared" si="16"/>
        <v>خ ت صيدلة</v>
      </c>
    </row>
    <row r="181" spans="3:84" x14ac:dyDescent="0.25">
      <c r="C181" s="78">
        <v>14487</v>
      </c>
      <c r="D181" s="70">
        <v>8532</v>
      </c>
      <c r="E181" s="69" t="s">
        <v>119</v>
      </c>
      <c r="F181" s="79" t="s">
        <v>1241</v>
      </c>
      <c r="H181" s="69">
        <v>1172.5</v>
      </c>
      <c r="U181" s="69"/>
      <c r="V181" s="69"/>
      <c r="AR181" s="74">
        <f t="shared" si="14"/>
        <v>1172.5</v>
      </c>
      <c r="AS181" s="69">
        <v>680.61</v>
      </c>
      <c r="AT181" s="69">
        <v>159.38999999999999</v>
      </c>
      <c r="AU181" s="69">
        <v>282.5</v>
      </c>
      <c r="AV181" s="69">
        <v>50</v>
      </c>
      <c r="BC181" s="69"/>
      <c r="BD181" s="69"/>
      <c r="CC181" s="74">
        <f t="shared" si="17"/>
        <v>1172.5</v>
      </c>
      <c r="CD181" s="73">
        <f t="shared" si="15"/>
        <v>0</v>
      </c>
      <c r="CE181" s="75">
        <f t="shared" si="16"/>
        <v>8532</v>
      </c>
      <c r="CF181" s="3" t="str">
        <f t="shared" si="16"/>
        <v>خ ت صيدلة</v>
      </c>
    </row>
    <row r="182" spans="3:84" x14ac:dyDescent="0.25">
      <c r="C182" s="78">
        <v>14488</v>
      </c>
      <c r="D182" s="70">
        <v>8533</v>
      </c>
      <c r="E182" s="69" t="s">
        <v>119</v>
      </c>
      <c r="F182" s="79" t="s">
        <v>1242</v>
      </c>
      <c r="H182" s="69">
        <v>469</v>
      </c>
      <c r="U182" s="69"/>
      <c r="V182" s="69"/>
      <c r="AR182" s="74">
        <f t="shared" si="14"/>
        <v>469</v>
      </c>
      <c r="AS182" s="69">
        <v>267.2</v>
      </c>
      <c r="AT182" s="69">
        <v>68.8</v>
      </c>
      <c r="AU182" s="69">
        <v>113</v>
      </c>
      <c r="AV182" s="69">
        <v>20</v>
      </c>
      <c r="BC182" s="69"/>
      <c r="BD182" s="69"/>
      <c r="CC182" s="74">
        <f t="shared" si="17"/>
        <v>469</v>
      </c>
      <c r="CD182" s="73">
        <f t="shared" si="15"/>
        <v>0</v>
      </c>
      <c r="CE182" s="75">
        <f t="shared" si="16"/>
        <v>8533</v>
      </c>
      <c r="CF182" s="3" t="str">
        <f t="shared" si="16"/>
        <v>خ ت صيدلة</v>
      </c>
    </row>
    <row r="183" spans="3:84" x14ac:dyDescent="0.25">
      <c r="C183" s="78">
        <v>14489</v>
      </c>
      <c r="D183" s="70">
        <v>8534</v>
      </c>
      <c r="E183" s="69" t="s">
        <v>119</v>
      </c>
      <c r="F183" s="79" t="s">
        <v>1243</v>
      </c>
      <c r="H183" s="69">
        <v>586.25</v>
      </c>
      <c r="U183" s="69"/>
      <c r="V183" s="69"/>
      <c r="AR183" s="74">
        <f t="shared" si="14"/>
        <v>586.25</v>
      </c>
      <c r="AS183" s="69">
        <v>375.66</v>
      </c>
      <c r="AT183" s="69">
        <v>44.34</v>
      </c>
      <c r="AU183" s="69">
        <v>141.25</v>
      </c>
      <c r="AV183" s="69">
        <v>25</v>
      </c>
      <c r="BC183" s="69"/>
      <c r="BD183" s="69"/>
      <c r="CC183" s="74">
        <f t="shared" si="17"/>
        <v>586.25</v>
      </c>
      <c r="CD183" s="73">
        <f t="shared" si="15"/>
        <v>0</v>
      </c>
      <c r="CE183" s="75">
        <f t="shared" si="16"/>
        <v>8534</v>
      </c>
      <c r="CF183" s="3" t="str">
        <f t="shared" si="16"/>
        <v>خ ت صيدلة</v>
      </c>
    </row>
    <row r="184" spans="3:84" x14ac:dyDescent="0.25">
      <c r="C184" s="78">
        <v>14490</v>
      </c>
      <c r="D184" s="70">
        <v>8535</v>
      </c>
      <c r="E184" s="69" t="s">
        <v>119</v>
      </c>
      <c r="F184" s="79" t="s">
        <v>1244</v>
      </c>
      <c r="H184" s="69">
        <v>1000</v>
      </c>
      <c r="U184" s="69"/>
      <c r="V184" s="69"/>
      <c r="AR184" s="74">
        <f t="shared" si="14"/>
        <v>1000</v>
      </c>
      <c r="AS184" s="69">
        <v>893.35</v>
      </c>
      <c r="AT184" s="69">
        <v>106.65</v>
      </c>
      <c r="BC184" s="69"/>
      <c r="BD184" s="69"/>
      <c r="CC184" s="74">
        <f t="shared" si="17"/>
        <v>1000</v>
      </c>
      <c r="CD184" s="73">
        <f t="shared" si="15"/>
        <v>0</v>
      </c>
      <c r="CE184" s="75">
        <f t="shared" si="16"/>
        <v>8535</v>
      </c>
      <c r="CF184" s="3" t="str">
        <f t="shared" si="16"/>
        <v>خ ت صيدلة</v>
      </c>
    </row>
    <row r="185" spans="3:84" x14ac:dyDescent="0.25">
      <c r="C185" s="78">
        <v>14492</v>
      </c>
      <c r="D185" s="70">
        <v>8536</v>
      </c>
      <c r="E185" s="69" t="s">
        <v>119</v>
      </c>
      <c r="F185" s="79" t="str">
        <f>+F178</f>
        <v>مكافاه خ ت ديسمبر</v>
      </c>
      <c r="H185" s="69">
        <v>46.9</v>
      </c>
      <c r="U185" s="69"/>
      <c r="V185" s="69"/>
      <c r="AR185" s="74">
        <f t="shared" si="14"/>
        <v>46.9</v>
      </c>
      <c r="AS185" s="69">
        <v>30.24</v>
      </c>
      <c r="AT185" s="69">
        <v>3.36</v>
      </c>
      <c r="AU185" s="69">
        <v>11.3</v>
      </c>
      <c r="AV185" s="69">
        <v>2</v>
      </c>
      <c r="BC185" s="69"/>
      <c r="BD185" s="69"/>
      <c r="CC185" s="74">
        <f t="shared" si="17"/>
        <v>46.900000000000006</v>
      </c>
      <c r="CD185" s="73">
        <f t="shared" si="15"/>
        <v>0</v>
      </c>
      <c r="CE185" s="75">
        <f t="shared" si="16"/>
        <v>8536</v>
      </c>
      <c r="CF185" s="3" t="str">
        <f t="shared" si="16"/>
        <v>خ ت صيدلة</v>
      </c>
    </row>
    <row r="186" spans="3:84" x14ac:dyDescent="0.25">
      <c r="C186" s="78">
        <v>14494</v>
      </c>
      <c r="D186" s="70">
        <v>8537</v>
      </c>
      <c r="E186" s="69" t="s">
        <v>119</v>
      </c>
      <c r="F186" s="79" t="str">
        <f>+F185</f>
        <v>مكافاه خ ت ديسمبر</v>
      </c>
      <c r="H186" s="69">
        <v>93.8</v>
      </c>
      <c r="U186" s="69"/>
      <c r="V186" s="69"/>
      <c r="AR186" s="74">
        <f t="shared" si="14"/>
        <v>93.8</v>
      </c>
      <c r="AS186" s="69">
        <v>60.48</v>
      </c>
      <c r="AT186" s="69">
        <v>6.72</v>
      </c>
      <c r="AU186" s="69">
        <v>22.6</v>
      </c>
      <c r="AV186" s="69">
        <v>4</v>
      </c>
      <c r="BC186" s="69"/>
      <c r="BD186" s="69"/>
      <c r="CC186" s="74">
        <f t="shared" si="17"/>
        <v>93.800000000000011</v>
      </c>
      <c r="CD186" s="73">
        <f t="shared" si="15"/>
        <v>0</v>
      </c>
      <c r="CE186" s="75">
        <f t="shared" si="16"/>
        <v>8537</v>
      </c>
      <c r="CF186" s="3" t="str">
        <f t="shared" si="16"/>
        <v>خ ت صيدلة</v>
      </c>
    </row>
    <row r="187" spans="3:84" x14ac:dyDescent="0.25">
      <c r="C187" s="78">
        <v>14496</v>
      </c>
      <c r="D187" s="70">
        <v>8538</v>
      </c>
      <c r="E187" s="69" t="s">
        <v>119</v>
      </c>
      <c r="F187" s="79" t="str">
        <f>+F185</f>
        <v>مكافاه خ ت ديسمبر</v>
      </c>
      <c r="H187" s="69">
        <v>46.9</v>
      </c>
      <c r="U187" s="69"/>
      <c r="V187" s="69"/>
      <c r="AR187" s="74">
        <f t="shared" si="14"/>
        <v>46.9</v>
      </c>
      <c r="AS187" s="69">
        <v>30.24</v>
      </c>
      <c r="AT187" s="69">
        <v>3.36</v>
      </c>
      <c r="AU187" s="69">
        <v>11.3</v>
      </c>
      <c r="AV187" s="69">
        <v>2</v>
      </c>
      <c r="BC187" s="69"/>
      <c r="BD187" s="69"/>
      <c r="CC187" s="74">
        <f t="shared" si="17"/>
        <v>46.900000000000006</v>
      </c>
      <c r="CD187" s="73">
        <f t="shared" si="15"/>
        <v>0</v>
      </c>
      <c r="CE187" s="75">
        <f t="shared" si="16"/>
        <v>8538</v>
      </c>
      <c r="CF187" s="3" t="str">
        <f t="shared" si="16"/>
        <v>خ ت صيدلة</v>
      </c>
    </row>
    <row r="188" spans="3:84" x14ac:dyDescent="0.25">
      <c r="C188" s="78">
        <v>11054</v>
      </c>
      <c r="D188" s="70">
        <v>8539</v>
      </c>
      <c r="E188" s="69" t="s">
        <v>119</v>
      </c>
      <c r="F188" s="79" t="s">
        <v>1245</v>
      </c>
      <c r="H188" s="69">
        <v>3458.72</v>
      </c>
      <c r="U188" s="69"/>
      <c r="V188" s="69"/>
      <c r="AR188" s="74">
        <f t="shared" si="14"/>
        <v>3458.72</v>
      </c>
      <c r="AS188" s="69">
        <v>2484.04</v>
      </c>
      <c r="AT188" s="69">
        <v>645.01</v>
      </c>
      <c r="AU188" s="69">
        <v>161.66999999999999</v>
      </c>
      <c r="AV188" s="69">
        <v>168</v>
      </c>
      <c r="BC188" s="69"/>
      <c r="BD188" s="69"/>
      <c r="CC188" s="74">
        <f t="shared" si="17"/>
        <v>3458.7200000000003</v>
      </c>
      <c r="CD188" s="73">
        <f t="shared" si="15"/>
        <v>0</v>
      </c>
      <c r="CE188" s="75">
        <f t="shared" si="16"/>
        <v>8539</v>
      </c>
      <c r="CF188" s="3" t="str">
        <f t="shared" si="16"/>
        <v>خ ت صيدلة</v>
      </c>
    </row>
    <row r="189" spans="3:84" x14ac:dyDescent="0.25">
      <c r="C189" s="78">
        <v>14376</v>
      </c>
      <c r="D189" s="70">
        <v>8540</v>
      </c>
      <c r="E189" s="69" t="s">
        <v>119</v>
      </c>
      <c r="F189" s="79" t="s">
        <v>1246</v>
      </c>
      <c r="H189" s="69">
        <v>2051.88</v>
      </c>
      <c r="U189" s="69"/>
      <c r="V189" s="69"/>
      <c r="AR189" s="74">
        <f t="shared" si="14"/>
        <v>2051.88</v>
      </c>
      <c r="AS189" s="69">
        <v>1264.03</v>
      </c>
      <c r="AT189" s="69">
        <v>205.97</v>
      </c>
      <c r="AU189" s="69">
        <v>494.38</v>
      </c>
      <c r="AV189" s="69">
        <v>87.5</v>
      </c>
      <c r="BC189" s="69"/>
      <c r="BD189" s="69"/>
      <c r="CC189" s="74">
        <f t="shared" si="17"/>
        <v>2051.88</v>
      </c>
      <c r="CD189" s="73">
        <f t="shared" si="15"/>
        <v>0</v>
      </c>
      <c r="CE189" s="75">
        <f t="shared" si="16"/>
        <v>8540</v>
      </c>
      <c r="CF189" s="3" t="str">
        <f t="shared" si="16"/>
        <v>خ ت صيدلة</v>
      </c>
    </row>
    <row r="190" spans="3:84" x14ac:dyDescent="0.25">
      <c r="C190" s="78">
        <v>14377</v>
      </c>
      <c r="D190" s="70">
        <v>8541</v>
      </c>
      <c r="E190" s="69" t="s">
        <v>119</v>
      </c>
      <c r="F190" s="79" t="s">
        <v>1247</v>
      </c>
      <c r="H190" s="69">
        <v>3766.02</v>
      </c>
      <c r="U190" s="69"/>
      <c r="V190" s="69"/>
      <c r="AR190" s="74">
        <f t="shared" si="14"/>
        <v>3766.02</v>
      </c>
      <c r="AS190" s="69">
        <v>2328.42</v>
      </c>
      <c r="AT190" s="69">
        <v>604.66</v>
      </c>
      <c r="AU190" s="69">
        <v>664.94</v>
      </c>
      <c r="AV190" s="69">
        <v>168</v>
      </c>
      <c r="BC190" s="69"/>
      <c r="BD190" s="69"/>
      <c r="CC190" s="74">
        <f t="shared" si="17"/>
        <v>3766.02</v>
      </c>
      <c r="CD190" s="73">
        <f t="shared" si="15"/>
        <v>0</v>
      </c>
      <c r="CE190" s="75">
        <f t="shared" si="16"/>
        <v>8541</v>
      </c>
      <c r="CF190" s="3" t="str">
        <f t="shared" si="16"/>
        <v>خ ت صيدلة</v>
      </c>
    </row>
    <row r="191" spans="3:84" x14ac:dyDescent="0.25">
      <c r="C191" s="78">
        <v>14380</v>
      </c>
      <c r="D191" s="70">
        <v>8542</v>
      </c>
      <c r="E191" s="69" t="s">
        <v>119</v>
      </c>
      <c r="F191" s="79" t="str">
        <f>+F150</f>
        <v>مكافاه اداريين وعمال</v>
      </c>
      <c r="H191" s="69">
        <v>8354.0499999999993</v>
      </c>
      <c r="U191" s="69"/>
      <c r="V191" s="69"/>
      <c r="AR191" s="74">
        <f t="shared" si="14"/>
        <v>8354.0499999999993</v>
      </c>
      <c r="AS191" s="69">
        <v>5086.66</v>
      </c>
      <c r="AT191" s="69">
        <v>898.34</v>
      </c>
      <c r="AU191" s="69">
        <v>2012.8</v>
      </c>
      <c r="AV191" s="69">
        <v>356.25</v>
      </c>
      <c r="BC191" s="69"/>
      <c r="BD191" s="69"/>
      <c r="CC191" s="74">
        <f t="shared" si="17"/>
        <v>8354.0499999999993</v>
      </c>
      <c r="CD191" s="73">
        <f t="shared" si="15"/>
        <v>0</v>
      </c>
      <c r="CE191" s="75">
        <f t="shared" si="16"/>
        <v>8542</v>
      </c>
      <c r="CF191" s="3" t="str">
        <f t="shared" si="16"/>
        <v>خ ت صيدلة</v>
      </c>
    </row>
    <row r="192" spans="3:84" x14ac:dyDescent="0.25">
      <c r="C192" s="78">
        <v>14379</v>
      </c>
      <c r="D192" s="70">
        <v>8543</v>
      </c>
      <c r="E192" s="69" t="s">
        <v>119</v>
      </c>
      <c r="F192" s="79" t="str">
        <f t="shared" ref="F192:F194" si="18">+F151</f>
        <v>مكافاه اداريين وعمال</v>
      </c>
      <c r="H192" s="69">
        <v>2790.26</v>
      </c>
      <c r="U192" s="69"/>
      <c r="V192" s="69"/>
      <c r="AR192" s="74">
        <f t="shared" si="14"/>
        <v>2790.26</v>
      </c>
      <c r="AS192" s="69">
        <v>1782.45</v>
      </c>
      <c r="AT192" s="69">
        <v>209</v>
      </c>
      <c r="AU192" s="69">
        <v>680.06</v>
      </c>
      <c r="AV192" s="69">
        <v>118.75</v>
      </c>
      <c r="BC192" s="69"/>
      <c r="BD192" s="69"/>
      <c r="CC192" s="74">
        <f t="shared" si="17"/>
        <v>2790.26</v>
      </c>
      <c r="CD192" s="73">
        <f t="shared" si="15"/>
        <v>0</v>
      </c>
      <c r="CE192" s="75">
        <f t="shared" si="16"/>
        <v>8543</v>
      </c>
      <c r="CF192" s="3" t="str">
        <f t="shared" si="16"/>
        <v>خ ت صيدلة</v>
      </c>
    </row>
    <row r="193" spans="2:84" x14ac:dyDescent="0.25">
      <c r="C193" s="78">
        <v>14381</v>
      </c>
      <c r="D193" s="70">
        <v>8544</v>
      </c>
      <c r="E193" s="69" t="s">
        <v>119</v>
      </c>
      <c r="F193" s="79" t="str">
        <f t="shared" si="18"/>
        <v>مكافاه اداريين وعمال</v>
      </c>
      <c r="H193" s="69">
        <v>2637.91</v>
      </c>
      <c r="U193" s="69"/>
      <c r="V193" s="69"/>
      <c r="AR193" s="74">
        <f t="shared" si="14"/>
        <v>2637.91</v>
      </c>
      <c r="AS193" s="69">
        <v>1985.89</v>
      </c>
      <c r="AT193" s="69">
        <f>12.1+50.92</f>
        <v>63.02</v>
      </c>
      <c r="AU193" s="69">
        <v>471.5</v>
      </c>
      <c r="AV193" s="69">
        <v>117.5</v>
      </c>
      <c r="BC193" s="69"/>
      <c r="BD193" s="69"/>
      <c r="CC193" s="74">
        <f t="shared" si="17"/>
        <v>2637.9100000000003</v>
      </c>
      <c r="CD193" s="73">
        <f t="shared" si="15"/>
        <v>0</v>
      </c>
      <c r="CE193" s="75">
        <f t="shared" si="16"/>
        <v>8544</v>
      </c>
      <c r="CF193" s="3" t="str">
        <f t="shared" si="16"/>
        <v>خ ت صيدلة</v>
      </c>
    </row>
    <row r="194" spans="2:84" x14ac:dyDescent="0.25">
      <c r="C194" s="78">
        <v>14378</v>
      </c>
      <c r="D194" s="70">
        <v>8545</v>
      </c>
      <c r="E194" s="69" t="s">
        <v>119</v>
      </c>
      <c r="F194" s="79" t="str">
        <f t="shared" si="18"/>
        <v>مكافاه اداريين وعمال</v>
      </c>
      <c r="H194" s="69">
        <v>293.12</v>
      </c>
      <c r="U194" s="69"/>
      <c r="V194" s="69"/>
      <c r="AR194" s="74">
        <f t="shared" si="14"/>
        <v>293.12</v>
      </c>
      <c r="AS194" s="69">
        <v>188.06</v>
      </c>
      <c r="AT194" s="69">
        <v>21.94</v>
      </c>
      <c r="AU194" s="69">
        <v>70.62</v>
      </c>
      <c r="AV194" s="69">
        <v>12.5</v>
      </c>
      <c r="BC194" s="69"/>
      <c r="BD194" s="69"/>
      <c r="CC194" s="74">
        <f t="shared" si="17"/>
        <v>293.12</v>
      </c>
      <c r="CD194" s="73">
        <f t="shared" si="15"/>
        <v>0</v>
      </c>
      <c r="CE194" s="75">
        <f t="shared" si="16"/>
        <v>8545</v>
      </c>
      <c r="CF194" s="3" t="str">
        <f t="shared" si="16"/>
        <v>خ ت صيدلة</v>
      </c>
    </row>
    <row r="195" spans="2:84" x14ac:dyDescent="0.25">
      <c r="C195" s="78">
        <v>13826</v>
      </c>
      <c r="D195" s="70">
        <v>8546</v>
      </c>
      <c r="E195" s="69" t="s">
        <v>78</v>
      </c>
      <c r="F195" s="79" t="s">
        <v>1010</v>
      </c>
      <c r="H195" s="69">
        <v>1800</v>
      </c>
      <c r="U195" s="69"/>
      <c r="V195" s="69"/>
      <c r="AR195" s="74">
        <f t="shared" si="14"/>
        <v>1800</v>
      </c>
      <c r="AS195" s="69">
        <v>1606.85</v>
      </c>
      <c r="AT195" s="69">
        <v>193.15</v>
      </c>
      <c r="BC195" s="69"/>
      <c r="BD195" s="69"/>
      <c r="CC195" s="74">
        <f t="shared" si="17"/>
        <v>1800</v>
      </c>
      <c r="CD195" s="73">
        <f t="shared" si="15"/>
        <v>0</v>
      </c>
      <c r="CE195" s="75">
        <f t="shared" si="16"/>
        <v>8546</v>
      </c>
      <c r="CF195" s="3" t="str">
        <f t="shared" si="16"/>
        <v>برنامج دولى</v>
      </c>
    </row>
    <row r="196" spans="2:84" x14ac:dyDescent="0.25">
      <c r="C196" s="78">
        <v>14454</v>
      </c>
      <c r="D196" s="70">
        <v>8547</v>
      </c>
      <c r="E196" s="69" t="s">
        <v>78</v>
      </c>
      <c r="F196" s="79" t="s">
        <v>1248</v>
      </c>
      <c r="H196" s="69">
        <v>3289.87</v>
      </c>
      <c r="U196" s="69"/>
      <c r="V196" s="69"/>
      <c r="AR196" s="74">
        <f t="shared" si="14"/>
        <v>3289.87</v>
      </c>
      <c r="AS196" s="69">
        <v>2270.5</v>
      </c>
      <c r="AT196" s="69">
        <v>299</v>
      </c>
      <c r="AU196" s="69">
        <v>720.37</v>
      </c>
      <c r="BC196" s="69"/>
      <c r="BD196" s="69"/>
      <c r="CC196" s="74">
        <f t="shared" si="17"/>
        <v>3289.87</v>
      </c>
      <c r="CD196" s="73">
        <f t="shared" si="15"/>
        <v>0</v>
      </c>
      <c r="CE196" s="75">
        <f t="shared" si="16"/>
        <v>8547</v>
      </c>
      <c r="CF196" s="3" t="str">
        <f t="shared" si="16"/>
        <v>برنامج دولى</v>
      </c>
    </row>
    <row r="197" spans="2:84" x14ac:dyDescent="0.25">
      <c r="C197" s="78">
        <v>14455</v>
      </c>
      <c r="D197" s="70">
        <v>8548</v>
      </c>
      <c r="E197" s="69" t="s">
        <v>78</v>
      </c>
      <c r="F197" s="79" t="s">
        <v>1248</v>
      </c>
      <c r="H197" s="69">
        <v>500</v>
      </c>
      <c r="U197" s="69"/>
      <c r="V197" s="69"/>
      <c r="AR197" s="74">
        <f t="shared" si="14"/>
        <v>500</v>
      </c>
      <c r="AS197" s="69">
        <v>447.05</v>
      </c>
      <c r="AT197" s="69">
        <v>52.95</v>
      </c>
      <c r="BC197" s="69"/>
      <c r="BD197" s="69"/>
      <c r="CC197" s="74">
        <f t="shared" si="17"/>
        <v>500</v>
      </c>
      <c r="CD197" s="73">
        <f t="shared" si="15"/>
        <v>0</v>
      </c>
      <c r="CE197" s="75">
        <f t="shared" si="16"/>
        <v>8548</v>
      </c>
      <c r="CF197" s="3" t="str">
        <f t="shared" si="16"/>
        <v>برنامج دولى</v>
      </c>
    </row>
    <row r="198" spans="2:84" ht="27" customHeight="1" x14ac:dyDescent="0.25">
      <c r="C198" s="78">
        <v>14456</v>
      </c>
      <c r="D198" s="70">
        <v>8549</v>
      </c>
      <c r="E198" s="69" t="s">
        <v>78</v>
      </c>
      <c r="F198" s="79" t="s">
        <v>1248</v>
      </c>
      <c r="H198" s="69">
        <v>2113.25</v>
      </c>
      <c r="U198" s="69"/>
      <c r="V198" s="69"/>
      <c r="AR198" s="74">
        <f t="shared" si="14"/>
        <v>2113.25</v>
      </c>
      <c r="AS198" s="69">
        <v>1564.11</v>
      </c>
      <c r="AT198" s="69">
        <v>199.9</v>
      </c>
      <c r="AU198" s="69">
        <v>349.24</v>
      </c>
      <c r="BC198" s="69"/>
      <c r="BD198" s="69"/>
      <c r="CC198" s="74">
        <f t="shared" si="17"/>
        <v>2113.25</v>
      </c>
      <c r="CD198" s="73">
        <f t="shared" si="15"/>
        <v>0</v>
      </c>
      <c r="CE198" s="75">
        <f t="shared" si="16"/>
        <v>8549</v>
      </c>
      <c r="CF198" s="3" t="str">
        <f t="shared" si="16"/>
        <v>برنامج دولى</v>
      </c>
    </row>
    <row r="199" spans="2:84" x14ac:dyDescent="0.25">
      <c r="C199" s="78">
        <v>14457</v>
      </c>
      <c r="D199" s="70">
        <v>8550</v>
      </c>
      <c r="E199" s="69" t="s">
        <v>78</v>
      </c>
      <c r="F199" s="79" t="s">
        <v>1248</v>
      </c>
      <c r="H199" s="69">
        <v>586.25</v>
      </c>
      <c r="U199" s="69"/>
      <c r="V199" s="69"/>
      <c r="AR199" s="74">
        <f t="shared" si="14"/>
        <v>586.25</v>
      </c>
      <c r="AS199" s="69">
        <v>391.85</v>
      </c>
      <c r="AT199" s="69">
        <f>3.15+50</f>
        <v>53.15</v>
      </c>
      <c r="AU199" s="69">
        <f>194.4-AT199</f>
        <v>141.25</v>
      </c>
      <c r="BC199" s="69"/>
      <c r="BD199" s="69"/>
      <c r="CC199" s="74">
        <f t="shared" si="17"/>
        <v>586.25</v>
      </c>
      <c r="CD199" s="73">
        <f t="shared" si="15"/>
        <v>0</v>
      </c>
      <c r="CE199" s="75">
        <f t="shared" si="16"/>
        <v>8550</v>
      </c>
      <c r="CF199" s="3" t="str">
        <f t="shared" si="16"/>
        <v>برنامج دولى</v>
      </c>
    </row>
    <row r="200" spans="2:84" x14ac:dyDescent="0.25">
      <c r="B200" s="77"/>
      <c r="C200" s="78">
        <v>14549</v>
      </c>
      <c r="D200" s="70">
        <v>8551</v>
      </c>
      <c r="E200" s="69" t="s">
        <v>78</v>
      </c>
      <c r="F200" s="79" t="s">
        <v>498</v>
      </c>
      <c r="H200" s="69">
        <v>5500</v>
      </c>
      <c r="U200" s="69"/>
      <c r="V200" s="69"/>
      <c r="AR200" s="74">
        <f t="shared" si="14"/>
        <v>5500</v>
      </c>
      <c r="AS200" s="69">
        <v>4909.45</v>
      </c>
      <c r="AT200" s="69">
        <v>590.54999999999995</v>
      </c>
      <c r="BC200" s="69"/>
      <c r="BD200" s="69"/>
      <c r="CC200" s="74">
        <f t="shared" si="17"/>
        <v>5500</v>
      </c>
      <c r="CD200" s="73">
        <f t="shared" si="15"/>
        <v>0</v>
      </c>
      <c r="CE200" s="75">
        <f t="shared" si="16"/>
        <v>8551</v>
      </c>
      <c r="CF200" s="3" t="str">
        <f t="shared" si="16"/>
        <v>برنامج دولى</v>
      </c>
    </row>
    <row r="201" spans="2:84" x14ac:dyDescent="0.25">
      <c r="C201" s="78">
        <v>14449</v>
      </c>
      <c r="D201" s="70">
        <v>8552</v>
      </c>
      <c r="E201" s="69" t="s">
        <v>78</v>
      </c>
      <c r="F201" s="79" t="s">
        <v>1249</v>
      </c>
      <c r="H201" s="69">
        <v>15195.6</v>
      </c>
      <c r="U201" s="69"/>
      <c r="V201" s="69"/>
      <c r="AR201" s="74">
        <f t="shared" si="14"/>
        <v>15195.6</v>
      </c>
      <c r="AS201" s="69">
        <v>10149.9</v>
      </c>
      <c r="AT201" s="69">
        <f>88.5+1296</f>
        <v>1384.5</v>
      </c>
      <c r="AU201" s="69">
        <f>5045.7-AT201</f>
        <v>3661.2</v>
      </c>
      <c r="BC201" s="69"/>
      <c r="BD201" s="69"/>
      <c r="CC201" s="74">
        <f t="shared" si="17"/>
        <v>15195.599999999999</v>
      </c>
      <c r="CD201" s="73">
        <f t="shared" si="15"/>
        <v>0</v>
      </c>
      <c r="CE201" s="75">
        <f t="shared" si="16"/>
        <v>8552</v>
      </c>
      <c r="CF201" s="3" t="str">
        <f t="shared" si="16"/>
        <v>برنامج دولى</v>
      </c>
    </row>
    <row r="202" spans="2:84" x14ac:dyDescent="0.25">
      <c r="C202" s="78">
        <v>14083</v>
      </c>
      <c r="D202" s="70">
        <v>8553</v>
      </c>
      <c r="E202" s="69" t="s">
        <v>78</v>
      </c>
      <c r="F202" s="79" t="s">
        <v>1250</v>
      </c>
      <c r="H202" s="69">
        <v>2462.25</v>
      </c>
      <c r="U202" s="69"/>
      <c r="V202" s="69"/>
      <c r="AR202" s="74">
        <f t="shared" si="14"/>
        <v>2462.25</v>
      </c>
      <c r="AS202" s="69">
        <v>1645.35</v>
      </c>
      <c r="AT202" s="69">
        <v>223.65</v>
      </c>
      <c r="AU202" s="69">
        <v>593.25</v>
      </c>
      <c r="BC202" s="69"/>
      <c r="BD202" s="69"/>
      <c r="CC202" s="74">
        <f t="shared" si="17"/>
        <v>2462.25</v>
      </c>
      <c r="CD202" s="73">
        <f t="shared" si="15"/>
        <v>0</v>
      </c>
      <c r="CE202" s="75">
        <f t="shared" si="16"/>
        <v>8553</v>
      </c>
      <c r="CF202" s="3" t="str">
        <f t="shared" si="16"/>
        <v>برنامج دولى</v>
      </c>
    </row>
    <row r="203" spans="2:84" x14ac:dyDescent="0.25">
      <c r="C203" s="78">
        <v>14084</v>
      </c>
      <c r="D203" s="70">
        <v>8554</v>
      </c>
      <c r="E203" s="69" t="s">
        <v>78</v>
      </c>
      <c r="F203" s="79" t="s">
        <v>1250</v>
      </c>
      <c r="H203" s="69">
        <v>3693.37</v>
      </c>
      <c r="U203" s="69"/>
      <c r="V203" s="69"/>
      <c r="AR203" s="74">
        <f t="shared" si="14"/>
        <v>3693.37</v>
      </c>
      <c r="AS203" s="69">
        <v>2468.1999999999998</v>
      </c>
      <c r="AT203" s="69">
        <v>335.3</v>
      </c>
      <c r="AU203" s="69">
        <v>889.87</v>
      </c>
      <c r="BC203" s="69"/>
      <c r="BD203" s="69"/>
      <c r="CC203" s="74">
        <f t="shared" si="17"/>
        <v>3693.37</v>
      </c>
      <c r="CD203" s="73">
        <f t="shared" si="15"/>
        <v>0</v>
      </c>
      <c r="CE203" s="75">
        <f t="shared" si="16"/>
        <v>8554</v>
      </c>
      <c r="CF203" s="3" t="str">
        <f t="shared" si="16"/>
        <v>برنامج دولى</v>
      </c>
    </row>
    <row r="204" spans="2:84" x14ac:dyDescent="0.25">
      <c r="C204" s="82">
        <v>14085</v>
      </c>
      <c r="D204" s="70">
        <v>8555</v>
      </c>
      <c r="E204" s="69" t="s">
        <v>78</v>
      </c>
      <c r="F204" s="79" t="s">
        <v>1250</v>
      </c>
      <c r="H204" s="69">
        <v>49806.23</v>
      </c>
      <c r="U204" s="69"/>
      <c r="V204" s="69"/>
      <c r="AR204" s="74">
        <f t="shared" si="14"/>
        <v>49806.23</v>
      </c>
      <c r="AS204" s="69">
        <v>42617.01</v>
      </c>
      <c r="AT204" s="69">
        <v>5213.8</v>
      </c>
      <c r="AU204" s="69">
        <v>1975.42</v>
      </c>
      <c r="BC204" s="69"/>
      <c r="BD204" s="69"/>
      <c r="CC204" s="74">
        <f t="shared" si="17"/>
        <v>49806.23</v>
      </c>
      <c r="CD204" s="73">
        <f t="shared" si="15"/>
        <v>0</v>
      </c>
      <c r="CE204" s="75">
        <f t="shared" si="16"/>
        <v>8555</v>
      </c>
      <c r="CF204" s="3" t="str">
        <f t="shared" si="16"/>
        <v>برنامج دولى</v>
      </c>
    </row>
    <row r="205" spans="2:84" x14ac:dyDescent="0.25">
      <c r="C205" s="82">
        <v>14459</v>
      </c>
      <c r="D205" s="70">
        <v>8556</v>
      </c>
      <c r="E205" s="69" t="s">
        <v>78</v>
      </c>
      <c r="F205" s="69" t="str">
        <f>+F198</f>
        <v>مكافاه ملاحظه امتحانات</v>
      </c>
      <c r="H205" s="69">
        <v>400</v>
      </c>
      <c r="U205" s="69"/>
      <c r="V205" s="69"/>
      <c r="AR205" s="74">
        <f t="shared" si="14"/>
        <v>400</v>
      </c>
      <c r="AS205" s="69">
        <v>357.7</v>
      </c>
      <c r="AT205" s="69">
        <v>42.3</v>
      </c>
      <c r="BC205" s="69"/>
      <c r="BD205" s="69"/>
      <c r="CC205" s="74">
        <f t="shared" si="17"/>
        <v>400</v>
      </c>
      <c r="CD205" s="73">
        <f t="shared" si="15"/>
        <v>0</v>
      </c>
      <c r="CE205" s="75">
        <f t="shared" si="16"/>
        <v>8556</v>
      </c>
      <c r="CF205" s="3" t="str">
        <f t="shared" si="16"/>
        <v>برنامج دولى</v>
      </c>
    </row>
    <row r="206" spans="2:84" x14ac:dyDescent="0.25">
      <c r="C206" s="82">
        <v>14460</v>
      </c>
      <c r="D206" s="70">
        <v>8557</v>
      </c>
      <c r="E206" s="69" t="s">
        <v>78</v>
      </c>
      <c r="F206" s="69" t="str">
        <f>+F199</f>
        <v>مكافاه ملاحظه امتحانات</v>
      </c>
      <c r="H206" s="69">
        <v>100</v>
      </c>
      <c r="U206" s="69"/>
      <c r="V206" s="69"/>
      <c r="AR206" s="74">
        <f t="shared" si="14"/>
        <v>100</v>
      </c>
      <c r="AS206" s="69">
        <v>89.7</v>
      </c>
      <c r="AT206" s="69">
        <v>10.3</v>
      </c>
      <c r="BC206" s="69"/>
      <c r="BD206" s="69"/>
      <c r="CC206" s="74">
        <f t="shared" si="17"/>
        <v>100</v>
      </c>
      <c r="CD206" s="73">
        <f t="shared" si="15"/>
        <v>0</v>
      </c>
      <c r="CE206" s="75">
        <f t="shared" si="16"/>
        <v>8557</v>
      </c>
      <c r="CF206" s="3" t="str">
        <f t="shared" si="16"/>
        <v>برنامج دولى</v>
      </c>
    </row>
    <row r="207" spans="2:84" x14ac:dyDescent="0.25">
      <c r="C207" s="82">
        <v>14461</v>
      </c>
      <c r="D207" s="70">
        <v>8558</v>
      </c>
      <c r="E207" s="69" t="s">
        <v>78</v>
      </c>
      <c r="F207" s="69" t="str">
        <f>+F206</f>
        <v>مكافاه ملاحظه امتحانات</v>
      </c>
      <c r="H207" s="69">
        <v>525</v>
      </c>
      <c r="U207" s="69"/>
      <c r="V207" s="69"/>
      <c r="AR207" s="74">
        <f t="shared" si="14"/>
        <v>525</v>
      </c>
      <c r="AS207" s="69">
        <v>469.75</v>
      </c>
      <c r="AT207" s="69">
        <v>55.25</v>
      </c>
      <c r="BC207" s="69"/>
      <c r="BD207" s="69"/>
      <c r="CC207" s="74">
        <f t="shared" si="17"/>
        <v>525</v>
      </c>
      <c r="CD207" s="73">
        <f t="shared" si="15"/>
        <v>0</v>
      </c>
      <c r="CE207" s="75">
        <f t="shared" si="16"/>
        <v>8558</v>
      </c>
      <c r="CF207" s="3" t="str">
        <f t="shared" si="16"/>
        <v>برنامج دولى</v>
      </c>
    </row>
    <row r="208" spans="2:84" x14ac:dyDescent="0.25">
      <c r="C208" s="82">
        <v>14462</v>
      </c>
      <c r="D208" s="70">
        <v>8559</v>
      </c>
      <c r="E208" s="69" t="s">
        <v>78</v>
      </c>
      <c r="F208" s="69" t="str">
        <f>+F207</f>
        <v>مكافاه ملاحظه امتحانات</v>
      </c>
      <c r="H208" s="69">
        <v>2307</v>
      </c>
      <c r="U208" s="69"/>
      <c r="V208" s="69"/>
      <c r="AR208" s="74">
        <f t="shared" si="14"/>
        <v>2307</v>
      </c>
      <c r="AS208" s="69">
        <v>1746.7</v>
      </c>
      <c r="AT208" s="69">
        <v>221.3</v>
      </c>
      <c r="AU208" s="69">
        <v>339</v>
      </c>
      <c r="BC208" s="69"/>
      <c r="BD208" s="69"/>
      <c r="CC208" s="74">
        <f t="shared" si="17"/>
        <v>2307</v>
      </c>
      <c r="CD208" s="73">
        <f t="shared" si="15"/>
        <v>0</v>
      </c>
      <c r="CE208" s="75">
        <f t="shared" si="16"/>
        <v>8559</v>
      </c>
      <c r="CF208" s="3" t="str">
        <f t="shared" si="16"/>
        <v>برنامج دولى</v>
      </c>
    </row>
    <row r="209" spans="3:84" x14ac:dyDescent="0.25">
      <c r="C209" s="82">
        <v>13790</v>
      </c>
      <c r="D209" s="70">
        <v>8560</v>
      </c>
      <c r="E209" s="69" t="s">
        <v>78</v>
      </c>
      <c r="F209" s="69" t="str">
        <f>+F200</f>
        <v>مكافاه رؤوساء اقسام</v>
      </c>
      <c r="H209" s="69">
        <v>1375</v>
      </c>
      <c r="U209" s="69"/>
      <c r="V209" s="69"/>
      <c r="AR209" s="74">
        <f t="shared" si="14"/>
        <v>1375</v>
      </c>
      <c r="AS209" s="69">
        <v>1228.55</v>
      </c>
      <c r="AT209" s="69">
        <v>146.44999999999999</v>
      </c>
      <c r="BC209" s="69"/>
      <c r="BD209" s="69"/>
      <c r="CC209" s="74">
        <f t="shared" si="17"/>
        <v>1375</v>
      </c>
      <c r="CD209" s="73">
        <f t="shared" si="15"/>
        <v>0</v>
      </c>
      <c r="CE209" s="75">
        <f t="shared" si="16"/>
        <v>8560</v>
      </c>
      <c r="CF209" s="3" t="str">
        <f t="shared" si="16"/>
        <v>برنامج دولى</v>
      </c>
    </row>
    <row r="210" spans="3:84" x14ac:dyDescent="0.25">
      <c r="C210" s="82">
        <v>14353</v>
      </c>
      <c r="D210" s="70">
        <v>8561</v>
      </c>
      <c r="E210" s="69" t="s">
        <v>78</v>
      </c>
      <c r="F210" s="69" t="s">
        <v>1251</v>
      </c>
      <c r="H210" s="69">
        <v>9463</v>
      </c>
      <c r="U210" s="69"/>
      <c r="V210" s="69"/>
      <c r="AR210" s="74">
        <f t="shared" si="14"/>
        <v>9463</v>
      </c>
      <c r="AS210" s="69">
        <v>6728.75</v>
      </c>
      <c r="AT210" s="69">
        <v>887.96</v>
      </c>
      <c r="AU210" s="69">
        <v>1846.29</v>
      </c>
      <c r="BC210" s="69"/>
      <c r="BD210" s="69"/>
      <c r="CC210" s="74">
        <f t="shared" si="17"/>
        <v>9463</v>
      </c>
      <c r="CD210" s="73">
        <f t="shared" si="15"/>
        <v>0</v>
      </c>
      <c r="CE210" s="75">
        <f t="shared" si="16"/>
        <v>8561</v>
      </c>
      <c r="CF210" s="3" t="str">
        <f t="shared" si="16"/>
        <v>برنامج دولى</v>
      </c>
    </row>
    <row r="211" spans="3:84" x14ac:dyDescent="0.25">
      <c r="C211" s="82">
        <v>14345</v>
      </c>
      <c r="D211" s="70">
        <v>8562</v>
      </c>
      <c r="E211" s="69" t="s">
        <v>78</v>
      </c>
      <c r="F211" s="69" t="s">
        <v>1251</v>
      </c>
      <c r="H211" s="69">
        <v>1338.41</v>
      </c>
      <c r="U211" s="69"/>
      <c r="V211" s="69"/>
      <c r="AR211" s="74">
        <f t="shared" si="14"/>
        <v>1338.41</v>
      </c>
      <c r="AS211" s="69">
        <v>1047.2</v>
      </c>
      <c r="AT211" s="69">
        <v>131.69999999999999</v>
      </c>
      <c r="AU211" s="69">
        <v>159.51</v>
      </c>
      <c r="BC211" s="69"/>
      <c r="BD211" s="69"/>
      <c r="CC211" s="74">
        <f t="shared" si="17"/>
        <v>1338.41</v>
      </c>
      <c r="CD211" s="73">
        <f t="shared" si="15"/>
        <v>0</v>
      </c>
      <c r="CE211" s="75">
        <f t="shared" si="16"/>
        <v>8562</v>
      </c>
      <c r="CF211" s="3" t="str">
        <f t="shared" si="16"/>
        <v>برنامج دولى</v>
      </c>
    </row>
    <row r="212" spans="3:84" x14ac:dyDescent="0.25">
      <c r="C212" s="82">
        <v>14346</v>
      </c>
      <c r="D212" s="70">
        <v>8563</v>
      </c>
      <c r="E212" s="69" t="s">
        <v>78</v>
      </c>
      <c r="F212" s="69" t="s">
        <v>1251</v>
      </c>
      <c r="H212" s="69">
        <v>51217.7</v>
      </c>
      <c r="U212" s="69"/>
      <c r="V212" s="69"/>
      <c r="AR212" s="74">
        <f t="shared" si="14"/>
        <v>51217.7</v>
      </c>
      <c r="AS212" s="69">
        <v>41835.78</v>
      </c>
      <c r="AT212" s="69">
        <v>5211.59</v>
      </c>
      <c r="AU212" s="69">
        <v>4170.33</v>
      </c>
      <c r="BC212" s="69"/>
      <c r="BD212" s="69"/>
      <c r="CC212" s="74">
        <f t="shared" si="17"/>
        <v>51217.7</v>
      </c>
      <c r="CD212" s="73">
        <f t="shared" si="15"/>
        <v>0</v>
      </c>
      <c r="CE212" s="75">
        <f t="shared" si="16"/>
        <v>8563</v>
      </c>
      <c r="CF212" s="3" t="str">
        <f t="shared" si="16"/>
        <v>برنامج دولى</v>
      </c>
    </row>
    <row r="213" spans="3:84" x14ac:dyDescent="0.25">
      <c r="C213" s="82">
        <v>14347</v>
      </c>
      <c r="D213" s="70">
        <v>8564</v>
      </c>
      <c r="E213" s="69" t="s">
        <v>78</v>
      </c>
      <c r="F213" s="69" t="s">
        <v>1251</v>
      </c>
      <c r="H213" s="69">
        <v>5669.26</v>
      </c>
      <c r="U213" s="69"/>
      <c r="V213" s="69"/>
      <c r="AR213" s="74">
        <f t="shared" si="14"/>
        <v>5669.26</v>
      </c>
      <c r="AS213" s="69">
        <v>5060.49</v>
      </c>
      <c r="AT213" s="69">
        <v>608.77</v>
      </c>
      <c r="BC213" s="69"/>
      <c r="BD213" s="69"/>
      <c r="CC213" s="74">
        <f t="shared" si="17"/>
        <v>5669.26</v>
      </c>
      <c r="CD213" s="73">
        <f t="shared" si="15"/>
        <v>0</v>
      </c>
      <c r="CE213" s="75">
        <f t="shared" si="16"/>
        <v>8564</v>
      </c>
      <c r="CF213" s="3" t="str">
        <f t="shared" si="16"/>
        <v>برنامج دولى</v>
      </c>
    </row>
    <row r="214" spans="3:84" x14ac:dyDescent="0.25">
      <c r="C214" s="82">
        <v>14348</v>
      </c>
      <c r="D214" s="70">
        <v>8565</v>
      </c>
      <c r="E214" s="69" t="s">
        <v>78</v>
      </c>
      <c r="F214" s="69" t="s">
        <v>1251</v>
      </c>
      <c r="H214" s="69">
        <v>10841.18</v>
      </c>
      <c r="U214" s="69"/>
      <c r="V214" s="69"/>
      <c r="AR214" s="74">
        <f t="shared" si="14"/>
        <v>10841.18</v>
      </c>
      <c r="AS214" s="69">
        <v>9054.02</v>
      </c>
      <c r="AT214" s="69">
        <v>1117.68</v>
      </c>
      <c r="AU214" s="69">
        <v>669.48</v>
      </c>
      <c r="BC214" s="69"/>
      <c r="BD214" s="69"/>
      <c r="CC214" s="74">
        <f t="shared" si="17"/>
        <v>10841.18</v>
      </c>
      <c r="CD214" s="73">
        <f t="shared" si="15"/>
        <v>0</v>
      </c>
      <c r="CE214" s="75">
        <f t="shared" si="16"/>
        <v>8565</v>
      </c>
      <c r="CF214" s="3" t="str">
        <f t="shared" si="16"/>
        <v>برنامج دولى</v>
      </c>
    </row>
    <row r="215" spans="3:84" x14ac:dyDescent="0.25">
      <c r="C215" s="82">
        <v>14349</v>
      </c>
      <c r="D215" s="70">
        <v>8566</v>
      </c>
      <c r="E215" s="69" t="s">
        <v>78</v>
      </c>
      <c r="F215" s="69" t="s">
        <v>1251</v>
      </c>
      <c r="H215" s="69">
        <v>4639.4799999999996</v>
      </c>
      <c r="U215" s="69"/>
      <c r="V215" s="69"/>
      <c r="AR215" s="74">
        <f t="shared" si="14"/>
        <v>4639.4799999999996</v>
      </c>
      <c r="AS215" s="69">
        <v>3877.5</v>
      </c>
      <c r="AT215" s="69">
        <v>478.59</v>
      </c>
      <c r="AU215" s="69">
        <v>283.39</v>
      </c>
      <c r="BC215" s="69"/>
      <c r="BD215" s="69"/>
      <c r="CC215" s="74">
        <f t="shared" si="17"/>
        <v>4639.4800000000005</v>
      </c>
      <c r="CD215" s="73">
        <f t="shared" si="15"/>
        <v>0</v>
      </c>
      <c r="CE215" s="75">
        <f t="shared" si="16"/>
        <v>8566</v>
      </c>
      <c r="CF215" s="3" t="str">
        <f t="shared" si="16"/>
        <v>برنامج دولى</v>
      </c>
    </row>
    <row r="216" spans="3:84" x14ac:dyDescent="0.25">
      <c r="C216" s="82">
        <v>14352</v>
      </c>
      <c r="D216" s="70">
        <v>8567</v>
      </c>
      <c r="E216" s="69" t="s">
        <v>78</v>
      </c>
      <c r="F216" s="69" t="s">
        <v>1251</v>
      </c>
      <c r="H216" s="69">
        <v>1740.83</v>
      </c>
      <c r="U216" s="69"/>
      <c r="V216" s="69"/>
      <c r="AR216" s="74">
        <f t="shared" si="14"/>
        <v>1740.83</v>
      </c>
      <c r="AS216" s="69">
        <v>1554.05</v>
      </c>
      <c r="AT216" s="69">
        <v>186.78</v>
      </c>
      <c r="BC216" s="69"/>
      <c r="BD216" s="69"/>
      <c r="CC216" s="74">
        <f t="shared" si="17"/>
        <v>1740.83</v>
      </c>
      <c r="CD216" s="73">
        <f t="shared" si="15"/>
        <v>0</v>
      </c>
      <c r="CE216" s="75">
        <f t="shared" si="16"/>
        <v>8567</v>
      </c>
      <c r="CF216" s="3" t="str">
        <f t="shared" si="16"/>
        <v>برنامج دولى</v>
      </c>
    </row>
    <row r="217" spans="3:84" x14ac:dyDescent="0.25">
      <c r="C217" s="82">
        <v>14351</v>
      </c>
      <c r="D217" s="70">
        <v>8568</v>
      </c>
      <c r="E217" s="69" t="s">
        <v>78</v>
      </c>
      <c r="F217" s="69" t="s">
        <v>1251</v>
      </c>
      <c r="H217" s="69">
        <v>2418.94</v>
      </c>
      <c r="U217" s="69"/>
      <c r="V217" s="69"/>
      <c r="AR217" s="74">
        <f t="shared" si="14"/>
        <v>2418.94</v>
      </c>
      <c r="AS217" s="69">
        <v>2159.25</v>
      </c>
      <c r="AT217" s="69">
        <v>259.69</v>
      </c>
      <c r="BC217" s="69"/>
      <c r="BD217" s="69"/>
      <c r="CC217" s="74">
        <f t="shared" si="17"/>
        <v>2418.94</v>
      </c>
      <c r="CD217" s="73">
        <f t="shared" si="15"/>
        <v>0</v>
      </c>
      <c r="CE217" s="75">
        <f t="shared" si="16"/>
        <v>8568</v>
      </c>
      <c r="CF217" s="3" t="str">
        <f t="shared" si="16"/>
        <v>برنامج دولى</v>
      </c>
    </row>
    <row r="218" spans="3:84" x14ac:dyDescent="0.25">
      <c r="C218" s="82">
        <v>14350</v>
      </c>
      <c r="D218" s="70">
        <v>8569</v>
      </c>
      <c r="E218" s="69" t="s">
        <v>78</v>
      </c>
      <c r="F218" s="69" t="s">
        <v>1251</v>
      </c>
      <c r="H218" s="69">
        <v>6743.88</v>
      </c>
      <c r="U218" s="69"/>
      <c r="V218" s="69"/>
      <c r="AR218" s="74">
        <f t="shared" si="14"/>
        <v>6743.88</v>
      </c>
      <c r="AS218" s="69">
        <v>5620.65</v>
      </c>
      <c r="AT218" s="69">
        <v>694.51</v>
      </c>
      <c r="AU218" s="69">
        <v>428.72</v>
      </c>
      <c r="BC218" s="69"/>
      <c r="BD218" s="69"/>
      <c r="CC218" s="74">
        <f t="shared" si="17"/>
        <v>6743.88</v>
      </c>
      <c r="CD218" s="73">
        <f t="shared" si="15"/>
        <v>0</v>
      </c>
      <c r="CE218" s="75">
        <f t="shared" si="16"/>
        <v>8569</v>
      </c>
      <c r="CF218" s="3" t="str">
        <f t="shared" si="16"/>
        <v>برنامج دولى</v>
      </c>
    </row>
    <row r="219" spans="3:84" x14ac:dyDescent="0.25">
      <c r="C219" s="82">
        <v>14334</v>
      </c>
      <c r="D219" s="70">
        <v>8570</v>
      </c>
      <c r="E219" s="69" t="s">
        <v>78</v>
      </c>
      <c r="F219" s="69" t="s">
        <v>1251</v>
      </c>
      <c r="H219" s="69">
        <v>2094.94</v>
      </c>
      <c r="U219" s="69"/>
      <c r="V219" s="69"/>
      <c r="AR219" s="74">
        <f t="shared" si="14"/>
        <v>2094.94</v>
      </c>
      <c r="AS219" s="69">
        <v>1870.1</v>
      </c>
      <c r="AT219" s="69">
        <v>224.84</v>
      </c>
      <c r="BC219" s="69"/>
      <c r="BD219" s="69"/>
      <c r="CC219" s="74">
        <f t="shared" si="17"/>
        <v>2094.94</v>
      </c>
      <c r="CD219" s="73">
        <f t="shared" si="15"/>
        <v>0</v>
      </c>
      <c r="CE219" s="75">
        <f t="shared" si="16"/>
        <v>8570</v>
      </c>
      <c r="CF219" s="3" t="str">
        <f t="shared" si="16"/>
        <v>برنامج دولى</v>
      </c>
    </row>
    <row r="220" spans="3:84" x14ac:dyDescent="0.25">
      <c r="C220" s="82">
        <v>14333</v>
      </c>
      <c r="D220" s="70">
        <v>8571</v>
      </c>
      <c r="E220" s="69" t="s">
        <v>78</v>
      </c>
      <c r="F220" s="69" t="s">
        <v>1251</v>
      </c>
      <c r="H220" s="69">
        <v>8891.7099999999991</v>
      </c>
      <c r="U220" s="69"/>
      <c r="V220" s="69"/>
      <c r="AR220" s="74">
        <f t="shared" si="14"/>
        <v>8891.7099999999991</v>
      </c>
      <c r="AS220" s="69">
        <v>7557.53</v>
      </c>
      <c r="AT220" s="69">
        <v>925.05</v>
      </c>
      <c r="AU220" s="69">
        <v>409.13</v>
      </c>
      <c r="BC220" s="69"/>
      <c r="BD220" s="69"/>
      <c r="CC220" s="74">
        <f t="shared" si="17"/>
        <v>8891.7099999999991</v>
      </c>
      <c r="CD220" s="73">
        <f t="shared" si="15"/>
        <v>0</v>
      </c>
      <c r="CE220" s="75">
        <f t="shared" si="16"/>
        <v>8571</v>
      </c>
      <c r="CF220" s="3" t="str">
        <f t="shared" si="16"/>
        <v>برنامج دولى</v>
      </c>
    </row>
    <row r="221" spans="3:84" x14ac:dyDescent="0.25">
      <c r="C221" s="82">
        <v>14332</v>
      </c>
      <c r="D221" s="70">
        <v>8572</v>
      </c>
      <c r="E221" s="69" t="s">
        <v>78</v>
      </c>
      <c r="F221" s="69" t="s">
        <v>1251</v>
      </c>
      <c r="H221" s="69">
        <v>52744.27</v>
      </c>
      <c r="U221" s="69"/>
      <c r="V221" s="69"/>
      <c r="AR221" s="74">
        <f t="shared" si="14"/>
        <v>52744.27</v>
      </c>
      <c r="AS221" s="69">
        <v>45392.31</v>
      </c>
      <c r="AT221" s="69">
        <v>5537.06</v>
      </c>
      <c r="AU221" s="69">
        <v>1814.9</v>
      </c>
      <c r="BC221" s="69"/>
      <c r="BD221" s="69"/>
      <c r="CC221" s="74">
        <f t="shared" si="17"/>
        <v>52744.27</v>
      </c>
      <c r="CD221" s="73">
        <f t="shared" si="15"/>
        <v>0</v>
      </c>
      <c r="CE221" s="75">
        <f t="shared" si="16"/>
        <v>8572</v>
      </c>
      <c r="CF221" s="3" t="str">
        <f t="shared" si="16"/>
        <v>برنامج دولى</v>
      </c>
    </row>
    <row r="222" spans="3:84" x14ac:dyDescent="0.25">
      <c r="C222" s="82">
        <v>14331</v>
      </c>
      <c r="D222" s="70">
        <v>8573</v>
      </c>
      <c r="E222" s="69" t="s">
        <v>78</v>
      </c>
      <c r="F222" s="69" t="s">
        <v>1251</v>
      </c>
      <c r="H222" s="69">
        <v>5767.24</v>
      </c>
      <c r="U222" s="69"/>
      <c r="V222" s="69"/>
      <c r="AR222" s="74">
        <f t="shared" si="14"/>
        <v>5767.24</v>
      </c>
      <c r="AS222" s="69">
        <v>5147.96</v>
      </c>
      <c r="AT222" s="69">
        <v>619.28</v>
      </c>
      <c r="BC222" s="69"/>
      <c r="BD222" s="69"/>
      <c r="CC222" s="74">
        <f t="shared" si="17"/>
        <v>5767.24</v>
      </c>
      <c r="CD222" s="73">
        <f t="shared" si="15"/>
        <v>0</v>
      </c>
      <c r="CE222" s="75">
        <f t="shared" si="16"/>
        <v>8573</v>
      </c>
      <c r="CF222" s="3" t="str">
        <f t="shared" si="16"/>
        <v>برنامج دولى</v>
      </c>
    </row>
    <row r="223" spans="3:84" x14ac:dyDescent="0.25">
      <c r="C223" s="82">
        <v>14326</v>
      </c>
      <c r="D223" s="70">
        <v>8574</v>
      </c>
      <c r="E223" s="69" t="s">
        <v>78</v>
      </c>
      <c r="F223" s="69" t="s">
        <v>1251</v>
      </c>
      <c r="H223" s="69">
        <v>1385.98</v>
      </c>
      <c r="U223" s="69"/>
      <c r="V223" s="69"/>
      <c r="AR223" s="74">
        <f t="shared" si="14"/>
        <v>1385.98</v>
      </c>
      <c r="AS223" s="69">
        <v>1083.75</v>
      </c>
      <c r="AT223" s="69">
        <v>136.38</v>
      </c>
      <c r="AU223" s="69">
        <v>165.85</v>
      </c>
      <c r="BC223" s="69"/>
      <c r="BD223" s="69"/>
      <c r="CC223" s="74">
        <f t="shared" si="17"/>
        <v>1385.98</v>
      </c>
      <c r="CD223" s="73">
        <f t="shared" si="15"/>
        <v>0</v>
      </c>
      <c r="CE223" s="75">
        <f t="shared" si="16"/>
        <v>8574</v>
      </c>
      <c r="CF223" s="3" t="str">
        <f t="shared" si="16"/>
        <v>برنامج دولى</v>
      </c>
    </row>
    <row r="224" spans="3:84" x14ac:dyDescent="0.25">
      <c r="C224" s="82">
        <v>14327</v>
      </c>
      <c r="D224" s="70">
        <v>8575</v>
      </c>
      <c r="E224" s="69" t="s">
        <v>78</v>
      </c>
      <c r="F224" s="69" t="s">
        <v>1251</v>
      </c>
      <c r="H224" s="69">
        <v>6784.99</v>
      </c>
      <c r="U224" s="69"/>
      <c r="V224" s="69"/>
      <c r="AR224" s="74">
        <f t="shared" si="14"/>
        <v>6784.99</v>
      </c>
      <c r="AS224" s="69">
        <v>5751.69</v>
      </c>
      <c r="AT224" s="69">
        <v>705.9</v>
      </c>
      <c r="AU224" s="69">
        <v>327.39999999999998</v>
      </c>
      <c r="BC224" s="69"/>
      <c r="BD224" s="69"/>
      <c r="CC224" s="74">
        <f t="shared" si="17"/>
        <v>6784.9899999999989</v>
      </c>
      <c r="CD224" s="73">
        <f t="shared" si="15"/>
        <v>0</v>
      </c>
      <c r="CE224" s="75">
        <f t="shared" si="16"/>
        <v>8575</v>
      </c>
      <c r="CF224" s="3" t="str">
        <f t="shared" si="16"/>
        <v>برنامج دولى</v>
      </c>
    </row>
    <row r="225" spans="3:84" x14ac:dyDescent="0.25">
      <c r="C225" s="82">
        <v>14328</v>
      </c>
      <c r="D225" s="70">
        <v>8576</v>
      </c>
      <c r="E225" s="69" t="s">
        <v>78</v>
      </c>
      <c r="F225" s="69" t="s">
        <v>1251</v>
      </c>
      <c r="H225" s="69">
        <v>2505.41</v>
      </c>
      <c r="U225" s="69"/>
      <c r="V225" s="69"/>
      <c r="AR225" s="74">
        <f t="shared" si="14"/>
        <v>2505.41</v>
      </c>
      <c r="AS225" s="69">
        <v>2236.42</v>
      </c>
      <c r="AT225" s="69">
        <v>268.99</v>
      </c>
      <c r="BC225" s="69"/>
      <c r="BD225" s="69"/>
      <c r="CC225" s="74">
        <f t="shared" si="17"/>
        <v>2505.41</v>
      </c>
      <c r="CD225" s="73">
        <f t="shared" si="15"/>
        <v>0</v>
      </c>
      <c r="CE225" s="75">
        <f t="shared" si="16"/>
        <v>8576</v>
      </c>
      <c r="CF225" s="3" t="str">
        <f t="shared" si="16"/>
        <v>برنامج دولى</v>
      </c>
    </row>
    <row r="226" spans="3:84" x14ac:dyDescent="0.25">
      <c r="C226" s="82">
        <v>14329</v>
      </c>
      <c r="D226" s="70">
        <v>8577</v>
      </c>
      <c r="E226" s="69" t="s">
        <v>78</v>
      </c>
      <c r="F226" s="69" t="s">
        <v>1251</v>
      </c>
      <c r="H226" s="69">
        <v>4852.25</v>
      </c>
      <c r="U226" s="69"/>
      <c r="V226" s="69"/>
      <c r="AR226" s="74">
        <f t="shared" si="14"/>
        <v>4852.25</v>
      </c>
      <c r="AS226" s="69">
        <v>4331.32</v>
      </c>
      <c r="AT226" s="69">
        <v>520.92999999999995</v>
      </c>
      <c r="BC226" s="69"/>
      <c r="BD226" s="69"/>
      <c r="CC226" s="74">
        <f t="shared" si="17"/>
        <v>4852.25</v>
      </c>
      <c r="CD226" s="73">
        <f t="shared" si="15"/>
        <v>0</v>
      </c>
      <c r="CE226" s="75">
        <f t="shared" si="16"/>
        <v>8577</v>
      </c>
      <c r="CF226" s="3" t="str">
        <f t="shared" si="16"/>
        <v>برنامج دولى</v>
      </c>
    </row>
    <row r="227" spans="3:84" x14ac:dyDescent="0.25">
      <c r="C227" s="82">
        <v>14330</v>
      </c>
      <c r="D227" s="70">
        <v>8578</v>
      </c>
      <c r="E227" s="69" t="s">
        <v>78</v>
      </c>
      <c r="F227" s="69" t="s">
        <v>1251</v>
      </c>
      <c r="H227" s="69">
        <v>10743.89</v>
      </c>
      <c r="U227" s="69"/>
      <c r="V227" s="69"/>
      <c r="AR227" s="74">
        <f t="shared" si="14"/>
        <v>10743.89</v>
      </c>
      <c r="AS227" s="69">
        <v>9281.25</v>
      </c>
      <c r="AT227" s="69">
        <v>1130.3900000000001</v>
      </c>
      <c r="AU227" s="69">
        <v>332.25</v>
      </c>
      <c r="BC227" s="69"/>
      <c r="BD227" s="69"/>
      <c r="CC227" s="74">
        <f t="shared" si="17"/>
        <v>10743.89</v>
      </c>
      <c r="CD227" s="73">
        <f t="shared" si="15"/>
        <v>0</v>
      </c>
      <c r="CE227" s="75">
        <f t="shared" si="16"/>
        <v>8578</v>
      </c>
      <c r="CF227" s="3" t="str">
        <f t="shared" si="16"/>
        <v>برنامج دولى</v>
      </c>
    </row>
    <row r="228" spans="3:84" x14ac:dyDescent="0.25">
      <c r="C228" s="82">
        <v>14343</v>
      </c>
      <c r="D228" s="70">
        <v>8579</v>
      </c>
      <c r="E228" s="69" t="s">
        <v>78</v>
      </c>
      <c r="F228" s="69" t="s">
        <v>1251</v>
      </c>
      <c r="H228" s="69">
        <v>2285.39</v>
      </c>
      <c r="U228" s="69"/>
      <c r="V228" s="69"/>
      <c r="AR228" s="74">
        <f t="shared" si="14"/>
        <v>2285.39</v>
      </c>
      <c r="AS228" s="69">
        <v>2040.05</v>
      </c>
      <c r="AT228" s="69">
        <v>245.34</v>
      </c>
      <c r="BC228" s="69"/>
      <c r="BD228" s="69"/>
      <c r="CC228" s="74">
        <f t="shared" si="17"/>
        <v>2285.39</v>
      </c>
      <c r="CD228" s="73">
        <f t="shared" si="15"/>
        <v>0</v>
      </c>
      <c r="CE228" s="75">
        <f t="shared" si="16"/>
        <v>8579</v>
      </c>
      <c r="CF228" s="3" t="str">
        <f t="shared" si="16"/>
        <v>برنامج دولى</v>
      </c>
    </row>
    <row r="229" spans="3:84" x14ac:dyDescent="0.25">
      <c r="C229" s="82">
        <v>14335</v>
      </c>
      <c r="D229" s="70">
        <v>8580</v>
      </c>
      <c r="E229" s="69" t="s">
        <v>78</v>
      </c>
      <c r="F229" s="69" t="s">
        <v>1251</v>
      </c>
      <c r="H229" s="69">
        <v>1385.98</v>
      </c>
      <c r="U229" s="69"/>
      <c r="V229" s="69"/>
      <c r="AR229" s="74">
        <f t="shared" si="14"/>
        <v>1385.98</v>
      </c>
      <c r="AS229" s="69">
        <v>1083.75</v>
      </c>
      <c r="AT229" s="69">
        <v>136.38</v>
      </c>
      <c r="AU229" s="69">
        <v>165.85</v>
      </c>
      <c r="BC229" s="69"/>
      <c r="BD229" s="69"/>
      <c r="CC229" s="74">
        <f t="shared" si="17"/>
        <v>1385.98</v>
      </c>
      <c r="CD229" s="73">
        <f t="shared" si="15"/>
        <v>0</v>
      </c>
      <c r="CE229" s="75">
        <f t="shared" si="16"/>
        <v>8580</v>
      </c>
      <c r="CF229" s="3" t="str">
        <f t="shared" si="16"/>
        <v>برنامج دولى</v>
      </c>
    </row>
    <row r="230" spans="3:84" x14ac:dyDescent="0.25">
      <c r="C230" s="82">
        <v>14336</v>
      </c>
      <c r="D230" s="70">
        <v>8581</v>
      </c>
      <c r="E230" s="69" t="s">
        <v>78</v>
      </c>
      <c r="F230" s="69" t="s">
        <v>1251</v>
      </c>
      <c r="H230" s="69">
        <v>11286.37</v>
      </c>
      <c r="U230" s="69"/>
      <c r="V230" s="69"/>
      <c r="AR230" s="74">
        <f t="shared" si="14"/>
        <v>11286.37</v>
      </c>
      <c r="AS230" s="69">
        <v>9519.0300000000007</v>
      </c>
      <c r="AT230" s="69">
        <v>1170.5899999999999</v>
      </c>
      <c r="AU230" s="69">
        <v>596.75</v>
      </c>
      <c r="BC230" s="69"/>
      <c r="BD230" s="69"/>
      <c r="CC230" s="74">
        <f t="shared" si="17"/>
        <v>11286.37</v>
      </c>
      <c r="CD230" s="73">
        <f t="shared" si="15"/>
        <v>0</v>
      </c>
      <c r="CE230" s="75">
        <f t="shared" si="16"/>
        <v>8581</v>
      </c>
      <c r="CF230" s="3" t="str">
        <f t="shared" si="16"/>
        <v>برنامج دولى</v>
      </c>
    </row>
    <row r="231" spans="3:84" x14ac:dyDescent="0.25">
      <c r="C231" s="82">
        <v>14337</v>
      </c>
      <c r="D231" s="70">
        <v>8582</v>
      </c>
      <c r="E231" s="69" t="s">
        <v>78</v>
      </c>
      <c r="F231" s="69" t="s">
        <v>1251</v>
      </c>
      <c r="H231" s="69">
        <v>5017.66</v>
      </c>
      <c r="U231" s="69"/>
      <c r="V231" s="69"/>
      <c r="AR231" s="74">
        <f t="shared" si="14"/>
        <v>5017.66</v>
      </c>
      <c r="AS231" s="69">
        <v>4478.99</v>
      </c>
      <c r="AT231" s="69">
        <v>538.66999999999996</v>
      </c>
      <c r="BC231" s="69"/>
      <c r="BD231" s="69"/>
      <c r="CC231" s="74">
        <f t="shared" si="17"/>
        <v>5017.66</v>
      </c>
      <c r="CD231" s="73">
        <f t="shared" si="15"/>
        <v>0</v>
      </c>
      <c r="CE231" s="75">
        <f t="shared" si="16"/>
        <v>8582</v>
      </c>
      <c r="CF231" s="3" t="str">
        <f t="shared" si="16"/>
        <v>برنامج دولى</v>
      </c>
    </row>
    <row r="232" spans="3:84" x14ac:dyDescent="0.25">
      <c r="C232" s="82">
        <v>14338</v>
      </c>
      <c r="D232" s="70">
        <v>8583</v>
      </c>
      <c r="E232" s="69" t="s">
        <v>78</v>
      </c>
      <c r="F232" s="69" t="s">
        <v>1251</v>
      </c>
      <c r="H232" s="69">
        <v>6900.61</v>
      </c>
      <c r="U232" s="69"/>
      <c r="V232" s="69"/>
      <c r="AR232" s="74">
        <f t="shared" si="14"/>
        <v>6900.61</v>
      </c>
      <c r="AS232" s="69">
        <v>5854.89</v>
      </c>
      <c r="AT232" s="69">
        <v>718.32</v>
      </c>
      <c r="AU232" s="69">
        <v>327.39999999999998</v>
      </c>
      <c r="BC232" s="69"/>
      <c r="BD232" s="69"/>
      <c r="CC232" s="74">
        <f t="shared" si="17"/>
        <v>6900.61</v>
      </c>
      <c r="CD232" s="73">
        <f t="shared" si="15"/>
        <v>0</v>
      </c>
      <c r="CE232" s="75">
        <f t="shared" si="16"/>
        <v>8583</v>
      </c>
      <c r="CF232" s="3" t="str">
        <f t="shared" si="16"/>
        <v>برنامج دولى</v>
      </c>
    </row>
    <row r="233" spans="3:84" x14ac:dyDescent="0.25">
      <c r="C233" s="82">
        <v>14340</v>
      </c>
      <c r="D233" s="70">
        <v>8584</v>
      </c>
      <c r="E233" s="69" t="s">
        <v>78</v>
      </c>
      <c r="F233" s="69" t="s">
        <v>1251</v>
      </c>
      <c r="H233" s="69">
        <v>2609.8000000000002</v>
      </c>
      <c r="U233" s="69"/>
      <c r="V233" s="69"/>
      <c r="AR233" s="74">
        <f t="shared" si="14"/>
        <v>2609.8000000000002</v>
      </c>
      <c r="AS233" s="69">
        <v>2329.62</v>
      </c>
      <c r="AT233" s="69">
        <v>280.18</v>
      </c>
      <c r="BC233" s="69"/>
      <c r="BD233" s="69"/>
      <c r="CC233" s="74">
        <f t="shared" si="17"/>
        <v>2609.7999999999997</v>
      </c>
      <c r="CD233" s="73">
        <f t="shared" si="15"/>
        <v>0</v>
      </c>
      <c r="CE233" s="75">
        <f t="shared" si="16"/>
        <v>8584</v>
      </c>
      <c r="CF233" s="3" t="str">
        <f t="shared" si="16"/>
        <v>برنامج دولى</v>
      </c>
    </row>
    <row r="234" spans="3:84" x14ac:dyDescent="0.25">
      <c r="C234" s="82">
        <v>14341</v>
      </c>
      <c r="D234" s="70">
        <v>8585</v>
      </c>
      <c r="E234" s="69" t="s">
        <v>78</v>
      </c>
      <c r="F234" s="69" t="s">
        <v>1251</v>
      </c>
      <c r="H234" s="69">
        <v>9332.52</v>
      </c>
      <c r="U234" s="69"/>
      <c r="V234" s="69"/>
      <c r="AR234" s="74">
        <f t="shared" si="14"/>
        <v>9332.52</v>
      </c>
      <c r="AS234" s="69">
        <v>7193.8</v>
      </c>
      <c r="AT234" s="69">
        <v>916.64</v>
      </c>
      <c r="AU234" s="69">
        <v>1222.08</v>
      </c>
      <c r="BC234" s="69"/>
      <c r="BD234" s="69"/>
      <c r="CC234" s="74">
        <f t="shared" si="17"/>
        <v>9332.52</v>
      </c>
      <c r="CD234" s="73">
        <f t="shared" si="15"/>
        <v>0</v>
      </c>
      <c r="CE234" s="75">
        <f t="shared" si="16"/>
        <v>8585</v>
      </c>
      <c r="CF234" s="3" t="str">
        <f t="shared" si="16"/>
        <v>برنامج دولى</v>
      </c>
    </row>
    <row r="235" spans="3:84" x14ac:dyDescent="0.25">
      <c r="C235" s="82">
        <v>14342</v>
      </c>
      <c r="D235" s="70">
        <v>8586</v>
      </c>
      <c r="E235" s="69" t="s">
        <v>78</v>
      </c>
      <c r="F235" s="69" t="s">
        <v>1251</v>
      </c>
      <c r="H235" s="69">
        <v>5361.68</v>
      </c>
      <c r="U235" s="69"/>
      <c r="V235" s="69"/>
      <c r="AR235" s="74">
        <f t="shared" ref="AR235:AR298" si="19">SUM(H235:AQ235)</f>
        <v>5361.68</v>
      </c>
      <c r="AS235" s="69">
        <v>4786.0200000000004</v>
      </c>
      <c r="AT235" s="69">
        <v>575.66</v>
      </c>
      <c r="BC235" s="69"/>
      <c r="BD235" s="69"/>
      <c r="CC235" s="74">
        <f t="shared" si="17"/>
        <v>5361.68</v>
      </c>
      <c r="CD235" s="73">
        <f t="shared" si="15"/>
        <v>0</v>
      </c>
      <c r="CE235" s="75">
        <f t="shared" si="16"/>
        <v>8586</v>
      </c>
      <c r="CF235" s="3" t="str">
        <f t="shared" si="16"/>
        <v>برنامج دولى</v>
      </c>
    </row>
    <row r="236" spans="3:84" x14ac:dyDescent="0.25">
      <c r="C236" s="82">
        <v>14344</v>
      </c>
      <c r="D236" s="70">
        <v>8587</v>
      </c>
      <c r="E236" s="69" t="s">
        <v>78</v>
      </c>
      <c r="F236" s="69" t="s">
        <v>1251</v>
      </c>
      <c r="H236" s="69">
        <v>53763.92</v>
      </c>
      <c r="U236" s="69"/>
      <c r="V236" s="69"/>
      <c r="AR236" s="74">
        <f t="shared" si="19"/>
        <v>53763.92</v>
      </c>
      <c r="AS236" s="69">
        <v>45536.45</v>
      </c>
      <c r="AT236" s="69">
        <v>5589.72</v>
      </c>
      <c r="AU236" s="69">
        <v>2637.75</v>
      </c>
      <c r="BC236" s="69"/>
      <c r="BD236" s="69"/>
      <c r="CC236" s="74">
        <f t="shared" si="17"/>
        <v>53763.92</v>
      </c>
      <c r="CD236" s="73">
        <f t="shared" ref="CD236:CD299" si="20">+CC236-AR236</f>
        <v>0</v>
      </c>
      <c r="CE236" s="75">
        <f t="shared" ref="CE236:CF299" si="21">+D236</f>
        <v>8587</v>
      </c>
      <c r="CF236" s="3" t="str">
        <f t="shared" si="21"/>
        <v>برنامج دولى</v>
      </c>
    </row>
    <row r="237" spans="3:84" x14ac:dyDescent="0.25">
      <c r="C237" s="82">
        <v>14450</v>
      </c>
      <c r="D237" s="70">
        <v>8588</v>
      </c>
      <c r="E237" s="69" t="s">
        <v>78</v>
      </c>
      <c r="F237" s="69" t="s">
        <v>1004</v>
      </c>
      <c r="H237" s="69">
        <v>4942.09</v>
      </c>
      <c r="U237" s="69"/>
      <c r="V237" s="69"/>
      <c r="AR237" s="74">
        <f t="shared" si="19"/>
        <v>4942.09</v>
      </c>
      <c r="AS237" s="69">
        <v>3302.45</v>
      </c>
      <c r="AT237" s="69">
        <v>448.9</v>
      </c>
      <c r="AU237" s="69">
        <v>1190.74</v>
      </c>
      <c r="BC237" s="69"/>
      <c r="BD237" s="69"/>
      <c r="CC237" s="74">
        <f t="shared" ref="CC237:CC300" si="22">SUM(AS237:CB237)</f>
        <v>4942.09</v>
      </c>
      <c r="CD237" s="73">
        <f t="shared" si="20"/>
        <v>0</v>
      </c>
      <c r="CE237" s="75">
        <f t="shared" si="21"/>
        <v>8588</v>
      </c>
      <c r="CF237" s="3" t="str">
        <f t="shared" si="21"/>
        <v>برنامج دولى</v>
      </c>
    </row>
    <row r="238" spans="3:84" x14ac:dyDescent="0.25">
      <c r="C238" s="82">
        <v>14451</v>
      </c>
      <c r="D238" s="70">
        <v>8589</v>
      </c>
      <c r="E238" s="69" t="s">
        <v>78</v>
      </c>
      <c r="F238" s="69" t="s">
        <v>1004</v>
      </c>
      <c r="H238" s="69">
        <v>28040.61</v>
      </c>
      <c r="U238" s="69"/>
      <c r="V238" s="69"/>
      <c r="AR238" s="74">
        <f t="shared" si="19"/>
        <v>28040.61</v>
      </c>
      <c r="AS238" s="69">
        <v>23388.57</v>
      </c>
      <c r="AT238" s="69">
        <v>2849.6</v>
      </c>
      <c r="AU238" s="69">
        <v>1802.44</v>
      </c>
      <c r="BC238" s="69"/>
      <c r="BD238" s="69"/>
      <c r="CC238" s="74">
        <f t="shared" si="22"/>
        <v>28040.609999999997</v>
      </c>
      <c r="CD238" s="73">
        <f t="shared" si="20"/>
        <v>0</v>
      </c>
      <c r="CE238" s="75">
        <f t="shared" si="21"/>
        <v>8589</v>
      </c>
      <c r="CF238" s="3" t="str">
        <f t="shared" si="21"/>
        <v>برنامج دولى</v>
      </c>
    </row>
    <row r="239" spans="3:84" x14ac:dyDescent="0.25">
      <c r="C239" s="82">
        <v>13687</v>
      </c>
      <c r="D239" s="70">
        <v>8590</v>
      </c>
      <c r="E239" s="69" t="s">
        <v>78</v>
      </c>
      <c r="F239" s="69" t="s">
        <v>1252</v>
      </c>
      <c r="H239" s="69">
        <v>5188.3100000000004</v>
      </c>
      <c r="U239" s="69"/>
      <c r="V239" s="69"/>
      <c r="AR239" s="74">
        <f t="shared" si="19"/>
        <v>5188.3100000000004</v>
      </c>
      <c r="AS239" s="69">
        <v>3463.95</v>
      </c>
      <c r="AT239" s="69">
        <f>31.8+442.5</f>
        <v>474.3</v>
      </c>
      <c r="AU239" s="69">
        <v>1250.06</v>
      </c>
      <c r="BC239" s="69"/>
      <c r="BD239" s="69"/>
      <c r="CC239" s="74">
        <f t="shared" si="22"/>
        <v>5188.3099999999995</v>
      </c>
      <c r="CD239" s="73">
        <f t="shared" si="20"/>
        <v>0</v>
      </c>
      <c r="CE239" s="75">
        <f t="shared" si="21"/>
        <v>8590</v>
      </c>
      <c r="CF239" s="3" t="str">
        <f t="shared" si="21"/>
        <v>برنامج دولى</v>
      </c>
    </row>
    <row r="240" spans="3:84" x14ac:dyDescent="0.25">
      <c r="C240" s="82">
        <v>13688</v>
      </c>
      <c r="D240" s="70">
        <v>8591</v>
      </c>
      <c r="E240" s="69" t="s">
        <v>78</v>
      </c>
      <c r="F240" s="69" t="str">
        <f>+F238</f>
        <v>عب تدريس باطنه</v>
      </c>
      <c r="H240" s="69">
        <v>18799.07</v>
      </c>
      <c r="U240" s="69"/>
      <c r="V240" s="69"/>
      <c r="AR240" s="74">
        <f t="shared" si="19"/>
        <v>18799.07</v>
      </c>
      <c r="AS240" s="69">
        <v>13776.71</v>
      </c>
      <c r="AT240" s="69">
        <v>1797.65</v>
      </c>
      <c r="AU240" s="69">
        <v>3224.71</v>
      </c>
      <c r="BC240" s="69"/>
      <c r="BD240" s="69"/>
      <c r="CC240" s="74">
        <f t="shared" si="22"/>
        <v>18799.07</v>
      </c>
      <c r="CD240" s="73">
        <f t="shared" si="20"/>
        <v>0</v>
      </c>
      <c r="CE240" s="75">
        <f t="shared" si="21"/>
        <v>8591</v>
      </c>
      <c r="CF240" s="3" t="str">
        <f t="shared" si="21"/>
        <v>برنامج دولى</v>
      </c>
    </row>
    <row r="241" spans="3:84" x14ac:dyDescent="0.25">
      <c r="C241" s="82">
        <v>13690</v>
      </c>
      <c r="D241" s="70">
        <v>8592</v>
      </c>
      <c r="E241" s="69" t="s">
        <v>78</v>
      </c>
      <c r="F241" s="69" t="str">
        <f>+F239</f>
        <v>عب تدريس غدد صماء</v>
      </c>
      <c r="H241" s="69">
        <v>7386.76</v>
      </c>
      <c r="U241" s="69"/>
      <c r="V241" s="69"/>
      <c r="AR241" s="74">
        <f t="shared" si="19"/>
        <v>7386.76</v>
      </c>
      <c r="AS241" s="69">
        <v>4935.7</v>
      </c>
      <c r="AT241" s="69">
        <v>671.3</v>
      </c>
      <c r="AU241" s="69">
        <v>1779.76</v>
      </c>
      <c r="BC241" s="69"/>
      <c r="BD241" s="69"/>
      <c r="CC241" s="74">
        <f t="shared" si="22"/>
        <v>7386.76</v>
      </c>
      <c r="CD241" s="73">
        <f t="shared" si="20"/>
        <v>0</v>
      </c>
      <c r="CE241" s="75">
        <f t="shared" si="21"/>
        <v>8592</v>
      </c>
      <c r="CF241" s="3" t="str">
        <f t="shared" si="21"/>
        <v>برنامج دولى</v>
      </c>
    </row>
    <row r="242" spans="3:84" x14ac:dyDescent="0.25">
      <c r="C242" s="82">
        <v>13689</v>
      </c>
      <c r="D242" s="70">
        <v>8593</v>
      </c>
      <c r="E242" s="69" t="s">
        <v>78</v>
      </c>
      <c r="F242" s="69" t="str">
        <f>+F241</f>
        <v>عب تدريس غدد صماء</v>
      </c>
      <c r="H242" s="69">
        <v>4185.82</v>
      </c>
      <c r="U242" s="69"/>
      <c r="V242" s="69"/>
      <c r="AR242" s="74">
        <f t="shared" si="19"/>
        <v>4185.82</v>
      </c>
      <c r="AS242" s="69">
        <v>2796.85</v>
      </c>
      <c r="AT242" s="69">
        <v>380.45</v>
      </c>
      <c r="AU242" s="69">
        <v>1008.52</v>
      </c>
      <c r="BC242" s="69"/>
      <c r="BD242" s="69"/>
      <c r="CC242" s="74">
        <f t="shared" si="22"/>
        <v>4185.82</v>
      </c>
      <c r="CD242" s="73">
        <f t="shared" si="20"/>
        <v>0</v>
      </c>
      <c r="CE242" s="75">
        <f t="shared" si="21"/>
        <v>8593</v>
      </c>
      <c r="CF242" s="3" t="str">
        <f t="shared" si="21"/>
        <v>برنامج دولى</v>
      </c>
    </row>
    <row r="243" spans="3:84" x14ac:dyDescent="0.25">
      <c r="C243" s="82">
        <v>13691</v>
      </c>
      <c r="D243" s="70">
        <v>8594</v>
      </c>
      <c r="E243" s="69" t="s">
        <v>78</v>
      </c>
      <c r="F243" s="69" t="str">
        <f t="shared" ref="F243" si="23">+F241</f>
        <v>عب تدريس غدد صماء</v>
      </c>
      <c r="H243" s="69">
        <v>5540.07</v>
      </c>
      <c r="U243" s="69"/>
      <c r="V243" s="69"/>
      <c r="AR243" s="74">
        <f t="shared" si="19"/>
        <v>5540.07</v>
      </c>
      <c r="AS243" s="69">
        <v>3701.95</v>
      </c>
      <c r="AT243" s="69">
        <v>503.3</v>
      </c>
      <c r="AU243" s="69">
        <v>1334.82</v>
      </c>
      <c r="BC243" s="69"/>
      <c r="BD243" s="69"/>
      <c r="CC243" s="74">
        <f t="shared" si="22"/>
        <v>5540.07</v>
      </c>
      <c r="CD243" s="73">
        <f t="shared" si="20"/>
        <v>0</v>
      </c>
      <c r="CE243" s="75">
        <f t="shared" si="21"/>
        <v>8594</v>
      </c>
      <c r="CF243" s="3" t="str">
        <f t="shared" si="21"/>
        <v>برنامج دولى</v>
      </c>
    </row>
    <row r="244" spans="3:84" x14ac:dyDescent="0.25">
      <c r="C244" s="82">
        <v>13682</v>
      </c>
      <c r="D244" s="70">
        <v>8595</v>
      </c>
      <c r="E244" s="69" t="s">
        <v>78</v>
      </c>
      <c r="F244" s="69" t="s">
        <v>1253</v>
      </c>
      <c r="H244" s="69">
        <v>562.79</v>
      </c>
      <c r="U244" s="69"/>
      <c r="V244" s="69"/>
      <c r="AR244" s="74">
        <f t="shared" si="19"/>
        <v>562.79</v>
      </c>
      <c r="AS244" s="69">
        <v>377.75</v>
      </c>
      <c r="AT244" s="69">
        <v>49.45</v>
      </c>
      <c r="AU244" s="69">
        <v>135.59</v>
      </c>
      <c r="BC244" s="69"/>
      <c r="BD244" s="69"/>
      <c r="CC244" s="74">
        <f t="shared" si="22"/>
        <v>562.79</v>
      </c>
      <c r="CD244" s="73">
        <f t="shared" si="20"/>
        <v>0</v>
      </c>
      <c r="CE244" s="75">
        <f t="shared" si="21"/>
        <v>8595</v>
      </c>
      <c r="CF244" s="3" t="str">
        <f t="shared" si="21"/>
        <v>برنامج دولى</v>
      </c>
    </row>
    <row r="245" spans="3:84" x14ac:dyDescent="0.25">
      <c r="C245" s="82">
        <v>13684</v>
      </c>
      <c r="D245" s="70">
        <v>8596</v>
      </c>
      <c r="E245" s="69" t="s">
        <v>78</v>
      </c>
      <c r="F245" s="69" t="s">
        <v>1253</v>
      </c>
      <c r="H245" s="69">
        <v>562.79999999999995</v>
      </c>
      <c r="U245" s="69"/>
      <c r="V245" s="69"/>
      <c r="AR245" s="74">
        <f t="shared" si="19"/>
        <v>562.79999999999995</v>
      </c>
      <c r="AS245" s="69">
        <v>376.75</v>
      </c>
      <c r="AT245" s="69">
        <v>50.45</v>
      </c>
      <c r="AU245" s="69">
        <v>135.6</v>
      </c>
      <c r="BC245" s="69"/>
      <c r="BD245" s="69"/>
      <c r="CC245" s="74">
        <f t="shared" si="22"/>
        <v>562.79999999999995</v>
      </c>
      <c r="CD245" s="73">
        <f t="shared" si="20"/>
        <v>0</v>
      </c>
      <c r="CE245" s="75">
        <f t="shared" si="21"/>
        <v>8596</v>
      </c>
      <c r="CF245" s="3" t="str">
        <f t="shared" si="21"/>
        <v>برنامج دولى</v>
      </c>
    </row>
    <row r="246" spans="3:84" x14ac:dyDescent="0.25">
      <c r="C246" s="82">
        <v>13683</v>
      </c>
      <c r="D246" s="70">
        <v>8597</v>
      </c>
      <c r="E246" s="69" t="s">
        <v>78</v>
      </c>
      <c r="F246" s="69" t="s">
        <v>1253</v>
      </c>
      <c r="H246" s="69">
        <v>1231.1199999999999</v>
      </c>
      <c r="U246" s="69"/>
      <c r="V246" s="69"/>
      <c r="AR246" s="74">
        <f t="shared" si="19"/>
        <v>1231.1199999999999</v>
      </c>
      <c r="AS246" s="69">
        <v>822.85</v>
      </c>
      <c r="AT246" s="69">
        <v>111.65</v>
      </c>
      <c r="AU246" s="69">
        <v>296.62</v>
      </c>
      <c r="BC246" s="69"/>
      <c r="BD246" s="69"/>
      <c r="CC246" s="74">
        <f t="shared" si="22"/>
        <v>1231.1199999999999</v>
      </c>
      <c r="CD246" s="73">
        <f t="shared" si="20"/>
        <v>0</v>
      </c>
      <c r="CE246" s="75">
        <f t="shared" si="21"/>
        <v>8597</v>
      </c>
      <c r="CF246" s="3" t="str">
        <f t="shared" si="21"/>
        <v>برنامج دولى</v>
      </c>
    </row>
    <row r="247" spans="3:84" x14ac:dyDescent="0.25">
      <c r="C247" s="82">
        <v>13685</v>
      </c>
      <c r="D247" s="70">
        <v>8598</v>
      </c>
      <c r="E247" s="69" t="s">
        <v>78</v>
      </c>
      <c r="F247" s="69" t="s">
        <v>1253</v>
      </c>
      <c r="H247" s="69">
        <v>1125.5999999999999</v>
      </c>
      <c r="U247" s="69"/>
      <c r="V247" s="69"/>
      <c r="AR247" s="74">
        <f t="shared" si="19"/>
        <v>1125.5999999999999</v>
      </c>
      <c r="AS247" s="69">
        <v>754.4</v>
      </c>
      <c r="AT247" s="69">
        <v>100</v>
      </c>
      <c r="AU247" s="69">
        <v>271.2</v>
      </c>
      <c r="BC247" s="69"/>
      <c r="BD247" s="69"/>
      <c r="CC247" s="74">
        <f t="shared" si="22"/>
        <v>1125.5999999999999</v>
      </c>
      <c r="CD247" s="73">
        <f t="shared" si="20"/>
        <v>0</v>
      </c>
      <c r="CE247" s="75">
        <f t="shared" si="21"/>
        <v>8598</v>
      </c>
      <c r="CF247" s="3" t="str">
        <f t="shared" si="21"/>
        <v>برنامج دولى</v>
      </c>
    </row>
    <row r="248" spans="3:84" x14ac:dyDescent="0.25">
      <c r="C248" s="82">
        <v>13686</v>
      </c>
      <c r="D248" s="70">
        <v>8599</v>
      </c>
      <c r="E248" s="69" t="s">
        <v>78</v>
      </c>
      <c r="F248" s="69" t="s">
        <v>1253</v>
      </c>
      <c r="H248" s="69">
        <v>3669.46</v>
      </c>
      <c r="U248" s="69"/>
      <c r="V248" s="69"/>
      <c r="AR248" s="74">
        <f t="shared" si="19"/>
        <v>3669.46</v>
      </c>
      <c r="AS248" s="69">
        <v>2853.15</v>
      </c>
      <c r="AT248" s="69">
        <v>358.65</v>
      </c>
      <c r="AU248" s="69">
        <v>457.66</v>
      </c>
      <c r="BC248" s="69"/>
      <c r="BD248" s="69"/>
      <c r="CC248" s="74">
        <f t="shared" si="22"/>
        <v>3669.46</v>
      </c>
      <c r="CD248" s="73">
        <f t="shared" si="20"/>
        <v>0</v>
      </c>
      <c r="CE248" s="75">
        <f t="shared" si="21"/>
        <v>8599</v>
      </c>
      <c r="CF248" s="3" t="str">
        <f t="shared" si="21"/>
        <v>برنامج دولى</v>
      </c>
    </row>
    <row r="249" spans="3:84" x14ac:dyDescent="0.25">
      <c r="C249" s="82">
        <v>13692</v>
      </c>
      <c r="D249" s="70">
        <v>8600</v>
      </c>
      <c r="E249" s="69" t="s">
        <v>78</v>
      </c>
      <c r="F249" s="69" t="s">
        <v>1253</v>
      </c>
      <c r="H249" s="69">
        <v>1407</v>
      </c>
      <c r="U249" s="69"/>
      <c r="V249" s="69"/>
      <c r="AR249" s="74">
        <f t="shared" si="19"/>
        <v>1407</v>
      </c>
      <c r="AS249" s="69">
        <v>940.35</v>
      </c>
      <c r="AT249" s="69">
        <v>127.65</v>
      </c>
      <c r="AU249" s="69">
        <v>339</v>
      </c>
      <c r="BC249" s="69"/>
      <c r="BD249" s="69"/>
      <c r="CC249" s="74">
        <f t="shared" si="22"/>
        <v>1407</v>
      </c>
      <c r="CD249" s="73">
        <f t="shared" si="20"/>
        <v>0</v>
      </c>
      <c r="CE249" s="75">
        <f t="shared" si="21"/>
        <v>8600</v>
      </c>
      <c r="CF249" s="3" t="str">
        <f t="shared" si="21"/>
        <v>برنامج دولى</v>
      </c>
    </row>
    <row r="250" spans="3:84" x14ac:dyDescent="0.25">
      <c r="C250" s="82">
        <v>13693</v>
      </c>
      <c r="D250" s="70">
        <v>8601</v>
      </c>
      <c r="E250" s="69" t="s">
        <v>78</v>
      </c>
      <c r="F250" s="69" t="s">
        <v>1253</v>
      </c>
      <c r="H250" s="69">
        <v>5487.3</v>
      </c>
      <c r="U250" s="69"/>
      <c r="V250" s="69"/>
      <c r="AR250" s="74">
        <f t="shared" si="19"/>
        <v>5487.3</v>
      </c>
      <c r="AS250" s="69">
        <v>3667.4</v>
      </c>
      <c r="AT250" s="69">
        <v>497.8</v>
      </c>
      <c r="AU250" s="69">
        <v>1322.1</v>
      </c>
      <c r="BC250" s="69"/>
      <c r="BD250" s="69"/>
      <c r="CC250" s="74">
        <f t="shared" si="22"/>
        <v>5487.2999999999993</v>
      </c>
      <c r="CD250" s="73">
        <f t="shared" si="20"/>
        <v>0</v>
      </c>
      <c r="CE250" s="75">
        <f t="shared" si="21"/>
        <v>8601</v>
      </c>
      <c r="CF250" s="3" t="str">
        <f t="shared" si="21"/>
        <v>برنامج دولى</v>
      </c>
    </row>
    <row r="251" spans="3:84" x14ac:dyDescent="0.25">
      <c r="C251" s="82">
        <v>13694</v>
      </c>
      <c r="D251" s="70">
        <v>8602</v>
      </c>
      <c r="E251" s="69" t="s">
        <v>78</v>
      </c>
      <c r="F251" s="69" t="s">
        <v>1253</v>
      </c>
      <c r="H251" s="69">
        <v>2743.64</v>
      </c>
      <c r="U251" s="69"/>
      <c r="V251" s="69"/>
      <c r="AR251" s="74">
        <f t="shared" si="19"/>
        <v>2743.64</v>
      </c>
      <c r="AS251" s="69">
        <v>1835.3</v>
      </c>
      <c r="AT251" s="69">
        <v>247.3</v>
      </c>
      <c r="AU251" s="69">
        <v>661.04</v>
      </c>
      <c r="BC251" s="69"/>
      <c r="BD251" s="69"/>
      <c r="CC251" s="74">
        <f t="shared" si="22"/>
        <v>2743.64</v>
      </c>
      <c r="CD251" s="73">
        <f t="shared" si="20"/>
        <v>0</v>
      </c>
      <c r="CE251" s="75">
        <f t="shared" si="21"/>
        <v>8602</v>
      </c>
      <c r="CF251" s="3" t="str">
        <f t="shared" si="21"/>
        <v>برنامج دولى</v>
      </c>
    </row>
    <row r="252" spans="3:84" x14ac:dyDescent="0.25">
      <c r="C252" s="82">
        <v>13696</v>
      </c>
      <c r="D252" s="70">
        <v>8603</v>
      </c>
      <c r="E252" s="69" t="s">
        <v>78</v>
      </c>
      <c r="F252" s="69" t="s">
        <v>1253</v>
      </c>
      <c r="H252" s="69">
        <v>4501.9799999999996</v>
      </c>
      <c r="U252" s="69"/>
      <c r="V252" s="69"/>
      <c r="AR252" s="74">
        <f t="shared" si="19"/>
        <v>4501.9799999999996</v>
      </c>
      <c r="AS252" s="69">
        <v>3237.42</v>
      </c>
      <c r="AT252" s="69">
        <v>426.1</v>
      </c>
      <c r="AU252" s="69">
        <v>838.46</v>
      </c>
      <c r="BC252" s="69"/>
      <c r="BD252" s="69"/>
      <c r="CC252" s="74">
        <f t="shared" si="22"/>
        <v>4501.9799999999996</v>
      </c>
      <c r="CD252" s="73">
        <f t="shared" si="20"/>
        <v>0</v>
      </c>
      <c r="CE252" s="75">
        <f t="shared" si="21"/>
        <v>8603</v>
      </c>
      <c r="CF252" s="3" t="str">
        <f t="shared" si="21"/>
        <v>برنامج دولى</v>
      </c>
    </row>
    <row r="253" spans="3:84" x14ac:dyDescent="0.25">
      <c r="C253" s="82">
        <v>13695</v>
      </c>
      <c r="D253" s="70">
        <v>8604</v>
      </c>
      <c r="E253" s="69" t="s">
        <v>78</v>
      </c>
      <c r="F253" s="69" t="s">
        <v>1253</v>
      </c>
      <c r="H253" s="69">
        <v>1336.65</v>
      </c>
      <c r="U253" s="69"/>
      <c r="V253" s="69"/>
      <c r="AR253" s="74">
        <f t="shared" si="19"/>
        <v>1336.65</v>
      </c>
      <c r="AS253" s="69">
        <v>893.35</v>
      </c>
      <c r="AT253" s="69">
        <v>121.25</v>
      </c>
      <c r="AU253" s="69">
        <v>322.05</v>
      </c>
      <c r="BC253" s="69"/>
      <c r="BD253" s="69"/>
      <c r="CC253" s="74">
        <f t="shared" si="22"/>
        <v>1336.65</v>
      </c>
      <c r="CD253" s="73">
        <f t="shared" si="20"/>
        <v>0</v>
      </c>
      <c r="CE253" s="75">
        <f t="shared" si="21"/>
        <v>8604</v>
      </c>
      <c r="CF253" s="3" t="str">
        <f t="shared" si="21"/>
        <v>برنامج دولى</v>
      </c>
    </row>
    <row r="254" spans="3:84" x14ac:dyDescent="0.25">
      <c r="C254" s="82">
        <v>13697</v>
      </c>
      <c r="D254" s="70">
        <v>8605</v>
      </c>
      <c r="E254" s="69" t="s">
        <v>78</v>
      </c>
      <c r="F254" s="69" t="s">
        <v>1253</v>
      </c>
      <c r="H254" s="69">
        <v>16498.93</v>
      </c>
      <c r="U254" s="69"/>
      <c r="V254" s="69"/>
      <c r="AR254" s="74">
        <f t="shared" si="19"/>
        <v>16498.93</v>
      </c>
      <c r="AS254" s="69">
        <v>12947.55</v>
      </c>
      <c r="AT254" s="69">
        <v>1637.05</v>
      </c>
      <c r="AU254" s="69">
        <v>1914.33</v>
      </c>
      <c r="BC254" s="69"/>
      <c r="BD254" s="69"/>
      <c r="CC254" s="74">
        <f t="shared" si="22"/>
        <v>16498.93</v>
      </c>
      <c r="CD254" s="73">
        <f t="shared" si="20"/>
        <v>0</v>
      </c>
      <c r="CE254" s="75">
        <f t="shared" si="21"/>
        <v>8605</v>
      </c>
      <c r="CF254" s="3" t="str">
        <f t="shared" si="21"/>
        <v>برنامج دولى</v>
      </c>
    </row>
    <row r="255" spans="3:84" x14ac:dyDescent="0.25">
      <c r="C255" s="82">
        <v>13312</v>
      </c>
      <c r="D255" s="70">
        <v>8606</v>
      </c>
      <c r="E255" s="69" t="s">
        <v>78</v>
      </c>
      <c r="F255" s="69" t="s">
        <v>1254</v>
      </c>
      <c r="H255" s="69">
        <v>10800</v>
      </c>
      <c r="U255" s="69"/>
      <c r="V255" s="69"/>
      <c r="AR255" s="74">
        <f t="shared" si="19"/>
        <v>10800</v>
      </c>
      <c r="AS255" s="69">
        <v>9638</v>
      </c>
      <c r="AT255" s="69">
        <v>1162</v>
      </c>
      <c r="BC255" s="69"/>
      <c r="BD255" s="69"/>
      <c r="CC255" s="74">
        <f t="shared" si="22"/>
        <v>10800</v>
      </c>
      <c r="CD255" s="73">
        <f t="shared" si="20"/>
        <v>0</v>
      </c>
      <c r="CE255" s="75">
        <f t="shared" si="21"/>
        <v>8606</v>
      </c>
      <c r="CF255" s="3" t="str">
        <f t="shared" si="21"/>
        <v>برنامج دولى</v>
      </c>
    </row>
    <row r="256" spans="3:84" x14ac:dyDescent="0.25">
      <c r="C256" s="82">
        <v>13313</v>
      </c>
      <c r="D256" s="70">
        <v>8607</v>
      </c>
      <c r="E256" s="69" t="s">
        <v>78</v>
      </c>
      <c r="F256" s="69" t="s">
        <v>1254</v>
      </c>
      <c r="H256" s="69">
        <v>1266.3</v>
      </c>
      <c r="U256" s="69"/>
      <c r="V256" s="69"/>
      <c r="AR256" s="74">
        <f t="shared" si="19"/>
        <v>1266.3</v>
      </c>
      <c r="AS256" s="69">
        <v>846.35</v>
      </c>
      <c r="AT256" s="69">
        <v>114.85</v>
      </c>
      <c r="AU256" s="69">
        <v>305.10000000000002</v>
      </c>
      <c r="BC256" s="69"/>
      <c r="BD256" s="69"/>
      <c r="CC256" s="74">
        <f t="shared" si="22"/>
        <v>1266.3000000000002</v>
      </c>
      <c r="CD256" s="73">
        <f t="shared" si="20"/>
        <v>0</v>
      </c>
      <c r="CE256" s="75">
        <f t="shared" si="21"/>
        <v>8607</v>
      </c>
      <c r="CF256" s="3" t="str">
        <f t="shared" si="21"/>
        <v>برنامج دولى</v>
      </c>
    </row>
    <row r="257" spans="2:84" x14ac:dyDescent="0.25">
      <c r="C257" s="82">
        <v>13314</v>
      </c>
      <c r="D257" s="70">
        <v>8608</v>
      </c>
      <c r="E257" s="69" t="s">
        <v>78</v>
      </c>
      <c r="F257" s="69" t="s">
        <v>1254</v>
      </c>
      <c r="H257" s="69">
        <v>1266.3</v>
      </c>
      <c r="U257" s="69"/>
      <c r="V257" s="69"/>
      <c r="AR257" s="74">
        <f t="shared" si="19"/>
        <v>1266.3</v>
      </c>
      <c r="AS257" s="69">
        <v>847.1</v>
      </c>
      <c r="AT257" s="69">
        <v>114.1</v>
      </c>
      <c r="AU257" s="69">
        <v>305.10000000000002</v>
      </c>
      <c r="BC257" s="69"/>
      <c r="BD257" s="69"/>
      <c r="CC257" s="74">
        <f t="shared" si="22"/>
        <v>1266.3000000000002</v>
      </c>
      <c r="CD257" s="73">
        <f t="shared" si="20"/>
        <v>0</v>
      </c>
      <c r="CE257" s="75">
        <f t="shared" si="21"/>
        <v>8608</v>
      </c>
      <c r="CF257" s="3" t="str">
        <f t="shared" si="21"/>
        <v>برنامج دولى</v>
      </c>
    </row>
    <row r="258" spans="2:84" x14ac:dyDescent="0.25">
      <c r="C258" s="82">
        <v>13315</v>
      </c>
      <c r="D258" s="70">
        <v>8609</v>
      </c>
      <c r="E258" s="69" t="s">
        <v>78</v>
      </c>
      <c r="F258" s="69" t="s">
        <v>1254</v>
      </c>
      <c r="H258" s="69">
        <v>2532.6</v>
      </c>
      <c r="U258" s="69"/>
      <c r="V258" s="69"/>
      <c r="AR258" s="74">
        <f t="shared" si="19"/>
        <v>2532.6</v>
      </c>
      <c r="AS258" s="69">
        <v>1692.7</v>
      </c>
      <c r="AT258" s="69">
        <v>229.7</v>
      </c>
      <c r="AU258" s="69">
        <v>610.20000000000005</v>
      </c>
      <c r="BC258" s="69"/>
      <c r="BD258" s="69"/>
      <c r="CC258" s="74">
        <f t="shared" si="22"/>
        <v>2532.6000000000004</v>
      </c>
      <c r="CD258" s="73">
        <f t="shared" si="20"/>
        <v>0</v>
      </c>
      <c r="CE258" s="75">
        <f t="shared" si="21"/>
        <v>8609</v>
      </c>
      <c r="CF258" s="3" t="str">
        <f t="shared" si="21"/>
        <v>برنامج دولى</v>
      </c>
    </row>
    <row r="259" spans="2:84" x14ac:dyDescent="0.25">
      <c r="B259" s="69" t="s">
        <v>1255</v>
      </c>
      <c r="C259" s="82">
        <v>14427</v>
      </c>
      <c r="D259" s="70">
        <v>8610</v>
      </c>
      <c r="E259" s="69" t="s">
        <v>78</v>
      </c>
      <c r="F259" s="69" t="s">
        <v>1256</v>
      </c>
      <c r="H259" s="69">
        <v>26.56</v>
      </c>
      <c r="U259" s="69"/>
      <c r="V259" s="69"/>
      <c r="AR259" s="74">
        <f t="shared" si="19"/>
        <v>26.56</v>
      </c>
      <c r="AS259" s="69">
        <v>20.18</v>
      </c>
      <c r="AT259" s="69">
        <v>5.05</v>
      </c>
      <c r="AU259" s="69">
        <v>1.33</v>
      </c>
      <c r="BC259" s="69"/>
      <c r="BD259" s="69"/>
      <c r="CC259" s="74">
        <f t="shared" si="22"/>
        <v>26.560000000000002</v>
      </c>
      <c r="CD259" s="73">
        <f t="shared" si="20"/>
        <v>0</v>
      </c>
      <c r="CE259" s="75">
        <f t="shared" si="21"/>
        <v>8610</v>
      </c>
      <c r="CF259" s="3" t="str">
        <f t="shared" si="21"/>
        <v>برنامج دولى</v>
      </c>
    </row>
    <row r="260" spans="2:84" x14ac:dyDescent="0.25">
      <c r="C260" s="82">
        <v>9355</v>
      </c>
      <c r="D260" s="70">
        <v>8611</v>
      </c>
      <c r="E260" s="69" t="s">
        <v>78</v>
      </c>
      <c r="F260" s="69" t="s">
        <v>1257</v>
      </c>
      <c r="H260" s="69">
        <v>393.12</v>
      </c>
      <c r="U260" s="69"/>
      <c r="V260" s="69"/>
      <c r="AR260" s="74">
        <f t="shared" si="19"/>
        <v>393.12</v>
      </c>
      <c r="AS260" s="69">
        <v>299.52</v>
      </c>
      <c r="AT260" s="69">
        <v>22.98</v>
      </c>
      <c r="AU260" s="69">
        <v>70.62</v>
      </c>
      <c r="BC260" s="69"/>
      <c r="BD260" s="69"/>
      <c r="CC260" s="74">
        <f t="shared" si="22"/>
        <v>393.12</v>
      </c>
      <c r="CD260" s="73">
        <f t="shared" si="20"/>
        <v>0</v>
      </c>
      <c r="CE260" s="75">
        <f t="shared" si="21"/>
        <v>8611</v>
      </c>
      <c r="CF260" s="3" t="str">
        <f t="shared" si="21"/>
        <v>برنامج دولى</v>
      </c>
    </row>
    <row r="261" spans="2:84" x14ac:dyDescent="0.25">
      <c r="C261" s="82">
        <v>14542</v>
      </c>
      <c r="D261" s="70">
        <v>8612</v>
      </c>
      <c r="E261" s="69" t="s">
        <v>78</v>
      </c>
      <c r="F261" s="69" t="str">
        <f>+F225</f>
        <v>مكافاه وافدين</v>
      </c>
      <c r="H261" s="69">
        <v>10552.5</v>
      </c>
      <c r="U261" s="69"/>
      <c r="V261" s="69"/>
      <c r="AR261" s="74">
        <f t="shared" si="19"/>
        <v>10552.5</v>
      </c>
      <c r="AS261" s="69">
        <v>7043.55</v>
      </c>
      <c r="AT261" s="69">
        <f>66.45+900</f>
        <v>966.45</v>
      </c>
      <c r="AU261" s="69">
        <v>2542.5</v>
      </c>
      <c r="BC261" s="69"/>
      <c r="BD261" s="69"/>
      <c r="CC261" s="74">
        <f t="shared" si="22"/>
        <v>10552.5</v>
      </c>
      <c r="CD261" s="73">
        <f t="shared" si="20"/>
        <v>0</v>
      </c>
      <c r="CE261" s="75">
        <f t="shared" si="21"/>
        <v>8612</v>
      </c>
      <c r="CF261" s="3" t="str">
        <f t="shared" si="21"/>
        <v>برنامج دولى</v>
      </c>
    </row>
    <row r="262" spans="2:84" x14ac:dyDescent="0.25">
      <c r="C262" s="82">
        <v>14557</v>
      </c>
      <c r="D262" s="70">
        <v>8613</v>
      </c>
      <c r="E262" s="69" t="s">
        <v>78</v>
      </c>
      <c r="F262" s="69" t="s">
        <v>1258</v>
      </c>
      <c r="H262" s="69">
        <v>2345</v>
      </c>
      <c r="U262" s="69"/>
      <c r="V262" s="69"/>
      <c r="AR262" s="74">
        <f t="shared" si="19"/>
        <v>2345</v>
      </c>
      <c r="AS262" s="69">
        <v>1565.35</v>
      </c>
      <c r="AT262" s="69">
        <f>14.65+200</f>
        <v>214.65</v>
      </c>
      <c r="AU262" s="69">
        <v>565</v>
      </c>
      <c r="BC262" s="69"/>
      <c r="BD262" s="69"/>
      <c r="CC262" s="74">
        <f t="shared" si="22"/>
        <v>2345</v>
      </c>
      <c r="CD262" s="73">
        <f t="shared" si="20"/>
        <v>0</v>
      </c>
      <c r="CE262" s="75">
        <f t="shared" si="21"/>
        <v>8613</v>
      </c>
      <c r="CF262" s="3" t="str">
        <f t="shared" si="21"/>
        <v>برنامج دولى</v>
      </c>
    </row>
    <row r="263" spans="2:84" x14ac:dyDescent="0.25">
      <c r="C263" s="82">
        <v>14521</v>
      </c>
      <c r="D263" s="70">
        <v>8614</v>
      </c>
      <c r="E263" s="69" t="s">
        <v>78</v>
      </c>
      <c r="F263" s="69" t="s">
        <v>1259</v>
      </c>
      <c r="H263" s="69">
        <v>2995.34</v>
      </c>
      <c r="U263" s="69"/>
      <c r="V263" s="69"/>
      <c r="AR263" s="74">
        <f t="shared" si="19"/>
        <v>2995.34</v>
      </c>
      <c r="AS263" s="69">
        <v>2223.17</v>
      </c>
      <c r="AT263" s="69">
        <v>288.5</v>
      </c>
      <c r="AU263" s="69">
        <v>483.67</v>
      </c>
      <c r="BC263" s="69"/>
      <c r="BD263" s="69"/>
      <c r="CC263" s="74">
        <f t="shared" si="22"/>
        <v>2995.34</v>
      </c>
      <c r="CD263" s="73">
        <f t="shared" si="20"/>
        <v>0</v>
      </c>
      <c r="CE263" s="75">
        <f t="shared" si="21"/>
        <v>8614</v>
      </c>
      <c r="CF263" s="3" t="str">
        <f t="shared" si="21"/>
        <v>برنامج دولى</v>
      </c>
    </row>
    <row r="264" spans="2:84" x14ac:dyDescent="0.25">
      <c r="C264" s="82">
        <v>14522</v>
      </c>
      <c r="D264" s="70">
        <v>8615</v>
      </c>
      <c r="E264" s="69" t="s">
        <v>78</v>
      </c>
      <c r="F264" s="69" t="s">
        <v>1259</v>
      </c>
      <c r="H264" s="69">
        <v>1800</v>
      </c>
      <c r="U264" s="69"/>
      <c r="V264" s="69"/>
      <c r="AR264" s="74">
        <f t="shared" si="19"/>
        <v>1800</v>
      </c>
      <c r="AS264" s="69">
        <v>1606.85</v>
      </c>
      <c r="AT264" s="69">
        <v>193.15</v>
      </c>
      <c r="BC264" s="69"/>
      <c r="BD264" s="69"/>
      <c r="CC264" s="74">
        <f t="shared" si="22"/>
        <v>1800</v>
      </c>
      <c r="CD264" s="73">
        <f t="shared" si="20"/>
        <v>0</v>
      </c>
      <c r="CE264" s="75">
        <f t="shared" si="21"/>
        <v>8615</v>
      </c>
      <c r="CF264" s="3" t="str">
        <f t="shared" si="21"/>
        <v>برنامج دولى</v>
      </c>
    </row>
    <row r="265" spans="2:84" x14ac:dyDescent="0.25">
      <c r="C265" s="82">
        <v>14523</v>
      </c>
      <c r="D265" s="70">
        <v>8616</v>
      </c>
      <c r="E265" s="69" t="s">
        <v>78</v>
      </c>
      <c r="F265" s="69" t="s">
        <v>1260</v>
      </c>
      <c r="H265" s="69">
        <v>6565.98</v>
      </c>
      <c r="U265" s="69"/>
      <c r="V265" s="69"/>
      <c r="AR265" s="74">
        <f t="shared" si="19"/>
        <v>6565.98</v>
      </c>
      <c r="AS265" s="69">
        <v>4390.6499999999996</v>
      </c>
      <c r="AT265" s="69">
        <v>593.35</v>
      </c>
      <c r="AU265" s="69">
        <v>1581.98</v>
      </c>
      <c r="BC265" s="69"/>
      <c r="BD265" s="69"/>
      <c r="CC265" s="74">
        <f t="shared" si="22"/>
        <v>6565.98</v>
      </c>
      <c r="CD265" s="73">
        <f t="shared" si="20"/>
        <v>0</v>
      </c>
      <c r="CE265" s="75">
        <f t="shared" si="21"/>
        <v>8616</v>
      </c>
      <c r="CF265" s="3" t="str">
        <f t="shared" si="21"/>
        <v>برنامج دولى</v>
      </c>
    </row>
    <row r="266" spans="2:84" x14ac:dyDescent="0.25">
      <c r="C266" s="82">
        <v>14524</v>
      </c>
      <c r="D266" s="70">
        <v>8617</v>
      </c>
      <c r="E266" s="69" t="s">
        <v>78</v>
      </c>
      <c r="F266" s="69" t="s">
        <v>1260</v>
      </c>
      <c r="H266" s="69">
        <v>3948.91</v>
      </c>
      <c r="U266" s="69"/>
      <c r="V266" s="69"/>
      <c r="AR266" s="74">
        <f t="shared" si="19"/>
        <v>3948.91</v>
      </c>
      <c r="AS266" s="69">
        <v>2831.92</v>
      </c>
      <c r="AT266" s="69">
        <v>370.35</v>
      </c>
      <c r="AU266" s="69">
        <v>746.64</v>
      </c>
      <c r="BC266" s="69"/>
      <c r="BD266" s="69"/>
      <c r="CC266" s="74">
        <f t="shared" si="22"/>
        <v>3948.91</v>
      </c>
      <c r="CD266" s="73">
        <f t="shared" si="20"/>
        <v>0</v>
      </c>
      <c r="CE266" s="75">
        <f t="shared" si="21"/>
        <v>8617</v>
      </c>
      <c r="CF266" s="3" t="str">
        <f t="shared" si="21"/>
        <v>برنامج دولى</v>
      </c>
    </row>
    <row r="267" spans="2:84" x14ac:dyDescent="0.25">
      <c r="C267" s="82">
        <v>14525</v>
      </c>
      <c r="D267" s="70">
        <v>8618</v>
      </c>
      <c r="E267" s="69" t="s">
        <v>78</v>
      </c>
      <c r="F267" s="69" t="s">
        <v>1260</v>
      </c>
      <c r="H267" s="69">
        <v>1758.75</v>
      </c>
      <c r="U267" s="69"/>
      <c r="V267" s="69"/>
      <c r="AR267" s="74">
        <f t="shared" si="19"/>
        <v>1758.75</v>
      </c>
      <c r="AS267" s="69">
        <v>1175.3499999999999</v>
      </c>
      <c r="AT267" s="69">
        <v>159.65</v>
      </c>
      <c r="AU267" s="69">
        <v>423.75</v>
      </c>
      <c r="BC267" s="69"/>
      <c r="BD267" s="69"/>
      <c r="CC267" s="74">
        <f t="shared" si="22"/>
        <v>1758.75</v>
      </c>
      <c r="CD267" s="73">
        <f t="shared" si="20"/>
        <v>0</v>
      </c>
      <c r="CE267" s="75">
        <f t="shared" si="21"/>
        <v>8618</v>
      </c>
      <c r="CF267" s="3" t="str">
        <f t="shared" si="21"/>
        <v>برنامج دولى</v>
      </c>
    </row>
    <row r="268" spans="2:84" x14ac:dyDescent="0.25">
      <c r="C268" s="82">
        <v>14526</v>
      </c>
      <c r="D268" s="70">
        <v>8619</v>
      </c>
      <c r="E268" s="69" t="s">
        <v>78</v>
      </c>
      <c r="F268" s="69" t="s">
        <v>1260</v>
      </c>
      <c r="H268" s="69">
        <v>1407</v>
      </c>
      <c r="U268" s="69"/>
      <c r="V268" s="69"/>
      <c r="AR268" s="74">
        <f t="shared" si="19"/>
        <v>1407</v>
      </c>
      <c r="AS268" s="69">
        <v>940.35</v>
      </c>
      <c r="AT268" s="69">
        <v>127.65</v>
      </c>
      <c r="AU268" s="69">
        <v>339</v>
      </c>
      <c r="BC268" s="69"/>
      <c r="BD268" s="69"/>
      <c r="CC268" s="74">
        <f t="shared" si="22"/>
        <v>1407</v>
      </c>
      <c r="CD268" s="73">
        <f t="shared" si="20"/>
        <v>0</v>
      </c>
      <c r="CE268" s="75">
        <f t="shared" si="21"/>
        <v>8619</v>
      </c>
      <c r="CF268" s="3" t="str">
        <f t="shared" si="21"/>
        <v>برنامج دولى</v>
      </c>
    </row>
    <row r="269" spans="2:84" x14ac:dyDescent="0.25">
      <c r="C269" s="82">
        <v>14527</v>
      </c>
      <c r="D269" s="70">
        <v>8620</v>
      </c>
      <c r="E269" s="69" t="s">
        <v>78</v>
      </c>
      <c r="F269" s="69" t="s">
        <v>1261</v>
      </c>
      <c r="H269" s="69">
        <v>6200</v>
      </c>
      <c r="U269" s="69"/>
      <c r="V269" s="69"/>
      <c r="AR269" s="74">
        <f t="shared" si="19"/>
        <v>6200</v>
      </c>
      <c r="AS269" s="69">
        <v>5534.2</v>
      </c>
      <c r="AT269" s="69">
        <v>665.8</v>
      </c>
      <c r="BC269" s="69"/>
      <c r="BD269" s="69"/>
      <c r="CC269" s="74">
        <f t="shared" si="22"/>
        <v>6200</v>
      </c>
      <c r="CD269" s="73">
        <f t="shared" si="20"/>
        <v>0</v>
      </c>
      <c r="CE269" s="75">
        <f t="shared" si="21"/>
        <v>8620</v>
      </c>
      <c r="CF269" s="3" t="str">
        <f t="shared" si="21"/>
        <v>برنامج دولى</v>
      </c>
    </row>
    <row r="270" spans="2:84" x14ac:dyDescent="0.25">
      <c r="C270" s="82">
        <v>14528</v>
      </c>
      <c r="D270" s="70">
        <v>8621</v>
      </c>
      <c r="E270" s="69" t="s">
        <v>78</v>
      </c>
      <c r="F270" s="69" t="s">
        <v>1262</v>
      </c>
      <c r="H270" s="69">
        <v>12018.12</v>
      </c>
      <c r="U270" s="69"/>
      <c r="V270" s="69"/>
      <c r="AR270" s="74">
        <f t="shared" si="19"/>
        <v>12018.12</v>
      </c>
      <c r="AS270" s="69">
        <v>8036.7</v>
      </c>
      <c r="AT270" s="69">
        <v>1085.8</v>
      </c>
      <c r="AU270" s="69">
        <v>2895.62</v>
      </c>
      <c r="BC270" s="69"/>
      <c r="BD270" s="69"/>
      <c r="CC270" s="74">
        <f t="shared" si="22"/>
        <v>12018.119999999999</v>
      </c>
      <c r="CD270" s="73">
        <f t="shared" si="20"/>
        <v>0</v>
      </c>
      <c r="CE270" s="75">
        <f t="shared" si="21"/>
        <v>8621</v>
      </c>
      <c r="CF270" s="3" t="str">
        <f t="shared" si="21"/>
        <v>برنامج دولى</v>
      </c>
    </row>
    <row r="271" spans="2:84" x14ac:dyDescent="0.25">
      <c r="C271" s="82">
        <v>14529</v>
      </c>
      <c r="D271" s="70">
        <v>8622</v>
      </c>
      <c r="E271" s="69" t="s">
        <v>78</v>
      </c>
      <c r="F271" s="69" t="s">
        <v>1262</v>
      </c>
      <c r="H271" s="69">
        <v>2345</v>
      </c>
      <c r="U271" s="69"/>
      <c r="V271" s="69"/>
      <c r="AR271" s="74">
        <f t="shared" si="19"/>
        <v>2345</v>
      </c>
      <c r="AS271" s="69">
        <v>1567</v>
      </c>
      <c r="AT271" s="69">
        <v>213</v>
      </c>
      <c r="AU271" s="69">
        <v>565</v>
      </c>
      <c r="BC271" s="69"/>
      <c r="BD271" s="69"/>
      <c r="CC271" s="74">
        <f t="shared" si="22"/>
        <v>2345</v>
      </c>
      <c r="CD271" s="73">
        <f t="shared" si="20"/>
        <v>0</v>
      </c>
      <c r="CE271" s="75">
        <f t="shared" si="21"/>
        <v>8622</v>
      </c>
      <c r="CF271" s="3" t="str">
        <f t="shared" si="21"/>
        <v>برنامج دولى</v>
      </c>
    </row>
    <row r="272" spans="2:84" x14ac:dyDescent="0.25">
      <c r="C272" s="82">
        <v>14530</v>
      </c>
      <c r="D272" s="70">
        <v>8623</v>
      </c>
      <c r="E272" s="69" t="s">
        <v>78</v>
      </c>
      <c r="F272" s="69" t="s">
        <v>1262</v>
      </c>
      <c r="H272" s="69">
        <v>644.88</v>
      </c>
      <c r="U272" s="69"/>
      <c r="V272" s="69"/>
      <c r="AR272" s="74">
        <f t="shared" si="19"/>
        <v>644.88</v>
      </c>
      <c r="AS272" s="69">
        <v>431.4</v>
      </c>
      <c r="AT272" s="69">
        <v>58.1</v>
      </c>
      <c r="AU272" s="69">
        <v>155.38</v>
      </c>
      <c r="BC272" s="69"/>
      <c r="BD272" s="69"/>
      <c r="CC272" s="74">
        <f t="shared" si="22"/>
        <v>644.88</v>
      </c>
      <c r="CD272" s="73">
        <f t="shared" si="20"/>
        <v>0</v>
      </c>
      <c r="CE272" s="75">
        <f t="shared" si="21"/>
        <v>8623</v>
      </c>
      <c r="CF272" s="3" t="str">
        <f t="shared" si="21"/>
        <v>برنامج دولى</v>
      </c>
    </row>
    <row r="273" spans="3:84" x14ac:dyDescent="0.25">
      <c r="C273" s="82">
        <v>14531</v>
      </c>
      <c r="D273" s="70">
        <v>8624</v>
      </c>
      <c r="E273" s="69" t="s">
        <v>78</v>
      </c>
      <c r="F273" s="69" t="s">
        <v>1262</v>
      </c>
      <c r="H273" s="69">
        <v>2900</v>
      </c>
      <c r="U273" s="69"/>
      <c r="V273" s="69"/>
      <c r="AR273" s="74">
        <f t="shared" si="19"/>
        <v>2900</v>
      </c>
      <c r="AS273" s="69">
        <v>2588.6</v>
      </c>
      <c r="AT273" s="69">
        <v>311.39999999999998</v>
      </c>
      <c r="BC273" s="69"/>
      <c r="BD273" s="69"/>
      <c r="CC273" s="74">
        <f t="shared" si="22"/>
        <v>2900</v>
      </c>
      <c r="CD273" s="73">
        <f t="shared" si="20"/>
        <v>0</v>
      </c>
      <c r="CE273" s="75">
        <f t="shared" si="21"/>
        <v>8624</v>
      </c>
      <c r="CF273" s="3" t="str">
        <f t="shared" si="21"/>
        <v>برنامج دولى</v>
      </c>
    </row>
    <row r="274" spans="3:84" x14ac:dyDescent="0.25">
      <c r="C274" s="82">
        <v>14548</v>
      </c>
      <c r="D274" s="70">
        <v>8625</v>
      </c>
      <c r="E274" s="69" t="s">
        <v>78</v>
      </c>
      <c r="F274" s="69" t="s">
        <v>1262</v>
      </c>
      <c r="H274" s="69">
        <v>3458.87</v>
      </c>
      <c r="U274" s="69"/>
      <c r="V274" s="69"/>
      <c r="AR274" s="74">
        <f t="shared" si="19"/>
        <v>3458.87</v>
      </c>
      <c r="AS274" s="69">
        <v>2314.0500000000002</v>
      </c>
      <c r="AT274" s="69">
        <v>311.45</v>
      </c>
      <c r="AU274" s="69">
        <v>833.37</v>
      </c>
      <c r="BC274" s="69"/>
      <c r="BD274" s="69"/>
      <c r="CC274" s="74">
        <f t="shared" si="22"/>
        <v>3458.87</v>
      </c>
      <c r="CD274" s="73">
        <f t="shared" si="20"/>
        <v>0</v>
      </c>
      <c r="CE274" s="75">
        <f t="shared" si="21"/>
        <v>8625</v>
      </c>
      <c r="CF274" s="3" t="str">
        <f t="shared" si="21"/>
        <v>برنامج دولى</v>
      </c>
    </row>
    <row r="275" spans="3:84" x14ac:dyDescent="0.25">
      <c r="C275" s="82">
        <v>14546</v>
      </c>
      <c r="D275" s="70">
        <v>8626</v>
      </c>
      <c r="E275" s="69" t="s">
        <v>78</v>
      </c>
      <c r="F275" s="69" t="s">
        <v>1262</v>
      </c>
      <c r="H275" s="69">
        <v>762.12</v>
      </c>
      <c r="U275" s="69"/>
      <c r="V275" s="69"/>
      <c r="AR275" s="74">
        <f t="shared" si="19"/>
        <v>762.12</v>
      </c>
      <c r="AS275" s="69">
        <v>509.8</v>
      </c>
      <c r="AT275" s="69">
        <v>68.7</v>
      </c>
      <c r="AU275" s="69">
        <v>183.62</v>
      </c>
      <c r="BC275" s="69"/>
      <c r="BD275" s="69"/>
      <c r="CC275" s="74">
        <f t="shared" si="22"/>
        <v>762.12</v>
      </c>
      <c r="CD275" s="73">
        <f t="shared" si="20"/>
        <v>0</v>
      </c>
      <c r="CE275" s="75">
        <f t="shared" si="21"/>
        <v>8626</v>
      </c>
      <c r="CF275" s="3" t="str">
        <f t="shared" si="21"/>
        <v>برنامج دولى</v>
      </c>
    </row>
    <row r="276" spans="3:84" x14ac:dyDescent="0.25">
      <c r="C276" s="82">
        <v>14535</v>
      </c>
      <c r="D276" s="70">
        <v>8627</v>
      </c>
      <c r="E276" s="69" t="s">
        <v>78</v>
      </c>
      <c r="F276" s="69" t="s">
        <v>1263</v>
      </c>
      <c r="H276" s="69">
        <v>1200</v>
      </c>
      <c r="U276" s="69"/>
      <c r="V276" s="69"/>
      <c r="AR276" s="74">
        <f t="shared" si="19"/>
        <v>1200</v>
      </c>
      <c r="AS276" s="69">
        <v>1072.3</v>
      </c>
      <c r="AT276" s="69">
        <v>127.7</v>
      </c>
      <c r="BC276" s="69"/>
      <c r="BD276" s="69"/>
      <c r="CC276" s="74">
        <f t="shared" si="22"/>
        <v>1200</v>
      </c>
      <c r="CD276" s="73">
        <f t="shared" si="20"/>
        <v>0</v>
      </c>
      <c r="CE276" s="75">
        <f t="shared" si="21"/>
        <v>8627</v>
      </c>
      <c r="CF276" s="3" t="str">
        <f t="shared" si="21"/>
        <v>برنامج دولى</v>
      </c>
    </row>
    <row r="277" spans="3:84" x14ac:dyDescent="0.25">
      <c r="C277" s="82">
        <v>14534</v>
      </c>
      <c r="D277" s="70">
        <v>8628</v>
      </c>
      <c r="E277" s="69" t="s">
        <v>78</v>
      </c>
      <c r="F277" s="69" t="s">
        <v>1263</v>
      </c>
      <c r="H277" s="69">
        <v>600</v>
      </c>
      <c r="U277" s="69"/>
      <c r="V277" s="69"/>
      <c r="AR277" s="74">
        <f t="shared" si="19"/>
        <v>600</v>
      </c>
      <c r="AS277" s="69">
        <v>536.15</v>
      </c>
      <c r="AT277" s="69">
        <v>63.85</v>
      </c>
      <c r="BC277" s="69"/>
      <c r="BD277" s="69"/>
      <c r="CC277" s="74">
        <f t="shared" si="22"/>
        <v>600</v>
      </c>
      <c r="CD277" s="73">
        <f t="shared" si="20"/>
        <v>0</v>
      </c>
      <c r="CE277" s="75">
        <f t="shared" si="21"/>
        <v>8628</v>
      </c>
      <c r="CF277" s="3" t="str">
        <f t="shared" si="21"/>
        <v>برنامج دولى</v>
      </c>
    </row>
    <row r="278" spans="3:84" x14ac:dyDescent="0.25">
      <c r="C278" s="82">
        <v>14533</v>
      </c>
      <c r="D278" s="70">
        <v>8629</v>
      </c>
      <c r="E278" s="69" t="s">
        <v>78</v>
      </c>
      <c r="F278" s="69" t="s">
        <v>1263</v>
      </c>
      <c r="H278" s="69">
        <v>600</v>
      </c>
      <c r="U278" s="69"/>
      <c r="V278" s="69"/>
      <c r="AR278" s="74">
        <f t="shared" si="19"/>
        <v>600</v>
      </c>
      <c r="AS278" s="69">
        <v>536.15</v>
      </c>
      <c r="AT278" s="69">
        <v>63.85</v>
      </c>
      <c r="BC278" s="69"/>
      <c r="BD278" s="69"/>
      <c r="CC278" s="74">
        <f t="shared" si="22"/>
        <v>600</v>
      </c>
      <c r="CD278" s="73">
        <f t="shared" si="20"/>
        <v>0</v>
      </c>
      <c r="CE278" s="75">
        <f t="shared" si="21"/>
        <v>8629</v>
      </c>
      <c r="CF278" s="3" t="str">
        <f t="shared" si="21"/>
        <v>برنامج دولى</v>
      </c>
    </row>
    <row r="279" spans="3:84" x14ac:dyDescent="0.25">
      <c r="C279" s="82">
        <v>14532</v>
      </c>
      <c r="D279" s="70">
        <v>8630</v>
      </c>
      <c r="E279" s="69" t="s">
        <v>78</v>
      </c>
      <c r="F279" s="69" t="s">
        <v>1263</v>
      </c>
      <c r="H279" s="69">
        <v>600</v>
      </c>
      <c r="U279" s="69"/>
      <c r="V279" s="69"/>
      <c r="AR279" s="74">
        <f t="shared" si="19"/>
        <v>600</v>
      </c>
      <c r="AS279" s="69">
        <v>536.15</v>
      </c>
      <c r="AT279" s="69">
        <v>63.85</v>
      </c>
      <c r="BC279" s="69"/>
      <c r="BD279" s="69"/>
      <c r="CC279" s="74">
        <f t="shared" si="22"/>
        <v>600</v>
      </c>
      <c r="CD279" s="73">
        <f t="shared" si="20"/>
        <v>0</v>
      </c>
      <c r="CE279" s="75">
        <f t="shared" si="21"/>
        <v>8630</v>
      </c>
      <c r="CF279" s="3" t="str">
        <f t="shared" si="21"/>
        <v>برنامج دولى</v>
      </c>
    </row>
    <row r="280" spans="3:84" x14ac:dyDescent="0.25">
      <c r="C280" s="82">
        <v>14537</v>
      </c>
      <c r="D280" s="70">
        <v>8631</v>
      </c>
      <c r="E280" s="69" t="s">
        <v>78</v>
      </c>
      <c r="F280" s="69" t="s">
        <v>1264</v>
      </c>
      <c r="H280" s="69">
        <v>1200</v>
      </c>
      <c r="U280" s="69"/>
      <c r="V280" s="69"/>
      <c r="AR280" s="74">
        <f t="shared" si="19"/>
        <v>1200</v>
      </c>
      <c r="AS280" s="69">
        <v>1071.3499999999999</v>
      </c>
      <c r="AT280" s="69">
        <v>128.65</v>
      </c>
      <c r="BC280" s="69"/>
      <c r="BD280" s="69"/>
      <c r="CC280" s="74">
        <f t="shared" si="22"/>
        <v>1200</v>
      </c>
      <c r="CD280" s="73">
        <f t="shared" si="20"/>
        <v>0</v>
      </c>
      <c r="CE280" s="75">
        <f t="shared" si="21"/>
        <v>8631</v>
      </c>
      <c r="CF280" s="3" t="str">
        <f t="shared" si="21"/>
        <v>برنامج دولى</v>
      </c>
    </row>
    <row r="281" spans="3:84" x14ac:dyDescent="0.25">
      <c r="C281" s="82">
        <v>14536</v>
      </c>
      <c r="D281" s="70">
        <v>8632</v>
      </c>
      <c r="E281" s="69" t="s">
        <v>78</v>
      </c>
      <c r="F281" s="69" t="s">
        <v>1264</v>
      </c>
      <c r="H281" s="69">
        <v>879.38</v>
      </c>
      <c r="U281" s="69"/>
      <c r="V281" s="69"/>
      <c r="AR281" s="74">
        <f t="shared" si="19"/>
        <v>879.38</v>
      </c>
      <c r="AS281" s="69">
        <v>588.15</v>
      </c>
      <c r="AT281" s="69">
        <v>79.349999999999994</v>
      </c>
      <c r="AU281" s="69">
        <v>211.88</v>
      </c>
      <c r="BC281" s="69"/>
      <c r="BD281" s="69"/>
      <c r="CC281" s="74">
        <f t="shared" si="22"/>
        <v>879.38</v>
      </c>
      <c r="CD281" s="73">
        <f t="shared" si="20"/>
        <v>0</v>
      </c>
      <c r="CE281" s="75">
        <f t="shared" si="21"/>
        <v>8632</v>
      </c>
      <c r="CF281" s="3" t="str">
        <f t="shared" si="21"/>
        <v>برنامج دولى</v>
      </c>
    </row>
    <row r="282" spans="3:84" x14ac:dyDescent="0.25">
      <c r="C282" s="82">
        <v>14539</v>
      </c>
      <c r="D282" s="70">
        <v>8633</v>
      </c>
      <c r="E282" s="69" t="s">
        <v>78</v>
      </c>
      <c r="F282" s="69" t="s">
        <v>1265</v>
      </c>
      <c r="H282" s="69">
        <v>1200</v>
      </c>
      <c r="U282" s="69"/>
      <c r="V282" s="69"/>
      <c r="AR282" s="74">
        <f t="shared" si="19"/>
        <v>1200</v>
      </c>
      <c r="AS282" s="69">
        <v>1071.3499999999999</v>
      </c>
      <c r="AT282" s="69">
        <v>128.65</v>
      </c>
      <c r="BC282" s="69"/>
      <c r="BD282" s="69"/>
      <c r="CC282" s="74">
        <f t="shared" si="22"/>
        <v>1200</v>
      </c>
      <c r="CD282" s="73">
        <f t="shared" si="20"/>
        <v>0</v>
      </c>
      <c r="CE282" s="75">
        <f t="shared" si="21"/>
        <v>8633</v>
      </c>
      <c r="CF282" s="3" t="str">
        <f t="shared" si="21"/>
        <v>برنامج دولى</v>
      </c>
    </row>
    <row r="283" spans="3:84" x14ac:dyDescent="0.25">
      <c r="C283" s="82">
        <v>14538</v>
      </c>
      <c r="D283" s="70">
        <v>8634</v>
      </c>
      <c r="E283" s="69" t="s">
        <v>78</v>
      </c>
      <c r="F283" s="69" t="s">
        <v>1265</v>
      </c>
      <c r="H283" s="69">
        <v>1876</v>
      </c>
      <c r="U283" s="69"/>
      <c r="V283" s="69"/>
      <c r="AR283" s="74">
        <f t="shared" si="19"/>
        <v>1876</v>
      </c>
      <c r="AS283" s="69">
        <v>1254.7</v>
      </c>
      <c r="AT283" s="69">
        <v>169.3</v>
      </c>
      <c r="AU283" s="69">
        <v>452</v>
      </c>
      <c r="BC283" s="69"/>
      <c r="BD283" s="69"/>
      <c r="CC283" s="74">
        <f t="shared" si="22"/>
        <v>1876</v>
      </c>
      <c r="CD283" s="73">
        <f t="shared" si="20"/>
        <v>0</v>
      </c>
      <c r="CE283" s="75">
        <f t="shared" si="21"/>
        <v>8634</v>
      </c>
      <c r="CF283" s="3" t="str">
        <f t="shared" si="21"/>
        <v>برنامج دولى</v>
      </c>
    </row>
    <row r="284" spans="3:84" x14ac:dyDescent="0.25">
      <c r="C284" s="82">
        <v>14541</v>
      </c>
      <c r="D284" s="70">
        <v>8635</v>
      </c>
      <c r="E284" s="69" t="s">
        <v>78</v>
      </c>
      <c r="F284" s="69" t="s">
        <v>1266</v>
      </c>
      <c r="H284" s="69">
        <v>1500</v>
      </c>
      <c r="U284" s="69"/>
      <c r="V284" s="69"/>
      <c r="AR284" s="74">
        <f t="shared" si="19"/>
        <v>1500</v>
      </c>
      <c r="AS284" s="69">
        <v>1339.1</v>
      </c>
      <c r="AT284" s="69">
        <v>160.9</v>
      </c>
      <c r="BC284" s="69"/>
      <c r="BD284" s="69"/>
      <c r="CC284" s="74">
        <f t="shared" si="22"/>
        <v>1500</v>
      </c>
      <c r="CD284" s="73">
        <f t="shared" si="20"/>
        <v>0</v>
      </c>
      <c r="CE284" s="75">
        <f t="shared" si="21"/>
        <v>8635</v>
      </c>
      <c r="CF284" s="3" t="str">
        <f t="shared" si="21"/>
        <v>برنامج دولى</v>
      </c>
    </row>
    <row r="285" spans="3:84" x14ac:dyDescent="0.25">
      <c r="C285" s="82">
        <v>14540</v>
      </c>
      <c r="D285" s="70">
        <v>8636</v>
      </c>
      <c r="E285" s="69" t="s">
        <v>78</v>
      </c>
      <c r="F285" s="69" t="s">
        <v>1266</v>
      </c>
      <c r="H285" s="69">
        <v>1209.6500000000001</v>
      </c>
      <c r="U285" s="69"/>
      <c r="V285" s="69"/>
      <c r="AR285" s="74">
        <f t="shared" si="19"/>
        <v>1209.6500000000001</v>
      </c>
      <c r="AS285" s="69">
        <v>761.07</v>
      </c>
      <c r="AT285" s="69">
        <v>105.25</v>
      </c>
      <c r="AU285" s="69">
        <v>343.33</v>
      </c>
      <c r="BC285" s="69"/>
      <c r="BD285" s="69"/>
      <c r="CC285" s="74">
        <f t="shared" si="22"/>
        <v>1209.6500000000001</v>
      </c>
      <c r="CD285" s="73">
        <f t="shared" si="20"/>
        <v>0</v>
      </c>
      <c r="CE285" s="75">
        <f t="shared" si="21"/>
        <v>8636</v>
      </c>
      <c r="CF285" s="3" t="str">
        <f t="shared" si="21"/>
        <v>برنامج دولى</v>
      </c>
    </row>
    <row r="286" spans="3:84" x14ac:dyDescent="0.25">
      <c r="C286" s="82">
        <v>14543</v>
      </c>
      <c r="D286" s="70">
        <v>8637</v>
      </c>
      <c r="E286" s="69" t="s">
        <v>78</v>
      </c>
      <c r="F286" s="69" t="s">
        <v>1267</v>
      </c>
      <c r="H286" s="69">
        <v>15000</v>
      </c>
      <c r="U286" s="69"/>
      <c r="V286" s="69"/>
      <c r="AR286" s="74">
        <f t="shared" si="19"/>
        <v>15000</v>
      </c>
      <c r="AS286" s="69">
        <v>13389.25</v>
      </c>
      <c r="AT286" s="69">
        <v>1610.75</v>
      </c>
      <c r="BC286" s="69"/>
      <c r="BD286" s="69"/>
      <c r="CC286" s="74">
        <f t="shared" si="22"/>
        <v>15000</v>
      </c>
      <c r="CD286" s="73">
        <f t="shared" si="20"/>
        <v>0</v>
      </c>
      <c r="CE286" s="75">
        <f t="shared" si="21"/>
        <v>8637</v>
      </c>
      <c r="CF286" s="3" t="str">
        <f t="shared" si="21"/>
        <v>برنامج دولى</v>
      </c>
    </row>
    <row r="287" spans="3:84" x14ac:dyDescent="0.25">
      <c r="C287" s="82">
        <v>14545</v>
      </c>
      <c r="D287" s="70">
        <v>8638</v>
      </c>
      <c r="E287" s="69" t="s">
        <v>78</v>
      </c>
      <c r="F287" s="69" t="s">
        <v>1268</v>
      </c>
      <c r="H287" s="69">
        <v>2000</v>
      </c>
      <c r="U287" s="69"/>
      <c r="V287" s="69"/>
      <c r="AR287" s="74">
        <f t="shared" si="19"/>
        <v>2000</v>
      </c>
      <c r="AS287" s="69">
        <v>1786.7</v>
      </c>
      <c r="AT287" s="69">
        <v>213.3</v>
      </c>
      <c r="BC287" s="69"/>
      <c r="BD287" s="69"/>
      <c r="CC287" s="74">
        <f t="shared" si="22"/>
        <v>2000</v>
      </c>
      <c r="CD287" s="73">
        <f t="shared" si="20"/>
        <v>0</v>
      </c>
      <c r="CE287" s="75">
        <f t="shared" si="21"/>
        <v>8638</v>
      </c>
      <c r="CF287" s="3" t="str">
        <f t="shared" si="21"/>
        <v>برنامج دولى</v>
      </c>
    </row>
    <row r="288" spans="3:84" x14ac:dyDescent="0.25">
      <c r="C288" s="82">
        <v>14544</v>
      </c>
      <c r="D288" s="70">
        <v>8639</v>
      </c>
      <c r="E288" s="69" t="s">
        <v>78</v>
      </c>
      <c r="F288" s="69" t="s">
        <v>1268</v>
      </c>
      <c r="H288" s="69">
        <v>1758.76</v>
      </c>
      <c r="U288" s="69"/>
      <c r="V288" s="69"/>
      <c r="AR288" s="74">
        <f t="shared" si="19"/>
        <v>1758.76</v>
      </c>
      <c r="AS288" s="69">
        <v>1176.3</v>
      </c>
      <c r="AT288" s="69">
        <v>158.69999999999999</v>
      </c>
      <c r="AU288" s="69">
        <v>423.76</v>
      </c>
      <c r="BC288" s="69"/>
      <c r="BD288" s="69"/>
      <c r="CC288" s="74">
        <f t="shared" si="22"/>
        <v>1758.76</v>
      </c>
      <c r="CD288" s="73">
        <f t="shared" si="20"/>
        <v>0</v>
      </c>
      <c r="CE288" s="75">
        <f t="shared" si="21"/>
        <v>8639</v>
      </c>
      <c r="CF288" s="3" t="str">
        <f t="shared" si="21"/>
        <v>برنامج دولى</v>
      </c>
    </row>
    <row r="289" spans="3:84" x14ac:dyDescent="0.25">
      <c r="C289" s="82">
        <v>14547</v>
      </c>
      <c r="D289" s="70">
        <v>8640</v>
      </c>
      <c r="E289" s="69" t="s">
        <v>78</v>
      </c>
      <c r="F289" s="69" t="s">
        <v>1269</v>
      </c>
      <c r="H289" s="69">
        <v>938</v>
      </c>
      <c r="U289" s="69"/>
      <c r="V289" s="69"/>
      <c r="AR289" s="74">
        <f t="shared" si="19"/>
        <v>938</v>
      </c>
      <c r="AS289" s="69">
        <v>627.35</v>
      </c>
      <c r="AT289" s="69">
        <v>84.65</v>
      </c>
      <c r="AU289" s="69">
        <v>226</v>
      </c>
      <c r="BC289" s="69"/>
      <c r="BD289" s="69"/>
      <c r="CC289" s="74">
        <f t="shared" si="22"/>
        <v>938</v>
      </c>
      <c r="CD289" s="73">
        <f t="shared" si="20"/>
        <v>0</v>
      </c>
      <c r="CE289" s="75">
        <f t="shared" si="21"/>
        <v>8640</v>
      </c>
      <c r="CF289" s="3" t="str">
        <f t="shared" si="21"/>
        <v>برنامج دولى</v>
      </c>
    </row>
    <row r="290" spans="3:84" x14ac:dyDescent="0.25">
      <c r="C290" s="82">
        <v>14550</v>
      </c>
      <c r="D290" s="70">
        <v>8641</v>
      </c>
      <c r="E290" s="69" t="s">
        <v>78</v>
      </c>
      <c r="F290" s="69" t="s">
        <v>1270</v>
      </c>
      <c r="H290" s="69">
        <v>1465.62</v>
      </c>
      <c r="U290" s="69"/>
      <c r="V290" s="69"/>
      <c r="AR290" s="74">
        <f t="shared" si="19"/>
        <v>1465.62</v>
      </c>
      <c r="AS290" s="69">
        <v>979.5</v>
      </c>
      <c r="AT290" s="69">
        <v>133</v>
      </c>
      <c r="AU290" s="69">
        <v>353.12</v>
      </c>
      <c r="BC290" s="69"/>
      <c r="BD290" s="69"/>
      <c r="CC290" s="74">
        <f t="shared" si="22"/>
        <v>1465.62</v>
      </c>
      <c r="CD290" s="73">
        <f t="shared" si="20"/>
        <v>0</v>
      </c>
      <c r="CE290" s="75">
        <f t="shared" si="21"/>
        <v>8641</v>
      </c>
      <c r="CF290" s="3" t="str">
        <f t="shared" si="21"/>
        <v>برنامج دولى</v>
      </c>
    </row>
    <row r="291" spans="3:84" x14ac:dyDescent="0.25">
      <c r="C291" s="82">
        <v>14551</v>
      </c>
      <c r="D291" s="70">
        <v>8642</v>
      </c>
      <c r="E291" s="69" t="s">
        <v>78</v>
      </c>
      <c r="F291" s="69" t="s">
        <v>1270</v>
      </c>
      <c r="H291" s="69">
        <v>1250</v>
      </c>
      <c r="U291" s="69"/>
      <c r="V291" s="69"/>
      <c r="AR291" s="74">
        <f t="shared" si="19"/>
        <v>1250</v>
      </c>
      <c r="AS291" s="69">
        <v>1116</v>
      </c>
      <c r="AT291" s="69">
        <v>134</v>
      </c>
      <c r="BC291" s="69"/>
      <c r="BD291" s="69"/>
      <c r="CC291" s="74">
        <f t="shared" si="22"/>
        <v>1250</v>
      </c>
      <c r="CD291" s="73">
        <f t="shared" si="20"/>
        <v>0</v>
      </c>
      <c r="CE291" s="75">
        <f t="shared" si="21"/>
        <v>8642</v>
      </c>
      <c r="CF291" s="3" t="str">
        <f t="shared" si="21"/>
        <v>برنامج دولى</v>
      </c>
    </row>
    <row r="292" spans="3:84" x14ac:dyDescent="0.25">
      <c r="C292" s="82">
        <v>14552</v>
      </c>
      <c r="D292" s="70">
        <v>8643</v>
      </c>
      <c r="E292" s="69" t="s">
        <v>78</v>
      </c>
      <c r="F292" s="69" t="s">
        <v>1270</v>
      </c>
      <c r="H292" s="69">
        <v>1250</v>
      </c>
      <c r="U292" s="69"/>
      <c r="V292" s="69"/>
      <c r="AR292" s="74">
        <f t="shared" si="19"/>
        <v>1250</v>
      </c>
      <c r="AS292" s="69">
        <v>1116</v>
      </c>
      <c r="AT292" s="69">
        <v>134</v>
      </c>
      <c r="BC292" s="69"/>
      <c r="BD292" s="69"/>
      <c r="CC292" s="74">
        <f t="shared" si="22"/>
        <v>1250</v>
      </c>
      <c r="CD292" s="73">
        <f t="shared" si="20"/>
        <v>0</v>
      </c>
      <c r="CE292" s="75">
        <f t="shared" si="21"/>
        <v>8643</v>
      </c>
      <c r="CF292" s="3" t="str">
        <f t="shared" si="21"/>
        <v>برنامج دولى</v>
      </c>
    </row>
    <row r="293" spans="3:84" x14ac:dyDescent="0.25">
      <c r="C293" s="82">
        <v>14562</v>
      </c>
      <c r="D293" s="70">
        <v>8644</v>
      </c>
      <c r="E293" s="69" t="s">
        <v>78</v>
      </c>
      <c r="F293" s="69" t="s">
        <v>1271</v>
      </c>
      <c r="H293" s="69">
        <v>11216.27</v>
      </c>
      <c r="U293" s="69"/>
      <c r="V293" s="69"/>
      <c r="AR293" s="74">
        <f t="shared" si="19"/>
        <v>11216.27</v>
      </c>
      <c r="AS293" s="69">
        <v>8157.36</v>
      </c>
      <c r="AT293" s="69">
        <v>1067.05</v>
      </c>
      <c r="AU293" s="69">
        <v>1991.86</v>
      </c>
      <c r="BC293" s="69"/>
      <c r="BD293" s="69"/>
      <c r="CC293" s="74">
        <f t="shared" si="22"/>
        <v>11216.27</v>
      </c>
      <c r="CD293" s="73">
        <f t="shared" si="20"/>
        <v>0</v>
      </c>
      <c r="CE293" s="75">
        <f t="shared" si="21"/>
        <v>8644</v>
      </c>
      <c r="CF293" s="3" t="str">
        <f t="shared" si="21"/>
        <v>برنامج دولى</v>
      </c>
    </row>
    <row r="294" spans="3:84" x14ac:dyDescent="0.25">
      <c r="C294" s="82">
        <v>14563</v>
      </c>
      <c r="D294" s="70">
        <v>8645</v>
      </c>
      <c r="E294" s="69" t="s">
        <v>78</v>
      </c>
      <c r="F294" s="69" t="s">
        <v>1271</v>
      </c>
      <c r="H294" s="69">
        <v>1500</v>
      </c>
      <c r="U294" s="69"/>
      <c r="V294" s="69"/>
      <c r="AR294" s="74">
        <f t="shared" si="19"/>
        <v>1500</v>
      </c>
      <c r="AS294" s="69">
        <v>1339.1</v>
      </c>
      <c r="AT294" s="69">
        <v>160.9</v>
      </c>
      <c r="BC294" s="69"/>
      <c r="BD294" s="69"/>
      <c r="CC294" s="74">
        <f t="shared" si="22"/>
        <v>1500</v>
      </c>
      <c r="CD294" s="73">
        <f t="shared" si="20"/>
        <v>0</v>
      </c>
      <c r="CE294" s="75">
        <f t="shared" si="21"/>
        <v>8645</v>
      </c>
      <c r="CF294" s="3" t="str">
        <f t="shared" si="21"/>
        <v>برنامج دولى</v>
      </c>
    </row>
    <row r="295" spans="3:84" x14ac:dyDescent="0.25">
      <c r="C295" s="82">
        <v>14564</v>
      </c>
      <c r="D295" s="70">
        <v>8646</v>
      </c>
      <c r="E295" s="69" t="s">
        <v>78</v>
      </c>
      <c r="F295" s="69" t="str">
        <f>+F268</f>
        <v>م متابعه الابنيه المواساه</v>
      </c>
      <c r="H295" s="69">
        <v>18408.2</v>
      </c>
      <c r="U295" s="69"/>
      <c r="V295" s="69"/>
      <c r="AR295" s="74">
        <f t="shared" si="19"/>
        <v>18408.2</v>
      </c>
      <c r="AS295" s="69">
        <v>12307.6</v>
      </c>
      <c r="AT295" s="69">
        <v>1665.4</v>
      </c>
      <c r="AU295" s="69">
        <v>4435.2</v>
      </c>
      <c r="BC295" s="69"/>
      <c r="BD295" s="69"/>
      <c r="CC295" s="74">
        <f t="shared" si="22"/>
        <v>18408.2</v>
      </c>
      <c r="CD295" s="73">
        <f t="shared" si="20"/>
        <v>0</v>
      </c>
      <c r="CE295" s="75">
        <f t="shared" si="21"/>
        <v>8646</v>
      </c>
      <c r="CF295" s="3" t="str">
        <f t="shared" si="21"/>
        <v>برنامج دولى</v>
      </c>
    </row>
    <row r="296" spans="3:84" x14ac:dyDescent="0.25">
      <c r="C296" s="82">
        <v>14565</v>
      </c>
      <c r="D296" s="70">
        <v>8647</v>
      </c>
      <c r="E296" s="69" t="s">
        <v>78</v>
      </c>
      <c r="F296" s="69" t="s">
        <v>1260</v>
      </c>
      <c r="H296" s="69">
        <v>996.62</v>
      </c>
      <c r="U296" s="69"/>
      <c r="V296" s="69"/>
      <c r="AR296" s="74">
        <f t="shared" si="19"/>
        <v>996.62</v>
      </c>
      <c r="AS296" s="69">
        <v>666.55</v>
      </c>
      <c r="AT296" s="69">
        <v>89.95</v>
      </c>
      <c r="AU296" s="69">
        <v>240.12</v>
      </c>
      <c r="BC296" s="69"/>
      <c r="BD296" s="69"/>
      <c r="CC296" s="74">
        <f t="shared" si="22"/>
        <v>996.62</v>
      </c>
      <c r="CD296" s="73">
        <f t="shared" si="20"/>
        <v>0</v>
      </c>
      <c r="CE296" s="75">
        <f t="shared" si="21"/>
        <v>8647</v>
      </c>
      <c r="CF296" s="3" t="str">
        <f t="shared" si="21"/>
        <v>برنامج دولى</v>
      </c>
    </row>
    <row r="297" spans="3:84" x14ac:dyDescent="0.25">
      <c r="C297" s="82">
        <v>14565</v>
      </c>
      <c r="D297" s="70">
        <v>8648</v>
      </c>
      <c r="E297" s="69" t="s">
        <v>78</v>
      </c>
      <c r="F297" s="69" t="s">
        <v>1260</v>
      </c>
      <c r="H297" s="69">
        <v>996.62</v>
      </c>
      <c r="U297" s="69"/>
      <c r="V297" s="69"/>
      <c r="AR297" s="74">
        <f t="shared" si="19"/>
        <v>996.62</v>
      </c>
      <c r="AS297" s="69">
        <v>666.55</v>
      </c>
      <c r="AT297" s="69">
        <v>89.95</v>
      </c>
      <c r="AU297" s="69">
        <v>240.12</v>
      </c>
      <c r="BC297" s="69"/>
      <c r="BD297" s="69"/>
      <c r="CC297" s="74">
        <f t="shared" si="22"/>
        <v>996.62</v>
      </c>
      <c r="CD297" s="73">
        <f t="shared" si="20"/>
        <v>0</v>
      </c>
      <c r="CE297" s="75">
        <f t="shared" si="21"/>
        <v>8648</v>
      </c>
      <c r="CF297" s="3" t="str">
        <f t="shared" si="21"/>
        <v>برنامج دولى</v>
      </c>
    </row>
    <row r="298" spans="3:84" x14ac:dyDescent="0.25">
      <c r="C298" s="82">
        <v>14566</v>
      </c>
      <c r="D298" s="70">
        <v>8649</v>
      </c>
      <c r="E298" s="69" t="s">
        <v>78</v>
      </c>
      <c r="F298" s="69" t="s">
        <v>1260</v>
      </c>
      <c r="H298" s="69">
        <v>1407</v>
      </c>
      <c r="U298" s="69"/>
      <c r="V298" s="69"/>
      <c r="AR298" s="74">
        <f t="shared" si="19"/>
        <v>1407</v>
      </c>
      <c r="AS298" s="69">
        <v>940.35</v>
      </c>
      <c r="AT298" s="69">
        <v>127.65</v>
      </c>
      <c r="AU298" s="69">
        <v>339</v>
      </c>
      <c r="BC298" s="69"/>
      <c r="BD298" s="69"/>
      <c r="CC298" s="74">
        <f t="shared" si="22"/>
        <v>1407</v>
      </c>
      <c r="CD298" s="73">
        <f t="shared" si="20"/>
        <v>0</v>
      </c>
      <c r="CE298" s="75">
        <f t="shared" si="21"/>
        <v>8649</v>
      </c>
      <c r="CF298" s="3" t="str">
        <f t="shared" si="21"/>
        <v>برنامج دولى</v>
      </c>
    </row>
    <row r="299" spans="3:84" x14ac:dyDescent="0.25">
      <c r="C299" s="82">
        <v>14567</v>
      </c>
      <c r="D299" s="70">
        <v>8650</v>
      </c>
      <c r="E299" s="69" t="s">
        <v>78</v>
      </c>
      <c r="F299" s="69" t="s">
        <v>1260</v>
      </c>
      <c r="H299" s="69">
        <v>2403.62</v>
      </c>
      <c r="U299" s="69"/>
      <c r="V299" s="69"/>
      <c r="AR299" s="74">
        <f t="shared" ref="AR299:AR363" si="24">SUM(H299:AQ299)</f>
        <v>2403.62</v>
      </c>
      <c r="AS299" s="69">
        <v>1606.9</v>
      </c>
      <c r="AT299" s="69">
        <v>217.6</v>
      </c>
      <c r="AU299" s="69">
        <v>579.12</v>
      </c>
      <c r="BC299" s="69"/>
      <c r="BD299" s="69"/>
      <c r="CC299" s="74">
        <f t="shared" si="22"/>
        <v>2403.62</v>
      </c>
      <c r="CD299" s="73">
        <f t="shared" si="20"/>
        <v>0</v>
      </c>
      <c r="CE299" s="75">
        <f t="shared" si="21"/>
        <v>8650</v>
      </c>
      <c r="CF299" s="3" t="str">
        <f t="shared" si="21"/>
        <v>برنامج دولى</v>
      </c>
    </row>
    <row r="300" spans="3:84" x14ac:dyDescent="0.25">
      <c r="C300" s="82">
        <v>14568</v>
      </c>
      <c r="D300" s="70">
        <v>8651</v>
      </c>
      <c r="E300" s="69" t="s">
        <v>78</v>
      </c>
      <c r="F300" s="69" t="s">
        <v>1260</v>
      </c>
      <c r="H300" s="69">
        <v>29103.91</v>
      </c>
      <c r="U300" s="69"/>
      <c r="V300" s="69"/>
      <c r="AR300" s="74">
        <f t="shared" si="24"/>
        <v>29103.91</v>
      </c>
      <c r="AS300" s="69">
        <v>21245.99</v>
      </c>
      <c r="AT300" s="69">
        <v>2774.7</v>
      </c>
      <c r="AU300" s="69">
        <v>5083.22</v>
      </c>
      <c r="BC300" s="69"/>
      <c r="BD300" s="69"/>
      <c r="CC300" s="74">
        <f t="shared" si="22"/>
        <v>29103.910000000003</v>
      </c>
      <c r="CD300" s="73">
        <f t="shared" ref="CD300:CD364" si="25">+CC300-AR300</f>
        <v>0</v>
      </c>
      <c r="CE300" s="75">
        <f t="shared" ref="CE300:CF364" si="26">+D300</f>
        <v>8651</v>
      </c>
      <c r="CF300" s="3" t="str">
        <f t="shared" si="26"/>
        <v>برنامج دولى</v>
      </c>
    </row>
    <row r="301" spans="3:84" x14ac:dyDescent="0.25">
      <c r="C301" s="82">
        <v>14569</v>
      </c>
      <c r="D301" s="70">
        <v>8652</v>
      </c>
      <c r="E301" s="69" t="s">
        <v>78</v>
      </c>
      <c r="F301" s="69" t="s">
        <v>1260</v>
      </c>
      <c r="H301" s="69">
        <v>1758.75</v>
      </c>
      <c r="U301" s="69"/>
      <c r="V301" s="69"/>
      <c r="AR301" s="74">
        <f t="shared" si="24"/>
        <v>1758.75</v>
      </c>
      <c r="AS301" s="69">
        <v>1175.3499999999999</v>
      </c>
      <c r="AT301" s="69">
        <v>159.65</v>
      </c>
      <c r="AU301" s="69">
        <v>423.75</v>
      </c>
      <c r="BC301" s="69"/>
      <c r="BD301" s="69"/>
      <c r="CC301" s="74">
        <f t="shared" ref="CC301:CC365" si="27">SUM(AS301:CB301)</f>
        <v>1758.75</v>
      </c>
      <c r="CD301" s="73">
        <f t="shared" si="25"/>
        <v>0</v>
      </c>
      <c r="CE301" s="75">
        <f t="shared" si="26"/>
        <v>8652</v>
      </c>
      <c r="CF301" s="3" t="str">
        <f t="shared" si="26"/>
        <v>برنامج دولى</v>
      </c>
    </row>
    <row r="302" spans="3:84" x14ac:dyDescent="0.25">
      <c r="C302" s="82">
        <v>14570</v>
      </c>
      <c r="D302" s="70">
        <v>8653</v>
      </c>
      <c r="E302" s="69" t="s">
        <v>78</v>
      </c>
      <c r="F302" s="69" t="s">
        <v>1272</v>
      </c>
      <c r="H302" s="69">
        <v>13052.72</v>
      </c>
      <c r="U302" s="69"/>
      <c r="V302" s="69"/>
      <c r="AR302" s="74">
        <f t="shared" si="24"/>
        <v>13052.72</v>
      </c>
      <c r="AS302" s="69">
        <v>10136.65</v>
      </c>
      <c r="AT302" s="69">
        <f>885+61.4</f>
        <v>946.4</v>
      </c>
      <c r="AU302" s="69">
        <v>1969.67</v>
      </c>
      <c r="BC302" s="69"/>
      <c r="BD302" s="69"/>
      <c r="CC302" s="74">
        <f t="shared" si="27"/>
        <v>13052.72</v>
      </c>
      <c r="CD302" s="73">
        <f t="shared" si="25"/>
        <v>0</v>
      </c>
      <c r="CE302" s="75">
        <f t="shared" si="26"/>
        <v>8653</v>
      </c>
      <c r="CF302" s="3" t="str">
        <f t="shared" si="26"/>
        <v>برنامج دولى</v>
      </c>
    </row>
    <row r="303" spans="3:84" x14ac:dyDescent="0.25">
      <c r="C303" s="82">
        <v>14571</v>
      </c>
      <c r="D303" s="70">
        <v>8654</v>
      </c>
      <c r="E303" s="69" t="s">
        <v>78</v>
      </c>
      <c r="F303" s="69" t="s">
        <v>1272</v>
      </c>
      <c r="H303" s="69">
        <v>2850</v>
      </c>
      <c r="U303" s="69"/>
      <c r="V303" s="69"/>
      <c r="AR303" s="74">
        <f t="shared" si="24"/>
        <v>2850</v>
      </c>
      <c r="AS303" s="69">
        <v>2544</v>
      </c>
      <c r="AT303" s="69">
        <v>306</v>
      </c>
      <c r="BC303" s="69"/>
      <c r="BD303" s="69"/>
      <c r="CC303" s="74">
        <f t="shared" si="27"/>
        <v>2850</v>
      </c>
      <c r="CD303" s="73">
        <f t="shared" si="25"/>
        <v>0</v>
      </c>
      <c r="CE303" s="75">
        <f t="shared" si="26"/>
        <v>8654</v>
      </c>
      <c r="CF303" s="3" t="str">
        <f t="shared" si="26"/>
        <v>برنامج دولى</v>
      </c>
    </row>
    <row r="304" spans="3:84" x14ac:dyDescent="0.25">
      <c r="C304" s="82">
        <v>14572</v>
      </c>
      <c r="D304" s="70">
        <v>8655</v>
      </c>
      <c r="E304" s="69" t="s">
        <v>78</v>
      </c>
      <c r="F304" s="69" t="s">
        <v>1273</v>
      </c>
      <c r="H304" s="69">
        <v>17322.32</v>
      </c>
      <c r="U304" s="69"/>
      <c r="V304" s="69"/>
      <c r="AR304" s="74">
        <f t="shared" si="24"/>
        <v>17322.32</v>
      </c>
      <c r="AS304" s="69">
        <v>14297.98</v>
      </c>
      <c r="AT304" s="69">
        <v>1749.7</v>
      </c>
      <c r="AU304" s="69">
        <v>1274.6400000000001</v>
      </c>
      <c r="BC304" s="69"/>
      <c r="BD304" s="69"/>
      <c r="CC304" s="74">
        <f t="shared" si="27"/>
        <v>17322.32</v>
      </c>
      <c r="CD304" s="73">
        <f t="shared" si="25"/>
        <v>0</v>
      </c>
      <c r="CE304" s="75">
        <f t="shared" si="26"/>
        <v>8655</v>
      </c>
      <c r="CF304" s="3" t="str">
        <f t="shared" si="26"/>
        <v>برنامج دولى</v>
      </c>
    </row>
    <row r="305" spans="3:84" ht="18.75" x14ac:dyDescent="0.25">
      <c r="C305" s="82">
        <v>14445</v>
      </c>
      <c r="D305" s="70">
        <v>8656</v>
      </c>
      <c r="E305" s="71" t="s">
        <v>128</v>
      </c>
      <c r="F305" s="69" t="s">
        <v>1274</v>
      </c>
      <c r="H305" s="69">
        <v>1876.01</v>
      </c>
      <c r="U305" s="69"/>
      <c r="V305" s="69"/>
      <c r="AR305" s="74">
        <f t="shared" si="24"/>
        <v>1876.01</v>
      </c>
      <c r="AS305" s="69">
        <v>1255.1500000000001</v>
      </c>
      <c r="AT305" s="69">
        <f>8.85+160</f>
        <v>168.85</v>
      </c>
      <c r="AU305" s="69">
        <v>452.01</v>
      </c>
      <c r="BC305" s="69"/>
      <c r="BD305" s="69"/>
      <c r="CC305" s="74">
        <f t="shared" si="27"/>
        <v>1876.01</v>
      </c>
      <c r="CD305" s="73">
        <f t="shared" si="25"/>
        <v>0</v>
      </c>
      <c r="CE305" s="75">
        <f t="shared" si="26"/>
        <v>8656</v>
      </c>
      <c r="CF305" s="3" t="str">
        <f t="shared" si="26"/>
        <v>مركز مؤتمرات</v>
      </c>
    </row>
    <row r="306" spans="3:84" ht="18.75" x14ac:dyDescent="0.25">
      <c r="C306" s="82">
        <v>14446</v>
      </c>
      <c r="D306" s="70">
        <v>8657</v>
      </c>
      <c r="E306" s="71" t="s">
        <v>128</v>
      </c>
      <c r="F306" s="69" t="s">
        <v>1274</v>
      </c>
      <c r="H306" s="69">
        <v>12068.02</v>
      </c>
      <c r="U306" s="69"/>
      <c r="V306" s="69"/>
      <c r="AR306" s="74">
        <f t="shared" si="24"/>
        <v>12068.02</v>
      </c>
      <c r="AS306" s="69">
        <v>9741.9599999999991</v>
      </c>
      <c r="AT306" s="69">
        <v>1218.95</v>
      </c>
      <c r="AU306" s="69">
        <v>1107.1099999999999</v>
      </c>
      <c r="BC306" s="69"/>
      <c r="BD306" s="69"/>
      <c r="CC306" s="74">
        <f t="shared" si="27"/>
        <v>12068.02</v>
      </c>
      <c r="CD306" s="73">
        <f t="shared" si="25"/>
        <v>0</v>
      </c>
      <c r="CE306" s="75">
        <f t="shared" si="26"/>
        <v>8657</v>
      </c>
      <c r="CF306" s="3" t="str">
        <f t="shared" si="26"/>
        <v>مركز مؤتمرات</v>
      </c>
    </row>
    <row r="307" spans="3:84" ht="18.75" x14ac:dyDescent="0.25">
      <c r="C307" s="82">
        <v>14447</v>
      </c>
      <c r="D307" s="70">
        <v>8658</v>
      </c>
      <c r="E307" s="71" t="s">
        <v>128</v>
      </c>
      <c r="F307" s="69" t="s">
        <v>1274</v>
      </c>
      <c r="H307" s="69">
        <v>4714.62</v>
      </c>
      <c r="U307" s="69"/>
      <c r="V307" s="69"/>
      <c r="AR307" s="74">
        <f t="shared" si="24"/>
        <v>4714.62</v>
      </c>
      <c r="AS307" s="69">
        <v>3151.14</v>
      </c>
      <c r="AT307" s="69">
        <v>427.55</v>
      </c>
      <c r="AU307" s="69">
        <v>1135.93</v>
      </c>
      <c r="BC307" s="69"/>
      <c r="BD307" s="69"/>
      <c r="CC307" s="74">
        <f t="shared" si="27"/>
        <v>4714.62</v>
      </c>
      <c r="CD307" s="73">
        <f t="shared" si="25"/>
        <v>0</v>
      </c>
      <c r="CE307" s="75">
        <f t="shared" si="26"/>
        <v>8658</v>
      </c>
      <c r="CF307" s="3" t="str">
        <f t="shared" si="26"/>
        <v>مركز مؤتمرات</v>
      </c>
    </row>
    <row r="308" spans="3:84" ht="18.75" x14ac:dyDescent="0.25">
      <c r="C308" s="82">
        <v>14448</v>
      </c>
      <c r="D308" s="70">
        <v>8659</v>
      </c>
      <c r="E308" s="71" t="s">
        <v>128</v>
      </c>
      <c r="F308" s="69" t="s">
        <v>1274</v>
      </c>
      <c r="H308" s="69">
        <v>1407</v>
      </c>
      <c r="U308" s="69"/>
      <c r="V308" s="69"/>
      <c r="AR308" s="74">
        <f t="shared" si="24"/>
        <v>1407</v>
      </c>
      <c r="AS308" s="69">
        <v>940.35</v>
      </c>
      <c r="AT308" s="69">
        <v>127.65</v>
      </c>
      <c r="AU308" s="69">
        <v>339</v>
      </c>
      <c r="BC308" s="69"/>
      <c r="BD308" s="69"/>
      <c r="CC308" s="74">
        <f t="shared" si="27"/>
        <v>1407</v>
      </c>
      <c r="CD308" s="73">
        <f t="shared" si="25"/>
        <v>0</v>
      </c>
      <c r="CE308" s="75">
        <f t="shared" si="26"/>
        <v>8659</v>
      </c>
      <c r="CF308" s="3" t="str">
        <f t="shared" si="26"/>
        <v>مركز مؤتمرات</v>
      </c>
    </row>
    <row r="309" spans="3:84" ht="18.75" x14ac:dyDescent="0.25">
      <c r="C309" s="82">
        <v>14676</v>
      </c>
      <c r="D309" s="70">
        <v>8660</v>
      </c>
      <c r="E309" s="71" t="s">
        <v>125</v>
      </c>
      <c r="F309" s="69" t="s">
        <v>1218</v>
      </c>
      <c r="T309" s="69">
        <v>1008.52</v>
      </c>
      <c r="U309" s="69"/>
      <c r="V309" s="69"/>
      <c r="AR309" s="74">
        <f>SUM(H309:AQ309)</f>
        <v>1008.52</v>
      </c>
      <c r="AS309" s="69">
        <v>1008.52</v>
      </c>
      <c r="AT309" s="69"/>
      <c r="BC309" s="69"/>
      <c r="BD309" s="69"/>
      <c r="CC309" s="74">
        <f t="shared" si="27"/>
        <v>1008.52</v>
      </c>
      <c r="CD309" s="73">
        <f t="shared" si="25"/>
        <v>0</v>
      </c>
      <c r="CE309" s="75">
        <f>+D309</f>
        <v>8660</v>
      </c>
      <c r="CF309" s="3" t="str">
        <f>+E309</f>
        <v>اختبار مواد</v>
      </c>
    </row>
    <row r="310" spans="3:84" ht="18.75" x14ac:dyDescent="0.25">
      <c r="C310" s="82">
        <v>14677</v>
      </c>
      <c r="D310" s="70">
        <v>8661</v>
      </c>
      <c r="E310" s="71" t="s">
        <v>124</v>
      </c>
      <c r="F310" s="69" t="s">
        <v>1218</v>
      </c>
      <c r="T310" s="69">
        <v>139.41999999999999</v>
      </c>
      <c r="U310" s="69"/>
      <c r="V310" s="69"/>
      <c r="AR310" s="74">
        <f t="shared" si="24"/>
        <v>139.41999999999999</v>
      </c>
      <c r="AS310" s="69">
        <v>139.41999999999999</v>
      </c>
      <c r="AT310" s="69"/>
      <c r="BC310" s="69"/>
      <c r="BD310" s="69"/>
      <c r="CC310" s="74">
        <f t="shared" si="27"/>
        <v>139.41999999999999</v>
      </c>
      <c r="CD310" s="73">
        <f t="shared" si="25"/>
        <v>0</v>
      </c>
      <c r="CE310" s="75">
        <f t="shared" si="26"/>
        <v>8661</v>
      </c>
      <c r="CF310" s="3" t="str">
        <f t="shared" si="26"/>
        <v>تكافل اسنان</v>
      </c>
    </row>
    <row r="311" spans="3:84" ht="18.75" x14ac:dyDescent="0.25">
      <c r="C311" s="82">
        <v>14678</v>
      </c>
      <c r="D311" s="70">
        <v>8662</v>
      </c>
      <c r="E311" s="71" t="s">
        <v>137</v>
      </c>
      <c r="F311" s="69" t="s">
        <v>1218</v>
      </c>
      <c r="T311" s="69">
        <v>18616.87</v>
      </c>
      <c r="U311" s="69"/>
      <c r="V311" s="69"/>
      <c r="AR311" s="74">
        <f t="shared" si="24"/>
        <v>18616.87</v>
      </c>
      <c r="AS311" s="69">
        <v>18616.87</v>
      </c>
      <c r="AT311" s="69"/>
      <c r="BC311" s="69"/>
      <c r="BD311" s="69"/>
      <c r="CC311" s="74">
        <f t="shared" si="27"/>
        <v>18616.87</v>
      </c>
      <c r="CD311" s="73">
        <f t="shared" si="25"/>
        <v>0</v>
      </c>
      <c r="CE311" s="75">
        <f t="shared" si="26"/>
        <v>8662</v>
      </c>
      <c r="CF311" s="3" t="str">
        <f t="shared" si="26"/>
        <v xml:space="preserve">خدمة عامة </v>
      </c>
    </row>
    <row r="312" spans="3:84" ht="18.75" x14ac:dyDescent="0.25">
      <c r="C312" s="82">
        <v>14675</v>
      </c>
      <c r="D312" s="70">
        <v>8663</v>
      </c>
      <c r="E312" s="71" t="s">
        <v>122</v>
      </c>
      <c r="F312" s="69" t="s">
        <v>1218</v>
      </c>
      <c r="T312" s="69">
        <v>12647.27</v>
      </c>
      <c r="U312" s="69"/>
      <c r="V312" s="69"/>
      <c r="AR312" s="74">
        <f t="shared" si="24"/>
        <v>12647.27</v>
      </c>
      <c r="AS312" s="69">
        <v>12647.27</v>
      </c>
      <c r="AT312" s="69"/>
      <c r="BC312" s="69"/>
      <c r="BD312" s="69"/>
      <c r="CC312" s="74">
        <f t="shared" si="27"/>
        <v>12647.27</v>
      </c>
      <c r="CD312" s="73">
        <f t="shared" si="25"/>
        <v>0</v>
      </c>
      <c r="CE312" s="75">
        <f t="shared" si="26"/>
        <v>8663</v>
      </c>
      <c r="CF312" s="3" t="str">
        <f t="shared" si="26"/>
        <v>علاج تخصصى</v>
      </c>
    </row>
    <row r="313" spans="3:84" ht="18.75" x14ac:dyDescent="0.25">
      <c r="C313" s="82">
        <v>14674</v>
      </c>
      <c r="D313" s="70">
        <v>8664</v>
      </c>
      <c r="E313" s="71" t="s">
        <v>123</v>
      </c>
      <c r="F313" s="69" t="s">
        <v>1218</v>
      </c>
      <c r="T313" s="69">
        <v>2044.79</v>
      </c>
      <c r="U313" s="69"/>
      <c r="V313" s="69"/>
      <c r="AR313" s="74">
        <f t="shared" si="24"/>
        <v>2044.79</v>
      </c>
      <c r="AS313" s="69">
        <v>2044.79</v>
      </c>
      <c r="AT313" s="69"/>
      <c r="BC313" s="69"/>
      <c r="BD313" s="69"/>
      <c r="CC313" s="74">
        <f t="shared" si="27"/>
        <v>2044.79</v>
      </c>
      <c r="CD313" s="73">
        <f t="shared" si="25"/>
        <v>0</v>
      </c>
      <c r="CE313" s="75">
        <f t="shared" si="26"/>
        <v>8664</v>
      </c>
      <c r="CF313" s="3" t="str">
        <f t="shared" si="26"/>
        <v>خ ت اسنان</v>
      </c>
    </row>
    <row r="314" spans="3:84" ht="18.75" x14ac:dyDescent="0.25">
      <c r="C314" s="82">
        <v>14673</v>
      </c>
      <c r="D314" s="70">
        <v>8665</v>
      </c>
      <c r="E314" s="71" t="s">
        <v>121</v>
      </c>
      <c r="F314" s="69" t="s">
        <v>1218</v>
      </c>
      <c r="T314" s="69">
        <v>180173</v>
      </c>
      <c r="U314" s="69"/>
      <c r="V314" s="69"/>
      <c r="AR314" s="74">
        <f t="shared" si="24"/>
        <v>180173</v>
      </c>
      <c r="AS314" s="69">
        <v>180173</v>
      </c>
      <c r="AT314" s="69"/>
      <c r="BC314" s="69"/>
      <c r="BD314" s="69"/>
      <c r="CC314" s="74">
        <f t="shared" si="27"/>
        <v>180173</v>
      </c>
      <c r="CD314" s="73">
        <f t="shared" si="25"/>
        <v>0</v>
      </c>
      <c r="CE314" s="75">
        <f t="shared" si="26"/>
        <v>8665</v>
      </c>
      <c r="CF314" s="3" t="str">
        <f t="shared" si="26"/>
        <v>ماليزى اسنان</v>
      </c>
    </row>
    <row r="315" spans="3:84" ht="18.75" x14ac:dyDescent="0.25">
      <c r="C315" s="82">
        <v>14666</v>
      </c>
      <c r="D315" s="70">
        <v>8666</v>
      </c>
      <c r="E315" s="71" t="s">
        <v>78</v>
      </c>
      <c r="F315" s="69" t="s">
        <v>1218</v>
      </c>
      <c r="T315" s="69">
        <v>675954.38</v>
      </c>
      <c r="U315" s="69"/>
      <c r="V315" s="69"/>
      <c r="AR315" s="74">
        <f t="shared" si="24"/>
        <v>675954.38</v>
      </c>
      <c r="AS315" s="69">
        <v>675954.38</v>
      </c>
      <c r="AT315" s="69"/>
      <c r="BC315" s="69"/>
      <c r="BD315" s="69"/>
      <c r="CC315" s="74">
        <f t="shared" si="27"/>
        <v>675954.38</v>
      </c>
      <c r="CD315" s="73">
        <f t="shared" si="25"/>
        <v>0</v>
      </c>
      <c r="CE315" s="75">
        <f t="shared" si="26"/>
        <v>8666</v>
      </c>
      <c r="CF315" s="3" t="str">
        <f t="shared" si="26"/>
        <v>برنامج دولى</v>
      </c>
    </row>
    <row r="316" spans="3:84" ht="18.75" x14ac:dyDescent="0.25">
      <c r="C316" s="82">
        <v>14667</v>
      </c>
      <c r="D316" s="70">
        <v>8667</v>
      </c>
      <c r="E316" s="71" t="s">
        <v>130</v>
      </c>
      <c r="F316" s="69" t="s">
        <v>1218</v>
      </c>
      <c r="T316" s="69">
        <v>1831.18</v>
      </c>
      <c r="U316" s="69"/>
      <c r="V316" s="69"/>
      <c r="AR316" s="74">
        <f t="shared" si="24"/>
        <v>1831.18</v>
      </c>
      <c r="AS316" s="69">
        <v>1831.18</v>
      </c>
      <c r="AT316" s="69"/>
      <c r="BC316" s="69"/>
      <c r="BD316" s="69"/>
      <c r="CC316" s="74">
        <f t="shared" si="27"/>
        <v>1831.18</v>
      </c>
      <c r="CD316" s="73">
        <f t="shared" si="25"/>
        <v>0</v>
      </c>
      <c r="CE316" s="75">
        <f t="shared" si="26"/>
        <v>8667</v>
      </c>
      <c r="CF316" s="3" t="str">
        <f t="shared" si="26"/>
        <v>خ ت طب</v>
      </c>
    </row>
    <row r="317" spans="3:84" ht="18.75" x14ac:dyDescent="0.25">
      <c r="C317" s="82">
        <v>14668</v>
      </c>
      <c r="D317" s="70">
        <v>8668</v>
      </c>
      <c r="E317" s="71" t="s">
        <v>128</v>
      </c>
      <c r="F317" s="69" t="s">
        <v>1218</v>
      </c>
      <c r="T317" s="69">
        <v>11331.6</v>
      </c>
      <c r="U317" s="69"/>
      <c r="V317" s="69"/>
      <c r="AR317" s="74">
        <f t="shared" si="24"/>
        <v>11331.6</v>
      </c>
      <c r="AS317" s="69">
        <v>11331.6</v>
      </c>
      <c r="AT317" s="69"/>
      <c r="BC317" s="69"/>
      <c r="BD317" s="69"/>
      <c r="CC317" s="74">
        <f t="shared" si="27"/>
        <v>11331.6</v>
      </c>
      <c r="CD317" s="73">
        <f t="shared" si="25"/>
        <v>0</v>
      </c>
      <c r="CE317" s="75">
        <f t="shared" si="26"/>
        <v>8668</v>
      </c>
      <c r="CF317" s="3" t="str">
        <f t="shared" si="26"/>
        <v>مركز مؤتمرات</v>
      </c>
    </row>
    <row r="318" spans="3:84" ht="18.75" x14ac:dyDescent="0.25">
      <c r="C318" s="82">
        <v>14669</v>
      </c>
      <c r="D318" s="70">
        <v>8669</v>
      </c>
      <c r="E318" s="71" t="s">
        <v>132</v>
      </c>
      <c r="F318" s="69" t="s">
        <v>1218</v>
      </c>
      <c r="T318" s="69">
        <v>55036.98</v>
      </c>
      <c r="U318" s="69"/>
      <c r="V318" s="69"/>
      <c r="AR318" s="74">
        <f t="shared" si="24"/>
        <v>55036.98</v>
      </c>
      <c r="AS318" s="69">
        <v>55036.98</v>
      </c>
      <c r="AT318" s="69"/>
      <c r="BC318" s="69"/>
      <c r="BD318" s="69"/>
      <c r="CC318" s="74">
        <f t="shared" si="27"/>
        <v>55036.98</v>
      </c>
      <c r="CD318" s="73">
        <f t="shared" si="25"/>
        <v>0</v>
      </c>
      <c r="CE318" s="75">
        <f t="shared" si="26"/>
        <v>8669</v>
      </c>
      <c r="CF318" s="3" t="str">
        <f t="shared" si="26"/>
        <v>صيدلة اكلينيكى</v>
      </c>
    </row>
    <row r="319" spans="3:84" ht="18.75" x14ac:dyDescent="0.25">
      <c r="C319" s="82">
        <v>14670</v>
      </c>
      <c r="D319" s="70">
        <v>8670</v>
      </c>
      <c r="E319" s="71" t="s">
        <v>119</v>
      </c>
      <c r="F319" s="69" t="s">
        <v>1218</v>
      </c>
      <c r="T319" s="69">
        <v>7244.94</v>
      </c>
      <c r="U319" s="69"/>
      <c r="V319" s="69"/>
      <c r="AR319" s="74">
        <f t="shared" si="24"/>
        <v>7244.94</v>
      </c>
      <c r="AS319" s="69">
        <v>7244.94</v>
      </c>
      <c r="AT319" s="69"/>
      <c r="BC319" s="69"/>
      <c r="BD319" s="69"/>
      <c r="CC319" s="74">
        <f t="shared" si="27"/>
        <v>7244.94</v>
      </c>
      <c r="CD319" s="73">
        <f t="shared" si="25"/>
        <v>0</v>
      </c>
      <c r="CE319" s="75">
        <f t="shared" si="26"/>
        <v>8670</v>
      </c>
      <c r="CF319" s="3" t="str">
        <f t="shared" si="26"/>
        <v>خ ت صيدلة</v>
      </c>
    </row>
    <row r="320" spans="3:84" ht="18.75" x14ac:dyDescent="0.25">
      <c r="C320" s="82">
        <v>14671</v>
      </c>
      <c r="D320" s="70">
        <v>8671</v>
      </c>
      <c r="E320" s="71" t="s">
        <v>729</v>
      </c>
      <c r="F320" s="69" t="s">
        <v>1218</v>
      </c>
      <c r="T320" s="69">
        <v>4757.41</v>
      </c>
      <c r="U320" s="69"/>
      <c r="V320" s="69"/>
      <c r="AR320" s="74">
        <f t="shared" si="24"/>
        <v>4757.41</v>
      </c>
      <c r="AS320" s="69">
        <v>4757.41</v>
      </c>
      <c r="AT320" s="69"/>
      <c r="BC320" s="69"/>
      <c r="BD320" s="69"/>
      <c r="CC320" s="74">
        <f t="shared" si="27"/>
        <v>4757.41</v>
      </c>
      <c r="CD320" s="73">
        <f t="shared" si="25"/>
        <v>0</v>
      </c>
      <c r="CE320" s="75">
        <f t="shared" si="26"/>
        <v>8671</v>
      </c>
      <c r="CF320" s="3" t="str">
        <f t="shared" si="26"/>
        <v>خدمات صيدلة</v>
      </c>
    </row>
    <row r="321" spans="2:90" ht="18.75" x14ac:dyDescent="0.25">
      <c r="C321" s="82">
        <v>14672</v>
      </c>
      <c r="D321" s="70">
        <v>8672</v>
      </c>
      <c r="E321" s="71" t="s">
        <v>730</v>
      </c>
      <c r="F321" s="69" t="s">
        <v>1218</v>
      </c>
      <c r="T321" s="69">
        <v>4520</v>
      </c>
      <c r="U321" s="69"/>
      <c r="V321" s="69"/>
      <c r="AR321" s="74">
        <f t="shared" si="24"/>
        <v>4520</v>
      </c>
      <c r="AS321" s="69">
        <v>4520</v>
      </c>
      <c r="AT321" s="69"/>
      <c r="BC321" s="69"/>
      <c r="BD321" s="69"/>
      <c r="CC321" s="74">
        <f t="shared" si="27"/>
        <v>4520</v>
      </c>
      <c r="CD321" s="73">
        <f t="shared" si="25"/>
        <v>0</v>
      </c>
      <c r="CE321" s="75">
        <f t="shared" si="26"/>
        <v>8672</v>
      </c>
      <c r="CF321" s="3" t="str">
        <f t="shared" si="26"/>
        <v>علمى صيدلة</v>
      </c>
    </row>
    <row r="322" spans="2:90" s="68" customFormat="1" ht="18.75" x14ac:dyDescent="0.25">
      <c r="C322" s="83"/>
      <c r="D322" s="84"/>
      <c r="E322" s="85"/>
      <c r="F322" s="68" t="s">
        <v>1275</v>
      </c>
      <c r="H322" s="68">
        <f>SUM(H43:H321)-H323</f>
        <v>1849153.3900000008</v>
      </c>
      <c r="I322" s="68">
        <f t="shared" ref="I322:BT322" si="28">SUM(I43:I321)-I323</f>
        <v>127183</v>
      </c>
      <c r="J322" s="68">
        <f t="shared" si="28"/>
        <v>0</v>
      </c>
      <c r="K322" s="68">
        <f t="shared" si="28"/>
        <v>0</v>
      </c>
      <c r="L322" s="68">
        <f t="shared" si="28"/>
        <v>90770</v>
      </c>
      <c r="M322" s="68">
        <f t="shared" si="28"/>
        <v>90770</v>
      </c>
      <c r="N322" s="68">
        <f t="shared" si="28"/>
        <v>90770</v>
      </c>
      <c r="O322" s="68">
        <f t="shared" si="28"/>
        <v>0</v>
      </c>
      <c r="P322" s="68">
        <f t="shared" si="28"/>
        <v>0</v>
      </c>
      <c r="Q322" s="68">
        <f t="shared" si="28"/>
        <v>0</v>
      </c>
      <c r="R322" s="68">
        <f t="shared" si="28"/>
        <v>0</v>
      </c>
      <c r="S322" s="68">
        <f t="shared" si="28"/>
        <v>23945</v>
      </c>
      <c r="T322" s="68">
        <f t="shared" si="28"/>
        <v>975306.35999999987</v>
      </c>
      <c r="U322" s="68">
        <f t="shared" si="28"/>
        <v>0</v>
      </c>
      <c r="V322" s="68">
        <f t="shared" si="28"/>
        <v>0</v>
      </c>
      <c r="W322" s="68">
        <f t="shared" si="28"/>
        <v>0</v>
      </c>
      <c r="X322" s="68">
        <f t="shared" si="28"/>
        <v>0</v>
      </c>
      <c r="Y322" s="68">
        <f t="shared" si="28"/>
        <v>0</v>
      </c>
      <c r="Z322" s="68">
        <f t="shared" si="28"/>
        <v>0</v>
      </c>
      <c r="AA322" s="68">
        <f t="shared" si="28"/>
        <v>0</v>
      </c>
      <c r="AB322" s="68">
        <f t="shared" si="28"/>
        <v>0</v>
      </c>
      <c r="AC322" s="68">
        <f t="shared" si="28"/>
        <v>0</v>
      </c>
      <c r="AD322" s="68">
        <f t="shared" si="28"/>
        <v>0</v>
      </c>
      <c r="AE322" s="68">
        <f t="shared" si="28"/>
        <v>0</v>
      </c>
      <c r="AF322" s="68">
        <f t="shared" si="28"/>
        <v>0</v>
      </c>
      <c r="AG322" s="68">
        <f t="shared" si="28"/>
        <v>0</v>
      </c>
      <c r="AH322" s="68">
        <f t="shared" si="28"/>
        <v>0</v>
      </c>
      <c r="AI322" s="68">
        <f t="shared" si="28"/>
        <v>0</v>
      </c>
      <c r="AJ322" s="68">
        <f t="shared" si="28"/>
        <v>0</v>
      </c>
      <c r="AK322" s="68">
        <f t="shared" si="28"/>
        <v>0</v>
      </c>
      <c r="AL322" s="68">
        <f t="shared" si="28"/>
        <v>0</v>
      </c>
      <c r="AM322" s="68">
        <f t="shared" si="28"/>
        <v>0</v>
      </c>
      <c r="AN322" s="68">
        <f t="shared" si="28"/>
        <v>0</v>
      </c>
      <c r="AO322" s="68">
        <f t="shared" si="28"/>
        <v>0</v>
      </c>
      <c r="AP322" s="68">
        <f t="shared" si="28"/>
        <v>0</v>
      </c>
      <c r="AQ322" s="68">
        <f t="shared" si="28"/>
        <v>0</v>
      </c>
      <c r="AR322" s="57">
        <f t="shared" si="28"/>
        <v>3247897.7500000009</v>
      </c>
      <c r="AS322" s="68">
        <f t="shared" si="28"/>
        <v>2654747.6400000011</v>
      </c>
      <c r="AT322" s="68">
        <f t="shared" si="28"/>
        <v>188718.99999999997</v>
      </c>
      <c r="AU322" s="68">
        <f t="shared" si="28"/>
        <v>214567.35000000006</v>
      </c>
      <c r="AV322" s="68">
        <f t="shared" si="28"/>
        <v>1533.41</v>
      </c>
      <c r="AW322" s="68">
        <f t="shared" si="28"/>
        <v>270</v>
      </c>
      <c r="AX322" s="68">
        <f t="shared" si="28"/>
        <v>0</v>
      </c>
      <c r="AY322" s="68">
        <f t="shared" si="28"/>
        <v>0</v>
      </c>
      <c r="AZ322" s="68">
        <f t="shared" si="28"/>
        <v>0</v>
      </c>
      <c r="BA322" s="68">
        <f t="shared" si="28"/>
        <v>0</v>
      </c>
      <c r="BB322" s="68">
        <f t="shared" si="28"/>
        <v>0</v>
      </c>
      <c r="BC322" s="68">
        <f t="shared" si="28"/>
        <v>0</v>
      </c>
      <c r="BD322" s="68">
        <f t="shared" si="28"/>
        <v>0</v>
      </c>
      <c r="BE322" s="68">
        <f t="shared" si="28"/>
        <v>0</v>
      </c>
      <c r="BF322" s="68">
        <f t="shared" si="28"/>
        <v>1157.25</v>
      </c>
      <c r="BG322" s="68">
        <f t="shared" si="28"/>
        <v>108</v>
      </c>
      <c r="BH322" s="68">
        <f t="shared" si="28"/>
        <v>716.6</v>
      </c>
      <c r="BI322" s="68">
        <f t="shared" si="28"/>
        <v>4538.5</v>
      </c>
      <c r="BJ322" s="68">
        <f t="shared" si="28"/>
        <v>0</v>
      </c>
      <c r="BK322" s="68">
        <f t="shared" si="28"/>
        <v>90770</v>
      </c>
      <c r="BL322" s="68">
        <f t="shared" si="28"/>
        <v>90770</v>
      </c>
      <c r="BM322" s="68">
        <f t="shared" si="28"/>
        <v>0</v>
      </c>
      <c r="BN322" s="68">
        <f t="shared" si="28"/>
        <v>0</v>
      </c>
      <c r="BO322" s="68">
        <f t="shared" si="28"/>
        <v>0</v>
      </c>
      <c r="BP322" s="68">
        <f t="shared" si="28"/>
        <v>0</v>
      </c>
      <c r="BQ322" s="68">
        <f t="shared" si="28"/>
        <v>0</v>
      </c>
      <c r="BR322" s="68">
        <f t="shared" si="28"/>
        <v>0</v>
      </c>
      <c r="BS322" s="68">
        <f t="shared" si="28"/>
        <v>0</v>
      </c>
      <c r="BT322" s="68">
        <f t="shared" si="28"/>
        <v>0</v>
      </c>
      <c r="BU322" s="68">
        <f t="shared" ref="BU322:CK322" si="29">SUM(BU43:BU321)-BU323</f>
        <v>0</v>
      </c>
      <c r="BV322" s="68">
        <f t="shared" si="29"/>
        <v>0</v>
      </c>
      <c r="BW322" s="68">
        <f t="shared" si="29"/>
        <v>0</v>
      </c>
      <c r="BX322" s="68">
        <f t="shared" si="29"/>
        <v>0</v>
      </c>
      <c r="BY322" s="68">
        <f t="shared" si="29"/>
        <v>0</v>
      </c>
      <c r="BZ322" s="68">
        <f t="shared" si="29"/>
        <v>0</v>
      </c>
      <c r="CA322" s="68">
        <f t="shared" si="29"/>
        <v>0</v>
      </c>
      <c r="CB322" s="68">
        <f t="shared" si="29"/>
        <v>0</v>
      </c>
      <c r="CC322" s="57">
        <f t="shared" si="29"/>
        <v>3247897.7500000009</v>
      </c>
      <c r="CD322" s="68">
        <f t="shared" si="29"/>
        <v>0</v>
      </c>
      <c r="CF322" s="29">
        <f t="shared" si="29"/>
        <v>0</v>
      </c>
      <c r="CG322" s="68">
        <f t="shared" si="29"/>
        <v>0</v>
      </c>
      <c r="CH322" s="68">
        <f t="shared" si="29"/>
        <v>0</v>
      </c>
      <c r="CI322" s="68">
        <f t="shared" si="29"/>
        <v>0</v>
      </c>
      <c r="CJ322" s="68">
        <f t="shared" si="29"/>
        <v>0</v>
      </c>
      <c r="CK322" s="68">
        <f t="shared" si="29"/>
        <v>0</v>
      </c>
    </row>
    <row r="323" spans="2:90" s="68" customFormat="1" ht="18.75" x14ac:dyDescent="0.25">
      <c r="C323" s="83"/>
      <c r="D323" s="84"/>
      <c r="E323" s="85"/>
      <c r="F323" s="68" t="s">
        <v>1276</v>
      </c>
      <c r="H323" s="68">
        <f>SUM(H107:H121)</f>
        <v>0</v>
      </c>
      <c r="I323" s="68">
        <f t="shared" ref="I323:BT323" si="30">SUM(I107:I121)</f>
        <v>0</v>
      </c>
      <c r="J323" s="68">
        <f t="shared" si="30"/>
        <v>0</v>
      </c>
      <c r="K323" s="68">
        <f t="shared" si="30"/>
        <v>0</v>
      </c>
      <c r="L323" s="68">
        <f t="shared" si="30"/>
        <v>0</v>
      </c>
      <c r="M323" s="68">
        <f t="shared" si="30"/>
        <v>0</v>
      </c>
      <c r="N323" s="68">
        <f t="shared" si="30"/>
        <v>0</v>
      </c>
      <c r="O323" s="68">
        <f t="shared" si="30"/>
        <v>0</v>
      </c>
      <c r="P323" s="68">
        <f t="shared" si="30"/>
        <v>0</v>
      </c>
      <c r="Q323" s="68">
        <f t="shared" si="30"/>
        <v>0</v>
      </c>
      <c r="R323" s="68">
        <f t="shared" si="30"/>
        <v>0</v>
      </c>
      <c r="S323" s="68">
        <f t="shared" si="30"/>
        <v>0</v>
      </c>
      <c r="T323" s="68">
        <f t="shared" si="30"/>
        <v>796060</v>
      </c>
      <c r="U323" s="68">
        <f t="shared" si="30"/>
        <v>103755.69</v>
      </c>
      <c r="V323" s="68">
        <f t="shared" si="30"/>
        <v>0</v>
      </c>
      <c r="W323" s="68">
        <f t="shared" si="30"/>
        <v>0</v>
      </c>
      <c r="X323" s="68">
        <f t="shared" si="30"/>
        <v>0</v>
      </c>
      <c r="Y323" s="68">
        <f t="shared" si="30"/>
        <v>0</v>
      </c>
      <c r="Z323" s="68">
        <f t="shared" si="30"/>
        <v>0</v>
      </c>
      <c r="AA323" s="68">
        <f t="shared" si="30"/>
        <v>0</v>
      </c>
      <c r="AB323" s="68">
        <f t="shared" si="30"/>
        <v>0</v>
      </c>
      <c r="AC323" s="68">
        <f t="shared" si="30"/>
        <v>0</v>
      </c>
      <c r="AD323" s="68">
        <f t="shared" si="30"/>
        <v>0</v>
      </c>
      <c r="AE323" s="68">
        <f t="shared" si="30"/>
        <v>0</v>
      </c>
      <c r="AF323" s="68">
        <f t="shared" si="30"/>
        <v>0</v>
      </c>
      <c r="AG323" s="68">
        <f t="shared" si="30"/>
        <v>0</v>
      </c>
      <c r="AH323" s="68">
        <f t="shared" si="30"/>
        <v>0</v>
      </c>
      <c r="AI323" s="68">
        <f t="shared" si="30"/>
        <v>0</v>
      </c>
      <c r="AJ323" s="68">
        <f t="shared" si="30"/>
        <v>0</v>
      </c>
      <c r="AK323" s="68">
        <f t="shared" si="30"/>
        <v>0</v>
      </c>
      <c r="AL323" s="68">
        <f t="shared" si="30"/>
        <v>0</v>
      </c>
      <c r="AM323" s="68">
        <f t="shared" si="30"/>
        <v>0</v>
      </c>
      <c r="AN323" s="68">
        <f t="shared" si="30"/>
        <v>0</v>
      </c>
      <c r="AO323" s="68">
        <f t="shared" si="30"/>
        <v>0</v>
      </c>
      <c r="AP323" s="68">
        <f t="shared" si="30"/>
        <v>0</v>
      </c>
      <c r="AQ323" s="68">
        <f t="shared" si="30"/>
        <v>0</v>
      </c>
      <c r="AR323" s="57">
        <f t="shared" si="30"/>
        <v>899815.69</v>
      </c>
      <c r="AS323" s="68">
        <f t="shared" si="30"/>
        <v>899815.69</v>
      </c>
      <c r="AT323" s="68">
        <f t="shared" si="30"/>
        <v>0</v>
      </c>
      <c r="AU323" s="68">
        <f t="shared" si="30"/>
        <v>0</v>
      </c>
      <c r="AV323" s="68">
        <f t="shared" si="30"/>
        <v>0</v>
      </c>
      <c r="AW323" s="68">
        <f t="shared" si="30"/>
        <v>0</v>
      </c>
      <c r="AX323" s="68">
        <f t="shared" si="30"/>
        <v>0</v>
      </c>
      <c r="AY323" s="68">
        <f t="shared" si="30"/>
        <v>0</v>
      </c>
      <c r="AZ323" s="68">
        <f t="shared" si="30"/>
        <v>0</v>
      </c>
      <c r="BA323" s="68">
        <f t="shared" si="30"/>
        <v>0</v>
      </c>
      <c r="BB323" s="68">
        <f t="shared" si="30"/>
        <v>0</v>
      </c>
      <c r="BC323" s="68">
        <f t="shared" si="30"/>
        <v>0</v>
      </c>
      <c r="BD323" s="68">
        <f t="shared" si="30"/>
        <v>0</v>
      </c>
      <c r="BE323" s="68">
        <f t="shared" si="30"/>
        <v>0</v>
      </c>
      <c r="BF323" s="68">
        <f t="shared" si="30"/>
        <v>0</v>
      </c>
      <c r="BG323" s="68">
        <f t="shared" si="30"/>
        <v>0</v>
      </c>
      <c r="BH323" s="68">
        <f t="shared" si="30"/>
        <v>0</v>
      </c>
      <c r="BI323" s="68">
        <f t="shared" si="30"/>
        <v>0</v>
      </c>
      <c r="BJ323" s="68">
        <f t="shared" si="30"/>
        <v>0</v>
      </c>
      <c r="BK323" s="68">
        <f t="shared" si="30"/>
        <v>0</v>
      </c>
      <c r="BL323" s="68">
        <f t="shared" si="30"/>
        <v>0</v>
      </c>
      <c r="BM323" s="68">
        <f t="shared" si="30"/>
        <v>0</v>
      </c>
      <c r="BN323" s="68">
        <f t="shared" si="30"/>
        <v>0</v>
      </c>
      <c r="BO323" s="68">
        <f t="shared" si="30"/>
        <v>0</v>
      </c>
      <c r="BP323" s="68">
        <f t="shared" si="30"/>
        <v>0</v>
      </c>
      <c r="BQ323" s="68">
        <f t="shared" si="30"/>
        <v>0</v>
      </c>
      <c r="BR323" s="68">
        <f t="shared" si="30"/>
        <v>0</v>
      </c>
      <c r="BS323" s="68">
        <f t="shared" si="30"/>
        <v>0</v>
      </c>
      <c r="BT323" s="68">
        <f t="shared" si="30"/>
        <v>0</v>
      </c>
      <c r="BU323" s="68">
        <f t="shared" ref="BU323:CL323" si="31">SUM(BU107:BU121)</f>
        <v>0</v>
      </c>
      <c r="BV323" s="68">
        <f t="shared" si="31"/>
        <v>0</v>
      </c>
      <c r="BW323" s="68">
        <f t="shared" si="31"/>
        <v>0</v>
      </c>
      <c r="BX323" s="68">
        <f t="shared" si="31"/>
        <v>0</v>
      </c>
      <c r="BY323" s="68">
        <f t="shared" si="31"/>
        <v>0</v>
      </c>
      <c r="BZ323" s="68">
        <f t="shared" si="31"/>
        <v>0</v>
      </c>
      <c r="CA323" s="68">
        <f t="shared" si="31"/>
        <v>0</v>
      </c>
      <c r="CB323" s="68">
        <f t="shared" si="31"/>
        <v>0</v>
      </c>
      <c r="CC323" s="57">
        <f t="shared" si="31"/>
        <v>899815.69</v>
      </c>
      <c r="CD323" s="68">
        <f t="shared" si="31"/>
        <v>0</v>
      </c>
      <c r="CF323" s="29">
        <f t="shared" si="31"/>
        <v>0</v>
      </c>
      <c r="CG323" s="68">
        <f t="shared" si="31"/>
        <v>0</v>
      </c>
      <c r="CH323" s="68">
        <f t="shared" si="31"/>
        <v>0</v>
      </c>
      <c r="CI323" s="68">
        <f t="shared" si="31"/>
        <v>0</v>
      </c>
      <c r="CJ323" s="68">
        <f t="shared" si="31"/>
        <v>0</v>
      </c>
      <c r="CK323" s="68">
        <f t="shared" si="31"/>
        <v>0</v>
      </c>
      <c r="CL323" s="68">
        <f t="shared" si="31"/>
        <v>0</v>
      </c>
    </row>
    <row r="324" spans="2:90" ht="18.75" x14ac:dyDescent="0.25">
      <c r="C324" s="82">
        <v>13171</v>
      </c>
      <c r="D324" s="70">
        <v>8673</v>
      </c>
      <c r="E324" s="71" t="s">
        <v>132</v>
      </c>
      <c r="F324" s="69" t="s">
        <v>1277</v>
      </c>
      <c r="I324" s="69">
        <v>7905</v>
      </c>
      <c r="U324" s="69"/>
      <c r="V324" s="69"/>
      <c r="AR324" s="74">
        <f t="shared" si="24"/>
        <v>7905</v>
      </c>
      <c r="AS324" s="69">
        <v>6890.6</v>
      </c>
      <c r="AT324" s="69">
        <f>125.75+377.25+9.9</f>
        <v>512.9</v>
      </c>
      <c r="AV324" s="69">
        <v>5</v>
      </c>
      <c r="BC324" s="69"/>
      <c r="BD324" s="69"/>
      <c r="BF324" s="69">
        <v>79.25</v>
      </c>
      <c r="BG324" s="69">
        <v>22</v>
      </c>
      <c r="BJ324" s="69">
        <v>395.25</v>
      </c>
      <c r="CC324" s="74">
        <f t="shared" si="27"/>
        <v>7905</v>
      </c>
      <c r="CD324" s="73">
        <f t="shared" si="25"/>
        <v>0</v>
      </c>
      <c r="CE324" s="75">
        <f t="shared" si="26"/>
        <v>8673</v>
      </c>
      <c r="CF324" s="3" t="str">
        <f t="shared" si="26"/>
        <v>صيدلة اكلينيكى</v>
      </c>
    </row>
    <row r="325" spans="2:90" ht="54" x14ac:dyDescent="0.25">
      <c r="C325" s="82">
        <v>14587</v>
      </c>
      <c r="D325" s="70">
        <v>8674</v>
      </c>
      <c r="E325" s="71" t="s">
        <v>121</v>
      </c>
      <c r="F325" s="77" t="s">
        <v>1278</v>
      </c>
      <c r="I325" s="69">
        <v>332167.5</v>
      </c>
      <c r="U325" s="69"/>
      <c r="V325" s="69"/>
      <c r="AR325" s="74">
        <f t="shared" si="24"/>
        <v>332167.5</v>
      </c>
      <c r="AS325" s="69">
        <v>332167.5</v>
      </c>
      <c r="AT325" s="69"/>
      <c r="BC325" s="69"/>
      <c r="BD325" s="69"/>
      <c r="CC325" s="74">
        <f t="shared" si="27"/>
        <v>332167.5</v>
      </c>
      <c r="CD325" s="73">
        <f t="shared" si="25"/>
        <v>0</v>
      </c>
      <c r="CE325" s="75">
        <f t="shared" si="26"/>
        <v>8674</v>
      </c>
      <c r="CF325" s="3" t="str">
        <f t="shared" si="26"/>
        <v>ماليزى اسنان</v>
      </c>
    </row>
    <row r="326" spans="2:90" ht="18.75" x14ac:dyDescent="0.25">
      <c r="C326" s="82">
        <v>14588</v>
      </c>
      <c r="D326" s="70">
        <v>8675</v>
      </c>
      <c r="E326" s="71" t="s">
        <v>130</v>
      </c>
      <c r="F326" s="69" t="s">
        <v>1279</v>
      </c>
      <c r="I326" s="69">
        <v>112640.21</v>
      </c>
      <c r="U326" s="69"/>
      <c r="V326" s="69"/>
      <c r="AR326" s="74">
        <f t="shared" si="24"/>
        <v>112640.21</v>
      </c>
      <c r="AS326" s="69">
        <v>111452.81</v>
      </c>
      <c r="AT326" s="69">
        <v>278.10000000000002</v>
      </c>
      <c r="BC326" s="69"/>
      <c r="BD326" s="69"/>
      <c r="BG326" s="69">
        <v>20</v>
      </c>
      <c r="BH326" s="69">
        <f>444.65*2</f>
        <v>889.3</v>
      </c>
      <c r="CC326" s="74">
        <f t="shared" si="27"/>
        <v>112640.21</v>
      </c>
      <c r="CD326" s="73">
        <f t="shared" si="25"/>
        <v>0</v>
      </c>
      <c r="CE326" s="75">
        <f t="shared" si="26"/>
        <v>8675</v>
      </c>
      <c r="CF326" s="3" t="str">
        <f t="shared" si="26"/>
        <v>خ ت طب</v>
      </c>
    </row>
    <row r="327" spans="2:90" ht="36" x14ac:dyDescent="0.25">
      <c r="C327" s="82">
        <v>14590</v>
      </c>
      <c r="D327" s="70">
        <v>8676</v>
      </c>
      <c r="E327" s="71" t="s">
        <v>130</v>
      </c>
      <c r="F327" s="77" t="s">
        <v>1280</v>
      </c>
      <c r="I327" s="69">
        <v>4812.5</v>
      </c>
      <c r="U327" s="69"/>
      <c r="V327" s="69"/>
      <c r="AR327" s="74">
        <f t="shared" si="24"/>
        <v>4812.5</v>
      </c>
      <c r="AS327" s="69">
        <v>4387.05</v>
      </c>
      <c r="AT327" s="69">
        <v>253.1</v>
      </c>
      <c r="BC327" s="69"/>
      <c r="BD327" s="69"/>
      <c r="BF327" s="69">
        <v>126.35</v>
      </c>
      <c r="BG327" s="69">
        <v>6</v>
      </c>
      <c r="BH327" s="69">
        <v>40</v>
      </c>
      <c r="CC327" s="74">
        <f t="shared" si="27"/>
        <v>4812.5000000000009</v>
      </c>
      <c r="CD327" s="73">
        <f t="shared" si="25"/>
        <v>0</v>
      </c>
      <c r="CE327" s="75">
        <f t="shared" si="26"/>
        <v>8676</v>
      </c>
      <c r="CF327" s="3" t="str">
        <f t="shared" si="26"/>
        <v>خ ت طب</v>
      </c>
    </row>
    <row r="328" spans="2:90" ht="36" x14ac:dyDescent="0.25">
      <c r="C328" s="82">
        <v>14591</v>
      </c>
      <c r="D328" s="70">
        <v>8677</v>
      </c>
      <c r="E328" s="71" t="s">
        <v>130</v>
      </c>
      <c r="F328" s="77" t="s">
        <v>1281</v>
      </c>
      <c r="I328" s="69">
        <v>2950</v>
      </c>
      <c r="U328" s="69"/>
      <c r="V328" s="69"/>
      <c r="AR328" s="74">
        <f t="shared" si="24"/>
        <v>2950</v>
      </c>
      <c r="AS328" s="69">
        <v>2652.2</v>
      </c>
      <c r="AT328" s="69">
        <v>176.7</v>
      </c>
      <c r="BC328" s="69"/>
      <c r="BD328" s="69"/>
      <c r="BF328" s="69">
        <v>88.5</v>
      </c>
      <c r="BG328" s="69">
        <v>6</v>
      </c>
      <c r="BH328" s="69">
        <f>13.3*2</f>
        <v>26.6</v>
      </c>
      <c r="CC328" s="74">
        <f t="shared" si="27"/>
        <v>2949.9999999999995</v>
      </c>
      <c r="CD328" s="73">
        <f t="shared" si="25"/>
        <v>0</v>
      </c>
      <c r="CE328" s="75">
        <f t="shared" si="26"/>
        <v>8677</v>
      </c>
      <c r="CF328" s="3" t="str">
        <f t="shared" si="26"/>
        <v>خ ت طب</v>
      </c>
    </row>
    <row r="329" spans="2:90" ht="36" x14ac:dyDescent="0.25">
      <c r="C329" s="82">
        <v>14479</v>
      </c>
      <c r="D329" s="70">
        <v>8678</v>
      </c>
      <c r="E329" s="71" t="s">
        <v>130</v>
      </c>
      <c r="F329" s="77" t="s">
        <v>1282</v>
      </c>
      <c r="I329" s="69">
        <v>34200</v>
      </c>
      <c r="U329" s="69"/>
      <c r="V329" s="69"/>
      <c r="AR329" s="74">
        <f t="shared" si="24"/>
        <v>34200</v>
      </c>
      <c r="AS329" s="69">
        <v>30889.25</v>
      </c>
      <c r="AT329" s="69">
        <v>1156</v>
      </c>
      <c r="AV329" s="69">
        <v>5</v>
      </c>
      <c r="BC329" s="69"/>
      <c r="BD329" s="69"/>
      <c r="BF329" s="69">
        <v>300</v>
      </c>
      <c r="BG329" s="69">
        <v>80</v>
      </c>
      <c r="BI329" s="69">
        <v>1710</v>
      </c>
      <c r="CB329" s="69">
        <v>59.75</v>
      </c>
      <c r="CC329" s="74">
        <f t="shared" si="27"/>
        <v>34200</v>
      </c>
      <c r="CD329" s="73">
        <f t="shared" si="25"/>
        <v>0</v>
      </c>
      <c r="CE329" s="75">
        <f t="shared" si="26"/>
        <v>8678</v>
      </c>
      <c r="CF329" s="3" t="str">
        <f t="shared" si="26"/>
        <v>خ ت طب</v>
      </c>
    </row>
    <row r="330" spans="2:90" ht="18.75" x14ac:dyDescent="0.25">
      <c r="C330" s="82">
        <v>14437</v>
      </c>
      <c r="D330" s="70">
        <v>8679</v>
      </c>
      <c r="E330" s="71" t="s">
        <v>78</v>
      </c>
      <c r="F330" s="69" t="s">
        <v>450</v>
      </c>
      <c r="I330" s="69">
        <v>440</v>
      </c>
      <c r="U330" s="69"/>
      <c r="V330" s="69"/>
      <c r="AR330" s="74">
        <f t="shared" si="24"/>
        <v>440</v>
      </c>
      <c r="AS330" s="69">
        <v>440</v>
      </c>
      <c r="AT330" s="69"/>
      <c r="BC330" s="69"/>
      <c r="BD330" s="69"/>
      <c r="CC330" s="74">
        <f t="shared" si="27"/>
        <v>440</v>
      </c>
      <c r="CD330" s="73">
        <f t="shared" si="25"/>
        <v>0</v>
      </c>
      <c r="CE330" s="75">
        <f t="shared" si="26"/>
        <v>8679</v>
      </c>
      <c r="CF330" s="3" t="str">
        <f t="shared" si="26"/>
        <v>برنامج دولى</v>
      </c>
    </row>
    <row r="331" spans="2:90" ht="18.75" x14ac:dyDescent="0.25">
      <c r="C331" s="82">
        <v>14444</v>
      </c>
      <c r="D331" s="70">
        <v>8680</v>
      </c>
      <c r="E331" s="71" t="s">
        <v>78</v>
      </c>
      <c r="F331" s="69" t="s">
        <v>1283</v>
      </c>
      <c r="I331" s="69">
        <v>1000</v>
      </c>
      <c r="U331" s="69"/>
      <c r="V331" s="69"/>
      <c r="AR331" s="74">
        <f t="shared" si="24"/>
        <v>1000</v>
      </c>
      <c r="AS331" s="69">
        <v>1000</v>
      </c>
      <c r="AT331" s="69"/>
      <c r="BC331" s="69"/>
      <c r="BD331" s="69"/>
      <c r="CC331" s="74">
        <f t="shared" si="27"/>
        <v>1000</v>
      </c>
      <c r="CD331" s="73">
        <f t="shared" si="25"/>
        <v>0</v>
      </c>
      <c r="CE331" s="75">
        <f t="shared" si="26"/>
        <v>8680</v>
      </c>
      <c r="CF331" s="3" t="str">
        <f t="shared" si="26"/>
        <v>برنامج دولى</v>
      </c>
    </row>
    <row r="332" spans="2:90" ht="18.75" x14ac:dyDescent="0.25">
      <c r="C332" s="82">
        <v>14595</v>
      </c>
      <c r="D332" s="70">
        <v>8681</v>
      </c>
      <c r="E332" s="71" t="s">
        <v>78</v>
      </c>
      <c r="F332" s="69" t="s">
        <v>1284</v>
      </c>
      <c r="I332" s="69">
        <v>380</v>
      </c>
      <c r="U332" s="69"/>
      <c r="V332" s="69"/>
      <c r="AR332" s="74">
        <f t="shared" si="24"/>
        <v>380</v>
      </c>
      <c r="AS332" s="69">
        <v>380</v>
      </c>
      <c r="AT332" s="69"/>
      <c r="BC332" s="69"/>
      <c r="BD332" s="69"/>
      <c r="CC332" s="74">
        <f t="shared" si="27"/>
        <v>380</v>
      </c>
      <c r="CD332" s="73">
        <f t="shared" si="25"/>
        <v>0</v>
      </c>
      <c r="CE332" s="75">
        <f t="shared" si="26"/>
        <v>8681</v>
      </c>
      <c r="CF332" s="3" t="str">
        <f t="shared" si="26"/>
        <v>برنامج دولى</v>
      </c>
    </row>
    <row r="333" spans="2:90" ht="18.75" x14ac:dyDescent="0.25">
      <c r="B333" s="77"/>
      <c r="C333" s="82">
        <v>14443</v>
      </c>
      <c r="D333" s="70">
        <v>8682</v>
      </c>
      <c r="E333" s="71" t="s">
        <v>78</v>
      </c>
      <c r="F333" s="69" t="s">
        <v>1285</v>
      </c>
      <c r="I333" s="69">
        <v>200</v>
      </c>
      <c r="U333" s="69"/>
      <c r="V333" s="69"/>
      <c r="AR333" s="74">
        <f t="shared" si="24"/>
        <v>200</v>
      </c>
      <c r="AS333" s="69">
        <v>200</v>
      </c>
      <c r="AT333" s="69"/>
      <c r="BC333" s="69"/>
      <c r="BD333" s="69"/>
      <c r="CC333" s="74">
        <f t="shared" si="27"/>
        <v>200</v>
      </c>
      <c r="CD333" s="73">
        <f t="shared" si="25"/>
        <v>0</v>
      </c>
      <c r="CE333" s="75">
        <f t="shared" si="26"/>
        <v>8682</v>
      </c>
      <c r="CF333" s="3" t="str">
        <f t="shared" si="26"/>
        <v>برنامج دولى</v>
      </c>
    </row>
    <row r="334" spans="2:90" ht="36" x14ac:dyDescent="0.25">
      <c r="C334" s="82">
        <v>14583</v>
      </c>
      <c r="D334" s="70">
        <v>8683</v>
      </c>
      <c r="E334" s="71" t="s">
        <v>78</v>
      </c>
      <c r="F334" s="77" t="s">
        <v>1286</v>
      </c>
      <c r="I334" s="69">
        <v>170</v>
      </c>
      <c r="U334" s="69"/>
      <c r="V334" s="69"/>
      <c r="AR334" s="74">
        <f t="shared" si="24"/>
        <v>170</v>
      </c>
      <c r="AS334" s="69">
        <v>170</v>
      </c>
      <c r="AT334" s="69"/>
      <c r="BC334" s="69"/>
      <c r="BD334" s="69"/>
      <c r="CC334" s="74">
        <f t="shared" si="27"/>
        <v>170</v>
      </c>
      <c r="CD334" s="73">
        <f t="shared" si="25"/>
        <v>0</v>
      </c>
      <c r="CE334" s="75">
        <f t="shared" si="26"/>
        <v>8683</v>
      </c>
      <c r="CF334" s="3" t="str">
        <f t="shared" si="26"/>
        <v>برنامج دولى</v>
      </c>
    </row>
    <row r="335" spans="2:90" ht="36" x14ac:dyDescent="0.25">
      <c r="C335" s="82">
        <v>14584</v>
      </c>
      <c r="D335" s="70">
        <v>8684</v>
      </c>
      <c r="E335" s="71" t="s">
        <v>78</v>
      </c>
      <c r="F335" s="77" t="s">
        <v>1287</v>
      </c>
      <c r="I335" s="69">
        <v>310</v>
      </c>
      <c r="U335" s="69"/>
      <c r="V335" s="69"/>
      <c r="AR335" s="74">
        <f t="shared" si="24"/>
        <v>310</v>
      </c>
      <c r="AS335" s="69">
        <v>310</v>
      </c>
      <c r="AT335" s="69"/>
      <c r="BC335" s="69"/>
      <c r="BD335" s="69"/>
      <c r="CC335" s="74">
        <f t="shared" si="27"/>
        <v>310</v>
      </c>
      <c r="CD335" s="73">
        <f t="shared" si="25"/>
        <v>0</v>
      </c>
      <c r="CE335" s="75">
        <f t="shared" si="26"/>
        <v>8684</v>
      </c>
      <c r="CF335" s="3" t="str">
        <f t="shared" si="26"/>
        <v>برنامج دولى</v>
      </c>
    </row>
    <row r="336" spans="2:90" ht="18.75" x14ac:dyDescent="0.25">
      <c r="C336" s="82">
        <v>14442</v>
      </c>
      <c r="D336" s="70">
        <v>8685</v>
      </c>
      <c r="E336" s="71" t="s">
        <v>78</v>
      </c>
      <c r="F336" s="69" t="s">
        <v>1288</v>
      </c>
      <c r="I336" s="69">
        <v>160</v>
      </c>
      <c r="U336" s="69"/>
      <c r="V336" s="69"/>
      <c r="AR336" s="74">
        <f t="shared" si="24"/>
        <v>160</v>
      </c>
      <c r="AS336" s="69">
        <v>160</v>
      </c>
      <c r="AT336" s="69"/>
      <c r="BC336" s="69"/>
      <c r="BD336" s="69"/>
      <c r="CC336" s="74">
        <f t="shared" si="27"/>
        <v>160</v>
      </c>
      <c r="CD336" s="73">
        <f t="shared" si="25"/>
        <v>0</v>
      </c>
      <c r="CE336" s="75">
        <f t="shared" si="26"/>
        <v>8685</v>
      </c>
      <c r="CF336" s="3" t="str">
        <f t="shared" si="26"/>
        <v>برنامج دولى</v>
      </c>
    </row>
    <row r="337" spans="3:84" ht="18.75" x14ac:dyDescent="0.25">
      <c r="C337" s="82">
        <v>14441</v>
      </c>
      <c r="D337" s="70">
        <v>8686</v>
      </c>
      <c r="E337" s="71" t="s">
        <v>78</v>
      </c>
      <c r="F337" s="69" t="s">
        <v>1289</v>
      </c>
      <c r="I337" s="69">
        <v>400</v>
      </c>
      <c r="U337" s="69"/>
      <c r="V337" s="69"/>
      <c r="AR337" s="74">
        <f t="shared" si="24"/>
        <v>400</v>
      </c>
      <c r="AS337" s="69">
        <v>400</v>
      </c>
      <c r="AT337" s="69"/>
      <c r="BC337" s="69"/>
      <c r="BD337" s="69"/>
      <c r="CC337" s="74">
        <f t="shared" si="27"/>
        <v>400</v>
      </c>
      <c r="CD337" s="73">
        <f t="shared" si="25"/>
        <v>0</v>
      </c>
      <c r="CE337" s="75">
        <f t="shared" si="26"/>
        <v>8686</v>
      </c>
      <c r="CF337" s="3" t="str">
        <f t="shared" si="26"/>
        <v>برنامج دولى</v>
      </c>
    </row>
    <row r="338" spans="3:84" ht="18.75" x14ac:dyDescent="0.25">
      <c r="C338" s="82">
        <v>14439</v>
      </c>
      <c r="D338" s="70">
        <v>8687</v>
      </c>
      <c r="E338" s="71" t="s">
        <v>78</v>
      </c>
      <c r="F338" s="69" t="s">
        <v>1290</v>
      </c>
      <c r="I338" s="69">
        <v>80</v>
      </c>
      <c r="U338" s="69"/>
      <c r="V338" s="69"/>
      <c r="AR338" s="74">
        <f t="shared" si="24"/>
        <v>80</v>
      </c>
      <c r="AS338" s="69">
        <v>80</v>
      </c>
      <c r="AT338" s="69"/>
      <c r="BC338" s="69"/>
      <c r="BD338" s="69"/>
      <c r="CC338" s="74">
        <f t="shared" si="27"/>
        <v>80</v>
      </c>
      <c r="CD338" s="73">
        <f t="shared" si="25"/>
        <v>0</v>
      </c>
      <c r="CE338" s="75">
        <f t="shared" si="26"/>
        <v>8687</v>
      </c>
      <c r="CF338" s="3" t="str">
        <f t="shared" si="26"/>
        <v>برنامج دولى</v>
      </c>
    </row>
    <row r="339" spans="3:84" ht="18.75" x14ac:dyDescent="0.25">
      <c r="C339" s="82">
        <v>14440</v>
      </c>
      <c r="D339" s="70">
        <v>8688</v>
      </c>
      <c r="E339" s="71" t="s">
        <v>78</v>
      </c>
      <c r="F339" s="69" t="s">
        <v>1291</v>
      </c>
      <c r="I339" s="69">
        <v>360</v>
      </c>
      <c r="U339" s="69"/>
      <c r="V339" s="69"/>
      <c r="AR339" s="74">
        <f t="shared" si="24"/>
        <v>360</v>
      </c>
      <c r="AS339" s="69">
        <v>360</v>
      </c>
      <c r="AT339" s="69"/>
      <c r="BC339" s="69"/>
      <c r="BD339" s="69"/>
      <c r="CC339" s="74">
        <f t="shared" si="27"/>
        <v>360</v>
      </c>
      <c r="CD339" s="73">
        <f t="shared" si="25"/>
        <v>0</v>
      </c>
      <c r="CE339" s="75">
        <f t="shared" si="26"/>
        <v>8688</v>
      </c>
      <c r="CF339" s="3" t="str">
        <f t="shared" si="26"/>
        <v>برنامج دولى</v>
      </c>
    </row>
    <row r="340" spans="3:84" ht="18.75" x14ac:dyDescent="0.25">
      <c r="C340" s="82">
        <v>14438</v>
      </c>
      <c r="D340" s="70">
        <v>8689</v>
      </c>
      <c r="E340" s="71" t="s">
        <v>78</v>
      </c>
      <c r="F340" s="69" t="s">
        <v>1292</v>
      </c>
      <c r="I340" s="69">
        <v>520</v>
      </c>
      <c r="U340" s="69"/>
      <c r="V340" s="69"/>
      <c r="AR340" s="74">
        <f t="shared" si="24"/>
        <v>520</v>
      </c>
      <c r="AS340" s="69">
        <v>520</v>
      </c>
      <c r="AT340" s="69"/>
      <c r="BC340" s="69"/>
      <c r="BD340" s="69"/>
      <c r="CC340" s="74">
        <f t="shared" si="27"/>
        <v>520</v>
      </c>
      <c r="CD340" s="73">
        <f t="shared" si="25"/>
        <v>0</v>
      </c>
      <c r="CE340" s="75">
        <f t="shared" si="26"/>
        <v>8689</v>
      </c>
      <c r="CF340" s="3" t="str">
        <f t="shared" si="26"/>
        <v>برنامج دولى</v>
      </c>
    </row>
    <row r="341" spans="3:84" ht="18.75" x14ac:dyDescent="0.25">
      <c r="C341" s="82">
        <v>14594</v>
      </c>
      <c r="D341" s="70">
        <v>8690</v>
      </c>
      <c r="E341" s="71" t="s">
        <v>78</v>
      </c>
      <c r="F341" s="69" t="s">
        <v>1293</v>
      </c>
      <c r="I341" s="69">
        <v>670</v>
      </c>
      <c r="U341" s="69"/>
      <c r="V341" s="69"/>
      <c r="AR341" s="74">
        <f t="shared" si="24"/>
        <v>670</v>
      </c>
      <c r="AS341" s="69">
        <v>670</v>
      </c>
      <c r="AT341" s="69"/>
      <c r="BC341" s="69"/>
      <c r="BD341" s="69"/>
      <c r="CC341" s="74">
        <f t="shared" si="27"/>
        <v>670</v>
      </c>
      <c r="CD341" s="73">
        <f t="shared" si="25"/>
        <v>0</v>
      </c>
      <c r="CE341" s="75">
        <f t="shared" si="26"/>
        <v>8690</v>
      </c>
      <c r="CF341" s="3" t="str">
        <f t="shared" si="26"/>
        <v>برنامج دولى</v>
      </c>
    </row>
    <row r="342" spans="3:84" ht="18.75" x14ac:dyDescent="0.25">
      <c r="C342" s="82">
        <v>14577</v>
      </c>
      <c r="D342" s="70">
        <v>8691</v>
      </c>
      <c r="E342" s="71" t="s">
        <v>78</v>
      </c>
      <c r="F342" s="69" t="s">
        <v>1294</v>
      </c>
      <c r="I342" s="69">
        <v>4500</v>
      </c>
      <c r="U342" s="69"/>
      <c r="V342" s="69"/>
      <c r="AR342" s="74">
        <f t="shared" si="24"/>
        <v>4500</v>
      </c>
      <c r="AS342" s="69">
        <v>3936.5</v>
      </c>
      <c r="AT342" s="69">
        <v>303</v>
      </c>
      <c r="AV342" s="69">
        <v>5</v>
      </c>
      <c r="BC342" s="69"/>
      <c r="BD342" s="69"/>
      <c r="BF342" s="69">
        <v>135</v>
      </c>
      <c r="BG342" s="69">
        <v>80</v>
      </c>
      <c r="BH342" s="69">
        <f>20.25*2</f>
        <v>40.5</v>
      </c>
      <c r="CC342" s="74">
        <f t="shared" si="27"/>
        <v>4500</v>
      </c>
      <c r="CD342" s="73">
        <f t="shared" si="25"/>
        <v>0</v>
      </c>
      <c r="CE342" s="75">
        <f t="shared" si="26"/>
        <v>8691</v>
      </c>
      <c r="CF342" s="3" t="str">
        <f t="shared" si="26"/>
        <v>برنامج دولى</v>
      </c>
    </row>
    <row r="343" spans="3:84" ht="36" x14ac:dyDescent="0.25">
      <c r="C343" s="82">
        <v>14578</v>
      </c>
      <c r="D343" s="70">
        <v>8692</v>
      </c>
      <c r="E343" s="71" t="s">
        <v>78</v>
      </c>
      <c r="F343" s="77" t="s">
        <v>1295</v>
      </c>
      <c r="I343" s="69">
        <v>2137.5</v>
      </c>
      <c r="U343" s="69"/>
      <c r="V343" s="69"/>
      <c r="AR343" s="74">
        <f t="shared" si="24"/>
        <v>2137.5</v>
      </c>
      <c r="AS343" s="69">
        <v>1946.05</v>
      </c>
      <c r="AT343" s="69">
        <v>112.3</v>
      </c>
      <c r="BC343" s="69"/>
      <c r="BD343" s="69"/>
      <c r="BF343" s="69">
        <v>56.25</v>
      </c>
      <c r="BG343" s="69">
        <v>6</v>
      </c>
      <c r="BH343" s="69">
        <f>8.45*2</f>
        <v>16.899999999999999</v>
      </c>
      <c r="CC343" s="74">
        <f t="shared" si="27"/>
        <v>2137.5</v>
      </c>
      <c r="CD343" s="73">
        <f t="shared" si="25"/>
        <v>0</v>
      </c>
      <c r="CE343" s="75">
        <f t="shared" si="26"/>
        <v>8692</v>
      </c>
      <c r="CF343" s="3" t="str">
        <f t="shared" si="26"/>
        <v>برنامج دولى</v>
      </c>
    </row>
    <row r="344" spans="3:84" ht="18.75" x14ac:dyDescent="0.25">
      <c r="C344" s="82">
        <v>14575</v>
      </c>
      <c r="D344" s="70">
        <v>8693</v>
      </c>
      <c r="E344" s="71" t="s">
        <v>78</v>
      </c>
      <c r="F344" s="69" t="s">
        <v>1296</v>
      </c>
      <c r="J344" s="69">
        <v>3000</v>
      </c>
      <c r="P344" s="69">
        <v>3000</v>
      </c>
      <c r="U344" s="69"/>
      <c r="V344" s="69"/>
      <c r="AR344" s="74">
        <f t="shared" si="24"/>
        <v>6000</v>
      </c>
      <c r="AS344" s="69">
        <v>3000</v>
      </c>
      <c r="AT344" s="69"/>
      <c r="BC344" s="69"/>
      <c r="BD344" s="69"/>
      <c r="BN344" s="69">
        <v>3000</v>
      </c>
      <c r="CC344" s="74">
        <f t="shared" si="27"/>
        <v>6000</v>
      </c>
      <c r="CD344" s="73">
        <f t="shared" si="25"/>
        <v>0</v>
      </c>
      <c r="CE344" s="75">
        <f t="shared" si="26"/>
        <v>8693</v>
      </c>
      <c r="CF344" s="3" t="str">
        <f t="shared" si="26"/>
        <v>برنامج دولى</v>
      </c>
    </row>
    <row r="345" spans="3:84" ht="18.75" x14ac:dyDescent="0.25">
      <c r="C345" s="82">
        <v>14574</v>
      </c>
      <c r="D345" s="70">
        <v>8694</v>
      </c>
      <c r="E345" s="71" t="s">
        <v>78</v>
      </c>
      <c r="F345" s="69" t="s">
        <v>1297</v>
      </c>
      <c r="I345" s="69">
        <v>4500.72</v>
      </c>
      <c r="U345" s="69"/>
      <c r="V345" s="69"/>
      <c r="AR345" s="74">
        <f t="shared" si="24"/>
        <v>4500.72</v>
      </c>
      <c r="AS345" s="69">
        <v>4500.72</v>
      </c>
      <c r="AT345" s="69"/>
      <c r="BC345" s="69"/>
      <c r="BD345" s="69"/>
      <c r="CC345" s="74">
        <f t="shared" si="27"/>
        <v>4500.72</v>
      </c>
      <c r="CD345" s="73">
        <f t="shared" si="25"/>
        <v>0</v>
      </c>
      <c r="CE345" s="75">
        <f t="shared" si="26"/>
        <v>8694</v>
      </c>
      <c r="CF345" s="3" t="str">
        <f t="shared" si="26"/>
        <v>برنامج دولى</v>
      </c>
    </row>
    <row r="346" spans="3:84" ht="36" x14ac:dyDescent="0.25">
      <c r="C346" s="82">
        <v>14580</v>
      </c>
      <c r="D346" s="70">
        <v>8695</v>
      </c>
      <c r="E346" s="71" t="s">
        <v>78</v>
      </c>
      <c r="F346" s="77" t="s">
        <v>1298</v>
      </c>
      <c r="I346" s="69">
        <v>5081</v>
      </c>
      <c r="U346" s="69"/>
      <c r="V346" s="69"/>
      <c r="AR346" s="74">
        <f t="shared" si="24"/>
        <v>5081</v>
      </c>
      <c r="AS346" s="69">
        <v>4625.3999999999996</v>
      </c>
      <c r="AT346" s="69">
        <v>270</v>
      </c>
      <c r="BC346" s="69"/>
      <c r="BD346" s="69"/>
      <c r="BF346" s="69">
        <v>133.4</v>
      </c>
      <c r="BG346" s="69">
        <v>12</v>
      </c>
      <c r="BH346" s="69">
        <f>20.1*2</f>
        <v>40.200000000000003</v>
      </c>
      <c r="CC346" s="74">
        <f t="shared" si="27"/>
        <v>5080.9999999999991</v>
      </c>
      <c r="CD346" s="73">
        <f t="shared" si="25"/>
        <v>0</v>
      </c>
      <c r="CE346" s="75">
        <f t="shared" si="26"/>
        <v>8695</v>
      </c>
      <c r="CF346" s="3" t="str">
        <f t="shared" si="26"/>
        <v>برنامج دولى</v>
      </c>
    </row>
    <row r="347" spans="3:84" ht="18.75" x14ac:dyDescent="0.25">
      <c r="C347" s="82">
        <v>14581</v>
      </c>
      <c r="D347" s="70">
        <v>8696</v>
      </c>
      <c r="E347" s="71" t="s">
        <v>78</v>
      </c>
      <c r="F347" s="69" t="s">
        <v>1299</v>
      </c>
      <c r="L347" s="69">
        <v>22000</v>
      </c>
      <c r="M347" s="69">
        <v>22000</v>
      </c>
      <c r="N347" s="69">
        <v>22000</v>
      </c>
      <c r="U347" s="69"/>
      <c r="V347" s="69"/>
      <c r="AR347" s="74">
        <f t="shared" si="24"/>
        <v>66000</v>
      </c>
      <c r="AS347" s="69">
        <v>19634.2</v>
      </c>
      <c r="AT347" s="69">
        <v>960.8</v>
      </c>
      <c r="AV347" s="69">
        <v>5</v>
      </c>
      <c r="BC347" s="69"/>
      <c r="BD347" s="69"/>
      <c r="BF347" s="69">
        <v>220</v>
      </c>
      <c r="BG347" s="69">
        <v>80</v>
      </c>
      <c r="BI347" s="69">
        <v>1100</v>
      </c>
      <c r="BK347" s="69">
        <v>22000</v>
      </c>
      <c r="BL347" s="69">
        <v>22000</v>
      </c>
      <c r="CC347" s="74">
        <f t="shared" si="27"/>
        <v>66000</v>
      </c>
      <c r="CD347" s="73">
        <f t="shared" si="25"/>
        <v>0</v>
      </c>
      <c r="CE347" s="75">
        <f t="shared" si="26"/>
        <v>8696</v>
      </c>
      <c r="CF347" s="3" t="str">
        <f t="shared" si="26"/>
        <v>برنامج دولى</v>
      </c>
    </row>
    <row r="348" spans="3:84" ht="36" x14ac:dyDescent="0.25">
      <c r="C348" s="82">
        <v>14576</v>
      </c>
      <c r="D348" s="70">
        <v>8697</v>
      </c>
      <c r="E348" s="71" t="s">
        <v>78</v>
      </c>
      <c r="F348" s="77" t="s">
        <v>1300</v>
      </c>
      <c r="U348" s="69"/>
      <c r="V348" s="69"/>
      <c r="X348" s="69">
        <v>6354.32</v>
      </c>
      <c r="AR348" s="74">
        <f t="shared" si="24"/>
        <v>6354.32</v>
      </c>
      <c r="AS348" s="69">
        <v>6354.32</v>
      </c>
      <c r="AT348" s="69"/>
      <c r="BC348" s="69"/>
      <c r="BD348" s="69"/>
      <c r="CC348" s="74">
        <f t="shared" si="27"/>
        <v>6354.32</v>
      </c>
      <c r="CD348" s="73">
        <f t="shared" si="25"/>
        <v>0</v>
      </c>
      <c r="CE348" s="75">
        <f t="shared" si="26"/>
        <v>8697</v>
      </c>
      <c r="CF348" s="3" t="str">
        <f t="shared" si="26"/>
        <v>برنامج دولى</v>
      </c>
    </row>
    <row r="349" spans="3:84" ht="36" x14ac:dyDescent="0.25">
      <c r="C349" s="82">
        <v>13811</v>
      </c>
      <c r="D349" s="70">
        <v>8698</v>
      </c>
      <c r="E349" s="71" t="s">
        <v>119</v>
      </c>
      <c r="F349" s="77" t="s">
        <v>1301</v>
      </c>
      <c r="U349" s="69"/>
      <c r="V349" s="69"/>
      <c r="X349" s="69">
        <v>1000</v>
      </c>
      <c r="AR349" s="74">
        <f t="shared" si="24"/>
        <v>1000</v>
      </c>
      <c r="AS349" s="69">
        <v>1000</v>
      </c>
      <c r="AT349" s="69"/>
      <c r="BC349" s="69"/>
      <c r="BD349" s="69"/>
      <c r="CC349" s="74">
        <f t="shared" si="27"/>
        <v>1000</v>
      </c>
      <c r="CD349" s="73">
        <f t="shared" si="25"/>
        <v>0</v>
      </c>
      <c r="CE349" s="75">
        <f t="shared" si="26"/>
        <v>8698</v>
      </c>
      <c r="CF349" s="3" t="str">
        <f t="shared" si="26"/>
        <v>خ ت صيدلة</v>
      </c>
    </row>
    <row r="350" spans="3:84" ht="18.75" x14ac:dyDescent="0.25">
      <c r="C350" s="82">
        <v>12303</v>
      </c>
      <c r="D350" s="70">
        <v>8699</v>
      </c>
      <c r="E350" s="71" t="s">
        <v>128</v>
      </c>
      <c r="F350" s="69" t="s">
        <v>1302</v>
      </c>
      <c r="U350" s="69"/>
      <c r="V350" s="69"/>
      <c r="X350" s="69">
        <v>1500</v>
      </c>
      <c r="AR350" s="74">
        <f t="shared" si="24"/>
        <v>1500</v>
      </c>
      <c r="AS350" s="69">
        <v>1500</v>
      </c>
      <c r="AT350" s="69"/>
      <c r="BC350" s="69"/>
      <c r="BD350" s="69"/>
      <c r="CC350" s="74">
        <f t="shared" si="27"/>
        <v>1500</v>
      </c>
      <c r="CD350" s="73">
        <f t="shared" si="25"/>
        <v>0</v>
      </c>
      <c r="CE350" s="75">
        <f t="shared" si="26"/>
        <v>8699</v>
      </c>
      <c r="CF350" s="3" t="str">
        <f t="shared" si="26"/>
        <v>مركز مؤتمرات</v>
      </c>
    </row>
    <row r="351" spans="3:84" ht="18.75" x14ac:dyDescent="0.25">
      <c r="C351" s="82">
        <v>14436</v>
      </c>
      <c r="D351" s="70">
        <v>8700</v>
      </c>
      <c r="E351" s="71"/>
      <c r="F351" s="69" t="s">
        <v>1303</v>
      </c>
      <c r="U351" s="69"/>
      <c r="V351" s="69"/>
      <c r="AD351" s="69">
        <v>52.52</v>
      </c>
      <c r="AR351" s="74">
        <f t="shared" si="24"/>
        <v>52.52</v>
      </c>
      <c r="AS351" s="69">
        <v>52.52</v>
      </c>
      <c r="AT351" s="69"/>
      <c r="BC351" s="69"/>
      <c r="BD351" s="69"/>
      <c r="CC351" s="74">
        <f t="shared" si="27"/>
        <v>52.52</v>
      </c>
      <c r="CD351" s="73">
        <f t="shared" si="25"/>
        <v>0</v>
      </c>
      <c r="CE351" s="75">
        <f t="shared" si="26"/>
        <v>8700</v>
      </c>
      <c r="CF351" s="3">
        <f t="shared" si="26"/>
        <v>0</v>
      </c>
    </row>
    <row r="352" spans="3:84" ht="36" x14ac:dyDescent="0.25">
      <c r="C352" s="82">
        <v>14026</v>
      </c>
      <c r="D352" s="70">
        <v>8701</v>
      </c>
      <c r="E352" s="71"/>
      <c r="F352" s="77" t="s">
        <v>1304</v>
      </c>
      <c r="U352" s="69"/>
      <c r="V352" s="69"/>
      <c r="AD352" s="69">
        <v>62.69</v>
      </c>
      <c r="AR352" s="74">
        <f t="shared" si="24"/>
        <v>62.69</v>
      </c>
      <c r="AS352" s="69">
        <v>62.69</v>
      </c>
      <c r="AT352" s="69"/>
      <c r="BC352" s="69"/>
      <c r="BD352" s="69"/>
      <c r="CC352" s="74">
        <f t="shared" si="27"/>
        <v>62.69</v>
      </c>
      <c r="CD352" s="73">
        <f t="shared" si="25"/>
        <v>0</v>
      </c>
      <c r="CE352" s="75">
        <f t="shared" si="26"/>
        <v>8701</v>
      </c>
      <c r="CF352" s="3">
        <f t="shared" si="26"/>
        <v>0</v>
      </c>
    </row>
    <row r="353" spans="3:84" ht="18.75" x14ac:dyDescent="0.25">
      <c r="C353" s="82">
        <v>13924</v>
      </c>
      <c r="D353" s="70">
        <v>8702</v>
      </c>
      <c r="E353" s="71" t="s">
        <v>78</v>
      </c>
      <c r="F353" s="69" t="s">
        <v>1305</v>
      </c>
      <c r="H353" s="69">
        <v>410.37</v>
      </c>
      <c r="U353" s="69"/>
      <c r="V353" s="69"/>
      <c r="AR353" s="74">
        <f t="shared" si="24"/>
        <v>410.37</v>
      </c>
      <c r="AS353" s="69">
        <v>279.66000000000003</v>
      </c>
      <c r="AT353" s="69">
        <v>31.84</v>
      </c>
      <c r="AU353" s="69">
        <v>98.87</v>
      </c>
      <c r="BC353" s="69"/>
      <c r="BD353" s="69"/>
      <c r="CC353" s="74">
        <f t="shared" si="27"/>
        <v>410.37</v>
      </c>
      <c r="CD353" s="73">
        <f t="shared" si="25"/>
        <v>0</v>
      </c>
      <c r="CE353" s="75">
        <f t="shared" si="26"/>
        <v>8702</v>
      </c>
      <c r="CF353" s="3" t="str">
        <f t="shared" si="26"/>
        <v>برنامج دولى</v>
      </c>
    </row>
    <row r="354" spans="3:84" ht="18.75" x14ac:dyDescent="0.25">
      <c r="C354" s="82">
        <v>13384</v>
      </c>
      <c r="D354" s="70">
        <v>8703</v>
      </c>
      <c r="E354" s="71" t="s">
        <v>121</v>
      </c>
      <c r="F354" s="69" t="s">
        <v>1306</v>
      </c>
      <c r="H354" s="69">
        <v>173.46</v>
      </c>
      <c r="U354" s="69"/>
      <c r="V354" s="69"/>
      <c r="AR354" s="74">
        <f t="shared" si="24"/>
        <v>173.46</v>
      </c>
      <c r="AS354" s="69">
        <v>116.38</v>
      </c>
      <c r="AT354" s="69">
        <v>15.29</v>
      </c>
      <c r="AU354" s="69">
        <v>41.79</v>
      </c>
      <c r="BC354" s="69"/>
      <c r="BD354" s="69"/>
      <c r="CC354" s="74">
        <f t="shared" si="27"/>
        <v>173.45999999999998</v>
      </c>
      <c r="CD354" s="73">
        <f t="shared" si="25"/>
        <v>0</v>
      </c>
      <c r="CE354" s="75">
        <f t="shared" si="26"/>
        <v>8703</v>
      </c>
      <c r="CF354" s="3" t="str">
        <f t="shared" si="26"/>
        <v>ماليزى اسنان</v>
      </c>
    </row>
    <row r="355" spans="3:84" ht="18.75" x14ac:dyDescent="0.25">
      <c r="C355" s="82">
        <v>13385</v>
      </c>
      <c r="D355" s="70">
        <v>8704</v>
      </c>
      <c r="E355" s="71" t="s">
        <v>121</v>
      </c>
      <c r="F355" s="69" t="s">
        <v>1306</v>
      </c>
      <c r="H355" s="69">
        <v>173.46</v>
      </c>
      <c r="U355" s="69"/>
      <c r="V355" s="69"/>
      <c r="AR355" s="74">
        <f t="shared" si="24"/>
        <v>173.46</v>
      </c>
      <c r="AS355" s="69">
        <v>116.38</v>
      </c>
      <c r="AT355" s="69">
        <v>15.29</v>
      </c>
      <c r="AU355" s="69">
        <v>41.79</v>
      </c>
      <c r="BC355" s="69"/>
      <c r="BD355" s="69"/>
      <c r="CC355" s="74">
        <f t="shared" si="27"/>
        <v>173.45999999999998</v>
      </c>
      <c r="CD355" s="73">
        <f t="shared" si="25"/>
        <v>0</v>
      </c>
      <c r="CE355" s="75">
        <f t="shared" si="26"/>
        <v>8704</v>
      </c>
      <c r="CF355" s="3" t="str">
        <f t="shared" si="26"/>
        <v>ماليزى اسنان</v>
      </c>
    </row>
    <row r="356" spans="3:84" ht="18.75" x14ac:dyDescent="0.25">
      <c r="C356" s="82">
        <v>13390</v>
      </c>
      <c r="D356" s="70">
        <v>8705</v>
      </c>
      <c r="E356" s="71" t="s">
        <v>121</v>
      </c>
      <c r="F356" s="69" t="s">
        <v>1306</v>
      </c>
      <c r="H356" s="69">
        <v>11449.64</v>
      </c>
      <c r="U356" s="69"/>
      <c r="V356" s="69"/>
      <c r="AR356" s="74">
        <f t="shared" si="24"/>
        <v>11449.64</v>
      </c>
      <c r="AS356" s="69">
        <v>7680.18</v>
      </c>
      <c r="AT356" s="69">
        <v>1011.32</v>
      </c>
      <c r="AU356" s="69">
        <v>2758.14</v>
      </c>
      <c r="BC356" s="69"/>
      <c r="BD356" s="69"/>
      <c r="CC356" s="74">
        <f t="shared" si="27"/>
        <v>11449.64</v>
      </c>
      <c r="CD356" s="73">
        <f t="shared" si="25"/>
        <v>0</v>
      </c>
      <c r="CE356" s="75">
        <f t="shared" si="26"/>
        <v>8705</v>
      </c>
      <c r="CF356" s="3" t="str">
        <f t="shared" si="26"/>
        <v>ماليزى اسنان</v>
      </c>
    </row>
    <row r="357" spans="3:84" ht="18.75" x14ac:dyDescent="0.25">
      <c r="C357" s="82">
        <v>13388</v>
      </c>
      <c r="D357" s="70">
        <v>8706</v>
      </c>
      <c r="E357" s="71" t="s">
        <v>121</v>
      </c>
      <c r="F357" s="69" t="s">
        <v>1306</v>
      </c>
      <c r="H357" s="69">
        <v>4955.79</v>
      </c>
      <c r="U357" s="69"/>
      <c r="V357" s="69"/>
      <c r="AR357" s="74">
        <f t="shared" si="24"/>
        <v>4955.79</v>
      </c>
      <c r="AS357" s="69">
        <v>3323.96</v>
      </c>
      <c r="AT357" s="69">
        <v>438.06</v>
      </c>
      <c r="AU357" s="69">
        <v>1193.77</v>
      </c>
      <c r="BC357" s="69"/>
      <c r="BD357" s="69"/>
      <c r="CC357" s="74">
        <f t="shared" si="27"/>
        <v>4955.79</v>
      </c>
      <c r="CD357" s="73">
        <f t="shared" si="25"/>
        <v>0</v>
      </c>
      <c r="CE357" s="75">
        <f t="shared" si="26"/>
        <v>8706</v>
      </c>
      <c r="CF357" s="3" t="str">
        <f t="shared" si="26"/>
        <v>ماليزى اسنان</v>
      </c>
    </row>
    <row r="358" spans="3:84" ht="18.75" x14ac:dyDescent="0.25">
      <c r="C358" s="82">
        <v>13386</v>
      </c>
      <c r="D358" s="70">
        <v>8707</v>
      </c>
      <c r="E358" s="71" t="s">
        <v>121</v>
      </c>
      <c r="F358" s="69" t="s">
        <v>1306</v>
      </c>
      <c r="H358" s="69">
        <v>867.3</v>
      </c>
      <c r="U358" s="69"/>
      <c r="V358" s="69"/>
      <c r="AR358" s="74">
        <f t="shared" si="24"/>
        <v>867.3</v>
      </c>
      <c r="AS358" s="69">
        <v>581.9</v>
      </c>
      <c r="AT358" s="69">
        <v>76.45</v>
      </c>
      <c r="AU358" s="69">
        <v>208.95</v>
      </c>
      <c r="BC358" s="69"/>
      <c r="BD358" s="69"/>
      <c r="CC358" s="74">
        <f t="shared" si="27"/>
        <v>867.3</v>
      </c>
      <c r="CD358" s="73">
        <f t="shared" si="25"/>
        <v>0</v>
      </c>
      <c r="CE358" s="75">
        <f t="shared" si="26"/>
        <v>8707</v>
      </c>
      <c r="CF358" s="3" t="str">
        <f t="shared" si="26"/>
        <v>ماليزى اسنان</v>
      </c>
    </row>
    <row r="359" spans="3:84" ht="18.75" x14ac:dyDescent="0.25">
      <c r="C359" s="82">
        <v>13387</v>
      </c>
      <c r="D359" s="70">
        <v>8708</v>
      </c>
      <c r="E359" s="71" t="s">
        <v>121</v>
      </c>
      <c r="F359" s="69" t="s">
        <v>1306</v>
      </c>
      <c r="H359" s="69">
        <v>229.52</v>
      </c>
      <c r="U359" s="69"/>
      <c r="V359" s="69"/>
      <c r="AR359" s="74">
        <f t="shared" si="24"/>
        <v>229.52</v>
      </c>
      <c r="AS359" s="69">
        <v>153.88</v>
      </c>
      <c r="AT359" s="69">
        <v>20.329999999999998</v>
      </c>
      <c r="AU359" s="69">
        <v>55.31</v>
      </c>
      <c r="BC359" s="69"/>
      <c r="BD359" s="69"/>
      <c r="CC359" s="74">
        <f t="shared" si="27"/>
        <v>229.51999999999998</v>
      </c>
      <c r="CD359" s="73">
        <f t="shared" si="25"/>
        <v>0</v>
      </c>
      <c r="CE359" s="75">
        <f t="shared" si="26"/>
        <v>8708</v>
      </c>
      <c r="CF359" s="3" t="str">
        <f t="shared" si="26"/>
        <v>ماليزى اسنان</v>
      </c>
    </row>
    <row r="360" spans="3:84" ht="18.75" x14ac:dyDescent="0.25">
      <c r="C360" s="82">
        <v>13926</v>
      </c>
      <c r="D360" s="70">
        <v>8709</v>
      </c>
      <c r="E360" s="71" t="s">
        <v>137</v>
      </c>
      <c r="F360" s="69" t="s">
        <v>1307</v>
      </c>
      <c r="H360" s="69">
        <v>7410.2</v>
      </c>
      <c r="U360" s="69"/>
      <c r="V360" s="69"/>
      <c r="AR360" s="74">
        <f t="shared" si="24"/>
        <v>7410.2</v>
      </c>
      <c r="AS360" s="69">
        <v>4640.55</v>
      </c>
      <c r="AT360" s="69">
        <v>668.25</v>
      </c>
      <c r="AU360" s="69">
        <v>1785.4</v>
      </c>
      <c r="AV360" s="69">
        <v>316</v>
      </c>
      <c r="BC360" s="69"/>
      <c r="BD360" s="69"/>
      <c r="CC360" s="74">
        <f t="shared" si="27"/>
        <v>7410.2000000000007</v>
      </c>
      <c r="CD360" s="73">
        <f t="shared" si="25"/>
        <v>0</v>
      </c>
      <c r="CE360" s="75">
        <f t="shared" si="26"/>
        <v>8709</v>
      </c>
      <c r="CF360" s="3" t="str">
        <f t="shared" si="26"/>
        <v xml:space="preserve">خدمة عامة </v>
      </c>
    </row>
    <row r="361" spans="3:84" ht="18.75" x14ac:dyDescent="0.25">
      <c r="C361" s="82">
        <v>13927</v>
      </c>
      <c r="D361" s="70">
        <v>8710</v>
      </c>
      <c r="E361" s="71" t="s">
        <v>137</v>
      </c>
      <c r="F361" s="69" t="s">
        <v>1307</v>
      </c>
      <c r="H361" s="69">
        <v>422.1</v>
      </c>
      <c r="U361" s="69"/>
      <c r="V361" s="69"/>
      <c r="AR361" s="74">
        <f t="shared" si="24"/>
        <v>422.1</v>
      </c>
      <c r="AS361" s="69">
        <v>264.60000000000002</v>
      </c>
      <c r="AT361" s="69">
        <v>37.799999999999997</v>
      </c>
      <c r="AU361" s="69">
        <v>101.7</v>
      </c>
      <c r="AV361" s="69">
        <v>18</v>
      </c>
      <c r="BC361" s="69"/>
      <c r="BD361" s="69"/>
      <c r="CC361" s="74">
        <f t="shared" si="27"/>
        <v>422.1</v>
      </c>
      <c r="CD361" s="73">
        <f t="shared" si="25"/>
        <v>0</v>
      </c>
      <c r="CE361" s="75">
        <f t="shared" si="26"/>
        <v>8710</v>
      </c>
      <c r="CF361" s="3" t="str">
        <f t="shared" si="26"/>
        <v xml:space="preserve">خدمة عامة </v>
      </c>
    </row>
    <row r="362" spans="3:84" ht="18.75" x14ac:dyDescent="0.25">
      <c r="C362" s="82">
        <v>13908</v>
      </c>
      <c r="D362" s="70">
        <v>8711</v>
      </c>
      <c r="E362" s="71" t="s">
        <v>137</v>
      </c>
      <c r="F362" s="69" t="s">
        <v>1308</v>
      </c>
      <c r="H362" s="69">
        <v>4631.37</v>
      </c>
      <c r="U362" s="69"/>
      <c r="V362" s="69"/>
      <c r="AR362" s="74">
        <f t="shared" si="24"/>
        <v>4631.37</v>
      </c>
      <c r="AS362" s="69">
        <v>2901.9</v>
      </c>
      <c r="AT362" s="69">
        <v>416.1</v>
      </c>
      <c r="AU362" s="69">
        <v>1115.8699999999999</v>
      </c>
      <c r="AV362" s="69">
        <v>197.5</v>
      </c>
      <c r="BC362" s="69"/>
      <c r="BD362" s="69"/>
      <c r="CC362" s="74">
        <f t="shared" si="27"/>
        <v>4631.37</v>
      </c>
      <c r="CD362" s="73">
        <f t="shared" si="25"/>
        <v>0</v>
      </c>
      <c r="CE362" s="75">
        <f t="shared" si="26"/>
        <v>8711</v>
      </c>
      <c r="CF362" s="3" t="str">
        <f t="shared" si="26"/>
        <v xml:space="preserve">خدمة عامة </v>
      </c>
    </row>
    <row r="363" spans="3:84" ht="18.75" x14ac:dyDescent="0.25">
      <c r="C363" s="82">
        <v>13909</v>
      </c>
      <c r="D363" s="70">
        <v>8712</v>
      </c>
      <c r="E363" s="71" t="s">
        <v>137</v>
      </c>
      <c r="F363" s="69" t="s">
        <v>1308</v>
      </c>
      <c r="H363" s="69">
        <v>3752</v>
      </c>
      <c r="U363" s="69"/>
      <c r="V363" s="69"/>
      <c r="AR363" s="74">
        <f t="shared" si="24"/>
        <v>3752</v>
      </c>
      <c r="AS363" s="69">
        <v>2348</v>
      </c>
      <c r="AT363" s="69">
        <v>340</v>
      </c>
      <c r="AU363" s="69">
        <v>904</v>
      </c>
      <c r="AV363" s="69">
        <v>160</v>
      </c>
      <c r="BC363" s="69"/>
      <c r="BD363" s="69"/>
      <c r="CC363" s="74">
        <f t="shared" si="27"/>
        <v>3752</v>
      </c>
      <c r="CD363" s="73">
        <f t="shared" si="25"/>
        <v>0</v>
      </c>
      <c r="CE363" s="75">
        <f t="shared" si="26"/>
        <v>8712</v>
      </c>
      <c r="CF363" s="3" t="str">
        <f t="shared" si="26"/>
        <v xml:space="preserve">خدمة عامة </v>
      </c>
    </row>
    <row r="364" spans="3:84" ht="18.75" x14ac:dyDescent="0.25">
      <c r="C364" s="82">
        <v>13905</v>
      </c>
      <c r="D364" s="70">
        <v>8713</v>
      </c>
      <c r="E364" s="71" t="s">
        <v>123</v>
      </c>
      <c r="F364" s="69" t="s">
        <v>1309</v>
      </c>
      <c r="H364" s="69">
        <v>1407</v>
      </c>
      <c r="U364" s="69"/>
      <c r="V364" s="69"/>
      <c r="AR364" s="74">
        <f t="shared" ref="AR364:AR1290" si="32">SUM(H364:AQ364)</f>
        <v>1407</v>
      </c>
      <c r="AS364" s="69">
        <v>881.2</v>
      </c>
      <c r="AT364" s="69">
        <v>126.8</v>
      </c>
      <c r="AU364" s="69">
        <v>339</v>
      </c>
      <c r="AV364" s="69">
        <v>60</v>
      </c>
      <c r="BC364" s="69"/>
      <c r="BD364" s="69"/>
      <c r="CC364" s="74">
        <f t="shared" si="27"/>
        <v>1407</v>
      </c>
      <c r="CD364" s="73">
        <f t="shared" si="25"/>
        <v>0</v>
      </c>
      <c r="CE364" s="75">
        <f t="shared" si="26"/>
        <v>8713</v>
      </c>
      <c r="CF364" s="3" t="str">
        <f t="shared" si="26"/>
        <v>خ ت اسنان</v>
      </c>
    </row>
    <row r="365" spans="3:84" ht="18.75" x14ac:dyDescent="0.25">
      <c r="C365" s="82">
        <v>13904</v>
      </c>
      <c r="D365" s="70">
        <v>8714</v>
      </c>
      <c r="E365" s="71" t="s">
        <v>123</v>
      </c>
      <c r="F365" s="69" t="s">
        <v>1310</v>
      </c>
      <c r="H365" s="69">
        <v>293.12</v>
      </c>
      <c r="U365" s="69"/>
      <c r="V365" s="69"/>
      <c r="AR365" s="74">
        <f t="shared" si="32"/>
        <v>293.12</v>
      </c>
      <c r="AS365" s="69">
        <v>183.95</v>
      </c>
      <c r="AT365" s="69">
        <v>26.05</v>
      </c>
      <c r="AU365" s="69">
        <v>70.62</v>
      </c>
      <c r="AV365" s="69">
        <v>12.5</v>
      </c>
      <c r="BC365" s="69"/>
      <c r="BD365" s="69"/>
      <c r="CC365" s="74">
        <f t="shared" si="27"/>
        <v>293.12</v>
      </c>
      <c r="CD365" s="73">
        <f t="shared" ref="CD365:CD428" si="33">+CC365-AR365</f>
        <v>0</v>
      </c>
      <c r="CE365" s="75">
        <f t="shared" ref="CE365:CF428" si="34">+D365</f>
        <v>8714</v>
      </c>
      <c r="CF365" s="3" t="str">
        <f t="shared" si="34"/>
        <v>خ ت اسنان</v>
      </c>
    </row>
    <row r="366" spans="3:84" ht="18.75" x14ac:dyDescent="0.25">
      <c r="C366" s="82">
        <v>14497</v>
      </c>
      <c r="D366" s="70">
        <v>8715</v>
      </c>
      <c r="E366" s="71" t="s">
        <v>123</v>
      </c>
      <c r="F366" s="69" t="s">
        <v>1311</v>
      </c>
      <c r="H366" s="69">
        <v>1000</v>
      </c>
      <c r="U366" s="69"/>
      <c r="V366" s="69"/>
      <c r="AR366" s="74">
        <f t="shared" si="32"/>
        <v>1000</v>
      </c>
      <c r="AS366" s="69">
        <v>843.35</v>
      </c>
      <c r="AT366" s="69">
        <v>106.65</v>
      </c>
      <c r="AU366" s="69">
        <v>0</v>
      </c>
      <c r="AV366" s="69">
        <v>50</v>
      </c>
      <c r="BC366" s="69"/>
      <c r="BD366" s="69"/>
      <c r="CC366" s="74">
        <f t="shared" ref="CC366:CC488" si="35">SUM(AS366:CB366)</f>
        <v>1000</v>
      </c>
      <c r="CD366" s="73">
        <f t="shared" si="33"/>
        <v>0</v>
      </c>
      <c r="CE366" s="75">
        <f t="shared" si="34"/>
        <v>8715</v>
      </c>
      <c r="CF366" s="3" t="str">
        <f t="shared" si="34"/>
        <v>خ ت اسنان</v>
      </c>
    </row>
    <row r="367" spans="3:84" ht="18.75" x14ac:dyDescent="0.25">
      <c r="C367" s="82">
        <v>13913</v>
      </c>
      <c r="D367" s="70">
        <v>8716</v>
      </c>
      <c r="E367" s="71" t="s">
        <v>123</v>
      </c>
      <c r="F367" s="69" t="s">
        <v>1312</v>
      </c>
      <c r="H367" s="69">
        <v>5041.75</v>
      </c>
      <c r="U367" s="69"/>
      <c r="V367" s="69"/>
      <c r="AR367" s="74">
        <f t="shared" si="32"/>
        <v>5041.75</v>
      </c>
      <c r="AS367" s="69">
        <v>3159.15</v>
      </c>
      <c r="AT367" s="69">
        <v>452.85</v>
      </c>
      <c r="AU367" s="69">
        <v>1214.75</v>
      </c>
      <c r="AV367" s="69">
        <v>215</v>
      </c>
      <c r="BC367" s="69"/>
      <c r="BD367" s="69"/>
      <c r="CC367" s="74">
        <f t="shared" si="35"/>
        <v>5041.75</v>
      </c>
      <c r="CD367" s="73">
        <f t="shared" si="33"/>
        <v>0</v>
      </c>
      <c r="CE367" s="75">
        <f t="shared" si="34"/>
        <v>8716</v>
      </c>
      <c r="CF367" s="3" t="str">
        <f t="shared" si="34"/>
        <v>خ ت اسنان</v>
      </c>
    </row>
    <row r="368" spans="3:84" ht="18.75" x14ac:dyDescent="0.25">
      <c r="C368" s="82">
        <v>13981</v>
      </c>
      <c r="D368" s="70">
        <v>8717</v>
      </c>
      <c r="E368" s="71" t="s">
        <v>123</v>
      </c>
      <c r="F368" s="69" t="s">
        <v>1313</v>
      </c>
      <c r="H368" s="69">
        <v>87.94</v>
      </c>
      <c r="U368" s="69"/>
      <c r="V368" s="69"/>
      <c r="AR368" s="74">
        <f t="shared" si="32"/>
        <v>87.94</v>
      </c>
      <c r="AS368" s="69">
        <v>55.4</v>
      </c>
      <c r="AT368" s="69">
        <v>7.6</v>
      </c>
      <c r="AU368" s="69">
        <v>21.19</v>
      </c>
      <c r="AV368" s="69">
        <v>3.75</v>
      </c>
      <c r="BC368" s="69"/>
      <c r="BD368" s="69"/>
      <c r="CC368" s="74">
        <f t="shared" si="35"/>
        <v>87.94</v>
      </c>
      <c r="CD368" s="73">
        <f t="shared" si="33"/>
        <v>0</v>
      </c>
      <c r="CE368" s="75">
        <f t="shared" si="34"/>
        <v>8717</v>
      </c>
      <c r="CF368" s="3" t="str">
        <f t="shared" si="34"/>
        <v>خ ت اسنان</v>
      </c>
    </row>
    <row r="369" spans="3:84" ht="18.75" x14ac:dyDescent="0.25">
      <c r="C369" s="82">
        <v>13982</v>
      </c>
      <c r="D369" s="70">
        <v>8718</v>
      </c>
      <c r="E369" s="71" t="s">
        <v>123</v>
      </c>
      <c r="F369" s="69" t="s">
        <v>1313</v>
      </c>
      <c r="H369" s="69">
        <v>836.93</v>
      </c>
      <c r="U369" s="69"/>
      <c r="V369" s="69"/>
      <c r="AR369" s="74">
        <f t="shared" si="32"/>
        <v>836.93</v>
      </c>
      <c r="AS369" s="69">
        <v>528.11</v>
      </c>
      <c r="AT369" s="69">
        <v>71.48</v>
      </c>
      <c r="AU369" s="69">
        <v>201.65</v>
      </c>
      <c r="AV369" s="69">
        <v>35.69</v>
      </c>
      <c r="BC369" s="69"/>
      <c r="BD369" s="69"/>
      <c r="CC369" s="74">
        <f t="shared" si="35"/>
        <v>836.93000000000006</v>
      </c>
      <c r="CD369" s="73">
        <f t="shared" si="33"/>
        <v>0</v>
      </c>
      <c r="CE369" s="75">
        <f t="shared" si="34"/>
        <v>8718</v>
      </c>
      <c r="CF369" s="3" t="str">
        <f t="shared" si="34"/>
        <v>خ ت اسنان</v>
      </c>
    </row>
    <row r="370" spans="3:84" ht="18.75" x14ac:dyDescent="0.25">
      <c r="C370" s="82">
        <v>13907</v>
      </c>
      <c r="D370" s="70">
        <v>8719</v>
      </c>
      <c r="E370" s="71" t="s">
        <v>123</v>
      </c>
      <c r="F370" s="69" t="s">
        <v>1314</v>
      </c>
      <c r="H370" s="69">
        <v>351.75</v>
      </c>
      <c r="U370" s="69"/>
      <c r="V370" s="69"/>
      <c r="AR370" s="74">
        <f t="shared" si="32"/>
        <v>351.75</v>
      </c>
      <c r="AS370" s="69">
        <v>221.25</v>
      </c>
      <c r="AT370" s="69">
        <v>30.75</v>
      </c>
      <c r="AU370" s="69">
        <v>84.75</v>
      </c>
      <c r="AV370" s="69">
        <v>15</v>
      </c>
      <c r="BC370" s="69"/>
      <c r="BD370" s="69"/>
      <c r="CC370" s="74">
        <f t="shared" si="35"/>
        <v>351.75</v>
      </c>
      <c r="CD370" s="73">
        <f t="shared" si="33"/>
        <v>0</v>
      </c>
      <c r="CE370" s="75">
        <f t="shared" si="34"/>
        <v>8719</v>
      </c>
      <c r="CF370" s="3" t="str">
        <f t="shared" si="34"/>
        <v>خ ت اسنان</v>
      </c>
    </row>
    <row r="371" spans="3:84" ht="18.75" x14ac:dyDescent="0.25">
      <c r="C371" s="82">
        <v>13988</v>
      </c>
      <c r="D371" s="70">
        <v>8720</v>
      </c>
      <c r="E371" s="71" t="s">
        <v>123</v>
      </c>
      <c r="F371" s="69" t="s">
        <v>1315</v>
      </c>
      <c r="H371" s="69">
        <v>1500</v>
      </c>
      <c r="U371" s="69"/>
      <c r="V371" s="69"/>
      <c r="AR371" s="74">
        <f t="shared" si="32"/>
        <v>1500</v>
      </c>
      <c r="AS371" s="69">
        <v>1132.1600000000001</v>
      </c>
      <c r="AT371" s="69">
        <v>292.83999999999997</v>
      </c>
      <c r="AU371" s="69">
        <v>0</v>
      </c>
      <c r="AV371" s="69">
        <v>75</v>
      </c>
      <c r="BC371" s="69"/>
      <c r="BD371" s="69"/>
      <c r="CC371" s="74">
        <f t="shared" si="35"/>
        <v>1500</v>
      </c>
      <c r="CD371" s="73">
        <f t="shared" si="33"/>
        <v>0</v>
      </c>
      <c r="CE371" s="75">
        <f t="shared" si="34"/>
        <v>8720</v>
      </c>
      <c r="CF371" s="3" t="str">
        <f t="shared" si="34"/>
        <v>خ ت اسنان</v>
      </c>
    </row>
    <row r="372" spans="3:84" ht="18.75" x14ac:dyDescent="0.25">
      <c r="C372" s="82">
        <v>13985</v>
      </c>
      <c r="D372" s="70">
        <v>8721</v>
      </c>
      <c r="E372" s="71" t="s">
        <v>123</v>
      </c>
      <c r="F372" s="69" t="s">
        <v>1315</v>
      </c>
      <c r="H372" s="69">
        <v>400</v>
      </c>
      <c r="U372" s="69"/>
      <c r="V372" s="69"/>
      <c r="AR372" s="74">
        <f t="shared" si="32"/>
        <v>400</v>
      </c>
      <c r="AS372" s="69">
        <v>302.16000000000003</v>
      </c>
      <c r="AT372" s="69">
        <v>77.84</v>
      </c>
      <c r="AU372" s="69">
        <v>0</v>
      </c>
      <c r="AV372" s="69">
        <v>20</v>
      </c>
      <c r="BC372" s="69"/>
      <c r="BD372" s="69"/>
      <c r="CC372" s="74">
        <f t="shared" si="35"/>
        <v>400</v>
      </c>
      <c r="CD372" s="73">
        <f t="shared" si="33"/>
        <v>0</v>
      </c>
      <c r="CE372" s="75">
        <f t="shared" si="34"/>
        <v>8721</v>
      </c>
      <c r="CF372" s="3" t="str">
        <f t="shared" si="34"/>
        <v>خ ت اسنان</v>
      </c>
    </row>
    <row r="373" spans="3:84" ht="18.75" x14ac:dyDescent="0.25">
      <c r="C373" s="82">
        <v>13992</v>
      </c>
      <c r="D373" s="70">
        <v>8722</v>
      </c>
      <c r="E373" s="71" t="s">
        <v>123</v>
      </c>
      <c r="F373" s="69" t="s">
        <v>1316</v>
      </c>
      <c r="H373" s="69">
        <v>1500</v>
      </c>
      <c r="U373" s="69"/>
      <c r="V373" s="69"/>
      <c r="AR373" s="74">
        <f t="shared" si="32"/>
        <v>1500</v>
      </c>
      <c r="AS373" s="69">
        <v>1132.1600000000001</v>
      </c>
      <c r="AT373" s="69">
        <v>292.83999999999997</v>
      </c>
      <c r="AU373" s="69">
        <v>0</v>
      </c>
      <c r="AV373" s="69">
        <v>75</v>
      </c>
      <c r="BC373" s="69"/>
      <c r="BD373" s="69"/>
      <c r="CC373" s="74">
        <f t="shared" si="35"/>
        <v>1500</v>
      </c>
      <c r="CD373" s="73">
        <f t="shared" si="33"/>
        <v>0</v>
      </c>
      <c r="CE373" s="75">
        <f t="shared" si="34"/>
        <v>8722</v>
      </c>
      <c r="CF373" s="3" t="str">
        <f t="shared" si="34"/>
        <v>خ ت اسنان</v>
      </c>
    </row>
    <row r="374" spans="3:84" ht="18.75" x14ac:dyDescent="0.25">
      <c r="C374" s="82">
        <v>13999</v>
      </c>
      <c r="D374" s="70">
        <v>8723</v>
      </c>
      <c r="E374" s="71" t="s">
        <v>123</v>
      </c>
      <c r="F374" s="69" t="s">
        <v>1317</v>
      </c>
      <c r="H374" s="69">
        <v>1350</v>
      </c>
      <c r="U374" s="69"/>
      <c r="V374" s="69"/>
      <c r="AR374" s="74">
        <f t="shared" si="32"/>
        <v>1350</v>
      </c>
      <c r="AS374" s="69">
        <v>1019.12</v>
      </c>
      <c r="AT374" s="69">
        <v>263.38</v>
      </c>
      <c r="AU374" s="69">
        <v>0</v>
      </c>
      <c r="AV374" s="69">
        <v>67.5</v>
      </c>
      <c r="BC374" s="69"/>
      <c r="BD374" s="69"/>
      <c r="CC374" s="74">
        <f t="shared" si="35"/>
        <v>1350</v>
      </c>
      <c r="CD374" s="73">
        <f t="shared" si="33"/>
        <v>0</v>
      </c>
      <c r="CE374" s="75">
        <f t="shared" si="34"/>
        <v>8723</v>
      </c>
      <c r="CF374" s="3" t="str">
        <f t="shared" si="34"/>
        <v>خ ت اسنان</v>
      </c>
    </row>
    <row r="375" spans="3:84" ht="18.75" x14ac:dyDescent="0.25">
      <c r="C375" s="82">
        <v>14015</v>
      </c>
      <c r="D375" s="70">
        <v>8724</v>
      </c>
      <c r="E375" s="71" t="s">
        <v>123</v>
      </c>
      <c r="F375" s="69" t="s">
        <v>1318</v>
      </c>
      <c r="H375" s="69">
        <v>2300</v>
      </c>
      <c r="U375" s="69"/>
      <c r="V375" s="69"/>
      <c r="AR375" s="74">
        <f t="shared" si="32"/>
        <v>2300</v>
      </c>
      <c r="AS375" s="69">
        <v>1736.08</v>
      </c>
      <c r="AT375" s="69">
        <v>448.92</v>
      </c>
      <c r="AU375" s="69">
        <v>0</v>
      </c>
      <c r="AV375" s="69">
        <v>115</v>
      </c>
      <c r="BC375" s="69"/>
      <c r="BD375" s="69"/>
      <c r="CC375" s="74">
        <f t="shared" si="35"/>
        <v>2300</v>
      </c>
      <c r="CD375" s="73">
        <f t="shared" si="33"/>
        <v>0</v>
      </c>
      <c r="CE375" s="75">
        <f t="shared" si="34"/>
        <v>8724</v>
      </c>
      <c r="CF375" s="3" t="str">
        <f t="shared" si="34"/>
        <v>خ ت اسنان</v>
      </c>
    </row>
    <row r="376" spans="3:84" ht="18.75" x14ac:dyDescent="0.25">
      <c r="C376" s="82">
        <v>14019</v>
      </c>
      <c r="D376" s="70">
        <v>8725</v>
      </c>
      <c r="E376" s="71" t="s">
        <v>123</v>
      </c>
      <c r="F376" s="69" t="s">
        <v>1319</v>
      </c>
      <c r="H376" s="69">
        <v>950</v>
      </c>
      <c r="U376" s="69"/>
      <c r="V376" s="69"/>
      <c r="AR376" s="74">
        <f t="shared" si="32"/>
        <v>950</v>
      </c>
      <c r="AS376" s="69">
        <v>717.36</v>
      </c>
      <c r="AT376" s="69">
        <v>185.14</v>
      </c>
      <c r="AU376" s="69">
        <v>0</v>
      </c>
      <c r="AV376" s="69">
        <v>47.5</v>
      </c>
      <c r="BC376" s="69"/>
      <c r="BD376" s="69"/>
      <c r="CC376" s="74">
        <f t="shared" si="35"/>
        <v>950</v>
      </c>
      <c r="CD376" s="73">
        <f t="shared" si="33"/>
        <v>0</v>
      </c>
      <c r="CE376" s="75">
        <f t="shared" si="34"/>
        <v>8725</v>
      </c>
      <c r="CF376" s="3" t="str">
        <f t="shared" si="34"/>
        <v>خ ت اسنان</v>
      </c>
    </row>
    <row r="377" spans="3:84" ht="18.75" x14ac:dyDescent="0.25">
      <c r="C377" s="82">
        <v>14007</v>
      </c>
      <c r="D377" s="70">
        <v>8726</v>
      </c>
      <c r="E377" s="71" t="s">
        <v>123</v>
      </c>
      <c r="F377" s="69" t="s">
        <v>1320</v>
      </c>
      <c r="H377" s="69">
        <v>400</v>
      </c>
      <c r="U377" s="69"/>
      <c r="V377" s="69"/>
      <c r="AR377" s="74">
        <f t="shared" si="32"/>
        <v>400</v>
      </c>
      <c r="AS377" s="69">
        <v>302.16000000000003</v>
      </c>
      <c r="AT377" s="69">
        <v>77.84</v>
      </c>
      <c r="AU377" s="69">
        <v>0</v>
      </c>
      <c r="AV377" s="69">
        <v>20</v>
      </c>
      <c r="BC377" s="69"/>
      <c r="BD377" s="69"/>
      <c r="CC377" s="74">
        <f t="shared" si="35"/>
        <v>400</v>
      </c>
      <c r="CD377" s="73">
        <f t="shared" si="33"/>
        <v>0</v>
      </c>
      <c r="CE377" s="75">
        <f t="shared" si="34"/>
        <v>8726</v>
      </c>
      <c r="CF377" s="3" t="str">
        <f t="shared" si="34"/>
        <v>خ ت اسنان</v>
      </c>
    </row>
    <row r="378" spans="3:84" ht="18.75" x14ac:dyDescent="0.25">
      <c r="C378" s="82">
        <v>14018</v>
      </c>
      <c r="D378" s="70">
        <v>8727</v>
      </c>
      <c r="E378" s="71" t="s">
        <v>123</v>
      </c>
      <c r="F378" s="69" t="s">
        <v>1319</v>
      </c>
      <c r="H378" s="69">
        <v>950</v>
      </c>
      <c r="U378" s="69"/>
      <c r="V378" s="69"/>
      <c r="AR378" s="74">
        <f t="shared" si="32"/>
        <v>950</v>
      </c>
      <c r="AS378" s="69">
        <v>716.96</v>
      </c>
      <c r="AT378" s="69">
        <v>185.54</v>
      </c>
      <c r="AU378" s="69">
        <v>0</v>
      </c>
      <c r="AV378" s="69">
        <v>47.5</v>
      </c>
      <c r="BC378" s="69"/>
      <c r="BD378" s="69"/>
      <c r="CC378" s="74">
        <f t="shared" si="35"/>
        <v>950</v>
      </c>
      <c r="CD378" s="73">
        <f t="shared" si="33"/>
        <v>0</v>
      </c>
      <c r="CE378" s="75">
        <f t="shared" si="34"/>
        <v>8727</v>
      </c>
      <c r="CF378" s="3" t="str">
        <f t="shared" si="34"/>
        <v>خ ت اسنان</v>
      </c>
    </row>
    <row r="379" spans="3:84" ht="18.75" x14ac:dyDescent="0.25">
      <c r="C379" s="82">
        <v>13993</v>
      </c>
      <c r="D379" s="70">
        <v>8728</v>
      </c>
      <c r="E379" s="71" t="s">
        <v>123</v>
      </c>
      <c r="F379" s="69" t="s">
        <v>1316</v>
      </c>
      <c r="H379" s="69">
        <v>400</v>
      </c>
      <c r="U379" s="69"/>
      <c r="V379" s="69"/>
      <c r="AR379" s="74">
        <f t="shared" si="32"/>
        <v>400</v>
      </c>
      <c r="AS379" s="69">
        <v>302.16000000000003</v>
      </c>
      <c r="AT379" s="69">
        <v>77.84</v>
      </c>
      <c r="AU379" s="69">
        <v>0</v>
      </c>
      <c r="AV379" s="69">
        <v>20</v>
      </c>
      <c r="BC379" s="69"/>
      <c r="BD379" s="69"/>
      <c r="CC379" s="74">
        <f t="shared" si="35"/>
        <v>400</v>
      </c>
      <c r="CD379" s="73">
        <f t="shared" si="33"/>
        <v>0</v>
      </c>
      <c r="CE379" s="75">
        <f t="shared" si="34"/>
        <v>8728</v>
      </c>
      <c r="CF379" s="3" t="str">
        <f t="shared" si="34"/>
        <v>خ ت اسنان</v>
      </c>
    </row>
    <row r="380" spans="3:84" ht="18.75" x14ac:dyDescent="0.25">
      <c r="C380" s="82">
        <v>14003</v>
      </c>
      <c r="D380" s="70">
        <v>8729</v>
      </c>
      <c r="E380" s="71" t="s">
        <v>123</v>
      </c>
      <c r="F380" s="69" t="s">
        <v>1321</v>
      </c>
      <c r="H380" s="69">
        <v>1900</v>
      </c>
      <c r="U380" s="69"/>
      <c r="V380" s="69"/>
      <c r="AR380" s="74">
        <f t="shared" si="32"/>
        <v>1900</v>
      </c>
      <c r="AS380" s="69">
        <v>1434.32</v>
      </c>
      <c r="AT380" s="69">
        <v>370.68</v>
      </c>
      <c r="AU380" s="69">
        <v>0</v>
      </c>
      <c r="AV380" s="69">
        <v>95</v>
      </c>
      <c r="BC380" s="69"/>
      <c r="BD380" s="69"/>
      <c r="CC380" s="74">
        <f t="shared" si="35"/>
        <v>1900</v>
      </c>
      <c r="CD380" s="73">
        <f t="shared" si="33"/>
        <v>0</v>
      </c>
      <c r="CE380" s="75">
        <f t="shared" si="34"/>
        <v>8729</v>
      </c>
      <c r="CF380" s="3" t="str">
        <f t="shared" si="34"/>
        <v>خ ت اسنان</v>
      </c>
    </row>
    <row r="381" spans="3:84" ht="18.75" x14ac:dyDescent="0.25">
      <c r="C381" s="82">
        <v>13998</v>
      </c>
      <c r="D381" s="70">
        <v>8730</v>
      </c>
      <c r="E381" s="71" t="s">
        <v>123</v>
      </c>
      <c r="F381" s="69" t="s">
        <v>1317</v>
      </c>
      <c r="H381" s="69">
        <v>950</v>
      </c>
      <c r="U381" s="69"/>
      <c r="V381" s="69"/>
      <c r="AR381" s="74">
        <f t="shared" si="32"/>
        <v>950</v>
      </c>
      <c r="AS381" s="69">
        <v>716.96</v>
      </c>
      <c r="AT381" s="69">
        <v>185.54</v>
      </c>
      <c r="AU381" s="69">
        <v>0</v>
      </c>
      <c r="AV381" s="69">
        <v>47.5</v>
      </c>
      <c r="BC381" s="69"/>
      <c r="BD381" s="69"/>
      <c r="CC381" s="74">
        <f t="shared" si="35"/>
        <v>950</v>
      </c>
      <c r="CD381" s="73">
        <f t="shared" si="33"/>
        <v>0</v>
      </c>
      <c r="CE381" s="75">
        <f t="shared" si="34"/>
        <v>8730</v>
      </c>
      <c r="CF381" s="3" t="str">
        <f t="shared" si="34"/>
        <v>خ ت اسنان</v>
      </c>
    </row>
    <row r="382" spans="3:84" ht="18.75" x14ac:dyDescent="0.25">
      <c r="C382" s="82">
        <v>14011</v>
      </c>
      <c r="D382" s="70">
        <v>8731</v>
      </c>
      <c r="E382" s="71" t="s">
        <v>123</v>
      </c>
      <c r="F382" s="69" t="s">
        <v>1322</v>
      </c>
      <c r="H382" s="69">
        <v>1994.88</v>
      </c>
      <c r="U382" s="69"/>
      <c r="V382" s="69"/>
      <c r="AR382" s="74">
        <f t="shared" si="32"/>
        <v>1994.88</v>
      </c>
      <c r="AS382" s="69">
        <v>1409.18</v>
      </c>
      <c r="AT382" s="69">
        <v>335.32</v>
      </c>
      <c r="AU382" s="69">
        <v>155.38</v>
      </c>
      <c r="AV382" s="69">
        <v>95</v>
      </c>
      <c r="BC382" s="69"/>
      <c r="BD382" s="69"/>
      <c r="CC382" s="74">
        <f t="shared" si="35"/>
        <v>1994.88</v>
      </c>
      <c r="CD382" s="73">
        <f t="shared" si="33"/>
        <v>0</v>
      </c>
      <c r="CE382" s="75">
        <f t="shared" si="34"/>
        <v>8731</v>
      </c>
      <c r="CF382" s="3" t="str">
        <f t="shared" si="34"/>
        <v>خ ت اسنان</v>
      </c>
    </row>
    <row r="383" spans="3:84" ht="18.75" x14ac:dyDescent="0.25">
      <c r="C383" s="82">
        <v>14001</v>
      </c>
      <c r="D383" s="70">
        <v>8732</v>
      </c>
      <c r="E383" s="71" t="s">
        <v>123</v>
      </c>
      <c r="F383" s="69" t="s">
        <v>1317</v>
      </c>
      <c r="H383" s="69">
        <v>469</v>
      </c>
      <c r="U383" s="69"/>
      <c r="V383" s="69"/>
      <c r="AR383" s="74">
        <f t="shared" si="32"/>
        <v>469</v>
      </c>
      <c r="AS383" s="69">
        <v>314</v>
      </c>
      <c r="AT383" s="69">
        <v>42</v>
      </c>
      <c r="AU383" s="69">
        <v>113</v>
      </c>
      <c r="AV383" s="69">
        <v>0</v>
      </c>
      <c r="BC383" s="69"/>
      <c r="BD383" s="69"/>
      <c r="CC383" s="74">
        <f t="shared" si="35"/>
        <v>469</v>
      </c>
      <c r="CD383" s="73">
        <f t="shared" si="33"/>
        <v>0</v>
      </c>
      <c r="CE383" s="75">
        <f t="shared" si="34"/>
        <v>8732</v>
      </c>
      <c r="CF383" s="3" t="str">
        <f t="shared" si="34"/>
        <v>خ ت اسنان</v>
      </c>
    </row>
    <row r="384" spans="3:84" ht="18.75" x14ac:dyDescent="0.25">
      <c r="C384" s="82">
        <v>14022</v>
      </c>
      <c r="D384" s="70">
        <v>8733</v>
      </c>
      <c r="E384" s="71" t="s">
        <v>123</v>
      </c>
      <c r="F384" s="69" t="s">
        <v>1320</v>
      </c>
      <c r="H384" s="69">
        <v>469</v>
      </c>
      <c r="U384" s="69"/>
      <c r="V384" s="69"/>
      <c r="AR384" s="74">
        <f t="shared" si="32"/>
        <v>469</v>
      </c>
      <c r="AS384" s="69">
        <v>313.7</v>
      </c>
      <c r="AT384" s="69">
        <v>42.3</v>
      </c>
      <c r="AU384" s="69">
        <v>113</v>
      </c>
      <c r="AV384" s="69">
        <v>0</v>
      </c>
      <c r="BC384" s="69"/>
      <c r="BD384" s="69"/>
      <c r="CC384" s="74">
        <f t="shared" si="35"/>
        <v>469</v>
      </c>
      <c r="CD384" s="73">
        <f t="shared" si="33"/>
        <v>0</v>
      </c>
      <c r="CE384" s="75">
        <f t="shared" si="34"/>
        <v>8733</v>
      </c>
      <c r="CF384" s="3" t="str">
        <f t="shared" si="34"/>
        <v>خ ت اسنان</v>
      </c>
    </row>
    <row r="385" spans="3:84" ht="18.75" x14ac:dyDescent="0.25">
      <c r="C385" s="82">
        <v>14009</v>
      </c>
      <c r="D385" s="70">
        <v>8734</v>
      </c>
      <c r="E385" s="71" t="s">
        <v>123</v>
      </c>
      <c r="F385" s="69" t="s">
        <v>1322</v>
      </c>
      <c r="H385" s="69">
        <v>469</v>
      </c>
      <c r="U385" s="69"/>
      <c r="V385" s="69"/>
      <c r="AR385" s="74">
        <f t="shared" si="32"/>
        <v>469</v>
      </c>
      <c r="AS385" s="69">
        <v>314</v>
      </c>
      <c r="AT385" s="69">
        <v>42</v>
      </c>
      <c r="AU385" s="69">
        <v>113</v>
      </c>
      <c r="AV385" s="69">
        <v>0</v>
      </c>
      <c r="BC385" s="69"/>
      <c r="BD385" s="69"/>
      <c r="CC385" s="74">
        <f t="shared" si="35"/>
        <v>469</v>
      </c>
      <c r="CD385" s="73">
        <f t="shared" si="33"/>
        <v>0</v>
      </c>
      <c r="CE385" s="75">
        <f t="shared" si="34"/>
        <v>8734</v>
      </c>
      <c r="CF385" s="3" t="str">
        <f t="shared" si="34"/>
        <v>خ ت اسنان</v>
      </c>
    </row>
    <row r="386" spans="3:84" ht="18.75" x14ac:dyDescent="0.25">
      <c r="C386" s="82">
        <v>13983</v>
      </c>
      <c r="D386" s="70">
        <v>8735</v>
      </c>
      <c r="E386" s="71" t="s">
        <v>123</v>
      </c>
      <c r="F386" s="69" t="s">
        <v>1315</v>
      </c>
      <c r="H386" s="69">
        <v>469</v>
      </c>
      <c r="U386" s="69"/>
      <c r="V386" s="69"/>
      <c r="AR386" s="74">
        <f t="shared" si="32"/>
        <v>469</v>
      </c>
      <c r="AS386" s="69">
        <v>314</v>
      </c>
      <c r="AT386" s="69">
        <v>42</v>
      </c>
      <c r="AU386" s="69">
        <v>113</v>
      </c>
      <c r="AV386" s="69">
        <v>0</v>
      </c>
      <c r="BC386" s="69"/>
      <c r="BD386" s="69"/>
      <c r="CC386" s="74">
        <f t="shared" si="35"/>
        <v>469</v>
      </c>
      <c r="CD386" s="73">
        <f t="shared" si="33"/>
        <v>0</v>
      </c>
      <c r="CE386" s="75">
        <f t="shared" si="34"/>
        <v>8735</v>
      </c>
      <c r="CF386" s="3" t="str">
        <f t="shared" si="34"/>
        <v>خ ت اسنان</v>
      </c>
    </row>
    <row r="387" spans="3:84" ht="18.75" x14ac:dyDescent="0.25">
      <c r="C387" s="82">
        <v>14012</v>
      </c>
      <c r="D387" s="70">
        <v>8736</v>
      </c>
      <c r="E387" s="71" t="s">
        <v>123</v>
      </c>
      <c r="F387" s="69" t="s">
        <v>1318</v>
      </c>
      <c r="H387" s="69">
        <v>469</v>
      </c>
      <c r="U387" s="69"/>
      <c r="V387" s="69"/>
      <c r="AR387" s="74">
        <f t="shared" si="32"/>
        <v>469</v>
      </c>
      <c r="AS387" s="69">
        <v>314</v>
      </c>
      <c r="AT387" s="69">
        <v>42</v>
      </c>
      <c r="AU387" s="69">
        <v>113</v>
      </c>
      <c r="AV387" s="69">
        <v>0</v>
      </c>
      <c r="BC387" s="69"/>
      <c r="BD387" s="69"/>
      <c r="CC387" s="74">
        <f t="shared" si="35"/>
        <v>469</v>
      </c>
      <c r="CD387" s="73">
        <f t="shared" si="33"/>
        <v>0</v>
      </c>
      <c r="CE387" s="75">
        <f t="shared" si="34"/>
        <v>8736</v>
      </c>
      <c r="CF387" s="3" t="str">
        <f t="shared" si="34"/>
        <v>خ ت اسنان</v>
      </c>
    </row>
    <row r="388" spans="3:84" ht="18.75" x14ac:dyDescent="0.25">
      <c r="C388" s="82">
        <v>13990</v>
      </c>
      <c r="D388" s="70">
        <v>8737</v>
      </c>
      <c r="E388" s="71" t="s">
        <v>123</v>
      </c>
      <c r="F388" s="69" t="s">
        <v>1316</v>
      </c>
      <c r="H388" s="69">
        <v>469</v>
      </c>
      <c r="U388" s="69"/>
      <c r="V388" s="69"/>
      <c r="AR388" s="74">
        <f t="shared" si="32"/>
        <v>469</v>
      </c>
      <c r="AS388" s="69">
        <v>314</v>
      </c>
      <c r="AT388" s="69">
        <v>42</v>
      </c>
      <c r="AU388" s="69">
        <v>113</v>
      </c>
      <c r="AV388" s="69">
        <v>0</v>
      </c>
      <c r="BC388" s="69"/>
      <c r="BD388" s="69"/>
      <c r="CC388" s="74">
        <f t="shared" si="35"/>
        <v>469</v>
      </c>
      <c r="CD388" s="73">
        <f t="shared" si="33"/>
        <v>0</v>
      </c>
      <c r="CE388" s="75">
        <f t="shared" si="34"/>
        <v>8737</v>
      </c>
      <c r="CF388" s="3" t="str">
        <f t="shared" si="34"/>
        <v>خ ت اسنان</v>
      </c>
    </row>
    <row r="389" spans="3:84" ht="18.75" x14ac:dyDescent="0.25">
      <c r="C389" s="82">
        <v>14017</v>
      </c>
      <c r="D389" s="70">
        <v>8738</v>
      </c>
      <c r="E389" s="71" t="s">
        <v>123</v>
      </c>
      <c r="F389" s="69" t="s">
        <v>1319</v>
      </c>
      <c r="H389" s="69">
        <v>469</v>
      </c>
      <c r="U389" s="69"/>
      <c r="V389" s="69"/>
      <c r="AR389" s="74">
        <f t="shared" si="32"/>
        <v>469</v>
      </c>
      <c r="AS389" s="69">
        <v>314</v>
      </c>
      <c r="AT389" s="69">
        <v>42</v>
      </c>
      <c r="AU389" s="69">
        <v>113</v>
      </c>
      <c r="AV389" s="69">
        <v>0</v>
      </c>
      <c r="BC389" s="69"/>
      <c r="BD389" s="69"/>
      <c r="CC389" s="74">
        <f t="shared" si="35"/>
        <v>469</v>
      </c>
      <c r="CD389" s="73">
        <f t="shared" si="33"/>
        <v>0</v>
      </c>
      <c r="CE389" s="75">
        <f t="shared" si="34"/>
        <v>8738</v>
      </c>
      <c r="CF389" s="3" t="str">
        <f t="shared" si="34"/>
        <v>خ ت اسنان</v>
      </c>
    </row>
    <row r="390" spans="3:84" ht="18.75" x14ac:dyDescent="0.25">
      <c r="C390" s="82">
        <v>14005</v>
      </c>
      <c r="D390" s="70">
        <v>8739</v>
      </c>
      <c r="E390" s="71" t="s">
        <v>123</v>
      </c>
      <c r="F390" s="69" t="s">
        <v>1321</v>
      </c>
      <c r="H390" s="69">
        <v>469</v>
      </c>
      <c r="U390" s="69"/>
      <c r="V390" s="69"/>
      <c r="AR390" s="74">
        <f t="shared" si="32"/>
        <v>469</v>
      </c>
      <c r="AS390" s="69">
        <v>314</v>
      </c>
      <c r="AT390" s="69">
        <v>42</v>
      </c>
      <c r="AU390" s="69">
        <v>113</v>
      </c>
      <c r="AV390" s="69">
        <v>0</v>
      </c>
      <c r="BC390" s="69"/>
      <c r="BD390" s="69"/>
      <c r="CC390" s="74">
        <f t="shared" si="35"/>
        <v>469</v>
      </c>
      <c r="CD390" s="73">
        <f t="shared" si="33"/>
        <v>0</v>
      </c>
      <c r="CE390" s="75">
        <f t="shared" si="34"/>
        <v>8739</v>
      </c>
      <c r="CF390" s="3" t="str">
        <f t="shared" si="34"/>
        <v>خ ت اسنان</v>
      </c>
    </row>
    <row r="391" spans="3:84" ht="18.75" x14ac:dyDescent="0.25">
      <c r="C391" s="82">
        <v>13968</v>
      </c>
      <c r="D391" s="70">
        <v>8740</v>
      </c>
      <c r="E391" s="71" t="s">
        <v>130</v>
      </c>
      <c r="F391" s="69" t="s">
        <v>1323</v>
      </c>
      <c r="H391" s="69">
        <v>1050.46</v>
      </c>
      <c r="U391" s="69"/>
      <c r="V391" s="69"/>
      <c r="AR391" s="74">
        <f t="shared" si="32"/>
        <v>1050.46</v>
      </c>
      <c r="AS391" s="69">
        <v>630.66</v>
      </c>
      <c r="AT391" s="69">
        <v>121.9</v>
      </c>
      <c r="AU391" s="69">
        <v>253.11</v>
      </c>
      <c r="AV391" s="69">
        <v>44.79</v>
      </c>
      <c r="BC391" s="69"/>
      <c r="BD391" s="69"/>
      <c r="CC391" s="74">
        <f t="shared" si="35"/>
        <v>1050.46</v>
      </c>
      <c r="CD391" s="73">
        <f t="shared" si="33"/>
        <v>0</v>
      </c>
      <c r="CE391" s="75">
        <f t="shared" si="34"/>
        <v>8740</v>
      </c>
      <c r="CF391" s="3" t="str">
        <f t="shared" si="34"/>
        <v>خ ت طب</v>
      </c>
    </row>
    <row r="392" spans="3:84" ht="18.75" x14ac:dyDescent="0.25">
      <c r="C392" s="82">
        <v>13973</v>
      </c>
      <c r="D392" s="70">
        <v>8741</v>
      </c>
      <c r="E392" s="71" t="s">
        <v>130</v>
      </c>
      <c r="F392" s="69" t="s">
        <v>1324</v>
      </c>
      <c r="H392" s="69">
        <v>93.8</v>
      </c>
      <c r="U392" s="69"/>
      <c r="V392" s="69"/>
      <c r="AR392" s="74">
        <f t="shared" si="32"/>
        <v>93.8</v>
      </c>
      <c r="AS392" s="69">
        <v>57.12</v>
      </c>
      <c r="AT392" s="69">
        <v>10.08</v>
      </c>
      <c r="AU392" s="69">
        <v>22.6</v>
      </c>
      <c r="AV392" s="69">
        <v>4</v>
      </c>
      <c r="BC392" s="69"/>
      <c r="BD392" s="69"/>
      <c r="CC392" s="74">
        <f t="shared" si="35"/>
        <v>93.800000000000011</v>
      </c>
      <c r="CD392" s="73">
        <f t="shared" si="33"/>
        <v>0</v>
      </c>
      <c r="CE392" s="75">
        <f t="shared" si="34"/>
        <v>8741</v>
      </c>
      <c r="CF392" s="3" t="str">
        <f t="shared" si="34"/>
        <v>خ ت طب</v>
      </c>
    </row>
    <row r="393" spans="3:84" ht="18.75" x14ac:dyDescent="0.25">
      <c r="C393" s="82">
        <v>13972</v>
      </c>
      <c r="D393" s="70">
        <v>8742</v>
      </c>
      <c r="E393" s="71" t="s">
        <v>130</v>
      </c>
      <c r="F393" s="69" t="s">
        <v>1325</v>
      </c>
      <c r="H393" s="69">
        <v>386.93</v>
      </c>
      <c r="U393" s="69"/>
      <c r="V393" s="69"/>
      <c r="AR393" s="74">
        <f t="shared" si="32"/>
        <v>386.93</v>
      </c>
      <c r="AS393" s="69">
        <v>242.85</v>
      </c>
      <c r="AT393" s="69">
        <v>34.35</v>
      </c>
      <c r="AU393" s="69">
        <v>93.23</v>
      </c>
      <c r="AV393" s="69">
        <v>16.5</v>
      </c>
      <c r="BC393" s="69"/>
      <c r="BD393" s="69"/>
      <c r="CC393" s="74">
        <f t="shared" si="35"/>
        <v>386.93</v>
      </c>
      <c r="CD393" s="73">
        <f t="shared" si="33"/>
        <v>0</v>
      </c>
      <c r="CE393" s="75">
        <f t="shared" si="34"/>
        <v>8742</v>
      </c>
      <c r="CF393" s="3" t="str">
        <f t="shared" si="34"/>
        <v>خ ت طب</v>
      </c>
    </row>
    <row r="394" spans="3:84" ht="18.75" x14ac:dyDescent="0.25">
      <c r="C394" s="82">
        <v>13971</v>
      </c>
      <c r="D394" s="70">
        <v>8743</v>
      </c>
      <c r="E394" s="71" t="s">
        <v>130</v>
      </c>
      <c r="F394" s="69" t="s">
        <v>1325</v>
      </c>
      <c r="H394" s="69">
        <v>469</v>
      </c>
      <c r="U394" s="69"/>
      <c r="V394" s="69"/>
      <c r="AR394" s="74">
        <f t="shared" si="32"/>
        <v>469</v>
      </c>
      <c r="AS394" s="69">
        <v>302.39999999999998</v>
      </c>
      <c r="AT394" s="69">
        <v>33.6</v>
      </c>
      <c r="AU394" s="69">
        <v>113</v>
      </c>
      <c r="AV394" s="69">
        <v>20</v>
      </c>
      <c r="BC394" s="69"/>
      <c r="BD394" s="69"/>
      <c r="CC394" s="74">
        <f t="shared" si="35"/>
        <v>469</v>
      </c>
      <c r="CD394" s="73">
        <f t="shared" si="33"/>
        <v>0</v>
      </c>
      <c r="CE394" s="75">
        <f t="shared" si="34"/>
        <v>8743</v>
      </c>
      <c r="CF394" s="3" t="str">
        <f t="shared" si="34"/>
        <v>خ ت طب</v>
      </c>
    </row>
    <row r="395" spans="3:84" ht="18.75" x14ac:dyDescent="0.25">
      <c r="C395" s="82">
        <v>13970</v>
      </c>
      <c r="D395" s="70">
        <v>8744</v>
      </c>
      <c r="E395" s="71" t="s">
        <v>130</v>
      </c>
      <c r="F395" s="69" t="s">
        <v>1326</v>
      </c>
      <c r="H395" s="69">
        <v>117.25</v>
      </c>
      <c r="U395" s="69"/>
      <c r="V395" s="69"/>
      <c r="AR395" s="74">
        <f t="shared" si="32"/>
        <v>117.25</v>
      </c>
      <c r="AS395" s="69">
        <v>73.040000000000006</v>
      </c>
      <c r="AT395" s="69">
        <v>10.96</v>
      </c>
      <c r="AU395" s="69">
        <v>28.25</v>
      </c>
      <c r="AV395" s="69">
        <v>5</v>
      </c>
      <c r="BC395" s="69"/>
      <c r="BD395" s="69"/>
      <c r="CC395" s="74">
        <f t="shared" si="35"/>
        <v>117.25</v>
      </c>
      <c r="CD395" s="73">
        <f t="shared" si="33"/>
        <v>0</v>
      </c>
      <c r="CE395" s="75">
        <f t="shared" si="34"/>
        <v>8744</v>
      </c>
      <c r="CF395" s="3" t="str">
        <f t="shared" si="34"/>
        <v>خ ت طب</v>
      </c>
    </row>
    <row r="396" spans="3:84" ht="18.75" x14ac:dyDescent="0.25">
      <c r="C396" s="82">
        <v>13969</v>
      </c>
      <c r="D396" s="70">
        <v>8745</v>
      </c>
      <c r="E396" s="71" t="s">
        <v>130</v>
      </c>
      <c r="F396" s="69" t="s">
        <v>1327</v>
      </c>
      <c r="H396" s="69">
        <v>175.88</v>
      </c>
      <c r="U396" s="69"/>
      <c r="V396" s="69"/>
      <c r="AR396" s="74">
        <f t="shared" si="32"/>
        <v>175.88</v>
      </c>
      <c r="AS396" s="69">
        <v>106.68</v>
      </c>
      <c r="AT396" s="69">
        <v>19.32</v>
      </c>
      <c r="AU396" s="69">
        <v>42.38</v>
      </c>
      <c r="AV396" s="69">
        <v>7.5</v>
      </c>
      <c r="BC396" s="69"/>
      <c r="BD396" s="69"/>
      <c r="CC396" s="74">
        <f t="shared" si="35"/>
        <v>175.88</v>
      </c>
      <c r="CD396" s="73">
        <f t="shared" si="33"/>
        <v>0</v>
      </c>
      <c r="CE396" s="75">
        <f t="shared" si="34"/>
        <v>8745</v>
      </c>
      <c r="CF396" s="3" t="str">
        <f t="shared" si="34"/>
        <v>خ ت طب</v>
      </c>
    </row>
    <row r="397" spans="3:84" ht="18.75" x14ac:dyDescent="0.25">
      <c r="C397" s="82">
        <v>13967</v>
      </c>
      <c r="D397" s="70">
        <v>8746</v>
      </c>
      <c r="E397" s="71" t="s">
        <v>130</v>
      </c>
      <c r="F397" s="69" t="s">
        <v>1328</v>
      </c>
      <c r="H397" s="69">
        <v>515.9</v>
      </c>
      <c r="U397" s="69"/>
      <c r="V397" s="69"/>
      <c r="AR397" s="74">
        <f t="shared" si="32"/>
        <v>515.9</v>
      </c>
      <c r="AS397" s="69">
        <v>332.64</v>
      </c>
      <c r="AT397" s="69">
        <v>36.96</v>
      </c>
      <c r="AU397" s="69">
        <v>124.3</v>
      </c>
      <c r="AV397" s="69">
        <v>22</v>
      </c>
      <c r="BC397" s="69"/>
      <c r="BD397" s="69"/>
      <c r="CC397" s="74">
        <f t="shared" si="35"/>
        <v>515.9</v>
      </c>
      <c r="CD397" s="73">
        <f t="shared" si="33"/>
        <v>0</v>
      </c>
      <c r="CE397" s="75">
        <f t="shared" si="34"/>
        <v>8746</v>
      </c>
      <c r="CF397" s="3" t="str">
        <f t="shared" si="34"/>
        <v>خ ت طب</v>
      </c>
    </row>
    <row r="398" spans="3:84" ht="18.75" x14ac:dyDescent="0.25">
      <c r="C398" s="82">
        <v>13966</v>
      </c>
      <c r="D398" s="70">
        <v>8747</v>
      </c>
      <c r="E398" s="71" t="s">
        <v>130</v>
      </c>
      <c r="F398" s="69" t="s">
        <v>1328</v>
      </c>
      <c r="H398" s="69">
        <v>164.15</v>
      </c>
      <c r="U398" s="69"/>
      <c r="V398" s="69"/>
      <c r="AR398" s="74">
        <f t="shared" si="32"/>
        <v>164.15</v>
      </c>
      <c r="AS398" s="69">
        <v>99.92</v>
      </c>
      <c r="AT398" s="69">
        <v>17.68</v>
      </c>
      <c r="AU398" s="69">
        <v>39.549999999999997</v>
      </c>
      <c r="AV398" s="69">
        <v>7</v>
      </c>
      <c r="BC398" s="69"/>
      <c r="BD398" s="69"/>
      <c r="CC398" s="74">
        <f t="shared" si="35"/>
        <v>164.14999999999998</v>
      </c>
      <c r="CD398" s="73">
        <f t="shared" si="33"/>
        <v>0</v>
      </c>
      <c r="CE398" s="75">
        <f t="shared" si="34"/>
        <v>8747</v>
      </c>
      <c r="CF398" s="3" t="str">
        <f t="shared" si="34"/>
        <v>خ ت طب</v>
      </c>
    </row>
    <row r="399" spans="3:84" ht="18.75" x14ac:dyDescent="0.25">
      <c r="C399" s="82">
        <v>13965</v>
      </c>
      <c r="D399" s="70">
        <v>8748</v>
      </c>
      <c r="E399" s="71" t="s">
        <v>130</v>
      </c>
      <c r="F399" s="69" t="s">
        <v>1329</v>
      </c>
      <c r="H399" s="69">
        <v>87.94</v>
      </c>
      <c r="U399" s="69"/>
      <c r="V399" s="69"/>
      <c r="AR399" s="74">
        <f t="shared" si="32"/>
        <v>87.94</v>
      </c>
      <c r="AS399" s="69">
        <v>53.46</v>
      </c>
      <c r="AT399" s="69">
        <v>9.5399999999999991</v>
      </c>
      <c r="AU399" s="69">
        <v>21.19</v>
      </c>
      <c r="AV399" s="69">
        <v>3.75</v>
      </c>
      <c r="BC399" s="69"/>
      <c r="BD399" s="69"/>
      <c r="CC399" s="74">
        <f t="shared" si="35"/>
        <v>87.94</v>
      </c>
      <c r="CD399" s="73">
        <f t="shared" si="33"/>
        <v>0</v>
      </c>
      <c r="CE399" s="75">
        <f t="shared" si="34"/>
        <v>8748</v>
      </c>
      <c r="CF399" s="3" t="str">
        <f t="shared" si="34"/>
        <v>خ ت طب</v>
      </c>
    </row>
    <row r="400" spans="3:84" ht="18.75" x14ac:dyDescent="0.25">
      <c r="C400" s="82">
        <v>13964</v>
      </c>
      <c r="D400" s="70">
        <v>8749</v>
      </c>
      <c r="E400" s="71" t="s">
        <v>130</v>
      </c>
      <c r="F400" s="69" t="s">
        <v>1330</v>
      </c>
      <c r="H400" s="69">
        <v>311.12</v>
      </c>
      <c r="U400" s="69"/>
      <c r="V400" s="69"/>
      <c r="AR400" s="74">
        <f t="shared" si="32"/>
        <v>311.12</v>
      </c>
      <c r="AS400" s="69">
        <v>191.91</v>
      </c>
      <c r="AT400" s="69">
        <v>30.98</v>
      </c>
      <c r="AU400" s="69">
        <v>74.95</v>
      </c>
      <c r="AV400" s="69">
        <v>13.28</v>
      </c>
      <c r="BC400" s="69"/>
      <c r="BD400" s="69"/>
      <c r="CC400" s="74">
        <f t="shared" si="35"/>
        <v>311.11999999999995</v>
      </c>
      <c r="CD400" s="73">
        <f t="shared" si="33"/>
        <v>0</v>
      </c>
      <c r="CE400" s="75">
        <f t="shared" si="34"/>
        <v>8749</v>
      </c>
      <c r="CF400" s="3" t="str">
        <f t="shared" si="34"/>
        <v>خ ت طب</v>
      </c>
    </row>
    <row r="401" spans="3:84" ht="18.75" x14ac:dyDescent="0.25">
      <c r="C401" s="82">
        <v>13963</v>
      </c>
      <c r="D401" s="70">
        <v>8750</v>
      </c>
      <c r="E401" s="71" t="s">
        <v>130</v>
      </c>
      <c r="F401" s="69" t="s">
        <v>1331</v>
      </c>
      <c r="H401" s="69">
        <v>175.88</v>
      </c>
      <c r="U401" s="69"/>
      <c r="V401" s="69"/>
      <c r="AR401" s="74">
        <f t="shared" si="32"/>
        <v>175.88</v>
      </c>
      <c r="AS401" s="69">
        <v>112.95</v>
      </c>
      <c r="AT401" s="69">
        <v>13.05</v>
      </c>
      <c r="AU401" s="69">
        <v>42.38</v>
      </c>
      <c r="AV401" s="69">
        <v>7.5</v>
      </c>
      <c r="BC401" s="69"/>
      <c r="BD401" s="69"/>
      <c r="CC401" s="74">
        <f t="shared" si="35"/>
        <v>175.88</v>
      </c>
      <c r="CD401" s="73">
        <f t="shared" si="33"/>
        <v>0</v>
      </c>
      <c r="CE401" s="75">
        <f t="shared" si="34"/>
        <v>8750</v>
      </c>
      <c r="CF401" s="3" t="str">
        <f t="shared" si="34"/>
        <v>خ ت طب</v>
      </c>
    </row>
    <row r="402" spans="3:84" ht="18.75" x14ac:dyDescent="0.25">
      <c r="C402" s="82">
        <v>13962</v>
      </c>
      <c r="D402" s="70">
        <v>8751</v>
      </c>
      <c r="E402" s="71" t="s">
        <v>130</v>
      </c>
      <c r="F402" s="69" t="s">
        <v>1332</v>
      </c>
      <c r="H402" s="69">
        <v>339.28</v>
      </c>
      <c r="U402" s="69"/>
      <c r="V402" s="69"/>
      <c r="AR402" s="74">
        <f t="shared" si="32"/>
        <v>339.28</v>
      </c>
      <c r="AS402" s="69">
        <v>215.82</v>
      </c>
      <c r="AT402" s="69">
        <v>23.98</v>
      </c>
      <c r="AU402" s="69">
        <v>85.12</v>
      </c>
      <c r="AV402" s="69">
        <v>14.36</v>
      </c>
      <c r="BC402" s="69"/>
      <c r="BD402" s="69"/>
      <c r="CC402" s="74">
        <f t="shared" si="35"/>
        <v>339.28</v>
      </c>
      <c r="CD402" s="73">
        <f t="shared" si="33"/>
        <v>0</v>
      </c>
      <c r="CE402" s="75">
        <f t="shared" si="34"/>
        <v>8751</v>
      </c>
      <c r="CF402" s="3" t="str">
        <f t="shared" si="34"/>
        <v>خ ت طب</v>
      </c>
    </row>
    <row r="403" spans="3:84" ht="18.75" x14ac:dyDescent="0.25">
      <c r="C403" s="82">
        <v>13961</v>
      </c>
      <c r="D403" s="70">
        <v>8752</v>
      </c>
      <c r="E403" s="71" t="s">
        <v>130</v>
      </c>
      <c r="F403" s="69" t="s">
        <v>1333</v>
      </c>
      <c r="H403" s="69">
        <v>158.29</v>
      </c>
      <c r="U403" s="69"/>
      <c r="V403" s="69"/>
      <c r="AR403" s="74">
        <f t="shared" si="32"/>
        <v>158.29</v>
      </c>
      <c r="AS403" s="69">
        <v>93.12</v>
      </c>
      <c r="AT403" s="69">
        <v>20.28</v>
      </c>
      <c r="AU403" s="69">
        <v>38.14</v>
      </c>
      <c r="AV403" s="69">
        <v>6.75</v>
      </c>
      <c r="BC403" s="69"/>
      <c r="BD403" s="69"/>
      <c r="CC403" s="74">
        <f t="shared" si="35"/>
        <v>158.29000000000002</v>
      </c>
      <c r="CD403" s="73">
        <f t="shared" si="33"/>
        <v>0</v>
      </c>
      <c r="CE403" s="75">
        <f t="shared" si="34"/>
        <v>8752</v>
      </c>
      <c r="CF403" s="3" t="str">
        <f t="shared" si="34"/>
        <v>خ ت طب</v>
      </c>
    </row>
    <row r="404" spans="3:84" ht="18.75" x14ac:dyDescent="0.25">
      <c r="C404" s="82">
        <v>13960</v>
      </c>
      <c r="D404" s="70">
        <v>8753</v>
      </c>
      <c r="E404" s="71" t="s">
        <v>130</v>
      </c>
      <c r="F404" s="69" t="s">
        <v>1334</v>
      </c>
      <c r="H404" s="69">
        <v>515.91</v>
      </c>
      <c r="U404" s="69"/>
      <c r="V404" s="69"/>
      <c r="AR404" s="74">
        <f t="shared" si="32"/>
        <v>515.91</v>
      </c>
      <c r="AS404" s="69">
        <v>316.49</v>
      </c>
      <c r="AT404" s="69">
        <v>53.11</v>
      </c>
      <c r="AU404" s="69">
        <v>124.31</v>
      </c>
      <c r="AV404" s="69">
        <v>22</v>
      </c>
      <c r="BC404" s="69"/>
      <c r="BD404" s="69"/>
      <c r="CC404" s="74">
        <f t="shared" si="35"/>
        <v>515.91000000000008</v>
      </c>
      <c r="CD404" s="73">
        <f t="shared" si="33"/>
        <v>0</v>
      </c>
      <c r="CE404" s="75">
        <f t="shared" si="34"/>
        <v>8753</v>
      </c>
      <c r="CF404" s="3" t="str">
        <f t="shared" si="34"/>
        <v>خ ت طب</v>
      </c>
    </row>
    <row r="405" spans="3:84" ht="18.75" x14ac:dyDescent="0.25">
      <c r="C405" s="82">
        <v>13959</v>
      </c>
      <c r="D405" s="70">
        <v>8754</v>
      </c>
      <c r="E405" s="71" t="s">
        <v>130</v>
      </c>
      <c r="F405" s="69" t="str">
        <f>+F404</f>
        <v>م قسم دراسات عليا</v>
      </c>
      <c r="H405" s="69">
        <v>689.5</v>
      </c>
      <c r="U405" s="69"/>
      <c r="V405" s="69"/>
      <c r="AR405" s="74">
        <f t="shared" si="32"/>
        <v>689.5</v>
      </c>
      <c r="AS405" s="69">
        <v>441.63</v>
      </c>
      <c r="AT405" s="69">
        <v>49.07</v>
      </c>
      <c r="AU405" s="69">
        <v>169.5</v>
      </c>
      <c r="AV405" s="69">
        <v>29.3</v>
      </c>
      <c r="BC405" s="69"/>
      <c r="BD405" s="69"/>
      <c r="CC405" s="74">
        <f t="shared" si="35"/>
        <v>689.5</v>
      </c>
      <c r="CD405" s="73">
        <f t="shared" si="33"/>
        <v>0</v>
      </c>
      <c r="CE405" s="75">
        <f t="shared" si="34"/>
        <v>8754</v>
      </c>
      <c r="CF405" s="3" t="str">
        <f t="shared" si="34"/>
        <v>خ ت طب</v>
      </c>
    </row>
    <row r="406" spans="3:84" ht="18.75" x14ac:dyDescent="0.25">
      <c r="C406" s="82">
        <v>13957</v>
      </c>
      <c r="D406" s="70">
        <v>8755</v>
      </c>
      <c r="E406" s="71" t="s">
        <v>130</v>
      </c>
      <c r="F406" s="69" t="s">
        <v>1335</v>
      </c>
      <c r="H406" s="69">
        <v>820.68</v>
      </c>
      <c r="U406" s="69"/>
      <c r="V406" s="69"/>
      <c r="AR406" s="74">
        <f t="shared" si="32"/>
        <v>820.68</v>
      </c>
      <c r="AS406" s="69">
        <v>497.7</v>
      </c>
      <c r="AT406" s="69">
        <v>90.3</v>
      </c>
      <c r="AU406" s="69">
        <v>197.68</v>
      </c>
      <c r="AV406" s="69">
        <v>35</v>
      </c>
      <c r="BC406" s="69"/>
      <c r="BD406" s="69"/>
      <c r="CC406" s="74">
        <f t="shared" si="35"/>
        <v>820.68000000000006</v>
      </c>
      <c r="CD406" s="73">
        <f t="shared" si="33"/>
        <v>0</v>
      </c>
      <c r="CE406" s="75">
        <f t="shared" si="34"/>
        <v>8755</v>
      </c>
      <c r="CF406" s="3" t="str">
        <f t="shared" si="34"/>
        <v>خ ت طب</v>
      </c>
    </row>
    <row r="407" spans="3:84" ht="18.75" x14ac:dyDescent="0.25">
      <c r="C407" s="82">
        <v>13956</v>
      </c>
      <c r="D407" s="70">
        <v>8756</v>
      </c>
      <c r="E407" s="71" t="s">
        <v>130</v>
      </c>
      <c r="F407" s="69" t="s">
        <v>1336</v>
      </c>
      <c r="H407" s="69">
        <v>58.62</v>
      </c>
      <c r="U407" s="69"/>
      <c r="V407" s="69"/>
      <c r="AR407" s="74">
        <f t="shared" si="32"/>
        <v>58.62</v>
      </c>
      <c r="AS407" s="69">
        <v>35.700000000000003</v>
      </c>
      <c r="AT407" s="69">
        <v>6.3</v>
      </c>
      <c r="AU407" s="69">
        <v>14.12</v>
      </c>
      <c r="AV407" s="69">
        <v>2.5</v>
      </c>
      <c r="BC407" s="69"/>
      <c r="BD407" s="69"/>
      <c r="CC407" s="74">
        <f t="shared" si="35"/>
        <v>58.62</v>
      </c>
      <c r="CD407" s="73">
        <f t="shared" si="33"/>
        <v>0</v>
      </c>
      <c r="CE407" s="75">
        <f t="shared" si="34"/>
        <v>8756</v>
      </c>
      <c r="CF407" s="3" t="str">
        <f t="shared" si="34"/>
        <v>خ ت طب</v>
      </c>
    </row>
    <row r="408" spans="3:84" ht="18.75" x14ac:dyDescent="0.25">
      <c r="C408" s="82">
        <v>13955</v>
      </c>
      <c r="D408" s="70">
        <v>8757</v>
      </c>
      <c r="E408" s="71" t="s">
        <v>130</v>
      </c>
      <c r="F408" s="69" t="str">
        <f>+F406</f>
        <v>م رؤوساء اقسام</v>
      </c>
      <c r="H408" s="69">
        <v>175.86</v>
      </c>
      <c r="U408" s="69"/>
      <c r="V408" s="69"/>
      <c r="AR408" s="74">
        <f t="shared" si="32"/>
        <v>175.86</v>
      </c>
      <c r="AS408" s="69">
        <v>113.4</v>
      </c>
      <c r="AT408" s="69">
        <v>12.6</v>
      </c>
      <c r="AU408" s="69">
        <v>42.36</v>
      </c>
      <c r="AV408" s="69">
        <v>7.5</v>
      </c>
      <c r="BC408" s="69"/>
      <c r="BD408" s="69"/>
      <c r="CC408" s="74">
        <f t="shared" si="35"/>
        <v>175.86</v>
      </c>
      <c r="CD408" s="73">
        <f t="shared" si="33"/>
        <v>0</v>
      </c>
      <c r="CE408" s="75">
        <f t="shared" si="34"/>
        <v>8757</v>
      </c>
      <c r="CF408" s="3" t="str">
        <f t="shared" si="34"/>
        <v>خ ت طب</v>
      </c>
    </row>
    <row r="409" spans="3:84" ht="18.75" x14ac:dyDescent="0.25">
      <c r="C409" s="82">
        <v>13954</v>
      </c>
      <c r="D409" s="70">
        <v>8758</v>
      </c>
      <c r="E409" s="71" t="s">
        <v>130</v>
      </c>
      <c r="F409" s="69" t="s">
        <v>1337</v>
      </c>
      <c r="H409" s="69">
        <v>140.69999999999999</v>
      </c>
      <c r="U409" s="69"/>
      <c r="V409" s="69"/>
      <c r="AR409" s="74">
        <f t="shared" si="32"/>
        <v>140.69999999999999</v>
      </c>
      <c r="AS409" s="69">
        <v>87.36</v>
      </c>
      <c r="AT409" s="69">
        <v>13.44</v>
      </c>
      <c r="AU409" s="69">
        <v>33.9</v>
      </c>
      <c r="AV409" s="69">
        <v>6</v>
      </c>
      <c r="BC409" s="69"/>
      <c r="BD409" s="69"/>
      <c r="CC409" s="74">
        <f t="shared" si="35"/>
        <v>140.69999999999999</v>
      </c>
      <c r="CD409" s="73">
        <f t="shared" si="33"/>
        <v>0</v>
      </c>
      <c r="CE409" s="75">
        <f t="shared" si="34"/>
        <v>8758</v>
      </c>
      <c r="CF409" s="3" t="str">
        <f t="shared" si="34"/>
        <v>خ ت طب</v>
      </c>
    </row>
    <row r="410" spans="3:84" ht="18.75" x14ac:dyDescent="0.25">
      <c r="C410" s="82">
        <v>13953</v>
      </c>
      <c r="D410" s="70">
        <v>8759</v>
      </c>
      <c r="E410" s="71" t="s">
        <v>130</v>
      </c>
      <c r="F410" s="69" t="s">
        <v>1338</v>
      </c>
      <c r="H410" s="69">
        <v>328.3</v>
      </c>
      <c r="U410" s="69"/>
      <c r="V410" s="69"/>
      <c r="AR410" s="74">
        <f t="shared" si="32"/>
        <v>328.3</v>
      </c>
      <c r="AS410" s="69">
        <v>211.68</v>
      </c>
      <c r="AT410" s="69">
        <v>23.52</v>
      </c>
      <c r="AU410" s="69">
        <v>79.099999999999994</v>
      </c>
      <c r="AV410" s="69">
        <v>14</v>
      </c>
      <c r="BC410" s="69"/>
      <c r="BD410" s="69"/>
      <c r="CC410" s="74">
        <f t="shared" si="35"/>
        <v>328.3</v>
      </c>
      <c r="CD410" s="73">
        <f t="shared" si="33"/>
        <v>0</v>
      </c>
      <c r="CE410" s="75">
        <f t="shared" si="34"/>
        <v>8759</v>
      </c>
      <c r="CF410" s="3" t="str">
        <f t="shared" si="34"/>
        <v>خ ت طب</v>
      </c>
    </row>
    <row r="411" spans="3:84" ht="18.75" x14ac:dyDescent="0.25">
      <c r="C411" s="82">
        <v>13952</v>
      </c>
      <c r="D411" s="70">
        <v>8760</v>
      </c>
      <c r="E411" s="71" t="s">
        <v>130</v>
      </c>
      <c r="F411" s="69" t="s">
        <v>1338</v>
      </c>
      <c r="H411" s="69">
        <v>134.84</v>
      </c>
      <c r="U411" s="69"/>
      <c r="V411" s="69"/>
      <c r="AR411" s="74">
        <f t="shared" si="32"/>
        <v>134.84</v>
      </c>
      <c r="AS411" s="69">
        <v>83.7</v>
      </c>
      <c r="AT411" s="69">
        <v>12.9</v>
      </c>
      <c r="AU411" s="69">
        <v>32.49</v>
      </c>
      <c r="AV411" s="69">
        <v>5.75</v>
      </c>
      <c r="BC411" s="69"/>
      <c r="BD411" s="69"/>
      <c r="CC411" s="74">
        <f t="shared" si="35"/>
        <v>134.84</v>
      </c>
      <c r="CD411" s="73">
        <f t="shared" si="33"/>
        <v>0</v>
      </c>
      <c r="CE411" s="75">
        <f t="shared" si="34"/>
        <v>8760</v>
      </c>
      <c r="CF411" s="3" t="str">
        <f t="shared" si="34"/>
        <v>خ ت طب</v>
      </c>
    </row>
    <row r="412" spans="3:84" ht="18.75" x14ac:dyDescent="0.25">
      <c r="C412" s="82">
        <v>13951</v>
      </c>
      <c r="D412" s="70">
        <v>8761</v>
      </c>
      <c r="E412" s="71" t="s">
        <v>130</v>
      </c>
      <c r="F412" s="69" t="s">
        <v>1339</v>
      </c>
      <c r="H412" s="69">
        <v>515.9</v>
      </c>
      <c r="U412" s="69"/>
      <c r="V412" s="69"/>
      <c r="AR412" s="74">
        <f t="shared" si="32"/>
        <v>515.9</v>
      </c>
      <c r="AS412" s="69">
        <v>332.64</v>
      </c>
      <c r="AT412" s="69">
        <v>36.96</v>
      </c>
      <c r="AU412" s="69">
        <v>124.3</v>
      </c>
      <c r="AV412" s="69">
        <v>22</v>
      </c>
      <c r="BC412" s="69"/>
      <c r="BD412" s="69"/>
      <c r="CC412" s="74">
        <f t="shared" si="35"/>
        <v>515.9</v>
      </c>
      <c r="CD412" s="73">
        <f t="shared" si="33"/>
        <v>0</v>
      </c>
      <c r="CE412" s="75">
        <f t="shared" si="34"/>
        <v>8761</v>
      </c>
      <c r="CF412" s="3" t="str">
        <f t="shared" si="34"/>
        <v>خ ت طب</v>
      </c>
    </row>
    <row r="413" spans="3:84" ht="18.75" x14ac:dyDescent="0.25">
      <c r="C413" s="82">
        <v>14747</v>
      </c>
      <c r="D413" s="70">
        <v>8762</v>
      </c>
      <c r="E413" s="71" t="s">
        <v>121</v>
      </c>
      <c r="F413" s="69" t="s">
        <v>1340</v>
      </c>
      <c r="H413" s="69">
        <v>1500</v>
      </c>
      <c r="U413" s="69"/>
      <c r="V413" s="69"/>
      <c r="AR413" s="74">
        <f t="shared" si="32"/>
        <v>1500</v>
      </c>
      <c r="AS413" s="69">
        <v>1339.1</v>
      </c>
      <c r="AT413" s="69">
        <v>160.9</v>
      </c>
      <c r="BC413" s="69"/>
      <c r="BD413" s="69"/>
      <c r="CC413" s="74">
        <f t="shared" si="35"/>
        <v>1500</v>
      </c>
      <c r="CD413" s="73">
        <f t="shared" si="33"/>
        <v>0</v>
      </c>
      <c r="CE413" s="75">
        <f t="shared" si="34"/>
        <v>8762</v>
      </c>
      <c r="CF413" s="3" t="str">
        <f t="shared" si="34"/>
        <v>ماليزى اسنان</v>
      </c>
    </row>
    <row r="414" spans="3:84" ht="18.75" x14ac:dyDescent="0.25">
      <c r="C414" s="82">
        <v>13948</v>
      </c>
      <c r="D414" s="70">
        <v>8763</v>
      </c>
      <c r="E414" s="71" t="s">
        <v>130</v>
      </c>
      <c r="F414" s="69" t="s">
        <v>1341</v>
      </c>
      <c r="H414" s="69">
        <v>357.62</v>
      </c>
      <c r="U414" s="69"/>
      <c r="V414" s="69"/>
      <c r="AR414" s="74">
        <f t="shared" si="32"/>
        <v>357.62</v>
      </c>
      <c r="AS414" s="69">
        <v>224.01</v>
      </c>
      <c r="AT414" s="69">
        <v>32.19</v>
      </c>
      <c r="AU414" s="69">
        <v>86.17</v>
      </c>
      <c r="AV414" s="69">
        <v>15.25</v>
      </c>
      <c r="BC414" s="69"/>
      <c r="BD414" s="69"/>
      <c r="CC414" s="74">
        <f t="shared" si="35"/>
        <v>357.62</v>
      </c>
      <c r="CD414" s="73">
        <f t="shared" si="33"/>
        <v>0</v>
      </c>
      <c r="CE414" s="75">
        <f t="shared" si="34"/>
        <v>8763</v>
      </c>
      <c r="CF414" s="3" t="str">
        <f t="shared" si="34"/>
        <v>خ ت طب</v>
      </c>
    </row>
    <row r="415" spans="3:84" ht="18.75" x14ac:dyDescent="0.25">
      <c r="C415" s="82">
        <v>13947</v>
      </c>
      <c r="D415" s="70">
        <v>8764</v>
      </c>
      <c r="E415" s="71" t="s">
        <v>130</v>
      </c>
      <c r="F415" s="69" t="s">
        <v>1341</v>
      </c>
      <c r="H415" s="69">
        <v>515.9</v>
      </c>
      <c r="U415" s="69"/>
      <c r="V415" s="69"/>
      <c r="AR415" s="74">
        <f t="shared" si="32"/>
        <v>515.9</v>
      </c>
      <c r="AS415" s="69">
        <v>332.64</v>
      </c>
      <c r="AT415" s="69">
        <v>36.96</v>
      </c>
      <c r="AU415" s="69">
        <v>124.3</v>
      </c>
      <c r="AV415" s="69">
        <v>22</v>
      </c>
      <c r="BC415" s="69"/>
      <c r="BD415" s="69"/>
      <c r="CC415" s="74">
        <f t="shared" si="35"/>
        <v>515.9</v>
      </c>
      <c r="CD415" s="73">
        <f t="shared" si="33"/>
        <v>0</v>
      </c>
      <c r="CE415" s="75">
        <f t="shared" si="34"/>
        <v>8764</v>
      </c>
      <c r="CF415" s="3" t="str">
        <f t="shared" si="34"/>
        <v>خ ت طب</v>
      </c>
    </row>
    <row r="416" spans="3:84" ht="18.75" x14ac:dyDescent="0.25">
      <c r="C416" s="82">
        <v>13946</v>
      </c>
      <c r="D416" s="70">
        <v>8765</v>
      </c>
      <c r="E416" s="71" t="s">
        <v>130</v>
      </c>
      <c r="F416" s="69" t="s">
        <v>1342</v>
      </c>
      <c r="H416" s="69">
        <v>140.69999999999999</v>
      </c>
      <c r="U416" s="69"/>
      <c r="V416" s="69"/>
      <c r="AR416" s="74">
        <f t="shared" si="32"/>
        <v>140.69999999999999</v>
      </c>
      <c r="AS416" s="69">
        <v>90.72</v>
      </c>
      <c r="AT416" s="69">
        <v>10.08</v>
      </c>
      <c r="AU416" s="69">
        <v>33.9</v>
      </c>
      <c r="AV416" s="69">
        <v>6</v>
      </c>
      <c r="BC416" s="69"/>
      <c r="BD416" s="69"/>
      <c r="CC416" s="74">
        <f t="shared" si="35"/>
        <v>140.69999999999999</v>
      </c>
      <c r="CD416" s="73">
        <f t="shared" si="33"/>
        <v>0</v>
      </c>
      <c r="CE416" s="75">
        <f t="shared" si="34"/>
        <v>8765</v>
      </c>
      <c r="CF416" s="3" t="str">
        <f t="shared" si="34"/>
        <v>خ ت طب</v>
      </c>
    </row>
    <row r="417" spans="2:84" ht="18.75" x14ac:dyDescent="0.25">
      <c r="C417" s="82">
        <v>13945</v>
      </c>
      <c r="D417" s="70">
        <v>8766</v>
      </c>
      <c r="E417" s="71" t="s">
        <v>130</v>
      </c>
      <c r="F417" s="69" t="s">
        <v>1342</v>
      </c>
      <c r="H417" s="69">
        <v>187.6</v>
      </c>
      <c r="U417" s="69"/>
      <c r="V417" s="69"/>
      <c r="AR417" s="74">
        <f t="shared" si="32"/>
        <v>187.6</v>
      </c>
      <c r="AS417" s="69">
        <v>120.96</v>
      </c>
      <c r="AT417" s="69">
        <v>13.44</v>
      </c>
      <c r="AU417" s="69">
        <v>45.2</v>
      </c>
      <c r="AV417" s="69">
        <v>8</v>
      </c>
      <c r="BC417" s="69"/>
      <c r="BD417" s="69"/>
      <c r="CC417" s="74">
        <f t="shared" si="35"/>
        <v>187.60000000000002</v>
      </c>
      <c r="CD417" s="73">
        <f t="shared" si="33"/>
        <v>0</v>
      </c>
      <c r="CE417" s="75">
        <f t="shared" si="34"/>
        <v>8766</v>
      </c>
      <c r="CF417" s="3" t="str">
        <f t="shared" si="34"/>
        <v>خ ت طب</v>
      </c>
    </row>
    <row r="418" spans="2:84" ht="18.75" x14ac:dyDescent="0.25">
      <c r="C418" s="82">
        <v>13944</v>
      </c>
      <c r="D418" s="70">
        <v>8767</v>
      </c>
      <c r="E418" s="71" t="s">
        <v>130</v>
      </c>
      <c r="F418" s="69" t="s">
        <v>1343</v>
      </c>
      <c r="H418" s="69">
        <v>211.05</v>
      </c>
      <c r="U418" s="69"/>
      <c r="V418" s="69"/>
      <c r="AR418" s="74">
        <f t="shared" si="32"/>
        <v>211.05</v>
      </c>
      <c r="AS418" s="69">
        <v>130.16</v>
      </c>
      <c r="AT418" s="69">
        <v>21.04</v>
      </c>
      <c r="AU418" s="69">
        <v>50.85</v>
      </c>
      <c r="AV418" s="69">
        <v>9</v>
      </c>
      <c r="BC418" s="69"/>
      <c r="BD418" s="69"/>
      <c r="CC418" s="74">
        <f t="shared" si="35"/>
        <v>211.04999999999998</v>
      </c>
      <c r="CD418" s="73">
        <f t="shared" si="33"/>
        <v>0</v>
      </c>
      <c r="CE418" s="75">
        <f t="shared" si="34"/>
        <v>8767</v>
      </c>
      <c r="CF418" s="3" t="str">
        <f t="shared" si="34"/>
        <v>خ ت طب</v>
      </c>
    </row>
    <row r="419" spans="2:84" ht="18.75" x14ac:dyDescent="0.25">
      <c r="C419" s="82">
        <v>13943</v>
      </c>
      <c r="D419" s="70">
        <v>8768</v>
      </c>
      <c r="E419" s="71" t="s">
        <v>130</v>
      </c>
      <c r="F419" s="69" t="s">
        <v>1343</v>
      </c>
      <c r="H419" s="69">
        <v>46.9</v>
      </c>
      <c r="U419" s="69"/>
      <c r="V419" s="69"/>
      <c r="AR419" s="74">
        <f t="shared" si="32"/>
        <v>46.9</v>
      </c>
      <c r="AS419" s="69">
        <v>30.24</v>
      </c>
      <c r="AT419" s="69">
        <v>3.36</v>
      </c>
      <c r="AU419" s="69">
        <v>11.3</v>
      </c>
      <c r="AV419" s="69">
        <v>2</v>
      </c>
      <c r="BC419" s="69"/>
      <c r="BD419" s="69"/>
      <c r="CC419" s="74">
        <f t="shared" si="35"/>
        <v>46.900000000000006</v>
      </c>
      <c r="CD419" s="73">
        <f t="shared" si="33"/>
        <v>0</v>
      </c>
      <c r="CE419" s="75">
        <f t="shared" si="34"/>
        <v>8768</v>
      </c>
      <c r="CF419" s="3" t="str">
        <f t="shared" si="34"/>
        <v>خ ت طب</v>
      </c>
    </row>
    <row r="420" spans="2:84" ht="18.75" x14ac:dyDescent="0.25">
      <c r="C420" s="82">
        <v>13942</v>
      </c>
      <c r="D420" s="70">
        <v>8769</v>
      </c>
      <c r="E420" s="71" t="s">
        <v>130</v>
      </c>
      <c r="F420" s="69" t="s">
        <v>1344</v>
      </c>
      <c r="H420" s="69">
        <v>1150.53</v>
      </c>
      <c r="U420" s="69"/>
      <c r="V420" s="69"/>
      <c r="AR420" s="74">
        <f t="shared" si="32"/>
        <v>1150.53</v>
      </c>
      <c r="AS420" s="69">
        <v>708.94</v>
      </c>
      <c r="AT420" s="69">
        <v>115.33</v>
      </c>
      <c r="AU420" s="69">
        <v>277.19</v>
      </c>
      <c r="AV420" s="69">
        <v>49.07</v>
      </c>
      <c r="BC420" s="69"/>
      <c r="BD420" s="69"/>
      <c r="CC420" s="74">
        <f t="shared" si="35"/>
        <v>1150.53</v>
      </c>
      <c r="CD420" s="73">
        <f t="shared" si="33"/>
        <v>0</v>
      </c>
      <c r="CE420" s="75">
        <f t="shared" si="34"/>
        <v>8769</v>
      </c>
      <c r="CF420" s="3" t="str">
        <f t="shared" si="34"/>
        <v>خ ت طب</v>
      </c>
    </row>
    <row r="421" spans="2:84" ht="18.75" x14ac:dyDescent="0.25">
      <c r="C421" s="82">
        <v>13941</v>
      </c>
      <c r="D421" s="70">
        <v>8770</v>
      </c>
      <c r="E421" s="71" t="s">
        <v>130</v>
      </c>
      <c r="F421" s="69" t="s">
        <v>1344</v>
      </c>
      <c r="H421" s="69">
        <v>546.73</v>
      </c>
      <c r="U421" s="69"/>
      <c r="V421" s="69"/>
      <c r="AR421" s="74">
        <f t="shared" si="32"/>
        <v>546.73</v>
      </c>
      <c r="AS421" s="69">
        <v>351.62</v>
      </c>
      <c r="AT421" s="69">
        <v>40.07</v>
      </c>
      <c r="AU421" s="69">
        <v>131.72999999999999</v>
      </c>
      <c r="AV421" s="69">
        <v>23.31</v>
      </c>
      <c r="BC421" s="69"/>
      <c r="BD421" s="69"/>
      <c r="CC421" s="74">
        <f t="shared" si="35"/>
        <v>546.7299999999999</v>
      </c>
      <c r="CD421" s="73">
        <f t="shared" si="33"/>
        <v>0</v>
      </c>
      <c r="CE421" s="75">
        <f t="shared" si="34"/>
        <v>8770</v>
      </c>
      <c r="CF421" s="3" t="str">
        <f t="shared" si="34"/>
        <v>خ ت طب</v>
      </c>
    </row>
    <row r="422" spans="2:84" ht="18.75" x14ac:dyDescent="0.25">
      <c r="C422" s="82">
        <v>13940</v>
      </c>
      <c r="D422" s="70">
        <v>8771</v>
      </c>
      <c r="E422" s="71" t="s">
        <v>130</v>
      </c>
      <c r="F422" s="69" t="s">
        <v>1345</v>
      </c>
      <c r="H422" s="69">
        <v>187.6</v>
      </c>
      <c r="U422" s="69"/>
      <c r="V422" s="69"/>
      <c r="AR422" s="74">
        <f t="shared" si="32"/>
        <v>187.6</v>
      </c>
      <c r="AS422" s="69">
        <v>124.27</v>
      </c>
      <c r="AT422" s="69">
        <v>10.130000000000001</v>
      </c>
      <c r="AU422" s="69">
        <v>45.2</v>
      </c>
      <c r="AV422" s="69">
        <v>8</v>
      </c>
      <c r="BC422" s="69"/>
      <c r="BD422" s="69"/>
      <c r="CC422" s="74">
        <f t="shared" si="35"/>
        <v>187.60000000000002</v>
      </c>
      <c r="CD422" s="73">
        <f t="shared" si="33"/>
        <v>0</v>
      </c>
      <c r="CE422" s="75">
        <f t="shared" si="34"/>
        <v>8771</v>
      </c>
      <c r="CF422" s="3" t="str">
        <f t="shared" si="34"/>
        <v>خ ت طب</v>
      </c>
    </row>
    <row r="423" spans="2:84" ht="18.75" x14ac:dyDescent="0.25">
      <c r="C423" s="82">
        <v>13939</v>
      </c>
      <c r="D423" s="70">
        <v>8772</v>
      </c>
      <c r="E423" s="71" t="s">
        <v>171</v>
      </c>
      <c r="F423" s="69" t="s">
        <v>1346</v>
      </c>
      <c r="H423" s="69">
        <v>1500</v>
      </c>
      <c r="U423" s="69"/>
      <c r="V423" s="69"/>
      <c r="AR423" s="74">
        <f t="shared" si="32"/>
        <v>1500</v>
      </c>
      <c r="AS423" s="69">
        <v>1131.28</v>
      </c>
      <c r="AT423" s="69">
        <v>293.72000000000003</v>
      </c>
      <c r="AV423" s="69">
        <v>75</v>
      </c>
      <c r="BC423" s="69"/>
      <c r="BD423" s="69"/>
      <c r="CC423" s="74">
        <f t="shared" si="35"/>
        <v>1500</v>
      </c>
      <c r="CD423" s="73">
        <f t="shared" si="33"/>
        <v>0</v>
      </c>
      <c r="CE423" s="75">
        <f t="shared" si="34"/>
        <v>8772</v>
      </c>
      <c r="CF423" s="3" t="str">
        <f t="shared" si="34"/>
        <v>تحاليل طبية</v>
      </c>
    </row>
    <row r="424" spans="2:84" ht="18.75" x14ac:dyDescent="0.25">
      <c r="C424" s="82">
        <v>14743</v>
      </c>
      <c r="D424" s="70">
        <v>8773</v>
      </c>
      <c r="E424" s="71" t="s">
        <v>121</v>
      </c>
      <c r="F424" s="69" t="s">
        <v>1347</v>
      </c>
      <c r="H424" s="69">
        <v>1000</v>
      </c>
      <c r="U424" s="69"/>
      <c r="V424" s="69"/>
      <c r="AR424" s="74">
        <f t="shared" si="32"/>
        <v>1000</v>
      </c>
      <c r="AS424" s="69">
        <v>893.35</v>
      </c>
      <c r="AT424" s="69">
        <v>106.65</v>
      </c>
      <c r="BC424" s="69"/>
      <c r="BD424" s="69"/>
      <c r="CC424" s="74">
        <f t="shared" si="35"/>
        <v>1000</v>
      </c>
      <c r="CD424" s="73">
        <f t="shared" si="33"/>
        <v>0</v>
      </c>
      <c r="CE424" s="75">
        <f t="shared" si="34"/>
        <v>8773</v>
      </c>
      <c r="CF424" s="3" t="str">
        <f t="shared" si="34"/>
        <v>ماليزى اسنان</v>
      </c>
    </row>
    <row r="425" spans="2:84" ht="18.75" x14ac:dyDescent="0.25">
      <c r="B425" s="80">
        <v>45476</v>
      </c>
      <c r="C425" s="82">
        <v>6827</v>
      </c>
      <c r="D425" s="70">
        <v>8774</v>
      </c>
      <c r="E425" s="71" t="s">
        <v>220</v>
      </c>
      <c r="F425" s="69" t="s">
        <v>1348</v>
      </c>
      <c r="G425" s="63" t="s">
        <v>220</v>
      </c>
      <c r="U425" s="69"/>
      <c r="V425" s="69"/>
      <c r="AD425" s="69">
        <v>2558.52</v>
      </c>
      <c r="AR425" s="74">
        <f t="shared" si="32"/>
        <v>2558.52</v>
      </c>
      <c r="AS425" s="69">
        <v>2558.52</v>
      </c>
      <c r="AT425" s="69"/>
      <c r="BC425" s="69"/>
      <c r="BD425" s="69"/>
      <c r="CC425" s="74">
        <f t="shared" si="35"/>
        <v>2558.52</v>
      </c>
      <c r="CD425" s="73">
        <f t="shared" si="33"/>
        <v>0</v>
      </c>
      <c r="CE425" s="75">
        <f t="shared" si="34"/>
        <v>8774</v>
      </c>
      <c r="CF425" s="3" t="str">
        <f t="shared" si="34"/>
        <v>بيرول</v>
      </c>
    </row>
    <row r="426" spans="2:84" ht="18.75" x14ac:dyDescent="0.25">
      <c r="C426" s="82">
        <v>14751</v>
      </c>
      <c r="D426" s="70">
        <v>8775</v>
      </c>
      <c r="E426" s="71" t="s">
        <v>121</v>
      </c>
      <c r="F426" s="69" t="s">
        <v>1349</v>
      </c>
      <c r="H426" s="69">
        <v>1000</v>
      </c>
      <c r="U426" s="69"/>
      <c r="V426" s="69"/>
      <c r="AR426" s="74">
        <f t="shared" si="32"/>
        <v>1000</v>
      </c>
      <c r="AS426" s="69">
        <v>893.35</v>
      </c>
      <c r="AT426" s="69">
        <v>106.65</v>
      </c>
      <c r="BC426" s="69"/>
      <c r="BD426" s="69"/>
      <c r="CC426" s="74">
        <f t="shared" si="35"/>
        <v>1000</v>
      </c>
      <c r="CD426" s="73">
        <f t="shared" si="33"/>
        <v>0</v>
      </c>
      <c r="CE426" s="75">
        <f t="shared" si="34"/>
        <v>8775</v>
      </c>
      <c r="CF426" s="3" t="str">
        <f t="shared" si="34"/>
        <v>ماليزى اسنان</v>
      </c>
    </row>
    <row r="427" spans="2:84" ht="18.75" x14ac:dyDescent="0.25">
      <c r="C427" s="82">
        <v>14752</v>
      </c>
      <c r="D427" s="70">
        <v>8776</v>
      </c>
      <c r="E427" s="71" t="s">
        <v>121</v>
      </c>
      <c r="F427" s="69" t="s">
        <v>1350</v>
      </c>
      <c r="H427" s="69">
        <v>1000</v>
      </c>
      <c r="U427" s="69"/>
      <c r="V427" s="69"/>
      <c r="AR427" s="74">
        <f t="shared" si="32"/>
        <v>1000</v>
      </c>
      <c r="AS427" s="69">
        <v>893.35</v>
      </c>
      <c r="AT427" s="69">
        <v>106.65</v>
      </c>
      <c r="BC427" s="69"/>
      <c r="BD427" s="69"/>
      <c r="CC427" s="74">
        <f t="shared" si="35"/>
        <v>1000</v>
      </c>
      <c r="CD427" s="73">
        <f t="shared" si="33"/>
        <v>0</v>
      </c>
      <c r="CE427" s="75">
        <f t="shared" si="34"/>
        <v>8776</v>
      </c>
      <c r="CF427" s="3" t="str">
        <f t="shared" si="34"/>
        <v>ماليزى اسنان</v>
      </c>
    </row>
    <row r="428" spans="2:84" ht="18.75" x14ac:dyDescent="0.25">
      <c r="C428" s="82">
        <v>14794</v>
      </c>
      <c r="D428" s="70">
        <v>8777</v>
      </c>
      <c r="E428" s="71" t="s">
        <v>121</v>
      </c>
      <c r="F428" s="69" t="s">
        <v>1351</v>
      </c>
      <c r="H428" s="69">
        <v>51238.25</v>
      </c>
      <c r="U428" s="69"/>
      <c r="V428" s="69"/>
      <c r="AR428" s="74">
        <f t="shared" si="32"/>
        <v>51238.25</v>
      </c>
      <c r="AS428" s="69">
        <v>34247.1</v>
      </c>
      <c r="AT428" s="69">
        <v>4645.8999999999996</v>
      </c>
      <c r="AU428" s="69">
        <v>12345.25</v>
      </c>
      <c r="BC428" s="69"/>
      <c r="BD428" s="69"/>
      <c r="CC428" s="74">
        <f t="shared" si="35"/>
        <v>51238.25</v>
      </c>
      <c r="CD428" s="73">
        <f t="shared" si="33"/>
        <v>0</v>
      </c>
      <c r="CE428" s="75">
        <f t="shared" si="34"/>
        <v>8777</v>
      </c>
      <c r="CF428" s="3" t="str">
        <f t="shared" si="34"/>
        <v>ماليزى اسنان</v>
      </c>
    </row>
    <row r="429" spans="2:84" ht="18.75" x14ac:dyDescent="0.25">
      <c r="C429" s="82">
        <v>14799</v>
      </c>
      <c r="D429" s="70">
        <v>8778</v>
      </c>
      <c r="E429" s="71" t="s">
        <v>121</v>
      </c>
      <c r="F429" s="69" t="s">
        <v>1351</v>
      </c>
      <c r="H429" s="69">
        <v>2110.5</v>
      </c>
      <c r="U429" s="69"/>
      <c r="V429" s="69"/>
      <c r="AR429" s="74">
        <f t="shared" si="32"/>
        <v>2110.5</v>
      </c>
      <c r="AS429" s="69">
        <v>1410.35</v>
      </c>
      <c r="AT429" s="69">
        <v>191.65</v>
      </c>
      <c r="AU429" s="69">
        <v>508.5</v>
      </c>
      <c r="BC429" s="69"/>
      <c r="BD429" s="69"/>
      <c r="CC429" s="74">
        <f t="shared" si="35"/>
        <v>2110.5</v>
      </c>
      <c r="CD429" s="73">
        <f t="shared" ref="CD429:CD493" si="36">+CC429-AR429</f>
        <v>0</v>
      </c>
      <c r="CE429" s="75">
        <f t="shared" ref="CE429:CF493" si="37">+D429</f>
        <v>8778</v>
      </c>
      <c r="CF429" s="3" t="str">
        <f t="shared" si="37"/>
        <v>ماليزى اسنان</v>
      </c>
    </row>
    <row r="430" spans="2:84" ht="18.75" x14ac:dyDescent="0.25">
      <c r="C430" s="82">
        <v>14798</v>
      </c>
      <c r="D430" s="70">
        <v>8779</v>
      </c>
      <c r="E430" s="71" t="s">
        <v>121</v>
      </c>
      <c r="F430" s="69" t="s">
        <v>1352</v>
      </c>
      <c r="H430" s="69">
        <v>2110.5</v>
      </c>
      <c r="U430" s="69"/>
      <c r="V430" s="69"/>
      <c r="AR430" s="74">
        <f t="shared" si="32"/>
        <v>2110.5</v>
      </c>
      <c r="AS430" s="69">
        <v>1410.35</v>
      </c>
      <c r="AT430" s="69">
        <v>191.65</v>
      </c>
      <c r="AU430" s="69">
        <v>508.5</v>
      </c>
      <c r="BC430" s="69"/>
      <c r="BD430" s="69"/>
      <c r="CC430" s="74">
        <f t="shared" si="35"/>
        <v>2110.5</v>
      </c>
      <c r="CD430" s="73">
        <f t="shared" si="36"/>
        <v>0</v>
      </c>
      <c r="CE430" s="75">
        <f t="shared" si="37"/>
        <v>8779</v>
      </c>
      <c r="CF430" s="3" t="str">
        <f t="shared" si="37"/>
        <v>ماليزى اسنان</v>
      </c>
    </row>
    <row r="431" spans="2:84" ht="18.75" x14ac:dyDescent="0.25">
      <c r="C431" s="82">
        <v>14791</v>
      </c>
      <c r="D431" s="70">
        <v>8780</v>
      </c>
      <c r="E431" s="71" t="s">
        <v>121</v>
      </c>
      <c r="F431" s="69" t="s">
        <v>1353</v>
      </c>
      <c r="H431" s="69">
        <v>1000</v>
      </c>
      <c r="U431" s="69"/>
      <c r="V431" s="69"/>
      <c r="AR431" s="74">
        <f t="shared" si="32"/>
        <v>1000</v>
      </c>
      <c r="AS431" s="69">
        <v>893.35</v>
      </c>
      <c r="AT431" s="69">
        <v>106.65</v>
      </c>
      <c r="BC431" s="69"/>
      <c r="BD431" s="69"/>
      <c r="CC431" s="74">
        <f t="shared" si="35"/>
        <v>1000</v>
      </c>
      <c r="CD431" s="73">
        <f t="shared" si="36"/>
        <v>0</v>
      </c>
      <c r="CE431" s="75">
        <f t="shared" si="37"/>
        <v>8780</v>
      </c>
      <c r="CF431" s="3" t="str">
        <f t="shared" si="37"/>
        <v>ماليزى اسنان</v>
      </c>
    </row>
    <row r="432" spans="2:84" ht="18.75" x14ac:dyDescent="0.25">
      <c r="C432" s="82">
        <v>14792</v>
      </c>
      <c r="D432" s="70">
        <v>8781</v>
      </c>
      <c r="E432" s="71" t="s">
        <v>121</v>
      </c>
      <c r="F432" s="69" t="s">
        <v>1354</v>
      </c>
      <c r="H432" s="69">
        <v>5862.5</v>
      </c>
      <c r="U432" s="69"/>
      <c r="V432" s="69"/>
      <c r="AR432" s="74">
        <f t="shared" si="32"/>
        <v>5862.5</v>
      </c>
      <c r="AS432" s="69">
        <v>3920.5</v>
      </c>
      <c r="AT432" s="69">
        <v>529.5</v>
      </c>
      <c r="AU432" s="69">
        <v>1412.5</v>
      </c>
      <c r="BC432" s="69"/>
      <c r="BD432" s="69"/>
      <c r="CC432" s="74">
        <f t="shared" si="35"/>
        <v>5862.5</v>
      </c>
      <c r="CD432" s="73">
        <f t="shared" si="36"/>
        <v>0</v>
      </c>
      <c r="CE432" s="75">
        <f t="shared" si="37"/>
        <v>8781</v>
      </c>
      <c r="CF432" s="3" t="str">
        <f t="shared" si="37"/>
        <v>ماليزى اسنان</v>
      </c>
    </row>
    <row r="433" spans="3:84" ht="18.75" x14ac:dyDescent="0.25">
      <c r="C433" s="82">
        <v>14795</v>
      </c>
      <c r="D433" s="70">
        <v>8782</v>
      </c>
      <c r="E433" s="71" t="s">
        <v>121</v>
      </c>
      <c r="F433" s="69" t="s">
        <v>1355</v>
      </c>
      <c r="H433" s="69">
        <v>3000</v>
      </c>
      <c r="U433" s="69"/>
      <c r="V433" s="69"/>
      <c r="AR433" s="74">
        <f t="shared" si="32"/>
        <v>3000</v>
      </c>
      <c r="AS433" s="69">
        <v>2677.85</v>
      </c>
      <c r="AT433" s="69">
        <v>322.14999999999998</v>
      </c>
      <c r="BC433" s="69"/>
      <c r="BD433" s="69"/>
      <c r="CC433" s="74">
        <f t="shared" si="35"/>
        <v>3000</v>
      </c>
      <c r="CD433" s="73">
        <f t="shared" si="36"/>
        <v>0</v>
      </c>
      <c r="CE433" s="75">
        <f t="shared" si="37"/>
        <v>8782</v>
      </c>
      <c r="CF433" s="3" t="str">
        <f t="shared" si="37"/>
        <v>ماليزى اسنان</v>
      </c>
    </row>
    <row r="434" spans="3:84" ht="18.75" x14ac:dyDescent="0.25">
      <c r="C434" s="82">
        <v>14797</v>
      </c>
      <c r="D434" s="70">
        <v>8783</v>
      </c>
      <c r="E434" s="71" t="s">
        <v>121</v>
      </c>
      <c r="F434" s="69" t="s">
        <v>1356</v>
      </c>
      <c r="H434" s="69">
        <v>2000</v>
      </c>
      <c r="U434" s="69"/>
      <c r="V434" s="69"/>
      <c r="AR434" s="74">
        <f t="shared" si="32"/>
        <v>2000</v>
      </c>
      <c r="AS434" s="69">
        <v>1785.35</v>
      </c>
      <c r="AT434" s="69">
        <v>214.65</v>
      </c>
      <c r="BC434" s="69"/>
      <c r="BD434" s="69"/>
      <c r="CC434" s="74">
        <f t="shared" si="35"/>
        <v>2000</v>
      </c>
      <c r="CD434" s="73">
        <f t="shared" si="36"/>
        <v>0</v>
      </c>
      <c r="CE434" s="75">
        <f t="shared" si="37"/>
        <v>8783</v>
      </c>
      <c r="CF434" s="3" t="str">
        <f t="shared" si="37"/>
        <v>ماليزى اسنان</v>
      </c>
    </row>
    <row r="435" spans="3:84" ht="18.75" x14ac:dyDescent="0.25">
      <c r="C435" s="82">
        <v>14746</v>
      </c>
      <c r="D435" s="70">
        <v>8784</v>
      </c>
      <c r="E435" s="71" t="s">
        <v>121</v>
      </c>
      <c r="F435" s="69" t="s">
        <v>1357</v>
      </c>
      <c r="H435" s="69">
        <v>3283</v>
      </c>
      <c r="U435" s="69"/>
      <c r="V435" s="69"/>
      <c r="AR435" s="74">
        <f t="shared" si="32"/>
        <v>3283</v>
      </c>
      <c r="AS435" s="69">
        <v>2195.0500000000002</v>
      </c>
      <c r="AT435" s="69">
        <v>296.95</v>
      </c>
      <c r="AU435" s="69">
        <v>791</v>
      </c>
      <c r="BC435" s="69"/>
      <c r="BD435" s="69"/>
      <c r="CC435" s="74">
        <f t="shared" si="35"/>
        <v>3283</v>
      </c>
      <c r="CD435" s="73">
        <f t="shared" si="36"/>
        <v>0</v>
      </c>
      <c r="CE435" s="75">
        <f t="shared" si="37"/>
        <v>8784</v>
      </c>
      <c r="CF435" s="3" t="str">
        <f t="shared" si="37"/>
        <v>ماليزى اسنان</v>
      </c>
    </row>
    <row r="436" spans="3:84" ht="18.75" x14ac:dyDescent="0.25">
      <c r="C436" s="82">
        <v>14741</v>
      </c>
      <c r="D436" s="70">
        <v>8785</v>
      </c>
      <c r="E436" s="71" t="s">
        <v>121</v>
      </c>
      <c r="F436" s="69" t="s">
        <v>1358</v>
      </c>
      <c r="H436" s="69">
        <v>8207.5</v>
      </c>
      <c r="U436" s="69"/>
      <c r="V436" s="69"/>
      <c r="AR436" s="74">
        <f t="shared" si="32"/>
        <v>8207.5</v>
      </c>
      <c r="AS436" s="69">
        <v>5484</v>
      </c>
      <c r="AT436" s="69">
        <v>746</v>
      </c>
      <c r="AU436" s="69">
        <v>1977.5</v>
      </c>
      <c r="BC436" s="69"/>
      <c r="BD436" s="69"/>
      <c r="CC436" s="74">
        <f t="shared" si="35"/>
        <v>8207.5</v>
      </c>
      <c r="CD436" s="73">
        <f t="shared" si="36"/>
        <v>0</v>
      </c>
      <c r="CE436" s="75">
        <f t="shared" si="37"/>
        <v>8785</v>
      </c>
      <c r="CF436" s="3" t="str">
        <f t="shared" si="37"/>
        <v>ماليزى اسنان</v>
      </c>
    </row>
    <row r="437" spans="3:84" ht="18.75" x14ac:dyDescent="0.25">
      <c r="C437" s="82">
        <v>14739</v>
      </c>
      <c r="D437" s="70">
        <v>8786</v>
      </c>
      <c r="E437" s="71" t="s">
        <v>121</v>
      </c>
      <c r="F437" s="69" t="s">
        <v>1359</v>
      </c>
      <c r="H437" s="69">
        <v>3125.57</v>
      </c>
      <c r="U437" s="69"/>
      <c r="V437" s="69"/>
      <c r="AR437" s="74">
        <f t="shared" si="32"/>
        <v>3125.57</v>
      </c>
      <c r="AS437" s="69">
        <v>2293.29</v>
      </c>
      <c r="AT437" s="69">
        <v>299.10000000000002</v>
      </c>
      <c r="AU437" s="69">
        <v>533.17999999999995</v>
      </c>
      <c r="BC437" s="69"/>
      <c r="BD437" s="69"/>
      <c r="CC437" s="74">
        <f t="shared" si="35"/>
        <v>3125.5699999999997</v>
      </c>
      <c r="CD437" s="73">
        <f t="shared" si="36"/>
        <v>0</v>
      </c>
      <c r="CE437" s="75">
        <f t="shared" si="37"/>
        <v>8786</v>
      </c>
      <c r="CF437" s="3" t="str">
        <f t="shared" si="37"/>
        <v>ماليزى اسنان</v>
      </c>
    </row>
    <row r="438" spans="3:84" ht="18.75" x14ac:dyDescent="0.25">
      <c r="C438" s="82">
        <v>14740</v>
      </c>
      <c r="D438" s="70">
        <v>8787</v>
      </c>
      <c r="E438" s="71" t="s">
        <v>121</v>
      </c>
      <c r="F438" s="69" t="s">
        <v>1360</v>
      </c>
      <c r="H438" s="69">
        <v>15209.45</v>
      </c>
      <c r="U438" s="69"/>
      <c r="V438" s="69"/>
      <c r="AR438" s="74">
        <f t="shared" si="32"/>
        <v>15209.45</v>
      </c>
      <c r="AS438" s="69">
        <v>10207.879999999999</v>
      </c>
      <c r="AT438" s="69">
        <v>1383.2</v>
      </c>
      <c r="AU438" s="69">
        <v>3618.37</v>
      </c>
      <c r="BC438" s="69"/>
      <c r="BD438" s="69"/>
      <c r="CC438" s="74">
        <f t="shared" si="35"/>
        <v>15209.45</v>
      </c>
      <c r="CD438" s="73">
        <f t="shared" si="36"/>
        <v>0</v>
      </c>
      <c r="CE438" s="75">
        <f t="shared" si="37"/>
        <v>8787</v>
      </c>
      <c r="CF438" s="3" t="str">
        <f t="shared" si="37"/>
        <v>ماليزى اسنان</v>
      </c>
    </row>
    <row r="439" spans="3:84" ht="18.75" x14ac:dyDescent="0.25">
      <c r="C439" s="82">
        <v>14748</v>
      </c>
      <c r="D439" s="70">
        <v>8788</v>
      </c>
      <c r="E439" s="71" t="s">
        <v>121</v>
      </c>
      <c r="F439" s="69" t="s">
        <v>1361</v>
      </c>
      <c r="H439" s="69">
        <v>5745.25</v>
      </c>
      <c r="U439" s="69"/>
      <c r="V439" s="69"/>
      <c r="AR439" s="74">
        <f t="shared" si="32"/>
        <v>5745.25</v>
      </c>
      <c r="AS439" s="69">
        <v>3839.75</v>
      </c>
      <c r="AT439" s="69">
        <v>521.25</v>
      </c>
      <c r="AU439" s="69">
        <v>1384.25</v>
      </c>
      <c r="BC439" s="69"/>
      <c r="BD439" s="69"/>
      <c r="CC439" s="74">
        <f t="shared" si="35"/>
        <v>5745.25</v>
      </c>
      <c r="CD439" s="73">
        <f t="shared" si="36"/>
        <v>0</v>
      </c>
      <c r="CE439" s="75">
        <f t="shared" si="37"/>
        <v>8788</v>
      </c>
      <c r="CF439" s="3" t="str">
        <f t="shared" si="37"/>
        <v>ماليزى اسنان</v>
      </c>
    </row>
    <row r="440" spans="3:84" ht="18.75" x14ac:dyDescent="0.25">
      <c r="C440" s="82">
        <v>14800</v>
      </c>
      <c r="D440" s="70">
        <v>8789</v>
      </c>
      <c r="E440" s="71" t="s">
        <v>121</v>
      </c>
      <c r="F440" s="69" t="s">
        <v>1362</v>
      </c>
      <c r="H440" s="69">
        <v>1582.88</v>
      </c>
      <c r="U440" s="69"/>
      <c r="V440" s="69"/>
      <c r="AR440" s="74">
        <f t="shared" si="32"/>
        <v>1582.88</v>
      </c>
      <c r="AS440" s="69">
        <v>1057.8499999999999</v>
      </c>
      <c r="AT440" s="69">
        <v>143.65</v>
      </c>
      <c r="AU440" s="69">
        <v>381.38</v>
      </c>
      <c r="BC440" s="69"/>
      <c r="BD440" s="69"/>
      <c r="CC440" s="74">
        <f t="shared" si="35"/>
        <v>1582.88</v>
      </c>
      <c r="CD440" s="73">
        <f t="shared" si="36"/>
        <v>0</v>
      </c>
      <c r="CE440" s="75">
        <f t="shared" si="37"/>
        <v>8789</v>
      </c>
      <c r="CF440" s="3" t="str">
        <f t="shared" si="37"/>
        <v>ماليزى اسنان</v>
      </c>
    </row>
    <row r="441" spans="3:84" ht="18.75" x14ac:dyDescent="0.25">
      <c r="C441" s="82">
        <v>14750</v>
      </c>
      <c r="D441" s="70">
        <v>8790</v>
      </c>
      <c r="E441" s="71" t="s">
        <v>121</v>
      </c>
      <c r="F441" s="69" t="s">
        <v>1363</v>
      </c>
      <c r="H441" s="69">
        <v>3986.5</v>
      </c>
      <c r="U441" s="69"/>
      <c r="V441" s="69"/>
      <c r="AR441" s="74">
        <f t="shared" si="32"/>
        <v>3986.5</v>
      </c>
      <c r="AS441" s="69">
        <v>2666.15</v>
      </c>
      <c r="AT441" s="69">
        <v>359.85</v>
      </c>
      <c r="AU441" s="69">
        <v>960.5</v>
      </c>
      <c r="BC441" s="69"/>
      <c r="BD441" s="69"/>
      <c r="CC441" s="74">
        <f t="shared" si="35"/>
        <v>3986.5</v>
      </c>
      <c r="CD441" s="73">
        <f t="shared" si="36"/>
        <v>0</v>
      </c>
      <c r="CE441" s="75">
        <f t="shared" si="37"/>
        <v>8790</v>
      </c>
      <c r="CF441" s="3" t="str">
        <f t="shared" si="37"/>
        <v>ماليزى اسنان</v>
      </c>
    </row>
    <row r="442" spans="3:84" ht="18.75" x14ac:dyDescent="0.25">
      <c r="C442" s="82">
        <v>14749</v>
      </c>
      <c r="D442" s="70">
        <v>8791</v>
      </c>
      <c r="E442" s="71" t="s">
        <v>121</v>
      </c>
      <c r="F442" s="69" t="s">
        <v>1364</v>
      </c>
      <c r="H442" s="69">
        <v>3986.5</v>
      </c>
      <c r="U442" s="69"/>
      <c r="V442" s="69"/>
      <c r="AR442" s="74">
        <f t="shared" si="32"/>
        <v>3986.5</v>
      </c>
      <c r="AS442" s="69">
        <v>2666.15</v>
      </c>
      <c r="AT442" s="69">
        <v>359.85</v>
      </c>
      <c r="AU442" s="69">
        <v>960.5</v>
      </c>
      <c r="BC442" s="69"/>
      <c r="BD442" s="69"/>
      <c r="CC442" s="74">
        <f t="shared" si="35"/>
        <v>3986.5</v>
      </c>
      <c r="CD442" s="73">
        <f t="shared" si="36"/>
        <v>0</v>
      </c>
      <c r="CE442" s="75">
        <f t="shared" si="37"/>
        <v>8791</v>
      </c>
      <c r="CF442" s="3" t="str">
        <f t="shared" si="37"/>
        <v>ماليزى اسنان</v>
      </c>
    </row>
    <row r="443" spans="3:84" ht="18.75" x14ac:dyDescent="0.25">
      <c r="C443" s="82">
        <v>14801</v>
      </c>
      <c r="D443" s="70">
        <v>8792</v>
      </c>
      <c r="E443" s="71" t="s">
        <v>121</v>
      </c>
      <c r="F443" s="69" t="s">
        <v>1362</v>
      </c>
      <c r="H443" s="69">
        <v>1641.5</v>
      </c>
      <c r="U443" s="69"/>
      <c r="V443" s="69"/>
      <c r="AR443" s="74">
        <f t="shared" si="32"/>
        <v>1641.5</v>
      </c>
      <c r="AS443" s="69">
        <v>1097</v>
      </c>
      <c r="AT443" s="69">
        <v>149</v>
      </c>
      <c r="AU443" s="69">
        <v>395.5</v>
      </c>
      <c r="BC443" s="69"/>
      <c r="BD443" s="69"/>
      <c r="CC443" s="74">
        <f t="shared" si="35"/>
        <v>1641.5</v>
      </c>
      <c r="CD443" s="73">
        <f t="shared" si="36"/>
        <v>0</v>
      </c>
      <c r="CE443" s="75">
        <f t="shared" si="37"/>
        <v>8792</v>
      </c>
      <c r="CF443" s="3" t="str">
        <f t="shared" si="37"/>
        <v>ماليزى اسنان</v>
      </c>
    </row>
    <row r="444" spans="3:84" ht="18.75" x14ac:dyDescent="0.25">
      <c r="C444" s="82">
        <v>14738</v>
      </c>
      <c r="D444" s="70">
        <v>8793</v>
      </c>
      <c r="E444" s="71" t="s">
        <v>121</v>
      </c>
      <c r="F444" s="69" t="s">
        <v>1365</v>
      </c>
      <c r="H444" s="69">
        <v>32216.87</v>
      </c>
      <c r="U444" s="69"/>
      <c r="V444" s="69"/>
      <c r="AR444" s="74">
        <f t="shared" si="32"/>
        <v>32216.87</v>
      </c>
      <c r="AS444" s="69">
        <v>22325.94</v>
      </c>
      <c r="AT444" s="69">
        <v>2985.05</v>
      </c>
      <c r="AU444" s="69">
        <v>6905.88</v>
      </c>
      <c r="BC444" s="69"/>
      <c r="BD444" s="69"/>
      <c r="CC444" s="74">
        <f t="shared" si="35"/>
        <v>32216.87</v>
      </c>
      <c r="CD444" s="73">
        <f t="shared" si="36"/>
        <v>0</v>
      </c>
      <c r="CE444" s="75">
        <f t="shared" si="37"/>
        <v>8793</v>
      </c>
      <c r="CF444" s="3" t="str">
        <f t="shared" si="37"/>
        <v>ماليزى اسنان</v>
      </c>
    </row>
    <row r="445" spans="3:84" ht="18.75" x14ac:dyDescent="0.25">
      <c r="C445" s="82">
        <v>14742</v>
      </c>
      <c r="D445" s="70">
        <v>8794</v>
      </c>
      <c r="E445" s="71" t="s">
        <v>121</v>
      </c>
      <c r="F445" s="69" t="s">
        <v>1366</v>
      </c>
      <c r="H445" s="69">
        <v>46366.76</v>
      </c>
      <c r="U445" s="69"/>
      <c r="V445" s="69"/>
      <c r="AR445" s="74">
        <f t="shared" si="32"/>
        <v>46366.76</v>
      </c>
      <c r="AS445" s="69">
        <v>36375.85</v>
      </c>
      <c r="AT445" s="69">
        <v>4608.25</v>
      </c>
      <c r="AU445" s="69">
        <v>5382.66</v>
      </c>
      <c r="BC445" s="69"/>
      <c r="BD445" s="69"/>
      <c r="CC445" s="74">
        <f t="shared" si="35"/>
        <v>46366.759999999995</v>
      </c>
      <c r="CD445" s="73">
        <f t="shared" si="36"/>
        <v>0</v>
      </c>
      <c r="CE445" s="75">
        <f t="shared" si="37"/>
        <v>8794</v>
      </c>
      <c r="CF445" s="3" t="str">
        <f t="shared" si="37"/>
        <v>ماليزى اسنان</v>
      </c>
    </row>
    <row r="446" spans="3:84" ht="18.75" x14ac:dyDescent="0.25">
      <c r="C446" s="82">
        <v>14796</v>
      </c>
      <c r="D446" s="70">
        <v>8795</v>
      </c>
      <c r="E446" s="71" t="s">
        <v>121</v>
      </c>
      <c r="F446" s="69" t="s">
        <v>1367</v>
      </c>
      <c r="H446" s="69">
        <v>32426.79</v>
      </c>
      <c r="U446" s="69"/>
      <c r="V446" s="69"/>
      <c r="AR446" s="74">
        <f t="shared" si="32"/>
        <v>32426.79</v>
      </c>
      <c r="AS446" s="69">
        <v>21740.51</v>
      </c>
      <c r="AT446" s="69">
        <v>2945.3</v>
      </c>
      <c r="AU446" s="69">
        <v>7740.98</v>
      </c>
      <c r="BC446" s="69"/>
      <c r="BD446" s="69"/>
      <c r="CC446" s="74">
        <f t="shared" si="35"/>
        <v>32426.789999999997</v>
      </c>
      <c r="CD446" s="73">
        <f t="shared" si="36"/>
        <v>0</v>
      </c>
      <c r="CE446" s="75">
        <f t="shared" si="37"/>
        <v>8795</v>
      </c>
      <c r="CF446" s="3" t="str">
        <f t="shared" si="37"/>
        <v>ماليزى اسنان</v>
      </c>
    </row>
    <row r="447" spans="3:84" ht="18.75" x14ac:dyDescent="0.25">
      <c r="C447" s="82">
        <v>14797</v>
      </c>
      <c r="D447" s="70">
        <v>8796</v>
      </c>
      <c r="E447" s="71" t="s">
        <v>121</v>
      </c>
      <c r="F447" s="69" t="s">
        <v>1367</v>
      </c>
      <c r="H447" s="69">
        <v>48819.29</v>
      </c>
      <c r="U447" s="69"/>
      <c r="V447" s="69"/>
      <c r="AR447" s="74">
        <f t="shared" si="32"/>
        <v>48819.29</v>
      </c>
      <c r="AS447" s="69">
        <v>39892.07</v>
      </c>
      <c r="AT447" s="69">
        <v>4965.2</v>
      </c>
      <c r="AU447" s="69">
        <v>3962.02</v>
      </c>
      <c r="BC447" s="69"/>
      <c r="BD447" s="69"/>
      <c r="CC447" s="74">
        <f t="shared" si="35"/>
        <v>48819.289999999994</v>
      </c>
      <c r="CD447" s="73">
        <f t="shared" si="36"/>
        <v>0</v>
      </c>
      <c r="CE447" s="75">
        <f t="shared" si="37"/>
        <v>8796</v>
      </c>
      <c r="CF447" s="3" t="str">
        <f t="shared" si="37"/>
        <v>ماليزى اسنان</v>
      </c>
    </row>
    <row r="448" spans="3:84" ht="18.75" x14ac:dyDescent="0.25">
      <c r="C448" s="82">
        <v>14799</v>
      </c>
      <c r="D448" s="70">
        <v>8797</v>
      </c>
      <c r="E448" s="71" t="s">
        <v>121</v>
      </c>
      <c r="F448" s="69" t="s">
        <v>1368</v>
      </c>
      <c r="H448" s="69">
        <v>172342.43</v>
      </c>
      <c r="U448" s="69"/>
      <c r="V448" s="69"/>
      <c r="AR448" s="74">
        <f t="shared" si="32"/>
        <v>172342.43</v>
      </c>
      <c r="AS448" s="69">
        <v>115053.4</v>
      </c>
      <c r="AT448" s="69">
        <v>15622.45</v>
      </c>
      <c r="AU448" s="69">
        <v>41666.58</v>
      </c>
      <c r="BC448" s="69"/>
      <c r="BD448" s="69"/>
      <c r="CC448" s="74">
        <f t="shared" si="35"/>
        <v>172342.43</v>
      </c>
      <c r="CD448" s="73">
        <f t="shared" si="36"/>
        <v>0</v>
      </c>
      <c r="CE448" s="75">
        <f t="shared" si="37"/>
        <v>8797</v>
      </c>
      <c r="CF448" s="3" t="str">
        <f t="shared" si="37"/>
        <v>ماليزى اسنان</v>
      </c>
    </row>
    <row r="449" spans="2:84" ht="18.75" x14ac:dyDescent="0.25">
      <c r="C449" s="82">
        <v>14744</v>
      </c>
      <c r="D449" s="70">
        <v>8798</v>
      </c>
      <c r="E449" s="71" t="s">
        <v>121</v>
      </c>
      <c r="F449" s="69" t="s">
        <v>1369</v>
      </c>
      <c r="H449" s="69">
        <v>3048.5</v>
      </c>
      <c r="U449" s="69"/>
      <c r="V449" s="69"/>
      <c r="AR449" s="74">
        <f t="shared" si="32"/>
        <v>3048.5</v>
      </c>
      <c r="AS449" s="69">
        <v>2038.8</v>
      </c>
      <c r="AT449" s="69">
        <v>275.2</v>
      </c>
      <c r="AU449" s="69">
        <v>734.5</v>
      </c>
      <c r="BC449" s="69"/>
      <c r="BD449" s="69"/>
      <c r="CC449" s="74">
        <f t="shared" si="35"/>
        <v>3048.5</v>
      </c>
      <c r="CD449" s="73">
        <f t="shared" si="36"/>
        <v>0</v>
      </c>
      <c r="CE449" s="75">
        <f t="shared" si="37"/>
        <v>8798</v>
      </c>
      <c r="CF449" s="3" t="str">
        <f t="shared" si="37"/>
        <v>ماليزى اسنان</v>
      </c>
    </row>
    <row r="450" spans="2:84" ht="18.75" x14ac:dyDescent="0.25">
      <c r="C450" s="82">
        <v>14745</v>
      </c>
      <c r="D450" s="70">
        <v>8799</v>
      </c>
      <c r="E450" s="71" t="s">
        <v>121</v>
      </c>
      <c r="F450" s="69" t="s">
        <v>1370</v>
      </c>
      <c r="H450" s="69">
        <v>1407</v>
      </c>
      <c r="U450" s="69"/>
      <c r="V450" s="69"/>
      <c r="AR450" s="74">
        <f t="shared" si="32"/>
        <v>1407</v>
      </c>
      <c r="AS450" s="69">
        <v>940.35</v>
      </c>
      <c r="AT450" s="69">
        <v>127.65</v>
      </c>
      <c r="AU450" s="69">
        <v>339</v>
      </c>
      <c r="BC450" s="69"/>
      <c r="BD450" s="69"/>
      <c r="CC450" s="74">
        <f t="shared" si="35"/>
        <v>1407</v>
      </c>
      <c r="CD450" s="73">
        <f t="shared" si="36"/>
        <v>0</v>
      </c>
      <c r="CE450" s="75">
        <f t="shared" si="37"/>
        <v>8799</v>
      </c>
      <c r="CF450" s="3" t="str">
        <f t="shared" si="37"/>
        <v>ماليزى اسنان</v>
      </c>
    </row>
    <row r="451" spans="2:84" ht="18.75" x14ac:dyDescent="0.25">
      <c r="C451" s="82">
        <v>14753</v>
      </c>
      <c r="D451" s="70">
        <v>8800</v>
      </c>
      <c r="E451" s="71" t="s">
        <v>121</v>
      </c>
      <c r="F451" s="69" t="s">
        <v>1371</v>
      </c>
      <c r="H451" s="69">
        <v>3283</v>
      </c>
      <c r="U451" s="69"/>
      <c r="V451" s="69"/>
      <c r="AR451" s="74">
        <f t="shared" si="32"/>
        <v>3283</v>
      </c>
      <c r="AS451" s="69">
        <v>2195.5500000000002</v>
      </c>
      <c r="AT451" s="69">
        <v>296.45</v>
      </c>
      <c r="AU451" s="69">
        <v>791</v>
      </c>
      <c r="BC451" s="69"/>
      <c r="BD451" s="69"/>
      <c r="CC451" s="74">
        <f t="shared" si="35"/>
        <v>3283</v>
      </c>
      <c r="CD451" s="73">
        <f t="shared" si="36"/>
        <v>0</v>
      </c>
      <c r="CE451" s="75">
        <f t="shared" si="37"/>
        <v>8800</v>
      </c>
      <c r="CF451" s="3" t="str">
        <f t="shared" si="37"/>
        <v>ماليزى اسنان</v>
      </c>
    </row>
    <row r="452" spans="2:84" x14ac:dyDescent="0.25">
      <c r="C452" s="82">
        <v>14507</v>
      </c>
      <c r="D452" s="70">
        <v>8801</v>
      </c>
      <c r="E452" s="69" t="s">
        <v>125</v>
      </c>
      <c r="F452" s="69" t="s">
        <v>1372</v>
      </c>
      <c r="H452" s="69">
        <v>6032.8</v>
      </c>
      <c r="U452" s="69"/>
      <c r="V452" s="69"/>
      <c r="AR452" s="74">
        <f t="shared" si="32"/>
        <v>6032.8</v>
      </c>
      <c r="AS452" s="69">
        <v>3776.94</v>
      </c>
      <c r="AT452" s="69">
        <v>545.08000000000004</v>
      </c>
      <c r="AU452" s="69">
        <v>1453.52</v>
      </c>
      <c r="AV452" s="69">
        <v>257.26</v>
      </c>
      <c r="BC452" s="69"/>
      <c r="BD452" s="69"/>
      <c r="CC452" s="74">
        <f t="shared" si="35"/>
        <v>6032.8000000000011</v>
      </c>
      <c r="CD452" s="73">
        <f t="shared" si="36"/>
        <v>0</v>
      </c>
      <c r="CE452" s="75">
        <f t="shared" si="37"/>
        <v>8801</v>
      </c>
      <c r="CF452" s="3" t="str">
        <f t="shared" si="37"/>
        <v>اختبار مواد</v>
      </c>
    </row>
    <row r="453" spans="2:84" x14ac:dyDescent="0.25">
      <c r="C453" s="82">
        <v>14510</v>
      </c>
      <c r="D453" s="70">
        <v>8802</v>
      </c>
      <c r="E453" s="69" t="s">
        <v>137</v>
      </c>
      <c r="F453" s="69" t="s">
        <v>1373</v>
      </c>
      <c r="H453" s="69">
        <v>1231.1400000000001</v>
      </c>
      <c r="U453" s="69"/>
      <c r="V453" s="69"/>
      <c r="AR453" s="74">
        <f t="shared" si="32"/>
        <v>1231.1400000000001</v>
      </c>
      <c r="AS453" s="69">
        <v>771.9</v>
      </c>
      <c r="AT453" s="69">
        <v>110.1</v>
      </c>
      <c r="AU453" s="69">
        <v>296.64</v>
      </c>
      <c r="AV453" s="69">
        <v>52.5</v>
      </c>
      <c r="BC453" s="69"/>
      <c r="BD453" s="69"/>
      <c r="CC453" s="74">
        <f t="shared" si="35"/>
        <v>1231.1399999999999</v>
      </c>
      <c r="CD453" s="73">
        <f t="shared" si="36"/>
        <v>0</v>
      </c>
      <c r="CE453" s="75">
        <f t="shared" si="37"/>
        <v>8802</v>
      </c>
      <c r="CF453" s="3" t="str">
        <f t="shared" si="37"/>
        <v xml:space="preserve">خدمة عامة </v>
      </c>
    </row>
    <row r="454" spans="2:84" x14ac:dyDescent="0.25">
      <c r="C454" s="82">
        <v>13906</v>
      </c>
      <c r="D454" s="70">
        <v>8803</v>
      </c>
      <c r="E454" s="69" t="s">
        <v>137</v>
      </c>
      <c r="F454" s="69" t="s">
        <v>1374</v>
      </c>
      <c r="H454" s="69">
        <v>6566</v>
      </c>
      <c r="U454" s="69"/>
      <c r="V454" s="69"/>
      <c r="AR454" s="74">
        <f t="shared" si="32"/>
        <v>6566</v>
      </c>
      <c r="AS454" s="69">
        <v>4107.3</v>
      </c>
      <c r="AT454" s="69">
        <f>36.7+560</f>
        <v>596.70000000000005</v>
      </c>
      <c r="AU454" s="69">
        <v>1582</v>
      </c>
      <c r="AV454" s="69">
        <v>280</v>
      </c>
      <c r="BC454" s="69"/>
      <c r="BD454" s="69"/>
      <c r="CC454" s="74">
        <f t="shared" si="35"/>
        <v>6566</v>
      </c>
      <c r="CD454" s="73">
        <f t="shared" si="36"/>
        <v>0</v>
      </c>
      <c r="CE454" s="75">
        <f t="shared" si="37"/>
        <v>8803</v>
      </c>
      <c r="CF454" s="3" t="str">
        <f t="shared" si="37"/>
        <v xml:space="preserve">خدمة عامة </v>
      </c>
    </row>
    <row r="455" spans="2:84" x14ac:dyDescent="0.25">
      <c r="C455" s="82">
        <v>14498</v>
      </c>
      <c r="D455" s="70">
        <v>8804</v>
      </c>
      <c r="E455" s="69" t="s">
        <v>137</v>
      </c>
      <c r="F455" s="69" t="s">
        <v>1375</v>
      </c>
      <c r="H455" s="69">
        <v>8550.08</v>
      </c>
      <c r="U455" s="69"/>
      <c r="V455" s="69"/>
      <c r="AR455" s="74">
        <f t="shared" si="32"/>
        <v>8550.08</v>
      </c>
      <c r="AS455" s="69">
        <v>5830.75</v>
      </c>
      <c r="AT455" s="69">
        <v>812.43</v>
      </c>
      <c r="AU455" s="69">
        <v>1525.99</v>
      </c>
      <c r="AV455" s="69">
        <v>380.91</v>
      </c>
      <c r="BC455" s="69"/>
      <c r="BD455" s="69"/>
      <c r="CC455" s="74">
        <f t="shared" si="35"/>
        <v>8550.08</v>
      </c>
      <c r="CD455" s="73">
        <f t="shared" si="36"/>
        <v>0</v>
      </c>
      <c r="CE455" s="75">
        <f t="shared" si="37"/>
        <v>8804</v>
      </c>
      <c r="CF455" s="3" t="str">
        <f t="shared" si="37"/>
        <v xml:space="preserve">خدمة عامة </v>
      </c>
    </row>
    <row r="456" spans="2:84" x14ac:dyDescent="0.25">
      <c r="C456" s="82">
        <v>14499</v>
      </c>
      <c r="D456" s="70">
        <v>8805</v>
      </c>
      <c r="E456" s="69" t="s">
        <v>137</v>
      </c>
      <c r="F456" s="69" t="s">
        <v>1375</v>
      </c>
      <c r="H456" s="69">
        <v>470.13</v>
      </c>
      <c r="U456" s="69"/>
      <c r="V456" s="69"/>
      <c r="AR456" s="74">
        <f t="shared" si="32"/>
        <v>470.13</v>
      </c>
      <c r="AS456" s="69">
        <v>294.7</v>
      </c>
      <c r="AT456" s="69">
        <v>42.1</v>
      </c>
      <c r="AU456" s="69">
        <v>113.28</v>
      </c>
      <c r="AV456" s="69">
        <v>20.05</v>
      </c>
      <c r="BC456" s="69"/>
      <c r="BD456" s="69"/>
      <c r="CC456" s="74">
        <f t="shared" si="35"/>
        <v>470.13000000000005</v>
      </c>
      <c r="CD456" s="73">
        <f t="shared" si="36"/>
        <v>0</v>
      </c>
      <c r="CE456" s="75">
        <f t="shared" si="37"/>
        <v>8805</v>
      </c>
      <c r="CF456" s="3" t="str">
        <f t="shared" si="37"/>
        <v xml:space="preserve">خدمة عامة </v>
      </c>
    </row>
    <row r="457" spans="2:84" x14ac:dyDescent="0.25">
      <c r="C457" s="82">
        <v>14508</v>
      </c>
      <c r="D457" s="70">
        <v>8806</v>
      </c>
      <c r="E457" s="69" t="s">
        <v>137</v>
      </c>
      <c r="F457" s="69" t="s">
        <v>1376</v>
      </c>
      <c r="H457" s="69">
        <v>4345</v>
      </c>
      <c r="U457" s="69"/>
      <c r="V457" s="69"/>
      <c r="AR457" s="74">
        <f t="shared" si="32"/>
        <v>4345</v>
      </c>
      <c r="AS457" s="69">
        <v>3152.35</v>
      </c>
      <c r="AT457" s="69">
        <v>427.65</v>
      </c>
      <c r="AU457" s="69">
        <v>565</v>
      </c>
      <c r="AV457" s="69">
        <v>200</v>
      </c>
      <c r="BC457" s="69"/>
      <c r="BD457" s="69"/>
      <c r="CC457" s="74">
        <f t="shared" si="35"/>
        <v>4345</v>
      </c>
      <c r="CD457" s="73">
        <f t="shared" si="36"/>
        <v>0</v>
      </c>
      <c r="CE457" s="75">
        <f t="shared" si="37"/>
        <v>8806</v>
      </c>
      <c r="CF457" s="3" t="str">
        <f t="shared" si="37"/>
        <v xml:space="preserve">خدمة عامة </v>
      </c>
    </row>
    <row r="458" spans="2:84" x14ac:dyDescent="0.25">
      <c r="C458" s="82">
        <v>14509</v>
      </c>
      <c r="D458" s="70">
        <v>8807</v>
      </c>
      <c r="E458" s="69" t="s">
        <v>137</v>
      </c>
      <c r="F458" s="69" t="s">
        <v>1376</v>
      </c>
      <c r="H458" s="69">
        <v>820.75</v>
      </c>
      <c r="U458" s="69"/>
      <c r="V458" s="69"/>
      <c r="AR458" s="74">
        <f t="shared" si="32"/>
        <v>820.75</v>
      </c>
      <c r="AS458" s="69">
        <v>513.95000000000005</v>
      </c>
      <c r="AT458" s="69">
        <v>74.05</v>
      </c>
      <c r="AU458" s="69">
        <v>197.75</v>
      </c>
      <c r="AV458" s="69">
        <v>35</v>
      </c>
      <c r="BC458" s="69"/>
      <c r="BD458" s="69"/>
      <c r="CC458" s="74">
        <f t="shared" si="35"/>
        <v>820.75</v>
      </c>
      <c r="CD458" s="73">
        <f t="shared" si="36"/>
        <v>0</v>
      </c>
      <c r="CE458" s="75">
        <f t="shared" si="37"/>
        <v>8807</v>
      </c>
      <c r="CF458" s="3" t="str">
        <f t="shared" si="37"/>
        <v xml:space="preserve">خدمة عامة </v>
      </c>
    </row>
    <row r="459" spans="2:84" x14ac:dyDescent="0.25">
      <c r="C459" s="82">
        <v>8808</v>
      </c>
      <c r="D459" s="70">
        <v>8808</v>
      </c>
      <c r="E459" s="69" t="s">
        <v>137</v>
      </c>
      <c r="F459" s="69" t="str">
        <f>+F454</f>
        <v>ج العاملين بنشاط الميكرسكوب يناير</v>
      </c>
      <c r="H459" s="69">
        <v>703.5</v>
      </c>
      <c r="U459" s="69"/>
      <c r="V459" s="69"/>
      <c r="AR459" s="74">
        <f t="shared" si="32"/>
        <v>703.5</v>
      </c>
      <c r="AS459" s="69">
        <v>441.1</v>
      </c>
      <c r="AT459" s="69">
        <f>2.9+60</f>
        <v>62.9</v>
      </c>
      <c r="AU459" s="69">
        <v>169.5</v>
      </c>
      <c r="AV459" s="69">
        <v>30</v>
      </c>
      <c r="BC459" s="69"/>
      <c r="BD459" s="69"/>
      <c r="CC459" s="74">
        <f t="shared" si="35"/>
        <v>703.5</v>
      </c>
      <c r="CD459" s="73">
        <f t="shared" si="36"/>
        <v>0</v>
      </c>
      <c r="CE459" s="75">
        <f t="shared" si="37"/>
        <v>8808</v>
      </c>
      <c r="CF459" s="3" t="str">
        <f t="shared" si="37"/>
        <v xml:space="preserve">خدمة عامة </v>
      </c>
    </row>
    <row r="460" spans="2:84" x14ac:dyDescent="0.25">
      <c r="C460" s="82">
        <v>13912</v>
      </c>
      <c r="D460" s="70">
        <v>8809</v>
      </c>
      <c r="E460" s="69" t="s">
        <v>124</v>
      </c>
      <c r="F460" s="69" t="s">
        <v>1377</v>
      </c>
      <c r="H460" s="69">
        <v>802.36</v>
      </c>
      <c r="U460" s="69"/>
      <c r="V460" s="69"/>
      <c r="AR460" s="74">
        <f t="shared" si="32"/>
        <v>802.36</v>
      </c>
      <c r="AS460" s="69">
        <v>504.1</v>
      </c>
      <c r="AT460" s="69">
        <v>70.73</v>
      </c>
      <c r="AU460" s="69">
        <v>193.32</v>
      </c>
      <c r="AV460" s="69">
        <v>34.21</v>
      </c>
      <c r="BC460" s="69"/>
      <c r="BD460" s="69"/>
      <c r="CC460" s="74">
        <f t="shared" si="35"/>
        <v>802.36000000000013</v>
      </c>
      <c r="CD460" s="73">
        <f t="shared" si="36"/>
        <v>0</v>
      </c>
      <c r="CE460" s="75">
        <f t="shared" si="37"/>
        <v>8809</v>
      </c>
      <c r="CF460" s="3" t="str">
        <f t="shared" si="37"/>
        <v>تكافل اسنان</v>
      </c>
    </row>
    <row r="461" spans="2:84" x14ac:dyDescent="0.25">
      <c r="C461" s="82">
        <v>13914</v>
      </c>
      <c r="D461" s="70">
        <v>8810</v>
      </c>
      <c r="E461" s="69" t="s">
        <v>123</v>
      </c>
      <c r="F461" s="69" t="s">
        <v>1378</v>
      </c>
      <c r="H461" s="69">
        <v>1172.5</v>
      </c>
      <c r="U461" s="69"/>
      <c r="V461" s="69"/>
      <c r="AR461" s="74">
        <f t="shared" si="32"/>
        <v>1172.5</v>
      </c>
      <c r="AS461" s="69">
        <v>734.8</v>
      </c>
      <c r="AT461" s="69">
        <v>105.2</v>
      </c>
      <c r="AU461" s="69">
        <v>282.5</v>
      </c>
      <c r="AV461" s="69">
        <v>50</v>
      </c>
      <c r="BC461" s="69"/>
      <c r="BD461" s="69"/>
      <c r="CC461" s="74">
        <f t="shared" si="35"/>
        <v>1172.5</v>
      </c>
      <c r="CD461" s="73">
        <f t="shared" si="36"/>
        <v>0</v>
      </c>
      <c r="CE461" s="75">
        <f t="shared" si="37"/>
        <v>8810</v>
      </c>
      <c r="CF461" s="3" t="str">
        <f t="shared" si="37"/>
        <v>خ ت اسنان</v>
      </c>
    </row>
    <row r="462" spans="2:84" x14ac:dyDescent="0.25">
      <c r="C462" s="82">
        <v>13911</v>
      </c>
      <c r="D462" s="70">
        <v>8811</v>
      </c>
      <c r="E462" s="69" t="s">
        <v>123</v>
      </c>
      <c r="F462" s="69" t="s">
        <v>1379</v>
      </c>
      <c r="H462" s="69">
        <v>470.44</v>
      </c>
      <c r="U462" s="69"/>
      <c r="V462" s="69"/>
      <c r="AR462" s="74">
        <f t="shared" si="32"/>
        <v>470.44</v>
      </c>
      <c r="AS462" s="69">
        <v>295.91000000000003</v>
      </c>
      <c r="AT462" s="69">
        <v>41.12</v>
      </c>
      <c r="AU462" s="69">
        <v>113.35</v>
      </c>
      <c r="AV462" s="69">
        <v>20.059999999999999</v>
      </c>
      <c r="BC462" s="69"/>
      <c r="BD462" s="69"/>
      <c r="CC462" s="74">
        <f t="shared" si="35"/>
        <v>470.44</v>
      </c>
      <c r="CD462" s="73">
        <f t="shared" si="36"/>
        <v>0</v>
      </c>
      <c r="CE462" s="75">
        <f t="shared" si="37"/>
        <v>8811</v>
      </c>
      <c r="CF462" s="3" t="str">
        <f t="shared" si="37"/>
        <v>خ ت اسنان</v>
      </c>
    </row>
    <row r="463" spans="2:84" x14ac:dyDescent="0.25">
      <c r="C463" s="82">
        <v>13980</v>
      </c>
      <c r="D463" s="70">
        <v>8812</v>
      </c>
      <c r="E463" s="69" t="s">
        <v>123</v>
      </c>
      <c r="F463" s="69" t="s">
        <v>1380</v>
      </c>
      <c r="H463" s="69">
        <v>3448.85</v>
      </c>
      <c r="U463" s="69"/>
      <c r="V463" s="69"/>
      <c r="AR463" s="74">
        <f t="shared" si="32"/>
        <v>3448.85</v>
      </c>
      <c r="AS463" s="69">
        <v>2169.29</v>
      </c>
      <c r="AT463" s="69">
        <v>298.25</v>
      </c>
      <c r="AU463" s="69">
        <v>834.35</v>
      </c>
      <c r="AV463" s="69">
        <v>146.96</v>
      </c>
      <c r="BC463" s="69"/>
      <c r="BD463" s="69"/>
      <c r="CC463" s="74">
        <f t="shared" si="35"/>
        <v>3448.85</v>
      </c>
      <c r="CD463" s="73">
        <f t="shared" si="36"/>
        <v>0</v>
      </c>
      <c r="CE463" s="75">
        <f t="shared" si="37"/>
        <v>8812</v>
      </c>
      <c r="CF463" s="3" t="str">
        <f t="shared" si="37"/>
        <v>خ ت اسنان</v>
      </c>
    </row>
    <row r="464" spans="2:84" x14ac:dyDescent="0.25">
      <c r="B464" s="69" t="s">
        <v>367</v>
      </c>
      <c r="C464" s="82">
        <v>14808</v>
      </c>
      <c r="D464" s="70">
        <v>8813</v>
      </c>
      <c r="E464" s="69" t="s">
        <v>121</v>
      </c>
      <c r="F464" s="69" t="s">
        <v>1381</v>
      </c>
      <c r="H464" s="69">
        <v>1248.8800000000001</v>
      </c>
      <c r="U464" s="69"/>
      <c r="V464" s="69"/>
      <c r="AR464" s="74">
        <f t="shared" si="32"/>
        <v>1248.8800000000001</v>
      </c>
      <c r="AS464" s="69">
        <v>847.12</v>
      </c>
      <c r="AT464" s="69">
        <f>94.12+6.75</f>
        <v>100.87</v>
      </c>
      <c r="AU464" s="69">
        <v>300.89</v>
      </c>
      <c r="BC464" s="69"/>
      <c r="BD464" s="69"/>
      <c r="CC464" s="74">
        <f t="shared" si="35"/>
        <v>1248.8800000000001</v>
      </c>
      <c r="CD464" s="73">
        <f t="shared" si="36"/>
        <v>0</v>
      </c>
      <c r="CE464" s="75">
        <f t="shared" si="37"/>
        <v>8813</v>
      </c>
      <c r="CF464" s="3" t="str">
        <f t="shared" si="37"/>
        <v>ماليزى اسنان</v>
      </c>
    </row>
    <row r="465" spans="3:91" x14ac:dyDescent="0.25">
      <c r="C465" s="82">
        <v>13950</v>
      </c>
      <c r="D465" s="70">
        <v>8814</v>
      </c>
      <c r="E465" s="69" t="s">
        <v>130</v>
      </c>
      <c r="F465" s="69" t="s">
        <v>1382</v>
      </c>
      <c r="H465" s="69">
        <v>2000</v>
      </c>
      <c r="U465" s="69"/>
      <c r="V465" s="69"/>
      <c r="AR465" s="74">
        <f t="shared" si="32"/>
        <v>2000</v>
      </c>
      <c r="AS465" s="69">
        <v>1686.7</v>
      </c>
      <c r="AT465" s="69">
        <v>213.3</v>
      </c>
      <c r="AV465" s="69">
        <v>100</v>
      </c>
      <c r="BC465" s="69"/>
      <c r="BD465" s="69"/>
      <c r="CC465" s="74">
        <f t="shared" si="35"/>
        <v>2000</v>
      </c>
      <c r="CD465" s="73">
        <f t="shared" si="36"/>
        <v>0</v>
      </c>
      <c r="CE465" s="75">
        <f t="shared" si="37"/>
        <v>8814</v>
      </c>
      <c r="CF465" s="3" t="str">
        <f t="shared" si="37"/>
        <v>خ ت طب</v>
      </c>
    </row>
    <row r="466" spans="3:91" s="68" customFormat="1" ht="23.25" customHeight="1" x14ac:dyDescent="0.25">
      <c r="C466" s="83"/>
      <c r="D466" s="84"/>
      <c r="F466" s="68" t="s">
        <v>1383</v>
      </c>
      <c r="H466" s="68">
        <f>SUM(H324:H465)-H467</f>
        <v>570474.36999999988</v>
      </c>
      <c r="I466" s="68">
        <f t="shared" ref="I466:BT466" si="38">SUM(I324:I465)-I467</f>
        <v>515584.43</v>
      </c>
      <c r="J466" s="68">
        <f t="shared" si="38"/>
        <v>3000</v>
      </c>
      <c r="K466" s="68">
        <f t="shared" si="38"/>
        <v>0</v>
      </c>
      <c r="L466" s="68">
        <f t="shared" si="38"/>
        <v>22000</v>
      </c>
      <c r="M466" s="68">
        <f t="shared" si="38"/>
        <v>22000</v>
      </c>
      <c r="N466" s="68">
        <f t="shared" si="38"/>
        <v>22000</v>
      </c>
      <c r="O466" s="68">
        <f t="shared" si="38"/>
        <v>0</v>
      </c>
      <c r="P466" s="68">
        <f t="shared" si="38"/>
        <v>3000</v>
      </c>
      <c r="Q466" s="68">
        <f t="shared" si="38"/>
        <v>0</v>
      </c>
      <c r="R466" s="68">
        <f t="shared" si="38"/>
        <v>0</v>
      </c>
      <c r="S466" s="68">
        <f t="shared" si="38"/>
        <v>0</v>
      </c>
      <c r="T466" s="68">
        <f t="shared" si="38"/>
        <v>0</v>
      </c>
      <c r="U466" s="68">
        <f t="shared" si="38"/>
        <v>0</v>
      </c>
      <c r="V466" s="68">
        <f t="shared" si="38"/>
        <v>0</v>
      </c>
      <c r="W466" s="68">
        <f t="shared" si="38"/>
        <v>0</v>
      </c>
      <c r="X466" s="68">
        <f t="shared" si="38"/>
        <v>8854.32</v>
      </c>
      <c r="Y466" s="68">
        <f t="shared" si="38"/>
        <v>0</v>
      </c>
      <c r="Z466" s="68">
        <f t="shared" si="38"/>
        <v>0</v>
      </c>
      <c r="AA466" s="68">
        <f t="shared" si="38"/>
        <v>0</v>
      </c>
      <c r="AB466" s="68">
        <f t="shared" si="38"/>
        <v>0</v>
      </c>
      <c r="AC466" s="68">
        <f t="shared" si="38"/>
        <v>0</v>
      </c>
      <c r="AD466" s="68">
        <f t="shared" si="38"/>
        <v>115.21000000000004</v>
      </c>
      <c r="AE466" s="68">
        <f t="shared" si="38"/>
        <v>0</v>
      </c>
      <c r="AF466" s="68">
        <f t="shared" si="38"/>
        <v>0</v>
      </c>
      <c r="AG466" s="68">
        <f t="shared" si="38"/>
        <v>0</v>
      </c>
      <c r="AH466" s="68">
        <f t="shared" si="38"/>
        <v>0</v>
      </c>
      <c r="AI466" s="68">
        <f t="shared" si="38"/>
        <v>0</v>
      </c>
      <c r="AJ466" s="68">
        <f t="shared" si="38"/>
        <v>0</v>
      </c>
      <c r="AK466" s="68">
        <f t="shared" si="38"/>
        <v>0</v>
      </c>
      <c r="AL466" s="68">
        <f t="shared" si="38"/>
        <v>0</v>
      </c>
      <c r="AM466" s="68">
        <f t="shared" si="38"/>
        <v>0</v>
      </c>
      <c r="AN466" s="68">
        <f t="shared" si="38"/>
        <v>0</v>
      </c>
      <c r="AO466" s="68">
        <f t="shared" si="38"/>
        <v>0</v>
      </c>
      <c r="AP466" s="68">
        <f t="shared" si="38"/>
        <v>0</v>
      </c>
      <c r="AQ466" s="68">
        <f t="shared" si="38"/>
        <v>0</v>
      </c>
      <c r="AR466" s="57">
        <f t="shared" si="38"/>
        <v>1167028.3299999998</v>
      </c>
      <c r="AS466" s="68">
        <f t="shared" si="38"/>
        <v>936892.29999999958</v>
      </c>
      <c r="AT466" s="68">
        <f t="shared" si="38"/>
        <v>58570.910000000011</v>
      </c>
      <c r="AU466" s="68">
        <f t="shared" si="38"/>
        <v>114826.37000000002</v>
      </c>
      <c r="AV466" s="68">
        <f t="shared" si="38"/>
        <v>3969.5000000000005</v>
      </c>
      <c r="AW466" s="68">
        <f t="shared" si="38"/>
        <v>0</v>
      </c>
      <c r="AX466" s="68">
        <f t="shared" si="38"/>
        <v>0</v>
      </c>
      <c r="AY466" s="68">
        <f t="shared" si="38"/>
        <v>0</v>
      </c>
      <c r="AZ466" s="68">
        <f t="shared" si="38"/>
        <v>0</v>
      </c>
      <c r="BA466" s="68">
        <f t="shared" si="38"/>
        <v>0</v>
      </c>
      <c r="BB466" s="68">
        <f t="shared" si="38"/>
        <v>0</v>
      </c>
      <c r="BC466" s="68">
        <f t="shared" si="38"/>
        <v>0</v>
      </c>
      <c r="BD466" s="68">
        <f t="shared" si="38"/>
        <v>0</v>
      </c>
      <c r="BE466" s="68">
        <f t="shared" si="38"/>
        <v>0</v>
      </c>
      <c r="BF466" s="68">
        <f t="shared" si="38"/>
        <v>1138.75</v>
      </c>
      <c r="BG466" s="68">
        <f t="shared" si="38"/>
        <v>312</v>
      </c>
      <c r="BH466" s="68">
        <f t="shared" si="38"/>
        <v>1053.5</v>
      </c>
      <c r="BI466" s="68">
        <f t="shared" si="38"/>
        <v>2810</v>
      </c>
      <c r="BJ466" s="68">
        <f t="shared" si="38"/>
        <v>395.25</v>
      </c>
      <c r="BK466" s="68">
        <f t="shared" si="38"/>
        <v>22000</v>
      </c>
      <c r="BL466" s="68">
        <f t="shared" si="38"/>
        <v>22000</v>
      </c>
      <c r="BM466" s="68">
        <f t="shared" si="38"/>
        <v>0</v>
      </c>
      <c r="BN466" s="68">
        <f t="shared" si="38"/>
        <v>3000</v>
      </c>
      <c r="BO466" s="68">
        <f t="shared" si="38"/>
        <v>0</v>
      </c>
      <c r="BP466" s="68">
        <f t="shared" si="38"/>
        <v>0</v>
      </c>
      <c r="BQ466" s="68">
        <f t="shared" si="38"/>
        <v>0</v>
      </c>
      <c r="BR466" s="68">
        <f t="shared" si="38"/>
        <v>0</v>
      </c>
      <c r="BS466" s="68">
        <f t="shared" si="38"/>
        <v>0</v>
      </c>
      <c r="BT466" s="68">
        <f t="shared" si="38"/>
        <v>0</v>
      </c>
      <c r="BU466" s="68">
        <f t="shared" ref="BU466:CM466" si="39">SUM(BU324:BU465)-BU467</f>
        <v>0</v>
      </c>
      <c r="BV466" s="68">
        <f t="shared" si="39"/>
        <v>0</v>
      </c>
      <c r="BW466" s="68">
        <f t="shared" si="39"/>
        <v>0</v>
      </c>
      <c r="BX466" s="68">
        <f t="shared" si="39"/>
        <v>0</v>
      </c>
      <c r="BY466" s="68">
        <f t="shared" si="39"/>
        <v>0</v>
      </c>
      <c r="BZ466" s="68">
        <f t="shared" si="39"/>
        <v>0</v>
      </c>
      <c r="CA466" s="68">
        <f t="shared" si="39"/>
        <v>0</v>
      </c>
      <c r="CB466" s="68">
        <f t="shared" si="39"/>
        <v>59.75</v>
      </c>
      <c r="CC466" s="57">
        <f t="shared" si="39"/>
        <v>1167028.3299999998</v>
      </c>
      <c r="CD466" s="68">
        <f t="shared" si="39"/>
        <v>0</v>
      </c>
      <c r="CF466" s="29"/>
      <c r="CG466" s="68">
        <f t="shared" si="39"/>
        <v>0</v>
      </c>
      <c r="CH466" s="68">
        <f t="shared" si="39"/>
        <v>0</v>
      </c>
      <c r="CI466" s="68">
        <f t="shared" si="39"/>
        <v>0</v>
      </c>
      <c r="CJ466" s="68">
        <f t="shared" si="39"/>
        <v>0</v>
      </c>
      <c r="CK466" s="68">
        <f t="shared" si="39"/>
        <v>0</v>
      </c>
      <c r="CL466" s="68">
        <f t="shared" si="39"/>
        <v>0</v>
      </c>
      <c r="CM466" s="68">
        <f t="shared" si="39"/>
        <v>0</v>
      </c>
    </row>
    <row r="467" spans="3:91" s="68" customFormat="1" ht="17.25" customHeight="1" x14ac:dyDescent="0.25">
      <c r="C467" s="83"/>
      <c r="D467" s="84"/>
      <c r="F467" s="68" t="s">
        <v>1384</v>
      </c>
      <c r="H467" s="68">
        <f>+H425</f>
        <v>0</v>
      </c>
      <c r="I467" s="68">
        <f t="shared" ref="I467:BT467" si="40">+I425</f>
        <v>0</v>
      </c>
      <c r="J467" s="68">
        <f t="shared" si="40"/>
        <v>0</v>
      </c>
      <c r="K467" s="68">
        <f t="shared" si="40"/>
        <v>0</v>
      </c>
      <c r="L467" s="68">
        <f t="shared" si="40"/>
        <v>0</v>
      </c>
      <c r="M467" s="68">
        <f t="shared" si="40"/>
        <v>0</v>
      </c>
      <c r="N467" s="68">
        <f t="shared" si="40"/>
        <v>0</v>
      </c>
      <c r="O467" s="68">
        <f t="shared" si="40"/>
        <v>0</v>
      </c>
      <c r="P467" s="68">
        <f t="shared" si="40"/>
        <v>0</v>
      </c>
      <c r="Q467" s="68">
        <f t="shared" si="40"/>
        <v>0</v>
      </c>
      <c r="R467" s="68">
        <f t="shared" si="40"/>
        <v>0</v>
      </c>
      <c r="S467" s="68">
        <f t="shared" si="40"/>
        <v>0</v>
      </c>
      <c r="T467" s="68">
        <f t="shared" si="40"/>
        <v>0</v>
      </c>
      <c r="U467" s="68">
        <f t="shared" si="40"/>
        <v>0</v>
      </c>
      <c r="V467" s="68">
        <f t="shared" si="40"/>
        <v>0</v>
      </c>
      <c r="W467" s="68">
        <f t="shared" si="40"/>
        <v>0</v>
      </c>
      <c r="X467" s="68">
        <f t="shared" si="40"/>
        <v>0</v>
      </c>
      <c r="Y467" s="68">
        <f t="shared" si="40"/>
        <v>0</v>
      </c>
      <c r="Z467" s="68">
        <f t="shared" si="40"/>
        <v>0</v>
      </c>
      <c r="AA467" s="68">
        <f t="shared" si="40"/>
        <v>0</v>
      </c>
      <c r="AB467" s="68">
        <f t="shared" si="40"/>
        <v>0</v>
      </c>
      <c r="AC467" s="68">
        <f t="shared" si="40"/>
        <v>0</v>
      </c>
      <c r="AD467" s="68">
        <f t="shared" si="40"/>
        <v>2558.52</v>
      </c>
      <c r="AE467" s="68">
        <f t="shared" si="40"/>
        <v>0</v>
      </c>
      <c r="AF467" s="68">
        <f t="shared" si="40"/>
        <v>0</v>
      </c>
      <c r="AG467" s="68">
        <f t="shared" si="40"/>
        <v>0</v>
      </c>
      <c r="AH467" s="68">
        <f t="shared" si="40"/>
        <v>0</v>
      </c>
      <c r="AI467" s="68">
        <f t="shared" si="40"/>
        <v>0</v>
      </c>
      <c r="AJ467" s="68">
        <f t="shared" si="40"/>
        <v>0</v>
      </c>
      <c r="AK467" s="68">
        <f t="shared" si="40"/>
        <v>0</v>
      </c>
      <c r="AL467" s="68">
        <f t="shared" si="40"/>
        <v>0</v>
      </c>
      <c r="AM467" s="68">
        <f t="shared" si="40"/>
        <v>0</v>
      </c>
      <c r="AN467" s="68">
        <f t="shared" si="40"/>
        <v>0</v>
      </c>
      <c r="AO467" s="68">
        <f t="shared" si="40"/>
        <v>0</v>
      </c>
      <c r="AP467" s="68">
        <f t="shared" si="40"/>
        <v>0</v>
      </c>
      <c r="AQ467" s="68">
        <f t="shared" si="40"/>
        <v>0</v>
      </c>
      <c r="AR467" s="57">
        <f t="shared" si="40"/>
        <v>2558.52</v>
      </c>
      <c r="AS467" s="68">
        <f t="shared" si="40"/>
        <v>2558.52</v>
      </c>
      <c r="AT467" s="68">
        <f t="shared" si="40"/>
        <v>0</v>
      </c>
      <c r="AU467" s="68">
        <f t="shared" si="40"/>
        <v>0</v>
      </c>
      <c r="AV467" s="68">
        <f t="shared" si="40"/>
        <v>0</v>
      </c>
      <c r="AW467" s="68">
        <f t="shared" si="40"/>
        <v>0</v>
      </c>
      <c r="AX467" s="68">
        <f t="shared" si="40"/>
        <v>0</v>
      </c>
      <c r="AY467" s="68">
        <f t="shared" si="40"/>
        <v>0</v>
      </c>
      <c r="AZ467" s="68">
        <f t="shared" si="40"/>
        <v>0</v>
      </c>
      <c r="BA467" s="68">
        <f t="shared" si="40"/>
        <v>0</v>
      </c>
      <c r="BB467" s="68">
        <f t="shared" si="40"/>
        <v>0</v>
      </c>
      <c r="BC467" s="68">
        <f t="shared" si="40"/>
        <v>0</v>
      </c>
      <c r="BD467" s="68">
        <f t="shared" si="40"/>
        <v>0</v>
      </c>
      <c r="BE467" s="68">
        <f t="shared" si="40"/>
        <v>0</v>
      </c>
      <c r="BF467" s="68">
        <f t="shared" si="40"/>
        <v>0</v>
      </c>
      <c r="BG467" s="68">
        <f t="shared" si="40"/>
        <v>0</v>
      </c>
      <c r="BH467" s="68">
        <f t="shared" si="40"/>
        <v>0</v>
      </c>
      <c r="BI467" s="68">
        <f t="shared" si="40"/>
        <v>0</v>
      </c>
      <c r="BJ467" s="68">
        <f t="shared" si="40"/>
        <v>0</v>
      </c>
      <c r="BK467" s="68">
        <f t="shared" si="40"/>
        <v>0</v>
      </c>
      <c r="BL467" s="68">
        <f t="shared" si="40"/>
        <v>0</v>
      </c>
      <c r="BM467" s="68">
        <f t="shared" si="40"/>
        <v>0</v>
      </c>
      <c r="BN467" s="68">
        <f t="shared" si="40"/>
        <v>0</v>
      </c>
      <c r="BO467" s="68">
        <f t="shared" si="40"/>
        <v>0</v>
      </c>
      <c r="BP467" s="68">
        <f t="shared" si="40"/>
        <v>0</v>
      </c>
      <c r="BQ467" s="68">
        <f t="shared" si="40"/>
        <v>0</v>
      </c>
      <c r="BR467" s="68">
        <f t="shared" si="40"/>
        <v>0</v>
      </c>
      <c r="BS467" s="68">
        <f t="shared" si="40"/>
        <v>0</v>
      </c>
      <c r="BT467" s="68">
        <f t="shared" si="40"/>
        <v>0</v>
      </c>
      <c r="BU467" s="68">
        <f t="shared" ref="BU467:CL467" si="41">+BU425</f>
        <v>0</v>
      </c>
      <c r="BV467" s="68">
        <f t="shared" si="41"/>
        <v>0</v>
      </c>
      <c r="BW467" s="68">
        <f t="shared" si="41"/>
        <v>0</v>
      </c>
      <c r="BX467" s="68">
        <f t="shared" si="41"/>
        <v>0</v>
      </c>
      <c r="BY467" s="68">
        <f t="shared" si="41"/>
        <v>0</v>
      </c>
      <c r="BZ467" s="68">
        <f t="shared" si="41"/>
        <v>0</v>
      </c>
      <c r="CA467" s="68">
        <f t="shared" si="41"/>
        <v>0</v>
      </c>
      <c r="CB467" s="68">
        <f t="shared" si="41"/>
        <v>0</v>
      </c>
      <c r="CC467" s="57">
        <f t="shared" si="41"/>
        <v>2558.52</v>
      </c>
      <c r="CD467" s="68">
        <f t="shared" si="41"/>
        <v>0</v>
      </c>
      <c r="CF467" s="29" t="str">
        <f t="shared" si="41"/>
        <v>بيرول</v>
      </c>
      <c r="CG467" s="68">
        <f t="shared" si="41"/>
        <v>0</v>
      </c>
      <c r="CH467" s="68">
        <f t="shared" si="41"/>
        <v>0</v>
      </c>
      <c r="CI467" s="68">
        <f t="shared" si="41"/>
        <v>0</v>
      </c>
      <c r="CJ467" s="68">
        <f t="shared" si="41"/>
        <v>0</v>
      </c>
      <c r="CK467" s="68">
        <f t="shared" si="41"/>
        <v>0</v>
      </c>
      <c r="CL467" s="68">
        <f t="shared" si="41"/>
        <v>0</v>
      </c>
    </row>
    <row r="468" spans="3:91" x14ac:dyDescent="0.25">
      <c r="C468" s="82">
        <v>14388</v>
      </c>
      <c r="D468" s="70">
        <v>8815</v>
      </c>
      <c r="E468" s="69" t="s">
        <v>119</v>
      </c>
      <c r="F468" s="69" t="s">
        <v>1385</v>
      </c>
      <c r="H468" s="69">
        <v>8406.25</v>
      </c>
      <c r="U468" s="69"/>
      <c r="V468" s="69"/>
      <c r="AR468" s="74">
        <f t="shared" si="32"/>
        <v>8406.25</v>
      </c>
      <c r="AS468" s="69">
        <v>5313.53</v>
      </c>
      <c r="AT468" s="69">
        <v>630.24</v>
      </c>
      <c r="AU468" s="69">
        <v>2106.48</v>
      </c>
      <c r="AV468" s="69">
        <v>356</v>
      </c>
      <c r="BC468" s="69"/>
      <c r="BD468" s="69"/>
      <c r="CC468" s="74">
        <f t="shared" si="35"/>
        <v>8406.25</v>
      </c>
      <c r="CD468" s="73">
        <f t="shared" si="36"/>
        <v>0</v>
      </c>
      <c r="CE468" s="75">
        <f t="shared" si="37"/>
        <v>8815</v>
      </c>
      <c r="CF468" s="3" t="str">
        <f t="shared" si="37"/>
        <v>خ ت صيدلة</v>
      </c>
    </row>
    <row r="469" spans="3:91" x14ac:dyDescent="0.25">
      <c r="C469" s="82">
        <v>14407</v>
      </c>
      <c r="D469" s="70">
        <v>8816</v>
      </c>
      <c r="E469" s="69" t="s">
        <v>119</v>
      </c>
      <c r="F469" s="69" t="s">
        <v>1385</v>
      </c>
      <c r="H469" s="69">
        <v>738.68</v>
      </c>
      <c r="U469" s="69"/>
      <c r="V469" s="69"/>
      <c r="AR469" s="74">
        <f t="shared" si="32"/>
        <v>738.68</v>
      </c>
      <c r="AS469" s="69">
        <v>473.04</v>
      </c>
      <c r="AT469" s="69">
        <v>56.16</v>
      </c>
      <c r="AU469" s="69">
        <v>177.98</v>
      </c>
      <c r="AV469" s="69">
        <v>31.5</v>
      </c>
      <c r="BC469" s="69"/>
      <c r="BD469" s="69"/>
      <c r="CC469" s="74">
        <f t="shared" si="35"/>
        <v>738.68000000000006</v>
      </c>
      <c r="CD469" s="73">
        <f t="shared" si="36"/>
        <v>0</v>
      </c>
      <c r="CE469" s="75">
        <f t="shared" si="37"/>
        <v>8816</v>
      </c>
      <c r="CF469" s="3" t="str">
        <f t="shared" si="37"/>
        <v>خ ت صيدلة</v>
      </c>
    </row>
    <row r="470" spans="3:91" x14ac:dyDescent="0.25">
      <c r="C470" s="82">
        <v>14408</v>
      </c>
      <c r="D470" s="70">
        <v>8817</v>
      </c>
      <c r="E470" s="69" t="s">
        <v>119</v>
      </c>
      <c r="F470" s="69" t="s">
        <v>1385</v>
      </c>
      <c r="H470" s="69">
        <v>938</v>
      </c>
      <c r="U470" s="69"/>
      <c r="V470" s="69"/>
      <c r="AR470" s="74">
        <f t="shared" si="32"/>
        <v>938</v>
      </c>
      <c r="AS470" s="69">
        <v>600.62</v>
      </c>
      <c r="AT470" s="69">
        <v>71.38</v>
      </c>
      <c r="AU470" s="69">
        <v>226</v>
      </c>
      <c r="AV470" s="69">
        <v>40</v>
      </c>
      <c r="BC470" s="69"/>
      <c r="BD470" s="69"/>
      <c r="CC470" s="74">
        <f t="shared" si="35"/>
        <v>938</v>
      </c>
      <c r="CD470" s="73">
        <f t="shared" si="36"/>
        <v>0</v>
      </c>
      <c r="CE470" s="75">
        <f t="shared" si="37"/>
        <v>8817</v>
      </c>
      <c r="CF470" s="3" t="str">
        <f t="shared" si="37"/>
        <v>خ ت صيدلة</v>
      </c>
    </row>
    <row r="471" spans="3:91" x14ac:dyDescent="0.25">
      <c r="C471" s="82">
        <v>14406</v>
      </c>
      <c r="D471" s="70">
        <v>8818</v>
      </c>
      <c r="E471" s="69" t="s">
        <v>119</v>
      </c>
      <c r="F471" s="69" t="s">
        <v>1385</v>
      </c>
      <c r="H471" s="69">
        <v>36966.83</v>
      </c>
      <c r="U471" s="69"/>
      <c r="V471" s="69"/>
      <c r="AR471" s="74">
        <f t="shared" si="32"/>
        <v>36966.83</v>
      </c>
      <c r="AS471" s="69">
        <v>22719.4</v>
      </c>
      <c r="AT471" s="69">
        <v>4021.2</v>
      </c>
      <c r="AU471" s="69">
        <v>8641.73</v>
      </c>
      <c r="AV471" s="69">
        <v>1584.5</v>
      </c>
      <c r="BC471" s="69"/>
      <c r="BD471" s="69"/>
      <c r="CC471" s="74">
        <f t="shared" si="35"/>
        <v>36966.83</v>
      </c>
      <c r="CD471" s="73">
        <f t="shared" si="36"/>
        <v>0</v>
      </c>
      <c r="CE471" s="75">
        <f t="shared" si="37"/>
        <v>8818</v>
      </c>
      <c r="CF471" s="3" t="str">
        <f t="shared" si="37"/>
        <v>خ ت صيدلة</v>
      </c>
    </row>
    <row r="472" spans="3:91" x14ac:dyDescent="0.25">
      <c r="C472" s="82">
        <v>14387</v>
      </c>
      <c r="D472" s="70">
        <v>8819</v>
      </c>
      <c r="E472" s="69" t="s">
        <v>119</v>
      </c>
      <c r="F472" s="69" t="s">
        <v>1385</v>
      </c>
      <c r="H472" s="69">
        <v>630</v>
      </c>
      <c r="U472" s="69"/>
      <c r="V472" s="69"/>
      <c r="AR472" s="74">
        <f t="shared" si="32"/>
        <v>630</v>
      </c>
      <c r="AS472" s="69">
        <v>534.96</v>
      </c>
      <c r="AT472" s="69">
        <v>63.54</v>
      </c>
      <c r="AV472" s="69">
        <v>31.5</v>
      </c>
      <c r="BC472" s="69"/>
      <c r="BD472" s="69"/>
      <c r="CC472" s="74">
        <f t="shared" si="35"/>
        <v>630</v>
      </c>
      <c r="CD472" s="73">
        <f t="shared" si="36"/>
        <v>0</v>
      </c>
      <c r="CE472" s="75">
        <f t="shared" si="37"/>
        <v>8819</v>
      </c>
      <c r="CF472" s="3" t="str">
        <f t="shared" si="37"/>
        <v>خ ت صيدلة</v>
      </c>
    </row>
    <row r="473" spans="3:91" x14ac:dyDescent="0.25">
      <c r="C473" s="82">
        <v>14389</v>
      </c>
      <c r="D473" s="70">
        <v>8820</v>
      </c>
      <c r="E473" s="69" t="s">
        <v>119</v>
      </c>
      <c r="F473" s="69" t="s">
        <v>1385</v>
      </c>
      <c r="H473" s="69">
        <v>1876</v>
      </c>
      <c r="U473" s="69"/>
      <c r="V473" s="69"/>
      <c r="AR473" s="74">
        <f t="shared" si="32"/>
        <v>1876</v>
      </c>
      <c r="AS473" s="69">
        <v>1202.4000000000001</v>
      </c>
      <c r="AT473" s="69">
        <v>141.6</v>
      </c>
      <c r="AU473" s="69">
        <v>452</v>
      </c>
      <c r="AV473" s="69">
        <v>80</v>
      </c>
      <c r="BC473" s="69"/>
      <c r="BD473" s="69"/>
      <c r="CC473" s="74">
        <f t="shared" si="35"/>
        <v>1876</v>
      </c>
      <c r="CD473" s="73">
        <f t="shared" si="36"/>
        <v>0</v>
      </c>
      <c r="CE473" s="75">
        <f t="shared" si="37"/>
        <v>8820</v>
      </c>
      <c r="CF473" s="3" t="str">
        <f t="shared" si="37"/>
        <v>خ ت صيدلة</v>
      </c>
    </row>
    <row r="474" spans="3:91" x14ac:dyDescent="0.25">
      <c r="C474" s="82">
        <v>14405</v>
      </c>
      <c r="D474" s="70">
        <v>8821</v>
      </c>
      <c r="E474" s="69" t="s">
        <v>119</v>
      </c>
      <c r="F474" s="69" t="s">
        <v>1385</v>
      </c>
      <c r="H474" s="69">
        <v>7748.35</v>
      </c>
      <c r="U474" s="69"/>
      <c r="V474" s="69"/>
      <c r="AR474" s="74">
        <f t="shared" si="32"/>
        <v>7748.35</v>
      </c>
      <c r="AS474" s="69">
        <v>5302.7</v>
      </c>
      <c r="AT474" s="69">
        <f>36.2+691</f>
        <v>727.2</v>
      </c>
      <c r="AU474" s="69">
        <v>1372.95</v>
      </c>
      <c r="AV474" s="69">
        <v>345.5</v>
      </c>
      <c r="BC474" s="69"/>
      <c r="BD474" s="69"/>
      <c r="CC474" s="74">
        <f t="shared" si="35"/>
        <v>7748.3499999999995</v>
      </c>
      <c r="CD474" s="73">
        <f t="shared" si="36"/>
        <v>0</v>
      </c>
      <c r="CE474" s="75">
        <f t="shared" si="37"/>
        <v>8821</v>
      </c>
      <c r="CF474" s="3" t="str">
        <f t="shared" si="37"/>
        <v>خ ت صيدلة</v>
      </c>
    </row>
    <row r="475" spans="3:91" x14ac:dyDescent="0.25">
      <c r="C475" s="82">
        <v>14394</v>
      </c>
      <c r="D475" s="70">
        <v>8822</v>
      </c>
      <c r="E475" s="69" t="s">
        <v>119</v>
      </c>
      <c r="F475" s="69" t="s">
        <v>1385</v>
      </c>
      <c r="H475" s="69">
        <v>1233.9100000000001</v>
      </c>
      <c r="U475" s="69"/>
      <c r="V475" s="69"/>
      <c r="AR475" s="74">
        <f t="shared" si="32"/>
        <v>1233.9100000000001</v>
      </c>
      <c r="AS475" s="69">
        <v>749.24</v>
      </c>
      <c r="AT475" s="69">
        <v>88.1</v>
      </c>
      <c r="AU475" s="69">
        <v>345.42</v>
      </c>
      <c r="AV475" s="69">
        <v>51.15</v>
      </c>
      <c r="BC475" s="69"/>
      <c r="BD475" s="69"/>
      <c r="CC475" s="74">
        <f t="shared" si="35"/>
        <v>1233.9100000000001</v>
      </c>
      <c r="CD475" s="73">
        <f t="shared" si="36"/>
        <v>0</v>
      </c>
      <c r="CE475" s="75">
        <f t="shared" si="37"/>
        <v>8822</v>
      </c>
      <c r="CF475" s="3" t="str">
        <f t="shared" si="37"/>
        <v>خ ت صيدلة</v>
      </c>
    </row>
    <row r="476" spans="3:91" x14ac:dyDescent="0.25">
      <c r="C476" s="82">
        <v>14395</v>
      </c>
      <c r="D476" s="70">
        <v>8823</v>
      </c>
      <c r="E476" s="69" t="s">
        <v>119</v>
      </c>
      <c r="F476" s="69" t="s">
        <v>1385</v>
      </c>
      <c r="H476" s="69">
        <v>1395.41</v>
      </c>
      <c r="U476" s="69"/>
      <c r="V476" s="69"/>
      <c r="AR476" s="74">
        <f t="shared" si="32"/>
        <v>1395.41</v>
      </c>
      <c r="AS476" s="69">
        <v>843.97</v>
      </c>
      <c r="AT476" s="69">
        <v>155.72999999999999</v>
      </c>
      <c r="AU476" s="69">
        <v>336.2</v>
      </c>
      <c r="AV476" s="69">
        <v>59.51</v>
      </c>
      <c r="BC476" s="69"/>
      <c r="BD476" s="69"/>
      <c r="CC476" s="74">
        <f t="shared" si="35"/>
        <v>1395.41</v>
      </c>
      <c r="CD476" s="73">
        <f t="shared" si="36"/>
        <v>0</v>
      </c>
      <c r="CE476" s="75">
        <f t="shared" si="37"/>
        <v>8823</v>
      </c>
      <c r="CF476" s="3" t="str">
        <f t="shared" si="37"/>
        <v>خ ت صيدلة</v>
      </c>
    </row>
    <row r="477" spans="3:91" x14ac:dyDescent="0.25">
      <c r="C477" s="82">
        <v>14399</v>
      </c>
      <c r="D477" s="70">
        <v>8824</v>
      </c>
      <c r="E477" s="69" t="s">
        <v>119</v>
      </c>
      <c r="F477" s="69" t="s">
        <v>1385</v>
      </c>
      <c r="H477" s="69">
        <v>3048.5</v>
      </c>
      <c r="U477" s="69"/>
      <c r="V477" s="69"/>
      <c r="AR477" s="74">
        <f t="shared" si="32"/>
        <v>3048.5</v>
      </c>
      <c r="AS477" s="69">
        <v>1907</v>
      </c>
      <c r="AT477" s="69">
        <f>17+260</f>
        <v>277</v>
      </c>
      <c r="AU477" s="69">
        <v>734.5</v>
      </c>
      <c r="AV477" s="69">
        <v>130</v>
      </c>
      <c r="BC477" s="69"/>
      <c r="BD477" s="69"/>
      <c r="CC477" s="74">
        <f t="shared" si="35"/>
        <v>3048.5</v>
      </c>
      <c r="CD477" s="73">
        <f t="shared" si="36"/>
        <v>0</v>
      </c>
      <c r="CE477" s="75">
        <f t="shared" si="37"/>
        <v>8824</v>
      </c>
      <c r="CF477" s="3" t="str">
        <f t="shared" si="37"/>
        <v>خ ت صيدلة</v>
      </c>
    </row>
    <row r="478" spans="3:91" x14ac:dyDescent="0.25">
      <c r="C478" s="82">
        <v>14396</v>
      </c>
      <c r="D478" s="70">
        <v>8825</v>
      </c>
      <c r="E478" s="69" t="s">
        <v>119</v>
      </c>
      <c r="F478" s="69" t="s">
        <v>1385</v>
      </c>
      <c r="H478" s="69">
        <v>351.75</v>
      </c>
      <c r="U478" s="69"/>
      <c r="V478" s="69"/>
      <c r="AR478" s="74">
        <f t="shared" si="32"/>
        <v>351.75</v>
      </c>
      <c r="AS478" s="69">
        <v>220.55</v>
      </c>
      <c r="AT478" s="69">
        <f>1.45+30</f>
        <v>31.45</v>
      </c>
      <c r="AU478" s="69">
        <v>84.75</v>
      </c>
      <c r="AV478" s="69">
        <v>15</v>
      </c>
      <c r="BC478" s="69"/>
      <c r="BD478" s="69"/>
      <c r="CC478" s="74">
        <f t="shared" si="35"/>
        <v>351.75</v>
      </c>
      <c r="CD478" s="73">
        <f t="shared" si="36"/>
        <v>0</v>
      </c>
      <c r="CE478" s="75">
        <f t="shared" si="37"/>
        <v>8825</v>
      </c>
      <c r="CF478" s="3" t="str">
        <f t="shared" si="37"/>
        <v>خ ت صيدلة</v>
      </c>
    </row>
    <row r="479" spans="3:91" x14ac:dyDescent="0.25">
      <c r="C479" s="82">
        <v>14397</v>
      </c>
      <c r="D479" s="70">
        <v>8826</v>
      </c>
      <c r="E479" s="69" t="s">
        <v>119</v>
      </c>
      <c r="F479" s="69" t="s">
        <v>1385</v>
      </c>
      <c r="H479" s="69">
        <v>5500</v>
      </c>
      <c r="U479" s="69"/>
      <c r="V479" s="69"/>
      <c r="AR479" s="74">
        <f t="shared" si="32"/>
        <v>5500</v>
      </c>
      <c r="AS479" s="69">
        <v>4145.12</v>
      </c>
      <c r="AT479" s="69">
        <v>1079.8800000000001</v>
      </c>
      <c r="AV479" s="69">
        <v>275</v>
      </c>
      <c r="BC479" s="69"/>
      <c r="BD479" s="69"/>
      <c r="CC479" s="74">
        <f t="shared" si="35"/>
        <v>5500</v>
      </c>
      <c r="CD479" s="73">
        <f t="shared" si="36"/>
        <v>0</v>
      </c>
      <c r="CE479" s="75">
        <f t="shared" si="37"/>
        <v>8826</v>
      </c>
      <c r="CF479" s="3" t="str">
        <f t="shared" si="37"/>
        <v>خ ت صيدلة</v>
      </c>
    </row>
    <row r="480" spans="3:91" x14ac:dyDescent="0.25">
      <c r="C480" s="82">
        <v>14398</v>
      </c>
      <c r="D480" s="70">
        <v>8827</v>
      </c>
      <c r="E480" s="69" t="s">
        <v>119</v>
      </c>
      <c r="F480" s="69" t="s">
        <v>1385</v>
      </c>
      <c r="H480" s="69">
        <v>62800</v>
      </c>
      <c r="U480" s="69"/>
      <c r="V480" s="69"/>
      <c r="AR480" s="74">
        <f t="shared" si="32"/>
        <v>62800</v>
      </c>
      <c r="AS480" s="69">
        <v>47342.64</v>
      </c>
      <c r="AT480" s="69">
        <v>12317.36</v>
      </c>
      <c r="AV480" s="69">
        <v>3140</v>
      </c>
      <c r="BC480" s="69"/>
      <c r="BD480" s="69"/>
      <c r="CC480" s="74">
        <f t="shared" si="35"/>
        <v>62800</v>
      </c>
      <c r="CD480" s="73">
        <f t="shared" si="36"/>
        <v>0</v>
      </c>
      <c r="CE480" s="75">
        <f t="shared" si="37"/>
        <v>8827</v>
      </c>
      <c r="CF480" s="3" t="str">
        <f t="shared" si="37"/>
        <v>خ ت صيدلة</v>
      </c>
    </row>
    <row r="481" spans="3:84" x14ac:dyDescent="0.25">
      <c r="C481" s="82">
        <v>14401</v>
      </c>
      <c r="D481" s="70">
        <v>8828</v>
      </c>
      <c r="E481" s="69" t="s">
        <v>119</v>
      </c>
      <c r="F481" s="69" t="s">
        <v>1385</v>
      </c>
      <c r="H481" s="69">
        <v>14000</v>
      </c>
      <c r="U481" s="69"/>
      <c r="V481" s="69"/>
      <c r="AR481" s="74">
        <f t="shared" si="32"/>
        <v>14000</v>
      </c>
      <c r="AS481" s="69">
        <v>10563.04</v>
      </c>
      <c r="AT481" s="69">
        <v>2736.96</v>
      </c>
      <c r="AV481" s="69">
        <v>700</v>
      </c>
      <c r="BC481" s="69"/>
      <c r="BD481" s="69"/>
      <c r="CC481" s="74">
        <f t="shared" si="35"/>
        <v>14000</v>
      </c>
      <c r="CD481" s="73">
        <f t="shared" si="36"/>
        <v>0</v>
      </c>
      <c r="CE481" s="75">
        <f t="shared" si="37"/>
        <v>8828</v>
      </c>
      <c r="CF481" s="3" t="str">
        <f t="shared" si="37"/>
        <v>خ ت صيدلة</v>
      </c>
    </row>
    <row r="482" spans="3:84" x14ac:dyDescent="0.25">
      <c r="C482" s="82">
        <v>14400</v>
      </c>
      <c r="D482" s="70">
        <v>8829</v>
      </c>
      <c r="E482" s="69" t="s">
        <v>119</v>
      </c>
      <c r="F482" s="69" t="s">
        <v>1385</v>
      </c>
      <c r="H482" s="69">
        <v>300</v>
      </c>
      <c r="U482" s="69"/>
      <c r="V482" s="69"/>
      <c r="AR482" s="74">
        <f t="shared" si="32"/>
        <v>300</v>
      </c>
      <c r="AS482" s="69">
        <v>226.68</v>
      </c>
      <c r="AT482" s="69">
        <v>58.32</v>
      </c>
      <c r="AV482" s="69">
        <v>15</v>
      </c>
      <c r="BC482" s="69"/>
      <c r="BD482" s="69"/>
      <c r="CC482" s="74">
        <f t="shared" si="35"/>
        <v>300</v>
      </c>
      <c r="CD482" s="73">
        <f t="shared" si="36"/>
        <v>0</v>
      </c>
      <c r="CE482" s="75">
        <f t="shared" si="37"/>
        <v>8829</v>
      </c>
      <c r="CF482" s="3" t="str">
        <f t="shared" si="37"/>
        <v>خ ت صيدلة</v>
      </c>
    </row>
    <row r="483" spans="3:84" x14ac:dyDescent="0.25">
      <c r="C483" s="82">
        <v>14382</v>
      </c>
      <c r="D483" s="70">
        <v>8830</v>
      </c>
      <c r="E483" s="69" t="s">
        <v>119</v>
      </c>
      <c r="F483" s="69" t="s">
        <v>1385</v>
      </c>
      <c r="H483" s="69">
        <v>3376.8</v>
      </c>
      <c r="U483" s="69"/>
      <c r="V483" s="69"/>
      <c r="AR483" s="74">
        <f t="shared" si="32"/>
        <v>3376.8</v>
      </c>
      <c r="AS483" s="69">
        <v>2112.35</v>
      </c>
      <c r="AT483" s="69">
        <f>18.85+288</f>
        <v>306.85000000000002</v>
      </c>
      <c r="AU483" s="69">
        <v>813.6</v>
      </c>
      <c r="AV483" s="69">
        <v>144</v>
      </c>
      <c r="BC483" s="69"/>
      <c r="BD483" s="69"/>
      <c r="CC483" s="74">
        <f t="shared" si="35"/>
        <v>3376.7999999999997</v>
      </c>
      <c r="CD483" s="73">
        <f t="shared" si="36"/>
        <v>0</v>
      </c>
      <c r="CE483" s="75">
        <f t="shared" si="37"/>
        <v>8830</v>
      </c>
      <c r="CF483" s="3" t="str">
        <f t="shared" si="37"/>
        <v>خ ت صيدلة</v>
      </c>
    </row>
    <row r="484" spans="3:84" x14ac:dyDescent="0.25">
      <c r="C484" s="82">
        <v>14383</v>
      </c>
      <c r="D484" s="70">
        <v>8831</v>
      </c>
      <c r="E484" s="69" t="s">
        <v>119</v>
      </c>
      <c r="F484" s="69" t="s">
        <v>1385</v>
      </c>
      <c r="H484" s="69">
        <v>11520</v>
      </c>
      <c r="U484" s="69"/>
      <c r="V484" s="69"/>
      <c r="AR484" s="74">
        <f t="shared" si="32"/>
        <v>11520</v>
      </c>
      <c r="AS484" s="69">
        <v>8682.08</v>
      </c>
      <c r="AT484" s="69">
        <v>2261.92</v>
      </c>
      <c r="AV484" s="69">
        <v>576</v>
      </c>
      <c r="BC484" s="69"/>
      <c r="BD484" s="69"/>
      <c r="CC484" s="74">
        <f t="shared" si="35"/>
        <v>11520</v>
      </c>
      <c r="CD484" s="73">
        <f t="shared" si="36"/>
        <v>0</v>
      </c>
      <c r="CE484" s="75">
        <f t="shared" si="37"/>
        <v>8831</v>
      </c>
      <c r="CF484" s="3" t="str">
        <f t="shared" si="37"/>
        <v>خ ت صيدلة</v>
      </c>
    </row>
    <row r="485" spans="3:84" x14ac:dyDescent="0.25">
      <c r="C485" s="82">
        <v>14384</v>
      </c>
      <c r="D485" s="70">
        <v>8832</v>
      </c>
      <c r="E485" s="69" t="s">
        <v>119</v>
      </c>
      <c r="F485" s="69" t="s">
        <v>1385</v>
      </c>
      <c r="H485" s="69">
        <v>25920</v>
      </c>
      <c r="U485" s="69"/>
      <c r="V485" s="69"/>
      <c r="AR485" s="74">
        <f t="shared" si="32"/>
        <v>25920</v>
      </c>
      <c r="AS485" s="69">
        <v>19540.8</v>
      </c>
      <c r="AT485" s="69">
        <v>5083.2</v>
      </c>
      <c r="AV485" s="69">
        <v>1296</v>
      </c>
      <c r="BC485" s="69"/>
      <c r="BD485" s="69"/>
      <c r="CC485" s="74">
        <f t="shared" si="35"/>
        <v>25920</v>
      </c>
      <c r="CD485" s="73">
        <f t="shared" si="36"/>
        <v>0</v>
      </c>
      <c r="CE485" s="75">
        <f t="shared" si="37"/>
        <v>8832</v>
      </c>
      <c r="CF485" s="3" t="str">
        <f t="shared" si="37"/>
        <v>خ ت صيدلة</v>
      </c>
    </row>
    <row r="486" spans="3:84" x14ac:dyDescent="0.25">
      <c r="C486" s="82">
        <v>14385</v>
      </c>
      <c r="D486" s="70">
        <v>8833</v>
      </c>
      <c r="E486" s="69" t="s">
        <v>119</v>
      </c>
      <c r="F486" s="69" t="s">
        <v>1385</v>
      </c>
      <c r="H486" s="69">
        <v>12720</v>
      </c>
      <c r="U486" s="69"/>
      <c r="V486" s="69"/>
      <c r="AR486" s="74">
        <f t="shared" si="32"/>
        <v>12720</v>
      </c>
      <c r="AS486" s="69">
        <v>9589.7999999999993</v>
      </c>
      <c r="AT486" s="69">
        <v>2494.1999999999998</v>
      </c>
      <c r="AV486" s="69">
        <v>636</v>
      </c>
      <c r="BC486" s="69"/>
      <c r="BD486" s="69"/>
      <c r="CC486" s="74">
        <f t="shared" si="35"/>
        <v>12720</v>
      </c>
      <c r="CD486" s="73">
        <f t="shared" si="36"/>
        <v>0</v>
      </c>
      <c r="CE486" s="75">
        <f t="shared" si="37"/>
        <v>8833</v>
      </c>
      <c r="CF486" s="3" t="str">
        <f t="shared" si="37"/>
        <v>خ ت صيدلة</v>
      </c>
    </row>
    <row r="487" spans="3:84" x14ac:dyDescent="0.25">
      <c r="C487" s="82">
        <v>14386</v>
      </c>
      <c r="D487" s="70">
        <v>8834</v>
      </c>
      <c r="E487" s="69" t="s">
        <v>119</v>
      </c>
      <c r="F487" s="69" t="s">
        <v>1385</v>
      </c>
      <c r="H487" s="69">
        <v>184920</v>
      </c>
      <c r="U487" s="69"/>
      <c r="V487" s="69"/>
      <c r="AR487" s="74">
        <f t="shared" si="32"/>
        <v>184920</v>
      </c>
      <c r="AS487" s="69">
        <v>139458.44</v>
      </c>
      <c r="AT487" s="69">
        <v>36215.56</v>
      </c>
      <c r="AV487" s="69">
        <v>9246</v>
      </c>
      <c r="BC487" s="69"/>
      <c r="BD487" s="69"/>
      <c r="CC487" s="74">
        <f t="shared" si="35"/>
        <v>184920</v>
      </c>
      <c r="CD487" s="73">
        <f t="shared" si="36"/>
        <v>0</v>
      </c>
      <c r="CE487" s="75">
        <f t="shared" si="37"/>
        <v>8834</v>
      </c>
      <c r="CF487" s="3" t="str">
        <f t="shared" si="37"/>
        <v>خ ت صيدلة</v>
      </c>
    </row>
    <row r="488" spans="3:84" x14ac:dyDescent="0.25">
      <c r="C488" s="82">
        <v>14402</v>
      </c>
      <c r="D488" s="70">
        <v>8835</v>
      </c>
      <c r="E488" s="69" t="s">
        <v>119</v>
      </c>
      <c r="F488" s="69" t="s">
        <v>1385</v>
      </c>
      <c r="H488" s="69">
        <v>72106.39</v>
      </c>
      <c r="U488" s="69"/>
      <c r="V488" s="69"/>
      <c r="AR488" s="74">
        <f t="shared" si="32"/>
        <v>72106.39</v>
      </c>
      <c r="AS488" s="69">
        <v>51682.68</v>
      </c>
      <c r="AT488" s="69">
        <v>13347.12</v>
      </c>
      <c r="AU488" s="69">
        <v>3580.59</v>
      </c>
      <c r="AV488" s="69">
        <v>3496</v>
      </c>
      <c r="BC488" s="69"/>
      <c r="BD488" s="69"/>
      <c r="CC488" s="74">
        <f t="shared" si="35"/>
        <v>72106.39</v>
      </c>
      <c r="CD488" s="73">
        <f t="shared" si="36"/>
        <v>0</v>
      </c>
      <c r="CE488" s="75">
        <f t="shared" si="37"/>
        <v>8835</v>
      </c>
      <c r="CF488" s="3" t="str">
        <f t="shared" si="37"/>
        <v>خ ت صيدلة</v>
      </c>
    </row>
    <row r="489" spans="3:84" x14ac:dyDescent="0.25">
      <c r="C489" s="82">
        <v>14403</v>
      </c>
      <c r="D489" s="70">
        <v>8836</v>
      </c>
      <c r="E489" s="69" t="s">
        <v>119</v>
      </c>
      <c r="F489" s="69" t="s">
        <v>1385</v>
      </c>
      <c r="H489" s="69">
        <v>39208.400000000001</v>
      </c>
      <c r="U489" s="69"/>
      <c r="V489" s="69"/>
      <c r="AR489" s="74">
        <f t="shared" si="32"/>
        <v>39208.400000000001</v>
      </c>
      <c r="AS489" s="69">
        <v>24528.1</v>
      </c>
      <c r="AT489" s="69">
        <f>217.5+3344</f>
        <v>3561.5</v>
      </c>
      <c r="AU489" s="69">
        <v>9446.7999999999993</v>
      </c>
      <c r="AV489" s="69">
        <v>1672</v>
      </c>
      <c r="BC489" s="69"/>
      <c r="BD489" s="69"/>
      <c r="CC489" s="74">
        <f t="shared" ref="CC489:CC506" si="42">SUM(AS489:CB489)</f>
        <v>39208.399999999994</v>
      </c>
      <c r="CD489" s="73">
        <f t="shared" si="36"/>
        <v>0</v>
      </c>
      <c r="CE489" s="75">
        <f t="shared" si="37"/>
        <v>8836</v>
      </c>
      <c r="CF489" s="3" t="str">
        <f t="shared" si="37"/>
        <v>خ ت صيدلة</v>
      </c>
    </row>
    <row r="490" spans="3:84" x14ac:dyDescent="0.25">
      <c r="C490" s="82">
        <v>13828</v>
      </c>
      <c r="D490" s="70">
        <v>8837</v>
      </c>
      <c r="E490" s="69" t="s">
        <v>78</v>
      </c>
      <c r="F490" s="69" t="s">
        <v>1386</v>
      </c>
      <c r="H490" s="69">
        <v>2673.3</v>
      </c>
      <c r="U490" s="69"/>
      <c r="V490" s="69"/>
      <c r="AR490" s="74">
        <f t="shared" si="32"/>
        <v>2673.3</v>
      </c>
      <c r="AS490" s="69">
        <v>1786.7</v>
      </c>
      <c r="AT490" s="69">
        <v>242.5</v>
      </c>
      <c r="AU490" s="69">
        <v>644.1</v>
      </c>
      <c r="BC490" s="69"/>
      <c r="BD490" s="69"/>
      <c r="CC490" s="74">
        <f t="shared" si="42"/>
        <v>2673.3</v>
      </c>
      <c r="CD490" s="73">
        <f t="shared" si="36"/>
        <v>0</v>
      </c>
      <c r="CE490" s="75">
        <f t="shared" si="37"/>
        <v>8837</v>
      </c>
      <c r="CF490" s="3" t="str">
        <f t="shared" si="37"/>
        <v>برنامج دولى</v>
      </c>
    </row>
    <row r="491" spans="3:84" x14ac:dyDescent="0.25">
      <c r="C491" s="82">
        <v>13829</v>
      </c>
      <c r="D491" s="70">
        <v>8838</v>
      </c>
      <c r="E491" s="69" t="s">
        <v>78</v>
      </c>
      <c r="F491" s="69" t="s">
        <v>1386</v>
      </c>
      <c r="H491" s="69">
        <v>3165.75</v>
      </c>
      <c r="U491" s="69"/>
      <c r="V491" s="69"/>
      <c r="AR491" s="74">
        <f t="shared" si="32"/>
        <v>3165.75</v>
      </c>
      <c r="AS491" s="69">
        <v>2113.5</v>
      </c>
      <c r="AT491" s="69">
        <f>19.5+270</f>
        <v>289.5</v>
      </c>
      <c r="AU491" s="69">
        <f>1052.25-19.5-270</f>
        <v>762.75</v>
      </c>
      <c r="BC491" s="69"/>
      <c r="BD491" s="69"/>
      <c r="CC491" s="74">
        <f t="shared" si="42"/>
        <v>3165.75</v>
      </c>
      <c r="CD491" s="73">
        <f t="shared" si="36"/>
        <v>0</v>
      </c>
      <c r="CE491" s="75">
        <f t="shared" si="37"/>
        <v>8838</v>
      </c>
      <c r="CF491" s="3" t="str">
        <f t="shared" si="37"/>
        <v>برنامج دولى</v>
      </c>
    </row>
    <row r="492" spans="3:84" x14ac:dyDescent="0.25">
      <c r="C492" s="82">
        <v>13830</v>
      </c>
      <c r="D492" s="70">
        <v>8839</v>
      </c>
      <c r="E492" s="69" t="s">
        <v>78</v>
      </c>
      <c r="F492" s="69" t="s">
        <v>1386</v>
      </c>
      <c r="H492" s="69">
        <v>38651.040000000001</v>
      </c>
      <c r="U492" s="69"/>
      <c r="V492" s="69"/>
      <c r="AR492" s="74">
        <f t="shared" si="32"/>
        <v>38651.040000000001</v>
      </c>
      <c r="AS492" s="69">
        <v>31203.06</v>
      </c>
      <c r="AT492" s="69">
        <v>3892.5</v>
      </c>
      <c r="AU492" s="69">
        <v>3555.48</v>
      </c>
      <c r="BC492" s="69"/>
      <c r="BD492" s="69"/>
      <c r="CC492" s="74">
        <f t="shared" si="42"/>
        <v>38651.040000000001</v>
      </c>
      <c r="CD492" s="73">
        <f t="shared" si="36"/>
        <v>0</v>
      </c>
      <c r="CE492" s="75">
        <f t="shared" si="37"/>
        <v>8839</v>
      </c>
      <c r="CF492" s="3" t="str">
        <f t="shared" si="37"/>
        <v>برنامج دولى</v>
      </c>
    </row>
    <row r="493" spans="3:84" x14ac:dyDescent="0.25">
      <c r="C493" s="82">
        <v>13832</v>
      </c>
      <c r="D493" s="70">
        <v>8840</v>
      </c>
      <c r="E493" s="69" t="s">
        <v>78</v>
      </c>
      <c r="F493" s="69" t="s">
        <v>1386</v>
      </c>
      <c r="H493" s="69">
        <v>2286.37</v>
      </c>
      <c r="U493" s="69"/>
      <c r="V493" s="69"/>
      <c r="AR493" s="74">
        <f t="shared" si="32"/>
        <v>2286.37</v>
      </c>
      <c r="AS493" s="69">
        <v>1528.55</v>
      </c>
      <c r="AT493" s="69">
        <v>206.95</v>
      </c>
      <c r="AU493" s="69">
        <v>550.87</v>
      </c>
      <c r="BC493" s="69"/>
      <c r="BD493" s="69"/>
      <c r="CC493" s="74">
        <f t="shared" si="42"/>
        <v>2286.37</v>
      </c>
      <c r="CD493" s="73">
        <f t="shared" si="36"/>
        <v>0</v>
      </c>
      <c r="CE493" s="75">
        <f t="shared" si="37"/>
        <v>8840</v>
      </c>
      <c r="CF493" s="3" t="str">
        <f t="shared" si="37"/>
        <v>برنامج دولى</v>
      </c>
    </row>
    <row r="494" spans="3:84" x14ac:dyDescent="0.25">
      <c r="C494" s="82">
        <v>13831</v>
      </c>
      <c r="D494" s="70">
        <v>8841</v>
      </c>
      <c r="E494" s="69" t="s">
        <v>78</v>
      </c>
      <c r="F494" s="69" t="s">
        <v>1386</v>
      </c>
      <c r="H494" s="69">
        <v>1055.25</v>
      </c>
      <c r="U494" s="69"/>
      <c r="V494" s="69"/>
      <c r="AR494" s="74">
        <f t="shared" si="32"/>
        <v>1055.25</v>
      </c>
      <c r="AS494" s="69">
        <v>705.7</v>
      </c>
      <c r="AT494" s="69">
        <v>95.3</v>
      </c>
      <c r="AU494" s="69">
        <v>254.25</v>
      </c>
      <c r="BC494" s="69"/>
      <c r="BD494" s="69"/>
      <c r="CC494" s="74">
        <f t="shared" si="42"/>
        <v>1055.25</v>
      </c>
      <c r="CD494" s="73">
        <f t="shared" ref="CD494:CD557" si="43">+CC494-AR494</f>
        <v>0</v>
      </c>
      <c r="CE494" s="75">
        <f t="shared" ref="CE494:CF539" si="44">+D494</f>
        <v>8841</v>
      </c>
      <c r="CF494" s="3" t="str">
        <f t="shared" si="44"/>
        <v>برنامج دولى</v>
      </c>
    </row>
    <row r="495" spans="3:84" x14ac:dyDescent="0.25">
      <c r="C495" s="82">
        <v>14714</v>
      </c>
      <c r="D495" s="70">
        <v>8842</v>
      </c>
      <c r="E495" s="69" t="s">
        <v>78</v>
      </c>
      <c r="F495" s="69" t="s">
        <v>569</v>
      </c>
      <c r="H495" s="69">
        <v>2919.52</v>
      </c>
      <c r="U495" s="69"/>
      <c r="V495" s="69"/>
      <c r="AR495" s="74">
        <f t="shared" si="32"/>
        <v>2919.52</v>
      </c>
      <c r="AS495" s="69">
        <v>1953.65</v>
      </c>
      <c r="AT495" s="69">
        <v>262.45</v>
      </c>
      <c r="AU495" s="69">
        <v>703.42</v>
      </c>
      <c r="BC495" s="69"/>
      <c r="BD495" s="69"/>
      <c r="CC495" s="74">
        <f t="shared" si="42"/>
        <v>2919.52</v>
      </c>
      <c r="CD495" s="73">
        <f t="shared" si="43"/>
        <v>0</v>
      </c>
      <c r="CE495" s="75">
        <f t="shared" si="44"/>
        <v>8842</v>
      </c>
      <c r="CF495" s="3" t="str">
        <f t="shared" si="44"/>
        <v>برنامج دولى</v>
      </c>
    </row>
    <row r="496" spans="3:84" x14ac:dyDescent="0.25">
      <c r="C496" s="82">
        <v>14712</v>
      </c>
      <c r="D496" s="70">
        <v>8843</v>
      </c>
      <c r="E496" s="69" t="s">
        <v>78</v>
      </c>
      <c r="F496" s="69" t="s">
        <v>569</v>
      </c>
      <c r="H496" s="69">
        <v>42310.65</v>
      </c>
      <c r="U496" s="69"/>
      <c r="V496" s="69"/>
      <c r="AR496" s="74">
        <f t="shared" si="32"/>
        <v>42310.65</v>
      </c>
      <c r="AS496" s="69">
        <v>33682.1</v>
      </c>
      <c r="AT496" s="69">
        <v>4238.5</v>
      </c>
      <c r="AU496" s="69">
        <v>4390.05</v>
      </c>
      <c r="BC496" s="69"/>
      <c r="BD496" s="69"/>
      <c r="CC496" s="74">
        <f t="shared" si="42"/>
        <v>42310.65</v>
      </c>
      <c r="CD496" s="73">
        <f t="shared" si="43"/>
        <v>0</v>
      </c>
      <c r="CE496" s="75">
        <f t="shared" si="44"/>
        <v>8843</v>
      </c>
      <c r="CF496" s="3" t="str">
        <f t="shared" si="44"/>
        <v>برنامج دولى</v>
      </c>
    </row>
    <row r="497" spans="3:84" x14ac:dyDescent="0.25">
      <c r="C497" s="82">
        <v>14715</v>
      </c>
      <c r="D497" s="70">
        <v>8844</v>
      </c>
      <c r="E497" s="69" t="s">
        <v>78</v>
      </c>
      <c r="F497" s="69" t="s">
        <v>569</v>
      </c>
      <c r="H497" s="69">
        <v>1160.78</v>
      </c>
      <c r="U497" s="69"/>
      <c r="V497" s="69"/>
      <c r="AR497" s="74">
        <f t="shared" si="32"/>
        <v>1160.78</v>
      </c>
      <c r="AS497" s="69">
        <v>776.75</v>
      </c>
      <c r="AT497" s="69">
        <v>104.35</v>
      </c>
      <c r="AU497" s="69">
        <v>279.68</v>
      </c>
      <c r="BC497" s="69"/>
      <c r="BD497" s="69"/>
      <c r="CC497" s="74">
        <f t="shared" si="42"/>
        <v>1160.78</v>
      </c>
      <c r="CD497" s="73">
        <f t="shared" si="43"/>
        <v>0</v>
      </c>
      <c r="CE497" s="75">
        <f t="shared" si="44"/>
        <v>8844</v>
      </c>
      <c r="CF497" s="3" t="str">
        <f t="shared" si="44"/>
        <v>برنامج دولى</v>
      </c>
    </row>
    <row r="498" spans="3:84" x14ac:dyDescent="0.25">
      <c r="C498" s="82">
        <v>14713</v>
      </c>
      <c r="D498" s="70">
        <v>8845</v>
      </c>
      <c r="E498" s="69" t="s">
        <v>78</v>
      </c>
      <c r="F498" s="69" t="s">
        <v>569</v>
      </c>
      <c r="H498" s="69">
        <v>15109.99</v>
      </c>
      <c r="U498" s="69"/>
      <c r="V498" s="69"/>
      <c r="AR498" s="74">
        <f t="shared" si="32"/>
        <v>15109.99</v>
      </c>
      <c r="AS498" s="69">
        <v>10301.81</v>
      </c>
      <c r="AT498" s="69">
        <v>1385.45</v>
      </c>
      <c r="AU498" s="69">
        <v>3422.73</v>
      </c>
      <c r="BC498" s="69"/>
      <c r="BD498" s="69"/>
      <c r="CC498" s="74">
        <f t="shared" si="42"/>
        <v>15109.99</v>
      </c>
      <c r="CD498" s="73">
        <f t="shared" si="43"/>
        <v>0</v>
      </c>
      <c r="CE498" s="75">
        <f t="shared" si="44"/>
        <v>8845</v>
      </c>
      <c r="CF498" s="3" t="str">
        <f t="shared" si="44"/>
        <v>برنامج دولى</v>
      </c>
    </row>
    <row r="499" spans="3:84" x14ac:dyDescent="0.25">
      <c r="C499" s="82">
        <v>14716</v>
      </c>
      <c r="D499" s="70">
        <v>8846</v>
      </c>
      <c r="E499" s="69" t="s">
        <v>78</v>
      </c>
      <c r="F499" s="69" t="s">
        <v>569</v>
      </c>
      <c r="H499" s="69">
        <v>457.28</v>
      </c>
      <c r="U499" s="69"/>
      <c r="V499" s="69"/>
      <c r="AR499" s="74">
        <f t="shared" si="32"/>
        <v>457.28</v>
      </c>
      <c r="AS499" s="69">
        <v>306.14999999999998</v>
      </c>
      <c r="AT499" s="69">
        <f>1.95+39</f>
        <v>40.950000000000003</v>
      </c>
      <c r="AU499" s="69">
        <f>151.13-AT499</f>
        <v>110.17999999999999</v>
      </c>
      <c r="BC499" s="69"/>
      <c r="BD499" s="69"/>
      <c r="CC499" s="74">
        <f t="shared" si="42"/>
        <v>457.28</v>
      </c>
      <c r="CD499" s="73">
        <f t="shared" si="43"/>
        <v>0</v>
      </c>
      <c r="CE499" s="75">
        <f t="shared" si="44"/>
        <v>8846</v>
      </c>
      <c r="CF499" s="3" t="str">
        <f t="shared" si="44"/>
        <v>برنامج دولى</v>
      </c>
    </row>
    <row r="500" spans="3:84" x14ac:dyDescent="0.25">
      <c r="C500" s="82">
        <v>14600</v>
      </c>
      <c r="D500" s="70">
        <v>8847</v>
      </c>
      <c r="E500" s="69" t="s">
        <v>78</v>
      </c>
      <c r="F500" s="69" t="s">
        <v>1387</v>
      </c>
      <c r="H500" s="69">
        <v>8021.37</v>
      </c>
      <c r="U500" s="69"/>
      <c r="V500" s="69"/>
      <c r="AR500" s="74">
        <f t="shared" si="32"/>
        <v>8021.37</v>
      </c>
      <c r="AS500" s="69">
        <v>7122.31</v>
      </c>
      <c r="AT500" s="69">
        <v>858.83</v>
      </c>
      <c r="AU500" s="69">
        <v>40.229999999999997</v>
      </c>
      <c r="BC500" s="69"/>
      <c r="BD500" s="69"/>
      <c r="CC500" s="74">
        <f t="shared" si="42"/>
        <v>8021.37</v>
      </c>
      <c r="CD500" s="73">
        <f t="shared" si="43"/>
        <v>0</v>
      </c>
      <c r="CE500" s="75">
        <f t="shared" si="44"/>
        <v>8847</v>
      </c>
      <c r="CF500" s="3" t="str">
        <f t="shared" si="44"/>
        <v>برنامج دولى</v>
      </c>
    </row>
    <row r="501" spans="3:84" x14ac:dyDescent="0.25">
      <c r="C501" s="82">
        <v>14599</v>
      </c>
      <c r="D501" s="70">
        <v>8848</v>
      </c>
      <c r="E501" s="69" t="s">
        <v>78</v>
      </c>
      <c r="F501" s="69" t="s">
        <v>1388</v>
      </c>
      <c r="H501" s="69">
        <v>97226.9</v>
      </c>
      <c r="U501" s="69"/>
      <c r="V501" s="69"/>
      <c r="AR501" s="74">
        <f t="shared" si="32"/>
        <v>97226.9</v>
      </c>
      <c r="AS501" s="69">
        <v>86366.55</v>
      </c>
      <c r="AT501" s="69">
        <v>10447.799999999999</v>
      </c>
      <c r="AU501" s="69">
        <v>412.55</v>
      </c>
      <c r="BC501" s="69"/>
      <c r="BD501" s="69"/>
      <c r="CC501" s="74">
        <f t="shared" si="42"/>
        <v>97226.900000000009</v>
      </c>
      <c r="CD501" s="73">
        <f t="shared" si="43"/>
        <v>0</v>
      </c>
      <c r="CE501" s="75">
        <f t="shared" si="44"/>
        <v>8848</v>
      </c>
      <c r="CF501" s="3" t="str">
        <f t="shared" si="44"/>
        <v>برنامج دولى</v>
      </c>
    </row>
    <row r="502" spans="3:84" x14ac:dyDescent="0.25">
      <c r="C502" s="82">
        <v>14604</v>
      </c>
      <c r="D502" s="70">
        <v>8849</v>
      </c>
      <c r="E502" s="69" t="s">
        <v>78</v>
      </c>
      <c r="F502" s="69" t="s">
        <v>1389</v>
      </c>
      <c r="H502" s="69">
        <v>7035</v>
      </c>
      <c r="U502" s="69"/>
      <c r="V502" s="69"/>
      <c r="AR502" s="74">
        <f t="shared" si="32"/>
        <v>7035</v>
      </c>
      <c r="AS502" s="69">
        <v>4701.3999999999996</v>
      </c>
      <c r="AT502" s="69">
        <v>638.6</v>
      </c>
      <c r="AU502" s="69">
        <v>1695</v>
      </c>
      <c r="BC502" s="69"/>
      <c r="BD502" s="69"/>
      <c r="CC502" s="74">
        <f t="shared" si="42"/>
        <v>7035</v>
      </c>
      <c r="CD502" s="73">
        <f t="shared" si="43"/>
        <v>0</v>
      </c>
      <c r="CE502" s="75">
        <f t="shared" si="44"/>
        <v>8849</v>
      </c>
      <c r="CF502" s="3" t="str">
        <f t="shared" si="44"/>
        <v>برنامج دولى</v>
      </c>
    </row>
    <row r="503" spans="3:84" x14ac:dyDescent="0.25">
      <c r="C503" s="82">
        <v>14602</v>
      </c>
      <c r="D503" s="70">
        <v>8850</v>
      </c>
      <c r="E503" s="69" t="s">
        <v>78</v>
      </c>
      <c r="F503" s="69" t="s">
        <v>1389</v>
      </c>
      <c r="H503" s="69">
        <v>25430.04</v>
      </c>
      <c r="U503" s="69"/>
      <c r="V503" s="69"/>
      <c r="AR503" s="74">
        <f t="shared" si="32"/>
        <v>25430.04</v>
      </c>
      <c r="AS503" s="69">
        <v>17242.02</v>
      </c>
      <c r="AT503" s="69">
        <v>2325.0500000000002</v>
      </c>
      <c r="AU503" s="69">
        <v>5862.97</v>
      </c>
      <c r="BC503" s="69"/>
      <c r="BD503" s="69"/>
      <c r="CC503" s="74">
        <f t="shared" si="42"/>
        <v>25430.04</v>
      </c>
      <c r="CD503" s="73">
        <f t="shared" si="43"/>
        <v>0</v>
      </c>
      <c r="CE503" s="75">
        <f t="shared" si="44"/>
        <v>8850</v>
      </c>
      <c r="CF503" s="3" t="str">
        <f t="shared" si="44"/>
        <v>برنامج دولى</v>
      </c>
    </row>
    <row r="504" spans="3:84" x14ac:dyDescent="0.25">
      <c r="C504" s="82">
        <v>14607</v>
      </c>
      <c r="D504" s="70">
        <v>8851</v>
      </c>
      <c r="E504" s="69" t="s">
        <v>78</v>
      </c>
      <c r="F504" s="69" t="s">
        <v>1390</v>
      </c>
      <c r="H504" s="69">
        <v>1500</v>
      </c>
      <c r="U504" s="69"/>
      <c r="V504" s="69"/>
      <c r="AR504" s="74">
        <f t="shared" si="32"/>
        <v>1500</v>
      </c>
      <c r="AS504" s="69">
        <v>1339.1</v>
      </c>
      <c r="AT504" s="69">
        <v>160.9</v>
      </c>
      <c r="BC504" s="69"/>
      <c r="BD504" s="69"/>
      <c r="CC504" s="74">
        <f t="shared" si="42"/>
        <v>1500</v>
      </c>
      <c r="CD504" s="73">
        <f t="shared" si="43"/>
        <v>0</v>
      </c>
      <c r="CE504" s="75">
        <f t="shared" si="44"/>
        <v>8851</v>
      </c>
      <c r="CF504" s="3" t="str">
        <f t="shared" si="44"/>
        <v>برنامج دولى</v>
      </c>
    </row>
    <row r="505" spans="3:84" x14ac:dyDescent="0.25">
      <c r="C505" s="82">
        <v>14603</v>
      </c>
      <c r="D505" s="70">
        <v>8852</v>
      </c>
      <c r="E505" s="69" t="s">
        <v>78</v>
      </c>
      <c r="F505" s="69" t="s">
        <v>1390</v>
      </c>
      <c r="H505" s="69">
        <v>6331.5</v>
      </c>
      <c r="U505" s="69"/>
      <c r="V505" s="69"/>
      <c r="AR505" s="74">
        <f t="shared" si="32"/>
        <v>6331.5</v>
      </c>
      <c r="AS505" s="69">
        <v>4228.45</v>
      </c>
      <c r="AT505" s="69">
        <f>37.55+540</f>
        <v>577.54999999999995</v>
      </c>
      <c r="AU505" s="69">
        <f>2103.05-37.55-540</f>
        <v>1525.5</v>
      </c>
      <c r="BC505" s="69"/>
      <c r="BD505" s="69"/>
      <c r="CC505" s="74">
        <f t="shared" si="42"/>
        <v>6331.5</v>
      </c>
      <c r="CD505" s="73">
        <f t="shared" si="43"/>
        <v>0</v>
      </c>
      <c r="CE505" s="75">
        <f t="shared" si="44"/>
        <v>8852</v>
      </c>
      <c r="CF505" s="3" t="str">
        <f t="shared" si="44"/>
        <v>برنامج دولى</v>
      </c>
    </row>
    <row r="506" spans="3:84" x14ac:dyDescent="0.25">
      <c r="C506" s="82">
        <v>14605</v>
      </c>
      <c r="D506" s="70">
        <v>8853</v>
      </c>
      <c r="E506" s="69" t="s">
        <v>78</v>
      </c>
      <c r="F506" s="69" t="str">
        <f>+F503</f>
        <v>مكافاه كنترول دور اول</v>
      </c>
      <c r="H506" s="69">
        <v>1500</v>
      </c>
      <c r="U506" s="69"/>
      <c r="V506" s="69"/>
      <c r="AR506" s="74">
        <f t="shared" si="32"/>
        <v>1500</v>
      </c>
      <c r="AS506" s="69">
        <v>1339.1</v>
      </c>
      <c r="AT506" s="69">
        <v>160.9</v>
      </c>
      <c r="BC506" s="69"/>
      <c r="BD506" s="69"/>
      <c r="CC506" s="74">
        <f t="shared" si="42"/>
        <v>1500</v>
      </c>
      <c r="CD506" s="73">
        <f t="shared" si="43"/>
        <v>0</v>
      </c>
      <c r="CE506" s="75">
        <f t="shared" si="44"/>
        <v>8853</v>
      </c>
      <c r="CF506" s="3" t="str">
        <f t="shared" si="44"/>
        <v>برنامج دولى</v>
      </c>
    </row>
    <row r="507" spans="3:84" x14ac:dyDescent="0.25">
      <c r="C507" s="82">
        <v>14601</v>
      </c>
      <c r="D507" s="70">
        <v>8854</v>
      </c>
      <c r="E507" s="69" t="s">
        <v>78</v>
      </c>
      <c r="F507" s="69" t="str">
        <f>+F504</f>
        <v>مكافاه كنترول تراكمى جروب</v>
      </c>
      <c r="H507" s="69">
        <v>1758.75</v>
      </c>
      <c r="U507" s="69"/>
      <c r="V507" s="69"/>
      <c r="AR507" s="74">
        <f t="shared" si="32"/>
        <v>1758.75</v>
      </c>
      <c r="AS507" s="69">
        <v>1174.0999999999999</v>
      </c>
      <c r="AT507" s="69">
        <f>10.9+150</f>
        <v>160.9</v>
      </c>
      <c r="AU507" s="69">
        <f>584.65-10.9-150</f>
        <v>423.75</v>
      </c>
      <c r="BC507" s="69"/>
      <c r="BD507" s="69"/>
      <c r="CC507" s="74">
        <f t="shared" ref="CC507:CC509" si="45">SUM(AS507:CB507)</f>
        <v>1758.75</v>
      </c>
      <c r="CD507" s="73">
        <f t="shared" si="43"/>
        <v>0</v>
      </c>
      <c r="CE507" s="75">
        <f t="shared" si="44"/>
        <v>8854</v>
      </c>
      <c r="CF507" s="3" t="str">
        <f t="shared" si="44"/>
        <v>برنامج دولى</v>
      </c>
    </row>
    <row r="508" spans="3:84" x14ac:dyDescent="0.25">
      <c r="C508" s="82">
        <v>14608</v>
      </c>
      <c r="D508" s="70">
        <v>8855</v>
      </c>
      <c r="E508" s="69" t="s">
        <v>78</v>
      </c>
      <c r="F508" s="69" t="str">
        <f>+F505</f>
        <v>مكافاه كنترول تراكمى جروب</v>
      </c>
      <c r="H508" s="69">
        <v>3855.58</v>
      </c>
      <c r="U508" s="69"/>
      <c r="V508" s="69"/>
      <c r="AR508" s="74">
        <f t="shared" si="32"/>
        <v>3855.58</v>
      </c>
      <c r="AS508" s="69">
        <v>3281.48</v>
      </c>
      <c r="AT508" s="69">
        <v>401.2</v>
      </c>
      <c r="AU508" s="69">
        <v>172.9</v>
      </c>
      <c r="BC508" s="69"/>
      <c r="BD508" s="69"/>
      <c r="CC508" s="74">
        <f t="shared" si="45"/>
        <v>3855.58</v>
      </c>
      <c r="CD508" s="73">
        <f t="shared" si="43"/>
        <v>0</v>
      </c>
      <c r="CE508" s="75">
        <f t="shared" si="44"/>
        <v>8855</v>
      </c>
      <c r="CF508" s="3" t="str">
        <f t="shared" si="44"/>
        <v>برنامج دولى</v>
      </c>
    </row>
    <row r="509" spans="3:84" x14ac:dyDescent="0.25">
      <c r="C509" s="82">
        <v>14606</v>
      </c>
      <c r="D509" s="70">
        <v>8856</v>
      </c>
      <c r="E509" s="69" t="s">
        <v>78</v>
      </c>
      <c r="F509" s="69" t="str">
        <f>+F508</f>
        <v>مكافاه كنترول تراكمى جروب</v>
      </c>
      <c r="H509" s="69">
        <v>5438</v>
      </c>
      <c r="U509" s="69"/>
      <c r="V509" s="69"/>
      <c r="AR509" s="74">
        <f t="shared" si="32"/>
        <v>5438</v>
      </c>
      <c r="AS509" s="69">
        <v>4644.6499999999996</v>
      </c>
      <c r="AT509" s="69">
        <v>567.35</v>
      </c>
      <c r="AU509" s="69">
        <v>226</v>
      </c>
      <c r="BC509" s="69"/>
      <c r="BD509" s="69"/>
      <c r="CC509" s="74">
        <f t="shared" si="45"/>
        <v>5438</v>
      </c>
      <c r="CD509" s="73">
        <f t="shared" si="43"/>
        <v>0</v>
      </c>
      <c r="CE509" s="75">
        <f t="shared" si="44"/>
        <v>8856</v>
      </c>
      <c r="CF509" s="3" t="str">
        <f t="shared" si="44"/>
        <v>برنامج دولى</v>
      </c>
    </row>
    <row r="510" spans="3:84" x14ac:dyDescent="0.25">
      <c r="C510" s="82">
        <v>14618</v>
      </c>
      <c r="D510" s="70">
        <v>8857</v>
      </c>
      <c r="E510" s="69" t="s">
        <v>132</v>
      </c>
      <c r="F510" s="69" t="s">
        <v>1391</v>
      </c>
      <c r="H510" s="69">
        <v>2500</v>
      </c>
      <c r="U510" s="69"/>
      <c r="V510" s="69"/>
      <c r="AR510" s="74">
        <f t="shared" si="32"/>
        <v>2500</v>
      </c>
      <c r="AS510" s="69">
        <v>2231.6</v>
      </c>
      <c r="AT510" s="69">
        <v>268.39999999999998</v>
      </c>
      <c r="BC510" s="69"/>
      <c r="BD510" s="69"/>
      <c r="CC510" s="74">
        <f t="shared" ref="CC510:CC573" si="46">SUM(AS510:CB510)</f>
        <v>2500</v>
      </c>
      <c r="CD510" s="73">
        <f t="shared" si="43"/>
        <v>0</v>
      </c>
      <c r="CE510" s="75">
        <f t="shared" si="44"/>
        <v>8857</v>
      </c>
      <c r="CF510" s="3" t="str">
        <f t="shared" si="44"/>
        <v>صيدلة اكلينيكى</v>
      </c>
    </row>
    <row r="511" spans="3:84" x14ac:dyDescent="0.25">
      <c r="C511" s="82">
        <v>14693</v>
      </c>
      <c r="D511" s="70">
        <v>8858</v>
      </c>
      <c r="E511" s="69" t="s">
        <v>132</v>
      </c>
      <c r="F511" s="69" t="s">
        <v>1392</v>
      </c>
      <c r="H511" s="69">
        <v>1172.5</v>
      </c>
      <c r="U511" s="69"/>
      <c r="V511" s="69"/>
      <c r="AR511" s="74">
        <f t="shared" si="32"/>
        <v>1172.5</v>
      </c>
      <c r="AS511" s="69">
        <v>783.7</v>
      </c>
      <c r="AT511" s="69">
        <f>100+6.3</f>
        <v>106.3</v>
      </c>
      <c r="AU511" s="69">
        <v>282.5</v>
      </c>
      <c r="BC511" s="69"/>
      <c r="BD511" s="69"/>
      <c r="CC511" s="74">
        <f t="shared" si="46"/>
        <v>1172.5</v>
      </c>
      <c r="CD511" s="73">
        <f t="shared" si="43"/>
        <v>0</v>
      </c>
      <c r="CE511" s="75">
        <f t="shared" si="44"/>
        <v>8858</v>
      </c>
      <c r="CF511" s="3" t="str">
        <f t="shared" si="44"/>
        <v>صيدلة اكلينيكى</v>
      </c>
    </row>
    <row r="512" spans="3:84" x14ac:dyDescent="0.25">
      <c r="C512" s="82">
        <v>14622</v>
      </c>
      <c r="D512" s="70">
        <v>8859</v>
      </c>
      <c r="E512" s="69" t="s">
        <v>132</v>
      </c>
      <c r="F512" s="69" t="s">
        <v>1393</v>
      </c>
      <c r="H512" s="69">
        <v>586.25</v>
      </c>
      <c r="U512" s="69"/>
      <c r="V512" s="69"/>
      <c r="AR512" s="74">
        <f t="shared" si="32"/>
        <v>586.25</v>
      </c>
      <c r="AS512" s="69">
        <v>392.4</v>
      </c>
      <c r="AT512" s="69">
        <v>52.6</v>
      </c>
      <c r="AU512" s="69">
        <v>141.25</v>
      </c>
      <c r="BC512" s="69"/>
      <c r="BD512" s="69"/>
      <c r="CC512" s="74">
        <f t="shared" si="46"/>
        <v>586.25</v>
      </c>
      <c r="CD512" s="73">
        <f t="shared" si="43"/>
        <v>0</v>
      </c>
      <c r="CE512" s="75">
        <f t="shared" si="44"/>
        <v>8859</v>
      </c>
      <c r="CF512" s="3" t="str">
        <f t="shared" si="44"/>
        <v>صيدلة اكلينيكى</v>
      </c>
    </row>
    <row r="513" spans="3:84" x14ac:dyDescent="0.25">
      <c r="C513" s="82">
        <v>14621</v>
      </c>
      <c r="D513" s="70">
        <v>8860</v>
      </c>
      <c r="E513" s="69" t="s">
        <v>132</v>
      </c>
      <c r="F513" s="69" t="s">
        <v>1394</v>
      </c>
      <c r="H513" s="69">
        <v>351.75</v>
      </c>
      <c r="U513" s="69"/>
      <c r="V513" s="69"/>
      <c r="AR513" s="74">
        <f t="shared" si="32"/>
        <v>351.75</v>
      </c>
      <c r="AS513" s="69">
        <v>235.55</v>
      </c>
      <c r="AT513" s="69">
        <v>31.45</v>
      </c>
      <c r="AU513" s="69">
        <v>84.75</v>
      </c>
      <c r="BC513" s="69"/>
      <c r="BD513" s="69"/>
      <c r="CC513" s="74">
        <f t="shared" si="46"/>
        <v>351.75</v>
      </c>
      <c r="CD513" s="73">
        <f t="shared" si="43"/>
        <v>0</v>
      </c>
      <c r="CE513" s="75">
        <f t="shared" si="44"/>
        <v>8860</v>
      </c>
      <c r="CF513" s="3" t="str">
        <f t="shared" si="44"/>
        <v>صيدلة اكلينيكى</v>
      </c>
    </row>
    <row r="514" spans="3:84" x14ac:dyDescent="0.25">
      <c r="C514" s="82">
        <v>14620</v>
      </c>
      <c r="D514" s="70">
        <v>8861</v>
      </c>
      <c r="E514" s="69" t="s">
        <v>132</v>
      </c>
      <c r="F514" s="69" t="s">
        <v>1395</v>
      </c>
      <c r="H514" s="69">
        <v>5862.5</v>
      </c>
      <c r="U514" s="69"/>
      <c r="V514" s="69"/>
      <c r="AR514" s="74">
        <f t="shared" si="32"/>
        <v>5862.5</v>
      </c>
      <c r="AS514" s="69">
        <v>3919.25</v>
      </c>
      <c r="AT514" s="69">
        <v>530.75</v>
      </c>
      <c r="AU514" s="69">
        <v>1412.5</v>
      </c>
      <c r="BC514" s="69"/>
      <c r="BD514" s="69"/>
      <c r="CC514" s="74">
        <f t="shared" si="46"/>
        <v>5862.5</v>
      </c>
      <c r="CD514" s="73">
        <f t="shared" si="43"/>
        <v>0</v>
      </c>
      <c r="CE514" s="75">
        <f t="shared" si="44"/>
        <v>8861</v>
      </c>
      <c r="CF514" s="3" t="str">
        <f t="shared" si="44"/>
        <v>صيدلة اكلينيكى</v>
      </c>
    </row>
    <row r="515" spans="3:84" x14ac:dyDescent="0.25">
      <c r="C515" s="82">
        <v>14694</v>
      </c>
      <c r="D515" s="70">
        <v>8862</v>
      </c>
      <c r="E515" s="69" t="s">
        <v>132</v>
      </c>
      <c r="F515" s="69" t="s">
        <v>1396</v>
      </c>
      <c r="H515" s="69">
        <v>6214.26</v>
      </c>
      <c r="U515" s="69"/>
      <c r="V515" s="69"/>
      <c r="AR515" s="74">
        <f t="shared" si="32"/>
        <v>6214.26</v>
      </c>
      <c r="AS515" s="69">
        <v>4156.8999999999996</v>
      </c>
      <c r="AT515" s="69">
        <v>560.1</v>
      </c>
      <c r="AU515" s="69">
        <v>1497.26</v>
      </c>
      <c r="BC515" s="69"/>
      <c r="BD515" s="69"/>
      <c r="CC515" s="74">
        <f t="shared" si="46"/>
        <v>6214.26</v>
      </c>
      <c r="CD515" s="73">
        <f t="shared" si="43"/>
        <v>0</v>
      </c>
      <c r="CE515" s="75">
        <f t="shared" si="44"/>
        <v>8862</v>
      </c>
      <c r="CF515" s="3" t="str">
        <f t="shared" si="44"/>
        <v>صيدلة اكلينيكى</v>
      </c>
    </row>
    <row r="516" spans="3:84" x14ac:dyDescent="0.25">
      <c r="C516" s="82">
        <v>14623</v>
      </c>
      <c r="D516" s="70">
        <v>8863</v>
      </c>
      <c r="E516" s="69" t="s">
        <v>132</v>
      </c>
      <c r="F516" s="69" t="s">
        <v>1397</v>
      </c>
      <c r="H516" s="69">
        <v>2051.88</v>
      </c>
      <c r="U516" s="69"/>
      <c r="V516" s="69"/>
      <c r="AR516" s="74">
        <f t="shared" si="32"/>
        <v>2051.88</v>
      </c>
      <c r="AS516" s="69">
        <v>1372.95</v>
      </c>
      <c r="AT516" s="69">
        <v>184.55</v>
      </c>
      <c r="AU516" s="69">
        <v>494.38</v>
      </c>
      <c r="BC516" s="69"/>
      <c r="BD516" s="69"/>
      <c r="CC516" s="74">
        <f t="shared" si="46"/>
        <v>2051.88</v>
      </c>
      <c r="CD516" s="73">
        <f t="shared" si="43"/>
        <v>0</v>
      </c>
      <c r="CE516" s="75">
        <f t="shared" si="44"/>
        <v>8863</v>
      </c>
      <c r="CF516" s="3" t="str">
        <f t="shared" si="44"/>
        <v>صيدلة اكلينيكى</v>
      </c>
    </row>
    <row r="517" spans="3:84" x14ac:dyDescent="0.25">
      <c r="C517" s="82">
        <v>14624</v>
      </c>
      <c r="D517" s="70">
        <v>8864</v>
      </c>
      <c r="E517" s="69" t="s">
        <v>132</v>
      </c>
      <c r="F517" s="69" t="s">
        <v>1398</v>
      </c>
      <c r="H517" s="69">
        <v>4952</v>
      </c>
      <c r="U517" s="69"/>
      <c r="V517" s="69"/>
      <c r="AR517" s="74">
        <f t="shared" si="32"/>
        <v>4952</v>
      </c>
      <c r="AS517" s="69">
        <v>3582.15</v>
      </c>
      <c r="AT517" s="69">
        <v>465.85</v>
      </c>
      <c r="AU517" s="69">
        <v>904</v>
      </c>
      <c r="BC517" s="69"/>
      <c r="BD517" s="69"/>
      <c r="CC517" s="74">
        <f t="shared" si="46"/>
        <v>4952</v>
      </c>
      <c r="CD517" s="73">
        <f t="shared" si="43"/>
        <v>0</v>
      </c>
      <c r="CE517" s="75">
        <f t="shared" si="44"/>
        <v>8864</v>
      </c>
      <c r="CF517" s="3" t="str">
        <f t="shared" si="44"/>
        <v>صيدلة اكلينيكى</v>
      </c>
    </row>
    <row r="518" spans="3:84" x14ac:dyDescent="0.25">
      <c r="C518" s="82">
        <v>14625</v>
      </c>
      <c r="D518" s="70">
        <v>8865</v>
      </c>
      <c r="E518" s="69" t="s">
        <v>132</v>
      </c>
      <c r="F518" s="69" t="s">
        <v>1398</v>
      </c>
      <c r="H518" s="69">
        <v>586.25</v>
      </c>
      <c r="U518" s="69"/>
      <c r="V518" s="69"/>
      <c r="AR518" s="74">
        <f t="shared" si="32"/>
        <v>586.25</v>
      </c>
      <c r="AS518" s="69">
        <v>392.4</v>
      </c>
      <c r="AT518" s="69">
        <v>52.6</v>
      </c>
      <c r="AU518" s="69">
        <v>141.25</v>
      </c>
      <c r="BC518" s="69"/>
      <c r="BD518" s="69"/>
      <c r="CC518" s="74">
        <f t="shared" si="46"/>
        <v>586.25</v>
      </c>
      <c r="CD518" s="73">
        <f t="shared" si="43"/>
        <v>0</v>
      </c>
      <c r="CE518" s="75">
        <f t="shared" si="44"/>
        <v>8865</v>
      </c>
      <c r="CF518" s="3" t="str">
        <f t="shared" si="44"/>
        <v>صيدلة اكلينيكى</v>
      </c>
    </row>
    <row r="519" spans="3:84" x14ac:dyDescent="0.25">
      <c r="C519" s="82">
        <v>14626</v>
      </c>
      <c r="D519" s="70">
        <v>8866</v>
      </c>
      <c r="E519" s="69" t="s">
        <v>132</v>
      </c>
      <c r="F519" s="69" t="s">
        <v>1398</v>
      </c>
      <c r="H519" s="69">
        <v>1135.6300000000001</v>
      </c>
      <c r="U519" s="69"/>
      <c r="V519" s="69"/>
      <c r="AR519" s="74">
        <f t="shared" si="32"/>
        <v>1135.6300000000001</v>
      </c>
      <c r="AS519" s="69">
        <v>807.47</v>
      </c>
      <c r="AT519" s="69">
        <v>106.05</v>
      </c>
      <c r="AU519" s="69">
        <v>222.11</v>
      </c>
      <c r="BC519" s="69"/>
      <c r="BD519" s="69"/>
      <c r="CC519" s="74">
        <f t="shared" si="46"/>
        <v>1135.6300000000001</v>
      </c>
      <c r="CD519" s="73">
        <f t="shared" si="43"/>
        <v>0</v>
      </c>
      <c r="CE519" s="75">
        <f t="shared" si="44"/>
        <v>8866</v>
      </c>
      <c r="CF519" s="3" t="str">
        <f t="shared" si="44"/>
        <v>صيدلة اكلينيكى</v>
      </c>
    </row>
    <row r="520" spans="3:84" x14ac:dyDescent="0.25">
      <c r="C520" s="82">
        <v>14617</v>
      </c>
      <c r="D520" s="70">
        <v>8867</v>
      </c>
      <c r="E520" s="69" t="s">
        <v>132</v>
      </c>
      <c r="F520" s="69" t="s">
        <v>1399</v>
      </c>
      <c r="H520" s="69">
        <v>2931.25</v>
      </c>
      <c r="U520" s="69"/>
      <c r="V520" s="69"/>
      <c r="AR520" s="74">
        <f t="shared" si="32"/>
        <v>2931.25</v>
      </c>
      <c r="AS520" s="69">
        <v>1956.62</v>
      </c>
      <c r="AT520" s="69">
        <f>250+18.38</f>
        <v>268.38</v>
      </c>
      <c r="AU520" s="69">
        <v>706.25</v>
      </c>
      <c r="BC520" s="69"/>
      <c r="BD520" s="69"/>
      <c r="CC520" s="74">
        <f t="shared" si="46"/>
        <v>2931.25</v>
      </c>
      <c r="CD520" s="73">
        <f t="shared" si="43"/>
        <v>0</v>
      </c>
      <c r="CE520" s="75">
        <f t="shared" si="44"/>
        <v>8867</v>
      </c>
      <c r="CF520" s="3" t="str">
        <f t="shared" si="44"/>
        <v>صيدلة اكلينيكى</v>
      </c>
    </row>
    <row r="521" spans="3:84" x14ac:dyDescent="0.25">
      <c r="C521" s="82">
        <v>14619</v>
      </c>
      <c r="D521" s="70">
        <v>8868</v>
      </c>
      <c r="E521" s="69" t="s">
        <v>132</v>
      </c>
      <c r="F521" s="69" t="s">
        <v>1400</v>
      </c>
      <c r="H521" s="69">
        <v>4500</v>
      </c>
      <c r="U521" s="69"/>
      <c r="V521" s="69"/>
      <c r="AR521" s="74">
        <f t="shared" si="32"/>
        <v>4500</v>
      </c>
      <c r="AS521" s="69">
        <v>4016.6</v>
      </c>
      <c r="AT521" s="69">
        <v>483.4</v>
      </c>
      <c r="BC521" s="69"/>
      <c r="BD521" s="69"/>
      <c r="CC521" s="74">
        <f t="shared" si="46"/>
        <v>4500</v>
      </c>
      <c r="CD521" s="73">
        <f t="shared" si="43"/>
        <v>0</v>
      </c>
      <c r="CE521" s="75">
        <f t="shared" si="44"/>
        <v>8868</v>
      </c>
      <c r="CF521" s="3" t="str">
        <f t="shared" si="44"/>
        <v>صيدلة اكلينيكى</v>
      </c>
    </row>
    <row r="522" spans="3:84" x14ac:dyDescent="0.25">
      <c r="C522" s="82">
        <v>14695</v>
      </c>
      <c r="D522" s="70">
        <v>8869</v>
      </c>
      <c r="E522" s="69" t="s">
        <v>119</v>
      </c>
      <c r="F522" s="69" t="s">
        <v>1401</v>
      </c>
      <c r="H522" s="69">
        <v>93000</v>
      </c>
      <c r="U522" s="69"/>
      <c r="V522" s="69"/>
      <c r="AR522" s="74">
        <f t="shared" si="32"/>
        <v>93000</v>
      </c>
      <c r="AS522" s="69">
        <v>83153.399999999994</v>
      </c>
      <c r="AT522" s="69">
        <v>9846.6</v>
      </c>
      <c r="BC522" s="69"/>
      <c r="BD522" s="69"/>
      <c r="CC522" s="74">
        <f t="shared" si="46"/>
        <v>93000</v>
      </c>
      <c r="CD522" s="73">
        <f t="shared" si="43"/>
        <v>0</v>
      </c>
      <c r="CE522" s="75">
        <f t="shared" si="44"/>
        <v>8869</v>
      </c>
      <c r="CF522" s="3" t="str">
        <f t="shared" si="44"/>
        <v>خ ت صيدلة</v>
      </c>
    </row>
    <row r="523" spans="3:84" x14ac:dyDescent="0.25">
      <c r="C523" s="82">
        <v>14632</v>
      </c>
      <c r="D523" s="70">
        <v>8870</v>
      </c>
      <c r="E523" s="69" t="s">
        <v>119</v>
      </c>
      <c r="F523" s="69" t="s">
        <v>1401</v>
      </c>
      <c r="H523" s="69">
        <v>30710.47</v>
      </c>
      <c r="U523" s="69"/>
      <c r="V523" s="69"/>
      <c r="AR523" s="74">
        <f t="shared" si="32"/>
        <v>30710.47</v>
      </c>
      <c r="AS523" s="69">
        <v>30710.47</v>
      </c>
      <c r="AT523" s="69"/>
      <c r="BC523" s="69"/>
      <c r="BD523" s="69"/>
      <c r="CC523" s="74">
        <f t="shared" si="46"/>
        <v>30710.47</v>
      </c>
      <c r="CD523" s="73">
        <f t="shared" si="43"/>
        <v>0</v>
      </c>
      <c r="CE523" s="75">
        <f t="shared" si="44"/>
        <v>8870</v>
      </c>
      <c r="CF523" s="3" t="str">
        <f t="shared" si="44"/>
        <v>خ ت صيدلة</v>
      </c>
    </row>
    <row r="524" spans="3:84" x14ac:dyDescent="0.25">
      <c r="C524" s="82">
        <v>14633</v>
      </c>
      <c r="D524" s="70">
        <v>8871</v>
      </c>
      <c r="E524" s="69" t="s">
        <v>119</v>
      </c>
      <c r="F524" s="69" t="s">
        <v>1401</v>
      </c>
      <c r="H524" s="69">
        <v>67000</v>
      </c>
      <c r="U524" s="69"/>
      <c r="V524" s="69"/>
      <c r="AR524" s="74">
        <f t="shared" si="32"/>
        <v>67000</v>
      </c>
      <c r="AS524" s="69">
        <v>59905.599999999999</v>
      </c>
      <c r="AT524" s="69">
        <v>7094.4</v>
      </c>
      <c r="BC524" s="69"/>
      <c r="BD524" s="69"/>
      <c r="CC524" s="74">
        <f t="shared" si="46"/>
        <v>67000</v>
      </c>
      <c r="CD524" s="73">
        <f t="shared" si="43"/>
        <v>0</v>
      </c>
      <c r="CE524" s="75">
        <f t="shared" si="44"/>
        <v>8871</v>
      </c>
      <c r="CF524" s="3" t="str">
        <f t="shared" si="44"/>
        <v>خ ت صيدلة</v>
      </c>
    </row>
    <row r="525" spans="3:84" x14ac:dyDescent="0.25">
      <c r="C525" s="82">
        <v>14635</v>
      </c>
      <c r="D525" s="70">
        <v>8872</v>
      </c>
      <c r="E525" s="69" t="s">
        <v>119</v>
      </c>
      <c r="F525" s="69" t="s">
        <v>1401</v>
      </c>
      <c r="H525" s="69">
        <v>61000</v>
      </c>
      <c r="U525" s="69"/>
      <c r="V525" s="69"/>
      <c r="AR525" s="74">
        <f t="shared" si="32"/>
        <v>61000</v>
      </c>
      <c r="AS525" s="69">
        <v>54568.2</v>
      </c>
      <c r="AT525" s="69">
        <v>6431.8</v>
      </c>
      <c r="BC525" s="69"/>
      <c r="BD525" s="69"/>
      <c r="CC525" s="74">
        <f t="shared" si="46"/>
        <v>61000</v>
      </c>
      <c r="CD525" s="73">
        <f t="shared" si="43"/>
        <v>0</v>
      </c>
      <c r="CE525" s="75">
        <f t="shared" si="44"/>
        <v>8872</v>
      </c>
      <c r="CF525" s="3" t="str">
        <f t="shared" si="44"/>
        <v>خ ت صيدلة</v>
      </c>
    </row>
    <row r="526" spans="3:84" x14ac:dyDescent="0.25">
      <c r="C526" s="82">
        <v>14631</v>
      </c>
      <c r="D526" s="70">
        <v>8873</v>
      </c>
      <c r="E526" s="69" t="s">
        <v>119</v>
      </c>
      <c r="F526" s="69" t="s">
        <v>1401</v>
      </c>
      <c r="H526" s="69">
        <v>77000</v>
      </c>
      <c r="U526" s="69"/>
      <c r="V526" s="69"/>
      <c r="AR526" s="74">
        <f t="shared" si="32"/>
        <v>77000</v>
      </c>
      <c r="AS526" s="69">
        <v>68875.600000000006</v>
      </c>
      <c r="AT526" s="69">
        <v>8124.4</v>
      </c>
      <c r="BC526" s="69"/>
      <c r="BD526" s="69"/>
      <c r="CC526" s="74">
        <f t="shared" si="46"/>
        <v>77000</v>
      </c>
      <c r="CD526" s="73">
        <f t="shared" si="43"/>
        <v>0</v>
      </c>
      <c r="CE526" s="75">
        <f t="shared" si="44"/>
        <v>8873</v>
      </c>
      <c r="CF526" s="3" t="str">
        <f t="shared" si="44"/>
        <v>خ ت صيدلة</v>
      </c>
    </row>
    <row r="527" spans="3:84" x14ac:dyDescent="0.25">
      <c r="C527" s="82">
        <v>14630</v>
      </c>
      <c r="D527" s="70">
        <v>8874</v>
      </c>
      <c r="E527" s="69" t="s">
        <v>119</v>
      </c>
      <c r="F527" s="69" t="s">
        <v>1401</v>
      </c>
      <c r="H527" s="69">
        <v>74000</v>
      </c>
      <c r="U527" s="69"/>
      <c r="V527" s="69"/>
      <c r="AR527" s="74">
        <f t="shared" si="32"/>
        <v>74000</v>
      </c>
      <c r="AS527" s="69">
        <v>66328.399999999994</v>
      </c>
      <c r="AT527" s="69">
        <v>7671.6</v>
      </c>
      <c r="BC527" s="69"/>
      <c r="BD527" s="69"/>
      <c r="CC527" s="74">
        <f t="shared" si="46"/>
        <v>74000</v>
      </c>
      <c r="CD527" s="73">
        <f t="shared" si="43"/>
        <v>0</v>
      </c>
      <c r="CE527" s="75">
        <f t="shared" si="44"/>
        <v>8874</v>
      </c>
      <c r="CF527" s="3" t="str">
        <f t="shared" si="44"/>
        <v>خ ت صيدلة</v>
      </c>
    </row>
    <row r="528" spans="3:84" x14ac:dyDescent="0.25">
      <c r="C528" s="82">
        <v>14628</v>
      </c>
      <c r="D528" s="70">
        <v>8875</v>
      </c>
      <c r="E528" s="69" t="s">
        <v>119</v>
      </c>
      <c r="F528" s="69" t="s">
        <v>1401</v>
      </c>
      <c r="H528" s="69">
        <v>10000</v>
      </c>
      <c r="U528" s="69"/>
      <c r="V528" s="69"/>
      <c r="AR528" s="74">
        <f t="shared" si="32"/>
        <v>10000</v>
      </c>
      <c r="AS528" s="69">
        <v>8920.4</v>
      </c>
      <c r="AT528" s="69">
        <v>1079.5999999999999</v>
      </c>
      <c r="BC528" s="69"/>
      <c r="BD528" s="69"/>
      <c r="CC528" s="74">
        <f t="shared" si="46"/>
        <v>10000</v>
      </c>
      <c r="CD528" s="73">
        <f t="shared" si="43"/>
        <v>0</v>
      </c>
      <c r="CE528" s="75">
        <f t="shared" si="44"/>
        <v>8875</v>
      </c>
      <c r="CF528" s="3" t="str">
        <f t="shared" si="44"/>
        <v>خ ت صيدلة</v>
      </c>
    </row>
    <row r="529" spans="3:89" x14ac:dyDescent="0.25">
      <c r="C529" s="82">
        <v>14634</v>
      </c>
      <c r="D529" s="70">
        <v>8876</v>
      </c>
      <c r="E529" s="69" t="s">
        <v>119</v>
      </c>
      <c r="F529" s="69" t="s">
        <v>1401</v>
      </c>
      <c r="H529" s="69">
        <v>39351.839999999997</v>
      </c>
      <c r="U529" s="69"/>
      <c r="V529" s="69"/>
      <c r="AR529" s="74">
        <f t="shared" si="32"/>
        <v>39351.839999999997</v>
      </c>
      <c r="AS529" s="69">
        <v>39351.839999999997</v>
      </c>
      <c r="AT529" s="69"/>
      <c r="BC529" s="69"/>
      <c r="BD529" s="69"/>
      <c r="CC529" s="74">
        <f t="shared" si="46"/>
        <v>39351.839999999997</v>
      </c>
      <c r="CD529" s="73">
        <f t="shared" si="43"/>
        <v>0</v>
      </c>
      <c r="CE529" s="75">
        <f t="shared" si="44"/>
        <v>8876</v>
      </c>
      <c r="CF529" s="3" t="str">
        <f t="shared" si="44"/>
        <v>خ ت صيدلة</v>
      </c>
    </row>
    <row r="530" spans="3:89" x14ac:dyDescent="0.25">
      <c r="C530" s="82">
        <v>14637</v>
      </c>
      <c r="D530" s="70">
        <v>8877</v>
      </c>
      <c r="E530" s="69" t="s">
        <v>119</v>
      </c>
      <c r="F530" s="69" t="s">
        <v>1401</v>
      </c>
      <c r="H530" s="69">
        <v>29464.3</v>
      </c>
      <c r="U530" s="69"/>
      <c r="V530" s="69"/>
      <c r="AR530" s="74">
        <f t="shared" si="32"/>
        <v>29464.3</v>
      </c>
      <c r="AS530" s="69">
        <v>26363.37</v>
      </c>
      <c r="AT530" s="69">
        <v>3100.93</v>
      </c>
      <c r="BC530" s="69"/>
      <c r="BD530" s="69"/>
      <c r="CC530" s="74">
        <f t="shared" si="46"/>
        <v>29464.3</v>
      </c>
      <c r="CD530" s="73">
        <f t="shared" si="43"/>
        <v>0</v>
      </c>
      <c r="CE530" s="75">
        <f t="shared" si="44"/>
        <v>8877</v>
      </c>
      <c r="CF530" s="3" t="str">
        <f t="shared" si="44"/>
        <v>خ ت صيدلة</v>
      </c>
    </row>
    <row r="531" spans="3:89" x14ac:dyDescent="0.25">
      <c r="C531" s="82">
        <v>14629</v>
      </c>
      <c r="D531" s="70">
        <v>8878</v>
      </c>
      <c r="E531" s="69" t="s">
        <v>119</v>
      </c>
      <c r="F531" s="69" t="s">
        <v>1401</v>
      </c>
      <c r="H531" s="69">
        <v>9000</v>
      </c>
      <c r="U531" s="69"/>
      <c r="V531" s="69"/>
      <c r="AR531" s="74">
        <f t="shared" si="32"/>
        <v>9000</v>
      </c>
      <c r="AS531" s="69">
        <v>8028.4</v>
      </c>
      <c r="AT531" s="69">
        <v>971.6</v>
      </c>
      <c r="BC531" s="69"/>
      <c r="BD531" s="69"/>
      <c r="CC531" s="74">
        <f t="shared" si="46"/>
        <v>9000</v>
      </c>
      <c r="CD531" s="73">
        <f t="shared" si="43"/>
        <v>0</v>
      </c>
      <c r="CE531" s="75">
        <f t="shared" si="44"/>
        <v>8878</v>
      </c>
      <c r="CF531" s="3" t="str">
        <f t="shared" si="44"/>
        <v>خ ت صيدلة</v>
      </c>
    </row>
    <row r="532" spans="3:89" x14ac:dyDescent="0.25">
      <c r="C532" s="82">
        <v>14696</v>
      </c>
      <c r="D532" s="70">
        <v>8879</v>
      </c>
      <c r="E532" s="69" t="s">
        <v>119</v>
      </c>
      <c r="F532" s="69" t="s">
        <v>1401</v>
      </c>
      <c r="H532" s="69">
        <v>74000</v>
      </c>
      <c r="U532" s="69"/>
      <c r="V532" s="69"/>
      <c r="AR532" s="74">
        <f t="shared" si="32"/>
        <v>74000</v>
      </c>
      <c r="AS532" s="69">
        <v>66157.45</v>
      </c>
      <c r="AT532" s="69">
        <v>7842.55</v>
      </c>
      <c r="BC532" s="69"/>
      <c r="BD532" s="69"/>
      <c r="CC532" s="74">
        <f t="shared" si="46"/>
        <v>74000</v>
      </c>
      <c r="CD532" s="73">
        <f t="shared" si="43"/>
        <v>0</v>
      </c>
      <c r="CE532" s="75">
        <f t="shared" si="44"/>
        <v>8879</v>
      </c>
      <c r="CF532" s="3" t="str">
        <f t="shared" si="44"/>
        <v>خ ت صيدلة</v>
      </c>
    </row>
    <row r="533" spans="3:89" ht="36" x14ac:dyDescent="0.25">
      <c r="C533" s="82">
        <v>13561</v>
      </c>
      <c r="D533" s="70">
        <v>8880</v>
      </c>
      <c r="E533" s="69" t="s">
        <v>119</v>
      </c>
      <c r="F533" s="77" t="s">
        <v>1402</v>
      </c>
      <c r="I533" s="69">
        <v>10500</v>
      </c>
      <c r="U533" s="69"/>
      <c r="V533" s="69"/>
      <c r="AR533" s="74">
        <f t="shared" si="32"/>
        <v>10500</v>
      </c>
      <c r="AS533" s="69">
        <v>9184</v>
      </c>
      <c r="AT533" s="69">
        <f>489+163+9</f>
        <v>661</v>
      </c>
      <c r="AV533" s="69">
        <v>5</v>
      </c>
      <c r="BC533" s="69"/>
      <c r="BD533" s="69"/>
      <c r="BF533" s="69">
        <v>105</v>
      </c>
      <c r="BG533" s="69">
        <v>20</v>
      </c>
      <c r="CB533" s="69">
        <v>525</v>
      </c>
      <c r="CC533" s="74">
        <f t="shared" si="46"/>
        <v>10500</v>
      </c>
      <c r="CD533" s="73">
        <f t="shared" si="43"/>
        <v>0</v>
      </c>
      <c r="CE533" s="75">
        <f t="shared" si="44"/>
        <v>8880</v>
      </c>
      <c r="CF533" s="3" t="str">
        <f t="shared" si="44"/>
        <v>خ ت صيدلة</v>
      </c>
    </row>
    <row r="534" spans="3:89" x14ac:dyDescent="0.25">
      <c r="C534" s="82">
        <v>14816</v>
      </c>
      <c r="D534" s="70">
        <v>8881</v>
      </c>
      <c r="E534" s="69" t="s">
        <v>78</v>
      </c>
      <c r="F534" s="69" t="s">
        <v>1403</v>
      </c>
      <c r="I534" s="69">
        <v>280</v>
      </c>
      <c r="U534" s="69"/>
      <c r="V534" s="69"/>
      <c r="AR534" s="74">
        <f t="shared" si="32"/>
        <v>280</v>
      </c>
      <c r="AS534" s="69">
        <v>280</v>
      </c>
      <c r="AT534" s="69"/>
      <c r="BC534" s="69"/>
      <c r="BD534" s="69"/>
      <c r="CC534" s="74">
        <f t="shared" si="46"/>
        <v>280</v>
      </c>
      <c r="CD534" s="73">
        <f t="shared" si="43"/>
        <v>0</v>
      </c>
      <c r="CE534" s="75">
        <f t="shared" si="44"/>
        <v>8881</v>
      </c>
      <c r="CF534" s="3" t="str">
        <f t="shared" si="44"/>
        <v>برنامج دولى</v>
      </c>
    </row>
    <row r="535" spans="3:89" x14ac:dyDescent="0.25">
      <c r="C535" s="82">
        <v>14815</v>
      </c>
      <c r="D535" s="70">
        <v>8882</v>
      </c>
      <c r="E535" s="69" t="s">
        <v>78</v>
      </c>
      <c r="F535" s="69" t="s">
        <v>1404</v>
      </c>
      <c r="I535" s="69">
        <v>200</v>
      </c>
      <c r="U535" s="69"/>
      <c r="V535" s="69"/>
      <c r="AR535" s="74">
        <f t="shared" si="32"/>
        <v>200</v>
      </c>
      <c r="AS535" s="69">
        <v>200</v>
      </c>
      <c r="AT535" s="69"/>
      <c r="BC535" s="69"/>
      <c r="BD535" s="69"/>
      <c r="CC535" s="74">
        <f t="shared" si="46"/>
        <v>200</v>
      </c>
      <c r="CD535" s="73">
        <f t="shared" si="43"/>
        <v>0</v>
      </c>
      <c r="CE535" s="75">
        <f t="shared" si="44"/>
        <v>8882</v>
      </c>
      <c r="CF535" s="3" t="str">
        <f t="shared" si="44"/>
        <v>برنامج دولى</v>
      </c>
    </row>
    <row r="536" spans="3:89" x14ac:dyDescent="0.25">
      <c r="C536" s="82">
        <v>14814</v>
      </c>
      <c r="D536" s="70">
        <v>8883</v>
      </c>
      <c r="E536" s="69" t="s">
        <v>78</v>
      </c>
      <c r="F536" s="69" t="s">
        <v>1405</v>
      </c>
      <c r="I536" s="69">
        <v>5081</v>
      </c>
      <c r="U536" s="69"/>
      <c r="V536" s="69"/>
      <c r="AR536" s="74">
        <f t="shared" si="32"/>
        <v>5081</v>
      </c>
      <c r="AS536" s="69">
        <v>4625.3999999999996</v>
      </c>
      <c r="AT536" s="69">
        <v>270</v>
      </c>
      <c r="BC536" s="69"/>
      <c r="BD536" s="69"/>
      <c r="BF536" s="69">
        <v>133.4</v>
      </c>
      <c r="BG536" s="69">
        <v>12</v>
      </c>
      <c r="BH536" s="69">
        <f>20.1*2</f>
        <v>40.200000000000003</v>
      </c>
      <c r="CC536" s="74">
        <f t="shared" si="46"/>
        <v>5080.9999999999991</v>
      </c>
      <c r="CD536" s="73">
        <f t="shared" si="43"/>
        <v>0</v>
      </c>
      <c r="CE536" s="75">
        <f t="shared" si="44"/>
        <v>8883</v>
      </c>
      <c r="CF536" s="3" t="str">
        <f t="shared" si="44"/>
        <v>برنامج دولى</v>
      </c>
    </row>
    <row r="537" spans="3:89" ht="54" x14ac:dyDescent="0.25">
      <c r="C537" s="82">
        <v>14480</v>
      </c>
      <c r="D537" s="70">
        <v>8884</v>
      </c>
      <c r="F537" s="77" t="s">
        <v>1406</v>
      </c>
      <c r="U537" s="69"/>
      <c r="V537" s="69"/>
      <c r="AA537" s="69">
        <v>39817.199999999997</v>
      </c>
      <c r="AR537" s="74">
        <f t="shared" si="32"/>
        <v>39817.199999999997</v>
      </c>
      <c r="AS537" s="69">
        <v>39419</v>
      </c>
      <c r="AT537" s="69"/>
      <c r="BC537" s="69"/>
      <c r="BD537" s="69"/>
      <c r="CB537" s="69">
        <v>398.2</v>
      </c>
      <c r="CC537" s="74">
        <f t="shared" si="46"/>
        <v>39817.199999999997</v>
      </c>
      <c r="CD537" s="73">
        <f t="shared" si="43"/>
        <v>0</v>
      </c>
      <c r="CE537" s="75">
        <f t="shared" si="44"/>
        <v>8884</v>
      </c>
      <c r="CF537" s="3">
        <f t="shared" si="44"/>
        <v>0</v>
      </c>
    </row>
    <row r="538" spans="3:89" ht="54" x14ac:dyDescent="0.25">
      <c r="C538" s="82">
        <v>13705</v>
      </c>
      <c r="D538" s="70">
        <v>8885</v>
      </c>
      <c r="F538" s="77" t="s">
        <v>1407</v>
      </c>
      <c r="U538" s="69"/>
      <c r="V538" s="69"/>
      <c r="AA538" s="69">
        <v>11932.65</v>
      </c>
      <c r="AR538" s="74">
        <f t="shared" si="32"/>
        <v>11932.65</v>
      </c>
      <c r="AS538" s="69">
        <f>11932.65-119.33</f>
        <v>11813.32</v>
      </c>
      <c r="AT538" s="69"/>
      <c r="BC538" s="69"/>
      <c r="BD538" s="69"/>
      <c r="CB538" s="69">
        <v>119.33</v>
      </c>
      <c r="CC538" s="74">
        <f t="shared" si="46"/>
        <v>11932.65</v>
      </c>
      <c r="CD538" s="73">
        <f t="shared" si="43"/>
        <v>0</v>
      </c>
      <c r="CE538" s="75">
        <f t="shared" si="44"/>
        <v>8885</v>
      </c>
      <c r="CF538" s="3">
        <f t="shared" si="44"/>
        <v>0</v>
      </c>
    </row>
    <row r="539" spans="3:89" ht="54" x14ac:dyDescent="0.25">
      <c r="C539" s="82">
        <v>13706</v>
      </c>
      <c r="D539" s="70">
        <v>8886</v>
      </c>
      <c r="F539" s="77" t="s">
        <v>1408</v>
      </c>
      <c r="U539" s="69"/>
      <c r="V539" s="69"/>
      <c r="AA539" s="69">
        <v>11932.65</v>
      </c>
      <c r="AR539" s="74">
        <f t="shared" si="32"/>
        <v>11932.65</v>
      </c>
      <c r="AS539" s="69">
        <v>11813.32</v>
      </c>
      <c r="AT539" s="69"/>
      <c r="BC539" s="69"/>
      <c r="BD539" s="69"/>
      <c r="CB539" s="69">
        <v>119.33</v>
      </c>
      <c r="CC539" s="74">
        <f t="shared" si="46"/>
        <v>11932.65</v>
      </c>
      <c r="CD539" s="73">
        <f t="shared" si="43"/>
        <v>0</v>
      </c>
      <c r="CE539" s="75">
        <f t="shared" si="44"/>
        <v>8886</v>
      </c>
      <c r="CF539" s="3">
        <f t="shared" si="44"/>
        <v>0</v>
      </c>
    </row>
    <row r="540" spans="3:89" s="68" customFormat="1" ht="23.25" customHeight="1" x14ac:dyDescent="0.25">
      <c r="C540" s="83"/>
      <c r="D540" s="84"/>
      <c r="F540" s="68" t="s">
        <v>1409</v>
      </c>
      <c r="H540" s="68">
        <f>SUM(H468:H539)</f>
        <v>1360963.2200000002</v>
      </c>
      <c r="I540" s="68">
        <f t="shared" ref="I540:BT540" si="47">SUM(I468:I539)</f>
        <v>16061</v>
      </c>
      <c r="J540" s="68">
        <f t="shared" si="47"/>
        <v>0</v>
      </c>
      <c r="K540" s="68">
        <f t="shared" si="47"/>
        <v>0</v>
      </c>
      <c r="L540" s="68">
        <f t="shared" si="47"/>
        <v>0</v>
      </c>
      <c r="M540" s="68">
        <f t="shared" si="47"/>
        <v>0</v>
      </c>
      <c r="N540" s="68">
        <f t="shared" si="47"/>
        <v>0</v>
      </c>
      <c r="O540" s="68">
        <f t="shared" si="47"/>
        <v>0</v>
      </c>
      <c r="P540" s="68">
        <f t="shared" si="47"/>
        <v>0</v>
      </c>
      <c r="Q540" s="68">
        <f t="shared" si="47"/>
        <v>0</v>
      </c>
      <c r="R540" s="68">
        <f t="shared" si="47"/>
        <v>0</v>
      </c>
      <c r="S540" s="68">
        <f t="shared" si="47"/>
        <v>0</v>
      </c>
      <c r="T540" s="68">
        <f t="shared" si="47"/>
        <v>0</v>
      </c>
      <c r="U540" s="68">
        <f t="shared" si="47"/>
        <v>0</v>
      </c>
      <c r="V540" s="68">
        <f t="shared" si="47"/>
        <v>0</v>
      </c>
      <c r="W540" s="68">
        <f t="shared" si="47"/>
        <v>0</v>
      </c>
      <c r="X540" s="68">
        <f t="shared" si="47"/>
        <v>0</v>
      </c>
      <c r="Y540" s="68">
        <f t="shared" si="47"/>
        <v>0</v>
      </c>
      <c r="Z540" s="68">
        <f t="shared" si="47"/>
        <v>0</v>
      </c>
      <c r="AA540" s="68">
        <f t="shared" si="47"/>
        <v>63682.5</v>
      </c>
      <c r="AB540" s="68">
        <f t="shared" si="47"/>
        <v>0</v>
      </c>
      <c r="AC540" s="68">
        <f t="shared" si="47"/>
        <v>0</v>
      </c>
      <c r="AD540" s="68">
        <f t="shared" si="47"/>
        <v>0</v>
      </c>
      <c r="AE540" s="68">
        <f t="shared" si="47"/>
        <v>0</v>
      </c>
      <c r="AF540" s="68">
        <f t="shared" si="47"/>
        <v>0</v>
      </c>
      <c r="AG540" s="68">
        <f t="shared" si="47"/>
        <v>0</v>
      </c>
      <c r="AH540" s="68">
        <f t="shared" si="47"/>
        <v>0</v>
      </c>
      <c r="AI540" s="68">
        <f t="shared" si="47"/>
        <v>0</v>
      </c>
      <c r="AJ540" s="68">
        <f t="shared" si="47"/>
        <v>0</v>
      </c>
      <c r="AK540" s="68">
        <f t="shared" si="47"/>
        <v>0</v>
      </c>
      <c r="AL540" s="68">
        <f t="shared" si="47"/>
        <v>0</v>
      </c>
      <c r="AM540" s="68">
        <f t="shared" si="47"/>
        <v>0</v>
      </c>
      <c r="AN540" s="68">
        <f t="shared" si="47"/>
        <v>0</v>
      </c>
      <c r="AO540" s="68">
        <f t="shared" si="47"/>
        <v>0</v>
      </c>
      <c r="AP540" s="68">
        <f t="shared" si="47"/>
        <v>0</v>
      </c>
      <c r="AQ540" s="68">
        <f t="shared" si="47"/>
        <v>0</v>
      </c>
      <c r="AR540" s="74">
        <f t="shared" si="32"/>
        <v>1440706.7200000002</v>
      </c>
      <c r="AS540" s="68">
        <f t="shared" si="47"/>
        <v>1187082.0299999998</v>
      </c>
      <c r="AT540" s="68">
        <f t="shared" si="47"/>
        <v>168988.91</v>
      </c>
      <c r="AU540" s="68">
        <f t="shared" si="47"/>
        <v>59237.660000000018</v>
      </c>
      <c r="AV540" s="68">
        <f t="shared" si="47"/>
        <v>23925.66</v>
      </c>
      <c r="AW540" s="68">
        <f t="shared" si="47"/>
        <v>0</v>
      </c>
      <c r="AX540" s="68">
        <f t="shared" si="47"/>
        <v>0</v>
      </c>
      <c r="AY540" s="68">
        <f t="shared" si="47"/>
        <v>0</v>
      </c>
      <c r="AZ540" s="68">
        <f t="shared" si="47"/>
        <v>0</v>
      </c>
      <c r="BA540" s="68">
        <f t="shared" si="47"/>
        <v>0</v>
      </c>
      <c r="BB540" s="68">
        <f t="shared" si="47"/>
        <v>0</v>
      </c>
      <c r="BC540" s="68">
        <f t="shared" si="47"/>
        <v>0</v>
      </c>
      <c r="BD540" s="68">
        <f t="shared" si="47"/>
        <v>0</v>
      </c>
      <c r="BE540" s="68">
        <f t="shared" si="47"/>
        <v>0</v>
      </c>
      <c r="BF540" s="68">
        <f t="shared" si="47"/>
        <v>238.4</v>
      </c>
      <c r="BG540" s="68">
        <f t="shared" si="47"/>
        <v>32</v>
      </c>
      <c r="BH540" s="68">
        <f t="shared" si="47"/>
        <v>40.200000000000003</v>
      </c>
      <c r="BI540" s="68">
        <f t="shared" si="47"/>
        <v>0</v>
      </c>
      <c r="BJ540" s="68">
        <f t="shared" si="47"/>
        <v>0</v>
      </c>
      <c r="BK540" s="68">
        <f t="shared" si="47"/>
        <v>0</v>
      </c>
      <c r="BL540" s="68">
        <f t="shared" si="47"/>
        <v>0</v>
      </c>
      <c r="BM540" s="68">
        <f t="shared" si="47"/>
        <v>0</v>
      </c>
      <c r="BN540" s="68">
        <f t="shared" si="47"/>
        <v>0</v>
      </c>
      <c r="BO540" s="68">
        <f t="shared" si="47"/>
        <v>0</v>
      </c>
      <c r="BP540" s="68">
        <f t="shared" si="47"/>
        <v>0</v>
      </c>
      <c r="BQ540" s="68">
        <f t="shared" si="47"/>
        <v>0</v>
      </c>
      <c r="BR540" s="68">
        <f t="shared" si="47"/>
        <v>0</v>
      </c>
      <c r="BS540" s="68">
        <f t="shared" si="47"/>
        <v>0</v>
      </c>
      <c r="BT540" s="68">
        <f t="shared" si="47"/>
        <v>0</v>
      </c>
      <c r="BU540" s="68">
        <f t="shared" ref="BU540:CB540" si="48">SUM(BU468:BU539)</f>
        <v>0</v>
      </c>
      <c r="BV540" s="68">
        <f t="shared" si="48"/>
        <v>0</v>
      </c>
      <c r="BW540" s="68">
        <f t="shared" si="48"/>
        <v>0</v>
      </c>
      <c r="BX540" s="68">
        <f t="shared" si="48"/>
        <v>0</v>
      </c>
      <c r="BY540" s="68">
        <f t="shared" si="48"/>
        <v>0</v>
      </c>
      <c r="BZ540" s="68">
        <f t="shared" si="48"/>
        <v>0</v>
      </c>
      <c r="CA540" s="68">
        <f t="shared" si="48"/>
        <v>0</v>
      </c>
      <c r="CB540" s="68">
        <f t="shared" si="48"/>
        <v>1161.8599999999999</v>
      </c>
      <c r="CC540" s="74">
        <f t="shared" si="46"/>
        <v>1440706.7199999995</v>
      </c>
      <c r="CD540" s="73">
        <f t="shared" si="43"/>
        <v>0</v>
      </c>
      <c r="CE540" s="75">
        <f t="shared" ref="CE540:CF577" si="49">+D540</f>
        <v>0</v>
      </c>
      <c r="CF540" s="3">
        <f t="shared" si="49"/>
        <v>0</v>
      </c>
      <c r="CG540" s="68">
        <f t="shared" ref="CG540:CK540" si="50">SUM(CG468:CG539)</f>
        <v>0</v>
      </c>
      <c r="CH540" s="68">
        <f t="shared" si="50"/>
        <v>0</v>
      </c>
      <c r="CI540" s="68">
        <f t="shared" si="50"/>
        <v>0</v>
      </c>
      <c r="CJ540" s="68">
        <f t="shared" si="50"/>
        <v>0</v>
      </c>
      <c r="CK540" s="68">
        <f t="shared" si="50"/>
        <v>0</v>
      </c>
    </row>
    <row r="541" spans="3:89" ht="23.25" customHeight="1" x14ac:dyDescent="0.25">
      <c r="C541" s="82">
        <v>6849</v>
      </c>
      <c r="D541" s="78">
        <v>8887</v>
      </c>
      <c r="E541" s="69" t="s">
        <v>132</v>
      </c>
      <c r="F541" s="69" t="s">
        <v>906</v>
      </c>
      <c r="G541" s="69" t="s">
        <v>220</v>
      </c>
      <c r="H541" s="69">
        <v>67886.28</v>
      </c>
      <c r="U541" s="69"/>
      <c r="V541" s="69"/>
      <c r="AR541" s="74">
        <f t="shared" si="32"/>
        <v>67886.28</v>
      </c>
      <c r="AS541" s="69">
        <v>49381.94</v>
      </c>
      <c r="AT541" s="69">
        <v>405.85</v>
      </c>
      <c r="AU541" s="69">
        <f>14042.8+2317</f>
        <v>16359.8</v>
      </c>
      <c r="AV541" s="69">
        <f>1709.74+28.95</f>
        <v>1738.69</v>
      </c>
      <c r="BC541" s="69"/>
      <c r="BD541" s="69"/>
      <c r="CC541" s="74">
        <f t="shared" si="46"/>
        <v>67886.28</v>
      </c>
      <c r="CD541" s="73">
        <f t="shared" si="43"/>
        <v>0</v>
      </c>
      <c r="CE541" s="75">
        <f t="shared" si="49"/>
        <v>8887</v>
      </c>
      <c r="CF541" s="3" t="str">
        <f t="shared" si="49"/>
        <v>صيدلة اكلينيكى</v>
      </c>
    </row>
    <row r="542" spans="3:89" ht="23.25" customHeight="1" x14ac:dyDescent="0.25">
      <c r="C542" s="82">
        <v>6851</v>
      </c>
      <c r="D542" s="78">
        <v>8888</v>
      </c>
      <c r="E542" s="69" t="s">
        <v>132</v>
      </c>
      <c r="F542" s="69" t="s">
        <v>906</v>
      </c>
      <c r="G542" s="69" t="s">
        <v>220</v>
      </c>
      <c r="H542" s="69">
        <v>6001.28</v>
      </c>
      <c r="U542" s="69"/>
      <c r="V542" s="69"/>
      <c r="AR542" s="74">
        <f t="shared" si="32"/>
        <v>6001.28</v>
      </c>
      <c r="AS542" s="69">
        <v>4138.57</v>
      </c>
      <c r="AT542" s="69">
        <v>36.049999999999997</v>
      </c>
      <c r="AU542" s="69">
        <f>1241.3+204.8</f>
        <v>1446.1</v>
      </c>
      <c r="AV542" s="69">
        <f>378+2.56</f>
        <v>380.56</v>
      </c>
      <c r="BC542" s="69"/>
      <c r="BD542" s="69"/>
      <c r="CC542" s="74">
        <f t="shared" si="46"/>
        <v>6001.28</v>
      </c>
      <c r="CD542" s="73">
        <f t="shared" si="43"/>
        <v>0</v>
      </c>
      <c r="CE542" s="75">
        <f t="shared" si="49"/>
        <v>8888</v>
      </c>
      <c r="CF542" s="3" t="str">
        <f t="shared" si="49"/>
        <v>صيدلة اكلينيكى</v>
      </c>
    </row>
    <row r="543" spans="3:89" ht="23.25" customHeight="1" x14ac:dyDescent="0.25">
      <c r="C543" s="82">
        <v>6850</v>
      </c>
      <c r="D543" s="78">
        <v>8889</v>
      </c>
      <c r="E543" s="69" t="s">
        <v>132</v>
      </c>
      <c r="F543" s="69" t="s">
        <v>906</v>
      </c>
      <c r="G543" s="69" t="s">
        <v>220</v>
      </c>
      <c r="H543" s="69">
        <v>6231.05</v>
      </c>
      <c r="U543" s="69"/>
      <c r="V543" s="69"/>
      <c r="AR543" s="74">
        <f t="shared" si="32"/>
        <v>6231.05</v>
      </c>
      <c r="AS543" s="69">
        <v>4555.3900000000003</v>
      </c>
      <c r="AT543" s="69">
        <v>36.4</v>
      </c>
      <c r="AU543" s="69">
        <f>1288.9+212.7</f>
        <v>1501.6000000000001</v>
      </c>
      <c r="AV543" s="69">
        <f>135+2.66</f>
        <v>137.66</v>
      </c>
      <c r="BC543" s="69"/>
      <c r="BD543" s="69"/>
      <c r="CC543" s="74">
        <f t="shared" si="46"/>
        <v>6231.05</v>
      </c>
      <c r="CD543" s="73">
        <f t="shared" si="43"/>
        <v>0</v>
      </c>
      <c r="CE543" s="75">
        <f t="shared" si="49"/>
        <v>8889</v>
      </c>
      <c r="CF543" s="3" t="str">
        <f t="shared" si="49"/>
        <v>صيدلة اكلينيكى</v>
      </c>
    </row>
    <row r="544" spans="3:89" ht="23.25" customHeight="1" x14ac:dyDescent="0.25">
      <c r="C544" s="82">
        <v>6853</v>
      </c>
      <c r="D544" s="78">
        <v>8890</v>
      </c>
      <c r="E544" s="69" t="s">
        <v>132</v>
      </c>
      <c r="F544" s="69" t="s">
        <v>906</v>
      </c>
      <c r="G544" s="69" t="s">
        <v>220</v>
      </c>
      <c r="H544" s="69">
        <v>19808.46</v>
      </c>
      <c r="U544" s="69"/>
      <c r="V544" s="69"/>
      <c r="AR544" s="74">
        <f t="shared" si="32"/>
        <v>19808.46</v>
      </c>
      <c r="AS544" s="69">
        <v>14667.28</v>
      </c>
      <c r="AT544" s="69">
        <v>119.15</v>
      </c>
      <c r="AU544" s="69">
        <f>4097.7+676.1</f>
        <v>4773.8</v>
      </c>
      <c r="AV544" s="69">
        <f>239.79+8.44</f>
        <v>248.23</v>
      </c>
      <c r="BC544" s="69"/>
      <c r="BD544" s="69"/>
      <c r="CC544" s="74">
        <f t="shared" si="46"/>
        <v>19808.46</v>
      </c>
      <c r="CD544" s="73">
        <f t="shared" si="43"/>
        <v>0</v>
      </c>
      <c r="CE544" s="75">
        <f t="shared" si="49"/>
        <v>8890</v>
      </c>
      <c r="CF544" s="3" t="str">
        <f t="shared" si="49"/>
        <v>صيدلة اكلينيكى</v>
      </c>
    </row>
    <row r="545" spans="3:84" ht="23.25" customHeight="1" x14ac:dyDescent="0.25">
      <c r="C545" s="82">
        <v>6852</v>
      </c>
      <c r="D545" s="78">
        <v>8891</v>
      </c>
      <c r="E545" s="69" t="s">
        <v>132</v>
      </c>
      <c r="F545" s="69" t="s">
        <v>906</v>
      </c>
      <c r="G545" s="69" t="s">
        <v>220</v>
      </c>
      <c r="H545" s="69">
        <v>166658.59</v>
      </c>
      <c r="U545" s="69"/>
      <c r="V545" s="69"/>
      <c r="AR545" s="74">
        <f t="shared" ref="AR545:AR577" si="51">SUM(H545:AQ545)</f>
        <v>166658.59</v>
      </c>
      <c r="AS545" s="69">
        <v>120491.07</v>
      </c>
      <c r="AT545" s="69">
        <f>15.33+982.5</f>
        <v>997.83</v>
      </c>
      <c r="AU545" s="69">
        <f>35281.6+5821.2+39</f>
        <v>41141.799999999996</v>
      </c>
      <c r="AV545" s="69">
        <f>3957.1+70.79</f>
        <v>4027.89</v>
      </c>
      <c r="BC545" s="69"/>
      <c r="BD545" s="69"/>
      <c r="CC545" s="74">
        <f t="shared" si="46"/>
        <v>166658.59000000003</v>
      </c>
      <c r="CD545" s="73">
        <f t="shared" si="43"/>
        <v>0</v>
      </c>
      <c r="CE545" s="75">
        <f t="shared" si="49"/>
        <v>8891</v>
      </c>
      <c r="CF545" s="3" t="str">
        <f t="shared" si="49"/>
        <v>صيدلة اكلينيكى</v>
      </c>
    </row>
    <row r="546" spans="3:84" ht="23.25" customHeight="1" x14ac:dyDescent="0.25">
      <c r="C546" s="82">
        <v>6855</v>
      </c>
      <c r="D546" s="78">
        <v>8892</v>
      </c>
      <c r="E546" s="69" t="s">
        <v>132</v>
      </c>
      <c r="F546" s="69" t="s">
        <v>906</v>
      </c>
      <c r="G546" s="69" t="s">
        <v>220</v>
      </c>
      <c r="H546" s="69">
        <v>6453.47</v>
      </c>
      <c r="U546" s="69"/>
      <c r="V546" s="69"/>
      <c r="AR546" s="74">
        <f t="shared" si="51"/>
        <v>6453.47</v>
      </c>
      <c r="AS546" s="69">
        <v>4853.62</v>
      </c>
      <c r="AT546" s="69">
        <v>38.799999999999997</v>
      </c>
      <c r="AU546" s="69">
        <f>1335+220.3</f>
        <v>1555.3</v>
      </c>
      <c r="AV546" s="69">
        <f>3+2.75</f>
        <v>5.75</v>
      </c>
      <c r="BC546" s="69"/>
      <c r="BD546" s="69"/>
      <c r="CC546" s="74">
        <f t="shared" si="46"/>
        <v>6453.47</v>
      </c>
      <c r="CD546" s="73">
        <f t="shared" si="43"/>
        <v>0</v>
      </c>
      <c r="CE546" s="75">
        <f t="shared" si="49"/>
        <v>8892</v>
      </c>
      <c r="CF546" s="3" t="str">
        <f t="shared" si="49"/>
        <v>صيدلة اكلينيكى</v>
      </c>
    </row>
    <row r="547" spans="3:84" ht="23.25" customHeight="1" x14ac:dyDescent="0.25">
      <c r="C547" s="82">
        <v>6854</v>
      </c>
      <c r="D547" s="78">
        <v>8893</v>
      </c>
      <c r="E547" s="69" t="s">
        <v>132</v>
      </c>
      <c r="F547" s="69" t="s">
        <v>906</v>
      </c>
      <c r="G547" s="69" t="s">
        <v>220</v>
      </c>
      <c r="H547" s="69">
        <v>6228.75</v>
      </c>
      <c r="U547" s="69"/>
      <c r="V547" s="69"/>
      <c r="AR547" s="74">
        <f t="shared" si="51"/>
        <v>6228.75</v>
      </c>
      <c r="AS547" s="69">
        <v>4684.54</v>
      </c>
      <c r="AT547" s="69">
        <v>37.450000000000003</v>
      </c>
      <c r="AU547" s="69">
        <f>1288.5+212.6</f>
        <v>1501.1</v>
      </c>
      <c r="AV547" s="69">
        <f>3+2.66</f>
        <v>5.66</v>
      </c>
      <c r="BC547" s="69"/>
      <c r="BD547" s="69"/>
      <c r="CC547" s="74">
        <f t="shared" si="46"/>
        <v>6228.75</v>
      </c>
      <c r="CD547" s="73">
        <f t="shared" si="43"/>
        <v>0</v>
      </c>
      <c r="CE547" s="75">
        <f t="shared" si="49"/>
        <v>8893</v>
      </c>
      <c r="CF547" s="3" t="str">
        <f t="shared" si="49"/>
        <v>صيدلة اكلينيكى</v>
      </c>
    </row>
    <row r="548" spans="3:84" ht="23.25" customHeight="1" x14ac:dyDescent="0.25">
      <c r="C548" s="82">
        <v>6947</v>
      </c>
      <c r="D548" s="78">
        <v>8894</v>
      </c>
      <c r="E548" s="69" t="s">
        <v>78</v>
      </c>
      <c r="F548" s="69" t="s">
        <v>906</v>
      </c>
      <c r="G548" s="69" t="s">
        <v>220</v>
      </c>
      <c r="H548" s="69">
        <v>6434.53</v>
      </c>
      <c r="U548" s="69"/>
      <c r="V548" s="69"/>
      <c r="AR548" s="74">
        <f t="shared" si="51"/>
        <v>6434.53</v>
      </c>
      <c r="AS548" s="69">
        <v>4769.49</v>
      </c>
      <c r="AT548" s="69">
        <v>38.700000000000003</v>
      </c>
      <c r="AU548" s="69">
        <f>1331+219.6</f>
        <v>1550.6</v>
      </c>
      <c r="AV548" s="69">
        <f>73+2.74</f>
        <v>75.739999999999995</v>
      </c>
      <c r="BC548" s="69"/>
      <c r="BD548" s="69"/>
      <c r="CC548" s="74">
        <f t="shared" si="46"/>
        <v>6434.5299999999988</v>
      </c>
      <c r="CD548" s="73">
        <f t="shared" si="43"/>
        <v>0</v>
      </c>
      <c r="CE548" s="75">
        <f t="shared" si="49"/>
        <v>8894</v>
      </c>
      <c r="CF548" s="3" t="str">
        <f t="shared" si="49"/>
        <v>برنامج دولى</v>
      </c>
    </row>
    <row r="549" spans="3:84" ht="23.25" customHeight="1" x14ac:dyDescent="0.25">
      <c r="C549" s="82">
        <v>6948</v>
      </c>
      <c r="D549" s="78">
        <v>8894</v>
      </c>
      <c r="E549" s="69" t="s">
        <v>78</v>
      </c>
      <c r="F549" s="69" t="s">
        <v>906</v>
      </c>
      <c r="G549" s="69" t="s">
        <v>220</v>
      </c>
      <c r="H549" s="69">
        <v>13682.72</v>
      </c>
      <c r="U549" s="69"/>
      <c r="V549" s="69"/>
      <c r="AR549" s="74">
        <f t="shared" si="51"/>
        <v>13682.72</v>
      </c>
      <c r="AS549" s="69">
        <v>10260.879999999999</v>
      </c>
      <c r="AT549" s="69">
        <f>30.3+82.3</f>
        <v>112.6</v>
      </c>
      <c r="AU549" s="69">
        <f>2830.4+467</f>
        <v>3297.4</v>
      </c>
      <c r="AV549" s="69">
        <f>6+5.84</f>
        <v>11.84</v>
      </c>
      <c r="BC549" s="69"/>
      <c r="BD549" s="69"/>
      <c r="CC549" s="74">
        <f t="shared" ref="CC549:CC551" si="52">SUM(AS549:CB549)</f>
        <v>13682.72</v>
      </c>
      <c r="CD549" s="73">
        <f t="shared" si="43"/>
        <v>0</v>
      </c>
      <c r="CE549" s="75">
        <f t="shared" si="49"/>
        <v>8894</v>
      </c>
      <c r="CF549" s="3" t="str">
        <f t="shared" si="49"/>
        <v>برنامج دولى</v>
      </c>
    </row>
    <row r="550" spans="3:84" ht="23.25" customHeight="1" x14ac:dyDescent="0.25">
      <c r="C550" s="82">
        <v>6949</v>
      </c>
      <c r="D550" s="78">
        <v>8894</v>
      </c>
      <c r="E550" s="69" t="s">
        <v>78</v>
      </c>
      <c r="F550" s="69" t="s">
        <v>906</v>
      </c>
      <c r="G550" s="69" t="s">
        <v>220</v>
      </c>
      <c r="H550" s="69">
        <v>12830.43</v>
      </c>
      <c r="U550" s="69"/>
      <c r="V550" s="69"/>
      <c r="AR550" s="74">
        <f t="shared" si="51"/>
        <v>12830.43</v>
      </c>
      <c r="AS550" s="69">
        <v>9514.81</v>
      </c>
      <c r="AT550" s="69">
        <v>77.150000000000006</v>
      </c>
      <c r="AU550" s="69">
        <f>2654.1+437.9</f>
        <v>3092</v>
      </c>
      <c r="AV550" s="69">
        <f>141+5.47</f>
        <v>146.47</v>
      </c>
      <c r="BC550" s="69"/>
      <c r="BD550" s="69"/>
      <c r="CC550" s="74">
        <f t="shared" si="52"/>
        <v>12830.429999999998</v>
      </c>
      <c r="CD550" s="73">
        <f t="shared" si="43"/>
        <v>0</v>
      </c>
      <c r="CE550" s="75">
        <f t="shared" si="49"/>
        <v>8894</v>
      </c>
      <c r="CF550" s="3" t="str">
        <f t="shared" si="49"/>
        <v>برنامج دولى</v>
      </c>
    </row>
    <row r="551" spans="3:84" ht="23.25" customHeight="1" x14ac:dyDescent="0.25">
      <c r="C551" s="82">
        <v>6952</v>
      </c>
      <c r="D551" s="78">
        <v>8894</v>
      </c>
      <c r="E551" s="69" t="s">
        <v>78</v>
      </c>
      <c r="F551" s="69" t="s">
        <v>906</v>
      </c>
      <c r="G551" s="69" t="s">
        <v>220</v>
      </c>
      <c r="H551" s="69">
        <v>13275.78</v>
      </c>
      <c r="U551" s="69"/>
      <c r="V551" s="69"/>
      <c r="AR551" s="74">
        <f t="shared" si="51"/>
        <v>13275.78</v>
      </c>
      <c r="AS551" s="69">
        <v>9514.83</v>
      </c>
      <c r="AT551" s="69">
        <f>15.14+79.85</f>
        <v>94.99</v>
      </c>
      <c r="AU551" s="69">
        <f>2746.2+453.1</f>
        <v>3199.2999999999997</v>
      </c>
      <c r="AV551" s="69">
        <f>461+5.66</f>
        <v>466.66</v>
      </c>
      <c r="BC551" s="69"/>
      <c r="BD551" s="69"/>
      <c r="CC551" s="74">
        <f t="shared" si="52"/>
        <v>13275.779999999999</v>
      </c>
      <c r="CD551" s="73">
        <f t="shared" si="43"/>
        <v>0</v>
      </c>
      <c r="CE551" s="75">
        <f t="shared" si="49"/>
        <v>8894</v>
      </c>
      <c r="CF551" s="3" t="str">
        <f t="shared" si="49"/>
        <v>برنامج دولى</v>
      </c>
    </row>
    <row r="552" spans="3:84" ht="23.25" customHeight="1" x14ac:dyDescent="0.25">
      <c r="C552" s="82">
        <v>6950</v>
      </c>
      <c r="D552" s="78">
        <v>8895</v>
      </c>
      <c r="E552" s="69" t="s">
        <v>78</v>
      </c>
      <c r="F552" s="69" t="s">
        <v>906</v>
      </c>
      <c r="G552" s="69" t="s">
        <v>220</v>
      </c>
      <c r="H552" s="69">
        <v>6434.53</v>
      </c>
      <c r="U552" s="69"/>
      <c r="V552" s="69"/>
      <c r="AR552" s="74">
        <f t="shared" si="51"/>
        <v>6434.53</v>
      </c>
      <c r="AS552" s="69">
        <v>4787.49</v>
      </c>
      <c r="AT552" s="69">
        <v>38.700000000000003</v>
      </c>
      <c r="AU552" s="69">
        <f>1331+219.6</f>
        <v>1550.6</v>
      </c>
      <c r="AV552" s="69">
        <f>55+2.74</f>
        <v>57.74</v>
      </c>
      <c r="BC552" s="69"/>
      <c r="BD552" s="69"/>
      <c r="CC552" s="74">
        <f t="shared" si="46"/>
        <v>6434.5299999999988</v>
      </c>
      <c r="CD552" s="73">
        <f t="shared" si="43"/>
        <v>0</v>
      </c>
      <c r="CE552" s="75">
        <f t="shared" si="49"/>
        <v>8895</v>
      </c>
      <c r="CF552" s="3" t="str">
        <f t="shared" si="49"/>
        <v>برنامج دولى</v>
      </c>
    </row>
    <row r="553" spans="3:84" ht="23.25" customHeight="1" x14ac:dyDescent="0.25">
      <c r="C553" s="82">
        <v>6951</v>
      </c>
      <c r="D553" s="78">
        <v>8895</v>
      </c>
      <c r="E553" s="69" t="s">
        <v>78</v>
      </c>
      <c r="F553" s="69" t="s">
        <v>906</v>
      </c>
      <c r="G553" s="69" t="s">
        <v>220</v>
      </c>
      <c r="H553" s="69">
        <v>6395.9</v>
      </c>
      <c r="U553" s="69"/>
      <c r="V553" s="69"/>
      <c r="AR553" s="74">
        <f t="shared" si="51"/>
        <v>6395.9</v>
      </c>
      <c r="AS553" s="69">
        <v>4810.32</v>
      </c>
      <c r="AT553" s="69">
        <v>38.450000000000003</v>
      </c>
      <c r="AU553" s="69">
        <f>1323.1+218.3</f>
        <v>1541.3999999999999</v>
      </c>
      <c r="AV553" s="69">
        <f>3+2.73</f>
        <v>5.73</v>
      </c>
      <c r="BC553" s="69"/>
      <c r="BD553" s="69"/>
      <c r="CC553" s="74">
        <f t="shared" ref="CC553:CC554" si="53">SUM(AS553:CB553)</f>
        <v>6395.8999999999987</v>
      </c>
      <c r="CD553" s="73">
        <f t="shared" si="43"/>
        <v>0</v>
      </c>
      <c r="CE553" s="75">
        <f t="shared" si="49"/>
        <v>8895</v>
      </c>
      <c r="CF553" s="3" t="str">
        <f t="shared" si="49"/>
        <v>برنامج دولى</v>
      </c>
    </row>
    <row r="554" spans="3:84" ht="23.25" customHeight="1" x14ac:dyDescent="0.25">
      <c r="C554" s="82">
        <v>6953</v>
      </c>
      <c r="D554" s="78">
        <v>8895</v>
      </c>
      <c r="E554" s="69" t="s">
        <v>78</v>
      </c>
      <c r="F554" s="69" t="s">
        <v>906</v>
      </c>
      <c r="G554" s="69" t="s">
        <v>220</v>
      </c>
      <c r="H554" s="69">
        <v>6434.53</v>
      </c>
      <c r="U554" s="69"/>
      <c r="V554" s="69"/>
      <c r="AR554" s="74">
        <f t="shared" si="51"/>
        <v>6434.53</v>
      </c>
      <c r="AS554" s="69">
        <v>4514.21</v>
      </c>
      <c r="AT554" s="69">
        <v>38.700000000000003</v>
      </c>
      <c r="AU554" s="69">
        <f>1331+219.6</f>
        <v>1550.6</v>
      </c>
      <c r="AV554" s="69">
        <f>328.28+2.74</f>
        <v>331.02</v>
      </c>
      <c r="BC554" s="69"/>
      <c r="BD554" s="69"/>
      <c r="CC554" s="74">
        <f t="shared" si="53"/>
        <v>6434.5300000000007</v>
      </c>
      <c r="CD554" s="73">
        <f t="shared" si="43"/>
        <v>0</v>
      </c>
      <c r="CE554" s="75">
        <f t="shared" si="49"/>
        <v>8895</v>
      </c>
      <c r="CF554" s="3" t="str">
        <f t="shared" si="49"/>
        <v>برنامج دولى</v>
      </c>
    </row>
    <row r="555" spans="3:84" ht="23.25" customHeight="1" x14ac:dyDescent="0.25">
      <c r="C555" s="82">
        <v>6961</v>
      </c>
      <c r="D555" s="78">
        <v>8896</v>
      </c>
      <c r="E555" s="69" t="s">
        <v>78</v>
      </c>
      <c r="F555" s="69" t="s">
        <v>906</v>
      </c>
      <c r="G555" s="69" t="s">
        <v>220</v>
      </c>
      <c r="H555" s="69">
        <v>6434.53</v>
      </c>
      <c r="U555" s="69"/>
      <c r="V555" s="69"/>
      <c r="AR555" s="74">
        <f t="shared" si="51"/>
        <v>6434.53</v>
      </c>
      <c r="AS555" s="69">
        <v>4816.6899999999996</v>
      </c>
      <c r="AT555" s="69">
        <v>38.5</v>
      </c>
      <c r="AU555" s="69">
        <f>1331+219.6+23</f>
        <v>1573.6</v>
      </c>
      <c r="AV555" s="69">
        <f>3+2.74</f>
        <v>5.74</v>
      </c>
      <c r="BC555" s="69"/>
      <c r="BD555" s="69"/>
      <c r="CC555" s="74">
        <f t="shared" si="46"/>
        <v>6434.5299999999988</v>
      </c>
      <c r="CD555" s="73">
        <f t="shared" si="43"/>
        <v>0</v>
      </c>
      <c r="CE555" s="75">
        <f t="shared" si="49"/>
        <v>8896</v>
      </c>
      <c r="CF555" s="3" t="str">
        <f t="shared" si="49"/>
        <v>برنامج دولى</v>
      </c>
    </row>
    <row r="556" spans="3:84" ht="23.25" customHeight="1" x14ac:dyDescent="0.25">
      <c r="C556" s="82">
        <v>6958</v>
      </c>
      <c r="D556" s="78">
        <v>8897</v>
      </c>
      <c r="E556" s="69" t="s">
        <v>78</v>
      </c>
      <c r="F556" s="69" t="s">
        <v>906</v>
      </c>
      <c r="G556" s="69" t="s">
        <v>220</v>
      </c>
      <c r="H556" s="69">
        <v>13682.5</v>
      </c>
      <c r="U556" s="69"/>
      <c r="V556" s="69"/>
      <c r="AR556" s="74">
        <f t="shared" si="51"/>
        <v>13682.5</v>
      </c>
      <c r="AS556" s="69">
        <v>10260.68</v>
      </c>
      <c r="AT556" s="69">
        <f>30.28+82.3</f>
        <v>112.58</v>
      </c>
      <c r="AU556" s="69">
        <f>2830.4+467</f>
        <v>3297.4</v>
      </c>
      <c r="AV556" s="69">
        <f>6+5.84</f>
        <v>11.84</v>
      </c>
      <c r="BC556" s="69"/>
      <c r="BD556" s="69"/>
      <c r="CC556" s="74">
        <f t="shared" si="46"/>
        <v>13682.5</v>
      </c>
      <c r="CD556" s="73">
        <f t="shared" si="43"/>
        <v>0</v>
      </c>
      <c r="CE556" s="75">
        <f t="shared" si="49"/>
        <v>8897</v>
      </c>
      <c r="CF556" s="3" t="str">
        <f t="shared" si="49"/>
        <v>برنامج دولى</v>
      </c>
    </row>
    <row r="557" spans="3:84" ht="23.25" customHeight="1" x14ac:dyDescent="0.25">
      <c r="C557" s="82">
        <v>6954</v>
      </c>
      <c r="D557" s="78">
        <v>8898</v>
      </c>
      <c r="E557" s="69" t="s">
        <v>78</v>
      </c>
      <c r="F557" s="69" t="s">
        <v>906</v>
      </c>
      <c r="G557" s="69" t="s">
        <v>220</v>
      </c>
      <c r="H557" s="69">
        <v>4799.16</v>
      </c>
      <c r="U557" s="69"/>
      <c r="V557" s="69"/>
      <c r="AR557" s="74">
        <f t="shared" si="51"/>
        <v>4799.16</v>
      </c>
      <c r="AS557" s="69">
        <v>3120.31</v>
      </c>
      <c r="AT557" s="69">
        <v>23.25</v>
      </c>
      <c r="AU557" s="69">
        <f>1415.2+233.5</f>
        <v>1648.7</v>
      </c>
      <c r="AV557" s="69">
        <f>5+1.9</f>
        <v>6.9</v>
      </c>
      <c r="BC557" s="69"/>
      <c r="BD557" s="69"/>
      <c r="CC557" s="74">
        <f t="shared" si="46"/>
        <v>4799.16</v>
      </c>
      <c r="CD557" s="73">
        <f t="shared" si="43"/>
        <v>0</v>
      </c>
      <c r="CE557" s="75">
        <f t="shared" si="49"/>
        <v>8898</v>
      </c>
      <c r="CF557" s="3" t="str">
        <f t="shared" si="49"/>
        <v>برنامج دولى</v>
      </c>
    </row>
    <row r="558" spans="3:84" ht="23.25" customHeight="1" x14ac:dyDescent="0.25">
      <c r="C558" s="82">
        <v>6955</v>
      </c>
      <c r="D558" s="78">
        <v>8898</v>
      </c>
      <c r="E558" s="69" t="s">
        <v>78</v>
      </c>
      <c r="F558" s="69" t="s">
        <v>906</v>
      </c>
      <c r="G558" s="69" t="s">
        <v>220</v>
      </c>
      <c r="H558" s="69">
        <v>80640.5</v>
      </c>
      <c r="U558" s="69"/>
      <c r="V558" s="69"/>
      <c r="AR558" s="74">
        <f t="shared" si="51"/>
        <v>80640.5</v>
      </c>
      <c r="AS558" s="69">
        <v>59590.37</v>
      </c>
      <c r="AT558" s="69">
        <f>121.12+478</f>
        <v>599.12</v>
      </c>
      <c r="AU558" s="69">
        <f>16681.6+2752.4</f>
        <v>19434</v>
      </c>
      <c r="AV558" s="69">
        <f>372+34.1</f>
        <v>406.1</v>
      </c>
      <c r="AW558" s="69">
        <v>610.91</v>
      </c>
      <c r="BC558" s="69"/>
      <c r="BD558" s="69"/>
      <c r="CC558" s="74">
        <f t="shared" ref="CC558:CC559" si="54">SUM(AS558:CB558)</f>
        <v>80640.500000000015</v>
      </c>
      <c r="CD558" s="73">
        <f t="shared" ref="CD558:CD577" si="55">+CC558-AR558</f>
        <v>0</v>
      </c>
      <c r="CE558" s="75">
        <f t="shared" si="49"/>
        <v>8898</v>
      </c>
      <c r="CF558" s="3" t="str">
        <f t="shared" si="49"/>
        <v>برنامج دولى</v>
      </c>
    </row>
    <row r="559" spans="3:84" ht="23.25" customHeight="1" x14ac:dyDescent="0.25">
      <c r="C559" s="82">
        <v>6956</v>
      </c>
      <c r="D559" s="78">
        <v>8898</v>
      </c>
      <c r="E559" s="69" t="s">
        <v>78</v>
      </c>
      <c r="F559" s="69" t="s">
        <v>906</v>
      </c>
      <c r="G559" s="69" t="s">
        <v>220</v>
      </c>
      <c r="H559" s="69">
        <v>45948.44</v>
      </c>
      <c r="U559" s="69"/>
      <c r="V559" s="69"/>
      <c r="AR559" s="74">
        <f t="shared" si="51"/>
        <v>45948.44</v>
      </c>
      <c r="AS559" s="69">
        <v>33743.300000000003</v>
      </c>
      <c r="AT559" s="69">
        <f>30.28+274.05</f>
        <v>304.33000000000004</v>
      </c>
      <c r="AU559" s="69">
        <f>9505+1568.3</f>
        <v>11073.3</v>
      </c>
      <c r="AV559" s="69">
        <f>516.17+19.45</f>
        <v>535.62</v>
      </c>
      <c r="AW559" s="69">
        <v>291.89</v>
      </c>
      <c r="BC559" s="69"/>
      <c r="BD559" s="69"/>
      <c r="CC559" s="74">
        <f t="shared" si="54"/>
        <v>45948.44000000001</v>
      </c>
      <c r="CD559" s="73">
        <f t="shared" si="55"/>
        <v>0</v>
      </c>
      <c r="CE559" s="75">
        <f t="shared" si="49"/>
        <v>8898</v>
      </c>
      <c r="CF559" s="3" t="str">
        <f t="shared" si="49"/>
        <v>برنامج دولى</v>
      </c>
    </row>
    <row r="560" spans="3:84" ht="23.25" customHeight="1" x14ac:dyDescent="0.25">
      <c r="C560" s="82">
        <v>6959</v>
      </c>
      <c r="D560" s="78">
        <v>8899</v>
      </c>
      <c r="E560" s="69" t="s">
        <v>78</v>
      </c>
      <c r="F560" s="69" t="s">
        <v>906</v>
      </c>
      <c r="G560" s="69" t="s">
        <v>220</v>
      </c>
      <c r="H560" s="69">
        <v>6434.53</v>
      </c>
      <c r="U560" s="69"/>
      <c r="V560" s="69"/>
      <c r="AR560" s="74">
        <f t="shared" si="51"/>
        <v>6434.53</v>
      </c>
      <c r="AS560" s="69">
        <v>4079.5</v>
      </c>
      <c r="AT560" s="69">
        <v>31.95</v>
      </c>
      <c r="AU560" s="69">
        <f>1331+219.6</f>
        <v>1550.6</v>
      </c>
      <c r="AV560" s="69">
        <f>3+2.45</f>
        <v>5.45</v>
      </c>
      <c r="AW560" s="69">
        <v>579.04</v>
      </c>
      <c r="AX560" s="69">
        <v>187.99</v>
      </c>
      <c r="BC560" s="69"/>
      <c r="BD560" s="69"/>
      <c r="CC560" s="74">
        <f t="shared" si="46"/>
        <v>6434.5299999999988</v>
      </c>
      <c r="CD560" s="73">
        <f t="shared" si="55"/>
        <v>0</v>
      </c>
      <c r="CE560" s="75">
        <f t="shared" si="49"/>
        <v>8899</v>
      </c>
      <c r="CF560" s="3" t="str">
        <f t="shared" si="49"/>
        <v>برنامج دولى</v>
      </c>
    </row>
    <row r="561" spans="3:84" ht="23.25" customHeight="1" x14ac:dyDescent="0.25">
      <c r="C561" s="82">
        <v>6960</v>
      </c>
      <c r="D561" s="78">
        <v>8899</v>
      </c>
      <c r="E561" s="69" t="s">
        <v>78</v>
      </c>
      <c r="F561" s="69" t="s">
        <v>906</v>
      </c>
      <c r="G561" s="69" t="s">
        <v>220</v>
      </c>
      <c r="H561" s="69">
        <v>6434.53</v>
      </c>
      <c r="U561" s="69"/>
      <c r="V561" s="69"/>
      <c r="AR561" s="74">
        <f t="shared" si="51"/>
        <v>6434.53</v>
      </c>
      <c r="AS561" s="69">
        <v>4839.49</v>
      </c>
      <c r="AT561" s="69">
        <v>38.700000000000003</v>
      </c>
      <c r="AU561" s="69">
        <f>1331+219.6</f>
        <v>1550.6</v>
      </c>
      <c r="AV561" s="69">
        <f>3+2.74</f>
        <v>5.74</v>
      </c>
      <c r="BC561" s="69"/>
      <c r="BD561" s="69"/>
      <c r="CC561" s="74">
        <f t="shared" ref="CC561" si="56">SUM(AS561:CB561)</f>
        <v>6434.5299999999988</v>
      </c>
      <c r="CD561" s="73">
        <f t="shared" si="55"/>
        <v>0</v>
      </c>
      <c r="CE561" s="75">
        <f t="shared" si="49"/>
        <v>8899</v>
      </c>
      <c r="CF561" s="3" t="str">
        <f t="shared" si="49"/>
        <v>برنامج دولى</v>
      </c>
    </row>
    <row r="562" spans="3:84" ht="23.25" customHeight="1" x14ac:dyDescent="0.25">
      <c r="C562" s="82">
        <v>6962</v>
      </c>
      <c r="D562" s="78">
        <v>8899</v>
      </c>
      <c r="E562" s="69" t="s">
        <v>78</v>
      </c>
      <c r="F562" s="69" t="s">
        <v>906</v>
      </c>
      <c r="G562" s="69" t="s">
        <v>220</v>
      </c>
      <c r="H562" s="69">
        <v>6434.53</v>
      </c>
      <c r="U562" s="69"/>
      <c r="V562" s="69"/>
      <c r="AR562" s="74">
        <f t="shared" si="51"/>
        <v>6434.53</v>
      </c>
      <c r="AS562" s="69">
        <v>3089.49</v>
      </c>
      <c r="AT562" s="69">
        <v>38.700000000000003</v>
      </c>
      <c r="AU562" s="69">
        <f>1331+219.6</f>
        <v>1550.6</v>
      </c>
      <c r="AV562" s="69">
        <f>953+800+2.74</f>
        <v>1755.74</v>
      </c>
      <c r="BC562" s="69"/>
      <c r="BD562" s="69"/>
      <c r="CC562" s="74">
        <f t="shared" ref="CC562" si="57">SUM(AS562:CB562)</f>
        <v>6434.5299999999988</v>
      </c>
      <c r="CD562" s="73">
        <f t="shared" si="55"/>
        <v>0</v>
      </c>
      <c r="CE562" s="75">
        <f t="shared" si="49"/>
        <v>8899</v>
      </c>
      <c r="CF562" s="3" t="str">
        <f t="shared" si="49"/>
        <v>برنامج دولى</v>
      </c>
    </row>
    <row r="563" spans="3:84" ht="23.25" customHeight="1" x14ac:dyDescent="0.25">
      <c r="C563" s="82">
        <v>6966</v>
      </c>
      <c r="D563" s="78">
        <v>8900</v>
      </c>
      <c r="E563" s="69" t="s">
        <v>78</v>
      </c>
      <c r="F563" s="69" t="s">
        <v>906</v>
      </c>
      <c r="G563" s="69" t="s">
        <v>220</v>
      </c>
      <c r="H563" s="69">
        <v>12869.06</v>
      </c>
      <c r="U563" s="69"/>
      <c r="V563" s="69"/>
      <c r="AR563" s="74">
        <f t="shared" si="51"/>
        <v>12869.06</v>
      </c>
      <c r="AS563" s="69">
        <v>8357.36</v>
      </c>
      <c r="AT563" s="69">
        <v>76.25</v>
      </c>
      <c r="AU563" s="69">
        <f>2662+439.2</f>
        <v>3101.2</v>
      </c>
      <c r="AV563" s="69">
        <f>56+5.41</f>
        <v>61.41</v>
      </c>
      <c r="AW563" s="69">
        <v>144.88999999999999</v>
      </c>
      <c r="AX563" s="69">
        <v>1127.95</v>
      </c>
      <c r="BC563" s="69"/>
      <c r="BD563" s="69"/>
      <c r="CC563" s="74">
        <f t="shared" si="46"/>
        <v>12869.060000000001</v>
      </c>
      <c r="CD563" s="73">
        <f t="shared" si="55"/>
        <v>0</v>
      </c>
      <c r="CE563" s="75">
        <f t="shared" si="49"/>
        <v>8900</v>
      </c>
      <c r="CF563" s="3" t="str">
        <f t="shared" si="49"/>
        <v>برنامج دولى</v>
      </c>
    </row>
    <row r="564" spans="3:84" ht="23.25" customHeight="1" x14ac:dyDescent="0.25">
      <c r="C564" s="82">
        <v>6963</v>
      </c>
      <c r="D564" s="78">
        <v>8901</v>
      </c>
      <c r="E564" s="69" t="s">
        <v>78</v>
      </c>
      <c r="F564" s="69" t="s">
        <v>906</v>
      </c>
      <c r="G564" s="69" t="s">
        <v>220</v>
      </c>
      <c r="H564" s="69">
        <v>26213.94</v>
      </c>
      <c r="U564" s="69"/>
      <c r="V564" s="69"/>
      <c r="AR564" s="74">
        <f t="shared" si="51"/>
        <v>26213.94</v>
      </c>
      <c r="AS564" s="69">
        <v>19700.57</v>
      </c>
      <c r="AT564" s="69">
        <f>15.14+157.65</f>
        <v>172.79000000000002</v>
      </c>
      <c r="AU564" s="69">
        <f>5422.7+894.7</f>
        <v>6317.4</v>
      </c>
      <c r="AV564" s="69">
        <f>12+11.18</f>
        <v>23.18</v>
      </c>
      <c r="BC564" s="69"/>
      <c r="BD564" s="69"/>
      <c r="CC564" s="74">
        <f t="shared" si="46"/>
        <v>26213.940000000002</v>
      </c>
      <c r="CD564" s="73">
        <f t="shared" si="55"/>
        <v>0</v>
      </c>
      <c r="CE564" s="75">
        <f t="shared" si="49"/>
        <v>8901</v>
      </c>
      <c r="CF564" s="3" t="str">
        <f t="shared" si="49"/>
        <v>برنامج دولى</v>
      </c>
    </row>
    <row r="565" spans="3:84" ht="23.25" customHeight="1" x14ac:dyDescent="0.25">
      <c r="C565" s="82">
        <v>6964</v>
      </c>
      <c r="D565" s="78">
        <v>8901</v>
      </c>
      <c r="E565" s="69" t="s">
        <v>78</v>
      </c>
      <c r="F565" s="69" t="s">
        <v>906</v>
      </c>
      <c r="G565" s="69" t="s">
        <v>220</v>
      </c>
      <c r="H565" s="69">
        <v>6444.5</v>
      </c>
      <c r="U565" s="69"/>
      <c r="V565" s="69"/>
      <c r="AR565" s="74">
        <f t="shared" si="51"/>
        <v>6444.5</v>
      </c>
      <c r="AS565" s="69">
        <v>3804.01</v>
      </c>
      <c r="AT565" s="69">
        <v>38.75</v>
      </c>
      <c r="AU565" s="69">
        <f>1333.1+219.9</f>
        <v>1553</v>
      </c>
      <c r="AV565" s="69">
        <f>858+2.75</f>
        <v>860.75</v>
      </c>
      <c r="AX565" s="69">
        <v>187.99</v>
      </c>
      <c r="BC565" s="69"/>
      <c r="BD565" s="69"/>
      <c r="CC565" s="74">
        <f t="shared" si="46"/>
        <v>6444.5</v>
      </c>
      <c r="CD565" s="73">
        <f t="shared" si="55"/>
        <v>0</v>
      </c>
      <c r="CE565" s="75">
        <f t="shared" si="49"/>
        <v>8901</v>
      </c>
      <c r="CF565" s="3" t="str">
        <f t="shared" si="49"/>
        <v>برنامج دولى</v>
      </c>
    </row>
    <row r="566" spans="3:84" ht="23.25" customHeight="1" x14ac:dyDescent="0.25">
      <c r="C566" s="82">
        <v>6965</v>
      </c>
      <c r="D566" s="78">
        <v>8901</v>
      </c>
      <c r="E566" s="69" t="s">
        <v>78</v>
      </c>
      <c r="F566" s="69" t="s">
        <v>906</v>
      </c>
      <c r="G566" s="69" t="s">
        <v>220</v>
      </c>
      <c r="H566" s="69">
        <v>6439.23</v>
      </c>
      <c r="U566" s="69"/>
      <c r="V566" s="69"/>
      <c r="AR566" s="74">
        <f t="shared" si="51"/>
        <v>6439.23</v>
      </c>
      <c r="AS566" s="69">
        <v>4732.88</v>
      </c>
      <c r="AT566" s="69">
        <v>38.700000000000003</v>
      </c>
      <c r="AU566" s="69">
        <f>1332.1+219.8</f>
        <v>1551.8999999999999</v>
      </c>
      <c r="AV566" s="69">
        <f>113+2.75</f>
        <v>115.75</v>
      </c>
      <c r="BC566" s="69"/>
      <c r="BD566" s="69"/>
      <c r="CC566" s="74">
        <f t="shared" si="46"/>
        <v>6439.23</v>
      </c>
      <c r="CD566" s="73">
        <f t="shared" si="55"/>
        <v>0</v>
      </c>
      <c r="CE566" s="75">
        <f t="shared" si="49"/>
        <v>8901</v>
      </c>
      <c r="CF566" s="3" t="str">
        <f t="shared" si="49"/>
        <v>برنامج دولى</v>
      </c>
    </row>
    <row r="567" spans="3:84" ht="23.25" customHeight="1" x14ac:dyDescent="0.25">
      <c r="C567" s="82">
        <v>6957</v>
      </c>
      <c r="D567" s="78">
        <v>8902</v>
      </c>
      <c r="E567" s="69" t="s">
        <v>78</v>
      </c>
      <c r="F567" s="69" t="s">
        <v>906</v>
      </c>
      <c r="G567" s="69" t="s">
        <v>220</v>
      </c>
      <c r="H567" s="69">
        <v>1582557.58</v>
      </c>
      <c r="U567" s="69"/>
      <c r="V567" s="69"/>
      <c r="AR567" s="74">
        <f t="shared" si="51"/>
        <v>1582557.58</v>
      </c>
      <c r="AS567" s="69">
        <v>1166554.19</v>
      </c>
      <c r="AT567" s="69">
        <f>1881.28+9366.6</f>
        <v>11247.880000000001</v>
      </c>
      <c r="AU567" s="69">
        <f>332815+54911.9+12</f>
        <v>387738.9</v>
      </c>
      <c r="AV567" s="69">
        <f>6336.15+668.76</f>
        <v>7004.91</v>
      </c>
      <c r="AW567" s="69">
        <v>8723.06</v>
      </c>
      <c r="AX567" s="69">
        <v>1288.6400000000001</v>
      </c>
      <c r="BC567" s="69"/>
      <c r="BD567" s="69"/>
      <c r="CC567" s="74">
        <f t="shared" si="46"/>
        <v>1582557.5799999996</v>
      </c>
      <c r="CD567" s="73">
        <f t="shared" si="55"/>
        <v>0</v>
      </c>
      <c r="CE567" s="75">
        <f t="shared" si="49"/>
        <v>8902</v>
      </c>
      <c r="CF567" s="3" t="str">
        <f t="shared" si="49"/>
        <v>برنامج دولى</v>
      </c>
    </row>
    <row r="568" spans="3:84" ht="23.25" customHeight="1" x14ac:dyDescent="0.25">
      <c r="C568" s="82">
        <v>6972</v>
      </c>
      <c r="D568" s="78">
        <v>8903</v>
      </c>
      <c r="E568" s="69" t="s">
        <v>78</v>
      </c>
      <c r="F568" s="69" t="s">
        <v>906</v>
      </c>
      <c r="G568" s="69" t="s">
        <v>220</v>
      </c>
      <c r="H568" s="69">
        <v>6434.53</v>
      </c>
      <c r="U568" s="69"/>
      <c r="V568" s="69"/>
      <c r="AR568" s="74">
        <f t="shared" si="51"/>
        <v>6434.53</v>
      </c>
      <c r="AS568" s="69">
        <v>4839.49</v>
      </c>
      <c r="AT568" s="69">
        <v>38.700000000000003</v>
      </c>
      <c r="AU568" s="69">
        <f>1331+219.6</f>
        <v>1550.6</v>
      </c>
      <c r="AV568" s="69">
        <f>3+2.74</f>
        <v>5.74</v>
      </c>
      <c r="BC568" s="69"/>
      <c r="BD568" s="69"/>
      <c r="CC568" s="74">
        <f t="shared" si="46"/>
        <v>6434.5299999999988</v>
      </c>
      <c r="CD568" s="73">
        <f t="shared" si="55"/>
        <v>0</v>
      </c>
      <c r="CE568" s="75">
        <f t="shared" si="49"/>
        <v>8903</v>
      </c>
      <c r="CF568" s="3" t="str">
        <f t="shared" si="49"/>
        <v>برنامج دولى</v>
      </c>
    </row>
    <row r="569" spans="3:84" ht="23.25" customHeight="1" x14ac:dyDescent="0.25">
      <c r="C569" s="82">
        <v>6967</v>
      </c>
      <c r="D569" s="78">
        <v>8903</v>
      </c>
      <c r="E569" s="69" t="s">
        <v>78</v>
      </c>
      <c r="F569" s="69" t="s">
        <v>906</v>
      </c>
      <c r="G569" s="69" t="s">
        <v>220</v>
      </c>
      <c r="H569" s="69">
        <v>20296.060000000001</v>
      </c>
      <c r="U569" s="69"/>
      <c r="V569" s="69"/>
      <c r="AR569" s="74">
        <f t="shared" si="51"/>
        <v>20296.060000000001</v>
      </c>
      <c r="AS569" s="69">
        <v>14227.99</v>
      </c>
      <c r="AT569" s="69">
        <f>43.77+112.15</f>
        <v>155.92000000000002</v>
      </c>
      <c r="AU569" s="69">
        <f>4198.3+692.7</f>
        <v>4891</v>
      </c>
      <c r="AV569" s="69">
        <f>13+8.15</f>
        <v>21.15</v>
      </c>
      <c r="AW569" s="69">
        <v>1000</v>
      </c>
      <c r="BC569" s="69"/>
      <c r="BD569" s="69"/>
      <c r="CC569" s="74">
        <f t="shared" si="46"/>
        <v>20296.060000000001</v>
      </c>
      <c r="CD569" s="73">
        <f t="shared" si="55"/>
        <v>0</v>
      </c>
      <c r="CE569" s="75">
        <f t="shared" si="49"/>
        <v>8903</v>
      </c>
      <c r="CF569" s="3" t="str">
        <f t="shared" si="49"/>
        <v>برنامج دولى</v>
      </c>
    </row>
    <row r="570" spans="3:84" ht="23.25" customHeight="1" x14ac:dyDescent="0.25">
      <c r="C570" s="82">
        <v>6968</v>
      </c>
      <c r="D570" s="78">
        <v>8903</v>
      </c>
      <c r="E570" s="69" t="s">
        <v>78</v>
      </c>
      <c r="F570" s="69" t="s">
        <v>906</v>
      </c>
      <c r="G570" s="69" t="s">
        <v>220</v>
      </c>
      <c r="H570" s="69">
        <v>6434.53</v>
      </c>
      <c r="U570" s="69"/>
      <c r="V570" s="69"/>
      <c r="AR570" s="74">
        <f t="shared" si="51"/>
        <v>6434.53</v>
      </c>
      <c r="AS570" s="69">
        <v>4668.67</v>
      </c>
      <c r="AT570" s="69">
        <v>38.700000000000003</v>
      </c>
      <c r="AU570" s="69">
        <f>1331+219.6</f>
        <v>1550.6</v>
      </c>
      <c r="AV570" s="69">
        <f>173.82+2.74</f>
        <v>176.56</v>
      </c>
      <c r="BC570" s="69"/>
      <c r="BD570" s="69"/>
      <c r="CC570" s="74">
        <f t="shared" si="46"/>
        <v>6434.53</v>
      </c>
      <c r="CD570" s="73">
        <f t="shared" si="55"/>
        <v>0</v>
      </c>
      <c r="CE570" s="75">
        <f t="shared" si="49"/>
        <v>8903</v>
      </c>
      <c r="CF570" s="3" t="str">
        <f t="shared" si="49"/>
        <v>برنامج دولى</v>
      </c>
    </row>
    <row r="571" spans="3:84" ht="23.25" customHeight="1" x14ac:dyDescent="0.25">
      <c r="C571" s="82">
        <v>6970</v>
      </c>
      <c r="D571" s="78">
        <v>8903</v>
      </c>
      <c r="E571" s="69" t="s">
        <v>78</v>
      </c>
      <c r="F571" s="69" t="s">
        <v>906</v>
      </c>
      <c r="G571" s="69" t="s">
        <v>220</v>
      </c>
      <c r="H571" s="69">
        <v>19226.330000000002</v>
      </c>
      <c r="U571" s="69"/>
      <c r="V571" s="69"/>
      <c r="AR571" s="74">
        <f t="shared" si="51"/>
        <v>19226.330000000002</v>
      </c>
      <c r="AS571" s="69">
        <v>14330.13</v>
      </c>
      <c r="AT571" s="69">
        <v>115.6</v>
      </c>
      <c r="AU571" s="69">
        <f>3977.2+656.2</f>
        <v>4633.3999999999996</v>
      </c>
      <c r="AV571" s="69">
        <f>139+8.2</f>
        <v>147.19999999999999</v>
      </c>
      <c r="BC571" s="69"/>
      <c r="BD571" s="69"/>
      <c r="CC571" s="74">
        <f t="shared" si="46"/>
        <v>19226.329999999998</v>
      </c>
      <c r="CD571" s="73">
        <f t="shared" si="55"/>
        <v>0</v>
      </c>
      <c r="CE571" s="75">
        <f t="shared" si="49"/>
        <v>8903</v>
      </c>
      <c r="CF571" s="3" t="str">
        <f t="shared" si="49"/>
        <v>برنامج دولى</v>
      </c>
    </row>
    <row r="572" spans="3:84" ht="23.25" customHeight="1" x14ac:dyDescent="0.25">
      <c r="C572" s="82">
        <v>6971</v>
      </c>
      <c r="D572" s="78">
        <v>8903</v>
      </c>
      <c r="E572" s="69" t="s">
        <v>78</v>
      </c>
      <c r="F572" s="69" t="s">
        <v>906</v>
      </c>
      <c r="G572" s="69" t="s">
        <v>220</v>
      </c>
      <c r="H572" s="69">
        <v>6841.25</v>
      </c>
      <c r="U572" s="69"/>
      <c r="V572" s="69"/>
      <c r="AR572" s="74">
        <f t="shared" si="51"/>
        <v>6841.25</v>
      </c>
      <c r="AS572" s="69">
        <v>5128.34</v>
      </c>
      <c r="AT572" s="69">
        <f>15.14+41.15</f>
        <v>56.29</v>
      </c>
      <c r="AU572" s="69">
        <f>1415.2+233.5</f>
        <v>1648.7</v>
      </c>
      <c r="AV572" s="69">
        <f>5+2.92</f>
        <v>7.92</v>
      </c>
      <c r="BC572" s="69"/>
      <c r="BD572" s="69"/>
      <c r="CC572" s="74">
        <f t="shared" si="46"/>
        <v>6841.25</v>
      </c>
      <c r="CD572" s="73">
        <f t="shared" si="55"/>
        <v>0</v>
      </c>
      <c r="CE572" s="75">
        <f t="shared" si="49"/>
        <v>8903</v>
      </c>
      <c r="CF572" s="3" t="str">
        <f t="shared" si="49"/>
        <v>برنامج دولى</v>
      </c>
    </row>
    <row r="573" spans="3:84" ht="23.25" customHeight="1" x14ac:dyDescent="0.25">
      <c r="C573" s="82">
        <v>6969</v>
      </c>
      <c r="D573" s="78">
        <v>8904</v>
      </c>
      <c r="E573" s="69" t="s">
        <v>78</v>
      </c>
      <c r="F573" s="69" t="s">
        <v>906</v>
      </c>
      <c r="G573" s="69" t="s">
        <v>220</v>
      </c>
      <c r="H573" s="69">
        <v>26551.58</v>
      </c>
      <c r="U573" s="69"/>
      <c r="V573" s="69"/>
      <c r="AR573" s="74">
        <f t="shared" si="51"/>
        <v>26551.58</v>
      </c>
      <c r="AS573" s="69">
        <v>19939.68</v>
      </c>
      <c r="AT573" s="69">
        <f>30.28+159.7</f>
        <v>189.98</v>
      </c>
      <c r="AU573" s="69">
        <f>5492.4+906.2</f>
        <v>6398.5999999999995</v>
      </c>
      <c r="AV573" s="69">
        <f>12+11.32</f>
        <v>23.32</v>
      </c>
      <c r="BC573" s="69"/>
      <c r="BD573" s="69"/>
      <c r="CC573" s="74">
        <f t="shared" si="46"/>
        <v>26551.579999999998</v>
      </c>
      <c r="CD573" s="73">
        <f t="shared" si="55"/>
        <v>0</v>
      </c>
      <c r="CE573" s="75">
        <f t="shared" si="49"/>
        <v>8904</v>
      </c>
      <c r="CF573" s="3" t="str">
        <f t="shared" si="49"/>
        <v>برنامج دولى</v>
      </c>
    </row>
    <row r="574" spans="3:84" ht="23.25" customHeight="1" x14ac:dyDescent="0.25">
      <c r="C574" s="82">
        <v>6973</v>
      </c>
      <c r="D574" s="78">
        <v>8905</v>
      </c>
      <c r="E574" s="69" t="s">
        <v>78</v>
      </c>
      <c r="F574" s="69" t="s">
        <v>906</v>
      </c>
      <c r="G574" s="69" t="s">
        <v>220</v>
      </c>
      <c r="H574" s="69">
        <v>6434.53</v>
      </c>
      <c r="U574" s="69"/>
      <c r="V574" s="69"/>
      <c r="AR574" s="74">
        <f t="shared" si="51"/>
        <v>6434.53</v>
      </c>
      <c r="AS574" s="69">
        <v>4839.49</v>
      </c>
      <c r="AT574" s="69">
        <v>38.700000000000003</v>
      </c>
      <c r="AU574" s="69">
        <f>1331+219.6</f>
        <v>1550.6</v>
      </c>
      <c r="AV574" s="69">
        <f>3+2.74</f>
        <v>5.74</v>
      </c>
      <c r="BC574" s="69"/>
      <c r="BD574" s="69"/>
      <c r="CC574" s="74">
        <f t="shared" ref="CC574:CC577" si="58">SUM(AS574:CB574)</f>
        <v>6434.5299999999988</v>
      </c>
      <c r="CD574" s="73">
        <f t="shared" si="55"/>
        <v>0</v>
      </c>
      <c r="CE574" s="75">
        <f t="shared" si="49"/>
        <v>8905</v>
      </c>
      <c r="CF574" s="3" t="str">
        <f t="shared" si="49"/>
        <v>برنامج دولى</v>
      </c>
    </row>
    <row r="575" spans="3:84" ht="23.25" customHeight="1" x14ac:dyDescent="0.25">
      <c r="C575" s="82">
        <v>6974</v>
      </c>
      <c r="D575" s="78">
        <v>8906</v>
      </c>
      <c r="E575" s="69" t="s">
        <v>78</v>
      </c>
      <c r="F575" s="69" t="s">
        <v>906</v>
      </c>
      <c r="G575" s="69" t="s">
        <v>220</v>
      </c>
      <c r="H575" s="69">
        <v>6841.25</v>
      </c>
      <c r="U575" s="69"/>
      <c r="V575" s="69"/>
      <c r="AR575" s="74">
        <f t="shared" si="51"/>
        <v>6841.25</v>
      </c>
      <c r="AS575" s="69">
        <v>5130.34</v>
      </c>
      <c r="AT575" s="69">
        <f>15.14+41.15</f>
        <v>56.29</v>
      </c>
      <c r="AU575" s="69">
        <f>1415.2+233.5</f>
        <v>1648.7</v>
      </c>
      <c r="AV575" s="69">
        <f>3+2.92</f>
        <v>5.92</v>
      </c>
      <c r="BC575" s="69"/>
      <c r="BD575" s="69"/>
      <c r="CC575" s="74">
        <f t="shared" si="58"/>
        <v>6841.25</v>
      </c>
      <c r="CD575" s="73">
        <f t="shared" si="55"/>
        <v>0</v>
      </c>
      <c r="CE575" s="75">
        <f t="shared" si="49"/>
        <v>8906</v>
      </c>
      <c r="CF575" s="3" t="str">
        <f t="shared" si="49"/>
        <v>برنامج دولى</v>
      </c>
    </row>
    <row r="576" spans="3:84" ht="23.25" customHeight="1" x14ac:dyDescent="0.25">
      <c r="C576" s="82">
        <v>6976</v>
      </c>
      <c r="D576" s="78">
        <v>8906</v>
      </c>
      <c r="E576" s="69" t="s">
        <v>78</v>
      </c>
      <c r="F576" s="69" t="s">
        <v>906</v>
      </c>
      <c r="G576" s="69" t="s">
        <v>220</v>
      </c>
      <c r="H576" s="69">
        <v>6843.45</v>
      </c>
      <c r="U576" s="69"/>
      <c r="V576" s="69"/>
      <c r="AR576" s="74">
        <f t="shared" si="51"/>
        <v>6843.45</v>
      </c>
      <c r="AS576" s="69">
        <v>5132</v>
      </c>
      <c r="AT576" s="69">
        <f>15.33+41.2</f>
        <v>56.53</v>
      </c>
      <c r="AU576" s="69">
        <f>1415.5+233.5</f>
        <v>1649</v>
      </c>
      <c r="AV576" s="69">
        <f>3+2.92</f>
        <v>5.92</v>
      </c>
      <c r="BC576" s="69"/>
      <c r="BD576" s="69"/>
      <c r="CC576" s="74">
        <f t="shared" si="58"/>
        <v>6843.45</v>
      </c>
      <c r="CD576" s="73">
        <f t="shared" si="55"/>
        <v>0</v>
      </c>
      <c r="CE576" s="75">
        <f t="shared" si="49"/>
        <v>8906</v>
      </c>
      <c r="CF576" s="3" t="str">
        <f t="shared" si="49"/>
        <v>برنامج دولى</v>
      </c>
    </row>
    <row r="577" spans="3:90" ht="23.25" customHeight="1" x14ac:dyDescent="0.25">
      <c r="C577" s="82">
        <v>6975</v>
      </c>
      <c r="D577" s="78">
        <v>8907</v>
      </c>
      <c r="E577" s="69" t="s">
        <v>78</v>
      </c>
      <c r="F577" s="69" t="s">
        <v>906</v>
      </c>
      <c r="G577" s="69" t="s">
        <v>220</v>
      </c>
      <c r="H577" s="69">
        <v>6841.25</v>
      </c>
      <c r="U577" s="69"/>
      <c r="V577" s="69"/>
      <c r="AR577" s="74">
        <f t="shared" si="51"/>
        <v>6841.25</v>
      </c>
      <c r="AS577" s="69">
        <v>5130.34</v>
      </c>
      <c r="AT577" s="69">
        <f>15.14+41.15</f>
        <v>56.29</v>
      </c>
      <c r="AU577" s="69">
        <f>1415.2+233.5</f>
        <v>1648.7</v>
      </c>
      <c r="AV577" s="69">
        <f>3+2.92</f>
        <v>5.92</v>
      </c>
      <c r="BC577" s="69"/>
      <c r="BD577" s="69"/>
      <c r="CC577" s="74">
        <f t="shared" si="58"/>
        <v>6841.25</v>
      </c>
      <c r="CD577" s="73">
        <f t="shared" si="55"/>
        <v>0</v>
      </c>
      <c r="CE577" s="75">
        <f t="shared" si="49"/>
        <v>8907</v>
      </c>
      <c r="CF577" s="3" t="str">
        <f t="shared" si="49"/>
        <v>برنامج دولى</v>
      </c>
    </row>
    <row r="578" spans="3:90" s="68" customFormat="1" ht="23.25" customHeight="1" x14ac:dyDescent="0.25">
      <c r="C578" s="83"/>
      <c r="D578" s="84"/>
      <c r="F578" s="68" t="s">
        <v>1410</v>
      </c>
      <c r="H578" s="68">
        <f>SUM(H541:H577)</f>
        <v>2262834.09</v>
      </c>
      <c r="I578" s="68">
        <f t="shared" ref="I578:BT578" si="59">SUM(I541:I577)</f>
        <v>0</v>
      </c>
      <c r="J578" s="68">
        <f t="shared" si="59"/>
        <v>0</v>
      </c>
      <c r="K578" s="68">
        <f t="shared" si="59"/>
        <v>0</v>
      </c>
      <c r="L578" s="68">
        <f t="shared" si="59"/>
        <v>0</v>
      </c>
      <c r="M578" s="68">
        <f t="shared" si="59"/>
        <v>0</v>
      </c>
      <c r="N578" s="68">
        <f t="shared" si="59"/>
        <v>0</v>
      </c>
      <c r="O578" s="68">
        <f t="shared" si="59"/>
        <v>0</v>
      </c>
      <c r="P578" s="68">
        <f t="shared" si="59"/>
        <v>0</v>
      </c>
      <c r="Q578" s="68">
        <f t="shared" si="59"/>
        <v>0</v>
      </c>
      <c r="R578" s="68">
        <f t="shared" si="59"/>
        <v>0</v>
      </c>
      <c r="S578" s="68">
        <f t="shared" si="59"/>
        <v>0</v>
      </c>
      <c r="T578" s="68">
        <f t="shared" si="59"/>
        <v>0</v>
      </c>
      <c r="U578" s="68">
        <f t="shared" si="59"/>
        <v>0</v>
      </c>
      <c r="V578" s="68">
        <f t="shared" si="59"/>
        <v>0</v>
      </c>
      <c r="W578" s="68">
        <f t="shared" si="59"/>
        <v>0</v>
      </c>
      <c r="X578" s="68">
        <f t="shared" si="59"/>
        <v>0</v>
      </c>
      <c r="Y578" s="68">
        <f t="shared" si="59"/>
        <v>0</v>
      </c>
      <c r="Z578" s="68">
        <f t="shared" si="59"/>
        <v>0</v>
      </c>
      <c r="AA578" s="68">
        <f t="shared" si="59"/>
        <v>0</v>
      </c>
      <c r="AB578" s="68">
        <f t="shared" si="59"/>
        <v>0</v>
      </c>
      <c r="AC578" s="68">
        <f t="shared" si="59"/>
        <v>0</v>
      </c>
      <c r="AD578" s="68">
        <f t="shared" si="59"/>
        <v>0</v>
      </c>
      <c r="AE578" s="68">
        <f t="shared" si="59"/>
        <v>0</v>
      </c>
      <c r="AF578" s="68">
        <f t="shared" si="59"/>
        <v>0</v>
      </c>
      <c r="AG578" s="68">
        <f t="shared" si="59"/>
        <v>0</v>
      </c>
      <c r="AH578" s="68">
        <f t="shared" si="59"/>
        <v>0</v>
      </c>
      <c r="AI578" s="68">
        <f t="shared" si="59"/>
        <v>0</v>
      </c>
      <c r="AJ578" s="68">
        <f t="shared" si="59"/>
        <v>0</v>
      </c>
      <c r="AK578" s="68">
        <f t="shared" si="59"/>
        <v>0</v>
      </c>
      <c r="AL578" s="68">
        <f t="shared" si="59"/>
        <v>0</v>
      </c>
      <c r="AM578" s="68">
        <f t="shared" si="59"/>
        <v>0</v>
      </c>
      <c r="AN578" s="68">
        <f t="shared" si="59"/>
        <v>0</v>
      </c>
      <c r="AO578" s="68">
        <f t="shared" si="59"/>
        <v>0</v>
      </c>
      <c r="AP578" s="68">
        <f t="shared" si="59"/>
        <v>0</v>
      </c>
      <c r="AQ578" s="68">
        <f t="shared" si="59"/>
        <v>0</v>
      </c>
      <c r="AR578" s="57">
        <f t="shared" si="59"/>
        <v>2262834.09</v>
      </c>
      <c r="AS578" s="68">
        <f t="shared" si="59"/>
        <v>1660999.7499999998</v>
      </c>
      <c r="AT578" s="68">
        <f t="shared" si="59"/>
        <v>15675.320000000005</v>
      </c>
      <c r="AU578" s="68">
        <f t="shared" si="59"/>
        <v>553172.49999999988</v>
      </c>
      <c r="AV578" s="68">
        <f t="shared" si="59"/>
        <v>18844.16</v>
      </c>
      <c r="AW578" s="68">
        <f t="shared" si="59"/>
        <v>11349.789999999999</v>
      </c>
      <c r="AX578" s="68">
        <f t="shared" si="59"/>
        <v>2792.57</v>
      </c>
      <c r="AY578" s="68">
        <f t="shared" si="59"/>
        <v>0</v>
      </c>
      <c r="AZ578" s="68">
        <f t="shared" si="59"/>
        <v>0</v>
      </c>
      <c r="BA578" s="68">
        <f t="shared" si="59"/>
        <v>0</v>
      </c>
      <c r="BB578" s="68">
        <f t="shared" si="59"/>
        <v>0</v>
      </c>
      <c r="BC578" s="68">
        <f t="shared" si="59"/>
        <v>0</v>
      </c>
      <c r="BD578" s="68">
        <f t="shared" si="59"/>
        <v>0</v>
      </c>
      <c r="BE578" s="68">
        <f t="shared" si="59"/>
        <v>0</v>
      </c>
      <c r="BF578" s="68">
        <f t="shared" si="59"/>
        <v>0</v>
      </c>
      <c r="BG578" s="68">
        <f t="shared" si="59"/>
        <v>0</v>
      </c>
      <c r="BH578" s="68">
        <f t="shared" si="59"/>
        <v>0</v>
      </c>
      <c r="BI578" s="68">
        <f t="shared" si="59"/>
        <v>0</v>
      </c>
      <c r="BJ578" s="68">
        <f t="shared" si="59"/>
        <v>0</v>
      </c>
      <c r="BK578" s="68">
        <f t="shared" si="59"/>
        <v>0</v>
      </c>
      <c r="BL578" s="68">
        <f t="shared" si="59"/>
        <v>0</v>
      </c>
      <c r="BM578" s="68">
        <f t="shared" si="59"/>
        <v>0</v>
      </c>
      <c r="BN578" s="68">
        <f t="shared" si="59"/>
        <v>0</v>
      </c>
      <c r="BO578" s="68">
        <f t="shared" si="59"/>
        <v>0</v>
      </c>
      <c r="BP578" s="68">
        <f t="shared" si="59"/>
        <v>0</v>
      </c>
      <c r="BQ578" s="68">
        <f t="shared" si="59"/>
        <v>0</v>
      </c>
      <c r="BR578" s="68">
        <f t="shared" si="59"/>
        <v>0</v>
      </c>
      <c r="BS578" s="68">
        <f t="shared" si="59"/>
        <v>0</v>
      </c>
      <c r="BT578" s="68">
        <f t="shared" si="59"/>
        <v>0</v>
      </c>
      <c r="BU578" s="68">
        <f t="shared" ref="BU578:CL578" si="60">SUM(BU541:BU577)</f>
        <v>0</v>
      </c>
      <c r="BV578" s="68">
        <f t="shared" si="60"/>
        <v>0</v>
      </c>
      <c r="BW578" s="68">
        <f t="shared" si="60"/>
        <v>0</v>
      </c>
      <c r="BX578" s="68">
        <f t="shared" si="60"/>
        <v>0</v>
      </c>
      <c r="BY578" s="68">
        <f t="shared" si="60"/>
        <v>0</v>
      </c>
      <c r="BZ578" s="68">
        <f t="shared" si="60"/>
        <v>0</v>
      </c>
      <c r="CA578" s="68">
        <f t="shared" si="60"/>
        <v>0</v>
      </c>
      <c r="CB578" s="68">
        <f t="shared" si="60"/>
        <v>0</v>
      </c>
      <c r="CC578" s="57">
        <f t="shared" si="60"/>
        <v>2262834.09</v>
      </c>
      <c r="CD578" s="68">
        <f t="shared" si="60"/>
        <v>0</v>
      </c>
      <c r="CF578" s="68">
        <f t="shared" si="60"/>
        <v>0</v>
      </c>
      <c r="CG578" s="68">
        <f t="shared" si="60"/>
        <v>0</v>
      </c>
      <c r="CH578" s="68">
        <f t="shared" si="60"/>
        <v>0</v>
      </c>
      <c r="CI578" s="68">
        <f t="shared" si="60"/>
        <v>0</v>
      </c>
      <c r="CJ578" s="68">
        <f t="shared" si="60"/>
        <v>0</v>
      </c>
      <c r="CK578" s="68">
        <f t="shared" si="60"/>
        <v>0</v>
      </c>
      <c r="CL578" s="68">
        <f t="shared" si="60"/>
        <v>0</v>
      </c>
    </row>
    <row r="579" spans="3:90" x14ac:dyDescent="0.25">
      <c r="C579" s="82">
        <v>14830</v>
      </c>
      <c r="D579" s="70">
        <v>8908</v>
      </c>
      <c r="E579" s="69" t="s">
        <v>78</v>
      </c>
      <c r="F579" s="69" t="s">
        <v>1411</v>
      </c>
      <c r="U579" s="69"/>
      <c r="V579" s="69"/>
      <c r="X579" s="69">
        <v>3434</v>
      </c>
      <c r="AR579" s="74">
        <f t="shared" si="32"/>
        <v>3434</v>
      </c>
      <c r="AS579" s="69">
        <v>3434</v>
      </c>
      <c r="AT579" s="69"/>
      <c r="BC579" s="69"/>
      <c r="BD579" s="69"/>
      <c r="CC579" s="74">
        <f t="shared" ref="CC579:CC638" si="61">SUM(AS579:CB579)</f>
        <v>3434</v>
      </c>
      <c r="CD579" s="73">
        <f t="shared" ref="CD579:CD642" si="62">+CC579-AR579</f>
        <v>0</v>
      </c>
      <c r="CE579" s="75">
        <f t="shared" ref="CE579:CF638" si="63">+D579</f>
        <v>8908</v>
      </c>
      <c r="CF579" s="3" t="str">
        <f t="shared" si="63"/>
        <v>برنامج دولى</v>
      </c>
    </row>
    <row r="580" spans="3:90" x14ac:dyDescent="0.25">
      <c r="C580" s="82">
        <v>14805</v>
      </c>
      <c r="D580" s="70">
        <v>8909</v>
      </c>
      <c r="E580" s="69" t="s">
        <v>78</v>
      </c>
      <c r="F580" s="69" t="s">
        <v>1412</v>
      </c>
      <c r="I580" s="69">
        <v>16000</v>
      </c>
      <c r="P580" s="69">
        <v>16000</v>
      </c>
      <c r="U580" s="69"/>
      <c r="V580" s="69"/>
      <c r="AR580" s="74">
        <f t="shared" si="32"/>
        <v>32000</v>
      </c>
      <c r="AS580" s="69">
        <v>16000</v>
      </c>
      <c r="AT580" s="69"/>
      <c r="BC580" s="69"/>
      <c r="BD580" s="69"/>
      <c r="BN580" s="69">
        <v>16000</v>
      </c>
      <c r="CC580" s="74">
        <f t="shared" si="61"/>
        <v>32000</v>
      </c>
      <c r="CD580" s="73">
        <f t="shared" si="62"/>
        <v>0</v>
      </c>
      <c r="CE580" s="75">
        <f t="shared" si="63"/>
        <v>8909</v>
      </c>
      <c r="CF580" s="3" t="str">
        <f t="shared" si="63"/>
        <v>برنامج دولى</v>
      </c>
    </row>
    <row r="581" spans="3:90" x14ac:dyDescent="0.25">
      <c r="C581" s="82">
        <v>14818</v>
      </c>
      <c r="D581" s="70">
        <v>8910</v>
      </c>
      <c r="E581" s="69" t="s">
        <v>78</v>
      </c>
      <c r="F581" s="69" t="s">
        <v>1413</v>
      </c>
      <c r="I581" s="69">
        <v>1050</v>
      </c>
      <c r="U581" s="69"/>
      <c r="V581" s="69"/>
      <c r="AR581" s="74">
        <f t="shared" si="32"/>
        <v>1050</v>
      </c>
      <c r="AS581" s="69">
        <v>1050</v>
      </c>
      <c r="AT581" s="69"/>
      <c r="BC581" s="69"/>
      <c r="BD581" s="69"/>
      <c r="CC581" s="74">
        <f t="shared" si="61"/>
        <v>1050</v>
      </c>
      <c r="CD581" s="73">
        <f t="shared" si="62"/>
        <v>0</v>
      </c>
      <c r="CE581" s="75">
        <f t="shared" si="63"/>
        <v>8910</v>
      </c>
      <c r="CF581" s="3" t="str">
        <f t="shared" si="63"/>
        <v>برنامج دولى</v>
      </c>
    </row>
    <row r="582" spans="3:90" x14ac:dyDescent="0.25">
      <c r="C582" s="82">
        <v>14935</v>
      </c>
      <c r="D582" s="70">
        <v>8911</v>
      </c>
      <c r="E582" s="69" t="s">
        <v>78</v>
      </c>
      <c r="F582" s="69" t="s">
        <v>1097</v>
      </c>
      <c r="I582" s="69">
        <v>640</v>
      </c>
      <c r="U582" s="69"/>
      <c r="V582" s="69"/>
      <c r="AR582" s="74">
        <f t="shared" si="32"/>
        <v>640</v>
      </c>
      <c r="AS582" s="69">
        <v>640</v>
      </c>
      <c r="AT582" s="69"/>
      <c r="BC582" s="69"/>
      <c r="BD582" s="69"/>
      <c r="CC582" s="74">
        <f t="shared" si="61"/>
        <v>640</v>
      </c>
      <c r="CD582" s="73">
        <f t="shared" si="62"/>
        <v>0</v>
      </c>
      <c r="CE582" s="75">
        <f t="shared" si="63"/>
        <v>8911</v>
      </c>
      <c r="CF582" s="3" t="str">
        <f t="shared" si="63"/>
        <v>برنامج دولى</v>
      </c>
    </row>
    <row r="583" spans="3:90" x14ac:dyDescent="0.25">
      <c r="C583" s="82">
        <v>14929</v>
      </c>
      <c r="D583" s="70">
        <v>8912</v>
      </c>
      <c r="E583" s="69" t="s">
        <v>78</v>
      </c>
      <c r="F583" s="69" t="s">
        <v>1293</v>
      </c>
      <c r="I583" s="69">
        <v>630</v>
      </c>
      <c r="U583" s="69"/>
      <c r="V583" s="69"/>
      <c r="AR583" s="74">
        <f t="shared" si="32"/>
        <v>630</v>
      </c>
      <c r="AS583" s="69">
        <v>630</v>
      </c>
      <c r="AT583" s="69"/>
      <c r="BC583" s="69"/>
      <c r="BD583" s="69"/>
      <c r="CC583" s="74">
        <f t="shared" si="61"/>
        <v>630</v>
      </c>
      <c r="CD583" s="73">
        <f t="shared" si="62"/>
        <v>0</v>
      </c>
      <c r="CE583" s="75">
        <f t="shared" si="63"/>
        <v>8912</v>
      </c>
      <c r="CF583" s="3" t="str">
        <f t="shared" si="63"/>
        <v>برنامج دولى</v>
      </c>
    </row>
    <row r="584" spans="3:90" x14ac:dyDescent="0.25">
      <c r="C584" s="82">
        <v>14932</v>
      </c>
      <c r="D584" s="70">
        <v>8913</v>
      </c>
      <c r="E584" s="69" t="s">
        <v>78</v>
      </c>
      <c r="F584" s="69" t="s">
        <v>1414</v>
      </c>
      <c r="I584" s="69">
        <v>880</v>
      </c>
      <c r="U584" s="69"/>
      <c r="V584" s="69"/>
      <c r="AR584" s="74">
        <f t="shared" si="32"/>
        <v>880</v>
      </c>
      <c r="AS584" s="69">
        <v>880</v>
      </c>
      <c r="AT584" s="69"/>
      <c r="BC584" s="69"/>
      <c r="BD584" s="69"/>
      <c r="CC584" s="74">
        <f t="shared" si="61"/>
        <v>880</v>
      </c>
      <c r="CD584" s="73">
        <f t="shared" si="62"/>
        <v>0</v>
      </c>
      <c r="CE584" s="75">
        <f t="shared" si="63"/>
        <v>8913</v>
      </c>
      <c r="CF584" s="3" t="str">
        <f t="shared" si="63"/>
        <v>برنامج دولى</v>
      </c>
    </row>
    <row r="585" spans="3:90" x14ac:dyDescent="0.25">
      <c r="C585" s="82">
        <v>14933</v>
      </c>
      <c r="D585" s="70">
        <v>8914</v>
      </c>
      <c r="E585" s="69" t="s">
        <v>78</v>
      </c>
      <c r="F585" s="69" t="s">
        <v>1292</v>
      </c>
      <c r="I585" s="69">
        <v>440</v>
      </c>
      <c r="U585" s="69"/>
      <c r="V585" s="69"/>
      <c r="AR585" s="74">
        <f t="shared" si="32"/>
        <v>440</v>
      </c>
      <c r="AS585" s="69">
        <v>440</v>
      </c>
      <c r="AT585" s="69"/>
      <c r="BC585" s="69"/>
      <c r="BD585" s="69"/>
      <c r="CC585" s="74">
        <f t="shared" si="61"/>
        <v>440</v>
      </c>
      <c r="CD585" s="73">
        <f t="shared" si="62"/>
        <v>0</v>
      </c>
      <c r="CE585" s="75">
        <f t="shared" si="63"/>
        <v>8914</v>
      </c>
      <c r="CF585" s="3" t="str">
        <f t="shared" si="63"/>
        <v>برنامج دولى</v>
      </c>
    </row>
    <row r="586" spans="3:90" x14ac:dyDescent="0.25">
      <c r="C586" s="82">
        <v>14934</v>
      </c>
      <c r="D586" s="70">
        <v>8915</v>
      </c>
      <c r="E586" s="69" t="s">
        <v>78</v>
      </c>
      <c r="F586" s="69" t="s">
        <v>450</v>
      </c>
      <c r="I586" s="69">
        <v>200</v>
      </c>
      <c r="U586" s="69"/>
      <c r="V586" s="69"/>
      <c r="AR586" s="74">
        <f t="shared" si="32"/>
        <v>200</v>
      </c>
      <c r="AS586" s="69">
        <v>200</v>
      </c>
      <c r="AT586" s="69"/>
      <c r="BC586" s="69"/>
      <c r="BD586" s="69"/>
      <c r="CC586" s="74">
        <f t="shared" si="61"/>
        <v>200</v>
      </c>
      <c r="CD586" s="73">
        <f t="shared" si="62"/>
        <v>0</v>
      </c>
      <c r="CE586" s="75">
        <f t="shared" si="63"/>
        <v>8915</v>
      </c>
      <c r="CF586" s="3" t="str">
        <f t="shared" si="63"/>
        <v>برنامج دولى</v>
      </c>
    </row>
    <row r="587" spans="3:90" x14ac:dyDescent="0.25">
      <c r="C587" s="82">
        <v>14928</v>
      </c>
      <c r="D587" s="70">
        <v>8916</v>
      </c>
      <c r="E587" s="69" t="s">
        <v>78</v>
      </c>
      <c r="F587" s="69" t="s">
        <v>452</v>
      </c>
      <c r="I587" s="69">
        <v>690</v>
      </c>
      <c r="U587" s="69"/>
      <c r="V587" s="69"/>
      <c r="AR587" s="74">
        <f t="shared" si="32"/>
        <v>690</v>
      </c>
      <c r="AS587" s="69">
        <v>690</v>
      </c>
      <c r="AT587" s="69"/>
      <c r="BC587" s="69"/>
      <c r="BD587" s="69"/>
      <c r="CC587" s="74">
        <f t="shared" si="61"/>
        <v>690</v>
      </c>
      <c r="CD587" s="73">
        <f t="shared" si="62"/>
        <v>0</v>
      </c>
      <c r="CE587" s="75">
        <f t="shared" si="63"/>
        <v>8916</v>
      </c>
      <c r="CF587" s="3" t="str">
        <f t="shared" si="63"/>
        <v>برنامج دولى</v>
      </c>
    </row>
    <row r="588" spans="3:90" x14ac:dyDescent="0.25">
      <c r="C588" s="82">
        <v>14930</v>
      </c>
      <c r="D588" s="70">
        <v>8917</v>
      </c>
      <c r="E588" s="69" t="s">
        <v>78</v>
      </c>
      <c r="F588" s="69" t="s">
        <v>452</v>
      </c>
      <c r="I588" s="69">
        <v>720</v>
      </c>
      <c r="U588" s="69"/>
      <c r="V588" s="69"/>
      <c r="AR588" s="74">
        <f t="shared" si="32"/>
        <v>720</v>
      </c>
      <c r="AS588" s="69">
        <v>720</v>
      </c>
      <c r="AT588" s="69"/>
      <c r="BC588" s="69"/>
      <c r="BD588" s="69"/>
      <c r="CC588" s="74">
        <f t="shared" si="61"/>
        <v>720</v>
      </c>
      <c r="CD588" s="73">
        <f t="shared" si="62"/>
        <v>0</v>
      </c>
      <c r="CE588" s="75">
        <f t="shared" si="63"/>
        <v>8917</v>
      </c>
      <c r="CF588" s="3" t="str">
        <f t="shared" si="63"/>
        <v>برنامج دولى</v>
      </c>
    </row>
    <row r="589" spans="3:90" x14ac:dyDescent="0.25">
      <c r="C589" s="82">
        <v>14931</v>
      </c>
      <c r="D589" s="70">
        <v>8918</v>
      </c>
      <c r="E589" s="69" t="s">
        <v>78</v>
      </c>
      <c r="F589" s="69" t="s">
        <v>452</v>
      </c>
      <c r="I589" s="69">
        <v>600</v>
      </c>
      <c r="U589" s="69"/>
      <c r="V589" s="69"/>
      <c r="AR589" s="74">
        <f t="shared" si="32"/>
        <v>600</v>
      </c>
      <c r="AS589" s="69">
        <v>600</v>
      </c>
      <c r="AT589" s="69"/>
      <c r="BC589" s="69"/>
      <c r="BD589" s="69"/>
      <c r="CC589" s="74">
        <f t="shared" si="61"/>
        <v>600</v>
      </c>
      <c r="CD589" s="73">
        <f t="shared" si="62"/>
        <v>0</v>
      </c>
      <c r="CE589" s="75">
        <f t="shared" si="63"/>
        <v>8918</v>
      </c>
      <c r="CF589" s="3" t="str">
        <f t="shared" si="63"/>
        <v>برنامج دولى</v>
      </c>
    </row>
    <row r="590" spans="3:90" x14ac:dyDescent="0.25">
      <c r="C590" s="82">
        <v>15055</v>
      </c>
      <c r="D590" s="70">
        <v>8919</v>
      </c>
      <c r="E590" s="69" t="s">
        <v>78</v>
      </c>
      <c r="F590" s="69" t="s">
        <v>1415</v>
      </c>
      <c r="I590" s="69">
        <v>21250</v>
      </c>
      <c r="U590" s="69"/>
      <c r="V590" s="69"/>
      <c r="AR590" s="74">
        <f t="shared" si="32"/>
        <v>21250</v>
      </c>
      <c r="AS590" s="69">
        <v>20225.900000000001</v>
      </c>
      <c r="AT590" s="69">
        <v>850.1</v>
      </c>
      <c r="BC590" s="69"/>
      <c r="BD590" s="69"/>
      <c r="BG590" s="69">
        <v>6</v>
      </c>
      <c r="BH590" s="69">
        <f>84*2</f>
        <v>168</v>
      </c>
      <c r="CC590" s="74">
        <f t="shared" si="61"/>
        <v>21250</v>
      </c>
      <c r="CD590" s="73">
        <f t="shared" si="62"/>
        <v>0</v>
      </c>
      <c r="CE590" s="75">
        <f t="shared" si="63"/>
        <v>8919</v>
      </c>
      <c r="CF590" s="3" t="str">
        <f t="shared" si="63"/>
        <v>برنامج دولى</v>
      </c>
    </row>
    <row r="591" spans="3:90" ht="36" x14ac:dyDescent="0.25">
      <c r="C591" s="82">
        <v>14809</v>
      </c>
      <c r="D591" s="70">
        <v>8920</v>
      </c>
      <c r="E591" s="69" t="s">
        <v>78</v>
      </c>
      <c r="F591" s="77" t="s">
        <v>1416</v>
      </c>
      <c r="I591" s="69">
        <v>1000</v>
      </c>
      <c r="U591" s="69"/>
      <c r="V591" s="69"/>
      <c r="AR591" s="74">
        <f t="shared" si="32"/>
        <v>1000</v>
      </c>
      <c r="AS591" s="69">
        <v>910.55</v>
      </c>
      <c r="AT591" s="69">
        <v>49.1</v>
      </c>
      <c r="BC591" s="69"/>
      <c r="BD591" s="69"/>
      <c r="BF591" s="69">
        <v>26.35</v>
      </c>
      <c r="BG591" s="69">
        <v>6</v>
      </c>
      <c r="BH591" s="69">
        <v>8</v>
      </c>
      <c r="CC591" s="74">
        <f t="shared" si="61"/>
        <v>1000</v>
      </c>
      <c r="CD591" s="73">
        <f t="shared" si="62"/>
        <v>0</v>
      </c>
      <c r="CE591" s="75">
        <f t="shared" si="63"/>
        <v>8920</v>
      </c>
      <c r="CF591" s="3" t="str">
        <f t="shared" si="63"/>
        <v>برنامج دولى</v>
      </c>
    </row>
    <row r="592" spans="3:90" ht="36" x14ac:dyDescent="0.25">
      <c r="C592" s="82">
        <v>14579</v>
      </c>
      <c r="D592" s="70">
        <v>8921</v>
      </c>
      <c r="E592" s="69" t="s">
        <v>78</v>
      </c>
      <c r="F592" s="77" t="s">
        <v>1417</v>
      </c>
      <c r="I592" s="69">
        <v>1425</v>
      </c>
      <c r="U592" s="69"/>
      <c r="V592" s="69"/>
      <c r="AR592" s="74">
        <f t="shared" si="32"/>
        <v>1425</v>
      </c>
      <c r="AS592" s="69">
        <v>1295.5</v>
      </c>
      <c r="AT592" s="69">
        <v>74.7</v>
      </c>
      <c r="BC592" s="69"/>
      <c r="BD592" s="69"/>
      <c r="BF592" s="69">
        <v>37.5</v>
      </c>
      <c r="BG592" s="69">
        <v>6</v>
      </c>
      <c r="BH592" s="69">
        <f>5.65*2</f>
        <v>11.3</v>
      </c>
      <c r="CC592" s="74">
        <f t="shared" si="61"/>
        <v>1425</v>
      </c>
      <c r="CD592" s="73">
        <f t="shared" si="62"/>
        <v>0</v>
      </c>
      <c r="CE592" s="75">
        <f t="shared" si="63"/>
        <v>8921</v>
      </c>
      <c r="CF592" s="3" t="str">
        <f t="shared" si="63"/>
        <v>برنامج دولى</v>
      </c>
    </row>
    <row r="593" spans="3:84" ht="36" x14ac:dyDescent="0.25">
      <c r="C593" s="82">
        <v>14831</v>
      </c>
      <c r="D593" s="70">
        <v>8922</v>
      </c>
      <c r="E593" s="69" t="s">
        <v>78</v>
      </c>
      <c r="F593" s="77" t="s">
        <v>1418</v>
      </c>
      <c r="I593" s="69">
        <v>5000</v>
      </c>
      <c r="U593" s="69"/>
      <c r="V593" s="69"/>
      <c r="AB593" s="69">
        <v>5000</v>
      </c>
      <c r="AR593" s="74">
        <f t="shared" si="32"/>
        <v>10000</v>
      </c>
      <c r="AS593" s="69">
        <v>5000</v>
      </c>
      <c r="AT593" s="69"/>
      <c r="BC593" s="69"/>
      <c r="BD593" s="69"/>
      <c r="BQ593" s="69">
        <v>5000</v>
      </c>
      <c r="CC593" s="74">
        <f t="shared" si="61"/>
        <v>10000</v>
      </c>
      <c r="CD593" s="73">
        <f t="shared" si="62"/>
        <v>0</v>
      </c>
      <c r="CE593" s="75">
        <f t="shared" si="63"/>
        <v>8922</v>
      </c>
      <c r="CF593" s="3" t="str">
        <f t="shared" si="63"/>
        <v>برنامج دولى</v>
      </c>
    </row>
    <row r="594" spans="3:84" x14ac:dyDescent="0.25">
      <c r="C594" s="82">
        <v>14811</v>
      </c>
      <c r="D594" s="70">
        <v>8923</v>
      </c>
      <c r="E594" s="69" t="s">
        <v>78</v>
      </c>
      <c r="F594" s="69" t="s">
        <v>1297</v>
      </c>
      <c r="I594" s="69">
        <v>4500.72</v>
      </c>
      <c r="U594" s="69"/>
      <c r="V594" s="69"/>
      <c r="AR594" s="74">
        <f t="shared" si="32"/>
        <v>4500.72</v>
      </c>
      <c r="AS594" s="69">
        <v>4500.72</v>
      </c>
      <c r="AT594" s="69"/>
      <c r="BC594" s="69"/>
      <c r="BD594" s="69"/>
      <c r="CC594" s="74">
        <f t="shared" si="61"/>
        <v>4500.72</v>
      </c>
      <c r="CD594" s="73">
        <f t="shared" si="62"/>
        <v>0</v>
      </c>
      <c r="CE594" s="75">
        <f t="shared" si="63"/>
        <v>8923</v>
      </c>
      <c r="CF594" s="3" t="str">
        <f t="shared" si="63"/>
        <v>برنامج دولى</v>
      </c>
    </row>
    <row r="595" spans="3:84" ht="36" x14ac:dyDescent="0.25">
      <c r="C595" s="82">
        <v>14810</v>
      </c>
      <c r="D595" s="70">
        <v>8924</v>
      </c>
      <c r="E595" s="69" t="s">
        <v>78</v>
      </c>
      <c r="F595" s="77" t="s">
        <v>1419</v>
      </c>
      <c r="I595" s="69">
        <v>615.6</v>
      </c>
      <c r="U595" s="69"/>
      <c r="V595" s="69"/>
      <c r="AR595" s="74">
        <f t="shared" si="32"/>
        <v>615.6</v>
      </c>
      <c r="AS595" s="69">
        <v>558.20000000000005</v>
      </c>
      <c r="AT595" s="69">
        <v>30.3</v>
      </c>
      <c r="BC595" s="69"/>
      <c r="BD595" s="69"/>
      <c r="BF595" s="69">
        <v>16.2</v>
      </c>
      <c r="BG595" s="69">
        <v>6</v>
      </c>
      <c r="BH595" s="69">
        <f>2.45*2</f>
        <v>4.9000000000000004</v>
      </c>
      <c r="CC595" s="74">
        <f t="shared" si="61"/>
        <v>615.6</v>
      </c>
      <c r="CD595" s="73">
        <f t="shared" si="62"/>
        <v>0</v>
      </c>
      <c r="CE595" s="75">
        <f t="shared" si="63"/>
        <v>8924</v>
      </c>
      <c r="CF595" s="3" t="str">
        <f t="shared" si="63"/>
        <v>برنامج دولى</v>
      </c>
    </row>
    <row r="596" spans="3:84" x14ac:dyDescent="0.25">
      <c r="C596" s="82">
        <v>14832</v>
      </c>
      <c r="D596" s="70">
        <v>8925</v>
      </c>
      <c r="E596" s="69" t="s">
        <v>78</v>
      </c>
      <c r="F596" s="69" t="s">
        <v>1420</v>
      </c>
      <c r="I596" s="69">
        <v>9875.4599999999991</v>
      </c>
      <c r="U596" s="69"/>
      <c r="V596" s="69"/>
      <c r="AR596" s="74">
        <f t="shared" si="32"/>
        <v>9875.4599999999991</v>
      </c>
      <c r="AS596" s="69">
        <v>9237.56</v>
      </c>
      <c r="AT596" s="69">
        <v>553.9</v>
      </c>
      <c r="BC596" s="69"/>
      <c r="BD596" s="69"/>
      <c r="BG596" s="69">
        <v>6</v>
      </c>
      <c r="BH596" s="69">
        <f>39*2</f>
        <v>78</v>
      </c>
      <c r="CC596" s="74">
        <f t="shared" si="61"/>
        <v>9875.4599999999991</v>
      </c>
      <c r="CD596" s="73">
        <f t="shared" si="62"/>
        <v>0</v>
      </c>
      <c r="CE596" s="75">
        <f t="shared" si="63"/>
        <v>8925</v>
      </c>
      <c r="CF596" s="3" t="str">
        <f t="shared" si="63"/>
        <v>برنامج دولى</v>
      </c>
    </row>
    <row r="597" spans="3:84" x14ac:dyDescent="0.25">
      <c r="C597" s="82">
        <v>13173</v>
      </c>
      <c r="D597" s="70">
        <v>8926</v>
      </c>
      <c r="E597" s="69" t="s">
        <v>130</v>
      </c>
      <c r="F597" s="69" t="s">
        <v>1421</v>
      </c>
      <c r="I597" s="69">
        <v>6840</v>
      </c>
      <c r="U597" s="69"/>
      <c r="V597" s="69"/>
      <c r="AR597" s="74">
        <f t="shared" si="32"/>
        <v>6840</v>
      </c>
      <c r="AS597" s="69">
        <v>6104.2</v>
      </c>
      <c r="AT597" s="69">
        <v>416.8</v>
      </c>
      <c r="AV597" s="69">
        <v>5</v>
      </c>
      <c r="BC597" s="69"/>
      <c r="BD597" s="69"/>
      <c r="BF597" s="69">
        <v>180</v>
      </c>
      <c r="BG597" s="69">
        <v>80</v>
      </c>
      <c r="BH597" s="69">
        <f>27*2</f>
        <v>54</v>
      </c>
      <c r="CC597" s="74">
        <f t="shared" si="61"/>
        <v>6840</v>
      </c>
      <c r="CD597" s="73">
        <f t="shared" si="62"/>
        <v>0</v>
      </c>
      <c r="CE597" s="75">
        <f t="shared" si="63"/>
        <v>8926</v>
      </c>
      <c r="CF597" s="3" t="str">
        <f t="shared" si="63"/>
        <v>خ ت طب</v>
      </c>
    </row>
    <row r="598" spans="3:84" x14ac:dyDescent="0.25">
      <c r="C598" s="82">
        <v>14913</v>
      </c>
      <c r="D598" s="70">
        <v>8927</v>
      </c>
      <c r="E598" s="69" t="s">
        <v>130</v>
      </c>
      <c r="F598" s="69" t="s">
        <v>1422</v>
      </c>
      <c r="I598" s="69">
        <v>18126</v>
      </c>
      <c r="U598" s="69"/>
      <c r="V598" s="69"/>
      <c r="AR598" s="74">
        <f t="shared" si="32"/>
        <v>18126</v>
      </c>
      <c r="AS598" s="69">
        <v>16526</v>
      </c>
      <c r="AT598" s="69">
        <v>853</v>
      </c>
      <c r="BC598" s="69"/>
      <c r="BD598" s="69"/>
      <c r="BF598" s="69">
        <v>543.79999999999995</v>
      </c>
      <c r="BG598" s="69">
        <v>40</v>
      </c>
      <c r="BH598" s="69">
        <f>81.6*2</f>
        <v>163.19999999999999</v>
      </c>
      <c r="CC598" s="74">
        <f t="shared" si="61"/>
        <v>18126</v>
      </c>
      <c r="CD598" s="73">
        <f t="shared" si="62"/>
        <v>0</v>
      </c>
      <c r="CE598" s="75">
        <f t="shared" si="63"/>
        <v>8927</v>
      </c>
      <c r="CF598" s="3" t="str">
        <f t="shared" si="63"/>
        <v>خ ت طب</v>
      </c>
    </row>
    <row r="599" spans="3:84" ht="36" x14ac:dyDescent="0.25">
      <c r="C599" s="82">
        <v>14589</v>
      </c>
      <c r="D599" s="70">
        <v>8928</v>
      </c>
      <c r="E599" s="69" t="s">
        <v>130</v>
      </c>
      <c r="F599" s="77" t="s">
        <v>1423</v>
      </c>
      <c r="I599" s="69">
        <v>1425</v>
      </c>
      <c r="U599" s="69"/>
      <c r="V599" s="69"/>
      <c r="AR599" s="74">
        <f t="shared" si="32"/>
        <v>1425</v>
      </c>
      <c r="AS599" s="69">
        <v>1293.5</v>
      </c>
      <c r="AT599" s="69">
        <v>74.7</v>
      </c>
      <c r="BC599" s="69"/>
      <c r="BD599" s="69"/>
      <c r="BF599" s="69">
        <v>37.5</v>
      </c>
      <c r="BG599" s="69">
        <v>6</v>
      </c>
      <c r="BH599" s="69">
        <f>6.65*2</f>
        <v>13.3</v>
      </c>
      <c r="CC599" s="74">
        <f t="shared" si="61"/>
        <v>1425</v>
      </c>
      <c r="CD599" s="73">
        <f t="shared" si="62"/>
        <v>0</v>
      </c>
      <c r="CE599" s="75">
        <f t="shared" si="63"/>
        <v>8928</v>
      </c>
      <c r="CF599" s="3" t="str">
        <f t="shared" si="63"/>
        <v>خ ت طب</v>
      </c>
    </row>
    <row r="600" spans="3:84" ht="36" x14ac:dyDescent="0.25">
      <c r="C600" s="82">
        <v>14919</v>
      </c>
      <c r="D600" s="70">
        <v>8929</v>
      </c>
      <c r="E600" s="69" t="s">
        <v>128</v>
      </c>
      <c r="F600" s="77" t="s">
        <v>1298</v>
      </c>
      <c r="I600" s="69">
        <v>3639.99</v>
      </c>
      <c r="U600" s="69"/>
      <c r="V600" s="69"/>
      <c r="AR600" s="74">
        <f t="shared" si="32"/>
        <v>3639.99</v>
      </c>
      <c r="AS600" s="69">
        <v>3317.89</v>
      </c>
      <c r="AT600" s="69">
        <v>191.5</v>
      </c>
      <c r="BC600" s="69"/>
      <c r="BD600" s="69"/>
      <c r="BF600" s="69">
        <v>95.8</v>
      </c>
      <c r="BG600" s="69">
        <v>6</v>
      </c>
      <c r="BH600" s="69">
        <f>14.4*2</f>
        <v>28.8</v>
      </c>
      <c r="CC600" s="74">
        <f t="shared" si="61"/>
        <v>3639.9900000000002</v>
      </c>
      <c r="CD600" s="73">
        <f t="shared" si="62"/>
        <v>0</v>
      </c>
      <c r="CE600" s="75">
        <f t="shared" si="63"/>
        <v>8929</v>
      </c>
      <c r="CF600" s="3" t="str">
        <f t="shared" si="63"/>
        <v>مركز مؤتمرات</v>
      </c>
    </row>
    <row r="601" spans="3:84" x14ac:dyDescent="0.25">
      <c r="C601" s="82">
        <v>13556</v>
      </c>
      <c r="D601" s="70">
        <v>8930</v>
      </c>
      <c r="E601" s="69" t="s">
        <v>132</v>
      </c>
      <c r="F601" s="69" t="s">
        <v>1424</v>
      </c>
      <c r="I601" s="69">
        <v>2550</v>
      </c>
      <c r="U601" s="69"/>
      <c r="V601" s="69"/>
      <c r="AR601" s="74">
        <f t="shared" si="32"/>
        <v>2550</v>
      </c>
      <c r="AS601" s="69">
        <v>2550</v>
      </c>
      <c r="AT601" s="69"/>
      <c r="BC601" s="69"/>
      <c r="BD601" s="69"/>
      <c r="CC601" s="74">
        <f t="shared" si="61"/>
        <v>2550</v>
      </c>
      <c r="CD601" s="73">
        <f t="shared" si="62"/>
        <v>0</v>
      </c>
      <c r="CE601" s="75">
        <f t="shared" si="63"/>
        <v>8930</v>
      </c>
      <c r="CF601" s="3" t="str">
        <f t="shared" si="63"/>
        <v>صيدلة اكلينيكى</v>
      </c>
    </row>
    <row r="602" spans="3:84" x14ac:dyDescent="0.25">
      <c r="C602" s="82">
        <v>13557</v>
      </c>
      <c r="D602" s="70">
        <v>8931</v>
      </c>
      <c r="E602" s="69" t="s">
        <v>132</v>
      </c>
      <c r="F602" s="69" t="s">
        <v>1425</v>
      </c>
      <c r="I602" s="69">
        <v>3942</v>
      </c>
      <c r="U602" s="69"/>
      <c r="V602" s="69"/>
      <c r="AR602" s="74">
        <f t="shared" si="32"/>
        <v>3942</v>
      </c>
      <c r="AS602" s="69">
        <v>3942</v>
      </c>
      <c r="AT602" s="69"/>
      <c r="BC602" s="69"/>
      <c r="BD602" s="69"/>
      <c r="CC602" s="74">
        <f t="shared" si="61"/>
        <v>3942</v>
      </c>
      <c r="CD602" s="73">
        <f t="shared" si="62"/>
        <v>0</v>
      </c>
      <c r="CE602" s="75">
        <f t="shared" si="63"/>
        <v>8931</v>
      </c>
      <c r="CF602" s="3" t="str">
        <f t="shared" si="63"/>
        <v>صيدلة اكلينيكى</v>
      </c>
    </row>
    <row r="603" spans="3:84" x14ac:dyDescent="0.25">
      <c r="C603" s="82">
        <v>13560</v>
      </c>
      <c r="D603" s="70">
        <v>8932</v>
      </c>
      <c r="E603" s="69" t="s">
        <v>132</v>
      </c>
      <c r="F603" s="69" t="s">
        <v>1426</v>
      </c>
      <c r="I603" s="69">
        <v>10650</v>
      </c>
      <c r="U603" s="69"/>
      <c r="V603" s="69"/>
      <c r="AR603" s="74">
        <f t="shared" si="32"/>
        <v>10650</v>
      </c>
      <c r="AS603" s="69">
        <v>10650</v>
      </c>
      <c r="AT603" s="69"/>
      <c r="BC603" s="69"/>
      <c r="BD603" s="69"/>
      <c r="CC603" s="74">
        <f t="shared" si="61"/>
        <v>10650</v>
      </c>
      <c r="CD603" s="73">
        <f t="shared" si="62"/>
        <v>0</v>
      </c>
      <c r="CE603" s="75">
        <f t="shared" si="63"/>
        <v>8932</v>
      </c>
      <c r="CF603" s="3" t="str">
        <f t="shared" si="63"/>
        <v>صيدلة اكلينيكى</v>
      </c>
    </row>
    <row r="604" spans="3:84" x14ac:dyDescent="0.25">
      <c r="C604" s="82">
        <v>13559</v>
      </c>
      <c r="D604" s="70">
        <v>8933</v>
      </c>
      <c r="E604" s="69" t="s">
        <v>132</v>
      </c>
      <c r="F604" s="69" t="s">
        <v>1427</v>
      </c>
      <c r="I604" s="69">
        <v>16630</v>
      </c>
      <c r="U604" s="69"/>
      <c r="V604" s="69"/>
      <c r="AR604" s="74">
        <f t="shared" si="32"/>
        <v>16630</v>
      </c>
      <c r="AS604" s="69">
        <v>15627.6</v>
      </c>
      <c r="AT604" s="69">
        <f>199.75+599.25+9.9</f>
        <v>808.9</v>
      </c>
      <c r="AV604" s="69">
        <v>5</v>
      </c>
      <c r="BC604" s="69"/>
      <c r="BD604" s="69"/>
      <c r="BF604" s="69">
        <v>166.5</v>
      </c>
      <c r="BG604" s="69">
        <v>22</v>
      </c>
      <c r="CC604" s="74">
        <f t="shared" si="61"/>
        <v>16630</v>
      </c>
      <c r="CD604" s="73">
        <f t="shared" si="62"/>
        <v>0</v>
      </c>
      <c r="CE604" s="75">
        <f t="shared" si="63"/>
        <v>8933</v>
      </c>
      <c r="CF604" s="3" t="str">
        <f t="shared" si="63"/>
        <v>صيدلة اكلينيكى</v>
      </c>
    </row>
    <row r="605" spans="3:84" x14ac:dyDescent="0.25">
      <c r="C605" s="82">
        <v>13554</v>
      </c>
      <c r="D605" s="70">
        <v>8934</v>
      </c>
      <c r="E605" s="69" t="s">
        <v>132</v>
      </c>
      <c r="F605" s="69" t="s">
        <v>1428</v>
      </c>
      <c r="I605" s="69">
        <v>6500</v>
      </c>
      <c r="U605" s="69"/>
      <c r="V605" s="69"/>
      <c r="AR605" s="74">
        <f t="shared" si="32"/>
        <v>6500</v>
      </c>
      <c r="AS605" s="69">
        <v>5990.9</v>
      </c>
      <c r="AT605" s="69">
        <f>103.25+309.75+8.1</f>
        <v>421.1</v>
      </c>
      <c r="AV605" s="69">
        <v>5</v>
      </c>
      <c r="BC605" s="69"/>
      <c r="BD605" s="69"/>
      <c r="BF605" s="69">
        <v>65</v>
      </c>
      <c r="BG605" s="69">
        <v>18</v>
      </c>
      <c r="CC605" s="74">
        <f t="shared" si="61"/>
        <v>6500</v>
      </c>
      <c r="CD605" s="73">
        <f t="shared" si="62"/>
        <v>0</v>
      </c>
      <c r="CE605" s="75">
        <f t="shared" si="63"/>
        <v>8934</v>
      </c>
      <c r="CF605" s="3" t="str">
        <f t="shared" si="63"/>
        <v>صيدلة اكلينيكى</v>
      </c>
    </row>
    <row r="606" spans="3:84" x14ac:dyDescent="0.25">
      <c r="C606" s="82">
        <v>11884</v>
      </c>
      <c r="D606" s="70">
        <v>8935</v>
      </c>
      <c r="E606" s="69" t="s">
        <v>119</v>
      </c>
      <c r="F606" s="69" t="s">
        <v>1429</v>
      </c>
      <c r="I606" s="69">
        <v>40030</v>
      </c>
      <c r="U606" s="69"/>
      <c r="V606" s="69"/>
      <c r="AR606" s="74">
        <f t="shared" si="32"/>
        <v>40030</v>
      </c>
      <c r="AS606" s="69">
        <v>38387.25</v>
      </c>
      <c r="AT606" s="69">
        <f>310.75+932.25+13.5</f>
        <v>1256.5</v>
      </c>
      <c r="AV606" s="69">
        <v>5</v>
      </c>
      <c r="BC606" s="69"/>
      <c r="BD606" s="69"/>
      <c r="BF606" s="69">
        <v>351.25</v>
      </c>
      <c r="BG606" s="69">
        <v>30</v>
      </c>
      <c r="CC606" s="74">
        <f t="shared" si="61"/>
        <v>40030</v>
      </c>
      <c r="CD606" s="73">
        <f t="shared" si="62"/>
        <v>0</v>
      </c>
      <c r="CE606" s="75">
        <f t="shared" si="63"/>
        <v>8935</v>
      </c>
      <c r="CF606" s="3" t="str">
        <f t="shared" si="63"/>
        <v>خ ت صيدلة</v>
      </c>
    </row>
    <row r="607" spans="3:84" x14ac:dyDescent="0.25">
      <c r="C607" s="82">
        <v>11883</v>
      </c>
      <c r="D607" s="70">
        <v>8936</v>
      </c>
      <c r="E607" s="69" t="s">
        <v>119</v>
      </c>
      <c r="F607" s="69" t="s">
        <v>1429</v>
      </c>
      <c r="I607" s="69">
        <v>42149.99</v>
      </c>
      <c r="U607" s="69"/>
      <c r="V607" s="69"/>
      <c r="AR607" s="74">
        <f t="shared" si="32"/>
        <v>42149.99</v>
      </c>
      <c r="AS607" s="69">
        <v>40441.440000000002</v>
      </c>
      <c r="AT607" s="69">
        <f>321.85+965.55+14.4</f>
        <v>1301.8000000000002</v>
      </c>
      <c r="AV607" s="69">
        <v>5</v>
      </c>
      <c r="BC607" s="69"/>
      <c r="BD607" s="69"/>
      <c r="BF607" s="69">
        <v>369.75</v>
      </c>
      <c r="BG607" s="69">
        <v>32</v>
      </c>
      <c r="CC607" s="74">
        <f t="shared" si="61"/>
        <v>42149.990000000005</v>
      </c>
      <c r="CD607" s="73">
        <f t="shared" si="62"/>
        <v>0</v>
      </c>
      <c r="CE607" s="75">
        <f t="shared" si="63"/>
        <v>8936</v>
      </c>
      <c r="CF607" s="3" t="str">
        <f t="shared" si="63"/>
        <v>خ ت صيدلة</v>
      </c>
    </row>
    <row r="608" spans="3:84" ht="36" x14ac:dyDescent="0.25">
      <c r="C608" s="82">
        <v>14592</v>
      </c>
      <c r="D608" s="70">
        <v>8937</v>
      </c>
      <c r="E608" s="69" t="s">
        <v>137</v>
      </c>
      <c r="F608" s="77" t="s">
        <v>1430</v>
      </c>
      <c r="I608" s="69">
        <v>9576</v>
      </c>
      <c r="U608" s="69"/>
      <c r="V608" s="69"/>
      <c r="AR608" s="74">
        <f t="shared" si="32"/>
        <v>9576</v>
      </c>
      <c r="AS608" s="69">
        <v>8818.6</v>
      </c>
      <c r="AT608" s="69">
        <f>133.75+401.25+41.4</f>
        <v>576.4</v>
      </c>
      <c r="AV608" s="69">
        <v>5</v>
      </c>
      <c r="BC608" s="69"/>
      <c r="BD608" s="69"/>
      <c r="BF608" s="69">
        <v>84</v>
      </c>
      <c r="BG608" s="69">
        <v>92</v>
      </c>
      <c r="CC608" s="74">
        <f t="shared" si="61"/>
        <v>9576</v>
      </c>
      <c r="CD608" s="73">
        <f t="shared" si="62"/>
        <v>0</v>
      </c>
      <c r="CE608" s="75">
        <f t="shared" si="63"/>
        <v>8937</v>
      </c>
      <c r="CF608" s="3" t="str">
        <f t="shared" si="63"/>
        <v xml:space="preserve">خدمة عامة </v>
      </c>
    </row>
    <row r="609" spans="3:84" x14ac:dyDescent="0.25">
      <c r="D609" s="70">
        <v>8938</v>
      </c>
      <c r="E609" s="69" t="s">
        <v>1431</v>
      </c>
      <c r="AR609" s="74">
        <f t="shared" si="32"/>
        <v>0</v>
      </c>
      <c r="CE609" s="75">
        <v>8938</v>
      </c>
      <c r="CF609" s="3" t="str">
        <f t="shared" si="63"/>
        <v>لاب فقط</v>
      </c>
    </row>
    <row r="610" spans="3:84" ht="54" x14ac:dyDescent="0.25">
      <c r="C610" s="82">
        <v>14779</v>
      </c>
      <c r="D610" s="70">
        <v>8939</v>
      </c>
      <c r="E610" s="69" t="s">
        <v>121</v>
      </c>
      <c r="F610" s="77" t="s">
        <v>1432</v>
      </c>
      <c r="I610" s="69">
        <v>22000</v>
      </c>
      <c r="U610" s="69"/>
      <c r="V610" s="69"/>
      <c r="AR610" s="74">
        <f t="shared" si="32"/>
        <v>22000</v>
      </c>
      <c r="AS610" s="69">
        <v>22000</v>
      </c>
      <c r="AT610" s="69"/>
      <c r="BC610" s="69"/>
      <c r="BD610" s="69"/>
      <c r="CC610" s="74">
        <f t="shared" si="61"/>
        <v>22000</v>
      </c>
      <c r="CD610" s="73">
        <f t="shared" si="62"/>
        <v>0</v>
      </c>
      <c r="CE610" s="75">
        <f t="shared" si="63"/>
        <v>8939</v>
      </c>
      <c r="CF610" s="3" t="str">
        <f t="shared" si="63"/>
        <v>ماليزى اسنان</v>
      </c>
    </row>
    <row r="611" spans="3:84" x14ac:dyDescent="0.25">
      <c r="C611" s="82">
        <v>15020</v>
      </c>
      <c r="D611" s="70">
        <v>8940</v>
      </c>
      <c r="E611" s="69" t="s">
        <v>121</v>
      </c>
      <c r="F611" s="69" t="s">
        <v>1433</v>
      </c>
      <c r="H611" s="69">
        <v>1336.65</v>
      </c>
      <c r="U611" s="69"/>
      <c r="V611" s="69"/>
      <c r="AR611" s="74">
        <f t="shared" si="32"/>
        <v>1336.65</v>
      </c>
      <c r="AS611" s="69">
        <v>892.42</v>
      </c>
      <c r="AT611" s="69">
        <f>114+8.18</f>
        <v>122.18</v>
      </c>
      <c r="AU611" s="69">
        <f>444.23-AT611</f>
        <v>322.05</v>
      </c>
      <c r="BC611" s="69"/>
      <c r="BD611" s="69"/>
      <c r="CC611" s="74">
        <f t="shared" si="61"/>
        <v>1336.6499999999999</v>
      </c>
      <c r="CD611" s="73">
        <f t="shared" si="62"/>
        <v>0</v>
      </c>
      <c r="CE611" s="75">
        <f t="shared" si="63"/>
        <v>8940</v>
      </c>
      <c r="CF611" s="3" t="str">
        <f t="shared" si="63"/>
        <v>ماليزى اسنان</v>
      </c>
    </row>
    <row r="612" spans="3:84" x14ac:dyDescent="0.25">
      <c r="C612" s="82">
        <v>14887</v>
      </c>
      <c r="D612" s="70">
        <v>8941</v>
      </c>
      <c r="E612" s="69" t="s">
        <v>121</v>
      </c>
      <c r="F612" s="69" t="s">
        <v>1434</v>
      </c>
      <c r="H612" s="69">
        <v>19899.830000000002</v>
      </c>
      <c r="U612" s="69"/>
      <c r="V612" s="69"/>
      <c r="AR612" s="74">
        <f t="shared" si="32"/>
        <v>19899.830000000002</v>
      </c>
      <c r="AS612" s="69">
        <v>14861.9</v>
      </c>
      <c r="AT612" s="69">
        <v>1920.75</v>
      </c>
      <c r="AU612" s="69">
        <v>3117.18</v>
      </c>
      <c r="BC612" s="69"/>
      <c r="BD612" s="69"/>
      <c r="CC612" s="74">
        <f t="shared" si="61"/>
        <v>19899.830000000002</v>
      </c>
      <c r="CD612" s="73">
        <f t="shared" si="62"/>
        <v>0</v>
      </c>
      <c r="CE612" s="75">
        <f t="shared" si="63"/>
        <v>8941</v>
      </c>
      <c r="CF612" s="3" t="str">
        <f t="shared" si="63"/>
        <v>ماليزى اسنان</v>
      </c>
    </row>
    <row r="613" spans="3:84" x14ac:dyDescent="0.25">
      <c r="C613" s="82">
        <v>14888</v>
      </c>
      <c r="D613" s="70">
        <v>8942</v>
      </c>
      <c r="E613" s="69" t="s">
        <v>121</v>
      </c>
      <c r="F613" s="69" t="s">
        <v>1435</v>
      </c>
      <c r="H613" s="69">
        <v>1125.5999999999999</v>
      </c>
      <c r="U613" s="69"/>
      <c r="V613" s="69"/>
      <c r="AR613" s="74">
        <f t="shared" si="32"/>
        <v>1125.5999999999999</v>
      </c>
      <c r="AS613" s="69">
        <v>752.75</v>
      </c>
      <c r="AT613" s="69">
        <v>101.65</v>
      </c>
      <c r="AU613" s="69">
        <v>271.2</v>
      </c>
      <c r="BC613" s="69"/>
      <c r="BD613" s="69"/>
      <c r="CC613" s="74">
        <f t="shared" si="61"/>
        <v>1125.5999999999999</v>
      </c>
      <c r="CD613" s="73">
        <f t="shared" si="62"/>
        <v>0</v>
      </c>
      <c r="CE613" s="75">
        <f t="shared" si="63"/>
        <v>8942</v>
      </c>
      <c r="CF613" s="3" t="str">
        <f t="shared" si="63"/>
        <v>ماليزى اسنان</v>
      </c>
    </row>
    <row r="614" spans="3:84" x14ac:dyDescent="0.25">
      <c r="C614" s="82">
        <v>14889</v>
      </c>
      <c r="D614" s="70">
        <v>8943</v>
      </c>
      <c r="E614" s="69" t="s">
        <v>121</v>
      </c>
      <c r="F614" s="69" t="s">
        <v>1436</v>
      </c>
      <c r="H614" s="69">
        <v>1080</v>
      </c>
      <c r="U614" s="69"/>
      <c r="V614" s="69"/>
      <c r="AR614" s="74">
        <f t="shared" si="32"/>
        <v>1080</v>
      </c>
      <c r="AS614" s="69">
        <v>964.25</v>
      </c>
      <c r="AT614" s="69">
        <v>115.75</v>
      </c>
      <c r="BC614" s="69"/>
      <c r="BD614" s="69"/>
      <c r="CC614" s="74">
        <f t="shared" si="61"/>
        <v>1080</v>
      </c>
      <c r="CD614" s="73">
        <f t="shared" si="62"/>
        <v>0</v>
      </c>
      <c r="CE614" s="75">
        <f t="shared" si="63"/>
        <v>8943</v>
      </c>
      <c r="CF614" s="3" t="str">
        <f t="shared" si="63"/>
        <v>ماليزى اسنان</v>
      </c>
    </row>
    <row r="615" spans="3:84" x14ac:dyDescent="0.25">
      <c r="C615" s="82">
        <v>14886</v>
      </c>
      <c r="D615" s="70">
        <v>8944</v>
      </c>
      <c r="E615" s="69" t="s">
        <v>121</v>
      </c>
      <c r="F615" s="69" t="s">
        <v>1436</v>
      </c>
      <c r="H615" s="69">
        <v>11818.8</v>
      </c>
      <c r="U615" s="69"/>
      <c r="V615" s="69"/>
      <c r="AR615" s="74">
        <f t="shared" si="32"/>
        <v>11818.8</v>
      </c>
      <c r="AS615" s="69">
        <v>7883.35</v>
      </c>
      <c r="AT615" s="69">
        <f>79.85+1008</f>
        <v>1087.8499999999999</v>
      </c>
      <c r="AU615" s="69">
        <f>3935.45-79.85-1008</f>
        <v>2847.6</v>
      </c>
      <c r="BC615" s="69"/>
      <c r="BD615" s="69"/>
      <c r="CC615" s="74">
        <f t="shared" si="61"/>
        <v>11818.800000000001</v>
      </c>
      <c r="CD615" s="73">
        <f t="shared" si="62"/>
        <v>0</v>
      </c>
      <c r="CE615" s="75">
        <f t="shared" si="63"/>
        <v>8944</v>
      </c>
      <c r="CF615" s="3" t="str">
        <f t="shared" si="63"/>
        <v>ماليزى اسنان</v>
      </c>
    </row>
    <row r="616" spans="3:84" x14ac:dyDescent="0.25">
      <c r="C616" s="82">
        <v>14890</v>
      </c>
      <c r="D616" s="70">
        <v>8945</v>
      </c>
      <c r="E616" s="69" t="s">
        <v>121</v>
      </c>
      <c r="F616" s="69" t="s">
        <v>1436</v>
      </c>
      <c r="H616" s="69">
        <v>1266.3</v>
      </c>
      <c r="U616" s="69"/>
      <c r="V616" s="69"/>
      <c r="AR616" s="74">
        <f t="shared" si="32"/>
        <v>1266.3</v>
      </c>
      <c r="AS616" s="69">
        <v>846.35</v>
      </c>
      <c r="AT616" s="69">
        <v>114.85</v>
      </c>
      <c r="AU616" s="69">
        <v>305.10000000000002</v>
      </c>
      <c r="BC616" s="69"/>
      <c r="BD616" s="69"/>
      <c r="CC616" s="74">
        <f t="shared" si="61"/>
        <v>1266.3000000000002</v>
      </c>
      <c r="CD616" s="73">
        <f t="shared" si="62"/>
        <v>0</v>
      </c>
      <c r="CE616" s="75">
        <f t="shared" si="63"/>
        <v>8945</v>
      </c>
      <c r="CF616" s="3" t="str">
        <f t="shared" si="63"/>
        <v>ماليزى اسنان</v>
      </c>
    </row>
    <row r="617" spans="3:84" x14ac:dyDescent="0.25">
      <c r="C617" s="82">
        <v>14892</v>
      </c>
      <c r="D617" s="70">
        <v>8946</v>
      </c>
      <c r="E617" s="69" t="s">
        <v>121</v>
      </c>
      <c r="F617" s="69" t="s">
        <v>1437</v>
      </c>
      <c r="H617" s="69">
        <v>7000</v>
      </c>
      <c r="U617" s="69"/>
      <c r="V617" s="69"/>
      <c r="AR617" s="74">
        <f t="shared" si="32"/>
        <v>7000</v>
      </c>
      <c r="AS617" s="69">
        <v>6248.2</v>
      </c>
      <c r="AT617" s="69">
        <v>751.8</v>
      </c>
      <c r="BC617" s="69"/>
      <c r="BD617" s="69"/>
      <c r="CC617" s="74">
        <f t="shared" si="61"/>
        <v>7000</v>
      </c>
      <c r="CD617" s="73">
        <f t="shared" si="62"/>
        <v>0</v>
      </c>
      <c r="CE617" s="75">
        <f t="shared" si="63"/>
        <v>8946</v>
      </c>
      <c r="CF617" s="3" t="str">
        <f t="shared" si="63"/>
        <v>ماليزى اسنان</v>
      </c>
    </row>
    <row r="618" spans="3:84" x14ac:dyDescent="0.25">
      <c r="C618" s="82">
        <v>14893</v>
      </c>
      <c r="D618" s="70">
        <v>8947</v>
      </c>
      <c r="E618" s="69" t="s">
        <v>121</v>
      </c>
      <c r="F618" s="69" t="s">
        <v>1438</v>
      </c>
      <c r="H618" s="69">
        <v>9766.07</v>
      </c>
      <c r="U618" s="69"/>
      <c r="V618" s="69"/>
      <c r="AR618" s="74">
        <f t="shared" si="32"/>
        <v>9766.07</v>
      </c>
      <c r="AS618" s="69">
        <v>6787.04</v>
      </c>
      <c r="AT618" s="69">
        <v>905.6</v>
      </c>
      <c r="AU618" s="69">
        <v>2073.4299999999998</v>
      </c>
      <c r="BC618" s="69"/>
      <c r="BD618" s="69"/>
      <c r="CC618" s="74">
        <f t="shared" si="61"/>
        <v>9766.07</v>
      </c>
      <c r="CD618" s="73">
        <f t="shared" si="62"/>
        <v>0</v>
      </c>
      <c r="CE618" s="75">
        <f t="shared" si="63"/>
        <v>8947</v>
      </c>
      <c r="CF618" s="3" t="str">
        <f t="shared" si="63"/>
        <v>ماليزى اسنان</v>
      </c>
    </row>
    <row r="619" spans="3:84" x14ac:dyDescent="0.25">
      <c r="C619" s="82">
        <v>14891</v>
      </c>
      <c r="D619" s="70">
        <v>8948</v>
      </c>
      <c r="E619" s="69" t="s">
        <v>121</v>
      </c>
      <c r="F619" s="69" t="s">
        <v>1437</v>
      </c>
      <c r="H619" s="69">
        <v>12899.96</v>
      </c>
      <c r="U619" s="69"/>
      <c r="V619" s="69"/>
      <c r="AR619" s="74">
        <f t="shared" si="32"/>
        <v>12899.96</v>
      </c>
      <c r="AS619" s="69">
        <v>9379.07</v>
      </c>
      <c r="AT619" s="69">
        <v>1228.2</v>
      </c>
      <c r="AU619" s="69">
        <v>2292.69</v>
      </c>
      <c r="BC619" s="69"/>
      <c r="BD619" s="69"/>
      <c r="CC619" s="74">
        <f t="shared" si="61"/>
        <v>12899.960000000001</v>
      </c>
      <c r="CD619" s="73">
        <f t="shared" si="62"/>
        <v>0</v>
      </c>
      <c r="CE619" s="75">
        <f t="shared" si="63"/>
        <v>8948</v>
      </c>
      <c r="CF619" s="3" t="str">
        <f t="shared" si="63"/>
        <v>ماليزى اسنان</v>
      </c>
    </row>
    <row r="620" spans="3:84" x14ac:dyDescent="0.25">
      <c r="C620" s="82">
        <v>14883</v>
      </c>
      <c r="D620" s="70">
        <v>8949</v>
      </c>
      <c r="E620" s="69" t="s">
        <v>121</v>
      </c>
      <c r="F620" s="69" t="s">
        <v>1439</v>
      </c>
      <c r="H620" s="69">
        <v>11959.52</v>
      </c>
      <c r="U620" s="69"/>
      <c r="V620" s="69"/>
      <c r="AR620" s="74">
        <f t="shared" si="32"/>
        <v>11959.52</v>
      </c>
      <c r="AS620" s="69">
        <v>7998.4</v>
      </c>
      <c r="AT620" s="69">
        <v>1079.5999999999999</v>
      </c>
      <c r="AU620" s="69">
        <v>2881.52</v>
      </c>
      <c r="BC620" s="69"/>
      <c r="BD620" s="69"/>
      <c r="CC620" s="74">
        <f t="shared" si="61"/>
        <v>11959.52</v>
      </c>
      <c r="CD620" s="73">
        <f t="shared" si="62"/>
        <v>0</v>
      </c>
      <c r="CE620" s="75">
        <f t="shared" si="63"/>
        <v>8949</v>
      </c>
      <c r="CF620" s="3" t="str">
        <f t="shared" si="63"/>
        <v>ماليزى اسنان</v>
      </c>
    </row>
    <row r="621" spans="3:84" x14ac:dyDescent="0.25">
      <c r="C621" s="82">
        <v>14884</v>
      </c>
      <c r="D621" s="70">
        <v>8950</v>
      </c>
      <c r="E621" s="69" t="s">
        <v>121</v>
      </c>
      <c r="F621" s="69" t="s">
        <v>1440</v>
      </c>
      <c r="H621" s="69">
        <v>1172.5</v>
      </c>
      <c r="U621" s="69"/>
      <c r="V621" s="69"/>
      <c r="AR621" s="74">
        <f t="shared" si="32"/>
        <v>1172.5</v>
      </c>
      <c r="AS621" s="69">
        <v>784.1</v>
      </c>
      <c r="AT621" s="69">
        <v>105.9</v>
      </c>
      <c r="AU621" s="69">
        <v>282.5</v>
      </c>
      <c r="BC621" s="69"/>
      <c r="BD621" s="69"/>
      <c r="CC621" s="74">
        <f t="shared" si="61"/>
        <v>1172.5</v>
      </c>
      <c r="CD621" s="73">
        <f t="shared" si="62"/>
        <v>0</v>
      </c>
      <c r="CE621" s="75">
        <f t="shared" si="63"/>
        <v>8950</v>
      </c>
      <c r="CF621" s="3" t="str">
        <f t="shared" si="63"/>
        <v>ماليزى اسنان</v>
      </c>
    </row>
    <row r="622" spans="3:84" x14ac:dyDescent="0.25">
      <c r="C622" s="82">
        <v>12611</v>
      </c>
      <c r="D622" s="70">
        <v>8951</v>
      </c>
      <c r="E622" s="69" t="s">
        <v>121</v>
      </c>
      <c r="F622" s="69" t="s">
        <v>1441</v>
      </c>
      <c r="H622" s="69">
        <v>6758.75</v>
      </c>
      <c r="U622" s="69"/>
      <c r="V622" s="69"/>
      <c r="AR622" s="74">
        <f t="shared" si="32"/>
        <v>6758.75</v>
      </c>
      <c r="AS622" s="69">
        <v>5638.2</v>
      </c>
      <c r="AT622" s="69">
        <v>696.8</v>
      </c>
      <c r="AU622" s="69">
        <v>423.75</v>
      </c>
      <c r="BC622" s="69"/>
      <c r="BD622" s="69"/>
      <c r="CC622" s="74">
        <f t="shared" si="61"/>
        <v>6758.75</v>
      </c>
      <c r="CD622" s="73">
        <f t="shared" si="62"/>
        <v>0</v>
      </c>
      <c r="CE622" s="75">
        <f t="shared" si="63"/>
        <v>8951</v>
      </c>
      <c r="CF622" s="3" t="str">
        <f t="shared" si="63"/>
        <v>ماليزى اسنان</v>
      </c>
    </row>
    <row r="623" spans="3:84" x14ac:dyDescent="0.25">
      <c r="C623" s="82">
        <v>14885</v>
      </c>
      <c r="D623" s="70">
        <v>8952</v>
      </c>
      <c r="E623" s="69" t="s">
        <v>121</v>
      </c>
      <c r="F623" s="69" t="s">
        <v>1442</v>
      </c>
      <c r="H623" s="69">
        <v>1172.5</v>
      </c>
      <c r="U623" s="69"/>
      <c r="V623" s="69"/>
      <c r="AR623" s="74">
        <f t="shared" si="32"/>
        <v>1172.5</v>
      </c>
      <c r="AS623" s="69">
        <v>784.1</v>
      </c>
      <c r="AT623" s="69">
        <v>105.9</v>
      </c>
      <c r="AU623" s="69">
        <v>282.5</v>
      </c>
      <c r="BC623" s="69"/>
      <c r="BD623" s="69"/>
      <c r="CC623" s="74">
        <f t="shared" si="61"/>
        <v>1172.5</v>
      </c>
      <c r="CD623" s="73">
        <f t="shared" si="62"/>
        <v>0</v>
      </c>
      <c r="CE623" s="75">
        <f t="shared" si="63"/>
        <v>8952</v>
      </c>
      <c r="CF623" s="3" t="str">
        <f t="shared" si="63"/>
        <v>ماليزى اسنان</v>
      </c>
    </row>
    <row r="624" spans="3:84" x14ac:dyDescent="0.25">
      <c r="C624" s="82">
        <v>14894</v>
      </c>
      <c r="D624" s="70">
        <v>8953</v>
      </c>
      <c r="E624" s="69" t="s">
        <v>121</v>
      </c>
      <c r="F624" s="69" t="s">
        <v>1443</v>
      </c>
      <c r="H624" s="69">
        <v>5159</v>
      </c>
      <c r="U624" s="69"/>
      <c r="V624" s="69"/>
      <c r="AR624" s="74">
        <f t="shared" si="32"/>
        <v>5159</v>
      </c>
      <c r="AS624" s="69">
        <v>3448</v>
      </c>
      <c r="AT624" s="69">
        <v>468</v>
      </c>
      <c r="AU624" s="69">
        <v>1243</v>
      </c>
      <c r="BC624" s="69"/>
      <c r="BD624" s="69"/>
      <c r="CC624" s="74">
        <f t="shared" si="61"/>
        <v>5159</v>
      </c>
      <c r="CD624" s="73">
        <f t="shared" si="62"/>
        <v>0</v>
      </c>
      <c r="CE624" s="75">
        <f t="shared" si="63"/>
        <v>8953</v>
      </c>
      <c r="CF624" s="3" t="str">
        <f t="shared" si="63"/>
        <v>ماليزى اسنان</v>
      </c>
    </row>
    <row r="625" spans="3:84" x14ac:dyDescent="0.25">
      <c r="C625" s="82">
        <v>12610</v>
      </c>
      <c r="D625" s="70">
        <v>8954</v>
      </c>
      <c r="E625" s="69" t="s">
        <v>121</v>
      </c>
      <c r="F625" s="69" t="s">
        <v>1444</v>
      </c>
      <c r="H625" s="69">
        <v>2000</v>
      </c>
      <c r="U625" s="69"/>
      <c r="V625" s="69"/>
      <c r="AR625" s="74">
        <f t="shared" si="32"/>
        <v>2000</v>
      </c>
      <c r="AS625" s="69">
        <v>1785.35</v>
      </c>
      <c r="AT625" s="69">
        <v>214.65</v>
      </c>
      <c r="BC625" s="69"/>
      <c r="BD625" s="69"/>
      <c r="CC625" s="74">
        <f t="shared" si="61"/>
        <v>2000</v>
      </c>
      <c r="CD625" s="73">
        <f t="shared" si="62"/>
        <v>0</v>
      </c>
      <c r="CE625" s="75">
        <f t="shared" si="63"/>
        <v>8954</v>
      </c>
      <c r="CF625" s="3" t="str">
        <f t="shared" si="63"/>
        <v>ماليزى اسنان</v>
      </c>
    </row>
    <row r="626" spans="3:84" x14ac:dyDescent="0.25">
      <c r="C626" s="82">
        <v>14709</v>
      </c>
      <c r="D626" s="70">
        <v>8955</v>
      </c>
      <c r="E626" s="69" t="s">
        <v>123</v>
      </c>
      <c r="F626" s="69" t="s">
        <v>1445</v>
      </c>
      <c r="H626" s="69">
        <v>3616.39</v>
      </c>
      <c r="U626" s="69"/>
      <c r="V626" s="69"/>
      <c r="AR626" s="74">
        <f t="shared" si="32"/>
        <v>3616.39</v>
      </c>
      <c r="AS626" s="69">
        <v>2881.78</v>
      </c>
      <c r="AT626" s="69">
        <v>369</v>
      </c>
      <c r="AU626" s="69">
        <v>190.61</v>
      </c>
      <c r="AV626" s="69">
        <v>175</v>
      </c>
      <c r="BC626" s="69"/>
      <c r="BD626" s="69"/>
      <c r="CC626" s="74">
        <f t="shared" si="61"/>
        <v>3616.3900000000003</v>
      </c>
      <c r="CD626" s="73">
        <f t="shared" si="62"/>
        <v>0</v>
      </c>
      <c r="CE626" s="75">
        <f t="shared" si="63"/>
        <v>8955</v>
      </c>
      <c r="CF626" s="3" t="str">
        <f t="shared" si="63"/>
        <v>خ ت اسنان</v>
      </c>
    </row>
    <row r="627" spans="3:84" x14ac:dyDescent="0.25">
      <c r="C627" s="82">
        <v>14710</v>
      </c>
      <c r="D627" s="70">
        <v>8956</v>
      </c>
      <c r="E627" s="69" t="s">
        <v>123</v>
      </c>
      <c r="F627" s="69" t="s">
        <v>1445</v>
      </c>
      <c r="H627" s="69">
        <v>703.5</v>
      </c>
      <c r="U627" s="69"/>
      <c r="V627" s="69"/>
      <c r="AR627" s="74">
        <f t="shared" si="32"/>
        <v>703.5</v>
      </c>
      <c r="AS627" s="69">
        <v>441.1</v>
      </c>
      <c r="AT627" s="69">
        <v>62.9</v>
      </c>
      <c r="AU627" s="69">
        <v>169.5</v>
      </c>
      <c r="AV627" s="69">
        <v>30</v>
      </c>
      <c r="BC627" s="69"/>
      <c r="BD627" s="69"/>
      <c r="CC627" s="74">
        <f t="shared" si="61"/>
        <v>703.5</v>
      </c>
      <c r="CD627" s="73">
        <f t="shared" si="62"/>
        <v>0</v>
      </c>
      <c r="CE627" s="75">
        <f t="shared" si="63"/>
        <v>8956</v>
      </c>
      <c r="CF627" s="3" t="str">
        <f t="shared" si="63"/>
        <v>خ ت اسنان</v>
      </c>
    </row>
    <row r="628" spans="3:84" x14ac:dyDescent="0.25">
      <c r="C628" s="82">
        <v>14597</v>
      </c>
      <c r="D628" s="70">
        <v>8957</v>
      </c>
      <c r="E628" s="69" t="s">
        <v>78</v>
      </c>
      <c r="F628" s="69" t="s">
        <v>1446</v>
      </c>
      <c r="H628" s="69">
        <v>351.76</v>
      </c>
      <c r="U628" s="69"/>
      <c r="V628" s="69"/>
      <c r="AR628" s="74">
        <f t="shared" si="32"/>
        <v>351.76</v>
      </c>
      <c r="AS628" s="69">
        <v>235.8</v>
      </c>
      <c r="AT628" s="69">
        <f>1.2+30</f>
        <v>31.2</v>
      </c>
      <c r="AU628" s="69">
        <f>115.96-31.2</f>
        <v>84.759999999999991</v>
      </c>
      <c r="BC628" s="69"/>
      <c r="BD628" s="69"/>
      <c r="CC628" s="74">
        <f t="shared" si="61"/>
        <v>351.76</v>
      </c>
      <c r="CD628" s="73">
        <f t="shared" si="62"/>
        <v>0</v>
      </c>
      <c r="CE628" s="75">
        <f t="shared" si="63"/>
        <v>8957</v>
      </c>
      <c r="CF628" s="3" t="str">
        <f t="shared" si="63"/>
        <v>برنامج دولى</v>
      </c>
    </row>
    <row r="629" spans="3:84" x14ac:dyDescent="0.25">
      <c r="C629" s="82">
        <v>14598</v>
      </c>
      <c r="D629" s="70">
        <v>8958</v>
      </c>
      <c r="E629" s="69" t="s">
        <v>78</v>
      </c>
      <c r="F629" s="69" t="s">
        <v>1447</v>
      </c>
      <c r="H629" s="69">
        <v>1231.1300000000001</v>
      </c>
      <c r="U629" s="69"/>
      <c r="V629" s="69"/>
      <c r="AR629" s="74">
        <f t="shared" si="32"/>
        <v>1231.1300000000001</v>
      </c>
      <c r="AS629" s="69">
        <v>824.65</v>
      </c>
      <c r="AT629" s="69">
        <v>109.85</v>
      </c>
      <c r="AU629" s="69">
        <v>296.63</v>
      </c>
      <c r="BC629" s="69"/>
      <c r="BD629" s="69"/>
      <c r="CC629" s="74">
        <f t="shared" si="61"/>
        <v>1231.1300000000001</v>
      </c>
      <c r="CD629" s="73">
        <f t="shared" si="62"/>
        <v>0</v>
      </c>
      <c r="CE629" s="75">
        <f t="shared" si="63"/>
        <v>8958</v>
      </c>
      <c r="CF629" s="3" t="str">
        <f t="shared" si="63"/>
        <v>برنامج دولى</v>
      </c>
    </row>
    <row r="630" spans="3:84" x14ac:dyDescent="0.25">
      <c r="C630" s="82">
        <v>14453</v>
      </c>
      <c r="D630" s="70">
        <v>8959</v>
      </c>
      <c r="E630" s="69" t="s">
        <v>78</v>
      </c>
      <c r="F630" s="69" t="s">
        <v>1005</v>
      </c>
      <c r="H630" s="69">
        <v>2760</v>
      </c>
      <c r="U630" s="69"/>
      <c r="V630" s="69"/>
      <c r="AR630" s="74">
        <f t="shared" si="32"/>
        <v>2760</v>
      </c>
      <c r="AS630" s="69">
        <v>2464.4499999999998</v>
      </c>
      <c r="AT630" s="69">
        <v>295.55</v>
      </c>
      <c r="BC630" s="69"/>
      <c r="BD630" s="69"/>
      <c r="CC630" s="74">
        <f t="shared" si="61"/>
        <v>2760</v>
      </c>
      <c r="CD630" s="73">
        <f t="shared" si="62"/>
        <v>0</v>
      </c>
      <c r="CE630" s="75">
        <f t="shared" si="63"/>
        <v>8959</v>
      </c>
      <c r="CF630" s="3" t="str">
        <f t="shared" si="63"/>
        <v>برنامج دولى</v>
      </c>
    </row>
    <row r="631" spans="3:84" x14ac:dyDescent="0.25">
      <c r="C631" s="82">
        <v>14452</v>
      </c>
      <c r="D631" s="70">
        <v>8960</v>
      </c>
      <c r="E631" s="69" t="s">
        <v>78</v>
      </c>
      <c r="F631" s="69" t="s">
        <v>1005</v>
      </c>
      <c r="H631" s="69">
        <v>960</v>
      </c>
      <c r="U631" s="69"/>
      <c r="V631" s="69"/>
      <c r="AR631" s="74">
        <f t="shared" si="32"/>
        <v>960</v>
      </c>
      <c r="AS631" s="69">
        <v>857.6</v>
      </c>
      <c r="AT631" s="69">
        <v>102.4</v>
      </c>
      <c r="BC631" s="69"/>
      <c r="BD631" s="69"/>
      <c r="CC631" s="74">
        <f t="shared" si="61"/>
        <v>960</v>
      </c>
      <c r="CD631" s="73">
        <f t="shared" si="62"/>
        <v>0</v>
      </c>
      <c r="CE631" s="75">
        <f t="shared" si="63"/>
        <v>8960</v>
      </c>
      <c r="CF631" s="3" t="str">
        <f t="shared" si="63"/>
        <v>برنامج دولى</v>
      </c>
    </row>
    <row r="632" spans="3:84" x14ac:dyDescent="0.25">
      <c r="C632" s="82">
        <v>14874</v>
      </c>
      <c r="D632" s="70">
        <v>8961</v>
      </c>
      <c r="E632" s="69" t="s">
        <v>78</v>
      </c>
      <c r="F632" s="69" t="s">
        <v>1448</v>
      </c>
      <c r="H632" s="69">
        <v>5159.0200000000004</v>
      </c>
      <c r="U632" s="69"/>
      <c r="V632" s="69"/>
      <c r="AR632" s="74">
        <f t="shared" si="32"/>
        <v>5159.0200000000004</v>
      </c>
      <c r="AS632" s="69">
        <v>3449.3</v>
      </c>
      <c r="AT632" s="69">
        <f>26.7+440</f>
        <v>466.7</v>
      </c>
      <c r="AU632" s="69">
        <f>1709.72-26.7-440</f>
        <v>1243.02</v>
      </c>
      <c r="BC632" s="69"/>
      <c r="BD632" s="69"/>
      <c r="CC632" s="74">
        <f t="shared" si="61"/>
        <v>5159.0200000000004</v>
      </c>
      <c r="CD632" s="73">
        <f t="shared" si="62"/>
        <v>0</v>
      </c>
      <c r="CE632" s="75">
        <f t="shared" si="63"/>
        <v>8961</v>
      </c>
      <c r="CF632" s="3" t="str">
        <f t="shared" si="63"/>
        <v>برنامج دولى</v>
      </c>
    </row>
    <row r="633" spans="3:84" x14ac:dyDescent="0.25">
      <c r="C633" s="82">
        <v>14879</v>
      </c>
      <c r="D633" s="70">
        <v>8962</v>
      </c>
      <c r="E633" s="69" t="s">
        <v>78</v>
      </c>
      <c r="F633" s="69" t="s">
        <v>885</v>
      </c>
      <c r="H633" s="69">
        <v>1200</v>
      </c>
      <c r="U633" s="69"/>
      <c r="V633" s="69"/>
      <c r="AR633" s="74">
        <f t="shared" si="32"/>
        <v>1200</v>
      </c>
      <c r="AS633" s="69">
        <v>1071.3499999999999</v>
      </c>
      <c r="AT633" s="69">
        <v>128.65</v>
      </c>
      <c r="BC633" s="69"/>
      <c r="BD633" s="69"/>
      <c r="CC633" s="74">
        <f t="shared" si="61"/>
        <v>1200</v>
      </c>
      <c r="CD633" s="73">
        <f t="shared" si="62"/>
        <v>0</v>
      </c>
      <c r="CE633" s="75">
        <f t="shared" si="63"/>
        <v>8962</v>
      </c>
      <c r="CF633" s="3" t="str">
        <f t="shared" si="63"/>
        <v>برنامج دولى</v>
      </c>
    </row>
    <row r="634" spans="3:84" x14ac:dyDescent="0.25">
      <c r="C634" s="82">
        <v>14880</v>
      </c>
      <c r="D634" s="70">
        <v>8963</v>
      </c>
      <c r="E634" s="69" t="s">
        <v>78</v>
      </c>
      <c r="F634" s="69" t="s">
        <v>885</v>
      </c>
      <c r="H634" s="69">
        <v>1641.5</v>
      </c>
      <c r="U634" s="69"/>
      <c r="V634" s="69"/>
      <c r="AR634" s="74">
        <f t="shared" si="32"/>
        <v>1641.5</v>
      </c>
      <c r="AS634" s="69">
        <v>1097.9000000000001</v>
      </c>
      <c r="AT634" s="69">
        <v>148.1</v>
      </c>
      <c r="AU634" s="69">
        <v>395.5</v>
      </c>
      <c r="BC634" s="69"/>
      <c r="BD634" s="69"/>
      <c r="CC634" s="74">
        <f t="shared" si="61"/>
        <v>1641.5</v>
      </c>
      <c r="CD634" s="73">
        <f t="shared" si="62"/>
        <v>0</v>
      </c>
      <c r="CE634" s="75">
        <f t="shared" si="63"/>
        <v>8963</v>
      </c>
      <c r="CF634" s="3" t="str">
        <f t="shared" si="63"/>
        <v>برنامج دولى</v>
      </c>
    </row>
    <row r="635" spans="3:84" x14ac:dyDescent="0.25">
      <c r="C635" s="82">
        <v>14878</v>
      </c>
      <c r="D635" s="70">
        <v>8964</v>
      </c>
      <c r="E635" s="69" t="s">
        <v>78</v>
      </c>
      <c r="F635" s="69" t="s">
        <v>885</v>
      </c>
      <c r="H635" s="69">
        <v>2462.25</v>
      </c>
      <c r="U635" s="69"/>
      <c r="V635" s="69"/>
      <c r="AR635" s="74">
        <f t="shared" si="32"/>
        <v>2462.25</v>
      </c>
      <c r="AS635" s="69">
        <v>1646.85</v>
      </c>
      <c r="AT635" s="69">
        <v>222.15</v>
      </c>
      <c r="AU635" s="69">
        <v>593.25</v>
      </c>
      <c r="BC635" s="69"/>
      <c r="BD635" s="69"/>
      <c r="CC635" s="74">
        <f t="shared" si="61"/>
        <v>2462.25</v>
      </c>
      <c r="CD635" s="73">
        <f t="shared" si="62"/>
        <v>0</v>
      </c>
      <c r="CE635" s="75">
        <f t="shared" si="63"/>
        <v>8964</v>
      </c>
      <c r="CF635" s="3" t="str">
        <f t="shared" si="63"/>
        <v>برنامج دولى</v>
      </c>
    </row>
    <row r="636" spans="3:84" x14ac:dyDescent="0.25">
      <c r="C636" s="82">
        <v>14877</v>
      </c>
      <c r="D636" s="70">
        <v>8965</v>
      </c>
      <c r="E636" s="69" t="s">
        <v>78</v>
      </c>
      <c r="F636" s="69" t="s">
        <v>885</v>
      </c>
      <c r="H636" s="69">
        <v>4103.75</v>
      </c>
      <c r="U636" s="69"/>
      <c r="V636" s="69"/>
      <c r="AR636" s="74">
        <f t="shared" si="32"/>
        <v>4103.75</v>
      </c>
      <c r="AS636" s="69">
        <v>2818.8</v>
      </c>
      <c r="AT636" s="69">
        <v>296.2</v>
      </c>
      <c r="AU636" s="69">
        <v>988.75</v>
      </c>
      <c r="BC636" s="69"/>
      <c r="BD636" s="69"/>
      <c r="CC636" s="74">
        <f t="shared" si="61"/>
        <v>4103.75</v>
      </c>
      <c r="CD636" s="73">
        <f t="shared" si="62"/>
        <v>0</v>
      </c>
      <c r="CE636" s="75">
        <f t="shared" si="63"/>
        <v>8965</v>
      </c>
      <c r="CF636" s="3" t="str">
        <f t="shared" si="63"/>
        <v>برنامج دولى</v>
      </c>
    </row>
    <row r="637" spans="3:84" x14ac:dyDescent="0.25">
      <c r="C637" s="82">
        <v>14876</v>
      </c>
      <c r="D637" s="70">
        <v>8966</v>
      </c>
      <c r="E637" s="69" t="s">
        <v>78</v>
      </c>
      <c r="F637" s="69" t="s">
        <v>1449</v>
      </c>
      <c r="H637" s="69">
        <v>1993.25</v>
      </c>
      <c r="U637" s="69"/>
      <c r="V637" s="69"/>
      <c r="AR637" s="74">
        <f t="shared" si="32"/>
        <v>1993.25</v>
      </c>
      <c r="AS637" s="69">
        <v>1332</v>
      </c>
      <c r="AT637" s="69">
        <v>181</v>
      </c>
      <c r="AU637" s="69">
        <v>480.25</v>
      </c>
      <c r="BC637" s="69"/>
      <c r="BD637" s="69"/>
      <c r="CC637" s="74">
        <f t="shared" si="61"/>
        <v>1993.25</v>
      </c>
      <c r="CD637" s="73">
        <f t="shared" si="62"/>
        <v>0</v>
      </c>
      <c r="CE637" s="75">
        <f t="shared" si="63"/>
        <v>8966</v>
      </c>
      <c r="CF637" s="3" t="str">
        <f t="shared" si="63"/>
        <v>برنامج دولى</v>
      </c>
    </row>
    <row r="638" spans="3:84" x14ac:dyDescent="0.25">
      <c r="C638" s="82">
        <v>14875</v>
      </c>
      <c r="D638" s="70">
        <v>8967</v>
      </c>
      <c r="E638" s="69" t="s">
        <v>78</v>
      </c>
      <c r="F638" s="69" t="s">
        <v>1449</v>
      </c>
      <c r="H638" s="69">
        <v>7797.13</v>
      </c>
      <c r="U638" s="69"/>
      <c r="V638" s="69"/>
      <c r="AR638" s="74">
        <f t="shared" si="32"/>
        <v>7797.13</v>
      </c>
      <c r="AS638" s="69">
        <v>5210.5</v>
      </c>
      <c r="AT638" s="69">
        <v>708</v>
      </c>
      <c r="AU638" s="69">
        <v>1878.63</v>
      </c>
      <c r="BC638" s="69"/>
      <c r="BD638" s="69"/>
      <c r="CC638" s="74">
        <f t="shared" si="61"/>
        <v>7797.13</v>
      </c>
      <c r="CD638" s="73">
        <f t="shared" si="62"/>
        <v>0</v>
      </c>
      <c r="CE638" s="75">
        <f t="shared" si="63"/>
        <v>8967</v>
      </c>
      <c r="CF638" s="3" t="str">
        <f t="shared" si="63"/>
        <v>برنامج دولى</v>
      </c>
    </row>
    <row r="639" spans="3:84" x14ac:dyDescent="0.25">
      <c r="C639" s="82">
        <v>14873</v>
      </c>
      <c r="D639" s="70">
        <v>8968</v>
      </c>
      <c r="E639" s="69" t="s">
        <v>78</v>
      </c>
      <c r="F639" s="69" t="s">
        <v>1450</v>
      </c>
      <c r="H639" s="69">
        <v>17587.5</v>
      </c>
      <c r="U639" s="69"/>
      <c r="V639" s="69"/>
      <c r="AR639" s="74">
        <f t="shared" si="32"/>
        <v>17587.5</v>
      </c>
      <c r="AS639" s="69">
        <v>11753.5</v>
      </c>
      <c r="AT639" s="69">
        <v>1596.5</v>
      </c>
      <c r="AU639" s="69">
        <v>4237.5</v>
      </c>
      <c r="BC639" s="69"/>
      <c r="BD639" s="69"/>
      <c r="CC639" s="74">
        <f t="shared" ref="CC639:CC656" si="64">SUM(AS639:CB639)</f>
        <v>17587.5</v>
      </c>
      <c r="CD639" s="73">
        <f t="shared" si="62"/>
        <v>0</v>
      </c>
      <c r="CE639" s="75">
        <f t="shared" ref="CE639:CF656" si="65">+D639</f>
        <v>8968</v>
      </c>
      <c r="CF639" s="3" t="str">
        <f t="shared" si="65"/>
        <v>برنامج دولى</v>
      </c>
    </row>
    <row r="640" spans="3:84" x14ac:dyDescent="0.25">
      <c r="C640" s="82">
        <v>14872</v>
      </c>
      <c r="D640" s="70">
        <v>8969</v>
      </c>
      <c r="E640" s="69" t="s">
        <v>78</v>
      </c>
      <c r="F640" s="69" t="s">
        <v>1450</v>
      </c>
      <c r="H640" s="69">
        <v>1758.75</v>
      </c>
      <c r="U640" s="69"/>
      <c r="V640" s="69"/>
      <c r="AR640" s="74">
        <f t="shared" si="32"/>
        <v>1758.75</v>
      </c>
      <c r="AS640" s="69">
        <v>1175.3499999999999</v>
      </c>
      <c r="AT640" s="69">
        <v>159.65</v>
      </c>
      <c r="AU640" s="69">
        <v>423.75</v>
      </c>
      <c r="BC640" s="69"/>
      <c r="BD640" s="69"/>
      <c r="CC640" s="74">
        <f t="shared" si="64"/>
        <v>1758.75</v>
      </c>
      <c r="CD640" s="73">
        <f t="shared" si="62"/>
        <v>0</v>
      </c>
      <c r="CE640" s="75">
        <f t="shared" si="65"/>
        <v>8969</v>
      </c>
      <c r="CF640" s="3" t="str">
        <f t="shared" si="65"/>
        <v>برنامج دولى</v>
      </c>
    </row>
    <row r="641" spans="3:84" x14ac:dyDescent="0.25">
      <c r="C641" s="82">
        <v>14871</v>
      </c>
      <c r="D641" s="70">
        <v>8970</v>
      </c>
      <c r="E641" s="69" t="s">
        <v>78</v>
      </c>
      <c r="F641" s="69" t="s">
        <v>1450</v>
      </c>
      <c r="H641" s="69">
        <v>2345</v>
      </c>
      <c r="U641" s="69"/>
      <c r="V641" s="69"/>
      <c r="AR641" s="74">
        <f t="shared" si="32"/>
        <v>2345</v>
      </c>
      <c r="AS641" s="69">
        <v>1567</v>
      </c>
      <c r="AT641" s="69">
        <v>213</v>
      </c>
      <c r="AU641" s="69">
        <v>565</v>
      </c>
      <c r="BC641" s="69"/>
      <c r="BD641" s="69"/>
      <c r="CC641" s="74">
        <f t="shared" si="64"/>
        <v>2345</v>
      </c>
      <c r="CD641" s="73">
        <f t="shared" si="62"/>
        <v>0</v>
      </c>
      <c r="CE641" s="75">
        <f t="shared" si="65"/>
        <v>8970</v>
      </c>
      <c r="CF641" s="3" t="str">
        <f t="shared" si="65"/>
        <v>برنامج دولى</v>
      </c>
    </row>
    <row r="642" spans="3:84" x14ac:dyDescent="0.25">
      <c r="C642" s="82">
        <v>14870</v>
      </c>
      <c r="D642" s="70">
        <v>8971</v>
      </c>
      <c r="E642" s="69" t="s">
        <v>78</v>
      </c>
      <c r="F642" s="69" t="s">
        <v>1451</v>
      </c>
      <c r="H642" s="69">
        <v>351.75</v>
      </c>
      <c r="U642" s="69"/>
      <c r="V642" s="69"/>
      <c r="AR642" s="74">
        <f t="shared" si="32"/>
        <v>351.75</v>
      </c>
      <c r="AS642" s="69">
        <v>235.55</v>
      </c>
      <c r="AT642" s="69">
        <v>31.45</v>
      </c>
      <c r="AU642" s="69">
        <v>84.75</v>
      </c>
      <c r="BC642" s="69"/>
      <c r="BD642" s="69"/>
      <c r="CC642" s="74">
        <f t="shared" si="64"/>
        <v>351.75</v>
      </c>
      <c r="CD642" s="73">
        <f t="shared" si="62"/>
        <v>0</v>
      </c>
      <c r="CE642" s="75">
        <f t="shared" si="65"/>
        <v>8971</v>
      </c>
      <c r="CF642" s="3" t="str">
        <f t="shared" si="65"/>
        <v>برنامج دولى</v>
      </c>
    </row>
    <row r="643" spans="3:84" x14ac:dyDescent="0.25">
      <c r="C643" s="82">
        <v>14869</v>
      </c>
      <c r="D643" s="70">
        <v>8972</v>
      </c>
      <c r="E643" s="69" t="s">
        <v>78</v>
      </c>
      <c r="F643" s="69" t="s">
        <v>1452</v>
      </c>
      <c r="H643" s="69">
        <v>1758.75</v>
      </c>
      <c r="U643" s="69"/>
      <c r="V643" s="69"/>
      <c r="AR643" s="74">
        <f t="shared" si="32"/>
        <v>1758.75</v>
      </c>
      <c r="AS643" s="69">
        <v>1175.3499999999999</v>
      </c>
      <c r="AT643" s="69">
        <v>159.65</v>
      </c>
      <c r="AU643" s="69">
        <v>423.75</v>
      </c>
      <c r="BC643" s="69"/>
      <c r="BD643" s="69"/>
      <c r="CC643" s="74">
        <f t="shared" si="64"/>
        <v>1758.75</v>
      </c>
      <c r="CD643" s="73">
        <f t="shared" ref="CD643:CD706" si="66">+CC643-AR643</f>
        <v>0</v>
      </c>
      <c r="CE643" s="75">
        <f t="shared" si="65"/>
        <v>8972</v>
      </c>
      <c r="CF643" s="3" t="str">
        <f t="shared" si="65"/>
        <v>برنامج دولى</v>
      </c>
    </row>
    <row r="644" spans="3:84" x14ac:dyDescent="0.25">
      <c r="C644" s="82">
        <v>14868</v>
      </c>
      <c r="D644" s="70">
        <v>8973</v>
      </c>
      <c r="E644" s="69" t="s">
        <v>78</v>
      </c>
      <c r="F644" s="69" t="s">
        <v>1453</v>
      </c>
      <c r="H644" s="69">
        <v>1172.5</v>
      </c>
      <c r="U644" s="69"/>
      <c r="V644" s="69"/>
      <c r="AR644" s="74">
        <f t="shared" si="32"/>
        <v>1172.5</v>
      </c>
      <c r="AS644" s="69">
        <v>784.1</v>
      </c>
      <c r="AT644" s="69">
        <v>105.9</v>
      </c>
      <c r="AU644" s="69">
        <v>282.5</v>
      </c>
      <c r="BC644" s="69"/>
      <c r="BD644" s="69"/>
      <c r="CC644" s="74">
        <f t="shared" si="64"/>
        <v>1172.5</v>
      </c>
      <c r="CD644" s="73">
        <f t="shared" si="66"/>
        <v>0</v>
      </c>
      <c r="CE644" s="75">
        <f t="shared" si="65"/>
        <v>8973</v>
      </c>
      <c r="CF644" s="3" t="str">
        <f t="shared" si="65"/>
        <v>برنامج دولى</v>
      </c>
    </row>
    <row r="645" spans="3:84" x14ac:dyDescent="0.25">
      <c r="C645" s="82">
        <v>14867</v>
      </c>
      <c r="D645" s="70">
        <v>8974</v>
      </c>
      <c r="E645" s="69" t="s">
        <v>78</v>
      </c>
      <c r="F645" s="69" t="s">
        <v>1453</v>
      </c>
      <c r="H645" s="69">
        <v>6097</v>
      </c>
      <c r="U645" s="69"/>
      <c r="V645" s="69"/>
      <c r="AR645" s="74">
        <f t="shared" si="32"/>
        <v>6097</v>
      </c>
      <c r="AS645" s="69">
        <v>4076.15</v>
      </c>
      <c r="AT645" s="69">
        <v>551.85</v>
      </c>
      <c r="AU645" s="69">
        <v>1469</v>
      </c>
      <c r="BC645" s="69"/>
      <c r="BD645" s="69"/>
      <c r="CC645" s="74">
        <f t="shared" si="64"/>
        <v>6097</v>
      </c>
      <c r="CD645" s="73">
        <f t="shared" si="66"/>
        <v>0</v>
      </c>
      <c r="CE645" s="75">
        <f t="shared" si="65"/>
        <v>8974</v>
      </c>
      <c r="CF645" s="3" t="str">
        <f t="shared" si="65"/>
        <v>برنامج دولى</v>
      </c>
    </row>
    <row r="646" spans="3:84" x14ac:dyDescent="0.25">
      <c r="C646" s="82">
        <v>14866</v>
      </c>
      <c r="D646" s="70">
        <v>8975</v>
      </c>
      <c r="E646" s="69" t="s">
        <v>78</v>
      </c>
      <c r="F646" s="69" t="s">
        <v>1454</v>
      </c>
      <c r="H646" s="69">
        <v>1172.5</v>
      </c>
      <c r="U646" s="69"/>
      <c r="V646" s="69"/>
      <c r="AR646" s="74">
        <f t="shared" si="32"/>
        <v>1172.5</v>
      </c>
      <c r="AS646" s="69">
        <v>784.1</v>
      </c>
      <c r="AT646" s="69">
        <v>105.9</v>
      </c>
      <c r="AU646" s="69">
        <v>282.5</v>
      </c>
      <c r="BC646" s="69"/>
      <c r="BD646" s="69"/>
      <c r="CC646" s="74">
        <f t="shared" si="64"/>
        <v>1172.5</v>
      </c>
      <c r="CD646" s="73">
        <f t="shared" si="66"/>
        <v>0</v>
      </c>
      <c r="CE646" s="75">
        <f t="shared" si="65"/>
        <v>8975</v>
      </c>
      <c r="CF646" s="3" t="str">
        <f t="shared" si="65"/>
        <v>برنامج دولى</v>
      </c>
    </row>
    <row r="647" spans="3:84" x14ac:dyDescent="0.25">
      <c r="C647" s="82">
        <v>14865</v>
      </c>
      <c r="D647" s="70">
        <v>8976</v>
      </c>
      <c r="E647" s="69" t="s">
        <v>78</v>
      </c>
      <c r="F647" s="69" t="s">
        <v>1455</v>
      </c>
      <c r="H647" s="69">
        <v>1407</v>
      </c>
      <c r="U647" s="69"/>
      <c r="V647" s="69"/>
      <c r="AR647" s="74">
        <f t="shared" ref="AR647:AR710" si="67">SUM(H647:AQ647)</f>
        <v>1407</v>
      </c>
      <c r="AS647" s="69">
        <v>940.35</v>
      </c>
      <c r="AT647" s="69">
        <v>127.65</v>
      </c>
      <c r="AU647" s="69">
        <v>339</v>
      </c>
      <c r="BC647" s="69"/>
      <c r="BD647" s="69"/>
      <c r="CC647" s="74">
        <f t="shared" si="64"/>
        <v>1407</v>
      </c>
      <c r="CD647" s="73">
        <f t="shared" si="66"/>
        <v>0</v>
      </c>
      <c r="CE647" s="75">
        <f t="shared" si="65"/>
        <v>8976</v>
      </c>
      <c r="CF647" s="3" t="str">
        <f t="shared" si="65"/>
        <v>برنامج دولى</v>
      </c>
    </row>
    <row r="648" spans="3:84" x14ac:dyDescent="0.25">
      <c r="C648" s="82">
        <v>14864</v>
      </c>
      <c r="D648" s="70">
        <v>8977</v>
      </c>
      <c r="E648" s="69" t="s">
        <v>78</v>
      </c>
      <c r="F648" s="69" t="s">
        <v>1455</v>
      </c>
      <c r="H648" s="69">
        <v>1758.75</v>
      </c>
      <c r="U648" s="69"/>
      <c r="V648" s="69"/>
      <c r="AR648" s="74">
        <f t="shared" si="67"/>
        <v>1758.75</v>
      </c>
      <c r="AS648" s="69">
        <v>1175.3499999999999</v>
      </c>
      <c r="AT648" s="69">
        <v>159.65</v>
      </c>
      <c r="AU648" s="69">
        <v>423.75</v>
      </c>
      <c r="BC648" s="69"/>
      <c r="BD648" s="69"/>
      <c r="CC648" s="74">
        <f t="shared" si="64"/>
        <v>1758.75</v>
      </c>
      <c r="CD648" s="73">
        <f t="shared" si="66"/>
        <v>0</v>
      </c>
      <c r="CE648" s="75">
        <f t="shared" si="65"/>
        <v>8977</v>
      </c>
      <c r="CF648" s="3" t="str">
        <f t="shared" si="65"/>
        <v>برنامج دولى</v>
      </c>
    </row>
    <row r="649" spans="3:84" x14ac:dyDescent="0.25">
      <c r="C649" s="82">
        <v>14863</v>
      </c>
      <c r="D649" s="70">
        <v>8978</v>
      </c>
      <c r="E649" s="69" t="s">
        <v>78</v>
      </c>
      <c r="F649" s="69" t="s">
        <v>1455</v>
      </c>
      <c r="H649" s="69">
        <v>2403.62</v>
      </c>
      <c r="U649" s="69"/>
      <c r="V649" s="69"/>
      <c r="AR649" s="74">
        <f t="shared" si="67"/>
        <v>2403.62</v>
      </c>
      <c r="AS649" s="69">
        <v>1606.9</v>
      </c>
      <c r="AT649" s="69">
        <v>217.6</v>
      </c>
      <c r="AU649" s="69">
        <v>579.12</v>
      </c>
      <c r="BC649" s="69"/>
      <c r="BD649" s="69"/>
      <c r="CC649" s="74">
        <f t="shared" si="64"/>
        <v>2403.62</v>
      </c>
      <c r="CD649" s="73">
        <f t="shared" si="66"/>
        <v>0</v>
      </c>
      <c r="CE649" s="75">
        <f t="shared" si="65"/>
        <v>8978</v>
      </c>
      <c r="CF649" s="3" t="str">
        <f t="shared" si="65"/>
        <v>برنامج دولى</v>
      </c>
    </row>
    <row r="650" spans="3:84" x14ac:dyDescent="0.25">
      <c r="C650" s="82">
        <v>14862</v>
      </c>
      <c r="D650" s="70">
        <v>8979</v>
      </c>
      <c r="E650" s="69" t="s">
        <v>78</v>
      </c>
      <c r="F650" s="69" t="s">
        <v>1455</v>
      </c>
      <c r="H650" s="69">
        <v>996.62</v>
      </c>
      <c r="U650" s="69"/>
      <c r="V650" s="69"/>
      <c r="AR650" s="74">
        <f t="shared" si="67"/>
        <v>996.62</v>
      </c>
      <c r="AS650" s="69">
        <v>666.55</v>
      </c>
      <c r="AT650" s="69">
        <v>89.95</v>
      </c>
      <c r="AU650" s="69">
        <v>240.12</v>
      </c>
      <c r="BC650" s="69"/>
      <c r="BD650" s="69"/>
      <c r="CC650" s="74">
        <f t="shared" si="64"/>
        <v>996.62</v>
      </c>
      <c r="CD650" s="73">
        <f t="shared" si="66"/>
        <v>0</v>
      </c>
      <c r="CE650" s="75">
        <f t="shared" si="65"/>
        <v>8979</v>
      </c>
      <c r="CF650" s="3" t="str">
        <f t="shared" si="65"/>
        <v>برنامج دولى</v>
      </c>
    </row>
    <row r="651" spans="3:84" x14ac:dyDescent="0.25">
      <c r="C651" s="82">
        <v>14861</v>
      </c>
      <c r="D651" s="70">
        <v>8980</v>
      </c>
      <c r="E651" s="69" t="s">
        <v>78</v>
      </c>
      <c r="F651" s="69" t="s">
        <v>1455</v>
      </c>
      <c r="H651" s="69">
        <v>50200.54</v>
      </c>
      <c r="U651" s="69"/>
      <c r="V651" s="69"/>
      <c r="AR651" s="74">
        <f t="shared" si="67"/>
        <v>50200.54</v>
      </c>
      <c r="AS651" s="69">
        <v>33553.15</v>
      </c>
      <c r="AT651" s="69">
        <v>4552.2</v>
      </c>
      <c r="AU651" s="69">
        <v>12095.19</v>
      </c>
      <c r="BC651" s="69"/>
      <c r="BD651" s="69"/>
      <c r="CC651" s="74">
        <f t="shared" si="64"/>
        <v>50200.54</v>
      </c>
      <c r="CD651" s="73">
        <f t="shared" si="66"/>
        <v>0</v>
      </c>
      <c r="CE651" s="75">
        <f t="shared" si="65"/>
        <v>8980</v>
      </c>
      <c r="CF651" s="3" t="str">
        <f t="shared" si="65"/>
        <v>برنامج دولى</v>
      </c>
    </row>
    <row r="652" spans="3:84" x14ac:dyDescent="0.25">
      <c r="C652" s="82">
        <v>14860</v>
      </c>
      <c r="D652" s="70">
        <v>8981</v>
      </c>
      <c r="E652" s="69" t="s">
        <v>78</v>
      </c>
      <c r="F652" s="69" t="str">
        <f>+F645</f>
        <v>م حفل تخرج</v>
      </c>
      <c r="H652" s="69">
        <v>1876</v>
      </c>
      <c r="U652" s="69"/>
      <c r="V652" s="69"/>
      <c r="AR652" s="74">
        <f t="shared" si="67"/>
        <v>1876</v>
      </c>
      <c r="AS652" s="69">
        <v>1253.5</v>
      </c>
      <c r="AT652" s="69">
        <f>10.5+160</f>
        <v>170.5</v>
      </c>
      <c r="AU652" s="69">
        <v>452</v>
      </c>
      <c r="BC652" s="69"/>
      <c r="BD652" s="69"/>
      <c r="CC652" s="74">
        <f t="shared" si="64"/>
        <v>1876</v>
      </c>
      <c r="CD652" s="73">
        <f t="shared" si="66"/>
        <v>0</v>
      </c>
      <c r="CE652" s="75">
        <f t="shared" si="65"/>
        <v>8981</v>
      </c>
      <c r="CF652" s="3" t="str">
        <f t="shared" si="65"/>
        <v>برنامج دولى</v>
      </c>
    </row>
    <row r="653" spans="3:84" x14ac:dyDescent="0.25">
      <c r="C653" s="82">
        <v>14859</v>
      </c>
      <c r="D653" s="70">
        <v>8982</v>
      </c>
      <c r="E653" s="69" t="s">
        <v>78</v>
      </c>
      <c r="F653" s="69" t="s">
        <v>1453</v>
      </c>
      <c r="H653" s="69">
        <v>1811.62</v>
      </c>
      <c r="U653" s="69"/>
      <c r="V653" s="69"/>
      <c r="AR653" s="74">
        <f t="shared" si="67"/>
        <v>1811.62</v>
      </c>
      <c r="AS653" s="69">
        <v>1446.97</v>
      </c>
      <c r="AT653" s="69">
        <v>181.85</v>
      </c>
      <c r="AU653" s="69">
        <v>182.8</v>
      </c>
      <c r="BC653" s="69"/>
      <c r="BD653" s="69"/>
      <c r="CC653" s="74">
        <f t="shared" si="64"/>
        <v>1811.62</v>
      </c>
      <c r="CD653" s="73">
        <f t="shared" si="66"/>
        <v>0</v>
      </c>
      <c r="CE653" s="75">
        <f t="shared" si="65"/>
        <v>8982</v>
      </c>
      <c r="CF653" s="3" t="str">
        <f t="shared" si="65"/>
        <v>برنامج دولى</v>
      </c>
    </row>
    <row r="654" spans="3:84" x14ac:dyDescent="0.25">
      <c r="C654" s="82">
        <v>14858</v>
      </c>
      <c r="D654" s="70">
        <v>8983</v>
      </c>
      <c r="E654" s="69" t="s">
        <v>78</v>
      </c>
      <c r="F654" s="69" t="s">
        <v>1453</v>
      </c>
      <c r="H654" s="69">
        <v>938</v>
      </c>
      <c r="U654" s="69"/>
      <c r="V654" s="69"/>
      <c r="AR654" s="74">
        <f t="shared" si="67"/>
        <v>938</v>
      </c>
      <c r="AS654" s="69">
        <v>627.35</v>
      </c>
      <c r="AT654" s="69">
        <v>84.65</v>
      </c>
      <c r="AU654" s="69">
        <v>226</v>
      </c>
      <c r="BC654" s="69"/>
      <c r="BD654" s="69"/>
      <c r="CC654" s="74">
        <f t="shared" si="64"/>
        <v>938</v>
      </c>
      <c r="CD654" s="73">
        <f t="shared" si="66"/>
        <v>0</v>
      </c>
      <c r="CE654" s="75">
        <f t="shared" si="65"/>
        <v>8983</v>
      </c>
      <c r="CF654" s="3" t="str">
        <f t="shared" si="65"/>
        <v>برنامج دولى</v>
      </c>
    </row>
    <row r="655" spans="3:84" x14ac:dyDescent="0.25">
      <c r="C655" s="82">
        <v>14857</v>
      </c>
      <c r="D655" s="70">
        <v>8984</v>
      </c>
      <c r="E655" s="69" t="s">
        <v>78</v>
      </c>
      <c r="F655" s="69" t="s">
        <v>1453</v>
      </c>
      <c r="H655" s="69">
        <v>8676.5</v>
      </c>
      <c r="U655" s="69"/>
      <c r="V655" s="69"/>
      <c r="AR655" s="74">
        <f t="shared" si="67"/>
        <v>8676.5</v>
      </c>
      <c r="AS655" s="69">
        <v>5800.9</v>
      </c>
      <c r="AT655" s="69">
        <v>785.1</v>
      </c>
      <c r="AU655" s="69">
        <v>2090.5</v>
      </c>
      <c r="BC655" s="69"/>
      <c r="BD655" s="69"/>
      <c r="CC655" s="74">
        <f t="shared" si="64"/>
        <v>8676.5</v>
      </c>
      <c r="CD655" s="73">
        <f t="shared" si="66"/>
        <v>0</v>
      </c>
      <c r="CE655" s="75">
        <f t="shared" si="65"/>
        <v>8984</v>
      </c>
      <c r="CF655" s="3" t="str">
        <f t="shared" si="65"/>
        <v>برنامج دولى</v>
      </c>
    </row>
    <row r="656" spans="3:84" x14ac:dyDescent="0.25">
      <c r="C656" s="82">
        <v>14856</v>
      </c>
      <c r="D656" s="70">
        <v>8985</v>
      </c>
      <c r="E656" s="69" t="s">
        <v>78</v>
      </c>
      <c r="F656" s="69" t="s">
        <v>1453</v>
      </c>
      <c r="H656" s="69">
        <v>1962.62</v>
      </c>
      <c r="U656" s="69"/>
      <c r="V656" s="69"/>
      <c r="AR656" s="74">
        <f t="shared" si="67"/>
        <v>1962.62</v>
      </c>
      <c r="AS656" s="69">
        <v>1503.94</v>
      </c>
      <c r="AT656" s="69">
        <v>192.35</v>
      </c>
      <c r="AU656" s="69">
        <v>266.33</v>
      </c>
      <c r="BC656" s="69"/>
      <c r="BD656" s="69"/>
      <c r="CC656" s="74">
        <f t="shared" si="64"/>
        <v>1962.62</v>
      </c>
      <c r="CD656" s="73">
        <f t="shared" si="66"/>
        <v>0</v>
      </c>
      <c r="CE656" s="75">
        <f t="shared" si="65"/>
        <v>8985</v>
      </c>
      <c r="CF656" s="3" t="str">
        <f t="shared" si="65"/>
        <v>برنامج دولى</v>
      </c>
    </row>
    <row r="657" spans="3:84" x14ac:dyDescent="0.25">
      <c r="C657" s="82">
        <v>14855</v>
      </c>
      <c r="D657" s="70">
        <v>8986</v>
      </c>
      <c r="E657" s="69" t="s">
        <v>78</v>
      </c>
      <c r="F657" s="69" t="s">
        <v>1453</v>
      </c>
      <c r="H657" s="69">
        <v>9626.41</v>
      </c>
      <c r="U657" s="69"/>
      <c r="V657" s="69"/>
      <c r="AR657" s="74">
        <f t="shared" si="67"/>
        <v>9626.41</v>
      </c>
      <c r="AS657" s="69">
        <v>6876.91</v>
      </c>
      <c r="AT657" s="69">
        <v>904.8</v>
      </c>
      <c r="AU657" s="69">
        <v>1844.7</v>
      </c>
      <c r="BC657" s="69"/>
      <c r="BD657" s="69"/>
      <c r="CC657" s="74">
        <f t="shared" ref="CC657:CC700" si="68">SUM(AS657:CB657)</f>
        <v>9626.41</v>
      </c>
      <c r="CD657" s="73">
        <f t="shared" si="66"/>
        <v>0</v>
      </c>
      <c r="CE657" s="75">
        <f t="shared" ref="CE657:CF700" si="69">+D657</f>
        <v>8986</v>
      </c>
      <c r="CF657" s="3" t="str">
        <f t="shared" si="69"/>
        <v>برنامج دولى</v>
      </c>
    </row>
    <row r="658" spans="3:84" x14ac:dyDescent="0.25">
      <c r="C658" s="82">
        <v>14854</v>
      </c>
      <c r="D658" s="70">
        <v>8987</v>
      </c>
      <c r="E658" s="69" t="s">
        <v>78</v>
      </c>
      <c r="F658" s="69" t="s">
        <v>1456</v>
      </c>
      <c r="H658" s="69">
        <v>351.75</v>
      </c>
      <c r="U658" s="69"/>
      <c r="V658" s="69"/>
      <c r="AR658" s="74">
        <f t="shared" si="67"/>
        <v>351.75</v>
      </c>
      <c r="AS658" s="69">
        <v>235.55</v>
      </c>
      <c r="AT658" s="69">
        <v>31.45</v>
      </c>
      <c r="AU658" s="69">
        <v>84.75</v>
      </c>
      <c r="BC658" s="69"/>
      <c r="BD658" s="69"/>
      <c r="CC658" s="74">
        <f t="shared" si="68"/>
        <v>351.75</v>
      </c>
      <c r="CD658" s="73">
        <f t="shared" si="66"/>
        <v>0</v>
      </c>
      <c r="CE658" s="75">
        <f t="shared" si="69"/>
        <v>8987</v>
      </c>
      <c r="CF658" s="3" t="str">
        <f t="shared" si="69"/>
        <v>برنامج دولى</v>
      </c>
    </row>
    <row r="659" spans="3:84" x14ac:dyDescent="0.25">
      <c r="C659" s="82">
        <v>14853</v>
      </c>
      <c r="D659" s="70">
        <v>8988</v>
      </c>
      <c r="E659" s="69" t="s">
        <v>78</v>
      </c>
      <c r="F659" s="69" t="s">
        <v>1457</v>
      </c>
      <c r="H659" s="69">
        <v>351.75</v>
      </c>
      <c r="U659" s="69"/>
      <c r="V659" s="69"/>
      <c r="AR659" s="74">
        <f t="shared" si="67"/>
        <v>351.75</v>
      </c>
      <c r="AS659" s="69">
        <v>235.55</v>
      </c>
      <c r="AT659" s="69">
        <v>31.45</v>
      </c>
      <c r="AU659" s="69">
        <v>84.75</v>
      </c>
      <c r="BC659" s="69"/>
      <c r="BD659" s="69"/>
      <c r="CC659" s="74">
        <f t="shared" si="68"/>
        <v>351.75</v>
      </c>
      <c r="CD659" s="73">
        <f t="shared" si="66"/>
        <v>0</v>
      </c>
      <c r="CE659" s="75">
        <f t="shared" si="69"/>
        <v>8988</v>
      </c>
      <c r="CF659" s="3" t="str">
        <f t="shared" si="69"/>
        <v>برنامج دولى</v>
      </c>
    </row>
    <row r="660" spans="3:84" x14ac:dyDescent="0.25">
      <c r="C660" s="82">
        <v>14852</v>
      </c>
      <c r="D660" s="70">
        <v>8989</v>
      </c>
      <c r="E660" s="69" t="s">
        <v>78</v>
      </c>
      <c r="F660" s="69" t="s">
        <v>1458</v>
      </c>
      <c r="H660" s="69">
        <v>1641.5</v>
      </c>
      <c r="U660" s="69"/>
      <c r="V660" s="69"/>
      <c r="AR660" s="74">
        <f t="shared" si="67"/>
        <v>1641.5</v>
      </c>
      <c r="AS660" s="69">
        <v>1097</v>
      </c>
      <c r="AT660" s="69">
        <v>149</v>
      </c>
      <c r="AU660" s="69">
        <v>395.5</v>
      </c>
      <c r="BC660" s="69"/>
      <c r="BD660" s="69"/>
      <c r="CC660" s="74">
        <f t="shared" si="68"/>
        <v>1641.5</v>
      </c>
      <c r="CD660" s="73">
        <f t="shared" si="66"/>
        <v>0</v>
      </c>
      <c r="CE660" s="75">
        <f t="shared" si="69"/>
        <v>8989</v>
      </c>
      <c r="CF660" s="3" t="str">
        <f t="shared" si="69"/>
        <v>برنامج دولى</v>
      </c>
    </row>
    <row r="661" spans="3:84" x14ac:dyDescent="0.25">
      <c r="C661" s="82">
        <v>14851</v>
      </c>
      <c r="D661" s="70">
        <v>8990</v>
      </c>
      <c r="E661" s="69" t="s">
        <v>78</v>
      </c>
      <c r="F661" s="69" t="s">
        <v>1458</v>
      </c>
      <c r="H661" s="69">
        <v>1407</v>
      </c>
      <c r="U661" s="69"/>
      <c r="V661" s="69"/>
      <c r="AR661" s="74">
        <f t="shared" si="67"/>
        <v>1407</v>
      </c>
      <c r="AS661" s="69">
        <v>940.35</v>
      </c>
      <c r="AT661" s="69">
        <v>127.65</v>
      </c>
      <c r="AU661" s="69">
        <v>339</v>
      </c>
      <c r="BC661" s="69"/>
      <c r="BD661" s="69"/>
      <c r="CC661" s="74">
        <f t="shared" si="68"/>
        <v>1407</v>
      </c>
      <c r="CD661" s="73">
        <f t="shared" si="66"/>
        <v>0</v>
      </c>
      <c r="CE661" s="75">
        <f t="shared" si="69"/>
        <v>8990</v>
      </c>
      <c r="CF661" s="3" t="str">
        <f t="shared" si="69"/>
        <v>برنامج دولى</v>
      </c>
    </row>
    <row r="662" spans="3:84" x14ac:dyDescent="0.25">
      <c r="C662" s="82">
        <v>14850</v>
      </c>
      <c r="D662" s="70">
        <v>8991</v>
      </c>
      <c r="E662" s="69" t="s">
        <v>78</v>
      </c>
      <c r="F662" s="69" t="s">
        <v>1459</v>
      </c>
      <c r="H662" s="69">
        <v>2345</v>
      </c>
      <c r="U662" s="69"/>
      <c r="V662" s="69"/>
      <c r="AR662" s="74">
        <f t="shared" si="67"/>
        <v>2345</v>
      </c>
      <c r="AS662" s="69">
        <v>1568.9</v>
      </c>
      <c r="AT662" s="69">
        <v>211.1</v>
      </c>
      <c r="AU662" s="69">
        <v>565</v>
      </c>
      <c r="BC662" s="69"/>
      <c r="BD662" s="69"/>
      <c r="CC662" s="74">
        <f t="shared" si="68"/>
        <v>2345</v>
      </c>
      <c r="CD662" s="73">
        <f t="shared" si="66"/>
        <v>0</v>
      </c>
      <c r="CE662" s="75">
        <f t="shared" si="69"/>
        <v>8991</v>
      </c>
      <c r="CF662" s="3" t="str">
        <f t="shared" si="69"/>
        <v>برنامج دولى</v>
      </c>
    </row>
    <row r="663" spans="3:84" x14ac:dyDescent="0.25">
      <c r="C663" s="82">
        <v>14849</v>
      </c>
      <c r="D663" s="70">
        <v>8992</v>
      </c>
      <c r="E663" s="69" t="s">
        <v>78</v>
      </c>
      <c r="F663" s="69" t="s">
        <v>1460</v>
      </c>
      <c r="H663" s="69">
        <v>2345</v>
      </c>
      <c r="U663" s="69"/>
      <c r="V663" s="69"/>
      <c r="AR663" s="74">
        <f t="shared" si="67"/>
        <v>2345</v>
      </c>
      <c r="AS663" s="69">
        <v>1568.9</v>
      </c>
      <c r="AT663" s="69">
        <v>211.1</v>
      </c>
      <c r="AU663" s="69">
        <v>565</v>
      </c>
      <c r="BC663" s="69"/>
      <c r="BD663" s="69"/>
      <c r="CC663" s="74">
        <f t="shared" si="68"/>
        <v>2345</v>
      </c>
      <c r="CD663" s="73">
        <f t="shared" si="66"/>
        <v>0</v>
      </c>
      <c r="CE663" s="75">
        <f t="shared" si="69"/>
        <v>8992</v>
      </c>
      <c r="CF663" s="3" t="str">
        <f t="shared" si="69"/>
        <v>برنامج دولى</v>
      </c>
    </row>
    <row r="664" spans="3:84" x14ac:dyDescent="0.25">
      <c r="C664" s="82">
        <v>14848</v>
      </c>
      <c r="D664" s="70">
        <v>8993</v>
      </c>
      <c r="E664" s="69" t="s">
        <v>78</v>
      </c>
      <c r="F664" s="69" t="s">
        <v>1461</v>
      </c>
      <c r="H664" s="69">
        <v>820.75</v>
      </c>
      <c r="U664" s="69"/>
      <c r="V664" s="69"/>
      <c r="AR664" s="74">
        <f t="shared" si="67"/>
        <v>820.75</v>
      </c>
      <c r="AS664" s="69">
        <v>548.95000000000005</v>
      </c>
      <c r="AT664" s="69">
        <v>74.05</v>
      </c>
      <c r="AU664" s="69">
        <v>197.75</v>
      </c>
      <c r="BC664" s="69"/>
      <c r="BD664" s="69"/>
      <c r="CC664" s="74">
        <f t="shared" si="68"/>
        <v>820.75</v>
      </c>
      <c r="CD664" s="73">
        <f t="shared" si="66"/>
        <v>0</v>
      </c>
      <c r="CE664" s="75">
        <f t="shared" si="69"/>
        <v>8993</v>
      </c>
      <c r="CF664" s="3" t="str">
        <f t="shared" si="69"/>
        <v>برنامج دولى</v>
      </c>
    </row>
    <row r="665" spans="3:84" x14ac:dyDescent="0.25">
      <c r="C665" s="82">
        <v>14847</v>
      </c>
      <c r="D665" s="70">
        <v>8994</v>
      </c>
      <c r="E665" s="69" t="s">
        <v>78</v>
      </c>
      <c r="F665" s="69" t="s">
        <v>1461</v>
      </c>
      <c r="H665" s="69">
        <v>644.88</v>
      </c>
      <c r="U665" s="69"/>
      <c r="V665" s="69"/>
      <c r="AR665" s="74">
        <f t="shared" si="67"/>
        <v>644.88</v>
      </c>
      <c r="AS665" s="69">
        <v>431.4</v>
      </c>
      <c r="AT665" s="69">
        <v>58.1</v>
      </c>
      <c r="AU665" s="69">
        <v>155.38</v>
      </c>
      <c r="BC665" s="69"/>
      <c r="BD665" s="69"/>
      <c r="CC665" s="74">
        <f t="shared" si="68"/>
        <v>644.88</v>
      </c>
      <c r="CD665" s="73">
        <f t="shared" si="66"/>
        <v>0</v>
      </c>
      <c r="CE665" s="75">
        <f t="shared" si="69"/>
        <v>8994</v>
      </c>
      <c r="CF665" s="3" t="str">
        <f t="shared" si="69"/>
        <v>برنامج دولى</v>
      </c>
    </row>
    <row r="666" spans="3:84" x14ac:dyDescent="0.25">
      <c r="C666" s="82">
        <v>14846</v>
      </c>
      <c r="D666" s="70">
        <v>8995</v>
      </c>
      <c r="E666" s="69" t="s">
        <v>78</v>
      </c>
      <c r="F666" s="69" t="s">
        <v>1461</v>
      </c>
      <c r="H666" s="69">
        <v>703.5</v>
      </c>
      <c r="U666" s="69"/>
      <c r="V666" s="69"/>
      <c r="AR666" s="74">
        <f t="shared" si="67"/>
        <v>703.5</v>
      </c>
      <c r="AS666" s="69">
        <v>470.6</v>
      </c>
      <c r="AT666" s="69">
        <v>63.4</v>
      </c>
      <c r="AU666" s="69">
        <v>169.5</v>
      </c>
      <c r="BC666" s="69"/>
      <c r="BD666" s="69"/>
      <c r="CC666" s="74">
        <f t="shared" si="68"/>
        <v>703.5</v>
      </c>
      <c r="CD666" s="73">
        <f t="shared" si="66"/>
        <v>0</v>
      </c>
      <c r="CE666" s="75">
        <f t="shared" si="69"/>
        <v>8995</v>
      </c>
      <c r="CF666" s="3" t="str">
        <f t="shared" si="69"/>
        <v>برنامج دولى</v>
      </c>
    </row>
    <row r="667" spans="3:84" x14ac:dyDescent="0.25">
      <c r="C667" s="82">
        <v>14844</v>
      </c>
      <c r="D667" s="70">
        <v>8996</v>
      </c>
      <c r="E667" s="69" t="s">
        <v>78</v>
      </c>
      <c r="F667" s="69" t="s">
        <v>1462</v>
      </c>
      <c r="H667" s="69">
        <v>1666.07</v>
      </c>
      <c r="U667" s="69"/>
      <c r="V667" s="69"/>
      <c r="AR667" s="74">
        <f t="shared" si="67"/>
        <v>1666.07</v>
      </c>
      <c r="AS667" s="69">
        <v>1234</v>
      </c>
      <c r="AT667" s="69">
        <v>160.1</v>
      </c>
      <c r="AU667" s="69">
        <v>271.97000000000003</v>
      </c>
      <c r="BC667" s="69"/>
      <c r="BD667" s="69"/>
      <c r="CC667" s="74">
        <f t="shared" si="68"/>
        <v>1666.07</v>
      </c>
      <c r="CD667" s="73">
        <f t="shared" si="66"/>
        <v>0</v>
      </c>
      <c r="CE667" s="75">
        <f t="shared" si="69"/>
        <v>8996</v>
      </c>
      <c r="CF667" s="3" t="str">
        <f t="shared" si="69"/>
        <v>برنامج دولى</v>
      </c>
    </row>
    <row r="668" spans="3:84" x14ac:dyDescent="0.25">
      <c r="C668" s="82">
        <v>14845</v>
      </c>
      <c r="D668" s="70">
        <v>8997</v>
      </c>
      <c r="E668" s="69" t="s">
        <v>78</v>
      </c>
      <c r="F668" s="69" t="str">
        <f>+F666</f>
        <v>م تحضير لجان مكتب وكيل</v>
      </c>
      <c r="H668" s="69">
        <v>938</v>
      </c>
      <c r="U668" s="69"/>
      <c r="V668" s="69"/>
      <c r="AR668" s="74">
        <f t="shared" si="67"/>
        <v>938</v>
      </c>
      <c r="AS668" s="69">
        <v>627.35</v>
      </c>
      <c r="AT668" s="69">
        <v>84.65</v>
      </c>
      <c r="AU668" s="69">
        <v>226</v>
      </c>
      <c r="BC668" s="69"/>
      <c r="BD668" s="69"/>
      <c r="CC668" s="74">
        <f t="shared" si="68"/>
        <v>938</v>
      </c>
      <c r="CD668" s="73">
        <f t="shared" si="66"/>
        <v>0</v>
      </c>
      <c r="CE668" s="75">
        <f t="shared" si="69"/>
        <v>8997</v>
      </c>
      <c r="CF668" s="3" t="str">
        <f t="shared" si="69"/>
        <v>برنامج دولى</v>
      </c>
    </row>
    <row r="669" spans="3:84" x14ac:dyDescent="0.25">
      <c r="C669" s="82">
        <v>14843</v>
      </c>
      <c r="D669" s="70">
        <v>8998</v>
      </c>
      <c r="E669" s="69" t="s">
        <v>78</v>
      </c>
      <c r="F669" s="69" t="str">
        <f>+F667</f>
        <v>م بعد المواعيد مكتب الوكيل</v>
      </c>
      <c r="H669" s="69">
        <v>2063.0300000000002</v>
      </c>
      <c r="U669" s="69"/>
      <c r="V669" s="69"/>
      <c r="AR669" s="74">
        <f t="shared" si="67"/>
        <v>2063.0300000000002</v>
      </c>
      <c r="AS669" s="69">
        <v>1745.46</v>
      </c>
      <c r="AT669" s="69">
        <v>214.35</v>
      </c>
      <c r="AU669" s="69">
        <v>103.22</v>
      </c>
      <c r="BC669" s="69"/>
      <c r="BD669" s="69"/>
      <c r="CC669" s="74">
        <f t="shared" si="68"/>
        <v>2063.0299999999997</v>
      </c>
      <c r="CD669" s="73">
        <f t="shared" si="66"/>
        <v>0</v>
      </c>
      <c r="CE669" s="75">
        <f t="shared" si="69"/>
        <v>8998</v>
      </c>
      <c r="CF669" s="3" t="str">
        <f t="shared" si="69"/>
        <v>برنامج دولى</v>
      </c>
    </row>
    <row r="670" spans="3:84" x14ac:dyDescent="0.25">
      <c r="C670" s="82">
        <v>14842</v>
      </c>
      <c r="D670" s="70">
        <v>8999</v>
      </c>
      <c r="E670" s="69" t="s">
        <v>78</v>
      </c>
      <c r="F670" s="69" t="str">
        <f>+F669</f>
        <v>م بعد المواعيد مكتب الوكيل</v>
      </c>
      <c r="H670" s="69">
        <v>1641.5</v>
      </c>
      <c r="U670" s="69"/>
      <c r="V670" s="69"/>
      <c r="AR670" s="74">
        <f t="shared" si="67"/>
        <v>1641.5</v>
      </c>
      <c r="AS670" s="69">
        <v>1097</v>
      </c>
      <c r="AT670" s="69">
        <v>149</v>
      </c>
      <c r="AU670" s="69">
        <v>395.5</v>
      </c>
      <c r="BC670" s="69"/>
      <c r="BD670" s="69"/>
      <c r="CC670" s="74">
        <f t="shared" si="68"/>
        <v>1641.5</v>
      </c>
      <c r="CD670" s="73">
        <f t="shared" si="66"/>
        <v>0</v>
      </c>
      <c r="CE670" s="75">
        <f t="shared" si="69"/>
        <v>8999</v>
      </c>
      <c r="CF670" s="3" t="str">
        <f t="shared" si="69"/>
        <v>برنامج دولى</v>
      </c>
    </row>
    <row r="671" spans="3:84" x14ac:dyDescent="0.25">
      <c r="C671" s="82">
        <v>14949</v>
      </c>
      <c r="D671" s="70">
        <v>9000</v>
      </c>
      <c r="E671" s="69" t="s">
        <v>78</v>
      </c>
      <c r="F671" s="69" t="s">
        <v>1463</v>
      </c>
      <c r="H671" s="69">
        <v>122.23</v>
      </c>
      <c r="U671" s="69"/>
      <c r="V671" s="69"/>
      <c r="AR671" s="74">
        <f t="shared" si="67"/>
        <v>122.23</v>
      </c>
      <c r="AS671" s="69">
        <v>83.24</v>
      </c>
      <c r="AT671" s="69">
        <v>9.5500000000000007</v>
      </c>
      <c r="AU671" s="69">
        <v>29.44</v>
      </c>
      <c r="BC671" s="69"/>
      <c r="BD671" s="69"/>
      <c r="CC671" s="74">
        <f t="shared" si="68"/>
        <v>122.22999999999999</v>
      </c>
      <c r="CD671" s="73">
        <f t="shared" si="66"/>
        <v>0</v>
      </c>
      <c r="CE671" s="75">
        <f t="shared" si="69"/>
        <v>9000</v>
      </c>
      <c r="CF671" s="3" t="str">
        <f t="shared" si="69"/>
        <v>برنامج دولى</v>
      </c>
    </row>
    <row r="672" spans="3:84" x14ac:dyDescent="0.25">
      <c r="C672" s="82">
        <v>14834</v>
      </c>
      <c r="D672" s="70">
        <v>9001</v>
      </c>
      <c r="E672" s="69" t="s">
        <v>78</v>
      </c>
      <c r="F672" s="69" t="s">
        <v>1464</v>
      </c>
      <c r="H672" s="69">
        <v>2600</v>
      </c>
      <c r="U672" s="69"/>
      <c r="V672" s="69"/>
      <c r="AR672" s="74">
        <f t="shared" si="67"/>
        <v>2600</v>
      </c>
      <c r="AS672" s="69">
        <v>2320.85</v>
      </c>
      <c r="AT672" s="69">
        <v>279.14999999999998</v>
      </c>
      <c r="BC672" s="69"/>
      <c r="BD672" s="69"/>
      <c r="CC672" s="74">
        <f t="shared" si="68"/>
        <v>2600</v>
      </c>
      <c r="CD672" s="73">
        <f t="shared" si="66"/>
        <v>0</v>
      </c>
      <c r="CE672" s="75">
        <f t="shared" si="69"/>
        <v>9001</v>
      </c>
      <c r="CF672" s="3" t="str">
        <f t="shared" si="69"/>
        <v>برنامج دولى</v>
      </c>
    </row>
    <row r="673" spans="3:84" x14ac:dyDescent="0.25">
      <c r="C673" s="82">
        <v>14835</v>
      </c>
      <c r="D673" s="70">
        <v>9002</v>
      </c>
      <c r="E673" s="69" t="s">
        <v>78</v>
      </c>
      <c r="F673" s="69" t="s">
        <v>1464</v>
      </c>
      <c r="H673" s="69">
        <v>2600</v>
      </c>
      <c r="U673" s="69"/>
      <c r="V673" s="69"/>
      <c r="AR673" s="74">
        <f t="shared" si="67"/>
        <v>2600</v>
      </c>
      <c r="AS673" s="69">
        <v>2320.85</v>
      </c>
      <c r="AT673" s="69">
        <v>279.14999999999998</v>
      </c>
      <c r="BC673" s="69"/>
      <c r="BD673" s="69"/>
      <c r="CC673" s="74">
        <f t="shared" si="68"/>
        <v>2600</v>
      </c>
      <c r="CD673" s="73">
        <f t="shared" si="66"/>
        <v>0</v>
      </c>
      <c r="CE673" s="75">
        <f t="shared" si="69"/>
        <v>9002</v>
      </c>
      <c r="CF673" s="3" t="str">
        <f t="shared" si="69"/>
        <v>برنامج دولى</v>
      </c>
    </row>
    <row r="674" spans="3:84" x14ac:dyDescent="0.25">
      <c r="C674" s="82">
        <v>14836</v>
      </c>
      <c r="D674" s="70">
        <v>9003</v>
      </c>
      <c r="E674" s="69" t="s">
        <v>78</v>
      </c>
      <c r="F674" s="69" t="s">
        <v>1013</v>
      </c>
      <c r="H674" s="69">
        <v>3993</v>
      </c>
      <c r="U674" s="69"/>
      <c r="V674" s="69"/>
      <c r="AR674" s="74">
        <f t="shared" si="67"/>
        <v>3993</v>
      </c>
      <c r="AS674" s="69">
        <v>3564.1</v>
      </c>
      <c r="AT674" s="69">
        <v>428.9</v>
      </c>
      <c r="BC674" s="69"/>
      <c r="BD674" s="69"/>
      <c r="CC674" s="74">
        <f t="shared" si="68"/>
        <v>3993</v>
      </c>
      <c r="CD674" s="73">
        <f t="shared" si="66"/>
        <v>0</v>
      </c>
      <c r="CE674" s="75">
        <f t="shared" si="69"/>
        <v>9003</v>
      </c>
      <c r="CF674" s="3" t="str">
        <f t="shared" si="69"/>
        <v>برنامج دولى</v>
      </c>
    </row>
    <row r="675" spans="3:84" x14ac:dyDescent="0.25">
      <c r="C675" s="82">
        <v>14837</v>
      </c>
      <c r="D675" s="70">
        <v>9004</v>
      </c>
      <c r="E675" s="69" t="s">
        <v>78</v>
      </c>
      <c r="F675" s="69" t="s">
        <v>1013</v>
      </c>
      <c r="H675" s="69">
        <v>4993.91</v>
      </c>
      <c r="U675" s="69"/>
      <c r="V675" s="69"/>
      <c r="AR675" s="74">
        <f t="shared" si="67"/>
        <v>4993.91</v>
      </c>
      <c r="AS675" s="69">
        <v>3337.07</v>
      </c>
      <c r="AT675" s="69">
        <v>453.62</v>
      </c>
      <c r="AU675" s="69">
        <v>1203.22</v>
      </c>
      <c r="BC675" s="69"/>
      <c r="BD675" s="69"/>
      <c r="CC675" s="74">
        <f t="shared" si="68"/>
        <v>4993.91</v>
      </c>
      <c r="CD675" s="73">
        <f t="shared" si="66"/>
        <v>0</v>
      </c>
      <c r="CE675" s="75">
        <f t="shared" si="69"/>
        <v>9004</v>
      </c>
      <c r="CF675" s="3" t="str">
        <f t="shared" si="69"/>
        <v>برنامج دولى</v>
      </c>
    </row>
    <row r="676" spans="3:84" x14ac:dyDescent="0.25">
      <c r="C676" s="82">
        <v>14838</v>
      </c>
      <c r="D676" s="70">
        <v>9005</v>
      </c>
      <c r="E676" s="69" t="s">
        <v>78</v>
      </c>
      <c r="F676" s="69" t="s">
        <v>1013</v>
      </c>
      <c r="H676" s="69">
        <v>9955.8799999999992</v>
      </c>
      <c r="U676" s="69"/>
      <c r="V676" s="69"/>
      <c r="AR676" s="74">
        <f t="shared" si="67"/>
        <v>9955.8799999999992</v>
      </c>
      <c r="AS676" s="69">
        <v>8881.0400000000009</v>
      </c>
      <c r="AT676" s="69">
        <v>1074.8399999999999</v>
      </c>
      <c r="BC676" s="69"/>
      <c r="BD676" s="69"/>
      <c r="CC676" s="74">
        <f t="shared" si="68"/>
        <v>9955.880000000001</v>
      </c>
      <c r="CD676" s="73">
        <f t="shared" si="66"/>
        <v>0</v>
      </c>
      <c r="CE676" s="75">
        <f t="shared" si="69"/>
        <v>9005</v>
      </c>
      <c r="CF676" s="3" t="str">
        <f t="shared" si="69"/>
        <v>برنامج دولى</v>
      </c>
    </row>
    <row r="677" spans="3:84" x14ac:dyDescent="0.25">
      <c r="C677" s="82">
        <v>14839</v>
      </c>
      <c r="D677" s="70">
        <v>9006</v>
      </c>
      <c r="E677" s="69" t="s">
        <v>78</v>
      </c>
      <c r="F677" s="69" t="str">
        <f>+F672</f>
        <v>ج ايرادات مركز الابحاث</v>
      </c>
      <c r="H677" s="69">
        <v>7490.87</v>
      </c>
      <c r="U677" s="69"/>
      <c r="V677" s="69"/>
      <c r="AR677" s="74">
        <f t="shared" si="67"/>
        <v>7490.87</v>
      </c>
      <c r="AS677" s="69">
        <v>4999.95</v>
      </c>
      <c r="AT677" s="69">
        <f>47.2+638.88</f>
        <v>686.08</v>
      </c>
      <c r="AU677" s="69">
        <v>1804.84</v>
      </c>
      <c r="BC677" s="69"/>
      <c r="BD677" s="69"/>
      <c r="CC677" s="74">
        <f t="shared" si="68"/>
        <v>7490.87</v>
      </c>
      <c r="CD677" s="73">
        <f t="shared" si="66"/>
        <v>0</v>
      </c>
      <c r="CE677" s="75">
        <f t="shared" si="69"/>
        <v>9006</v>
      </c>
      <c r="CF677" s="3" t="str">
        <f t="shared" si="69"/>
        <v>برنامج دولى</v>
      </c>
    </row>
    <row r="678" spans="3:84" x14ac:dyDescent="0.25">
      <c r="C678" s="82">
        <v>14840</v>
      </c>
      <c r="D678" s="70">
        <v>9007</v>
      </c>
      <c r="E678" s="69" t="s">
        <v>78</v>
      </c>
      <c r="F678" s="69" t="s">
        <v>1465</v>
      </c>
      <c r="H678" s="69">
        <v>1407</v>
      </c>
      <c r="U678" s="69"/>
      <c r="V678" s="69"/>
      <c r="AR678" s="74">
        <f t="shared" si="67"/>
        <v>1407</v>
      </c>
      <c r="AS678" s="69">
        <v>941.2</v>
      </c>
      <c r="AT678" s="69">
        <v>126.8</v>
      </c>
      <c r="AU678" s="69">
        <v>339</v>
      </c>
      <c r="BC678" s="69"/>
      <c r="BD678" s="69"/>
      <c r="CC678" s="74">
        <f t="shared" si="68"/>
        <v>1407</v>
      </c>
      <c r="CD678" s="73">
        <f t="shared" si="66"/>
        <v>0</v>
      </c>
      <c r="CE678" s="75">
        <f t="shared" si="69"/>
        <v>9007</v>
      </c>
      <c r="CF678" s="3" t="str">
        <f t="shared" si="69"/>
        <v>برنامج دولى</v>
      </c>
    </row>
    <row r="679" spans="3:84" x14ac:dyDescent="0.25">
      <c r="C679" s="82">
        <v>14841</v>
      </c>
      <c r="D679" s="70">
        <v>9008</v>
      </c>
      <c r="E679" s="69" t="s">
        <v>78</v>
      </c>
      <c r="F679" s="69" t="s">
        <v>1466</v>
      </c>
      <c r="H679" s="69">
        <v>2227.75</v>
      </c>
      <c r="U679" s="69"/>
      <c r="V679" s="69"/>
      <c r="AR679" s="74">
        <f t="shared" si="67"/>
        <v>2227.75</v>
      </c>
      <c r="AS679" s="69">
        <v>1488.65</v>
      </c>
      <c r="AT679" s="69">
        <v>202.35</v>
      </c>
      <c r="AU679" s="69">
        <v>536.75</v>
      </c>
      <c r="BC679" s="69"/>
      <c r="BD679" s="69"/>
      <c r="CC679" s="74">
        <f t="shared" si="68"/>
        <v>2227.75</v>
      </c>
      <c r="CD679" s="73">
        <f t="shared" si="66"/>
        <v>0</v>
      </c>
      <c r="CE679" s="75">
        <f t="shared" si="69"/>
        <v>9008</v>
      </c>
      <c r="CF679" s="3" t="str">
        <f t="shared" si="69"/>
        <v>برنامج دولى</v>
      </c>
    </row>
    <row r="680" spans="3:84" x14ac:dyDescent="0.25">
      <c r="C680" s="82">
        <v>14556</v>
      </c>
      <c r="D680" s="70">
        <v>9009</v>
      </c>
      <c r="E680" s="69" t="s">
        <v>78</v>
      </c>
      <c r="F680" s="69" t="s">
        <v>1467</v>
      </c>
      <c r="H680" s="69">
        <v>1289.75</v>
      </c>
      <c r="U680" s="69"/>
      <c r="V680" s="69"/>
      <c r="AR680" s="74">
        <f t="shared" si="67"/>
        <v>1289.75</v>
      </c>
      <c r="AS680" s="69">
        <v>861.1</v>
      </c>
      <c r="AT680" s="69">
        <f>7.9+110</f>
        <v>117.9</v>
      </c>
      <c r="AU680" s="69">
        <v>310.75</v>
      </c>
      <c r="BC680" s="69"/>
      <c r="BD680" s="69"/>
      <c r="CC680" s="74">
        <f t="shared" si="68"/>
        <v>1289.75</v>
      </c>
      <c r="CD680" s="73">
        <f t="shared" si="66"/>
        <v>0</v>
      </c>
      <c r="CE680" s="75">
        <f t="shared" si="69"/>
        <v>9009</v>
      </c>
      <c r="CF680" s="3" t="str">
        <f t="shared" si="69"/>
        <v>برنامج دولى</v>
      </c>
    </row>
    <row r="681" spans="3:84" x14ac:dyDescent="0.25">
      <c r="C681" s="82">
        <v>14943</v>
      </c>
      <c r="D681" s="70">
        <v>9010</v>
      </c>
      <c r="E681" s="69" t="s">
        <v>78</v>
      </c>
      <c r="F681" s="69" t="s">
        <v>1468</v>
      </c>
      <c r="H681" s="69">
        <v>23830.2</v>
      </c>
      <c r="U681" s="69"/>
      <c r="V681" s="69"/>
      <c r="AR681" s="74">
        <f t="shared" si="67"/>
        <v>23830.2</v>
      </c>
      <c r="AS681" s="69">
        <v>16193.68</v>
      </c>
      <c r="AT681" s="69">
        <v>2182.6999999999998</v>
      </c>
      <c r="AU681" s="69">
        <v>5453.82</v>
      </c>
      <c r="BC681" s="69"/>
      <c r="BD681" s="69"/>
      <c r="CC681" s="74">
        <f t="shared" si="68"/>
        <v>23830.2</v>
      </c>
      <c r="CD681" s="73">
        <f t="shared" si="66"/>
        <v>0</v>
      </c>
      <c r="CE681" s="75">
        <f t="shared" si="69"/>
        <v>9010</v>
      </c>
      <c r="CF681" s="3" t="str">
        <f t="shared" si="69"/>
        <v>برنامج دولى</v>
      </c>
    </row>
    <row r="682" spans="3:84" x14ac:dyDescent="0.25">
      <c r="C682" s="82">
        <v>14944</v>
      </c>
      <c r="D682" s="70">
        <v>9011</v>
      </c>
      <c r="E682" s="69" t="s">
        <v>78</v>
      </c>
      <c r="F682" s="69" t="s">
        <v>1468</v>
      </c>
      <c r="H682" s="69">
        <v>3517.5</v>
      </c>
      <c r="U682" s="69"/>
      <c r="V682" s="69"/>
      <c r="AR682" s="74">
        <f t="shared" si="67"/>
        <v>3517.5</v>
      </c>
      <c r="AS682" s="69">
        <v>2350.35</v>
      </c>
      <c r="AT682" s="69">
        <v>319.64999999999998</v>
      </c>
      <c r="AU682" s="69">
        <v>847.5</v>
      </c>
      <c r="BC682" s="69"/>
      <c r="BD682" s="69"/>
      <c r="CC682" s="74">
        <f t="shared" si="68"/>
        <v>3517.5</v>
      </c>
      <c r="CD682" s="73">
        <f t="shared" si="66"/>
        <v>0</v>
      </c>
      <c r="CE682" s="75">
        <f t="shared" si="69"/>
        <v>9011</v>
      </c>
      <c r="CF682" s="3" t="str">
        <f t="shared" si="69"/>
        <v>برنامج دولى</v>
      </c>
    </row>
    <row r="683" spans="3:84" x14ac:dyDescent="0.25">
      <c r="C683" s="82">
        <v>14945</v>
      </c>
      <c r="D683" s="70">
        <v>9012</v>
      </c>
      <c r="E683" s="69" t="s">
        <v>78</v>
      </c>
      <c r="F683" s="69" t="s">
        <v>1468</v>
      </c>
      <c r="H683" s="69">
        <v>6000</v>
      </c>
      <c r="U683" s="69"/>
      <c r="V683" s="69"/>
      <c r="AR683" s="74">
        <f t="shared" si="67"/>
        <v>6000</v>
      </c>
      <c r="AS683" s="69">
        <v>5355.7</v>
      </c>
      <c r="AT683" s="69">
        <v>644.29999999999995</v>
      </c>
      <c r="BC683" s="69"/>
      <c r="BD683" s="69"/>
      <c r="CC683" s="74">
        <f t="shared" si="68"/>
        <v>6000</v>
      </c>
      <c r="CD683" s="73">
        <f t="shared" si="66"/>
        <v>0</v>
      </c>
      <c r="CE683" s="75">
        <f t="shared" si="69"/>
        <v>9012</v>
      </c>
      <c r="CF683" s="3" t="str">
        <f t="shared" si="69"/>
        <v>برنامج دولى</v>
      </c>
    </row>
    <row r="684" spans="3:84" x14ac:dyDescent="0.25">
      <c r="C684" s="82">
        <v>14946</v>
      </c>
      <c r="D684" s="70">
        <v>9013</v>
      </c>
      <c r="E684" s="69" t="s">
        <v>78</v>
      </c>
      <c r="F684" s="69" t="s">
        <v>1468</v>
      </c>
      <c r="H684" s="69">
        <v>5276.25</v>
      </c>
      <c r="U684" s="69"/>
      <c r="V684" s="69"/>
      <c r="AR684" s="74">
        <f t="shared" si="67"/>
        <v>5276.25</v>
      </c>
      <c r="AS684" s="69">
        <v>3526.05</v>
      </c>
      <c r="AT684" s="69">
        <v>478.95</v>
      </c>
      <c r="AU684" s="69">
        <v>1271.25</v>
      </c>
      <c r="BC684" s="69"/>
      <c r="BD684" s="69"/>
      <c r="CC684" s="74">
        <f t="shared" si="68"/>
        <v>5276.25</v>
      </c>
      <c r="CD684" s="73">
        <f t="shared" si="66"/>
        <v>0</v>
      </c>
      <c r="CE684" s="75">
        <f t="shared" si="69"/>
        <v>9013</v>
      </c>
      <c r="CF684" s="3" t="str">
        <f t="shared" si="69"/>
        <v>برنامج دولى</v>
      </c>
    </row>
    <row r="685" spans="3:84" x14ac:dyDescent="0.25">
      <c r="C685" s="82">
        <v>14948</v>
      </c>
      <c r="D685" s="70">
        <v>9014</v>
      </c>
      <c r="E685" s="69" t="s">
        <v>78</v>
      </c>
      <c r="F685" s="69" t="s">
        <v>1468</v>
      </c>
      <c r="H685" s="69">
        <v>3517.5</v>
      </c>
      <c r="U685" s="69"/>
      <c r="V685" s="69"/>
      <c r="AR685" s="74">
        <f t="shared" si="67"/>
        <v>3517.5</v>
      </c>
      <c r="AS685" s="69">
        <v>2350.35</v>
      </c>
      <c r="AT685" s="69">
        <v>319.64999999999998</v>
      </c>
      <c r="AU685" s="69">
        <v>847.5</v>
      </c>
      <c r="BC685" s="69"/>
      <c r="BD685" s="69"/>
      <c r="CC685" s="74">
        <f t="shared" si="68"/>
        <v>3517.5</v>
      </c>
      <c r="CD685" s="73">
        <f t="shared" si="66"/>
        <v>0</v>
      </c>
      <c r="CE685" s="75">
        <f t="shared" si="69"/>
        <v>9014</v>
      </c>
      <c r="CF685" s="3" t="str">
        <f t="shared" si="69"/>
        <v>برنامج دولى</v>
      </c>
    </row>
    <row r="686" spans="3:84" x14ac:dyDescent="0.25">
      <c r="C686" s="82">
        <v>14947</v>
      </c>
      <c r="D686" s="70">
        <v>9015</v>
      </c>
      <c r="E686" s="69" t="s">
        <v>78</v>
      </c>
      <c r="F686" s="69" t="s">
        <v>1468</v>
      </c>
      <c r="H686" s="69">
        <v>3517.5</v>
      </c>
      <c r="U686" s="69"/>
      <c r="V686" s="69"/>
      <c r="AR686" s="74">
        <f t="shared" si="67"/>
        <v>3517.5</v>
      </c>
      <c r="AS686" s="69">
        <v>2350.35</v>
      </c>
      <c r="AT686" s="69">
        <v>319.64999999999998</v>
      </c>
      <c r="AU686" s="69">
        <v>847.5</v>
      </c>
      <c r="BC686" s="69"/>
      <c r="BD686" s="69"/>
      <c r="CC686" s="74">
        <f t="shared" si="68"/>
        <v>3517.5</v>
      </c>
      <c r="CD686" s="73">
        <f t="shared" si="66"/>
        <v>0</v>
      </c>
      <c r="CE686" s="75">
        <f t="shared" si="69"/>
        <v>9015</v>
      </c>
      <c r="CF686" s="3" t="str">
        <f t="shared" si="69"/>
        <v>برنامج دولى</v>
      </c>
    </row>
    <row r="687" spans="3:84" x14ac:dyDescent="0.25">
      <c r="C687" s="82">
        <v>14942</v>
      </c>
      <c r="D687" s="70">
        <v>9016</v>
      </c>
      <c r="E687" s="69" t="s">
        <v>78</v>
      </c>
      <c r="F687" s="69" t="s">
        <v>1468</v>
      </c>
      <c r="H687" s="69">
        <v>90598.45</v>
      </c>
      <c r="U687" s="69"/>
      <c r="V687" s="69"/>
      <c r="AR687" s="74">
        <f t="shared" si="67"/>
        <v>90598.45</v>
      </c>
      <c r="AS687" s="69">
        <v>60302.15</v>
      </c>
      <c r="AT687" s="69">
        <v>8214.7000000000007</v>
      </c>
      <c r="AU687" s="69">
        <v>22081.599999999999</v>
      </c>
      <c r="BC687" s="69"/>
      <c r="BD687" s="69"/>
      <c r="CC687" s="74">
        <f t="shared" si="68"/>
        <v>90598.450000000012</v>
      </c>
      <c r="CD687" s="73">
        <f t="shared" si="66"/>
        <v>0</v>
      </c>
      <c r="CE687" s="75">
        <f t="shared" si="69"/>
        <v>9016</v>
      </c>
      <c r="CF687" s="3" t="str">
        <f t="shared" si="69"/>
        <v>برنامج دولى</v>
      </c>
    </row>
    <row r="688" spans="3:84" x14ac:dyDescent="0.25">
      <c r="C688" s="82">
        <v>14941</v>
      </c>
      <c r="D688" s="70">
        <v>9017</v>
      </c>
      <c r="E688" s="69" t="s">
        <v>78</v>
      </c>
      <c r="F688" s="69" t="s">
        <v>1468</v>
      </c>
      <c r="H688" s="69">
        <v>3517.5</v>
      </c>
      <c r="U688" s="69"/>
      <c r="V688" s="69"/>
      <c r="AR688" s="74">
        <f t="shared" si="67"/>
        <v>3517.5</v>
      </c>
      <c r="AS688" s="69">
        <v>2350.35</v>
      </c>
      <c r="AT688" s="69">
        <v>319.64999999999998</v>
      </c>
      <c r="AU688" s="69">
        <v>847.5</v>
      </c>
      <c r="BC688" s="69"/>
      <c r="BD688" s="69"/>
      <c r="CC688" s="74">
        <f t="shared" si="68"/>
        <v>3517.5</v>
      </c>
      <c r="CD688" s="73">
        <f t="shared" si="66"/>
        <v>0</v>
      </c>
      <c r="CE688" s="75">
        <f t="shared" si="69"/>
        <v>9017</v>
      </c>
      <c r="CF688" s="3" t="str">
        <f t="shared" si="69"/>
        <v>برنامج دولى</v>
      </c>
    </row>
    <row r="689" spans="3:84" x14ac:dyDescent="0.25">
      <c r="C689" s="82">
        <v>14940</v>
      </c>
      <c r="D689" s="70">
        <v>9018</v>
      </c>
      <c r="E689" s="69" t="s">
        <v>78</v>
      </c>
      <c r="F689" s="69" t="s">
        <v>1468</v>
      </c>
      <c r="H689" s="69">
        <v>46359</v>
      </c>
      <c r="U689" s="69"/>
      <c r="V689" s="69"/>
      <c r="AR689" s="74">
        <f t="shared" si="67"/>
        <v>46359</v>
      </c>
      <c r="AS689" s="69">
        <v>31297.51</v>
      </c>
      <c r="AT689" s="69">
        <v>4238.05</v>
      </c>
      <c r="AU689" s="69">
        <v>10823.44</v>
      </c>
      <c r="BC689" s="69"/>
      <c r="BD689" s="69"/>
      <c r="CC689" s="74">
        <f t="shared" si="68"/>
        <v>46359</v>
      </c>
      <c r="CD689" s="73">
        <f t="shared" si="66"/>
        <v>0</v>
      </c>
      <c r="CE689" s="75">
        <f t="shared" si="69"/>
        <v>9018</v>
      </c>
      <c r="CF689" s="3" t="str">
        <f t="shared" si="69"/>
        <v>برنامج دولى</v>
      </c>
    </row>
    <row r="690" spans="3:84" x14ac:dyDescent="0.25">
      <c r="C690" s="82">
        <v>14939</v>
      </c>
      <c r="D690" s="70">
        <v>9019</v>
      </c>
      <c r="E690" s="69" t="s">
        <v>78</v>
      </c>
      <c r="F690" s="69" t="s">
        <v>1468</v>
      </c>
      <c r="H690" s="69">
        <v>10552.5</v>
      </c>
      <c r="U690" s="69"/>
      <c r="V690" s="69"/>
      <c r="AR690" s="74">
        <f t="shared" si="67"/>
        <v>10552.5</v>
      </c>
      <c r="AS690" s="69">
        <v>7043.55</v>
      </c>
      <c r="AT690" s="69">
        <f>66.45+900</f>
        <v>966.45</v>
      </c>
      <c r="AU690" s="69">
        <f>3508.95-900-66.45</f>
        <v>2542.5</v>
      </c>
      <c r="BC690" s="69"/>
      <c r="BD690" s="69"/>
      <c r="CC690" s="74">
        <f t="shared" si="68"/>
        <v>10552.5</v>
      </c>
      <c r="CD690" s="73">
        <f t="shared" si="66"/>
        <v>0</v>
      </c>
      <c r="CE690" s="75">
        <f t="shared" si="69"/>
        <v>9019</v>
      </c>
      <c r="CF690" s="3" t="str">
        <f t="shared" si="69"/>
        <v>برنامج دولى</v>
      </c>
    </row>
    <row r="691" spans="3:84" x14ac:dyDescent="0.25">
      <c r="C691" s="82">
        <v>14596</v>
      </c>
      <c r="D691" s="70">
        <v>9020</v>
      </c>
      <c r="E691" s="69" t="s">
        <v>78</v>
      </c>
      <c r="F691" s="69" t="s">
        <v>1469</v>
      </c>
      <c r="H691" s="69">
        <v>2286.38</v>
      </c>
      <c r="U691" s="69"/>
      <c r="V691" s="69"/>
      <c r="AR691" s="74">
        <f t="shared" si="67"/>
        <v>2286.38</v>
      </c>
      <c r="AS691" s="69">
        <v>1527.05</v>
      </c>
      <c r="AT691" s="69">
        <f>13.45+195</f>
        <v>208.45</v>
      </c>
      <c r="AU691" s="69">
        <f>759.33-208.45</f>
        <v>550.88000000000011</v>
      </c>
      <c r="BC691" s="69"/>
      <c r="BD691" s="69"/>
      <c r="CC691" s="74">
        <f t="shared" si="68"/>
        <v>2286.38</v>
      </c>
      <c r="CD691" s="73">
        <f t="shared" si="66"/>
        <v>0</v>
      </c>
      <c r="CE691" s="75">
        <f t="shared" si="69"/>
        <v>9020</v>
      </c>
      <c r="CF691" s="3" t="str">
        <f t="shared" si="69"/>
        <v>برنامج دولى</v>
      </c>
    </row>
    <row r="692" spans="3:84" x14ac:dyDescent="0.25">
      <c r="C692" s="82">
        <v>14895</v>
      </c>
      <c r="D692" s="70">
        <v>9021</v>
      </c>
      <c r="E692" s="69" t="s">
        <v>78</v>
      </c>
      <c r="F692" s="69" t="s">
        <v>1470</v>
      </c>
      <c r="H692" s="69">
        <v>12045.52</v>
      </c>
      <c r="U692" s="69"/>
      <c r="V692" s="69"/>
      <c r="AR692" s="74">
        <f t="shared" si="67"/>
        <v>12045.52</v>
      </c>
      <c r="AS692" s="69">
        <v>10672.43</v>
      </c>
      <c r="AT692" s="69">
        <v>1292.6400000000001</v>
      </c>
      <c r="AU692" s="69">
        <v>80.45</v>
      </c>
      <c r="BC692" s="69"/>
      <c r="BD692" s="69"/>
      <c r="CC692" s="74">
        <f t="shared" si="68"/>
        <v>12045.52</v>
      </c>
      <c r="CD692" s="73">
        <f t="shared" si="66"/>
        <v>0</v>
      </c>
      <c r="CE692" s="75">
        <f t="shared" si="69"/>
        <v>9021</v>
      </c>
      <c r="CF692" s="3" t="str">
        <f t="shared" si="69"/>
        <v>برنامج دولى</v>
      </c>
    </row>
    <row r="693" spans="3:84" x14ac:dyDescent="0.25">
      <c r="C693" s="82">
        <v>14458</v>
      </c>
      <c r="D693" s="70">
        <v>9022</v>
      </c>
      <c r="E693" s="69" t="s">
        <v>78</v>
      </c>
      <c r="F693" s="69" t="s">
        <v>1471</v>
      </c>
      <c r="H693" s="69">
        <v>6028.41</v>
      </c>
      <c r="U693" s="69"/>
      <c r="V693" s="69"/>
      <c r="AR693" s="74">
        <f t="shared" si="67"/>
        <v>6028.41</v>
      </c>
      <c r="AS693" s="69">
        <v>4050.9</v>
      </c>
      <c r="AT693" s="69">
        <v>538.95000000000005</v>
      </c>
      <c r="AU693" s="69">
        <v>1438.56</v>
      </c>
      <c r="BC693" s="69"/>
      <c r="BD693" s="69"/>
      <c r="CC693" s="74">
        <f t="shared" si="68"/>
        <v>6028.41</v>
      </c>
      <c r="CD693" s="73">
        <f t="shared" si="66"/>
        <v>0</v>
      </c>
      <c r="CE693" s="75">
        <f t="shared" si="69"/>
        <v>9022</v>
      </c>
      <c r="CF693" s="3" t="str">
        <f t="shared" si="69"/>
        <v>برنامج دولى</v>
      </c>
    </row>
    <row r="694" spans="3:84" x14ac:dyDescent="0.25">
      <c r="C694" s="82">
        <v>14463</v>
      </c>
      <c r="D694" s="70">
        <v>9023</v>
      </c>
      <c r="E694" s="69" t="s">
        <v>78</v>
      </c>
      <c r="F694" s="69" t="s">
        <v>1471</v>
      </c>
      <c r="H694" s="69">
        <v>586.25</v>
      </c>
      <c r="U694" s="69"/>
      <c r="V694" s="69"/>
      <c r="AR694" s="74">
        <f t="shared" si="67"/>
        <v>586.25</v>
      </c>
      <c r="AS694" s="69">
        <v>391.85</v>
      </c>
      <c r="AT694" s="69">
        <f>3.15+50</f>
        <v>53.15</v>
      </c>
      <c r="AU694" s="69">
        <f>194.4-53.15</f>
        <v>141.25</v>
      </c>
      <c r="BC694" s="69"/>
      <c r="BD694" s="69"/>
      <c r="CC694" s="74">
        <f t="shared" si="68"/>
        <v>586.25</v>
      </c>
      <c r="CD694" s="73">
        <f t="shared" si="66"/>
        <v>0</v>
      </c>
      <c r="CE694" s="75">
        <f t="shared" si="69"/>
        <v>9023</v>
      </c>
      <c r="CF694" s="3" t="str">
        <f t="shared" si="69"/>
        <v>برنامج دولى</v>
      </c>
    </row>
    <row r="695" spans="3:84" x14ac:dyDescent="0.25">
      <c r="C695" s="82">
        <v>14609</v>
      </c>
      <c r="D695" s="70">
        <v>9024</v>
      </c>
      <c r="E695" s="69" t="s">
        <v>78</v>
      </c>
      <c r="F695" s="69" t="s">
        <v>1010</v>
      </c>
      <c r="H695" s="69">
        <v>1688.4</v>
      </c>
      <c r="U695" s="69"/>
      <c r="V695" s="69"/>
      <c r="AR695" s="74">
        <f t="shared" si="67"/>
        <v>1688.4</v>
      </c>
      <c r="AS695" s="69">
        <v>1129.8499999999999</v>
      </c>
      <c r="AT695" s="69">
        <v>151.75</v>
      </c>
      <c r="AU695" s="69">
        <v>406.8</v>
      </c>
      <c r="BC695" s="69"/>
      <c r="BD695" s="69"/>
      <c r="CC695" s="74">
        <f t="shared" si="68"/>
        <v>1688.3999999999999</v>
      </c>
      <c r="CD695" s="73">
        <f t="shared" si="66"/>
        <v>0</v>
      </c>
      <c r="CE695" s="75">
        <f t="shared" si="69"/>
        <v>9024</v>
      </c>
      <c r="CF695" s="3" t="str">
        <f t="shared" si="69"/>
        <v>برنامج دولى</v>
      </c>
    </row>
    <row r="696" spans="3:84" x14ac:dyDescent="0.25">
      <c r="C696" s="82">
        <v>14824</v>
      </c>
      <c r="D696" s="70">
        <v>9025</v>
      </c>
      <c r="E696" s="69" t="s">
        <v>78</v>
      </c>
      <c r="F696" s="69" t="s">
        <v>567</v>
      </c>
      <c r="H696" s="69">
        <v>444.4</v>
      </c>
      <c r="U696" s="69"/>
      <c r="V696" s="69"/>
      <c r="AR696" s="74">
        <f t="shared" si="67"/>
        <v>444.4</v>
      </c>
      <c r="AS696" s="69">
        <v>268.94</v>
      </c>
      <c r="AT696" s="69">
        <v>37.25</v>
      </c>
      <c r="AU696" s="69">
        <v>138.21</v>
      </c>
      <c r="BC696" s="69"/>
      <c r="BD696" s="69"/>
      <c r="CC696" s="74">
        <f t="shared" si="68"/>
        <v>444.4</v>
      </c>
      <c r="CD696" s="73">
        <f t="shared" si="66"/>
        <v>0</v>
      </c>
      <c r="CE696" s="75">
        <f t="shared" si="69"/>
        <v>9025</v>
      </c>
      <c r="CF696" s="3" t="str">
        <f t="shared" si="69"/>
        <v>برنامج دولى</v>
      </c>
    </row>
    <row r="697" spans="3:84" x14ac:dyDescent="0.25">
      <c r="C697" s="82">
        <v>14825</v>
      </c>
      <c r="D697" s="70">
        <v>9026</v>
      </c>
      <c r="E697" s="69" t="s">
        <v>78</v>
      </c>
      <c r="F697" s="69" t="s">
        <v>567</v>
      </c>
      <c r="H697" s="69">
        <v>7841.4</v>
      </c>
      <c r="U697" s="69"/>
      <c r="V697" s="69"/>
      <c r="AR697" s="74">
        <f t="shared" si="67"/>
        <v>7841.4</v>
      </c>
      <c r="AS697" s="69">
        <v>6936.6</v>
      </c>
      <c r="AT697" s="69">
        <v>837</v>
      </c>
      <c r="AU697" s="69">
        <v>67.8</v>
      </c>
      <c r="BC697" s="69"/>
      <c r="BD697" s="69"/>
      <c r="CC697" s="74">
        <f t="shared" si="68"/>
        <v>7841.4000000000005</v>
      </c>
      <c r="CD697" s="73">
        <f t="shared" si="66"/>
        <v>0</v>
      </c>
      <c r="CE697" s="75">
        <f t="shared" si="69"/>
        <v>9026</v>
      </c>
      <c r="CF697" s="3" t="str">
        <f t="shared" si="69"/>
        <v>برنامج دولى</v>
      </c>
    </row>
    <row r="698" spans="3:84" x14ac:dyDescent="0.25">
      <c r="C698" s="82">
        <v>14828</v>
      </c>
      <c r="D698" s="70">
        <v>9027</v>
      </c>
      <c r="E698" s="69" t="s">
        <v>78</v>
      </c>
      <c r="F698" s="69" t="s">
        <v>567</v>
      </c>
      <c r="H698" s="69">
        <v>555.5</v>
      </c>
      <c r="U698" s="69"/>
      <c r="V698" s="69"/>
      <c r="AR698" s="74">
        <f t="shared" si="67"/>
        <v>555.5</v>
      </c>
      <c r="AS698" s="69">
        <v>335.92</v>
      </c>
      <c r="AT698" s="69">
        <v>46.8</v>
      </c>
      <c r="AU698" s="69">
        <v>172.78</v>
      </c>
      <c r="BC698" s="69"/>
      <c r="BD698" s="69"/>
      <c r="CC698" s="74">
        <f t="shared" si="68"/>
        <v>555.5</v>
      </c>
      <c r="CD698" s="73">
        <f t="shared" si="66"/>
        <v>0</v>
      </c>
      <c r="CE698" s="75">
        <f t="shared" si="69"/>
        <v>9027</v>
      </c>
      <c r="CF698" s="3" t="str">
        <f t="shared" si="69"/>
        <v>برنامج دولى</v>
      </c>
    </row>
    <row r="699" spans="3:84" x14ac:dyDescent="0.25">
      <c r="C699" s="82">
        <v>14826</v>
      </c>
      <c r="D699" s="70">
        <v>9028</v>
      </c>
      <c r="E699" s="69" t="s">
        <v>78</v>
      </c>
      <c r="F699" s="69" t="s">
        <v>567</v>
      </c>
      <c r="H699" s="69">
        <v>222.2</v>
      </c>
      <c r="U699" s="69"/>
      <c r="V699" s="69"/>
      <c r="AR699" s="74">
        <f t="shared" si="67"/>
        <v>222.2</v>
      </c>
      <c r="AS699" s="69">
        <v>134.72999999999999</v>
      </c>
      <c r="AT699" s="69">
        <v>18.350000000000001</v>
      </c>
      <c r="AU699" s="69">
        <v>69.12</v>
      </c>
      <c r="BC699" s="69"/>
      <c r="BD699" s="69"/>
      <c r="CC699" s="74">
        <f t="shared" si="68"/>
        <v>222.2</v>
      </c>
      <c r="CD699" s="73">
        <f t="shared" si="66"/>
        <v>0</v>
      </c>
      <c r="CE699" s="75">
        <f t="shared" si="69"/>
        <v>9028</v>
      </c>
      <c r="CF699" s="3" t="str">
        <f t="shared" si="69"/>
        <v>برنامج دولى</v>
      </c>
    </row>
    <row r="700" spans="3:84" x14ac:dyDescent="0.25">
      <c r="C700" s="82">
        <v>14610</v>
      </c>
      <c r="D700" s="70">
        <v>9029</v>
      </c>
      <c r="E700" s="69" t="s">
        <v>78</v>
      </c>
      <c r="F700" s="69" t="str">
        <f>+F695</f>
        <v>عب تدريس طب مجتمع</v>
      </c>
      <c r="H700" s="69">
        <v>2532.6</v>
      </c>
      <c r="U700" s="69"/>
      <c r="V700" s="69"/>
      <c r="AR700" s="74">
        <f t="shared" si="67"/>
        <v>2532.6</v>
      </c>
      <c r="AS700" s="69">
        <v>1695.05</v>
      </c>
      <c r="AT700" s="69">
        <v>227.35</v>
      </c>
      <c r="AU700" s="69">
        <v>610.20000000000005</v>
      </c>
      <c r="BC700" s="69"/>
      <c r="BD700" s="69"/>
      <c r="CC700" s="74">
        <f t="shared" si="68"/>
        <v>2532.6</v>
      </c>
      <c r="CD700" s="73">
        <f t="shared" si="66"/>
        <v>0</v>
      </c>
      <c r="CE700" s="75">
        <f t="shared" si="69"/>
        <v>9029</v>
      </c>
      <c r="CF700" s="3" t="str">
        <f t="shared" si="69"/>
        <v>برنامج دولى</v>
      </c>
    </row>
    <row r="701" spans="3:84" x14ac:dyDescent="0.25">
      <c r="C701" s="82">
        <v>14787</v>
      </c>
      <c r="D701" s="70">
        <v>9030</v>
      </c>
      <c r="E701" s="69" t="s">
        <v>78</v>
      </c>
      <c r="F701" s="69" t="s">
        <v>1472</v>
      </c>
      <c r="H701" s="69">
        <v>2540.91</v>
      </c>
      <c r="U701" s="69"/>
      <c r="V701" s="69"/>
      <c r="AR701" s="74">
        <f t="shared" si="67"/>
        <v>2540.91</v>
      </c>
      <c r="AS701" s="69">
        <v>1869.79</v>
      </c>
      <c r="AT701" s="69">
        <v>112.82</v>
      </c>
      <c r="AU701" s="69">
        <v>558.29999999999995</v>
      </c>
      <c r="BC701" s="69"/>
      <c r="BD701" s="69"/>
      <c r="CC701" s="74">
        <f t="shared" ref="CC701:CC709" si="70">SUM(AS701:CB701)</f>
        <v>2540.91</v>
      </c>
      <c r="CD701" s="73">
        <f t="shared" si="66"/>
        <v>0</v>
      </c>
      <c r="CE701" s="75">
        <f t="shared" ref="CE701:CF716" si="71">+D701</f>
        <v>9030</v>
      </c>
      <c r="CF701" s="3" t="str">
        <f t="shared" si="71"/>
        <v>برنامج دولى</v>
      </c>
    </row>
    <row r="702" spans="3:84" x14ac:dyDescent="0.25">
      <c r="C702" s="82">
        <v>14820</v>
      </c>
      <c r="D702" s="70">
        <v>9031</v>
      </c>
      <c r="E702" s="69" t="s">
        <v>78</v>
      </c>
      <c r="F702" s="69" t="s">
        <v>1004</v>
      </c>
      <c r="H702" s="69">
        <v>5865.75</v>
      </c>
      <c r="U702" s="69"/>
      <c r="V702" s="69"/>
      <c r="AR702" s="74">
        <f t="shared" si="67"/>
        <v>5865.75</v>
      </c>
      <c r="AS702" s="69">
        <v>4525.45</v>
      </c>
      <c r="AT702" s="69">
        <v>577.54999999999995</v>
      </c>
      <c r="AU702" s="69">
        <v>762.75</v>
      </c>
      <c r="BC702" s="69"/>
      <c r="BD702" s="69"/>
      <c r="CC702" s="74">
        <f t="shared" si="70"/>
        <v>5865.75</v>
      </c>
      <c r="CD702" s="73">
        <f t="shared" si="66"/>
        <v>0</v>
      </c>
      <c r="CE702" s="75">
        <f t="shared" si="71"/>
        <v>9031</v>
      </c>
      <c r="CF702" s="3" t="str">
        <f t="shared" si="71"/>
        <v>برنامج دولى</v>
      </c>
    </row>
    <row r="703" spans="3:84" x14ac:dyDescent="0.25">
      <c r="C703" s="82">
        <v>14821</v>
      </c>
      <c r="D703" s="70">
        <v>9032</v>
      </c>
      <c r="E703" s="69" t="s">
        <v>78</v>
      </c>
      <c r="F703" s="69" t="s">
        <v>1004</v>
      </c>
      <c r="H703" s="69">
        <v>3165.75</v>
      </c>
      <c r="U703" s="69"/>
      <c r="V703" s="69"/>
      <c r="AR703" s="74">
        <f t="shared" si="67"/>
        <v>3165.75</v>
      </c>
      <c r="AS703" s="69">
        <v>2116.75</v>
      </c>
      <c r="AT703" s="69">
        <v>286.25</v>
      </c>
      <c r="AU703" s="69">
        <v>762.75</v>
      </c>
      <c r="BC703" s="69"/>
      <c r="BD703" s="69"/>
      <c r="CC703" s="74">
        <f t="shared" si="70"/>
        <v>3165.75</v>
      </c>
      <c r="CD703" s="73">
        <f t="shared" si="66"/>
        <v>0</v>
      </c>
      <c r="CE703" s="75">
        <f t="shared" si="71"/>
        <v>9032</v>
      </c>
      <c r="CF703" s="3" t="str">
        <f t="shared" si="71"/>
        <v>برنامج دولى</v>
      </c>
    </row>
    <row r="704" spans="3:84" x14ac:dyDescent="0.25">
      <c r="C704" s="82">
        <v>14819</v>
      </c>
      <c r="D704" s="70">
        <v>9033</v>
      </c>
      <c r="E704" s="69" t="s">
        <v>78</v>
      </c>
      <c r="F704" s="69" t="s">
        <v>1004</v>
      </c>
      <c r="H704" s="69">
        <v>21929.29</v>
      </c>
      <c r="U704" s="69"/>
      <c r="V704" s="69"/>
      <c r="AR704" s="74">
        <f t="shared" si="67"/>
        <v>21929.29</v>
      </c>
      <c r="AS704" s="69">
        <v>18341.02</v>
      </c>
      <c r="AT704" s="69">
        <v>2262.9</v>
      </c>
      <c r="AU704" s="69">
        <v>1325.37</v>
      </c>
      <c r="BC704" s="69"/>
      <c r="BD704" s="69"/>
      <c r="CC704" s="74">
        <f t="shared" si="70"/>
        <v>21929.29</v>
      </c>
      <c r="CD704" s="73">
        <f t="shared" si="66"/>
        <v>0</v>
      </c>
      <c r="CE704" s="75">
        <f t="shared" si="71"/>
        <v>9033</v>
      </c>
      <c r="CF704" s="3" t="str">
        <f t="shared" si="71"/>
        <v>برنامج دولى</v>
      </c>
    </row>
    <row r="705" spans="2:84" x14ac:dyDescent="0.25">
      <c r="C705" s="82">
        <v>14954</v>
      </c>
      <c r="D705" s="70">
        <v>9034</v>
      </c>
      <c r="E705" s="69" t="s">
        <v>119</v>
      </c>
      <c r="F705" s="69" t="s">
        <v>1023</v>
      </c>
      <c r="H705" s="69">
        <v>2870.19</v>
      </c>
      <c r="U705" s="69"/>
      <c r="V705" s="69"/>
      <c r="AR705" s="74">
        <f t="shared" si="67"/>
        <v>2870.19</v>
      </c>
      <c r="AS705" s="69">
        <v>1829.13</v>
      </c>
      <c r="AT705" s="69">
        <v>214.54</v>
      </c>
      <c r="AU705" s="69">
        <v>704.52</v>
      </c>
      <c r="AV705" s="69">
        <v>122</v>
      </c>
      <c r="BC705" s="69"/>
      <c r="BD705" s="69"/>
      <c r="CC705" s="74">
        <f t="shared" si="70"/>
        <v>2870.19</v>
      </c>
      <c r="CD705" s="73">
        <f t="shared" si="66"/>
        <v>0</v>
      </c>
      <c r="CE705" s="75">
        <f t="shared" si="71"/>
        <v>9034</v>
      </c>
      <c r="CF705" s="3" t="str">
        <f t="shared" si="71"/>
        <v>خ ت صيدلة</v>
      </c>
    </row>
    <row r="706" spans="2:84" x14ac:dyDescent="0.25">
      <c r="C706" s="82">
        <v>14956</v>
      </c>
      <c r="D706" s="70">
        <v>9035</v>
      </c>
      <c r="E706" s="69" t="s">
        <v>119</v>
      </c>
      <c r="F706" s="69" t="s">
        <v>1023</v>
      </c>
      <c r="H706" s="69">
        <v>2637.91</v>
      </c>
      <c r="U706" s="69"/>
      <c r="V706" s="69"/>
      <c r="AR706" s="74">
        <f t="shared" si="67"/>
        <v>2637.91</v>
      </c>
      <c r="AS706" s="69">
        <v>1985.89</v>
      </c>
      <c r="AT706" s="69">
        <f>12.1+50.92</f>
        <v>63.02</v>
      </c>
      <c r="AU706" s="69">
        <v>471.5</v>
      </c>
      <c r="AV706" s="69">
        <v>117.5</v>
      </c>
      <c r="BC706" s="69"/>
      <c r="BD706" s="69"/>
      <c r="CC706" s="74">
        <f t="shared" si="70"/>
        <v>2637.9100000000003</v>
      </c>
      <c r="CD706" s="73">
        <f t="shared" si="66"/>
        <v>0</v>
      </c>
      <c r="CE706" s="75">
        <f t="shared" si="71"/>
        <v>9035</v>
      </c>
      <c r="CF706" s="3" t="str">
        <f t="shared" si="71"/>
        <v>خ ت صيدلة</v>
      </c>
    </row>
    <row r="707" spans="2:84" x14ac:dyDescent="0.25">
      <c r="C707" s="82">
        <v>14955</v>
      </c>
      <c r="D707" s="70">
        <v>9036</v>
      </c>
      <c r="E707" s="69" t="s">
        <v>119</v>
      </c>
      <c r="F707" s="69" t="s">
        <v>1023</v>
      </c>
      <c r="H707" s="69">
        <v>8406.82</v>
      </c>
      <c r="U707" s="69"/>
      <c r="V707" s="69"/>
      <c r="AR707" s="74">
        <f t="shared" si="67"/>
        <v>8406.82</v>
      </c>
      <c r="AS707" s="69">
        <v>5090.09</v>
      </c>
      <c r="AT707" s="69">
        <v>932.71</v>
      </c>
      <c r="AU707" s="69">
        <v>2025.52</v>
      </c>
      <c r="AV707" s="69">
        <v>358.5</v>
      </c>
      <c r="BC707" s="69"/>
      <c r="BD707" s="69"/>
      <c r="CC707" s="74">
        <f t="shared" si="70"/>
        <v>8406.82</v>
      </c>
      <c r="CD707" s="73">
        <f t="shared" ref="CD707:CD770" si="72">+CC707-AR707</f>
        <v>0</v>
      </c>
      <c r="CE707" s="75">
        <f t="shared" si="71"/>
        <v>9036</v>
      </c>
      <c r="CF707" s="3" t="str">
        <f t="shared" si="71"/>
        <v>خ ت صيدلة</v>
      </c>
    </row>
    <row r="708" spans="2:84" x14ac:dyDescent="0.25">
      <c r="C708" s="82">
        <v>14952</v>
      </c>
      <c r="D708" s="70">
        <v>9037</v>
      </c>
      <c r="E708" s="69" t="s">
        <v>119</v>
      </c>
      <c r="F708" s="69" t="s">
        <v>1473</v>
      </c>
      <c r="H708" s="69">
        <v>3360</v>
      </c>
      <c r="U708" s="69"/>
      <c r="V708" s="69"/>
      <c r="AR708" s="74">
        <f t="shared" si="67"/>
        <v>3360</v>
      </c>
      <c r="AS708" s="69">
        <v>2534</v>
      </c>
      <c r="AT708" s="69">
        <v>658</v>
      </c>
      <c r="AV708" s="69">
        <v>168</v>
      </c>
      <c r="BC708" s="69"/>
      <c r="BD708" s="69"/>
      <c r="CC708" s="74">
        <f t="shared" si="70"/>
        <v>3360</v>
      </c>
      <c r="CD708" s="73">
        <f t="shared" si="72"/>
        <v>0</v>
      </c>
      <c r="CE708" s="75">
        <f t="shared" si="71"/>
        <v>9037</v>
      </c>
      <c r="CF708" s="3" t="str">
        <f t="shared" si="71"/>
        <v>خ ت صيدلة</v>
      </c>
    </row>
    <row r="709" spans="2:84" x14ac:dyDescent="0.25">
      <c r="C709" s="82">
        <v>14953</v>
      </c>
      <c r="D709" s="70">
        <v>9038</v>
      </c>
      <c r="E709" s="69" t="s">
        <v>119</v>
      </c>
      <c r="F709" s="69" t="str">
        <f>+F707</f>
        <v xml:space="preserve">مكافاه اداريين وعمال </v>
      </c>
      <c r="H709" s="69">
        <v>250</v>
      </c>
      <c r="U709" s="69"/>
      <c r="V709" s="69"/>
      <c r="AR709" s="74">
        <f t="shared" si="67"/>
        <v>250</v>
      </c>
      <c r="AS709" s="69">
        <v>212.67</v>
      </c>
      <c r="AT709" s="69">
        <v>24.83</v>
      </c>
      <c r="AV709" s="69">
        <v>12.5</v>
      </c>
      <c r="BC709" s="69"/>
      <c r="BD709" s="69"/>
      <c r="CC709" s="74">
        <f t="shared" si="70"/>
        <v>250</v>
      </c>
      <c r="CD709" s="73">
        <f t="shared" si="72"/>
        <v>0</v>
      </c>
      <c r="CE709" s="75">
        <f t="shared" si="71"/>
        <v>9038</v>
      </c>
      <c r="CF709" s="3" t="str">
        <f t="shared" si="71"/>
        <v>خ ت صيدلة</v>
      </c>
    </row>
    <row r="710" spans="2:84" x14ac:dyDescent="0.25">
      <c r="C710" s="82">
        <v>14959</v>
      </c>
      <c r="D710" s="70">
        <v>9039</v>
      </c>
      <c r="E710" s="69" t="s">
        <v>132</v>
      </c>
      <c r="F710" s="69" t="s">
        <v>1474</v>
      </c>
      <c r="H710" s="69">
        <v>6100</v>
      </c>
      <c r="U710" s="69"/>
      <c r="V710" s="69"/>
      <c r="AR710" s="74">
        <f t="shared" si="67"/>
        <v>6100</v>
      </c>
      <c r="AS710" s="69">
        <v>5444.99</v>
      </c>
      <c r="AT710" s="69">
        <v>655.01</v>
      </c>
      <c r="BC710" s="69"/>
      <c r="BD710" s="69"/>
      <c r="CC710" s="74">
        <f t="shared" ref="CC710:CC713" si="73">SUM(AS710:CB710)</f>
        <v>6100</v>
      </c>
      <c r="CD710" s="73">
        <f t="shared" si="72"/>
        <v>0</v>
      </c>
      <c r="CE710" s="75">
        <f t="shared" si="71"/>
        <v>9039</v>
      </c>
      <c r="CF710" s="3" t="str">
        <f t="shared" si="71"/>
        <v>صيدلة اكلينيكى</v>
      </c>
    </row>
    <row r="711" spans="2:84" x14ac:dyDescent="0.25">
      <c r="C711" s="82">
        <v>14960</v>
      </c>
      <c r="D711" s="70">
        <v>9040</v>
      </c>
      <c r="E711" s="69" t="s">
        <v>132</v>
      </c>
      <c r="F711" s="69" t="s">
        <v>1238</v>
      </c>
      <c r="H711" s="69">
        <v>4221</v>
      </c>
      <c r="U711" s="69"/>
      <c r="V711" s="69"/>
      <c r="AR711" s="74">
        <f t="shared" ref="AR711:AR774" si="74">SUM(H711:AQ711)</f>
        <v>4221</v>
      </c>
      <c r="AS711" s="69">
        <v>3100.79</v>
      </c>
      <c r="AT711" s="69">
        <f>23.7+79.51</f>
        <v>103.21000000000001</v>
      </c>
      <c r="AU711" s="69">
        <v>1017</v>
      </c>
      <c r="BC711" s="69"/>
      <c r="BD711" s="69"/>
      <c r="CC711" s="74">
        <f t="shared" si="73"/>
        <v>4221</v>
      </c>
      <c r="CD711" s="73">
        <f t="shared" si="72"/>
        <v>0</v>
      </c>
      <c r="CE711" s="75">
        <f t="shared" si="71"/>
        <v>9040</v>
      </c>
      <c r="CF711" s="3" t="str">
        <f t="shared" si="71"/>
        <v>صيدلة اكلينيكى</v>
      </c>
    </row>
    <row r="712" spans="2:84" x14ac:dyDescent="0.25">
      <c r="B712" s="69" t="s">
        <v>1475</v>
      </c>
      <c r="C712" s="82">
        <v>14958</v>
      </c>
      <c r="D712" s="70">
        <v>9041</v>
      </c>
      <c r="E712" s="69" t="s">
        <v>132</v>
      </c>
      <c r="F712" s="69" t="s">
        <v>1476</v>
      </c>
      <c r="H712" s="69">
        <v>15600</v>
      </c>
      <c r="U712" s="69"/>
      <c r="V712" s="69"/>
      <c r="AR712" s="74">
        <f t="shared" si="74"/>
        <v>15600</v>
      </c>
      <c r="AS712" s="69">
        <v>14172.43</v>
      </c>
      <c r="AT712" s="69">
        <f>114.2+363.37</f>
        <v>477.57</v>
      </c>
      <c r="AV712" s="69">
        <v>950</v>
      </c>
      <c r="BC712" s="69"/>
      <c r="BD712" s="69"/>
      <c r="CC712" s="74">
        <f t="shared" si="73"/>
        <v>15600</v>
      </c>
      <c r="CD712" s="73">
        <f t="shared" si="72"/>
        <v>0</v>
      </c>
      <c r="CE712" s="75">
        <f t="shared" si="71"/>
        <v>9041</v>
      </c>
      <c r="CF712" s="3" t="str">
        <f t="shared" si="71"/>
        <v>صيدلة اكلينيكى</v>
      </c>
    </row>
    <row r="713" spans="2:84" x14ac:dyDescent="0.25">
      <c r="C713" s="82">
        <v>14957</v>
      </c>
      <c r="D713" s="70">
        <v>9042</v>
      </c>
      <c r="E713" s="69" t="s">
        <v>132</v>
      </c>
      <c r="F713" s="69" t="s">
        <v>1476</v>
      </c>
      <c r="H713" s="69">
        <v>52176.26</v>
      </c>
      <c r="U713" s="69"/>
      <c r="V713" s="69"/>
      <c r="AR713" s="74">
        <f t="shared" si="74"/>
        <v>52176.26</v>
      </c>
      <c r="AS713" s="69">
        <v>37257.32</v>
      </c>
      <c r="AT713" s="69">
        <f>292.4+955.28</f>
        <v>1247.6799999999998</v>
      </c>
      <c r="AU713" s="69">
        <v>12571.26</v>
      </c>
      <c r="AV713" s="69">
        <v>1100</v>
      </c>
      <c r="BC713" s="69"/>
      <c r="BD713" s="69"/>
      <c r="CC713" s="74">
        <f t="shared" si="73"/>
        <v>52176.26</v>
      </c>
      <c r="CD713" s="73">
        <f t="shared" si="72"/>
        <v>0</v>
      </c>
      <c r="CE713" s="75">
        <f t="shared" si="71"/>
        <v>9042</v>
      </c>
      <c r="CF713" s="3" t="str">
        <f t="shared" si="71"/>
        <v>صيدلة اكلينيكى</v>
      </c>
    </row>
    <row r="714" spans="2:84" x14ac:dyDescent="0.25">
      <c r="C714" s="82">
        <v>13260</v>
      </c>
      <c r="D714" s="70">
        <v>9043</v>
      </c>
      <c r="E714" s="69" t="s">
        <v>132</v>
      </c>
      <c r="F714" s="69" t="s">
        <v>1477</v>
      </c>
      <c r="H714" s="69">
        <v>524.84</v>
      </c>
      <c r="U714" s="69"/>
      <c r="V714" s="69"/>
      <c r="AR714" s="74">
        <f t="shared" si="74"/>
        <v>524.84</v>
      </c>
      <c r="AS714" s="69">
        <v>469.01</v>
      </c>
      <c r="AT714" s="69">
        <v>55.83</v>
      </c>
      <c r="BC714" s="69"/>
      <c r="BD714" s="69"/>
      <c r="CC714" s="74">
        <f t="shared" ref="CC714:CC751" si="75">SUM(AS714:CB714)</f>
        <v>524.84</v>
      </c>
      <c r="CD714" s="73">
        <f t="shared" si="72"/>
        <v>0</v>
      </c>
      <c r="CE714" s="75">
        <f t="shared" si="71"/>
        <v>9043</v>
      </c>
      <c r="CF714" s="3" t="str">
        <f t="shared" si="71"/>
        <v>صيدلة اكلينيكى</v>
      </c>
    </row>
    <row r="715" spans="2:84" x14ac:dyDescent="0.25">
      <c r="C715" s="82">
        <v>13222</v>
      </c>
      <c r="D715" s="70">
        <v>9044</v>
      </c>
      <c r="E715" s="69" t="s">
        <v>123</v>
      </c>
      <c r="F715" s="69" t="s">
        <v>1478</v>
      </c>
      <c r="H715" s="69">
        <v>17118.5</v>
      </c>
      <c r="U715" s="69"/>
      <c r="V715" s="69"/>
      <c r="AR715" s="74">
        <f t="shared" si="74"/>
        <v>17118.5</v>
      </c>
      <c r="AS715" s="69">
        <v>10709.45</v>
      </c>
      <c r="AT715" s="69">
        <v>1554.55</v>
      </c>
      <c r="AU715" s="69">
        <v>4124.5</v>
      </c>
      <c r="AV715" s="69">
        <v>730</v>
      </c>
      <c r="BC715" s="69"/>
      <c r="BD715" s="69"/>
      <c r="CC715" s="74">
        <f t="shared" si="75"/>
        <v>17118.5</v>
      </c>
      <c r="CD715" s="73">
        <f t="shared" si="72"/>
        <v>0</v>
      </c>
      <c r="CE715" s="75">
        <f t="shared" si="71"/>
        <v>9044</v>
      </c>
      <c r="CF715" s="3" t="str">
        <f t="shared" si="71"/>
        <v>خ ت اسنان</v>
      </c>
    </row>
    <row r="716" spans="2:84" x14ac:dyDescent="0.25">
      <c r="C716" s="82">
        <v>13223</v>
      </c>
      <c r="D716" s="70">
        <v>9045</v>
      </c>
      <c r="E716" s="69" t="s">
        <v>123</v>
      </c>
      <c r="F716" s="69" t="s">
        <v>1478</v>
      </c>
      <c r="H716" s="69">
        <v>10552.5</v>
      </c>
      <c r="U716" s="69"/>
      <c r="V716" s="69"/>
      <c r="AR716" s="74">
        <f t="shared" si="74"/>
        <v>10552.5</v>
      </c>
      <c r="AS716" s="69">
        <v>6601.75</v>
      </c>
      <c r="AT716" s="69">
        <v>958.25</v>
      </c>
      <c r="AU716" s="69">
        <v>2542.5</v>
      </c>
      <c r="AV716" s="69">
        <v>450</v>
      </c>
      <c r="BC716" s="69"/>
      <c r="BD716" s="69"/>
      <c r="CC716" s="74">
        <f t="shared" si="75"/>
        <v>10552.5</v>
      </c>
      <c r="CD716" s="73">
        <f t="shared" si="72"/>
        <v>0</v>
      </c>
      <c r="CE716" s="75">
        <f t="shared" si="71"/>
        <v>9045</v>
      </c>
      <c r="CF716" s="3" t="str">
        <f t="shared" si="71"/>
        <v>خ ت اسنان</v>
      </c>
    </row>
    <row r="717" spans="2:84" x14ac:dyDescent="0.25">
      <c r="C717" s="82">
        <v>13202</v>
      </c>
      <c r="D717" s="70">
        <v>9046</v>
      </c>
      <c r="E717" s="69" t="s">
        <v>130</v>
      </c>
      <c r="F717" s="69" t="s">
        <v>1479</v>
      </c>
      <c r="H717" s="69">
        <v>15813.43</v>
      </c>
      <c r="U717" s="69"/>
      <c r="V717" s="69"/>
      <c r="AR717" s="74">
        <f t="shared" si="74"/>
        <v>15813.43</v>
      </c>
      <c r="AS717" s="69">
        <v>11857.66</v>
      </c>
      <c r="AT717" s="69">
        <v>3080.26</v>
      </c>
      <c r="AU717" s="69">
        <v>87.51</v>
      </c>
      <c r="AV717" s="69">
        <v>788</v>
      </c>
      <c r="BC717" s="69"/>
      <c r="BD717" s="69"/>
      <c r="CC717" s="74">
        <f t="shared" si="75"/>
        <v>15813.43</v>
      </c>
      <c r="CD717" s="73">
        <f t="shared" si="72"/>
        <v>0</v>
      </c>
      <c r="CE717" s="75">
        <f t="shared" ref="CE717:CF754" si="76">+D717</f>
        <v>9046</v>
      </c>
      <c r="CF717" s="3" t="str">
        <f t="shared" si="76"/>
        <v>خ ت طب</v>
      </c>
    </row>
    <row r="718" spans="2:84" ht="36" x14ac:dyDescent="0.25">
      <c r="B718" s="69" t="s">
        <v>599</v>
      </c>
      <c r="C718" s="82">
        <v>14573</v>
      </c>
      <c r="D718" s="70">
        <v>9047</v>
      </c>
      <c r="E718" s="69" t="s">
        <v>121</v>
      </c>
      <c r="F718" s="77" t="s">
        <v>1480</v>
      </c>
      <c r="I718" s="69">
        <v>7500</v>
      </c>
      <c r="U718" s="69"/>
      <c r="V718" s="69"/>
      <c r="AR718" s="74">
        <f>SUM(H718:AQ718)</f>
        <v>7500</v>
      </c>
      <c r="AS718" s="69">
        <v>6761.5</v>
      </c>
      <c r="AT718" s="69">
        <f>105+315+36</f>
        <v>456</v>
      </c>
      <c r="AV718" s="69">
        <v>5</v>
      </c>
      <c r="BC718" s="69"/>
      <c r="BD718" s="69"/>
      <c r="BF718" s="69">
        <v>197.5</v>
      </c>
      <c r="BG718" s="69">
        <v>80</v>
      </c>
      <c r="CC718" s="74">
        <f>SUM(AS718:CB718)</f>
        <v>7500</v>
      </c>
      <c r="CD718" s="73">
        <f>+CC718-AR718</f>
        <v>0</v>
      </c>
      <c r="CE718" s="75">
        <f>+D718</f>
        <v>9047</v>
      </c>
      <c r="CF718" s="3" t="str">
        <f>+E718</f>
        <v>ماليزى اسنان</v>
      </c>
    </row>
    <row r="719" spans="2:84" ht="54" x14ac:dyDescent="0.25">
      <c r="C719" s="82">
        <v>15064</v>
      </c>
      <c r="D719" s="70">
        <v>9048</v>
      </c>
      <c r="E719" s="69" t="s">
        <v>121</v>
      </c>
      <c r="F719" s="77" t="s">
        <v>1481</v>
      </c>
      <c r="I719" s="69">
        <v>332167.5</v>
      </c>
      <c r="U719" s="69"/>
      <c r="V719" s="69"/>
      <c r="AR719" s="74">
        <f t="shared" si="74"/>
        <v>332167.5</v>
      </c>
      <c r="AS719" s="69">
        <v>332167.5</v>
      </c>
      <c r="AT719" s="69"/>
      <c r="BC719" s="69"/>
      <c r="BD719" s="69"/>
      <c r="CC719" s="74">
        <f t="shared" si="75"/>
        <v>332167.5</v>
      </c>
      <c r="CD719" s="73">
        <f t="shared" si="72"/>
        <v>0</v>
      </c>
      <c r="CE719" s="75">
        <f t="shared" si="76"/>
        <v>9048</v>
      </c>
      <c r="CF719" s="3" t="str">
        <f t="shared" si="76"/>
        <v>ماليزى اسنان</v>
      </c>
    </row>
    <row r="720" spans="2:84" x14ac:dyDescent="0.25">
      <c r="C720" s="82">
        <v>14737</v>
      </c>
      <c r="D720" s="70">
        <v>9049</v>
      </c>
      <c r="E720" s="69" t="s">
        <v>128</v>
      </c>
      <c r="F720" s="69" t="s">
        <v>1482</v>
      </c>
      <c r="I720" s="69">
        <v>43750</v>
      </c>
      <c r="U720" s="69"/>
      <c r="V720" s="69"/>
      <c r="AR720" s="74">
        <f t="shared" si="74"/>
        <v>43750</v>
      </c>
      <c r="AS720" s="69">
        <v>41741.5</v>
      </c>
      <c r="AT720" s="69">
        <v>1486</v>
      </c>
      <c r="AV720" s="69">
        <v>5</v>
      </c>
      <c r="BC720" s="69"/>
      <c r="BD720" s="69"/>
      <c r="BF720" s="69">
        <v>437.5</v>
      </c>
      <c r="BG720" s="69">
        <v>80</v>
      </c>
      <c r="CC720" s="74">
        <f t="shared" si="75"/>
        <v>43750</v>
      </c>
      <c r="CD720" s="73">
        <f t="shared" si="72"/>
        <v>0</v>
      </c>
      <c r="CE720" s="75">
        <f t="shared" si="76"/>
        <v>9049</v>
      </c>
      <c r="CF720" s="3" t="str">
        <f t="shared" si="76"/>
        <v>مركز مؤتمرات</v>
      </c>
    </row>
    <row r="721" spans="3:84" x14ac:dyDescent="0.25">
      <c r="C721" s="82">
        <v>12858</v>
      </c>
      <c r="D721" s="70">
        <v>9050</v>
      </c>
      <c r="E721" s="69" t="s">
        <v>132</v>
      </c>
      <c r="F721" s="69" t="s">
        <v>1483</v>
      </c>
      <c r="I721" s="69">
        <v>3656</v>
      </c>
      <c r="U721" s="69"/>
      <c r="V721" s="69"/>
      <c r="AR721" s="74">
        <f t="shared" si="74"/>
        <v>3656</v>
      </c>
      <c r="AS721" s="69">
        <v>3389.3</v>
      </c>
      <c r="AT721" s="69">
        <v>219.1</v>
      </c>
      <c r="AV721" s="69">
        <v>5</v>
      </c>
      <c r="BC721" s="69"/>
      <c r="BD721" s="69"/>
      <c r="BF721" s="69">
        <v>36.6</v>
      </c>
      <c r="BG721" s="69">
        <v>6</v>
      </c>
      <c r="CC721" s="74">
        <f t="shared" si="75"/>
        <v>3656</v>
      </c>
      <c r="CD721" s="73">
        <f t="shared" si="72"/>
        <v>0</v>
      </c>
      <c r="CE721" s="75">
        <f t="shared" si="76"/>
        <v>9050</v>
      </c>
      <c r="CF721" s="3" t="str">
        <f t="shared" si="76"/>
        <v>صيدلة اكلينيكى</v>
      </c>
    </row>
    <row r="722" spans="3:84" x14ac:dyDescent="0.25">
      <c r="C722" s="82">
        <v>8426</v>
      </c>
      <c r="D722" s="70">
        <v>9051</v>
      </c>
      <c r="E722" s="69" t="s">
        <v>132</v>
      </c>
      <c r="F722" s="69" t="s">
        <v>1484</v>
      </c>
      <c r="I722" s="69">
        <v>1281</v>
      </c>
      <c r="U722" s="69"/>
      <c r="V722" s="69"/>
      <c r="AR722" s="74">
        <f t="shared" si="74"/>
        <v>1281</v>
      </c>
      <c r="AS722" s="69">
        <v>1281</v>
      </c>
      <c r="AT722" s="69"/>
      <c r="BC722" s="69"/>
      <c r="BD722" s="69"/>
      <c r="CC722" s="74">
        <f t="shared" si="75"/>
        <v>1281</v>
      </c>
      <c r="CD722" s="73">
        <f t="shared" si="72"/>
        <v>0</v>
      </c>
      <c r="CE722" s="75">
        <f t="shared" si="76"/>
        <v>9051</v>
      </c>
      <c r="CF722" s="3" t="str">
        <f t="shared" si="76"/>
        <v>صيدلة اكلينيكى</v>
      </c>
    </row>
    <row r="723" spans="3:84" x14ac:dyDescent="0.25">
      <c r="C723" s="82">
        <v>14699</v>
      </c>
      <c r="D723" s="70">
        <v>9052</v>
      </c>
      <c r="E723" s="69" t="s">
        <v>132</v>
      </c>
      <c r="F723" s="69" t="s">
        <v>1485</v>
      </c>
      <c r="I723" s="69">
        <v>15000</v>
      </c>
      <c r="P723" s="69">
        <v>15000</v>
      </c>
      <c r="U723" s="69"/>
      <c r="V723" s="69"/>
      <c r="AR723" s="74">
        <f t="shared" si="74"/>
        <v>30000</v>
      </c>
      <c r="AS723" s="69">
        <v>15000</v>
      </c>
      <c r="AT723" s="69"/>
      <c r="BC723" s="69"/>
      <c r="BD723" s="69"/>
      <c r="BN723" s="69">
        <v>15000</v>
      </c>
      <c r="CC723" s="74">
        <f t="shared" si="75"/>
        <v>30000</v>
      </c>
      <c r="CD723" s="73">
        <f t="shared" si="72"/>
        <v>0</v>
      </c>
      <c r="CE723" s="75">
        <f t="shared" si="76"/>
        <v>9052</v>
      </c>
      <c r="CF723" s="3" t="str">
        <f t="shared" si="76"/>
        <v>صيدلة اكلينيكى</v>
      </c>
    </row>
    <row r="724" spans="3:84" x14ac:dyDescent="0.25">
      <c r="C724" s="82">
        <v>13752</v>
      </c>
      <c r="D724" s="70">
        <v>9053</v>
      </c>
      <c r="E724" s="69" t="s">
        <v>132</v>
      </c>
      <c r="F724" s="77" t="s">
        <v>1486</v>
      </c>
      <c r="I724" s="69">
        <v>18240</v>
      </c>
      <c r="U724" s="69"/>
      <c r="V724" s="69"/>
      <c r="AR724" s="74">
        <f t="shared" si="74"/>
        <v>18240</v>
      </c>
      <c r="AS724" s="69">
        <v>15848.3</v>
      </c>
      <c r="AT724" s="69">
        <f>196+588+20.7</f>
        <v>804.7</v>
      </c>
      <c r="AV724" s="69">
        <v>5</v>
      </c>
      <c r="BC724" s="69"/>
      <c r="BD724" s="69"/>
      <c r="BF724" s="69">
        <v>480</v>
      </c>
      <c r="BG724" s="69">
        <v>46</v>
      </c>
      <c r="BH724" s="69">
        <f>72*2</f>
        <v>144</v>
      </c>
      <c r="BJ724" s="69">
        <v>912</v>
      </c>
      <c r="CC724" s="74">
        <f t="shared" si="75"/>
        <v>18240</v>
      </c>
      <c r="CD724" s="73">
        <f t="shared" si="72"/>
        <v>0</v>
      </c>
      <c r="CE724" s="75">
        <f t="shared" si="76"/>
        <v>9053</v>
      </c>
      <c r="CF724" s="3" t="str">
        <f t="shared" si="76"/>
        <v>صيدلة اكلينيكى</v>
      </c>
    </row>
    <row r="725" spans="3:84" ht="36" x14ac:dyDescent="0.25">
      <c r="C725" s="82">
        <v>13558</v>
      </c>
      <c r="D725" s="70">
        <v>9054</v>
      </c>
      <c r="E725" s="69" t="s">
        <v>132</v>
      </c>
      <c r="F725" s="77" t="s">
        <v>1487</v>
      </c>
      <c r="L725" s="69">
        <v>55999.94</v>
      </c>
      <c r="M725" s="69">
        <v>55999.94</v>
      </c>
      <c r="N725" s="69">
        <v>55999.94</v>
      </c>
      <c r="U725" s="69"/>
      <c r="V725" s="69"/>
      <c r="AR725" s="74">
        <f t="shared" si="74"/>
        <v>167999.82</v>
      </c>
      <c r="AS725" s="69">
        <v>50673.49</v>
      </c>
      <c r="AT725" s="69">
        <f>394.75+1184.25+2.7</f>
        <v>1581.7</v>
      </c>
      <c r="AV725" s="69">
        <v>5</v>
      </c>
      <c r="BC725" s="69"/>
      <c r="BD725" s="69"/>
      <c r="BF725" s="69">
        <v>491.25</v>
      </c>
      <c r="BG725" s="69">
        <v>6</v>
      </c>
      <c r="BH725" s="69">
        <f>221.25*2</f>
        <v>442.5</v>
      </c>
      <c r="BI725" s="69">
        <v>2800</v>
      </c>
      <c r="BK725" s="69">
        <v>55999.94</v>
      </c>
      <c r="BL725" s="69">
        <v>55999.94</v>
      </c>
      <c r="CC725" s="74">
        <f t="shared" si="75"/>
        <v>167999.82</v>
      </c>
      <c r="CD725" s="73">
        <f t="shared" si="72"/>
        <v>0</v>
      </c>
      <c r="CE725" s="75">
        <f t="shared" si="76"/>
        <v>9054</v>
      </c>
      <c r="CF725" s="3" t="str">
        <f t="shared" si="76"/>
        <v>صيدلة اكلينيكى</v>
      </c>
    </row>
    <row r="726" spans="3:84" x14ac:dyDescent="0.25">
      <c r="C726" s="82">
        <v>14806</v>
      </c>
      <c r="D726" s="70">
        <v>9055</v>
      </c>
      <c r="E726" s="69" t="s">
        <v>132</v>
      </c>
      <c r="F726" s="69" t="s">
        <v>1488</v>
      </c>
      <c r="L726" s="69">
        <v>719400</v>
      </c>
      <c r="M726" s="69">
        <v>719400</v>
      </c>
      <c r="N726" s="69">
        <v>719400</v>
      </c>
      <c r="U726" s="69"/>
      <c r="V726" s="69"/>
      <c r="AR726" s="74">
        <f t="shared" si="74"/>
        <v>2158200</v>
      </c>
      <c r="AS726" s="69">
        <v>655685.75</v>
      </c>
      <c r="AT726" s="69">
        <f>3886.5+11659.5+63</f>
        <v>15609</v>
      </c>
      <c r="AV726" s="69">
        <v>5</v>
      </c>
      <c r="BC726" s="69"/>
      <c r="BD726" s="69"/>
      <c r="BF726" s="69">
        <v>6310.75</v>
      </c>
      <c r="BG726" s="69">
        <v>140</v>
      </c>
      <c r="BH726" s="69">
        <f>2839.75*2</f>
        <v>5679.5</v>
      </c>
      <c r="BJ726" s="69">
        <v>35970</v>
      </c>
      <c r="BK726" s="69">
        <v>719400</v>
      </c>
      <c r="BL726" s="69">
        <v>719400</v>
      </c>
      <c r="CC726" s="74">
        <f t="shared" si="75"/>
        <v>2158200</v>
      </c>
      <c r="CD726" s="73">
        <f t="shared" si="72"/>
        <v>0</v>
      </c>
      <c r="CE726" s="75">
        <f t="shared" si="76"/>
        <v>9055</v>
      </c>
      <c r="CF726" s="3" t="str">
        <f t="shared" si="76"/>
        <v>صيدلة اكلينيكى</v>
      </c>
    </row>
    <row r="727" spans="3:84" ht="36" x14ac:dyDescent="0.25">
      <c r="C727" s="82">
        <v>10698</v>
      </c>
      <c r="D727" s="70">
        <v>9056</v>
      </c>
      <c r="E727" s="69" t="s">
        <v>78</v>
      </c>
      <c r="F727" s="77" t="s">
        <v>1489</v>
      </c>
      <c r="L727" s="69">
        <v>157480</v>
      </c>
      <c r="M727" s="69">
        <v>157480</v>
      </c>
      <c r="N727" s="69">
        <v>157480</v>
      </c>
      <c r="U727" s="69"/>
      <c r="V727" s="69"/>
      <c r="AR727" s="74">
        <f t="shared" si="74"/>
        <v>472440</v>
      </c>
      <c r="AS727" s="69">
        <v>136503.04999999999</v>
      </c>
      <c r="AT727" s="69">
        <f>931.7+2795.1+36</f>
        <v>3762.8</v>
      </c>
      <c r="BC727" s="69"/>
      <c r="BD727" s="69"/>
      <c r="BF727" s="69">
        <v>1386.15</v>
      </c>
      <c r="BG727" s="69">
        <v>80</v>
      </c>
      <c r="BI727" s="69">
        <v>7874</v>
      </c>
      <c r="BK727" s="69">
        <v>157480</v>
      </c>
      <c r="BL727" s="69">
        <v>157480</v>
      </c>
      <c r="CB727" s="69">
        <v>7874</v>
      </c>
      <c r="CC727" s="74">
        <f t="shared" si="75"/>
        <v>472440</v>
      </c>
      <c r="CD727" s="73">
        <f t="shared" si="72"/>
        <v>0</v>
      </c>
      <c r="CE727" s="75">
        <f t="shared" si="76"/>
        <v>9056</v>
      </c>
      <c r="CF727" s="3" t="str">
        <f t="shared" si="76"/>
        <v>برنامج دولى</v>
      </c>
    </row>
    <row r="728" spans="3:84" x14ac:dyDescent="0.25">
      <c r="C728" s="82">
        <v>15061</v>
      </c>
      <c r="D728" s="70">
        <v>9057</v>
      </c>
      <c r="E728" s="69" t="s">
        <v>121</v>
      </c>
      <c r="F728" s="69" t="s">
        <v>1490</v>
      </c>
      <c r="U728" s="69"/>
      <c r="V728" s="69"/>
      <c r="X728" s="69">
        <v>1140</v>
      </c>
      <c r="AR728" s="74">
        <f t="shared" si="74"/>
        <v>1140</v>
      </c>
      <c r="AS728" s="69">
        <v>1140</v>
      </c>
      <c r="AT728" s="69"/>
      <c r="BC728" s="69"/>
      <c r="BD728" s="69"/>
      <c r="CC728" s="74">
        <f t="shared" si="75"/>
        <v>1140</v>
      </c>
      <c r="CD728" s="73">
        <f t="shared" si="72"/>
        <v>0</v>
      </c>
      <c r="CE728" s="75">
        <f t="shared" si="76"/>
        <v>9057</v>
      </c>
      <c r="CF728" s="3" t="str">
        <f t="shared" si="76"/>
        <v>ماليزى اسنان</v>
      </c>
    </row>
    <row r="729" spans="3:84" ht="36" x14ac:dyDescent="0.25">
      <c r="C729" s="82">
        <v>14979</v>
      </c>
      <c r="D729" s="70">
        <v>9058</v>
      </c>
      <c r="F729" s="77" t="s">
        <v>1491</v>
      </c>
      <c r="U729" s="69"/>
      <c r="V729" s="69"/>
      <c r="AD729" s="69">
        <v>57623.83</v>
      </c>
      <c r="AR729" s="74">
        <f t="shared" si="74"/>
        <v>57623.83</v>
      </c>
      <c r="AS729" s="69">
        <v>57623.83</v>
      </c>
      <c r="AT729" s="69"/>
      <c r="BC729" s="69"/>
      <c r="BD729" s="69"/>
      <c r="CC729" s="74">
        <f t="shared" si="75"/>
        <v>57623.83</v>
      </c>
      <c r="CD729" s="73">
        <f t="shared" si="72"/>
        <v>0</v>
      </c>
      <c r="CE729" s="75">
        <f t="shared" si="76"/>
        <v>9058</v>
      </c>
      <c r="CF729" s="3">
        <f t="shared" si="76"/>
        <v>0</v>
      </c>
    </row>
    <row r="730" spans="3:84" ht="36" x14ac:dyDescent="0.25">
      <c r="C730" s="82">
        <v>15068</v>
      </c>
      <c r="D730" s="70">
        <v>9059</v>
      </c>
      <c r="F730" s="77" t="s">
        <v>1492</v>
      </c>
      <c r="U730" s="69"/>
      <c r="V730" s="69"/>
      <c r="AD730" s="69">
        <v>4410.8100000000004</v>
      </c>
      <c r="AR730" s="74">
        <f t="shared" si="74"/>
        <v>4410.8100000000004</v>
      </c>
      <c r="AS730" s="69">
        <v>4410.8100000000004</v>
      </c>
      <c r="AT730" s="69"/>
      <c r="BC730" s="69"/>
      <c r="BD730" s="69"/>
      <c r="CC730" s="74">
        <f t="shared" si="75"/>
        <v>4410.8100000000004</v>
      </c>
      <c r="CD730" s="73">
        <f t="shared" si="72"/>
        <v>0</v>
      </c>
      <c r="CE730" s="75">
        <f t="shared" si="76"/>
        <v>9059</v>
      </c>
      <c r="CF730" s="3">
        <f t="shared" si="76"/>
        <v>0</v>
      </c>
    </row>
    <row r="731" spans="3:84" ht="36" x14ac:dyDescent="0.25">
      <c r="C731" s="82">
        <v>15067</v>
      </c>
      <c r="D731" s="70">
        <v>9060</v>
      </c>
      <c r="F731" s="77" t="s">
        <v>1493</v>
      </c>
      <c r="U731" s="69"/>
      <c r="V731" s="69"/>
      <c r="AD731" s="69">
        <v>1800</v>
      </c>
      <c r="AR731" s="74">
        <f t="shared" si="74"/>
        <v>1800</v>
      </c>
      <c r="AS731" s="69">
        <v>1800</v>
      </c>
      <c r="AT731" s="69"/>
      <c r="BC731" s="69"/>
      <c r="BD731" s="69"/>
      <c r="CC731" s="74">
        <f t="shared" si="75"/>
        <v>1800</v>
      </c>
      <c r="CD731" s="73">
        <f t="shared" si="72"/>
        <v>0</v>
      </c>
      <c r="CE731" s="75">
        <f t="shared" si="76"/>
        <v>9060</v>
      </c>
      <c r="CF731" s="3">
        <f t="shared" si="76"/>
        <v>0</v>
      </c>
    </row>
    <row r="732" spans="3:84" x14ac:dyDescent="0.25">
      <c r="C732" s="82">
        <v>12603</v>
      </c>
      <c r="D732" s="70">
        <v>9061</v>
      </c>
      <c r="E732" s="69" t="s">
        <v>121</v>
      </c>
      <c r="F732" s="69" t="s">
        <v>1494</v>
      </c>
      <c r="H732" s="69">
        <v>6379.38</v>
      </c>
      <c r="U732" s="69"/>
      <c r="V732" s="69"/>
      <c r="AR732" s="74">
        <f t="shared" si="74"/>
        <v>6379.38</v>
      </c>
      <c r="AS732" s="69">
        <v>5494.55</v>
      </c>
      <c r="AT732" s="69">
        <v>672.95</v>
      </c>
      <c r="AU732" s="69">
        <v>211.88</v>
      </c>
      <c r="BC732" s="69"/>
      <c r="BD732" s="69"/>
      <c r="CC732" s="74">
        <f t="shared" si="75"/>
        <v>6379.38</v>
      </c>
      <c r="CD732" s="73">
        <f t="shared" si="72"/>
        <v>0</v>
      </c>
      <c r="CE732" s="75">
        <f t="shared" si="76"/>
        <v>9061</v>
      </c>
      <c r="CF732" s="3" t="str">
        <f t="shared" si="76"/>
        <v>ماليزى اسنان</v>
      </c>
    </row>
    <row r="733" spans="3:84" x14ac:dyDescent="0.25">
      <c r="C733" s="82">
        <v>15312</v>
      </c>
      <c r="D733" s="70">
        <v>9062</v>
      </c>
      <c r="E733" s="69" t="s">
        <v>121</v>
      </c>
      <c r="F733" s="69" t="s">
        <v>1495</v>
      </c>
      <c r="H733" s="69">
        <v>1172.5</v>
      </c>
      <c r="U733" s="69"/>
      <c r="V733" s="69"/>
      <c r="AR733" s="74">
        <f t="shared" si="74"/>
        <v>1172.5</v>
      </c>
      <c r="AS733" s="69">
        <v>782.85</v>
      </c>
      <c r="AT733" s="69">
        <f>7.15+100</f>
        <v>107.15</v>
      </c>
      <c r="AU733" s="69">
        <f>389.65-107.15</f>
        <v>282.5</v>
      </c>
      <c r="BC733" s="69"/>
      <c r="BD733" s="69"/>
      <c r="CC733" s="74">
        <f t="shared" si="75"/>
        <v>1172.5</v>
      </c>
      <c r="CD733" s="73">
        <f t="shared" si="72"/>
        <v>0</v>
      </c>
      <c r="CE733" s="75">
        <f t="shared" si="76"/>
        <v>9062</v>
      </c>
      <c r="CF733" s="3" t="str">
        <f t="shared" si="76"/>
        <v>ماليزى اسنان</v>
      </c>
    </row>
    <row r="734" spans="3:84" x14ac:dyDescent="0.25">
      <c r="C734" s="82">
        <v>14789</v>
      </c>
      <c r="D734" s="70">
        <v>9063</v>
      </c>
      <c r="E734" s="69" t="s">
        <v>132</v>
      </c>
      <c r="F734" s="69" t="s">
        <v>1496</v>
      </c>
      <c r="H734" s="69">
        <v>97.98</v>
      </c>
      <c r="U734" s="69"/>
      <c r="V734" s="69"/>
      <c r="AR734" s="74">
        <f t="shared" si="74"/>
        <v>97.98</v>
      </c>
      <c r="AS734" s="69">
        <v>66.790000000000006</v>
      </c>
      <c r="AT734" s="69">
        <v>7.57</v>
      </c>
      <c r="AU734" s="69">
        <v>23.62</v>
      </c>
      <c r="BC734" s="69"/>
      <c r="BD734" s="69"/>
      <c r="CC734" s="74">
        <f t="shared" si="75"/>
        <v>97.980000000000018</v>
      </c>
      <c r="CD734" s="73">
        <f t="shared" si="72"/>
        <v>0</v>
      </c>
      <c r="CE734" s="75">
        <f t="shared" si="76"/>
        <v>9063</v>
      </c>
      <c r="CF734" s="3" t="str">
        <f t="shared" si="76"/>
        <v>صيدلة اكلينيكى</v>
      </c>
    </row>
    <row r="735" spans="3:84" x14ac:dyDescent="0.25">
      <c r="C735" s="82">
        <v>13898</v>
      </c>
      <c r="D735" s="70">
        <v>9064</v>
      </c>
      <c r="E735" s="69" t="s">
        <v>132</v>
      </c>
      <c r="F735" s="69" t="s">
        <v>1497</v>
      </c>
      <c r="H735" s="69">
        <v>446.59</v>
      </c>
      <c r="U735" s="69"/>
      <c r="V735" s="69"/>
      <c r="AR735" s="74">
        <f t="shared" si="74"/>
        <v>446.59</v>
      </c>
      <c r="AS735" s="69">
        <v>286.86</v>
      </c>
      <c r="AT735" s="69">
        <v>52.12</v>
      </c>
      <c r="AU735" s="69">
        <v>107.61</v>
      </c>
      <c r="BC735" s="69"/>
      <c r="BD735" s="69"/>
      <c r="CC735" s="74">
        <f t="shared" si="75"/>
        <v>446.59000000000003</v>
      </c>
      <c r="CD735" s="73">
        <f t="shared" si="72"/>
        <v>0</v>
      </c>
      <c r="CE735" s="75">
        <f t="shared" si="76"/>
        <v>9064</v>
      </c>
      <c r="CF735" s="3" t="str">
        <f t="shared" si="76"/>
        <v>صيدلة اكلينيكى</v>
      </c>
    </row>
    <row r="736" spans="3:84" x14ac:dyDescent="0.25">
      <c r="C736" s="82">
        <v>13889</v>
      </c>
      <c r="D736" s="70">
        <v>9065</v>
      </c>
      <c r="E736" s="69" t="s">
        <v>132</v>
      </c>
      <c r="F736" s="69" t="s">
        <v>1498</v>
      </c>
      <c r="H736" s="69">
        <v>226.96</v>
      </c>
      <c r="U736" s="69"/>
      <c r="V736" s="69"/>
      <c r="AR736" s="74">
        <f t="shared" si="74"/>
        <v>226.96</v>
      </c>
      <c r="AS736" s="69">
        <v>180.69</v>
      </c>
      <c r="AT736" s="69">
        <v>46.27</v>
      </c>
      <c r="BC736" s="69"/>
      <c r="BD736" s="69"/>
      <c r="CC736" s="74">
        <f t="shared" si="75"/>
        <v>226.96</v>
      </c>
      <c r="CD736" s="73">
        <f t="shared" si="72"/>
        <v>0</v>
      </c>
      <c r="CE736" s="75">
        <f t="shared" si="76"/>
        <v>9065</v>
      </c>
      <c r="CF736" s="3" t="str">
        <f t="shared" si="76"/>
        <v>صيدلة اكلينيكى</v>
      </c>
    </row>
    <row r="737" spans="3:84" x14ac:dyDescent="0.25">
      <c r="C737" s="82">
        <v>15276</v>
      </c>
      <c r="D737" s="70">
        <v>9066</v>
      </c>
      <c r="E737" s="69" t="s">
        <v>78</v>
      </c>
      <c r="F737" s="69" t="s">
        <v>1499</v>
      </c>
      <c r="H737" s="69">
        <v>1172.5</v>
      </c>
      <c r="U737" s="69"/>
      <c r="V737" s="69"/>
      <c r="AR737" s="74">
        <f t="shared" si="74"/>
        <v>1172.5</v>
      </c>
      <c r="AS737" s="69">
        <v>784.1</v>
      </c>
      <c r="AT737" s="69">
        <v>105.9</v>
      </c>
      <c r="AU737" s="69">
        <v>282.5</v>
      </c>
      <c r="BC737" s="69"/>
      <c r="BD737" s="69"/>
      <c r="CC737" s="74">
        <f t="shared" si="75"/>
        <v>1172.5</v>
      </c>
      <c r="CD737" s="73">
        <f t="shared" si="72"/>
        <v>0</v>
      </c>
      <c r="CE737" s="75">
        <f t="shared" si="76"/>
        <v>9066</v>
      </c>
      <c r="CF737" s="3" t="str">
        <f t="shared" si="76"/>
        <v>برنامج دولى</v>
      </c>
    </row>
    <row r="738" spans="3:84" x14ac:dyDescent="0.25">
      <c r="C738" s="82">
        <v>15277</v>
      </c>
      <c r="D738" s="70">
        <v>9067</v>
      </c>
      <c r="E738" s="69" t="s">
        <v>78</v>
      </c>
      <c r="F738" s="69" t="s">
        <v>1500</v>
      </c>
      <c r="H738" s="69">
        <v>1477.35</v>
      </c>
      <c r="U738" s="69"/>
      <c r="V738" s="69"/>
      <c r="AR738" s="74">
        <f t="shared" si="74"/>
        <v>1477.35</v>
      </c>
      <c r="AS738" s="69">
        <v>986.3</v>
      </c>
      <c r="AT738" s="69">
        <f>9.1+126</f>
        <v>135.1</v>
      </c>
      <c r="AU738" s="69">
        <v>355.95</v>
      </c>
      <c r="BC738" s="69"/>
      <c r="BD738" s="69"/>
      <c r="CC738" s="74">
        <f t="shared" si="75"/>
        <v>1477.35</v>
      </c>
      <c r="CD738" s="73">
        <f t="shared" si="72"/>
        <v>0</v>
      </c>
      <c r="CE738" s="75">
        <f t="shared" si="76"/>
        <v>9067</v>
      </c>
      <c r="CF738" s="3" t="str">
        <f t="shared" si="76"/>
        <v>برنامج دولى</v>
      </c>
    </row>
    <row r="739" spans="3:84" x14ac:dyDescent="0.25">
      <c r="C739" s="82">
        <v>15278</v>
      </c>
      <c r="D739" s="70">
        <v>9068</v>
      </c>
      <c r="E739" s="69" t="s">
        <v>78</v>
      </c>
      <c r="F739" s="69" t="s">
        <v>1501</v>
      </c>
      <c r="H739" s="69">
        <v>3000</v>
      </c>
      <c r="U739" s="69"/>
      <c r="V739" s="69"/>
      <c r="AR739" s="74">
        <f t="shared" si="74"/>
        <v>3000</v>
      </c>
      <c r="AS739" s="69">
        <v>2678.2</v>
      </c>
      <c r="AT739" s="69">
        <v>321.8</v>
      </c>
      <c r="BC739" s="69"/>
      <c r="BD739" s="69"/>
      <c r="CC739" s="74">
        <f t="shared" si="75"/>
        <v>3000</v>
      </c>
      <c r="CD739" s="73">
        <f t="shared" si="72"/>
        <v>0</v>
      </c>
      <c r="CE739" s="75">
        <f t="shared" si="76"/>
        <v>9068</v>
      </c>
      <c r="CF739" s="3" t="str">
        <f t="shared" si="76"/>
        <v>برنامج دولى</v>
      </c>
    </row>
    <row r="740" spans="3:84" x14ac:dyDescent="0.25">
      <c r="C740" s="82">
        <v>15279</v>
      </c>
      <c r="D740" s="70">
        <v>9069</v>
      </c>
      <c r="E740" s="69" t="s">
        <v>78</v>
      </c>
      <c r="F740" s="69" t="s">
        <v>1501</v>
      </c>
      <c r="H740" s="69">
        <v>2345</v>
      </c>
      <c r="U740" s="69"/>
      <c r="V740" s="69"/>
      <c r="AR740" s="74">
        <f t="shared" si="74"/>
        <v>2345</v>
      </c>
      <c r="AS740" s="69">
        <v>1568.2</v>
      </c>
      <c r="AT740" s="69">
        <v>211.8</v>
      </c>
      <c r="AU740" s="69">
        <v>565</v>
      </c>
      <c r="BC740" s="69"/>
      <c r="BD740" s="69"/>
      <c r="CC740" s="74">
        <f t="shared" si="75"/>
        <v>2345</v>
      </c>
      <c r="CD740" s="73">
        <f t="shared" si="72"/>
        <v>0</v>
      </c>
      <c r="CE740" s="75">
        <f t="shared" si="76"/>
        <v>9069</v>
      </c>
      <c r="CF740" s="3" t="str">
        <f t="shared" si="76"/>
        <v>برنامج دولى</v>
      </c>
    </row>
    <row r="741" spans="3:84" x14ac:dyDescent="0.25">
      <c r="C741" s="82">
        <v>15280</v>
      </c>
      <c r="D741" s="70">
        <v>9070</v>
      </c>
      <c r="E741" s="69" t="s">
        <v>78</v>
      </c>
      <c r="F741" s="69" t="s">
        <v>1502</v>
      </c>
      <c r="H741" s="69">
        <v>4388.47</v>
      </c>
      <c r="U741" s="69"/>
      <c r="V741" s="69"/>
      <c r="AR741" s="74">
        <f t="shared" si="74"/>
        <v>4388.47</v>
      </c>
      <c r="AS741" s="69">
        <v>3324.83</v>
      </c>
      <c r="AT741" s="69">
        <v>427.45</v>
      </c>
      <c r="AU741" s="69">
        <v>636.19000000000005</v>
      </c>
      <c r="BC741" s="69"/>
      <c r="BD741" s="69"/>
      <c r="CC741" s="74">
        <f t="shared" si="75"/>
        <v>4388.4699999999993</v>
      </c>
      <c r="CD741" s="73">
        <f t="shared" si="72"/>
        <v>0</v>
      </c>
      <c r="CE741" s="75">
        <f t="shared" si="76"/>
        <v>9070</v>
      </c>
      <c r="CF741" s="3" t="str">
        <f t="shared" si="76"/>
        <v>برنامج دولى</v>
      </c>
    </row>
    <row r="742" spans="3:84" x14ac:dyDescent="0.25">
      <c r="C742" s="82">
        <v>15281</v>
      </c>
      <c r="D742" s="70">
        <v>9071</v>
      </c>
      <c r="E742" s="69" t="s">
        <v>78</v>
      </c>
      <c r="F742" s="69" t="s">
        <v>1502</v>
      </c>
      <c r="H742" s="69">
        <v>4000</v>
      </c>
      <c r="U742" s="69"/>
      <c r="V742" s="69"/>
      <c r="AR742" s="74">
        <f t="shared" si="74"/>
        <v>4000</v>
      </c>
      <c r="AS742" s="69">
        <v>3570.7</v>
      </c>
      <c r="AT742" s="69">
        <v>429.3</v>
      </c>
      <c r="BC742" s="69"/>
      <c r="BD742" s="69"/>
      <c r="CC742" s="74">
        <f t="shared" si="75"/>
        <v>4000</v>
      </c>
      <c r="CD742" s="73">
        <f t="shared" si="72"/>
        <v>0</v>
      </c>
      <c r="CE742" s="75">
        <f t="shared" si="76"/>
        <v>9071</v>
      </c>
      <c r="CF742" s="3" t="str">
        <f t="shared" si="76"/>
        <v>برنامج دولى</v>
      </c>
    </row>
    <row r="743" spans="3:84" x14ac:dyDescent="0.25">
      <c r="C743" s="82">
        <v>15282</v>
      </c>
      <c r="D743" s="70">
        <v>9072</v>
      </c>
      <c r="E743" s="69" t="s">
        <v>78</v>
      </c>
      <c r="F743" s="69" t="s">
        <v>1503</v>
      </c>
      <c r="H743" s="69">
        <v>996.62</v>
      </c>
      <c r="U743" s="69"/>
      <c r="V743" s="69"/>
      <c r="AR743" s="74">
        <f t="shared" si="74"/>
        <v>996.62</v>
      </c>
      <c r="AS743" s="69">
        <v>666.55</v>
      </c>
      <c r="AT743" s="69">
        <v>89.95</v>
      </c>
      <c r="AU743" s="69">
        <v>240.12</v>
      </c>
      <c r="BC743" s="69"/>
      <c r="BD743" s="69"/>
      <c r="CC743" s="74">
        <f t="shared" si="75"/>
        <v>996.62</v>
      </c>
      <c r="CD743" s="73">
        <f t="shared" si="72"/>
        <v>0</v>
      </c>
      <c r="CE743" s="75">
        <f t="shared" si="76"/>
        <v>9072</v>
      </c>
      <c r="CF743" s="3" t="str">
        <f t="shared" si="76"/>
        <v>برنامج دولى</v>
      </c>
    </row>
    <row r="744" spans="3:84" x14ac:dyDescent="0.25">
      <c r="C744" s="82">
        <v>15284</v>
      </c>
      <c r="D744" s="70">
        <v>9073</v>
      </c>
      <c r="E744" s="69" t="s">
        <v>78</v>
      </c>
      <c r="F744" s="69" t="s">
        <v>1504</v>
      </c>
      <c r="H744" s="69">
        <v>750</v>
      </c>
      <c r="U744" s="69"/>
      <c r="V744" s="69"/>
      <c r="AR744" s="74">
        <f t="shared" si="74"/>
        <v>750</v>
      </c>
      <c r="AS744" s="69">
        <v>670.1</v>
      </c>
      <c r="AT744" s="69">
        <v>79.900000000000006</v>
      </c>
      <c r="BC744" s="69"/>
      <c r="BD744" s="69"/>
      <c r="CC744" s="74">
        <f t="shared" si="75"/>
        <v>750</v>
      </c>
      <c r="CD744" s="73">
        <f t="shared" si="72"/>
        <v>0</v>
      </c>
      <c r="CE744" s="75">
        <f t="shared" si="76"/>
        <v>9073</v>
      </c>
      <c r="CF744" s="3" t="str">
        <f t="shared" si="76"/>
        <v>برنامج دولى</v>
      </c>
    </row>
    <row r="745" spans="3:84" x14ac:dyDescent="0.25">
      <c r="C745" s="82">
        <v>15283</v>
      </c>
      <c r="D745" s="70">
        <v>9074</v>
      </c>
      <c r="E745" s="69" t="s">
        <v>78</v>
      </c>
      <c r="F745" s="69" t="s">
        <v>1505</v>
      </c>
      <c r="H745" s="69">
        <v>1758.75</v>
      </c>
      <c r="U745" s="69"/>
      <c r="V745" s="69"/>
      <c r="AR745" s="74">
        <f t="shared" si="74"/>
        <v>1758.75</v>
      </c>
      <c r="AS745" s="69">
        <v>1175.3499999999999</v>
      </c>
      <c r="AT745" s="69">
        <v>159.65</v>
      </c>
      <c r="AU745" s="69">
        <v>423.75</v>
      </c>
      <c r="BC745" s="69"/>
      <c r="BD745" s="69"/>
      <c r="CC745" s="74">
        <f t="shared" si="75"/>
        <v>1758.75</v>
      </c>
      <c r="CD745" s="73">
        <f t="shared" si="72"/>
        <v>0</v>
      </c>
      <c r="CE745" s="75">
        <f t="shared" si="76"/>
        <v>9074</v>
      </c>
      <c r="CF745" s="3" t="str">
        <f t="shared" si="76"/>
        <v>برنامج دولى</v>
      </c>
    </row>
    <row r="746" spans="3:84" x14ac:dyDescent="0.25">
      <c r="C746" s="82">
        <v>15285</v>
      </c>
      <c r="D746" s="70">
        <v>9075</v>
      </c>
      <c r="E746" s="69" t="s">
        <v>78</v>
      </c>
      <c r="F746" s="69" t="s">
        <v>1506</v>
      </c>
      <c r="H746" s="69">
        <v>1758.75</v>
      </c>
      <c r="U746" s="69"/>
      <c r="V746" s="69"/>
      <c r="AR746" s="74">
        <f t="shared" si="74"/>
        <v>1758.75</v>
      </c>
      <c r="AS746" s="69">
        <v>1175.3499999999999</v>
      </c>
      <c r="AT746" s="69">
        <v>159.65</v>
      </c>
      <c r="AU746" s="69">
        <v>423.75</v>
      </c>
      <c r="BC746" s="69"/>
      <c r="BD746" s="69"/>
      <c r="CC746" s="74">
        <f t="shared" si="75"/>
        <v>1758.75</v>
      </c>
      <c r="CD746" s="73">
        <f t="shared" si="72"/>
        <v>0</v>
      </c>
      <c r="CE746" s="75">
        <f t="shared" si="76"/>
        <v>9075</v>
      </c>
      <c r="CF746" s="3" t="str">
        <f t="shared" si="76"/>
        <v>برنامج دولى</v>
      </c>
    </row>
    <row r="747" spans="3:84" x14ac:dyDescent="0.25">
      <c r="C747" s="82">
        <v>15286</v>
      </c>
      <c r="D747" s="70">
        <v>9076</v>
      </c>
      <c r="E747" s="69" t="s">
        <v>78</v>
      </c>
      <c r="F747" s="69" t="s">
        <v>1507</v>
      </c>
      <c r="H747" s="69">
        <v>8442</v>
      </c>
      <c r="U747" s="69"/>
      <c r="V747" s="69"/>
      <c r="AR747" s="74">
        <f t="shared" si="74"/>
        <v>8442</v>
      </c>
      <c r="AS747" s="69">
        <v>5645.5</v>
      </c>
      <c r="AT747" s="69">
        <v>762.5</v>
      </c>
      <c r="AU747" s="69">
        <v>2034</v>
      </c>
      <c r="BC747" s="69"/>
      <c r="BD747" s="69"/>
      <c r="CC747" s="74">
        <f t="shared" si="75"/>
        <v>8442</v>
      </c>
      <c r="CD747" s="73">
        <f t="shared" si="72"/>
        <v>0</v>
      </c>
      <c r="CE747" s="75">
        <f t="shared" si="76"/>
        <v>9076</v>
      </c>
      <c r="CF747" s="3" t="str">
        <f t="shared" si="76"/>
        <v>برنامج دولى</v>
      </c>
    </row>
    <row r="748" spans="3:84" x14ac:dyDescent="0.25">
      <c r="C748" s="82">
        <v>15287</v>
      </c>
      <c r="D748" s="70">
        <v>9077</v>
      </c>
      <c r="E748" s="69" t="s">
        <v>78</v>
      </c>
      <c r="F748" s="69" t="s">
        <v>1508</v>
      </c>
      <c r="H748" s="69">
        <v>703.5</v>
      </c>
      <c r="U748" s="69"/>
      <c r="V748" s="69"/>
      <c r="AR748" s="74">
        <f t="shared" si="74"/>
        <v>703.5</v>
      </c>
      <c r="AS748" s="69">
        <v>470.6</v>
      </c>
      <c r="AT748" s="69">
        <v>63.4</v>
      </c>
      <c r="AU748" s="69">
        <v>169.5</v>
      </c>
      <c r="BC748" s="69"/>
      <c r="BD748" s="69"/>
      <c r="CC748" s="74">
        <f t="shared" si="75"/>
        <v>703.5</v>
      </c>
      <c r="CD748" s="73">
        <f t="shared" si="72"/>
        <v>0</v>
      </c>
      <c r="CE748" s="75">
        <f t="shared" si="76"/>
        <v>9077</v>
      </c>
      <c r="CF748" s="3" t="str">
        <f t="shared" si="76"/>
        <v>برنامج دولى</v>
      </c>
    </row>
    <row r="749" spans="3:84" x14ac:dyDescent="0.25">
      <c r="C749" s="82">
        <v>15288</v>
      </c>
      <c r="D749" s="70">
        <v>9078</v>
      </c>
      <c r="E749" s="69" t="s">
        <v>78</v>
      </c>
      <c r="F749" s="69" t="s">
        <v>1509</v>
      </c>
      <c r="H749" s="69">
        <v>938</v>
      </c>
      <c r="U749" s="69"/>
      <c r="V749" s="69"/>
      <c r="AR749" s="74">
        <f t="shared" si="74"/>
        <v>938</v>
      </c>
      <c r="AS749" s="69">
        <v>627.35</v>
      </c>
      <c r="AT749" s="69">
        <v>84.65</v>
      </c>
      <c r="AU749" s="69">
        <v>226</v>
      </c>
      <c r="BC749" s="69"/>
      <c r="BD749" s="69"/>
      <c r="CC749" s="74">
        <f t="shared" si="75"/>
        <v>938</v>
      </c>
      <c r="CD749" s="73">
        <f t="shared" si="72"/>
        <v>0</v>
      </c>
      <c r="CE749" s="75">
        <f t="shared" si="76"/>
        <v>9078</v>
      </c>
      <c r="CF749" s="3" t="str">
        <f t="shared" si="76"/>
        <v>برنامج دولى</v>
      </c>
    </row>
    <row r="750" spans="3:84" x14ac:dyDescent="0.25">
      <c r="C750" s="82">
        <v>15289</v>
      </c>
      <c r="D750" s="70">
        <v>9079</v>
      </c>
      <c r="E750" s="69" t="s">
        <v>78</v>
      </c>
      <c r="F750" s="69" t="s">
        <v>1509</v>
      </c>
      <c r="H750" s="69">
        <v>996.62</v>
      </c>
      <c r="U750" s="69"/>
      <c r="V750" s="69"/>
      <c r="AR750" s="74">
        <f t="shared" si="74"/>
        <v>996.62</v>
      </c>
      <c r="AS750" s="69">
        <v>666.55</v>
      </c>
      <c r="AT750" s="69">
        <v>89.95</v>
      </c>
      <c r="AU750" s="69">
        <v>240.12</v>
      </c>
      <c r="BC750" s="69"/>
      <c r="BD750" s="69"/>
      <c r="CC750" s="74">
        <f t="shared" si="75"/>
        <v>996.62</v>
      </c>
      <c r="CD750" s="73">
        <f t="shared" si="72"/>
        <v>0</v>
      </c>
      <c r="CE750" s="75">
        <f t="shared" si="76"/>
        <v>9079</v>
      </c>
      <c r="CF750" s="3" t="str">
        <f t="shared" si="76"/>
        <v>برنامج دولى</v>
      </c>
    </row>
    <row r="751" spans="3:84" x14ac:dyDescent="0.25">
      <c r="C751" s="82">
        <v>15290</v>
      </c>
      <c r="D751" s="70">
        <v>9080</v>
      </c>
      <c r="E751" s="69" t="s">
        <v>78</v>
      </c>
      <c r="F751" s="69" t="s">
        <v>851</v>
      </c>
      <c r="H751" s="69">
        <v>3000</v>
      </c>
      <c r="U751" s="69"/>
      <c r="V751" s="69"/>
      <c r="AR751" s="74">
        <f t="shared" si="74"/>
        <v>3000</v>
      </c>
      <c r="AS751" s="69">
        <v>2677.85</v>
      </c>
      <c r="AT751" s="69">
        <v>322.14999999999998</v>
      </c>
      <c r="BC751" s="69"/>
      <c r="BD751" s="69"/>
      <c r="CC751" s="74">
        <f t="shared" si="75"/>
        <v>3000</v>
      </c>
      <c r="CD751" s="73">
        <f t="shared" si="72"/>
        <v>0</v>
      </c>
      <c r="CE751" s="75">
        <f t="shared" si="76"/>
        <v>9080</v>
      </c>
      <c r="CF751" s="3" t="str">
        <f t="shared" si="76"/>
        <v>برنامج دولى</v>
      </c>
    </row>
    <row r="752" spans="3:84" x14ac:dyDescent="0.25">
      <c r="C752" s="82">
        <v>15291</v>
      </c>
      <c r="D752" s="70">
        <v>9081</v>
      </c>
      <c r="E752" s="69" t="s">
        <v>78</v>
      </c>
      <c r="F752" s="69" t="s">
        <v>851</v>
      </c>
      <c r="H752" s="69">
        <v>11725</v>
      </c>
      <c r="U752" s="69"/>
      <c r="V752" s="69"/>
      <c r="AR752" s="74">
        <f t="shared" si="74"/>
        <v>11725</v>
      </c>
      <c r="AS752" s="69">
        <v>7835</v>
      </c>
      <c r="AT752" s="69">
        <v>1065</v>
      </c>
      <c r="AU752" s="69">
        <v>2825</v>
      </c>
      <c r="BC752" s="69"/>
      <c r="BD752" s="69"/>
      <c r="CC752" s="74">
        <f t="shared" ref="CC752:CC815" si="77">SUM(AS752:CB752)</f>
        <v>11725</v>
      </c>
      <c r="CD752" s="73">
        <f t="shared" si="72"/>
        <v>0</v>
      </c>
      <c r="CE752" s="75">
        <f t="shared" si="76"/>
        <v>9081</v>
      </c>
      <c r="CF752" s="3" t="str">
        <f t="shared" si="76"/>
        <v>برنامج دولى</v>
      </c>
    </row>
    <row r="753" spans="3:84" x14ac:dyDescent="0.25">
      <c r="C753" s="82">
        <v>15292</v>
      </c>
      <c r="D753" s="70">
        <v>9082</v>
      </c>
      <c r="E753" s="69" t="s">
        <v>78</v>
      </c>
      <c r="F753" s="69" t="s">
        <v>851</v>
      </c>
      <c r="H753" s="69">
        <v>2345</v>
      </c>
      <c r="U753" s="69"/>
      <c r="V753" s="69"/>
      <c r="AR753" s="74">
        <f t="shared" si="74"/>
        <v>2345</v>
      </c>
      <c r="AS753" s="69">
        <v>1567</v>
      </c>
      <c r="AT753" s="69">
        <v>213</v>
      </c>
      <c r="AU753" s="69">
        <v>565</v>
      </c>
      <c r="BC753" s="69"/>
      <c r="BD753" s="69"/>
      <c r="CC753" s="74">
        <f t="shared" si="77"/>
        <v>2345</v>
      </c>
      <c r="CD753" s="73">
        <f t="shared" si="72"/>
        <v>0</v>
      </c>
      <c r="CE753" s="75">
        <f t="shared" si="76"/>
        <v>9082</v>
      </c>
      <c r="CF753" s="3" t="str">
        <f t="shared" si="76"/>
        <v>برنامج دولى</v>
      </c>
    </row>
    <row r="754" spans="3:84" x14ac:dyDescent="0.25">
      <c r="C754" s="82">
        <v>15293</v>
      </c>
      <c r="D754" s="70">
        <v>9083</v>
      </c>
      <c r="E754" s="69" t="s">
        <v>78</v>
      </c>
      <c r="F754" s="69" t="s">
        <v>1510</v>
      </c>
      <c r="H754" s="69">
        <v>6435.46</v>
      </c>
      <c r="U754" s="69"/>
      <c r="V754" s="69"/>
      <c r="AR754" s="74">
        <f t="shared" si="74"/>
        <v>6435.46</v>
      </c>
      <c r="AS754" s="69">
        <v>5080.87</v>
      </c>
      <c r="AT754" s="69">
        <v>641.45000000000005</v>
      </c>
      <c r="AU754" s="69">
        <v>713.14</v>
      </c>
      <c r="BC754" s="69"/>
      <c r="BD754" s="69"/>
      <c r="CC754" s="74">
        <f t="shared" si="77"/>
        <v>6435.46</v>
      </c>
      <c r="CD754" s="73">
        <f t="shared" si="72"/>
        <v>0</v>
      </c>
      <c r="CE754" s="75">
        <f t="shared" si="76"/>
        <v>9083</v>
      </c>
      <c r="CF754" s="3" t="str">
        <f t="shared" si="76"/>
        <v>برنامج دولى</v>
      </c>
    </row>
    <row r="755" spans="3:84" x14ac:dyDescent="0.25">
      <c r="C755" s="82">
        <v>15294</v>
      </c>
      <c r="D755" s="70">
        <v>9084</v>
      </c>
      <c r="E755" s="69" t="s">
        <v>78</v>
      </c>
      <c r="F755" s="69" t="s">
        <v>1510</v>
      </c>
      <c r="H755" s="69">
        <v>1172.5</v>
      </c>
      <c r="U755" s="69"/>
      <c r="V755" s="69"/>
      <c r="AR755" s="74">
        <f t="shared" si="74"/>
        <v>1172.5</v>
      </c>
      <c r="AS755" s="69">
        <v>784.1</v>
      </c>
      <c r="AT755" s="69">
        <v>105.9</v>
      </c>
      <c r="AU755" s="69">
        <v>282.5</v>
      </c>
      <c r="BC755" s="69"/>
      <c r="BD755" s="69"/>
      <c r="CC755" s="74">
        <f t="shared" si="77"/>
        <v>1172.5</v>
      </c>
      <c r="CD755" s="73">
        <f t="shared" si="72"/>
        <v>0</v>
      </c>
      <c r="CE755" s="75">
        <f t="shared" ref="CE755:CF818" si="78">+D755</f>
        <v>9084</v>
      </c>
      <c r="CF755" s="3" t="str">
        <f t="shared" si="78"/>
        <v>برنامج دولى</v>
      </c>
    </row>
    <row r="756" spans="3:84" x14ac:dyDescent="0.25">
      <c r="C756" s="82">
        <v>15295</v>
      </c>
      <c r="D756" s="70">
        <v>9085</v>
      </c>
      <c r="E756" s="69" t="s">
        <v>78</v>
      </c>
      <c r="F756" s="69" t="s">
        <v>1510</v>
      </c>
      <c r="H756" s="69">
        <v>22956.63</v>
      </c>
      <c r="U756" s="69"/>
      <c r="V756" s="69"/>
      <c r="AR756" s="74">
        <f t="shared" si="74"/>
        <v>22956.63</v>
      </c>
      <c r="AS756" s="69">
        <v>15223.53</v>
      </c>
      <c r="AT756" s="69">
        <v>2072.25</v>
      </c>
      <c r="AU756" s="69">
        <v>5660.85</v>
      </c>
      <c r="BC756" s="69"/>
      <c r="BD756" s="69"/>
      <c r="CC756" s="74">
        <f t="shared" si="77"/>
        <v>22956.629999999997</v>
      </c>
      <c r="CD756" s="73">
        <f t="shared" si="72"/>
        <v>0</v>
      </c>
      <c r="CE756" s="75">
        <f t="shared" si="78"/>
        <v>9085</v>
      </c>
      <c r="CF756" s="3" t="str">
        <f t="shared" si="78"/>
        <v>برنامج دولى</v>
      </c>
    </row>
    <row r="757" spans="3:84" x14ac:dyDescent="0.25">
      <c r="C757" s="82">
        <v>15296</v>
      </c>
      <c r="D757" s="70">
        <v>9086</v>
      </c>
      <c r="E757" s="69" t="s">
        <v>78</v>
      </c>
      <c r="F757" s="69" t="s">
        <v>1510</v>
      </c>
      <c r="H757" s="69">
        <v>1758.75</v>
      </c>
      <c r="U757" s="69"/>
      <c r="V757" s="69"/>
      <c r="AR757" s="74">
        <f t="shared" si="74"/>
        <v>1758.75</v>
      </c>
      <c r="AS757" s="69">
        <v>1175.3499999999999</v>
      </c>
      <c r="AT757" s="69">
        <v>159.65</v>
      </c>
      <c r="AU757" s="69">
        <v>423.75</v>
      </c>
      <c r="BC757" s="69"/>
      <c r="BD757" s="69"/>
      <c r="CC757" s="74">
        <f t="shared" si="77"/>
        <v>1758.75</v>
      </c>
      <c r="CD757" s="73">
        <f t="shared" si="72"/>
        <v>0</v>
      </c>
      <c r="CE757" s="75">
        <f t="shared" si="78"/>
        <v>9086</v>
      </c>
      <c r="CF757" s="3" t="str">
        <f t="shared" si="78"/>
        <v>برنامج دولى</v>
      </c>
    </row>
    <row r="758" spans="3:84" x14ac:dyDescent="0.25">
      <c r="C758" s="82">
        <v>15297</v>
      </c>
      <c r="D758" s="70">
        <v>9087</v>
      </c>
      <c r="E758" s="69" t="s">
        <v>78</v>
      </c>
      <c r="F758" s="69" t="s">
        <v>1511</v>
      </c>
      <c r="H758" s="69">
        <v>6584.06</v>
      </c>
      <c r="U758" s="69"/>
      <c r="V758" s="69"/>
      <c r="AR758" s="74">
        <f t="shared" si="74"/>
        <v>6584.06</v>
      </c>
      <c r="AS758" s="69">
        <v>4678.03</v>
      </c>
      <c r="AT758" s="69">
        <v>622</v>
      </c>
      <c r="AU758" s="69">
        <v>1284.03</v>
      </c>
      <c r="BC758" s="69"/>
      <c r="BD758" s="69"/>
      <c r="CC758" s="74">
        <f t="shared" si="77"/>
        <v>6584.0599999999995</v>
      </c>
      <c r="CD758" s="73">
        <f t="shared" si="72"/>
        <v>0</v>
      </c>
      <c r="CE758" s="75">
        <f t="shared" si="78"/>
        <v>9087</v>
      </c>
      <c r="CF758" s="3" t="str">
        <f t="shared" si="78"/>
        <v>برنامج دولى</v>
      </c>
    </row>
    <row r="759" spans="3:84" x14ac:dyDescent="0.25">
      <c r="C759" s="82">
        <v>15298</v>
      </c>
      <c r="D759" s="70">
        <v>9088</v>
      </c>
      <c r="E759" s="69" t="s">
        <v>78</v>
      </c>
      <c r="F759" s="69" t="s">
        <v>1512</v>
      </c>
      <c r="H759" s="69">
        <v>586.25</v>
      </c>
      <c r="U759" s="69"/>
      <c r="V759" s="69"/>
      <c r="AR759" s="74">
        <f t="shared" si="74"/>
        <v>586.25</v>
      </c>
      <c r="AS759" s="69">
        <v>392.4</v>
      </c>
      <c r="AT759" s="69">
        <v>52.6</v>
      </c>
      <c r="AU759" s="69">
        <v>141.25</v>
      </c>
      <c r="BC759" s="69"/>
      <c r="BD759" s="69"/>
      <c r="CC759" s="74">
        <f t="shared" si="77"/>
        <v>586.25</v>
      </c>
      <c r="CD759" s="73">
        <f t="shared" si="72"/>
        <v>0</v>
      </c>
      <c r="CE759" s="75">
        <f t="shared" si="78"/>
        <v>9088</v>
      </c>
      <c r="CF759" s="3" t="str">
        <f t="shared" si="78"/>
        <v>برنامج دولى</v>
      </c>
    </row>
    <row r="760" spans="3:84" x14ac:dyDescent="0.25">
      <c r="C760" s="82">
        <v>15299</v>
      </c>
      <c r="D760" s="70">
        <v>9089</v>
      </c>
      <c r="E760" s="69" t="s">
        <v>78</v>
      </c>
      <c r="F760" s="69" t="s">
        <v>1513</v>
      </c>
      <c r="H760" s="69">
        <v>4221</v>
      </c>
      <c r="U760" s="69"/>
      <c r="V760" s="69"/>
      <c r="AR760" s="74">
        <f t="shared" si="74"/>
        <v>4221</v>
      </c>
      <c r="AS760" s="69">
        <v>2821.9</v>
      </c>
      <c r="AT760" s="69">
        <v>382.1</v>
      </c>
      <c r="AU760" s="69">
        <v>1017</v>
      </c>
      <c r="BC760" s="69"/>
      <c r="BD760" s="69"/>
      <c r="CC760" s="74">
        <f t="shared" si="77"/>
        <v>4221</v>
      </c>
      <c r="CD760" s="73">
        <f t="shared" si="72"/>
        <v>0</v>
      </c>
      <c r="CE760" s="75">
        <f t="shared" si="78"/>
        <v>9089</v>
      </c>
      <c r="CF760" s="3" t="str">
        <f t="shared" si="78"/>
        <v>برنامج دولى</v>
      </c>
    </row>
    <row r="761" spans="3:84" x14ac:dyDescent="0.25">
      <c r="C761" s="82">
        <v>15300</v>
      </c>
      <c r="D761" s="70">
        <v>9090</v>
      </c>
      <c r="E761" s="69" t="s">
        <v>78</v>
      </c>
      <c r="F761" s="69" t="s">
        <v>1514</v>
      </c>
      <c r="H761" s="69">
        <v>2303.6</v>
      </c>
      <c r="U761" s="69"/>
      <c r="V761" s="69"/>
      <c r="AR761" s="74">
        <f t="shared" si="74"/>
        <v>2303.6</v>
      </c>
      <c r="AS761" s="69">
        <v>1593.2</v>
      </c>
      <c r="AT761" s="69">
        <v>213.2</v>
      </c>
      <c r="AU761" s="69">
        <v>497.2</v>
      </c>
      <c r="BC761" s="69"/>
      <c r="BD761" s="69"/>
      <c r="CC761" s="74">
        <f t="shared" si="77"/>
        <v>2303.6</v>
      </c>
      <c r="CD761" s="73">
        <f t="shared" si="72"/>
        <v>0</v>
      </c>
      <c r="CE761" s="75">
        <f t="shared" si="78"/>
        <v>9090</v>
      </c>
      <c r="CF761" s="3" t="str">
        <f t="shared" si="78"/>
        <v>برنامج دولى</v>
      </c>
    </row>
    <row r="762" spans="3:84" x14ac:dyDescent="0.25">
      <c r="C762" s="82">
        <v>15301</v>
      </c>
      <c r="D762" s="70">
        <v>9091</v>
      </c>
      <c r="E762" s="69" t="s">
        <v>78</v>
      </c>
      <c r="F762" s="69" t="s">
        <v>1514</v>
      </c>
      <c r="H762" s="69">
        <v>1758.75</v>
      </c>
      <c r="U762" s="69"/>
      <c r="V762" s="69"/>
      <c r="AR762" s="74">
        <f t="shared" si="74"/>
        <v>1758.75</v>
      </c>
      <c r="AS762" s="69">
        <v>1175.3499999999999</v>
      </c>
      <c r="AT762" s="69">
        <v>159.65</v>
      </c>
      <c r="AU762" s="69">
        <v>423.75</v>
      </c>
      <c r="BC762" s="69"/>
      <c r="BD762" s="69"/>
      <c r="CC762" s="74">
        <f t="shared" si="77"/>
        <v>1758.75</v>
      </c>
      <c r="CD762" s="73">
        <f t="shared" si="72"/>
        <v>0</v>
      </c>
      <c r="CE762" s="75">
        <f t="shared" si="78"/>
        <v>9091</v>
      </c>
      <c r="CF762" s="3" t="str">
        <f t="shared" si="78"/>
        <v>برنامج دولى</v>
      </c>
    </row>
    <row r="763" spans="3:84" x14ac:dyDescent="0.25">
      <c r="C763" s="82">
        <v>15302</v>
      </c>
      <c r="D763" s="70">
        <v>9092</v>
      </c>
      <c r="E763" s="69" t="s">
        <v>78</v>
      </c>
      <c r="F763" s="69" t="s">
        <v>1515</v>
      </c>
      <c r="H763" s="69">
        <v>7500</v>
      </c>
      <c r="U763" s="69"/>
      <c r="V763" s="69"/>
      <c r="AR763" s="74">
        <f t="shared" si="74"/>
        <v>7500</v>
      </c>
      <c r="AS763" s="69">
        <v>6694.8</v>
      </c>
      <c r="AT763" s="69">
        <v>805.2</v>
      </c>
      <c r="BC763" s="69"/>
      <c r="BD763" s="69"/>
      <c r="CC763" s="74">
        <f t="shared" si="77"/>
        <v>7500</v>
      </c>
      <c r="CD763" s="73">
        <f t="shared" si="72"/>
        <v>0</v>
      </c>
      <c r="CE763" s="75">
        <f t="shared" si="78"/>
        <v>9092</v>
      </c>
      <c r="CF763" s="3" t="str">
        <f t="shared" si="78"/>
        <v>برنامج دولى</v>
      </c>
    </row>
    <row r="764" spans="3:84" x14ac:dyDescent="0.25">
      <c r="C764" s="82">
        <v>15303</v>
      </c>
      <c r="D764" s="70">
        <v>9093</v>
      </c>
      <c r="E764" s="69" t="s">
        <v>78</v>
      </c>
      <c r="F764" s="69" t="s">
        <v>1516</v>
      </c>
      <c r="H764" s="69">
        <v>1407</v>
      </c>
      <c r="U764" s="69"/>
      <c r="V764" s="69"/>
      <c r="AR764" s="74">
        <f t="shared" si="74"/>
        <v>1407</v>
      </c>
      <c r="AS764" s="69">
        <v>940.35</v>
      </c>
      <c r="AT764" s="69">
        <v>127.65</v>
      </c>
      <c r="AU764" s="69">
        <v>339</v>
      </c>
      <c r="BC764" s="69"/>
      <c r="BD764" s="69"/>
      <c r="CC764" s="74">
        <f t="shared" si="77"/>
        <v>1407</v>
      </c>
      <c r="CD764" s="73">
        <f t="shared" si="72"/>
        <v>0</v>
      </c>
      <c r="CE764" s="75">
        <f t="shared" si="78"/>
        <v>9093</v>
      </c>
      <c r="CF764" s="3" t="str">
        <f t="shared" si="78"/>
        <v>برنامج دولى</v>
      </c>
    </row>
    <row r="765" spans="3:84" x14ac:dyDescent="0.25">
      <c r="C765" s="82">
        <v>15304</v>
      </c>
      <c r="D765" s="70">
        <v>9094</v>
      </c>
      <c r="E765" s="69" t="s">
        <v>78</v>
      </c>
      <c r="F765" s="69" t="s">
        <v>1517</v>
      </c>
      <c r="H765" s="69">
        <v>19736.240000000002</v>
      </c>
      <c r="U765" s="69"/>
      <c r="V765" s="69"/>
      <c r="AR765" s="74">
        <f t="shared" si="74"/>
        <v>19736.240000000002</v>
      </c>
      <c r="AS765" s="69">
        <v>16751.41</v>
      </c>
      <c r="AT765" s="69">
        <v>2052.6</v>
      </c>
      <c r="AU765" s="69">
        <v>932.23</v>
      </c>
      <c r="BC765" s="69"/>
      <c r="BD765" s="69"/>
      <c r="CC765" s="74">
        <f t="shared" si="77"/>
        <v>19736.239999999998</v>
      </c>
      <c r="CD765" s="73">
        <f t="shared" si="72"/>
        <v>0</v>
      </c>
      <c r="CE765" s="75">
        <f t="shared" si="78"/>
        <v>9094</v>
      </c>
      <c r="CF765" s="3" t="str">
        <f t="shared" si="78"/>
        <v>برنامج دولى</v>
      </c>
    </row>
    <row r="766" spans="3:84" x14ac:dyDescent="0.25">
      <c r="C766" s="82">
        <v>15305</v>
      </c>
      <c r="D766" s="70">
        <v>9095</v>
      </c>
      <c r="E766" s="69" t="s">
        <v>78</v>
      </c>
      <c r="F766" s="69" t="s">
        <v>1517</v>
      </c>
      <c r="H766" s="69">
        <v>1051.03</v>
      </c>
      <c r="U766" s="69"/>
      <c r="V766" s="69"/>
      <c r="AR766" s="74">
        <f t="shared" si="74"/>
        <v>1051.03</v>
      </c>
      <c r="AS766" s="69">
        <v>861.01</v>
      </c>
      <c r="AT766" s="69">
        <v>106.45</v>
      </c>
      <c r="AU766" s="69">
        <v>83.57</v>
      </c>
      <c r="BC766" s="69"/>
      <c r="BD766" s="69"/>
      <c r="CC766" s="74">
        <f t="shared" si="77"/>
        <v>1051.03</v>
      </c>
      <c r="CD766" s="73">
        <f t="shared" si="72"/>
        <v>0</v>
      </c>
      <c r="CE766" s="75">
        <f t="shared" si="78"/>
        <v>9095</v>
      </c>
      <c r="CF766" s="3" t="str">
        <f t="shared" si="78"/>
        <v>برنامج دولى</v>
      </c>
    </row>
    <row r="767" spans="3:84" x14ac:dyDescent="0.25">
      <c r="C767" s="82">
        <v>15306</v>
      </c>
      <c r="D767" s="70">
        <v>9096</v>
      </c>
      <c r="E767" s="69" t="s">
        <v>78</v>
      </c>
      <c r="F767" s="69" t="s">
        <v>1518</v>
      </c>
      <c r="H767" s="69">
        <v>11234.9</v>
      </c>
      <c r="U767" s="69"/>
      <c r="V767" s="69"/>
      <c r="AR767" s="74">
        <f t="shared" si="74"/>
        <v>11234.9</v>
      </c>
      <c r="AS767" s="69">
        <v>7498.98</v>
      </c>
      <c r="AT767" s="69">
        <f>70.8+958.2</f>
        <v>1029</v>
      </c>
      <c r="AU767" s="69">
        <v>2706.92</v>
      </c>
      <c r="BC767" s="69"/>
      <c r="BD767" s="69"/>
      <c r="CC767" s="74">
        <f t="shared" si="77"/>
        <v>11234.9</v>
      </c>
      <c r="CD767" s="73">
        <f t="shared" si="72"/>
        <v>0</v>
      </c>
      <c r="CE767" s="75">
        <f t="shared" si="78"/>
        <v>9096</v>
      </c>
      <c r="CF767" s="3" t="str">
        <f t="shared" si="78"/>
        <v>برنامج دولى</v>
      </c>
    </row>
    <row r="768" spans="3:84" x14ac:dyDescent="0.25">
      <c r="C768" s="82">
        <v>15307</v>
      </c>
      <c r="D768" s="70">
        <v>9097</v>
      </c>
      <c r="E768" s="69" t="s">
        <v>78</v>
      </c>
      <c r="F768" s="69" t="s">
        <v>1519</v>
      </c>
      <c r="H768" s="69">
        <v>1801.36</v>
      </c>
      <c r="U768" s="69"/>
      <c r="V768" s="69"/>
      <c r="AR768" s="74">
        <f t="shared" si="74"/>
        <v>1801.36</v>
      </c>
      <c r="AS768" s="69">
        <v>1300.9000000000001</v>
      </c>
      <c r="AT768" s="69">
        <v>170.7</v>
      </c>
      <c r="AU768" s="69">
        <v>329.76</v>
      </c>
      <c r="BC768" s="69"/>
      <c r="BD768" s="69"/>
      <c r="CC768" s="74">
        <f t="shared" si="77"/>
        <v>1801.3600000000001</v>
      </c>
      <c r="CD768" s="73">
        <f t="shared" si="72"/>
        <v>0</v>
      </c>
      <c r="CE768" s="75">
        <f t="shared" si="78"/>
        <v>9097</v>
      </c>
      <c r="CF768" s="3" t="str">
        <f t="shared" si="78"/>
        <v>برنامج دولى</v>
      </c>
    </row>
    <row r="769" spans="3:84" x14ac:dyDescent="0.25">
      <c r="C769" s="82">
        <v>15308</v>
      </c>
      <c r="D769" s="70">
        <v>9098</v>
      </c>
      <c r="E769" s="69" t="s">
        <v>78</v>
      </c>
      <c r="F769" s="69" t="s">
        <v>1519</v>
      </c>
      <c r="H769" s="69">
        <v>2227.75</v>
      </c>
      <c r="U769" s="69"/>
      <c r="V769" s="69"/>
      <c r="AR769" s="74">
        <f t="shared" si="74"/>
        <v>2227.75</v>
      </c>
      <c r="AS769" s="69">
        <v>1489.3</v>
      </c>
      <c r="AT769" s="69">
        <v>201.7</v>
      </c>
      <c r="AU769" s="69">
        <v>536.75</v>
      </c>
      <c r="BC769" s="69"/>
      <c r="BD769" s="69"/>
      <c r="CC769" s="74">
        <f t="shared" si="77"/>
        <v>2227.75</v>
      </c>
      <c r="CD769" s="73">
        <f t="shared" si="72"/>
        <v>0</v>
      </c>
      <c r="CE769" s="75">
        <f t="shared" si="78"/>
        <v>9098</v>
      </c>
      <c r="CF769" s="3" t="str">
        <f t="shared" si="78"/>
        <v>برنامج دولى</v>
      </c>
    </row>
    <row r="770" spans="3:84" x14ac:dyDescent="0.25">
      <c r="C770" s="82">
        <v>15309</v>
      </c>
      <c r="D770" s="70">
        <v>9099</v>
      </c>
      <c r="E770" s="69" t="s">
        <v>78</v>
      </c>
      <c r="F770" s="69" t="s">
        <v>1520</v>
      </c>
      <c r="H770" s="69">
        <v>938</v>
      </c>
      <c r="U770" s="69"/>
      <c r="V770" s="69"/>
      <c r="AR770" s="74">
        <f t="shared" si="74"/>
        <v>938</v>
      </c>
      <c r="AS770" s="69">
        <v>628</v>
      </c>
      <c r="AT770" s="69">
        <v>84</v>
      </c>
      <c r="AU770" s="69">
        <v>226</v>
      </c>
      <c r="BC770" s="69"/>
      <c r="BD770" s="69"/>
      <c r="CC770" s="74">
        <f t="shared" si="77"/>
        <v>938</v>
      </c>
      <c r="CD770" s="73">
        <f t="shared" si="72"/>
        <v>0</v>
      </c>
      <c r="CE770" s="75">
        <f t="shared" si="78"/>
        <v>9099</v>
      </c>
      <c r="CF770" s="3" t="str">
        <f t="shared" si="78"/>
        <v>برنامج دولى</v>
      </c>
    </row>
    <row r="771" spans="3:84" x14ac:dyDescent="0.25">
      <c r="C771" s="82">
        <v>12605</v>
      </c>
      <c r="D771" s="70">
        <v>9100</v>
      </c>
      <c r="E771" s="69" t="s">
        <v>121</v>
      </c>
      <c r="F771" s="69" t="s">
        <v>1521</v>
      </c>
      <c r="H771" s="69">
        <v>9500</v>
      </c>
      <c r="U771" s="69"/>
      <c r="V771" s="69"/>
      <c r="AR771" s="74">
        <f t="shared" si="74"/>
        <v>9500</v>
      </c>
      <c r="AS771" s="69">
        <v>8479.7999999999993</v>
      </c>
      <c r="AT771" s="69">
        <v>1020.2</v>
      </c>
      <c r="BC771" s="69"/>
      <c r="BD771" s="69"/>
      <c r="CC771" s="74">
        <f t="shared" si="77"/>
        <v>9500</v>
      </c>
      <c r="CD771" s="73">
        <f t="shared" ref="CD771:CD834" si="79">+CC771-AR771</f>
        <v>0</v>
      </c>
      <c r="CE771" s="75">
        <f t="shared" si="78"/>
        <v>9100</v>
      </c>
      <c r="CF771" s="3" t="str">
        <f t="shared" si="78"/>
        <v>ماليزى اسنان</v>
      </c>
    </row>
    <row r="772" spans="3:84" x14ac:dyDescent="0.25">
      <c r="C772" s="82">
        <v>12604</v>
      </c>
      <c r="D772" s="70">
        <v>9101</v>
      </c>
      <c r="E772" s="69" t="s">
        <v>121</v>
      </c>
      <c r="F772" s="69" t="s">
        <v>1522</v>
      </c>
      <c r="H772" s="69">
        <v>3000</v>
      </c>
      <c r="U772" s="69"/>
      <c r="V772" s="69"/>
      <c r="AR772" s="74">
        <f t="shared" si="74"/>
        <v>3000</v>
      </c>
      <c r="AS772" s="69">
        <v>2677.85</v>
      </c>
      <c r="AT772" s="69">
        <v>322.14999999999998</v>
      </c>
      <c r="BC772" s="69"/>
      <c r="BD772" s="69"/>
      <c r="CC772" s="74">
        <f t="shared" si="77"/>
        <v>3000</v>
      </c>
      <c r="CD772" s="73">
        <f t="shared" si="79"/>
        <v>0</v>
      </c>
      <c r="CE772" s="75">
        <f t="shared" si="78"/>
        <v>9101</v>
      </c>
      <c r="CF772" s="3" t="str">
        <f t="shared" si="78"/>
        <v>ماليزى اسنان</v>
      </c>
    </row>
    <row r="773" spans="3:84" x14ac:dyDescent="0.25">
      <c r="C773" s="82">
        <v>15137</v>
      </c>
      <c r="D773" s="70">
        <v>9102</v>
      </c>
      <c r="E773" s="69" t="s">
        <v>78</v>
      </c>
      <c r="F773" s="69" t="s">
        <v>1523</v>
      </c>
      <c r="H773" s="69">
        <v>33413.480000000003</v>
      </c>
      <c r="U773" s="69"/>
      <c r="V773" s="69"/>
      <c r="AR773" s="74">
        <f t="shared" si="74"/>
        <v>33413.480000000003</v>
      </c>
      <c r="AS773" s="69">
        <v>29168.87</v>
      </c>
      <c r="AT773" s="69">
        <v>3540.93</v>
      </c>
      <c r="AU773" s="69">
        <v>703.68</v>
      </c>
      <c r="BC773" s="69"/>
      <c r="BD773" s="69"/>
      <c r="CC773" s="74">
        <f t="shared" si="77"/>
        <v>33413.479999999996</v>
      </c>
      <c r="CD773" s="73">
        <f t="shared" si="79"/>
        <v>0</v>
      </c>
      <c r="CE773" s="75">
        <f t="shared" si="78"/>
        <v>9102</v>
      </c>
      <c r="CF773" s="3" t="str">
        <f t="shared" si="78"/>
        <v>برنامج دولى</v>
      </c>
    </row>
    <row r="774" spans="3:84" x14ac:dyDescent="0.25">
      <c r="C774" s="82">
        <v>15130</v>
      </c>
      <c r="D774" s="70">
        <v>9103</v>
      </c>
      <c r="E774" s="69" t="s">
        <v>78</v>
      </c>
      <c r="F774" s="69" t="s">
        <v>1524</v>
      </c>
      <c r="H774" s="69">
        <v>410.38</v>
      </c>
      <c r="U774" s="69"/>
      <c r="V774" s="69"/>
      <c r="AR774" s="74">
        <f t="shared" si="74"/>
        <v>410.38</v>
      </c>
      <c r="AS774" s="69">
        <v>274.8</v>
      </c>
      <c r="AT774" s="69">
        <v>36.700000000000003</v>
      </c>
      <c r="AU774" s="69">
        <v>98.88</v>
      </c>
      <c r="BC774" s="69"/>
      <c r="BD774" s="69"/>
      <c r="CC774" s="74">
        <f t="shared" si="77"/>
        <v>410.38</v>
      </c>
      <c r="CD774" s="73">
        <f t="shared" si="79"/>
        <v>0</v>
      </c>
      <c r="CE774" s="75">
        <f t="shared" si="78"/>
        <v>9103</v>
      </c>
      <c r="CF774" s="3" t="str">
        <f t="shared" si="78"/>
        <v>برنامج دولى</v>
      </c>
    </row>
    <row r="775" spans="3:84" x14ac:dyDescent="0.25">
      <c r="C775" s="82">
        <v>15131</v>
      </c>
      <c r="D775" s="70">
        <v>9104</v>
      </c>
      <c r="E775" s="69" t="s">
        <v>78</v>
      </c>
      <c r="F775" s="69" t="s">
        <v>1524</v>
      </c>
      <c r="H775" s="69">
        <v>2007.93</v>
      </c>
      <c r="U775" s="69"/>
      <c r="V775" s="69"/>
      <c r="AR775" s="74">
        <f t="shared" ref="AR775:AR838" si="80">SUM(H775:AQ775)</f>
        <v>2007.93</v>
      </c>
      <c r="AS775" s="69">
        <v>1345.84</v>
      </c>
      <c r="AT775" s="69">
        <v>178.3</v>
      </c>
      <c r="AU775" s="69">
        <v>483.79</v>
      </c>
      <c r="BC775" s="69"/>
      <c r="BD775" s="69"/>
      <c r="CC775" s="74">
        <f t="shared" si="77"/>
        <v>2007.9299999999998</v>
      </c>
      <c r="CD775" s="73">
        <f t="shared" si="79"/>
        <v>0</v>
      </c>
      <c r="CE775" s="75">
        <f t="shared" si="78"/>
        <v>9104</v>
      </c>
      <c r="CF775" s="3" t="str">
        <f t="shared" si="78"/>
        <v>برنامج دولى</v>
      </c>
    </row>
    <row r="776" spans="3:84" x14ac:dyDescent="0.25">
      <c r="C776" s="82">
        <v>15129</v>
      </c>
      <c r="D776" s="70">
        <v>9105</v>
      </c>
      <c r="E776" s="69" t="s">
        <v>78</v>
      </c>
      <c r="F776" s="69" t="s">
        <v>1248</v>
      </c>
      <c r="H776" s="69">
        <v>703.51</v>
      </c>
      <c r="U776" s="69"/>
      <c r="V776" s="69"/>
      <c r="AR776" s="74">
        <f t="shared" si="80"/>
        <v>703.51</v>
      </c>
      <c r="AS776" s="69">
        <v>470.75</v>
      </c>
      <c r="AT776" s="69">
        <f>3.25+60</f>
        <v>63.25</v>
      </c>
      <c r="AU776" s="69">
        <f>232.76-63.25</f>
        <v>169.51</v>
      </c>
      <c r="BC776" s="69"/>
      <c r="BD776" s="69"/>
      <c r="CC776" s="74">
        <f t="shared" si="77"/>
        <v>703.51</v>
      </c>
      <c r="CD776" s="73">
        <f t="shared" si="79"/>
        <v>0</v>
      </c>
      <c r="CE776" s="75">
        <f t="shared" si="78"/>
        <v>9105</v>
      </c>
      <c r="CF776" s="3" t="str">
        <f t="shared" si="78"/>
        <v>برنامج دولى</v>
      </c>
    </row>
    <row r="777" spans="3:84" x14ac:dyDescent="0.25">
      <c r="C777" s="82">
        <v>15132</v>
      </c>
      <c r="D777" s="70">
        <v>9106</v>
      </c>
      <c r="E777" s="69" t="s">
        <v>78</v>
      </c>
      <c r="F777" s="69" t="str">
        <f>+F775</f>
        <v>مكافاه امتحان وافدين</v>
      </c>
      <c r="H777" s="69">
        <v>1113.8900000000001</v>
      </c>
      <c r="U777" s="69"/>
      <c r="V777" s="69"/>
      <c r="AR777" s="74">
        <f t="shared" si="80"/>
        <v>1113.8900000000001</v>
      </c>
      <c r="AS777" s="69">
        <v>746.5</v>
      </c>
      <c r="AT777" s="69">
        <v>99</v>
      </c>
      <c r="AU777" s="69">
        <v>268.39</v>
      </c>
      <c r="BC777" s="69"/>
      <c r="BD777" s="69"/>
      <c r="CC777" s="74">
        <f t="shared" si="77"/>
        <v>1113.8899999999999</v>
      </c>
      <c r="CD777" s="73">
        <f t="shared" si="79"/>
        <v>0</v>
      </c>
      <c r="CE777" s="75">
        <f t="shared" si="78"/>
        <v>9106</v>
      </c>
      <c r="CF777" s="3" t="str">
        <f t="shared" si="78"/>
        <v>برنامج دولى</v>
      </c>
    </row>
    <row r="778" spans="3:84" x14ac:dyDescent="0.25">
      <c r="C778" s="82">
        <v>15134</v>
      </c>
      <c r="D778" s="70">
        <v>9107</v>
      </c>
      <c r="E778" s="69" t="s">
        <v>78</v>
      </c>
      <c r="F778" s="69" t="s">
        <v>1525</v>
      </c>
      <c r="H778" s="69">
        <v>1758.75</v>
      </c>
      <c r="U778" s="69"/>
      <c r="V778" s="69"/>
      <c r="AR778" s="74">
        <f t="shared" si="80"/>
        <v>1758.75</v>
      </c>
      <c r="AS778" s="69">
        <v>1175.3499999999999</v>
      </c>
      <c r="AT778" s="69">
        <v>159.65</v>
      </c>
      <c r="AU778" s="69">
        <v>423.75</v>
      </c>
      <c r="BC778" s="69"/>
      <c r="BD778" s="69"/>
      <c r="CC778" s="74">
        <f t="shared" si="77"/>
        <v>1758.75</v>
      </c>
      <c r="CD778" s="73">
        <f t="shared" si="79"/>
        <v>0</v>
      </c>
      <c r="CE778" s="75">
        <f t="shared" si="78"/>
        <v>9107</v>
      </c>
      <c r="CF778" s="3" t="str">
        <f t="shared" si="78"/>
        <v>برنامج دولى</v>
      </c>
    </row>
    <row r="779" spans="3:84" x14ac:dyDescent="0.25">
      <c r="C779" s="82">
        <v>15135</v>
      </c>
      <c r="D779" s="70">
        <v>9108</v>
      </c>
      <c r="E779" s="69" t="s">
        <v>78</v>
      </c>
      <c r="F779" s="69" t="s">
        <v>1525</v>
      </c>
      <c r="H779" s="69">
        <v>3517.5</v>
      </c>
      <c r="U779" s="69"/>
      <c r="V779" s="69"/>
      <c r="AR779" s="74">
        <f t="shared" si="80"/>
        <v>3517.5</v>
      </c>
      <c r="AS779" s="69">
        <v>2350.6999999999998</v>
      </c>
      <c r="AT779" s="69">
        <v>319.3</v>
      </c>
      <c r="AU779" s="69">
        <v>847.5</v>
      </c>
      <c r="BC779" s="69"/>
      <c r="BD779" s="69"/>
      <c r="CC779" s="74">
        <f t="shared" si="77"/>
        <v>3517.5</v>
      </c>
      <c r="CD779" s="73">
        <f t="shared" si="79"/>
        <v>0</v>
      </c>
      <c r="CE779" s="75">
        <f t="shared" si="78"/>
        <v>9108</v>
      </c>
      <c r="CF779" s="3" t="str">
        <f t="shared" si="78"/>
        <v>برنامج دولى</v>
      </c>
    </row>
    <row r="780" spans="3:84" x14ac:dyDescent="0.25">
      <c r="C780" s="82">
        <v>15133</v>
      </c>
      <c r="D780" s="70">
        <v>9109</v>
      </c>
      <c r="E780" s="69" t="s">
        <v>78</v>
      </c>
      <c r="F780" s="69" t="s">
        <v>1525</v>
      </c>
      <c r="H780" s="69">
        <v>8090.25</v>
      </c>
      <c r="U780" s="69"/>
      <c r="V780" s="69"/>
      <c r="AR780" s="74">
        <f t="shared" si="80"/>
        <v>8090.25</v>
      </c>
      <c r="AS780" s="69">
        <v>5408.1</v>
      </c>
      <c r="AT780" s="69">
        <f>42.9+690</f>
        <v>732.9</v>
      </c>
      <c r="AU780" s="69">
        <f>2682.15-42.9-690</f>
        <v>1949.25</v>
      </c>
      <c r="BC780" s="69"/>
      <c r="BD780" s="69"/>
      <c r="CC780" s="74">
        <f t="shared" si="77"/>
        <v>8090.25</v>
      </c>
      <c r="CD780" s="73">
        <f t="shared" si="79"/>
        <v>0</v>
      </c>
      <c r="CE780" s="75">
        <f t="shared" si="78"/>
        <v>9109</v>
      </c>
      <c r="CF780" s="3" t="str">
        <f t="shared" si="78"/>
        <v>برنامج دولى</v>
      </c>
    </row>
    <row r="781" spans="3:84" x14ac:dyDescent="0.25">
      <c r="C781" s="82">
        <v>15136</v>
      </c>
      <c r="D781" s="70">
        <v>9110</v>
      </c>
      <c r="E781" s="69" t="s">
        <v>78</v>
      </c>
      <c r="F781" s="69" t="s">
        <v>1525</v>
      </c>
      <c r="H781" s="69">
        <v>7163.29</v>
      </c>
      <c r="U781" s="69"/>
      <c r="V781" s="69"/>
      <c r="AR781" s="74">
        <f t="shared" si="80"/>
        <v>7163.29</v>
      </c>
      <c r="AS781" s="69">
        <v>4697.42</v>
      </c>
      <c r="AT781" s="69">
        <v>642.65</v>
      </c>
      <c r="AU781" s="69">
        <v>1823.22</v>
      </c>
      <c r="BC781" s="69"/>
      <c r="BD781" s="69"/>
      <c r="CC781" s="74">
        <f t="shared" si="77"/>
        <v>7163.29</v>
      </c>
      <c r="CD781" s="73">
        <f t="shared" si="79"/>
        <v>0</v>
      </c>
      <c r="CE781" s="75">
        <f t="shared" si="78"/>
        <v>9110</v>
      </c>
      <c r="CF781" s="3" t="str">
        <f t="shared" si="78"/>
        <v>برنامج دولى</v>
      </c>
    </row>
    <row r="782" spans="3:84" x14ac:dyDescent="0.25">
      <c r="C782" s="82">
        <v>15156</v>
      </c>
      <c r="D782" s="70">
        <v>9111</v>
      </c>
      <c r="E782" s="69" t="s">
        <v>78</v>
      </c>
      <c r="F782" s="69" t="s">
        <v>1526</v>
      </c>
      <c r="H782" s="69">
        <v>960</v>
      </c>
      <c r="U782" s="69"/>
      <c r="V782" s="69"/>
      <c r="AR782" s="74">
        <f t="shared" si="80"/>
        <v>960</v>
      </c>
      <c r="AS782" s="69">
        <v>857.6</v>
      </c>
      <c r="AT782" s="69">
        <v>102.4</v>
      </c>
      <c r="BC782" s="69"/>
      <c r="BD782" s="69"/>
      <c r="CC782" s="74">
        <f t="shared" si="77"/>
        <v>960</v>
      </c>
      <c r="CD782" s="73">
        <f t="shared" si="79"/>
        <v>0</v>
      </c>
      <c r="CE782" s="75">
        <f t="shared" si="78"/>
        <v>9111</v>
      </c>
      <c r="CF782" s="3" t="str">
        <f t="shared" si="78"/>
        <v>برنامج دولى</v>
      </c>
    </row>
    <row r="783" spans="3:84" x14ac:dyDescent="0.25">
      <c r="C783" s="82">
        <v>15155</v>
      </c>
      <c r="D783" s="70">
        <v>9112</v>
      </c>
      <c r="E783" s="69" t="s">
        <v>78</v>
      </c>
      <c r="F783" s="69" t="s">
        <v>1527</v>
      </c>
      <c r="H783" s="69">
        <v>16731.75</v>
      </c>
      <c r="U783" s="69"/>
      <c r="V783" s="69"/>
      <c r="AR783" s="74">
        <f t="shared" si="80"/>
        <v>16731.75</v>
      </c>
      <c r="AS783" s="69">
        <v>14848.55</v>
      </c>
      <c r="AT783" s="69">
        <v>1798.45</v>
      </c>
      <c r="AU783" s="69">
        <v>84.75</v>
      </c>
      <c r="BC783" s="69"/>
      <c r="BD783" s="69"/>
      <c r="CC783" s="74">
        <f t="shared" si="77"/>
        <v>16731.75</v>
      </c>
      <c r="CD783" s="73">
        <f t="shared" si="79"/>
        <v>0</v>
      </c>
      <c r="CE783" s="75">
        <f t="shared" si="78"/>
        <v>9112</v>
      </c>
      <c r="CF783" s="3" t="str">
        <f t="shared" si="78"/>
        <v>برنامج دولى</v>
      </c>
    </row>
    <row r="784" spans="3:84" x14ac:dyDescent="0.25">
      <c r="C784" s="82">
        <v>15154</v>
      </c>
      <c r="D784" s="70">
        <v>9113</v>
      </c>
      <c r="E784" s="69" t="s">
        <v>78</v>
      </c>
      <c r="F784" s="69" t="s">
        <v>1527</v>
      </c>
      <c r="H784" s="69">
        <v>9860.7000000000007</v>
      </c>
      <c r="U784" s="69"/>
      <c r="V784" s="69"/>
      <c r="AR784" s="74">
        <f t="shared" si="80"/>
        <v>9860.7000000000007</v>
      </c>
      <c r="AS784" s="69">
        <v>8770.6</v>
      </c>
      <c r="AT784" s="69">
        <v>1056.2</v>
      </c>
      <c r="AU784" s="69">
        <v>33.9</v>
      </c>
      <c r="BC784" s="69"/>
      <c r="BD784" s="69"/>
      <c r="CC784" s="74">
        <f t="shared" si="77"/>
        <v>9860.7000000000007</v>
      </c>
      <c r="CD784" s="73">
        <f t="shared" si="79"/>
        <v>0</v>
      </c>
      <c r="CE784" s="75">
        <f t="shared" si="78"/>
        <v>9113</v>
      </c>
      <c r="CF784" s="3" t="str">
        <f t="shared" si="78"/>
        <v>برنامج دولى</v>
      </c>
    </row>
    <row r="785" spans="1:84" x14ac:dyDescent="0.25">
      <c r="C785" s="82">
        <v>12601</v>
      </c>
      <c r="D785" s="70">
        <v>9114</v>
      </c>
      <c r="E785" s="69" t="s">
        <v>121</v>
      </c>
      <c r="F785" s="69" t="s">
        <v>1528</v>
      </c>
      <c r="H785" s="69">
        <v>8500</v>
      </c>
      <c r="U785" s="69"/>
      <c r="V785" s="69"/>
      <c r="AR785" s="74">
        <f t="shared" si="80"/>
        <v>8500</v>
      </c>
      <c r="AS785" s="69">
        <v>7587.65</v>
      </c>
      <c r="AT785" s="69">
        <v>912.35</v>
      </c>
      <c r="BC785" s="69"/>
      <c r="BD785" s="69"/>
      <c r="CC785" s="74">
        <f t="shared" si="77"/>
        <v>8500</v>
      </c>
      <c r="CD785" s="73">
        <f t="shared" si="79"/>
        <v>0</v>
      </c>
      <c r="CE785" s="75">
        <f t="shared" si="78"/>
        <v>9114</v>
      </c>
      <c r="CF785" s="3" t="str">
        <f t="shared" si="78"/>
        <v>ماليزى اسنان</v>
      </c>
    </row>
    <row r="786" spans="1:84" x14ac:dyDescent="0.25">
      <c r="C786" s="82">
        <v>12602</v>
      </c>
      <c r="D786" s="70">
        <v>9115</v>
      </c>
      <c r="E786" s="69" t="s">
        <v>121</v>
      </c>
      <c r="F786" s="69" t="s">
        <v>1529</v>
      </c>
      <c r="H786" s="69">
        <v>6500</v>
      </c>
      <c r="U786" s="69"/>
      <c r="V786" s="69"/>
      <c r="AR786" s="74">
        <f t="shared" si="80"/>
        <v>6500</v>
      </c>
      <c r="AS786" s="69">
        <v>5801.95</v>
      </c>
      <c r="AT786" s="69">
        <v>698.05</v>
      </c>
      <c r="BC786" s="69"/>
      <c r="BD786" s="69"/>
      <c r="CC786" s="74">
        <f t="shared" si="77"/>
        <v>6500</v>
      </c>
      <c r="CD786" s="73">
        <f t="shared" si="79"/>
        <v>0</v>
      </c>
      <c r="CE786" s="75">
        <f t="shared" si="78"/>
        <v>9115</v>
      </c>
      <c r="CF786" s="3" t="str">
        <f t="shared" si="78"/>
        <v>ماليزى اسنان</v>
      </c>
    </row>
    <row r="787" spans="1:84" x14ac:dyDescent="0.25">
      <c r="B787" s="69" t="s">
        <v>1530</v>
      </c>
      <c r="C787" s="82">
        <v>14711</v>
      </c>
      <c r="D787" s="70">
        <v>9116</v>
      </c>
      <c r="E787" s="69" t="s">
        <v>121</v>
      </c>
      <c r="F787" s="69" t="s">
        <v>1531</v>
      </c>
      <c r="U787" s="69"/>
      <c r="V787" s="69"/>
      <c r="X787" s="69">
        <v>33426.25</v>
      </c>
      <c r="AR787" s="74">
        <f t="shared" si="80"/>
        <v>33426.25</v>
      </c>
      <c r="AS787" s="69">
        <v>33426.25</v>
      </c>
      <c r="AT787" s="69"/>
      <c r="BC787" s="69"/>
      <c r="BD787" s="69"/>
      <c r="CC787" s="74">
        <f t="shared" si="77"/>
        <v>33426.25</v>
      </c>
      <c r="CD787" s="73">
        <f t="shared" si="79"/>
        <v>0</v>
      </c>
      <c r="CE787" s="75">
        <f t="shared" si="78"/>
        <v>9116</v>
      </c>
      <c r="CF787" s="3" t="str">
        <f t="shared" si="78"/>
        <v>ماليزى اسنان</v>
      </c>
    </row>
    <row r="788" spans="1:84" ht="36" x14ac:dyDescent="0.25">
      <c r="C788" s="82">
        <v>15065</v>
      </c>
      <c r="D788" s="70">
        <v>9117</v>
      </c>
      <c r="E788" s="69" t="s">
        <v>121</v>
      </c>
      <c r="F788" s="77" t="s">
        <v>1532</v>
      </c>
      <c r="I788" s="69">
        <v>246225</v>
      </c>
      <c r="U788" s="69"/>
      <c r="V788" s="69"/>
      <c r="AR788" s="74">
        <f t="shared" si="80"/>
        <v>246225</v>
      </c>
      <c r="AS788" s="69">
        <v>232077</v>
      </c>
      <c r="AT788" s="69">
        <f>1395.75+4187.25+42.3</f>
        <v>5625.3</v>
      </c>
      <c r="AV788" s="69">
        <v>5</v>
      </c>
      <c r="BC788" s="69"/>
      <c r="BD788" s="69"/>
      <c r="BF788" s="69">
        <v>6479.7</v>
      </c>
      <c r="BG788" s="69">
        <v>94</v>
      </c>
      <c r="BH788" s="69">
        <f>972*2</f>
        <v>1944</v>
      </c>
      <c r="CC788" s="74">
        <f t="shared" si="77"/>
        <v>246225</v>
      </c>
      <c r="CD788" s="73">
        <f t="shared" si="79"/>
        <v>0</v>
      </c>
      <c r="CE788" s="75">
        <f t="shared" si="78"/>
        <v>9117</v>
      </c>
      <c r="CF788" s="3" t="str">
        <f t="shared" si="78"/>
        <v>ماليزى اسنان</v>
      </c>
    </row>
    <row r="789" spans="1:84" ht="36" x14ac:dyDescent="0.25">
      <c r="C789" s="82">
        <v>15062</v>
      </c>
      <c r="D789" s="70">
        <v>9118</v>
      </c>
      <c r="E789" s="69" t="s">
        <v>121</v>
      </c>
      <c r="F789" s="77" t="s">
        <v>1533</v>
      </c>
      <c r="I789" s="69">
        <v>32000</v>
      </c>
      <c r="U789" s="69"/>
      <c r="V789" s="69"/>
      <c r="AR789" s="74">
        <f t="shared" si="80"/>
        <v>32000</v>
      </c>
      <c r="AS789" s="69">
        <v>28672.25</v>
      </c>
      <c r="AT789" s="69">
        <f>268.25+804.75+36</f>
        <v>1109</v>
      </c>
      <c r="AV789" s="69">
        <v>5</v>
      </c>
      <c r="BC789" s="69"/>
      <c r="BD789" s="69"/>
      <c r="BF789" s="69">
        <v>280.75</v>
      </c>
      <c r="BG789" s="69">
        <v>80</v>
      </c>
      <c r="BH789" s="69">
        <f>126.5*2</f>
        <v>253</v>
      </c>
      <c r="BI789" s="69">
        <v>1600</v>
      </c>
      <c r="CC789" s="74">
        <f t="shared" si="77"/>
        <v>32000</v>
      </c>
      <c r="CD789" s="73">
        <f t="shared" si="79"/>
        <v>0</v>
      </c>
      <c r="CE789" s="75">
        <f t="shared" si="78"/>
        <v>9118</v>
      </c>
      <c r="CF789" s="3" t="str">
        <f t="shared" si="78"/>
        <v>ماليزى اسنان</v>
      </c>
    </row>
    <row r="790" spans="1:84" x14ac:dyDescent="0.25">
      <c r="C790" s="82">
        <v>15059</v>
      </c>
      <c r="D790" s="70">
        <v>9119</v>
      </c>
      <c r="E790" s="69" t="s">
        <v>121</v>
      </c>
      <c r="F790" s="69" t="s">
        <v>1534</v>
      </c>
      <c r="I790" s="69">
        <v>11200</v>
      </c>
      <c r="U790" s="69"/>
      <c r="V790" s="69"/>
      <c r="AR790" s="74">
        <f t="shared" si="80"/>
        <v>11200</v>
      </c>
      <c r="AS790" s="69">
        <v>10301.9</v>
      </c>
      <c r="AT790" s="69">
        <f>167+501+35.1</f>
        <v>703.1</v>
      </c>
      <c r="AV790" s="69">
        <v>5</v>
      </c>
      <c r="BC790" s="69"/>
      <c r="BD790" s="69"/>
      <c r="BF790" s="69">
        <v>112</v>
      </c>
      <c r="BG790" s="69">
        <v>78</v>
      </c>
      <c r="CC790" s="74">
        <f t="shared" si="77"/>
        <v>11200</v>
      </c>
      <c r="CD790" s="73">
        <f t="shared" si="79"/>
        <v>0</v>
      </c>
      <c r="CE790" s="75">
        <f t="shared" si="78"/>
        <v>9119</v>
      </c>
      <c r="CF790" s="3" t="str">
        <f t="shared" si="78"/>
        <v>ماليزى اسنان</v>
      </c>
    </row>
    <row r="791" spans="1:84" x14ac:dyDescent="0.25">
      <c r="C791" s="82">
        <v>15058</v>
      </c>
      <c r="D791" s="70">
        <v>9120</v>
      </c>
      <c r="E791" s="69" t="s">
        <v>121</v>
      </c>
      <c r="F791" s="69" t="s">
        <v>1535</v>
      </c>
      <c r="I791" s="69">
        <v>395997.24</v>
      </c>
      <c r="U791" s="69"/>
      <c r="V791" s="69"/>
      <c r="AR791" s="74">
        <f t="shared" si="80"/>
        <v>395997.24</v>
      </c>
      <c r="AS791" s="69">
        <v>383643.29</v>
      </c>
      <c r="AT791" s="69">
        <f>2184+6552+43.2</f>
        <v>8779.2000000000007</v>
      </c>
      <c r="AV791" s="69">
        <v>5</v>
      </c>
      <c r="BC791" s="69"/>
      <c r="BD791" s="69"/>
      <c r="BF791" s="69">
        <v>3473.75</v>
      </c>
      <c r="BG791" s="69">
        <v>96</v>
      </c>
      <c r="CC791" s="74">
        <f t="shared" si="77"/>
        <v>395997.24</v>
      </c>
      <c r="CD791" s="73">
        <f t="shared" si="79"/>
        <v>0</v>
      </c>
      <c r="CE791" s="75">
        <f t="shared" si="78"/>
        <v>9120</v>
      </c>
      <c r="CF791" s="3" t="str">
        <f t="shared" si="78"/>
        <v>ماليزى اسنان</v>
      </c>
    </row>
    <row r="792" spans="1:84" x14ac:dyDescent="0.25">
      <c r="C792" s="82">
        <v>15060</v>
      </c>
      <c r="D792" s="70">
        <v>9121</v>
      </c>
      <c r="E792" s="69" t="s">
        <v>121</v>
      </c>
      <c r="F792" s="69" t="s">
        <v>1536</v>
      </c>
      <c r="I792" s="69">
        <v>222300</v>
      </c>
      <c r="U792" s="69"/>
      <c r="V792" s="69"/>
      <c r="AR792" s="74">
        <f t="shared" si="80"/>
        <v>222300</v>
      </c>
      <c r="AS792" s="69">
        <v>202271.3</v>
      </c>
      <c r="AT792" s="69">
        <f>1269.75+3809.25+38.7</f>
        <v>5117.7</v>
      </c>
      <c r="AV792" s="69">
        <v>5</v>
      </c>
      <c r="BC792" s="69"/>
      <c r="BD792" s="69"/>
      <c r="BF792" s="69">
        <v>1950</v>
      </c>
      <c r="BG792" s="69">
        <v>86</v>
      </c>
      <c r="BH792" s="69">
        <f>877.5*2</f>
        <v>1755</v>
      </c>
      <c r="BI792" s="69">
        <v>11115</v>
      </c>
      <c r="CC792" s="74">
        <f t="shared" si="77"/>
        <v>222300</v>
      </c>
      <c r="CD792" s="73">
        <f t="shared" si="79"/>
        <v>0</v>
      </c>
      <c r="CE792" s="75">
        <f t="shared" si="78"/>
        <v>9121</v>
      </c>
      <c r="CF792" s="3" t="str">
        <f t="shared" si="78"/>
        <v>ماليزى اسنان</v>
      </c>
    </row>
    <row r="793" spans="1:84" x14ac:dyDescent="0.25">
      <c r="C793" s="82">
        <v>12905</v>
      </c>
      <c r="D793" s="70">
        <v>9122</v>
      </c>
      <c r="E793" s="69" t="s">
        <v>137</v>
      </c>
      <c r="F793" s="69" t="s">
        <v>1537</v>
      </c>
      <c r="I793" s="69">
        <v>53466</v>
      </c>
      <c r="U793" s="69"/>
      <c r="V793" s="69"/>
      <c r="AR793" s="74">
        <f t="shared" si="80"/>
        <v>53466</v>
      </c>
      <c r="AS793" s="69">
        <v>51351</v>
      </c>
      <c r="AT793" s="69">
        <f>381.25+1143.75+36</f>
        <v>1561</v>
      </c>
      <c r="AV793" s="69">
        <v>5</v>
      </c>
      <c r="BC793" s="69"/>
      <c r="BD793" s="69"/>
      <c r="BF793" s="69">
        <v>469</v>
      </c>
      <c r="BG793" s="69">
        <v>80</v>
      </c>
      <c r="CC793" s="74">
        <f t="shared" si="77"/>
        <v>53466</v>
      </c>
      <c r="CD793" s="73">
        <f t="shared" si="79"/>
        <v>0</v>
      </c>
      <c r="CE793" s="75">
        <f t="shared" si="78"/>
        <v>9122</v>
      </c>
      <c r="CF793" s="3" t="str">
        <f t="shared" si="78"/>
        <v xml:space="preserve">خدمة عامة </v>
      </c>
    </row>
    <row r="794" spans="1:84" x14ac:dyDescent="0.25">
      <c r="C794" s="82">
        <v>14700</v>
      </c>
      <c r="D794" s="70">
        <v>9123</v>
      </c>
      <c r="E794" s="69" t="s">
        <v>132</v>
      </c>
      <c r="F794" s="69" t="s">
        <v>1538</v>
      </c>
      <c r="I794" s="69">
        <v>4640</v>
      </c>
      <c r="U794" s="69"/>
      <c r="V794" s="69"/>
      <c r="AR794" s="74">
        <f t="shared" si="80"/>
        <v>4640</v>
      </c>
      <c r="AS794" s="69">
        <v>4640</v>
      </c>
      <c r="AT794" s="69"/>
      <c r="BC794" s="69"/>
      <c r="BD794" s="69"/>
      <c r="CC794" s="74">
        <f t="shared" si="77"/>
        <v>4640</v>
      </c>
      <c r="CD794" s="73">
        <f t="shared" si="79"/>
        <v>0</v>
      </c>
      <c r="CE794" s="75">
        <f t="shared" si="78"/>
        <v>9123</v>
      </c>
      <c r="CF794" s="3" t="str">
        <f t="shared" si="78"/>
        <v>صيدلة اكلينيكى</v>
      </c>
    </row>
    <row r="795" spans="1:84" x14ac:dyDescent="0.25">
      <c r="C795" s="82">
        <v>9758</v>
      </c>
      <c r="D795" s="70">
        <v>9124</v>
      </c>
      <c r="E795" s="69" t="s">
        <v>119</v>
      </c>
      <c r="F795" s="69" t="s">
        <v>1539</v>
      </c>
      <c r="I795" s="69">
        <v>93499.27</v>
      </c>
      <c r="U795" s="69"/>
      <c r="V795" s="69"/>
      <c r="AR795" s="74">
        <f t="shared" si="80"/>
        <v>93499.27</v>
      </c>
      <c r="AS795" s="69">
        <v>85194.87</v>
      </c>
      <c r="AT795" s="69">
        <f>661+1983+14.4</f>
        <v>2658.4</v>
      </c>
      <c r="AV795" s="69">
        <v>5</v>
      </c>
      <c r="BC795" s="69"/>
      <c r="BD795" s="69"/>
      <c r="BF795" s="69">
        <v>935</v>
      </c>
      <c r="BG795" s="69">
        <v>32</v>
      </c>
      <c r="CB795" s="69">
        <v>4674</v>
      </c>
      <c r="CC795" s="74">
        <f t="shared" si="77"/>
        <v>93499.26999999999</v>
      </c>
      <c r="CD795" s="73">
        <f t="shared" si="79"/>
        <v>0</v>
      </c>
      <c r="CE795" s="75">
        <f t="shared" si="78"/>
        <v>9124</v>
      </c>
      <c r="CF795" s="3" t="str">
        <f t="shared" si="78"/>
        <v>خ ت صيدلة</v>
      </c>
    </row>
    <row r="796" spans="1:84" x14ac:dyDescent="0.25">
      <c r="C796" s="82">
        <v>15056</v>
      </c>
      <c r="D796" s="70">
        <v>9125</v>
      </c>
      <c r="E796" s="69" t="s">
        <v>78</v>
      </c>
      <c r="F796" s="69" t="s">
        <v>1540</v>
      </c>
      <c r="I796" s="69">
        <v>16000</v>
      </c>
      <c r="P796" s="69">
        <v>16000</v>
      </c>
      <c r="U796" s="69"/>
      <c r="V796" s="69"/>
      <c r="AR796" s="74">
        <f t="shared" si="80"/>
        <v>32000</v>
      </c>
      <c r="AS796" s="69">
        <v>16000</v>
      </c>
      <c r="AT796" s="69"/>
      <c r="BC796" s="69"/>
      <c r="BD796" s="69"/>
      <c r="BN796" s="69">
        <v>16000</v>
      </c>
      <c r="CC796" s="74">
        <f t="shared" si="77"/>
        <v>32000</v>
      </c>
      <c r="CD796" s="73">
        <f t="shared" si="79"/>
        <v>0</v>
      </c>
      <c r="CE796" s="75">
        <f t="shared" si="78"/>
        <v>9125</v>
      </c>
      <c r="CF796" s="3" t="str">
        <f t="shared" si="78"/>
        <v>برنامج دولى</v>
      </c>
    </row>
    <row r="797" spans="1:84" x14ac:dyDescent="0.25">
      <c r="A797" s="69" t="s">
        <v>1179</v>
      </c>
      <c r="C797" s="82">
        <v>15229</v>
      </c>
      <c r="D797" s="70">
        <v>9126</v>
      </c>
      <c r="E797" s="69" t="s">
        <v>78</v>
      </c>
      <c r="F797" s="69" t="s">
        <v>1541</v>
      </c>
      <c r="H797" s="69">
        <v>61621.99</v>
      </c>
      <c r="U797" s="69"/>
      <c r="V797" s="69"/>
      <c r="AR797" s="74">
        <f t="shared" si="80"/>
        <v>61621.99</v>
      </c>
      <c r="AS797" s="69">
        <v>41130.660000000003</v>
      </c>
      <c r="AT797" s="69">
        <f>388.55+5255.6</f>
        <v>5644.1500000000005</v>
      </c>
      <c r="AU797" s="69">
        <f>6306.71+657.01+525.58+1576.69+525.58+4730.03+525.58</f>
        <v>14847.179999999998</v>
      </c>
      <c r="BC797" s="69"/>
      <c r="BD797" s="69"/>
      <c r="CC797" s="74">
        <f t="shared" si="77"/>
        <v>61621.990000000005</v>
      </c>
      <c r="CD797" s="73">
        <f t="shared" si="79"/>
        <v>0</v>
      </c>
      <c r="CE797" s="75">
        <f t="shared" si="78"/>
        <v>9126</v>
      </c>
      <c r="CF797" s="3" t="str">
        <f t="shared" si="78"/>
        <v>برنامج دولى</v>
      </c>
    </row>
    <row r="798" spans="1:84" x14ac:dyDescent="0.25">
      <c r="C798" s="82">
        <v>15117</v>
      </c>
      <c r="D798" s="70">
        <v>9127</v>
      </c>
      <c r="E798" s="69" t="s">
        <v>78</v>
      </c>
      <c r="F798" s="69" t="s">
        <v>1542</v>
      </c>
      <c r="H798" s="69">
        <v>8339.43</v>
      </c>
      <c r="U798" s="69"/>
      <c r="V798" s="69"/>
      <c r="AR798" s="74">
        <f t="shared" si="80"/>
        <v>8339.43</v>
      </c>
      <c r="AS798" s="69">
        <v>5571.93</v>
      </c>
      <c r="AT798" s="69">
        <f>46.9+711.25</f>
        <v>758.15</v>
      </c>
      <c r="AU798" s="69">
        <v>2009.35</v>
      </c>
      <c r="BC798" s="69"/>
      <c r="BD798" s="69"/>
      <c r="CC798" s="74">
        <f t="shared" si="77"/>
        <v>8339.43</v>
      </c>
      <c r="CD798" s="73">
        <f t="shared" si="79"/>
        <v>0</v>
      </c>
      <c r="CE798" s="75">
        <f t="shared" si="78"/>
        <v>9127</v>
      </c>
      <c r="CF798" s="3" t="str">
        <f t="shared" si="78"/>
        <v>برنامج دولى</v>
      </c>
    </row>
    <row r="799" spans="1:84" x14ac:dyDescent="0.25">
      <c r="C799" s="82">
        <v>15116</v>
      </c>
      <c r="D799" s="70">
        <v>9128</v>
      </c>
      <c r="E799" s="69" t="s">
        <v>78</v>
      </c>
      <c r="F799" s="69" t="s">
        <v>1543</v>
      </c>
      <c r="H799" s="69">
        <v>8241.7099999999991</v>
      </c>
      <c r="U799" s="69"/>
      <c r="V799" s="69"/>
      <c r="AR799" s="74">
        <f t="shared" si="80"/>
        <v>8241.7099999999991</v>
      </c>
      <c r="AS799" s="69">
        <v>5506.76</v>
      </c>
      <c r="AT799" s="69">
        <f>46.25+702.92</f>
        <v>749.17</v>
      </c>
      <c r="AU799" s="69">
        <v>1985.78</v>
      </c>
      <c r="BC799" s="69"/>
      <c r="BD799" s="69"/>
      <c r="CC799" s="74">
        <f t="shared" si="77"/>
        <v>8241.7100000000009</v>
      </c>
      <c r="CD799" s="73">
        <f t="shared" si="79"/>
        <v>0</v>
      </c>
      <c r="CE799" s="75">
        <f t="shared" si="78"/>
        <v>9128</v>
      </c>
      <c r="CF799" s="3" t="str">
        <f t="shared" si="78"/>
        <v>برنامج دولى</v>
      </c>
    </row>
    <row r="800" spans="1:84" x14ac:dyDescent="0.25">
      <c r="C800" s="82">
        <v>15128</v>
      </c>
      <c r="D800" s="70">
        <v>9129</v>
      </c>
      <c r="E800" s="69" t="s">
        <v>78</v>
      </c>
      <c r="F800" s="69" t="s">
        <v>1544</v>
      </c>
      <c r="H800" s="69">
        <v>634.54</v>
      </c>
      <c r="U800" s="69"/>
      <c r="V800" s="69"/>
      <c r="AR800" s="74">
        <f t="shared" si="80"/>
        <v>634.54</v>
      </c>
      <c r="AS800" s="69">
        <v>424.49</v>
      </c>
      <c r="AT800" s="69">
        <v>57.17</v>
      </c>
      <c r="AU800" s="69">
        <v>152.88</v>
      </c>
      <c r="BC800" s="69"/>
      <c r="BD800" s="69"/>
      <c r="CC800" s="74">
        <f t="shared" si="77"/>
        <v>634.54</v>
      </c>
      <c r="CD800" s="73">
        <f t="shared" si="79"/>
        <v>0</v>
      </c>
      <c r="CE800" s="75">
        <f t="shared" si="78"/>
        <v>9129</v>
      </c>
      <c r="CF800" s="3" t="str">
        <f t="shared" si="78"/>
        <v>برنامج دولى</v>
      </c>
    </row>
    <row r="801" spans="3:84" x14ac:dyDescent="0.25">
      <c r="C801" s="82">
        <v>15127</v>
      </c>
      <c r="D801" s="70">
        <v>9130</v>
      </c>
      <c r="E801" s="69" t="s">
        <v>78</v>
      </c>
      <c r="F801" s="69" t="s">
        <v>1544</v>
      </c>
      <c r="H801" s="69">
        <v>938.31</v>
      </c>
      <c r="U801" s="69"/>
      <c r="V801" s="69"/>
      <c r="AR801" s="74">
        <f t="shared" si="80"/>
        <v>938.31</v>
      </c>
      <c r="AS801" s="69">
        <v>627.57000000000005</v>
      </c>
      <c r="AT801" s="69">
        <v>84.68</v>
      </c>
      <c r="AU801" s="69">
        <v>226.06</v>
      </c>
      <c r="BC801" s="69"/>
      <c r="BD801" s="69"/>
      <c r="CC801" s="74">
        <f t="shared" si="77"/>
        <v>938.31</v>
      </c>
      <c r="CD801" s="73">
        <f t="shared" si="79"/>
        <v>0</v>
      </c>
      <c r="CE801" s="75">
        <f t="shared" si="78"/>
        <v>9130</v>
      </c>
      <c r="CF801" s="3" t="str">
        <f t="shared" si="78"/>
        <v>برنامج دولى</v>
      </c>
    </row>
    <row r="802" spans="3:84" x14ac:dyDescent="0.25">
      <c r="C802" s="82">
        <v>15126</v>
      </c>
      <c r="D802" s="70">
        <v>9131</v>
      </c>
      <c r="E802" s="69" t="s">
        <v>78</v>
      </c>
      <c r="F802" s="69" t="s">
        <v>1544</v>
      </c>
      <c r="H802" s="69">
        <v>613.72</v>
      </c>
      <c r="U802" s="69"/>
      <c r="V802" s="69"/>
      <c r="AR802" s="74">
        <f t="shared" si="80"/>
        <v>613.72</v>
      </c>
      <c r="AS802" s="69">
        <v>410.58</v>
      </c>
      <c r="AT802" s="69">
        <v>55.29</v>
      </c>
      <c r="AU802" s="69">
        <v>147.85</v>
      </c>
      <c r="BC802" s="69"/>
      <c r="BD802" s="69"/>
      <c r="CC802" s="74">
        <f t="shared" si="77"/>
        <v>613.72</v>
      </c>
      <c r="CD802" s="73">
        <f t="shared" si="79"/>
        <v>0</v>
      </c>
      <c r="CE802" s="75">
        <f t="shared" si="78"/>
        <v>9131</v>
      </c>
      <c r="CF802" s="3" t="str">
        <f t="shared" si="78"/>
        <v>برنامج دولى</v>
      </c>
    </row>
    <row r="803" spans="3:84" x14ac:dyDescent="0.25">
      <c r="C803" s="82">
        <v>15125</v>
      </c>
      <c r="D803" s="70">
        <v>9132</v>
      </c>
      <c r="E803" s="69" t="s">
        <v>78</v>
      </c>
      <c r="F803" s="69" t="s">
        <v>1544</v>
      </c>
      <c r="H803" s="69">
        <v>1020.88</v>
      </c>
      <c r="U803" s="69"/>
      <c r="V803" s="69"/>
      <c r="AR803" s="74">
        <f t="shared" si="80"/>
        <v>1020.88</v>
      </c>
      <c r="AS803" s="69">
        <v>682.74</v>
      </c>
      <c r="AT803" s="69">
        <v>92.17</v>
      </c>
      <c r="AU803" s="69">
        <v>245.97</v>
      </c>
      <c r="BC803" s="69"/>
      <c r="BD803" s="69"/>
      <c r="CC803" s="74">
        <f t="shared" si="77"/>
        <v>1020.88</v>
      </c>
      <c r="CD803" s="73">
        <f t="shared" si="79"/>
        <v>0</v>
      </c>
      <c r="CE803" s="75">
        <f t="shared" si="78"/>
        <v>9132</v>
      </c>
      <c r="CF803" s="3" t="str">
        <f t="shared" si="78"/>
        <v>برنامج دولى</v>
      </c>
    </row>
    <row r="804" spans="3:84" x14ac:dyDescent="0.25">
      <c r="C804" s="82">
        <v>15124</v>
      </c>
      <c r="D804" s="70">
        <v>9133</v>
      </c>
      <c r="E804" s="69" t="s">
        <v>78</v>
      </c>
      <c r="F804" s="69" t="s">
        <v>1544</v>
      </c>
      <c r="H804" s="69">
        <v>3808.13</v>
      </c>
      <c r="U804" s="69"/>
      <c r="V804" s="69"/>
      <c r="AR804" s="74">
        <f t="shared" si="80"/>
        <v>3808.13</v>
      </c>
      <c r="AS804" s="69">
        <v>2549.62</v>
      </c>
      <c r="AT804" s="69">
        <v>340.99</v>
      </c>
      <c r="AU804" s="69">
        <v>917.52</v>
      </c>
      <c r="BC804" s="69"/>
      <c r="BD804" s="69"/>
      <c r="CC804" s="74">
        <f t="shared" si="77"/>
        <v>3808.1299999999997</v>
      </c>
      <c r="CD804" s="73">
        <f t="shared" si="79"/>
        <v>0</v>
      </c>
      <c r="CE804" s="75">
        <f t="shared" si="78"/>
        <v>9133</v>
      </c>
      <c r="CF804" s="3" t="str">
        <f t="shared" si="78"/>
        <v>برنامج دولى</v>
      </c>
    </row>
    <row r="805" spans="3:84" x14ac:dyDescent="0.25">
      <c r="C805" s="82">
        <v>15123</v>
      </c>
      <c r="D805" s="70">
        <v>9134</v>
      </c>
      <c r="E805" s="69" t="s">
        <v>78</v>
      </c>
      <c r="F805" s="69" t="s">
        <v>1544</v>
      </c>
      <c r="H805" s="69">
        <v>1346.89</v>
      </c>
      <c r="U805" s="69"/>
      <c r="V805" s="69"/>
      <c r="AR805" s="74">
        <f t="shared" si="80"/>
        <v>1346.89</v>
      </c>
      <c r="AS805" s="69">
        <v>901.73</v>
      </c>
      <c r="AT805" s="69">
        <v>120.62</v>
      </c>
      <c r="AU805" s="69">
        <v>324.54000000000002</v>
      </c>
      <c r="BC805" s="69"/>
      <c r="BD805" s="69"/>
      <c r="CC805" s="74">
        <f t="shared" si="77"/>
        <v>1346.89</v>
      </c>
      <c r="CD805" s="73">
        <f t="shared" si="79"/>
        <v>0</v>
      </c>
      <c r="CE805" s="75">
        <f t="shared" si="78"/>
        <v>9134</v>
      </c>
      <c r="CF805" s="3" t="str">
        <f t="shared" si="78"/>
        <v>برنامج دولى</v>
      </c>
    </row>
    <row r="806" spans="3:84" x14ac:dyDescent="0.25">
      <c r="C806" s="82">
        <v>15122</v>
      </c>
      <c r="D806" s="70">
        <v>9135</v>
      </c>
      <c r="E806" s="69" t="s">
        <v>78</v>
      </c>
      <c r="F806" s="69" t="s">
        <v>1544</v>
      </c>
      <c r="H806" s="69">
        <v>4980.75</v>
      </c>
      <c r="U806" s="69"/>
      <c r="V806" s="69"/>
      <c r="AR806" s="74">
        <f t="shared" si="80"/>
        <v>4980.75</v>
      </c>
      <c r="AS806" s="69">
        <v>3331.53</v>
      </c>
      <c r="AT806" s="69">
        <v>449.2</v>
      </c>
      <c r="AU806" s="69">
        <v>1200.02</v>
      </c>
      <c r="BC806" s="69"/>
      <c r="BD806" s="69"/>
      <c r="CC806" s="74">
        <f t="shared" si="77"/>
        <v>4980.75</v>
      </c>
      <c r="CD806" s="73">
        <f t="shared" si="79"/>
        <v>0</v>
      </c>
      <c r="CE806" s="75">
        <f t="shared" si="78"/>
        <v>9135</v>
      </c>
      <c r="CF806" s="3" t="str">
        <f t="shared" si="78"/>
        <v>برنامج دولى</v>
      </c>
    </row>
    <row r="807" spans="3:84" x14ac:dyDescent="0.25">
      <c r="C807" s="82">
        <v>15121</v>
      </c>
      <c r="D807" s="70">
        <v>9136</v>
      </c>
      <c r="E807" s="69" t="s">
        <v>78</v>
      </c>
      <c r="F807" s="69" t="s">
        <v>1544</v>
      </c>
      <c r="H807" s="69">
        <v>1876</v>
      </c>
      <c r="U807" s="69"/>
      <c r="V807" s="69"/>
      <c r="AR807" s="74">
        <f t="shared" si="80"/>
        <v>1876</v>
      </c>
      <c r="AS807" s="69">
        <v>1253.7</v>
      </c>
      <c r="AT807" s="69">
        <v>170.3</v>
      </c>
      <c r="AU807" s="69">
        <v>452</v>
      </c>
      <c r="BC807" s="69"/>
      <c r="BD807" s="69"/>
      <c r="CC807" s="74">
        <f t="shared" si="77"/>
        <v>1876</v>
      </c>
      <c r="CD807" s="73">
        <f t="shared" si="79"/>
        <v>0</v>
      </c>
      <c r="CE807" s="75">
        <f t="shared" si="78"/>
        <v>9136</v>
      </c>
      <c r="CF807" s="3" t="str">
        <f t="shared" si="78"/>
        <v>برنامج دولى</v>
      </c>
    </row>
    <row r="808" spans="3:84" x14ac:dyDescent="0.25">
      <c r="C808" s="82">
        <v>15120</v>
      </c>
      <c r="D808" s="70">
        <v>9137</v>
      </c>
      <c r="E808" s="69" t="s">
        <v>78</v>
      </c>
      <c r="F808" s="69" t="s">
        <v>1544</v>
      </c>
      <c r="H808" s="69">
        <v>5963.06</v>
      </c>
      <c r="U808" s="69"/>
      <c r="V808" s="69"/>
      <c r="AR808" s="74">
        <f t="shared" si="80"/>
        <v>5963.06</v>
      </c>
      <c r="AS808" s="69">
        <v>3988.8</v>
      </c>
      <c r="AT808" s="69">
        <v>537.53</v>
      </c>
      <c r="AU808" s="69">
        <v>1436.73</v>
      </c>
      <c r="BC808" s="69"/>
      <c r="BD808" s="69"/>
      <c r="CC808" s="74">
        <f t="shared" si="77"/>
        <v>5963.0599999999995</v>
      </c>
      <c r="CD808" s="73">
        <f t="shared" si="79"/>
        <v>0</v>
      </c>
      <c r="CE808" s="75">
        <f t="shared" si="78"/>
        <v>9137</v>
      </c>
      <c r="CF808" s="3" t="str">
        <f t="shared" si="78"/>
        <v>برنامج دولى</v>
      </c>
    </row>
    <row r="809" spans="3:84" x14ac:dyDescent="0.25">
      <c r="C809" s="82">
        <v>15119</v>
      </c>
      <c r="D809" s="70">
        <v>9138</v>
      </c>
      <c r="E809" s="69" t="s">
        <v>78</v>
      </c>
      <c r="F809" s="69" t="s">
        <v>1544</v>
      </c>
      <c r="H809" s="69">
        <v>8161.59</v>
      </c>
      <c r="U809" s="69"/>
      <c r="V809" s="69"/>
      <c r="AR809" s="74">
        <f t="shared" si="80"/>
        <v>8161.59</v>
      </c>
      <c r="AS809" s="69">
        <v>6692.82</v>
      </c>
      <c r="AT809" s="69">
        <v>830.12</v>
      </c>
      <c r="AU809" s="69">
        <v>638.65</v>
      </c>
      <c r="BC809" s="69"/>
      <c r="BD809" s="69"/>
      <c r="CC809" s="74">
        <f t="shared" si="77"/>
        <v>8161.5899999999992</v>
      </c>
      <c r="CD809" s="73">
        <f t="shared" si="79"/>
        <v>0</v>
      </c>
      <c r="CE809" s="75">
        <f t="shared" si="78"/>
        <v>9138</v>
      </c>
      <c r="CF809" s="3" t="str">
        <f t="shared" si="78"/>
        <v>برنامج دولى</v>
      </c>
    </row>
    <row r="810" spans="3:84" x14ac:dyDescent="0.25">
      <c r="C810" s="82">
        <v>15118</v>
      </c>
      <c r="D810" s="70">
        <v>9139</v>
      </c>
      <c r="E810" s="69" t="s">
        <v>78</v>
      </c>
      <c r="F810" s="69" t="s">
        <v>1544</v>
      </c>
      <c r="H810" s="69">
        <v>16800</v>
      </c>
      <c r="U810" s="69"/>
      <c r="V810" s="69"/>
      <c r="AR810" s="74">
        <f t="shared" si="80"/>
        <v>16800</v>
      </c>
      <c r="AS810" s="69">
        <v>14990.3</v>
      </c>
      <c r="AT810" s="69">
        <v>1809.7</v>
      </c>
      <c r="BC810" s="69"/>
      <c r="BD810" s="69"/>
      <c r="CC810" s="74">
        <f t="shared" si="77"/>
        <v>16800</v>
      </c>
      <c r="CD810" s="73">
        <f t="shared" si="79"/>
        <v>0</v>
      </c>
      <c r="CE810" s="75">
        <f t="shared" si="78"/>
        <v>9139</v>
      </c>
      <c r="CF810" s="3" t="str">
        <f t="shared" si="78"/>
        <v>برنامج دولى</v>
      </c>
    </row>
    <row r="811" spans="3:84" x14ac:dyDescent="0.25">
      <c r="C811" s="82">
        <v>15255</v>
      </c>
      <c r="D811" s="70">
        <v>9140</v>
      </c>
      <c r="E811" s="69" t="s">
        <v>78</v>
      </c>
      <c r="F811" s="69" t="s">
        <v>1545</v>
      </c>
      <c r="H811" s="69">
        <v>70947.42</v>
      </c>
      <c r="U811" s="69"/>
      <c r="V811" s="69"/>
      <c r="AR811" s="74">
        <f t="shared" si="80"/>
        <v>70947.42</v>
      </c>
      <c r="AS811" s="69">
        <v>61418</v>
      </c>
      <c r="AT811" s="69">
        <v>7499.65</v>
      </c>
      <c r="AU811" s="69">
        <v>2029.77</v>
      </c>
      <c r="BC811" s="69"/>
      <c r="BD811" s="69"/>
      <c r="CC811" s="74">
        <f t="shared" si="77"/>
        <v>70947.42</v>
      </c>
      <c r="CD811" s="73">
        <f t="shared" si="79"/>
        <v>0</v>
      </c>
      <c r="CE811" s="75">
        <f t="shared" si="78"/>
        <v>9140</v>
      </c>
      <c r="CF811" s="3" t="str">
        <f t="shared" si="78"/>
        <v>برنامج دولى</v>
      </c>
    </row>
    <row r="812" spans="3:84" x14ac:dyDescent="0.25">
      <c r="C812" s="82">
        <v>15254</v>
      </c>
      <c r="D812" s="70">
        <v>9141</v>
      </c>
      <c r="E812" s="69" t="s">
        <v>78</v>
      </c>
      <c r="F812" s="69" t="s">
        <v>1545</v>
      </c>
      <c r="H812" s="69">
        <v>50567.81</v>
      </c>
      <c r="U812" s="69"/>
      <c r="V812" s="69"/>
      <c r="AR812" s="74">
        <f t="shared" si="80"/>
        <v>50567.81</v>
      </c>
      <c r="AS812" s="69">
        <v>37432.720000000001</v>
      </c>
      <c r="AT812" s="69">
        <v>4861.8500000000004</v>
      </c>
      <c r="AU812" s="69">
        <v>8273.24</v>
      </c>
      <c r="BC812" s="69"/>
      <c r="BD812" s="69"/>
      <c r="CC812" s="74">
        <f t="shared" si="77"/>
        <v>50567.81</v>
      </c>
      <c r="CD812" s="73">
        <f t="shared" si="79"/>
        <v>0</v>
      </c>
      <c r="CE812" s="75">
        <f t="shared" si="78"/>
        <v>9141</v>
      </c>
      <c r="CF812" s="3" t="str">
        <f t="shared" si="78"/>
        <v>برنامج دولى</v>
      </c>
    </row>
    <row r="813" spans="3:84" x14ac:dyDescent="0.25">
      <c r="C813" s="82">
        <v>15253</v>
      </c>
      <c r="D813" s="70">
        <v>9142</v>
      </c>
      <c r="E813" s="69" t="s">
        <v>78</v>
      </c>
      <c r="F813" s="69" t="s">
        <v>1545</v>
      </c>
      <c r="H813" s="69">
        <v>2377.87</v>
      </c>
      <c r="U813" s="69"/>
      <c r="V813" s="69"/>
      <c r="AR813" s="74">
        <f t="shared" si="80"/>
        <v>2377.87</v>
      </c>
      <c r="AS813" s="69">
        <v>1832.2</v>
      </c>
      <c r="AT813" s="69">
        <v>233.9</v>
      </c>
      <c r="AU813" s="69">
        <v>311.77</v>
      </c>
      <c r="BC813" s="69"/>
      <c r="BD813" s="69"/>
      <c r="CC813" s="74">
        <f t="shared" si="77"/>
        <v>2377.87</v>
      </c>
      <c r="CD813" s="73">
        <f t="shared" si="79"/>
        <v>0</v>
      </c>
      <c r="CE813" s="75">
        <f t="shared" si="78"/>
        <v>9142</v>
      </c>
      <c r="CF813" s="3" t="str">
        <f t="shared" si="78"/>
        <v>برنامج دولى</v>
      </c>
    </row>
    <row r="814" spans="3:84" x14ac:dyDescent="0.25">
      <c r="C814" s="82">
        <v>15252</v>
      </c>
      <c r="D814" s="70">
        <v>9143</v>
      </c>
      <c r="E814" s="69" t="s">
        <v>78</v>
      </c>
      <c r="F814" s="69" t="s">
        <v>1545</v>
      </c>
      <c r="H814" s="69">
        <v>3000</v>
      </c>
      <c r="U814" s="69"/>
      <c r="V814" s="69"/>
      <c r="AR814" s="74">
        <f t="shared" si="80"/>
        <v>3000</v>
      </c>
      <c r="AS814" s="69">
        <v>2677.85</v>
      </c>
      <c r="AT814" s="69">
        <v>322.14999999999998</v>
      </c>
      <c r="BC814" s="69"/>
      <c r="BD814" s="69"/>
      <c r="CC814" s="74">
        <f t="shared" si="77"/>
        <v>3000</v>
      </c>
      <c r="CD814" s="73">
        <f t="shared" si="79"/>
        <v>0</v>
      </c>
      <c r="CE814" s="75">
        <f t="shared" si="78"/>
        <v>9143</v>
      </c>
      <c r="CF814" s="3" t="str">
        <f t="shared" si="78"/>
        <v>برنامج دولى</v>
      </c>
    </row>
    <row r="815" spans="3:84" x14ac:dyDescent="0.25">
      <c r="C815" s="82">
        <v>15251</v>
      </c>
      <c r="D815" s="70">
        <v>9144</v>
      </c>
      <c r="E815" s="69" t="s">
        <v>78</v>
      </c>
      <c r="F815" s="69" t="s">
        <v>1545</v>
      </c>
      <c r="H815" s="69">
        <v>6000</v>
      </c>
      <c r="U815" s="69"/>
      <c r="V815" s="69"/>
      <c r="AR815" s="74">
        <f t="shared" si="80"/>
        <v>6000</v>
      </c>
      <c r="AS815" s="69">
        <v>5355.7</v>
      </c>
      <c r="AT815" s="69">
        <v>644.29999999999995</v>
      </c>
      <c r="BC815" s="69"/>
      <c r="BD815" s="69"/>
      <c r="CC815" s="74">
        <f t="shared" si="77"/>
        <v>6000</v>
      </c>
      <c r="CD815" s="73">
        <f t="shared" si="79"/>
        <v>0</v>
      </c>
      <c r="CE815" s="75">
        <f t="shared" si="78"/>
        <v>9144</v>
      </c>
      <c r="CF815" s="3" t="str">
        <f t="shared" si="78"/>
        <v>برنامج دولى</v>
      </c>
    </row>
    <row r="816" spans="3:84" x14ac:dyDescent="0.25">
      <c r="C816" s="82">
        <v>15250</v>
      </c>
      <c r="D816" s="70">
        <v>9145</v>
      </c>
      <c r="E816" s="69" t="s">
        <v>78</v>
      </c>
      <c r="F816" s="69" t="s">
        <v>1545</v>
      </c>
      <c r="H816" s="69">
        <v>12311.25</v>
      </c>
      <c r="U816" s="69"/>
      <c r="V816" s="69"/>
      <c r="AR816" s="74">
        <f t="shared" si="80"/>
        <v>12311.25</v>
      </c>
      <c r="AS816" s="69">
        <v>8218</v>
      </c>
      <c r="AT816" s="69">
        <f>77+1050</f>
        <v>1127</v>
      </c>
      <c r="AU816" s="69">
        <v>2966.25</v>
      </c>
      <c r="BC816" s="69"/>
      <c r="BD816" s="69"/>
      <c r="CC816" s="74">
        <f t="shared" ref="CC816:CC871" si="81">SUM(AS816:CB816)</f>
        <v>12311.25</v>
      </c>
      <c r="CD816" s="73">
        <f t="shared" si="79"/>
        <v>0</v>
      </c>
      <c r="CE816" s="75">
        <f t="shared" si="78"/>
        <v>9145</v>
      </c>
      <c r="CF816" s="3" t="str">
        <f t="shared" si="78"/>
        <v>برنامج دولى</v>
      </c>
    </row>
    <row r="817" spans="3:84" x14ac:dyDescent="0.25">
      <c r="C817" s="82">
        <v>15242</v>
      </c>
      <c r="D817" s="70">
        <v>9146</v>
      </c>
      <c r="E817" s="69" t="s">
        <v>78</v>
      </c>
      <c r="F817" s="69" t="s">
        <v>1546</v>
      </c>
      <c r="H817" s="69">
        <v>2110.5</v>
      </c>
      <c r="U817" s="69"/>
      <c r="V817" s="69"/>
      <c r="AR817" s="74">
        <f t="shared" si="80"/>
        <v>2110.5</v>
      </c>
      <c r="AS817" s="69">
        <v>1410.35</v>
      </c>
      <c r="AT817" s="69">
        <v>191.65</v>
      </c>
      <c r="AU817" s="69">
        <v>508.5</v>
      </c>
      <c r="BC817" s="69"/>
      <c r="BD817" s="69"/>
      <c r="CC817" s="74">
        <f t="shared" si="81"/>
        <v>2110.5</v>
      </c>
      <c r="CD817" s="73">
        <f t="shared" si="79"/>
        <v>0</v>
      </c>
      <c r="CE817" s="75">
        <f t="shared" si="78"/>
        <v>9146</v>
      </c>
      <c r="CF817" s="3" t="str">
        <f t="shared" si="78"/>
        <v>برنامج دولى</v>
      </c>
    </row>
    <row r="818" spans="3:84" x14ac:dyDescent="0.25">
      <c r="C818" s="82">
        <v>15241</v>
      </c>
      <c r="D818" s="70">
        <v>9147</v>
      </c>
      <c r="E818" s="69" t="s">
        <v>78</v>
      </c>
      <c r="F818" s="69" t="s">
        <v>1546</v>
      </c>
      <c r="H818" s="69">
        <v>10668.01</v>
      </c>
      <c r="U818" s="69"/>
      <c r="V818" s="69"/>
      <c r="AR818" s="74">
        <f t="shared" si="80"/>
        <v>10668.01</v>
      </c>
      <c r="AS818" s="69">
        <v>7741.74</v>
      </c>
      <c r="AT818" s="69">
        <v>1013.45</v>
      </c>
      <c r="AU818" s="69">
        <v>1912.82</v>
      </c>
      <c r="BC818" s="69"/>
      <c r="BD818" s="69"/>
      <c r="CC818" s="74">
        <f t="shared" si="81"/>
        <v>10668.01</v>
      </c>
      <c r="CD818" s="73">
        <f t="shared" si="79"/>
        <v>0</v>
      </c>
      <c r="CE818" s="75">
        <f t="shared" si="78"/>
        <v>9147</v>
      </c>
      <c r="CF818" s="3" t="str">
        <f t="shared" si="78"/>
        <v>برنامج دولى</v>
      </c>
    </row>
    <row r="819" spans="3:84" x14ac:dyDescent="0.25">
      <c r="C819" s="82">
        <v>15240</v>
      </c>
      <c r="D819" s="70">
        <v>9148</v>
      </c>
      <c r="E819" s="69" t="s">
        <v>78</v>
      </c>
      <c r="F819" s="69" t="s">
        <v>1546</v>
      </c>
      <c r="H819" s="69">
        <v>1993.25</v>
      </c>
      <c r="U819" s="69"/>
      <c r="V819" s="69"/>
      <c r="AR819" s="74">
        <f t="shared" si="80"/>
        <v>1993.25</v>
      </c>
      <c r="AS819" s="69">
        <v>1332</v>
      </c>
      <c r="AT819" s="69">
        <v>181</v>
      </c>
      <c r="AU819" s="69">
        <v>480.25</v>
      </c>
      <c r="BC819" s="69"/>
      <c r="BD819" s="69"/>
      <c r="CC819" s="74">
        <f t="shared" si="81"/>
        <v>1993.25</v>
      </c>
      <c r="CD819" s="73">
        <f t="shared" si="79"/>
        <v>0</v>
      </c>
      <c r="CE819" s="75">
        <f t="shared" ref="CE819:CF871" si="82">+D819</f>
        <v>9148</v>
      </c>
      <c r="CF819" s="3" t="str">
        <f t="shared" si="82"/>
        <v>برنامج دولى</v>
      </c>
    </row>
    <row r="820" spans="3:84" x14ac:dyDescent="0.25">
      <c r="C820" s="82">
        <v>15239</v>
      </c>
      <c r="D820" s="70">
        <v>9149</v>
      </c>
      <c r="E820" s="69" t="s">
        <v>78</v>
      </c>
      <c r="F820" s="69" t="s">
        <v>1546</v>
      </c>
      <c r="H820" s="69">
        <v>4610.5</v>
      </c>
      <c r="U820" s="69"/>
      <c r="V820" s="69"/>
      <c r="AR820" s="74">
        <f t="shared" si="80"/>
        <v>4610.5</v>
      </c>
      <c r="AS820" s="69">
        <v>3641.95</v>
      </c>
      <c r="AT820" s="69">
        <v>460.05</v>
      </c>
      <c r="AU820" s="69">
        <v>508.5</v>
      </c>
      <c r="BC820" s="69"/>
      <c r="BD820" s="69"/>
      <c r="CC820" s="74">
        <f t="shared" si="81"/>
        <v>4610.5</v>
      </c>
      <c r="CD820" s="73">
        <f t="shared" si="79"/>
        <v>0</v>
      </c>
      <c r="CE820" s="75">
        <f t="shared" si="82"/>
        <v>9149</v>
      </c>
      <c r="CF820" s="3" t="str">
        <f t="shared" si="82"/>
        <v>برنامج دولى</v>
      </c>
    </row>
    <row r="821" spans="3:84" x14ac:dyDescent="0.25">
      <c r="C821" s="82">
        <v>15238</v>
      </c>
      <c r="D821" s="70">
        <v>9150</v>
      </c>
      <c r="E821" s="69" t="s">
        <v>78</v>
      </c>
      <c r="F821" s="69" t="s">
        <v>1546</v>
      </c>
      <c r="H821" s="69">
        <v>11314.63</v>
      </c>
      <c r="U821" s="69"/>
      <c r="V821" s="69"/>
      <c r="AR821" s="74">
        <f t="shared" si="80"/>
        <v>11314.63</v>
      </c>
      <c r="AS821" s="69">
        <v>7562.1</v>
      </c>
      <c r="AT821" s="69">
        <v>1026.4000000000001</v>
      </c>
      <c r="AU821" s="69">
        <v>2726.13</v>
      </c>
      <c r="BC821" s="69"/>
      <c r="BD821" s="69"/>
      <c r="CC821" s="74">
        <f t="shared" si="81"/>
        <v>11314.630000000001</v>
      </c>
      <c r="CD821" s="73">
        <f t="shared" si="79"/>
        <v>0</v>
      </c>
      <c r="CE821" s="75">
        <f t="shared" si="82"/>
        <v>9150</v>
      </c>
      <c r="CF821" s="3" t="str">
        <f t="shared" si="82"/>
        <v>برنامج دولى</v>
      </c>
    </row>
    <row r="822" spans="3:84" x14ac:dyDescent="0.25">
      <c r="C822" s="82">
        <v>15235</v>
      </c>
      <c r="D822" s="70">
        <v>9151</v>
      </c>
      <c r="E822" s="69" t="s">
        <v>78</v>
      </c>
      <c r="F822" s="69" t="s">
        <v>1546</v>
      </c>
      <c r="H822" s="69">
        <v>21890.61</v>
      </c>
      <c r="U822" s="69"/>
      <c r="V822" s="69"/>
      <c r="AR822" s="74">
        <f t="shared" si="80"/>
        <v>21890.61</v>
      </c>
      <c r="AS822" s="69">
        <v>15198.46</v>
      </c>
      <c r="AT822" s="69">
        <v>2029.23</v>
      </c>
      <c r="AU822" s="69">
        <v>4662.92</v>
      </c>
      <c r="BC822" s="69"/>
      <c r="BD822" s="69"/>
      <c r="CC822" s="74">
        <f t="shared" si="81"/>
        <v>21890.61</v>
      </c>
      <c r="CD822" s="73">
        <f t="shared" si="79"/>
        <v>0</v>
      </c>
      <c r="CE822" s="75">
        <f t="shared" si="82"/>
        <v>9151</v>
      </c>
      <c r="CF822" s="3" t="str">
        <f t="shared" si="82"/>
        <v>برنامج دولى</v>
      </c>
    </row>
    <row r="823" spans="3:84" x14ac:dyDescent="0.25">
      <c r="C823" s="82">
        <v>15237</v>
      </c>
      <c r="D823" s="70">
        <v>9152</v>
      </c>
      <c r="E823" s="69" t="s">
        <v>78</v>
      </c>
      <c r="F823" s="69" t="s">
        <v>1546</v>
      </c>
      <c r="H823" s="69">
        <v>4610.5</v>
      </c>
      <c r="U823" s="69"/>
      <c r="V823" s="69"/>
      <c r="AR823" s="74">
        <f t="shared" si="80"/>
        <v>4610.5</v>
      </c>
      <c r="AS823" s="69">
        <v>3641.95</v>
      </c>
      <c r="AT823" s="69">
        <v>460.05</v>
      </c>
      <c r="AU823" s="69">
        <v>508.5</v>
      </c>
      <c r="BC823" s="69"/>
      <c r="BD823" s="69"/>
      <c r="CC823" s="74">
        <f t="shared" si="81"/>
        <v>4610.5</v>
      </c>
      <c r="CD823" s="73">
        <f t="shared" si="79"/>
        <v>0</v>
      </c>
      <c r="CE823" s="75">
        <f t="shared" si="82"/>
        <v>9152</v>
      </c>
      <c r="CF823" s="3" t="str">
        <f t="shared" si="82"/>
        <v>برنامج دولى</v>
      </c>
    </row>
    <row r="824" spans="3:84" x14ac:dyDescent="0.25">
      <c r="C824" s="82">
        <v>15234</v>
      </c>
      <c r="D824" s="70">
        <v>9153</v>
      </c>
      <c r="E824" s="69" t="s">
        <v>78</v>
      </c>
      <c r="F824" s="69" t="s">
        <v>1546</v>
      </c>
      <c r="H824" s="69">
        <v>1993.25</v>
      </c>
      <c r="U824" s="69"/>
      <c r="V824" s="69"/>
      <c r="AR824" s="74">
        <f t="shared" si="80"/>
        <v>1993.25</v>
      </c>
      <c r="AS824" s="69">
        <v>1332</v>
      </c>
      <c r="AT824" s="69">
        <v>181</v>
      </c>
      <c r="AU824" s="69">
        <v>480.25</v>
      </c>
      <c r="BC824" s="69"/>
      <c r="BD824" s="69"/>
      <c r="CC824" s="74">
        <f t="shared" si="81"/>
        <v>1993.25</v>
      </c>
      <c r="CD824" s="73">
        <f t="shared" si="79"/>
        <v>0</v>
      </c>
      <c r="CE824" s="75">
        <f t="shared" si="82"/>
        <v>9153</v>
      </c>
      <c r="CF824" s="3" t="str">
        <f t="shared" si="82"/>
        <v>برنامج دولى</v>
      </c>
    </row>
    <row r="825" spans="3:84" x14ac:dyDescent="0.25">
      <c r="C825" s="82">
        <v>15233</v>
      </c>
      <c r="D825" s="70">
        <v>9154</v>
      </c>
      <c r="E825" s="69" t="s">
        <v>78</v>
      </c>
      <c r="F825" s="69" t="s">
        <v>1546</v>
      </c>
      <c r="H825" s="69">
        <v>5000</v>
      </c>
      <c r="U825" s="69"/>
      <c r="V825" s="69"/>
      <c r="AR825" s="74">
        <f t="shared" si="80"/>
        <v>5000</v>
      </c>
      <c r="AS825" s="69">
        <v>4463.2</v>
      </c>
      <c r="AT825" s="69">
        <v>536.79999999999995</v>
      </c>
      <c r="BC825" s="69"/>
      <c r="BD825" s="69"/>
      <c r="CC825" s="74">
        <f t="shared" si="81"/>
        <v>5000</v>
      </c>
      <c r="CD825" s="73">
        <f t="shared" si="79"/>
        <v>0</v>
      </c>
      <c r="CE825" s="75">
        <f t="shared" si="82"/>
        <v>9154</v>
      </c>
      <c r="CF825" s="3" t="str">
        <f t="shared" si="82"/>
        <v>برنامج دولى</v>
      </c>
    </row>
    <row r="826" spans="3:84" x14ac:dyDescent="0.25">
      <c r="C826" s="82">
        <v>15232</v>
      </c>
      <c r="D826" s="70">
        <v>9155</v>
      </c>
      <c r="E826" s="69" t="s">
        <v>78</v>
      </c>
      <c r="F826" s="69" t="s">
        <v>1546</v>
      </c>
      <c r="H826" s="69">
        <v>2500</v>
      </c>
      <c r="U826" s="69"/>
      <c r="V826" s="69"/>
      <c r="AR826" s="74">
        <f t="shared" si="80"/>
        <v>2500</v>
      </c>
      <c r="AS826" s="69">
        <v>2231.6</v>
      </c>
      <c r="AT826" s="69">
        <v>268.39999999999998</v>
      </c>
      <c r="BC826" s="69"/>
      <c r="BD826" s="69"/>
      <c r="CC826" s="74">
        <f t="shared" si="81"/>
        <v>2500</v>
      </c>
      <c r="CD826" s="73">
        <f t="shared" si="79"/>
        <v>0</v>
      </c>
      <c r="CE826" s="75">
        <f t="shared" si="82"/>
        <v>9155</v>
      </c>
      <c r="CF826" s="3" t="str">
        <f t="shared" si="82"/>
        <v>برنامج دولى</v>
      </c>
    </row>
    <row r="827" spans="3:84" x14ac:dyDescent="0.25">
      <c r="C827" s="82">
        <v>15232</v>
      </c>
      <c r="D827" s="70">
        <v>9156</v>
      </c>
      <c r="E827" s="69" t="s">
        <v>78</v>
      </c>
      <c r="F827" s="69" t="s">
        <v>1546</v>
      </c>
      <c r="H827" s="69">
        <v>36841.5</v>
      </c>
      <c r="U827" s="69"/>
      <c r="V827" s="69"/>
      <c r="AR827" s="74">
        <f t="shared" si="80"/>
        <v>36841.5</v>
      </c>
      <c r="AS827" s="69">
        <v>27259.35</v>
      </c>
      <c r="AT827" s="69">
        <v>3536.65</v>
      </c>
      <c r="AU827" s="69">
        <v>6045.5</v>
      </c>
      <c r="BC827" s="69"/>
      <c r="BD827" s="69"/>
      <c r="CC827" s="74">
        <f t="shared" si="81"/>
        <v>36841.5</v>
      </c>
      <c r="CD827" s="73">
        <f t="shared" si="79"/>
        <v>0</v>
      </c>
      <c r="CE827" s="75">
        <f t="shared" si="82"/>
        <v>9156</v>
      </c>
      <c r="CF827" s="3" t="str">
        <f t="shared" si="82"/>
        <v>برنامج دولى</v>
      </c>
    </row>
    <row r="828" spans="3:84" x14ac:dyDescent="0.25">
      <c r="C828" s="82">
        <v>15231</v>
      </c>
      <c r="D828" s="70">
        <v>9157</v>
      </c>
      <c r="E828" s="69" t="s">
        <v>78</v>
      </c>
      <c r="F828" s="69" t="s">
        <v>1546</v>
      </c>
      <c r="H828" s="69">
        <v>530485.77</v>
      </c>
      <c r="U828" s="69"/>
      <c r="V828" s="69"/>
      <c r="AR828" s="74">
        <f t="shared" si="80"/>
        <v>530485.77</v>
      </c>
      <c r="AS828" s="69">
        <v>356693.3</v>
      </c>
      <c r="AT828" s="69">
        <v>48318.6</v>
      </c>
      <c r="AU828" s="69">
        <v>125473.87</v>
      </c>
      <c r="BC828" s="69"/>
      <c r="BD828" s="69"/>
      <c r="CC828" s="74">
        <f t="shared" si="81"/>
        <v>530485.77</v>
      </c>
      <c r="CD828" s="73">
        <f t="shared" si="79"/>
        <v>0</v>
      </c>
      <c r="CE828" s="75">
        <f t="shared" si="82"/>
        <v>9157</v>
      </c>
      <c r="CF828" s="3" t="str">
        <f t="shared" si="82"/>
        <v>برنامج دولى</v>
      </c>
    </row>
    <row r="829" spans="3:84" x14ac:dyDescent="0.25">
      <c r="C829" s="82">
        <v>15230</v>
      </c>
      <c r="D829" s="70">
        <v>9158</v>
      </c>
      <c r="E829" s="69" t="s">
        <v>78</v>
      </c>
      <c r="F829" s="69" t="s">
        <v>1546</v>
      </c>
      <c r="H829" s="69">
        <v>322621.37</v>
      </c>
      <c r="U829" s="69"/>
      <c r="V829" s="69"/>
      <c r="AR829" s="74">
        <f t="shared" si="80"/>
        <v>322621.37</v>
      </c>
      <c r="AS829" s="69">
        <v>218278.1</v>
      </c>
      <c r="AT829" s="69">
        <v>29320.14</v>
      </c>
      <c r="AU829" s="69">
        <v>74503.13</v>
      </c>
      <c r="AW829" s="69">
        <v>520</v>
      </c>
      <c r="BC829" s="69"/>
      <c r="BD829" s="69"/>
      <c r="CC829" s="74">
        <f t="shared" si="81"/>
        <v>322621.37</v>
      </c>
      <c r="CD829" s="73">
        <f t="shared" si="79"/>
        <v>0</v>
      </c>
      <c r="CE829" s="75">
        <f t="shared" si="82"/>
        <v>9158</v>
      </c>
      <c r="CF829" s="3" t="str">
        <f t="shared" si="82"/>
        <v>برنامج دولى</v>
      </c>
    </row>
    <row r="830" spans="3:84" x14ac:dyDescent="0.25">
      <c r="C830" s="82">
        <v>15260</v>
      </c>
      <c r="D830" s="70">
        <v>9159</v>
      </c>
      <c r="E830" s="69" t="s">
        <v>78</v>
      </c>
      <c r="F830" s="69" t="s">
        <v>1547</v>
      </c>
      <c r="H830" s="69">
        <v>4074.99</v>
      </c>
      <c r="U830" s="69"/>
      <c r="V830" s="69"/>
      <c r="AR830" s="74">
        <f t="shared" si="80"/>
        <v>4074.99</v>
      </c>
      <c r="AS830" s="69">
        <v>3522.87</v>
      </c>
      <c r="AT830" s="69">
        <v>429.3</v>
      </c>
      <c r="AU830" s="69">
        <v>122.82</v>
      </c>
      <c r="BC830" s="69"/>
      <c r="BD830" s="69"/>
      <c r="CC830" s="74">
        <f t="shared" si="81"/>
        <v>4074.9900000000002</v>
      </c>
      <c r="CD830" s="73">
        <f t="shared" si="79"/>
        <v>0</v>
      </c>
      <c r="CE830" s="75">
        <f t="shared" si="82"/>
        <v>9159</v>
      </c>
      <c r="CF830" s="3" t="str">
        <f t="shared" si="82"/>
        <v>برنامج دولى</v>
      </c>
    </row>
    <row r="831" spans="3:84" x14ac:dyDescent="0.25">
      <c r="C831" s="82">
        <v>15259</v>
      </c>
      <c r="D831" s="70">
        <v>9160</v>
      </c>
      <c r="E831" s="69" t="s">
        <v>78</v>
      </c>
      <c r="F831" s="69" t="s">
        <v>1548</v>
      </c>
      <c r="H831" s="69">
        <v>24375</v>
      </c>
      <c r="U831" s="69"/>
      <c r="V831" s="69"/>
      <c r="AR831" s="74">
        <f t="shared" si="80"/>
        <v>24375</v>
      </c>
      <c r="AS831" s="69">
        <v>19353.439999999999</v>
      </c>
      <c r="AT831" s="69">
        <v>5021.5600000000004</v>
      </c>
      <c r="BC831" s="69"/>
      <c r="BD831" s="69"/>
      <c r="CC831" s="74">
        <f t="shared" si="81"/>
        <v>24375</v>
      </c>
      <c r="CD831" s="73">
        <f t="shared" si="79"/>
        <v>0</v>
      </c>
      <c r="CE831" s="75">
        <f t="shared" si="82"/>
        <v>9160</v>
      </c>
      <c r="CF831" s="3" t="str">
        <f t="shared" si="82"/>
        <v>برنامج دولى</v>
      </c>
    </row>
    <row r="832" spans="3:84" x14ac:dyDescent="0.25">
      <c r="C832" s="82">
        <v>15258</v>
      </c>
      <c r="D832" s="70">
        <v>9161</v>
      </c>
      <c r="E832" s="69" t="s">
        <v>78</v>
      </c>
      <c r="F832" s="69" t="s">
        <v>999</v>
      </c>
      <c r="H832" s="69">
        <v>24375</v>
      </c>
      <c r="U832" s="69"/>
      <c r="V832" s="69"/>
      <c r="AR832" s="74">
        <f t="shared" si="80"/>
        <v>24375</v>
      </c>
      <c r="AS832" s="69">
        <v>21743.7</v>
      </c>
      <c r="AT832" s="69">
        <v>2631.3</v>
      </c>
      <c r="BC832" s="69"/>
      <c r="BD832" s="69"/>
      <c r="CC832" s="74">
        <f t="shared" si="81"/>
        <v>24375</v>
      </c>
      <c r="CD832" s="73">
        <f t="shared" si="79"/>
        <v>0</v>
      </c>
      <c r="CE832" s="75">
        <f t="shared" si="82"/>
        <v>9161</v>
      </c>
      <c r="CF832" s="3" t="str">
        <f t="shared" si="82"/>
        <v>برنامج دولى</v>
      </c>
    </row>
    <row r="833" spans="3:84" x14ac:dyDescent="0.25">
      <c r="C833" s="82">
        <v>15257</v>
      </c>
      <c r="D833" s="70">
        <v>9162</v>
      </c>
      <c r="E833" s="69" t="s">
        <v>78</v>
      </c>
      <c r="F833" s="69" t="s">
        <v>1549</v>
      </c>
      <c r="H833" s="69">
        <v>26250</v>
      </c>
      <c r="U833" s="69"/>
      <c r="V833" s="69"/>
      <c r="AR833" s="74">
        <f t="shared" si="80"/>
        <v>26250</v>
      </c>
      <c r="AS833" s="69">
        <v>23422.45</v>
      </c>
      <c r="AT833" s="69">
        <v>2827.55</v>
      </c>
      <c r="BC833" s="69"/>
      <c r="BD833" s="69"/>
      <c r="CC833" s="74">
        <f t="shared" si="81"/>
        <v>26250</v>
      </c>
      <c r="CD833" s="73">
        <f t="shared" si="79"/>
        <v>0</v>
      </c>
      <c r="CE833" s="75">
        <f t="shared" si="82"/>
        <v>9162</v>
      </c>
      <c r="CF833" s="3" t="str">
        <f t="shared" si="82"/>
        <v>برنامج دولى</v>
      </c>
    </row>
    <row r="834" spans="3:84" x14ac:dyDescent="0.25">
      <c r="C834" s="82">
        <v>15256</v>
      </c>
      <c r="D834" s="70">
        <v>9163</v>
      </c>
      <c r="E834" s="69" t="s">
        <v>78</v>
      </c>
      <c r="F834" s="69" t="s">
        <v>1550</v>
      </c>
      <c r="H834" s="69">
        <v>52075</v>
      </c>
      <c r="U834" s="69"/>
      <c r="V834" s="69"/>
      <c r="AR834" s="74">
        <f t="shared" si="80"/>
        <v>52075</v>
      </c>
      <c r="AS834" s="69">
        <v>46468.6</v>
      </c>
      <c r="AT834" s="69">
        <v>5606.4</v>
      </c>
      <c r="BC834" s="69"/>
      <c r="BD834" s="69"/>
      <c r="CC834" s="74">
        <f t="shared" si="81"/>
        <v>52075</v>
      </c>
      <c r="CD834" s="73">
        <f t="shared" si="79"/>
        <v>0</v>
      </c>
      <c r="CE834" s="75">
        <f t="shared" si="82"/>
        <v>9163</v>
      </c>
      <c r="CF834" s="3" t="str">
        <f t="shared" si="82"/>
        <v>برنامج دولى</v>
      </c>
    </row>
    <row r="835" spans="3:84" x14ac:dyDescent="0.25">
      <c r="C835" s="82">
        <v>15212</v>
      </c>
      <c r="D835" s="70">
        <v>9164</v>
      </c>
      <c r="E835" s="69" t="s">
        <v>78</v>
      </c>
      <c r="F835" s="69" t="s">
        <v>1551</v>
      </c>
      <c r="H835" s="69">
        <v>938</v>
      </c>
      <c r="U835" s="69"/>
      <c r="V835" s="69"/>
      <c r="AR835" s="74">
        <f t="shared" si="80"/>
        <v>938</v>
      </c>
      <c r="AS835" s="69">
        <v>627.35</v>
      </c>
      <c r="AT835" s="69">
        <v>84.65</v>
      </c>
      <c r="AU835" s="69">
        <v>226</v>
      </c>
      <c r="BC835" s="69"/>
      <c r="BD835" s="69"/>
      <c r="CC835" s="74">
        <f t="shared" si="81"/>
        <v>938</v>
      </c>
      <c r="CD835" s="73">
        <f t="shared" ref="CD835:CD871" si="83">+CC835-AR835</f>
        <v>0</v>
      </c>
      <c r="CE835" s="75">
        <f t="shared" si="82"/>
        <v>9164</v>
      </c>
      <c r="CF835" s="3" t="str">
        <f t="shared" si="82"/>
        <v>برنامج دولى</v>
      </c>
    </row>
    <row r="836" spans="3:84" x14ac:dyDescent="0.25">
      <c r="C836" s="82">
        <v>15213</v>
      </c>
      <c r="D836" s="70">
        <v>9165</v>
      </c>
      <c r="E836" s="69" t="s">
        <v>78</v>
      </c>
      <c r="F836" s="69" t="s">
        <v>1552</v>
      </c>
      <c r="H836" s="69">
        <v>11052.26</v>
      </c>
      <c r="U836" s="69"/>
      <c r="V836" s="69"/>
      <c r="AR836" s="74">
        <f t="shared" si="80"/>
        <v>11052.26</v>
      </c>
      <c r="AS836" s="69">
        <v>9786.18</v>
      </c>
      <c r="AT836" s="69">
        <v>1180.5</v>
      </c>
      <c r="AU836" s="69">
        <v>85.58</v>
      </c>
      <c r="BC836" s="69"/>
      <c r="BD836" s="69"/>
      <c r="CC836" s="74">
        <f t="shared" si="81"/>
        <v>11052.26</v>
      </c>
      <c r="CD836" s="73">
        <f t="shared" si="83"/>
        <v>0</v>
      </c>
      <c r="CE836" s="75">
        <f t="shared" si="82"/>
        <v>9165</v>
      </c>
      <c r="CF836" s="3" t="str">
        <f t="shared" si="82"/>
        <v>برنامج دولى</v>
      </c>
    </row>
    <row r="837" spans="3:84" x14ac:dyDescent="0.25">
      <c r="C837" s="82">
        <v>15214</v>
      </c>
      <c r="D837" s="70">
        <v>9166</v>
      </c>
      <c r="E837" s="69" t="s">
        <v>78</v>
      </c>
      <c r="F837" s="69" t="s">
        <v>1552</v>
      </c>
      <c r="H837" s="69">
        <v>3283</v>
      </c>
      <c r="U837" s="69"/>
      <c r="V837" s="69"/>
      <c r="AR837" s="74">
        <f t="shared" si="80"/>
        <v>3283</v>
      </c>
      <c r="AS837" s="69">
        <v>2194.0500000000002</v>
      </c>
      <c r="AT837" s="69">
        <v>297.95</v>
      </c>
      <c r="AU837" s="69">
        <v>791</v>
      </c>
      <c r="BC837" s="69"/>
      <c r="BD837" s="69"/>
      <c r="CC837" s="74">
        <f t="shared" si="81"/>
        <v>3283</v>
      </c>
      <c r="CD837" s="73">
        <f t="shared" si="83"/>
        <v>0</v>
      </c>
      <c r="CE837" s="75">
        <f t="shared" si="82"/>
        <v>9166</v>
      </c>
      <c r="CF837" s="3" t="str">
        <f t="shared" si="82"/>
        <v>برنامج دولى</v>
      </c>
    </row>
    <row r="838" spans="3:84" x14ac:dyDescent="0.25">
      <c r="C838" s="82">
        <v>15215</v>
      </c>
      <c r="D838" s="70">
        <v>9167</v>
      </c>
      <c r="E838" s="69" t="s">
        <v>78</v>
      </c>
      <c r="F838" s="69" t="s">
        <v>1552</v>
      </c>
      <c r="H838" s="69">
        <v>1407</v>
      </c>
      <c r="U838" s="69"/>
      <c r="V838" s="69"/>
      <c r="AR838" s="74">
        <f t="shared" si="80"/>
        <v>1407</v>
      </c>
      <c r="AS838" s="69">
        <v>940.35</v>
      </c>
      <c r="AT838" s="69">
        <v>127.65</v>
      </c>
      <c r="AU838" s="69">
        <v>339</v>
      </c>
      <c r="BC838" s="69"/>
      <c r="BD838" s="69"/>
      <c r="CC838" s="74">
        <f t="shared" si="81"/>
        <v>1407</v>
      </c>
      <c r="CD838" s="73">
        <f t="shared" si="83"/>
        <v>0</v>
      </c>
      <c r="CE838" s="75">
        <f t="shared" si="82"/>
        <v>9167</v>
      </c>
      <c r="CF838" s="3" t="str">
        <f t="shared" si="82"/>
        <v>برنامج دولى</v>
      </c>
    </row>
    <row r="839" spans="3:84" x14ac:dyDescent="0.25">
      <c r="C839" s="82">
        <v>15216</v>
      </c>
      <c r="D839" s="70">
        <v>9168</v>
      </c>
      <c r="E839" s="69" t="s">
        <v>78</v>
      </c>
      <c r="F839" s="69" t="s">
        <v>1552</v>
      </c>
      <c r="H839" s="69">
        <v>586.25</v>
      </c>
      <c r="U839" s="69"/>
      <c r="V839" s="69"/>
      <c r="AR839" s="74">
        <f t="shared" ref="AR839:AR905" si="84">SUM(H839:AQ839)</f>
        <v>586.25</v>
      </c>
      <c r="AS839" s="69">
        <v>392.4</v>
      </c>
      <c r="AT839" s="69">
        <v>52.6</v>
      </c>
      <c r="AU839" s="69">
        <v>141.25</v>
      </c>
      <c r="BC839" s="69"/>
      <c r="BD839" s="69"/>
      <c r="CC839" s="74">
        <f t="shared" si="81"/>
        <v>586.25</v>
      </c>
      <c r="CD839" s="73">
        <f t="shared" si="83"/>
        <v>0</v>
      </c>
      <c r="CE839" s="75">
        <f t="shared" si="82"/>
        <v>9168</v>
      </c>
      <c r="CF839" s="3" t="str">
        <f t="shared" si="82"/>
        <v>برنامج دولى</v>
      </c>
    </row>
    <row r="840" spans="3:84" x14ac:dyDescent="0.25">
      <c r="C840" s="82">
        <v>15217</v>
      </c>
      <c r="D840" s="70">
        <v>9169</v>
      </c>
      <c r="E840" s="69" t="s">
        <v>78</v>
      </c>
      <c r="F840" s="69" t="s">
        <v>1553</v>
      </c>
      <c r="H840" s="69">
        <v>586.25</v>
      </c>
      <c r="U840" s="69"/>
      <c r="V840" s="69"/>
      <c r="AR840" s="74">
        <f t="shared" si="84"/>
        <v>586.25</v>
      </c>
      <c r="AS840" s="69">
        <v>392.4</v>
      </c>
      <c r="AT840" s="69">
        <v>52.6</v>
      </c>
      <c r="AU840" s="69">
        <v>141.25</v>
      </c>
      <c r="BC840" s="69"/>
      <c r="BD840" s="69"/>
      <c r="CC840" s="74">
        <f t="shared" si="81"/>
        <v>586.25</v>
      </c>
      <c r="CD840" s="73">
        <f t="shared" si="83"/>
        <v>0</v>
      </c>
      <c r="CE840" s="75">
        <f t="shared" si="82"/>
        <v>9169</v>
      </c>
      <c r="CF840" s="3" t="str">
        <f t="shared" si="82"/>
        <v>برنامج دولى</v>
      </c>
    </row>
    <row r="841" spans="3:84" x14ac:dyDescent="0.25">
      <c r="C841" s="82">
        <v>15218</v>
      </c>
      <c r="D841" s="70">
        <v>9170</v>
      </c>
      <c r="E841" s="69" t="s">
        <v>78</v>
      </c>
      <c r="F841" s="69" t="s">
        <v>1553</v>
      </c>
      <c r="H841" s="69">
        <v>586.25</v>
      </c>
      <c r="U841" s="69"/>
      <c r="V841" s="69"/>
      <c r="AR841" s="74">
        <f t="shared" si="84"/>
        <v>586.25</v>
      </c>
      <c r="AS841" s="69">
        <v>392.4</v>
      </c>
      <c r="AT841" s="69">
        <v>52.6</v>
      </c>
      <c r="AU841" s="69">
        <v>141.25</v>
      </c>
      <c r="BC841" s="69"/>
      <c r="BD841" s="69"/>
      <c r="CC841" s="74">
        <f t="shared" si="81"/>
        <v>586.25</v>
      </c>
      <c r="CD841" s="73">
        <f t="shared" si="83"/>
        <v>0</v>
      </c>
      <c r="CE841" s="75">
        <f t="shared" si="82"/>
        <v>9170</v>
      </c>
      <c r="CF841" s="3" t="str">
        <f t="shared" si="82"/>
        <v>برنامج دولى</v>
      </c>
    </row>
    <row r="842" spans="3:84" x14ac:dyDescent="0.25">
      <c r="C842" s="82">
        <v>15219</v>
      </c>
      <c r="D842" s="70">
        <v>9171</v>
      </c>
      <c r="E842" s="69" t="s">
        <v>78</v>
      </c>
      <c r="F842" s="69" t="s">
        <v>1553</v>
      </c>
      <c r="H842" s="69">
        <v>4103.75</v>
      </c>
      <c r="U842" s="69"/>
      <c r="V842" s="69"/>
      <c r="AR842" s="74">
        <f t="shared" si="84"/>
        <v>4103.75</v>
      </c>
      <c r="AS842" s="69">
        <v>2742.35</v>
      </c>
      <c r="AT842" s="69">
        <v>372.65</v>
      </c>
      <c r="AU842" s="69">
        <v>988.75</v>
      </c>
      <c r="BC842" s="69"/>
      <c r="BD842" s="69"/>
      <c r="CC842" s="74">
        <f t="shared" si="81"/>
        <v>4103.75</v>
      </c>
      <c r="CD842" s="73">
        <f t="shared" si="83"/>
        <v>0</v>
      </c>
      <c r="CE842" s="75">
        <f t="shared" si="82"/>
        <v>9171</v>
      </c>
      <c r="CF842" s="3" t="str">
        <f t="shared" si="82"/>
        <v>برنامج دولى</v>
      </c>
    </row>
    <row r="843" spans="3:84" x14ac:dyDescent="0.25">
      <c r="C843" s="82">
        <v>15220</v>
      </c>
      <c r="D843" s="70">
        <v>9172</v>
      </c>
      <c r="E843" s="69" t="s">
        <v>78</v>
      </c>
      <c r="F843" s="69" t="s">
        <v>1553</v>
      </c>
      <c r="H843" s="69">
        <v>586.25</v>
      </c>
      <c r="U843" s="69"/>
      <c r="V843" s="69"/>
      <c r="AR843" s="74">
        <f t="shared" si="84"/>
        <v>586.25</v>
      </c>
      <c r="AS843" s="69">
        <v>392.4</v>
      </c>
      <c r="AT843" s="69">
        <v>52.6</v>
      </c>
      <c r="AU843" s="69">
        <v>141.25</v>
      </c>
      <c r="BC843" s="69"/>
      <c r="BD843" s="69"/>
      <c r="CC843" s="74">
        <f t="shared" si="81"/>
        <v>586.25</v>
      </c>
      <c r="CD843" s="73">
        <f t="shared" si="83"/>
        <v>0</v>
      </c>
      <c r="CE843" s="75">
        <f t="shared" si="82"/>
        <v>9172</v>
      </c>
      <c r="CF843" s="3" t="str">
        <f t="shared" si="82"/>
        <v>برنامج دولى</v>
      </c>
    </row>
    <row r="844" spans="3:84" x14ac:dyDescent="0.25">
      <c r="C844" s="82">
        <v>15223</v>
      </c>
      <c r="D844" s="70">
        <v>9173</v>
      </c>
      <c r="E844" s="69" t="s">
        <v>78</v>
      </c>
      <c r="F844" s="69" t="s">
        <v>1554</v>
      </c>
      <c r="H844" s="69">
        <v>2931.25</v>
      </c>
      <c r="U844" s="69"/>
      <c r="V844" s="69"/>
      <c r="AR844" s="74">
        <f t="shared" si="84"/>
        <v>2931.25</v>
      </c>
      <c r="AS844" s="69">
        <v>1959.25</v>
      </c>
      <c r="AT844" s="69">
        <f>15.75+250</f>
        <v>265.75</v>
      </c>
      <c r="AU844" s="69">
        <v>706.25</v>
      </c>
      <c r="BC844" s="69"/>
      <c r="BD844" s="69"/>
      <c r="CC844" s="74">
        <f t="shared" si="81"/>
        <v>2931.25</v>
      </c>
      <c r="CD844" s="73">
        <f t="shared" si="83"/>
        <v>0</v>
      </c>
      <c r="CE844" s="75">
        <f t="shared" si="82"/>
        <v>9173</v>
      </c>
      <c r="CF844" s="3" t="str">
        <f t="shared" si="82"/>
        <v>برنامج دولى</v>
      </c>
    </row>
    <row r="845" spans="3:84" x14ac:dyDescent="0.25">
      <c r="C845" s="82">
        <v>15224</v>
      </c>
      <c r="D845" s="70">
        <v>9174</v>
      </c>
      <c r="E845" s="69" t="s">
        <v>78</v>
      </c>
      <c r="F845" s="69" t="s">
        <v>1555</v>
      </c>
      <c r="H845" s="69">
        <v>17692.89</v>
      </c>
      <c r="U845" s="69"/>
      <c r="V845" s="69"/>
      <c r="AR845" s="74">
        <f t="shared" si="84"/>
        <v>17692.89</v>
      </c>
      <c r="AS845" s="69">
        <v>12485.3</v>
      </c>
      <c r="AT845" s="69">
        <f>96.15+1551.94</f>
        <v>1648.0900000000001</v>
      </c>
      <c r="AU845" s="69">
        <v>3559.5</v>
      </c>
      <c r="BC845" s="69"/>
      <c r="BD845" s="69"/>
      <c r="CC845" s="74">
        <f t="shared" si="81"/>
        <v>17692.89</v>
      </c>
      <c r="CD845" s="73">
        <f t="shared" si="83"/>
        <v>0</v>
      </c>
      <c r="CE845" s="75">
        <f t="shared" si="82"/>
        <v>9174</v>
      </c>
      <c r="CF845" s="3" t="str">
        <f t="shared" si="82"/>
        <v>برنامج دولى</v>
      </c>
    </row>
    <row r="846" spans="3:84" x14ac:dyDescent="0.25">
      <c r="C846" s="82">
        <v>15225</v>
      </c>
      <c r="D846" s="70">
        <v>9175</v>
      </c>
      <c r="E846" s="69" t="s">
        <v>78</v>
      </c>
      <c r="F846" s="69" t="s">
        <v>1556</v>
      </c>
      <c r="H846" s="69">
        <v>1579.77</v>
      </c>
      <c r="U846" s="69"/>
      <c r="V846" s="69"/>
      <c r="AR846" s="74">
        <f t="shared" si="84"/>
        <v>1579.77</v>
      </c>
      <c r="AS846" s="69">
        <v>1055.77</v>
      </c>
      <c r="AT846" s="69">
        <v>143.38999999999999</v>
      </c>
      <c r="AU846" s="69">
        <v>380.61</v>
      </c>
      <c r="BC846" s="69"/>
      <c r="BD846" s="69"/>
      <c r="CC846" s="74">
        <f t="shared" si="81"/>
        <v>1579.77</v>
      </c>
      <c r="CD846" s="73">
        <f t="shared" si="83"/>
        <v>0</v>
      </c>
      <c r="CE846" s="75">
        <f t="shared" si="82"/>
        <v>9175</v>
      </c>
      <c r="CF846" s="3" t="str">
        <f t="shared" si="82"/>
        <v>برنامج دولى</v>
      </c>
    </row>
    <row r="847" spans="3:84" x14ac:dyDescent="0.25">
      <c r="C847" s="82">
        <v>15226</v>
      </c>
      <c r="D847" s="70">
        <v>9176</v>
      </c>
      <c r="E847" s="69" t="s">
        <v>78</v>
      </c>
      <c r="F847" s="69" t="s">
        <v>1556</v>
      </c>
      <c r="H847" s="69">
        <v>11817.6</v>
      </c>
      <c r="U847" s="69"/>
      <c r="V847" s="69"/>
      <c r="AR847" s="74">
        <f t="shared" si="84"/>
        <v>11817.6</v>
      </c>
      <c r="AS847" s="69">
        <v>10550.79</v>
      </c>
      <c r="AT847" s="69">
        <v>1266.81</v>
      </c>
      <c r="BC847" s="69"/>
      <c r="BD847" s="69"/>
      <c r="CC847" s="74">
        <f t="shared" si="81"/>
        <v>11817.6</v>
      </c>
      <c r="CD847" s="73">
        <f t="shared" si="83"/>
        <v>0</v>
      </c>
      <c r="CE847" s="75">
        <f t="shared" si="82"/>
        <v>9176</v>
      </c>
      <c r="CF847" s="3" t="str">
        <f t="shared" si="82"/>
        <v>برنامج دولى</v>
      </c>
    </row>
    <row r="848" spans="3:84" x14ac:dyDescent="0.25">
      <c r="C848" s="82">
        <v>15227</v>
      </c>
      <c r="D848" s="70">
        <v>9177</v>
      </c>
      <c r="E848" s="69" t="s">
        <v>78</v>
      </c>
      <c r="F848" s="69" t="s">
        <v>1556</v>
      </c>
      <c r="H848" s="69">
        <v>677.04</v>
      </c>
      <c r="U848" s="69"/>
      <c r="V848" s="69"/>
      <c r="AR848" s="74">
        <f t="shared" si="84"/>
        <v>677.04</v>
      </c>
      <c r="AS848" s="69">
        <v>452.98</v>
      </c>
      <c r="AT848" s="69">
        <f>3.21+57.74</f>
        <v>60.95</v>
      </c>
      <c r="AU848" s="69">
        <v>163.11000000000001</v>
      </c>
      <c r="BC848" s="69"/>
      <c r="BD848" s="69"/>
      <c r="CC848" s="74">
        <f t="shared" si="81"/>
        <v>677.04000000000008</v>
      </c>
      <c r="CD848" s="73">
        <f t="shared" si="83"/>
        <v>0</v>
      </c>
      <c r="CE848" s="75">
        <f t="shared" si="82"/>
        <v>9177</v>
      </c>
      <c r="CF848" s="3" t="str">
        <f t="shared" si="82"/>
        <v>برنامج دولى</v>
      </c>
    </row>
    <row r="849" spans="3:84" x14ac:dyDescent="0.25">
      <c r="C849" s="82">
        <v>15228</v>
      </c>
      <c r="D849" s="70">
        <v>9178</v>
      </c>
      <c r="E849" s="69" t="s">
        <v>78</v>
      </c>
      <c r="F849" s="69" t="s">
        <v>1557</v>
      </c>
      <c r="H849" s="69">
        <v>1407</v>
      </c>
      <c r="U849" s="69"/>
      <c r="V849" s="69"/>
      <c r="AR849" s="74">
        <f t="shared" si="84"/>
        <v>1407</v>
      </c>
      <c r="AS849" s="69">
        <v>939.35</v>
      </c>
      <c r="AT849" s="69">
        <f>8.65+120</f>
        <v>128.65</v>
      </c>
      <c r="AU849" s="69">
        <v>339</v>
      </c>
      <c r="BC849" s="69"/>
      <c r="BD849" s="69"/>
      <c r="CC849" s="74">
        <f t="shared" si="81"/>
        <v>1407</v>
      </c>
      <c r="CD849" s="73">
        <f t="shared" si="83"/>
        <v>0</v>
      </c>
      <c r="CE849" s="75">
        <f t="shared" si="82"/>
        <v>9178</v>
      </c>
      <c r="CF849" s="3" t="str">
        <f t="shared" si="82"/>
        <v>برنامج دولى</v>
      </c>
    </row>
    <row r="850" spans="3:84" x14ac:dyDescent="0.25">
      <c r="C850" s="82">
        <v>15243</v>
      </c>
      <c r="D850" s="70">
        <v>9179</v>
      </c>
      <c r="E850" s="69" t="s">
        <v>128</v>
      </c>
      <c r="F850" s="69" t="s">
        <v>1558</v>
      </c>
      <c r="H850" s="69">
        <v>4000</v>
      </c>
      <c r="U850" s="69"/>
      <c r="V850" s="69"/>
      <c r="AR850" s="74">
        <f t="shared" si="84"/>
        <v>4000</v>
      </c>
      <c r="AS850" s="69">
        <v>3570.35</v>
      </c>
      <c r="AT850" s="69">
        <v>429.65</v>
      </c>
      <c r="BC850" s="69"/>
      <c r="BD850" s="69"/>
      <c r="CC850" s="74">
        <f t="shared" si="81"/>
        <v>4000</v>
      </c>
      <c r="CD850" s="73">
        <f t="shared" si="83"/>
        <v>0</v>
      </c>
      <c r="CE850" s="75">
        <f t="shared" si="82"/>
        <v>9179</v>
      </c>
      <c r="CF850" s="3" t="str">
        <f t="shared" si="82"/>
        <v>مركز مؤتمرات</v>
      </c>
    </row>
    <row r="851" spans="3:84" x14ac:dyDescent="0.25">
      <c r="C851" s="82">
        <v>15244</v>
      </c>
      <c r="D851" s="70">
        <v>9180</v>
      </c>
      <c r="E851" s="69" t="s">
        <v>128</v>
      </c>
      <c r="F851" s="69" t="s">
        <v>1559</v>
      </c>
      <c r="H851" s="69">
        <v>4000</v>
      </c>
      <c r="U851" s="69"/>
      <c r="V851" s="69"/>
      <c r="AR851" s="74">
        <f t="shared" si="84"/>
        <v>4000</v>
      </c>
      <c r="AS851" s="69">
        <v>3570.35</v>
      </c>
      <c r="AT851" s="69">
        <v>429.65</v>
      </c>
      <c r="BC851" s="69"/>
      <c r="BD851" s="69"/>
      <c r="CC851" s="74">
        <f t="shared" si="81"/>
        <v>4000</v>
      </c>
      <c r="CD851" s="73">
        <f t="shared" si="83"/>
        <v>0</v>
      </c>
      <c r="CE851" s="75">
        <f t="shared" si="82"/>
        <v>9180</v>
      </c>
      <c r="CF851" s="3" t="str">
        <f t="shared" si="82"/>
        <v>مركز مؤتمرات</v>
      </c>
    </row>
    <row r="852" spans="3:84" x14ac:dyDescent="0.25">
      <c r="C852" s="82">
        <v>15246</v>
      </c>
      <c r="D852" s="70">
        <v>9181</v>
      </c>
      <c r="E852" s="69" t="s">
        <v>128</v>
      </c>
      <c r="F852" s="69" t="s">
        <v>1560</v>
      </c>
      <c r="H852" s="69">
        <v>1442.18</v>
      </c>
      <c r="U852" s="69"/>
      <c r="V852" s="69"/>
      <c r="AR852" s="74">
        <f t="shared" si="84"/>
        <v>1442.18</v>
      </c>
      <c r="AS852" s="69">
        <v>963.85</v>
      </c>
      <c r="AT852" s="69">
        <v>130.85</v>
      </c>
      <c r="AU852" s="69">
        <v>347.48</v>
      </c>
      <c r="BC852" s="69"/>
      <c r="BD852" s="69"/>
      <c r="CC852" s="74">
        <f t="shared" si="81"/>
        <v>1442.18</v>
      </c>
      <c r="CD852" s="73">
        <f t="shared" si="83"/>
        <v>0</v>
      </c>
      <c r="CE852" s="75">
        <f t="shared" si="82"/>
        <v>9181</v>
      </c>
      <c r="CF852" s="3" t="str">
        <f t="shared" si="82"/>
        <v>مركز مؤتمرات</v>
      </c>
    </row>
    <row r="853" spans="3:84" x14ac:dyDescent="0.25">
      <c r="C853" s="82">
        <v>15247</v>
      </c>
      <c r="D853" s="70">
        <v>9182</v>
      </c>
      <c r="E853" s="69" t="s">
        <v>128</v>
      </c>
      <c r="F853" s="69" t="s">
        <v>1560</v>
      </c>
      <c r="H853" s="69">
        <v>4143.49</v>
      </c>
      <c r="U853" s="69"/>
      <c r="V853" s="69"/>
      <c r="AR853" s="74">
        <f t="shared" si="84"/>
        <v>4143.49</v>
      </c>
      <c r="AS853" s="69">
        <v>2768.88</v>
      </c>
      <c r="AT853" s="69">
        <v>376.28</v>
      </c>
      <c r="AU853" s="69">
        <v>998.33</v>
      </c>
      <c r="BC853" s="69"/>
      <c r="BD853" s="69"/>
      <c r="CC853" s="74">
        <f t="shared" si="81"/>
        <v>4143.49</v>
      </c>
      <c r="CD853" s="73">
        <f t="shared" si="83"/>
        <v>0</v>
      </c>
      <c r="CE853" s="75">
        <f t="shared" si="82"/>
        <v>9182</v>
      </c>
      <c r="CF853" s="3" t="str">
        <f t="shared" si="82"/>
        <v>مركز مؤتمرات</v>
      </c>
    </row>
    <row r="854" spans="3:84" x14ac:dyDescent="0.25">
      <c r="C854" s="82">
        <v>15248</v>
      </c>
      <c r="D854" s="70">
        <v>9183</v>
      </c>
      <c r="E854" s="69" t="s">
        <v>128</v>
      </c>
      <c r="F854" s="69" t="s">
        <v>1560</v>
      </c>
      <c r="H854" s="69">
        <v>4509.16</v>
      </c>
      <c r="U854" s="69"/>
      <c r="V854" s="69"/>
      <c r="AR854" s="74">
        <f t="shared" si="84"/>
        <v>4509.16</v>
      </c>
      <c r="AS854" s="69">
        <v>3013.19</v>
      </c>
      <c r="AT854" s="69">
        <v>409.53</v>
      </c>
      <c r="AU854" s="69">
        <v>1086.44</v>
      </c>
      <c r="BC854" s="69"/>
      <c r="BD854" s="69"/>
      <c r="CC854" s="74">
        <f t="shared" si="81"/>
        <v>4509.16</v>
      </c>
      <c r="CD854" s="73">
        <f t="shared" si="83"/>
        <v>0</v>
      </c>
      <c r="CE854" s="75">
        <f t="shared" si="82"/>
        <v>9183</v>
      </c>
      <c r="CF854" s="3" t="str">
        <f t="shared" si="82"/>
        <v>مركز مؤتمرات</v>
      </c>
    </row>
    <row r="855" spans="3:84" x14ac:dyDescent="0.25">
      <c r="C855" s="82">
        <v>15249</v>
      </c>
      <c r="D855" s="70">
        <v>9184</v>
      </c>
      <c r="E855" s="69" t="s">
        <v>128</v>
      </c>
      <c r="F855" s="69" t="s">
        <v>1560</v>
      </c>
      <c r="H855" s="69">
        <v>17096.240000000002</v>
      </c>
      <c r="U855" s="69"/>
      <c r="V855" s="69"/>
      <c r="AR855" s="74">
        <f t="shared" si="84"/>
        <v>17096.240000000002</v>
      </c>
      <c r="AS855" s="69">
        <v>11426.7</v>
      </c>
      <c r="AT855" s="69">
        <v>1550.45</v>
      </c>
      <c r="AU855" s="69">
        <v>4119.09</v>
      </c>
      <c r="BC855" s="69"/>
      <c r="BD855" s="69"/>
      <c r="CC855" s="74">
        <f t="shared" si="81"/>
        <v>17096.240000000002</v>
      </c>
      <c r="CD855" s="73">
        <f t="shared" si="83"/>
        <v>0</v>
      </c>
      <c r="CE855" s="75">
        <f t="shared" si="82"/>
        <v>9184</v>
      </c>
      <c r="CF855" s="3" t="str">
        <f t="shared" si="82"/>
        <v>مركز مؤتمرات</v>
      </c>
    </row>
    <row r="856" spans="3:84" x14ac:dyDescent="0.25">
      <c r="C856" s="82">
        <v>15245</v>
      </c>
      <c r="D856" s="70">
        <v>9185</v>
      </c>
      <c r="E856" s="69" t="s">
        <v>128</v>
      </c>
      <c r="F856" s="69" t="s">
        <v>1561</v>
      </c>
      <c r="H856" s="69">
        <v>3000</v>
      </c>
      <c r="U856" s="69"/>
      <c r="V856" s="69"/>
      <c r="AR856" s="74">
        <f t="shared" si="84"/>
        <v>3000</v>
      </c>
      <c r="AS856" s="69">
        <v>2677.85</v>
      </c>
      <c r="AT856" s="69">
        <v>322.14999999999998</v>
      </c>
      <c r="BC856" s="69"/>
      <c r="BD856" s="69"/>
      <c r="CC856" s="74">
        <f t="shared" si="81"/>
        <v>3000</v>
      </c>
      <c r="CD856" s="73">
        <f t="shared" si="83"/>
        <v>0</v>
      </c>
      <c r="CE856" s="75">
        <f t="shared" si="82"/>
        <v>9185</v>
      </c>
      <c r="CF856" s="3" t="str">
        <f t="shared" si="82"/>
        <v>مركز مؤتمرات</v>
      </c>
    </row>
    <row r="857" spans="3:84" x14ac:dyDescent="0.25">
      <c r="C857" s="82">
        <v>14008</v>
      </c>
      <c r="D857" s="70">
        <v>9186</v>
      </c>
      <c r="E857" s="69" t="s">
        <v>123</v>
      </c>
      <c r="F857" s="69" t="s">
        <v>1562</v>
      </c>
      <c r="H857" s="69">
        <v>1500</v>
      </c>
      <c r="U857" s="69"/>
      <c r="V857" s="69"/>
      <c r="AR857" s="74">
        <f t="shared" si="84"/>
        <v>1500</v>
      </c>
      <c r="AS857" s="69">
        <v>1158.1099999999999</v>
      </c>
      <c r="AT857" s="69">
        <v>266.89</v>
      </c>
      <c r="AV857" s="69">
        <v>75</v>
      </c>
      <c r="BC857" s="69"/>
      <c r="BD857" s="69"/>
      <c r="CC857" s="74">
        <f t="shared" si="81"/>
        <v>1500</v>
      </c>
      <c r="CD857" s="73">
        <f t="shared" si="83"/>
        <v>0</v>
      </c>
      <c r="CE857" s="75">
        <f t="shared" si="82"/>
        <v>9186</v>
      </c>
      <c r="CF857" s="3" t="str">
        <f t="shared" si="82"/>
        <v>خ ت اسنان</v>
      </c>
    </row>
    <row r="858" spans="3:84" x14ac:dyDescent="0.25">
      <c r="C858" s="82">
        <v>12768</v>
      </c>
      <c r="D858" s="70">
        <v>9187</v>
      </c>
      <c r="E858" s="69" t="s">
        <v>137</v>
      </c>
      <c r="F858" s="69" t="s">
        <v>1563</v>
      </c>
      <c r="H858" s="69">
        <v>16390.75</v>
      </c>
      <c r="U858" s="69"/>
      <c r="V858" s="69"/>
      <c r="AR858" s="74">
        <f t="shared" si="84"/>
        <v>16390.75</v>
      </c>
      <c r="AS858" s="69">
        <v>10589.4</v>
      </c>
      <c r="AT858" s="69">
        <v>1503.6</v>
      </c>
      <c r="AU858" s="69">
        <v>3587.75</v>
      </c>
      <c r="AV858" s="69">
        <v>710</v>
      </c>
      <c r="BC858" s="69"/>
      <c r="BD858" s="69"/>
      <c r="CC858" s="74">
        <f t="shared" si="81"/>
        <v>16390.75</v>
      </c>
      <c r="CD858" s="73">
        <f t="shared" si="83"/>
        <v>0</v>
      </c>
      <c r="CE858" s="75">
        <f t="shared" si="82"/>
        <v>9187</v>
      </c>
      <c r="CF858" s="3" t="str">
        <f t="shared" si="82"/>
        <v xml:space="preserve">خدمة عامة </v>
      </c>
    </row>
    <row r="859" spans="3:84" x14ac:dyDescent="0.25">
      <c r="C859" s="82">
        <v>12772</v>
      </c>
      <c r="D859" s="70">
        <v>9188</v>
      </c>
      <c r="E859" s="69" t="s">
        <v>137</v>
      </c>
      <c r="F859" s="69" t="s">
        <v>1563</v>
      </c>
      <c r="H859" s="69">
        <v>850</v>
      </c>
      <c r="U859" s="69"/>
      <c r="V859" s="69"/>
      <c r="AR859" s="74">
        <f t="shared" si="84"/>
        <v>850</v>
      </c>
      <c r="AS859" s="69">
        <v>716.9</v>
      </c>
      <c r="AT859" s="69">
        <v>90.6</v>
      </c>
      <c r="AV859" s="69">
        <v>42.5</v>
      </c>
      <c r="BC859" s="69"/>
      <c r="BD859" s="69"/>
      <c r="CC859" s="74">
        <f t="shared" si="81"/>
        <v>850</v>
      </c>
      <c r="CD859" s="73">
        <f t="shared" si="83"/>
        <v>0</v>
      </c>
      <c r="CE859" s="75">
        <f t="shared" si="82"/>
        <v>9188</v>
      </c>
      <c r="CF859" s="3" t="str">
        <f t="shared" si="82"/>
        <v xml:space="preserve">خدمة عامة </v>
      </c>
    </row>
    <row r="860" spans="3:84" x14ac:dyDescent="0.25">
      <c r="C860" s="82">
        <v>12770</v>
      </c>
      <c r="D860" s="70">
        <v>9189</v>
      </c>
      <c r="E860" s="69" t="s">
        <v>137</v>
      </c>
      <c r="F860" s="69" t="s">
        <v>1563</v>
      </c>
      <c r="H860" s="69">
        <v>3517.5</v>
      </c>
      <c r="U860" s="69"/>
      <c r="V860" s="69"/>
      <c r="AR860" s="74">
        <f t="shared" si="84"/>
        <v>3517.5</v>
      </c>
      <c r="AS860" s="69">
        <v>2203</v>
      </c>
      <c r="AT860" s="69">
        <v>317</v>
      </c>
      <c r="AU860" s="69">
        <v>847.5</v>
      </c>
      <c r="AV860" s="69">
        <v>150</v>
      </c>
      <c r="BC860" s="69"/>
      <c r="BD860" s="69"/>
      <c r="CC860" s="74">
        <f t="shared" si="81"/>
        <v>3517.5</v>
      </c>
      <c r="CD860" s="73">
        <f t="shared" si="83"/>
        <v>0</v>
      </c>
      <c r="CE860" s="75">
        <f t="shared" si="82"/>
        <v>9189</v>
      </c>
      <c r="CF860" s="3" t="str">
        <f t="shared" si="82"/>
        <v xml:space="preserve">خدمة عامة </v>
      </c>
    </row>
    <row r="861" spans="3:84" x14ac:dyDescent="0.25">
      <c r="C861" s="82">
        <v>12771</v>
      </c>
      <c r="D861" s="70">
        <v>9190</v>
      </c>
      <c r="E861" s="69" t="s">
        <v>137</v>
      </c>
      <c r="F861" s="69" t="s">
        <v>1563</v>
      </c>
      <c r="H861" s="69">
        <v>2696.75</v>
      </c>
      <c r="U861" s="69"/>
      <c r="V861" s="69"/>
      <c r="AR861" s="74">
        <f t="shared" si="84"/>
        <v>2696.75</v>
      </c>
      <c r="AS861" s="69">
        <v>1688.6</v>
      </c>
      <c r="AT861" s="69">
        <v>243.4</v>
      </c>
      <c r="AU861" s="69">
        <v>649.75</v>
      </c>
      <c r="AV861" s="69">
        <v>115</v>
      </c>
      <c r="BC861" s="69"/>
      <c r="BD861" s="69"/>
      <c r="CC861" s="74">
        <f t="shared" si="81"/>
        <v>2696.75</v>
      </c>
      <c r="CD861" s="73">
        <f t="shared" si="83"/>
        <v>0</v>
      </c>
      <c r="CE861" s="75">
        <f t="shared" si="82"/>
        <v>9190</v>
      </c>
      <c r="CF861" s="3" t="str">
        <f t="shared" si="82"/>
        <v xml:space="preserve">خدمة عامة </v>
      </c>
    </row>
    <row r="862" spans="3:84" x14ac:dyDescent="0.25">
      <c r="C862" s="82">
        <v>12769</v>
      </c>
      <c r="D862" s="70">
        <v>9191</v>
      </c>
      <c r="E862" s="69" t="s">
        <v>137</v>
      </c>
      <c r="F862" s="69" t="s">
        <v>1563</v>
      </c>
      <c r="H862" s="69">
        <v>703.5</v>
      </c>
      <c r="U862" s="69"/>
      <c r="V862" s="69"/>
      <c r="AR862" s="74">
        <f t="shared" si="84"/>
        <v>703.5</v>
      </c>
      <c r="AS862" s="69">
        <v>440.6</v>
      </c>
      <c r="AT862" s="69">
        <v>63.4</v>
      </c>
      <c r="AU862" s="69">
        <v>169.5</v>
      </c>
      <c r="AV862" s="69">
        <v>30</v>
      </c>
      <c r="BC862" s="69"/>
      <c r="BD862" s="69"/>
      <c r="CC862" s="74">
        <f t="shared" si="81"/>
        <v>703.5</v>
      </c>
      <c r="CD862" s="73">
        <f t="shared" si="83"/>
        <v>0</v>
      </c>
      <c r="CE862" s="75">
        <f t="shared" si="82"/>
        <v>9191</v>
      </c>
      <c r="CF862" s="3" t="str">
        <f t="shared" si="82"/>
        <v xml:space="preserve">خدمة عامة </v>
      </c>
    </row>
    <row r="863" spans="3:84" x14ac:dyDescent="0.25">
      <c r="C863" s="82">
        <v>12767</v>
      </c>
      <c r="D863" s="70">
        <v>9192</v>
      </c>
      <c r="E863" s="69" t="s">
        <v>137</v>
      </c>
      <c r="F863" s="69" t="s">
        <v>1563</v>
      </c>
      <c r="H863" s="69">
        <v>60783.64</v>
      </c>
      <c r="U863" s="69"/>
      <c r="V863" s="69"/>
      <c r="AR863" s="74">
        <f t="shared" si="84"/>
        <v>60783.64</v>
      </c>
      <c r="AS863" s="69">
        <v>40061.660000000003</v>
      </c>
      <c r="AT863" s="69">
        <v>5642.4</v>
      </c>
      <c r="AU863" s="69">
        <v>12419.58</v>
      </c>
      <c r="AV863" s="69">
        <v>2660</v>
      </c>
      <c r="BC863" s="69"/>
      <c r="BD863" s="69"/>
      <c r="CC863" s="74">
        <f t="shared" si="81"/>
        <v>60783.640000000007</v>
      </c>
      <c r="CD863" s="73">
        <f t="shared" si="83"/>
        <v>0</v>
      </c>
      <c r="CE863" s="75">
        <f t="shared" si="82"/>
        <v>9192</v>
      </c>
      <c r="CF863" s="3" t="str">
        <f t="shared" si="82"/>
        <v xml:space="preserve">خدمة عامة </v>
      </c>
    </row>
    <row r="864" spans="3:84" x14ac:dyDescent="0.25">
      <c r="C864" s="82">
        <v>12735</v>
      </c>
      <c r="D864" s="70">
        <v>9193</v>
      </c>
      <c r="E864" s="69" t="s">
        <v>137</v>
      </c>
      <c r="F864" s="69" t="s">
        <v>1564</v>
      </c>
      <c r="H864" s="69">
        <v>1055.25</v>
      </c>
      <c r="U864" s="69"/>
      <c r="V864" s="69"/>
      <c r="AR864" s="74">
        <f t="shared" si="84"/>
        <v>1055.25</v>
      </c>
      <c r="AS864" s="69">
        <v>660.7</v>
      </c>
      <c r="AT864" s="69">
        <v>95.3</v>
      </c>
      <c r="AU864" s="69">
        <v>254.25</v>
      </c>
      <c r="AV864" s="69">
        <v>45</v>
      </c>
      <c r="BC864" s="69"/>
      <c r="BD864" s="69"/>
      <c r="CC864" s="74">
        <f t="shared" si="81"/>
        <v>1055.25</v>
      </c>
      <c r="CD864" s="73">
        <f t="shared" si="83"/>
        <v>0</v>
      </c>
      <c r="CE864" s="75">
        <f t="shared" si="82"/>
        <v>9193</v>
      </c>
      <c r="CF864" s="3" t="str">
        <f t="shared" si="82"/>
        <v xml:space="preserve">خدمة عامة </v>
      </c>
    </row>
    <row r="865" spans="3:91" x14ac:dyDescent="0.25">
      <c r="C865" s="82">
        <v>12734</v>
      </c>
      <c r="D865" s="70">
        <v>9194</v>
      </c>
      <c r="E865" s="69" t="s">
        <v>137</v>
      </c>
      <c r="F865" s="69" t="s">
        <v>1564</v>
      </c>
      <c r="H865" s="69">
        <v>644.88</v>
      </c>
      <c r="U865" s="69"/>
      <c r="V865" s="69"/>
      <c r="AR865" s="74">
        <f t="shared" si="84"/>
        <v>644.88</v>
      </c>
      <c r="AS865" s="69">
        <v>403.9</v>
      </c>
      <c r="AT865" s="69">
        <v>58.1</v>
      </c>
      <c r="AU865" s="69">
        <v>155.38</v>
      </c>
      <c r="AV865" s="69">
        <v>27.5</v>
      </c>
      <c r="BC865" s="69"/>
      <c r="BD865" s="69"/>
      <c r="CC865" s="74">
        <f t="shared" si="81"/>
        <v>644.88</v>
      </c>
      <c r="CD865" s="73">
        <f t="shared" si="83"/>
        <v>0</v>
      </c>
      <c r="CE865" s="75">
        <f t="shared" si="82"/>
        <v>9194</v>
      </c>
      <c r="CF865" s="3" t="str">
        <f t="shared" si="82"/>
        <v xml:space="preserve">خدمة عامة </v>
      </c>
    </row>
    <row r="866" spans="3:91" x14ac:dyDescent="0.25">
      <c r="C866" s="82">
        <v>12733</v>
      </c>
      <c r="D866" s="70">
        <v>9195</v>
      </c>
      <c r="E866" s="69" t="s">
        <v>137</v>
      </c>
      <c r="F866" s="69" t="s">
        <v>1564</v>
      </c>
      <c r="H866" s="69">
        <v>107029.25</v>
      </c>
      <c r="U866" s="69"/>
      <c r="V866" s="69"/>
      <c r="AR866" s="74">
        <f t="shared" si="84"/>
        <v>107029.25</v>
      </c>
      <c r="AS866" s="69">
        <v>87174.9</v>
      </c>
      <c r="AT866" s="69">
        <v>11042.95</v>
      </c>
      <c r="AU866" s="69">
        <v>3568.9</v>
      </c>
      <c r="AV866" s="69">
        <v>5242.5</v>
      </c>
      <c r="BC866" s="69"/>
      <c r="BD866" s="69"/>
      <c r="CC866" s="74">
        <f t="shared" si="81"/>
        <v>107029.24999999999</v>
      </c>
      <c r="CD866" s="73">
        <f t="shared" si="83"/>
        <v>0</v>
      </c>
      <c r="CE866" s="75">
        <f t="shared" si="82"/>
        <v>9195</v>
      </c>
      <c r="CF866" s="3" t="str">
        <f t="shared" si="82"/>
        <v xml:space="preserve">خدمة عامة </v>
      </c>
    </row>
    <row r="867" spans="3:91" x14ac:dyDescent="0.25">
      <c r="C867" s="82">
        <v>12736</v>
      </c>
      <c r="D867" s="70">
        <v>9196</v>
      </c>
      <c r="E867" s="69" t="s">
        <v>137</v>
      </c>
      <c r="F867" s="69" t="s">
        <v>1564</v>
      </c>
      <c r="H867" s="69">
        <v>13238.51</v>
      </c>
      <c r="U867" s="69"/>
      <c r="V867" s="69"/>
      <c r="AR867" s="74">
        <f t="shared" si="84"/>
        <v>13238.51</v>
      </c>
      <c r="AS867" s="69">
        <v>9476.7999999999993</v>
      </c>
      <c r="AT867" s="69">
        <v>1292.2</v>
      </c>
      <c r="AU867" s="69">
        <v>1864.51</v>
      </c>
      <c r="AV867" s="69">
        <v>605</v>
      </c>
      <c r="BC867" s="69"/>
      <c r="BD867" s="69"/>
      <c r="CC867" s="74">
        <f t="shared" si="81"/>
        <v>13238.51</v>
      </c>
      <c r="CD867" s="73">
        <f t="shared" si="83"/>
        <v>0</v>
      </c>
      <c r="CE867" s="75">
        <f t="shared" si="82"/>
        <v>9196</v>
      </c>
      <c r="CF867" s="3" t="str">
        <f t="shared" si="82"/>
        <v xml:space="preserve">خدمة عامة </v>
      </c>
    </row>
    <row r="868" spans="3:91" x14ac:dyDescent="0.25">
      <c r="C868" s="82">
        <v>15377</v>
      </c>
      <c r="D868" s="70">
        <v>9197</v>
      </c>
      <c r="E868" s="69" t="s">
        <v>119</v>
      </c>
      <c r="F868" s="69" t="s">
        <v>1565</v>
      </c>
      <c r="H868" s="69">
        <v>3869.25</v>
      </c>
      <c r="U868" s="69"/>
      <c r="V868" s="69"/>
      <c r="AR868" s="74">
        <f t="shared" si="84"/>
        <v>3869.25</v>
      </c>
      <c r="AS868" s="69">
        <v>2696.17</v>
      </c>
      <c r="AT868" s="69">
        <f>21.7+69.13</f>
        <v>90.83</v>
      </c>
      <c r="AU868" s="69">
        <f>1173.08-21.7-150-69.13</f>
        <v>932.24999999999989</v>
      </c>
      <c r="AV868" s="69">
        <v>150</v>
      </c>
      <c r="BC868" s="69"/>
      <c r="BD868" s="69"/>
      <c r="CC868" s="74">
        <f t="shared" si="81"/>
        <v>3869.25</v>
      </c>
      <c r="CD868" s="73">
        <f t="shared" si="83"/>
        <v>0</v>
      </c>
      <c r="CE868" s="75">
        <f t="shared" si="82"/>
        <v>9197</v>
      </c>
      <c r="CF868" s="3" t="str">
        <f t="shared" si="82"/>
        <v>خ ت صيدلة</v>
      </c>
    </row>
    <row r="869" spans="3:91" x14ac:dyDescent="0.25">
      <c r="C869" s="82">
        <v>13753</v>
      </c>
      <c r="D869" s="70">
        <v>9198</v>
      </c>
      <c r="E869" s="69" t="s">
        <v>132</v>
      </c>
      <c r="F869" s="69" t="s">
        <v>1566</v>
      </c>
      <c r="I869" s="69">
        <v>2975</v>
      </c>
      <c r="U869" s="69"/>
      <c r="V869" s="69"/>
      <c r="AR869" s="74">
        <f t="shared" si="84"/>
        <v>2975</v>
      </c>
      <c r="AS869" s="69">
        <v>2754.35</v>
      </c>
      <c r="AT869" s="69">
        <f>47+141+0.9</f>
        <v>188.9</v>
      </c>
      <c r="BC869" s="69"/>
      <c r="BD869" s="69"/>
      <c r="BF869" s="69">
        <v>29.75</v>
      </c>
      <c r="BG869" s="69">
        <v>2</v>
      </c>
      <c r="CC869" s="74">
        <f t="shared" si="81"/>
        <v>2975</v>
      </c>
      <c r="CD869" s="73">
        <f t="shared" si="83"/>
        <v>0</v>
      </c>
      <c r="CE869" s="75">
        <f t="shared" si="82"/>
        <v>9198</v>
      </c>
      <c r="CF869" s="3" t="str">
        <f t="shared" si="82"/>
        <v>صيدلة اكلينيكى</v>
      </c>
    </row>
    <row r="870" spans="3:91" x14ac:dyDescent="0.25">
      <c r="C870" s="82">
        <v>10993</v>
      </c>
      <c r="D870" s="70">
        <v>9199</v>
      </c>
      <c r="E870" s="69" t="s">
        <v>78</v>
      </c>
      <c r="F870" s="69" t="s">
        <v>1567</v>
      </c>
      <c r="I870" s="69">
        <v>498000</v>
      </c>
      <c r="U870" s="69"/>
      <c r="V870" s="69"/>
      <c r="AR870" s="74">
        <f t="shared" si="84"/>
        <v>498000</v>
      </c>
      <c r="AS870" s="69">
        <v>451580.35</v>
      </c>
      <c r="AT870" s="69">
        <f>2944.95+8834.85+36+50</f>
        <v>11865.8</v>
      </c>
      <c r="AV870" s="69">
        <v>10</v>
      </c>
      <c r="BC870" s="69"/>
      <c r="BD870" s="69"/>
      <c r="BE870" s="69">
        <v>249</v>
      </c>
      <c r="BF870" s="69">
        <v>4742.8500000000004</v>
      </c>
      <c r="BG870" s="69">
        <v>80</v>
      </c>
      <c r="BH870" s="69">
        <f>2061.24+74.76+74.76+2061.24</f>
        <v>4272</v>
      </c>
      <c r="BI870" s="69">
        <v>24900</v>
      </c>
      <c r="CB870" s="69">
        <v>300</v>
      </c>
      <c r="CC870" s="74">
        <f t="shared" si="81"/>
        <v>497999.99999999994</v>
      </c>
      <c r="CD870" s="73">
        <f t="shared" si="83"/>
        <v>0</v>
      </c>
      <c r="CE870" s="75">
        <f t="shared" si="82"/>
        <v>9199</v>
      </c>
      <c r="CF870" s="3" t="str">
        <f t="shared" si="82"/>
        <v>برنامج دولى</v>
      </c>
    </row>
    <row r="871" spans="3:91" x14ac:dyDescent="0.25">
      <c r="C871" s="82">
        <v>10992</v>
      </c>
      <c r="D871" s="70">
        <v>9200</v>
      </c>
      <c r="E871" s="69" t="s">
        <v>78</v>
      </c>
      <c r="F871" s="69" t="s">
        <v>1568</v>
      </c>
      <c r="I871" s="69">
        <v>248400</v>
      </c>
      <c r="U871" s="69"/>
      <c r="V871" s="69"/>
      <c r="AR871" s="74">
        <f t="shared" si="84"/>
        <v>248400</v>
      </c>
      <c r="AS871" s="69">
        <v>223686.39999999999</v>
      </c>
      <c r="AT871" s="69">
        <f>1518.68+4555.9+80</f>
        <v>6154.58</v>
      </c>
      <c r="AV871" s="69">
        <v>5</v>
      </c>
      <c r="BC871" s="69"/>
      <c r="BD871" s="69"/>
      <c r="BE871" s="69">
        <v>118.28</v>
      </c>
      <c r="BF871" s="69">
        <v>2365.6999999999998</v>
      </c>
      <c r="BG871" s="69">
        <v>70</v>
      </c>
      <c r="BH871" s="69">
        <f>1027.75+37.27+1027.75+37.27</f>
        <v>2130.04</v>
      </c>
      <c r="BI871" s="69">
        <v>12420</v>
      </c>
      <c r="CB871" s="69">
        <f>500+500+450</f>
        <v>1450</v>
      </c>
      <c r="CC871" s="74">
        <f t="shared" si="81"/>
        <v>248400</v>
      </c>
      <c r="CD871" s="73">
        <f t="shared" si="83"/>
        <v>0</v>
      </c>
      <c r="CE871" s="75">
        <f t="shared" si="82"/>
        <v>9200</v>
      </c>
      <c r="CF871" s="3" t="str">
        <f t="shared" si="82"/>
        <v>برنامج دولى</v>
      </c>
    </row>
    <row r="872" spans="3:91" s="68" customFormat="1" x14ac:dyDescent="0.25">
      <c r="C872" s="83"/>
      <c r="D872" s="84"/>
      <c r="F872" s="68" t="s">
        <v>1569</v>
      </c>
      <c r="H872" s="68">
        <f>SUM(H579:H871)</f>
        <v>2632019.1400000011</v>
      </c>
      <c r="I872" s="68">
        <f t="shared" ref="I872:BT872" si="85">SUM(I579:I871)</f>
        <v>2495872.77</v>
      </c>
      <c r="J872" s="68">
        <f t="shared" si="85"/>
        <v>0</v>
      </c>
      <c r="K872" s="68">
        <f t="shared" si="85"/>
        <v>0</v>
      </c>
      <c r="L872" s="68">
        <f t="shared" si="85"/>
        <v>932879.94</v>
      </c>
      <c r="M872" s="68">
        <f t="shared" si="85"/>
        <v>932879.94</v>
      </c>
      <c r="N872" s="68">
        <f t="shared" si="85"/>
        <v>932879.94</v>
      </c>
      <c r="O872" s="68">
        <f t="shared" si="85"/>
        <v>0</v>
      </c>
      <c r="P872" s="68">
        <f t="shared" si="85"/>
        <v>47000</v>
      </c>
      <c r="Q872" s="68">
        <f t="shared" si="85"/>
        <v>0</v>
      </c>
      <c r="R872" s="68">
        <f t="shared" si="85"/>
        <v>0</v>
      </c>
      <c r="S872" s="68">
        <f t="shared" si="85"/>
        <v>0</v>
      </c>
      <c r="T872" s="68">
        <f t="shared" si="85"/>
        <v>0</v>
      </c>
      <c r="U872" s="68">
        <f t="shared" si="85"/>
        <v>0</v>
      </c>
      <c r="V872" s="68">
        <f t="shared" si="85"/>
        <v>0</v>
      </c>
      <c r="W872" s="68">
        <f t="shared" si="85"/>
        <v>0</v>
      </c>
      <c r="X872" s="68">
        <f t="shared" si="85"/>
        <v>38000.25</v>
      </c>
      <c r="Y872" s="68">
        <f t="shared" si="85"/>
        <v>0</v>
      </c>
      <c r="Z872" s="68">
        <f t="shared" si="85"/>
        <v>0</v>
      </c>
      <c r="AA872" s="68">
        <f t="shared" si="85"/>
        <v>0</v>
      </c>
      <c r="AB872" s="68">
        <f t="shared" si="85"/>
        <v>5000</v>
      </c>
      <c r="AC872" s="68">
        <f t="shared" si="85"/>
        <v>0</v>
      </c>
      <c r="AD872" s="68">
        <f t="shared" si="85"/>
        <v>63834.64</v>
      </c>
      <c r="AE872" s="68">
        <f t="shared" si="85"/>
        <v>0</v>
      </c>
      <c r="AF872" s="68">
        <f t="shared" si="85"/>
        <v>0</v>
      </c>
      <c r="AG872" s="68">
        <f t="shared" si="85"/>
        <v>0</v>
      </c>
      <c r="AH872" s="68">
        <f t="shared" si="85"/>
        <v>0</v>
      </c>
      <c r="AI872" s="68">
        <f t="shared" si="85"/>
        <v>0</v>
      </c>
      <c r="AJ872" s="68">
        <f t="shared" si="85"/>
        <v>0</v>
      </c>
      <c r="AK872" s="68">
        <f t="shared" si="85"/>
        <v>0</v>
      </c>
      <c r="AL872" s="68">
        <f t="shared" si="85"/>
        <v>0</v>
      </c>
      <c r="AM872" s="68">
        <f t="shared" si="85"/>
        <v>0</v>
      </c>
      <c r="AN872" s="68">
        <f t="shared" si="85"/>
        <v>0</v>
      </c>
      <c r="AO872" s="68">
        <f t="shared" si="85"/>
        <v>0</v>
      </c>
      <c r="AP872" s="68">
        <f t="shared" si="85"/>
        <v>0</v>
      </c>
      <c r="AQ872" s="68">
        <f t="shared" si="85"/>
        <v>0</v>
      </c>
      <c r="AR872" s="57">
        <f t="shared" si="85"/>
        <v>8080366.6199999964</v>
      </c>
      <c r="AS872" s="68">
        <f t="shared" si="85"/>
        <v>5199169.1100000013</v>
      </c>
      <c r="AT872" s="68">
        <f t="shared" si="85"/>
        <v>324422.70000000013</v>
      </c>
      <c r="AU872" s="68">
        <f t="shared" si="85"/>
        <v>460481.2100000002</v>
      </c>
      <c r="AV872" s="68">
        <f t="shared" si="85"/>
        <v>14964</v>
      </c>
      <c r="AW872" s="68">
        <f t="shared" si="85"/>
        <v>520</v>
      </c>
      <c r="AX872" s="68">
        <f t="shared" si="85"/>
        <v>0</v>
      </c>
      <c r="AY872" s="68">
        <f t="shared" si="85"/>
        <v>0</v>
      </c>
      <c r="AZ872" s="68">
        <f t="shared" si="85"/>
        <v>0</v>
      </c>
      <c r="BA872" s="68">
        <f t="shared" si="85"/>
        <v>0</v>
      </c>
      <c r="BB872" s="68">
        <f t="shared" si="85"/>
        <v>0</v>
      </c>
      <c r="BC872" s="68">
        <f t="shared" si="85"/>
        <v>0</v>
      </c>
      <c r="BD872" s="68">
        <f t="shared" si="85"/>
        <v>0</v>
      </c>
      <c r="BE872" s="68">
        <f t="shared" si="85"/>
        <v>367.28</v>
      </c>
      <c r="BF872" s="68">
        <f t="shared" si="85"/>
        <v>32151.899999999998</v>
      </c>
      <c r="BG872" s="68">
        <f t="shared" si="85"/>
        <v>1492</v>
      </c>
      <c r="BH872" s="68">
        <f t="shared" si="85"/>
        <v>17149.54</v>
      </c>
      <c r="BI872" s="68">
        <f t="shared" si="85"/>
        <v>60709</v>
      </c>
      <c r="BJ872" s="68">
        <f t="shared" si="85"/>
        <v>36882</v>
      </c>
      <c r="BK872" s="68">
        <f t="shared" si="85"/>
        <v>932879.94</v>
      </c>
      <c r="BL872" s="68">
        <f t="shared" si="85"/>
        <v>932879.94</v>
      </c>
      <c r="BM872" s="68">
        <f t="shared" si="85"/>
        <v>0</v>
      </c>
      <c r="BN872" s="68">
        <f t="shared" si="85"/>
        <v>47000</v>
      </c>
      <c r="BO872" s="68">
        <f t="shared" si="85"/>
        <v>0</v>
      </c>
      <c r="BP872" s="68">
        <f t="shared" si="85"/>
        <v>0</v>
      </c>
      <c r="BQ872" s="68">
        <f t="shared" si="85"/>
        <v>5000</v>
      </c>
      <c r="BR872" s="68">
        <f t="shared" si="85"/>
        <v>0</v>
      </c>
      <c r="BS872" s="68">
        <f t="shared" si="85"/>
        <v>0</v>
      </c>
      <c r="BT872" s="68">
        <f t="shared" si="85"/>
        <v>0</v>
      </c>
      <c r="BU872" s="68">
        <f t="shared" ref="BU872:CM872" si="86">SUM(BU579:BU871)</f>
        <v>0</v>
      </c>
      <c r="BV872" s="68">
        <f t="shared" si="86"/>
        <v>0</v>
      </c>
      <c r="BW872" s="68">
        <f t="shared" si="86"/>
        <v>0</v>
      </c>
      <c r="BX872" s="68">
        <f t="shared" si="86"/>
        <v>0</v>
      </c>
      <c r="BY872" s="68">
        <f t="shared" si="86"/>
        <v>0</v>
      </c>
      <c r="BZ872" s="68">
        <f t="shared" si="86"/>
        <v>0</v>
      </c>
      <c r="CA872" s="68">
        <f t="shared" si="86"/>
        <v>0</v>
      </c>
      <c r="CB872" s="68">
        <f t="shared" si="86"/>
        <v>14298</v>
      </c>
      <c r="CC872" s="57">
        <f t="shared" si="86"/>
        <v>8080366.6199999964</v>
      </c>
      <c r="CD872" s="68">
        <f t="shared" si="86"/>
        <v>0</v>
      </c>
      <c r="CF872" s="29">
        <f t="shared" si="86"/>
        <v>0</v>
      </c>
      <c r="CG872" s="68">
        <f t="shared" si="86"/>
        <v>0</v>
      </c>
      <c r="CH872" s="68">
        <f t="shared" si="86"/>
        <v>0</v>
      </c>
      <c r="CI872" s="68">
        <f t="shared" si="86"/>
        <v>0</v>
      </c>
      <c r="CJ872" s="68">
        <f t="shared" si="86"/>
        <v>0</v>
      </c>
      <c r="CK872" s="68">
        <f t="shared" si="86"/>
        <v>0</v>
      </c>
      <c r="CL872" s="68">
        <f t="shared" si="86"/>
        <v>0</v>
      </c>
      <c r="CM872" s="68">
        <f t="shared" si="86"/>
        <v>0</v>
      </c>
    </row>
    <row r="873" spans="3:91" x14ac:dyDescent="0.25">
      <c r="C873" s="82">
        <v>7434</v>
      </c>
      <c r="D873" s="70">
        <v>9201</v>
      </c>
      <c r="E873" s="69" t="s">
        <v>121</v>
      </c>
      <c r="F873" s="69" t="s">
        <v>906</v>
      </c>
      <c r="G873" s="63" t="s">
        <v>220</v>
      </c>
      <c r="H873" s="69">
        <v>6367.87</v>
      </c>
      <c r="U873" s="69"/>
      <c r="V873" s="69"/>
      <c r="AR873" s="74">
        <f t="shared" si="84"/>
        <v>6367.87</v>
      </c>
      <c r="AS873" s="69">
        <v>4789.1499999999996</v>
      </c>
      <c r="AT873" s="69">
        <v>38.299999999999997</v>
      </c>
      <c r="AU873" s="69">
        <f>1317.3+217.4</f>
        <v>1534.7</v>
      </c>
      <c r="AV873" s="69">
        <f>3+2.72</f>
        <v>5.7200000000000006</v>
      </c>
      <c r="BC873" s="69"/>
      <c r="BD873" s="69"/>
      <c r="CC873" s="74">
        <f t="shared" ref="CC873:CC912" si="87">SUM(AS873:CB873)</f>
        <v>6367.87</v>
      </c>
      <c r="CD873" s="73">
        <f t="shared" ref="CD873:CD936" si="88">+CC873-AR873</f>
        <v>0</v>
      </c>
      <c r="CE873" s="75">
        <f t="shared" ref="CE873:CF912" si="89">+D873</f>
        <v>9201</v>
      </c>
      <c r="CF873" s="3" t="str">
        <f t="shared" si="89"/>
        <v>ماليزى اسنان</v>
      </c>
    </row>
    <row r="874" spans="3:91" x14ac:dyDescent="0.25">
      <c r="C874" s="82">
        <v>7428</v>
      </c>
      <c r="D874" s="70">
        <v>9202</v>
      </c>
      <c r="E874" s="69" t="s">
        <v>121</v>
      </c>
      <c r="F874" s="69" t="s">
        <v>906</v>
      </c>
      <c r="G874" s="63" t="s">
        <v>220</v>
      </c>
      <c r="H874" s="69">
        <v>13240.8</v>
      </c>
      <c r="U874" s="69"/>
      <c r="V874" s="69"/>
      <c r="AR874" s="74">
        <f t="shared" si="84"/>
        <v>13240.8</v>
      </c>
      <c r="AS874" s="69">
        <v>9633.06</v>
      </c>
      <c r="AT874" s="69">
        <v>79.5</v>
      </c>
      <c r="AU874" s="69">
        <f>2739+451.9+16</f>
        <v>3206.9</v>
      </c>
      <c r="AV874" s="69">
        <f>314.83+5.64</f>
        <v>320.46999999999997</v>
      </c>
      <c r="BC874" s="69"/>
      <c r="BD874" s="69"/>
      <c r="CB874" s="69">
        <v>0.87</v>
      </c>
      <c r="CC874" s="74">
        <f t="shared" si="87"/>
        <v>13240.8</v>
      </c>
      <c r="CD874" s="73">
        <f t="shared" si="88"/>
        <v>0</v>
      </c>
      <c r="CE874" s="75">
        <f t="shared" si="89"/>
        <v>9202</v>
      </c>
      <c r="CF874" s="3" t="str">
        <f t="shared" si="89"/>
        <v>ماليزى اسنان</v>
      </c>
    </row>
    <row r="875" spans="3:91" x14ac:dyDescent="0.25">
      <c r="C875" s="82">
        <v>7429</v>
      </c>
      <c r="D875" s="70">
        <v>9202</v>
      </c>
      <c r="E875" s="69" t="s">
        <v>121</v>
      </c>
      <c r="F875" s="69" t="s">
        <v>906</v>
      </c>
      <c r="G875" s="63" t="s">
        <v>220</v>
      </c>
      <c r="H875" s="69">
        <v>6400.85</v>
      </c>
      <c r="U875" s="69"/>
      <c r="V875" s="69"/>
      <c r="AR875" s="74">
        <f t="shared" si="84"/>
        <v>6400.85</v>
      </c>
      <c r="AS875" s="69">
        <v>4635.71</v>
      </c>
      <c r="AT875" s="69">
        <v>38.5</v>
      </c>
      <c r="AU875" s="69">
        <f>1324+218.4</f>
        <v>1542.4</v>
      </c>
      <c r="AV875" s="69">
        <f>179.72+2.73</f>
        <v>182.45</v>
      </c>
      <c r="BC875" s="69"/>
      <c r="BD875" s="69"/>
      <c r="CB875" s="69">
        <v>1.79</v>
      </c>
      <c r="CC875" s="74">
        <f t="shared" ref="CC875" si="90">SUM(AS875:CB875)</f>
        <v>6400.85</v>
      </c>
      <c r="CD875" s="73">
        <f t="shared" si="88"/>
        <v>0</v>
      </c>
      <c r="CE875" s="75">
        <f t="shared" si="89"/>
        <v>9202</v>
      </c>
      <c r="CF875" s="3" t="str">
        <f t="shared" si="89"/>
        <v>ماليزى اسنان</v>
      </c>
    </row>
    <row r="876" spans="3:91" x14ac:dyDescent="0.25">
      <c r="C876" s="82">
        <v>7431</v>
      </c>
      <c r="D876" s="70">
        <v>9203</v>
      </c>
      <c r="E876" s="69" t="s">
        <v>121</v>
      </c>
      <c r="F876" s="69" t="s">
        <v>906</v>
      </c>
      <c r="G876" s="63" t="s">
        <v>220</v>
      </c>
      <c r="H876" s="69">
        <v>6367.87</v>
      </c>
      <c r="U876" s="69"/>
      <c r="V876" s="69"/>
      <c r="AR876" s="74">
        <f t="shared" si="84"/>
        <v>6367.87</v>
      </c>
      <c r="AS876" s="69">
        <v>4702.1499999999996</v>
      </c>
      <c r="AT876" s="69">
        <v>38.299999999999997</v>
      </c>
      <c r="AU876" s="69">
        <f>1317.3+217.4</f>
        <v>1534.7</v>
      </c>
      <c r="AV876" s="69">
        <f>89.13+2.72</f>
        <v>91.85</v>
      </c>
      <c r="BC876" s="69"/>
      <c r="BD876" s="69"/>
      <c r="CB876" s="69">
        <v>0.87</v>
      </c>
      <c r="CC876" s="74">
        <f t="shared" si="87"/>
        <v>6367.87</v>
      </c>
      <c r="CD876" s="73">
        <f t="shared" si="88"/>
        <v>0</v>
      </c>
      <c r="CE876" s="75">
        <f t="shared" si="89"/>
        <v>9203</v>
      </c>
      <c r="CF876" s="3" t="str">
        <f t="shared" si="89"/>
        <v>ماليزى اسنان</v>
      </c>
    </row>
    <row r="877" spans="3:91" x14ac:dyDescent="0.25">
      <c r="C877" s="82">
        <v>7432</v>
      </c>
      <c r="D877" s="70">
        <v>9203</v>
      </c>
      <c r="E877" s="69" t="s">
        <v>121</v>
      </c>
      <c r="F877" s="69" t="s">
        <v>906</v>
      </c>
      <c r="G877" s="63" t="s">
        <v>220</v>
      </c>
      <c r="H877" s="69">
        <v>6367.87</v>
      </c>
      <c r="U877" s="69"/>
      <c r="V877" s="69"/>
      <c r="AR877" s="74">
        <f t="shared" si="84"/>
        <v>6367.87</v>
      </c>
      <c r="AS877" s="69">
        <v>4789.1499999999996</v>
      </c>
      <c r="AT877" s="69">
        <v>38.299999999999997</v>
      </c>
      <c r="AU877" s="69">
        <f>1317.3+217.4</f>
        <v>1534.7</v>
      </c>
      <c r="AV877" s="69">
        <f>3+2.72</f>
        <v>5.7200000000000006</v>
      </c>
      <c r="BC877" s="69"/>
      <c r="BD877" s="69"/>
      <c r="CC877" s="74">
        <f t="shared" si="87"/>
        <v>6367.87</v>
      </c>
      <c r="CD877" s="73">
        <f t="shared" si="88"/>
        <v>0</v>
      </c>
      <c r="CE877" s="75">
        <f t="shared" si="89"/>
        <v>9203</v>
      </c>
      <c r="CF877" s="3" t="str">
        <f t="shared" si="89"/>
        <v>ماليزى اسنان</v>
      </c>
    </row>
    <row r="878" spans="3:91" x14ac:dyDescent="0.25">
      <c r="C878" s="82">
        <v>7433</v>
      </c>
      <c r="D878" s="70">
        <v>9203</v>
      </c>
      <c r="E878" s="69" t="s">
        <v>121</v>
      </c>
      <c r="F878" s="69" t="s">
        <v>906</v>
      </c>
      <c r="G878" s="63" t="s">
        <v>220</v>
      </c>
      <c r="H878" s="69">
        <v>12782.46</v>
      </c>
      <c r="U878" s="69"/>
      <c r="V878" s="69"/>
      <c r="AR878" s="74">
        <f t="shared" si="84"/>
        <v>12782.46</v>
      </c>
      <c r="AS878" s="69">
        <v>9395.85</v>
      </c>
      <c r="AT878" s="69">
        <v>76.849999999999994</v>
      </c>
      <c r="AU878" s="69">
        <f>2644.4+436.4</f>
        <v>3080.8</v>
      </c>
      <c r="AV878" s="69">
        <f>221.33+5.45</f>
        <v>226.78</v>
      </c>
      <c r="BC878" s="69"/>
      <c r="BD878" s="69"/>
      <c r="CB878" s="69">
        <v>2.1800000000000002</v>
      </c>
      <c r="CC878" s="74">
        <f t="shared" si="87"/>
        <v>12782.460000000001</v>
      </c>
      <c r="CD878" s="73">
        <f t="shared" si="88"/>
        <v>0</v>
      </c>
      <c r="CE878" s="75">
        <f t="shared" si="89"/>
        <v>9203</v>
      </c>
      <c r="CF878" s="3" t="str">
        <f t="shared" si="89"/>
        <v>ماليزى اسنان</v>
      </c>
    </row>
    <row r="879" spans="3:91" x14ac:dyDescent="0.25">
      <c r="C879" s="82">
        <v>7435</v>
      </c>
      <c r="D879" s="70">
        <v>9204</v>
      </c>
      <c r="E879" s="69" t="s">
        <v>121</v>
      </c>
      <c r="F879" s="69" t="s">
        <v>906</v>
      </c>
      <c r="G879" s="63" t="s">
        <v>220</v>
      </c>
      <c r="H879" s="69">
        <v>38720.82</v>
      </c>
      <c r="U879" s="69"/>
      <c r="V879" s="69"/>
      <c r="AR879" s="74">
        <f t="shared" si="84"/>
        <v>38720.82</v>
      </c>
      <c r="AS879" s="69">
        <v>29121.72</v>
      </c>
      <c r="AT879" s="69">
        <v>232.8</v>
      </c>
      <c r="AU879" s="69">
        <f>8010+1321.8</f>
        <v>9331.7999999999993</v>
      </c>
      <c r="AV879" s="69">
        <f>18+16.5</f>
        <v>34.5</v>
      </c>
      <c r="BC879" s="69"/>
      <c r="BD879" s="69"/>
      <c r="CC879" s="74">
        <f t="shared" si="87"/>
        <v>38720.82</v>
      </c>
      <c r="CD879" s="73">
        <f t="shared" si="88"/>
        <v>0</v>
      </c>
      <c r="CE879" s="75">
        <f t="shared" si="89"/>
        <v>9204</v>
      </c>
      <c r="CF879" s="3" t="str">
        <f t="shared" si="89"/>
        <v>ماليزى اسنان</v>
      </c>
    </row>
    <row r="880" spans="3:91" x14ac:dyDescent="0.25">
      <c r="C880" s="82">
        <v>7430</v>
      </c>
      <c r="D880" s="70">
        <v>9205</v>
      </c>
      <c r="E880" s="69" t="s">
        <v>121</v>
      </c>
      <c r="F880" s="69" t="s">
        <v>906</v>
      </c>
      <c r="G880" s="63" t="s">
        <v>220</v>
      </c>
      <c r="H880" s="69">
        <v>353635.96</v>
      </c>
      <c r="U880" s="69"/>
      <c r="V880" s="69"/>
      <c r="AR880" s="74">
        <f t="shared" si="84"/>
        <v>353635.96</v>
      </c>
      <c r="AS880" s="69">
        <v>264399.95</v>
      </c>
      <c r="AT880" s="69">
        <f>260+2126.85</f>
        <v>2386.85</v>
      </c>
      <c r="AU880" s="69">
        <f>73154.9+12070.4</f>
        <v>85225.299999999988</v>
      </c>
      <c r="AV880" s="69">
        <f>1460.01+150.74</f>
        <v>1610.75</v>
      </c>
      <c r="BC880" s="69"/>
      <c r="BD880" s="69"/>
      <c r="CB880" s="69">
        <v>13.11</v>
      </c>
      <c r="CC880" s="74">
        <f t="shared" si="87"/>
        <v>353635.95999999996</v>
      </c>
      <c r="CD880" s="73">
        <f t="shared" si="88"/>
        <v>0</v>
      </c>
      <c r="CE880" s="75">
        <f t="shared" si="89"/>
        <v>9205</v>
      </c>
      <c r="CF880" s="3" t="str">
        <f t="shared" si="89"/>
        <v>ماليزى اسنان</v>
      </c>
    </row>
    <row r="881" spans="2:89" x14ac:dyDescent="0.25">
      <c r="C881" s="82">
        <v>7528</v>
      </c>
      <c r="D881" s="70">
        <v>9206</v>
      </c>
      <c r="E881" s="69" t="s">
        <v>121</v>
      </c>
      <c r="F881" s="69" t="s">
        <v>906</v>
      </c>
      <c r="G881" s="63" t="s">
        <v>220</v>
      </c>
      <c r="H881" s="69">
        <v>6269.65</v>
      </c>
      <c r="U881" s="69"/>
      <c r="V881" s="69"/>
      <c r="AR881" s="74">
        <f t="shared" si="84"/>
        <v>6269.65</v>
      </c>
      <c r="AS881" s="69">
        <v>3617.53</v>
      </c>
      <c r="AT881" s="69">
        <v>36.1</v>
      </c>
      <c r="AU881" s="69">
        <f>1296.9+214</f>
        <v>1510.9</v>
      </c>
      <c r="AV881" s="69">
        <f>3+2.12</f>
        <v>5.12</v>
      </c>
      <c r="AW881" s="69">
        <f>650+450</f>
        <v>1100</v>
      </c>
      <c r="BC881" s="69"/>
      <c r="BD881" s="69"/>
      <c r="CC881" s="74">
        <f t="shared" si="87"/>
        <v>6269.6500000000005</v>
      </c>
      <c r="CD881" s="73">
        <f t="shared" si="88"/>
        <v>0</v>
      </c>
      <c r="CE881" s="75">
        <f t="shared" si="89"/>
        <v>9206</v>
      </c>
      <c r="CF881" s="3" t="str">
        <f t="shared" si="89"/>
        <v>ماليزى اسنان</v>
      </c>
    </row>
    <row r="882" spans="2:89" x14ac:dyDescent="0.25">
      <c r="C882" s="82">
        <v>7527</v>
      </c>
      <c r="D882" s="70">
        <v>9207</v>
      </c>
      <c r="E882" s="69" t="s">
        <v>121</v>
      </c>
      <c r="F882" s="69" t="s">
        <v>906</v>
      </c>
      <c r="G882" s="63" t="s">
        <v>220</v>
      </c>
      <c r="H882" s="69">
        <v>146912.68</v>
      </c>
      <c r="U882" s="69"/>
      <c r="V882" s="69"/>
      <c r="AR882" s="74">
        <f t="shared" si="84"/>
        <v>146912.68</v>
      </c>
      <c r="AS882" s="69">
        <v>84890.58</v>
      </c>
      <c r="AT882" s="69">
        <v>836.65</v>
      </c>
      <c r="AU882" s="69">
        <f>30389.9+5014</f>
        <v>35403.9</v>
      </c>
      <c r="AV882" s="69">
        <f>526.92+50.02</f>
        <v>576.93999999999994</v>
      </c>
      <c r="AW882" s="69">
        <f>14400+10800</f>
        <v>25200</v>
      </c>
      <c r="BC882" s="69"/>
      <c r="BD882" s="69"/>
      <c r="CB882" s="69">
        <v>4.6100000000000003</v>
      </c>
      <c r="CC882" s="74">
        <f t="shared" si="87"/>
        <v>146912.68</v>
      </c>
      <c r="CD882" s="73">
        <f t="shared" si="88"/>
        <v>0</v>
      </c>
      <c r="CE882" s="75">
        <f t="shared" si="89"/>
        <v>9207</v>
      </c>
      <c r="CF882" s="3" t="str">
        <f t="shared" si="89"/>
        <v>ماليزى اسنان</v>
      </c>
    </row>
    <row r="883" spans="2:89" x14ac:dyDescent="0.25">
      <c r="C883" s="82">
        <v>7529</v>
      </c>
      <c r="D883" s="70">
        <v>9208</v>
      </c>
      <c r="E883" s="69" t="s">
        <v>121</v>
      </c>
      <c r="F883" s="69" t="s">
        <v>906</v>
      </c>
      <c r="G883" s="63" t="s">
        <v>220</v>
      </c>
      <c r="H883" s="69">
        <v>6914.83</v>
      </c>
      <c r="U883" s="69"/>
      <c r="V883" s="69"/>
      <c r="AR883" s="74">
        <f t="shared" si="84"/>
        <v>6914.83</v>
      </c>
      <c r="AS883" s="69">
        <v>5180.29</v>
      </c>
      <c r="AT883" s="69">
        <f>20.69+41.6</f>
        <v>62.290000000000006</v>
      </c>
      <c r="AU883" s="69">
        <f>1430.3+236</f>
        <v>1666.3</v>
      </c>
      <c r="AV883" s="69">
        <f>3+2.95</f>
        <v>5.95</v>
      </c>
      <c r="BC883" s="69"/>
      <c r="BD883" s="69"/>
      <c r="CC883" s="74">
        <f t="shared" si="87"/>
        <v>6914.83</v>
      </c>
      <c r="CD883" s="73">
        <f t="shared" si="88"/>
        <v>0</v>
      </c>
      <c r="CE883" s="75">
        <f t="shared" si="89"/>
        <v>9208</v>
      </c>
      <c r="CF883" s="3" t="str">
        <f t="shared" si="89"/>
        <v>ماليزى اسنان</v>
      </c>
    </row>
    <row r="884" spans="2:89" x14ac:dyDescent="0.25">
      <c r="B884" s="69" t="s">
        <v>1570</v>
      </c>
      <c r="C884" s="82"/>
      <c r="D884" s="70">
        <v>9209</v>
      </c>
      <c r="E884" s="69" t="s">
        <v>1431</v>
      </c>
      <c r="F884" s="77" t="s">
        <v>899</v>
      </c>
      <c r="U884" s="69"/>
      <c r="V884" s="69"/>
      <c r="AR884" s="74">
        <f t="shared" si="84"/>
        <v>0</v>
      </c>
      <c r="AT884" s="69"/>
      <c r="BC884" s="69"/>
      <c r="BD884" s="69"/>
      <c r="CC884" s="74">
        <f t="shared" si="87"/>
        <v>0</v>
      </c>
      <c r="CD884" s="73">
        <f t="shared" si="88"/>
        <v>0</v>
      </c>
      <c r="CE884" s="75">
        <f t="shared" si="89"/>
        <v>9209</v>
      </c>
      <c r="CF884" s="3" t="str">
        <f t="shared" si="89"/>
        <v>لاب فقط</v>
      </c>
    </row>
    <row r="885" spans="2:89" x14ac:dyDescent="0.25">
      <c r="C885" s="82">
        <v>7568</v>
      </c>
      <c r="D885" s="70">
        <v>9210</v>
      </c>
      <c r="E885" s="69" t="s">
        <v>78</v>
      </c>
      <c r="F885" s="69" t="s">
        <v>1571</v>
      </c>
      <c r="G885" s="63" t="s">
        <v>220</v>
      </c>
      <c r="H885" s="69">
        <v>9268.69</v>
      </c>
      <c r="U885" s="69"/>
      <c r="V885" s="69"/>
      <c r="AR885" s="74">
        <f t="shared" si="84"/>
        <v>9268.69</v>
      </c>
      <c r="AS885" s="69">
        <v>6840.2</v>
      </c>
      <c r="AT885" s="69">
        <v>54.4</v>
      </c>
      <c r="AU885" s="69">
        <f>1917.2+316.3</f>
        <v>2233.5</v>
      </c>
      <c r="AV885" s="69">
        <f>136.64+3.95</f>
        <v>140.58999999999997</v>
      </c>
      <c r="BC885" s="69"/>
      <c r="BD885" s="69"/>
      <c r="CC885" s="74">
        <f t="shared" si="87"/>
        <v>9268.6899999999987</v>
      </c>
      <c r="CD885" s="73">
        <f t="shared" si="88"/>
        <v>0</v>
      </c>
      <c r="CE885" s="75">
        <f t="shared" si="89"/>
        <v>9210</v>
      </c>
      <c r="CF885" s="3" t="str">
        <f t="shared" si="89"/>
        <v>برنامج دولى</v>
      </c>
    </row>
    <row r="886" spans="2:89" x14ac:dyDescent="0.25">
      <c r="C886" s="82">
        <v>7567</v>
      </c>
      <c r="D886" s="70">
        <v>9211</v>
      </c>
      <c r="E886" s="69" t="s">
        <v>78</v>
      </c>
      <c r="F886" s="69" t="s">
        <v>1571</v>
      </c>
      <c r="G886" s="63" t="s">
        <v>220</v>
      </c>
      <c r="H886" s="69">
        <v>2518.6999999999998</v>
      </c>
      <c r="U886" s="69"/>
      <c r="V886" s="69"/>
      <c r="AR886" s="74">
        <f t="shared" si="84"/>
        <v>2518.6999999999998</v>
      </c>
      <c r="AT886" s="69"/>
      <c r="AU886" s="69">
        <v>2518.6999999999998</v>
      </c>
      <c r="BC886" s="69"/>
      <c r="BD886" s="69"/>
      <c r="CC886" s="74">
        <f t="shared" si="87"/>
        <v>2518.6999999999998</v>
      </c>
      <c r="CD886" s="73">
        <f t="shared" si="88"/>
        <v>0</v>
      </c>
      <c r="CE886" s="75">
        <f t="shared" si="89"/>
        <v>9211</v>
      </c>
      <c r="CF886" s="3" t="str">
        <f t="shared" si="89"/>
        <v>برنامج دولى</v>
      </c>
    </row>
    <row r="887" spans="2:89" s="68" customFormat="1" x14ac:dyDescent="0.25">
      <c r="C887" s="83"/>
      <c r="D887" s="84"/>
      <c r="F887" s="68" t="s">
        <v>1572</v>
      </c>
      <c r="H887" s="68">
        <f>SUM(H873:H886)</f>
        <v>615769.04999999993</v>
      </c>
      <c r="I887" s="68">
        <f t="shared" ref="I887:BT887" si="91">SUM(I873:I886)</f>
        <v>0</v>
      </c>
      <c r="J887" s="68">
        <f t="shared" si="91"/>
        <v>0</v>
      </c>
      <c r="K887" s="68">
        <f t="shared" si="91"/>
        <v>0</v>
      </c>
      <c r="L887" s="68">
        <f t="shared" si="91"/>
        <v>0</v>
      </c>
      <c r="M887" s="68">
        <f t="shared" si="91"/>
        <v>0</v>
      </c>
      <c r="N887" s="68">
        <f t="shared" si="91"/>
        <v>0</v>
      </c>
      <c r="O887" s="68">
        <f t="shared" si="91"/>
        <v>0</v>
      </c>
      <c r="P887" s="68">
        <f t="shared" si="91"/>
        <v>0</v>
      </c>
      <c r="Q887" s="68">
        <f t="shared" si="91"/>
        <v>0</v>
      </c>
      <c r="R887" s="68">
        <f t="shared" si="91"/>
        <v>0</v>
      </c>
      <c r="S887" s="68">
        <f t="shared" si="91"/>
        <v>0</v>
      </c>
      <c r="T887" s="68">
        <f t="shared" si="91"/>
        <v>0</v>
      </c>
      <c r="U887" s="68">
        <f t="shared" si="91"/>
        <v>0</v>
      </c>
      <c r="V887" s="68">
        <f t="shared" si="91"/>
        <v>0</v>
      </c>
      <c r="W887" s="68">
        <f t="shared" si="91"/>
        <v>0</v>
      </c>
      <c r="X887" s="68">
        <f t="shared" si="91"/>
        <v>0</v>
      </c>
      <c r="Y887" s="68">
        <f t="shared" si="91"/>
        <v>0</v>
      </c>
      <c r="Z887" s="68">
        <f t="shared" si="91"/>
        <v>0</v>
      </c>
      <c r="AA887" s="68">
        <f t="shared" si="91"/>
        <v>0</v>
      </c>
      <c r="AB887" s="68">
        <f t="shared" si="91"/>
        <v>0</v>
      </c>
      <c r="AC887" s="68">
        <f t="shared" si="91"/>
        <v>0</v>
      </c>
      <c r="AD887" s="68">
        <f t="shared" si="91"/>
        <v>0</v>
      </c>
      <c r="AE887" s="68">
        <f t="shared" si="91"/>
        <v>0</v>
      </c>
      <c r="AF887" s="68">
        <f t="shared" si="91"/>
        <v>0</v>
      </c>
      <c r="AG887" s="68">
        <f t="shared" si="91"/>
        <v>0</v>
      </c>
      <c r="AH887" s="68">
        <f t="shared" si="91"/>
        <v>0</v>
      </c>
      <c r="AI887" s="68">
        <f t="shared" si="91"/>
        <v>0</v>
      </c>
      <c r="AJ887" s="68">
        <f t="shared" si="91"/>
        <v>0</v>
      </c>
      <c r="AK887" s="68">
        <f t="shared" si="91"/>
        <v>0</v>
      </c>
      <c r="AL887" s="68">
        <f t="shared" si="91"/>
        <v>0</v>
      </c>
      <c r="AM887" s="68">
        <f t="shared" si="91"/>
        <v>0</v>
      </c>
      <c r="AN887" s="68">
        <f t="shared" si="91"/>
        <v>0</v>
      </c>
      <c r="AO887" s="68">
        <f t="shared" si="91"/>
        <v>0</v>
      </c>
      <c r="AP887" s="68">
        <f t="shared" si="91"/>
        <v>0</v>
      </c>
      <c r="AQ887" s="68">
        <f t="shared" si="91"/>
        <v>0</v>
      </c>
      <c r="AR887" s="57">
        <f t="shared" si="91"/>
        <v>615769.04999999993</v>
      </c>
      <c r="AS887" s="68">
        <f t="shared" si="91"/>
        <v>431995.34</v>
      </c>
      <c r="AT887" s="68">
        <f t="shared" si="91"/>
        <v>3918.8399999999997</v>
      </c>
      <c r="AU887" s="68">
        <f t="shared" si="91"/>
        <v>150324.59999999998</v>
      </c>
      <c r="AV887" s="68">
        <f t="shared" si="91"/>
        <v>3206.8399999999997</v>
      </c>
      <c r="AW887" s="68">
        <f t="shared" si="91"/>
        <v>26300</v>
      </c>
      <c r="AX887" s="68">
        <f t="shared" si="91"/>
        <v>0</v>
      </c>
      <c r="AY887" s="68">
        <f t="shared" si="91"/>
        <v>0</v>
      </c>
      <c r="AZ887" s="68">
        <f t="shared" si="91"/>
        <v>0</v>
      </c>
      <c r="BA887" s="68">
        <f t="shared" si="91"/>
        <v>0</v>
      </c>
      <c r="BB887" s="68">
        <f t="shared" si="91"/>
        <v>0</v>
      </c>
      <c r="BC887" s="68">
        <f t="shared" si="91"/>
        <v>0</v>
      </c>
      <c r="BD887" s="68">
        <f t="shared" si="91"/>
        <v>0</v>
      </c>
      <c r="BE887" s="68">
        <f t="shared" si="91"/>
        <v>0</v>
      </c>
      <c r="BF887" s="68">
        <f t="shared" si="91"/>
        <v>0</v>
      </c>
      <c r="BG887" s="68">
        <f t="shared" si="91"/>
        <v>0</v>
      </c>
      <c r="BH887" s="68">
        <f t="shared" si="91"/>
        <v>0</v>
      </c>
      <c r="BI887" s="68">
        <f t="shared" si="91"/>
        <v>0</v>
      </c>
      <c r="BJ887" s="68">
        <f t="shared" si="91"/>
        <v>0</v>
      </c>
      <c r="BK887" s="68">
        <f t="shared" si="91"/>
        <v>0</v>
      </c>
      <c r="BL887" s="68">
        <f t="shared" si="91"/>
        <v>0</v>
      </c>
      <c r="BM887" s="68">
        <f t="shared" si="91"/>
        <v>0</v>
      </c>
      <c r="BN887" s="68">
        <f t="shared" si="91"/>
        <v>0</v>
      </c>
      <c r="BO887" s="68">
        <f t="shared" si="91"/>
        <v>0</v>
      </c>
      <c r="BP887" s="68">
        <f t="shared" si="91"/>
        <v>0</v>
      </c>
      <c r="BQ887" s="68">
        <f t="shared" si="91"/>
        <v>0</v>
      </c>
      <c r="BR887" s="68">
        <f t="shared" si="91"/>
        <v>0</v>
      </c>
      <c r="BS887" s="68">
        <f t="shared" si="91"/>
        <v>0</v>
      </c>
      <c r="BT887" s="68">
        <f t="shared" si="91"/>
        <v>0</v>
      </c>
      <c r="BU887" s="68">
        <f t="shared" ref="BU887:CK887" si="92">SUM(BU873:BU886)</f>
        <v>0</v>
      </c>
      <c r="BV887" s="68">
        <f t="shared" si="92"/>
        <v>0</v>
      </c>
      <c r="BW887" s="68">
        <f t="shared" si="92"/>
        <v>0</v>
      </c>
      <c r="BX887" s="68">
        <f t="shared" si="92"/>
        <v>0</v>
      </c>
      <c r="BY887" s="68">
        <f t="shared" si="92"/>
        <v>0</v>
      </c>
      <c r="BZ887" s="68">
        <f t="shared" si="92"/>
        <v>0</v>
      </c>
      <c r="CA887" s="68">
        <f t="shared" si="92"/>
        <v>0</v>
      </c>
      <c r="CB887" s="68">
        <f t="shared" si="92"/>
        <v>23.43</v>
      </c>
      <c r="CC887" s="57">
        <f t="shared" si="92"/>
        <v>615769.04999999981</v>
      </c>
      <c r="CD887" s="68">
        <f t="shared" si="92"/>
        <v>0</v>
      </c>
      <c r="CF887" s="68">
        <f t="shared" si="92"/>
        <v>0</v>
      </c>
      <c r="CG887" s="68">
        <f t="shared" si="92"/>
        <v>0</v>
      </c>
      <c r="CH887" s="68">
        <f t="shared" si="92"/>
        <v>0</v>
      </c>
      <c r="CI887" s="68">
        <f t="shared" si="92"/>
        <v>0</v>
      </c>
      <c r="CJ887" s="68">
        <f t="shared" si="92"/>
        <v>0</v>
      </c>
      <c r="CK887" s="68">
        <f t="shared" si="92"/>
        <v>0</v>
      </c>
    </row>
    <row r="888" spans="2:89" x14ac:dyDescent="0.25">
      <c r="C888" s="75">
        <v>15618</v>
      </c>
      <c r="D888" s="75">
        <v>9212</v>
      </c>
      <c r="E888" s="69" t="s">
        <v>78</v>
      </c>
      <c r="F888" s="69" t="s">
        <v>1573</v>
      </c>
      <c r="I888" s="69">
        <v>56000</v>
      </c>
      <c r="AB888" s="69">
        <v>56000</v>
      </c>
      <c r="AR888" s="74">
        <f t="shared" si="84"/>
        <v>112000</v>
      </c>
      <c r="AS888" s="69">
        <v>56000</v>
      </c>
      <c r="BQ888" s="69">
        <v>56000</v>
      </c>
      <c r="CC888" s="74">
        <f t="shared" ref="CC888" si="93">SUM(AS888:CB888)</f>
        <v>112000</v>
      </c>
      <c r="CD888" s="73">
        <f t="shared" ref="CD888" si="94">+CC888-AR888</f>
        <v>0</v>
      </c>
      <c r="CE888" s="75">
        <f t="shared" ref="CE888:CF888" si="95">+D888</f>
        <v>9212</v>
      </c>
      <c r="CF888" s="3" t="str">
        <f t="shared" si="95"/>
        <v>برنامج دولى</v>
      </c>
    </row>
    <row r="889" spans="2:89" x14ac:dyDescent="0.25">
      <c r="C889" s="82">
        <v>15022</v>
      </c>
      <c r="D889" s="70">
        <v>9213</v>
      </c>
      <c r="E889" s="69" t="s">
        <v>132</v>
      </c>
      <c r="F889" s="69" t="s">
        <v>1574</v>
      </c>
      <c r="H889" s="69">
        <v>1000</v>
      </c>
      <c r="U889" s="69"/>
      <c r="V889" s="69"/>
      <c r="AR889" s="74">
        <f t="shared" si="84"/>
        <v>1000</v>
      </c>
      <c r="AS889" s="69">
        <v>892.87</v>
      </c>
      <c r="AT889" s="69">
        <f>100+7.13</f>
        <v>107.13</v>
      </c>
      <c r="BC889" s="69"/>
      <c r="BD889" s="69"/>
      <c r="CC889" s="74">
        <f t="shared" si="87"/>
        <v>1000</v>
      </c>
      <c r="CD889" s="73">
        <f t="shared" si="88"/>
        <v>0</v>
      </c>
      <c r="CE889" s="75">
        <f t="shared" si="89"/>
        <v>9213</v>
      </c>
      <c r="CF889" s="3" t="str">
        <f t="shared" si="89"/>
        <v>صيدلة اكلينيكى</v>
      </c>
    </row>
    <row r="890" spans="2:89" x14ac:dyDescent="0.25">
      <c r="C890" s="82">
        <v>15025</v>
      </c>
      <c r="D890" s="70">
        <v>9214</v>
      </c>
      <c r="E890" s="69" t="s">
        <v>132</v>
      </c>
      <c r="F890" s="69" t="s">
        <v>1574</v>
      </c>
      <c r="H890" s="69">
        <v>3634.75</v>
      </c>
      <c r="U890" s="69"/>
      <c r="V890" s="69"/>
      <c r="AR890" s="74">
        <f t="shared" si="84"/>
        <v>3634.75</v>
      </c>
      <c r="AS890" s="69">
        <v>2431.5</v>
      </c>
      <c r="AT890" s="69">
        <v>327.5</v>
      </c>
      <c r="AU890" s="69">
        <v>875.75</v>
      </c>
      <c r="BC890" s="69"/>
      <c r="BD890" s="69"/>
      <c r="CC890" s="74">
        <f t="shared" si="87"/>
        <v>3634.75</v>
      </c>
      <c r="CD890" s="73">
        <f t="shared" si="88"/>
        <v>0</v>
      </c>
      <c r="CE890" s="75">
        <f t="shared" si="89"/>
        <v>9214</v>
      </c>
      <c r="CF890" s="3" t="str">
        <f t="shared" si="89"/>
        <v>صيدلة اكلينيكى</v>
      </c>
    </row>
    <row r="891" spans="2:89" x14ac:dyDescent="0.25">
      <c r="C891" s="82">
        <v>15024</v>
      </c>
      <c r="D891" s="70">
        <v>9215</v>
      </c>
      <c r="E891" s="69" t="s">
        <v>132</v>
      </c>
      <c r="F891" s="69" t="s">
        <v>1574</v>
      </c>
      <c r="H891" s="69">
        <v>1465.62</v>
      </c>
      <c r="U891" s="69"/>
      <c r="V891" s="69"/>
      <c r="AR891" s="74">
        <f t="shared" si="84"/>
        <v>1465.62</v>
      </c>
      <c r="AS891" s="69">
        <v>979.5</v>
      </c>
      <c r="AT891" s="69">
        <v>133</v>
      </c>
      <c r="AU891" s="69">
        <v>353.12</v>
      </c>
      <c r="BC891" s="69"/>
      <c r="BD891" s="69"/>
      <c r="CC891" s="74">
        <f t="shared" si="87"/>
        <v>1465.62</v>
      </c>
      <c r="CD891" s="73">
        <f t="shared" si="88"/>
        <v>0</v>
      </c>
      <c r="CE891" s="75">
        <f t="shared" si="89"/>
        <v>9215</v>
      </c>
      <c r="CF891" s="3" t="str">
        <f t="shared" si="89"/>
        <v>صيدلة اكلينيكى</v>
      </c>
    </row>
    <row r="892" spans="2:89" x14ac:dyDescent="0.25">
      <c r="C892" s="82">
        <v>15023</v>
      </c>
      <c r="D892" s="70">
        <v>9216</v>
      </c>
      <c r="E892" s="69" t="s">
        <v>132</v>
      </c>
      <c r="F892" s="69" t="s">
        <v>1574</v>
      </c>
      <c r="H892" s="69">
        <v>10530.37</v>
      </c>
      <c r="U892" s="69"/>
      <c r="V892" s="69"/>
      <c r="AR892" s="74">
        <f t="shared" si="84"/>
        <v>10530.37</v>
      </c>
      <c r="AS892" s="69">
        <v>7986.33</v>
      </c>
      <c r="AT892" s="69">
        <v>1020.4</v>
      </c>
      <c r="AU892" s="69">
        <v>1523.64</v>
      </c>
      <c r="BC892" s="69"/>
      <c r="BD892" s="69"/>
      <c r="CC892" s="74">
        <f t="shared" si="87"/>
        <v>10530.369999999999</v>
      </c>
      <c r="CD892" s="73">
        <f t="shared" si="88"/>
        <v>0</v>
      </c>
      <c r="CE892" s="75">
        <f t="shared" si="89"/>
        <v>9216</v>
      </c>
      <c r="CF892" s="3" t="str">
        <f t="shared" si="89"/>
        <v>صيدلة اكلينيكى</v>
      </c>
    </row>
    <row r="893" spans="2:89" x14ac:dyDescent="0.25">
      <c r="C893" s="82">
        <v>15045</v>
      </c>
      <c r="D893" s="70">
        <v>9217</v>
      </c>
      <c r="E893" s="69" t="s">
        <v>132</v>
      </c>
      <c r="F893" s="69" t="s">
        <v>1575</v>
      </c>
      <c r="H893" s="69">
        <v>9626.23</v>
      </c>
      <c r="U893" s="69"/>
      <c r="V893" s="69"/>
      <c r="AR893" s="74">
        <f t="shared" si="84"/>
        <v>9626.23</v>
      </c>
      <c r="AS893" s="69">
        <v>6438.2</v>
      </c>
      <c r="AT893" s="69">
        <f>47.7+821</f>
        <v>868.7</v>
      </c>
      <c r="AU893" s="69">
        <v>2319.33</v>
      </c>
      <c r="BC893" s="69"/>
      <c r="BD893" s="69"/>
      <c r="CC893" s="74">
        <f t="shared" si="87"/>
        <v>9626.23</v>
      </c>
      <c r="CD893" s="73">
        <f t="shared" si="88"/>
        <v>0</v>
      </c>
      <c r="CE893" s="75">
        <f t="shared" si="89"/>
        <v>9217</v>
      </c>
      <c r="CF893" s="3" t="str">
        <f t="shared" si="89"/>
        <v>صيدلة اكلينيكى</v>
      </c>
    </row>
    <row r="894" spans="2:89" x14ac:dyDescent="0.25">
      <c r="C894" s="82">
        <v>15032</v>
      </c>
      <c r="D894" s="70">
        <v>9218</v>
      </c>
      <c r="E894" s="69" t="s">
        <v>132</v>
      </c>
      <c r="F894" s="69" t="s">
        <v>1575</v>
      </c>
      <c r="H894" s="69">
        <v>9000</v>
      </c>
      <c r="U894" s="69"/>
      <c r="V894" s="69"/>
      <c r="AR894" s="74">
        <f t="shared" si="84"/>
        <v>9000</v>
      </c>
      <c r="AS894" s="69">
        <v>8033.55</v>
      </c>
      <c r="AT894" s="69">
        <v>966.45</v>
      </c>
      <c r="BC894" s="69"/>
      <c r="BD894" s="69"/>
      <c r="CC894" s="74">
        <f t="shared" si="87"/>
        <v>9000</v>
      </c>
      <c r="CD894" s="73">
        <f t="shared" si="88"/>
        <v>0</v>
      </c>
      <c r="CE894" s="75">
        <f t="shared" si="89"/>
        <v>9218</v>
      </c>
      <c r="CF894" s="3" t="str">
        <f t="shared" si="89"/>
        <v>صيدلة اكلينيكى</v>
      </c>
    </row>
    <row r="895" spans="2:89" x14ac:dyDescent="0.25">
      <c r="C895" s="82">
        <v>15033</v>
      </c>
      <c r="D895" s="70">
        <v>9219</v>
      </c>
      <c r="E895" s="69" t="s">
        <v>132</v>
      </c>
      <c r="F895" s="69" t="s">
        <v>1575</v>
      </c>
      <c r="H895" s="69">
        <v>4153.1000000000004</v>
      </c>
      <c r="U895" s="69"/>
      <c r="V895" s="69"/>
      <c r="AR895" s="74">
        <f t="shared" si="84"/>
        <v>4153.1000000000004</v>
      </c>
      <c r="AS895" s="69">
        <v>2863.3</v>
      </c>
      <c r="AT895" s="69">
        <v>384</v>
      </c>
      <c r="AU895" s="69">
        <v>905.8</v>
      </c>
      <c r="BC895" s="69"/>
      <c r="BD895" s="69"/>
      <c r="CC895" s="74">
        <f t="shared" si="87"/>
        <v>4153.1000000000004</v>
      </c>
      <c r="CD895" s="73">
        <f t="shared" si="88"/>
        <v>0</v>
      </c>
      <c r="CE895" s="75">
        <f t="shared" si="89"/>
        <v>9219</v>
      </c>
      <c r="CF895" s="3" t="str">
        <f t="shared" si="89"/>
        <v>صيدلة اكلينيكى</v>
      </c>
    </row>
    <row r="896" spans="2:89" x14ac:dyDescent="0.25">
      <c r="C896" s="82">
        <v>15035</v>
      </c>
      <c r="D896" s="70">
        <v>9220</v>
      </c>
      <c r="E896" s="69" t="s">
        <v>132</v>
      </c>
      <c r="F896" s="69" t="s">
        <v>1575</v>
      </c>
      <c r="H896" s="69">
        <v>1800</v>
      </c>
      <c r="U896" s="69"/>
      <c r="V896" s="69"/>
      <c r="AR896" s="74">
        <f t="shared" si="84"/>
        <v>1800</v>
      </c>
      <c r="AS896" s="69">
        <v>1606.85</v>
      </c>
      <c r="AT896" s="69">
        <v>193.15</v>
      </c>
      <c r="BC896" s="69"/>
      <c r="BD896" s="69"/>
      <c r="CC896" s="74">
        <f t="shared" si="87"/>
        <v>1800</v>
      </c>
      <c r="CD896" s="73">
        <f t="shared" si="88"/>
        <v>0</v>
      </c>
      <c r="CE896" s="75">
        <f t="shared" si="89"/>
        <v>9220</v>
      </c>
      <c r="CF896" s="3" t="str">
        <f t="shared" si="89"/>
        <v>صيدلة اكلينيكى</v>
      </c>
    </row>
    <row r="897" spans="3:84" x14ac:dyDescent="0.25">
      <c r="C897" s="82">
        <v>15036</v>
      </c>
      <c r="D897" s="70">
        <v>9221</v>
      </c>
      <c r="E897" s="69" t="s">
        <v>132</v>
      </c>
      <c r="F897" s="69" t="s">
        <v>1575</v>
      </c>
      <c r="H897" s="69">
        <v>48987.05</v>
      </c>
      <c r="U897" s="69"/>
      <c r="V897" s="69"/>
      <c r="AR897" s="74">
        <f t="shared" si="84"/>
        <v>48987.05</v>
      </c>
      <c r="AS897" s="69">
        <v>32726.6</v>
      </c>
      <c r="AT897" s="69">
        <f>279.6+4178</f>
        <v>4457.6000000000004</v>
      </c>
      <c r="AU897" s="69">
        <v>11802.85</v>
      </c>
      <c r="BC897" s="69"/>
      <c r="BD897" s="69"/>
      <c r="CC897" s="74">
        <f t="shared" si="87"/>
        <v>48987.049999999996</v>
      </c>
      <c r="CD897" s="73">
        <f t="shared" si="88"/>
        <v>0</v>
      </c>
      <c r="CE897" s="75">
        <f t="shared" si="89"/>
        <v>9221</v>
      </c>
      <c r="CF897" s="3" t="str">
        <f t="shared" si="89"/>
        <v>صيدلة اكلينيكى</v>
      </c>
    </row>
    <row r="898" spans="3:84" x14ac:dyDescent="0.25">
      <c r="C898" s="82">
        <v>15034</v>
      </c>
      <c r="D898" s="70">
        <v>9222</v>
      </c>
      <c r="E898" s="69" t="s">
        <v>132</v>
      </c>
      <c r="F898" s="69" t="s">
        <v>1575</v>
      </c>
      <c r="H898" s="69">
        <v>4828.3900000000003</v>
      </c>
      <c r="U898" s="69"/>
      <c r="V898" s="69"/>
      <c r="AR898" s="74">
        <f t="shared" si="84"/>
        <v>4828.3900000000003</v>
      </c>
      <c r="AS898" s="69">
        <v>4267.74</v>
      </c>
      <c r="AT898" s="69">
        <v>514.15</v>
      </c>
      <c r="AU898" s="69">
        <v>46.5</v>
      </c>
      <c r="BC898" s="69"/>
      <c r="BD898" s="69"/>
      <c r="CC898" s="74">
        <f t="shared" si="87"/>
        <v>4828.3899999999994</v>
      </c>
      <c r="CD898" s="73">
        <f t="shared" si="88"/>
        <v>0</v>
      </c>
      <c r="CE898" s="75">
        <f t="shared" si="89"/>
        <v>9222</v>
      </c>
      <c r="CF898" s="3" t="str">
        <f t="shared" si="89"/>
        <v>صيدلة اكلينيكى</v>
      </c>
    </row>
    <row r="899" spans="3:84" x14ac:dyDescent="0.25">
      <c r="C899" s="82">
        <v>15031</v>
      </c>
      <c r="D899" s="70">
        <v>9223</v>
      </c>
      <c r="E899" s="69" t="s">
        <v>132</v>
      </c>
      <c r="F899" s="69" t="s">
        <v>1575</v>
      </c>
      <c r="H899" s="69">
        <v>4500</v>
      </c>
      <c r="U899" s="69"/>
      <c r="V899" s="69"/>
      <c r="AR899" s="74">
        <f t="shared" si="84"/>
        <v>4500</v>
      </c>
      <c r="AS899" s="69">
        <v>4016.6</v>
      </c>
      <c r="AT899" s="69">
        <v>483.4</v>
      </c>
      <c r="BC899" s="69"/>
      <c r="BD899" s="69"/>
      <c r="CC899" s="74">
        <f t="shared" si="87"/>
        <v>4500</v>
      </c>
      <c r="CD899" s="73">
        <f t="shared" si="88"/>
        <v>0</v>
      </c>
      <c r="CE899" s="75">
        <f t="shared" si="89"/>
        <v>9223</v>
      </c>
      <c r="CF899" s="3" t="str">
        <f t="shared" si="89"/>
        <v>صيدلة اكلينيكى</v>
      </c>
    </row>
    <row r="900" spans="3:84" x14ac:dyDescent="0.25">
      <c r="C900" s="82">
        <v>15044</v>
      </c>
      <c r="D900" s="70">
        <v>9224</v>
      </c>
      <c r="E900" s="69" t="s">
        <v>132</v>
      </c>
      <c r="F900" s="69" t="s">
        <v>1575</v>
      </c>
      <c r="H900" s="69">
        <v>3341.63</v>
      </c>
      <c r="U900" s="69"/>
      <c r="V900" s="69"/>
      <c r="AR900" s="74">
        <f t="shared" si="84"/>
        <v>3341.63</v>
      </c>
      <c r="AS900" s="69">
        <v>2231.52</v>
      </c>
      <c r="AT900" s="69">
        <f>285+19.98</f>
        <v>304.98</v>
      </c>
      <c r="AU900" s="69">
        <v>805.13</v>
      </c>
      <c r="BC900" s="69"/>
      <c r="BD900" s="69"/>
      <c r="CC900" s="74">
        <f t="shared" si="87"/>
        <v>3341.63</v>
      </c>
      <c r="CD900" s="73">
        <f t="shared" si="88"/>
        <v>0</v>
      </c>
      <c r="CE900" s="75">
        <f t="shared" si="89"/>
        <v>9224</v>
      </c>
      <c r="CF900" s="3" t="str">
        <f t="shared" si="89"/>
        <v>صيدلة اكلينيكى</v>
      </c>
    </row>
    <row r="901" spans="3:84" x14ac:dyDescent="0.25">
      <c r="C901" s="82">
        <v>15042</v>
      </c>
      <c r="D901" s="70">
        <v>9225</v>
      </c>
      <c r="E901" s="69" t="s">
        <v>132</v>
      </c>
      <c r="F901" s="69" t="s">
        <v>1575</v>
      </c>
      <c r="H901" s="69">
        <v>2345</v>
      </c>
      <c r="U901" s="69"/>
      <c r="V901" s="69"/>
      <c r="AR901" s="74">
        <f t="shared" si="84"/>
        <v>2345</v>
      </c>
      <c r="AS901" s="69">
        <v>1568.7</v>
      </c>
      <c r="AT901" s="69">
        <v>211.3</v>
      </c>
      <c r="AU901" s="69">
        <v>565</v>
      </c>
      <c r="BC901" s="69"/>
      <c r="BD901" s="69"/>
      <c r="CC901" s="74">
        <f t="shared" si="87"/>
        <v>2345</v>
      </c>
      <c r="CD901" s="73">
        <f t="shared" si="88"/>
        <v>0</v>
      </c>
      <c r="CE901" s="75">
        <f t="shared" si="89"/>
        <v>9225</v>
      </c>
      <c r="CF901" s="3" t="str">
        <f t="shared" si="89"/>
        <v>صيدلة اكلينيكى</v>
      </c>
    </row>
    <row r="902" spans="3:84" x14ac:dyDescent="0.25">
      <c r="C902" s="82">
        <v>15041</v>
      </c>
      <c r="D902" s="70">
        <v>9226</v>
      </c>
      <c r="E902" s="69" t="s">
        <v>132</v>
      </c>
      <c r="F902" s="69" t="s">
        <v>1576</v>
      </c>
      <c r="H902" s="69">
        <v>7562.63</v>
      </c>
      <c r="U902" s="69"/>
      <c r="V902" s="69"/>
      <c r="AR902" s="74">
        <f t="shared" si="84"/>
        <v>7562.63</v>
      </c>
      <c r="AS902" s="69">
        <v>5058.3500000000004</v>
      </c>
      <c r="AT902" s="69">
        <v>682.15</v>
      </c>
      <c r="AU902" s="69">
        <v>1822.13</v>
      </c>
      <c r="BC902" s="69"/>
      <c r="BD902" s="69"/>
      <c r="CC902" s="74">
        <f t="shared" si="87"/>
        <v>7562.63</v>
      </c>
      <c r="CD902" s="73">
        <f t="shared" si="88"/>
        <v>0</v>
      </c>
      <c r="CE902" s="75">
        <f t="shared" si="89"/>
        <v>9226</v>
      </c>
      <c r="CF902" s="3" t="str">
        <f t="shared" si="89"/>
        <v>صيدلة اكلينيكى</v>
      </c>
    </row>
    <row r="903" spans="3:84" x14ac:dyDescent="0.25">
      <c r="C903" s="82">
        <v>15043</v>
      </c>
      <c r="D903" s="70">
        <v>9227</v>
      </c>
      <c r="E903" s="69" t="s">
        <v>132</v>
      </c>
      <c r="F903" s="69" t="s">
        <v>1576</v>
      </c>
      <c r="H903" s="69">
        <v>16239.12</v>
      </c>
      <c r="U903" s="69"/>
      <c r="V903" s="69"/>
      <c r="AR903" s="74">
        <f t="shared" si="84"/>
        <v>16239.12</v>
      </c>
      <c r="AS903" s="69">
        <v>10855.15</v>
      </c>
      <c r="AT903" s="69">
        <v>1471.35</v>
      </c>
      <c r="AU903" s="69">
        <v>3912.62</v>
      </c>
      <c r="BC903" s="69"/>
      <c r="BD903" s="69"/>
      <c r="CC903" s="74">
        <f t="shared" si="87"/>
        <v>16239.119999999999</v>
      </c>
      <c r="CD903" s="73">
        <f t="shared" si="88"/>
        <v>0</v>
      </c>
      <c r="CE903" s="75">
        <f t="shared" si="89"/>
        <v>9227</v>
      </c>
      <c r="CF903" s="3" t="str">
        <f t="shared" si="89"/>
        <v>صيدلة اكلينيكى</v>
      </c>
    </row>
    <row r="904" spans="3:84" x14ac:dyDescent="0.25">
      <c r="C904" s="82">
        <v>15027</v>
      </c>
      <c r="D904" s="70">
        <v>9228</v>
      </c>
      <c r="E904" s="69" t="s">
        <v>132</v>
      </c>
      <c r="F904" s="69" t="s">
        <v>1577</v>
      </c>
      <c r="H904" s="69">
        <v>18455.099999999999</v>
      </c>
      <c r="U904" s="69"/>
      <c r="V904" s="69"/>
      <c r="AR904" s="74">
        <f t="shared" si="84"/>
        <v>18455.099999999999</v>
      </c>
      <c r="AS904" s="69">
        <v>16464.36</v>
      </c>
      <c r="AT904" s="69">
        <v>1966</v>
      </c>
      <c r="AU904" s="69">
        <v>24.74</v>
      </c>
      <c r="BC904" s="69"/>
      <c r="BD904" s="69"/>
      <c r="CC904" s="74">
        <f t="shared" si="87"/>
        <v>18455.100000000002</v>
      </c>
      <c r="CD904" s="73">
        <f t="shared" si="88"/>
        <v>0</v>
      </c>
      <c r="CE904" s="75">
        <f t="shared" si="89"/>
        <v>9228</v>
      </c>
      <c r="CF904" s="3" t="str">
        <f t="shared" si="89"/>
        <v>صيدلة اكلينيكى</v>
      </c>
    </row>
    <row r="905" spans="3:84" x14ac:dyDescent="0.25">
      <c r="C905" s="82">
        <v>15051</v>
      </c>
      <c r="D905" s="70">
        <v>9229</v>
      </c>
      <c r="E905" s="69" t="s">
        <v>132</v>
      </c>
      <c r="F905" s="69" t="str">
        <f>+F901</f>
        <v>مكافاه تدريس برامج</v>
      </c>
      <c r="H905" s="69">
        <v>2880</v>
      </c>
      <c r="U905" s="69"/>
      <c r="V905" s="69"/>
      <c r="AR905" s="74">
        <f t="shared" si="84"/>
        <v>2880</v>
      </c>
      <c r="AS905" s="69">
        <v>2570.75</v>
      </c>
      <c r="AT905" s="69">
        <v>309.25</v>
      </c>
      <c r="BC905" s="69"/>
      <c r="BD905" s="69"/>
      <c r="CC905" s="74">
        <f t="shared" si="87"/>
        <v>2880</v>
      </c>
      <c r="CD905" s="73">
        <f t="shared" si="88"/>
        <v>0</v>
      </c>
      <c r="CE905" s="75">
        <f t="shared" si="89"/>
        <v>9229</v>
      </c>
      <c r="CF905" s="3" t="str">
        <f t="shared" si="89"/>
        <v>صيدلة اكلينيكى</v>
      </c>
    </row>
    <row r="906" spans="3:84" x14ac:dyDescent="0.25">
      <c r="C906" s="82">
        <v>15050</v>
      </c>
      <c r="D906" s="70">
        <v>9230</v>
      </c>
      <c r="E906" s="69" t="s">
        <v>132</v>
      </c>
      <c r="F906" s="69" t="str">
        <f>+F905</f>
        <v>مكافاه تدريس برامج</v>
      </c>
      <c r="H906" s="69">
        <v>3750</v>
      </c>
      <c r="U906" s="69"/>
      <c r="V906" s="69"/>
      <c r="AR906" s="74">
        <f t="shared" ref="AR906:AR941" si="96">SUM(H906:AQ906)</f>
        <v>3750</v>
      </c>
      <c r="AS906" s="69">
        <v>3347.25</v>
      </c>
      <c r="AT906" s="69">
        <v>402.75</v>
      </c>
      <c r="BC906" s="69"/>
      <c r="BD906" s="69"/>
      <c r="CC906" s="74">
        <f t="shared" si="87"/>
        <v>3750</v>
      </c>
      <c r="CD906" s="73">
        <f t="shared" si="88"/>
        <v>0</v>
      </c>
      <c r="CE906" s="75">
        <f t="shared" si="89"/>
        <v>9230</v>
      </c>
      <c r="CF906" s="3" t="str">
        <f t="shared" si="89"/>
        <v>صيدلة اكلينيكى</v>
      </c>
    </row>
    <row r="907" spans="3:84" x14ac:dyDescent="0.25">
      <c r="C907" s="82">
        <v>15048</v>
      </c>
      <c r="D907" s="70">
        <v>9231</v>
      </c>
      <c r="E907" s="69" t="s">
        <v>132</v>
      </c>
      <c r="F907" s="69" t="str">
        <f>+F906</f>
        <v>مكافاه تدريس برامج</v>
      </c>
      <c r="H907" s="69">
        <v>3600</v>
      </c>
      <c r="U907" s="69"/>
      <c r="V907" s="69"/>
      <c r="AR907" s="74">
        <f t="shared" si="96"/>
        <v>3600</v>
      </c>
      <c r="AS907" s="69">
        <v>3213.35</v>
      </c>
      <c r="AT907" s="69">
        <v>386.65</v>
      </c>
      <c r="BC907" s="69"/>
      <c r="BD907" s="69"/>
      <c r="CC907" s="74">
        <f t="shared" si="87"/>
        <v>3600</v>
      </c>
      <c r="CD907" s="73">
        <f t="shared" si="88"/>
        <v>0</v>
      </c>
      <c r="CE907" s="75">
        <f t="shared" si="89"/>
        <v>9231</v>
      </c>
      <c r="CF907" s="3" t="str">
        <f t="shared" si="89"/>
        <v>صيدلة اكلينيكى</v>
      </c>
    </row>
    <row r="908" spans="3:84" x14ac:dyDescent="0.25">
      <c r="C908" s="82">
        <v>15049</v>
      </c>
      <c r="D908" s="70">
        <v>9232</v>
      </c>
      <c r="E908" s="69" t="s">
        <v>132</v>
      </c>
      <c r="F908" s="69" t="str">
        <f>+F907</f>
        <v>مكافاه تدريس برامج</v>
      </c>
      <c r="H908" s="69">
        <v>6000</v>
      </c>
      <c r="U908" s="69"/>
      <c r="V908" s="69"/>
      <c r="AR908" s="74">
        <f t="shared" si="96"/>
        <v>6000</v>
      </c>
      <c r="AS908" s="69">
        <v>5355.7</v>
      </c>
      <c r="AT908" s="69">
        <v>644.29999999999995</v>
      </c>
      <c r="BC908" s="69"/>
      <c r="BD908" s="69"/>
      <c r="CC908" s="74">
        <f t="shared" si="87"/>
        <v>6000</v>
      </c>
      <c r="CD908" s="73">
        <f t="shared" si="88"/>
        <v>0</v>
      </c>
      <c r="CE908" s="75">
        <f t="shared" si="89"/>
        <v>9232</v>
      </c>
      <c r="CF908" s="3" t="str">
        <f t="shared" si="89"/>
        <v>صيدلة اكلينيكى</v>
      </c>
    </row>
    <row r="909" spans="3:84" x14ac:dyDescent="0.25">
      <c r="C909" s="82">
        <v>15047</v>
      </c>
      <c r="D909" s="70">
        <v>9233</v>
      </c>
      <c r="E909" s="69" t="s">
        <v>132</v>
      </c>
      <c r="F909" s="69" t="str">
        <f t="shared" ref="F909:F914" si="97">+F908</f>
        <v>مكافاه تدريس برامج</v>
      </c>
      <c r="H909" s="69">
        <v>1055.25</v>
      </c>
      <c r="U909" s="69"/>
      <c r="V909" s="69"/>
      <c r="AR909" s="74">
        <f t="shared" si="96"/>
        <v>1055.25</v>
      </c>
      <c r="AS909" s="69">
        <v>705.7</v>
      </c>
      <c r="AT909" s="69">
        <v>95.3</v>
      </c>
      <c r="AU909" s="69">
        <v>254.25</v>
      </c>
      <c r="BC909" s="69"/>
      <c r="BD909" s="69"/>
      <c r="CC909" s="74">
        <f t="shared" si="87"/>
        <v>1055.25</v>
      </c>
      <c r="CD909" s="73">
        <f t="shared" si="88"/>
        <v>0</v>
      </c>
      <c r="CE909" s="75">
        <f t="shared" si="89"/>
        <v>9233</v>
      </c>
      <c r="CF909" s="3" t="str">
        <f t="shared" si="89"/>
        <v>صيدلة اكلينيكى</v>
      </c>
    </row>
    <row r="910" spans="3:84" x14ac:dyDescent="0.25">
      <c r="C910" s="82">
        <v>15052</v>
      </c>
      <c r="D910" s="70">
        <v>9234</v>
      </c>
      <c r="E910" s="69" t="s">
        <v>132</v>
      </c>
      <c r="F910" s="69" t="str">
        <f t="shared" si="97"/>
        <v>مكافاه تدريس برامج</v>
      </c>
      <c r="H910" s="69">
        <v>41154.75</v>
      </c>
      <c r="U910" s="69"/>
      <c r="V910" s="69"/>
      <c r="AR910" s="74">
        <f t="shared" si="96"/>
        <v>41154.75</v>
      </c>
      <c r="AS910" s="69">
        <v>27499.55</v>
      </c>
      <c r="AT910" s="69">
        <f>229.45+3510</f>
        <v>3739.45</v>
      </c>
      <c r="AU910" s="69">
        <v>9915.75</v>
      </c>
      <c r="BC910" s="69"/>
      <c r="BD910" s="69"/>
      <c r="CC910" s="74">
        <f t="shared" si="87"/>
        <v>41154.75</v>
      </c>
      <c r="CD910" s="73">
        <f t="shared" si="88"/>
        <v>0</v>
      </c>
      <c r="CE910" s="75">
        <f t="shared" si="89"/>
        <v>9234</v>
      </c>
      <c r="CF910" s="3" t="str">
        <f t="shared" si="89"/>
        <v>صيدلة اكلينيكى</v>
      </c>
    </row>
    <row r="911" spans="3:84" x14ac:dyDescent="0.25">
      <c r="C911" s="82">
        <v>15029</v>
      </c>
      <c r="D911" s="70">
        <v>9235</v>
      </c>
      <c r="E911" s="69" t="s">
        <v>132</v>
      </c>
      <c r="F911" s="69" t="str">
        <f t="shared" si="97"/>
        <v>مكافاه تدريس برامج</v>
      </c>
      <c r="H911" s="69">
        <v>22486.03</v>
      </c>
      <c r="U911" s="69"/>
      <c r="V911" s="69"/>
      <c r="AR911" s="74">
        <f t="shared" si="96"/>
        <v>22486.03</v>
      </c>
      <c r="AS911" s="69">
        <v>15837.63</v>
      </c>
      <c r="AT911" s="69">
        <v>2102.15</v>
      </c>
      <c r="AU911" s="69">
        <v>4546.25</v>
      </c>
      <c r="BC911" s="69"/>
      <c r="BD911" s="69"/>
      <c r="CC911" s="74">
        <f t="shared" si="87"/>
        <v>22486.03</v>
      </c>
      <c r="CD911" s="73">
        <f t="shared" si="88"/>
        <v>0</v>
      </c>
      <c r="CE911" s="75">
        <f t="shared" si="89"/>
        <v>9235</v>
      </c>
      <c r="CF911" s="3" t="str">
        <f t="shared" si="89"/>
        <v>صيدلة اكلينيكى</v>
      </c>
    </row>
    <row r="912" spans="3:84" x14ac:dyDescent="0.25">
      <c r="C912" s="82">
        <v>15046</v>
      </c>
      <c r="D912" s="70">
        <v>9236</v>
      </c>
      <c r="E912" s="69" t="s">
        <v>132</v>
      </c>
      <c r="F912" s="69" t="str">
        <f t="shared" si="97"/>
        <v>مكافاه تدريس برامج</v>
      </c>
      <c r="H912" s="69">
        <v>9204.1299999999992</v>
      </c>
      <c r="U912" s="69"/>
      <c r="V912" s="69"/>
      <c r="AR912" s="74">
        <f t="shared" si="96"/>
        <v>9204.1299999999992</v>
      </c>
      <c r="AS912" s="69">
        <v>6156.45</v>
      </c>
      <c r="AT912" s="69">
        <f>45.05+785</f>
        <v>830.05</v>
      </c>
      <c r="AU912" s="69">
        <v>2217.63</v>
      </c>
      <c r="BC912" s="69"/>
      <c r="BD912" s="69"/>
      <c r="CC912" s="74">
        <f t="shared" si="87"/>
        <v>9204.130000000001</v>
      </c>
      <c r="CD912" s="73">
        <f t="shared" si="88"/>
        <v>0</v>
      </c>
      <c r="CE912" s="75">
        <f t="shared" si="89"/>
        <v>9236</v>
      </c>
      <c r="CF912" s="3" t="str">
        <f t="shared" si="89"/>
        <v>صيدلة اكلينيكى</v>
      </c>
    </row>
    <row r="913" spans="3:84" x14ac:dyDescent="0.25">
      <c r="C913" s="82">
        <v>15028</v>
      </c>
      <c r="D913" s="70">
        <v>9237</v>
      </c>
      <c r="E913" s="69" t="s">
        <v>132</v>
      </c>
      <c r="F913" s="69" t="str">
        <f t="shared" si="97"/>
        <v>مكافاه تدريس برامج</v>
      </c>
      <c r="H913" s="69">
        <v>22977.13</v>
      </c>
      <c r="U913" s="69"/>
      <c r="V913" s="69"/>
      <c r="AR913" s="74">
        <f t="shared" si="96"/>
        <v>22977.13</v>
      </c>
      <c r="AS913" s="69">
        <v>18679.78</v>
      </c>
      <c r="AT913" s="69">
        <v>2336.85</v>
      </c>
      <c r="AU913" s="69">
        <v>1960.5</v>
      </c>
      <c r="BC913" s="69"/>
      <c r="BD913" s="69"/>
      <c r="CC913" s="74">
        <f t="shared" ref="CC913:CC941" si="98">SUM(AS913:CB913)</f>
        <v>22977.129999999997</v>
      </c>
      <c r="CD913" s="73">
        <f t="shared" si="88"/>
        <v>0</v>
      </c>
      <c r="CE913" s="75">
        <f t="shared" ref="CE913:CF928" si="99">+D913</f>
        <v>9237</v>
      </c>
      <c r="CF913" s="3" t="str">
        <f t="shared" si="99"/>
        <v>صيدلة اكلينيكى</v>
      </c>
    </row>
    <row r="914" spans="3:84" x14ac:dyDescent="0.25">
      <c r="C914" s="82">
        <v>15030</v>
      </c>
      <c r="D914" s="70">
        <v>9238</v>
      </c>
      <c r="E914" s="69" t="s">
        <v>132</v>
      </c>
      <c r="F914" s="69" t="str">
        <f t="shared" si="97"/>
        <v>مكافاه تدريس برامج</v>
      </c>
      <c r="H914" s="69">
        <v>428049.44</v>
      </c>
      <c r="U914" s="69"/>
      <c r="V914" s="69"/>
      <c r="AR914" s="74">
        <f t="shared" si="96"/>
        <v>428049.44</v>
      </c>
      <c r="AS914" s="69">
        <v>354310.91</v>
      </c>
      <c r="AT914" s="69">
        <v>43917.25</v>
      </c>
      <c r="AU914" s="69">
        <v>29821.279999999999</v>
      </c>
      <c r="BC914" s="69"/>
      <c r="BD914" s="69"/>
      <c r="CC914" s="74">
        <f t="shared" si="98"/>
        <v>428049.43999999994</v>
      </c>
      <c r="CD914" s="73">
        <f t="shared" si="88"/>
        <v>0</v>
      </c>
      <c r="CE914" s="75">
        <f t="shared" si="99"/>
        <v>9238</v>
      </c>
      <c r="CF914" s="3" t="str">
        <f t="shared" si="99"/>
        <v>صيدلة اكلينيكى</v>
      </c>
    </row>
    <row r="915" spans="3:84" x14ac:dyDescent="0.25">
      <c r="C915" s="82">
        <v>15040</v>
      </c>
      <c r="D915" s="70">
        <v>9239</v>
      </c>
      <c r="E915" s="69" t="s">
        <v>132</v>
      </c>
      <c r="F915" s="69" t="s">
        <v>815</v>
      </c>
      <c r="H915" s="69">
        <v>527.63</v>
      </c>
      <c r="U915" s="69"/>
      <c r="V915" s="69"/>
      <c r="AR915" s="74">
        <f t="shared" si="96"/>
        <v>527.63</v>
      </c>
      <c r="AS915" s="69">
        <v>352.9</v>
      </c>
      <c r="AT915" s="69">
        <f>45+2.6</f>
        <v>47.6</v>
      </c>
      <c r="AU915" s="69">
        <v>127.13</v>
      </c>
      <c r="BC915" s="69"/>
      <c r="BD915" s="69"/>
      <c r="CC915" s="74">
        <f t="shared" si="98"/>
        <v>527.63</v>
      </c>
      <c r="CD915" s="73">
        <f t="shared" si="88"/>
        <v>0</v>
      </c>
      <c r="CE915" s="75">
        <f t="shared" si="99"/>
        <v>9239</v>
      </c>
      <c r="CF915" s="3" t="str">
        <f t="shared" si="99"/>
        <v>صيدلة اكلينيكى</v>
      </c>
    </row>
    <row r="916" spans="3:84" x14ac:dyDescent="0.25">
      <c r="C916" s="82">
        <v>15037</v>
      </c>
      <c r="D916" s="70">
        <v>9240</v>
      </c>
      <c r="E916" s="69" t="s">
        <v>132</v>
      </c>
      <c r="F916" s="69" t="s">
        <v>815</v>
      </c>
      <c r="H916" s="69">
        <v>914.56</v>
      </c>
      <c r="U916" s="69"/>
      <c r="V916" s="69"/>
      <c r="AR916" s="74">
        <f t="shared" si="96"/>
        <v>914.56</v>
      </c>
      <c r="AS916" s="69">
        <v>612.29999999999995</v>
      </c>
      <c r="AT916" s="69">
        <v>81.900000000000006</v>
      </c>
      <c r="AU916" s="69">
        <v>220.36</v>
      </c>
      <c r="BC916" s="69"/>
      <c r="BD916" s="69"/>
      <c r="CC916" s="74">
        <f t="shared" si="98"/>
        <v>914.56</v>
      </c>
      <c r="CD916" s="73">
        <f t="shared" si="88"/>
        <v>0</v>
      </c>
      <c r="CE916" s="75">
        <f t="shared" si="99"/>
        <v>9240</v>
      </c>
      <c r="CF916" s="3" t="str">
        <f t="shared" si="99"/>
        <v>صيدلة اكلينيكى</v>
      </c>
    </row>
    <row r="917" spans="3:84" x14ac:dyDescent="0.25">
      <c r="C917" s="82">
        <v>15038</v>
      </c>
      <c r="D917" s="70">
        <v>9241</v>
      </c>
      <c r="E917" s="69" t="s">
        <v>132</v>
      </c>
      <c r="F917" s="69" t="s">
        <v>815</v>
      </c>
      <c r="H917" s="69">
        <v>8617.8700000000008</v>
      </c>
      <c r="U917" s="69"/>
      <c r="V917" s="69"/>
      <c r="AR917" s="74">
        <f t="shared" si="96"/>
        <v>8617.8700000000008</v>
      </c>
      <c r="AS917" s="69">
        <v>5761</v>
      </c>
      <c r="AT917" s="69">
        <v>780.5</v>
      </c>
      <c r="AU917" s="69">
        <v>2076.37</v>
      </c>
      <c r="BC917" s="69"/>
      <c r="BD917" s="69"/>
      <c r="CC917" s="74">
        <f t="shared" si="98"/>
        <v>8617.869999999999</v>
      </c>
      <c r="CD917" s="73">
        <f t="shared" si="88"/>
        <v>0</v>
      </c>
      <c r="CE917" s="75">
        <f t="shared" si="99"/>
        <v>9241</v>
      </c>
      <c r="CF917" s="3" t="str">
        <f t="shared" si="99"/>
        <v>صيدلة اكلينيكى</v>
      </c>
    </row>
    <row r="918" spans="3:84" x14ac:dyDescent="0.25">
      <c r="C918" s="82">
        <v>15039</v>
      </c>
      <c r="D918" s="70">
        <v>9242</v>
      </c>
      <c r="E918" s="69" t="s">
        <v>132</v>
      </c>
      <c r="F918" s="69" t="s">
        <v>815</v>
      </c>
      <c r="H918" s="69">
        <v>27155.1</v>
      </c>
      <c r="U918" s="69"/>
      <c r="V918" s="69"/>
      <c r="AR918" s="74">
        <f t="shared" si="96"/>
        <v>27155.1</v>
      </c>
      <c r="AS918" s="69">
        <v>18151.150000000001</v>
      </c>
      <c r="AT918" s="69">
        <v>2461.25</v>
      </c>
      <c r="AU918" s="69">
        <v>6542.7</v>
      </c>
      <c r="BC918" s="69"/>
      <c r="BD918" s="69"/>
      <c r="CC918" s="74">
        <f t="shared" si="98"/>
        <v>27155.100000000002</v>
      </c>
      <c r="CD918" s="73">
        <f t="shared" si="88"/>
        <v>0</v>
      </c>
      <c r="CE918" s="75">
        <f t="shared" si="99"/>
        <v>9242</v>
      </c>
      <c r="CF918" s="3" t="str">
        <f t="shared" si="99"/>
        <v>صيدلة اكلينيكى</v>
      </c>
    </row>
    <row r="919" spans="3:84" x14ac:dyDescent="0.25">
      <c r="C919" s="82">
        <v>14681</v>
      </c>
      <c r="D919" s="70">
        <v>9243</v>
      </c>
      <c r="E919" s="69" t="s">
        <v>137</v>
      </c>
      <c r="F919" s="69" t="s">
        <v>1578</v>
      </c>
      <c r="H919" s="69">
        <v>120402.86</v>
      </c>
      <c r="U919" s="69"/>
      <c r="V919" s="69"/>
      <c r="AR919" s="74">
        <f t="shared" si="96"/>
        <v>120402.86</v>
      </c>
      <c r="AS919" s="69">
        <v>81011.39</v>
      </c>
      <c r="AT919" s="69">
        <v>11361.55</v>
      </c>
      <c r="AU919" s="69">
        <v>22702.92</v>
      </c>
      <c r="AV919" s="69">
        <v>5327</v>
      </c>
      <c r="BC919" s="69"/>
      <c r="BD919" s="69"/>
      <c r="CC919" s="74">
        <f t="shared" si="98"/>
        <v>120402.86</v>
      </c>
      <c r="CD919" s="73">
        <f t="shared" si="88"/>
        <v>0</v>
      </c>
      <c r="CE919" s="75">
        <f t="shared" si="99"/>
        <v>9243</v>
      </c>
      <c r="CF919" s="3" t="str">
        <f t="shared" si="99"/>
        <v xml:space="preserve">خدمة عامة </v>
      </c>
    </row>
    <row r="920" spans="3:84" x14ac:dyDescent="0.25">
      <c r="C920" s="82">
        <v>14685</v>
      </c>
      <c r="D920" s="70">
        <v>9244</v>
      </c>
      <c r="E920" s="69" t="s">
        <v>137</v>
      </c>
      <c r="F920" s="69" t="s">
        <v>1578</v>
      </c>
      <c r="H920" s="69">
        <v>2391.9</v>
      </c>
      <c r="U920" s="69"/>
      <c r="V920" s="69"/>
      <c r="AR920" s="74">
        <f t="shared" si="96"/>
        <v>2391.9</v>
      </c>
      <c r="AS920" s="69">
        <v>1496.7</v>
      </c>
      <c r="AT920" s="69">
        <v>216.9</v>
      </c>
      <c r="AU920" s="69">
        <v>576.29999999999995</v>
      </c>
      <c r="AV920" s="69">
        <v>102</v>
      </c>
      <c r="BC920" s="69"/>
      <c r="BD920" s="69"/>
      <c r="CC920" s="74">
        <f t="shared" si="98"/>
        <v>2391.9</v>
      </c>
      <c r="CD920" s="73">
        <f t="shared" si="88"/>
        <v>0</v>
      </c>
      <c r="CE920" s="75">
        <f t="shared" si="99"/>
        <v>9244</v>
      </c>
      <c r="CF920" s="3" t="str">
        <f t="shared" si="99"/>
        <v xml:space="preserve">خدمة عامة </v>
      </c>
    </row>
    <row r="921" spans="3:84" x14ac:dyDescent="0.25">
      <c r="C921" s="82">
        <v>14683</v>
      </c>
      <c r="D921" s="70">
        <v>9245</v>
      </c>
      <c r="E921" s="69" t="s">
        <v>137</v>
      </c>
      <c r="F921" s="69" t="s">
        <v>1578</v>
      </c>
      <c r="H921" s="69">
        <v>762.12</v>
      </c>
      <c r="U921" s="69"/>
      <c r="V921" s="69"/>
      <c r="AR921" s="74">
        <f t="shared" si="96"/>
        <v>762.12</v>
      </c>
      <c r="AS921" s="69">
        <v>477.3</v>
      </c>
      <c r="AT921" s="69">
        <v>68.7</v>
      </c>
      <c r="AU921" s="69">
        <v>183.62</v>
      </c>
      <c r="AV921" s="69">
        <v>32.5</v>
      </c>
      <c r="BC921" s="69"/>
      <c r="BD921" s="69"/>
      <c r="CC921" s="74">
        <f t="shared" si="98"/>
        <v>762.12</v>
      </c>
      <c r="CD921" s="73">
        <f t="shared" si="88"/>
        <v>0</v>
      </c>
      <c r="CE921" s="75">
        <f t="shared" si="99"/>
        <v>9245</v>
      </c>
      <c r="CF921" s="3" t="str">
        <f t="shared" si="99"/>
        <v xml:space="preserve">خدمة عامة </v>
      </c>
    </row>
    <row r="922" spans="3:84" x14ac:dyDescent="0.25">
      <c r="C922" s="82">
        <v>14684</v>
      </c>
      <c r="D922" s="70">
        <v>9246</v>
      </c>
      <c r="E922" s="69" t="s">
        <v>137</v>
      </c>
      <c r="F922" s="69" t="s">
        <v>1578</v>
      </c>
      <c r="H922" s="69">
        <v>7900</v>
      </c>
      <c r="U922" s="69"/>
      <c r="V922" s="69"/>
      <c r="AR922" s="74">
        <f t="shared" si="96"/>
        <v>7900</v>
      </c>
      <c r="AS922" s="69">
        <v>6657.45</v>
      </c>
      <c r="AT922" s="69">
        <v>847.55</v>
      </c>
      <c r="AV922" s="69">
        <v>395</v>
      </c>
      <c r="BC922" s="69"/>
      <c r="BD922" s="69"/>
      <c r="CC922" s="74">
        <f t="shared" si="98"/>
        <v>7900</v>
      </c>
      <c r="CD922" s="73">
        <f t="shared" si="88"/>
        <v>0</v>
      </c>
      <c r="CE922" s="75">
        <f t="shared" si="99"/>
        <v>9246</v>
      </c>
      <c r="CF922" s="3" t="str">
        <f t="shared" si="99"/>
        <v xml:space="preserve">خدمة عامة </v>
      </c>
    </row>
    <row r="923" spans="3:84" x14ac:dyDescent="0.25">
      <c r="C923" s="82">
        <v>14682</v>
      </c>
      <c r="D923" s="70">
        <v>9247</v>
      </c>
      <c r="E923" s="69" t="s">
        <v>137</v>
      </c>
      <c r="F923" s="69" t="s">
        <v>1578</v>
      </c>
      <c r="H923" s="69">
        <v>7779.54</v>
      </c>
      <c r="U923" s="69"/>
      <c r="V923" s="69"/>
      <c r="AR923" s="74">
        <f t="shared" si="96"/>
        <v>7779.54</v>
      </c>
      <c r="AS923" s="69">
        <v>4869.8</v>
      </c>
      <c r="AT923" s="69">
        <v>703.6</v>
      </c>
      <c r="AU923" s="69">
        <v>1874.39</v>
      </c>
      <c r="AV923" s="69">
        <v>331.75</v>
      </c>
      <c r="BC923" s="69"/>
      <c r="BD923" s="69"/>
      <c r="CC923" s="74">
        <f t="shared" si="98"/>
        <v>7779.5400000000009</v>
      </c>
      <c r="CD923" s="73">
        <f t="shared" si="88"/>
        <v>0</v>
      </c>
      <c r="CE923" s="75">
        <f t="shared" si="99"/>
        <v>9247</v>
      </c>
      <c r="CF923" s="3" t="str">
        <f t="shared" si="99"/>
        <v xml:space="preserve">خدمة عامة </v>
      </c>
    </row>
    <row r="924" spans="3:84" x14ac:dyDescent="0.25">
      <c r="C924" s="82">
        <v>14680</v>
      </c>
      <c r="D924" s="70">
        <v>9248</v>
      </c>
      <c r="E924" s="69" t="s">
        <v>137</v>
      </c>
      <c r="F924" s="69" t="s">
        <v>1578</v>
      </c>
      <c r="H924" s="69">
        <v>60032</v>
      </c>
      <c r="U924" s="69"/>
      <c r="V924" s="69"/>
      <c r="AR924" s="74">
        <f t="shared" si="96"/>
        <v>60032</v>
      </c>
      <c r="AS924" s="69">
        <v>37557.1</v>
      </c>
      <c r="AT924" s="69">
        <v>5450.9</v>
      </c>
      <c r="AU924" s="69">
        <v>14464</v>
      </c>
      <c r="AV924" s="69">
        <v>2560</v>
      </c>
      <c r="BC924" s="69"/>
      <c r="BD924" s="69"/>
      <c r="CC924" s="74">
        <f t="shared" si="98"/>
        <v>60032</v>
      </c>
      <c r="CD924" s="73">
        <f t="shared" si="88"/>
        <v>0</v>
      </c>
      <c r="CE924" s="75">
        <f t="shared" si="99"/>
        <v>9248</v>
      </c>
      <c r="CF924" s="3" t="str">
        <f t="shared" si="99"/>
        <v xml:space="preserve">خدمة عامة </v>
      </c>
    </row>
    <row r="925" spans="3:84" x14ac:dyDescent="0.25">
      <c r="C925" s="82"/>
      <c r="D925" s="70">
        <v>9249</v>
      </c>
      <c r="E925" s="69" t="s">
        <v>137</v>
      </c>
      <c r="F925" s="69" t="s">
        <v>1578</v>
      </c>
      <c r="H925" s="69">
        <v>21163.63</v>
      </c>
      <c r="U925" s="69"/>
      <c r="V925" s="69"/>
      <c r="AR925" s="74">
        <f t="shared" si="96"/>
        <v>21163.63</v>
      </c>
      <c r="AS925" s="69">
        <v>13247.6</v>
      </c>
      <c r="AT925" s="69">
        <f>109.4+1805</f>
        <v>1914.4</v>
      </c>
      <c r="AU925" s="69">
        <v>5099.13</v>
      </c>
      <c r="AV925" s="69">
        <v>902.5</v>
      </c>
      <c r="BC925" s="69"/>
      <c r="BD925" s="69"/>
      <c r="CC925" s="74">
        <f t="shared" si="98"/>
        <v>21163.63</v>
      </c>
      <c r="CD925" s="73">
        <f t="shared" si="88"/>
        <v>0</v>
      </c>
      <c r="CE925" s="75">
        <f t="shared" si="99"/>
        <v>9249</v>
      </c>
      <c r="CF925" s="3" t="str">
        <f t="shared" si="99"/>
        <v xml:space="preserve">خدمة عامة </v>
      </c>
    </row>
    <row r="926" spans="3:84" x14ac:dyDescent="0.25">
      <c r="C926" s="82">
        <v>14688</v>
      </c>
      <c r="D926" s="70">
        <v>9250</v>
      </c>
      <c r="E926" s="69" t="s">
        <v>137</v>
      </c>
      <c r="F926" s="69" t="s">
        <v>1579</v>
      </c>
      <c r="H926" s="69">
        <v>53551.24</v>
      </c>
      <c r="U926" s="69"/>
      <c r="V926" s="69"/>
      <c r="AR926" s="74">
        <f t="shared" si="96"/>
        <v>53551.24</v>
      </c>
      <c r="AS926" s="69">
        <v>34726.21</v>
      </c>
      <c r="AT926" s="69">
        <v>4952.3500000000004</v>
      </c>
      <c r="AU926" s="69">
        <v>11547.68</v>
      </c>
      <c r="AV926" s="69">
        <v>2325</v>
      </c>
      <c r="BC926" s="69"/>
      <c r="BD926" s="69"/>
      <c r="CC926" s="74">
        <f t="shared" si="98"/>
        <v>53551.24</v>
      </c>
      <c r="CD926" s="73">
        <f t="shared" si="88"/>
        <v>0</v>
      </c>
      <c r="CE926" s="75">
        <f t="shared" si="99"/>
        <v>9250</v>
      </c>
      <c r="CF926" s="3" t="str">
        <f t="shared" si="99"/>
        <v xml:space="preserve">خدمة عامة </v>
      </c>
    </row>
    <row r="927" spans="3:84" x14ac:dyDescent="0.25">
      <c r="C927" s="82">
        <v>14690</v>
      </c>
      <c r="D927" s="70">
        <v>9251</v>
      </c>
      <c r="E927" s="69" t="s">
        <v>137</v>
      </c>
      <c r="F927" s="69" t="s">
        <v>1579</v>
      </c>
      <c r="H927" s="69">
        <v>2638.12</v>
      </c>
      <c r="U927" s="69"/>
      <c r="V927" s="69"/>
      <c r="AR927" s="74">
        <f t="shared" si="96"/>
        <v>2638.12</v>
      </c>
      <c r="AS927" s="69">
        <v>1650.35</v>
      </c>
      <c r="AT927" s="69">
        <v>239.65</v>
      </c>
      <c r="AU927" s="69">
        <v>635.62</v>
      </c>
      <c r="AV927" s="69">
        <v>112.5</v>
      </c>
      <c r="BC927" s="69"/>
      <c r="BD927" s="69"/>
      <c r="CC927" s="74">
        <f t="shared" si="98"/>
        <v>2638.12</v>
      </c>
      <c r="CD927" s="73">
        <f t="shared" si="88"/>
        <v>0</v>
      </c>
      <c r="CE927" s="75">
        <f t="shared" si="99"/>
        <v>9251</v>
      </c>
      <c r="CF927" s="3" t="str">
        <f t="shared" si="99"/>
        <v xml:space="preserve">خدمة عامة </v>
      </c>
    </row>
    <row r="928" spans="3:84" x14ac:dyDescent="0.25">
      <c r="C928" s="82">
        <v>14686</v>
      </c>
      <c r="D928" s="70">
        <v>9252</v>
      </c>
      <c r="E928" s="69" t="s">
        <v>137</v>
      </c>
      <c r="F928" s="69" t="s">
        <v>1579</v>
      </c>
      <c r="H928" s="69">
        <v>24798.38</v>
      </c>
      <c r="U928" s="69"/>
      <c r="V928" s="69"/>
      <c r="AR928" s="74">
        <f t="shared" si="96"/>
        <v>24798.38</v>
      </c>
      <c r="AS928" s="69">
        <v>15522.15</v>
      </c>
      <c r="AT928" s="69">
        <f>128.85+2115</f>
        <v>2243.85</v>
      </c>
      <c r="AU928" s="69">
        <v>5974.88</v>
      </c>
      <c r="AV928" s="69">
        <v>1057.5</v>
      </c>
      <c r="BC928" s="69"/>
      <c r="BD928" s="69"/>
      <c r="CC928" s="74">
        <f t="shared" si="98"/>
        <v>24798.38</v>
      </c>
      <c r="CD928" s="73">
        <f t="shared" si="88"/>
        <v>0</v>
      </c>
      <c r="CE928" s="75">
        <f t="shared" si="99"/>
        <v>9252</v>
      </c>
      <c r="CF928" s="3" t="str">
        <f t="shared" si="99"/>
        <v xml:space="preserve">خدمة عامة </v>
      </c>
    </row>
    <row r="929" spans="3:84" x14ac:dyDescent="0.25">
      <c r="C929" s="82">
        <v>14691</v>
      </c>
      <c r="D929" s="70">
        <v>9253</v>
      </c>
      <c r="E929" s="69" t="s">
        <v>137</v>
      </c>
      <c r="F929" s="69" t="s">
        <v>1579</v>
      </c>
      <c r="H929" s="69">
        <v>7950</v>
      </c>
      <c r="U929" s="69"/>
      <c r="V929" s="69"/>
      <c r="AR929" s="74">
        <f t="shared" si="96"/>
        <v>7950</v>
      </c>
      <c r="AS929" s="69">
        <v>6698.95</v>
      </c>
      <c r="AT929" s="69">
        <v>853.55</v>
      </c>
      <c r="AV929" s="69">
        <v>397.5</v>
      </c>
      <c r="BC929" s="69"/>
      <c r="BD929" s="69"/>
      <c r="CC929" s="74">
        <f t="shared" si="98"/>
        <v>7950</v>
      </c>
      <c r="CD929" s="73">
        <f t="shared" si="88"/>
        <v>0</v>
      </c>
      <c r="CE929" s="75">
        <f t="shared" ref="CE929:CF941" si="100">+D929</f>
        <v>9253</v>
      </c>
      <c r="CF929" s="3" t="str">
        <f t="shared" si="100"/>
        <v xml:space="preserve">خدمة عامة </v>
      </c>
    </row>
    <row r="930" spans="3:84" x14ac:dyDescent="0.25">
      <c r="C930" s="82">
        <v>14689</v>
      </c>
      <c r="D930" s="70">
        <v>9254</v>
      </c>
      <c r="E930" s="69" t="s">
        <v>137</v>
      </c>
      <c r="F930" s="69" t="s">
        <v>1579</v>
      </c>
      <c r="H930" s="69">
        <v>5715.93</v>
      </c>
      <c r="U930" s="69"/>
      <c r="V930" s="69"/>
      <c r="AR930" s="74">
        <f t="shared" si="96"/>
        <v>5715.93</v>
      </c>
      <c r="AS930" s="69">
        <v>3578.35</v>
      </c>
      <c r="AT930" s="69">
        <v>516.65</v>
      </c>
      <c r="AU930" s="69">
        <v>1377.18</v>
      </c>
      <c r="AV930" s="69">
        <v>243.75</v>
      </c>
      <c r="BC930" s="69"/>
      <c r="BD930" s="69"/>
      <c r="CC930" s="74">
        <f t="shared" si="98"/>
        <v>5715.93</v>
      </c>
      <c r="CD930" s="73">
        <f t="shared" si="88"/>
        <v>0</v>
      </c>
      <c r="CE930" s="75">
        <f t="shared" si="100"/>
        <v>9254</v>
      </c>
      <c r="CF930" s="3" t="str">
        <f t="shared" si="100"/>
        <v xml:space="preserve">خدمة عامة </v>
      </c>
    </row>
    <row r="931" spans="3:84" x14ac:dyDescent="0.25">
      <c r="C931" s="82">
        <v>14687</v>
      </c>
      <c r="D931" s="70">
        <v>9255</v>
      </c>
      <c r="E931" s="69" t="s">
        <v>137</v>
      </c>
      <c r="F931" s="69" t="s">
        <v>1579</v>
      </c>
      <c r="H931" s="69">
        <v>88372</v>
      </c>
      <c r="U931" s="69"/>
      <c r="V931" s="69"/>
      <c r="AR931" s="74">
        <f t="shared" si="96"/>
        <v>88372</v>
      </c>
      <c r="AS931" s="69">
        <v>60822.65</v>
      </c>
      <c r="AT931" s="69">
        <v>8441.5</v>
      </c>
      <c r="AU931" s="69">
        <v>15151.85</v>
      </c>
      <c r="AV931" s="69">
        <v>3956</v>
      </c>
      <c r="BC931" s="69"/>
      <c r="BD931" s="69"/>
      <c r="CC931" s="74">
        <f t="shared" si="98"/>
        <v>88372</v>
      </c>
      <c r="CD931" s="73">
        <f t="shared" si="88"/>
        <v>0</v>
      </c>
      <c r="CE931" s="75">
        <f t="shared" si="100"/>
        <v>9255</v>
      </c>
      <c r="CF931" s="3" t="str">
        <f t="shared" si="100"/>
        <v xml:space="preserve">خدمة عامة </v>
      </c>
    </row>
    <row r="932" spans="3:84" x14ac:dyDescent="0.25">
      <c r="C932" s="82">
        <v>14980</v>
      </c>
      <c r="D932" s="70">
        <v>9256</v>
      </c>
      <c r="E932" s="69" t="s">
        <v>137</v>
      </c>
      <c r="F932" s="69" t="s">
        <v>1580</v>
      </c>
      <c r="H932" s="69">
        <v>63075.3</v>
      </c>
      <c r="U932" s="69"/>
      <c r="V932" s="69"/>
      <c r="AR932" s="74">
        <f t="shared" si="96"/>
        <v>63075.3</v>
      </c>
      <c r="AS932" s="69">
        <v>39497.01</v>
      </c>
      <c r="AT932" s="69">
        <v>5698.3</v>
      </c>
      <c r="AU932" s="69">
        <v>15189.99</v>
      </c>
      <c r="AV932" s="69">
        <v>2690</v>
      </c>
      <c r="BC932" s="69"/>
      <c r="BD932" s="69"/>
      <c r="CC932" s="74">
        <f t="shared" si="98"/>
        <v>63075.3</v>
      </c>
      <c r="CD932" s="73">
        <f t="shared" si="88"/>
        <v>0</v>
      </c>
      <c r="CE932" s="75">
        <f t="shared" si="100"/>
        <v>9256</v>
      </c>
      <c r="CF932" s="3" t="str">
        <f t="shared" si="100"/>
        <v xml:space="preserve">خدمة عامة </v>
      </c>
    </row>
    <row r="933" spans="3:84" x14ac:dyDescent="0.25">
      <c r="C933" s="82">
        <v>14983</v>
      </c>
      <c r="D933" s="70">
        <v>9257</v>
      </c>
      <c r="E933" s="69" t="s">
        <v>137</v>
      </c>
      <c r="F933" s="69" t="s">
        <v>1580</v>
      </c>
      <c r="H933" s="69">
        <v>3517.5</v>
      </c>
      <c r="U933" s="69"/>
      <c r="V933" s="69"/>
      <c r="AR933" s="74">
        <f t="shared" si="96"/>
        <v>3517.5</v>
      </c>
      <c r="AS933" s="69">
        <v>2203</v>
      </c>
      <c r="AT933" s="69">
        <v>317</v>
      </c>
      <c r="AU933" s="69">
        <v>847.5</v>
      </c>
      <c r="AV933" s="69">
        <v>150</v>
      </c>
      <c r="BC933" s="69"/>
      <c r="BD933" s="69"/>
      <c r="CC933" s="74">
        <f t="shared" si="98"/>
        <v>3517.5</v>
      </c>
      <c r="CD933" s="73">
        <f t="shared" si="88"/>
        <v>0</v>
      </c>
      <c r="CE933" s="75">
        <f t="shared" si="100"/>
        <v>9257</v>
      </c>
      <c r="CF933" s="3" t="str">
        <f t="shared" si="100"/>
        <v xml:space="preserve">خدمة عامة </v>
      </c>
    </row>
    <row r="934" spans="3:84" x14ac:dyDescent="0.25">
      <c r="C934" s="82">
        <v>14985</v>
      </c>
      <c r="D934" s="70">
        <v>9258</v>
      </c>
      <c r="E934" s="69" t="s">
        <v>137</v>
      </c>
      <c r="F934" s="69" t="s">
        <v>1580</v>
      </c>
      <c r="H934" s="69">
        <v>850</v>
      </c>
      <c r="U934" s="69"/>
      <c r="V934" s="69"/>
      <c r="AR934" s="74">
        <f t="shared" si="96"/>
        <v>850</v>
      </c>
      <c r="AS934" s="69">
        <v>716.9</v>
      </c>
      <c r="AT934" s="69">
        <v>90.6</v>
      </c>
      <c r="AV934" s="69">
        <v>42.5</v>
      </c>
      <c r="BC934" s="69"/>
      <c r="BD934" s="69"/>
      <c r="CC934" s="74">
        <f t="shared" si="98"/>
        <v>850</v>
      </c>
      <c r="CD934" s="73">
        <f t="shared" si="88"/>
        <v>0</v>
      </c>
      <c r="CE934" s="75">
        <f t="shared" si="100"/>
        <v>9258</v>
      </c>
      <c r="CF934" s="3" t="str">
        <f t="shared" si="100"/>
        <v xml:space="preserve">خدمة عامة </v>
      </c>
    </row>
    <row r="935" spans="3:84" x14ac:dyDescent="0.25">
      <c r="C935" s="82">
        <v>14984</v>
      </c>
      <c r="D935" s="70">
        <v>9259</v>
      </c>
      <c r="E935" s="69" t="s">
        <v>137</v>
      </c>
      <c r="F935" s="69" t="s">
        <v>1580</v>
      </c>
      <c r="H935" s="69">
        <v>2541.5</v>
      </c>
      <c r="U935" s="69"/>
      <c r="V935" s="69"/>
      <c r="AR935" s="74">
        <f t="shared" si="96"/>
        <v>2541.5</v>
      </c>
      <c r="AS935" s="69">
        <v>1786.95</v>
      </c>
      <c r="AT935" s="69">
        <v>244.05</v>
      </c>
      <c r="AU935" s="69">
        <v>395.5</v>
      </c>
      <c r="AV935" s="69">
        <v>115</v>
      </c>
      <c r="BC935" s="69"/>
      <c r="BD935" s="69"/>
      <c r="CC935" s="74">
        <f t="shared" si="98"/>
        <v>2541.5</v>
      </c>
      <c r="CD935" s="73">
        <f t="shared" si="88"/>
        <v>0</v>
      </c>
      <c r="CE935" s="75">
        <f t="shared" si="100"/>
        <v>9259</v>
      </c>
      <c r="CF935" s="3" t="str">
        <f t="shared" si="100"/>
        <v xml:space="preserve">خدمة عامة </v>
      </c>
    </row>
    <row r="936" spans="3:84" x14ac:dyDescent="0.25">
      <c r="C936" s="82">
        <v>15316</v>
      </c>
      <c r="D936" s="70">
        <v>9260</v>
      </c>
      <c r="E936" s="69" t="s">
        <v>121</v>
      </c>
      <c r="F936" s="69" t="s">
        <v>1581</v>
      </c>
      <c r="H936" s="69">
        <v>173.46</v>
      </c>
      <c r="U936" s="69"/>
      <c r="V936" s="69"/>
      <c r="AR936" s="74">
        <f t="shared" si="96"/>
        <v>173.46</v>
      </c>
      <c r="AS936" s="69">
        <v>118.05</v>
      </c>
      <c r="AT936" s="69">
        <v>13.62</v>
      </c>
      <c r="AU936" s="69">
        <v>41.79</v>
      </c>
      <c r="BC936" s="69"/>
      <c r="BD936" s="69"/>
      <c r="CC936" s="74">
        <f t="shared" si="98"/>
        <v>173.45999999999998</v>
      </c>
      <c r="CD936" s="73">
        <f t="shared" si="88"/>
        <v>0</v>
      </c>
      <c r="CE936" s="75">
        <f t="shared" si="100"/>
        <v>9260</v>
      </c>
      <c r="CF936" s="3" t="str">
        <f t="shared" si="100"/>
        <v>ماليزى اسنان</v>
      </c>
    </row>
    <row r="937" spans="3:84" x14ac:dyDescent="0.25">
      <c r="C937" s="82">
        <v>15317</v>
      </c>
      <c r="D937" s="70">
        <v>9261</v>
      </c>
      <c r="E937" s="69" t="s">
        <v>121</v>
      </c>
      <c r="F937" s="69" t="s">
        <v>1582</v>
      </c>
      <c r="H937" s="69">
        <v>867.3</v>
      </c>
      <c r="U937" s="69"/>
      <c r="V937" s="69"/>
      <c r="AR937" s="74">
        <f t="shared" si="96"/>
        <v>867.3</v>
      </c>
      <c r="AS937" s="69">
        <v>590.25</v>
      </c>
      <c r="AT937" s="69">
        <v>68.099999999999994</v>
      </c>
      <c r="AU937" s="69">
        <v>208.95</v>
      </c>
      <c r="BC937" s="69"/>
      <c r="BD937" s="69"/>
      <c r="CC937" s="74">
        <f t="shared" si="98"/>
        <v>867.3</v>
      </c>
      <c r="CD937" s="73">
        <f t="shared" ref="CD937:CD941" si="101">+CC937-AR937</f>
        <v>0</v>
      </c>
      <c r="CE937" s="75">
        <f t="shared" si="100"/>
        <v>9261</v>
      </c>
      <c r="CF937" s="3" t="str">
        <f t="shared" si="100"/>
        <v>ماليزى اسنان</v>
      </c>
    </row>
    <row r="938" spans="3:84" x14ac:dyDescent="0.25">
      <c r="C938" s="82">
        <v>15315</v>
      </c>
      <c r="D938" s="70">
        <v>9262</v>
      </c>
      <c r="E938" s="69" t="s">
        <v>121</v>
      </c>
      <c r="F938" s="69" t="s">
        <v>1581</v>
      </c>
      <c r="H938" s="69">
        <v>229.52</v>
      </c>
      <c r="U938" s="69"/>
      <c r="V938" s="69"/>
      <c r="AR938" s="74">
        <f t="shared" si="96"/>
        <v>229.52</v>
      </c>
      <c r="AS938" s="69">
        <v>156.11000000000001</v>
      </c>
      <c r="AT938" s="69">
        <v>18.100000000000001</v>
      </c>
      <c r="AU938" s="69">
        <v>55.31</v>
      </c>
      <c r="BC938" s="69"/>
      <c r="BD938" s="69"/>
      <c r="CC938" s="74">
        <f t="shared" si="98"/>
        <v>229.52</v>
      </c>
      <c r="CD938" s="73">
        <f t="shared" si="101"/>
        <v>0</v>
      </c>
      <c r="CE938" s="75">
        <f t="shared" si="100"/>
        <v>9262</v>
      </c>
      <c r="CF938" s="3" t="str">
        <f t="shared" si="100"/>
        <v>ماليزى اسنان</v>
      </c>
    </row>
    <row r="939" spans="3:84" x14ac:dyDescent="0.25">
      <c r="C939" s="82">
        <v>15314</v>
      </c>
      <c r="D939" s="70">
        <v>9263</v>
      </c>
      <c r="E939" s="69" t="s">
        <v>121</v>
      </c>
      <c r="F939" s="69" t="s">
        <v>1583</v>
      </c>
      <c r="H939" s="69">
        <v>4943.26</v>
      </c>
      <c r="U939" s="69"/>
      <c r="V939" s="69"/>
      <c r="AR939" s="74">
        <f t="shared" si="96"/>
        <v>4943.26</v>
      </c>
      <c r="AS939" s="69">
        <v>3363.46</v>
      </c>
      <c r="AT939" s="69">
        <v>389.04</v>
      </c>
      <c r="AU939" s="69">
        <v>1190.76</v>
      </c>
      <c r="BC939" s="69"/>
      <c r="BD939" s="69"/>
      <c r="CC939" s="74">
        <f t="shared" si="98"/>
        <v>4943.26</v>
      </c>
      <c r="CD939" s="73">
        <f t="shared" si="101"/>
        <v>0</v>
      </c>
      <c r="CE939" s="75">
        <f t="shared" si="100"/>
        <v>9263</v>
      </c>
      <c r="CF939" s="3" t="str">
        <f t="shared" si="100"/>
        <v>ماليزى اسنان</v>
      </c>
    </row>
    <row r="940" spans="3:84" x14ac:dyDescent="0.25">
      <c r="C940" s="82">
        <v>14982</v>
      </c>
      <c r="D940" s="70">
        <v>9264</v>
      </c>
      <c r="E940" s="69" t="s">
        <v>137</v>
      </c>
      <c r="F940" s="69" t="str">
        <f>+F935</f>
        <v>مكافاه وحده التعليم والخدمه العامه يناير</v>
      </c>
      <c r="H940" s="69">
        <v>703.5</v>
      </c>
      <c r="U940" s="69"/>
      <c r="V940" s="69"/>
      <c r="AR940" s="74">
        <f t="shared" si="96"/>
        <v>703.5</v>
      </c>
      <c r="AS940" s="69">
        <v>440.6</v>
      </c>
      <c r="AT940" s="69">
        <v>63.4</v>
      </c>
      <c r="AU940" s="69">
        <v>169.5</v>
      </c>
      <c r="AV940" s="69">
        <v>30</v>
      </c>
      <c r="BC940" s="69"/>
      <c r="BD940" s="69"/>
      <c r="CC940" s="74">
        <f t="shared" si="98"/>
        <v>703.5</v>
      </c>
      <c r="CD940" s="73">
        <f t="shared" si="101"/>
        <v>0</v>
      </c>
      <c r="CE940" s="75">
        <f t="shared" si="100"/>
        <v>9264</v>
      </c>
      <c r="CF940" s="3" t="str">
        <f t="shared" si="100"/>
        <v xml:space="preserve">خدمة عامة </v>
      </c>
    </row>
    <row r="941" spans="3:84" x14ac:dyDescent="0.25">
      <c r="C941" s="82">
        <v>14981</v>
      </c>
      <c r="D941" s="70">
        <v>9265</v>
      </c>
      <c r="E941" s="69" t="s">
        <v>137</v>
      </c>
      <c r="F941" s="69" t="str">
        <f>+F940</f>
        <v>مكافاه وحده التعليم والخدمه العامه يناير</v>
      </c>
      <c r="H941" s="69">
        <v>18173.75</v>
      </c>
      <c r="U941" s="69"/>
      <c r="V941" s="69"/>
      <c r="AR941" s="74">
        <f t="shared" si="96"/>
        <v>18173.75</v>
      </c>
      <c r="AS941" s="69">
        <v>11380.2</v>
      </c>
      <c r="AT941" s="69">
        <v>1639.8</v>
      </c>
      <c r="AU941" s="69">
        <v>4378.75</v>
      </c>
      <c r="AV941" s="69">
        <v>775</v>
      </c>
      <c r="BC941" s="69"/>
      <c r="BD941" s="69"/>
      <c r="CC941" s="74">
        <f t="shared" si="98"/>
        <v>18173.75</v>
      </c>
      <c r="CD941" s="73">
        <f t="shared" si="101"/>
        <v>0</v>
      </c>
      <c r="CE941" s="75">
        <f t="shared" si="100"/>
        <v>9265</v>
      </c>
      <c r="CF941" s="3" t="str">
        <f t="shared" si="100"/>
        <v xml:space="preserve">خدمة عامة </v>
      </c>
    </row>
    <row r="942" spans="3:84" x14ac:dyDescent="0.25">
      <c r="C942" s="82">
        <v>15026</v>
      </c>
      <c r="D942" s="78">
        <v>9266</v>
      </c>
      <c r="E942" s="69" t="s">
        <v>132</v>
      </c>
      <c r="F942" s="69" t="s">
        <v>1584</v>
      </c>
      <c r="G942" s="69"/>
      <c r="H942" s="69">
        <v>14971.25</v>
      </c>
      <c r="U942" s="69"/>
      <c r="V942" s="69"/>
      <c r="AR942" s="74">
        <f>SUM(H942:AQ942)</f>
        <v>14971.25</v>
      </c>
      <c r="AS942" s="69">
        <v>13296.82</v>
      </c>
      <c r="AT942" s="69">
        <v>1590.5</v>
      </c>
      <c r="AU942" s="69">
        <v>83.93</v>
      </c>
      <c r="BC942" s="69"/>
      <c r="BD942" s="69"/>
      <c r="CC942" s="74">
        <f>SUM(AS942:CB942)</f>
        <v>14971.25</v>
      </c>
      <c r="CD942" s="73">
        <f>+CC942-AR942</f>
        <v>0</v>
      </c>
      <c r="CE942" s="75">
        <f>+D942</f>
        <v>9266</v>
      </c>
      <c r="CF942" s="3" t="str">
        <f>+E942</f>
        <v>صيدلة اكلينيكى</v>
      </c>
    </row>
    <row r="943" spans="3:84" x14ac:dyDescent="0.25">
      <c r="C943" s="82">
        <v>15318</v>
      </c>
      <c r="D943" s="78">
        <v>9267</v>
      </c>
      <c r="E943" s="69" t="s">
        <v>121</v>
      </c>
      <c r="F943" s="69" t="str">
        <f>+F936</f>
        <v>مكافاه 75% كادر يناير فصل موازنه</v>
      </c>
      <c r="H943" s="69">
        <v>11449.64</v>
      </c>
      <c r="U943" s="69"/>
      <c r="V943" s="69"/>
      <c r="AR943" s="74">
        <f>SUM(H943:AQ943)</f>
        <v>11449.64</v>
      </c>
      <c r="AS943" s="69">
        <v>7790.94</v>
      </c>
      <c r="AT943" s="69">
        <v>900.56</v>
      </c>
      <c r="AU943" s="69">
        <v>2758.14</v>
      </c>
      <c r="BC943" s="69"/>
      <c r="BD943" s="69"/>
      <c r="CC943" s="74">
        <f t="shared" ref="CC943:CC1006" si="102">SUM(AS943:CB943)</f>
        <v>11449.64</v>
      </c>
      <c r="CD943" s="73">
        <f t="shared" ref="CD943:CD1006" si="103">+CC943-AR943</f>
        <v>0</v>
      </c>
      <c r="CE943" s="75">
        <f t="shared" ref="CE943:CF958" si="104">+D943</f>
        <v>9267</v>
      </c>
      <c r="CF943" s="3" t="str">
        <f t="shared" si="104"/>
        <v>ماليزى اسنان</v>
      </c>
    </row>
    <row r="944" spans="3:84" ht="54" x14ac:dyDescent="0.25">
      <c r="C944" s="82">
        <v>15328</v>
      </c>
      <c r="D944" s="78">
        <v>9268</v>
      </c>
      <c r="F944" s="77" t="s">
        <v>1585</v>
      </c>
      <c r="U944" s="69"/>
      <c r="V944" s="69"/>
      <c r="X944" s="69">
        <v>806.55</v>
      </c>
      <c r="AR944" s="74">
        <f t="shared" ref="AR944:AR1066" si="105">SUM(H944:AQ944)</f>
        <v>806.55</v>
      </c>
      <c r="AS944" s="69">
        <v>806.55</v>
      </c>
      <c r="AT944" s="69"/>
      <c r="BC944" s="69"/>
      <c r="BD944" s="69"/>
      <c r="CC944" s="74">
        <f t="shared" si="102"/>
        <v>806.55</v>
      </c>
      <c r="CD944" s="73">
        <f t="shared" si="103"/>
        <v>0</v>
      </c>
      <c r="CE944" s="75">
        <f t="shared" si="104"/>
        <v>9268</v>
      </c>
      <c r="CF944" s="3">
        <f t="shared" si="104"/>
        <v>0</v>
      </c>
    </row>
    <row r="945" spans="3:84" x14ac:dyDescent="0.25">
      <c r="C945" s="82">
        <v>15177</v>
      </c>
      <c r="D945" s="78">
        <v>9269</v>
      </c>
      <c r="E945" s="69" t="s">
        <v>132</v>
      </c>
      <c r="F945" s="69" t="s">
        <v>1586</v>
      </c>
      <c r="U945" s="69">
        <v>54415.64</v>
      </c>
      <c r="V945" s="69"/>
      <c r="AR945" s="74">
        <f t="shared" si="105"/>
        <v>54415.64</v>
      </c>
      <c r="AS945" s="69">
        <v>54415.64</v>
      </c>
      <c r="AT945" s="69"/>
      <c r="BC945" s="69"/>
      <c r="BD945" s="69"/>
      <c r="CC945" s="74">
        <f t="shared" si="102"/>
        <v>54415.64</v>
      </c>
      <c r="CD945" s="73">
        <f t="shared" si="103"/>
        <v>0</v>
      </c>
      <c r="CE945" s="75">
        <f t="shared" si="104"/>
        <v>9269</v>
      </c>
      <c r="CF945" s="3" t="str">
        <f t="shared" si="104"/>
        <v>صيدلة اكلينيكى</v>
      </c>
    </row>
    <row r="946" spans="3:84" x14ac:dyDescent="0.25">
      <c r="C946" s="82">
        <v>15178</v>
      </c>
      <c r="D946" s="78">
        <v>9270</v>
      </c>
      <c r="E946" s="69" t="s">
        <v>132</v>
      </c>
      <c r="F946" s="69" t="s">
        <v>1587</v>
      </c>
      <c r="U946" s="69">
        <v>3013.94</v>
      </c>
      <c r="V946" s="69"/>
      <c r="AR946" s="74">
        <f t="shared" si="105"/>
        <v>3013.94</v>
      </c>
      <c r="AS946" s="69">
        <v>3013.94</v>
      </c>
      <c r="AT946" s="69"/>
      <c r="BC946" s="69"/>
      <c r="BD946" s="69"/>
      <c r="CC946" s="74">
        <f t="shared" si="102"/>
        <v>3013.94</v>
      </c>
      <c r="CD946" s="73">
        <f t="shared" si="103"/>
        <v>0</v>
      </c>
      <c r="CE946" s="75">
        <f t="shared" si="104"/>
        <v>9270</v>
      </c>
      <c r="CF946" s="3" t="str">
        <f t="shared" si="104"/>
        <v>صيدلة اكلينيكى</v>
      </c>
    </row>
    <row r="947" spans="3:84" x14ac:dyDescent="0.25">
      <c r="C947" s="82">
        <v>15179</v>
      </c>
      <c r="D947" s="78">
        <v>9271</v>
      </c>
      <c r="E947" s="69" t="s">
        <v>132</v>
      </c>
      <c r="F947" s="69" t="s">
        <v>1588</v>
      </c>
      <c r="U947" s="69">
        <v>1894.8</v>
      </c>
      <c r="V947" s="69"/>
      <c r="AR947" s="74">
        <f t="shared" si="105"/>
        <v>1894.8</v>
      </c>
      <c r="AS947" s="69">
        <v>1894.8</v>
      </c>
      <c r="AT947" s="69"/>
      <c r="BC947" s="69"/>
      <c r="BD947" s="69"/>
      <c r="CC947" s="74">
        <f t="shared" si="102"/>
        <v>1894.8</v>
      </c>
      <c r="CD947" s="73">
        <f t="shared" si="103"/>
        <v>0</v>
      </c>
      <c r="CE947" s="75">
        <f t="shared" si="104"/>
        <v>9271</v>
      </c>
      <c r="CF947" s="3" t="str">
        <f t="shared" si="104"/>
        <v>صيدلة اكلينيكى</v>
      </c>
    </row>
    <row r="948" spans="3:84" x14ac:dyDescent="0.25">
      <c r="C948" s="82">
        <v>15180</v>
      </c>
      <c r="D948" s="78">
        <v>9272</v>
      </c>
      <c r="E948" s="69" t="s">
        <v>132</v>
      </c>
      <c r="F948" s="69" t="s">
        <v>1589</v>
      </c>
      <c r="U948" s="69"/>
      <c r="V948" s="69">
        <v>38</v>
      </c>
      <c r="AR948" s="74">
        <f t="shared" si="105"/>
        <v>38</v>
      </c>
      <c r="AS948" s="69">
        <v>38</v>
      </c>
      <c r="AT948" s="69"/>
      <c r="BC948" s="69"/>
      <c r="BD948" s="69"/>
      <c r="CC948" s="74">
        <f t="shared" si="102"/>
        <v>38</v>
      </c>
      <c r="CD948" s="73">
        <f t="shared" si="103"/>
        <v>0</v>
      </c>
      <c r="CE948" s="75">
        <f t="shared" si="104"/>
        <v>9272</v>
      </c>
      <c r="CF948" s="3" t="str">
        <f t="shared" si="104"/>
        <v>صيدلة اكلينيكى</v>
      </c>
    </row>
    <row r="949" spans="3:84" x14ac:dyDescent="0.25">
      <c r="C949" s="82">
        <v>15181</v>
      </c>
      <c r="D949" s="78">
        <v>9273</v>
      </c>
      <c r="E949" s="69" t="s">
        <v>119</v>
      </c>
      <c r="F949" s="69" t="str">
        <f t="shared" ref="F949:F954" si="106">+F945</f>
        <v>كسب عمل فبراير</v>
      </c>
      <c r="U949" s="69">
        <v>3976.71</v>
      </c>
      <c r="V949" s="69"/>
      <c r="AR949" s="74">
        <f t="shared" si="105"/>
        <v>3976.71</v>
      </c>
      <c r="AS949" s="69">
        <v>3976.71</v>
      </c>
      <c r="AT949" s="69"/>
      <c r="BC949" s="69"/>
      <c r="BD949" s="69"/>
      <c r="CC949" s="74">
        <f t="shared" si="102"/>
        <v>3976.71</v>
      </c>
      <c r="CD949" s="73">
        <f t="shared" si="103"/>
        <v>0</v>
      </c>
      <c r="CE949" s="75">
        <f t="shared" si="104"/>
        <v>9273</v>
      </c>
      <c r="CF949" s="3" t="str">
        <f t="shared" si="104"/>
        <v>خ ت صيدلة</v>
      </c>
    </row>
    <row r="950" spans="3:84" x14ac:dyDescent="0.25">
      <c r="C950" s="82">
        <v>15182</v>
      </c>
      <c r="D950" s="78">
        <v>9274</v>
      </c>
      <c r="E950" s="69" t="s">
        <v>119</v>
      </c>
      <c r="F950" s="69" t="str">
        <f t="shared" si="106"/>
        <v>دمغه عاديه فبراير</v>
      </c>
      <c r="U950" s="69">
        <v>1722.8</v>
      </c>
      <c r="V950" s="69"/>
      <c r="AR950" s="74">
        <f t="shared" si="105"/>
        <v>1722.8</v>
      </c>
      <c r="AS950" s="69">
        <v>1722.8</v>
      </c>
      <c r="AT950" s="69"/>
      <c r="BC950" s="69"/>
      <c r="BD950" s="69"/>
      <c r="CC950" s="74">
        <f t="shared" si="102"/>
        <v>1722.8</v>
      </c>
      <c r="CD950" s="73">
        <f t="shared" si="103"/>
        <v>0</v>
      </c>
      <c r="CE950" s="75">
        <f t="shared" si="104"/>
        <v>9274</v>
      </c>
      <c r="CF950" s="3" t="str">
        <f t="shared" si="104"/>
        <v>خ ت صيدلة</v>
      </c>
    </row>
    <row r="951" spans="3:84" x14ac:dyDescent="0.25">
      <c r="C951" s="82">
        <v>15183</v>
      </c>
      <c r="D951" s="78">
        <v>9275</v>
      </c>
      <c r="E951" s="69" t="s">
        <v>119</v>
      </c>
      <c r="F951" s="69" t="str">
        <f t="shared" si="106"/>
        <v>ضرائب متنوعه فبراير</v>
      </c>
      <c r="U951" s="69">
        <v>852.8</v>
      </c>
      <c r="V951" s="69"/>
      <c r="AR951" s="74">
        <f t="shared" si="105"/>
        <v>852.8</v>
      </c>
      <c r="AS951" s="69">
        <v>852.8</v>
      </c>
      <c r="AT951" s="69"/>
      <c r="BC951" s="69"/>
      <c r="BD951" s="69"/>
      <c r="CC951" s="74">
        <f t="shared" si="102"/>
        <v>852.8</v>
      </c>
      <c r="CD951" s="73">
        <f t="shared" si="103"/>
        <v>0</v>
      </c>
      <c r="CE951" s="75">
        <f t="shared" si="104"/>
        <v>9275</v>
      </c>
      <c r="CF951" s="3" t="str">
        <f t="shared" si="104"/>
        <v>خ ت صيدلة</v>
      </c>
    </row>
    <row r="952" spans="3:84" x14ac:dyDescent="0.25">
      <c r="C952" s="82">
        <v>15184</v>
      </c>
      <c r="D952" s="78">
        <v>9276</v>
      </c>
      <c r="E952" s="69" t="s">
        <v>119</v>
      </c>
      <c r="F952" s="69" t="str">
        <f t="shared" si="106"/>
        <v>تنمية موارد فبراير</v>
      </c>
      <c r="U952" s="69"/>
      <c r="V952" s="69">
        <v>24</v>
      </c>
      <c r="AR952" s="74">
        <f t="shared" si="105"/>
        <v>24</v>
      </c>
      <c r="AS952" s="69">
        <v>24</v>
      </c>
      <c r="AT952" s="69"/>
      <c r="BC952" s="69"/>
      <c r="BD952" s="69"/>
      <c r="CC952" s="74">
        <f t="shared" si="102"/>
        <v>24</v>
      </c>
      <c r="CD952" s="73">
        <f t="shared" si="103"/>
        <v>0</v>
      </c>
      <c r="CE952" s="75">
        <f t="shared" si="104"/>
        <v>9276</v>
      </c>
      <c r="CF952" s="3" t="str">
        <f t="shared" si="104"/>
        <v>خ ت صيدلة</v>
      </c>
    </row>
    <row r="953" spans="3:84" x14ac:dyDescent="0.25">
      <c r="C953" s="82">
        <v>15185</v>
      </c>
      <c r="D953" s="78">
        <v>9277</v>
      </c>
      <c r="E953" s="69" t="s">
        <v>729</v>
      </c>
      <c r="F953" s="69" t="str">
        <f t="shared" si="106"/>
        <v>كسب عمل فبراير</v>
      </c>
      <c r="U953" s="69">
        <v>1848.51</v>
      </c>
      <c r="V953" s="69"/>
      <c r="AR953" s="74">
        <f t="shared" si="105"/>
        <v>1848.51</v>
      </c>
      <c r="AS953" s="69">
        <v>1848.51</v>
      </c>
      <c r="AT953" s="69"/>
      <c r="BC953" s="69"/>
      <c r="BD953" s="69"/>
      <c r="CC953" s="74">
        <f t="shared" si="102"/>
        <v>1848.51</v>
      </c>
      <c r="CD953" s="73">
        <f t="shared" si="103"/>
        <v>0</v>
      </c>
      <c r="CE953" s="75">
        <f t="shared" si="104"/>
        <v>9277</v>
      </c>
      <c r="CF953" s="3" t="str">
        <f t="shared" si="104"/>
        <v>خدمات صيدلة</v>
      </c>
    </row>
    <row r="954" spans="3:84" x14ac:dyDescent="0.25">
      <c r="C954" s="82">
        <v>15186</v>
      </c>
      <c r="D954" s="78">
        <v>9278</v>
      </c>
      <c r="E954" s="69" t="s">
        <v>729</v>
      </c>
      <c r="F954" s="69" t="str">
        <f t="shared" si="106"/>
        <v>دمغه عاديه فبراير</v>
      </c>
      <c r="U954" s="69">
        <v>128.55000000000001</v>
      </c>
      <c r="V954" s="69"/>
      <c r="AR954" s="74">
        <f t="shared" si="105"/>
        <v>128.55000000000001</v>
      </c>
      <c r="AS954" s="69">
        <v>128.55000000000001</v>
      </c>
      <c r="AT954" s="69"/>
      <c r="BC954" s="69"/>
      <c r="BD954" s="69"/>
      <c r="CC954" s="74">
        <f t="shared" si="102"/>
        <v>128.55000000000001</v>
      </c>
      <c r="CD954" s="73">
        <f t="shared" si="103"/>
        <v>0</v>
      </c>
      <c r="CE954" s="75">
        <f t="shared" si="104"/>
        <v>9278</v>
      </c>
      <c r="CF954" s="3" t="str">
        <f t="shared" si="104"/>
        <v>خدمات صيدلة</v>
      </c>
    </row>
    <row r="955" spans="3:84" x14ac:dyDescent="0.25">
      <c r="C955" s="82">
        <v>15187</v>
      </c>
      <c r="D955" s="78">
        <v>9279</v>
      </c>
      <c r="E955" s="69" t="s">
        <v>730</v>
      </c>
      <c r="F955" s="69" t="str">
        <f>+F949</f>
        <v>كسب عمل فبراير</v>
      </c>
      <c r="U955" s="69">
        <v>4624.75</v>
      </c>
      <c r="V955" s="69"/>
      <c r="AR955" s="74">
        <f t="shared" si="105"/>
        <v>4624.75</v>
      </c>
      <c r="AS955" s="69">
        <v>4624.75</v>
      </c>
      <c r="AT955" s="69"/>
      <c r="BC955" s="69"/>
      <c r="BD955" s="69"/>
      <c r="CC955" s="74">
        <f t="shared" si="102"/>
        <v>4624.75</v>
      </c>
      <c r="CD955" s="73">
        <f t="shared" si="103"/>
        <v>0</v>
      </c>
      <c r="CE955" s="75">
        <f t="shared" si="104"/>
        <v>9279</v>
      </c>
      <c r="CF955" s="3" t="str">
        <f t="shared" si="104"/>
        <v>علمى صيدلة</v>
      </c>
    </row>
    <row r="956" spans="3:84" x14ac:dyDescent="0.25">
      <c r="C956" s="82">
        <v>15188</v>
      </c>
      <c r="D956" s="78">
        <v>9280</v>
      </c>
      <c r="E956" s="69" t="s">
        <v>730</v>
      </c>
      <c r="F956" s="69" t="str">
        <f>+F954</f>
        <v>دمغه عاديه فبراير</v>
      </c>
      <c r="U956" s="69">
        <v>298.33</v>
      </c>
      <c r="V956" s="69"/>
      <c r="AR956" s="74">
        <f t="shared" si="105"/>
        <v>298.33</v>
      </c>
      <c r="AS956" s="69">
        <v>298.33</v>
      </c>
      <c r="AT956" s="69"/>
      <c r="BC956" s="69"/>
      <c r="BD956" s="69"/>
      <c r="CC956" s="74">
        <f t="shared" si="102"/>
        <v>298.33</v>
      </c>
      <c r="CD956" s="73">
        <f t="shared" si="103"/>
        <v>0</v>
      </c>
      <c r="CE956" s="75">
        <f t="shared" si="104"/>
        <v>9280</v>
      </c>
      <c r="CF956" s="3" t="str">
        <f t="shared" si="104"/>
        <v>علمى صيدلة</v>
      </c>
    </row>
    <row r="957" spans="3:84" x14ac:dyDescent="0.25">
      <c r="C957" s="82">
        <v>15200</v>
      </c>
      <c r="D957" s="78">
        <v>9281</v>
      </c>
      <c r="E957" s="69" t="s">
        <v>78</v>
      </c>
      <c r="F957" s="69" t="str">
        <f>+F956</f>
        <v>دمغه عاديه فبراير</v>
      </c>
      <c r="U957" s="69">
        <v>40214.5</v>
      </c>
      <c r="V957" s="69"/>
      <c r="AR957" s="74">
        <f t="shared" si="105"/>
        <v>40214.5</v>
      </c>
      <c r="AS957" s="69">
        <v>40214.5</v>
      </c>
      <c r="AT957" s="69"/>
      <c r="BC957" s="69"/>
      <c r="BD957" s="69"/>
      <c r="CC957" s="74">
        <f t="shared" si="102"/>
        <v>40214.5</v>
      </c>
      <c r="CD957" s="73">
        <f t="shared" si="103"/>
        <v>0</v>
      </c>
      <c r="CE957" s="75">
        <f t="shared" si="104"/>
        <v>9281</v>
      </c>
      <c r="CF957" s="3" t="str">
        <f t="shared" si="104"/>
        <v>برنامج دولى</v>
      </c>
    </row>
    <row r="958" spans="3:84" x14ac:dyDescent="0.25">
      <c r="C958" s="82">
        <v>15201</v>
      </c>
      <c r="D958" s="78">
        <v>9282</v>
      </c>
      <c r="E958" s="69" t="s">
        <v>78</v>
      </c>
      <c r="F958" s="69" t="str">
        <f>+F951</f>
        <v>ضرائب متنوعه فبراير</v>
      </c>
      <c r="U958" s="69">
        <v>27330.3</v>
      </c>
      <c r="V958" s="69"/>
      <c r="AR958" s="74">
        <f t="shared" si="105"/>
        <v>27330.3</v>
      </c>
      <c r="AS958" s="69">
        <v>27330.3</v>
      </c>
      <c r="AT958" s="69"/>
      <c r="BC958" s="69"/>
      <c r="BD958" s="69"/>
      <c r="CC958" s="74">
        <f t="shared" si="102"/>
        <v>27330.3</v>
      </c>
      <c r="CD958" s="73">
        <f t="shared" si="103"/>
        <v>0</v>
      </c>
      <c r="CE958" s="75">
        <f t="shared" si="104"/>
        <v>9282</v>
      </c>
      <c r="CF958" s="3" t="str">
        <f t="shared" si="104"/>
        <v>برنامج دولى</v>
      </c>
    </row>
    <row r="959" spans="3:84" x14ac:dyDescent="0.25">
      <c r="C959" s="82">
        <v>15202</v>
      </c>
      <c r="D959" s="78">
        <v>9283</v>
      </c>
      <c r="E959" s="69" t="s">
        <v>78</v>
      </c>
      <c r="F959" s="69" t="str">
        <f>+F952</f>
        <v>تنمية موارد فبراير</v>
      </c>
      <c r="U959" s="69"/>
      <c r="V959" s="69">
        <v>402</v>
      </c>
      <c r="AR959" s="74">
        <f t="shared" si="105"/>
        <v>402</v>
      </c>
      <c r="AS959" s="69">
        <v>402</v>
      </c>
      <c r="AT959" s="69"/>
      <c r="BC959" s="69"/>
      <c r="BD959" s="69"/>
      <c r="CC959" s="74">
        <f t="shared" si="102"/>
        <v>402</v>
      </c>
      <c r="CD959" s="73">
        <f t="shared" si="103"/>
        <v>0</v>
      </c>
      <c r="CE959" s="75">
        <f t="shared" ref="CE959:CF994" si="107">+D959</f>
        <v>9283</v>
      </c>
      <c r="CF959" s="3" t="str">
        <f t="shared" si="107"/>
        <v>برنامج دولى</v>
      </c>
    </row>
    <row r="960" spans="3:84" x14ac:dyDescent="0.25">
      <c r="C960" s="82">
        <v>15203</v>
      </c>
      <c r="D960" s="78">
        <v>9284</v>
      </c>
      <c r="E960" s="69" t="s">
        <v>78</v>
      </c>
      <c r="F960" s="69" t="str">
        <f>+F955</f>
        <v>كسب عمل فبراير</v>
      </c>
      <c r="U960" s="69">
        <v>731543.7</v>
      </c>
      <c r="V960" s="69"/>
      <c r="AR960" s="74">
        <f t="shared" si="105"/>
        <v>731543.7</v>
      </c>
      <c r="AS960" s="69">
        <v>731543.7</v>
      </c>
      <c r="AT960" s="69"/>
      <c r="BC960" s="69"/>
      <c r="BD960" s="69"/>
      <c r="CC960" s="74">
        <f t="shared" si="102"/>
        <v>731543.7</v>
      </c>
      <c r="CD960" s="73">
        <f t="shared" si="103"/>
        <v>0</v>
      </c>
      <c r="CE960" s="75">
        <f t="shared" si="107"/>
        <v>9284</v>
      </c>
      <c r="CF960" s="3" t="str">
        <f t="shared" si="107"/>
        <v>برنامج دولى</v>
      </c>
    </row>
    <row r="961" spans="3:84" x14ac:dyDescent="0.25">
      <c r="C961" s="82">
        <v>15204</v>
      </c>
      <c r="D961" s="78">
        <v>9285</v>
      </c>
      <c r="E961" s="69" t="s">
        <v>130</v>
      </c>
      <c r="F961" s="69" t="str">
        <f>+F959</f>
        <v>تنمية موارد فبراير</v>
      </c>
      <c r="U961" s="69"/>
      <c r="V961" s="69">
        <v>252</v>
      </c>
      <c r="AR961" s="74">
        <f t="shared" si="105"/>
        <v>252</v>
      </c>
      <c r="AS961" s="69">
        <v>252</v>
      </c>
      <c r="AT961" s="69"/>
      <c r="BC961" s="69"/>
      <c r="BD961" s="69"/>
      <c r="CC961" s="74">
        <f t="shared" si="102"/>
        <v>252</v>
      </c>
      <c r="CD961" s="73">
        <f t="shared" si="103"/>
        <v>0</v>
      </c>
      <c r="CE961" s="75">
        <f t="shared" si="107"/>
        <v>9285</v>
      </c>
      <c r="CF961" s="3" t="str">
        <f t="shared" si="107"/>
        <v>خ ت طب</v>
      </c>
    </row>
    <row r="962" spans="3:84" x14ac:dyDescent="0.25">
      <c r="C962" s="82">
        <v>15205</v>
      </c>
      <c r="D962" s="78">
        <v>9286</v>
      </c>
      <c r="E962" s="69" t="s">
        <v>130</v>
      </c>
      <c r="F962" s="69" t="str">
        <f>+F960</f>
        <v>كسب عمل فبراير</v>
      </c>
      <c r="U962" s="69">
        <v>5534.01</v>
      </c>
      <c r="V962" s="69"/>
      <c r="AR962" s="74">
        <f t="shared" si="105"/>
        <v>5534.01</v>
      </c>
      <c r="AS962" s="69">
        <v>5534.01</v>
      </c>
      <c r="AT962" s="69"/>
      <c r="BC962" s="69"/>
      <c r="BD962" s="69"/>
      <c r="CC962" s="74">
        <f t="shared" si="102"/>
        <v>5534.01</v>
      </c>
      <c r="CD962" s="73">
        <f t="shared" si="103"/>
        <v>0</v>
      </c>
      <c r="CE962" s="75">
        <f t="shared" si="107"/>
        <v>9286</v>
      </c>
      <c r="CF962" s="3" t="str">
        <f t="shared" si="107"/>
        <v>خ ت طب</v>
      </c>
    </row>
    <row r="963" spans="3:84" x14ac:dyDescent="0.25">
      <c r="C963" s="82">
        <v>15206</v>
      </c>
      <c r="D963" s="78">
        <v>9287</v>
      </c>
      <c r="E963" s="69" t="s">
        <v>130</v>
      </c>
      <c r="F963" s="69" t="str">
        <f>+F957</f>
        <v>دمغه عاديه فبراير</v>
      </c>
      <c r="U963" s="69">
        <v>210.25</v>
      </c>
      <c r="V963" s="69"/>
      <c r="AR963" s="74">
        <f t="shared" si="105"/>
        <v>210.25</v>
      </c>
      <c r="AS963" s="69">
        <v>210.25</v>
      </c>
      <c r="AT963" s="69"/>
      <c r="BC963" s="69"/>
      <c r="BD963" s="69"/>
      <c r="CC963" s="74">
        <f t="shared" si="102"/>
        <v>210.25</v>
      </c>
      <c r="CD963" s="73">
        <f t="shared" si="103"/>
        <v>0</v>
      </c>
      <c r="CE963" s="75">
        <f t="shared" si="107"/>
        <v>9287</v>
      </c>
      <c r="CF963" s="3" t="str">
        <f t="shared" si="107"/>
        <v>خ ت طب</v>
      </c>
    </row>
    <row r="964" spans="3:84" x14ac:dyDescent="0.25">
      <c r="C964" s="82">
        <v>15207</v>
      </c>
      <c r="D964" s="78">
        <v>9288</v>
      </c>
      <c r="E964" s="69" t="s">
        <v>130</v>
      </c>
      <c r="F964" s="69" t="str">
        <f>+F958</f>
        <v>ضرائب متنوعه فبراير</v>
      </c>
      <c r="U964" s="69">
        <v>1865.2</v>
      </c>
      <c r="V964" s="69"/>
      <c r="AR964" s="74">
        <f t="shared" si="105"/>
        <v>1865.2</v>
      </c>
      <c r="AS964" s="69">
        <v>1865.2</v>
      </c>
      <c r="AT964" s="69"/>
      <c r="BC964" s="69"/>
      <c r="BD964" s="69"/>
      <c r="CC964" s="74">
        <f t="shared" si="102"/>
        <v>1865.2</v>
      </c>
      <c r="CD964" s="73">
        <f t="shared" si="103"/>
        <v>0</v>
      </c>
      <c r="CE964" s="75">
        <f t="shared" si="107"/>
        <v>9288</v>
      </c>
      <c r="CF964" s="3" t="str">
        <f t="shared" si="107"/>
        <v>خ ت طب</v>
      </c>
    </row>
    <row r="965" spans="3:84" x14ac:dyDescent="0.25">
      <c r="C965" s="82">
        <v>15208</v>
      </c>
      <c r="D965" s="78">
        <v>9289</v>
      </c>
      <c r="E965" s="69" t="s">
        <v>128</v>
      </c>
      <c r="F965" s="69" t="str">
        <f>+F964</f>
        <v>ضرائب متنوعه فبراير</v>
      </c>
      <c r="U965" s="69">
        <v>251.2</v>
      </c>
      <c r="V965" s="69"/>
      <c r="AR965" s="74">
        <f t="shared" si="105"/>
        <v>251.2</v>
      </c>
      <c r="AS965" s="69">
        <v>251.2</v>
      </c>
      <c r="AT965" s="69"/>
      <c r="BC965" s="69"/>
      <c r="BD965" s="69"/>
      <c r="CC965" s="74">
        <f t="shared" si="102"/>
        <v>251.2</v>
      </c>
      <c r="CD965" s="73">
        <f t="shared" si="103"/>
        <v>0</v>
      </c>
      <c r="CE965" s="75">
        <f t="shared" si="107"/>
        <v>9289</v>
      </c>
      <c r="CF965" s="3" t="str">
        <f t="shared" si="107"/>
        <v>مركز مؤتمرات</v>
      </c>
    </row>
    <row r="966" spans="3:84" x14ac:dyDescent="0.25">
      <c r="C966" s="82">
        <v>15209</v>
      </c>
      <c r="D966" s="78">
        <v>9290</v>
      </c>
      <c r="E966" s="69" t="s">
        <v>128</v>
      </c>
      <c r="F966" s="69" t="str">
        <f>+F961</f>
        <v>تنمية موارد فبراير</v>
      </c>
      <c r="U966" s="69"/>
      <c r="V966" s="69">
        <v>48</v>
      </c>
      <c r="AR966" s="74">
        <f t="shared" si="105"/>
        <v>48</v>
      </c>
      <c r="AS966" s="69">
        <v>48</v>
      </c>
      <c r="AT966" s="69"/>
      <c r="BC966" s="69"/>
      <c r="BD966" s="69"/>
      <c r="CC966" s="74">
        <f t="shared" si="102"/>
        <v>48</v>
      </c>
      <c r="CD966" s="73">
        <f t="shared" si="103"/>
        <v>0</v>
      </c>
      <c r="CE966" s="75">
        <f t="shared" si="107"/>
        <v>9290</v>
      </c>
      <c r="CF966" s="3" t="str">
        <f t="shared" si="107"/>
        <v>مركز مؤتمرات</v>
      </c>
    </row>
    <row r="967" spans="3:84" x14ac:dyDescent="0.25">
      <c r="C967" s="82">
        <v>15210</v>
      </c>
      <c r="D967" s="78">
        <v>9291</v>
      </c>
      <c r="E967" s="69" t="s">
        <v>128</v>
      </c>
      <c r="F967" s="69" t="str">
        <f>+F963</f>
        <v>دمغه عاديه فبراير</v>
      </c>
      <c r="U967" s="69">
        <v>497.5</v>
      </c>
      <c r="V967" s="69"/>
      <c r="AR967" s="74">
        <f t="shared" si="105"/>
        <v>497.5</v>
      </c>
      <c r="AS967" s="69">
        <v>497.5</v>
      </c>
      <c r="AT967" s="69"/>
      <c r="BC967" s="69"/>
      <c r="BD967" s="69"/>
      <c r="CC967" s="74">
        <f t="shared" si="102"/>
        <v>497.5</v>
      </c>
      <c r="CD967" s="73">
        <f t="shared" si="103"/>
        <v>0</v>
      </c>
      <c r="CE967" s="75">
        <f t="shared" si="107"/>
        <v>9291</v>
      </c>
      <c r="CF967" s="3" t="str">
        <f t="shared" si="107"/>
        <v>مركز مؤتمرات</v>
      </c>
    </row>
    <row r="968" spans="3:84" x14ac:dyDescent="0.25">
      <c r="C968" s="82">
        <v>15211</v>
      </c>
      <c r="D968" s="78">
        <v>9292</v>
      </c>
      <c r="E968" s="69" t="s">
        <v>128</v>
      </c>
      <c r="F968" s="69" t="str">
        <f>+F962</f>
        <v>كسب عمل فبراير</v>
      </c>
      <c r="U968" s="69">
        <v>7350.88</v>
      </c>
      <c r="V968" s="69"/>
      <c r="AR968" s="74">
        <f t="shared" si="105"/>
        <v>7350.88</v>
      </c>
      <c r="AS968" s="69">
        <v>7350.88</v>
      </c>
      <c r="AT968" s="69"/>
      <c r="BC968" s="69"/>
      <c r="BD968" s="69"/>
      <c r="CC968" s="74">
        <f t="shared" si="102"/>
        <v>7350.88</v>
      </c>
      <c r="CD968" s="73">
        <f t="shared" si="103"/>
        <v>0</v>
      </c>
      <c r="CE968" s="75">
        <f t="shared" si="107"/>
        <v>9292</v>
      </c>
      <c r="CF968" s="3" t="str">
        <f t="shared" si="107"/>
        <v>مركز مؤتمرات</v>
      </c>
    </row>
    <row r="969" spans="3:84" x14ac:dyDescent="0.25">
      <c r="C969" s="82">
        <v>15385</v>
      </c>
      <c r="D969" s="78">
        <v>9293</v>
      </c>
      <c r="E969" s="69" t="s">
        <v>121</v>
      </c>
      <c r="F969" s="69" t="str">
        <f>+F968</f>
        <v>كسب عمل فبراير</v>
      </c>
      <c r="U969" s="69">
        <v>398694.03</v>
      </c>
      <c r="V969" s="69"/>
      <c r="AR969" s="74">
        <f t="shared" si="105"/>
        <v>398694.03</v>
      </c>
      <c r="AS969" s="69">
        <v>398694.03</v>
      </c>
      <c r="AT969" s="69"/>
      <c r="BC969" s="69"/>
      <c r="BD969" s="69"/>
      <c r="CC969" s="74">
        <f t="shared" si="102"/>
        <v>398694.03</v>
      </c>
      <c r="CD969" s="73">
        <f t="shared" si="103"/>
        <v>0</v>
      </c>
      <c r="CE969" s="75">
        <f t="shared" si="107"/>
        <v>9293</v>
      </c>
      <c r="CF969" s="3" t="str">
        <f t="shared" si="107"/>
        <v>ماليزى اسنان</v>
      </c>
    </row>
    <row r="970" spans="3:84" x14ac:dyDescent="0.25">
      <c r="C970" s="82">
        <v>15386</v>
      </c>
      <c r="D970" s="78">
        <v>9294</v>
      </c>
      <c r="E970" s="69" t="s">
        <v>121</v>
      </c>
      <c r="F970" s="69" t="str">
        <f>+F967</f>
        <v>دمغه عاديه فبراير</v>
      </c>
      <c r="U970" s="69">
        <v>24105.43</v>
      </c>
      <c r="V970" s="69"/>
      <c r="AR970" s="74">
        <f t="shared" si="105"/>
        <v>24105.43</v>
      </c>
      <c r="AS970" s="69">
        <v>24105.43</v>
      </c>
      <c r="AT970" s="69"/>
      <c r="BC970" s="69"/>
      <c r="BD970" s="69"/>
      <c r="CC970" s="74">
        <f t="shared" si="102"/>
        <v>24105.43</v>
      </c>
      <c r="CD970" s="73">
        <f t="shared" si="103"/>
        <v>0</v>
      </c>
      <c r="CE970" s="75">
        <f t="shared" si="107"/>
        <v>9294</v>
      </c>
      <c r="CF970" s="3" t="str">
        <f t="shared" si="107"/>
        <v>ماليزى اسنان</v>
      </c>
    </row>
    <row r="971" spans="3:84" x14ac:dyDescent="0.25">
      <c r="C971" s="82">
        <v>15387</v>
      </c>
      <c r="D971" s="78">
        <v>9295</v>
      </c>
      <c r="E971" s="69" t="s">
        <v>121</v>
      </c>
      <c r="F971" s="69" t="str">
        <f>+F965</f>
        <v>ضرائب متنوعه فبراير</v>
      </c>
      <c r="U971" s="69">
        <v>1021.8</v>
      </c>
      <c r="V971" s="69"/>
      <c r="AR971" s="74">
        <f t="shared" si="105"/>
        <v>1021.8</v>
      </c>
      <c r="AS971" s="69">
        <v>1021.8</v>
      </c>
      <c r="AT971" s="69"/>
      <c r="BC971" s="69"/>
      <c r="BD971" s="69"/>
      <c r="CC971" s="74">
        <f t="shared" si="102"/>
        <v>1021.8</v>
      </c>
      <c r="CD971" s="73">
        <f t="shared" si="103"/>
        <v>0</v>
      </c>
      <c r="CE971" s="75">
        <f t="shared" si="107"/>
        <v>9295</v>
      </c>
      <c r="CF971" s="3" t="str">
        <f t="shared" si="107"/>
        <v>ماليزى اسنان</v>
      </c>
    </row>
    <row r="972" spans="3:84" x14ac:dyDescent="0.25">
      <c r="C972" s="82">
        <v>15388</v>
      </c>
      <c r="D972" s="78">
        <v>9296</v>
      </c>
      <c r="E972" s="69" t="s">
        <v>121</v>
      </c>
      <c r="F972" s="69" t="str">
        <f>+F966</f>
        <v>تنمية موارد فبراير</v>
      </c>
      <c r="U972" s="69"/>
      <c r="V972" s="69">
        <v>84</v>
      </c>
      <c r="AR972" s="74">
        <f t="shared" si="105"/>
        <v>84</v>
      </c>
      <c r="AS972" s="69">
        <v>84</v>
      </c>
      <c r="AT972" s="69"/>
      <c r="BC972" s="69"/>
      <c r="BD972" s="69"/>
      <c r="CC972" s="74">
        <f t="shared" si="102"/>
        <v>84</v>
      </c>
      <c r="CD972" s="73">
        <f t="shared" si="103"/>
        <v>0</v>
      </c>
      <c r="CE972" s="75">
        <f t="shared" si="107"/>
        <v>9296</v>
      </c>
      <c r="CF972" s="3" t="str">
        <f t="shared" si="107"/>
        <v>ماليزى اسنان</v>
      </c>
    </row>
    <row r="973" spans="3:84" x14ac:dyDescent="0.25">
      <c r="C973" s="82">
        <v>15389</v>
      </c>
      <c r="D973" s="78">
        <v>9297</v>
      </c>
      <c r="E973" s="69" t="s">
        <v>123</v>
      </c>
      <c r="F973" s="69" t="str">
        <f>+F969</f>
        <v>كسب عمل فبراير</v>
      </c>
      <c r="U973" s="69">
        <v>2426.7600000000002</v>
      </c>
      <c r="V973" s="69"/>
      <c r="AR973" s="74">
        <f t="shared" si="105"/>
        <v>2426.7600000000002</v>
      </c>
      <c r="AS973" s="69">
        <v>2426.7600000000002</v>
      </c>
      <c r="AT973" s="69"/>
      <c r="BC973" s="69"/>
      <c r="BD973" s="69"/>
      <c r="CC973" s="74">
        <f t="shared" si="102"/>
        <v>2426.7600000000002</v>
      </c>
      <c r="CD973" s="73">
        <f t="shared" si="103"/>
        <v>0</v>
      </c>
      <c r="CE973" s="75">
        <f t="shared" si="107"/>
        <v>9297</v>
      </c>
      <c r="CF973" s="3" t="str">
        <f t="shared" si="107"/>
        <v>خ ت اسنان</v>
      </c>
    </row>
    <row r="974" spans="3:84" x14ac:dyDescent="0.25">
      <c r="C974" s="82">
        <v>15390</v>
      </c>
      <c r="D974" s="78">
        <v>9298</v>
      </c>
      <c r="E974" s="69" t="s">
        <v>123</v>
      </c>
      <c r="F974" s="69" t="str">
        <f>+F970</f>
        <v>دمغه عاديه فبراير</v>
      </c>
      <c r="U974" s="69">
        <v>88.1</v>
      </c>
      <c r="V974" s="69"/>
      <c r="AR974" s="74">
        <f t="shared" si="105"/>
        <v>88.1</v>
      </c>
      <c r="AS974" s="69">
        <v>88.1</v>
      </c>
      <c r="AT974" s="69"/>
      <c r="BC974" s="69"/>
      <c r="BD974" s="69"/>
      <c r="CC974" s="74">
        <f t="shared" si="102"/>
        <v>88.1</v>
      </c>
      <c r="CD974" s="73">
        <f t="shared" si="103"/>
        <v>0</v>
      </c>
      <c r="CE974" s="75">
        <f t="shared" si="107"/>
        <v>9298</v>
      </c>
      <c r="CF974" s="3" t="str">
        <f t="shared" si="107"/>
        <v>خ ت اسنان</v>
      </c>
    </row>
    <row r="975" spans="3:84" x14ac:dyDescent="0.25">
      <c r="C975" s="82">
        <v>15391</v>
      </c>
      <c r="D975" s="78">
        <v>9299</v>
      </c>
      <c r="E975" s="69" t="s">
        <v>122</v>
      </c>
      <c r="F975" s="69" t="str">
        <f>+F973</f>
        <v>كسب عمل فبراير</v>
      </c>
      <c r="U975" s="69">
        <v>12426.81</v>
      </c>
      <c r="V975" s="69"/>
      <c r="AR975" s="74">
        <f t="shared" si="105"/>
        <v>12426.81</v>
      </c>
      <c r="AS975" s="69">
        <v>12426.81</v>
      </c>
      <c r="AT975" s="69"/>
      <c r="BC975" s="69"/>
      <c r="BD975" s="69"/>
      <c r="CC975" s="74">
        <f t="shared" si="102"/>
        <v>12426.81</v>
      </c>
      <c r="CD975" s="73">
        <f t="shared" si="103"/>
        <v>0</v>
      </c>
      <c r="CE975" s="75">
        <f t="shared" si="107"/>
        <v>9299</v>
      </c>
      <c r="CF975" s="3" t="str">
        <f t="shared" si="107"/>
        <v>علاج تخصصى</v>
      </c>
    </row>
    <row r="976" spans="3:84" x14ac:dyDescent="0.25">
      <c r="C976" s="82">
        <v>15392</v>
      </c>
      <c r="D976" s="78">
        <v>9300</v>
      </c>
      <c r="E976" s="69" t="s">
        <v>122</v>
      </c>
      <c r="F976" s="69" t="str">
        <f>+F974</f>
        <v>دمغه عاديه فبراير</v>
      </c>
      <c r="U976" s="69">
        <v>838.4</v>
      </c>
      <c r="V976" s="69"/>
      <c r="AR976" s="74">
        <f t="shared" si="105"/>
        <v>838.4</v>
      </c>
      <c r="AS976" s="69">
        <v>838.4</v>
      </c>
      <c r="AT976" s="69"/>
      <c r="BC976" s="69"/>
      <c r="BD976" s="69"/>
      <c r="CC976" s="74">
        <f t="shared" si="102"/>
        <v>838.4</v>
      </c>
      <c r="CD976" s="73">
        <f t="shared" si="103"/>
        <v>0</v>
      </c>
      <c r="CE976" s="75">
        <f t="shared" si="107"/>
        <v>9300</v>
      </c>
      <c r="CF976" s="3" t="str">
        <f t="shared" si="107"/>
        <v>علاج تخصصى</v>
      </c>
    </row>
    <row r="977" spans="2:92" x14ac:dyDescent="0.25">
      <c r="C977" s="82">
        <v>15193</v>
      </c>
      <c r="D977" s="78">
        <v>9301</v>
      </c>
      <c r="E977" s="69" t="s">
        <v>137</v>
      </c>
      <c r="F977" s="69" t="str">
        <f>+F973</f>
        <v>كسب عمل فبراير</v>
      </c>
      <c r="U977" s="69">
        <v>30245.13</v>
      </c>
      <c r="V977" s="69"/>
      <c r="AR977" s="74">
        <f t="shared" si="105"/>
        <v>30245.13</v>
      </c>
      <c r="AS977" s="69">
        <v>30245.13</v>
      </c>
      <c r="AT977" s="69"/>
      <c r="BC977" s="69"/>
      <c r="BD977" s="69"/>
      <c r="CC977" s="74">
        <f t="shared" si="102"/>
        <v>30245.13</v>
      </c>
      <c r="CD977" s="73">
        <f t="shared" si="103"/>
        <v>0</v>
      </c>
      <c r="CE977" s="75">
        <f t="shared" si="107"/>
        <v>9301</v>
      </c>
      <c r="CF977" s="3" t="str">
        <f t="shared" si="107"/>
        <v xml:space="preserve">خدمة عامة </v>
      </c>
    </row>
    <row r="978" spans="2:92" x14ac:dyDescent="0.25">
      <c r="C978" s="82">
        <v>15394</v>
      </c>
      <c r="D978" s="78">
        <v>9302</v>
      </c>
      <c r="E978" s="69" t="s">
        <v>137</v>
      </c>
      <c r="F978" s="69" t="str">
        <f>+F976</f>
        <v>دمغه عاديه فبراير</v>
      </c>
      <c r="U978" s="69">
        <v>1930.7</v>
      </c>
      <c r="V978" s="69"/>
      <c r="AR978" s="74">
        <f t="shared" si="105"/>
        <v>1930.7</v>
      </c>
      <c r="AS978" s="69">
        <v>1930.7</v>
      </c>
      <c r="AT978" s="69"/>
      <c r="BC978" s="69"/>
      <c r="BD978" s="69"/>
      <c r="CC978" s="74">
        <f t="shared" si="102"/>
        <v>1930.7</v>
      </c>
      <c r="CD978" s="73">
        <f t="shared" si="103"/>
        <v>0</v>
      </c>
      <c r="CE978" s="75">
        <f t="shared" si="107"/>
        <v>9302</v>
      </c>
      <c r="CF978" s="3" t="str">
        <f t="shared" si="107"/>
        <v xml:space="preserve">خدمة عامة </v>
      </c>
    </row>
    <row r="979" spans="2:92" x14ac:dyDescent="0.25">
      <c r="C979" s="82">
        <v>15395</v>
      </c>
      <c r="D979" s="78">
        <v>9303</v>
      </c>
      <c r="E979" s="69" t="s">
        <v>125</v>
      </c>
      <c r="F979" s="69" t="str">
        <f>+F977</f>
        <v>كسب عمل فبراير</v>
      </c>
      <c r="U979" s="69">
        <v>541.75</v>
      </c>
      <c r="V979" s="69"/>
      <c r="AR979" s="74">
        <f t="shared" si="105"/>
        <v>541.75</v>
      </c>
      <c r="AS979" s="69">
        <v>541.75</v>
      </c>
      <c r="AT979" s="69"/>
      <c r="BC979" s="69"/>
      <c r="BD979" s="69"/>
      <c r="CC979" s="74">
        <f t="shared" si="102"/>
        <v>541.75</v>
      </c>
      <c r="CD979" s="73">
        <f t="shared" si="103"/>
        <v>0</v>
      </c>
      <c r="CE979" s="75">
        <f t="shared" si="107"/>
        <v>9303</v>
      </c>
      <c r="CF979" s="3" t="str">
        <f t="shared" si="107"/>
        <v>اختبار مواد</v>
      </c>
    </row>
    <row r="980" spans="2:92" x14ac:dyDescent="0.25">
      <c r="C980" s="82">
        <v>15396</v>
      </c>
      <c r="D980" s="78">
        <v>9304</v>
      </c>
      <c r="E980" s="69" t="s">
        <v>125</v>
      </c>
      <c r="F980" s="69" t="str">
        <f>+F978</f>
        <v>دمغه عاديه فبراير</v>
      </c>
      <c r="U980" s="69">
        <v>33.25</v>
      </c>
      <c r="V980" s="69"/>
      <c r="AR980" s="74">
        <f t="shared" si="105"/>
        <v>33.25</v>
      </c>
      <c r="AS980" s="69">
        <v>33.25</v>
      </c>
      <c r="AT980" s="69"/>
      <c r="BC980" s="69"/>
      <c r="BD980" s="69"/>
      <c r="CC980" s="74">
        <f t="shared" si="102"/>
        <v>33.25</v>
      </c>
      <c r="CD980" s="73">
        <f t="shared" si="103"/>
        <v>0</v>
      </c>
      <c r="CE980" s="75">
        <f t="shared" si="107"/>
        <v>9304</v>
      </c>
      <c r="CF980" s="3" t="str">
        <f t="shared" si="107"/>
        <v>اختبار مواد</v>
      </c>
    </row>
    <row r="981" spans="2:92" x14ac:dyDescent="0.25">
      <c r="C981" s="82">
        <v>15370</v>
      </c>
      <c r="D981" s="78">
        <v>9305</v>
      </c>
      <c r="E981" s="69" t="s">
        <v>124</v>
      </c>
      <c r="F981" s="69" t="str">
        <f>+F979</f>
        <v>كسب عمل فبراير</v>
      </c>
      <c r="U981" s="69">
        <v>68.459999999999994</v>
      </c>
      <c r="V981" s="69"/>
      <c r="AR981" s="74">
        <f t="shared" si="105"/>
        <v>68.459999999999994</v>
      </c>
      <c r="AS981" s="69">
        <v>68.459999999999994</v>
      </c>
      <c r="AT981" s="69"/>
      <c r="BC981" s="69"/>
      <c r="BD981" s="69"/>
      <c r="CC981" s="74">
        <f t="shared" si="102"/>
        <v>68.459999999999994</v>
      </c>
      <c r="CD981" s="73">
        <f t="shared" si="103"/>
        <v>0</v>
      </c>
      <c r="CE981" s="75">
        <f t="shared" si="107"/>
        <v>9305</v>
      </c>
      <c r="CF981" s="3" t="str">
        <f t="shared" si="107"/>
        <v>تكافل اسنان</v>
      </c>
    </row>
    <row r="982" spans="2:92" x14ac:dyDescent="0.25">
      <c r="C982" s="82">
        <v>15371</v>
      </c>
      <c r="D982" s="78">
        <v>9306</v>
      </c>
      <c r="E982" s="69" t="s">
        <v>124</v>
      </c>
      <c r="F982" s="69" t="str">
        <f>+F980</f>
        <v>دمغه عاديه فبراير</v>
      </c>
      <c r="U982" s="69">
        <v>2.4</v>
      </c>
      <c r="V982" s="69"/>
      <c r="AR982" s="74">
        <f t="shared" si="105"/>
        <v>2.4</v>
      </c>
      <c r="AS982" s="69">
        <v>2.4</v>
      </c>
      <c r="AT982" s="69"/>
      <c r="BC982" s="69"/>
      <c r="BD982" s="69"/>
      <c r="CC982" s="74">
        <f t="shared" si="102"/>
        <v>2.4</v>
      </c>
      <c r="CD982" s="73">
        <f t="shared" si="103"/>
        <v>0</v>
      </c>
      <c r="CE982" s="75">
        <f t="shared" si="107"/>
        <v>9306</v>
      </c>
      <c r="CF982" s="3" t="str">
        <f t="shared" si="107"/>
        <v>تكافل اسنان</v>
      </c>
    </row>
    <row r="983" spans="2:92" x14ac:dyDescent="0.25">
      <c r="C983" s="82">
        <v>15619</v>
      </c>
      <c r="D983" s="78">
        <v>9307</v>
      </c>
      <c r="E983" s="69" t="s">
        <v>130</v>
      </c>
      <c r="F983" s="69" t="s">
        <v>1590</v>
      </c>
      <c r="H983" s="69">
        <v>996.62</v>
      </c>
      <c r="U983" s="69"/>
      <c r="V983" s="69"/>
      <c r="AR983" s="74">
        <f t="shared" si="105"/>
        <v>996.62</v>
      </c>
      <c r="AS983" s="69">
        <v>638.15</v>
      </c>
      <c r="AT983" s="69">
        <v>75.849999999999994</v>
      </c>
      <c r="AU983" s="69">
        <v>240.12</v>
      </c>
      <c r="AV983" s="69">
        <v>42.5</v>
      </c>
      <c r="BC983" s="69"/>
      <c r="BD983" s="69"/>
      <c r="CC983" s="74">
        <f t="shared" si="102"/>
        <v>996.62</v>
      </c>
      <c r="CD983" s="73">
        <f t="shared" si="103"/>
        <v>0</v>
      </c>
      <c r="CE983" s="75">
        <f t="shared" si="107"/>
        <v>9307</v>
      </c>
      <c r="CF983" s="3" t="str">
        <f t="shared" si="107"/>
        <v>خ ت طب</v>
      </c>
    </row>
    <row r="984" spans="2:92" s="68" customFormat="1" x14ac:dyDescent="0.25">
      <c r="C984" s="83"/>
      <c r="D984" s="84"/>
      <c r="F984" s="68" t="s">
        <v>1591</v>
      </c>
      <c r="H984" s="68">
        <f>SUM(H888:H983)</f>
        <v>1251791.2000000002</v>
      </c>
      <c r="I984" s="68">
        <f t="shared" ref="I984:BT984" si="108">SUM(I888:I983)</f>
        <v>56000</v>
      </c>
      <c r="J984" s="68">
        <f t="shared" si="108"/>
        <v>0</v>
      </c>
      <c r="K984" s="68">
        <f t="shared" si="108"/>
        <v>0</v>
      </c>
      <c r="L984" s="68">
        <f t="shared" si="108"/>
        <v>0</v>
      </c>
      <c r="M984" s="68">
        <f t="shared" si="108"/>
        <v>0</v>
      </c>
      <c r="N984" s="68">
        <f t="shared" si="108"/>
        <v>0</v>
      </c>
      <c r="O984" s="68">
        <f t="shared" si="108"/>
        <v>0</v>
      </c>
      <c r="P984" s="68">
        <f t="shared" si="108"/>
        <v>0</v>
      </c>
      <c r="Q984" s="68">
        <f t="shared" si="108"/>
        <v>0</v>
      </c>
      <c r="R984" s="68">
        <f t="shared" si="108"/>
        <v>0</v>
      </c>
      <c r="S984" s="68">
        <f t="shared" si="108"/>
        <v>0</v>
      </c>
      <c r="T984" s="68">
        <f t="shared" si="108"/>
        <v>0</v>
      </c>
      <c r="U984" s="68">
        <f t="shared" si="108"/>
        <v>1359997.3899999997</v>
      </c>
      <c r="V984" s="68">
        <f t="shared" si="108"/>
        <v>848</v>
      </c>
      <c r="W984" s="68">
        <f t="shared" si="108"/>
        <v>0</v>
      </c>
      <c r="X984" s="68">
        <f t="shared" si="108"/>
        <v>806.55</v>
      </c>
      <c r="Y984" s="68">
        <f t="shared" si="108"/>
        <v>0</v>
      </c>
      <c r="Z984" s="68">
        <f t="shared" si="108"/>
        <v>0</v>
      </c>
      <c r="AA984" s="68">
        <f t="shared" si="108"/>
        <v>0</v>
      </c>
      <c r="AB984" s="68">
        <f t="shared" si="108"/>
        <v>56000</v>
      </c>
      <c r="AC984" s="68">
        <f t="shared" si="108"/>
        <v>0</v>
      </c>
      <c r="AD984" s="68">
        <f t="shared" si="108"/>
        <v>0</v>
      </c>
      <c r="AE984" s="68">
        <f t="shared" si="108"/>
        <v>0</v>
      </c>
      <c r="AF984" s="68">
        <f t="shared" si="108"/>
        <v>0</v>
      </c>
      <c r="AG984" s="68">
        <f t="shared" si="108"/>
        <v>0</v>
      </c>
      <c r="AH984" s="68">
        <f t="shared" si="108"/>
        <v>0</v>
      </c>
      <c r="AI984" s="68">
        <f t="shared" si="108"/>
        <v>0</v>
      </c>
      <c r="AJ984" s="68">
        <f t="shared" si="108"/>
        <v>0</v>
      </c>
      <c r="AK984" s="68">
        <f t="shared" si="108"/>
        <v>0</v>
      </c>
      <c r="AL984" s="68">
        <f t="shared" si="108"/>
        <v>0</v>
      </c>
      <c r="AM984" s="68">
        <f t="shared" si="108"/>
        <v>0</v>
      </c>
      <c r="AN984" s="68">
        <f t="shared" si="108"/>
        <v>0</v>
      </c>
      <c r="AO984" s="68">
        <f t="shared" si="108"/>
        <v>0</v>
      </c>
      <c r="AP984" s="68">
        <f t="shared" si="108"/>
        <v>0</v>
      </c>
      <c r="AQ984" s="68">
        <f t="shared" si="108"/>
        <v>0</v>
      </c>
      <c r="AR984" s="74">
        <f t="shared" si="105"/>
        <v>2725443.1399999997</v>
      </c>
      <c r="AS984" s="68">
        <f t="shared" si="108"/>
        <v>2338921.9199999995</v>
      </c>
      <c r="AT984" s="68">
        <f t="shared" si="108"/>
        <v>121146.58</v>
      </c>
      <c r="AU984" s="68">
        <f t="shared" si="108"/>
        <v>187786.64</v>
      </c>
      <c r="AV984" s="68">
        <f t="shared" si="108"/>
        <v>21588</v>
      </c>
      <c r="AW984" s="68">
        <f t="shared" si="108"/>
        <v>0</v>
      </c>
      <c r="AX984" s="68">
        <f t="shared" si="108"/>
        <v>0</v>
      </c>
      <c r="AY984" s="68">
        <f t="shared" si="108"/>
        <v>0</v>
      </c>
      <c r="AZ984" s="68">
        <f t="shared" si="108"/>
        <v>0</v>
      </c>
      <c r="BA984" s="68">
        <f t="shared" si="108"/>
        <v>0</v>
      </c>
      <c r="BB984" s="68">
        <f t="shared" si="108"/>
        <v>0</v>
      </c>
      <c r="BC984" s="68">
        <f t="shared" si="108"/>
        <v>0</v>
      </c>
      <c r="BD984" s="68">
        <f t="shared" si="108"/>
        <v>0</v>
      </c>
      <c r="BE984" s="68">
        <f t="shared" si="108"/>
        <v>0</v>
      </c>
      <c r="BF984" s="68">
        <f t="shared" si="108"/>
        <v>0</v>
      </c>
      <c r="BG984" s="68">
        <f t="shared" si="108"/>
        <v>0</v>
      </c>
      <c r="BH984" s="68">
        <f t="shared" si="108"/>
        <v>0</v>
      </c>
      <c r="BI984" s="68">
        <f t="shared" si="108"/>
        <v>0</v>
      </c>
      <c r="BJ984" s="68">
        <f t="shared" si="108"/>
        <v>0</v>
      </c>
      <c r="BK984" s="68">
        <f t="shared" si="108"/>
        <v>0</v>
      </c>
      <c r="BL984" s="68">
        <f t="shared" si="108"/>
        <v>0</v>
      </c>
      <c r="BM984" s="68">
        <f t="shared" si="108"/>
        <v>0</v>
      </c>
      <c r="BN984" s="68">
        <f t="shared" si="108"/>
        <v>0</v>
      </c>
      <c r="BO984" s="68">
        <f t="shared" si="108"/>
        <v>0</v>
      </c>
      <c r="BP984" s="68">
        <f t="shared" si="108"/>
        <v>0</v>
      </c>
      <c r="BQ984" s="68">
        <f t="shared" si="108"/>
        <v>56000</v>
      </c>
      <c r="BR984" s="68">
        <f t="shared" si="108"/>
        <v>0</v>
      </c>
      <c r="BS984" s="68">
        <f t="shared" si="108"/>
        <v>0</v>
      </c>
      <c r="BT984" s="68">
        <f t="shared" si="108"/>
        <v>0</v>
      </c>
      <c r="BU984" s="68">
        <f t="shared" ref="BU984:CN984" si="109">SUM(BU888:BU983)</f>
        <v>0</v>
      </c>
      <c r="BV984" s="68">
        <f t="shared" si="109"/>
        <v>0</v>
      </c>
      <c r="BW984" s="68">
        <f t="shared" si="109"/>
        <v>0</v>
      </c>
      <c r="BX984" s="68">
        <f t="shared" si="109"/>
        <v>0</v>
      </c>
      <c r="BY984" s="68">
        <f t="shared" si="109"/>
        <v>0</v>
      </c>
      <c r="BZ984" s="68">
        <f t="shared" si="109"/>
        <v>0</v>
      </c>
      <c r="CA984" s="68">
        <f t="shared" si="109"/>
        <v>0</v>
      </c>
      <c r="CB984" s="68">
        <f t="shared" si="109"/>
        <v>0</v>
      </c>
      <c r="CC984" s="74">
        <f t="shared" si="102"/>
        <v>2725443.1399999997</v>
      </c>
      <c r="CD984" s="73">
        <f t="shared" si="103"/>
        <v>0</v>
      </c>
      <c r="CE984" s="75">
        <f t="shared" si="107"/>
        <v>0</v>
      </c>
      <c r="CF984" s="3">
        <f t="shared" si="107"/>
        <v>0</v>
      </c>
      <c r="CG984" s="68">
        <f t="shared" si="109"/>
        <v>0</v>
      </c>
      <c r="CH984" s="68">
        <f t="shared" si="109"/>
        <v>0</v>
      </c>
      <c r="CI984" s="68">
        <f t="shared" si="109"/>
        <v>0</v>
      </c>
      <c r="CJ984" s="68">
        <f t="shared" si="109"/>
        <v>0</v>
      </c>
      <c r="CK984" s="68">
        <f t="shared" si="109"/>
        <v>0</v>
      </c>
      <c r="CL984" s="68">
        <f t="shared" si="109"/>
        <v>0</v>
      </c>
      <c r="CM984" s="68">
        <f t="shared" si="109"/>
        <v>0</v>
      </c>
      <c r="CN984" s="68">
        <f t="shared" si="109"/>
        <v>0</v>
      </c>
    </row>
    <row r="985" spans="2:92" x14ac:dyDescent="0.25">
      <c r="C985" s="82"/>
      <c r="D985" s="78">
        <v>9308</v>
      </c>
      <c r="E985" s="69" t="s">
        <v>130</v>
      </c>
      <c r="F985" s="69" t="s">
        <v>1592</v>
      </c>
      <c r="U985" s="69">
        <v>0.01</v>
      </c>
      <c r="V985" s="69"/>
      <c r="AE985" s="69">
        <v>0.1</v>
      </c>
      <c r="AR985" s="74">
        <f t="shared" si="105"/>
        <v>0.11</v>
      </c>
      <c r="AT985" s="69"/>
      <c r="BC985" s="69"/>
      <c r="BD985" s="69">
        <v>0.11</v>
      </c>
      <c r="CC985" s="74">
        <f t="shared" si="102"/>
        <v>0.11</v>
      </c>
      <c r="CD985" s="73">
        <f t="shared" si="103"/>
        <v>0</v>
      </c>
      <c r="CE985" s="75">
        <f t="shared" si="107"/>
        <v>9308</v>
      </c>
      <c r="CF985" s="3" t="str">
        <f t="shared" si="107"/>
        <v>خ ت طب</v>
      </c>
    </row>
    <row r="986" spans="2:92" x14ac:dyDescent="0.25">
      <c r="C986" s="82"/>
      <c r="D986" s="78">
        <v>9309</v>
      </c>
      <c r="E986" s="69" t="s">
        <v>121</v>
      </c>
      <c r="F986" s="69" t="s">
        <v>1593</v>
      </c>
      <c r="U986" s="69"/>
      <c r="V986" s="69"/>
      <c r="AE986" s="69">
        <v>0.01</v>
      </c>
      <c r="AR986" s="74">
        <f t="shared" si="105"/>
        <v>0.01</v>
      </c>
      <c r="AT986" s="69"/>
      <c r="AW986" s="69">
        <v>0.01</v>
      </c>
      <c r="BC986" s="69"/>
      <c r="BD986" s="69"/>
      <c r="CC986" s="74">
        <f t="shared" si="102"/>
        <v>0.01</v>
      </c>
      <c r="CD986" s="73">
        <f t="shared" si="103"/>
        <v>0</v>
      </c>
      <c r="CE986" s="75">
        <f t="shared" si="107"/>
        <v>9309</v>
      </c>
      <c r="CF986" s="3" t="str">
        <f t="shared" si="107"/>
        <v>ماليزى اسنان</v>
      </c>
    </row>
    <row r="987" spans="2:92" x14ac:dyDescent="0.25">
      <c r="C987" s="82"/>
      <c r="D987" s="78">
        <v>9310</v>
      </c>
      <c r="E987" s="69" t="s">
        <v>78</v>
      </c>
      <c r="F987" s="69" t="s">
        <v>1594</v>
      </c>
      <c r="U987" s="69"/>
      <c r="V987" s="69"/>
      <c r="AE987" s="69">
        <v>0.01</v>
      </c>
      <c r="AR987" s="74">
        <f t="shared" si="105"/>
        <v>0.01</v>
      </c>
      <c r="AT987" s="69"/>
      <c r="AW987" s="69">
        <v>0.01</v>
      </c>
      <c r="BC987" s="69"/>
      <c r="BD987" s="69"/>
      <c r="CC987" s="74">
        <f t="shared" si="102"/>
        <v>0.01</v>
      </c>
      <c r="CD987" s="73">
        <f t="shared" si="103"/>
        <v>0</v>
      </c>
      <c r="CE987" s="75">
        <f t="shared" si="107"/>
        <v>9310</v>
      </c>
      <c r="CF987" s="3" t="str">
        <f t="shared" si="107"/>
        <v>برنامج دولى</v>
      </c>
    </row>
    <row r="988" spans="2:92" x14ac:dyDescent="0.25">
      <c r="C988" s="82"/>
      <c r="D988" s="78">
        <v>9311</v>
      </c>
      <c r="E988" s="69" t="s">
        <v>78</v>
      </c>
      <c r="F988" s="69" t="s">
        <v>1595</v>
      </c>
      <c r="U988" s="69">
        <v>0.03</v>
      </c>
      <c r="V988" s="69"/>
      <c r="AE988" s="69">
        <v>0.06</v>
      </c>
      <c r="AR988" s="74">
        <f t="shared" si="105"/>
        <v>0.09</v>
      </c>
      <c r="AT988" s="69"/>
      <c r="AW988" s="69">
        <v>0.09</v>
      </c>
      <c r="BC988" s="69"/>
      <c r="BD988" s="69"/>
      <c r="CC988" s="74">
        <f t="shared" si="102"/>
        <v>0.09</v>
      </c>
      <c r="CD988" s="73">
        <f t="shared" si="103"/>
        <v>0</v>
      </c>
      <c r="CE988" s="75">
        <f t="shared" si="107"/>
        <v>9311</v>
      </c>
      <c r="CF988" s="3" t="str">
        <f t="shared" si="107"/>
        <v>برنامج دولى</v>
      </c>
    </row>
    <row r="989" spans="2:92" x14ac:dyDescent="0.25">
      <c r="C989" s="82"/>
      <c r="D989" s="78">
        <v>9312</v>
      </c>
      <c r="E989" s="69" t="s">
        <v>78</v>
      </c>
      <c r="F989" s="69" t="s">
        <v>1596</v>
      </c>
      <c r="U989" s="69">
        <f>0.31+0.11</f>
        <v>0.42</v>
      </c>
      <c r="V989" s="69"/>
      <c r="AE989" s="69">
        <v>0.85</v>
      </c>
      <c r="AR989" s="74">
        <f t="shared" si="105"/>
        <v>1.27</v>
      </c>
      <c r="AT989" s="69"/>
      <c r="AW989" s="69">
        <v>1.27</v>
      </c>
      <c r="BC989" s="69"/>
      <c r="BD989" s="69"/>
      <c r="CC989" s="74">
        <f t="shared" si="102"/>
        <v>1.27</v>
      </c>
      <c r="CD989" s="73">
        <f t="shared" si="103"/>
        <v>0</v>
      </c>
      <c r="CE989" s="75">
        <f t="shared" si="107"/>
        <v>9312</v>
      </c>
      <c r="CF989" s="3" t="str">
        <f t="shared" si="107"/>
        <v>برنامج دولى</v>
      </c>
    </row>
    <row r="990" spans="2:92" x14ac:dyDescent="0.25">
      <c r="C990" s="82"/>
      <c r="D990" s="78">
        <v>9596</v>
      </c>
      <c r="E990" s="69" t="s">
        <v>78</v>
      </c>
      <c r="F990" s="69" t="s">
        <v>1597</v>
      </c>
      <c r="U990" s="69">
        <v>0.1</v>
      </c>
      <c r="V990" s="69"/>
      <c r="AE990" s="69">
        <v>0.2</v>
      </c>
      <c r="AR990" s="74">
        <f t="shared" si="105"/>
        <v>0.30000000000000004</v>
      </c>
      <c r="AT990" s="69"/>
      <c r="AW990" s="69">
        <v>0.3</v>
      </c>
      <c r="BC990" s="69"/>
      <c r="BD990" s="69"/>
      <c r="CC990" s="74">
        <f t="shared" si="102"/>
        <v>0.3</v>
      </c>
      <c r="CD990" s="73"/>
      <c r="CE990" s="75">
        <f t="shared" si="107"/>
        <v>9596</v>
      </c>
      <c r="CF990" s="3" t="str">
        <f t="shared" si="107"/>
        <v>برنامج دولى</v>
      </c>
    </row>
    <row r="991" spans="2:92" s="68" customFormat="1" x14ac:dyDescent="0.25">
      <c r="C991" s="83"/>
      <c r="D991" s="84"/>
      <c r="F991" s="68" t="s">
        <v>1598</v>
      </c>
      <c r="U991" s="68">
        <f>SUM(U985:U990)</f>
        <v>0.55999999999999994</v>
      </c>
      <c r="V991" s="68">
        <f t="shared" ref="V991:CG991" si="110">SUM(V985:V990)</f>
        <v>0</v>
      </c>
      <c r="W991" s="68">
        <f t="shared" si="110"/>
        <v>0</v>
      </c>
      <c r="X991" s="68">
        <f t="shared" si="110"/>
        <v>0</v>
      </c>
      <c r="Y991" s="68">
        <f t="shared" si="110"/>
        <v>0</v>
      </c>
      <c r="Z991" s="68">
        <f t="shared" si="110"/>
        <v>0</v>
      </c>
      <c r="AA991" s="68">
        <f t="shared" si="110"/>
        <v>0</v>
      </c>
      <c r="AB991" s="68">
        <f t="shared" si="110"/>
        <v>0</v>
      </c>
      <c r="AC991" s="68">
        <f t="shared" si="110"/>
        <v>0</v>
      </c>
      <c r="AD991" s="68">
        <f t="shared" si="110"/>
        <v>0</v>
      </c>
      <c r="AE991" s="68">
        <f t="shared" si="110"/>
        <v>1.23</v>
      </c>
      <c r="AF991" s="68">
        <f t="shared" si="110"/>
        <v>0</v>
      </c>
      <c r="AG991" s="68">
        <f t="shared" si="110"/>
        <v>0</v>
      </c>
      <c r="AH991" s="68">
        <f t="shared" si="110"/>
        <v>0</v>
      </c>
      <c r="AI991" s="68">
        <f t="shared" si="110"/>
        <v>0</v>
      </c>
      <c r="AJ991" s="68">
        <f t="shared" si="110"/>
        <v>0</v>
      </c>
      <c r="AK991" s="68">
        <f t="shared" si="110"/>
        <v>0</v>
      </c>
      <c r="AL991" s="68">
        <f t="shared" si="110"/>
        <v>0</v>
      </c>
      <c r="AM991" s="68">
        <f t="shared" si="110"/>
        <v>0</v>
      </c>
      <c r="AN991" s="68">
        <f t="shared" si="110"/>
        <v>0</v>
      </c>
      <c r="AO991" s="68">
        <f t="shared" si="110"/>
        <v>0</v>
      </c>
      <c r="AP991" s="68">
        <f t="shared" si="110"/>
        <v>0</v>
      </c>
      <c r="AQ991" s="68">
        <f t="shared" si="110"/>
        <v>0</v>
      </c>
      <c r="AR991" s="57">
        <f t="shared" si="110"/>
        <v>1.79</v>
      </c>
      <c r="AS991" s="68">
        <f t="shared" si="110"/>
        <v>0</v>
      </c>
      <c r="AT991" s="68">
        <f t="shared" si="110"/>
        <v>0</v>
      </c>
      <c r="AU991" s="68">
        <f t="shared" si="110"/>
        <v>0</v>
      </c>
      <c r="AV991" s="68">
        <f t="shared" si="110"/>
        <v>0</v>
      </c>
      <c r="AW991" s="68">
        <f t="shared" si="110"/>
        <v>1.6800000000000002</v>
      </c>
      <c r="AX991" s="68">
        <f t="shared" si="110"/>
        <v>0</v>
      </c>
      <c r="AY991" s="68">
        <f t="shared" si="110"/>
        <v>0</v>
      </c>
      <c r="AZ991" s="68">
        <f t="shared" si="110"/>
        <v>0</v>
      </c>
      <c r="BA991" s="68">
        <f t="shared" si="110"/>
        <v>0</v>
      </c>
      <c r="BB991" s="68">
        <f t="shared" si="110"/>
        <v>0</v>
      </c>
      <c r="BC991" s="68">
        <f t="shared" si="110"/>
        <v>0</v>
      </c>
      <c r="BD991" s="68">
        <f t="shared" si="110"/>
        <v>0.11</v>
      </c>
      <c r="BE991" s="68">
        <f t="shared" si="110"/>
        <v>0</v>
      </c>
      <c r="BF991" s="68">
        <f t="shared" si="110"/>
        <v>0</v>
      </c>
      <c r="BG991" s="68">
        <f t="shared" si="110"/>
        <v>0</v>
      </c>
      <c r="BH991" s="68">
        <f t="shared" si="110"/>
        <v>0</v>
      </c>
      <c r="BI991" s="68">
        <f t="shared" si="110"/>
        <v>0</v>
      </c>
      <c r="BJ991" s="68">
        <f t="shared" si="110"/>
        <v>0</v>
      </c>
      <c r="BK991" s="68">
        <f t="shared" si="110"/>
        <v>0</v>
      </c>
      <c r="BL991" s="68">
        <f t="shared" si="110"/>
        <v>0</v>
      </c>
      <c r="BM991" s="68">
        <f t="shared" si="110"/>
        <v>0</v>
      </c>
      <c r="BN991" s="68">
        <f t="shared" si="110"/>
        <v>0</v>
      </c>
      <c r="BO991" s="68">
        <f t="shared" si="110"/>
        <v>0</v>
      </c>
      <c r="BP991" s="68">
        <f t="shared" si="110"/>
        <v>0</v>
      </c>
      <c r="BQ991" s="68">
        <f t="shared" si="110"/>
        <v>0</v>
      </c>
      <c r="BR991" s="68">
        <f t="shared" si="110"/>
        <v>0</v>
      </c>
      <c r="BS991" s="68">
        <f t="shared" si="110"/>
        <v>0</v>
      </c>
      <c r="BT991" s="68">
        <f t="shared" si="110"/>
        <v>0</v>
      </c>
      <c r="BU991" s="68">
        <f t="shared" si="110"/>
        <v>0</v>
      </c>
      <c r="BV991" s="68">
        <f t="shared" si="110"/>
        <v>0</v>
      </c>
      <c r="BW991" s="68">
        <f t="shared" si="110"/>
        <v>0</v>
      </c>
      <c r="BX991" s="68">
        <f t="shared" si="110"/>
        <v>0</v>
      </c>
      <c r="BY991" s="68">
        <f t="shared" si="110"/>
        <v>0</v>
      </c>
      <c r="BZ991" s="68">
        <f t="shared" si="110"/>
        <v>0</v>
      </c>
      <c r="CA991" s="68">
        <f t="shared" si="110"/>
        <v>0</v>
      </c>
      <c r="CB991" s="68">
        <f t="shared" si="110"/>
        <v>0</v>
      </c>
      <c r="CC991" s="57">
        <f t="shared" si="110"/>
        <v>1.79</v>
      </c>
      <c r="CD991" s="68">
        <f t="shared" si="110"/>
        <v>0</v>
      </c>
      <c r="CF991" s="68">
        <f t="shared" si="110"/>
        <v>0</v>
      </c>
      <c r="CG991" s="68">
        <f t="shared" si="110"/>
        <v>0</v>
      </c>
      <c r="CH991" s="68">
        <f t="shared" ref="CH991:CI991" si="111">SUM(CH985:CH990)</f>
        <v>0</v>
      </c>
      <c r="CI991" s="68">
        <f t="shared" si="111"/>
        <v>0</v>
      </c>
    </row>
    <row r="992" spans="2:92" x14ac:dyDescent="0.25">
      <c r="B992" s="69" t="s">
        <v>1599</v>
      </c>
      <c r="C992" s="82"/>
      <c r="D992" s="78">
        <v>9313</v>
      </c>
      <c r="E992" s="69" t="s">
        <v>121</v>
      </c>
      <c r="F992" s="69" t="s">
        <v>1600</v>
      </c>
      <c r="G992" s="63" t="s">
        <v>220</v>
      </c>
      <c r="U992" s="69"/>
      <c r="V992" s="69"/>
      <c r="AE992" s="69">
        <v>23.43</v>
      </c>
      <c r="AR992" s="74">
        <f t="shared" si="105"/>
        <v>23.43</v>
      </c>
      <c r="AT992" s="69"/>
      <c r="BC992" s="69"/>
      <c r="BD992" s="69"/>
      <c r="CB992" s="69">
        <v>23.43</v>
      </c>
      <c r="CC992" s="74">
        <f t="shared" si="102"/>
        <v>23.43</v>
      </c>
      <c r="CD992" s="73">
        <f t="shared" si="103"/>
        <v>0</v>
      </c>
      <c r="CE992" s="75">
        <f t="shared" si="107"/>
        <v>9313</v>
      </c>
      <c r="CF992" s="3" t="str">
        <f t="shared" si="107"/>
        <v>ماليزى اسنان</v>
      </c>
    </row>
    <row r="993" spans="3:91" s="68" customFormat="1" x14ac:dyDescent="0.25">
      <c r="C993" s="83"/>
      <c r="D993" s="84"/>
      <c r="F993" s="68" t="s">
        <v>1601</v>
      </c>
      <c r="AE993" s="68">
        <f>SUM(AE992)</f>
        <v>23.43</v>
      </c>
      <c r="AF993" s="68">
        <f t="shared" ref="AF993:CM993" si="112">SUM(AF992)</f>
        <v>0</v>
      </c>
      <c r="AG993" s="68">
        <f t="shared" si="112"/>
        <v>0</v>
      </c>
      <c r="AH993" s="68">
        <f t="shared" si="112"/>
        <v>0</v>
      </c>
      <c r="AI993" s="68">
        <f t="shared" si="112"/>
        <v>0</v>
      </c>
      <c r="AJ993" s="68">
        <f t="shared" si="112"/>
        <v>0</v>
      </c>
      <c r="AK993" s="68">
        <f t="shared" si="112"/>
        <v>0</v>
      </c>
      <c r="AL993" s="68">
        <f t="shared" si="112"/>
        <v>0</v>
      </c>
      <c r="AM993" s="68">
        <f t="shared" si="112"/>
        <v>0</v>
      </c>
      <c r="AN993" s="68">
        <f t="shared" si="112"/>
        <v>0</v>
      </c>
      <c r="AO993" s="68">
        <f t="shared" si="112"/>
        <v>0</v>
      </c>
      <c r="AP993" s="68">
        <f t="shared" si="112"/>
        <v>0</v>
      </c>
      <c r="AQ993" s="68">
        <f t="shared" si="112"/>
        <v>0</v>
      </c>
      <c r="AR993" s="57">
        <f t="shared" si="112"/>
        <v>23.43</v>
      </c>
      <c r="AS993" s="68">
        <f t="shared" si="112"/>
        <v>0</v>
      </c>
      <c r="AT993" s="68">
        <f t="shared" si="112"/>
        <v>0</v>
      </c>
      <c r="AU993" s="68">
        <f t="shared" si="112"/>
        <v>0</v>
      </c>
      <c r="AV993" s="68">
        <f t="shared" si="112"/>
        <v>0</v>
      </c>
      <c r="AW993" s="68">
        <f t="shared" si="112"/>
        <v>0</v>
      </c>
      <c r="AX993" s="68">
        <f t="shared" si="112"/>
        <v>0</v>
      </c>
      <c r="AY993" s="68">
        <f t="shared" si="112"/>
        <v>0</v>
      </c>
      <c r="AZ993" s="68">
        <f t="shared" si="112"/>
        <v>0</v>
      </c>
      <c r="BA993" s="68">
        <f t="shared" si="112"/>
        <v>0</v>
      </c>
      <c r="BB993" s="68">
        <f t="shared" si="112"/>
        <v>0</v>
      </c>
      <c r="BC993" s="68">
        <f t="shared" si="112"/>
        <v>0</v>
      </c>
      <c r="BD993" s="68">
        <f t="shared" si="112"/>
        <v>0</v>
      </c>
      <c r="BE993" s="68">
        <f t="shared" si="112"/>
        <v>0</v>
      </c>
      <c r="BF993" s="68">
        <f t="shared" si="112"/>
        <v>0</v>
      </c>
      <c r="BG993" s="68">
        <f t="shared" si="112"/>
        <v>0</v>
      </c>
      <c r="BH993" s="68">
        <f t="shared" si="112"/>
        <v>0</v>
      </c>
      <c r="BI993" s="68">
        <f t="shared" si="112"/>
        <v>0</v>
      </c>
      <c r="BJ993" s="68">
        <f t="shared" si="112"/>
        <v>0</v>
      </c>
      <c r="BK993" s="68">
        <f t="shared" si="112"/>
        <v>0</v>
      </c>
      <c r="BL993" s="68">
        <f t="shared" si="112"/>
        <v>0</v>
      </c>
      <c r="BM993" s="68">
        <f t="shared" si="112"/>
        <v>0</v>
      </c>
      <c r="BN993" s="68">
        <f t="shared" si="112"/>
        <v>0</v>
      </c>
      <c r="BO993" s="68">
        <f t="shared" si="112"/>
        <v>0</v>
      </c>
      <c r="BP993" s="68">
        <f t="shared" si="112"/>
        <v>0</v>
      </c>
      <c r="BQ993" s="68">
        <f t="shared" si="112"/>
        <v>0</v>
      </c>
      <c r="BR993" s="68">
        <f t="shared" si="112"/>
        <v>0</v>
      </c>
      <c r="BS993" s="68">
        <f t="shared" si="112"/>
        <v>0</v>
      </c>
      <c r="BT993" s="68">
        <f t="shared" si="112"/>
        <v>0</v>
      </c>
      <c r="BU993" s="68">
        <f t="shared" si="112"/>
        <v>0</v>
      </c>
      <c r="BV993" s="68">
        <f t="shared" si="112"/>
        <v>0</v>
      </c>
      <c r="BW993" s="68">
        <f t="shared" si="112"/>
        <v>0</v>
      </c>
      <c r="BX993" s="68">
        <f t="shared" si="112"/>
        <v>0</v>
      </c>
      <c r="BY993" s="68">
        <f t="shared" si="112"/>
        <v>0</v>
      </c>
      <c r="BZ993" s="68">
        <f t="shared" si="112"/>
        <v>0</v>
      </c>
      <c r="CA993" s="68">
        <f t="shared" si="112"/>
        <v>0</v>
      </c>
      <c r="CB993" s="68">
        <f t="shared" si="112"/>
        <v>23.43</v>
      </c>
      <c r="CC993" s="57">
        <f t="shared" si="112"/>
        <v>23.43</v>
      </c>
      <c r="CD993" s="68">
        <f t="shared" si="112"/>
        <v>0</v>
      </c>
      <c r="CF993" s="68">
        <f t="shared" si="112"/>
        <v>0</v>
      </c>
      <c r="CG993" s="68">
        <f t="shared" si="112"/>
        <v>0</v>
      </c>
      <c r="CH993" s="68">
        <f t="shared" si="112"/>
        <v>0</v>
      </c>
      <c r="CI993" s="68">
        <f t="shared" si="112"/>
        <v>0</v>
      </c>
      <c r="CJ993" s="68">
        <f t="shared" si="112"/>
        <v>0</v>
      </c>
      <c r="CK993" s="68">
        <f t="shared" si="112"/>
        <v>0</v>
      </c>
      <c r="CL993" s="68">
        <f t="shared" si="112"/>
        <v>0</v>
      </c>
      <c r="CM993" s="68">
        <f t="shared" si="112"/>
        <v>0</v>
      </c>
    </row>
    <row r="994" spans="3:91" x14ac:dyDescent="0.25">
      <c r="C994" s="82">
        <v>15606</v>
      </c>
      <c r="D994" s="78">
        <v>9314</v>
      </c>
      <c r="E994" s="69" t="s">
        <v>121</v>
      </c>
      <c r="F994" s="69" t="s">
        <v>1602</v>
      </c>
      <c r="H994" s="69">
        <v>1200</v>
      </c>
      <c r="U994" s="69"/>
      <c r="V994" s="69"/>
      <c r="AR994" s="74">
        <f t="shared" si="105"/>
        <v>1200</v>
      </c>
      <c r="AS994" s="69">
        <v>1071.3499999999999</v>
      </c>
      <c r="AT994" s="69">
        <v>128.65</v>
      </c>
      <c r="BC994" s="69"/>
      <c r="BD994" s="69"/>
      <c r="CC994" s="74">
        <f t="shared" si="102"/>
        <v>1200</v>
      </c>
      <c r="CD994" s="73">
        <f t="shared" si="103"/>
        <v>0</v>
      </c>
      <c r="CE994" s="75">
        <f t="shared" si="107"/>
        <v>9314</v>
      </c>
      <c r="CF994" s="3" t="str">
        <f t="shared" si="107"/>
        <v>ماليزى اسنان</v>
      </c>
    </row>
    <row r="995" spans="3:91" x14ac:dyDescent="0.25">
      <c r="C995" s="82">
        <v>15607</v>
      </c>
      <c r="D995" s="78">
        <v>9315</v>
      </c>
      <c r="E995" s="69" t="s">
        <v>121</v>
      </c>
      <c r="F995" s="69" t="s">
        <v>1602</v>
      </c>
      <c r="H995" s="69">
        <v>4164</v>
      </c>
      <c r="U995" s="69"/>
      <c r="V995" s="69"/>
      <c r="AR995" s="74">
        <f t="shared" si="105"/>
        <v>4164</v>
      </c>
      <c r="AS995" s="69">
        <v>3085.95</v>
      </c>
      <c r="AT995" s="69">
        <v>400.05</v>
      </c>
      <c r="AU995" s="69">
        <v>678</v>
      </c>
      <c r="BC995" s="69"/>
      <c r="BD995" s="69"/>
      <c r="CC995" s="74">
        <f t="shared" si="102"/>
        <v>4164</v>
      </c>
      <c r="CD995" s="73">
        <f t="shared" si="103"/>
        <v>0</v>
      </c>
      <c r="CE995" s="75">
        <f t="shared" ref="CE995:CF1060" si="113">+D995</f>
        <v>9315</v>
      </c>
      <c r="CF995" s="3" t="str">
        <f t="shared" si="113"/>
        <v>ماليزى اسنان</v>
      </c>
    </row>
    <row r="996" spans="3:91" x14ac:dyDescent="0.25">
      <c r="C996" s="82">
        <v>15582</v>
      </c>
      <c r="D996" s="78">
        <v>9316</v>
      </c>
      <c r="E996" s="69" t="s">
        <v>121</v>
      </c>
      <c r="F996" s="69" t="s">
        <v>1603</v>
      </c>
      <c r="H996" s="69">
        <v>2761.92</v>
      </c>
      <c r="U996" s="69"/>
      <c r="V996" s="69"/>
      <c r="AR996" s="74">
        <f t="shared" si="105"/>
        <v>2761.92</v>
      </c>
      <c r="AS996" s="69">
        <v>1917.01</v>
      </c>
      <c r="AT996" s="69">
        <v>252.2</v>
      </c>
      <c r="AU996" s="69">
        <v>592.71</v>
      </c>
      <c r="BC996" s="69"/>
      <c r="BD996" s="69"/>
      <c r="CC996" s="74">
        <f t="shared" si="102"/>
        <v>2761.92</v>
      </c>
      <c r="CD996" s="73">
        <f t="shared" si="103"/>
        <v>0</v>
      </c>
      <c r="CE996" s="75">
        <f t="shared" si="113"/>
        <v>9316</v>
      </c>
      <c r="CF996" s="3" t="str">
        <f t="shared" si="113"/>
        <v>ماليزى اسنان</v>
      </c>
    </row>
    <row r="997" spans="3:91" x14ac:dyDescent="0.25">
      <c r="C997" s="82">
        <v>15611</v>
      </c>
      <c r="D997" s="78">
        <v>9317</v>
      </c>
      <c r="E997" s="69" t="s">
        <v>121</v>
      </c>
      <c r="F997" s="69" t="s">
        <v>1604</v>
      </c>
      <c r="H997" s="69">
        <v>3820.13</v>
      </c>
      <c r="U997" s="69"/>
      <c r="V997" s="69"/>
      <c r="AR997" s="74">
        <f t="shared" si="105"/>
        <v>3820.13</v>
      </c>
      <c r="AS997" s="69">
        <v>2895.63</v>
      </c>
      <c r="AT997" s="69">
        <v>564</v>
      </c>
      <c r="AU997" s="69">
        <v>360.5</v>
      </c>
      <c r="BC997" s="69"/>
      <c r="BD997" s="69"/>
      <c r="CC997" s="74">
        <f t="shared" si="102"/>
        <v>3820.13</v>
      </c>
      <c r="CD997" s="73">
        <f t="shared" si="103"/>
        <v>0</v>
      </c>
      <c r="CE997" s="75">
        <f t="shared" si="113"/>
        <v>9317</v>
      </c>
      <c r="CF997" s="3" t="str">
        <f t="shared" si="113"/>
        <v>ماليزى اسنان</v>
      </c>
    </row>
    <row r="998" spans="3:91" x14ac:dyDescent="0.25">
      <c r="C998" s="82">
        <v>15586</v>
      </c>
      <c r="D998" s="78">
        <v>9318</v>
      </c>
      <c r="E998" s="69" t="s">
        <v>121</v>
      </c>
      <c r="F998" s="69" t="s">
        <v>1605</v>
      </c>
      <c r="H998" s="69">
        <v>28610.02</v>
      </c>
      <c r="U998" s="69"/>
      <c r="V998" s="69"/>
      <c r="AR998" s="74">
        <f t="shared" si="105"/>
        <v>28610.02</v>
      </c>
      <c r="AS998" s="69">
        <v>22366.21</v>
      </c>
      <c r="AT998" s="69">
        <v>2837.4</v>
      </c>
      <c r="AU998" s="69">
        <v>3406.41</v>
      </c>
      <c r="BC998" s="69"/>
      <c r="BD998" s="69"/>
      <c r="CC998" s="74">
        <f t="shared" si="102"/>
        <v>28610.02</v>
      </c>
      <c r="CD998" s="73">
        <f t="shared" si="103"/>
        <v>0</v>
      </c>
      <c r="CE998" s="75">
        <f t="shared" si="113"/>
        <v>9318</v>
      </c>
      <c r="CF998" s="3" t="str">
        <f t="shared" si="113"/>
        <v>ماليزى اسنان</v>
      </c>
    </row>
    <row r="999" spans="3:91" x14ac:dyDescent="0.25">
      <c r="C999" s="82">
        <v>15587</v>
      </c>
      <c r="D999" s="78">
        <v>9319</v>
      </c>
      <c r="E999" s="69" t="s">
        <v>121</v>
      </c>
      <c r="F999" s="69" t="s">
        <v>1606</v>
      </c>
      <c r="H999" s="69">
        <v>26330.3</v>
      </c>
      <c r="U999" s="69"/>
      <c r="V999" s="69"/>
      <c r="AR999" s="74">
        <f t="shared" si="105"/>
        <v>26330.3</v>
      </c>
      <c r="AS999" s="69">
        <v>21856.55</v>
      </c>
      <c r="AT999" s="69">
        <v>2704.55</v>
      </c>
      <c r="AU999" s="69">
        <v>1769.2</v>
      </c>
      <c r="BC999" s="69"/>
      <c r="BD999" s="69"/>
      <c r="CC999" s="74">
        <f t="shared" si="102"/>
        <v>26330.3</v>
      </c>
      <c r="CD999" s="73">
        <f t="shared" si="103"/>
        <v>0</v>
      </c>
      <c r="CE999" s="75">
        <f t="shared" si="113"/>
        <v>9319</v>
      </c>
      <c r="CF999" s="3" t="str">
        <f t="shared" si="113"/>
        <v>ماليزى اسنان</v>
      </c>
    </row>
    <row r="1000" spans="3:91" x14ac:dyDescent="0.25">
      <c r="C1000" s="82">
        <v>15579</v>
      </c>
      <c r="D1000" s="78">
        <v>9320</v>
      </c>
      <c r="E1000" s="69" t="s">
        <v>121</v>
      </c>
      <c r="F1000" s="69" t="s">
        <v>1607</v>
      </c>
      <c r="H1000" s="69">
        <v>27130.13</v>
      </c>
      <c r="U1000" s="69"/>
      <c r="V1000" s="69"/>
      <c r="AR1000" s="74">
        <f t="shared" si="105"/>
        <v>27130.13</v>
      </c>
      <c r="AS1000" s="69">
        <v>19076.830000000002</v>
      </c>
      <c r="AT1000" s="69">
        <v>2534.1</v>
      </c>
      <c r="AU1000" s="69">
        <v>5519.2</v>
      </c>
      <c r="BC1000" s="69"/>
      <c r="BD1000" s="69"/>
      <c r="CC1000" s="74">
        <f t="shared" si="102"/>
        <v>27130.13</v>
      </c>
      <c r="CD1000" s="73">
        <f t="shared" si="103"/>
        <v>0</v>
      </c>
      <c r="CE1000" s="75">
        <f t="shared" si="113"/>
        <v>9320</v>
      </c>
      <c r="CF1000" s="3" t="str">
        <f t="shared" si="113"/>
        <v>ماليزى اسنان</v>
      </c>
    </row>
    <row r="1001" spans="3:91" x14ac:dyDescent="0.25">
      <c r="C1001" s="82">
        <v>15580</v>
      </c>
      <c r="D1001" s="78">
        <v>9321</v>
      </c>
      <c r="E1001" s="69" t="s">
        <v>121</v>
      </c>
      <c r="F1001" s="69" t="s">
        <v>1608</v>
      </c>
      <c r="H1001" s="69">
        <v>30819.54</v>
      </c>
      <c r="U1001" s="69"/>
      <c r="V1001" s="69"/>
      <c r="AR1001" s="74">
        <f t="shared" si="105"/>
        <v>30819.54</v>
      </c>
      <c r="AS1001" s="69">
        <v>22004.81</v>
      </c>
      <c r="AT1001" s="69">
        <v>2903.45</v>
      </c>
      <c r="AU1001" s="69">
        <v>5911.28</v>
      </c>
      <c r="BC1001" s="69"/>
      <c r="BD1001" s="69"/>
      <c r="CC1001" s="74">
        <f t="shared" si="102"/>
        <v>30819.54</v>
      </c>
      <c r="CD1001" s="73">
        <f t="shared" si="103"/>
        <v>0</v>
      </c>
      <c r="CE1001" s="75">
        <f t="shared" si="113"/>
        <v>9321</v>
      </c>
      <c r="CF1001" s="3" t="str">
        <f t="shared" si="113"/>
        <v>ماليزى اسنان</v>
      </c>
    </row>
    <row r="1002" spans="3:91" x14ac:dyDescent="0.25">
      <c r="C1002" s="82">
        <v>15571</v>
      </c>
      <c r="D1002" s="78">
        <v>9322</v>
      </c>
      <c r="E1002" s="69" t="s">
        <v>121</v>
      </c>
      <c r="F1002" s="69" t="s">
        <v>1609</v>
      </c>
      <c r="H1002" s="69">
        <v>550</v>
      </c>
      <c r="U1002" s="69"/>
      <c r="V1002" s="69"/>
      <c r="AR1002" s="74">
        <f t="shared" si="105"/>
        <v>550</v>
      </c>
      <c r="AS1002" s="69">
        <v>491.5</v>
      </c>
      <c r="AT1002" s="69">
        <v>58.5</v>
      </c>
      <c r="BC1002" s="69"/>
      <c r="BD1002" s="69"/>
      <c r="CC1002" s="74">
        <f t="shared" si="102"/>
        <v>550</v>
      </c>
      <c r="CD1002" s="73">
        <f t="shared" si="103"/>
        <v>0</v>
      </c>
      <c r="CE1002" s="75">
        <f t="shared" si="113"/>
        <v>9322</v>
      </c>
      <c r="CF1002" s="3" t="str">
        <f t="shared" si="113"/>
        <v>ماليزى اسنان</v>
      </c>
    </row>
    <row r="1003" spans="3:91" x14ac:dyDescent="0.25">
      <c r="C1003" s="82">
        <v>15609</v>
      </c>
      <c r="D1003" s="78">
        <v>9323</v>
      </c>
      <c r="E1003" s="69" t="s">
        <v>121</v>
      </c>
      <c r="F1003" s="69" t="s">
        <v>1610</v>
      </c>
      <c r="H1003" s="69">
        <v>5517.5</v>
      </c>
      <c r="U1003" s="69"/>
      <c r="V1003" s="69"/>
      <c r="AR1003" s="74">
        <f t="shared" si="105"/>
        <v>5517.5</v>
      </c>
      <c r="AS1003" s="69">
        <v>4137.6499999999996</v>
      </c>
      <c r="AT1003" s="69">
        <v>532.35</v>
      </c>
      <c r="AU1003" s="69">
        <v>847.5</v>
      </c>
      <c r="BC1003" s="69"/>
      <c r="BD1003" s="69"/>
      <c r="CC1003" s="74">
        <f t="shared" si="102"/>
        <v>5517.5</v>
      </c>
      <c r="CD1003" s="73">
        <f t="shared" si="103"/>
        <v>0</v>
      </c>
      <c r="CE1003" s="75">
        <f t="shared" si="113"/>
        <v>9323</v>
      </c>
      <c r="CF1003" s="3" t="str">
        <f t="shared" si="113"/>
        <v>ماليزى اسنان</v>
      </c>
    </row>
    <row r="1004" spans="3:91" x14ac:dyDescent="0.25">
      <c r="C1004" s="82">
        <v>15610</v>
      </c>
      <c r="D1004" s="78">
        <v>9324</v>
      </c>
      <c r="E1004" s="69" t="s">
        <v>121</v>
      </c>
      <c r="F1004" s="69" t="s">
        <v>1611</v>
      </c>
      <c r="H1004" s="69">
        <v>1465.63</v>
      </c>
      <c r="U1004" s="69"/>
      <c r="V1004" s="69"/>
      <c r="AR1004" s="74">
        <f t="shared" si="105"/>
        <v>1465.63</v>
      </c>
      <c r="AS1004" s="69">
        <v>980.55</v>
      </c>
      <c r="AT1004" s="69">
        <v>131.94999999999999</v>
      </c>
      <c r="AU1004" s="69">
        <v>353.13</v>
      </c>
      <c r="BC1004" s="69"/>
      <c r="BD1004" s="69"/>
      <c r="CC1004" s="74">
        <f t="shared" si="102"/>
        <v>1465.63</v>
      </c>
      <c r="CD1004" s="73">
        <f t="shared" si="103"/>
        <v>0</v>
      </c>
      <c r="CE1004" s="75">
        <f t="shared" si="113"/>
        <v>9324</v>
      </c>
      <c r="CF1004" s="3" t="str">
        <f t="shared" si="113"/>
        <v>ماليزى اسنان</v>
      </c>
    </row>
    <row r="1005" spans="3:91" ht="36" x14ac:dyDescent="0.25">
      <c r="C1005" s="82">
        <v>15608</v>
      </c>
      <c r="D1005" s="78">
        <v>9325</v>
      </c>
      <c r="E1005" s="69" t="s">
        <v>121</v>
      </c>
      <c r="F1005" s="77" t="s">
        <v>1612</v>
      </c>
      <c r="H1005" s="69">
        <v>3211.78</v>
      </c>
      <c r="U1005" s="69"/>
      <c r="V1005" s="69"/>
      <c r="AR1005" s="74">
        <f t="shared" si="105"/>
        <v>3211.78</v>
      </c>
      <c r="AS1005" s="69">
        <v>2162.48</v>
      </c>
      <c r="AT1005" s="69">
        <v>293.05</v>
      </c>
      <c r="AU1005" s="69">
        <v>756.25</v>
      </c>
      <c r="BC1005" s="69"/>
      <c r="BD1005" s="69"/>
      <c r="CC1005" s="74">
        <f t="shared" si="102"/>
        <v>3211.78</v>
      </c>
      <c r="CD1005" s="73">
        <f t="shared" si="103"/>
        <v>0</v>
      </c>
      <c r="CE1005" s="75">
        <f t="shared" si="113"/>
        <v>9325</v>
      </c>
      <c r="CF1005" s="3" t="str">
        <f t="shared" si="113"/>
        <v>ماليزى اسنان</v>
      </c>
    </row>
    <row r="1006" spans="3:91" x14ac:dyDescent="0.25">
      <c r="C1006" s="82">
        <v>15570</v>
      </c>
      <c r="D1006" s="78">
        <v>9326</v>
      </c>
      <c r="E1006" s="69" t="s">
        <v>121</v>
      </c>
      <c r="F1006" s="69" t="s">
        <v>1613</v>
      </c>
      <c r="H1006" s="69">
        <v>1758.75</v>
      </c>
      <c r="U1006" s="69"/>
      <c r="V1006" s="69"/>
      <c r="AR1006" s="74">
        <f t="shared" si="105"/>
        <v>1758.75</v>
      </c>
      <c r="AS1006" s="69">
        <v>1175.3499999999999</v>
      </c>
      <c r="AT1006" s="69">
        <v>159.65</v>
      </c>
      <c r="AU1006" s="69">
        <v>423.75</v>
      </c>
      <c r="BC1006" s="69"/>
      <c r="BD1006" s="69"/>
      <c r="CC1006" s="74">
        <f t="shared" si="102"/>
        <v>1758.75</v>
      </c>
      <c r="CD1006" s="73">
        <f t="shared" si="103"/>
        <v>0</v>
      </c>
      <c r="CE1006" s="75">
        <f t="shared" si="113"/>
        <v>9326</v>
      </c>
      <c r="CF1006" s="3" t="str">
        <f t="shared" si="113"/>
        <v>ماليزى اسنان</v>
      </c>
    </row>
    <row r="1007" spans="3:91" x14ac:dyDescent="0.25">
      <c r="C1007" s="82">
        <v>15576</v>
      </c>
      <c r="D1007" s="78">
        <v>9327</v>
      </c>
      <c r="E1007" s="69" t="s">
        <v>121</v>
      </c>
      <c r="F1007" s="69" t="s">
        <v>1614</v>
      </c>
      <c r="H1007" s="69">
        <v>21127.4</v>
      </c>
      <c r="U1007" s="69"/>
      <c r="V1007" s="69"/>
      <c r="AR1007" s="74">
        <f t="shared" si="105"/>
        <v>21127.4</v>
      </c>
      <c r="AS1007" s="69">
        <v>14322.01</v>
      </c>
      <c r="AT1007" s="69">
        <v>1929.35</v>
      </c>
      <c r="AU1007" s="69">
        <v>4876.04</v>
      </c>
      <c r="BC1007" s="69"/>
      <c r="BD1007" s="69"/>
      <c r="CC1007" s="74">
        <f t="shared" ref="CC1007:CC1049" si="114">SUM(AS1007:CB1007)</f>
        <v>21127.4</v>
      </c>
      <c r="CD1007" s="73">
        <f t="shared" ref="CD1007:CD1072" si="115">+CC1007-AR1007</f>
        <v>0</v>
      </c>
      <c r="CE1007" s="75">
        <f t="shared" si="113"/>
        <v>9327</v>
      </c>
      <c r="CF1007" s="3" t="str">
        <f t="shared" si="113"/>
        <v>ماليزى اسنان</v>
      </c>
    </row>
    <row r="1008" spans="3:91" x14ac:dyDescent="0.25">
      <c r="C1008" s="82">
        <v>15575</v>
      </c>
      <c r="D1008" s="78">
        <v>9328</v>
      </c>
      <c r="E1008" s="69" t="s">
        <v>121</v>
      </c>
      <c r="F1008" s="69" t="s">
        <v>1615</v>
      </c>
      <c r="H1008" s="69">
        <v>50400.69</v>
      </c>
      <c r="U1008" s="69"/>
      <c r="V1008" s="69"/>
      <c r="AR1008" s="74">
        <f t="shared" si="105"/>
        <v>50400.69</v>
      </c>
      <c r="AS1008" s="69">
        <v>37175.230000000003</v>
      </c>
      <c r="AT1008" s="69">
        <v>4831.2</v>
      </c>
      <c r="AU1008" s="69">
        <v>8394.26</v>
      </c>
      <c r="BC1008" s="69"/>
      <c r="BD1008" s="69"/>
      <c r="CC1008" s="74">
        <f t="shared" si="114"/>
        <v>50400.69</v>
      </c>
      <c r="CD1008" s="73">
        <f t="shared" si="115"/>
        <v>0</v>
      </c>
      <c r="CE1008" s="75">
        <f t="shared" si="113"/>
        <v>9328</v>
      </c>
      <c r="CF1008" s="3" t="str">
        <f t="shared" si="113"/>
        <v>ماليزى اسنان</v>
      </c>
    </row>
    <row r="1009" spans="3:84" x14ac:dyDescent="0.25">
      <c r="C1009" s="82">
        <v>15567</v>
      </c>
      <c r="D1009" s="78">
        <v>9329</v>
      </c>
      <c r="E1009" s="69" t="s">
        <v>121</v>
      </c>
      <c r="F1009" s="69" t="s">
        <v>1616</v>
      </c>
      <c r="H1009" s="69">
        <v>10175</v>
      </c>
      <c r="U1009" s="69"/>
      <c r="V1009" s="69"/>
      <c r="AR1009" s="74">
        <f t="shared" si="105"/>
        <v>10175</v>
      </c>
      <c r="AS1009" s="69">
        <v>9082.25</v>
      </c>
      <c r="AT1009" s="69">
        <v>1092.75</v>
      </c>
      <c r="BC1009" s="69"/>
      <c r="BD1009" s="69"/>
      <c r="CC1009" s="74">
        <f t="shared" si="114"/>
        <v>10175</v>
      </c>
      <c r="CD1009" s="73">
        <f t="shared" si="115"/>
        <v>0</v>
      </c>
      <c r="CE1009" s="75">
        <f t="shared" si="113"/>
        <v>9329</v>
      </c>
      <c r="CF1009" s="3" t="str">
        <f t="shared" si="113"/>
        <v>ماليزى اسنان</v>
      </c>
    </row>
    <row r="1010" spans="3:84" x14ac:dyDescent="0.25">
      <c r="C1010" s="82">
        <v>15561</v>
      </c>
      <c r="D1010" s="78">
        <v>9330</v>
      </c>
      <c r="E1010" s="69" t="s">
        <v>121</v>
      </c>
      <c r="F1010" s="69" t="s">
        <v>1617</v>
      </c>
      <c r="H1010" s="69">
        <v>4869.84</v>
      </c>
      <c r="U1010" s="69"/>
      <c r="V1010" s="69"/>
      <c r="AR1010" s="74">
        <f t="shared" si="105"/>
        <v>4869.84</v>
      </c>
      <c r="AS1010" s="69">
        <v>4088.29</v>
      </c>
      <c r="AT1010" s="69">
        <v>503.4</v>
      </c>
      <c r="AU1010" s="69">
        <v>278.14999999999998</v>
      </c>
      <c r="BC1010" s="69"/>
      <c r="BD1010" s="69"/>
      <c r="CC1010" s="74">
        <f t="shared" si="114"/>
        <v>4869.8399999999992</v>
      </c>
      <c r="CD1010" s="73">
        <f t="shared" si="115"/>
        <v>0</v>
      </c>
      <c r="CE1010" s="75">
        <f t="shared" si="113"/>
        <v>9330</v>
      </c>
      <c r="CF1010" s="3" t="str">
        <f t="shared" si="113"/>
        <v>ماليزى اسنان</v>
      </c>
    </row>
    <row r="1011" spans="3:84" x14ac:dyDescent="0.25">
      <c r="C1011" s="82">
        <v>15560</v>
      </c>
      <c r="D1011" s="78">
        <v>9331</v>
      </c>
      <c r="E1011" s="69" t="s">
        <v>121</v>
      </c>
      <c r="F1011" s="69" t="s">
        <v>1618</v>
      </c>
      <c r="H1011" s="69">
        <v>4744.53</v>
      </c>
      <c r="U1011" s="69"/>
      <c r="V1011" s="69"/>
      <c r="AR1011" s="74">
        <f t="shared" si="105"/>
        <v>4744.53</v>
      </c>
      <c r="AS1011" s="69">
        <v>3861.81</v>
      </c>
      <c r="AT1011" s="69">
        <v>482.25</v>
      </c>
      <c r="AU1011" s="69">
        <v>400.47</v>
      </c>
      <c r="BC1011" s="69"/>
      <c r="BD1011" s="69"/>
      <c r="CC1011" s="74">
        <f t="shared" si="114"/>
        <v>4744.53</v>
      </c>
      <c r="CD1011" s="73">
        <f t="shared" si="115"/>
        <v>0</v>
      </c>
      <c r="CE1011" s="75">
        <f t="shared" si="113"/>
        <v>9331</v>
      </c>
      <c r="CF1011" s="3" t="str">
        <f t="shared" si="113"/>
        <v>ماليزى اسنان</v>
      </c>
    </row>
    <row r="1012" spans="3:84" x14ac:dyDescent="0.25">
      <c r="C1012" s="82">
        <v>15583</v>
      </c>
      <c r="D1012" s="78">
        <v>9332</v>
      </c>
      <c r="E1012" s="69" t="s">
        <v>121</v>
      </c>
      <c r="F1012" s="69" t="s">
        <v>1619</v>
      </c>
      <c r="H1012" s="69">
        <v>2993.87</v>
      </c>
      <c r="U1012" s="69"/>
      <c r="V1012" s="69"/>
      <c r="AR1012" s="74">
        <f t="shared" si="105"/>
        <v>2993.87</v>
      </c>
      <c r="AS1012" s="69">
        <v>2381.17</v>
      </c>
      <c r="AT1012" s="69">
        <v>295.2</v>
      </c>
      <c r="AU1012" s="69">
        <v>317.5</v>
      </c>
      <c r="BC1012" s="69"/>
      <c r="BD1012" s="69"/>
      <c r="CC1012" s="74">
        <f t="shared" si="114"/>
        <v>2993.87</v>
      </c>
      <c r="CD1012" s="73">
        <f t="shared" si="115"/>
        <v>0</v>
      </c>
      <c r="CE1012" s="75">
        <f t="shared" si="113"/>
        <v>9332</v>
      </c>
      <c r="CF1012" s="3" t="str">
        <f t="shared" si="113"/>
        <v>ماليزى اسنان</v>
      </c>
    </row>
    <row r="1013" spans="3:84" x14ac:dyDescent="0.25">
      <c r="C1013" s="82">
        <v>15588</v>
      </c>
      <c r="D1013" s="78">
        <v>9333</v>
      </c>
      <c r="E1013" s="69" t="s">
        <v>121</v>
      </c>
      <c r="F1013" s="69" t="s">
        <v>1620</v>
      </c>
      <c r="H1013" s="69">
        <v>2700</v>
      </c>
      <c r="U1013" s="69"/>
      <c r="V1013" s="69"/>
      <c r="AR1013" s="74">
        <f t="shared" si="105"/>
        <v>2700</v>
      </c>
      <c r="AS1013" s="69">
        <v>2410.1</v>
      </c>
      <c r="AT1013" s="69">
        <v>289.89999999999998</v>
      </c>
      <c r="BC1013" s="69"/>
      <c r="BD1013" s="69"/>
      <c r="CC1013" s="74">
        <f t="shared" si="114"/>
        <v>2700</v>
      </c>
      <c r="CD1013" s="73">
        <f t="shared" si="115"/>
        <v>0</v>
      </c>
      <c r="CE1013" s="75">
        <f t="shared" si="113"/>
        <v>9333</v>
      </c>
      <c r="CF1013" s="3" t="str">
        <f t="shared" si="113"/>
        <v>ماليزى اسنان</v>
      </c>
    </row>
    <row r="1014" spans="3:84" x14ac:dyDescent="0.25">
      <c r="C1014" s="82">
        <v>15590</v>
      </c>
      <c r="D1014" s="78">
        <v>9334</v>
      </c>
      <c r="E1014" s="69" t="s">
        <v>121</v>
      </c>
      <c r="F1014" s="69" t="s">
        <v>1621</v>
      </c>
      <c r="H1014" s="69">
        <v>879.38</v>
      </c>
      <c r="U1014" s="69"/>
      <c r="V1014" s="69"/>
      <c r="AR1014" s="74">
        <f t="shared" si="105"/>
        <v>879.38</v>
      </c>
      <c r="AS1014" s="69">
        <v>588.15</v>
      </c>
      <c r="AT1014" s="69">
        <v>79.349999999999994</v>
      </c>
      <c r="AU1014" s="69">
        <v>211.88</v>
      </c>
      <c r="BC1014" s="69"/>
      <c r="BD1014" s="69"/>
      <c r="CC1014" s="74">
        <f t="shared" si="114"/>
        <v>879.38</v>
      </c>
      <c r="CD1014" s="73">
        <f t="shared" si="115"/>
        <v>0</v>
      </c>
      <c r="CE1014" s="75">
        <f t="shared" si="113"/>
        <v>9334</v>
      </c>
      <c r="CF1014" s="3" t="str">
        <f t="shared" si="113"/>
        <v>ماليزى اسنان</v>
      </c>
    </row>
    <row r="1015" spans="3:84" x14ac:dyDescent="0.25">
      <c r="C1015" s="82">
        <v>15559</v>
      </c>
      <c r="D1015" s="78">
        <v>9335</v>
      </c>
      <c r="E1015" s="69" t="s">
        <v>121</v>
      </c>
      <c r="F1015" s="69" t="s">
        <v>1622</v>
      </c>
      <c r="H1015" s="69">
        <v>938</v>
      </c>
      <c r="U1015" s="69"/>
      <c r="V1015" s="69"/>
      <c r="AR1015" s="74">
        <f t="shared" si="105"/>
        <v>938</v>
      </c>
      <c r="AS1015" s="69">
        <v>636.62</v>
      </c>
      <c r="AT1015" s="69">
        <v>75.38</v>
      </c>
      <c r="AU1015" s="69">
        <v>226</v>
      </c>
      <c r="BC1015" s="69"/>
      <c r="BD1015" s="69"/>
      <c r="CC1015" s="74">
        <f t="shared" si="114"/>
        <v>938</v>
      </c>
      <c r="CD1015" s="73">
        <f t="shared" si="115"/>
        <v>0</v>
      </c>
      <c r="CE1015" s="75">
        <f t="shared" si="113"/>
        <v>9335</v>
      </c>
      <c r="CF1015" s="3" t="str">
        <f t="shared" si="113"/>
        <v>ماليزى اسنان</v>
      </c>
    </row>
    <row r="1016" spans="3:84" x14ac:dyDescent="0.25">
      <c r="C1016" s="82">
        <v>15585</v>
      </c>
      <c r="D1016" s="78">
        <v>9336</v>
      </c>
      <c r="E1016" s="69" t="s">
        <v>121</v>
      </c>
      <c r="F1016" s="69" t="s">
        <v>1623</v>
      </c>
      <c r="H1016" s="69">
        <v>4247.49</v>
      </c>
      <c r="U1016" s="69"/>
      <c r="V1016" s="69"/>
      <c r="AR1016" s="74">
        <f t="shared" si="105"/>
        <v>4247.49</v>
      </c>
      <c r="AS1016" s="69">
        <v>2958.67</v>
      </c>
      <c r="AT1016" s="69">
        <v>392.2</v>
      </c>
      <c r="AU1016" s="69">
        <v>896.62</v>
      </c>
      <c r="BC1016" s="69"/>
      <c r="BD1016" s="69"/>
      <c r="CC1016" s="74">
        <f t="shared" si="114"/>
        <v>4247.49</v>
      </c>
      <c r="CD1016" s="73">
        <f t="shared" si="115"/>
        <v>0</v>
      </c>
      <c r="CE1016" s="75">
        <f t="shared" si="113"/>
        <v>9336</v>
      </c>
      <c r="CF1016" s="3" t="str">
        <f t="shared" si="113"/>
        <v>ماليزى اسنان</v>
      </c>
    </row>
    <row r="1017" spans="3:84" x14ac:dyDescent="0.25">
      <c r="C1017" s="82">
        <v>15592</v>
      </c>
      <c r="D1017" s="78">
        <v>9337</v>
      </c>
      <c r="E1017" s="69" t="s">
        <v>121</v>
      </c>
      <c r="F1017" s="69" t="s">
        <v>1624</v>
      </c>
      <c r="H1017" s="69">
        <v>8961.33</v>
      </c>
      <c r="U1017" s="69"/>
      <c r="V1017" s="69"/>
      <c r="AR1017" s="74">
        <f t="shared" si="105"/>
        <v>8961.33</v>
      </c>
      <c r="AS1017" s="69">
        <v>6993.63</v>
      </c>
      <c r="AT1017" s="69">
        <v>884.65</v>
      </c>
      <c r="AU1017" s="69">
        <v>1083.05</v>
      </c>
      <c r="BC1017" s="69"/>
      <c r="BD1017" s="69"/>
      <c r="CC1017" s="74">
        <f t="shared" si="114"/>
        <v>8961.33</v>
      </c>
      <c r="CD1017" s="73">
        <f t="shared" si="115"/>
        <v>0</v>
      </c>
      <c r="CE1017" s="75">
        <f t="shared" si="113"/>
        <v>9337</v>
      </c>
      <c r="CF1017" s="3" t="str">
        <f t="shared" si="113"/>
        <v>ماليزى اسنان</v>
      </c>
    </row>
    <row r="1018" spans="3:84" x14ac:dyDescent="0.25">
      <c r="C1018" s="82">
        <v>15593</v>
      </c>
      <c r="D1018" s="78">
        <v>9338</v>
      </c>
      <c r="E1018" s="69" t="s">
        <v>121</v>
      </c>
      <c r="F1018" s="69" t="s">
        <v>1625</v>
      </c>
      <c r="H1018" s="69">
        <v>1172.5</v>
      </c>
      <c r="U1018" s="69"/>
      <c r="V1018" s="69"/>
      <c r="AR1018" s="74">
        <f t="shared" si="105"/>
        <v>1172.5</v>
      </c>
      <c r="AS1018" s="69">
        <v>784.1</v>
      </c>
      <c r="AT1018" s="69">
        <v>105.9</v>
      </c>
      <c r="AU1018" s="69">
        <v>282.5</v>
      </c>
      <c r="BC1018" s="69"/>
      <c r="BD1018" s="69"/>
      <c r="CC1018" s="74">
        <f t="shared" si="114"/>
        <v>1172.5</v>
      </c>
      <c r="CD1018" s="73">
        <f t="shared" si="115"/>
        <v>0</v>
      </c>
      <c r="CE1018" s="75">
        <f t="shared" si="113"/>
        <v>9338</v>
      </c>
      <c r="CF1018" s="3" t="str">
        <f t="shared" si="113"/>
        <v>ماليزى اسنان</v>
      </c>
    </row>
    <row r="1019" spans="3:84" x14ac:dyDescent="0.25">
      <c r="C1019" s="82">
        <v>15589</v>
      </c>
      <c r="D1019" s="78">
        <v>9339</v>
      </c>
      <c r="E1019" s="69" t="s">
        <v>121</v>
      </c>
      <c r="F1019" s="69" t="str">
        <f>+F994</f>
        <v>ج سفر الشراء الموحد (اداريين)</v>
      </c>
      <c r="H1019" s="69">
        <v>4031.94</v>
      </c>
      <c r="U1019" s="69"/>
      <c r="V1019" s="69"/>
      <c r="AR1019" s="74">
        <f t="shared" si="105"/>
        <v>4031.94</v>
      </c>
      <c r="AS1019" s="69">
        <v>3474.6</v>
      </c>
      <c r="AT1019" s="69">
        <v>423.15</v>
      </c>
      <c r="AU1019" s="69">
        <v>134.19</v>
      </c>
      <c r="BC1019" s="69"/>
      <c r="BD1019" s="69"/>
      <c r="CC1019" s="74">
        <f t="shared" si="114"/>
        <v>4031.94</v>
      </c>
      <c r="CD1019" s="73">
        <f t="shared" si="115"/>
        <v>0</v>
      </c>
      <c r="CE1019" s="75">
        <f t="shared" si="113"/>
        <v>9339</v>
      </c>
      <c r="CF1019" s="3" t="str">
        <f t="shared" si="113"/>
        <v>ماليزى اسنان</v>
      </c>
    </row>
    <row r="1020" spans="3:84" x14ac:dyDescent="0.25">
      <c r="C1020" s="82">
        <v>15574</v>
      </c>
      <c r="D1020" s="78">
        <v>9340</v>
      </c>
      <c r="E1020" s="69" t="s">
        <v>121</v>
      </c>
      <c r="F1020" s="69" t="s">
        <v>1609</v>
      </c>
      <c r="H1020" s="69">
        <v>3941.57</v>
      </c>
      <c r="U1020" s="69"/>
      <c r="V1020" s="69"/>
      <c r="AR1020" s="74">
        <f t="shared" si="105"/>
        <v>3941.57</v>
      </c>
      <c r="AS1020" s="69">
        <v>2774.04</v>
      </c>
      <c r="AT1020" s="69">
        <v>362.5</v>
      </c>
      <c r="AU1020" s="69">
        <v>805.03</v>
      </c>
      <c r="BC1020" s="69"/>
      <c r="BD1020" s="69"/>
      <c r="CC1020" s="74">
        <f t="shared" si="114"/>
        <v>3941.5699999999997</v>
      </c>
      <c r="CD1020" s="73">
        <f t="shared" si="115"/>
        <v>0</v>
      </c>
      <c r="CE1020" s="75">
        <f t="shared" si="113"/>
        <v>9340</v>
      </c>
      <c r="CF1020" s="3" t="str">
        <f t="shared" si="113"/>
        <v>ماليزى اسنان</v>
      </c>
    </row>
    <row r="1021" spans="3:84" x14ac:dyDescent="0.25">
      <c r="C1021" s="82">
        <v>15573</v>
      </c>
      <c r="D1021" s="78">
        <v>9341</v>
      </c>
      <c r="E1021" s="69" t="s">
        <v>121</v>
      </c>
      <c r="F1021" s="69" t="s">
        <v>1609</v>
      </c>
      <c r="H1021" s="69">
        <v>410.38</v>
      </c>
      <c r="U1021" s="69"/>
      <c r="V1021" s="69"/>
      <c r="AR1021" s="74">
        <f t="shared" si="105"/>
        <v>410.38</v>
      </c>
      <c r="AS1021" s="69">
        <v>274.8</v>
      </c>
      <c r="AT1021" s="69">
        <v>36.700000000000003</v>
      </c>
      <c r="AU1021" s="69">
        <v>98.88</v>
      </c>
      <c r="BC1021" s="69"/>
      <c r="BD1021" s="69"/>
      <c r="CC1021" s="74">
        <f t="shared" si="114"/>
        <v>410.38</v>
      </c>
      <c r="CD1021" s="73">
        <f t="shared" si="115"/>
        <v>0</v>
      </c>
      <c r="CE1021" s="75">
        <f t="shared" si="113"/>
        <v>9341</v>
      </c>
      <c r="CF1021" s="3" t="str">
        <f t="shared" si="113"/>
        <v>ماليزى اسنان</v>
      </c>
    </row>
    <row r="1022" spans="3:84" x14ac:dyDescent="0.25">
      <c r="C1022" s="82">
        <v>15572</v>
      </c>
      <c r="D1022" s="78">
        <v>9342</v>
      </c>
      <c r="E1022" s="69" t="s">
        <v>121</v>
      </c>
      <c r="F1022" s="69" t="s">
        <v>1609</v>
      </c>
      <c r="H1022" s="69">
        <v>2051.9</v>
      </c>
      <c r="U1022" s="69"/>
      <c r="V1022" s="69"/>
      <c r="AR1022" s="74">
        <f t="shared" si="105"/>
        <v>2051.9</v>
      </c>
      <c r="AS1022" s="69">
        <v>1374</v>
      </c>
      <c r="AT1022" s="69">
        <v>183.5</v>
      </c>
      <c r="AU1022" s="69">
        <v>494.4</v>
      </c>
      <c r="BC1022" s="69"/>
      <c r="BD1022" s="69"/>
      <c r="CC1022" s="74">
        <f t="shared" si="114"/>
        <v>2051.9</v>
      </c>
      <c r="CD1022" s="73">
        <f t="shared" si="115"/>
        <v>0</v>
      </c>
      <c r="CE1022" s="75">
        <f t="shared" si="113"/>
        <v>9342</v>
      </c>
      <c r="CF1022" s="3" t="str">
        <f t="shared" si="113"/>
        <v>ماليزى اسنان</v>
      </c>
    </row>
    <row r="1023" spans="3:84" x14ac:dyDescent="0.25">
      <c r="C1023" s="82">
        <v>15594</v>
      </c>
      <c r="D1023" s="78">
        <v>9343</v>
      </c>
      <c r="E1023" s="69" t="s">
        <v>121</v>
      </c>
      <c r="F1023" s="69" t="s">
        <v>1626</v>
      </c>
      <c r="H1023" s="69">
        <v>3876.79</v>
      </c>
      <c r="U1023" s="69"/>
      <c r="V1023" s="69"/>
      <c r="AR1023" s="74">
        <f t="shared" si="105"/>
        <v>3876.79</v>
      </c>
      <c r="AS1023" s="69">
        <v>2707.2</v>
      </c>
      <c r="AT1023" s="69">
        <v>356</v>
      </c>
      <c r="AU1023" s="69">
        <v>813.59</v>
      </c>
      <c r="BC1023" s="69"/>
      <c r="BD1023" s="69"/>
      <c r="CC1023" s="74">
        <f t="shared" si="114"/>
        <v>3876.79</v>
      </c>
      <c r="CD1023" s="73">
        <f t="shared" si="115"/>
        <v>0</v>
      </c>
      <c r="CE1023" s="75">
        <f t="shared" si="113"/>
        <v>9343</v>
      </c>
      <c r="CF1023" s="3" t="str">
        <f t="shared" si="113"/>
        <v>ماليزى اسنان</v>
      </c>
    </row>
    <row r="1024" spans="3:84" x14ac:dyDescent="0.25">
      <c r="C1024" s="82">
        <v>15600</v>
      </c>
      <c r="D1024" s="78">
        <v>9344</v>
      </c>
      <c r="E1024" s="69" t="s">
        <v>121</v>
      </c>
      <c r="F1024" s="69" t="s">
        <v>1627</v>
      </c>
      <c r="H1024" s="69">
        <v>3649.1</v>
      </c>
      <c r="U1024" s="69"/>
      <c r="V1024" s="69"/>
      <c r="AR1024" s="74">
        <f t="shared" si="105"/>
        <v>3649.1</v>
      </c>
      <c r="AS1024" s="69">
        <v>2849.3</v>
      </c>
      <c r="AT1024" s="69">
        <v>359.1</v>
      </c>
      <c r="AU1024" s="69">
        <v>440.7</v>
      </c>
      <c r="BC1024" s="69"/>
      <c r="BD1024" s="69"/>
      <c r="CC1024" s="74">
        <f t="shared" si="114"/>
        <v>3649.1</v>
      </c>
      <c r="CD1024" s="73">
        <f t="shared" si="115"/>
        <v>0</v>
      </c>
      <c r="CE1024" s="75">
        <f t="shared" si="113"/>
        <v>9344</v>
      </c>
      <c r="CF1024" s="3" t="str">
        <f t="shared" si="113"/>
        <v>ماليزى اسنان</v>
      </c>
    </row>
    <row r="1025" spans="2:84" x14ac:dyDescent="0.25">
      <c r="C1025" s="82">
        <v>15569</v>
      </c>
      <c r="D1025" s="78">
        <v>9345</v>
      </c>
      <c r="E1025" s="69" t="s">
        <v>121</v>
      </c>
      <c r="F1025" s="69" t="s">
        <v>1628</v>
      </c>
      <c r="H1025" s="69">
        <v>879.4</v>
      </c>
      <c r="U1025" s="69"/>
      <c r="V1025" s="69"/>
      <c r="AR1025" s="74">
        <f t="shared" si="105"/>
        <v>879.4</v>
      </c>
      <c r="AS1025" s="69">
        <v>590</v>
      </c>
      <c r="AT1025" s="69">
        <v>77.5</v>
      </c>
      <c r="AU1025" s="69">
        <v>211.9</v>
      </c>
      <c r="BC1025" s="69"/>
      <c r="BD1025" s="69"/>
      <c r="CC1025" s="74">
        <f t="shared" si="114"/>
        <v>879.4</v>
      </c>
      <c r="CD1025" s="73">
        <f t="shared" si="115"/>
        <v>0</v>
      </c>
      <c r="CE1025" s="75">
        <f t="shared" si="113"/>
        <v>9345</v>
      </c>
      <c r="CF1025" s="3" t="str">
        <f t="shared" si="113"/>
        <v>ماليزى اسنان</v>
      </c>
    </row>
    <row r="1026" spans="2:84" x14ac:dyDescent="0.25">
      <c r="C1026" s="82">
        <v>15568</v>
      </c>
      <c r="D1026" s="78">
        <v>9346</v>
      </c>
      <c r="E1026" s="69" t="s">
        <v>121</v>
      </c>
      <c r="F1026" s="69" t="s">
        <v>1628</v>
      </c>
      <c r="H1026" s="69">
        <v>351.76</v>
      </c>
      <c r="U1026" s="69"/>
      <c r="V1026" s="69"/>
      <c r="AR1026" s="74">
        <f t="shared" si="105"/>
        <v>351.76</v>
      </c>
      <c r="AS1026" s="69">
        <v>236</v>
      </c>
      <c r="AT1026" s="69">
        <v>31</v>
      </c>
      <c r="AU1026" s="69">
        <v>84.76</v>
      </c>
      <c r="BC1026" s="69"/>
      <c r="BD1026" s="69"/>
      <c r="CC1026" s="74">
        <f t="shared" si="114"/>
        <v>351.76</v>
      </c>
      <c r="CD1026" s="73">
        <f t="shared" si="115"/>
        <v>0</v>
      </c>
      <c r="CE1026" s="75">
        <f t="shared" si="113"/>
        <v>9346</v>
      </c>
      <c r="CF1026" s="3" t="str">
        <f t="shared" si="113"/>
        <v>ماليزى اسنان</v>
      </c>
    </row>
    <row r="1027" spans="2:84" x14ac:dyDescent="0.25">
      <c r="C1027" s="82">
        <v>15599</v>
      </c>
      <c r="D1027" s="78">
        <v>9347</v>
      </c>
      <c r="E1027" s="69" t="s">
        <v>121</v>
      </c>
      <c r="F1027" s="69" t="s">
        <v>1629</v>
      </c>
      <c r="H1027" s="69">
        <v>4420.33</v>
      </c>
      <c r="U1027" s="69"/>
      <c r="V1027" s="69"/>
      <c r="AR1027" s="74">
        <f t="shared" si="105"/>
        <v>4420.33</v>
      </c>
      <c r="AS1027" s="69">
        <v>2956.45</v>
      </c>
      <c r="AT1027" s="69">
        <v>398.85</v>
      </c>
      <c r="AU1027" s="69">
        <v>1065.03</v>
      </c>
      <c r="BC1027" s="69"/>
      <c r="BD1027" s="69"/>
      <c r="CC1027" s="74">
        <f t="shared" si="114"/>
        <v>4420.33</v>
      </c>
      <c r="CD1027" s="73">
        <f t="shared" si="115"/>
        <v>0</v>
      </c>
      <c r="CE1027" s="75">
        <f t="shared" si="113"/>
        <v>9347</v>
      </c>
      <c r="CF1027" s="3" t="str">
        <f t="shared" si="113"/>
        <v>ماليزى اسنان</v>
      </c>
    </row>
    <row r="1028" spans="2:84" x14ac:dyDescent="0.25">
      <c r="C1028" s="82">
        <v>15595</v>
      </c>
      <c r="D1028" s="78">
        <v>9348</v>
      </c>
      <c r="E1028" s="69" t="s">
        <v>121</v>
      </c>
      <c r="F1028" s="69" t="s">
        <v>1626</v>
      </c>
      <c r="H1028" s="69">
        <v>2204.29</v>
      </c>
      <c r="U1028" s="69"/>
      <c r="V1028" s="69"/>
      <c r="AR1028" s="74">
        <f t="shared" si="105"/>
        <v>2204.29</v>
      </c>
      <c r="AS1028" s="69">
        <v>1475.55</v>
      </c>
      <c r="AT1028" s="69">
        <v>197.65</v>
      </c>
      <c r="AU1028" s="69">
        <v>531.09</v>
      </c>
      <c r="BC1028" s="69"/>
      <c r="BD1028" s="69"/>
      <c r="CC1028" s="74">
        <f t="shared" si="114"/>
        <v>2204.29</v>
      </c>
      <c r="CD1028" s="73">
        <f t="shared" si="115"/>
        <v>0</v>
      </c>
      <c r="CE1028" s="75">
        <f t="shared" si="113"/>
        <v>9348</v>
      </c>
      <c r="CF1028" s="3" t="str">
        <f t="shared" si="113"/>
        <v>ماليزى اسنان</v>
      </c>
    </row>
    <row r="1029" spans="2:84" x14ac:dyDescent="0.25">
      <c r="C1029" s="82">
        <v>15584</v>
      </c>
      <c r="D1029" s="78">
        <v>9349</v>
      </c>
      <c r="E1029" s="69" t="s">
        <v>121</v>
      </c>
      <c r="F1029" s="69" t="str">
        <f>+F1012</f>
        <v>ج قسم الخزينه فبراير</v>
      </c>
      <c r="H1029" s="69">
        <v>1453.5</v>
      </c>
      <c r="U1029" s="69"/>
      <c r="V1029" s="69"/>
      <c r="AR1029" s="74">
        <f t="shared" si="105"/>
        <v>1453.5</v>
      </c>
      <c r="AS1029" s="69">
        <v>1141.3499999999999</v>
      </c>
      <c r="AT1029" s="69">
        <v>142.65</v>
      </c>
      <c r="AU1029" s="69">
        <v>169.5</v>
      </c>
      <c r="BC1029" s="69"/>
      <c r="BD1029" s="69"/>
      <c r="CC1029" s="74">
        <f t="shared" si="114"/>
        <v>1453.5</v>
      </c>
      <c r="CD1029" s="73">
        <f t="shared" si="115"/>
        <v>0</v>
      </c>
      <c r="CE1029" s="75">
        <f t="shared" si="113"/>
        <v>9349</v>
      </c>
      <c r="CF1029" s="3" t="str">
        <f t="shared" si="113"/>
        <v>ماليزى اسنان</v>
      </c>
    </row>
    <row r="1030" spans="2:84" x14ac:dyDescent="0.25">
      <c r="C1030" s="82">
        <v>15591</v>
      </c>
      <c r="D1030" s="78">
        <v>9350</v>
      </c>
      <c r="E1030" s="69" t="s">
        <v>121</v>
      </c>
      <c r="F1030" s="69" t="s">
        <v>1630</v>
      </c>
      <c r="H1030" s="69">
        <v>2931.26</v>
      </c>
      <c r="U1030" s="69"/>
      <c r="V1030" s="69"/>
      <c r="AR1030" s="74">
        <f t="shared" si="105"/>
        <v>2931.26</v>
      </c>
      <c r="AS1030" s="69">
        <v>1959.3</v>
      </c>
      <c r="AT1030" s="69">
        <v>265.7</v>
      </c>
      <c r="AU1030" s="69">
        <v>706.26</v>
      </c>
      <c r="BC1030" s="69"/>
      <c r="BD1030" s="69"/>
      <c r="CC1030" s="74">
        <f t="shared" si="114"/>
        <v>2931.26</v>
      </c>
      <c r="CD1030" s="73">
        <f t="shared" si="115"/>
        <v>0</v>
      </c>
      <c r="CE1030" s="75">
        <f t="shared" si="113"/>
        <v>9350</v>
      </c>
      <c r="CF1030" s="3" t="str">
        <f t="shared" si="113"/>
        <v>ماليزى اسنان</v>
      </c>
    </row>
    <row r="1031" spans="2:84" x14ac:dyDescent="0.25">
      <c r="C1031" s="82">
        <v>15565</v>
      </c>
      <c r="D1031" s="78">
        <v>9351</v>
      </c>
      <c r="E1031" s="69" t="s">
        <v>121</v>
      </c>
      <c r="F1031" s="69" t="s">
        <v>1631</v>
      </c>
      <c r="H1031" s="69">
        <v>2819.76</v>
      </c>
      <c r="U1031" s="69"/>
      <c r="V1031" s="69"/>
      <c r="AR1031" s="74">
        <f t="shared" si="105"/>
        <v>2819.76</v>
      </c>
      <c r="AS1031" s="69">
        <v>2029.24</v>
      </c>
      <c r="AT1031" s="69">
        <v>266.85000000000002</v>
      </c>
      <c r="AU1031" s="69">
        <v>523.66999999999996</v>
      </c>
      <c r="BC1031" s="69"/>
      <c r="BD1031" s="69"/>
      <c r="CC1031" s="74">
        <f t="shared" si="114"/>
        <v>2819.76</v>
      </c>
      <c r="CD1031" s="73">
        <f t="shared" si="115"/>
        <v>0</v>
      </c>
      <c r="CE1031" s="75">
        <f t="shared" si="113"/>
        <v>9351</v>
      </c>
      <c r="CF1031" s="3" t="str">
        <f t="shared" si="113"/>
        <v>ماليزى اسنان</v>
      </c>
    </row>
    <row r="1032" spans="2:84" x14ac:dyDescent="0.25">
      <c r="C1032" s="82">
        <v>15566</v>
      </c>
      <c r="D1032" s="78">
        <v>9352</v>
      </c>
      <c r="E1032" s="69" t="s">
        <v>121</v>
      </c>
      <c r="F1032" s="69" t="s">
        <v>1632</v>
      </c>
      <c r="H1032" s="69">
        <v>1875</v>
      </c>
      <c r="U1032" s="69"/>
      <c r="V1032" s="69"/>
      <c r="AR1032" s="74">
        <f t="shared" si="105"/>
        <v>1875</v>
      </c>
      <c r="AS1032" s="69">
        <v>1673.8</v>
      </c>
      <c r="AT1032" s="69">
        <v>201.2</v>
      </c>
      <c r="BC1032" s="69"/>
      <c r="BD1032" s="69"/>
      <c r="CC1032" s="74">
        <f t="shared" si="114"/>
        <v>1875</v>
      </c>
      <c r="CD1032" s="73">
        <f t="shared" si="115"/>
        <v>0</v>
      </c>
      <c r="CE1032" s="75">
        <f t="shared" si="113"/>
        <v>9352</v>
      </c>
      <c r="CF1032" s="3" t="str">
        <f t="shared" si="113"/>
        <v>ماليزى اسنان</v>
      </c>
    </row>
    <row r="1033" spans="2:84" x14ac:dyDescent="0.25">
      <c r="C1033" s="82">
        <v>15563</v>
      </c>
      <c r="D1033" s="78">
        <v>9353</v>
      </c>
      <c r="E1033" s="69" t="s">
        <v>121</v>
      </c>
      <c r="F1033" s="69" t="s">
        <v>1633</v>
      </c>
      <c r="H1033" s="69">
        <v>1000</v>
      </c>
      <c r="U1033" s="69"/>
      <c r="V1033" s="69"/>
      <c r="AR1033" s="74">
        <f t="shared" si="105"/>
        <v>1000</v>
      </c>
      <c r="AS1033" s="69">
        <v>894.1</v>
      </c>
      <c r="AT1033" s="69">
        <v>105.9</v>
      </c>
      <c r="BC1033" s="69"/>
      <c r="BD1033" s="69"/>
      <c r="CC1033" s="74">
        <f t="shared" si="114"/>
        <v>1000</v>
      </c>
      <c r="CD1033" s="73">
        <f t="shared" si="115"/>
        <v>0</v>
      </c>
      <c r="CE1033" s="75">
        <f t="shared" si="113"/>
        <v>9353</v>
      </c>
      <c r="CF1033" s="3" t="str">
        <f t="shared" si="113"/>
        <v>ماليزى اسنان</v>
      </c>
    </row>
    <row r="1034" spans="2:84" x14ac:dyDescent="0.25">
      <c r="C1034" s="82">
        <v>15564</v>
      </c>
      <c r="D1034" s="78">
        <v>9354</v>
      </c>
      <c r="E1034" s="69" t="s">
        <v>121</v>
      </c>
      <c r="F1034" s="69" t="s">
        <v>1633</v>
      </c>
      <c r="H1034" s="69">
        <v>3000</v>
      </c>
      <c r="U1034" s="69"/>
      <c r="V1034" s="69"/>
      <c r="AR1034" s="74">
        <f t="shared" si="105"/>
        <v>3000</v>
      </c>
      <c r="AS1034" s="69">
        <v>2682.3</v>
      </c>
      <c r="AT1034" s="69">
        <v>317.7</v>
      </c>
      <c r="BC1034" s="69"/>
      <c r="BD1034" s="69"/>
      <c r="CC1034" s="74">
        <f t="shared" si="114"/>
        <v>3000</v>
      </c>
      <c r="CD1034" s="73">
        <f t="shared" si="115"/>
        <v>0</v>
      </c>
      <c r="CE1034" s="75">
        <f t="shared" si="113"/>
        <v>9354</v>
      </c>
      <c r="CF1034" s="3" t="str">
        <f t="shared" si="113"/>
        <v>ماليزى اسنان</v>
      </c>
    </row>
    <row r="1035" spans="2:84" x14ac:dyDescent="0.25">
      <c r="C1035" s="82">
        <v>15577</v>
      </c>
      <c r="D1035" s="78">
        <v>9355</v>
      </c>
      <c r="E1035" s="69" t="s">
        <v>121</v>
      </c>
      <c r="F1035" s="69" t="s">
        <v>1634</v>
      </c>
      <c r="H1035" s="69">
        <v>10000</v>
      </c>
      <c r="U1035" s="69"/>
      <c r="V1035" s="69"/>
      <c r="AR1035" s="74">
        <f t="shared" si="105"/>
        <v>10000</v>
      </c>
      <c r="AS1035" s="69">
        <v>8920.4</v>
      </c>
      <c r="AT1035" s="69">
        <v>1079.5999999999999</v>
      </c>
      <c r="BC1035" s="69"/>
      <c r="BD1035" s="69"/>
      <c r="CC1035" s="74">
        <f t="shared" si="114"/>
        <v>10000</v>
      </c>
      <c r="CD1035" s="73">
        <f t="shared" si="115"/>
        <v>0</v>
      </c>
      <c r="CE1035" s="75">
        <f t="shared" si="113"/>
        <v>9355</v>
      </c>
      <c r="CF1035" s="3" t="str">
        <f t="shared" si="113"/>
        <v>ماليزى اسنان</v>
      </c>
    </row>
    <row r="1036" spans="2:84" x14ac:dyDescent="0.25">
      <c r="C1036" s="82">
        <v>15578</v>
      </c>
      <c r="D1036" s="78">
        <v>9356</v>
      </c>
      <c r="E1036" s="69" t="s">
        <v>121</v>
      </c>
      <c r="F1036" s="69" t="s">
        <v>1634</v>
      </c>
      <c r="H1036" s="69">
        <v>69000</v>
      </c>
      <c r="U1036" s="69"/>
      <c r="V1036" s="69"/>
      <c r="AR1036" s="74">
        <f t="shared" si="105"/>
        <v>69000</v>
      </c>
      <c r="AS1036" s="69">
        <v>61645</v>
      </c>
      <c r="AT1036" s="69">
        <f>6900+455</f>
        <v>7355</v>
      </c>
      <c r="BC1036" s="69"/>
      <c r="BD1036" s="69"/>
      <c r="CC1036" s="74">
        <f t="shared" si="114"/>
        <v>69000</v>
      </c>
      <c r="CD1036" s="73">
        <f t="shared" si="115"/>
        <v>0</v>
      </c>
      <c r="CE1036" s="75">
        <f t="shared" si="113"/>
        <v>9356</v>
      </c>
      <c r="CF1036" s="3" t="str">
        <f t="shared" si="113"/>
        <v>ماليزى اسنان</v>
      </c>
    </row>
    <row r="1037" spans="2:84" x14ac:dyDescent="0.25">
      <c r="C1037" s="82">
        <v>15581</v>
      </c>
      <c r="D1037" s="78">
        <v>9357</v>
      </c>
      <c r="E1037" s="69" t="s">
        <v>121</v>
      </c>
      <c r="F1037" s="69" t="s">
        <v>801</v>
      </c>
      <c r="H1037" s="69">
        <v>7732.3</v>
      </c>
      <c r="U1037" s="69"/>
      <c r="V1037" s="69"/>
      <c r="AR1037" s="74">
        <f t="shared" si="105"/>
        <v>7732.3</v>
      </c>
      <c r="AS1037" s="69">
        <v>5784.73</v>
      </c>
      <c r="AT1037" s="69">
        <v>748.3</v>
      </c>
      <c r="AU1037" s="69">
        <v>1199.27</v>
      </c>
      <c r="BC1037" s="69"/>
      <c r="BD1037" s="69"/>
      <c r="CC1037" s="74">
        <f t="shared" si="114"/>
        <v>7732.2999999999993</v>
      </c>
      <c r="CD1037" s="73">
        <f t="shared" si="115"/>
        <v>0</v>
      </c>
      <c r="CE1037" s="75">
        <f t="shared" si="113"/>
        <v>9357</v>
      </c>
      <c r="CF1037" s="3" t="str">
        <f t="shared" si="113"/>
        <v>ماليزى اسنان</v>
      </c>
    </row>
    <row r="1038" spans="2:84" x14ac:dyDescent="0.25">
      <c r="B1038" s="69" t="s">
        <v>599</v>
      </c>
      <c r="C1038" s="82">
        <v>15604</v>
      </c>
      <c r="D1038" s="78">
        <v>9358</v>
      </c>
      <c r="E1038" s="69" t="s">
        <v>121</v>
      </c>
      <c r="F1038" s="69" t="s">
        <v>1635</v>
      </c>
      <c r="H1038" s="69">
        <v>18700.55</v>
      </c>
      <c r="U1038" s="69"/>
      <c r="V1038" s="69"/>
      <c r="AR1038" s="74">
        <f t="shared" si="105"/>
        <v>18700.55</v>
      </c>
      <c r="AS1038" s="69">
        <v>14175.68</v>
      </c>
      <c r="AT1038" s="69">
        <v>1821.8</v>
      </c>
      <c r="AU1038" s="69">
        <v>2703.07</v>
      </c>
      <c r="BC1038" s="69"/>
      <c r="BD1038" s="69"/>
      <c r="CC1038" s="74">
        <f t="shared" si="114"/>
        <v>18700.55</v>
      </c>
      <c r="CD1038" s="73">
        <f t="shared" si="115"/>
        <v>0</v>
      </c>
      <c r="CE1038" s="75">
        <f t="shared" si="113"/>
        <v>9358</v>
      </c>
      <c r="CF1038" s="3" t="str">
        <f t="shared" si="113"/>
        <v>ماليزى اسنان</v>
      </c>
    </row>
    <row r="1039" spans="2:84" ht="36" x14ac:dyDescent="0.25">
      <c r="B1039" s="69" t="s">
        <v>599</v>
      </c>
      <c r="C1039" s="82">
        <v>15604</v>
      </c>
      <c r="D1039" s="78">
        <v>9359</v>
      </c>
      <c r="E1039" s="69" t="s">
        <v>121</v>
      </c>
      <c r="F1039" s="77" t="s">
        <v>1636</v>
      </c>
      <c r="H1039" s="69">
        <v>2507.08</v>
      </c>
      <c r="U1039" s="69"/>
      <c r="V1039" s="69"/>
      <c r="AR1039" s="74">
        <f t="shared" si="105"/>
        <v>2507.08</v>
      </c>
      <c r="AS1039" s="69">
        <v>1770.28</v>
      </c>
      <c r="AT1039" s="69">
        <v>233.9</v>
      </c>
      <c r="AU1039" s="69">
        <v>502.9</v>
      </c>
      <c r="BC1039" s="69"/>
      <c r="BD1039" s="69"/>
      <c r="CC1039" s="74">
        <f t="shared" si="114"/>
        <v>2507.08</v>
      </c>
      <c r="CD1039" s="73">
        <f t="shared" si="115"/>
        <v>0</v>
      </c>
      <c r="CE1039" s="75">
        <f t="shared" si="113"/>
        <v>9359</v>
      </c>
      <c r="CF1039" s="3" t="str">
        <f t="shared" si="113"/>
        <v>ماليزى اسنان</v>
      </c>
    </row>
    <row r="1040" spans="2:84" x14ac:dyDescent="0.25">
      <c r="C1040" s="82">
        <v>15616</v>
      </c>
      <c r="D1040" s="78">
        <v>9360</v>
      </c>
      <c r="E1040" s="69" t="s">
        <v>123</v>
      </c>
      <c r="F1040" s="69" t="s">
        <v>1637</v>
      </c>
      <c r="H1040" s="69">
        <v>2000</v>
      </c>
      <c r="U1040" s="69"/>
      <c r="V1040" s="69"/>
      <c r="AR1040" s="74">
        <f t="shared" si="105"/>
        <v>2000</v>
      </c>
      <c r="AS1040" s="69">
        <v>1685.35</v>
      </c>
      <c r="AT1040" s="69">
        <v>214.65</v>
      </c>
      <c r="AV1040" s="69">
        <v>100</v>
      </c>
      <c r="BC1040" s="69"/>
      <c r="BD1040" s="69"/>
      <c r="CC1040" s="74">
        <f t="shared" si="114"/>
        <v>2000</v>
      </c>
      <c r="CD1040" s="73">
        <f t="shared" si="115"/>
        <v>0</v>
      </c>
      <c r="CE1040" s="75">
        <f t="shared" si="113"/>
        <v>9360</v>
      </c>
      <c r="CF1040" s="3" t="str">
        <f t="shared" si="113"/>
        <v>خ ت اسنان</v>
      </c>
    </row>
    <row r="1041" spans="3:84" x14ac:dyDescent="0.25">
      <c r="C1041" s="82">
        <v>15612</v>
      </c>
      <c r="D1041" s="78">
        <v>9361</v>
      </c>
      <c r="E1041" s="69" t="s">
        <v>123</v>
      </c>
      <c r="F1041" s="69" t="s">
        <v>1637</v>
      </c>
      <c r="H1041" s="69">
        <v>2000</v>
      </c>
      <c r="U1041" s="69"/>
      <c r="V1041" s="69"/>
      <c r="AR1041" s="74">
        <f t="shared" si="105"/>
        <v>2000</v>
      </c>
      <c r="AS1041" s="69">
        <v>1685.35</v>
      </c>
      <c r="AT1041" s="69">
        <v>214.65</v>
      </c>
      <c r="AV1041" s="69">
        <v>100</v>
      </c>
      <c r="BC1041" s="69"/>
      <c r="BD1041" s="69"/>
      <c r="CC1041" s="74">
        <f t="shared" si="114"/>
        <v>2000</v>
      </c>
      <c r="CD1041" s="73">
        <f t="shared" si="115"/>
        <v>0</v>
      </c>
      <c r="CE1041" s="75">
        <f t="shared" si="113"/>
        <v>9361</v>
      </c>
      <c r="CF1041" s="3" t="str">
        <f t="shared" si="113"/>
        <v>خ ت اسنان</v>
      </c>
    </row>
    <row r="1042" spans="3:84" x14ac:dyDescent="0.25">
      <c r="C1042" s="82">
        <v>15617</v>
      </c>
      <c r="D1042" s="78">
        <v>9362</v>
      </c>
      <c r="E1042" s="69" t="s">
        <v>123</v>
      </c>
      <c r="F1042" s="69" t="s">
        <v>1637</v>
      </c>
      <c r="H1042" s="69">
        <v>4000</v>
      </c>
      <c r="U1042" s="69"/>
      <c r="V1042" s="69"/>
      <c r="AR1042" s="74">
        <f t="shared" si="105"/>
        <v>4000</v>
      </c>
      <c r="AS1042" s="69">
        <v>3370.7</v>
      </c>
      <c r="AT1042" s="69">
        <v>429.3</v>
      </c>
      <c r="AV1042" s="69">
        <v>200</v>
      </c>
      <c r="BC1042" s="69"/>
      <c r="BD1042" s="69"/>
      <c r="CC1042" s="74">
        <f t="shared" si="114"/>
        <v>4000</v>
      </c>
      <c r="CD1042" s="73">
        <f t="shared" si="115"/>
        <v>0</v>
      </c>
      <c r="CE1042" s="75">
        <f t="shared" si="113"/>
        <v>9362</v>
      </c>
      <c r="CF1042" s="3" t="str">
        <f t="shared" si="113"/>
        <v>خ ت اسنان</v>
      </c>
    </row>
    <row r="1043" spans="3:84" x14ac:dyDescent="0.25">
      <c r="C1043" s="82">
        <v>15613</v>
      </c>
      <c r="D1043" s="78">
        <v>9363</v>
      </c>
      <c r="E1043" s="69" t="s">
        <v>123</v>
      </c>
      <c r="F1043" s="69" t="s">
        <v>1637</v>
      </c>
      <c r="H1043" s="69">
        <v>2006.02</v>
      </c>
      <c r="U1043" s="69"/>
      <c r="V1043" s="69"/>
      <c r="AR1043" s="74">
        <f t="shared" si="105"/>
        <v>2006.02</v>
      </c>
      <c r="AS1043" s="69">
        <v>1681.56</v>
      </c>
      <c r="AT1043" s="69">
        <v>214.6</v>
      </c>
      <c r="AU1043" s="69">
        <v>9.86</v>
      </c>
      <c r="AV1043" s="69">
        <v>100</v>
      </c>
      <c r="BC1043" s="69"/>
      <c r="BD1043" s="69"/>
      <c r="CC1043" s="74">
        <f t="shared" si="114"/>
        <v>2006.0199999999998</v>
      </c>
      <c r="CD1043" s="73">
        <f t="shared" si="115"/>
        <v>0</v>
      </c>
      <c r="CE1043" s="75">
        <f t="shared" si="113"/>
        <v>9363</v>
      </c>
      <c r="CF1043" s="3" t="str">
        <f t="shared" si="113"/>
        <v>خ ت اسنان</v>
      </c>
    </row>
    <row r="1044" spans="3:84" x14ac:dyDescent="0.25">
      <c r="C1044" s="82">
        <v>15616</v>
      </c>
      <c r="D1044" s="78">
        <v>9364</v>
      </c>
      <c r="E1044" s="69" t="s">
        <v>123</v>
      </c>
      <c r="F1044" s="69" t="s">
        <v>1637</v>
      </c>
      <c r="H1044" s="69">
        <v>2000</v>
      </c>
      <c r="U1044" s="69"/>
      <c r="V1044" s="69"/>
      <c r="AR1044" s="74">
        <f t="shared" si="105"/>
        <v>2000</v>
      </c>
      <c r="AS1044" s="69">
        <v>1685.35</v>
      </c>
      <c r="AT1044" s="69">
        <v>214.65</v>
      </c>
      <c r="AV1044" s="69">
        <v>100</v>
      </c>
      <c r="BC1044" s="69"/>
      <c r="BD1044" s="69"/>
      <c r="CC1044" s="74">
        <f t="shared" si="114"/>
        <v>2000</v>
      </c>
      <c r="CD1044" s="73">
        <f t="shared" si="115"/>
        <v>0</v>
      </c>
      <c r="CE1044" s="75">
        <f t="shared" si="113"/>
        <v>9364</v>
      </c>
      <c r="CF1044" s="3" t="str">
        <f t="shared" si="113"/>
        <v>خ ت اسنان</v>
      </c>
    </row>
    <row r="1045" spans="3:84" x14ac:dyDescent="0.25">
      <c r="C1045" s="82">
        <v>15614</v>
      </c>
      <c r="D1045" s="78">
        <v>9365</v>
      </c>
      <c r="E1045" s="69" t="s">
        <v>123</v>
      </c>
      <c r="F1045" s="69" t="s">
        <v>1637</v>
      </c>
      <c r="H1045" s="69">
        <v>20345</v>
      </c>
      <c r="U1045" s="69"/>
      <c r="V1045" s="69"/>
      <c r="AR1045" s="74">
        <f t="shared" si="105"/>
        <v>20345</v>
      </c>
      <c r="AS1045" s="69">
        <v>16635.150000000001</v>
      </c>
      <c r="AT1045" s="69">
        <v>2144.85</v>
      </c>
      <c r="AU1045" s="69">
        <v>565</v>
      </c>
      <c r="AV1045" s="69">
        <v>1000</v>
      </c>
      <c r="BC1045" s="69"/>
      <c r="BD1045" s="69"/>
      <c r="CC1045" s="74">
        <f t="shared" si="114"/>
        <v>20345</v>
      </c>
      <c r="CD1045" s="73">
        <f t="shared" si="115"/>
        <v>0</v>
      </c>
      <c r="CE1045" s="75">
        <f t="shared" si="113"/>
        <v>9365</v>
      </c>
      <c r="CF1045" s="3" t="str">
        <f t="shared" si="113"/>
        <v>خ ت اسنان</v>
      </c>
    </row>
    <row r="1046" spans="3:84" x14ac:dyDescent="0.25">
      <c r="C1046" s="82">
        <v>15615</v>
      </c>
      <c r="D1046" s="78">
        <v>9366</v>
      </c>
      <c r="E1046" s="69" t="s">
        <v>123</v>
      </c>
      <c r="F1046" s="69" t="s">
        <v>1637</v>
      </c>
      <c r="H1046" s="69">
        <v>3600</v>
      </c>
      <c r="U1046" s="69"/>
      <c r="V1046" s="69"/>
      <c r="AR1046" s="74">
        <f t="shared" si="105"/>
        <v>3600</v>
      </c>
      <c r="AS1046" s="69">
        <v>3033.7</v>
      </c>
      <c r="AT1046" s="69">
        <v>386.3</v>
      </c>
      <c r="AV1046" s="69">
        <v>180</v>
      </c>
      <c r="BC1046" s="69"/>
      <c r="BD1046" s="69"/>
      <c r="CC1046" s="74">
        <f t="shared" si="114"/>
        <v>3600</v>
      </c>
      <c r="CD1046" s="73">
        <f t="shared" si="115"/>
        <v>0</v>
      </c>
      <c r="CE1046" s="75">
        <f t="shared" si="113"/>
        <v>9366</v>
      </c>
      <c r="CF1046" s="3" t="str">
        <f t="shared" si="113"/>
        <v>خ ت اسنان</v>
      </c>
    </row>
    <row r="1047" spans="3:84" x14ac:dyDescent="0.25">
      <c r="C1047" s="75">
        <v>15339</v>
      </c>
      <c r="D1047" s="78">
        <v>9367</v>
      </c>
      <c r="E1047" s="69" t="s">
        <v>121</v>
      </c>
      <c r="F1047" s="69" t="s">
        <v>1638</v>
      </c>
      <c r="H1047" s="69">
        <v>47.1</v>
      </c>
      <c r="AR1047" s="57">
        <f t="shared" si="105"/>
        <v>47.1</v>
      </c>
      <c r="AS1047" s="69">
        <v>32.18</v>
      </c>
      <c r="AT1047" s="52">
        <v>3.57</v>
      </c>
      <c r="AU1047" s="69">
        <v>11.35</v>
      </c>
      <c r="CC1047" s="74">
        <f t="shared" ref="CC1047" si="116">SUM(AS1047:CB1047)</f>
        <v>47.1</v>
      </c>
      <c r="CD1047" s="73">
        <f t="shared" si="115"/>
        <v>0</v>
      </c>
      <c r="CE1047" s="75">
        <f t="shared" si="113"/>
        <v>9367</v>
      </c>
      <c r="CF1047" s="3" t="str">
        <f t="shared" si="113"/>
        <v>ماليزى اسنان</v>
      </c>
    </row>
    <row r="1048" spans="3:84" x14ac:dyDescent="0.25">
      <c r="C1048" s="82">
        <v>15401</v>
      </c>
      <c r="D1048" s="78">
        <v>9368</v>
      </c>
      <c r="E1048" s="69" t="s">
        <v>78</v>
      </c>
      <c r="F1048" s="69" t="s">
        <v>667</v>
      </c>
      <c r="H1048" s="69">
        <v>8801.66</v>
      </c>
      <c r="U1048" s="69"/>
      <c r="V1048" s="69"/>
      <c r="AR1048" s="74">
        <f t="shared" si="105"/>
        <v>8801.66</v>
      </c>
      <c r="AS1048" s="69">
        <v>6634.05</v>
      </c>
      <c r="AT1048" s="69">
        <v>854.75</v>
      </c>
      <c r="AU1048" s="69">
        <v>1312.86</v>
      </c>
      <c r="BC1048" s="69"/>
      <c r="BD1048" s="69"/>
      <c r="CC1048" s="74">
        <f t="shared" si="114"/>
        <v>8801.66</v>
      </c>
      <c r="CD1048" s="73">
        <f t="shared" si="115"/>
        <v>0</v>
      </c>
      <c r="CE1048" s="75">
        <f t="shared" si="113"/>
        <v>9368</v>
      </c>
      <c r="CF1048" s="3" t="str">
        <f t="shared" si="113"/>
        <v>برنامج دولى</v>
      </c>
    </row>
    <row r="1049" spans="3:84" x14ac:dyDescent="0.25">
      <c r="C1049" s="82">
        <v>15402</v>
      </c>
      <c r="D1049" s="78">
        <v>9369</v>
      </c>
      <c r="E1049" s="69" t="s">
        <v>78</v>
      </c>
      <c r="F1049" s="69" t="s">
        <v>667</v>
      </c>
      <c r="H1049" s="69">
        <v>2082.0100000000002</v>
      </c>
      <c r="U1049" s="69"/>
      <c r="V1049" s="69"/>
      <c r="AR1049" s="74">
        <f t="shared" si="105"/>
        <v>2082.0100000000002</v>
      </c>
      <c r="AS1049" s="69">
        <v>1733.46</v>
      </c>
      <c r="AT1049" s="69">
        <v>214.25</v>
      </c>
      <c r="AU1049" s="69">
        <v>134.30000000000001</v>
      </c>
      <c r="BC1049" s="69"/>
      <c r="BD1049" s="69"/>
      <c r="CC1049" s="74">
        <f t="shared" si="114"/>
        <v>2082.0100000000002</v>
      </c>
      <c r="CD1049" s="73">
        <f t="shared" si="115"/>
        <v>0</v>
      </c>
      <c r="CE1049" s="75">
        <f t="shared" si="113"/>
        <v>9369</v>
      </c>
      <c r="CF1049" s="3" t="str">
        <f t="shared" si="113"/>
        <v>برنامج دولى</v>
      </c>
    </row>
    <row r="1050" spans="3:84" x14ac:dyDescent="0.25">
      <c r="C1050" s="82">
        <v>15376</v>
      </c>
      <c r="D1050" s="78">
        <v>9370</v>
      </c>
      <c r="E1050" s="69" t="s">
        <v>78</v>
      </c>
      <c r="F1050" s="69" t="s">
        <v>667</v>
      </c>
      <c r="H1050" s="69">
        <v>281694.2</v>
      </c>
      <c r="U1050" s="69"/>
      <c r="V1050" s="69"/>
      <c r="AR1050" s="74">
        <f t="shared" si="105"/>
        <v>281694.2</v>
      </c>
      <c r="AS1050" s="69">
        <v>247323.91</v>
      </c>
      <c r="AT1050" s="69">
        <v>29925.35</v>
      </c>
      <c r="AU1050" s="69">
        <v>4444.9399999999996</v>
      </c>
      <c r="BC1050" s="69"/>
      <c r="BD1050" s="69"/>
      <c r="CC1050" s="74">
        <f t="shared" ref="CC1050:CC1113" si="117">SUM(AS1050:CB1050)</f>
        <v>281694.2</v>
      </c>
      <c r="CD1050" s="73">
        <f t="shared" si="115"/>
        <v>0</v>
      </c>
      <c r="CE1050" s="75">
        <f t="shared" si="113"/>
        <v>9370</v>
      </c>
      <c r="CF1050" s="3" t="str">
        <f t="shared" si="113"/>
        <v>برنامج دولى</v>
      </c>
    </row>
    <row r="1051" spans="3:84" x14ac:dyDescent="0.25">
      <c r="C1051" s="82">
        <v>15375</v>
      </c>
      <c r="D1051" s="78">
        <v>9371</v>
      </c>
      <c r="E1051" s="69" t="s">
        <v>78</v>
      </c>
      <c r="F1051" s="69" t="s">
        <v>1639</v>
      </c>
      <c r="H1051" s="69">
        <v>43550.83</v>
      </c>
      <c r="U1051" s="69"/>
      <c r="V1051" s="69"/>
      <c r="AR1051" s="74">
        <f t="shared" si="105"/>
        <v>43550.83</v>
      </c>
      <c r="AS1051" s="69">
        <v>38792.03</v>
      </c>
      <c r="AT1051" s="69">
        <v>4675.55</v>
      </c>
      <c r="AU1051" s="69">
        <v>83.25</v>
      </c>
      <c r="BC1051" s="69"/>
      <c r="BD1051" s="69"/>
      <c r="CC1051" s="74">
        <f t="shared" si="117"/>
        <v>43550.83</v>
      </c>
      <c r="CD1051" s="73">
        <f t="shared" si="115"/>
        <v>0</v>
      </c>
      <c r="CE1051" s="75">
        <f t="shared" si="113"/>
        <v>9371</v>
      </c>
      <c r="CF1051" s="3" t="str">
        <f t="shared" si="113"/>
        <v>برنامج دولى</v>
      </c>
    </row>
    <row r="1052" spans="3:84" x14ac:dyDescent="0.25">
      <c r="C1052" s="82">
        <v>14561</v>
      </c>
      <c r="D1052" s="78">
        <v>9372</v>
      </c>
      <c r="E1052" s="69" t="s">
        <v>78</v>
      </c>
      <c r="F1052" s="69" t="s">
        <v>1640</v>
      </c>
      <c r="H1052" s="69">
        <v>351.75</v>
      </c>
      <c r="U1052" s="69"/>
      <c r="V1052" s="69"/>
      <c r="AR1052" s="74">
        <f t="shared" si="105"/>
        <v>351.75</v>
      </c>
      <c r="AS1052" s="69">
        <v>236.1</v>
      </c>
      <c r="AT1052" s="69">
        <f>30+0.9</f>
        <v>30.9</v>
      </c>
      <c r="AU1052" s="69">
        <f>115.65-AT1052</f>
        <v>84.75</v>
      </c>
      <c r="BC1052" s="69"/>
      <c r="BD1052" s="69"/>
      <c r="CC1052" s="74">
        <f t="shared" si="117"/>
        <v>351.75</v>
      </c>
      <c r="CD1052" s="73">
        <f t="shared" si="115"/>
        <v>0</v>
      </c>
      <c r="CE1052" s="75">
        <f t="shared" si="113"/>
        <v>9372</v>
      </c>
      <c r="CF1052" s="3" t="str">
        <f t="shared" si="113"/>
        <v>برنامج دولى</v>
      </c>
    </row>
    <row r="1053" spans="3:84" x14ac:dyDescent="0.25">
      <c r="C1053" s="82">
        <v>14560</v>
      </c>
      <c r="D1053" s="78">
        <v>9373</v>
      </c>
      <c r="E1053" s="69" t="s">
        <v>78</v>
      </c>
      <c r="F1053" s="69" t="s">
        <v>1641</v>
      </c>
      <c r="H1053" s="69">
        <v>719</v>
      </c>
      <c r="U1053" s="69"/>
      <c r="V1053" s="69"/>
      <c r="AR1053" s="74">
        <f t="shared" si="105"/>
        <v>719</v>
      </c>
      <c r="AS1053" s="69">
        <v>537.79999999999995</v>
      </c>
      <c r="AT1053" s="69">
        <v>68.2</v>
      </c>
      <c r="AU1053" s="69">
        <v>113</v>
      </c>
      <c r="BC1053" s="69"/>
      <c r="BD1053" s="69"/>
      <c r="CC1053" s="74">
        <f t="shared" si="117"/>
        <v>719</v>
      </c>
      <c r="CD1053" s="73">
        <f t="shared" si="115"/>
        <v>0</v>
      </c>
      <c r="CE1053" s="75">
        <f t="shared" si="113"/>
        <v>9373</v>
      </c>
      <c r="CF1053" s="3" t="str">
        <f t="shared" si="113"/>
        <v>برنامج دولى</v>
      </c>
    </row>
    <row r="1054" spans="3:84" x14ac:dyDescent="0.25">
      <c r="C1054" s="82">
        <v>14559</v>
      </c>
      <c r="D1054" s="78">
        <v>9374</v>
      </c>
      <c r="E1054" s="69" t="s">
        <v>78</v>
      </c>
      <c r="F1054" s="69" t="s">
        <v>1641</v>
      </c>
      <c r="H1054" s="69">
        <v>175.88</v>
      </c>
      <c r="U1054" s="69"/>
      <c r="V1054" s="69"/>
      <c r="AR1054" s="74">
        <f t="shared" si="105"/>
        <v>175.88</v>
      </c>
      <c r="AS1054" s="69">
        <v>118</v>
      </c>
      <c r="AT1054" s="69">
        <v>15.5</v>
      </c>
      <c r="AU1054" s="69">
        <v>42.38</v>
      </c>
      <c r="BC1054" s="69"/>
      <c r="BD1054" s="69"/>
      <c r="CC1054" s="74">
        <f t="shared" si="117"/>
        <v>175.88</v>
      </c>
      <c r="CD1054" s="73">
        <f t="shared" si="115"/>
        <v>0</v>
      </c>
      <c r="CE1054" s="75">
        <f t="shared" si="113"/>
        <v>9374</v>
      </c>
      <c r="CF1054" s="3" t="str">
        <f t="shared" si="113"/>
        <v>برنامج دولى</v>
      </c>
    </row>
    <row r="1055" spans="3:84" x14ac:dyDescent="0.25">
      <c r="C1055" s="82">
        <v>14558</v>
      </c>
      <c r="D1055" s="78">
        <v>9375</v>
      </c>
      <c r="E1055" s="69" t="s">
        <v>78</v>
      </c>
      <c r="F1055" s="69" t="s">
        <v>1641</v>
      </c>
      <c r="H1055" s="69">
        <v>4300.78</v>
      </c>
      <c r="U1055" s="69"/>
      <c r="V1055" s="69"/>
      <c r="AR1055" s="74">
        <f t="shared" si="105"/>
        <v>4300.78</v>
      </c>
      <c r="AS1055" s="69">
        <v>3246.42</v>
      </c>
      <c r="AT1055" s="69">
        <v>414.4</v>
      </c>
      <c r="AU1055" s="69">
        <v>639.96</v>
      </c>
      <c r="BC1055" s="69"/>
      <c r="BD1055" s="69"/>
      <c r="CC1055" s="74">
        <f t="shared" si="117"/>
        <v>4300.7800000000007</v>
      </c>
      <c r="CD1055" s="73">
        <f t="shared" si="115"/>
        <v>0</v>
      </c>
      <c r="CE1055" s="75">
        <f t="shared" si="113"/>
        <v>9375</v>
      </c>
      <c r="CF1055" s="3" t="str">
        <f t="shared" si="113"/>
        <v>برنامج دولى</v>
      </c>
    </row>
    <row r="1056" spans="3:84" x14ac:dyDescent="0.25">
      <c r="C1056" s="82">
        <v>15427</v>
      </c>
      <c r="D1056" s="78">
        <v>9376</v>
      </c>
      <c r="E1056" s="69" t="s">
        <v>78</v>
      </c>
      <c r="F1056" s="69" t="s">
        <v>1642</v>
      </c>
      <c r="H1056" s="69">
        <v>1758.75</v>
      </c>
      <c r="U1056" s="69"/>
      <c r="V1056" s="69"/>
      <c r="AR1056" s="74">
        <f t="shared" si="105"/>
        <v>1758.75</v>
      </c>
      <c r="AS1056" s="69">
        <v>1175.3499999999999</v>
      </c>
      <c r="AT1056" s="69">
        <v>159.65</v>
      </c>
      <c r="AU1056" s="69">
        <v>423.75</v>
      </c>
      <c r="BC1056" s="69"/>
      <c r="BD1056" s="69"/>
      <c r="CC1056" s="74">
        <f t="shared" si="117"/>
        <v>1758.75</v>
      </c>
      <c r="CD1056" s="73">
        <f t="shared" si="115"/>
        <v>0</v>
      </c>
      <c r="CE1056" s="75">
        <f t="shared" si="113"/>
        <v>9376</v>
      </c>
      <c r="CF1056" s="3" t="str">
        <f t="shared" si="113"/>
        <v>برنامج دولى</v>
      </c>
    </row>
    <row r="1057" spans="3:84" x14ac:dyDescent="0.25">
      <c r="C1057" s="82">
        <v>15426</v>
      </c>
      <c r="D1057" s="78">
        <v>9377</v>
      </c>
      <c r="E1057" s="69" t="s">
        <v>78</v>
      </c>
      <c r="F1057" s="69" t="s">
        <v>1643</v>
      </c>
      <c r="H1057" s="69">
        <v>410.38</v>
      </c>
      <c r="U1057" s="69"/>
      <c r="V1057" s="69"/>
      <c r="AR1057" s="74">
        <f t="shared" si="105"/>
        <v>410.38</v>
      </c>
      <c r="AS1057" s="69">
        <v>274.8</v>
      </c>
      <c r="AT1057" s="69">
        <v>36.700000000000003</v>
      </c>
      <c r="AU1057" s="69">
        <v>98.88</v>
      </c>
      <c r="BC1057" s="69"/>
      <c r="BD1057" s="69"/>
      <c r="CC1057" s="74">
        <f t="shared" si="117"/>
        <v>410.38</v>
      </c>
      <c r="CD1057" s="73">
        <f t="shared" si="115"/>
        <v>0</v>
      </c>
      <c r="CE1057" s="75">
        <f t="shared" si="113"/>
        <v>9377</v>
      </c>
      <c r="CF1057" s="3" t="str">
        <f t="shared" si="113"/>
        <v>برنامج دولى</v>
      </c>
    </row>
    <row r="1058" spans="3:84" x14ac:dyDescent="0.25">
      <c r="C1058" s="82">
        <v>15425</v>
      </c>
      <c r="D1058" s="78">
        <v>9378</v>
      </c>
      <c r="E1058" s="69" t="s">
        <v>78</v>
      </c>
      <c r="F1058" s="69" t="s">
        <v>1644</v>
      </c>
      <c r="H1058" s="69">
        <v>2931.24</v>
      </c>
      <c r="U1058" s="69"/>
      <c r="V1058" s="69"/>
      <c r="AR1058" s="74">
        <f t="shared" si="105"/>
        <v>2931.24</v>
      </c>
      <c r="AS1058" s="69">
        <v>1959</v>
      </c>
      <c r="AT1058" s="69">
        <v>266</v>
      </c>
      <c r="AU1058" s="69">
        <v>706.24</v>
      </c>
      <c r="BC1058" s="69"/>
      <c r="BD1058" s="69"/>
      <c r="CC1058" s="74">
        <f t="shared" si="117"/>
        <v>2931.24</v>
      </c>
      <c r="CD1058" s="73">
        <f t="shared" si="115"/>
        <v>0</v>
      </c>
      <c r="CE1058" s="75">
        <f t="shared" si="113"/>
        <v>9378</v>
      </c>
      <c r="CF1058" s="3" t="str">
        <f t="shared" si="113"/>
        <v>برنامج دولى</v>
      </c>
    </row>
    <row r="1059" spans="3:84" x14ac:dyDescent="0.25">
      <c r="C1059" s="82">
        <v>15424</v>
      </c>
      <c r="D1059" s="78">
        <v>9379</v>
      </c>
      <c r="E1059" s="69" t="s">
        <v>78</v>
      </c>
      <c r="F1059" s="69" t="s">
        <v>851</v>
      </c>
      <c r="H1059" s="69">
        <v>820.75</v>
      </c>
      <c r="U1059" s="69"/>
      <c r="V1059" s="69"/>
      <c r="AR1059" s="74">
        <f t="shared" si="105"/>
        <v>820.75</v>
      </c>
      <c r="AS1059" s="69">
        <v>548.95000000000005</v>
      </c>
      <c r="AT1059" s="69">
        <f>70+4.05</f>
        <v>74.05</v>
      </c>
      <c r="AU1059" s="69">
        <v>197.75</v>
      </c>
      <c r="BC1059" s="69"/>
      <c r="BD1059" s="69"/>
      <c r="CC1059" s="74">
        <f t="shared" si="117"/>
        <v>820.75</v>
      </c>
      <c r="CD1059" s="73">
        <f t="shared" si="115"/>
        <v>0</v>
      </c>
      <c r="CE1059" s="75">
        <f t="shared" si="113"/>
        <v>9379</v>
      </c>
      <c r="CF1059" s="3" t="str">
        <f t="shared" si="113"/>
        <v>برنامج دولى</v>
      </c>
    </row>
    <row r="1060" spans="3:84" x14ac:dyDescent="0.25">
      <c r="C1060" s="82">
        <v>15423</v>
      </c>
      <c r="D1060" s="78">
        <v>9380</v>
      </c>
      <c r="E1060" s="69" t="s">
        <v>78</v>
      </c>
      <c r="F1060" s="69" t="s">
        <v>851</v>
      </c>
      <c r="H1060" s="69">
        <v>2308.27</v>
      </c>
      <c r="U1060" s="69"/>
      <c r="V1060" s="69"/>
      <c r="AR1060" s="74">
        <f t="shared" si="105"/>
        <v>2308.27</v>
      </c>
      <c r="AS1060" s="69">
        <v>1590.27</v>
      </c>
      <c r="AT1060" s="69">
        <v>213.15</v>
      </c>
      <c r="AU1060" s="69">
        <v>504.85</v>
      </c>
      <c r="BC1060" s="69"/>
      <c r="BD1060" s="69"/>
      <c r="CC1060" s="74">
        <f t="shared" si="117"/>
        <v>2308.27</v>
      </c>
      <c r="CD1060" s="73">
        <f t="shared" si="115"/>
        <v>0</v>
      </c>
      <c r="CE1060" s="75">
        <f t="shared" si="113"/>
        <v>9380</v>
      </c>
      <c r="CF1060" s="3" t="str">
        <f t="shared" si="113"/>
        <v>برنامج دولى</v>
      </c>
    </row>
    <row r="1061" spans="3:84" x14ac:dyDescent="0.25">
      <c r="C1061" s="82">
        <v>15236</v>
      </c>
      <c r="D1061" s="78">
        <v>9381</v>
      </c>
      <c r="E1061" s="69" t="s">
        <v>78</v>
      </c>
      <c r="F1061" s="69" t="s">
        <v>1645</v>
      </c>
      <c r="H1061" s="69">
        <v>3283</v>
      </c>
      <c r="U1061" s="69"/>
      <c r="V1061" s="69"/>
      <c r="AR1061" s="74">
        <f>SUM(H1061:AQ1061)</f>
        <v>3283</v>
      </c>
      <c r="AS1061" s="69">
        <v>2194.4499999999998</v>
      </c>
      <c r="AT1061" s="69">
        <v>297.55</v>
      </c>
      <c r="AU1061" s="69">
        <v>791</v>
      </c>
      <c r="BC1061" s="69"/>
      <c r="BD1061" s="69"/>
      <c r="CC1061" s="74">
        <f>SUM(AS1061:CB1061)</f>
        <v>3283</v>
      </c>
      <c r="CD1061" s="73">
        <f>+CC1061-AR1061</f>
        <v>0</v>
      </c>
      <c r="CE1061" s="75">
        <f>+D1061</f>
        <v>9381</v>
      </c>
      <c r="CF1061" s="3" t="str">
        <f>+E1061</f>
        <v>برنامج دولى</v>
      </c>
    </row>
    <row r="1062" spans="3:84" x14ac:dyDescent="0.25">
      <c r="C1062" s="82">
        <v>15422</v>
      </c>
      <c r="D1062" s="78">
        <v>9382</v>
      </c>
      <c r="E1062" s="69" t="s">
        <v>78</v>
      </c>
      <c r="F1062" s="69" t="str">
        <f>+F1060</f>
        <v>مكافاه حفل تخرج</v>
      </c>
      <c r="H1062" s="69">
        <v>7621.25</v>
      </c>
      <c r="U1062" s="69"/>
      <c r="V1062" s="69"/>
      <c r="AR1062" s="74">
        <f t="shared" si="105"/>
        <v>7621.25</v>
      </c>
      <c r="AS1062" s="69">
        <v>5092.6499999999996</v>
      </c>
      <c r="AT1062" s="69">
        <v>692.35</v>
      </c>
      <c r="AU1062" s="69">
        <v>1836.25</v>
      </c>
      <c r="BC1062" s="69"/>
      <c r="BD1062" s="69"/>
      <c r="CC1062" s="74">
        <f t="shared" si="117"/>
        <v>7621.25</v>
      </c>
      <c r="CD1062" s="73">
        <f t="shared" si="115"/>
        <v>0</v>
      </c>
      <c r="CE1062" s="75">
        <f t="shared" ref="CE1062:CF1125" si="118">+D1062</f>
        <v>9382</v>
      </c>
      <c r="CF1062" s="3" t="str">
        <f t="shared" si="118"/>
        <v>برنامج دولى</v>
      </c>
    </row>
    <row r="1063" spans="3:84" x14ac:dyDescent="0.25">
      <c r="C1063" s="82">
        <v>15421</v>
      </c>
      <c r="D1063" s="78">
        <v>9383</v>
      </c>
      <c r="E1063" s="69" t="s">
        <v>78</v>
      </c>
      <c r="F1063" s="69" t="str">
        <f>+F1062</f>
        <v>مكافاه حفل تخرج</v>
      </c>
      <c r="H1063" s="69">
        <v>2535.64</v>
      </c>
      <c r="U1063" s="69"/>
      <c r="V1063" s="69"/>
      <c r="AR1063" s="74">
        <f t="shared" si="105"/>
        <v>2535.64</v>
      </c>
      <c r="AS1063" s="69">
        <v>2209.0700000000002</v>
      </c>
      <c r="AT1063" s="69">
        <v>268.2</v>
      </c>
      <c r="AU1063" s="69">
        <v>58.37</v>
      </c>
      <c r="BC1063" s="69"/>
      <c r="BD1063" s="69"/>
      <c r="CC1063" s="74">
        <f t="shared" si="117"/>
        <v>2535.64</v>
      </c>
      <c r="CD1063" s="73">
        <f t="shared" si="115"/>
        <v>0</v>
      </c>
      <c r="CE1063" s="75">
        <f t="shared" si="118"/>
        <v>9383</v>
      </c>
      <c r="CF1063" s="3" t="str">
        <f t="shared" si="118"/>
        <v>برنامج دولى</v>
      </c>
    </row>
    <row r="1064" spans="3:84" x14ac:dyDescent="0.25">
      <c r="C1064" s="82">
        <v>15420</v>
      </c>
      <c r="D1064" s="78">
        <v>9384</v>
      </c>
      <c r="E1064" s="69" t="s">
        <v>78</v>
      </c>
      <c r="F1064" s="69" t="str">
        <f>+F1063</f>
        <v>مكافاه حفل تخرج</v>
      </c>
      <c r="H1064" s="69">
        <v>527.63</v>
      </c>
      <c r="U1064" s="69"/>
      <c r="V1064" s="69"/>
      <c r="AR1064" s="74">
        <f t="shared" si="105"/>
        <v>527.63</v>
      </c>
      <c r="AS1064" s="69">
        <v>353.2</v>
      </c>
      <c r="AT1064" s="69">
        <f>45+2.3</f>
        <v>47.3</v>
      </c>
      <c r="AU1064" s="69">
        <v>127.13</v>
      </c>
      <c r="BC1064" s="69"/>
      <c r="BD1064" s="69"/>
      <c r="CC1064" s="74">
        <f t="shared" si="117"/>
        <v>527.63</v>
      </c>
      <c r="CD1064" s="73">
        <f t="shared" si="115"/>
        <v>0</v>
      </c>
      <c r="CE1064" s="75">
        <f t="shared" si="118"/>
        <v>9384</v>
      </c>
      <c r="CF1064" s="3" t="str">
        <f t="shared" si="118"/>
        <v>برنامج دولى</v>
      </c>
    </row>
    <row r="1065" spans="3:84" x14ac:dyDescent="0.25">
      <c r="C1065" s="82">
        <v>15419</v>
      </c>
      <c r="D1065" s="78">
        <v>9385</v>
      </c>
      <c r="E1065" s="69" t="s">
        <v>78</v>
      </c>
      <c r="F1065" s="69" t="s">
        <v>1646</v>
      </c>
      <c r="H1065" s="69">
        <v>644.88</v>
      </c>
      <c r="U1065" s="69"/>
      <c r="V1065" s="69"/>
      <c r="AR1065" s="74">
        <f t="shared" si="105"/>
        <v>644.88</v>
      </c>
      <c r="AS1065" s="69">
        <v>431.4</v>
      </c>
      <c r="AT1065" s="69">
        <v>58.1</v>
      </c>
      <c r="AU1065" s="69">
        <v>155.38</v>
      </c>
      <c r="BC1065" s="69"/>
      <c r="BD1065" s="69"/>
      <c r="CC1065" s="74">
        <f t="shared" si="117"/>
        <v>644.88</v>
      </c>
      <c r="CD1065" s="73">
        <f t="shared" si="115"/>
        <v>0</v>
      </c>
      <c r="CE1065" s="75">
        <f t="shared" si="118"/>
        <v>9385</v>
      </c>
      <c r="CF1065" s="3" t="str">
        <f t="shared" si="118"/>
        <v>برنامج دولى</v>
      </c>
    </row>
    <row r="1066" spans="3:84" x14ac:dyDescent="0.25">
      <c r="C1066" s="82">
        <v>15418</v>
      </c>
      <c r="D1066" s="78">
        <v>9386</v>
      </c>
      <c r="E1066" s="69" t="s">
        <v>78</v>
      </c>
      <c r="F1066" s="69" t="s">
        <v>1646</v>
      </c>
      <c r="H1066" s="69">
        <v>11810.41</v>
      </c>
      <c r="U1066" s="69"/>
      <c r="V1066" s="69"/>
      <c r="AR1066" s="74">
        <f t="shared" si="105"/>
        <v>11810.41</v>
      </c>
      <c r="AS1066" s="69">
        <v>8621.9</v>
      </c>
      <c r="AT1066" s="69">
        <v>1124.3499999999999</v>
      </c>
      <c r="AU1066" s="69">
        <v>2064.16</v>
      </c>
      <c r="BC1066" s="69"/>
      <c r="BD1066" s="69"/>
      <c r="CC1066" s="74">
        <f t="shared" si="117"/>
        <v>11810.41</v>
      </c>
      <c r="CD1066" s="73">
        <f t="shared" si="115"/>
        <v>0</v>
      </c>
      <c r="CE1066" s="75">
        <f t="shared" si="118"/>
        <v>9386</v>
      </c>
      <c r="CF1066" s="3" t="str">
        <f t="shared" si="118"/>
        <v>برنامج دولى</v>
      </c>
    </row>
    <row r="1067" spans="3:84" x14ac:dyDescent="0.25">
      <c r="C1067" s="82">
        <v>15417</v>
      </c>
      <c r="D1067" s="78">
        <v>9387</v>
      </c>
      <c r="E1067" s="69" t="s">
        <v>78</v>
      </c>
      <c r="F1067" s="69" t="s">
        <v>1646</v>
      </c>
      <c r="H1067" s="69">
        <v>11778.51</v>
      </c>
      <c r="U1067" s="69"/>
      <c r="V1067" s="69"/>
      <c r="AR1067" s="74">
        <f t="shared" ref="AR1067:AR1092" si="119">SUM(H1067:AQ1067)</f>
        <v>11778.51</v>
      </c>
      <c r="AS1067" s="69">
        <v>8105.92</v>
      </c>
      <c r="AT1067" s="69">
        <v>1087.5</v>
      </c>
      <c r="AU1067" s="69">
        <v>2585.09</v>
      </c>
      <c r="BC1067" s="69"/>
      <c r="BD1067" s="69"/>
      <c r="CC1067" s="74">
        <f t="shared" si="117"/>
        <v>11778.51</v>
      </c>
      <c r="CD1067" s="73">
        <f t="shared" si="115"/>
        <v>0</v>
      </c>
      <c r="CE1067" s="75">
        <f t="shared" si="118"/>
        <v>9387</v>
      </c>
      <c r="CF1067" s="3" t="str">
        <f t="shared" si="118"/>
        <v>برنامج دولى</v>
      </c>
    </row>
    <row r="1068" spans="3:84" x14ac:dyDescent="0.25">
      <c r="C1068" s="82">
        <v>15416</v>
      </c>
      <c r="D1068" s="78">
        <v>9388</v>
      </c>
      <c r="E1068" s="69" t="s">
        <v>78</v>
      </c>
      <c r="F1068" s="69" t="s">
        <v>1647</v>
      </c>
      <c r="H1068" s="69">
        <v>938</v>
      </c>
      <c r="U1068" s="69"/>
      <c r="V1068" s="69"/>
      <c r="AR1068" s="74">
        <f t="shared" si="119"/>
        <v>938</v>
      </c>
      <c r="AS1068" s="69">
        <v>628</v>
      </c>
      <c r="AT1068" s="69">
        <v>84</v>
      </c>
      <c r="AU1068" s="69">
        <f>310-84</f>
        <v>226</v>
      </c>
      <c r="BC1068" s="69"/>
      <c r="BD1068" s="69"/>
      <c r="CC1068" s="74">
        <f t="shared" si="117"/>
        <v>938</v>
      </c>
      <c r="CD1068" s="73">
        <f t="shared" si="115"/>
        <v>0</v>
      </c>
      <c r="CE1068" s="75">
        <f t="shared" si="118"/>
        <v>9388</v>
      </c>
      <c r="CF1068" s="3" t="str">
        <f t="shared" si="118"/>
        <v>برنامج دولى</v>
      </c>
    </row>
    <row r="1069" spans="3:84" x14ac:dyDescent="0.25">
      <c r="C1069" s="82">
        <v>15415</v>
      </c>
      <c r="D1069" s="78">
        <v>9389</v>
      </c>
      <c r="E1069" s="69" t="s">
        <v>78</v>
      </c>
      <c r="F1069" s="69" t="s">
        <v>1648</v>
      </c>
      <c r="H1069" s="69">
        <v>938</v>
      </c>
      <c r="U1069" s="69"/>
      <c r="V1069" s="69"/>
      <c r="AR1069" s="74">
        <f t="shared" si="119"/>
        <v>938</v>
      </c>
      <c r="AS1069" s="69">
        <v>628</v>
      </c>
      <c r="AT1069" s="69">
        <v>84</v>
      </c>
      <c r="AU1069" s="69">
        <v>226</v>
      </c>
      <c r="BC1069" s="69"/>
      <c r="BD1069" s="69"/>
      <c r="CC1069" s="74">
        <f t="shared" si="117"/>
        <v>938</v>
      </c>
      <c r="CD1069" s="73">
        <f t="shared" si="115"/>
        <v>0</v>
      </c>
      <c r="CE1069" s="75">
        <f t="shared" si="118"/>
        <v>9389</v>
      </c>
      <c r="CF1069" s="3" t="str">
        <f t="shared" si="118"/>
        <v>برنامج دولى</v>
      </c>
    </row>
    <row r="1070" spans="3:84" x14ac:dyDescent="0.25">
      <c r="C1070" s="82">
        <v>15414</v>
      </c>
      <c r="D1070" s="78">
        <v>9390</v>
      </c>
      <c r="E1070" s="69" t="s">
        <v>78</v>
      </c>
      <c r="F1070" s="69" t="s">
        <v>1649</v>
      </c>
      <c r="H1070" s="69">
        <v>1758.76</v>
      </c>
      <c r="U1070" s="69"/>
      <c r="V1070" s="69"/>
      <c r="AR1070" s="74">
        <f t="shared" si="119"/>
        <v>1758.76</v>
      </c>
      <c r="AS1070" s="69">
        <v>1176.3</v>
      </c>
      <c r="AT1070" s="69">
        <v>158.69999999999999</v>
      </c>
      <c r="AU1070" s="69">
        <v>423.76</v>
      </c>
      <c r="BC1070" s="69"/>
      <c r="BD1070" s="69"/>
      <c r="CC1070" s="74">
        <f t="shared" si="117"/>
        <v>1758.76</v>
      </c>
      <c r="CD1070" s="73">
        <f t="shared" si="115"/>
        <v>0</v>
      </c>
      <c r="CE1070" s="75">
        <f t="shared" si="118"/>
        <v>9390</v>
      </c>
      <c r="CF1070" s="3" t="str">
        <f t="shared" si="118"/>
        <v>برنامج دولى</v>
      </c>
    </row>
    <row r="1071" spans="3:84" x14ac:dyDescent="0.25">
      <c r="C1071" s="82">
        <v>15413</v>
      </c>
      <c r="D1071" s="78">
        <v>9391</v>
      </c>
      <c r="E1071" s="69" t="s">
        <v>78</v>
      </c>
      <c r="F1071" s="69" t="s">
        <v>1649</v>
      </c>
      <c r="H1071" s="69">
        <v>5510.75</v>
      </c>
      <c r="U1071" s="69"/>
      <c r="V1071" s="69"/>
      <c r="AR1071" s="74">
        <f t="shared" si="119"/>
        <v>5510.75</v>
      </c>
      <c r="AS1071" s="69">
        <v>3682.65</v>
      </c>
      <c r="AT1071" s="69">
        <v>500.35</v>
      </c>
      <c r="AU1071" s="69">
        <v>1327.75</v>
      </c>
      <c r="BC1071" s="69"/>
      <c r="BD1071" s="69"/>
      <c r="CC1071" s="74">
        <f t="shared" si="117"/>
        <v>5510.75</v>
      </c>
      <c r="CD1071" s="73">
        <f t="shared" si="115"/>
        <v>0</v>
      </c>
      <c r="CE1071" s="75">
        <f t="shared" si="118"/>
        <v>9391</v>
      </c>
      <c r="CF1071" s="3" t="str">
        <f t="shared" si="118"/>
        <v>برنامج دولى</v>
      </c>
    </row>
    <row r="1072" spans="3:84" x14ac:dyDescent="0.25">
      <c r="C1072" s="82">
        <v>15412</v>
      </c>
      <c r="D1072" s="78">
        <v>9392</v>
      </c>
      <c r="E1072" s="69" t="s">
        <v>78</v>
      </c>
      <c r="F1072" s="69" t="s">
        <v>1649</v>
      </c>
      <c r="H1072" s="69">
        <v>9028.25</v>
      </c>
      <c r="U1072" s="69"/>
      <c r="V1072" s="69"/>
      <c r="AR1072" s="74">
        <f t="shared" si="119"/>
        <v>9028.25</v>
      </c>
      <c r="AS1072" s="69">
        <v>6034</v>
      </c>
      <c r="AT1072" s="69">
        <v>819</v>
      </c>
      <c r="AU1072" s="69">
        <v>2175.25</v>
      </c>
      <c r="BC1072" s="69"/>
      <c r="BD1072" s="69"/>
      <c r="CC1072" s="74">
        <f t="shared" si="117"/>
        <v>9028.25</v>
      </c>
      <c r="CD1072" s="73">
        <f t="shared" si="115"/>
        <v>0</v>
      </c>
      <c r="CE1072" s="75">
        <f t="shared" si="118"/>
        <v>9392</v>
      </c>
      <c r="CF1072" s="3" t="str">
        <f t="shared" si="118"/>
        <v>برنامج دولى</v>
      </c>
    </row>
    <row r="1073" spans="3:84" x14ac:dyDescent="0.25">
      <c r="C1073" s="82">
        <v>15411</v>
      </c>
      <c r="D1073" s="78">
        <v>9393</v>
      </c>
      <c r="E1073" s="69" t="s">
        <v>78</v>
      </c>
      <c r="F1073" s="69" t="s">
        <v>1650</v>
      </c>
      <c r="H1073" s="69">
        <v>351.75</v>
      </c>
      <c r="U1073" s="69"/>
      <c r="V1073" s="69"/>
      <c r="AR1073" s="74">
        <f t="shared" si="119"/>
        <v>351.75</v>
      </c>
      <c r="AS1073" s="69">
        <v>235.55</v>
      </c>
      <c r="AT1073" s="69">
        <v>31.45</v>
      </c>
      <c r="AU1073" s="69">
        <v>84.75</v>
      </c>
      <c r="BC1073" s="69"/>
      <c r="BD1073" s="69"/>
      <c r="CC1073" s="74">
        <f t="shared" si="117"/>
        <v>351.75</v>
      </c>
      <c r="CD1073" s="73">
        <f t="shared" ref="CD1073:CD1136" si="120">+CC1073-AR1073</f>
        <v>0</v>
      </c>
      <c r="CE1073" s="75">
        <f t="shared" si="118"/>
        <v>9393</v>
      </c>
      <c r="CF1073" s="3" t="str">
        <f t="shared" si="118"/>
        <v>برنامج دولى</v>
      </c>
    </row>
    <row r="1074" spans="3:84" x14ac:dyDescent="0.25">
      <c r="C1074" s="82">
        <v>15410</v>
      </c>
      <c r="D1074" s="78">
        <v>9394</v>
      </c>
      <c r="E1074" s="69" t="s">
        <v>78</v>
      </c>
      <c r="F1074" s="69" t="s">
        <v>1650</v>
      </c>
      <c r="H1074" s="69">
        <v>351.75</v>
      </c>
      <c r="U1074" s="69"/>
      <c r="V1074" s="69"/>
      <c r="AR1074" s="74">
        <f t="shared" si="119"/>
        <v>351.75</v>
      </c>
      <c r="AS1074" s="69">
        <v>235.55</v>
      </c>
      <c r="AT1074" s="69">
        <v>31.45</v>
      </c>
      <c r="AU1074" s="69">
        <v>84.75</v>
      </c>
      <c r="BC1074" s="69"/>
      <c r="BD1074" s="69"/>
      <c r="CC1074" s="74">
        <f t="shared" si="117"/>
        <v>351.75</v>
      </c>
      <c r="CD1074" s="73">
        <f t="shared" si="120"/>
        <v>0</v>
      </c>
      <c r="CE1074" s="75">
        <f t="shared" si="118"/>
        <v>9394</v>
      </c>
      <c r="CF1074" s="3" t="str">
        <f t="shared" si="118"/>
        <v>برنامج دولى</v>
      </c>
    </row>
    <row r="1075" spans="3:84" x14ac:dyDescent="0.25">
      <c r="C1075" s="82">
        <v>15409</v>
      </c>
      <c r="D1075" s="78">
        <v>9395</v>
      </c>
      <c r="E1075" s="69" t="s">
        <v>78</v>
      </c>
      <c r="F1075" s="69" t="s">
        <v>1651</v>
      </c>
      <c r="H1075" s="69">
        <v>938</v>
      </c>
      <c r="U1075" s="69"/>
      <c r="V1075" s="69"/>
      <c r="AR1075" s="74">
        <f t="shared" si="119"/>
        <v>938</v>
      </c>
      <c r="AS1075" s="69">
        <v>628</v>
      </c>
      <c r="AT1075" s="69">
        <v>84</v>
      </c>
      <c r="AU1075" s="69">
        <f>310-84</f>
        <v>226</v>
      </c>
      <c r="BC1075" s="69"/>
      <c r="BD1075" s="69"/>
      <c r="CC1075" s="74">
        <f t="shared" si="117"/>
        <v>938</v>
      </c>
      <c r="CD1075" s="73">
        <f t="shared" si="120"/>
        <v>0</v>
      </c>
      <c r="CE1075" s="75">
        <f t="shared" si="118"/>
        <v>9395</v>
      </c>
      <c r="CF1075" s="3" t="str">
        <f t="shared" si="118"/>
        <v>برنامج دولى</v>
      </c>
    </row>
    <row r="1076" spans="3:84" x14ac:dyDescent="0.25">
      <c r="C1076" s="82">
        <v>15405</v>
      </c>
      <c r="D1076" s="78">
        <v>9396</v>
      </c>
      <c r="E1076" s="69" t="s">
        <v>78</v>
      </c>
      <c r="F1076" s="69" t="s">
        <v>1652</v>
      </c>
      <c r="H1076" s="69">
        <v>12543.3</v>
      </c>
      <c r="U1076" s="69"/>
      <c r="V1076" s="69"/>
      <c r="AR1076" s="74">
        <f t="shared" si="119"/>
        <v>12543.3</v>
      </c>
      <c r="AS1076" s="69">
        <v>11130.59</v>
      </c>
      <c r="AT1076" s="69">
        <v>1341.8</v>
      </c>
      <c r="AU1076" s="69">
        <v>70.91</v>
      </c>
      <c r="BC1076" s="69"/>
      <c r="BD1076" s="69"/>
      <c r="CC1076" s="74">
        <f t="shared" si="117"/>
        <v>12543.3</v>
      </c>
      <c r="CD1076" s="73">
        <f t="shared" si="120"/>
        <v>0</v>
      </c>
      <c r="CE1076" s="75">
        <f t="shared" si="118"/>
        <v>9396</v>
      </c>
      <c r="CF1076" s="3" t="str">
        <f t="shared" si="118"/>
        <v>برنامج دولى</v>
      </c>
    </row>
    <row r="1077" spans="3:84" x14ac:dyDescent="0.25">
      <c r="C1077" s="82">
        <v>15403</v>
      </c>
      <c r="D1077" s="78">
        <v>9397</v>
      </c>
      <c r="E1077" s="69" t="s">
        <v>78</v>
      </c>
      <c r="F1077" s="69" t="s">
        <v>1653</v>
      </c>
      <c r="H1077" s="69">
        <v>1172.5</v>
      </c>
      <c r="U1077" s="69"/>
      <c r="V1077" s="69"/>
      <c r="AR1077" s="74">
        <f t="shared" si="119"/>
        <v>1172.5</v>
      </c>
      <c r="AS1077" s="69">
        <v>784.1</v>
      </c>
      <c r="AT1077" s="69">
        <v>105.9</v>
      </c>
      <c r="AU1077" s="69">
        <v>282.5</v>
      </c>
      <c r="BC1077" s="69"/>
      <c r="BD1077" s="69"/>
      <c r="CC1077" s="74">
        <f t="shared" si="117"/>
        <v>1172.5</v>
      </c>
      <c r="CD1077" s="73">
        <f t="shared" si="120"/>
        <v>0</v>
      </c>
      <c r="CE1077" s="75">
        <f t="shared" si="118"/>
        <v>9397</v>
      </c>
      <c r="CF1077" s="3" t="str">
        <f t="shared" si="118"/>
        <v>برنامج دولى</v>
      </c>
    </row>
    <row r="1078" spans="3:84" x14ac:dyDescent="0.25">
      <c r="C1078" s="82">
        <v>15404</v>
      </c>
      <c r="D1078" s="78">
        <v>9398</v>
      </c>
      <c r="E1078" s="69" t="s">
        <v>78</v>
      </c>
      <c r="F1078" s="69" t="s">
        <v>1654</v>
      </c>
      <c r="H1078" s="69">
        <v>5000</v>
      </c>
      <c r="U1078" s="69"/>
      <c r="V1078" s="69"/>
      <c r="AR1078" s="74">
        <f t="shared" si="119"/>
        <v>5000</v>
      </c>
      <c r="AS1078" s="69">
        <v>4463.2</v>
      </c>
      <c r="AT1078" s="69">
        <v>536.79999999999995</v>
      </c>
      <c r="BC1078" s="69"/>
      <c r="BD1078" s="69"/>
      <c r="CC1078" s="74">
        <f t="shared" si="117"/>
        <v>5000</v>
      </c>
      <c r="CD1078" s="73">
        <f t="shared" si="120"/>
        <v>0</v>
      </c>
      <c r="CE1078" s="75">
        <f t="shared" si="118"/>
        <v>9398</v>
      </c>
      <c r="CF1078" s="3" t="str">
        <f t="shared" si="118"/>
        <v>برنامج دولى</v>
      </c>
    </row>
    <row r="1079" spans="3:84" x14ac:dyDescent="0.25">
      <c r="C1079" s="82">
        <v>15662</v>
      </c>
      <c r="D1079" s="78">
        <v>9399</v>
      </c>
      <c r="E1079" s="69" t="s">
        <v>78</v>
      </c>
      <c r="F1079" s="69" t="s">
        <v>1655</v>
      </c>
      <c r="H1079" s="69">
        <v>2931.25</v>
      </c>
      <c r="U1079" s="69"/>
      <c r="V1079" s="69"/>
      <c r="AR1079" s="74">
        <f t="shared" si="119"/>
        <v>2931.25</v>
      </c>
      <c r="AS1079" s="69">
        <v>1958.65</v>
      </c>
      <c r="AT1079" s="69">
        <v>266.35000000000002</v>
      </c>
      <c r="AU1079" s="69">
        <v>706.25</v>
      </c>
      <c r="BC1079" s="69"/>
      <c r="BD1079" s="69"/>
      <c r="CC1079" s="74">
        <f t="shared" si="117"/>
        <v>2931.25</v>
      </c>
      <c r="CD1079" s="73">
        <f t="shared" si="120"/>
        <v>0</v>
      </c>
      <c r="CE1079" s="75">
        <f t="shared" si="118"/>
        <v>9399</v>
      </c>
      <c r="CF1079" s="3" t="str">
        <f t="shared" si="118"/>
        <v>برنامج دولى</v>
      </c>
    </row>
    <row r="1080" spans="3:84" x14ac:dyDescent="0.25">
      <c r="C1080" s="82">
        <v>15661</v>
      </c>
      <c r="D1080" s="78">
        <v>9400</v>
      </c>
      <c r="E1080" s="69" t="s">
        <v>78</v>
      </c>
      <c r="F1080" s="69" t="s">
        <v>1655</v>
      </c>
      <c r="H1080" s="69">
        <v>6046.2</v>
      </c>
      <c r="U1080" s="69"/>
      <c r="V1080" s="69"/>
      <c r="AR1080" s="74">
        <f t="shared" si="119"/>
        <v>6046.2</v>
      </c>
      <c r="AS1080" s="69">
        <v>4037.41</v>
      </c>
      <c r="AT1080" s="69">
        <v>552.02</v>
      </c>
      <c r="AU1080" s="69">
        <v>1456.77</v>
      </c>
      <c r="BC1080" s="69"/>
      <c r="BD1080" s="69"/>
      <c r="CC1080" s="74">
        <f t="shared" si="117"/>
        <v>6046.2000000000007</v>
      </c>
      <c r="CD1080" s="73">
        <f t="shared" si="120"/>
        <v>0</v>
      </c>
      <c r="CE1080" s="75">
        <f t="shared" si="118"/>
        <v>9400</v>
      </c>
      <c r="CF1080" s="3" t="str">
        <f t="shared" si="118"/>
        <v>برنامج دولى</v>
      </c>
    </row>
    <row r="1081" spans="3:84" x14ac:dyDescent="0.25">
      <c r="C1081" s="82">
        <v>15660</v>
      </c>
      <c r="D1081" s="78">
        <v>9401</v>
      </c>
      <c r="E1081" s="69" t="s">
        <v>78</v>
      </c>
      <c r="F1081" s="69" t="s">
        <v>1655</v>
      </c>
      <c r="H1081" s="69">
        <v>6283</v>
      </c>
      <c r="U1081" s="69"/>
      <c r="V1081" s="69"/>
      <c r="AR1081" s="74">
        <f t="shared" si="119"/>
        <v>6283</v>
      </c>
      <c r="AS1081" s="69">
        <v>4739.25</v>
      </c>
      <c r="AT1081" s="69">
        <v>619.70000000000005</v>
      </c>
      <c r="AU1081" s="69">
        <v>791</v>
      </c>
      <c r="AW1081" s="69">
        <v>133.05000000000001</v>
      </c>
      <c r="BC1081" s="69"/>
      <c r="BD1081" s="69"/>
      <c r="CC1081" s="74">
        <f t="shared" si="117"/>
        <v>6283</v>
      </c>
      <c r="CD1081" s="73">
        <f t="shared" si="120"/>
        <v>0</v>
      </c>
      <c r="CE1081" s="75">
        <f t="shared" si="118"/>
        <v>9401</v>
      </c>
      <c r="CF1081" s="3" t="str">
        <f t="shared" si="118"/>
        <v>برنامج دولى</v>
      </c>
    </row>
    <row r="1082" spans="3:84" x14ac:dyDescent="0.25">
      <c r="C1082" s="82">
        <v>15659</v>
      </c>
      <c r="D1082" s="78">
        <v>9402</v>
      </c>
      <c r="E1082" s="69" t="s">
        <v>78</v>
      </c>
      <c r="F1082" s="69" t="s">
        <v>1655</v>
      </c>
      <c r="H1082" s="69">
        <v>40294.92</v>
      </c>
      <c r="U1082" s="69"/>
      <c r="V1082" s="69"/>
      <c r="AR1082" s="74">
        <f t="shared" si="119"/>
        <v>40294.92</v>
      </c>
      <c r="AS1082" s="69">
        <v>26899.01</v>
      </c>
      <c r="AT1082" s="69">
        <f>3436.67+250.65</f>
        <v>3687.32</v>
      </c>
      <c r="AU1082" s="69">
        <v>9708.59</v>
      </c>
      <c r="BC1082" s="69"/>
      <c r="BD1082" s="69"/>
      <c r="CC1082" s="74">
        <f t="shared" si="117"/>
        <v>40294.92</v>
      </c>
      <c r="CD1082" s="73">
        <f t="shared" si="120"/>
        <v>0</v>
      </c>
      <c r="CE1082" s="75">
        <f t="shared" si="118"/>
        <v>9402</v>
      </c>
      <c r="CF1082" s="3" t="str">
        <f t="shared" si="118"/>
        <v>برنامج دولى</v>
      </c>
    </row>
    <row r="1083" spans="3:84" x14ac:dyDescent="0.25">
      <c r="C1083" s="82">
        <v>15658</v>
      </c>
      <c r="D1083" s="78">
        <v>9403</v>
      </c>
      <c r="E1083" s="69" t="s">
        <v>78</v>
      </c>
      <c r="F1083" s="69" t="s">
        <v>1656</v>
      </c>
      <c r="H1083" s="69">
        <v>5000</v>
      </c>
      <c r="U1083" s="69"/>
      <c r="V1083" s="69"/>
      <c r="AR1083" s="74">
        <f t="shared" si="119"/>
        <v>5000</v>
      </c>
      <c r="AS1083" s="69">
        <v>4462.8500000000004</v>
      </c>
      <c r="AT1083" s="69">
        <v>537.15</v>
      </c>
      <c r="BC1083" s="69"/>
      <c r="BD1083" s="69"/>
      <c r="CC1083" s="74">
        <f t="shared" si="117"/>
        <v>5000</v>
      </c>
      <c r="CD1083" s="73">
        <f t="shared" si="120"/>
        <v>0</v>
      </c>
      <c r="CE1083" s="75">
        <f t="shared" si="118"/>
        <v>9403</v>
      </c>
      <c r="CF1083" s="3" t="str">
        <f t="shared" si="118"/>
        <v>برنامج دولى</v>
      </c>
    </row>
    <row r="1084" spans="3:84" x14ac:dyDescent="0.25">
      <c r="C1084" s="82">
        <v>15408</v>
      </c>
      <c r="D1084" s="78">
        <v>9404</v>
      </c>
      <c r="E1084" s="69" t="s">
        <v>78</v>
      </c>
      <c r="F1084" s="69" t="s">
        <v>1657</v>
      </c>
      <c r="H1084" s="69">
        <v>1172.5</v>
      </c>
      <c r="U1084" s="69"/>
      <c r="V1084" s="69"/>
      <c r="AR1084" s="74">
        <f t="shared" si="119"/>
        <v>1172.5</v>
      </c>
      <c r="AS1084" s="69">
        <v>784.1</v>
      </c>
      <c r="AT1084" s="69">
        <v>105.9</v>
      </c>
      <c r="AU1084" s="69">
        <v>282.5</v>
      </c>
      <c r="BC1084" s="69"/>
      <c r="BD1084" s="69"/>
      <c r="CC1084" s="74">
        <f t="shared" si="117"/>
        <v>1172.5</v>
      </c>
      <c r="CD1084" s="73">
        <f t="shared" si="120"/>
        <v>0</v>
      </c>
      <c r="CE1084" s="75">
        <f t="shared" si="118"/>
        <v>9404</v>
      </c>
      <c r="CF1084" s="3" t="str">
        <f t="shared" si="118"/>
        <v>برنامج دولى</v>
      </c>
    </row>
    <row r="1085" spans="3:84" x14ac:dyDescent="0.25">
      <c r="C1085" s="82">
        <v>15407</v>
      </c>
      <c r="D1085" s="78">
        <v>9405</v>
      </c>
      <c r="E1085" s="69" t="s">
        <v>78</v>
      </c>
      <c r="F1085" s="69" t="s">
        <v>1657</v>
      </c>
      <c r="H1085" s="69">
        <v>4983.13</v>
      </c>
      <c r="U1085" s="69"/>
      <c r="V1085" s="69"/>
      <c r="AR1085" s="74">
        <f t="shared" si="119"/>
        <v>4983.13</v>
      </c>
      <c r="AS1085" s="69">
        <v>3331.7</v>
      </c>
      <c r="AT1085" s="69">
        <v>450.8</v>
      </c>
      <c r="AU1085" s="69">
        <v>1200.6300000000001</v>
      </c>
      <c r="BC1085" s="69"/>
      <c r="BD1085" s="69"/>
      <c r="CC1085" s="74">
        <f t="shared" si="117"/>
        <v>4983.13</v>
      </c>
      <c r="CD1085" s="73">
        <f t="shared" si="120"/>
        <v>0</v>
      </c>
      <c r="CE1085" s="75">
        <f t="shared" si="118"/>
        <v>9405</v>
      </c>
      <c r="CF1085" s="3" t="str">
        <f t="shared" si="118"/>
        <v>برنامج دولى</v>
      </c>
    </row>
    <row r="1086" spans="3:84" x14ac:dyDescent="0.25">
      <c r="C1086" s="82">
        <v>15406</v>
      </c>
      <c r="D1086" s="78">
        <v>9406</v>
      </c>
      <c r="E1086" s="69" t="s">
        <v>78</v>
      </c>
      <c r="F1086" s="69" t="s">
        <v>1657</v>
      </c>
      <c r="H1086" s="69">
        <v>5276.25</v>
      </c>
      <c r="U1086" s="69"/>
      <c r="V1086" s="69"/>
      <c r="AR1086" s="74">
        <f t="shared" si="119"/>
        <v>5276.25</v>
      </c>
      <c r="AS1086" s="69">
        <v>3526.45</v>
      </c>
      <c r="AT1086" s="69">
        <v>478.55</v>
      </c>
      <c r="AU1086" s="69">
        <v>1271.25</v>
      </c>
      <c r="BC1086" s="69"/>
      <c r="BD1086" s="69"/>
      <c r="CC1086" s="74">
        <f t="shared" si="117"/>
        <v>5276.25</v>
      </c>
      <c r="CD1086" s="73">
        <f t="shared" si="120"/>
        <v>0</v>
      </c>
      <c r="CE1086" s="75">
        <f t="shared" si="118"/>
        <v>9406</v>
      </c>
      <c r="CF1086" s="3" t="str">
        <f t="shared" si="118"/>
        <v>برنامج دولى</v>
      </c>
    </row>
    <row r="1087" spans="3:84" x14ac:dyDescent="0.25">
      <c r="C1087" s="82">
        <v>15683</v>
      </c>
      <c r="D1087" s="78">
        <v>9407</v>
      </c>
      <c r="E1087" s="69" t="s">
        <v>78</v>
      </c>
      <c r="F1087" s="69" t="s">
        <v>1658</v>
      </c>
      <c r="H1087" s="69">
        <v>2814</v>
      </c>
      <c r="U1087" s="69"/>
      <c r="V1087" s="69"/>
      <c r="AR1087" s="74">
        <f t="shared" si="119"/>
        <v>2814</v>
      </c>
      <c r="AS1087" s="69">
        <v>1882.05</v>
      </c>
      <c r="AT1087" s="69">
        <v>253.95</v>
      </c>
      <c r="AU1087" s="69">
        <v>678</v>
      </c>
      <c r="BC1087" s="69"/>
      <c r="BD1087" s="69"/>
      <c r="CC1087" s="74">
        <f t="shared" si="117"/>
        <v>2814</v>
      </c>
      <c r="CD1087" s="73">
        <f t="shared" si="120"/>
        <v>0</v>
      </c>
      <c r="CE1087" s="75">
        <f t="shared" si="118"/>
        <v>9407</v>
      </c>
      <c r="CF1087" s="3" t="str">
        <f t="shared" si="118"/>
        <v>برنامج دولى</v>
      </c>
    </row>
    <row r="1088" spans="3:84" x14ac:dyDescent="0.25">
      <c r="C1088" s="82">
        <v>15684</v>
      </c>
      <c r="D1088" s="78">
        <v>9408</v>
      </c>
      <c r="E1088" s="69" t="s">
        <v>78</v>
      </c>
      <c r="F1088" s="69" t="s">
        <v>1658</v>
      </c>
      <c r="H1088" s="69">
        <v>938</v>
      </c>
      <c r="U1088" s="69"/>
      <c r="V1088" s="69"/>
      <c r="AR1088" s="74">
        <f t="shared" si="119"/>
        <v>938</v>
      </c>
      <c r="AS1088" s="69">
        <v>627.35</v>
      </c>
      <c r="AT1088" s="69">
        <v>84.65</v>
      </c>
      <c r="AU1088" s="69">
        <v>226</v>
      </c>
      <c r="BC1088" s="69"/>
      <c r="BD1088" s="69"/>
      <c r="CC1088" s="74">
        <f t="shared" si="117"/>
        <v>938</v>
      </c>
      <c r="CD1088" s="73">
        <f t="shared" si="120"/>
        <v>0</v>
      </c>
      <c r="CE1088" s="75">
        <f t="shared" si="118"/>
        <v>9408</v>
      </c>
      <c r="CF1088" s="3" t="str">
        <f t="shared" si="118"/>
        <v>برنامج دولى</v>
      </c>
    </row>
    <row r="1089" spans="3:84" x14ac:dyDescent="0.25">
      <c r="C1089" s="82">
        <v>15685</v>
      </c>
      <c r="D1089" s="78">
        <v>9409</v>
      </c>
      <c r="E1089" s="69" t="s">
        <v>78</v>
      </c>
      <c r="F1089" s="69" t="s">
        <v>1659</v>
      </c>
      <c r="H1089" s="69">
        <v>586.25</v>
      </c>
      <c r="U1089" s="69"/>
      <c r="V1089" s="69"/>
      <c r="AR1089" s="74">
        <f t="shared" si="119"/>
        <v>586.25</v>
      </c>
      <c r="AS1089" s="69">
        <v>392.4</v>
      </c>
      <c r="AT1089" s="69">
        <f>50+2.6</f>
        <v>52.6</v>
      </c>
      <c r="AU1089" s="69">
        <f>193.85-52.6</f>
        <v>141.25</v>
      </c>
      <c r="BC1089" s="69"/>
      <c r="BD1089" s="69"/>
      <c r="CC1089" s="74">
        <f t="shared" si="117"/>
        <v>586.25</v>
      </c>
      <c r="CD1089" s="73">
        <f t="shared" si="120"/>
        <v>0</v>
      </c>
      <c r="CE1089" s="75">
        <f t="shared" si="118"/>
        <v>9409</v>
      </c>
      <c r="CF1089" s="3" t="str">
        <f t="shared" si="118"/>
        <v>برنامج دولى</v>
      </c>
    </row>
    <row r="1090" spans="3:84" x14ac:dyDescent="0.25">
      <c r="C1090" s="82">
        <v>15686</v>
      </c>
      <c r="D1090" s="78">
        <v>9410</v>
      </c>
      <c r="E1090" s="69" t="s">
        <v>78</v>
      </c>
      <c r="F1090" s="69" t="s">
        <v>1660</v>
      </c>
      <c r="H1090" s="69">
        <v>1876</v>
      </c>
      <c r="U1090" s="69"/>
      <c r="V1090" s="69"/>
      <c r="AR1090" s="74">
        <f t="shared" si="119"/>
        <v>1876</v>
      </c>
      <c r="AS1090" s="69">
        <v>1254.7</v>
      </c>
      <c r="AT1090" s="69">
        <v>169.3</v>
      </c>
      <c r="AU1090" s="69">
        <v>452</v>
      </c>
      <c r="BC1090" s="69"/>
      <c r="BD1090" s="69"/>
      <c r="CC1090" s="74">
        <f t="shared" si="117"/>
        <v>1876</v>
      </c>
      <c r="CD1090" s="73">
        <f t="shared" si="120"/>
        <v>0</v>
      </c>
      <c r="CE1090" s="75">
        <f t="shared" si="118"/>
        <v>9410</v>
      </c>
      <c r="CF1090" s="3" t="str">
        <f t="shared" si="118"/>
        <v>برنامج دولى</v>
      </c>
    </row>
    <row r="1091" spans="3:84" x14ac:dyDescent="0.25">
      <c r="C1091" s="82">
        <v>15687</v>
      </c>
      <c r="D1091" s="78">
        <v>9411</v>
      </c>
      <c r="E1091" s="69" t="s">
        <v>78</v>
      </c>
      <c r="F1091" s="69" t="s">
        <v>1660</v>
      </c>
      <c r="H1091" s="69">
        <v>5393.5</v>
      </c>
      <c r="U1091" s="69"/>
      <c r="V1091" s="69"/>
      <c r="AR1091" s="74">
        <f t="shared" si="119"/>
        <v>5393.5</v>
      </c>
      <c r="AS1091" s="69">
        <v>3607</v>
      </c>
      <c r="AT1091" s="69">
        <v>487</v>
      </c>
      <c r="AU1091" s="69">
        <v>1299.5</v>
      </c>
      <c r="BC1091" s="69"/>
      <c r="BD1091" s="69"/>
      <c r="CC1091" s="74">
        <f t="shared" si="117"/>
        <v>5393.5</v>
      </c>
      <c r="CD1091" s="73">
        <f t="shared" si="120"/>
        <v>0</v>
      </c>
      <c r="CE1091" s="75">
        <f t="shared" si="118"/>
        <v>9411</v>
      </c>
      <c r="CF1091" s="3" t="str">
        <f t="shared" si="118"/>
        <v>برنامج دولى</v>
      </c>
    </row>
    <row r="1092" spans="3:84" x14ac:dyDescent="0.25">
      <c r="C1092" s="82">
        <v>15688</v>
      </c>
      <c r="D1092" s="78">
        <v>9412</v>
      </c>
      <c r="E1092" s="69" t="s">
        <v>78</v>
      </c>
      <c r="F1092" s="69" t="s">
        <v>1661</v>
      </c>
      <c r="H1092" s="69">
        <v>2989.88</v>
      </c>
      <c r="U1092" s="69"/>
      <c r="V1092" s="69"/>
      <c r="AR1092" s="74">
        <f t="shared" si="119"/>
        <v>2989.88</v>
      </c>
      <c r="AS1092" s="69">
        <v>1997.85</v>
      </c>
      <c r="AT1092" s="69">
        <v>271.64999999999998</v>
      </c>
      <c r="AU1092" s="69">
        <v>720.38</v>
      </c>
      <c r="BC1092" s="69"/>
      <c r="BD1092" s="69"/>
      <c r="CC1092" s="74">
        <f t="shared" si="117"/>
        <v>2989.88</v>
      </c>
      <c r="CD1092" s="73">
        <f t="shared" si="120"/>
        <v>0</v>
      </c>
      <c r="CE1092" s="75">
        <f t="shared" si="118"/>
        <v>9412</v>
      </c>
      <c r="CF1092" s="3" t="str">
        <f t="shared" si="118"/>
        <v>برنامج دولى</v>
      </c>
    </row>
    <row r="1093" spans="3:84" x14ac:dyDescent="0.25">
      <c r="C1093" s="82">
        <v>15689</v>
      </c>
      <c r="D1093" s="78">
        <v>9413</v>
      </c>
      <c r="E1093" s="69" t="s">
        <v>78</v>
      </c>
      <c r="F1093" s="69" t="s">
        <v>1661</v>
      </c>
      <c r="H1093" s="69">
        <v>13190.63</v>
      </c>
      <c r="U1093" s="69"/>
      <c r="V1093" s="69"/>
      <c r="AR1093" s="74">
        <f t="shared" ref="AR1093:AR1156" si="121">SUM(H1093:AQ1093)</f>
        <v>13190.63</v>
      </c>
      <c r="AS1093" s="69">
        <v>9101.5499999999993</v>
      </c>
      <c r="AT1093" s="69">
        <v>910.95</v>
      </c>
      <c r="AU1093" s="69">
        <v>3178.13</v>
      </c>
      <c r="BC1093" s="69"/>
      <c r="BD1093" s="69"/>
      <c r="CC1093" s="74">
        <f t="shared" si="117"/>
        <v>13190.630000000001</v>
      </c>
      <c r="CD1093" s="73">
        <f t="shared" si="120"/>
        <v>0</v>
      </c>
      <c r="CE1093" s="75">
        <f t="shared" si="118"/>
        <v>9413</v>
      </c>
      <c r="CF1093" s="3" t="str">
        <f t="shared" si="118"/>
        <v>برنامج دولى</v>
      </c>
    </row>
    <row r="1094" spans="3:84" x14ac:dyDescent="0.25">
      <c r="C1094" s="82">
        <v>15698</v>
      </c>
      <c r="D1094" s="78">
        <v>9414</v>
      </c>
      <c r="E1094" s="69" t="s">
        <v>78</v>
      </c>
      <c r="F1094" s="69" t="s">
        <v>1662</v>
      </c>
      <c r="H1094" s="69">
        <v>6565.98</v>
      </c>
      <c r="U1094" s="69"/>
      <c r="V1094" s="69"/>
      <c r="AR1094" s="74">
        <f t="shared" si="121"/>
        <v>6565.98</v>
      </c>
      <c r="AS1094" s="69">
        <v>4390.6499999999996</v>
      </c>
      <c r="AT1094" s="69">
        <v>593.35</v>
      </c>
      <c r="AU1094" s="69">
        <v>1581.98</v>
      </c>
      <c r="BC1094" s="69"/>
      <c r="BD1094" s="69"/>
      <c r="CC1094" s="74">
        <f t="shared" si="117"/>
        <v>6565.98</v>
      </c>
      <c r="CD1094" s="73">
        <f t="shared" si="120"/>
        <v>0</v>
      </c>
      <c r="CE1094" s="75">
        <f t="shared" si="118"/>
        <v>9414</v>
      </c>
      <c r="CF1094" s="3" t="str">
        <f t="shared" si="118"/>
        <v>برنامج دولى</v>
      </c>
    </row>
    <row r="1095" spans="3:84" x14ac:dyDescent="0.25">
      <c r="C1095" s="82">
        <v>15428</v>
      </c>
      <c r="D1095" s="78">
        <v>9415</v>
      </c>
      <c r="E1095" s="69" t="s">
        <v>78</v>
      </c>
      <c r="F1095" s="69" t="s">
        <v>1662</v>
      </c>
      <c r="H1095" s="69">
        <v>4162.3599999999997</v>
      </c>
      <c r="U1095" s="69"/>
      <c r="V1095" s="69"/>
      <c r="AR1095" s="74">
        <f t="shared" si="121"/>
        <v>4162.3599999999997</v>
      </c>
      <c r="AS1095" s="69">
        <v>2783.75</v>
      </c>
      <c r="AT1095" s="69">
        <v>375.75</v>
      </c>
      <c r="AU1095" s="69">
        <v>1002.86</v>
      </c>
      <c r="BC1095" s="69"/>
      <c r="BD1095" s="69"/>
      <c r="CC1095" s="74">
        <f t="shared" si="117"/>
        <v>4162.3599999999997</v>
      </c>
      <c r="CD1095" s="73">
        <f t="shared" si="120"/>
        <v>0</v>
      </c>
      <c r="CE1095" s="75">
        <f t="shared" si="118"/>
        <v>9415</v>
      </c>
      <c r="CF1095" s="3" t="str">
        <f t="shared" si="118"/>
        <v>برنامج دولى</v>
      </c>
    </row>
    <row r="1096" spans="3:84" x14ac:dyDescent="0.25">
      <c r="C1096" s="82">
        <v>15697</v>
      </c>
      <c r="D1096" s="78">
        <v>9416</v>
      </c>
      <c r="E1096" s="69" t="s">
        <v>78</v>
      </c>
      <c r="F1096" s="69" t="s">
        <v>1662</v>
      </c>
      <c r="H1096" s="69">
        <v>1758.75</v>
      </c>
      <c r="U1096" s="69"/>
      <c r="V1096" s="69"/>
      <c r="AR1096" s="74">
        <f t="shared" si="121"/>
        <v>1758.75</v>
      </c>
      <c r="AS1096" s="69">
        <v>1175.3499999999999</v>
      </c>
      <c r="AT1096" s="69">
        <v>159.65</v>
      </c>
      <c r="AU1096" s="69">
        <v>423.75</v>
      </c>
      <c r="BC1096" s="69"/>
      <c r="BD1096" s="69"/>
      <c r="CC1096" s="74">
        <f t="shared" si="117"/>
        <v>1758.75</v>
      </c>
      <c r="CD1096" s="73">
        <f t="shared" si="120"/>
        <v>0</v>
      </c>
      <c r="CE1096" s="75">
        <f t="shared" si="118"/>
        <v>9416</v>
      </c>
      <c r="CF1096" s="3" t="str">
        <f t="shared" si="118"/>
        <v>برنامج دولى</v>
      </c>
    </row>
    <row r="1097" spans="3:84" x14ac:dyDescent="0.25">
      <c r="C1097" s="82">
        <v>15696</v>
      </c>
      <c r="D1097" s="78">
        <v>9417</v>
      </c>
      <c r="E1097" s="69" t="s">
        <v>78</v>
      </c>
      <c r="F1097" s="69" t="s">
        <v>1662</v>
      </c>
      <c r="H1097" s="69">
        <v>1407</v>
      </c>
      <c r="U1097" s="69"/>
      <c r="V1097" s="69"/>
      <c r="AR1097" s="74">
        <f t="shared" si="121"/>
        <v>1407</v>
      </c>
      <c r="AS1097" s="69">
        <v>940.35</v>
      </c>
      <c r="AT1097" s="69">
        <v>127.65</v>
      </c>
      <c r="AU1097" s="69">
        <v>339</v>
      </c>
      <c r="BC1097" s="69"/>
      <c r="BD1097" s="69"/>
      <c r="CC1097" s="74">
        <f t="shared" si="117"/>
        <v>1407</v>
      </c>
      <c r="CD1097" s="73">
        <f t="shared" si="120"/>
        <v>0</v>
      </c>
      <c r="CE1097" s="75">
        <f t="shared" si="118"/>
        <v>9417</v>
      </c>
      <c r="CF1097" s="3" t="str">
        <f t="shared" si="118"/>
        <v>برنامج دولى</v>
      </c>
    </row>
    <row r="1098" spans="3:84" x14ac:dyDescent="0.25">
      <c r="C1098" s="82">
        <v>15694</v>
      </c>
      <c r="D1098" s="78">
        <v>9418</v>
      </c>
      <c r="E1098" s="69" t="s">
        <v>78</v>
      </c>
      <c r="F1098" s="69" t="s">
        <v>1663</v>
      </c>
      <c r="H1098" s="69">
        <v>1758.75</v>
      </c>
      <c r="U1098" s="69"/>
      <c r="V1098" s="69"/>
      <c r="AR1098" s="74">
        <f t="shared" si="121"/>
        <v>1758.75</v>
      </c>
      <c r="AS1098" s="69">
        <v>1178.7</v>
      </c>
      <c r="AT1098" s="69">
        <f>150+6.3</f>
        <v>156.30000000000001</v>
      </c>
      <c r="AU1098" s="69">
        <f>580.05-156.3</f>
        <v>423.74999999999994</v>
      </c>
      <c r="BC1098" s="69"/>
      <c r="BD1098" s="69"/>
      <c r="CC1098" s="74">
        <f t="shared" si="117"/>
        <v>1758.75</v>
      </c>
      <c r="CD1098" s="73">
        <f t="shared" si="120"/>
        <v>0</v>
      </c>
      <c r="CE1098" s="75">
        <f t="shared" si="118"/>
        <v>9418</v>
      </c>
      <c r="CF1098" s="3" t="str">
        <f t="shared" si="118"/>
        <v>برنامج دولى</v>
      </c>
    </row>
    <row r="1099" spans="3:84" x14ac:dyDescent="0.25">
      <c r="C1099" s="82">
        <v>15695</v>
      </c>
      <c r="D1099" s="78">
        <v>9419</v>
      </c>
      <c r="E1099" s="69" t="s">
        <v>78</v>
      </c>
      <c r="F1099" s="69" t="s">
        <v>1663</v>
      </c>
      <c r="H1099" s="69">
        <v>293.12</v>
      </c>
      <c r="U1099" s="69"/>
      <c r="V1099" s="69"/>
      <c r="AR1099" s="74">
        <f t="shared" si="121"/>
        <v>293.12</v>
      </c>
      <c r="AS1099" s="69">
        <v>196.45</v>
      </c>
      <c r="AT1099" s="69">
        <v>26.05</v>
      </c>
      <c r="AU1099" s="69">
        <v>70.62</v>
      </c>
      <c r="BC1099" s="69"/>
      <c r="BD1099" s="69"/>
      <c r="CC1099" s="74">
        <f t="shared" si="117"/>
        <v>293.12</v>
      </c>
      <c r="CD1099" s="73">
        <f t="shared" si="120"/>
        <v>0</v>
      </c>
      <c r="CE1099" s="75">
        <f t="shared" si="118"/>
        <v>9419</v>
      </c>
      <c r="CF1099" s="3" t="str">
        <f t="shared" si="118"/>
        <v>برنامج دولى</v>
      </c>
    </row>
    <row r="1100" spans="3:84" x14ac:dyDescent="0.25">
      <c r="C1100" s="82">
        <v>15692</v>
      </c>
      <c r="D1100" s="78">
        <v>9420</v>
      </c>
      <c r="E1100" s="69" t="s">
        <v>78</v>
      </c>
      <c r="F1100" s="69" t="s">
        <v>1664</v>
      </c>
      <c r="H1100" s="69">
        <v>1876</v>
      </c>
      <c r="U1100" s="69"/>
      <c r="V1100" s="69"/>
      <c r="AR1100" s="74">
        <f t="shared" si="121"/>
        <v>1876</v>
      </c>
      <c r="AS1100" s="69">
        <v>1254.7</v>
      </c>
      <c r="AT1100" s="69">
        <v>169.3</v>
      </c>
      <c r="AU1100" s="69">
        <v>452</v>
      </c>
      <c r="BC1100" s="69"/>
      <c r="BD1100" s="69"/>
      <c r="CC1100" s="74">
        <f t="shared" si="117"/>
        <v>1876</v>
      </c>
      <c r="CD1100" s="73">
        <f t="shared" si="120"/>
        <v>0</v>
      </c>
      <c r="CE1100" s="75">
        <f t="shared" si="118"/>
        <v>9420</v>
      </c>
      <c r="CF1100" s="3" t="str">
        <f t="shared" si="118"/>
        <v>برنامج دولى</v>
      </c>
    </row>
    <row r="1101" spans="3:84" x14ac:dyDescent="0.25">
      <c r="C1101" s="82">
        <v>15693</v>
      </c>
      <c r="D1101" s="78">
        <v>9421</v>
      </c>
      <c r="E1101" s="69" t="s">
        <v>78</v>
      </c>
      <c r="F1101" s="69" t="s">
        <v>1664</v>
      </c>
      <c r="H1101" s="69">
        <v>9614.5</v>
      </c>
      <c r="U1101" s="69"/>
      <c r="V1101" s="69"/>
      <c r="AR1101" s="74">
        <f t="shared" si="121"/>
        <v>9614.5</v>
      </c>
      <c r="AS1101" s="69">
        <v>6429.9</v>
      </c>
      <c r="AT1101" s="69">
        <v>868.1</v>
      </c>
      <c r="AU1101" s="69">
        <v>2316.5</v>
      </c>
      <c r="BC1101" s="69"/>
      <c r="BD1101" s="69"/>
      <c r="CC1101" s="74">
        <f t="shared" si="117"/>
        <v>9614.5</v>
      </c>
      <c r="CD1101" s="73">
        <f t="shared" si="120"/>
        <v>0</v>
      </c>
      <c r="CE1101" s="75">
        <f t="shared" si="118"/>
        <v>9421</v>
      </c>
      <c r="CF1101" s="3" t="str">
        <f t="shared" si="118"/>
        <v>برنامج دولى</v>
      </c>
    </row>
    <row r="1102" spans="3:84" x14ac:dyDescent="0.25">
      <c r="C1102" s="82">
        <v>15690</v>
      </c>
      <c r="D1102" s="78">
        <v>9422</v>
      </c>
      <c r="E1102" s="69" t="s">
        <v>78</v>
      </c>
      <c r="F1102" s="69" t="s">
        <v>1665</v>
      </c>
      <c r="H1102" s="69">
        <v>1172.5</v>
      </c>
      <c r="U1102" s="69"/>
      <c r="V1102" s="69"/>
      <c r="AR1102" s="74">
        <f t="shared" si="121"/>
        <v>1172.5</v>
      </c>
      <c r="AS1102" s="69">
        <v>784.1</v>
      </c>
      <c r="AT1102" s="69">
        <v>105.9</v>
      </c>
      <c r="AU1102" s="69">
        <v>282.5</v>
      </c>
      <c r="BC1102" s="69"/>
      <c r="BD1102" s="69"/>
      <c r="CC1102" s="74">
        <f t="shared" si="117"/>
        <v>1172.5</v>
      </c>
      <c r="CD1102" s="73">
        <f t="shared" si="120"/>
        <v>0</v>
      </c>
      <c r="CE1102" s="75">
        <f t="shared" si="118"/>
        <v>9422</v>
      </c>
      <c r="CF1102" s="3" t="str">
        <f t="shared" si="118"/>
        <v>برنامج دولى</v>
      </c>
    </row>
    <row r="1103" spans="3:84" x14ac:dyDescent="0.25">
      <c r="C1103" s="82">
        <v>15691</v>
      </c>
      <c r="D1103" s="78">
        <v>9423</v>
      </c>
      <c r="E1103" s="69" t="s">
        <v>78</v>
      </c>
      <c r="F1103" s="69" t="s">
        <v>1665</v>
      </c>
      <c r="H1103" s="69">
        <v>35053.01</v>
      </c>
      <c r="U1103" s="69"/>
      <c r="V1103" s="69"/>
      <c r="AR1103" s="74">
        <f t="shared" si="121"/>
        <v>35053.01</v>
      </c>
      <c r="AS1103" s="69">
        <v>31206.75</v>
      </c>
      <c r="AT1103" s="69">
        <v>3759.45</v>
      </c>
      <c r="AU1103" s="69">
        <v>86.81</v>
      </c>
      <c r="BC1103" s="69"/>
      <c r="BD1103" s="69"/>
      <c r="CC1103" s="74">
        <f t="shared" si="117"/>
        <v>35053.009999999995</v>
      </c>
      <c r="CD1103" s="73">
        <f t="shared" si="120"/>
        <v>0</v>
      </c>
      <c r="CE1103" s="75">
        <f t="shared" si="118"/>
        <v>9423</v>
      </c>
      <c r="CF1103" s="3" t="str">
        <f t="shared" si="118"/>
        <v>برنامج دولى</v>
      </c>
    </row>
    <row r="1104" spans="3:84" x14ac:dyDescent="0.25">
      <c r="C1104" s="82">
        <v>15325</v>
      </c>
      <c r="D1104" s="78">
        <v>9424</v>
      </c>
      <c r="E1104" s="69" t="s">
        <v>121</v>
      </c>
      <c r="F1104" s="69" t="s">
        <v>1666</v>
      </c>
      <c r="H1104" s="69">
        <v>11449.64</v>
      </c>
      <c r="U1104" s="69"/>
      <c r="V1104" s="69"/>
      <c r="AR1104" s="74">
        <f t="shared" si="121"/>
        <v>11449.64</v>
      </c>
      <c r="AS1104" s="69">
        <v>7680.18</v>
      </c>
      <c r="AT1104" s="69">
        <v>1011.32</v>
      </c>
      <c r="AU1104" s="69">
        <v>2758.14</v>
      </c>
      <c r="BC1104" s="69"/>
      <c r="BD1104" s="69"/>
      <c r="CC1104" s="74">
        <f t="shared" si="117"/>
        <v>11449.64</v>
      </c>
      <c r="CD1104" s="73">
        <f t="shared" si="120"/>
        <v>0</v>
      </c>
      <c r="CE1104" s="75">
        <f t="shared" si="118"/>
        <v>9424</v>
      </c>
      <c r="CF1104" s="3" t="str">
        <f t="shared" si="118"/>
        <v>ماليزى اسنان</v>
      </c>
    </row>
    <row r="1105" spans="3:84" x14ac:dyDescent="0.25">
      <c r="C1105" s="82">
        <v>15353</v>
      </c>
      <c r="D1105" s="78">
        <v>9425</v>
      </c>
      <c r="E1105" s="69" t="s">
        <v>121</v>
      </c>
      <c r="F1105" s="69" t="s">
        <v>1667</v>
      </c>
      <c r="H1105" s="69">
        <v>867.3</v>
      </c>
      <c r="U1105" s="69"/>
      <c r="V1105" s="69"/>
      <c r="AR1105" s="74">
        <f t="shared" si="121"/>
        <v>867.3</v>
      </c>
      <c r="AS1105" s="69">
        <v>581.9</v>
      </c>
      <c r="AT1105" s="69">
        <v>76.45</v>
      </c>
      <c r="AU1105" s="69">
        <v>208.95</v>
      </c>
      <c r="BC1105" s="69"/>
      <c r="BD1105" s="69"/>
      <c r="CC1105" s="74">
        <f t="shared" si="117"/>
        <v>867.3</v>
      </c>
      <c r="CD1105" s="73">
        <f t="shared" si="120"/>
        <v>0</v>
      </c>
      <c r="CE1105" s="75">
        <f t="shared" si="118"/>
        <v>9425</v>
      </c>
      <c r="CF1105" s="3" t="str">
        <f t="shared" si="118"/>
        <v>ماليزى اسنان</v>
      </c>
    </row>
    <row r="1106" spans="3:84" x14ac:dyDescent="0.25">
      <c r="C1106" s="82">
        <v>15354</v>
      </c>
      <c r="D1106" s="78">
        <v>9426</v>
      </c>
      <c r="E1106" s="69" t="s">
        <v>121</v>
      </c>
      <c r="F1106" s="69" t="str">
        <f>+F1104</f>
        <v>مكافاه 75% كادر فبراير فصل موازنه</v>
      </c>
      <c r="H1106" s="69">
        <v>173.46</v>
      </c>
      <c r="U1106" s="69"/>
      <c r="V1106" s="69"/>
      <c r="AR1106" s="74">
        <f t="shared" si="121"/>
        <v>173.46</v>
      </c>
      <c r="AS1106" s="69">
        <v>116.38</v>
      </c>
      <c r="AT1106" s="69">
        <v>15.29</v>
      </c>
      <c r="AU1106" s="69">
        <v>41.79</v>
      </c>
      <c r="BC1106" s="69"/>
      <c r="BD1106" s="69"/>
      <c r="CC1106" s="74">
        <f t="shared" si="117"/>
        <v>173.45999999999998</v>
      </c>
      <c r="CD1106" s="73">
        <f t="shared" si="120"/>
        <v>0</v>
      </c>
      <c r="CE1106" s="75">
        <f t="shared" si="118"/>
        <v>9426</v>
      </c>
      <c r="CF1106" s="3" t="str">
        <f t="shared" si="118"/>
        <v>ماليزى اسنان</v>
      </c>
    </row>
    <row r="1107" spans="3:84" x14ac:dyDescent="0.25">
      <c r="C1107" s="82">
        <v>15355</v>
      </c>
      <c r="D1107" s="78">
        <v>9427</v>
      </c>
      <c r="E1107" s="69" t="s">
        <v>121</v>
      </c>
      <c r="F1107" s="69" t="str">
        <f>+F1106</f>
        <v>مكافاه 75% كادر فبراير فصل موازنه</v>
      </c>
      <c r="H1107" s="69">
        <v>229.52</v>
      </c>
      <c r="U1107" s="69"/>
      <c r="V1107" s="69"/>
      <c r="AR1107" s="74">
        <f t="shared" si="121"/>
        <v>229.52</v>
      </c>
      <c r="AS1107" s="69">
        <v>153.88</v>
      </c>
      <c r="AT1107" s="69">
        <v>20.329999999999998</v>
      </c>
      <c r="AU1107" s="69">
        <v>55.31</v>
      </c>
      <c r="BC1107" s="69"/>
      <c r="BD1107" s="69"/>
      <c r="CC1107" s="74">
        <f t="shared" si="117"/>
        <v>229.51999999999998</v>
      </c>
      <c r="CD1107" s="73">
        <f t="shared" si="120"/>
        <v>0</v>
      </c>
      <c r="CE1107" s="75">
        <f t="shared" si="118"/>
        <v>9427</v>
      </c>
      <c r="CF1107" s="3" t="str">
        <f t="shared" si="118"/>
        <v>ماليزى اسنان</v>
      </c>
    </row>
    <row r="1108" spans="3:84" x14ac:dyDescent="0.25">
      <c r="C1108" s="82">
        <v>15356</v>
      </c>
      <c r="D1108" s="78">
        <v>9428</v>
      </c>
      <c r="E1108" s="69" t="s">
        <v>121</v>
      </c>
      <c r="F1108" s="69" t="s">
        <v>1668</v>
      </c>
      <c r="H1108" s="69">
        <v>4943.26</v>
      </c>
      <c r="U1108" s="69"/>
      <c r="V1108" s="69"/>
      <c r="AR1108" s="74">
        <f t="shared" si="121"/>
        <v>4943.26</v>
      </c>
      <c r="AS1108" s="69">
        <v>3298.69</v>
      </c>
      <c r="AT1108" s="69">
        <v>436.93</v>
      </c>
      <c r="AU1108" s="69">
        <v>1190.76</v>
      </c>
      <c r="AW1108" s="69">
        <v>16.88</v>
      </c>
      <c r="BC1108" s="69"/>
      <c r="BD1108" s="69"/>
      <c r="CC1108" s="74">
        <f t="shared" si="117"/>
        <v>4943.26</v>
      </c>
      <c r="CD1108" s="73">
        <f t="shared" si="120"/>
        <v>0</v>
      </c>
      <c r="CE1108" s="75">
        <f t="shared" si="118"/>
        <v>9428</v>
      </c>
      <c r="CF1108" s="3" t="str">
        <f t="shared" si="118"/>
        <v>ماليزى اسنان</v>
      </c>
    </row>
    <row r="1109" spans="3:84" x14ac:dyDescent="0.25">
      <c r="C1109" s="82">
        <v>15383</v>
      </c>
      <c r="D1109" s="78">
        <v>9429</v>
      </c>
      <c r="E1109" s="69" t="s">
        <v>78</v>
      </c>
      <c r="F1109" s="69" t="s">
        <v>1669</v>
      </c>
      <c r="I1109" s="69">
        <v>8000</v>
      </c>
      <c r="P1109" s="69">
        <v>8000</v>
      </c>
      <c r="U1109" s="69"/>
      <c r="V1109" s="69"/>
      <c r="AR1109" s="74">
        <f t="shared" si="121"/>
        <v>16000</v>
      </c>
      <c r="AS1109" s="69">
        <v>8000</v>
      </c>
      <c r="AT1109" s="69"/>
      <c r="BC1109" s="69"/>
      <c r="BD1109" s="69"/>
      <c r="BN1109" s="69">
        <v>8000</v>
      </c>
      <c r="CC1109" s="74">
        <f t="shared" si="117"/>
        <v>16000</v>
      </c>
      <c r="CD1109" s="73">
        <f t="shared" si="120"/>
        <v>0</v>
      </c>
      <c r="CE1109" s="75">
        <f t="shared" si="118"/>
        <v>9429</v>
      </c>
      <c r="CF1109" s="3" t="str">
        <f t="shared" si="118"/>
        <v>برنامج دولى</v>
      </c>
    </row>
    <row r="1110" spans="3:84" x14ac:dyDescent="0.25">
      <c r="C1110" s="82">
        <v>15384</v>
      </c>
      <c r="D1110" s="78">
        <v>9430</v>
      </c>
      <c r="E1110" s="69" t="s">
        <v>78</v>
      </c>
      <c r="F1110" s="69" t="s">
        <v>442</v>
      </c>
      <c r="I1110" s="69">
        <v>195</v>
      </c>
      <c r="U1110" s="69"/>
      <c r="V1110" s="69"/>
      <c r="AR1110" s="74">
        <f t="shared" si="121"/>
        <v>195</v>
      </c>
      <c r="AS1110" s="69">
        <v>195</v>
      </c>
      <c r="AT1110" s="69"/>
      <c r="BC1110" s="69"/>
      <c r="BD1110" s="69"/>
      <c r="CC1110" s="74">
        <f t="shared" si="117"/>
        <v>195</v>
      </c>
      <c r="CD1110" s="73">
        <f t="shared" si="120"/>
        <v>0</v>
      </c>
      <c r="CE1110" s="75">
        <f t="shared" si="118"/>
        <v>9430</v>
      </c>
      <c r="CF1110" s="3" t="str">
        <f t="shared" si="118"/>
        <v>برنامج دولى</v>
      </c>
    </row>
    <row r="1111" spans="3:84" x14ac:dyDescent="0.25">
      <c r="C1111" s="82">
        <v>15385</v>
      </c>
      <c r="D1111" s="78">
        <v>9431</v>
      </c>
      <c r="E1111" s="69" t="s">
        <v>78</v>
      </c>
      <c r="F1111" s="69" t="s">
        <v>1670</v>
      </c>
      <c r="I1111" s="69">
        <v>255</v>
      </c>
      <c r="U1111" s="69"/>
      <c r="V1111" s="69"/>
      <c r="AR1111" s="74">
        <f t="shared" si="121"/>
        <v>255</v>
      </c>
      <c r="AS1111" s="69">
        <v>255</v>
      </c>
      <c r="AT1111" s="69"/>
      <c r="BC1111" s="69"/>
      <c r="BD1111" s="69"/>
      <c r="CC1111" s="74">
        <f t="shared" si="117"/>
        <v>255</v>
      </c>
      <c r="CD1111" s="73">
        <f t="shared" si="120"/>
        <v>0</v>
      </c>
      <c r="CE1111" s="75">
        <f t="shared" si="118"/>
        <v>9431</v>
      </c>
      <c r="CF1111" s="3" t="str">
        <f t="shared" si="118"/>
        <v>برنامج دولى</v>
      </c>
    </row>
    <row r="1112" spans="3:84" x14ac:dyDescent="0.25">
      <c r="C1112" s="82">
        <v>15386</v>
      </c>
      <c r="D1112" s="78">
        <v>9432</v>
      </c>
      <c r="E1112" s="69" t="s">
        <v>78</v>
      </c>
      <c r="F1112" s="69" t="s">
        <v>1671</v>
      </c>
      <c r="I1112" s="69">
        <v>315</v>
      </c>
      <c r="U1112" s="69"/>
      <c r="V1112" s="69"/>
      <c r="AR1112" s="74">
        <f t="shared" si="121"/>
        <v>315</v>
      </c>
      <c r="AS1112" s="69">
        <v>315</v>
      </c>
      <c r="AT1112" s="69"/>
      <c r="BC1112" s="69"/>
      <c r="BD1112" s="69"/>
      <c r="CC1112" s="74">
        <f t="shared" si="117"/>
        <v>315</v>
      </c>
      <c r="CD1112" s="73">
        <f t="shared" si="120"/>
        <v>0</v>
      </c>
      <c r="CE1112" s="75">
        <f t="shared" si="118"/>
        <v>9432</v>
      </c>
      <c r="CF1112" s="3" t="str">
        <f t="shared" si="118"/>
        <v>برنامج دولى</v>
      </c>
    </row>
    <row r="1113" spans="3:84" x14ac:dyDescent="0.25">
      <c r="C1113" s="82">
        <v>15388</v>
      </c>
      <c r="D1113" s="78">
        <v>9433</v>
      </c>
      <c r="E1113" s="69" t="s">
        <v>78</v>
      </c>
      <c r="F1113" s="69" t="s">
        <v>444</v>
      </c>
      <c r="I1113" s="69">
        <v>615</v>
      </c>
      <c r="U1113" s="69"/>
      <c r="V1113" s="69"/>
      <c r="AR1113" s="74">
        <f t="shared" si="121"/>
        <v>615</v>
      </c>
      <c r="AS1113" s="69">
        <v>615</v>
      </c>
      <c r="AT1113" s="69"/>
      <c r="BC1113" s="69"/>
      <c r="BD1113" s="69"/>
      <c r="CC1113" s="74">
        <f t="shared" si="117"/>
        <v>615</v>
      </c>
      <c r="CD1113" s="73">
        <f t="shared" si="120"/>
        <v>0</v>
      </c>
      <c r="CE1113" s="75">
        <f t="shared" si="118"/>
        <v>9433</v>
      </c>
      <c r="CF1113" s="3" t="str">
        <f t="shared" si="118"/>
        <v>برنامج دولى</v>
      </c>
    </row>
    <row r="1114" spans="3:84" x14ac:dyDescent="0.25">
      <c r="C1114" s="82">
        <v>15389</v>
      </c>
      <c r="D1114" s="78">
        <v>9434</v>
      </c>
      <c r="E1114" s="69" t="s">
        <v>78</v>
      </c>
      <c r="F1114" s="69" t="s">
        <v>1291</v>
      </c>
      <c r="I1114" s="69">
        <v>280</v>
      </c>
      <c r="U1114" s="69"/>
      <c r="V1114" s="69"/>
      <c r="AR1114" s="74">
        <f t="shared" si="121"/>
        <v>280</v>
      </c>
      <c r="AS1114" s="69">
        <v>280</v>
      </c>
      <c r="AT1114" s="69"/>
      <c r="BC1114" s="69"/>
      <c r="BD1114" s="69"/>
      <c r="CC1114" s="74">
        <f t="shared" ref="CC1114:CC1126" si="122">SUM(AS1114:CB1114)</f>
        <v>280</v>
      </c>
      <c r="CD1114" s="73">
        <f t="shared" si="120"/>
        <v>0</v>
      </c>
      <c r="CE1114" s="75">
        <f t="shared" si="118"/>
        <v>9434</v>
      </c>
      <c r="CF1114" s="3" t="str">
        <f t="shared" si="118"/>
        <v>برنامج دولى</v>
      </c>
    </row>
    <row r="1115" spans="3:84" x14ac:dyDescent="0.25">
      <c r="C1115" s="82">
        <v>15390</v>
      </c>
      <c r="D1115" s="78">
        <v>9435</v>
      </c>
      <c r="E1115" s="69" t="s">
        <v>78</v>
      </c>
      <c r="F1115" s="69" t="s">
        <v>1289</v>
      </c>
      <c r="I1115" s="69">
        <v>240</v>
      </c>
      <c r="U1115" s="69"/>
      <c r="V1115" s="69"/>
      <c r="AR1115" s="74">
        <f t="shared" si="121"/>
        <v>240</v>
      </c>
      <c r="AS1115" s="69">
        <v>240</v>
      </c>
      <c r="AT1115" s="69"/>
      <c r="BC1115" s="69"/>
      <c r="BD1115" s="69"/>
      <c r="CC1115" s="74">
        <f t="shared" si="122"/>
        <v>240</v>
      </c>
      <c r="CD1115" s="73">
        <f t="shared" si="120"/>
        <v>0</v>
      </c>
      <c r="CE1115" s="75">
        <f t="shared" si="118"/>
        <v>9435</v>
      </c>
      <c r="CF1115" s="3" t="str">
        <f t="shared" si="118"/>
        <v>برنامج دولى</v>
      </c>
    </row>
    <row r="1116" spans="3:84" x14ac:dyDescent="0.25">
      <c r="C1116" s="82">
        <v>15391</v>
      </c>
      <c r="D1116" s="78">
        <v>9436</v>
      </c>
      <c r="E1116" s="69" t="s">
        <v>78</v>
      </c>
      <c r="F1116" s="69" t="s">
        <v>1290</v>
      </c>
      <c r="I1116" s="69">
        <v>40</v>
      </c>
      <c r="U1116" s="69"/>
      <c r="V1116" s="69"/>
      <c r="AR1116" s="74">
        <f t="shared" si="121"/>
        <v>40</v>
      </c>
      <c r="AS1116" s="69">
        <v>40</v>
      </c>
      <c r="AT1116" s="69"/>
      <c r="BC1116" s="69"/>
      <c r="BD1116" s="69"/>
      <c r="CC1116" s="74">
        <f t="shared" si="122"/>
        <v>40</v>
      </c>
      <c r="CD1116" s="73">
        <f t="shared" si="120"/>
        <v>0</v>
      </c>
      <c r="CE1116" s="75">
        <f t="shared" si="118"/>
        <v>9436</v>
      </c>
      <c r="CF1116" s="3" t="str">
        <f t="shared" si="118"/>
        <v>برنامج دولى</v>
      </c>
    </row>
    <row r="1117" spans="3:84" x14ac:dyDescent="0.25">
      <c r="C1117" s="82">
        <v>15392</v>
      </c>
      <c r="D1117" s="78">
        <v>9437</v>
      </c>
      <c r="E1117" s="69" t="s">
        <v>78</v>
      </c>
      <c r="F1117" s="69" t="s">
        <v>1284</v>
      </c>
      <c r="I1117" s="69">
        <v>340</v>
      </c>
      <c r="U1117" s="69"/>
      <c r="V1117" s="69"/>
      <c r="AR1117" s="74">
        <f t="shared" si="121"/>
        <v>340</v>
      </c>
      <c r="AS1117" s="69">
        <v>340</v>
      </c>
      <c r="AT1117" s="69"/>
      <c r="BC1117" s="69"/>
      <c r="BD1117" s="69"/>
      <c r="CC1117" s="74">
        <f t="shared" si="122"/>
        <v>340</v>
      </c>
      <c r="CD1117" s="73">
        <f t="shared" si="120"/>
        <v>0</v>
      </c>
      <c r="CE1117" s="75">
        <f t="shared" si="118"/>
        <v>9437</v>
      </c>
      <c r="CF1117" s="3" t="str">
        <f t="shared" si="118"/>
        <v>برنامج دولى</v>
      </c>
    </row>
    <row r="1118" spans="3:84" x14ac:dyDescent="0.25">
      <c r="C1118" s="82">
        <v>15393</v>
      </c>
      <c r="D1118" s="78">
        <v>9438</v>
      </c>
      <c r="E1118" s="69" t="s">
        <v>78</v>
      </c>
      <c r="F1118" s="69" t="s">
        <v>1672</v>
      </c>
      <c r="I1118" s="69">
        <v>150</v>
      </c>
      <c r="U1118" s="69"/>
      <c r="V1118" s="69"/>
      <c r="AR1118" s="74">
        <f t="shared" si="121"/>
        <v>150</v>
      </c>
      <c r="AS1118" s="69">
        <v>150</v>
      </c>
      <c r="AT1118" s="69"/>
      <c r="BC1118" s="69"/>
      <c r="BD1118" s="69"/>
      <c r="CC1118" s="74">
        <f t="shared" si="122"/>
        <v>150</v>
      </c>
      <c r="CD1118" s="73">
        <f t="shared" si="120"/>
        <v>0</v>
      </c>
      <c r="CE1118" s="75">
        <f t="shared" si="118"/>
        <v>9438</v>
      </c>
      <c r="CF1118" s="3" t="str">
        <f t="shared" si="118"/>
        <v>برنامج دولى</v>
      </c>
    </row>
    <row r="1119" spans="3:84" x14ac:dyDescent="0.25">
      <c r="C1119" s="82">
        <v>15394</v>
      </c>
      <c r="D1119" s="78">
        <v>9439</v>
      </c>
      <c r="E1119" s="69" t="s">
        <v>78</v>
      </c>
      <c r="F1119" s="69" t="s">
        <v>1673</v>
      </c>
      <c r="I1119" s="69">
        <v>200</v>
      </c>
      <c r="U1119" s="69"/>
      <c r="V1119" s="69"/>
      <c r="AR1119" s="74">
        <f t="shared" si="121"/>
        <v>200</v>
      </c>
      <c r="AS1119" s="69">
        <v>200</v>
      </c>
      <c r="AT1119" s="69"/>
      <c r="BC1119" s="69"/>
      <c r="BD1119" s="69"/>
      <c r="CC1119" s="74">
        <f t="shared" si="122"/>
        <v>200</v>
      </c>
      <c r="CD1119" s="73">
        <f t="shared" si="120"/>
        <v>0</v>
      </c>
      <c r="CE1119" s="75">
        <f t="shared" si="118"/>
        <v>9439</v>
      </c>
      <c r="CF1119" s="3" t="str">
        <f t="shared" si="118"/>
        <v>برنامج دولى</v>
      </c>
    </row>
    <row r="1120" spans="3:84" x14ac:dyDescent="0.25">
      <c r="C1120" s="82">
        <v>15387</v>
      </c>
      <c r="D1120" s="78">
        <v>9440</v>
      </c>
      <c r="E1120" s="69" t="s">
        <v>78</v>
      </c>
      <c r="F1120" s="69" t="s">
        <v>1674</v>
      </c>
      <c r="I1120" s="69">
        <v>345</v>
      </c>
      <c r="U1120" s="69"/>
      <c r="V1120" s="69"/>
      <c r="AR1120" s="74">
        <f t="shared" si="121"/>
        <v>345</v>
      </c>
      <c r="AS1120" s="69">
        <v>322.10000000000002</v>
      </c>
      <c r="AT1120" s="69">
        <v>16.899999999999999</v>
      </c>
      <c r="BC1120" s="69"/>
      <c r="BD1120" s="69"/>
      <c r="BG1120" s="69">
        <v>6</v>
      </c>
      <c r="CC1120" s="74">
        <f t="shared" si="122"/>
        <v>345</v>
      </c>
      <c r="CD1120" s="73">
        <f t="shared" si="120"/>
        <v>0</v>
      </c>
      <c r="CE1120" s="75">
        <f t="shared" si="118"/>
        <v>9440</v>
      </c>
      <c r="CF1120" s="3" t="str">
        <f t="shared" si="118"/>
        <v>برنامج دولى</v>
      </c>
    </row>
    <row r="1121" spans="2:84" x14ac:dyDescent="0.25">
      <c r="C1121" s="82">
        <v>15378</v>
      </c>
      <c r="D1121" s="78">
        <v>9441</v>
      </c>
      <c r="E1121" s="69" t="s">
        <v>130</v>
      </c>
      <c r="F1121" s="69" t="s">
        <v>1675</v>
      </c>
      <c r="I1121" s="69">
        <v>1099.99</v>
      </c>
      <c r="U1121" s="69"/>
      <c r="V1121" s="69"/>
      <c r="AR1121" s="74">
        <f t="shared" si="121"/>
        <v>1099.99</v>
      </c>
      <c r="AS1121" s="69">
        <v>1001.64</v>
      </c>
      <c r="AT1121" s="69">
        <v>54.7</v>
      </c>
      <c r="BC1121" s="69"/>
      <c r="BD1121" s="69"/>
      <c r="BF1121" s="69">
        <v>28.95</v>
      </c>
      <c r="BG1121" s="69">
        <v>6</v>
      </c>
      <c r="BH1121" s="69">
        <f>4.35*2</f>
        <v>8.6999999999999993</v>
      </c>
      <c r="CC1121" s="74">
        <f t="shared" si="122"/>
        <v>1099.99</v>
      </c>
      <c r="CD1121" s="73">
        <f t="shared" si="120"/>
        <v>0</v>
      </c>
      <c r="CE1121" s="75">
        <f t="shared" si="118"/>
        <v>9441</v>
      </c>
      <c r="CF1121" s="3" t="str">
        <f t="shared" si="118"/>
        <v>خ ت طب</v>
      </c>
    </row>
    <row r="1122" spans="2:84" ht="36" x14ac:dyDescent="0.25">
      <c r="C1122" s="82">
        <v>14937</v>
      </c>
      <c r="D1122" s="70">
        <v>9442</v>
      </c>
      <c r="E1122" s="69" t="s">
        <v>121</v>
      </c>
      <c r="F1122" s="77" t="s">
        <v>1676</v>
      </c>
      <c r="I1122" s="69">
        <v>23400</v>
      </c>
      <c r="U1122" s="69"/>
      <c r="V1122" s="69"/>
      <c r="AR1122" s="74">
        <f t="shared" si="121"/>
        <v>23400</v>
      </c>
      <c r="AS1122" s="69">
        <v>21579.4</v>
      </c>
      <c r="AT1122" s="69">
        <f>223+669+39.6</f>
        <v>931.6</v>
      </c>
      <c r="BC1122" s="69"/>
      <c r="BD1122" s="69"/>
      <c r="BF1122" s="69">
        <v>616</v>
      </c>
      <c r="BG1122" s="69">
        <v>88</v>
      </c>
      <c r="BH1122" s="69">
        <f>92.5*2</f>
        <v>185</v>
      </c>
      <c r="CC1122" s="74">
        <f t="shared" si="122"/>
        <v>23400</v>
      </c>
      <c r="CD1122" s="73">
        <f t="shared" si="120"/>
        <v>0</v>
      </c>
      <c r="CE1122" s="75">
        <f t="shared" si="118"/>
        <v>9442</v>
      </c>
      <c r="CF1122" s="3" t="str">
        <f t="shared" si="118"/>
        <v>ماليزى اسنان</v>
      </c>
    </row>
    <row r="1123" spans="2:84" x14ac:dyDescent="0.25">
      <c r="C1123" s="82" t="s">
        <v>1677</v>
      </c>
      <c r="D1123" s="70">
        <v>9443</v>
      </c>
      <c r="E1123" s="69" t="s">
        <v>121</v>
      </c>
      <c r="F1123" s="69" t="s">
        <v>1678</v>
      </c>
      <c r="U1123" s="69"/>
      <c r="V1123" s="69"/>
      <c r="X1123" s="69">
        <v>105000</v>
      </c>
      <c r="AR1123" s="74">
        <f t="shared" si="121"/>
        <v>105000</v>
      </c>
      <c r="AS1123" s="69">
        <v>105000</v>
      </c>
      <c r="AT1123" s="69"/>
      <c r="BC1123" s="69"/>
      <c r="BD1123" s="69"/>
      <c r="CC1123" s="74">
        <f t="shared" si="122"/>
        <v>105000</v>
      </c>
      <c r="CD1123" s="73">
        <f t="shared" si="120"/>
        <v>0</v>
      </c>
      <c r="CE1123" s="75">
        <f t="shared" si="118"/>
        <v>9443</v>
      </c>
      <c r="CF1123" s="3" t="str">
        <f t="shared" si="118"/>
        <v>ماليزى اسنان</v>
      </c>
    </row>
    <row r="1124" spans="2:84" x14ac:dyDescent="0.25">
      <c r="C1124" s="82">
        <v>15657</v>
      </c>
      <c r="D1124" s="70">
        <v>9444</v>
      </c>
      <c r="F1124" s="69" t="s">
        <v>1679</v>
      </c>
      <c r="U1124" s="69"/>
      <c r="V1124" s="69"/>
      <c r="AD1124" s="69">
        <v>1400</v>
      </c>
      <c r="AR1124" s="74">
        <f t="shared" si="121"/>
        <v>1400</v>
      </c>
      <c r="AS1124" s="69">
        <v>1400</v>
      </c>
      <c r="AT1124" s="69"/>
      <c r="BC1124" s="69"/>
      <c r="BD1124" s="69"/>
      <c r="CC1124" s="74">
        <f t="shared" si="122"/>
        <v>1400</v>
      </c>
      <c r="CD1124" s="73">
        <f t="shared" si="120"/>
        <v>0</v>
      </c>
      <c r="CE1124" s="75">
        <f t="shared" si="118"/>
        <v>9444</v>
      </c>
      <c r="CF1124" s="3">
        <f t="shared" si="118"/>
        <v>0</v>
      </c>
    </row>
    <row r="1125" spans="2:84" x14ac:dyDescent="0.25">
      <c r="C1125" s="82">
        <v>15656</v>
      </c>
      <c r="D1125" s="70">
        <v>9445</v>
      </c>
      <c r="F1125" s="69" t="s">
        <v>1680</v>
      </c>
      <c r="U1125" s="69"/>
      <c r="V1125" s="69"/>
      <c r="AD1125" s="69">
        <v>1481.35</v>
      </c>
      <c r="AR1125" s="74">
        <f t="shared" si="121"/>
        <v>1481.35</v>
      </c>
      <c r="AS1125" s="69">
        <v>1481.35</v>
      </c>
      <c r="AT1125" s="69"/>
      <c r="BC1125" s="69"/>
      <c r="BD1125" s="69"/>
      <c r="CC1125" s="74">
        <f t="shared" si="122"/>
        <v>1481.35</v>
      </c>
      <c r="CD1125" s="73">
        <f t="shared" si="120"/>
        <v>0</v>
      </c>
      <c r="CE1125" s="75">
        <f t="shared" si="118"/>
        <v>9445</v>
      </c>
      <c r="CF1125" s="3">
        <f t="shared" si="118"/>
        <v>0</v>
      </c>
    </row>
    <row r="1126" spans="2:84" x14ac:dyDescent="0.25">
      <c r="C1126" s="82">
        <v>13553</v>
      </c>
      <c r="D1126" s="70">
        <v>9446</v>
      </c>
      <c r="F1126" s="69" t="s">
        <v>1681</v>
      </c>
      <c r="U1126" s="69"/>
      <c r="V1126" s="69"/>
      <c r="AD1126" s="69">
        <v>679.11</v>
      </c>
      <c r="AR1126" s="74">
        <f t="shared" si="121"/>
        <v>679.11</v>
      </c>
      <c r="AS1126" s="69">
        <v>679.11</v>
      </c>
      <c r="AT1126" s="69"/>
      <c r="BC1126" s="69"/>
      <c r="BD1126" s="69"/>
      <c r="CC1126" s="74">
        <f t="shared" si="122"/>
        <v>679.11</v>
      </c>
      <c r="CD1126" s="73">
        <f t="shared" si="120"/>
        <v>0</v>
      </c>
      <c r="CE1126" s="75">
        <f t="shared" ref="CE1126:CF1141" si="123">+D1126</f>
        <v>9446</v>
      </c>
      <c r="CF1126" s="3">
        <f t="shared" si="123"/>
        <v>0</v>
      </c>
    </row>
    <row r="1127" spans="2:84" ht="54" x14ac:dyDescent="0.25">
      <c r="B1127" s="69">
        <v>1</v>
      </c>
      <c r="C1127" s="82">
        <v>15342</v>
      </c>
      <c r="D1127" s="70">
        <v>9447</v>
      </c>
      <c r="F1127" s="77" t="s">
        <v>1682</v>
      </c>
      <c r="U1127" s="69"/>
      <c r="V1127" s="69"/>
      <c r="AD1127" s="69">
        <v>22533.71</v>
      </c>
      <c r="AR1127" s="74">
        <f t="shared" si="121"/>
        <v>22533.71</v>
      </c>
      <c r="AS1127" s="69">
        <v>22533.71</v>
      </c>
      <c r="AT1127" s="69"/>
      <c r="BC1127" s="69"/>
      <c r="BD1127" s="69"/>
      <c r="CC1127" s="74">
        <f t="shared" ref="CC1127:CC1190" si="124">SUM(AS1127:CB1127)</f>
        <v>22533.71</v>
      </c>
      <c r="CD1127" s="73">
        <f t="shared" si="120"/>
        <v>0</v>
      </c>
      <c r="CE1127" s="75">
        <f t="shared" si="123"/>
        <v>9447</v>
      </c>
      <c r="CF1127" s="3">
        <f t="shared" si="123"/>
        <v>0</v>
      </c>
    </row>
    <row r="1128" spans="2:84" x14ac:dyDescent="0.25">
      <c r="B1128" s="69">
        <v>2</v>
      </c>
      <c r="C1128" s="82">
        <v>15326</v>
      </c>
      <c r="D1128" s="70">
        <v>9448</v>
      </c>
      <c r="E1128" s="69" t="s">
        <v>121</v>
      </c>
      <c r="F1128" s="69" t="s">
        <v>1683</v>
      </c>
      <c r="H1128" s="69">
        <v>990.83</v>
      </c>
      <c r="U1128" s="69"/>
      <c r="V1128" s="69"/>
      <c r="AR1128" s="74">
        <f t="shared" si="121"/>
        <v>990.83</v>
      </c>
      <c r="AS1128" s="69">
        <v>664.15</v>
      </c>
      <c r="AT1128" s="69">
        <v>87.95</v>
      </c>
      <c r="AU1128" s="69">
        <v>238.73</v>
      </c>
      <c r="BC1128" s="69"/>
      <c r="BD1128" s="69"/>
      <c r="CC1128" s="74">
        <f t="shared" si="124"/>
        <v>990.83</v>
      </c>
      <c r="CD1128" s="73">
        <f t="shared" si="120"/>
        <v>0</v>
      </c>
      <c r="CE1128" s="75">
        <f t="shared" si="123"/>
        <v>9448</v>
      </c>
      <c r="CF1128" s="3" t="str">
        <f t="shared" si="123"/>
        <v>ماليزى اسنان</v>
      </c>
    </row>
    <row r="1129" spans="2:84" x14ac:dyDescent="0.25">
      <c r="B1129" s="69">
        <v>3</v>
      </c>
      <c r="C1129" s="82">
        <v>15321</v>
      </c>
      <c r="D1129" s="70">
        <v>9449</v>
      </c>
      <c r="E1129" s="69" t="s">
        <v>121</v>
      </c>
      <c r="F1129" s="69" t="s">
        <v>1684</v>
      </c>
      <c r="H1129" s="69">
        <v>7832.26</v>
      </c>
      <c r="U1129" s="69"/>
      <c r="V1129" s="69"/>
      <c r="AR1129" s="74">
        <f t="shared" si="121"/>
        <v>7832.26</v>
      </c>
      <c r="AS1129" s="69">
        <v>5246.52</v>
      </c>
      <c r="AT1129" s="69">
        <v>698.6</v>
      </c>
      <c r="AU1129" s="69">
        <v>1887.14</v>
      </c>
      <c r="BC1129" s="69"/>
      <c r="BD1129" s="69"/>
      <c r="CC1129" s="74">
        <f t="shared" si="124"/>
        <v>7832.2600000000011</v>
      </c>
      <c r="CD1129" s="73">
        <f t="shared" si="120"/>
        <v>0</v>
      </c>
      <c r="CE1129" s="75">
        <f t="shared" si="123"/>
        <v>9449</v>
      </c>
      <c r="CF1129" s="3" t="str">
        <f t="shared" si="123"/>
        <v>ماليزى اسنان</v>
      </c>
    </row>
    <row r="1130" spans="2:84" x14ac:dyDescent="0.25">
      <c r="B1130" s="69">
        <v>4</v>
      </c>
      <c r="C1130" s="82">
        <v>15322</v>
      </c>
      <c r="D1130" s="70">
        <v>9450</v>
      </c>
      <c r="E1130" s="69" t="s">
        <v>121</v>
      </c>
      <c r="F1130" s="69" t="s">
        <v>1685</v>
      </c>
      <c r="H1130" s="69">
        <v>257.10000000000002</v>
      </c>
      <c r="U1130" s="69"/>
      <c r="V1130" s="69"/>
      <c r="AR1130" s="74">
        <f t="shared" si="121"/>
        <v>257.10000000000002</v>
      </c>
      <c r="AS1130" s="69">
        <v>172.33</v>
      </c>
      <c r="AT1130" s="69">
        <v>22.83</v>
      </c>
      <c r="AU1130" s="69">
        <v>61.94</v>
      </c>
      <c r="BC1130" s="69"/>
      <c r="BD1130" s="69"/>
      <c r="CC1130" s="74">
        <f t="shared" si="124"/>
        <v>257.10000000000002</v>
      </c>
      <c r="CD1130" s="73">
        <f t="shared" si="120"/>
        <v>0</v>
      </c>
      <c r="CE1130" s="75">
        <f t="shared" si="123"/>
        <v>9450</v>
      </c>
      <c r="CF1130" s="3" t="str">
        <f t="shared" si="123"/>
        <v>ماليزى اسنان</v>
      </c>
    </row>
    <row r="1131" spans="2:84" x14ac:dyDescent="0.25">
      <c r="B1131" s="69">
        <v>5</v>
      </c>
      <c r="C1131" s="82">
        <v>15324</v>
      </c>
      <c r="D1131" s="70">
        <v>9451</v>
      </c>
      <c r="E1131" s="69" t="s">
        <v>121</v>
      </c>
      <c r="F1131" s="69" t="s">
        <v>1686</v>
      </c>
      <c r="H1131" s="69">
        <v>9621.0300000000007</v>
      </c>
      <c r="U1131" s="69"/>
      <c r="V1131" s="69"/>
      <c r="AR1131" s="74">
        <f t="shared" si="121"/>
        <v>9621.0300000000007</v>
      </c>
      <c r="AS1131" s="69">
        <v>6446.51</v>
      </c>
      <c r="AT1131" s="69">
        <v>856.48</v>
      </c>
      <c r="AU1131" s="69">
        <v>2318.04</v>
      </c>
      <c r="BC1131" s="69"/>
      <c r="BD1131" s="69"/>
      <c r="CC1131" s="74">
        <f t="shared" si="124"/>
        <v>9621.0299999999988</v>
      </c>
      <c r="CD1131" s="73">
        <f t="shared" si="120"/>
        <v>0</v>
      </c>
      <c r="CE1131" s="75">
        <f t="shared" si="123"/>
        <v>9451</v>
      </c>
      <c r="CF1131" s="3" t="str">
        <f t="shared" si="123"/>
        <v>ماليزى اسنان</v>
      </c>
    </row>
    <row r="1132" spans="2:84" x14ac:dyDescent="0.25">
      <c r="B1132" s="69">
        <v>6</v>
      </c>
      <c r="C1132" s="82">
        <v>15323</v>
      </c>
      <c r="D1132" s="70">
        <v>9452</v>
      </c>
      <c r="E1132" s="69" t="s">
        <v>121</v>
      </c>
      <c r="F1132" s="69" t="str">
        <f>+F1129</f>
        <v>مكافاه 75% كادر يناير فنيين واداريين</v>
      </c>
      <c r="H1132" s="69">
        <v>9761.02</v>
      </c>
      <c r="U1132" s="69"/>
      <c r="V1132" s="69"/>
      <c r="AR1132" s="74">
        <f t="shared" si="121"/>
        <v>9761.02</v>
      </c>
      <c r="AS1132" s="69">
        <v>6576.78</v>
      </c>
      <c r="AT1132" s="69">
        <v>871.15</v>
      </c>
      <c r="AU1132" s="69">
        <v>2313.09</v>
      </c>
      <c r="BC1132" s="69"/>
      <c r="BD1132" s="69"/>
      <c r="CC1132" s="74">
        <f t="shared" si="124"/>
        <v>9761.02</v>
      </c>
      <c r="CD1132" s="73">
        <f t="shared" si="120"/>
        <v>0</v>
      </c>
      <c r="CE1132" s="75">
        <f t="shared" si="123"/>
        <v>9452</v>
      </c>
      <c r="CF1132" s="3" t="str">
        <f t="shared" si="123"/>
        <v>ماليزى اسنان</v>
      </c>
    </row>
    <row r="1133" spans="2:84" x14ac:dyDescent="0.25">
      <c r="B1133" s="69">
        <v>7</v>
      </c>
      <c r="C1133" s="82">
        <v>15320</v>
      </c>
      <c r="D1133" s="70">
        <v>9453</v>
      </c>
      <c r="E1133" s="69" t="s">
        <v>121</v>
      </c>
      <c r="F1133" s="69" t="s">
        <v>1687</v>
      </c>
      <c r="H1133" s="69">
        <v>15797.71</v>
      </c>
      <c r="U1133" s="69"/>
      <c r="V1133" s="69"/>
      <c r="AR1133" s="74">
        <f t="shared" si="121"/>
        <v>15797.71</v>
      </c>
      <c r="AS1133" s="69">
        <v>10616.93</v>
      </c>
      <c r="AT1133" s="69">
        <v>1410.05</v>
      </c>
      <c r="AU1133" s="69">
        <v>3770.73</v>
      </c>
      <c r="BC1133" s="69"/>
      <c r="BD1133" s="69"/>
      <c r="CC1133" s="74">
        <f t="shared" si="124"/>
        <v>15797.71</v>
      </c>
      <c r="CD1133" s="73">
        <f t="shared" si="120"/>
        <v>0</v>
      </c>
      <c r="CE1133" s="75">
        <f t="shared" si="123"/>
        <v>9453</v>
      </c>
      <c r="CF1133" s="3" t="str">
        <f t="shared" si="123"/>
        <v>ماليزى اسنان</v>
      </c>
    </row>
    <row r="1134" spans="2:84" x14ac:dyDescent="0.25">
      <c r="B1134" s="69">
        <v>8</v>
      </c>
      <c r="C1134" s="82">
        <v>15325</v>
      </c>
      <c r="D1134" s="70">
        <v>9454</v>
      </c>
      <c r="E1134" s="69" t="s">
        <v>121</v>
      </c>
      <c r="F1134" s="69" t="s">
        <v>1687</v>
      </c>
      <c r="H1134" s="69">
        <v>365</v>
      </c>
      <c r="U1134" s="69"/>
      <c r="V1134" s="69"/>
      <c r="AR1134" s="74">
        <f t="shared" si="121"/>
        <v>365</v>
      </c>
      <c r="AS1134" s="69">
        <v>244.43</v>
      </c>
      <c r="AT1134" s="69">
        <v>32.630000000000003</v>
      </c>
      <c r="AU1134" s="69">
        <v>87.94</v>
      </c>
      <c r="BC1134" s="69"/>
      <c r="BD1134" s="69"/>
      <c r="CC1134" s="74">
        <f t="shared" si="124"/>
        <v>365</v>
      </c>
      <c r="CD1134" s="73">
        <f t="shared" si="120"/>
        <v>0</v>
      </c>
      <c r="CE1134" s="75">
        <f t="shared" si="123"/>
        <v>9454</v>
      </c>
      <c r="CF1134" s="3" t="str">
        <f t="shared" si="123"/>
        <v>ماليزى اسنان</v>
      </c>
    </row>
    <row r="1135" spans="2:84" x14ac:dyDescent="0.25">
      <c r="B1135" s="69">
        <v>9</v>
      </c>
      <c r="C1135" s="82">
        <v>15350</v>
      </c>
      <c r="D1135" s="70">
        <v>9455</v>
      </c>
      <c r="E1135" s="69" t="s">
        <v>121</v>
      </c>
      <c r="F1135" s="69" t="s">
        <v>1688</v>
      </c>
      <c r="H1135" s="69">
        <v>2423.2800000000002</v>
      </c>
      <c r="U1135" s="69"/>
      <c r="V1135" s="69"/>
      <c r="AR1135" s="74">
        <f t="shared" si="121"/>
        <v>2423.2800000000002</v>
      </c>
      <c r="AS1135" s="69">
        <v>1624.39</v>
      </c>
      <c r="AT1135" s="69">
        <v>215.03</v>
      </c>
      <c r="AU1135" s="69">
        <v>583.86</v>
      </c>
      <c r="BC1135" s="69"/>
      <c r="BD1135" s="69"/>
      <c r="CC1135" s="74">
        <f t="shared" si="124"/>
        <v>2423.2800000000002</v>
      </c>
      <c r="CD1135" s="73">
        <f t="shared" si="120"/>
        <v>0</v>
      </c>
      <c r="CE1135" s="75">
        <f t="shared" si="123"/>
        <v>9455</v>
      </c>
      <c r="CF1135" s="3" t="str">
        <f t="shared" si="123"/>
        <v>ماليزى اسنان</v>
      </c>
    </row>
    <row r="1136" spans="2:84" x14ac:dyDescent="0.25">
      <c r="B1136" s="69">
        <v>10</v>
      </c>
      <c r="C1136" s="82"/>
      <c r="D1136" s="70">
        <v>9456</v>
      </c>
      <c r="E1136" s="69" t="s">
        <v>121</v>
      </c>
      <c r="F1136" s="69" t="s">
        <v>1689</v>
      </c>
      <c r="H1136" s="69">
        <v>2100</v>
      </c>
      <c r="U1136" s="69"/>
      <c r="V1136" s="69"/>
      <c r="AR1136" s="74">
        <f t="shared" si="121"/>
        <v>2100</v>
      </c>
      <c r="AS1136" s="69">
        <v>1874.6</v>
      </c>
      <c r="AT1136" s="69">
        <v>225.4</v>
      </c>
      <c r="BC1136" s="69"/>
      <c r="BD1136" s="69"/>
      <c r="CC1136" s="74">
        <f t="shared" si="124"/>
        <v>2100</v>
      </c>
      <c r="CD1136" s="73">
        <f t="shared" si="120"/>
        <v>0</v>
      </c>
      <c r="CE1136" s="75">
        <f t="shared" si="123"/>
        <v>9456</v>
      </c>
      <c r="CF1136" s="3" t="str">
        <f t="shared" si="123"/>
        <v>ماليزى اسنان</v>
      </c>
    </row>
    <row r="1137" spans="2:84" x14ac:dyDescent="0.25">
      <c r="B1137" s="69">
        <v>11</v>
      </c>
      <c r="C1137" s="82"/>
      <c r="D1137" s="70">
        <v>9457</v>
      </c>
      <c r="E1137" s="69" t="s">
        <v>121</v>
      </c>
      <c r="F1137" s="69" t="s">
        <v>1690</v>
      </c>
      <c r="H1137" s="69">
        <v>410.38</v>
      </c>
      <c r="U1137" s="69"/>
      <c r="V1137" s="69"/>
      <c r="AR1137" s="74">
        <f t="shared" si="121"/>
        <v>410.38</v>
      </c>
      <c r="AS1137" s="69">
        <v>274.8</v>
      </c>
      <c r="AT1137" s="69">
        <v>36.700000000000003</v>
      </c>
      <c r="AU1137" s="69">
        <v>98.88</v>
      </c>
      <c r="BC1137" s="69"/>
      <c r="BD1137" s="69"/>
      <c r="CC1137" s="74">
        <f t="shared" si="124"/>
        <v>410.38</v>
      </c>
      <c r="CD1137" s="73">
        <f t="shared" ref="CD1137:CD1200" si="125">+CC1137-AR1137</f>
        <v>0</v>
      </c>
      <c r="CE1137" s="75">
        <f t="shared" si="123"/>
        <v>9457</v>
      </c>
      <c r="CF1137" s="3" t="str">
        <f t="shared" si="123"/>
        <v>ماليزى اسنان</v>
      </c>
    </row>
    <row r="1138" spans="2:84" x14ac:dyDescent="0.25">
      <c r="B1138" s="69">
        <v>12</v>
      </c>
      <c r="C1138" s="82"/>
      <c r="D1138" s="70">
        <v>9458</v>
      </c>
      <c r="E1138" s="69" t="s">
        <v>121</v>
      </c>
      <c r="F1138" s="69" t="s">
        <v>1691</v>
      </c>
      <c r="H1138" s="69">
        <v>1000</v>
      </c>
      <c r="U1138" s="69"/>
      <c r="V1138" s="69"/>
      <c r="AR1138" s="74">
        <f t="shared" si="121"/>
        <v>1000</v>
      </c>
      <c r="AS1138" s="69">
        <v>893.35</v>
      </c>
      <c r="AT1138" s="69">
        <v>106.65</v>
      </c>
      <c r="BC1138" s="69"/>
      <c r="BD1138" s="69"/>
      <c r="CC1138" s="74">
        <f t="shared" si="124"/>
        <v>1000</v>
      </c>
      <c r="CD1138" s="73">
        <f t="shared" si="125"/>
        <v>0</v>
      </c>
      <c r="CE1138" s="75">
        <f t="shared" si="123"/>
        <v>9458</v>
      </c>
      <c r="CF1138" s="3" t="str">
        <f t="shared" si="123"/>
        <v>ماليزى اسنان</v>
      </c>
    </row>
    <row r="1139" spans="2:84" x14ac:dyDescent="0.25">
      <c r="B1139" s="69">
        <v>13</v>
      </c>
      <c r="C1139" s="82">
        <v>15869</v>
      </c>
      <c r="D1139" s="70">
        <v>9459</v>
      </c>
      <c r="E1139" s="69" t="s">
        <v>130</v>
      </c>
      <c r="F1139" s="69" t="s">
        <v>1692</v>
      </c>
      <c r="H1139" s="69">
        <v>873.93</v>
      </c>
      <c r="U1139" s="69"/>
      <c r="V1139" s="69"/>
      <c r="AR1139" s="74">
        <f t="shared" si="121"/>
        <v>873.93</v>
      </c>
      <c r="AS1139" s="69">
        <v>708.06</v>
      </c>
      <c r="AT1139" s="69">
        <v>84.17</v>
      </c>
      <c r="AU1139" s="69">
        <v>39.200000000000003</v>
      </c>
      <c r="AV1139" s="69">
        <v>42.5</v>
      </c>
      <c r="BC1139" s="69"/>
      <c r="BD1139" s="69"/>
      <c r="CC1139" s="74">
        <f t="shared" si="124"/>
        <v>873.93</v>
      </c>
      <c r="CD1139" s="73">
        <f t="shared" si="125"/>
        <v>0</v>
      </c>
      <c r="CE1139" s="75">
        <f t="shared" si="123"/>
        <v>9459</v>
      </c>
      <c r="CF1139" s="3" t="str">
        <f t="shared" si="123"/>
        <v>خ ت طب</v>
      </c>
    </row>
    <row r="1140" spans="2:84" x14ac:dyDescent="0.25">
      <c r="C1140" s="82"/>
      <c r="D1140" s="70">
        <v>9460</v>
      </c>
      <c r="E1140" s="69" t="s">
        <v>332</v>
      </c>
      <c r="F1140" s="69" t="s">
        <v>1693</v>
      </c>
      <c r="U1140" s="69"/>
      <c r="V1140" s="69"/>
      <c r="AR1140" s="74"/>
      <c r="AT1140" s="69"/>
      <c r="BC1140" s="69"/>
      <c r="BD1140" s="69"/>
      <c r="CC1140" s="74"/>
      <c r="CD1140" s="73"/>
      <c r="CE1140" s="75">
        <f t="shared" si="123"/>
        <v>9460</v>
      </c>
      <c r="CF1140" s="3" t="str">
        <f t="shared" si="123"/>
        <v xml:space="preserve">لاب فقط </v>
      </c>
    </row>
    <row r="1141" spans="2:84" x14ac:dyDescent="0.25">
      <c r="B1141" s="69">
        <v>15</v>
      </c>
      <c r="C1141" s="82"/>
      <c r="D1141" s="70">
        <v>9461</v>
      </c>
      <c r="E1141" s="69" t="s">
        <v>332</v>
      </c>
      <c r="F1141" s="69" t="s">
        <v>1694</v>
      </c>
      <c r="U1141" s="69"/>
      <c r="V1141" s="69"/>
      <c r="AR1141" s="74">
        <f t="shared" si="121"/>
        <v>0</v>
      </c>
      <c r="AT1141" s="69"/>
      <c r="BC1141" s="69"/>
      <c r="BD1141" s="69"/>
      <c r="CC1141" s="74">
        <f t="shared" si="124"/>
        <v>0</v>
      </c>
      <c r="CD1141" s="73">
        <f t="shared" si="125"/>
        <v>0</v>
      </c>
      <c r="CE1141" s="75">
        <f t="shared" si="123"/>
        <v>9461</v>
      </c>
      <c r="CF1141" s="3" t="str">
        <f t="shared" si="123"/>
        <v xml:space="preserve">لاب فقط </v>
      </c>
    </row>
    <row r="1142" spans="2:84" x14ac:dyDescent="0.25">
      <c r="B1142" s="69">
        <v>16</v>
      </c>
      <c r="C1142" s="82"/>
      <c r="D1142" s="70">
        <v>9462</v>
      </c>
      <c r="E1142" s="69" t="s">
        <v>332</v>
      </c>
      <c r="F1142" s="69" t="s">
        <v>1694</v>
      </c>
      <c r="U1142" s="69"/>
      <c r="V1142" s="69"/>
      <c r="AR1142" s="74">
        <f t="shared" si="121"/>
        <v>0</v>
      </c>
      <c r="AT1142" s="69"/>
      <c r="BC1142" s="69"/>
      <c r="BD1142" s="69"/>
      <c r="CC1142" s="74">
        <f t="shared" si="124"/>
        <v>0</v>
      </c>
      <c r="CD1142" s="73">
        <f t="shared" si="125"/>
        <v>0</v>
      </c>
      <c r="CE1142" s="75">
        <f t="shared" ref="CE1142:CF1205" si="126">+D1142</f>
        <v>9462</v>
      </c>
      <c r="CF1142" s="3" t="str">
        <f t="shared" si="126"/>
        <v xml:space="preserve">لاب فقط </v>
      </c>
    </row>
    <row r="1143" spans="2:84" x14ac:dyDescent="0.25">
      <c r="B1143" s="69">
        <v>17</v>
      </c>
      <c r="C1143" s="82"/>
      <c r="D1143" s="70">
        <v>9463</v>
      </c>
      <c r="E1143" s="69" t="s">
        <v>332</v>
      </c>
      <c r="F1143" s="69" t="s">
        <v>1694</v>
      </c>
      <c r="U1143" s="69"/>
      <c r="V1143" s="69"/>
      <c r="AR1143" s="74">
        <f t="shared" si="121"/>
        <v>0</v>
      </c>
      <c r="AT1143" s="69"/>
      <c r="BC1143" s="69"/>
      <c r="BD1143" s="69"/>
      <c r="CC1143" s="74">
        <f t="shared" si="124"/>
        <v>0</v>
      </c>
      <c r="CD1143" s="73">
        <f t="shared" si="125"/>
        <v>0</v>
      </c>
      <c r="CE1143" s="75">
        <f t="shared" si="126"/>
        <v>9463</v>
      </c>
      <c r="CF1143" s="3" t="str">
        <f t="shared" si="126"/>
        <v xml:space="preserve">لاب فقط </v>
      </c>
    </row>
    <row r="1144" spans="2:84" x14ac:dyDescent="0.25">
      <c r="B1144" s="69">
        <v>18</v>
      </c>
      <c r="C1144" s="82"/>
      <c r="D1144" s="70">
        <v>9464</v>
      </c>
      <c r="E1144" s="69" t="s">
        <v>332</v>
      </c>
      <c r="F1144" s="69" t="s">
        <v>1694</v>
      </c>
      <c r="U1144" s="69"/>
      <c r="V1144" s="69"/>
      <c r="AR1144" s="74">
        <f t="shared" si="121"/>
        <v>0</v>
      </c>
      <c r="AT1144" s="69"/>
      <c r="BC1144" s="69"/>
      <c r="BD1144" s="69"/>
      <c r="CC1144" s="74">
        <f t="shared" si="124"/>
        <v>0</v>
      </c>
      <c r="CD1144" s="73">
        <f t="shared" si="125"/>
        <v>0</v>
      </c>
      <c r="CE1144" s="75">
        <f t="shared" si="126"/>
        <v>9464</v>
      </c>
      <c r="CF1144" s="3" t="str">
        <f t="shared" si="126"/>
        <v xml:space="preserve">لاب فقط </v>
      </c>
    </row>
    <row r="1145" spans="2:84" x14ac:dyDescent="0.25">
      <c r="B1145" s="69">
        <v>19</v>
      </c>
      <c r="C1145" s="82"/>
      <c r="D1145" s="70">
        <v>9465</v>
      </c>
      <c r="E1145" s="69" t="s">
        <v>332</v>
      </c>
      <c r="F1145" s="69" t="s">
        <v>1694</v>
      </c>
      <c r="U1145" s="69"/>
      <c r="V1145" s="69"/>
      <c r="AR1145" s="74">
        <f t="shared" si="121"/>
        <v>0</v>
      </c>
      <c r="AT1145" s="69"/>
      <c r="BC1145" s="69"/>
      <c r="BD1145" s="69"/>
      <c r="CC1145" s="74">
        <f t="shared" si="124"/>
        <v>0</v>
      </c>
      <c r="CD1145" s="73">
        <f t="shared" si="125"/>
        <v>0</v>
      </c>
      <c r="CE1145" s="75">
        <f t="shared" si="126"/>
        <v>9465</v>
      </c>
      <c r="CF1145" s="3" t="str">
        <f t="shared" si="126"/>
        <v xml:space="preserve">لاب فقط </v>
      </c>
    </row>
    <row r="1146" spans="2:84" x14ac:dyDescent="0.25">
      <c r="B1146" s="69">
        <v>20</v>
      </c>
      <c r="C1146" s="82"/>
      <c r="D1146" s="70">
        <v>9466</v>
      </c>
      <c r="E1146" s="69" t="s">
        <v>332</v>
      </c>
      <c r="F1146" s="69" t="s">
        <v>1694</v>
      </c>
      <c r="U1146" s="69"/>
      <c r="V1146" s="69"/>
      <c r="AR1146" s="74">
        <f t="shared" si="121"/>
        <v>0</v>
      </c>
      <c r="AT1146" s="69"/>
      <c r="BC1146" s="69"/>
      <c r="BD1146" s="69"/>
      <c r="CC1146" s="74">
        <f t="shared" si="124"/>
        <v>0</v>
      </c>
      <c r="CD1146" s="73">
        <f t="shared" si="125"/>
        <v>0</v>
      </c>
      <c r="CE1146" s="75">
        <f t="shared" si="126"/>
        <v>9466</v>
      </c>
      <c r="CF1146" s="3" t="str">
        <f t="shared" si="126"/>
        <v xml:space="preserve">لاب فقط </v>
      </c>
    </row>
    <row r="1147" spans="2:84" x14ac:dyDescent="0.25">
      <c r="B1147" s="69">
        <v>21</v>
      </c>
      <c r="C1147" s="82"/>
      <c r="D1147" s="70">
        <v>9467</v>
      </c>
      <c r="E1147" s="69" t="s">
        <v>332</v>
      </c>
      <c r="F1147" s="69" t="s">
        <v>1694</v>
      </c>
      <c r="U1147" s="69"/>
      <c r="V1147" s="69"/>
      <c r="AR1147" s="74">
        <f t="shared" si="121"/>
        <v>0</v>
      </c>
      <c r="AT1147" s="69"/>
      <c r="BC1147" s="69"/>
      <c r="BD1147" s="69"/>
      <c r="CC1147" s="74">
        <f t="shared" si="124"/>
        <v>0</v>
      </c>
      <c r="CD1147" s="73">
        <f t="shared" si="125"/>
        <v>0</v>
      </c>
      <c r="CE1147" s="75">
        <f t="shared" si="126"/>
        <v>9467</v>
      </c>
      <c r="CF1147" s="3" t="str">
        <f t="shared" si="126"/>
        <v xml:space="preserve">لاب فقط </v>
      </c>
    </row>
    <row r="1148" spans="2:84" x14ac:dyDescent="0.25">
      <c r="B1148" s="69">
        <v>22</v>
      </c>
      <c r="C1148" s="82"/>
      <c r="D1148" s="70">
        <v>9468</v>
      </c>
      <c r="E1148" s="69" t="s">
        <v>332</v>
      </c>
      <c r="F1148" s="69" t="s">
        <v>1694</v>
      </c>
      <c r="U1148" s="69"/>
      <c r="V1148" s="69"/>
      <c r="AR1148" s="74">
        <f t="shared" si="121"/>
        <v>0</v>
      </c>
      <c r="AT1148" s="69"/>
      <c r="BC1148" s="69"/>
      <c r="BD1148" s="69"/>
      <c r="CC1148" s="74">
        <f t="shared" si="124"/>
        <v>0</v>
      </c>
      <c r="CD1148" s="73">
        <f t="shared" si="125"/>
        <v>0</v>
      </c>
      <c r="CE1148" s="75">
        <f t="shared" si="126"/>
        <v>9468</v>
      </c>
      <c r="CF1148" s="3" t="str">
        <f t="shared" si="126"/>
        <v xml:space="preserve">لاب فقط </v>
      </c>
    </row>
    <row r="1149" spans="2:84" x14ac:dyDescent="0.25">
      <c r="B1149" s="69">
        <v>23</v>
      </c>
      <c r="C1149" s="82"/>
      <c r="D1149" s="70">
        <v>9469</v>
      </c>
      <c r="E1149" s="69" t="s">
        <v>332</v>
      </c>
      <c r="F1149" s="69" t="s">
        <v>1694</v>
      </c>
      <c r="U1149" s="69"/>
      <c r="V1149" s="69"/>
      <c r="AR1149" s="74">
        <f t="shared" si="121"/>
        <v>0</v>
      </c>
      <c r="AT1149" s="69"/>
      <c r="BC1149" s="69"/>
      <c r="BD1149" s="69"/>
      <c r="CC1149" s="74">
        <f t="shared" si="124"/>
        <v>0</v>
      </c>
      <c r="CD1149" s="73">
        <f t="shared" si="125"/>
        <v>0</v>
      </c>
      <c r="CE1149" s="75">
        <f t="shared" si="126"/>
        <v>9469</v>
      </c>
      <c r="CF1149" s="3" t="str">
        <f t="shared" si="126"/>
        <v xml:space="preserve">لاب فقط </v>
      </c>
    </row>
    <row r="1150" spans="2:84" x14ac:dyDescent="0.25">
      <c r="B1150" s="69">
        <v>24</v>
      </c>
      <c r="C1150" s="82"/>
      <c r="D1150" s="70">
        <v>9470</v>
      </c>
      <c r="E1150" s="69" t="s">
        <v>332</v>
      </c>
      <c r="F1150" s="69" t="s">
        <v>1694</v>
      </c>
      <c r="U1150" s="69"/>
      <c r="V1150" s="69"/>
      <c r="AR1150" s="74">
        <f t="shared" si="121"/>
        <v>0</v>
      </c>
      <c r="AT1150" s="69"/>
      <c r="BC1150" s="69"/>
      <c r="BD1150" s="69"/>
      <c r="CC1150" s="74">
        <f t="shared" si="124"/>
        <v>0</v>
      </c>
      <c r="CD1150" s="73">
        <f t="shared" si="125"/>
        <v>0</v>
      </c>
      <c r="CE1150" s="75">
        <f t="shared" si="126"/>
        <v>9470</v>
      </c>
      <c r="CF1150" s="3" t="str">
        <f t="shared" si="126"/>
        <v xml:space="preserve">لاب فقط </v>
      </c>
    </row>
    <row r="1151" spans="2:84" x14ac:dyDescent="0.25">
      <c r="B1151" s="69">
        <v>25</v>
      </c>
      <c r="C1151" s="82"/>
      <c r="D1151" s="70">
        <v>9471</v>
      </c>
      <c r="E1151" s="69" t="s">
        <v>332</v>
      </c>
      <c r="F1151" s="69" t="s">
        <v>1694</v>
      </c>
      <c r="U1151" s="69"/>
      <c r="V1151" s="69"/>
      <c r="AR1151" s="74">
        <f t="shared" si="121"/>
        <v>0</v>
      </c>
      <c r="AT1151" s="69"/>
      <c r="BC1151" s="69"/>
      <c r="BD1151" s="69"/>
      <c r="CC1151" s="74">
        <f t="shared" si="124"/>
        <v>0</v>
      </c>
      <c r="CD1151" s="73">
        <f t="shared" si="125"/>
        <v>0</v>
      </c>
      <c r="CE1151" s="75">
        <f t="shared" si="126"/>
        <v>9471</v>
      </c>
      <c r="CF1151" s="3" t="str">
        <f t="shared" si="126"/>
        <v xml:space="preserve">لاب فقط </v>
      </c>
    </row>
    <row r="1152" spans="2:84" x14ac:dyDescent="0.25">
      <c r="B1152" s="69">
        <v>26</v>
      </c>
      <c r="C1152" s="82"/>
      <c r="D1152" s="70">
        <v>9472</v>
      </c>
      <c r="E1152" s="69" t="s">
        <v>332</v>
      </c>
      <c r="F1152" s="69" t="s">
        <v>1694</v>
      </c>
      <c r="U1152" s="69"/>
      <c r="V1152" s="69"/>
      <c r="AR1152" s="74">
        <f t="shared" si="121"/>
        <v>0</v>
      </c>
      <c r="AT1152" s="69"/>
      <c r="BC1152" s="69"/>
      <c r="BD1152" s="69"/>
      <c r="CC1152" s="74">
        <f t="shared" si="124"/>
        <v>0</v>
      </c>
      <c r="CD1152" s="73">
        <f t="shared" si="125"/>
        <v>0</v>
      </c>
      <c r="CE1152" s="75">
        <f t="shared" si="126"/>
        <v>9472</v>
      </c>
      <c r="CF1152" s="3" t="str">
        <f t="shared" si="126"/>
        <v xml:space="preserve">لاب فقط </v>
      </c>
    </row>
    <row r="1153" spans="2:84" x14ac:dyDescent="0.25">
      <c r="B1153" s="69">
        <v>27</v>
      </c>
      <c r="C1153" s="82"/>
      <c r="D1153" s="70">
        <v>9473</v>
      </c>
      <c r="E1153" s="69" t="s">
        <v>332</v>
      </c>
      <c r="F1153" s="69" t="s">
        <v>1694</v>
      </c>
      <c r="U1153" s="69"/>
      <c r="V1153" s="69"/>
      <c r="AR1153" s="74">
        <f t="shared" si="121"/>
        <v>0</v>
      </c>
      <c r="AT1153" s="69"/>
      <c r="BC1153" s="69"/>
      <c r="BD1153" s="69"/>
      <c r="CC1153" s="74">
        <f t="shared" si="124"/>
        <v>0</v>
      </c>
      <c r="CD1153" s="73">
        <f t="shared" si="125"/>
        <v>0</v>
      </c>
      <c r="CE1153" s="75">
        <f t="shared" si="126"/>
        <v>9473</v>
      </c>
      <c r="CF1153" s="3" t="str">
        <f t="shared" si="126"/>
        <v xml:space="preserve">لاب فقط </v>
      </c>
    </row>
    <row r="1154" spans="2:84" x14ac:dyDescent="0.25">
      <c r="B1154" s="69">
        <v>28</v>
      </c>
      <c r="C1154" s="82"/>
      <c r="D1154" s="70">
        <v>9474</v>
      </c>
      <c r="E1154" s="69" t="s">
        <v>332</v>
      </c>
      <c r="F1154" s="69" t="s">
        <v>1694</v>
      </c>
      <c r="U1154" s="69"/>
      <c r="V1154" s="69"/>
      <c r="AR1154" s="74">
        <f t="shared" si="121"/>
        <v>0</v>
      </c>
      <c r="AT1154" s="69"/>
      <c r="BC1154" s="69"/>
      <c r="BD1154" s="69"/>
      <c r="CC1154" s="74">
        <f t="shared" si="124"/>
        <v>0</v>
      </c>
      <c r="CD1154" s="73">
        <f t="shared" si="125"/>
        <v>0</v>
      </c>
      <c r="CE1154" s="75">
        <f t="shared" si="126"/>
        <v>9474</v>
      </c>
      <c r="CF1154" s="3" t="str">
        <f t="shared" si="126"/>
        <v xml:space="preserve">لاب فقط </v>
      </c>
    </row>
    <row r="1155" spans="2:84" x14ac:dyDescent="0.25">
      <c r="B1155" s="69">
        <v>29</v>
      </c>
      <c r="C1155" s="82"/>
      <c r="D1155" s="70">
        <v>9475</v>
      </c>
      <c r="E1155" s="69" t="s">
        <v>332</v>
      </c>
      <c r="F1155" s="69" t="s">
        <v>1694</v>
      </c>
      <c r="U1155" s="69"/>
      <c r="V1155" s="69"/>
      <c r="AR1155" s="74">
        <f t="shared" si="121"/>
        <v>0</v>
      </c>
      <c r="AT1155" s="69"/>
      <c r="BC1155" s="69"/>
      <c r="BD1155" s="69"/>
      <c r="CC1155" s="74">
        <f t="shared" si="124"/>
        <v>0</v>
      </c>
      <c r="CD1155" s="73">
        <f t="shared" si="125"/>
        <v>0</v>
      </c>
      <c r="CE1155" s="75">
        <f t="shared" si="126"/>
        <v>9475</v>
      </c>
      <c r="CF1155" s="3" t="str">
        <f t="shared" si="126"/>
        <v xml:space="preserve">لاب فقط </v>
      </c>
    </row>
    <row r="1156" spans="2:84" x14ac:dyDescent="0.25">
      <c r="B1156" s="69">
        <v>30</v>
      </c>
      <c r="C1156" s="82"/>
      <c r="D1156" s="70">
        <v>9476</v>
      </c>
      <c r="E1156" s="69" t="s">
        <v>332</v>
      </c>
      <c r="F1156" s="69" t="s">
        <v>1694</v>
      </c>
      <c r="U1156" s="69"/>
      <c r="V1156" s="69"/>
      <c r="AR1156" s="74">
        <f t="shared" si="121"/>
        <v>0</v>
      </c>
      <c r="AT1156" s="69"/>
      <c r="BC1156" s="69"/>
      <c r="BD1156" s="69"/>
      <c r="CC1156" s="74">
        <f t="shared" si="124"/>
        <v>0</v>
      </c>
      <c r="CD1156" s="73">
        <f t="shared" si="125"/>
        <v>0</v>
      </c>
      <c r="CE1156" s="75">
        <f t="shared" si="126"/>
        <v>9476</v>
      </c>
      <c r="CF1156" s="3" t="str">
        <f t="shared" si="126"/>
        <v xml:space="preserve">لاب فقط </v>
      </c>
    </row>
    <row r="1157" spans="2:84" x14ac:dyDescent="0.25">
      <c r="B1157" s="69">
        <v>31</v>
      </c>
      <c r="C1157" s="82"/>
      <c r="D1157" s="70">
        <v>9477</v>
      </c>
      <c r="E1157" s="69" t="s">
        <v>332</v>
      </c>
      <c r="F1157" s="69" t="s">
        <v>1694</v>
      </c>
      <c r="U1157" s="69"/>
      <c r="V1157" s="69"/>
      <c r="AR1157" s="74">
        <f t="shared" ref="AR1157:AR1220" si="127">SUM(H1157:AQ1157)</f>
        <v>0</v>
      </c>
      <c r="AT1157" s="69"/>
      <c r="BC1157" s="69"/>
      <c r="BD1157" s="69"/>
      <c r="CC1157" s="74">
        <f t="shared" si="124"/>
        <v>0</v>
      </c>
      <c r="CD1157" s="73">
        <f t="shared" si="125"/>
        <v>0</v>
      </c>
      <c r="CE1157" s="75">
        <f t="shared" si="126"/>
        <v>9477</v>
      </c>
      <c r="CF1157" s="3" t="str">
        <f t="shared" si="126"/>
        <v xml:space="preserve">لاب فقط </v>
      </c>
    </row>
    <row r="1158" spans="2:84" x14ac:dyDescent="0.25">
      <c r="B1158" s="69">
        <v>32</v>
      </c>
      <c r="C1158" s="82"/>
      <c r="D1158" s="70">
        <v>9478</v>
      </c>
      <c r="E1158" s="69" t="s">
        <v>332</v>
      </c>
      <c r="F1158" s="69" t="s">
        <v>1694</v>
      </c>
      <c r="U1158" s="69"/>
      <c r="V1158" s="69"/>
      <c r="AR1158" s="74">
        <f t="shared" si="127"/>
        <v>0</v>
      </c>
      <c r="AT1158" s="69"/>
      <c r="BC1158" s="69"/>
      <c r="BD1158" s="69"/>
      <c r="CC1158" s="74">
        <f t="shared" si="124"/>
        <v>0</v>
      </c>
      <c r="CD1158" s="73">
        <f t="shared" si="125"/>
        <v>0</v>
      </c>
      <c r="CE1158" s="75">
        <f t="shared" si="126"/>
        <v>9478</v>
      </c>
      <c r="CF1158" s="3" t="str">
        <f t="shared" si="126"/>
        <v xml:space="preserve">لاب فقط </v>
      </c>
    </row>
    <row r="1159" spans="2:84" x14ac:dyDescent="0.25">
      <c r="B1159" s="69">
        <v>33</v>
      </c>
      <c r="C1159" s="82"/>
      <c r="D1159" s="70">
        <v>9479</v>
      </c>
      <c r="E1159" s="69" t="s">
        <v>332</v>
      </c>
      <c r="F1159" s="69" t="s">
        <v>1694</v>
      </c>
      <c r="U1159" s="69"/>
      <c r="V1159" s="69"/>
      <c r="AR1159" s="74">
        <f t="shared" si="127"/>
        <v>0</v>
      </c>
      <c r="AT1159" s="69"/>
      <c r="BC1159" s="69"/>
      <c r="BD1159" s="69"/>
      <c r="CC1159" s="74">
        <f t="shared" si="124"/>
        <v>0</v>
      </c>
      <c r="CD1159" s="73">
        <f t="shared" si="125"/>
        <v>0</v>
      </c>
      <c r="CE1159" s="75">
        <f t="shared" si="126"/>
        <v>9479</v>
      </c>
      <c r="CF1159" s="3" t="str">
        <f t="shared" si="126"/>
        <v xml:space="preserve">لاب فقط </v>
      </c>
    </row>
    <row r="1160" spans="2:84" x14ac:dyDescent="0.25">
      <c r="B1160" s="69">
        <v>34</v>
      </c>
      <c r="C1160" s="82"/>
      <c r="D1160" s="70">
        <v>9480</v>
      </c>
      <c r="E1160" s="69" t="s">
        <v>332</v>
      </c>
      <c r="F1160" s="69" t="s">
        <v>1694</v>
      </c>
      <c r="U1160" s="69"/>
      <c r="V1160" s="69"/>
      <c r="AR1160" s="74">
        <f t="shared" si="127"/>
        <v>0</v>
      </c>
      <c r="AT1160" s="69"/>
      <c r="BC1160" s="69"/>
      <c r="BD1160" s="69"/>
      <c r="CC1160" s="74">
        <f t="shared" si="124"/>
        <v>0</v>
      </c>
      <c r="CD1160" s="73">
        <f t="shared" si="125"/>
        <v>0</v>
      </c>
      <c r="CE1160" s="75">
        <f t="shared" si="126"/>
        <v>9480</v>
      </c>
      <c r="CF1160" s="3" t="str">
        <f t="shared" si="126"/>
        <v xml:space="preserve">لاب فقط </v>
      </c>
    </row>
    <row r="1161" spans="2:84" x14ac:dyDescent="0.25">
      <c r="B1161" s="69">
        <v>35</v>
      </c>
      <c r="C1161" s="82"/>
      <c r="D1161" s="70">
        <v>9481</v>
      </c>
      <c r="E1161" s="69" t="s">
        <v>332</v>
      </c>
      <c r="F1161" s="69" t="s">
        <v>1694</v>
      </c>
      <c r="U1161" s="69"/>
      <c r="V1161" s="69"/>
      <c r="AR1161" s="74">
        <f t="shared" si="127"/>
        <v>0</v>
      </c>
      <c r="AT1161" s="69"/>
      <c r="BC1161" s="69"/>
      <c r="BD1161" s="69"/>
      <c r="CC1161" s="74">
        <f t="shared" si="124"/>
        <v>0</v>
      </c>
      <c r="CD1161" s="73">
        <f t="shared" si="125"/>
        <v>0</v>
      </c>
      <c r="CE1161" s="75">
        <f t="shared" si="126"/>
        <v>9481</v>
      </c>
      <c r="CF1161" s="3" t="str">
        <f t="shared" si="126"/>
        <v xml:space="preserve">لاب فقط </v>
      </c>
    </row>
    <row r="1162" spans="2:84" x14ac:dyDescent="0.25">
      <c r="B1162" s="69">
        <v>36</v>
      </c>
      <c r="C1162" s="82"/>
      <c r="D1162" s="70">
        <v>9482</v>
      </c>
      <c r="E1162" s="69" t="s">
        <v>332</v>
      </c>
      <c r="F1162" s="69" t="s">
        <v>1694</v>
      </c>
      <c r="U1162" s="69"/>
      <c r="V1162" s="69"/>
      <c r="AR1162" s="74">
        <f t="shared" si="127"/>
        <v>0</v>
      </c>
      <c r="AT1162" s="69"/>
      <c r="BC1162" s="69"/>
      <c r="BD1162" s="69"/>
      <c r="CC1162" s="74">
        <f t="shared" si="124"/>
        <v>0</v>
      </c>
      <c r="CD1162" s="73">
        <f t="shared" si="125"/>
        <v>0</v>
      </c>
      <c r="CE1162" s="75">
        <f t="shared" si="126"/>
        <v>9482</v>
      </c>
      <c r="CF1162" s="3" t="str">
        <f t="shared" si="126"/>
        <v xml:space="preserve">لاب فقط </v>
      </c>
    </row>
    <row r="1163" spans="2:84" x14ac:dyDescent="0.25">
      <c r="B1163" s="69">
        <v>37</v>
      </c>
      <c r="C1163" s="82"/>
      <c r="D1163" s="70">
        <v>9483</v>
      </c>
      <c r="E1163" s="69" t="s">
        <v>332</v>
      </c>
      <c r="F1163" s="69" t="s">
        <v>1694</v>
      </c>
      <c r="U1163" s="69"/>
      <c r="V1163" s="69"/>
      <c r="AR1163" s="74">
        <f t="shared" si="127"/>
        <v>0</v>
      </c>
      <c r="AT1163" s="69"/>
      <c r="BC1163" s="69"/>
      <c r="BD1163" s="69"/>
      <c r="CC1163" s="74">
        <f t="shared" si="124"/>
        <v>0</v>
      </c>
      <c r="CD1163" s="73">
        <f t="shared" si="125"/>
        <v>0</v>
      </c>
      <c r="CE1163" s="75">
        <f t="shared" si="126"/>
        <v>9483</v>
      </c>
      <c r="CF1163" s="3" t="str">
        <f t="shared" si="126"/>
        <v xml:space="preserve">لاب فقط </v>
      </c>
    </row>
    <row r="1164" spans="2:84" x14ac:dyDescent="0.25">
      <c r="B1164" s="69">
        <v>38</v>
      </c>
      <c r="C1164" s="82"/>
      <c r="D1164" s="70">
        <v>9484</v>
      </c>
      <c r="E1164" s="69" t="s">
        <v>332</v>
      </c>
      <c r="F1164" s="69" t="s">
        <v>1694</v>
      </c>
      <c r="U1164" s="69"/>
      <c r="V1164" s="69"/>
      <c r="AR1164" s="74">
        <f t="shared" si="127"/>
        <v>0</v>
      </c>
      <c r="AT1164" s="69"/>
      <c r="BC1164" s="69"/>
      <c r="BD1164" s="69"/>
      <c r="CC1164" s="74">
        <f t="shared" si="124"/>
        <v>0</v>
      </c>
      <c r="CD1164" s="73">
        <f t="shared" si="125"/>
        <v>0</v>
      </c>
      <c r="CE1164" s="75">
        <f t="shared" si="126"/>
        <v>9484</v>
      </c>
      <c r="CF1164" s="3" t="str">
        <f t="shared" si="126"/>
        <v xml:space="preserve">لاب فقط </v>
      </c>
    </row>
    <row r="1165" spans="2:84" x14ac:dyDescent="0.25">
      <c r="B1165" s="69">
        <v>39</v>
      </c>
      <c r="C1165" s="82"/>
      <c r="D1165" s="70">
        <v>9485</v>
      </c>
      <c r="E1165" s="69" t="s">
        <v>332</v>
      </c>
      <c r="F1165" s="69" t="s">
        <v>1694</v>
      </c>
      <c r="U1165" s="69"/>
      <c r="V1165" s="69"/>
      <c r="AR1165" s="74">
        <f t="shared" si="127"/>
        <v>0</v>
      </c>
      <c r="AT1165" s="69"/>
      <c r="BC1165" s="69"/>
      <c r="BD1165" s="69"/>
      <c r="CC1165" s="74">
        <f t="shared" si="124"/>
        <v>0</v>
      </c>
      <c r="CD1165" s="73">
        <f t="shared" si="125"/>
        <v>0</v>
      </c>
      <c r="CE1165" s="75">
        <f t="shared" si="126"/>
        <v>9485</v>
      </c>
      <c r="CF1165" s="3" t="str">
        <f t="shared" si="126"/>
        <v xml:space="preserve">لاب فقط </v>
      </c>
    </row>
    <row r="1166" spans="2:84" x14ac:dyDescent="0.25">
      <c r="B1166" s="69">
        <v>40</v>
      </c>
      <c r="C1166" s="82"/>
      <c r="D1166" s="70">
        <v>9486</v>
      </c>
      <c r="E1166" s="69" t="s">
        <v>332</v>
      </c>
      <c r="F1166" s="69" t="s">
        <v>1694</v>
      </c>
      <c r="U1166" s="69"/>
      <c r="V1166" s="69"/>
      <c r="AR1166" s="74">
        <f t="shared" si="127"/>
        <v>0</v>
      </c>
      <c r="AT1166" s="69"/>
      <c r="BC1166" s="69"/>
      <c r="BD1166" s="69"/>
      <c r="CC1166" s="74">
        <f t="shared" si="124"/>
        <v>0</v>
      </c>
      <c r="CD1166" s="73">
        <f t="shared" si="125"/>
        <v>0</v>
      </c>
      <c r="CE1166" s="75">
        <f t="shared" si="126"/>
        <v>9486</v>
      </c>
      <c r="CF1166" s="3" t="str">
        <f t="shared" si="126"/>
        <v xml:space="preserve">لاب فقط </v>
      </c>
    </row>
    <row r="1167" spans="2:84" x14ac:dyDescent="0.25">
      <c r="B1167" s="69">
        <v>41</v>
      </c>
      <c r="C1167" s="82"/>
      <c r="D1167" s="70">
        <v>9487</v>
      </c>
      <c r="E1167" s="69" t="s">
        <v>332</v>
      </c>
      <c r="F1167" s="69" t="s">
        <v>1694</v>
      </c>
      <c r="U1167" s="69"/>
      <c r="V1167" s="69"/>
      <c r="AR1167" s="74">
        <f t="shared" si="127"/>
        <v>0</v>
      </c>
      <c r="AT1167" s="69"/>
      <c r="BC1167" s="69"/>
      <c r="BD1167" s="69"/>
      <c r="CC1167" s="74">
        <f t="shared" si="124"/>
        <v>0</v>
      </c>
      <c r="CD1167" s="73">
        <f t="shared" si="125"/>
        <v>0</v>
      </c>
      <c r="CE1167" s="75">
        <f t="shared" si="126"/>
        <v>9487</v>
      </c>
      <c r="CF1167" s="3" t="str">
        <f t="shared" si="126"/>
        <v xml:space="preserve">لاب فقط </v>
      </c>
    </row>
    <row r="1168" spans="2:84" x14ac:dyDescent="0.25">
      <c r="B1168" s="69">
        <v>42</v>
      </c>
      <c r="C1168" s="82"/>
      <c r="D1168" s="70">
        <v>9488</v>
      </c>
      <c r="E1168" s="69" t="s">
        <v>332</v>
      </c>
      <c r="F1168" s="69" t="s">
        <v>1694</v>
      </c>
      <c r="U1168" s="69"/>
      <c r="V1168" s="69"/>
      <c r="AR1168" s="74">
        <f t="shared" si="127"/>
        <v>0</v>
      </c>
      <c r="AT1168" s="69"/>
      <c r="BC1168" s="69"/>
      <c r="BD1168" s="69"/>
      <c r="CC1168" s="74">
        <f t="shared" si="124"/>
        <v>0</v>
      </c>
      <c r="CD1168" s="73">
        <f t="shared" si="125"/>
        <v>0</v>
      </c>
      <c r="CE1168" s="75">
        <f t="shared" si="126"/>
        <v>9488</v>
      </c>
      <c r="CF1168" s="3" t="str">
        <f t="shared" si="126"/>
        <v xml:space="preserve">لاب فقط </v>
      </c>
    </row>
    <row r="1169" spans="2:84" x14ac:dyDescent="0.25">
      <c r="B1169" s="69">
        <v>43</v>
      </c>
      <c r="C1169" s="82"/>
      <c r="D1169" s="70">
        <v>9489</v>
      </c>
      <c r="E1169" s="69" t="s">
        <v>332</v>
      </c>
      <c r="F1169" s="69" t="s">
        <v>1694</v>
      </c>
      <c r="U1169" s="69"/>
      <c r="V1169" s="69"/>
      <c r="AR1169" s="74">
        <f t="shared" si="127"/>
        <v>0</v>
      </c>
      <c r="AT1169" s="69"/>
      <c r="BC1169" s="69"/>
      <c r="BD1169" s="69"/>
      <c r="CC1169" s="74">
        <f t="shared" si="124"/>
        <v>0</v>
      </c>
      <c r="CD1169" s="73">
        <f t="shared" si="125"/>
        <v>0</v>
      </c>
      <c r="CE1169" s="75">
        <f t="shared" si="126"/>
        <v>9489</v>
      </c>
      <c r="CF1169" s="3" t="str">
        <f t="shared" si="126"/>
        <v xml:space="preserve">لاب فقط </v>
      </c>
    </row>
    <row r="1170" spans="2:84" x14ac:dyDescent="0.25">
      <c r="B1170" s="69">
        <v>44</v>
      </c>
      <c r="C1170" s="82"/>
      <c r="D1170" s="70">
        <v>9490</v>
      </c>
      <c r="E1170" s="69" t="s">
        <v>332</v>
      </c>
      <c r="F1170" s="69" t="s">
        <v>1694</v>
      </c>
      <c r="U1170" s="69"/>
      <c r="V1170" s="69"/>
      <c r="AR1170" s="74">
        <f t="shared" si="127"/>
        <v>0</v>
      </c>
      <c r="AT1170" s="69"/>
      <c r="BC1170" s="69"/>
      <c r="BD1170" s="69"/>
      <c r="CC1170" s="74">
        <f t="shared" si="124"/>
        <v>0</v>
      </c>
      <c r="CD1170" s="73">
        <f t="shared" si="125"/>
        <v>0</v>
      </c>
      <c r="CE1170" s="75">
        <f t="shared" si="126"/>
        <v>9490</v>
      </c>
      <c r="CF1170" s="3" t="str">
        <f t="shared" si="126"/>
        <v xml:space="preserve">لاب فقط </v>
      </c>
    </row>
    <row r="1171" spans="2:84" x14ac:dyDescent="0.25">
      <c r="B1171" s="69">
        <v>45</v>
      </c>
      <c r="C1171" s="82"/>
      <c r="D1171" s="70">
        <v>9491</v>
      </c>
      <c r="E1171" s="69" t="s">
        <v>332</v>
      </c>
      <c r="F1171" s="69" t="s">
        <v>1694</v>
      </c>
      <c r="U1171" s="69"/>
      <c r="V1171" s="69"/>
      <c r="AR1171" s="74">
        <f t="shared" si="127"/>
        <v>0</v>
      </c>
      <c r="AT1171" s="69"/>
      <c r="BC1171" s="69"/>
      <c r="BD1171" s="69"/>
      <c r="CC1171" s="74">
        <f t="shared" si="124"/>
        <v>0</v>
      </c>
      <c r="CD1171" s="73">
        <f t="shared" si="125"/>
        <v>0</v>
      </c>
      <c r="CE1171" s="75">
        <f t="shared" si="126"/>
        <v>9491</v>
      </c>
      <c r="CF1171" s="3" t="str">
        <f t="shared" si="126"/>
        <v xml:space="preserve">لاب فقط </v>
      </c>
    </row>
    <row r="1172" spans="2:84" x14ac:dyDescent="0.25">
      <c r="B1172" s="69">
        <v>46</v>
      </c>
      <c r="C1172" s="82"/>
      <c r="D1172" s="70">
        <v>9492</v>
      </c>
      <c r="E1172" s="69" t="s">
        <v>332</v>
      </c>
      <c r="F1172" s="69" t="s">
        <v>1694</v>
      </c>
      <c r="U1172" s="69"/>
      <c r="V1172" s="69"/>
      <c r="AR1172" s="74">
        <f t="shared" si="127"/>
        <v>0</v>
      </c>
      <c r="AT1172" s="69"/>
      <c r="BC1172" s="69"/>
      <c r="BD1172" s="69"/>
      <c r="CC1172" s="74">
        <f t="shared" si="124"/>
        <v>0</v>
      </c>
      <c r="CD1172" s="73">
        <f t="shared" si="125"/>
        <v>0</v>
      </c>
      <c r="CE1172" s="75">
        <f t="shared" si="126"/>
        <v>9492</v>
      </c>
      <c r="CF1172" s="3" t="str">
        <f t="shared" si="126"/>
        <v xml:space="preserve">لاب فقط </v>
      </c>
    </row>
    <row r="1173" spans="2:84" x14ac:dyDescent="0.25">
      <c r="B1173" s="69">
        <v>47</v>
      </c>
      <c r="C1173" s="82"/>
      <c r="D1173" s="70">
        <v>9493</v>
      </c>
      <c r="E1173" s="69" t="s">
        <v>332</v>
      </c>
      <c r="F1173" s="69" t="s">
        <v>1694</v>
      </c>
      <c r="U1173" s="69"/>
      <c r="V1173" s="69"/>
      <c r="AR1173" s="74">
        <f t="shared" si="127"/>
        <v>0</v>
      </c>
      <c r="AT1173" s="69"/>
      <c r="BC1173" s="69"/>
      <c r="BD1173" s="69"/>
      <c r="CC1173" s="74">
        <f t="shared" si="124"/>
        <v>0</v>
      </c>
      <c r="CD1173" s="73">
        <f t="shared" si="125"/>
        <v>0</v>
      </c>
      <c r="CE1173" s="75">
        <f t="shared" si="126"/>
        <v>9493</v>
      </c>
      <c r="CF1173" s="3" t="str">
        <f t="shared" si="126"/>
        <v xml:space="preserve">لاب فقط </v>
      </c>
    </row>
    <row r="1174" spans="2:84" x14ac:dyDescent="0.25">
      <c r="B1174" s="69">
        <v>48</v>
      </c>
      <c r="C1174" s="82"/>
      <c r="D1174" s="70">
        <v>9494</v>
      </c>
      <c r="E1174" s="69" t="s">
        <v>332</v>
      </c>
      <c r="F1174" s="69" t="s">
        <v>1694</v>
      </c>
      <c r="U1174" s="69"/>
      <c r="V1174" s="69"/>
      <c r="AR1174" s="74">
        <f t="shared" si="127"/>
        <v>0</v>
      </c>
      <c r="AT1174" s="69"/>
      <c r="BC1174" s="69"/>
      <c r="BD1174" s="69"/>
      <c r="CC1174" s="74">
        <f t="shared" si="124"/>
        <v>0</v>
      </c>
      <c r="CD1174" s="73">
        <f t="shared" si="125"/>
        <v>0</v>
      </c>
      <c r="CE1174" s="75">
        <f t="shared" si="126"/>
        <v>9494</v>
      </c>
      <c r="CF1174" s="3" t="str">
        <f t="shared" si="126"/>
        <v xml:space="preserve">لاب فقط </v>
      </c>
    </row>
    <row r="1175" spans="2:84" x14ac:dyDescent="0.25">
      <c r="B1175" s="69">
        <v>49</v>
      </c>
      <c r="C1175" s="82"/>
      <c r="D1175" s="70">
        <v>9495</v>
      </c>
      <c r="E1175" s="69" t="s">
        <v>332</v>
      </c>
      <c r="F1175" s="69" t="s">
        <v>1694</v>
      </c>
      <c r="U1175" s="69"/>
      <c r="V1175" s="69"/>
      <c r="AR1175" s="74">
        <f t="shared" si="127"/>
        <v>0</v>
      </c>
      <c r="AT1175" s="69"/>
      <c r="BC1175" s="69"/>
      <c r="BD1175" s="69"/>
      <c r="CC1175" s="74">
        <f t="shared" si="124"/>
        <v>0</v>
      </c>
      <c r="CD1175" s="73">
        <f t="shared" si="125"/>
        <v>0</v>
      </c>
      <c r="CE1175" s="75">
        <f t="shared" si="126"/>
        <v>9495</v>
      </c>
      <c r="CF1175" s="3" t="str">
        <f t="shared" si="126"/>
        <v xml:space="preserve">لاب فقط </v>
      </c>
    </row>
    <row r="1176" spans="2:84" x14ac:dyDescent="0.25">
      <c r="B1176" s="69">
        <v>50</v>
      </c>
      <c r="C1176" s="82"/>
      <c r="D1176" s="70">
        <v>9496</v>
      </c>
      <c r="E1176" s="69" t="s">
        <v>332</v>
      </c>
      <c r="F1176" s="69" t="s">
        <v>1694</v>
      </c>
      <c r="U1176" s="69"/>
      <c r="V1176" s="69"/>
      <c r="AR1176" s="74">
        <f t="shared" si="127"/>
        <v>0</v>
      </c>
      <c r="AT1176" s="69"/>
      <c r="BC1176" s="69"/>
      <c r="BD1176" s="69"/>
      <c r="CC1176" s="74">
        <f t="shared" si="124"/>
        <v>0</v>
      </c>
      <c r="CD1176" s="73">
        <f t="shared" si="125"/>
        <v>0</v>
      </c>
      <c r="CE1176" s="75">
        <f t="shared" si="126"/>
        <v>9496</v>
      </c>
      <c r="CF1176" s="3" t="str">
        <f t="shared" si="126"/>
        <v xml:space="preserve">لاب فقط </v>
      </c>
    </row>
    <row r="1177" spans="2:84" x14ac:dyDescent="0.25">
      <c r="B1177" s="69">
        <v>51</v>
      </c>
      <c r="C1177" s="82"/>
      <c r="D1177" s="70">
        <v>9497</v>
      </c>
      <c r="E1177" s="69" t="s">
        <v>332</v>
      </c>
      <c r="F1177" s="69" t="s">
        <v>1694</v>
      </c>
      <c r="U1177" s="69"/>
      <c r="V1177" s="69"/>
      <c r="AR1177" s="74">
        <f t="shared" si="127"/>
        <v>0</v>
      </c>
      <c r="AT1177" s="69"/>
      <c r="BC1177" s="69"/>
      <c r="BD1177" s="69"/>
      <c r="CC1177" s="74">
        <f t="shared" si="124"/>
        <v>0</v>
      </c>
      <c r="CD1177" s="73">
        <f t="shared" si="125"/>
        <v>0</v>
      </c>
      <c r="CE1177" s="75">
        <f t="shared" si="126"/>
        <v>9497</v>
      </c>
      <c r="CF1177" s="3" t="str">
        <f t="shared" si="126"/>
        <v xml:space="preserve">لاب فقط </v>
      </c>
    </row>
    <row r="1178" spans="2:84" x14ac:dyDescent="0.25">
      <c r="B1178" s="69">
        <v>52</v>
      </c>
      <c r="C1178" s="82"/>
      <c r="D1178" s="70">
        <v>9498</v>
      </c>
      <c r="E1178" s="69" t="s">
        <v>332</v>
      </c>
      <c r="F1178" s="69" t="s">
        <v>1694</v>
      </c>
      <c r="U1178" s="69"/>
      <c r="V1178" s="69"/>
      <c r="AR1178" s="74">
        <f t="shared" si="127"/>
        <v>0</v>
      </c>
      <c r="AT1178" s="69"/>
      <c r="BC1178" s="69"/>
      <c r="BD1178" s="69"/>
      <c r="CC1178" s="74">
        <f t="shared" si="124"/>
        <v>0</v>
      </c>
      <c r="CD1178" s="73">
        <f t="shared" si="125"/>
        <v>0</v>
      </c>
      <c r="CE1178" s="75">
        <f t="shared" si="126"/>
        <v>9498</v>
      </c>
      <c r="CF1178" s="3" t="str">
        <f t="shared" si="126"/>
        <v xml:space="preserve">لاب فقط </v>
      </c>
    </row>
    <row r="1179" spans="2:84" x14ac:dyDescent="0.25">
      <c r="B1179" s="69">
        <v>53</v>
      </c>
      <c r="C1179" s="82"/>
      <c r="D1179" s="70">
        <v>9499</v>
      </c>
      <c r="E1179" s="69" t="s">
        <v>332</v>
      </c>
      <c r="F1179" s="69" t="s">
        <v>1694</v>
      </c>
      <c r="U1179" s="69"/>
      <c r="V1179" s="69"/>
      <c r="AR1179" s="74">
        <f t="shared" si="127"/>
        <v>0</v>
      </c>
      <c r="AT1179" s="69"/>
      <c r="BC1179" s="69"/>
      <c r="BD1179" s="69"/>
      <c r="CC1179" s="74">
        <f t="shared" si="124"/>
        <v>0</v>
      </c>
      <c r="CD1179" s="73">
        <f t="shared" si="125"/>
        <v>0</v>
      </c>
      <c r="CE1179" s="75">
        <f t="shared" si="126"/>
        <v>9499</v>
      </c>
      <c r="CF1179" s="3" t="str">
        <f t="shared" si="126"/>
        <v xml:space="preserve">لاب فقط </v>
      </c>
    </row>
    <row r="1180" spans="2:84" x14ac:dyDescent="0.25">
      <c r="B1180" s="69">
        <v>54</v>
      </c>
      <c r="C1180" s="82"/>
      <c r="D1180" s="70">
        <v>9500</v>
      </c>
      <c r="E1180" s="69" t="s">
        <v>332</v>
      </c>
      <c r="F1180" s="69" t="s">
        <v>1694</v>
      </c>
      <c r="U1180" s="69"/>
      <c r="V1180" s="69"/>
      <c r="AR1180" s="74">
        <f t="shared" si="127"/>
        <v>0</v>
      </c>
      <c r="AT1180" s="69"/>
      <c r="BC1180" s="69"/>
      <c r="BD1180" s="69"/>
      <c r="CC1180" s="74">
        <f t="shared" si="124"/>
        <v>0</v>
      </c>
      <c r="CD1180" s="73">
        <f t="shared" si="125"/>
        <v>0</v>
      </c>
      <c r="CE1180" s="75">
        <f t="shared" si="126"/>
        <v>9500</v>
      </c>
      <c r="CF1180" s="3" t="str">
        <f t="shared" si="126"/>
        <v xml:space="preserve">لاب فقط </v>
      </c>
    </row>
    <row r="1181" spans="2:84" x14ac:dyDescent="0.25">
      <c r="B1181" s="69">
        <v>55</v>
      </c>
      <c r="C1181" s="82"/>
      <c r="D1181" s="70">
        <v>9501</v>
      </c>
      <c r="E1181" s="69" t="s">
        <v>332</v>
      </c>
      <c r="F1181" s="69" t="s">
        <v>1694</v>
      </c>
      <c r="U1181" s="69"/>
      <c r="V1181" s="69"/>
      <c r="AR1181" s="74">
        <f t="shared" si="127"/>
        <v>0</v>
      </c>
      <c r="AT1181" s="69"/>
      <c r="BC1181" s="69"/>
      <c r="BD1181" s="69"/>
      <c r="CC1181" s="74">
        <f t="shared" si="124"/>
        <v>0</v>
      </c>
      <c r="CD1181" s="73">
        <f t="shared" si="125"/>
        <v>0</v>
      </c>
      <c r="CE1181" s="75">
        <f t="shared" si="126"/>
        <v>9501</v>
      </c>
      <c r="CF1181" s="3" t="str">
        <f t="shared" si="126"/>
        <v xml:space="preserve">لاب فقط </v>
      </c>
    </row>
    <row r="1182" spans="2:84" x14ac:dyDescent="0.25">
      <c r="B1182" s="69">
        <v>56</v>
      </c>
      <c r="C1182" s="82"/>
      <c r="D1182" s="70">
        <v>9502</v>
      </c>
      <c r="E1182" s="69" t="s">
        <v>332</v>
      </c>
      <c r="F1182" s="69" t="s">
        <v>1694</v>
      </c>
      <c r="U1182" s="69"/>
      <c r="V1182" s="69"/>
      <c r="AR1182" s="74">
        <f t="shared" si="127"/>
        <v>0</v>
      </c>
      <c r="AT1182" s="69"/>
      <c r="BC1182" s="69"/>
      <c r="BD1182" s="69"/>
      <c r="CC1182" s="74">
        <f t="shared" si="124"/>
        <v>0</v>
      </c>
      <c r="CD1182" s="73">
        <f t="shared" si="125"/>
        <v>0</v>
      </c>
      <c r="CE1182" s="75">
        <f t="shared" si="126"/>
        <v>9502</v>
      </c>
      <c r="CF1182" s="3" t="str">
        <f t="shared" si="126"/>
        <v xml:space="preserve">لاب فقط </v>
      </c>
    </row>
    <row r="1183" spans="2:84" x14ac:dyDescent="0.25">
      <c r="B1183" s="69">
        <v>57</v>
      </c>
      <c r="C1183" s="82"/>
      <c r="D1183" s="70">
        <v>9503</v>
      </c>
      <c r="E1183" s="69" t="s">
        <v>332</v>
      </c>
      <c r="F1183" s="69" t="s">
        <v>1694</v>
      </c>
      <c r="U1183" s="69"/>
      <c r="V1183" s="69"/>
      <c r="AR1183" s="74">
        <f t="shared" si="127"/>
        <v>0</v>
      </c>
      <c r="AT1183" s="69"/>
      <c r="BC1183" s="69"/>
      <c r="BD1183" s="69"/>
      <c r="CC1183" s="74">
        <f t="shared" si="124"/>
        <v>0</v>
      </c>
      <c r="CD1183" s="73">
        <f t="shared" si="125"/>
        <v>0</v>
      </c>
      <c r="CE1183" s="75">
        <f t="shared" si="126"/>
        <v>9503</v>
      </c>
      <c r="CF1183" s="3" t="str">
        <f t="shared" si="126"/>
        <v xml:space="preserve">لاب فقط </v>
      </c>
    </row>
    <row r="1184" spans="2:84" x14ac:dyDescent="0.25">
      <c r="B1184" s="69">
        <v>58</v>
      </c>
      <c r="C1184" s="82"/>
      <c r="D1184" s="70">
        <v>9504</v>
      </c>
      <c r="E1184" s="69" t="s">
        <v>332</v>
      </c>
      <c r="F1184" s="69" t="s">
        <v>1694</v>
      </c>
      <c r="U1184" s="69"/>
      <c r="V1184" s="69"/>
      <c r="AR1184" s="74">
        <f t="shared" si="127"/>
        <v>0</v>
      </c>
      <c r="AT1184" s="69"/>
      <c r="BC1184" s="69"/>
      <c r="BD1184" s="69"/>
      <c r="CC1184" s="74">
        <f t="shared" si="124"/>
        <v>0</v>
      </c>
      <c r="CD1184" s="73">
        <f t="shared" si="125"/>
        <v>0</v>
      </c>
      <c r="CE1184" s="75">
        <f t="shared" si="126"/>
        <v>9504</v>
      </c>
      <c r="CF1184" s="3" t="str">
        <f t="shared" si="126"/>
        <v xml:space="preserve">لاب فقط </v>
      </c>
    </row>
    <row r="1185" spans="2:84" x14ac:dyDescent="0.25">
      <c r="B1185" s="69">
        <v>59</v>
      </c>
      <c r="C1185" s="82"/>
      <c r="D1185" s="70">
        <v>9505</v>
      </c>
      <c r="E1185" s="69" t="s">
        <v>332</v>
      </c>
      <c r="F1185" s="69" t="s">
        <v>1694</v>
      </c>
      <c r="U1185" s="69"/>
      <c r="V1185" s="69"/>
      <c r="AR1185" s="74">
        <f t="shared" si="127"/>
        <v>0</v>
      </c>
      <c r="AT1185" s="69"/>
      <c r="BC1185" s="69"/>
      <c r="BD1185" s="69"/>
      <c r="CC1185" s="74">
        <f t="shared" si="124"/>
        <v>0</v>
      </c>
      <c r="CD1185" s="73">
        <f t="shared" si="125"/>
        <v>0</v>
      </c>
      <c r="CE1185" s="75">
        <f t="shared" si="126"/>
        <v>9505</v>
      </c>
      <c r="CF1185" s="3" t="str">
        <f t="shared" si="126"/>
        <v xml:space="preserve">لاب فقط </v>
      </c>
    </row>
    <row r="1186" spans="2:84" x14ac:dyDescent="0.25">
      <c r="B1186" s="69">
        <v>60</v>
      </c>
      <c r="C1186" s="82"/>
      <c r="D1186" s="70">
        <v>9506</v>
      </c>
      <c r="E1186" s="69" t="s">
        <v>332</v>
      </c>
      <c r="F1186" s="69" t="s">
        <v>1694</v>
      </c>
      <c r="U1186" s="69"/>
      <c r="V1186" s="69"/>
      <c r="AR1186" s="74">
        <f t="shared" si="127"/>
        <v>0</v>
      </c>
      <c r="AT1186" s="69"/>
      <c r="BC1186" s="69"/>
      <c r="BD1186" s="69"/>
      <c r="CC1186" s="74">
        <f t="shared" si="124"/>
        <v>0</v>
      </c>
      <c r="CD1186" s="73">
        <f t="shared" si="125"/>
        <v>0</v>
      </c>
      <c r="CE1186" s="75">
        <f t="shared" si="126"/>
        <v>9506</v>
      </c>
      <c r="CF1186" s="3" t="str">
        <f t="shared" si="126"/>
        <v xml:space="preserve">لاب فقط </v>
      </c>
    </row>
    <row r="1187" spans="2:84" x14ac:dyDescent="0.25">
      <c r="B1187" s="69">
        <v>61</v>
      </c>
      <c r="C1187" s="82"/>
      <c r="D1187" s="70">
        <v>9507</v>
      </c>
      <c r="E1187" s="69" t="s">
        <v>332</v>
      </c>
      <c r="F1187" s="69" t="s">
        <v>1694</v>
      </c>
      <c r="U1187" s="69"/>
      <c r="V1187" s="69"/>
      <c r="AR1187" s="74">
        <f t="shared" si="127"/>
        <v>0</v>
      </c>
      <c r="AT1187" s="69"/>
      <c r="BC1187" s="69"/>
      <c r="BD1187" s="69"/>
      <c r="CC1187" s="74">
        <f t="shared" si="124"/>
        <v>0</v>
      </c>
      <c r="CD1187" s="73">
        <f t="shared" si="125"/>
        <v>0</v>
      </c>
      <c r="CE1187" s="75">
        <f t="shared" si="126"/>
        <v>9507</v>
      </c>
      <c r="CF1187" s="3" t="str">
        <f t="shared" si="126"/>
        <v xml:space="preserve">لاب فقط </v>
      </c>
    </row>
    <row r="1188" spans="2:84" x14ac:dyDescent="0.25">
      <c r="B1188" s="69">
        <v>62</v>
      </c>
      <c r="C1188" s="82"/>
      <c r="D1188" s="70">
        <v>9508</v>
      </c>
      <c r="E1188" s="69" t="s">
        <v>332</v>
      </c>
      <c r="F1188" s="69" t="s">
        <v>1694</v>
      </c>
      <c r="U1188" s="69"/>
      <c r="V1188" s="69"/>
      <c r="AR1188" s="74">
        <f t="shared" si="127"/>
        <v>0</v>
      </c>
      <c r="AT1188" s="69"/>
      <c r="BC1188" s="69"/>
      <c r="BD1188" s="69"/>
      <c r="CC1188" s="74">
        <f t="shared" si="124"/>
        <v>0</v>
      </c>
      <c r="CD1188" s="73">
        <f t="shared" si="125"/>
        <v>0</v>
      </c>
      <c r="CE1188" s="75">
        <f t="shared" si="126"/>
        <v>9508</v>
      </c>
      <c r="CF1188" s="3" t="str">
        <f t="shared" si="126"/>
        <v xml:space="preserve">لاب فقط </v>
      </c>
    </row>
    <row r="1189" spans="2:84" x14ac:dyDescent="0.25">
      <c r="B1189" s="69">
        <v>63</v>
      </c>
      <c r="C1189" s="82"/>
      <c r="D1189" s="70">
        <v>9509</v>
      </c>
      <c r="E1189" s="69" t="s">
        <v>332</v>
      </c>
      <c r="F1189" s="69" t="s">
        <v>1694</v>
      </c>
      <c r="U1189" s="69"/>
      <c r="V1189" s="69"/>
      <c r="AR1189" s="74">
        <f t="shared" si="127"/>
        <v>0</v>
      </c>
      <c r="AT1189" s="69"/>
      <c r="BC1189" s="69"/>
      <c r="BD1189" s="69"/>
      <c r="CC1189" s="74">
        <f t="shared" si="124"/>
        <v>0</v>
      </c>
      <c r="CD1189" s="73">
        <f t="shared" si="125"/>
        <v>0</v>
      </c>
      <c r="CE1189" s="75">
        <f t="shared" si="126"/>
        <v>9509</v>
      </c>
      <c r="CF1189" s="3" t="str">
        <f t="shared" si="126"/>
        <v xml:space="preserve">لاب فقط </v>
      </c>
    </row>
    <row r="1190" spans="2:84" x14ac:dyDescent="0.25">
      <c r="B1190" s="69">
        <v>64</v>
      </c>
      <c r="C1190" s="82"/>
      <c r="D1190" s="70">
        <v>9510</v>
      </c>
      <c r="E1190" s="69" t="s">
        <v>332</v>
      </c>
      <c r="F1190" s="69" t="s">
        <v>1694</v>
      </c>
      <c r="U1190" s="69"/>
      <c r="V1190" s="69"/>
      <c r="AR1190" s="74">
        <f t="shared" si="127"/>
        <v>0</v>
      </c>
      <c r="AT1190" s="69"/>
      <c r="BC1190" s="69"/>
      <c r="BD1190" s="69"/>
      <c r="CC1190" s="74">
        <f t="shared" si="124"/>
        <v>0</v>
      </c>
      <c r="CD1190" s="73">
        <f t="shared" si="125"/>
        <v>0</v>
      </c>
      <c r="CE1190" s="75">
        <f t="shared" si="126"/>
        <v>9510</v>
      </c>
      <c r="CF1190" s="3" t="str">
        <f t="shared" si="126"/>
        <v xml:space="preserve">لاب فقط </v>
      </c>
    </row>
    <row r="1191" spans="2:84" x14ac:dyDescent="0.25">
      <c r="B1191" s="69">
        <v>65</v>
      </c>
      <c r="C1191" s="82"/>
      <c r="D1191" s="70">
        <v>9511</v>
      </c>
      <c r="E1191" s="69" t="s">
        <v>332</v>
      </c>
      <c r="F1191" s="69" t="s">
        <v>1694</v>
      </c>
      <c r="U1191" s="69"/>
      <c r="V1191" s="69"/>
      <c r="AR1191" s="74">
        <f t="shared" si="127"/>
        <v>0</v>
      </c>
      <c r="AT1191" s="69"/>
      <c r="BC1191" s="69"/>
      <c r="BD1191" s="69"/>
      <c r="CC1191" s="74">
        <f t="shared" ref="CC1191:CC1254" si="128">SUM(AS1191:CB1191)</f>
        <v>0</v>
      </c>
      <c r="CD1191" s="73">
        <f t="shared" si="125"/>
        <v>0</v>
      </c>
      <c r="CE1191" s="75">
        <f t="shared" si="126"/>
        <v>9511</v>
      </c>
      <c r="CF1191" s="3" t="str">
        <f t="shared" si="126"/>
        <v xml:space="preserve">لاب فقط </v>
      </c>
    </row>
    <row r="1192" spans="2:84" x14ac:dyDescent="0.25">
      <c r="B1192" s="69">
        <v>66</v>
      </c>
      <c r="C1192" s="82"/>
      <c r="D1192" s="70">
        <v>9512</v>
      </c>
      <c r="E1192" s="69" t="s">
        <v>332</v>
      </c>
      <c r="F1192" s="69" t="s">
        <v>1694</v>
      </c>
      <c r="U1192" s="69"/>
      <c r="V1192" s="69"/>
      <c r="AR1192" s="74">
        <f t="shared" si="127"/>
        <v>0</v>
      </c>
      <c r="AT1192" s="69"/>
      <c r="BC1192" s="69"/>
      <c r="BD1192" s="69"/>
      <c r="CC1192" s="74">
        <f t="shared" si="128"/>
        <v>0</v>
      </c>
      <c r="CD1192" s="73">
        <f t="shared" si="125"/>
        <v>0</v>
      </c>
      <c r="CE1192" s="75">
        <f t="shared" si="126"/>
        <v>9512</v>
      </c>
      <c r="CF1192" s="3" t="str">
        <f t="shared" si="126"/>
        <v xml:space="preserve">لاب فقط </v>
      </c>
    </row>
    <row r="1193" spans="2:84" x14ac:dyDescent="0.25">
      <c r="B1193" s="69">
        <v>67</v>
      </c>
      <c r="C1193" s="82"/>
      <c r="D1193" s="70">
        <v>9513</v>
      </c>
      <c r="E1193" s="69" t="s">
        <v>332</v>
      </c>
      <c r="F1193" s="69" t="s">
        <v>1694</v>
      </c>
      <c r="U1193" s="69"/>
      <c r="V1193" s="69"/>
      <c r="AR1193" s="74">
        <f t="shared" si="127"/>
        <v>0</v>
      </c>
      <c r="AT1193" s="69"/>
      <c r="BC1193" s="69"/>
      <c r="BD1193" s="69"/>
      <c r="CC1193" s="74">
        <f t="shared" si="128"/>
        <v>0</v>
      </c>
      <c r="CD1193" s="73">
        <f t="shared" si="125"/>
        <v>0</v>
      </c>
      <c r="CE1193" s="75">
        <f t="shared" si="126"/>
        <v>9513</v>
      </c>
      <c r="CF1193" s="3" t="str">
        <f t="shared" si="126"/>
        <v xml:space="preserve">لاب فقط </v>
      </c>
    </row>
    <row r="1194" spans="2:84" x14ac:dyDescent="0.25">
      <c r="B1194" s="69">
        <v>68</v>
      </c>
      <c r="C1194" s="82"/>
      <c r="D1194" s="70">
        <v>9514</v>
      </c>
      <c r="E1194" s="69" t="s">
        <v>332</v>
      </c>
      <c r="F1194" s="69" t="s">
        <v>1694</v>
      </c>
      <c r="U1194" s="69"/>
      <c r="V1194" s="69"/>
      <c r="AR1194" s="74">
        <f t="shared" si="127"/>
        <v>0</v>
      </c>
      <c r="AT1194" s="69"/>
      <c r="BC1194" s="69"/>
      <c r="BD1194" s="69"/>
      <c r="CC1194" s="74">
        <f t="shared" si="128"/>
        <v>0</v>
      </c>
      <c r="CD1194" s="73">
        <f t="shared" si="125"/>
        <v>0</v>
      </c>
      <c r="CE1194" s="75">
        <f t="shared" si="126"/>
        <v>9514</v>
      </c>
      <c r="CF1194" s="3" t="str">
        <f t="shared" si="126"/>
        <v xml:space="preserve">لاب فقط </v>
      </c>
    </row>
    <row r="1195" spans="2:84" x14ac:dyDescent="0.25">
      <c r="B1195" s="69">
        <v>69</v>
      </c>
      <c r="C1195" s="82"/>
      <c r="D1195" s="70">
        <v>9515</v>
      </c>
      <c r="E1195" s="69" t="s">
        <v>332</v>
      </c>
      <c r="F1195" s="69" t="s">
        <v>1694</v>
      </c>
      <c r="U1195" s="69"/>
      <c r="V1195" s="69"/>
      <c r="AR1195" s="74">
        <f t="shared" si="127"/>
        <v>0</v>
      </c>
      <c r="AT1195" s="69"/>
      <c r="BC1195" s="69"/>
      <c r="BD1195" s="69"/>
      <c r="CC1195" s="74">
        <f t="shared" si="128"/>
        <v>0</v>
      </c>
      <c r="CD1195" s="73">
        <f t="shared" si="125"/>
        <v>0</v>
      </c>
      <c r="CE1195" s="75">
        <f t="shared" si="126"/>
        <v>9515</v>
      </c>
      <c r="CF1195" s="3" t="str">
        <f t="shared" si="126"/>
        <v xml:space="preserve">لاب فقط </v>
      </c>
    </row>
    <row r="1196" spans="2:84" x14ac:dyDescent="0.25">
      <c r="B1196" s="69">
        <v>70</v>
      </c>
      <c r="C1196" s="82"/>
      <c r="D1196" s="70">
        <v>9516</v>
      </c>
      <c r="E1196" s="69" t="s">
        <v>332</v>
      </c>
      <c r="F1196" s="69" t="s">
        <v>1694</v>
      </c>
      <c r="U1196" s="69"/>
      <c r="V1196" s="69"/>
      <c r="AR1196" s="74">
        <f t="shared" si="127"/>
        <v>0</v>
      </c>
      <c r="AT1196" s="69"/>
      <c r="BC1196" s="69"/>
      <c r="BD1196" s="69"/>
      <c r="CC1196" s="74">
        <f t="shared" si="128"/>
        <v>0</v>
      </c>
      <c r="CD1196" s="73">
        <f t="shared" si="125"/>
        <v>0</v>
      </c>
      <c r="CE1196" s="75">
        <f t="shared" si="126"/>
        <v>9516</v>
      </c>
      <c r="CF1196" s="3" t="str">
        <f t="shared" si="126"/>
        <v xml:space="preserve">لاب فقط </v>
      </c>
    </row>
    <row r="1197" spans="2:84" x14ac:dyDescent="0.25">
      <c r="B1197" s="69">
        <v>71</v>
      </c>
      <c r="C1197" s="82"/>
      <c r="D1197" s="70">
        <v>9517</v>
      </c>
      <c r="E1197" s="69" t="s">
        <v>332</v>
      </c>
      <c r="F1197" s="69" t="s">
        <v>1694</v>
      </c>
      <c r="U1197" s="69"/>
      <c r="V1197" s="69"/>
      <c r="AR1197" s="74">
        <f t="shared" si="127"/>
        <v>0</v>
      </c>
      <c r="AT1197" s="69"/>
      <c r="BC1197" s="69"/>
      <c r="BD1197" s="69"/>
      <c r="CC1197" s="74">
        <f t="shared" si="128"/>
        <v>0</v>
      </c>
      <c r="CD1197" s="73">
        <f t="shared" si="125"/>
        <v>0</v>
      </c>
      <c r="CE1197" s="75">
        <f t="shared" si="126"/>
        <v>9517</v>
      </c>
      <c r="CF1197" s="3" t="str">
        <f t="shared" si="126"/>
        <v xml:space="preserve">لاب فقط </v>
      </c>
    </row>
    <row r="1198" spans="2:84" x14ac:dyDescent="0.25">
      <c r="B1198" s="69">
        <v>72</v>
      </c>
      <c r="C1198" s="82"/>
      <c r="D1198" s="70">
        <v>9518</v>
      </c>
      <c r="E1198" s="69" t="s">
        <v>332</v>
      </c>
      <c r="F1198" s="69" t="s">
        <v>1694</v>
      </c>
      <c r="U1198" s="69"/>
      <c r="V1198" s="69"/>
      <c r="AR1198" s="74">
        <f t="shared" si="127"/>
        <v>0</v>
      </c>
      <c r="AT1198" s="69"/>
      <c r="BC1198" s="69"/>
      <c r="BD1198" s="69"/>
      <c r="CC1198" s="74">
        <f t="shared" si="128"/>
        <v>0</v>
      </c>
      <c r="CD1198" s="73">
        <f t="shared" si="125"/>
        <v>0</v>
      </c>
      <c r="CE1198" s="75">
        <f t="shared" si="126"/>
        <v>9518</v>
      </c>
      <c r="CF1198" s="3" t="str">
        <f t="shared" si="126"/>
        <v xml:space="preserve">لاب فقط </v>
      </c>
    </row>
    <row r="1199" spans="2:84" x14ac:dyDescent="0.25">
      <c r="B1199" s="69">
        <v>73</v>
      </c>
      <c r="C1199" s="82"/>
      <c r="D1199" s="70">
        <v>9519</v>
      </c>
      <c r="E1199" s="69" t="s">
        <v>332</v>
      </c>
      <c r="F1199" s="69" t="s">
        <v>1694</v>
      </c>
      <c r="U1199" s="69"/>
      <c r="V1199" s="69"/>
      <c r="AR1199" s="74">
        <f t="shared" si="127"/>
        <v>0</v>
      </c>
      <c r="AT1199" s="69"/>
      <c r="BC1199" s="69"/>
      <c r="BD1199" s="69"/>
      <c r="CC1199" s="74">
        <f t="shared" si="128"/>
        <v>0</v>
      </c>
      <c r="CD1199" s="73">
        <f t="shared" si="125"/>
        <v>0</v>
      </c>
      <c r="CE1199" s="75">
        <f t="shared" si="126"/>
        <v>9519</v>
      </c>
      <c r="CF1199" s="3" t="str">
        <f t="shared" si="126"/>
        <v xml:space="preserve">لاب فقط </v>
      </c>
    </row>
    <row r="1200" spans="2:84" x14ac:dyDescent="0.25">
      <c r="B1200" s="69">
        <v>74</v>
      </c>
      <c r="C1200" s="82"/>
      <c r="D1200" s="70">
        <v>9520</v>
      </c>
      <c r="E1200" s="69" t="s">
        <v>332</v>
      </c>
      <c r="F1200" s="69" t="s">
        <v>1694</v>
      </c>
      <c r="U1200" s="69"/>
      <c r="V1200" s="69"/>
      <c r="AR1200" s="74">
        <f t="shared" si="127"/>
        <v>0</v>
      </c>
      <c r="AT1200" s="69"/>
      <c r="BC1200" s="69"/>
      <c r="BD1200" s="69"/>
      <c r="CC1200" s="74">
        <f t="shared" si="128"/>
        <v>0</v>
      </c>
      <c r="CD1200" s="73">
        <f t="shared" si="125"/>
        <v>0</v>
      </c>
      <c r="CE1200" s="75">
        <f t="shared" si="126"/>
        <v>9520</v>
      </c>
      <c r="CF1200" s="3" t="str">
        <f t="shared" si="126"/>
        <v xml:space="preserve">لاب فقط </v>
      </c>
    </row>
    <row r="1201" spans="2:84" x14ac:dyDescent="0.25">
      <c r="B1201" s="69">
        <v>75</v>
      </c>
      <c r="C1201" s="82"/>
      <c r="D1201" s="70">
        <v>9521</v>
      </c>
      <c r="E1201" s="69" t="s">
        <v>332</v>
      </c>
      <c r="F1201" s="69" t="s">
        <v>1694</v>
      </c>
      <c r="U1201" s="69"/>
      <c r="V1201" s="69"/>
      <c r="AR1201" s="74">
        <f t="shared" si="127"/>
        <v>0</v>
      </c>
      <c r="AT1201" s="69"/>
      <c r="BC1201" s="69"/>
      <c r="BD1201" s="69"/>
      <c r="CC1201" s="74">
        <f t="shared" si="128"/>
        <v>0</v>
      </c>
      <c r="CD1201" s="73">
        <f t="shared" ref="CD1201:CD1264" si="129">+CC1201-AR1201</f>
        <v>0</v>
      </c>
      <c r="CE1201" s="75">
        <f t="shared" si="126"/>
        <v>9521</v>
      </c>
      <c r="CF1201" s="3" t="str">
        <f t="shared" si="126"/>
        <v xml:space="preserve">لاب فقط </v>
      </c>
    </row>
    <row r="1202" spans="2:84" x14ac:dyDescent="0.25">
      <c r="B1202" s="69">
        <v>76</v>
      </c>
      <c r="C1202" s="82"/>
      <c r="D1202" s="70">
        <v>9522</v>
      </c>
      <c r="E1202" s="69" t="s">
        <v>332</v>
      </c>
      <c r="F1202" s="69" t="s">
        <v>1694</v>
      </c>
      <c r="U1202" s="69"/>
      <c r="V1202" s="69"/>
      <c r="AR1202" s="74">
        <f t="shared" si="127"/>
        <v>0</v>
      </c>
      <c r="AT1202" s="69"/>
      <c r="BC1202" s="69"/>
      <c r="BD1202" s="69"/>
      <c r="CC1202" s="74">
        <f t="shared" si="128"/>
        <v>0</v>
      </c>
      <c r="CD1202" s="73">
        <f t="shared" si="129"/>
        <v>0</v>
      </c>
      <c r="CE1202" s="75">
        <f t="shared" si="126"/>
        <v>9522</v>
      </c>
      <c r="CF1202" s="3" t="str">
        <f t="shared" si="126"/>
        <v xml:space="preserve">لاب فقط </v>
      </c>
    </row>
    <row r="1203" spans="2:84" x14ac:dyDescent="0.25">
      <c r="B1203" s="69">
        <v>77</v>
      </c>
      <c r="C1203" s="82"/>
      <c r="D1203" s="70">
        <v>9523</v>
      </c>
      <c r="E1203" s="69" t="s">
        <v>332</v>
      </c>
      <c r="F1203" s="69" t="s">
        <v>1694</v>
      </c>
      <c r="U1203" s="69"/>
      <c r="V1203" s="69"/>
      <c r="AR1203" s="74">
        <f t="shared" si="127"/>
        <v>0</v>
      </c>
      <c r="AT1203" s="69"/>
      <c r="BC1203" s="69"/>
      <c r="BD1203" s="69"/>
      <c r="CC1203" s="74">
        <f t="shared" si="128"/>
        <v>0</v>
      </c>
      <c r="CD1203" s="73">
        <f t="shared" si="129"/>
        <v>0</v>
      </c>
      <c r="CE1203" s="75">
        <f t="shared" si="126"/>
        <v>9523</v>
      </c>
      <c r="CF1203" s="3" t="str">
        <f t="shared" si="126"/>
        <v xml:space="preserve">لاب فقط </v>
      </c>
    </row>
    <row r="1204" spans="2:84" x14ac:dyDescent="0.25">
      <c r="B1204" s="69">
        <v>78</v>
      </c>
      <c r="C1204" s="82"/>
      <c r="D1204" s="70">
        <v>9524</v>
      </c>
      <c r="E1204" s="69" t="s">
        <v>332</v>
      </c>
      <c r="F1204" s="69" t="s">
        <v>1694</v>
      </c>
      <c r="U1204" s="69"/>
      <c r="V1204" s="69"/>
      <c r="AR1204" s="74">
        <f t="shared" si="127"/>
        <v>0</v>
      </c>
      <c r="AT1204" s="69"/>
      <c r="BC1204" s="69"/>
      <c r="BD1204" s="69"/>
      <c r="CC1204" s="74">
        <f t="shared" si="128"/>
        <v>0</v>
      </c>
      <c r="CD1204" s="73">
        <f t="shared" si="129"/>
        <v>0</v>
      </c>
      <c r="CE1204" s="75">
        <f t="shared" si="126"/>
        <v>9524</v>
      </c>
      <c r="CF1204" s="3" t="str">
        <f t="shared" si="126"/>
        <v xml:space="preserve">لاب فقط </v>
      </c>
    </row>
    <row r="1205" spans="2:84" x14ac:dyDescent="0.25">
      <c r="B1205" s="69">
        <v>79</v>
      </c>
      <c r="C1205" s="82"/>
      <c r="D1205" s="70">
        <v>9525</v>
      </c>
      <c r="E1205" s="69" t="s">
        <v>332</v>
      </c>
      <c r="F1205" s="69" t="s">
        <v>1694</v>
      </c>
      <c r="U1205" s="69"/>
      <c r="V1205" s="69"/>
      <c r="AR1205" s="74">
        <f t="shared" si="127"/>
        <v>0</v>
      </c>
      <c r="AT1205" s="69"/>
      <c r="BC1205" s="69"/>
      <c r="BD1205" s="69"/>
      <c r="CC1205" s="74">
        <f t="shared" si="128"/>
        <v>0</v>
      </c>
      <c r="CD1205" s="73">
        <f t="shared" si="129"/>
        <v>0</v>
      </c>
      <c r="CE1205" s="75">
        <f t="shared" si="126"/>
        <v>9525</v>
      </c>
      <c r="CF1205" s="3" t="str">
        <f t="shared" si="126"/>
        <v xml:space="preserve">لاب فقط </v>
      </c>
    </row>
    <row r="1206" spans="2:84" x14ac:dyDescent="0.25">
      <c r="B1206" s="69">
        <v>80</v>
      </c>
      <c r="C1206" s="82"/>
      <c r="D1206" s="70">
        <v>9526</v>
      </c>
      <c r="E1206" s="69" t="s">
        <v>332</v>
      </c>
      <c r="F1206" s="69" t="s">
        <v>1694</v>
      </c>
      <c r="U1206" s="69"/>
      <c r="V1206" s="69"/>
      <c r="AR1206" s="74">
        <f t="shared" si="127"/>
        <v>0</v>
      </c>
      <c r="AT1206" s="69"/>
      <c r="BC1206" s="69"/>
      <c r="BD1206" s="69"/>
      <c r="CC1206" s="74">
        <f t="shared" si="128"/>
        <v>0</v>
      </c>
      <c r="CD1206" s="73">
        <f t="shared" si="129"/>
        <v>0</v>
      </c>
      <c r="CE1206" s="75">
        <f t="shared" ref="CE1206:CF1269" si="130">+D1206</f>
        <v>9526</v>
      </c>
      <c r="CF1206" s="3" t="str">
        <f t="shared" si="130"/>
        <v xml:space="preserve">لاب فقط </v>
      </c>
    </row>
    <row r="1207" spans="2:84" x14ac:dyDescent="0.25">
      <c r="B1207" s="69">
        <v>81</v>
      </c>
      <c r="C1207" s="82"/>
      <c r="D1207" s="70">
        <v>9527</v>
      </c>
      <c r="E1207" s="69" t="s">
        <v>332</v>
      </c>
      <c r="F1207" s="69" t="s">
        <v>1694</v>
      </c>
      <c r="U1207" s="69"/>
      <c r="V1207" s="69"/>
      <c r="AR1207" s="74">
        <f t="shared" si="127"/>
        <v>0</v>
      </c>
      <c r="AT1207" s="69"/>
      <c r="BC1207" s="69"/>
      <c r="BD1207" s="69"/>
      <c r="CC1207" s="74">
        <f t="shared" si="128"/>
        <v>0</v>
      </c>
      <c r="CD1207" s="73">
        <f t="shared" si="129"/>
        <v>0</v>
      </c>
      <c r="CE1207" s="75">
        <f t="shared" si="130"/>
        <v>9527</v>
      </c>
      <c r="CF1207" s="3" t="str">
        <f t="shared" si="130"/>
        <v xml:space="preserve">لاب فقط </v>
      </c>
    </row>
    <row r="1208" spans="2:84" x14ac:dyDescent="0.25">
      <c r="B1208" s="69">
        <v>82</v>
      </c>
      <c r="C1208" s="82"/>
      <c r="D1208" s="70">
        <v>9528</v>
      </c>
      <c r="E1208" s="69" t="s">
        <v>332</v>
      </c>
      <c r="F1208" s="69" t="s">
        <v>1694</v>
      </c>
      <c r="U1208" s="69"/>
      <c r="V1208" s="69"/>
      <c r="AR1208" s="74">
        <f t="shared" si="127"/>
        <v>0</v>
      </c>
      <c r="AT1208" s="69"/>
      <c r="BC1208" s="69"/>
      <c r="BD1208" s="69"/>
      <c r="CC1208" s="74">
        <f t="shared" si="128"/>
        <v>0</v>
      </c>
      <c r="CD1208" s="73">
        <f t="shared" si="129"/>
        <v>0</v>
      </c>
      <c r="CE1208" s="75">
        <f t="shared" si="130"/>
        <v>9528</v>
      </c>
      <c r="CF1208" s="3" t="str">
        <f t="shared" si="130"/>
        <v xml:space="preserve">لاب فقط </v>
      </c>
    </row>
    <row r="1209" spans="2:84" x14ac:dyDescent="0.25">
      <c r="B1209" s="69">
        <v>83</v>
      </c>
      <c r="C1209" s="82"/>
      <c r="D1209" s="70">
        <v>9529</v>
      </c>
      <c r="E1209" s="69" t="s">
        <v>332</v>
      </c>
      <c r="F1209" s="69" t="s">
        <v>1694</v>
      </c>
      <c r="U1209" s="69"/>
      <c r="V1209" s="69"/>
      <c r="AR1209" s="74">
        <f t="shared" si="127"/>
        <v>0</v>
      </c>
      <c r="AT1209" s="69"/>
      <c r="BC1209" s="69"/>
      <c r="BD1209" s="69"/>
      <c r="CC1209" s="74">
        <f t="shared" si="128"/>
        <v>0</v>
      </c>
      <c r="CD1209" s="73">
        <f t="shared" si="129"/>
        <v>0</v>
      </c>
      <c r="CE1209" s="75">
        <f t="shared" si="130"/>
        <v>9529</v>
      </c>
      <c r="CF1209" s="3" t="str">
        <f t="shared" si="130"/>
        <v xml:space="preserve">لاب فقط </v>
      </c>
    </row>
    <row r="1210" spans="2:84" x14ac:dyDescent="0.25">
      <c r="B1210" s="69">
        <v>84</v>
      </c>
      <c r="C1210" s="82"/>
      <c r="D1210" s="70">
        <v>9530</v>
      </c>
      <c r="E1210" s="69" t="s">
        <v>332</v>
      </c>
      <c r="F1210" s="69" t="s">
        <v>1694</v>
      </c>
      <c r="U1210" s="69"/>
      <c r="V1210" s="69"/>
      <c r="AR1210" s="74">
        <f t="shared" si="127"/>
        <v>0</v>
      </c>
      <c r="AT1210" s="69"/>
      <c r="BC1210" s="69"/>
      <c r="BD1210" s="69"/>
      <c r="CC1210" s="74">
        <f t="shared" si="128"/>
        <v>0</v>
      </c>
      <c r="CD1210" s="73">
        <f t="shared" si="129"/>
        <v>0</v>
      </c>
      <c r="CE1210" s="75">
        <f t="shared" si="130"/>
        <v>9530</v>
      </c>
      <c r="CF1210" s="3" t="str">
        <f t="shared" si="130"/>
        <v xml:space="preserve">لاب فقط </v>
      </c>
    </row>
    <row r="1211" spans="2:84" x14ac:dyDescent="0.25">
      <c r="B1211" s="69">
        <v>85</v>
      </c>
      <c r="C1211" s="82"/>
      <c r="D1211" s="70">
        <v>9531</v>
      </c>
      <c r="E1211" s="69" t="s">
        <v>332</v>
      </c>
      <c r="F1211" s="69" t="s">
        <v>1694</v>
      </c>
      <c r="U1211" s="69"/>
      <c r="V1211" s="69"/>
      <c r="AR1211" s="74">
        <f t="shared" si="127"/>
        <v>0</v>
      </c>
      <c r="AT1211" s="69"/>
      <c r="BC1211" s="69"/>
      <c r="BD1211" s="69"/>
      <c r="CC1211" s="74">
        <f t="shared" si="128"/>
        <v>0</v>
      </c>
      <c r="CD1211" s="73">
        <f t="shared" si="129"/>
        <v>0</v>
      </c>
      <c r="CE1211" s="75">
        <f t="shared" si="130"/>
        <v>9531</v>
      </c>
      <c r="CF1211" s="3" t="str">
        <f t="shared" si="130"/>
        <v xml:space="preserve">لاب فقط </v>
      </c>
    </row>
    <row r="1212" spans="2:84" x14ac:dyDescent="0.25">
      <c r="B1212" s="69">
        <v>86</v>
      </c>
      <c r="C1212" s="82"/>
      <c r="D1212" s="70">
        <v>9532</v>
      </c>
      <c r="E1212" s="69" t="s">
        <v>332</v>
      </c>
      <c r="F1212" s="69" t="s">
        <v>1694</v>
      </c>
      <c r="U1212" s="69"/>
      <c r="V1212" s="69"/>
      <c r="AR1212" s="74">
        <f t="shared" si="127"/>
        <v>0</v>
      </c>
      <c r="AT1212" s="69"/>
      <c r="BC1212" s="69"/>
      <c r="BD1212" s="69"/>
      <c r="CC1212" s="74">
        <f t="shared" si="128"/>
        <v>0</v>
      </c>
      <c r="CD1212" s="73">
        <f t="shared" si="129"/>
        <v>0</v>
      </c>
      <c r="CE1212" s="75">
        <f t="shared" si="130"/>
        <v>9532</v>
      </c>
      <c r="CF1212" s="3" t="str">
        <f t="shared" si="130"/>
        <v xml:space="preserve">لاب فقط </v>
      </c>
    </row>
    <row r="1213" spans="2:84" x14ac:dyDescent="0.25">
      <c r="B1213" s="69">
        <v>87</v>
      </c>
      <c r="C1213" s="82"/>
      <c r="D1213" s="70">
        <v>9533</v>
      </c>
      <c r="E1213" s="69" t="s">
        <v>332</v>
      </c>
      <c r="F1213" s="69" t="s">
        <v>1694</v>
      </c>
      <c r="U1213" s="69"/>
      <c r="V1213" s="69"/>
      <c r="AR1213" s="74">
        <f t="shared" si="127"/>
        <v>0</v>
      </c>
      <c r="AT1213" s="69"/>
      <c r="BC1213" s="69"/>
      <c r="BD1213" s="69"/>
      <c r="CC1213" s="74">
        <f t="shared" si="128"/>
        <v>0</v>
      </c>
      <c r="CD1213" s="73">
        <f t="shared" si="129"/>
        <v>0</v>
      </c>
      <c r="CE1213" s="75">
        <f t="shared" si="130"/>
        <v>9533</v>
      </c>
      <c r="CF1213" s="3" t="str">
        <f t="shared" si="130"/>
        <v xml:space="preserve">لاب فقط </v>
      </c>
    </row>
    <row r="1214" spans="2:84" x14ac:dyDescent="0.25">
      <c r="B1214" s="69">
        <v>88</v>
      </c>
      <c r="C1214" s="82"/>
      <c r="D1214" s="70">
        <v>9534</v>
      </c>
      <c r="E1214" s="69" t="s">
        <v>332</v>
      </c>
      <c r="F1214" s="69" t="s">
        <v>1694</v>
      </c>
      <c r="U1214" s="69"/>
      <c r="V1214" s="69"/>
      <c r="AR1214" s="74">
        <f t="shared" si="127"/>
        <v>0</v>
      </c>
      <c r="AT1214" s="69"/>
      <c r="BC1214" s="69"/>
      <c r="BD1214" s="69"/>
      <c r="CC1214" s="74">
        <f t="shared" si="128"/>
        <v>0</v>
      </c>
      <c r="CD1214" s="73">
        <f t="shared" si="129"/>
        <v>0</v>
      </c>
      <c r="CE1214" s="75">
        <f t="shared" si="130"/>
        <v>9534</v>
      </c>
      <c r="CF1214" s="3" t="str">
        <f t="shared" si="130"/>
        <v xml:space="preserve">لاب فقط </v>
      </c>
    </row>
    <row r="1215" spans="2:84" x14ac:dyDescent="0.25">
      <c r="B1215" s="69">
        <v>89</v>
      </c>
      <c r="C1215" s="82"/>
      <c r="D1215" s="70">
        <v>9535</v>
      </c>
      <c r="E1215" s="69" t="s">
        <v>332</v>
      </c>
      <c r="F1215" s="69" t="s">
        <v>1694</v>
      </c>
      <c r="U1215" s="69"/>
      <c r="V1215" s="69"/>
      <c r="AR1215" s="74">
        <f t="shared" si="127"/>
        <v>0</v>
      </c>
      <c r="AT1215" s="69"/>
      <c r="BC1215" s="69"/>
      <c r="BD1215" s="69"/>
      <c r="CC1215" s="74">
        <f t="shared" si="128"/>
        <v>0</v>
      </c>
      <c r="CD1215" s="73">
        <f t="shared" si="129"/>
        <v>0</v>
      </c>
      <c r="CE1215" s="75">
        <f t="shared" si="130"/>
        <v>9535</v>
      </c>
      <c r="CF1215" s="3" t="str">
        <f t="shared" si="130"/>
        <v xml:space="preserve">لاب فقط </v>
      </c>
    </row>
    <row r="1216" spans="2:84" x14ac:dyDescent="0.25">
      <c r="B1216" s="69">
        <v>90</v>
      </c>
      <c r="C1216" s="82"/>
      <c r="D1216" s="70">
        <v>9536</v>
      </c>
      <c r="E1216" s="69" t="s">
        <v>332</v>
      </c>
      <c r="F1216" s="69" t="s">
        <v>1694</v>
      </c>
      <c r="U1216" s="69"/>
      <c r="V1216" s="69"/>
      <c r="AR1216" s="74">
        <f t="shared" si="127"/>
        <v>0</v>
      </c>
      <c r="AT1216" s="69"/>
      <c r="BC1216" s="69"/>
      <c r="BD1216" s="69"/>
      <c r="CC1216" s="74">
        <f t="shared" si="128"/>
        <v>0</v>
      </c>
      <c r="CD1216" s="73">
        <f t="shared" si="129"/>
        <v>0</v>
      </c>
      <c r="CE1216" s="75">
        <f t="shared" si="130"/>
        <v>9536</v>
      </c>
      <c r="CF1216" s="3" t="str">
        <f t="shared" si="130"/>
        <v xml:space="preserve">لاب فقط </v>
      </c>
    </row>
    <row r="1217" spans="2:84" x14ac:dyDescent="0.25">
      <c r="B1217" s="69">
        <v>91</v>
      </c>
      <c r="C1217" s="82"/>
      <c r="D1217" s="70">
        <v>9537</v>
      </c>
      <c r="E1217" s="69" t="s">
        <v>332</v>
      </c>
      <c r="F1217" s="69" t="s">
        <v>1694</v>
      </c>
      <c r="U1217" s="69"/>
      <c r="V1217" s="69"/>
      <c r="AR1217" s="74">
        <f t="shared" si="127"/>
        <v>0</v>
      </c>
      <c r="AT1217" s="69"/>
      <c r="BC1217" s="69"/>
      <c r="BD1217" s="69"/>
      <c r="CC1217" s="74">
        <f t="shared" si="128"/>
        <v>0</v>
      </c>
      <c r="CD1217" s="73">
        <f t="shared" si="129"/>
        <v>0</v>
      </c>
      <c r="CE1217" s="75">
        <f t="shared" si="130"/>
        <v>9537</v>
      </c>
      <c r="CF1217" s="3" t="str">
        <f t="shared" si="130"/>
        <v xml:space="preserve">لاب فقط </v>
      </c>
    </row>
    <row r="1218" spans="2:84" x14ac:dyDescent="0.25">
      <c r="B1218" s="69">
        <v>92</v>
      </c>
      <c r="C1218" s="82"/>
      <c r="D1218" s="70">
        <v>9538</v>
      </c>
      <c r="E1218" s="69" t="s">
        <v>332</v>
      </c>
      <c r="F1218" s="69" t="s">
        <v>1694</v>
      </c>
      <c r="U1218" s="69"/>
      <c r="V1218" s="69"/>
      <c r="AR1218" s="74">
        <f t="shared" si="127"/>
        <v>0</v>
      </c>
      <c r="AT1218" s="69"/>
      <c r="BC1218" s="69"/>
      <c r="BD1218" s="69"/>
      <c r="CC1218" s="74">
        <f t="shared" si="128"/>
        <v>0</v>
      </c>
      <c r="CD1218" s="73">
        <f t="shared" si="129"/>
        <v>0</v>
      </c>
      <c r="CE1218" s="75">
        <f t="shared" si="130"/>
        <v>9538</v>
      </c>
      <c r="CF1218" s="3" t="str">
        <f t="shared" si="130"/>
        <v xml:space="preserve">لاب فقط </v>
      </c>
    </row>
    <row r="1219" spans="2:84" x14ac:dyDescent="0.25">
      <c r="B1219" s="69">
        <v>93</v>
      </c>
      <c r="C1219" s="82"/>
      <c r="D1219" s="70">
        <v>9539</v>
      </c>
      <c r="E1219" s="69" t="s">
        <v>332</v>
      </c>
      <c r="F1219" s="69" t="s">
        <v>1694</v>
      </c>
      <c r="U1219" s="69"/>
      <c r="V1219" s="69"/>
      <c r="AR1219" s="74">
        <f t="shared" si="127"/>
        <v>0</v>
      </c>
      <c r="AT1219" s="69"/>
      <c r="BC1219" s="69"/>
      <c r="BD1219" s="69"/>
      <c r="CC1219" s="74">
        <f t="shared" si="128"/>
        <v>0</v>
      </c>
      <c r="CD1219" s="73">
        <f t="shared" si="129"/>
        <v>0</v>
      </c>
      <c r="CE1219" s="75">
        <f t="shared" si="130"/>
        <v>9539</v>
      </c>
      <c r="CF1219" s="3" t="str">
        <f t="shared" si="130"/>
        <v xml:space="preserve">لاب فقط </v>
      </c>
    </row>
    <row r="1220" spans="2:84" x14ac:dyDescent="0.25">
      <c r="B1220" s="69">
        <v>94</v>
      </c>
      <c r="C1220" s="82"/>
      <c r="D1220" s="70">
        <v>9540</v>
      </c>
      <c r="E1220" s="69" t="s">
        <v>332</v>
      </c>
      <c r="F1220" s="69" t="s">
        <v>1694</v>
      </c>
      <c r="U1220" s="69"/>
      <c r="V1220" s="69"/>
      <c r="AR1220" s="74">
        <f t="shared" si="127"/>
        <v>0</v>
      </c>
      <c r="AT1220" s="69"/>
      <c r="BC1220" s="69"/>
      <c r="BD1220" s="69"/>
      <c r="CC1220" s="74">
        <f t="shared" si="128"/>
        <v>0</v>
      </c>
      <c r="CD1220" s="73">
        <f t="shared" si="129"/>
        <v>0</v>
      </c>
      <c r="CE1220" s="75">
        <f t="shared" si="130"/>
        <v>9540</v>
      </c>
      <c r="CF1220" s="3" t="str">
        <f t="shared" si="130"/>
        <v xml:space="preserve">لاب فقط </v>
      </c>
    </row>
    <row r="1221" spans="2:84" x14ac:dyDescent="0.25">
      <c r="B1221" s="69">
        <v>95</v>
      </c>
      <c r="C1221" s="82"/>
      <c r="D1221" s="70">
        <v>9541</v>
      </c>
      <c r="E1221" s="69" t="s">
        <v>332</v>
      </c>
      <c r="F1221" s="69" t="s">
        <v>1694</v>
      </c>
      <c r="U1221" s="69"/>
      <c r="V1221" s="69"/>
      <c r="AR1221" s="74">
        <f t="shared" ref="AR1221:AR1276" si="131">SUM(H1221:AQ1221)</f>
        <v>0</v>
      </c>
      <c r="AT1221" s="69"/>
      <c r="BC1221" s="69"/>
      <c r="BD1221" s="69"/>
      <c r="CC1221" s="74">
        <f t="shared" si="128"/>
        <v>0</v>
      </c>
      <c r="CD1221" s="73">
        <f t="shared" si="129"/>
        <v>0</v>
      </c>
      <c r="CE1221" s="75">
        <f t="shared" si="130"/>
        <v>9541</v>
      </c>
      <c r="CF1221" s="3" t="str">
        <f t="shared" si="130"/>
        <v xml:space="preserve">لاب فقط </v>
      </c>
    </row>
    <row r="1222" spans="2:84" x14ac:dyDescent="0.25">
      <c r="B1222" s="69">
        <v>96</v>
      </c>
      <c r="C1222" s="82"/>
      <c r="D1222" s="70">
        <v>9542</v>
      </c>
      <c r="E1222" s="69" t="s">
        <v>332</v>
      </c>
      <c r="F1222" s="69" t="s">
        <v>1694</v>
      </c>
      <c r="U1222" s="69"/>
      <c r="V1222" s="69"/>
      <c r="AR1222" s="74">
        <f t="shared" si="131"/>
        <v>0</v>
      </c>
      <c r="AT1222" s="69"/>
      <c r="BC1222" s="69"/>
      <c r="BD1222" s="69"/>
      <c r="CC1222" s="74">
        <f t="shared" si="128"/>
        <v>0</v>
      </c>
      <c r="CD1222" s="73">
        <f t="shared" si="129"/>
        <v>0</v>
      </c>
      <c r="CE1222" s="75">
        <f t="shared" si="130"/>
        <v>9542</v>
      </c>
      <c r="CF1222" s="3" t="str">
        <f t="shared" si="130"/>
        <v xml:space="preserve">لاب فقط </v>
      </c>
    </row>
    <row r="1223" spans="2:84" x14ac:dyDescent="0.25">
      <c r="B1223" s="69">
        <v>97</v>
      </c>
      <c r="C1223" s="82"/>
      <c r="D1223" s="70">
        <v>9543</v>
      </c>
      <c r="E1223" s="69" t="s">
        <v>332</v>
      </c>
      <c r="F1223" s="69" t="s">
        <v>1694</v>
      </c>
      <c r="U1223" s="69"/>
      <c r="V1223" s="69"/>
      <c r="AR1223" s="74">
        <f t="shared" si="131"/>
        <v>0</v>
      </c>
      <c r="AT1223" s="69"/>
      <c r="BC1223" s="69"/>
      <c r="BD1223" s="69"/>
      <c r="CC1223" s="74">
        <f t="shared" si="128"/>
        <v>0</v>
      </c>
      <c r="CD1223" s="73">
        <f t="shared" si="129"/>
        <v>0</v>
      </c>
      <c r="CE1223" s="75">
        <f t="shared" si="130"/>
        <v>9543</v>
      </c>
      <c r="CF1223" s="3" t="str">
        <f t="shared" si="130"/>
        <v xml:space="preserve">لاب فقط </v>
      </c>
    </row>
    <row r="1224" spans="2:84" x14ac:dyDescent="0.25">
      <c r="B1224" s="69">
        <v>98</v>
      </c>
      <c r="C1224" s="82"/>
      <c r="D1224" s="70">
        <v>9544</v>
      </c>
      <c r="E1224" s="69" t="s">
        <v>332</v>
      </c>
      <c r="F1224" s="69" t="s">
        <v>1694</v>
      </c>
      <c r="U1224" s="69"/>
      <c r="V1224" s="69"/>
      <c r="AR1224" s="74">
        <f t="shared" si="131"/>
        <v>0</v>
      </c>
      <c r="AT1224" s="69"/>
      <c r="BC1224" s="69"/>
      <c r="BD1224" s="69"/>
      <c r="CC1224" s="74">
        <f t="shared" si="128"/>
        <v>0</v>
      </c>
      <c r="CD1224" s="73">
        <f t="shared" si="129"/>
        <v>0</v>
      </c>
      <c r="CE1224" s="75">
        <f t="shared" si="130"/>
        <v>9544</v>
      </c>
      <c r="CF1224" s="3" t="str">
        <f t="shared" si="130"/>
        <v xml:space="preserve">لاب فقط </v>
      </c>
    </row>
    <row r="1225" spans="2:84" x14ac:dyDescent="0.25">
      <c r="B1225" s="69">
        <v>99</v>
      </c>
      <c r="C1225" s="82"/>
      <c r="D1225" s="70">
        <v>9545</v>
      </c>
      <c r="E1225" s="69" t="s">
        <v>332</v>
      </c>
      <c r="F1225" s="69" t="s">
        <v>1694</v>
      </c>
      <c r="U1225" s="69"/>
      <c r="V1225" s="69"/>
      <c r="AR1225" s="74">
        <f t="shared" si="131"/>
        <v>0</v>
      </c>
      <c r="AT1225" s="69"/>
      <c r="BC1225" s="69"/>
      <c r="BD1225" s="69"/>
      <c r="CC1225" s="74">
        <f t="shared" si="128"/>
        <v>0</v>
      </c>
      <c r="CD1225" s="73">
        <f t="shared" si="129"/>
        <v>0</v>
      </c>
      <c r="CE1225" s="75">
        <f t="shared" si="130"/>
        <v>9545</v>
      </c>
      <c r="CF1225" s="3" t="str">
        <f t="shared" si="130"/>
        <v xml:space="preserve">لاب فقط </v>
      </c>
    </row>
    <row r="1226" spans="2:84" x14ac:dyDescent="0.25">
      <c r="B1226" s="69">
        <v>100</v>
      </c>
      <c r="C1226" s="82"/>
      <c r="D1226" s="70">
        <v>9546</v>
      </c>
      <c r="E1226" s="69" t="s">
        <v>332</v>
      </c>
      <c r="F1226" s="69" t="s">
        <v>1694</v>
      </c>
      <c r="U1226" s="69"/>
      <c r="V1226" s="69"/>
      <c r="AR1226" s="74">
        <f t="shared" si="131"/>
        <v>0</v>
      </c>
      <c r="AT1226" s="69"/>
      <c r="BC1226" s="69"/>
      <c r="BD1226" s="69"/>
      <c r="CC1226" s="74">
        <f t="shared" si="128"/>
        <v>0</v>
      </c>
      <c r="CD1226" s="73">
        <f t="shared" si="129"/>
        <v>0</v>
      </c>
      <c r="CE1226" s="75">
        <f t="shared" si="130"/>
        <v>9546</v>
      </c>
      <c r="CF1226" s="3" t="str">
        <f t="shared" si="130"/>
        <v xml:space="preserve">لاب فقط </v>
      </c>
    </row>
    <row r="1227" spans="2:84" x14ac:dyDescent="0.25">
      <c r="B1227" s="69">
        <v>101</v>
      </c>
      <c r="C1227" s="82"/>
      <c r="D1227" s="70">
        <v>9547</v>
      </c>
      <c r="E1227" s="69" t="s">
        <v>332</v>
      </c>
      <c r="F1227" s="69" t="s">
        <v>1694</v>
      </c>
      <c r="U1227" s="69"/>
      <c r="V1227" s="69"/>
      <c r="AR1227" s="74">
        <f t="shared" si="131"/>
        <v>0</v>
      </c>
      <c r="AT1227" s="69"/>
      <c r="BC1227" s="69"/>
      <c r="BD1227" s="69"/>
      <c r="CC1227" s="74">
        <f t="shared" si="128"/>
        <v>0</v>
      </c>
      <c r="CD1227" s="73">
        <f t="shared" si="129"/>
        <v>0</v>
      </c>
      <c r="CE1227" s="75">
        <f t="shared" si="130"/>
        <v>9547</v>
      </c>
      <c r="CF1227" s="3" t="str">
        <f t="shared" si="130"/>
        <v xml:space="preserve">لاب فقط </v>
      </c>
    </row>
    <row r="1228" spans="2:84" x14ac:dyDescent="0.25">
      <c r="B1228" s="69">
        <v>102</v>
      </c>
      <c r="C1228" s="82"/>
      <c r="D1228" s="70">
        <v>9548</v>
      </c>
      <c r="E1228" s="69" t="s">
        <v>332</v>
      </c>
      <c r="F1228" s="69" t="s">
        <v>1694</v>
      </c>
      <c r="U1228" s="69"/>
      <c r="V1228" s="69"/>
      <c r="AR1228" s="74">
        <f t="shared" si="131"/>
        <v>0</v>
      </c>
      <c r="AT1228" s="69"/>
      <c r="BC1228" s="69"/>
      <c r="BD1228" s="69"/>
      <c r="CC1228" s="74">
        <f t="shared" si="128"/>
        <v>0</v>
      </c>
      <c r="CD1228" s="73">
        <f t="shared" si="129"/>
        <v>0</v>
      </c>
      <c r="CE1228" s="75">
        <f t="shared" si="130"/>
        <v>9548</v>
      </c>
      <c r="CF1228" s="3" t="str">
        <f t="shared" si="130"/>
        <v xml:space="preserve">لاب فقط </v>
      </c>
    </row>
    <row r="1229" spans="2:84" x14ac:dyDescent="0.25">
      <c r="B1229" s="69">
        <v>103</v>
      </c>
      <c r="C1229" s="82"/>
      <c r="D1229" s="70">
        <v>9549</v>
      </c>
      <c r="E1229" s="69" t="s">
        <v>332</v>
      </c>
      <c r="F1229" s="69" t="s">
        <v>1694</v>
      </c>
      <c r="U1229" s="69"/>
      <c r="V1229" s="69"/>
      <c r="AR1229" s="74">
        <f t="shared" si="131"/>
        <v>0</v>
      </c>
      <c r="AT1229" s="69"/>
      <c r="BC1229" s="69"/>
      <c r="BD1229" s="69"/>
      <c r="CC1229" s="74">
        <f t="shared" si="128"/>
        <v>0</v>
      </c>
      <c r="CD1229" s="73">
        <f t="shared" si="129"/>
        <v>0</v>
      </c>
      <c r="CE1229" s="75">
        <f t="shared" si="130"/>
        <v>9549</v>
      </c>
      <c r="CF1229" s="3" t="str">
        <f t="shared" si="130"/>
        <v xml:space="preserve">لاب فقط </v>
      </c>
    </row>
    <row r="1230" spans="2:84" x14ac:dyDescent="0.25">
      <c r="B1230" s="69">
        <v>104</v>
      </c>
      <c r="C1230" s="82"/>
      <c r="D1230" s="70">
        <v>9550</v>
      </c>
      <c r="E1230" s="69" t="s">
        <v>332</v>
      </c>
      <c r="F1230" s="69" t="s">
        <v>1694</v>
      </c>
      <c r="U1230" s="69"/>
      <c r="V1230" s="69"/>
      <c r="AR1230" s="74">
        <f t="shared" si="131"/>
        <v>0</v>
      </c>
      <c r="AT1230" s="69"/>
      <c r="BC1230" s="69"/>
      <c r="BD1230" s="69"/>
      <c r="CC1230" s="74">
        <f t="shared" si="128"/>
        <v>0</v>
      </c>
      <c r="CD1230" s="73">
        <f t="shared" si="129"/>
        <v>0</v>
      </c>
      <c r="CE1230" s="75">
        <f t="shared" si="130"/>
        <v>9550</v>
      </c>
      <c r="CF1230" s="3" t="str">
        <f t="shared" si="130"/>
        <v xml:space="preserve">لاب فقط </v>
      </c>
    </row>
    <row r="1231" spans="2:84" x14ac:dyDescent="0.25">
      <c r="B1231" s="69">
        <v>105</v>
      </c>
      <c r="C1231" s="82"/>
      <c r="D1231" s="70">
        <v>9551</v>
      </c>
      <c r="E1231" s="69" t="s">
        <v>332</v>
      </c>
      <c r="F1231" s="69" t="s">
        <v>1694</v>
      </c>
      <c r="U1231" s="69"/>
      <c r="V1231" s="69"/>
      <c r="AR1231" s="74">
        <f t="shared" si="131"/>
        <v>0</v>
      </c>
      <c r="AT1231" s="69"/>
      <c r="BC1231" s="69"/>
      <c r="BD1231" s="69"/>
      <c r="CC1231" s="74">
        <f t="shared" si="128"/>
        <v>0</v>
      </c>
      <c r="CD1231" s="73">
        <f t="shared" si="129"/>
        <v>0</v>
      </c>
      <c r="CE1231" s="75">
        <f t="shared" si="130"/>
        <v>9551</v>
      </c>
      <c r="CF1231" s="3" t="str">
        <f t="shared" si="130"/>
        <v xml:space="preserve">لاب فقط </v>
      </c>
    </row>
    <row r="1232" spans="2:84" x14ac:dyDescent="0.25">
      <c r="B1232" s="69">
        <v>106</v>
      </c>
      <c r="C1232" s="82"/>
      <c r="D1232" s="70">
        <v>9552</v>
      </c>
      <c r="E1232" s="69" t="s">
        <v>332</v>
      </c>
      <c r="F1232" s="69" t="s">
        <v>1694</v>
      </c>
      <c r="U1232" s="69"/>
      <c r="V1232" s="69"/>
      <c r="AR1232" s="74">
        <f t="shared" si="131"/>
        <v>0</v>
      </c>
      <c r="AT1232" s="69"/>
      <c r="BC1232" s="69"/>
      <c r="BD1232" s="69"/>
      <c r="CC1232" s="74">
        <f t="shared" si="128"/>
        <v>0</v>
      </c>
      <c r="CD1232" s="73">
        <f t="shared" si="129"/>
        <v>0</v>
      </c>
      <c r="CE1232" s="75">
        <f t="shared" si="130"/>
        <v>9552</v>
      </c>
      <c r="CF1232" s="3" t="str">
        <f t="shared" si="130"/>
        <v xml:space="preserve">لاب فقط </v>
      </c>
    </row>
    <row r="1233" spans="2:84" x14ac:dyDescent="0.25">
      <c r="B1233" s="69">
        <v>107</v>
      </c>
      <c r="C1233" s="82"/>
      <c r="D1233" s="70">
        <v>9553</v>
      </c>
      <c r="E1233" s="69" t="s">
        <v>332</v>
      </c>
      <c r="F1233" s="69" t="s">
        <v>1694</v>
      </c>
      <c r="U1233" s="69"/>
      <c r="V1233" s="69"/>
      <c r="AR1233" s="74">
        <f t="shared" si="131"/>
        <v>0</v>
      </c>
      <c r="AT1233" s="69"/>
      <c r="BC1233" s="69"/>
      <c r="BD1233" s="69"/>
      <c r="CC1233" s="74">
        <f t="shared" si="128"/>
        <v>0</v>
      </c>
      <c r="CD1233" s="73">
        <f t="shared" si="129"/>
        <v>0</v>
      </c>
      <c r="CE1233" s="75">
        <f t="shared" si="130"/>
        <v>9553</v>
      </c>
      <c r="CF1233" s="3" t="str">
        <f t="shared" si="130"/>
        <v xml:space="preserve">لاب فقط </v>
      </c>
    </row>
    <row r="1234" spans="2:84" x14ac:dyDescent="0.25">
      <c r="B1234" s="69">
        <v>108</v>
      </c>
      <c r="C1234" s="82"/>
      <c r="D1234" s="70">
        <v>9554</v>
      </c>
      <c r="E1234" s="69" t="s">
        <v>332</v>
      </c>
      <c r="F1234" s="69" t="s">
        <v>1694</v>
      </c>
      <c r="U1234" s="69"/>
      <c r="V1234" s="69"/>
      <c r="AR1234" s="74">
        <f t="shared" si="131"/>
        <v>0</v>
      </c>
      <c r="AT1234" s="69"/>
      <c r="BC1234" s="69"/>
      <c r="BD1234" s="69"/>
      <c r="CC1234" s="74">
        <f t="shared" si="128"/>
        <v>0</v>
      </c>
      <c r="CD1234" s="73">
        <f t="shared" si="129"/>
        <v>0</v>
      </c>
      <c r="CE1234" s="75">
        <f t="shared" si="130"/>
        <v>9554</v>
      </c>
      <c r="CF1234" s="3" t="str">
        <f t="shared" si="130"/>
        <v xml:space="preserve">لاب فقط </v>
      </c>
    </row>
    <row r="1235" spans="2:84" x14ac:dyDescent="0.25">
      <c r="B1235" s="69">
        <v>109</v>
      </c>
      <c r="C1235" s="82"/>
      <c r="D1235" s="70">
        <v>9555</v>
      </c>
      <c r="E1235" s="69" t="s">
        <v>332</v>
      </c>
      <c r="F1235" s="69" t="s">
        <v>1694</v>
      </c>
      <c r="U1235" s="69"/>
      <c r="V1235" s="69"/>
      <c r="AR1235" s="74">
        <f t="shared" si="131"/>
        <v>0</v>
      </c>
      <c r="AT1235" s="69"/>
      <c r="BC1235" s="69"/>
      <c r="BD1235" s="69"/>
      <c r="CC1235" s="74">
        <f t="shared" si="128"/>
        <v>0</v>
      </c>
      <c r="CD1235" s="73">
        <f t="shared" si="129"/>
        <v>0</v>
      </c>
      <c r="CE1235" s="75">
        <f t="shared" si="130"/>
        <v>9555</v>
      </c>
      <c r="CF1235" s="3" t="str">
        <f t="shared" si="130"/>
        <v xml:space="preserve">لاب فقط </v>
      </c>
    </row>
    <row r="1236" spans="2:84" x14ac:dyDescent="0.25">
      <c r="B1236" s="69">
        <v>110</v>
      </c>
      <c r="C1236" s="82"/>
      <c r="D1236" s="70">
        <v>9556</v>
      </c>
      <c r="E1236" s="69" t="s">
        <v>332</v>
      </c>
      <c r="F1236" s="69" t="s">
        <v>1694</v>
      </c>
      <c r="U1236" s="69"/>
      <c r="V1236" s="69"/>
      <c r="AR1236" s="74">
        <f t="shared" si="131"/>
        <v>0</v>
      </c>
      <c r="AT1236" s="69"/>
      <c r="BC1236" s="69"/>
      <c r="BD1236" s="69"/>
      <c r="CC1236" s="74">
        <f t="shared" si="128"/>
        <v>0</v>
      </c>
      <c r="CD1236" s="73">
        <f t="shared" si="129"/>
        <v>0</v>
      </c>
      <c r="CE1236" s="75">
        <f t="shared" si="130"/>
        <v>9556</v>
      </c>
      <c r="CF1236" s="3" t="str">
        <f t="shared" si="130"/>
        <v xml:space="preserve">لاب فقط </v>
      </c>
    </row>
    <row r="1237" spans="2:84" x14ac:dyDescent="0.25">
      <c r="B1237" s="69">
        <v>111</v>
      </c>
      <c r="C1237" s="82"/>
      <c r="D1237" s="70">
        <v>9557</v>
      </c>
      <c r="E1237" s="69" t="s">
        <v>332</v>
      </c>
      <c r="F1237" s="69" t="s">
        <v>1694</v>
      </c>
      <c r="U1237" s="69"/>
      <c r="V1237" s="69"/>
      <c r="AR1237" s="74">
        <f t="shared" si="131"/>
        <v>0</v>
      </c>
      <c r="AT1237" s="69"/>
      <c r="BC1237" s="69"/>
      <c r="BD1237" s="69"/>
      <c r="CC1237" s="74">
        <f t="shared" si="128"/>
        <v>0</v>
      </c>
      <c r="CD1237" s="73">
        <f t="shared" si="129"/>
        <v>0</v>
      </c>
      <c r="CE1237" s="75">
        <f t="shared" si="130"/>
        <v>9557</v>
      </c>
      <c r="CF1237" s="3" t="str">
        <f t="shared" si="130"/>
        <v xml:space="preserve">لاب فقط </v>
      </c>
    </row>
    <row r="1238" spans="2:84" x14ac:dyDescent="0.25">
      <c r="B1238" s="69">
        <v>112</v>
      </c>
      <c r="C1238" s="82"/>
      <c r="D1238" s="70">
        <v>9558</v>
      </c>
      <c r="E1238" s="69" t="s">
        <v>332</v>
      </c>
      <c r="F1238" s="69" t="s">
        <v>1694</v>
      </c>
      <c r="U1238" s="69"/>
      <c r="V1238" s="69"/>
      <c r="AR1238" s="74">
        <f t="shared" si="131"/>
        <v>0</v>
      </c>
      <c r="AT1238" s="69"/>
      <c r="BC1238" s="69"/>
      <c r="BD1238" s="69"/>
      <c r="CC1238" s="74">
        <f t="shared" si="128"/>
        <v>0</v>
      </c>
      <c r="CD1238" s="73">
        <f t="shared" si="129"/>
        <v>0</v>
      </c>
      <c r="CE1238" s="75">
        <f t="shared" si="130"/>
        <v>9558</v>
      </c>
      <c r="CF1238" s="3" t="str">
        <f t="shared" si="130"/>
        <v xml:space="preserve">لاب فقط </v>
      </c>
    </row>
    <row r="1239" spans="2:84" x14ac:dyDescent="0.25">
      <c r="B1239" s="69">
        <v>113</v>
      </c>
      <c r="C1239" s="82"/>
      <c r="D1239" s="70">
        <v>9559</v>
      </c>
      <c r="E1239" s="69" t="s">
        <v>332</v>
      </c>
      <c r="F1239" s="69" t="s">
        <v>1694</v>
      </c>
      <c r="U1239" s="69"/>
      <c r="V1239" s="69"/>
      <c r="AR1239" s="74">
        <f t="shared" si="131"/>
        <v>0</v>
      </c>
      <c r="AT1239" s="69"/>
      <c r="BC1239" s="69"/>
      <c r="BD1239" s="69"/>
      <c r="CC1239" s="74">
        <f t="shared" si="128"/>
        <v>0</v>
      </c>
      <c r="CD1239" s="73">
        <f t="shared" si="129"/>
        <v>0</v>
      </c>
      <c r="CE1239" s="75">
        <f t="shared" si="130"/>
        <v>9559</v>
      </c>
      <c r="CF1239" s="3" t="str">
        <f t="shared" si="130"/>
        <v xml:space="preserve">لاب فقط </v>
      </c>
    </row>
    <row r="1240" spans="2:84" x14ac:dyDescent="0.25">
      <c r="B1240" s="69">
        <v>114</v>
      </c>
      <c r="C1240" s="82"/>
      <c r="D1240" s="70">
        <v>9560</v>
      </c>
      <c r="E1240" s="69" t="s">
        <v>332</v>
      </c>
      <c r="F1240" s="69" t="s">
        <v>1694</v>
      </c>
      <c r="U1240" s="69"/>
      <c r="V1240" s="69"/>
      <c r="AR1240" s="74">
        <f t="shared" si="131"/>
        <v>0</v>
      </c>
      <c r="AT1240" s="69"/>
      <c r="BC1240" s="69"/>
      <c r="BD1240" s="69"/>
      <c r="CC1240" s="74">
        <f t="shared" si="128"/>
        <v>0</v>
      </c>
      <c r="CD1240" s="73">
        <f t="shared" si="129"/>
        <v>0</v>
      </c>
      <c r="CE1240" s="75">
        <f t="shared" si="130"/>
        <v>9560</v>
      </c>
      <c r="CF1240" s="3" t="str">
        <f t="shared" si="130"/>
        <v xml:space="preserve">لاب فقط </v>
      </c>
    </row>
    <row r="1241" spans="2:84" x14ac:dyDescent="0.25">
      <c r="B1241" s="69">
        <v>115</v>
      </c>
      <c r="C1241" s="82"/>
      <c r="D1241" s="70">
        <v>9561</v>
      </c>
      <c r="E1241" s="69" t="s">
        <v>332</v>
      </c>
      <c r="F1241" s="69" t="s">
        <v>1694</v>
      </c>
      <c r="U1241" s="69"/>
      <c r="V1241" s="69"/>
      <c r="AR1241" s="74">
        <f t="shared" si="131"/>
        <v>0</v>
      </c>
      <c r="AT1241" s="69"/>
      <c r="BC1241" s="69"/>
      <c r="BD1241" s="69"/>
      <c r="CC1241" s="74">
        <f t="shared" si="128"/>
        <v>0</v>
      </c>
      <c r="CD1241" s="73">
        <f t="shared" si="129"/>
        <v>0</v>
      </c>
      <c r="CE1241" s="75">
        <f t="shared" si="130"/>
        <v>9561</v>
      </c>
      <c r="CF1241" s="3" t="str">
        <f t="shared" si="130"/>
        <v xml:space="preserve">لاب فقط </v>
      </c>
    </row>
    <row r="1242" spans="2:84" x14ac:dyDescent="0.25">
      <c r="B1242" s="69">
        <v>116</v>
      </c>
      <c r="C1242" s="82"/>
      <c r="D1242" s="70">
        <v>9562</v>
      </c>
      <c r="E1242" s="69" t="s">
        <v>332</v>
      </c>
      <c r="F1242" s="69" t="s">
        <v>1694</v>
      </c>
      <c r="U1242" s="69"/>
      <c r="V1242" s="69"/>
      <c r="AR1242" s="74">
        <f t="shared" si="131"/>
        <v>0</v>
      </c>
      <c r="AT1242" s="69"/>
      <c r="BC1242" s="69"/>
      <c r="BD1242" s="69"/>
      <c r="CC1242" s="74">
        <f t="shared" si="128"/>
        <v>0</v>
      </c>
      <c r="CD1242" s="73">
        <f t="shared" si="129"/>
        <v>0</v>
      </c>
      <c r="CE1242" s="75">
        <f t="shared" si="130"/>
        <v>9562</v>
      </c>
      <c r="CF1242" s="3" t="str">
        <f t="shared" si="130"/>
        <v xml:space="preserve">لاب فقط </v>
      </c>
    </row>
    <row r="1243" spans="2:84" x14ac:dyDescent="0.25">
      <c r="B1243" s="69">
        <v>117</v>
      </c>
      <c r="C1243" s="82"/>
      <c r="D1243" s="70">
        <v>9563</v>
      </c>
      <c r="E1243" s="69" t="s">
        <v>332</v>
      </c>
      <c r="F1243" s="69" t="s">
        <v>1694</v>
      </c>
      <c r="U1243" s="69"/>
      <c r="V1243" s="69"/>
      <c r="AR1243" s="74">
        <f t="shared" si="131"/>
        <v>0</v>
      </c>
      <c r="AT1243" s="69"/>
      <c r="BC1243" s="69"/>
      <c r="BD1243" s="69"/>
      <c r="CC1243" s="74">
        <f t="shared" si="128"/>
        <v>0</v>
      </c>
      <c r="CD1243" s="73">
        <f t="shared" si="129"/>
        <v>0</v>
      </c>
      <c r="CE1243" s="75">
        <f t="shared" si="130"/>
        <v>9563</v>
      </c>
      <c r="CF1243" s="3" t="str">
        <f t="shared" si="130"/>
        <v xml:space="preserve">لاب فقط </v>
      </c>
    </row>
    <row r="1244" spans="2:84" x14ac:dyDescent="0.25">
      <c r="B1244" s="69">
        <v>118</v>
      </c>
      <c r="C1244" s="82"/>
      <c r="D1244" s="70">
        <v>9564</v>
      </c>
      <c r="E1244" s="69" t="s">
        <v>332</v>
      </c>
      <c r="F1244" s="69" t="s">
        <v>1694</v>
      </c>
      <c r="U1244" s="69"/>
      <c r="V1244" s="69"/>
      <c r="AR1244" s="74">
        <f t="shared" si="131"/>
        <v>0</v>
      </c>
      <c r="AT1244" s="69"/>
      <c r="BC1244" s="69"/>
      <c r="BD1244" s="69"/>
      <c r="CC1244" s="74">
        <f t="shared" si="128"/>
        <v>0</v>
      </c>
      <c r="CD1244" s="73">
        <f t="shared" si="129"/>
        <v>0</v>
      </c>
      <c r="CE1244" s="75">
        <f t="shared" si="130"/>
        <v>9564</v>
      </c>
      <c r="CF1244" s="3" t="str">
        <f t="shared" si="130"/>
        <v xml:space="preserve">لاب فقط </v>
      </c>
    </row>
    <row r="1245" spans="2:84" x14ac:dyDescent="0.25">
      <c r="B1245" s="69">
        <v>119</v>
      </c>
      <c r="C1245" s="82"/>
      <c r="D1245" s="70">
        <v>9565</v>
      </c>
      <c r="E1245" s="69" t="s">
        <v>332</v>
      </c>
      <c r="F1245" s="69" t="s">
        <v>1694</v>
      </c>
      <c r="U1245" s="69"/>
      <c r="V1245" s="69"/>
      <c r="AR1245" s="74">
        <f t="shared" si="131"/>
        <v>0</v>
      </c>
      <c r="AT1245" s="69"/>
      <c r="BC1245" s="69"/>
      <c r="BD1245" s="69"/>
      <c r="CC1245" s="74">
        <f t="shared" si="128"/>
        <v>0</v>
      </c>
      <c r="CD1245" s="73">
        <f t="shared" si="129"/>
        <v>0</v>
      </c>
      <c r="CE1245" s="75">
        <f t="shared" si="130"/>
        <v>9565</v>
      </c>
      <c r="CF1245" s="3" t="str">
        <f t="shared" si="130"/>
        <v xml:space="preserve">لاب فقط </v>
      </c>
    </row>
    <row r="1246" spans="2:84" x14ac:dyDescent="0.25">
      <c r="B1246" s="69">
        <v>120</v>
      </c>
      <c r="C1246" s="82"/>
      <c r="D1246" s="70">
        <v>9566</v>
      </c>
      <c r="E1246" s="69" t="s">
        <v>332</v>
      </c>
      <c r="F1246" s="69" t="s">
        <v>1694</v>
      </c>
      <c r="U1246" s="69"/>
      <c r="V1246" s="69"/>
      <c r="AR1246" s="74">
        <f t="shared" si="131"/>
        <v>0</v>
      </c>
      <c r="AT1246" s="69"/>
      <c r="BC1246" s="69"/>
      <c r="BD1246" s="69"/>
      <c r="CC1246" s="74">
        <f t="shared" si="128"/>
        <v>0</v>
      </c>
      <c r="CD1246" s="73">
        <f t="shared" si="129"/>
        <v>0</v>
      </c>
      <c r="CE1246" s="75">
        <f t="shared" si="130"/>
        <v>9566</v>
      </c>
      <c r="CF1246" s="3" t="str">
        <f t="shared" si="130"/>
        <v xml:space="preserve">لاب فقط </v>
      </c>
    </row>
    <row r="1247" spans="2:84" x14ac:dyDescent="0.25">
      <c r="B1247" s="69">
        <v>121</v>
      </c>
      <c r="C1247" s="82"/>
      <c r="D1247" s="70">
        <v>9567</v>
      </c>
      <c r="E1247" s="69" t="s">
        <v>332</v>
      </c>
      <c r="F1247" s="69" t="s">
        <v>1694</v>
      </c>
      <c r="U1247" s="69"/>
      <c r="V1247" s="69"/>
      <c r="AR1247" s="74">
        <f t="shared" si="131"/>
        <v>0</v>
      </c>
      <c r="AT1247" s="69"/>
      <c r="BC1247" s="69"/>
      <c r="BD1247" s="69"/>
      <c r="CC1247" s="74">
        <f t="shared" si="128"/>
        <v>0</v>
      </c>
      <c r="CD1247" s="73">
        <f t="shared" si="129"/>
        <v>0</v>
      </c>
      <c r="CE1247" s="75">
        <f t="shared" si="130"/>
        <v>9567</v>
      </c>
      <c r="CF1247" s="3" t="str">
        <f t="shared" si="130"/>
        <v xml:space="preserve">لاب فقط </v>
      </c>
    </row>
    <row r="1248" spans="2:84" x14ac:dyDescent="0.25">
      <c r="B1248" s="69">
        <v>122</v>
      </c>
      <c r="C1248" s="82"/>
      <c r="D1248" s="70">
        <v>9568</v>
      </c>
      <c r="E1248" s="69" t="s">
        <v>332</v>
      </c>
      <c r="F1248" s="69" t="s">
        <v>1694</v>
      </c>
      <c r="U1248" s="69"/>
      <c r="V1248" s="69"/>
      <c r="AR1248" s="74">
        <f t="shared" si="131"/>
        <v>0</v>
      </c>
      <c r="AT1248" s="69"/>
      <c r="BC1248" s="69"/>
      <c r="BD1248" s="69"/>
      <c r="CC1248" s="74">
        <f t="shared" si="128"/>
        <v>0</v>
      </c>
      <c r="CD1248" s="73">
        <f t="shared" si="129"/>
        <v>0</v>
      </c>
      <c r="CE1248" s="75">
        <f t="shared" si="130"/>
        <v>9568</v>
      </c>
      <c r="CF1248" s="3" t="str">
        <f t="shared" si="130"/>
        <v xml:space="preserve">لاب فقط </v>
      </c>
    </row>
    <row r="1249" spans="2:84" x14ac:dyDescent="0.25">
      <c r="B1249" s="69">
        <v>123</v>
      </c>
      <c r="C1249" s="82"/>
      <c r="D1249" s="70">
        <v>9569</v>
      </c>
      <c r="E1249" s="69" t="s">
        <v>332</v>
      </c>
      <c r="F1249" s="69" t="s">
        <v>1694</v>
      </c>
      <c r="U1249" s="69"/>
      <c r="V1249" s="69"/>
      <c r="AR1249" s="74">
        <f t="shared" si="131"/>
        <v>0</v>
      </c>
      <c r="AT1249" s="69"/>
      <c r="BC1249" s="69"/>
      <c r="BD1249" s="69"/>
      <c r="CC1249" s="74">
        <f t="shared" si="128"/>
        <v>0</v>
      </c>
      <c r="CD1249" s="73">
        <f t="shared" si="129"/>
        <v>0</v>
      </c>
      <c r="CE1249" s="75">
        <f t="shared" si="130"/>
        <v>9569</v>
      </c>
      <c r="CF1249" s="3" t="str">
        <f t="shared" si="130"/>
        <v xml:space="preserve">لاب فقط </v>
      </c>
    </row>
    <row r="1250" spans="2:84" x14ac:dyDescent="0.25">
      <c r="B1250" s="69">
        <v>124</v>
      </c>
      <c r="C1250" s="82"/>
      <c r="D1250" s="70">
        <v>9570</v>
      </c>
      <c r="E1250" s="69" t="s">
        <v>332</v>
      </c>
      <c r="F1250" s="69" t="s">
        <v>1694</v>
      </c>
      <c r="U1250" s="69"/>
      <c r="V1250" s="69"/>
      <c r="AR1250" s="74">
        <f t="shared" si="131"/>
        <v>0</v>
      </c>
      <c r="AT1250" s="69"/>
      <c r="BC1250" s="69"/>
      <c r="BD1250" s="69"/>
      <c r="CC1250" s="74">
        <f t="shared" si="128"/>
        <v>0</v>
      </c>
      <c r="CD1250" s="73">
        <f t="shared" si="129"/>
        <v>0</v>
      </c>
      <c r="CE1250" s="75">
        <f t="shared" si="130"/>
        <v>9570</v>
      </c>
      <c r="CF1250" s="3" t="str">
        <f t="shared" si="130"/>
        <v xml:space="preserve">لاب فقط </v>
      </c>
    </row>
    <row r="1251" spans="2:84" x14ac:dyDescent="0.25">
      <c r="B1251" s="69">
        <v>125</v>
      </c>
      <c r="C1251" s="82"/>
      <c r="D1251" s="70">
        <v>9571</v>
      </c>
      <c r="E1251" s="69" t="s">
        <v>332</v>
      </c>
      <c r="F1251" s="69" t="s">
        <v>1694</v>
      </c>
      <c r="U1251" s="69"/>
      <c r="V1251" s="69"/>
      <c r="AR1251" s="74">
        <f t="shared" si="131"/>
        <v>0</v>
      </c>
      <c r="AT1251" s="69"/>
      <c r="BC1251" s="69"/>
      <c r="BD1251" s="69"/>
      <c r="CC1251" s="74">
        <f t="shared" si="128"/>
        <v>0</v>
      </c>
      <c r="CD1251" s="73">
        <f t="shared" si="129"/>
        <v>0</v>
      </c>
      <c r="CE1251" s="75">
        <f t="shared" si="130"/>
        <v>9571</v>
      </c>
      <c r="CF1251" s="3" t="str">
        <f t="shared" si="130"/>
        <v xml:space="preserve">لاب فقط </v>
      </c>
    </row>
    <row r="1252" spans="2:84" x14ac:dyDescent="0.25">
      <c r="B1252" s="69">
        <v>126</v>
      </c>
      <c r="C1252" s="82"/>
      <c r="D1252" s="70">
        <v>9572</v>
      </c>
      <c r="E1252" s="69" t="s">
        <v>332</v>
      </c>
      <c r="F1252" s="69" t="s">
        <v>1694</v>
      </c>
      <c r="U1252" s="69"/>
      <c r="V1252" s="69"/>
      <c r="AR1252" s="74">
        <f t="shared" si="131"/>
        <v>0</v>
      </c>
      <c r="AT1252" s="69"/>
      <c r="BC1252" s="69"/>
      <c r="BD1252" s="69"/>
      <c r="CC1252" s="74">
        <f t="shared" si="128"/>
        <v>0</v>
      </c>
      <c r="CD1252" s="73">
        <f t="shared" si="129"/>
        <v>0</v>
      </c>
      <c r="CE1252" s="75">
        <f t="shared" si="130"/>
        <v>9572</v>
      </c>
      <c r="CF1252" s="3" t="str">
        <f t="shared" si="130"/>
        <v xml:space="preserve">لاب فقط </v>
      </c>
    </row>
    <row r="1253" spans="2:84" x14ac:dyDescent="0.25">
      <c r="B1253" s="69">
        <v>127</v>
      </c>
      <c r="C1253" s="82"/>
      <c r="D1253" s="70">
        <v>9573</v>
      </c>
      <c r="E1253" s="69" t="s">
        <v>332</v>
      </c>
      <c r="F1253" s="69" t="s">
        <v>1694</v>
      </c>
      <c r="U1253" s="69"/>
      <c r="V1253" s="69"/>
      <c r="AR1253" s="74">
        <f t="shared" si="131"/>
        <v>0</v>
      </c>
      <c r="AT1253" s="69"/>
      <c r="BC1253" s="69"/>
      <c r="BD1253" s="69"/>
      <c r="CC1253" s="74">
        <f t="shared" si="128"/>
        <v>0</v>
      </c>
      <c r="CD1253" s="73">
        <f t="shared" si="129"/>
        <v>0</v>
      </c>
      <c r="CE1253" s="75">
        <f t="shared" si="130"/>
        <v>9573</v>
      </c>
      <c r="CF1253" s="3" t="str">
        <f t="shared" si="130"/>
        <v xml:space="preserve">لاب فقط </v>
      </c>
    </row>
    <row r="1254" spans="2:84" x14ac:dyDescent="0.25">
      <c r="B1254" s="69">
        <v>128</v>
      </c>
      <c r="C1254" s="82"/>
      <c r="D1254" s="70">
        <v>9574</v>
      </c>
      <c r="E1254" s="69" t="s">
        <v>332</v>
      </c>
      <c r="F1254" s="69" t="s">
        <v>1694</v>
      </c>
      <c r="U1254" s="69"/>
      <c r="V1254" s="69"/>
      <c r="AR1254" s="74">
        <f t="shared" si="131"/>
        <v>0</v>
      </c>
      <c r="AT1254" s="69"/>
      <c r="BC1254" s="69"/>
      <c r="BD1254" s="69"/>
      <c r="CC1254" s="74">
        <f t="shared" si="128"/>
        <v>0</v>
      </c>
      <c r="CD1254" s="73">
        <f t="shared" si="129"/>
        <v>0</v>
      </c>
      <c r="CE1254" s="75">
        <f t="shared" si="130"/>
        <v>9574</v>
      </c>
      <c r="CF1254" s="3" t="str">
        <f t="shared" si="130"/>
        <v xml:space="preserve">لاب فقط </v>
      </c>
    </row>
    <row r="1255" spans="2:84" x14ac:dyDescent="0.25">
      <c r="B1255" s="69">
        <v>129</v>
      </c>
      <c r="C1255" s="82"/>
      <c r="D1255" s="70">
        <v>9575</v>
      </c>
      <c r="E1255" s="69" t="s">
        <v>332</v>
      </c>
      <c r="F1255" s="69" t="s">
        <v>1694</v>
      </c>
      <c r="U1255" s="69"/>
      <c r="V1255" s="69"/>
      <c r="AR1255" s="74">
        <f t="shared" si="131"/>
        <v>0</v>
      </c>
      <c r="AT1255" s="69"/>
      <c r="BC1255" s="69"/>
      <c r="BD1255" s="69"/>
      <c r="CC1255" s="74">
        <f t="shared" ref="CC1255:CC1276" si="132">SUM(AS1255:CB1255)</f>
        <v>0</v>
      </c>
      <c r="CD1255" s="73">
        <f t="shared" si="129"/>
        <v>0</v>
      </c>
      <c r="CE1255" s="75">
        <f t="shared" si="130"/>
        <v>9575</v>
      </c>
      <c r="CF1255" s="3" t="str">
        <f t="shared" si="130"/>
        <v xml:space="preserve">لاب فقط </v>
      </c>
    </row>
    <row r="1256" spans="2:84" x14ac:dyDescent="0.25">
      <c r="B1256" s="69">
        <v>130</v>
      </c>
      <c r="C1256" s="82"/>
      <c r="D1256" s="70">
        <v>9576</v>
      </c>
      <c r="E1256" s="69" t="s">
        <v>332</v>
      </c>
      <c r="F1256" s="69" t="s">
        <v>1694</v>
      </c>
      <c r="U1256" s="69"/>
      <c r="V1256" s="69"/>
      <c r="AR1256" s="74">
        <f t="shared" si="131"/>
        <v>0</v>
      </c>
      <c r="AT1256" s="69"/>
      <c r="BC1256" s="69"/>
      <c r="BD1256" s="69"/>
      <c r="CC1256" s="74">
        <f t="shared" si="132"/>
        <v>0</v>
      </c>
      <c r="CD1256" s="73">
        <f t="shared" si="129"/>
        <v>0</v>
      </c>
      <c r="CE1256" s="75">
        <f t="shared" si="130"/>
        <v>9576</v>
      </c>
      <c r="CF1256" s="3" t="str">
        <f t="shared" si="130"/>
        <v xml:space="preserve">لاب فقط </v>
      </c>
    </row>
    <row r="1257" spans="2:84" x14ac:dyDescent="0.25">
      <c r="B1257" s="69">
        <v>131</v>
      </c>
      <c r="C1257" s="82"/>
      <c r="D1257" s="70">
        <v>9577</v>
      </c>
      <c r="E1257" s="69" t="s">
        <v>332</v>
      </c>
      <c r="F1257" s="69" t="s">
        <v>1694</v>
      </c>
      <c r="U1257" s="69"/>
      <c r="V1257" s="69"/>
      <c r="AR1257" s="74">
        <f t="shared" si="131"/>
        <v>0</v>
      </c>
      <c r="AT1257" s="69"/>
      <c r="BC1257" s="69"/>
      <c r="BD1257" s="69"/>
      <c r="CC1257" s="74">
        <f t="shared" si="132"/>
        <v>0</v>
      </c>
      <c r="CD1257" s="73">
        <f t="shared" si="129"/>
        <v>0</v>
      </c>
      <c r="CE1257" s="75">
        <f t="shared" si="130"/>
        <v>9577</v>
      </c>
      <c r="CF1257" s="3" t="str">
        <f t="shared" si="130"/>
        <v xml:space="preserve">لاب فقط </v>
      </c>
    </row>
    <row r="1258" spans="2:84" x14ac:dyDescent="0.25">
      <c r="B1258" s="69">
        <v>132</v>
      </c>
      <c r="C1258" s="82"/>
      <c r="D1258" s="70">
        <v>9578</v>
      </c>
      <c r="E1258" s="69" t="s">
        <v>332</v>
      </c>
      <c r="F1258" s="69" t="s">
        <v>1694</v>
      </c>
      <c r="U1258" s="69"/>
      <c r="V1258" s="69"/>
      <c r="AR1258" s="74">
        <f t="shared" si="131"/>
        <v>0</v>
      </c>
      <c r="AT1258" s="69"/>
      <c r="BC1258" s="69"/>
      <c r="BD1258" s="69"/>
      <c r="CC1258" s="74">
        <f t="shared" si="132"/>
        <v>0</v>
      </c>
      <c r="CD1258" s="73">
        <f t="shared" si="129"/>
        <v>0</v>
      </c>
      <c r="CE1258" s="75">
        <f t="shared" si="130"/>
        <v>9578</v>
      </c>
      <c r="CF1258" s="3" t="str">
        <f t="shared" si="130"/>
        <v xml:space="preserve">لاب فقط </v>
      </c>
    </row>
    <row r="1259" spans="2:84" x14ac:dyDescent="0.25">
      <c r="B1259" s="69">
        <v>133</v>
      </c>
      <c r="C1259" s="82"/>
      <c r="D1259" s="70">
        <v>9579</v>
      </c>
      <c r="E1259" s="69" t="s">
        <v>332</v>
      </c>
      <c r="F1259" s="69" t="s">
        <v>1694</v>
      </c>
      <c r="U1259" s="69"/>
      <c r="V1259" s="69"/>
      <c r="AR1259" s="74">
        <f t="shared" si="131"/>
        <v>0</v>
      </c>
      <c r="AT1259" s="69"/>
      <c r="BC1259" s="69"/>
      <c r="BD1259" s="69"/>
      <c r="CC1259" s="74">
        <f t="shared" si="132"/>
        <v>0</v>
      </c>
      <c r="CD1259" s="73">
        <f t="shared" si="129"/>
        <v>0</v>
      </c>
      <c r="CE1259" s="75">
        <f t="shared" si="130"/>
        <v>9579</v>
      </c>
      <c r="CF1259" s="3" t="str">
        <f t="shared" si="130"/>
        <v xml:space="preserve">لاب فقط </v>
      </c>
    </row>
    <row r="1260" spans="2:84" x14ac:dyDescent="0.25">
      <c r="B1260" s="69">
        <v>134</v>
      </c>
      <c r="C1260" s="82"/>
      <c r="D1260" s="70">
        <v>9580</v>
      </c>
      <c r="E1260" s="69" t="s">
        <v>332</v>
      </c>
      <c r="F1260" s="69" t="s">
        <v>1694</v>
      </c>
      <c r="U1260" s="69"/>
      <c r="V1260" s="69"/>
      <c r="AR1260" s="74">
        <f t="shared" si="131"/>
        <v>0</v>
      </c>
      <c r="AT1260" s="69"/>
      <c r="BC1260" s="69"/>
      <c r="BD1260" s="69"/>
      <c r="CC1260" s="74">
        <f t="shared" si="132"/>
        <v>0</v>
      </c>
      <c r="CD1260" s="73">
        <f t="shared" si="129"/>
        <v>0</v>
      </c>
      <c r="CE1260" s="75">
        <f t="shared" si="130"/>
        <v>9580</v>
      </c>
      <c r="CF1260" s="3" t="str">
        <f t="shared" si="130"/>
        <v xml:space="preserve">لاب فقط </v>
      </c>
    </row>
    <row r="1261" spans="2:84" x14ac:dyDescent="0.25">
      <c r="B1261" s="69">
        <v>135</v>
      </c>
      <c r="C1261" s="82"/>
      <c r="D1261" s="70">
        <v>9581</v>
      </c>
      <c r="E1261" s="69" t="s">
        <v>332</v>
      </c>
      <c r="F1261" s="69" t="s">
        <v>1694</v>
      </c>
      <c r="U1261" s="69"/>
      <c r="V1261" s="69"/>
      <c r="AR1261" s="74">
        <f t="shared" si="131"/>
        <v>0</v>
      </c>
      <c r="AT1261" s="69"/>
      <c r="BC1261" s="69"/>
      <c r="BD1261" s="69"/>
      <c r="CC1261" s="74">
        <f t="shared" si="132"/>
        <v>0</v>
      </c>
      <c r="CD1261" s="73">
        <f t="shared" si="129"/>
        <v>0</v>
      </c>
      <c r="CE1261" s="75">
        <f t="shared" si="130"/>
        <v>9581</v>
      </c>
      <c r="CF1261" s="3" t="str">
        <f t="shared" si="130"/>
        <v xml:space="preserve">لاب فقط </v>
      </c>
    </row>
    <row r="1262" spans="2:84" x14ac:dyDescent="0.25">
      <c r="B1262" s="69">
        <v>136</v>
      </c>
      <c r="C1262" s="82"/>
      <c r="D1262" s="70">
        <v>9582</v>
      </c>
      <c r="E1262" s="69" t="s">
        <v>332</v>
      </c>
      <c r="F1262" s="69" t="s">
        <v>1694</v>
      </c>
      <c r="U1262" s="69"/>
      <c r="V1262" s="69"/>
      <c r="AR1262" s="74">
        <f t="shared" si="131"/>
        <v>0</v>
      </c>
      <c r="AT1262" s="69"/>
      <c r="BC1262" s="69"/>
      <c r="BD1262" s="69"/>
      <c r="CC1262" s="74">
        <f t="shared" si="132"/>
        <v>0</v>
      </c>
      <c r="CD1262" s="73">
        <f t="shared" si="129"/>
        <v>0</v>
      </c>
      <c r="CE1262" s="75">
        <f t="shared" si="130"/>
        <v>9582</v>
      </c>
      <c r="CF1262" s="3" t="str">
        <f t="shared" si="130"/>
        <v xml:space="preserve">لاب فقط </v>
      </c>
    </row>
    <row r="1263" spans="2:84" x14ac:dyDescent="0.25">
      <c r="B1263" s="69">
        <v>137</v>
      </c>
      <c r="C1263" s="82"/>
      <c r="D1263" s="70">
        <v>9583</v>
      </c>
      <c r="E1263" s="69" t="s">
        <v>332</v>
      </c>
      <c r="F1263" s="69" t="s">
        <v>1694</v>
      </c>
      <c r="U1263" s="69"/>
      <c r="V1263" s="69"/>
      <c r="AR1263" s="74">
        <f t="shared" si="131"/>
        <v>0</v>
      </c>
      <c r="AT1263" s="69"/>
      <c r="BC1263" s="69"/>
      <c r="BD1263" s="69"/>
      <c r="CC1263" s="74">
        <f t="shared" si="132"/>
        <v>0</v>
      </c>
      <c r="CD1263" s="73">
        <f t="shared" si="129"/>
        <v>0</v>
      </c>
      <c r="CE1263" s="75">
        <f t="shared" si="130"/>
        <v>9583</v>
      </c>
      <c r="CF1263" s="3" t="str">
        <f t="shared" si="130"/>
        <v xml:space="preserve">لاب فقط </v>
      </c>
    </row>
    <row r="1264" spans="2:84" x14ac:dyDescent="0.25">
      <c r="B1264" s="69">
        <v>138</v>
      </c>
      <c r="C1264" s="82"/>
      <c r="D1264" s="70">
        <v>9584</v>
      </c>
      <c r="E1264" s="69" t="s">
        <v>332</v>
      </c>
      <c r="F1264" s="69" t="s">
        <v>1694</v>
      </c>
      <c r="U1264" s="69"/>
      <c r="V1264" s="69"/>
      <c r="AR1264" s="74">
        <f t="shared" si="131"/>
        <v>0</v>
      </c>
      <c r="AT1264" s="69"/>
      <c r="BC1264" s="69"/>
      <c r="BD1264" s="69"/>
      <c r="CC1264" s="74">
        <f t="shared" si="132"/>
        <v>0</v>
      </c>
      <c r="CD1264" s="73">
        <f t="shared" si="129"/>
        <v>0</v>
      </c>
      <c r="CE1264" s="75">
        <f t="shared" si="130"/>
        <v>9584</v>
      </c>
      <c r="CF1264" s="3" t="str">
        <f t="shared" si="130"/>
        <v xml:space="preserve">لاب فقط </v>
      </c>
    </row>
    <row r="1265" spans="2:90" x14ac:dyDescent="0.25">
      <c r="B1265" s="69">
        <v>139</v>
      </c>
      <c r="C1265" s="82"/>
      <c r="D1265" s="70">
        <v>9585</v>
      </c>
      <c r="E1265" s="69" t="s">
        <v>332</v>
      </c>
      <c r="F1265" s="69" t="s">
        <v>1694</v>
      </c>
      <c r="U1265" s="69"/>
      <c r="V1265" s="69"/>
      <c r="AR1265" s="74">
        <f t="shared" si="131"/>
        <v>0</v>
      </c>
      <c r="AT1265" s="69"/>
      <c r="BC1265" s="69"/>
      <c r="BD1265" s="69"/>
      <c r="CC1265" s="74">
        <f t="shared" si="132"/>
        <v>0</v>
      </c>
      <c r="CD1265" s="73">
        <f t="shared" ref="CD1265:CD1276" si="133">+CC1265-AR1265</f>
        <v>0</v>
      </c>
      <c r="CE1265" s="75">
        <f t="shared" si="130"/>
        <v>9585</v>
      </c>
      <c r="CF1265" s="3" t="str">
        <f t="shared" si="130"/>
        <v xml:space="preserve">لاب فقط </v>
      </c>
    </row>
    <row r="1266" spans="2:90" x14ac:dyDescent="0.25">
      <c r="B1266" s="69">
        <v>140</v>
      </c>
      <c r="C1266" s="82"/>
      <c r="D1266" s="70">
        <v>9586</v>
      </c>
      <c r="E1266" s="69" t="s">
        <v>332</v>
      </c>
      <c r="F1266" s="69" t="s">
        <v>1694</v>
      </c>
      <c r="U1266" s="69"/>
      <c r="V1266" s="69"/>
      <c r="AR1266" s="74">
        <f t="shared" si="131"/>
        <v>0</v>
      </c>
      <c r="AT1266" s="69"/>
      <c r="BC1266" s="69"/>
      <c r="BD1266" s="69"/>
      <c r="CC1266" s="74">
        <f t="shared" si="132"/>
        <v>0</v>
      </c>
      <c r="CD1266" s="73">
        <f t="shared" si="133"/>
        <v>0</v>
      </c>
      <c r="CE1266" s="75">
        <f t="shared" si="130"/>
        <v>9586</v>
      </c>
      <c r="CF1266" s="3" t="str">
        <f t="shared" si="130"/>
        <v xml:space="preserve">لاب فقط </v>
      </c>
    </row>
    <row r="1267" spans="2:90" x14ac:dyDescent="0.25">
      <c r="B1267" s="69">
        <v>141</v>
      </c>
      <c r="C1267" s="82"/>
      <c r="D1267" s="70">
        <v>9587</v>
      </c>
      <c r="E1267" s="69" t="s">
        <v>332</v>
      </c>
      <c r="F1267" s="69" t="s">
        <v>1694</v>
      </c>
      <c r="U1267" s="69"/>
      <c r="V1267" s="69"/>
      <c r="AR1267" s="74">
        <f t="shared" si="131"/>
        <v>0</v>
      </c>
      <c r="AT1267" s="69"/>
      <c r="BC1267" s="69"/>
      <c r="BD1267" s="69"/>
      <c r="CC1267" s="74">
        <f t="shared" si="132"/>
        <v>0</v>
      </c>
      <c r="CD1267" s="73">
        <f t="shared" si="133"/>
        <v>0</v>
      </c>
      <c r="CE1267" s="75">
        <f t="shared" si="130"/>
        <v>9587</v>
      </c>
      <c r="CF1267" s="3" t="str">
        <f t="shared" si="130"/>
        <v xml:space="preserve">لاب فقط </v>
      </c>
    </row>
    <row r="1268" spans="2:90" x14ac:dyDescent="0.25">
      <c r="B1268" s="69">
        <v>142</v>
      </c>
      <c r="C1268" s="82"/>
      <c r="D1268" s="70">
        <v>9588</v>
      </c>
      <c r="E1268" s="69" t="s">
        <v>332</v>
      </c>
      <c r="F1268" s="69" t="s">
        <v>1694</v>
      </c>
      <c r="U1268" s="69"/>
      <c r="V1268" s="69"/>
      <c r="AR1268" s="74">
        <f t="shared" si="131"/>
        <v>0</v>
      </c>
      <c r="AT1268" s="69"/>
      <c r="BC1268" s="69"/>
      <c r="BD1268" s="69"/>
      <c r="CC1268" s="74">
        <f t="shared" si="132"/>
        <v>0</v>
      </c>
      <c r="CD1268" s="73">
        <f t="shared" si="133"/>
        <v>0</v>
      </c>
      <c r="CE1268" s="75">
        <f t="shared" si="130"/>
        <v>9588</v>
      </c>
      <c r="CF1268" s="3" t="str">
        <f t="shared" si="130"/>
        <v xml:space="preserve">لاب فقط </v>
      </c>
    </row>
    <row r="1269" spans="2:90" x14ac:dyDescent="0.25">
      <c r="B1269" s="69">
        <v>143</v>
      </c>
      <c r="C1269" s="82"/>
      <c r="D1269" s="70">
        <v>9589</v>
      </c>
      <c r="E1269" s="69" t="s">
        <v>332</v>
      </c>
      <c r="F1269" s="69" t="s">
        <v>1694</v>
      </c>
      <c r="U1269" s="69"/>
      <c r="V1269" s="69"/>
      <c r="AR1269" s="74">
        <f t="shared" si="131"/>
        <v>0</v>
      </c>
      <c r="AT1269" s="69"/>
      <c r="BC1269" s="69"/>
      <c r="BD1269" s="69"/>
      <c r="CC1269" s="74">
        <f t="shared" si="132"/>
        <v>0</v>
      </c>
      <c r="CD1269" s="73">
        <f t="shared" si="133"/>
        <v>0</v>
      </c>
      <c r="CE1269" s="75">
        <f t="shared" si="130"/>
        <v>9589</v>
      </c>
      <c r="CF1269" s="3" t="str">
        <f t="shared" si="130"/>
        <v xml:space="preserve">لاب فقط </v>
      </c>
    </row>
    <row r="1270" spans="2:90" x14ac:dyDescent="0.25">
      <c r="B1270" s="69">
        <v>144</v>
      </c>
      <c r="C1270" s="82"/>
      <c r="D1270" s="70">
        <v>9590</v>
      </c>
      <c r="E1270" s="69" t="s">
        <v>332</v>
      </c>
      <c r="F1270" s="69" t="s">
        <v>1694</v>
      </c>
      <c r="U1270" s="69"/>
      <c r="V1270" s="69"/>
      <c r="AR1270" s="74">
        <f t="shared" si="131"/>
        <v>0</v>
      </c>
      <c r="AT1270" s="69"/>
      <c r="BC1270" s="69"/>
      <c r="BD1270" s="69"/>
      <c r="CC1270" s="74">
        <f t="shared" si="132"/>
        <v>0</v>
      </c>
      <c r="CD1270" s="73">
        <f t="shared" si="133"/>
        <v>0</v>
      </c>
      <c r="CE1270" s="75">
        <f t="shared" ref="CE1270:CF1288" si="134">+D1270</f>
        <v>9590</v>
      </c>
      <c r="CF1270" s="3" t="str">
        <f t="shared" si="134"/>
        <v xml:space="preserve">لاب فقط </v>
      </c>
    </row>
    <row r="1271" spans="2:90" x14ac:dyDescent="0.25">
      <c r="B1271" s="69">
        <v>145</v>
      </c>
      <c r="C1271" s="82"/>
      <c r="D1271" s="70">
        <v>9591</v>
      </c>
      <c r="E1271" s="69" t="s">
        <v>332</v>
      </c>
      <c r="F1271" s="69" t="s">
        <v>1694</v>
      </c>
      <c r="U1271" s="69"/>
      <c r="V1271" s="69"/>
      <c r="AR1271" s="74">
        <f t="shared" si="131"/>
        <v>0</v>
      </c>
      <c r="AT1271" s="69"/>
      <c r="BC1271" s="69"/>
      <c r="BD1271" s="69"/>
      <c r="CC1271" s="74">
        <f t="shared" si="132"/>
        <v>0</v>
      </c>
      <c r="CD1271" s="73">
        <f t="shared" si="133"/>
        <v>0</v>
      </c>
      <c r="CE1271" s="75">
        <f t="shared" si="134"/>
        <v>9591</v>
      </c>
      <c r="CF1271" s="3" t="str">
        <f t="shared" si="134"/>
        <v xml:space="preserve">لاب فقط </v>
      </c>
    </row>
    <row r="1272" spans="2:90" x14ac:dyDescent="0.25">
      <c r="B1272" s="69">
        <v>146</v>
      </c>
      <c r="C1272" s="82"/>
      <c r="D1272" s="70">
        <v>9592</v>
      </c>
      <c r="E1272" s="69" t="s">
        <v>332</v>
      </c>
      <c r="F1272" s="69" t="s">
        <v>1694</v>
      </c>
      <c r="U1272" s="69"/>
      <c r="V1272" s="69"/>
      <c r="AR1272" s="74">
        <f t="shared" si="131"/>
        <v>0</v>
      </c>
      <c r="AT1272" s="69"/>
      <c r="BC1272" s="69"/>
      <c r="BD1272" s="69"/>
      <c r="CC1272" s="74">
        <f t="shared" si="132"/>
        <v>0</v>
      </c>
      <c r="CD1272" s="73">
        <f t="shared" si="133"/>
        <v>0</v>
      </c>
      <c r="CE1272" s="75">
        <f t="shared" si="134"/>
        <v>9592</v>
      </c>
      <c r="CF1272" s="3" t="str">
        <f t="shared" si="134"/>
        <v xml:space="preserve">لاب فقط </v>
      </c>
    </row>
    <row r="1273" spans="2:90" x14ac:dyDescent="0.25">
      <c r="C1273" s="82"/>
      <c r="D1273" s="70">
        <v>9593</v>
      </c>
      <c r="E1273" s="69" t="s">
        <v>332</v>
      </c>
      <c r="F1273" s="69" t="s">
        <v>1695</v>
      </c>
      <c r="U1273" s="69"/>
      <c r="V1273" s="69"/>
      <c r="AR1273" s="74">
        <f t="shared" si="131"/>
        <v>0</v>
      </c>
      <c r="AT1273" s="69"/>
      <c r="BC1273" s="69"/>
      <c r="BD1273" s="69"/>
      <c r="CC1273" s="74">
        <f t="shared" si="132"/>
        <v>0</v>
      </c>
      <c r="CD1273" s="73">
        <f t="shared" si="133"/>
        <v>0</v>
      </c>
      <c r="CE1273" s="75">
        <f t="shared" si="134"/>
        <v>9593</v>
      </c>
      <c r="CF1273" s="3" t="str">
        <f t="shared" si="134"/>
        <v xml:space="preserve">لاب فقط </v>
      </c>
    </row>
    <row r="1274" spans="2:90" x14ac:dyDescent="0.25">
      <c r="C1274" s="82"/>
      <c r="D1274" s="70">
        <v>9594</v>
      </c>
      <c r="E1274" s="69" t="s">
        <v>332</v>
      </c>
      <c r="F1274" s="69" t="s">
        <v>1696</v>
      </c>
      <c r="U1274" s="69"/>
      <c r="V1274" s="69"/>
      <c r="AR1274" s="74">
        <f t="shared" si="131"/>
        <v>0</v>
      </c>
      <c r="AT1274" s="69"/>
      <c r="BC1274" s="69"/>
      <c r="BD1274" s="69"/>
      <c r="CC1274" s="74">
        <f t="shared" si="132"/>
        <v>0</v>
      </c>
      <c r="CD1274" s="73">
        <f t="shared" si="133"/>
        <v>0</v>
      </c>
      <c r="CE1274" s="75">
        <f t="shared" si="134"/>
        <v>9594</v>
      </c>
      <c r="CF1274" s="3" t="str">
        <f t="shared" si="134"/>
        <v xml:space="preserve">لاب فقط </v>
      </c>
    </row>
    <row r="1275" spans="2:90" s="68" customFormat="1" x14ac:dyDescent="0.25">
      <c r="C1275" s="83"/>
      <c r="D1275" s="84"/>
      <c r="F1275" s="68" t="s">
        <v>1697</v>
      </c>
      <c r="H1275" s="68">
        <f t="shared" ref="H1275:AQ1275" si="135">SUM(H994:H1274)</f>
        <v>1092555.8400000001</v>
      </c>
      <c r="I1275" s="68">
        <f t="shared" si="135"/>
        <v>35474.99</v>
      </c>
      <c r="J1275" s="68">
        <f t="shared" si="135"/>
        <v>0</v>
      </c>
      <c r="K1275" s="68">
        <f t="shared" si="135"/>
        <v>0</v>
      </c>
      <c r="L1275" s="68">
        <f t="shared" si="135"/>
        <v>0</v>
      </c>
      <c r="M1275" s="68">
        <f t="shared" si="135"/>
        <v>0</v>
      </c>
      <c r="N1275" s="68">
        <f t="shared" si="135"/>
        <v>0</v>
      </c>
      <c r="O1275" s="68">
        <f t="shared" si="135"/>
        <v>0</v>
      </c>
      <c r="P1275" s="68">
        <f t="shared" si="135"/>
        <v>8000</v>
      </c>
      <c r="Q1275" s="68">
        <f t="shared" si="135"/>
        <v>0</v>
      </c>
      <c r="R1275" s="68">
        <f t="shared" si="135"/>
        <v>0</v>
      </c>
      <c r="S1275" s="68">
        <f t="shared" si="135"/>
        <v>0</v>
      </c>
      <c r="T1275" s="68">
        <f t="shared" si="135"/>
        <v>0</v>
      </c>
      <c r="U1275" s="68">
        <f t="shared" si="135"/>
        <v>0</v>
      </c>
      <c r="V1275" s="68">
        <f t="shared" si="135"/>
        <v>0</v>
      </c>
      <c r="W1275" s="68">
        <f t="shared" si="135"/>
        <v>0</v>
      </c>
      <c r="X1275" s="68">
        <f t="shared" si="135"/>
        <v>105000</v>
      </c>
      <c r="Y1275" s="68">
        <f t="shared" si="135"/>
        <v>0</v>
      </c>
      <c r="Z1275" s="68">
        <f t="shared" si="135"/>
        <v>0</v>
      </c>
      <c r="AA1275" s="68">
        <f t="shared" si="135"/>
        <v>0</v>
      </c>
      <c r="AB1275" s="68">
        <f t="shared" si="135"/>
        <v>0</v>
      </c>
      <c r="AC1275" s="68">
        <f t="shared" si="135"/>
        <v>0</v>
      </c>
      <c r="AD1275" s="68">
        <f t="shared" si="135"/>
        <v>26094.17</v>
      </c>
      <c r="AE1275" s="68">
        <f t="shared" si="135"/>
        <v>0</v>
      </c>
      <c r="AF1275" s="68">
        <f t="shared" si="135"/>
        <v>0</v>
      </c>
      <c r="AG1275" s="68">
        <f t="shared" si="135"/>
        <v>0</v>
      </c>
      <c r="AH1275" s="68">
        <f t="shared" si="135"/>
        <v>0</v>
      </c>
      <c r="AI1275" s="68">
        <f t="shared" si="135"/>
        <v>0</v>
      </c>
      <c r="AJ1275" s="68">
        <f t="shared" si="135"/>
        <v>0</v>
      </c>
      <c r="AK1275" s="68">
        <f t="shared" si="135"/>
        <v>0</v>
      </c>
      <c r="AL1275" s="68">
        <f t="shared" si="135"/>
        <v>0</v>
      </c>
      <c r="AM1275" s="68">
        <f t="shared" si="135"/>
        <v>0</v>
      </c>
      <c r="AN1275" s="68">
        <f t="shared" si="135"/>
        <v>0</v>
      </c>
      <c r="AO1275" s="68">
        <f t="shared" si="135"/>
        <v>0</v>
      </c>
      <c r="AP1275" s="68">
        <f t="shared" si="135"/>
        <v>0</v>
      </c>
      <c r="AQ1275" s="68">
        <f t="shared" si="135"/>
        <v>0</v>
      </c>
      <c r="AR1275" s="74">
        <f t="shared" si="131"/>
        <v>1267125</v>
      </c>
      <c r="AS1275" s="68">
        <f t="shared" ref="AS1275:CB1275" si="136">SUM(AS994:AS1274)</f>
        <v>1031250.24</v>
      </c>
      <c r="AT1275" s="68">
        <f t="shared" si="136"/>
        <v>110030.34999999999</v>
      </c>
      <c r="AU1275" s="68">
        <f t="shared" si="136"/>
        <v>114933.32999999996</v>
      </c>
      <c r="AV1275" s="68">
        <f t="shared" si="136"/>
        <v>1822.5</v>
      </c>
      <c r="AW1275" s="68">
        <f t="shared" si="136"/>
        <v>149.93</v>
      </c>
      <c r="AX1275" s="68">
        <f t="shared" si="136"/>
        <v>0</v>
      </c>
      <c r="AY1275" s="68">
        <f t="shared" si="136"/>
        <v>0</v>
      </c>
      <c r="AZ1275" s="68">
        <f t="shared" si="136"/>
        <v>0</v>
      </c>
      <c r="BA1275" s="68">
        <f t="shared" si="136"/>
        <v>0</v>
      </c>
      <c r="BB1275" s="68">
        <f t="shared" si="136"/>
        <v>0</v>
      </c>
      <c r="BC1275" s="68">
        <f t="shared" si="136"/>
        <v>0</v>
      </c>
      <c r="BD1275" s="68">
        <f t="shared" si="136"/>
        <v>0</v>
      </c>
      <c r="BE1275" s="68">
        <f t="shared" si="136"/>
        <v>0</v>
      </c>
      <c r="BF1275" s="68">
        <f t="shared" si="136"/>
        <v>644.95000000000005</v>
      </c>
      <c r="BG1275" s="68">
        <f t="shared" si="136"/>
        <v>100</v>
      </c>
      <c r="BH1275" s="68">
        <f t="shared" si="136"/>
        <v>193.7</v>
      </c>
      <c r="BI1275" s="68">
        <f t="shared" si="136"/>
        <v>0</v>
      </c>
      <c r="BJ1275" s="68">
        <f t="shared" si="136"/>
        <v>0</v>
      </c>
      <c r="BK1275" s="68">
        <f t="shared" si="136"/>
        <v>0</v>
      </c>
      <c r="BL1275" s="68">
        <f t="shared" si="136"/>
        <v>0</v>
      </c>
      <c r="BM1275" s="68">
        <f t="shared" si="136"/>
        <v>0</v>
      </c>
      <c r="BN1275" s="68">
        <f t="shared" si="136"/>
        <v>8000</v>
      </c>
      <c r="BO1275" s="68">
        <f t="shared" si="136"/>
        <v>0</v>
      </c>
      <c r="BP1275" s="68">
        <f t="shared" si="136"/>
        <v>0</v>
      </c>
      <c r="BQ1275" s="68">
        <f t="shared" si="136"/>
        <v>0</v>
      </c>
      <c r="BR1275" s="68">
        <f t="shared" si="136"/>
        <v>0</v>
      </c>
      <c r="BS1275" s="68">
        <f t="shared" si="136"/>
        <v>0</v>
      </c>
      <c r="BT1275" s="68">
        <f t="shared" si="136"/>
        <v>0</v>
      </c>
      <c r="BU1275" s="68">
        <f t="shared" si="136"/>
        <v>0</v>
      </c>
      <c r="BV1275" s="68">
        <f t="shared" si="136"/>
        <v>0</v>
      </c>
      <c r="BW1275" s="68">
        <f t="shared" si="136"/>
        <v>0</v>
      </c>
      <c r="BX1275" s="68">
        <f t="shared" si="136"/>
        <v>0</v>
      </c>
      <c r="BY1275" s="68">
        <f t="shared" si="136"/>
        <v>0</v>
      </c>
      <c r="BZ1275" s="68">
        <f t="shared" si="136"/>
        <v>0</v>
      </c>
      <c r="CA1275" s="68">
        <f t="shared" si="136"/>
        <v>0</v>
      </c>
      <c r="CB1275" s="68">
        <f t="shared" si="136"/>
        <v>0</v>
      </c>
      <c r="CC1275" s="74">
        <f t="shared" si="132"/>
        <v>1267124.9999999998</v>
      </c>
      <c r="CD1275" s="73">
        <f t="shared" si="133"/>
        <v>0</v>
      </c>
      <c r="CE1275" s="75">
        <f t="shared" si="134"/>
        <v>0</v>
      </c>
      <c r="CF1275" s="3">
        <f t="shared" si="134"/>
        <v>0</v>
      </c>
      <c r="CG1275" s="68">
        <f>SUM(CG994:CG1274)</f>
        <v>0</v>
      </c>
      <c r="CH1275" s="68">
        <f>SUM(CH994:CH1274)</f>
        <v>0</v>
      </c>
      <c r="CI1275" s="68">
        <f>SUM(CI994:CI1274)</f>
        <v>0</v>
      </c>
      <c r="CJ1275" s="68">
        <f>SUM(CJ994:CJ1274)</f>
        <v>0</v>
      </c>
      <c r="CK1275" s="68">
        <f>SUM(CK994:CK1274)</f>
        <v>0</v>
      </c>
    </row>
    <row r="1276" spans="2:90" x14ac:dyDescent="0.25">
      <c r="C1276" s="82"/>
      <c r="D1276" s="78">
        <v>9595</v>
      </c>
      <c r="E1276" s="69" t="s">
        <v>121</v>
      </c>
      <c r="F1276" s="69" t="s">
        <v>1698</v>
      </c>
      <c r="G1276" s="69" t="s">
        <v>1699</v>
      </c>
      <c r="U1276" s="69"/>
      <c r="V1276" s="69"/>
      <c r="AD1276" s="69">
        <v>2311.2399999999998</v>
      </c>
      <c r="AR1276" s="74">
        <f t="shared" si="131"/>
        <v>2311.2399999999998</v>
      </c>
      <c r="AS1276" s="69">
        <v>2311.2399999999998</v>
      </c>
      <c r="AT1276" s="69"/>
      <c r="BC1276" s="69"/>
      <c r="BD1276" s="69"/>
      <c r="CC1276" s="74">
        <f t="shared" si="132"/>
        <v>2311.2399999999998</v>
      </c>
      <c r="CD1276" s="73">
        <f t="shared" si="133"/>
        <v>0</v>
      </c>
      <c r="CE1276" s="75">
        <f t="shared" si="134"/>
        <v>9595</v>
      </c>
      <c r="CF1276" s="3" t="str">
        <f t="shared" si="134"/>
        <v>ماليزى اسنان</v>
      </c>
    </row>
    <row r="1277" spans="2:90" s="68" customFormat="1" x14ac:dyDescent="0.25">
      <c r="C1277" s="83"/>
      <c r="D1277" s="84"/>
      <c r="F1277" s="68" t="s">
        <v>1700</v>
      </c>
      <c r="AD1277" s="68">
        <f>SUM(AD1276)</f>
        <v>2311.2399999999998</v>
      </c>
      <c r="AE1277" s="68">
        <f t="shared" ref="AE1277:CL1277" si="137">SUM(AE1276)</f>
        <v>0</v>
      </c>
      <c r="AF1277" s="68">
        <f t="shared" si="137"/>
        <v>0</v>
      </c>
      <c r="AG1277" s="68">
        <f t="shared" si="137"/>
        <v>0</v>
      </c>
      <c r="AH1277" s="68">
        <f t="shared" si="137"/>
        <v>0</v>
      </c>
      <c r="AI1277" s="68">
        <f t="shared" si="137"/>
        <v>0</v>
      </c>
      <c r="AJ1277" s="68">
        <f t="shared" si="137"/>
        <v>0</v>
      </c>
      <c r="AK1277" s="68">
        <f t="shared" si="137"/>
        <v>0</v>
      </c>
      <c r="AL1277" s="68">
        <f t="shared" si="137"/>
        <v>0</v>
      </c>
      <c r="AM1277" s="68">
        <f t="shared" si="137"/>
        <v>0</v>
      </c>
      <c r="AN1277" s="68">
        <f t="shared" si="137"/>
        <v>0</v>
      </c>
      <c r="AO1277" s="68">
        <f t="shared" si="137"/>
        <v>0</v>
      </c>
      <c r="AP1277" s="68">
        <f t="shared" si="137"/>
        <v>0</v>
      </c>
      <c r="AQ1277" s="68">
        <f t="shared" si="137"/>
        <v>0</v>
      </c>
      <c r="AR1277" s="57">
        <f t="shared" si="137"/>
        <v>2311.2399999999998</v>
      </c>
      <c r="AS1277" s="68">
        <f t="shared" si="137"/>
        <v>2311.2399999999998</v>
      </c>
      <c r="AT1277" s="68">
        <f t="shared" si="137"/>
        <v>0</v>
      </c>
      <c r="AU1277" s="68">
        <f t="shared" si="137"/>
        <v>0</v>
      </c>
      <c r="AV1277" s="68">
        <f t="shared" si="137"/>
        <v>0</v>
      </c>
      <c r="AW1277" s="68">
        <f t="shared" si="137"/>
        <v>0</v>
      </c>
      <c r="AX1277" s="68">
        <f t="shared" si="137"/>
        <v>0</v>
      </c>
      <c r="AY1277" s="68">
        <f t="shared" si="137"/>
        <v>0</v>
      </c>
      <c r="AZ1277" s="68">
        <f t="shared" si="137"/>
        <v>0</v>
      </c>
      <c r="BA1277" s="68">
        <f t="shared" si="137"/>
        <v>0</v>
      </c>
      <c r="BB1277" s="68">
        <f t="shared" si="137"/>
        <v>0</v>
      </c>
      <c r="BC1277" s="68">
        <f t="shared" si="137"/>
        <v>0</v>
      </c>
      <c r="BD1277" s="68">
        <f t="shared" si="137"/>
        <v>0</v>
      </c>
      <c r="BE1277" s="68">
        <f t="shared" si="137"/>
        <v>0</v>
      </c>
      <c r="BF1277" s="68">
        <f t="shared" si="137"/>
        <v>0</v>
      </c>
      <c r="BG1277" s="68">
        <f t="shared" si="137"/>
        <v>0</v>
      </c>
      <c r="BH1277" s="68">
        <f t="shared" si="137"/>
        <v>0</v>
      </c>
      <c r="BI1277" s="68">
        <f t="shared" si="137"/>
        <v>0</v>
      </c>
      <c r="BJ1277" s="68">
        <f t="shared" si="137"/>
        <v>0</v>
      </c>
      <c r="BK1277" s="68">
        <f t="shared" si="137"/>
        <v>0</v>
      </c>
      <c r="BL1277" s="68">
        <f t="shared" si="137"/>
        <v>0</v>
      </c>
      <c r="BM1277" s="68">
        <f t="shared" si="137"/>
        <v>0</v>
      </c>
      <c r="BN1277" s="68">
        <f t="shared" si="137"/>
        <v>0</v>
      </c>
      <c r="BO1277" s="68">
        <f t="shared" si="137"/>
        <v>0</v>
      </c>
      <c r="BP1277" s="68">
        <f t="shared" si="137"/>
        <v>0</v>
      </c>
      <c r="BQ1277" s="68">
        <f t="shared" si="137"/>
        <v>0</v>
      </c>
      <c r="BR1277" s="68">
        <f t="shared" si="137"/>
        <v>0</v>
      </c>
      <c r="BS1277" s="68">
        <f t="shared" si="137"/>
        <v>0</v>
      </c>
      <c r="BT1277" s="68">
        <f t="shared" si="137"/>
        <v>0</v>
      </c>
      <c r="BU1277" s="68">
        <f t="shared" si="137"/>
        <v>0</v>
      </c>
      <c r="BV1277" s="68">
        <f t="shared" si="137"/>
        <v>0</v>
      </c>
      <c r="BW1277" s="68">
        <f t="shared" si="137"/>
        <v>0</v>
      </c>
      <c r="BX1277" s="68">
        <f t="shared" si="137"/>
        <v>0</v>
      </c>
      <c r="BY1277" s="68">
        <f t="shared" si="137"/>
        <v>0</v>
      </c>
      <c r="BZ1277" s="68">
        <f t="shared" si="137"/>
        <v>0</v>
      </c>
      <c r="CA1277" s="68">
        <f t="shared" si="137"/>
        <v>0</v>
      </c>
      <c r="CB1277" s="68">
        <f t="shared" si="137"/>
        <v>0</v>
      </c>
      <c r="CC1277" s="57">
        <f t="shared" si="137"/>
        <v>2311.2399999999998</v>
      </c>
      <c r="CD1277" s="68">
        <f t="shared" si="137"/>
        <v>0</v>
      </c>
      <c r="CE1277" s="75">
        <f t="shared" si="134"/>
        <v>0</v>
      </c>
      <c r="CF1277" s="3">
        <f t="shared" si="134"/>
        <v>0</v>
      </c>
      <c r="CG1277" s="68">
        <f t="shared" si="137"/>
        <v>0</v>
      </c>
      <c r="CH1277" s="68">
        <f t="shared" si="137"/>
        <v>0</v>
      </c>
      <c r="CI1277" s="68">
        <f t="shared" si="137"/>
        <v>0</v>
      </c>
      <c r="CJ1277" s="68">
        <f t="shared" si="137"/>
        <v>0</v>
      </c>
      <c r="CK1277" s="68">
        <f t="shared" si="137"/>
        <v>0</v>
      </c>
      <c r="CL1277" s="68">
        <f t="shared" si="137"/>
        <v>0</v>
      </c>
    </row>
    <row r="1278" spans="2:90" ht="36" x14ac:dyDescent="0.25">
      <c r="B1278" s="82" t="s">
        <v>1701</v>
      </c>
      <c r="C1278" s="69"/>
      <c r="D1278" s="78">
        <v>9596</v>
      </c>
      <c r="E1278" s="69" t="s">
        <v>78</v>
      </c>
      <c r="F1278" s="69" t="s">
        <v>1597</v>
      </c>
      <c r="G1278" s="69"/>
      <c r="U1278" s="69">
        <v>0.1</v>
      </c>
      <c r="V1278" s="69"/>
      <c r="AE1278" s="69">
        <v>0.2</v>
      </c>
      <c r="AR1278" s="57">
        <v>0.30000000000000004</v>
      </c>
      <c r="AT1278" s="69"/>
      <c r="AW1278" s="69">
        <v>0.3</v>
      </c>
      <c r="BC1278" s="69"/>
      <c r="BD1278" s="69"/>
      <c r="CC1278" s="57">
        <v>0.3</v>
      </c>
      <c r="CE1278" s="75">
        <v>9596</v>
      </c>
      <c r="CF1278" s="3" t="s">
        <v>325</v>
      </c>
    </row>
    <row r="1279" spans="2:90" x14ac:dyDescent="0.25">
      <c r="B1279" s="69" t="s">
        <v>1702</v>
      </c>
      <c r="C1279" s="82"/>
      <c r="D1279" s="78">
        <v>9597</v>
      </c>
      <c r="E1279" s="69" t="s">
        <v>332</v>
      </c>
      <c r="F1279" s="69" t="s">
        <v>1703</v>
      </c>
      <c r="G1279" s="69"/>
      <c r="U1279" s="69"/>
      <c r="V1279" s="69"/>
      <c r="AT1279" s="69"/>
      <c r="BC1279" s="69"/>
      <c r="BD1279" s="69"/>
      <c r="CE1279" s="75">
        <v>9597</v>
      </c>
      <c r="CF1279" s="3" t="s">
        <v>332</v>
      </c>
    </row>
    <row r="1280" spans="2:90" x14ac:dyDescent="0.25">
      <c r="B1280" s="69" t="s">
        <v>1702</v>
      </c>
      <c r="C1280" s="82"/>
      <c r="D1280" s="78">
        <v>9598</v>
      </c>
      <c r="E1280" s="69" t="s">
        <v>332</v>
      </c>
      <c r="F1280" s="69" t="s">
        <v>1704</v>
      </c>
      <c r="G1280" s="69"/>
      <c r="U1280" s="69"/>
      <c r="V1280" s="69"/>
      <c r="AT1280" s="69"/>
      <c r="BC1280" s="69"/>
      <c r="BD1280" s="69"/>
      <c r="CE1280" s="75">
        <v>9598</v>
      </c>
      <c r="CF1280" s="3" t="s">
        <v>332</v>
      </c>
    </row>
    <row r="1281" spans="2:98" s="68" customFormat="1" x14ac:dyDescent="0.25">
      <c r="C1281" s="83"/>
      <c r="D1281" s="84"/>
      <c r="AR1281" s="57"/>
      <c r="CC1281" s="57"/>
      <c r="CE1281" s="75"/>
      <c r="CF1281" s="3"/>
    </row>
    <row r="1282" spans="2:98" s="57" customFormat="1" x14ac:dyDescent="0.25">
      <c r="B1282" s="57">
        <v>0</v>
      </c>
      <c r="C1282" s="86">
        <v>0</v>
      </c>
      <c r="D1282" s="86">
        <v>0</v>
      </c>
      <c r="F1282" s="57">
        <v>0</v>
      </c>
      <c r="G1282" s="63"/>
      <c r="H1282" s="57">
        <f t="shared" ref="H1282:AQ1282" si="138">SUM(H43:H1275)</f>
        <v>23271120.60000002</v>
      </c>
      <c r="I1282" s="57">
        <f t="shared" si="138"/>
        <v>6492352.3800000008</v>
      </c>
      <c r="J1282" s="57">
        <f t="shared" si="138"/>
        <v>6000</v>
      </c>
      <c r="K1282" s="57">
        <f t="shared" si="138"/>
        <v>0</v>
      </c>
      <c r="L1282" s="57">
        <f t="shared" si="138"/>
        <v>2091299.88</v>
      </c>
      <c r="M1282" s="57">
        <f t="shared" si="138"/>
        <v>2091299.88</v>
      </c>
      <c r="N1282" s="57">
        <f t="shared" si="138"/>
        <v>2091299.88</v>
      </c>
      <c r="O1282" s="57">
        <f t="shared" si="138"/>
        <v>0</v>
      </c>
      <c r="P1282" s="57">
        <f t="shared" si="138"/>
        <v>116000</v>
      </c>
      <c r="Q1282" s="57">
        <f t="shared" si="138"/>
        <v>0</v>
      </c>
      <c r="R1282" s="57">
        <f t="shared" si="138"/>
        <v>0</v>
      </c>
      <c r="S1282" s="57">
        <f t="shared" si="138"/>
        <v>47890</v>
      </c>
      <c r="T1282" s="57">
        <f t="shared" si="138"/>
        <v>3542732.7199999997</v>
      </c>
      <c r="U1282" s="57">
        <f t="shared" si="138"/>
        <v>2927507.2799999989</v>
      </c>
      <c r="V1282" s="57">
        <f t="shared" si="138"/>
        <v>1696</v>
      </c>
      <c r="W1282" s="57">
        <f t="shared" si="138"/>
        <v>0</v>
      </c>
      <c r="X1282" s="57">
        <f t="shared" si="138"/>
        <v>305322.23999999999</v>
      </c>
      <c r="Y1282" s="57">
        <f t="shared" si="138"/>
        <v>0</v>
      </c>
      <c r="Z1282" s="57">
        <f t="shared" si="138"/>
        <v>0</v>
      </c>
      <c r="AA1282" s="57">
        <f t="shared" si="138"/>
        <v>127365</v>
      </c>
      <c r="AB1282" s="57">
        <f t="shared" si="138"/>
        <v>122000</v>
      </c>
      <c r="AC1282" s="57">
        <f t="shared" si="138"/>
        <v>0</v>
      </c>
      <c r="AD1282" s="57">
        <f t="shared" si="138"/>
        <v>185205.07999999996</v>
      </c>
      <c r="AE1282" s="57">
        <f t="shared" si="138"/>
        <v>49.32</v>
      </c>
      <c r="AF1282" s="57">
        <f t="shared" si="138"/>
        <v>0</v>
      </c>
      <c r="AG1282" s="57">
        <f t="shared" si="138"/>
        <v>0</v>
      </c>
      <c r="AH1282" s="57">
        <f t="shared" si="138"/>
        <v>0</v>
      </c>
      <c r="AI1282" s="57">
        <f t="shared" si="138"/>
        <v>0</v>
      </c>
      <c r="AJ1282" s="57">
        <f t="shared" si="138"/>
        <v>0</v>
      </c>
      <c r="AK1282" s="57">
        <f t="shared" si="138"/>
        <v>0</v>
      </c>
      <c r="AL1282" s="57">
        <f t="shared" si="138"/>
        <v>0</v>
      </c>
      <c r="AM1282" s="57">
        <f t="shared" si="138"/>
        <v>0</v>
      </c>
      <c r="AN1282" s="57">
        <f t="shared" si="138"/>
        <v>0</v>
      </c>
      <c r="AO1282" s="57">
        <f t="shared" si="138"/>
        <v>0</v>
      </c>
      <c r="AP1282" s="57">
        <f t="shared" si="138"/>
        <v>0</v>
      </c>
      <c r="AQ1282" s="57">
        <f t="shared" si="138"/>
        <v>0</v>
      </c>
      <c r="AR1282" s="74">
        <f t="shared" si="32"/>
        <v>43419140.26000002</v>
      </c>
      <c r="AS1282" s="57">
        <f t="shared" ref="AS1282:CD1282" si="139">SUM(AS43:AS1275)</f>
        <v>32686865.080000047</v>
      </c>
      <c r="AT1282" s="57">
        <f t="shared" si="139"/>
        <v>1982945.2199999993</v>
      </c>
      <c r="AU1282" s="57">
        <f t="shared" si="139"/>
        <v>3710659.319999998</v>
      </c>
      <c r="AV1282" s="57">
        <f t="shared" si="139"/>
        <v>179708.14</v>
      </c>
      <c r="AW1282" s="57">
        <f t="shared" si="139"/>
        <v>77182.799999999988</v>
      </c>
      <c r="AX1282" s="57">
        <f t="shared" si="139"/>
        <v>5585.14</v>
      </c>
      <c r="AY1282" s="57">
        <f t="shared" si="139"/>
        <v>0</v>
      </c>
      <c r="AZ1282" s="57">
        <f t="shared" si="139"/>
        <v>0</v>
      </c>
      <c r="BA1282" s="57">
        <f t="shared" si="139"/>
        <v>0</v>
      </c>
      <c r="BB1282" s="57">
        <f t="shared" si="139"/>
        <v>0</v>
      </c>
      <c r="BC1282" s="57">
        <f t="shared" si="139"/>
        <v>0</v>
      </c>
      <c r="BD1282" s="57">
        <f t="shared" si="139"/>
        <v>0.22</v>
      </c>
      <c r="BE1282" s="57">
        <f t="shared" si="139"/>
        <v>734.56</v>
      </c>
      <c r="BF1282" s="57">
        <f t="shared" si="139"/>
        <v>70662.499999999985</v>
      </c>
      <c r="BG1282" s="57">
        <f t="shared" si="139"/>
        <v>4088</v>
      </c>
      <c r="BH1282" s="57">
        <f t="shared" si="139"/>
        <v>38307.079999999994</v>
      </c>
      <c r="BI1282" s="57">
        <f t="shared" si="139"/>
        <v>136115</v>
      </c>
      <c r="BJ1282" s="57">
        <f t="shared" si="139"/>
        <v>74554.5</v>
      </c>
      <c r="BK1282" s="57">
        <f t="shared" si="139"/>
        <v>2091299.88</v>
      </c>
      <c r="BL1282" s="57">
        <f t="shared" si="139"/>
        <v>2091299.88</v>
      </c>
      <c r="BM1282" s="57">
        <f t="shared" si="139"/>
        <v>0</v>
      </c>
      <c r="BN1282" s="57">
        <f t="shared" si="139"/>
        <v>116000</v>
      </c>
      <c r="BO1282" s="57">
        <f t="shared" si="139"/>
        <v>0</v>
      </c>
      <c r="BP1282" s="57">
        <f t="shared" si="139"/>
        <v>0</v>
      </c>
      <c r="BQ1282" s="57">
        <f t="shared" si="139"/>
        <v>122000</v>
      </c>
      <c r="BR1282" s="57">
        <f t="shared" si="139"/>
        <v>0</v>
      </c>
      <c r="BS1282" s="57">
        <f t="shared" si="139"/>
        <v>0</v>
      </c>
      <c r="BT1282" s="57">
        <f t="shared" si="139"/>
        <v>0</v>
      </c>
      <c r="BU1282" s="57">
        <f t="shared" si="139"/>
        <v>0</v>
      </c>
      <c r="BV1282" s="57">
        <f t="shared" si="139"/>
        <v>0</v>
      </c>
      <c r="BW1282" s="57">
        <f t="shared" si="139"/>
        <v>0</v>
      </c>
      <c r="BX1282" s="57">
        <f t="shared" si="139"/>
        <v>0</v>
      </c>
      <c r="BY1282" s="57">
        <f t="shared" si="139"/>
        <v>0</v>
      </c>
      <c r="BZ1282" s="57">
        <f t="shared" si="139"/>
        <v>0</v>
      </c>
      <c r="CA1282" s="57">
        <f t="shared" si="139"/>
        <v>0</v>
      </c>
      <c r="CB1282" s="57">
        <f t="shared" si="139"/>
        <v>31132.940000000002</v>
      </c>
      <c r="CC1282" s="57">
        <f t="shared" si="139"/>
        <v>43419140.259999953</v>
      </c>
      <c r="CD1282" s="57">
        <f t="shared" si="139"/>
        <v>0</v>
      </c>
      <c r="CE1282" s="75">
        <f t="shared" si="134"/>
        <v>0</v>
      </c>
      <c r="CF1282" s="3">
        <f t="shared" si="134"/>
        <v>0</v>
      </c>
      <c r="CG1282" s="57">
        <f t="shared" ref="CG1282:CT1282" si="140">SUM(CG43:CG1275)</f>
        <v>0</v>
      </c>
      <c r="CH1282" s="57">
        <f t="shared" si="140"/>
        <v>0</v>
      </c>
      <c r="CI1282" s="57">
        <f t="shared" si="140"/>
        <v>0</v>
      </c>
      <c r="CJ1282" s="57">
        <f t="shared" si="140"/>
        <v>0</v>
      </c>
      <c r="CK1282" s="57">
        <f t="shared" si="140"/>
        <v>0</v>
      </c>
      <c r="CL1282" s="57">
        <f t="shared" si="140"/>
        <v>0</v>
      </c>
      <c r="CM1282" s="57">
        <f t="shared" si="140"/>
        <v>0</v>
      </c>
      <c r="CN1282" s="57">
        <f t="shared" si="140"/>
        <v>0</v>
      </c>
      <c r="CO1282" s="57">
        <f t="shared" si="140"/>
        <v>0</v>
      </c>
      <c r="CP1282" s="57">
        <f t="shared" si="140"/>
        <v>0</v>
      </c>
      <c r="CQ1282" s="57">
        <f t="shared" si="140"/>
        <v>0</v>
      </c>
      <c r="CR1282" s="57">
        <f t="shared" si="140"/>
        <v>0</v>
      </c>
      <c r="CS1282" s="57">
        <f t="shared" si="140"/>
        <v>0</v>
      </c>
      <c r="CT1282" s="57">
        <f t="shared" si="140"/>
        <v>0</v>
      </c>
    </row>
    <row r="1283" spans="2:98" x14ac:dyDescent="0.25">
      <c r="C1283" s="70"/>
      <c r="D1283" s="70">
        <v>392</v>
      </c>
      <c r="E1283" s="76" t="s">
        <v>332</v>
      </c>
      <c r="F1283" s="69" t="s">
        <v>1705</v>
      </c>
      <c r="U1283" s="69"/>
      <c r="V1283" s="69"/>
      <c r="AR1283" s="74">
        <f t="shared" si="32"/>
        <v>0</v>
      </c>
      <c r="AT1283" s="69"/>
      <c r="BC1283" s="69"/>
      <c r="BD1283" s="69"/>
      <c r="CC1283" s="74">
        <f t="shared" ref="CC1283:CC1344" si="141">SUM(AS1283:CB1283)</f>
        <v>0</v>
      </c>
      <c r="CD1283" s="73">
        <f t="shared" ref="CD1283:CD1344" si="142">+CC1283-AR1283</f>
        <v>0</v>
      </c>
      <c r="CE1283" s="75">
        <f t="shared" si="134"/>
        <v>392</v>
      </c>
      <c r="CF1283" s="3" t="str">
        <f t="shared" si="134"/>
        <v xml:space="preserve">لاب فقط </v>
      </c>
    </row>
    <row r="1284" spans="2:98" ht="36" x14ac:dyDescent="0.25">
      <c r="C1284" s="70"/>
      <c r="D1284" s="70">
        <v>393</v>
      </c>
      <c r="E1284" s="76" t="s">
        <v>332</v>
      </c>
      <c r="F1284" s="77" t="s">
        <v>1706</v>
      </c>
      <c r="U1284" s="69"/>
      <c r="V1284" s="69"/>
      <c r="AR1284" s="74">
        <f t="shared" si="32"/>
        <v>0</v>
      </c>
      <c r="AT1284" s="69"/>
      <c r="BC1284" s="69"/>
      <c r="BD1284" s="69"/>
      <c r="CC1284" s="74">
        <f t="shared" si="141"/>
        <v>0</v>
      </c>
      <c r="CD1284" s="73">
        <f t="shared" si="142"/>
        <v>0</v>
      </c>
      <c r="CE1284" s="75">
        <f t="shared" si="134"/>
        <v>393</v>
      </c>
      <c r="CF1284" s="3" t="str">
        <f t="shared" si="134"/>
        <v xml:space="preserve">لاب فقط </v>
      </c>
    </row>
    <row r="1285" spans="2:98" ht="36" x14ac:dyDescent="0.25">
      <c r="C1285" s="70"/>
      <c r="D1285" s="70">
        <v>394</v>
      </c>
      <c r="E1285" s="76"/>
      <c r="F1285" s="77" t="s">
        <v>1707</v>
      </c>
      <c r="U1285" s="69"/>
      <c r="V1285" s="69"/>
      <c r="Y1285" s="69">
        <v>172.35</v>
      </c>
      <c r="AR1285" s="74">
        <f t="shared" si="32"/>
        <v>172.35</v>
      </c>
      <c r="AT1285" s="69"/>
      <c r="BB1285" s="69">
        <v>172.35</v>
      </c>
      <c r="BC1285" s="69"/>
      <c r="BD1285" s="69"/>
      <c r="CC1285" s="74">
        <f t="shared" si="141"/>
        <v>172.35</v>
      </c>
      <c r="CD1285" s="73">
        <f t="shared" si="142"/>
        <v>0</v>
      </c>
      <c r="CE1285" s="75">
        <f t="shared" si="134"/>
        <v>394</v>
      </c>
      <c r="CF1285" s="3">
        <f t="shared" si="134"/>
        <v>0</v>
      </c>
    </row>
    <row r="1286" spans="2:98" ht="36" x14ac:dyDescent="0.25">
      <c r="B1286" s="69" t="s">
        <v>1708</v>
      </c>
      <c r="C1286" s="70"/>
      <c r="D1286" s="70">
        <v>395</v>
      </c>
      <c r="E1286" s="76" t="str">
        <f>+E1283</f>
        <v xml:space="preserve">لاب فقط </v>
      </c>
      <c r="F1286" s="77" t="s">
        <v>1709</v>
      </c>
      <c r="U1286" s="69"/>
      <c r="V1286" s="69"/>
      <c r="AR1286" s="74">
        <f t="shared" si="32"/>
        <v>0</v>
      </c>
      <c r="AT1286" s="69"/>
      <c r="BC1286" s="69"/>
      <c r="BD1286" s="69"/>
      <c r="CC1286" s="74">
        <f t="shared" si="141"/>
        <v>0</v>
      </c>
      <c r="CD1286" s="73">
        <f t="shared" si="142"/>
        <v>0</v>
      </c>
      <c r="CE1286" s="75">
        <f t="shared" si="134"/>
        <v>395</v>
      </c>
      <c r="CF1286" s="3" t="str">
        <f t="shared" si="134"/>
        <v xml:space="preserve">لاب فقط </v>
      </c>
    </row>
    <row r="1287" spans="2:98" s="68" customFormat="1" x14ac:dyDescent="0.25">
      <c r="C1287" s="84"/>
      <c r="D1287" s="84"/>
      <c r="E1287" s="87"/>
      <c r="F1287" s="88" t="s">
        <v>1710</v>
      </c>
      <c r="Y1287" s="68">
        <f>SUM(Y1283:Y1286)</f>
        <v>172.35</v>
      </c>
      <c r="Z1287" s="68">
        <f t="shared" ref="Z1287:CI1287" si="143">SUM(Z1283:Z1286)</f>
        <v>0</v>
      </c>
      <c r="AA1287" s="68">
        <f t="shared" si="143"/>
        <v>0</v>
      </c>
      <c r="AB1287" s="68">
        <f t="shared" si="143"/>
        <v>0</v>
      </c>
      <c r="AC1287" s="68">
        <f t="shared" si="143"/>
        <v>0</v>
      </c>
      <c r="AD1287" s="68">
        <f t="shared" si="143"/>
        <v>0</v>
      </c>
      <c r="AE1287" s="68">
        <f t="shared" si="143"/>
        <v>0</v>
      </c>
      <c r="AF1287" s="68">
        <f t="shared" si="143"/>
        <v>0</v>
      </c>
      <c r="AG1287" s="68">
        <f t="shared" si="143"/>
        <v>0</v>
      </c>
      <c r="AH1287" s="68">
        <f t="shared" si="143"/>
        <v>0</v>
      </c>
      <c r="AI1287" s="68">
        <f t="shared" si="143"/>
        <v>0</v>
      </c>
      <c r="AJ1287" s="68">
        <f t="shared" si="143"/>
        <v>0</v>
      </c>
      <c r="AK1287" s="68">
        <f t="shared" si="143"/>
        <v>0</v>
      </c>
      <c r="AL1287" s="68">
        <f t="shared" si="143"/>
        <v>0</v>
      </c>
      <c r="AM1287" s="68">
        <f t="shared" si="143"/>
        <v>0</v>
      </c>
      <c r="AN1287" s="68">
        <f t="shared" si="143"/>
        <v>0</v>
      </c>
      <c r="AO1287" s="68">
        <f t="shared" si="143"/>
        <v>0</v>
      </c>
      <c r="AP1287" s="68">
        <f t="shared" si="143"/>
        <v>0</v>
      </c>
      <c r="AQ1287" s="68">
        <f t="shared" si="143"/>
        <v>0</v>
      </c>
      <c r="AR1287" s="57">
        <f t="shared" si="143"/>
        <v>172.35</v>
      </c>
      <c r="AS1287" s="68">
        <f t="shared" si="143"/>
        <v>0</v>
      </c>
      <c r="AT1287" s="68">
        <f t="shared" si="143"/>
        <v>0</v>
      </c>
      <c r="AU1287" s="68">
        <f t="shared" si="143"/>
        <v>0</v>
      </c>
      <c r="AV1287" s="68">
        <f t="shared" si="143"/>
        <v>0</v>
      </c>
      <c r="AW1287" s="68">
        <f t="shared" si="143"/>
        <v>0</v>
      </c>
      <c r="AX1287" s="68">
        <f t="shared" si="143"/>
        <v>0</v>
      </c>
      <c r="AY1287" s="68">
        <f t="shared" si="143"/>
        <v>0</v>
      </c>
      <c r="AZ1287" s="68">
        <f t="shared" si="143"/>
        <v>0</v>
      </c>
      <c r="BA1287" s="68">
        <f t="shared" si="143"/>
        <v>0</v>
      </c>
      <c r="BB1287" s="68">
        <f t="shared" si="143"/>
        <v>172.35</v>
      </c>
      <c r="BC1287" s="68">
        <f t="shared" si="143"/>
        <v>0</v>
      </c>
      <c r="BD1287" s="68">
        <f t="shared" si="143"/>
        <v>0</v>
      </c>
      <c r="BE1287" s="68">
        <f t="shared" si="143"/>
        <v>0</v>
      </c>
      <c r="BF1287" s="68">
        <f t="shared" si="143"/>
        <v>0</v>
      </c>
      <c r="BG1287" s="68">
        <f t="shared" si="143"/>
        <v>0</v>
      </c>
      <c r="BH1287" s="68">
        <f t="shared" si="143"/>
        <v>0</v>
      </c>
      <c r="BI1287" s="68">
        <f t="shared" si="143"/>
        <v>0</v>
      </c>
      <c r="BJ1287" s="68">
        <f t="shared" si="143"/>
        <v>0</v>
      </c>
      <c r="BK1287" s="68">
        <f t="shared" si="143"/>
        <v>0</v>
      </c>
      <c r="BL1287" s="68">
        <f t="shared" si="143"/>
        <v>0</v>
      </c>
      <c r="BM1287" s="68">
        <f t="shared" si="143"/>
        <v>0</v>
      </c>
      <c r="BN1287" s="68">
        <f t="shared" si="143"/>
        <v>0</v>
      </c>
      <c r="BO1287" s="68">
        <f t="shared" si="143"/>
        <v>0</v>
      </c>
      <c r="BP1287" s="68">
        <f t="shared" si="143"/>
        <v>0</v>
      </c>
      <c r="BQ1287" s="68">
        <f t="shared" si="143"/>
        <v>0</v>
      </c>
      <c r="BR1287" s="68">
        <f t="shared" si="143"/>
        <v>0</v>
      </c>
      <c r="BS1287" s="68">
        <f t="shared" si="143"/>
        <v>0</v>
      </c>
      <c r="BT1287" s="68">
        <f t="shared" si="143"/>
        <v>0</v>
      </c>
      <c r="BU1287" s="68">
        <f t="shared" si="143"/>
        <v>0</v>
      </c>
      <c r="BV1287" s="68">
        <f t="shared" si="143"/>
        <v>0</v>
      </c>
      <c r="BW1287" s="68">
        <f t="shared" si="143"/>
        <v>0</v>
      </c>
      <c r="BX1287" s="68">
        <f t="shared" si="143"/>
        <v>0</v>
      </c>
      <c r="BY1287" s="68">
        <f t="shared" si="143"/>
        <v>0</v>
      </c>
      <c r="BZ1287" s="68">
        <f t="shared" si="143"/>
        <v>0</v>
      </c>
      <c r="CA1287" s="68">
        <f t="shared" si="143"/>
        <v>0</v>
      </c>
      <c r="CB1287" s="68">
        <f t="shared" si="143"/>
        <v>0</v>
      </c>
      <c r="CC1287" s="57">
        <f t="shared" si="143"/>
        <v>172.35</v>
      </c>
      <c r="CD1287" s="68">
        <f t="shared" si="143"/>
        <v>0</v>
      </c>
      <c r="CE1287" s="75">
        <f t="shared" si="134"/>
        <v>0</v>
      </c>
      <c r="CF1287" s="3">
        <f t="shared" si="134"/>
        <v>0</v>
      </c>
      <c r="CG1287" s="68">
        <f t="shared" si="143"/>
        <v>0</v>
      </c>
      <c r="CH1287" s="68">
        <f t="shared" si="143"/>
        <v>0</v>
      </c>
      <c r="CI1287" s="68">
        <f t="shared" si="143"/>
        <v>0</v>
      </c>
    </row>
    <row r="1288" spans="2:98" ht="36" x14ac:dyDescent="0.25">
      <c r="C1288" s="70"/>
      <c r="D1288" s="70">
        <v>396</v>
      </c>
      <c r="E1288" s="76"/>
      <c r="F1288" s="77" t="s">
        <v>1711</v>
      </c>
      <c r="H1288" s="69">
        <v>1993579.17</v>
      </c>
      <c r="U1288" s="69"/>
      <c r="V1288" s="69"/>
      <c r="AR1288" s="74">
        <f t="shared" si="32"/>
        <v>1993579.17</v>
      </c>
      <c r="AT1288" s="69"/>
      <c r="BC1288" s="69"/>
      <c r="BD1288" s="69"/>
      <c r="CB1288" s="69">
        <v>1993579.17</v>
      </c>
      <c r="CC1288" s="74">
        <f t="shared" si="141"/>
        <v>1993579.17</v>
      </c>
      <c r="CD1288" s="73">
        <f t="shared" si="142"/>
        <v>0</v>
      </c>
      <c r="CE1288" s="75">
        <f t="shared" si="134"/>
        <v>396</v>
      </c>
      <c r="CF1288" s="3">
        <f t="shared" si="134"/>
        <v>0</v>
      </c>
    </row>
    <row r="1289" spans="2:98" s="68" customFormat="1" x14ac:dyDescent="0.25">
      <c r="C1289" s="84"/>
      <c r="D1289" s="84"/>
      <c r="E1289" s="87"/>
      <c r="F1289" s="68" t="s">
        <v>1712</v>
      </c>
      <c r="H1289" s="68">
        <f>SUM(H1288)</f>
        <v>1993579.17</v>
      </c>
      <c r="I1289" s="68">
        <f t="shared" ref="I1289:BT1289" si="144">SUM(I1288)</f>
        <v>0</v>
      </c>
      <c r="J1289" s="68">
        <f t="shared" si="144"/>
        <v>0</v>
      </c>
      <c r="K1289" s="68">
        <f t="shared" si="144"/>
        <v>0</v>
      </c>
      <c r="L1289" s="68">
        <f t="shared" si="144"/>
        <v>0</v>
      </c>
      <c r="M1289" s="68">
        <f t="shared" si="144"/>
        <v>0</v>
      </c>
      <c r="N1289" s="68">
        <f t="shared" si="144"/>
        <v>0</v>
      </c>
      <c r="O1289" s="68">
        <f t="shared" si="144"/>
        <v>0</v>
      </c>
      <c r="P1289" s="68">
        <f t="shared" si="144"/>
        <v>0</v>
      </c>
      <c r="Q1289" s="68">
        <f t="shared" si="144"/>
        <v>0</v>
      </c>
      <c r="R1289" s="68">
        <f t="shared" si="144"/>
        <v>0</v>
      </c>
      <c r="S1289" s="68">
        <f t="shared" si="144"/>
        <v>0</v>
      </c>
      <c r="T1289" s="68">
        <f t="shared" si="144"/>
        <v>0</v>
      </c>
      <c r="U1289" s="68">
        <f t="shared" si="144"/>
        <v>0</v>
      </c>
      <c r="V1289" s="68">
        <f t="shared" si="144"/>
        <v>0</v>
      </c>
      <c r="W1289" s="68">
        <f t="shared" si="144"/>
        <v>0</v>
      </c>
      <c r="X1289" s="68">
        <f t="shared" si="144"/>
        <v>0</v>
      </c>
      <c r="Y1289" s="68">
        <f t="shared" si="144"/>
        <v>0</v>
      </c>
      <c r="Z1289" s="68">
        <f t="shared" si="144"/>
        <v>0</v>
      </c>
      <c r="AA1289" s="68">
        <f t="shared" si="144"/>
        <v>0</v>
      </c>
      <c r="AB1289" s="68">
        <f t="shared" si="144"/>
        <v>0</v>
      </c>
      <c r="AC1289" s="68">
        <f t="shared" si="144"/>
        <v>0</v>
      </c>
      <c r="AD1289" s="68">
        <f t="shared" si="144"/>
        <v>0</v>
      </c>
      <c r="AE1289" s="68">
        <f t="shared" si="144"/>
        <v>0</v>
      </c>
      <c r="AF1289" s="68">
        <f t="shared" si="144"/>
        <v>0</v>
      </c>
      <c r="AG1289" s="68">
        <f t="shared" si="144"/>
        <v>0</v>
      </c>
      <c r="AH1289" s="68">
        <f t="shared" si="144"/>
        <v>0</v>
      </c>
      <c r="AI1289" s="68">
        <f t="shared" si="144"/>
        <v>0</v>
      </c>
      <c r="AJ1289" s="68">
        <f t="shared" si="144"/>
        <v>0</v>
      </c>
      <c r="AK1289" s="68">
        <f t="shared" si="144"/>
        <v>0</v>
      </c>
      <c r="AL1289" s="68">
        <f t="shared" si="144"/>
        <v>0</v>
      </c>
      <c r="AM1289" s="68">
        <f t="shared" si="144"/>
        <v>0</v>
      </c>
      <c r="AN1289" s="68">
        <f t="shared" si="144"/>
        <v>0</v>
      </c>
      <c r="AO1289" s="68">
        <f t="shared" si="144"/>
        <v>0</v>
      </c>
      <c r="AP1289" s="68">
        <f t="shared" si="144"/>
        <v>0</v>
      </c>
      <c r="AQ1289" s="68">
        <f t="shared" si="144"/>
        <v>0</v>
      </c>
      <c r="AR1289" s="57">
        <f t="shared" si="144"/>
        <v>1993579.17</v>
      </c>
      <c r="AS1289" s="68">
        <f t="shared" si="144"/>
        <v>0</v>
      </c>
      <c r="AT1289" s="68">
        <f t="shared" si="144"/>
        <v>0</v>
      </c>
      <c r="AU1289" s="68">
        <f t="shared" si="144"/>
        <v>0</v>
      </c>
      <c r="AV1289" s="68">
        <f t="shared" si="144"/>
        <v>0</v>
      </c>
      <c r="AW1289" s="68">
        <f t="shared" si="144"/>
        <v>0</v>
      </c>
      <c r="AX1289" s="68">
        <f t="shared" si="144"/>
        <v>0</v>
      </c>
      <c r="AY1289" s="68">
        <f t="shared" si="144"/>
        <v>0</v>
      </c>
      <c r="AZ1289" s="68">
        <f t="shared" si="144"/>
        <v>0</v>
      </c>
      <c r="BA1289" s="68">
        <f t="shared" si="144"/>
        <v>0</v>
      </c>
      <c r="BB1289" s="68">
        <f t="shared" si="144"/>
        <v>0</v>
      </c>
      <c r="BC1289" s="68">
        <f t="shared" si="144"/>
        <v>0</v>
      </c>
      <c r="BD1289" s="68">
        <f t="shared" si="144"/>
        <v>0</v>
      </c>
      <c r="BE1289" s="68">
        <f t="shared" si="144"/>
        <v>0</v>
      </c>
      <c r="BF1289" s="68">
        <f t="shared" si="144"/>
        <v>0</v>
      </c>
      <c r="BG1289" s="68">
        <f t="shared" si="144"/>
        <v>0</v>
      </c>
      <c r="BH1289" s="68">
        <f t="shared" si="144"/>
        <v>0</v>
      </c>
      <c r="BI1289" s="68">
        <f t="shared" si="144"/>
        <v>0</v>
      </c>
      <c r="BJ1289" s="68">
        <f t="shared" si="144"/>
        <v>0</v>
      </c>
      <c r="BK1289" s="68">
        <f t="shared" si="144"/>
        <v>0</v>
      </c>
      <c r="BL1289" s="68">
        <f t="shared" si="144"/>
        <v>0</v>
      </c>
      <c r="BM1289" s="68">
        <f t="shared" si="144"/>
        <v>0</v>
      </c>
      <c r="BN1289" s="68">
        <f t="shared" si="144"/>
        <v>0</v>
      </c>
      <c r="BO1289" s="68">
        <f t="shared" si="144"/>
        <v>0</v>
      </c>
      <c r="BP1289" s="68">
        <f t="shared" si="144"/>
        <v>0</v>
      </c>
      <c r="BQ1289" s="68">
        <f t="shared" si="144"/>
        <v>0</v>
      </c>
      <c r="BR1289" s="68">
        <f t="shared" si="144"/>
        <v>0</v>
      </c>
      <c r="BS1289" s="68">
        <f t="shared" si="144"/>
        <v>0</v>
      </c>
      <c r="BT1289" s="68">
        <f t="shared" si="144"/>
        <v>0</v>
      </c>
      <c r="BU1289" s="68">
        <f t="shared" ref="BU1289:CI1289" si="145">SUM(BU1288)</f>
        <v>0</v>
      </c>
      <c r="BV1289" s="68">
        <f t="shared" si="145"/>
        <v>0</v>
      </c>
      <c r="BW1289" s="68">
        <f t="shared" si="145"/>
        <v>0</v>
      </c>
      <c r="BX1289" s="68">
        <f t="shared" si="145"/>
        <v>0</v>
      </c>
      <c r="BY1289" s="68">
        <f t="shared" si="145"/>
        <v>0</v>
      </c>
      <c r="BZ1289" s="68">
        <f t="shared" si="145"/>
        <v>0</v>
      </c>
      <c r="CA1289" s="68">
        <f t="shared" si="145"/>
        <v>0</v>
      </c>
      <c r="CB1289" s="68">
        <f t="shared" si="145"/>
        <v>1993579.17</v>
      </c>
      <c r="CC1289" s="57">
        <f t="shared" si="145"/>
        <v>1993579.17</v>
      </c>
      <c r="CD1289" s="68">
        <f t="shared" si="145"/>
        <v>0</v>
      </c>
      <c r="CF1289" s="68">
        <f t="shared" si="145"/>
        <v>0</v>
      </c>
      <c r="CG1289" s="68">
        <f t="shared" si="145"/>
        <v>0</v>
      </c>
      <c r="CH1289" s="68">
        <f t="shared" si="145"/>
        <v>0</v>
      </c>
      <c r="CI1289" s="68">
        <f t="shared" si="145"/>
        <v>0</v>
      </c>
    </row>
    <row r="1290" spans="2:98" x14ac:dyDescent="0.25">
      <c r="C1290" s="70"/>
      <c r="D1290" s="70">
        <v>397</v>
      </c>
      <c r="E1290" s="76"/>
      <c r="F1290" s="69" t="s">
        <v>1713</v>
      </c>
      <c r="Q1290" s="69">
        <v>2000</v>
      </c>
      <c r="U1290" s="69"/>
      <c r="V1290" s="69"/>
      <c r="AR1290" s="74">
        <f t="shared" si="32"/>
        <v>2000</v>
      </c>
      <c r="AT1290" s="69"/>
      <c r="BC1290" s="69"/>
      <c r="BD1290" s="69"/>
      <c r="BO1290" s="69">
        <v>2000</v>
      </c>
      <c r="CC1290" s="74">
        <f t="shared" si="141"/>
        <v>2000</v>
      </c>
      <c r="CD1290" s="73">
        <f t="shared" si="142"/>
        <v>0</v>
      </c>
      <c r="CE1290" s="75">
        <f t="shared" ref="CE1290:CF1320" si="146">+D1290</f>
        <v>397</v>
      </c>
      <c r="CF1290" s="3">
        <f t="shared" si="146"/>
        <v>0</v>
      </c>
    </row>
    <row r="1291" spans="2:98" x14ac:dyDescent="0.25">
      <c r="C1291" s="70"/>
      <c r="D1291" s="70">
        <v>398</v>
      </c>
      <c r="E1291" s="76"/>
      <c r="F1291" s="69" t="s">
        <v>1714</v>
      </c>
      <c r="Q1291" s="69">
        <v>8000</v>
      </c>
      <c r="U1291" s="69"/>
      <c r="V1291" s="69"/>
      <c r="AR1291" s="74">
        <f t="shared" ref="AR1291:AR1344" si="147">SUM(H1291:AQ1291)</f>
        <v>8000</v>
      </c>
      <c r="AT1291" s="69"/>
      <c r="BC1291" s="69"/>
      <c r="BD1291" s="69"/>
      <c r="BO1291" s="69">
        <v>8000</v>
      </c>
      <c r="CC1291" s="74">
        <f t="shared" si="141"/>
        <v>8000</v>
      </c>
      <c r="CD1291" s="73">
        <f t="shared" si="142"/>
        <v>0</v>
      </c>
      <c r="CE1291" s="75">
        <f t="shared" si="146"/>
        <v>398</v>
      </c>
      <c r="CF1291" s="3">
        <f t="shared" si="146"/>
        <v>0</v>
      </c>
    </row>
    <row r="1292" spans="2:98" x14ac:dyDescent="0.25">
      <c r="C1292" s="70"/>
      <c r="D1292" s="70">
        <v>399</v>
      </c>
      <c r="E1292" s="76"/>
      <c r="F1292" s="69" t="s">
        <v>1715</v>
      </c>
      <c r="Q1292" s="69">
        <v>10000</v>
      </c>
      <c r="U1292" s="69"/>
      <c r="V1292" s="69"/>
      <c r="AR1292" s="74">
        <f t="shared" si="147"/>
        <v>10000</v>
      </c>
      <c r="AT1292" s="69"/>
      <c r="BC1292" s="69"/>
      <c r="BD1292" s="69"/>
      <c r="BO1292" s="69">
        <v>10000</v>
      </c>
      <c r="CC1292" s="74">
        <f t="shared" si="141"/>
        <v>10000</v>
      </c>
      <c r="CD1292" s="73">
        <f t="shared" si="142"/>
        <v>0</v>
      </c>
      <c r="CE1292" s="75">
        <f t="shared" si="146"/>
        <v>399</v>
      </c>
      <c r="CF1292" s="3">
        <f t="shared" si="146"/>
        <v>0</v>
      </c>
    </row>
    <row r="1293" spans="2:98" x14ac:dyDescent="0.25">
      <c r="C1293" s="70"/>
      <c r="D1293" s="70">
        <v>400</v>
      </c>
      <c r="E1293" s="76"/>
      <c r="F1293" s="69" t="s">
        <v>1716</v>
      </c>
      <c r="Q1293" s="69">
        <v>13500</v>
      </c>
      <c r="U1293" s="69"/>
      <c r="V1293" s="69"/>
      <c r="AR1293" s="74">
        <f t="shared" si="147"/>
        <v>13500</v>
      </c>
      <c r="AT1293" s="69"/>
      <c r="BC1293" s="69"/>
      <c r="BD1293" s="69"/>
      <c r="BO1293" s="69">
        <v>13500</v>
      </c>
      <c r="CC1293" s="74">
        <f t="shared" si="141"/>
        <v>13500</v>
      </c>
      <c r="CD1293" s="73">
        <f t="shared" si="142"/>
        <v>0</v>
      </c>
      <c r="CE1293" s="75">
        <f t="shared" si="146"/>
        <v>400</v>
      </c>
      <c r="CF1293" s="3">
        <f t="shared" si="146"/>
        <v>0</v>
      </c>
    </row>
    <row r="1294" spans="2:98" x14ac:dyDescent="0.25">
      <c r="C1294" s="70"/>
      <c r="D1294" s="70">
        <v>401</v>
      </c>
      <c r="E1294" s="76"/>
      <c r="F1294" s="69" t="s">
        <v>1717</v>
      </c>
      <c r="Q1294" s="69">
        <v>5000</v>
      </c>
      <c r="U1294" s="69"/>
      <c r="V1294" s="69"/>
      <c r="AR1294" s="74">
        <f t="shared" si="147"/>
        <v>5000</v>
      </c>
      <c r="AT1294" s="69"/>
      <c r="BC1294" s="69"/>
      <c r="BD1294" s="69"/>
      <c r="BO1294" s="69">
        <v>5000</v>
      </c>
      <c r="CC1294" s="74">
        <f t="shared" si="141"/>
        <v>5000</v>
      </c>
      <c r="CD1294" s="73">
        <f t="shared" si="142"/>
        <v>0</v>
      </c>
      <c r="CE1294" s="75">
        <f t="shared" si="146"/>
        <v>401</v>
      </c>
      <c r="CF1294" s="3">
        <f t="shared" si="146"/>
        <v>0</v>
      </c>
    </row>
    <row r="1295" spans="2:98" x14ac:dyDescent="0.25">
      <c r="C1295" s="70"/>
      <c r="D1295" s="70">
        <v>402</v>
      </c>
      <c r="E1295" s="76"/>
      <c r="F1295" s="69" t="s">
        <v>1718</v>
      </c>
      <c r="Q1295" s="69">
        <v>15625</v>
      </c>
      <c r="U1295" s="69"/>
      <c r="V1295" s="69"/>
      <c r="AR1295" s="74">
        <f t="shared" si="147"/>
        <v>15625</v>
      </c>
      <c r="AT1295" s="69"/>
      <c r="BC1295" s="69"/>
      <c r="BD1295" s="69"/>
      <c r="BO1295" s="69">
        <v>15625</v>
      </c>
      <c r="CC1295" s="74">
        <f t="shared" si="141"/>
        <v>15625</v>
      </c>
      <c r="CD1295" s="73">
        <f t="shared" si="142"/>
        <v>0</v>
      </c>
      <c r="CE1295" s="75">
        <f t="shared" si="146"/>
        <v>402</v>
      </c>
      <c r="CF1295" s="3">
        <f t="shared" si="146"/>
        <v>0</v>
      </c>
    </row>
    <row r="1296" spans="2:98" x14ac:dyDescent="0.25">
      <c r="C1296" s="70"/>
      <c r="D1296" s="70">
        <v>403</v>
      </c>
      <c r="E1296" s="76"/>
      <c r="F1296" s="69" t="s">
        <v>1719</v>
      </c>
      <c r="Q1296" s="69">
        <v>16000</v>
      </c>
      <c r="U1296" s="69"/>
      <c r="V1296" s="69"/>
      <c r="AR1296" s="74">
        <f t="shared" si="147"/>
        <v>16000</v>
      </c>
      <c r="AT1296" s="69"/>
      <c r="BC1296" s="69"/>
      <c r="BD1296" s="69"/>
      <c r="BO1296" s="69">
        <v>16000</v>
      </c>
      <c r="CC1296" s="74">
        <f t="shared" si="141"/>
        <v>16000</v>
      </c>
      <c r="CD1296" s="73">
        <f t="shared" si="142"/>
        <v>0</v>
      </c>
      <c r="CE1296" s="75">
        <f t="shared" si="146"/>
        <v>403</v>
      </c>
      <c r="CF1296" s="3">
        <f t="shared" si="146"/>
        <v>0</v>
      </c>
    </row>
    <row r="1297" spans="3:84" x14ac:dyDescent="0.25">
      <c r="C1297" s="70"/>
      <c r="D1297" s="70">
        <v>404</v>
      </c>
      <c r="E1297" s="76"/>
      <c r="F1297" s="69" t="s">
        <v>1720</v>
      </c>
      <c r="Q1297" s="69">
        <v>15000</v>
      </c>
      <c r="U1297" s="69"/>
      <c r="V1297" s="69"/>
      <c r="AR1297" s="74">
        <f t="shared" si="147"/>
        <v>15000</v>
      </c>
      <c r="AT1297" s="69"/>
      <c r="BC1297" s="69"/>
      <c r="BD1297" s="69"/>
      <c r="BO1297" s="69">
        <v>15000</v>
      </c>
      <c r="CC1297" s="74">
        <f t="shared" si="141"/>
        <v>15000</v>
      </c>
      <c r="CD1297" s="73">
        <f t="shared" si="142"/>
        <v>0</v>
      </c>
      <c r="CE1297" s="75">
        <f t="shared" si="146"/>
        <v>404</v>
      </c>
      <c r="CF1297" s="3">
        <f t="shared" si="146"/>
        <v>0</v>
      </c>
    </row>
    <row r="1298" spans="3:84" ht="36" x14ac:dyDescent="0.25">
      <c r="C1298" s="70"/>
      <c r="D1298" s="70">
        <v>405</v>
      </c>
      <c r="E1298" s="76"/>
      <c r="F1298" s="77" t="s">
        <v>1721</v>
      </c>
      <c r="U1298" s="69"/>
      <c r="V1298" s="69"/>
      <c r="AC1298" s="69">
        <v>94199.89</v>
      </c>
      <c r="AR1298" s="74">
        <f t="shared" si="147"/>
        <v>94199.89</v>
      </c>
      <c r="AT1298" s="69"/>
      <c r="BC1298" s="69"/>
      <c r="BD1298" s="69"/>
      <c r="BP1298" s="69">
        <v>94199.89</v>
      </c>
      <c r="CC1298" s="74">
        <f t="shared" si="141"/>
        <v>94199.89</v>
      </c>
      <c r="CD1298" s="73">
        <f t="shared" si="142"/>
        <v>0</v>
      </c>
      <c r="CE1298" s="75">
        <f t="shared" si="146"/>
        <v>405</v>
      </c>
      <c r="CF1298" s="3">
        <f t="shared" si="146"/>
        <v>0</v>
      </c>
    </row>
    <row r="1299" spans="3:84" x14ac:dyDescent="0.25">
      <c r="C1299" s="70"/>
      <c r="D1299" s="70">
        <v>406</v>
      </c>
      <c r="E1299" s="76"/>
      <c r="F1299" s="69" t="s">
        <v>1722</v>
      </c>
      <c r="U1299" s="69"/>
      <c r="V1299" s="69"/>
      <c r="AC1299" s="69">
        <v>46000</v>
      </c>
      <c r="AR1299" s="74">
        <f t="shared" si="147"/>
        <v>46000</v>
      </c>
      <c r="AT1299" s="69"/>
      <c r="BC1299" s="69"/>
      <c r="BD1299" s="69"/>
      <c r="BP1299" s="69">
        <v>46000</v>
      </c>
      <c r="CC1299" s="74">
        <f t="shared" si="141"/>
        <v>46000</v>
      </c>
      <c r="CD1299" s="73">
        <f t="shared" si="142"/>
        <v>0</v>
      </c>
      <c r="CE1299" s="75">
        <f t="shared" si="146"/>
        <v>406</v>
      </c>
      <c r="CF1299" s="3">
        <f t="shared" si="146"/>
        <v>0</v>
      </c>
    </row>
    <row r="1300" spans="3:84" ht="36" x14ac:dyDescent="0.25">
      <c r="C1300" s="70"/>
      <c r="D1300" s="70">
        <v>407</v>
      </c>
      <c r="E1300" s="76" t="s">
        <v>132</v>
      </c>
      <c r="F1300" s="69" t="s">
        <v>1723</v>
      </c>
      <c r="I1300" s="69">
        <v>30</v>
      </c>
      <c r="U1300" s="69"/>
      <c r="V1300" s="69"/>
      <c r="AR1300" s="74">
        <f t="shared" si="147"/>
        <v>30</v>
      </c>
      <c r="AT1300" s="69"/>
      <c r="BC1300" s="69"/>
      <c r="BD1300" s="69"/>
      <c r="CB1300" s="69">
        <v>30</v>
      </c>
      <c r="CC1300" s="74">
        <f t="shared" si="141"/>
        <v>30</v>
      </c>
      <c r="CD1300" s="73">
        <f t="shared" si="142"/>
        <v>0</v>
      </c>
      <c r="CE1300" s="75">
        <f t="shared" si="146"/>
        <v>407</v>
      </c>
      <c r="CF1300" s="3" t="str">
        <f t="shared" si="146"/>
        <v>صيدلة اكلينيكى</v>
      </c>
    </row>
    <row r="1301" spans="3:84" x14ac:dyDescent="0.25">
      <c r="C1301" s="70"/>
      <c r="D1301" s="70">
        <v>408</v>
      </c>
      <c r="E1301" s="76" t="s">
        <v>137</v>
      </c>
      <c r="F1301" s="69" t="s">
        <v>1724</v>
      </c>
      <c r="U1301" s="69"/>
      <c r="V1301" s="69"/>
      <c r="AQ1301" s="69">
        <v>6030</v>
      </c>
      <c r="AR1301" s="74">
        <f t="shared" si="147"/>
        <v>6030</v>
      </c>
      <c r="AT1301" s="69"/>
      <c r="BC1301" s="69"/>
      <c r="BD1301" s="69"/>
      <c r="CB1301" s="69">
        <v>6030</v>
      </c>
      <c r="CC1301" s="74">
        <f t="shared" si="141"/>
        <v>6030</v>
      </c>
      <c r="CD1301" s="73">
        <f t="shared" si="142"/>
        <v>0</v>
      </c>
      <c r="CE1301" s="75">
        <f t="shared" si="146"/>
        <v>408</v>
      </c>
      <c r="CF1301" s="3" t="str">
        <f t="shared" si="146"/>
        <v xml:space="preserve">خدمة عامة </v>
      </c>
    </row>
    <row r="1302" spans="3:84" x14ac:dyDescent="0.25">
      <c r="C1302" s="82"/>
      <c r="D1302" s="70">
        <v>409</v>
      </c>
      <c r="E1302" s="76" t="s">
        <v>137</v>
      </c>
      <c r="F1302" s="69" t="s">
        <v>1725</v>
      </c>
      <c r="U1302" s="69"/>
      <c r="V1302" s="69"/>
      <c r="AQ1302" s="69">
        <v>1780</v>
      </c>
      <c r="AR1302" s="74">
        <f t="shared" si="147"/>
        <v>1780</v>
      </c>
      <c r="AT1302" s="69"/>
      <c r="BC1302" s="69"/>
      <c r="BD1302" s="69"/>
      <c r="CB1302" s="69">
        <v>1780</v>
      </c>
      <c r="CC1302" s="74">
        <f t="shared" si="141"/>
        <v>1780</v>
      </c>
      <c r="CD1302" s="73">
        <f t="shared" si="142"/>
        <v>0</v>
      </c>
      <c r="CE1302" s="75">
        <f t="shared" si="146"/>
        <v>409</v>
      </c>
      <c r="CF1302" s="3" t="str">
        <f t="shared" si="146"/>
        <v xml:space="preserve">خدمة عامة </v>
      </c>
    </row>
    <row r="1303" spans="3:84" x14ac:dyDescent="0.25">
      <c r="C1303" s="82"/>
      <c r="D1303" s="70">
        <v>410</v>
      </c>
      <c r="E1303" s="76" t="s">
        <v>137</v>
      </c>
      <c r="F1303" s="69" t="s">
        <v>1726</v>
      </c>
      <c r="U1303" s="69"/>
      <c r="V1303" s="69"/>
      <c r="AQ1303" s="69">
        <v>3340</v>
      </c>
      <c r="AR1303" s="74">
        <f t="shared" si="147"/>
        <v>3340</v>
      </c>
      <c r="AT1303" s="69"/>
      <c r="BC1303" s="69"/>
      <c r="BD1303" s="69"/>
      <c r="CB1303" s="69">
        <v>3340</v>
      </c>
      <c r="CC1303" s="74">
        <f t="shared" si="141"/>
        <v>3340</v>
      </c>
      <c r="CD1303" s="73">
        <f t="shared" si="142"/>
        <v>0</v>
      </c>
      <c r="CE1303" s="75">
        <f t="shared" si="146"/>
        <v>410</v>
      </c>
      <c r="CF1303" s="3" t="str">
        <f t="shared" si="146"/>
        <v xml:space="preserve">خدمة عامة </v>
      </c>
    </row>
    <row r="1304" spans="3:84" x14ac:dyDescent="0.25">
      <c r="C1304" s="82"/>
      <c r="D1304" s="70">
        <v>411</v>
      </c>
      <c r="E1304" s="76" t="s">
        <v>137</v>
      </c>
      <c r="F1304" s="69" t="s">
        <v>1727</v>
      </c>
      <c r="U1304" s="69"/>
      <c r="V1304" s="69"/>
      <c r="AQ1304" s="69">
        <v>8360</v>
      </c>
      <c r="AR1304" s="74">
        <f t="shared" si="147"/>
        <v>8360</v>
      </c>
      <c r="AT1304" s="69"/>
      <c r="BC1304" s="69"/>
      <c r="BD1304" s="69"/>
      <c r="CB1304" s="69">
        <v>8360</v>
      </c>
      <c r="CC1304" s="74">
        <f t="shared" si="141"/>
        <v>8360</v>
      </c>
      <c r="CD1304" s="73">
        <f t="shared" si="142"/>
        <v>0</v>
      </c>
      <c r="CE1304" s="75">
        <f t="shared" si="146"/>
        <v>411</v>
      </c>
      <c r="CF1304" s="3" t="str">
        <f t="shared" si="146"/>
        <v xml:space="preserve">خدمة عامة </v>
      </c>
    </row>
    <row r="1305" spans="3:84" x14ac:dyDescent="0.25">
      <c r="C1305" s="82"/>
      <c r="D1305" s="70">
        <v>412</v>
      </c>
      <c r="E1305" s="76" t="s">
        <v>137</v>
      </c>
      <c r="F1305" s="69" t="s">
        <v>1728</v>
      </c>
      <c r="U1305" s="69"/>
      <c r="V1305" s="69"/>
      <c r="AQ1305" s="69">
        <v>9315</v>
      </c>
      <c r="AR1305" s="74">
        <f t="shared" si="147"/>
        <v>9315</v>
      </c>
      <c r="AT1305" s="69"/>
      <c r="BC1305" s="69"/>
      <c r="BD1305" s="69"/>
      <c r="CB1305" s="69">
        <v>9315</v>
      </c>
      <c r="CC1305" s="74">
        <f t="shared" si="141"/>
        <v>9315</v>
      </c>
      <c r="CD1305" s="73">
        <f t="shared" si="142"/>
        <v>0</v>
      </c>
      <c r="CE1305" s="75">
        <f t="shared" si="146"/>
        <v>412</v>
      </c>
      <c r="CF1305" s="3" t="str">
        <f t="shared" si="146"/>
        <v xml:space="preserve">خدمة عامة </v>
      </c>
    </row>
    <row r="1306" spans="3:84" x14ac:dyDescent="0.25">
      <c r="C1306" s="82"/>
      <c r="D1306" s="70">
        <v>413</v>
      </c>
      <c r="E1306" s="76" t="s">
        <v>137</v>
      </c>
      <c r="F1306" s="69" t="s">
        <v>1729</v>
      </c>
      <c r="U1306" s="69"/>
      <c r="V1306" s="69"/>
      <c r="AQ1306" s="69">
        <v>4505</v>
      </c>
      <c r="AR1306" s="74">
        <f t="shared" si="147"/>
        <v>4505</v>
      </c>
      <c r="AT1306" s="69"/>
      <c r="BC1306" s="69"/>
      <c r="BD1306" s="69"/>
      <c r="CB1306" s="69">
        <v>4505</v>
      </c>
      <c r="CC1306" s="74">
        <f t="shared" si="141"/>
        <v>4505</v>
      </c>
      <c r="CD1306" s="73">
        <f t="shared" si="142"/>
        <v>0</v>
      </c>
      <c r="CE1306" s="75">
        <f t="shared" si="146"/>
        <v>413</v>
      </c>
      <c r="CF1306" s="3" t="str">
        <f t="shared" si="146"/>
        <v xml:space="preserve">خدمة عامة </v>
      </c>
    </row>
    <row r="1307" spans="3:84" x14ac:dyDescent="0.25">
      <c r="C1307" s="82"/>
      <c r="D1307" s="70">
        <v>414</v>
      </c>
      <c r="E1307" s="76" t="s">
        <v>137</v>
      </c>
      <c r="F1307" s="69" t="s">
        <v>1730</v>
      </c>
      <c r="U1307" s="69"/>
      <c r="V1307" s="69"/>
      <c r="AQ1307" s="69">
        <v>5160</v>
      </c>
      <c r="AR1307" s="74">
        <f t="shared" si="147"/>
        <v>5160</v>
      </c>
      <c r="AT1307" s="69"/>
      <c r="BC1307" s="69"/>
      <c r="BD1307" s="69"/>
      <c r="CB1307" s="69">
        <v>5160</v>
      </c>
      <c r="CC1307" s="74">
        <f t="shared" si="141"/>
        <v>5160</v>
      </c>
      <c r="CD1307" s="73">
        <f t="shared" si="142"/>
        <v>0</v>
      </c>
      <c r="CE1307" s="75">
        <f t="shared" si="146"/>
        <v>414</v>
      </c>
      <c r="CF1307" s="3" t="str">
        <f t="shared" si="146"/>
        <v xml:space="preserve">خدمة عامة </v>
      </c>
    </row>
    <row r="1308" spans="3:84" x14ac:dyDescent="0.25">
      <c r="C1308" s="82"/>
      <c r="D1308" s="70">
        <v>415</v>
      </c>
      <c r="E1308" s="76" t="s">
        <v>137</v>
      </c>
      <c r="F1308" s="69" t="s">
        <v>1731</v>
      </c>
      <c r="U1308" s="69"/>
      <c r="V1308" s="69"/>
      <c r="AQ1308" s="69">
        <v>3295</v>
      </c>
      <c r="AR1308" s="74">
        <f t="shared" si="147"/>
        <v>3295</v>
      </c>
      <c r="AT1308" s="69"/>
      <c r="BC1308" s="69"/>
      <c r="BD1308" s="69"/>
      <c r="CB1308" s="69">
        <v>3295</v>
      </c>
      <c r="CC1308" s="74">
        <f t="shared" si="141"/>
        <v>3295</v>
      </c>
      <c r="CD1308" s="73">
        <f t="shared" si="142"/>
        <v>0</v>
      </c>
      <c r="CE1308" s="75">
        <f t="shared" si="146"/>
        <v>415</v>
      </c>
      <c r="CF1308" s="3" t="str">
        <f t="shared" si="146"/>
        <v xml:space="preserve">خدمة عامة </v>
      </c>
    </row>
    <row r="1309" spans="3:84" x14ac:dyDescent="0.25">
      <c r="C1309" s="82"/>
      <c r="D1309" s="70">
        <v>416</v>
      </c>
      <c r="E1309" s="76" t="s">
        <v>137</v>
      </c>
      <c r="F1309" s="69" t="s">
        <v>1732</v>
      </c>
      <c r="U1309" s="69"/>
      <c r="V1309" s="69"/>
      <c r="AQ1309" s="69">
        <v>9045</v>
      </c>
      <c r="AR1309" s="74">
        <f t="shared" si="147"/>
        <v>9045</v>
      </c>
      <c r="AT1309" s="69"/>
      <c r="BC1309" s="69"/>
      <c r="BD1309" s="69"/>
      <c r="CB1309" s="69">
        <v>9045</v>
      </c>
      <c r="CC1309" s="74">
        <f t="shared" si="141"/>
        <v>9045</v>
      </c>
      <c r="CD1309" s="73">
        <f t="shared" si="142"/>
        <v>0</v>
      </c>
      <c r="CE1309" s="75">
        <f t="shared" si="146"/>
        <v>416</v>
      </c>
      <c r="CF1309" s="3" t="str">
        <f t="shared" si="146"/>
        <v xml:space="preserve">خدمة عامة </v>
      </c>
    </row>
    <row r="1310" spans="3:84" x14ac:dyDescent="0.25">
      <c r="C1310" s="82"/>
      <c r="D1310" s="70">
        <v>417</v>
      </c>
      <c r="E1310" s="76" t="s">
        <v>137</v>
      </c>
      <c r="F1310" s="69" t="s">
        <v>1733</v>
      </c>
      <c r="U1310" s="69"/>
      <c r="V1310" s="69"/>
      <c r="AQ1310" s="69">
        <v>5075</v>
      </c>
      <c r="AR1310" s="74">
        <f t="shared" si="147"/>
        <v>5075</v>
      </c>
      <c r="AT1310" s="69"/>
      <c r="BC1310" s="69"/>
      <c r="BD1310" s="69"/>
      <c r="CB1310" s="69">
        <v>5075</v>
      </c>
      <c r="CC1310" s="74">
        <f t="shared" si="141"/>
        <v>5075</v>
      </c>
      <c r="CD1310" s="73">
        <f t="shared" si="142"/>
        <v>0</v>
      </c>
      <c r="CE1310" s="75">
        <f t="shared" si="146"/>
        <v>417</v>
      </c>
      <c r="CF1310" s="3" t="str">
        <f t="shared" si="146"/>
        <v xml:space="preserve">خدمة عامة </v>
      </c>
    </row>
    <row r="1311" spans="3:84" x14ac:dyDescent="0.25">
      <c r="C1311" s="82"/>
      <c r="D1311" s="70">
        <v>418</v>
      </c>
      <c r="E1311" s="76" t="s">
        <v>137</v>
      </c>
      <c r="F1311" s="69" t="s">
        <v>1734</v>
      </c>
      <c r="U1311" s="69"/>
      <c r="V1311" s="69"/>
      <c r="AQ1311" s="69">
        <v>10125</v>
      </c>
      <c r="AR1311" s="74">
        <f t="shared" si="147"/>
        <v>10125</v>
      </c>
      <c r="AT1311" s="69"/>
      <c r="BC1311" s="69"/>
      <c r="BD1311" s="69"/>
      <c r="CB1311" s="69">
        <v>10125</v>
      </c>
      <c r="CC1311" s="74">
        <f t="shared" si="141"/>
        <v>10125</v>
      </c>
      <c r="CD1311" s="73">
        <f t="shared" si="142"/>
        <v>0</v>
      </c>
      <c r="CE1311" s="75">
        <f t="shared" si="146"/>
        <v>418</v>
      </c>
      <c r="CF1311" s="3" t="str">
        <f t="shared" si="146"/>
        <v xml:space="preserve">خدمة عامة </v>
      </c>
    </row>
    <row r="1312" spans="3:84" x14ac:dyDescent="0.25">
      <c r="C1312" s="82"/>
      <c r="D1312" s="70">
        <v>419</v>
      </c>
      <c r="E1312" s="76" t="s">
        <v>137</v>
      </c>
      <c r="F1312" s="69" t="s">
        <v>1735</v>
      </c>
      <c r="U1312" s="69"/>
      <c r="V1312" s="69"/>
      <c r="AQ1312" s="69">
        <v>5120</v>
      </c>
      <c r="AR1312" s="74">
        <f t="shared" si="147"/>
        <v>5120</v>
      </c>
      <c r="AT1312" s="69"/>
      <c r="BC1312" s="69"/>
      <c r="BD1312" s="69"/>
      <c r="CB1312" s="69">
        <v>5120</v>
      </c>
      <c r="CC1312" s="74">
        <f t="shared" si="141"/>
        <v>5120</v>
      </c>
      <c r="CD1312" s="73">
        <f t="shared" si="142"/>
        <v>0</v>
      </c>
      <c r="CE1312" s="75">
        <f t="shared" si="146"/>
        <v>419</v>
      </c>
      <c r="CF1312" s="3" t="str">
        <f t="shared" si="146"/>
        <v xml:space="preserve">خدمة عامة </v>
      </c>
    </row>
    <row r="1313" spans="3:84" x14ac:dyDescent="0.25">
      <c r="C1313" s="82"/>
      <c r="D1313" s="70">
        <v>420</v>
      </c>
      <c r="E1313" s="69" t="s">
        <v>122</v>
      </c>
      <c r="F1313" s="69" t="s">
        <v>1736</v>
      </c>
      <c r="U1313" s="69"/>
      <c r="V1313" s="69"/>
      <c r="AQ1313" s="69">
        <v>100</v>
      </c>
      <c r="AR1313" s="74">
        <f t="shared" si="147"/>
        <v>100</v>
      </c>
      <c r="AT1313" s="69"/>
      <c r="BC1313" s="69"/>
      <c r="BD1313" s="69"/>
      <c r="CB1313" s="69">
        <v>100</v>
      </c>
      <c r="CC1313" s="74">
        <f t="shared" si="141"/>
        <v>100</v>
      </c>
      <c r="CD1313" s="73">
        <f t="shared" si="142"/>
        <v>0</v>
      </c>
      <c r="CE1313" s="75">
        <f t="shared" si="146"/>
        <v>420</v>
      </c>
      <c r="CF1313" s="3" t="str">
        <f t="shared" si="146"/>
        <v>علاج تخصصى</v>
      </c>
    </row>
    <row r="1314" spans="3:84" x14ac:dyDescent="0.25">
      <c r="C1314" s="82"/>
      <c r="D1314" s="70">
        <v>421</v>
      </c>
      <c r="E1314" s="69" t="s">
        <v>122</v>
      </c>
      <c r="F1314" s="69" t="s">
        <v>1737</v>
      </c>
      <c r="U1314" s="69"/>
      <c r="V1314" s="69"/>
      <c r="AQ1314" s="69">
        <v>300</v>
      </c>
      <c r="AR1314" s="74">
        <f t="shared" si="147"/>
        <v>300</v>
      </c>
      <c r="AT1314" s="69"/>
      <c r="BC1314" s="69"/>
      <c r="BD1314" s="69"/>
      <c r="CB1314" s="69">
        <v>300</v>
      </c>
      <c r="CC1314" s="74">
        <f t="shared" si="141"/>
        <v>300</v>
      </c>
      <c r="CD1314" s="73">
        <f t="shared" si="142"/>
        <v>0</v>
      </c>
      <c r="CE1314" s="75">
        <f t="shared" si="146"/>
        <v>421</v>
      </c>
      <c r="CF1314" s="3" t="str">
        <f t="shared" si="146"/>
        <v>علاج تخصصى</v>
      </c>
    </row>
    <row r="1315" spans="3:84" x14ac:dyDescent="0.25">
      <c r="C1315" s="70"/>
      <c r="D1315" s="70">
        <v>422</v>
      </c>
      <c r="E1315" s="69" t="s">
        <v>122</v>
      </c>
      <c r="F1315" s="69" t="s">
        <v>1738</v>
      </c>
      <c r="U1315" s="69"/>
      <c r="V1315" s="69"/>
      <c r="AQ1315" s="69">
        <v>50</v>
      </c>
      <c r="AR1315" s="74">
        <f t="shared" si="147"/>
        <v>50</v>
      </c>
      <c r="AT1315" s="69"/>
      <c r="BC1315" s="69"/>
      <c r="BD1315" s="69"/>
      <c r="CB1315" s="69">
        <v>50</v>
      </c>
      <c r="CC1315" s="74">
        <f t="shared" si="141"/>
        <v>50</v>
      </c>
      <c r="CD1315" s="73">
        <f t="shared" si="142"/>
        <v>0</v>
      </c>
      <c r="CE1315" s="75">
        <f t="shared" si="146"/>
        <v>422</v>
      </c>
      <c r="CF1315" s="3" t="str">
        <f t="shared" si="146"/>
        <v>علاج تخصصى</v>
      </c>
    </row>
    <row r="1316" spans="3:84" x14ac:dyDescent="0.25">
      <c r="C1316" s="70"/>
      <c r="D1316" s="70">
        <v>423</v>
      </c>
      <c r="E1316" s="69" t="s">
        <v>122</v>
      </c>
      <c r="F1316" s="69" t="s">
        <v>1739</v>
      </c>
      <c r="U1316" s="69"/>
      <c r="V1316" s="69"/>
      <c r="AQ1316" s="69">
        <v>200</v>
      </c>
      <c r="AR1316" s="74">
        <f t="shared" si="147"/>
        <v>200</v>
      </c>
      <c r="AT1316" s="69"/>
      <c r="BC1316" s="69"/>
      <c r="BD1316" s="69"/>
      <c r="CB1316" s="69">
        <v>200</v>
      </c>
      <c r="CC1316" s="74">
        <f t="shared" si="141"/>
        <v>200</v>
      </c>
      <c r="CD1316" s="73">
        <f t="shared" si="142"/>
        <v>0</v>
      </c>
      <c r="CE1316" s="75">
        <f t="shared" si="146"/>
        <v>423</v>
      </c>
      <c r="CF1316" s="3" t="str">
        <f t="shared" si="146"/>
        <v>علاج تخصصى</v>
      </c>
    </row>
    <row r="1317" spans="3:84" x14ac:dyDescent="0.25">
      <c r="C1317" s="82"/>
      <c r="D1317" s="70">
        <v>424</v>
      </c>
      <c r="E1317" s="69" t="s">
        <v>122</v>
      </c>
      <c r="F1317" s="69" t="s">
        <v>1740</v>
      </c>
      <c r="U1317" s="69"/>
      <c r="V1317" s="69"/>
      <c r="AQ1317" s="69">
        <v>200</v>
      </c>
      <c r="AR1317" s="74">
        <f t="shared" si="147"/>
        <v>200</v>
      </c>
      <c r="AT1317" s="69"/>
      <c r="BC1317" s="69"/>
      <c r="BD1317" s="69"/>
      <c r="CB1317" s="69">
        <v>200</v>
      </c>
      <c r="CC1317" s="74">
        <f t="shared" si="141"/>
        <v>200</v>
      </c>
      <c r="CD1317" s="73">
        <f t="shared" si="142"/>
        <v>0</v>
      </c>
      <c r="CE1317" s="75">
        <f t="shared" si="146"/>
        <v>424</v>
      </c>
      <c r="CF1317" s="3" t="str">
        <f t="shared" si="146"/>
        <v>علاج تخصصى</v>
      </c>
    </row>
    <row r="1318" spans="3:84" x14ac:dyDescent="0.25">
      <c r="C1318" s="82"/>
      <c r="D1318" s="70">
        <v>425</v>
      </c>
      <c r="E1318" s="69" t="s">
        <v>122</v>
      </c>
      <c r="F1318" s="69" t="s">
        <v>1741</v>
      </c>
      <c r="U1318" s="69"/>
      <c r="V1318" s="69"/>
      <c r="AQ1318" s="69">
        <v>250</v>
      </c>
      <c r="AR1318" s="74">
        <f t="shared" si="147"/>
        <v>250</v>
      </c>
      <c r="AT1318" s="69"/>
      <c r="BC1318" s="69"/>
      <c r="BD1318" s="69"/>
      <c r="CB1318" s="69">
        <v>250</v>
      </c>
      <c r="CC1318" s="74">
        <f t="shared" si="141"/>
        <v>250</v>
      </c>
      <c r="CD1318" s="73">
        <f t="shared" si="142"/>
        <v>0</v>
      </c>
      <c r="CE1318" s="75">
        <f t="shared" si="146"/>
        <v>425</v>
      </c>
      <c r="CF1318" s="3" t="str">
        <f t="shared" si="146"/>
        <v>علاج تخصصى</v>
      </c>
    </row>
    <row r="1319" spans="3:84" x14ac:dyDescent="0.25">
      <c r="C1319" s="82"/>
      <c r="D1319" s="70">
        <v>426</v>
      </c>
      <c r="E1319" s="69" t="s">
        <v>122</v>
      </c>
      <c r="F1319" s="69" t="s">
        <v>1742</v>
      </c>
      <c r="U1319" s="69"/>
      <c r="V1319" s="69"/>
      <c r="AQ1319" s="69">
        <v>350</v>
      </c>
      <c r="AR1319" s="74">
        <f t="shared" si="147"/>
        <v>350</v>
      </c>
      <c r="AT1319" s="69"/>
      <c r="BC1319" s="69"/>
      <c r="BD1319" s="69"/>
      <c r="CB1319" s="69">
        <v>350</v>
      </c>
      <c r="CC1319" s="74">
        <f t="shared" si="141"/>
        <v>350</v>
      </c>
      <c r="CD1319" s="73">
        <f t="shared" si="142"/>
        <v>0</v>
      </c>
      <c r="CE1319" s="75">
        <f t="shared" si="146"/>
        <v>426</v>
      </c>
      <c r="CF1319" s="3" t="str">
        <f t="shared" si="146"/>
        <v>علاج تخصصى</v>
      </c>
    </row>
    <row r="1320" spans="3:84" x14ac:dyDescent="0.25">
      <c r="D1320" s="70">
        <v>427</v>
      </c>
      <c r="E1320" s="69" t="s">
        <v>122</v>
      </c>
      <c r="F1320" s="69" t="s">
        <v>1743</v>
      </c>
      <c r="U1320" s="69"/>
      <c r="V1320" s="69"/>
      <c r="AQ1320" s="69">
        <v>100</v>
      </c>
      <c r="AR1320" s="74">
        <f t="shared" si="147"/>
        <v>100</v>
      </c>
      <c r="AT1320" s="69"/>
      <c r="BC1320" s="69"/>
      <c r="BD1320" s="69"/>
      <c r="CB1320" s="69">
        <v>100</v>
      </c>
      <c r="CC1320" s="74">
        <f t="shared" si="141"/>
        <v>100</v>
      </c>
      <c r="CD1320" s="73">
        <f t="shared" si="142"/>
        <v>0</v>
      </c>
      <c r="CE1320" s="75">
        <f t="shared" si="146"/>
        <v>427</v>
      </c>
      <c r="CF1320" s="3" t="str">
        <f t="shared" si="146"/>
        <v>علاج تخصصى</v>
      </c>
    </row>
    <row r="1321" spans="3:84" x14ac:dyDescent="0.25">
      <c r="D1321" s="70">
        <v>428</v>
      </c>
      <c r="E1321" s="69" t="s">
        <v>122</v>
      </c>
      <c r="F1321" s="69" t="s">
        <v>1744</v>
      </c>
      <c r="U1321" s="69"/>
      <c r="V1321" s="69"/>
      <c r="AQ1321" s="69">
        <v>100</v>
      </c>
      <c r="AR1321" s="74">
        <f t="shared" si="147"/>
        <v>100</v>
      </c>
      <c r="AT1321" s="69"/>
      <c r="BC1321" s="69"/>
      <c r="BD1321" s="69"/>
      <c r="CB1321" s="69">
        <v>100</v>
      </c>
      <c r="CC1321" s="74">
        <f t="shared" si="141"/>
        <v>100</v>
      </c>
      <c r="CD1321" s="73">
        <f t="shared" si="142"/>
        <v>0</v>
      </c>
      <c r="CE1321" s="75">
        <f t="shared" ref="CE1321:CF1339" si="148">+D1321</f>
        <v>428</v>
      </c>
      <c r="CF1321" s="3" t="str">
        <f t="shared" si="148"/>
        <v>علاج تخصصى</v>
      </c>
    </row>
    <row r="1322" spans="3:84" x14ac:dyDescent="0.25">
      <c r="D1322" s="70">
        <v>429</v>
      </c>
      <c r="E1322" s="69" t="s">
        <v>122</v>
      </c>
      <c r="F1322" s="69" t="s">
        <v>1745</v>
      </c>
      <c r="U1322" s="69"/>
      <c r="V1322" s="69"/>
      <c r="AQ1322" s="69">
        <v>300</v>
      </c>
      <c r="AR1322" s="74">
        <f t="shared" si="147"/>
        <v>300</v>
      </c>
      <c r="AT1322" s="69"/>
      <c r="BC1322" s="69"/>
      <c r="BD1322" s="69"/>
      <c r="CB1322" s="69">
        <v>300</v>
      </c>
      <c r="CC1322" s="74">
        <f t="shared" si="141"/>
        <v>300</v>
      </c>
      <c r="CD1322" s="73">
        <f t="shared" si="142"/>
        <v>0</v>
      </c>
      <c r="CE1322" s="75">
        <f t="shared" si="148"/>
        <v>429</v>
      </c>
      <c r="CF1322" s="3" t="str">
        <f t="shared" si="148"/>
        <v>علاج تخصصى</v>
      </c>
    </row>
    <row r="1323" spans="3:84" x14ac:dyDescent="0.25">
      <c r="D1323" s="70">
        <v>430</v>
      </c>
      <c r="E1323" s="69" t="s">
        <v>122</v>
      </c>
      <c r="F1323" s="69" t="s">
        <v>1746</v>
      </c>
      <c r="U1323" s="69"/>
      <c r="V1323" s="69"/>
      <c r="AQ1323" s="69">
        <v>50</v>
      </c>
      <c r="AR1323" s="74">
        <f t="shared" si="147"/>
        <v>50</v>
      </c>
      <c r="AT1323" s="69"/>
      <c r="BC1323" s="69"/>
      <c r="BD1323" s="69"/>
      <c r="CB1323" s="69">
        <v>50</v>
      </c>
      <c r="CC1323" s="74">
        <f t="shared" si="141"/>
        <v>50</v>
      </c>
      <c r="CD1323" s="73">
        <f t="shared" si="142"/>
        <v>0</v>
      </c>
      <c r="CE1323" s="75">
        <f t="shared" si="148"/>
        <v>430</v>
      </c>
      <c r="CF1323" s="3" t="str">
        <f t="shared" si="148"/>
        <v>علاج تخصصى</v>
      </c>
    </row>
    <row r="1324" spans="3:84" x14ac:dyDescent="0.25">
      <c r="D1324" s="70">
        <v>431</v>
      </c>
      <c r="E1324" s="69" t="s">
        <v>122</v>
      </c>
      <c r="F1324" s="69" t="s">
        <v>1747</v>
      </c>
      <c r="U1324" s="69"/>
      <c r="V1324" s="69"/>
      <c r="AQ1324" s="69">
        <v>50</v>
      </c>
      <c r="AR1324" s="74">
        <f t="shared" si="147"/>
        <v>50</v>
      </c>
      <c r="AT1324" s="69"/>
      <c r="BC1324" s="69"/>
      <c r="BD1324" s="69"/>
      <c r="CB1324" s="69">
        <v>50</v>
      </c>
      <c r="CC1324" s="74">
        <f t="shared" si="141"/>
        <v>50</v>
      </c>
      <c r="CD1324" s="73">
        <f t="shared" si="142"/>
        <v>0</v>
      </c>
      <c r="CE1324" s="75">
        <f t="shared" si="148"/>
        <v>431</v>
      </c>
      <c r="CF1324" s="3" t="str">
        <f t="shared" si="148"/>
        <v>علاج تخصصى</v>
      </c>
    </row>
    <row r="1325" spans="3:84" x14ac:dyDescent="0.25">
      <c r="D1325" s="70">
        <v>432</v>
      </c>
      <c r="E1325" s="76" t="s">
        <v>123</v>
      </c>
      <c r="F1325" s="69" t="s">
        <v>1748</v>
      </c>
      <c r="U1325" s="69"/>
      <c r="V1325" s="69"/>
      <c r="AQ1325" s="69">
        <v>350</v>
      </c>
      <c r="AR1325" s="74">
        <f t="shared" si="147"/>
        <v>350</v>
      </c>
      <c r="AT1325" s="69"/>
      <c r="BC1325" s="69"/>
      <c r="BD1325" s="69"/>
      <c r="CB1325" s="69">
        <v>350</v>
      </c>
      <c r="CC1325" s="74">
        <f t="shared" si="141"/>
        <v>350</v>
      </c>
      <c r="CD1325" s="73">
        <f t="shared" si="142"/>
        <v>0</v>
      </c>
      <c r="CE1325" s="75">
        <f t="shared" si="148"/>
        <v>432</v>
      </c>
      <c r="CF1325" s="3" t="str">
        <f t="shared" si="148"/>
        <v>خ ت اسنان</v>
      </c>
    </row>
    <row r="1326" spans="3:84" ht="36" x14ac:dyDescent="0.25">
      <c r="D1326" s="70">
        <v>433</v>
      </c>
      <c r="E1326" s="76"/>
      <c r="F1326" s="77" t="s">
        <v>1749</v>
      </c>
      <c r="U1326" s="69"/>
      <c r="V1326" s="69"/>
      <c r="AK1326" s="69">
        <v>61913</v>
      </c>
      <c r="AR1326" s="74">
        <f t="shared" si="147"/>
        <v>61913</v>
      </c>
      <c r="AT1326" s="69"/>
      <c r="BC1326" s="69"/>
      <c r="BD1326" s="69"/>
      <c r="BU1326" s="69">
        <v>61913</v>
      </c>
      <c r="CC1326" s="74">
        <f t="shared" si="141"/>
        <v>61913</v>
      </c>
      <c r="CD1326" s="73">
        <f t="shared" si="142"/>
        <v>0</v>
      </c>
      <c r="CE1326" s="75">
        <f t="shared" si="148"/>
        <v>433</v>
      </c>
      <c r="CF1326" s="3">
        <f t="shared" si="148"/>
        <v>0</v>
      </c>
    </row>
    <row r="1327" spans="3:84" ht="54" x14ac:dyDescent="0.25">
      <c r="D1327" s="70">
        <v>434</v>
      </c>
      <c r="E1327" s="76"/>
      <c r="F1327" s="77" t="s">
        <v>1750</v>
      </c>
      <c r="U1327" s="69"/>
      <c r="V1327" s="69"/>
      <c r="AF1327" s="69">
        <v>2318</v>
      </c>
      <c r="AR1327" s="74">
        <f t="shared" si="147"/>
        <v>2318</v>
      </c>
      <c r="AT1327" s="69"/>
      <c r="BA1327" s="69">
        <v>2318</v>
      </c>
      <c r="BC1327" s="69"/>
      <c r="BD1327" s="69"/>
      <c r="CC1327" s="74">
        <f t="shared" si="141"/>
        <v>2318</v>
      </c>
      <c r="CD1327" s="73">
        <f t="shared" si="142"/>
        <v>0</v>
      </c>
      <c r="CE1327" s="75">
        <f t="shared" si="148"/>
        <v>434</v>
      </c>
      <c r="CF1327" s="3">
        <f t="shared" si="148"/>
        <v>0</v>
      </c>
    </row>
    <row r="1328" spans="3:84" x14ac:dyDescent="0.25">
      <c r="D1328" s="70">
        <v>435</v>
      </c>
      <c r="E1328" s="76"/>
      <c r="F1328" s="69" t="s">
        <v>1751</v>
      </c>
      <c r="Q1328" s="69">
        <v>3000</v>
      </c>
      <c r="U1328" s="69"/>
      <c r="V1328" s="69"/>
      <c r="AR1328" s="74">
        <f t="shared" si="147"/>
        <v>3000</v>
      </c>
      <c r="AT1328" s="69"/>
      <c r="BC1328" s="69"/>
      <c r="BD1328" s="69"/>
      <c r="BO1328" s="69">
        <v>3000</v>
      </c>
      <c r="CC1328" s="74">
        <f t="shared" si="141"/>
        <v>3000</v>
      </c>
      <c r="CD1328" s="73">
        <f t="shared" si="142"/>
        <v>0</v>
      </c>
      <c r="CE1328" s="75">
        <f t="shared" si="148"/>
        <v>435</v>
      </c>
      <c r="CF1328" s="3">
        <f t="shared" si="148"/>
        <v>0</v>
      </c>
    </row>
    <row r="1329" spans="2:91" x14ac:dyDescent="0.25">
      <c r="D1329" s="70">
        <v>436</v>
      </c>
      <c r="E1329" s="76"/>
      <c r="F1329" s="69" t="s">
        <v>1752</v>
      </c>
      <c r="U1329" s="69"/>
      <c r="V1329" s="69"/>
      <c r="AC1329" s="69">
        <v>17000</v>
      </c>
      <c r="AR1329" s="74">
        <f t="shared" si="147"/>
        <v>17000</v>
      </c>
      <c r="AT1329" s="69"/>
      <c r="BC1329" s="69"/>
      <c r="BD1329" s="69"/>
      <c r="BP1329" s="69">
        <v>17000</v>
      </c>
      <c r="CC1329" s="74">
        <f t="shared" si="141"/>
        <v>17000</v>
      </c>
      <c r="CD1329" s="73">
        <f t="shared" si="142"/>
        <v>0</v>
      </c>
      <c r="CE1329" s="75">
        <f t="shared" si="148"/>
        <v>436</v>
      </c>
      <c r="CF1329" s="3">
        <f t="shared" si="148"/>
        <v>0</v>
      </c>
    </row>
    <row r="1330" spans="2:91" x14ac:dyDescent="0.25">
      <c r="D1330" s="70">
        <v>437</v>
      </c>
      <c r="E1330" s="76"/>
      <c r="F1330" s="69" t="s">
        <v>1753</v>
      </c>
      <c r="U1330" s="69"/>
      <c r="V1330" s="69"/>
      <c r="AC1330" s="69">
        <v>15000</v>
      </c>
      <c r="AR1330" s="74">
        <f t="shared" si="147"/>
        <v>15000</v>
      </c>
      <c r="AT1330" s="69"/>
      <c r="BC1330" s="69"/>
      <c r="BD1330" s="69"/>
      <c r="BP1330" s="69">
        <v>15000</v>
      </c>
      <c r="CC1330" s="74">
        <f t="shared" si="141"/>
        <v>15000</v>
      </c>
      <c r="CD1330" s="73">
        <f t="shared" si="142"/>
        <v>0</v>
      </c>
      <c r="CE1330" s="75">
        <f t="shared" si="148"/>
        <v>437</v>
      </c>
      <c r="CF1330" s="3">
        <f t="shared" si="148"/>
        <v>0</v>
      </c>
    </row>
    <row r="1331" spans="2:91" x14ac:dyDescent="0.25">
      <c r="D1331" s="70">
        <v>438</v>
      </c>
      <c r="E1331" s="76"/>
      <c r="F1331" s="69" t="s">
        <v>1754</v>
      </c>
      <c r="U1331" s="69"/>
      <c r="V1331" s="69"/>
      <c r="AC1331" s="69">
        <v>43673.4</v>
      </c>
      <c r="AR1331" s="74">
        <f t="shared" si="147"/>
        <v>43673.4</v>
      </c>
      <c r="AT1331" s="69"/>
      <c r="BC1331" s="69"/>
      <c r="BD1331" s="69"/>
      <c r="BP1331" s="69">
        <v>43673.4</v>
      </c>
      <c r="CC1331" s="74">
        <f t="shared" si="141"/>
        <v>43673.4</v>
      </c>
      <c r="CD1331" s="73">
        <f t="shared" si="142"/>
        <v>0</v>
      </c>
      <c r="CE1331" s="75">
        <f t="shared" si="148"/>
        <v>438</v>
      </c>
      <c r="CF1331" s="3">
        <f t="shared" si="148"/>
        <v>0</v>
      </c>
    </row>
    <row r="1332" spans="2:91" ht="54" x14ac:dyDescent="0.25">
      <c r="D1332" s="70">
        <v>439</v>
      </c>
      <c r="E1332" s="76"/>
      <c r="F1332" s="77" t="s">
        <v>1755</v>
      </c>
      <c r="U1332" s="69"/>
      <c r="V1332" s="69"/>
      <c r="X1332" s="69">
        <v>1000</v>
      </c>
      <c r="AF1332" s="69">
        <v>1000</v>
      </c>
      <c r="AR1332" s="74">
        <f t="shared" si="147"/>
        <v>2000</v>
      </c>
      <c r="AT1332" s="69"/>
      <c r="AY1332" s="69">
        <v>1000</v>
      </c>
      <c r="BC1332" s="69"/>
      <c r="BD1332" s="69"/>
      <c r="CB1332" s="69">
        <v>1000</v>
      </c>
      <c r="CC1332" s="74">
        <f t="shared" si="141"/>
        <v>2000</v>
      </c>
      <c r="CD1332" s="73">
        <f t="shared" si="142"/>
        <v>0</v>
      </c>
      <c r="CE1332" s="75">
        <f t="shared" si="148"/>
        <v>439</v>
      </c>
      <c r="CF1332" s="3">
        <f t="shared" si="148"/>
        <v>0</v>
      </c>
    </row>
    <row r="1333" spans="2:91" ht="54" x14ac:dyDescent="0.25">
      <c r="D1333" s="70">
        <v>440</v>
      </c>
      <c r="E1333" s="76"/>
      <c r="F1333" s="77" t="s">
        <v>1756</v>
      </c>
      <c r="U1333" s="69"/>
      <c r="V1333" s="69"/>
      <c r="X1333" s="69">
        <v>2850</v>
      </c>
      <c r="AF1333" s="69">
        <v>2850</v>
      </c>
      <c r="AR1333" s="74">
        <f t="shared" si="147"/>
        <v>5700</v>
      </c>
      <c r="AT1333" s="69"/>
      <c r="AY1333" s="69">
        <v>2850</v>
      </c>
      <c r="BC1333" s="69"/>
      <c r="BD1333" s="69"/>
      <c r="CB1333" s="69">
        <v>2850</v>
      </c>
      <c r="CC1333" s="74">
        <f t="shared" si="141"/>
        <v>5700</v>
      </c>
      <c r="CD1333" s="73">
        <f t="shared" si="142"/>
        <v>0</v>
      </c>
      <c r="CE1333" s="75">
        <f t="shared" si="148"/>
        <v>440</v>
      </c>
      <c r="CF1333" s="3">
        <f t="shared" si="148"/>
        <v>0</v>
      </c>
    </row>
    <row r="1334" spans="2:91" ht="54" x14ac:dyDescent="0.25">
      <c r="D1334" s="70">
        <v>441</v>
      </c>
      <c r="E1334" s="76"/>
      <c r="F1334" s="77" t="s">
        <v>1757</v>
      </c>
      <c r="J1334" s="69">
        <v>3000</v>
      </c>
      <c r="U1334" s="69"/>
      <c r="V1334" s="69"/>
      <c r="X1334" s="69">
        <v>51998.5</v>
      </c>
      <c r="AF1334" s="69">
        <v>51998.5</v>
      </c>
      <c r="AR1334" s="74">
        <f t="shared" si="147"/>
        <v>106997</v>
      </c>
      <c r="AT1334" s="69"/>
      <c r="AY1334" s="69">
        <v>51998.5</v>
      </c>
      <c r="BC1334" s="69"/>
      <c r="BD1334" s="69"/>
      <c r="CB1334" s="69">
        <f>51998.5+3000</f>
        <v>54998.5</v>
      </c>
      <c r="CC1334" s="74">
        <f t="shared" si="141"/>
        <v>106997</v>
      </c>
      <c r="CD1334" s="73">
        <f t="shared" si="142"/>
        <v>0</v>
      </c>
      <c r="CE1334" s="75">
        <f t="shared" si="148"/>
        <v>441</v>
      </c>
      <c r="CF1334" s="3">
        <f t="shared" si="148"/>
        <v>0</v>
      </c>
    </row>
    <row r="1335" spans="2:91" ht="36" x14ac:dyDescent="0.25">
      <c r="D1335" s="70">
        <v>442</v>
      </c>
      <c r="E1335" s="76" t="s">
        <v>325</v>
      </c>
      <c r="F1335" s="69" t="s">
        <v>1758</v>
      </c>
      <c r="I1335" s="69">
        <v>500</v>
      </c>
      <c r="U1335" s="69"/>
      <c r="V1335" s="69"/>
      <c r="AR1335" s="74">
        <f t="shared" si="147"/>
        <v>500</v>
      </c>
      <c r="AT1335" s="69"/>
      <c r="AY1335" s="69">
        <v>500</v>
      </c>
      <c r="BC1335" s="69"/>
      <c r="BD1335" s="69"/>
      <c r="CC1335" s="74">
        <f t="shared" si="141"/>
        <v>500</v>
      </c>
      <c r="CD1335" s="73">
        <f t="shared" si="142"/>
        <v>0</v>
      </c>
      <c r="CE1335" s="75">
        <f t="shared" si="148"/>
        <v>442</v>
      </c>
      <c r="CF1335" s="3" t="str">
        <f t="shared" si="148"/>
        <v xml:space="preserve">برنامج دولى </v>
      </c>
    </row>
    <row r="1336" spans="2:91" ht="36" x14ac:dyDescent="0.25">
      <c r="D1336" s="70">
        <v>443</v>
      </c>
      <c r="E1336" s="76"/>
      <c r="F1336" s="77" t="s">
        <v>1759</v>
      </c>
      <c r="U1336" s="69"/>
      <c r="V1336" s="69"/>
      <c r="AC1336" s="69">
        <v>82500</v>
      </c>
      <c r="AR1336" s="74">
        <f t="shared" si="147"/>
        <v>82500</v>
      </c>
      <c r="AT1336" s="69"/>
      <c r="BC1336" s="69"/>
      <c r="BD1336" s="69"/>
      <c r="BP1336" s="69">
        <v>82500</v>
      </c>
      <c r="CC1336" s="74">
        <f t="shared" si="141"/>
        <v>82500</v>
      </c>
      <c r="CD1336" s="73">
        <f t="shared" si="142"/>
        <v>0</v>
      </c>
      <c r="CE1336" s="75">
        <f t="shared" si="148"/>
        <v>443</v>
      </c>
      <c r="CF1336" s="3">
        <f t="shared" si="148"/>
        <v>0</v>
      </c>
    </row>
    <row r="1337" spans="2:91" s="68" customFormat="1" x14ac:dyDescent="0.25">
      <c r="C1337" s="67"/>
      <c r="D1337" s="84"/>
      <c r="E1337" s="87"/>
      <c r="F1337" s="68" t="s">
        <v>1760</v>
      </c>
      <c r="I1337" s="68">
        <f>SUM(I1290:I1336)</f>
        <v>530</v>
      </c>
      <c r="J1337" s="68">
        <f t="shared" ref="J1337:BU1337" si="149">SUM(J1290:J1336)</f>
        <v>3000</v>
      </c>
      <c r="K1337" s="68">
        <f t="shared" si="149"/>
        <v>0</v>
      </c>
      <c r="L1337" s="68">
        <f t="shared" si="149"/>
        <v>0</v>
      </c>
      <c r="M1337" s="68">
        <f t="shared" si="149"/>
        <v>0</v>
      </c>
      <c r="N1337" s="68">
        <f t="shared" si="149"/>
        <v>0</v>
      </c>
      <c r="O1337" s="68">
        <f t="shared" si="149"/>
        <v>0</v>
      </c>
      <c r="P1337" s="68">
        <f t="shared" si="149"/>
        <v>0</v>
      </c>
      <c r="Q1337" s="68">
        <f t="shared" si="149"/>
        <v>88125</v>
      </c>
      <c r="R1337" s="68">
        <f t="shared" si="149"/>
        <v>0</v>
      </c>
      <c r="S1337" s="68">
        <f t="shared" si="149"/>
        <v>0</v>
      </c>
      <c r="T1337" s="68">
        <f t="shared" si="149"/>
        <v>0</v>
      </c>
      <c r="U1337" s="68">
        <f t="shared" si="149"/>
        <v>0</v>
      </c>
      <c r="V1337" s="68">
        <f t="shared" si="149"/>
        <v>0</v>
      </c>
      <c r="W1337" s="68">
        <f t="shared" si="149"/>
        <v>0</v>
      </c>
      <c r="X1337" s="68">
        <f t="shared" si="149"/>
        <v>55848.5</v>
      </c>
      <c r="Y1337" s="68">
        <f t="shared" si="149"/>
        <v>0</v>
      </c>
      <c r="Z1337" s="68">
        <f t="shared" si="149"/>
        <v>0</v>
      </c>
      <c r="AA1337" s="68">
        <f t="shared" si="149"/>
        <v>0</v>
      </c>
      <c r="AB1337" s="68">
        <f t="shared" si="149"/>
        <v>0</v>
      </c>
      <c r="AC1337" s="68">
        <f t="shared" si="149"/>
        <v>298373.29000000004</v>
      </c>
      <c r="AD1337" s="68">
        <f t="shared" si="149"/>
        <v>0</v>
      </c>
      <c r="AE1337" s="68">
        <f t="shared" si="149"/>
        <v>0</v>
      </c>
      <c r="AF1337" s="68">
        <f t="shared" si="149"/>
        <v>58166.5</v>
      </c>
      <c r="AG1337" s="68">
        <f t="shared" si="149"/>
        <v>0</v>
      </c>
      <c r="AH1337" s="68">
        <f t="shared" si="149"/>
        <v>0</v>
      </c>
      <c r="AI1337" s="68">
        <f t="shared" si="149"/>
        <v>0</v>
      </c>
      <c r="AJ1337" s="68">
        <f t="shared" si="149"/>
        <v>0</v>
      </c>
      <c r="AK1337" s="68">
        <f t="shared" si="149"/>
        <v>61913</v>
      </c>
      <c r="AL1337" s="68">
        <f t="shared" si="149"/>
        <v>0</v>
      </c>
      <c r="AM1337" s="68">
        <f t="shared" si="149"/>
        <v>0</v>
      </c>
      <c r="AN1337" s="68">
        <f t="shared" si="149"/>
        <v>0</v>
      </c>
      <c r="AO1337" s="68">
        <f t="shared" si="149"/>
        <v>0</v>
      </c>
      <c r="AP1337" s="68">
        <f t="shared" si="149"/>
        <v>0</v>
      </c>
      <c r="AQ1337" s="68">
        <f t="shared" si="149"/>
        <v>73550</v>
      </c>
      <c r="AR1337" s="57">
        <f t="shared" si="149"/>
        <v>639506.29</v>
      </c>
      <c r="AS1337" s="68">
        <f t="shared" si="149"/>
        <v>0</v>
      </c>
      <c r="AT1337" s="68">
        <f t="shared" si="149"/>
        <v>0</v>
      </c>
      <c r="AU1337" s="68">
        <f t="shared" si="149"/>
        <v>0</v>
      </c>
      <c r="AV1337" s="68">
        <f t="shared" si="149"/>
        <v>0</v>
      </c>
      <c r="AW1337" s="68">
        <f t="shared" si="149"/>
        <v>0</v>
      </c>
      <c r="AX1337" s="68">
        <f t="shared" si="149"/>
        <v>0</v>
      </c>
      <c r="AY1337" s="68">
        <f t="shared" si="149"/>
        <v>56348.5</v>
      </c>
      <c r="AZ1337" s="68">
        <f t="shared" si="149"/>
        <v>0</v>
      </c>
      <c r="BA1337" s="68">
        <f t="shared" si="149"/>
        <v>2318</v>
      </c>
      <c r="BB1337" s="68">
        <f t="shared" si="149"/>
        <v>0</v>
      </c>
      <c r="BC1337" s="68">
        <f t="shared" si="149"/>
        <v>0</v>
      </c>
      <c r="BD1337" s="68">
        <f t="shared" si="149"/>
        <v>0</v>
      </c>
      <c r="BE1337" s="68">
        <f t="shared" si="149"/>
        <v>0</v>
      </c>
      <c r="BF1337" s="68">
        <f t="shared" si="149"/>
        <v>0</v>
      </c>
      <c r="BG1337" s="68">
        <f t="shared" si="149"/>
        <v>0</v>
      </c>
      <c r="BH1337" s="68">
        <f t="shared" si="149"/>
        <v>0</v>
      </c>
      <c r="BI1337" s="68">
        <f t="shared" si="149"/>
        <v>0</v>
      </c>
      <c r="BJ1337" s="68">
        <f t="shared" si="149"/>
        <v>0</v>
      </c>
      <c r="BK1337" s="68">
        <f t="shared" si="149"/>
        <v>0</v>
      </c>
      <c r="BL1337" s="68">
        <f t="shared" si="149"/>
        <v>0</v>
      </c>
      <c r="BM1337" s="68">
        <f t="shared" si="149"/>
        <v>0</v>
      </c>
      <c r="BN1337" s="68">
        <f t="shared" si="149"/>
        <v>0</v>
      </c>
      <c r="BO1337" s="68">
        <f t="shared" si="149"/>
        <v>88125</v>
      </c>
      <c r="BP1337" s="68">
        <f t="shared" si="149"/>
        <v>298373.29000000004</v>
      </c>
      <c r="BQ1337" s="68">
        <f t="shared" si="149"/>
        <v>0</v>
      </c>
      <c r="BR1337" s="68">
        <f t="shared" si="149"/>
        <v>0</v>
      </c>
      <c r="BS1337" s="68">
        <f t="shared" si="149"/>
        <v>0</v>
      </c>
      <c r="BT1337" s="68">
        <f t="shared" si="149"/>
        <v>0</v>
      </c>
      <c r="BU1337" s="68">
        <f t="shared" si="149"/>
        <v>61913</v>
      </c>
      <c r="BV1337" s="68">
        <f t="shared" ref="BV1337:CM1337" si="150">SUM(BV1290:BV1336)</f>
        <v>0</v>
      </c>
      <c r="BW1337" s="68">
        <f t="shared" si="150"/>
        <v>0</v>
      </c>
      <c r="BX1337" s="68">
        <f t="shared" si="150"/>
        <v>0</v>
      </c>
      <c r="BY1337" s="68">
        <f t="shared" si="150"/>
        <v>0</v>
      </c>
      <c r="BZ1337" s="68">
        <f t="shared" si="150"/>
        <v>0</v>
      </c>
      <c r="CA1337" s="68">
        <f t="shared" si="150"/>
        <v>0</v>
      </c>
      <c r="CB1337" s="68">
        <f t="shared" si="150"/>
        <v>132428.5</v>
      </c>
      <c r="CC1337" s="57">
        <f t="shared" si="150"/>
        <v>639506.29</v>
      </c>
      <c r="CD1337" s="68">
        <f t="shared" si="150"/>
        <v>0</v>
      </c>
      <c r="CE1337" s="75">
        <f t="shared" si="148"/>
        <v>0</v>
      </c>
      <c r="CF1337" s="3">
        <f t="shared" si="148"/>
        <v>0</v>
      </c>
      <c r="CG1337" s="68">
        <f t="shared" si="150"/>
        <v>0</v>
      </c>
      <c r="CH1337" s="68">
        <f t="shared" si="150"/>
        <v>0</v>
      </c>
      <c r="CI1337" s="68">
        <f t="shared" si="150"/>
        <v>0</v>
      </c>
      <c r="CJ1337" s="68">
        <f t="shared" si="150"/>
        <v>0</v>
      </c>
      <c r="CK1337" s="68">
        <f t="shared" si="150"/>
        <v>0</v>
      </c>
      <c r="CL1337" s="68">
        <f t="shared" si="150"/>
        <v>0</v>
      </c>
      <c r="CM1337" s="68">
        <f t="shared" si="150"/>
        <v>0</v>
      </c>
    </row>
    <row r="1338" spans="2:91" x14ac:dyDescent="0.25">
      <c r="B1338" s="69" t="s">
        <v>1761</v>
      </c>
      <c r="D1338" s="70">
        <v>444</v>
      </c>
      <c r="E1338" s="76"/>
      <c r="F1338" s="69" t="s">
        <v>1762</v>
      </c>
      <c r="U1338" s="69"/>
      <c r="V1338" s="69"/>
      <c r="AH1338" s="69">
        <v>16362341.300000001</v>
      </c>
      <c r="AR1338" s="74">
        <f t="shared" si="147"/>
        <v>16362341.300000001</v>
      </c>
      <c r="AS1338" s="69">
        <v>2922629.5</v>
      </c>
      <c r="AT1338" s="69"/>
      <c r="AZ1338" s="69">
        <v>13439711.800000001</v>
      </c>
      <c r="BC1338" s="69"/>
      <c r="BD1338" s="69"/>
      <c r="CC1338" s="74">
        <f t="shared" si="141"/>
        <v>16362341.300000001</v>
      </c>
      <c r="CD1338" s="73">
        <f t="shared" si="142"/>
        <v>0</v>
      </c>
      <c r="CE1338" s="75">
        <f t="shared" si="148"/>
        <v>444</v>
      </c>
      <c r="CF1338" s="3">
        <f t="shared" si="148"/>
        <v>0</v>
      </c>
    </row>
    <row r="1339" spans="2:91" x14ac:dyDescent="0.25">
      <c r="B1339" s="69" t="s">
        <v>1761</v>
      </c>
      <c r="D1339" s="70">
        <v>445</v>
      </c>
      <c r="E1339" s="76"/>
      <c r="F1339" s="69" t="s">
        <v>1763</v>
      </c>
      <c r="U1339" s="69"/>
      <c r="V1339" s="69"/>
      <c r="AE1339" s="69">
        <v>16362341.300000001</v>
      </c>
      <c r="AF1339" s="69">
        <f>150000+16007431.77</f>
        <v>16157431.77</v>
      </c>
      <c r="AR1339" s="74">
        <f t="shared" si="147"/>
        <v>32519773.07</v>
      </c>
      <c r="AT1339" s="69"/>
      <c r="AY1339" s="69">
        <v>16362341.300000001</v>
      </c>
      <c r="BC1339" s="69"/>
      <c r="BD1339" s="69"/>
      <c r="BY1339" s="69">
        <v>150000</v>
      </c>
      <c r="CB1339" s="69">
        <v>16007431.77</v>
      </c>
      <c r="CC1339" s="74">
        <f t="shared" si="141"/>
        <v>32519773.07</v>
      </c>
      <c r="CD1339" s="73">
        <f t="shared" si="142"/>
        <v>0</v>
      </c>
      <c r="CE1339" s="75">
        <f t="shared" si="148"/>
        <v>445</v>
      </c>
      <c r="CF1339" s="3">
        <f t="shared" si="148"/>
        <v>0</v>
      </c>
    </row>
    <row r="1340" spans="2:91" x14ac:dyDescent="0.25">
      <c r="D1340" s="70">
        <v>446</v>
      </c>
      <c r="E1340" s="69" t="s">
        <v>332</v>
      </c>
      <c r="F1340" s="69" t="s">
        <v>1764</v>
      </c>
      <c r="U1340" s="69"/>
      <c r="V1340" s="69"/>
      <c r="AR1340" s="74">
        <f t="shared" si="147"/>
        <v>0</v>
      </c>
      <c r="AT1340" s="69"/>
      <c r="BC1340" s="69"/>
      <c r="BD1340" s="69"/>
      <c r="CC1340" s="74">
        <f t="shared" si="141"/>
        <v>0</v>
      </c>
      <c r="CD1340" s="73">
        <f t="shared" si="142"/>
        <v>0</v>
      </c>
      <c r="CE1340" s="75">
        <f t="shared" ref="CE1340:CF1344" si="151">+D1340</f>
        <v>446</v>
      </c>
      <c r="CF1340" s="3" t="str">
        <f>+E1341</f>
        <v xml:space="preserve">لاب فقط </v>
      </c>
    </row>
    <row r="1341" spans="2:91" x14ac:dyDescent="0.25">
      <c r="D1341" s="70">
        <v>447</v>
      </c>
      <c r="E1341" s="76" t="s">
        <v>332</v>
      </c>
      <c r="F1341" s="69" t="s">
        <v>1765</v>
      </c>
      <c r="U1341" s="69"/>
      <c r="V1341" s="69"/>
      <c r="AR1341" s="74">
        <f t="shared" si="147"/>
        <v>0</v>
      </c>
      <c r="AT1341" s="69"/>
      <c r="BC1341" s="69"/>
      <c r="BD1341" s="69"/>
      <c r="CC1341" s="74">
        <f t="shared" si="141"/>
        <v>0</v>
      </c>
      <c r="CD1341" s="73">
        <f t="shared" si="142"/>
        <v>0</v>
      </c>
      <c r="CE1341" s="75">
        <f t="shared" si="151"/>
        <v>447</v>
      </c>
      <c r="CF1341" s="3" t="str">
        <f>+E1342</f>
        <v xml:space="preserve">ماليزى اسنان </v>
      </c>
    </row>
    <row r="1342" spans="2:91" ht="36" x14ac:dyDescent="0.25">
      <c r="D1342" s="70">
        <v>448</v>
      </c>
      <c r="E1342" s="76" t="s">
        <v>1766</v>
      </c>
      <c r="F1342" s="77" t="s">
        <v>1767</v>
      </c>
      <c r="U1342" s="69"/>
      <c r="V1342" s="69"/>
      <c r="X1342" s="69">
        <v>172.35</v>
      </c>
      <c r="AR1342" s="74">
        <f t="shared" si="147"/>
        <v>172.35</v>
      </c>
      <c r="AS1342" s="69">
        <v>172.35</v>
      </c>
      <c r="AT1342" s="69"/>
      <c r="BC1342" s="69"/>
      <c r="BD1342" s="69"/>
      <c r="CC1342" s="74">
        <f t="shared" si="141"/>
        <v>172.35</v>
      </c>
      <c r="CD1342" s="73">
        <f t="shared" si="142"/>
        <v>0</v>
      </c>
      <c r="CE1342" s="75">
        <f t="shared" si="151"/>
        <v>448</v>
      </c>
      <c r="CF1342" s="3" t="str">
        <f t="shared" si="151"/>
        <v xml:space="preserve">ماليزى اسنان </v>
      </c>
    </row>
    <row r="1343" spans="2:91" s="68" customFormat="1" x14ac:dyDescent="0.25">
      <c r="C1343" s="67"/>
      <c r="D1343" s="84"/>
      <c r="E1343" s="87"/>
      <c r="F1343" s="68" t="s">
        <v>1768</v>
      </c>
      <c r="X1343" s="68">
        <f>SUM(X1338:X1342)</f>
        <v>172.35</v>
      </c>
      <c r="Y1343" s="68">
        <f t="shared" ref="Y1343:CJ1343" si="152">SUM(Y1338:Y1342)</f>
        <v>0</v>
      </c>
      <c r="Z1343" s="68">
        <f t="shared" si="152"/>
        <v>0</v>
      </c>
      <c r="AA1343" s="68">
        <f t="shared" si="152"/>
        <v>0</v>
      </c>
      <c r="AB1343" s="68">
        <f t="shared" si="152"/>
        <v>0</v>
      </c>
      <c r="AC1343" s="68">
        <f t="shared" si="152"/>
        <v>0</v>
      </c>
      <c r="AD1343" s="68">
        <f t="shared" si="152"/>
        <v>0</v>
      </c>
      <c r="AE1343" s="68">
        <f t="shared" si="152"/>
        <v>16362341.300000001</v>
      </c>
      <c r="AF1343" s="68">
        <f t="shared" si="152"/>
        <v>16157431.77</v>
      </c>
      <c r="AG1343" s="68">
        <f t="shared" si="152"/>
        <v>0</v>
      </c>
      <c r="AH1343" s="68">
        <f t="shared" si="152"/>
        <v>16362341.300000001</v>
      </c>
      <c r="AI1343" s="68">
        <f t="shared" si="152"/>
        <v>0</v>
      </c>
      <c r="AJ1343" s="68">
        <f t="shared" si="152"/>
        <v>0</v>
      </c>
      <c r="AK1343" s="68">
        <f t="shared" si="152"/>
        <v>0</v>
      </c>
      <c r="AL1343" s="68">
        <f t="shared" si="152"/>
        <v>0</v>
      </c>
      <c r="AM1343" s="68">
        <f t="shared" si="152"/>
        <v>0</v>
      </c>
      <c r="AN1343" s="68">
        <f t="shared" si="152"/>
        <v>0</v>
      </c>
      <c r="AO1343" s="68">
        <f t="shared" si="152"/>
        <v>0</v>
      </c>
      <c r="AP1343" s="68">
        <f t="shared" si="152"/>
        <v>0</v>
      </c>
      <c r="AQ1343" s="68">
        <f t="shared" si="152"/>
        <v>0</v>
      </c>
      <c r="AR1343" s="68">
        <f t="shared" si="152"/>
        <v>48882286.720000006</v>
      </c>
      <c r="AS1343" s="68">
        <f t="shared" si="152"/>
        <v>2922801.85</v>
      </c>
      <c r="AT1343" s="68">
        <f t="shared" si="152"/>
        <v>0</v>
      </c>
      <c r="AU1343" s="68">
        <f t="shared" si="152"/>
        <v>0</v>
      </c>
      <c r="AV1343" s="68">
        <f t="shared" si="152"/>
        <v>0</v>
      </c>
      <c r="AW1343" s="68">
        <f t="shared" si="152"/>
        <v>0</v>
      </c>
      <c r="AX1343" s="68">
        <f t="shared" si="152"/>
        <v>0</v>
      </c>
      <c r="AY1343" s="68">
        <f t="shared" si="152"/>
        <v>16362341.300000001</v>
      </c>
      <c r="AZ1343" s="68">
        <f t="shared" si="152"/>
        <v>13439711.800000001</v>
      </c>
      <c r="BA1343" s="68">
        <f t="shared" si="152"/>
        <v>0</v>
      </c>
      <c r="BB1343" s="68">
        <f t="shared" si="152"/>
        <v>0</v>
      </c>
      <c r="BC1343" s="68">
        <f t="shared" si="152"/>
        <v>0</v>
      </c>
      <c r="BD1343" s="68">
        <f t="shared" si="152"/>
        <v>0</v>
      </c>
      <c r="BE1343" s="68">
        <f t="shared" si="152"/>
        <v>0</v>
      </c>
      <c r="BF1343" s="68">
        <f t="shared" si="152"/>
        <v>0</v>
      </c>
      <c r="BG1343" s="68">
        <f t="shared" si="152"/>
        <v>0</v>
      </c>
      <c r="BH1343" s="68">
        <f t="shared" si="152"/>
        <v>0</v>
      </c>
      <c r="BI1343" s="68">
        <f t="shared" si="152"/>
        <v>0</v>
      </c>
      <c r="BJ1343" s="68">
        <f t="shared" si="152"/>
        <v>0</v>
      </c>
      <c r="BK1343" s="68">
        <f t="shared" si="152"/>
        <v>0</v>
      </c>
      <c r="BL1343" s="68">
        <f t="shared" si="152"/>
        <v>0</v>
      </c>
      <c r="BM1343" s="68">
        <f t="shared" si="152"/>
        <v>0</v>
      </c>
      <c r="BN1343" s="68">
        <f t="shared" si="152"/>
        <v>0</v>
      </c>
      <c r="BO1343" s="68">
        <f t="shared" si="152"/>
        <v>0</v>
      </c>
      <c r="BP1343" s="68">
        <f t="shared" si="152"/>
        <v>0</v>
      </c>
      <c r="BQ1343" s="68">
        <f t="shared" si="152"/>
        <v>0</v>
      </c>
      <c r="BR1343" s="68">
        <f t="shared" si="152"/>
        <v>0</v>
      </c>
      <c r="BS1343" s="68">
        <f t="shared" si="152"/>
        <v>0</v>
      </c>
      <c r="BT1343" s="68">
        <f t="shared" si="152"/>
        <v>0</v>
      </c>
      <c r="BU1343" s="68">
        <f t="shared" si="152"/>
        <v>0</v>
      </c>
      <c r="BV1343" s="68">
        <f t="shared" si="152"/>
        <v>0</v>
      </c>
      <c r="BW1343" s="68">
        <f t="shared" si="152"/>
        <v>0</v>
      </c>
      <c r="BX1343" s="68">
        <f t="shared" si="152"/>
        <v>0</v>
      </c>
      <c r="BY1343" s="68">
        <f t="shared" si="152"/>
        <v>150000</v>
      </c>
      <c r="BZ1343" s="68">
        <f t="shared" si="152"/>
        <v>0</v>
      </c>
      <c r="CA1343" s="68">
        <f t="shared" si="152"/>
        <v>0</v>
      </c>
      <c r="CB1343" s="68">
        <f t="shared" si="152"/>
        <v>16007431.77</v>
      </c>
      <c r="CC1343" s="68">
        <f t="shared" si="152"/>
        <v>48882286.720000006</v>
      </c>
      <c r="CD1343" s="68">
        <f t="shared" si="152"/>
        <v>0</v>
      </c>
      <c r="CF1343" s="68">
        <f t="shared" si="152"/>
        <v>0</v>
      </c>
      <c r="CG1343" s="68">
        <f t="shared" si="152"/>
        <v>0</v>
      </c>
      <c r="CH1343" s="68">
        <f t="shared" si="152"/>
        <v>0</v>
      </c>
      <c r="CI1343" s="68">
        <f t="shared" si="152"/>
        <v>0</v>
      </c>
      <c r="CJ1343" s="68">
        <f t="shared" si="152"/>
        <v>0</v>
      </c>
      <c r="CK1343" s="68">
        <f t="shared" ref="CK1343" si="153">SUM(CK1338:CK1342)</f>
        <v>0</v>
      </c>
    </row>
    <row r="1344" spans="2:91" x14ac:dyDescent="0.25">
      <c r="D1344" s="70">
        <v>449</v>
      </c>
      <c r="E1344" s="76"/>
      <c r="U1344" s="69"/>
      <c r="V1344" s="69"/>
      <c r="AR1344" s="74">
        <f t="shared" si="147"/>
        <v>0</v>
      </c>
      <c r="AT1344" s="69"/>
      <c r="BC1344" s="69"/>
      <c r="BD1344" s="69"/>
      <c r="CC1344" s="74">
        <f t="shared" si="141"/>
        <v>0</v>
      </c>
      <c r="CD1344" s="73">
        <f t="shared" si="142"/>
        <v>0</v>
      </c>
      <c r="CE1344" s="75">
        <f t="shared" si="151"/>
        <v>449</v>
      </c>
      <c r="CF1344" s="3">
        <f t="shared" si="151"/>
        <v>0</v>
      </c>
    </row>
  </sheetData>
  <autoFilter ref="E2:E1344" xr:uid="{89ED641C-D7B1-4B65-BC56-775BD46C7F76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FDF8B-164F-4562-8760-D86518EF9961}">
  <dimension ref="A2:CS983"/>
  <sheetViews>
    <sheetView rightToLeft="1" topLeftCell="A950" workbookViewId="0">
      <selection activeCell="K960" sqref="K960"/>
    </sheetView>
  </sheetViews>
  <sheetFormatPr defaultColWidth="9.140625" defaultRowHeight="15.75" x14ac:dyDescent="0.25"/>
  <cols>
    <col min="1" max="1" width="13.28515625" style="16" customWidth="1"/>
    <col min="2" max="2" width="13.28515625" style="17" customWidth="1"/>
    <col min="3" max="3" width="11.28515625" style="17" customWidth="1"/>
    <col min="4" max="4" width="10.140625" style="17" customWidth="1"/>
    <col min="5" max="5" width="12.140625" style="3" customWidth="1"/>
    <col min="6" max="6" width="43.140625" style="3" customWidth="1"/>
    <col min="7" max="7" width="11.85546875" style="18" customWidth="1"/>
    <col min="8" max="8" width="14" style="3" customWidth="1"/>
    <col min="9" max="9" width="11.28515625" style="3" customWidth="1"/>
    <col min="10" max="10" width="13.5703125" style="3" customWidth="1"/>
    <col min="11" max="11" width="11.7109375" style="3" customWidth="1"/>
    <col min="12" max="12" width="9.140625" style="3" customWidth="1"/>
    <col min="13" max="14" width="8.42578125" style="3" customWidth="1"/>
    <col min="15" max="15" width="13.85546875" style="3" customWidth="1"/>
    <col min="16" max="16" width="10.7109375" style="3" customWidth="1"/>
    <col min="17" max="17" width="8.85546875" style="3" customWidth="1"/>
    <col min="18" max="18" width="9.5703125" style="3" customWidth="1"/>
    <col min="19" max="19" width="14.42578125" style="3" customWidth="1"/>
    <col min="20" max="20" width="12" style="3" customWidth="1"/>
    <col min="21" max="21" width="12.85546875" style="4" customWidth="1"/>
    <col min="22" max="22" width="8.140625" style="4" customWidth="1"/>
    <col min="23" max="23" width="10.85546875" style="3" customWidth="1"/>
    <col min="24" max="24" width="11.7109375" style="3" customWidth="1"/>
    <col min="25" max="25" width="12.85546875" style="3" customWidth="1"/>
    <col min="26" max="26" width="14.42578125" style="3" customWidth="1"/>
    <col min="27" max="27" width="16.5703125" style="3" customWidth="1"/>
    <col min="28" max="28" width="14.28515625" style="3" customWidth="1"/>
    <col min="29" max="29" width="10.140625" style="3" customWidth="1"/>
    <col min="30" max="30" width="10.5703125" style="3" customWidth="1"/>
    <col min="31" max="31" width="13.7109375" style="3" customWidth="1"/>
    <col min="32" max="32" width="16.5703125" style="3" customWidth="1"/>
    <col min="33" max="33" width="9.7109375" style="3" customWidth="1"/>
    <col min="34" max="34" width="13.85546875" style="3" customWidth="1"/>
    <col min="35" max="35" width="10.140625" style="3" customWidth="1"/>
    <col min="36" max="36" width="9.7109375" style="3" customWidth="1"/>
    <col min="37" max="37" width="15.42578125" style="3" customWidth="1"/>
    <col min="38" max="38" width="12.140625" style="3" customWidth="1"/>
    <col min="39" max="39" width="11.5703125" style="3" customWidth="1"/>
    <col min="40" max="40" width="13.85546875" style="3" customWidth="1"/>
    <col min="41" max="41" width="12.28515625" style="3" customWidth="1"/>
    <col min="42" max="42" width="10.140625" style="3" customWidth="1"/>
    <col min="43" max="44" width="9.28515625" style="3" customWidth="1"/>
    <col min="45" max="45" width="15" style="10" customWidth="1"/>
    <col min="46" max="46" width="11.28515625" style="3" customWidth="1"/>
    <col min="47" max="47" width="10.28515625" style="4" customWidth="1"/>
    <col min="48" max="48" width="11" style="3" customWidth="1"/>
    <col min="49" max="49" width="10.140625" style="3" customWidth="1"/>
    <col min="50" max="50" width="9.85546875" style="3" customWidth="1"/>
    <col min="51" max="51" width="9.5703125" style="3" customWidth="1"/>
    <col min="52" max="53" width="14.5703125" style="3" customWidth="1"/>
    <col min="54" max="54" width="10.140625" style="3" customWidth="1"/>
    <col min="55" max="55" width="12.140625" style="3" customWidth="1"/>
    <col min="56" max="57" width="18.140625" style="40" customWidth="1"/>
    <col min="58" max="58" width="9.5703125" style="3" customWidth="1"/>
    <col min="59" max="59" width="11.140625" style="3" customWidth="1"/>
    <col min="60" max="60" width="9.42578125" style="3" customWidth="1"/>
    <col min="61" max="61" width="8.7109375" style="3" customWidth="1"/>
    <col min="62" max="62" width="10.42578125" style="3" customWidth="1"/>
    <col min="63" max="63" width="9.42578125" style="3" customWidth="1"/>
    <col min="64" max="64" width="10.5703125" style="3" customWidth="1"/>
    <col min="65" max="65" width="10.42578125" style="3" customWidth="1"/>
    <col min="66" max="66" width="11.140625" style="3" customWidth="1"/>
    <col min="67" max="67" width="11.28515625" style="3" customWidth="1"/>
    <col min="68" max="68" width="9.42578125" style="3" customWidth="1"/>
    <col min="69" max="69" width="10" style="3" customWidth="1"/>
    <col min="70" max="70" width="9.28515625" style="3" customWidth="1"/>
    <col min="71" max="71" width="13" style="3" customWidth="1"/>
    <col min="72" max="72" width="15.28515625" style="3" customWidth="1"/>
    <col min="73" max="73" width="10" style="3" customWidth="1"/>
    <col min="74" max="74" width="15.140625" style="3" customWidth="1"/>
    <col min="75" max="75" width="13.42578125" style="3" customWidth="1"/>
    <col min="76" max="76" width="12.42578125" style="3" customWidth="1"/>
    <col min="77" max="77" width="13.28515625" style="3" customWidth="1"/>
    <col min="78" max="78" width="11.5703125" style="3" customWidth="1"/>
    <col min="79" max="79" width="10.28515625" style="3" customWidth="1"/>
    <col min="80" max="80" width="11.42578125" style="3" customWidth="1"/>
    <col min="81" max="81" width="13" style="3" customWidth="1"/>
    <col min="82" max="82" width="12.7109375" style="3" customWidth="1"/>
    <col min="83" max="83" width="14.28515625" style="10" customWidth="1"/>
    <col min="84" max="84" width="12.85546875" style="3" customWidth="1"/>
    <col min="85" max="85" width="8.7109375" style="17" customWidth="1"/>
    <col min="86" max="86" width="12.5703125" style="3" customWidth="1"/>
    <col min="87" max="16384" width="9.140625" style="3"/>
  </cols>
  <sheetData>
    <row r="2" spans="1:85" s="4" customFormat="1" ht="36" customHeight="1" x14ac:dyDescent="0.25">
      <c r="A2" s="1"/>
      <c r="B2" s="2"/>
      <c r="G2" s="5"/>
      <c r="H2" s="6" t="s">
        <v>1</v>
      </c>
      <c r="I2" s="6" t="s">
        <v>2</v>
      </c>
      <c r="J2" s="6" t="s">
        <v>3</v>
      </c>
      <c r="K2" s="6" t="s">
        <v>4</v>
      </c>
      <c r="L2" s="6" t="s">
        <v>5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7"/>
      <c r="AT2" s="6"/>
      <c r="AU2" s="6"/>
      <c r="AV2" s="6"/>
      <c r="AW2" s="6"/>
      <c r="AX2" s="6"/>
      <c r="AY2" s="6"/>
      <c r="AZ2" s="6"/>
      <c r="BA2" s="6"/>
      <c r="BB2" s="6"/>
      <c r="BC2" s="6"/>
      <c r="BD2" s="13"/>
      <c r="BE2" s="13"/>
      <c r="BO2" s="4" t="s">
        <v>6</v>
      </c>
      <c r="CE2" s="10"/>
      <c r="CG2" s="2"/>
    </row>
    <row r="3" spans="1:85" s="13" customFormat="1" ht="72" customHeight="1" x14ac:dyDescent="0.25">
      <c r="A3" s="1" t="s">
        <v>7</v>
      </c>
      <c r="B3" s="2"/>
      <c r="C3" s="12" t="s">
        <v>8</v>
      </c>
      <c r="D3" s="12" t="s">
        <v>9</v>
      </c>
      <c r="E3" s="6" t="s">
        <v>10</v>
      </c>
      <c r="F3" s="37" t="s">
        <v>11</v>
      </c>
      <c r="G3" s="5" t="s">
        <v>12</v>
      </c>
      <c r="H3" s="6" t="s">
        <v>13</v>
      </c>
      <c r="I3" s="6" t="s">
        <v>14</v>
      </c>
      <c r="J3" s="6" t="s">
        <v>15</v>
      </c>
      <c r="K3" s="6" t="s">
        <v>16</v>
      </c>
      <c r="L3" s="6" t="s">
        <v>17</v>
      </c>
      <c r="M3" s="6" t="s">
        <v>18</v>
      </c>
      <c r="N3" s="6" t="s">
        <v>19</v>
      </c>
      <c r="O3" s="6" t="s">
        <v>20</v>
      </c>
      <c r="P3" s="6" t="s">
        <v>21</v>
      </c>
      <c r="Q3" s="6" t="s">
        <v>22</v>
      </c>
      <c r="R3" s="6" t="s">
        <v>23</v>
      </c>
      <c r="S3" s="6" t="s">
        <v>24</v>
      </c>
      <c r="T3" s="6" t="s">
        <v>25</v>
      </c>
      <c r="U3" s="6" t="s">
        <v>26</v>
      </c>
      <c r="V3" s="6" t="s">
        <v>27</v>
      </c>
      <c r="W3" s="6" t="s">
        <v>28</v>
      </c>
      <c r="X3" s="6" t="s">
        <v>29</v>
      </c>
      <c r="Y3" s="6" t="s">
        <v>30</v>
      </c>
      <c r="Z3" s="6" t="s">
        <v>31</v>
      </c>
      <c r="AA3" s="6" t="s">
        <v>32</v>
      </c>
      <c r="AB3" s="6" t="s">
        <v>33</v>
      </c>
      <c r="AC3" s="6" t="s">
        <v>34</v>
      </c>
      <c r="AD3" s="6" t="s">
        <v>35</v>
      </c>
      <c r="AE3" s="6" t="s">
        <v>36</v>
      </c>
      <c r="AF3" s="6" t="s">
        <v>37</v>
      </c>
      <c r="AG3" s="6" t="s">
        <v>38</v>
      </c>
      <c r="AH3" s="6" t="s">
        <v>39</v>
      </c>
      <c r="AI3" s="6" t="s">
        <v>40</v>
      </c>
      <c r="AJ3" s="6" t="s">
        <v>41</v>
      </c>
      <c r="AK3" s="6" t="s">
        <v>42</v>
      </c>
      <c r="AL3" s="6" t="s">
        <v>43</v>
      </c>
      <c r="AM3" s="6" t="s">
        <v>44</v>
      </c>
      <c r="AN3" s="6" t="s">
        <v>45</v>
      </c>
      <c r="AO3" s="6" t="s">
        <v>46</v>
      </c>
      <c r="AP3" s="6" t="s">
        <v>47</v>
      </c>
      <c r="AQ3" s="6" t="s">
        <v>48</v>
      </c>
      <c r="AR3" s="6" t="s">
        <v>723</v>
      </c>
      <c r="AS3" s="7" t="s">
        <v>50</v>
      </c>
      <c r="AT3" s="6" t="s">
        <v>51</v>
      </c>
      <c r="AU3" s="6" t="s">
        <v>52</v>
      </c>
      <c r="AV3" s="6" t="s">
        <v>25</v>
      </c>
      <c r="AW3" s="6" t="s">
        <v>53</v>
      </c>
      <c r="AX3" s="6" t="s">
        <v>54</v>
      </c>
      <c r="AY3" s="6" t="s">
        <v>55</v>
      </c>
      <c r="AZ3" s="6" t="s">
        <v>37</v>
      </c>
      <c r="BA3" s="6" t="s">
        <v>39</v>
      </c>
      <c r="BB3" s="6" t="s">
        <v>56</v>
      </c>
      <c r="BC3" s="6" t="s">
        <v>57</v>
      </c>
      <c r="BD3" s="13" t="s">
        <v>58</v>
      </c>
      <c r="BE3" s="13" t="s">
        <v>59</v>
      </c>
      <c r="BF3" s="13" t="s">
        <v>31</v>
      </c>
      <c r="BG3" s="13" t="s">
        <v>60</v>
      </c>
      <c r="BH3" s="13" t="s">
        <v>27</v>
      </c>
      <c r="BI3" s="13" t="s">
        <v>61</v>
      </c>
      <c r="BJ3" s="13" t="s">
        <v>62</v>
      </c>
      <c r="BK3" s="13" t="s">
        <v>24</v>
      </c>
      <c r="BL3" s="13" t="s">
        <v>63</v>
      </c>
      <c r="BM3" s="13" t="s">
        <v>64</v>
      </c>
      <c r="BN3" s="13" t="s">
        <v>18</v>
      </c>
      <c r="BO3" s="13" t="s">
        <v>65</v>
      </c>
      <c r="BP3" s="13" t="s">
        <v>21</v>
      </c>
      <c r="BQ3" s="13" t="s">
        <v>66</v>
      </c>
      <c r="BR3" s="13" t="s">
        <v>67</v>
      </c>
      <c r="BS3" s="13" t="s">
        <v>40</v>
      </c>
      <c r="BT3" s="13" t="s">
        <v>68</v>
      </c>
      <c r="BU3" s="13" t="s">
        <v>69</v>
      </c>
      <c r="BV3" s="13" t="s">
        <v>41</v>
      </c>
      <c r="BW3" s="13" t="s">
        <v>70</v>
      </c>
      <c r="BX3" s="13" t="s">
        <v>71</v>
      </c>
      <c r="BY3" s="13" t="s">
        <v>72</v>
      </c>
      <c r="BZ3" s="13" t="s">
        <v>46</v>
      </c>
      <c r="CA3" s="13" t="s">
        <v>73</v>
      </c>
      <c r="CB3" s="13" t="s">
        <v>74</v>
      </c>
      <c r="CC3" s="13" t="s">
        <v>75</v>
      </c>
      <c r="CD3" s="13" t="s">
        <v>30</v>
      </c>
      <c r="CE3" s="14" t="s">
        <v>76</v>
      </c>
      <c r="CF3" s="13" t="s">
        <v>77</v>
      </c>
      <c r="CG3" s="15" t="s">
        <v>9</v>
      </c>
    </row>
    <row r="4" spans="1:85" s="18" customFormat="1" ht="15" customHeight="1" x14ac:dyDescent="0.25">
      <c r="A4" s="38"/>
      <c r="B4" s="39"/>
      <c r="C4" s="39"/>
      <c r="D4" s="39"/>
      <c r="E4" s="18" t="s">
        <v>78</v>
      </c>
      <c r="AS4" s="10"/>
      <c r="AU4" s="4"/>
      <c r="BD4" s="40"/>
      <c r="BE4" s="40"/>
      <c r="CE4" s="10"/>
      <c r="CG4" s="39"/>
    </row>
    <row r="5" spans="1:85" s="18" customFormat="1" x14ac:dyDescent="0.25">
      <c r="A5" s="38"/>
      <c r="B5" s="39"/>
      <c r="C5" s="39"/>
      <c r="D5" s="39"/>
      <c r="E5" s="18" t="s">
        <v>128</v>
      </c>
      <c r="AS5" s="10"/>
      <c r="AU5" s="4"/>
      <c r="BD5" s="40"/>
      <c r="BE5" s="40"/>
      <c r="CE5" s="10"/>
      <c r="CG5" s="39"/>
    </row>
    <row r="6" spans="1:85" s="18" customFormat="1" x14ac:dyDescent="0.25">
      <c r="A6" s="38"/>
      <c r="B6" s="39"/>
      <c r="C6" s="39"/>
      <c r="D6" s="39"/>
      <c r="E6" s="18" t="s">
        <v>130</v>
      </c>
      <c r="AS6" s="10"/>
      <c r="AU6" s="4"/>
      <c r="BD6" s="40"/>
      <c r="BE6" s="40"/>
      <c r="CE6" s="10"/>
      <c r="CG6" s="39"/>
    </row>
    <row r="7" spans="1:85" s="18" customFormat="1" x14ac:dyDescent="0.25">
      <c r="A7" s="38"/>
      <c r="B7" s="39"/>
      <c r="C7" s="39"/>
      <c r="D7" s="39"/>
      <c r="E7" s="18" t="s">
        <v>724</v>
      </c>
      <c r="AS7" s="10"/>
      <c r="AU7" s="4"/>
      <c r="BD7" s="40"/>
      <c r="BE7" s="40"/>
      <c r="CE7" s="10"/>
      <c r="CG7" s="39"/>
    </row>
    <row r="8" spans="1:85" s="18" customFormat="1" x14ac:dyDescent="0.25">
      <c r="A8" s="38"/>
      <c r="B8" s="39"/>
      <c r="C8" s="39"/>
      <c r="D8" s="39"/>
      <c r="E8" s="18" t="s">
        <v>725</v>
      </c>
      <c r="AS8" s="10"/>
      <c r="AU8" s="4"/>
      <c r="BD8" s="40"/>
      <c r="BE8" s="40"/>
      <c r="CE8" s="10"/>
      <c r="CG8" s="39"/>
    </row>
    <row r="9" spans="1:85" s="18" customFormat="1" x14ac:dyDescent="0.25">
      <c r="A9" s="38"/>
      <c r="B9" s="39"/>
      <c r="C9" s="39"/>
      <c r="D9" s="39"/>
      <c r="E9" s="18" t="s">
        <v>726</v>
      </c>
      <c r="AS9" s="10"/>
      <c r="AU9" s="4"/>
      <c r="BD9" s="40"/>
      <c r="BE9" s="40"/>
      <c r="CE9" s="10"/>
      <c r="CG9" s="39"/>
    </row>
    <row r="10" spans="1:85" s="18" customFormat="1" x14ac:dyDescent="0.25">
      <c r="A10" s="38"/>
      <c r="B10" s="39"/>
      <c r="C10" s="39"/>
      <c r="D10" s="39"/>
      <c r="E10" s="18" t="s">
        <v>121</v>
      </c>
      <c r="AS10" s="10"/>
      <c r="AU10" s="4"/>
      <c r="BD10" s="40"/>
      <c r="BE10" s="40"/>
      <c r="CE10" s="10"/>
      <c r="CG10" s="39"/>
    </row>
    <row r="11" spans="1:85" s="18" customFormat="1" x14ac:dyDescent="0.25">
      <c r="A11" s="38"/>
      <c r="B11" s="39"/>
      <c r="C11" s="39"/>
      <c r="D11" s="39"/>
      <c r="E11" s="18" t="s">
        <v>123</v>
      </c>
      <c r="AS11" s="10"/>
      <c r="AU11" s="4"/>
      <c r="BD11" s="40"/>
      <c r="BE11" s="40"/>
      <c r="CE11" s="10"/>
      <c r="CG11" s="39"/>
    </row>
    <row r="12" spans="1:85" s="18" customFormat="1" x14ac:dyDescent="0.25">
      <c r="A12" s="38"/>
      <c r="B12" s="39"/>
      <c r="C12" s="39"/>
      <c r="D12" s="39"/>
      <c r="E12" s="18" t="s">
        <v>122</v>
      </c>
      <c r="AS12" s="10"/>
      <c r="AU12" s="4"/>
      <c r="BD12" s="40"/>
      <c r="BE12" s="40"/>
      <c r="CE12" s="10"/>
      <c r="CG12" s="39"/>
    </row>
    <row r="13" spans="1:85" s="18" customFormat="1" x14ac:dyDescent="0.25">
      <c r="A13" s="38"/>
      <c r="B13" s="39"/>
      <c r="C13" s="39"/>
      <c r="D13" s="39"/>
      <c r="E13" s="18" t="s">
        <v>137</v>
      </c>
      <c r="AS13" s="10"/>
      <c r="AU13" s="4"/>
      <c r="BD13" s="40"/>
      <c r="BE13" s="40"/>
      <c r="CE13" s="10"/>
      <c r="CG13" s="39"/>
    </row>
    <row r="14" spans="1:85" s="18" customFormat="1" x14ac:dyDescent="0.25">
      <c r="A14" s="38"/>
      <c r="B14" s="39"/>
      <c r="C14" s="39"/>
      <c r="D14" s="39"/>
      <c r="E14" s="18" t="s">
        <v>125</v>
      </c>
      <c r="AS14" s="10"/>
      <c r="AU14" s="4"/>
      <c r="BD14" s="40"/>
      <c r="BE14" s="40"/>
      <c r="CE14" s="10"/>
      <c r="CG14" s="39"/>
    </row>
    <row r="15" spans="1:85" s="18" customFormat="1" x14ac:dyDescent="0.25">
      <c r="A15" s="38"/>
      <c r="B15" s="39"/>
      <c r="C15" s="39"/>
      <c r="D15" s="39"/>
      <c r="E15" s="18" t="s">
        <v>727</v>
      </c>
      <c r="AS15" s="10"/>
      <c r="AU15" s="4"/>
      <c r="BD15" s="40"/>
      <c r="BE15" s="40"/>
      <c r="CE15" s="10"/>
      <c r="CG15" s="39"/>
    </row>
    <row r="16" spans="1:85" s="18" customFormat="1" x14ac:dyDescent="0.25">
      <c r="A16" s="38"/>
      <c r="B16" s="39"/>
      <c r="C16" s="39"/>
      <c r="D16" s="39"/>
      <c r="E16" s="18" t="s">
        <v>728</v>
      </c>
      <c r="AS16" s="10"/>
      <c r="AU16" s="4"/>
      <c r="BD16" s="40"/>
      <c r="BE16" s="40"/>
      <c r="CE16" s="10"/>
      <c r="CG16" s="39"/>
    </row>
    <row r="17" spans="1:86" s="18" customFormat="1" x14ac:dyDescent="0.25">
      <c r="A17" s="38"/>
      <c r="B17" s="39"/>
      <c r="C17" s="39"/>
      <c r="D17" s="39"/>
      <c r="E17" s="18" t="s">
        <v>124</v>
      </c>
      <c r="AS17" s="10"/>
      <c r="AU17" s="4"/>
      <c r="BD17" s="40"/>
      <c r="BE17" s="40"/>
      <c r="CE17" s="10"/>
      <c r="CG17" s="39"/>
    </row>
    <row r="18" spans="1:86" s="18" customFormat="1" x14ac:dyDescent="0.25">
      <c r="A18" s="38"/>
      <c r="B18" s="39"/>
      <c r="C18" s="39"/>
      <c r="D18" s="39"/>
      <c r="E18" s="18" t="s">
        <v>132</v>
      </c>
      <c r="AS18" s="10"/>
      <c r="AU18" s="4"/>
      <c r="BD18" s="40"/>
      <c r="BE18" s="40"/>
      <c r="CE18" s="10"/>
      <c r="CG18" s="39"/>
    </row>
    <row r="19" spans="1:86" s="18" customFormat="1" x14ac:dyDescent="0.25">
      <c r="A19" s="38"/>
      <c r="B19" s="39"/>
      <c r="C19" s="39"/>
      <c r="D19" s="39"/>
      <c r="E19" s="18" t="s">
        <v>119</v>
      </c>
      <c r="AS19" s="10"/>
      <c r="AU19" s="4"/>
      <c r="BD19" s="40"/>
      <c r="BE19" s="40"/>
      <c r="CE19" s="10"/>
      <c r="CG19" s="39"/>
    </row>
    <row r="20" spans="1:86" s="18" customFormat="1" x14ac:dyDescent="0.25">
      <c r="A20" s="38"/>
      <c r="B20" s="39"/>
      <c r="C20" s="39"/>
      <c r="D20" s="39"/>
      <c r="E20" s="18" t="s">
        <v>729</v>
      </c>
      <c r="AS20" s="10"/>
      <c r="AU20" s="4"/>
      <c r="BD20" s="40"/>
      <c r="BE20" s="40"/>
      <c r="CE20" s="10"/>
      <c r="CG20" s="39"/>
    </row>
    <row r="21" spans="1:86" s="18" customFormat="1" x14ac:dyDescent="0.25">
      <c r="A21" s="38"/>
      <c r="B21" s="39"/>
      <c r="C21" s="39"/>
      <c r="D21" s="39"/>
      <c r="E21" s="18" t="s">
        <v>730</v>
      </c>
      <c r="AS21" s="10"/>
      <c r="AU21" s="4"/>
      <c r="BD21" s="40"/>
      <c r="BE21" s="40"/>
      <c r="CE21" s="10"/>
      <c r="CG21" s="39"/>
    </row>
    <row r="22" spans="1:86" s="18" customFormat="1" x14ac:dyDescent="0.25">
      <c r="A22" s="38"/>
      <c r="B22" s="39"/>
      <c r="C22" s="39"/>
      <c r="D22" s="39"/>
      <c r="E22" s="18" t="s">
        <v>731</v>
      </c>
      <c r="AS22" s="10"/>
      <c r="AU22" s="4"/>
      <c r="BD22" s="40"/>
      <c r="BE22" s="40"/>
      <c r="CE22" s="10"/>
      <c r="CG22" s="39"/>
    </row>
    <row r="23" spans="1:86" s="18" customFormat="1" x14ac:dyDescent="0.25">
      <c r="A23" s="38"/>
      <c r="B23" s="39"/>
      <c r="C23" s="39"/>
      <c r="D23" s="39"/>
      <c r="E23" s="18" t="s">
        <v>116</v>
      </c>
      <c r="AS23" s="10"/>
      <c r="AU23" s="4"/>
      <c r="BD23" s="40"/>
      <c r="BE23" s="40"/>
      <c r="CE23" s="10"/>
      <c r="CG23" s="39"/>
    </row>
    <row r="24" spans="1:86" s="18" customFormat="1" x14ac:dyDescent="0.25">
      <c r="A24" s="38"/>
      <c r="B24" s="39"/>
      <c r="C24" s="39"/>
      <c r="D24" s="39"/>
      <c r="E24" s="18" t="s">
        <v>732</v>
      </c>
      <c r="AS24" s="10"/>
      <c r="AU24" s="4"/>
      <c r="BD24" s="40"/>
      <c r="BE24" s="40"/>
      <c r="CE24" s="10"/>
      <c r="CG24" s="39"/>
    </row>
    <row r="25" spans="1:86" s="18" customFormat="1" x14ac:dyDescent="0.25">
      <c r="A25" s="38"/>
      <c r="B25" s="39"/>
      <c r="C25" s="39"/>
      <c r="D25" s="39"/>
      <c r="E25" s="18" t="s">
        <v>733</v>
      </c>
      <c r="AS25" s="10"/>
      <c r="AU25" s="4"/>
      <c r="BD25" s="40"/>
      <c r="BE25" s="40"/>
      <c r="CE25" s="10"/>
      <c r="CG25" s="39"/>
    </row>
    <row r="26" spans="1:86" x14ac:dyDescent="0.25">
      <c r="C26" s="17">
        <v>15374</v>
      </c>
      <c r="D26" s="17">
        <v>9599</v>
      </c>
      <c r="E26" s="3" t="s">
        <v>116</v>
      </c>
      <c r="F26" s="3" t="s">
        <v>734</v>
      </c>
      <c r="H26" s="3">
        <v>87.94</v>
      </c>
      <c r="AS26" s="10">
        <f>SUM(H26:AQ26)</f>
        <v>87.94</v>
      </c>
      <c r="AT26" s="3">
        <v>59.1</v>
      </c>
      <c r="AU26" s="4">
        <f>0.15+7.5</f>
        <v>7.65</v>
      </c>
      <c r="AV26" s="3">
        <v>21.19</v>
      </c>
      <c r="CE26" s="10">
        <f>SUM(AT26:CC26)</f>
        <v>87.94</v>
      </c>
      <c r="CF26" s="3">
        <f>+CE26-AS26</f>
        <v>0</v>
      </c>
      <c r="CG26" s="17">
        <f>+D26</f>
        <v>9599</v>
      </c>
      <c r="CH26" s="3" t="str">
        <f>+E26</f>
        <v>اتحاد صيدلة</v>
      </c>
    </row>
    <row r="27" spans="1:86" x14ac:dyDescent="0.25">
      <c r="C27" s="17">
        <v>15360</v>
      </c>
      <c r="D27" s="17">
        <v>9600</v>
      </c>
      <c r="E27" s="3" t="s">
        <v>116</v>
      </c>
      <c r="F27" s="3" t="s">
        <v>735</v>
      </c>
      <c r="H27" s="3">
        <v>87.94</v>
      </c>
      <c r="AS27" s="10">
        <f>SUM(H27:AQ27)</f>
        <v>87.94</v>
      </c>
      <c r="AT27" s="3">
        <v>59.1</v>
      </c>
      <c r="AU27" s="4">
        <f>7.5+0.15</f>
        <v>7.65</v>
      </c>
      <c r="AV27" s="3">
        <v>21.19</v>
      </c>
      <c r="CE27" s="10">
        <f>SUM(AT27:CC27)</f>
        <v>87.94</v>
      </c>
      <c r="CF27" s="3">
        <f t="shared" ref="CF27:CF90" si="0">+CE27-AS27</f>
        <v>0</v>
      </c>
      <c r="CG27" s="17">
        <f t="shared" ref="CG27:CH90" si="1">+D27</f>
        <v>9600</v>
      </c>
      <c r="CH27" s="3" t="str">
        <f t="shared" si="1"/>
        <v>اتحاد صيدلة</v>
      </c>
    </row>
    <row r="28" spans="1:86" x14ac:dyDescent="0.25">
      <c r="B28" s="3"/>
      <c r="C28" s="20">
        <v>15367</v>
      </c>
      <c r="D28" s="20">
        <v>9601</v>
      </c>
      <c r="E28" s="3" t="s">
        <v>116</v>
      </c>
      <c r="F28" s="41" t="s">
        <v>736</v>
      </c>
      <c r="H28" s="21">
        <v>1172.51</v>
      </c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2">
        <f t="shared" ref="AS28:AS89" si="2">SUM(H28:AQ28)</f>
        <v>1172.51</v>
      </c>
      <c r="AT28" s="21">
        <v>785.15</v>
      </c>
      <c r="AU28" s="21">
        <v>104.85</v>
      </c>
      <c r="AV28" s="21">
        <v>282.51</v>
      </c>
      <c r="AW28" s="21"/>
      <c r="AX28" s="21"/>
      <c r="AY28" s="21"/>
      <c r="AZ28" s="21"/>
      <c r="BA28" s="21"/>
      <c r="BB28" s="21"/>
      <c r="BC28" s="21"/>
      <c r="BD28" s="3"/>
      <c r="BE28" s="3"/>
      <c r="CE28" s="22">
        <f t="shared" ref="CE28:CE91" si="3">SUM(AT28:CC28)</f>
        <v>1172.51</v>
      </c>
      <c r="CF28" s="3">
        <f t="shared" si="0"/>
        <v>0</v>
      </c>
      <c r="CG28" s="17">
        <f t="shared" si="1"/>
        <v>9601</v>
      </c>
      <c r="CH28" s="3" t="str">
        <f t="shared" si="1"/>
        <v>اتحاد صيدلة</v>
      </c>
    </row>
    <row r="29" spans="1:86" x14ac:dyDescent="0.25">
      <c r="C29" s="20">
        <v>15359</v>
      </c>
      <c r="D29" s="20">
        <v>9602</v>
      </c>
      <c r="E29" s="3" t="s">
        <v>116</v>
      </c>
      <c r="F29" s="41" t="s">
        <v>737</v>
      </c>
      <c r="H29" s="21">
        <v>1055.25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2">
        <f t="shared" si="2"/>
        <v>1055.25</v>
      </c>
      <c r="AT29" s="21">
        <v>706.65</v>
      </c>
      <c r="AU29" s="21">
        <v>94.35</v>
      </c>
      <c r="AV29" s="21">
        <v>254.25</v>
      </c>
      <c r="AW29" s="21"/>
      <c r="AX29" s="21"/>
      <c r="AY29" s="21"/>
      <c r="AZ29" s="21"/>
      <c r="BA29" s="21"/>
      <c r="BB29" s="21"/>
      <c r="BC29" s="21"/>
      <c r="BD29" s="3"/>
      <c r="BE29" s="3"/>
      <c r="CE29" s="22">
        <f t="shared" si="3"/>
        <v>1055.25</v>
      </c>
      <c r="CF29" s="3">
        <f t="shared" si="0"/>
        <v>0</v>
      </c>
      <c r="CG29" s="17">
        <f t="shared" si="1"/>
        <v>9602</v>
      </c>
      <c r="CH29" s="3" t="str">
        <f t="shared" si="1"/>
        <v>اتحاد صيدلة</v>
      </c>
    </row>
    <row r="30" spans="1:86" x14ac:dyDescent="0.25">
      <c r="C30" s="20">
        <v>15369</v>
      </c>
      <c r="D30" s="20">
        <v>9603</v>
      </c>
      <c r="E30" s="3" t="s">
        <v>116</v>
      </c>
      <c r="F30" s="41" t="s">
        <v>738</v>
      </c>
      <c r="H30" s="21">
        <v>2814.01</v>
      </c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2">
        <f t="shared" si="2"/>
        <v>2814.01</v>
      </c>
      <c r="AT30" s="21">
        <v>1882</v>
      </c>
      <c r="AU30" s="21">
        <v>254</v>
      </c>
      <c r="AV30" s="21">
        <v>678.01</v>
      </c>
      <c r="AW30" s="21"/>
      <c r="AX30" s="21"/>
      <c r="AY30" s="21"/>
      <c r="AZ30" s="21"/>
      <c r="BA30" s="21"/>
      <c r="BB30" s="21"/>
      <c r="BC30" s="21"/>
      <c r="BD30" s="3"/>
      <c r="BE30" s="3"/>
      <c r="CE30" s="22">
        <f t="shared" si="3"/>
        <v>2814.01</v>
      </c>
      <c r="CF30" s="3">
        <f t="shared" si="0"/>
        <v>0</v>
      </c>
      <c r="CG30" s="17">
        <f t="shared" si="1"/>
        <v>9603</v>
      </c>
      <c r="CH30" s="3" t="str">
        <f t="shared" si="1"/>
        <v>اتحاد صيدلة</v>
      </c>
    </row>
    <row r="31" spans="1:86" x14ac:dyDescent="0.25">
      <c r="C31" s="20">
        <v>15370</v>
      </c>
      <c r="D31" s="20">
        <v>9604</v>
      </c>
      <c r="E31" s="3" t="s">
        <v>116</v>
      </c>
      <c r="F31" s="41" t="s">
        <v>739</v>
      </c>
      <c r="H31" s="21">
        <v>87.94</v>
      </c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2">
        <f t="shared" si="2"/>
        <v>87.94</v>
      </c>
      <c r="AT31" s="21">
        <v>59.1</v>
      </c>
      <c r="AU31" s="21">
        <f>0.15+7.5</f>
        <v>7.65</v>
      </c>
      <c r="AV31" s="21">
        <v>21.19</v>
      </c>
      <c r="AW31" s="21"/>
      <c r="AX31" s="21"/>
      <c r="AY31" s="21"/>
      <c r="AZ31" s="21"/>
      <c r="BA31" s="21"/>
      <c r="BB31" s="21"/>
      <c r="BC31" s="21"/>
      <c r="BD31" s="3"/>
      <c r="BE31" s="3"/>
      <c r="CE31" s="22">
        <f t="shared" si="3"/>
        <v>87.94</v>
      </c>
      <c r="CF31" s="3">
        <f t="shared" si="0"/>
        <v>0</v>
      </c>
      <c r="CG31" s="17">
        <f t="shared" si="1"/>
        <v>9604</v>
      </c>
      <c r="CH31" s="3" t="str">
        <f t="shared" si="1"/>
        <v>اتحاد صيدلة</v>
      </c>
    </row>
    <row r="32" spans="1:86" x14ac:dyDescent="0.25">
      <c r="C32" s="20">
        <v>15372</v>
      </c>
      <c r="D32" s="20">
        <v>9605</v>
      </c>
      <c r="E32" s="3" t="s">
        <v>116</v>
      </c>
      <c r="F32" s="41" t="s">
        <v>740</v>
      </c>
      <c r="H32" s="21">
        <v>87.94</v>
      </c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2">
        <f t="shared" si="2"/>
        <v>87.94</v>
      </c>
      <c r="AT32" s="21">
        <v>59.1</v>
      </c>
      <c r="AU32" s="21">
        <f>0.15+7.5</f>
        <v>7.65</v>
      </c>
      <c r="AV32" s="21">
        <v>21.19</v>
      </c>
      <c r="AW32" s="21"/>
      <c r="AX32" s="21"/>
      <c r="AY32" s="21"/>
      <c r="AZ32" s="21"/>
      <c r="BA32" s="21"/>
      <c r="BB32" s="21"/>
      <c r="BC32" s="21"/>
      <c r="BD32" s="3"/>
      <c r="BE32" s="3"/>
      <c r="CE32" s="22">
        <f t="shared" si="3"/>
        <v>87.94</v>
      </c>
      <c r="CF32" s="3">
        <f t="shared" si="0"/>
        <v>0</v>
      </c>
      <c r="CG32" s="17">
        <f t="shared" si="1"/>
        <v>9605</v>
      </c>
      <c r="CH32" s="3" t="str">
        <f t="shared" si="1"/>
        <v>اتحاد صيدلة</v>
      </c>
    </row>
    <row r="33" spans="1:86" x14ac:dyDescent="0.25">
      <c r="C33" s="20">
        <v>15371</v>
      </c>
      <c r="D33" s="20">
        <v>9606</v>
      </c>
      <c r="E33" s="3" t="s">
        <v>116</v>
      </c>
      <c r="F33" s="41" t="str">
        <f>+F31</f>
        <v>مكافاه اتحاد طلاب اكتوبر</v>
      </c>
      <c r="H33" s="21">
        <v>652.23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2">
        <f t="shared" si="2"/>
        <v>652.23</v>
      </c>
      <c r="AT33" s="21">
        <v>437.89</v>
      </c>
      <c r="AU33" s="21">
        <v>57.23</v>
      </c>
      <c r="AV33" s="21">
        <v>157.11000000000001</v>
      </c>
      <c r="AW33" s="21"/>
      <c r="AX33" s="21"/>
      <c r="AY33" s="21"/>
      <c r="AZ33" s="21"/>
      <c r="BA33" s="21"/>
      <c r="BB33" s="21"/>
      <c r="BC33" s="21"/>
      <c r="BD33" s="3"/>
      <c r="BE33" s="3"/>
      <c r="CE33" s="22">
        <f t="shared" si="3"/>
        <v>652.23</v>
      </c>
      <c r="CF33" s="3">
        <f t="shared" si="0"/>
        <v>0</v>
      </c>
      <c r="CG33" s="17">
        <f t="shared" si="1"/>
        <v>9606</v>
      </c>
      <c r="CH33" s="3" t="str">
        <f t="shared" si="1"/>
        <v>اتحاد صيدلة</v>
      </c>
    </row>
    <row r="34" spans="1:86" x14ac:dyDescent="0.25">
      <c r="C34" s="20">
        <v>15361</v>
      </c>
      <c r="D34" s="20">
        <v>9607</v>
      </c>
      <c r="E34" s="3" t="s">
        <v>116</v>
      </c>
      <c r="F34" s="41" t="s">
        <v>741</v>
      </c>
      <c r="H34" s="21">
        <v>652.39</v>
      </c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2">
        <f t="shared" si="2"/>
        <v>652.39</v>
      </c>
      <c r="AT34" s="21">
        <v>437.99</v>
      </c>
      <c r="AU34" s="21">
        <v>57.24</v>
      </c>
      <c r="AV34" s="21">
        <v>157.16</v>
      </c>
      <c r="AW34" s="21"/>
      <c r="AX34" s="21"/>
      <c r="AY34" s="21"/>
      <c r="AZ34" s="21"/>
      <c r="BA34" s="21"/>
      <c r="BB34" s="21"/>
      <c r="BC34" s="21"/>
      <c r="BD34" s="3"/>
      <c r="BE34" s="3"/>
      <c r="CE34" s="22">
        <f t="shared" si="3"/>
        <v>652.39</v>
      </c>
      <c r="CF34" s="3">
        <f t="shared" si="0"/>
        <v>0</v>
      </c>
      <c r="CG34" s="17">
        <f t="shared" si="1"/>
        <v>9607</v>
      </c>
      <c r="CH34" s="3" t="str">
        <f t="shared" si="1"/>
        <v>اتحاد صيدلة</v>
      </c>
    </row>
    <row r="35" spans="1:86" x14ac:dyDescent="0.25">
      <c r="B35" s="21"/>
      <c r="C35" s="20">
        <v>15375</v>
      </c>
      <c r="D35" s="20">
        <v>9608</v>
      </c>
      <c r="E35" s="3" t="s">
        <v>116</v>
      </c>
      <c r="F35" s="41" t="s">
        <v>742</v>
      </c>
      <c r="H35" s="21">
        <v>652.23</v>
      </c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2">
        <f t="shared" si="2"/>
        <v>652.23</v>
      </c>
      <c r="AT35" s="21">
        <v>437.89</v>
      </c>
      <c r="AU35" s="21">
        <v>57.23</v>
      </c>
      <c r="AV35" s="21">
        <v>157.11000000000001</v>
      </c>
      <c r="AW35" s="21"/>
      <c r="AX35" s="21"/>
      <c r="AY35" s="21"/>
      <c r="AZ35" s="21"/>
      <c r="BA35" s="21"/>
      <c r="BB35" s="21"/>
      <c r="BC35" s="21"/>
      <c r="BD35" s="3"/>
      <c r="BE35" s="3"/>
      <c r="CE35" s="22">
        <f t="shared" si="3"/>
        <v>652.23</v>
      </c>
      <c r="CF35" s="3">
        <f t="shared" si="0"/>
        <v>0</v>
      </c>
      <c r="CG35" s="17">
        <f t="shared" si="1"/>
        <v>9608</v>
      </c>
      <c r="CH35" s="3" t="str">
        <f t="shared" si="1"/>
        <v>اتحاد صيدلة</v>
      </c>
    </row>
    <row r="36" spans="1:86" x14ac:dyDescent="0.25">
      <c r="B36" s="21"/>
      <c r="C36" s="20">
        <v>15366</v>
      </c>
      <c r="D36" s="20">
        <v>9609</v>
      </c>
      <c r="E36" s="3" t="s">
        <v>116</v>
      </c>
      <c r="F36" s="41" t="s">
        <v>743</v>
      </c>
      <c r="H36" s="21">
        <v>2813.99</v>
      </c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2">
        <f t="shared" si="2"/>
        <v>2813.99</v>
      </c>
      <c r="AT36" s="21">
        <v>1883.4</v>
      </c>
      <c r="AU36" s="21">
        <v>252.6</v>
      </c>
      <c r="AV36" s="21">
        <v>677.99</v>
      </c>
      <c r="AW36" s="21"/>
      <c r="AX36" s="21"/>
      <c r="AY36" s="21"/>
      <c r="AZ36" s="21"/>
      <c r="BA36" s="21"/>
      <c r="BB36" s="21"/>
      <c r="BC36" s="21"/>
      <c r="BD36" s="3"/>
      <c r="BE36" s="3"/>
      <c r="CE36" s="22">
        <f t="shared" si="3"/>
        <v>2813.99</v>
      </c>
      <c r="CF36" s="3">
        <f t="shared" si="0"/>
        <v>0</v>
      </c>
      <c r="CG36" s="17">
        <f t="shared" si="1"/>
        <v>9609</v>
      </c>
      <c r="CH36" s="3" t="str">
        <f t="shared" si="1"/>
        <v>اتحاد صيدلة</v>
      </c>
    </row>
    <row r="37" spans="1:86" x14ac:dyDescent="0.25">
      <c r="C37" s="20">
        <v>15373</v>
      </c>
      <c r="D37" s="20">
        <v>9610</v>
      </c>
      <c r="E37" s="3" t="s">
        <v>116</v>
      </c>
      <c r="F37" s="41" t="str">
        <f>+F32</f>
        <v>مكافاه اتحاد طلاب نوفمبر</v>
      </c>
      <c r="H37" s="21">
        <v>652.23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2">
        <f t="shared" si="2"/>
        <v>652.23</v>
      </c>
      <c r="AT37" s="21">
        <v>437.89</v>
      </c>
      <c r="AU37" s="21">
        <v>57.23</v>
      </c>
      <c r="AV37" s="21">
        <v>157.11000000000001</v>
      </c>
      <c r="AW37" s="21"/>
      <c r="AX37" s="21"/>
      <c r="AY37" s="21"/>
      <c r="AZ37" s="21"/>
      <c r="BA37" s="21"/>
      <c r="BB37" s="21"/>
      <c r="BC37" s="21"/>
      <c r="BD37" s="3"/>
      <c r="BE37" s="3"/>
      <c r="CE37" s="22">
        <f t="shared" si="3"/>
        <v>652.23</v>
      </c>
      <c r="CF37" s="3">
        <f t="shared" si="0"/>
        <v>0</v>
      </c>
      <c r="CG37" s="17">
        <f t="shared" si="1"/>
        <v>9610</v>
      </c>
      <c r="CH37" s="3" t="str">
        <f t="shared" si="1"/>
        <v>اتحاد صيدلة</v>
      </c>
    </row>
    <row r="38" spans="1:86" x14ac:dyDescent="0.25">
      <c r="B38" s="21"/>
      <c r="C38" s="20">
        <v>15365</v>
      </c>
      <c r="D38" s="20">
        <v>9611</v>
      </c>
      <c r="E38" s="42" t="s">
        <v>116</v>
      </c>
      <c r="F38" s="41" t="s">
        <v>744</v>
      </c>
      <c r="H38" s="21"/>
      <c r="I38" s="21">
        <v>15000</v>
      </c>
      <c r="J38" s="21"/>
      <c r="K38" s="21"/>
      <c r="L38" s="21"/>
      <c r="M38" s="21"/>
      <c r="N38" s="21"/>
      <c r="O38" s="21"/>
      <c r="P38" s="21">
        <v>15000</v>
      </c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2">
        <f t="shared" si="2"/>
        <v>30000</v>
      </c>
      <c r="AT38" s="21">
        <v>15000</v>
      </c>
      <c r="AU38" s="21"/>
      <c r="AV38" s="21"/>
      <c r="AW38" s="21"/>
      <c r="AX38" s="21"/>
      <c r="AY38" s="21"/>
      <c r="AZ38" s="21"/>
      <c r="BA38" s="21"/>
      <c r="BB38" s="21"/>
      <c r="BC38" s="21"/>
      <c r="BD38" s="3"/>
      <c r="BE38" s="3"/>
      <c r="BO38" s="3">
        <v>15000</v>
      </c>
      <c r="CE38" s="22">
        <f t="shared" si="3"/>
        <v>30000</v>
      </c>
      <c r="CF38" s="3">
        <f t="shared" si="0"/>
        <v>0</v>
      </c>
      <c r="CG38" s="17">
        <f t="shared" si="1"/>
        <v>9611</v>
      </c>
      <c r="CH38" s="3" t="str">
        <f t="shared" si="1"/>
        <v>اتحاد صيدلة</v>
      </c>
    </row>
    <row r="39" spans="1:86" x14ac:dyDescent="0.25">
      <c r="C39" s="20">
        <v>15397</v>
      </c>
      <c r="D39" s="20">
        <v>9612</v>
      </c>
      <c r="E39" s="42" t="s">
        <v>745</v>
      </c>
      <c r="F39" s="43" t="s">
        <v>746</v>
      </c>
      <c r="H39" s="21"/>
      <c r="I39" s="21">
        <v>294500</v>
      </c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2">
        <f t="shared" si="2"/>
        <v>294500</v>
      </c>
      <c r="AT39" s="21">
        <v>269319.3</v>
      </c>
      <c r="AU39" s="21">
        <f>1867+5601+11.7</f>
        <v>7479.7</v>
      </c>
      <c r="AV39" s="21"/>
      <c r="AW39" s="21">
        <v>5</v>
      </c>
      <c r="AX39" s="21"/>
      <c r="AY39" s="21"/>
      <c r="AZ39" s="21"/>
      <c r="BA39" s="21"/>
      <c r="BB39" s="21"/>
      <c r="BC39" s="21"/>
      <c r="BD39" s="3"/>
      <c r="BE39" s="3"/>
      <c r="BG39" s="3">
        <v>2945</v>
      </c>
      <c r="BH39" s="3">
        <v>26</v>
      </c>
      <c r="BK39" s="3">
        <v>14725</v>
      </c>
      <c r="CE39" s="22">
        <f t="shared" si="3"/>
        <v>294500</v>
      </c>
      <c r="CF39" s="3">
        <f t="shared" si="0"/>
        <v>0</v>
      </c>
      <c r="CG39" s="17">
        <f t="shared" si="1"/>
        <v>9612</v>
      </c>
      <c r="CH39" s="3" t="str">
        <f t="shared" si="1"/>
        <v xml:space="preserve"> خ ت صيدلة </v>
      </c>
    </row>
    <row r="40" spans="1:86" ht="31.5" x14ac:dyDescent="0.25">
      <c r="C40" s="20">
        <v>15358</v>
      </c>
      <c r="D40" s="20">
        <v>9613</v>
      </c>
      <c r="E40" s="42" t="s">
        <v>116</v>
      </c>
      <c r="F40" s="43" t="s">
        <v>747</v>
      </c>
      <c r="H40" s="21"/>
      <c r="I40" s="21">
        <v>15000</v>
      </c>
      <c r="J40" s="21"/>
      <c r="K40" s="21"/>
      <c r="L40" s="21"/>
      <c r="M40" s="21"/>
      <c r="N40" s="21"/>
      <c r="O40" s="21"/>
      <c r="P40" s="21">
        <v>15000</v>
      </c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2">
        <f t="shared" si="2"/>
        <v>30000</v>
      </c>
      <c r="AT40" s="21">
        <v>15000</v>
      </c>
      <c r="AU40" s="21"/>
      <c r="AV40" s="21"/>
      <c r="AW40" s="21"/>
      <c r="AX40" s="21"/>
      <c r="AY40" s="21"/>
      <c r="AZ40" s="21"/>
      <c r="BA40" s="21"/>
      <c r="BB40" s="21"/>
      <c r="BC40" s="21"/>
      <c r="BD40" s="3"/>
      <c r="BE40" s="3"/>
      <c r="BO40" s="3">
        <v>15000</v>
      </c>
      <c r="CE40" s="22">
        <f t="shared" si="3"/>
        <v>30000</v>
      </c>
      <c r="CF40" s="3">
        <f t="shared" si="0"/>
        <v>0</v>
      </c>
      <c r="CG40" s="17">
        <f t="shared" si="1"/>
        <v>9613</v>
      </c>
      <c r="CH40" s="3" t="str">
        <f t="shared" si="1"/>
        <v>اتحاد صيدلة</v>
      </c>
    </row>
    <row r="41" spans="1:86" x14ac:dyDescent="0.25">
      <c r="C41" s="11">
        <v>13798</v>
      </c>
      <c r="D41" s="20">
        <v>9614</v>
      </c>
      <c r="E41" s="42" t="s">
        <v>132</v>
      </c>
      <c r="F41" s="44" t="s">
        <v>748</v>
      </c>
      <c r="H41" s="21"/>
      <c r="I41" s="21"/>
      <c r="J41" s="21"/>
      <c r="K41" s="21"/>
      <c r="L41" s="21">
        <v>16359</v>
      </c>
      <c r="M41" s="21">
        <v>16359</v>
      </c>
      <c r="N41" s="21">
        <v>16359</v>
      </c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2">
        <f>SUM(H41:AQ41)</f>
        <v>49077</v>
      </c>
      <c r="AT41" s="21">
        <v>14480.35</v>
      </c>
      <c r="AU41" s="21">
        <f>186.25+558.75+11.7</f>
        <v>756.7</v>
      </c>
      <c r="AV41" s="21"/>
      <c r="AW41" s="21">
        <v>5</v>
      </c>
      <c r="AX41" s="21"/>
      <c r="AY41" s="21"/>
      <c r="AZ41" s="21"/>
      <c r="BA41" s="21"/>
      <c r="BB41" s="21"/>
      <c r="BC41" s="21"/>
      <c r="BD41" s="3"/>
      <c r="BE41" s="3"/>
      <c r="BG41" s="3">
        <v>143.5</v>
      </c>
      <c r="BH41" s="3">
        <v>26</v>
      </c>
      <c r="BI41" s="3">
        <f>64.75*2</f>
        <v>129.5</v>
      </c>
      <c r="BK41" s="3">
        <v>817.95</v>
      </c>
      <c r="BL41" s="3">
        <v>16359</v>
      </c>
      <c r="BM41" s="3">
        <v>16359</v>
      </c>
      <c r="CE41" s="22">
        <f>SUM(AT41:CC41)</f>
        <v>49077</v>
      </c>
      <c r="CF41" s="3">
        <f t="shared" si="0"/>
        <v>0</v>
      </c>
      <c r="CG41" s="17">
        <f t="shared" si="1"/>
        <v>9614</v>
      </c>
      <c r="CH41" s="3" t="str">
        <f t="shared" si="1"/>
        <v>صيدلة اكلينيكى</v>
      </c>
    </row>
    <row r="42" spans="1:86" x14ac:dyDescent="0.25">
      <c r="A42" s="16" t="s">
        <v>374</v>
      </c>
      <c r="C42" s="20">
        <v>13797</v>
      </c>
      <c r="D42" s="20">
        <v>9615</v>
      </c>
      <c r="E42" s="42" t="s">
        <v>132</v>
      </c>
      <c r="F42" s="43" t="s">
        <v>749</v>
      </c>
      <c r="H42" s="21"/>
      <c r="I42" s="21">
        <v>1489.6</v>
      </c>
      <c r="J42" s="21"/>
      <c r="K42" s="21"/>
      <c r="L42" s="21">
        <v>2090</v>
      </c>
      <c r="M42" s="21">
        <v>2090</v>
      </c>
      <c r="N42" s="21">
        <v>2090</v>
      </c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2">
        <f t="shared" si="2"/>
        <v>7759.6</v>
      </c>
      <c r="AT42" s="21">
        <v>3114.9</v>
      </c>
      <c r="AU42" s="21">
        <f>46.5+139.5+10.8</f>
        <v>196.8</v>
      </c>
      <c r="AV42" s="21"/>
      <c r="AW42" s="21">
        <v>5</v>
      </c>
      <c r="AX42" s="21"/>
      <c r="AY42" s="21"/>
      <c r="AZ42" s="21"/>
      <c r="BA42" s="21"/>
      <c r="BB42" s="21"/>
      <c r="BC42" s="21"/>
      <c r="BD42" s="3"/>
      <c r="BE42" s="3"/>
      <c r="BG42" s="3">
        <v>31.4</v>
      </c>
      <c r="BH42" s="3">
        <v>24</v>
      </c>
      <c r="BI42" s="3">
        <f>14.25*2</f>
        <v>28.5</v>
      </c>
      <c r="BK42" s="3">
        <v>179</v>
      </c>
      <c r="BL42" s="3">
        <v>2090</v>
      </c>
      <c r="BM42" s="3">
        <v>2090</v>
      </c>
      <c r="CE42" s="22">
        <f t="shared" si="3"/>
        <v>7759.6</v>
      </c>
      <c r="CF42" s="3">
        <f t="shared" si="0"/>
        <v>0</v>
      </c>
      <c r="CG42" s="17">
        <f t="shared" si="1"/>
        <v>9615</v>
      </c>
      <c r="CH42" s="3" t="str">
        <f t="shared" si="1"/>
        <v>صيدلة اكلينيكى</v>
      </c>
    </row>
    <row r="43" spans="1:86" x14ac:dyDescent="0.25">
      <c r="C43" s="20">
        <v>12389</v>
      </c>
      <c r="D43" s="20">
        <v>9616</v>
      </c>
      <c r="E43" s="42" t="s">
        <v>132</v>
      </c>
      <c r="F43" s="43" t="s">
        <v>750</v>
      </c>
      <c r="H43" s="21"/>
      <c r="I43" s="21">
        <v>54000</v>
      </c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2">
        <f t="shared" si="2"/>
        <v>54000</v>
      </c>
      <c r="AT43" s="21">
        <v>50594.95</v>
      </c>
      <c r="AU43" s="21">
        <f>384.25+1152.75+6.3</f>
        <v>1543.3</v>
      </c>
      <c r="AV43" s="21"/>
      <c r="AW43" s="21"/>
      <c r="AX43" s="21"/>
      <c r="AY43" s="21"/>
      <c r="AZ43" s="21"/>
      <c r="BA43" s="21"/>
      <c r="BB43" s="21"/>
      <c r="BC43" s="21"/>
      <c r="BD43" s="3"/>
      <c r="BE43" s="3"/>
      <c r="BG43" s="3">
        <v>1421.25</v>
      </c>
      <c r="BH43" s="3">
        <v>14</v>
      </c>
      <c r="BI43" s="3">
        <f>213.25*2</f>
        <v>426.5</v>
      </c>
      <c r="CE43" s="22">
        <f t="shared" si="3"/>
        <v>54000</v>
      </c>
      <c r="CF43" s="3">
        <f t="shared" si="0"/>
        <v>0</v>
      </c>
      <c r="CG43" s="17">
        <f t="shared" si="1"/>
        <v>9616</v>
      </c>
      <c r="CH43" s="3" t="str">
        <f t="shared" si="1"/>
        <v>صيدلة اكلينيكى</v>
      </c>
    </row>
    <row r="44" spans="1:86" x14ac:dyDescent="0.25">
      <c r="C44" s="20">
        <v>14697</v>
      </c>
      <c r="D44" s="20">
        <v>9617</v>
      </c>
      <c r="E44" s="42" t="s">
        <v>132</v>
      </c>
      <c r="F44" s="41" t="s">
        <v>751</v>
      </c>
      <c r="H44" s="21"/>
      <c r="I44" s="21">
        <v>35000</v>
      </c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2">
        <f t="shared" si="2"/>
        <v>35000</v>
      </c>
      <c r="AT44" s="21">
        <v>33367.300000000003</v>
      </c>
      <c r="AU44" s="21">
        <f>310+930+11.7</f>
        <v>1251.7</v>
      </c>
      <c r="AV44" s="21"/>
      <c r="AW44" s="21">
        <v>5</v>
      </c>
      <c r="AX44" s="21"/>
      <c r="AY44" s="21"/>
      <c r="AZ44" s="21"/>
      <c r="BA44" s="21"/>
      <c r="BB44" s="21"/>
      <c r="BC44" s="21"/>
      <c r="BD44" s="3"/>
      <c r="BE44" s="3"/>
      <c r="BG44" s="3">
        <v>350</v>
      </c>
      <c r="BH44" s="3">
        <v>26</v>
      </c>
      <c r="CE44" s="22">
        <f t="shared" si="3"/>
        <v>35000</v>
      </c>
      <c r="CF44" s="3">
        <f t="shared" si="0"/>
        <v>0</v>
      </c>
      <c r="CG44" s="17">
        <f t="shared" si="1"/>
        <v>9617</v>
      </c>
      <c r="CH44" s="3" t="str">
        <f t="shared" si="1"/>
        <v>صيدلة اكلينيكى</v>
      </c>
    </row>
    <row r="45" spans="1:86" x14ac:dyDescent="0.25">
      <c r="C45" s="20">
        <v>15376</v>
      </c>
      <c r="D45" s="20">
        <v>9618</v>
      </c>
      <c r="E45" s="42" t="s">
        <v>125</v>
      </c>
      <c r="F45" s="41" t="s">
        <v>752</v>
      </c>
      <c r="H45" s="21"/>
      <c r="I45" s="21">
        <v>51585</v>
      </c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2">
        <f>SUM(H45:AQ45)</f>
        <v>51585</v>
      </c>
      <c r="AT45" s="21">
        <v>46940.05</v>
      </c>
      <c r="AU45" s="21">
        <f>371.25+1113.75+52.2</f>
        <v>1537.2</v>
      </c>
      <c r="AV45" s="21"/>
      <c r="AW45" s="21">
        <v>5</v>
      </c>
      <c r="AX45" s="21"/>
      <c r="AY45" s="21"/>
      <c r="AZ45" s="21"/>
      <c r="BA45" s="21"/>
      <c r="BB45" s="21"/>
      <c r="BC45" s="21"/>
      <c r="BD45" s="3"/>
      <c r="BE45" s="3"/>
      <c r="BH45" s="3">
        <v>116</v>
      </c>
      <c r="BI45" s="3">
        <f>203.75*2</f>
        <v>407.5</v>
      </c>
      <c r="BJ45" s="3">
        <v>2579.25</v>
      </c>
      <c r="CE45" s="22">
        <f>SUM(AT45:CC45)</f>
        <v>51585</v>
      </c>
      <c r="CF45" s="3">
        <f t="shared" si="0"/>
        <v>0</v>
      </c>
      <c r="CG45" s="17">
        <f t="shared" si="1"/>
        <v>9618</v>
      </c>
      <c r="CH45" s="3" t="str">
        <f t="shared" si="1"/>
        <v>اختبار مواد</v>
      </c>
    </row>
    <row r="46" spans="1:86" ht="31.5" x14ac:dyDescent="0.25">
      <c r="B46" s="21"/>
      <c r="C46" s="20">
        <v>15063</v>
      </c>
      <c r="D46" s="20">
        <v>9619</v>
      </c>
      <c r="E46" s="42" t="s">
        <v>121</v>
      </c>
      <c r="F46" s="43" t="s">
        <v>753</v>
      </c>
      <c r="H46" s="21"/>
      <c r="I46" s="21">
        <v>277000</v>
      </c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2">
        <f>SUM(H46:AQ46)</f>
        <v>277000</v>
      </c>
      <c r="AT46" s="21">
        <v>252050.5</v>
      </c>
      <c r="AU46" s="21">
        <f>1557.75+4673.25+76.5</f>
        <v>6307.5</v>
      </c>
      <c r="AV46" s="21"/>
      <c r="AW46" s="21">
        <v>5</v>
      </c>
      <c r="AX46" s="21"/>
      <c r="AY46" s="21"/>
      <c r="AZ46" s="21"/>
      <c r="BA46" s="21"/>
      <c r="BB46" s="21" t="s">
        <v>754</v>
      </c>
      <c r="BC46" s="21"/>
      <c r="BD46" s="3"/>
      <c r="BE46" s="3"/>
      <c r="BG46" s="3">
        <v>2430</v>
      </c>
      <c r="BH46" s="3">
        <v>170</v>
      </c>
      <c r="BI46" s="3">
        <f>1093.5*2</f>
        <v>2187</v>
      </c>
      <c r="BK46" s="3">
        <v>13850</v>
      </c>
      <c r="CE46" s="22">
        <f>SUM(AT46:CC46)</f>
        <v>277000</v>
      </c>
      <c r="CF46" s="3">
        <f t="shared" si="0"/>
        <v>0</v>
      </c>
      <c r="CG46" s="17">
        <f t="shared" si="1"/>
        <v>9619</v>
      </c>
      <c r="CH46" s="3" t="str">
        <f t="shared" si="1"/>
        <v>ماليزى اسنان</v>
      </c>
    </row>
    <row r="47" spans="1:86" ht="31.5" x14ac:dyDescent="0.25">
      <c r="C47" s="20">
        <v>15057</v>
      </c>
      <c r="D47" s="20">
        <v>9620</v>
      </c>
      <c r="E47" s="42" t="s">
        <v>121</v>
      </c>
      <c r="F47" s="43" t="s">
        <v>755</v>
      </c>
      <c r="H47" s="21"/>
      <c r="I47" s="21">
        <v>142900</v>
      </c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2">
        <f t="shared" si="2"/>
        <v>142900</v>
      </c>
      <c r="AT47" s="21">
        <v>136987.20000000001</v>
      </c>
      <c r="AU47" s="21">
        <f>851.85+2555.55+36.9</f>
        <v>3444.3</v>
      </c>
      <c r="AV47" s="21"/>
      <c r="AW47" s="21">
        <v>5</v>
      </c>
      <c r="AX47" s="21"/>
      <c r="AY47" s="21"/>
      <c r="AZ47" s="21"/>
      <c r="BA47" s="21"/>
      <c r="BB47" s="21"/>
      <c r="BC47" s="21"/>
      <c r="BD47" s="3"/>
      <c r="BE47" s="3"/>
      <c r="BG47" s="3">
        <v>1253.5</v>
      </c>
      <c r="BH47" s="3">
        <v>82</v>
      </c>
      <c r="BI47" s="3">
        <f>564*2</f>
        <v>1128</v>
      </c>
      <c r="CE47" s="22">
        <f t="shared" si="3"/>
        <v>142900</v>
      </c>
      <c r="CF47" s="3">
        <f t="shared" si="0"/>
        <v>0</v>
      </c>
      <c r="CG47" s="17">
        <f t="shared" si="1"/>
        <v>9620</v>
      </c>
      <c r="CH47" s="3" t="str">
        <f t="shared" si="1"/>
        <v>ماليزى اسنان</v>
      </c>
    </row>
    <row r="48" spans="1:86" ht="31.5" x14ac:dyDescent="0.25">
      <c r="C48" s="20">
        <v>14938</v>
      </c>
      <c r="D48" s="20">
        <v>9621</v>
      </c>
      <c r="E48" s="42" t="s">
        <v>121</v>
      </c>
      <c r="F48" s="43" t="s">
        <v>756</v>
      </c>
      <c r="H48" s="21"/>
      <c r="I48" s="21">
        <v>20700</v>
      </c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2">
        <f t="shared" si="2"/>
        <v>20700</v>
      </c>
      <c r="AT48" s="21">
        <v>14884.15</v>
      </c>
      <c r="AU48" s="21">
        <f>208.75+626.25+39.6</f>
        <v>874.6</v>
      </c>
      <c r="AV48" s="21"/>
      <c r="AW48" s="21">
        <v>5</v>
      </c>
      <c r="AX48" s="21"/>
      <c r="AY48" s="21"/>
      <c r="AZ48" s="21"/>
      <c r="BA48" s="21"/>
      <c r="BB48" s="21"/>
      <c r="BC48" s="21"/>
      <c r="BD48" s="3"/>
      <c r="BE48" s="3"/>
      <c r="BG48" s="3">
        <v>544.75</v>
      </c>
      <c r="BH48" s="3">
        <v>88</v>
      </c>
      <c r="BI48" s="3">
        <f>81.75*2</f>
        <v>163.5</v>
      </c>
      <c r="BK48" s="3">
        <v>4140</v>
      </c>
      <c r="CE48" s="22">
        <f t="shared" si="3"/>
        <v>20700</v>
      </c>
      <c r="CF48" s="3">
        <f t="shared" si="0"/>
        <v>0</v>
      </c>
      <c r="CG48" s="17">
        <f t="shared" si="1"/>
        <v>9621</v>
      </c>
      <c r="CH48" s="3" t="str">
        <f t="shared" si="1"/>
        <v>ماليزى اسنان</v>
      </c>
    </row>
    <row r="49" spans="1:86" ht="31.5" x14ac:dyDescent="0.25">
      <c r="C49" s="20">
        <v>15718</v>
      </c>
      <c r="D49" s="20">
        <v>9622</v>
      </c>
      <c r="E49" s="42" t="s">
        <v>128</v>
      </c>
      <c r="F49" s="43" t="s">
        <v>757</v>
      </c>
      <c r="H49" s="21"/>
      <c r="I49" s="21">
        <v>25080</v>
      </c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2">
        <f t="shared" si="2"/>
        <v>25080</v>
      </c>
      <c r="AT49" s="21">
        <v>21919</v>
      </c>
      <c r="AU49" s="21">
        <v>964</v>
      </c>
      <c r="AV49" s="21"/>
      <c r="AW49" s="21">
        <v>5</v>
      </c>
      <c r="AX49" s="21"/>
      <c r="AY49" s="21"/>
      <c r="AZ49" s="21"/>
      <c r="BA49" s="21"/>
      <c r="BB49" s="21"/>
      <c r="BC49" s="21"/>
      <c r="BD49" s="3"/>
      <c r="BE49" s="3"/>
      <c r="BG49" s="3">
        <v>660</v>
      </c>
      <c r="BH49" s="3">
        <v>80</v>
      </c>
      <c r="BI49" s="3">
        <f>99*2</f>
        <v>198</v>
      </c>
      <c r="BJ49" s="3">
        <v>1254</v>
      </c>
      <c r="CE49" s="22">
        <f t="shared" si="3"/>
        <v>25080</v>
      </c>
      <c r="CF49" s="3">
        <f t="shared" si="0"/>
        <v>0</v>
      </c>
      <c r="CG49" s="17">
        <f t="shared" si="1"/>
        <v>9622</v>
      </c>
      <c r="CH49" s="3" t="str">
        <f t="shared" si="1"/>
        <v>مركز مؤتمرات</v>
      </c>
    </row>
    <row r="50" spans="1:86" x14ac:dyDescent="0.25">
      <c r="C50" s="20">
        <v>15882</v>
      </c>
      <c r="D50" s="20">
        <v>9623</v>
      </c>
      <c r="E50" s="42" t="s">
        <v>130</v>
      </c>
      <c r="F50" s="41" t="s">
        <v>758</v>
      </c>
      <c r="H50" s="21"/>
      <c r="I50" s="21">
        <v>27500</v>
      </c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>
        <v>27500</v>
      </c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2">
        <f t="shared" si="2"/>
        <v>55000</v>
      </c>
      <c r="AT50" s="21">
        <v>27500</v>
      </c>
      <c r="AU50" s="21"/>
      <c r="AV50" s="21"/>
      <c r="AW50" s="21"/>
      <c r="AX50" s="21"/>
      <c r="AY50" s="21"/>
      <c r="AZ50" s="21"/>
      <c r="BA50" s="21"/>
      <c r="BB50" s="21"/>
      <c r="BC50" s="21"/>
      <c r="BD50" s="3"/>
      <c r="BE50" s="3"/>
      <c r="BR50" s="3">
        <v>27500</v>
      </c>
      <c r="CE50" s="22">
        <f t="shared" si="3"/>
        <v>55000</v>
      </c>
      <c r="CF50" s="3">
        <f t="shared" si="0"/>
        <v>0</v>
      </c>
      <c r="CG50" s="17">
        <f t="shared" si="1"/>
        <v>9623</v>
      </c>
      <c r="CH50" s="3" t="str">
        <f t="shared" si="1"/>
        <v>خ ت طب</v>
      </c>
    </row>
    <row r="51" spans="1:86" ht="31.5" x14ac:dyDescent="0.25">
      <c r="B51" s="21"/>
      <c r="C51" s="20">
        <v>15883</v>
      </c>
      <c r="D51" s="20">
        <v>9624</v>
      </c>
      <c r="E51" s="42" t="s">
        <v>130</v>
      </c>
      <c r="F51" s="43" t="s">
        <v>759</v>
      </c>
      <c r="H51" s="21"/>
      <c r="I51" s="21">
        <v>32319</v>
      </c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2">
        <f t="shared" si="2"/>
        <v>32319</v>
      </c>
      <c r="AT51" s="21">
        <v>30103.9</v>
      </c>
      <c r="AU51" s="21">
        <v>1089.4000000000001</v>
      </c>
      <c r="AV51" s="21"/>
      <c r="AW51" s="21"/>
      <c r="AX51" s="21"/>
      <c r="AY51" s="21"/>
      <c r="AZ51" s="21"/>
      <c r="BA51" s="21"/>
      <c r="BB51" s="21"/>
      <c r="BC51" s="21"/>
      <c r="BD51" s="3"/>
      <c r="BE51" s="3"/>
      <c r="BG51" s="3">
        <v>850.5</v>
      </c>
      <c r="BH51" s="3">
        <v>20</v>
      </c>
      <c r="BI51" s="3">
        <f>127.6*2</f>
        <v>255.2</v>
      </c>
      <c r="CE51" s="22">
        <f t="shared" si="3"/>
        <v>32319.000000000004</v>
      </c>
      <c r="CF51" s="3">
        <f t="shared" si="0"/>
        <v>0</v>
      </c>
      <c r="CG51" s="17">
        <f t="shared" si="1"/>
        <v>9624</v>
      </c>
      <c r="CH51" s="3" t="str">
        <f t="shared" si="1"/>
        <v>خ ت طب</v>
      </c>
    </row>
    <row r="52" spans="1:86" ht="31.5" x14ac:dyDescent="0.25">
      <c r="A52" s="23"/>
      <c r="B52" s="24"/>
      <c r="C52" s="11">
        <v>15381</v>
      </c>
      <c r="D52" s="20">
        <v>9625</v>
      </c>
      <c r="E52" s="42" t="s">
        <v>130</v>
      </c>
      <c r="F52" s="45" t="s">
        <v>760</v>
      </c>
      <c r="H52" s="21"/>
      <c r="I52" s="21">
        <v>5465.16</v>
      </c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2">
        <f t="shared" si="2"/>
        <v>5465.16</v>
      </c>
      <c r="AT52" s="21">
        <v>5128.46</v>
      </c>
      <c r="AU52" s="21">
        <v>287.5</v>
      </c>
      <c r="AV52" s="21"/>
      <c r="AW52" s="21"/>
      <c r="AX52" s="21"/>
      <c r="AY52" s="21"/>
      <c r="AZ52" s="21"/>
      <c r="BA52" s="21"/>
      <c r="BB52" s="21"/>
      <c r="BC52" s="21"/>
      <c r="BD52" s="3"/>
      <c r="BE52" s="3"/>
      <c r="BH52" s="3">
        <v>6</v>
      </c>
      <c r="BI52" s="3">
        <f>21.6*2</f>
        <v>43.2</v>
      </c>
      <c r="CE52" s="22">
        <f t="shared" si="3"/>
        <v>5465.16</v>
      </c>
      <c r="CF52" s="3">
        <f t="shared" si="0"/>
        <v>0</v>
      </c>
      <c r="CG52" s="17">
        <f t="shared" si="1"/>
        <v>9625</v>
      </c>
      <c r="CH52" s="3" t="str">
        <f t="shared" si="1"/>
        <v>خ ت طب</v>
      </c>
    </row>
    <row r="53" spans="1:86" ht="31.5" x14ac:dyDescent="0.25">
      <c r="C53" s="20">
        <v>15447</v>
      </c>
      <c r="D53" s="20">
        <v>9626</v>
      </c>
      <c r="E53" s="42" t="s">
        <v>130</v>
      </c>
      <c r="F53" s="43" t="s">
        <v>761</v>
      </c>
      <c r="H53" s="21"/>
      <c r="I53" s="21">
        <v>3135</v>
      </c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2">
        <f t="shared" si="2"/>
        <v>3135</v>
      </c>
      <c r="AT53" s="21">
        <v>2836.7</v>
      </c>
      <c r="AU53" s="21">
        <v>171</v>
      </c>
      <c r="AV53" s="21"/>
      <c r="AW53" s="21"/>
      <c r="AX53" s="21"/>
      <c r="AY53" s="21"/>
      <c r="AZ53" s="21"/>
      <c r="BA53" s="21"/>
      <c r="BB53" s="21"/>
      <c r="BC53" s="21"/>
      <c r="BD53" s="3"/>
      <c r="BE53" s="3"/>
      <c r="BG53" s="3">
        <v>82.5</v>
      </c>
      <c r="BH53" s="3">
        <v>20</v>
      </c>
      <c r="BI53" s="3">
        <f>12.4*2</f>
        <v>24.8</v>
      </c>
      <c r="CE53" s="22">
        <f t="shared" si="3"/>
        <v>3135</v>
      </c>
      <c r="CF53" s="3">
        <f t="shared" si="0"/>
        <v>0</v>
      </c>
      <c r="CG53" s="17">
        <f t="shared" si="1"/>
        <v>9626</v>
      </c>
      <c r="CH53" s="3" t="str">
        <f t="shared" si="1"/>
        <v>خ ت طب</v>
      </c>
    </row>
    <row r="54" spans="1:86" x14ac:dyDescent="0.25">
      <c r="C54" s="20">
        <v>15380</v>
      </c>
      <c r="D54" s="20">
        <v>9627</v>
      </c>
      <c r="E54" s="42" t="s">
        <v>130</v>
      </c>
      <c r="F54" s="43" t="s">
        <v>762</v>
      </c>
      <c r="H54" s="21"/>
      <c r="I54" s="21">
        <v>1283.3399999999999</v>
      </c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2">
        <f t="shared" si="2"/>
        <v>1283.3399999999999</v>
      </c>
      <c r="AT54" s="21">
        <v>1157.3900000000001</v>
      </c>
      <c r="AU54" s="21">
        <v>70</v>
      </c>
      <c r="AV54" s="21"/>
      <c r="AW54" s="21"/>
      <c r="AX54" s="21"/>
      <c r="AY54" s="21"/>
      <c r="AZ54" s="21"/>
      <c r="BA54" s="21"/>
      <c r="BB54" s="21"/>
      <c r="BC54" s="21"/>
      <c r="BD54" s="3"/>
      <c r="BE54" s="3"/>
      <c r="BG54" s="3">
        <v>33.75</v>
      </c>
      <c r="BH54" s="3">
        <v>12</v>
      </c>
      <c r="BI54" s="3">
        <f>5.1*2</f>
        <v>10.199999999999999</v>
      </c>
      <c r="CE54" s="22">
        <f t="shared" si="3"/>
        <v>1283.3400000000001</v>
      </c>
      <c r="CF54" s="3">
        <f t="shared" si="0"/>
        <v>0</v>
      </c>
      <c r="CG54" s="17">
        <f t="shared" si="1"/>
        <v>9627</v>
      </c>
      <c r="CH54" s="3" t="str">
        <f t="shared" si="1"/>
        <v>خ ت طب</v>
      </c>
    </row>
    <row r="55" spans="1:86" ht="31.5" x14ac:dyDescent="0.25">
      <c r="C55" s="20">
        <v>15716</v>
      </c>
      <c r="D55" s="20">
        <v>9628</v>
      </c>
      <c r="E55" s="42" t="s">
        <v>130</v>
      </c>
      <c r="F55" s="43" t="s">
        <v>763</v>
      </c>
      <c r="H55" s="21"/>
      <c r="I55" s="21">
        <v>9197.98</v>
      </c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2">
        <f t="shared" si="2"/>
        <v>9197.98</v>
      </c>
      <c r="AT55" s="21">
        <v>7789.23</v>
      </c>
      <c r="AU55" s="21">
        <v>549.20000000000005</v>
      </c>
      <c r="AV55" s="21"/>
      <c r="AW55" s="21">
        <v>5</v>
      </c>
      <c r="AX55" s="21"/>
      <c r="AY55" s="21"/>
      <c r="AZ55" s="21"/>
      <c r="BA55" s="21"/>
      <c r="BB55" s="21"/>
      <c r="BC55" s="21"/>
      <c r="BD55" s="3"/>
      <c r="BE55" s="3"/>
      <c r="BG55" s="3">
        <v>242.05</v>
      </c>
      <c r="BH55" s="3">
        <v>80</v>
      </c>
      <c r="BI55" s="3">
        <f>36.3*2</f>
        <v>72.599999999999994</v>
      </c>
      <c r="BJ55" s="3">
        <v>459.9</v>
      </c>
      <c r="CE55" s="22">
        <f t="shared" si="3"/>
        <v>9197.98</v>
      </c>
      <c r="CF55" s="3">
        <f t="shared" si="0"/>
        <v>0</v>
      </c>
      <c r="CG55" s="17">
        <f t="shared" si="1"/>
        <v>9628</v>
      </c>
      <c r="CH55" s="3" t="str">
        <f t="shared" si="1"/>
        <v>خ ت طب</v>
      </c>
    </row>
    <row r="56" spans="1:86" x14ac:dyDescent="0.25">
      <c r="C56" s="20">
        <v>15719</v>
      </c>
      <c r="D56" s="20">
        <v>9629</v>
      </c>
      <c r="E56" s="42" t="s">
        <v>78</v>
      </c>
      <c r="F56" s="41" t="s">
        <v>764</v>
      </c>
      <c r="H56" s="21"/>
      <c r="I56" s="21">
        <v>252</v>
      </c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2">
        <f t="shared" si="2"/>
        <v>252</v>
      </c>
      <c r="AT56" s="21">
        <v>252</v>
      </c>
      <c r="AU56" s="21"/>
      <c r="AV56" s="21"/>
      <c r="AW56" s="21"/>
      <c r="AX56" s="21"/>
      <c r="AY56" s="21"/>
      <c r="AZ56" s="21"/>
      <c r="BA56" s="21"/>
      <c r="BB56" s="21"/>
      <c r="BC56" s="21"/>
      <c r="BD56" s="3"/>
      <c r="BE56" s="3"/>
      <c r="CE56" s="22">
        <f t="shared" si="3"/>
        <v>252</v>
      </c>
      <c r="CF56" s="3">
        <f t="shared" si="0"/>
        <v>0</v>
      </c>
      <c r="CG56" s="17">
        <f t="shared" si="1"/>
        <v>9629</v>
      </c>
      <c r="CH56" s="3" t="str">
        <f t="shared" si="1"/>
        <v>برنامج دولى</v>
      </c>
    </row>
    <row r="57" spans="1:86" x14ac:dyDescent="0.25">
      <c r="C57" s="20">
        <v>15720</v>
      </c>
      <c r="D57" s="20">
        <v>9630</v>
      </c>
      <c r="E57" s="42" t="s">
        <v>78</v>
      </c>
      <c r="F57" s="41" t="s">
        <v>764</v>
      </c>
      <c r="H57" s="21"/>
      <c r="I57" s="21">
        <v>264</v>
      </c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2">
        <f t="shared" si="2"/>
        <v>264</v>
      </c>
      <c r="AT57" s="21">
        <v>264</v>
      </c>
      <c r="AU57" s="21"/>
      <c r="AV57" s="21"/>
      <c r="AW57" s="21"/>
      <c r="AX57" s="21"/>
      <c r="AY57" s="21"/>
      <c r="AZ57" s="21"/>
      <c r="BA57" s="21"/>
      <c r="BB57" s="21"/>
      <c r="BC57" s="21"/>
      <c r="BD57" s="3"/>
      <c r="BE57" s="3"/>
      <c r="CE57" s="22">
        <f t="shared" si="3"/>
        <v>264</v>
      </c>
      <c r="CF57" s="3">
        <f t="shared" si="0"/>
        <v>0</v>
      </c>
      <c r="CG57" s="17">
        <f t="shared" si="1"/>
        <v>9630</v>
      </c>
      <c r="CH57" s="3" t="str">
        <f t="shared" si="1"/>
        <v>برنامج دولى</v>
      </c>
    </row>
    <row r="58" spans="1:86" x14ac:dyDescent="0.25">
      <c r="C58" s="20">
        <v>15721</v>
      </c>
      <c r="D58" s="20">
        <v>9631</v>
      </c>
      <c r="E58" s="42" t="s">
        <v>78</v>
      </c>
      <c r="F58" s="41" t="s">
        <v>764</v>
      </c>
      <c r="H58" s="21"/>
      <c r="I58" s="21">
        <v>540</v>
      </c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2">
        <f t="shared" si="2"/>
        <v>540</v>
      </c>
      <c r="AT58" s="21">
        <v>540</v>
      </c>
      <c r="AU58" s="21"/>
      <c r="AV58" s="21"/>
      <c r="AW58" s="21"/>
      <c r="AX58" s="21"/>
      <c r="AY58" s="21"/>
      <c r="AZ58" s="21"/>
      <c r="BA58" s="21"/>
      <c r="BB58" s="21"/>
      <c r="BC58" s="21"/>
      <c r="BD58" s="3"/>
      <c r="BE58" s="3"/>
      <c r="CE58" s="22">
        <f t="shared" si="3"/>
        <v>540</v>
      </c>
      <c r="CF58" s="3">
        <f t="shared" si="0"/>
        <v>0</v>
      </c>
      <c r="CG58" s="17">
        <f t="shared" si="1"/>
        <v>9631</v>
      </c>
      <c r="CH58" s="3" t="str">
        <f t="shared" si="1"/>
        <v>برنامج دولى</v>
      </c>
    </row>
    <row r="59" spans="1:86" x14ac:dyDescent="0.25">
      <c r="C59" s="20">
        <v>15722</v>
      </c>
      <c r="D59" s="20">
        <v>9632</v>
      </c>
      <c r="E59" s="42" t="s">
        <v>78</v>
      </c>
      <c r="F59" s="41" t="s">
        <v>764</v>
      </c>
      <c r="H59" s="21"/>
      <c r="I59" s="21">
        <v>252</v>
      </c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2">
        <f t="shared" si="2"/>
        <v>252</v>
      </c>
      <c r="AT59" s="21">
        <v>252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3"/>
      <c r="BE59" s="3"/>
      <c r="CE59" s="22">
        <f t="shared" si="3"/>
        <v>252</v>
      </c>
      <c r="CF59" s="3">
        <f t="shared" si="0"/>
        <v>0</v>
      </c>
      <c r="CG59" s="17">
        <f t="shared" si="1"/>
        <v>9632</v>
      </c>
      <c r="CH59" s="3" t="str">
        <f t="shared" si="1"/>
        <v>برنامج دولى</v>
      </c>
    </row>
    <row r="60" spans="1:86" ht="31.5" x14ac:dyDescent="0.25">
      <c r="C60" s="20">
        <v>15837</v>
      </c>
      <c r="D60" s="20">
        <v>9633</v>
      </c>
      <c r="E60" s="42" t="s">
        <v>78</v>
      </c>
      <c r="F60" s="43" t="s">
        <v>765</v>
      </c>
      <c r="H60" s="21"/>
      <c r="I60" s="21">
        <v>14024.5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2">
        <f t="shared" si="2"/>
        <v>14024.5</v>
      </c>
      <c r="AT60" s="21">
        <v>14024.5</v>
      </c>
      <c r="AU60" s="21"/>
      <c r="AV60" s="21"/>
      <c r="AW60" s="21"/>
      <c r="AX60" s="21"/>
      <c r="AY60" s="21"/>
      <c r="AZ60" s="21"/>
      <c r="BA60" s="21"/>
      <c r="BB60" s="21"/>
      <c r="BC60" s="21"/>
      <c r="BD60" s="3"/>
      <c r="BE60" s="3"/>
      <c r="CE60" s="22">
        <f t="shared" si="3"/>
        <v>14024.5</v>
      </c>
      <c r="CF60" s="3">
        <f t="shared" si="0"/>
        <v>0</v>
      </c>
      <c r="CG60" s="17">
        <f t="shared" si="1"/>
        <v>9633</v>
      </c>
      <c r="CH60" s="3" t="str">
        <f t="shared" si="1"/>
        <v>برنامج دولى</v>
      </c>
    </row>
    <row r="61" spans="1:86" ht="31.5" x14ac:dyDescent="0.25">
      <c r="C61" s="20">
        <v>15833</v>
      </c>
      <c r="D61" s="20">
        <v>9634</v>
      </c>
      <c r="E61" s="42" t="s">
        <v>78</v>
      </c>
      <c r="F61" s="43" t="s">
        <v>766</v>
      </c>
      <c r="H61" s="21"/>
      <c r="I61" s="21">
        <v>51</v>
      </c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2">
        <f t="shared" si="2"/>
        <v>51</v>
      </c>
      <c r="AT61" s="21">
        <v>51</v>
      </c>
      <c r="AU61" s="21"/>
      <c r="AV61" s="21"/>
      <c r="AW61" s="21"/>
      <c r="AX61" s="21"/>
      <c r="AY61" s="21"/>
      <c r="AZ61" s="21"/>
      <c r="BA61" s="21"/>
      <c r="BB61" s="21"/>
      <c r="BC61" s="21"/>
      <c r="BD61" s="3"/>
      <c r="BE61" s="3"/>
      <c r="CE61" s="22">
        <f t="shared" si="3"/>
        <v>51</v>
      </c>
      <c r="CF61" s="3">
        <f t="shared" si="0"/>
        <v>0</v>
      </c>
      <c r="CG61" s="17">
        <f t="shared" si="1"/>
        <v>9634</v>
      </c>
      <c r="CH61" s="3" t="str">
        <f t="shared" si="1"/>
        <v>برنامج دولى</v>
      </c>
    </row>
    <row r="62" spans="1:86" ht="31.5" x14ac:dyDescent="0.25">
      <c r="C62" s="20">
        <v>15834</v>
      </c>
      <c r="D62" s="20">
        <v>9635</v>
      </c>
      <c r="E62" s="42" t="s">
        <v>78</v>
      </c>
      <c r="F62" s="43" t="s">
        <v>767</v>
      </c>
      <c r="H62" s="21"/>
      <c r="I62" s="21">
        <v>2700</v>
      </c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2">
        <f t="shared" si="2"/>
        <v>2700</v>
      </c>
      <c r="AT62" s="21">
        <v>2700</v>
      </c>
      <c r="AU62" s="21"/>
      <c r="AV62" s="21"/>
      <c r="AW62" s="21"/>
      <c r="AX62" s="21"/>
      <c r="AY62" s="21"/>
      <c r="AZ62" s="21"/>
      <c r="BA62" s="21"/>
      <c r="BB62" s="21"/>
      <c r="BC62" s="21"/>
      <c r="BD62" s="3"/>
      <c r="BE62" s="3"/>
      <c r="CE62" s="22">
        <f t="shared" si="3"/>
        <v>2700</v>
      </c>
      <c r="CF62" s="3">
        <f t="shared" si="0"/>
        <v>0</v>
      </c>
      <c r="CG62" s="17">
        <f t="shared" si="1"/>
        <v>9635</v>
      </c>
      <c r="CH62" s="3" t="str">
        <f t="shared" si="1"/>
        <v>برنامج دولى</v>
      </c>
    </row>
    <row r="63" spans="1:86" x14ac:dyDescent="0.25">
      <c r="C63" s="20">
        <v>15836</v>
      </c>
      <c r="D63" s="20">
        <v>9636</v>
      </c>
      <c r="E63" s="42" t="s">
        <v>78</v>
      </c>
      <c r="F63" s="41" t="s">
        <v>768</v>
      </c>
      <c r="H63" s="21"/>
      <c r="I63" s="21">
        <v>2700</v>
      </c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2">
        <f t="shared" si="2"/>
        <v>2700</v>
      </c>
      <c r="AT63" s="21">
        <v>2700</v>
      </c>
      <c r="AU63" s="21"/>
      <c r="AV63" s="21"/>
      <c r="AW63" s="21"/>
      <c r="AX63" s="21"/>
      <c r="AY63" s="21"/>
      <c r="AZ63" s="21"/>
      <c r="BA63" s="21"/>
      <c r="BB63" s="21"/>
      <c r="BC63" s="21"/>
      <c r="BD63" s="3"/>
      <c r="BE63" s="3"/>
      <c r="CE63" s="22">
        <f t="shared" si="3"/>
        <v>2700</v>
      </c>
      <c r="CF63" s="3">
        <f t="shared" si="0"/>
        <v>0</v>
      </c>
      <c r="CG63" s="17">
        <f t="shared" si="1"/>
        <v>9636</v>
      </c>
      <c r="CH63" s="3" t="str">
        <f t="shared" si="1"/>
        <v>برنامج دولى</v>
      </c>
    </row>
    <row r="64" spans="1:86" x14ac:dyDescent="0.25">
      <c r="B64" s="21"/>
      <c r="C64" s="20">
        <v>12254</v>
      </c>
      <c r="D64" s="20">
        <v>9637</v>
      </c>
      <c r="E64" s="42" t="s">
        <v>78</v>
      </c>
      <c r="F64" s="41" t="s">
        <v>768</v>
      </c>
      <c r="H64" s="21"/>
      <c r="I64" s="21">
        <v>2700</v>
      </c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2">
        <f t="shared" si="2"/>
        <v>2700</v>
      </c>
      <c r="AT64" s="21">
        <v>2700</v>
      </c>
      <c r="AU64" s="21"/>
      <c r="AV64" s="21"/>
      <c r="AW64" s="21"/>
      <c r="AX64" s="21"/>
      <c r="AY64" s="21"/>
      <c r="AZ64" s="21"/>
      <c r="BA64" s="21"/>
      <c r="BB64" s="21"/>
      <c r="BC64" s="21"/>
      <c r="BD64" s="3"/>
      <c r="BE64" s="3"/>
      <c r="CE64" s="22">
        <f t="shared" si="3"/>
        <v>2700</v>
      </c>
      <c r="CF64" s="3">
        <f t="shared" si="0"/>
        <v>0</v>
      </c>
      <c r="CG64" s="17">
        <f t="shared" si="1"/>
        <v>9637</v>
      </c>
      <c r="CH64" s="3" t="str">
        <f t="shared" si="1"/>
        <v>برنامج دولى</v>
      </c>
    </row>
    <row r="65" spans="3:89" x14ac:dyDescent="0.25">
      <c r="C65" s="11">
        <v>15826</v>
      </c>
      <c r="D65" s="20">
        <v>9638</v>
      </c>
      <c r="E65" s="42" t="s">
        <v>78</v>
      </c>
      <c r="F65" s="45" t="s">
        <v>769</v>
      </c>
      <c r="H65" s="21"/>
      <c r="I65" s="21">
        <v>73449</v>
      </c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2">
        <f t="shared" si="2"/>
        <v>73449</v>
      </c>
      <c r="AT65" s="21">
        <v>73449</v>
      </c>
      <c r="AU65" s="21"/>
      <c r="AV65" s="21"/>
      <c r="AW65" s="21"/>
      <c r="AX65" s="21"/>
      <c r="AY65" s="21"/>
      <c r="AZ65" s="21"/>
      <c r="BA65" s="21"/>
      <c r="BB65" s="21"/>
      <c r="BC65" s="21"/>
      <c r="BD65" s="3"/>
      <c r="BE65" s="3"/>
      <c r="CE65" s="22">
        <f t="shared" si="3"/>
        <v>73449</v>
      </c>
      <c r="CF65" s="3">
        <f t="shared" si="0"/>
        <v>0</v>
      </c>
      <c r="CG65" s="17">
        <f t="shared" si="1"/>
        <v>9638</v>
      </c>
      <c r="CH65" s="3" t="str">
        <f t="shared" si="1"/>
        <v>برنامج دولى</v>
      </c>
    </row>
    <row r="66" spans="3:89" x14ac:dyDescent="0.25">
      <c r="C66" s="11">
        <v>15831</v>
      </c>
      <c r="D66" s="20">
        <v>9639</v>
      </c>
      <c r="E66" s="42" t="s">
        <v>78</v>
      </c>
      <c r="F66" s="44" t="s">
        <v>770</v>
      </c>
      <c r="H66" s="21"/>
      <c r="I66" s="21">
        <v>1125</v>
      </c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2">
        <f t="shared" si="2"/>
        <v>1125</v>
      </c>
      <c r="AT66" s="21">
        <v>1025.2</v>
      </c>
      <c r="AU66" s="21">
        <v>55.3</v>
      </c>
      <c r="AV66" s="21"/>
      <c r="AW66" s="21"/>
      <c r="AX66" s="21"/>
      <c r="AY66" s="21"/>
      <c r="AZ66" s="21"/>
      <c r="BA66" s="21"/>
      <c r="BB66" s="21"/>
      <c r="BC66" s="21"/>
      <c r="BD66" s="3"/>
      <c r="BE66" s="3"/>
      <c r="BG66" s="3">
        <v>29.6</v>
      </c>
      <c r="BH66" s="3">
        <v>6</v>
      </c>
      <c r="BI66" s="3">
        <f>4.45*2</f>
        <v>8.9</v>
      </c>
      <c r="CE66" s="22">
        <f t="shared" si="3"/>
        <v>1125</v>
      </c>
      <c r="CF66" s="3">
        <f t="shared" si="0"/>
        <v>0</v>
      </c>
      <c r="CG66" s="17">
        <f t="shared" si="1"/>
        <v>9639</v>
      </c>
      <c r="CH66" s="3" t="str">
        <f t="shared" si="1"/>
        <v>برنامج دولى</v>
      </c>
    </row>
    <row r="67" spans="3:89" ht="31.5" x14ac:dyDescent="0.25">
      <c r="C67" s="11">
        <v>15829</v>
      </c>
      <c r="D67" s="20">
        <v>9640</v>
      </c>
      <c r="E67" s="42" t="s">
        <v>78</v>
      </c>
      <c r="F67" s="45" t="s">
        <v>771</v>
      </c>
      <c r="H67" s="21"/>
      <c r="I67" s="21">
        <v>6320.16</v>
      </c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2">
        <f t="shared" si="2"/>
        <v>6320.16</v>
      </c>
      <c r="AT67" s="21">
        <v>5779.81</v>
      </c>
      <c r="AU67" s="21">
        <v>357</v>
      </c>
      <c r="AV67" s="21"/>
      <c r="AW67" s="21">
        <v>5</v>
      </c>
      <c r="AX67" s="21"/>
      <c r="AY67" s="21"/>
      <c r="AZ67" s="21"/>
      <c r="BA67" s="21"/>
      <c r="BB67" s="21"/>
      <c r="BC67" s="21"/>
      <c r="BD67" s="3"/>
      <c r="BE67" s="3"/>
      <c r="BG67" s="3">
        <v>166.35</v>
      </c>
      <c r="BH67" s="3">
        <v>12</v>
      </c>
      <c r="CE67" s="22">
        <f t="shared" si="3"/>
        <v>6320.1600000000008</v>
      </c>
      <c r="CF67" s="3">
        <f t="shared" si="0"/>
        <v>0</v>
      </c>
      <c r="CG67" s="17">
        <f t="shared" si="1"/>
        <v>9640</v>
      </c>
      <c r="CH67" s="3" t="str">
        <f t="shared" si="1"/>
        <v>برنامج دولى</v>
      </c>
    </row>
    <row r="68" spans="3:89" x14ac:dyDescent="0.25">
      <c r="C68" s="17">
        <v>15382</v>
      </c>
      <c r="D68" s="20">
        <v>9641</v>
      </c>
      <c r="E68" s="3" t="s">
        <v>78</v>
      </c>
      <c r="F68" s="3" t="s">
        <v>772</v>
      </c>
      <c r="I68" s="3">
        <v>145578</v>
      </c>
      <c r="AS68" s="10">
        <f t="shared" si="2"/>
        <v>145578</v>
      </c>
      <c r="AT68" s="3">
        <v>129733</v>
      </c>
      <c r="AU68" s="4">
        <v>3500.8</v>
      </c>
      <c r="AW68" s="3">
        <v>5</v>
      </c>
      <c r="BG68" s="3">
        <v>3831</v>
      </c>
      <c r="BH68" s="3">
        <v>80</v>
      </c>
      <c r="BI68" s="3">
        <f>574.65*2</f>
        <v>1149.3</v>
      </c>
      <c r="BJ68" s="3">
        <v>7278.9</v>
      </c>
      <c r="CE68" s="22">
        <f t="shared" ref="CE68" si="4">SUM(AT68:CC68)</f>
        <v>145577.99999999997</v>
      </c>
      <c r="CF68" s="3">
        <f t="shared" si="0"/>
        <v>0</v>
      </c>
      <c r="CG68" s="17">
        <f t="shared" si="1"/>
        <v>9641</v>
      </c>
      <c r="CH68" s="3" t="str">
        <f t="shared" si="1"/>
        <v>برنامج دولى</v>
      </c>
    </row>
    <row r="69" spans="3:89" x14ac:dyDescent="0.25">
      <c r="C69" s="11">
        <v>15832</v>
      </c>
      <c r="D69" s="20">
        <v>9642</v>
      </c>
      <c r="E69" s="42" t="s">
        <v>78</v>
      </c>
      <c r="F69" s="44" t="s">
        <v>773</v>
      </c>
      <c r="H69" s="21"/>
      <c r="I69" s="21">
        <v>1140</v>
      </c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2">
        <f t="shared" si="2"/>
        <v>1140</v>
      </c>
      <c r="AT69" s="21">
        <v>1039.0999999999999</v>
      </c>
      <c r="AU69" s="21">
        <v>55.9</v>
      </c>
      <c r="AV69" s="21"/>
      <c r="AW69" s="21"/>
      <c r="AX69" s="21"/>
      <c r="AY69" s="21"/>
      <c r="AZ69" s="21"/>
      <c r="BA69" s="21"/>
      <c r="BB69" s="21"/>
      <c r="BC69" s="21"/>
      <c r="BD69" s="3"/>
      <c r="BE69" s="3"/>
      <c r="BG69" s="3">
        <v>30</v>
      </c>
      <c r="BH69" s="3">
        <v>6</v>
      </c>
      <c r="BI69" s="3">
        <f>4.5*2</f>
        <v>9</v>
      </c>
      <c r="CE69" s="22">
        <f t="shared" si="3"/>
        <v>1140</v>
      </c>
      <c r="CF69" s="3">
        <f t="shared" si="0"/>
        <v>0</v>
      </c>
      <c r="CG69" s="17">
        <f t="shared" si="1"/>
        <v>9642</v>
      </c>
      <c r="CH69" s="3" t="str">
        <f t="shared" si="1"/>
        <v>برنامج دولى</v>
      </c>
    </row>
    <row r="70" spans="3:89" x14ac:dyDescent="0.25">
      <c r="C70" s="11">
        <v>15452</v>
      </c>
      <c r="D70" s="20">
        <v>9643</v>
      </c>
      <c r="E70" s="42" t="s">
        <v>78</v>
      </c>
      <c r="F70" s="44" t="s">
        <v>774</v>
      </c>
      <c r="H70" s="21"/>
      <c r="I70" s="21">
        <v>151800</v>
      </c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2">
        <f t="shared" si="2"/>
        <v>151800</v>
      </c>
      <c r="AT70" s="21">
        <v>146751.4</v>
      </c>
      <c r="AU70" s="21">
        <v>3632</v>
      </c>
      <c r="AV70" s="21"/>
      <c r="AW70" s="21">
        <v>5</v>
      </c>
      <c r="AX70" s="21"/>
      <c r="AY70" s="21"/>
      <c r="AZ70" s="21"/>
      <c r="BA70" s="21"/>
      <c r="BB70" s="21"/>
      <c r="BC70" s="21"/>
      <c r="BD70" s="3"/>
      <c r="BE70" s="3"/>
      <c r="BG70" s="3">
        <v>1331.6</v>
      </c>
      <c r="BH70" s="3">
        <v>80</v>
      </c>
      <c r="CE70" s="22">
        <f t="shared" si="3"/>
        <v>151800</v>
      </c>
      <c r="CF70" s="3">
        <f t="shared" si="0"/>
        <v>0</v>
      </c>
      <c r="CG70" s="17">
        <f t="shared" si="1"/>
        <v>9643</v>
      </c>
      <c r="CH70" s="3" t="str">
        <f t="shared" si="1"/>
        <v>برنامج دولى</v>
      </c>
    </row>
    <row r="71" spans="3:89" x14ac:dyDescent="0.25">
      <c r="C71" s="11">
        <v>15450</v>
      </c>
      <c r="D71" s="20">
        <v>9644</v>
      </c>
      <c r="E71" s="42" t="s">
        <v>78</v>
      </c>
      <c r="F71" s="44" t="s">
        <v>775</v>
      </c>
      <c r="H71" s="21"/>
      <c r="I71" s="21">
        <v>375000</v>
      </c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2">
        <f t="shared" si="2"/>
        <v>375000</v>
      </c>
      <c r="AT71" s="21">
        <v>361729</v>
      </c>
      <c r="AU71" s="21">
        <v>9436</v>
      </c>
      <c r="AV71" s="21"/>
      <c r="AW71" s="21">
        <v>5</v>
      </c>
      <c r="AX71" s="21"/>
      <c r="AY71" s="21"/>
      <c r="AZ71" s="21"/>
      <c r="BA71" s="21"/>
      <c r="BB71" s="21"/>
      <c r="BC71" s="21"/>
      <c r="BD71" s="3"/>
      <c r="BE71" s="3"/>
      <c r="BG71" s="3">
        <v>3750</v>
      </c>
      <c r="BH71" s="3">
        <v>80</v>
      </c>
      <c r="CE71" s="22">
        <f>SUM(AT71:CC71)</f>
        <v>375000</v>
      </c>
      <c r="CF71" s="3">
        <f t="shared" si="0"/>
        <v>0</v>
      </c>
      <c r="CG71" s="17">
        <f t="shared" si="1"/>
        <v>9644</v>
      </c>
      <c r="CH71" s="3" t="str">
        <f t="shared" si="1"/>
        <v>برنامج دولى</v>
      </c>
    </row>
    <row r="72" spans="3:89" x14ac:dyDescent="0.25">
      <c r="C72" s="11">
        <v>15453</v>
      </c>
      <c r="D72" s="20">
        <v>9645</v>
      </c>
      <c r="E72" s="42" t="s">
        <v>78</v>
      </c>
      <c r="F72" s="45" t="s">
        <v>776</v>
      </c>
      <c r="H72" s="21"/>
      <c r="I72" s="21">
        <v>82500</v>
      </c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2">
        <f t="shared" si="2"/>
        <v>82500</v>
      </c>
      <c r="AT72" s="21">
        <v>79174</v>
      </c>
      <c r="AU72" s="21">
        <v>2416</v>
      </c>
      <c r="AV72" s="21"/>
      <c r="AW72" s="21">
        <v>5</v>
      </c>
      <c r="AX72" s="21"/>
      <c r="AY72" s="21"/>
      <c r="AZ72" s="21"/>
      <c r="BA72" s="21"/>
      <c r="BB72" s="21"/>
      <c r="BC72" s="21"/>
      <c r="BD72" s="3"/>
      <c r="BE72" s="3"/>
      <c r="BG72" s="3">
        <v>825</v>
      </c>
      <c r="BH72" s="3">
        <v>80</v>
      </c>
      <c r="CE72" s="22">
        <f t="shared" si="3"/>
        <v>82500</v>
      </c>
      <c r="CF72" s="3">
        <f t="shared" si="0"/>
        <v>0</v>
      </c>
      <c r="CG72" s="17">
        <f t="shared" si="1"/>
        <v>9645</v>
      </c>
      <c r="CH72" s="3" t="str">
        <f t="shared" si="1"/>
        <v>برنامج دولى</v>
      </c>
    </row>
    <row r="73" spans="3:89" x14ac:dyDescent="0.25">
      <c r="C73" s="11">
        <v>8412</v>
      </c>
      <c r="D73" s="20">
        <v>9646</v>
      </c>
      <c r="E73" s="42" t="s">
        <v>78</v>
      </c>
      <c r="F73" s="45" t="s">
        <v>777</v>
      </c>
      <c r="H73" s="21"/>
      <c r="I73" s="21">
        <v>28379</v>
      </c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2">
        <f t="shared" si="2"/>
        <v>28379</v>
      </c>
      <c r="AT73" s="21">
        <v>28379</v>
      </c>
      <c r="AU73" s="21"/>
      <c r="AV73" s="21"/>
      <c r="AW73" s="21"/>
      <c r="AX73" s="21"/>
      <c r="AY73" s="21"/>
      <c r="AZ73" s="21"/>
      <c r="BA73" s="21"/>
      <c r="BB73" s="21"/>
      <c r="BC73" s="21"/>
      <c r="BD73" s="3"/>
      <c r="BE73" s="3"/>
      <c r="CE73" s="22">
        <f t="shared" si="3"/>
        <v>28379</v>
      </c>
      <c r="CF73" s="3">
        <f t="shared" si="0"/>
        <v>0</v>
      </c>
      <c r="CG73" s="17">
        <f t="shared" si="1"/>
        <v>9646</v>
      </c>
      <c r="CH73" s="3" t="str">
        <f t="shared" si="1"/>
        <v>برنامج دولى</v>
      </c>
    </row>
    <row r="74" spans="3:89" x14ac:dyDescent="0.25">
      <c r="C74" s="11">
        <v>15451</v>
      </c>
      <c r="D74" s="20">
        <v>9647</v>
      </c>
      <c r="E74" s="42" t="s">
        <v>78</v>
      </c>
      <c r="F74" s="45" t="s">
        <v>778</v>
      </c>
      <c r="H74" s="21"/>
      <c r="I74" s="21">
        <v>31680</v>
      </c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2">
        <f t="shared" si="2"/>
        <v>31680</v>
      </c>
      <c r="AT74" s="21">
        <v>30111.599999999999</v>
      </c>
      <c r="AU74" s="21">
        <v>1166.5999999999999</v>
      </c>
      <c r="AV74" s="21"/>
      <c r="AW74" s="21">
        <v>5</v>
      </c>
      <c r="AX74" s="21"/>
      <c r="AY74" s="21"/>
      <c r="AZ74" s="21"/>
      <c r="BA74" s="21"/>
      <c r="BB74" s="21"/>
      <c r="BC74" s="21"/>
      <c r="BD74" s="3"/>
      <c r="BE74" s="3"/>
      <c r="BG74" s="3">
        <v>316.8</v>
      </c>
      <c r="BH74" s="3">
        <v>80</v>
      </c>
      <c r="CE74" s="22">
        <f t="shared" si="3"/>
        <v>31679.999999999996</v>
      </c>
      <c r="CF74" s="3">
        <f t="shared" si="0"/>
        <v>0</v>
      </c>
      <c r="CG74" s="17">
        <f t="shared" si="1"/>
        <v>9647</v>
      </c>
      <c r="CH74" s="3" t="str">
        <f t="shared" si="1"/>
        <v>برنامج دولى</v>
      </c>
    </row>
    <row r="75" spans="3:89" x14ac:dyDescent="0.25">
      <c r="C75" s="11">
        <v>15448</v>
      </c>
      <c r="D75" s="20">
        <v>9648</v>
      </c>
      <c r="E75" s="42" t="s">
        <v>78</v>
      </c>
      <c r="F75" s="45" t="s">
        <v>779</v>
      </c>
      <c r="H75" s="21"/>
      <c r="I75" s="21">
        <v>16500</v>
      </c>
      <c r="J75" s="21"/>
      <c r="K75" s="21"/>
      <c r="L75" s="21">
        <v>22000</v>
      </c>
      <c r="M75" s="21">
        <v>22000</v>
      </c>
      <c r="N75" s="21">
        <v>22000</v>
      </c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2">
        <f t="shared" si="2"/>
        <v>82500</v>
      </c>
      <c r="AT75" s="21">
        <v>36453.449999999997</v>
      </c>
      <c r="AU75" s="21">
        <v>1246.5999999999999</v>
      </c>
      <c r="AV75" s="21"/>
      <c r="AW75" s="21">
        <v>5</v>
      </c>
      <c r="AX75" s="21"/>
      <c r="AY75" s="21"/>
      <c r="AZ75" s="21"/>
      <c r="BA75" s="21"/>
      <c r="BB75" s="21"/>
      <c r="BC75" s="21"/>
      <c r="BD75" s="3"/>
      <c r="BE75" s="3"/>
      <c r="BG75" s="3">
        <v>425.45</v>
      </c>
      <c r="BH75" s="3">
        <v>80</v>
      </c>
      <c r="BI75" s="3">
        <f>19.75*2</f>
        <v>39.5</v>
      </c>
      <c r="BJ75" s="3">
        <v>250</v>
      </c>
      <c r="BL75" s="3">
        <v>22000</v>
      </c>
      <c r="BM75" s="3">
        <v>22000</v>
      </c>
      <c r="CE75" s="22">
        <f t="shared" si="3"/>
        <v>82500</v>
      </c>
      <c r="CF75" s="3">
        <f t="shared" si="0"/>
        <v>0</v>
      </c>
      <c r="CG75" s="17">
        <f t="shared" si="1"/>
        <v>9648</v>
      </c>
      <c r="CH75" s="3" t="str">
        <f t="shared" si="1"/>
        <v>برنامج دولى</v>
      </c>
    </row>
    <row r="76" spans="3:89" ht="31.5" x14ac:dyDescent="0.25">
      <c r="C76" s="11">
        <v>15449</v>
      </c>
      <c r="D76" s="20">
        <v>9649</v>
      </c>
      <c r="E76" s="42" t="s">
        <v>78</v>
      </c>
      <c r="F76" s="45" t="s">
        <v>780</v>
      </c>
      <c r="H76" s="21"/>
      <c r="I76" s="21"/>
      <c r="J76" s="21"/>
      <c r="K76" s="21"/>
      <c r="L76" s="21">
        <v>277500</v>
      </c>
      <c r="M76" s="21">
        <v>277500</v>
      </c>
      <c r="N76" s="21">
        <v>277500</v>
      </c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2">
        <f t="shared" si="2"/>
        <v>832500</v>
      </c>
      <c r="AT76" s="21">
        <v>268136.75</v>
      </c>
      <c r="AU76" s="21">
        <f>1560.55+4681.65+36</f>
        <v>6278.2</v>
      </c>
      <c r="AV76" s="21"/>
      <c r="AW76" s="21">
        <v>5</v>
      </c>
      <c r="AX76" s="21"/>
      <c r="AY76" s="21"/>
      <c r="AZ76" s="21"/>
      <c r="BA76" s="21"/>
      <c r="BB76" s="21"/>
      <c r="BC76" s="21"/>
      <c r="BD76" s="3"/>
      <c r="BE76" s="3"/>
      <c r="BG76" s="3">
        <f>2368.45+197.4</f>
        <v>2565.85</v>
      </c>
      <c r="BH76" s="3">
        <v>80</v>
      </c>
      <c r="BI76" s="3">
        <f>29.6*2</f>
        <v>59.2</v>
      </c>
      <c r="BJ76" s="3">
        <v>375</v>
      </c>
      <c r="BL76" s="3">
        <v>277500</v>
      </c>
      <c r="BM76" s="3">
        <v>277500</v>
      </c>
      <c r="CE76" s="22">
        <f t="shared" si="3"/>
        <v>832500</v>
      </c>
      <c r="CF76" s="3">
        <f t="shared" si="0"/>
        <v>0</v>
      </c>
      <c r="CG76" s="17">
        <f t="shared" si="1"/>
        <v>9649</v>
      </c>
      <c r="CH76" s="3" t="str">
        <f t="shared" si="1"/>
        <v>برنامج دولى</v>
      </c>
    </row>
    <row r="77" spans="3:89" x14ac:dyDescent="0.25">
      <c r="C77" s="11">
        <v>15715</v>
      </c>
      <c r="D77" s="20">
        <v>9650</v>
      </c>
      <c r="E77" s="42" t="s">
        <v>78</v>
      </c>
      <c r="F77" s="44" t="s">
        <v>781</v>
      </c>
      <c r="H77" s="21"/>
      <c r="I77" s="21">
        <v>82600</v>
      </c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2">
        <f t="shared" si="2"/>
        <v>82600</v>
      </c>
      <c r="AT77" s="21">
        <v>79615.399999999994</v>
      </c>
      <c r="AU77" s="21">
        <v>2175</v>
      </c>
      <c r="AV77" s="21"/>
      <c r="AW77" s="21">
        <v>5</v>
      </c>
      <c r="AX77" s="21"/>
      <c r="AY77" s="21"/>
      <c r="AZ77" s="21"/>
      <c r="BA77" s="21"/>
      <c r="BB77" s="21"/>
      <c r="BC77" s="21"/>
      <c r="BD77" s="3"/>
      <c r="BE77" s="3"/>
      <c r="BG77" s="3">
        <v>724.6</v>
      </c>
      <c r="BH77" s="3">
        <v>80</v>
      </c>
      <c r="CE77" s="22">
        <f t="shared" si="3"/>
        <v>82600</v>
      </c>
      <c r="CF77" s="3">
        <f t="shared" si="0"/>
        <v>0</v>
      </c>
      <c r="CG77" s="17">
        <f t="shared" si="1"/>
        <v>9650</v>
      </c>
      <c r="CH77" s="3" t="str">
        <f t="shared" si="1"/>
        <v>برنامج دولى</v>
      </c>
    </row>
    <row r="78" spans="3:89" x14ac:dyDescent="0.25">
      <c r="C78" s="11">
        <v>14833</v>
      </c>
      <c r="D78" s="20">
        <v>9651</v>
      </c>
      <c r="E78" s="42" t="s">
        <v>78</v>
      </c>
      <c r="F78" s="44" t="s">
        <v>782</v>
      </c>
      <c r="H78" s="21"/>
      <c r="I78" s="21"/>
      <c r="J78" s="21"/>
      <c r="K78" s="21"/>
      <c r="L78" s="21">
        <v>30355.57</v>
      </c>
      <c r="M78" s="21">
        <v>30355.57</v>
      </c>
      <c r="N78" s="21">
        <v>30355.57</v>
      </c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2">
        <f t="shared" si="2"/>
        <v>91066.709999999992</v>
      </c>
      <c r="AT78" s="21">
        <v>27411.279999999999</v>
      </c>
      <c r="AU78" s="21">
        <v>1075.19</v>
      </c>
      <c r="AV78" s="21"/>
      <c r="AW78" s="21">
        <v>5</v>
      </c>
      <c r="AX78" s="21"/>
      <c r="AY78" s="21"/>
      <c r="AZ78" s="21"/>
      <c r="BA78" s="21"/>
      <c r="BB78" s="21"/>
      <c r="BC78" s="21"/>
      <c r="BD78" s="3"/>
      <c r="BE78" s="3"/>
      <c r="BG78" s="3">
        <v>266.3</v>
      </c>
      <c r="BH78" s="3">
        <v>80</v>
      </c>
      <c r="BJ78" s="3">
        <v>1517.8</v>
      </c>
      <c r="BL78" s="3">
        <v>30355.57</v>
      </c>
      <c r="BM78" s="3">
        <v>30355.57</v>
      </c>
      <c r="CE78" s="22">
        <f t="shared" si="3"/>
        <v>91066.709999999992</v>
      </c>
      <c r="CF78" s="3">
        <f t="shared" si="0"/>
        <v>0</v>
      </c>
      <c r="CG78" s="17">
        <f t="shared" si="1"/>
        <v>9651</v>
      </c>
      <c r="CH78" s="3" t="str">
        <f t="shared" si="1"/>
        <v>برنامج دولى</v>
      </c>
      <c r="CK78" s="3">
        <f>259.8+779.4+36</f>
        <v>1075.2</v>
      </c>
    </row>
    <row r="79" spans="3:89" ht="31.5" x14ac:dyDescent="0.25">
      <c r="C79" s="11">
        <v>10528</v>
      </c>
      <c r="D79" s="20">
        <v>9652</v>
      </c>
      <c r="E79" s="3" t="s">
        <v>130</v>
      </c>
      <c r="F79" s="45" t="s">
        <v>783</v>
      </c>
      <c r="H79" s="21"/>
      <c r="I79" s="21"/>
      <c r="J79" s="21"/>
      <c r="K79" s="21"/>
      <c r="L79" s="21">
        <v>26560.51</v>
      </c>
      <c r="M79" s="21">
        <v>26560.51</v>
      </c>
      <c r="N79" s="21">
        <v>26560.51</v>
      </c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2">
        <f t="shared" si="2"/>
        <v>79681.53</v>
      </c>
      <c r="AT79" s="21">
        <v>22703.61</v>
      </c>
      <c r="AU79" s="21">
        <v>961.9</v>
      </c>
      <c r="AV79" s="21"/>
      <c r="AW79" s="21"/>
      <c r="AX79" s="21"/>
      <c r="AY79" s="21"/>
      <c r="AZ79" s="21"/>
      <c r="BA79" s="21"/>
      <c r="BB79" s="21"/>
      <c r="BC79" s="21"/>
      <c r="BD79" s="3"/>
      <c r="BE79" s="3"/>
      <c r="BG79" s="3">
        <v>233</v>
      </c>
      <c r="BH79" s="3">
        <v>6</v>
      </c>
      <c r="BJ79" s="3">
        <v>1328</v>
      </c>
      <c r="BL79" s="3">
        <v>26560.51</v>
      </c>
      <c r="BM79" s="3">
        <v>26560.51</v>
      </c>
      <c r="CC79" s="3">
        <v>1328</v>
      </c>
      <c r="CE79" s="22">
        <f t="shared" si="3"/>
        <v>79681.53</v>
      </c>
      <c r="CF79" s="3">
        <f t="shared" si="0"/>
        <v>0</v>
      </c>
      <c r="CG79" s="17">
        <f t="shared" si="1"/>
        <v>9652</v>
      </c>
      <c r="CH79" s="3" t="str">
        <f t="shared" si="1"/>
        <v>خ ت طب</v>
      </c>
    </row>
    <row r="80" spans="3:89" x14ac:dyDescent="0.25">
      <c r="C80" s="11">
        <v>15874</v>
      </c>
      <c r="D80" s="20">
        <v>9653</v>
      </c>
      <c r="E80" s="3" t="s">
        <v>128</v>
      </c>
      <c r="F80" s="44" t="s">
        <v>784</v>
      </c>
      <c r="H80" s="21">
        <v>1518.97</v>
      </c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2">
        <f t="shared" si="2"/>
        <v>1518.97</v>
      </c>
      <c r="AT80" s="21">
        <v>1015.13</v>
      </c>
      <c r="AU80" s="21">
        <v>137.85</v>
      </c>
      <c r="AV80" s="21">
        <v>365.99</v>
      </c>
      <c r="AW80" s="21"/>
      <c r="AX80" s="21"/>
      <c r="AY80" s="21"/>
      <c r="AZ80" s="21"/>
      <c r="BA80" s="21"/>
      <c r="BB80" s="21"/>
      <c r="BC80" s="21"/>
      <c r="BD80" s="3"/>
      <c r="BE80" s="3"/>
      <c r="CE80" s="22">
        <f t="shared" si="3"/>
        <v>1518.97</v>
      </c>
      <c r="CF80" s="3">
        <f t="shared" si="0"/>
        <v>0</v>
      </c>
      <c r="CG80" s="17">
        <f t="shared" si="1"/>
        <v>9653</v>
      </c>
      <c r="CH80" s="3" t="str">
        <f t="shared" si="1"/>
        <v>مركز مؤتمرات</v>
      </c>
    </row>
    <row r="81" spans="2:86" x14ac:dyDescent="0.25">
      <c r="C81" s="11">
        <v>15875</v>
      </c>
      <c r="D81" s="20">
        <v>9654</v>
      </c>
      <c r="E81" s="3" t="s">
        <v>128</v>
      </c>
      <c r="F81" s="44" t="s">
        <v>784</v>
      </c>
      <c r="H81" s="21">
        <v>4185.82</v>
      </c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2">
        <f t="shared" si="2"/>
        <v>4185.82</v>
      </c>
      <c r="AT81" s="21">
        <v>2797.6</v>
      </c>
      <c r="AU81" s="21">
        <v>379.7</v>
      </c>
      <c r="AV81" s="21">
        <v>1008.52</v>
      </c>
      <c r="AW81" s="21"/>
      <c r="AX81" s="21"/>
      <c r="AY81" s="21"/>
      <c r="AZ81" s="21"/>
      <c r="BA81" s="21"/>
      <c r="BB81" s="21"/>
      <c r="BC81" s="21"/>
      <c r="BD81" s="3"/>
      <c r="BE81" s="3"/>
      <c r="CE81" s="22">
        <f t="shared" si="3"/>
        <v>4185.82</v>
      </c>
      <c r="CF81" s="3">
        <f t="shared" si="0"/>
        <v>0</v>
      </c>
      <c r="CG81" s="17">
        <f t="shared" si="1"/>
        <v>9654</v>
      </c>
      <c r="CH81" s="3" t="str">
        <f t="shared" si="1"/>
        <v>مركز مؤتمرات</v>
      </c>
    </row>
    <row r="82" spans="2:86" x14ac:dyDescent="0.25">
      <c r="B82" s="21"/>
      <c r="C82" s="11">
        <v>15876</v>
      </c>
      <c r="D82" s="20">
        <v>9655</v>
      </c>
      <c r="E82" s="3" t="s">
        <v>128</v>
      </c>
      <c r="F82" s="44" t="s">
        <v>784</v>
      </c>
      <c r="H82" s="21">
        <v>5180.1400000000003</v>
      </c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2">
        <f t="shared" si="2"/>
        <v>5180.1400000000003</v>
      </c>
      <c r="AT82" s="21">
        <v>4301.91</v>
      </c>
      <c r="AU82" s="21">
        <v>532.45000000000005</v>
      </c>
      <c r="AV82" s="21">
        <v>345.78</v>
      </c>
      <c r="AW82" s="21"/>
      <c r="AX82" s="21"/>
      <c r="AY82" s="21"/>
      <c r="AZ82" s="21"/>
      <c r="BA82" s="21"/>
      <c r="BB82" s="21"/>
      <c r="BC82" s="21"/>
      <c r="BD82" s="3"/>
      <c r="BE82" s="3"/>
      <c r="CE82" s="22">
        <f t="shared" si="3"/>
        <v>5180.1399999999994</v>
      </c>
      <c r="CF82" s="3">
        <f t="shared" si="0"/>
        <v>0</v>
      </c>
      <c r="CG82" s="17">
        <f t="shared" si="1"/>
        <v>9655</v>
      </c>
      <c r="CH82" s="3" t="str">
        <f t="shared" si="1"/>
        <v>مركز مؤتمرات</v>
      </c>
    </row>
    <row r="83" spans="2:86" x14ac:dyDescent="0.25">
      <c r="C83" s="11">
        <v>15877</v>
      </c>
      <c r="D83" s="20">
        <v>9656</v>
      </c>
      <c r="E83" s="3" t="s">
        <v>128</v>
      </c>
      <c r="F83" s="44" t="s">
        <v>784</v>
      </c>
      <c r="H83" s="21">
        <v>32299.62</v>
      </c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2">
        <f t="shared" si="2"/>
        <v>32299.62</v>
      </c>
      <c r="AT83" s="21">
        <v>21683.71</v>
      </c>
      <c r="AU83" s="21">
        <v>2939.85</v>
      </c>
      <c r="AV83" s="21">
        <v>7676.06</v>
      </c>
      <c r="AW83" s="21"/>
      <c r="AX83" s="21"/>
      <c r="AY83" s="21"/>
      <c r="AZ83" s="21"/>
      <c r="BA83" s="21"/>
      <c r="BB83" s="21"/>
      <c r="BC83" s="21"/>
      <c r="BD83" s="3"/>
      <c r="BE83" s="3"/>
      <c r="CE83" s="22">
        <f t="shared" si="3"/>
        <v>32299.62</v>
      </c>
      <c r="CF83" s="3">
        <f t="shared" si="0"/>
        <v>0</v>
      </c>
      <c r="CG83" s="17">
        <f t="shared" si="1"/>
        <v>9656</v>
      </c>
      <c r="CH83" s="3" t="str">
        <f t="shared" si="1"/>
        <v>مركز مؤتمرات</v>
      </c>
    </row>
    <row r="84" spans="2:86" x14ac:dyDescent="0.25">
      <c r="C84" s="11">
        <v>15878</v>
      </c>
      <c r="D84" s="20">
        <v>9657</v>
      </c>
      <c r="E84" s="3" t="s">
        <v>128</v>
      </c>
      <c r="F84" s="44" t="s">
        <v>785</v>
      </c>
      <c r="H84" s="21">
        <v>3555.41</v>
      </c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2">
        <f t="shared" si="2"/>
        <v>3555.41</v>
      </c>
      <c r="AT84" s="21">
        <v>2944.49</v>
      </c>
      <c r="AU84" s="21">
        <v>364.6</v>
      </c>
      <c r="AV84" s="21">
        <v>246.32</v>
      </c>
      <c r="AW84" s="21"/>
      <c r="AX84" s="21"/>
      <c r="AY84" s="21"/>
      <c r="AZ84" s="21"/>
      <c r="BA84" s="21"/>
      <c r="BB84" s="21"/>
      <c r="BC84" s="21"/>
      <c r="BD84" s="3"/>
      <c r="BE84" s="3"/>
      <c r="CE84" s="22">
        <f t="shared" si="3"/>
        <v>3555.41</v>
      </c>
      <c r="CF84" s="3">
        <f t="shared" si="0"/>
        <v>0</v>
      </c>
      <c r="CG84" s="17">
        <f t="shared" si="1"/>
        <v>9657</v>
      </c>
      <c r="CH84" s="3" t="str">
        <f t="shared" si="1"/>
        <v>مركز مؤتمرات</v>
      </c>
    </row>
    <row r="85" spans="2:86" x14ac:dyDescent="0.25">
      <c r="C85" s="11">
        <v>15879</v>
      </c>
      <c r="D85" s="20">
        <v>9658</v>
      </c>
      <c r="E85" s="3" t="s">
        <v>128</v>
      </c>
      <c r="F85" s="44" t="s">
        <v>785</v>
      </c>
      <c r="H85" s="21">
        <v>2509.42</v>
      </c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2">
        <f t="shared" si="2"/>
        <v>2509.42</v>
      </c>
      <c r="AT85" s="21">
        <v>2095.9899999999998</v>
      </c>
      <c r="AU85" s="21">
        <v>258.8</v>
      </c>
      <c r="AV85" s="21">
        <v>154.63</v>
      </c>
      <c r="AW85" s="21"/>
      <c r="AX85" s="21"/>
      <c r="AY85" s="21"/>
      <c r="AZ85" s="21"/>
      <c r="BA85" s="21"/>
      <c r="BB85" s="21"/>
      <c r="BC85" s="21"/>
      <c r="BD85" s="3"/>
      <c r="BE85" s="3"/>
      <c r="CE85" s="22">
        <f t="shared" si="3"/>
        <v>2509.42</v>
      </c>
      <c r="CF85" s="3">
        <f t="shared" si="0"/>
        <v>0</v>
      </c>
      <c r="CG85" s="17">
        <f t="shared" si="1"/>
        <v>9658</v>
      </c>
      <c r="CH85" s="3" t="str">
        <f t="shared" si="1"/>
        <v>مركز مؤتمرات</v>
      </c>
    </row>
    <row r="86" spans="2:86" x14ac:dyDescent="0.25">
      <c r="C86" s="11">
        <v>15880</v>
      </c>
      <c r="D86" s="20">
        <v>9659</v>
      </c>
      <c r="E86" s="3" t="s">
        <v>128</v>
      </c>
      <c r="F86" s="44" t="s">
        <v>785</v>
      </c>
      <c r="H86" s="21">
        <v>4645.6099999999997</v>
      </c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2">
        <f t="shared" si="2"/>
        <v>4645.6099999999997</v>
      </c>
      <c r="AT86" s="21">
        <v>3490.07</v>
      </c>
      <c r="AU86" s="21">
        <v>450.35</v>
      </c>
      <c r="AV86" s="21">
        <v>705.19</v>
      </c>
      <c r="AW86" s="21"/>
      <c r="AX86" s="21"/>
      <c r="AY86" s="21"/>
      <c r="AZ86" s="21"/>
      <c r="BA86" s="21"/>
      <c r="BB86" s="21"/>
      <c r="BC86" s="21"/>
      <c r="BD86" s="3"/>
      <c r="BE86" s="3"/>
      <c r="CE86" s="22">
        <f t="shared" si="3"/>
        <v>4645.6100000000006</v>
      </c>
      <c r="CF86" s="3">
        <f t="shared" si="0"/>
        <v>0</v>
      </c>
      <c r="CG86" s="17">
        <f t="shared" si="1"/>
        <v>9659</v>
      </c>
      <c r="CH86" s="3" t="str">
        <f t="shared" si="1"/>
        <v>مركز مؤتمرات</v>
      </c>
    </row>
    <row r="87" spans="2:86" x14ac:dyDescent="0.25">
      <c r="C87" s="11">
        <v>15881</v>
      </c>
      <c r="D87" s="20">
        <v>9660</v>
      </c>
      <c r="E87" s="3" t="s">
        <v>128</v>
      </c>
      <c r="F87" s="44" t="s">
        <v>785</v>
      </c>
      <c r="H87" s="21">
        <v>28010.68</v>
      </c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2">
        <f t="shared" si="2"/>
        <v>28010.68</v>
      </c>
      <c r="AT87" s="21">
        <v>21130.01</v>
      </c>
      <c r="AU87" s="21">
        <v>2719.85</v>
      </c>
      <c r="AV87" s="21">
        <v>4160.82</v>
      </c>
      <c r="AW87" s="21"/>
      <c r="AX87" s="21"/>
      <c r="AY87" s="21"/>
      <c r="AZ87" s="21"/>
      <c r="BA87" s="21"/>
      <c r="BB87" s="21"/>
      <c r="BC87" s="21"/>
      <c r="BD87" s="3"/>
      <c r="BE87" s="3"/>
      <c r="CE87" s="22">
        <f t="shared" si="3"/>
        <v>28010.679999999997</v>
      </c>
      <c r="CF87" s="3">
        <f t="shared" si="0"/>
        <v>0</v>
      </c>
      <c r="CG87" s="17">
        <f t="shared" si="1"/>
        <v>9660</v>
      </c>
      <c r="CH87" s="3" t="str">
        <f t="shared" si="1"/>
        <v>مركز مؤتمرات</v>
      </c>
    </row>
    <row r="88" spans="2:86" x14ac:dyDescent="0.25">
      <c r="C88" s="11">
        <v>15663</v>
      </c>
      <c r="D88" s="20">
        <v>9661</v>
      </c>
      <c r="E88" s="3" t="s">
        <v>78</v>
      </c>
      <c r="F88" s="44" t="s">
        <v>786</v>
      </c>
      <c r="H88" s="21">
        <v>14514.09</v>
      </c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2">
        <f t="shared" si="2"/>
        <v>14514.09</v>
      </c>
      <c r="AT88" s="21">
        <v>10493.82</v>
      </c>
      <c r="AU88" s="21">
        <v>1376.9</v>
      </c>
      <c r="AV88" s="21">
        <v>2643.37</v>
      </c>
      <c r="AW88" s="21"/>
      <c r="AX88" s="21"/>
      <c r="AY88" s="21"/>
      <c r="AZ88" s="21"/>
      <c r="BA88" s="21"/>
      <c r="BB88" s="21"/>
      <c r="BC88" s="21"/>
      <c r="BD88" s="3"/>
      <c r="BE88" s="3"/>
      <c r="CE88" s="22">
        <f t="shared" si="3"/>
        <v>14514.09</v>
      </c>
      <c r="CF88" s="3">
        <f t="shared" si="0"/>
        <v>0</v>
      </c>
      <c r="CG88" s="17">
        <f t="shared" si="1"/>
        <v>9661</v>
      </c>
      <c r="CH88" s="3" t="str">
        <f t="shared" si="1"/>
        <v>برنامج دولى</v>
      </c>
    </row>
    <row r="89" spans="2:86" x14ac:dyDescent="0.25">
      <c r="B89" s="21"/>
      <c r="C89" s="11">
        <v>15664</v>
      </c>
      <c r="D89" s="20">
        <v>9662</v>
      </c>
      <c r="E89" s="3" t="s">
        <v>78</v>
      </c>
      <c r="F89" s="44" t="s">
        <v>786</v>
      </c>
      <c r="H89" s="21">
        <v>20167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2">
        <f t="shared" si="2"/>
        <v>20167</v>
      </c>
      <c r="AT89" s="21">
        <v>13476.8</v>
      </c>
      <c r="AU89" s="21">
        <v>1831.2</v>
      </c>
      <c r="AV89" s="21">
        <v>4859</v>
      </c>
      <c r="AW89" s="21"/>
      <c r="AX89" s="21"/>
      <c r="AY89" s="21"/>
      <c r="AZ89" s="21"/>
      <c r="BA89" s="21"/>
      <c r="BB89" s="21"/>
      <c r="BC89" s="21"/>
      <c r="BD89" s="3"/>
      <c r="BE89" s="3"/>
      <c r="CE89" s="22">
        <f t="shared" si="3"/>
        <v>20167</v>
      </c>
      <c r="CF89" s="3">
        <f t="shared" si="0"/>
        <v>0</v>
      </c>
      <c r="CG89" s="17">
        <f t="shared" si="1"/>
        <v>9662</v>
      </c>
      <c r="CH89" s="3" t="str">
        <f t="shared" si="1"/>
        <v>برنامج دولى</v>
      </c>
    </row>
    <row r="90" spans="2:86" x14ac:dyDescent="0.25">
      <c r="B90" s="3"/>
      <c r="C90" s="11">
        <v>15665</v>
      </c>
      <c r="D90" s="20">
        <v>9663</v>
      </c>
      <c r="E90" s="3" t="s">
        <v>78</v>
      </c>
      <c r="F90" s="44" t="s">
        <v>787</v>
      </c>
      <c r="H90" s="21">
        <v>5450.32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2">
        <f t="shared" ref="AS90:AS153" si="5">SUM(H90:AQ90)</f>
        <v>5450.32</v>
      </c>
      <c r="AT90" s="21">
        <v>3819.84</v>
      </c>
      <c r="AU90" s="21">
        <v>501.6</v>
      </c>
      <c r="AV90" s="21">
        <v>1128.8800000000001</v>
      </c>
      <c r="AW90" s="21"/>
      <c r="AX90" s="21"/>
      <c r="AY90" s="21"/>
      <c r="AZ90" s="21"/>
      <c r="BA90" s="21"/>
      <c r="BB90" s="21"/>
      <c r="BC90" s="21"/>
      <c r="BD90" s="3"/>
      <c r="BE90" s="3"/>
      <c r="CE90" s="22">
        <f t="shared" si="3"/>
        <v>5450.3200000000006</v>
      </c>
      <c r="CF90" s="3">
        <f t="shared" si="0"/>
        <v>0</v>
      </c>
      <c r="CG90" s="17">
        <f t="shared" si="1"/>
        <v>9663</v>
      </c>
      <c r="CH90" s="3" t="str">
        <f t="shared" si="1"/>
        <v>برنامج دولى</v>
      </c>
    </row>
    <row r="91" spans="2:86" x14ac:dyDescent="0.25">
      <c r="B91" s="3"/>
      <c r="C91" s="11">
        <v>15666</v>
      </c>
      <c r="D91" s="20">
        <v>9664</v>
      </c>
      <c r="E91" s="3" t="s">
        <v>78</v>
      </c>
      <c r="F91" s="44" t="s">
        <v>787</v>
      </c>
      <c r="H91" s="21">
        <v>703.5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2">
        <f t="shared" si="5"/>
        <v>703.5</v>
      </c>
      <c r="AT91" s="21">
        <v>471.1</v>
      </c>
      <c r="AU91" s="21">
        <v>62.9</v>
      </c>
      <c r="AV91" s="21">
        <v>169.5</v>
      </c>
      <c r="AW91" s="21"/>
      <c r="AX91" s="21"/>
      <c r="AY91" s="21"/>
      <c r="AZ91" s="21"/>
      <c r="BA91" s="21"/>
      <c r="BB91" s="21"/>
      <c r="BC91" s="21"/>
      <c r="BD91" s="3"/>
      <c r="BE91" s="3"/>
      <c r="CE91" s="22">
        <f t="shared" si="3"/>
        <v>703.5</v>
      </c>
      <c r="CF91" s="3">
        <f t="shared" ref="CF91:CF154" si="6">+CE91-AS91</f>
        <v>0</v>
      </c>
      <c r="CG91" s="17">
        <f t="shared" ref="CG91:CH154" si="7">+D91</f>
        <v>9664</v>
      </c>
      <c r="CH91" s="3" t="str">
        <f t="shared" si="7"/>
        <v>برنامج دولى</v>
      </c>
    </row>
    <row r="92" spans="2:86" x14ac:dyDescent="0.25">
      <c r="C92" s="11">
        <v>15976</v>
      </c>
      <c r="D92" s="20">
        <v>9665</v>
      </c>
      <c r="E92" s="3" t="s">
        <v>78</v>
      </c>
      <c r="F92" s="44" t="s">
        <v>788</v>
      </c>
      <c r="H92" s="21">
        <v>527.64</v>
      </c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2">
        <f t="shared" si="5"/>
        <v>527.64</v>
      </c>
      <c r="AT92" s="21">
        <v>353.85</v>
      </c>
      <c r="AU92" s="21">
        <f>45+1.65</f>
        <v>46.65</v>
      </c>
      <c r="AV92" s="21">
        <v>127.14</v>
      </c>
      <c r="AW92" s="21"/>
      <c r="AX92" s="21"/>
      <c r="AY92" s="21"/>
      <c r="AZ92" s="21"/>
      <c r="BA92" s="21"/>
      <c r="BB92" s="21"/>
      <c r="BC92" s="21"/>
      <c r="BD92" s="3"/>
      <c r="BE92" s="3"/>
      <c r="CE92" s="22">
        <f t="shared" ref="CE92:CE155" si="8">SUM(AT92:CC92)</f>
        <v>527.64</v>
      </c>
      <c r="CF92" s="3">
        <f t="shared" si="6"/>
        <v>0</v>
      </c>
      <c r="CG92" s="17">
        <f t="shared" si="7"/>
        <v>9665</v>
      </c>
      <c r="CH92" s="3" t="str">
        <f t="shared" si="7"/>
        <v>برنامج دولى</v>
      </c>
    </row>
    <row r="93" spans="2:86" x14ac:dyDescent="0.25">
      <c r="C93" s="11">
        <v>15745</v>
      </c>
      <c r="D93" s="20">
        <v>9666</v>
      </c>
      <c r="E93" s="3" t="s">
        <v>78</v>
      </c>
      <c r="F93" s="44" t="s">
        <v>789</v>
      </c>
      <c r="H93" s="21">
        <v>566.32000000000005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2">
        <f t="shared" si="5"/>
        <v>566.32000000000005</v>
      </c>
      <c r="AT93" s="21">
        <v>379.87</v>
      </c>
      <c r="AU93" s="21">
        <v>50</v>
      </c>
      <c r="AV93" s="21">
        <v>136.44999999999999</v>
      </c>
      <c r="AW93" s="21"/>
      <c r="AX93" s="21"/>
      <c r="AY93" s="21"/>
      <c r="AZ93" s="21"/>
      <c r="BA93" s="21"/>
      <c r="BB93" s="21"/>
      <c r="BC93" s="21"/>
      <c r="BD93" s="3"/>
      <c r="BE93" s="3"/>
      <c r="CE93" s="22">
        <f t="shared" si="8"/>
        <v>566.31999999999994</v>
      </c>
      <c r="CF93" s="3">
        <f t="shared" si="6"/>
        <v>0</v>
      </c>
      <c r="CG93" s="17">
        <f t="shared" si="7"/>
        <v>9666</v>
      </c>
      <c r="CH93" s="3" t="str">
        <f t="shared" si="7"/>
        <v>برنامج دولى</v>
      </c>
    </row>
    <row r="94" spans="2:86" x14ac:dyDescent="0.25">
      <c r="B94" s="21"/>
      <c r="C94" s="11">
        <v>15667</v>
      </c>
      <c r="D94" s="20">
        <v>9667</v>
      </c>
      <c r="E94" s="3" t="s">
        <v>78</v>
      </c>
      <c r="F94" s="44" t="str">
        <f>+F90</f>
        <v>مكافاه برنامج تدريبى ابحاث طبيه</v>
      </c>
      <c r="H94" s="21">
        <v>19143.810000000001</v>
      </c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2">
        <f t="shared" si="5"/>
        <v>19143.810000000001</v>
      </c>
      <c r="AT94" s="21">
        <v>16873.650000000001</v>
      </c>
      <c r="AU94" s="21">
        <v>2034.65</v>
      </c>
      <c r="AV94" s="21">
        <v>235.51</v>
      </c>
      <c r="AW94" s="21"/>
      <c r="AX94" s="21"/>
      <c r="AY94" s="21"/>
      <c r="AZ94" s="21"/>
      <c r="BA94" s="21"/>
      <c r="BB94" s="21"/>
      <c r="BC94" s="21"/>
      <c r="BD94" s="3"/>
      <c r="BE94" s="3"/>
      <c r="CE94" s="22">
        <f t="shared" si="8"/>
        <v>19143.810000000001</v>
      </c>
      <c r="CF94" s="3">
        <f t="shared" si="6"/>
        <v>0</v>
      </c>
      <c r="CG94" s="17">
        <f t="shared" si="7"/>
        <v>9667</v>
      </c>
      <c r="CH94" s="3" t="str">
        <f t="shared" si="7"/>
        <v>برنامج دولى</v>
      </c>
    </row>
    <row r="95" spans="2:86" x14ac:dyDescent="0.25">
      <c r="C95" s="11">
        <v>15668</v>
      </c>
      <c r="D95" s="20">
        <v>9668</v>
      </c>
      <c r="E95" s="3" t="s">
        <v>78</v>
      </c>
      <c r="F95" s="44" t="s">
        <v>790</v>
      </c>
      <c r="H95" s="21">
        <v>1000</v>
      </c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2">
        <f t="shared" si="5"/>
        <v>1000</v>
      </c>
      <c r="AT95" s="21">
        <v>893.35</v>
      </c>
      <c r="AU95" s="21">
        <v>106.65</v>
      </c>
      <c r="AV95" s="21"/>
      <c r="AW95" s="21"/>
      <c r="AX95" s="21"/>
      <c r="AY95" s="21"/>
      <c r="AZ95" s="21"/>
      <c r="BA95" s="21"/>
      <c r="BB95" s="21"/>
      <c r="BC95" s="21"/>
      <c r="BD95" s="3"/>
      <c r="BE95" s="3"/>
      <c r="CE95" s="22">
        <f t="shared" si="8"/>
        <v>1000</v>
      </c>
      <c r="CF95" s="3">
        <f t="shared" si="6"/>
        <v>0</v>
      </c>
      <c r="CG95" s="17">
        <f t="shared" si="7"/>
        <v>9668</v>
      </c>
      <c r="CH95" s="3" t="str">
        <f t="shared" si="7"/>
        <v>برنامج دولى</v>
      </c>
    </row>
    <row r="96" spans="2:86" x14ac:dyDescent="0.25">
      <c r="C96" s="11">
        <v>15669</v>
      </c>
      <c r="D96" s="20">
        <v>9669</v>
      </c>
      <c r="E96" s="3" t="s">
        <v>78</v>
      </c>
      <c r="F96" s="44" t="s">
        <v>791</v>
      </c>
      <c r="H96" s="21">
        <v>2400</v>
      </c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2">
        <f t="shared" si="5"/>
        <v>2400</v>
      </c>
      <c r="AT96" s="21">
        <v>2142.6999999999998</v>
      </c>
      <c r="AU96" s="21">
        <v>257.3</v>
      </c>
      <c r="AV96" s="21"/>
      <c r="AW96" s="21"/>
      <c r="AX96" s="21"/>
      <c r="AY96" s="21"/>
      <c r="AZ96" s="21"/>
      <c r="BA96" s="21"/>
      <c r="BB96" s="21"/>
      <c r="BC96" s="21"/>
      <c r="BD96" s="3"/>
      <c r="BE96" s="3"/>
      <c r="CE96" s="22">
        <f t="shared" si="8"/>
        <v>2400</v>
      </c>
      <c r="CF96" s="3">
        <f t="shared" si="6"/>
        <v>0</v>
      </c>
      <c r="CG96" s="17">
        <f t="shared" si="7"/>
        <v>9669</v>
      </c>
      <c r="CH96" s="3" t="str">
        <f t="shared" si="7"/>
        <v>برنامج دولى</v>
      </c>
    </row>
    <row r="97" spans="3:86" x14ac:dyDescent="0.25">
      <c r="C97" s="11">
        <v>15670</v>
      </c>
      <c r="D97" s="20">
        <v>9670</v>
      </c>
      <c r="E97" s="3" t="s">
        <v>78</v>
      </c>
      <c r="F97" s="44" t="s">
        <v>792</v>
      </c>
      <c r="H97" s="21">
        <v>7274.77</v>
      </c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2">
        <f t="shared" si="5"/>
        <v>7274.77</v>
      </c>
      <c r="AT97" s="21">
        <v>4897.0200000000004</v>
      </c>
      <c r="AU97" s="21">
        <v>658.55</v>
      </c>
      <c r="AV97" s="21">
        <v>1719.2</v>
      </c>
      <c r="AW97" s="21"/>
      <c r="AX97" s="21"/>
      <c r="AY97" s="21"/>
      <c r="AZ97" s="21"/>
      <c r="BA97" s="21"/>
      <c r="BB97" s="21"/>
      <c r="BC97" s="21"/>
      <c r="BD97" s="3"/>
      <c r="BE97" s="3"/>
      <c r="CE97" s="22">
        <f t="shared" si="8"/>
        <v>7274.77</v>
      </c>
      <c r="CF97" s="3">
        <f t="shared" si="6"/>
        <v>0</v>
      </c>
      <c r="CG97" s="17">
        <f t="shared" si="7"/>
        <v>9670</v>
      </c>
      <c r="CH97" s="3" t="str">
        <f t="shared" si="7"/>
        <v>برنامج دولى</v>
      </c>
    </row>
    <row r="98" spans="3:86" x14ac:dyDescent="0.25">
      <c r="C98" s="11">
        <v>15671</v>
      </c>
      <c r="D98" s="20">
        <v>9671</v>
      </c>
      <c r="E98" s="3" t="s">
        <v>78</v>
      </c>
      <c r="F98" s="44" t="s">
        <v>792</v>
      </c>
      <c r="H98" s="21">
        <v>1494.93</v>
      </c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2">
        <f t="shared" si="5"/>
        <v>1494.93</v>
      </c>
      <c r="AT98" s="21">
        <v>1000.15</v>
      </c>
      <c r="AU98" s="21">
        <v>134.6</v>
      </c>
      <c r="AV98" s="21">
        <v>360.18</v>
      </c>
      <c r="AW98" s="21"/>
      <c r="AX98" s="21"/>
      <c r="AY98" s="21"/>
      <c r="AZ98" s="21"/>
      <c r="BA98" s="21"/>
      <c r="BB98" s="21"/>
      <c r="BC98" s="21"/>
      <c r="BD98" s="3"/>
      <c r="BE98" s="3"/>
      <c r="CE98" s="22">
        <f t="shared" si="8"/>
        <v>1494.93</v>
      </c>
      <c r="CF98" s="3">
        <f t="shared" si="6"/>
        <v>0</v>
      </c>
      <c r="CG98" s="17">
        <f t="shared" si="7"/>
        <v>9671</v>
      </c>
      <c r="CH98" s="3" t="str">
        <f t="shared" si="7"/>
        <v>برنامج دولى</v>
      </c>
    </row>
    <row r="99" spans="3:86" x14ac:dyDescent="0.25">
      <c r="C99" s="11">
        <v>15672</v>
      </c>
      <c r="D99" s="20">
        <v>9672</v>
      </c>
      <c r="E99" s="3" t="s">
        <v>78</v>
      </c>
      <c r="F99" s="44" t="s">
        <v>793</v>
      </c>
      <c r="H99" s="21">
        <v>1993.24</v>
      </c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2">
        <f t="shared" si="5"/>
        <v>1993.24</v>
      </c>
      <c r="AT99" s="21">
        <v>1333.1</v>
      </c>
      <c r="AU99" s="21">
        <v>179.9</v>
      </c>
      <c r="AV99" s="21">
        <v>480.24</v>
      </c>
      <c r="AW99" s="21"/>
      <c r="AX99" s="21"/>
      <c r="AY99" s="21"/>
      <c r="AZ99" s="21"/>
      <c r="BA99" s="21"/>
      <c r="BB99" s="21"/>
      <c r="BC99" s="21"/>
      <c r="BD99" s="3"/>
      <c r="BE99" s="3"/>
      <c r="CE99" s="22">
        <f t="shared" si="8"/>
        <v>1993.24</v>
      </c>
      <c r="CF99" s="3">
        <f t="shared" si="6"/>
        <v>0</v>
      </c>
      <c r="CG99" s="17">
        <f t="shared" si="7"/>
        <v>9672</v>
      </c>
      <c r="CH99" s="3" t="str">
        <f t="shared" si="7"/>
        <v>برنامج دولى</v>
      </c>
    </row>
    <row r="100" spans="3:86" x14ac:dyDescent="0.25">
      <c r="C100" s="11">
        <v>15673</v>
      </c>
      <c r="D100" s="20">
        <v>9673</v>
      </c>
      <c r="E100" s="3" t="s">
        <v>78</v>
      </c>
      <c r="F100" s="44" t="s">
        <v>794</v>
      </c>
      <c r="H100" s="21">
        <v>10100</v>
      </c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2">
        <f t="shared" si="5"/>
        <v>10100</v>
      </c>
      <c r="AT100" s="21">
        <v>9022.25</v>
      </c>
      <c r="AU100" s="21">
        <v>1077.75</v>
      </c>
      <c r="AV100" s="21"/>
      <c r="AW100" s="21"/>
      <c r="AX100" s="21"/>
      <c r="AY100" s="21"/>
      <c r="AZ100" s="21"/>
      <c r="BA100" s="21"/>
      <c r="BB100" s="21"/>
      <c r="BC100" s="21"/>
      <c r="BD100" s="3"/>
      <c r="BE100" s="3"/>
      <c r="CE100" s="22">
        <f t="shared" si="8"/>
        <v>10100</v>
      </c>
      <c r="CF100" s="3">
        <f t="shared" si="6"/>
        <v>0</v>
      </c>
      <c r="CG100" s="17">
        <f t="shared" si="7"/>
        <v>9673</v>
      </c>
      <c r="CH100" s="3" t="str">
        <f t="shared" si="7"/>
        <v>برنامج دولى</v>
      </c>
    </row>
    <row r="101" spans="3:86" x14ac:dyDescent="0.25">
      <c r="C101" s="11">
        <v>15674</v>
      </c>
      <c r="D101" s="20">
        <v>9674</v>
      </c>
      <c r="E101" s="3" t="s">
        <v>78</v>
      </c>
      <c r="F101" s="44" t="s">
        <v>794</v>
      </c>
      <c r="H101" s="21">
        <v>1000</v>
      </c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2">
        <f t="shared" si="5"/>
        <v>1000</v>
      </c>
      <c r="AT101" s="21">
        <v>893.35</v>
      </c>
      <c r="AU101" s="21">
        <v>106.65</v>
      </c>
      <c r="AV101" s="21"/>
      <c r="AW101" s="21"/>
      <c r="AX101" s="21"/>
      <c r="AY101" s="21"/>
      <c r="AZ101" s="21"/>
      <c r="BA101" s="21"/>
      <c r="BB101" s="21"/>
      <c r="BC101" s="21"/>
      <c r="BD101" s="3"/>
      <c r="BE101" s="3"/>
      <c r="CE101" s="22">
        <f t="shared" si="8"/>
        <v>1000</v>
      </c>
      <c r="CF101" s="3">
        <f t="shared" si="6"/>
        <v>0</v>
      </c>
      <c r="CG101" s="17">
        <f t="shared" si="7"/>
        <v>9674</v>
      </c>
      <c r="CH101" s="3" t="str">
        <f t="shared" si="7"/>
        <v>برنامج دولى</v>
      </c>
    </row>
    <row r="102" spans="3:86" x14ac:dyDescent="0.25">
      <c r="C102" s="11">
        <v>15676</v>
      </c>
      <c r="D102" s="20">
        <v>9675</v>
      </c>
      <c r="E102" s="3" t="s">
        <v>78</v>
      </c>
      <c r="F102" s="44" t="s">
        <v>795</v>
      </c>
      <c r="H102" s="21">
        <v>11299.49</v>
      </c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2">
        <f t="shared" si="5"/>
        <v>11299.49</v>
      </c>
      <c r="AT102" s="21">
        <v>8104.69</v>
      </c>
      <c r="AU102" s="21">
        <v>1066.6500000000001</v>
      </c>
      <c r="AV102" s="21">
        <v>2128.15</v>
      </c>
      <c r="AW102" s="21"/>
      <c r="AX102" s="21"/>
      <c r="AY102" s="21"/>
      <c r="AZ102" s="21"/>
      <c r="BA102" s="21"/>
      <c r="BB102" s="21"/>
      <c r="BC102" s="21"/>
      <c r="BD102" s="3"/>
      <c r="BE102" s="3"/>
      <c r="CE102" s="22">
        <f t="shared" si="8"/>
        <v>11299.49</v>
      </c>
      <c r="CF102" s="3">
        <f t="shared" si="6"/>
        <v>0</v>
      </c>
      <c r="CG102" s="17">
        <f t="shared" si="7"/>
        <v>9675</v>
      </c>
      <c r="CH102" s="3" t="str">
        <f t="shared" si="7"/>
        <v>برنامج دولى</v>
      </c>
    </row>
    <row r="103" spans="3:86" x14ac:dyDescent="0.25">
      <c r="C103" s="11">
        <v>15677</v>
      </c>
      <c r="D103" s="20">
        <v>9676</v>
      </c>
      <c r="E103" s="3" t="s">
        <v>78</v>
      </c>
      <c r="F103" s="44" t="s">
        <v>795</v>
      </c>
      <c r="H103" s="21">
        <v>1758.75</v>
      </c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2">
        <f t="shared" si="5"/>
        <v>1758.75</v>
      </c>
      <c r="AT103" s="21">
        <v>1175.3499999999999</v>
      </c>
      <c r="AU103" s="21">
        <v>159.65</v>
      </c>
      <c r="AV103" s="21">
        <v>423.75</v>
      </c>
      <c r="AW103" s="21"/>
      <c r="AX103" s="21"/>
      <c r="AY103" s="21"/>
      <c r="AZ103" s="21"/>
      <c r="BA103" s="21"/>
      <c r="BB103" s="21"/>
      <c r="BC103" s="21"/>
      <c r="BD103" s="3"/>
      <c r="BE103" s="3"/>
      <c r="CE103" s="22">
        <f t="shared" si="8"/>
        <v>1758.75</v>
      </c>
      <c r="CF103" s="3">
        <f t="shared" si="6"/>
        <v>0</v>
      </c>
      <c r="CG103" s="17">
        <f t="shared" si="7"/>
        <v>9676</v>
      </c>
      <c r="CH103" s="3" t="str">
        <f t="shared" si="7"/>
        <v>برنامج دولى</v>
      </c>
    </row>
    <row r="104" spans="3:86" x14ac:dyDescent="0.25">
      <c r="C104" s="11">
        <v>15678</v>
      </c>
      <c r="D104" s="20">
        <v>9677</v>
      </c>
      <c r="E104" s="3" t="s">
        <v>78</v>
      </c>
      <c r="F104" s="44" t="s">
        <v>796</v>
      </c>
      <c r="H104" s="21">
        <v>3000</v>
      </c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2">
        <f t="shared" si="5"/>
        <v>3000</v>
      </c>
      <c r="AT104" s="21">
        <v>2680.05</v>
      </c>
      <c r="AU104" s="21">
        <v>319.95</v>
      </c>
      <c r="AV104" s="21"/>
      <c r="AW104" s="21"/>
      <c r="AX104" s="21"/>
      <c r="AY104" s="21"/>
      <c r="AZ104" s="21"/>
      <c r="BA104" s="21"/>
      <c r="BB104" s="21"/>
      <c r="BC104" s="21"/>
      <c r="BD104" s="3"/>
      <c r="BE104" s="3"/>
      <c r="CE104" s="22">
        <f t="shared" si="8"/>
        <v>3000</v>
      </c>
      <c r="CF104" s="3">
        <f t="shared" si="6"/>
        <v>0</v>
      </c>
      <c r="CG104" s="17">
        <f t="shared" si="7"/>
        <v>9677</v>
      </c>
      <c r="CH104" s="3" t="str">
        <f t="shared" si="7"/>
        <v>برنامج دولى</v>
      </c>
    </row>
    <row r="105" spans="3:86" x14ac:dyDescent="0.25">
      <c r="C105" s="11">
        <v>15679</v>
      </c>
      <c r="D105" s="20">
        <v>9678</v>
      </c>
      <c r="E105" s="3" t="s">
        <v>78</v>
      </c>
      <c r="F105" s="44" t="s">
        <v>796</v>
      </c>
      <c r="H105" s="21">
        <v>1000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2">
        <f>SUM(H105:AQ105)</f>
        <v>1000</v>
      </c>
      <c r="AT105" s="21">
        <v>893.35</v>
      </c>
      <c r="AU105" s="21">
        <v>106.65</v>
      </c>
      <c r="AV105" s="21"/>
      <c r="AW105" s="21"/>
      <c r="AX105" s="21"/>
      <c r="AY105" s="21"/>
      <c r="AZ105" s="21"/>
      <c r="BA105" s="21"/>
      <c r="BB105" s="21"/>
      <c r="BC105" s="21"/>
      <c r="BD105" s="3"/>
      <c r="BE105" s="3"/>
      <c r="CE105" s="22">
        <f t="shared" si="8"/>
        <v>1000</v>
      </c>
      <c r="CF105" s="3">
        <f t="shared" si="6"/>
        <v>0</v>
      </c>
      <c r="CG105" s="17">
        <f t="shared" si="7"/>
        <v>9678</v>
      </c>
      <c r="CH105" s="3" t="str">
        <f t="shared" si="7"/>
        <v>برنامج دولى</v>
      </c>
    </row>
    <row r="106" spans="3:86" x14ac:dyDescent="0.25">
      <c r="C106" s="11">
        <v>15675</v>
      </c>
      <c r="D106" s="20">
        <v>9679</v>
      </c>
      <c r="E106" s="3" t="s">
        <v>78</v>
      </c>
      <c r="F106" s="44" t="s">
        <v>797</v>
      </c>
      <c r="H106" s="21">
        <v>5276.25</v>
      </c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2">
        <f t="shared" si="5"/>
        <v>5276.25</v>
      </c>
      <c r="AT106" s="21">
        <v>3528.5</v>
      </c>
      <c r="AU106" s="21">
        <v>476.5</v>
      </c>
      <c r="AV106" s="21">
        <v>1271.25</v>
      </c>
      <c r="AW106" s="21"/>
      <c r="AX106" s="21"/>
      <c r="AY106" s="21"/>
      <c r="AZ106" s="21"/>
      <c r="BA106" s="21"/>
      <c r="BB106" s="21"/>
      <c r="BC106" s="21"/>
      <c r="BD106" s="3"/>
      <c r="BE106" s="3"/>
      <c r="CE106" s="22">
        <f t="shared" si="8"/>
        <v>5276.25</v>
      </c>
      <c r="CF106" s="3">
        <f t="shared" si="6"/>
        <v>0</v>
      </c>
      <c r="CG106" s="17">
        <f t="shared" si="7"/>
        <v>9679</v>
      </c>
      <c r="CH106" s="3" t="str">
        <f t="shared" si="7"/>
        <v>برنامج دولى</v>
      </c>
    </row>
    <row r="107" spans="3:86" x14ac:dyDescent="0.25">
      <c r="C107" s="11">
        <v>15682</v>
      </c>
      <c r="D107" s="20">
        <v>9680</v>
      </c>
      <c r="E107" s="3" t="s">
        <v>78</v>
      </c>
      <c r="F107" s="44" t="s">
        <v>798</v>
      </c>
      <c r="H107" s="21">
        <v>300</v>
      </c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2">
        <f t="shared" si="5"/>
        <v>300</v>
      </c>
      <c r="AT107" s="21">
        <v>268.35000000000002</v>
      </c>
      <c r="AU107" s="21">
        <v>31.65</v>
      </c>
      <c r="AV107" s="21"/>
      <c r="AW107" s="21"/>
      <c r="AX107" s="21"/>
      <c r="AY107" s="21"/>
      <c r="AZ107" s="21"/>
      <c r="BA107" s="21"/>
      <c r="BB107" s="21"/>
      <c r="BC107" s="21"/>
      <c r="BD107" s="3"/>
      <c r="BE107" s="3"/>
      <c r="CE107" s="22">
        <f t="shared" si="8"/>
        <v>300</v>
      </c>
      <c r="CF107" s="3">
        <f t="shared" si="6"/>
        <v>0</v>
      </c>
      <c r="CG107" s="17">
        <f t="shared" si="7"/>
        <v>9680</v>
      </c>
      <c r="CH107" s="3" t="str">
        <f t="shared" si="7"/>
        <v>برنامج دولى</v>
      </c>
    </row>
    <row r="108" spans="3:86" x14ac:dyDescent="0.25">
      <c r="C108" s="11">
        <v>15681</v>
      </c>
      <c r="D108" s="20">
        <v>9681</v>
      </c>
      <c r="E108" s="3" t="s">
        <v>78</v>
      </c>
      <c r="F108" s="44" t="s">
        <v>798</v>
      </c>
      <c r="H108" s="3">
        <v>234.5</v>
      </c>
      <c r="U108" s="3"/>
      <c r="V108" s="3"/>
      <c r="AS108" s="22">
        <f t="shared" si="5"/>
        <v>234.5</v>
      </c>
      <c r="AT108" s="3">
        <v>157.19999999999999</v>
      </c>
      <c r="AU108" s="3">
        <v>20.8</v>
      </c>
      <c r="AV108" s="3">
        <v>56.5</v>
      </c>
      <c r="BD108" s="3"/>
      <c r="BE108" s="3"/>
      <c r="CE108" s="22">
        <f t="shared" si="8"/>
        <v>234.5</v>
      </c>
      <c r="CF108" s="3">
        <f t="shared" si="6"/>
        <v>0</v>
      </c>
      <c r="CG108" s="17">
        <f t="shared" si="7"/>
        <v>9681</v>
      </c>
      <c r="CH108" s="3" t="str">
        <f t="shared" si="7"/>
        <v>برنامج دولى</v>
      </c>
    </row>
    <row r="109" spans="3:86" x14ac:dyDescent="0.25">
      <c r="C109" s="11">
        <v>15680</v>
      </c>
      <c r="D109" s="20">
        <v>9682</v>
      </c>
      <c r="E109" s="3" t="s">
        <v>78</v>
      </c>
      <c r="F109" s="44" t="s">
        <v>798</v>
      </c>
      <c r="H109" s="3">
        <v>8550.56</v>
      </c>
      <c r="U109" s="3"/>
      <c r="V109" s="3"/>
      <c r="AS109" s="22">
        <f t="shared" si="5"/>
        <v>8550.56</v>
      </c>
      <c r="AT109" s="3">
        <v>5932.3</v>
      </c>
      <c r="AU109" s="3">
        <v>774.95</v>
      </c>
      <c r="AV109" s="3">
        <v>1843.31</v>
      </c>
      <c r="BD109" s="3"/>
      <c r="BE109" s="3"/>
      <c r="CE109" s="22">
        <f t="shared" si="8"/>
        <v>8550.56</v>
      </c>
      <c r="CF109" s="3">
        <f t="shared" si="6"/>
        <v>0</v>
      </c>
      <c r="CG109" s="17">
        <f t="shared" si="7"/>
        <v>9682</v>
      </c>
      <c r="CH109" s="3" t="str">
        <f t="shared" si="7"/>
        <v>برنامج دولى</v>
      </c>
    </row>
    <row r="110" spans="3:86" x14ac:dyDescent="0.25">
      <c r="C110" s="11">
        <v>16295</v>
      </c>
      <c r="D110" s="20">
        <v>9683</v>
      </c>
      <c r="E110" s="3" t="s">
        <v>78</v>
      </c>
      <c r="F110" s="44" t="s">
        <v>799</v>
      </c>
      <c r="H110" s="3">
        <v>9731.76</v>
      </c>
      <c r="U110" s="3"/>
      <c r="V110" s="3"/>
      <c r="AS110" s="22">
        <f t="shared" si="5"/>
        <v>9731.76</v>
      </c>
      <c r="AT110" s="3">
        <v>6504.25</v>
      </c>
      <c r="AU110" s="3">
        <f>52.75+830</f>
        <v>882.75</v>
      </c>
      <c r="AV110" s="3">
        <v>2344.7600000000002</v>
      </c>
      <c r="BD110" s="3"/>
      <c r="BE110" s="3"/>
      <c r="CE110" s="22">
        <f t="shared" si="8"/>
        <v>9731.76</v>
      </c>
      <c r="CF110" s="3">
        <f t="shared" si="6"/>
        <v>0</v>
      </c>
      <c r="CG110" s="17">
        <f t="shared" si="7"/>
        <v>9683</v>
      </c>
      <c r="CH110" s="3" t="str">
        <f t="shared" si="7"/>
        <v>برنامج دولى</v>
      </c>
    </row>
    <row r="111" spans="3:86" x14ac:dyDescent="0.25">
      <c r="C111" s="11">
        <v>16296</v>
      </c>
      <c r="D111" s="20">
        <v>9684</v>
      </c>
      <c r="E111" s="3" t="s">
        <v>78</v>
      </c>
      <c r="F111" s="44" t="s">
        <v>799</v>
      </c>
      <c r="H111" s="3">
        <v>675</v>
      </c>
      <c r="U111" s="3"/>
      <c r="V111" s="3"/>
      <c r="AS111" s="22">
        <f t="shared" si="5"/>
        <v>675</v>
      </c>
      <c r="AT111" s="3">
        <v>603.1</v>
      </c>
      <c r="AU111" s="3">
        <v>71.900000000000006</v>
      </c>
      <c r="BD111" s="3"/>
      <c r="BE111" s="3"/>
      <c r="CE111" s="22">
        <f t="shared" si="8"/>
        <v>675</v>
      </c>
      <c r="CF111" s="3">
        <f t="shared" si="6"/>
        <v>0</v>
      </c>
      <c r="CG111" s="17">
        <f t="shared" si="7"/>
        <v>9684</v>
      </c>
      <c r="CH111" s="3" t="str">
        <f t="shared" si="7"/>
        <v>برنامج دولى</v>
      </c>
    </row>
    <row r="112" spans="3:86" x14ac:dyDescent="0.25">
      <c r="C112" s="11">
        <v>16297</v>
      </c>
      <c r="D112" s="20">
        <v>9685</v>
      </c>
      <c r="E112" s="3" t="s">
        <v>78</v>
      </c>
      <c r="F112" s="44" t="s">
        <v>799</v>
      </c>
      <c r="H112" s="3">
        <v>4450</v>
      </c>
      <c r="U112" s="3"/>
      <c r="V112" s="3"/>
      <c r="AS112" s="22">
        <f t="shared" si="5"/>
        <v>4450</v>
      </c>
      <c r="AT112" s="3">
        <v>3974.8</v>
      </c>
      <c r="AU112" s="3">
        <v>475.2</v>
      </c>
      <c r="BD112" s="3"/>
      <c r="BE112" s="3"/>
      <c r="CE112" s="22">
        <f t="shared" si="8"/>
        <v>4450</v>
      </c>
      <c r="CF112" s="3">
        <f t="shared" si="6"/>
        <v>0</v>
      </c>
      <c r="CG112" s="17">
        <f t="shared" si="7"/>
        <v>9685</v>
      </c>
      <c r="CH112" s="3" t="str">
        <f t="shared" si="7"/>
        <v>برنامج دولى</v>
      </c>
    </row>
    <row r="113" spans="3:86" x14ac:dyDescent="0.25">
      <c r="C113" s="11">
        <v>16298</v>
      </c>
      <c r="D113" s="20">
        <v>9686</v>
      </c>
      <c r="E113" s="3" t="s">
        <v>78</v>
      </c>
      <c r="F113" s="44" t="s">
        <v>799</v>
      </c>
      <c r="H113" s="3">
        <v>475</v>
      </c>
      <c r="U113" s="3"/>
      <c r="V113" s="3"/>
      <c r="AS113" s="22">
        <f t="shared" si="5"/>
        <v>475</v>
      </c>
      <c r="AT113" s="3">
        <v>424.7</v>
      </c>
      <c r="AU113" s="3">
        <v>50.3</v>
      </c>
      <c r="BD113" s="3"/>
      <c r="BE113" s="3"/>
      <c r="CE113" s="22">
        <f t="shared" si="8"/>
        <v>475</v>
      </c>
      <c r="CF113" s="3">
        <f t="shared" si="6"/>
        <v>0</v>
      </c>
      <c r="CG113" s="17">
        <f t="shared" si="7"/>
        <v>9686</v>
      </c>
      <c r="CH113" s="3" t="str">
        <f t="shared" si="7"/>
        <v>برنامج دولى</v>
      </c>
    </row>
    <row r="114" spans="3:86" x14ac:dyDescent="0.25">
      <c r="C114" s="11">
        <v>16299</v>
      </c>
      <c r="D114" s="20">
        <v>9687</v>
      </c>
      <c r="E114" s="3" t="s">
        <v>78</v>
      </c>
      <c r="F114" s="44" t="s">
        <v>799</v>
      </c>
      <c r="H114" s="3">
        <v>527.62</v>
      </c>
      <c r="U114" s="3"/>
      <c r="V114" s="3"/>
      <c r="AS114" s="22">
        <f t="shared" si="5"/>
        <v>527.62</v>
      </c>
      <c r="AT114" s="3">
        <v>353.2</v>
      </c>
      <c r="AU114" s="3">
        <v>47.3</v>
      </c>
      <c r="AV114" s="3">
        <v>127.12</v>
      </c>
      <c r="BD114" s="3"/>
      <c r="BE114" s="3"/>
      <c r="CE114" s="22">
        <f t="shared" si="8"/>
        <v>527.62</v>
      </c>
      <c r="CF114" s="3">
        <f t="shared" si="6"/>
        <v>0</v>
      </c>
      <c r="CG114" s="17">
        <f t="shared" si="7"/>
        <v>9687</v>
      </c>
      <c r="CH114" s="3" t="str">
        <f t="shared" si="7"/>
        <v>برنامج دولى</v>
      </c>
    </row>
    <row r="115" spans="3:86" x14ac:dyDescent="0.25">
      <c r="C115" s="11">
        <v>16300</v>
      </c>
      <c r="D115" s="20">
        <v>9688</v>
      </c>
      <c r="E115" s="3" t="s">
        <v>78</v>
      </c>
      <c r="F115" s="44" t="s">
        <v>799</v>
      </c>
      <c r="H115" s="3">
        <v>2216.44</v>
      </c>
      <c r="U115" s="3"/>
      <c r="V115" s="3"/>
      <c r="AS115" s="22">
        <f t="shared" si="5"/>
        <v>2216.44</v>
      </c>
      <c r="AT115" s="3">
        <v>1801.5</v>
      </c>
      <c r="AU115" s="3">
        <v>224.25</v>
      </c>
      <c r="AV115" s="3">
        <v>190.69</v>
      </c>
      <c r="BD115" s="3"/>
      <c r="BE115" s="3"/>
      <c r="CE115" s="22">
        <f t="shared" si="8"/>
        <v>2216.44</v>
      </c>
      <c r="CF115" s="3">
        <f t="shared" si="6"/>
        <v>0</v>
      </c>
      <c r="CG115" s="17">
        <f t="shared" si="7"/>
        <v>9688</v>
      </c>
      <c r="CH115" s="3" t="str">
        <f t="shared" si="7"/>
        <v>برنامج دولى</v>
      </c>
    </row>
    <row r="116" spans="3:86" x14ac:dyDescent="0.25">
      <c r="C116" s="11">
        <v>16301</v>
      </c>
      <c r="D116" s="20">
        <v>9689</v>
      </c>
      <c r="E116" s="3" t="s">
        <v>78</v>
      </c>
      <c r="F116" s="44" t="s">
        <v>799</v>
      </c>
      <c r="H116" s="3">
        <v>175.88</v>
      </c>
      <c r="U116" s="3"/>
      <c r="V116" s="3"/>
      <c r="AS116" s="22">
        <f t="shared" si="5"/>
        <v>175.88</v>
      </c>
      <c r="AT116" s="3">
        <v>118</v>
      </c>
      <c r="AU116" s="3">
        <v>15.5</v>
      </c>
      <c r="AV116" s="3">
        <v>42.38</v>
      </c>
      <c r="BD116" s="3"/>
      <c r="BE116" s="3"/>
      <c r="CE116" s="22">
        <f t="shared" si="8"/>
        <v>175.88</v>
      </c>
      <c r="CF116" s="3">
        <f t="shared" si="6"/>
        <v>0</v>
      </c>
      <c r="CG116" s="17">
        <f t="shared" si="7"/>
        <v>9689</v>
      </c>
      <c r="CH116" s="3" t="str">
        <f t="shared" si="7"/>
        <v>برنامج دولى</v>
      </c>
    </row>
    <row r="117" spans="3:86" x14ac:dyDescent="0.25">
      <c r="C117" s="11">
        <v>16302</v>
      </c>
      <c r="D117" s="20">
        <v>9690</v>
      </c>
      <c r="E117" s="3" t="s">
        <v>78</v>
      </c>
      <c r="F117" s="44" t="s">
        <v>799</v>
      </c>
      <c r="H117" s="3">
        <v>91586.16</v>
      </c>
      <c r="U117" s="3"/>
      <c r="V117" s="3"/>
      <c r="AS117" s="22">
        <f t="shared" si="5"/>
        <v>91586.16</v>
      </c>
      <c r="AT117" s="3">
        <v>66992.34</v>
      </c>
      <c r="AU117" s="3">
        <v>8690.1</v>
      </c>
      <c r="AV117" s="3">
        <v>15903.72</v>
      </c>
      <c r="BD117" s="3"/>
      <c r="BE117" s="3"/>
      <c r="CE117" s="22">
        <f t="shared" si="8"/>
        <v>91586.16</v>
      </c>
      <c r="CF117" s="3">
        <f t="shared" si="6"/>
        <v>0</v>
      </c>
      <c r="CG117" s="17">
        <f t="shared" si="7"/>
        <v>9690</v>
      </c>
      <c r="CH117" s="3" t="str">
        <f t="shared" si="7"/>
        <v>برنامج دولى</v>
      </c>
    </row>
    <row r="118" spans="3:86" x14ac:dyDescent="0.25">
      <c r="C118" s="11">
        <v>16303</v>
      </c>
      <c r="D118" s="20">
        <v>9691</v>
      </c>
      <c r="E118" s="3" t="s">
        <v>78</v>
      </c>
      <c r="F118" s="44" t="s">
        <v>799</v>
      </c>
      <c r="H118" s="3">
        <v>351.75</v>
      </c>
      <c r="U118" s="3"/>
      <c r="V118" s="3"/>
      <c r="AS118" s="22">
        <f t="shared" si="5"/>
        <v>351.75</v>
      </c>
      <c r="AT118" s="3">
        <v>235.55</v>
      </c>
      <c r="AU118" s="3">
        <v>31.45</v>
      </c>
      <c r="AV118" s="3">
        <v>84.75</v>
      </c>
      <c r="BD118" s="3"/>
      <c r="BE118" s="3"/>
      <c r="CE118" s="22">
        <f t="shared" si="8"/>
        <v>351.75</v>
      </c>
      <c r="CF118" s="3">
        <f t="shared" si="6"/>
        <v>0</v>
      </c>
      <c r="CG118" s="17">
        <f t="shared" si="7"/>
        <v>9691</v>
      </c>
      <c r="CH118" s="3" t="str">
        <f t="shared" si="7"/>
        <v>برنامج دولى</v>
      </c>
    </row>
    <row r="119" spans="3:86" x14ac:dyDescent="0.25">
      <c r="C119" s="11">
        <v>16304</v>
      </c>
      <c r="D119" s="20">
        <v>9692</v>
      </c>
      <c r="E119" s="3" t="s">
        <v>78</v>
      </c>
      <c r="F119" s="44" t="s">
        <v>799</v>
      </c>
      <c r="H119" s="3">
        <v>33358.9</v>
      </c>
      <c r="U119" s="3"/>
      <c r="V119" s="3"/>
      <c r="AS119" s="22">
        <f t="shared" si="5"/>
        <v>33358.9</v>
      </c>
      <c r="AT119" s="3">
        <v>26911.8</v>
      </c>
      <c r="AU119" s="3">
        <v>3320.95</v>
      </c>
      <c r="AV119" s="3">
        <v>3126.15</v>
      </c>
      <c r="BD119" s="3"/>
      <c r="BE119" s="3"/>
      <c r="CE119" s="22">
        <f t="shared" si="8"/>
        <v>33358.9</v>
      </c>
      <c r="CF119" s="3">
        <f t="shared" si="6"/>
        <v>0</v>
      </c>
      <c r="CG119" s="17">
        <f t="shared" si="7"/>
        <v>9692</v>
      </c>
      <c r="CH119" s="3" t="str">
        <f t="shared" si="7"/>
        <v>برنامج دولى</v>
      </c>
    </row>
    <row r="120" spans="3:86" x14ac:dyDescent="0.25">
      <c r="C120" s="11">
        <v>16305</v>
      </c>
      <c r="D120" s="20">
        <v>9693</v>
      </c>
      <c r="E120" s="3" t="s">
        <v>78</v>
      </c>
      <c r="F120" s="44" t="s">
        <v>799</v>
      </c>
      <c r="H120" s="3">
        <v>644.88</v>
      </c>
      <c r="U120" s="3"/>
      <c r="V120" s="3"/>
      <c r="AS120" s="22">
        <f t="shared" si="5"/>
        <v>644.88</v>
      </c>
      <c r="AT120" s="3">
        <v>431.4</v>
      </c>
      <c r="AU120" s="3">
        <v>58.1</v>
      </c>
      <c r="AV120" s="3">
        <v>155.38</v>
      </c>
      <c r="BD120" s="3"/>
      <c r="BE120" s="3"/>
      <c r="CE120" s="22">
        <f t="shared" si="8"/>
        <v>644.88</v>
      </c>
      <c r="CF120" s="3">
        <f t="shared" si="6"/>
        <v>0</v>
      </c>
      <c r="CG120" s="17">
        <f t="shared" si="7"/>
        <v>9693</v>
      </c>
      <c r="CH120" s="3" t="str">
        <f t="shared" si="7"/>
        <v>برنامج دولى</v>
      </c>
    </row>
    <row r="121" spans="3:86" x14ac:dyDescent="0.25">
      <c r="C121" s="11">
        <v>16285</v>
      </c>
      <c r="D121" s="20">
        <v>9694</v>
      </c>
      <c r="E121" s="3" t="s">
        <v>78</v>
      </c>
      <c r="F121" s="44" t="s">
        <v>799</v>
      </c>
      <c r="H121" s="3">
        <v>4407</v>
      </c>
      <c r="U121" s="3"/>
      <c r="V121" s="3"/>
      <c r="AS121" s="22">
        <f t="shared" si="5"/>
        <v>4407</v>
      </c>
      <c r="AT121" s="3">
        <v>3636.35</v>
      </c>
      <c r="AU121" s="3">
        <v>431.65</v>
      </c>
      <c r="AV121" s="3">
        <v>339</v>
      </c>
      <c r="BD121" s="3"/>
      <c r="BE121" s="3"/>
      <c r="CE121" s="22">
        <f t="shared" si="8"/>
        <v>4407</v>
      </c>
      <c r="CF121" s="3">
        <f t="shared" si="6"/>
        <v>0</v>
      </c>
      <c r="CG121" s="17">
        <f t="shared" si="7"/>
        <v>9694</v>
      </c>
      <c r="CH121" s="3" t="str">
        <f t="shared" si="7"/>
        <v>برنامج دولى</v>
      </c>
    </row>
    <row r="122" spans="3:86" x14ac:dyDescent="0.25">
      <c r="C122" s="11">
        <v>16284</v>
      </c>
      <c r="D122" s="20">
        <v>9695</v>
      </c>
      <c r="E122" s="3" t="s">
        <v>78</v>
      </c>
      <c r="F122" s="44" t="s">
        <v>799</v>
      </c>
      <c r="H122" s="3">
        <v>7928.71</v>
      </c>
      <c r="U122" s="3"/>
      <c r="V122" s="3"/>
      <c r="AS122" s="22">
        <f t="shared" si="5"/>
        <v>7928.71</v>
      </c>
      <c r="AT122" s="3">
        <v>6061.98</v>
      </c>
      <c r="AU122" s="3">
        <v>755.2</v>
      </c>
      <c r="AV122" s="3">
        <v>1111.53</v>
      </c>
      <c r="BD122" s="3"/>
      <c r="BE122" s="3"/>
      <c r="CE122" s="22">
        <f t="shared" si="8"/>
        <v>7928.7099999999991</v>
      </c>
      <c r="CF122" s="3">
        <f t="shared" si="6"/>
        <v>0</v>
      </c>
      <c r="CG122" s="17">
        <f t="shared" si="7"/>
        <v>9695</v>
      </c>
      <c r="CH122" s="3" t="str">
        <f t="shared" si="7"/>
        <v>برنامج دولى</v>
      </c>
    </row>
    <row r="123" spans="3:86" x14ac:dyDescent="0.25">
      <c r="C123" s="11">
        <v>16283</v>
      </c>
      <c r="D123" s="20">
        <v>9696</v>
      </c>
      <c r="E123" s="3" t="s">
        <v>78</v>
      </c>
      <c r="F123" s="44" t="s">
        <v>799</v>
      </c>
      <c r="H123" s="3">
        <v>300</v>
      </c>
      <c r="U123" s="3"/>
      <c r="V123" s="3"/>
      <c r="AS123" s="22">
        <f t="shared" si="5"/>
        <v>300</v>
      </c>
      <c r="AT123" s="3">
        <v>268.8</v>
      </c>
      <c r="AU123" s="3">
        <v>31.2</v>
      </c>
      <c r="BD123" s="3"/>
      <c r="BE123" s="3"/>
      <c r="CE123" s="22">
        <f t="shared" si="8"/>
        <v>300</v>
      </c>
      <c r="CF123" s="3">
        <f t="shared" si="6"/>
        <v>0</v>
      </c>
      <c r="CG123" s="17">
        <f t="shared" si="7"/>
        <v>9696</v>
      </c>
      <c r="CH123" s="3" t="str">
        <f t="shared" si="7"/>
        <v>برنامج دولى</v>
      </c>
    </row>
    <row r="124" spans="3:86" x14ac:dyDescent="0.25">
      <c r="C124" s="11">
        <v>16282</v>
      </c>
      <c r="D124" s="20">
        <v>9697</v>
      </c>
      <c r="E124" s="3" t="s">
        <v>78</v>
      </c>
      <c r="F124" s="44" t="s">
        <v>799</v>
      </c>
      <c r="H124" s="3">
        <v>234.5</v>
      </c>
      <c r="U124" s="3"/>
      <c r="V124" s="3"/>
      <c r="AS124" s="22">
        <f t="shared" si="5"/>
        <v>234.5</v>
      </c>
      <c r="AT124" s="3">
        <v>157.19999999999999</v>
      </c>
      <c r="AU124" s="3">
        <v>20.8</v>
      </c>
      <c r="AV124" s="3">
        <v>56.5</v>
      </c>
      <c r="BD124" s="3"/>
      <c r="BE124" s="3"/>
      <c r="CE124" s="22">
        <f t="shared" si="8"/>
        <v>234.5</v>
      </c>
      <c r="CF124" s="3">
        <f t="shared" si="6"/>
        <v>0</v>
      </c>
      <c r="CG124" s="17">
        <f t="shared" si="7"/>
        <v>9697</v>
      </c>
      <c r="CH124" s="3" t="str">
        <f t="shared" si="7"/>
        <v>برنامج دولى</v>
      </c>
    </row>
    <row r="125" spans="3:86" x14ac:dyDescent="0.25">
      <c r="C125" s="11">
        <v>16281</v>
      </c>
      <c r="D125" s="20">
        <v>9698</v>
      </c>
      <c r="E125" s="3" t="s">
        <v>78</v>
      </c>
      <c r="F125" s="44" t="s">
        <v>799</v>
      </c>
      <c r="H125" s="3">
        <v>100</v>
      </c>
      <c r="U125" s="3"/>
      <c r="V125" s="3"/>
      <c r="AS125" s="22">
        <f t="shared" si="5"/>
        <v>100</v>
      </c>
      <c r="AT125" s="3">
        <v>89.7</v>
      </c>
      <c r="AU125" s="3">
        <v>10.3</v>
      </c>
      <c r="BD125" s="3"/>
      <c r="BE125" s="3"/>
      <c r="CE125" s="22">
        <f t="shared" si="8"/>
        <v>100</v>
      </c>
      <c r="CF125" s="3">
        <f t="shared" si="6"/>
        <v>0</v>
      </c>
      <c r="CG125" s="17">
        <f t="shared" si="7"/>
        <v>9698</v>
      </c>
      <c r="CH125" s="3" t="str">
        <f t="shared" si="7"/>
        <v>برنامج دولى</v>
      </c>
    </row>
    <row r="126" spans="3:86" x14ac:dyDescent="0.25">
      <c r="C126" s="11">
        <v>16280</v>
      </c>
      <c r="D126" s="20">
        <v>9699</v>
      </c>
      <c r="E126" s="3" t="s">
        <v>78</v>
      </c>
      <c r="F126" s="44" t="s">
        <v>799</v>
      </c>
      <c r="H126" s="3">
        <v>234.5</v>
      </c>
      <c r="U126" s="3"/>
      <c r="V126" s="3"/>
      <c r="AS126" s="22">
        <f t="shared" si="5"/>
        <v>234.5</v>
      </c>
      <c r="AT126" s="3">
        <v>157.19999999999999</v>
      </c>
      <c r="AU126" s="3">
        <v>20.8</v>
      </c>
      <c r="AV126" s="3">
        <v>56.5</v>
      </c>
      <c r="BD126" s="3"/>
      <c r="BE126" s="3"/>
      <c r="CE126" s="22">
        <f t="shared" si="8"/>
        <v>234.5</v>
      </c>
      <c r="CF126" s="3">
        <f t="shared" si="6"/>
        <v>0</v>
      </c>
      <c r="CG126" s="17">
        <f t="shared" si="7"/>
        <v>9699</v>
      </c>
      <c r="CH126" s="3" t="str">
        <f t="shared" si="7"/>
        <v>برنامج دولى</v>
      </c>
    </row>
    <row r="127" spans="3:86" x14ac:dyDescent="0.25">
      <c r="C127" s="11">
        <v>16279</v>
      </c>
      <c r="D127" s="20">
        <v>9700</v>
      </c>
      <c r="E127" s="3" t="s">
        <v>78</v>
      </c>
      <c r="F127" s="44" t="s">
        <v>799</v>
      </c>
      <c r="H127" s="3">
        <v>762.14</v>
      </c>
      <c r="U127" s="3"/>
      <c r="V127" s="3"/>
      <c r="AS127" s="22">
        <f t="shared" si="5"/>
        <v>762.14</v>
      </c>
      <c r="AT127" s="3">
        <v>511</v>
      </c>
      <c r="AU127" s="3">
        <f>2.5+65</f>
        <v>67.5</v>
      </c>
      <c r="AV127" s="3">
        <v>183.64</v>
      </c>
      <c r="BD127" s="3"/>
      <c r="BE127" s="3"/>
      <c r="CE127" s="22">
        <f t="shared" si="8"/>
        <v>762.14</v>
      </c>
      <c r="CF127" s="3">
        <f t="shared" si="6"/>
        <v>0</v>
      </c>
      <c r="CG127" s="17">
        <f t="shared" si="7"/>
        <v>9700</v>
      </c>
      <c r="CH127" s="3" t="str">
        <f t="shared" si="7"/>
        <v>برنامج دولى</v>
      </c>
    </row>
    <row r="128" spans="3:86" x14ac:dyDescent="0.25">
      <c r="C128" s="11">
        <v>16278</v>
      </c>
      <c r="D128" s="20">
        <v>9701</v>
      </c>
      <c r="E128" s="3" t="s">
        <v>78</v>
      </c>
      <c r="F128" s="44" t="s">
        <v>799</v>
      </c>
      <c r="H128" s="3">
        <v>100</v>
      </c>
      <c r="U128" s="3"/>
      <c r="V128" s="3"/>
      <c r="AS128" s="22">
        <f t="shared" si="5"/>
        <v>100</v>
      </c>
      <c r="AT128" s="3">
        <v>89.7</v>
      </c>
      <c r="AU128" s="3">
        <v>10.3</v>
      </c>
      <c r="BD128" s="3"/>
      <c r="BE128" s="3"/>
      <c r="CE128" s="22">
        <f t="shared" si="8"/>
        <v>100</v>
      </c>
      <c r="CF128" s="3">
        <f t="shared" si="6"/>
        <v>0</v>
      </c>
      <c r="CG128" s="17">
        <f t="shared" si="7"/>
        <v>9701</v>
      </c>
      <c r="CH128" s="3" t="str">
        <f t="shared" si="7"/>
        <v>برنامج دولى</v>
      </c>
    </row>
    <row r="129" spans="3:86" x14ac:dyDescent="0.25">
      <c r="C129" s="11">
        <v>15965</v>
      </c>
      <c r="D129" s="20">
        <v>9702</v>
      </c>
      <c r="E129" s="3" t="s">
        <v>78</v>
      </c>
      <c r="F129" s="44" t="s">
        <v>799</v>
      </c>
      <c r="H129" s="3">
        <v>450</v>
      </c>
      <c r="U129" s="3"/>
      <c r="V129" s="3"/>
      <c r="AS129" s="22">
        <f t="shared" si="5"/>
        <v>450</v>
      </c>
      <c r="AT129" s="3">
        <v>402.4</v>
      </c>
      <c r="AU129" s="3">
        <v>47.6</v>
      </c>
      <c r="BD129" s="3"/>
      <c r="BE129" s="3"/>
      <c r="CE129" s="22">
        <f t="shared" si="8"/>
        <v>450</v>
      </c>
      <c r="CF129" s="3">
        <f t="shared" si="6"/>
        <v>0</v>
      </c>
      <c r="CG129" s="17">
        <f t="shared" si="7"/>
        <v>9702</v>
      </c>
      <c r="CH129" s="3" t="str">
        <f t="shared" si="7"/>
        <v>برنامج دولى</v>
      </c>
    </row>
    <row r="130" spans="3:86" x14ac:dyDescent="0.25">
      <c r="C130" s="11">
        <v>15966</v>
      </c>
      <c r="D130" s="20">
        <v>9703</v>
      </c>
      <c r="E130" s="3" t="s">
        <v>78</v>
      </c>
      <c r="F130" s="44" t="s">
        <v>799</v>
      </c>
      <c r="H130" s="3">
        <v>4103.75</v>
      </c>
      <c r="U130" s="3"/>
      <c r="V130" s="3"/>
      <c r="AS130" s="22">
        <f t="shared" si="5"/>
        <v>4103.75</v>
      </c>
      <c r="AT130" s="3">
        <v>2747.65</v>
      </c>
      <c r="AU130" s="3">
        <f>17.35+350</f>
        <v>367.35</v>
      </c>
      <c r="AV130" s="3">
        <v>988.75</v>
      </c>
      <c r="BD130" s="3"/>
      <c r="BE130" s="3"/>
      <c r="CE130" s="22">
        <f t="shared" si="8"/>
        <v>4103.75</v>
      </c>
      <c r="CF130" s="3">
        <f t="shared" si="6"/>
        <v>0</v>
      </c>
      <c r="CG130" s="17">
        <f t="shared" si="7"/>
        <v>9703</v>
      </c>
      <c r="CH130" s="3" t="str">
        <f t="shared" si="7"/>
        <v>برنامج دولى</v>
      </c>
    </row>
    <row r="131" spans="3:86" x14ac:dyDescent="0.25">
      <c r="C131" s="11">
        <v>15967</v>
      </c>
      <c r="D131" s="20">
        <v>9704</v>
      </c>
      <c r="E131" s="3" t="s">
        <v>78</v>
      </c>
      <c r="F131" s="44" t="s">
        <v>799</v>
      </c>
      <c r="H131" s="3">
        <v>4103.75</v>
      </c>
      <c r="U131" s="3"/>
      <c r="V131" s="3"/>
      <c r="AS131" s="22">
        <f t="shared" si="5"/>
        <v>4103.75</v>
      </c>
      <c r="AT131" s="3">
        <v>2747.65</v>
      </c>
      <c r="AU131" s="3">
        <f>17.35+350</f>
        <v>367.35</v>
      </c>
      <c r="AV131" s="3">
        <v>988.75</v>
      </c>
      <c r="BD131" s="3"/>
      <c r="BE131" s="3"/>
      <c r="CE131" s="22">
        <f t="shared" si="8"/>
        <v>4103.75</v>
      </c>
      <c r="CF131" s="3">
        <f t="shared" si="6"/>
        <v>0</v>
      </c>
      <c r="CG131" s="17">
        <f t="shared" si="7"/>
        <v>9704</v>
      </c>
      <c r="CH131" s="3" t="str">
        <f t="shared" si="7"/>
        <v>برنامج دولى</v>
      </c>
    </row>
    <row r="132" spans="3:86" x14ac:dyDescent="0.25">
      <c r="C132" s="11">
        <v>15964</v>
      </c>
      <c r="D132" s="20">
        <v>9705</v>
      </c>
      <c r="E132" s="3" t="s">
        <v>78</v>
      </c>
      <c r="F132" s="44" t="s">
        <v>799</v>
      </c>
      <c r="H132" s="3">
        <v>450</v>
      </c>
      <c r="U132" s="3"/>
      <c r="V132" s="3"/>
      <c r="AS132" s="22">
        <f t="shared" si="5"/>
        <v>450</v>
      </c>
      <c r="AT132" s="3">
        <v>402.4</v>
      </c>
      <c r="AU132" s="3">
        <v>47.6</v>
      </c>
      <c r="BD132" s="3"/>
      <c r="BE132" s="3"/>
      <c r="CE132" s="22">
        <f t="shared" si="8"/>
        <v>450</v>
      </c>
      <c r="CF132" s="3">
        <f t="shared" si="6"/>
        <v>0</v>
      </c>
      <c r="CG132" s="17">
        <f t="shared" si="7"/>
        <v>9705</v>
      </c>
      <c r="CH132" s="3" t="str">
        <f t="shared" si="7"/>
        <v>برنامج دولى</v>
      </c>
    </row>
    <row r="133" spans="3:86" x14ac:dyDescent="0.25">
      <c r="C133" s="11">
        <v>16286</v>
      </c>
      <c r="D133" s="20">
        <v>9706</v>
      </c>
      <c r="E133" s="3" t="s">
        <v>78</v>
      </c>
      <c r="F133" s="44" t="s">
        <v>799</v>
      </c>
      <c r="H133" s="3">
        <v>5921.13</v>
      </c>
      <c r="U133" s="3"/>
      <c r="V133" s="3"/>
      <c r="AS133" s="22">
        <f t="shared" si="5"/>
        <v>5921.13</v>
      </c>
      <c r="AT133" s="3">
        <v>3960.05</v>
      </c>
      <c r="AU133" s="3">
        <f>29.45+505</f>
        <v>534.45000000000005</v>
      </c>
      <c r="AV133" s="3">
        <v>1426.63</v>
      </c>
      <c r="BD133" s="3"/>
      <c r="BE133" s="3"/>
      <c r="CE133" s="22">
        <f t="shared" si="8"/>
        <v>5921.13</v>
      </c>
      <c r="CF133" s="3">
        <f t="shared" si="6"/>
        <v>0</v>
      </c>
      <c r="CG133" s="17">
        <f t="shared" si="7"/>
        <v>9706</v>
      </c>
      <c r="CH133" s="3" t="str">
        <f t="shared" si="7"/>
        <v>برنامج دولى</v>
      </c>
    </row>
    <row r="134" spans="3:86" x14ac:dyDescent="0.25">
      <c r="C134" s="11">
        <v>16287</v>
      </c>
      <c r="D134" s="20">
        <v>9707</v>
      </c>
      <c r="E134" s="3" t="s">
        <v>78</v>
      </c>
      <c r="F134" s="44" t="s">
        <v>799</v>
      </c>
      <c r="H134" s="3">
        <v>205.19</v>
      </c>
      <c r="U134" s="3"/>
      <c r="V134" s="3"/>
      <c r="AS134" s="22">
        <f t="shared" si="5"/>
        <v>205.19</v>
      </c>
      <c r="AT134" s="3">
        <v>137.6</v>
      </c>
      <c r="AU134" s="3">
        <v>18.149999999999999</v>
      </c>
      <c r="AV134" s="3">
        <v>49.44</v>
      </c>
      <c r="BD134" s="3"/>
      <c r="BE134" s="3"/>
      <c r="CE134" s="22">
        <f t="shared" si="8"/>
        <v>205.19</v>
      </c>
      <c r="CF134" s="3">
        <f t="shared" si="6"/>
        <v>0</v>
      </c>
      <c r="CG134" s="17">
        <f t="shared" si="7"/>
        <v>9707</v>
      </c>
      <c r="CH134" s="3" t="str">
        <f t="shared" si="7"/>
        <v>برنامج دولى</v>
      </c>
    </row>
    <row r="135" spans="3:86" x14ac:dyDescent="0.25">
      <c r="C135" s="11">
        <v>16288</v>
      </c>
      <c r="D135" s="20">
        <v>9708</v>
      </c>
      <c r="E135" s="3" t="s">
        <v>78</v>
      </c>
      <c r="F135" s="44" t="s">
        <v>799</v>
      </c>
      <c r="H135" s="3">
        <v>703.5</v>
      </c>
      <c r="U135" s="3"/>
      <c r="V135" s="3"/>
      <c r="AS135" s="22">
        <f t="shared" si="5"/>
        <v>703.5</v>
      </c>
      <c r="AT135" s="3">
        <v>470.6</v>
      </c>
      <c r="AU135" s="3">
        <v>63.4</v>
      </c>
      <c r="AV135" s="3">
        <v>169.5</v>
      </c>
      <c r="BD135" s="3"/>
      <c r="BE135" s="3"/>
      <c r="CE135" s="22">
        <f t="shared" si="8"/>
        <v>703.5</v>
      </c>
      <c r="CF135" s="3">
        <f t="shared" si="6"/>
        <v>0</v>
      </c>
      <c r="CG135" s="17">
        <f t="shared" si="7"/>
        <v>9708</v>
      </c>
      <c r="CH135" s="3" t="str">
        <f t="shared" si="7"/>
        <v>برنامج دولى</v>
      </c>
    </row>
    <row r="136" spans="3:86" x14ac:dyDescent="0.25">
      <c r="C136" s="11">
        <v>16289</v>
      </c>
      <c r="D136" s="20">
        <v>9709</v>
      </c>
      <c r="E136" s="3" t="s">
        <v>78</v>
      </c>
      <c r="F136" s="44" t="s">
        <v>799</v>
      </c>
      <c r="H136" s="3">
        <v>225</v>
      </c>
      <c r="U136" s="3"/>
      <c r="V136" s="3"/>
      <c r="AS136" s="22">
        <f t="shared" si="5"/>
        <v>225</v>
      </c>
      <c r="AT136" s="3">
        <v>201.45</v>
      </c>
      <c r="AU136" s="3">
        <v>23.55</v>
      </c>
      <c r="BD136" s="3"/>
      <c r="BE136" s="3"/>
      <c r="CE136" s="22">
        <f t="shared" si="8"/>
        <v>225</v>
      </c>
      <c r="CF136" s="3">
        <f t="shared" si="6"/>
        <v>0</v>
      </c>
      <c r="CG136" s="17">
        <f t="shared" si="7"/>
        <v>9709</v>
      </c>
      <c r="CH136" s="3" t="str">
        <f t="shared" si="7"/>
        <v>برنامج دولى</v>
      </c>
    </row>
    <row r="137" spans="3:86" x14ac:dyDescent="0.25">
      <c r="C137" s="11">
        <v>16290</v>
      </c>
      <c r="D137" s="20">
        <v>9710</v>
      </c>
      <c r="E137" s="3" t="s">
        <v>78</v>
      </c>
      <c r="F137" s="44" t="s">
        <v>799</v>
      </c>
      <c r="H137" s="3">
        <v>700</v>
      </c>
      <c r="U137" s="3"/>
      <c r="V137" s="3"/>
      <c r="AS137" s="22">
        <f t="shared" si="5"/>
        <v>700</v>
      </c>
      <c r="AT137" s="3">
        <v>625.45000000000005</v>
      </c>
      <c r="AU137" s="3">
        <v>74.55</v>
      </c>
      <c r="BD137" s="3"/>
      <c r="BE137" s="3"/>
      <c r="CE137" s="22">
        <f t="shared" si="8"/>
        <v>700</v>
      </c>
      <c r="CF137" s="3">
        <f t="shared" si="6"/>
        <v>0</v>
      </c>
      <c r="CG137" s="17">
        <f t="shared" si="7"/>
        <v>9710</v>
      </c>
      <c r="CH137" s="3" t="str">
        <f t="shared" si="7"/>
        <v>برنامج دولى</v>
      </c>
    </row>
    <row r="138" spans="3:86" x14ac:dyDescent="0.25">
      <c r="C138" s="11">
        <v>16291</v>
      </c>
      <c r="D138" s="20">
        <v>9711</v>
      </c>
      <c r="E138" s="3" t="s">
        <v>78</v>
      </c>
      <c r="F138" s="44" t="s">
        <v>799</v>
      </c>
      <c r="H138" s="3">
        <v>2075</v>
      </c>
      <c r="U138" s="3"/>
      <c r="V138" s="3"/>
      <c r="AS138" s="22">
        <f t="shared" si="5"/>
        <v>2075</v>
      </c>
      <c r="AT138" s="3">
        <v>1854.15</v>
      </c>
      <c r="AU138" s="3">
        <v>220.85</v>
      </c>
      <c r="BD138" s="3"/>
      <c r="BE138" s="3"/>
      <c r="CE138" s="22">
        <f t="shared" si="8"/>
        <v>2075</v>
      </c>
      <c r="CF138" s="3">
        <f t="shared" si="6"/>
        <v>0</v>
      </c>
      <c r="CG138" s="17">
        <f t="shared" si="7"/>
        <v>9711</v>
      </c>
      <c r="CH138" s="3" t="str">
        <f t="shared" si="7"/>
        <v>برنامج دولى</v>
      </c>
    </row>
    <row r="139" spans="3:86" x14ac:dyDescent="0.25">
      <c r="C139" s="11">
        <v>16292</v>
      </c>
      <c r="D139" s="20">
        <v>9712</v>
      </c>
      <c r="E139" s="3" t="s">
        <v>78</v>
      </c>
      <c r="F139" s="44" t="s">
        <v>799</v>
      </c>
      <c r="H139" s="3">
        <v>87.94</v>
      </c>
      <c r="U139" s="3"/>
      <c r="V139" s="3"/>
      <c r="AS139" s="22">
        <f t="shared" si="5"/>
        <v>87.94</v>
      </c>
      <c r="AT139" s="3">
        <v>59.15</v>
      </c>
      <c r="AU139" s="3">
        <v>7.6</v>
      </c>
      <c r="AV139" s="3">
        <v>21.19</v>
      </c>
      <c r="BD139" s="3"/>
      <c r="BE139" s="3"/>
      <c r="CE139" s="22">
        <f t="shared" si="8"/>
        <v>87.94</v>
      </c>
      <c r="CF139" s="3">
        <f t="shared" si="6"/>
        <v>0</v>
      </c>
      <c r="CG139" s="17">
        <f t="shared" si="7"/>
        <v>9712</v>
      </c>
      <c r="CH139" s="3" t="str">
        <f t="shared" si="7"/>
        <v>برنامج دولى</v>
      </c>
    </row>
    <row r="140" spans="3:86" x14ac:dyDescent="0.25">
      <c r="C140" s="11">
        <v>16293</v>
      </c>
      <c r="D140" s="20">
        <v>9713</v>
      </c>
      <c r="E140" s="3" t="s">
        <v>78</v>
      </c>
      <c r="F140" s="44" t="s">
        <v>799</v>
      </c>
      <c r="H140" s="3">
        <v>34472.720000000001</v>
      </c>
      <c r="U140" s="3"/>
      <c r="V140" s="3"/>
      <c r="AS140" s="22">
        <f t="shared" si="5"/>
        <v>34472.720000000001</v>
      </c>
      <c r="AT140" s="3">
        <v>26921.23</v>
      </c>
      <c r="AU140" s="3">
        <v>3379.15</v>
      </c>
      <c r="AV140" s="3">
        <v>4172.34</v>
      </c>
      <c r="BD140" s="3"/>
      <c r="BE140" s="3"/>
      <c r="CE140" s="22">
        <f t="shared" si="8"/>
        <v>34472.720000000001</v>
      </c>
      <c r="CF140" s="3">
        <f t="shared" si="6"/>
        <v>0</v>
      </c>
      <c r="CG140" s="17">
        <f t="shared" si="7"/>
        <v>9713</v>
      </c>
      <c r="CH140" s="3" t="str">
        <f t="shared" si="7"/>
        <v>برنامج دولى</v>
      </c>
    </row>
    <row r="141" spans="3:86" x14ac:dyDescent="0.25">
      <c r="C141" s="11">
        <v>16294</v>
      </c>
      <c r="D141" s="20">
        <v>9714</v>
      </c>
      <c r="E141" s="3" t="s">
        <v>78</v>
      </c>
      <c r="F141" s="44" t="s">
        <v>799</v>
      </c>
      <c r="H141" s="3">
        <v>16639.189999999999</v>
      </c>
      <c r="U141" s="3"/>
      <c r="V141" s="3"/>
      <c r="AS141" s="22">
        <f t="shared" si="5"/>
        <v>16639.189999999999</v>
      </c>
      <c r="AT141" s="3">
        <v>13897.86</v>
      </c>
      <c r="AU141" s="3">
        <v>1694.55</v>
      </c>
      <c r="AV141" s="3">
        <v>1046.78</v>
      </c>
      <c r="BD141" s="3"/>
      <c r="BE141" s="3"/>
      <c r="CE141" s="22">
        <f t="shared" si="8"/>
        <v>16639.189999999999</v>
      </c>
      <c r="CF141" s="3">
        <f t="shared" si="6"/>
        <v>0</v>
      </c>
      <c r="CG141" s="17">
        <f t="shared" si="7"/>
        <v>9714</v>
      </c>
      <c r="CH141" s="3" t="str">
        <f t="shared" si="7"/>
        <v>برنامج دولى</v>
      </c>
    </row>
    <row r="142" spans="3:86" x14ac:dyDescent="0.25">
      <c r="C142" s="11">
        <v>12766</v>
      </c>
      <c r="D142" s="20">
        <v>9715</v>
      </c>
      <c r="E142" s="3" t="s">
        <v>137</v>
      </c>
      <c r="F142" s="44" t="s">
        <v>800</v>
      </c>
      <c r="H142" s="3">
        <v>1582.86</v>
      </c>
      <c r="U142" s="3"/>
      <c r="V142" s="3"/>
      <c r="AS142" s="22">
        <f t="shared" si="5"/>
        <v>1582.86</v>
      </c>
      <c r="AT142" s="3">
        <v>992.1</v>
      </c>
      <c r="AU142" s="3">
        <v>141.9</v>
      </c>
      <c r="AV142" s="3">
        <v>381.36</v>
      </c>
      <c r="AW142" s="3">
        <v>67.5</v>
      </c>
      <c r="BD142" s="3"/>
      <c r="BE142" s="3"/>
      <c r="CE142" s="22">
        <f t="shared" si="8"/>
        <v>1582.8600000000001</v>
      </c>
      <c r="CF142" s="3">
        <f t="shared" si="6"/>
        <v>0</v>
      </c>
      <c r="CG142" s="17">
        <f t="shared" si="7"/>
        <v>9715</v>
      </c>
      <c r="CH142" s="3" t="str">
        <f t="shared" si="7"/>
        <v xml:space="preserve">خدمة عامة </v>
      </c>
    </row>
    <row r="143" spans="3:86" x14ac:dyDescent="0.25">
      <c r="C143" s="11">
        <v>12765</v>
      </c>
      <c r="D143" s="20">
        <v>9716</v>
      </c>
      <c r="E143" s="3" t="s">
        <v>137</v>
      </c>
      <c r="F143" s="44" t="s">
        <v>800</v>
      </c>
      <c r="H143" s="3">
        <v>4234.76</v>
      </c>
      <c r="U143" s="3"/>
      <c r="V143" s="3"/>
      <c r="AS143" s="22">
        <f t="shared" si="5"/>
        <v>4234.76</v>
      </c>
      <c r="AT143" s="3">
        <v>2782.65</v>
      </c>
      <c r="AU143" s="3">
        <v>391.35</v>
      </c>
      <c r="AV143" s="3">
        <v>875.76</v>
      </c>
      <c r="AW143" s="3">
        <v>185</v>
      </c>
      <c r="BD143" s="3"/>
      <c r="BE143" s="3"/>
      <c r="CE143" s="22">
        <f t="shared" si="8"/>
        <v>4234.76</v>
      </c>
      <c r="CF143" s="3">
        <f t="shared" si="6"/>
        <v>0</v>
      </c>
      <c r="CG143" s="17">
        <f t="shared" si="7"/>
        <v>9716</v>
      </c>
      <c r="CH143" s="3" t="str">
        <f t="shared" si="7"/>
        <v xml:space="preserve">خدمة عامة </v>
      </c>
    </row>
    <row r="144" spans="3:86" x14ac:dyDescent="0.25">
      <c r="C144" s="11">
        <v>12764</v>
      </c>
      <c r="D144" s="20">
        <v>9717</v>
      </c>
      <c r="E144" s="3" t="s">
        <v>137</v>
      </c>
      <c r="F144" s="44" t="s">
        <v>800</v>
      </c>
      <c r="H144" s="3">
        <v>54624.86</v>
      </c>
      <c r="U144" s="3"/>
      <c r="V144" s="3"/>
      <c r="AS144" s="22">
        <f t="shared" si="5"/>
        <v>54624.86</v>
      </c>
      <c r="AT144" s="3">
        <v>42557.8</v>
      </c>
      <c r="AU144" s="3">
        <v>5565.3</v>
      </c>
      <c r="AV144" s="3">
        <v>3889.26</v>
      </c>
      <c r="AW144" s="3">
        <v>2612.5</v>
      </c>
      <c r="BD144" s="3"/>
      <c r="BE144" s="3"/>
      <c r="CE144" s="22">
        <f t="shared" si="8"/>
        <v>54624.860000000008</v>
      </c>
      <c r="CF144" s="3">
        <f t="shared" si="6"/>
        <v>0</v>
      </c>
      <c r="CG144" s="17">
        <f t="shared" si="7"/>
        <v>9717</v>
      </c>
      <c r="CH144" s="3" t="str">
        <f t="shared" si="7"/>
        <v xml:space="preserve">خدمة عامة </v>
      </c>
    </row>
    <row r="145" spans="1:86" x14ac:dyDescent="0.25">
      <c r="A145" s="16" t="s">
        <v>367</v>
      </c>
      <c r="C145" s="11">
        <v>15982</v>
      </c>
      <c r="D145" s="20">
        <v>9718</v>
      </c>
      <c r="E145" s="3" t="s">
        <v>121</v>
      </c>
      <c r="F145" s="44" t="s">
        <v>801</v>
      </c>
      <c r="H145" s="3">
        <v>7188.69</v>
      </c>
      <c r="U145" s="3"/>
      <c r="V145" s="3"/>
      <c r="AS145" s="22">
        <f t="shared" si="5"/>
        <v>7188.69</v>
      </c>
      <c r="AT145" s="3">
        <v>6128.77</v>
      </c>
      <c r="AU145" s="3">
        <v>750.9</v>
      </c>
      <c r="AV145" s="3">
        <v>309.02</v>
      </c>
      <c r="BD145" s="3"/>
      <c r="BE145" s="3"/>
      <c r="CE145" s="22">
        <f t="shared" si="8"/>
        <v>7188.6900000000005</v>
      </c>
      <c r="CF145" s="3">
        <f t="shared" si="6"/>
        <v>0</v>
      </c>
      <c r="CG145" s="17">
        <f t="shared" si="7"/>
        <v>9718</v>
      </c>
      <c r="CH145" s="3" t="str">
        <f t="shared" si="7"/>
        <v>ماليزى اسنان</v>
      </c>
    </row>
    <row r="146" spans="1:86" x14ac:dyDescent="0.25">
      <c r="C146" s="11">
        <v>15988</v>
      </c>
      <c r="D146" s="20">
        <v>9719</v>
      </c>
      <c r="E146" s="3" t="s">
        <v>121</v>
      </c>
      <c r="F146" s="44" t="s">
        <v>802</v>
      </c>
      <c r="H146" s="3">
        <v>15000</v>
      </c>
      <c r="U146" s="3"/>
      <c r="V146" s="3"/>
      <c r="AS146" s="22">
        <f t="shared" si="5"/>
        <v>15000</v>
      </c>
      <c r="AT146" s="3">
        <v>13389.25</v>
      </c>
      <c r="AU146" s="3">
        <v>1610.75</v>
      </c>
      <c r="BD146" s="3"/>
      <c r="BE146" s="3"/>
      <c r="CE146" s="22">
        <f t="shared" si="8"/>
        <v>15000</v>
      </c>
      <c r="CF146" s="3">
        <f t="shared" si="6"/>
        <v>0</v>
      </c>
      <c r="CG146" s="17">
        <f t="shared" si="7"/>
        <v>9719</v>
      </c>
      <c r="CH146" s="3" t="str">
        <f t="shared" si="7"/>
        <v>ماليزى اسنان</v>
      </c>
    </row>
    <row r="147" spans="1:86" x14ac:dyDescent="0.25">
      <c r="C147" s="11">
        <v>15985</v>
      </c>
      <c r="D147" s="20">
        <v>9720</v>
      </c>
      <c r="E147" s="3" t="s">
        <v>121</v>
      </c>
      <c r="F147" s="44" t="s">
        <v>803</v>
      </c>
      <c r="H147" s="3">
        <v>13970</v>
      </c>
      <c r="U147" s="3"/>
      <c r="V147" s="3"/>
      <c r="AS147" s="22">
        <f t="shared" si="5"/>
        <v>13970</v>
      </c>
      <c r="AT147" s="3">
        <v>12469.65</v>
      </c>
      <c r="AU147" s="3">
        <v>1500.35</v>
      </c>
      <c r="BD147" s="3"/>
      <c r="BE147" s="3"/>
      <c r="CE147" s="22">
        <f t="shared" si="8"/>
        <v>13970</v>
      </c>
      <c r="CF147" s="3">
        <f t="shared" si="6"/>
        <v>0</v>
      </c>
      <c r="CG147" s="17">
        <f t="shared" si="7"/>
        <v>9720</v>
      </c>
      <c r="CH147" s="3" t="str">
        <f t="shared" si="7"/>
        <v>ماليزى اسنان</v>
      </c>
    </row>
    <row r="148" spans="1:86" x14ac:dyDescent="0.25">
      <c r="B148" s="3"/>
      <c r="C148" s="11">
        <v>15984</v>
      </c>
      <c r="D148" s="20">
        <v>9721</v>
      </c>
      <c r="E148" s="3" t="s">
        <v>121</v>
      </c>
      <c r="F148" s="44" t="s">
        <v>803</v>
      </c>
      <c r="H148" s="3">
        <v>6900</v>
      </c>
      <c r="U148" s="3"/>
      <c r="V148" s="3"/>
      <c r="AS148" s="22">
        <f t="shared" si="5"/>
        <v>6900</v>
      </c>
      <c r="AT148" s="3">
        <v>6159</v>
      </c>
      <c r="AU148" s="3">
        <v>741</v>
      </c>
      <c r="BD148" s="3"/>
      <c r="BE148" s="3"/>
      <c r="CE148" s="22">
        <f t="shared" si="8"/>
        <v>6900</v>
      </c>
      <c r="CF148" s="3">
        <f t="shared" si="6"/>
        <v>0</v>
      </c>
      <c r="CG148" s="17">
        <f t="shared" si="7"/>
        <v>9721</v>
      </c>
      <c r="CH148" s="3" t="str">
        <f t="shared" si="7"/>
        <v>ماليزى اسنان</v>
      </c>
    </row>
    <row r="149" spans="1:86" x14ac:dyDescent="0.25">
      <c r="B149" s="3"/>
      <c r="C149" s="11">
        <v>15986</v>
      </c>
      <c r="D149" s="20">
        <v>9722</v>
      </c>
      <c r="E149" s="3" t="s">
        <v>121</v>
      </c>
      <c r="F149" s="44" t="s">
        <v>803</v>
      </c>
      <c r="H149" s="3">
        <v>3480</v>
      </c>
      <c r="U149" s="3"/>
      <c r="V149" s="3"/>
      <c r="AS149" s="22">
        <f t="shared" si="5"/>
        <v>3480</v>
      </c>
      <c r="AT149" s="3">
        <v>3106.25</v>
      </c>
      <c r="AU149" s="3">
        <v>373.75</v>
      </c>
      <c r="BD149" s="3"/>
      <c r="BE149" s="3"/>
      <c r="CE149" s="22">
        <f t="shared" si="8"/>
        <v>3480</v>
      </c>
      <c r="CF149" s="3">
        <f t="shared" si="6"/>
        <v>0</v>
      </c>
      <c r="CG149" s="17">
        <f t="shared" si="7"/>
        <v>9722</v>
      </c>
      <c r="CH149" s="3" t="str">
        <f t="shared" si="7"/>
        <v>ماليزى اسنان</v>
      </c>
    </row>
    <row r="150" spans="1:86" x14ac:dyDescent="0.25">
      <c r="C150" s="11">
        <v>15987</v>
      </c>
      <c r="D150" s="20">
        <v>9723</v>
      </c>
      <c r="E150" s="3" t="s">
        <v>121</v>
      </c>
      <c r="F150" s="44" t="str">
        <f>+F146</f>
        <v>بيان منسقين مارس</v>
      </c>
      <c r="H150" s="3">
        <v>9414.86</v>
      </c>
      <c r="U150" s="3"/>
      <c r="V150" s="3"/>
      <c r="AS150" s="22">
        <f t="shared" si="5"/>
        <v>9414.86</v>
      </c>
      <c r="AT150" s="3">
        <v>7771.01</v>
      </c>
      <c r="AU150" s="3">
        <v>964.45</v>
      </c>
      <c r="AV150" s="3">
        <v>679.4</v>
      </c>
      <c r="BD150" s="3"/>
      <c r="BE150" s="3"/>
      <c r="CE150" s="22">
        <f t="shared" si="8"/>
        <v>9414.86</v>
      </c>
      <c r="CF150" s="3">
        <f t="shared" si="6"/>
        <v>0</v>
      </c>
      <c r="CG150" s="17">
        <f t="shared" si="7"/>
        <v>9723</v>
      </c>
      <c r="CH150" s="3" t="str">
        <f t="shared" si="7"/>
        <v>ماليزى اسنان</v>
      </c>
    </row>
    <row r="151" spans="1:86" x14ac:dyDescent="0.25">
      <c r="C151" s="11">
        <v>15989</v>
      </c>
      <c r="D151" s="20">
        <v>9724</v>
      </c>
      <c r="E151" s="3" t="s">
        <v>121</v>
      </c>
      <c r="F151" s="44" t="str">
        <f>+F150</f>
        <v>بيان منسقين مارس</v>
      </c>
      <c r="H151" s="3">
        <v>6000</v>
      </c>
      <c r="U151" s="3"/>
      <c r="V151" s="3"/>
      <c r="AS151" s="22">
        <f t="shared" si="5"/>
        <v>6000</v>
      </c>
      <c r="AT151" s="3">
        <v>5355.7</v>
      </c>
      <c r="AU151" s="3">
        <v>644.29999999999995</v>
      </c>
      <c r="BD151" s="3"/>
      <c r="BE151" s="3"/>
      <c r="CE151" s="22">
        <f t="shared" si="8"/>
        <v>6000</v>
      </c>
      <c r="CF151" s="3">
        <f t="shared" si="6"/>
        <v>0</v>
      </c>
      <c r="CG151" s="17">
        <f t="shared" si="7"/>
        <v>9724</v>
      </c>
      <c r="CH151" s="3" t="str">
        <f t="shared" si="7"/>
        <v>ماليزى اسنان</v>
      </c>
    </row>
    <row r="152" spans="1:86" ht="31.5" x14ac:dyDescent="0.25">
      <c r="C152" s="11">
        <v>15983</v>
      </c>
      <c r="D152" s="20">
        <v>9725</v>
      </c>
      <c r="E152" s="3" t="s">
        <v>121</v>
      </c>
      <c r="F152" s="45" t="s">
        <v>804</v>
      </c>
      <c r="H152" s="3">
        <v>8909.83</v>
      </c>
      <c r="U152" s="3"/>
      <c r="V152" s="3"/>
      <c r="AS152" s="22">
        <f t="shared" si="5"/>
        <v>8909.83</v>
      </c>
      <c r="AT152" s="3">
        <v>7788.86</v>
      </c>
      <c r="AU152" s="3">
        <v>941.1</v>
      </c>
      <c r="AV152" s="3">
        <v>179.87</v>
      </c>
      <c r="BD152" s="3"/>
      <c r="BE152" s="3"/>
      <c r="CE152" s="22">
        <f t="shared" si="8"/>
        <v>8909.83</v>
      </c>
      <c r="CF152" s="3">
        <f t="shared" si="6"/>
        <v>0</v>
      </c>
      <c r="CG152" s="17">
        <f t="shared" si="7"/>
        <v>9725</v>
      </c>
      <c r="CH152" s="3" t="str">
        <f t="shared" si="7"/>
        <v>ماليزى اسنان</v>
      </c>
    </row>
    <row r="153" spans="1:86" x14ac:dyDescent="0.25">
      <c r="C153" s="11">
        <v>15380</v>
      </c>
      <c r="D153" s="20">
        <v>9726</v>
      </c>
      <c r="E153" s="3" t="s">
        <v>78</v>
      </c>
      <c r="F153" s="44" t="s">
        <v>805</v>
      </c>
      <c r="H153" s="3">
        <v>7.05</v>
      </c>
      <c r="U153" s="3"/>
      <c r="V153" s="3"/>
      <c r="AS153" s="22">
        <f t="shared" si="5"/>
        <v>7.05</v>
      </c>
      <c r="AT153" s="3">
        <v>5.64</v>
      </c>
      <c r="AU153" s="3">
        <v>1.41</v>
      </c>
      <c r="BD153" s="3"/>
      <c r="BE153" s="3"/>
      <c r="CE153" s="22">
        <f t="shared" si="8"/>
        <v>7.05</v>
      </c>
      <c r="CF153" s="3">
        <f t="shared" si="6"/>
        <v>0</v>
      </c>
      <c r="CG153" s="17">
        <f t="shared" si="7"/>
        <v>9726</v>
      </c>
      <c r="CH153" s="3" t="str">
        <f t="shared" si="7"/>
        <v>برنامج دولى</v>
      </c>
    </row>
    <row r="154" spans="1:86" x14ac:dyDescent="0.25">
      <c r="C154" s="11"/>
      <c r="D154" s="20">
        <v>9727</v>
      </c>
      <c r="F154" s="44" t="s">
        <v>806</v>
      </c>
      <c r="U154" s="3"/>
      <c r="V154" s="3"/>
      <c r="AS154" s="22">
        <f t="shared" ref="AS154:AS217" si="9">SUM(H154:AQ154)</f>
        <v>0</v>
      </c>
      <c r="AT154" s="3">
        <v>0</v>
      </c>
      <c r="AU154" s="3"/>
      <c r="BD154" s="3"/>
      <c r="BE154" s="3"/>
      <c r="CE154" s="22">
        <f t="shared" si="8"/>
        <v>0</v>
      </c>
      <c r="CF154" s="3">
        <f t="shared" si="6"/>
        <v>0</v>
      </c>
      <c r="CG154" s="17">
        <f t="shared" si="7"/>
        <v>9727</v>
      </c>
      <c r="CH154" s="3">
        <f t="shared" si="7"/>
        <v>0</v>
      </c>
    </row>
    <row r="155" spans="1:86" x14ac:dyDescent="0.25">
      <c r="C155" s="11"/>
      <c r="D155" s="20">
        <v>9728</v>
      </c>
      <c r="F155" s="44" t="s">
        <v>806</v>
      </c>
      <c r="U155" s="3"/>
      <c r="V155" s="3"/>
      <c r="AS155" s="22">
        <f t="shared" si="9"/>
        <v>0</v>
      </c>
      <c r="AT155" s="3">
        <v>0</v>
      </c>
      <c r="AU155" s="3"/>
      <c r="BD155" s="3"/>
      <c r="BE155" s="3"/>
      <c r="CE155" s="22">
        <f t="shared" si="8"/>
        <v>0</v>
      </c>
      <c r="CF155" s="3">
        <f t="shared" ref="CF155:CF218" si="10">+CE155-AS155</f>
        <v>0</v>
      </c>
      <c r="CG155" s="17">
        <f t="shared" ref="CG155:CH218" si="11">+D155</f>
        <v>9728</v>
      </c>
      <c r="CH155" s="3">
        <f t="shared" si="11"/>
        <v>0</v>
      </c>
    </row>
    <row r="156" spans="1:86" x14ac:dyDescent="0.25">
      <c r="C156" s="11"/>
      <c r="D156" s="20">
        <v>9729</v>
      </c>
      <c r="F156" s="44" t="s">
        <v>806</v>
      </c>
      <c r="U156" s="3"/>
      <c r="V156" s="3"/>
      <c r="AS156" s="22">
        <f t="shared" si="9"/>
        <v>0</v>
      </c>
      <c r="AT156" s="3">
        <v>0</v>
      </c>
      <c r="AU156" s="3"/>
      <c r="BD156" s="3"/>
      <c r="BE156" s="3"/>
      <c r="CE156" s="22">
        <f t="shared" ref="CE156:CE219" si="12">SUM(AT156:CC156)</f>
        <v>0</v>
      </c>
      <c r="CF156" s="3">
        <f t="shared" si="10"/>
        <v>0</v>
      </c>
      <c r="CG156" s="17">
        <f t="shared" si="11"/>
        <v>9729</v>
      </c>
      <c r="CH156" s="3">
        <f t="shared" si="11"/>
        <v>0</v>
      </c>
    </row>
    <row r="157" spans="1:86" x14ac:dyDescent="0.25">
      <c r="C157" s="11"/>
      <c r="D157" s="20">
        <v>9730</v>
      </c>
      <c r="F157" s="44" t="s">
        <v>806</v>
      </c>
      <c r="U157" s="3"/>
      <c r="V157" s="3"/>
      <c r="AS157" s="22">
        <f t="shared" si="9"/>
        <v>0</v>
      </c>
      <c r="AT157" s="3">
        <v>0</v>
      </c>
      <c r="AU157" s="3"/>
      <c r="BD157" s="3"/>
      <c r="BE157" s="3"/>
      <c r="CE157" s="22">
        <f t="shared" si="12"/>
        <v>0</v>
      </c>
      <c r="CF157" s="3">
        <f t="shared" si="10"/>
        <v>0</v>
      </c>
      <c r="CG157" s="17">
        <f t="shared" si="11"/>
        <v>9730</v>
      </c>
      <c r="CH157" s="3">
        <f t="shared" si="11"/>
        <v>0</v>
      </c>
    </row>
    <row r="158" spans="1:86" x14ac:dyDescent="0.25">
      <c r="C158" s="11"/>
      <c r="D158" s="20">
        <v>9731</v>
      </c>
      <c r="F158" s="44" t="s">
        <v>806</v>
      </c>
      <c r="U158" s="3"/>
      <c r="V158" s="3"/>
      <c r="AS158" s="22">
        <f t="shared" si="9"/>
        <v>0</v>
      </c>
      <c r="AT158" s="3">
        <v>0</v>
      </c>
      <c r="AU158" s="3"/>
      <c r="BD158" s="3"/>
      <c r="BE158" s="3"/>
      <c r="CE158" s="22">
        <f t="shared" si="12"/>
        <v>0</v>
      </c>
      <c r="CF158" s="3">
        <f t="shared" si="10"/>
        <v>0</v>
      </c>
      <c r="CG158" s="17">
        <f t="shared" si="11"/>
        <v>9731</v>
      </c>
      <c r="CH158" s="3">
        <f t="shared" si="11"/>
        <v>0</v>
      </c>
    </row>
    <row r="159" spans="1:86" x14ac:dyDescent="0.25">
      <c r="B159" s="17" t="s">
        <v>807</v>
      </c>
      <c r="C159" s="11"/>
      <c r="D159" s="20">
        <v>9732</v>
      </c>
      <c r="F159" s="44" t="s">
        <v>806</v>
      </c>
      <c r="U159" s="3"/>
      <c r="V159" s="3"/>
      <c r="AS159" s="22">
        <f t="shared" si="9"/>
        <v>0</v>
      </c>
      <c r="AT159" s="3">
        <v>0</v>
      </c>
      <c r="AU159" s="3"/>
      <c r="BD159" s="3"/>
      <c r="BE159" s="3"/>
      <c r="CE159" s="22">
        <f t="shared" si="12"/>
        <v>0</v>
      </c>
      <c r="CF159" s="3">
        <f t="shared" si="10"/>
        <v>0</v>
      </c>
      <c r="CG159" s="17">
        <f t="shared" si="11"/>
        <v>9732</v>
      </c>
      <c r="CH159" s="3">
        <f t="shared" si="11"/>
        <v>0</v>
      </c>
    </row>
    <row r="160" spans="1:86" x14ac:dyDescent="0.25">
      <c r="C160" s="11"/>
      <c r="D160" s="20">
        <v>9733</v>
      </c>
      <c r="F160" s="44" t="s">
        <v>806</v>
      </c>
      <c r="U160" s="3"/>
      <c r="V160" s="3"/>
      <c r="AS160" s="22">
        <f t="shared" si="9"/>
        <v>0</v>
      </c>
      <c r="AT160" s="3">
        <v>0</v>
      </c>
      <c r="AU160" s="3"/>
      <c r="BD160" s="3"/>
      <c r="BE160" s="3"/>
      <c r="CE160" s="22">
        <f t="shared" si="12"/>
        <v>0</v>
      </c>
      <c r="CF160" s="3">
        <f t="shared" si="10"/>
        <v>0</v>
      </c>
      <c r="CG160" s="17">
        <f t="shared" si="11"/>
        <v>9733</v>
      </c>
      <c r="CH160" s="3">
        <f t="shared" si="11"/>
        <v>0</v>
      </c>
    </row>
    <row r="161" spans="2:86" x14ac:dyDescent="0.25">
      <c r="C161" s="11"/>
      <c r="D161" s="20">
        <v>9734</v>
      </c>
      <c r="F161" s="44" t="s">
        <v>806</v>
      </c>
      <c r="U161" s="3"/>
      <c r="V161" s="3"/>
      <c r="AS161" s="22">
        <f t="shared" si="9"/>
        <v>0</v>
      </c>
      <c r="AT161" s="3">
        <v>0</v>
      </c>
      <c r="AU161" s="3"/>
      <c r="BD161" s="3"/>
      <c r="BE161" s="3"/>
      <c r="CE161" s="22">
        <f t="shared" si="12"/>
        <v>0</v>
      </c>
      <c r="CF161" s="3">
        <f t="shared" si="10"/>
        <v>0</v>
      </c>
      <c r="CG161" s="17">
        <f t="shared" si="11"/>
        <v>9734</v>
      </c>
      <c r="CH161" s="3">
        <f t="shared" si="11"/>
        <v>0</v>
      </c>
    </row>
    <row r="162" spans="2:86" x14ac:dyDescent="0.25">
      <c r="C162" s="11"/>
      <c r="D162" s="20">
        <v>9735</v>
      </c>
      <c r="F162" s="44" t="s">
        <v>806</v>
      </c>
      <c r="U162" s="3"/>
      <c r="V162" s="3"/>
      <c r="AS162" s="22">
        <f t="shared" si="9"/>
        <v>0</v>
      </c>
      <c r="AT162" s="3">
        <v>0</v>
      </c>
      <c r="AU162" s="3"/>
      <c r="BD162" s="3"/>
      <c r="BE162" s="3"/>
      <c r="CE162" s="22">
        <f t="shared" si="12"/>
        <v>0</v>
      </c>
      <c r="CF162" s="3">
        <f t="shared" si="10"/>
        <v>0</v>
      </c>
      <c r="CG162" s="17">
        <f t="shared" si="11"/>
        <v>9735</v>
      </c>
      <c r="CH162" s="3">
        <f t="shared" si="11"/>
        <v>0</v>
      </c>
    </row>
    <row r="163" spans="2:86" x14ac:dyDescent="0.25">
      <c r="C163" s="11"/>
      <c r="D163" s="20">
        <v>9736</v>
      </c>
      <c r="F163" s="44" t="s">
        <v>806</v>
      </c>
      <c r="U163" s="3"/>
      <c r="V163" s="3"/>
      <c r="AS163" s="22">
        <f t="shared" si="9"/>
        <v>0</v>
      </c>
      <c r="AT163" s="3">
        <v>0</v>
      </c>
      <c r="AU163" s="3"/>
      <c r="BD163" s="3"/>
      <c r="BE163" s="3"/>
      <c r="CE163" s="22">
        <f t="shared" si="12"/>
        <v>0</v>
      </c>
      <c r="CF163" s="3">
        <f t="shared" si="10"/>
        <v>0</v>
      </c>
      <c r="CG163" s="17">
        <f t="shared" si="11"/>
        <v>9736</v>
      </c>
      <c r="CH163" s="3">
        <f t="shared" si="11"/>
        <v>0</v>
      </c>
    </row>
    <row r="164" spans="2:86" x14ac:dyDescent="0.25">
      <c r="C164" s="11">
        <v>15373</v>
      </c>
      <c r="D164" s="20">
        <v>9737</v>
      </c>
      <c r="E164" s="3" t="s">
        <v>132</v>
      </c>
      <c r="F164" s="44" t="s">
        <v>808</v>
      </c>
      <c r="H164" s="3">
        <v>800</v>
      </c>
      <c r="U164" s="3"/>
      <c r="V164" s="3"/>
      <c r="AS164" s="22">
        <f t="shared" si="9"/>
        <v>800</v>
      </c>
      <c r="AT164" s="3">
        <v>714.75</v>
      </c>
      <c r="AU164" s="3">
        <v>85.25</v>
      </c>
      <c r="BD164" s="3"/>
      <c r="BE164" s="3"/>
      <c r="CE164" s="22">
        <f t="shared" si="12"/>
        <v>800</v>
      </c>
      <c r="CF164" s="3">
        <f t="shared" si="10"/>
        <v>0</v>
      </c>
      <c r="CG164" s="17">
        <f t="shared" si="11"/>
        <v>9737</v>
      </c>
      <c r="CH164" s="3" t="str">
        <f t="shared" si="11"/>
        <v>صيدلة اكلينيكى</v>
      </c>
    </row>
    <row r="165" spans="2:86" x14ac:dyDescent="0.25">
      <c r="C165" s="11">
        <v>15980</v>
      </c>
      <c r="D165" s="20">
        <v>9738</v>
      </c>
      <c r="E165" s="3" t="s">
        <v>132</v>
      </c>
      <c r="F165" s="44" t="s">
        <v>809</v>
      </c>
      <c r="H165" s="3">
        <v>2931.25</v>
      </c>
      <c r="U165" s="3"/>
      <c r="V165" s="3"/>
      <c r="AS165" s="22">
        <f t="shared" si="9"/>
        <v>2931.25</v>
      </c>
      <c r="AT165" s="3">
        <v>1958.654</v>
      </c>
      <c r="AU165" s="3">
        <v>266.35000000000002</v>
      </c>
      <c r="AV165" s="3">
        <v>706.25</v>
      </c>
      <c r="BD165" s="3"/>
      <c r="BE165" s="3"/>
      <c r="CE165" s="22">
        <f t="shared" si="12"/>
        <v>2931.2539999999999</v>
      </c>
      <c r="CF165" s="3">
        <f t="shared" si="10"/>
        <v>3.9999999999054126E-3</v>
      </c>
      <c r="CG165" s="17">
        <f t="shared" si="11"/>
        <v>9738</v>
      </c>
      <c r="CH165" s="3" t="str">
        <f t="shared" si="11"/>
        <v>صيدلة اكلينيكى</v>
      </c>
    </row>
    <row r="166" spans="2:86" x14ac:dyDescent="0.25">
      <c r="C166" s="11">
        <v>15977</v>
      </c>
      <c r="D166" s="20">
        <v>9739</v>
      </c>
      <c r="E166" s="3" t="s">
        <v>132</v>
      </c>
      <c r="F166" s="44" t="s">
        <v>810</v>
      </c>
      <c r="H166" s="3">
        <v>7000</v>
      </c>
      <c r="U166" s="3"/>
      <c r="V166" s="3"/>
      <c r="AS166" s="22">
        <f t="shared" si="9"/>
        <v>7000</v>
      </c>
      <c r="AT166" s="3">
        <v>6248.2</v>
      </c>
      <c r="AU166" s="3">
        <v>751.8</v>
      </c>
      <c r="BD166" s="3"/>
      <c r="BE166" s="3"/>
      <c r="CE166" s="22">
        <f t="shared" si="12"/>
        <v>7000</v>
      </c>
      <c r="CF166" s="3">
        <f t="shared" si="10"/>
        <v>0</v>
      </c>
      <c r="CG166" s="17">
        <f t="shared" si="11"/>
        <v>9739</v>
      </c>
      <c r="CH166" s="3" t="str">
        <f t="shared" si="11"/>
        <v>صيدلة اكلينيكى</v>
      </c>
    </row>
    <row r="167" spans="2:86" x14ac:dyDescent="0.25">
      <c r="C167" s="11">
        <v>15981</v>
      </c>
      <c r="D167" s="20">
        <v>9740</v>
      </c>
      <c r="E167" s="3" t="s">
        <v>132</v>
      </c>
      <c r="F167" s="44" t="s">
        <v>811</v>
      </c>
      <c r="H167" s="3">
        <v>293.12</v>
      </c>
      <c r="U167" s="3"/>
      <c r="V167" s="3"/>
      <c r="AS167" s="22">
        <f t="shared" si="9"/>
        <v>293.12</v>
      </c>
      <c r="AT167" s="3">
        <v>196.45</v>
      </c>
      <c r="AU167" s="3">
        <v>26.05</v>
      </c>
      <c r="AV167" s="3">
        <v>70.62</v>
      </c>
      <c r="BD167" s="3"/>
      <c r="BE167" s="3"/>
      <c r="CE167" s="22">
        <f t="shared" si="12"/>
        <v>293.12</v>
      </c>
      <c r="CF167" s="3">
        <f t="shared" si="10"/>
        <v>0</v>
      </c>
      <c r="CG167" s="17">
        <f t="shared" si="11"/>
        <v>9740</v>
      </c>
      <c r="CH167" s="3" t="str">
        <f t="shared" si="11"/>
        <v>صيدلة اكلينيكى</v>
      </c>
    </row>
    <row r="168" spans="2:86" x14ac:dyDescent="0.25">
      <c r="C168" s="11">
        <v>15978</v>
      </c>
      <c r="D168" s="20">
        <v>9741</v>
      </c>
      <c r="E168" s="3" t="s">
        <v>132</v>
      </c>
      <c r="F168" s="44" t="str">
        <f>+F165</f>
        <v>ج غير عاديه مجله الكليه</v>
      </c>
      <c r="H168" s="3">
        <v>8660</v>
      </c>
      <c r="U168" s="3"/>
      <c r="V168" s="3"/>
      <c r="AS168" s="22">
        <f t="shared" si="9"/>
        <v>8660</v>
      </c>
      <c r="AT168" s="3">
        <v>7730.2</v>
      </c>
      <c r="AU168" s="3">
        <v>929.8</v>
      </c>
      <c r="BD168" s="3"/>
      <c r="BE168" s="3"/>
      <c r="CE168" s="22">
        <f t="shared" si="12"/>
        <v>8660</v>
      </c>
      <c r="CF168" s="3">
        <f t="shared" si="10"/>
        <v>0</v>
      </c>
      <c r="CG168" s="17">
        <f t="shared" si="11"/>
        <v>9741</v>
      </c>
      <c r="CH168" s="3" t="str">
        <f t="shared" si="11"/>
        <v>صيدلة اكلينيكى</v>
      </c>
    </row>
    <row r="169" spans="2:86" x14ac:dyDescent="0.25">
      <c r="C169" s="11">
        <v>15979</v>
      </c>
      <c r="D169" s="20">
        <v>9742</v>
      </c>
      <c r="E169" s="3" t="s">
        <v>132</v>
      </c>
      <c r="F169" s="44" t="s">
        <v>812</v>
      </c>
      <c r="H169" s="3">
        <v>3693.38</v>
      </c>
      <c r="U169" s="3"/>
      <c r="V169" s="3"/>
      <c r="AS169" s="22">
        <f t="shared" si="9"/>
        <v>3693.38</v>
      </c>
      <c r="AT169" s="3">
        <v>2465.25</v>
      </c>
      <c r="AU169" s="3">
        <f>315+23.25</f>
        <v>338.25</v>
      </c>
      <c r="AV169" s="3">
        <v>889.88</v>
      </c>
      <c r="BD169" s="3"/>
      <c r="BE169" s="3"/>
      <c r="CE169" s="22">
        <f t="shared" si="12"/>
        <v>3693.38</v>
      </c>
      <c r="CF169" s="3">
        <f t="shared" si="10"/>
        <v>0</v>
      </c>
      <c r="CG169" s="17">
        <f t="shared" si="11"/>
        <v>9742</v>
      </c>
      <c r="CH169" s="3" t="str">
        <f t="shared" si="11"/>
        <v>صيدلة اكلينيكى</v>
      </c>
    </row>
    <row r="170" spans="2:86" x14ac:dyDescent="0.25">
      <c r="C170" s="11">
        <v>15824</v>
      </c>
      <c r="D170" s="20">
        <v>9743</v>
      </c>
      <c r="E170" s="3" t="s">
        <v>132</v>
      </c>
      <c r="F170" s="44" t="s">
        <v>813</v>
      </c>
      <c r="H170" s="3">
        <v>703.5</v>
      </c>
      <c r="U170" s="3"/>
      <c r="V170" s="3"/>
      <c r="AS170" s="22">
        <f t="shared" si="9"/>
        <v>703.5</v>
      </c>
      <c r="AT170" s="3">
        <v>470.15</v>
      </c>
      <c r="AU170" s="3">
        <f>60+3.85</f>
        <v>63.85</v>
      </c>
      <c r="AV170" s="3">
        <v>169.5</v>
      </c>
      <c r="BD170" s="3"/>
      <c r="BE170" s="3"/>
      <c r="CE170" s="22">
        <f t="shared" si="12"/>
        <v>703.5</v>
      </c>
      <c r="CF170" s="3">
        <f t="shared" si="10"/>
        <v>0</v>
      </c>
      <c r="CG170" s="17">
        <f t="shared" si="11"/>
        <v>9743</v>
      </c>
      <c r="CH170" s="3" t="str">
        <f t="shared" si="11"/>
        <v>صيدلة اكلينيكى</v>
      </c>
    </row>
    <row r="171" spans="2:86" x14ac:dyDescent="0.25">
      <c r="B171" s="3"/>
      <c r="C171" s="11">
        <v>15823</v>
      </c>
      <c r="D171" s="20">
        <v>9744</v>
      </c>
      <c r="E171" s="3" t="s">
        <v>132</v>
      </c>
      <c r="F171" s="44" t="s">
        <v>814</v>
      </c>
      <c r="H171" s="3">
        <v>1000</v>
      </c>
      <c r="U171" s="3"/>
      <c r="V171" s="3"/>
      <c r="AS171" s="22">
        <f t="shared" si="9"/>
        <v>1000</v>
      </c>
      <c r="AT171" s="3">
        <v>893.35</v>
      </c>
      <c r="AU171" s="3">
        <v>106.65</v>
      </c>
      <c r="BD171" s="3"/>
      <c r="BE171" s="3"/>
      <c r="CE171" s="22">
        <f t="shared" si="12"/>
        <v>1000</v>
      </c>
      <c r="CF171" s="3">
        <f t="shared" si="10"/>
        <v>0</v>
      </c>
      <c r="CG171" s="17">
        <f t="shared" si="11"/>
        <v>9744</v>
      </c>
      <c r="CH171" s="3" t="str">
        <f t="shared" si="11"/>
        <v>صيدلة اكلينيكى</v>
      </c>
    </row>
    <row r="172" spans="2:86" x14ac:dyDescent="0.25">
      <c r="C172" s="11">
        <v>15751</v>
      </c>
      <c r="D172" s="20">
        <v>9745</v>
      </c>
      <c r="E172" s="3" t="s">
        <v>132</v>
      </c>
      <c r="F172" s="44" t="s">
        <v>814</v>
      </c>
      <c r="H172" s="3">
        <v>355502.83</v>
      </c>
      <c r="U172" s="3"/>
      <c r="V172" s="3"/>
      <c r="AS172" s="22">
        <f t="shared" si="9"/>
        <v>355502.83</v>
      </c>
      <c r="AT172" s="3">
        <v>311733.65000000002</v>
      </c>
      <c r="AU172" s="3">
        <v>37801.449999999997</v>
      </c>
      <c r="AV172" s="3">
        <v>5967.73</v>
      </c>
      <c r="BD172" s="3"/>
      <c r="BE172" s="3"/>
      <c r="CE172" s="22">
        <f t="shared" si="12"/>
        <v>355502.83</v>
      </c>
      <c r="CF172" s="3">
        <f t="shared" si="10"/>
        <v>0</v>
      </c>
      <c r="CG172" s="17">
        <f t="shared" si="11"/>
        <v>9745</v>
      </c>
      <c r="CH172" s="3" t="str">
        <f t="shared" si="11"/>
        <v>صيدلة اكلينيكى</v>
      </c>
    </row>
    <row r="173" spans="2:86" x14ac:dyDescent="0.25">
      <c r="C173" s="11">
        <v>15756</v>
      </c>
      <c r="D173" s="20">
        <v>9746</v>
      </c>
      <c r="E173" s="3" t="s">
        <v>132</v>
      </c>
      <c r="F173" s="44" t="s">
        <v>814</v>
      </c>
      <c r="H173" s="3">
        <v>21625.85</v>
      </c>
      <c r="U173" s="3"/>
      <c r="V173" s="3"/>
      <c r="AS173" s="22">
        <f t="shared" si="9"/>
        <v>21625.85</v>
      </c>
      <c r="AT173" s="3">
        <v>17876.7</v>
      </c>
      <c r="AU173" s="3">
        <v>2216.5</v>
      </c>
      <c r="AV173" s="3">
        <v>1532.65</v>
      </c>
      <c r="BD173" s="3"/>
      <c r="BE173" s="3"/>
      <c r="CE173" s="22">
        <f t="shared" si="12"/>
        <v>21625.850000000002</v>
      </c>
      <c r="CF173" s="3">
        <f t="shared" si="10"/>
        <v>0</v>
      </c>
      <c r="CG173" s="17">
        <f t="shared" si="11"/>
        <v>9746</v>
      </c>
      <c r="CH173" s="3" t="str">
        <f t="shared" si="11"/>
        <v>صيدلة اكلينيكى</v>
      </c>
    </row>
    <row r="174" spans="2:86" x14ac:dyDescent="0.25">
      <c r="C174" s="11">
        <v>15757</v>
      </c>
      <c r="D174" s="20">
        <v>9747</v>
      </c>
      <c r="E174" s="3" t="s">
        <v>132</v>
      </c>
      <c r="F174" s="44" t="s">
        <v>814</v>
      </c>
      <c r="H174" s="3">
        <v>20354.900000000001</v>
      </c>
      <c r="U174" s="3"/>
      <c r="V174" s="3"/>
      <c r="AS174" s="22">
        <f t="shared" si="9"/>
        <v>20354.900000000001</v>
      </c>
      <c r="AT174" s="3">
        <v>17944.150000000001</v>
      </c>
      <c r="AU174" s="3">
        <v>2173.4499999999998</v>
      </c>
      <c r="AV174" s="3">
        <v>237.3</v>
      </c>
      <c r="BD174" s="3"/>
      <c r="BE174" s="3"/>
      <c r="CE174" s="22">
        <f t="shared" si="12"/>
        <v>20354.900000000001</v>
      </c>
      <c r="CF174" s="3">
        <f t="shared" si="10"/>
        <v>0</v>
      </c>
      <c r="CG174" s="17">
        <f t="shared" si="11"/>
        <v>9747</v>
      </c>
      <c r="CH174" s="3" t="str">
        <f t="shared" si="11"/>
        <v>صيدلة اكلينيكى</v>
      </c>
    </row>
    <row r="175" spans="2:86" x14ac:dyDescent="0.25">
      <c r="C175" s="11">
        <v>15553</v>
      </c>
      <c r="D175" s="20">
        <v>9748</v>
      </c>
      <c r="E175" s="3" t="s">
        <v>132</v>
      </c>
      <c r="F175" s="44" t="s">
        <v>815</v>
      </c>
      <c r="H175" s="3">
        <v>23813.47</v>
      </c>
      <c r="U175" s="3"/>
      <c r="V175" s="3"/>
      <c r="AS175" s="22">
        <f t="shared" si="9"/>
        <v>23813.47</v>
      </c>
      <c r="AT175" s="3">
        <v>15919.9</v>
      </c>
      <c r="AU175" s="3">
        <v>2156</v>
      </c>
      <c r="AV175" s="3">
        <v>5737.57</v>
      </c>
      <c r="BD175" s="3"/>
      <c r="BE175" s="3"/>
      <c r="CE175" s="22">
        <f t="shared" si="12"/>
        <v>23813.47</v>
      </c>
      <c r="CF175" s="3">
        <f t="shared" si="10"/>
        <v>0</v>
      </c>
      <c r="CG175" s="17">
        <f t="shared" si="11"/>
        <v>9748</v>
      </c>
      <c r="CH175" s="3" t="str">
        <f t="shared" si="11"/>
        <v>صيدلة اكلينيكى</v>
      </c>
    </row>
    <row r="176" spans="2:86" x14ac:dyDescent="0.25">
      <c r="C176" s="11">
        <v>15552</v>
      </c>
      <c r="D176" s="20">
        <v>9749</v>
      </c>
      <c r="E176" s="3" t="s">
        <v>132</v>
      </c>
      <c r="F176" s="44" t="s">
        <v>815</v>
      </c>
      <c r="H176" s="3">
        <v>7035</v>
      </c>
      <c r="U176" s="3"/>
      <c r="V176" s="3"/>
      <c r="AS176" s="22">
        <f t="shared" si="9"/>
        <v>7035</v>
      </c>
      <c r="AT176" s="3">
        <v>4704.6000000000004</v>
      </c>
      <c r="AU176" s="3">
        <v>635.4</v>
      </c>
      <c r="AV176" s="3">
        <v>1695</v>
      </c>
      <c r="BD176" s="3"/>
      <c r="BE176" s="3"/>
      <c r="CE176" s="22">
        <f t="shared" si="12"/>
        <v>7035</v>
      </c>
      <c r="CF176" s="3">
        <f t="shared" si="10"/>
        <v>0</v>
      </c>
      <c r="CG176" s="17">
        <f t="shared" si="11"/>
        <v>9749</v>
      </c>
      <c r="CH176" s="3" t="str">
        <f t="shared" si="11"/>
        <v>صيدلة اكلينيكى</v>
      </c>
    </row>
    <row r="177" spans="1:86" x14ac:dyDescent="0.25">
      <c r="C177" s="11">
        <v>15551</v>
      </c>
      <c r="D177" s="20">
        <v>9750</v>
      </c>
      <c r="E177" s="3" t="s">
        <v>132</v>
      </c>
      <c r="F177" s="44" t="s">
        <v>815</v>
      </c>
      <c r="H177" s="3">
        <v>562.79999999999995</v>
      </c>
      <c r="U177" s="3"/>
      <c r="V177" s="3"/>
      <c r="AS177" s="22">
        <f t="shared" si="9"/>
        <v>562.79999999999995</v>
      </c>
      <c r="AT177" s="3">
        <v>376.75</v>
      </c>
      <c r="AU177" s="3">
        <v>50.45</v>
      </c>
      <c r="AV177" s="3">
        <v>135.6</v>
      </c>
      <c r="BD177" s="3"/>
      <c r="BE177" s="3"/>
      <c r="CE177" s="22">
        <f t="shared" si="12"/>
        <v>562.79999999999995</v>
      </c>
      <c r="CF177" s="3">
        <f t="shared" si="10"/>
        <v>0</v>
      </c>
      <c r="CG177" s="17">
        <f t="shared" si="11"/>
        <v>9750</v>
      </c>
      <c r="CH177" s="3" t="str">
        <f t="shared" si="11"/>
        <v>صيدلة اكلينيكى</v>
      </c>
    </row>
    <row r="178" spans="1:86" x14ac:dyDescent="0.25">
      <c r="C178" s="11">
        <v>15554</v>
      </c>
      <c r="D178" s="20">
        <v>9751</v>
      </c>
      <c r="E178" s="3" t="s">
        <v>132</v>
      </c>
      <c r="F178" s="44" t="s">
        <v>815</v>
      </c>
      <c r="H178" s="3">
        <v>422.1</v>
      </c>
      <c r="U178" s="3"/>
      <c r="V178" s="3"/>
      <c r="AS178" s="22">
        <f t="shared" si="9"/>
        <v>422.1</v>
      </c>
      <c r="AT178" s="3">
        <v>282.38</v>
      </c>
      <c r="AU178" s="3">
        <f>36+2.02</f>
        <v>38.020000000000003</v>
      </c>
      <c r="AV178" s="3">
        <v>101.7</v>
      </c>
      <c r="BD178" s="3"/>
      <c r="BE178" s="3"/>
      <c r="CE178" s="22">
        <f t="shared" si="12"/>
        <v>422.09999999999997</v>
      </c>
      <c r="CF178" s="3">
        <f t="shared" si="10"/>
        <v>0</v>
      </c>
      <c r="CG178" s="17">
        <f t="shared" si="11"/>
        <v>9751</v>
      </c>
      <c r="CH178" s="3" t="str">
        <f t="shared" si="11"/>
        <v>صيدلة اكلينيكى</v>
      </c>
    </row>
    <row r="179" spans="1:86" x14ac:dyDescent="0.25">
      <c r="C179" s="11">
        <v>15557</v>
      </c>
      <c r="D179" s="20">
        <v>9752</v>
      </c>
      <c r="E179" s="3" t="s">
        <v>132</v>
      </c>
      <c r="F179" s="44" t="str">
        <f>+F173</f>
        <v>مكافاه تدريس خريف</v>
      </c>
      <c r="H179" s="3">
        <v>12106.08</v>
      </c>
      <c r="U179" s="3"/>
      <c r="V179" s="3"/>
      <c r="AS179" s="22">
        <f t="shared" si="9"/>
        <v>12106.08</v>
      </c>
      <c r="AT179" s="3">
        <v>8093.25</v>
      </c>
      <c r="AU179" s="3">
        <v>1096</v>
      </c>
      <c r="AV179" s="3">
        <v>2916.83</v>
      </c>
      <c r="BD179" s="3"/>
      <c r="BE179" s="3"/>
      <c r="CE179" s="22">
        <f t="shared" si="12"/>
        <v>12106.08</v>
      </c>
      <c r="CF179" s="3">
        <f t="shared" si="10"/>
        <v>0</v>
      </c>
      <c r="CG179" s="17">
        <f t="shared" si="11"/>
        <v>9752</v>
      </c>
      <c r="CH179" s="3" t="str">
        <f t="shared" si="11"/>
        <v>صيدلة اكلينيكى</v>
      </c>
    </row>
    <row r="180" spans="1:86" x14ac:dyDescent="0.25">
      <c r="C180" s="11">
        <v>15555</v>
      </c>
      <c r="D180" s="20">
        <v>9753</v>
      </c>
      <c r="E180" s="3" t="s">
        <v>132</v>
      </c>
      <c r="F180" s="44" t="str">
        <f>+F179</f>
        <v>مكافاه تدريس خريف</v>
      </c>
      <c r="H180" s="3">
        <v>8148.88</v>
      </c>
      <c r="U180" s="3"/>
      <c r="V180" s="3"/>
      <c r="AS180" s="22">
        <f t="shared" si="9"/>
        <v>8148.88</v>
      </c>
      <c r="AT180" s="3">
        <v>5449.9</v>
      </c>
      <c r="AU180" s="3">
        <v>735.6</v>
      </c>
      <c r="AV180" s="3">
        <v>1963.38</v>
      </c>
      <c r="BD180" s="3"/>
      <c r="BE180" s="3"/>
      <c r="CE180" s="22">
        <f t="shared" si="12"/>
        <v>8148.88</v>
      </c>
      <c r="CF180" s="3">
        <f t="shared" si="10"/>
        <v>0</v>
      </c>
      <c r="CG180" s="17">
        <f t="shared" si="11"/>
        <v>9753</v>
      </c>
      <c r="CH180" s="3" t="str">
        <f t="shared" si="11"/>
        <v>صيدلة اكلينيكى</v>
      </c>
    </row>
    <row r="181" spans="1:86" ht="27" customHeight="1" x14ac:dyDescent="0.25">
      <c r="C181" s="11">
        <v>15556</v>
      </c>
      <c r="D181" s="20">
        <v>9754</v>
      </c>
      <c r="E181" s="3" t="s">
        <v>132</v>
      </c>
      <c r="F181" s="44" t="str">
        <f>+F180</f>
        <v>مكافاه تدريس خريف</v>
      </c>
      <c r="H181" s="3">
        <v>2051.88</v>
      </c>
      <c r="U181" s="3"/>
      <c r="V181" s="3"/>
      <c r="AS181" s="22">
        <f t="shared" si="9"/>
        <v>2051.88</v>
      </c>
      <c r="AT181" s="3">
        <v>1372.95</v>
      </c>
      <c r="AU181" s="3">
        <v>184.55</v>
      </c>
      <c r="AV181" s="3">
        <v>494.38</v>
      </c>
      <c r="BD181" s="3"/>
      <c r="BE181" s="3"/>
      <c r="CE181" s="22">
        <f t="shared" si="12"/>
        <v>2051.88</v>
      </c>
      <c r="CF181" s="3">
        <f t="shared" si="10"/>
        <v>0</v>
      </c>
      <c r="CG181" s="17">
        <f t="shared" si="11"/>
        <v>9754</v>
      </c>
      <c r="CH181" s="3" t="str">
        <f t="shared" si="11"/>
        <v>صيدلة اكلينيكى</v>
      </c>
    </row>
    <row r="182" spans="1:86" x14ac:dyDescent="0.25">
      <c r="C182" s="11">
        <v>15558</v>
      </c>
      <c r="D182" s="20">
        <v>9755</v>
      </c>
      <c r="E182" s="3" t="s">
        <v>132</v>
      </c>
      <c r="F182" s="44" t="s">
        <v>816</v>
      </c>
      <c r="H182" s="3">
        <v>2510.5</v>
      </c>
      <c r="U182" s="3"/>
      <c r="V182" s="3"/>
      <c r="AS182" s="22">
        <f t="shared" si="9"/>
        <v>2510.5</v>
      </c>
      <c r="AT182" s="3">
        <v>1807.34</v>
      </c>
      <c r="AU182" s="3">
        <f>180+14.66</f>
        <v>194.66</v>
      </c>
      <c r="AV182" s="3">
        <v>508.5</v>
      </c>
      <c r="BD182" s="3"/>
      <c r="BE182" s="3"/>
      <c r="CE182" s="22">
        <f t="shared" si="12"/>
        <v>2510.5</v>
      </c>
      <c r="CF182" s="3">
        <f t="shared" si="10"/>
        <v>0</v>
      </c>
      <c r="CG182" s="17">
        <f t="shared" si="11"/>
        <v>9755</v>
      </c>
      <c r="CH182" s="3" t="str">
        <f t="shared" si="11"/>
        <v>صيدلة اكلينيكى</v>
      </c>
    </row>
    <row r="183" spans="1:86" x14ac:dyDescent="0.25">
      <c r="A183" s="23"/>
      <c r="B183" s="24"/>
      <c r="C183" s="11">
        <v>15890</v>
      </c>
      <c r="D183" s="20">
        <v>9756</v>
      </c>
      <c r="E183" s="42" t="s">
        <v>119</v>
      </c>
      <c r="F183" s="44" t="s">
        <v>817</v>
      </c>
      <c r="H183" s="3">
        <v>783.3</v>
      </c>
      <c r="U183" s="3"/>
      <c r="V183" s="3"/>
      <c r="AS183" s="22">
        <f t="shared" si="9"/>
        <v>783.3</v>
      </c>
      <c r="AT183" s="3">
        <v>502.11</v>
      </c>
      <c r="AU183" s="3">
        <v>55.79</v>
      </c>
      <c r="AV183" s="3">
        <v>192.1</v>
      </c>
      <c r="AW183" s="3">
        <v>33.299999999999997</v>
      </c>
      <c r="BD183" s="3"/>
      <c r="BE183" s="3"/>
      <c r="CE183" s="22">
        <f t="shared" si="12"/>
        <v>783.3</v>
      </c>
      <c r="CF183" s="3">
        <f t="shared" si="10"/>
        <v>0</v>
      </c>
      <c r="CG183" s="17">
        <f t="shared" si="11"/>
        <v>9756</v>
      </c>
      <c r="CH183" s="3" t="str">
        <f t="shared" si="11"/>
        <v>خ ت صيدلة</v>
      </c>
    </row>
    <row r="184" spans="1:86" x14ac:dyDescent="0.25">
      <c r="C184" s="11">
        <v>15867</v>
      </c>
      <c r="D184" s="20">
        <v>9757</v>
      </c>
      <c r="E184" s="42" t="s">
        <v>119</v>
      </c>
      <c r="F184" s="44" t="s">
        <v>817</v>
      </c>
      <c r="H184" s="3">
        <v>5525.05</v>
      </c>
      <c r="U184" s="3"/>
      <c r="V184" s="3"/>
      <c r="AS184" s="22">
        <f t="shared" si="9"/>
        <v>5525.05</v>
      </c>
      <c r="AT184" s="3">
        <v>3348.37</v>
      </c>
      <c r="AU184" s="3">
        <v>609.85</v>
      </c>
      <c r="AV184" s="3">
        <v>1331.22</v>
      </c>
      <c r="AW184" s="3">
        <v>235.61</v>
      </c>
      <c r="BD184" s="3"/>
      <c r="BE184" s="3"/>
      <c r="CE184" s="22">
        <f t="shared" si="12"/>
        <v>5525.0499999999993</v>
      </c>
      <c r="CF184" s="3">
        <f t="shared" si="10"/>
        <v>0</v>
      </c>
      <c r="CG184" s="17">
        <f t="shared" si="11"/>
        <v>9757</v>
      </c>
      <c r="CH184" s="3" t="str">
        <f t="shared" si="11"/>
        <v>خ ت صيدلة</v>
      </c>
    </row>
    <row r="185" spans="1:86" x14ac:dyDescent="0.25">
      <c r="C185" s="11">
        <v>15887</v>
      </c>
      <c r="D185" s="20">
        <v>9758</v>
      </c>
      <c r="E185" s="42" t="s">
        <v>119</v>
      </c>
      <c r="F185" s="44" t="s">
        <v>817</v>
      </c>
      <c r="H185" s="3">
        <v>46.9</v>
      </c>
      <c r="U185" s="3"/>
      <c r="V185" s="3"/>
      <c r="AS185" s="22">
        <f t="shared" si="9"/>
        <v>46.9</v>
      </c>
      <c r="AT185" s="3">
        <v>32.04</v>
      </c>
      <c r="AU185" s="3">
        <v>3.56</v>
      </c>
      <c r="AV185" s="3">
        <v>11.3</v>
      </c>
      <c r="BD185" s="3"/>
      <c r="BE185" s="3"/>
      <c r="CE185" s="22">
        <f t="shared" si="12"/>
        <v>46.900000000000006</v>
      </c>
      <c r="CF185" s="3">
        <f t="shared" si="10"/>
        <v>0</v>
      </c>
      <c r="CG185" s="17">
        <f t="shared" si="11"/>
        <v>9758</v>
      </c>
      <c r="CH185" s="3" t="str">
        <f t="shared" si="11"/>
        <v>خ ت صيدلة</v>
      </c>
    </row>
    <row r="186" spans="1:86" x14ac:dyDescent="0.25">
      <c r="B186" s="3"/>
      <c r="C186" s="11">
        <v>15866</v>
      </c>
      <c r="D186" s="20">
        <v>9759</v>
      </c>
      <c r="E186" s="42" t="s">
        <v>119</v>
      </c>
      <c r="F186" s="44" t="s">
        <v>817</v>
      </c>
      <c r="H186" s="3">
        <v>46.9</v>
      </c>
      <c r="U186" s="3"/>
      <c r="V186" s="3"/>
      <c r="AS186" s="22">
        <f t="shared" si="9"/>
        <v>46.9</v>
      </c>
      <c r="AT186" s="3">
        <v>30.24</v>
      </c>
      <c r="AU186" s="3">
        <v>3.36</v>
      </c>
      <c r="AV186" s="3">
        <v>11.3</v>
      </c>
      <c r="AW186" s="3">
        <v>2</v>
      </c>
      <c r="BD186" s="3"/>
      <c r="BE186" s="3"/>
      <c r="CE186" s="22">
        <f t="shared" si="12"/>
        <v>46.900000000000006</v>
      </c>
      <c r="CF186" s="3">
        <f t="shared" si="10"/>
        <v>0</v>
      </c>
      <c r="CG186" s="17">
        <f t="shared" si="11"/>
        <v>9759</v>
      </c>
      <c r="CH186" s="3" t="str">
        <f t="shared" si="11"/>
        <v>خ ت صيدلة</v>
      </c>
    </row>
    <row r="187" spans="1:86" x14ac:dyDescent="0.25">
      <c r="C187" s="25">
        <v>15889</v>
      </c>
      <c r="D187" s="20">
        <v>9760</v>
      </c>
      <c r="E187" s="42" t="s">
        <v>119</v>
      </c>
      <c r="F187" s="3" t="s">
        <v>817</v>
      </c>
      <c r="H187" s="3">
        <v>93.8</v>
      </c>
      <c r="U187" s="3"/>
      <c r="V187" s="3"/>
      <c r="AS187" s="22">
        <f t="shared" si="9"/>
        <v>93.8</v>
      </c>
      <c r="AT187" s="3">
        <v>60.48</v>
      </c>
      <c r="AU187" s="3">
        <v>6.72</v>
      </c>
      <c r="AV187" s="3">
        <v>22.6</v>
      </c>
      <c r="AW187" s="3">
        <v>4</v>
      </c>
      <c r="BD187" s="3"/>
      <c r="BE187" s="3"/>
      <c r="CE187" s="22">
        <f t="shared" si="12"/>
        <v>93.800000000000011</v>
      </c>
      <c r="CF187" s="3">
        <f t="shared" si="10"/>
        <v>0</v>
      </c>
      <c r="CG187" s="17">
        <f t="shared" si="11"/>
        <v>9760</v>
      </c>
      <c r="CH187" s="3" t="str">
        <f t="shared" si="11"/>
        <v>خ ت صيدلة</v>
      </c>
    </row>
    <row r="188" spans="1:86" x14ac:dyDescent="0.25">
      <c r="C188" s="25">
        <v>15888</v>
      </c>
      <c r="D188" s="20">
        <v>9761</v>
      </c>
      <c r="E188" s="42" t="s">
        <v>119</v>
      </c>
      <c r="F188" s="3" t="s">
        <v>817</v>
      </c>
      <c r="H188" s="3">
        <v>949.75</v>
      </c>
      <c r="U188" s="3"/>
      <c r="V188" s="3"/>
      <c r="AS188" s="22">
        <f t="shared" si="9"/>
        <v>949.75</v>
      </c>
      <c r="AT188" s="3">
        <v>570.49</v>
      </c>
      <c r="AU188" s="3">
        <v>109.91</v>
      </c>
      <c r="AV188" s="3">
        <v>228.85</v>
      </c>
      <c r="AW188" s="3">
        <v>40.5</v>
      </c>
      <c r="BD188" s="3"/>
      <c r="BE188" s="3"/>
      <c r="CE188" s="22">
        <f t="shared" si="12"/>
        <v>949.75</v>
      </c>
      <c r="CF188" s="3">
        <f t="shared" si="10"/>
        <v>0</v>
      </c>
      <c r="CG188" s="17">
        <f t="shared" si="11"/>
        <v>9761</v>
      </c>
      <c r="CH188" s="3" t="str">
        <f t="shared" si="11"/>
        <v>خ ت صيدلة</v>
      </c>
    </row>
    <row r="189" spans="1:86" x14ac:dyDescent="0.25">
      <c r="C189" s="25">
        <v>15884</v>
      </c>
      <c r="D189" s="20">
        <v>9762</v>
      </c>
      <c r="E189" s="42" t="s">
        <v>119</v>
      </c>
      <c r="F189" s="3" t="s">
        <v>818</v>
      </c>
      <c r="H189" s="3">
        <v>586.25</v>
      </c>
      <c r="U189" s="3"/>
      <c r="V189" s="3"/>
      <c r="AS189" s="22">
        <f t="shared" si="9"/>
        <v>586.25</v>
      </c>
      <c r="AT189" s="3">
        <v>375.66</v>
      </c>
      <c r="AU189" s="3">
        <v>44.34</v>
      </c>
      <c r="AV189" s="3">
        <v>141.25</v>
      </c>
      <c r="AW189" s="3">
        <v>25</v>
      </c>
      <c r="BD189" s="3"/>
      <c r="BE189" s="3"/>
      <c r="CE189" s="22">
        <f t="shared" si="12"/>
        <v>586.25</v>
      </c>
      <c r="CF189" s="3">
        <f t="shared" si="10"/>
        <v>0</v>
      </c>
      <c r="CG189" s="17">
        <f t="shared" si="11"/>
        <v>9762</v>
      </c>
      <c r="CH189" s="3" t="str">
        <f t="shared" si="11"/>
        <v>خ ت صيدلة</v>
      </c>
    </row>
    <row r="190" spans="1:86" x14ac:dyDescent="0.25">
      <c r="C190" s="25">
        <v>15886</v>
      </c>
      <c r="D190" s="20">
        <v>9763</v>
      </c>
      <c r="E190" s="42" t="s">
        <v>119</v>
      </c>
      <c r="F190" s="3" t="s">
        <v>819</v>
      </c>
      <c r="H190" s="3">
        <v>351.75</v>
      </c>
      <c r="U190" s="3"/>
      <c r="V190" s="3"/>
      <c r="AS190" s="22">
        <f t="shared" si="9"/>
        <v>351.75</v>
      </c>
      <c r="AT190" s="3">
        <v>200.44</v>
      </c>
      <c r="AU190" s="3">
        <v>51.56</v>
      </c>
      <c r="AV190" s="3">
        <v>84.75</v>
      </c>
      <c r="AW190" s="3">
        <v>15</v>
      </c>
      <c r="BD190" s="3"/>
      <c r="BE190" s="3"/>
      <c r="CE190" s="22">
        <f t="shared" si="12"/>
        <v>351.75</v>
      </c>
      <c r="CF190" s="3">
        <f t="shared" si="10"/>
        <v>0</v>
      </c>
      <c r="CG190" s="17">
        <f t="shared" si="11"/>
        <v>9763</v>
      </c>
      <c r="CH190" s="3" t="str">
        <f t="shared" si="11"/>
        <v>خ ت صيدلة</v>
      </c>
    </row>
    <row r="191" spans="1:86" x14ac:dyDescent="0.25">
      <c r="C191" s="25">
        <v>15885</v>
      </c>
      <c r="D191" s="20">
        <v>9764</v>
      </c>
      <c r="E191" s="42" t="s">
        <v>119</v>
      </c>
      <c r="F191" s="3" t="s">
        <v>820</v>
      </c>
      <c r="H191" s="3">
        <v>1000</v>
      </c>
      <c r="U191" s="3"/>
      <c r="V191" s="3"/>
      <c r="AS191" s="22">
        <f t="shared" si="9"/>
        <v>1000</v>
      </c>
      <c r="AT191" s="3">
        <v>893.35</v>
      </c>
      <c r="AU191" s="3">
        <v>106.65</v>
      </c>
      <c r="BD191" s="3"/>
      <c r="BE191" s="3"/>
      <c r="CE191" s="22">
        <f t="shared" si="12"/>
        <v>1000</v>
      </c>
      <c r="CF191" s="3">
        <f t="shared" si="10"/>
        <v>0</v>
      </c>
      <c r="CG191" s="17">
        <f t="shared" si="11"/>
        <v>9764</v>
      </c>
      <c r="CH191" s="3" t="str">
        <f t="shared" si="11"/>
        <v>خ ت صيدلة</v>
      </c>
    </row>
    <row r="192" spans="1:86" x14ac:dyDescent="0.25">
      <c r="C192" s="25">
        <v>15943</v>
      </c>
      <c r="D192" s="20">
        <v>9765</v>
      </c>
      <c r="E192" s="42" t="s">
        <v>119</v>
      </c>
      <c r="F192" s="3" t="s">
        <v>821</v>
      </c>
      <c r="H192" s="3">
        <v>6000</v>
      </c>
      <c r="U192" s="3"/>
      <c r="V192" s="3"/>
      <c r="AS192" s="22">
        <f t="shared" si="9"/>
        <v>6000</v>
      </c>
      <c r="AT192" s="3">
        <v>4521.92</v>
      </c>
      <c r="AU192" s="3">
        <v>1178.08</v>
      </c>
      <c r="AW192" s="3">
        <v>300</v>
      </c>
      <c r="BD192" s="3"/>
      <c r="BE192" s="3"/>
      <c r="CE192" s="22">
        <f t="shared" si="12"/>
        <v>6000</v>
      </c>
      <c r="CF192" s="3">
        <f t="shared" si="10"/>
        <v>0</v>
      </c>
      <c r="CG192" s="17">
        <f t="shared" si="11"/>
        <v>9765</v>
      </c>
      <c r="CH192" s="3" t="str">
        <f t="shared" si="11"/>
        <v>خ ت صيدلة</v>
      </c>
    </row>
    <row r="193" spans="1:91" x14ac:dyDescent="0.25">
      <c r="C193" s="25">
        <v>16232</v>
      </c>
      <c r="D193" s="20">
        <v>9766</v>
      </c>
      <c r="E193" s="42" t="s">
        <v>78</v>
      </c>
      <c r="F193" s="3" t="s">
        <v>822</v>
      </c>
      <c r="H193" s="3">
        <v>600</v>
      </c>
      <c r="U193" s="3"/>
      <c r="V193" s="3"/>
      <c r="AS193" s="22">
        <f t="shared" si="9"/>
        <v>600</v>
      </c>
      <c r="AT193" s="3">
        <v>536.15</v>
      </c>
      <c r="AU193" s="3">
        <v>63.85</v>
      </c>
      <c r="BD193" s="3"/>
      <c r="BE193" s="3"/>
      <c r="CE193" s="22">
        <f t="shared" si="12"/>
        <v>600</v>
      </c>
      <c r="CF193" s="3">
        <f t="shared" si="10"/>
        <v>0</v>
      </c>
      <c r="CG193" s="17">
        <f t="shared" si="11"/>
        <v>9766</v>
      </c>
      <c r="CH193" s="3" t="str">
        <f t="shared" si="11"/>
        <v>برنامج دولى</v>
      </c>
    </row>
    <row r="194" spans="1:91" x14ac:dyDescent="0.25">
      <c r="C194" s="25">
        <v>16232</v>
      </c>
      <c r="D194" s="20">
        <v>9767</v>
      </c>
      <c r="E194" s="42" t="s">
        <v>78</v>
      </c>
      <c r="F194" s="3" t="s">
        <v>822</v>
      </c>
      <c r="H194" s="3">
        <v>600</v>
      </c>
      <c r="U194" s="3"/>
      <c r="V194" s="3"/>
      <c r="AS194" s="22">
        <f t="shared" si="9"/>
        <v>600</v>
      </c>
      <c r="AT194" s="3">
        <v>536.15</v>
      </c>
      <c r="AU194" s="3">
        <v>63.85</v>
      </c>
      <c r="BD194" s="3"/>
      <c r="BE194" s="3"/>
      <c r="CE194" s="22">
        <f t="shared" si="12"/>
        <v>600</v>
      </c>
      <c r="CF194" s="3">
        <f t="shared" si="10"/>
        <v>0</v>
      </c>
      <c r="CG194" s="17">
        <f t="shared" si="11"/>
        <v>9767</v>
      </c>
      <c r="CH194" s="3" t="str">
        <f t="shared" si="11"/>
        <v>برنامج دولى</v>
      </c>
    </row>
    <row r="195" spans="1:91" x14ac:dyDescent="0.25">
      <c r="C195" s="25">
        <v>16231</v>
      </c>
      <c r="D195" s="20">
        <v>9768</v>
      </c>
      <c r="E195" s="42" t="s">
        <v>78</v>
      </c>
      <c r="F195" s="3" t="s">
        <v>822</v>
      </c>
      <c r="H195" s="3">
        <v>600</v>
      </c>
      <c r="U195" s="3"/>
      <c r="V195" s="3"/>
      <c r="AS195" s="22">
        <f t="shared" si="9"/>
        <v>600</v>
      </c>
      <c r="AT195" s="3">
        <v>536.15</v>
      </c>
      <c r="AU195" s="3">
        <v>63.85</v>
      </c>
      <c r="BD195" s="3"/>
      <c r="BE195" s="3"/>
      <c r="CE195" s="22">
        <f t="shared" si="12"/>
        <v>600</v>
      </c>
      <c r="CF195" s="3">
        <f t="shared" si="10"/>
        <v>0</v>
      </c>
      <c r="CG195" s="17">
        <f t="shared" si="11"/>
        <v>9768</v>
      </c>
      <c r="CH195" s="3" t="str">
        <f t="shared" si="11"/>
        <v>برنامج دولى</v>
      </c>
    </row>
    <row r="196" spans="1:91" x14ac:dyDescent="0.25">
      <c r="C196" s="25">
        <v>16230</v>
      </c>
      <c r="D196" s="20">
        <v>9769</v>
      </c>
      <c r="E196" s="42" t="s">
        <v>78</v>
      </c>
      <c r="F196" s="3" t="s">
        <v>822</v>
      </c>
      <c r="H196" s="3">
        <v>1200</v>
      </c>
      <c r="U196" s="3"/>
      <c r="V196" s="3"/>
      <c r="AS196" s="22">
        <f t="shared" si="9"/>
        <v>1200</v>
      </c>
      <c r="AT196" s="3">
        <v>1072.3</v>
      </c>
      <c r="AU196" s="3">
        <v>127.7</v>
      </c>
      <c r="BD196" s="3"/>
      <c r="BE196" s="3"/>
      <c r="CE196" s="22">
        <f t="shared" si="12"/>
        <v>1200</v>
      </c>
      <c r="CF196" s="3">
        <f t="shared" si="10"/>
        <v>0</v>
      </c>
      <c r="CG196" s="17">
        <f t="shared" si="11"/>
        <v>9769</v>
      </c>
      <c r="CH196" s="3" t="str">
        <f t="shared" si="11"/>
        <v>برنامج دولى</v>
      </c>
    </row>
    <row r="197" spans="1:91" x14ac:dyDescent="0.25">
      <c r="C197" s="25">
        <v>16229</v>
      </c>
      <c r="D197" s="20">
        <v>9770</v>
      </c>
      <c r="E197" s="42" t="s">
        <v>78</v>
      </c>
      <c r="F197" s="3" t="s">
        <v>823</v>
      </c>
      <c r="H197" s="3">
        <v>325.43</v>
      </c>
      <c r="U197" s="3"/>
      <c r="V197" s="3"/>
      <c r="AS197" s="22">
        <f t="shared" si="9"/>
        <v>325.43</v>
      </c>
      <c r="AT197" s="3">
        <v>252.24</v>
      </c>
      <c r="AU197" s="3">
        <v>31.55</v>
      </c>
      <c r="AV197" s="3">
        <v>41.64</v>
      </c>
      <c r="BD197" s="3"/>
      <c r="BE197" s="3"/>
      <c r="CE197" s="22">
        <f t="shared" si="12"/>
        <v>325.43</v>
      </c>
      <c r="CF197" s="3">
        <f t="shared" si="10"/>
        <v>0</v>
      </c>
      <c r="CG197" s="17">
        <f t="shared" si="11"/>
        <v>9770</v>
      </c>
      <c r="CH197" s="3" t="str">
        <f t="shared" si="11"/>
        <v>برنامج دولى</v>
      </c>
    </row>
    <row r="198" spans="1:91" x14ac:dyDescent="0.25">
      <c r="C198" s="25">
        <v>16228</v>
      </c>
      <c r="D198" s="20">
        <v>9771</v>
      </c>
      <c r="E198" s="42" t="s">
        <v>78</v>
      </c>
      <c r="F198" s="3" t="s">
        <v>824</v>
      </c>
      <c r="H198" s="3">
        <v>1200</v>
      </c>
      <c r="U198" s="3"/>
      <c r="V198" s="3"/>
      <c r="AS198" s="22">
        <f t="shared" si="9"/>
        <v>1200</v>
      </c>
      <c r="AT198" s="3">
        <v>1013.46</v>
      </c>
      <c r="AU198" s="3">
        <v>186.54</v>
      </c>
      <c r="BD198" s="3"/>
      <c r="BE198" s="3"/>
      <c r="CE198" s="22">
        <f t="shared" si="12"/>
        <v>1200</v>
      </c>
      <c r="CF198" s="3">
        <f t="shared" si="10"/>
        <v>0</v>
      </c>
      <c r="CG198" s="17">
        <f t="shared" si="11"/>
        <v>9771</v>
      </c>
      <c r="CH198" s="3" t="str">
        <f t="shared" si="11"/>
        <v>برنامج دولى</v>
      </c>
    </row>
    <row r="199" spans="1:91" x14ac:dyDescent="0.25">
      <c r="C199" s="25">
        <v>16227</v>
      </c>
      <c r="D199" s="20">
        <v>9772</v>
      </c>
      <c r="E199" s="42" t="s">
        <v>78</v>
      </c>
      <c r="F199" s="3" t="s">
        <v>824</v>
      </c>
      <c r="H199" s="3">
        <v>7634.13</v>
      </c>
      <c r="U199" s="3"/>
      <c r="V199" s="3"/>
      <c r="AS199" s="22">
        <f t="shared" si="9"/>
        <v>7634.13</v>
      </c>
      <c r="AT199" s="3">
        <v>5852.14</v>
      </c>
      <c r="AU199" s="3">
        <v>743.5</v>
      </c>
      <c r="AV199" s="3">
        <v>1038.49</v>
      </c>
      <c r="BD199" s="3"/>
      <c r="BE199" s="3"/>
      <c r="CE199" s="22">
        <f t="shared" si="12"/>
        <v>7634.13</v>
      </c>
      <c r="CF199" s="3">
        <f t="shared" si="10"/>
        <v>0</v>
      </c>
      <c r="CG199" s="17">
        <f t="shared" si="11"/>
        <v>9772</v>
      </c>
      <c r="CH199" s="3" t="str">
        <f t="shared" si="11"/>
        <v>برنامج دولى</v>
      </c>
    </row>
    <row r="200" spans="1:91" x14ac:dyDescent="0.25">
      <c r="C200" s="25">
        <v>16226</v>
      </c>
      <c r="D200" s="20">
        <v>9773</v>
      </c>
      <c r="E200" s="42" t="s">
        <v>78</v>
      </c>
      <c r="F200" s="3" t="s">
        <v>824</v>
      </c>
      <c r="H200" s="3">
        <v>3093.2</v>
      </c>
      <c r="U200" s="3"/>
      <c r="V200" s="3"/>
      <c r="AS200" s="22">
        <f t="shared" si="9"/>
        <v>3093.2</v>
      </c>
      <c r="AT200" s="3">
        <v>2314.13</v>
      </c>
      <c r="AU200" s="3">
        <v>298.89999999999998</v>
      </c>
      <c r="AV200" s="3">
        <v>480.17</v>
      </c>
      <c r="BD200" s="3"/>
      <c r="BE200" s="3"/>
      <c r="CE200" s="22">
        <f t="shared" si="12"/>
        <v>3093.2000000000003</v>
      </c>
      <c r="CF200" s="3">
        <f t="shared" si="10"/>
        <v>0</v>
      </c>
      <c r="CG200" s="17">
        <f t="shared" si="11"/>
        <v>9773</v>
      </c>
      <c r="CH200" s="3" t="str">
        <f t="shared" si="11"/>
        <v>برنامج دولى</v>
      </c>
    </row>
    <row r="201" spans="1:91" x14ac:dyDescent="0.25">
      <c r="C201" s="25">
        <v>16225</v>
      </c>
      <c r="D201" s="20">
        <v>9774</v>
      </c>
      <c r="E201" s="42" t="s">
        <v>78</v>
      </c>
      <c r="F201" s="3" t="s">
        <v>824</v>
      </c>
      <c r="H201" s="3">
        <v>13835.5</v>
      </c>
      <c r="U201" s="3"/>
      <c r="V201" s="3"/>
      <c r="AS201" s="22">
        <f t="shared" si="9"/>
        <v>13835.5</v>
      </c>
      <c r="AT201" s="3">
        <v>9246.9500000000007</v>
      </c>
      <c r="AU201" s="3">
        <v>1255.05</v>
      </c>
      <c r="AV201" s="3">
        <v>3333.5</v>
      </c>
      <c r="BD201" s="3"/>
      <c r="BE201" s="3"/>
      <c r="CE201" s="22">
        <f t="shared" si="12"/>
        <v>13835.5</v>
      </c>
      <c r="CF201" s="3">
        <f t="shared" si="10"/>
        <v>0</v>
      </c>
      <c r="CG201" s="17">
        <f t="shared" si="11"/>
        <v>9774</v>
      </c>
      <c r="CH201" s="3" t="str">
        <f t="shared" si="11"/>
        <v>برنامج دولى</v>
      </c>
    </row>
    <row r="202" spans="1:91" s="29" customFormat="1" x14ac:dyDescent="0.25">
      <c r="A202" s="27"/>
      <c r="B202" s="28"/>
      <c r="C202" s="46"/>
      <c r="D202" s="47"/>
      <c r="E202" s="48"/>
      <c r="F202" s="29" t="s">
        <v>825</v>
      </c>
      <c r="H202" s="29">
        <f>SUM(H26:H201)</f>
        <v>1093875.2599999998</v>
      </c>
      <c r="I202" s="29">
        <f t="shared" ref="I202:BU202" si="13">SUM(I26:I201)</f>
        <v>2030709.74</v>
      </c>
      <c r="J202" s="29">
        <f t="shared" si="13"/>
        <v>0</v>
      </c>
      <c r="K202" s="29">
        <f t="shared" si="13"/>
        <v>0</v>
      </c>
      <c r="L202" s="29">
        <f t="shared" si="13"/>
        <v>374865.08</v>
      </c>
      <c r="M202" s="29">
        <f t="shared" si="13"/>
        <v>374865.08</v>
      </c>
      <c r="N202" s="29">
        <f t="shared" si="13"/>
        <v>374865.08</v>
      </c>
      <c r="O202" s="29">
        <f t="shared" si="13"/>
        <v>0</v>
      </c>
      <c r="P202" s="29">
        <f t="shared" si="13"/>
        <v>30000</v>
      </c>
      <c r="Q202" s="29">
        <f t="shared" si="13"/>
        <v>0</v>
      </c>
      <c r="R202" s="29">
        <f t="shared" si="13"/>
        <v>0</v>
      </c>
      <c r="S202" s="29">
        <f t="shared" si="13"/>
        <v>0</v>
      </c>
      <c r="T202" s="29">
        <f t="shared" si="13"/>
        <v>0</v>
      </c>
      <c r="U202" s="29">
        <f t="shared" si="13"/>
        <v>0</v>
      </c>
      <c r="V202" s="29">
        <f t="shared" si="13"/>
        <v>0</v>
      </c>
      <c r="W202" s="29">
        <f t="shared" si="13"/>
        <v>0</v>
      </c>
      <c r="X202" s="29">
        <f t="shared" si="13"/>
        <v>0</v>
      </c>
      <c r="Y202" s="29">
        <f t="shared" si="13"/>
        <v>0</v>
      </c>
      <c r="Z202" s="29">
        <f t="shared" si="13"/>
        <v>0</v>
      </c>
      <c r="AA202" s="29">
        <f t="shared" si="13"/>
        <v>0</v>
      </c>
      <c r="AB202" s="29">
        <f t="shared" si="13"/>
        <v>27500</v>
      </c>
      <c r="AC202" s="29">
        <f t="shared" si="13"/>
        <v>0</v>
      </c>
      <c r="AD202" s="29">
        <f t="shared" si="13"/>
        <v>0</v>
      </c>
      <c r="AE202" s="29">
        <f t="shared" si="13"/>
        <v>0</v>
      </c>
      <c r="AF202" s="29">
        <f t="shared" si="13"/>
        <v>0</v>
      </c>
      <c r="AG202" s="29">
        <f t="shared" si="13"/>
        <v>0</v>
      </c>
      <c r="AH202" s="29">
        <f t="shared" si="13"/>
        <v>0</v>
      </c>
      <c r="AI202" s="29">
        <f t="shared" si="13"/>
        <v>0</v>
      </c>
      <c r="AJ202" s="29">
        <f t="shared" si="13"/>
        <v>0</v>
      </c>
      <c r="AK202" s="29">
        <f t="shared" si="13"/>
        <v>0</v>
      </c>
      <c r="AL202" s="29">
        <f t="shared" si="13"/>
        <v>0</v>
      </c>
      <c r="AM202" s="29">
        <f t="shared" si="13"/>
        <v>0</v>
      </c>
      <c r="AN202" s="29">
        <f t="shared" si="13"/>
        <v>0</v>
      </c>
      <c r="AO202" s="29">
        <f t="shared" si="13"/>
        <v>0</v>
      </c>
      <c r="AP202" s="29">
        <f t="shared" si="13"/>
        <v>0</v>
      </c>
      <c r="AQ202" s="29">
        <f t="shared" si="13"/>
        <v>0</v>
      </c>
      <c r="AS202" s="29">
        <f t="shared" si="13"/>
        <v>4306680.2399999984</v>
      </c>
      <c r="AT202" s="29">
        <f t="shared" si="13"/>
        <v>3139033.5240000007</v>
      </c>
      <c r="AU202" s="29">
        <f t="shared" si="13"/>
        <v>169553.21999999997</v>
      </c>
      <c r="AV202" s="29">
        <f t="shared" si="13"/>
        <v>103795.98000000003</v>
      </c>
      <c r="AW202" s="29">
        <f t="shared" si="13"/>
        <v>3620.4100000000003</v>
      </c>
      <c r="AX202" s="29">
        <f t="shared" si="13"/>
        <v>0</v>
      </c>
      <c r="AY202" s="29">
        <f t="shared" si="13"/>
        <v>0</v>
      </c>
      <c r="AZ202" s="29">
        <f t="shared" si="13"/>
        <v>0</v>
      </c>
      <c r="BA202" s="29">
        <f t="shared" si="13"/>
        <v>0</v>
      </c>
      <c r="BB202" s="29">
        <f t="shared" si="13"/>
        <v>0</v>
      </c>
      <c r="BC202" s="29">
        <f t="shared" si="13"/>
        <v>0</v>
      </c>
      <c r="BD202" s="29">
        <f t="shared" si="13"/>
        <v>0</v>
      </c>
      <c r="BE202" s="29">
        <f t="shared" si="13"/>
        <v>0</v>
      </c>
      <c r="BF202" s="29">
        <f t="shared" si="13"/>
        <v>0</v>
      </c>
      <c r="BG202" s="29">
        <f t="shared" si="13"/>
        <v>25483.749999999996</v>
      </c>
      <c r="BH202" s="29">
        <f t="shared" si="13"/>
        <v>1540</v>
      </c>
      <c r="BI202" s="29">
        <f t="shared" si="13"/>
        <v>6340.4</v>
      </c>
      <c r="BJ202" s="29">
        <f t="shared" si="13"/>
        <v>15042.849999999999</v>
      </c>
      <c r="BK202" s="29">
        <f t="shared" si="13"/>
        <v>33711.949999999997</v>
      </c>
      <c r="BL202" s="29">
        <f t="shared" si="13"/>
        <v>374865.08</v>
      </c>
      <c r="BM202" s="29">
        <f t="shared" si="13"/>
        <v>374865.08</v>
      </c>
      <c r="BN202" s="29">
        <f t="shared" si="13"/>
        <v>0</v>
      </c>
      <c r="BO202" s="29">
        <f t="shared" si="13"/>
        <v>30000</v>
      </c>
      <c r="BP202" s="29">
        <f t="shared" si="13"/>
        <v>0</v>
      </c>
      <c r="BQ202" s="29">
        <f t="shared" si="13"/>
        <v>0</v>
      </c>
      <c r="BR202" s="29">
        <f t="shared" si="13"/>
        <v>27500</v>
      </c>
      <c r="BS202" s="29">
        <f t="shared" si="13"/>
        <v>0</v>
      </c>
      <c r="BT202" s="29">
        <f t="shared" si="13"/>
        <v>0</v>
      </c>
      <c r="BU202" s="29">
        <f t="shared" si="13"/>
        <v>0</v>
      </c>
      <c r="BV202" s="29">
        <f t="shared" ref="BV202:CM202" si="14">SUM(BV26:BV201)</f>
        <v>0</v>
      </c>
      <c r="BW202" s="29">
        <f t="shared" si="14"/>
        <v>0</v>
      </c>
      <c r="BX202" s="29">
        <f t="shared" si="14"/>
        <v>0</v>
      </c>
      <c r="BY202" s="29">
        <f t="shared" si="14"/>
        <v>0</v>
      </c>
      <c r="BZ202" s="29">
        <f t="shared" si="14"/>
        <v>0</v>
      </c>
      <c r="CA202" s="29">
        <f t="shared" si="14"/>
        <v>0</v>
      </c>
      <c r="CB202" s="29">
        <f t="shared" si="14"/>
        <v>0</v>
      </c>
      <c r="CC202" s="29">
        <f t="shared" si="14"/>
        <v>1328</v>
      </c>
      <c r="CE202" s="29">
        <f t="shared" si="14"/>
        <v>4306680.243999999</v>
      </c>
      <c r="CF202" s="29">
        <f t="shared" si="14"/>
        <v>3.9999999999054126E-3</v>
      </c>
      <c r="CG202" s="28"/>
      <c r="CH202" s="29">
        <f t="shared" si="14"/>
        <v>0</v>
      </c>
      <c r="CI202" s="29">
        <f t="shared" si="14"/>
        <v>0</v>
      </c>
      <c r="CJ202" s="29">
        <f t="shared" si="14"/>
        <v>0</v>
      </c>
      <c r="CK202" s="29">
        <f t="shared" si="14"/>
        <v>1075.2</v>
      </c>
      <c r="CL202" s="29">
        <f t="shared" si="14"/>
        <v>0</v>
      </c>
      <c r="CM202" s="29">
        <f t="shared" si="14"/>
        <v>0</v>
      </c>
    </row>
    <row r="203" spans="1:91" x14ac:dyDescent="0.25">
      <c r="A203" s="16">
        <v>45355</v>
      </c>
      <c r="C203" s="25">
        <v>7600</v>
      </c>
      <c r="D203" s="20">
        <v>9775</v>
      </c>
      <c r="E203" s="42"/>
      <c r="F203" s="3" t="s">
        <v>826</v>
      </c>
      <c r="G203" s="18" t="s">
        <v>220</v>
      </c>
      <c r="U203" s="3"/>
      <c r="V203" s="3"/>
      <c r="AD203" s="3">
        <v>800</v>
      </c>
      <c r="AS203" s="22">
        <f t="shared" si="9"/>
        <v>800</v>
      </c>
      <c r="AT203" s="3">
        <v>800</v>
      </c>
      <c r="AU203" s="3"/>
      <c r="BD203" s="3"/>
      <c r="BE203" s="3"/>
      <c r="CE203" s="22">
        <f t="shared" si="12"/>
        <v>800</v>
      </c>
      <c r="CF203" s="3">
        <f t="shared" si="10"/>
        <v>0</v>
      </c>
      <c r="CG203" s="17">
        <f t="shared" si="11"/>
        <v>9775</v>
      </c>
      <c r="CH203" s="3">
        <f t="shared" si="11"/>
        <v>0</v>
      </c>
    </row>
    <row r="204" spans="1:91" x14ac:dyDescent="0.25">
      <c r="A204" s="16">
        <v>45355</v>
      </c>
      <c r="C204" s="25">
        <v>7619</v>
      </c>
      <c r="D204" s="20">
        <v>9776</v>
      </c>
      <c r="E204" s="42"/>
      <c r="F204" s="3" t="s">
        <v>827</v>
      </c>
      <c r="G204" s="18" t="s">
        <v>220</v>
      </c>
      <c r="U204" s="3"/>
      <c r="V204" s="3"/>
      <c r="AD204" s="3">
        <v>2667.08</v>
      </c>
      <c r="AS204" s="22">
        <f t="shared" si="9"/>
        <v>2667.08</v>
      </c>
      <c r="AT204" s="3">
        <v>2667.08</v>
      </c>
      <c r="AU204" s="3"/>
      <c r="BD204" s="3"/>
      <c r="BE204" s="3"/>
      <c r="CE204" s="22">
        <f t="shared" si="12"/>
        <v>2667.08</v>
      </c>
      <c r="CF204" s="3">
        <f t="shared" si="10"/>
        <v>0</v>
      </c>
      <c r="CG204" s="17">
        <f t="shared" si="11"/>
        <v>9776</v>
      </c>
      <c r="CH204" s="3">
        <f t="shared" si="11"/>
        <v>0</v>
      </c>
    </row>
    <row r="205" spans="1:91" x14ac:dyDescent="0.25">
      <c r="A205" s="16">
        <v>45355</v>
      </c>
      <c r="C205" s="25">
        <v>7649</v>
      </c>
      <c r="D205" s="20">
        <v>9777</v>
      </c>
      <c r="E205" s="42"/>
      <c r="F205" s="3" t="s">
        <v>828</v>
      </c>
      <c r="G205" s="18" t="s">
        <v>220</v>
      </c>
      <c r="U205" s="3"/>
      <c r="V205" s="3"/>
      <c r="AD205" s="3">
        <v>85</v>
      </c>
      <c r="AS205" s="22">
        <f t="shared" si="9"/>
        <v>85</v>
      </c>
      <c r="AT205" s="3">
        <v>85</v>
      </c>
      <c r="AU205" s="3"/>
      <c r="BD205" s="3"/>
      <c r="BE205" s="3"/>
      <c r="CE205" s="22">
        <f t="shared" si="12"/>
        <v>85</v>
      </c>
      <c r="CF205" s="3">
        <f t="shared" si="10"/>
        <v>0</v>
      </c>
      <c r="CG205" s="17">
        <f t="shared" si="11"/>
        <v>9777</v>
      </c>
      <c r="CH205" s="3">
        <f t="shared" si="11"/>
        <v>0</v>
      </c>
    </row>
    <row r="206" spans="1:91" x14ac:dyDescent="0.25">
      <c r="A206" s="16">
        <v>45355</v>
      </c>
      <c r="C206" s="25">
        <v>7622</v>
      </c>
      <c r="D206" s="20">
        <v>9778</v>
      </c>
      <c r="E206" s="42"/>
      <c r="F206" s="3" t="s">
        <v>829</v>
      </c>
      <c r="G206" s="18" t="s">
        <v>220</v>
      </c>
      <c r="U206" s="3"/>
      <c r="V206" s="3"/>
      <c r="AD206" s="3">
        <v>2</v>
      </c>
      <c r="AS206" s="22">
        <f t="shared" si="9"/>
        <v>2</v>
      </c>
      <c r="AT206" s="3">
        <v>2</v>
      </c>
      <c r="AU206" s="3"/>
      <c r="BD206" s="3"/>
      <c r="BE206" s="3"/>
      <c r="CE206" s="22">
        <f t="shared" si="12"/>
        <v>2</v>
      </c>
      <c r="CF206" s="3">
        <f t="shared" si="10"/>
        <v>0</v>
      </c>
      <c r="CG206" s="17">
        <f t="shared" si="11"/>
        <v>9778</v>
      </c>
      <c r="CH206" s="3">
        <f t="shared" si="11"/>
        <v>0</v>
      </c>
    </row>
    <row r="207" spans="1:91" x14ac:dyDescent="0.25">
      <c r="A207" s="16">
        <v>45355</v>
      </c>
      <c r="C207" s="25">
        <v>7647</v>
      </c>
      <c r="D207" s="20">
        <v>9779</v>
      </c>
      <c r="E207" s="42"/>
      <c r="F207" s="3" t="s">
        <v>830</v>
      </c>
      <c r="G207" s="18" t="s">
        <v>220</v>
      </c>
      <c r="U207" s="3"/>
      <c r="V207" s="3"/>
      <c r="AD207" s="3">
        <v>550</v>
      </c>
      <c r="AS207" s="22">
        <f t="shared" si="9"/>
        <v>550</v>
      </c>
      <c r="AT207" s="3">
        <v>550</v>
      </c>
      <c r="AU207" s="3"/>
      <c r="BD207" s="3"/>
      <c r="BE207" s="3"/>
      <c r="CE207" s="22">
        <f t="shared" si="12"/>
        <v>550</v>
      </c>
      <c r="CF207" s="3">
        <f t="shared" si="10"/>
        <v>0</v>
      </c>
      <c r="CG207" s="17">
        <f t="shared" si="11"/>
        <v>9779</v>
      </c>
      <c r="CH207" s="3">
        <f t="shared" si="11"/>
        <v>0</v>
      </c>
    </row>
    <row r="208" spans="1:91" x14ac:dyDescent="0.25">
      <c r="A208" s="16">
        <v>45355</v>
      </c>
      <c r="C208" s="25">
        <v>7646</v>
      </c>
      <c r="D208" s="20">
        <v>9780</v>
      </c>
      <c r="E208" s="42"/>
      <c r="F208" s="3" t="s">
        <v>831</v>
      </c>
      <c r="G208" s="18" t="s">
        <v>220</v>
      </c>
      <c r="U208" s="3"/>
      <c r="V208" s="3"/>
      <c r="AD208" s="3">
        <v>2</v>
      </c>
      <c r="AS208" s="22">
        <f t="shared" si="9"/>
        <v>2</v>
      </c>
      <c r="AT208" s="3">
        <v>2</v>
      </c>
      <c r="AU208" s="3"/>
      <c r="BD208" s="3"/>
      <c r="BE208" s="3"/>
      <c r="CE208" s="22">
        <f t="shared" si="12"/>
        <v>2</v>
      </c>
      <c r="CF208" s="3">
        <f t="shared" si="10"/>
        <v>0</v>
      </c>
      <c r="CG208" s="17">
        <f t="shared" si="11"/>
        <v>9780</v>
      </c>
      <c r="CH208" s="3">
        <f t="shared" si="11"/>
        <v>0</v>
      </c>
    </row>
    <row r="209" spans="1:89" x14ac:dyDescent="0.25">
      <c r="A209" s="16">
        <v>45355</v>
      </c>
      <c r="C209" s="25">
        <v>7627</v>
      </c>
      <c r="D209" s="20">
        <v>9781</v>
      </c>
      <c r="E209" s="42"/>
      <c r="F209" s="3" t="s">
        <v>832</v>
      </c>
      <c r="G209" s="18" t="s">
        <v>220</v>
      </c>
      <c r="U209" s="3"/>
      <c r="V209" s="3"/>
      <c r="AD209" s="3">
        <v>14</v>
      </c>
      <c r="AS209" s="22">
        <f t="shared" si="9"/>
        <v>14</v>
      </c>
      <c r="AT209" s="3">
        <v>14</v>
      </c>
      <c r="AU209" s="3"/>
      <c r="BD209" s="3"/>
      <c r="BE209" s="3"/>
      <c r="CE209" s="22">
        <f t="shared" si="12"/>
        <v>14</v>
      </c>
      <c r="CF209" s="3">
        <f t="shared" si="10"/>
        <v>0</v>
      </c>
      <c r="CG209" s="17">
        <f t="shared" si="11"/>
        <v>9781</v>
      </c>
      <c r="CH209" s="3">
        <f t="shared" si="11"/>
        <v>0</v>
      </c>
    </row>
    <row r="210" spans="1:89" x14ac:dyDescent="0.25">
      <c r="A210" s="16">
        <v>45355</v>
      </c>
      <c r="C210" s="25">
        <v>7639</v>
      </c>
      <c r="D210" s="20">
        <v>9782</v>
      </c>
      <c r="E210" s="42"/>
      <c r="F210" s="3" t="s">
        <v>833</v>
      </c>
      <c r="G210" s="18" t="s">
        <v>220</v>
      </c>
      <c r="U210" s="3"/>
      <c r="V210" s="3"/>
      <c r="AD210" s="3">
        <v>700</v>
      </c>
      <c r="AS210" s="22">
        <f t="shared" si="9"/>
        <v>700</v>
      </c>
      <c r="AT210" s="3">
        <v>700</v>
      </c>
      <c r="AU210" s="3"/>
      <c r="BD210" s="3"/>
      <c r="BE210" s="3"/>
      <c r="CE210" s="22">
        <f t="shared" si="12"/>
        <v>700</v>
      </c>
      <c r="CF210" s="3">
        <f t="shared" si="10"/>
        <v>0</v>
      </c>
      <c r="CG210" s="17">
        <f t="shared" si="11"/>
        <v>9782</v>
      </c>
      <c r="CH210" s="3">
        <f t="shared" si="11"/>
        <v>0</v>
      </c>
    </row>
    <row r="211" spans="1:89" x14ac:dyDescent="0.25">
      <c r="A211" s="16">
        <v>45355</v>
      </c>
      <c r="C211" s="25">
        <v>7636</v>
      </c>
      <c r="D211" s="20">
        <v>9783</v>
      </c>
      <c r="E211" s="42"/>
      <c r="F211" s="3" t="s">
        <v>834</v>
      </c>
      <c r="G211" s="18" t="s">
        <v>220</v>
      </c>
      <c r="U211" s="3"/>
      <c r="V211" s="3"/>
      <c r="AD211" s="3">
        <v>6500</v>
      </c>
      <c r="AS211" s="22">
        <f t="shared" si="9"/>
        <v>6500</v>
      </c>
      <c r="AT211" s="3">
        <v>6500</v>
      </c>
      <c r="AU211" s="3"/>
      <c r="BD211" s="3"/>
      <c r="BE211" s="3"/>
      <c r="CE211" s="22">
        <f t="shared" si="12"/>
        <v>6500</v>
      </c>
      <c r="CF211" s="3">
        <f t="shared" si="10"/>
        <v>0</v>
      </c>
      <c r="CG211" s="17">
        <f t="shared" si="11"/>
        <v>9783</v>
      </c>
      <c r="CH211" s="3">
        <f t="shared" si="11"/>
        <v>0</v>
      </c>
    </row>
    <row r="212" spans="1:89" x14ac:dyDescent="0.25">
      <c r="A212" s="16">
        <v>45355</v>
      </c>
      <c r="C212" s="25">
        <v>7638</v>
      </c>
      <c r="D212" s="20">
        <v>9784</v>
      </c>
      <c r="E212" s="42"/>
      <c r="F212" s="3" t="s">
        <v>835</v>
      </c>
      <c r="G212" s="18" t="s">
        <v>220</v>
      </c>
      <c r="U212" s="3"/>
      <c r="V212" s="3"/>
      <c r="AD212" s="3">
        <v>1177.31</v>
      </c>
      <c r="AS212" s="22">
        <f t="shared" si="9"/>
        <v>1177.31</v>
      </c>
      <c r="AT212" s="3">
        <v>1177.31</v>
      </c>
      <c r="AU212" s="3"/>
      <c r="BD212" s="3"/>
      <c r="BE212" s="3"/>
      <c r="CE212" s="22">
        <f t="shared" si="12"/>
        <v>1177.31</v>
      </c>
      <c r="CF212" s="3">
        <f t="shared" si="10"/>
        <v>0</v>
      </c>
      <c r="CG212" s="17">
        <f t="shared" si="11"/>
        <v>9784</v>
      </c>
      <c r="CH212" s="3">
        <f t="shared" si="11"/>
        <v>0</v>
      </c>
    </row>
    <row r="213" spans="1:89" x14ac:dyDescent="0.25">
      <c r="A213" s="16">
        <v>45355</v>
      </c>
      <c r="C213" s="25">
        <v>7628</v>
      </c>
      <c r="D213" s="20">
        <v>9785</v>
      </c>
      <c r="E213" s="42"/>
      <c r="F213" s="3" t="s">
        <v>836</v>
      </c>
      <c r="G213" s="18" t="s">
        <v>220</v>
      </c>
      <c r="U213" s="3"/>
      <c r="V213" s="3"/>
      <c r="AD213" s="3">
        <v>1450</v>
      </c>
      <c r="AS213" s="22">
        <f t="shared" si="9"/>
        <v>1450</v>
      </c>
      <c r="AT213" s="3">
        <v>1450</v>
      </c>
      <c r="AU213" s="3"/>
      <c r="BD213" s="3"/>
      <c r="BE213" s="3"/>
      <c r="CE213" s="22">
        <f t="shared" si="12"/>
        <v>1450</v>
      </c>
      <c r="CF213" s="3">
        <f t="shared" si="10"/>
        <v>0</v>
      </c>
      <c r="CG213" s="17">
        <f t="shared" si="11"/>
        <v>9785</v>
      </c>
      <c r="CH213" s="3">
        <f t="shared" si="11"/>
        <v>0</v>
      </c>
    </row>
    <row r="214" spans="1:89" x14ac:dyDescent="0.25">
      <c r="A214" s="16">
        <v>45355</v>
      </c>
      <c r="C214" s="25">
        <v>7633</v>
      </c>
      <c r="D214" s="20">
        <v>9786</v>
      </c>
      <c r="E214" s="42"/>
      <c r="F214" s="3" t="s">
        <v>837</v>
      </c>
      <c r="G214" s="18" t="s">
        <v>220</v>
      </c>
      <c r="U214" s="3"/>
      <c r="V214" s="3"/>
      <c r="AD214" s="3">
        <v>1205.3699999999999</v>
      </c>
      <c r="AS214" s="22">
        <f t="shared" si="9"/>
        <v>1205.3699999999999</v>
      </c>
      <c r="AT214" s="3">
        <v>1205.3699999999999</v>
      </c>
      <c r="AU214" s="3"/>
      <c r="BD214" s="3"/>
      <c r="BE214" s="3"/>
      <c r="CE214" s="22">
        <f t="shared" si="12"/>
        <v>1205.3699999999999</v>
      </c>
      <c r="CF214" s="3">
        <f t="shared" si="10"/>
        <v>0</v>
      </c>
      <c r="CG214" s="17">
        <f t="shared" si="11"/>
        <v>9786</v>
      </c>
      <c r="CH214" s="3">
        <f t="shared" si="11"/>
        <v>0</v>
      </c>
    </row>
    <row r="215" spans="1:89" x14ac:dyDescent="0.25">
      <c r="A215" s="16">
        <v>45355</v>
      </c>
      <c r="C215" s="25">
        <v>7626</v>
      </c>
      <c r="D215" s="20">
        <v>9787</v>
      </c>
      <c r="E215" s="42"/>
      <c r="F215" s="3" t="s">
        <v>838</v>
      </c>
      <c r="G215" s="18" t="s">
        <v>220</v>
      </c>
      <c r="U215" s="3"/>
      <c r="V215" s="3"/>
      <c r="AD215" s="3">
        <v>1331</v>
      </c>
      <c r="AS215" s="22">
        <f t="shared" si="9"/>
        <v>1331</v>
      </c>
      <c r="AT215" s="3">
        <v>1331</v>
      </c>
      <c r="AU215" s="3"/>
      <c r="BD215" s="3"/>
      <c r="BE215" s="3"/>
      <c r="CE215" s="22">
        <f t="shared" si="12"/>
        <v>1331</v>
      </c>
      <c r="CF215" s="3">
        <f t="shared" si="10"/>
        <v>0</v>
      </c>
      <c r="CG215" s="17">
        <f t="shared" si="11"/>
        <v>9787</v>
      </c>
      <c r="CH215" s="3">
        <f t="shared" si="11"/>
        <v>0</v>
      </c>
    </row>
    <row r="216" spans="1:89" x14ac:dyDescent="0.25">
      <c r="A216" s="16">
        <v>45355</v>
      </c>
      <c r="C216" s="25">
        <v>7642</v>
      </c>
      <c r="D216" s="20">
        <v>9788</v>
      </c>
      <c r="E216" s="42"/>
      <c r="F216" s="3" t="s">
        <v>839</v>
      </c>
      <c r="G216" s="18" t="s">
        <v>220</v>
      </c>
      <c r="U216" s="3"/>
      <c r="V216" s="3"/>
      <c r="AD216" s="3">
        <v>3150</v>
      </c>
      <c r="AS216" s="22">
        <f t="shared" si="9"/>
        <v>3150</v>
      </c>
      <c r="AT216" s="3">
        <v>3150</v>
      </c>
      <c r="AU216" s="3"/>
      <c r="BD216" s="3"/>
      <c r="BE216" s="3"/>
      <c r="CE216" s="22">
        <f t="shared" si="12"/>
        <v>3150</v>
      </c>
      <c r="CF216" s="3">
        <f t="shared" si="10"/>
        <v>0</v>
      </c>
      <c r="CG216" s="17">
        <f t="shared" si="11"/>
        <v>9788</v>
      </c>
      <c r="CH216" s="3">
        <f t="shared" si="11"/>
        <v>0</v>
      </c>
    </row>
    <row r="217" spans="1:89" x14ac:dyDescent="0.25">
      <c r="A217" s="16">
        <v>45355</v>
      </c>
      <c r="C217" s="25">
        <v>7665</v>
      </c>
      <c r="D217" s="20">
        <v>9789</v>
      </c>
      <c r="E217" s="42"/>
      <c r="F217" s="3" t="s">
        <v>840</v>
      </c>
      <c r="G217" s="18" t="s">
        <v>220</v>
      </c>
      <c r="T217" s="3">
        <v>703497.1</v>
      </c>
      <c r="U217" s="3"/>
      <c r="V217" s="3"/>
      <c r="AS217" s="22">
        <f t="shared" si="9"/>
        <v>703497.1</v>
      </c>
      <c r="AT217" s="3">
        <v>703497.1</v>
      </c>
      <c r="AU217" s="3"/>
      <c r="BD217" s="3"/>
      <c r="BE217" s="3"/>
      <c r="CE217" s="22">
        <f t="shared" si="12"/>
        <v>703497.1</v>
      </c>
      <c r="CF217" s="3">
        <f t="shared" si="10"/>
        <v>0</v>
      </c>
      <c r="CG217" s="17">
        <f t="shared" si="11"/>
        <v>9789</v>
      </c>
      <c r="CH217" s="3">
        <f t="shared" si="11"/>
        <v>0</v>
      </c>
    </row>
    <row r="218" spans="1:89" x14ac:dyDescent="0.25">
      <c r="A218" s="16">
        <v>45355</v>
      </c>
      <c r="C218" s="25">
        <v>7667</v>
      </c>
      <c r="D218" s="20">
        <v>9790</v>
      </c>
      <c r="E218" s="42"/>
      <c r="F218" s="3" t="s">
        <v>841</v>
      </c>
      <c r="G218" s="18" t="s">
        <v>220</v>
      </c>
      <c r="U218" s="3">
        <v>2554.36</v>
      </c>
      <c r="V218" s="3"/>
      <c r="AS218" s="22">
        <f t="shared" ref="AS218:AS281" si="15">SUM(H218:AQ218)</f>
        <v>2554.36</v>
      </c>
      <c r="AT218" s="3">
        <v>2554.36</v>
      </c>
      <c r="AU218" s="3"/>
      <c r="BD218" s="3"/>
      <c r="BE218" s="3"/>
      <c r="CE218" s="22">
        <f t="shared" si="12"/>
        <v>2554.36</v>
      </c>
      <c r="CF218" s="3">
        <f t="shared" si="10"/>
        <v>0</v>
      </c>
      <c r="CG218" s="17">
        <f t="shared" si="11"/>
        <v>9790</v>
      </c>
      <c r="CH218" s="3">
        <f t="shared" si="11"/>
        <v>0</v>
      </c>
    </row>
    <row r="219" spans="1:89" x14ac:dyDescent="0.25">
      <c r="A219" s="16">
        <v>45355</v>
      </c>
      <c r="C219" s="25">
        <v>7668</v>
      </c>
      <c r="D219" s="20">
        <v>9791</v>
      </c>
      <c r="E219" s="42"/>
      <c r="F219" s="3" t="s">
        <v>842</v>
      </c>
      <c r="G219" s="18" t="s">
        <v>220</v>
      </c>
      <c r="U219" s="3">
        <v>17039.8</v>
      </c>
      <c r="V219" s="3"/>
      <c r="AS219" s="22">
        <f t="shared" si="15"/>
        <v>17039.8</v>
      </c>
      <c r="AT219" s="3">
        <v>17039.8</v>
      </c>
      <c r="AU219" s="3"/>
      <c r="BD219" s="3"/>
      <c r="BE219" s="3"/>
      <c r="CE219" s="22">
        <f t="shared" si="12"/>
        <v>17039.8</v>
      </c>
      <c r="CF219" s="3">
        <f t="shared" ref="CF219:CF282" si="16">+CE219-AS219</f>
        <v>0</v>
      </c>
      <c r="CG219" s="17">
        <f t="shared" ref="CG219:CH282" si="17">+D219</f>
        <v>9791</v>
      </c>
      <c r="CH219" s="3">
        <f t="shared" si="17"/>
        <v>0</v>
      </c>
    </row>
    <row r="220" spans="1:89" x14ac:dyDescent="0.25">
      <c r="A220" s="16">
        <v>45355</v>
      </c>
      <c r="C220" s="25">
        <v>7623</v>
      </c>
      <c r="D220" s="20">
        <v>9792</v>
      </c>
      <c r="E220" s="42"/>
      <c r="F220" s="3" t="s">
        <v>843</v>
      </c>
      <c r="G220" s="18" t="s">
        <v>220</v>
      </c>
      <c r="U220" s="3"/>
      <c r="V220" s="3"/>
      <c r="AD220" s="3">
        <v>106</v>
      </c>
      <c r="AS220" s="22">
        <f t="shared" si="15"/>
        <v>106</v>
      </c>
      <c r="AT220" s="3">
        <v>106</v>
      </c>
      <c r="AU220" s="3"/>
      <c r="BD220" s="3"/>
      <c r="BE220" s="3"/>
      <c r="CE220" s="22">
        <f t="shared" ref="CE220:CE283" si="18">SUM(AT220:CC220)</f>
        <v>106</v>
      </c>
      <c r="CF220" s="3">
        <f t="shared" si="16"/>
        <v>0</v>
      </c>
      <c r="CG220" s="17">
        <f t="shared" si="17"/>
        <v>9792</v>
      </c>
      <c r="CH220" s="3">
        <f t="shared" si="17"/>
        <v>0</v>
      </c>
    </row>
    <row r="221" spans="1:89" s="29" customFormat="1" x14ac:dyDescent="0.25">
      <c r="A221" s="27"/>
      <c r="B221" s="28"/>
      <c r="C221" s="46"/>
      <c r="D221" s="47"/>
      <c r="E221" s="48"/>
      <c r="F221" s="29" t="s">
        <v>844</v>
      </c>
      <c r="T221" s="29">
        <f>SUM(T203:T220)</f>
        <v>703497.1</v>
      </c>
      <c r="U221" s="29">
        <f t="shared" ref="U221:CH221" si="19">SUM(U203:U220)</f>
        <v>19594.16</v>
      </c>
      <c r="V221" s="29">
        <f t="shared" si="19"/>
        <v>0</v>
      </c>
      <c r="W221" s="29">
        <f t="shared" si="19"/>
        <v>0</v>
      </c>
      <c r="X221" s="29">
        <f t="shared" si="19"/>
        <v>0</v>
      </c>
      <c r="Y221" s="29">
        <f t="shared" si="19"/>
        <v>0</v>
      </c>
      <c r="Z221" s="29">
        <f t="shared" si="19"/>
        <v>0</v>
      </c>
      <c r="AA221" s="29">
        <f t="shared" si="19"/>
        <v>0</v>
      </c>
      <c r="AB221" s="29">
        <f t="shared" si="19"/>
        <v>0</v>
      </c>
      <c r="AC221" s="29">
        <f t="shared" si="19"/>
        <v>0</v>
      </c>
      <c r="AD221" s="29">
        <f>SUM(AD203:AD220)</f>
        <v>19739.759999999998</v>
      </c>
      <c r="AE221" s="29">
        <f t="shared" si="19"/>
        <v>0</v>
      </c>
      <c r="AF221" s="29">
        <f t="shared" si="19"/>
        <v>0</v>
      </c>
      <c r="AG221" s="29">
        <f t="shared" si="19"/>
        <v>0</v>
      </c>
      <c r="AH221" s="29">
        <f t="shared" si="19"/>
        <v>0</v>
      </c>
      <c r="AI221" s="29">
        <f t="shared" si="19"/>
        <v>0</v>
      </c>
      <c r="AJ221" s="29">
        <f t="shared" si="19"/>
        <v>0</v>
      </c>
      <c r="AK221" s="29">
        <f t="shared" si="19"/>
        <v>0</v>
      </c>
      <c r="AL221" s="29">
        <f t="shared" si="19"/>
        <v>0</v>
      </c>
      <c r="AM221" s="29">
        <f t="shared" si="19"/>
        <v>0</v>
      </c>
      <c r="AN221" s="29">
        <f t="shared" si="19"/>
        <v>0</v>
      </c>
      <c r="AO221" s="29">
        <f t="shared" si="19"/>
        <v>0</v>
      </c>
      <c r="AP221" s="29">
        <f t="shared" si="19"/>
        <v>0</v>
      </c>
      <c r="AQ221" s="29">
        <f t="shared" si="19"/>
        <v>0</v>
      </c>
      <c r="AS221" s="29">
        <f t="shared" si="19"/>
        <v>742831.02</v>
      </c>
      <c r="AT221" s="29">
        <f t="shared" si="19"/>
        <v>742831.02</v>
      </c>
      <c r="AU221" s="29">
        <f t="shared" si="19"/>
        <v>0</v>
      </c>
      <c r="AV221" s="29">
        <f t="shared" si="19"/>
        <v>0</v>
      </c>
      <c r="AW221" s="29">
        <f t="shared" si="19"/>
        <v>0</v>
      </c>
      <c r="AX221" s="29">
        <f t="shared" si="19"/>
        <v>0</v>
      </c>
      <c r="AY221" s="29">
        <f t="shared" si="19"/>
        <v>0</v>
      </c>
      <c r="AZ221" s="29">
        <f t="shared" si="19"/>
        <v>0</v>
      </c>
      <c r="BA221" s="29">
        <f t="shared" si="19"/>
        <v>0</v>
      </c>
      <c r="BB221" s="29">
        <f t="shared" si="19"/>
        <v>0</v>
      </c>
      <c r="BC221" s="29">
        <f t="shared" si="19"/>
        <v>0</v>
      </c>
      <c r="BD221" s="29">
        <f t="shared" si="19"/>
        <v>0</v>
      </c>
      <c r="BE221" s="29">
        <f t="shared" si="19"/>
        <v>0</v>
      </c>
      <c r="BF221" s="29">
        <f t="shared" si="19"/>
        <v>0</v>
      </c>
      <c r="BG221" s="29">
        <f t="shared" si="19"/>
        <v>0</v>
      </c>
      <c r="BH221" s="29">
        <f t="shared" si="19"/>
        <v>0</v>
      </c>
      <c r="BI221" s="29">
        <f t="shared" si="19"/>
        <v>0</v>
      </c>
      <c r="BJ221" s="29">
        <f t="shared" si="19"/>
        <v>0</v>
      </c>
      <c r="BK221" s="29">
        <f t="shared" si="19"/>
        <v>0</v>
      </c>
      <c r="BL221" s="29">
        <f t="shared" si="19"/>
        <v>0</v>
      </c>
      <c r="BM221" s="29">
        <f t="shared" si="19"/>
        <v>0</v>
      </c>
      <c r="BN221" s="29">
        <f t="shared" si="19"/>
        <v>0</v>
      </c>
      <c r="BO221" s="29">
        <f t="shared" si="19"/>
        <v>0</v>
      </c>
      <c r="BP221" s="29">
        <f t="shared" si="19"/>
        <v>0</v>
      </c>
      <c r="BQ221" s="29">
        <f t="shared" si="19"/>
        <v>0</v>
      </c>
      <c r="BR221" s="29">
        <f t="shared" si="19"/>
        <v>0</v>
      </c>
      <c r="BS221" s="29">
        <f t="shared" si="19"/>
        <v>0</v>
      </c>
      <c r="BT221" s="29">
        <f t="shared" si="19"/>
        <v>0</v>
      </c>
      <c r="BU221" s="29">
        <f t="shared" si="19"/>
        <v>0</v>
      </c>
      <c r="BV221" s="29">
        <f t="shared" si="19"/>
        <v>0</v>
      </c>
      <c r="BW221" s="29">
        <f t="shared" si="19"/>
        <v>0</v>
      </c>
      <c r="BX221" s="29">
        <f t="shared" si="19"/>
        <v>0</v>
      </c>
      <c r="BY221" s="29">
        <f t="shared" si="19"/>
        <v>0</v>
      </c>
      <c r="BZ221" s="29">
        <f t="shared" si="19"/>
        <v>0</v>
      </c>
      <c r="CA221" s="29">
        <f t="shared" si="19"/>
        <v>0</v>
      </c>
      <c r="CB221" s="29">
        <f t="shared" si="19"/>
        <v>0</v>
      </c>
      <c r="CC221" s="29">
        <f t="shared" si="19"/>
        <v>0</v>
      </c>
      <c r="CE221" s="29">
        <f t="shared" si="19"/>
        <v>742831.02</v>
      </c>
      <c r="CF221" s="29">
        <f t="shared" si="19"/>
        <v>0</v>
      </c>
      <c r="CH221" s="29">
        <f t="shared" si="19"/>
        <v>0</v>
      </c>
      <c r="CI221" s="29">
        <f t="shared" ref="CI221:CK221" si="20">SUM(CI203:CI220)</f>
        <v>0</v>
      </c>
      <c r="CJ221" s="29">
        <f t="shared" si="20"/>
        <v>0</v>
      </c>
      <c r="CK221" s="29">
        <f t="shared" si="20"/>
        <v>0</v>
      </c>
    </row>
    <row r="222" spans="1:89" x14ac:dyDescent="0.25">
      <c r="C222" s="25">
        <v>16224</v>
      </c>
      <c r="D222" s="20">
        <v>9793</v>
      </c>
      <c r="E222" s="42" t="s">
        <v>325</v>
      </c>
      <c r="F222" s="3" t="s">
        <v>845</v>
      </c>
      <c r="H222" s="3">
        <v>750</v>
      </c>
      <c r="U222" s="3"/>
      <c r="V222" s="3"/>
      <c r="AS222" s="22">
        <f t="shared" si="15"/>
        <v>750</v>
      </c>
      <c r="AT222" s="3">
        <v>670.1</v>
      </c>
      <c r="AU222" s="3">
        <v>79.900000000000006</v>
      </c>
      <c r="BD222" s="3"/>
      <c r="BE222" s="3"/>
      <c r="CE222" s="22">
        <f t="shared" si="18"/>
        <v>750</v>
      </c>
      <c r="CF222" s="3">
        <f t="shared" si="16"/>
        <v>0</v>
      </c>
      <c r="CG222" s="17">
        <f t="shared" si="17"/>
        <v>9793</v>
      </c>
      <c r="CH222" s="3" t="str">
        <f t="shared" si="17"/>
        <v xml:space="preserve">برنامج دولى </v>
      </c>
    </row>
    <row r="223" spans="1:89" x14ac:dyDescent="0.25">
      <c r="C223" s="25">
        <v>16223</v>
      </c>
      <c r="D223" s="20">
        <v>9794</v>
      </c>
      <c r="E223" s="42" t="s">
        <v>325</v>
      </c>
      <c r="F223" s="3" t="s">
        <v>845</v>
      </c>
      <c r="H223" s="3">
        <v>1500</v>
      </c>
      <c r="U223" s="3"/>
      <c r="V223" s="3"/>
      <c r="AS223" s="22">
        <f t="shared" si="15"/>
        <v>1500</v>
      </c>
      <c r="AT223" s="3">
        <v>1340.4</v>
      </c>
      <c r="AU223" s="3">
        <v>159.6</v>
      </c>
      <c r="BD223" s="3"/>
      <c r="BE223" s="3"/>
      <c r="CE223" s="22">
        <f t="shared" si="18"/>
        <v>1500</v>
      </c>
      <c r="CF223" s="3">
        <f t="shared" si="16"/>
        <v>0</v>
      </c>
      <c r="CG223" s="17">
        <f t="shared" si="17"/>
        <v>9794</v>
      </c>
      <c r="CH223" s="3" t="str">
        <f t="shared" si="17"/>
        <v xml:space="preserve">برنامج دولى </v>
      </c>
    </row>
    <row r="224" spans="1:89" x14ac:dyDescent="0.25">
      <c r="C224" s="25">
        <v>16222</v>
      </c>
      <c r="D224" s="20">
        <v>9795</v>
      </c>
      <c r="E224" s="42" t="s">
        <v>325</v>
      </c>
      <c r="F224" s="3" t="s">
        <v>845</v>
      </c>
      <c r="H224" s="3">
        <v>500</v>
      </c>
      <c r="U224" s="3"/>
      <c r="V224" s="3"/>
      <c r="AS224" s="22">
        <f t="shared" si="15"/>
        <v>500</v>
      </c>
      <c r="AT224" s="3">
        <v>447.05</v>
      </c>
      <c r="AU224" s="3">
        <v>52.95</v>
      </c>
      <c r="BD224" s="3"/>
      <c r="BE224" s="3"/>
      <c r="CE224" s="22">
        <f t="shared" si="18"/>
        <v>500</v>
      </c>
      <c r="CF224" s="3">
        <f t="shared" si="16"/>
        <v>0</v>
      </c>
      <c r="CG224" s="17">
        <f t="shared" si="17"/>
        <v>9795</v>
      </c>
      <c r="CH224" s="3" t="str">
        <f t="shared" si="17"/>
        <v xml:space="preserve">برنامج دولى </v>
      </c>
    </row>
    <row r="225" spans="2:86" x14ac:dyDescent="0.25">
      <c r="B225" s="3"/>
      <c r="C225" s="25">
        <v>16221</v>
      </c>
      <c r="D225" s="20">
        <v>9796</v>
      </c>
      <c r="E225" s="42" t="s">
        <v>325</v>
      </c>
      <c r="F225" s="3" t="s">
        <v>845</v>
      </c>
      <c r="H225" s="3">
        <v>7450</v>
      </c>
      <c r="U225" s="3"/>
      <c r="V225" s="3"/>
      <c r="AS225" s="22">
        <f t="shared" si="15"/>
        <v>7450</v>
      </c>
      <c r="AT225" s="3">
        <v>6659.55</v>
      </c>
      <c r="AU225" s="3">
        <v>790.45</v>
      </c>
      <c r="BD225" s="3"/>
      <c r="BE225" s="3"/>
      <c r="CE225" s="22">
        <f t="shared" si="18"/>
        <v>7450</v>
      </c>
      <c r="CF225" s="3">
        <f t="shared" si="16"/>
        <v>0</v>
      </c>
      <c r="CG225" s="17">
        <f t="shared" si="17"/>
        <v>9796</v>
      </c>
      <c r="CH225" s="3" t="str">
        <f t="shared" si="17"/>
        <v xml:space="preserve">برنامج دولى </v>
      </c>
    </row>
    <row r="226" spans="2:86" x14ac:dyDescent="0.25">
      <c r="B226" s="3"/>
      <c r="C226" s="25">
        <v>16220</v>
      </c>
      <c r="D226" s="20">
        <v>9797</v>
      </c>
      <c r="E226" s="42" t="s">
        <v>325</v>
      </c>
      <c r="F226" s="3" t="s">
        <v>846</v>
      </c>
      <c r="H226" s="3">
        <v>550</v>
      </c>
      <c r="U226" s="3"/>
      <c r="V226" s="3"/>
      <c r="AS226" s="22">
        <f t="shared" si="15"/>
        <v>550</v>
      </c>
      <c r="AT226" s="3">
        <v>491.5</v>
      </c>
      <c r="AU226" s="3">
        <v>58.5</v>
      </c>
      <c r="BD226" s="3"/>
      <c r="BE226" s="3"/>
      <c r="CE226" s="22">
        <f t="shared" si="18"/>
        <v>550</v>
      </c>
      <c r="CF226" s="3">
        <f t="shared" si="16"/>
        <v>0</v>
      </c>
      <c r="CG226" s="17">
        <f t="shared" si="17"/>
        <v>9797</v>
      </c>
      <c r="CH226" s="3" t="str">
        <f t="shared" si="17"/>
        <v xml:space="preserve">برنامج دولى </v>
      </c>
    </row>
    <row r="227" spans="2:86" x14ac:dyDescent="0.25">
      <c r="C227" s="25">
        <v>16219</v>
      </c>
      <c r="D227" s="20">
        <v>9798</v>
      </c>
      <c r="E227" s="42" t="s">
        <v>325</v>
      </c>
      <c r="F227" s="3" t="s">
        <v>846</v>
      </c>
      <c r="H227" s="3">
        <v>7000</v>
      </c>
      <c r="U227" s="3"/>
      <c r="V227" s="3"/>
      <c r="AS227" s="22">
        <f t="shared" si="15"/>
        <v>7000</v>
      </c>
      <c r="AT227" s="3">
        <v>6255.65</v>
      </c>
      <c r="AU227" s="3">
        <v>744.35</v>
      </c>
      <c r="BD227" s="3"/>
      <c r="BE227" s="3"/>
      <c r="CE227" s="22">
        <f t="shared" si="18"/>
        <v>7000</v>
      </c>
      <c r="CF227" s="3">
        <f t="shared" si="16"/>
        <v>0</v>
      </c>
      <c r="CG227" s="17">
        <f t="shared" si="17"/>
        <v>9798</v>
      </c>
      <c r="CH227" s="3" t="str">
        <f t="shared" si="17"/>
        <v xml:space="preserve">برنامج دولى </v>
      </c>
    </row>
    <row r="228" spans="2:86" x14ac:dyDescent="0.25">
      <c r="C228" s="25">
        <v>16218</v>
      </c>
      <c r="D228" s="20">
        <v>9799</v>
      </c>
      <c r="E228" s="42" t="s">
        <v>325</v>
      </c>
      <c r="F228" s="3" t="s">
        <v>846</v>
      </c>
      <c r="H228" s="3">
        <v>800</v>
      </c>
      <c r="U228" s="3"/>
      <c r="V228" s="3"/>
      <c r="AS228" s="22">
        <f t="shared" si="15"/>
        <v>800</v>
      </c>
      <c r="AT228" s="3">
        <v>715.27</v>
      </c>
      <c r="AU228" s="3">
        <v>84.73</v>
      </c>
      <c r="BD228" s="3"/>
      <c r="BE228" s="3"/>
      <c r="CE228" s="22">
        <f t="shared" si="18"/>
        <v>800</v>
      </c>
      <c r="CF228" s="3">
        <f t="shared" si="16"/>
        <v>0</v>
      </c>
      <c r="CG228" s="17">
        <f t="shared" si="17"/>
        <v>9799</v>
      </c>
      <c r="CH228" s="3" t="str">
        <f t="shared" si="17"/>
        <v xml:space="preserve">برنامج دولى </v>
      </c>
    </row>
    <row r="229" spans="2:86" x14ac:dyDescent="0.25">
      <c r="C229" s="25">
        <v>16217</v>
      </c>
      <c r="D229" s="20">
        <v>9800</v>
      </c>
      <c r="E229" s="42" t="s">
        <v>325</v>
      </c>
      <c r="F229" s="3" t="s">
        <v>846</v>
      </c>
      <c r="H229" s="3">
        <v>1550</v>
      </c>
      <c r="U229" s="3"/>
      <c r="V229" s="3"/>
      <c r="AS229" s="22">
        <f t="shared" si="15"/>
        <v>1550</v>
      </c>
      <c r="AT229" s="3">
        <v>1384.85</v>
      </c>
      <c r="AU229" s="3">
        <v>165.15</v>
      </c>
      <c r="BD229" s="3"/>
      <c r="BE229" s="3"/>
      <c r="CE229" s="22">
        <f t="shared" si="18"/>
        <v>1550</v>
      </c>
      <c r="CF229" s="3">
        <f t="shared" si="16"/>
        <v>0</v>
      </c>
      <c r="CG229" s="17">
        <f t="shared" si="17"/>
        <v>9800</v>
      </c>
      <c r="CH229" s="3" t="str">
        <f t="shared" si="17"/>
        <v xml:space="preserve">برنامج دولى </v>
      </c>
    </row>
    <row r="230" spans="2:86" x14ac:dyDescent="0.25">
      <c r="C230" s="25">
        <v>16216</v>
      </c>
      <c r="D230" s="20">
        <v>9801</v>
      </c>
      <c r="E230" s="42" t="s">
        <v>325</v>
      </c>
      <c r="F230" s="3" t="s">
        <v>847</v>
      </c>
      <c r="H230" s="3">
        <v>586.25</v>
      </c>
      <c r="U230" s="3"/>
      <c r="V230" s="3"/>
      <c r="AS230" s="22">
        <f t="shared" si="15"/>
        <v>586.25</v>
      </c>
      <c r="AT230" s="3">
        <v>392.4</v>
      </c>
      <c r="AU230" s="3">
        <v>52.6</v>
      </c>
      <c r="AV230" s="3">
        <v>141.25</v>
      </c>
      <c r="BD230" s="3"/>
      <c r="BE230" s="3"/>
      <c r="CE230" s="22">
        <f t="shared" si="18"/>
        <v>586.25</v>
      </c>
      <c r="CF230" s="3">
        <f t="shared" si="16"/>
        <v>0</v>
      </c>
      <c r="CG230" s="17">
        <f t="shared" si="17"/>
        <v>9801</v>
      </c>
      <c r="CH230" s="3" t="str">
        <f t="shared" si="17"/>
        <v xml:space="preserve">برنامج دولى </v>
      </c>
    </row>
    <row r="231" spans="2:86" x14ac:dyDescent="0.25">
      <c r="B231" s="3"/>
      <c r="C231" s="25">
        <v>16215</v>
      </c>
      <c r="D231" s="20">
        <v>9802</v>
      </c>
      <c r="E231" s="42" t="s">
        <v>325</v>
      </c>
      <c r="F231" s="3" t="s">
        <v>847</v>
      </c>
      <c r="H231" s="3">
        <v>500</v>
      </c>
      <c r="U231" s="3"/>
      <c r="V231" s="3"/>
      <c r="AS231" s="22">
        <f t="shared" si="15"/>
        <v>500</v>
      </c>
      <c r="AT231" s="3">
        <v>447.05</v>
      </c>
      <c r="AU231" s="3">
        <v>52.95</v>
      </c>
      <c r="BD231" s="3"/>
      <c r="BE231" s="3"/>
      <c r="CE231" s="22">
        <f t="shared" si="18"/>
        <v>500</v>
      </c>
      <c r="CF231" s="3">
        <f t="shared" si="16"/>
        <v>0</v>
      </c>
      <c r="CG231" s="17">
        <f t="shared" si="17"/>
        <v>9802</v>
      </c>
      <c r="CH231" s="3" t="str">
        <f t="shared" si="17"/>
        <v xml:space="preserve">برنامج دولى </v>
      </c>
    </row>
    <row r="232" spans="2:86" x14ac:dyDescent="0.25">
      <c r="B232" s="3"/>
      <c r="C232" s="25">
        <v>16214</v>
      </c>
      <c r="D232" s="20">
        <v>9803</v>
      </c>
      <c r="E232" s="42" t="s">
        <v>325</v>
      </c>
      <c r="F232" s="3" t="s">
        <v>848</v>
      </c>
      <c r="H232" s="3">
        <v>2345</v>
      </c>
      <c r="U232" s="3"/>
      <c r="V232" s="3"/>
      <c r="AS232" s="22">
        <f t="shared" si="15"/>
        <v>2345</v>
      </c>
      <c r="AT232" s="3">
        <v>1567</v>
      </c>
      <c r="AU232" s="3">
        <f>13+200</f>
        <v>213</v>
      </c>
      <c r="AV232" s="3">
        <v>565</v>
      </c>
      <c r="BD232" s="3"/>
      <c r="BE232" s="3"/>
      <c r="CE232" s="22">
        <f t="shared" si="18"/>
        <v>2345</v>
      </c>
      <c r="CF232" s="3">
        <f t="shared" si="16"/>
        <v>0</v>
      </c>
      <c r="CG232" s="17">
        <f t="shared" si="17"/>
        <v>9803</v>
      </c>
      <c r="CH232" s="3" t="str">
        <f t="shared" si="17"/>
        <v xml:space="preserve">برنامج دولى </v>
      </c>
    </row>
    <row r="233" spans="2:86" x14ac:dyDescent="0.25">
      <c r="B233" s="3"/>
      <c r="C233" s="25">
        <v>16343</v>
      </c>
      <c r="D233" s="20">
        <v>9804</v>
      </c>
      <c r="E233" s="42" t="s">
        <v>325</v>
      </c>
      <c r="F233" s="3" t="s">
        <v>688</v>
      </c>
      <c r="H233" s="3">
        <v>1113.8800000000001</v>
      </c>
      <c r="U233" s="3"/>
      <c r="V233" s="3"/>
      <c r="AS233" s="22">
        <f t="shared" si="15"/>
        <v>1113.8800000000001</v>
      </c>
      <c r="AT233" s="3">
        <v>744.9</v>
      </c>
      <c r="AU233" s="3">
        <v>100.6</v>
      </c>
      <c r="AV233" s="3">
        <v>268.38</v>
      </c>
      <c r="BD233" s="3"/>
      <c r="BE233" s="3"/>
      <c r="CE233" s="22">
        <f t="shared" si="18"/>
        <v>1113.8800000000001</v>
      </c>
      <c r="CF233" s="3">
        <f t="shared" si="16"/>
        <v>0</v>
      </c>
      <c r="CG233" s="17">
        <f t="shared" si="17"/>
        <v>9804</v>
      </c>
      <c r="CH233" s="3" t="str">
        <f t="shared" si="17"/>
        <v xml:space="preserve">برنامج دولى </v>
      </c>
    </row>
    <row r="234" spans="2:86" x14ac:dyDescent="0.25">
      <c r="B234" s="3"/>
      <c r="C234" s="25">
        <v>16342</v>
      </c>
      <c r="D234" s="20">
        <v>9805</v>
      </c>
      <c r="E234" s="42" t="s">
        <v>325</v>
      </c>
      <c r="F234" s="3" t="s">
        <v>688</v>
      </c>
      <c r="H234" s="3">
        <v>302.04000000000002</v>
      </c>
      <c r="U234" s="3"/>
      <c r="V234" s="3"/>
      <c r="AS234" s="22">
        <f t="shared" si="15"/>
        <v>302.04000000000002</v>
      </c>
      <c r="AT234" s="3">
        <v>267.05</v>
      </c>
      <c r="AU234" s="3">
        <v>31.65</v>
      </c>
      <c r="AV234" s="3">
        <v>3.34</v>
      </c>
      <c r="BD234" s="3"/>
      <c r="BE234" s="3"/>
      <c r="CE234" s="22">
        <f t="shared" si="18"/>
        <v>302.03999999999996</v>
      </c>
      <c r="CF234" s="3">
        <f t="shared" si="16"/>
        <v>0</v>
      </c>
      <c r="CG234" s="17">
        <f t="shared" si="17"/>
        <v>9805</v>
      </c>
      <c r="CH234" s="3" t="str">
        <f t="shared" si="17"/>
        <v xml:space="preserve">برنامج دولى </v>
      </c>
    </row>
    <row r="235" spans="2:86" x14ac:dyDescent="0.25">
      <c r="C235" s="25">
        <v>16341</v>
      </c>
      <c r="D235" s="20">
        <v>9806</v>
      </c>
      <c r="E235" s="42" t="s">
        <v>325</v>
      </c>
      <c r="F235" s="3" t="s">
        <v>688</v>
      </c>
      <c r="H235" s="3">
        <v>1210.92</v>
      </c>
      <c r="U235" s="3"/>
      <c r="V235" s="3"/>
      <c r="AS235" s="22">
        <f t="shared" si="15"/>
        <v>1210.92</v>
      </c>
      <c r="AT235" s="3">
        <v>1066.19</v>
      </c>
      <c r="AU235" s="3">
        <v>126.85</v>
      </c>
      <c r="AV235" s="3">
        <v>17.88</v>
      </c>
      <c r="BD235" s="3"/>
      <c r="BE235" s="3"/>
      <c r="CE235" s="22">
        <f t="shared" si="18"/>
        <v>1210.92</v>
      </c>
      <c r="CF235" s="3">
        <f t="shared" si="16"/>
        <v>0</v>
      </c>
      <c r="CG235" s="17">
        <f t="shared" si="17"/>
        <v>9806</v>
      </c>
      <c r="CH235" s="3" t="str">
        <f t="shared" si="17"/>
        <v xml:space="preserve">برنامج دولى </v>
      </c>
    </row>
    <row r="236" spans="2:86" x14ac:dyDescent="0.25">
      <c r="C236" s="25">
        <v>16340</v>
      </c>
      <c r="D236" s="20">
        <v>9807</v>
      </c>
      <c r="E236" s="42" t="s">
        <v>325</v>
      </c>
      <c r="F236" s="3" t="s">
        <v>688</v>
      </c>
      <c r="H236" s="3">
        <v>1600</v>
      </c>
      <c r="U236" s="3"/>
      <c r="V236" s="3"/>
      <c r="AS236" s="22">
        <f t="shared" si="15"/>
        <v>1600</v>
      </c>
      <c r="AT236" s="3">
        <v>1429.5</v>
      </c>
      <c r="AU236" s="3">
        <v>170.5</v>
      </c>
      <c r="BD236" s="3"/>
      <c r="BE236" s="3"/>
      <c r="CE236" s="22">
        <f t="shared" si="18"/>
        <v>1600</v>
      </c>
      <c r="CF236" s="3">
        <f t="shared" si="16"/>
        <v>0</v>
      </c>
      <c r="CG236" s="17">
        <f t="shared" si="17"/>
        <v>9807</v>
      </c>
      <c r="CH236" s="3" t="str">
        <f t="shared" si="17"/>
        <v xml:space="preserve">برنامج دولى </v>
      </c>
    </row>
    <row r="237" spans="2:86" x14ac:dyDescent="0.25">
      <c r="C237" s="25">
        <v>16339</v>
      </c>
      <c r="D237" s="20">
        <v>9808</v>
      </c>
      <c r="E237" s="42" t="s">
        <v>325</v>
      </c>
      <c r="F237" s="3" t="s">
        <v>688</v>
      </c>
      <c r="H237" s="3">
        <v>3636.37</v>
      </c>
      <c r="U237" s="3"/>
      <c r="V237" s="3"/>
      <c r="AS237" s="22">
        <f t="shared" si="15"/>
        <v>3636.37</v>
      </c>
      <c r="AT237" s="3">
        <v>2735.35</v>
      </c>
      <c r="AU237" s="3">
        <v>350.15</v>
      </c>
      <c r="AV237" s="3">
        <v>550.87</v>
      </c>
      <c r="BD237" s="3"/>
      <c r="BE237" s="3"/>
      <c r="CE237" s="22">
        <f t="shared" si="18"/>
        <v>3636.37</v>
      </c>
      <c r="CF237" s="3">
        <f t="shared" si="16"/>
        <v>0</v>
      </c>
      <c r="CG237" s="17">
        <f t="shared" si="17"/>
        <v>9808</v>
      </c>
      <c r="CH237" s="3" t="str">
        <f t="shared" si="17"/>
        <v xml:space="preserve">برنامج دولى </v>
      </c>
    </row>
    <row r="238" spans="2:86" x14ac:dyDescent="0.25">
      <c r="C238" s="25">
        <v>16338</v>
      </c>
      <c r="D238" s="20">
        <v>9809</v>
      </c>
      <c r="E238" s="42" t="s">
        <v>325</v>
      </c>
      <c r="F238" s="3" t="s">
        <v>688</v>
      </c>
      <c r="H238" s="3">
        <v>2688.09</v>
      </c>
      <c r="U238" s="3"/>
      <c r="V238" s="3"/>
      <c r="AS238" s="22">
        <f t="shared" si="15"/>
        <v>2688.09</v>
      </c>
      <c r="AT238" s="3">
        <v>1960.39</v>
      </c>
      <c r="AU238" s="3">
        <v>255.9</v>
      </c>
      <c r="AV238" s="3">
        <v>471.8</v>
      </c>
      <c r="BD238" s="3"/>
      <c r="BE238" s="3"/>
      <c r="CE238" s="22">
        <f t="shared" si="18"/>
        <v>2688.09</v>
      </c>
      <c r="CF238" s="3">
        <f t="shared" si="16"/>
        <v>0</v>
      </c>
      <c r="CG238" s="17">
        <f t="shared" si="17"/>
        <v>9809</v>
      </c>
      <c r="CH238" s="3" t="str">
        <f t="shared" si="17"/>
        <v xml:space="preserve">برنامج دولى </v>
      </c>
    </row>
    <row r="239" spans="2:86" x14ac:dyDescent="0.25">
      <c r="C239" s="25">
        <v>16336</v>
      </c>
      <c r="D239" s="20">
        <v>9810</v>
      </c>
      <c r="E239" s="42" t="s">
        <v>325</v>
      </c>
      <c r="F239" s="3" t="s">
        <v>688</v>
      </c>
      <c r="H239" s="3">
        <v>1050</v>
      </c>
      <c r="U239" s="3"/>
      <c r="V239" s="3"/>
      <c r="AS239" s="22">
        <f t="shared" si="15"/>
        <v>1050</v>
      </c>
      <c r="AT239" s="3">
        <v>937.5</v>
      </c>
      <c r="AU239" s="3">
        <v>112.5</v>
      </c>
      <c r="BD239" s="3"/>
      <c r="BE239" s="3"/>
      <c r="CE239" s="22">
        <f t="shared" si="18"/>
        <v>1050</v>
      </c>
      <c r="CF239" s="3">
        <f t="shared" si="16"/>
        <v>0</v>
      </c>
      <c r="CG239" s="17">
        <f t="shared" si="17"/>
        <v>9810</v>
      </c>
      <c r="CH239" s="3" t="str">
        <f t="shared" si="17"/>
        <v xml:space="preserve">برنامج دولى </v>
      </c>
    </row>
    <row r="240" spans="2:86" x14ac:dyDescent="0.25">
      <c r="C240" s="25">
        <v>16335</v>
      </c>
      <c r="D240" s="20">
        <v>9811</v>
      </c>
      <c r="E240" s="42" t="s">
        <v>325</v>
      </c>
      <c r="F240" s="3" t="s">
        <v>688</v>
      </c>
      <c r="H240" s="3">
        <v>400</v>
      </c>
      <c r="U240" s="3"/>
      <c r="V240" s="3"/>
      <c r="AS240" s="22">
        <f t="shared" si="15"/>
        <v>400</v>
      </c>
      <c r="AT240" s="3">
        <v>357.7</v>
      </c>
      <c r="AU240" s="3">
        <v>42.3</v>
      </c>
      <c r="BD240" s="3"/>
      <c r="BE240" s="3"/>
      <c r="CE240" s="22">
        <f t="shared" si="18"/>
        <v>400</v>
      </c>
      <c r="CF240" s="3">
        <f t="shared" si="16"/>
        <v>0</v>
      </c>
      <c r="CG240" s="17">
        <f t="shared" si="17"/>
        <v>9811</v>
      </c>
      <c r="CH240" s="3" t="str">
        <f t="shared" si="17"/>
        <v xml:space="preserve">برنامج دولى </v>
      </c>
    </row>
    <row r="241" spans="2:86" x14ac:dyDescent="0.25">
      <c r="C241" s="25">
        <v>16334</v>
      </c>
      <c r="D241" s="20">
        <v>9812</v>
      </c>
      <c r="E241" s="42" t="s">
        <v>325</v>
      </c>
      <c r="F241" s="3" t="s">
        <v>688</v>
      </c>
      <c r="H241" s="3">
        <v>351.75</v>
      </c>
      <c r="U241" s="3"/>
      <c r="V241" s="3"/>
      <c r="AS241" s="22">
        <f t="shared" si="15"/>
        <v>351.75</v>
      </c>
      <c r="AT241" s="3">
        <v>235.55</v>
      </c>
      <c r="AU241" s="3">
        <v>31.45</v>
      </c>
      <c r="AV241" s="3">
        <v>84.75</v>
      </c>
      <c r="BD241" s="3"/>
      <c r="BE241" s="3"/>
      <c r="CE241" s="22">
        <f t="shared" si="18"/>
        <v>351.75</v>
      </c>
      <c r="CF241" s="3">
        <f t="shared" si="16"/>
        <v>0</v>
      </c>
      <c r="CG241" s="17">
        <f t="shared" si="17"/>
        <v>9812</v>
      </c>
      <c r="CH241" s="3" t="str">
        <f t="shared" si="17"/>
        <v xml:space="preserve">برنامج دولى </v>
      </c>
    </row>
    <row r="242" spans="2:86" x14ac:dyDescent="0.25">
      <c r="C242" s="25">
        <v>16333</v>
      </c>
      <c r="D242" s="20">
        <v>9813</v>
      </c>
      <c r="E242" s="42" t="s">
        <v>325</v>
      </c>
      <c r="F242" s="3" t="s">
        <v>688</v>
      </c>
      <c r="H242" s="3">
        <v>586.25</v>
      </c>
      <c r="U242" s="3"/>
      <c r="V242" s="3"/>
      <c r="AS242" s="22">
        <f t="shared" si="15"/>
        <v>586.25</v>
      </c>
      <c r="AT242" s="3">
        <v>392.4</v>
      </c>
      <c r="AU242" s="3">
        <v>52.6</v>
      </c>
      <c r="AV242" s="3">
        <v>141.25</v>
      </c>
      <c r="BD242" s="3"/>
      <c r="BE242" s="3"/>
      <c r="CE242" s="22">
        <f t="shared" si="18"/>
        <v>586.25</v>
      </c>
      <c r="CF242" s="3">
        <f t="shared" si="16"/>
        <v>0</v>
      </c>
      <c r="CG242" s="17">
        <f t="shared" si="17"/>
        <v>9813</v>
      </c>
      <c r="CH242" s="3" t="str">
        <f t="shared" si="17"/>
        <v xml:space="preserve">برنامج دولى </v>
      </c>
    </row>
    <row r="243" spans="2:86" x14ac:dyDescent="0.25">
      <c r="C243" s="25">
        <v>16332</v>
      </c>
      <c r="D243" s="20">
        <v>9814</v>
      </c>
      <c r="E243" s="42" t="s">
        <v>325</v>
      </c>
      <c r="F243" s="3" t="s">
        <v>688</v>
      </c>
      <c r="H243" s="3">
        <v>234.5</v>
      </c>
      <c r="U243" s="3"/>
      <c r="V243" s="3"/>
      <c r="AS243" s="22">
        <f t="shared" si="15"/>
        <v>234.5</v>
      </c>
      <c r="AT243" s="3">
        <v>157.19999999999999</v>
      </c>
      <c r="AU243" s="3">
        <v>20.8</v>
      </c>
      <c r="AV243" s="3">
        <v>56.5</v>
      </c>
      <c r="BD243" s="3"/>
      <c r="BE243" s="3"/>
      <c r="CE243" s="22">
        <f t="shared" si="18"/>
        <v>234.5</v>
      </c>
      <c r="CF243" s="3">
        <f t="shared" si="16"/>
        <v>0</v>
      </c>
      <c r="CG243" s="17">
        <f t="shared" si="17"/>
        <v>9814</v>
      </c>
      <c r="CH243" s="3" t="str">
        <f t="shared" si="17"/>
        <v xml:space="preserve">برنامج دولى </v>
      </c>
    </row>
    <row r="244" spans="2:86" x14ac:dyDescent="0.25">
      <c r="C244" s="25">
        <v>16331</v>
      </c>
      <c r="D244" s="20">
        <v>9815</v>
      </c>
      <c r="E244" s="42" t="s">
        <v>325</v>
      </c>
      <c r="F244" s="3" t="s">
        <v>688</v>
      </c>
      <c r="H244" s="3">
        <v>17469.88</v>
      </c>
      <c r="U244" s="3"/>
      <c r="V244" s="3"/>
      <c r="AS244" s="22">
        <f t="shared" si="15"/>
        <v>17469.88</v>
      </c>
      <c r="AT244" s="3">
        <v>11983.21</v>
      </c>
      <c r="AU244" s="3">
        <v>1605.55</v>
      </c>
      <c r="AV244" s="3">
        <v>3881.12</v>
      </c>
      <c r="BD244" s="3"/>
      <c r="BE244" s="3"/>
      <c r="CE244" s="22">
        <f t="shared" si="18"/>
        <v>17469.879999999997</v>
      </c>
      <c r="CF244" s="3">
        <f t="shared" si="16"/>
        <v>0</v>
      </c>
      <c r="CG244" s="17">
        <f t="shared" si="17"/>
        <v>9815</v>
      </c>
      <c r="CH244" s="3" t="str">
        <f t="shared" si="17"/>
        <v xml:space="preserve">برنامج دولى </v>
      </c>
    </row>
    <row r="245" spans="2:86" x14ac:dyDescent="0.25">
      <c r="C245" s="25">
        <v>16316</v>
      </c>
      <c r="D245" s="20">
        <v>9816</v>
      </c>
      <c r="E245" s="42" t="s">
        <v>325</v>
      </c>
      <c r="F245" s="3" t="s">
        <v>849</v>
      </c>
      <c r="H245" s="3">
        <v>400</v>
      </c>
      <c r="U245" s="3"/>
      <c r="V245" s="3"/>
      <c r="AS245" s="22">
        <f t="shared" si="15"/>
        <v>400</v>
      </c>
      <c r="AT245" s="3">
        <v>357.7</v>
      </c>
      <c r="AU245" s="3">
        <v>42.3</v>
      </c>
      <c r="BD245" s="3"/>
      <c r="BE245" s="3"/>
      <c r="CE245" s="22">
        <f t="shared" si="18"/>
        <v>400</v>
      </c>
      <c r="CF245" s="3">
        <f t="shared" si="16"/>
        <v>0</v>
      </c>
      <c r="CG245" s="17">
        <f t="shared" si="17"/>
        <v>9816</v>
      </c>
      <c r="CH245" s="3" t="str">
        <f t="shared" si="17"/>
        <v xml:space="preserve">برنامج دولى </v>
      </c>
    </row>
    <row r="246" spans="2:86" x14ac:dyDescent="0.25">
      <c r="C246" s="25">
        <v>16319</v>
      </c>
      <c r="D246" s="20">
        <v>9817</v>
      </c>
      <c r="E246" s="42" t="s">
        <v>325</v>
      </c>
      <c r="F246" s="3" t="s">
        <v>850</v>
      </c>
      <c r="H246" s="3">
        <v>3283</v>
      </c>
      <c r="U246" s="3"/>
      <c r="V246" s="3"/>
      <c r="AS246" s="22">
        <f t="shared" si="15"/>
        <v>3283</v>
      </c>
      <c r="AT246" s="3">
        <v>2195.9</v>
      </c>
      <c r="AU246" s="3">
        <f>16.1+280</f>
        <v>296.10000000000002</v>
      </c>
      <c r="AV246" s="3">
        <v>791</v>
      </c>
      <c r="BD246" s="3"/>
      <c r="BE246" s="3"/>
      <c r="CE246" s="22">
        <f t="shared" si="18"/>
        <v>3283</v>
      </c>
      <c r="CF246" s="3">
        <f t="shared" si="16"/>
        <v>0</v>
      </c>
      <c r="CG246" s="17">
        <f t="shared" si="17"/>
        <v>9817</v>
      </c>
      <c r="CH246" s="3" t="str">
        <f t="shared" si="17"/>
        <v xml:space="preserve">برنامج دولى </v>
      </c>
    </row>
    <row r="247" spans="2:86" x14ac:dyDescent="0.25">
      <c r="C247" s="25">
        <v>16320</v>
      </c>
      <c r="D247" s="20">
        <v>9818</v>
      </c>
      <c r="E247" s="42" t="s">
        <v>325</v>
      </c>
      <c r="F247" s="3" t="str">
        <f>+F244</f>
        <v>ج ابحاث طبيه</v>
      </c>
      <c r="H247" s="3">
        <v>5452.13</v>
      </c>
      <c r="U247" s="3"/>
      <c r="V247" s="3"/>
      <c r="AS247" s="22">
        <f t="shared" si="15"/>
        <v>5452.13</v>
      </c>
      <c r="AT247" s="3">
        <v>3643.55</v>
      </c>
      <c r="AU247" s="3">
        <f>29.95+465</f>
        <v>494.95</v>
      </c>
      <c r="AV247" s="3">
        <v>1313.63</v>
      </c>
      <c r="BD247" s="3"/>
      <c r="BE247" s="3"/>
      <c r="CE247" s="22">
        <f t="shared" si="18"/>
        <v>5452.13</v>
      </c>
      <c r="CF247" s="3">
        <f t="shared" si="16"/>
        <v>0</v>
      </c>
      <c r="CG247" s="17">
        <f t="shared" si="17"/>
        <v>9818</v>
      </c>
      <c r="CH247" s="3" t="str">
        <f t="shared" si="17"/>
        <v xml:space="preserve">برنامج دولى </v>
      </c>
    </row>
    <row r="248" spans="2:86" x14ac:dyDescent="0.25">
      <c r="C248" s="25">
        <v>16317</v>
      </c>
      <c r="D248" s="20">
        <v>9819</v>
      </c>
      <c r="E248" s="42" t="s">
        <v>325</v>
      </c>
      <c r="F248" s="3" t="str">
        <f>+F245</f>
        <v>مكافاه حفل تخرج علاقات عامه</v>
      </c>
      <c r="H248" s="3">
        <v>3489.75</v>
      </c>
      <c r="U248" s="3"/>
      <c r="V248" s="3"/>
      <c r="AS248" s="22">
        <f t="shared" si="15"/>
        <v>3489.75</v>
      </c>
      <c r="AT248" s="3">
        <v>2980.77</v>
      </c>
      <c r="AU248" s="3">
        <v>362</v>
      </c>
      <c r="AV248" s="3">
        <v>146.97999999999999</v>
      </c>
      <c r="BD248" s="3"/>
      <c r="BE248" s="3"/>
      <c r="CE248" s="22">
        <f t="shared" si="18"/>
        <v>3489.75</v>
      </c>
      <c r="CF248" s="3">
        <f t="shared" si="16"/>
        <v>0</v>
      </c>
      <c r="CG248" s="17">
        <f t="shared" si="17"/>
        <v>9819</v>
      </c>
      <c r="CH248" s="3" t="str">
        <f t="shared" si="17"/>
        <v xml:space="preserve">برنامج دولى </v>
      </c>
    </row>
    <row r="249" spans="2:86" x14ac:dyDescent="0.25">
      <c r="B249" s="3"/>
      <c r="C249" s="25">
        <v>16318</v>
      </c>
      <c r="D249" s="20">
        <v>9820</v>
      </c>
      <c r="E249" s="42" t="s">
        <v>325</v>
      </c>
      <c r="F249" s="3" t="s">
        <v>851</v>
      </c>
      <c r="H249" s="3">
        <v>3736.25</v>
      </c>
      <c r="U249" s="3"/>
      <c r="V249" s="3"/>
      <c r="AS249" s="22">
        <f t="shared" si="15"/>
        <v>3736.25</v>
      </c>
      <c r="AT249" s="3">
        <v>3206.9</v>
      </c>
      <c r="AU249" s="3">
        <v>388.1</v>
      </c>
      <c r="AV249" s="3">
        <v>141.25</v>
      </c>
      <c r="BD249" s="3"/>
      <c r="BE249" s="3"/>
      <c r="CE249" s="22">
        <f t="shared" si="18"/>
        <v>3736.25</v>
      </c>
      <c r="CF249" s="3">
        <f t="shared" si="16"/>
        <v>0</v>
      </c>
      <c r="CG249" s="17">
        <f t="shared" si="17"/>
        <v>9820</v>
      </c>
      <c r="CH249" s="3" t="str">
        <f t="shared" si="17"/>
        <v xml:space="preserve">برنامج دولى </v>
      </c>
    </row>
    <row r="250" spans="2:86" x14ac:dyDescent="0.25">
      <c r="C250" s="25">
        <v>16315</v>
      </c>
      <c r="D250" s="20">
        <v>9821</v>
      </c>
      <c r="E250" s="42" t="s">
        <v>325</v>
      </c>
      <c r="F250" s="3" t="s">
        <v>851</v>
      </c>
      <c r="H250" s="3">
        <v>4807.25</v>
      </c>
      <c r="U250" s="3"/>
      <c r="V250" s="3"/>
      <c r="AS250" s="22">
        <f t="shared" si="15"/>
        <v>4807.25</v>
      </c>
      <c r="AT250" s="3">
        <v>3216.25</v>
      </c>
      <c r="AU250" s="3">
        <f>22.75+410</f>
        <v>432.75</v>
      </c>
      <c r="AV250" s="3">
        <v>1158.25</v>
      </c>
      <c r="BD250" s="3"/>
      <c r="BE250" s="3"/>
      <c r="CE250" s="22">
        <f t="shared" si="18"/>
        <v>4807.25</v>
      </c>
      <c r="CF250" s="3">
        <f t="shared" si="16"/>
        <v>0</v>
      </c>
      <c r="CG250" s="17">
        <f t="shared" si="17"/>
        <v>9821</v>
      </c>
      <c r="CH250" s="3" t="str">
        <f t="shared" si="17"/>
        <v xml:space="preserve">برنامج دولى </v>
      </c>
    </row>
    <row r="251" spans="2:86" x14ac:dyDescent="0.25">
      <c r="C251" s="25">
        <v>16312</v>
      </c>
      <c r="D251" s="20">
        <v>9822</v>
      </c>
      <c r="E251" s="42" t="s">
        <v>325</v>
      </c>
      <c r="F251" s="3" t="s">
        <v>852</v>
      </c>
      <c r="H251" s="3">
        <v>703.5</v>
      </c>
      <c r="U251" s="3"/>
      <c r="V251" s="3"/>
      <c r="AS251" s="22">
        <f t="shared" si="15"/>
        <v>703.5</v>
      </c>
      <c r="AT251" s="3">
        <v>470.6</v>
      </c>
      <c r="AU251" s="3">
        <v>63.4</v>
      </c>
      <c r="AV251" s="3">
        <v>169.5</v>
      </c>
      <c r="BD251" s="3"/>
      <c r="BE251" s="3"/>
      <c r="CE251" s="22">
        <f t="shared" si="18"/>
        <v>703.5</v>
      </c>
      <c r="CF251" s="3">
        <f t="shared" si="16"/>
        <v>0</v>
      </c>
      <c r="CG251" s="17">
        <f t="shared" si="17"/>
        <v>9822</v>
      </c>
      <c r="CH251" s="3" t="str">
        <f t="shared" si="17"/>
        <v xml:space="preserve">برنامج دولى </v>
      </c>
    </row>
    <row r="252" spans="2:86" x14ac:dyDescent="0.25">
      <c r="C252" s="25">
        <v>16313</v>
      </c>
      <c r="D252" s="20">
        <v>9823</v>
      </c>
      <c r="E252" s="42" t="s">
        <v>325</v>
      </c>
      <c r="F252" s="3" t="s">
        <v>852</v>
      </c>
      <c r="H252" s="3">
        <v>2814</v>
      </c>
      <c r="U252" s="3"/>
      <c r="V252" s="3"/>
      <c r="AS252" s="22">
        <f t="shared" si="15"/>
        <v>2814</v>
      </c>
      <c r="AT252" s="3">
        <v>1882.4</v>
      </c>
      <c r="AU252" s="3">
        <v>253.6</v>
      </c>
      <c r="AV252" s="3">
        <v>678</v>
      </c>
      <c r="BD252" s="3"/>
      <c r="BE252" s="3"/>
      <c r="CE252" s="22">
        <f t="shared" si="18"/>
        <v>2814</v>
      </c>
      <c r="CF252" s="3">
        <f t="shared" si="16"/>
        <v>0</v>
      </c>
      <c r="CG252" s="17">
        <f t="shared" si="17"/>
        <v>9823</v>
      </c>
      <c r="CH252" s="3" t="str">
        <f t="shared" si="17"/>
        <v xml:space="preserve">برنامج دولى </v>
      </c>
    </row>
    <row r="253" spans="2:86" x14ac:dyDescent="0.25">
      <c r="C253" s="25">
        <v>16314</v>
      </c>
      <c r="D253" s="20">
        <v>9824</v>
      </c>
      <c r="E253" s="42" t="s">
        <v>325</v>
      </c>
      <c r="F253" s="3" t="s">
        <v>852</v>
      </c>
      <c r="H253" s="3">
        <v>2564.15</v>
      </c>
      <c r="U253" s="3"/>
      <c r="V253" s="3"/>
      <c r="AS253" s="22">
        <f t="shared" si="15"/>
        <v>2564.15</v>
      </c>
      <c r="AT253" s="3">
        <v>1735.04</v>
      </c>
      <c r="AU253" s="3">
        <v>232.75</v>
      </c>
      <c r="AV253" s="3">
        <v>596.36</v>
      </c>
      <c r="BD253" s="3"/>
      <c r="BE253" s="3"/>
      <c r="CE253" s="22">
        <f t="shared" si="18"/>
        <v>2564.15</v>
      </c>
      <c r="CF253" s="3">
        <f t="shared" si="16"/>
        <v>0</v>
      </c>
      <c r="CG253" s="17">
        <f t="shared" si="17"/>
        <v>9824</v>
      </c>
      <c r="CH253" s="3" t="str">
        <f t="shared" si="17"/>
        <v xml:space="preserve">برنامج دولى </v>
      </c>
    </row>
    <row r="254" spans="2:86" x14ac:dyDescent="0.25">
      <c r="C254" s="25">
        <v>15971</v>
      </c>
      <c r="D254" s="20">
        <v>9825</v>
      </c>
      <c r="E254" s="42" t="s">
        <v>130</v>
      </c>
      <c r="F254" s="3" t="s">
        <v>853</v>
      </c>
      <c r="H254" s="3">
        <v>6519.11</v>
      </c>
      <c r="U254" s="3"/>
      <c r="V254" s="3"/>
      <c r="AS254" s="22">
        <f t="shared" si="15"/>
        <v>6519.11</v>
      </c>
      <c r="AT254" s="3">
        <v>3906.93</v>
      </c>
      <c r="AU254" s="3">
        <v>763.45</v>
      </c>
      <c r="AV254" s="3">
        <v>1570.72</v>
      </c>
      <c r="AW254" s="3">
        <v>278.01</v>
      </c>
      <c r="BD254" s="3"/>
      <c r="BE254" s="3"/>
      <c r="CE254" s="22">
        <f t="shared" si="18"/>
        <v>6519.1100000000006</v>
      </c>
      <c r="CF254" s="3">
        <f t="shared" si="16"/>
        <v>0</v>
      </c>
      <c r="CG254" s="17">
        <f t="shared" si="17"/>
        <v>9825</v>
      </c>
      <c r="CH254" s="3" t="str">
        <f t="shared" si="17"/>
        <v>خ ت طب</v>
      </c>
    </row>
    <row r="255" spans="2:86" x14ac:dyDescent="0.25">
      <c r="C255" s="25">
        <v>15972</v>
      </c>
      <c r="D255" s="20">
        <v>9826</v>
      </c>
      <c r="E255" s="42" t="s">
        <v>130</v>
      </c>
      <c r="F255" s="3" t="s">
        <v>853</v>
      </c>
      <c r="H255" s="3">
        <v>2026.67</v>
      </c>
      <c r="U255" s="3"/>
      <c r="V255" s="3"/>
      <c r="AS255" s="22">
        <f t="shared" si="15"/>
        <v>2026.67</v>
      </c>
      <c r="AT255" s="3">
        <v>1321.53</v>
      </c>
      <c r="AU255" s="3">
        <v>259.27999999999997</v>
      </c>
      <c r="AV255" s="3">
        <v>355.39</v>
      </c>
      <c r="AW255" s="3">
        <v>90.47</v>
      </c>
      <c r="BD255" s="3"/>
      <c r="BE255" s="3"/>
      <c r="CE255" s="22">
        <f t="shared" si="18"/>
        <v>2026.6699999999998</v>
      </c>
      <c r="CF255" s="3">
        <f t="shared" si="16"/>
        <v>0</v>
      </c>
      <c r="CG255" s="17">
        <f t="shared" si="17"/>
        <v>9826</v>
      </c>
      <c r="CH255" s="3" t="str">
        <f t="shared" si="17"/>
        <v>خ ت طب</v>
      </c>
    </row>
    <row r="256" spans="2:86" x14ac:dyDescent="0.25">
      <c r="C256" s="25">
        <v>15973</v>
      </c>
      <c r="D256" s="20">
        <v>9827</v>
      </c>
      <c r="E256" s="42" t="s">
        <v>130</v>
      </c>
      <c r="F256" s="3" t="s">
        <v>853</v>
      </c>
      <c r="H256" s="3">
        <v>9290.91</v>
      </c>
      <c r="U256" s="3"/>
      <c r="V256" s="3"/>
      <c r="AS256" s="22">
        <f t="shared" si="15"/>
        <v>9290.91</v>
      </c>
      <c r="AT256" s="3">
        <v>5998.59</v>
      </c>
      <c r="AU256" s="3">
        <v>699.81</v>
      </c>
      <c r="AV256" s="3">
        <v>2195.0100000000002</v>
      </c>
      <c r="AW256" s="3">
        <v>397.5</v>
      </c>
      <c r="BD256" s="3"/>
      <c r="BE256" s="3"/>
      <c r="CE256" s="22">
        <f t="shared" si="18"/>
        <v>9290.91</v>
      </c>
      <c r="CF256" s="3">
        <f t="shared" si="16"/>
        <v>0</v>
      </c>
      <c r="CG256" s="17">
        <f t="shared" si="17"/>
        <v>9827</v>
      </c>
      <c r="CH256" s="3" t="str">
        <f t="shared" si="17"/>
        <v>خ ت طب</v>
      </c>
    </row>
    <row r="257" spans="3:86" x14ac:dyDescent="0.25">
      <c r="C257" s="25">
        <v>15974</v>
      </c>
      <c r="D257" s="20">
        <v>9828</v>
      </c>
      <c r="E257" s="42" t="s">
        <v>130</v>
      </c>
      <c r="F257" s="3" t="s">
        <v>853</v>
      </c>
      <c r="H257" s="3">
        <v>604.89</v>
      </c>
      <c r="U257" s="3"/>
      <c r="V257" s="3"/>
      <c r="AS257" s="22">
        <f t="shared" si="15"/>
        <v>604.89</v>
      </c>
      <c r="AT257" s="3">
        <v>456.6</v>
      </c>
      <c r="AU257" s="3">
        <v>118.05</v>
      </c>
      <c r="AW257" s="3">
        <v>30.24</v>
      </c>
      <c r="BD257" s="3"/>
      <c r="BE257" s="3"/>
      <c r="CE257" s="22">
        <f t="shared" si="18"/>
        <v>604.89</v>
      </c>
      <c r="CF257" s="3">
        <f t="shared" si="16"/>
        <v>0</v>
      </c>
      <c r="CG257" s="17">
        <f t="shared" si="17"/>
        <v>9828</v>
      </c>
      <c r="CH257" s="3" t="str">
        <f t="shared" si="17"/>
        <v>خ ت طب</v>
      </c>
    </row>
    <row r="258" spans="3:86" x14ac:dyDescent="0.25">
      <c r="C258" s="25">
        <v>15654</v>
      </c>
      <c r="D258" s="20">
        <v>9829</v>
      </c>
      <c r="E258" s="42" t="s">
        <v>130</v>
      </c>
      <c r="F258" s="3" t="s">
        <v>854</v>
      </c>
      <c r="H258" s="3">
        <v>175.86</v>
      </c>
      <c r="U258" s="3"/>
      <c r="V258" s="3"/>
      <c r="AS258" s="22">
        <f t="shared" si="15"/>
        <v>175.86</v>
      </c>
      <c r="AT258" s="3">
        <v>113.4</v>
      </c>
      <c r="AU258" s="3">
        <v>12.6</v>
      </c>
      <c r="AV258" s="3">
        <v>42.36</v>
      </c>
      <c r="AW258" s="3">
        <v>7.5</v>
      </c>
      <c r="BD258" s="3"/>
      <c r="BE258" s="3"/>
      <c r="CE258" s="22">
        <f t="shared" si="18"/>
        <v>175.86</v>
      </c>
      <c r="CF258" s="3">
        <f t="shared" si="16"/>
        <v>0</v>
      </c>
      <c r="CG258" s="17">
        <f t="shared" si="17"/>
        <v>9829</v>
      </c>
      <c r="CH258" s="3" t="str">
        <f t="shared" si="17"/>
        <v>خ ت طب</v>
      </c>
    </row>
    <row r="259" spans="3:86" x14ac:dyDescent="0.25">
      <c r="C259" s="25">
        <v>15905</v>
      </c>
      <c r="D259" s="20">
        <v>9830</v>
      </c>
      <c r="E259" s="42" t="s">
        <v>130</v>
      </c>
      <c r="F259" s="3" t="s">
        <v>855</v>
      </c>
      <c r="H259" s="3">
        <v>164.15</v>
      </c>
      <c r="U259" s="3"/>
      <c r="V259" s="3"/>
      <c r="AS259" s="22">
        <f t="shared" si="15"/>
        <v>164.15</v>
      </c>
      <c r="AT259" s="3">
        <v>99.92</v>
      </c>
      <c r="AU259" s="3">
        <v>17.68</v>
      </c>
      <c r="AV259" s="3">
        <v>39.549999999999997</v>
      </c>
      <c r="AW259" s="3">
        <v>7</v>
      </c>
      <c r="BD259" s="3"/>
      <c r="BE259" s="3"/>
      <c r="CE259" s="22">
        <f t="shared" si="18"/>
        <v>164.14999999999998</v>
      </c>
      <c r="CF259" s="3">
        <f t="shared" si="16"/>
        <v>0</v>
      </c>
      <c r="CG259" s="17">
        <f t="shared" si="17"/>
        <v>9830</v>
      </c>
      <c r="CH259" s="3" t="str">
        <f t="shared" si="17"/>
        <v>خ ت طب</v>
      </c>
    </row>
    <row r="260" spans="3:86" x14ac:dyDescent="0.25">
      <c r="C260" s="25">
        <v>15653</v>
      </c>
      <c r="D260" s="20">
        <v>9831</v>
      </c>
      <c r="E260" s="42" t="s">
        <v>130</v>
      </c>
      <c r="F260" s="3" t="s">
        <v>856</v>
      </c>
      <c r="H260" s="3">
        <v>117.255</v>
      </c>
      <c r="U260" s="3"/>
      <c r="V260" s="3"/>
      <c r="AS260" s="22">
        <f t="shared" si="15"/>
        <v>117.255</v>
      </c>
      <c r="AT260" s="3">
        <v>73.040000000000006</v>
      </c>
      <c r="AU260" s="3">
        <v>10.96</v>
      </c>
      <c r="AV260" s="3">
        <v>28.25</v>
      </c>
      <c r="AW260" s="3">
        <v>5</v>
      </c>
      <c r="BD260" s="3"/>
      <c r="BE260" s="3"/>
      <c r="CE260" s="22">
        <f t="shared" si="18"/>
        <v>117.25</v>
      </c>
      <c r="CF260" s="3">
        <f t="shared" si="16"/>
        <v>-4.9999999999954525E-3</v>
      </c>
      <c r="CG260" s="17">
        <f t="shared" si="17"/>
        <v>9831</v>
      </c>
      <c r="CH260" s="3" t="str">
        <f t="shared" si="17"/>
        <v>خ ت طب</v>
      </c>
    </row>
    <row r="261" spans="3:86" x14ac:dyDescent="0.25">
      <c r="C261" s="25">
        <v>15652</v>
      </c>
      <c r="D261" s="20">
        <v>9832</v>
      </c>
      <c r="E261" s="42" t="s">
        <v>130</v>
      </c>
      <c r="F261" s="3" t="s">
        <v>857</v>
      </c>
      <c r="H261" s="3">
        <v>361.2</v>
      </c>
      <c r="U261" s="3"/>
      <c r="V261" s="3"/>
      <c r="AS261" s="22">
        <f t="shared" si="15"/>
        <v>361.2</v>
      </c>
      <c r="AT261" s="3">
        <v>229.95</v>
      </c>
      <c r="AU261" s="3">
        <v>25.55</v>
      </c>
      <c r="AV261" s="3">
        <v>90.4</v>
      </c>
      <c r="AW261" s="3">
        <v>15.3</v>
      </c>
      <c r="BD261" s="3"/>
      <c r="BE261" s="3"/>
      <c r="CE261" s="22">
        <f t="shared" si="18"/>
        <v>361.2</v>
      </c>
      <c r="CF261" s="3">
        <f t="shared" si="16"/>
        <v>0</v>
      </c>
      <c r="CG261" s="17">
        <f t="shared" si="17"/>
        <v>9832</v>
      </c>
      <c r="CH261" s="3" t="str">
        <f t="shared" si="17"/>
        <v>خ ت طب</v>
      </c>
    </row>
    <row r="262" spans="3:86" x14ac:dyDescent="0.25">
      <c r="C262" s="25">
        <v>15651</v>
      </c>
      <c r="D262" s="20">
        <v>9833</v>
      </c>
      <c r="E262" s="42" t="s">
        <v>130</v>
      </c>
      <c r="F262" s="3" t="str">
        <f>+F259</f>
        <v>مكافاه قسم الحسابات</v>
      </c>
      <c r="H262" s="3">
        <v>515.9</v>
      </c>
      <c r="U262" s="3"/>
      <c r="V262" s="3"/>
      <c r="AS262" s="22">
        <f t="shared" si="15"/>
        <v>515.9</v>
      </c>
      <c r="AT262" s="3">
        <v>332.64</v>
      </c>
      <c r="AU262" s="3">
        <v>36.96</v>
      </c>
      <c r="AV262" s="3">
        <v>124.3</v>
      </c>
      <c r="AW262" s="3">
        <v>22</v>
      </c>
      <c r="BD262" s="3"/>
      <c r="BE262" s="3"/>
      <c r="CE262" s="22">
        <f t="shared" si="18"/>
        <v>515.9</v>
      </c>
      <c r="CF262" s="3">
        <f t="shared" si="16"/>
        <v>0</v>
      </c>
      <c r="CG262" s="17">
        <f t="shared" si="17"/>
        <v>9833</v>
      </c>
      <c r="CH262" s="3" t="str">
        <f t="shared" si="17"/>
        <v>خ ت طب</v>
      </c>
    </row>
    <row r="263" spans="3:86" x14ac:dyDescent="0.25">
      <c r="C263" s="25">
        <v>15650</v>
      </c>
      <c r="D263" s="20">
        <v>9834</v>
      </c>
      <c r="E263" s="42" t="s">
        <v>130</v>
      </c>
      <c r="F263" s="3" t="str">
        <f>+F262</f>
        <v>مكافاه قسم الحسابات</v>
      </c>
      <c r="H263" s="3">
        <v>1050.46</v>
      </c>
      <c r="U263" s="3"/>
      <c r="V263" s="3"/>
      <c r="AS263" s="22">
        <f t="shared" si="15"/>
        <v>1050.46</v>
      </c>
      <c r="AT263" s="3">
        <v>625</v>
      </c>
      <c r="AU263" s="3">
        <v>127.56</v>
      </c>
      <c r="AV263" s="3">
        <v>253.11</v>
      </c>
      <c r="AW263" s="3">
        <v>44.79</v>
      </c>
      <c r="BD263" s="3"/>
      <c r="BE263" s="3"/>
      <c r="CE263" s="22">
        <f t="shared" si="18"/>
        <v>1050.46</v>
      </c>
      <c r="CF263" s="3">
        <f t="shared" si="16"/>
        <v>0</v>
      </c>
      <c r="CG263" s="17">
        <f t="shared" si="17"/>
        <v>9834</v>
      </c>
      <c r="CH263" s="3" t="str">
        <f t="shared" si="17"/>
        <v>خ ت طب</v>
      </c>
    </row>
    <row r="264" spans="3:86" x14ac:dyDescent="0.25">
      <c r="C264" s="25">
        <v>15649</v>
      </c>
      <c r="D264" s="20">
        <v>9835</v>
      </c>
      <c r="E264" s="42" t="s">
        <v>130</v>
      </c>
      <c r="F264" s="3" t="str">
        <f>+F263</f>
        <v>مكافاه قسم الحسابات</v>
      </c>
      <c r="H264" s="3">
        <v>158.29</v>
      </c>
      <c r="U264" s="3"/>
      <c r="V264" s="3"/>
      <c r="AS264" s="22">
        <f t="shared" si="15"/>
        <v>158.29</v>
      </c>
      <c r="AT264" s="3">
        <v>93.12</v>
      </c>
      <c r="AU264" s="3">
        <v>20.28</v>
      </c>
      <c r="AV264" s="3">
        <v>38.14</v>
      </c>
      <c r="AW264" s="3">
        <v>6.75</v>
      </c>
      <c r="BD264" s="3"/>
      <c r="BE264" s="3"/>
      <c r="CE264" s="22">
        <f t="shared" si="18"/>
        <v>158.29000000000002</v>
      </c>
      <c r="CF264" s="3">
        <f t="shared" si="16"/>
        <v>0</v>
      </c>
      <c r="CG264" s="17">
        <f t="shared" si="17"/>
        <v>9835</v>
      </c>
      <c r="CH264" s="3" t="str">
        <f t="shared" si="17"/>
        <v>خ ت طب</v>
      </c>
    </row>
    <row r="265" spans="3:86" x14ac:dyDescent="0.25">
      <c r="C265" s="25">
        <v>15648</v>
      </c>
      <c r="D265" s="20">
        <v>9836</v>
      </c>
      <c r="E265" s="42" t="s">
        <v>130</v>
      </c>
      <c r="F265" s="3" t="s">
        <v>494</v>
      </c>
      <c r="H265" s="3">
        <v>469</v>
      </c>
      <c r="U265" s="3"/>
      <c r="V265" s="3"/>
      <c r="AS265" s="22">
        <f t="shared" si="15"/>
        <v>469</v>
      </c>
      <c r="AT265" s="3">
        <v>302.39999999999998</v>
      </c>
      <c r="AU265" s="3">
        <v>33.6</v>
      </c>
      <c r="AV265" s="3">
        <v>113</v>
      </c>
      <c r="AW265" s="3">
        <v>20</v>
      </c>
      <c r="BD265" s="3"/>
      <c r="BE265" s="3"/>
      <c r="CE265" s="22">
        <f t="shared" si="18"/>
        <v>469</v>
      </c>
      <c r="CF265" s="3">
        <f t="shared" si="16"/>
        <v>0</v>
      </c>
      <c r="CG265" s="17">
        <f t="shared" si="17"/>
        <v>9836</v>
      </c>
      <c r="CH265" s="3" t="str">
        <f t="shared" si="17"/>
        <v>خ ت طب</v>
      </c>
    </row>
    <row r="266" spans="3:86" x14ac:dyDescent="0.25">
      <c r="C266" s="25">
        <v>15647</v>
      </c>
      <c r="D266" s="20">
        <v>9837</v>
      </c>
      <c r="E266" s="42" t="s">
        <v>130</v>
      </c>
      <c r="F266" s="3" t="s">
        <v>494</v>
      </c>
      <c r="H266" s="3">
        <v>373.99</v>
      </c>
      <c r="U266" s="3"/>
      <c r="V266" s="3"/>
      <c r="AS266" s="22">
        <f t="shared" si="15"/>
        <v>373.99</v>
      </c>
      <c r="AT266" s="3">
        <v>246.69</v>
      </c>
      <c r="AU266" s="3">
        <v>38.76</v>
      </c>
      <c r="AV266" s="3">
        <v>72.040000000000006</v>
      </c>
      <c r="AW266" s="3">
        <v>16.5</v>
      </c>
      <c r="BD266" s="3"/>
      <c r="BE266" s="3"/>
      <c r="CE266" s="22">
        <f t="shared" si="18"/>
        <v>373.99</v>
      </c>
      <c r="CF266" s="3">
        <f t="shared" si="16"/>
        <v>0</v>
      </c>
      <c r="CG266" s="17">
        <f t="shared" si="17"/>
        <v>9837</v>
      </c>
      <c r="CH266" s="3" t="str">
        <f t="shared" si="17"/>
        <v>خ ت طب</v>
      </c>
    </row>
    <row r="267" spans="3:86" x14ac:dyDescent="0.25">
      <c r="C267" s="25">
        <v>15646</v>
      </c>
      <c r="D267" s="20">
        <v>9838</v>
      </c>
      <c r="E267" s="42" t="s">
        <v>130</v>
      </c>
      <c r="F267" s="3" t="s">
        <v>858</v>
      </c>
      <c r="H267" s="3">
        <v>187.6</v>
      </c>
      <c r="U267" s="3"/>
      <c r="V267" s="3"/>
      <c r="AS267" s="22">
        <f t="shared" si="15"/>
        <v>187.6</v>
      </c>
      <c r="AT267" s="3">
        <v>120.96</v>
      </c>
      <c r="AU267" s="3">
        <v>13.44</v>
      </c>
      <c r="AV267" s="3">
        <v>45.2</v>
      </c>
      <c r="AW267" s="3">
        <v>8</v>
      </c>
      <c r="BD267" s="3"/>
      <c r="BE267" s="3"/>
      <c r="CE267" s="22">
        <f t="shared" si="18"/>
        <v>187.60000000000002</v>
      </c>
      <c r="CF267" s="3">
        <f t="shared" si="16"/>
        <v>0</v>
      </c>
      <c r="CG267" s="17">
        <f t="shared" si="17"/>
        <v>9838</v>
      </c>
      <c r="CH267" s="3" t="str">
        <f t="shared" si="17"/>
        <v>خ ت طب</v>
      </c>
    </row>
    <row r="268" spans="3:86" x14ac:dyDescent="0.25">
      <c r="C268" s="25">
        <v>15645</v>
      </c>
      <c r="D268" s="20">
        <v>9839</v>
      </c>
      <c r="E268" s="42" t="s">
        <v>130</v>
      </c>
      <c r="F268" s="3" t="s">
        <v>858</v>
      </c>
      <c r="H268" s="3">
        <v>140.69999999999999</v>
      </c>
      <c r="U268" s="3"/>
      <c r="V268" s="3"/>
      <c r="AS268" s="22">
        <f t="shared" si="15"/>
        <v>140.69999999999999</v>
      </c>
      <c r="AT268" s="3">
        <v>87.41</v>
      </c>
      <c r="AU268" s="3">
        <v>13.39</v>
      </c>
      <c r="AV268" s="3">
        <v>33.9</v>
      </c>
      <c r="AW268" s="3">
        <v>6</v>
      </c>
      <c r="BD268" s="3"/>
      <c r="BE268" s="3"/>
      <c r="CE268" s="22">
        <f t="shared" si="18"/>
        <v>140.69999999999999</v>
      </c>
      <c r="CF268" s="3">
        <f t="shared" si="16"/>
        <v>0</v>
      </c>
      <c r="CG268" s="17">
        <f t="shared" si="17"/>
        <v>9839</v>
      </c>
      <c r="CH268" s="3" t="str">
        <f t="shared" si="17"/>
        <v>خ ت طب</v>
      </c>
    </row>
    <row r="269" spans="3:86" x14ac:dyDescent="0.25">
      <c r="C269" s="25">
        <v>15644</v>
      </c>
      <c r="D269" s="20">
        <v>9840</v>
      </c>
      <c r="E269" s="42" t="s">
        <v>130</v>
      </c>
      <c r="F269" s="3" t="s">
        <v>492</v>
      </c>
      <c r="H269" s="3">
        <v>87.94</v>
      </c>
      <c r="U269" s="3"/>
      <c r="V269" s="3"/>
      <c r="AS269" s="22">
        <f t="shared" si="15"/>
        <v>87.94</v>
      </c>
      <c r="AT269" s="3">
        <v>53.46</v>
      </c>
      <c r="AU269" s="3">
        <v>9.5399999999999991</v>
      </c>
      <c r="AV269" s="3">
        <v>21.19</v>
      </c>
      <c r="AW269" s="3">
        <v>3.75</v>
      </c>
      <c r="BD269" s="3"/>
      <c r="BE269" s="3"/>
      <c r="CE269" s="22">
        <f t="shared" si="18"/>
        <v>87.94</v>
      </c>
      <c r="CF269" s="3">
        <f t="shared" si="16"/>
        <v>0</v>
      </c>
      <c r="CG269" s="17">
        <f t="shared" si="17"/>
        <v>9840</v>
      </c>
      <c r="CH269" s="3" t="str">
        <f t="shared" si="17"/>
        <v>خ ت طب</v>
      </c>
    </row>
    <row r="270" spans="3:86" x14ac:dyDescent="0.25">
      <c r="C270" s="25">
        <v>15643</v>
      </c>
      <c r="D270" s="20">
        <v>9841</v>
      </c>
      <c r="E270" s="42" t="s">
        <v>130</v>
      </c>
      <c r="F270" s="3" t="s">
        <v>859</v>
      </c>
      <c r="H270" s="3">
        <v>515.9</v>
      </c>
      <c r="U270" s="3"/>
      <c r="V270" s="3"/>
      <c r="AS270" s="22">
        <f t="shared" si="15"/>
        <v>515.9</v>
      </c>
      <c r="AT270" s="3">
        <v>332.64</v>
      </c>
      <c r="AU270" s="3">
        <v>36.96</v>
      </c>
      <c r="AV270" s="3">
        <v>124.3</v>
      </c>
      <c r="AW270" s="3">
        <v>22</v>
      </c>
      <c r="BD270" s="3"/>
      <c r="BE270" s="3"/>
      <c r="CE270" s="22">
        <f t="shared" si="18"/>
        <v>515.9</v>
      </c>
      <c r="CF270" s="3">
        <f t="shared" si="16"/>
        <v>0</v>
      </c>
      <c r="CG270" s="17">
        <f t="shared" si="17"/>
        <v>9841</v>
      </c>
      <c r="CH270" s="3" t="str">
        <f t="shared" si="17"/>
        <v>خ ت طب</v>
      </c>
    </row>
    <row r="271" spans="3:86" x14ac:dyDescent="0.25">
      <c r="C271" s="25">
        <v>15642</v>
      </c>
      <c r="D271" s="20">
        <v>9842</v>
      </c>
      <c r="E271" s="42" t="s">
        <v>130</v>
      </c>
      <c r="F271" s="3" t="s">
        <v>859</v>
      </c>
      <c r="H271" s="3">
        <v>510.04</v>
      </c>
      <c r="U271" s="3"/>
      <c r="V271" s="3"/>
      <c r="AS271" s="22">
        <f t="shared" si="15"/>
        <v>510.04</v>
      </c>
      <c r="AT271" s="3">
        <v>316.49</v>
      </c>
      <c r="AU271" s="3">
        <v>48.91</v>
      </c>
      <c r="AV271" s="3">
        <v>122.89</v>
      </c>
      <c r="AW271" s="3">
        <v>21.75</v>
      </c>
      <c r="BD271" s="3"/>
      <c r="BE271" s="3"/>
      <c r="CE271" s="22">
        <f t="shared" si="18"/>
        <v>510.03999999999996</v>
      </c>
      <c r="CF271" s="3">
        <f t="shared" si="16"/>
        <v>0</v>
      </c>
      <c r="CG271" s="17">
        <f t="shared" si="17"/>
        <v>9842</v>
      </c>
      <c r="CH271" s="3" t="str">
        <f t="shared" si="17"/>
        <v>خ ت طب</v>
      </c>
    </row>
    <row r="272" spans="3:86" x14ac:dyDescent="0.25">
      <c r="C272" s="25">
        <v>15641</v>
      </c>
      <c r="D272" s="20">
        <v>9843</v>
      </c>
      <c r="E272" s="42" t="s">
        <v>130</v>
      </c>
      <c r="F272" s="3" t="s">
        <v>490</v>
      </c>
      <c r="H272" s="3">
        <v>93.8</v>
      </c>
      <c r="U272" s="3"/>
      <c r="V272" s="3"/>
      <c r="AS272" s="22">
        <f t="shared" si="15"/>
        <v>93.8</v>
      </c>
      <c r="AT272" s="3">
        <v>57.12</v>
      </c>
      <c r="AU272" s="3">
        <v>10.08</v>
      </c>
      <c r="AV272" s="3">
        <v>22.6</v>
      </c>
      <c r="AW272" s="3">
        <v>4</v>
      </c>
      <c r="BD272" s="3"/>
      <c r="BE272" s="3"/>
      <c r="CE272" s="22">
        <f t="shared" si="18"/>
        <v>93.800000000000011</v>
      </c>
      <c r="CF272" s="3">
        <f t="shared" si="16"/>
        <v>0</v>
      </c>
      <c r="CG272" s="17">
        <f t="shared" si="17"/>
        <v>9843</v>
      </c>
      <c r="CH272" s="3" t="str">
        <f t="shared" si="17"/>
        <v>خ ت طب</v>
      </c>
    </row>
    <row r="273" spans="3:86" x14ac:dyDescent="0.25">
      <c r="C273" s="25">
        <v>15640</v>
      </c>
      <c r="D273" s="20">
        <v>9844</v>
      </c>
      <c r="E273" s="42" t="s">
        <v>130</v>
      </c>
      <c r="F273" s="3" t="s">
        <v>485</v>
      </c>
      <c r="H273" s="3">
        <v>46.9</v>
      </c>
      <c r="U273" s="3"/>
      <c r="V273" s="3"/>
      <c r="AS273" s="22">
        <f t="shared" si="15"/>
        <v>46.9</v>
      </c>
      <c r="AT273" s="3">
        <v>30.24</v>
      </c>
      <c r="AU273" s="3">
        <v>3.36</v>
      </c>
      <c r="AV273" s="3">
        <v>11.3</v>
      </c>
      <c r="AW273" s="3">
        <v>2</v>
      </c>
      <c r="BD273" s="3"/>
      <c r="BE273" s="3"/>
      <c r="CE273" s="22">
        <f t="shared" si="18"/>
        <v>46.900000000000006</v>
      </c>
      <c r="CF273" s="3">
        <f t="shared" si="16"/>
        <v>0</v>
      </c>
      <c r="CG273" s="17">
        <f t="shared" si="17"/>
        <v>9844</v>
      </c>
      <c r="CH273" s="3" t="str">
        <f t="shared" si="17"/>
        <v>خ ت طب</v>
      </c>
    </row>
    <row r="274" spans="3:86" x14ac:dyDescent="0.25">
      <c r="C274" s="25">
        <v>15639</v>
      </c>
      <c r="D274" s="20">
        <v>9845</v>
      </c>
      <c r="E274" s="42" t="s">
        <v>130</v>
      </c>
      <c r="F274" s="3" t="s">
        <v>485</v>
      </c>
      <c r="H274" s="3">
        <v>185.96</v>
      </c>
      <c r="U274" s="3"/>
      <c r="V274" s="3"/>
      <c r="AS274" s="22">
        <f t="shared" si="15"/>
        <v>185.96</v>
      </c>
      <c r="AT274" s="3">
        <v>113.2</v>
      </c>
      <c r="AU274" s="3">
        <v>20.02</v>
      </c>
      <c r="AV274" s="3">
        <v>44.81</v>
      </c>
      <c r="AW274" s="3">
        <v>7.93</v>
      </c>
      <c r="BD274" s="3"/>
      <c r="BE274" s="3"/>
      <c r="CE274" s="22">
        <f t="shared" si="18"/>
        <v>185.96</v>
      </c>
      <c r="CF274" s="3">
        <f t="shared" si="16"/>
        <v>0</v>
      </c>
      <c r="CG274" s="17">
        <f t="shared" si="17"/>
        <v>9845</v>
      </c>
      <c r="CH274" s="3" t="str">
        <f t="shared" si="17"/>
        <v>خ ت طب</v>
      </c>
    </row>
    <row r="275" spans="3:86" x14ac:dyDescent="0.25">
      <c r="C275" s="25">
        <v>15638</v>
      </c>
      <c r="D275" s="20">
        <v>9846</v>
      </c>
      <c r="E275" s="42" t="s">
        <v>130</v>
      </c>
      <c r="F275" s="3" t="s">
        <v>499</v>
      </c>
      <c r="H275" s="3">
        <v>187.6</v>
      </c>
      <c r="U275" s="3"/>
      <c r="V275" s="3"/>
      <c r="AS275" s="22">
        <f t="shared" si="15"/>
        <v>187.6</v>
      </c>
      <c r="AT275" s="3">
        <v>121.76</v>
      </c>
      <c r="AU275" s="3">
        <v>12.64</v>
      </c>
      <c r="AV275" s="3">
        <v>45.2</v>
      </c>
      <c r="AW275" s="3">
        <v>8</v>
      </c>
      <c r="BD275" s="3"/>
      <c r="BE275" s="3"/>
      <c r="CE275" s="22">
        <f t="shared" si="18"/>
        <v>187.60000000000002</v>
      </c>
      <c r="CF275" s="3">
        <f t="shared" si="16"/>
        <v>0</v>
      </c>
      <c r="CG275" s="17">
        <f t="shared" si="17"/>
        <v>9846</v>
      </c>
      <c r="CH275" s="3" t="str">
        <f t="shared" si="17"/>
        <v>خ ت طب</v>
      </c>
    </row>
    <row r="276" spans="3:86" x14ac:dyDescent="0.25">
      <c r="C276" s="25">
        <v>15637</v>
      </c>
      <c r="D276" s="20">
        <v>9847</v>
      </c>
      <c r="E276" s="42" t="s">
        <v>130</v>
      </c>
      <c r="F276" s="3" t="s">
        <v>860</v>
      </c>
      <c r="H276" s="3">
        <v>175.88</v>
      </c>
      <c r="U276" s="3"/>
      <c r="V276" s="3"/>
      <c r="AS276" s="22">
        <f t="shared" si="15"/>
        <v>175.88</v>
      </c>
      <c r="AT276" s="3">
        <v>112.95</v>
      </c>
      <c r="AU276" s="3">
        <v>13.05</v>
      </c>
      <c r="AV276" s="3">
        <v>42.38</v>
      </c>
      <c r="AW276" s="3">
        <v>7.5</v>
      </c>
      <c r="BD276" s="3"/>
      <c r="BE276" s="3"/>
      <c r="CE276" s="22">
        <f t="shared" si="18"/>
        <v>175.88</v>
      </c>
      <c r="CF276" s="3">
        <f t="shared" si="16"/>
        <v>0</v>
      </c>
      <c r="CG276" s="17">
        <f t="shared" si="17"/>
        <v>9847</v>
      </c>
      <c r="CH276" s="3" t="str">
        <f t="shared" si="17"/>
        <v>خ ت طب</v>
      </c>
    </row>
    <row r="277" spans="3:86" x14ac:dyDescent="0.25">
      <c r="C277" s="25">
        <v>15636</v>
      </c>
      <c r="D277" s="20">
        <v>9848</v>
      </c>
      <c r="E277" s="42" t="s">
        <v>130</v>
      </c>
      <c r="F277" s="3" t="s">
        <v>861</v>
      </c>
      <c r="H277" s="3">
        <v>307.60000000000002</v>
      </c>
      <c r="U277" s="3"/>
      <c r="V277" s="3"/>
      <c r="AS277" s="22">
        <f t="shared" si="15"/>
        <v>307.60000000000002</v>
      </c>
      <c r="AT277" s="3">
        <v>223.56</v>
      </c>
      <c r="AU277" s="3">
        <v>24.84</v>
      </c>
      <c r="AV277" s="3">
        <v>45.2</v>
      </c>
      <c r="AW277" s="3">
        <v>14</v>
      </c>
      <c r="BD277" s="3"/>
      <c r="BE277" s="3"/>
      <c r="CE277" s="22">
        <f t="shared" si="18"/>
        <v>307.60000000000002</v>
      </c>
      <c r="CF277" s="3">
        <f t="shared" si="16"/>
        <v>0</v>
      </c>
      <c r="CG277" s="17">
        <f t="shared" si="17"/>
        <v>9848</v>
      </c>
      <c r="CH277" s="3" t="str">
        <f t="shared" si="17"/>
        <v>خ ت طب</v>
      </c>
    </row>
    <row r="278" spans="3:86" x14ac:dyDescent="0.25">
      <c r="C278" s="25">
        <v>15635</v>
      </c>
      <c r="D278" s="20">
        <v>9849</v>
      </c>
      <c r="E278" s="42" t="s">
        <v>130</v>
      </c>
      <c r="F278" s="3" t="s">
        <v>862</v>
      </c>
      <c r="H278" s="3">
        <v>140.69999999999999</v>
      </c>
      <c r="U278" s="3"/>
      <c r="V278" s="3"/>
      <c r="AS278" s="22">
        <f t="shared" si="15"/>
        <v>140.69999999999999</v>
      </c>
      <c r="AT278" s="3">
        <v>87.36</v>
      </c>
      <c r="AU278" s="3">
        <v>13.44</v>
      </c>
      <c r="AV278" s="3">
        <v>33.9</v>
      </c>
      <c r="AW278" s="3">
        <v>6</v>
      </c>
      <c r="BD278" s="3"/>
      <c r="BE278" s="3"/>
      <c r="CE278" s="22">
        <f t="shared" si="18"/>
        <v>140.69999999999999</v>
      </c>
      <c r="CF278" s="3">
        <f t="shared" si="16"/>
        <v>0</v>
      </c>
      <c r="CG278" s="17">
        <f t="shared" si="17"/>
        <v>9849</v>
      </c>
      <c r="CH278" s="3" t="str">
        <f t="shared" si="17"/>
        <v>خ ت طب</v>
      </c>
    </row>
    <row r="279" spans="3:86" x14ac:dyDescent="0.25">
      <c r="C279" s="25">
        <v>15634</v>
      </c>
      <c r="D279" s="20">
        <v>9850</v>
      </c>
      <c r="E279" s="42" t="s">
        <v>130</v>
      </c>
      <c r="F279" s="3" t="s">
        <v>863</v>
      </c>
      <c r="H279" s="3">
        <v>134.84</v>
      </c>
      <c r="U279" s="3"/>
      <c r="V279" s="3"/>
      <c r="AS279" s="22">
        <f t="shared" si="15"/>
        <v>134.84</v>
      </c>
      <c r="AT279" s="3">
        <v>82.02</v>
      </c>
      <c r="AU279" s="3">
        <v>14.58</v>
      </c>
      <c r="AV279" s="3">
        <v>32.49</v>
      </c>
      <c r="AW279" s="3">
        <v>5.75</v>
      </c>
      <c r="BD279" s="3"/>
      <c r="BE279" s="3"/>
      <c r="CE279" s="22">
        <f t="shared" si="18"/>
        <v>134.84</v>
      </c>
      <c r="CF279" s="3">
        <f t="shared" si="16"/>
        <v>0</v>
      </c>
      <c r="CG279" s="17">
        <f t="shared" si="17"/>
        <v>9850</v>
      </c>
      <c r="CH279" s="3" t="str">
        <f t="shared" si="17"/>
        <v>خ ت طب</v>
      </c>
    </row>
    <row r="280" spans="3:86" x14ac:dyDescent="0.25">
      <c r="C280" s="25">
        <v>15633</v>
      </c>
      <c r="D280" s="20">
        <v>9851</v>
      </c>
      <c r="E280" s="42" t="s">
        <v>130</v>
      </c>
      <c r="F280" s="3" t="s">
        <v>863</v>
      </c>
      <c r="H280" s="3">
        <v>515.9</v>
      </c>
      <c r="U280" s="3"/>
      <c r="V280" s="3"/>
      <c r="AS280" s="22">
        <f t="shared" si="15"/>
        <v>515.9</v>
      </c>
      <c r="AT280" s="3">
        <v>332.64</v>
      </c>
      <c r="AU280" s="3">
        <v>36.96</v>
      </c>
      <c r="AV280" s="3">
        <v>124.3</v>
      </c>
      <c r="AW280" s="3">
        <v>22</v>
      </c>
      <c r="BD280" s="3"/>
      <c r="BE280" s="3"/>
      <c r="CE280" s="22">
        <f t="shared" si="18"/>
        <v>515.9</v>
      </c>
      <c r="CF280" s="3">
        <f t="shared" si="16"/>
        <v>0</v>
      </c>
      <c r="CG280" s="17">
        <f t="shared" si="17"/>
        <v>9851</v>
      </c>
      <c r="CH280" s="3" t="str">
        <f t="shared" si="17"/>
        <v>خ ت طب</v>
      </c>
    </row>
    <row r="281" spans="3:86" x14ac:dyDescent="0.25">
      <c r="C281" s="25">
        <v>15632</v>
      </c>
      <c r="D281" s="20">
        <v>9852</v>
      </c>
      <c r="E281" s="42" t="s">
        <v>130</v>
      </c>
      <c r="F281" s="3" t="s">
        <v>495</v>
      </c>
      <c r="H281" s="3">
        <v>707.22</v>
      </c>
      <c r="U281" s="3"/>
      <c r="V281" s="3"/>
      <c r="AS281" s="22">
        <f t="shared" si="15"/>
        <v>707.22</v>
      </c>
      <c r="AT281" s="3">
        <v>451.46</v>
      </c>
      <c r="AU281" s="3">
        <v>50.16</v>
      </c>
      <c r="AV281" s="3">
        <v>175.6</v>
      </c>
      <c r="AW281" s="3">
        <v>30</v>
      </c>
      <c r="BD281" s="3"/>
      <c r="BE281" s="3"/>
      <c r="CE281" s="22">
        <f t="shared" si="18"/>
        <v>707.22</v>
      </c>
      <c r="CF281" s="3">
        <f t="shared" si="16"/>
        <v>0</v>
      </c>
      <c r="CG281" s="17">
        <f t="shared" si="17"/>
        <v>9852</v>
      </c>
      <c r="CH281" s="3" t="str">
        <f t="shared" si="17"/>
        <v>خ ت طب</v>
      </c>
    </row>
    <row r="282" spans="3:86" x14ac:dyDescent="0.25">
      <c r="C282" s="25">
        <v>15631</v>
      </c>
      <c r="D282" s="20">
        <v>9853</v>
      </c>
      <c r="E282" s="42" t="s">
        <v>130</v>
      </c>
      <c r="F282" s="3" t="s">
        <v>495</v>
      </c>
      <c r="H282" s="3">
        <v>515.91</v>
      </c>
      <c r="U282" s="3"/>
      <c r="V282" s="3"/>
      <c r="AS282" s="22">
        <f t="shared" ref="AS282:AS335" si="21">SUM(H282:AQ282)</f>
        <v>515.91</v>
      </c>
      <c r="AT282" s="3">
        <v>310.83999999999997</v>
      </c>
      <c r="AU282" s="3">
        <v>58.76</v>
      </c>
      <c r="AV282" s="3">
        <v>124.31</v>
      </c>
      <c r="AW282" s="3">
        <v>22</v>
      </c>
      <c r="BD282" s="3"/>
      <c r="BE282" s="3"/>
      <c r="CE282" s="22">
        <f t="shared" si="18"/>
        <v>515.91</v>
      </c>
      <c r="CF282" s="3">
        <f t="shared" si="16"/>
        <v>0</v>
      </c>
      <c r="CG282" s="17">
        <f t="shared" si="17"/>
        <v>9853</v>
      </c>
      <c r="CH282" s="3" t="str">
        <f t="shared" si="17"/>
        <v>خ ت طب</v>
      </c>
    </row>
    <row r="283" spans="3:86" x14ac:dyDescent="0.25">
      <c r="C283" s="25">
        <v>15630</v>
      </c>
      <c r="D283" s="20">
        <v>9854</v>
      </c>
      <c r="E283" s="42" t="s">
        <v>130</v>
      </c>
      <c r="F283" s="3" t="s">
        <v>864</v>
      </c>
      <c r="H283" s="3">
        <v>311.12</v>
      </c>
      <c r="U283" s="3"/>
      <c r="V283" s="3"/>
      <c r="AS283" s="22">
        <f t="shared" si="21"/>
        <v>311.12</v>
      </c>
      <c r="AT283" s="3">
        <v>191.91</v>
      </c>
      <c r="AU283" s="3">
        <v>30.98</v>
      </c>
      <c r="AV283" s="3">
        <v>74.95</v>
      </c>
      <c r="AW283" s="3">
        <v>13.28</v>
      </c>
      <c r="BD283" s="3"/>
      <c r="BE283" s="3"/>
      <c r="CE283" s="22">
        <f t="shared" si="18"/>
        <v>311.11999999999995</v>
      </c>
      <c r="CF283" s="3">
        <f t="shared" ref="CF283:CF346" si="22">+CE283-AS283</f>
        <v>0</v>
      </c>
      <c r="CG283" s="17">
        <f t="shared" ref="CG283:CH336" si="23">+D283</f>
        <v>9854</v>
      </c>
      <c r="CH283" s="3" t="str">
        <f t="shared" si="23"/>
        <v>خ ت طب</v>
      </c>
    </row>
    <row r="284" spans="3:86" x14ac:dyDescent="0.25">
      <c r="C284" s="25">
        <v>15629</v>
      </c>
      <c r="D284" s="20">
        <v>9855</v>
      </c>
      <c r="E284" s="42" t="s">
        <v>130</v>
      </c>
      <c r="F284" s="3" t="s">
        <v>865</v>
      </c>
      <c r="H284" s="3">
        <v>175.88</v>
      </c>
      <c r="U284" s="3"/>
      <c r="V284" s="3"/>
      <c r="AS284" s="22">
        <f t="shared" si="21"/>
        <v>175.88</v>
      </c>
      <c r="AT284" s="3">
        <v>106.68</v>
      </c>
      <c r="AU284" s="3">
        <v>19.32</v>
      </c>
      <c r="AV284" s="3">
        <v>42.38</v>
      </c>
      <c r="AW284" s="3">
        <v>7.5</v>
      </c>
      <c r="BD284" s="3"/>
      <c r="BE284" s="3"/>
      <c r="CE284" s="22">
        <f t="shared" ref="CE284:CE347" si="24">SUM(AT284:CC284)</f>
        <v>175.88</v>
      </c>
      <c r="CF284" s="3">
        <f t="shared" si="22"/>
        <v>0</v>
      </c>
      <c r="CG284" s="17">
        <f t="shared" si="23"/>
        <v>9855</v>
      </c>
      <c r="CH284" s="3" t="str">
        <f t="shared" si="23"/>
        <v>خ ت طب</v>
      </c>
    </row>
    <row r="285" spans="3:86" x14ac:dyDescent="0.25">
      <c r="C285" s="25">
        <v>15628</v>
      </c>
      <c r="D285" s="20">
        <v>9856</v>
      </c>
      <c r="E285" s="42" t="s">
        <v>130</v>
      </c>
      <c r="F285" s="3" t="s">
        <v>866</v>
      </c>
      <c r="H285" s="3">
        <v>546.73</v>
      </c>
      <c r="U285" s="3"/>
      <c r="V285" s="3"/>
      <c r="AS285" s="22">
        <f t="shared" si="21"/>
        <v>546.73</v>
      </c>
      <c r="AT285" s="3">
        <v>351.62</v>
      </c>
      <c r="AU285" s="3">
        <v>40.07</v>
      </c>
      <c r="AV285" s="3">
        <v>131.72999999999999</v>
      </c>
      <c r="AW285" s="3">
        <v>23.31</v>
      </c>
      <c r="BD285" s="3"/>
      <c r="BE285" s="3"/>
      <c r="CE285" s="22">
        <f t="shared" si="24"/>
        <v>546.7299999999999</v>
      </c>
      <c r="CF285" s="3">
        <f t="shared" si="22"/>
        <v>0</v>
      </c>
      <c r="CG285" s="17">
        <f t="shared" si="23"/>
        <v>9856</v>
      </c>
      <c r="CH285" s="3" t="str">
        <f t="shared" si="23"/>
        <v>خ ت طب</v>
      </c>
    </row>
    <row r="286" spans="3:86" x14ac:dyDescent="0.25">
      <c r="C286" s="25">
        <v>15627</v>
      </c>
      <c r="D286" s="20">
        <v>9857</v>
      </c>
      <c r="E286" s="42" t="s">
        <v>130</v>
      </c>
      <c r="F286" s="3" t="s">
        <v>866</v>
      </c>
      <c r="H286" s="3">
        <v>1119.5899999999999</v>
      </c>
      <c r="U286" s="3"/>
      <c r="V286" s="3"/>
      <c r="AS286" s="22">
        <f t="shared" si="21"/>
        <v>1119.5899999999999</v>
      </c>
      <c r="AT286" s="3">
        <v>723.9</v>
      </c>
      <c r="AU286" s="3">
        <v>120.1</v>
      </c>
      <c r="AV286" s="3">
        <v>226.52</v>
      </c>
      <c r="AW286" s="3">
        <v>49.07</v>
      </c>
      <c r="BD286" s="3"/>
      <c r="BE286" s="3"/>
      <c r="CE286" s="22">
        <f t="shared" si="24"/>
        <v>1119.5899999999999</v>
      </c>
      <c r="CF286" s="3">
        <f t="shared" si="22"/>
        <v>0</v>
      </c>
      <c r="CG286" s="17">
        <f t="shared" si="23"/>
        <v>9857</v>
      </c>
      <c r="CH286" s="3" t="str">
        <f t="shared" si="23"/>
        <v>خ ت طب</v>
      </c>
    </row>
    <row r="287" spans="3:86" x14ac:dyDescent="0.25">
      <c r="C287" s="25">
        <v>15625</v>
      </c>
      <c r="D287" s="20">
        <v>9858</v>
      </c>
      <c r="E287" s="42" t="s">
        <v>130</v>
      </c>
      <c r="F287" s="3" t="str">
        <f>+F258</f>
        <v>مكافاه روؤساء اقسام</v>
      </c>
      <c r="H287" s="3">
        <v>58.62</v>
      </c>
      <c r="U287" s="3"/>
      <c r="V287" s="3"/>
      <c r="AS287" s="22">
        <f t="shared" si="21"/>
        <v>58.62</v>
      </c>
      <c r="AT287" s="3">
        <v>33.6</v>
      </c>
      <c r="AU287" s="3">
        <v>8.4</v>
      </c>
      <c r="AV287" s="3">
        <v>14.12</v>
      </c>
      <c r="AW287" s="3">
        <v>2.5</v>
      </c>
      <c r="BD287" s="3"/>
      <c r="BE287" s="3"/>
      <c r="CE287" s="22">
        <f t="shared" si="24"/>
        <v>58.62</v>
      </c>
      <c r="CF287" s="3">
        <f t="shared" si="22"/>
        <v>0</v>
      </c>
      <c r="CG287" s="17">
        <f t="shared" si="23"/>
        <v>9858</v>
      </c>
      <c r="CH287" s="3" t="str">
        <f t="shared" si="23"/>
        <v>خ ت طب</v>
      </c>
    </row>
    <row r="288" spans="3:86" x14ac:dyDescent="0.25">
      <c r="C288" s="25">
        <v>15624</v>
      </c>
      <c r="D288" s="20">
        <v>9859</v>
      </c>
      <c r="E288" s="42" t="s">
        <v>130</v>
      </c>
      <c r="F288" s="3" t="str">
        <f>+F287</f>
        <v>مكافاه روؤساء اقسام</v>
      </c>
      <c r="H288" s="3">
        <v>762.06</v>
      </c>
      <c r="U288" s="3"/>
      <c r="V288" s="3"/>
      <c r="AS288" s="22">
        <f t="shared" si="21"/>
        <v>762.06</v>
      </c>
      <c r="AT288" s="3">
        <v>455.7</v>
      </c>
      <c r="AU288" s="3">
        <v>90.3</v>
      </c>
      <c r="AV288" s="3">
        <v>183.56</v>
      </c>
      <c r="AW288" s="3">
        <v>32.5</v>
      </c>
      <c r="BD288" s="3"/>
      <c r="BE288" s="3"/>
      <c r="CE288" s="22">
        <f t="shared" si="24"/>
        <v>762.06</v>
      </c>
      <c r="CF288" s="3">
        <f t="shared" si="22"/>
        <v>0</v>
      </c>
      <c r="CG288" s="17">
        <f t="shared" si="23"/>
        <v>9859</v>
      </c>
      <c r="CH288" s="3" t="str">
        <f t="shared" si="23"/>
        <v>خ ت طب</v>
      </c>
    </row>
    <row r="289" spans="2:86" x14ac:dyDescent="0.25">
      <c r="C289" s="25">
        <v>15623</v>
      </c>
      <c r="D289" s="20">
        <v>9860</v>
      </c>
      <c r="E289" s="42" t="s">
        <v>130</v>
      </c>
      <c r="F289" s="3" t="str">
        <f t="shared" ref="F289" si="25">+F288</f>
        <v>مكافاه روؤساء اقسام</v>
      </c>
      <c r="H289" s="3">
        <v>58.62</v>
      </c>
      <c r="U289" s="3"/>
      <c r="V289" s="3"/>
      <c r="AS289" s="22">
        <f t="shared" si="21"/>
        <v>58.62</v>
      </c>
      <c r="AT289" s="3">
        <v>33.6</v>
      </c>
      <c r="AU289" s="3">
        <v>8.4</v>
      </c>
      <c r="AV289" s="3">
        <v>14.12</v>
      </c>
      <c r="AW289" s="3">
        <v>2.5</v>
      </c>
      <c r="BD289" s="3"/>
      <c r="BE289" s="3"/>
      <c r="CE289" s="22">
        <f t="shared" si="24"/>
        <v>58.62</v>
      </c>
      <c r="CF289" s="3">
        <f t="shared" si="22"/>
        <v>0</v>
      </c>
      <c r="CG289" s="17">
        <f t="shared" si="23"/>
        <v>9860</v>
      </c>
      <c r="CH289" s="3" t="str">
        <f t="shared" si="23"/>
        <v>خ ت طب</v>
      </c>
    </row>
    <row r="290" spans="2:86" x14ac:dyDescent="0.25">
      <c r="C290" s="25">
        <v>15622</v>
      </c>
      <c r="D290" s="20">
        <v>9861</v>
      </c>
      <c r="E290" s="42" t="s">
        <v>130</v>
      </c>
      <c r="F290" s="3" t="s">
        <v>867</v>
      </c>
      <c r="H290" s="3">
        <v>2000</v>
      </c>
      <c r="U290" s="3"/>
      <c r="V290" s="3"/>
      <c r="AS290" s="22">
        <f t="shared" si="21"/>
        <v>2000</v>
      </c>
      <c r="AT290" s="3">
        <v>1698.02</v>
      </c>
      <c r="AU290" s="3">
        <v>201.98</v>
      </c>
      <c r="AW290" s="3">
        <v>100</v>
      </c>
      <c r="BD290" s="3"/>
      <c r="BE290" s="3"/>
      <c r="CE290" s="22">
        <f t="shared" si="24"/>
        <v>2000</v>
      </c>
      <c r="CF290" s="3">
        <f t="shared" si="22"/>
        <v>0</v>
      </c>
      <c r="CG290" s="17">
        <f t="shared" si="23"/>
        <v>9861</v>
      </c>
      <c r="CH290" s="3" t="str">
        <f t="shared" si="23"/>
        <v>خ ت طب</v>
      </c>
    </row>
    <row r="291" spans="2:86" x14ac:dyDescent="0.25">
      <c r="C291" s="25">
        <v>15621</v>
      </c>
      <c r="D291" s="20">
        <v>9862</v>
      </c>
      <c r="E291" s="42" t="s">
        <v>130</v>
      </c>
      <c r="F291" s="3" t="s">
        <v>868</v>
      </c>
      <c r="H291" s="3">
        <v>762.12</v>
      </c>
      <c r="U291" s="3"/>
      <c r="V291" s="3"/>
      <c r="AS291" s="22">
        <f t="shared" si="21"/>
        <v>762.12</v>
      </c>
      <c r="AT291" s="3">
        <v>489.02</v>
      </c>
      <c r="AU291" s="3">
        <v>56.98</v>
      </c>
      <c r="AV291" s="3">
        <v>183.62</v>
      </c>
      <c r="AW291" s="3">
        <v>32.5</v>
      </c>
      <c r="BD291" s="3"/>
      <c r="BE291" s="3"/>
      <c r="CE291" s="22">
        <f t="shared" si="24"/>
        <v>762.12</v>
      </c>
      <c r="CF291" s="3">
        <f t="shared" si="22"/>
        <v>0</v>
      </c>
      <c r="CG291" s="17">
        <f t="shared" si="23"/>
        <v>9862</v>
      </c>
      <c r="CH291" s="3" t="str">
        <f t="shared" si="23"/>
        <v>خ ت طب</v>
      </c>
    </row>
    <row r="292" spans="2:86" x14ac:dyDescent="0.25">
      <c r="C292" s="25">
        <v>15620</v>
      </c>
      <c r="D292" s="20">
        <v>9863</v>
      </c>
      <c r="E292" s="42" t="s">
        <v>130</v>
      </c>
      <c r="F292" s="3" t="s">
        <v>868</v>
      </c>
      <c r="H292" s="3">
        <v>293.12</v>
      </c>
      <c r="U292" s="3"/>
      <c r="V292" s="3"/>
      <c r="AS292" s="22">
        <f t="shared" si="21"/>
        <v>293.12</v>
      </c>
      <c r="AT292" s="3">
        <v>177.61</v>
      </c>
      <c r="AU292" s="3">
        <v>32.39</v>
      </c>
      <c r="AV292" s="3">
        <v>70.62</v>
      </c>
      <c r="AW292" s="3">
        <v>12.5</v>
      </c>
      <c r="BD292" s="3"/>
      <c r="BE292" s="3"/>
      <c r="CE292" s="22">
        <f t="shared" si="24"/>
        <v>293.12</v>
      </c>
      <c r="CF292" s="3">
        <f t="shared" si="22"/>
        <v>0</v>
      </c>
      <c r="CG292" s="17">
        <f t="shared" si="23"/>
        <v>9863</v>
      </c>
      <c r="CH292" s="3" t="str">
        <f t="shared" si="23"/>
        <v>خ ت طب</v>
      </c>
    </row>
    <row r="293" spans="2:86" x14ac:dyDescent="0.25">
      <c r="B293" s="3"/>
      <c r="C293" s="25">
        <v>15598</v>
      </c>
      <c r="D293" s="20">
        <v>9864</v>
      </c>
      <c r="E293" s="42" t="s">
        <v>137</v>
      </c>
      <c r="F293" s="3" t="s">
        <v>869</v>
      </c>
      <c r="H293" s="3">
        <v>26755.98</v>
      </c>
      <c r="U293" s="3"/>
      <c r="V293" s="3"/>
      <c r="AS293" s="22">
        <f t="shared" si="21"/>
        <v>26755.98</v>
      </c>
      <c r="AT293" s="3">
        <v>21433.66</v>
      </c>
      <c r="AU293" s="3">
        <v>2784.25</v>
      </c>
      <c r="AV293" s="3">
        <v>1238.07</v>
      </c>
      <c r="AW293" s="3">
        <v>1300</v>
      </c>
      <c r="BD293" s="3"/>
      <c r="BE293" s="3"/>
      <c r="CE293" s="22">
        <f t="shared" si="24"/>
        <v>26755.98</v>
      </c>
      <c r="CF293" s="3">
        <f t="shared" si="22"/>
        <v>0</v>
      </c>
      <c r="CG293" s="17">
        <f t="shared" si="23"/>
        <v>9864</v>
      </c>
      <c r="CH293" s="3" t="str">
        <f t="shared" si="23"/>
        <v xml:space="preserve">خدمة عامة </v>
      </c>
    </row>
    <row r="294" spans="2:86" x14ac:dyDescent="0.25">
      <c r="C294" s="25">
        <v>15596</v>
      </c>
      <c r="D294" s="20">
        <v>9865</v>
      </c>
      <c r="E294" s="42" t="s">
        <v>137</v>
      </c>
      <c r="F294" s="3" t="s">
        <v>869</v>
      </c>
      <c r="H294" s="3">
        <v>3553.63</v>
      </c>
      <c r="U294" s="3"/>
      <c r="V294" s="3"/>
      <c r="AS294" s="22">
        <f t="shared" si="21"/>
        <v>3553.63</v>
      </c>
      <c r="AT294" s="3">
        <v>2474.4499999999998</v>
      </c>
      <c r="AU294" s="3">
        <v>340.05</v>
      </c>
      <c r="AV294" s="3">
        <v>579.13</v>
      </c>
      <c r="AW294" s="3">
        <v>160</v>
      </c>
      <c r="BD294" s="3"/>
      <c r="BE294" s="3"/>
      <c r="CE294" s="22">
        <f t="shared" si="24"/>
        <v>3553.63</v>
      </c>
      <c r="CF294" s="3">
        <f t="shared" si="22"/>
        <v>0</v>
      </c>
      <c r="CG294" s="17">
        <f t="shared" si="23"/>
        <v>9865</v>
      </c>
      <c r="CH294" s="3" t="str">
        <f t="shared" si="23"/>
        <v xml:space="preserve">خدمة عامة </v>
      </c>
    </row>
    <row r="295" spans="2:86" x14ac:dyDescent="0.25">
      <c r="C295" s="25">
        <v>15597</v>
      </c>
      <c r="D295" s="20">
        <v>9866</v>
      </c>
      <c r="E295" s="42" t="s">
        <v>137</v>
      </c>
      <c r="F295" s="3" t="s">
        <v>869</v>
      </c>
      <c r="H295" s="3">
        <v>820.76</v>
      </c>
      <c r="U295" s="3"/>
      <c r="V295" s="3"/>
      <c r="AS295" s="22">
        <f t="shared" si="21"/>
        <v>820.76</v>
      </c>
      <c r="AT295" s="3">
        <v>514.6</v>
      </c>
      <c r="AU295" s="3">
        <v>73.400000000000006</v>
      </c>
      <c r="AV295" s="3">
        <v>197.76</v>
      </c>
      <c r="AW295" s="3">
        <v>35</v>
      </c>
      <c r="BD295" s="3"/>
      <c r="BE295" s="3"/>
      <c r="CE295" s="22">
        <f t="shared" si="24"/>
        <v>820.76</v>
      </c>
      <c r="CF295" s="3">
        <f t="shared" si="22"/>
        <v>0</v>
      </c>
      <c r="CG295" s="17">
        <f t="shared" si="23"/>
        <v>9866</v>
      </c>
      <c r="CH295" s="3" t="str">
        <f t="shared" si="23"/>
        <v xml:space="preserve">خدمة عامة </v>
      </c>
    </row>
    <row r="296" spans="2:86" x14ac:dyDescent="0.25">
      <c r="C296" s="25">
        <v>14701</v>
      </c>
      <c r="D296" s="20">
        <v>9867</v>
      </c>
      <c r="E296" s="42" t="s">
        <v>132</v>
      </c>
      <c r="F296" s="3" t="s">
        <v>870</v>
      </c>
      <c r="I296" s="3">
        <v>5400</v>
      </c>
      <c r="U296" s="3"/>
      <c r="V296" s="3"/>
      <c r="AS296" s="22">
        <f>SUM(H296:AQ296)</f>
        <v>5400</v>
      </c>
      <c r="AT296" s="3">
        <v>4966.1000000000004</v>
      </c>
      <c r="AU296" s="3">
        <f>85.75+257.25+9.9</f>
        <v>352.9</v>
      </c>
      <c r="AW296" s="3">
        <v>5</v>
      </c>
      <c r="BD296" s="3"/>
      <c r="BE296" s="3"/>
      <c r="BG296" s="3">
        <v>54</v>
      </c>
      <c r="BH296" s="3">
        <v>22</v>
      </c>
      <c r="CE296" s="22">
        <f>SUM(AT296:CC296)</f>
        <v>5400</v>
      </c>
      <c r="CF296" s="3">
        <f>+CE296-AS296</f>
        <v>0</v>
      </c>
      <c r="CG296" s="17">
        <f t="shared" si="23"/>
        <v>9867</v>
      </c>
      <c r="CH296" s="3" t="str">
        <f t="shared" si="23"/>
        <v>صيدلة اكلينيكى</v>
      </c>
    </row>
    <row r="297" spans="2:86" x14ac:dyDescent="0.25">
      <c r="C297" s="25">
        <v>14915</v>
      </c>
      <c r="D297" s="20">
        <v>9868</v>
      </c>
      <c r="E297" s="42" t="s">
        <v>132</v>
      </c>
      <c r="F297" s="3" t="s">
        <v>871</v>
      </c>
      <c r="J297" s="3">
        <v>24700</v>
      </c>
      <c r="U297" s="3"/>
      <c r="V297" s="3"/>
      <c r="AS297" s="22">
        <f>SUM(H297:AQ297)</f>
        <v>24700</v>
      </c>
      <c r="AT297" s="3">
        <v>23423.1</v>
      </c>
      <c r="AU297" s="3">
        <f>248.25+744.75+9.9</f>
        <v>1002.9</v>
      </c>
      <c r="AW297" s="3">
        <v>5</v>
      </c>
      <c r="BD297" s="3"/>
      <c r="BE297" s="3"/>
      <c r="BG297" s="3">
        <v>247</v>
      </c>
      <c r="BH297" s="3">
        <v>22</v>
      </c>
      <c r="CE297" s="22">
        <f>SUM(AT297:CC297)</f>
        <v>24700</v>
      </c>
      <c r="CF297" s="3">
        <f>+CE297-AS297</f>
        <v>0</v>
      </c>
      <c r="CG297" s="17">
        <f t="shared" si="23"/>
        <v>9868</v>
      </c>
      <c r="CH297" s="3" t="str">
        <f t="shared" si="23"/>
        <v>صيدلة اكلينيكى</v>
      </c>
    </row>
    <row r="298" spans="2:86" x14ac:dyDescent="0.25">
      <c r="C298" s="25">
        <v>16375</v>
      </c>
      <c r="D298" s="20">
        <v>9869</v>
      </c>
      <c r="E298" s="42" t="s">
        <v>325</v>
      </c>
      <c r="F298" s="3" t="s">
        <v>872</v>
      </c>
      <c r="I298" s="3">
        <v>8000</v>
      </c>
      <c r="P298" s="3">
        <v>8000</v>
      </c>
      <c r="U298" s="3"/>
      <c r="V298" s="3"/>
      <c r="AS298" s="22">
        <f>SUM(H298:AQ298)</f>
        <v>16000</v>
      </c>
      <c r="AT298" s="3">
        <v>8000</v>
      </c>
      <c r="AU298" s="3"/>
      <c r="BD298" s="3"/>
      <c r="BE298" s="3"/>
      <c r="BO298" s="3">
        <v>8000</v>
      </c>
      <c r="CE298" s="22">
        <f>SUM(AT298:CC298)</f>
        <v>16000</v>
      </c>
      <c r="CF298" s="3">
        <f>+CE298-AS298</f>
        <v>0</v>
      </c>
      <c r="CG298" s="17">
        <f t="shared" si="23"/>
        <v>9869</v>
      </c>
      <c r="CH298" s="3" t="str">
        <f t="shared" si="23"/>
        <v xml:space="preserve">برنامج دولى </v>
      </c>
    </row>
    <row r="299" spans="2:86" x14ac:dyDescent="0.25">
      <c r="C299" s="25">
        <v>16256</v>
      </c>
      <c r="D299" s="20">
        <v>9870</v>
      </c>
      <c r="E299" s="42" t="s">
        <v>325</v>
      </c>
      <c r="F299" s="3" t="s">
        <v>873</v>
      </c>
      <c r="H299" s="3">
        <v>586.25</v>
      </c>
      <c r="U299" s="3"/>
      <c r="V299" s="3"/>
      <c r="AS299" s="22">
        <f>SUM(H299:AQ299)</f>
        <v>586.25</v>
      </c>
      <c r="AT299" s="3">
        <v>392.4</v>
      </c>
      <c r="AU299" s="3">
        <v>52.6</v>
      </c>
      <c r="AV299" s="3">
        <v>141.25</v>
      </c>
      <c r="BD299" s="3"/>
      <c r="BE299" s="3"/>
      <c r="CE299" s="22">
        <f>SUM(AT299:CC299)</f>
        <v>586.25</v>
      </c>
      <c r="CF299" s="3">
        <f>+CE299-AS299</f>
        <v>0</v>
      </c>
      <c r="CG299" s="17">
        <f t="shared" si="23"/>
        <v>9870</v>
      </c>
      <c r="CH299" s="3" t="str">
        <f t="shared" si="23"/>
        <v xml:space="preserve">برنامج دولى </v>
      </c>
    </row>
    <row r="300" spans="2:86" x14ac:dyDescent="0.25">
      <c r="C300" s="25">
        <v>16257</v>
      </c>
      <c r="D300" s="20">
        <v>9871</v>
      </c>
      <c r="E300" s="42" t="s">
        <v>325</v>
      </c>
      <c r="F300" s="3" t="s">
        <v>873</v>
      </c>
      <c r="H300" s="3">
        <v>2345</v>
      </c>
      <c r="U300" s="3"/>
      <c r="V300" s="3"/>
      <c r="AS300" s="22">
        <f t="shared" si="21"/>
        <v>2345</v>
      </c>
      <c r="AT300" s="3">
        <v>1568.55</v>
      </c>
      <c r="AU300" s="3">
        <v>211.45</v>
      </c>
      <c r="AV300" s="3">
        <v>565</v>
      </c>
      <c r="BD300" s="3"/>
      <c r="BE300" s="3"/>
      <c r="CE300" s="22">
        <f t="shared" si="24"/>
        <v>2345</v>
      </c>
      <c r="CF300" s="3">
        <f t="shared" si="22"/>
        <v>0</v>
      </c>
      <c r="CG300" s="17">
        <f t="shared" si="23"/>
        <v>9871</v>
      </c>
      <c r="CH300" s="3" t="str">
        <f t="shared" si="23"/>
        <v xml:space="preserve">برنامج دولى </v>
      </c>
    </row>
    <row r="301" spans="2:86" x14ac:dyDescent="0.25">
      <c r="C301" s="25">
        <v>16255</v>
      </c>
      <c r="D301" s="20">
        <v>9872</v>
      </c>
      <c r="E301" s="42" t="s">
        <v>325</v>
      </c>
      <c r="F301" s="3" t="s">
        <v>873</v>
      </c>
      <c r="H301" s="3">
        <v>3727.75</v>
      </c>
      <c r="U301" s="3"/>
      <c r="V301" s="3"/>
      <c r="AS301" s="22">
        <f t="shared" si="21"/>
        <v>3727.75</v>
      </c>
      <c r="AT301" s="3">
        <v>2831.4</v>
      </c>
      <c r="AU301" s="3">
        <v>359.6</v>
      </c>
      <c r="AV301" s="3">
        <v>536.75</v>
      </c>
      <c r="BD301" s="3"/>
      <c r="BE301" s="3"/>
      <c r="CE301" s="22">
        <f t="shared" si="24"/>
        <v>3727.75</v>
      </c>
      <c r="CF301" s="3">
        <f t="shared" si="22"/>
        <v>0</v>
      </c>
      <c r="CG301" s="17">
        <f t="shared" si="23"/>
        <v>9872</v>
      </c>
      <c r="CH301" s="3" t="str">
        <f t="shared" si="23"/>
        <v xml:space="preserve">برنامج دولى </v>
      </c>
    </row>
    <row r="302" spans="2:86" x14ac:dyDescent="0.25">
      <c r="C302" s="25">
        <v>16254</v>
      </c>
      <c r="D302" s="20">
        <v>9873</v>
      </c>
      <c r="E302" s="42" t="s">
        <v>325</v>
      </c>
      <c r="F302" s="3" t="s">
        <v>874</v>
      </c>
      <c r="H302" s="3">
        <v>2498.27</v>
      </c>
      <c r="U302" s="3"/>
      <c r="V302" s="3"/>
      <c r="AS302" s="22">
        <f t="shared" si="21"/>
        <v>2498.27</v>
      </c>
      <c r="AT302" s="3">
        <v>1667.62</v>
      </c>
      <c r="AU302" s="3">
        <f>15.65+213.07</f>
        <v>228.72</v>
      </c>
      <c r="AV302" s="3">
        <v>601.92999999999995</v>
      </c>
      <c r="BD302" s="3"/>
      <c r="BE302" s="3"/>
      <c r="CE302" s="22">
        <f t="shared" si="24"/>
        <v>2498.27</v>
      </c>
      <c r="CF302" s="3">
        <f t="shared" si="22"/>
        <v>0</v>
      </c>
      <c r="CG302" s="17">
        <f t="shared" si="23"/>
        <v>9873</v>
      </c>
      <c r="CH302" s="3" t="str">
        <f t="shared" si="23"/>
        <v xml:space="preserve">برنامج دولى </v>
      </c>
    </row>
    <row r="303" spans="2:86" x14ac:dyDescent="0.25">
      <c r="C303" s="25">
        <v>16253</v>
      </c>
      <c r="D303" s="20">
        <v>9874</v>
      </c>
      <c r="E303" s="42" t="s">
        <v>325</v>
      </c>
      <c r="F303" s="3" t="s">
        <v>875</v>
      </c>
      <c r="H303" s="3">
        <v>20523.599999999999</v>
      </c>
      <c r="U303" s="3"/>
      <c r="V303" s="3"/>
      <c r="AS303" s="22">
        <f t="shared" si="21"/>
        <v>20523.599999999999</v>
      </c>
      <c r="AT303" s="3">
        <v>18360.04</v>
      </c>
      <c r="AU303" s="3">
        <v>2163.56</v>
      </c>
      <c r="BD303" s="3"/>
      <c r="BE303" s="3"/>
      <c r="CE303" s="22">
        <f t="shared" si="24"/>
        <v>20523.600000000002</v>
      </c>
      <c r="CF303" s="3">
        <f t="shared" si="22"/>
        <v>0</v>
      </c>
      <c r="CG303" s="17">
        <f t="shared" si="23"/>
        <v>9874</v>
      </c>
      <c r="CH303" s="3" t="str">
        <f t="shared" si="23"/>
        <v xml:space="preserve">برنامج دولى </v>
      </c>
    </row>
    <row r="304" spans="2:86" x14ac:dyDescent="0.25">
      <c r="C304" s="25">
        <v>16252</v>
      </c>
      <c r="D304" s="20">
        <v>9875</v>
      </c>
      <c r="E304" s="42" t="s">
        <v>325</v>
      </c>
      <c r="F304" s="3" t="s">
        <v>875</v>
      </c>
      <c r="H304" s="3">
        <v>4971.68</v>
      </c>
      <c r="U304" s="3"/>
      <c r="V304" s="3"/>
      <c r="AS304" s="22">
        <f t="shared" si="21"/>
        <v>4971.68</v>
      </c>
      <c r="AT304" s="3">
        <v>4437.5600000000004</v>
      </c>
      <c r="AU304" s="3">
        <v>534.12</v>
      </c>
      <c r="BD304" s="3"/>
      <c r="BE304" s="3"/>
      <c r="CE304" s="22">
        <f t="shared" si="24"/>
        <v>4971.68</v>
      </c>
      <c r="CF304" s="3">
        <f t="shared" si="22"/>
        <v>0</v>
      </c>
      <c r="CG304" s="17">
        <f t="shared" si="23"/>
        <v>9875</v>
      </c>
      <c r="CH304" s="3" t="str">
        <f t="shared" si="23"/>
        <v xml:space="preserve">برنامج دولى </v>
      </c>
    </row>
    <row r="305" spans="1:86" x14ac:dyDescent="0.25">
      <c r="A305" s="23"/>
      <c r="C305" s="25">
        <v>16251</v>
      </c>
      <c r="D305" s="20">
        <v>9876</v>
      </c>
      <c r="E305" s="42" t="s">
        <v>325</v>
      </c>
      <c r="F305" s="3" t="s">
        <v>876</v>
      </c>
      <c r="H305" s="3">
        <v>744.72</v>
      </c>
      <c r="U305" s="3"/>
      <c r="V305" s="3"/>
      <c r="AS305" s="22">
        <f t="shared" si="21"/>
        <v>744.72</v>
      </c>
      <c r="AT305" s="3">
        <v>498.08</v>
      </c>
      <c r="AU305" s="3">
        <f>3.7+63.52</f>
        <v>67.22</v>
      </c>
      <c r="AV305" s="3">
        <v>179.42</v>
      </c>
      <c r="BD305" s="3"/>
      <c r="BE305" s="3"/>
      <c r="CE305" s="22">
        <f t="shared" si="24"/>
        <v>744.71999999999991</v>
      </c>
      <c r="CF305" s="3">
        <f t="shared" si="22"/>
        <v>0</v>
      </c>
      <c r="CG305" s="17">
        <f t="shared" si="23"/>
        <v>9876</v>
      </c>
      <c r="CH305" s="3" t="str">
        <f t="shared" si="23"/>
        <v xml:space="preserve">برنامج دولى </v>
      </c>
    </row>
    <row r="306" spans="1:86" x14ac:dyDescent="0.25">
      <c r="C306" s="25">
        <v>16250</v>
      </c>
      <c r="D306" s="20">
        <v>9877</v>
      </c>
      <c r="E306" s="42" t="s">
        <v>325</v>
      </c>
      <c r="F306" s="3" t="str">
        <f>+F304</f>
        <v>ج بروتوكول ابحاث اكلينكيه</v>
      </c>
      <c r="H306" s="3">
        <v>6662.4</v>
      </c>
      <c r="U306" s="3"/>
      <c r="V306" s="3"/>
      <c r="AS306" s="22">
        <f t="shared" si="21"/>
        <v>6662.4</v>
      </c>
      <c r="AT306" s="3">
        <v>5943.26</v>
      </c>
      <c r="AU306" s="3">
        <v>719.14</v>
      </c>
      <c r="BD306" s="3"/>
      <c r="BE306" s="3"/>
      <c r="CE306" s="22">
        <f t="shared" si="24"/>
        <v>6662.4000000000005</v>
      </c>
      <c r="CF306" s="3">
        <f t="shared" si="22"/>
        <v>0</v>
      </c>
      <c r="CG306" s="17">
        <f t="shared" si="23"/>
        <v>9877</v>
      </c>
      <c r="CH306" s="3" t="str">
        <f t="shared" si="23"/>
        <v xml:space="preserve">برنامج دولى </v>
      </c>
    </row>
    <row r="307" spans="1:86" x14ac:dyDescent="0.25">
      <c r="C307" s="25">
        <v>16249</v>
      </c>
      <c r="D307" s="20">
        <v>9878</v>
      </c>
      <c r="E307" s="42" t="s">
        <v>325</v>
      </c>
      <c r="F307" s="3" t="str">
        <f>+F306</f>
        <v>ج بروتوكول ابحاث اكلينكيه</v>
      </c>
      <c r="H307" s="3">
        <v>1249.3599999999999</v>
      </c>
      <c r="U307" s="3"/>
      <c r="V307" s="3"/>
      <c r="AS307" s="22">
        <f t="shared" si="21"/>
        <v>1249.3599999999999</v>
      </c>
      <c r="AT307" s="3">
        <v>1115.42</v>
      </c>
      <c r="AU307" s="3">
        <v>133.94</v>
      </c>
      <c r="BD307" s="3"/>
      <c r="BE307" s="3"/>
      <c r="CE307" s="22">
        <f t="shared" si="24"/>
        <v>1249.3600000000001</v>
      </c>
      <c r="CF307" s="3">
        <f t="shared" si="22"/>
        <v>0</v>
      </c>
      <c r="CG307" s="17">
        <f t="shared" si="23"/>
        <v>9878</v>
      </c>
      <c r="CH307" s="3" t="str">
        <f t="shared" si="23"/>
        <v xml:space="preserve">برنامج دولى </v>
      </c>
    </row>
    <row r="308" spans="1:86" x14ac:dyDescent="0.25">
      <c r="C308" s="25">
        <v>16248</v>
      </c>
      <c r="D308" s="20">
        <v>9879</v>
      </c>
      <c r="E308" s="42" t="s">
        <v>325</v>
      </c>
      <c r="F308" s="3" t="str">
        <f>+F302</f>
        <v>مستحقات للباحث اسامه عباده</v>
      </c>
      <c r="H308" s="3">
        <v>6208.25</v>
      </c>
      <c r="U308" s="3"/>
      <c r="V308" s="3"/>
      <c r="AS308" s="22">
        <f t="shared" si="21"/>
        <v>6208.25</v>
      </c>
      <c r="AT308" s="3">
        <v>4144.2</v>
      </c>
      <c r="AU308" s="3">
        <f>38.75+529.49</f>
        <v>568.24</v>
      </c>
      <c r="AV308" s="3">
        <v>1495.81</v>
      </c>
      <c r="BD308" s="3"/>
      <c r="BE308" s="3"/>
      <c r="CE308" s="22">
        <f t="shared" si="24"/>
        <v>6208.25</v>
      </c>
      <c r="CF308" s="3">
        <f t="shared" si="22"/>
        <v>0</v>
      </c>
      <c r="CG308" s="17">
        <f t="shared" si="23"/>
        <v>9879</v>
      </c>
      <c r="CH308" s="3" t="str">
        <f t="shared" si="23"/>
        <v xml:space="preserve">برنامج دولى </v>
      </c>
    </row>
    <row r="309" spans="1:86" x14ac:dyDescent="0.25">
      <c r="C309" s="25">
        <v>16247</v>
      </c>
      <c r="D309" s="20">
        <v>9880</v>
      </c>
      <c r="E309" s="42" t="s">
        <v>325</v>
      </c>
      <c r="F309" s="3" t="str">
        <f>+F307</f>
        <v>ج بروتوكول ابحاث اكلينكيه</v>
      </c>
      <c r="H309" s="3">
        <v>5979.36</v>
      </c>
      <c r="U309" s="3"/>
      <c r="V309" s="3"/>
      <c r="AS309" s="22">
        <f t="shared" si="21"/>
        <v>5979.36</v>
      </c>
      <c r="AT309" s="3">
        <v>5337.28</v>
      </c>
      <c r="AU309" s="3">
        <v>642.08000000000004</v>
      </c>
      <c r="BD309" s="3"/>
      <c r="BE309" s="3"/>
      <c r="CE309" s="22">
        <f t="shared" si="24"/>
        <v>5979.36</v>
      </c>
      <c r="CF309" s="3">
        <f t="shared" si="22"/>
        <v>0</v>
      </c>
      <c r="CG309" s="17">
        <f t="shared" si="23"/>
        <v>9880</v>
      </c>
      <c r="CH309" s="3" t="str">
        <f t="shared" si="23"/>
        <v xml:space="preserve">برنامج دولى </v>
      </c>
    </row>
    <row r="310" spans="1:86" x14ac:dyDescent="0.25">
      <c r="C310" s="25">
        <v>16244</v>
      </c>
      <c r="D310" s="20">
        <v>9881</v>
      </c>
      <c r="E310" s="42" t="s">
        <v>325</v>
      </c>
      <c r="F310" s="3" t="s">
        <v>877</v>
      </c>
      <c r="H310" s="3">
        <v>667.77</v>
      </c>
      <c r="U310" s="3"/>
      <c r="V310" s="3"/>
      <c r="AS310" s="22">
        <f t="shared" si="21"/>
        <v>667.77</v>
      </c>
      <c r="AT310" s="3">
        <v>446.26</v>
      </c>
      <c r="AU310" s="3">
        <f>3.65+56.95</f>
        <v>60.6</v>
      </c>
      <c r="AV310" s="3">
        <v>160.91</v>
      </c>
      <c r="BD310" s="3"/>
      <c r="BE310" s="3"/>
      <c r="CE310" s="22">
        <f t="shared" si="24"/>
        <v>667.77</v>
      </c>
      <c r="CF310" s="3">
        <f t="shared" si="22"/>
        <v>0</v>
      </c>
      <c r="CG310" s="17">
        <f t="shared" si="23"/>
        <v>9881</v>
      </c>
      <c r="CH310" s="3" t="str">
        <f t="shared" si="23"/>
        <v xml:space="preserve">برنامج دولى </v>
      </c>
    </row>
    <row r="311" spans="1:86" x14ac:dyDescent="0.25">
      <c r="C311" s="25">
        <v>16246</v>
      </c>
      <c r="D311" s="20">
        <v>9882</v>
      </c>
      <c r="E311" s="42" t="s">
        <v>325</v>
      </c>
      <c r="F311" s="3" t="str">
        <f>+F309</f>
        <v>ج بروتوكول ابحاث اكلينكيه</v>
      </c>
      <c r="H311" s="3">
        <v>1328.88</v>
      </c>
      <c r="U311" s="3"/>
      <c r="V311" s="3"/>
      <c r="AS311" s="22">
        <f t="shared" si="21"/>
        <v>1328.88</v>
      </c>
      <c r="AT311" s="3">
        <v>1186.3900000000001</v>
      </c>
      <c r="AU311" s="3">
        <v>142.49</v>
      </c>
      <c r="BD311" s="3"/>
      <c r="BE311" s="3"/>
      <c r="CE311" s="22">
        <f t="shared" si="24"/>
        <v>1328.88</v>
      </c>
      <c r="CF311" s="3">
        <f t="shared" si="22"/>
        <v>0</v>
      </c>
      <c r="CG311" s="17">
        <f t="shared" si="23"/>
        <v>9882</v>
      </c>
      <c r="CH311" s="3" t="str">
        <f t="shared" si="23"/>
        <v xml:space="preserve">برنامج دولى </v>
      </c>
    </row>
    <row r="312" spans="1:86" x14ac:dyDescent="0.25">
      <c r="C312" s="25">
        <v>16337</v>
      </c>
      <c r="D312" s="20">
        <v>9883</v>
      </c>
      <c r="E312" s="42" t="s">
        <v>325</v>
      </c>
      <c r="F312" s="3" t="str">
        <f>+F311</f>
        <v>ج بروتوكول ابحاث اكلينكيه</v>
      </c>
      <c r="H312" s="3">
        <v>5572</v>
      </c>
      <c r="U312" s="3"/>
      <c r="V312" s="3"/>
      <c r="AS312" s="22">
        <f t="shared" si="21"/>
        <v>5572</v>
      </c>
      <c r="AT312" s="3">
        <v>4970.6000000000004</v>
      </c>
      <c r="AU312" s="3">
        <v>601.4</v>
      </c>
      <c r="BD312" s="3"/>
      <c r="BE312" s="3"/>
      <c r="CE312" s="22">
        <f t="shared" si="24"/>
        <v>5572</v>
      </c>
      <c r="CF312" s="3">
        <f t="shared" si="22"/>
        <v>0</v>
      </c>
      <c r="CG312" s="17">
        <f t="shared" si="23"/>
        <v>9883</v>
      </c>
      <c r="CH312" s="3" t="str">
        <f t="shared" si="23"/>
        <v xml:space="preserve">برنامج دولى </v>
      </c>
    </row>
    <row r="313" spans="1:86" x14ac:dyDescent="0.25">
      <c r="C313" s="25">
        <v>16243</v>
      </c>
      <c r="D313" s="20">
        <v>9884</v>
      </c>
      <c r="E313" s="42" t="s">
        <v>325</v>
      </c>
      <c r="F313" s="3" t="str">
        <f>+F312</f>
        <v>ج بروتوكول ابحاث اكلينكيه</v>
      </c>
      <c r="H313" s="3">
        <v>18624.32</v>
      </c>
      <c r="U313" s="3"/>
      <c r="V313" s="3"/>
      <c r="AS313" s="22">
        <f t="shared" si="21"/>
        <v>18624.32</v>
      </c>
      <c r="AT313" s="3">
        <v>16656.39</v>
      </c>
      <c r="AU313" s="3">
        <v>1967.93</v>
      </c>
      <c r="BD313" s="3"/>
      <c r="BE313" s="3"/>
      <c r="CE313" s="22">
        <f t="shared" si="24"/>
        <v>18624.32</v>
      </c>
      <c r="CF313" s="3">
        <f t="shared" si="22"/>
        <v>0</v>
      </c>
      <c r="CG313" s="17">
        <f t="shared" si="23"/>
        <v>9884</v>
      </c>
      <c r="CH313" s="3" t="str">
        <f t="shared" si="23"/>
        <v xml:space="preserve">برنامج دولى </v>
      </c>
    </row>
    <row r="314" spans="1:86" x14ac:dyDescent="0.25">
      <c r="C314" s="25">
        <v>16310</v>
      </c>
      <c r="D314" s="20">
        <v>9885</v>
      </c>
      <c r="E314" s="42" t="s">
        <v>325</v>
      </c>
      <c r="F314" s="3" t="s">
        <v>851</v>
      </c>
      <c r="H314" s="3">
        <v>1000</v>
      </c>
      <c r="U314" s="3"/>
      <c r="V314" s="3"/>
      <c r="AS314" s="22">
        <f t="shared" si="21"/>
        <v>1000</v>
      </c>
      <c r="AT314" s="3">
        <v>893.35</v>
      </c>
      <c r="AU314" s="3">
        <v>106.65</v>
      </c>
      <c r="BD314" s="3"/>
      <c r="BE314" s="3"/>
      <c r="CE314" s="22">
        <f t="shared" si="24"/>
        <v>1000</v>
      </c>
      <c r="CF314" s="3">
        <f t="shared" si="22"/>
        <v>0</v>
      </c>
      <c r="CG314" s="17">
        <f t="shared" si="23"/>
        <v>9885</v>
      </c>
      <c r="CH314" s="3" t="str">
        <f t="shared" si="23"/>
        <v xml:space="preserve">برنامج دولى </v>
      </c>
    </row>
    <row r="315" spans="1:86" x14ac:dyDescent="0.25">
      <c r="C315" s="25">
        <v>16309</v>
      </c>
      <c r="D315" s="20">
        <v>9886</v>
      </c>
      <c r="E315" s="42" t="s">
        <v>325</v>
      </c>
      <c r="F315" s="3" t="s">
        <v>851</v>
      </c>
      <c r="H315" s="3">
        <v>450</v>
      </c>
      <c r="U315" s="3"/>
      <c r="V315" s="3"/>
      <c r="AS315" s="22">
        <f t="shared" si="21"/>
        <v>450</v>
      </c>
      <c r="AT315" s="3">
        <v>402.4</v>
      </c>
      <c r="AU315" s="3">
        <v>47.6</v>
      </c>
      <c r="BD315" s="3"/>
      <c r="BE315" s="3"/>
      <c r="CE315" s="22">
        <f t="shared" si="24"/>
        <v>450</v>
      </c>
      <c r="CF315" s="3">
        <f t="shared" si="22"/>
        <v>0</v>
      </c>
      <c r="CG315" s="17">
        <f t="shared" si="23"/>
        <v>9886</v>
      </c>
      <c r="CH315" s="3" t="str">
        <f t="shared" si="23"/>
        <v xml:space="preserve">برنامج دولى </v>
      </c>
    </row>
    <row r="316" spans="1:86" x14ac:dyDescent="0.25">
      <c r="C316" s="25">
        <v>16311</v>
      </c>
      <c r="D316" s="20">
        <v>9887</v>
      </c>
      <c r="E316" s="42" t="s">
        <v>325</v>
      </c>
      <c r="F316" s="3" t="s">
        <v>851</v>
      </c>
      <c r="H316" s="3">
        <v>800</v>
      </c>
      <c r="U316" s="3"/>
      <c r="V316" s="3"/>
      <c r="AS316" s="22">
        <f t="shared" si="21"/>
        <v>800</v>
      </c>
      <c r="AT316" s="3">
        <v>714.75</v>
      </c>
      <c r="AU316" s="3">
        <v>85.25</v>
      </c>
      <c r="BD316" s="3"/>
      <c r="BE316" s="3"/>
      <c r="CE316" s="22">
        <f t="shared" si="24"/>
        <v>800</v>
      </c>
      <c r="CF316" s="3">
        <f t="shared" si="22"/>
        <v>0</v>
      </c>
      <c r="CG316" s="17">
        <f t="shared" si="23"/>
        <v>9887</v>
      </c>
      <c r="CH316" s="3" t="str">
        <f t="shared" si="23"/>
        <v xml:space="preserve">برنامج دولى </v>
      </c>
    </row>
    <row r="317" spans="1:86" x14ac:dyDescent="0.25">
      <c r="C317" s="25">
        <v>16306</v>
      </c>
      <c r="D317" s="20">
        <v>9888</v>
      </c>
      <c r="E317" s="42" t="s">
        <v>325</v>
      </c>
      <c r="F317" s="3" t="s">
        <v>851</v>
      </c>
      <c r="H317" s="3">
        <v>1055.26</v>
      </c>
      <c r="U317" s="3"/>
      <c r="V317" s="3"/>
      <c r="AS317" s="22">
        <f t="shared" si="21"/>
        <v>1055.26</v>
      </c>
      <c r="AT317" s="3">
        <v>705.8</v>
      </c>
      <c r="AU317" s="3">
        <f>5.2+90</f>
        <v>95.2</v>
      </c>
      <c r="AV317" s="3">
        <v>254.26</v>
      </c>
      <c r="BD317" s="3"/>
      <c r="BE317" s="3"/>
      <c r="CE317" s="22">
        <f t="shared" si="24"/>
        <v>1055.26</v>
      </c>
      <c r="CF317" s="3">
        <f t="shared" si="22"/>
        <v>0</v>
      </c>
      <c r="CG317" s="17">
        <f t="shared" si="23"/>
        <v>9888</v>
      </c>
      <c r="CH317" s="3" t="str">
        <f t="shared" si="23"/>
        <v xml:space="preserve">برنامج دولى </v>
      </c>
    </row>
    <row r="318" spans="1:86" x14ac:dyDescent="0.25">
      <c r="C318" s="25">
        <v>15893</v>
      </c>
      <c r="D318" s="20">
        <v>9889</v>
      </c>
      <c r="E318" s="42" t="s">
        <v>325</v>
      </c>
      <c r="F318" s="3" t="s">
        <v>878</v>
      </c>
      <c r="H318" s="3">
        <v>1482.65</v>
      </c>
      <c r="U318" s="3"/>
      <c r="V318" s="3"/>
      <c r="AS318" s="22">
        <f t="shared" si="21"/>
        <v>1482.65</v>
      </c>
      <c r="AT318" s="3">
        <v>991.7</v>
      </c>
      <c r="AU318" s="3">
        <v>133.69999999999999</v>
      </c>
      <c r="AV318" s="3">
        <v>357.25</v>
      </c>
      <c r="BD318" s="3"/>
      <c r="BE318" s="3"/>
      <c r="CE318" s="22">
        <f t="shared" si="24"/>
        <v>1482.65</v>
      </c>
      <c r="CF318" s="3">
        <f t="shared" si="22"/>
        <v>0</v>
      </c>
      <c r="CG318" s="17">
        <f t="shared" si="23"/>
        <v>9889</v>
      </c>
      <c r="CH318" s="3" t="str">
        <f t="shared" si="23"/>
        <v xml:space="preserve">برنامج دولى </v>
      </c>
    </row>
    <row r="319" spans="1:86" x14ac:dyDescent="0.25">
      <c r="C319" s="25">
        <v>15910</v>
      </c>
      <c r="D319" s="20">
        <v>9890</v>
      </c>
      <c r="E319" s="42" t="s">
        <v>325</v>
      </c>
      <c r="F319" s="3" t="s">
        <v>879</v>
      </c>
      <c r="H319" s="3">
        <v>49245</v>
      </c>
      <c r="U319" s="3"/>
      <c r="V319" s="3"/>
      <c r="AS319" s="22">
        <f t="shared" si="21"/>
        <v>49245</v>
      </c>
      <c r="AT319" s="3">
        <v>32872.35</v>
      </c>
      <c r="AU319" s="3">
        <f>307.65+4200</f>
        <v>4507.6499999999996</v>
      </c>
      <c r="AV319" s="3">
        <f>5040+525+420+1260+420+3780+420</f>
        <v>11865</v>
      </c>
      <c r="BD319" s="3"/>
      <c r="BE319" s="3"/>
      <c r="CE319" s="22">
        <f t="shared" si="24"/>
        <v>49245</v>
      </c>
      <c r="CF319" s="3">
        <f t="shared" si="22"/>
        <v>0</v>
      </c>
      <c r="CG319" s="17">
        <f t="shared" si="23"/>
        <v>9890</v>
      </c>
      <c r="CH319" s="3" t="str">
        <f t="shared" si="23"/>
        <v xml:space="preserve">برنامج دولى </v>
      </c>
    </row>
    <row r="320" spans="1:86" x14ac:dyDescent="0.25">
      <c r="C320" s="25">
        <v>16233</v>
      </c>
      <c r="D320" s="20">
        <v>9891</v>
      </c>
      <c r="E320" s="42" t="s">
        <v>325</v>
      </c>
      <c r="F320" s="3" t="s">
        <v>880</v>
      </c>
      <c r="H320" s="3">
        <v>3475.96</v>
      </c>
      <c r="U320" s="3"/>
      <c r="V320" s="3"/>
      <c r="AS320" s="22">
        <f t="shared" si="21"/>
        <v>3475.96</v>
      </c>
      <c r="AT320" s="3">
        <v>2606.4899999999998</v>
      </c>
      <c r="AU320" s="3">
        <v>335.65</v>
      </c>
      <c r="AV320" s="3">
        <v>533.82000000000005</v>
      </c>
      <c r="BD320" s="3"/>
      <c r="BE320" s="3"/>
      <c r="CE320" s="22">
        <f t="shared" si="24"/>
        <v>3475.96</v>
      </c>
      <c r="CF320" s="3">
        <f t="shared" si="22"/>
        <v>0</v>
      </c>
      <c r="CG320" s="17">
        <f t="shared" si="23"/>
        <v>9891</v>
      </c>
      <c r="CH320" s="3" t="str">
        <f t="shared" si="23"/>
        <v xml:space="preserve">برنامج دولى </v>
      </c>
    </row>
    <row r="321" spans="3:86" x14ac:dyDescent="0.25">
      <c r="C321" s="25">
        <v>16234</v>
      </c>
      <c r="D321" s="20">
        <v>9892</v>
      </c>
      <c r="E321" s="42" t="s">
        <v>325</v>
      </c>
      <c r="F321" s="3" t="s">
        <v>880</v>
      </c>
      <c r="H321" s="3">
        <v>3165.75</v>
      </c>
      <c r="U321" s="3"/>
      <c r="V321" s="3"/>
      <c r="AS321" s="22">
        <f t="shared" si="21"/>
        <v>3165.75</v>
      </c>
      <c r="AT321" s="3">
        <v>2116.4</v>
      </c>
      <c r="AU321" s="3">
        <v>286.60000000000002</v>
      </c>
      <c r="AV321" s="3">
        <v>762.75</v>
      </c>
      <c r="BD321" s="3"/>
      <c r="BE321" s="3"/>
      <c r="CE321" s="22">
        <f t="shared" si="24"/>
        <v>3165.75</v>
      </c>
      <c r="CF321" s="3">
        <f t="shared" si="22"/>
        <v>0</v>
      </c>
      <c r="CG321" s="17">
        <f t="shared" si="23"/>
        <v>9892</v>
      </c>
      <c r="CH321" s="3" t="str">
        <f t="shared" si="23"/>
        <v xml:space="preserve">برنامج دولى </v>
      </c>
    </row>
    <row r="322" spans="3:86" x14ac:dyDescent="0.25">
      <c r="C322" s="25">
        <v>16235</v>
      </c>
      <c r="D322" s="20">
        <v>9893</v>
      </c>
      <c r="E322" s="42" t="s">
        <v>325</v>
      </c>
      <c r="F322" s="3" t="s">
        <v>880</v>
      </c>
      <c r="H322" s="3">
        <v>1113.8800000000001</v>
      </c>
      <c r="U322" s="3"/>
      <c r="V322" s="3"/>
      <c r="AS322" s="22">
        <f t="shared" si="21"/>
        <v>1113.8800000000001</v>
      </c>
      <c r="AT322" s="3">
        <v>744.9</v>
      </c>
      <c r="AU322" s="3">
        <v>100.6</v>
      </c>
      <c r="AV322" s="3">
        <v>268.38</v>
      </c>
      <c r="BD322" s="3"/>
      <c r="BE322" s="3"/>
      <c r="CE322" s="22">
        <f t="shared" si="24"/>
        <v>1113.8800000000001</v>
      </c>
      <c r="CF322" s="3">
        <f t="shared" si="22"/>
        <v>0</v>
      </c>
      <c r="CG322" s="17">
        <f t="shared" si="23"/>
        <v>9893</v>
      </c>
      <c r="CH322" s="3" t="str">
        <f t="shared" si="23"/>
        <v xml:space="preserve">برنامج دولى </v>
      </c>
    </row>
    <row r="323" spans="3:86" x14ac:dyDescent="0.25">
      <c r="C323" s="25">
        <v>16236</v>
      </c>
      <c r="D323" s="20">
        <v>9894</v>
      </c>
      <c r="E323" s="42" t="s">
        <v>325</v>
      </c>
      <c r="F323" s="3" t="s">
        <v>881</v>
      </c>
      <c r="H323" s="3">
        <v>1289.75</v>
      </c>
      <c r="U323" s="3"/>
      <c r="V323" s="3"/>
      <c r="AS323" s="22">
        <f t="shared" si="21"/>
        <v>1289.75</v>
      </c>
      <c r="AT323" s="3">
        <v>862</v>
      </c>
      <c r="AU323" s="3">
        <f>7+110</f>
        <v>117</v>
      </c>
      <c r="AV323" s="3">
        <v>310.75</v>
      </c>
      <c r="BD323" s="3"/>
      <c r="BE323" s="3"/>
      <c r="CE323" s="22">
        <f t="shared" si="24"/>
        <v>1289.75</v>
      </c>
      <c r="CF323" s="3">
        <f t="shared" si="22"/>
        <v>0</v>
      </c>
      <c r="CG323" s="17">
        <f t="shared" si="23"/>
        <v>9894</v>
      </c>
      <c r="CH323" s="3" t="str">
        <f t="shared" si="23"/>
        <v xml:space="preserve">برنامج دولى </v>
      </c>
    </row>
    <row r="324" spans="3:86" x14ac:dyDescent="0.25">
      <c r="C324" s="25">
        <v>16237</v>
      </c>
      <c r="D324" s="20">
        <v>9895</v>
      </c>
      <c r="E324" s="42" t="s">
        <v>325</v>
      </c>
      <c r="F324" s="3" t="s">
        <v>882</v>
      </c>
      <c r="H324" s="3">
        <v>1465.62</v>
      </c>
      <c r="U324" s="3"/>
      <c r="V324" s="3"/>
      <c r="AS324" s="22">
        <f t="shared" si="21"/>
        <v>1465.62</v>
      </c>
      <c r="AT324" s="3">
        <v>979.5</v>
      </c>
      <c r="AU324" s="3">
        <v>133</v>
      </c>
      <c r="AV324" s="3">
        <v>353.12</v>
      </c>
      <c r="BD324" s="3"/>
      <c r="BE324" s="3"/>
      <c r="CE324" s="22">
        <f t="shared" si="24"/>
        <v>1465.62</v>
      </c>
      <c r="CF324" s="3">
        <f t="shared" si="22"/>
        <v>0</v>
      </c>
      <c r="CG324" s="17">
        <f t="shared" si="23"/>
        <v>9895</v>
      </c>
      <c r="CH324" s="3" t="str">
        <f t="shared" si="23"/>
        <v xml:space="preserve">برنامج دولى </v>
      </c>
    </row>
    <row r="325" spans="3:86" x14ac:dyDescent="0.25">
      <c r="C325" s="25">
        <v>16238</v>
      </c>
      <c r="D325" s="20">
        <v>9896</v>
      </c>
      <c r="E325" s="42" t="s">
        <v>325</v>
      </c>
      <c r="F325" s="3" t="s">
        <v>883</v>
      </c>
      <c r="H325" s="3">
        <v>1250</v>
      </c>
      <c r="U325" s="3"/>
      <c r="V325" s="3"/>
      <c r="AS325" s="22">
        <f t="shared" si="21"/>
        <v>1250</v>
      </c>
      <c r="AT325" s="3">
        <v>1116</v>
      </c>
      <c r="AU325" s="3">
        <v>134</v>
      </c>
      <c r="BD325" s="3"/>
      <c r="BE325" s="3"/>
      <c r="CE325" s="22">
        <f t="shared" si="24"/>
        <v>1250</v>
      </c>
      <c r="CF325" s="3">
        <f t="shared" si="22"/>
        <v>0</v>
      </c>
      <c r="CG325" s="17">
        <f t="shared" si="23"/>
        <v>9896</v>
      </c>
      <c r="CH325" s="3" t="str">
        <f t="shared" si="23"/>
        <v xml:space="preserve">برنامج دولى </v>
      </c>
    </row>
    <row r="326" spans="3:86" x14ac:dyDescent="0.25">
      <c r="C326" s="25">
        <v>16239</v>
      </c>
      <c r="D326" s="20">
        <v>9897</v>
      </c>
      <c r="E326" s="42" t="s">
        <v>325</v>
      </c>
      <c r="F326" s="3" t="s">
        <v>883</v>
      </c>
      <c r="H326" s="3">
        <v>1274.0999999999999</v>
      </c>
      <c r="U326" s="3"/>
      <c r="V326" s="3"/>
      <c r="AS326" s="22">
        <f t="shared" si="21"/>
        <v>1274.0999999999999</v>
      </c>
      <c r="AT326" s="3">
        <v>1100.73</v>
      </c>
      <c r="AU326" s="3">
        <v>133.9</v>
      </c>
      <c r="AV326" s="3">
        <v>39.47</v>
      </c>
      <c r="BD326" s="3"/>
      <c r="BE326" s="3"/>
      <c r="CE326" s="22">
        <f t="shared" si="24"/>
        <v>1274.1000000000001</v>
      </c>
      <c r="CF326" s="3">
        <f t="shared" si="22"/>
        <v>0</v>
      </c>
      <c r="CG326" s="17">
        <f t="shared" si="23"/>
        <v>9897</v>
      </c>
      <c r="CH326" s="3" t="str">
        <f t="shared" si="23"/>
        <v xml:space="preserve">برنامج دولى </v>
      </c>
    </row>
    <row r="327" spans="3:86" x14ac:dyDescent="0.25">
      <c r="C327" s="25">
        <v>16240</v>
      </c>
      <c r="D327" s="20">
        <v>9898</v>
      </c>
      <c r="E327" s="42" t="s">
        <v>325</v>
      </c>
      <c r="F327" s="3" t="s">
        <v>429</v>
      </c>
      <c r="H327" s="3">
        <v>7000</v>
      </c>
      <c r="U327" s="3"/>
      <c r="V327" s="3"/>
      <c r="AS327" s="22">
        <f t="shared" si="21"/>
        <v>7000</v>
      </c>
      <c r="AT327" s="3">
        <v>6248.2</v>
      </c>
      <c r="AU327" s="3">
        <v>751.8</v>
      </c>
      <c r="BD327" s="3"/>
      <c r="BE327" s="3"/>
      <c r="CE327" s="22">
        <f t="shared" si="24"/>
        <v>7000</v>
      </c>
      <c r="CF327" s="3">
        <f t="shared" si="22"/>
        <v>0</v>
      </c>
      <c r="CG327" s="17">
        <f t="shared" si="23"/>
        <v>9898</v>
      </c>
      <c r="CH327" s="3" t="str">
        <f t="shared" si="23"/>
        <v xml:space="preserve">برنامج دولى </v>
      </c>
    </row>
    <row r="328" spans="3:86" x14ac:dyDescent="0.25">
      <c r="C328" s="25">
        <v>16242</v>
      </c>
      <c r="D328" s="20">
        <v>9899</v>
      </c>
      <c r="E328" s="42" t="s">
        <v>325</v>
      </c>
      <c r="F328" s="3" t="str">
        <f>+F312</f>
        <v>ج بروتوكول ابحاث اكلينكيه</v>
      </c>
      <c r="H328" s="3">
        <v>5013.12</v>
      </c>
      <c r="U328" s="3"/>
      <c r="V328" s="3"/>
      <c r="AS328" s="22">
        <f t="shared" si="21"/>
        <v>5013.12</v>
      </c>
      <c r="AT328" s="3">
        <v>4472.1099999999997</v>
      </c>
      <c r="AU328" s="3">
        <v>541.01</v>
      </c>
      <c r="BD328" s="3"/>
      <c r="BE328" s="3"/>
      <c r="CE328" s="22">
        <f t="shared" si="24"/>
        <v>5013.12</v>
      </c>
      <c r="CF328" s="3">
        <f t="shared" si="22"/>
        <v>0</v>
      </c>
      <c r="CG328" s="17">
        <f t="shared" si="23"/>
        <v>9899</v>
      </c>
      <c r="CH328" s="3" t="str">
        <f t="shared" si="23"/>
        <v xml:space="preserve">برنامج دولى </v>
      </c>
    </row>
    <row r="329" spans="3:86" ht="27" customHeight="1" x14ac:dyDescent="0.25">
      <c r="C329" s="25">
        <v>16245</v>
      </c>
      <c r="D329" s="20">
        <v>9900</v>
      </c>
      <c r="E329" s="42" t="s">
        <v>325</v>
      </c>
      <c r="F329" s="9" t="s">
        <v>884</v>
      </c>
      <c r="H329" s="3">
        <v>3740.37</v>
      </c>
      <c r="U329" s="3"/>
      <c r="V329" s="3"/>
      <c r="AS329" s="22">
        <f t="shared" si="21"/>
        <v>3740.37</v>
      </c>
      <c r="AT329" s="3">
        <v>2499.5700000000002</v>
      </c>
      <c r="AU329" s="3">
        <f>20.6+319.01</f>
        <v>339.61</v>
      </c>
      <c r="AV329" s="3">
        <v>901.19</v>
      </c>
      <c r="BD329" s="3"/>
      <c r="BE329" s="3"/>
      <c r="CE329" s="22">
        <f t="shared" si="24"/>
        <v>3740.3700000000003</v>
      </c>
      <c r="CF329" s="3">
        <f t="shared" si="22"/>
        <v>0</v>
      </c>
      <c r="CG329" s="17">
        <f t="shared" si="23"/>
        <v>9900</v>
      </c>
      <c r="CH329" s="3" t="str">
        <f t="shared" si="23"/>
        <v xml:space="preserve">برنامج دولى </v>
      </c>
    </row>
    <row r="330" spans="3:86" x14ac:dyDescent="0.25">
      <c r="C330" s="25">
        <v>16308</v>
      </c>
      <c r="D330" s="20">
        <v>9901</v>
      </c>
      <c r="E330" s="42" t="s">
        <v>325</v>
      </c>
      <c r="F330" s="3" t="str">
        <f>+F315</f>
        <v>مكافاه حفل تخرج</v>
      </c>
      <c r="H330" s="3">
        <v>2622.5</v>
      </c>
      <c r="U330" s="3"/>
      <c r="V330" s="3"/>
      <c r="AS330" s="22">
        <f t="shared" si="21"/>
        <v>2622.5</v>
      </c>
      <c r="AT330" s="3">
        <v>2080.5500000000002</v>
      </c>
      <c r="AU330" s="3">
        <v>259.45</v>
      </c>
      <c r="AV330" s="3">
        <v>282.5</v>
      </c>
      <c r="BD330" s="3"/>
      <c r="BE330" s="3"/>
      <c r="CE330" s="22">
        <f t="shared" si="24"/>
        <v>2622.5</v>
      </c>
      <c r="CF330" s="3">
        <f t="shared" si="22"/>
        <v>0</v>
      </c>
      <c r="CG330" s="17">
        <f t="shared" si="23"/>
        <v>9901</v>
      </c>
      <c r="CH330" s="3" t="str">
        <f t="shared" si="23"/>
        <v xml:space="preserve">برنامج دولى </v>
      </c>
    </row>
    <row r="331" spans="3:86" x14ac:dyDescent="0.25">
      <c r="C331" s="25">
        <v>16307</v>
      </c>
      <c r="D331" s="20">
        <v>9902</v>
      </c>
      <c r="E331" s="42" t="s">
        <v>325</v>
      </c>
      <c r="F331" s="3" t="str">
        <f>+F316</f>
        <v>مكافاه حفل تخرج</v>
      </c>
      <c r="H331" s="3">
        <v>4700</v>
      </c>
      <c r="U331" s="3"/>
      <c r="V331" s="3"/>
      <c r="AS331" s="22">
        <f t="shared" si="21"/>
        <v>4700</v>
      </c>
      <c r="AT331" s="3">
        <v>4197.75</v>
      </c>
      <c r="AU331" s="3">
        <v>502.25</v>
      </c>
      <c r="BD331" s="3"/>
      <c r="BE331" s="3"/>
      <c r="CE331" s="22">
        <f t="shared" si="24"/>
        <v>4700</v>
      </c>
      <c r="CF331" s="3">
        <f t="shared" si="22"/>
        <v>0</v>
      </c>
      <c r="CG331" s="17">
        <f t="shared" si="23"/>
        <v>9902</v>
      </c>
      <c r="CH331" s="3" t="str">
        <f t="shared" si="23"/>
        <v xml:space="preserve">برنامج دولى </v>
      </c>
    </row>
    <row r="332" spans="3:86" x14ac:dyDescent="0.25">
      <c r="C332" s="25">
        <v>16277</v>
      </c>
      <c r="D332" s="20">
        <v>9903</v>
      </c>
      <c r="E332" s="42" t="s">
        <v>325</v>
      </c>
      <c r="F332" s="3" t="s">
        <v>885</v>
      </c>
      <c r="H332" s="3">
        <v>1200</v>
      </c>
      <c r="U332" s="3"/>
      <c r="V332" s="3"/>
      <c r="AS332" s="22">
        <f t="shared" si="21"/>
        <v>1200</v>
      </c>
      <c r="AT332" s="3">
        <v>1071.3499999999999</v>
      </c>
      <c r="AU332" s="3">
        <v>128.65</v>
      </c>
      <c r="BD332" s="3"/>
      <c r="BE332" s="3"/>
      <c r="CE332" s="22">
        <f t="shared" si="24"/>
        <v>1200</v>
      </c>
      <c r="CF332" s="3">
        <f t="shared" si="22"/>
        <v>0</v>
      </c>
      <c r="CG332" s="17">
        <f t="shared" si="23"/>
        <v>9903</v>
      </c>
      <c r="CH332" s="3" t="str">
        <f t="shared" si="23"/>
        <v xml:space="preserve">برنامج دولى </v>
      </c>
    </row>
    <row r="333" spans="3:86" x14ac:dyDescent="0.25">
      <c r="C333" s="25">
        <v>16276</v>
      </c>
      <c r="D333" s="20">
        <v>9904</v>
      </c>
      <c r="E333" s="42" t="s">
        <v>325</v>
      </c>
      <c r="F333" s="3" t="s">
        <v>885</v>
      </c>
      <c r="H333" s="3">
        <v>1400</v>
      </c>
      <c r="U333" s="3"/>
      <c r="V333" s="3"/>
      <c r="AS333" s="22">
        <f t="shared" si="21"/>
        <v>1400</v>
      </c>
      <c r="AT333" s="3">
        <v>1250.9000000000001</v>
      </c>
      <c r="AU333" s="3">
        <v>149.1</v>
      </c>
      <c r="BD333" s="3"/>
      <c r="BE333" s="3"/>
      <c r="CE333" s="22">
        <f t="shared" si="24"/>
        <v>1400</v>
      </c>
      <c r="CF333" s="3">
        <f t="shared" si="22"/>
        <v>0</v>
      </c>
      <c r="CG333" s="17">
        <f t="shared" si="23"/>
        <v>9904</v>
      </c>
      <c r="CH333" s="3" t="str">
        <f t="shared" si="23"/>
        <v xml:space="preserve">برنامج دولى </v>
      </c>
    </row>
    <row r="334" spans="3:86" x14ac:dyDescent="0.25">
      <c r="C334" s="25">
        <v>16275</v>
      </c>
      <c r="D334" s="20">
        <v>9905</v>
      </c>
      <c r="E334" s="42" t="s">
        <v>325</v>
      </c>
      <c r="F334" s="3" t="s">
        <v>885</v>
      </c>
      <c r="H334" s="3">
        <v>2462.25</v>
      </c>
      <c r="U334" s="3"/>
      <c r="V334" s="3"/>
      <c r="AS334" s="22">
        <f t="shared" si="21"/>
        <v>2462.25</v>
      </c>
      <c r="AT334" s="3">
        <v>1646.85</v>
      </c>
      <c r="AU334" s="3">
        <v>222.15</v>
      </c>
      <c r="AV334" s="3">
        <v>593.25</v>
      </c>
      <c r="BD334" s="3"/>
      <c r="BE334" s="3"/>
      <c r="CE334" s="22">
        <f t="shared" si="24"/>
        <v>2462.25</v>
      </c>
      <c r="CF334" s="3">
        <f t="shared" si="22"/>
        <v>0</v>
      </c>
      <c r="CG334" s="17">
        <f t="shared" si="23"/>
        <v>9905</v>
      </c>
      <c r="CH334" s="3" t="str">
        <f t="shared" si="23"/>
        <v xml:space="preserve">برنامج دولى </v>
      </c>
    </row>
    <row r="335" spans="3:86" x14ac:dyDescent="0.25">
      <c r="C335" s="25">
        <v>16274</v>
      </c>
      <c r="D335" s="20">
        <v>9906</v>
      </c>
      <c r="E335" s="42" t="s">
        <v>325</v>
      </c>
      <c r="F335" s="3" t="s">
        <v>885</v>
      </c>
      <c r="H335" s="3">
        <v>3862.25</v>
      </c>
      <c r="U335" s="3"/>
      <c r="V335" s="3"/>
      <c r="AS335" s="22">
        <f t="shared" si="21"/>
        <v>3862.25</v>
      </c>
      <c r="AT335" s="3">
        <v>2972.3</v>
      </c>
      <c r="AU335" s="3">
        <v>296.7</v>
      </c>
      <c r="AV335" s="3">
        <v>593.25</v>
      </c>
      <c r="BD335" s="3"/>
      <c r="BE335" s="3"/>
      <c r="CE335" s="22">
        <f t="shared" si="24"/>
        <v>3862.25</v>
      </c>
      <c r="CF335" s="3">
        <f t="shared" si="22"/>
        <v>0</v>
      </c>
      <c r="CG335" s="17">
        <f t="shared" si="23"/>
        <v>9906</v>
      </c>
      <c r="CH335" s="3" t="str">
        <f t="shared" si="23"/>
        <v xml:space="preserve">برنامج دولى </v>
      </c>
    </row>
    <row r="336" spans="3:86" x14ac:dyDescent="0.25">
      <c r="C336" s="25">
        <v>16273</v>
      </c>
      <c r="D336" s="20">
        <v>9907</v>
      </c>
      <c r="E336" s="42" t="s">
        <v>325</v>
      </c>
      <c r="F336" s="3" t="s">
        <v>886</v>
      </c>
      <c r="H336" s="3">
        <v>351.75</v>
      </c>
      <c r="U336" s="3"/>
      <c r="V336" s="3"/>
      <c r="AS336" s="22">
        <f t="shared" ref="AS336:AS597" si="26">SUM(H336:AQ336)</f>
        <v>351.75</v>
      </c>
      <c r="AT336" s="3">
        <v>235.55</v>
      </c>
      <c r="AU336" s="3">
        <v>31.45</v>
      </c>
      <c r="AV336" s="3">
        <v>84.75</v>
      </c>
      <c r="BD336" s="3"/>
      <c r="BE336" s="3"/>
      <c r="CE336" s="22">
        <f t="shared" si="24"/>
        <v>351.75</v>
      </c>
      <c r="CF336" s="3">
        <f t="shared" si="22"/>
        <v>0</v>
      </c>
      <c r="CG336" s="17">
        <f t="shared" si="23"/>
        <v>9907</v>
      </c>
      <c r="CH336" s="3" t="str">
        <f t="shared" si="23"/>
        <v xml:space="preserve">برنامج دولى </v>
      </c>
    </row>
    <row r="337" spans="3:86" x14ac:dyDescent="0.25">
      <c r="C337" s="25">
        <v>16272</v>
      </c>
      <c r="D337" s="20">
        <v>9908</v>
      </c>
      <c r="E337" s="42" t="s">
        <v>325</v>
      </c>
      <c r="F337" s="3" t="s">
        <v>886</v>
      </c>
      <c r="H337" s="3">
        <v>1055.25</v>
      </c>
      <c r="U337" s="3"/>
      <c r="V337" s="3"/>
      <c r="AS337" s="22">
        <f t="shared" si="26"/>
        <v>1055.25</v>
      </c>
      <c r="AT337" s="3">
        <v>706.65</v>
      </c>
      <c r="AU337" s="3">
        <v>94.35</v>
      </c>
      <c r="AV337" s="3">
        <v>254.25</v>
      </c>
      <c r="BD337" s="3"/>
      <c r="BE337" s="3"/>
      <c r="CE337" s="22">
        <f t="shared" si="24"/>
        <v>1055.25</v>
      </c>
      <c r="CF337" s="3">
        <f t="shared" si="22"/>
        <v>0</v>
      </c>
      <c r="CG337" s="17">
        <f t="shared" ref="CG337:CH393" si="27">+D337</f>
        <v>9908</v>
      </c>
      <c r="CH337" s="3" t="str">
        <f t="shared" si="27"/>
        <v xml:space="preserve">برنامج دولى </v>
      </c>
    </row>
    <row r="338" spans="3:86" x14ac:dyDescent="0.25">
      <c r="C338" s="25">
        <v>16270</v>
      </c>
      <c r="D338" s="20">
        <v>9909</v>
      </c>
      <c r="E338" s="42" t="s">
        <v>325</v>
      </c>
      <c r="F338" s="3" t="s">
        <v>887</v>
      </c>
      <c r="H338" s="3">
        <v>938</v>
      </c>
      <c r="U338" s="3"/>
      <c r="V338" s="3"/>
      <c r="AS338" s="22">
        <f t="shared" si="26"/>
        <v>938</v>
      </c>
      <c r="AT338" s="3">
        <v>627.35</v>
      </c>
      <c r="AU338" s="3">
        <v>84.65</v>
      </c>
      <c r="AV338" s="3">
        <v>226</v>
      </c>
      <c r="BD338" s="3"/>
      <c r="BE338" s="3"/>
      <c r="CE338" s="22">
        <f t="shared" si="24"/>
        <v>938</v>
      </c>
      <c r="CF338" s="3">
        <f t="shared" si="22"/>
        <v>0</v>
      </c>
      <c r="CG338" s="17">
        <f t="shared" si="27"/>
        <v>9909</v>
      </c>
      <c r="CH338" s="3" t="str">
        <f t="shared" si="27"/>
        <v xml:space="preserve">برنامج دولى </v>
      </c>
    </row>
    <row r="339" spans="3:86" x14ac:dyDescent="0.25">
      <c r="C339" s="25">
        <v>16271</v>
      </c>
      <c r="D339" s="20">
        <v>9910</v>
      </c>
      <c r="E339" s="42" t="s">
        <v>325</v>
      </c>
      <c r="F339" s="3" t="s">
        <v>887</v>
      </c>
      <c r="H339" s="3">
        <v>2472.12</v>
      </c>
      <c r="U339" s="3"/>
      <c r="V339" s="3"/>
      <c r="AS339" s="22">
        <f t="shared" si="26"/>
        <v>2472.12</v>
      </c>
      <c r="AT339" s="3">
        <v>2097.41</v>
      </c>
      <c r="AU339" s="3">
        <v>256.60000000000002</v>
      </c>
      <c r="AV339" s="3">
        <v>118.11</v>
      </c>
      <c r="BD339" s="3"/>
      <c r="BE339" s="3"/>
      <c r="CE339" s="22">
        <f t="shared" si="24"/>
        <v>2472.12</v>
      </c>
      <c r="CF339" s="3">
        <f t="shared" si="22"/>
        <v>0</v>
      </c>
      <c r="CG339" s="17">
        <f t="shared" si="27"/>
        <v>9910</v>
      </c>
      <c r="CH339" s="3" t="str">
        <f t="shared" si="27"/>
        <v xml:space="preserve">برنامج دولى </v>
      </c>
    </row>
    <row r="340" spans="3:86" x14ac:dyDescent="0.25">
      <c r="C340" s="25">
        <v>16269</v>
      </c>
      <c r="D340" s="20">
        <v>9911</v>
      </c>
      <c r="E340" s="42" t="s">
        <v>325</v>
      </c>
      <c r="F340" s="3" t="s">
        <v>888</v>
      </c>
      <c r="H340" s="3">
        <v>2638.12</v>
      </c>
      <c r="U340" s="3"/>
      <c r="V340" s="3"/>
      <c r="AS340" s="22">
        <f t="shared" si="26"/>
        <v>2638.12</v>
      </c>
      <c r="AT340" s="3">
        <v>1764.5</v>
      </c>
      <c r="AU340" s="3">
        <v>238</v>
      </c>
      <c r="AV340" s="3">
        <v>635.62</v>
      </c>
      <c r="BD340" s="3"/>
      <c r="BE340" s="3"/>
      <c r="CE340" s="22">
        <f t="shared" si="24"/>
        <v>2638.12</v>
      </c>
      <c r="CF340" s="3">
        <f t="shared" si="22"/>
        <v>0</v>
      </c>
      <c r="CG340" s="17">
        <f t="shared" si="27"/>
        <v>9911</v>
      </c>
      <c r="CH340" s="3" t="str">
        <f t="shared" si="27"/>
        <v xml:space="preserve">برنامج دولى </v>
      </c>
    </row>
    <row r="341" spans="3:86" x14ac:dyDescent="0.25">
      <c r="C341" s="25">
        <v>16268</v>
      </c>
      <c r="D341" s="20">
        <v>9912</v>
      </c>
      <c r="E341" s="42" t="s">
        <v>325</v>
      </c>
      <c r="F341" s="3" t="s">
        <v>888</v>
      </c>
      <c r="H341" s="3">
        <v>762.12</v>
      </c>
      <c r="U341" s="3"/>
      <c r="V341" s="3"/>
      <c r="AS341" s="22">
        <f t="shared" si="26"/>
        <v>762.12</v>
      </c>
      <c r="AT341" s="3">
        <v>509.8</v>
      </c>
      <c r="AU341" s="3">
        <v>68.7</v>
      </c>
      <c r="AV341" s="3">
        <v>183.62</v>
      </c>
      <c r="BD341" s="3"/>
      <c r="BE341" s="3"/>
      <c r="CE341" s="22">
        <f t="shared" si="24"/>
        <v>762.12</v>
      </c>
      <c r="CF341" s="3">
        <f t="shared" si="22"/>
        <v>0</v>
      </c>
      <c r="CG341" s="17">
        <f t="shared" si="27"/>
        <v>9912</v>
      </c>
      <c r="CH341" s="3" t="str">
        <f t="shared" si="27"/>
        <v xml:space="preserve">برنامج دولى </v>
      </c>
    </row>
    <row r="342" spans="3:86" x14ac:dyDescent="0.25">
      <c r="C342" s="25">
        <v>16267</v>
      </c>
      <c r="D342" s="20">
        <v>9913</v>
      </c>
      <c r="E342" s="42" t="s">
        <v>325</v>
      </c>
      <c r="F342" s="3" t="s">
        <v>888</v>
      </c>
      <c r="H342" s="3">
        <v>879.38</v>
      </c>
      <c r="U342" s="3"/>
      <c r="V342" s="3"/>
      <c r="AS342" s="22">
        <f t="shared" si="26"/>
        <v>879.38</v>
      </c>
      <c r="AT342" s="3">
        <v>588.15</v>
      </c>
      <c r="AU342" s="3">
        <v>79.349999999999994</v>
      </c>
      <c r="AV342" s="3">
        <v>211.88</v>
      </c>
      <c r="BD342" s="3"/>
      <c r="BE342" s="3"/>
      <c r="CE342" s="22">
        <f t="shared" si="24"/>
        <v>879.38</v>
      </c>
      <c r="CF342" s="3">
        <f t="shared" si="22"/>
        <v>0</v>
      </c>
      <c r="CG342" s="17">
        <f t="shared" si="27"/>
        <v>9913</v>
      </c>
      <c r="CH342" s="3" t="str">
        <f t="shared" si="27"/>
        <v xml:space="preserve">برنامج دولى </v>
      </c>
    </row>
    <row r="343" spans="3:86" x14ac:dyDescent="0.25">
      <c r="C343" s="25">
        <v>16266</v>
      </c>
      <c r="D343" s="20">
        <v>9914</v>
      </c>
      <c r="E343" s="42" t="s">
        <v>325</v>
      </c>
      <c r="F343" s="3" t="s">
        <v>888</v>
      </c>
      <c r="H343" s="3">
        <v>2638.12</v>
      </c>
      <c r="U343" s="3"/>
      <c r="V343" s="3"/>
      <c r="AS343" s="22">
        <f t="shared" si="26"/>
        <v>2638.12</v>
      </c>
      <c r="AT343" s="3">
        <v>1762.85</v>
      </c>
      <c r="AU343" s="3">
        <v>239.65</v>
      </c>
      <c r="AV343" s="3">
        <v>635.62</v>
      </c>
      <c r="BD343" s="3"/>
      <c r="BE343" s="3"/>
      <c r="CE343" s="22">
        <f t="shared" si="24"/>
        <v>2638.12</v>
      </c>
      <c r="CF343" s="3">
        <f t="shared" si="22"/>
        <v>0</v>
      </c>
      <c r="CG343" s="17">
        <f t="shared" si="27"/>
        <v>9914</v>
      </c>
      <c r="CH343" s="3" t="str">
        <f t="shared" si="27"/>
        <v xml:space="preserve">برنامج دولى </v>
      </c>
    </row>
    <row r="344" spans="3:86" x14ac:dyDescent="0.25">
      <c r="C344" s="25">
        <v>16265</v>
      </c>
      <c r="D344" s="20">
        <v>9915</v>
      </c>
      <c r="E344" s="42" t="s">
        <v>325</v>
      </c>
      <c r="F344" s="3" t="s">
        <v>888</v>
      </c>
      <c r="H344" s="3">
        <v>2900</v>
      </c>
      <c r="U344" s="3"/>
      <c r="V344" s="3"/>
      <c r="AS344" s="22">
        <f t="shared" si="26"/>
        <v>2900</v>
      </c>
      <c r="AT344" s="3">
        <v>2588.6</v>
      </c>
      <c r="AU344" s="3">
        <v>311.39999999999998</v>
      </c>
      <c r="BD344" s="3"/>
      <c r="BE344" s="3"/>
      <c r="CE344" s="22">
        <f t="shared" si="24"/>
        <v>2900</v>
      </c>
      <c r="CF344" s="3">
        <f t="shared" si="22"/>
        <v>0</v>
      </c>
      <c r="CG344" s="17">
        <f t="shared" si="27"/>
        <v>9915</v>
      </c>
      <c r="CH344" s="3" t="str">
        <f t="shared" si="27"/>
        <v xml:space="preserve">برنامج دولى </v>
      </c>
    </row>
    <row r="345" spans="3:86" x14ac:dyDescent="0.25">
      <c r="C345" s="25">
        <v>16264</v>
      </c>
      <c r="D345" s="20">
        <v>9916</v>
      </c>
      <c r="E345" s="42" t="s">
        <v>325</v>
      </c>
      <c r="F345" s="3" t="s">
        <v>888</v>
      </c>
      <c r="H345" s="3">
        <v>10580.8</v>
      </c>
      <c r="U345" s="3"/>
      <c r="V345" s="3"/>
      <c r="AS345" s="22">
        <f t="shared" si="26"/>
        <v>10580.8</v>
      </c>
      <c r="AT345" s="3">
        <v>7342.72</v>
      </c>
      <c r="AU345" s="3">
        <v>976.75</v>
      </c>
      <c r="AV345" s="3">
        <v>2261.33</v>
      </c>
      <c r="BD345" s="3"/>
      <c r="BE345" s="3"/>
      <c r="CE345" s="22">
        <f t="shared" si="24"/>
        <v>10580.800000000001</v>
      </c>
      <c r="CF345" s="3">
        <f t="shared" si="22"/>
        <v>0</v>
      </c>
      <c r="CG345" s="17">
        <f t="shared" si="27"/>
        <v>9916</v>
      </c>
      <c r="CH345" s="3" t="str">
        <f t="shared" si="27"/>
        <v xml:space="preserve">برنامج دولى </v>
      </c>
    </row>
    <row r="346" spans="3:86" x14ac:dyDescent="0.25">
      <c r="C346" s="25">
        <v>16263</v>
      </c>
      <c r="D346" s="20">
        <v>9917</v>
      </c>
      <c r="E346" s="42" t="s">
        <v>325</v>
      </c>
      <c r="F346" s="3" t="s">
        <v>663</v>
      </c>
      <c r="H346" s="3">
        <v>1876</v>
      </c>
      <c r="U346" s="3"/>
      <c r="V346" s="3"/>
      <c r="AS346" s="22">
        <f t="shared" si="26"/>
        <v>1876</v>
      </c>
      <c r="AT346" s="3">
        <v>1254.7</v>
      </c>
      <c r="AU346" s="3">
        <v>169.3</v>
      </c>
      <c r="AV346" s="3">
        <v>452</v>
      </c>
      <c r="BD346" s="3"/>
      <c r="BE346" s="3"/>
      <c r="CE346" s="22">
        <f t="shared" si="24"/>
        <v>1876</v>
      </c>
      <c r="CF346" s="3">
        <f t="shared" si="22"/>
        <v>0</v>
      </c>
      <c r="CG346" s="17">
        <f t="shared" si="27"/>
        <v>9917</v>
      </c>
      <c r="CH346" s="3" t="str">
        <f t="shared" si="27"/>
        <v xml:space="preserve">برنامج دولى </v>
      </c>
    </row>
    <row r="347" spans="3:86" x14ac:dyDescent="0.25">
      <c r="C347" s="25">
        <v>16261</v>
      </c>
      <c r="D347" s="20">
        <v>9918</v>
      </c>
      <c r="E347" s="42" t="s">
        <v>325</v>
      </c>
      <c r="F347" s="3" t="s">
        <v>663</v>
      </c>
      <c r="H347" s="3">
        <v>1500</v>
      </c>
      <c r="U347" s="3"/>
      <c r="V347" s="3"/>
      <c r="AS347" s="22">
        <f t="shared" si="26"/>
        <v>1500</v>
      </c>
      <c r="AT347" s="3">
        <v>1339.1</v>
      </c>
      <c r="AU347" s="3">
        <v>160.9</v>
      </c>
      <c r="BD347" s="3"/>
      <c r="BE347" s="3"/>
      <c r="CE347" s="22">
        <f t="shared" si="24"/>
        <v>1500</v>
      </c>
      <c r="CF347" s="3">
        <f t="shared" ref="CF347:CF393" si="28">+CE347-AS347</f>
        <v>0</v>
      </c>
      <c r="CG347" s="17">
        <f t="shared" si="27"/>
        <v>9918</v>
      </c>
      <c r="CH347" s="3" t="str">
        <f t="shared" si="27"/>
        <v xml:space="preserve">برنامج دولى </v>
      </c>
    </row>
    <row r="348" spans="3:86" x14ac:dyDescent="0.25">
      <c r="C348" s="25">
        <v>16262</v>
      </c>
      <c r="D348" s="20">
        <v>9919</v>
      </c>
      <c r="E348" s="42" t="s">
        <v>325</v>
      </c>
      <c r="F348" s="3" t="s">
        <v>889</v>
      </c>
      <c r="H348" s="3">
        <v>996.62</v>
      </c>
      <c r="U348" s="3"/>
      <c r="V348" s="3"/>
      <c r="AS348" s="22">
        <f t="shared" si="26"/>
        <v>996.62</v>
      </c>
      <c r="AT348" s="3">
        <v>666.55</v>
      </c>
      <c r="AU348" s="3">
        <v>89.95</v>
      </c>
      <c r="AV348" s="3">
        <v>240.12</v>
      </c>
      <c r="BD348" s="3"/>
      <c r="BE348" s="3"/>
      <c r="CE348" s="22">
        <f t="shared" ref="CE348:CE393" si="29">SUM(AT348:CC348)</f>
        <v>996.62</v>
      </c>
      <c r="CF348" s="3">
        <f t="shared" si="28"/>
        <v>0</v>
      </c>
      <c r="CG348" s="17">
        <f t="shared" si="27"/>
        <v>9919</v>
      </c>
      <c r="CH348" s="3" t="str">
        <f t="shared" si="27"/>
        <v xml:space="preserve">برنامج دولى </v>
      </c>
    </row>
    <row r="349" spans="3:86" x14ac:dyDescent="0.25">
      <c r="C349" s="25">
        <v>16260</v>
      </c>
      <c r="D349" s="20">
        <v>9920</v>
      </c>
      <c r="E349" s="42" t="s">
        <v>325</v>
      </c>
      <c r="F349" s="3" t="s">
        <v>889</v>
      </c>
      <c r="H349" s="3">
        <v>1500</v>
      </c>
      <c r="U349" s="3"/>
      <c r="V349" s="3"/>
      <c r="AS349" s="22">
        <f t="shared" si="26"/>
        <v>1500</v>
      </c>
      <c r="AT349" s="3">
        <v>1339.1</v>
      </c>
      <c r="AU349" s="3">
        <v>160.9</v>
      </c>
      <c r="BD349" s="3"/>
      <c r="BE349" s="3"/>
      <c r="CE349" s="22">
        <f t="shared" si="29"/>
        <v>1500</v>
      </c>
      <c r="CF349" s="3">
        <f t="shared" si="28"/>
        <v>0</v>
      </c>
      <c r="CG349" s="17">
        <f t="shared" si="27"/>
        <v>9920</v>
      </c>
      <c r="CH349" s="3" t="str">
        <f t="shared" si="27"/>
        <v xml:space="preserve">برنامج دولى </v>
      </c>
    </row>
    <row r="350" spans="3:86" x14ac:dyDescent="0.25">
      <c r="C350" s="25">
        <v>16258</v>
      </c>
      <c r="D350" s="20">
        <v>9921</v>
      </c>
      <c r="E350" s="42" t="s">
        <v>325</v>
      </c>
      <c r="F350" s="3" t="s">
        <v>662</v>
      </c>
      <c r="H350" s="3">
        <v>1289.75</v>
      </c>
      <c r="U350" s="3"/>
      <c r="V350" s="3"/>
      <c r="AS350" s="22">
        <f t="shared" si="26"/>
        <v>1289.75</v>
      </c>
      <c r="AT350" s="3">
        <v>863</v>
      </c>
      <c r="AU350" s="3">
        <v>116</v>
      </c>
      <c r="AV350" s="3">
        <v>310.75</v>
      </c>
      <c r="BD350" s="3"/>
      <c r="BE350" s="3"/>
      <c r="CE350" s="22">
        <f t="shared" si="29"/>
        <v>1289.75</v>
      </c>
      <c r="CF350" s="3">
        <f t="shared" si="28"/>
        <v>0</v>
      </c>
      <c r="CG350" s="17">
        <f t="shared" si="27"/>
        <v>9921</v>
      </c>
      <c r="CH350" s="3" t="str">
        <f t="shared" si="27"/>
        <v xml:space="preserve">برنامج دولى </v>
      </c>
    </row>
    <row r="351" spans="3:86" x14ac:dyDescent="0.25">
      <c r="C351" s="25">
        <v>16259</v>
      </c>
      <c r="D351" s="20">
        <v>9922</v>
      </c>
      <c r="E351" s="42" t="s">
        <v>325</v>
      </c>
      <c r="F351" s="3" t="s">
        <v>662</v>
      </c>
      <c r="H351" s="3">
        <v>1500</v>
      </c>
      <c r="U351" s="3"/>
      <c r="V351" s="3"/>
      <c r="AS351" s="22">
        <f t="shared" si="26"/>
        <v>1500</v>
      </c>
      <c r="AT351" s="3">
        <v>1339.1</v>
      </c>
      <c r="AU351" s="3">
        <v>160.9</v>
      </c>
      <c r="BD351" s="3"/>
      <c r="BE351" s="3"/>
      <c r="CE351" s="22">
        <f t="shared" si="29"/>
        <v>1500</v>
      </c>
      <c r="CF351" s="3">
        <f t="shared" si="28"/>
        <v>0</v>
      </c>
      <c r="CG351" s="17">
        <f t="shared" si="27"/>
        <v>9922</v>
      </c>
      <c r="CH351" s="3" t="str">
        <f t="shared" si="27"/>
        <v xml:space="preserve">برنامج دولى </v>
      </c>
    </row>
    <row r="352" spans="3:86" x14ac:dyDescent="0.25">
      <c r="C352" s="25">
        <v>17683</v>
      </c>
      <c r="D352" s="20">
        <v>9923</v>
      </c>
      <c r="E352" s="42" t="s">
        <v>121</v>
      </c>
      <c r="F352" s="3" t="s">
        <v>890</v>
      </c>
      <c r="H352" s="3">
        <v>6314.84</v>
      </c>
      <c r="U352" s="3"/>
      <c r="V352" s="3"/>
      <c r="AS352" s="22">
        <f t="shared" si="26"/>
        <v>6314.84</v>
      </c>
      <c r="AT352" s="3">
        <v>5229.47</v>
      </c>
      <c r="AU352" s="3">
        <v>651.65</v>
      </c>
      <c r="AV352" s="3">
        <v>433.72</v>
      </c>
      <c r="BD352" s="3"/>
      <c r="BE352" s="3"/>
      <c r="CE352" s="22">
        <f t="shared" si="29"/>
        <v>6314.84</v>
      </c>
      <c r="CF352" s="3">
        <f t="shared" si="28"/>
        <v>0</v>
      </c>
      <c r="CG352" s="17">
        <f t="shared" si="27"/>
        <v>9923</v>
      </c>
      <c r="CH352" s="3" t="str">
        <f t="shared" si="27"/>
        <v>ماليزى اسنان</v>
      </c>
    </row>
    <row r="353" spans="1:88" x14ac:dyDescent="0.25">
      <c r="C353" s="25">
        <v>17682</v>
      </c>
      <c r="D353" s="20">
        <v>9924</v>
      </c>
      <c r="E353" s="42" t="s">
        <v>121</v>
      </c>
      <c r="F353" s="3" t="s">
        <v>890</v>
      </c>
      <c r="H353" s="3">
        <v>21691.71</v>
      </c>
      <c r="U353" s="3"/>
      <c r="V353" s="3"/>
      <c r="AS353" s="22">
        <f t="shared" si="26"/>
        <v>21691.71</v>
      </c>
      <c r="AT353" s="3">
        <v>17953.07</v>
      </c>
      <c r="AU353" s="3">
        <v>2232.5</v>
      </c>
      <c r="AV353" s="3">
        <v>1506.14</v>
      </c>
      <c r="BD353" s="3"/>
      <c r="BE353" s="3"/>
      <c r="CE353" s="22">
        <f t="shared" si="29"/>
        <v>21691.71</v>
      </c>
      <c r="CF353" s="3">
        <f t="shared" si="28"/>
        <v>0</v>
      </c>
      <c r="CG353" s="17">
        <f t="shared" si="27"/>
        <v>9924</v>
      </c>
      <c r="CH353" s="3" t="str">
        <f t="shared" si="27"/>
        <v>ماليزى اسنان</v>
      </c>
    </row>
    <row r="354" spans="1:88" x14ac:dyDescent="0.25">
      <c r="C354" s="25">
        <v>17676</v>
      </c>
      <c r="D354" s="20">
        <v>9925</v>
      </c>
      <c r="E354" s="42" t="s">
        <v>78</v>
      </c>
      <c r="F354" s="3" t="s">
        <v>890</v>
      </c>
      <c r="H354" s="3">
        <v>5533</v>
      </c>
      <c r="U354" s="3"/>
      <c r="V354" s="3"/>
      <c r="AS354" s="22">
        <f t="shared" si="26"/>
        <v>5533</v>
      </c>
      <c r="AT354" s="3">
        <v>4935.8</v>
      </c>
      <c r="AU354" s="3">
        <v>597.20000000000005</v>
      </c>
      <c r="BD354" s="3"/>
      <c r="BE354" s="3"/>
      <c r="CE354" s="22">
        <f t="shared" si="29"/>
        <v>5533</v>
      </c>
      <c r="CF354" s="3">
        <f t="shared" si="28"/>
        <v>0</v>
      </c>
      <c r="CG354" s="17">
        <f t="shared" si="27"/>
        <v>9925</v>
      </c>
      <c r="CH354" s="3" t="str">
        <f t="shared" si="27"/>
        <v>برنامج دولى</v>
      </c>
    </row>
    <row r="355" spans="1:88" x14ac:dyDescent="0.25">
      <c r="C355" s="25">
        <v>17679</v>
      </c>
      <c r="D355" s="20">
        <v>9926</v>
      </c>
      <c r="E355" s="42" t="s">
        <v>78</v>
      </c>
      <c r="F355" s="3" t="s">
        <v>890</v>
      </c>
      <c r="H355" s="3">
        <v>5648</v>
      </c>
      <c r="U355" s="3"/>
      <c r="V355" s="3"/>
      <c r="AS355" s="22">
        <f t="shared" si="26"/>
        <v>5648</v>
      </c>
      <c r="AT355" s="3">
        <v>5038.3999999999996</v>
      </c>
      <c r="AU355" s="3">
        <v>609.6</v>
      </c>
      <c r="BD355" s="3"/>
      <c r="BE355" s="3"/>
      <c r="CE355" s="22">
        <f t="shared" si="29"/>
        <v>5648</v>
      </c>
      <c r="CF355" s="3">
        <f t="shared" si="28"/>
        <v>0</v>
      </c>
      <c r="CG355" s="17">
        <f t="shared" si="27"/>
        <v>9926</v>
      </c>
      <c r="CH355" s="3" t="str">
        <f t="shared" si="27"/>
        <v>برنامج دولى</v>
      </c>
    </row>
    <row r="356" spans="1:88" x14ac:dyDescent="0.25">
      <c r="C356" s="25">
        <v>17681</v>
      </c>
      <c r="D356" s="20">
        <v>9927</v>
      </c>
      <c r="E356" s="42" t="s">
        <v>78</v>
      </c>
      <c r="F356" s="3" t="s">
        <v>890</v>
      </c>
      <c r="H356" s="3">
        <v>5648</v>
      </c>
      <c r="U356" s="3"/>
      <c r="V356" s="3"/>
      <c r="AS356" s="22">
        <f t="shared" si="26"/>
        <v>5648</v>
      </c>
      <c r="AT356" s="3">
        <v>5038.3999999999996</v>
      </c>
      <c r="AU356" s="3">
        <v>609.6</v>
      </c>
      <c r="BD356" s="3"/>
      <c r="BE356" s="3"/>
      <c r="CE356" s="22">
        <f t="shared" si="29"/>
        <v>5648</v>
      </c>
      <c r="CF356" s="3">
        <f t="shared" si="28"/>
        <v>0</v>
      </c>
      <c r="CG356" s="17">
        <f t="shared" si="27"/>
        <v>9927</v>
      </c>
      <c r="CH356" s="3" t="str">
        <f t="shared" si="27"/>
        <v>برنامج دولى</v>
      </c>
    </row>
    <row r="357" spans="1:88" x14ac:dyDescent="0.25">
      <c r="C357" s="25">
        <v>17684</v>
      </c>
      <c r="D357" s="20">
        <v>9928</v>
      </c>
      <c r="E357" s="42" t="s">
        <v>78</v>
      </c>
      <c r="F357" s="3" t="s">
        <v>890</v>
      </c>
      <c r="H357" s="3">
        <v>66666.210000000006</v>
      </c>
      <c r="U357" s="3"/>
      <c r="V357" s="3"/>
      <c r="AS357" s="22">
        <f t="shared" si="26"/>
        <v>66666.210000000006</v>
      </c>
      <c r="AT357" s="3">
        <v>53989.31</v>
      </c>
      <c r="AU357" s="3">
        <v>6789.1</v>
      </c>
      <c r="AV357" s="3">
        <v>5887.8</v>
      </c>
      <c r="BD357" s="3"/>
      <c r="BE357" s="3"/>
      <c r="CE357" s="22">
        <f t="shared" si="29"/>
        <v>66666.209999999992</v>
      </c>
      <c r="CF357" s="3">
        <f t="shared" si="28"/>
        <v>0</v>
      </c>
      <c r="CG357" s="17">
        <f t="shared" si="27"/>
        <v>9928</v>
      </c>
      <c r="CH357" s="3" t="str">
        <f t="shared" si="27"/>
        <v>برنامج دولى</v>
      </c>
    </row>
    <row r="358" spans="1:88" x14ac:dyDescent="0.25">
      <c r="C358" s="25">
        <v>17691</v>
      </c>
      <c r="D358" s="20">
        <v>9929</v>
      </c>
      <c r="E358" s="42" t="s">
        <v>78</v>
      </c>
      <c r="F358" s="3" t="s">
        <v>890</v>
      </c>
      <c r="H358" s="3">
        <v>17649.560000000001</v>
      </c>
      <c r="U358" s="3"/>
      <c r="V358" s="3"/>
      <c r="AS358" s="22">
        <f t="shared" si="26"/>
        <v>17649.560000000001</v>
      </c>
      <c r="AT358" s="3">
        <v>15457.06</v>
      </c>
      <c r="AU358" s="3">
        <v>1883.7</v>
      </c>
      <c r="AV358" s="3">
        <v>308.8</v>
      </c>
      <c r="BD358" s="3"/>
      <c r="BE358" s="3"/>
      <c r="CE358" s="22">
        <f t="shared" si="29"/>
        <v>17649.559999999998</v>
      </c>
      <c r="CF358" s="3">
        <f t="shared" si="28"/>
        <v>0</v>
      </c>
      <c r="CG358" s="17">
        <f t="shared" si="27"/>
        <v>9929</v>
      </c>
      <c r="CH358" s="3" t="str">
        <f t="shared" si="27"/>
        <v>برنامج دولى</v>
      </c>
    </row>
    <row r="359" spans="1:88" x14ac:dyDescent="0.25">
      <c r="C359" s="25">
        <v>17675</v>
      </c>
      <c r="D359" s="20">
        <v>9930</v>
      </c>
      <c r="E359" s="42" t="s">
        <v>78</v>
      </c>
      <c r="F359" s="3" t="s">
        <v>890</v>
      </c>
      <c r="H359" s="3">
        <v>41355.43</v>
      </c>
      <c r="U359" s="3"/>
      <c r="V359" s="3"/>
      <c r="AS359" s="22">
        <f t="shared" si="26"/>
        <v>41355.43</v>
      </c>
      <c r="AT359" s="3">
        <v>35741.35</v>
      </c>
      <c r="AU359" s="3">
        <v>4376.2</v>
      </c>
      <c r="AV359" s="3">
        <v>1237.8800000000001</v>
      </c>
      <c r="BD359" s="3"/>
      <c r="BE359" s="3"/>
      <c r="CE359" s="22">
        <f t="shared" si="29"/>
        <v>41355.429999999993</v>
      </c>
      <c r="CF359" s="3">
        <f t="shared" si="28"/>
        <v>0</v>
      </c>
      <c r="CG359" s="17">
        <f t="shared" si="27"/>
        <v>9930</v>
      </c>
      <c r="CH359" s="3" t="str">
        <f t="shared" si="27"/>
        <v>برنامج دولى</v>
      </c>
    </row>
    <row r="360" spans="1:88" x14ac:dyDescent="0.25">
      <c r="C360" s="25">
        <v>17680</v>
      </c>
      <c r="D360" s="20">
        <v>9931</v>
      </c>
      <c r="E360" s="42" t="s">
        <v>132</v>
      </c>
      <c r="F360" s="3" t="s">
        <v>890</v>
      </c>
      <c r="H360" s="3">
        <v>5051.46</v>
      </c>
      <c r="U360" s="3"/>
      <c r="V360" s="3"/>
      <c r="AS360" s="22">
        <f t="shared" si="26"/>
        <v>5051.46</v>
      </c>
      <c r="AT360" s="3">
        <v>4305.54</v>
      </c>
      <c r="AU360" s="3">
        <v>527.72</v>
      </c>
      <c r="AV360" s="3">
        <v>218.2</v>
      </c>
      <c r="BD360" s="3"/>
      <c r="BE360" s="3"/>
      <c r="CE360" s="22">
        <f t="shared" si="29"/>
        <v>5051.46</v>
      </c>
      <c r="CF360" s="3">
        <f t="shared" si="28"/>
        <v>0</v>
      </c>
      <c r="CG360" s="17">
        <f t="shared" si="27"/>
        <v>9931</v>
      </c>
      <c r="CH360" s="3" t="str">
        <f t="shared" si="27"/>
        <v>صيدلة اكلينيكى</v>
      </c>
    </row>
    <row r="361" spans="1:88" x14ac:dyDescent="0.25">
      <c r="C361" s="25">
        <v>17678</v>
      </c>
      <c r="D361" s="20">
        <v>9932</v>
      </c>
      <c r="E361" s="42" t="s">
        <v>132</v>
      </c>
      <c r="F361" s="3" t="s">
        <v>890</v>
      </c>
      <c r="H361" s="3">
        <v>21808.74</v>
      </c>
      <c r="U361" s="3"/>
      <c r="V361" s="3"/>
      <c r="AS361" s="22">
        <f t="shared" si="26"/>
        <v>21808.74</v>
      </c>
      <c r="AT361" s="3">
        <v>18856.93</v>
      </c>
      <c r="AU361" s="3">
        <v>2307</v>
      </c>
      <c r="AV361" s="3">
        <v>644.80999999999995</v>
      </c>
      <c r="BD361" s="3"/>
      <c r="BE361" s="3"/>
      <c r="CE361" s="22">
        <f t="shared" si="29"/>
        <v>21808.74</v>
      </c>
      <c r="CF361" s="3">
        <f t="shared" si="28"/>
        <v>0</v>
      </c>
      <c r="CG361" s="17">
        <f t="shared" si="27"/>
        <v>9932</v>
      </c>
      <c r="CH361" s="3" t="str">
        <f t="shared" si="27"/>
        <v>صيدلة اكلينيكى</v>
      </c>
    </row>
    <row r="362" spans="1:88" ht="30" customHeight="1" x14ac:dyDescent="0.25">
      <c r="C362" s="25">
        <v>16665</v>
      </c>
      <c r="D362" s="20">
        <v>9933</v>
      </c>
      <c r="E362" s="42" t="s">
        <v>119</v>
      </c>
      <c r="F362" s="9" t="s">
        <v>840</v>
      </c>
      <c r="T362" s="3">
        <v>39939</v>
      </c>
      <c r="U362" s="3"/>
      <c r="V362" s="3"/>
      <c r="AS362" s="22">
        <f t="shared" si="26"/>
        <v>39939</v>
      </c>
      <c r="AT362" s="3">
        <v>39939</v>
      </c>
      <c r="AU362" s="3"/>
      <c r="BD362" s="3"/>
      <c r="BE362" s="3"/>
      <c r="CE362" s="22">
        <f t="shared" si="29"/>
        <v>39939</v>
      </c>
      <c r="CF362" s="3">
        <f t="shared" si="28"/>
        <v>0</v>
      </c>
      <c r="CG362" s="17">
        <f t="shared" si="27"/>
        <v>9933</v>
      </c>
      <c r="CH362" s="3" t="str">
        <f t="shared" si="27"/>
        <v>خ ت صيدلة</v>
      </c>
    </row>
    <row r="363" spans="1:88" ht="33" customHeight="1" x14ac:dyDescent="0.25">
      <c r="C363" s="25">
        <v>16664</v>
      </c>
      <c r="D363" s="20">
        <v>9934</v>
      </c>
      <c r="E363" s="42" t="s">
        <v>132</v>
      </c>
      <c r="F363" s="9" t="s">
        <v>840</v>
      </c>
      <c r="T363" s="3">
        <v>132308.75</v>
      </c>
      <c r="U363" s="3"/>
      <c r="V363" s="3"/>
      <c r="AS363" s="22">
        <f t="shared" si="26"/>
        <v>132308.75</v>
      </c>
      <c r="AT363" s="3">
        <v>132308.75</v>
      </c>
      <c r="AU363" s="3"/>
      <c r="BD363" s="3"/>
      <c r="BE363" s="3"/>
      <c r="CE363" s="22">
        <f t="shared" si="29"/>
        <v>132308.75</v>
      </c>
      <c r="CF363" s="3">
        <f t="shared" si="28"/>
        <v>0</v>
      </c>
      <c r="CG363" s="17">
        <f t="shared" si="27"/>
        <v>9934</v>
      </c>
      <c r="CH363" s="3" t="str">
        <f t="shared" si="27"/>
        <v>صيدلة اكلينيكى</v>
      </c>
    </row>
    <row r="364" spans="1:88" x14ac:dyDescent="0.25">
      <c r="C364" s="25">
        <v>17685</v>
      </c>
      <c r="D364" s="20">
        <v>9935</v>
      </c>
      <c r="E364" s="42" t="s">
        <v>325</v>
      </c>
      <c r="F364" s="3" t="s">
        <v>890</v>
      </c>
      <c r="H364" s="3">
        <v>7331</v>
      </c>
      <c r="U364" s="3"/>
      <c r="V364" s="3"/>
      <c r="AS364" s="22">
        <f t="shared" si="26"/>
        <v>7331</v>
      </c>
      <c r="AT364" s="3">
        <v>6539.65</v>
      </c>
      <c r="AU364" s="3">
        <v>791.35</v>
      </c>
      <c r="BD364" s="3"/>
      <c r="BE364" s="3"/>
      <c r="CE364" s="22">
        <f t="shared" si="29"/>
        <v>7331</v>
      </c>
      <c r="CF364" s="3">
        <f t="shared" si="28"/>
        <v>0</v>
      </c>
      <c r="CG364" s="17">
        <f t="shared" si="27"/>
        <v>9935</v>
      </c>
      <c r="CH364" s="3" t="str">
        <f t="shared" si="27"/>
        <v xml:space="preserve">برنامج دولى </v>
      </c>
    </row>
    <row r="365" spans="1:88" s="29" customFormat="1" x14ac:dyDescent="0.25">
      <c r="A365" s="27"/>
      <c r="B365" s="28"/>
      <c r="C365" s="46"/>
      <c r="D365" s="47"/>
      <c r="E365" s="48"/>
      <c r="F365" s="29" t="s">
        <v>891</v>
      </c>
      <c r="H365" s="29">
        <f>SUM(H222:H364)</f>
        <v>564259.41499999992</v>
      </c>
      <c r="I365" s="29">
        <f t="shared" ref="I365:BU365" si="30">SUM(I222:I364)</f>
        <v>13400</v>
      </c>
      <c r="J365" s="29">
        <f t="shared" si="30"/>
        <v>24700</v>
      </c>
      <c r="K365" s="29">
        <f t="shared" si="30"/>
        <v>0</v>
      </c>
      <c r="L365" s="29">
        <f t="shared" si="30"/>
        <v>0</v>
      </c>
      <c r="M365" s="29">
        <f t="shared" si="30"/>
        <v>0</v>
      </c>
      <c r="N365" s="29">
        <f t="shared" si="30"/>
        <v>0</v>
      </c>
      <c r="O365" s="29">
        <f t="shared" si="30"/>
        <v>0</v>
      </c>
      <c r="P365" s="29">
        <f t="shared" si="30"/>
        <v>8000</v>
      </c>
      <c r="Q365" s="29">
        <f t="shared" si="30"/>
        <v>0</v>
      </c>
      <c r="R365" s="29">
        <f t="shared" si="30"/>
        <v>0</v>
      </c>
      <c r="S365" s="29">
        <f t="shared" si="30"/>
        <v>0</v>
      </c>
      <c r="T365" s="29">
        <f t="shared" si="30"/>
        <v>172247.75</v>
      </c>
      <c r="U365" s="29">
        <f t="shared" si="30"/>
        <v>0</v>
      </c>
      <c r="V365" s="29">
        <f t="shared" si="30"/>
        <v>0</v>
      </c>
      <c r="W365" s="29">
        <f t="shared" si="30"/>
        <v>0</v>
      </c>
      <c r="X365" s="29">
        <f t="shared" si="30"/>
        <v>0</v>
      </c>
      <c r="Y365" s="29">
        <f t="shared" si="30"/>
        <v>0</v>
      </c>
      <c r="Z365" s="29">
        <f t="shared" si="30"/>
        <v>0</v>
      </c>
      <c r="AA365" s="29">
        <f t="shared" si="30"/>
        <v>0</v>
      </c>
      <c r="AB365" s="29">
        <f t="shared" si="30"/>
        <v>0</v>
      </c>
      <c r="AC365" s="29">
        <f t="shared" si="30"/>
        <v>0</v>
      </c>
      <c r="AD365" s="29">
        <f t="shared" si="30"/>
        <v>0</v>
      </c>
      <c r="AE365" s="29">
        <f t="shared" si="30"/>
        <v>0</v>
      </c>
      <c r="AF365" s="29">
        <f t="shared" si="30"/>
        <v>0</v>
      </c>
      <c r="AG365" s="29">
        <f t="shared" si="30"/>
        <v>0</v>
      </c>
      <c r="AH365" s="29">
        <f t="shared" si="30"/>
        <v>0</v>
      </c>
      <c r="AI365" s="29">
        <f t="shared" si="30"/>
        <v>0</v>
      </c>
      <c r="AJ365" s="29">
        <f t="shared" si="30"/>
        <v>0</v>
      </c>
      <c r="AK365" s="29">
        <f t="shared" si="30"/>
        <v>0</v>
      </c>
      <c r="AL365" s="29">
        <f t="shared" si="30"/>
        <v>0</v>
      </c>
      <c r="AM365" s="29">
        <f t="shared" si="30"/>
        <v>0</v>
      </c>
      <c r="AN365" s="29">
        <f t="shared" si="30"/>
        <v>0</v>
      </c>
      <c r="AO365" s="29">
        <f t="shared" si="30"/>
        <v>0</v>
      </c>
      <c r="AP365" s="29">
        <f t="shared" si="30"/>
        <v>0</v>
      </c>
      <c r="AQ365" s="29">
        <f t="shared" si="30"/>
        <v>0</v>
      </c>
      <c r="AS365" s="29">
        <f t="shared" si="30"/>
        <v>782607.16500000004</v>
      </c>
      <c r="AT365" s="29">
        <f t="shared" si="30"/>
        <v>656493.61999999976</v>
      </c>
      <c r="AU365" s="29">
        <f t="shared" si="30"/>
        <v>58103.14999999998</v>
      </c>
      <c r="AV365" s="29">
        <f t="shared" si="30"/>
        <v>56752.990000000013</v>
      </c>
      <c r="AW365" s="29">
        <f t="shared" si="30"/>
        <v>2912.3999999999996</v>
      </c>
      <c r="AX365" s="29">
        <f t="shared" si="30"/>
        <v>0</v>
      </c>
      <c r="AY365" s="29">
        <f t="shared" si="30"/>
        <v>0</v>
      </c>
      <c r="AZ365" s="29">
        <f t="shared" si="30"/>
        <v>0</v>
      </c>
      <c r="BA365" s="29">
        <f t="shared" si="30"/>
        <v>0</v>
      </c>
      <c r="BB365" s="29">
        <f t="shared" si="30"/>
        <v>0</v>
      </c>
      <c r="BC365" s="29">
        <f t="shared" si="30"/>
        <v>0</v>
      </c>
      <c r="BD365" s="29">
        <f t="shared" si="30"/>
        <v>0</v>
      </c>
      <c r="BE365" s="29">
        <f t="shared" si="30"/>
        <v>0</v>
      </c>
      <c r="BF365" s="29">
        <f t="shared" si="30"/>
        <v>0</v>
      </c>
      <c r="BG365" s="29">
        <f t="shared" si="30"/>
        <v>301</v>
      </c>
      <c r="BH365" s="29">
        <f t="shared" si="30"/>
        <v>44</v>
      </c>
      <c r="BI365" s="29">
        <f t="shared" si="30"/>
        <v>0</v>
      </c>
      <c r="BJ365" s="29">
        <f t="shared" si="30"/>
        <v>0</v>
      </c>
      <c r="BK365" s="29">
        <f t="shared" si="30"/>
        <v>0</v>
      </c>
      <c r="BL365" s="29">
        <f t="shared" si="30"/>
        <v>0</v>
      </c>
      <c r="BM365" s="29">
        <f t="shared" si="30"/>
        <v>0</v>
      </c>
      <c r="BN365" s="29">
        <f t="shared" si="30"/>
        <v>0</v>
      </c>
      <c r="BO365" s="29">
        <f t="shared" si="30"/>
        <v>8000</v>
      </c>
      <c r="BP365" s="29">
        <f t="shared" si="30"/>
        <v>0</v>
      </c>
      <c r="BQ365" s="29">
        <f t="shared" si="30"/>
        <v>0</v>
      </c>
      <c r="BR365" s="29">
        <f t="shared" si="30"/>
        <v>0</v>
      </c>
      <c r="BS365" s="29">
        <f t="shared" si="30"/>
        <v>0</v>
      </c>
      <c r="BT365" s="29">
        <f t="shared" si="30"/>
        <v>0</v>
      </c>
      <c r="BU365" s="29">
        <f t="shared" si="30"/>
        <v>0</v>
      </c>
      <c r="BV365" s="29">
        <f t="shared" ref="BV365:CJ365" si="31">SUM(BV222:BV364)</f>
        <v>0</v>
      </c>
      <c r="BW365" s="29">
        <f t="shared" si="31"/>
        <v>0</v>
      </c>
      <c r="BX365" s="29">
        <f t="shared" si="31"/>
        <v>0</v>
      </c>
      <c r="BY365" s="29">
        <f t="shared" si="31"/>
        <v>0</v>
      </c>
      <c r="BZ365" s="29">
        <f t="shared" si="31"/>
        <v>0</v>
      </c>
      <c r="CA365" s="29">
        <f t="shared" si="31"/>
        <v>0</v>
      </c>
      <c r="CB365" s="29">
        <f t="shared" si="31"/>
        <v>0</v>
      </c>
      <c r="CC365" s="29">
        <f t="shared" si="31"/>
        <v>0</v>
      </c>
      <c r="CE365" s="29">
        <f t="shared" si="31"/>
        <v>782607.15999999992</v>
      </c>
      <c r="CF365" s="29">
        <f t="shared" si="31"/>
        <v>-4.9999999999954525E-3</v>
      </c>
      <c r="CH365" s="29">
        <f t="shared" si="31"/>
        <v>0</v>
      </c>
      <c r="CI365" s="29">
        <f t="shared" si="31"/>
        <v>0</v>
      </c>
      <c r="CJ365" s="29">
        <f t="shared" si="31"/>
        <v>0</v>
      </c>
    </row>
    <row r="366" spans="1:88" x14ac:dyDescent="0.25">
      <c r="B366" s="3">
        <f>+AV365-55515.11</f>
        <v>1237.8800000000119</v>
      </c>
      <c r="C366" s="25"/>
      <c r="D366" s="20">
        <v>9936</v>
      </c>
      <c r="E366" s="42" t="s">
        <v>332</v>
      </c>
      <c r="F366" s="3" t="s">
        <v>892</v>
      </c>
      <c r="U366" s="3"/>
      <c r="V366" s="3"/>
      <c r="AS366" s="22">
        <f t="shared" si="26"/>
        <v>0</v>
      </c>
      <c r="AT366" s="3">
        <v>0</v>
      </c>
      <c r="AU366" s="3"/>
      <c r="BD366" s="3"/>
      <c r="BE366" s="3"/>
      <c r="CE366" s="22">
        <f t="shared" si="29"/>
        <v>0</v>
      </c>
      <c r="CF366" s="3">
        <f t="shared" si="28"/>
        <v>0</v>
      </c>
      <c r="CG366" s="17">
        <f t="shared" si="27"/>
        <v>9936</v>
      </c>
      <c r="CH366" s="3" t="str">
        <f t="shared" si="27"/>
        <v xml:space="preserve">لاب فقط </v>
      </c>
    </row>
    <row r="367" spans="1:88" x14ac:dyDescent="0.25">
      <c r="C367" s="25"/>
      <c r="D367" s="20">
        <v>9937</v>
      </c>
      <c r="E367" s="42" t="s">
        <v>332</v>
      </c>
      <c r="F367" s="3" t="s">
        <v>892</v>
      </c>
      <c r="U367" s="3"/>
      <c r="V367" s="3"/>
      <c r="AS367" s="22">
        <f t="shared" si="26"/>
        <v>0</v>
      </c>
      <c r="AT367" s="3">
        <v>0</v>
      </c>
      <c r="AU367" s="3"/>
      <c r="BD367" s="3"/>
      <c r="BE367" s="3"/>
      <c r="CE367" s="22">
        <f t="shared" si="29"/>
        <v>0</v>
      </c>
      <c r="CF367" s="3">
        <f t="shared" si="28"/>
        <v>0</v>
      </c>
      <c r="CG367" s="17">
        <f t="shared" si="27"/>
        <v>9937</v>
      </c>
      <c r="CH367" s="3" t="str">
        <f t="shared" si="27"/>
        <v xml:space="preserve">لاب فقط </v>
      </c>
    </row>
    <row r="368" spans="1:88" x14ac:dyDescent="0.25">
      <c r="C368" s="25"/>
      <c r="D368" s="20">
        <v>9938</v>
      </c>
      <c r="E368" s="42" t="s">
        <v>332</v>
      </c>
      <c r="F368" s="3" t="s">
        <v>892</v>
      </c>
      <c r="U368" s="3"/>
      <c r="V368" s="3"/>
      <c r="AS368" s="22">
        <f t="shared" si="26"/>
        <v>0</v>
      </c>
      <c r="AT368" s="3">
        <v>0</v>
      </c>
      <c r="AU368" s="3"/>
      <c r="BD368" s="3"/>
      <c r="BE368" s="3"/>
      <c r="CE368" s="22">
        <f t="shared" si="29"/>
        <v>0</v>
      </c>
      <c r="CF368" s="3">
        <f t="shared" si="28"/>
        <v>0</v>
      </c>
      <c r="CG368" s="17">
        <f t="shared" si="27"/>
        <v>9938</v>
      </c>
      <c r="CH368" s="3" t="str">
        <f t="shared" si="27"/>
        <v xml:space="preserve">لاب فقط </v>
      </c>
    </row>
    <row r="369" spans="3:86" x14ac:dyDescent="0.25">
      <c r="C369" s="25"/>
      <c r="D369" s="20">
        <v>9939</v>
      </c>
      <c r="E369" s="42" t="s">
        <v>332</v>
      </c>
      <c r="F369" s="3" t="s">
        <v>892</v>
      </c>
      <c r="U369" s="3"/>
      <c r="V369" s="3"/>
      <c r="AS369" s="22">
        <f t="shared" si="26"/>
        <v>0</v>
      </c>
      <c r="AT369" s="3">
        <v>0</v>
      </c>
      <c r="AU369" s="3"/>
      <c r="BD369" s="3"/>
      <c r="BE369" s="3"/>
      <c r="CE369" s="22">
        <f t="shared" si="29"/>
        <v>0</v>
      </c>
      <c r="CF369" s="3">
        <f t="shared" si="28"/>
        <v>0</v>
      </c>
      <c r="CG369" s="17">
        <f t="shared" si="27"/>
        <v>9939</v>
      </c>
      <c r="CH369" s="3" t="str">
        <f t="shared" si="27"/>
        <v xml:space="preserve">لاب فقط </v>
      </c>
    </row>
    <row r="370" spans="3:86" x14ac:dyDescent="0.25">
      <c r="C370" s="25"/>
      <c r="D370" s="20">
        <v>9940</v>
      </c>
      <c r="E370" s="42" t="s">
        <v>332</v>
      </c>
      <c r="F370" s="3" t="s">
        <v>892</v>
      </c>
      <c r="U370" s="3"/>
      <c r="V370" s="3"/>
      <c r="AS370" s="22">
        <f t="shared" si="26"/>
        <v>0</v>
      </c>
      <c r="AT370" s="3">
        <v>0</v>
      </c>
      <c r="AU370" s="3"/>
      <c r="BD370" s="3"/>
      <c r="BE370" s="3"/>
      <c r="CE370" s="22">
        <f t="shared" si="29"/>
        <v>0</v>
      </c>
      <c r="CF370" s="3">
        <f t="shared" si="28"/>
        <v>0</v>
      </c>
      <c r="CG370" s="17">
        <f t="shared" si="27"/>
        <v>9940</v>
      </c>
      <c r="CH370" s="3" t="str">
        <f t="shared" si="27"/>
        <v xml:space="preserve">لاب فقط </v>
      </c>
    </row>
    <row r="371" spans="3:86" x14ac:dyDescent="0.25">
      <c r="C371" s="25"/>
      <c r="D371" s="20">
        <v>9941</v>
      </c>
      <c r="E371" s="42" t="s">
        <v>332</v>
      </c>
      <c r="F371" s="3" t="s">
        <v>892</v>
      </c>
      <c r="U371" s="3"/>
      <c r="V371" s="3"/>
      <c r="AS371" s="22">
        <f t="shared" si="26"/>
        <v>0</v>
      </c>
      <c r="AT371" s="3">
        <v>0</v>
      </c>
      <c r="AU371" s="3"/>
      <c r="BD371" s="3"/>
      <c r="BE371" s="3"/>
      <c r="CE371" s="22">
        <f t="shared" si="29"/>
        <v>0</v>
      </c>
      <c r="CF371" s="3">
        <f t="shared" si="28"/>
        <v>0</v>
      </c>
      <c r="CG371" s="17">
        <f t="shared" si="27"/>
        <v>9941</v>
      </c>
      <c r="CH371" s="3" t="str">
        <f t="shared" si="27"/>
        <v xml:space="preserve">لاب فقط </v>
      </c>
    </row>
    <row r="372" spans="3:86" x14ac:dyDescent="0.25">
      <c r="C372" s="25"/>
      <c r="D372" s="20">
        <v>9942</v>
      </c>
      <c r="E372" s="42" t="s">
        <v>332</v>
      </c>
      <c r="F372" s="3" t="s">
        <v>892</v>
      </c>
      <c r="U372" s="3"/>
      <c r="V372" s="3"/>
      <c r="AS372" s="22">
        <f t="shared" si="26"/>
        <v>0</v>
      </c>
      <c r="AT372" s="3">
        <v>0</v>
      </c>
      <c r="AU372" s="3"/>
      <c r="BD372" s="3"/>
      <c r="BE372" s="3"/>
      <c r="CE372" s="22">
        <f t="shared" si="29"/>
        <v>0</v>
      </c>
      <c r="CF372" s="3">
        <f t="shared" si="28"/>
        <v>0</v>
      </c>
      <c r="CG372" s="17">
        <f t="shared" si="27"/>
        <v>9942</v>
      </c>
      <c r="CH372" s="3" t="str">
        <f t="shared" si="27"/>
        <v xml:space="preserve">لاب فقط </v>
      </c>
    </row>
    <row r="373" spans="3:86" x14ac:dyDescent="0.25">
      <c r="C373" s="25"/>
      <c r="D373" s="20">
        <v>9943</v>
      </c>
      <c r="E373" s="42" t="s">
        <v>332</v>
      </c>
      <c r="F373" s="3" t="s">
        <v>892</v>
      </c>
      <c r="U373" s="3"/>
      <c r="V373" s="3"/>
      <c r="AS373" s="22">
        <f t="shared" si="26"/>
        <v>0</v>
      </c>
      <c r="AT373" s="3">
        <v>0</v>
      </c>
      <c r="AU373" s="3"/>
      <c r="BD373" s="3"/>
      <c r="BE373" s="3"/>
      <c r="CE373" s="22">
        <f t="shared" si="29"/>
        <v>0</v>
      </c>
      <c r="CF373" s="3">
        <f t="shared" si="28"/>
        <v>0</v>
      </c>
      <c r="CG373" s="17">
        <f t="shared" si="27"/>
        <v>9943</v>
      </c>
      <c r="CH373" s="3" t="str">
        <f t="shared" si="27"/>
        <v xml:space="preserve">لاب فقط </v>
      </c>
    </row>
    <row r="374" spans="3:86" x14ac:dyDescent="0.25">
      <c r="C374" s="25"/>
      <c r="D374" s="20">
        <v>9944</v>
      </c>
      <c r="E374" s="42" t="s">
        <v>332</v>
      </c>
      <c r="F374" s="3" t="s">
        <v>892</v>
      </c>
      <c r="U374" s="3"/>
      <c r="V374" s="3"/>
      <c r="AS374" s="22">
        <f t="shared" si="26"/>
        <v>0</v>
      </c>
      <c r="AT374" s="3">
        <v>0</v>
      </c>
      <c r="AU374" s="3"/>
      <c r="BD374" s="3"/>
      <c r="BE374" s="3"/>
      <c r="CE374" s="22">
        <f t="shared" si="29"/>
        <v>0</v>
      </c>
      <c r="CF374" s="3">
        <f t="shared" si="28"/>
        <v>0</v>
      </c>
      <c r="CG374" s="17">
        <f t="shared" si="27"/>
        <v>9944</v>
      </c>
      <c r="CH374" s="3" t="str">
        <f t="shared" si="27"/>
        <v xml:space="preserve">لاب فقط </v>
      </c>
    </row>
    <row r="375" spans="3:86" x14ac:dyDescent="0.25">
      <c r="C375" s="25">
        <v>16659</v>
      </c>
      <c r="D375" s="20">
        <v>9945</v>
      </c>
      <c r="E375" s="42" t="s">
        <v>121</v>
      </c>
      <c r="F375" s="3" t="str">
        <f>+F362</f>
        <v>الهيئه القوميه للتامين الاجتماعى (معاشات مارس )</v>
      </c>
      <c r="T375" s="3">
        <v>217921.4</v>
      </c>
      <c r="U375" s="3"/>
      <c r="V375" s="3"/>
      <c r="AS375" s="22">
        <f t="shared" si="26"/>
        <v>217921.4</v>
      </c>
      <c r="AT375" s="3">
        <v>217921.4</v>
      </c>
      <c r="AU375" s="3"/>
      <c r="BD375" s="3"/>
      <c r="BE375" s="3"/>
      <c r="CE375" s="22">
        <f t="shared" si="29"/>
        <v>217921.4</v>
      </c>
      <c r="CF375" s="3">
        <f t="shared" si="28"/>
        <v>0</v>
      </c>
      <c r="CG375" s="17">
        <f t="shared" si="27"/>
        <v>9945</v>
      </c>
      <c r="CH375" s="3" t="str">
        <f t="shared" si="27"/>
        <v>ماليزى اسنان</v>
      </c>
    </row>
    <row r="376" spans="3:86" x14ac:dyDescent="0.25">
      <c r="C376" s="25">
        <v>16660</v>
      </c>
      <c r="D376" s="20">
        <v>9946</v>
      </c>
      <c r="E376" s="42" t="s">
        <v>137</v>
      </c>
      <c r="F376" s="3" t="s">
        <v>840</v>
      </c>
      <c r="T376" s="3">
        <v>132443.06</v>
      </c>
      <c r="U376" s="3"/>
      <c r="V376" s="3"/>
      <c r="AS376" s="22">
        <f t="shared" si="26"/>
        <v>132443.06</v>
      </c>
      <c r="AT376" s="3">
        <v>132443.06</v>
      </c>
      <c r="AU376" s="3"/>
      <c r="BD376" s="3"/>
      <c r="BE376" s="3"/>
      <c r="CE376" s="22">
        <f t="shared" si="29"/>
        <v>132443.06</v>
      </c>
      <c r="CF376" s="3">
        <f t="shared" si="28"/>
        <v>0</v>
      </c>
      <c r="CG376" s="17">
        <f t="shared" si="27"/>
        <v>9946</v>
      </c>
      <c r="CH376" s="3" t="str">
        <f t="shared" si="27"/>
        <v xml:space="preserve">خدمة عامة </v>
      </c>
    </row>
    <row r="377" spans="3:86" x14ac:dyDescent="0.25">
      <c r="C377" s="25">
        <v>16661</v>
      </c>
      <c r="D377" s="20">
        <v>9947</v>
      </c>
      <c r="E377" s="42" t="s">
        <v>125</v>
      </c>
      <c r="F377" s="3" t="s">
        <v>840</v>
      </c>
      <c r="T377" s="3">
        <v>1453.52</v>
      </c>
      <c r="U377" s="3"/>
      <c r="V377" s="3"/>
      <c r="AS377" s="22">
        <f t="shared" si="26"/>
        <v>1453.52</v>
      </c>
      <c r="AT377" s="3">
        <v>1453.52</v>
      </c>
      <c r="AU377" s="3"/>
      <c r="BD377" s="3"/>
      <c r="BE377" s="3"/>
      <c r="CE377" s="22">
        <f t="shared" si="29"/>
        <v>1453.52</v>
      </c>
      <c r="CF377" s="3">
        <f t="shared" si="28"/>
        <v>0</v>
      </c>
      <c r="CG377" s="17">
        <f t="shared" si="27"/>
        <v>9947</v>
      </c>
      <c r="CH377" s="3" t="str">
        <f t="shared" si="27"/>
        <v>اختبار مواد</v>
      </c>
    </row>
    <row r="378" spans="3:86" x14ac:dyDescent="0.25">
      <c r="C378" s="25">
        <v>16662</v>
      </c>
      <c r="D378" s="20">
        <v>9948</v>
      </c>
      <c r="E378" s="42" t="s">
        <v>123</v>
      </c>
      <c r="F378" s="3" t="s">
        <v>840</v>
      </c>
      <c r="T378" s="3">
        <v>11823.51</v>
      </c>
      <c r="U378" s="3"/>
      <c r="V378" s="3"/>
      <c r="AS378" s="22">
        <f t="shared" si="26"/>
        <v>11823.51</v>
      </c>
      <c r="AT378" s="3">
        <v>11823.51</v>
      </c>
      <c r="AU378" s="3"/>
      <c r="BD378" s="3"/>
      <c r="BE378" s="3"/>
      <c r="CE378" s="22">
        <f t="shared" si="29"/>
        <v>11823.51</v>
      </c>
      <c r="CF378" s="3">
        <f t="shared" si="28"/>
        <v>0</v>
      </c>
      <c r="CG378" s="17">
        <f t="shared" si="27"/>
        <v>9948</v>
      </c>
      <c r="CH378" s="3" t="str">
        <f t="shared" si="27"/>
        <v>خ ت اسنان</v>
      </c>
    </row>
    <row r="379" spans="3:86" x14ac:dyDescent="0.25">
      <c r="C379" s="25">
        <v>16663</v>
      </c>
      <c r="D379" s="20">
        <v>9949</v>
      </c>
      <c r="E379" s="42" t="s">
        <v>124</v>
      </c>
      <c r="F379" s="3" t="s">
        <v>840</v>
      </c>
      <c r="T379" s="3">
        <v>193.32</v>
      </c>
      <c r="U379" s="3"/>
      <c r="V379" s="3"/>
      <c r="AS379" s="22">
        <f t="shared" si="26"/>
        <v>193.32</v>
      </c>
      <c r="AT379" s="3">
        <v>193.32</v>
      </c>
      <c r="AU379" s="3"/>
      <c r="BD379" s="3"/>
      <c r="BE379" s="3"/>
      <c r="CE379" s="22">
        <f t="shared" si="29"/>
        <v>193.32</v>
      </c>
      <c r="CF379" s="3">
        <f t="shared" si="28"/>
        <v>0</v>
      </c>
      <c r="CG379" s="17">
        <f t="shared" si="27"/>
        <v>9949</v>
      </c>
      <c r="CH379" s="3" t="str">
        <f t="shared" si="27"/>
        <v>تكافل اسنان</v>
      </c>
    </row>
    <row r="380" spans="3:86" x14ac:dyDescent="0.25">
      <c r="C380" s="25">
        <v>16556</v>
      </c>
      <c r="D380" s="20">
        <v>9950</v>
      </c>
      <c r="E380" s="42" t="s">
        <v>78</v>
      </c>
      <c r="F380" s="3" t="s">
        <v>840</v>
      </c>
      <c r="T380" s="3">
        <v>603195.98</v>
      </c>
      <c r="U380" s="3"/>
      <c r="V380" s="3"/>
      <c r="AS380" s="22">
        <f t="shared" si="26"/>
        <v>603195.98</v>
      </c>
      <c r="AT380" s="3">
        <v>603195.98</v>
      </c>
      <c r="AU380" s="3"/>
      <c r="BD380" s="3"/>
      <c r="BE380" s="3"/>
      <c r="CE380" s="22">
        <f t="shared" si="29"/>
        <v>603195.98</v>
      </c>
      <c r="CF380" s="3">
        <f t="shared" si="28"/>
        <v>0</v>
      </c>
      <c r="CG380" s="17">
        <f t="shared" si="27"/>
        <v>9950</v>
      </c>
      <c r="CH380" s="3" t="str">
        <f t="shared" si="27"/>
        <v>برنامج دولى</v>
      </c>
    </row>
    <row r="381" spans="3:86" x14ac:dyDescent="0.25">
      <c r="C381" s="25">
        <v>16557</v>
      </c>
      <c r="D381" s="20">
        <v>9951</v>
      </c>
      <c r="E381" s="42" t="s">
        <v>128</v>
      </c>
      <c r="F381" s="3" t="s">
        <v>840</v>
      </c>
      <c r="T381" s="3">
        <v>9585.39</v>
      </c>
      <c r="U381" s="3"/>
      <c r="V381" s="3"/>
      <c r="AS381" s="22">
        <f t="shared" si="26"/>
        <v>9585.39</v>
      </c>
      <c r="AT381" s="3">
        <v>9585.39</v>
      </c>
      <c r="AU381" s="3"/>
      <c r="BD381" s="3"/>
      <c r="BE381" s="3"/>
      <c r="CE381" s="22">
        <f t="shared" si="29"/>
        <v>9585.39</v>
      </c>
      <c r="CF381" s="3">
        <f t="shared" si="28"/>
        <v>0</v>
      </c>
      <c r="CG381" s="17">
        <f t="shared" si="27"/>
        <v>9951</v>
      </c>
      <c r="CH381" s="3" t="str">
        <f t="shared" si="27"/>
        <v>مركز مؤتمرات</v>
      </c>
    </row>
    <row r="382" spans="3:86" x14ac:dyDescent="0.25">
      <c r="C382" s="25">
        <v>16658</v>
      </c>
      <c r="D382" s="20">
        <v>9952</v>
      </c>
      <c r="E382" s="3" t="s">
        <v>130</v>
      </c>
      <c r="F382" s="3" t="s">
        <v>840</v>
      </c>
      <c r="T382" s="3">
        <v>2968.63</v>
      </c>
      <c r="U382" s="3"/>
      <c r="V382" s="3"/>
      <c r="AS382" s="22">
        <f t="shared" si="26"/>
        <v>2968.63</v>
      </c>
      <c r="AT382" s="3">
        <v>2968.63</v>
      </c>
      <c r="AU382" s="3"/>
      <c r="BD382" s="3"/>
      <c r="BE382" s="3"/>
      <c r="CE382" s="22">
        <f t="shared" si="29"/>
        <v>2968.63</v>
      </c>
      <c r="CF382" s="3">
        <f t="shared" si="28"/>
        <v>0</v>
      </c>
      <c r="CG382" s="17">
        <f t="shared" si="27"/>
        <v>9952</v>
      </c>
      <c r="CH382" s="3" t="str">
        <f t="shared" si="27"/>
        <v>خ ت طب</v>
      </c>
    </row>
    <row r="383" spans="3:86" x14ac:dyDescent="0.25">
      <c r="C383" s="25"/>
      <c r="D383" s="20">
        <v>9953</v>
      </c>
      <c r="E383" s="3" t="s">
        <v>332</v>
      </c>
      <c r="F383" s="3" t="s">
        <v>893</v>
      </c>
      <c r="U383" s="3"/>
      <c r="V383" s="3"/>
      <c r="AS383" s="22">
        <f t="shared" si="26"/>
        <v>0</v>
      </c>
      <c r="AT383" s="3">
        <v>0</v>
      </c>
      <c r="AU383" s="3"/>
      <c r="BD383" s="3"/>
      <c r="BE383" s="3"/>
      <c r="CE383" s="22">
        <f t="shared" si="29"/>
        <v>0</v>
      </c>
      <c r="CF383" s="3">
        <f t="shared" si="28"/>
        <v>0</v>
      </c>
      <c r="CG383" s="17">
        <f t="shared" si="27"/>
        <v>9953</v>
      </c>
      <c r="CH383" s="3" t="str">
        <f t="shared" si="27"/>
        <v xml:space="preserve">لاب فقط </v>
      </c>
    </row>
    <row r="384" spans="3:86" x14ac:dyDescent="0.25">
      <c r="C384" s="25"/>
      <c r="D384" s="20">
        <v>9954</v>
      </c>
      <c r="E384" s="3" t="s">
        <v>332</v>
      </c>
      <c r="F384" s="3" t="s">
        <v>894</v>
      </c>
      <c r="U384" s="3"/>
      <c r="V384" s="3"/>
      <c r="AS384" s="22">
        <f t="shared" si="26"/>
        <v>0</v>
      </c>
      <c r="AT384" s="3">
        <v>0</v>
      </c>
      <c r="AU384" s="3"/>
      <c r="BD384" s="3"/>
      <c r="BE384" s="3"/>
      <c r="CE384" s="22">
        <f t="shared" si="29"/>
        <v>0</v>
      </c>
      <c r="CF384" s="3">
        <f t="shared" si="28"/>
        <v>0</v>
      </c>
      <c r="CG384" s="17">
        <f t="shared" si="27"/>
        <v>9954</v>
      </c>
      <c r="CH384" s="3" t="str">
        <f t="shared" si="27"/>
        <v xml:space="preserve">لاب فقط </v>
      </c>
    </row>
    <row r="385" spans="1:89" ht="31.5" x14ac:dyDescent="0.25">
      <c r="C385" s="25"/>
      <c r="D385" s="20">
        <v>9955</v>
      </c>
      <c r="E385" s="3" t="s">
        <v>121</v>
      </c>
      <c r="F385" s="9" t="s">
        <v>895</v>
      </c>
      <c r="U385" s="3"/>
      <c r="V385" s="3"/>
      <c r="X385" s="3">
        <v>33426.25</v>
      </c>
      <c r="AS385" s="22">
        <f t="shared" si="26"/>
        <v>33426.25</v>
      </c>
      <c r="AT385" s="3">
        <v>33426.25</v>
      </c>
      <c r="AU385" s="3"/>
      <c r="BD385" s="3"/>
      <c r="BE385" s="3"/>
      <c r="CE385" s="22">
        <f t="shared" si="29"/>
        <v>33426.25</v>
      </c>
      <c r="CF385" s="3">
        <f t="shared" si="28"/>
        <v>0</v>
      </c>
      <c r="CG385" s="17">
        <f t="shared" si="27"/>
        <v>9955</v>
      </c>
      <c r="CH385" s="3" t="str">
        <f t="shared" si="27"/>
        <v>ماليزى اسنان</v>
      </c>
    </row>
    <row r="386" spans="1:89" x14ac:dyDescent="0.25">
      <c r="C386" s="25">
        <v>14506</v>
      </c>
      <c r="D386" s="20">
        <v>9956</v>
      </c>
      <c r="E386" s="3" t="s">
        <v>122</v>
      </c>
      <c r="F386" s="9" t="str">
        <f>+F392</f>
        <v>مكافاه طب اطفال  يناير</v>
      </c>
      <c r="H386" s="3">
        <v>4083.72</v>
      </c>
      <c r="U386" s="3"/>
      <c r="V386" s="3"/>
      <c r="AS386" s="22">
        <f t="shared" si="26"/>
        <v>4083.72</v>
      </c>
      <c r="AT386" s="3">
        <v>3123.42</v>
      </c>
      <c r="AU386" s="3">
        <v>414.51</v>
      </c>
      <c r="AV386" s="3">
        <v>352.36</v>
      </c>
      <c r="AW386" s="3">
        <v>193.43</v>
      </c>
      <c r="BD386" s="3"/>
      <c r="BE386" s="3"/>
      <c r="CE386" s="22">
        <f t="shared" ref="CE386:CE390" si="32">SUM(AT386:CC386)</f>
        <v>4083.7200000000003</v>
      </c>
      <c r="CF386" s="3">
        <f t="shared" si="28"/>
        <v>0</v>
      </c>
      <c r="CG386" s="17">
        <f t="shared" si="27"/>
        <v>9956</v>
      </c>
      <c r="CH386" s="3" t="str">
        <f t="shared" si="27"/>
        <v>علاج تخصصى</v>
      </c>
    </row>
    <row r="387" spans="1:89" x14ac:dyDescent="0.25">
      <c r="C387" s="25">
        <v>14501</v>
      </c>
      <c r="D387" s="20">
        <v>9957</v>
      </c>
      <c r="E387" s="3" t="s">
        <v>122</v>
      </c>
      <c r="F387" s="9" t="str">
        <f>+F389</f>
        <v>مكافاه اداريين يناير</v>
      </c>
      <c r="H387" s="3">
        <v>378.12</v>
      </c>
      <c r="U387" s="3"/>
      <c r="V387" s="3"/>
      <c r="AS387" s="22">
        <f t="shared" si="26"/>
        <v>378.12</v>
      </c>
      <c r="AT387" s="3">
        <v>237.12</v>
      </c>
      <c r="AU387" s="3">
        <v>33.799999999999997</v>
      </c>
      <c r="AV387" s="3">
        <v>91.08</v>
      </c>
      <c r="AW387" s="3">
        <v>16.12</v>
      </c>
      <c r="BD387" s="3"/>
      <c r="BE387" s="3"/>
      <c r="CE387" s="22">
        <f t="shared" si="32"/>
        <v>378.12</v>
      </c>
      <c r="CF387" s="3">
        <f t="shared" si="28"/>
        <v>0</v>
      </c>
      <c r="CG387" s="17">
        <f t="shared" si="27"/>
        <v>9957</v>
      </c>
      <c r="CH387" s="3" t="str">
        <f t="shared" si="27"/>
        <v>علاج تخصصى</v>
      </c>
    </row>
    <row r="388" spans="1:89" x14ac:dyDescent="0.25">
      <c r="C388" s="25">
        <v>14502</v>
      </c>
      <c r="D388" s="20">
        <v>9958</v>
      </c>
      <c r="E388" s="3" t="s">
        <v>122</v>
      </c>
      <c r="F388" s="9" t="str">
        <f>+F392</f>
        <v>مكافاه طب اطفال  يناير</v>
      </c>
      <c r="H388" s="3">
        <v>122.36</v>
      </c>
      <c r="U388" s="3"/>
      <c r="V388" s="3"/>
      <c r="AS388" s="22">
        <f t="shared" si="26"/>
        <v>122.36</v>
      </c>
      <c r="AT388" s="3">
        <v>77.12</v>
      </c>
      <c r="AU388" s="3">
        <f>0.1+10.44</f>
        <v>10.54</v>
      </c>
      <c r="AV388" s="3">
        <f>45.24-0.1-10.44-5.22</f>
        <v>29.480000000000004</v>
      </c>
      <c r="AW388" s="3">
        <v>5.22</v>
      </c>
      <c r="BD388" s="3"/>
      <c r="BE388" s="3"/>
      <c r="CE388" s="22">
        <f t="shared" si="32"/>
        <v>122.36</v>
      </c>
      <c r="CF388" s="3">
        <f t="shared" si="28"/>
        <v>0</v>
      </c>
      <c r="CG388" s="17">
        <f t="shared" si="27"/>
        <v>9958</v>
      </c>
      <c r="CH388" s="3" t="str">
        <f t="shared" si="27"/>
        <v>علاج تخصصى</v>
      </c>
    </row>
    <row r="389" spans="1:89" x14ac:dyDescent="0.25">
      <c r="C389" s="25">
        <v>14500</v>
      </c>
      <c r="D389" s="20">
        <v>9959</v>
      </c>
      <c r="E389" s="3" t="s">
        <v>122</v>
      </c>
      <c r="F389" s="9" t="s">
        <v>896</v>
      </c>
      <c r="H389" s="3">
        <v>3725.58</v>
      </c>
      <c r="U389" s="3"/>
      <c r="V389" s="3"/>
      <c r="AS389" s="22">
        <f t="shared" si="26"/>
        <v>3725.58</v>
      </c>
      <c r="AT389" s="3">
        <v>2406.41</v>
      </c>
      <c r="AU389" s="3">
        <v>338.25</v>
      </c>
      <c r="AV389" s="3">
        <v>819.72</v>
      </c>
      <c r="AW389" s="3">
        <v>161.19999999999999</v>
      </c>
      <c r="BD389" s="3"/>
      <c r="BE389" s="3"/>
      <c r="CE389" s="22">
        <f t="shared" si="32"/>
        <v>3725.58</v>
      </c>
      <c r="CF389" s="3">
        <f t="shared" si="28"/>
        <v>0</v>
      </c>
      <c r="CG389" s="17">
        <f t="shared" si="27"/>
        <v>9959</v>
      </c>
      <c r="CH389" s="3" t="str">
        <f t="shared" si="27"/>
        <v>علاج تخصصى</v>
      </c>
    </row>
    <row r="390" spans="1:89" x14ac:dyDescent="0.25">
      <c r="C390" s="25">
        <v>14503</v>
      </c>
      <c r="D390" s="20">
        <v>9960</v>
      </c>
      <c r="E390" s="3" t="s">
        <v>122</v>
      </c>
      <c r="F390" s="9" t="s">
        <v>897</v>
      </c>
      <c r="H390" s="3">
        <v>2135.81</v>
      </c>
      <c r="U390" s="3"/>
      <c r="V390" s="3"/>
      <c r="AS390" s="22">
        <f t="shared" si="26"/>
        <v>2135.81</v>
      </c>
      <c r="AT390" s="3">
        <v>1463.13</v>
      </c>
      <c r="AU390" s="3">
        <v>200.6</v>
      </c>
      <c r="AV390" s="3">
        <v>376.81</v>
      </c>
      <c r="AW390" s="3">
        <v>95.27</v>
      </c>
      <c r="BD390" s="3"/>
      <c r="BE390" s="3"/>
      <c r="CE390" s="22">
        <f t="shared" si="32"/>
        <v>2135.81</v>
      </c>
      <c r="CF390" s="3">
        <f t="shared" si="28"/>
        <v>0</v>
      </c>
      <c r="CG390" s="17">
        <f t="shared" si="27"/>
        <v>9960</v>
      </c>
      <c r="CH390" s="3" t="str">
        <f t="shared" si="27"/>
        <v>علاج تخصصى</v>
      </c>
    </row>
    <row r="391" spans="1:89" x14ac:dyDescent="0.25">
      <c r="C391" s="25">
        <v>14505</v>
      </c>
      <c r="D391" s="20">
        <v>9961</v>
      </c>
      <c r="E391" s="3" t="s">
        <v>122</v>
      </c>
      <c r="F391" s="3" t="str">
        <f>+F392</f>
        <v>مكافاه طب اطفال  يناير</v>
      </c>
      <c r="H391" s="3">
        <v>4697</v>
      </c>
      <c r="U391" s="3"/>
      <c r="V391" s="3"/>
      <c r="AS391" s="22">
        <f t="shared" si="26"/>
        <v>4697</v>
      </c>
      <c r="AT391" s="3">
        <v>3957.6</v>
      </c>
      <c r="AU391" s="3">
        <v>504.55</v>
      </c>
      <c r="AW391" s="3">
        <v>234.85</v>
      </c>
      <c r="BD391" s="3"/>
      <c r="BE391" s="3"/>
      <c r="CE391" s="22">
        <f t="shared" si="29"/>
        <v>4697</v>
      </c>
      <c r="CF391" s="3">
        <f t="shared" si="28"/>
        <v>0</v>
      </c>
      <c r="CG391" s="17">
        <f t="shared" si="27"/>
        <v>9961</v>
      </c>
      <c r="CH391" s="3" t="str">
        <f t="shared" si="27"/>
        <v>علاج تخصصى</v>
      </c>
    </row>
    <row r="392" spans="1:89" x14ac:dyDescent="0.25">
      <c r="C392" s="25">
        <v>14504</v>
      </c>
      <c r="D392" s="20">
        <v>9962</v>
      </c>
      <c r="E392" s="3" t="s">
        <v>122</v>
      </c>
      <c r="F392" s="3" t="s">
        <v>898</v>
      </c>
      <c r="H392" s="3">
        <v>38726.19</v>
      </c>
      <c r="U392" s="3"/>
      <c r="V392" s="3"/>
      <c r="AS392" s="22">
        <f t="shared" si="26"/>
        <v>38726.19</v>
      </c>
      <c r="AT392" s="3">
        <v>31478.12</v>
      </c>
      <c r="AU392" s="3">
        <v>4037.79</v>
      </c>
      <c r="AV392" s="3">
        <v>1314.08</v>
      </c>
      <c r="AW392" s="3">
        <v>1896.2</v>
      </c>
      <c r="BD392" s="3"/>
      <c r="BE392" s="3"/>
      <c r="CE392" s="22">
        <f t="shared" si="29"/>
        <v>38726.189999999995</v>
      </c>
      <c r="CF392" s="3">
        <f t="shared" si="28"/>
        <v>0</v>
      </c>
      <c r="CG392" s="17">
        <f t="shared" si="27"/>
        <v>9962</v>
      </c>
      <c r="CH392" s="3" t="str">
        <f t="shared" si="27"/>
        <v>علاج تخصصى</v>
      </c>
    </row>
    <row r="393" spans="1:89" x14ac:dyDescent="0.25">
      <c r="C393" s="25"/>
      <c r="D393" s="20">
        <v>9963</v>
      </c>
      <c r="E393" s="3" t="s">
        <v>332</v>
      </c>
      <c r="F393" s="3" t="s">
        <v>899</v>
      </c>
      <c r="U393" s="3"/>
      <c r="V393" s="3"/>
      <c r="AS393" s="22">
        <f t="shared" si="26"/>
        <v>0</v>
      </c>
      <c r="AT393" s="3">
        <v>0</v>
      </c>
      <c r="AU393" s="3"/>
      <c r="BD393" s="3"/>
      <c r="BE393" s="3"/>
      <c r="CE393" s="22">
        <f t="shared" si="29"/>
        <v>0</v>
      </c>
      <c r="CF393" s="3">
        <f t="shared" si="28"/>
        <v>0</v>
      </c>
      <c r="CG393" s="17">
        <f t="shared" si="27"/>
        <v>9963</v>
      </c>
    </row>
    <row r="394" spans="1:89" s="29" customFormat="1" x14ac:dyDescent="0.25">
      <c r="A394" s="27"/>
      <c r="B394" s="28"/>
      <c r="C394" s="46"/>
      <c r="D394" s="47"/>
      <c r="F394" s="29" t="s">
        <v>900</v>
      </c>
      <c r="H394" s="29">
        <f>SUM(H366:H393)</f>
        <v>53868.78</v>
      </c>
      <c r="I394" s="29">
        <f t="shared" ref="I394:BU394" si="33">SUM(I366:I393)</f>
        <v>0</v>
      </c>
      <c r="J394" s="29">
        <f t="shared" si="33"/>
        <v>0</v>
      </c>
      <c r="K394" s="29">
        <f t="shared" si="33"/>
        <v>0</v>
      </c>
      <c r="L394" s="29">
        <f t="shared" si="33"/>
        <v>0</v>
      </c>
      <c r="M394" s="29">
        <f t="shared" si="33"/>
        <v>0</v>
      </c>
      <c r="N394" s="29">
        <f t="shared" si="33"/>
        <v>0</v>
      </c>
      <c r="O394" s="29">
        <f t="shared" si="33"/>
        <v>0</v>
      </c>
      <c r="P394" s="29">
        <f t="shared" si="33"/>
        <v>0</v>
      </c>
      <c r="Q394" s="29">
        <f t="shared" si="33"/>
        <v>0</v>
      </c>
      <c r="R394" s="29">
        <f t="shared" si="33"/>
        <v>0</v>
      </c>
      <c r="S394" s="29">
        <f t="shared" si="33"/>
        <v>0</v>
      </c>
      <c r="T394" s="29">
        <f t="shared" si="33"/>
        <v>979584.81</v>
      </c>
      <c r="U394" s="29">
        <f t="shared" si="33"/>
        <v>0</v>
      </c>
      <c r="V394" s="29">
        <f t="shared" si="33"/>
        <v>0</v>
      </c>
      <c r="W394" s="29">
        <f t="shared" si="33"/>
        <v>0</v>
      </c>
      <c r="X394" s="29">
        <f t="shared" si="33"/>
        <v>33426.25</v>
      </c>
      <c r="Y394" s="29">
        <f t="shared" si="33"/>
        <v>0</v>
      </c>
      <c r="Z394" s="29">
        <f t="shared" si="33"/>
        <v>0</v>
      </c>
      <c r="AA394" s="29">
        <f t="shared" si="33"/>
        <v>0</v>
      </c>
      <c r="AB394" s="29">
        <f t="shared" si="33"/>
        <v>0</v>
      </c>
      <c r="AC394" s="29">
        <f t="shared" si="33"/>
        <v>0</v>
      </c>
      <c r="AD394" s="29">
        <f t="shared" si="33"/>
        <v>0</v>
      </c>
      <c r="AE394" s="29">
        <f t="shared" si="33"/>
        <v>0</v>
      </c>
      <c r="AF394" s="29">
        <f t="shared" si="33"/>
        <v>0</v>
      </c>
      <c r="AG394" s="29">
        <f t="shared" si="33"/>
        <v>0</v>
      </c>
      <c r="AH394" s="29">
        <f t="shared" si="33"/>
        <v>0</v>
      </c>
      <c r="AI394" s="29">
        <f t="shared" si="33"/>
        <v>0</v>
      </c>
      <c r="AJ394" s="29">
        <f t="shared" si="33"/>
        <v>0</v>
      </c>
      <c r="AK394" s="29">
        <f t="shared" si="33"/>
        <v>0</v>
      </c>
      <c r="AL394" s="29">
        <f t="shared" si="33"/>
        <v>0</v>
      </c>
      <c r="AM394" s="29">
        <f t="shared" si="33"/>
        <v>0</v>
      </c>
      <c r="AN394" s="29">
        <f t="shared" si="33"/>
        <v>0</v>
      </c>
      <c r="AO394" s="29">
        <f t="shared" si="33"/>
        <v>0</v>
      </c>
      <c r="AP394" s="29">
        <f t="shared" si="33"/>
        <v>0</v>
      </c>
      <c r="AQ394" s="29">
        <f t="shared" si="33"/>
        <v>0</v>
      </c>
      <c r="AS394" s="29">
        <f t="shared" si="33"/>
        <v>1066879.8400000001</v>
      </c>
      <c r="AT394" s="29">
        <f t="shared" si="33"/>
        <v>1055753.9800000002</v>
      </c>
      <c r="AU394" s="29">
        <f t="shared" si="33"/>
        <v>5540.04</v>
      </c>
      <c r="AV394" s="29">
        <f t="shared" si="33"/>
        <v>2983.5299999999997</v>
      </c>
      <c r="AW394" s="29">
        <f t="shared" si="33"/>
        <v>2602.29</v>
      </c>
      <c r="AX394" s="29">
        <f t="shared" si="33"/>
        <v>0</v>
      </c>
      <c r="AY394" s="29">
        <f t="shared" si="33"/>
        <v>0</v>
      </c>
      <c r="AZ394" s="29">
        <f t="shared" si="33"/>
        <v>0</v>
      </c>
      <c r="BA394" s="29">
        <f t="shared" si="33"/>
        <v>0</v>
      </c>
      <c r="BB394" s="29">
        <f t="shared" si="33"/>
        <v>0</v>
      </c>
      <c r="BC394" s="29">
        <f t="shared" si="33"/>
        <v>0</v>
      </c>
      <c r="BD394" s="29">
        <f t="shared" si="33"/>
        <v>0</v>
      </c>
      <c r="BE394" s="29">
        <f t="shared" si="33"/>
        <v>0</v>
      </c>
      <c r="BF394" s="29">
        <f t="shared" si="33"/>
        <v>0</v>
      </c>
      <c r="BG394" s="29">
        <f t="shared" si="33"/>
        <v>0</v>
      </c>
      <c r="BH394" s="29">
        <f t="shared" si="33"/>
        <v>0</v>
      </c>
      <c r="BI394" s="29">
        <f t="shared" si="33"/>
        <v>0</v>
      </c>
      <c r="BJ394" s="29">
        <f t="shared" si="33"/>
        <v>0</v>
      </c>
      <c r="BK394" s="29">
        <f t="shared" si="33"/>
        <v>0</v>
      </c>
      <c r="BL394" s="29">
        <f t="shared" si="33"/>
        <v>0</v>
      </c>
      <c r="BM394" s="29">
        <f t="shared" si="33"/>
        <v>0</v>
      </c>
      <c r="BN394" s="29">
        <f t="shared" si="33"/>
        <v>0</v>
      </c>
      <c r="BO394" s="29">
        <f t="shared" si="33"/>
        <v>0</v>
      </c>
      <c r="BP394" s="29">
        <f t="shared" si="33"/>
        <v>0</v>
      </c>
      <c r="BQ394" s="29">
        <f t="shared" si="33"/>
        <v>0</v>
      </c>
      <c r="BR394" s="29">
        <f t="shared" si="33"/>
        <v>0</v>
      </c>
      <c r="BS394" s="29">
        <f t="shared" si="33"/>
        <v>0</v>
      </c>
      <c r="BT394" s="29">
        <f t="shared" si="33"/>
        <v>0</v>
      </c>
      <c r="BU394" s="29">
        <f t="shared" si="33"/>
        <v>0</v>
      </c>
      <c r="BV394" s="29">
        <f t="shared" ref="BV394:CK394" si="34">SUM(BV366:BV393)</f>
        <v>0</v>
      </c>
      <c r="BW394" s="29">
        <f t="shared" si="34"/>
        <v>0</v>
      </c>
      <c r="BX394" s="29">
        <f t="shared" si="34"/>
        <v>0</v>
      </c>
      <c r="BY394" s="29">
        <f t="shared" si="34"/>
        <v>0</v>
      </c>
      <c r="BZ394" s="29">
        <f t="shared" si="34"/>
        <v>0</v>
      </c>
      <c r="CA394" s="29">
        <f t="shared" si="34"/>
        <v>0</v>
      </c>
      <c r="CB394" s="29">
        <f t="shared" si="34"/>
        <v>0</v>
      </c>
      <c r="CC394" s="29">
        <f t="shared" si="34"/>
        <v>0</v>
      </c>
      <c r="CE394" s="29">
        <f t="shared" si="34"/>
        <v>1066879.8400000001</v>
      </c>
      <c r="CF394" s="29">
        <f t="shared" si="34"/>
        <v>0</v>
      </c>
      <c r="CI394" s="29">
        <f t="shared" si="34"/>
        <v>0</v>
      </c>
      <c r="CJ394" s="29">
        <f t="shared" si="34"/>
        <v>0</v>
      </c>
      <c r="CK394" s="29">
        <f t="shared" si="34"/>
        <v>0</v>
      </c>
    </row>
    <row r="395" spans="1:89" ht="31.5" x14ac:dyDescent="0.25">
      <c r="C395" s="25">
        <v>15855</v>
      </c>
      <c r="D395" s="11">
        <v>9964</v>
      </c>
      <c r="E395" s="3" t="s">
        <v>78</v>
      </c>
      <c r="F395" s="9" t="s">
        <v>901</v>
      </c>
      <c r="G395" s="3"/>
      <c r="I395" s="3">
        <v>330000</v>
      </c>
      <c r="U395" s="3"/>
      <c r="V395" s="3"/>
      <c r="AS395" s="22">
        <f t="shared" si="26"/>
        <v>330000</v>
      </c>
      <c r="AT395" s="3">
        <v>295579.40000000002</v>
      </c>
      <c r="AU395" s="3">
        <f>1984.95+5954.85+30</f>
        <v>7969.8</v>
      </c>
      <c r="AW395" s="3">
        <v>10</v>
      </c>
      <c r="BD395" s="3"/>
      <c r="BE395" s="3"/>
      <c r="BF395" s="3">
        <v>157.15</v>
      </c>
      <c r="BG395" s="3">
        <v>3142.9</v>
      </c>
      <c r="BH395" s="3">
        <v>50</v>
      </c>
      <c r="BI395" s="3">
        <f>1366.4+49.6+49.6+1366.4</f>
        <v>2832</v>
      </c>
      <c r="BJ395" s="3">
        <v>16500</v>
      </c>
      <c r="CC395" s="3">
        <f>3258.75+500</f>
        <v>3758.75</v>
      </c>
      <c r="CE395" s="22">
        <f t="shared" ref="CE395:CE398" si="35">SUM(AT395:CC395)</f>
        <v>330000.00000000006</v>
      </c>
      <c r="CF395" s="3">
        <f t="shared" ref="CF395:CF399" si="36">+CE395-AS395</f>
        <v>0</v>
      </c>
      <c r="CG395" s="17">
        <f t="shared" ref="CG395:CG399" si="37">+D395</f>
        <v>9964</v>
      </c>
      <c r="CH395" s="3" t="str">
        <f>+E395</f>
        <v>برنامج دولى</v>
      </c>
    </row>
    <row r="396" spans="1:89" ht="31.5" x14ac:dyDescent="0.25">
      <c r="C396" s="17">
        <v>16705</v>
      </c>
      <c r="D396" s="17">
        <v>9965</v>
      </c>
      <c r="E396" s="3" t="s">
        <v>121</v>
      </c>
      <c r="F396" s="9" t="s">
        <v>902</v>
      </c>
      <c r="G396" s="3"/>
      <c r="L396" s="3">
        <v>3390000</v>
      </c>
      <c r="M396" s="3">
        <v>3390000</v>
      </c>
      <c r="N396" s="3">
        <v>3390000</v>
      </c>
      <c r="AS396" s="22">
        <f t="shared" si="26"/>
        <v>10170000</v>
      </c>
      <c r="AT396" s="3">
        <v>3189990</v>
      </c>
      <c r="BD396" s="3"/>
      <c r="BE396" s="3"/>
      <c r="BI396" s="3">
        <f>15255*2</f>
        <v>30510</v>
      </c>
      <c r="BJ396" s="3">
        <v>169500</v>
      </c>
      <c r="BL396" s="3">
        <v>3390000</v>
      </c>
      <c r="BM396" s="3">
        <v>3390000</v>
      </c>
      <c r="CE396" s="22">
        <f t="shared" ref="CE396" si="38">SUM(AT396:CC396)</f>
        <v>10170000</v>
      </c>
      <c r="CF396" s="3">
        <f t="shared" si="36"/>
        <v>0</v>
      </c>
      <c r="CG396" s="17">
        <f>+D396</f>
        <v>9965</v>
      </c>
      <c r="CH396" s="3" t="str">
        <f>+E396</f>
        <v>ماليزى اسنان</v>
      </c>
    </row>
    <row r="397" spans="1:89" ht="31.5" x14ac:dyDescent="0.25">
      <c r="C397" s="25">
        <v>16704</v>
      </c>
      <c r="D397" s="11">
        <v>9966</v>
      </c>
      <c r="E397" s="3" t="s">
        <v>121</v>
      </c>
      <c r="F397" s="9" t="s">
        <v>903</v>
      </c>
      <c r="G397" s="3"/>
      <c r="L397" s="3">
        <v>1177050</v>
      </c>
      <c r="M397" s="3">
        <v>1177050</v>
      </c>
      <c r="N397" s="3">
        <v>1177050</v>
      </c>
      <c r="U397" s="3"/>
      <c r="V397" s="3"/>
      <c r="AS397" s="22">
        <f>SUM(H397:AQ397)</f>
        <v>3531150</v>
      </c>
      <c r="AT397" s="3">
        <v>1073213.3</v>
      </c>
      <c r="AU397" s="3">
        <f>6294.75+18884.25+56.7</f>
        <v>25235.7</v>
      </c>
      <c r="AW397" s="3">
        <v>5</v>
      </c>
      <c r="BD397" s="3"/>
      <c r="BE397" s="3"/>
      <c r="BG397" s="3">
        <v>10325</v>
      </c>
      <c r="BH397" s="3">
        <v>126</v>
      </c>
      <c r="BI397" s="3">
        <f>4646.25*2</f>
        <v>9292.5</v>
      </c>
      <c r="BJ397" s="3">
        <v>58852.5</v>
      </c>
      <c r="BL397" s="3">
        <v>1177050</v>
      </c>
      <c r="BM397" s="3">
        <v>1177050</v>
      </c>
      <c r="CE397" s="22">
        <f>SUM(AT397:CC397)</f>
        <v>3531150</v>
      </c>
      <c r="CF397" s="3">
        <f>+CE397-AS397</f>
        <v>0</v>
      </c>
      <c r="CG397" s="17">
        <f>+D397</f>
        <v>9966</v>
      </c>
      <c r="CH397" s="3" t="str">
        <f>+E397</f>
        <v>ماليزى اسنان</v>
      </c>
    </row>
    <row r="398" spans="1:89" x14ac:dyDescent="0.25">
      <c r="C398" s="25">
        <v>15923</v>
      </c>
      <c r="D398" s="11">
        <v>9967</v>
      </c>
      <c r="E398" s="3" t="s">
        <v>119</v>
      </c>
      <c r="F398" s="3" t="s">
        <v>751</v>
      </c>
      <c r="G398" s="3"/>
      <c r="I398" s="3">
        <v>15000</v>
      </c>
      <c r="U398" s="3"/>
      <c r="V398" s="3"/>
      <c r="AS398" s="22">
        <f t="shared" si="26"/>
        <v>15000</v>
      </c>
      <c r="AT398" s="3">
        <v>13303.1</v>
      </c>
      <c r="AU398" s="3">
        <f>190+570+9.9</f>
        <v>769.9</v>
      </c>
      <c r="AW398" s="3">
        <v>5</v>
      </c>
      <c r="BD398" s="3"/>
      <c r="BE398" s="3"/>
      <c r="BG398" s="3">
        <v>150</v>
      </c>
      <c r="BH398" s="3">
        <v>22</v>
      </c>
      <c r="BK398" s="3">
        <v>750</v>
      </c>
      <c r="CE398" s="22">
        <f t="shared" si="35"/>
        <v>15000</v>
      </c>
      <c r="CF398" s="3">
        <f t="shared" si="36"/>
        <v>0</v>
      </c>
      <c r="CG398" s="17">
        <f t="shared" si="37"/>
        <v>9967</v>
      </c>
      <c r="CH398" s="3" t="str">
        <f>+E398</f>
        <v>خ ت صيدلة</v>
      </c>
    </row>
    <row r="399" spans="1:89" x14ac:dyDescent="0.25">
      <c r="C399" s="25">
        <v>15922</v>
      </c>
      <c r="D399" s="11">
        <v>9968</v>
      </c>
      <c r="E399" s="3" t="s">
        <v>132</v>
      </c>
      <c r="F399" s="3" t="s">
        <v>904</v>
      </c>
      <c r="G399" s="3"/>
      <c r="I399" s="3">
        <v>10950</v>
      </c>
      <c r="U399" s="3"/>
      <c r="V399" s="3"/>
      <c r="AS399" s="22">
        <f t="shared" si="26"/>
        <v>10950</v>
      </c>
      <c r="AT399" s="3">
        <v>10143.5</v>
      </c>
      <c r="AU399" s="3">
        <f>165.75+497.25+9</f>
        <v>672</v>
      </c>
      <c r="AW399" s="3">
        <v>5</v>
      </c>
      <c r="BD399" s="3"/>
      <c r="BE399" s="3"/>
      <c r="BG399" s="3">
        <v>109.5</v>
      </c>
      <c r="BH399" s="3">
        <v>20</v>
      </c>
      <c r="CE399" s="22">
        <f t="shared" ref="CE399" si="39">SUM(AT399:CC399)</f>
        <v>10950</v>
      </c>
      <c r="CF399" s="3">
        <f t="shared" si="36"/>
        <v>0</v>
      </c>
      <c r="CG399" s="17">
        <f t="shared" si="37"/>
        <v>9968</v>
      </c>
      <c r="CH399" s="3" t="str">
        <f>+E399</f>
        <v>صيدلة اكلينيكى</v>
      </c>
    </row>
    <row r="400" spans="1:89" s="29" customFormat="1" x14ac:dyDescent="0.25">
      <c r="A400" s="27"/>
      <c r="B400" s="28"/>
      <c r="C400" s="46"/>
      <c r="D400" s="47"/>
      <c r="F400" s="29" t="s">
        <v>905</v>
      </c>
      <c r="I400" s="29">
        <f>SUM(I395:I399)</f>
        <v>355950</v>
      </c>
      <c r="J400" s="29">
        <f t="shared" ref="J400:BV400" si="40">SUM(J395:J399)</f>
        <v>0</v>
      </c>
      <c r="K400" s="29">
        <f t="shared" si="40"/>
        <v>0</v>
      </c>
      <c r="L400" s="29">
        <f t="shared" si="40"/>
        <v>4567050</v>
      </c>
      <c r="M400" s="29">
        <f t="shared" si="40"/>
        <v>4567050</v>
      </c>
      <c r="N400" s="29">
        <f t="shared" si="40"/>
        <v>4567050</v>
      </c>
      <c r="O400" s="29">
        <f t="shared" si="40"/>
        <v>0</v>
      </c>
      <c r="P400" s="29">
        <f t="shared" si="40"/>
        <v>0</v>
      </c>
      <c r="Q400" s="29">
        <f t="shared" si="40"/>
        <v>0</v>
      </c>
      <c r="R400" s="29">
        <f t="shared" si="40"/>
        <v>0</v>
      </c>
      <c r="S400" s="29">
        <f t="shared" si="40"/>
        <v>0</v>
      </c>
      <c r="T400" s="29">
        <f t="shared" si="40"/>
        <v>0</v>
      </c>
      <c r="U400" s="29">
        <f t="shared" si="40"/>
        <v>0</v>
      </c>
      <c r="V400" s="29">
        <f t="shared" si="40"/>
        <v>0</v>
      </c>
      <c r="W400" s="29">
        <f t="shared" si="40"/>
        <v>0</v>
      </c>
      <c r="X400" s="29">
        <f t="shared" si="40"/>
        <v>0</v>
      </c>
      <c r="Y400" s="29">
        <f t="shared" si="40"/>
        <v>0</v>
      </c>
      <c r="Z400" s="29">
        <f t="shared" si="40"/>
        <v>0</v>
      </c>
      <c r="AA400" s="29">
        <f t="shared" si="40"/>
        <v>0</v>
      </c>
      <c r="AB400" s="29">
        <f t="shared" si="40"/>
        <v>0</v>
      </c>
      <c r="AC400" s="29">
        <f t="shared" si="40"/>
        <v>0</v>
      </c>
      <c r="AD400" s="29">
        <f t="shared" si="40"/>
        <v>0</v>
      </c>
      <c r="AE400" s="29">
        <f t="shared" si="40"/>
        <v>0</v>
      </c>
      <c r="AF400" s="29">
        <f t="shared" si="40"/>
        <v>0</v>
      </c>
      <c r="AG400" s="29">
        <f t="shared" si="40"/>
        <v>0</v>
      </c>
      <c r="AH400" s="29">
        <f t="shared" si="40"/>
        <v>0</v>
      </c>
      <c r="AI400" s="29">
        <f t="shared" si="40"/>
        <v>0</v>
      </c>
      <c r="AJ400" s="29">
        <f t="shared" si="40"/>
        <v>0</v>
      </c>
      <c r="AK400" s="29">
        <f t="shared" si="40"/>
        <v>0</v>
      </c>
      <c r="AL400" s="29">
        <f t="shared" si="40"/>
        <v>0</v>
      </c>
      <c r="AM400" s="29">
        <f t="shared" si="40"/>
        <v>0</v>
      </c>
      <c r="AN400" s="29">
        <f t="shared" si="40"/>
        <v>0</v>
      </c>
      <c r="AO400" s="29">
        <f t="shared" si="40"/>
        <v>0</v>
      </c>
      <c r="AP400" s="29">
        <f t="shared" si="40"/>
        <v>0</v>
      </c>
      <c r="AQ400" s="29">
        <f t="shared" si="40"/>
        <v>0</v>
      </c>
      <c r="AS400" s="29">
        <f t="shared" si="40"/>
        <v>14057100</v>
      </c>
      <c r="AT400" s="29">
        <f t="shared" si="40"/>
        <v>4582229.3</v>
      </c>
      <c r="AU400" s="29">
        <f t="shared" si="40"/>
        <v>34647.4</v>
      </c>
      <c r="AV400" s="29">
        <f t="shared" si="40"/>
        <v>0</v>
      </c>
      <c r="AW400" s="29">
        <f t="shared" si="40"/>
        <v>25</v>
      </c>
      <c r="AX400" s="29">
        <f t="shared" si="40"/>
        <v>0</v>
      </c>
      <c r="AY400" s="29">
        <f t="shared" si="40"/>
        <v>0</v>
      </c>
      <c r="AZ400" s="29">
        <f t="shared" si="40"/>
        <v>0</v>
      </c>
      <c r="BA400" s="29">
        <f t="shared" si="40"/>
        <v>0</v>
      </c>
      <c r="BB400" s="29">
        <f t="shared" si="40"/>
        <v>0</v>
      </c>
      <c r="BC400" s="29">
        <f t="shared" si="40"/>
        <v>0</v>
      </c>
      <c r="BD400" s="29">
        <f t="shared" si="40"/>
        <v>0</v>
      </c>
      <c r="BE400" s="29">
        <f t="shared" si="40"/>
        <v>0</v>
      </c>
      <c r="BF400" s="29">
        <f t="shared" si="40"/>
        <v>157.15</v>
      </c>
      <c r="BG400" s="29">
        <f t="shared" si="40"/>
        <v>13727.4</v>
      </c>
      <c r="BH400" s="29">
        <f t="shared" si="40"/>
        <v>218</v>
      </c>
      <c r="BI400" s="29">
        <f t="shared" si="40"/>
        <v>42634.5</v>
      </c>
      <c r="BJ400" s="29">
        <f t="shared" si="40"/>
        <v>244852.5</v>
      </c>
      <c r="BK400" s="29">
        <f t="shared" si="40"/>
        <v>750</v>
      </c>
      <c r="BL400" s="29">
        <f t="shared" si="40"/>
        <v>4567050</v>
      </c>
      <c r="BM400" s="29">
        <f t="shared" si="40"/>
        <v>4567050</v>
      </c>
      <c r="BN400" s="29">
        <f t="shared" si="40"/>
        <v>0</v>
      </c>
      <c r="BO400" s="29">
        <f t="shared" si="40"/>
        <v>0</v>
      </c>
      <c r="BP400" s="29">
        <f t="shared" si="40"/>
        <v>0</v>
      </c>
      <c r="BQ400" s="29">
        <f t="shared" si="40"/>
        <v>0</v>
      </c>
      <c r="BR400" s="29">
        <f t="shared" si="40"/>
        <v>0</v>
      </c>
      <c r="BS400" s="29">
        <f t="shared" si="40"/>
        <v>0</v>
      </c>
      <c r="BT400" s="29">
        <f t="shared" si="40"/>
        <v>0</v>
      </c>
      <c r="BU400" s="29">
        <f t="shared" si="40"/>
        <v>0</v>
      </c>
      <c r="BV400" s="29">
        <f t="shared" si="40"/>
        <v>0</v>
      </c>
      <c r="BW400" s="29">
        <f t="shared" ref="BW400:CK400" si="41">SUM(BW395:BW399)</f>
        <v>0</v>
      </c>
      <c r="BX400" s="29">
        <f t="shared" si="41"/>
        <v>0</v>
      </c>
      <c r="BY400" s="29">
        <f t="shared" si="41"/>
        <v>0</v>
      </c>
      <c r="BZ400" s="29">
        <f t="shared" si="41"/>
        <v>0</v>
      </c>
      <c r="CA400" s="29">
        <f t="shared" si="41"/>
        <v>0</v>
      </c>
      <c r="CB400" s="29">
        <f t="shared" si="41"/>
        <v>0</v>
      </c>
      <c r="CC400" s="29">
        <f t="shared" si="41"/>
        <v>3758.75</v>
      </c>
      <c r="CE400" s="29">
        <f t="shared" si="41"/>
        <v>14057100</v>
      </c>
      <c r="CF400" s="29">
        <f t="shared" si="41"/>
        <v>0</v>
      </c>
      <c r="CH400" s="29">
        <f t="shared" si="41"/>
        <v>0</v>
      </c>
      <c r="CI400" s="29">
        <f t="shared" si="41"/>
        <v>0</v>
      </c>
      <c r="CJ400" s="29">
        <f t="shared" si="41"/>
        <v>0</v>
      </c>
      <c r="CK400" s="29">
        <f t="shared" si="41"/>
        <v>0</v>
      </c>
    </row>
    <row r="401" spans="1:86" x14ac:dyDescent="0.25">
      <c r="A401" s="16">
        <v>45508</v>
      </c>
      <c r="C401" s="25">
        <v>8097</v>
      </c>
      <c r="D401" s="11">
        <v>9969</v>
      </c>
      <c r="E401" s="3" t="s">
        <v>132</v>
      </c>
      <c r="F401" s="3" t="s">
        <v>906</v>
      </c>
      <c r="G401" s="3" t="s">
        <v>220</v>
      </c>
      <c r="H401" s="3">
        <v>6231.05</v>
      </c>
      <c r="U401" s="3"/>
      <c r="V401" s="3"/>
      <c r="AS401" s="22">
        <f t="shared" si="26"/>
        <v>6231.05</v>
      </c>
      <c r="AT401" s="3">
        <v>4555.3900000000003</v>
      </c>
      <c r="AU401" s="3">
        <v>36.4</v>
      </c>
      <c r="AV401" s="3">
        <f>1288.9+212.7</f>
        <v>1501.6000000000001</v>
      </c>
      <c r="AW401" s="3">
        <f>135+2.66</f>
        <v>137.66</v>
      </c>
      <c r="BD401" s="3"/>
      <c r="BE401" s="3"/>
      <c r="CE401" s="22">
        <f t="shared" ref="CE401:CE479" si="42">SUM(AT401:CC401)</f>
        <v>6231.05</v>
      </c>
      <c r="CF401" s="3">
        <f t="shared" ref="CF401:CF479" si="43">+CE401-AS401</f>
        <v>0</v>
      </c>
      <c r="CG401" s="17">
        <f t="shared" ref="CG401:CH416" si="44">+D401</f>
        <v>9969</v>
      </c>
      <c r="CH401" s="3" t="str">
        <f>+E401</f>
        <v>صيدلة اكلينيكى</v>
      </c>
    </row>
    <row r="402" spans="1:86" x14ac:dyDescent="0.25">
      <c r="A402" s="16">
        <v>45508</v>
      </c>
      <c r="B402" s="3"/>
      <c r="C402" s="25">
        <v>8096</v>
      </c>
      <c r="D402" s="11">
        <v>9970</v>
      </c>
      <c r="E402" s="3" t="s">
        <v>132</v>
      </c>
      <c r="F402" s="3" t="s">
        <v>906</v>
      </c>
      <c r="G402" s="3" t="s">
        <v>220</v>
      </c>
      <c r="H402" s="3">
        <v>67886.28</v>
      </c>
      <c r="U402" s="3"/>
      <c r="V402" s="3"/>
      <c r="AS402" s="22">
        <f t="shared" si="26"/>
        <v>67886.28</v>
      </c>
      <c r="AT402" s="3">
        <v>49481.94</v>
      </c>
      <c r="AU402" s="3">
        <v>405.85</v>
      </c>
      <c r="AV402" s="3">
        <f>14042.8+2317</f>
        <v>16359.8</v>
      </c>
      <c r="AW402" s="3">
        <f>1609.74+28.95</f>
        <v>1638.69</v>
      </c>
      <c r="BD402" s="3"/>
      <c r="BE402" s="3"/>
      <c r="CE402" s="22">
        <f t="shared" si="42"/>
        <v>67886.28</v>
      </c>
      <c r="CF402" s="3">
        <f t="shared" si="43"/>
        <v>0</v>
      </c>
      <c r="CG402" s="17">
        <f t="shared" si="44"/>
        <v>9970</v>
      </c>
      <c r="CH402" s="3" t="str">
        <f t="shared" si="44"/>
        <v>صيدلة اكلينيكى</v>
      </c>
    </row>
    <row r="403" spans="1:86" x14ac:dyDescent="0.25">
      <c r="A403" s="16">
        <v>45508</v>
      </c>
      <c r="C403" s="25">
        <v>8098</v>
      </c>
      <c r="D403" s="11">
        <v>9971</v>
      </c>
      <c r="E403" s="3" t="s">
        <v>132</v>
      </c>
      <c r="F403" s="3" t="s">
        <v>906</v>
      </c>
      <c r="G403" s="3" t="s">
        <v>220</v>
      </c>
      <c r="H403" s="3">
        <v>6001.28</v>
      </c>
      <c r="U403" s="3"/>
      <c r="V403" s="3"/>
      <c r="AS403" s="22">
        <f t="shared" si="26"/>
        <v>6001.28</v>
      </c>
      <c r="AT403" s="3">
        <v>4238.57</v>
      </c>
      <c r="AU403" s="3">
        <v>36.049999999999997</v>
      </c>
      <c r="AV403" s="3">
        <f>1241.3+204.8</f>
        <v>1446.1</v>
      </c>
      <c r="AW403" s="3">
        <f>278+2.56</f>
        <v>280.56</v>
      </c>
      <c r="BD403" s="3"/>
      <c r="BE403" s="3"/>
      <c r="CE403" s="22">
        <f t="shared" si="42"/>
        <v>6001.28</v>
      </c>
      <c r="CF403" s="3">
        <f t="shared" si="43"/>
        <v>0</v>
      </c>
      <c r="CG403" s="17">
        <f t="shared" si="44"/>
        <v>9971</v>
      </c>
      <c r="CH403" s="3" t="str">
        <f t="shared" si="44"/>
        <v>صيدلة اكلينيكى</v>
      </c>
    </row>
    <row r="404" spans="1:86" x14ac:dyDescent="0.25">
      <c r="A404" s="16">
        <v>45508</v>
      </c>
      <c r="B404" s="3"/>
      <c r="C404" s="25">
        <v>8100</v>
      </c>
      <c r="D404" s="11">
        <v>9972</v>
      </c>
      <c r="E404" s="3" t="s">
        <v>132</v>
      </c>
      <c r="F404" s="3" t="s">
        <v>906</v>
      </c>
      <c r="G404" s="3" t="s">
        <v>220</v>
      </c>
      <c r="H404" s="3">
        <v>19808.46</v>
      </c>
      <c r="U404" s="3"/>
      <c r="V404" s="3"/>
      <c r="AS404" s="22">
        <f t="shared" si="26"/>
        <v>19808.46</v>
      </c>
      <c r="AT404" s="3">
        <v>14667.28</v>
      </c>
      <c r="AU404" s="3">
        <v>119.15</v>
      </c>
      <c r="AV404" s="3">
        <f>4097.7+676.1</f>
        <v>4773.8</v>
      </c>
      <c r="AW404" s="3">
        <f>239.79+8.44</f>
        <v>248.23</v>
      </c>
      <c r="BD404" s="3"/>
      <c r="BE404" s="3"/>
      <c r="CE404" s="22">
        <f t="shared" si="42"/>
        <v>19808.46</v>
      </c>
      <c r="CF404" s="3">
        <f t="shared" si="43"/>
        <v>0</v>
      </c>
      <c r="CG404" s="17">
        <f t="shared" si="44"/>
        <v>9972</v>
      </c>
      <c r="CH404" s="3" t="str">
        <f t="shared" si="44"/>
        <v>صيدلة اكلينيكى</v>
      </c>
    </row>
    <row r="405" spans="1:86" x14ac:dyDescent="0.25">
      <c r="A405" s="16">
        <v>45508</v>
      </c>
      <c r="C405" s="25">
        <v>8102</v>
      </c>
      <c r="D405" s="11">
        <v>9973</v>
      </c>
      <c r="E405" s="3" t="s">
        <v>132</v>
      </c>
      <c r="F405" s="3" t="s">
        <v>906</v>
      </c>
      <c r="G405" s="3" t="s">
        <v>220</v>
      </c>
      <c r="H405" s="3">
        <v>6453.47</v>
      </c>
      <c r="U405" s="3"/>
      <c r="V405" s="3"/>
      <c r="AS405" s="22">
        <f t="shared" si="26"/>
        <v>6453.47</v>
      </c>
      <c r="AT405" s="3">
        <v>4853.62</v>
      </c>
      <c r="AU405" s="3">
        <v>38.799999999999997</v>
      </c>
      <c r="AV405" s="3">
        <f>1335+220.3</f>
        <v>1555.3</v>
      </c>
      <c r="AW405" s="3">
        <f>3+2.75</f>
        <v>5.75</v>
      </c>
      <c r="BD405" s="3"/>
      <c r="BE405" s="3"/>
      <c r="CE405" s="22">
        <f t="shared" si="42"/>
        <v>6453.47</v>
      </c>
      <c r="CF405" s="3">
        <f t="shared" si="43"/>
        <v>0</v>
      </c>
      <c r="CG405" s="17">
        <f t="shared" si="44"/>
        <v>9973</v>
      </c>
      <c r="CH405" s="3" t="str">
        <f t="shared" si="44"/>
        <v>صيدلة اكلينيكى</v>
      </c>
    </row>
    <row r="406" spans="1:86" x14ac:dyDescent="0.25">
      <c r="A406" s="16">
        <v>45508</v>
      </c>
      <c r="C406" s="25">
        <v>8101</v>
      </c>
      <c r="D406" s="11">
        <v>9974</v>
      </c>
      <c r="E406" s="3" t="s">
        <v>132</v>
      </c>
      <c r="F406" s="3" t="s">
        <v>906</v>
      </c>
      <c r="G406" s="3" t="s">
        <v>220</v>
      </c>
      <c r="H406" s="3">
        <v>6228.75</v>
      </c>
      <c r="U406" s="3"/>
      <c r="V406" s="3"/>
      <c r="AS406" s="22">
        <f t="shared" si="26"/>
        <v>6228.75</v>
      </c>
      <c r="AT406" s="3">
        <v>4684.54</v>
      </c>
      <c r="AU406" s="3">
        <v>37.450000000000003</v>
      </c>
      <c r="AV406" s="3">
        <f>1288.5+212.6</f>
        <v>1501.1</v>
      </c>
      <c r="AW406" s="3">
        <f>3+2.66</f>
        <v>5.66</v>
      </c>
      <c r="BD406" s="3"/>
      <c r="BE406" s="3"/>
      <c r="CE406" s="22">
        <f t="shared" si="42"/>
        <v>6228.75</v>
      </c>
      <c r="CF406" s="3">
        <f t="shared" si="43"/>
        <v>0</v>
      </c>
      <c r="CG406" s="17">
        <f t="shared" si="44"/>
        <v>9974</v>
      </c>
      <c r="CH406" s="3" t="str">
        <f t="shared" si="44"/>
        <v>صيدلة اكلينيكى</v>
      </c>
    </row>
    <row r="407" spans="1:86" x14ac:dyDescent="0.25">
      <c r="A407" s="16">
        <v>45508</v>
      </c>
      <c r="C407" s="25">
        <v>8099</v>
      </c>
      <c r="D407" s="11">
        <v>9975</v>
      </c>
      <c r="E407" s="3" t="s">
        <v>132</v>
      </c>
      <c r="F407" s="3" t="s">
        <v>906</v>
      </c>
      <c r="G407" s="3" t="s">
        <v>220</v>
      </c>
      <c r="H407" s="3">
        <v>166658.59</v>
      </c>
      <c r="U407" s="3"/>
      <c r="V407" s="3"/>
      <c r="AS407" s="22">
        <f t="shared" si="26"/>
        <v>166658.59</v>
      </c>
      <c r="AT407" s="3">
        <v>121089.07</v>
      </c>
      <c r="AU407" s="3">
        <f>15.33+984.5</f>
        <v>999.83</v>
      </c>
      <c r="AV407" s="3">
        <f>35281.6+5821.2+39</f>
        <v>41141.799999999996</v>
      </c>
      <c r="AW407" s="3">
        <f>3357.1+70.79</f>
        <v>3427.89</v>
      </c>
      <c r="BD407" s="3"/>
      <c r="BE407" s="3"/>
      <c r="CE407" s="22">
        <f t="shared" si="42"/>
        <v>166658.59000000003</v>
      </c>
      <c r="CF407" s="3">
        <f t="shared" si="43"/>
        <v>0</v>
      </c>
      <c r="CG407" s="17">
        <f t="shared" si="44"/>
        <v>9975</v>
      </c>
      <c r="CH407" s="3" t="str">
        <f t="shared" si="44"/>
        <v>صيدلة اكلينيكى</v>
      </c>
    </row>
    <row r="408" spans="1:86" x14ac:dyDescent="0.25">
      <c r="A408" s="16">
        <v>45508</v>
      </c>
      <c r="C408" s="25">
        <v>7841</v>
      </c>
      <c r="D408" s="11">
        <v>9976</v>
      </c>
      <c r="E408" s="3" t="s">
        <v>78</v>
      </c>
      <c r="F408" s="3" t="s">
        <v>906</v>
      </c>
      <c r="G408" s="3" t="s">
        <v>220</v>
      </c>
      <c r="H408" s="3">
        <v>6434.53</v>
      </c>
      <c r="U408" s="3"/>
      <c r="V408" s="3"/>
      <c r="AS408" s="22">
        <f t="shared" si="26"/>
        <v>6434.53</v>
      </c>
      <c r="AT408" s="3">
        <v>4769.49</v>
      </c>
      <c r="AU408" s="3">
        <v>38.700000000000003</v>
      </c>
      <c r="AV408" s="3">
        <f>1331+219.6</f>
        <v>1550.6</v>
      </c>
      <c r="AW408" s="3">
        <f>73+2.74</f>
        <v>75.739999999999995</v>
      </c>
      <c r="BD408" s="3"/>
      <c r="BE408" s="3"/>
      <c r="CE408" s="22">
        <f t="shared" si="42"/>
        <v>6434.5299999999988</v>
      </c>
      <c r="CF408" s="3">
        <f t="shared" si="43"/>
        <v>0</v>
      </c>
      <c r="CG408" s="17">
        <f t="shared" si="44"/>
        <v>9976</v>
      </c>
      <c r="CH408" s="3" t="str">
        <f t="shared" si="44"/>
        <v>برنامج دولى</v>
      </c>
    </row>
    <row r="409" spans="1:86" x14ac:dyDescent="0.25">
      <c r="A409" s="16">
        <v>45508</v>
      </c>
      <c r="C409" s="25">
        <v>7842</v>
      </c>
      <c r="D409" s="11">
        <v>9976</v>
      </c>
      <c r="E409" s="3" t="s">
        <v>78</v>
      </c>
      <c r="F409" s="3" t="s">
        <v>906</v>
      </c>
      <c r="G409" s="3" t="s">
        <v>220</v>
      </c>
      <c r="H409" s="3">
        <v>13682.72</v>
      </c>
      <c r="U409" s="3"/>
      <c r="V409" s="3"/>
      <c r="AS409" s="22">
        <f t="shared" si="26"/>
        <v>13682.72</v>
      </c>
      <c r="AT409" s="3">
        <v>10260.879999999999</v>
      </c>
      <c r="AU409" s="3">
        <f>30.3+82.3</f>
        <v>112.6</v>
      </c>
      <c r="AV409" s="3">
        <f>2830.4+467</f>
        <v>3297.4</v>
      </c>
      <c r="AW409" s="3">
        <f>6+5.84</f>
        <v>11.84</v>
      </c>
      <c r="BD409" s="3"/>
      <c r="BE409" s="3"/>
      <c r="CE409" s="22">
        <f t="shared" si="42"/>
        <v>13682.72</v>
      </c>
      <c r="CF409" s="3">
        <f t="shared" si="43"/>
        <v>0</v>
      </c>
      <c r="CG409" s="17">
        <f t="shared" si="44"/>
        <v>9976</v>
      </c>
      <c r="CH409" s="3" t="str">
        <f t="shared" si="44"/>
        <v>برنامج دولى</v>
      </c>
    </row>
    <row r="410" spans="1:86" x14ac:dyDescent="0.25">
      <c r="A410" s="16">
        <v>45508</v>
      </c>
      <c r="C410" s="25">
        <v>7843</v>
      </c>
      <c r="D410" s="11">
        <v>9976</v>
      </c>
      <c r="E410" s="3" t="s">
        <v>78</v>
      </c>
      <c r="F410" s="3" t="s">
        <v>906</v>
      </c>
      <c r="G410" s="3" t="s">
        <v>220</v>
      </c>
      <c r="H410" s="3">
        <v>12830.43</v>
      </c>
      <c r="U410" s="3"/>
      <c r="V410" s="3"/>
      <c r="AS410" s="22">
        <f t="shared" si="26"/>
        <v>12830.43</v>
      </c>
      <c r="AT410" s="3">
        <v>9514.81</v>
      </c>
      <c r="AU410" s="3">
        <v>77.150000000000006</v>
      </c>
      <c r="AV410" s="3">
        <f>2654.1+437.9</f>
        <v>3092</v>
      </c>
      <c r="AW410" s="3">
        <f>141+5.47</f>
        <v>146.47</v>
      </c>
      <c r="BD410" s="3"/>
      <c r="BE410" s="3"/>
      <c r="CE410" s="22">
        <f t="shared" si="42"/>
        <v>12830.429999999998</v>
      </c>
      <c r="CF410" s="3">
        <f t="shared" si="43"/>
        <v>0</v>
      </c>
      <c r="CG410" s="17">
        <f t="shared" si="44"/>
        <v>9976</v>
      </c>
      <c r="CH410" s="3" t="str">
        <f t="shared" si="44"/>
        <v>برنامج دولى</v>
      </c>
    </row>
    <row r="411" spans="1:86" x14ac:dyDescent="0.25">
      <c r="A411" s="16">
        <v>45508</v>
      </c>
      <c r="B411" s="3"/>
      <c r="C411" s="25">
        <v>7846</v>
      </c>
      <c r="D411" s="11">
        <v>9976</v>
      </c>
      <c r="E411" s="3" t="s">
        <v>78</v>
      </c>
      <c r="F411" s="3" t="s">
        <v>906</v>
      </c>
      <c r="G411" s="3" t="s">
        <v>220</v>
      </c>
      <c r="H411" s="3">
        <v>20117.03</v>
      </c>
      <c r="U411" s="3"/>
      <c r="V411" s="3"/>
      <c r="AS411" s="22">
        <f t="shared" si="26"/>
        <v>20117.03</v>
      </c>
      <c r="AT411" s="3">
        <v>14645.17</v>
      </c>
      <c r="AU411" s="3">
        <f>30.28+121</f>
        <v>151.28</v>
      </c>
      <c r="AV411" s="3">
        <f>4161.4+686.6</f>
        <v>4848</v>
      </c>
      <c r="AW411" s="3">
        <f>8.58+464</f>
        <v>472.58</v>
      </c>
      <c r="BD411" s="3"/>
      <c r="BE411" s="3"/>
      <c r="CE411" s="22">
        <f t="shared" si="42"/>
        <v>20117.030000000002</v>
      </c>
      <c r="CF411" s="3">
        <f t="shared" si="43"/>
        <v>0</v>
      </c>
      <c r="CG411" s="17">
        <f t="shared" si="44"/>
        <v>9976</v>
      </c>
      <c r="CH411" s="3" t="str">
        <f t="shared" si="44"/>
        <v>برنامج دولى</v>
      </c>
    </row>
    <row r="412" spans="1:86" x14ac:dyDescent="0.25">
      <c r="A412" s="16">
        <v>45508</v>
      </c>
      <c r="C412" s="25">
        <v>7848</v>
      </c>
      <c r="D412" s="11">
        <v>9977</v>
      </c>
      <c r="E412" s="3" t="s">
        <v>78</v>
      </c>
      <c r="F412" s="3" t="s">
        <v>906</v>
      </c>
      <c r="G412" s="3" t="s">
        <v>220</v>
      </c>
      <c r="H412" s="3">
        <v>4799.16</v>
      </c>
      <c r="U412" s="3"/>
      <c r="V412" s="3"/>
      <c r="AS412" s="22">
        <f t="shared" si="26"/>
        <v>4799.16</v>
      </c>
      <c r="AT412" s="3">
        <v>3120.31</v>
      </c>
      <c r="AU412" s="3">
        <v>23.25</v>
      </c>
      <c r="AV412" s="3">
        <f>1415.2+233.5</f>
        <v>1648.7</v>
      </c>
      <c r="AW412" s="3">
        <f>5+1.9</f>
        <v>6.9</v>
      </c>
      <c r="BD412" s="3"/>
      <c r="BE412" s="3"/>
      <c r="CE412" s="22">
        <f t="shared" si="42"/>
        <v>4799.16</v>
      </c>
      <c r="CF412" s="3">
        <f t="shared" si="43"/>
        <v>0</v>
      </c>
      <c r="CG412" s="17">
        <f t="shared" si="44"/>
        <v>9977</v>
      </c>
      <c r="CH412" s="3" t="str">
        <f t="shared" si="44"/>
        <v>برنامج دولى</v>
      </c>
    </row>
    <row r="413" spans="1:86" x14ac:dyDescent="0.25">
      <c r="A413" s="16">
        <v>45508</v>
      </c>
      <c r="C413" s="25">
        <v>7849</v>
      </c>
      <c r="D413" s="11">
        <v>9977</v>
      </c>
      <c r="E413" s="3" t="s">
        <v>78</v>
      </c>
      <c r="F413" s="3" t="s">
        <v>906</v>
      </c>
      <c r="G413" s="3" t="s">
        <v>220</v>
      </c>
      <c r="H413" s="3">
        <v>80819.53</v>
      </c>
      <c r="U413" s="3"/>
      <c r="V413" s="3"/>
      <c r="AS413" s="22">
        <f t="shared" si="26"/>
        <v>80819.53</v>
      </c>
      <c r="AT413" s="3">
        <v>59930.25</v>
      </c>
      <c r="AU413" s="3">
        <f>134.61+483.6</f>
        <v>618.21</v>
      </c>
      <c r="AV413" s="3">
        <f>16718.5+2758.5</f>
        <v>19477</v>
      </c>
      <c r="AW413" s="3">
        <f>372+34.31</f>
        <v>406.31</v>
      </c>
      <c r="AX413" s="3">
        <v>314.56</v>
      </c>
      <c r="AY413" s="3">
        <v>73.2</v>
      </c>
      <c r="BD413" s="3"/>
      <c r="BE413" s="3"/>
      <c r="CE413" s="22">
        <f t="shared" si="42"/>
        <v>80819.529999999984</v>
      </c>
      <c r="CF413" s="3">
        <f t="shared" si="43"/>
        <v>0</v>
      </c>
      <c r="CG413" s="17">
        <f t="shared" si="44"/>
        <v>9977</v>
      </c>
      <c r="CH413" s="3" t="str">
        <f t="shared" si="44"/>
        <v>برنامج دولى</v>
      </c>
    </row>
    <row r="414" spans="1:86" x14ac:dyDescent="0.25">
      <c r="A414" s="16">
        <v>45508</v>
      </c>
      <c r="C414" s="25">
        <v>7850</v>
      </c>
      <c r="D414" s="11">
        <v>9977</v>
      </c>
      <c r="E414" s="3" t="s">
        <v>78</v>
      </c>
      <c r="F414" s="3" t="s">
        <v>906</v>
      </c>
      <c r="G414" s="3" t="s">
        <v>220</v>
      </c>
      <c r="H414" s="3">
        <v>45948.44</v>
      </c>
      <c r="U414" s="3"/>
      <c r="V414" s="3"/>
      <c r="AS414" s="22">
        <f t="shared" si="26"/>
        <v>45948.44</v>
      </c>
      <c r="AT414" s="3">
        <v>33688.26</v>
      </c>
      <c r="AU414" s="3">
        <f>30.28+272.65</f>
        <v>302.92999999999995</v>
      </c>
      <c r="AV414" s="3">
        <f>9505+1568.3</f>
        <v>11073.3</v>
      </c>
      <c r="AW414" s="3">
        <f>400.35+19.36</f>
        <v>419.71000000000004</v>
      </c>
      <c r="AX414" s="3">
        <v>464.24</v>
      </c>
      <c r="BD414" s="3"/>
      <c r="BE414" s="3"/>
      <c r="CE414" s="22">
        <f t="shared" si="42"/>
        <v>45948.44</v>
      </c>
      <c r="CF414" s="3">
        <f t="shared" si="43"/>
        <v>0</v>
      </c>
      <c r="CG414" s="17">
        <f t="shared" si="44"/>
        <v>9977</v>
      </c>
      <c r="CH414" s="3" t="str">
        <f t="shared" si="44"/>
        <v>برنامج دولى</v>
      </c>
    </row>
    <row r="415" spans="1:86" x14ac:dyDescent="0.25">
      <c r="A415" s="16">
        <v>45508</v>
      </c>
      <c r="C415" s="25">
        <v>7852</v>
      </c>
      <c r="D415" s="11">
        <v>9978</v>
      </c>
      <c r="E415" s="3" t="s">
        <v>78</v>
      </c>
      <c r="F415" s="3" t="s">
        <v>906</v>
      </c>
      <c r="G415" s="3" t="s">
        <v>220</v>
      </c>
      <c r="H415" s="3">
        <v>13682.5</v>
      </c>
      <c r="U415" s="3"/>
      <c r="V415" s="3"/>
      <c r="AS415" s="22">
        <f t="shared" si="26"/>
        <v>13682.5</v>
      </c>
      <c r="AT415" s="3">
        <v>10260.68</v>
      </c>
      <c r="AU415" s="3">
        <f>30.28+82.3</f>
        <v>112.58</v>
      </c>
      <c r="AV415" s="3">
        <f>2830.4+467</f>
        <v>3297.4</v>
      </c>
      <c r="AW415" s="3">
        <f>6+5.84</f>
        <v>11.84</v>
      </c>
      <c r="BD415" s="3"/>
      <c r="BE415" s="3"/>
      <c r="CE415" s="22">
        <f t="shared" si="42"/>
        <v>13682.5</v>
      </c>
      <c r="CF415" s="3">
        <f t="shared" si="43"/>
        <v>0</v>
      </c>
      <c r="CG415" s="17">
        <f t="shared" si="44"/>
        <v>9978</v>
      </c>
      <c r="CH415" s="3" t="str">
        <f t="shared" si="44"/>
        <v>برنامج دولى</v>
      </c>
    </row>
    <row r="416" spans="1:86" x14ac:dyDescent="0.25">
      <c r="A416" s="16">
        <v>45508</v>
      </c>
      <c r="C416" s="25">
        <v>7855</v>
      </c>
      <c r="D416" s="11">
        <v>9979</v>
      </c>
      <c r="E416" s="3" t="s">
        <v>78</v>
      </c>
      <c r="F416" s="3" t="s">
        <v>906</v>
      </c>
      <c r="G416" s="3" t="s">
        <v>220</v>
      </c>
      <c r="H416" s="3">
        <v>6434.53</v>
      </c>
      <c r="U416" s="3"/>
      <c r="V416" s="3"/>
      <c r="AS416" s="22">
        <f t="shared" si="26"/>
        <v>6434.53</v>
      </c>
      <c r="AT416" s="3">
        <v>4816.6899999999996</v>
      </c>
      <c r="AU416" s="3">
        <v>38.5</v>
      </c>
      <c r="AV416" s="3">
        <f>1331+219.6+23</f>
        <v>1573.6</v>
      </c>
      <c r="AW416" s="3">
        <f>3+2.74</f>
        <v>5.74</v>
      </c>
      <c r="BD416" s="3"/>
      <c r="BE416" s="3"/>
      <c r="CE416" s="22">
        <f t="shared" si="42"/>
        <v>6434.5299999999988</v>
      </c>
      <c r="CF416" s="3">
        <f t="shared" si="43"/>
        <v>0</v>
      </c>
      <c r="CG416" s="17">
        <f t="shared" si="44"/>
        <v>9979</v>
      </c>
      <c r="CH416" s="3" t="str">
        <f t="shared" si="44"/>
        <v>برنامج دولى</v>
      </c>
    </row>
    <row r="417" spans="1:86" x14ac:dyDescent="0.25">
      <c r="A417" s="16">
        <v>45508</v>
      </c>
      <c r="C417" s="25">
        <v>7860</v>
      </c>
      <c r="D417" s="11">
        <v>9980</v>
      </c>
      <c r="E417" s="3" t="s">
        <v>78</v>
      </c>
      <c r="F417" s="3" t="s">
        <v>906</v>
      </c>
      <c r="G417" s="3" t="s">
        <v>220</v>
      </c>
      <c r="H417" s="3">
        <v>12869.06</v>
      </c>
      <c r="U417" s="3"/>
      <c r="V417" s="3"/>
      <c r="AS417" s="22">
        <f t="shared" si="26"/>
        <v>12869.06</v>
      </c>
      <c r="AT417" s="3">
        <v>8472.67</v>
      </c>
      <c r="AU417" s="3">
        <v>66.2</v>
      </c>
      <c r="AV417" s="3">
        <f>2662+439.2</f>
        <v>3101.2</v>
      </c>
      <c r="AW417" s="3">
        <f>56+4.9</f>
        <v>60.9</v>
      </c>
      <c r="AX417" s="3">
        <v>1168.0899999999999</v>
      </c>
      <c r="BD417" s="3"/>
      <c r="BE417" s="3"/>
      <c r="CE417" s="22">
        <f t="shared" si="42"/>
        <v>12869.06</v>
      </c>
      <c r="CF417" s="3">
        <f t="shared" si="43"/>
        <v>0</v>
      </c>
      <c r="CG417" s="17">
        <f t="shared" ref="CG417:CH462" si="45">+D417</f>
        <v>9980</v>
      </c>
      <c r="CH417" s="3" t="str">
        <f t="shared" si="45"/>
        <v>برنامج دولى</v>
      </c>
    </row>
    <row r="418" spans="1:86" x14ac:dyDescent="0.25">
      <c r="A418" s="16">
        <v>45508</v>
      </c>
      <c r="C418" s="25">
        <v>7863</v>
      </c>
      <c r="D418" s="11">
        <v>9981</v>
      </c>
      <c r="E418" s="3" t="s">
        <v>78</v>
      </c>
      <c r="F418" s="3" t="s">
        <v>906</v>
      </c>
      <c r="G418" s="3" t="s">
        <v>220</v>
      </c>
      <c r="H418" s="3">
        <v>26551.58</v>
      </c>
      <c r="U418" s="3"/>
      <c r="V418" s="3"/>
      <c r="AS418" s="22">
        <f t="shared" si="26"/>
        <v>26551.58</v>
      </c>
      <c r="AT418" s="3">
        <v>19939.68</v>
      </c>
      <c r="AU418" s="3">
        <f>30.28+159.7</f>
        <v>189.98</v>
      </c>
      <c r="AV418" s="3">
        <f>5492.4+906.2</f>
        <v>6398.5999999999995</v>
      </c>
      <c r="AW418" s="3">
        <f>12+11.32</f>
        <v>23.32</v>
      </c>
      <c r="BD418" s="3"/>
      <c r="BE418" s="3"/>
      <c r="CE418" s="22">
        <f t="shared" si="42"/>
        <v>26551.579999999998</v>
      </c>
      <c r="CF418" s="3">
        <f t="shared" si="43"/>
        <v>0</v>
      </c>
      <c r="CG418" s="17">
        <f t="shared" si="45"/>
        <v>9981</v>
      </c>
      <c r="CH418" s="3" t="str">
        <f t="shared" si="45"/>
        <v>برنامج دولى</v>
      </c>
    </row>
    <row r="419" spans="1:86" x14ac:dyDescent="0.25">
      <c r="A419" s="16">
        <v>45508</v>
      </c>
      <c r="C419" s="25">
        <v>7853</v>
      </c>
      <c r="D419" s="11">
        <v>9982</v>
      </c>
      <c r="E419" s="3" t="s">
        <v>78</v>
      </c>
      <c r="F419" s="3" t="s">
        <v>906</v>
      </c>
      <c r="G419" s="3" t="s">
        <v>220</v>
      </c>
      <c r="H419" s="3">
        <v>6434.53</v>
      </c>
      <c r="U419" s="3"/>
      <c r="V419" s="3"/>
      <c r="AS419" s="22">
        <f t="shared" si="26"/>
        <v>6434.53</v>
      </c>
      <c r="AT419" s="3">
        <v>4839.49</v>
      </c>
      <c r="AU419" s="3">
        <v>38.700000000000003</v>
      </c>
      <c r="AV419" s="3">
        <f>1331+219.6</f>
        <v>1550.6</v>
      </c>
      <c r="AW419" s="3">
        <f>3+2.74</f>
        <v>5.74</v>
      </c>
      <c r="BD419" s="3"/>
      <c r="BE419" s="3"/>
      <c r="CE419" s="22">
        <f t="shared" si="42"/>
        <v>6434.5299999999988</v>
      </c>
      <c r="CF419" s="3">
        <f t="shared" si="43"/>
        <v>0</v>
      </c>
      <c r="CG419" s="17">
        <f t="shared" si="45"/>
        <v>9982</v>
      </c>
      <c r="CH419" s="3" t="str">
        <f t="shared" si="45"/>
        <v>برنامج دولى</v>
      </c>
    </row>
    <row r="420" spans="1:86" x14ac:dyDescent="0.25">
      <c r="A420" s="16">
        <v>45508</v>
      </c>
      <c r="C420" s="25">
        <v>7854</v>
      </c>
      <c r="D420" s="11">
        <v>9982</v>
      </c>
      <c r="E420" s="3" t="s">
        <v>78</v>
      </c>
      <c r="F420" s="3" t="s">
        <v>906</v>
      </c>
      <c r="G420" s="3" t="s">
        <v>220</v>
      </c>
      <c r="H420" s="3">
        <v>6434.53</v>
      </c>
      <c r="U420" s="3"/>
      <c r="V420" s="3"/>
      <c r="AS420" s="22">
        <f t="shared" si="26"/>
        <v>6434.53</v>
      </c>
      <c r="AT420" s="3">
        <v>4839.49</v>
      </c>
      <c r="AU420" s="3">
        <v>38.700000000000003</v>
      </c>
      <c r="AV420" s="3">
        <f>1331+219.6</f>
        <v>1550.6</v>
      </c>
      <c r="AW420" s="3">
        <f>3+2.74</f>
        <v>5.74</v>
      </c>
      <c r="BD420" s="3"/>
      <c r="BE420" s="3"/>
      <c r="CE420" s="22">
        <f t="shared" si="42"/>
        <v>6434.5299999999988</v>
      </c>
      <c r="CF420" s="3">
        <f t="shared" si="43"/>
        <v>0</v>
      </c>
      <c r="CG420" s="17">
        <f t="shared" si="45"/>
        <v>9982</v>
      </c>
      <c r="CH420" s="3" t="str">
        <f t="shared" si="45"/>
        <v>برنامج دولى</v>
      </c>
    </row>
    <row r="421" spans="1:86" x14ac:dyDescent="0.25">
      <c r="A421" s="16">
        <v>45508</v>
      </c>
      <c r="C421" s="25">
        <v>7856</v>
      </c>
      <c r="D421" s="11">
        <v>9982</v>
      </c>
      <c r="E421" s="3" t="s">
        <v>78</v>
      </c>
      <c r="F421" s="3" t="s">
        <v>906</v>
      </c>
      <c r="G421" s="3" t="s">
        <v>220</v>
      </c>
      <c r="H421" s="3">
        <v>6434.53</v>
      </c>
      <c r="U421" s="3"/>
      <c r="V421" s="3"/>
      <c r="AS421" s="22">
        <f t="shared" si="26"/>
        <v>6434.53</v>
      </c>
      <c r="AT421" s="3">
        <v>3081.49</v>
      </c>
      <c r="AU421" s="3">
        <v>38.700000000000003</v>
      </c>
      <c r="AV421" s="3">
        <f>1331+219.6</f>
        <v>1550.6</v>
      </c>
      <c r="AW421" s="3">
        <f>961+800+2.74</f>
        <v>1763.74</v>
      </c>
      <c r="BD421" s="3"/>
      <c r="BE421" s="3"/>
      <c r="CE421" s="22">
        <f t="shared" si="42"/>
        <v>6434.5299999999988</v>
      </c>
      <c r="CF421" s="3">
        <f t="shared" si="43"/>
        <v>0</v>
      </c>
      <c r="CG421" s="17">
        <f t="shared" si="45"/>
        <v>9982</v>
      </c>
      <c r="CH421" s="3" t="str">
        <f t="shared" si="45"/>
        <v>برنامج دولى</v>
      </c>
    </row>
    <row r="422" spans="1:86" x14ac:dyDescent="0.25">
      <c r="A422" s="16">
        <v>45508</v>
      </c>
      <c r="C422" s="25">
        <v>7867</v>
      </c>
      <c r="D422" s="11">
        <v>9983</v>
      </c>
      <c r="E422" s="3" t="s">
        <v>78</v>
      </c>
      <c r="F422" s="3" t="s">
        <v>906</v>
      </c>
      <c r="G422" s="3" t="s">
        <v>220</v>
      </c>
      <c r="H422" s="3">
        <v>6434.53</v>
      </c>
      <c r="U422" s="3"/>
      <c r="V422" s="3"/>
      <c r="AS422" s="22">
        <f t="shared" si="26"/>
        <v>6434.53</v>
      </c>
      <c r="AT422" s="3">
        <v>4839.49</v>
      </c>
      <c r="AU422" s="3">
        <v>38.700000000000003</v>
      </c>
      <c r="AV422" s="3">
        <f>1331+219.6</f>
        <v>1550.6</v>
      </c>
      <c r="AW422" s="3">
        <f>3+2.74</f>
        <v>5.74</v>
      </c>
      <c r="BD422" s="3"/>
      <c r="BE422" s="3"/>
      <c r="CE422" s="22">
        <f t="shared" si="42"/>
        <v>6434.5299999999988</v>
      </c>
      <c r="CF422" s="3">
        <f t="shared" si="43"/>
        <v>0</v>
      </c>
      <c r="CG422" s="17">
        <f t="shared" si="45"/>
        <v>9983</v>
      </c>
      <c r="CH422" s="3" t="str">
        <f t="shared" si="45"/>
        <v>برنامج دولى</v>
      </c>
    </row>
    <row r="423" spans="1:86" x14ac:dyDescent="0.25">
      <c r="A423" s="16">
        <v>45508</v>
      </c>
      <c r="C423" s="25">
        <v>7851</v>
      </c>
      <c r="D423" s="11">
        <v>9984</v>
      </c>
      <c r="E423" s="3" t="s">
        <v>78</v>
      </c>
      <c r="F423" s="3" t="s">
        <v>906</v>
      </c>
      <c r="G423" s="3" t="s">
        <v>220</v>
      </c>
      <c r="H423" s="3">
        <v>1585462.19</v>
      </c>
      <c r="U423" s="3"/>
      <c r="V423" s="3"/>
      <c r="AS423" s="22">
        <f t="shared" si="26"/>
        <v>1585462.19</v>
      </c>
      <c r="AT423" s="3">
        <v>1169265.83</v>
      </c>
      <c r="AU423" s="3">
        <f>1868.42+9396.95</f>
        <v>11265.37</v>
      </c>
      <c r="AV423" s="3">
        <f>333013+54944.5+12</f>
        <v>387969.5</v>
      </c>
      <c r="AW423" s="3">
        <f>6004.3+670.15</f>
        <v>6674.45</v>
      </c>
      <c r="AX423" s="3">
        <v>8747.86</v>
      </c>
      <c r="AY423" s="3">
        <v>1539.18</v>
      </c>
      <c r="BD423" s="3"/>
      <c r="BE423" s="3"/>
      <c r="CE423" s="22">
        <f t="shared" si="42"/>
        <v>1585462.1900000002</v>
      </c>
      <c r="CF423" s="3">
        <f t="shared" si="43"/>
        <v>0</v>
      </c>
      <c r="CG423" s="17">
        <f t="shared" si="45"/>
        <v>9984</v>
      </c>
      <c r="CH423" s="3" t="str">
        <f t="shared" si="45"/>
        <v>برنامج دولى</v>
      </c>
    </row>
    <row r="424" spans="1:86" x14ac:dyDescent="0.25">
      <c r="A424" s="16">
        <v>45508</v>
      </c>
      <c r="C424" s="25">
        <v>7844</v>
      </c>
      <c r="D424" s="11">
        <v>9985</v>
      </c>
      <c r="E424" s="3" t="s">
        <v>78</v>
      </c>
      <c r="F424" s="3" t="s">
        <v>906</v>
      </c>
      <c r="G424" s="3" t="s">
        <v>220</v>
      </c>
      <c r="H424" s="3">
        <v>6434.53</v>
      </c>
      <c r="U424" s="3"/>
      <c r="V424" s="3"/>
      <c r="AS424" s="22">
        <f t="shared" si="26"/>
        <v>6434.53</v>
      </c>
      <c r="AT424" s="3">
        <v>4787.49</v>
      </c>
      <c r="AU424" s="3">
        <v>38.700000000000003</v>
      </c>
      <c r="AV424" s="3">
        <f>1331+219.6</f>
        <v>1550.6</v>
      </c>
      <c r="AW424" s="3">
        <f>55+2.74</f>
        <v>57.74</v>
      </c>
      <c r="BD424" s="3"/>
      <c r="BE424" s="3"/>
      <c r="CE424" s="22">
        <f t="shared" si="42"/>
        <v>6434.5299999999988</v>
      </c>
      <c r="CF424" s="3">
        <f t="shared" si="43"/>
        <v>0</v>
      </c>
      <c r="CG424" s="17">
        <f t="shared" si="45"/>
        <v>9985</v>
      </c>
      <c r="CH424" s="3" t="str">
        <f t="shared" si="45"/>
        <v>برنامج دولى</v>
      </c>
    </row>
    <row r="425" spans="1:86" x14ac:dyDescent="0.25">
      <c r="A425" s="16">
        <v>45508</v>
      </c>
      <c r="C425" s="25">
        <v>7845</v>
      </c>
      <c r="D425" s="11">
        <v>9985</v>
      </c>
      <c r="E425" s="3" t="s">
        <v>78</v>
      </c>
      <c r="F425" s="3" t="s">
        <v>906</v>
      </c>
      <c r="G425" s="3" t="s">
        <v>220</v>
      </c>
      <c r="H425" s="3">
        <v>6395.9</v>
      </c>
      <c r="U425" s="3"/>
      <c r="V425" s="3"/>
      <c r="AS425" s="22">
        <f t="shared" si="26"/>
        <v>6395.9</v>
      </c>
      <c r="AT425" s="3">
        <v>4810.32</v>
      </c>
      <c r="AU425" s="3">
        <v>38.450000000000003</v>
      </c>
      <c r="AV425" s="3">
        <f>1323.1+218.3</f>
        <v>1541.3999999999999</v>
      </c>
      <c r="AW425" s="3">
        <f>3+2.73</f>
        <v>5.73</v>
      </c>
      <c r="BD425" s="3"/>
      <c r="BE425" s="3"/>
      <c r="CE425" s="22">
        <f t="shared" ref="CE425" si="46">SUM(AT425:CC425)</f>
        <v>6395.8999999999987</v>
      </c>
      <c r="CF425" s="3">
        <f t="shared" si="43"/>
        <v>0</v>
      </c>
      <c r="CG425" s="17">
        <f t="shared" si="45"/>
        <v>9985</v>
      </c>
      <c r="CH425" s="3" t="str">
        <f t="shared" si="45"/>
        <v>برنامج دولى</v>
      </c>
    </row>
    <row r="426" spans="1:86" x14ac:dyDescent="0.25">
      <c r="A426" s="16">
        <v>45508</v>
      </c>
      <c r="C426" s="25">
        <v>7847</v>
      </c>
      <c r="D426" s="11">
        <v>9985</v>
      </c>
      <c r="E426" s="3" t="s">
        <v>78</v>
      </c>
      <c r="F426" s="3" t="s">
        <v>906</v>
      </c>
      <c r="G426" s="3" t="s">
        <v>220</v>
      </c>
      <c r="H426" s="3">
        <v>12869.06</v>
      </c>
      <c r="U426" s="3"/>
      <c r="V426" s="3"/>
      <c r="AS426" s="22">
        <f t="shared" si="26"/>
        <v>12869.06</v>
      </c>
      <c r="AT426" s="3">
        <v>9304.49</v>
      </c>
      <c r="AU426" s="3">
        <v>77.400000000000006</v>
      </c>
      <c r="AV426" s="3">
        <f>2662+439.2</f>
        <v>3101.2</v>
      </c>
      <c r="AW426" s="3">
        <f>380.49+5.48</f>
        <v>385.97</v>
      </c>
      <c r="BD426" s="3"/>
      <c r="BE426" s="3"/>
      <c r="CE426" s="22">
        <f t="shared" ref="CE426" si="47">SUM(AT426:CC426)</f>
        <v>12869.06</v>
      </c>
      <c r="CF426" s="3">
        <f t="shared" si="43"/>
        <v>0</v>
      </c>
      <c r="CG426" s="17">
        <f t="shared" si="45"/>
        <v>9985</v>
      </c>
      <c r="CH426" s="3" t="str">
        <f t="shared" si="45"/>
        <v>برنامج دولى</v>
      </c>
    </row>
    <row r="427" spans="1:86" x14ac:dyDescent="0.25">
      <c r="A427" s="16">
        <v>45508</v>
      </c>
      <c r="C427" s="25">
        <v>7861</v>
      </c>
      <c r="D427" s="11">
        <v>9986</v>
      </c>
      <c r="E427" s="3" t="s">
        <v>78</v>
      </c>
      <c r="F427" s="3" t="s">
        <v>906</v>
      </c>
      <c r="G427" s="3" t="s">
        <v>220</v>
      </c>
      <c r="H427" s="3">
        <v>20117.03</v>
      </c>
      <c r="U427" s="3"/>
      <c r="V427" s="3"/>
      <c r="AS427" s="22">
        <f t="shared" si="26"/>
        <v>20117.03</v>
      </c>
      <c r="AT427" s="3">
        <v>14106.62</v>
      </c>
      <c r="AU427" s="3">
        <f>30.28+111.05</f>
        <v>141.32999999999998</v>
      </c>
      <c r="AV427" s="3">
        <f>4161.4+686.6</f>
        <v>4848</v>
      </c>
      <c r="AW427" s="3">
        <f>13+8.08</f>
        <v>21.08</v>
      </c>
      <c r="AX427" s="3">
        <v>1000</v>
      </c>
      <c r="BD427" s="3"/>
      <c r="BE427" s="3"/>
      <c r="CE427" s="22">
        <f t="shared" si="42"/>
        <v>20117.030000000002</v>
      </c>
      <c r="CF427" s="3">
        <f t="shared" si="43"/>
        <v>0</v>
      </c>
      <c r="CG427" s="17">
        <f t="shared" si="45"/>
        <v>9986</v>
      </c>
      <c r="CH427" s="3" t="str">
        <f t="shared" si="45"/>
        <v>برنامج دولى</v>
      </c>
    </row>
    <row r="428" spans="1:86" x14ac:dyDescent="0.25">
      <c r="A428" s="16">
        <v>45508</v>
      </c>
      <c r="C428" s="25">
        <v>7862</v>
      </c>
      <c r="D428" s="11">
        <v>9986</v>
      </c>
      <c r="E428" s="3" t="s">
        <v>78</v>
      </c>
      <c r="F428" s="3" t="s">
        <v>906</v>
      </c>
      <c r="G428" s="3" t="s">
        <v>220</v>
      </c>
      <c r="H428" s="3">
        <v>6434.53</v>
      </c>
      <c r="U428" s="3"/>
      <c r="V428" s="3"/>
      <c r="AS428" s="22">
        <f t="shared" si="26"/>
        <v>6434.53</v>
      </c>
      <c r="AT428" s="3">
        <v>4668.67</v>
      </c>
      <c r="AU428" s="3">
        <v>38.700000000000003</v>
      </c>
      <c r="AV428" s="3">
        <f>1331+219.6</f>
        <v>1550.6</v>
      </c>
      <c r="AW428" s="3">
        <f>173.82+2.74</f>
        <v>176.56</v>
      </c>
      <c r="BD428" s="3"/>
      <c r="BE428" s="3"/>
      <c r="CE428" s="22">
        <f t="shared" si="42"/>
        <v>6434.53</v>
      </c>
      <c r="CF428" s="3">
        <f t="shared" si="43"/>
        <v>0</v>
      </c>
      <c r="CG428" s="17">
        <f t="shared" si="45"/>
        <v>9986</v>
      </c>
      <c r="CH428" s="3" t="str">
        <f t="shared" si="45"/>
        <v>برنامج دولى</v>
      </c>
    </row>
    <row r="429" spans="1:86" x14ac:dyDescent="0.25">
      <c r="A429" s="16">
        <v>45508</v>
      </c>
      <c r="C429" s="25">
        <v>7864</v>
      </c>
      <c r="D429" s="11">
        <v>9986</v>
      </c>
      <c r="E429" s="3" t="s">
        <v>78</v>
      </c>
      <c r="F429" s="3" t="s">
        <v>906</v>
      </c>
      <c r="G429" s="3" t="s">
        <v>220</v>
      </c>
      <c r="H429" s="3">
        <v>19226.330000000002</v>
      </c>
      <c r="U429" s="3"/>
      <c r="V429" s="3"/>
      <c r="AS429" s="22">
        <f t="shared" si="26"/>
        <v>19226.330000000002</v>
      </c>
      <c r="AT429" s="3">
        <v>14330.13</v>
      </c>
      <c r="AU429" s="3">
        <v>115.6</v>
      </c>
      <c r="AV429" s="3">
        <f>3977.2+656.2</f>
        <v>4633.3999999999996</v>
      </c>
      <c r="AW429" s="3">
        <f>139+8.2</f>
        <v>147.19999999999999</v>
      </c>
      <c r="BD429" s="3"/>
      <c r="BE429" s="3"/>
      <c r="CE429" s="22">
        <f t="shared" si="42"/>
        <v>19226.329999999998</v>
      </c>
      <c r="CF429" s="3">
        <f t="shared" si="43"/>
        <v>0</v>
      </c>
      <c r="CG429" s="17">
        <f t="shared" si="45"/>
        <v>9986</v>
      </c>
      <c r="CH429" s="3" t="str">
        <f t="shared" si="45"/>
        <v>برنامج دولى</v>
      </c>
    </row>
    <row r="430" spans="1:86" x14ac:dyDescent="0.25">
      <c r="A430" s="16">
        <v>45508</v>
      </c>
      <c r="C430" s="25">
        <v>7865</v>
      </c>
      <c r="D430" s="11">
        <v>9986</v>
      </c>
      <c r="E430" s="3" t="s">
        <v>78</v>
      </c>
      <c r="F430" s="3" t="s">
        <v>906</v>
      </c>
      <c r="G430" s="3" t="s">
        <v>220</v>
      </c>
      <c r="H430" s="3">
        <v>6841.25</v>
      </c>
      <c r="U430" s="3"/>
      <c r="V430" s="3"/>
      <c r="AS430" s="22">
        <f t="shared" si="26"/>
        <v>6841.25</v>
      </c>
      <c r="AT430" s="3">
        <v>5128.34</v>
      </c>
      <c r="AU430" s="3">
        <f>15.14+41.15</f>
        <v>56.29</v>
      </c>
      <c r="AV430" s="3">
        <f>1415.2+233.5</f>
        <v>1648.7</v>
      </c>
      <c r="AW430" s="3">
        <f>5+2.92</f>
        <v>7.92</v>
      </c>
      <c r="BD430" s="3"/>
      <c r="BE430" s="3"/>
      <c r="CE430" s="22">
        <f t="shared" si="42"/>
        <v>6841.25</v>
      </c>
      <c r="CF430" s="3">
        <f t="shared" si="43"/>
        <v>0</v>
      </c>
      <c r="CG430" s="17">
        <f t="shared" si="45"/>
        <v>9986</v>
      </c>
      <c r="CH430" s="3" t="str">
        <f t="shared" si="45"/>
        <v>برنامج دولى</v>
      </c>
    </row>
    <row r="431" spans="1:86" x14ac:dyDescent="0.25">
      <c r="A431" s="16">
        <v>45508</v>
      </c>
      <c r="C431" s="25">
        <v>7866</v>
      </c>
      <c r="D431" s="11">
        <v>9986</v>
      </c>
      <c r="E431" s="3" t="s">
        <v>78</v>
      </c>
      <c r="F431" s="3" t="s">
        <v>906</v>
      </c>
      <c r="G431" s="3" t="s">
        <v>220</v>
      </c>
      <c r="H431" s="3">
        <v>6434.53</v>
      </c>
      <c r="U431" s="3"/>
      <c r="V431" s="3"/>
      <c r="AS431" s="22">
        <f t="shared" si="26"/>
        <v>6434.53</v>
      </c>
      <c r="AT431" s="3">
        <v>4839.49</v>
      </c>
      <c r="AU431" s="3">
        <v>38.700000000000003</v>
      </c>
      <c r="AV431" s="3">
        <f>1331+219.6</f>
        <v>1550.6</v>
      </c>
      <c r="AW431" s="3">
        <f>3+2.74</f>
        <v>5.74</v>
      </c>
      <c r="BD431" s="3"/>
      <c r="BE431" s="3"/>
      <c r="CE431" s="22">
        <f t="shared" si="42"/>
        <v>6434.5299999999988</v>
      </c>
      <c r="CF431" s="3">
        <f t="shared" si="43"/>
        <v>0</v>
      </c>
      <c r="CG431" s="17">
        <f t="shared" si="45"/>
        <v>9986</v>
      </c>
      <c r="CH431" s="3" t="str">
        <f t="shared" si="45"/>
        <v>برنامج دولى</v>
      </c>
    </row>
    <row r="432" spans="1:86" x14ac:dyDescent="0.25">
      <c r="A432" s="16">
        <v>45508</v>
      </c>
      <c r="C432" s="25">
        <v>7857</v>
      </c>
      <c r="D432" s="11">
        <v>9987</v>
      </c>
      <c r="E432" s="3" t="s">
        <v>78</v>
      </c>
      <c r="F432" s="3" t="s">
        <v>906</v>
      </c>
      <c r="G432" s="3" t="s">
        <v>220</v>
      </c>
      <c r="H432" s="3">
        <v>26213.94</v>
      </c>
      <c r="U432" s="3"/>
      <c r="V432" s="3"/>
      <c r="AS432" s="22">
        <f t="shared" si="26"/>
        <v>26213.94</v>
      </c>
      <c r="AT432" s="3">
        <v>19700.57</v>
      </c>
      <c r="AU432" s="3">
        <f>15.14+157.65</f>
        <v>172.79000000000002</v>
      </c>
      <c r="AV432" s="3">
        <f>5422.7+894.7</f>
        <v>6317.4</v>
      </c>
      <c r="AW432" s="3">
        <f>12+11.18</f>
        <v>23.18</v>
      </c>
      <c r="BD432" s="3"/>
      <c r="BE432" s="3"/>
      <c r="CE432" s="22">
        <f t="shared" si="42"/>
        <v>26213.940000000002</v>
      </c>
      <c r="CF432" s="3">
        <f t="shared" si="43"/>
        <v>0</v>
      </c>
      <c r="CG432" s="17">
        <f t="shared" si="45"/>
        <v>9987</v>
      </c>
      <c r="CH432" s="3" t="str">
        <f t="shared" si="45"/>
        <v>برنامج دولى</v>
      </c>
    </row>
    <row r="433" spans="1:97" x14ac:dyDescent="0.25">
      <c r="A433" s="16">
        <v>45508</v>
      </c>
      <c r="C433" s="25">
        <v>7858</v>
      </c>
      <c r="D433" s="11">
        <v>9987</v>
      </c>
      <c r="E433" s="3" t="s">
        <v>78</v>
      </c>
      <c r="F433" s="3" t="s">
        <v>906</v>
      </c>
      <c r="G433" s="3" t="s">
        <v>220</v>
      </c>
      <c r="H433" s="3">
        <v>6444.5</v>
      </c>
      <c r="U433" s="3"/>
      <c r="V433" s="3"/>
      <c r="AS433" s="22">
        <f t="shared" si="26"/>
        <v>6444.5</v>
      </c>
      <c r="AT433" s="3">
        <v>3992</v>
      </c>
      <c r="AU433" s="3">
        <v>38.75</v>
      </c>
      <c r="AV433" s="3">
        <f>1333.1+219.9</f>
        <v>1553</v>
      </c>
      <c r="AW433" s="3">
        <f>858+2.75</f>
        <v>860.75</v>
      </c>
      <c r="BD433" s="3"/>
      <c r="BE433" s="3"/>
      <c r="CE433" s="22">
        <f t="shared" si="42"/>
        <v>6444.5</v>
      </c>
      <c r="CF433" s="3">
        <f t="shared" si="43"/>
        <v>0</v>
      </c>
      <c r="CG433" s="17">
        <f t="shared" si="45"/>
        <v>9987</v>
      </c>
      <c r="CH433" s="3" t="str">
        <f t="shared" si="45"/>
        <v>برنامج دولى</v>
      </c>
    </row>
    <row r="434" spans="1:97" x14ac:dyDescent="0.25">
      <c r="A434" s="16">
        <v>45508</v>
      </c>
      <c r="C434" s="25">
        <v>7859</v>
      </c>
      <c r="D434" s="11">
        <v>9987</v>
      </c>
      <c r="E434" s="3" t="s">
        <v>78</v>
      </c>
      <c r="F434" s="3" t="s">
        <v>906</v>
      </c>
      <c r="G434" s="3" t="s">
        <v>220</v>
      </c>
      <c r="H434" s="3">
        <v>6439.23</v>
      </c>
      <c r="U434" s="3"/>
      <c r="V434" s="3"/>
      <c r="AS434" s="22">
        <f t="shared" si="26"/>
        <v>6439.23</v>
      </c>
      <c r="AT434" s="3">
        <v>4732.88</v>
      </c>
      <c r="AU434" s="3">
        <v>38.700000000000003</v>
      </c>
      <c r="AV434" s="3">
        <f>1332.1+219.8</f>
        <v>1551.8999999999999</v>
      </c>
      <c r="AW434" s="3">
        <f>113+2.75</f>
        <v>115.75</v>
      </c>
      <c r="BD434" s="3"/>
      <c r="BE434" s="3"/>
      <c r="CE434" s="22">
        <f t="shared" si="42"/>
        <v>6439.23</v>
      </c>
      <c r="CF434" s="3">
        <f t="shared" si="43"/>
        <v>0</v>
      </c>
      <c r="CG434" s="17">
        <f t="shared" si="45"/>
        <v>9987</v>
      </c>
      <c r="CH434" s="3" t="str">
        <f t="shared" si="45"/>
        <v>برنامج دولى</v>
      </c>
    </row>
    <row r="435" spans="1:97" x14ac:dyDescent="0.25">
      <c r="A435" s="16">
        <v>45508</v>
      </c>
      <c r="C435" s="25">
        <v>7868</v>
      </c>
      <c r="D435" s="11">
        <v>9988</v>
      </c>
      <c r="E435" s="3" t="s">
        <v>78</v>
      </c>
      <c r="F435" s="3" t="s">
        <v>906</v>
      </c>
      <c r="G435" s="3" t="s">
        <v>220</v>
      </c>
      <c r="H435" s="3">
        <v>6841.25</v>
      </c>
      <c r="U435" s="3"/>
      <c r="V435" s="3"/>
      <c r="AS435" s="22">
        <f t="shared" si="26"/>
        <v>6841.25</v>
      </c>
      <c r="AT435" s="3">
        <v>5130.34</v>
      </c>
      <c r="AU435" s="3">
        <f>15.14+41.15</f>
        <v>56.29</v>
      </c>
      <c r="AV435" s="3">
        <f>1415.2+233.5</f>
        <v>1648.7</v>
      </c>
      <c r="AW435" s="3">
        <f>3+2.92</f>
        <v>5.92</v>
      </c>
      <c r="BD435" s="3"/>
      <c r="BE435" s="3"/>
      <c r="CE435" s="22">
        <f t="shared" si="42"/>
        <v>6841.25</v>
      </c>
      <c r="CF435" s="3">
        <f t="shared" si="43"/>
        <v>0</v>
      </c>
      <c r="CG435" s="17">
        <f t="shared" si="45"/>
        <v>9988</v>
      </c>
      <c r="CH435" s="3" t="str">
        <f t="shared" si="45"/>
        <v>برنامج دولى</v>
      </c>
    </row>
    <row r="436" spans="1:97" x14ac:dyDescent="0.25">
      <c r="A436" s="16">
        <v>45508</v>
      </c>
      <c r="C436" s="25">
        <v>7870</v>
      </c>
      <c r="D436" s="11">
        <v>9988</v>
      </c>
      <c r="E436" s="3" t="s">
        <v>78</v>
      </c>
      <c r="F436" s="3" t="s">
        <v>906</v>
      </c>
      <c r="G436" s="3" t="s">
        <v>220</v>
      </c>
      <c r="H436" s="3">
        <v>6843.45</v>
      </c>
      <c r="U436" s="3"/>
      <c r="V436" s="3"/>
      <c r="AS436" s="22">
        <f t="shared" si="26"/>
        <v>6843.45</v>
      </c>
      <c r="AT436" s="3">
        <v>5132</v>
      </c>
      <c r="AU436" s="3">
        <f>15.33+41.2</f>
        <v>56.53</v>
      </c>
      <c r="AV436" s="3">
        <f>1415.5+233.5</f>
        <v>1649</v>
      </c>
      <c r="AW436" s="3">
        <f>3+2.92</f>
        <v>5.92</v>
      </c>
      <c r="BD436" s="3"/>
      <c r="BE436" s="3"/>
      <c r="CE436" s="22">
        <f t="shared" si="42"/>
        <v>6843.45</v>
      </c>
      <c r="CF436" s="3">
        <f t="shared" si="43"/>
        <v>0</v>
      </c>
      <c r="CG436" s="17">
        <f t="shared" si="45"/>
        <v>9988</v>
      </c>
      <c r="CH436" s="3" t="str">
        <f t="shared" si="45"/>
        <v>برنامج دولى</v>
      </c>
    </row>
    <row r="437" spans="1:97" x14ac:dyDescent="0.25">
      <c r="A437" s="16">
        <v>45508</v>
      </c>
      <c r="C437" s="25">
        <v>7869</v>
      </c>
      <c r="D437" s="11">
        <v>9989</v>
      </c>
      <c r="E437" s="3" t="s">
        <v>78</v>
      </c>
      <c r="F437" s="3" t="s">
        <v>906</v>
      </c>
      <c r="G437" s="3" t="s">
        <v>220</v>
      </c>
      <c r="H437" s="3">
        <v>6841.25</v>
      </c>
      <c r="U437" s="3"/>
      <c r="V437" s="3"/>
      <c r="AS437" s="22">
        <f t="shared" si="26"/>
        <v>6841.25</v>
      </c>
      <c r="AT437" s="3">
        <v>5130.34</v>
      </c>
      <c r="AU437" s="3">
        <f>15.14+41.15</f>
        <v>56.29</v>
      </c>
      <c r="AV437" s="3">
        <f>1415.2+233.5</f>
        <v>1648.7</v>
      </c>
      <c r="AW437" s="3">
        <f>3+2.92</f>
        <v>5.92</v>
      </c>
      <c r="BD437" s="3"/>
      <c r="BE437" s="3"/>
      <c r="CE437" s="22">
        <f t="shared" si="42"/>
        <v>6841.25</v>
      </c>
      <c r="CF437" s="3">
        <f t="shared" si="43"/>
        <v>0</v>
      </c>
      <c r="CG437" s="17">
        <f t="shared" si="45"/>
        <v>9989</v>
      </c>
      <c r="CH437" s="3" t="str">
        <f t="shared" si="45"/>
        <v>برنامج دولى</v>
      </c>
    </row>
    <row r="438" spans="1:97" s="29" customFormat="1" x14ac:dyDescent="0.25">
      <c r="A438" s="27"/>
      <c r="B438" s="28"/>
      <c r="C438" s="46"/>
      <c r="D438" s="47"/>
      <c r="F438" s="29" t="s">
        <v>907</v>
      </c>
      <c r="H438" s="29">
        <f>SUM(H401:H437)</f>
        <v>2279014.4799999995</v>
      </c>
      <c r="I438" s="29">
        <f t="shared" ref="I438:BU438" si="48">SUM(I401:I437)</f>
        <v>0</v>
      </c>
      <c r="J438" s="29">
        <f t="shared" si="48"/>
        <v>0</v>
      </c>
      <c r="K438" s="29">
        <f t="shared" si="48"/>
        <v>0</v>
      </c>
      <c r="L438" s="29">
        <f t="shared" si="48"/>
        <v>0</v>
      </c>
      <c r="M438" s="29">
        <f t="shared" si="48"/>
        <v>0</v>
      </c>
      <c r="N438" s="29">
        <f t="shared" si="48"/>
        <v>0</v>
      </c>
      <c r="O438" s="29">
        <f t="shared" si="48"/>
        <v>0</v>
      </c>
      <c r="P438" s="29">
        <f t="shared" si="48"/>
        <v>0</v>
      </c>
      <c r="Q438" s="29">
        <f t="shared" si="48"/>
        <v>0</v>
      </c>
      <c r="R438" s="29">
        <f t="shared" si="48"/>
        <v>0</v>
      </c>
      <c r="S438" s="29">
        <f t="shared" si="48"/>
        <v>0</v>
      </c>
      <c r="T438" s="29">
        <f t="shared" si="48"/>
        <v>0</v>
      </c>
      <c r="U438" s="29">
        <f t="shared" si="48"/>
        <v>0</v>
      </c>
      <c r="V438" s="29">
        <f t="shared" si="48"/>
        <v>0</v>
      </c>
      <c r="W438" s="29">
        <f t="shared" si="48"/>
        <v>0</v>
      </c>
      <c r="X438" s="29">
        <f t="shared" si="48"/>
        <v>0</v>
      </c>
      <c r="Y438" s="29">
        <f t="shared" si="48"/>
        <v>0</v>
      </c>
      <c r="Z438" s="29">
        <f t="shared" si="48"/>
        <v>0</v>
      </c>
      <c r="AA438" s="29">
        <f t="shared" si="48"/>
        <v>0</v>
      </c>
      <c r="AB438" s="29">
        <f t="shared" si="48"/>
        <v>0</v>
      </c>
      <c r="AC438" s="29">
        <f t="shared" si="48"/>
        <v>0</v>
      </c>
      <c r="AD438" s="29">
        <f t="shared" si="48"/>
        <v>0</v>
      </c>
      <c r="AE438" s="29">
        <f t="shared" si="48"/>
        <v>0</v>
      </c>
      <c r="AF438" s="29">
        <f t="shared" si="48"/>
        <v>0</v>
      </c>
      <c r="AG438" s="29">
        <f t="shared" si="48"/>
        <v>0</v>
      </c>
      <c r="AH438" s="29">
        <f t="shared" si="48"/>
        <v>0</v>
      </c>
      <c r="AI438" s="29">
        <f t="shared" si="48"/>
        <v>0</v>
      </c>
      <c r="AJ438" s="29">
        <f t="shared" si="48"/>
        <v>0</v>
      </c>
      <c r="AK438" s="29">
        <f t="shared" si="48"/>
        <v>0</v>
      </c>
      <c r="AL438" s="29">
        <f t="shared" si="48"/>
        <v>0</v>
      </c>
      <c r="AM438" s="29">
        <f t="shared" si="48"/>
        <v>0</v>
      </c>
      <c r="AN438" s="29">
        <f t="shared" si="48"/>
        <v>0</v>
      </c>
      <c r="AO438" s="29">
        <f t="shared" si="48"/>
        <v>0</v>
      </c>
      <c r="AP438" s="29">
        <f t="shared" si="48"/>
        <v>0</v>
      </c>
      <c r="AQ438" s="29">
        <f t="shared" si="48"/>
        <v>0</v>
      </c>
      <c r="AS438" s="29">
        <f t="shared" si="48"/>
        <v>2279014.4799999995</v>
      </c>
      <c r="AT438" s="29">
        <f t="shared" si="48"/>
        <v>1675648.7700000003</v>
      </c>
      <c r="AU438" s="29">
        <f t="shared" si="48"/>
        <v>15789.600000000008</v>
      </c>
      <c r="AV438" s="29">
        <f t="shared" si="48"/>
        <v>556602.39999999979</v>
      </c>
      <c r="AW438" s="29">
        <f t="shared" si="48"/>
        <v>17666.579999999994</v>
      </c>
      <c r="AX438" s="29">
        <f t="shared" si="48"/>
        <v>11694.75</v>
      </c>
      <c r="AY438" s="29">
        <f t="shared" si="48"/>
        <v>1612.38</v>
      </c>
      <c r="AZ438" s="29">
        <f t="shared" si="48"/>
        <v>0</v>
      </c>
      <c r="BA438" s="29">
        <f t="shared" si="48"/>
        <v>0</v>
      </c>
      <c r="BB438" s="29">
        <f t="shared" si="48"/>
        <v>0</v>
      </c>
      <c r="BC438" s="29">
        <f t="shared" si="48"/>
        <v>0</v>
      </c>
      <c r="BD438" s="29">
        <f t="shared" si="48"/>
        <v>0</v>
      </c>
      <c r="BE438" s="29">
        <f t="shared" si="48"/>
        <v>0</v>
      </c>
      <c r="BF438" s="29">
        <f t="shared" si="48"/>
        <v>0</v>
      </c>
      <c r="BG438" s="29">
        <f t="shared" si="48"/>
        <v>0</v>
      </c>
      <c r="BH438" s="29">
        <f t="shared" si="48"/>
        <v>0</v>
      </c>
      <c r="BI438" s="29">
        <f t="shared" si="48"/>
        <v>0</v>
      </c>
      <c r="BJ438" s="29">
        <f t="shared" si="48"/>
        <v>0</v>
      </c>
      <c r="BK438" s="29">
        <f t="shared" si="48"/>
        <v>0</v>
      </c>
      <c r="BL438" s="29">
        <f t="shared" si="48"/>
        <v>0</v>
      </c>
      <c r="BM438" s="29">
        <f t="shared" si="48"/>
        <v>0</v>
      </c>
      <c r="BN438" s="29">
        <f t="shared" si="48"/>
        <v>0</v>
      </c>
      <c r="BO438" s="29">
        <f t="shared" si="48"/>
        <v>0</v>
      </c>
      <c r="BP438" s="29">
        <f t="shared" si="48"/>
        <v>0</v>
      </c>
      <c r="BQ438" s="29">
        <f t="shared" si="48"/>
        <v>0</v>
      </c>
      <c r="BR438" s="29">
        <f t="shared" si="48"/>
        <v>0</v>
      </c>
      <c r="BS438" s="29">
        <f t="shared" si="48"/>
        <v>0</v>
      </c>
      <c r="BT438" s="29">
        <f t="shared" si="48"/>
        <v>0</v>
      </c>
      <c r="BU438" s="29">
        <f t="shared" si="48"/>
        <v>0</v>
      </c>
      <c r="BV438" s="29">
        <f t="shared" ref="BV438:CS438" si="49">SUM(BV401:BV437)</f>
        <v>0</v>
      </c>
      <c r="BW438" s="29">
        <f t="shared" si="49"/>
        <v>0</v>
      </c>
      <c r="BX438" s="29">
        <f t="shared" si="49"/>
        <v>0</v>
      </c>
      <c r="BY438" s="29">
        <f t="shared" si="49"/>
        <v>0</v>
      </c>
      <c r="BZ438" s="29">
        <f t="shared" si="49"/>
        <v>0</v>
      </c>
      <c r="CA438" s="29">
        <f t="shared" si="49"/>
        <v>0</v>
      </c>
      <c r="CB438" s="29">
        <f t="shared" si="49"/>
        <v>0</v>
      </c>
      <c r="CC438" s="29">
        <f t="shared" si="49"/>
        <v>0</v>
      </c>
      <c r="CE438" s="29">
        <f t="shared" si="49"/>
        <v>2279014.4799999995</v>
      </c>
      <c r="CF438" s="29">
        <f t="shared" si="49"/>
        <v>0</v>
      </c>
      <c r="CH438" s="29">
        <f t="shared" si="49"/>
        <v>0</v>
      </c>
      <c r="CI438" s="29">
        <f t="shared" si="49"/>
        <v>0</v>
      </c>
      <c r="CJ438" s="29">
        <f t="shared" si="49"/>
        <v>0</v>
      </c>
      <c r="CK438" s="29">
        <f t="shared" si="49"/>
        <v>0</v>
      </c>
      <c r="CL438" s="29">
        <f t="shared" si="49"/>
        <v>0</v>
      </c>
      <c r="CM438" s="29">
        <f t="shared" si="49"/>
        <v>0</v>
      </c>
      <c r="CN438" s="29">
        <f t="shared" si="49"/>
        <v>0</v>
      </c>
      <c r="CO438" s="29">
        <f t="shared" si="49"/>
        <v>0</v>
      </c>
      <c r="CP438" s="29">
        <f t="shared" si="49"/>
        <v>0</v>
      </c>
      <c r="CQ438" s="29">
        <f t="shared" si="49"/>
        <v>0</v>
      </c>
      <c r="CR438" s="29">
        <f t="shared" si="49"/>
        <v>0</v>
      </c>
      <c r="CS438" s="29">
        <f t="shared" si="49"/>
        <v>0</v>
      </c>
    </row>
    <row r="439" spans="1:97" x14ac:dyDescent="0.25">
      <c r="A439" s="16" t="s">
        <v>908</v>
      </c>
      <c r="C439" s="49">
        <v>8387</v>
      </c>
      <c r="D439" s="50">
        <v>9990</v>
      </c>
      <c r="E439" s="3" t="s">
        <v>121</v>
      </c>
      <c r="F439" s="3" t="s">
        <v>906</v>
      </c>
      <c r="G439" s="3" t="s">
        <v>220</v>
      </c>
      <c r="H439" s="3">
        <v>140643.03</v>
      </c>
      <c r="U439" s="3"/>
      <c r="V439" s="3"/>
      <c r="AS439" s="22">
        <f>SUM(H439:AQ439)</f>
        <v>140643.03</v>
      </c>
      <c r="AT439" s="3">
        <v>81336.56</v>
      </c>
      <c r="AU439" s="3">
        <v>800.55</v>
      </c>
      <c r="AV439" s="3">
        <f>29093+4800</f>
        <v>33893</v>
      </c>
      <c r="AW439" s="3">
        <f>461.05+47.9</f>
        <v>508.95</v>
      </c>
      <c r="AX439" s="3">
        <f>13750+10350</f>
        <v>24100</v>
      </c>
      <c r="BD439" s="3"/>
      <c r="BE439" s="3"/>
      <c r="CC439" s="3">
        <v>3.97</v>
      </c>
      <c r="CE439" s="22">
        <f>SUM(AT439:CC439)</f>
        <v>140643.03</v>
      </c>
      <c r="CF439" s="3">
        <f>+CE439-AS439</f>
        <v>0</v>
      </c>
      <c r="CG439" s="17">
        <f>+D439</f>
        <v>9990</v>
      </c>
      <c r="CH439" s="3" t="str">
        <f>+E439</f>
        <v>ماليزى اسنان</v>
      </c>
    </row>
    <row r="440" spans="1:97" x14ac:dyDescent="0.25">
      <c r="A440" s="16" t="s">
        <v>908</v>
      </c>
      <c r="C440" s="49">
        <v>8388</v>
      </c>
      <c r="D440" s="50">
        <v>9991</v>
      </c>
      <c r="E440" s="3" t="s">
        <v>121</v>
      </c>
      <c r="F440" s="3" t="s">
        <v>906</v>
      </c>
      <c r="G440" s="3" t="s">
        <v>220</v>
      </c>
      <c r="H440" s="3">
        <v>6269.65</v>
      </c>
      <c r="U440" s="3"/>
      <c r="V440" s="3"/>
      <c r="AS440" s="22">
        <f>SUM(H440:AQ440)</f>
        <v>6269.65</v>
      </c>
      <c r="AT440" s="3">
        <v>3617.53</v>
      </c>
      <c r="AU440" s="3">
        <v>36.1</v>
      </c>
      <c r="AV440" s="3">
        <f>1296.9+214</f>
        <v>1510.9</v>
      </c>
      <c r="AW440" s="3">
        <f>3+2.12</f>
        <v>5.12</v>
      </c>
      <c r="AX440" s="3">
        <f>650+450</f>
        <v>1100</v>
      </c>
      <c r="BD440" s="3"/>
      <c r="BE440" s="3"/>
      <c r="CE440" s="22">
        <f>SUM(AT440:CC440)</f>
        <v>6269.6500000000005</v>
      </c>
      <c r="CF440" s="3">
        <f>+CE440-AS440</f>
        <v>0</v>
      </c>
      <c r="CG440" s="17">
        <f>+D440</f>
        <v>9991</v>
      </c>
      <c r="CH440" s="3" t="str">
        <f>+E440</f>
        <v>ماليزى اسنان</v>
      </c>
    </row>
    <row r="441" spans="1:97" x14ac:dyDescent="0.25">
      <c r="A441" s="16" t="s">
        <v>908</v>
      </c>
      <c r="C441" s="49">
        <v>8379</v>
      </c>
      <c r="D441" s="50">
        <v>9992</v>
      </c>
      <c r="E441" s="3" t="s">
        <v>121</v>
      </c>
      <c r="F441" s="3" t="s">
        <v>906</v>
      </c>
      <c r="G441" s="3" t="s">
        <v>220</v>
      </c>
      <c r="H441" s="3">
        <v>6400.85</v>
      </c>
      <c r="U441" s="3"/>
      <c r="V441" s="3"/>
      <c r="AS441" s="22">
        <f>SUM(H441:AQ441)</f>
        <v>6400.85</v>
      </c>
      <c r="AT441" s="3">
        <v>4635.71</v>
      </c>
      <c r="AU441" s="3">
        <v>38.5</v>
      </c>
      <c r="AV441" s="3">
        <f>1324+218.4</f>
        <v>1542.4</v>
      </c>
      <c r="AW441" s="3">
        <f>179.72+2.73</f>
        <v>182.45</v>
      </c>
      <c r="BD441" s="3"/>
      <c r="BE441" s="3"/>
      <c r="CC441" s="3">
        <v>1.79</v>
      </c>
      <c r="CE441" s="22">
        <f t="shared" ref="CE441" si="50">SUM(AT441:CC441)</f>
        <v>6400.85</v>
      </c>
      <c r="CF441" s="3">
        <f t="shared" ref="CF441" si="51">+CE441-AS441</f>
        <v>0</v>
      </c>
      <c r="CG441" s="17">
        <f t="shared" ref="CG441:CH441" si="52">+D441</f>
        <v>9992</v>
      </c>
      <c r="CH441" s="3" t="str">
        <f t="shared" si="52"/>
        <v>ماليزى اسنان</v>
      </c>
    </row>
    <row r="442" spans="1:97" x14ac:dyDescent="0.25">
      <c r="A442" s="16" t="s">
        <v>908</v>
      </c>
      <c r="C442" s="49">
        <v>8378</v>
      </c>
      <c r="D442" s="50">
        <v>9992</v>
      </c>
      <c r="E442" s="3" t="s">
        <v>121</v>
      </c>
      <c r="F442" s="3" t="s">
        <v>906</v>
      </c>
      <c r="G442" s="3" t="s">
        <v>220</v>
      </c>
      <c r="H442" s="3">
        <v>13240.8</v>
      </c>
      <c r="U442" s="3"/>
      <c r="V442" s="3"/>
      <c r="AS442" s="22">
        <f>SUM(H442:AQ442)</f>
        <v>13240.8</v>
      </c>
      <c r="AT442" s="3">
        <v>9633.06</v>
      </c>
      <c r="AU442" s="3">
        <v>79.5</v>
      </c>
      <c r="AV442" s="3">
        <f>2739+451.9+16</f>
        <v>3206.9</v>
      </c>
      <c r="AW442" s="3">
        <f>314.83+5.64</f>
        <v>320.46999999999997</v>
      </c>
      <c r="BD442" s="3"/>
      <c r="BE442" s="3"/>
      <c r="CC442" s="3">
        <v>0.87</v>
      </c>
      <c r="CE442" s="22">
        <f>SUM(AT442:CC442)</f>
        <v>13240.8</v>
      </c>
      <c r="CF442" s="3">
        <f>+CE442-AS442</f>
        <v>0</v>
      </c>
      <c r="CG442" s="17">
        <f>+D442</f>
        <v>9992</v>
      </c>
      <c r="CH442" s="3" t="str">
        <f>+E442</f>
        <v>ماليزى اسنان</v>
      </c>
    </row>
    <row r="443" spans="1:97" x14ac:dyDescent="0.25">
      <c r="A443" s="16" t="s">
        <v>908</v>
      </c>
      <c r="C443" s="49">
        <v>8380</v>
      </c>
      <c r="D443" s="50">
        <v>9993</v>
      </c>
      <c r="E443" s="3" t="s">
        <v>121</v>
      </c>
      <c r="F443" s="3" t="s">
        <v>906</v>
      </c>
      <c r="G443" s="3" t="s">
        <v>220</v>
      </c>
      <c r="H443" s="3">
        <v>353635.96</v>
      </c>
      <c r="U443" s="3"/>
      <c r="V443" s="3"/>
      <c r="AS443" s="22">
        <f>SUM(H443:AQ443)</f>
        <v>353635.96</v>
      </c>
      <c r="AT443" s="3">
        <v>264061.2</v>
      </c>
      <c r="AU443" s="3">
        <f>260+2124.65</f>
        <v>2384.65</v>
      </c>
      <c r="AV443" s="3">
        <f>73154.9+12070.4</f>
        <v>85225.299999999988</v>
      </c>
      <c r="AW443" s="3">
        <f>1460.01+150.6</f>
        <v>1610.61</v>
      </c>
      <c r="AY443" s="3">
        <v>64.150000000000006</v>
      </c>
      <c r="BD443" s="3"/>
      <c r="BE443" s="3"/>
      <c r="CC443" s="3">
        <f>13.11+276.94</f>
        <v>290.05</v>
      </c>
      <c r="CE443" s="22">
        <f>SUM(AT443:CC443)</f>
        <v>353635.96</v>
      </c>
      <c r="CF443" s="3">
        <f>+CE443-AS443</f>
        <v>0</v>
      </c>
      <c r="CG443" s="17">
        <f>+D443</f>
        <v>9993</v>
      </c>
      <c r="CH443" s="3" t="str">
        <f>+E443</f>
        <v>ماليزى اسنان</v>
      </c>
    </row>
    <row r="444" spans="1:97" x14ac:dyDescent="0.25">
      <c r="A444" s="16" t="s">
        <v>908</v>
      </c>
      <c r="C444" s="49">
        <v>8381</v>
      </c>
      <c r="D444" s="50">
        <v>9994</v>
      </c>
      <c r="E444" s="3" t="s">
        <v>121</v>
      </c>
      <c r="F444" s="3" t="s">
        <v>906</v>
      </c>
      <c r="G444" s="3" t="s">
        <v>220</v>
      </c>
      <c r="H444" s="3">
        <v>13608.39</v>
      </c>
      <c r="U444" s="3"/>
      <c r="V444" s="3"/>
      <c r="AS444" s="22">
        <f t="shared" si="26"/>
        <v>13608.39</v>
      </c>
      <c r="AT444" s="3">
        <v>10210.89</v>
      </c>
      <c r="AU444" s="3">
        <f>24.75+81.85</f>
        <v>106.6</v>
      </c>
      <c r="AV444" s="3">
        <f>2814.8+464.3</f>
        <v>3279.1000000000004</v>
      </c>
      <c r="AW444" s="3">
        <f>6+5.8</f>
        <v>11.8</v>
      </c>
      <c r="BD444" s="3"/>
      <c r="BE444" s="3"/>
      <c r="CE444" s="22">
        <f t="shared" si="42"/>
        <v>13608.39</v>
      </c>
      <c r="CF444" s="3">
        <f t="shared" si="43"/>
        <v>0</v>
      </c>
      <c r="CG444" s="17">
        <f t="shared" si="45"/>
        <v>9994</v>
      </c>
      <c r="CH444" s="3" t="str">
        <f>+E444</f>
        <v>ماليزى اسنان</v>
      </c>
    </row>
    <row r="445" spans="1:97" x14ac:dyDescent="0.25">
      <c r="A445" s="16" t="s">
        <v>908</v>
      </c>
      <c r="C445" s="49">
        <v>8383</v>
      </c>
      <c r="D445" s="50">
        <v>9995</v>
      </c>
      <c r="E445" s="3" t="s">
        <v>121</v>
      </c>
      <c r="F445" s="3" t="s">
        <v>906</v>
      </c>
      <c r="G445" s="3" t="s">
        <v>220</v>
      </c>
      <c r="H445" s="3">
        <v>6367.87</v>
      </c>
      <c r="U445" s="3"/>
      <c r="V445" s="3"/>
      <c r="AS445" s="22">
        <f t="shared" si="26"/>
        <v>6367.87</v>
      </c>
      <c r="AT445" s="3">
        <v>4789.1499999999996</v>
      </c>
      <c r="AU445" s="3">
        <v>38.299999999999997</v>
      </c>
      <c r="AV445" s="3">
        <f>1317.3+217.4</f>
        <v>1534.7</v>
      </c>
      <c r="AW445" s="3">
        <f>3+2.72</f>
        <v>5.7200000000000006</v>
      </c>
      <c r="BD445" s="3"/>
      <c r="BE445" s="3"/>
      <c r="CE445" s="22">
        <f t="shared" ref="CE445:CE449" si="53">SUM(AT445:CC445)</f>
        <v>6367.87</v>
      </c>
      <c r="CF445" s="3">
        <f t="shared" si="43"/>
        <v>0</v>
      </c>
      <c r="CG445" s="17">
        <f t="shared" si="45"/>
        <v>9995</v>
      </c>
      <c r="CH445" s="3" t="str">
        <f t="shared" si="45"/>
        <v>ماليزى اسنان</v>
      </c>
    </row>
    <row r="446" spans="1:97" x14ac:dyDescent="0.25">
      <c r="A446" s="16" t="s">
        <v>908</v>
      </c>
      <c r="C446" s="49">
        <v>8382</v>
      </c>
      <c r="D446" s="50">
        <v>9995</v>
      </c>
      <c r="E446" s="3" t="s">
        <v>121</v>
      </c>
      <c r="F446" s="3" t="s">
        <v>906</v>
      </c>
      <c r="G446" s="3" t="s">
        <v>220</v>
      </c>
      <c r="H446" s="3">
        <v>6367.87</v>
      </c>
      <c r="U446" s="3"/>
      <c r="V446" s="3"/>
      <c r="AS446" s="22">
        <f t="shared" si="26"/>
        <v>6367.87</v>
      </c>
      <c r="AT446" s="3">
        <v>4702.1499999999996</v>
      </c>
      <c r="AU446" s="3">
        <v>38.299999999999997</v>
      </c>
      <c r="AV446" s="3">
        <f>1317.3+217.4</f>
        <v>1534.7</v>
      </c>
      <c r="AW446" s="3">
        <f>89.13+2.72</f>
        <v>91.85</v>
      </c>
      <c r="BD446" s="3"/>
      <c r="BE446" s="3"/>
      <c r="CC446" s="3">
        <v>0.87</v>
      </c>
      <c r="CE446" s="22">
        <f t="shared" si="53"/>
        <v>6367.87</v>
      </c>
      <c r="CF446" s="3">
        <f t="shared" si="43"/>
        <v>0</v>
      </c>
      <c r="CG446" s="17">
        <f t="shared" si="45"/>
        <v>9995</v>
      </c>
      <c r="CH446" s="3" t="str">
        <f t="shared" si="45"/>
        <v>ماليزى اسنان</v>
      </c>
    </row>
    <row r="447" spans="1:97" x14ac:dyDescent="0.25">
      <c r="A447" s="16" t="s">
        <v>908</v>
      </c>
      <c r="C447" s="49">
        <v>8384</v>
      </c>
      <c r="D447" s="50">
        <v>9995</v>
      </c>
      <c r="E447" s="3" t="s">
        <v>121</v>
      </c>
      <c r="F447" s="3" t="s">
        <v>906</v>
      </c>
      <c r="G447" s="3" t="s">
        <v>220</v>
      </c>
      <c r="H447" s="3">
        <v>12782.46</v>
      </c>
      <c r="U447" s="3"/>
      <c r="V447" s="3"/>
      <c r="AS447" s="22">
        <f t="shared" si="26"/>
        <v>12782.46</v>
      </c>
      <c r="AT447" s="3">
        <v>9395.85</v>
      </c>
      <c r="AU447" s="3">
        <v>76.849999999999994</v>
      </c>
      <c r="AV447" s="3">
        <f>2644.4+436.4</f>
        <v>3080.8</v>
      </c>
      <c r="AW447" s="3">
        <f>221.33+5.45</f>
        <v>226.78</v>
      </c>
      <c r="BD447" s="3"/>
      <c r="BE447" s="3"/>
      <c r="CC447" s="3">
        <v>2.1800000000000002</v>
      </c>
      <c r="CE447" s="22">
        <f t="shared" si="53"/>
        <v>12782.460000000001</v>
      </c>
      <c r="CF447" s="3">
        <f t="shared" si="43"/>
        <v>0</v>
      </c>
      <c r="CG447" s="17">
        <f t="shared" si="45"/>
        <v>9995</v>
      </c>
      <c r="CH447" s="3" t="str">
        <f t="shared" si="45"/>
        <v>ماليزى اسنان</v>
      </c>
    </row>
    <row r="448" spans="1:97" x14ac:dyDescent="0.25">
      <c r="A448" s="16" t="s">
        <v>908</v>
      </c>
      <c r="C448" s="49">
        <v>8385</v>
      </c>
      <c r="D448" s="50">
        <v>9996</v>
      </c>
      <c r="E448" s="3" t="s">
        <v>121</v>
      </c>
      <c r="F448" s="3" t="s">
        <v>906</v>
      </c>
      <c r="G448" s="3" t="s">
        <v>220</v>
      </c>
      <c r="H448" s="3">
        <v>6367.87</v>
      </c>
      <c r="U448" s="3"/>
      <c r="V448" s="3"/>
      <c r="AS448" s="22">
        <f t="shared" si="26"/>
        <v>6367.87</v>
      </c>
      <c r="AT448" s="3">
        <v>4789.1499999999996</v>
      </c>
      <c r="AU448" s="3">
        <v>38.299999999999997</v>
      </c>
      <c r="AV448" s="3">
        <f>1317.3+217.4</f>
        <v>1534.7</v>
      </c>
      <c r="AW448" s="3">
        <f>3+2.72</f>
        <v>5.7200000000000006</v>
      </c>
      <c r="BD448" s="3"/>
      <c r="BE448" s="3"/>
      <c r="CE448" s="22">
        <f t="shared" si="53"/>
        <v>6367.87</v>
      </c>
      <c r="CF448" s="3">
        <f t="shared" si="43"/>
        <v>0</v>
      </c>
      <c r="CG448" s="17">
        <f t="shared" si="45"/>
        <v>9996</v>
      </c>
      <c r="CH448" s="3" t="str">
        <f t="shared" si="45"/>
        <v>ماليزى اسنان</v>
      </c>
    </row>
    <row r="449" spans="1:88" x14ac:dyDescent="0.25">
      <c r="A449" s="16" t="s">
        <v>908</v>
      </c>
      <c r="C449" s="49">
        <v>8386</v>
      </c>
      <c r="D449" s="50">
        <v>9997</v>
      </c>
      <c r="E449" s="3" t="s">
        <v>121</v>
      </c>
      <c r="F449" s="3" t="s">
        <v>906</v>
      </c>
      <c r="G449" s="3" t="s">
        <v>220</v>
      </c>
      <c r="H449" s="3">
        <v>45635.65</v>
      </c>
      <c r="U449" s="3"/>
      <c r="V449" s="3"/>
      <c r="AS449" s="22">
        <f t="shared" si="26"/>
        <v>45635.65</v>
      </c>
      <c r="AT449" s="3">
        <v>34302.01</v>
      </c>
      <c r="AU449" s="3">
        <f>20.69+274.4</f>
        <v>295.08999999999997</v>
      </c>
      <c r="AV449" s="3">
        <f>9440.3+1557.8</f>
        <v>10998.099999999999</v>
      </c>
      <c r="AW449" s="3">
        <f>21+19.45</f>
        <v>40.450000000000003</v>
      </c>
      <c r="BD449" s="3"/>
      <c r="BE449" s="3"/>
      <c r="CE449" s="22">
        <f t="shared" si="53"/>
        <v>45635.649999999994</v>
      </c>
      <c r="CF449" s="3">
        <f t="shared" si="43"/>
        <v>0</v>
      </c>
      <c r="CG449" s="17">
        <f t="shared" si="45"/>
        <v>9997</v>
      </c>
      <c r="CH449" s="3" t="str">
        <f t="shared" si="45"/>
        <v>ماليزى اسنان</v>
      </c>
    </row>
    <row r="450" spans="1:88" s="29" customFormat="1" x14ac:dyDescent="0.25">
      <c r="A450" s="27"/>
      <c r="B450" s="28"/>
      <c r="C450" s="46"/>
      <c r="D450" s="47"/>
      <c r="F450" s="29" t="s">
        <v>909</v>
      </c>
      <c r="H450" s="29">
        <f>SUM(H439:H449)</f>
        <v>611320.4</v>
      </c>
      <c r="I450" s="29">
        <f t="shared" ref="I450:BU450" si="54">SUM(I439:I449)</f>
        <v>0</v>
      </c>
      <c r="J450" s="29">
        <f t="shared" si="54"/>
        <v>0</v>
      </c>
      <c r="K450" s="29">
        <f t="shared" si="54"/>
        <v>0</v>
      </c>
      <c r="L450" s="29">
        <f t="shared" si="54"/>
        <v>0</v>
      </c>
      <c r="M450" s="29">
        <f t="shared" si="54"/>
        <v>0</v>
      </c>
      <c r="N450" s="29">
        <f t="shared" si="54"/>
        <v>0</v>
      </c>
      <c r="O450" s="29">
        <f t="shared" si="54"/>
        <v>0</v>
      </c>
      <c r="P450" s="29">
        <f t="shared" si="54"/>
        <v>0</v>
      </c>
      <c r="Q450" s="29">
        <f t="shared" si="54"/>
        <v>0</v>
      </c>
      <c r="R450" s="29">
        <f t="shared" si="54"/>
        <v>0</v>
      </c>
      <c r="S450" s="29">
        <f t="shared" si="54"/>
        <v>0</v>
      </c>
      <c r="T450" s="29">
        <f t="shared" si="54"/>
        <v>0</v>
      </c>
      <c r="U450" s="29">
        <f t="shared" si="54"/>
        <v>0</v>
      </c>
      <c r="V450" s="29">
        <f t="shared" si="54"/>
        <v>0</v>
      </c>
      <c r="W450" s="29">
        <f t="shared" si="54"/>
        <v>0</v>
      </c>
      <c r="X450" s="29">
        <f t="shared" si="54"/>
        <v>0</v>
      </c>
      <c r="Y450" s="29">
        <f t="shared" si="54"/>
        <v>0</v>
      </c>
      <c r="Z450" s="29">
        <f t="shared" si="54"/>
        <v>0</v>
      </c>
      <c r="AA450" s="29">
        <f t="shared" si="54"/>
        <v>0</v>
      </c>
      <c r="AB450" s="29">
        <f t="shared" si="54"/>
        <v>0</v>
      </c>
      <c r="AC450" s="29">
        <f t="shared" si="54"/>
        <v>0</v>
      </c>
      <c r="AD450" s="29">
        <f t="shared" si="54"/>
        <v>0</v>
      </c>
      <c r="AE450" s="29">
        <f t="shared" si="54"/>
        <v>0</v>
      </c>
      <c r="AF450" s="29">
        <f t="shared" si="54"/>
        <v>0</v>
      </c>
      <c r="AG450" s="29">
        <f t="shared" si="54"/>
        <v>0</v>
      </c>
      <c r="AH450" s="29">
        <f t="shared" si="54"/>
        <v>0</v>
      </c>
      <c r="AI450" s="29">
        <f t="shared" si="54"/>
        <v>0</v>
      </c>
      <c r="AJ450" s="29">
        <f t="shared" si="54"/>
        <v>0</v>
      </c>
      <c r="AK450" s="29">
        <f t="shared" si="54"/>
        <v>0</v>
      </c>
      <c r="AL450" s="29">
        <f t="shared" si="54"/>
        <v>0</v>
      </c>
      <c r="AM450" s="29">
        <f t="shared" si="54"/>
        <v>0</v>
      </c>
      <c r="AN450" s="29">
        <f t="shared" si="54"/>
        <v>0</v>
      </c>
      <c r="AO450" s="29">
        <f t="shared" si="54"/>
        <v>0</v>
      </c>
      <c r="AP450" s="29">
        <f t="shared" si="54"/>
        <v>0</v>
      </c>
      <c r="AQ450" s="29">
        <f t="shared" si="54"/>
        <v>0</v>
      </c>
      <c r="AS450" s="29">
        <f t="shared" si="54"/>
        <v>611320.4</v>
      </c>
      <c r="AT450" s="29">
        <f t="shared" si="54"/>
        <v>431473.26000000007</v>
      </c>
      <c r="AU450" s="29">
        <f t="shared" si="54"/>
        <v>3932.7400000000007</v>
      </c>
      <c r="AV450" s="29">
        <f t="shared" si="54"/>
        <v>147340.6</v>
      </c>
      <c r="AW450" s="29">
        <f t="shared" si="54"/>
        <v>3009.9199999999996</v>
      </c>
      <c r="AX450" s="29">
        <f t="shared" si="54"/>
        <v>25200</v>
      </c>
      <c r="AY450" s="29">
        <f t="shared" si="54"/>
        <v>64.150000000000006</v>
      </c>
      <c r="AZ450" s="29">
        <f t="shared" si="54"/>
        <v>0</v>
      </c>
      <c r="BA450" s="29">
        <f t="shared" si="54"/>
        <v>0</v>
      </c>
      <c r="BB450" s="29">
        <f t="shared" si="54"/>
        <v>0</v>
      </c>
      <c r="BC450" s="29">
        <f t="shared" si="54"/>
        <v>0</v>
      </c>
      <c r="BD450" s="29">
        <f t="shared" si="54"/>
        <v>0</v>
      </c>
      <c r="BE450" s="29">
        <f t="shared" si="54"/>
        <v>0</v>
      </c>
      <c r="BF450" s="29">
        <f t="shared" si="54"/>
        <v>0</v>
      </c>
      <c r="BG450" s="29">
        <f t="shared" si="54"/>
        <v>0</v>
      </c>
      <c r="BH450" s="29">
        <f t="shared" si="54"/>
        <v>0</v>
      </c>
      <c r="BI450" s="29">
        <f t="shared" si="54"/>
        <v>0</v>
      </c>
      <c r="BJ450" s="29">
        <f t="shared" si="54"/>
        <v>0</v>
      </c>
      <c r="BK450" s="29">
        <f t="shared" si="54"/>
        <v>0</v>
      </c>
      <c r="BL450" s="29">
        <f t="shared" si="54"/>
        <v>0</v>
      </c>
      <c r="BM450" s="29">
        <f t="shared" si="54"/>
        <v>0</v>
      </c>
      <c r="BN450" s="29">
        <f t="shared" si="54"/>
        <v>0</v>
      </c>
      <c r="BO450" s="29">
        <f t="shared" si="54"/>
        <v>0</v>
      </c>
      <c r="BP450" s="29">
        <f t="shared" si="54"/>
        <v>0</v>
      </c>
      <c r="BQ450" s="29">
        <f t="shared" si="54"/>
        <v>0</v>
      </c>
      <c r="BR450" s="29">
        <f t="shared" si="54"/>
        <v>0</v>
      </c>
      <c r="BS450" s="29">
        <f t="shared" si="54"/>
        <v>0</v>
      </c>
      <c r="BT450" s="29">
        <f t="shared" si="54"/>
        <v>0</v>
      </c>
      <c r="BU450" s="29">
        <f t="shared" si="54"/>
        <v>0</v>
      </c>
      <c r="BV450" s="29">
        <f t="shared" ref="BV450:CI450" si="55">SUM(BV439:BV449)</f>
        <v>0</v>
      </c>
      <c r="BW450" s="29">
        <f t="shared" si="55"/>
        <v>0</v>
      </c>
      <c r="BX450" s="29">
        <f t="shared" si="55"/>
        <v>0</v>
      </c>
      <c r="BY450" s="29">
        <f t="shared" si="55"/>
        <v>0</v>
      </c>
      <c r="BZ450" s="29">
        <f t="shared" si="55"/>
        <v>0</v>
      </c>
      <c r="CA450" s="29">
        <f t="shared" si="55"/>
        <v>0</v>
      </c>
      <c r="CB450" s="29">
        <f t="shared" si="55"/>
        <v>0</v>
      </c>
      <c r="CC450" s="29">
        <f t="shared" si="55"/>
        <v>299.73</v>
      </c>
      <c r="CE450" s="29">
        <f t="shared" si="55"/>
        <v>611320.4</v>
      </c>
      <c r="CF450" s="29">
        <f t="shared" si="55"/>
        <v>0</v>
      </c>
      <c r="CH450" s="29">
        <f t="shared" si="55"/>
        <v>0</v>
      </c>
      <c r="CI450" s="29">
        <f t="shared" si="55"/>
        <v>0</v>
      </c>
      <c r="CJ450" s="29">
        <f>SUM(CJ444:CJ449)</f>
        <v>0</v>
      </c>
    </row>
    <row r="451" spans="1:88" x14ac:dyDescent="0.25">
      <c r="C451" s="25">
        <v>16741</v>
      </c>
      <c r="D451" s="11">
        <v>9998</v>
      </c>
      <c r="E451" s="3" t="s">
        <v>132</v>
      </c>
      <c r="F451" s="3" t="s">
        <v>133</v>
      </c>
      <c r="G451" s="3"/>
      <c r="U451" s="3">
        <v>92945.85</v>
      </c>
      <c r="V451" s="3"/>
      <c r="AS451" s="22">
        <f t="shared" si="26"/>
        <v>92945.85</v>
      </c>
      <c r="AT451" s="3">
        <v>92945.85</v>
      </c>
      <c r="AU451" s="3"/>
      <c r="BD451" s="3"/>
      <c r="BE451" s="3"/>
      <c r="CE451" s="22">
        <f t="shared" si="42"/>
        <v>92945.85</v>
      </c>
      <c r="CF451" s="3">
        <f t="shared" si="43"/>
        <v>0</v>
      </c>
      <c r="CG451" s="17">
        <f t="shared" si="45"/>
        <v>9998</v>
      </c>
      <c r="CH451" s="3" t="str">
        <f>+E451</f>
        <v>صيدلة اكلينيكى</v>
      </c>
    </row>
    <row r="452" spans="1:88" x14ac:dyDescent="0.25">
      <c r="C452" s="25">
        <v>16742</v>
      </c>
      <c r="D452" s="11">
        <v>9999</v>
      </c>
      <c r="E452" s="3" t="s">
        <v>132</v>
      </c>
      <c r="F452" s="3" t="s">
        <v>134</v>
      </c>
      <c r="G452" s="3"/>
      <c r="U452" s="3">
        <v>6754.05</v>
      </c>
      <c r="V452" s="3"/>
      <c r="AS452" s="22">
        <f t="shared" si="26"/>
        <v>6754.05</v>
      </c>
      <c r="AT452" s="3">
        <v>6754.05</v>
      </c>
      <c r="AU452" s="3"/>
      <c r="BD452" s="3"/>
      <c r="BE452" s="3"/>
      <c r="CE452" s="22">
        <f t="shared" si="42"/>
        <v>6754.05</v>
      </c>
      <c r="CF452" s="3">
        <f t="shared" si="43"/>
        <v>0</v>
      </c>
      <c r="CG452" s="17">
        <f t="shared" si="45"/>
        <v>9999</v>
      </c>
      <c r="CH452" s="3" t="str">
        <f t="shared" si="45"/>
        <v>صيدلة اكلينيكى</v>
      </c>
    </row>
    <row r="453" spans="1:88" x14ac:dyDescent="0.25">
      <c r="C453" s="25">
        <v>16743</v>
      </c>
      <c r="D453" s="11">
        <v>10000</v>
      </c>
      <c r="E453" s="3" t="s">
        <v>132</v>
      </c>
      <c r="F453" s="3" t="s">
        <v>135</v>
      </c>
      <c r="G453" s="3"/>
      <c r="U453" s="3">
        <v>20146.3</v>
      </c>
      <c r="V453" s="3"/>
      <c r="AS453" s="22">
        <f t="shared" si="26"/>
        <v>20146.3</v>
      </c>
      <c r="AT453" s="3">
        <v>20146.3</v>
      </c>
      <c r="AU453" s="3"/>
      <c r="BD453" s="3"/>
      <c r="BE453" s="3"/>
      <c r="CE453" s="22">
        <f t="shared" si="42"/>
        <v>20146.3</v>
      </c>
      <c r="CF453" s="3">
        <f t="shared" si="43"/>
        <v>0</v>
      </c>
      <c r="CG453" s="17">
        <f t="shared" si="45"/>
        <v>10000</v>
      </c>
      <c r="CH453" s="3" t="str">
        <f t="shared" si="45"/>
        <v>صيدلة اكلينيكى</v>
      </c>
    </row>
    <row r="454" spans="1:88" x14ac:dyDescent="0.25">
      <c r="C454" s="25">
        <v>16744</v>
      </c>
      <c r="D454" s="11">
        <v>10001</v>
      </c>
      <c r="E454" s="3" t="s">
        <v>132</v>
      </c>
      <c r="F454" s="3" t="s">
        <v>136</v>
      </c>
      <c r="G454" s="3"/>
      <c r="U454" s="3"/>
      <c r="V454" s="3">
        <v>262</v>
      </c>
      <c r="AS454" s="22">
        <f t="shared" si="26"/>
        <v>262</v>
      </c>
      <c r="AT454" s="3">
        <v>262</v>
      </c>
      <c r="AU454" s="3"/>
      <c r="BD454" s="3"/>
      <c r="BE454" s="3"/>
      <c r="CE454" s="22">
        <f t="shared" si="42"/>
        <v>262</v>
      </c>
      <c r="CF454" s="3">
        <f t="shared" si="43"/>
        <v>0</v>
      </c>
      <c r="CG454" s="17">
        <f t="shared" si="45"/>
        <v>10001</v>
      </c>
      <c r="CH454" s="3" t="str">
        <f t="shared" si="45"/>
        <v>صيدلة اكلينيكى</v>
      </c>
    </row>
    <row r="455" spans="1:88" x14ac:dyDescent="0.25">
      <c r="C455" s="25">
        <v>16745</v>
      </c>
      <c r="D455" s="11">
        <v>10002</v>
      </c>
      <c r="E455" s="3" t="s">
        <v>119</v>
      </c>
      <c r="F455" s="3" t="str">
        <f>+F451</f>
        <v>كسب عمل مارس</v>
      </c>
      <c r="G455" s="3"/>
      <c r="U455" s="3">
        <v>137511.37</v>
      </c>
      <c r="V455" s="3"/>
      <c r="AS455" s="22">
        <f t="shared" si="26"/>
        <v>137511.37</v>
      </c>
      <c r="AT455" s="3">
        <v>137511.37</v>
      </c>
      <c r="AU455" s="3"/>
      <c r="BD455" s="3"/>
      <c r="BE455" s="3"/>
      <c r="CE455" s="22">
        <f t="shared" si="42"/>
        <v>137511.37</v>
      </c>
      <c r="CF455" s="3">
        <f t="shared" si="43"/>
        <v>0</v>
      </c>
      <c r="CG455" s="17">
        <f t="shared" si="45"/>
        <v>10002</v>
      </c>
      <c r="CH455" s="3" t="str">
        <f t="shared" si="45"/>
        <v>خ ت صيدلة</v>
      </c>
    </row>
    <row r="456" spans="1:88" x14ac:dyDescent="0.25">
      <c r="C456" s="25">
        <v>16746</v>
      </c>
      <c r="D456" s="11">
        <v>10003</v>
      </c>
      <c r="E456" s="3" t="s">
        <v>119</v>
      </c>
      <c r="F456" s="3" t="str">
        <f>+F452</f>
        <v>دمغه عاديه مارس</v>
      </c>
      <c r="G456" s="3"/>
      <c r="U456" s="3">
        <v>6374</v>
      </c>
      <c r="V456" s="3"/>
      <c r="AS456" s="22">
        <f t="shared" si="26"/>
        <v>6374</v>
      </c>
      <c r="AT456" s="3">
        <v>6374</v>
      </c>
      <c r="AU456" s="3"/>
      <c r="BD456" s="3"/>
      <c r="BE456" s="3"/>
      <c r="CE456" s="22">
        <f t="shared" si="42"/>
        <v>6374</v>
      </c>
      <c r="CF456" s="3">
        <f t="shared" si="43"/>
        <v>0</v>
      </c>
      <c r="CG456" s="17">
        <f t="shared" si="45"/>
        <v>10003</v>
      </c>
      <c r="CH456" s="3" t="str">
        <f t="shared" si="45"/>
        <v>خ ت صيدلة</v>
      </c>
    </row>
    <row r="457" spans="1:88" x14ac:dyDescent="0.25">
      <c r="C457" s="25">
        <v>16747</v>
      </c>
      <c r="D457" s="11">
        <v>10004</v>
      </c>
      <c r="E457" s="3" t="s">
        <v>119</v>
      </c>
      <c r="F457" s="3" t="str">
        <f>+F453</f>
        <v>ضرائب متنوعه مارس</v>
      </c>
      <c r="G457" s="3"/>
      <c r="U457" s="3">
        <v>9411.1</v>
      </c>
      <c r="V457" s="3"/>
      <c r="AS457" s="22">
        <f t="shared" si="26"/>
        <v>9411.1</v>
      </c>
      <c r="AT457" s="3">
        <v>9411.1</v>
      </c>
      <c r="AU457" s="3"/>
      <c r="BD457" s="3"/>
      <c r="BE457" s="3"/>
      <c r="CE457" s="22">
        <f t="shared" si="42"/>
        <v>9411.1</v>
      </c>
      <c r="CF457" s="3">
        <f t="shared" si="43"/>
        <v>0</v>
      </c>
      <c r="CG457" s="17">
        <f t="shared" si="45"/>
        <v>10004</v>
      </c>
      <c r="CH457" s="3" t="str">
        <f t="shared" si="45"/>
        <v>خ ت صيدلة</v>
      </c>
    </row>
    <row r="458" spans="1:88" x14ac:dyDescent="0.25">
      <c r="C458" s="25">
        <v>16748</v>
      </c>
      <c r="D458" s="11">
        <v>10005</v>
      </c>
      <c r="E458" s="3" t="s">
        <v>119</v>
      </c>
      <c r="F458" s="3" t="str">
        <f>+F454</f>
        <v>تنميه موارد مارس</v>
      </c>
      <c r="G458" s="3"/>
      <c r="U458" s="3"/>
      <c r="V458" s="3">
        <v>142</v>
      </c>
      <c r="AS458" s="22">
        <f t="shared" si="26"/>
        <v>142</v>
      </c>
      <c r="AT458" s="3">
        <v>142</v>
      </c>
      <c r="AU458" s="3"/>
      <c r="BD458" s="3"/>
      <c r="BE458" s="3"/>
      <c r="CE458" s="22">
        <f t="shared" si="42"/>
        <v>142</v>
      </c>
      <c r="CF458" s="3">
        <f t="shared" si="43"/>
        <v>0</v>
      </c>
      <c r="CG458" s="17">
        <f t="shared" si="45"/>
        <v>10005</v>
      </c>
      <c r="CH458" s="3" t="str">
        <f t="shared" si="45"/>
        <v>خ ت صيدلة</v>
      </c>
    </row>
    <row r="459" spans="1:88" x14ac:dyDescent="0.25">
      <c r="C459" s="25">
        <v>16727</v>
      </c>
      <c r="D459" s="11">
        <v>10006</v>
      </c>
      <c r="E459" s="3" t="s">
        <v>121</v>
      </c>
      <c r="F459" s="3" t="str">
        <f>+F451</f>
        <v>كسب عمل مارس</v>
      </c>
      <c r="G459" s="3"/>
      <c r="U459" s="3">
        <v>120411.8</v>
      </c>
      <c r="V459" s="3"/>
      <c r="AS459" s="22">
        <f t="shared" si="26"/>
        <v>120411.8</v>
      </c>
      <c r="AT459" s="3">
        <v>120411.8</v>
      </c>
      <c r="AU459" s="3"/>
      <c r="BD459" s="3"/>
      <c r="BE459" s="3"/>
      <c r="CE459" s="22">
        <f t="shared" si="42"/>
        <v>120411.8</v>
      </c>
      <c r="CF459" s="3">
        <f t="shared" si="43"/>
        <v>0</v>
      </c>
      <c r="CG459" s="17">
        <f t="shared" si="45"/>
        <v>10006</v>
      </c>
      <c r="CH459" s="3" t="str">
        <f t="shared" si="45"/>
        <v>ماليزى اسنان</v>
      </c>
    </row>
    <row r="460" spans="1:88" x14ac:dyDescent="0.25">
      <c r="C460" s="25">
        <v>16728</v>
      </c>
      <c r="D460" s="11">
        <v>10007</v>
      </c>
      <c r="E460" s="3" t="s">
        <v>121</v>
      </c>
      <c r="F460" s="3" t="str">
        <f>+F456</f>
        <v>دمغه عاديه مارس</v>
      </c>
      <c r="G460" s="3"/>
      <c r="U460" s="3">
        <v>7817.53</v>
      </c>
      <c r="V460" s="3"/>
      <c r="AS460" s="22">
        <f t="shared" si="26"/>
        <v>7817.53</v>
      </c>
      <c r="AT460" s="3">
        <v>7817.53</v>
      </c>
      <c r="AU460" s="3"/>
      <c r="BD460" s="3"/>
      <c r="BE460" s="3"/>
      <c r="CE460" s="22">
        <f t="shared" si="42"/>
        <v>7817.53</v>
      </c>
      <c r="CF460" s="3">
        <f t="shared" si="43"/>
        <v>0</v>
      </c>
      <c r="CG460" s="17">
        <f t="shared" si="45"/>
        <v>10007</v>
      </c>
      <c r="CH460" s="3" t="str">
        <f t="shared" si="45"/>
        <v>ماليزى اسنان</v>
      </c>
    </row>
    <row r="461" spans="1:88" x14ac:dyDescent="0.25">
      <c r="C461" s="25">
        <v>16729</v>
      </c>
      <c r="D461" s="11">
        <v>10008</v>
      </c>
      <c r="E461" s="3" t="s">
        <v>121</v>
      </c>
      <c r="F461" s="3" t="str">
        <f>+F457</f>
        <v>ضرائب متنوعه مارس</v>
      </c>
      <c r="G461" s="3"/>
      <c r="U461" s="3">
        <v>25123.9</v>
      </c>
      <c r="V461" s="3"/>
      <c r="AS461" s="22">
        <f t="shared" si="26"/>
        <v>25123.9</v>
      </c>
      <c r="AT461" s="3">
        <v>25123.9</v>
      </c>
      <c r="AU461" s="3"/>
      <c r="BD461" s="3"/>
      <c r="BE461" s="3"/>
      <c r="CE461" s="22">
        <f t="shared" si="42"/>
        <v>25123.9</v>
      </c>
      <c r="CF461" s="3">
        <f t="shared" si="43"/>
        <v>0</v>
      </c>
      <c r="CG461" s="17">
        <f t="shared" si="45"/>
        <v>10008</v>
      </c>
      <c r="CH461" s="3" t="str">
        <f t="shared" si="45"/>
        <v>ماليزى اسنان</v>
      </c>
    </row>
    <row r="462" spans="1:88" x14ac:dyDescent="0.25">
      <c r="C462" s="25">
        <v>16730</v>
      </c>
      <c r="D462" s="11">
        <v>10009</v>
      </c>
      <c r="E462" s="3" t="s">
        <v>121</v>
      </c>
      <c r="F462" s="3" t="str">
        <f>+F458</f>
        <v>تنميه موارد مارس</v>
      </c>
      <c r="G462" s="3"/>
      <c r="U462" s="3"/>
      <c r="V462" s="3">
        <v>682</v>
      </c>
      <c r="AS462" s="22">
        <f t="shared" si="26"/>
        <v>682</v>
      </c>
      <c r="AT462" s="3">
        <v>682</v>
      </c>
      <c r="AU462" s="3"/>
      <c r="BD462" s="3"/>
      <c r="BE462" s="3"/>
      <c r="CE462" s="22">
        <f t="shared" si="42"/>
        <v>682</v>
      </c>
      <c r="CF462" s="3">
        <f t="shared" si="43"/>
        <v>0</v>
      </c>
      <c r="CG462" s="17">
        <f t="shared" si="45"/>
        <v>10009</v>
      </c>
      <c r="CH462" s="3" t="str">
        <f t="shared" si="45"/>
        <v>ماليزى اسنان</v>
      </c>
    </row>
    <row r="463" spans="1:88" x14ac:dyDescent="0.25">
      <c r="C463" s="25">
        <v>16731</v>
      </c>
      <c r="D463" s="11">
        <v>10010</v>
      </c>
      <c r="E463" s="3" t="s">
        <v>123</v>
      </c>
      <c r="F463" s="3" t="str">
        <f>+F459</f>
        <v>كسب عمل مارس</v>
      </c>
      <c r="G463" s="3"/>
      <c r="U463" s="3">
        <v>10826.56</v>
      </c>
      <c r="V463" s="3"/>
      <c r="AS463" s="22">
        <f t="shared" si="26"/>
        <v>10826.56</v>
      </c>
      <c r="AT463" s="3">
        <v>10826.56</v>
      </c>
      <c r="AU463" s="3"/>
      <c r="BD463" s="3"/>
      <c r="BE463" s="3"/>
      <c r="CE463" s="22">
        <f t="shared" si="42"/>
        <v>10826.56</v>
      </c>
      <c r="CF463" s="3">
        <f t="shared" si="43"/>
        <v>0</v>
      </c>
      <c r="CG463" s="17">
        <f t="shared" ref="CG463:CH526" si="56">+D463</f>
        <v>10010</v>
      </c>
      <c r="CH463" s="3" t="str">
        <f t="shared" si="56"/>
        <v>خ ت اسنان</v>
      </c>
    </row>
    <row r="464" spans="1:88" x14ac:dyDescent="0.25">
      <c r="C464" s="25">
        <v>16732</v>
      </c>
      <c r="D464" s="11">
        <v>10011</v>
      </c>
      <c r="E464" s="3" t="s">
        <v>123</v>
      </c>
      <c r="F464" s="3" t="str">
        <f>+F460</f>
        <v>دمغه عاديه مارس</v>
      </c>
      <c r="G464" s="3"/>
      <c r="U464" s="3">
        <v>600.79999999999995</v>
      </c>
      <c r="V464" s="3"/>
      <c r="AS464" s="22">
        <f t="shared" si="26"/>
        <v>600.79999999999995</v>
      </c>
      <c r="AT464" s="3">
        <v>600.79999999999995</v>
      </c>
      <c r="AU464" s="3"/>
      <c r="BD464" s="3"/>
      <c r="BE464" s="3"/>
      <c r="CE464" s="22">
        <f t="shared" si="42"/>
        <v>600.79999999999995</v>
      </c>
      <c r="CF464" s="3">
        <f t="shared" si="43"/>
        <v>0</v>
      </c>
      <c r="CG464" s="17">
        <f t="shared" si="56"/>
        <v>10011</v>
      </c>
      <c r="CH464" s="3" t="str">
        <f t="shared" si="56"/>
        <v>خ ت اسنان</v>
      </c>
    </row>
    <row r="465" spans="3:86" x14ac:dyDescent="0.25">
      <c r="C465" s="25">
        <v>16733</v>
      </c>
      <c r="D465" s="11">
        <v>10012</v>
      </c>
      <c r="E465" s="3" t="s">
        <v>137</v>
      </c>
      <c r="F465" s="3" t="str">
        <f>+F463</f>
        <v>كسب عمل مارس</v>
      </c>
      <c r="G465" s="3"/>
      <c r="U465" s="3">
        <v>67061.350000000006</v>
      </c>
      <c r="V465" s="3"/>
      <c r="AS465" s="22">
        <f t="shared" si="26"/>
        <v>67061.350000000006</v>
      </c>
      <c r="AT465" s="3">
        <v>67061.350000000006</v>
      </c>
      <c r="AU465" s="3"/>
      <c r="BD465" s="3"/>
      <c r="BE465" s="3"/>
      <c r="CE465" s="22">
        <f t="shared" si="42"/>
        <v>67061.350000000006</v>
      </c>
      <c r="CF465" s="3">
        <f t="shared" si="43"/>
        <v>0</v>
      </c>
      <c r="CG465" s="17">
        <f t="shared" si="56"/>
        <v>10012</v>
      </c>
      <c r="CH465" s="3" t="str">
        <f t="shared" si="56"/>
        <v xml:space="preserve">خدمة عامة </v>
      </c>
    </row>
    <row r="466" spans="3:86" x14ac:dyDescent="0.25">
      <c r="C466" s="25">
        <v>16929</v>
      </c>
      <c r="D466" s="11">
        <v>10013</v>
      </c>
      <c r="E466" s="3" t="s">
        <v>137</v>
      </c>
      <c r="F466" s="3" t="str">
        <f>+F464</f>
        <v>دمغه عاديه مارس</v>
      </c>
      <c r="G466" s="3"/>
      <c r="U466" s="3">
        <v>4129.3999999999996</v>
      </c>
      <c r="V466" s="3"/>
      <c r="AS466" s="22">
        <f t="shared" si="26"/>
        <v>4129.3999999999996</v>
      </c>
      <c r="AT466" s="3">
        <v>4129.3999999999996</v>
      </c>
      <c r="AU466" s="3"/>
      <c r="BD466" s="3"/>
      <c r="BE466" s="3"/>
      <c r="CE466" s="22">
        <f t="shared" si="42"/>
        <v>4129.3999999999996</v>
      </c>
      <c r="CF466" s="3">
        <f t="shared" si="43"/>
        <v>0</v>
      </c>
      <c r="CG466" s="17">
        <f t="shared" si="56"/>
        <v>10013</v>
      </c>
      <c r="CH466" s="3" t="str">
        <f t="shared" si="56"/>
        <v xml:space="preserve">خدمة عامة </v>
      </c>
    </row>
    <row r="467" spans="3:86" x14ac:dyDescent="0.25">
      <c r="C467" s="25">
        <v>16735</v>
      </c>
      <c r="D467" s="11">
        <v>10014</v>
      </c>
      <c r="E467" s="3" t="s">
        <v>137</v>
      </c>
      <c r="F467" s="3" t="str">
        <f>+F461</f>
        <v>ضرائب متنوعه مارس</v>
      </c>
      <c r="G467" s="3"/>
      <c r="U467" s="3">
        <v>2137.4</v>
      </c>
      <c r="V467" s="3"/>
      <c r="AS467" s="22">
        <f t="shared" si="26"/>
        <v>2137.4</v>
      </c>
      <c r="AT467" s="3">
        <v>2137.4</v>
      </c>
      <c r="AU467" s="3"/>
      <c r="BD467" s="3"/>
      <c r="BE467" s="3"/>
      <c r="CE467" s="22">
        <f t="shared" si="42"/>
        <v>2137.4</v>
      </c>
      <c r="CF467" s="3">
        <f t="shared" si="43"/>
        <v>0</v>
      </c>
      <c r="CG467" s="17">
        <f t="shared" si="56"/>
        <v>10014</v>
      </c>
      <c r="CH467" s="3" t="str">
        <f t="shared" si="56"/>
        <v xml:space="preserve">خدمة عامة </v>
      </c>
    </row>
    <row r="468" spans="3:86" x14ac:dyDescent="0.25">
      <c r="C468" s="25">
        <v>16736</v>
      </c>
      <c r="D468" s="11">
        <v>10015</v>
      </c>
      <c r="E468" s="3" t="s">
        <v>137</v>
      </c>
      <c r="F468" s="3" t="str">
        <f>+F462</f>
        <v>تنميه موارد مارس</v>
      </c>
      <c r="G468" s="3"/>
      <c r="U468" s="3"/>
      <c r="V468" s="3">
        <v>172</v>
      </c>
      <c r="AS468" s="22">
        <f t="shared" si="26"/>
        <v>172</v>
      </c>
      <c r="AT468" s="3">
        <v>172</v>
      </c>
      <c r="AU468" s="3"/>
      <c r="BD468" s="3"/>
      <c r="BE468" s="3"/>
      <c r="CE468" s="22">
        <f t="shared" si="42"/>
        <v>172</v>
      </c>
      <c r="CF468" s="3">
        <f t="shared" si="43"/>
        <v>0</v>
      </c>
      <c r="CG468" s="17">
        <f t="shared" si="56"/>
        <v>10015</v>
      </c>
      <c r="CH468" s="3" t="str">
        <f t="shared" si="56"/>
        <v xml:space="preserve">خدمة عامة </v>
      </c>
    </row>
    <row r="469" spans="3:86" x14ac:dyDescent="0.25">
      <c r="C469" s="25">
        <v>16737</v>
      </c>
      <c r="D469" s="11">
        <v>10016</v>
      </c>
      <c r="E469" s="3" t="s">
        <v>125</v>
      </c>
      <c r="F469" s="3" t="str">
        <f>+F465</f>
        <v>كسب عمل مارس</v>
      </c>
      <c r="G469" s="3"/>
      <c r="U469" s="3">
        <v>514.53</v>
      </c>
      <c r="V469" s="3"/>
      <c r="AS469" s="22">
        <f t="shared" si="26"/>
        <v>514.53</v>
      </c>
      <c r="AT469" s="3">
        <v>514.53</v>
      </c>
      <c r="AU469" s="3"/>
      <c r="BD469" s="3"/>
      <c r="BE469" s="3"/>
      <c r="CE469" s="22">
        <f t="shared" si="42"/>
        <v>514.53</v>
      </c>
      <c r="CF469" s="3">
        <f t="shared" si="43"/>
        <v>0</v>
      </c>
      <c r="CG469" s="17">
        <f t="shared" si="56"/>
        <v>10016</v>
      </c>
      <c r="CH469" s="3" t="str">
        <f t="shared" si="56"/>
        <v>اختبار مواد</v>
      </c>
    </row>
    <row r="470" spans="3:86" x14ac:dyDescent="0.25">
      <c r="C470" s="25">
        <v>16738</v>
      </c>
      <c r="D470" s="11">
        <v>10017</v>
      </c>
      <c r="E470" s="3" t="s">
        <v>125</v>
      </c>
      <c r="F470" s="3" t="str">
        <f>+F466</f>
        <v>دمغه عاديه مارس</v>
      </c>
      <c r="G470" s="3"/>
      <c r="U470" s="3">
        <v>30.55</v>
      </c>
      <c r="V470" s="3"/>
      <c r="AS470" s="22">
        <f t="shared" si="26"/>
        <v>30.55</v>
      </c>
      <c r="AT470" s="3">
        <v>30.55</v>
      </c>
      <c r="AU470" s="3"/>
      <c r="BD470" s="3"/>
      <c r="BE470" s="3"/>
      <c r="CE470" s="22">
        <f t="shared" si="42"/>
        <v>30.55</v>
      </c>
      <c r="CF470" s="3">
        <f t="shared" si="43"/>
        <v>0</v>
      </c>
      <c r="CG470" s="17">
        <f t="shared" si="56"/>
        <v>10017</v>
      </c>
      <c r="CH470" s="3" t="str">
        <f t="shared" si="56"/>
        <v>اختبار مواد</v>
      </c>
    </row>
    <row r="471" spans="3:86" x14ac:dyDescent="0.25">
      <c r="C471" s="25">
        <v>16739</v>
      </c>
      <c r="D471" s="11">
        <v>10018</v>
      </c>
      <c r="E471" s="3" t="s">
        <v>124</v>
      </c>
      <c r="F471" s="3" t="str">
        <f>+F469</f>
        <v>كسب عمل مارس</v>
      </c>
      <c r="G471" s="3"/>
      <c r="U471" s="3">
        <v>68.430000000000007</v>
      </c>
      <c r="V471" s="3"/>
      <c r="AS471" s="22">
        <f t="shared" si="26"/>
        <v>68.430000000000007</v>
      </c>
      <c r="AT471" s="3">
        <v>68.430000000000007</v>
      </c>
      <c r="AU471" s="3"/>
      <c r="BD471" s="3"/>
      <c r="BE471" s="3"/>
      <c r="CE471" s="22">
        <f t="shared" si="42"/>
        <v>68.430000000000007</v>
      </c>
      <c r="CF471" s="3">
        <f t="shared" si="43"/>
        <v>0</v>
      </c>
      <c r="CG471" s="17">
        <f t="shared" si="56"/>
        <v>10018</v>
      </c>
      <c r="CH471" s="3" t="str">
        <f t="shared" si="56"/>
        <v>تكافل اسنان</v>
      </c>
    </row>
    <row r="472" spans="3:86" x14ac:dyDescent="0.25">
      <c r="C472" s="25">
        <v>16740</v>
      </c>
      <c r="D472" s="11">
        <v>10019</v>
      </c>
      <c r="E472" s="3" t="s">
        <v>124</v>
      </c>
      <c r="F472" s="3" t="str">
        <f>+F470</f>
        <v>دمغه عاديه مارس</v>
      </c>
      <c r="G472" s="3"/>
      <c r="U472" s="3">
        <v>2.2999999999999998</v>
      </c>
      <c r="V472" s="3"/>
      <c r="AS472" s="22">
        <f t="shared" si="26"/>
        <v>2.2999999999999998</v>
      </c>
      <c r="AT472" s="3">
        <v>2.2999999999999998</v>
      </c>
      <c r="AU472" s="3"/>
      <c r="BD472" s="3"/>
      <c r="BE472" s="3"/>
      <c r="CE472" s="22">
        <f t="shared" si="42"/>
        <v>2.2999999999999998</v>
      </c>
      <c r="CF472" s="3">
        <f t="shared" si="43"/>
        <v>0</v>
      </c>
      <c r="CG472" s="17">
        <f t="shared" si="56"/>
        <v>10019</v>
      </c>
      <c r="CH472" s="3" t="str">
        <f t="shared" si="56"/>
        <v>تكافل اسنان</v>
      </c>
    </row>
    <row r="473" spans="3:86" x14ac:dyDescent="0.25">
      <c r="C473" s="25">
        <v>16912</v>
      </c>
      <c r="D473" s="11">
        <v>10020</v>
      </c>
      <c r="E473" s="3" t="s">
        <v>78</v>
      </c>
      <c r="F473" s="3" t="str">
        <f>+F471</f>
        <v>كسب عمل مارس</v>
      </c>
      <c r="G473" s="3"/>
      <c r="U473" s="3">
        <v>392525.05</v>
      </c>
      <c r="V473" s="3"/>
      <c r="AS473" s="22">
        <f t="shared" si="26"/>
        <v>392525.05</v>
      </c>
      <c r="AT473" s="3">
        <v>392525.05</v>
      </c>
      <c r="AU473" s="3"/>
      <c r="BD473" s="3"/>
      <c r="BE473" s="3"/>
      <c r="CE473" s="22">
        <f t="shared" si="42"/>
        <v>392525.05</v>
      </c>
      <c r="CF473" s="3">
        <f t="shared" si="43"/>
        <v>0</v>
      </c>
      <c r="CG473" s="17">
        <f t="shared" si="56"/>
        <v>10020</v>
      </c>
      <c r="CH473" s="3" t="str">
        <f t="shared" si="56"/>
        <v>برنامج دولى</v>
      </c>
    </row>
    <row r="474" spans="3:86" x14ac:dyDescent="0.25">
      <c r="C474" s="25">
        <v>16913</v>
      </c>
      <c r="D474" s="11">
        <v>10021</v>
      </c>
      <c r="E474" s="3" t="s">
        <v>78</v>
      </c>
      <c r="F474" s="3" t="str">
        <f>+F472</f>
        <v>دمغه عاديه مارس</v>
      </c>
      <c r="G474" s="3"/>
      <c r="U474" s="3">
        <v>26968.41</v>
      </c>
      <c r="V474" s="3"/>
      <c r="AS474" s="22">
        <f t="shared" si="26"/>
        <v>26968.41</v>
      </c>
      <c r="AT474" s="3">
        <v>26968.41</v>
      </c>
      <c r="AU474" s="3"/>
      <c r="BD474" s="3"/>
      <c r="BE474" s="3"/>
      <c r="CE474" s="22">
        <f t="shared" si="42"/>
        <v>26968.41</v>
      </c>
      <c r="CF474" s="3">
        <f t="shared" si="43"/>
        <v>0</v>
      </c>
      <c r="CG474" s="17">
        <f t="shared" si="56"/>
        <v>10021</v>
      </c>
      <c r="CH474" s="3" t="str">
        <f t="shared" si="56"/>
        <v>برنامج دولى</v>
      </c>
    </row>
    <row r="475" spans="3:86" x14ac:dyDescent="0.25">
      <c r="C475" s="25">
        <v>16914</v>
      </c>
      <c r="D475" s="11">
        <v>10022</v>
      </c>
      <c r="E475" s="3" t="s">
        <v>78</v>
      </c>
      <c r="F475" s="3" t="str">
        <f>+F467</f>
        <v>ضرائب متنوعه مارس</v>
      </c>
      <c r="G475" s="3"/>
      <c r="U475" s="3">
        <v>25274.27</v>
      </c>
      <c r="V475" s="3"/>
      <c r="AS475" s="22">
        <f t="shared" si="26"/>
        <v>25274.27</v>
      </c>
      <c r="AT475" s="3">
        <v>25274.27</v>
      </c>
      <c r="AU475" s="3"/>
      <c r="BD475" s="3"/>
      <c r="BE475" s="3"/>
      <c r="CE475" s="22">
        <f t="shared" si="42"/>
        <v>25274.27</v>
      </c>
      <c r="CF475" s="3">
        <f t="shared" si="43"/>
        <v>0</v>
      </c>
      <c r="CG475" s="17">
        <f t="shared" si="56"/>
        <v>10022</v>
      </c>
      <c r="CH475" s="3" t="str">
        <f t="shared" si="56"/>
        <v>برنامج دولى</v>
      </c>
    </row>
    <row r="476" spans="3:86" x14ac:dyDescent="0.25">
      <c r="C476" s="25">
        <v>16915</v>
      </c>
      <c r="D476" s="11">
        <v>10023</v>
      </c>
      <c r="E476" s="3" t="s">
        <v>78</v>
      </c>
      <c r="F476" s="3" t="str">
        <f>+F468</f>
        <v>تنميه موارد مارس</v>
      </c>
      <c r="G476" s="3"/>
      <c r="U476" s="3"/>
      <c r="V476" s="3">
        <v>456</v>
      </c>
      <c r="AS476" s="22">
        <f t="shared" si="26"/>
        <v>456</v>
      </c>
      <c r="AT476" s="3">
        <v>456</v>
      </c>
      <c r="AU476" s="3"/>
      <c r="BD476" s="3"/>
      <c r="BE476" s="3"/>
      <c r="CE476" s="22">
        <f t="shared" si="42"/>
        <v>456</v>
      </c>
      <c r="CF476" s="3">
        <f t="shared" si="43"/>
        <v>0</v>
      </c>
      <c r="CG476" s="17">
        <f t="shared" si="56"/>
        <v>10023</v>
      </c>
      <c r="CH476" s="3" t="str">
        <f t="shared" si="56"/>
        <v>برنامج دولى</v>
      </c>
    </row>
    <row r="477" spans="3:86" x14ac:dyDescent="0.25">
      <c r="C477" s="25">
        <v>16916</v>
      </c>
      <c r="D477" s="11">
        <v>10024</v>
      </c>
      <c r="E477" s="3" t="s">
        <v>130</v>
      </c>
      <c r="F477" s="3" t="str">
        <f t="shared" ref="F477:F486" si="57">+F473</f>
        <v>كسب عمل مارس</v>
      </c>
      <c r="G477" s="3"/>
      <c r="U477" s="3">
        <v>4267.8100000000004</v>
      </c>
      <c r="V477" s="3"/>
      <c r="AS477" s="22">
        <f t="shared" si="26"/>
        <v>4267.8100000000004</v>
      </c>
      <c r="AT477" s="3">
        <v>4267.8100000000004</v>
      </c>
      <c r="AU477" s="3"/>
      <c r="BD477" s="3"/>
      <c r="BE477" s="3"/>
      <c r="CE477" s="22">
        <f t="shared" si="42"/>
        <v>4267.8100000000004</v>
      </c>
      <c r="CF477" s="3">
        <f t="shared" si="43"/>
        <v>0</v>
      </c>
      <c r="CG477" s="17">
        <f t="shared" si="56"/>
        <v>10024</v>
      </c>
      <c r="CH477" s="3" t="str">
        <f t="shared" si="56"/>
        <v>خ ت طب</v>
      </c>
    </row>
    <row r="478" spans="3:86" x14ac:dyDescent="0.25">
      <c r="C478" s="25">
        <v>16917</v>
      </c>
      <c r="D478" s="11">
        <v>10025</v>
      </c>
      <c r="E478" s="3" t="s">
        <v>130</v>
      </c>
      <c r="F478" s="3" t="str">
        <f t="shared" si="57"/>
        <v>دمغه عاديه مارس</v>
      </c>
      <c r="G478" s="3"/>
      <c r="U478" s="3">
        <v>149.25</v>
      </c>
      <c r="V478" s="3"/>
      <c r="AS478" s="22">
        <f t="shared" si="26"/>
        <v>149.25</v>
      </c>
      <c r="AT478" s="3">
        <v>149.25</v>
      </c>
      <c r="AU478" s="3"/>
      <c r="BD478" s="3"/>
      <c r="BE478" s="3"/>
      <c r="CE478" s="22">
        <f t="shared" si="42"/>
        <v>149.25</v>
      </c>
      <c r="CF478" s="3">
        <f t="shared" si="43"/>
        <v>0</v>
      </c>
      <c r="CG478" s="17">
        <f t="shared" si="56"/>
        <v>10025</v>
      </c>
      <c r="CH478" s="3" t="str">
        <f t="shared" si="56"/>
        <v>خ ت طب</v>
      </c>
    </row>
    <row r="479" spans="3:86" x14ac:dyDescent="0.25">
      <c r="C479" s="25">
        <v>16918</v>
      </c>
      <c r="D479" s="11">
        <v>10026</v>
      </c>
      <c r="E479" s="3" t="s">
        <v>130</v>
      </c>
      <c r="F479" s="3" t="str">
        <f t="shared" si="57"/>
        <v>ضرائب متنوعه مارس</v>
      </c>
      <c r="G479" s="3"/>
      <c r="U479" s="3">
        <v>3263.1</v>
      </c>
      <c r="V479" s="3"/>
      <c r="AS479" s="22">
        <f t="shared" si="26"/>
        <v>3263.1</v>
      </c>
      <c r="AT479" s="3">
        <v>3263.1</v>
      </c>
      <c r="AU479" s="3"/>
      <c r="BD479" s="3"/>
      <c r="BE479" s="3"/>
      <c r="CE479" s="22">
        <f t="shared" si="42"/>
        <v>3263.1</v>
      </c>
      <c r="CF479" s="3">
        <f t="shared" si="43"/>
        <v>0</v>
      </c>
      <c r="CG479" s="17">
        <f t="shared" si="56"/>
        <v>10026</v>
      </c>
      <c r="CH479" s="3" t="str">
        <f t="shared" si="56"/>
        <v>خ ت طب</v>
      </c>
    </row>
    <row r="480" spans="3:86" x14ac:dyDescent="0.25">
      <c r="C480" s="25">
        <v>16919</v>
      </c>
      <c r="D480" s="11">
        <v>10027</v>
      </c>
      <c r="E480" s="3" t="s">
        <v>130</v>
      </c>
      <c r="F480" s="3" t="str">
        <f t="shared" si="57"/>
        <v>تنميه موارد مارس</v>
      </c>
      <c r="G480" s="3"/>
      <c r="U480" s="3"/>
      <c r="V480" s="3">
        <v>244</v>
      </c>
      <c r="AS480" s="22">
        <f t="shared" si="26"/>
        <v>244</v>
      </c>
      <c r="AT480" s="3">
        <v>244</v>
      </c>
      <c r="AU480" s="3"/>
      <c r="BD480" s="3"/>
      <c r="BE480" s="3"/>
      <c r="CE480" s="22">
        <f t="shared" ref="CE480:CE533" si="58">SUM(AT480:CC480)</f>
        <v>244</v>
      </c>
      <c r="CF480" s="3">
        <f t="shared" ref="CF480:CF543" si="59">+CE480-AS480</f>
        <v>0</v>
      </c>
      <c r="CG480" s="17">
        <f t="shared" si="56"/>
        <v>10027</v>
      </c>
      <c r="CH480" s="3" t="str">
        <f t="shared" si="56"/>
        <v>خ ت طب</v>
      </c>
    </row>
    <row r="481" spans="3:86" x14ac:dyDescent="0.25">
      <c r="C481" s="25">
        <v>16920</v>
      </c>
      <c r="D481" s="11">
        <v>10028</v>
      </c>
      <c r="E481" s="3" t="s">
        <v>128</v>
      </c>
      <c r="F481" s="3" t="str">
        <f t="shared" si="57"/>
        <v>كسب عمل مارس</v>
      </c>
      <c r="G481" s="3"/>
      <c r="U481" s="3">
        <v>5240.3599999999997</v>
      </c>
      <c r="V481" s="3"/>
      <c r="AS481" s="22">
        <f t="shared" si="26"/>
        <v>5240.3599999999997</v>
      </c>
      <c r="AT481" s="3">
        <v>5240.3599999999997</v>
      </c>
      <c r="AU481" s="3"/>
      <c r="BD481" s="3"/>
      <c r="BE481" s="3"/>
      <c r="CE481" s="22">
        <f t="shared" si="58"/>
        <v>5240.3599999999997</v>
      </c>
      <c r="CF481" s="3">
        <f t="shared" si="59"/>
        <v>0</v>
      </c>
      <c r="CG481" s="17">
        <f t="shared" si="56"/>
        <v>10028</v>
      </c>
      <c r="CH481" s="3" t="str">
        <f t="shared" si="56"/>
        <v>مركز مؤتمرات</v>
      </c>
    </row>
    <row r="482" spans="3:86" x14ac:dyDescent="0.25">
      <c r="C482" s="25">
        <v>16921</v>
      </c>
      <c r="D482" s="11">
        <v>10029</v>
      </c>
      <c r="E482" s="3" t="s">
        <v>128</v>
      </c>
      <c r="F482" s="3" t="str">
        <f t="shared" si="57"/>
        <v>دمغه عاديه مارس</v>
      </c>
      <c r="G482" s="3"/>
      <c r="U482" s="3">
        <v>351.2</v>
      </c>
      <c r="V482" s="3"/>
      <c r="AS482" s="22">
        <f t="shared" si="26"/>
        <v>351.2</v>
      </c>
      <c r="AT482" s="3">
        <v>351.2</v>
      </c>
      <c r="AU482" s="3"/>
      <c r="BD482" s="3"/>
      <c r="BE482" s="3"/>
      <c r="CE482" s="22">
        <f t="shared" si="58"/>
        <v>351.2</v>
      </c>
      <c r="CF482" s="3">
        <f t="shared" si="59"/>
        <v>0</v>
      </c>
      <c r="CG482" s="17">
        <f t="shared" si="56"/>
        <v>10029</v>
      </c>
      <c r="CH482" s="3" t="str">
        <f t="shared" si="56"/>
        <v>مركز مؤتمرات</v>
      </c>
    </row>
    <row r="483" spans="3:86" x14ac:dyDescent="0.25">
      <c r="C483" s="25">
        <v>16922</v>
      </c>
      <c r="D483" s="11">
        <v>10030</v>
      </c>
      <c r="E483" s="3" t="s">
        <v>128</v>
      </c>
      <c r="F483" s="3" t="str">
        <f t="shared" si="57"/>
        <v>ضرائب متنوعه مارس</v>
      </c>
      <c r="G483" s="3"/>
      <c r="U483" s="3">
        <v>1677.5</v>
      </c>
      <c r="V483" s="3"/>
      <c r="AS483" s="22">
        <f t="shared" si="26"/>
        <v>1677.5</v>
      </c>
      <c r="AT483" s="3">
        <v>1677.5</v>
      </c>
      <c r="AU483" s="3"/>
      <c r="BD483" s="3"/>
      <c r="BE483" s="3"/>
      <c r="CE483" s="22">
        <f t="shared" si="58"/>
        <v>1677.5</v>
      </c>
      <c r="CF483" s="3">
        <f t="shared" si="59"/>
        <v>0</v>
      </c>
      <c r="CG483" s="17">
        <f t="shared" si="56"/>
        <v>10030</v>
      </c>
      <c r="CH483" s="3" t="str">
        <f t="shared" si="56"/>
        <v>مركز مؤتمرات</v>
      </c>
    </row>
    <row r="484" spans="3:86" x14ac:dyDescent="0.25">
      <c r="C484" s="25">
        <v>16923</v>
      </c>
      <c r="D484" s="11">
        <v>10031</v>
      </c>
      <c r="E484" s="3" t="s">
        <v>128</v>
      </c>
      <c r="F484" s="3" t="str">
        <f t="shared" si="57"/>
        <v>تنميه موارد مارس</v>
      </c>
      <c r="G484" s="3"/>
      <c r="U484" s="3"/>
      <c r="V484" s="3">
        <v>86</v>
      </c>
      <c r="AS484" s="22">
        <f t="shared" si="26"/>
        <v>86</v>
      </c>
      <c r="AT484" s="3">
        <v>86</v>
      </c>
      <c r="AU484" s="3"/>
      <c r="BD484" s="3"/>
      <c r="BE484" s="3"/>
      <c r="CE484" s="22">
        <f t="shared" si="58"/>
        <v>86</v>
      </c>
      <c r="CF484" s="3">
        <f t="shared" si="59"/>
        <v>0</v>
      </c>
      <c r="CG484" s="17">
        <f t="shared" si="56"/>
        <v>10031</v>
      </c>
      <c r="CH484" s="3" t="str">
        <f t="shared" si="56"/>
        <v>مركز مؤتمرات</v>
      </c>
    </row>
    <row r="485" spans="3:86" x14ac:dyDescent="0.25">
      <c r="C485" s="25">
        <v>16924</v>
      </c>
      <c r="D485" s="11">
        <v>10032</v>
      </c>
      <c r="E485" s="3" t="s">
        <v>171</v>
      </c>
      <c r="F485" s="3" t="str">
        <f t="shared" si="57"/>
        <v>كسب عمل مارس</v>
      </c>
      <c r="G485" s="3"/>
      <c r="U485" s="3">
        <v>282.82</v>
      </c>
      <c r="V485" s="3"/>
      <c r="AS485" s="22">
        <f t="shared" si="26"/>
        <v>282.82</v>
      </c>
      <c r="AT485" s="3">
        <v>282.82</v>
      </c>
      <c r="AU485" s="3"/>
      <c r="BD485" s="3"/>
      <c r="BE485" s="3"/>
      <c r="CE485" s="22">
        <f t="shared" si="58"/>
        <v>282.82</v>
      </c>
      <c r="CF485" s="3">
        <f t="shared" si="59"/>
        <v>0</v>
      </c>
      <c r="CG485" s="17">
        <f t="shared" si="56"/>
        <v>10032</v>
      </c>
      <c r="CH485" s="3" t="str">
        <f t="shared" si="56"/>
        <v>تحاليل طبية</v>
      </c>
    </row>
    <row r="486" spans="3:86" ht="20.25" customHeight="1" x14ac:dyDescent="0.25">
      <c r="C486" s="25">
        <v>16925</v>
      </c>
      <c r="D486" s="11">
        <v>10033</v>
      </c>
      <c r="E486" s="3" t="s">
        <v>171</v>
      </c>
      <c r="F486" s="3" t="str">
        <f t="shared" si="57"/>
        <v>دمغه عاديه مارس</v>
      </c>
      <c r="G486" s="3"/>
      <c r="U486" s="3">
        <v>10.9</v>
      </c>
      <c r="V486" s="3"/>
      <c r="AS486" s="22">
        <f t="shared" si="26"/>
        <v>10.9</v>
      </c>
      <c r="AT486" s="3">
        <v>10.9</v>
      </c>
      <c r="AU486" s="3"/>
      <c r="BD486" s="3"/>
      <c r="BE486" s="3"/>
      <c r="CE486" s="22">
        <f t="shared" si="58"/>
        <v>10.9</v>
      </c>
      <c r="CF486" s="3">
        <f t="shared" si="59"/>
        <v>0</v>
      </c>
      <c r="CG486" s="17">
        <f t="shared" si="56"/>
        <v>10033</v>
      </c>
      <c r="CH486" s="3" t="str">
        <f t="shared" si="56"/>
        <v>تحاليل طبية</v>
      </c>
    </row>
    <row r="487" spans="3:86" ht="56.25" customHeight="1" x14ac:dyDescent="0.25">
      <c r="C487" s="25">
        <v>16766</v>
      </c>
      <c r="D487" s="11">
        <v>10034</v>
      </c>
      <c r="F487" s="9" t="s">
        <v>910</v>
      </c>
      <c r="G487" s="3"/>
      <c r="U487" s="3"/>
      <c r="V487" s="3"/>
      <c r="AD487" s="3">
        <v>37728.39</v>
      </c>
      <c r="AS487" s="22">
        <f t="shared" si="26"/>
        <v>37728.39</v>
      </c>
      <c r="AT487" s="3">
        <v>37728.39</v>
      </c>
      <c r="AU487" s="3"/>
      <c r="BD487" s="3"/>
      <c r="BE487" s="3"/>
      <c r="CE487" s="22">
        <f t="shared" si="58"/>
        <v>37728.39</v>
      </c>
      <c r="CF487" s="3">
        <f t="shared" si="59"/>
        <v>0</v>
      </c>
      <c r="CG487" s="17">
        <f t="shared" si="56"/>
        <v>10034</v>
      </c>
      <c r="CH487" s="3">
        <f t="shared" si="56"/>
        <v>0</v>
      </c>
    </row>
    <row r="488" spans="3:86" x14ac:dyDescent="0.25">
      <c r="C488" s="25">
        <v>16353</v>
      </c>
      <c r="D488" s="11">
        <v>10035</v>
      </c>
      <c r="E488" s="3" t="s">
        <v>130</v>
      </c>
      <c r="F488" s="3" t="s">
        <v>911</v>
      </c>
      <c r="G488" s="3"/>
      <c r="U488" s="3"/>
      <c r="V488" s="3"/>
      <c r="X488" s="3">
        <v>2040</v>
      </c>
      <c r="AS488" s="22">
        <f t="shared" si="26"/>
        <v>2040</v>
      </c>
      <c r="AT488" s="3">
        <v>2040</v>
      </c>
      <c r="AU488" s="3"/>
      <c r="BD488" s="3"/>
      <c r="BE488" s="3"/>
      <c r="CE488" s="22">
        <f t="shared" si="58"/>
        <v>2040</v>
      </c>
      <c r="CF488" s="3">
        <f t="shared" si="59"/>
        <v>0</v>
      </c>
      <c r="CG488" s="17">
        <f t="shared" si="56"/>
        <v>10035</v>
      </c>
      <c r="CH488" s="3" t="str">
        <f t="shared" si="56"/>
        <v>خ ت طب</v>
      </c>
    </row>
    <row r="489" spans="3:86" x14ac:dyDescent="0.25">
      <c r="C489" s="25">
        <v>16537</v>
      </c>
      <c r="D489" s="11">
        <v>10036</v>
      </c>
      <c r="E489" s="3" t="s">
        <v>130</v>
      </c>
      <c r="F489" s="3" t="s">
        <v>912</v>
      </c>
      <c r="G489" s="3"/>
      <c r="U489" s="3"/>
      <c r="V489" s="3"/>
      <c r="X489" s="3">
        <v>1912.5</v>
      </c>
      <c r="AS489" s="22">
        <f t="shared" si="26"/>
        <v>1912.5</v>
      </c>
      <c r="AT489" s="3">
        <v>1912.5</v>
      </c>
      <c r="AU489" s="3"/>
      <c r="BD489" s="3"/>
      <c r="BE489" s="3"/>
      <c r="CE489" s="22">
        <f t="shared" si="58"/>
        <v>1912.5</v>
      </c>
      <c r="CF489" s="3">
        <f t="shared" si="59"/>
        <v>0</v>
      </c>
      <c r="CG489" s="17">
        <f t="shared" si="56"/>
        <v>10036</v>
      </c>
      <c r="CH489" s="3" t="str">
        <f t="shared" si="56"/>
        <v>خ ت طب</v>
      </c>
    </row>
    <row r="490" spans="3:86" x14ac:dyDescent="0.25">
      <c r="C490" s="25">
        <v>16536</v>
      </c>
      <c r="D490" s="11">
        <v>10037</v>
      </c>
      <c r="E490" s="3" t="s">
        <v>130</v>
      </c>
      <c r="F490" s="3" t="s">
        <v>913</v>
      </c>
      <c r="G490" s="3"/>
      <c r="U490" s="3"/>
      <c r="V490" s="3"/>
      <c r="X490" s="3">
        <v>285</v>
      </c>
      <c r="AS490" s="22">
        <f t="shared" si="26"/>
        <v>285</v>
      </c>
      <c r="AT490" s="3">
        <v>285</v>
      </c>
      <c r="AU490" s="3"/>
      <c r="BD490" s="3"/>
      <c r="BE490" s="3"/>
      <c r="CE490" s="22">
        <f t="shared" si="58"/>
        <v>285</v>
      </c>
      <c r="CF490" s="3">
        <f t="shared" si="59"/>
        <v>0</v>
      </c>
      <c r="CG490" s="17">
        <f t="shared" si="56"/>
        <v>10037</v>
      </c>
      <c r="CH490" s="3" t="str">
        <f t="shared" si="56"/>
        <v>خ ت طب</v>
      </c>
    </row>
    <row r="491" spans="3:86" x14ac:dyDescent="0.25">
      <c r="C491" s="25">
        <v>15377</v>
      </c>
      <c r="D491" s="11">
        <v>10038</v>
      </c>
      <c r="E491" s="3" t="s">
        <v>130</v>
      </c>
      <c r="F491" s="3" t="s">
        <v>914</v>
      </c>
      <c r="G491" s="3"/>
      <c r="I491" s="3">
        <v>7500</v>
      </c>
      <c r="U491" s="3"/>
      <c r="V491" s="3"/>
      <c r="AS491" s="22">
        <f t="shared" si="26"/>
        <v>7500</v>
      </c>
      <c r="AT491" s="3">
        <v>6816.7</v>
      </c>
      <c r="AU491" s="3">
        <v>420.7</v>
      </c>
      <c r="BD491" s="3"/>
      <c r="BE491" s="3"/>
      <c r="BG491" s="3">
        <v>197.4</v>
      </c>
      <c r="BH491" s="3">
        <v>6</v>
      </c>
      <c r="BI491" s="3">
        <f>29.6*2</f>
        <v>59.2</v>
      </c>
      <c r="CE491" s="22">
        <f t="shared" si="58"/>
        <v>7499.9999999999991</v>
      </c>
      <c r="CF491" s="3">
        <f t="shared" si="59"/>
        <v>0</v>
      </c>
      <c r="CG491" s="17">
        <f t="shared" si="56"/>
        <v>10038</v>
      </c>
      <c r="CH491" s="3" t="str">
        <f t="shared" si="56"/>
        <v>خ ت طب</v>
      </c>
    </row>
    <row r="492" spans="3:86" x14ac:dyDescent="0.25">
      <c r="C492" s="25">
        <v>15379</v>
      </c>
      <c r="D492" s="11">
        <v>10039</v>
      </c>
      <c r="E492" s="3" t="s">
        <v>130</v>
      </c>
      <c r="F492" s="3" t="s">
        <v>914</v>
      </c>
      <c r="G492" s="3"/>
      <c r="I492" s="3">
        <v>7524</v>
      </c>
      <c r="U492" s="3"/>
      <c r="V492" s="3"/>
      <c r="AS492" s="22">
        <f t="shared" si="26"/>
        <v>7524</v>
      </c>
      <c r="AT492" s="3">
        <v>6838.7</v>
      </c>
      <c r="AU492" s="3">
        <v>421.9</v>
      </c>
      <c r="BD492" s="3"/>
      <c r="BE492" s="3"/>
      <c r="BG492" s="3">
        <v>198</v>
      </c>
      <c r="BH492" s="3">
        <v>6</v>
      </c>
      <c r="BI492" s="3">
        <f>29.7*2</f>
        <v>59.4</v>
      </c>
      <c r="CE492" s="22">
        <f t="shared" si="58"/>
        <v>7523.9999999999991</v>
      </c>
      <c r="CF492" s="3">
        <f t="shared" si="59"/>
        <v>0</v>
      </c>
      <c r="CG492" s="17">
        <f t="shared" si="56"/>
        <v>10039</v>
      </c>
      <c r="CH492" s="3" t="str">
        <f t="shared" si="56"/>
        <v>خ ت طب</v>
      </c>
    </row>
    <row r="493" spans="3:86" x14ac:dyDescent="0.25">
      <c r="C493" s="25">
        <v>16392</v>
      </c>
      <c r="D493" s="11">
        <v>10040</v>
      </c>
      <c r="E493" s="3" t="s">
        <v>130</v>
      </c>
      <c r="F493" s="3" t="s">
        <v>915</v>
      </c>
      <c r="G493" s="3"/>
      <c r="I493" s="3">
        <v>16250.7</v>
      </c>
      <c r="U493" s="3"/>
      <c r="V493" s="3"/>
      <c r="AS493" s="22">
        <f t="shared" si="26"/>
        <v>16250.7</v>
      </c>
      <c r="AT493" s="3">
        <v>15372.7</v>
      </c>
      <c r="AU493" s="3">
        <f>185.25+555.75+2.7</f>
        <v>743.7</v>
      </c>
      <c r="BD493" s="3"/>
      <c r="BE493" s="3"/>
      <c r="BH493" s="3">
        <v>6</v>
      </c>
      <c r="BI493" s="3">
        <f>64.15*2</f>
        <v>128.30000000000001</v>
      </c>
      <c r="CE493" s="22">
        <f t="shared" si="58"/>
        <v>16250.7</v>
      </c>
      <c r="CF493" s="3">
        <f t="shared" si="59"/>
        <v>0</v>
      </c>
      <c r="CG493" s="17">
        <f t="shared" si="56"/>
        <v>10040</v>
      </c>
      <c r="CH493" s="3" t="str">
        <f t="shared" si="56"/>
        <v>خ ت طب</v>
      </c>
    </row>
    <row r="494" spans="3:86" x14ac:dyDescent="0.25">
      <c r="C494" s="25">
        <v>16685</v>
      </c>
      <c r="D494" s="11">
        <v>10041</v>
      </c>
      <c r="E494" s="3" t="s">
        <v>78</v>
      </c>
      <c r="F494" s="3" t="s">
        <v>916</v>
      </c>
      <c r="G494" s="3"/>
      <c r="I494" s="3">
        <v>19380</v>
      </c>
      <c r="U494" s="3"/>
      <c r="V494" s="3"/>
      <c r="AS494" s="22">
        <f t="shared" si="26"/>
        <v>19380</v>
      </c>
      <c r="AT494" s="3">
        <v>17904.400000000001</v>
      </c>
      <c r="AU494" s="3">
        <v>808.6</v>
      </c>
      <c r="BD494" s="3"/>
      <c r="BE494" s="3"/>
      <c r="BG494" s="3">
        <v>510</v>
      </c>
      <c r="BH494" s="3">
        <v>4</v>
      </c>
      <c r="BI494" s="3">
        <f>76.5*2</f>
        <v>153</v>
      </c>
      <c r="CE494" s="22">
        <f t="shared" si="58"/>
        <v>19380</v>
      </c>
      <c r="CF494" s="3">
        <f t="shared" si="59"/>
        <v>0</v>
      </c>
      <c r="CG494" s="17">
        <f t="shared" si="56"/>
        <v>10041</v>
      </c>
      <c r="CH494" s="3" t="str">
        <f t="shared" si="56"/>
        <v>برنامج دولى</v>
      </c>
    </row>
    <row r="495" spans="3:86" x14ac:dyDescent="0.25">
      <c r="C495" s="25">
        <v>16374</v>
      </c>
      <c r="D495" s="11">
        <v>10042</v>
      </c>
      <c r="E495" s="3" t="s">
        <v>78</v>
      </c>
      <c r="F495" s="3" t="s">
        <v>917</v>
      </c>
      <c r="G495" s="3"/>
      <c r="I495" s="3">
        <v>74300</v>
      </c>
      <c r="L495" s="3">
        <v>7500</v>
      </c>
      <c r="M495" s="3">
        <v>7500</v>
      </c>
      <c r="N495" s="3">
        <v>7500</v>
      </c>
      <c r="U495" s="3"/>
      <c r="V495" s="3"/>
      <c r="AS495" s="22">
        <f t="shared" si="26"/>
        <v>96800</v>
      </c>
      <c r="AT495" s="3">
        <v>78055.3</v>
      </c>
      <c r="AU495" s="3">
        <v>2399.1999999999998</v>
      </c>
      <c r="AW495" s="3">
        <v>5</v>
      </c>
      <c r="BD495" s="3"/>
      <c r="BE495" s="3"/>
      <c r="BG495" s="3">
        <v>818</v>
      </c>
      <c r="BH495" s="3">
        <v>80</v>
      </c>
      <c r="BI495" s="3">
        <f>33.75*2</f>
        <v>67.5</v>
      </c>
      <c r="BJ495" s="3">
        <v>375</v>
      </c>
      <c r="BL495" s="3">
        <v>7500</v>
      </c>
      <c r="BM495" s="3">
        <v>7500</v>
      </c>
      <c r="CE495" s="22">
        <f t="shared" si="58"/>
        <v>96800</v>
      </c>
      <c r="CF495" s="3">
        <f t="shared" si="59"/>
        <v>0</v>
      </c>
      <c r="CG495" s="17">
        <f t="shared" si="56"/>
        <v>10042</v>
      </c>
      <c r="CH495" s="3" t="str">
        <f t="shared" si="56"/>
        <v>برنامج دولى</v>
      </c>
    </row>
    <row r="496" spans="3:86" x14ac:dyDescent="0.25">
      <c r="C496" s="25">
        <v>15916</v>
      </c>
      <c r="D496" s="11">
        <v>10043</v>
      </c>
      <c r="E496" s="3" t="s">
        <v>132</v>
      </c>
      <c r="F496" s="3" t="s">
        <v>918</v>
      </c>
      <c r="G496" s="3"/>
      <c r="I496" s="3">
        <v>7000</v>
      </c>
      <c r="P496" s="3">
        <v>7000</v>
      </c>
      <c r="U496" s="3"/>
      <c r="V496" s="3"/>
      <c r="AS496" s="22">
        <f t="shared" si="26"/>
        <v>14000</v>
      </c>
      <c r="AT496" s="3">
        <v>7000</v>
      </c>
      <c r="AU496" s="3"/>
      <c r="BD496" s="3"/>
      <c r="BE496" s="3"/>
      <c r="BO496" s="3">
        <v>7000</v>
      </c>
      <c r="CE496" s="22">
        <f t="shared" si="58"/>
        <v>14000</v>
      </c>
      <c r="CF496" s="3">
        <f t="shared" si="59"/>
        <v>0</v>
      </c>
      <c r="CG496" s="17">
        <f t="shared" si="56"/>
        <v>10043</v>
      </c>
      <c r="CH496" s="3" t="str">
        <f t="shared" si="56"/>
        <v>صيدلة اكلينيكى</v>
      </c>
    </row>
    <row r="497" spans="2:86" x14ac:dyDescent="0.25">
      <c r="B497" s="17" t="s">
        <v>919</v>
      </c>
      <c r="C497" s="25">
        <v>16500</v>
      </c>
      <c r="D497" s="11">
        <v>10044</v>
      </c>
      <c r="E497" s="3" t="s">
        <v>132</v>
      </c>
      <c r="F497" s="3" t="s">
        <v>920</v>
      </c>
      <c r="G497" s="3"/>
      <c r="H497" s="3">
        <v>15600</v>
      </c>
      <c r="U497" s="3"/>
      <c r="V497" s="3"/>
      <c r="AS497" s="22">
        <f t="shared" si="26"/>
        <v>15600</v>
      </c>
      <c r="AT497" s="3">
        <v>14513.68</v>
      </c>
      <c r="AU497" s="3">
        <f>114.2+372.12</f>
        <v>486.32</v>
      </c>
      <c r="AW497" s="3">
        <v>600</v>
      </c>
      <c r="BD497" s="3"/>
      <c r="BE497" s="3"/>
      <c r="CE497" s="22">
        <f t="shared" si="58"/>
        <v>15600</v>
      </c>
      <c r="CF497" s="3">
        <f t="shared" si="59"/>
        <v>0</v>
      </c>
      <c r="CG497" s="17">
        <f t="shared" si="56"/>
        <v>10044</v>
      </c>
      <c r="CH497" s="3" t="str">
        <f t="shared" si="56"/>
        <v>صيدلة اكلينيكى</v>
      </c>
    </row>
    <row r="498" spans="2:86" x14ac:dyDescent="0.25">
      <c r="C498" s="25">
        <v>16486</v>
      </c>
      <c r="D498" s="11">
        <v>10045</v>
      </c>
      <c r="E498" s="3" t="s">
        <v>132</v>
      </c>
      <c r="F498" s="3" t="s">
        <v>920</v>
      </c>
      <c r="G498" s="3"/>
      <c r="H498" s="3">
        <v>52528.01</v>
      </c>
      <c r="U498" s="3"/>
      <c r="V498" s="3"/>
      <c r="AS498" s="22">
        <f t="shared" si="26"/>
        <v>52528.01</v>
      </c>
      <c r="AT498" s="3">
        <v>37710.69</v>
      </c>
      <c r="AU498" s="3">
        <f>294.4+966.91</f>
        <v>1261.31</v>
      </c>
      <c r="AV498" s="3">
        <v>12656.01</v>
      </c>
      <c r="AW498" s="3">
        <v>900</v>
      </c>
      <c r="BD498" s="3"/>
      <c r="BE498" s="3"/>
      <c r="CE498" s="22">
        <f t="shared" si="58"/>
        <v>52528.01</v>
      </c>
      <c r="CF498" s="3">
        <f t="shared" si="59"/>
        <v>0</v>
      </c>
      <c r="CG498" s="17">
        <f t="shared" si="56"/>
        <v>10045</v>
      </c>
      <c r="CH498" s="3" t="str">
        <f t="shared" si="56"/>
        <v>صيدلة اكلينيكى</v>
      </c>
    </row>
    <row r="499" spans="2:86" x14ac:dyDescent="0.25">
      <c r="B499" s="3"/>
      <c r="C499" s="25">
        <v>16487</v>
      </c>
      <c r="D499" s="11">
        <v>10046</v>
      </c>
      <c r="E499" s="3" t="s">
        <v>132</v>
      </c>
      <c r="F499" s="3" t="s">
        <v>921</v>
      </c>
      <c r="G499" s="3"/>
      <c r="H499" s="3">
        <v>6100</v>
      </c>
      <c r="U499" s="3"/>
      <c r="V499" s="3"/>
      <c r="AS499" s="22">
        <f t="shared" si="26"/>
        <v>6100</v>
      </c>
      <c r="AT499" s="3">
        <v>5444.99</v>
      </c>
      <c r="AU499" s="3">
        <f>610+45.01</f>
        <v>655.01</v>
      </c>
      <c r="BD499" s="3"/>
      <c r="BE499" s="3"/>
      <c r="CE499" s="22">
        <f t="shared" si="58"/>
        <v>6100</v>
      </c>
      <c r="CF499" s="3">
        <f t="shared" si="59"/>
        <v>0</v>
      </c>
      <c r="CG499" s="17">
        <f t="shared" si="56"/>
        <v>10046</v>
      </c>
      <c r="CH499" s="3" t="str">
        <f t="shared" si="56"/>
        <v>صيدلة اكلينيكى</v>
      </c>
    </row>
    <row r="500" spans="2:86" x14ac:dyDescent="0.25">
      <c r="B500" s="3"/>
      <c r="C500" s="25">
        <v>16488</v>
      </c>
      <c r="D500" s="11">
        <v>10047</v>
      </c>
      <c r="E500" s="3" t="s">
        <v>132</v>
      </c>
      <c r="F500" s="3" t="s">
        <v>922</v>
      </c>
      <c r="G500" s="3"/>
      <c r="H500" s="3">
        <v>4221</v>
      </c>
      <c r="U500" s="3"/>
      <c r="V500" s="3"/>
      <c r="AS500" s="22">
        <f t="shared" si="26"/>
        <v>4221</v>
      </c>
      <c r="AT500" s="3">
        <v>3100.79</v>
      </c>
      <c r="AU500" s="3">
        <f>23.7+79.51</f>
        <v>103.21000000000001</v>
      </c>
      <c r="AV500" s="3">
        <v>1017</v>
      </c>
      <c r="BD500" s="3"/>
      <c r="BE500" s="3"/>
      <c r="CE500" s="22">
        <f t="shared" si="58"/>
        <v>4221</v>
      </c>
      <c r="CF500" s="3">
        <f t="shared" si="59"/>
        <v>0</v>
      </c>
      <c r="CG500" s="17">
        <f t="shared" si="56"/>
        <v>10047</v>
      </c>
      <c r="CH500" s="3" t="str">
        <f t="shared" si="56"/>
        <v>صيدلة اكلينيكى</v>
      </c>
    </row>
    <row r="501" spans="2:86" x14ac:dyDescent="0.25">
      <c r="C501" s="25">
        <v>16366</v>
      </c>
      <c r="D501" s="11">
        <v>10048</v>
      </c>
      <c r="E501" s="3" t="s">
        <v>132</v>
      </c>
      <c r="F501" s="3" t="s">
        <v>923</v>
      </c>
      <c r="G501" s="3"/>
      <c r="H501" s="3">
        <v>2251.1999999999998</v>
      </c>
      <c r="U501" s="3"/>
      <c r="V501" s="3"/>
      <c r="AS501" s="22">
        <f t="shared" si="26"/>
        <v>2251.1999999999998</v>
      </c>
      <c r="AT501" s="3">
        <v>1504.95</v>
      </c>
      <c r="AU501" s="3">
        <v>203.85</v>
      </c>
      <c r="AV501" s="3">
        <v>542.4</v>
      </c>
      <c r="BD501" s="3"/>
      <c r="BE501" s="3"/>
      <c r="CE501" s="22">
        <f t="shared" si="58"/>
        <v>2251.1999999999998</v>
      </c>
      <c r="CF501" s="3">
        <f t="shared" si="59"/>
        <v>0</v>
      </c>
      <c r="CG501" s="17">
        <f t="shared" si="56"/>
        <v>10048</v>
      </c>
      <c r="CH501" s="3" t="str">
        <f t="shared" si="56"/>
        <v>صيدلة اكلينيكى</v>
      </c>
    </row>
    <row r="502" spans="2:86" x14ac:dyDescent="0.25">
      <c r="B502" s="3"/>
      <c r="C502" s="25">
        <v>16365</v>
      </c>
      <c r="D502" s="11">
        <v>10049</v>
      </c>
      <c r="E502" s="3" t="s">
        <v>132</v>
      </c>
      <c r="F502" s="3" t="s">
        <v>923</v>
      </c>
      <c r="G502" s="3"/>
      <c r="H502" s="3">
        <v>5768.7</v>
      </c>
      <c r="U502" s="3"/>
      <c r="V502" s="3"/>
      <c r="AS502" s="22">
        <f t="shared" si="26"/>
        <v>5768.7</v>
      </c>
      <c r="AT502" s="3">
        <v>3858.45</v>
      </c>
      <c r="AU502" s="3">
        <v>520.35</v>
      </c>
      <c r="AV502" s="3">
        <v>1389.9</v>
      </c>
      <c r="BD502" s="3"/>
      <c r="BE502" s="3"/>
      <c r="CE502" s="22">
        <f t="shared" si="58"/>
        <v>5768.7000000000007</v>
      </c>
      <c r="CF502" s="3">
        <f t="shared" si="59"/>
        <v>0</v>
      </c>
      <c r="CG502" s="17">
        <f t="shared" si="56"/>
        <v>10049</v>
      </c>
      <c r="CH502" s="3" t="str">
        <f t="shared" si="56"/>
        <v>صيدلة اكلينيكى</v>
      </c>
    </row>
    <row r="503" spans="2:86" x14ac:dyDescent="0.25">
      <c r="C503" s="25">
        <v>16367</v>
      </c>
      <c r="D503" s="11">
        <v>10050</v>
      </c>
      <c r="E503" s="3" t="s">
        <v>132</v>
      </c>
      <c r="F503" s="3" t="s">
        <v>923</v>
      </c>
      <c r="G503" s="3"/>
      <c r="H503" s="3">
        <v>22511.73</v>
      </c>
      <c r="U503" s="3"/>
      <c r="V503" s="3"/>
      <c r="AS503" s="22">
        <f t="shared" si="26"/>
        <v>22511.73</v>
      </c>
      <c r="AT503" s="3">
        <v>15608.34</v>
      </c>
      <c r="AU503" s="3">
        <v>2069.4</v>
      </c>
      <c r="AV503" s="3">
        <v>4833.99</v>
      </c>
      <c r="BD503" s="3"/>
      <c r="BE503" s="3"/>
      <c r="CE503" s="22">
        <f t="shared" si="58"/>
        <v>22511.730000000003</v>
      </c>
      <c r="CF503" s="3">
        <f t="shared" si="59"/>
        <v>0</v>
      </c>
      <c r="CG503" s="17">
        <f t="shared" si="56"/>
        <v>10050</v>
      </c>
      <c r="CH503" s="3" t="str">
        <f t="shared" si="56"/>
        <v>صيدلة اكلينيكى</v>
      </c>
    </row>
    <row r="504" spans="2:86" x14ac:dyDescent="0.25">
      <c r="B504" s="17">
        <f>119108.77-68279.5</f>
        <v>50829.270000000004</v>
      </c>
      <c r="C504" s="25">
        <v>16368</v>
      </c>
      <c r="D504" s="11">
        <v>10051</v>
      </c>
      <c r="E504" s="3" t="s">
        <v>132</v>
      </c>
      <c r="F504" s="3" t="s">
        <v>923</v>
      </c>
      <c r="G504" s="3"/>
      <c r="H504" s="3">
        <v>6923.1</v>
      </c>
      <c r="U504" s="3"/>
      <c r="V504" s="3"/>
      <c r="AS504" s="22">
        <f t="shared" si="26"/>
        <v>6923.1</v>
      </c>
      <c r="AT504" s="3">
        <v>5369.03</v>
      </c>
      <c r="AU504" s="3">
        <f>396+39.37</f>
        <v>435.37</v>
      </c>
      <c r="AV504" s="3">
        <v>1118.7</v>
      </c>
      <c r="BD504" s="3"/>
      <c r="BE504" s="3"/>
      <c r="CE504" s="22">
        <f t="shared" si="58"/>
        <v>6923.0999999999995</v>
      </c>
      <c r="CF504" s="3">
        <f t="shared" si="59"/>
        <v>0</v>
      </c>
      <c r="CG504" s="17">
        <f t="shared" si="56"/>
        <v>10051</v>
      </c>
      <c r="CH504" s="3" t="str">
        <f t="shared" si="56"/>
        <v>صيدلة اكلينيكى</v>
      </c>
    </row>
    <row r="505" spans="2:86" x14ac:dyDescent="0.25">
      <c r="B505" s="3"/>
      <c r="C505" s="25">
        <v>15959</v>
      </c>
      <c r="D505" s="11">
        <v>10052</v>
      </c>
      <c r="E505" s="3" t="s">
        <v>132</v>
      </c>
      <c r="F505" s="3" t="s">
        <v>924</v>
      </c>
      <c r="G505" s="3"/>
      <c r="H505" s="3">
        <v>7659.57</v>
      </c>
      <c r="U505" s="3"/>
      <c r="V505" s="3"/>
      <c r="AS505" s="22">
        <f t="shared" si="26"/>
        <v>7659.57</v>
      </c>
      <c r="AT505" s="3">
        <v>5175.33</v>
      </c>
      <c r="AU505" s="3">
        <v>600.62</v>
      </c>
      <c r="AV505" s="3">
        <v>1883.62</v>
      </c>
      <c r="BD505" s="3"/>
      <c r="BE505" s="3"/>
      <c r="CE505" s="22">
        <f t="shared" si="58"/>
        <v>7659.57</v>
      </c>
      <c r="CF505" s="3">
        <f t="shared" si="59"/>
        <v>0</v>
      </c>
      <c r="CG505" s="17">
        <f t="shared" si="56"/>
        <v>10052</v>
      </c>
      <c r="CH505" s="3" t="str">
        <f t="shared" si="56"/>
        <v>صيدلة اكلينيكى</v>
      </c>
    </row>
    <row r="506" spans="2:86" x14ac:dyDescent="0.25">
      <c r="B506" s="3"/>
      <c r="C506" s="25">
        <v>15958</v>
      </c>
      <c r="D506" s="11">
        <v>10053</v>
      </c>
      <c r="E506" s="3" t="s">
        <v>132</v>
      </c>
      <c r="F506" s="3" t="s">
        <v>924</v>
      </c>
      <c r="G506" s="3"/>
      <c r="H506" s="3">
        <v>733.41</v>
      </c>
      <c r="U506" s="3"/>
      <c r="V506" s="3"/>
      <c r="AS506" s="22">
        <f t="shared" si="26"/>
        <v>733.41</v>
      </c>
      <c r="AT506" s="3">
        <v>498.78</v>
      </c>
      <c r="AU506" s="3">
        <v>57.96</v>
      </c>
      <c r="AV506" s="3">
        <v>176.67</v>
      </c>
      <c r="BD506" s="3"/>
      <c r="BE506" s="3"/>
      <c r="CE506" s="22">
        <f t="shared" si="58"/>
        <v>733.41</v>
      </c>
      <c r="CF506" s="3">
        <f t="shared" si="59"/>
        <v>0</v>
      </c>
      <c r="CG506" s="17">
        <f t="shared" si="56"/>
        <v>10053</v>
      </c>
      <c r="CH506" s="3" t="str">
        <f t="shared" si="56"/>
        <v>صيدلة اكلينيكى</v>
      </c>
    </row>
    <row r="507" spans="2:86" x14ac:dyDescent="0.25">
      <c r="B507" s="3"/>
      <c r="C507" s="25">
        <v>15957</v>
      </c>
      <c r="D507" s="11">
        <v>10054</v>
      </c>
      <c r="E507" s="3" t="s">
        <v>132</v>
      </c>
      <c r="F507" s="3" t="s">
        <v>924</v>
      </c>
      <c r="G507" s="3"/>
      <c r="H507" s="3">
        <v>982.28</v>
      </c>
      <c r="U507" s="3"/>
      <c r="V507" s="3"/>
      <c r="AS507" s="22">
        <f t="shared" si="26"/>
        <v>982.28</v>
      </c>
      <c r="AT507" s="3">
        <v>668.09</v>
      </c>
      <c r="AU507" s="3">
        <v>77.53</v>
      </c>
      <c r="AV507" s="3">
        <v>236.66</v>
      </c>
      <c r="BD507" s="3"/>
      <c r="BE507" s="3"/>
      <c r="CE507" s="22">
        <f t="shared" si="58"/>
        <v>982.28</v>
      </c>
      <c r="CF507" s="3">
        <f t="shared" si="59"/>
        <v>0</v>
      </c>
      <c r="CG507" s="17">
        <f t="shared" si="56"/>
        <v>10054</v>
      </c>
      <c r="CH507" s="3" t="str">
        <f t="shared" si="56"/>
        <v>صيدلة اكلينيكى</v>
      </c>
    </row>
    <row r="508" spans="2:86" x14ac:dyDescent="0.25">
      <c r="C508" s="25">
        <v>16439</v>
      </c>
      <c r="D508" s="11">
        <v>10055</v>
      </c>
      <c r="E508" s="3" t="s">
        <v>925</v>
      </c>
      <c r="F508" s="3" t="s">
        <v>926</v>
      </c>
      <c r="G508" s="3"/>
      <c r="H508" s="3">
        <v>424.51</v>
      </c>
      <c r="U508" s="3"/>
      <c r="V508" s="3"/>
      <c r="AS508" s="22">
        <f t="shared" si="26"/>
        <v>424.51</v>
      </c>
      <c r="AT508" s="3">
        <v>325.04000000000002</v>
      </c>
      <c r="AU508" s="3">
        <v>41.27</v>
      </c>
      <c r="AV508" s="3">
        <v>38.14</v>
      </c>
      <c r="AW508" s="3">
        <v>20.059999999999999</v>
      </c>
      <c r="BD508" s="3"/>
      <c r="BE508" s="3"/>
      <c r="CE508" s="22">
        <f t="shared" si="58"/>
        <v>424.51</v>
      </c>
      <c r="CF508" s="3">
        <f t="shared" si="59"/>
        <v>0</v>
      </c>
      <c r="CG508" s="17">
        <f t="shared" si="56"/>
        <v>10055</v>
      </c>
      <c r="CH508" s="3" t="str">
        <f t="shared" si="56"/>
        <v xml:space="preserve">خ ت اسنان </v>
      </c>
    </row>
    <row r="509" spans="2:86" x14ac:dyDescent="0.25">
      <c r="B509" s="3"/>
      <c r="C509" s="25">
        <v>16457</v>
      </c>
      <c r="D509" s="11">
        <v>10056</v>
      </c>
      <c r="E509" s="3" t="s">
        <v>925</v>
      </c>
      <c r="F509" s="3" t="s">
        <v>927</v>
      </c>
      <c r="G509" s="3"/>
      <c r="H509" s="3">
        <v>600</v>
      </c>
      <c r="U509" s="3"/>
      <c r="V509" s="3"/>
      <c r="AS509" s="22">
        <f t="shared" si="26"/>
        <v>600</v>
      </c>
      <c r="AT509" s="3">
        <v>506.7</v>
      </c>
      <c r="AU509" s="3">
        <v>63.3</v>
      </c>
      <c r="AW509" s="3">
        <v>30</v>
      </c>
      <c r="BD509" s="3"/>
      <c r="BE509" s="3"/>
      <c r="CE509" s="22">
        <f t="shared" si="58"/>
        <v>600</v>
      </c>
      <c r="CF509" s="3">
        <f t="shared" si="59"/>
        <v>0</v>
      </c>
      <c r="CG509" s="17">
        <f t="shared" si="56"/>
        <v>10056</v>
      </c>
      <c r="CH509" s="3" t="str">
        <f t="shared" si="56"/>
        <v xml:space="preserve">خ ت اسنان </v>
      </c>
    </row>
    <row r="510" spans="2:86" x14ac:dyDescent="0.25">
      <c r="C510" s="25">
        <v>16456</v>
      </c>
      <c r="D510" s="11">
        <v>10057</v>
      </c>
      <c r="E510" s="3" t="s">
        <v>925</v>
      </c>
      <c r="F510" s="3" t="s">
        <v>927</v>
      </c>
      <c r="G510" s="3"/>
      <c r="H510" s="3">
        <v>2917</v>
      </c>
      <c r="U510" s="3"/>
      <c r="V510" s="3"/>
      <c r="AS510" s="22">
        <f t="shared" si="26"/>
        <v>2917</v>
      </c>
      <c r="AT510" s="3">
        <v>2444.9</v>
      </c>
      <c r="AU510" s="3">
        <v>306.10000000000002</v>
      </c>
      <c r="AV510" s="3">
        <v>21</v>
      </c>
      <c r="AW510" s="3">
        <v>145</v>
      </c>
      <c r="BD510" s="3"/>
      <c r="BE510" s="3"/>
      <c r="CE510" s="22">
        <f t="shared" si="58"/>
        <v>2917</v>
      </c>
      <c r="CF510" s="3">
        <f t="shared" si="59"/>
        <v>0</v>
      </c>
      <c r="CG510" s="17">
        <f t="shared" si="56"/>
        <v>10057</v>
      </c>
      <c r="CH510" s="3" t="str">
        <f t="shared" si="56"/>
        <v xml:space="preserve">خ ت اسنان </v>
      </c>
    </row>
    <row r="511" spans="2:86" x14ac:dyDescent="0.25">
      <c r="C511" s="25">
        <v>16458</v>
      </c>
      <c r="D511" s="11">
        <v>10058</v>
      </c>
      <c r="E511" s="3" t="s">
        <v>925</v>
      </c>
      <c r="F511" s="3" t="s">
        <v>928</v>
      </c>
      <c r="G511" s="3"/>
      <c r="H511" s="3">
        <v>2800</v>
      </c>
      <c r="U511" s="3"/>
      <c r="V511" s="3"/>
      <c r="AS511" s="22">
        <f t="shared" si="26"/>
        <v>2800</v>
      </c>
      <c r="AT511" s="3">
        <v>2364.5</v>
      </c>
      <c r="AU511" s="3">
        <v>295.5</v>
      </c>
      <c r="AW511" s="3">
        <v>140</v>
      </c>
      <c r="BD511" s="3"/>
      <c r="BE511" s="3"/>
      <c r="CE511" s="22">
        <f t="shared" si="58"/>
        <v>2800</v>
      </c>
      <c r="CF511" s="3">
        <f t="shared" si="59"/>
        <v>0</v>
      </c>
      <c r="CG511" s="17">
        <f t="shared" si="56"/>
        <v>10058</v>
      </c>
      <c r="CH511" s="3" t="str">
        <f t="shared" si="56"/>
        <v xml:space="preserve">خ ت اسنان </v>
      </c>
    </row>
    <row r="512" spans="2:86" x14ac:dyDescent="0.25">
      <c r="C512" s="25">
        <v>16459</v>
      </c>
      <c r="D512" s="11">
        <v>10059</v>
      </c>
      <c r="E512" s="3" t="s">
        <v>925</v>
      </c>
      <c r="F512" s="3" t="s">
        <v>928</v>
      </c>
      <c r="G512" s="3"/>
      <c r="H512" s="3">
        <v>600</v>
      </c>
      <c r="U512" s="3"/>
      <c r="V512" s="3"/>
      <c r="AS512" s="22">
        <f t="shared" si="26"/>
        <v>600</v>
      </c>
      <c r="AT512" s="3">
        <v>506.7</v>
      </c>
      <c r="AU512" s="3">
        <v>63.3</v>
      </c>
      <c r="AW512" s="3">
        <v>30</v>
      </c>
      <c r="BD512" s="3"/>
      <c r="BE512" s="3"/>
      <c r="CE512" s="22">
        <f t="shared" si="58"/>
        <v>600</v>
      </c>
      <c r="CF512" s="3">
        <f t="shared" si="59"/>
        <v>0</v>
      </c>
      <c r="CG512" s="17">
        <f t="shared" si="56"/>
        <v>10059</v>
      </c>
      <c r="CH512" s="3" t="str">
        <f t="shared" si="56"/>
        <v xml:space="preserve">خ ت اسنان </v>
      </c>
    </row>
    <row r="513" spans="2:86" x14ac:dyDescent="0.25">
      <c r="C513" s="25">
        <v>16434</v>
      </c>
      <c r="D513" s="11">
        <v>10060</v>
      </c>
      <c r="E513" s="3" t="s">
        <v>925</v>
      </c>
      <c r="F513" s="3" t="s">
        <v>929</v>
      </c>
      <c r="G513" s="3"/>
      <c r="H513" s="3">
        <v>1000</v>
      </c>
      <c r="U513" s="3"/>
      <c r="V513" s="3"/>
      <c r="AS513" s="22">
        <f t="shared" si="26"/>
        <v>1000</v>
      </c>
      <c r="AT513" s="3">
        <v>843.35</v>
      </c>
      <c r="AU513" s="3">
        <v>106.65</v>
      </c>
      <c r="AW513" s="3">
        <v>50</v>
      </c>
      <c r="BD513" s="3"/>
      <c r="BE513" s="3"/>
      <c r="CE513" s="22">
        <f t="shared" si="58"/>
        <v>1000</v>
      </c>
      <c r="CF513" s="3">
        <f t="shared" si="59"/>
        <v>0</v>
      </c>
      <c r="CG513" s="17">
        <f t="shared" si="56"/>
        <v>10060</v>
      </c>
      <c r="CH513" s="3" t="str">
        <f t="shared" si="56"/>
        <v xml:space="preserve">خ ت اسنان </v>
      </c>
    </row>
    <row r="514" spans="2:86" x14ac:dyDescent="0.25">
      <c r="C514" s="25">
        <v>16436</v>
      </c>
      <c r="D514" s="11">
        <v>10061</v>
      </c>
      <c r="E514" s="3" t="s">
        <v>925</v>
      </c>
      <c r="F514" s="3" t="s">
        <v>930</v>
      </c>
      <c r="G514" s="3"/>
      <c r="H514" s="3">
        <v>1361.05</v>
      </c>
      <c r="U514" s="3"/>
      <c r="V514" s="3"/>
      <c r="AS514" s="22">
        <f t="shared" si="26"/>
        <v>1361.05</v>
      </c>
      <c r="AT514" s="3">
        <v>910.3</v>
      </c>
      <c r="AU514" s="3">
        <v>127</v>
      </c>
      <c r="AV514" s="3">
        <v>263.75</v>
      </c>
      <c r="AW514" s="3">
        <v>60</v>
      </c>
      <c r="BD514" s="3"/>
      <c r="BE514" s="3"/>
      <c r="CE514" s="22">
        <f t="shared" si="58"/>
        <v>1361.05</v>
      </c>
      <c r="CF514" s="3">
        <f t="shared" si="59"/>
        <v>0</v>
      </c>
      <c r="CG514" s="17">
        <f t="shared" si="56"/>
        <v>10061</v>
      </c>
      <c r="CH514" s="3" t="str">
        <f t="shared" si="56"/>
        <v xml:space="preserve">خ ت اسنان </v>
      </c>
    </row>
    <row r="515" spans="2:86" x14ac:dyDescent="0.25">
      <c r="C515" s="25">
        <v>16437</v>
      </c>
      <c r="D515" s="11">
        <v>10062</v>
      </c>
      <c r="E515" s="3" t="s">
        <v>925</v>
      </c>
      <c r="F515" s="3" t="s">
        <v>930</v>
      </c>
      <c r="G515" s="3"/>
      <c r="H515" s="3">
        <v>293.12</v>
      </c>
      <c r="U515" s="3"/>
      <c r="V515" s="3"/>
      <c r="AS515" s="22">
        <f t="shared" si="26"/>
        <v>293.12</v>
      </c>
      <c r="AT515" s="3">
        <v>183.95</v>
      </c>
      <c r="AU515" s="3">
        <v>26.05</v>
      </c>
      <c r="AV515" s="3">
        <v>70.62</v>
      </c>
      <c r="AW515" s="3">
        <v>12.5</v>
      </c>
      <c r="BD515" s="3"/>
      <c r="BE515" s="3"/>
      <c r="CE515" s="22">
        <f t="shared" si="58"/>
        <v>293.12</v>
      </c>
      <c r="CF515" s="3">
        <f t="shared" si="59"/>
        <v>0</v>
      </c>
      <c r="CG515" s="17">
        <f t="shared" si="56"/>
        <v>10062</v>
      </c>
      <c r="CH515" s="3" t="str">
        <f t="shared" si="56"/>
        <v xml:space="preserve">خ ت اسنان </v>
      </c>
    </row>
    <row r="516" spans="2:86" x14ac:dyDescent="0.25">
      <c r="C516" s="25">
        <v>16433</v>
      </c>
      <c r="D516" s="11">
        <v>10063</v>
      </c>
      <c r="E516" s="3" t="s">
        <v>925</v>
      </c>
      <c r="F516" s="3" t="s">
        <v>931</v>
      </c>
      <c r="G516" s="3"/>
      <c r="H516" s="3">
        <v>26000</v>
      </c>
      <c r="U516" s="3"/>
      <c r="V516" s="3"/>
      <c r="AS516" s="22">
        <f t="shared" si="26"/>
        <v>26000</v>
      </c>
      <c r="AT516" s="3">
        <v>21893.599999999999</v>
      </c>
      <c r="AU516" s="3">
        <v>2806.4</v>
      </c>
      <c r="AW516" s="3">
        <v>1300</v>
      </c>
      <c r="BD516" s="3"/>
      <c r="BE516" s="3"/>
      <c r="CE516" s="22">
        <f t="shared" si="58"/>
        <v>26000</v>
      </c>
      <c r="CF516" s="3">
        <f t="shared" si="59"/>
        <v>0</v>
      </c>
      <c r="CG516" s="17">
        <f t="shared" si="56"/>
        <v>10063</v>
      </c>
      <c r="CH516" s="3" t="str">
        <f t="shared" si="56"/>
        <v xml:space="preserve">خ ت اسنان </v>
      </c>
    </row>
    <row r="517" spans="2:86" x14ac:dyDescent="0.25">
      <c r="B517" s="3"/>
      <c r="C517" s="25">
        <v>16438</v>
      </c>
      <c r="D517" s="11">
        <v>10064</v>
      </c>
      <c r="E517" s="3" t="s">
        <v>124</v>
      </c>
      <c r="F517" s="3" t="s">
        <v>932</v>
      </c>
      <c r="G517" s="3"/>
      <c r="H517" s="3">
        <v>726.55</v>
      </c>
      <c r="U517" s="3"/>
      <c r="V517" s="3"/>
      <c r="AS517" s="22">
        <f t="shared" si="26"/>
        <v>726.55</v>
      </c>
      <c r="AT517" s="3">
        <v>552.22</v>
      </c>
      <c r="AU517" s="3">
        <v>70.930000000000007</v>
      </c>
      <c r="AV517" s="3">
        <v>69.19</v>
      </c>
      <c r="AW517" s="3">
        <v>34.21</v>
      </c>
      <c r="BD517" s="3"/>
      <c r="BE517" s="3"/>
      <c r="CE517" s="22">
        <f t="shared" si="58"/>
        <v>726.55000000000018</v>
      </c>
      <c r="CF517" s="3">
        <f t="shared" si="59"/>
        <v>0</v>
      </c>
      <c r="CG517" s="17">
        <f t="shared" si="56"/>
        <v>10064</v>
      </c>
      <c r="CH517" s="3" t="str">
        <f t="shared" si="56"/>
        <v>تكافل اسنان</v>
      </c>
    </row>
    <row r="518" spans="2:86" x14ac:dyDescent="0.25">
      <c r="B518" s="3"/>
      <c r="C518" s="25">
        <v>16541</v>
      </c>
      <c r="D518" s="11">
        <v>10065</v>
      </c>
      <c r="E518" s="3" t="s">
        <v>125</v>
      </c>
      <c r="F518" s="3" t="s">
        <v>933</v>
      </c>
      <c r="G518" s="3"/>
      <c r="H518" s="3">
        <v>4140.72</v>
      </c>
      <c r="U518" s="3"/>
      <c r="V518" s="3"/>
      <c r="AS518" s="22">
        <f t="shared" si="26"/>
        <v>4140.72</v>
      </c>
      <c r="AT518" s="3">
        <v>2954.79</v>
      </c>
      <c r="AU518" s="3">
        <v>388</v>
      </c>
      <c r="AV518" s="3">
        <v>797.93</v>
      </c>
      <c r="BD518" s="3"/>
      <c r="BE518" s="3"/>
      <c r="CE518" s="22">
        <f t="shared" si="58"/>
        <v>4140.72</v>
      </c>
      <c r="CF518" s="3">
        <f t="shared" si="59"/>
        <v>0</v>
      </c>
      <c r="CG518" s="17">
        <f t="shared" si="56"/>
        <v>10065</v>
      </c>
      <c r="CH518" s="3" t="str">
        <f t="shared" si="56"/>
        <v>اختبار مواد</v>
      </c>
    </row>
    <row r="519" spans="2:86" x14ac:dyDescent="0.25">
      <c r="B519" s="3"/>
      <c r="C519" s="25">
        <v>16542</v>
      </c>
      <c r="D519" s="11">
        <v>10066</v>
      </c>
      <c r="E519" s="3" t="s">
        <v>137</v>
      </c>
      <c r="F519" s="3" t="s">
        <v>934</v>
      </c>
      <c r="G519" s="3"/>
      <c r="H519" s="3">
        <v>820.75</v>
      </c>
      <c r="U519" s="3"/>
      <c r="V519" s="3"/>
      <c r="AS519" s="22">
        <f t="shared" si="26"/>
        <v>820.75</v>
      </c>
      <c r="AT519" s="3">
        <v>548.95000000000005</v>
      </c>
      <c r="AU519" s="3">
        <v>74.05</v>
      </c>
      <c r="AV519" s="3">
        <v>197.75</v>
      </c>
      <c r="BD519" s="3"/>
      <c r="BE519" s="3"/>
      <c r="CE519" s="22">
        <f t="shared" si="58"/>
        <v>820.75</v>
      </c>
      <c r="CF519" s="3">
        <f t="shared" si="59"/>
        <v>0</v>
      </c>
      <c r="CG519" s="17">
        <f t="shared" si="56"/>
        <v>10066</v>
      </c>
      <c r="CH519" s="3" t="str">
        <f t="shared" si="56"/>
        <v xml:space="preserve">خدمة عامة </v>
      </c>
    </row>
    <row r="520" spans="2:86" x14ac:dyDescent="0.25">
      <c r="C520" s="25">
        <v>16543</v>
      </c>
      <c r="D520" s="11">
        <v>10067</v>
      </c>
      <c r="E520" s="3" t="s">
        <v>137</v>
      </c>
      <c r="F520" s="3" t="s">
        <v>934</v>
      </c>
      <c r="G520" s="3"/>
      <c r="H520" s="3">
        <v>2000</v>
      </c>
      <c r="U520" s="3"/>
      <c r="V520" s="3"/>
      <c r="AS520" s="22">
        <f t="shared" si="26"/>
        <v>2000</v>
      </c>
      <c r="AT520" s="3">
        <v>1785.35</v>
      </c>
      <c r="AU520" s="3">
        <v>214.65</v>
      </c>
      <c r="BD520" s="3"/>
      <c r="BE520" s="3"/>
      <c r="CE520" s="22">
        <f t="shared" si="58"/>
        <v>2000</v>
      </c>
      <c r="CF520" s="3">
        <f t="shared" si="59"/>
        <v>0</v>
      </c>
      <c r="CG520" s="17">
        <f t="shared" si="56"/>
        <v>10067</v>
      </c>
      <c r="CH520" s="3" t="str">
        <f t="shared" si="56"/>
        <v xml:space="preserve">خدمة عامة </v>
      </c>
    </row>
    <row r="521" spans="2:86" x14ac:dyDescent="0.25">
      <c r="B521" s="3"/>
      <c r="C521" s="25">
        <v>16698</v>
      </c>
      <c r="D521" s="11">
        <v>10068</v>
      </c>
      <c r="E521" s="3" t="s">
        <v>78</v>
      </c>
      <c r="F521" s="3" t="s">
        <v>935</v>
      </c>
      <c r="G521" s="3"/>
      <c r="H521" s="3">
        <v>27600</v>
      </c>
      <c r="U521" s="3"/>
      <c r="V521" s="3"/>
      <c r="AS521" s="22">
        <f t="shared" si="26"/>
        <v>27600</v>
      </c>
      <c r="AT521" s="3">
        <v>24635.85</v>
      </c>
      <c r="AU521" s="3">
        <v>2964.15</v>
      </c>
      <c r="BD521" s="3"/>
      <c r="BE521" s="3"/>
      <c r="CE521" s="22">
        <f t="shared" si="58"/>
        <v>27600</v>
      </c>
      <c r="CF521" s="3">
        <f t="shared" si="59"/>
        <v>0</v>
      </c>
      <c r="CG521" s="17">
        <f t="shared" si="56"/>
        <v>10068</v>
      </c>
      <c r="CH521" s="3" t="str">
        <f t="shared" si="56"/>
        <v>برنامج دولى</v>
      </c>
    </row>
    <row r="522" spans="2:86" x14ac:dyDescent="0.25">
      <c r="C522" s="25">
        <v>16695</v>
      </c>
      <c r="D522" s="11">
        <v>10069</v>
      </c>
      <c r="E522" s="3" t="s">
        <v>78</v>
      </c>
      <c r="F522" s="3" t="s">
        <v>935</v>
      </c>
      <c r="G522" s="3"/>
      <c r="H522" s="3">
        <v>949.72</v>
      </c>
      <c r="U522" s="3"/>
      <c r="V522" s="3"/>
      <c r="AS522" s="22">
        <f t="shared" si="26"/>
        <v>949.72</v>
      </c>
      <c r="AT522" s="3">
        <v>636.25</v>
      </c>
      <c r="AU522" s="3">
        <v>84.65</v>
      </c>
      <c r="AV522" s="3">
        <v>228.82</v>
      </c>
      <c r="BD522" s="3"/>
      <c r="BE522" s="3"/>
      <c r="CE522" s="22">
        <f t="shared" si="58"/>
        <v>949.72</v>
      </c>
      <c r="CF522" s="3">
        <f t="shared" si="59"/>
        <v>0</v>
      </c>
      <c r="CG522" s="17">
        <f t="shared" si="56"/>
        <v>10069</v>
      </c>
      <c r="CH522" s="3" t="str">
        <f t="shared" si="56"/>
        <v>برنامج دولى</v>
      </c>
    </row>
    <row r="523" spans="2:86" x14ac:dyDescent="0.25">
      <c r="C523" s="25">
        <v>16687</v>
      </c>
      <c r="D523" s="11">
        <v>10070</v>
      </c>
      <c r="E523" s="3" t="s">
        <v>78</v>
      </c>
      <c r="F523" s="3" t="s">
        <v>936</v>
      </c>
      <c r="G523" s="3"/>
      <c r="H523" s="3">
        <v>4500</v>
      </c>
      <c r="U523" s="3"/>
      <c r="V523" s="3"/>
      <c r="AS523" s="22">
        <f t="shared" si="26"/>
        <v>4500</v>
      </c>
      <c r="AT523" s="3">
        <v>4017.75</v>
      </c>
      <c r="AU523" s="3">
        <v>482.25</v>
      </c>
      <c r="BD523" s="3"/>
      <c r="BE523" s="3"/>
      <c r="CE523" s="22">
        <f t="shared" si="58"/>
        <v>4500</v>
      </c>
      <c r="CF523" s="3">
        <f t="shared" si="59"/>
        <v>0</v>
      </c>
      <c r="CG523" s="17">
        <f t="shared" si="56"/>
        <v>10070</v>
      </c>
      <c r="CH523" s="3" t="str">
        <f t="shared" si="56"/>
        <v>برنامج دولى</v>
      </c>
    </row>
    <row r="524" spans="2:86" x14ac:dyDescent="0.25">
      <c r="C524" s="25">
        <v>16692</v>
      </c>
      <c r="D524" s="11">
        <v>10071</v>
      </c>
      <c r="E524" s="3" t="s">
        <v>78</v>
      </c>
      <c r="F524" s="3" t="str">
        <f>+F522</f>
        <v>عب تدريس فرقه ثالثه</v>
      </c>
      <c r="G524" s="3"/>
      <c r="H524" s="3">
        <v>9600</v>
      </c>
      <c r="U524" s="3"/>
      <c r="V524" s="3"/>
      <c r="AS524" s="22">
        <f t="shared" si="26"/>
        <v>9600</v>
      </c>
      <c r="AT524" s="3">
        <v>8566.0499999999993</v>
      </c>
      <c r="AU524" s="3">
        <v>1033.95</v>
      </c>
      <c r="BD524" s="3"/>
      <c r="BE524" s="3"/>
      <c r="CE524" s="22">
        <f t="shared" si="58"/>
        <v>9600</v>
      </c>
      <c r="CF524" s="3">
        <f t="shared" si="59"/>
        <v>0</v>
      </c>
      <c r="CG524" s="17">
        <f t="shared" si="56"/>
        <v>10071</v>
      </c>
      <c r="CH524" s="3" t="str">
        <f t="shared" si="56"/>
        <v>برنامج دولى</v>
      </c>
    </row>
    <row r="525" spans="2:86" x14ac:dyDescent="0.25">
      <c r="B525" s="3"/>
      <c r="C525" s="25">
        <v>16689</v>
      </c>
      <c r="D525" s="11">
        <v>10072</v>
      </c>
      <c r="E525" s="3" t="s">
        <v>78</v>
      </c>
      <c r="F525" s="3" t="str">
        <f>+F523</f>
        <v>مكافاه رؤوساء اقسام ومنسقين</v>
      </c>
      <c r="G525" s="3"/>
      <c r="H525" s="3">
        <v>20423.12</v>
      </c>
      <c r="U525" s="3"/>
      <c r="V525" s="3"/>
      <c r="AS525" s="22">
        <f t="shared" si="26"/>
        <v>20423.12</v>
      </c>
      <c r="AT525" s="3">
        <v>18199.86</v>
      </c>
      <c r="AU525" s="3">
        <v>2185.4</v>
      </c>
      <c r="AV525" s="3">
        <v>37.86</v>
      </c>
      <c r="BD525" s="3"/>
      <c r="BE525" s="3"/>
      <c r="CE525" s="22">
        <f t="shared" si="58"/>
        <v>20423.120000000003</v>
      </c>
      <c r="CF525" s="3">
        <f t="shared" si="59"/>
        <v>0</v>
      </c>
      <c r="CG525" s="17">
        <f t="shared" si="56"/>
        <v>10072</v>
      </c>
      <c r="CH525" s="3" t="str">
        <f t="shared" si="56"/>
        <v>برنامج دولى</v>
      </c>
    </row>
    <row r="526" spans="2:86" x14ac:dyDescent="0.25">
      <c r="B526" s="3"/>
      <c r="C526" s="25">
        <v>16688</v>
      </c>
      <c r="D526" s="11">
        <v>10073</v>
      </c>
      <c r="E526" s="3" t="s">
        <v>78</v>
      </c>
      <c r="F526" s="3" t="str">
        <f>+F525</f>
        <v>مكافاه رؤوساء اقسام ومنسقين</v>
      </c>
      <c r="G526" s="3"/>
      <c r="H526" s="3">
        <v>20006.189999999999</v>
      </c>
      <c r="U526" s="3"/>
      <c r="V526" s="3"/>
      <c r="AS526" s="22">
        <f t="shared" si="26"/>
        <v>20006.189999999999</v>
      </c>
      <c r="AT526" s="3">
        <v>17701.330000000002</v>
      </c>
      <c r="AU526" s="3">
        <v>2130.9499999999998</v>
      </c>
      <c r="AV526" s="3">
        <v>173.91</v>
      </c>
      <c r="BD526" s="3"/>
      <c r="BE526" s="3"/>
      <c r="CE526" s="22">
        <f t="shared" si="58"/>
        <v>20006.190000000002</v>
      </c>
      <c r="CF526" s="3">
        <f t="shared" si="59"/>
        <v>0</v>
      </c>
      <c r="CG526" s="17">
        <f t="shared" si="56"/>
        <v>10073</v>
      </c>
      <c r="CH526" s="3" t="str">
        <f t="shared" si="56"/>
        <v>برنامج دولى</v>
      </c>
    </row>
    <row r="527" spans="2:86" x14ac:dyDescent="0.25">
      <c r="C527" s="25">
        <v>16691</v>
      </c>
      <c r="D527" s="11">
        <v>10074</v>
      </c>
      <c r="E527" s="3" t="s">
        <v>78</v>
      </c>
      <c r="F527" s="3" t="str">
        <f>+F524</f>
        <v>عب تدريس فرقه ثالثه</v>
      </c>
      <c r="G527" s="3"/>
      <c r="H527" s="3">
        <v>10500</v>
      </c>
      <c r="U527" s="3"/>
      <c r="V527" s="3"/>
      <c r="AS527" s="22">
        <f t="shared" si="26"/>
        <v>10500</v>
      </c>
      <c r="AT527" s="3">
        <v>9369</v>
      </c>
      <c r="AU527" s="3">
        <v>1131</v>
      </c>
      <c r="BD527" s="3"/>
      <c r="BE527" s="3"/>
      <c r="CE527" s="22">
        <f t="shared" si="58"/>
        <v>10500</v>
      </c>
      <c r="CF527" s="3">
        <f t="shared" si="59"/>
        <v>0</v>
      </c>
      <c r="CG527" s="17">
        <f t="shared" ref="CG527:CH590" si="60">+D527</f>
        <v>10074</v>
      </c>
      <c r="CH527" s="3" t="str">
        <f t="shared" si="60"/>
        <v>برنامج دولى</v>
      </c>
    </row>
    <row r="528" spans="2:86" x14ac:dyDescent="0.25">
      <c r="C528" s="25">
        <v>16694</v>
      </c>
      <c r="D528" s="11">
        <v>10075</v>
      </c>
      <c r="E528" s="3" t="s">
        <v>78</v>
      </c>
      <c r="F528" s="3" t="str">
        <f>+F527</f>
        <v>عب تدريس فرقه ثالثه</v>
      </c>
      <c r="G528" s="3"/>
      <c r="H528" s="3">
        <v>23193.38</v>
      </c>
      <c r="U528" s="3"/>
      <c r="V528" s="3"/>
      <c r="AS528" s="22">
        <f t="shared" si="26"/>
        <v>23193.38</v>
      </c>
      <c r="AT528" s="3">
        <v>20001.52</v>
      </c>
      <c r="AU528" s="3">
        <v>2424.8000000000002</v>
      </c>
      <c r="AV528" s="3">
        <v>767.06</v>
      </c>
      <c r="BD528" s="3"/>
      <c r="BE528" s="3"/>
      <c r="CE528" s="22">
        <f t="shared" si="58"/>
        <v>23193.38</v>
      </c>
      <c r="CF528" s="3">
        <f t="shared" si="59"/>
        <v>0</v>
      </c>
      <c r="CG528" s="17">
        <f t="shared" si="60"/>
        <v>10075</v>
      </c>
      <c r="CH528" s="3" t="str">
        <f t="shared" si="60"/>
        <v>برنامج دولى</v>
      </c>
    </row>
    <row r="529" spans="1:86" x14ac:dyDescent="0.25">
      <c r="C529" s="25">
        <v>16693</v>
      </c>
      <c r="D529" s="11">
        <v>10076</v>
      </c>
      <c r="E529" s="3" t="s">
        <v>78</v>
      </c>
      <c r="F529" s="3" t="str">
        <f>+F528</f>
        <v>عب تدريس فرقه ثالثه</v>
      </c>
      <c r="G529" s="3"/>
      <c r="H529" s="3">
        <v>23489.599999999999</v>
      </c>
      <c r="U529" s="3"/>
      <c r="V529" s="3"/>
      <c r="AS529" s="22">
        <f t="shared" si="26"/>
        <v>23489.599999999999</v>
      </c>
      <c r="AT529" s="3">
        <v>20923.77</v>
      </c>
      <c r="AU529" s="3">
        <v>2517.35</v>
      </c>
      <c r="AV529" s="3">
        <v>48.48</v>
      </c>
      <c r="BD529" s="3"/>
      <c r="BE529" s="3"/>
      <c r="CE529" s="22">
        <f t="shared" si="58"/>
        <v>23489.599999999999</v>
      </c>
      <c r="CF529" s="3">
        <f t="shared" si="59"/>
        <v>0</v>
      </c>
      <c r="CG529" s="17">
        <f t="shared" si="60"/>
        <v>10076</v>
      </c>
      <c r="CH529" s="3" t="str">
        <f t="shared" si="60"/>
        <v>برنامج دولى</v>
      </c>
    </row>
    <row r="530" spans="1:86" x14ac:dyDescent="0.25">
      <c r="B530" s="3"/>
      <c r="C530" s="25">
        <v>16499</v>
      </c>
      <c r="D530" s="11">
        <v>10077</v>
      </c>
      <c r="E530" s="3" t="s">
        <v>78</v>
      </c>
      <c r="F530" s="3" t="s">
        <v>937</v>
      </c>
      <c r="G530" s="3"/>
      <c r="H530" s="3">
        <v>9614.5</v>
      </c>
      <c r="U530" s="3"/>
      <c r="V530" s="3"/>
      <c r="AS530" s="22">
        <f t="shared" si="26"/>
        <v>9614.5</v>
      </c>
      <c r="AT530" s="3">
        <v>6423.95</v>
      </c>
      <c r="AU530" s="3">
        <v>874.05</v>
      </c>
      <c r="AV530" s="3">
        <v>2316.5</v>
      </c>
      <c r="BD530" s="3"/>
      <c r="BE530" s="3"/>
      <c r="CE530" s="22">
        <f t="shared" si="58"/>
        <v>9614.5</v>
      </c>
      <c r="CF530" s="3">
        <f t="shared" si="59"/>
        <v>0</v>
      </c>
      <c r="CG530" s="17">
        <f t="shared" si="60"/>
        <v>10077</v>
      </c>
      <c r="CH530" s="3" t="str">
        <f t="shared" si="60"/>
        <v>برنامج دولى</v>
      </c>
    </row>
    <row r="531" spans="1:86" x14ac:dyDescent="0.25">
      <c r="B531" s="3"/>
      <c r="C531" s="25">
        <v>16696</v>
      </c>
      <c r="D531" s="11">
        <v>10078</v>
      </c>
      <c r="E531" s="3" t="s">
        <v>78</v>
      </c>
      <c r="F531" s="3" t="s">
        <v>938</v>
      </c>
      <c r="G531" s="3"/>
      <c r="H531" s="3">
        <v>1589.98</v>
      </c>
      <c r="U531" s="3"/>
      <c r="V531" s="3"/>
      <c r="AS531" s="22">
        <f t="shared" si="26"/>
        <v>1589.98</v>
      </c>
      <c r="AT531" s="3">
        <v>1377.48</v>
      </c>
      <c r="AU531" s="3">
        <v>167.5</v>
      </c>
      <c r="AV531" s="3">
        <v>45</v>
      </c>
      <c r="BD531" s="3"/>
      <c r="BE531" s="3"/>
      <c r="CE531" s="22">
        <f t="shared" si="58"/>
        <v>1589.98</v>
      </c>
      <c r="CF531" s="3">
        <f t="shared" si="59"/>
        <v>0</v>
      </c>
      <c r="CG531" s="17">
        <f t="shared" si="60"/>
        <v>10078</v>
      </c>
      <c r="CH531" s="3" t="str">
        <f t="shared" si="60"/>
        <v>برنامج دولى</v>
      </c>
    </row>
    <row r="532" spans="1:86" x14ac:dyDescent="0.25">
      <c r="B532" s="3"/>
      <c r="C532" s="25">
        <v>16498</v>
      </c>
      <c r="D532" s="11">
        <v>10079</v>
      </c>
      <c r="E532" s="3" t="s">
        <v>78</v>
      </c>
      <c r="F532" s="3" t="str">
        <f>+F530</f>
        <v>مكافاه نوباتجيه ابحاث طبيه</v>
      </c>
      <c r="G532" s="3"/>
      <c r="H532" s="3">
        <v>4260.7</v>
      </c>
      <c r="U532" s="3"/>
      <c r="V532" s="3"/>
      <c r="AS532" s="22">
        <f t="shared" si="26"/>
        <v>4260.7</v>
      </c>
      <c r="AT532" s="3">
        <v>3710.44</v>
      </c>
      <c r="AU532" s="3">
        <v>450.85</v>
      </c>
      <c r="AV532" s="3">
        <v>99.41</v>
      </c>
      <c r="BD532" s="3"/>
      <c r="BE532" s="3"/>
      <c r="CE532" s="22">
        <f t="shared" si="58"/>
        <v>4260.7</v>
      </c>
      <c r="CF532" s="3">
        <f t="shared" si="59"/>
        <v>0</v>
      </c>
      <c r="CG532" s="17">
        <f t="shared" si="60"/>
        <v>10079</v>
      </c>
      <c r="CH532" s="3" t="str">
        <f t="shared" si="60"/>
        <v>برنامج دولى</v>
      </c>
    </row>
    <row r="533" spans="1:86" x14ac:dyDescent="0.25">
      <c r="C533" s="25">
        <v>16697</v>
      </c>
      <c r="D533" s="11">
        <v>10080</v>
      </c>
      <c r="E533" s="3" t="s">
        <v>78</v>
      </c>
      <c r="F533" s="3" t="str">
        <f>+F531</f>
        <v>مكافاه منسقين بالاقسام الاكاديميه</v>
      </c>
      <c r="G533" s="3"/>
      <c r="H533" s="3">
        <v>46716.12</v>
      </c>
      <c r="U533" s="3"/>
      <c r="V533" s="3"/>
      <c r="AS533" s="22">
        <f t="shared" si="26"/>
        <v>46716.12</v>
      </c>
      <c r="AT533" s="3">
        <v>41471.870000000003</v>
      </c>
      <c r="AU533" s="3">
        <v>4992.66</v>
      </c>
      <c r="AV533" s="3">
        <v>251.59</v>
      </c>
      <c r="BD533" s="3"/>
      <c r="BE533" s="3"/>
      <c r="CE533" s="22">
        <f t="shared" si="58"/>
        <v>46716.119999999995</v>
      </c>
      <c r="CF533" s="3">
        <f t="shared" si="59"/>
        <v>0</v>
      </c>
      <c r="CG533" s="17">
        <f t="shared" si="60"/>
        <v>10080</v>
      </c>
      <c r="CH533" s="3" t="str">
        <f t="shared" si="60"/>
        <v>برنامج دولى</v>
      </c>
    </row>
    <row r="534" spans="1:86" x14ac:dyDescent="0.25">
      <c r="B534" s="3"/>
      <c r="C534" s="25">
        <v>15348</v>
      </c>
      <c r="D534" s="11">
        <v>10081</v>
      </c>
      <c r="E534" s="3" t="s">
        <v>121</v>
      </c>
      <c r="F534" s="3" t="s">
        <v>939</v>
      </c>
      <c r="G534" s="3"/>
      <c r="H534" s="3">
        <v>9621.0300000000007</v>
      </c>
      <c r="U534" s="3"/>
      <c r="V534" s="3"/>
      <c r="AS534" s="22">
        <f t="shared" si="26"/>
        <v>9621.0300000000007</v>
      </c>
      <c r="AT534" s="3">
        <v>6446.51</v>
      </c>
      <c r="AU534" s="3">
        <v>856.48</v>
      </c>
      <c r="AV534" s="3">
        <v>2318.04</v>
      </c>
      <c r="BD534" s="3"/>
      <c r="BE534" s="3"/>
      <c r="CE534" s="22">
        <f t="shared" ref="CE534:CE597" si="61">SUM(AT534:CC534)</f>
        <v>9621.0299999999988</v>
      </c>
      <c r="CF534" s="3">
        <f t="shared" si="59"/>
        <v>0</v>
      </c>
      <c r="CG534" s="17">
        <f t="shared" si="60"/>
        <v>10081</v>
      </c>
      <c r="CH534" s="3" t="str">
        <f t="shared" si="60"/>
        <v>ماليزى اسنان</v>
      </c>
    </row>
    <row r="535" spans="1:86" x14ac:dyDescent="0.25">
      <c r="C535" s="25">
        <v>15345</v>
      </c>
      <c r="D535" s="11">
        <v>10082</v>
      </c>
      <c r="E535" s="3" t="s">
        <v>121</v>
      </c>
      <c r="F535" s="3" t="s">
        <v>939</v>
      </c>
      <c r="G535" s="3"/>
      <c r="H535" s="3">
        <v>7634.29</v>
      </c>
      <c r="U535" s="3"/>
      <c r="V535" s="3"/>
      <c r="AS535" s="22">
        <f t="shared" si="26"/>
        <v>7634.29</v>
      </c>
      <c r="AT535" s="3">
        <v>5199.5200000000004</v>
      </c>
      <c r="AU535" s="3">
        <v>687.33</v>
      </c>
      <c r="AV535" s="3">
        <v>1747.44</v>
      </c>
      <c r="BD535" s="3"/>
      <c r="BE535" s="3"/>
      <c r="CE535" s="22">
        <f t="shared" si="61"/>
        <v>7634.2900000000009</v>
      </c>
      <c r="CF535" s="3">
        <f t="shared" si="59"/>
        <v>0</v>
      </c>
      <c r="CG535" s="17">
        <f t="shared" si="60"/>
        <v>10082</v>
      </c>
      <c r="CH535" s="3" t="str">
        <f t="shared" si="60"/>
        <v>ماليزى اسنان</v>
      </c>
    </row>
    <row r="536" spans="1:86" x14ac:dyDescent="0.25">
      <c r="C536" s="25">
        <v>15346</v>
      </c>
      <c r="D536" s="11">
        <v>10083</v>
      </c>
      <c r="E536" s="3" t="s">
        <v>121</v>
      </c>
      <c r="F536" s="3" t="s">
        <v>939</v>
      </c>
      <c r="G536" s="3"/>
      <c r="H536" s="3">
        <v>257.10000000000002</v>
      </c>
      <c r="U536" s="3"/>
      <c r="V536" s="3"/>
      <c r="AS536" s="22">
        <f t="shared" si="26"/>
        <v>257.10000000000002</v>
      </c>
      <c r="AT536" s="3">
        <v>172.33</v>
      </c>
      <c r="AU536" s="3">
        <v>22.83</v>
      </c>
      <c r="AV536" s="3">
        <v>61.94</v>
      </c>
      <c r="BD536" s="3"/>
      <c r="BE536" s="3"/>
      <c r="CE536" s="22">
        <f t="shared" si="61"/>
        <v>257.10000000000002</v>
      </c>
      <c r="CF536" s="3">
        <f t="shared" si="59"/>
        <v>0</v>
      </c>
      <c r="CG536" s="17">
        <f t="shared" si="60"/>
        <v>10083</v>
      </c>
      <c r="CH536" s="3" t="str">
        <f t="shared" si="60"/>
        <v>ماليزى اسنان</v>
      </c>
    </row>
    <row r="537" spans="1:86" x14ac:dyDescent="0.25">
      <c r="C537" s="25">
        <v>15349</v>
      </c>
      <c r="D537" s="11">
        <v>10084</v>
      </c>
      <c r="E537" s="3" t="s">
        <v>121</v>
      </c>
      <c r="F537" s="3" t="s">
        <v>939</v>
      </c>
      <c r="G537" s="3"/>
      <c r="H537" s="3">
        <v>365</v>
      </c>
      <c r="U537" s="3"/>
      <c r="V537" s="3"/>
      <c r="AS537" s="22">
        <f t="shared" si="26"/>
        <v>365</v>
      </c>
      <c r="AT537" s="3">
        <v>244.43</v>
      </c>
      <c r="AU537" s="3">
        <v>32.630000000000003</v>
      </c>
      <c r="AV537" s="3">
        <v>87.94</v>
      </c>
      <c r="BD537" s="3"/>
      <c r="BE537" s="3"/>
      <c r="CE537" s="22">
        <f t="shared" si="61"/>
        <v>365</v>
      </c>
      <c r="CF537" s="3">
        <f t="shared" si="59"/>
        <v>0</v>
      </c>
      <c r="CG537" s="17">
        <f t="shared" si="60"/>
        <v>10084</v>
      </c>
      <c r="CH537" s="3" t="str">
        <f t="shared" si="60"/>
        <v>ماليزى اسنان</v>
      </c>
    </row>
    <row r="538" spans="1:86" x14ac:dyDescent="0.25">
      <c r="C538" s="25">
        <v>15351</v>
      </c>
      <c r="D538" s="11">
        <v>10085</v>
      </c>
      <c r="E538" s="3" t="s">
        <v>121</v>
      </c>
      <c r="F538" s="3" t="s">
        <v>940</v>
      </c>
      <c r="G538" s="3"/>
      <c r="H538" s="3">
        <v>990.83</v>
      </c>
      <c r="U538" s="3"/>
      <c r="V538" s="3"/>
      <c r="AS538" s="22">
        <f t="shared" si="26"/>
        <v>990.83</v>
      </c>
      <c r="AT538" s="3">
        <v>664.15</v>
      </c>
      <c r="AU538" s="3">
        <v>87.95</v>
      </c>
      <c r="AV538" s="3">
        <v>238.73</v>
      </c>
      <c r="BD538" s="3"/>
      <c r="BE538" s="3"/>
      <c r="CE538" s="22">
        <f t="shared" si="61"/>
        <v>990.83</v>
      </c>
      <c r="CF538" s="3">
        <f t="shared" si="59"/>
        <v>0</v>
      </c>
      <c r="CG538" s="17">
        <f t="shared" si="60"/>
        <v>10085</v>
      </c>
      <c r="CH538" s="3" t="str">
        <f t="shared" si="60"/>
        <v>ماليزى اسنان</v>
      </c>
    </row>
    <row r="539" spans="1:86" x14ac:dyDescent="0.25">
      <c r="C539" s="25">
        <v>15347</v>
      </c>
      <c r="D539" s="11">
        <v>10086</v>
      </c>
      <c r="E539" s="3" t="s">
        <v>121</v>
      </c>
      <c r="F539" s="3" t="s">
        <v>941</v>
      </c>
      <c r="G539" s="3"/>
      <c r="H539" s="3">
        <v>9834.25</v>
      </c>
      <c r="U539" s="3"/>
      <c r="V539" s="3"/>
      <c r="AS539" s="22">
        <f t="shared" si="26"/>
        <v>9834.25</v>
      </c>
      <c r="AT539" s="3">
        <v>6618.76</v>
      </c>
      <c r="AU539" s="3">
        <v>877.24</v>
      </c>
      <c r="AV539" s="3">
        <v>2338.25</v>
      </c>
      <c r="BD539" s="3"/>
      <c r="BE539" s="3"/>
      <c r="CE539" s="22">
        <f t="shared" si="61"/>
        <v>9834.25</v>
      </c>
      <c r="CF539" s="3">
        <f t="shared" si="59"/>
        <v>0</v>
      </c>
      <c r="CG539" s="17">
        <f t="shared" si="60"/>
        <v>10086</v>
      </c>
      <c r="CH539" s="3" t="str">
        <f t="shared" si="60"/>
        <v>ماليزى اسنان</v>
      </c>
    </row>
    <row r="540" spans="1:86" x14ac:dyDescent="0.25">
      <c r="A540" s="3"/>
      <c r="B540" s="16" t="s">
        <v>942</v>
      </c>
      <c r="C540" s="25">
        <v>16538</v>
      </c>
      <c r="D540" s="11">
        <v>10087</v>
      </c>
      <c r="E540" s="3" t="s">
        <v>121</v>
      </c>
      <c r="F540" s="3" t="s">
        <v>943</v>
      </c>
      <c r="G540" s="3"/>
      <c r="H540" s="3">
        <v>3200</v>
      </c>
      <c r="U540" s="3"/>
      <c r="V540" s="3"/>
      <c r="AS540" s="22">
        <f t="shared" si="26"/>
        <v>3200</v>
      </c>
      <c r="AT540" s="3">
        <v>2856.35</v>
      </c>
      <c r="AU540" s="3">
        <v>343.65</v>
      </c>
      <c r="BD540" s="3"/>
      <c r="BE540" s="3"/>
      <c r="CE540" s="22">
        <f t="shared" si="61"/>
        <v>3200</v>
      </c>
      <c r="CF540" s="3">
        <f t="shared" si="59"/>
        <v>0</v>
      </c>
      <c r="CG540" s="17">
        <f t="shared" si="60"/>
        <v>10087</v>
      </c>
      <c r="CH540" s="3" t="str">
        <f t="shared" si="60"/>
        <v>ماليزى اسنان</v>
      </c>
    </row>
    <row r="541" spans="1:86" x14ac:dyDescent="0.25">
      <c r="A541" s="3"/>
      <c r="B541" s="16" t="s">
        <v>942</v>
      </c>
      <c r="C541" s="25">
        <v>16533</v>
      </c>
      <c r="D541" s="11">
        <v>10088</v>
      </c>
      <c r="E541" s="3" t="s">
        <v>121</v>
      </c>
      <c r="F541" s="3" t="s">
        <v>944</v>
      </c>
      <c r="G541" s="3"/>
      <c r="H541" s="3">
        <v>9889.7800000000007</v>
      </c>
      <c r="U541" s="3"/>
      <c r="V541" s="3"/>
      <c r="AS541" s="22">
        <f t="shared" si="26"/>
        <v>9889.7800000000007</v>
      </c>
      <c r="AT541" s="3">
        <v>6860.98</v>
      </c>
      <c r="AU541" s="3">
        <v>916.55</v>
      </c>
      <c r="AV541" s="3">
        <v>2112.25</v>
      </c>
      <c r="BD541" s="3"/>
      <c r="BE541" s="3"/>
      <c r="CE541" s="22">
        <f t="shared" si="61"/>
        <v>9889.7799999999988</v>
      </c>
      <c r="CF541" s="3">
        <f t="shared" si="59"/>
        <v>0</v>
      </c>
      <c r="CG541" s="17">
        <f t="shared" si="60"/>
        <v>10088</v>
      </c>
      <c r="CH541" s="3" t="str">
        <f t="shared" si="60"/>
        <v>ماليزى اسنان</v>
      </c>
    </row>
    <row r="542" spans="1:86" x14ac:dyDescent="0.25">
      <c r="A542" s="3"/>
      <c r="B542" s="16" t="s">
        <v>942</v>
      </c>
      <c r="C542" s="25">
        <v>16532</v>
      </c>
      <c r="D542" s="11">
        <v>10089</v>
      </c>
      <c r="E542" s="3" t="s">
        <v>121</v>
      </c>
      <c r="F542" s="3" t="s">
        <v>945</v>
      </c>
      <c r="G542" s="3"/>
      <c r="H542" s="3">
        <v>92082.58</v>
      </c>
      <c r="U542" s="3"/>
      <c r="V542" s="3"/>
      <c r="AS542" s="22">
        <f t="shared" si="26"/>
        <v>92082.58</v>
      </c>
      <c r="AT542" s="3">
        <v>76424.72</v>
      </c>
      <c r="AU542" s="3">
        <v>9463.2000000000007</v>
      </c>
      <c r="AV542" s="3">
        <v>6194.66</v>
      </c>
      <c r="BD542" s="3"/>
      <c r="BE542" s="3"/>
      <c r="CE542" s="22">
        <f t="shared" si="61"/>
        <v>92082.58</v>
      </c>
      <c r="CF542" s="3">
        <f t="shared" si="59"/>
        <v>0</v>
      </c>
      <c r="CG542" s="17">
        <f t="shared" si="60"/>
        <v>10089</v>
      </c>
      <c r="CH542" s="3" t="str">
        <f t="shared" si="60"/>
        <v>ماليزى اسنان</v>
      </c>
    </row>
    <row r="543" spans="1:86" x14ac:dyDescent="0.25">
      <c r="A543" s="3"/>
      <c r="B543" s="16" t="s">
        <v>942</v>
      </c>
      <c r="C543" s="25">
        <v>16531</v>
      </c>
      <c r="D543" s="11">
        <v>10090</v>
      </c>
      <c r="E543" s="3" t="s">
        <v>121</v>
      </c>
      <c r="F543" s="3" t="s">
        <v>946</v>
      </c>
      <c r="G543" s="3"/>
      <c r="H543" s="3">
        <v>23500</v>
      </c>
      <c r="U543" s="3"/>
      <c r="V543" s="3"/>
      <c r="AS543" s="22">
        <f t="shared" si="26"/>
        <v>23500</v>
      </c>
      <c r="AT543" s="3">
        <v>20970.75</v>
      </c>
      <c r="AU543" s="3">
        <v>2529.25</v>
      </c>
      <c r="BD543" s="3"/>
      <c r="BE543" s="3"/>
      <c r="CE543" s="22">
        <f t="shared" si="61"/>
        <v>23500</v>
      </c>
      <c r="CF543" s="3">
        <f t="shared" si="59"/>
        <v>0</v>
      </c>
      <c r="CG543" s="17">
        <f t="shared" si="60"/>
        <v>10090</v>
      </c>
      <c r="CH543" s="3" t="str">
        <f t="shared" si="60"/>
        <v>ماليزى اسنان</v>
      </c>
    </row>
    <row r="544" spans="1:86" x14ac:dyDescent="0.25">
      <c r="A544" s="3"/>
      <c r="B544" s="16" t="s">
        <v>942</v>
      </c>
      <c r="C544" s="25">
        <v>16530</v>
      </c>
      <c r="D544" s="11">
        <v>10091</v>
      </c>
      <c r="E544" s="3" t="s">
        <v>121</v>
      </c>
      <c r="F544" s="3" t="s">
        <v>947</v>
      </c>
      <c r="G544" s="3"/>
      <c r="H544" s="3">
        <v>45988.04</v>
      </c>
      <c r="U544" s="3"/>
      <c r="V544" s="3"/>
      <c r="AS544" s="22">
        <f t="shared" si="26"/>
        <v>45988.04</v>
      </c>
      <c r="AT544" s="3">
        <v>39835.08</v>
      </c>
      <c r="AU544" s="3">
        <v>4862.3999999999996</v>
      </c>
      <c r="AV544" s="3">
        <v>1290.56</v>
      </c>
      <c r="BD544" s="3"/>
      <c r="BE544" s="3"/>
      <c r="CE544" s="22">
        <f t="shared" si="61"/>
        <v>45988.04</v>
      </c>
      <c r="CF544" s="3">
        <f t="shared" ref="CF544:CF607" si="62">+CE544-AS544</f>
        <v>0</v>
      </c>
      <c r="CG544" s="17">
        <f t="shared" si="60"/>
        <v>10091</v>
      </c>
      <c r="CH544" s="3" t="str">
        <f t="shared" si="60"/>
        <v>ماليزى اسنان</v>
      </c>
    </row>
    <row r="545" spans="1:86" x14ac:dyDescent="0.25">
      <c r="A545" s="3"/>
      <c r="B545" s="16" t="s">
        <v>942</v>
      </c>
      <c r="C545" s="25">
        <v>16523</v>
      </c>
      <c r="D545" s="11">
        <v>10092</v>
      </c>
      <c r="E545" s="3" t="s">
        <v>121</v>
      </c>
      <c r="F545" s="3" t="s">
        <v>948</v>
      </c>
      <c r="G545" s="3"/>
      <c r="H545" s="3">
        <v>8442</v>
      </c>
      <c r="U545" s="3"/>
      <c r="V545" s="3"/>
      <c r="AS545" s="22">
        <f t="shared" si="26"/>
        <v>8442</v>
      </c>
      <c r="AT545" s="3">
        <v>5641.4</v>
      </c>
      <c r="AU545" s="3">
        <v>766.6</v>
      </c>
      <c r="AV545" s="3">
        <v>2034</v>
      </c>
      <c r="BD545" s="3"/>
      <c r="BE545" s="3"/>
      <c r="CE545" s="22">
        <f t="shared" si="61"/>
        <v>8442</v>
      </c>
      <c r="CF545" s="3">
        <f t="shared" si="62"/>
        <v>0</v>
      </c>
      <c r="CG545" s="17">
        <f t="shared" si="60"/>
        <v>10092</v>
      </c>
      <c r="CH545" s="3" t="str">
        <f t="shared" si="60"/>
        <v>ماليزى اسنان</v>
      </c>
    </row>
    <row r="546" spans="1:86" x14ac:dyDescent="0.25">
      <c r="A546" s="3"/>
      <c r="B546" s="16" t="s">
        <v>942</v>
      </c>
      <c r="C546" s="25">
        <v>16522</v>
      </c>
      <c r="D546" s="11">
        <v>10093</v>
      </c>
      <c r="E546" s="3" t="s">
        <v>121</v>
      </c>
      <c r="F546" s="3" t="s">
        <v>949</v>
      </c>
      <c r="G546" s="3"/>
      <c r="H546" s="3">
        <v>83928.01</v>
      </c>
      <c r="U546" s="3"/>
      <c r="V546" s="3"/>
      <c r="AS546" s="22">
        <f t="shared" si="26"/>
        <v>83928.01</v>
      </c>
      <c r="AT546" s="3">
        <v>59471.31</v>
      </c>
      <c r="AU546" s="3">
        <v>7870.25</v>
      </c>
      <c r="AV546" s="3">
        <v>16586.45</v>
      </c>
      <c r="BD546" s="3"/>
      <c r="BE546" s="3"/>
      <c r="CE546" s="22">
        <f t="shared" si="61"/>
        <v>83928.01</v>
      </c>
      <c r="CF546" s="3">
        <f t="shared" si="62"/>
        <v>0</v>
      </c>
      <c r="CG546" s="17">
        <f t="shared" si="60"/>
        <v>10093</v>
      </c>
      <c r="CH546" s="3" t="str">
        <f t="shared" si="60"/>
        <v>ماليزى اسنان</v>
      </c>
    </row>
    <row r="547" spans="1:86" x14ac:dyDescent="0.25">
      <c r="A547" s="3"/>
      <c r="B547" s="16" t="s">
        <v>942</v>
      </c>
      <c r="C547" s="25">
        <v>16519</v>
      </c>
      <c r="D547" s="11">
        <v>10094</v>
      </c>
      <c r="E547" s="3" t="s">
        <v>121</v>
      </c>
      <c r="F547" s="3" t="s">
        <v>950</v>
      </c>
      <c r="G547" s="3"/>
      <c r="H547" s="3">
        <v>29063.1</v>
      </c>
      <c r="U547" s="3"/>
      <c r="V547" s="3"/>
      <c r="AS547" s="22">
        <f t="shared" si="26"/>
        <v>29063.1</v>
      </c>
      <c r="AT547" s="3">
        <v>23634.880000000001</v>
      </c>
      <c r="AU547" s="3">
        <v>2830.09</v>
      </c>
      <c r="AV547" s="3">
        <v>2598.13</v>
      </c>
      <c r="BD547" s="3"/>
      <c r="BE547" s="3"/>
      <c r="CE547" s="22">
        <f t="shared" si="61"/>
        <v>29063.100000000002</v>
      </c>
      <c r="CF547" s="3">
        <f t="shared" si="62"/>
        <v>0</v>
      </c>
      <c r="CG547" s="17">
        <f t="shared" si="60"/>
        <v>10094</v>
      </c>
      <c r="CH547" s="3" t="str">
        <f t="shared" si="60"/>
        <v>ماليزى اسنان</v>
      </c>
    </row>
    <row r="548" spans="1:86" x14ac:dyDescent="0.25">
      <c r="A548" s="3"/>
      <c r="B548" s="16" t="s">
        <v>942</v>
      </c>
      <c r="C548" s="25">
        <v>16518</v>
      </c>
      <c r="D548" s="11">
        <v>10095</v>
      </c>
      <c r="E548" s="3" t="s">
        <v>121</v>
      </c>
      <c r="F548" s="3" t="s">
        <v>950</v>
      </c>
      <c r="G548" s="3"/>
      <c r="H548" s="3">
        <v>67028.97</v>
      </c>
      <c r="U548" s="3"/>
      <c r="V548" s="3"/>
      <c r="AS548" s="22">
        <f t="shared" si="26"/>
        <v>67028.97</v>
      </c>
      <c r="AT548" s="3">
        <v>52926.73</v>
      </c>
      <c r="AU548" s="3">
        <v>6723.43</v>
      </c>
      <c r="AV548" s="3">
        <v>7378.81</v>
      </c>
      <c r="BD548" s="3"/>
      <c r="BE548" s="3"/>
      <c r="CE548" s="22">
        <f t="shared" si="61"/>
        <v>67028.97</v>
      </c>
      <c r="CF548" s="3">
        <f t="shared" si="62"/>
        <v>0</v>
      </c>
      <c r="CG548" s="17">
        <f t="shared" si="60"/>
        <v>10095</v>
      </c>
      <c r="CH548" s="3" t="str">
        <f t="shared" si="60"/>
        <v>ماليزى اسنان</v>
      </c>
    </row>
    <row r="549" spans="1:86" x14ac:dyDescent="0.25">
      <c r="A549" s="3"/>
      <c r="B549" s="16" t="s">
        <v>942</v>
      </c>
      <c r="C549" s="25">
        <v>16517</v>
      </c>
      <c r="D549" s="11">
        <v>10096</v>
      </c>
      <c r="E549" s="3" t="s">
        <v>121</v>
      </c>
      <c r="F549" s="3" t="s">
        <v>951</v>
      </c>
      <c r="G549" s="3"/>
      <c r="H549" s="3">
        <v>30469.93</v>
      </c>
      <c r="U549" s="3"/>
      <c r="V549" s="3"/>
      <c r="AS549" s="22">
        <f t="shared" si="26"/>
        <v>30469.93</v>
      </c>
      <c r="AT549" s="3">
        <v>22068.99</v>
      </c>
      <c r="AU549" s="3">
        <v>2882.05</v>
      </c>
      <c r="AV549" s="3">
        <v>5518.89</v>
      </c>
      <c r="BD549" s="3"/>
      <c r="BE549" s="3"/>
      <c r="CE549" s="22">
        <f t="shared" si="61"/>
        <v>30469.93</v>
      </c>
      <c r="CF549" s="3">
        <f t="shared" si="62"/>
        <v>0</v>
      </c>
      <c r="CG549" s="17">
        <f t="shared" si="60"/>
        <v>10096</v>
      </c>
      <c r="CH549" s="3" t="str">
        <f t="shared" si="60"/>
        <v>ماليزى اسنان</v>
      </c>
    </row>
    <row r="550" spans="1:86" x14ac:dyDescent="0.25">
      <c r="A550" s="3"/>
      <c r="B550" s="16" t="s">
        <v>942</v>
      </c>
      <c r="C550" s="25">
        <v>16516</v>
      </c>
      <c r="D550" s="11">
        <v>10097</v>
      </c>
      <c r="E550" s="3" t="s">
        <v>121</v>
      </c>
      <c r="F550" s="3" t="str">
        <f>+F548</f>
        <v>مكافاه مستحقين قسم الدراسات دولى اداريين</v>
      </c>
      <c r="G550" s="3"/>
      <c r="H550" s="3">
        <v>1407</v>
      </c>
      <c r="U550" s="3"/>
      <c r="V550" s="3"/>
      <c r="AS550" s="22">
        <f t="shared" si="26"/>
        <v>1407</v>
      </c>
      <c r="AT550" s="3">
        <v>940.35</v>
      </c>
      <c r="AU550" s="3">
        <v>127.65</v>
      </c>
      <c r="AV550" s="3">
        <v>339</v>
      </c>
      <c r="BD550" s="3"/>
      <c r="BE550" s="3"/>
      <c r="CE550" s="22">
        <f t="shared" si="61"/>
        <v>1407</v>
      </c>
      <c r="CF550" s="3">
        <f t="shared" si="62"/>
        <v>0</v>
      </c>
      <c r="CG550" s="17">
        <f t="shared" si="60"/>
        <v>10097</v>
      </c>
      <c r="CH550" s="3" t="str">
        <f t="shared" si="60"/>
        <v>ماليزى اسنان</v>
      </c>
    </row>
    <row r="551" spans="1:86" x14ac:dyDescent="0.25">
      <c r="A551" s="3"/>
      <c r="B551" s="16" t="s">
        <v>942</v>
      </c>
      <c r="C551" s="25">
        <v>16515</v>
      </c>
      <c r="D551" s="11">
        <v>10098</v>
      </c>
      <c r="E551" s="3" t="s">
        <v>121</v>
      </c>
      <c r="F551" s="3" t="s">
        <v>950</v>
      </c>
      <c r="G551" s="3"/>
      <c r="H551" s="3">
        <v>71693.77</v>
      </c>
      <c r="U551" s="3"/>
      <c r="V551" s="3"/>
      <c r="AS551" s="22">
        <f t="shared" si="26"/>
        <v>71693.77</v>
      </c>
      <c r="AT551" s="3">
        <v>52506.15</v>
      </c>
      <c r="AU551" s="3">
        <v>6833.3</v>
      </c>
      <c r="AV551" s="3">
        <v>12354.32</v>
      </c>
      <c r="BD551" s="3"/>
      <c r="BE551" s="3"/>
      <c r="CE551" s="22">
        <f t="shared" si="61"/>
        <v>71693.77</v>
      </c>
      <c r="CF551" s="3">
        <f t="shared" si="62"/>
        <v>0</v>
      </c>
      <c r="CG551" s="17">
        <f t="shared" si="60"/>
        <v>10098</v>
      </c>
      <c r="CH551" s="3" t="str">
        <f t="shared" si="60"/>
        <v>ماليزى اسنان</v>
      </c>
    </row>
    <row r="552" spans="1:86" x14ac:dyDescent="0.25">
      <c r="A552" s="3"/>
      <c r="B552" s="16" t="s">
        <v>942</v>
      </c>
      <c r="C552" s="25">
        <v>15911</v>
      </c>
      <c r="D552" s="11">
        <v>10099</v>
      </c>
      <c r="E552" s="3" t="s">
        <v>121</v>
      </c>
      <c r="F552" s="3" t="s">
        <v>952</v>
      </c>
      <c r="G552" s="3"/>
      <c r="H552" s="3">
        <v>5574.41</v>
      </c>
      <c r="U552" s="3"/>
      <c r="V552" s="3"/>
      <c r="AS552" s="22">
        <f t="shared" si="26"/>
        <v>5574.41</v>
      </c>
      <c r="AT552" s="3">
        <v>4099.3100000000004</v>
      </c>
      <c r="AU552" s="3">
        <v>534.4</v>
      </c>
      <c r="AV552" s="3">
        <v>940.7</v>
      </c>
      <c r="BD552" s="3"/>
      <c r="BE552" s="3"/>
      <c r="CE552" s="22">
        <f t="shared" si="61"/>
        <v>5574.41</v>
      </c>
      <c r="CF552" s="3">
        <f t="shared" si="62"/>
        <v>0</v>
      </c>
      <c r="CG552" s="17">
        <f t="shared" si="60"/>
        <v>10099</v>
      </c>
      <c r="CH552" s="3" t="str">
        <f t="shared" si="60"/>
        <v>ماليزى اسنان</v>
      </c>
    </row>
    <row r="553" spans="1:86" x14ac:dyDescent="0.25">
      <c r="C553" s="25">
        <v>16512</v>
      </c>
      <c r="D553" s="11">
        <v>10100</v>
      </c>
      <c r="E553" s="3" t="s">
        <v>123</v>
      </c>
      <c r="F553" s="3" t="s">
        <v>953</v>
      </c>
      <c r="G553" s="3"/>
      <c r="H553" s="3">
        <v>168.95</v>
      </c>
      <c r="U553" s="3"/>
      <c r="V553" s="3"/>
      <c r="AS553" s="22">
        <f t="shared" si="26"/>
        <v>168.95</v>
      </c>
      <c r="AT553" s="3">
        <v>106.13</v>
      </c>
      <c r="AU553" s="3">
        <v>14.91</v>
      </c>
      <c r="AV553" s="3">
        <v>40.700000000000003</v>
      </c>
      <c r="AW553" s="3">
        <v>7.21</v>
      </c>
      <c r="BD553" s="3"/>
      <c r="BE553" s="3"/>
      <c r="CE553" s="22">
        <f t="shared" si="61"/>
        <v>168.95000000000002</v>
      </c>
      <c r="CF553" s="3">
        <f t="shared" si="62"/>
        <v>0</v>
      </c>
      <c r="CG553" s="17">
        <f t="shared" si="60"/>
        <v>10100</v>
      </c>
      <c r="CH553" s="3" t="str">
        <f t="shared" si="60"/>
        <v>خ ت اسنان</v>
      </c>
    </row>
    <row r="554" spans="1:86" x14ac:dyDescent="0.25">
      <c r="C554" s="25">
        <v>16514</v>
      </c>
      <c r="D554" s="11">
        <v>10101</v>
      </c>
      <c r="E554" s="3" t="s">
        <v>123</v>
      </c>
      <c r="F554" s="3" t="s">
        <v>953</v>
      </c>
      <c r="G554" s="3"/>
      <c r="H554" s="3">
        <v>112.67</v>
      </c>
      <c r="U554" s="3"/>
      <c r="V554" s="3"/>
      <c r="AS554" s="22">
        <f t="shared" si="26"/>
        <v>112.67</v>
      </c>
      <c r="AT554" s="3">
        <v>75.67</v>
      </c>
      <c r="AU554" s="3">
        <v>9.86</v>
      </c>
      <c r="AV554" s="3">
        <v>27.14</v>
      </c>
      <c r="BD554" s="3"/>
      <c r="BE554" s="3"/>
      <c r="CE554" s="22">
        <f t="shared" si="61"/>
        <v>112.67</v>
      </c>
      <c r="CF554" s="3">
        <f t="shared" si="62"/>
        <v>0</v>
      </c>
      <c r="CG554" s="17">
        <f t="shared" si="60"/>
        <v>10101</v>
      </c>
      <c r="CH554" s="3" t="str">
        <f t="shared" si="60"/>
        <v>خ ت اسنان</v>
      </c>
    </row>
    <row r="555" spans="1:86" x14ac:dyDescent="0.25">
      <c r="C555" s="25">
        <v>16529</v>
      </c>
      <c r="D555" s="11">
        <v>10102</v>
      </c>
      <c r="E555" s="3" t="s">
        <v>123</v>
      </c>
      <c r="F555" s="3" t="s">
        <v>954</v>
      </c>
      <c r="G555" s="3"/>
      <c r="H555" s="3">
        <v>108.58</v>
      </c>
      <c r="U555" s="3"/>
      <c r="V555" s="3"/>
      <c r="AS555" s="22">
        <f t="shared" si="26"/>
        <v>108.58</v>
      </c>
      <c r="AT555" s="3">
        <v>70.02</v>
      </c>
      <c r="AU555" s="3">
        <v>7.78</v>
      </c>
      <c r="AV555" s="3">
        <v>26.16</v>
      </c>
      <c r="AW555" s="3">
        <v>4.62</v>
      </c>
      <c r="BD555" s="3"/>
      <c r="BE555" s="3"/>
      <c r="CE555" s="22">
        <f t="shared" si="61"/>
        <v>108.58</v>
      </c>
      <c r="CF555" s="3">
        <f t="shared" si="62"/>
        <v>0</v>
      </c>
      <c r="CG555" s="17">
        <f t="shared" si="60"/>
        <v>10102</v>
      </c>
      <c r="CH555" s="3" t="str">
        <f t="shared" si="60"/>
        <v>خ ت اسنان</v>
      </c>
    </row>
    <row r="556" spans="1:86" x14ac:dyDescent="0.25">
      <c r="C556" s="25">
        <v>16513</v>
      </c>
      <c r="D556" s="11">
        <v>10103</v>
      </c>
      <c r="E556" s="3" t="s">
        <v>123</v>
      </c>
      <c r="F556" s="3" t="str">
        <f>+F553</f>
        <v>مكافاه تعليميه دراسات نوفمبر وديسمبر</v>
      </c>
      <c r="G556" s="3"/>
      <c r="H556" s="3">
        <v>1751.55</v>
      </c>
      <c r="U556" s="3"/>
      <c r="V556" s="3"/>
      <c r="AS556" s="22">
        <f t="shared" si="26"/>
        <v>1751.55</v>
      </c>
      <c r="AT556" s="3">
        <v>1290.92</v>
      </c>
      <c r="AU556" s="3">
        <v>162.13</v>
      </c>
      <c r="AV556" s="3">
        <v>298.5</v>
      </c>
      <c r="BD556" s="3"/>
      <c r="BE556" s="3"/>
      <c r="CE556" s="22">
        <f t="shared" si="61"/>
        <v>1751.5500000000002</v>
      </c>
      <c r="CF556" s="3">
        <f t="shared" si="62"/>
        <v>0</v>
      </c>
      <c r="CG556" s="17">
        <f t="shared" si="60"/>
        <v>10103</v>
      </c>
      <c r="CH556" s="3" t="str">
        <f t="shared" si="60"/>
        <v>خ ت اسنان</v>
      </c>
    </row>
    <row r="557" spans="1:86" x14ac:dyDescent="0.25">
      <c r="C557" s="25">
        <v>16501</v>
      </c>
      <c r="D557" s="11">
        <v>10104</v>
      </c>
      <c r="E557" s="3" t="s">
        <v>123</v>
      </c>
      <c r="F557" s="3" t="str">
        <f>+F556</f>
        <v>مكافاه تعليميه دراسات نوفمبر وديسمبر</v>
      </c>
      <c r="G557" s="3"/>
      <c r="H557" s="3">
        <v>3699.27</v>
      </c>
      <c r="U557" s="3"/>
      <c r="V557" s="3"/>
      <c r="AS557" s="22">
        <f t="shared" si="26"/>
        <v>3699.27</v>
      </c>
      <c r="AT557" s="3">
        <v>2630.81</v>
      </c>
      <c r="AU557" s="3">
        <v>348.54</v>
      </c>
      <c r="AV557" s="3">
        <v>551.74</v>
      </c>
      <c r="AW557" s="3">
        <v>168.18</v>
      </c>
      <c r="BD557" s="3"/>
      <c r="BE557" s="3"/>
      <c r="CE557" s="22">
        <f t="shared" si="61"/>
        <v>3699.27</v>
      </c>
      <c r="CF557" s="3">
        <f t="shared" si="62"/>
        <v>0</v>
      </c>
      <c r="CG557" s="17">
        <f t="shared" si="60"/>
        <v>10104</v>
      </c>
      <c r="CH557" s="3" t="str">
        <f t="shared" si="60"/>
        <v>خ ت اسنان</v>
      </c>
    </row>
    <row r="558" spans="1:86" x14ac:dyDescent="0.25">
      <c r="C558" s="25">
        <v>16528</v>
      </c>
      <c r="D558" s="11">
        <v>10105</v>
      </c>
      <c r="E558" s="3" t="s">
        <v>123</v>
      </c>
      <c r="F558" s="3" t="str">
        <f>+F555</f>
        <v>مكافاه مشاركين امن تعليميه دراسات</v>
      </c>
      <c r="G558" s="3"/>
      <c r="H558" s="3">
        <v>325.85000000000002</v>
      </c>
      <c r="U558" s="3"/>
      <c r="V558" s="3"/>
      <c r="AS558" s="22">
        <f t="shared" si="26"/>
        <v>325.85000000000002</v>
      </c>
      <c r="AT558" s="3">
        <v>209.89</v>
      </c>
      <c r="AU558" s="3">
        <v>23.53</v>
      </c>
      <c r="AV558" s="3">
        <v>78.540000000000006</v>
      </c>
      <c r="AW558" s="3">
        <v>13.89</v>
      </c>
      <c r="BD558" s="3"/>
      <c r="BE558" s="3"/>
      <c r="CE558" s="22">
        <f t="shared" si="61"/>
        <v>325.84999999999997</v>
      </c>
      <c r="CF558" s="3">
        <f t="shared" si="62"/>
        <v>0</v>
      </c>
      <c r="CG558" s="17">
        <f t="shared" si="60"/>
        <v>10105</v>
      </c>
      <c r="CH558" s="3" t="str">
        <f t="shared" si="60"/>
        <v>خ ت اسنان</v>
      </c>
    </row>
    <row r="559" spans="1:86" x14ac:dyDescent="0.25">
      <c r="C559" s="25">
        <v>16527</v>
      </c>
      <c r="D559" s="11">
        <v>10106</v>
      </c>
      <c r="E559" s="3" t="s">
        <v>123</v>
      </c>
      <c r="F559" s="3" t="str">
        <f>+F558</f>
        <v>مكافاه مشاركين امن تعليميه دراسات</v>
      </c>
      <c r="G559" s="3"/>
      <c r="H559" s="3">
        <v>589.20000000000005</v>
      </c>
      <c r="U559" s="3"/>
      <c r="V559" s="3"/>
      <c r="AS559" s="22">
        <f t="shared" si="26"/>
        <v>589.20000000000005</v>
      </c>
      <c r="AT559" s="3">
        <v>381.62</v>
      </c>
      <c r="AU559" s="3">
        <v>51.33</v>
      </c>
      <c r="AV559" s="3">
        <v>130.82</v>
      </c>
      <c r="AW559" s="3">
        <v>25.43</v>
      </c>
      <c r="BD559" s="3"/>
      <c r="BE559" s="3"/>
      <c r="CE559" s="22">
        <f t="shared" si="61"/>
        <v>589.19999999999993</v>
      </c>
      <c r="CF559" s="3">
        <f t="shared" si="62"/>
        <v>0</v>
      </c>
      <c r="CG559" s="17">
        <f t="shared" si="60"/>
        <v>10106</v>
      </c>
      <c r="CH559" s="3" t="str">
        <f t="shared" si="60"/>
        <v>خ ت اسنان</v>
      </c>
    </row>
    <row r="560" spans="1:86" x14ac:dyDescent="0.25">
      <c r="C560" s="25">
        <v>16521</v>
      </c>
      <c r="D560" s="11">
        <v>10107</v>
      </c>
      <c r="E560" s="3" t="s">
        <v>123</v>
      </c>
      <c r="F560" s="3" t="s">
        <v>955</v>
      </c>
      <c r="G560" s="3"/>
      <c r="H560" s="3">
        <v>3616.38</v>
      </c>
      <c r="U560" s="3"/>
      <c r="V560" s="3"/>
      <c r="AS560" s="22">
        <f t="shared" si="26"/>
        <v>3616.38</v>
      </c>
      <c r="AT560" s="3">
        <v>3051.16</v>
      </c>
      <c r="AU560" s="3">
        <v>384.4</v>
      </c>
      <c r="AW560" s="3">
        <v>180.82</v>
      </c>
      <c r="BD560" s="3"/>
      <c r="BE560" s="3"/>
      <c r="CE560" s="22">
        <f t="shared" si="61"/>
        <v>3616.38</v>
      </c>
      <c r="CF560" s="3">
        <f t="shared" si="62"/>
        <v>0</v>
      </c>
      <c r="CG560" s="17">
        <f t="shared" si="60"/>
        <v>10107</v>
      </c>
      <c r="CH560" s="3" t="str">
        <f t="shared" si="60"/>
        <v>خ ت اسنان</v>
      </c>
    </row>
    <row r="561" spans="1:86" x14ac:dyDescent="0.25">
      <c r="C561" s="25">
        <v>16520</v>
      </c>
      <c r="D561" s="11">
        <v>10108</v>
      </c>
      <c r="E561" s="3" t="s">
        <v>123</v>
      </c>
      <c r="F561" s="3" t="s">
        <v>955</v>
      </c>
      <c r="G561" s="3"/>
      <c r="H561" s="3">
        <v>7829.64</v>
      </c>
      <c r="U561" s="3"/>
      <c r="V561" s="3"/>
      <c r="AS561" s="22">
        <f t="shared" si="26"/>
        <v>7829.64</v>
      </c>
      <c r="AT561" s="3">
        <v>6603.91</v>
      </c>
      <c r="AU561" s="3">
        <v>834.26</v>
      </c>
      <c r="AW561" s="3">
        <v>391.47</v>
      </c>
      <c r="BD561" s="3"/>
      <c r="BE561" s="3"/>
      <c r="CE561" s="22">
        <f t="shared" si="61"/>
        <v>7829.64</v>
      </c>
      <c r="CF561" s="3">
        <f t="shared" si="62"/>
        <v>0</v>
      </c>
      <c r="CG561" s="17">
        <f t="shared" si="60"/>
        <v>10108</v>
      </c>
      <c r="CH561" s="3" t="str">
        <f t="shared" si="60"/>
        <v>خ ت اسنان</v>
      </c>
    </row>
    <row r="562" spans="1:86" x14ac:dyDescent="0.25">
      <c r="C562" s="25">
        <v>16525</v>
      </c>
      <c r="D562" s="11">
        <v>10109</v>
      </c>
      <c r="E562" s="3" t="s">
        <v>123</v>
      </c>
      <c r="F562" s="3" t="s">
        <v>956</v>
      </c>
      <c r="G562" s="3"/>
      <c r="H562" s="3">
        <v>9850.3700000000008</v>
      </c>
      <c r="U562" s="3"/>
      <c r="V562" s="3"/>
      <c r="AS562" s="22">
        <f t="shared" si="26"/>
        <v>9850.3700000000008</v>
      </c>
      <c r="AT562" s="3">
        <v>7439.41</v>
      </c>
      <c r="AU562" s="3">
        <v>885.86</v>
      </c>
      <c r="AV562" s="3">
        <v>1065.0999999999999</v>
      </c>
      <c r="AW562" s="3">
        <v>460</v>
      </c>
      <c r="BD562" s="3"/>
      <c r="BE562" s="3"/>
      <c r="CE562" s="22">
        <f t="shared" si="61"/>
        <v>9850.3700000000008</v>
      </c>
      <c r="CF562" s="3">
        <f t="shared" si="62"/>
        <v>0</v>
      </c>
      <c r="CG562" s="17">
        <f t="shared" si="60"/>
        <v>10109</v>
      </c>
      <c r="CH562" s="3" t="str">
        <f t="shared" si="60"/>
        <v>خ ت اسنان</v>
      </c>
    </row>
    <row r="563" spans="1:86" x14ac:dyDescent="0.25">
      <c r="C563" s="25" t="s">
        <v>957</v>
      </c>
      <c r="D563" s="11">
        <v>10110</v>
      </c>
      <c r="E563" s="3" t="s">
        <v>123</v>
      </c>
      <c r="F563" s="3" t="s">
        <v>956</v>
      </c>
      <c r="G563" s="3"/>
      <c r="H563" s="3">
        <v>918.35</v>
      </c>
      <c r="U563" s="3"/>
      <c r="V563" s="3"/>
      <c r="AS563" s="22">
        <f t="shared" si="26"/>
        <v>918.35</v>
      </c>
      <c r="AT563" s="3">
        <v>611.79999999999995</v>
      </c>
      <c r="AU563" s="3">
        <v>72.73</v>
      </c>
      <c r="AV563" s="3">
        <v>193.82</v>
      </c>
      <c r="AW563" s="3">
        <v>40</v>
      </c>
      <c r="BD563" s="3"/>
      <c r="BE563" s="3"/>
      <c r="CE563" s="22">
        <f t="shared" si="61"/>
        <v>918.34999999999991</v>
      </c>
      <c r="CF563" s="3">
        <f t="shared" si="62"/>
        <v>0</v>
      </c>
      <c r="CG563" s="17">
        <f t="shared" si="60"/>
        <v>10110</v>
      </c>
      <c r="CH563" s="3" t="str">
        <f t="shared" si="60"/>
        <v>خ ت اسنان</v>
      </c>
    </row>
    <row r="564" spans="1:86" x14ac:dyDescent="0.25">
      <c r="C564" s="25">
        <v>16526</v>
      </c>
      <c r="D564" s="11">
        <v>10111</v>
      </c>
      <c r="E564" s="3" t="s">
        <v>123</v>
      </c>
      <c r="F564" s="3" t="s">
        <v>956</v>
      </c>
      <c r="G564" s="3"/>
      <c r="H564" s="3">
        <v>1407</v>
      </c>
      <c r="U564" s="3"/>
      <c r="V564" s="3"/>
      <c r="AS564" s="22">
        <f t="shared" si="26"/>
        <v>1407</v>
      </c>
      <c r="AT564" s="3">
        <v>880.35</v>
      </c>
      <c r="AU564" s="3">
        <v>127.65</v>
      </c>
      <c r="AV564" s="3">
        <v>339</v>
      </c>
      <c r="AW564" s="3">
        <v>60</v>
      </c>
      <c r="BD564" s="3"/>
      <c r="BE564" s="3"/>
      <c r="CE564" s="22">
        <f t="shared" si="61"/>
        <v>1407</v>
      </c>
      <c r="CF564" s="3">
        <f t="shared" si="62"/>
        <v>0</v>
      </c>
      <c r="CG564" s="17">
        <f t="shared" si="60"/>
        <v>10111</v>
      </c>
      <c r="CH564" s="3" t="str">
        <f t="shared" si="60"/>
        <v>خ ت اسنان</v>
      </c>
    </row>
    <row r="565" spans="1:86" x14ac:dyDescent="0.25">
      <c r="C565" s="25">
        <v>16524</v>
      </c>
      <c r="D565" s="11">
        <v>10112</v>
      </c>
      <c r="E565" s="3" t="s">
        <v>123</v>
      </c>
      <c r="F565" s="3" t="s">
        <v>956</v>
      </c>
      <c r="G565" s="3"/>
      <c r="H565" s="3">
        <v>13324.75</v>
      </c>
      <c r="U565" s="3"/>
      <c r="V565" s="3"/>
      <c r="AS565" s="22">
        <f t="shared" si="26"/>
        <v>13324.75</v>
      </c>
      <c r="AT565" s="3">
        <v>10309.35</v>
      </c>
      <c r="AU565" s="3">
        <v>1357.25</v>
      </c>
      <c r="AV565" s="3">
        <v>1023.15</v>
      </c>
      <c r="AW565" s="3">
        <v>635</v>
      </c>
      <c r="BD565" s="3"/>
      <c r="BE565" s="3"/>
      <c r="CE565" s="22">
        <f t="shared" si="61"/>
        <v>13324.75</v>
      </c>
      <c r="CF565" s="3">
        <f t="shared" si="62"/>
        <v>0</v>
      </c>
      <c r="CG565" s="17">
        <f t="shared" si="60"/>
        <v>10112</v>
      </c>
      <c r="CH565" s="3" t="str">
        <f t="shared" si="60"/>
        <v>خ ت اسنان</v>
      </c>
    </row>
    <row r="566" spans="1:86" x14ac:dyDescent="0.25">
      <c r="C566" s="25">
        <v>16540</v>
      </c>
      <c r="D566" s="11">
        <v>10113</v>
      </c>
      <c r="E566" s="3" t="s">
        <v>123</v>
      </c>
      <c r="F566" s="3" t="s">
        <v>958</v>
      </c>
      <c r="G566" s="3"/>
      <c r="H566" s="3">
        <v>2989.76</v>
      </c>
      <c r="U566" s="3"/>
      <c r="V566" s="3"/>
      <c r="AS566" s="22">
        <f t="shared" si="26"/>
        <v>2989.76</v>
      </c>
      <c r="AT566" s="3">
        <v>2674.27</v>
      </c>
      <c r="AU566" s="3">
        <v>315.49</v>
      </c>
      <c r="BD566" s="3"/>
      <c r="BE566" s="3"/>
      <c r="CE566" s="22">
        <f t="shared" si="61"/>
        <v>2989.76</v>
      </c>
      <c r="CF566" s="3">
        <f t="shared" si="62"/>
        <v>0</v>
      </c>
      <c r="CG566" s="17">
        <f t="shared" si="60"/>
        <v>10113</v>
      </c>
      <c r="CH566" s="3" t="str">
        <f t="shared" si="60"/>
        <v>خ ت اسنان</v>
      </c>
    </row>
    <row r="567" spans="1:86" x14ac:dyDescent="0.25">
      <c r="C567" s="25">
        <v>16539</v>
      </c>
      <c r="D567" s="11">
        <v>10114</v>
      </c>
      <c r="E567" s="3" t="s">
        <v>123</v>
      </c>
      <c r="F567" s="3" t="s">
        <v>958</v>
      </c>
      <c r="G567" s="3"/>
      <c r="H567" s="3">
        <v>6803.25</v>
      </c>
      <c r="U567" s="3"/>
      <c r="V567" s="3"/>
      <c r="AS567" s="22">
        <f t="shared" si="26"/>
        <v>6803.25</v>
      </c>
      <c r="AT567" s="3">
        <v>6079.21</v>
      </c>
      <c r="AU567" s="3">
        <v>724.04</v>
      </c>
      <c r="BD567" s="3"/>
      <c r="BE567" s="3"/>
      <c r="CE567" s="22">
        <f t="shared" si="61"/>
        <v>6803.25</v>
      </c>
      <c r="CF567" s="3">
        <f t="shared" si="62"/>
        <v>0</v>
      </c>
      <c r="CG567" s="17">
        <f t="shared" si="60"/>
        <v>10114</v>
      </c>
      <c r="CH567" s="3" t="str">
        <f t="shared" si="60"/>
        <v>خ ت اسنان</v>
      </c>
    </row>
    <row r="568" spans="1:86" ht="31.5" x14ac:dyDescent="0.25">
      <c r="C568" s="25">
        <v>16678</v>
      </c>
      <c r="D568" s="11">
        <v>10115</v>
      </c>
      <c r="E568" s="3" t="s">
        <v>137</v>
      </c>
      <c r="F568" s="51" t="s">
        <v>959</v>
      </c>
      <c r="G568" s="3"/>
      <c r="H568" s="3">
        <v>3500</v>
      </c>
      <c r="U568" s="3"/>
      <c r="V568" s="3"/>
      <c r="AS568" s="22">
        <f t="shared" si="26"/>
        <v>3500</v>
      </c>
      <c r="AT568" s="3">
        <v>2952.45</v>
      </c>
      <c r="AU568" s="3">
        <v>372.55</v>
      </c>
      <c r="AW568" s="3">
        <v>175</v>
      </c>
      <c r="BD568" s="3"/>
      <c r="BE568" s="3"/>
      <c r="CE568" s="22">
        <f t="shared" si="61"/>
        <v>3500</v>
      </c>
      <c r="CF568" s="3">
        <f t="shared" si="62"/>
        <v>0</v>
      </c>
      <c r="CG568" s="17">
        <f t="shared" si="60"/>
        <v>10115</v>
      </c>
      <c r="CH568" s="3" t="str">
        <f t="shared" si="60"/>
        <v xml:space="preserve">خدمة عامة </v>
      </c>
    </row>
    <row r="569" spans="1:86" ht="31.5" x14ac:dyDescent="0.25">
      <c r="C569" s="25">
        <v>16679</v>
      </c>
      <c r="D569" s="11">
        <v>10116</v>
      </c>
      <c r="E569" s="3" t="s">
        <v>137</v>
      </c>
      <c r="F569" s="9" t="s">
        <v>959</v>
      </c>
      <c r="G569" s="3"/>
      <c r="H569" s="3">
        <v>1500</v>
      </c>
      <c r="U569" s="3"/>
      <c r="V569" s="3"/>
      <c r="AS569" s="22">
        <f t="shared" si="26"/>
        <v>1500</v>
      </c>
      <c r="AT569" s="3">
        <v>1266.1500000000001</v>
      </c>
      <c r="AU569" s="3">
        <v>158.85</v>
      </c>
      <c r="AW569" s="3">
        <v>75</v>
      </c>
      <c r="BD569" s="3"/>
      <c r="BE569" s="3"/>
      <c r="CE569" s="22">
        <f t="shared" si="61"/>
        <v>1500</v>
      </c>
      <c r="CF569" s="3">
        <f t="shared" si="62"/>
        <v>0</v>
      </c>
      <c r="CG569" s="17">
        <f t="shared" si="60"/>
        <v>10116</v>
      </c>
      <c r="CH569" s="3" t="str">
        <f t="shared" si="60"/>
        <v xml:space="preserve">خدمة عامة </v>
      </c>
    </row>
    <row r="570" spans="1:86" ht="31.5" x14ac:dyDescent="0.25">
      <c r="C570" s="25">
        <v>16677</v>
      </c>
      <c r="D570" s="11">
        <v>10117</v>
      </c>
      <c r="E570" s="3" t="s">
        <v>137</v>
      </c>
      <c r="F570" s="9" t="s">
        <v>959</v>
      </c>
      <c r="G570" s="3"/>
      <c r="H570" s="3">
        <v>28762.25</v>
      </c>
      <c r="U570" s="3"/>
      <c r="V570" s="3"/>
      <c r="AS570" s="22">
        <f t="shared" si="26"/>
        <v>28762.25</v>
      </c>
      <c r="AT570" s="3">
        <v>23705.7</v>
      </c>
      <c r="AU570" s="3">
        <v>3043.3</v>
      </c>
      <c r="AV570" s="3">
        <v>593.25</v>
      </c>
      <c r="AW570" s="3">
        <v>1420</v>
      </c>
      <c r="BD570" s="3"/>
      <c r="BE570" s="3"/>
      <c r="CE570" s="22">
        <f t="shared" si="61"/>
        <v>28762.25</v>
      </c>
      <c r="CF570" s="3">
        <f t="shared" si="62"/>
        <v>0</v>
      </c>
      <c r="CG570" s="17">
        <f t="shared" si="60"/>
        <v>10117</v>
      </c>
      <c r="CH570" s="3" t="str">
        <f t="shared" si="60"/>
        <v xml:space="preserve">خدمة عامة </v>
      </c>
    </row>
    <row r="571" spans="1:86" ht="31.5" x14ac:dyDescent="0.25">
      <c r="C571" s="25">
        <v>16680</v>
      </c>
      <c r="D571" s="11">
        <v>10118</v>
      </c>
      <c r="E571" s="3" t="s">
        <v>137</v>
      </c>
      <c r="F571" s="9" t="s">
        <v>960</v>
      </c>
      <c r="G571" s="3"/>
      <c r="H571" s="3">
        <v>600</v>
      </c>
      <c r="U571" s="3"/>
      <c r="V571" s="3"/>
      <c r="AS571" s="22">
        <f t="shared" si="26"/>
        <v>600</v>
      </c>
      <c r="AT571" s="3">
        <v>506.15</v>
      </c>
      <c r="AU571" s="3">
        <v>63.85</v>
      </c>
      <c r="AW571" s="3">
        <v>30</v>
      </c>
      <c r="BD571" s="3"/>
      <c r="BE571" s="3"/>
      <c r="CE571" s="22">
        <f t="shared" si="61"/>
        <v>600</v>
      </c>
      <c r="CF571" s="3">
        <f t="shared" si="62"/>
        <v>0</v>
      </c>
      <c r="CG571" s="17">
        <f t="shared" si="60"/>
        <v>10118</v>
      </c>
      <c r="CH571" s="3" t="str">
        <f t="shared" si="60"/>
        <v xml:space="preserve">خدمة عامة </v>
      </c>
    </row>
    <row r="572" spans="1:86" x14ac:dyDescent="0.25">
      <c r="C572" s="25">
        <v>16682</v>
      </c>
      <c r="D572" s="11">
        <v>10119</v>
      </c>
      <c r="E572" s="3" t="s">
        <v>137</v>
      </c>
      <c r="F572" s="3" t="s">
        <v>961</v>
      </c>
      <c r="G572" s="3"/>
      <c r="H572" s="3">
        <v>1647.32</v>
      </c>
      <c r="U572" s="3"/>
      <c r="V572" s="3"/>
      <c r="AS572" s="22">
        <f t="shared" si="26"/>
        <v>1647.32</v>
      </c>
      <c r="AT572" s="3">
        <v>1298.02</v>
      </c>
      <c r="AU572" s="3">
        <v>168</v>
      </c>
      <c r="AV572" s="3">
        <v>102.05</v>
      </c>
      <c r="AW572" s="3">
        <v>79.25</v>
      </c>
      <c r="BD572" s="3"/>
      <c r="BE572" s="3"/>
      <c r="CE572" s="22">
        <f t="shared" si="61"/>
        <v>1647.32</v>
      </c>
      <c r="CF572" s="3">
        <f t="shared" si="62"/>
        <v>0</v>
      </c>
      <c r="CG572" s="17">
        <f t="shared" si="60"/>
        <v>10119</v>
      </c>
      <c r="CH572" s="3" t="str">
        <f t="shared" si="60"/>
        <v xml:space="preserve">خدمة عامة </v>
      </c>
    </row>
    <row r="573" spans="1:86" x14ac:dyDescent="0.25">
      <c r="C573" s="25"/>
      <c r="D573" s="11">
        <v>10120</v>
      </c>
      <c r="E573" s="3" t="s">
        <v>332</v>
      </c>
      <c r="F573" s="3" t="s">
        <v>962</v>
      </c>
      <c r="G573" s="3"/>
      <c r="U573" s="3"/>
      <c r="V573" s="3"/>
      <c r="AS573" s="22">
        <f t="shared" si="26"/>
        <v>0</v>
      </c>
      <c r="AT573" s="3">
        <v>0</v>
      </c>
      <c r="AU573" s="3"/>
      <c r="BD573" s="3"/>
      <c r="BE573" s="3"/>
      <c r="CE573" s="22">
        <f t="shared" si="61"/>
        <v>0</v>
      </c>
      <c r="CF573" s="3">
        <f t="shared" si="62"/>
        <v>0</v>
      </c>
      <c r="CG573" s="17">
        <f t="shared" si="60"/>
        <v>10120</v>
      </c>
      <c r="CH573" s="3" t="str">
        <f t="shared" si="60"/>
        <v xml:space="preserve">لاب فقط </v>
      </c>
    </row>
    <row r="574" spans="1:86" x14ac:dyDescent="0.25">
      <c r="C574" s="25"/>
      <c r="D574" s="11">
        <v>10121</v>
      </c>
      <c r="E574" s="3" t="s">
        <v>332</v>
      </c>
      <c r="F574" s="3" t="s">
        <v>963</v>
      </c>
      <c r="G574" s="3"/>
      <c r="U574" s="3"/>
      <c r="V574" s="3"/>
      <c r="AS574" s="22">
        <f t="shared" si="26"/>
        <v>0</v>
      </c>
      <c r="AT574" s="3">
        <v>0</v>
      </c>
      <c r="AU574" s="3"/>
      <c r="BD574" s="3"/>
      <c r="BE574" s="3"/>
      <c r="CE574" s="22">
        <f t="shared" si="61"/>
        <v>0</v>
      </c>
      <c r="CF574" s="3">
        <f t="shared" si="62"/>
        <v>0</v>
      </c>
      <c r="CG574" s="17">
        <f t="shared" si="60"/>
        <v>10121</v>
      </c>
      <c r="CH574" s="3" t="str">
        <f t="shared" si="60"/>
        <v xml:space="preserve">لاب فقط </v>
      </c>
    </row>
    <row r="575" spans="1:86" x14ac:dyDescent="0.25">
      <c r="A575" s="16" t="s">
        <v>964</v>
      </c>
      <c r="D575" s="11">
        <v>10122</v>
      </c>
      <c r="E575" s="3" t="s">
        <v>332</v>
      </c>
      <c r="F575" s="3" t="s">
        <v>965</v>
      </c>
      <c r="AS575" s="22">
        <f t="shared" si="26"/>
        <v>0</v>
      </c>
      <c r="AT575" s="3">
        <v>0</v>
      </c>
      <c r="CE575" s="22">
        <f t="shared" ref="CE575:CE576" si="63">SUM(AT575:CC575)</f>
        <v>0</v>
      </c>
      <c r="CF575" s="3">
        <f t="shared" si="62"/>
        <v>0</v>
      </c>
      <c r="CG575" s="17">
        <f t="shared" si="60"/>
        <v>10122</v>
      </c>
      <c r="CH575" s="3" t="str">
        <f t="shared" si="60"/>
        <v xml:space="preserve">لاب فقط </v>
      </c>
    </row>
    <row r="576" spans="1:86" x14ac:dyDescent="0.25">
      <c r="A576" s="16" t="s">
        <v>964</v>
      </c>
      <c r="D576" s="11">
        <v>10123</v>
      </c>
      <c r="E576" s="3" t="s">
        <v>78</v>
      </c>
      <c r="F576" s="3" t="s">
        <v>966</v>
      </c>
      <c r="G576" s="18" t="s">
        <v>220</v>
      </c>
      <c r="H576" s="3">
        <v>1501.9</v>
      </c>
      <c r="AS576" s="22">
        <f t="shared" si="26"/>
        <v>1501.9</v>
      </c>
      <c r="AT576" s="3">
        <v>0</v>
      </c>
      <c r="AV576" s="3">
        <v>1501.9</v>
      </c>
      <c r="CE576" s="22">
        <f t="shared" si="63"/>
        <v>1501.9</v>
      </c>
      <c r="CF576" s="3">
        <f t="shared" si="62"/>
        <v>0</v>
      </c>
      <c r="CG576" s="17">
        <f t="shared" si="60"/>
        <v>10123</v>
      </c>
      <c r="CH576" s="3" t="s">
        <v>78</v>
      </c>
    </row>
    <row r="577" spans="2:86" x14ac:dyDescent="0.25">
      <c r="C577" s="25">
        <v>16668</v>
      </c>
      <c r="D577" s="11">
        <v>10124</v>
      </c>
      <c r="E577" s="3" t="s">
        <v>122</v>
      </c>
      <c r="F577" s="3" t="s">
        <v>967</v>
      </c>
      <c r="G577" s="3"/>
      <c r="H577" s="3">
        <v>44213.37</v>
      </c>
      <c r="U577" s="3"/>
      <c r="V577" s="3"/>
      <c r="AS577" s="22">
        <f t="shared" si="26"/>
        <v>44213.37</v>
      </c>
      <c r="AT577" s="3">
        <v>36396.14</v>
      </c>
      <c r="AU577" s="3">
        <v>4652.43</v>
      </c>
      <c r="AV577" s="3">
        <v>984.17</v>
      </c>
      <c r="AW577" s="3">
        <v>2180.63</v>
      </c>
      <c r="BD577" s="3"/>
      <c r="BE577" s="3"/>
      <c r="CE577" s="22">
        <f t="shared" si="61"/>
        <v>44213.369999999995</v>
      </c>
      <c r="CF577" s="3">
        <f t="shared" si="62"/>
        <v>0</v>
      </c>
      <c r="CG577" s="17">
        <f t="shared" si="60"/>
        <v>10124</v>
      </c>
      <c r="CH577" s="3" t="str">
        <f t="shared" si="60"/>
        <v>علاج تخصصى</v>
      </c>
    </row>
    <row r="578" spans="2:86" x14ac:dyDescent="0.25">
      <c r="C578" s="25">
        <v>16669</v>
      </c>
      <c r="D578" s="11">
        <v>10125</v>
      </c>
      <c r="E578" s="3" t="s">
        <v>122</v>
      </c>
      <c r="F578" s="3" t="s">
        <v>967</v>
      </c>
      <c r="G578" s="3"/>
      <c r="H578" s="3">
        <v>9605.75</v>
      </c>
      <c r="U578" s="3"/>
      <c r="V578" s="3"/>
      <c r="AS578" s="22">
        <f t="shared" si="26"/>
        <v>9605.75</v>
      </c>
      <c r="AT578" s="3">
        <v>8088.43</v>
      </c>
      <c r="AU578" s="3">
        <v>1037.03</v>
      </c>
      <c r="AW578" s="3">
        <v>480.29</v>
      </c>
      <c r="BD578" s="3"/>
      <c r="BE578" s="3"/>
      <c r="CE578" s="22">
        <f t="shared" si="61"/>
        <v>9605.7500000000018</v>
      </c>
      <c r="CF578" s="3">
        <f t="shared" si="62"/>
        <v>0</v>
      </c>
      <c r="CG578" s="17">
        <f t="shared" si="60"/>
        <v>10125</v>
      </c>
      <c r="CH578" s="3" t="str">
        <f t="shared" si="60"/>
        <v>علاج تخصصى</v>
      </c>
    </row>
    <row r="579" spans="2:86" x14ac:dyDescent="0.25">
      <c r="B579" s="3"/>
      <c r="C579" s="25">
        <v>16672</v>
      </c>
      <c r="D579" s="11">
        <v>10126</v>
      </c>
      <c r="E579" s="3" t="s">
        <v>122</v>
      </c>
      <c r="F579" s="3" t="s">
        <v>968</v>
      </c>
      <c r="G579" s="3"/>
      <c r="H579" s="3">
        <v>470</v>
      </c>
      <c r="U579" s="3"/>
      <c r="V579" s="3"/>
      <c r="AS579" s="22">
        <f t="shared" si="26"/>
        <v>470</v>
      </c>
      <c r="AT579" s="3">
        <v>396.75</v>
      </c>
      <c r="AU579" s="3">
        <v>49.75</v>
      </c>
      <c r="AW579" s="3">
        <v>23.5</v>
      </c>
      <c r="BD579" s="3"/>
      <c r="BE579" s="3"/>
      <c r="CE579" s="22">
        <f t="shared" si="61"/>
        <v>470</v>
      </c>
      <c r="CF579" s="3">
        <f t="shared" si="62"/>
        <v>0</v>
      </c>
      <c r="CG579" s="17">
        <f t="shared" si="60"/>
        <v>10126</v>
      </c>
      <c r="CH579" s="3" t="str">
        <f t="shared" si="60"/>
        <v>علاج تخصصى</v>
      </c>
    </row>
    <row r="580" spans="2:86" x14ac:dyDescent="0.25">
      <c r="B580" s="3"/>
      <c r="C580" s="25">
        <v>16671</v>
      </c>
      <c r="D580" s="11">
        <v>10127</v>
      </c>
      <c r="E580" s="3" t="s">
        <v>122</v>
      </c>
      <c r="F580" s="3" t="s">
        <v>968</v>
      </c>
      <c r="G580" s="3"/>
      <c r="H580" s="3">
        <v>5024.32</v>
      </c>
      <c r="U580" s="3"/>
      <c r="V580" s="3"/>
      <c r="AS580" s="22">
        <f t="shared" si="26"/>
        <v>5024.32</v>
      </c>
      <c r="AT580" s="3">
        <v>3762.1</v>
      </c>
      <c r="AU580" s="3">
        <v>496.1</v>
      </c>
      <c r="AV580" s="3">
        <v>531.12</v>
      </c>
      <c r="AW580" s="3">
        <v>235</v>
      </c>
      <c r="BD580" s="3"/>
      <c r="BE580" s="3"/>
      <c r="CE580" s="22">
        <f t="shared" si="61"/>
        <v>5024.32</v>
      </c>
      <c r="CF580" s="3">
        <f t="shared" si="62"/>
        <v>0</v>
      </c>
      <c r="CG580" s="17">
        <f t="shared" si="60"/>
        <v>10127</v>
      </c>
      <c r="CH580" s="3" t="str">
        <f t="shared" si="60"/>
        <v>علاج تخصصى</v>
      </c>
    </row>
    <row r="581" spans="2:86" x14ac:dyDescent="0.25">
      <c r="C581" s="25">
        <v>16552</v>
      </c>
      <c r="D581" s="11">
        <v>10128</v>
      </c>
      <c r="E581" s="3" t="s">
        <v>122</v>
      </c>
      <c r="F581" s="3" t="str">
        <f>+F578</f>
        <v>مكافاه علاج بالاجر اطفال فبراير</v>
      </c>
      <c r="G581" s="3"/>
      <c r="H581" s="3">
        <v>600.32000000000005</v>
      </c>
      <c r="U581" s="3"/>
      <c r="V581" s="3"/>
      <c r="AS581" s="22">
        <f t="shared" si="26"/>
        <v>600.32000000000005</v>
      </c>
      <c r="AT581" s="3">
        <v>376.03</v>
      </c>
      <c r="AU581" s="3">
        <f>2.85+51.2</f>
        <v>54.050000000000004</v>
      </c>
      <c r="AV581" s="3">
        <v>144.63999999999999</v>
      </c>
      <c r="AW581" s="3">
        <v>25.6</v>
      </c>
      <c r="BD581" s="3"/>
      <c r="BE581" s="3"/>
      <c r="CE581" s="22">
        <f t="shared" si="61"/>
        <v>600.32000000000005</v>
      </c>
      <c r="CF581" s="3">
        <f t="shared" si="62"/>
        <v>0</v>
      </c>
      <c r="CG581" s="17">
        <f t="shared" si="60"/>
        <v>10128</v>
      </c>
      <c r="CH581" s="3" t="str">
        <f t="shared" si="60"/>
        <v>علاج تخصصى</v>
      </c>
    </row>
    <row r="582" spans="2:86" x14ac:dyDescent="0.25">
      <c r="B582" s="3"/>
      <c r="C582" s="25">
        <v>16455</v>
      </c>
      <c r="D582" s="11">
        <v>10129</v>
      </c>
      <c r="E582" s="3" t="s">
        <v>121</v>
      </c>
      <c r="F582" s="3" t="s">
        <v>969</v>
      </c>
      <c r="G582" s="3"/>
      <c r="H582" s="3">
        <v>50</v>
      </c>
      <c r="U582" s="3"/>
      <c r="V582" s="3"/>
      <c r="AS582" s="22">
        <f t="shared" si="26"/>
        <v>50</v>
      </c>
      <c r="AT582" s="3">
        <v>45</v>
      </c>
      <c r="AU582" s="3">
        <v>5</v>
      </c>
      <c r="BD582" s="3"/>
      <c r="BE582" s="3"/>
      <c r="CE582" s="22">
        <f t="shared" si="61"/>
        <v>50</v>
      </c>
      <c r="CF582" s="3">
        <f t="shared" si="62"/>
        <v>0</v>
      </c>
      <c r="CG582" s="17">
        <f t="shared" si="60"/>
        <v>10129</v>
      </c>
      <c r="CH582" s="3" t="str">
        <f t="shared" si="60"/>
        <v>ماليزى اسنان</v>
      </c>
    </row>
    <row r="583" spans="2:86" x14ac:dyDescent="0.25">
      <c r="C583" s="25">
        <v>16449</v>
      </c>
      <c r="D583" s="11">
        <v>10130</v>
      </c>
      <c r="E583" s="3" t="s">
        <v>121</v>
      </c>
      <c r="F583" s="3" t="s">
        <v>970</v>
      </c>
      <c r="G583" s="3"/>
      <c r="H583" s="3">
        <v>50</v>
      </c>
      <c r="U583" s="3"/>
      <c r="V583" s="3"/>
      <c r="AS583" s="22">
        <f t="shared" si="26"/>
        <v>50</v>
      </c>
      <c r="AT583" s="3">
        <v>45</v>
      </c>
      <c r="AU583" s="3">
        <v>5</v>
      </c>
      <c r="BD583" s="3"/>
      <c r="BE583" s="3"/>
      <c r="CE583" s="22">
        <f t="shared" si="61"/>
        <v>50</v>
      </c>
      <c r="CF583" s="3">
        <f t="shared" si="62"/>
        <v>0</v>
      </c>
      <c r="CG583" s="17">
        <f t="shared" si="60"/>
        <v>10130</v>
      </c>
      <c r="CH583" s="3" t="str">
        <f t="shared" si="60"/>
        <v>ماليزى اسنان</v>
      </c>
    </row>
    <row r="584" spans="2:86" x14ac:dyDescent="0.25">
      <c r="C584" s="25">
        <v>16447</v>
      </c>
      <c r="D584" s="11">
        <v>10131</v>
      </c>
      <c r="E584" s="3" t="s">
        <v>121</v>
      </c>
      <c r="F584" s="3" t="s">
        <v>971</v>
      </c>
      <c r="G584" s="3"/>
      <c r="H584" s="3">
        <v>50</v>
      </c>
      <c r="U584" s="3"/>
      <c r="V584" s="3"/>
      <c r="AS584" s="22">
        <f t="shared" si="26"/>
        <v>50</v>
      </c>
      <c r="AT584" s="3">
        <v>45</v>
      </c>
      <c r="AU584" s="3">
        <v>5</v>
      </c>
      <c r="BD584" s="3"/>
      <c r="BE584" s="3"/>
      <c r="CE584" s="22">
        <f t="shared" si="61"/>
        <v>50</v>
      </c>
      <c r="CF584" s="3">
        <f t="shared" si="62"/>
        <v>0</v>
      </c>
      <c r="CG584" s="17">
        <f t="shared" si="60"/>
        <v>10131</v>
      </c>
      <c r="CH584" s="3" t="str">
        <f t="shared" si="60"/>
        <v>ماليزى اسنان</v>
      </c>
    </row>
    <row r="585" spans="2:86" x14ac:dyDescent="0.25">
      <c r="C585" s="25">
        <v>16443</v>
      </c>
      <c r="D585" s="11">
        <v>10132</v>
      </c>
      <c r="E585" s="3" t="s">
        <v>121</v>
      </c>
      <c r="F585" s="3" t="s">
        <v>972</v>
      </c>
      <c r="G585" s="3"/>
      <c r="H585" s="3">
        <v>50</v>
      </c>
      <c r="U585" s="3"/>
      <c r="V585" s="3"/>
      <c r="AS585" s="22">
        <f t="shared" si="26"/>
        <v>50</v>
      </c>
      <c r="AT585" s="3">
        <v>45</v>
      </c>
      <c r="AU585" s="3">
        <v>5</v>
      </c>
      <c r="BD585" s="3"/>
      <c r="BE585" s="3"/>
      <c r="CE585" s="22">
        <f t="shared" si="61"/>
        <v>50</v>
      </c>
      <c r="CF585" s="3">
        <f t="shared" si="62"/>
        <v>0</v>
      </c>
      <c r="CG585" s="17">
        <f t="shared" si="60"/>
        <v>10132</v>
      </c>
      <c r="CH585" s="3" t="str">
        <f t="shared" si="60"/>
        <v>ماليزى اسنان</v>
      </c>
    </row>
    <row r="586" spans="2:86" x14ac:dyDescent="0.25">
      <c r="B586" s="17" t="s">
        <v>973</v>
      </c>
      <c r="C586" s="25">
        <v>17105</v>
      </c>
      <c r="D586" s="11">
        <v>10133</v>
      </c>
      <c r="E586" s="3" t="s">
        <v>121</v>
      </c>
      <c r="F586" s="3" t="s">
        <v>974</v>
      </c>
      <c r="G586" s="3"/>
      <c r="H586" s="3">
        <v>69000</v>
      </c>
      <c r="U586" s="3"/>
      <c r="V586" s="3"/>
      <c r="AS586" s="22">
        <f t="shared" si="26"/>
        <v>69000</v>
      </c>
      <c r="AT586" s="3">
        <v>61645</v>
      </c>
      <c r="AU586" s="3">
        <v>7355</v>
      </c>
      <c r="BD586" s="3"/>
      <c r="BE586" s="3"/>
      <c r="CE586" s="22">
        <f t="shared" si="61"/>
        <v>69000</v>
      </c>
      <c r="CF586" s="3">
        <f t="shared" si="62"/>
        <v>0</v>
      </c>
      <c r="CG586" s="17">
        <f t="shared" si="60"/>
        <v>10133</v>
      </c>
      <c r="CH586" s="3" t="str">
        <f t="shared" si="60"/>
        <v>ماليزى اسنان</v>
      </c>
    </row>
    <row r="587" spans="2:86" x14ac:dyDescent="0.25">
      <c r="B587" s="17" t="s">
        <v>973</v>
      </c>
      <c r="C587" s="25">
        <v>17104</v>
      </c>
      <c r="D587" s="11">
        <v>10134</v>
      </c>
      <c r="E587" s="3" t="s">
        <v>121</v>
      </c>
      <c r="F587" s="3" t="s">
        <v>974</v>
      </c>
      <c r="G587" s="3"/>
      <c r="H587" s="3">
        <v>10000</v>
      </c>
      <c r="U587" s="3"/>
      <c r="V587" s="3"/>
      <c r="AS587" s="22">
        <f t="shared" si="26"/>
        <v>10000</v>
      </c>
      <c r="AT587" s="3">
        <v>8920.4</v>
      </c>
      <c r="AU587" s="3">
        <v>1079.5999999999999</v>
      </c>
      <c r="BD587" s="3"/>
      <c r="BE587" s="3"/>
      <c r="CE587" s="22">
        <f t="shared" si="61"/>
        <v>10000</v>
      </c>
      <c r="CF587" s="3">
        <f t="shared" si="62"/>
        <v>0</v>
      </c>
      <c r="CG587" s="17">
        <f t="shared" si="60"/>
        <v>10134</v>
      </c>
      <c r="CH587" s="3" t="str">
        <f t="shared" si="60"/>
        <v>ماليزى اسنان</v>
      </c>
    </row>
    <row r="588" spans="2:86" x14ac:dyDescent="0.25">
      <c r="B588" s="17" t="s">
        <v>973</v>
      </c>
      <c r="C588" s="25">
        <v>17101</v>
      </c>
      <c r="D588" s="11">
        <v>10135</v>
      </c>
      <c r="E588" s="3" t="s">
        <v>121</v>
      </c>
      <c r="F588" s="3" t="s">
        <v>975</v>
      </c>
      <c r="G588" s="3"/>
      <c r="H588" s="3">
        <v>6000</v>
      </c>
      <c r="U588" s="3"/>
      <c r="V588" s="3"/>
      <c r="AS588" s="22">
        <f t="shared" si="26"/>
        <v>6000</v>
      </c>
      <c r="AT588" s="3">
        <v>5355.7</v>
      </c>
      <c r="AU588" s="3">
        <v>644.29999999999995</v>
      </c>
      <c r="BD588" s="3"/>
      <c r="BE588" s="3"/>
      <c r="CE588" s="22">
        <f t="shared" si="61"/>
        <v>6000</v>
      </c>
      <c r="CF588" s="3">
        <f t="shared" si="62"/>
        <v>0</v>
      </c>
      <c r="CG588" s="17">
        <f t="shared" si="60"/>
        <v>10135</v>
      </c>
      <c r="CH588" s="3" t="str">
        <f t="shared" si="60"/>
        <v>ماليزى اسنان</v>
      </c>
    </row>
    <row r="589" spans="2:86" x14ac:dyDescent="0.25">
      <c r="B589" s="17" t="s">
        <v>973</v>
      </c>
      <c r="C589" s="25">
        <v>17103</v>
      </c>
      <c r="D589" s="11">
        <v>10136</v>
      </c>
      <c r="E589" s="3" t="s">
        <v>121</v>
      </c>
      <c r="F589" s="3" t="s">
        <v>975</v>
      </c>
      <c r="G589" s="3"/>
      <c r="H589" s="3">
        <v>15517.5</v>
      </c>
      <c r="U589" s="3"/>
      <c r="V589" s="3"/>
      <c r="AS589" s="22">
        <f t="shared" si="26"/>
        <v>15517.5</v>
      </c>
      <c r="AT589" s="3">
        <v>13061.75</v>
      </c>
      <c r="AU589" s="3">
        <v>1608.25</v>
      </c>
      <c r="AV589" s="3">
        <v>847.5</v>
      </c>
      <c r="BD589" s="3"/>
      <c r="BE589" s="3"/>
      <c r="CE589" s="22">
        <f t="shared" si="61"/>
        <v>15517.5</v>
      </c>
      <c r="CF589" s="3">
        <f t="shared" si="62"/>
        <v>0</v>
      </c>
      <c r="CG589" s="17">
        <f t="shared" si="60"/>
        <v>10136</v>
      </c>
      <c r="CH589" s="3" t="str">
        <f t="shared" si="60"/>
        <v>ماليزى اسنان</v>
      </c>
    </row>
    <row r="590" spans="2:86" x14ac:dyDescent="0.25">
      <c r="B590" s="17" t="s">
        <v>973</v>
      </c>
      <c r="C590" s="25">
        <v>17102</v>
      </c>
      <c r="D590" s="11">
        <v>10137</v>
      </c>
      <c r="E590" s="3" t="s">
        <v>121</v>
      </c>
      <c r="F590" s="3" t="s">
        <v>975</v>
      </c>
      <c r="G590" s="3"/>
      <c r="H590" s="3">
        <v>9742.15</v>
      </c>
      <c r="U590" s="3"/>
      <c r="V590" s="3"/>
      <c r="AS590" s="22">
        <f t="shared" si="26"/>
        <v>9742.15</v>
      </c>
      <c r="AT590" s="3">
        <v>7560.6</v>
      </c>
      <c r="AU590" s="3">
        <v>962.85</v>
      </c>
      <c r="AV590" s="3">
        <v>1218.7</v>
      </c>
      <c r="BD590" s="3"/>
      <c r="BE590" s="3"/>
      <c r="CE590" s="22">
        <f t="shared" si="61"/>
        <v>9742.1500000000015</v>
      </c>
      <c r="CF590" s="3">
        <f t="shared" si="62"/>
        <v>0</v>
      </c>
      <c r="CG590" s="17">
        <f t="shared" si="60"/>
        <v>10137</v>
      </c>
      <c r="CH590" s="3" t="str">
        <f t="shared" si="60"/>
        <v>ماليزى اسنان</v>
      </c>
    </row>
    <row r="591" spans="2:86" x14ac:dyDescent="0.25">
      <c r="B591" s="17" t="s">
        <v>973</v>
      </c>
      <c r="C591" s="25">
        <v>17100</v>
      </c>
      <c r="D591" s="11">
        <v>10138</v>
      </c>
      <c r="E591" s="3" t="s">
        <v>121</v>
      </c>
      <c r="F591" s="3" t="s">
        <v>976</v>
      </c>
      <c r="G591" s="3"/>
      <c r="H591" s="3">
        <v>30591.16</v>
      </c>
      <c r="U591" s="3"/>
      <c r="V591" s="3"/>
      <c r="AS591" s="22">
        <f t="shared" si="26"/>
        <v>30591.16</v>
      </c>
      <c r="AT591" s="3">
        <v>20776.55</v>
      </c>
      <c r="AU591" s="3">
        <v>2803.45</v>
      </c>
      <c r="AV591" s="3">
        <v>7011.16</v>
      </c>
      <c r="BD591" s="3"/>
      <c r="BE591" s="3"/>
      <c r="CE591" s="22">
        <f t="shared" si="61"/>
        <v>30591.16</v>
      </c>
      <c r="CF591" s="3">
        <f t="shared" si="62"/>
        <v>0</v>
      </c>
      <c r="CG591" s="17">
        <f t="shared" ref="CG591:CH618" si="64">+D591</f>
        <v>10138</v>
      </c>
      <c r="CH591" s="3" t="str">
        <f t="shared" si="64"/>
        <v>ماليزى اسنان</v>
      </c>
    </row>
    <row r="592" spans="2:86" x14ac:dyDescent="0.25">
      <c r="B592" s="17" t="s">
        <v>973</v>
      </c>
      <c r="C592" s="25">
        <v>17099</v>
      </c>
      <c r="D592" s="11">
        <v>10139</v>
      </c>
      <c r="E592" s="3" t="s">
        <v>121</v>
      </c>
      <c r="F592" s="3" t="s">
        <v>977</v>
      </c>
      <c r="G592" s="3"/>
      <c r="H592" s="3">
        <v>27780.39</v>
      </c>
      <c r="U592" s="3"/>
      <c r="V592" s="3"/>
      <c r="AS592" s="22">
        <f t="shared" si="26"/>
        <v>27780.39</v>
      </c>
      <c r="AT592" s="3">
        <v>18665.32</v>
      </c>
      <c r="AU592" s="3">
        <v>2530.9499999999998</v>
      </c>
      <c r="AV592" s="3">
        <v>6584.12</v>
      </c>
      <c r="BD592" s="3"/>
      <c r="BE592" s="3"/>
      <c r="CE592" s="22">
        <f t="shared" si="61"/>
        <v>27780.39</v>
      </c>
      <c r="CF592" s="3">
        <f t="shared" si="62"/>
        <v>0</v>
      </c>
      <c r="CG592" s="17">
        <f t="shared" si="64"/>
        <v>10139</v>
      </c>
      <c r="CH592" s="3" t="str">
        <f t="shared" si="64"/>
        <v>ماليزى اسنان</v>
      </c>
    </row>
    <row r="593" spans="1:86" x14ac:dyDescent="0.25">
      <c r="C593" s="25">
        <v>16497</v>
      </c>
      <c r="D593" s="11">
        <v>10140</v>
      </c>
      <c r="E593" s="3" t="s">
        <v>132</v>
      </c>
      <c r="F593" s="3" t="s">
        <v>978</v>
      </c>
      <c r="G593" s="3"/>
      <c r="H593" s="3">
        <v>2520.87</v>
      </c>
      <c r="U593" s="3"/>
      <c r="V593" s="3"/>
      <c r="AS593" s="22">
        <f t="shared" si="26"/>
        <v>2520.87</v>
      </c>
      <c r="AT593" s="3">
        <v>1687.75</v>
      </c>
      <c r="AU593" s="3">
        <v>225.75</v>
      </c>
      <c r="AV593" s="3">
        <v>607.37</v>
      </c>
      <c r="BD593" s="3"/>
      <c r="BE593" s="3"/>
      <c r="CE593" s="22">
        <f t="shared" si="61"/>
        <v>2520.87</v>
      </c>
      <c r="CF593" s="3">
        <f t="shared" si="62"/>
        <v>0</v>
      </c>
      <c r="CG593" s="17">
        <f t="shared" si="64"/>
        <v>10140</v>
      </c>
      <c r="CH593" s="3" t="str">
        <f t="shared" si="64"/>
        <v>صيدلة اكلينيكى</v>
      </c>
    </row>
    <row r="594" spans="1:86" x14ac:dyDescent="0.25">
      <c r="C594" s="25">
        <v>16491</v>
      </c>
      <c r="D594" s="11">
        <v>10141</v>
      </c>
      <c r="E594" s="3" t="s">
        <v>132</v>
      </c>
      <c r="F594" s="3" t="s">
        <v>979</v>
      </c>
      <c r="G594" s="3"/>
      <c r="H594" s="3">
        <v>500</v>
      </c>
      <c r="U594" s="3"/>
      <c r="V594" s="3"/>
      <c r="AS594" s="22">
        <f t="shared" si="26"/>
        <v>500</v>
      </c>
      <c r="AT594" s="3">
        <v>447.05</v>
      </c>
      <c r="AU594" s="3">
        <v>52.95</v>
      </c>
      <c r="BD594" s="3"/>
      <c r="BE594" s="3"/>
      <c r="CE594" s="22">
        <f t="shared" si="61"/>
        <v>500</v>
      </c>
      <c r="CF594" s="3">
        <f t="shared" si="62"/>
        <v>0</v>
      </c>
      <c r="CG594" s="17">
        <f t="shared" si="64"/>
        <v>10141</v>
      </c>
      <c r="CH594" s="3" t="str">
        <f t="shared" si="64"/>
        <v>صيدلة اكلينيكى</v>
      </c>
    </row>
    <row r="595" spans="1:86" x14ac:dyDescent="0.25">
      <c r="C595" s="25">
        <v>16489</v>
      </c>
      <c r="D595" s="11">
        <v>10142</v>
      </c>
      <c r="E595" s="3" t="s">
        <v>132</v>
      </c>
      <c r="F595" s="3" t="s">
        <v>979</v>
      </c>
      <c r="G595" s="3"/>
      <c r="H595" s="3">
        <v>4000</v>
      </c>
      <c r="U595" s="3"/>
      <c r="V595" s="3"/>
      <c r="AS595" s="22">
        <f t="shared" si="26"/>
        <v>4000</v>
      </c>
      <c r="AT595" s="3">
        <v>3576.4</v>
      </c>
      <c r="AU595" s="3">
        <v>423.6</v>
      </c>
      <c r="BD595" s="3"/>
      <c r="BE595" s="3"/>
      <c r="CE595" s="22">
        <f t="shared" si="61"/>
        <v>4000</v>
      </c>
      <c r="CF595" s="3">
        <f t="shared" si="62"/>
        <v>0</v>
      </c>
      <c r="CG595" s="17">
        <f t="shared" si="64"/>
        <v>10142</v>
      </c>
      <c r="CH595" s="3" t="str">
        <f t="shared" si="64"/>
        <v>صيدلة اكلينيكى</v>
      </c>
    </row>
    <row r="596" spans="1:86" x14ac:dyDescent="0.25">
      <c r="C596" s="25">
        <v>16491</v>
      </c>
      <c r="D596" s="11">
        <v>10143</v>
      </c>
      <c r="E596" s="3" t="s">
        <v>132</v>
      </c>
      <c r="F596" s="3" t="s">
        <v>980</v>
      </c>
      <c r="G596" s="3"/>
      <c r="H596" s="3">
        <v>1820.75</v>
      </c>
      <c r="U596" s="3"/>
      <c r="V596" s="3"/>
      <c r="AS596" s="22">
        <f t="shared" si="26"/>
        <v>1820.75</v>
      </c>
      <c r="AT596" s="3">
        <v>1543.49</v>
      </c>
      <c r="AU596" s="3">
        <f>70+9.51</f>
        <v>79.510000000000005</v>
      </c>
      <c r="AV596" s="3">
        <v>197.75</v>
      </c>
      <c r="BD596" s="3"/>
      <c r="BE596" s="3"/>
      <c r="CE596" s="22">
        <f t="shared" si="61"/>
        <v>1820.75</v>
      </c>
      <c r="CF596" s="3">
        <f t="shared" si="62"/>
        <v>0</v>
      </c>
      <c r="CG596" s="17">
        <f t="shared" si="64"/>
        <v>10143</v>
      </c>
      <c r="CH596" s="3" t="str">
        <f t="shared" si="64"/>
        <v>صيدلة اكلينيكى</v>
      </c>
    </row>
    <row r="597" spans="1:86" x14ac:dyDescent="0.25">
      <c r="C597" s="25">
        <v>16493</v>
      </c>
      <c r="D597" s="11">
        <v>10144</v>
      </c>
      <c r="E597" s="3" t="s">
        <v>132</v>
      </c>
      <c r="F597" s="3" t="str">
        <f>+F593</f>
        <v>مكافاه امتحانات خريف</v>
      </c>
      <c r="G597" s="3"/>
      <c r="H597" s="3">
        <v>3165.75</v>
      </c>
      <c r="U597" s="3"/>
      <c r="V597" s="3"/>
      <c r="AS597" s="22">
        <f t="shared" si="26"/>
        <v>3165.75</v>
      </c>
      <c r="AT597" s="3">
        <v>2119</v>
      </c>
      <c r="AU597" s="3">
        <v>284</v>
      </c>
      <c r="AV597" s="3">
        <v>762.75</v>
      </c>
      <c r="BD597" s="3"/>
      <c r="BE597" s="3"/>
      <c r="CE597" s="22">
        <f t="shared" si="61"/>
        <v>3165.75</v>
      </c>
      <c r="CF597" s="3">
        <f t="shared" si="62"/>
        <v>0</v>
      </c>
      <c r="CG597" s="17">
        <f t="shared" si="64"/>
        <v>10144</v>
      </c>
      <c r="CH597" s="3" t="str">
        <f t="shared" si="64"/>
        <v>صيدلة اكلينيكى</v>
      </c>
    </row>
    <row r="598" spans="1:86" x14ac:dyDescent="0.25">
      <c r="C598" s="25">
        <v>16494</v>
      </c>
      <c r="D598" s="11">
        <v>10145</v>
      </c>
      <c r="E598" s="3" t="s">
        <v>132</v>
      </c>
      <c r="F598" s="3" t="str">
        <f>+F597</f>
        <v>مكافاه امتحانات خريف</v>
      </c>
      <c r="G598" s="3"/>
      <c r="H598" s="3">
        <v>4221</v>
      </c>
      <c r="U598" s="3"/>
      <c r="V598" s="3"/>
      <c r="AS598" s="22">
        <f t="shared" ref="AS598:AS618" si="65">SUM(H598:AQ598)</f>
        <v>4221</v>
      </c>
      <c r="AT598" s="3">
        <v>2825.1</v>
      </c>
      <c r="AU598" s="3">
        <v>378.9</v>
      </c>
      <c r="AV598" s="3">
        <v>1017</v>
      </c>
      <c r="BD598" s="3"/>
      <c r="BE598" s="3"/>
      <c r="CE598" s="22">
        <f t="shared" ref="CE598:CE618" si="66">SUM(AT598:CC598)</f>
        <v>4221</v>
      </c>
      <c r="CF598" s="3">
        <f t="shared" si="62"/>
        <v>0</v>
      </c>
      <c r="CG598" s="17">
        <f t="shared" si="64"/>
        <v>10145</v>
      </c>
      <c r="CH598" s="3" t="str">
        <f t="shared" si="64"/>
        <v>صيدلة اكلينيكى</v>
      </c>
    </row>
    <row r="599" spans="1:86" x14ac:dyDescent="0.25">
      <c r="C599" s="25">
        <v>15956</v>
      </c>
      <c r="D599" s="11">
        <v>10146</v>
      </c>
      <c r="E599" s="3" t="s">
        <v>132</v>
      </c>
      <c r="F599" s="3" t="s">
        <v>981</v>
      </c>
      <c r="G599" s="3"/>
      <c r="H599" s="3">
        <v>1658.53</v>
      </c>
      <c r="U599" s="3"/>
      <c r="V599" s="3"/>
      <c r="AS599" s="22">
        <f t="shared" si="65"/>
        <v>1658.53</v>
      </c>
      <c r="AT599" s="3">
        <v>1128.0999999999999</v>
      </c>
      <c r="AU599" s="3">
        <v>130.88</v>
      </c>
      <c r="AV599" s="3">
        <v>399.55</v>
      </c>
      <c r="BD599" s="3"/>
      <c r="BE599" s="3"/>
      <c r="CE599" s="22">
        <f t="shared" si="66"/>
        <v>1658.53</v>
      </c>
      <c r="CF599" s="3">
        <f t="shared" si="62"/>
        <v>0</v>
      </c>
      <c r="CG599" s="17">
        <f t="shared" si="64"/>
        <v>10146</v>
      </c>
      <c r="CH599" s="3" t="str">
        <f t="shared" si="64"/>
        <v>صيدلة اكلينيكى</v>
      </c>
    </row>
    <row r="600" spans="1:86" x14ac:dyDescent="0.25">
      <c r="A600" s="3"/>
      <c r="B600" s="16" t="s">
        <v>982</v>
      </c>
      <c r="C600" s="25">
        <v>17108</v>
      </c>
      <c r="D600" s="11">
        <v>10147</v>
      </c>
      <c r="E600" s="3" t="s">
        <v>121</v>
      </c>
      <c r="F600" s="3" t="s">
        <v>983</v>
      </c>
      <c r="G600" s="3"/>
      <c r="H600" s="3">
        <v>15951.48</v>
      </c>
      <c r="U600" s="3"/>
      <c r="V600" s="3"/>
      <c r="AS600" s="22">
        <f t="shared" si="65"/>
        <v>15951.48</v>
      </c>
      <c r="AT600" s="3">
        <v>11490.13</v>
      </c>
      <c r="AU600" s="3">
        <v>1511.1</v>
      </c>
      <c r="AV600" s="3">
        <v>2950.25</v>
      </c>
      <c r="BD600" s="3"/>
      <c r="BE600" s="3"/>
      <c r="CE600" s="22">
        <f t="shared" si="66"/>
        <v>15951.48</v>
      </c>
      <c r="CF600" s="3">
        <f t="shared" si="62"/>
        <v>0</v>
      </c>
      <c r="CG600" s="17">
        <f t="shared" si="64"/>
        <v>10147</v>
      </c>
      <c r="CH600" s="3" t="str">
        <f t="shared" si="64"/>
        <v>ماليزى اسنان</v>
      </c>
    </row>
    <row r="601" spans="1:86" x14ac:dyDescent="0.25">
      <c r="A601" s="3"/>
      <c r="B601" s="16" t="s">
        <v>982</v>
      </c>
      <c r="C601" s="25">
        <v>17110</v>
      </c>
      <c r="D601" s="11">
        <v>10148</v>
      </c>
      <c r="E601" s="3" t="s">
        <v>121</v>
      </c>
      <c r="F601" s="3" t="s">
        <v>983</v>
      </c>
      <c r="G601" s="3"/>
      <c r="H601" s="3">
        <v>7000</v>
      </c>
      <c r="U601" s="3"/>
      <c r="V601" s="3"/>
      <c r="AS601" s="22">
        <f t="shared" si="65"/>
        <v>7000</v>
      </c>
      <c r="AT601" s="3">
        <v>6248.2</v>
      </c>
      <c r="AU601" s="3">
        <v>751.8</v>
      </c>
      <c r="BD601" s="3"/>
      <c r="BE601" s="3"/>
      <c r="CE601" s="22">
        <f t="shared" si="66"/>
        <v>7000</v>
      </c>
      <c r="CF601" s="3">
        <f t="shared" si="62"/>
        <v>0</v>
      </c>
      <c r="CG601" s="17">
        <f t="shared" si="64"/>
        <v>10148</v>
      </c>
      <c r="CH601" s="3" t="str">
        <f t="shared" si="64"/>
        <v>ماليزى اسنان</v>
      </c>
    </row>
    <row r="602" spans="1:86" x14ac:dyDescent="0.25">
      <c r="A602" s="3"/>
      <c r="B602" s="16" t="s">
        <v>982</v>
      </c>
      <c r="C602" s="25">
        <v>17109</v>
      </c>
      <c r="D602" s="11">
        <v>10149</v>
      </c>
      <c r="E602" s="3" t="s">
        <v>121</v>
      </c>
      <c r="F602" s="3" t="s">
        <v>983</v>
      </c>
      <c r="G602" s="3"/>
      <c r="H602" s="3">
        <v>4103.75</v>
      </c>
      <c r="U602" s="3"/>
      <c r="V602" s="3"/>
      <c r="AS602" s="22">
        <f t="shared" si="65"/>
        <v>4103.75</v>
      </c>
      <c r="AT602" s="3">
        <v>2742</v>
      </c>
      <c r="AU602" s="3">
        <v>373</v>
      </c>
      <c r="AV602" s="3">
        <v>988.75</v>
      </c>
      <c r="BD602" s="3"/>
      <c r="BE602" s="3"/>
      <c r="CE602" s="22">
        <f t="shared" si="66"/>
        <v>4103.75</v>
      </c>
      <c r="CF602" s="3">
        <f t="shared" si="62"/>
        <v>0</v>
      </c>
      <c r="CG602" s="17">
        <f t="shared" si="64"/>
        <v>10149</v>
      </c>
      <c r="CH602" s="3" t="str">
        <f t="shared" si="64"/>
        <v>ماليزى اسنان</v>
      </c>
    </row>
    <row r="603" spans="1:86" x14ac:dyDescent="0.25">
      <c r="A603" s="3"/>
      <c r="B603" s="16" t="s">
        <v>982</v>
      </c>
      <c r="C603" s="25">
        <v>17106</v>
      </c>
      <c r="D603" s="11">
        <v>10150</v>
      </c>
      <c r="E603" s="3" t="s">
        <v>121</v>
      </c>
      <c r="F603" s="3" t="s">
        <v>984</v>
      </c>
      <c r="G603" s="3"/>
      <c r="H603" s="3">
        <v>31364.39</v>
      </c>
      <c r="U603" s="3"/>
      <c r="V603" s="3"/>
      <c r="AS603" s="22">
        <f t="shared" si="65"/>
        <v>31364.39</v>
      </c>
      <c r="AT603" s="3">
        <v>20958.599999999999</v>
      </c>
      <c r="AU603" s="3">
        <v>2848.9</v>
      </c>
      <c r="AV603" s="3">
        <v>7556.89</v>
      </c>
      <c r="BD603" s="3"/>
      <c r="BE603" s="3"/>
      <c r="CE603" s="22">
        <f t="shared" si="66"/>
        <v>31364.39</v>
      </c>
      <c r="CF603" s="3">
        <f t="shared" si="62"/>
        <v>0</v>
      </c>
      <c r="CG603" s="17">
        <f t="shared" si="64"/>
        <v>10150</v>
      </c>
      <c r="CH603" s="3" t="str">
        <f t="shared" si="64"/>
        <v>ماليزى اسنان</v>
      </c>
    </row>
    <row r="604" spans="1:86" x14ac:dyDescent="0.25">
      <c r="A604" s="3"/>
      <c r="B604" s="16" t="s">
        <v>982</v>
      </c>
      <c r="C604" s="25">
        <v>17107</v>
      </c>
      <c r="D604" s="11">
        <v>10151</v>
      </c>
      <c r="E604" s="3" t="s">
        <v>121</v>
      </c>
      <c r="F604" s="3" t="s">
        <v>985</v>
      </c>
      <c r="G604" s="3"/>
      <c r="H604" s="3">
        <v>29078</v>
      </c>
      <c r="U604" s="3"/>
      <c r="V604" s="3"/>
      <c r="AS604" s="22">
        <f t="shared" si="65"/>
        <v>29078</v>
      </c>
      <c r="AT604" s="3">
        <v>19431.150000000001</v>
      </c>
      <c r="AU604" s="3">
        <v>2640.85</v>
      </c>
      <c r="AV604" s="3">
        <v>7006</v>
      </c>
      <c r="BD604" s="3"/>
      <c r="BE604" s="3"/>
      <c r="CE604" s="22">
        <f t="shared" si="66"/>
        <v>29078</v>
      </c>
      <c r="CF604" s="3">
        <f t="shared" si="62"/>
        <v>0</v>
      </c>
      <c r="CG604" s="17">
        <f t="shared" si="64"/>
        <v>10151</v>
      </c>
      <c r="CH604" s="3" t="str">
        <f t="shared" si="64"/>
        <v>ماليزى اسنان</v>
      </c>
    </row>
    <row r="605" spans="1:86" x14ac:dyDescent="0.25">
      <c r="A605" s="3"/>
      <c r="B605" s="16" t="s">
        <v>982</v>
      </c>
      <c r="C605" s="25">
        <v>17113</v>
      </c>
      <c r="D605" s="11">
        <v>10152</v>
      </c>
      <c r="E605" s="3" t="s">
        <v>121</v>
      </c>
      <c r="F605" s="3" t="s">
        <v>986</v>
      </c>
      <c r="G605" s="3"/>
      <c r="H605" s="3">
        <v>3392.29</v>
      </c>
      <c r="U605" s="3"/>
      <c r="V605" s="3"/>
      <c r="AS605" s="22">
        <f t="shared" si="65"/>
        <v>3392.29</v>
      </c>
      <c r="AT605" s="3">
        <v>2284.2199999999998</v>
      </c>
      <c r="AU605" s="3">
        <v>301.85000000000002</v>
      </c>
      <c r="AV605" s="3">
        <v>806.22</v>
      </c>
      <c r="BD605" s="3"/>
      <c r="BE605" s="3"/>
      <c r="CE605" s="22">
        <f t="shared" si="66"/>
        <v>3392.29</v>
      </c>
      <c r="CF605" s="3">
        <f t="shared" si="62"/>
        <v>0</v>
      </c>
      <c r="CG605" s="17">
        <f t="shared" si="64"/>
        <v>10152</v>
      </c>
      <c r="CH605" s="3" t="str">
        <f t="shared" si="64"/>
        <v>ماليزى اسنان</v>
      </c>
    </row>
    <row r="606" spans="1:86" x14ac:dyDescent="0.25">
      <c r="A606" s="3"/>
      <c r="B606" s="16" t="s">
        <v>982</v>
      </c>
      <c r="C606" s="25">
        <v>17112</v>
      </c>
      <c r="D606" s="11">
        <v>10153</v>
      </c>
      <c r="E606" s="3" t="s">
        <v>121</v>
      </c>
      <c r="F606" s="3" t="s">
        <v>986</v>
      </c>
      <c r="G606" s="3"/>
      <c r="H606" s="3">
        <v>234.5</v>
      </c>
      <c r="U606" s="3"/>
      <c r="V606" s="3"/>
      <c r="AS606" s="22">
        <f t="shared" si="65"/>
        <v>234.5</v>
      </c>
      <c r="AT606" s="3">
        <v>157.19999999999999</v>
      </c>
      <c r="AU606" s="3">
        <f>20+0.8</f>
        <v>20.8</v>
      </c>
      <c r="AV606" s="3">
        <v>56.5</v>
      </c>
      <c r="BD606" s="3"/>
      <c r="BE606" s="3"/>
      <c r="CE606" s="22">
        <f t="shared" si="66"/>
        <v>234.5</v>
      </c>
      <c r="CF606" s="3">
        <f t="shared" si="62"/>
        <v>0</v>
      </c>
      <c r="CG606" s="17">
        <f t="shared" si="64"/>
        <v>10153</v>
      </c>
      <c r="CH606" s="3" t="str">
        <f t="shared" si="64"/>
        <v>ماليزى اسنان</v>
      </c>
    </row>
    <row r="607" spans="1:86" x14ac:dyDescent="0.25">
      <c r="A607" s="3"/>
      <c r="B607" s="16" t="s">
        <v>982</v>
      </c>
      <c r="C607" s="25">
        <v>17114</v>
      </c>
      <c r="D607" s="11">
        <v>10154</v>
      </c>
      <c r="E607" s="3" t="s">
        <v>121</v>
      </c>
      <c r="F607" s="3" t="s">
        <v>986</v>
      </c>
      <c r="G607" s="3"/>
      <c r="H607" s="3">
        <v>200</v>
      </c>
      <c r="U607" s="3"/>
      <c r="V607" s="3"/>
      <c r="AS607" s="22">
        <f t="shared" si="65"/>
        <v>200</v>
      </c>
      <c r="AT607" s="3">
        <v>179.4</v>
      </c>
      <c r="AU607" s="3">
        <v>20.6</v>
      </c>
      <c r="BD607" s="3"/>
      <c r="BE607" s="3"/>
      <c r="CE607" s="22">
        <f t="shared" si="66"/>
        <v>200</v>
      </c>
      <c r="CF607" s="3">
        <f t="shared" si="62"/>
        <v>0</v>
      </c>
      <c r="CG607" s="17">
        <f t="shared" si="64"/>
        <v>10154</v>
      </c>
      <c r="CH607" s="3" t="str">
        <f t="shared" si="64"/>
        <v>ماليزى اسنان</v>
      </c>
    </row>
    <row r="608" spans="1:86" x14ac:dyDescent="0.25">
      <c r="A608" s="3"/>
      <c r="B608" s="16" t="s">
        <v>982</v>
      </c>
      <c r="C608" s="25">
        <v>17111</v>
      </c>
      <c r="D608" s="11">
        <v>10155</v>
      </c>
      <c r="E608" s="3" t="s">
        <v>121</v>
      </c>
      <c r="F608" s="3" t="s">
        <v>986</v>
      </c>
      <c r="G608" s="3"/>
      <c r="H608" s="3">
        <v>417.25</v>
      </c>
      <c r="U608" s="3"/>
      <c r="V608" s="3"/>
      <c r="AS608" s="22">
        <f t="shared" si="65"/>
        <v>417.25</v>
      </c>
      <c r="AT608" s="3">
        <v>347.1</v>
      </c>
      <c r="AU608" s="3">
        <v>41.9</v>
      </c>
      <c r="AV608" s="3">
        <v>28.25</v>
      </c>
      <c r="BD608" s="3"/>
      <c r="BE608" s="3"/>
      <c r="CE608" s="22">
        <f t="shared" si="66"/>
        <v>417.25</v>
      </c>
      <c r="CF608" s="3">
        <f t="shared" ref="CF608:CF618" si="67">+CE608-AS608</f>
        <v>0</v>
      </c>
      <c r="CG608" s="17">
        <f t="shared" si="64"/>
        <v>10155</v>
      </c>
      <c r="CH608" s="3" t="str">
        <f t="shared" si="64"/>
        <v>ماليزى اسنان</v>
      </c>
    </row>
    <row r="609" spans="1:93" x14ac:dyDescent="0.25">
      <c r="C609" s="25">
        <v>16666</v>
      </c>
      <c r="D609" s="11">
        <v>10156</v>
      </c>
      <c r="E609" s="3" t="s">
        <v>121</v>
      </c>
      <c r="F609" s="3" t="s">
        <v>987</v>
      </c>
      <c r="G609" s="3"/>
      <c r="H609" s="3">
        <v>73.349999999999994</v>
      </c>
      <c r="U609" s="3"/>
      <c r="V609" s="3"/>
      <c r="AS609" s="22">
        <f t="shared" si="65"/>
        <v>73.349999999999994</v>
      </c>
      <c r="AT609" s="3">
        <v>50.05</v>
      </c>
      <c r="AU609" s="3">
        <v>5.61</v>
      </c>
      <c r="AV609" s="3">
        <v>17.690000000000001</v>
      </c>
      <c r="BD609" s="3"/>
      <c r="BE609" s="3"/>
      <c r="CE609" s="22">
        <f t="shared" si="66"/>
        <v>73.349999999999994</v>
      </c>
      <c r="CF609" s="3">
        <f t="shared" si="67"/>
        <v>0</v>
      </c>
      <c r="CG609" s="17">
        <f t="shared" si="64"/>
        <v>10156</v>
      </c>
      <c r="CH609" s="3" t="str">
        <f t="shared" si="64"/>
        <v>ماليزى اسنان</v>
      </c>
    </row>
    <row r="610" spans="1:93" x14ac:dyDescent="0.25">
      <c r="C610" s="25">
        <v>16775</v>
      </c>
      <c r="D610" s="11">
        <v>10157</v>
      </c>
      <c r="E610" s="3" t="s">
        <v>123</v>
      </c>
      <c r="F610" s="3" t="s">
        <v>988</v>
      </c>
      <c r="G610" s="3"/>
      <c r="H610" s="3">
        <v>14831.49</v>
      </c>
      <c r="U610" s="3"/>
      <c r="V610" s="3"/>
      <c r="AS610" s="22">
        <f t="shared" si="65"/>
        <v>14831.49</v>
      </c>
      <c r="AT610" s="3">
        <v>11308.46</v>
      </c>
      <c r="AU610" s="3">
        <v>1501</v>
      </c>
      <c r="AV610" s="3">
        <v>1320.78</v>
      </c>
      <c r="AW610" s="3">
        <v>701.25</v>
      </c>
      <c r="BD610" s="3"/>
      <c r="BE610" s="3"/>
      <c r="CE610" s="22">
        <f t="shared" si="66"/>
        <v>14831.49</v>
      </c>
      <c r="CF610" s="3">
        <f t="shared" si="67"/>
        <v>0</v>
      </c>
      <c r="CG610" s="17">
        <f t="shared" si="64"/>
        <v>10157</v>
      </c>
      <c r="CH610" s="3" t="str">
        <f t="shared" si="64"/>
        <v>خ ت اسنان</v>
      </c>
    </row>
    <row r="611" spans="1:93" x14ac:dyDescent="0.25">
      <c r="C611" s="25">
        <v>16776</v>
      </c>
      <c r="D611" s="11">
        <v>10158</v>
      </c>
      <c r="E611" s="3" t="s">
        <v>123</v>
      </c>
      <c r="F611" s="3" t="s">
        <v>988</v>
      </c>
      <c r="G611" s="3"/>
      <c r="H611" s="3">
        <v>5475</v>
      </c>
      <c r="U611" s="3"/>
      <c r="V611" s="3"/>
      <c r="AS611" s="22">
        <f t="shared" si="65"/>
        <v>5475</v>
      </c>
      <c r="AT611" s="3">
        <v>4613.3999999999996</v>
      </c>
      <c r="AU611" s="3">
        <v>587.85</v>
      </c>
      <c r="AW611" s="3">
        <v>273.75</v>
      </c>
      <c r="BD611" s="3"/>
      <c r="BE611" s="3"/>
      <c r="CE611" s="22">
        <f t="shared" si="66"/>
        <v>5475</v>
      </c>
      <c r="CF611" s="3">
        <f t="shared" si="67"/>
        <v>0</v>
      </c>
      <c r="CG611" s="17">
        <f t="shared" si="64"/>
        <v>10158</v>
      </c>
      <c r="CH611" s="3" t="str">
        <f t="shared" si="64"/>
        <v>خ ت اسنان</v>
      </c>
    </row>
    <row r="612" spans="1:93" x14ac:dyDescent="0.25">
      <c r="C612" s="25">
        <v>16774</v>
      </c>
      <c r="D612" s="11">
        <v>10159</v>
      </c>
      <c r="E612" s="3" t="s">
        <v>123</v>
      </c>
      <c r="F612" s="3" t="s">
        <v>988</v>
      </c>
      <c r="G612" s="3"/>
      <c r="H612" s="3">
        <v>26351.94</v>
      </c>
      <c r="U612" s="3"/>
      <c r="V612" s="3"/>
      <c r="AS612" s="22">
        <f t="shared" si="65"/>
        <v>26351.94</v>
      </c>
      <c r="AT612" s="3">
        <v>17610.45</v>
      </c>
      <c r="AU612" s="3">
        <f>144.8+2247.5</f>
        <v>2392.3000000000002</v>
      </c>
      <c r="AV612" s="3">
        <v>6349.19</v>
      </c>
      <c r="BD612" s="3"/>
      <c r="BE612" s="3"/>
      <c r="CE612" s="22">
        <f t="shared" si="66"/>
        <v>26351.94</v>
      </c>
      <c r="CF612" s="3">
        <f t="shared" si="67"/>
        <v>0</v>
      </c>
      <c r="CG612" s="17">
        <f t="shared" si="64"/>
        <v>10159</v>
      </c>
      <c r="CH612" s="3" t="str">
        <f t="shared" si="64"/>
        <v>خ ت اسنان</v>
      </c>
    </row>
    <row r="613" spans="1:93" x14ac:dyDescent="0.25">
      <c r="C613" s="25">
        <v>16777</v>
      </c>
      <c r="D613" s="11">
        <v>10160</v>
      </c>
      <c r="E613" s="3" t="s">
        <v>123</v>
      </c>
      <c r="F613" s="3" t="s">
        <v>988</v>
      </c>
      <c r="G613" s="3"/>
      <c r="H613" s="3">
        <v>22789.25</v>
      </c>
      <c r="U613" s="3"/>
      <c r="V613" s="3"/>
      <c r="AS613" s="22">
        <f t="shared" si="65"/>
        <v>22789.25</v>
      </c>
      <c r="AT613" s="3">
        <v>17449.740000000002</v>
      </c>
      <c r="AU613" s="3">
        <v>2311.9</v>
      </c>
      <c r="AV613" s="3">
        <v>1947.61</v>
      </c>
      <c r="AW613" s="3">
        <v>1080</v>
      </c>
      <c r="BD613" s="3"/>
      <c r="BE613" s="3"/>
      <c r="CE613" s="22">
        <f t="shared" si="66"/>
        <v>22789.250000000004</v>
      </c>
      <c r="CF613" s="3">
        <f t="shared" si="67"/>
        <v>0</v>
      </c>
      <c r="CG613" s="17">
        <f t="shared" si="64"/>
        <v>10160</v>
      </c>
      <c r="CH613" s="3" t="str">
        <f t="shared" si="64"/>
        <v>خ ت اسنان</v>
      </c>
    </row>
    <row r="614" spans="1:93" x14ac:dyDescent="0.25">
      <c r="C614" s="25">
        <v>16773</v>
      </c>
      <c r="D614" s="11">
        <v>10161</v>
      </c>
      <c r="E614" s="3" t="s">
        <v>123</v>
      </c>
      <c r="F614" s="3" t="s">
        <v>989</v>
      </c>
      <c r="G614" s="3"/>
      <c r="H614" s="3">
        <v>20624.46</v>
      </c>
      <c r="U614" s="3"/>
      <c r="V614" s="3"/>
      <c r="AS614" s="22">
        <f t="shared" si="65"/>
        <v>20624.46</v>
      </c>
      <c r="AT614" s="3">
        <v>16164.12</v>
      </c>
      <c r="AU614" s="3">
        <v>2120.15</v>
      </c>
      <c r="AV614" s="3">
        <v>1350.19</v>
      </c>
      <c r="AW614" s="3">
        <v>990</v>
      </c>
      <c r="BD614" s="3"/>
      <c r="BE614" s="3"/>
      <c r="CE614" s="22">
        <f t="shared" si="66"/>
        <v>20624.46</v>
      </c>
      <c r="CF614" s="3">
        <f t="shared" si="67"/>
        <v>0</v>
      </c>
      <c r="CG614" s="17">
        <f t="shared" si="64"/>
        <v>10161</v>
      </c>
      <c r="CH614" s="3" t="str">
        <f t="shared" si="64"/>
        <v>خ ت اسنان</v>
      </c>
    </row>
    <row r="615" spans="1:93" x14ac:dyDescent="0.25">
      <c r="C615" s="25">
        <v>16770</v>
      </c>
      <c r="D615" s="11">
        <v>10162</v>
      </c>
      <c r="E615" s="3" t="s">
        <v>123</v>
      </c>
      <c r="F615" s="3" t="s">
        <v>989</v>
      </c>
      <c r="G615" s="3"/>
      <c r="H615" s="3">
        <v>4200</v>
      </c>
      <c r="U615" s="3"/>
      <c r="V615" s="3"/>
      <c r="AS615" s="22">
        <f t="shared" si="65"/>
        <v>4200</v>
      </c>
      <c r="AT615" s="3">
        <v>3539.2</v>
      </c>
      <c r="AU615" s="3">
        <v>450.8</v>
      </c>
      <c r="AW615" s="3">
        <v>210</v>
      </c>
      <c r="BD615" s="3"/>
      <c r="BE615" s="3"/>
      <c r="CE615" s="22">
        <f t="shared" si="66"/>
        <v>4200</v>
      </c>
      <c r="CF615" s="3">
        <f t="shared" si="67"/>
        <v>0</v>
      </c>
      <c r="CG615" s="17">
        <f t="shared" si="64"/>
        <v>10162</v>
      </c>
      <c r="CH615" s="3" t="str">
        <f t="shared" si="64"/>
        <v>خ ت اسنان</v>
      </c>
    </row>
    <row r="616" spans="1:93" x14ac:dyDescent="0.25">
      <c r="C616" s="25">
        <v>16771</v>
      </c>
      <c r="D616" s="11">
        <v>10163</v>
      </c>
      <c r="E616" s="3" t="s">
        <v>123</v>
      </c>
      <c r="F616" s="3" t="s">
        <v>989</v>
      </c>
      <c r="G616" s="3"/>
      <c r="H616" s="3">
        <v>2227.75</v>
      </c>
      <c r="U616" s="3"/>
      <c r="V616" s="3"/>
      <c r="AS616" s="22">
        <f t="shared" si="65"/>
        <v>2227.75</v>
      </c>
      <c r="AT616" s="3">
        <v>1393.65</v>
      </c>
      <c r="AU616" s="3">
        <v>202.35</v>
      </c>
      <c r="AV616" s="3">
        <v>536.75</v>
      </c>
      <c r="AW616" s="3">
        <v>95</v>
      </c>
      <c r="BD616" s="3"/>
      <c r="BE616" s="3"/>
      <c r="CE616" s="22">
        <f t="shared" si="66"/>
        <v>2227.75</v>
      </c>
      <c r="CF616" s="3">
        <f t="shared" si="67"/>
        <v>0</v>
      </c>
      <c r="CG616" s="17">
        <f t="shared" si="64"/>
        <v>10163</v>
      </c>
      <c r="CH616" s="3" t="str">
        <f t="shared" si="64"/>
        <v>خ ت اسنان</v>
      </c>
    </row>
    <row r="617" spans="1:93" x14ac:dyDescent="0.25">
      <c r="C617" s="25">
        <v>16772</v>
      </c>
      <c r="D617" s="11">
        <v>10164</v>
      </c>
      <c r="E617" s="3" t="s">
        <v>123</v>
      </c>
      <c r="F617" s="3" t="s">
        <v>989</v>
      </c>
      <c r="G617" s="3"/>
      <c r="H617" s="3">
        <v>13541.09</v>
      </c>
      <c r="U617" s="3"/>
      <c r="V617" s="3"/>
      <c r="AS617" s="22">
        <f t="shared" si="65"/>
        <v>13541.09</v>
      </c>
      <c r="AT617" s="3">
        <v>10480.76</v>
      </c>
      <c r="AU617" s="3">
        <v>1841.74</v>
      </c>
      <c r="AV617" s="3">
        <v>558.59</v>
      </c>
      <c r="AW617" s="3">
        <v>660</v>
      </c>
      <c r="BD617" s="3"/>
      <c r="BE617" s="3"/>
      <c r="CE617" s="22">
        <f t="shared" si="66"/>
        <v>13541.09</v>
      </c>
      <c r="CF617" s="3">
        <f t="shared" si="67"/>
        <v>0</v>
      </c>
      <c r="CG617" s="17">
        <f t="shared" si="64"/>
        <v>10164</v>
      </c>
      <c r="CH617" s="3" t="str">
        <f t="shared" si="64"/>
        <v>خ ت اسنان</v>
      </c>
    </row>
    <row r="618" spans="1:93" x14ac:dyDescent="0.25">
      <c r="C618" s="25">
        <v>16782</v>
      </c>
      <c r="D618" s="11">
        <v>10165</v>
      </c>
      <c r="E618" s="3" t="s">
        <v>123</v>
      </c>
      <c r="F618" s="3" t="s">
        <v>989</v>
      </c>
      <c r="G618" s="3"/>
      <c r="H618" s="3">
        <v>22981</v>
      </c>
      <c r="U618" s="3"/>
      <c r="V618" s="3"/>
      <c r="AS618" s="22">
        <f t="shared" si="65"/>
        <v>22981</v>
      </c>
      <c r="AT618" s="3">
        <v>15358</v>
      </c>
      <c r="AU618" s="3">
        <f>126+1960</f>
        <v>2086</v>
      </c>
      <c r="AV618" s="3">
        <v>5537</v>
      </c>
      <c r="BD618" s="3"/>
      <c r="BE618" s="3"/>
      <c r="CE618" s="22">
        <f t="shared" si="66"/>
        <v>22981</v>
      </c>
      <c r="CF618" s="3">
        <f t="shared" si="67"/>
        <v>0</v>
      </c>
      <c r="CG618" s="17">
        <f t="shared" si="64"/>
        <v>10165</v>
      </c>
      <c r="CH618" s="3" t="str">
        <f t="shared" si="64"/>
        <v>خ ت اسنان</v>
      </c>
    </row>
    <row r="619" spans="1:93" x14ac:dyDescent="0.25">
      <c r="C619" s="25">
        <v>16681</v>
      </c>
      <c r="D619" s="11">
        <v>10166</v>
      </c>
      <c r="E619" s="3" t="s">
        <v>137</v>
      </c>
      <c r="F619" s="3" t="s">
        <v>961</v>
      </c>
      <c r="G619" s="3"/>
      <c r="H619" s="3">
        <v>45649.69</v>
      </c>
      <c r="U619" s="3"/>
      <c r="V619" s="3"/>
      <c r="AS619" s="22">
        <f>SUM(H619:AQ619)</f>
        <v>45649.69</v>
      </c>
      <c r="AT619" s="3">
        <v>38374.5</v>
      </c>
      <c r="AU619" s="3">
        <v>4890</v>
      </c>
      <c r="AV619" s="3">
        <v>105.94</v>
      </c>
      <c r="AW619" s="3">
        <v>2279.25</v>
      </c>
      <c r="BD619" s="3"/>
      <c r="BE619" s="3"/>
      <c r="CE619" s="22">
        <f>SUM(AT619:CC619)</f>
        <v>45649.69</v>
      </c>
      <c r="CF619" s="3">
        <f>+CE619-AS619</f>
        <v>0</v>
      </c>
      <c r="CG619" s="17">
        <f>+D619</f>
        <v>10166</v>
      </c>
      <c r="CH619" s="3" t="str">
        <f>+E619</f>
        <v xml:space="preserve">خدمة عامة </v>
      </c>
    </row>
    <row r="620" spans="1:93" x14ac:dyDescent="0.25">
      <c r="C620" s="25">
        <v>16667</v>
      </c>
      <c r="D620" s="11">
        <v>10167</v>
      </c>
      <c r="E620" s="3" t="s">
        <v>122</v>
      </c>
      <c r="F620" s="3" t="s">
        <v>967</v>
      </c>
      <c r="G620" s="3"/>
      <c r="H620" s="3">
        <v>4551.25</v>
      </c>
      <c r="U620" s="3"/>
      <c r="V620" s="3"/>
      <c r="AS620" s="22">
        <f t="shared" ref="AS620:AS684" si="68">SUM(H620:AQ620)</f>
        <v>4551.25</v>
      </c>
      <c r="AT620" s="3">
        <v>3834.76</v>
      </c>
      <c r="AU620" s="3">
        <v>488.93</v>
      </c>
      <c r="AW620" s="3">
        <v>227.56</v>
      </c>
      <c r="BD620" s="3"/>
      <c r="BE620" s="3"/>
      <c r="CE620" s="22">
        <f>SUM(AT620:CC620)</f>
        <v>4551.2500000000009</v>
      </c>
      <c r="CF620" s="3">
        <f>+CE620-AS620</f>
        <v>0</v>
      </c>
      <c r="CG620" s="17">
        <f>+D620</f>
        <v>10167</v>
      </c>
      <c r="CH620" s="3" t="str">
        <f>+E620</f>
        <v>علاج تخصصى</v>
      </c>
    </row>
    <row r="621" spans="1:93" s="29" customFormat="1" x14ac:dyDescent="0.25">
      <c r="A621" s="27"/>
      <c r="B621" s="28"/>
      <c r="C621" s="46"/>
      <c r="D621" s="47"/>
      <c r="F621" s="29" t="s">
        <v>990</v>
      </c>
      <c r="H621" s="29">
        <f>SUM(H451:H620)-H622</f>
        <v>1483551.0299999998</v>
      </c>
      <c r="I621" s="29">
        <f t="shared" ref="I621:BT621" si="69">SUM(I451:I620)-I622</f>
        <v>131954.70000000001</v>
      </c>
      <c r="J621" s="29">
        <f t="shared" si="69"/>
        <v>0</v>
      </c>
      <c r="K621" s="29">
        <f t="shared" si="69"/>
        <v>0</v>
      </c>
      <c r="L621" s="29">
        <f t="shared" si="69"/>
        <v>7500</v>
      </c>
      <c r="M621" s="29">
        <f t="shared" si="69"/>
        <v>7500</v>
      </c>
      <c r="N621" s="29">
        <f t="shared" si="69"/>
        <v>7500</v>
      </c>
      <c r="O621" s="29">
        <f t="shared" si="69"/>
        <v>0</v>
      </c>
      <c r="P621" s="29">
        <f t="shared" si="69"/>
        <v>7000</v>
      </c>
      <c r="Q621" s="29">
        <f t="shared" si="69"/>
        <v>0</v>
      </c>
      <c r="R621" s="29">
        <f t="shared" si="69"/>
        <v>0</v>
      </c>
      <c r="S621" s="29">
        <f t="shared" si="69"/>
        <v>0</v>
      </c>
      <c r="T621" s="29">
        <f t="shared" si="69"/>
        <v>0</v>
      </c>
      <c r="U621" s="29">
        <f t="shared" si="69"/>
        <v>971877.89</v>
      </c>
      <c r="V621" s="29">
        <f t="shared" si="69"/>
        <v>2044</v>
      </c>
      <c r="W621" s="29">
        <f t="shared" si="69"/>
        <v>0</v>
      </c>
      <c r="X621" s="29">
        <f t="shared" si="69"/>
        <v>4237.5</v>
      </c>
      <c r="Y621" s="29">
        <f t="shared" si="69"/>
        <v>0</v>
      </c>
      <c r="Z621" s="29">
        <f t="shared" si="69"/>
        <v>0</v>
      </c>
      <c r="AA621" s="29">
        <f t="shared" si="69"/>
        <v>0</v>
      </c>
      <c r="AB621" s="29">
        <f t="shared" si="69"/>
        <v>0</v>
      </c>
      <c r="AC621" s="29">
        <f t="shared" si="69"/>
        <v>0</v>
      </c>
      <c r="AD621" s="29">
        <f t="shared" si="69"/>
        <v>37728.39</v>
      </c>
      <c r="AE621" s="29">
        <f t="shared" si="69"/>
        <v>0</v>
      </c>
      <c r="AF621" s="29">
        <f t="shared" si="69"/>
        <v>0</v>
      </c>
      <c r="AG621" s="29">
        <f t="shared" si="69"/>
        <v>0</v>
      </c>
      <c r="AH621" s="29">
        <f t="shared" si="69"/>
        <v>0</v>
      </c>
      <c r="AI621" s="29">
        <f t="shared" si="69"/>
        <v>0</v>
      </c>
      <c r="AJ621" s="29">
        <f t="shared" si="69"/>
        <v>0</v>
      </c>
      <c r="AK621" s="29">
        <f t="shared" si="69"/>
        <v>0</v>
      </c>
      <c r="AL621" s="29">
        <f t="shared" si="69"/>
        <v>0</v>
      </c>
      <c r="AM621" s="29">
        <f t="shared" si="69"/>
        <v>0</v>
      </c>
      <c r="AN621" s="29">
        <f t="shared" si="69"/>
        <v>0</v>
      </c>
      <c r="AO621" s="29">
        <f t="shared" si="69"/>
        <v>0</v>
      </c>
      <c r="AP621" s="29">
        <f t="shared" si="69"/>
        <v>0</v>
      </c>
      <c r="AQ621" s="29">
        <f t="shared" si="69"/>
        <v>0</v>
      </c>
      <c r="AR621" s="29">
        <f t="shared" si="69"/>
        <v>0</v>
      </c>
      <c r="AS621" s="29">
        <f t="shared" si="69"/>
        <v>2660893.5100000002</v>
      </c>
      <c r="AT621" s="29">
        <f t="shared" si="69"/>
        <v>2316436.6100000003</v>
      </c>
      <c r="AU621" s="29">
        <f t="shared" si="69"/>
        <v>147920.15999999997</v>
      </c>
      <c r="AV621" s="29">
        <f t="shared" si="69"/>
        <v>155314.47</v>
      </c>
      <c r="AW621" s="29">
        <f t="shared" si="69"/>
        <v>16554.47</v>
      </c>
      <c r="AX621" s="29">
        <f t="shared" si="69"/>
        <v>0</v>
      </c>
      <c r="AY621" s="29">
        <f t="shared" si="69"/>
        <v>0</v>
      </c>
      <c r="AZ621" s="29">
        <f t="shared" si="69"/>
        <v>0</v>
      </c>
      <c r="BA621" s="29">
        <f t="shared" si="69"/>
        <v>0</v>
      </c>
      <c r="BB621" s="29">
        <f t="shared" si="69"/>
        <v>0</v>
      </c>
      <c r="BC621" s="29">
        <f t="shared" si="69"/>
        <v>0</v>
      </c>
      <c r="BD621" s="29">
        <f t="shared" si="69"/>
        <v>0</v>
      </c>
      <c r="BE621" s="29">
        <f t="shared" si="69"/>
        <v>0</v>
      </c>
      <c r="BF621" s="29">
        <f t="shared" si="69"/>
        <v>0</v>
      </c>
      <c r="BG621" s="29">
        <f t="shared" si="69"/>
        <v>1723.4</v>
      </c>
      <c r="BH621" s="29">
        <f t="shared" si="69"/>
        <v>102</v>
      </c>
      <c r="BI621" s="29">
        <f t="shared" si="69"/>
        <v>467.4</v>
      </c>
      <c r="BJ621" s="29">
        <f t="shared" si="69"/>
        <v>375</v>
      </c>
      <c r="BK621" s="29">
        <f t="shared" si="69"/>
        <v>0</v>
      </c>
      <c r="BL621" s="29">
        <f t="shared" si="69"/>
        <v>7500</v>
      </c>
      <c r="BM621" s="29">
        <f t="shared" si="69"/>
        <v>7500</v>
      </c>
      <c r="BN621" s="29">
        <f t="shared" si="69"/>
        <v>0</v>
      </c>
      <c r="BO621" s="29">
        <f t="shared" si="69"/>
        <v>7000</v>
      </c>
      <c r="BP621" s="29">
        <f t="shared" si="69"/>
        <v>0</v>
      </c>
      <c r="BQ621" s="29">
        <f t="shared" si="69"/>
        <v>0</v>
      </c>
      <c r="BR621" s="29">
        <f t="shared" si="69"/>
        <v>0</v>
      </c>
      <c r="BS621" s="29">
        <f t="shared" si="69"/>
        <v>0</v>
      </c>
      <c r="BT621" s="29">
        <f t="shared" si="69"/>
        <v>0</v>
      </c>
      <c r="BU621" s="29">
        <f t="shared" ref="BU621:CO621" si="70">SUM(BU451:BU620)-BU622</f>
        <v>0</v>
      </c>
      <c r="BV621" s="29">
        <f t="shared" si="70"/>
        <v>0</v>
      </c>
      <c r="BW621" s="29">
        <f t="shared" si="70"/>
        <v>0</v>
      </c>
      <c r="BX621" s="29">
        <f t="shared" si="70"/>
        <v>0</v>
      </c>
      <c r="BY621" s="29">
        <f t="shared" si="70"/>
        <v>0</v>
      </c>
      <c r="BZ621" s="29">
        <f t="shared" si="70"/>
        <v>0</v>
      </c>
      <c r="CA621" s="29">
        <f t="shared" si="70"/>
        <v>0</v>
      </c>
      <c r="CB621" s="29">
        <f t="shared" si="70"/>
        <v>0</v>
      </c>
      <c r="CC621" s="29">
        <f t="shared" si="70"/>
        <v>0</v>
      </c>
      <c r="CD621" s="29">
        <f t="shared" si="70"/>
        <v>0</v>
      </c>
      <c r="CE621" s="29">
        <f t="shared" si="70"/>
        <v>2660893.5100000002</v>
      </c>
      <c r="CF621" s="29">
        <f t="shared" si="70"/>
        <v>0</v>
      </c>
      <c r="CI621" s="29">
        <f t="shared" si="70"/>
        <v>0</v>
      </c>
      <c r="CJ621" s="29">
        <f t="shared" si="70"/>
        <v>0</v>
      </c>
      <c r="CK621" s="29">
        <f t="shared" si="70"/>
        <v>0</v>
      </c>
      <c r="CL621" s="29">
        <f t="shared" si="70"/>
        <v>0</v>
      </c>
      <c r="CM621" s="29">
        <f t="shared" si="70"/>
        <v>0</v>
      </c>
      <c r="CN621" s="29">
        <f t="shared" si="70"/>
        <v>0</v>
      </c>
      <c r="CO621" s="29">
        <f t="shared" si="70"/>
        <v>0</v>
      </c>
    </row>
    <row r="622" spans="1:93" s="29" customFormat="1" x14ac:dyDescent="0.25">
      <c r="A622" s="27"/>
      <c r="B622" s="28"/>
      <c r="C622" s="46"/>
      <c r="D622" s="47"/>
      <c r="F622" s="29" t="s">
        <v>991</v>
      </c>
      <c r="H622" s="29">
        <f>+H576</f>
        <v>1501.9</v>
      </c>
      <c r="I622" s="29">
        <f t="shared" ref="I622:BT622" si="71">+I576</f>
        <v>0</v>
      </c>
      <c r="J622" s="29">
        <f t="shared" si="71"/>
        <v>0</v>
      </c>
      <c r="K622" s="29">
        <f t="shared" si="71"/>
        <v>0</v>
      </c>
      <c r="L622" s="29">
        <f t="shared" si="71"/>
        <v>0</v>
      </c>
      <c r="M622" s="29">
        <f t="shared" si="71"/>
        <v>0</v>
      </c>
      <c r="N622" s="29">
        <f t="shared" si="71"/>
        <v>0</v>
      </c>
      <c r="O622" s="29">
        <f t="shared" si="71"/>
        <v>0</v>
      </c>
      <c r="P622" s="29">
        <f t="shared" si="71"/>
        <v>0</v>
      </c>
      <c r="Q622" s="29">
        <f t="shared" si="71"/>
        <v>0</v>
      </c>
      <c r="R622" s="29">
        <f t="shared" si="71"/>
        <v>0</v>
      </c>
      <c r="S622" s="29">
        <f t="shared" si="71"/>
        <v>0</v>
      </c>
      <c r="T622" s="29">
        <f t="shared" si="71"/>
        <v>0</v>
      </c>
      <c r="U622" s="29">
        <f t="shared" si="71"/>
        <v>0</v>
      </c>
      <c r="V622" s="29">
        <f t="shared" si="71"/>
        <v>0</v>
      </c>
      <c r="W622" s="29">
        <f t="shared" si="71"/>
        <v>0</v>
      </c>
      <c r="X622" s="29">
        <f t="shared" si="71"/>
        <v>0</v>
      </c>
      <c r="Y622" s="29">
        <f t="shared" si="71"/>
        <v>0</v>
      </c>
      <c r="Z622" s="29">
        <f t="shared" si="71"/>
        <v>0</v>
      </c>
      <c r="AA622" s="29">
        <f t="shared" si="71"/>
        <v>0</v>
      </c>
      <c r="AB622" s="29">
        <f t="shared" si="71"/>
        <v>0</v>
      </c>
      <c r="AC622" s="29">
        <f t="shared" si="71"/>
        <v>0</v>
      </c>
      <c r="AD622" s="29">
        <f t="shared" si="71"/>
        <v>0</v>
      </c>
      <c r="AE622" s="29">
        <f t="shared" si="71"/>
        <v>0</v>
      </c>
      <c r="AF622" s="29">
        <f t="shared" si="71"/>
        <v>0</v>
      </c>
      <c r="AG622" s="29">
        <f t="shared" si="71"/>
        <v>0</v>
      </c>
      <c r="AH622" s="29">
        <f t="shared" si="71"/>
        <v>0</v>
      </c>
      <c r="AI622" s="29">
        <f t="shared" si="71"/>
        <v>0</v>
      </c>
      <c r="AJ622" s="29">
        <f t="shared" si="71"/>
        <v>0</v>
      </c>
      <c r="AK622" s="29">
        <f t="shared" si="71"/>
        <v>0</v>
      </c>
      <c r="AL622" s="29">
        <f t="shared" si="71"/>
        <v>0</v>
      </c>
      <c r="AM622" s="29">
        <f t="shared" si="71"/>
        <v>0</v>
      </c>
      <c r="AN622" s="29">
        <f t="shared" si="71"/>
        <v>0</v>
      </c>
      <c r="AO622" s="29">
        <f t="shared" si="71"/>
        <v>0</v>
      </c>
      <c r="AP622" s="29">
        <f t="shared" si="71"/>
        <v>0</v>
      </c>
      <c r="AQ622" s="29">
        <f t="shared" si="71"/>
        <v>0</v>
      </c>
      <c r="AR622" s="29">
        <f t="shared" si="71"/>
        <v>0</v>
      </c>
      <c r="AS622" s="29">
        <f t="shared" si="71"/>
        <v>1501.9</v>
      </c>
      <c r="AT622" s="29">
        <f t="shared" si="71"/>
        <v>0</v>
      </c>
      <c r="AU622" s="29">
        <f t="shared" si="71"/>
        <v>0</v>
      </c>
      <c r="AV622" s="29">
        <f t="shared" si="71"/>
        <v>1501.9</v>
      </c>
      <c r="AW622" s="29">
        <f t="shared" si="71"/>
        <v>0</v>
      </c>
      <c r="AX622" s="29">
        <f t="shared" si="71"/>
        <v>0</v>
      </c>
      <c r="AY622" s="29">
        <f t="shared" si="71"/>
        <v>0</v>
      </c>
      <c r="AZ622" s="29">
        <f t="shared" si="71"/>
        <v>0</v>
      </c>
      <c r="BA622" s="29">
        <f t="shared" si="71"/>
        <v>0</v>
      </c>
      <c r="BB622" s="29">
        <f t="shared" si="71"/>
        <v>0</v>
      </c>
      <c r="BC622" s="29">
        <f t="shared" si="71"/>
        <v>0</v>
      </c>
      <c r="BD622" s="29">
        <f t="shared" si="71"/>
        <v>0</v>
      </c>
      <c r="BE622" s="29">
        <f t="shared" si="71"/>
        <v>0</v>
      </c>
      <c r="BF622" s="29">
        <f t="shared" si="71"/>
        <v>0</v>
      </c>
      <c r="BG622" s="29">
        <f t="shared" si="71"/>
        <v>0</v>
      </c>
      <c r="BH622" s="29">
        <f t="shared" si="71"/>
        <v>0</v>
      </c>
      <c r="BI622" s="29">
        <f t="shared" si="71"/>
        <v>0</v>
      </c>
      <c r="BJ622" s="29">
        <f t="shared" si="71"/>
        <v>0</v>
      </c>
      <c r="BK622" s="29">
        <f t="shared" si="71"/>
        <v>0</v>
      </c>
      <c r="BL622" s="29">
        <f t="shared" si="71"/>
        <v>0</v>
      </c>
      <c r="BM622" s="29">
        <f t="shared" si="71"/>
        <v>0</v>
      </c>
      <c r="BN622" s="29">
        <f t="shared" si="71"/>
        <v>0</v>
      </c>
      <c r="BO622" s="29">
        <f t="shared" si="71"/>
        <v>0</v>
      </c>
      <c r="BP622" s="29">
        <f t="shared" si="71"/>
        <v>0</v>
      </c>
      <c r="BQ622" s="29">
        <f t="shared" si="71"/>
        <v>0</v>
      </c>
      <c r="BR622" s="29">
        <f t="shared" si="71"/>
        <v>0</v>
      </c>
      <c r="BS622" s="29">
        <f t="shared" si="71"/>
        <v>0</v>
      </c>
      <c r="BT622" s="29">
        <f t="shared" si="71"/>
        <v>0</v>
      </c>
      <c r="BU622" s="29">
        <f t="shared" ref="BU622:CO622" si="72">+BU576</f>
        <v>0</v>
      </c>
      <c r="BV622" s="29">
        <f t="shared" si="72"/>
        <v>0</v>
      </c>
      <c r="BW622" s="29">
        <f t="shared" si="72"/>
        <v>0</v>
      </c>
      <c r="BX622" s="29">
        <f t="shared" si="72"/>
        <v>0</v>
      </c>
      <c r="BY622" s="29">
        <f t="shared" si="72"/>
        <v>0</v>
      </c>
      <c r="BZ622" s="29">
        <f t="shared" si="72"/>
        <v>0</v>
      </c>
      <c r="CA622" s="29">
        <f t="shared" si="72"/>
        <v>0</v>
      </c>
      <c r="CB622" s="29">
        <f t="shared" si="72"/>
        <v>0</v>
      </c>
      <c r="CC622" s="29">
        <f t="shared" si="72"/>
        <v>0</v>
      </c>
      <c r="CD622" s="29">
        <f t="shared" si="72"/>
        <v>0</v>
      </c>
      <c r="CE622" s="29">
        <f t="shared" si="72"/>
        <v>1501.9</v>
      </c>
      <c r="CF622" s="29">
        <f t="shared" si="72"/>
        <v>0</v>
      </c>
      <c r="CG622" s="29">
        <f t="shared" si="72"/>
        <v>10123</v>
      </c>
      <c r="CH622" s="29" t="str">
        <f t="shared" si="72"/>
        <v>برنامج دولى</v>
      </c>
      <c r="CI622" s="29">
        <f t="shared" si="72"/>
        <v>0</v>
      </c>
      <c r="CJ622" s="29">
        <f t="shared" si="72"/>
        <v>0</v>
      </c>
      <c r="CK622" s="29">
        <f t="shared" si="72"/>
        <v>0</v>
      </c>
      <c r="CL622" s="29">
        <f t="shared" si="72"/>
        <v>0</v>
      </c>
      <c r="CM622" s="29">
        <f t="shared" si="72"/>
        <v>0</v>
      </c>
      <c r="CN622" s="29">
        <f t="shared" si="72"/>
        <v>0</v>
      </c>
      <c r="CO622" s="29">
        <f t="shared" si="72"/>
        <v>0</v>
      </c>
    </row>
    <row r="623" spans="1:93" x14ac:dyDescent="0.25">
      <c r="C623" s="25">
        <v>17379</v>
      </c>
      <c r="D623" s="11">
        <v>10168</v>
      </c>
      <c r="E623" s="3" t="s">
        <v>119</v>
      </c>
      <c r="F623" s="3" t="s">
        <v>992</v>
      </c>
      <c r="G623" s="3"/>
      <c r="H623" s="3">
        <v>3869.25</v>
      </c>
      <c r="U623" s="3"/>
      <c r="V623" s="3"/>
      <c r="AS623" s="22">
        <f t="shared" si="68"/>
        <v>3869.25</v>
      </c>
      <c r="AT623" s="3">
        <v>2696.17</v>
      </c>
      <c r="AU623" s="3">
        <f>21.7+69.13</f>
        <v>90.83</v>
      </c>
      <c r="AV623" s="3">
        <v>932.25</v>
      </c>
      <c r="AW623" s="3">
        <v>150</v>
      </c>
      <c r="BD623" s="3"/>
      <c r="BE623" s="3"/>
      <c r="CE623" s="22">
        <f t="shared" ref="CE623:CE685" si="73">SUM(AT623:CC623)</f>
        <v>3869.25</v>
      </c>
      <c r="CF623" s="3">
        <f t="shared" ref="CF623:CF686" si="74">+CE623-AS623</f>
        <v>0</v>
      </c>
      <c r="CG623" s="17">
        <f t="shared" ref="CG623:CH685" si="75">+D623</f>
        <v>10168</v>
      </c>
      <c r="CH623" s="3" t="str">
        <f t="shared" si="75"/>
        <v>خ ت صيدلة</v>
      </c>
    </row>
    <row r="624" spans="1:93" x14ac:dyDescent="0.25">
      <c r="B624" s="3"/>
      <c r="C624" s="25">
        <v>17150</v>
      </c>
      <c r="D624" s="11">
        <v>10169</v>
      </c>
      <c r="E624" s="3" t="s">
        <v>78</v>
      </c>
      <c r="F624" s="3" t="s">
        <v>993</v>
      </c>
      <c r="G624" s="3"/>
      <c r="H624" s="3">
        <v>61499.03</v>
      </c>
      <c r="U624" s="3"/>
      <c r="V624" s="3"/>
      <c r="AS624" s="22">
        <f t="shared" si="68"/>
        <v>61499.03</v>
      </c>
      <c r="AT624" s="3">
        <v>41091.879999999997</v>
      </c>
      <c r="AU624" s="3">
        <f>5245.11+344.5</f>
        <v>5589.61</v>
      </c>
      <c r="AV624" s="3">
        <v>14817.54</v>
      </c>
      <c r="BD624" s="3"/>
      <c r="BE624" s="3"/>
      <c r="CE624" s="22">
        <f t="shared" si="73"/>
        <v>61499.03</v>
      </c>
      <c r="CF624" s="3">
        <f t="shared" si="74"/>
        <v>0</v>
      </c>
      <c r="CG624" s="17">
        <f t="shared" si="75"/>
        <v>10169</v>
      </c>
      <c r="CH624" s="3" t="str">
        <f t="shared" si="75"/>
        <v>برنامج دولى</v>
      </c>
    </row>
    <row r="625" spans="2:86" x14ac:dyDescent="0.25">
      <c r="B625" s="3"/>
      <c r="C625" s="25">
        <v>17140</v>
      </c>
      <c r="D625" s="11">
        <v>10170</v>
      </c>
      <c r="E625" s="3" t="s">
        <v>78</v>
      </c>
      <c r="F625" s="3" t="s">
        <v>994</v>
      </c>
      <c r="G625" s="3"/>
      <c r="H625" s="3">
        <v>41937.120000000003</v>
      </c>
      <c r="U625" s="3"/>
      <c r="V625" s="3"/>
      <c r="AS625" s="22">
        <f t="shared" si="68"/>
        <v>41937.120000000003</v>
      </c>
      <c r="AT625" s="3">
        <v>29366.75</v>
      </c>
      <c r="AU625" s="3">
        <v>3911.75</v>
      </c>
      <c r="AV625" s="3">
        <v>8658.6200000000008</v>
      </c>
      <c r="BD625" s="3"/>
      <c r="BE625" s="3"/>
      <c r="CE625" s="22">
        <f t="shared" si="73"/>
        <v>41937.120000000003</v>
      </c>
      <c r="CF625" s="3">
        <f t="shared" si="74"/>
        <v>0</v>
      </c>
      <c r="CG625" s="17">
        <f t="shared" si="75"/>
        <v>10170</v>
      </c>
      <c r="CH625" s="3" t="str">
        <f t="shared" si="75"/>
        <v>برنامج دولى</v>
      </c>
    </row>
    <row r="626" spans="2:86" x14ac:dyDescent="0.25">
      <c r="C626" s="25">
        <v>17141</v>
      </c>
      <c r="D626" s="11">
        <v>10171</v>
      </c>
      <c r="E626" s="3" t="s">
        <v>78</v>
      </c>
      <c r="F626" s="3" t="s">
        <v>994</v>
      </c>
      <c r="G626" s="3"/>
      <c r="H626" s="3">
        <v>97850.37</v>
      </c>
      <c r="U626" s="3"/>
      <c r="V626" s="3"/>
      <c r="AS626" s="22">
        <f t="shared" si="68"/>
        <v>97850.37</v>
      </c>
      <c r="AT626" s="3">
        <v>65147.7</v>
      </c>
      <c r="AU626" s="3">
        <v>8873.7999999999993</v>
      </c>
      <c r="AV626" s="3">
        <v>23828.87</v>
      </c>
      <c r="BD626" s="3"/>
      <c r="BE626" s="3"/>
      <c r="CE626" s="22">
        <f t="shared" si="73"/>
        <v>97850.37</v>
      </c>
      <c r="CF626" s="3">
        <f t="shared" si="74"/>
        <v>0</v>
      </c>
      <c r="CG626" s="17">
        <f t="shared" si="75"/>
        <v>10171</v>
      </c>
      <c r="CH626" s="3" t="str">
        <f t="shared" si="75"/>
        <v>برنامج دولى</v>
      </c>
    </row>
    <row r="627" spans="2:86" x14ac:dyDescent="0.25">
      <c r="B627" s="3"/>
      <c r="C627" s="25">
        <v>17142</v>
      </c>
      <c r="D627" s="11">
        <v>10172</v>
      </c>
      <c r="E627" s="3" t="s">
        <v>78</v>
      </c>
      <c r="F627" s="3" t="s">
        <v>994</v>
      </c>
      <c r="G627" s="3"/>
      <c r="H627" s="3">
        <v>23270.13</v>
      </c>
      <c r="U627" s="3"/>
      <c r="V627" s="3"/>
      <c r="AS627" s="22">
        <f t="shared" si="68"/>
        <v>23270.13</v>
      </c>
      <c r="AT627" s="3">
        <v>16521.97</v>
      </c>
      <c r="AU627" s="3">
        <v>2184.2800000000002</v>
      </c>
      <c r="AV627" s="3">
        <v>4563.88</v>
      </c>
      <c r="BD627" s="3"/>
      <c r="BE627" s="3"/>
      <c r="CE627" s="22">
        <f t="shared" si="73"/>
        <v>23270.13</v>
      </c>
      <c r="CF627" s="3">
        <f t="shared" si="74"/>
        <v>0</v>
      </c>
      <c r="CG627" s="17">
        <f t="shared" si="75"/>
        <v>10172</v>
      </c>
      <c r="CH627" s="3" t="str">
        <f t="shared" si="75"/>
        <v>برنامج دولى</v>
      </c>
    </row>
    <row r="628" spans="2:86" x14ac:dyDescent="0.25">
      <c r="C628" s="25">
        <v>17143</v>
      </c>
      <c r="D628" s="11">
        <v>10173</v>
      </c>
      <c r="E628" s="3" t="s">
        <v>78</v>
      </c>
      <c r="F628" s="3" t="s">
        <v>994</v>
      </c>
      <c r="G628" s="3"/>
      <c r="H628" s="3">
        <v>3517.5</v>
      </c>
      <c r="U628" s="3"/>
      <c r="V628" s="3"/>
      <c r="AS628" s="22">
        <f t="shared" si="68"/>
        <v>3517.5</v>
      </c>
      <c r="AT628" s="3">
        <v>2350.35</v>
      </c>
      <c r="AU628" s="3">
        <v>319.64999999999998</v>
      </c>
      <c r="AV628" s="3">
        <v>847.5</v>
      </c>
      <c r="BD628" s="3"/>
      <c r="BE628" s="3"/>
      <c r="CE628" s="22">
        <f t="shared" si="73"/>
        <v>3517.5</v>
      </c>
      <c r="CF628" s="3">
        <f t="shared" si="74"/>
        <v>0</v>
      </c>
      <c r="CG628" s="17">
        <f t="shared" si="75"/>
        <v>10173</v>
      </c>
      <c r="CH628" s="3" t="str">
        <f t="shared" si="75"/>
        <v>برنامج دولى</v>
      </c>
    </row>
    <row r="629" spans="2:86" x14ac:dyDescent="0.25">
      <c r="C629" s="25">
        <v>17144</v>
      </c>
      <c r="D629" s="11">
        <v>10174</v>
      </c>
      <c r="E629" s="3" t="s">
        <v>78</v>
      </c>
      <c r="F629" s="3" t="s">
        <v>994</v>
      </c>
      <c r="G629" s="3"/>
      <c r="H629" s="3">
        <v>5276.25</v>
      </c>
      <c r="U629" s="3"/>
      <c r="V629" s="3"/>
      <c r="AS629" s="22">
        <f t="shared" si="68"/>
        <v>5276.25</v>
      </c>
      <c r="AT629" s="3">
        <v>3526.05</v>
      </c>
      <c r="AU629" s="3">
        <v>478.95</v>
      </c>
      <c r="AV629" s="3">
        <v>1271.25</v>
      </c>
      <c r="BD629" s="3"/>
      <c r="BE629" s="3"/>
      <c r="CE629" s="22">
        <f t="shared" si="73"/>
        <v>5276.25</v>
      </c>
      <c r="CF629" s="3">
        <f t="shared" si="74"/>
        <v>0</v>
      </c>
      <c r="CG629" s="17">
        <f t="shared" si="75"/>
        <v>10174</v>
      </c>
      <c r="CH629" s="3" t="str">
        <f t="shared" si="75"/>
        <v>برنامج دولى</v>
      </c>
    </row>
    <row r="630" spans="2:86" x14ac:dyDescent="0.25">
      <c r="C630" s="25">
        <v>17145</v>
      </c>
      <c r="D630" s="11">
        <v>10175</v>
      </c>
      <c r="E630" s="3" t="s">
        <v>78</v>
      </c>
      <c r="F630" s="3" t="s">
        <v>994</v>
      </c>
      <c r="G630" s="3"/>
      <c r="H630" s="3">
        <v>3517.5</v>
      </c>
      <c r="U630" s="3"/>
      <c r="V630" s="3"/>
      <c r="AS630" s="22">
        <f t="shared" si="68"/>
        <v>3517.5</v>
      </c>
      <c r="AT630" s="3">
        <v>2350.35</v>
      </c>
      <c r="AU630" s="3">
        <v>319.64999999999998</v>
      </c>
      <c r="AV630" s="3">
        <v>847.5</v>
      </c>
      <c r="BD630" s="3"/>
      <c r="BE630" s="3"/>
      <c r="CE630" s="22">
        <f t="shared" si="73"/>
        <v>3517.5</v>
      </c>
      <c r="CF630" s="3">
        <f t="shared" si="74"/>
        <v>0</v>
      </c>
      <c r="CG630" s="17">
        <f t="shared" si="75"/>
        <v>10175</v>
      </c>
      <c r="CH630" s="3" t="str">
        <f t="shared" si="75"/>
        <v>برنامج دولى</v>
      </c>
    </row>
    <row r="631" spans="2:86" x14ac:dyDescent="0.25">
      <c r="C631" s="25">
        <v>17146</v>
      </c>
      <c r="D631" s="11">
        <v>10176</v>
      </c>
      <c r="E631" s="3" t="s">
        <v>78</v>
      </c>
      <c r="F631" s="3" t="s">
        <v>994</v>
      </c>
      <c r="G631" s="3"/>
      <c r="H631" s="3">
        <v>3517.5</v>
      </c>
      <c r="U631" s="3"/>
      <c r="V631" s="3"/>
      <c r="AS631" s="22">
        <f t="shared" si="68"/>
        <v>3517.5</v>
      </c>
      <c r="AT631" s="3">
        <v>2350.35</v>
      </c>
      <c r="AU631" s="3">
        <v>319.64999999999998</v>
      </c>
      <c r="AV631" s="3">
        <v>847.5</v>
      </c>
      <c r="BD631" s="3"/>
      <c r="BE631" s="3"/>
      <c r="CE631" s="22">
        <f t="shared" si="73"/>
        <v>3517.5</v>
      </c>
      <c r="CF631" s="3">
        <f t="shared" si="74"/>
        <v>0</v>
      </c>
      <c r="CG631" s="17">
        <f t="shared" si="75"/>
        <v>10176</v>
      </c>
      <c r="CH631" s="3" t="str">
        <f t="shared" si="75"/>
        <v>برنامج دولى</v>
      </c>
    </row>
    <row r="632" spans="2:86" x14ac:dyDescent="0.25">
      <c r="C632" s="25">
        <v>17147</v>
      </c>
      <c r="D632" s="11">
        <v>10177</v>
      </c>
      <c r="E632" s="3" t="s">
        <v>78</v>
      </c>
      <c r="F632" s="3" t="s">
        <v>994</v>
      </c>
      <c r="G632" s="3"/>
      <c r="H632" s="3">
        <v>586.25</v>
      </c>
      <c r="U632" s="3"/>
      <c r="V632" s="3"/>
      <c r="AS632" s="22">
        <f t="shared" si="68"/>
        <v>586.25</v>
      </c>
      <c r="AT632" s="3">
        <v>392.4</v>
      </c>
      <c r="AU632" s="3">
        <v>52.6</v>
      </c>
      <c r="AV632" s="3">
        <v>141.25</v>
      </c>
      <c r="BD632" s="3"/>
      <c r="BE632" s="3"/>
      <c r="CE632" s="22">
        <f t="shared" si="73"/>
        <v>586.25</v>
      </c>
      <c r="CF632" s="3">
        <f t="shared" si="74"/>
        <v>0</v>
      </c>
      <c r="CG632" s="17">
        <f t="shared" si="75"/>
        <v>10177</v>
      </c>
      <c r="CH632" s="3" t="str">
        <f t="shared" si="75"/>
        <v>برنامج دولى</v>
      </c>
    </row>
    <row r="633" spans="2:86" x14ac:dyDescent="0.25">
      <c r="C633" s="25">
        <v>17148</v>
      </c>
      <c r="D633" s="11">
        <v>10178</v>
      </c>
      <c r="E633" s="3" t="s">
        <v>78</v>
      </c>
      <c r="F633" s="3" t="s">
        <v>994</v>
      </c>
      <c r="G633" s="3"/>
      <c r="H633" s="3">
        <v>6000</v>
      </c>
      <c r="U633" s="3"/>
      <c r="V633" s="3"/>
      <c r="AS633" s="22">
        <f t="shared" si="68"/>
        <v>6000</v>
      </c>
      <c r="AT633" s="3">
        <v>5355.7</v>
      </c>
      <c r="AU633" s="3">
        <v>644.29999999999995</v>
      </c>
      <c r="BD633" s="3"/>
      <c r="BE633" s="3"/>
      <c r="CE633" s="22">
        <f t="shared" si="73"/>
        <v>6000</v>
      </c>
      <c r="CF633" s="3">
        <f t="shared" si="74"/>
        <v>0</v>
      </c>
      <c r="CG633" s="17">
        <f t="shared" si="75"/>
        <v>10178</v>
      </c>
      <c r="CH633" s="3" t="str">
        <f t="shared" si="75"/>
        <v>برنامج دولى</v>
      </c>
    </row>
    <row r="634" spans="2:86" x14ac:dyDescent="0.25">
      <c r="C634" s="25">
        <v>17149</v>
      </c>
      <c r="D634" s="11">
        <v>10179</v>
      </c>
      <c r="E634" s="3" t="s">
        <v>78</v>
      </c>
      <c r="F634" s="3" t="s">
        <v>995</v>
      </c>
      <c r="G634" s="3"/>
      <c r="H634" s="3">
        <v>13952.75</v>
      </c>
      <c r="U634" s="3"/>
      <c r="V634" s="3"/>
      <c r="AS634" s="22">
        <f t="shared" si="68"/>
        <v>13952.75</v>
      </c>
      <c r="AT634" s="3">
        <v>9323.0499999999993</v>
      </c>
      <c r="AU634" s="3">
        <f>77.95+1190</f>
        <v>1267.95</v>
      </c>
      <c r="AV634" s="3">
        <v>3361.75</v>
      </c>
      <c r="BD634" s="3"/>
      <c r="BE634" s="3"/>
      <c r="CE634" s="22">
        <f t="shared" si="73"/>
        <v>13952.75</v>
      </c>
      <c r="CF634" s="3">
        <f t="shared" si="74"/>
        <v>0</v>
      </c>
      <c r="CG634" s="17">
        <f t="shared" si="75"/>
        <v>10179</v>
      </c>
      <c r="CH634" s="3" t="str">
        <f t="shared" si="75"/>
        <v>برنامج دولى</v>
      </c>
    </row>
    <row r="635" spans="2:86" x14ac:dyDescent="0.25">
      <c r="C635" s="25">
        <v>17169</v>
      </c>
      <c r="D635" s="11">
        <v>10180</v>
      </c>
      <c r="E635" s="3" t="s">
        <v>78</v>
      </c>
      <c r="F635" s="3" t="s">
        <v>996</v>
      </c>
      <c r="G635" s="3"/>
      <c r="H635" s="3">
        <v>1172.5</v>
      </c>
      <c r="U635" s="3"/>
      <c r="V635" s="3"/>
      <c r="AS635" s="22">
        <f t="shared" si="68"/>
        <v>1172.5</v>
      </c>
      <c r="AT635" s="3">
        <v>784.1</v>
      </c>
      <c r="AU635" s="3">
        <f>100+5.9</f>
        <v>105.9</v>
      </c>
      <c r="AV635" s="3">
        <f>388.4-AU635</f>
        <v>282.5</v>
      </c>
      <c r="BD635" s="3"/>
      <c r="BE635" s="3"/>
      <c r="CE635" s="22">
        <f t="shared" si="73"/>
        <v>1172.5</v>
      </c>
      <c r="CF635" s="3">
        <f t="shared" si="74"/>
        <v>0</v>
      </c>
      <c r="CG635" s="17">
        <f t="shared" si="75"/>
        <v>10180</v>
      </c>
      <c r="CH635" s="3" t="str">
        <f t="shared" si="75"/>
        <v>برنامج دولى</v>
      </c>
    </row>
    <row r="636" spans="2:86" x14ac:dyDescent="0.25">
      <c r="C636" s="25">
        <v>17170</v>
      </c>
      <c r="D636" s="11">
        <v>10181</v>
      </c>
      <c r="E636" s="3" t="s">
        <v>78</v>
      </c>
      <c r="F636" s="3" t="s">
        <v>996</v>
      </c>
      <c r="G636" s="3"/>
      <c r="H636" s="3">
        <v>36984.550000000003</v>
      </c>
      <c r="U636" s="3"/>
      <c r="V636" s="3"/>
      <c r="AS636" s="22">
        <f t="shared" si="68"/>
        <v>36984.550000000003</v>
      </c>
      <c r="AT636" s="3">
        <v>24715.23</v>
      </c>
      <c r="AU636" s="3">
        <f>204+3154.33</f>
        <v>3358.33</v>
      </c>
      <c r="AV636" s="3">
        <v>8910.99</v>
      </c>
      <c r="BD636" s="3"/>
      <c r="BE636" s="3"/>
      <c r="CE636" s="22">
        <f t="shared" si="73"/>
        <v>36984.549999999996</v>
      </c>
      <c r="CF636" s="3">
        <f t="shared" si="74"/>
        <v>0</v>
      </c>
      <c r="CG636" s="17">
        <f t="shared" si="75"/>
        <v>10181</v>
      </c>
      <c r="CH636" s="3" t="str">
        <f t="shared" si="75"/>
        <v>برنامج دولى</v>
      </c>
    </row>
    <row r="637" spans="2:86" x14ac:dyDescent="0.25">
      <c r="C637" s="25">
        <v>17171</v>
      </c>
      <c r="D637" s="11">
        <v>10182</v>
      </c>
      <c r="E637" s="3" t="s">
        <v>78</v>
      </c>
      <c r="F637" s="3" t="s">
        <v>996</v>
      </c>
      <c r="G637" s="3"/>
      <c r="H637" s="3">
        <v>5803.88</v>
      </c>
      <c r="U637" s="3"/>
      <c r="V637" s="3"/>
      <c r="AS637" s="22">
        <f t="shared" si="68"/>
        <v>5803.88</v>
      </c>
      <c r="AT637" s="3">
        <v>3877.8</v>
      </c>
      <c r="AU637" s="3">
        <v>527.70000000000005</v>
      </c>
      <c r="AV637" s="3">
        <v>1398.38</v>
      </c>
      <c r="BD637" s="3"/>
      <c r="BE637" s="3"/>
      <c r="CE637" s="22">
        <f t="shared" si="73"/>
        <v>5803.88</v>
      </c>
      <c r="CF637" s="3">
        <f t="shared" si="74"/>
        <v>0</v>
      </c>
      <c r="CG637" s="17">
        <f t="shared" si="75"/>
        <v>10182</v>
      </c>
      <c r="CH637" s="3" t="str">
        <f t="shared" si="75"/>
        <v>برنامج دولى</v>
      </c>
    </row>
    <row r="638" spans="2:86" x14ac:dyDescent="0.25">
      <c r="C638" s="25">
        <v>17172</v>
      </c>
      <c r="D638" s="11">
        <v>10183</v>
      </c>
      <c r="E638" s="3" t="s">
        <v>78</v>
      </c>
      <c r="F638" s="3" t="s">
        <v>996</v>
      </c>
      <c r="G638" s="3"/>
      <c r="H638" s="3">
        <v>2500</v>
      </c>
      <c r="U638" s="3"/>
      <c r="V638" s="3"/>
      <c r="AS638" s="22">
        <f t="shared" si="68"/>
        <v>2500</v>
      </c>
      <c r="AT638" s="3">
        <v>2231.6</v>
      </c>
      <c r="AU638" s="3">
        <v>268.39999999999998</v>
      </c>
      <c r="BD638" s="3"/>
      <c r="BE638" s="3"/>
      <c r="CE638" s="22">
        <f t="shared" si="73"/>
        <v>2500</v>
      </c>
      <c r="CF638" s="3">
        <f t="shared" si="74"/>
        <v>0</v>
      </c>
      <c r="CG638" s="17">
        <f t="shared" si="75"/>
        <v>10183</v>
      </c>
      <c r="CH638" s="3" t="str">
        <f t="shared" si="75"/>
        <v>برنامج دولى</v>
      </c>
    </row>
    <row r="639" spans="2:86" x14ac:dyDescent="0.25">
      <c r="C639" s="25">
        <v>17173</v>
      </c>
      <c r="D639" s="11">
        <v>10184</v>
      </c>
      <c r="E639" s="3" t="s">
        <v>78</v>
      </c>
      <c r="F639" s="3" t="s">
        <v>996</v>
      </c>
      <c r="G639" s="3"/>
      <c r="H639" s="3">
        <v>1993.25</v>
      </c>
      <c r="U639" s="3"/>
      <c r="V639" s="3"/>
      <c r="AS639" s="22">
        <f t="shared" si="68"/>
        <v>1993.25</v>
      </c>
      <c r="AT639" s="3">
        <v>1332</v>
      </c>
      <c r="AU639" s="3">
        <v>181</v>
      </c>
      <c r="AV639" s="3">
        <v>480.25</v>
      </c>
      <c r="BD639" s="3"/>
      <c r="BE639" s="3"/>
      <c r="CE639" s="22">
        <f t="shared" si="73"/>
        <v>1993.25</v>
      </c>
      <c r="CF639" s="3">
        <f t="shared" si="74"/>
        <v>0</v>
      </c>
      <c r="CG639" s="17">
        <f t="shared" si="75"/>
        <v>10184</v>
      </c>
      <c r="CH639" s="3" t="str">
        <f t="shared" si="75"/>
        <v>برنامج دولى</v>
      </c>
    </row>
    <row r="640" spans="2:86" x14ac:dyDescent="0.25">
      <c r="C640" s="25">
        <v>17174</v>
      </c>
      <c r="D640" s="11">
        <v>10185</v>
      </c>
      <c r="E640" s="3" t="s">
        <v>78</v>
      </c>
      <c r="F640" s="3" t="s">
        <v>996</v>
      </c>
      <c r="G640" s="3"/>
      <c r="H640" s="3">
        <v>2040.15</v>
      </c>
      <c r="U640" s="3"/>
      <c r="V640" s="3"/>
      <c r="AS640" s="22">
        <f t="shared" si="68"/>
        <v>2040.15</v>
      </c>
      <c r="AT640" s="3">
        <v>1363.35</v>
      </c>
      <c r="AU640" s="3">
        <v>185.25</v>
      </c>
      <c r="AV640" s="3">
        <v>491.55</v>
      </c>
      <c r="BD640" s="3"/>
      <c r="BE640" s="3"/>
      <c r="CE640" s="22">
        <f t="shared" si="73"/>
        <v>2040.1499999999999</v>
      </c>
      <c r="CF640" s="3">
        <f t="shared" si="74"/>
        <v>0</v>
      </c>
      <c r="CG640" s="17">
        <f t="shared" si="75"/>
        <v>10185</v>
      </c>
      <c r="CH640" s="3" t="str">
        <f t="shared" si="75"/>
        <v>برنامج دولى</v>
      </c>
    </row>
    <row r="641" spans="3:86" x14ac:dyDescent="0.25">
      <c r="C641" s="25">
        <v>17167</v>
      </c>
      <c r="D641" s="11">
        <v>10186</v>
      </c>
      <c r="E641" s="3" t="s">
        <v>78</v>
      </c>
      <c r="F641" s="3" t="s">
        <v>996</v>
      </c>
      <c r="G641" s="3"/>
      <c r="H641" s="3">
        <v>5444.3</v>
      </c>
      <c r="U641" s="3"/>
      <c r="V641" s="3"/>
      <c r="AS641" s="22">
        <f t="shared" si="68"/>
        <v>5444.3</v>
      </c>
      <c r="AT641" s="3">
        <v>3639.94</v>
      </c>
      <c r="AU641" s="3">
        <v>492.63</v>
      </c>
      <c r="AV641" s="3">
        <v>1311.73</v>
      </c>
      <c r="BD641" s="3"/>
      <c r="BE641" s="3"/>
      <c r="CE641" s="22">
        <f t="shared" si="73"/>
        <v>5444.2999999999993</v>
      </c>
      <c r="CF641" s="3">
        <f t="shared" si="74"/>
        <v>0</v>
      </c>
      <c r="CG641" s="17">
        <f t="shared" si="75"/>
        <v>10186</v>
      </c>
      <c r="CH641" s="3" t="str">
        <f t="shared" si="75"/>
        <v>برنامج دولى</v>
      </c>
    </row>
    <row r="642" spans="3:86" x14ac:dyDescent="0.25">
      <c r="C642" s="25">
        <v>17166</v>
      </c>
      <c r="D642" s="11">
        <v>10187</v>
      </c>
      <c r="E642" s="3" t="s">
        <v>78</v>
      </c>
      <c r="F642" s="3" t="s">
        <v>996</v>
      </c>
      <c r="G642" s="3"/>
      <c r="H642" s="3">
        <v>4610.5</v>
      </c>
      <c r="U642" s="3"/>
      <c r="V642" s="3"/>
      <c r="AS642" s="22">
        <f t="shared" si="68"/>
        <v>4610.5</v>
      </c>
      <c r="AT642" s="3">
        <v>3641.95</v>
      </c>
      <c r="AU642" s="3">
        <v>460.05</v>
      </c>
      <c r="AV642" s="3">
        <v>508.5</v>
      </c>
      <c r="BD642" s="3"/>
      <c r="BE642" s="3"/>
      <c r="CE642" s="22">
        <f t="shared" si="73"/>
        <v>4610.5</v>
      </c>
      <c r="CF642" s="3">
        <f t="shared" si="74"/>
        <v>0</v>
      </c>
      <c r="CG642" s="17">
        <f t="shared" si="75"/>
        <v>10187</v>
      </c>
      <c r="CH642" s="3" t="str">
        <f t="shared" si="75"/>
        <v>برنامج دولى</v>
      </c>
    </row>
    <row r="643" spans="3:86" x14ac:dyDescent="0.25">
      <c r="C643" s="25">
        <v>17165</v>
      </c>
      <c r="D643" s="11">
        <v>10188</v>
      </c>
      <c r="E643" s="3" t="s">
        <v>78</v>
      </c>
      <c r="F643" s="3" t="s">
        <v>996</v>
      </c>
      <c r="G643" s="3"/>
      <c r="H643" s="3">
        <v>3283</v>
      </c>
      <c r="U643" s="3"/>
      <c r="V643" s="3"/>
      <c r="AS643" s="22">
        <f t="shared" si="68"/>
        <v>3283</v>
      </c>
      <c r="AT643" s="3">
        <v>2194.4499999999998</v>
      </c>
      <c r="AU643" s="3">
        <v>297.55</v>
      </c>
      <c r="AV643" s="3">
        <v>791</v>
      </c>
      <c r="BD643" s="3"/>
      <c r="BE643" s="3"/>
      <c r="CE643" s="22">
        <f t="shared" si="73"/>
        <v>3283</v>
      </c>
      <c r="CF643" s="3">
        <f t="shared" si="74"/>
        <v>0</v>
      </c>
      <c r="CG643" s="17">
        <f t="shared" si="75"/>
        <v>10188</v>
      </c>
      <c r="CH643" s="3" t="str">
        <f t="shared" si="75"/>
        <v>برنامج دولى</v>
      </c>
    </row>
    <row r="644" spans="3:86" x14ac:dyDescent="0.25">
      <c r="C644" s="25">
        <v>17164</v>
      </c>
      <c r="D644" s="11">
        <v>10189</v>
      </c>
      <c r="E644" s="3" t="s">
        <v>78</v>
      </c>
      <c r="F644" s="3" t="s">
        <v>996</v>
      </c>
      <c r="G644" s="3"/>
      <c r="H644" s="3">
        <v>1800</v>
      </c>
      <c r="U644" s="3"/>
      <c r="V644" s="3"/>
      <c r="AS644" s="22">
        <f t="shared" si="68"/>
        <v>1800</v>
      </c>
      <c r="AT644" s="3">
        <v>1606.85</v>
      </c>
      <c r="AU644" s="3">
        <v>193.15</v>
      </c>
      <c r="BD644" s="3"/>
      <c r="BE644" s="3"/>
      <c r="CE644" s="22">
        <f t="shared" si="73"/>
        <v>1800</v>
      </c>
      <c r="CF644" s="3">
        <f t="shared" si="74"/>
        <v>0</v>
      </c>
      <c r="CG644" s="17">
        <f t="shared" si="75"/>
        <v>10189</v>
      </c>
      <c r="CH644" s="3" t="str">
        <f t="shared" si="75"/>
        <v>برنامج دولى</v>
      </c>
    </row>
    <row r="645" spans="3:86" x14ac:dyDescent="0.25">
      <c r="C645" s="25">
        <v>17163</v>
      </c>
      <c r="D645" s="11">
        <v>10190</v>
      </c>
      <c r="E645" s="3" t="s">
        <v>78</v>
      </c>
      <c r="F645" s="3" t="s">
        <v>996</v>
      </c>
      <c r="G645" s="3"/>
      <c r="H645" s="3">
        <v>5000</v>
      </c>
      <c r="U645" s="3"/>
      <c r="V645" s="3"/>
      <c r="AS645" s="22">
        <f t="shared" si="68"/>
        <v>5000</v>
      </c>
      <c r="AT645" s="3">
        <v>4463.2</v>
      </c>
      <c r="AU645" s="3">
        <v>536.79999999999995</v>
      </c>
      <c r="BD645" s="3"/>
      <c r="BE645" s="3"/>
      <c r="CE645" s="22">
        <f t="shared" si="73"/>
        <v>5000</v>
      </c>
      <c r="CF645" s="3">
        <f t="shared" si="74"/>
        <v>0</v>
      </c>
      <c r="CG645" s="17">
        <f t="shared" si="75"/>
        <v>10190</v>
      </c>
      <c r="CH645" s="3" t="str">
        <f t="shared" si="75"/>
        <v>برنامج دولى</v>
      </c>
    </row>
    <row r="646" spans="3:86" x14ac:dyDescent="0.25">
      <c r="C646" s="25">
        <v>17162</v>
      </c>
      <c r="D646" s="11">
        <v>10191</v>
      </c>
      <c r="E646" s="3" t="s">
        <v>78</v>
      </c>
      <c r="F646" s="3" t="s">
        <v>996</v>
      </c>
      <c r="G646" s="3"/>
      <c r="H646" s="3">
        <v>10891.65</v>
      </c>
      <c r="U646" s="3"/>
      <c r="V646" s="3"/>
      <c r="AS646" s="22">
        <f t="shared" si="68"/>
        <v>10891.65</v>
      </c>
      <c r="AT646" s="3">
        <v>7417.16</v>
      </c>
      <c r="AU646" s="3">
        <v>998.9</v>
      </c>
      <c r="AV646" s="3">
        <v>2475.59</v>
      </c>
      <c r="BD646" s="3"/>
      <c r="BE646" s="3"/>
      <c r="CE646" s="22">
        <f t="shared" si="73"/>
        <v>10891.65</v>
      </c>
      <c r="CF646" s="3">
        <f t="shared" si="74"/>
        <v>0</v>
      </c>
      <c r="CG646" s="17">
        <f t="shared" si="75"/>
        <v>10191</v>
      </c>
      <c r="CH646" s="3" t="str">
        <f t="shared" si="75"/>
        <v>برنامج دولى</v>
      </c>
    </row>
    <row r="647" spans="3:86" x14ac:dyDescent="0.25">
      <c r="C647" s="25">
        <v>17161</v>
      </c>
      <c r="D647" s="11">
        <v>10192</v>
      </c>
      <c r="E647" s="3" t="s">
        <v>78</v>
      </c>
      <c r="F647" s="3" t="s">
        <v>996</v>
      </c>
      <c r="G647" s="3"/>
      <c r="H647" s="3">
        <v>4791.93</v>
      </c>
      <c r="U647" s="3"/>
      <c r="V647" s="3"/>
      <c r="AS647" s="22">
        <f t="shared" si="68"/>
        <v>4791.93</v>
      </c>
      <c r="AT647" s="3">
        <v>3527.11</v>
      </c>
      <c r="AU647" s="3">
        <v>459.2</v>
      </c>
      <c r="AV647" s="3">
        <v>805.62</v>
      </c>
      <c r="BD647" s="3"/>
      <c r="BE647" s="3"/>
      <c r="CE647" s="22">
        <f t="shared" si="73"/>
        <v>4791.93</v>
      </c>
      <c r="CF647" s="3">
        <f t="shared" si="74"/>
        <v>0</v>
      </c>
      <c r="CG647" s="17">
        <f t="shared" si="75"/>
        <v>10192</v>
      </c>
      <c r="CH647" s="3" t="str">
        <f t="shared" si="75"/>
        <v>برنامج دولى</v>
      </c>
    </row>
    <row r="648" spans="3:86" x14ac:dyDescent="0.25">
      <c r="C648" s="25">
        <v>17160</v>
      </c>
      <c r="D648" s="11">
        <v>10193</v>
      </c>
      <c r="E648" s="3" t="s">
        <v>78</v>
      </c>
      <c r="F648" s="3" t="s">
        <v>996</v>
      </c>
      <c r="G648" s="3"/>
      <c r="H648" s="3">
        <v>6507.15</v>
      </c>
      <c r="U648" s="3"/>
      <c r="V648" s="3"/>
      <c r="AS648" s="22">
        <f t="shared" si="68"/>
        <v>6507.15</v>
      </c>
      <c r="AT648" s="3">
        <v>4638.91</v>
      </c>
      <c r="AU648" s="3">
        <v>611.9</v>
      </c>
      <c r="AV648" s="3">
        <v>1256.3399999999999</v>
      </c>
      <c r="BD648" s="3"/>
      <c r="BE648" s="3"/>
      <c r="CE648" s="22">
        <f t="shared" si="73"/>
        <v>6507.15</v>
      </c>
      <c r="CF648" s="3">
        <f t="shared" si="74"/>
        <v>0</v>
      </c>
      <c r="CG648" s="17">
        <f t="shared" si="75"/>
        <v>10193</v>
      </c>
      <c r="CH648" s="3" t="str">
        <f t="shared" si="75"/>
        <v>برنامج دولى</v>
      </c>
    </row>
    <row r="649" spans="3:86" x14ac:dyDescent="0.25">
      <c r="C649" s="25">
        <v>17159</v>
      </c>
      <c r="D649" s="11">
        <v>10194</v>
      </c>
      <c r="E649" s="3" t="s">
        <v>78</v>
      </c>
      <c r="F649" s="3" t="s">
        <v>996</v>
      </c>
      <c r="G649" s="3"/>
      <c r="H649" s="3">
        <v>35088.720000000001</v>
      </c>
      <c r="U649" s="3"/>
      <c r="V649" s="3"/>
      <c r="AS649" s="22">
        <f t="shared" si="68"/>
        <v>35088.720000000001</v>
      </c>
      <c r="AT649" s="3">
        <v>25602.13</v>
      </c>
      <c r="AU649" s="3">
        <v>3341.92</v>
      </c>
      <c r="AV649" s="3">
        <v>6144.67</v>
      </c>
      <c r="BD649" s="3"/>
      <c r="BE649" s="3"/>
      <c r="CE649" s="22">
        <f t="shared" si="73"/>
        <v>35088.720000000001</v>
      </c>
      <c r="CF649" s="3">
        <f t="shared" si="74"/>
        <v>0</v>
      </c>
      <c r="CG649" s="17">
        <f t="shared" si="75"/>
        <v>10194</v>
      </c>
      <c r="CH649" s="3" t="str">
        <f t="shared" si="75"/>
        <v>برنامج دولى</v>
      </c>
    </row>
    <row r="650" spans="3:86" x14ac:dyDescent="0.25">
      <c r="C650" s="25">
        <v>17158</v>
      </c>
      <c r="D650" s="11">
        <v>10195</v>
      </c>
      <c r="E650" s="3" t="s">
        <v>78</v>
      </c>
      <c r="F650" s="3" t="s">
        <v>996</v>
      </c>
      <c r="G650" s="3"/>
      <c r="H650" s="3">
        <v>9329.2000000000007</v>
      </c>
      <c r="U650" s="3"/>
      <c r="V650" s="3"/>
      <c r="AS650" s="22">
        <f t="shared" si="68"/>
        <v>9329.2000000000007</v>
      </c>
      <c r="AT650" s="3">
        <v>6231.86</v>
      </c>
      <c r="AU650" s="3">
        <v>849.57</v>
      </c>
      <c r="AV650" s="3">
        <v>2247.77</v>
      </c>
      <c r="BD650" s="3"/>
      <c r="BE650" s="3"/>
      <c r="CE650" s="22">
        <f t="shared" si="73"/>
        <v>9329.1999999999989</v>
      </c>
      <c r="CF650" s="3">
        <f t="shared" si="74"/>
        <v>0</v>
      </c>
      <c r="CG650" s="17">
        <f t="shared" si="75"/>
        <v>10195</v>
      </c>
      <c r="CH650" s="3" t="str">
        <f t="shared" si="75"/>
        <v>برنامج دولى</v>
      </c>
    </row>
    <row r="651" spans="3:86" x14ac:dyDescent="0.25">
      <c r="C651" s="25">
        <v>17157</v>
      </c>
      <c r="D651" s="11">
        <v>10196</v>
      </c>
      <c r="E651" s="3" t="s">
        <v>78</v>
      </c>
      <c r="F651" s="3" t="s">
        <v>996</v>
      </c>
      <c r="G651" s="3"/>
      <c r="H651" s="3">
        <v>1926.8</v>
      </c>
      <c r="U651" s="3"/>
      <c r="V651" s="3"/>
      <c r="AS651" s="22">
        <f t="shared" si="68"/>
        <v>1926.8</v>
      </c>
      <c r="AT651" s="3">
        <v>1287.6400000000001</v>
      </c>
      <c r="AU651" s="3">
        <v>174.93</v>
      </c>
      <c r="AV651" s="3">
        <v>464.23</v>
      </c>
      <c r="BD651" s="3"/>
      <c r="BE651" s="3"/>
      <c r="CE651" s="22">
        <f t="shared" si="73"/>
        <v>1926.8000000000002</v>
      </c>
      <c r="CF651" s="3">
        <f t="shared" si="74"/>
        <v>0</v>
      </c>
      <c r="CG651" s="17">
        <f t="shared" si="75"/>
        <v>10196</v>
      </c>
      <c r="CH651" s="3" t="str">
        <f t="shared" si="75"/>
        <v>برنامج دولى</v>
      </c>
    </row>
    <row r="652" spans="3:86" x14ac:dyDescent="0.25">
      <c r="C652" s="25">
        <v>17155</v>
      </c>
      <c r="D652" s="11">
        <v>10197</v>
      </c>
      <c r="E652" s="3" t="s">
        <v>78</v>
      </c>
      <c r="F652" s="3" t="s">
        <v>996</v>
      </c>
      <c r="G652" s="3"/>
      <c r="H652" s="3">
        <v>12541.84</v>
      </c>
      <c r="U652" s="3"/>
      <c r="V652" s="3"/>
      <c r="AS652" s="22">
        <f t="shared" si="68"/>
        <v>12541.84</v>
      </c>
      <c r="AT652" s="3">
        <v>8381.11</v>
      </c>
      <c r="AU652" s="3">
        <v>1138.92</v>
      </c>
      <c r="AV652" s="3">
        <v>3021.81</v>
      </c>
      <c r="BD652" s="3"/>
      <c r="BE652" s="3"/>
      <c r="CE652" s="22">
        <f t="shared" si="73"/>
        <v>12541.84</v>
      </c>
      <c r="CF652" s="3">
        <f t="shared" si="74"/>
        <v>0</v>
      </c>
      <c r="CG652" s="17">
        <f t="shared" si="75"/>
        <v>10197</v>
      </c>
      <c r="CH652" s="3" t="str">
        <f t="shared" si="75"/>
        <v>برنامج دولى</v>
      </c>
    </row>
    <row r="653" spans="3:86" x14ac:dyDescent="0.25">
      <c r="C653" s="25">
        <v>17154</v>
      </c>
      <c r="D653" s="11">
        <v>10198</v>
      </c>
      <c r="E653" s="3" t="s">
        <v>78</v>
      </c>
      <c r="F653" s="3" t="s">
        <v>996</v>
      </c>
      <c r="G653" s="3"/>
      <c r="H653" s="3">
        <v>332035.53000000003</v>
      </c>
      <c r="U653" s="3"/>
      <c r="V653" s="3"/>
      <c r="AS653" s="22">
        <f t="shared" si="68"/>
        <v>332035.53000000003</v>
      </c>
      <c r="AT653" s="3">
        <v>220976.16</v>
      </c>
      <c r="AU653" s="3">
        <v>30074.62</v>
      </c>
      <c r="AV653" s="3">
        <v>80984.75</v>
      </c>
      <c r="BD653" s="3"/>
      <c r="BE653" s="3"/>
      <c r="CE653" s="22">
        <f t="shared" si="73"/>
        <v>332035.53000000003</v>
      </c>
      <c r="CF653" s="3">
        <f t="shared" si="74"/>
        <v>0</v>
      </c>
      <c r="CG653" s="17">
        <f t="shared" si="75"/>
        <v>10198</v>
      </c>
      <c r="CH653" s="3" t="str">
        <f t="shared" si="75"/>
        <v>برنامج دولى</v>
      </c>
    </row>
    <row r="654" spans="3:86" x14ac:dyDescent="0.25">
      <c r="C654" s="25">
        <v>17153</v>
      </c>
      <c r="D654" s="11">
        <v>10199</v>
      </c>
      <c r="E654" s="3" t="s">
        <v>78</v>
      </c>
      <c r="F654" s="3" t="s">
        <v>996</v>
      </c>
      <c r="G654" s="3"/>
      <c r="H654" s="3">
        <v>196845.9</v>
      </c>
      <c r="U654" s="3"/>
      <c r="V654" s="3"/>
      <c r="AS654" s="22">
        <f t="shared" si="68"/>
        <v>196845.9</v>
      </c>
      <c r="AT654" s="3">
        <v>132003.79999999999</v>
      </c>
      <c r="AU654" s="3">
        <f>17911.14+100</f>
        <v>18011.14</v>
      </c>
      <c r="AV654" s="3">
        <v>46830.96</v>
      </c>
      <c r="BD654" s="3"/>
      <c r="BE654" s="3"/>
      <c r="CE654" s="22">
        <f t="shared" si="73"/>
        <v>196845.9</v>
      </c>
      <c r="CF654" s="3">
        <f t="shared" si="74"/>
        <v>0</v>
      </c>
      <c r="CG654" s="17">
        <f t="shared" si="75"/>
        <v>10199</v>
      </c>
      <c r="CH654" s="3" t="str">
        <f t="shared" si="75"/>
        <v>برنامج دولى</v>
      </c>
    </row>
    <row r="655" spans="3:86" x14ac:dyDescent="0.25">
      <c r="C655" s="25">
        <v>17152</v>
      </c>
      <c r="D655" s="11">
        <v>10200</v>
      </c>
      <c r="E655" s="3" t="s">
        <v>78</v>
      </c>
      <c r="F655" s="3" t="s">
        <v>996</v>
      </c>
      <c r="G655" s="3"/>
      <c r="H655" s="3">
        <v>154086.01999999999</v>
      </c>
      <c r="U655" s="3"/>
      <c r="V655" s="3"/>
      <c r="AS655" s="22">
        <f t="shared" si="68"/>
        <v>154086.01999999999</v>
      </c>
      <c r="AT655" s="3">
        <v>102982.43</v>
      </c>
      <c r="AU655" s="3">
        <v>13978.41</v>
      </c>
      <c r="AV655" s="3">
        <v>37125.18</v>
      </c>
      <c r="BD655" s="3"/>
      <c r="BE655" s="3"/>
      <c r="CE655" s="22">
        <f t="shared" si="73"/>
        <v>154086.01999999999</v>
      </c>
      <c r="CF655" s="3">
        <f t="shared" si="74"/>
        <v>0</v>
      </c>
      <c r="CG655" s="17">
        <f t="shared" si="75"/>
        <v>10200</v>
      </c>
      <c r="CH655" s="3" t="str">
        <f t="shared" si="75"/>
        <v>برنامج دولى</v>
      </c>
    </row>
    <row r="656" spans="3:86" x14ac:dyDescent="0.25">
      <c r="C656" s="25">
        <v>17151</v>
      </c>
      <c r="D656" s="11">
        <v>10201</v>
      </c>
      <c r="E656" s="3" t="s">
        <v>78</v>
      </c>
      <c r="F656" s="3" t="s">
        <v>996</v>
      </c>
      <c r="G656" s="3"/>
      <c r="H656" s="3">
        <v>161822.95000000001</v>
      </c>
      <c r="U656" s="3"/>
      <c r="V656" s="3"/>
      <c r="AS656" s="22">
        <f t="shared" si="68"/>
        <v>161822.95000000001</v>
      </c>
      <c r="AT656" s="3">
        <v>108871.44</v>
      </c>
      <c r="AU656" s="3">
        <f>14619.29+400</f>
        <v>15019.29</v>
      </c>
      <c r="AV656" s="3">
        <v>37412.22</v>
      </c>
      <c r="AX656" s="3">
        <v>520</v>
      </c>
      <c r="BD656" s="3"/>
      <c r="BE656" s="3"/>
      <c r="CE656" s="22">
        <f t="shared" si="73"/>
        <v>161822.95000000001</v>
      </c>
      <c r="CF656" s="3">
        <f t="shared" si="74"/>
        <v>0</v>
      </c>
      <c r="CG656" s="17">
        <f t="shared" si="75"/>
        <v>10201</v>
      </c>
      <c r="CH656" s="3" t="str">
        <f t="shared" si="75"/>
        <v>برنامج دولى</v>
      </c>
    </row>
    <row r="657" spans="3:86" x14ac:dyDescent="0.25">
      <c r="C657" s="25">
        <v>17156</v>
      </c>
      <c r="D657" s="11">
        <v>10202</v>
      </c>
      <c r="E657" s="3" t="s">
        <v>78</v>
      </c>
      <c r="F657" s="3" t="s">
        <v>996</v>
      </c>
      <c r="G657" s="3"/>
      <c r="H657" s="3">
        <v>9065.6200000000008</v>
      </c>
      <c r="U657" s="3"/>
      <c r="V657" s="3"/>
      <c r="AS657" s="22">
        <f t="shared" si="68"/>
        <v>9065.6200000000008</v>
      </c>
      <c r="AT657" s="3">
        <v>6142.34</v>
      </c>
      <c r="AU657" s="3">
        <v>828.77</v>
      </c>
      <c r="AV657" s="3">
        <v>2094.5100000000002</v>
      </c>
      <c r="BD657" s="3"/>
      <c r="BE657" s="3"/>
      <c r="CE657" s="22">
        <f t="shared" si="73"/>
        <v>9065.6200000000008</v>
      </c>
      <c r="CF657" s="3">
        <f t="shared" si="74"/>
        <v>0</v>
      </c>
      <c r="CG657" s="17">
        <f t="shared" si="75"/>
        <v>10202</v>
      </c>
      <c r="CH657" s="3" t="str">
        <f t="shared" si="75"/>
        <v>برنامج دولى</v>
      </c>
    </row>
    <row r="658" spans="3:86" x14ac:dyDescent="0.25">
      <c r="C658" s="25">
        <v>17168</v>
      </c>
      <c r="D658" s="11">
        <v>10203</v>
      </c>
      <c r="E658" s="3" t="s">
        <v>78</v>
      </c>
      <c r="F658" s="3" t="s">
        <v>997</v>
      </c>
      <c r="G658" s="3"/>
      <c r="H658" s="3">
        <v>7973.01</v>
      </c>
      <c r="U658" s="3"/>
      <c r="V658" s="3"/>
      <c r="AS658" s="22">
        <f t="shared" si="68"/>
        <v>7973.01</v>
      </c>
      <c r="AT658" s="3">
        <v>5333.09</v>
      </c>
      <c r="AU658" s="3">
        <f>38.9+680</f>
        <v>718.9</v>
      </c>
      <c r="AV658" s="3">
        <v>1921.02</v>
      </c>
      <c r="BD658" s="3"/>
      <c r="BE658" s="3"/>
      <c r="CE658" s="22">
        <f t="shared" si="73"/>
        <v>7973.01</v>
      </c>
      <c r="CF658" s="3">
        <f t="shared" si="74"/>
        <v>0</v>
      </c>
      <c r="CG658" s="17">
        <f t="shared" si="75"/>
        <v>10203</v>
      </c>
      <c r="CH658" s="3" t="str">
        <f t="shared" si="75"/>
        <v>برنامج دولى</v>
      </c>
    </row>
    <row r="659" spans="3:86" x14ac:dyDescent="0.25">
      <c r="C659" s="25">
        <v>17222</v>
      </c>
      <c r="D659" s="11">
        <v>10204</v>
      </c>
      <c r="E659" s="3" t="s">
        <v>78</v>
      </c>
      <c r="F659" s="3" t="s">
        <v>998</v>
      </c>
      <c r="G659" s="3"/>
      <c r="H659" s="3">
        <v>26250</v>
      </c>
      <c r="U659" s="3"/>
      <c r="V659" s="3"/>
      <c r="AS659" s="22">
        <f t="shared" si="68"/>
        <v>26250</v>
      </c>
      <c r="AT659" s="3">
        <v>23422.45</v>
      </c>
      <c r="AU659" s="3">
        <v>2827.55</v>
      </c>
      <c r="BD659" s="3"/>
      <c r="BE659" s="3"/>
      <c r="CE659" s="22">
        <f t="shared" si="73"/>
        <v>26250</v>
      </c>
      <c r="CF659" s="3">
        <f t="shared" si="74"/>
        <v>0</v>
      </c>
      <c r="CG659" s="17">
        <f t="shared" si="75"/>
        <v>10204</v>
      </c>
      <c r="CH659" s="3" t="str">
        <f t="shared" si="75"/>
        <v>برنامج دولى</v>
      </c>
    </row>
    <row r="660" spans="3:86" x14ac:dyDescent="0.25">
      <c r="C660" s="25">
        <v>17219</v>
      </c>
      <c r="D660" s="11">
        <v>10205</v>
      </c>
      <c r="E660" s="3" t="s">
        <v>78</v>
      </c>
      <c r="F660" s="3" t="s">
        <v>674</v>
      </c>
      <c r="G660" s="3"/>
      <c r="H660" s="3">
        <v>4040.49</v>
      </c>
      <c r="U660" s="3"/>
      <c r="V660" s="3"/>
      <c r="AS660" s="22">
        <f t="shared" si="68"/>
        <v>4040.49</v>
      </c>
      <c r="AT660" s="3">
        <v>3544.72</v>
      </c>
      <c r="AU660" s="3">
        <v>429.45</v>
      </c>
      <c r="AV660" s="3">
        <v>66.319999999999993</v>
      </c>
      <c r="BD660" s="3"/>
      <c r="BE660" s="3"/>
      <c r="CE660" s="22">
        <f t="shared" si="73"/>
        <v>4040.49</v>
      </c>
      <c r="CF660" s="3">
        <f t="shared" si="74"/>
        <v>0</v>
      </c>
      <c r="CG660" s="17">
        <f t="shared" si="75"/>
        <v>10205</v>
      </c>
      <c r="CH660" s="3" t="str">
        <f t="shared" si="75"/>
        <v>برنامج دولى</v>
      </c>
    </row>
    <row r="661" spans="3:86" x14ac:dyDescent="0.25">
      <c r="C661" s="25">
        <v>17218</v>
      </c>
      <c r="D661" s="11">
        <v>10206</v>
      </c>
      <c r="E661" s="3" t="s">
        <v>78</v>
      </c>
      <c r="F661" s="3" t="s">
        <v>999</v>
      </c>
      <c r="G661" s="3"/>
      <c r="H661" s="3">
        <v>24375</v>
      </c>
      <c r="U661" s="3"/>
      <c r="V661" s="3"/>
      <c r="AS661" s="22">
        <f t="shared" si="68"/>
        <v>24375</v>
      </c>
      <c r="AT661" s="3">
        <v>21743.7</v>
      </c>
      <c r="AU661" s="3">
        <v>2631.3</v>
      </c>
      <c r="BD661" s="3"/>
      <c r="BE661" s="3"/>
      <c r="CE661" s="22">
        <f t="shared" si="73"/>
        <v>24375</v>
      </c>
      <c r="CF661" s="3">
        <f t="shared" si="74"/>
        <v>0</v>
      </c>
      <c r="CG661" s="17">
        <f t="shared" si="75"/>
        <v>10206</v>
      </c>
      <c r="CH661" s="3" t="str">
        <f t="shared" si="75"/>
        <v>برنامج دولى</v>
      </c>
    </row>
    <row r="662" spans="3:86" x14ac:dyDescent="0.25">
      <c r="C662" s="25">
        <v>17220</v>
      </c>
      <c r="D662" s="11">
        <v>10207</v>
      </c>
      <c r="E662" s="3" t="s">
        <v>78</v>
      </c>
      <c r="F662" s="3" t="s">
        <v>1000</v>
      </c>
      <c r="G662" s="3"/>
      <c r="H662" s="3">
        <v>52625</v>
      </c>
      <c r="U662" s="3"/>
      <c r="V662" s="3"/>
      <c r="AS662" s="22">
        <f t="shared" si="68"/>
        <v>52625</v>
      </c>
      <c r="AT662" s="3">
        <v>46959</v>
      </c>
      <c r="AU662" s="3">
        <v>5666</v>
      </c>
      <c r="BD662" s="3"/>
      <c r="BE662" s="3"/>
      <c r="CE662" s="22">
        <f t="shared" si="73"/>
        <v>52625</v>
      </c>
      <c r="CF662" s="3">
        <f t="shared" si="74"/>
        <v>0</v>
      </c>
      <c r="CG662" s="17">
        <f t="shared" si="75"/>
        <v>10207</v>
      </c>
      <c r="CH662" s="3" t="str">
        <f t="shared" si="75"/>
        <v>برنامج دولى</v>
      </c>
    </row>
    <row r="663" spans="3:86" x14ac:dyDescent="0.25">
      <c r="C663" s="25">
        <v>17221</v>
      </c>
      <c r="D663" s="11">
        <v>10208</v>
      </c>
      <c r="E663" s="3" t="s">
        <v>78</v>
      </c>
      <c r="F663" s="3" t="s">
        <v>1001</v>
      </c>
      <c r="G663" s="3"/>
      <c r="H663" s="3">
        <v>24375</v>
      </c>
      <c r="U663" s="3"/>
      <c r="V663" s="3"/>
      <c r="AS663" s="22">
        <f t="shared" si="68"/>
        <v>24375</v>
      </c>
      <c r="AT663" s="3">
        <v>21754.3</v>
      </c>
      <c r="AU663" s="3">
        <v>2620.6999999999998</v>
      </c>
      <c r="BD663" s="3"/>
      <c r="BE663" s="3"/>
      <c r="CE663" s="22">
        <f t="shared" si="73"/>
        <v>24375</v>
      </c>
      <c r="CF663" s="3">
        <f t="shared" si="74"/>
        <v>0</v>
      </c>
      <c r="CG663" s="17">
        <f t="shared" si="75"/>
        <v>10208</v>
      </c>
      <c r="CH663" s="3" t="str">
        <f t="shared" si="75"/>
        <v>برنامج دولى</v>
      </c>
    </row>
    <row r="664" spans="3:86" x14ac:dyDescent="0.25">
      <c r="C664" s="25">
        <v>17224</v>
      </c>
      <c r="D664" s="11">
        <v>10209</v>
      </c>
      <c r="E664" s="3" t="s">
        <v>78</v>
      </c>
      <c r="F664" s="3" t="s">
        <v>1002</v>
      </c>
      <c r="G664" s="3"/>
      <c r="H664" s="3">
        <v>46951</v>
      </c>
      <c r="U664" s="3"/>
      <c r="V664" s="3"/>
      <c r="AS664" s="22">
        <f t="shared" si="68"/>
        <v>46951</v>
      </c>
      <c r="AT664" s="3">
        <v>41799.870000000003</v>
      </c>
      <c r="AU664" s="3">
        <v>5026.66</v>
      </c>
      <c r="AV664" s="3">
        <v>124.47</v>
      </c>
      <c r="BD664" s="3"/>
      <c r="BE664" s="3"/>
      <c r="CE664" s="22">
        <f t="shared" si="73"/>
        <v>46951</v>
      </c>
      <c r="CF664" s="3">
        <f t="shared" si="74"/>
        <v>0</v>
      </c>
      <c r="CG664" s="17">
        <f t="shared" si="75"/>
        <v>10209</v>
      </c>
      <c r="CH664" s="3" t="str">
        <f t="shared" si="75"/>
        <v>برنامج دولى</v>
      </c>
    </row>
    <row r="665" spans="3:86" x14ac:dyDescent="0.25">
      <c r="C665" s="25">
        <v>17223</v>
      </c>
      <c r="D665" s="11">
        <v>10210</v>
      </c>
      <c r="E665" s="3" t="s">
        <v>78</v>
      </c>
      <c r="F665" s="3" t="s">
        <v>1002</v>
      </c>
      <c r="G665" s="3"/>
      <c r="H665" s="3">
        <v>1564.11</v>
      </c>
      <c r="U665" s="3"/>
      <c r="V665" s="3"/>
      <c r="AS665" s="22">
        <f t="shared" si="68"/>
        <v>1564.11</v>
      </c>
      <c r="AT665" s="3">
        <v>1393.88</v>
      </c>
      <c r="AU665" s="3">
        <v>167.6</v>
      </c>
      <c r="AV665" s="3">
        <v>2.63</v>
      </c>
      <c r="BD665" s="3"/>
      <c r="BE665" s="3"/>
      <c r="CE665" s="22">
        <f t="shared" si="73"/>
        <v>1564.1100000000001</v>
      </c>
      <c r="CF665" s="3">
        <f t="shared" si="74"/>
        <v>0</v>
      </c>
      <c r="CG665" s="17">
        <f t="shared" si="75"/>
        <v>10210</v>
      </c>
      <c r="CH665" s="3" t="str">
        <f t="shared" si="75"/>
        <v>برنامج دولى</v>
      </c>
    </row>
    <row r="666" spans="3:86" x14ac:dyDescent="0.25">
      <c r="C666" s="25">
        <v>16920</v>
      </c>
      <c r="D666" s="11">
        <v>10211</v>
      </c>
      <c r="E666" s="3" t="s">
        <v>78</v>
      </c>
      <c r="F666" s="3" t="s">
        <v>1003</v>
      </c>
      <c r="G666" s="3"/>
      <c r="H666" s="3">
        <v>3600</v>
      </c>
      <c r="U666" s="3"/>
      <c r="V666" s="3"/>
      <c r="AS666" s="22">
        <f t="shared" si="68"/>
        <v>3600</v>
      </c>
      <c r="AT666" s="3">
        <v>3213.35</v>
      </c>
      <c r="AU666" s="3">
        <v>386.65</v>
      </c>
      <c r="BD666" s="3"/>
      <c r="BE666" s="3"/>
      <c r="CE666" s="22">
        <f t="shared" si="73"/>
        <v>3600</v>
      </c>
      <c r="CF666" s="3">
        <f t="shared" si="74"/>
        <v>0</v>
      </c>
      <c r="CG666" s="17">
        <f t="shared" si="75"/>
        <v>10211</v>
      </c>
      <c r="CH666" s="3" t="str">
        <f t="shared" si="75"/>
        <v>برنامج دولى</v>
      </c>
    </row>
    <row r="667" spans="3:86" x14ac:dyDescent="0.25">
      <c r="C667" s="25">
        <v>16829</v>
      </c>
      <c r="D667" s="11">
        <v>10212</v>
      </c>
      <c r="E667" s="3" t="s">
        <v>78</v>
      </c>
      <c r="F667" s="3" t="s">
        <v>1004</v>
      </c>
      <c r="G667" s="3"/>
      <c r="H667" s="3">
        <v>738.68</v>
      </c>
      <c r="U667" s="3"/>
      <c r="V667" s="3"/>
      <c r="AS667" s="22">
        <f t="shared" si="68"/>
        <v>738.68</v>
      </c>
      <c r="AT667" s="3">
        <v>494.1</v>
      </c>
      <c r="AU667" s="3">
        <v>66.599999999999994</v>
      </c>
      <c r="AV667" s="3">
        <v>177.98</v>
      </c>
      <c r="BD667" s="3"/>
      <c r="BE667" s="3"/>
      <c r="CE667" s="22">
        <f t="shared" si="73"/>
        <v>738.68000000000006</v>
      </c>
      <c r="CF667" s="3">
        <f t="shared" si="74"/>
        <v>0</v>
      </c>
      <c r="CG667" s="17">
        <f t="shared" si="75"/>
        <v>10212</v>
      </c>
      <c r="CH667" s="3" t="str">
        <f t="shared" si="75"/>
        <v>برنامج دولى</v>
      </c>
    </row>
    <row r="668" spans="3:86" x14ac:dyDescent="0.25">
      <c r="C668" s="25">
        <v>16828</v>
      </c>
      <c r="D668" s="11">
        <v>10213</v>
      </c>
      <c r="E668" s="3" t="s">
        <v>78</v>
      </c>
      <c r="F668" s="3" t="s">
        <v>1004</v>
      </c>
      <c r="G668" s="3"/>
      <c r="H668" s="3">
        <v>369.34</v>
      </c>
      <c r="U668" s="3"/>
      <c r="V668" s="3"/>
      <c r="AS668" s="22">
        <f t="shared" si="68"/>
        <v>369.34</v>
      </c>
      <c r="AT668" s="3">
        <v>247.1</v>
      </c>
      <c r="AU668" s="3">
        <f>1.75+31.5</f>
        <v>33.25</v>
      </c>
      <c r="AV668" s="3">
        <f>122.24-AU668</f>
        <v>88.99</v>
      </c>
      <c r="BD668" s="3"/>
      <c r="BE668" s="3"/>
      <c r="CE668" s="22">
        <f t="shared" si="73"/>
        <v>369.34000000000003</v>
      </c>
      <c r="CF668" s="3">
        <f t="shared" si="74"/>
        <v>0</v>
      </c>
      <c r="CG668" s="17">
        <f t="shared" si="75"/>
        <v>10213</v>
      </c>
      <c r="CH668" s="3" t="str">
        <f t="shared" si="75"/>
        <v>برنامج دولى</v>
      </c>
    </row>
    <row r="669" spans="3:86" x14ac:dyDescent="0.25">
      <c r="C669" s="25">
        <v>16830</v>
      </c>
      <c r="D669" s="11">
        <v>10214</v>
      </c>
      <c r="E669" s="3" t="s">
        <v>78</v>
      </c>
      <c r="F669" s="3" t="s">
        <v>1004</v>
      </c>
      <c r="G669" s="3"/>
      <c r="H669" s="3">
        <v>2954.7</v>
      </c>
      <c r="U669" s="3"/>
      <c r="V669" s="3"/>
      <c r="AS669" s="22">
        <f t="shared" si="68"/>
        <v>2954.7</v>
      </c>
      <c r="AT669" s="3">
        <v>1974.95</v>
      </c>
      <c r="AU669" s="3">
        <v>267.85000000000002</v>
      </c>
      <c r="AV669" s="3">
        <v>711.9</v>
      </c>
      <c r="BD669" s="3"/>
      <c r="BE669" s="3"/>
      <c r="CE669" s="22">
        <f t="shared" si="73"/>
        <v>2954.7000000000003</v>
      </c>
      <c r="CF669" s="3">
        <f t="shared" si="74"/>
        <v>0</v>
      </c>
      <c r="CG669" s="17">
        <f t="shared" si="75"/>
        <v>10214</v>
      </c>
      <c r="CH669" s="3" t="str">
        <f t="shared" si="75"/>
        <v>برنامج دولى</v>
      </c>
    </row>
    <row r="670" spans="3:86" x14ac:dyDescent="0.25">
      <c r="C670" s="25">
        <v>16834</v>
      </c>
      <c r="D670" s="11">
        <v>10215</v>
      </c>
      <c r="E670" s="3" t="s">
        <v>78</v>
      </c>
      <c r="F670" s="3" t="str">
        <f>+F666</f>
        <v>مكافاه المقرر الاختيارى دوره تدريبيه</v>
      </c>
      <c r="G670" s="3"/>
      <c r="H670" s="3">
        <v>3600</v>
      </c>
      <c r="U670" s="3"/>
      <c r="V670" s="3"/>
      <c r="AS670" s="22">
        <f t="shared" si="68"/>
        <v>3600</v>
      </c>
      <c r="AT670" s="3">
        <v>3213.35</v>
      </c>
      <c r="AU670" s="3">
        <v>386.65</v>
      </c>
      <c r="BD670" s="3"/>
      <c r="BE670" s="3"/>
      <c r="CE670" s="22">
        <f t="shared" si="73"/>
        <v>3600</v>
      </c>
      <c r="CF670" s="3">
        <f t="shared" si="74"/>
        <v>0</v>
      </c>
      <c r="CG670" s="17">
        <f t="shared" si="75"/>
        <v>10215</v>
      </c>
      <c r="CH670" s="3" t="str">
        <f t="shared" si="75"/>
        <v>برنامج دولى</v>
      </c>
    </row>
    <row r="671" spans="3:86" x14ac:dyDescent="0.25">
      <c r="C671" s="25">
        <v>16832</v>
      </c>
      <c r="D671" s="11">
        <v>10216</v>
      </c>
      <c r="E671" s="3" t="s">
        <v>78</v>
      </c>
      <c r="F671" s="3" t="str">
        <f>+F670</f>
        <v>مكافاه المقرر الاختيارى دوره تدريبيه</v>
      </c>
      <c r="G671" s="3"/>
      <c r="H671" s="3">
        <v>4920</v>
      </c>
      <c r="U671" s="3"/>
      <c r="V671" s="3"/>
      <c r="AS671" s="22">
        <f t="shared" si="68"/>
        <v>4920</v>
      </c>
      <c r="AT671" s="3">
        <v>4391.8</v>
      </c>
      <c r="AU671" s="3">
        <v>528.20000000000005</v>
      </c>
      <c r="BD671" s="3"/>
      <c r="BE671" s="3"/>
      <c r="CE671" s="22">
        <f t="shared" si="73"/>
        <v>4920</v>
      </c>
      <c r="CF671" s="3">
        <f t="shared" si="74"/>
        <v>0</v>
      </c>
      <c r="CG671" s="17">
        <f t="shared" si="75"/>
        <v>10216</v>
      </c>
      <c r="CH671" s="3" t="str">
        <f t="shared" si="75"/>
        <v>برنامج دولى</v>
      </c>
    </row>
    <row r="672" spans="3:86" x14ac:dyDescent="0.25">
      <c r="C672" s="25">
        <v>16833</v>
      </c>
      <c r="D672" s="11">
        <v>10217</v>
      </c>
      <c r="E672" s="3" t="s">
        <v>78</v>
      </c>
      <c r="F672" s="3" t="str">
        <f>+F671</f>
        <v>مكافاه المقرر الاختيارى دوره تدريبيه</v>
      </c>
      <c r="G672" s="3"/>
      <c r="H672" s="3">
        <v>3600</v>
      </c>
      <c r="U672" s="3"/>
      <c r="V672" s="3"/>
      <c r="AS672" s="22">
        <f t="shared" si="68"/>
        <v>3600</v>
      </c>
      <c r="AT672" s="3">
        <v>3213.35</v>
      </c>
      <c r="AU672" s="3">
        <v>386.65</v>
      </c>
      <c r="BD672" s="3"/>
      <c r="BE672" s="3"/>
      <c r="CE672" s="22">
        <f t="shared" si="73"/>
        <v>3600</v>
      </c>
      <c r="CF672" s="3">
        <f t="shared" si="74"/>
        <v>0</v>
      </c>
      <c r="CG672" s="17">
        <f t="shared" si="75"/>
        <v>10217</v>
      </c>
      <c r="CH672" s="3" t="str">
        <f t="shared" si="75"/>
        <v>برنامج دولى</v>
      </c>
    </row>
    <row r="673" spans="3:86" x14ac:dyDescent="0.25">
      <c r="C673" s="25">
        <v>16835</v>
      </c>
      <c r="D673" s="11">
        <v>10218</v>
      </c>
      <c r="E673" s="3" t="s">
        <v>78</v>
      </c>
      <c r="F673" s="3" t="str">
        <f t="shared" ref="F673:F676" si="76">+F672</f>
        <v>مكافاه المقرر الاختيارى دوره تدريبيه</v>
      </c>
      <c r="G673" s="3"/>
      <c r="H673" s="3">
        <v>4920</v>
      </c>
      <c r="U673" s="3"/>
      <c r="V673" s="3"/>
      <c r="AS673" s="22">
        <f t="shared" si="68"/>
        <v>4920</v>
      </c>
      <c r="AT673" s="3">
        <v>4391.8</v>
      </c>
      <c r="AU673" s="3">
        <v>528.20000000000005</v>
      </c>
      <c r="BD673" s="3"/>
      <c r="BE673" s="3"/>
      <c r="CE673" s="22">
        <f t="shared" si="73"/>
        <v>4920</v>
      </c>
      <c r="CF673" s="3">
        <f t="shared" si="74"/>
        <v>0</v>
      </c>
      <c r="CG673" s="17">
        <f t="shared" si="75"/>
        <v>10218</v>
      </c>
      <c r="CH673" s="3" t="str">
        <f t="shared" si="75"/>
        <v>برنامج دولى</v>
      </c>
    </row>
    <row r="674" spans="3:86" x14ac:dyDescent="0.25">
      <c r="C674" s="25">
        <v>16838</v>
      </c>
      <c r="D674" s="11">
        <v>10219</v>
      </c>
      <c r="E674" s="3" t="s">
        <v>78</v>
      </c>
      <c r="F674" s="3" t="str">
        <f t="shared" si="76"/>
        <v>مكافاه المقرر الاختيارى دوره تدريبيه</v>
      </c>
      <c r="G674" s="3"/>
      <c r="H674" s="3">
        <v>4920</v>
      </c>
      <c r="U674" s="3"/>
      <c r="V674" s="3"/>
      <c r="AS674" s="22">
        <f t="shared" si="68"/>
        <v>4920</v>
      </c>
      <c r="AT674" s="3">
        <v>4391.8</v>
      </c>
      <c r="AU674" s="3">
        <v>528.20000000000005</v>
      </c>
      <c r="BD674" s="3"/>
      <c r="BE674" s="3"/>
      <c r="CE674" s="22">
        <f t="shared" si="73"/>
        <v>4920</v>
      </c>
      <c r="CF674" s="3">
        <f t="shared" si="74"/>
        <v>0</v>
      </c>
      <c r="CG674" s="17">
        <f t="shared" si="75"/>
        <v>10219</v>
      </c>
      <c r="CH674" s="3" t="str">
        <f t="shared" si="75"/>
        <v>برنامج دولى</v>
      </c>
    </row>
    <row r="675" spans="3:86" x14ac:dyDescent="0.25">
      <c r="C675" s="25">
        <v>16836</v>
      </c>
      <c r="D675" s="11">
        <v>10220</v>
      </c>
      <c r="E675" s="3" t="s">
        <v>78</v>
      </c>
      <c r="F675" s="3" t="str">
        <f t="shared" si="76"/>
        <v>مكافاه المقرر الاختيارى دوره تدريبيه</v>
      </c>
      <c r="G675" s="3"/>
      <c r="H675" s="3">
        <v>4920</v>
      </c>
      <c r="U675" s="3"/>
      <c r="V675" s="3"/>
      <c r="AS675" s="22">
        <f t="shared" si="68"/>
        <v>4920</v>
      </c>
      <c r="AT675" s="3">
        <v>4391.8</v>
      </c>
      <c r="AU675" s="3">
        <v>528.20000000000005</v>
      </c>
      <c r="BD675" s="3"/>
      <c r="BE675" s="3"/>
      <c r="CE675" s="22">
        <f t="shared" si="73"/>
        <v>4920</v>
      </c>
      <c r="CF675" s="3">
        <f t="shared" si="74"/>
        <v>0</v>
      </c>
      <c r="CG675" s="17">
        <f t="shared" si="75"/>
        <v>10220</v>
      </c>
      <c r="CH675" s="3" t="str">
        <f t="shared" si="75"/>
        <v>برنامج دولى</v>
      </c>
    </row>
    <row r="676" spans="3:86" x14ac:dyDescent="0.25">
      <c r="C676" s="25">
        <v>16837</v>
      </c>
      <c r="D676" s="11">
        <v>10221</v>
      </c>
      <c r="E676" s="3" t="s">
        <v>78</v>
      </c>
      <c r="F676" s="3" t="str">
        <f t="shared" si="76"/>
        <v>مكافاه المقرر الاختيارى دوره تدريبيه</v>
      </c>
      <c r="G676" s="3"/>
      <c r="H676" s="3">
        <v>3600</v>
      </c>
      <c r="U676" s="3"/>
      <c r="V676" s="3"/>
      <c r="AS676" s="22">
        <f t="shared" si="68"/>
        <v>3600</v>
      </c>
      <c r="AT676" s="3">
        <v>3213.35</v>
      </c>
      <c r="AU676" s="3">
        <v>386.65</v>
      </c>
      <c r="BD676" s="3"/>
      <c r="BE676" s="3"/>
      <c r="CE676" s="22">
        <f t="shared" si="73"/>
        <v>3600</v>
      </c>
      <c r="CF676" s="3">
        <f t="shared" si="74"/>
        <v>0</v>
      </c>
      <c r="CG676" s="17">
        <f t="shared" si="75"/>
        <v>10221</v>
      </c>
      <c r="CH676" s="3" t="str">
        <f t="shared" si="75"/>
        <v>برنامج دولى</v>
      </c>
    </row>
    <row r="677" spans="3:86" x14ac:dyDescent="0.25">
      <c r="C677" s="25">
        <v>16853</v>
      </c>
      <c r="D677" s="11">
        <v>10222</v>
      </c>
      <c r="E677" s="3" t="s">
        <v>78</v>
      </c>
      <c r="F677" s="3" t="s">
        <v>567</v>
      </c>
      <c r="G677" s="3"/>
      <c r="H677" s="3">
        <v>1496.86</v>
      </c>
      <c r="U677" s="3"/>
      <c r="V677" s="3"/>
      <c r="AS677" s="22">
        <f t="shared" si="68"/>
        <v>1496.86</v>
      </c>
      <c r="AT677" s="3">
        <v>977.06</v>
      </c>
      <c r="AU677" s="3">
        <v>131.9</v>
      </c>
      <c r="AV677" s="3">
        <v>387.9</v>
      </c>
      <c r="BD677" s="3"/>
      <c r="BE677" s="3"/>
      <c r="CE677" s="22">
        <f t="shared" si="73"/>
        <v>1496.8600000000001</v>
      </c>
      <c r="CF677" s="3">
        <f t="shared" si="74"/>
        <v>0</v>
      </c>
      <c r="CG677" s="17">
        <f t="shared" si="75"/>
        <v>10222</v>
      </c>
      <c r="CH677" s="3" t="str">
        <f t="shared" si="75"/>
        <v>برنامج دولى</v>
      </c>
    </row>
    <row r="678" spans="3:86" x14ac:dyDescent="0.25">
      <c r="C678" s="25">
        <v>16840</v>
      </c>
      <c r="D678" s="11">
        <v>10223</v>
      </c>
      <c r="E678" s="3" t="s">
        <v>78</v>
      </c>
      <c r="F678" s="3" t="s">
        <v>1005</v>
      </c>
      <c r="G678" s="3"/>
      <c r="H678" s="3">
        <v>1800</v>
      </c>
      <c r="U678" s="3"/>
      <c r="V678" s="3"/>
      <c r="AS678" s="22">
        <f t="shared" si="68"/>
        <v>1800</v>
      </c>
      <c r="AT678" s="3">
        <v>1606.85</v>
      </c>
      <c r="AU678" s="3">
        <v>193.15</v>
      </c>
      <c r="BD678" s="3"/>
      <c r="BE678" s="3"/>
      <c r="CE678" s="22">
        <f t="shared" si="73"/>
        <v>1800</v>
      </c>
      <c r="CF678" s="3">
        <f t="shared" si="74"/>
        <v>0</v>
      </c>
      <c r="CG678" s="17">
        <f t="shared" si="75"/>
        <v>10223</v>
      </c>
      <c r="CH678" s="3" t="str">
        <f t="shared" si="75"/>
        <v>برنامج دولى</v>
      </c>
    </row>
    <row r="679" spans="3:86" x14ac:dyDescent="0.25">
      <c r="C679" s="25">
        <v>16831</v>
      </c>
      <c r="D679" s="11">
        <v>10224</v>
      </c>
      <c r="E679" s="3" t="s">
        <v>78</v>
      </c>
      <c r="F679" s="3" t="str">
        <f>+F667</f>
        <v>عب تدريس باطنه</v>
      </c>
      <c r="G679" s="3"/>
      <c r="H679" s="3">
        <v>2847.6</v>
      </c>
      <c r="U679" s="3"/>
      <c r="V679" s="3"/>
      <c r="AS679" s="22">
        <f t="shared" si="68"/>
        <v>2847.6</v>
      </c>
      <c r="AT679" s="3">
        <v>1999.35</v>
      </c>
      <c r="AU679" s="3">
        <v>268.64999999999998</v>
      </c>
      <c r="AV679" s="3">
        <v>579.6</v>
      </c>
      <c r="BD679" s="3"/>
      <c r="BE679" s="3"/>
      <c r="CE679" s="22">
        <f t="shared" si="73"/>
        <v>2847.6</v>
      </c>
      <c r="CF679" s="3">
        <f t="shared" si="74"/>
        <v>0</v>
      </c>
      <c r="CG679" s="17">
        <f t="shared" si="75"/>
        <v>10224</v>
      </c>
      <c r="CH679" s="3" t="str">
        <f t="shared" si="75"/>
        <v>برنامج دولى</v>
      </c>
    </row>
    <row r="680" spans="3:86" x14ac:dyDescent="0.25">
      <c r="C680" s="25">
        <v>16907</v>
      </c>
      <c r="D680" s="11">
        <v>10225</v>
      </c>
      <c r="E680" s="3" t="s">
        <v>78</v>
      </c>
      <c r="F680" s="3" t="s">
        <v>1006</v>
      </c>
      <c r="G680" s="3"/>
      <c r="H680" s="3">
        <v>22000</v>
      </c>
      <c r="U680" s="3"/>
      <c r="V680" s="3"/>
      <c r="AS680" s="22">
        <f t="shared" si="68"/>
        <v>22000</v>
      </c>
      <c r="AT680" s="3">
        <v>19633.8</v>
      </c>
      <c r="AU680" s="3">
        <v>2366.1999999999998</v>
      </c>
      <c r="BD680" s="3"/>
      <c r="BE680" s="3"/>
      <c r="CE680" s="22">
        <f t="shared" si="73"/>
        <v>22000</v>
      </c>
      <c r="CF680" s="3">
        <f t="shared" si="74"/>
        <v>0</v>
      </c>
      <c r="CG680" s="17">
        <f t="shared" si="75"/>
        <v>10225</v>
      </c>
      <c r="CH680" s="3" t="str">
        <f t="shared" si="75"/>
        <v>برنامج دولى</v>
      </c>
    </row>
    <row r="681" spans="3:86" x14ac:dyDescent="0.25">
      <c r="C681" s="25">
        <v>16905</v>
      </c>
      <c r="D681" s="11">
        <v>10226</v>
      </c>
      <c r="E681" s="3" t="s">
        <v>78</v>
      </c>
      <c r="F681" s="3" t="s">
        <v>1006</v>
      </c>
      <c r="G681" s="3"/>
      <c r="H681" s="3">
        <v>62425</v>
      </c>
      <c r="U681" s="3"/>
      <c r="V681" s="3"/>
      <c r="AS681" s="22">
        <f t="shared" si="68"/>
        <v>62425</v>
      </c>
      <c r="AT681" s="3">
        <v>55174.8</v>
      </c>
      <c r="AU681" s="3">
        <v>6685.2</v>
      </c>
      <c r="AV681" s="3">
        <v>565</v>
      </c>
      <c r="BD681" s="3"/>
      <c r="BE681" s="3"/>
      <c r="CE681" s="22">
        <f t="shared" si="73"/>
        <v>62425</v>
      </c>
      <c r="CF681" s="3">
        <f t="shared" si="74"/>
        <v>0</v>
      </c>
      <c r="CG681" s="17">
        <f t="shared" si="75"/>
        <v>10226</v>
      </c>
      <c r="CH681" s="3" t="str">
        <f t="shared" si="75"/>
        <v>برنامج دولى</v>
      </c>
    </row>
    <row r="682" spans="3:86" x14ac:dyDescent="0.25">
      <c r="C682" s="25">
        <v>16895</v>
      </c>
      <c r="D682" s="11">
        <v>10227</v>
      </c>
      <c r="E682" s="3" t="s">
        <v>78</v>
      </c>
      <c r="F682" s="3" t="s">
        <v>1007</v>
      </c>
      <c r="G682" s="3"/>
      <c r="H682" s="3">
        <v>1758.75</v>
      </c>
      <c r="U682" s="3"/>
      <c r="V682" s="3"/>
      <c r="AS682" s="22">
        <f t="shared" si="68"/>
        <v>1758.75</v>
      </c>
      <c r="AT682" s="3">
        <v>1175.3499999999999</v>
      </c>
      <c r="AU682" s="3">
        <f>150+9.65</f>
        <v>159.65</v>
      </c>
      <c r="AV682" s="3">
        <f>583.4-AU682</f>
        <v>423.75</v>
      </c>
      <c r="BD682" s="3"/>
      <c r="BE682" s="3"/>
      <c r="CE682" s="22">
        <f t="shared" si="73"/>
        <v>1758.75</v>
      </c>
      <c r="CF682" s="3">
        <f t="shared" si="74"/>
        <v>0</v>
      </c>
      <c r="CG682" s="17">
        <f t="shared" si="75"/>
        <v>10227</v>
      </c>
      <c r="CH682" s="3" t="str">
        <f t="shared" si="75"/>
        <v>برنامج دولى</v>
      </c>
    </row>
    <row r="683" spans="3:86" x14ac:dyDescent="0.25">
      <c r="C683" s="25">
        <v>16894</v>
      </c>
      <c r="D683" s="11">
        <v>10228</v>
      </c>
      <c r="E683" s="3" t="s">
        <v>78</v>
      </c>
      <c r="F683" s="3" t="s">
        <v>1007</v>
      </c>
      <c r="G683" s="3"/>
      <c r="H683" s="3">
        <v>6461.91</v>
      </c>
      <c r="U683" s="3"/>
      <c r="V683" s="3"/>
      <c r="AS683" s="22">
        <f t="shared" si="68"/>
        <v>6461.91</v>
      </c>
      <c r="AT683" s="3">
        <v>5064.1099999999997</v>
      </c>
      <c r="AU683" s="3">
        <v>641.35</v>
      </c>
      <c r="AV683" s="3">
        <v>756.45</v>
      </c>
      <c r="BD683" s="3"/>
      <c r="BE683" s="3"/>
      <c r="CE683" s="22">
        <f t="shared" si="73"/>
        <v>6461.91</v>
      </c>
      <c r="CF683" s="3">
        <f t="shared" si="74"/>
        <v>0</v>
      </c>
      <c r="CG683" s="17">
        <f t="shared" si="75"/>
        <v>10228</v>
      </c>
      <c r="CH683" s="3" t="str">
        <f t="shared" si="75"/>
        <v>برنامج دولى</v>
      </c>
    </row>
    <row r="684" spans="3:86" x14ac:dyDescent="0.25">
      <c r="C684" s="25">
        <v>16892</v>
      </c>
      <c r="D684" s="11">
        <v>10229</v>
      </c>
      <c r="E684" s="3" t="s">
        <v>78</v>
      </c>
      <c r="F684" s="3" t="s">
        <v>1007</v>
      </c>
      <c r="G684" s="3"/>
      <c r="H684" s="3">
        <v>25177.87</v>
      </c>
      <c r="U684" s="3"/>
      <c r="V684" s="3"/>
      <c r="AS684" s="22">
        <f t="shared" si="68"/>
        <v>25177.87</v>
      </c>
      <c r="AT684" s="3">
        <v>17401.63</v>
      </c>
      <c r="AU684" s="3">
        <v>2326.25</v>
      </c>
      <c r="AV684" s="3">
        <v>5449.99</v>
      </c>
      <c r="BD684" s="3"/>
      <c r="BE684" s="3"/>
      <c r="CE684" s="22">
        <f t="shared" si="73"/>
        <v>25177.870000000003</v>
      </c>
      <c r="CF684" s="3">
        <f t="shared" si="74"/>
        <v>0</v>
      </c>
      <c r="CG684" s="17">
        <f t="shared" si="75"/>
        <v>10229</v>
      </c>
      <c r="CH684" s="3" t="str">
        <f t="shared" si="75"/>
        <v>برنامج دولى</v>
      </c>
    </row>
    <row r="685" spans="3:86" x14ac:dyDescent="0.25">
      <c r="C685" s="25">
        <v>16898</v>
      </c>
      <c r="D685" s="11">
        <v>10230</v>
      </c>
      <c r="E685" s="3" t="s">
        <v>78</v>
      </c>
      <c r="F685" s="3" t="s">
        <v>1008</v>
      </c>
      <c r="G685" s="3"/>
      <c r="H685" s="3">
        <v>1500</v>
      </c>
      <c r="U685" s="3"/>
      <c r="V685" s="3"/>
      <c r="AS685" s="22">
        <f t="shared" ref="AS685:AS748" si="77">SUM(H685:AQ685)</f>
        <v>1500</v>
      </c>
      <c r="AT685" s="3">
        <v>1339.1</v>
      </c>
      <c r="AU685" s="3">
        <v>160.9</v>
      </c>
      <c r="BD685" s="3"/>
      <c r="BE685" s="3"/>
      <c r="CE685" s="22">
        <f t="shared" si="73"/>
        <v>1500</v>
      </c>
      <c r="CF685" s="3">
        <f t="shared" si="74"/>
        <v>0</v>
      </c>
      <c r="CG685" s="17">
        <f t="shared" si="75"/>
        <v>10230</v>
      </c>
      <c r="CH685" s="3" t="str">
        <f t="shared" si="75"/>
        <v>برنامج دولى</v>
      </c>
    </row>
    <row r="686" spans="3:86" x14ac:dyDescent="0.25">
      <c r="C686" s="25">
        <v>16899</v>
      </c>
      <c r="D686" s="11">
        <v>10231</v>
      </c>
      <c r="E686" s="3" t="s">
        <v>78</v>
      </c>
      <c r="F686" s="3" t="s">
        <v>1009</v>
      </c>
      <c r="G686" s="3"/>
      <c r="H686" s="3">
        <v>6331.5</v>
      </c>
      <c r="U686" s="3"/>
      <c r="V686" s="3"/>
      <c r="AS686" s="22">
        <f t="shared" si="77"/>
        <v>6331.5</v>
      </c>
      <c r="AT686" s="3">
        <v>4232.75</v>
      </c>
      <c r="AU686" s="3">
        <f>33.25+540</f>
        <v>573.25</v>
      </c>
      <c r="AV686" s="3">
        <f>2098.75-33.25-540</f>
        <v>1525.5</v>
      </c>
      <c r="BD686" s="3"/>
      <c r="BE686" s="3"/>
      <c r="CE686" s="22">
        <f t="shared" ref="CE686:CE749" si="78">SUM(AT686:CC686)</f>
        <v>6331.5</v>
      </c>
      <c r="CF686" s="3">
        <f t="shared" si="74"/>
        <v>0</v>
      </c>
      <c r="CG686" s="17">
        <f t="shared" ref="CG686:CH749" si="79">+D686</f>
        <v>10231</v>
      </c>
      <c r="CH686" s="3" t="str">
        <f t="shared" si="79"/>
        <v>برنامج دولى</v>
      </c>
    </row>
    <row r="687" spans="3:86" x14ac:dyDescent="0.25">
      <c r="C687" s="25">
        <v>16897</v>
      </c>
      <c r="D687" s="11">
        <v>10232</v>
      </c>
      <c r="E687" s="3" t="s">
        <v>78</v>
      </c>
      <c r="F687" s="3" t="str">
        <f>+F685</f>
        <v>مكافاه كنترول ترم اول</v>
      </c>
      <c r="G687" s="3"/>
      <c r="H687" s="3">
        <v>3000</v>
      </c>
      <c r="U687" s="3"/>
      <c r="V687" s="3"/>
      <c r="AS687" s="22">
        <f t="shared" si="77"/>
        <v>3000</v>
      </c>
      <c r="AT687" s="3">
        <v>2678.2</v>
      </c>
      <c r="AU687" s="3">
        <v>321.8</v>
      </c>
      <c r="BD687" s="3"/>
      <c r="BE687" s="3"/>
      <c r="CE687" s="22">
        <f t="shared" si="78"/>
        <v>3000</v>
      </c>
      <c r="CF687" s="3">
        <f t="shared" ref="CF687:CF750" si="80">+CE687-AS687</f>
        <v>0</v>
      </c>
      <c r="CG687" s="17">
        <f t="shared" si="79"/>
        <v>10232</v>
      </c>
      <c r="CH687" s="3" t="str">
        <f t="shared" si="79"/>
        <v>برنامج دولى</v>
      </c>
    </row>
    <row r="688" spans="3:86" x14ac:dyDescent="0.25">
      <c r="C688" s="25">
        <v>16896</v>
      </c>
      <c r="D688" s="11">
        <v>10233</v>
      </c>
      <c r="E688" s="3" t="s">
        <v>78</v>
      </c>
      <c r="F688" s="3" t="str">
        <f>+F687</f>
        <v>مكافاه كنترول ترم اول</v>
      </c>
      <c r="G688" s="3"/>
      <c r="H688" s="3">
        <v>7058.75</v>
      </c>
      <c r="U688" s="3"/>
      <c r="V688" s="3"/>
      <c r="AS688" s="22">
        <f t="shared" si="77"/>
        <v>7058.75</v>
      </c>
      <c r="AT688" s="3">
        <v>5907.4</v>
      </c>
      <c r="AU688" s="3">
        <v>727.6</v>
      </c>
      <c r="AV688" s="3">
        <v>423.75</v>
      </c>
      <c r="BD688" s="3"/>
      <c r="BE688" s="3"/>
      <c r="CE688" s="22">
        <f t="shared" si="78"/>
        <v>7058.75</v>
      </c>
      <c r="CF688" s="3">
        <f t="shared" si="80"/>
        <v>0</v>
      </c>
      <c r="CG688" s="17">
        <f t="shared" si="79"/>
        <v>10233</v>
      </c>
      <c r="CH688" s="3" t="str">
        <f t="shared" si="79"/>
        <v>برنامج دولى</v>
      </c>
    </row>
    <row r="689" spans="3:86" x14ac:dyDescent="0.25">
      <c r="C689" s="25">
        <v>16893</v>
      </c>
      <c r="D689" s="11">
        <v>10234</v>
      </c>
      <c r="E689" s="3" t="s">
        <v>78</v>
      </c>
      <c r="F689" s="3" t="str">
        <f>+F688</f>
        <v>مكافاه كنترول ترم اول</v>
      </c>
      <c r="G689" s="3"/>
      <c r="H689" s="3">
        <v>1755.72</v>
      </c>
      <c r="U689" s="3"/>
      <c r="V689" s="3"/>
      <c r="AS689" s="22">
        <f t="shared" si="77"/>
        <v>1755.72</v>
      </c>
      <c r="AT689" s="3">
        <v>1177.29</v>
      </c>
      <c r="AU689" s="3">
        <v>159.65</v>
      </c>
      <c r="AV689" s="3">
        <v>418.78</v>
      </c>
      <c r="BD689" s="3"/>
      <c r="BE689" s="3"/>
      <c r="CE689" s="22">
        <f t="shared" si="78"/>
        <v>1755.72</v>
      </c>
      <c r="CF689" s="3">
        <f t="shared" si="80"/>
        <v>0</v>
      </c>
      <c r="CG689" s="17">
        <f t="shared" si="79"/>
        <v>10234</v>
      </c>
      <c r="CH689" s="3" t="str">
        <f t="shared" si="79"/>
        <v>برنامج دولى</v>
      </c>
    </row>
    <row r="690" spans="3:86" x14ac:dyDescent="0.25">
      <c r="C690" s="25">
        <v>16855</v>
      </c>
      <c r="D690" s="11">
        <v>10235</v>
      </c>
      <c r="E690" s="3" t="s">
        <v>78</v>
      </c>
      <c r="F690" s="3" t="s">
        <v>569</v>
      </c>
      <c r="G690" s="3"/>
      <c r="H690" s="3">
        <v>43593.279999999999</v>
      </c>
      <c r="U690" s="3"/>
      <c r="V690" s="3"/>
      <c r="AS690" s="22">
        <f t="shared" si="77"/>
        <v>43593.279999999999</v>
      </c>
      <c r="AT690" s="3">
        <v>37853.31</v>
      </c>
      <c r="AU690" s="3">
        <v>4604.6000000000004</v>
      </c>
      <c r="AV690" s="3">
        <v>1135.3699999999999</v>
      </c>
      <c r="BD690" s="3"/>
      <c r="BE690" s="3"/>
      <c r="CE690" s="22">
        <f t="shared" si="78"/>
        <v>43593.279999999999</v>
      </c>
      <c r="CF690" s="3">
        <f t="shared" si="80"/>
        <v>0</v>
      </c>
      <c r="CG690" s="17">
        <f t="shared" si="79"/>
        <v>10235</v>
      </c>
      <c r="CH690" s="3" t="str">
        <f t="shared" si="79"/>
        <v>برنامج دولى</v>
      </c>
    </row>
    <row r="691" spans="3:86" x14ac:dyDescent="0.25">
      <c r="C691" s="25">
        <v>16860</v>
      </c>
      <c r="D691" s="11">
        <v>10236</v>
      </c>
      <c r="E691" s="3" t="s">
        <v>78</v>
      </c>
      <c r="F691" s="3" t="s">
        <v>569</v>
      </c>
      <c r="G691" s="3"/>
      <c r="H691" s="3">
        <v>9989.7000000000007</v>
      </c>
      <c r="U691" s="3"/>
      <c r="V691" s="3"/>
      <c r="AS691" s="22">
        <f t="shared" si="77"/>
        <v>9989.7000000000007</v>
      </c>
      <c r="AT691" s="3">
        <v>6675.75</v>
      </c>
      <c r="AU691" s="3">
        <v>907.05</v>
      </c>
      <c r="AV691" s="3">
        <v>2406.9</v>
      </c>
      <c r="BD691" s="3"/>
      <c r="BE691" s="3"/>
      <c r="CE691" s="22">
        <f t="shared" si="78"/>
        <v>9989.7000000000007</v>
      </c>
      <c r="CF691" s="3">
        <f t="shared" si="80"/>
        <v>0</v>
      </c>
      <c r="CG691" s="17">
        <f t="shared" si="79"/>
        <v>10236</v>
      </c>
      <c r="CH691" s="3" t="str">
        <f t="shared" si="79"/>
        <v>برنامج دولى</v>
      </c>
    </row>
    <row r="692" spans="3:86" x14ac:dyDescent="0.25">
      <c r="C692" s="25">
        <v>16856</v>
      </c>
      <c r="D692" s="11">
        <v>10237</v>
      </c>
      <c r="E692" s="3" t="s">
        <v>78</v>
      </c>
      <c r="F692" s="3" t="s">
        <v>569</v>
      </c>
      <c r="G692" s="3"/>
      <c r="H692" s="3">
        <v>2092.91</v>
      </c>
      <c r="U692" s="3"/>
      <c r="V692" s="3"/>
      <c r="AS692" s="22">
        <f t="shared" si="77"/>
        <v>2092.91</v>
      </c>
      <c r="AT692" s="3">
        <v>1399.2</v>
      </c>
      <c r="AU692" s="3">
        <v>189.45</v>
      </c>
      <c r="AV692" s="3">
        <v>504.26</v>
      </c>
      <c r="BD692" s="3"/>
      <c r="BE692" s="3"/>
      <c r="CE692" s="22">
        <f t="shared" si="78"/>
        <v>2092.91</v>
      </c>
      <c r="CF692" s="3">
        <f t="shared" si="80"/>
        <v>0</v>
      </c>
      <c r="CG692" s="17">
        <f t="shared" si="79"/>
        <v>10237</v>
      </c>
      <c r="CH692" s="3" t="str">
        <f t="shared" si="79"/>
        <v>برنامج دولى</v>
      </c>
    </row>
    <row r="693" spans="3:86" x14ac:dyDescent="0.25">
      <c r="C693" s="25">
        <v>16857</v>
      </c>
      <c r="D693" s="11">
        <v>10238</v>
      </c>
      <c r="E693" s="3" t="s">
        <v>78</v>
      </c>
      <c r="F693" s="3" t="s">
        <v>569</v>
      </c>
      <c r="G693" s="3"/>
      <c r="H693" s="3">
        <v>5397.08</v>
      </c>
      <c r="U693" s="3"/>
      <c r="V693" s="3"/>
      <c r="AS693" s="22">
        <f t="shared" si="77"/>
        <v>5397.08</v>
      </c>
      <c r="AT693" s="3">
        <v>3908.86</v>
      </c>
      <c r="AU693" s="3">
        <v>510.4</v>
      </c>
      <c r="AV693" s="3">
        <v>977.82</v>
      </c>
      <c r="BD693" s="3"/>
      <c r="BE693" s="3"/>
      <c r="CE693" s="22">
        <f t="shared" si="78"/>
        <v>5397.08</v>
      </c>
      <c r="CF693" s="3">
        <f t="shared" si="80"/>
        <v>0</v>
      </c>
      <c r="CG693" s="17">
        <f t="shared" si="79"/>
        <v>10238</v>
      </c>
      <c r="CH693" s="3" t="str">
        <f t="shared" si="79"/>
        <v>برنامج دولى</v>
      </c>
    </row>
    <row r="694" spans="3:86" x14ac:dyDescent="0.25">
      <c r="C694" s="25">
        <v>16854</v>
      </c>
      <c r="D694" s="11">
        <v>10239</v>
      </c>
      <c r="E694" s="3" t="s">
        <v>78</v>
      </c>
      <c r="F694" s="3" t="s">
        <v>567</v>
      </c>
      <c r="G694" s="3"/>
      <c r="H694" s="3">
        <v>8280</v>
      </c>
      <c r="U694" s="3"/>
      <c r="V694" s="3"/>
      <c r="AS694" s="22">
        <f t="shared" si="77"/>
        <v>8280</v>
      </c>
      <c r="AT694" s="3">
        <v>7390.6</v>
      </c>
      <c r="AU694" s="3">
        <v>889.4</v>
      </c>
      <c r="BD694" s="3"/>
      <c r="BE694" s="3"/>
      <c r="CE694" s="22">
        <f t="shared" si="78"/>
        <v>8280</v>
      </c>
      <c r="CF694" s="3">
        <f t="shared" si="80"/>
        <v>0</v>
      </c>
      <c r="CG694" s="17">
        <f t="shared" si="79"/>
        <v>10239</v>
      </c>
      <c r="CH694" s="3" t="str">
        <f t="shared" si="79"/>
        <v>برنامج دولى</v>
      </c>
    </row>
    <row r="695" spans="3:86" x14ac:dyDescent="0.25">
      <c r="C695" s="25">
        <v>16852</v>
      </c>
      <c r="D695" s="11">
        <v>10240</v>
      </c>
      <c r="E695" s="3" t="s">
        <v>78</v>
      </c>
      <c r="F695" s="3" t="s">
        <v>567</v>
      </c>
      <c r="G695" s="3"/>
      <c r="H695" s="3">
        <v>57075.26</v>
      </c>
      <c r="U695" s="3"/>
      <c r="V695" s="3"/>
      <c r="AS695" s="22">
        <f t="shared" si="77"/>
        <v>57075.26</v>
      </c>
      <c r="AT695" s="3">
        <v>50732.74</v>
      </c>
      <c r="AU695" s="3">
        <v>6121</v>
      </c>
      <c r="AV695" s="3">
        <v>221.52</v>
      </c>
      <c r="BD695" s="3"/>
      <c r="BE695" s="3"/>
      <c r="CE695" s="22">
        <f t="shared" si="78"/>
        <v>57075.259999999995</v>
      </c>
      <c r="CF695" s="3">
        <f t="shared" si="80"/>
        <v>0</v>
      </c>
      <c r="CG695" s="17">
        <f t="shared" si="79"/>
        <v>10240</v>
      </c>
      <c r="CH695" s="3" t="str">
        <f t="shared" si="79"/>
        <v>برنامج دولى</v>
      </c>
    </row>
    <row r="696" spans="3:86" x14ac:dyDescent="0.25">
      <c r="C696" s="25">
        <v>16858</v>
      </c>
      <c r="D696" s="11">
        <v>10241</v>
      </c>
      <c r="E696" s="3" t="s">
        <v>78</v>
      </c>
      <c r="F696" s="3" t="str">
        <f>+F692</f>
        <v>عب تدريس تشريح</v>
      </c>
      <c r="G696" s="3"/>
      <c r="H696" s="3">
        <v>31956.3</v>
      </c>
      <c r="U696" s="3"/>
      <c r="V696" s="3"/>
      <c r="AS696" s="22">
        <f t="shared" si="77"/>
        <v>31956.3</v>
      </c>
      <c r="AT696" s="3">
        <v>28237.85</v>
      </c>
      <c r="AU696" s="3">
        <v>3413.35</v>
      </c>
      <c r="AV696" s="3">
        <v>305.10000000000002</v>
      </c>
      <c r="BD696" s="3"/>
      <c r="BE696" s="3"/>
      <c r="CE696" s="22">
        <f t="shared" si="78"/>
        <v>31956.299999999996</v>
      </c>
      <c r="CF696" s="3">
        <f t="shared" si="80"/>
        <v>0</v>
      </c>
      <c r="CG696" s="17">
        <f t="shared" si="79"/>
        <v>10241</v>
      </c>
      <c r="CH696" s="3" t="str">
        <f t="shared" si="79"/>
        <v>برنامج دولى</v>
      </c>
    </row>
    <row r="697" spans="3:86" x14ac:dyDescent="0.25">
      <c r="C697" s="25">
        <v>16842</v>
      </c>
      <c r="D697" s="11">
        <v>10242</v>
      </c>
      <c r="E697" s="3" t="s">
        <v>78</v>
      </c>
      <c r="F697" s="3" t="s">
        <v>1010</v>
      </c>
      <c r="G697" s="3"/>
      <c r="H697" s="3">
        <v>2700</v>
      </c>
      <c r="U697" s="3"/>
      <c r="V697" s="3"/>
      <c r="AS697" s="22">
        <f t="shared" si="77"/>
        <v>2700</v>
      </c>
      <c r="AT697" s="3">
        <v>2410.1</v>
      </c>
      <c r="AU697" s="3">
        <v>289.89999999999998</v>
      </c>
      <c r="BD697" s="3"/>
      <c r="BE697" s="3"/>
      <c r="CE697" s="22">
        <f t="shared" si="78"/>
        <v>2700</v>
      </c>
      <c r="CF697" s="3">
        <f t="shared" si="80"/>
        <v>0</v>
      </c>
      <c r="CG697" s="17">
        <f t="shared" si="79"/>
        <v>10242</v>
      </c>
      <c r="CH697" s="3" t="str">
        <f t="shared" si="79"/>
        <v>برنامج دولى</v>
      </c>
    </row>
    <row r="698" spans="3:86" x14ac:dyDescent="0.25">
      <c r="C698" s="25">
        <v>16908</v>
      </c>
      <c r="D698" s="11">
        <v>10243</v>
      </c>
      <c r="E698" s="3" t="s">
        <v>78</v>
      </c>
      <c r="F698" s="3" t="s">
        <v>1010</v>
      </c>
      <c r="G698" s="3"/>
      <c r="H698" s="3">
        <v>19688.41</v>
      </c>
      <c r="U698" s="3"/>
      <c r="V698" s="3"/>
      <c r="AS698" s="22">
        <f t="shared" si="77"/>
        <v>19688.41</v>
      </c>
      <c r="AT698" s="3">
        <v>17202.05</v>
      </c>
      <c r="AU698" s="3">
        <v>2079.5500000000002</v>
      </c>
      <c r="AV698" s="3">
        <v>406.81</v>
      </c>
      <c r="BD698" s="3"/>
      <c r="BE698" s="3"/>
      <c r="CE698" s="22">
        <f t="shared" si="78"/>
        <v>19688.41</v>
      </c>
      <c r="CF698" s="3">
        <f t="shared" si="80"/>
        <v>0</v>
      </c>
      <c r="CG698" s="17">
        <f t="shared" si="79"/>
        <v>10243</v>
      </c>
      <c r="CH698" s="3" t="str">
        <f t="shared" si="79"/>
        <v>برنامج دولى</v>
      </c>
    </row>
    <row r="699" spans="3:86" x14ac:dyDescent="0.25">
      <c r="C699" s="25">
        <v>16909</v>
      </c>
      <c r="D699" s="11">
        <v>10244</v>
      </c>
      <c r="E699" s="3" t="s">
        <v>78</v>
      </c>
      <c r="F699" s="3" t="s">
        <v>1010</v>
      </c>
      <c r="G699" s="3"/>
      <c r="H699" s="3">
        <v>1266.3</v>
      </c>
      <c r="U699" s="3"/>
      <c r="V699" s="3"/>
      <c r="AS699" s="22">
        <f t="shared" si="77"/>
        <v>1266.3</v>
      </c>
      <c r="AT699" s="3">
        <v>846.35</v>
      </c>
      <c r="AU699" s="3">
        <v>114.85</v>
      </c>
      <c r="AV699" s="3">
        <v>305.10000000000002</v>
      </c>
      <c r="BD699" s="3"/>
      <c r="BE699" s="3"/>
      <c r="CE699" s="22">
        <f t="shared" si="78"/>
        <v>1266.3000000000002</v>
      </c>
      <c r="CF699" s="3">
        <f t="shared" si="80"/>
        <v>0</v>
      </c>
      <c r="CG699" s="17">
        <f t="shared" si="79"/>
        <v>10244</v>
      </c>
      <c r="CH699" s="3" t="str">
        <f t="shared" si="79"/>
        <v>برنامج دولى</v>
      </c>
    </row>
    <row r="700" spans="3:86" x14ac:dyDescent="0.25">
      <c r="C700" s="25">
        <v>16900</v>
      </c>
      <c r="D700" s="11">
        <v>10245</v>
      </c>
      <c r="E700" s="3" t="s">
        <v>78</v>
      </c>
      <c r="F700" s="3" t="s">
        <v>358</v>
      </c>
      <c r="G700" s="3"/>
      <c r="H700" s="3">
        <v>386.92</v>
      </c>
      <c r="U700" s="3"/>
      <c r="V700" s="3"/>
      <c r="AS700" s="22">
        <f t="shared" si="77"/>
        <v>386.92</v>
      </c>
      <c r="AT700" s="3">
        <v>259.8</v>
      </c>
      <c r="AU700" s="3">
        <v>33.9</v>
      </c>
      <c r="AV700" s="3">
        <v>93.22</v>
      </c>
      <c r="BD700" s="3"/>
      <c r="BE700" s="3"/>
      <c r="CE700" s="22">
        <f t="shared" si="78"/>
        <v>386.91999999999996</v>
      </c>
      <c r="CF700" s="3">
        <f t="shared" si="80"/>
        <v>0</v>
      </c>
      <c r="CG700" s="17">
        <f t="shared" si="79"/>
        <v>10245</v>
      </c>
      <c r="CH700" s="3" t="str">
        <f t="shared" si="79"/>
        <v>برنامج دولى</v>
      </c>
    </row>
    <row r="701" spans="3:86" x14ac:dyDescent="0.25">
      <c r="C701" s="25">
        <v>16901</v>
      </c>
      <c r="D701" s="11">
        <v>10246</v>
      </c>
      <c r="E701" s="3" t="s">
        <v>78</v>
      </c>
      <c r="F701" s="3" t="s">
        <v>358</v>
      </c>
      <c r="G701" s="3"/>
      <c r="H701" s="3">
        <v>422.08</v>
      </c>
      <c r="U701" s="3"/>
      <c r="V701" s="3"/>
      <c r="AS701" s="22">
        <f t="shared" si="77"/>
        <v>422.08</v>
      </c>
      <c r="AT701" s="3">
        <v>283.60000000000002</v>
      </c>
      <c r="AU701" s="3">
        <v>36.799999999999997</v>
      </c>
      <c r="AV701" s="3">
        <v>101.68</v>
      </c>
      <c r="BD701" s="3"/>
      <c r="BE701" s="3"/>
      <c r="CE701" s="22">
        <f t="shared" si="78"/>
        <v>422.08000000000004</v>
      </c>
      <c r="CF701" s="3">
        <f t="shared" si="80"/>
        <v>0</v>
      </c>
      <c r="CG701" s="17">
        <f t="shared" si="79"/>
        <v>10246</v>
      </c>
      <c r="CH701" s="3" t="str">
        <f t="shared" si="79"/>
        <v>برنامج دولى</v>
      </c>
    </row>
    <row r="702" spans="3:86" x14ac:dyDescent="0.25">
      <c r="C702" s="25">
        <v>16902</v>
      </c>
      <c r="D702" s="11">
        <v>10247</v>
      </c>
      <c r="E702" s="3" t="s">
        <v>78</v>
      </c>
      <c r="F702" s="3" t="s">
        <v>358</v>
      </c>
      <c r="G702" s="3"/>
      <c r="H702" s="3">
        <v>422.08</v>
      </c>
      <c r="U702" s="3"/>
      <c r="V702" s="3"/>
      <c r="AS702" s="22">
        <f t="shared" si="77"/>
        <v>422.08</v>
      </c>
      <c r="AT702" s="3">
        <v>283.60000000000002</v>
      </c>
      <c r="AU702" s="3">
        <v>36.799999999999997</v>
      </c>
      <c r="AV702" s="3">
        <v>101.68</v>
      </c>
      <c r="BD702" s="3"/>
      <c r="BE702" s="3"/>
      <c r="CE702" s="22">
        <f t="shared" si="78"/>
        <v>422.08000000000004</v>
      </c>
      <c r="CF702" s="3">
        <f t="shared" si="80"/>
        <v>0</v>
      </c>
      <c r="CG702" s="17">
        <f t="shared" si="79"/>
        <v>10247</v>
      </c>
      <c r="CH702" s="3" t="str">
        <f t="shared" si="79"/>
        <v>برنامج دولى</v>
      </c>
    </row>
    <row r="703" spans="3:86" x14ac:dyDescent="0.25">
      <c r="C703" s="25">
        <v>16903</v>
      </c>
      <c r="D703" s="11">
        <v>10248</v>
      </c>
      <c r="E703" s="3" t="s">
        <v>78</v>
      </c>
      <c r="F703" s="3" t="s">
        <v>358</v>
      </c>
      <c r="G703" s="3"/>
      <c r="H703" s="3">
        <v>3060</v>
      </c>
      <c r="U703" s="3"/>
      <c r="V703" s="3"/>
      <c r="AS703" s="22">
        <f t="shared" si="77"/>
        <v>3060</v>
      </c>
      <c r="AT703" s="3">
        <v>2732.55</v>
      </c>
      <c r="AU703" s="3">
        <v>327.45</v>
      </c>
      <c r="BD703" s="3"/>
      <c r="BE703" s="3"/>
      <c r="CE703" s="22">
        <f t="shared" si="78"/>
        <v>3060</v>
      </c>
      <c r="CF703" s="3">
        <f t="shared" si="80"/>
        <v>0</v>
      </c>
      <c r="CG703" s="17">
        <f t="shared" si="79"/>
        <v>10248</v>
      </c>
      <c r="CH703" s="3" t="str">
        <f t="shared" si="79"/>
        <v>برنامج دولى</v>
      </c>
    </row>
    <row r="704" spans="3:86" x14ac:dyDescent="0.25">
      <c r="C704" s="25">
        <v>16859</v>
      </c>
      <c r="D704" s="11">
        <v>10249</v>
      </c>
      <c r="E704" s="3" t="s">
        <v>78</v>
      </c>
      <c r="F704" s="3" t="str">
        <f>+F696</f>
        <v>عب تدريس تشريح</v>
      </c>
      <c r="G704" s="3"/>
      <c r="H704" s="3">
        <v>791.44</v>
      </c>
      <c r="U704" s="3"/>
      <c r="V704" s="3"/>
      <c r="AS704" s="22">
        <f t="shared" si="77"/>
        <v>791.44</v>
      </c>
      <c r="AT704" s="3">
        <v>529.35</v>
      </c>
      <c r="AU704" s="3">
        <f>3.9+67.5</f>
        <v>71.400000000000006</v>
      </c>
      <c r="AV704" s="3">
        <f>262.09-71.4</f>
        <v>190.68999999999997</v>
      </c>
      <c r="BD704" s="3"/>
      <c r="BE704" s="3"/>
      <c r="CE704" s="22">
        <f t="shared" si="78"/>
        <v>791.43999999999994</v>
      </c>
      <c r="CF704" s="3">
        <f t="shared" si="80"/>
        <v>0</v>
      </c>
      <c r="CG704" s="17">
        <f t="shared" si="79"/>
        <v>10249</v>
      </c>
      <c r="CH704" s="3" t="str">
        <f t="shared" si="79"/>
        <v>برنامج دولى</v>
      </c>
    </row>
    <row r="705" spans="3:86" x14ac:dyDescent="0.25">
      <c r="C705" s="25">
        <v>16839</v>
      </c>
      <c r="D705" s="11">
        <v>10250</v>
      </c>
      <c r="E705" s="3" t="s">
        <v>78</v>
      </c>
      <c r="F705" s="3" t="str">
        <f>+F676</f>
        <v>مكافاه المقرر الاختيارى دوره تدريبيه</v>
      </c>
      <c r="G705" s="3"/>
      <c r="H705" s="3">
        <v>3600</v>
      </c>
      <c r="U705" s="3"/>
      <c r="V705" s="3"/>
      <c r="AS705" s="22">
        <f t="shared" si="77"/>
        <v>3600</v>
      </c>
      <c r="AT705" s="3">
        <v>3213.35</v>
      </c>
      <c r="AU705" s="3">
        <v>386.65</v>
      </c>
      <c r="BD705" s="3"/>
      <c r="BE705" s="3"/>
      <c r="CE705" s="22">
        <f t="shared" si="78"/>
        <v>3600</v>
      </c>
      <c r="CF705" s="3">
        <f t="shared" si="80"/>
        <v>0</v>
      </c>
      <c r="CG705" s="17">
        <f t="shared" si="79"/>
        <v>10250</v>
      </c>
      <c r="CH705" s="3" t="str">
        <f t="shared" si="79"/>
        <v>برنامج دولى</v>
      </c>
    </row>
    <row r="706" spans="3:86" x14ac:dyDescent="0.25">
      <c r="C706" s="25">
        <v>16906</v>
      </c>
      <c r="D706" s="11">
        <v>10251</v>
      </c>
      <c r="E706" s="3" t="s">
        <v>78</v>
      </c>
      <c r="F706" s="3" t="str">
        <f>+F703</f>
        <v>عب تدريس ميكروبيولوجى</v>
      </c>
      <c r="G706" s="3"/>
      <c r="H706" s="3">
        <v>175.88</v>
      </c>
      <c r="U706" s="3"/>
      <c r="V706" s="3"/>
      <c r="AS706" s="22">
        <f t="shared" si="77"/>
        <v>175.88</v>
      </c>
      <c r="AT706" s="3">
        <v>117.95</v>
      </c>
      <c r="AU706" s="3">
        <f>15+0.55</f>
        <v>15.55</v>
      </c>
      <c r="AV706" s="3">
        <f>57.93-15.55</f>
        <v>42.379999999999995</v>
      </c>
      <c r="BD706" s="3"/>
      <c r="BE706" s="3"/>
      <c r="CE706" s="22">
        <f t="shared" si="78"/>
        <v>175.88</v>
      </c>
      <c r="CF706" s="3">
        <f t="shared" si="80"/>
        <v>0</v>
      </c>
      <c r="CG706" s="17">
        <f t="shared" si="79"/>
        <v>10251</v>
      </c>
      <c r="CH706" s="3" t="str">
        <f t="shared" si="79"/>
        <v>برنامج دولى</v>
      </c>
    </row>
    <row r="707" spans="3:86" x14ac:dyDescent="0.25">
      <c r="C707" s="25">
        <v>16904</v>
      </c>
      <c r="D707" s="11">
        <v>10252</v>
      </c>
      <c r="E707" s="3" t="s">
        <v>78</v>
      </c>
      <c r="F707" s="3" t="str">
        <f>+F706</f>
        <v>عب تدريس ميكروبيولوجى</v>
      </c>
      <c r="G707" s="3"/>
      <c r="H707" s="3">
        <v>37620</v>
      </c>
      <c r="U707" s="3"/>
      <c r="V707" s="3"/>
      <c r="AS707" s="22">
        <f t="shared" si="77"/>
        <v>37620</v>
      </c>
      <c r="AT707" s="3">
        <v>33588.199999999997</v>
      </c>
      <c r="AU707" s="3">
        <v>4031.8</v>
      </c>
      <c r="BD707" s="3"/>
      <c r="BE707" s="3"/>
      <c r="CE707" s="22">
        <f t="shared" si="78"/>
        <v>37620</v>
      </c>
      <c r="CF707" s="3">
        <f t="shared" si="80"/>
        <v>0</v>
      </c>
      <c r="CG707" s="17">
        <f t="shared" si="79"/>
        <v>10252</v>
      </c>
      <c r="CH707" s="3" t="str">
        <f t="shared" si="79"/>
        <v>برنامج دولى</v>
      </c>
    </row>
    <row r="708" spans="3:86" x14ac:dyDescent="0.25">
      <c r="C708" s="25">
        <v>16849</v>
      </c>
      <c r="D708" s="11">
        <v>10253</v>
      </c>
      <c r="E708" s="3" t="s">
        <v>78</v>
      </c>
      <c r="F708" s="3" t="s">
        <v>360</v>
      </c>
      <c r="G708" s="3"/>
      <c r="H708" s="3">
        <v>236503.01</v>
      </c>
      <c r="U708" s="3"/>
      <c r="V708" s="3"/>
      <c r="AS708" s="22">
        <f t="shared" si="77"/>
        <v>236503.01</v>
      </c>
      <c r="AT708" s="3">
        <v>210485.38</v>
      </c>
      <c r="AU708" s="3">
        <v>25455.9</v>
      </c>
      <c r="AV708" s="3">
        <v>561.73</v>
      </c>
      <c r="BD708" s="3"/>
      <c r="BE708" s="3"/>
      <c r="CE708" s="22">
        <f t="shared" si="78"/>
        <v>236503.01</v>
      </c>
      <c r="CF708" s="3">
        <f t="shared" si="80"/>
        <v>0</v>
      </c>
      <c r="CG708" s="17">
        <f t="shared" si="79"/>
        <v>10253</v>
      </c>
      <c r="CH708" s="3" t="str">
        <f t="shared" si="79"/>
        <v>برنامج دولى</v>
      </c>
    </row>
    <row r="709" spans="3:86" x14ac:dyDescent="0.25">
      <c r="C709" s="25">
        <v>16850</v>
      </c>
      <c r="D709" s="11">
        <v>10254</v>
      </c>
      <c r="E709" s="3" t="s">
        <v>78</v>
      </c>
      <c r="F709" s="3" t="s">
        <v>360</v>
      </c>
      <c r="G709" s="3"/>
      <c r="H709" s="3">
        <v>17267.740000000002</v>
      </c>
      <c r="U709" s="3"/>
      <c r="V709" s="3"/>
      <c r="AS709" s="22">
        <f t="shared" si="77"/>
        <v>17267.740000000002</v>
      </c>
      <c r="AT709" s="3">
        <v>14743.81</v>
      </c>
      <c r="AU709" s="3">
        <v>1807.05</v>
      </c>
      <c r="AV709" s="3">
        <v>716.88</v>
      </c>
      <c r="BD709" s="3"/>
      <c r="BE709" s="3"/>
      <c r="CE709" s="22">
        <f t="shared" si="78"/>
        <v>17267.740000000002</v>
      </c>
      <c r="CF709" s="3">
        <f t="shared" si="80"/>
        <v>0</v>
      </c>
      <c r="CG709" s="17">
        <f t="shared" si="79"/>
        <v>10254</v>
      </c>
      <c r="CH709" s="3" t="str">
        <f t="shared" si="79"/>
        <v>برنامج دولى</v>
      </c>
    </row>
    <row r="710" spans="3:86" x14ac:dyDescent="0.25">
      <c r="C710" s="25">
        <v>16851</v>
      </c>
      <c r="D710" s="11">
        <v>10255</v>
      </c>
      <c r="E710" s="3" t="s">
        <v>78</v>
      </c>
      <c r="F710" s="3" t="s">
        <v>360</v>
      </c>
      <c r="G710" s="3"/>
      <c r="H710" s="3">
        <v>11060.8</v>
      </c>
      <c r="U710" s="3"/>
      <c r="V710" s="3"/>
      <c r="AS710" s="22">
        <f t="shared" si="77"/>
        <v>11060.8</v>
      </c>
      <c r="AT710" s="3">
        <v>7782.52</v>
      </c>
      <c r="AU710" s="3">
        <v>1033.3499999999999</v>
      </c>
      <c r="AV710" s="3">
        <v>2244.9299999999998</v>
      </c>
      <c r="BD710" s="3"/>
      <c r="BE710" s="3"/>
      <c r="CE710" s="22">
        <f t="shared" si="78"/>
        <v>11060.800000000001</v>
      </c>
      <c r="CF710" s="3">
        <f t="shared" si="80"/>
        <v>0</v>
      </c>
      <c r="CG710" s="17">
        <f t="shared" si="79"/>
        <v>10255</v>
      </c>
      <c r="CH710" s="3" t="str">
        <f t="shared" si="79"/>
        <v>برنامج دولى</v>
      </c>
    </row>
    <row r="711" spans="3:86" x14ac:dyDescent="0.25">
      <c r="C711" s="25">
        <v>16890</v>
      </c>
      <c r="D711" s="11">
        <v>10256</v>
      </c>
      <c r="E711" s="3" t="s">
        <v>78</v>
      </c>
      <c r="F711" s="3" t="s">
        <v>360</v>
      </c>
      <c r="G711" s="3"/>
      <c r="H711" s="3">
        <v>15045.53</v>
      </c>
      <c r="U711" s="3"/>
      <c r="V711" s="3"/>
      <c r="AS711" s="22">
        <f t="shared" si="77"/>
        <v>15045.53</v>
      </c>
      <c r="AT711" s="3">
        <v>13399.9</v>
      </c>
      <c r="AU711" s="3">
        <v>1620.2</v>
      </c>
      <c r="AV711" s="3">
        <v>25.43</v>
      </c>
      <c r="BD711" s="3"/>
      <c r="BE711" s="3"/>
      <c r="CE711" s="22">
        <f t="shared" si="78"/>
        <v>15045.53</v>
      </c>
      <c r="CF711" s="3">
        <f t="shared" si="80"/>
        <v>0</v>
      </c>
      <c r="CG711" s="17">
        <f t="shared" si="79"/>
        <v>10256</v>
      </c>
      <c r="CH711" s="3" t="str">
        <f t="shared" si="79"/>
        <v>برنامج دولى</v>
      </c>
    </row>
    <row r="712" spans="3:86" x14ac:dyDescent="0.25">
      <c r="C712" s="25">
        <v>16889</v>
      </c>
      <c r="D712" s="11">
        <v>10257</v>
      </c>
      <c r="E712" s="3" t="s">
        <v>78</v>
      </c>
      <c r="F712" s="3" t="s">
        <v>360</v>
      </c>
      <c r="G712" s="3"/>
      <c r="H712" s="3">
        <v>386.93</v>
      </c>
      <c r="U712" s="3"/>
      <c r="V712" s="3"/>
      <c r="AS712" s="22">
        <f t="shared" si="77"/>
        <v>386.93</v>
      </c>
      <c r="AT712" s="3">
        <v>260.2</v>
      </c>
      <c r="AU712" s="3">
        <v>33.5</v>
      </c>
      <c r="AV712" s="3">
        <v>93.23</v>
      </c>
      <c r="BD712" s="3"/>
      <c r="BE712" s="3"/>
      <c r="CE712" s="22">
        <f t="shared" si="78"/>
        <v>386.93</v>
      </c>
      <c r="CF712" s="3">
        <f t="shared" si="80"/>
        <v>0</v>
      </c>
      <c r="CG712" s="17">
        <f t="shared" si="79"/>
        <v>10257</v>
      </c>
      <c r="CH712" s="3" t="str">
        <f t="shared" si="79"/>
        <v>برنامج دولى</v>
      </c>
    </row>
    <row r="713" spans="3:86" x14ac:dyDescent="0.25">
      <c r="C713" s="25">
        <v>16891</v>
      </c>
      <c r="D713" s="11">
        <v>10258</v>
      </c>
      <c r="E713" s="3" t="s">
        <v>78</v>
      </c>
      <c r="F713" s="3" t="s">
        <v>360</v>
      </c>
      <c r="G713" s="3"/>
      <c r="H713" s="3">
        <v>1115.18</v>
      </c>
      <c r="U713" s="3"/>
      <c r="V713" s="3"/>
      <c r="AS713" s="22">
        <f t="shared" si="77"/>
        <v>1115.18</v>
      </c>
      <c r="AT713" s="3">
        <v>987.95</v>
      </c>
      <c r="AU713" s="3">
        <v>118.75</v>
      </c>
      <c r="AV713" s="3">
        <v>8.48</v>
      </c>
      <c r="BD713" s="3"/>
      <c r="BE713" s="3"/>
      <c r="CE713" s="22">
        <f t="shared" si="78"/>
        <v>1115.18</v>
      </c>
      <c r="CF713" s="3">
        <f t="shared" si="80"/>
        <v>0</v>
      </c>
      <c r="CG713" s="17">
        <f t="shared" si="79"/>
        <v>10258</v>
      </c>
      <c r="CH713" s="3" t="str">
        <f t="shared" si="79"/>
        <v>برنامج دولى</v>
      </c>
    </row>
    <row r="714" spans="3:86" x14ac:dyDescent="0.25">
      <c r="C714" s="25">
        <v>16911</v>
      </c>
      <c r="D714" s="11">
        <v>10259</v>
      </c>
      <c r="E714" s="3" t="s">
        <v>78</v>
      </c>
      <c r="F714" s="3" t="s">
        <v>1011</v>
      </c>
      <c r="G714" s="3"/>
      <c r="H714" s="3">
        <v>1680</v>
      </c>
      <c r="U714" s="3"/>
      <c r="V714" s="3"/>
      <c r="AS714" s="22">
        <f t="shared" si="77"/>
        <v>1680</v>
      </c>
      <c r="AT714" s="3">
        <v>1499.75</v>
      </c>
      <c r="AU714" s="3">
        <v>180.25</v>
      </c>
      <c r="BD714" s="3"/>
      <c r="BE714" s="3"/>
      <c r="CE714" s="22">
        <f t="shared" si="78"/>
        <v>1680</v>
      </c>
      <c r="CF714" s="3">
        <f t="shared" si="80"/>
        <v>0</v>
      </c>
      <c r="CG714" s="17">
        <f t="shared" si="79"/>
        <v>10259</v>
      </c>
      <c r="CH714" s="3" t="str">
        <f t="shared" si="79"/>
        <v>برنامج دولى</v>
      </c>
    </row>
    <row r="715" spans="3:86" x14ac:dyDescent="0.25">
      <c r="C715" s="25">
        <v>16926</v>
      </c>
      <c r="D715" s="11">
        <v>10260</v>
      </c>
      <c r="E715" s="3" t="s">
        <v>78</v>
      </c>
      <c r="F715" s="3" t="s">
        <v>1011</v>
      </c>
      <c r="G715" s="3"/>
      <c r="H715" s="3">
        <v>2720.68</v>
      </c>
      <c r="U715" s="3"/>
      <c r="V715" s="3"/>
      <c r="AS715" s="22">
        <f t="shared" si="77"/>
        <v>2720.68</v>
      </c>
      <c r="AT715" s="3">
        <v>2305.85</v>
      </c>
      <c r="AU715" s="3">
        <v>282.7</v>
      </c>
      <c r="AV715" s="3">
        <v>132.13</v>
      </c>
      <c r="BD715" s="3"/>
      <c r="BE715" s="3"/>
      <c r="CE715" s="22">
        <f t="shared" si="78"/>
        <v>2720.68</v>
      </c>
      <c r="CF715" s="3">
        <f t="shared" si="80"/>
        <v>0</v>
      </c>
      <c r="CG715" s="17">
        <f t="shared" si="79"/>
        <v>10260</v>
      </c>
      <c r="CH715" s="3" t="str">
        <f t="shared" si="79"/>
        <v>برنامج دولى</v>
      </c>
    </row>
    <row r="716" spans="3:86" x14ac:dyDescent="0.25">
      <c r="C716" s="25">
        <v>16910</v>
      </c>
      <c r="D716" s="11">
        <v>10261</v>
      </c>
      <c r="E716" s="3" t="s">
        <v>78</v>
      </c>
      <c r="F716" s="3" t="s">
        <v>1011</v>
      </c>
      <c r="G716" s="3"/>
      <c r="H716" s="3">
        <v>26160</v>
      </c>
      <c r="U716" s="3"/>
      <c r="V716" s="3"/>
      <c r="AS716" s="22">
        <f t="shared" si="77"/>
        <v>26160</v>
      </c>
      <c r="AT716" s="3">
        <v>23366.3</v>
      </c>
      <c r="AU716" s="3">
        <v>2793.7</v>
      </c>
      <c r="BD716" s="3"/>
      <c r="BE716" s="3"/>
      <c r="CE716" s="22">
        <f t="shared" si="78"/>
        <v>26160</v>
      </c>
      <c r="CF716" s="3">
        <f t="shared" si="80"/>
        <v>0</v>
      </c>
      <c r="CG716" s="17">
        <f t="shared" si="79"/>
        <v>10261</v>
      </c>
      <c r="CH716" s="3" t="str">
        <f t="shared" si="79"/>
        <v>برنامج دولى</v>
      </c>
    </row>
    <row r="717" spans="3:86" x14ac:dyDescent="0.25">
      <c r="C717" s="25">
        <v>16927</v>
      </c>
      <c r="D717" s="11">
        <v>10262</v>
      </c>
      <c r="E717" s="3" t="s">
        <v>78</v>
      </c>
      <c r="F717" s="3" t="s">
        <v>1011</v>
      </c>
      <c r="G717" s="3"/>
      <c r="H717" s="3">
        <v>2708.48</v>
      </c>
      <c r="U717" s="3"/>
      <c r="V717" s="3"/>
      <c r="AS717" s="22">
        <f t="shared" si="77"/>
        <v>2708.48</v>
      </c>
      <c r="AT717" s="3">
        <v>1811.45</v>
      </c>
      <c r="AU717" s="3">
        <v>244.45</v>
      </c>
      <c r="AV717" s="3">
        <v>652.58000000000004</v>
      </c>
      <c r="BD717" s="3"/>
      <c r="BE717" s="3"/>
      <c r="CE717" s="22">
        <f t="shared" si="78"/>
        <v>2708.48</v>
      </c>
      <c r="CF717" s="3">
        <f t="shared" si="80"/>
        <v>0</v>
      </c>
      <c r="CG717" s="17">
        <f t="shared" si="79"/>
        <v>10262</v>
      </c>
      <c r="CH717" s="3" t="str">
        <f t="shared" si="79"/>
        <v>برنامج دولى</v>
      </c>
    </row>
    <row r="718" spans="3:86" x14ac:dyDescent="0.25">
      <c r="C718" s="25">
        <v>16848</v>
      </c>
      <c r="D718" s="11">
        <v>10263</v>
      </c>
      <c r="E718" s="3" t="s">
        <v>78</v>
      </c>
      <c r="F718" s="3" t="str">
        <f>+F688</f>
        <v>مكافاه كنترول ترم اول</v>
      </c>
      <c r="G718" s="3"/>
      <c r="H718" s="3">
        <v>21267.82</v>
      </c>
      <c r="U718" s="3"/>
      <c r="V718" s="3"/>
      <c r="AS718" s="22">
        <f t="shared" si="77"/>
        <v>21267.82</v>
      </c>
      <c r="AT718" s="3">
        <v>17587.78</v>
      </c>
      <c r="AU718" s="3">
        <v>2176.9499999999998</v>
      </c>
      <c r="AV718" s="3">
        <v>1503.09</v>
      </c>
      <c r="BD718" s="3"/>
      <c r="BE718" s="3"/>
      <c r="CE718" s="22">
        <f t="shared" si="78"/>
        <v>21267.82</v>
      </c>
      <c r="CF718" s="3">
        <f t="shared" si="80"/>
        <v>0</v>
      </c>
      <c r="CG718" s="17">
        <f t="shared" si="79"/>
        <v>10263</v>
      </c>
      <c r="CH718" s="3" t="str">
        <f t="shared" si="79"/>
        <v>برنامج دولى</v>
      </c>
    </row>
    <row r="719" spans="3:86" x14ac:dyDescent="0.25">
      <c r="C719" s="25">
        <v>16847</v>
      </c>
      <c r="D719" s="11">
        <v>10264</v>
      </c>
      <c r="E719" s="3" t="s">
        <v>78</v>
      </c>
      <c r="F719" s="3" t="str">
        <f>+F689</f>
        <v>مكافاه كنترول ترم اول</v>
      </c>
      <c r="G719" s="3"/>
      <c r="H719" s="3">
        <v>1758.75</v>
      </c>
      <c r="U719" s="3"/>
      <c r="V719" s="3"/>
      <c r="AS719" s="22">
        <f t="shared" si="77"/>
        <v>1758.75</v>
      </c>
      <c r="AT719" s="3">
        <v>1175.3499999999999</v>
      </c>
      <c r="AU719" s="3">
        <v>159.65</v>
      </c>
      <c r="AV719" s="3">
        <v>423.75</v>
      </c>
      <c r="BD719" s="3"/>
      <c r="BE719" s="3"/>
      <c r="CE719" s="22">
        <f t="shared" si="78"/>
        <v>1758.75</v>
      </c>
      <c r="CF719" s="3">
        <f t="shared" si="80"/>
        <v>0</v>
      </c>
      <c r="CG719" s="17">
        <f t="shared" si="79"/>
        <v>10264</v>
      </c>
      <c r="CH719" s="3" t="str">
        <f t="shared" si="79"/>
        <v>برنامج دولى</v>
      </c>
    </row>
    <row r="720" spans="3:86" x14ac:dyDescent="0.25">
      <c r="C720" s="25">
        <v>16845</v>
      </c>
      <c r="D720" s="11">
        <v>10265</v>
      </c>
      <c r="E720" s="3" t="s">
        <v>78</v>
      </c>
      <c r="F720" s="3" t="str">
        <f>+F719</f>
        <v>مكافاه كنترول ترم اول</v>
      </c>
      <c r="G720" s="3"/>
      <c r="H720" s="3">
        <v>6035.66</v>
      </c>
      <c r="U720" s="3"/>
      <c r="V720" s="3"/>
      <c r="AS720" s="22">
        <f t="shared" si="77"/>
        <v>6035.66</v>
      </c>
      <c r="AT720" s="3">
        <v>5333.85</v>
      </c>
      <c r="AU720" s="3">
        <v>643.4</v>
      </c>
      <c r="AV720" s="3">
        <v>58.41</v>
      </c>
      <c r="BD720" s="3"/>
      <c r="BE720" s="3"/>
      <c r="CE720" s="22">
        <f t="shared" si="78"/>
        <v>6035.66</v>
      </c>
      <c r="CF720" s="3">
        <f t="shared" si="80"/>
        <v>0</v>
      </c>
      <c r="CG720" s="17">
        <f t="shared" si="79"/>
        <v>10265</v>
      </c>
      <c r="CH720" s="3" t="str">
        <f t="shared" si="79"/>
        <v>برنامج دولى</v>
      </c>
    </row>
    <row r="721" spans="1:86" x14ac:dyDescent="0.25">
      <c r="C721" s="25">
        <v>16846</v>
      </c>
      <c r="D721" s="11">
        <v>10266</v>
      </c>
      <c r="E721" s="3" t="s">
        <v>78</v>
      </c>
      <c r="F721" s="3" t="str">
        <f t="shared" ref="F721:F722" si="81">+F720</f>
        <v>مكافاه كنترول ترم اول</v>
      </c>
      <c r="G721" s="3"/>
      <c r="H721" s="3">
        <v>1758.75</v>
      </c>
      <c r="U721" s="3"/>
      <c r="V721" s="3"/>
      <c r="AS721" s="22">
        <f t="shared" si="77"/>
        <v>1758.75</v>
      </c>
      <c r="AT721" s="3">
        <v>1175.3499999999999</v>
      </c>
      <c r="AU721" s="3">
        <f>150+9.65</f>
        <v>159.65</v>
      </c>
      <c r="AV721" s="3">
        <f>583.4-AU721</f>
        <v>423.75</v>
      </c>
      <c r="BD721" s="3"/>
      <c r="BE721" s="3"/>
      <c r="CE721" s="22">
        <f t="shared" si="78"/>
        <v>1758.75</v>
      </c>
      <c r="CF721" s="3">
        <f t="shared" si="80"/>
        <v>0</v>
      </c>
      <c r="CG721" s="17">
        <f t="shared" si="79"/>
        <v>10266</v>
      </c>
      <c r="CH721" s="3" t="str">
        <f t="shared" si="79"/>
        <v>برنامج دولى</v>
      </c>
    </row>
    <row r="722" spans="1:86" x14ac:dyDescent="0.25">
      <c r="C722" s="25">
        <v>16844</v>
      </c>
      <c r="D722" s="11">
        <v>10267</v>
      </c>
      <c r="E722" s="3" t="s">
        <v>78</v>
      </c>
      <c r="F722" s="3" t="str">
        <f t="shared" si="81"/>
        <v>مكافاه كنترول ترم اول</v>
      </c>
      <c r="G722" s="3"/>
      <c r="H722" s="3">
        <v>1500</v>
      </c>
      <c r="U722" s="3"/>
      <c r="V722" s="3"/>
      <c r="AS722" s="22">
        <f t="shared" si="77"/>
        <v>1500</v>
      </c>
      <c r="AT722" s="3">
        <v>1339.1</v>
      </c>
      <c r="AU722" s="3">
        <v>160.9</v>
      </c>
      <c r="BD722" s="3"/>
      <c r="BE722" s="3"/>
      <c r="CE722" s="22">
        <f t="shared" si="78"/>
        <v>1500</v>
      </c>
      <c r="CF722" s="3">
        <f t="shared" si="80"/>
        <v>0</v>
      </c>
      <c r="CG722" s="17">
        <f t="shared" si="79"/>
        <v>10267</v>
      </c>
      <c r="CH722" s="3" t="str">
        <f t="shared" si="79"/>
        <v>برنامج دولى</v>
      </c>
    </row>
    <row r="723" spans="1:86" x14ac:dyDescent="0.25">
      <c r="C723" s="25">
        <v>16866</v>
      </c>
      <c r="D723" s="11">
        <v>10268</v>
      </c>
      <c r="E723" s="3" t="s">
        <v>78</v>
      </c>
      <c r="F723" s="3" t="s">
        <v>569</v>
      </c>
      <c r="G723" s="3"/>
      <c r="H723" s="3">
        <v>30942.880000000001</v>
      </c>
      <c r="U723" s="3"/>
      <c r="V723" s="3"/>
      <c r="AS723" s="22">
        <f t="shared" si="77"/>
        <v>30942.880000000001</v>
      </c>
      <c r="AT723" s="3">
        <v>26913.58</v>
      </c>
      <c r="AU723" s="3">
        <v>3271.25</v>
      </c>
      <c r="AV723" s="3">
        <v>758.05</v>
      </c>
      <c r="BD723" s="3"/>
      <c r="BE723" s="3"/>
      <c r="CE723" s="22">
        <f t="shared" si="78"/>
        <v>30942.880000000001</v>
      </c>
      <c r="CF723" s="3">
        <f t="shared" si="80"/>
        <v>0</v>
      </c>
      <c r="CG723" s="17">
        <f t="shared" si="79"/>
        <v>10268</v>
      </c>
      <c r="CH723" s="3" t="str">
        <f t="shared" si="79"/>
        <v>برنامج دولى</v>
      </c>
    </row>
    <row r="724" spans="1:86" x14ac:dyDescent="0.25">
      <c r="C724" s="25">
        <v>16843</v>
      </c>
      <c r="D724" s="11">
        <v>10269</v>
      </c>
      <c r="E724" s="3" t="s">
        <v>78</v>
      </c>
      <c r="F724" s="3" t="s">
        <v>1006</v>
      </c>
      <c r="G724" s="3"/>
      <c r="H724" s="3">
        <v>65634.14</v>
      </c>
      <c r="U724" s="3"/>
      <c r="V724" s="3"/>
      <c r="AS724" s="22">
        <f t="shared" si="77"/>
        <v>65634.14</v>
      </c>
      <c r="AT724" s="3">
        <v>58180.66</v>
      </c>
      <c r="AU724" s="3">
        <v>7031.71</v>
      </c>
      <c r="AV724" s="3">
        <v>421.77</v>
      </c>
      <c r="BD724" s="3"/>
      <c r="BE724" s="3"/>
      <c r="CE724" s="22">
        <f t="shared" si="78"/>
        <v>65634.14</v>
      </c>
      <c r="CF724" s="3">
        <f t="shared" si="80"/>
        <v>0</v>
      </c>
      <c r="CG724" s="17">
        <f t="shared" si="79"/>
        <v>10269</v>
      </c>
      <c r="CH724" s="3" t="str">
        <f t="shared" si="79"/>
        <v>برنامج دولى</v>
      </c>
    </row>
    <row r="725" spans="1:86" x14ac:dyDescent="0.25">
      <c r="C725" s="25">
        <v>16865</v>
      </c>
      <c r="D725" s="11">
        <v>10270</v>
      </c>
      <c r="E725" s="3" t="s">
        <v>78</v>
      </c>
      <c r="F725" s="3" t="str">
        <f>+F723</f>
        <v>عب تدريس تشريح</v>
      </c>
      <c r="G725" s="3"/>
      <c r="H725" s="3">
        <v>26640</v>
      </c>
      <c r="U725" s="3"/>
      <c r="V725" s="3"/>
      <c r="AS725" s="22">
        <f t="shared" si="77"/>
        <v>26640</v>
      </c>
      <c r="AT725" s="3">
        <v>23777.9</v>
      </c>
      <c r="AU725" s="3">
        <v>2862.1</v>
      </c>
      <c r="BD725" s="3"/>
      <c r="BE725" s="3"/>
      <c r="CE725" s="22">
        <f t="shared" si="78"/>
        <v>26640</v>
      </c>
      <c r="CF725" s="3">
        <f t="shared" si="80"/>
        <v>0</v>
      </c>
      <c r="CG725" s="17">
        <f t="shared" si="79"/>
        <v>10270</v>
      </c>
      <c r="CH725" s="3" t="str">
        <f t="shared" si="79"/>
        <v>برنامج دولى</v>
      </c>
    </row>
    <row r="726" spans="1:86" x14ac:dyDescent="0.25">
      <c r="C726" s="25">
        <v>16862</v>
      </c>
      <c r="D726" s="11">
        <v>10271</v>
      </c>
      <c r="E726" s="3" t="s">
        <v>78</v>
      </c>
      <c r="F726" s="3" t="str">
        <f>+F725</f>
        <v>عب تدريس تشريح</v>
      </c>
      <c r="G726" s="3"/>
      <c r="H726" s="3">
        <v>45391.22</v>
      </c>
      <c r="U726" s="3"/>
      <c r="V726" s="3"/>
      <c r="AS726" s="22">
        <f t="shared" si="77"/>
        <v>45391.22</v>
      </c>
      <c r="AT726" s="3">
        <v>39450.910000000003</v>
      </c>
      <c r="AU726" s="3">
        <v>4808.3</v>
      </c>
      <c r="AV726" s="3">
        <v>1132.01</v>
      </c>
      <c r="BD726" s="3"/>
      <c r="BE726" s="3"/>
      <c r="CE726" s="22">
        <f t="shared" si="78"/>
        <v>45391.220000000008</v>
      </c>
      <c r="CF726" s="3">
        <f t="shared" si="80"/>
        <v>0</v>
      </c>
      <c r="CG726" s="17">
        <f t="shared" si="79"/>
        <v>10271</v>
      </c>
      <c r="CH726" s="3" t="str">
        <f t="shared" si="79"/>
        <v>برنامج دولى</v>
      </c>
    </row>
    <row r="727" spans="1:86" x14ac:dyDescent="0.25">
      <c r="C727" s="25">
        <v>16861</v>
      </c>
      <c r="D727" s="11">
        <v>10272</v>
      </c>
      <c r="E727" s="3" t="s">
        <v>78</v>
      </c>
      <c r="F727" s="3" t="str">
        <f>+F726</f>
        <v>عب تدريس تشريح</v>
      </c>
      <c r="G727" s="3"/>
      <c r="H727" s="3">
        <v>3869.25</v>
      </c>
      <c r="U727" s="3"/>
      <c r="V727" s="3"/>
      <c r="AS727" s="22">
        <f t="shared" si="77"/>
        <v>3869.25</v>
      </c>
      <c r="AT727" s="3">
        <v>2585.6999999999998</v>
      </c>
      <c r="AU727" s="3">
        <v>351.3</v>
      </c>
      <c r="AV727" s="3">
        <v>932.25</v>
      </c>
      <c r="BD727" s="3"/>
      <c r="BE727" s="3"/>
      <c r="CE727" s="22">
        <f t="shared" si="78"/>
        <v>3869.25</v>
      </c>
      <c r="CF727" s="3">
        <f t="shared" si="80"/>
        <v>0</v>
      </c>
      <c r="CG727" s="17">
        <f t="shared" si="79"/>
        <v>10272</v>
      </c>
      <c r="CH727" s="3" t="str">
        <f t="shared" si="79"/>
        <v>برنامج دولى</v>
      </c>
    </row>
    <row r="728" spans="1:86" x14ac:dyDescent="0.25">
      <c r="C728" s="25">
        <v>16864</v>
      </c>
      <c r="D728" s="11">
        <v>10273</v>
      </c>
      <c r="E728" s="3" t="s">
        <v>78</v>
      </c>
      <c r="F728" s="3" t="str">
        <f>+F727</f>
        <v>عب تدريس تشريح</v>
      </c>
      <c r="G728" s="3"/>
      <c r="H728" s="3">
        <v>1547.7</v>
      </c>
      <c r="U728" s="3"/>
      <c r="V728" s="3"/>
      <c r="AS728" s="22">
        <f t="shared" si="77"/>
        <v>1547.7</v>
      </c>
      <c r="AT728" s="3">
        <v>1034.3499999999999</v>
      </c>
      <c r="AU728" s="3">
        <f>8.45+132</f>
        <v>140.44999999999999</v>
      </c>
      <c r="AV728" s="3">
        <f>513.35-AU728</f>
        <v>372.90000000000003</v>
      </c>
      <c r="BD728" s="3"/>
      <c r="BE728" s="3"/>
      <c r="CE728" s="22">
        <f t="shared" si="78"/>
        <v>1547.7</v>
      </c>
      <c r="CF728" s="3">
        <f t="shared" si="80"/>
        <v>0</v>
      </c>
      <c r="CG728" s="17">
        <f t="shared" si="79"/>
        <v>10273</v>
      </c>
      <c r="CH728" s="3" t="str">
        <f t="shared" si="79"/>
        <v>برنامج دولى</v>
      </c>
    </row>
    <row r="729" spans="1:86" x14ac:dyDescent="0.25">
      <c r="C729" s="25">
        <v>16863</v>
      </c>
      <c r="D729" s="11">
        <v>10274</v>
      </c>
      <c r="E729" s="3" t="s">
        <v>78</v>
      </c>
      <c r="F729" s="3" t="str">
        <f>+F728</f>
        <v>عب تدريس تشريح</v>
      </c>
      <c r="G729" s="3"/>
      <c r="H729" s="3">
        <v>47994.36</v>
      </c>
      <c r="U729" s="3"/>
      <c r="V729" s="3"/>
      <c r="AS729" s="22">
        <f t="shared" si="77"/>
        <v>47994.36</v>
      </c>
      <c r="AT729" s="3">
        <v>39999.019999999997</v>
      </c>
      <c r="AU729" s="3">
        <v>4958.45</v>
      </c>
      <c r="AV729" s="3">
        <v>3036.89</v>
      </c>
      <c r="BD729" s="3"/>
      <c r="BE729" s="3"/>
      <c r="CE729" s="22">
        <f t="shared" si="78"/>
        <v>47994.359999999993</v>
      </c>
      <c r="CF729" s="3">
        <f t="shared" si="80"/>
        <v>0</v>
      </c>
      <c r="CG729" s="17">
        <f t="shared" si="79"/>
        <v>10274</v>
      </c>
      <c r="CH729" s="3" t="str">
        <f t="shared" si="79"/>
        <v>برنامج دولى</v>
      </c>
    </row>
    <row r="730" spans="1:86" x14ac:dyDescent="0.25">
      <c r="C730" s="25">
        <v>16867</v>
      </c>
      <c r="D730" s="11">
        <v>10275</v>
      </c>
      <c r="E730" s="3" t="s">
        <v>78</v>
      </c>
      <c r="F730" s="3" t="s">
        <v>1012</v>
      </c>
      <c r="G730" s="3"/>
      <c r="H730" s="3">
        <v>13750</v>
      </c>
      <c r="U730" s="3"/>
      <c r="V730" s="3"/>
      <c r="AS730" s="22">
        <f t="shared" si="77"/>
        <v>13750</v>
      </c>
      <c r="AT730" s="3">
        <v>12274.85</v>
      </c>
      <c r="AU730" s="3">
        <v>1475.15</v>
      </c>
      <c r="BD730" s="3"/>
      <c r="BE730" s="3"/>
      <c r="CE730" s="22">
        <f t="shared" si="78"/>
        <v>13750</v>
      </c>
      <c r="CF730" s="3">
        <f t="shared" si="80"/>
        <v>0</v>
      </c>
      <c r="CG730" s="17">
        <f t="shared" si="79"/>
        <v>10275</v>
      </c>
      <c r="CH730" s="3" t="str">
        <f t="shared" si="79"/>
        <v>برنامج دولى</v>
      </c>
    </row>
    <row r="731" spans="1:86" x14ac:dyDescent="0.25">
      <c r="A731" s="16" t="s">
        <v>657</v>
      </c>
      <c r="C731" s="25">
        <v>17307</v>
      </c>
      <c r="D731" s="11">
        <v>10276</v>
      </c>
      <c r="E731" s="3" t="s">
        <v>78</v>
      </c>
      <c r="F731" s="3" t="s">
        <v>1013</v>
      </c>
      <c r="G731" s="3"/>
      <c r="H731" s="3">
        <v>9955.8799999999992</v>
      </c>
      <c r="U731" s="3"/>
      <c r="V731" s="3"/>
      <c r="AS731" s="22">
        <f t="shared" si="77"/>
        <v>9955.8799999999992</v>
      </c>
      <c r="AT731" s="3">
        <v>8881.0400000000009</v>
      </c>
      <c r="AU731" s="3">
        <v>1074.8399999999999</v>
      </c>
      <c r="BD731" s="3"/>
      <c r="BE731" s="3"/>
      <c r="CE731" s="22">
        <f t="shared" si="78"/>
        <v>9955.880000000001</v>
      </c>
      <c r="CF731" s="3">
        <f t="shared" si="80"/>
        <v>0</v>
      </c>
      <c r="CG731" s="17">
        <f t="shared" si="79"/>
        <v>10276</v>
      </c>
      <c r="CH731" s="3" t="str">
        <f t="shared" si="79"/>
        <v>برنامج دولى</v>
      </c>
    </row>
    <row r="732" spans="1:86" x14ac:dyDescent="0.25">
      <c r="A732" s="16" t="s">
        <v>657</v>
      </c>
      <c r="C732" s="25">
        <v>17308</v>
      </c>
      <c r="D732" s="11">
        <v>10277</v>
      </c>
      <c r="E732" s="3" t="s">
        <v>78</v>
      </c>
      <c r="F732" s="3" t="s">
        <v>1013</v>
      </c>
      <c r="G732" s="3"/>
      <c r="H732" s="3">
        <v>4259.2</v>
      </c>
      <c r="U732" s="3"/>
      <c r="V732" s="3"/>
      <c r="AS732" s="22">
        <f t="shared" si="77"/>
        <v>4259.2</v>
      </c>
      <c r="AT732" s="3">
        <v>3802.08</v>
      </c>
      <c r="AU732" s="3">
        <v>457.12</v>
      </c>
      <c r="BD732" s="3"/>
      <c r="BE732" s="3"/>
      <c r="CE732" s="22">
        <f t="shared" si="78"/>
        <v>4259.2</v>
      </c>
      <c r="CF732" s="3">
        <f t="shared" si="80"/>
        <v>0</v>
      </c>
      <c r="CG732" s="17">
        <f t="shared" si="79"/>
        <v>10277</v>
      </c>
      <c r="CH732" s="3" t="str">
        <f t="shared" si="79"/>
        <v>برنامج دولى</v>
      </c>
    </row>
    <row r="733" spans="1:86" x14ac:dyDescent="0.25">
      <c r="A733" s="16" t="s">
        <v>657</v>
      </c>
      <c r="C733" s="25">
        <v>17309</v>
      </c>
      <c r="D733" s="11">
        <v>10278</v>
      </c>
      <c r="E733" s="3" t="s">
        <v>78</v>
      </c>
      <c r="F733" s="3" t="s">
        <v>1013</v>
      </c>
      <c r="G733" s="3"/>
      <c r="H733" s="3">
        <v>3993</v>
      </c>
      <c r="U733" s="3"/>
      <c r="V733" s="3"/>
      <c r="AS733" s="22">
        <f t="shared" si="77"/>
        <v>3993</v>
      </c>
      <c r="AT733" s="3">
        <v>3564.1</v>
      </c>
      <c r="AU733" s="3">
        <v>428.9</v>
      </c>
      <c r="BD733" s="3"/>
      <c r="BE733" s="3"/>
      <c r="CE733" s="22">
        <f t="shared" si="78"/>
        <v>3993</v>
      </c>
      <c r="CF733" s="3">
        <f t="shared" si="80"/>
        <v>0</v>
      </c>
      <c r="CG733" s="17">
        <f t="shared" si="79"/>
        <v>10278</v>
      </c>
      <c r="CH733" s="3" t="str">
        <f t="shared" si="79"/>
        <v>برنامج دولى</v>
      </c>
    </row>
    <row r="734" spans="1:86" x14ac:dyDescent="0.25">
      <c r="A734" s="16" t="s">
        <v>657</v>
      </c>
      <c r="C734" s="25">
        <v>17310</v>
      </c>
      <c r="D734" s="11">
        <v>10279</v>
      </c>
      <c r="E734" s="3" t="s">
        <v>78</v>
      </c>
      <c r="F734" s="3" t="s">
        <v>1013</v>
      </c>
      <c r="G734" s="3"/>
      <c r="H734" s="3">
        <v>7490.87</v>
      </c>
      <c r="U734" s="3"/>
      <c r="V734" s="3"/>
      <c r="AS734" s="22">
        <f t="shared" si="77"/>
        <v>7490.87</v>
      </c>
      <c r="AT734" s="3">
        <v>5005.2</v>
      </c>
      <c r="AU734" s="3">
        <f>41.95+638.88</f>
        <v>680.83</v>
      </c>
      <c r="AV734" s="3">
        <v>1804.84</v>
      </c>
      <c r="BD734" s="3"/>
      <c r="BE734" s="3"/>
      <c r="CE734" s="22">
        <f t="shared" si="78"/>
        <v>7490.87</v>
      </c>
      <c r="CF734" s="3">
        <f t="shared" si="80"/>
        <v>0</v>
      </c>
      <c r="CG734" s="17">
        <f t="shared" si="79"/>
        <v>10279</v>
      </c>
      <c r="CH734" s="3" t="str">
        <f t="shared" si="79"/>
        <v>برنامج دولى</v>
      </c>
    </row>
    <row r="735" spans="1:86" x14ac:dyDescent="0.25">
      <c r="C735" s="25">
        <v>16971</v>
      </c>
      <c r="D735" s="11">
        <v>10280</v>
      </c>
      <c r="E735" s="3" t="s">
        <v>1014</v>
      </c>
      <c r="F735" s="3" t="s">
        <v>1015</v>
      </c>
      <c r="G735" s="3"/>
      <c r="H735" s="3">
        <v>1758.75</v>
      </c>
      <c r="U735" s="3"/>
      <c r="V735" s="3"/>
      <c r="AS735" s="22">
        <f t="shared" si="77"/>
        <v>1758.75</v>
      </c>
      <c r="AT735" s="3">
        <v>1177.75</v>
      </c>
      <c r="AU735" s="3">
        <f>7.25+150</f>
        <v>157.25</v>
      </c>
      <c r="AV735" s="3">
        <v>423.75</v>
      </c>
      <c r="BD735" s="3"/>
      <c r="BE735" s="3"/>
      <c r="CE735" s="22">
        <f t="shared" si="78"/>
        <v>1758.75</v>
      </c>
      <c r="CF735" s="3">
        <f t="shared" si="80"/>
        <v>0</v>
      </c>
      <c r="CG735" s="17">
        <f t="shared" si="79"/>
        <v>10280</v>
      </c>
      <c r="CH735" s="3" t="str">
        <f t="shared" si="79"/>
        <v>مركزمؤتمرات</v>
      </c>
    </row>
    <row r="736" spans="1:86" x14ac:dyDescent="0.25">
      <c r="C736" s="25">
        <v>16973</v>
      </c>
      <c r="D736" s="11">
        <v>10281</v>
      </c>
      <c r="E736" s="3" t="s">
        <v>1014</v>
      </c>
      <c r="F736" s="3" t="s">
        <v>1015</v>
      </c>
      <c r="G736" s="3"/>
      <c r="H736" s="3">
        <v>11506.9</v>
      </c>
      <c r="U736" s="3"/>
      <c r="V736" s="3"/>
      <c r="AS736" s="22">
        <f t="shared" si="77"/>
        <v>11506.9</v>
      </c>
      <c r="AT736" s="3">
        <v>7689.96</v>
      </c>
      <c r="AU736" s="3">
        <v>1044.5</v>
      </c>
      <c r="AV736" s="3">
        <v>2772.44</v>
      </c>
      <c r="BD736" s="3"/>
      <c r="BE736" s="3"/>
      <c r="CE736" s="22">
        <f t="shared" si="78"/>
        <v>11506.9</v>
      </c>
      <c r="CF736" s="3">
        <f t="shared" si="80"/>
        <v>0</v>
      </c>
      <c r="CG736" s="17">
        <f t="shared" si="79"/>
        <v>10281</v>
      </c>
      <c r="CH736" s="3" t="str">
        <f t="shared" si="79"/>
        <v>مركزمؤتمرات</v>
      </c>
    </row>
    <row r="737" spans="2:86" x14ac:dyDescent="0.25">
      <c r="C737" s="25">
        <v>16972</v>
      </c>
      <c r="D737" s="11">
        <v>10282</v>
      </c>
      <c r="E737" s="3" t="s">
        <v>1014</v>
      </c>
      <c r="F737" s="3" t="s">
        <v>1015</v>
      </c>
      <c r="G737" s="3"/>
      <c r="H737" s="3">
        <v>4339.43</v>
      </c>
      <c r="U737" s="3"/>
      <c r="V737" s="3"/>
      <c r="AS737" s="22">
        <f t="shared" si="77"/>
        <v>4339.43</v>
      </c>
      <c r="AT737" s="3">
        <v>2900.44</v>
      </c>
      <c r="AU737" s="3">
        <v>393.45</v>
      </c>
      <c r="AV737" s="3">
        <v>1045.54</v>
      </c>
      <c r="BD737" s="3"/>
      <c r="BE737" s="3"/>
      <c r="CE737" s="22">
        <f t="shared" si="78"/>
        <v>4339.43</v>
      </c>
      <c r="CF737" s="3">
        <f t="shared" si="80"/>
        <v>0</v>
      </c>
      <c r="CG737" s="17">
        <f t="shared" si="79"/>
        <v>10282</v>
      </c>
      <c r="CH737" s="3" t="str">
        <f t="shared" si="79"/>
        <v>مركزمؤتمرات</v>
      </c>
    </row>
    <row r="738" spans="2:86" x14ac:dyDescent="0.25">
      <c r="C738" s="25">
        <v>16968</v>
      </c>
      <c r="D738" s="11">
        <v>10283</v>
      </c>
      <c r="E738" s="3" t="s">
        <v>1014</v>
      </c>
      <c r="F738" s="3" t="s">
        <v>1016</v>
      </c>
      <c r="G738" s="3"/>
      <c r="H738" s="3">
        <v>7824.17</v>
      </c>
      <c r="U738" s="3"/>
      <c r="V738" s="3"/>
      <c r="AS738" s="22">
        <f t="shared" si="77"/>
        <v>7824.17</v>
      </c>
      <c r="AT738" s="3">
        <v>5726.59</v>
      </c>
      <c r="AU738" s="3">
        <v>747.85</v>
      </c>
      <c r="AV738" s="3">
        <v>1349.73</v>
      </c>
      <c r="BD738" s="3"/>
      <c r="BE738" s="3"/>
      <c r="CE738" s="22">
        <f t="shared" si="78"/>
        <v>7824.17</v>
      </c>
      <c r="CF738" s="3">
        <f t="shared" si="80"/>
        <v>0</v>
      </c>
      <c r="CG738" s="17">
        <f t="shared" si="79"/>
        <v>10283</v>
      </c>
      <c r="CH738" s="3" t="str">
        <f t="shared" si="79"/>
        <v>مركزمؤتمرات</v>
      </c>
    </row>
    <row r="739" spans="2:86" x14ac:dyDescent="0.25">
      <c r="B739" s="3"/>
      <c r="C739" s="25">
        <v>16969</v>
      </c>
      <c r="D739" s="11">
        <v>10284</v>
      </c>
      <c r="E739" s="3" t="s">
        <v>1014</v>
      </c>
      <c r="F739" s="3" t="s">
        <v>1016</v>
      </c>
      <c r="G739" s="3"/>
      <c r="H739" s="3">
        <v>4000</v>
      </c>
      <c r="U739" s="3"/>
      <c r="V739" s="3"/>
      <c r="AS739" s="22">
        <f t="shared" si="77"/>
        <v>4000</v>
      </c>
      <c r="AT739" s="3">
        <v>3570.35</v>
      </c>
      <c r="AU739" s="3">
        <v>429.65</v>
      </c>
      <c r="BD739" s="3"/>
      <c r="BE739" s="3"/>
      <c r="CE739" s="22">
        <f t="shared" si="78"/>
        <v>4000</v>
      </c>
      <c r="CF739" s="3">
        <f t="shared" si="80"/>
        <v>0</v>
      </c>
      <c r="CG739" s="17">
        <f t="shared" si="79"/>
        <v>10284</v>
      </c>
      <c r="CH739" s="3" t="str">
        <f t="shared" si="79"/>
        <v>مركزمؤتمرات</v>
      </c>
    </row>
    <row r="740" spans="2:86" x14ac:dyDescent="0.25">
      <c r="C740" s="25">
        <v>16970</v>
      </c>
      <c r="D740" s="11">
        <v>10285</v>
      </c>
      <c r="E740" s="3" t="s">
        <v>1014</v>
      </c>
      <c r="F740" s="3" t="s">
        <v>1016</v>
      </c>
      <c r="G740" s="3"/>
      <c r="H740" s="3">
        <v>2931.25</v>
      </c>
      <c r="U740" s="3"/>
      <c r="V740" s="3"/>
      <c r="AS740" s="22">
        <f t="shared" si="77"/>
        <v>2931.25</v>
      </c>
      <c r="AT740" s="3">
        <v>1958.65</v>
      </c>
      <c r="AU740" s="3">
        <v>266.35000000000002</v>
      </c>
      <c r="AV740" s="3">
        <v>706.25</v>
      </c>
      <c r="BD740" s="3"/>
      <c r="BE740" s="3"/>
      <c r="CE740" s="22">
        <f t="shared" si="78"/>
        <v>2931.25</v>
      </c>
      <c r="CF740" s="3">
        <f t="shared" si="80"/>
        <v>0</v>
      </c>
      <c r="CG740" s="17">
        <f t="shared" si="79"/>
        <v>10285</v>
      </c>
      <c r="CH740" s="3" t="str">
        <f t="shared" si="79"/>
        <v>مركزمؤتمرات</v>
      </c>
    </row>
    <row r="741" spans="2:86" x14ac:dyDescent="0.25">
      <c r="C741" s="25">
        <v>16967</v>
      </c>
      <c r="D741" s="11">
        <v>10286</v>
      </c>
      <c r="E741" s="3" t="s">
        <v>1014</v>
      </c>
      <c r="F741" s="3" t="s">
        <v>1017</v>
      </c>
      <c r="G741" s="3"/>
      <c r="H741" s="3">
        <v>4000</v>
      </c>
      <c r="U741" s="3"/>
      <c r="V741" s="3"/>
      <c r="AS741" s="22">
        <f t="shared" si="77"/>
        <v>4000</v>
      </c>
      <c r="AT741" s="3">
        <v>3570.35</v>
      </c>
      <c r="AU741" s="3">
        <v>429.65</v>
      </c>
      <c r="BD741" s="3"/>
      <c r="BE741" s="3"/>
      <c r="CE741" s="22">
        <f t="shared" si="78"/>
        <v>4000</v>
      </c>
      <c r="CF741" s="3">
        <f t="shared" si="80"/>
        <v>0</v>
      </c>
      <c r="CG741" s="17">
        <f t="shared" si="79"/>
        <v>10286</v>
      </c>
      <c r="CH741" s="3" t="str">
        <f t="shared" si="79"/>
        <v>مركزمؤتمرات</v>
      </c>
    </row>
    <row r="742" spans="2:86" x14ac:dyDescent="0.25">
      <c r="C742" s="25">
        <v>16966</v>
      </c>
      <c r="D742" s="11">
        <v>10287</v>
      </c>
      <c r="E742" s="3" t="s">
        <v>1014</v>
      </c>
      <c r="F742" s="3" t="s">
        <v>1018</v>
      </c>
      <c r="G742" s="3"/>
      <c r="H742" s="3">
        <v>4000</v>
      </c>
      <c r="U742" s="3"/>
      <c r="V742" s="3"/>
      <c r="AS742" s="22">
        <f t="shared" si="77"/>
        <v>4000</v>
      </c>
      <c r="AT742" s="3">
        <v>3570.35</v>
      </c>
      <c r="AU742" s="3">
        <v>429.65</v>
      </c>
      <c r="BD742" s="3"/>
      <c r="BE742" s="3"/>
      <c r="CE742" s="22">
        <f t="shared" si="78"/>
        <v>4000</v>
      </c>
      <c r="CF742" s="3">
        <f t="shared" si="80"/>
        <v>0</v>
      </c>
      <c r="CG742" s="17">
        <f t="shared" si="79"/>
        <v>10287</v>
      </c>
      <c r="CH742" s="3" t="str">
        <f t="shared" si="79"/>
        <v>مركزمؤتمرات</v>
      </c>
    </row>
    <row r="743" spans="2:86" x14ac:dyDescent="0.25">
      <c r="C743" s="25">
        <v>16779</v>
      </c>
      <c r="D743" s="11">
        <v>10288</v>
      </c>
      <c r="E743" s="3" t="s">
        <v>925</v>
      </c>
      <c r="F743" s="3" t="s">
        <v>1019</v>
      </c>
      <c r="G743" s="3"/>
      <c r="H743" s="3">
        <v>5700</v>
      </c>
      <c r="U743" s="3"/>
      <c r="V743" s="3"/>
      <c r="AS743" s="22">
        <f t="shared" si="77"/>
        <v>5700</v>
      </c>
      <c r="AT743" s="3">
        <v>4298.3999999999996</v>
      </c>
      <c r="AU743" s="3">
        <v>1116.5999999999999</v>
      </c>
      <c r="AW743" s="3">
        <v>285</v>
      </c>
      <c r="BD743" s="3"/>
      <c r="BE743" s="3"/>
      <c r="CE743" s="22">
        <f t="shared" si="78"/>
        <v>5700</v>
      </c>
      <c r="CF743" s="3">
        <f t="shared" si="80"/>
        <v>0</v>
      </c>
      <c r="CG743" s="17">
        <f t="shared" si="79"/>
        <v>10288</v>
      </c>
      <c r="CH743" s="3" t="str">
        <f t="shared" si="79"/>
        <v xml:space="preserve">خ ت اسنان </v>
      </c>
    </row>
    <row r="744" spans="2:86" x14ac:dyDescent="0.25">
      <c r="B744" s="3"/>
      <c r="C744" s="25">
        <v>16780</v>
      </c>
      <c r="D744" s="11">
        <v>10289</v>
      </c>
      <c r="E744" s="3" t="s">
        <v>925</v>
      </c>
      <c r="F744" s="3" t="s">
        <v>1019</v>
      </c>
      <c r="G744" s="3"/>
      <c r="H744" s="3">
        <v>16499.52</v>
      </c>
      <c r="U744" s="3"/>
      <c r="V744" s="3"/>
      <c r="AS744" s="22">
        <f t="shared" si="77"/>
        <v>16499.52</v>
      </c>
      <c r="AT744" s="3">
        <v>10510.98</v>
      </c>
      <c r="AU744" s="3">
        <v>1512.65</v>
      </c>
      <c r="AV744" s="3">
        <v>3765.89</v>
      </c>
      <c r="AW744" s="3">
        <v>710</v>
      </c>
      <c r="BD744" s="3"/>
      <c r="BE744" s="3"/>
      <c r="CE744" s="22">
        <f t="shared" si="78"/>
        <v>16499.519999999997</v>
      </c>
      <c r="CF744" s="3">
        <f t="shared" si="80"/>
        <v>0</v>
      </c>
      <c r="CG744" s="17">
        <f t="shared" si="79"/>
        <v>10289</v>
      </c>
      <c r="CH744" s="3" t="str">
        <f t="shared" si="79"/>
        <v xml:space="preserve">خ ت اسنان </v>
      </c>
    </row>
    <row r="745" spans="2:86" x14ac:dyDescent="0.25">
      <c r="C745" s="25">
        <v>16778</v>
      </c>
      <c r="D745" s="11">
        <v>10290</v>
      </c>
      <c r="E745" s="3" t="s">
        <v>925</v>
      </c>
      <c r="F745" s="3" t="s">
        <v>1019</v>
      </c>
      <c r="G745" s="3"/>
      <c r="H745" s="3">
        <v>26146.75</v>
      </c>
      <c r="U745" s="3"/>
      <c r="V745" s="3"/>
      <c r="AS745" s="22">
        <f t="shared" si="77"/>
        <v>26146.75</v>
      </c>
      <c r="AT745" s="3">
        <v>17473.349999999999</v>
      </c>
      <c r="AU745" s="3">
        <f>2230+143.65</f>
        <v>2373.65</v>
      </c>
      <c r="AV745" s="3">
        <v>6299.75</v>
      </c>
      <c r="BD745" s="3"/>
      <c r="BE745" s="3"/>
      <c r="CE745" s="22">
        <f t="shared" si="78"/>
        <v>26146.75</v>
      </c>
      <c r="CF745" s="3">
        <f t="shared" si="80"/>
        <v>0</v>
      </c>
      <c r="CG745" s="17">
        <f t="shared" si="79"/>
        <v>10290</v>
      </c>
      <c r="CH745" s="3" t="str">
        <f t="shared" si="79"/>
        <v xml:space="preserve">خ ت اسنان </v>
      </c>
    </row>
    <row r="746" spans="2:86" x14ac:dyDescent="0.25">
      <c r="C746" s="25">
        <v>16781</v>
      </c>
      <c r="D746" s="11">
        <v>10291</v>
      </c>
      <c r="E746" s="3" t="s">
        <v>925</v>
      </c>
      <c r="F746" s="3" t="s">
        <v>1019</v>
      </c>
      <c r="G746" s="3"/>
      <c r="H746" s="3">
        <v>20658.13</v>
      </c>
      <c r="U746" s="3"/>
      <c r="V746" s="3"/>
      <c r="AS746" s="22">
        <f t="shared" si="77"/>
        <v>20658.13</v>
      </c>
      <c r="AT746" s="3">
        <v>14260.83</v>
      </c>
      <c r="AU746" s="3">
        <v>1977.65</v>
      </c>
      <c r="AV746" s="3">
        <v>3493.4</v>
      </c>
      <c r="AW746" s="3">
        <v>926.25</v>
      </c>
      <c r="BD746" s="3"/>
      <c r="BE746" s="3"/>
      <c r="CE746" s="22">
        <f t="shared" si="78"/>
        <v>20658.13</v>
      </c>
      <c r="CF746" s="3">
        <f t="shared" si="80"/>
        <v>0</v>
      </c>
      <c r="CG746" s="17">
        <f t="shared" si="79"/>
        <v>10291</v>
      </c>
      <c r="CH746" s="3" t="str">
        <f t="shared" si="79"/>
        <v xml:space="preserve">خ ت اسنان </v>
      </c>
    </row>
    <row r="747" spans="2:86" x14ac:dyDescent="0.25">
      <c r="B747" s="3"/>
      <c r="C747" s="25">
        <v>16786</v>
      </c>
      <c r="D747" s="11">
        <v>10292</v>
      </c>
      <c r="E747" s="3" t="s">
        <v>925</v>
      </c>
      <c r="F747" s="3" t="s">
        <v>1020</v>
      </c>
      <c r="G747" s="3"/>
      <c r="H747" s="3">
        <v>20049.73</v>
      </c>
      <c r="U747" s="3"/>
      <c r="V747" s="3"/>
      <c r="AS747" s="22">
        <f t="shared" si="77"/>
        <v>20049.73</v>
      </c>
      <c r="AT747" s="3">
        <v>12543.1</v>
      </c>
      <c r="AU747" s="3">
        <v>1820.9</v>
      </c>
      <c r="AV747" s="3">
        <v>4830.7299999999996</v>
      </c>
      <c r="AW747" s="3">
        <v>855</v>
      </c>
      <c r="BD747" s="3"/>
      <c r="BE747" s="3"/>
      <c r="CE747" s="22">
        <f t="shared" si="78"/>
        <v>20049.73</v>
      </c>
      <c r="CF747" s="3">
        <f t="shared" si="80"/>
        <v>0</v>
      </c>
      <c r="CG747" s="17">
        <f t="shared" si="79"/>
        <v>10292</v>
      </c>
      <c r="CH747" s="3" t="str">
        <f t="shared" si="79"/>
        <v xml:space="preserve">خ ت اسنان </v>
      </c>
    </row>
    <row r="748" spans="2:86" x14ac:dyDescent="0.25">
      <c r="C748" s="25">
        <v>16785</v>
      </c>
      <c r="D748" s="11">
        <v>10293</v>
      </c>
      <c r="E748" s="3" t="s">
        <v>925</v>
      </c>
      <c r="F748" s="3" t="s">
        <v>1020</v>
      </c>
      <c r="G748" s="3"/>
      <c r="H748" s="3">
        <v>1934.62</v>
      </c>
      <c r="U748" s="3"/>
      <c r="V748" s="3"/>
      <c r="AS748" s="22">
        <f t="shared" si="77"/>
        <v>1934.62</v>
      </c>
      <c r="AT748" s="3">
        <v>1210.3499999999999</v>
      </c>
      <c r="AU748" s="3">
        <v>175.65</v>
      </c>
      <c r="AV748" s="3">
        <v>466.12</v>
      </c>
      <c r="AW748" s="3">
        <v>82.5</v>
      </c>
      <c r="BD748" s="3"/>
      <c r="BE748" s="3"/>
      <c r="CE748" s="22">
        <f t="shared" si="78"/>
        <v>1934.62</v>
      </c>
      <c r="CF748" s="3">
        <f t="shared" si="80"/>
        <v>0</v>
      </c>
      <c r="CG748" s="17">
        <f t="shared" si="79"/>
        <v>10293</v>
      </c>
      <c r="CH748" s="3" t="str">
        <f t="shared" si="79"/>
        <v xml:space="preserve">خ ت اسنان </v>
      </c>
    </row>
    <row r="749" spans="2:86" x14ac:dyDescent="0.25">
      <c r="C749" s="25">
        <v>16783</v>
      </c>
      <c r="D749" s="11">
        <v>10294</v>
      </c>
      <c r="E749" s="3" t="s">
        <v>925</v>
      </c>
      <c r="F749" s="3" t="s">
        <v>1020</v>
      </c>
      <c r="G749" s="3"/>
      <c r="H749" s="3">
        <v>6000</v>
      </c>
      <c r="U749" s="3"/>
      <c r="V749" s="3"/>
      <c r="AS749" s="22">
        <f t="shared" ref="AS749:AS812" si="82">SUM(H749:AQ749)</f>
        <v>6000</v>
      </c>
      <c r="AT749" s="3">
        <v>4524.6000000000004</v>
      </c>
      <c r="AU749" s="3">
        <v>1175.4000000000001</v>
      </c>
      <c r="AW749" s="3">
        <v>300</v>
      </c>
      <c r="BD749" s="3"/>
      <c r="BE749" s="3"/>
      <c r="CE749" s="22">
        <f t="shared" si="78"/>
        <v>6000</v>
      </c>
      <c r="CF749" s="3">
        <f t="shared" si="80"/>
        <v>0</v>
      </c>
      <c r="CG749" s="17">
        <f t="shared" si="79"/>
        <v>10294</v>
      </c>
      <c r="CH749" s="3" t="str">
        <f t="shared" si="79"/>
        <v xml:space="preserve">خ ت اسنان </v>
      </c>
    </row>
    <row r="750" spans="2:86" x14ac:dyDescent="0.25">
      <c r="C750" s="25">
        <v>16769</v>
      </c>
      <c r="D750" s="11">
        <v>10295</v>
      </c>
      <c r="E750" s="3" t="s">
        <v>925</v>
      </c>
      <c r="F750" s="3" t="s">
        <v>1020</v>
      </c>
      <c r="G750" s="3"/>
      <c r="H750" s="3">
        <v>15945.97</v>
      </c>
      <c r="U750" s="3"/>
      <c r="V750" s="3"/>
      <c r="AS750" s="22">
        <f t="shared" si="82"/>
        <v>15945.97</v>
      </c>
      <c r="AT750" s="3">
        <v>9976.0499999999993</v>
      </c>
      <c r="AU750" s="3">
        <v>1447.95</v>
      </c>
      <c r="AV750" s="3">
        <v>3841.97</v>
      </c>
      <c r="AW750" s="3">
        <v>680</v>
      </c>
      <c r="BD750" s="3"/>
      <c r="BE750" s="3"/>
      <c r="CE750" s="22">
        <f t="shared" ref="CE750:CE813" si="83">SUM(AT750:CC750)</f>
        <v>15945.97</v>
      </c>
      <c r="CF750" s="3">
        <f t="shared" si="80"/>
        <v>0</v>
      </c>
      <c r="CG750" s="17">
        <f t="shared" ref="CG750:CH813" si="84">+D750</f>
        <v>10295</v>
      </c>
      <c r="CH750" s="3" t="str">
        <f t="shared" si="84"/>
        <v xml:space="preserve">خ ت اسنان </v>
      </c>
    </row>
    <row r="751" spans="2:86" x14ac:dyDescent="0.25">
      <c r="C751" s="25">
        <v>16784</v>
      </c>
      <c r="D751" s="11">
        <v>10296</v>
      </c>
      <c r="E751" s="3" t="s">
        <v>925</v>
      </c>
      <c r="F751" s="3" t="s">
        <v>1020</v>
      </c>
      <c r="G751" s="3"/>
      <c r="H751" s="3">
        <v>23684.5</v>
      </c>
      <c r="U751" s="3"/>
      <c r="V751" s="3"/>
      <c r="AS751" s="22">
        <f t="shared" si="82"/>
        <v>23684.5</v>
      </c>
      <c r="AT751" s="3">
        <v>15828</v>
      </c>
      <c r="AU751" s="3">
        <f>130+2020</f>
        <v>2150</v>
      </c>
      <c r="AV751" s="3">
        <v>5706.5</v>
      </c>
      <c r="BD751" s="3"/>
      <c r="BE751" s="3"/>
      <c r="CE751" s="22">
        <f t="shared" si="83"/>
        <v>23684.5</v>
      </c>
      <c r="CF751" s="3">
        <f t="shared" ref="CF751:CF814" si="85">+CE751-AS751</f>
        <v>0</v>
      </c>
      <c r="CG751" s="17">
        <f t="shared" si="84"/>
        <v>10296</v>
      </c>
      <c r="CH751" s="3" t="str">
        <f t="shared" si="84"/>
        <v xml:space="preserve">خ ت اسنان </v>
      </c>
    </row>
    <row r="752" spans="2:86" x14ac:dyDescent="0.25">
      <c r="C752" s="25">
        <v>17235</v>
      </c>
      <c r="D752" s="11">
        <v>10297</v>
      </c>
      <c r="E752" s="3" t="s">
        <v>925</v>
      </c>
      <c r="F752" s="3" t="s">
        <v>1021</v>
      </c>
      <c r="G752" s="3"/>
      <c r="H752" s="3">
        <v>470.44</v>
      </c>
      <c r="U752" s="3"/>
      <c r="V752" s="3"/>
      <c r="AS752" s="22">
        <f t="shared" si="82"/>
        <v>470.44</v>
      </c>
      <c r="AT752" s="3">
        <v>295.91000000000003</v>
      </c>
      <c r="AU752" s="3">
        <v>41.12</v>
      </c>
      <c r="AV752" s="3">
        <v>113.35</v>
      </c>
      <c r="AW752" s="3">
        <v>20.059999999999999</v>
      </c>
      <c r="BD752" s="3"/>
      <c r="BE752" s="3"/>
      <c r="CE752" s="22">
        <f t="shared" si="83"/>
        <v>470.44</v>
      </c>
      <c r="CF752" s="3">
        <f t="shared" si="85"/>
        <v>0</v>
      </c>
      <c r="CG752" s="17">
        <f t="shared" si="84"/>
        <v>10297</v>
      </c>
      <c r="CH752" s="3" t="str">
        <f t="shared" si="84"/>
        <v xml:space="preserve">خ ت اسنان </v>
      </c>
    </row>
    <row r="753" spans="2:86" x14ac:dyDescent="0.25">
      <c r="B753" s="3"/>
      <c r="C753" s="25">
        <v>16986</v>
      </c>
      <c r="D753" s="11">
        <v>10298</v>
      </c>
      <c r="E753" s="3" t="s">
        <v>119</v>
      </c>
      <c r="F753" s="3" t="s">
        <v>1022</v>
      </c>
      <c r="G753" s="3"/>
      <c r="H753" s="3">
        <v>26750</v>
      </c>
      <c r="U753" s="3"/>
      <c r="V753" s="3"/>
      <c r="AS753" s="22">
        <f t="shared" si="82"/>
        <v>26750</v>
      </c>
      <c r="AT753" s="3">
        <v>20168.84</v>
      </c>
      <c r="AU753" s="3">
        <v>5243.66</v>
      </c>
      <c r="AW753" s="3">
        <v>1337.5</v>
      </c>
      <c r="BD753" s="3"/>
      <c r="BE753" s="3"/>
      <c r="CE753" s="22">
        <f t="shared" si="83"/>
        <v>26750</v>
      </c>
      <c r="CF753" s="3">
        <f t="shared" si="85"/>
        <v>0</v>
      </c>
      <c r="CG753" s="17">
        <f t="shared" si="84"/>
        <v>10298</v>
      </c>
      <c r="CH753" s="3" t="str">
        <f t="shared" si="84"/>
        <v>خ ت صيدلة</v>
      </c>
    </row>
    <row r="754" spans="2:86" x14ac:dyDescent="0.25">
      <c r="C754" s="25">
        <v>16982</v>
      </c>
      <c r="D754" s="11">
        <v>10299</v>
      </c>
      <c r="E754" s="3" t="s">
        <v>119</v>
      </c>
      <c r="F754" s="3" t="s">
        <v>1023</v>
      </c>
      <c r="G754" s="3"/>
      <c r="H754" s="3">
        <v>527.62</v>
      </c>
      <c r="U754" s="3"/>
      <c r="V754" s="3"/>
      <c r="AS754" s="22">
        <f t="shared" si="82"/>
        <v>527.62</v>
      </c>
      <c r="AT754" s="3">
        <v>338.13</v>
      </c>
      <c r="AU754" s="3">
        <v>39.869999999999997</v>
      </c>
      <c r="AV754" s="3">
        <v>127.12</v>
      </c>
      <c r="AW754" s="3">
        <v>22.5</v>
      </c>
      <c r="BD754" s="3"/>
      <c r="BE754" s="3"/>
      <c r="CE754" s="22">
        <f t="shared" si="83"/>
        <v>527.62</v>
      </c>
      <c r="CF754" s="3">
        <f t="shared" si="85"/>
        <v>0</v>
      </c>
      <c r="CG754" s="17">
        <f t="shared" si="84"/>
        <v>10299</v>
      </c>
      <c r="CH754" s="3" t="str">
        <f t="shared" si="84"/>
        <v>خ ت صيدلة</v>
      </c>
    </row>
    <row r="755" spans="2:86" x14ac:dyDescent="0.25">
      <c r="C755" s="25">
        <v>16985</v>
      </c>
      <c r="D755" s="11">
        <v>10300</v>
      </c>
      <c r="E755" s="3" t="s">
        <v>119</v>
      </c>
      <c r="F755" s="3" t="s">
        <v>1023</v>
      </c>
      <c r="G755" s="3"/>
      <c r="H755" s="3">
        <v>2637.91</v>
      </c>
      <c r="U755" s="3"/>
      <c r="V755" s="3"/>
      <c r="AS755" s="22">
        <f t="shared" si="82"/>
        <v>2637.91</v>
      </c>
      <c r="AT755" s="3">
        <v>1985.89</v>
      </c>
      <c r="AU755" s="3">
        <f>12.1+50.92</f>
        <v>63.02</v>
      </c>
      <c r="AV755" s="3">
        <v>471.5</v>
      </c>
      <c r="AW755" s="3">
        <v>117.5</v>
      </c>
      <c r="BD755" s="3"/>
      <c r="BE755" s="3"/>
      <c r="CE755" s="22">
        <f t="shared" si="83"/>
        <v>2637.9100000000003</v>
      </c>
      <c r="CF755" s="3">
        <f t="shared" si="85"/>
        <v>0</v>
      </c>
      <c r="CG755" s="17">
        <f t="shared" si="84"/>
        <v>10300</v>
      </c>
      <c r="CH755" s="3" t="str">
        <f t="shared" si="84"/>
        <v>خ ت صيدلة</v>
      </c>
    </row>
    <row r="756" spans="2:86" x14ac:dyDescent="0.25">
      <c r="C756" s="25">
        <v>16981</v>
      </c>
      <c r="D756" s="11">
        <v>10301</v>
      </c>
      <c r="E756" s="3" t="s">
        <v>119</v>
      </c>
      <c r="F756" s="3" t="s">
        <v>1023</v>
      </c>
      <c r="G756" s="3"/>
      <c r="H756" s="3">
        <v>250</v>
      </c>
      <c r="U756" s="3"/>
      <c r="V756" s="3"/>
      <c r="AS756" s="22">
        <f t="shared" si="82"/>
        <v>250</v>
      </c>
      <c r="AT756" s="3">
        <v>207.87</v>
      </c>
      <c r="AU756" s="3">
        <v>29.63</v>
      </c>
      <c r="AW756" s="3">
        <v>12.5</v>
      </c>
      <c r="BD756" s="3"/>
      <c r="BE756" s="3"/>
      <c r="CE756" s="22">
        <f t="shared" si="83"/>
        <v>250</v>
      </c>
      <c r="CF756" s="3">
        <f t="shared" si="85"/>
        <v>0</v>
      </c>
      <c r="CG756" s="17">
        <f t="shared" si="84"/>
        <v>10301</v>
      </c>
      <c r="CH756" s="3" t="str">
        <f t="shared" si="84"/>
        <v>خ ت صيدلة</v>
      </c>
    </row>
    <row r="757" spans="2:86" x14ac:dyDescent="0.25">
      <c r="C757" s="25">
        <v>16984</v>
      </c>
      <c r="D757" s="11">
        <v>10302</v>
      </c>
      <c r="E757" s="3" t="s">
        <v>119</v>
      </c>
      <c r="F757" s="3" t="s">
        <v>1023</v>
      </c>
      <c r="G757" s="3"/>
      <c r="H757" s="3">
        <v>7944.69</v>
      </c>
      <c r="U757" s="3"/>
      <c r="V757" s="3"/>
      <c r="AS757" s="22">
        <f t="shared" si="82"/>
        <v>7944.69</v>
      </c>
      <c r="AT757" s="3">
        <v>4934.3500000000004</v>
      </c>
      <c r="AU757" s="3">
        <v>922.71</v>
      </c>
      <c r="AV757" s="3">
        <v>1743.63</v>
      </c>
      <c r="AW757" s="3">
        <v>344</v>
      </c>
      <c r="BD757" s="3"/>
      <c r="BE757" s="3"/>
      <c r="CE757" s="22">
        <f t="shared" si="83"/>
        <v>7944.6900000000005</v>
      </c>
      <c r="CF757" s="3">
        <f t="shared" si="85"/>
        <v>0</v>
      </c>
      <c r="CG757" s="17">
        <f t="shared" si="84"/>
        <v>10302</v>
      </c>
      <c r="CH757" s="3" t="str">
        <f t="shared" si="84"/>
        <v>خ ت صيدلة</v>
      </c>
    </row>
    <row r="758" spans="2:86" x14ac:dyDescent="0.25">
      <c r="C758" s="25">
        <v>16983</v>
      </c>
      <c r="D758" s="11">
        <v>10303</v>
      </c>
      <c r="E758" s="3" t="s">
        <v>119</v>
      </c>
      <c r="F758" s="3" t="s">
        <v>1023</v>
      </c>
      <c r="G758" s="3"/>
      <c r="H758" s="3">
        <v>2839.01</v>
      </c>
      <c r="U758" s="3"/>
      <c r="V758" s="3"/>
      <c r="AS758" s="22">
        <f t="shared" si="82"/>
        <v>2839.01</v>
      </c>
      <c r="AT758" s="3">
        <v>1811.17</v>
      </c>
      <c r="AU758" s="3">
        <v>212.69</v>
      </c>
      <c r="AV758" s="3">
        <v>694.4</v>
      </c>
      <c r="AW758" s="3">
        <v>120.75</v>
      </c>
      <c r="BD758" s="3"/>
      <c r="BE758" s="3"/>
      <c r="CE758" s="22">
        <f t="shared" si="83"/>
        <v>2839.01</v>
      </c>
      <c r="CF758" s="3">
        <f t="shared" si="85"/>
        <v>0</v>
      </c>
      <c r="CG758" s="17">
        <f t="shared" si="84"/>
        <v>10303</v>
      </c>
      <c r="CH758" s="3" t="str">
        <f t="shared" si="84"/>
        <v>خ ت صيدلة</v>
      </c>
    </row>
    <row r="759" spans="2:86" x14ac:dyDescent="0.25">
      <c r="B759" s="3"/>
      <c r="C759" s="25">
        <v>17047</v>
      </c>
      <c r="D759" s="11">
        <v>10304</v>
      </c>
      <c r="E759" s="3" t="s">
        <v>130</v>
      </c>
      <c r="F759" s="3" t="s">
        <v>497</v>
      </c>
      <c r="G759" s="3"/>
      <c r="H759" s="3">
        <v>311.12</v>
      </c>
      <c r="U759" s="3"/>
      <c r="V759" s="3"/>
      <c r="AS759" s="22">
        <f t="shared" si="82"/>
        <v>311.12</v>
      </c>
      <c r="AT759" s="3">
        <v>191.91</v>
      </c>
      <c r="AU759" s="3">
        <v>30.98</v>
      </c>
      <c r="AV759" s="3">
        <v>74.95</v>
      </c>
      <c r="AW759" s="3">
        <v>13.28</v>
      </c>
      <c r="BD759" s="3"/>
      <c r="BE759" s="3"/>
      <c r="CE759" s="22">
        <f t="shared" si="83"/>
        <v>311.11999999999995</v>
      </c>
      <c r="CF759" s="3">
        <f t="shared" si="85"/>
        <v>0</v>
      </c>
      <c r="CG759" s="17">
        <f t="shared" si="84"/>
        <v>10304</v>
      </c>
      <c r="CH759" s="3" t="str">
        <f t="shared" si="84"/>
        <v>خ ت طب</v>
      </c>
    </row>
    <row r="760" spans="2:86" x14ac:dyDescent="0.25">
      <c r="C760" s="25">
        <v>17048</v>
      </c>
      <c r="D760" s="11">
        <v>10305</v>
      </c>
      <c r="E760" s="3" t="s">
        <v>130</v>
      </c>
      <c r="F760" s="3" t="s">
        <v>1024</v>
      </c>
      <c r="G760" s="3"/>
      <c r="H760" s="3">
        <v>469</v>
      </c>
      <c r="U760" s="3"/>
      <c r="V760" s="3"/>
      <c r="AS760" s="22">
        <f t="shared" si="82"/>
        <v>469</v>
      </c>
      <c r="AT760" s="3">
        <v>302.39999999999998</v>
      </c>
      <c r="AU760" s="3">
        <v>33.6</v>
      </c>
      <c r="AV760" s="3">
        <v>113</v>
      </c>
      <c r="AW760" s="3">
        <v>20</v>
      </c>
      <c r="BD760" s="3"/>
      <c r="BE760" s="3"/>
      <c r="CE760" s="22">
        <f t="shared" si="83"/>
        <v>469</v>
      </c>
      <c r="CF760" s="3">
        <f t="shared" si="85"/>
        <v>0</v>
      </c>
      <c r="CG760" s="17">
        <f t="shared" si="84"/>
        <v>10305</v>
      </c>
      <c r="CH760" s="3" t="str">
        <f t="shared" si="84"/>
        <v>خ ت طب</v>
      </c>
    </row>
    <row r="761" spans="2:86" x14ac:dyDescent="0.25">
      <c r="C761" s="25">
        <v>17049</v>
      </c>
      <c r="D761" s="11">
        <v>10306</v>
      </c>
      <c r="E761" s="3" t="s">
        <v>130</v>
      </c>
      <c r="F761" s="3" t="s">
        <v>1024</v>
      </c>
      <c r="G761" s="3"/>
      <c r="H761" s="3">
        <v>347.06</v>
      </c>
      <c r="U761" s="3"/>
      <c r="V761" s="3"/>
      <c r="AS761" s="22">
        <f t="shared" si="82"/>
        <v>347.06</v>
      </c>
      <c r="AT761" s="3">
        <v>214.06</v>
      </c>
      <c r="AU761" s="3">
        <v>34.58</v>
      </c>
      <c r="AV761" s="3">
        <v>83.62</v>
      </c>
      <c r="AW761" s="3">
        <v>14.8</v>
      </c>
      <c r="BD761" s="3"/>
      <c r="BE761" s="3"/>
      <c r="CE761" s="22">
        <f t="shared" si="83"/>
        <v>347.06</v>
      </c>
      <c r="CF761" s="3">
        <f t="shared" si="85"/>
        <v>0</v>
      </c>
      <c r="CG761" s="17">
        <f t="shared" si="84"/>
        <v>10306</v>
      </c>
      <c r="CH761" s="3" t="str">
        <f t="shared" si="84"/>
        <v>خ ت طب</v>
      </c>
    </row>
    <row r="762" spans="2:86" x14ac:dyDescent="0.25">
      <c r="C762" s="25">
        <v>17050</v>
      </c>
      <c r="D762" s="11">
        <v>10307</v>
      </c>
      <c r="E762" s="3" t="s">
        <v>130</v>
      </c>
      <c r="F762" s="3" t="s">
        <v>500</v>
      </c>
      <c r="G762" s="3"/>
      <c r="H762" s="3">
        <v>175.88</v>
      </c>
      <c r="U762" s="3"/>
      <c r="V762" s="3"/>
      <c r="AS762" s="22">
        <f t="shared" si="82"/>
        <v>175.88</v>
      </c>
      <c r="AT762" s="3">
        <v>112.95</v>
      </c>
      <c r="AU762" s="3">
        <v>13.05</v>
      </c>
      <c r="AV762" s="3">
        <v>42.38</v>
      </c>
      <c r="AW762" s="3">
        <v>7.5</v>
      </c>
      <c r="BD762" s="3"/>
      <c r="BE762" s="3"/>
      <c r="CE762" s="22">
        <f t="shared" si="83"/>
        <v>175.88</v>
      </c>
      <c r="CF762" s="3">
        <f t="shared" si="85"/>
        <v>0</v>
      </c>
      <c r="CG762" s="17">
        <f t="shared" si="84"/>
        <v>10307</v>
      </c>
      <c r="CH762" s="3" t="str">
        <f t="shared" si="84"/>
        <v>خ ت طب</v>
      </c>
    </row>
    <row r="763" spans="2:86" x14ac:dyDescent="0.25">
      <c r="C763" s="25">
        <v>17051</v>
      </c>
      <c r="D763" s="11">
        <v>10308</v>
      </c>
      <c r="E763" s="3" t="s">
        <v>130</v>
      </c>
      <c r="F763" s="3" t="s">
        <v>1025</v>
      </c>
      <c r="G763" s="3"/>
      <c r="H763" s="3">
        <v>117.25</v>
      </c>
      <c r="U763" s="3"/>
      <c r="V763" s="3"/>
      <c r="AS763" s="22">
        <f t="shared" si="82"/>
        <v>117.25</v>
      </c>
      <c r="AT763" s="3">
        <v>73.040000000000006</v>
      </c>
      <c r="AU763" s="3">
        <v>10.96</v>
      </c>
      <c r="AV763" s="3">
        <v>28.25</v>
      </c>
      <c r="AW763" s="3">
        <v>5</v>
      </c>
      <c r="BD763" s="3"/>
      <c r="BE763" s="3"/>
      <c r="CE763" s="22">
        <f t="shared" si="83"/>
        <v>117.25</v>
      </c>
      <c r="CF763" s="3">
        <f t="shared" si="85"/>
        <v>0</v>
      </c>
      <c r="CG763" s="17">
        <f t="shared" si="84"/>
        <v>10308</v>
      </c>
      <c r="CH763" s="3" t="str">
        <f t="shared" si="84"/>
        <v>خ ت طب</v>
      </c>
    </row>
    <row r="764" spans="2:86" x14ac:dyDescent="0.25">
      <c r="C764" s="25">
        <v>17052</v>
      </c>
      <c r="D764" s="11">
        <v>10309</v>
      </c>
      <c r="E764" s="3" t="s">
        <v>130</v>
      </c>
      <c r="F764" s="3" t="s">
        <v>855</v>
      </c>
      <c r="G764" s="3"/>
      <c r="H764" s="3">
        <v>164.15</v>
      </c>
      <c r="U764" s="3"/>
      <c r="V764" s="3"/>
      <c r="AS764" s="22">
        <f t="shared" si="82"/>
        <v>164.15</v>
      </c>
      <c r="AT764" s="3">
        <v>99.92</v>
      </c>
      <c r="AU764" s="3">
        <v>17.68</v>
      </c>
      <c r="AV764" s="3">
        <v>39.549999999999997</v>
      </c>
      <c r="AW764" s="3">
        <v>7</v>
      </c>
      <c r="BD764" s="3"/>
      <c r="BE764" s="3"/>
      <c r="CE764" s="22">
        <f t="shared" si="83"/>
        <v>164.14999999999998</v>
      </c>
      <c r="CF764" s="3">
        <f t="shared" si="85"/>
        <v>0</v>
      </c>
      <c r="CG764" s="17">
        <f t="shared" si="84"/>
        <v>10309</v>
      </c>
      <c r="CH764" s="3" t="str">
        <f t="shared" si="84"/>
        <v>خ ت طب</v>
      </c>
    </row>
    <row r="765" spans="2:86" x14ac:dyDescent="0.25">
      <c r="C765" s="25">
        <v>17053</v>
      </c>
      <c r="D765" s="11">
        <v>10310</v>
      </c>
      <c r="E765" s="3" t="s">
        <v>130</v>
      </c>
      <c r="F765" s="3" t="s">
        <v>855</v>
      </c>
      <c r="G765" s="3"/>
      <c r="H765" s="3">
        <v>515.9</v>
      </c>
      <c r="U765" s="3"/>
      <c r="V765" s="3"/>
      <c r="AS765" s="22">
        <f t="shared" si="82"/>
        <v>515.9</v>
      </c>
      <c r="AT765" s="3">
        <v>332.64</v>
      </c>
      <c r="AU765" s="3">
        <v>36.96</v>
      </c>
      <c r="AV765" s="3">
        <v>124.3</v>
      </c>
      <c r="AW765" s="3">
        <v>22</v>
      </c>
      <c r="BD765" s="3"/>
      <c r="BE765" s="3"/>
      <c r="CE765" s="22">
        <f t="shared" si="83"/>
        <v>515.9</v>
      </c>
      <c r="CF765" s="3">
        <f t="shared" si="85"/>
        <v>0</v>
      </c>
      <c r="CG765" s="17">
        <f t="shared" si="84"/>
        <v>10310</v>
      </c>
      <c r="CH765" s="3" t="str">
        <f t="shared" si="84"/>
        <v>خ ت طب</v>
      </c>
    </row>
    <row r="766" spans="2:86" x14ac:dyDescent="0.25">
      <c r="C766" s="25">
        <v>17054</v>
      </c>
      <c r="D766" s="11">
        <v>10311</v>
      </c>
      <c r="E766" s="3" t="s">
        <v>130</v>
      </c>
      <c r="F766" s="3" t="s">
        <v>855</v>
      </c>
      <c r="G766" s="3"/>
      <c r="H766" s="3">
        <v>1050.46</v>
      </c>
      <c r="U766" s="3"/>
      <c r="V766" s="3"/>
      <c r="AS766" s="22">
        <f t="shared" si="82"/>
        <v>1050.46</v>
      </c>
      <c r="AT766" s="3">
        <v>625</v>
      </c>
      <c r="AU766" s="3">
        <v>127.56</v>
      </c>
      <c r="AV766" s="3">
        <v>253.11</v>
      </c>
      <c r="AW766" s="3">
        <v>44.79</v>
      </c>
      <c r="BD766" s="3"/>
      <c r="BE766" s="3"/>
      <c r="CE766" s="22">
        <f t="shared" si="83"/>
        <v>1050.46</v>
      </c>
      <c r="CF766" s="3">
        <f t="shared" si="85"/>
        <v>0</v>
      </c>
      <c r="CG766" s="17">
        <f t="shared" si="84"/>
        <v>10311</v>
      </c>
      <c r="CH766" s="3" t="str">
        <f t="shared" si="84"/>
        <v>خ ت طب</v>
      </c>
    </row>
    <row r="767" spans="2:86" x14ac:dyDescent="0.25">
      <c r="C767" s="25">
        <v>17055</v>
      </c>
      <c r="D767" s="11">
        <v>10312</v>
      </c>
      <c r="E767" s="3" t="s">
        <v>130</v>
      </c>
      <c r="F767" s="3" t="s">
        <v>490</v>
      </c>
      <c r="G767" s="3"/>
      <c r="H767" s="3">
        <v>175.88</v>
      </c>
      <c r="U767" s="3"/>
      <c r="V767" s="3"/>
      <c r="AS767" s="22">
        <f t="shared" si="82"/>
        <v>175.88</v>
      </c>
      <c r="AT767" s="3">
        <v>106.68</v>
      </c>
      <c r="AU767" s="3">
        <v>19.32</v>
      </c>
      <c r="AV767" s="3">
        <v>42.38</v>
      </c>
      <c r="AW767" s="3">
        <v>7.5</v>
      </c>
      <c r="BD767" s="3"/>
      <c r="BE767" s="3"/>
      <c r="CE767" s="22">
        <f t="shared" si="83"/>
        <v>175.88</v>
      </c>
      <c r="CF767" s="3">
        <f t="shared" si="85"/>
        <v>0</v>
      </c>
      <c r="CG767" s="17">
        <f t="shared" si="84"/>
        <v>10312</v>
      </c>
      <c r="CH767" s="3" t="str">
        <f t="shared" si="84"/>
        <v>خ ت طب</v>
      </c>
    </row>
    <row r="768" spans="2:86" x14ac:dyDescent="0.25">
      <c r="C768" s="25">
        <v>17056</v>
      </c>
      <c r="D768" s="11">
        <v>10313</v>
      </c>
      <c r="E768" s="3" t="s">
        <v>130</v>
      </c>
      <c r="F768" s="3" t="s">
        <v>863</v>
      </c>
      <c r="G768" s="3"/>
      <c r="H768" s="3">
        <v>515.9</v>
      </c>
      <c r="U768" s="3"/>
      <c r="V768" s="3"/>
      <c r="AS768" s="22">
        <f t="shared" si="82"/>
        <v>515.9</v>
      </c>
      <c r="AT768" s="3">
        <v>332.64</v>
      </c>
      <c r="AU768" s="3">
        <v>36.96</v>
      </c>
      <c r="AV768" s="3">
        <v>124.3</v>
      </c>
      <c r="AW768" s="3">
        <v>22</v>
      </c>
      <c r="BD768" s="3"/>
      <c r="BE768" s="3"/>
      <c r="CE768" s="22">
        <f t="shared" si="83"/>
        <v>515.9</v>
      </c>
      <c r="CF768" s="3">
        <f t="shared" si="85"/>
        <v>0</v>
      </c>
      <c r="CG768" s="17">
        <f t="shared" si="84"/>
        <v>10313</v>
      </c>
      <c r="CH768" s="3" t="str">
        <f t="shared" si="84"/>
        <v>خ ت طب</v>
      </c>
    </row>
    <row r="769" spans="3:86" x14ac:dyDescent="0.25">
      <c r="C769" s="25">
        <v>17057</v>
      </c>
      <c r="D769" s="11">
        <v>10314</v>
      </c>
      <c r="E769" s="3" t="s">
        <v>130</v>
      </c>
      <c r="F769" s="3" t="s">
        <v>863</v>
      </c>
      <c r="G769" s="3"/>
      <c r="H769" s="3">
        <v>134.84</v>
      </c>
      <c r="U769" s="3"/>
      <c r="V769" s="3"/>
      <c r="AS769" s="22">
        <f t="shared" si="82"/>
        <v>134.84</v>
      </c>
      <c r="AT769" s="3">
        <v>82.02</v>
      </c>
      <c r="AU769" s="3">
        <v>14.58</v>
      </c>
      <c r="AV769" s="3">
        <v>32.49</v>
      </c>
      <c r="AW769" s="3">
        <v>5.75</v>
      </c>
      <c r="BD769" s="3"/>
      <c r="BE769" s="3"/>
      <c r="CE769" s="22">
        <f t="shared" si="83"/>
        <v>134.84</v>
      </c>
      <c r="CF769" s="3">
        <f t="shared" si="85"/>
        <v>0</v>
      </c>
      <c r="CG769" s="17">
        <f t="shared" si="84"/>
        <v>10314</v>
      </c>
      <c r="CH769" s="3" t="str">
        <f t="shared" si="84"/>
        <v>خ ت طب</v>
      </c>
    </row>
    <row r="770" spans="3:86" x14ac:dyDescent="0.25">
      <c r="C770" s="25">
        <v>17058</v>
      </c>
      <c r="D770" s="11">
        <v>10315</v>
      </c>
      <c r="E770" s="3" t="s">
        <v>130</v>
      </c>
      <c r="F770" s="3" t="s">
        <v>1026</v>
      </c>
      <c r="G770" s="3"/>
      <c r="H770" s="3">
        <v>158.29</v>
      </c>
      <c r="U770" s="3"/>
      <c r="V770" s="3"/>
      <c r="AS770" s="22">
        <f t="shared" si="82"/>
        <v>158.29</v>
      </c>
      <c r="AT770" s="3">
        <v>93.12</v>
      </c>
      <c r="AU770" s="3">
        <v>20.28</v>
      </c>
      <c r="AV770" s="3">
        <v>38.14</v>
      </c>
      <c r="AW770" s="3">
        <v>6.75</v>
      </c>
      <c r="BD770" s="3"/>
      <c r="BE770" s="3"/>
      <c r="CE770" s="22">
        <f t="shared" si="83"/>
        <v>158.29000000000002</v>
      </c>
      <c r="CF770" s="3">
        <f t="shared" si="85"/>
        <v>0</v>
      </c>
      <c r="CG770" s="17">
        <f t="shared" si="84"/>
        <v>10315</v>
      </c>
      <c r="CH770" s="3" t="str">
        <f t="shared" si="84"/>
        <v>خ ت طب</v>
      </c>
    </row>
    <row r="771" spans="3:86" x14ac:dyDescent="0.25">
      <c r="C771" s="25">
        <v>17060</v>
      </c>
      <c r="D771" s="11">
        <v>10316</v>
      </c>
      <c r="E771" s="3" t="s">
        <v>130</v>
      </c>
      <c r="F771" s="3" t="s">
        <v>857</v>
      </c>
      <c r="G771" s="3"/>
      <c r="H771" s="3">
        <v>361.2</v>
      </c>
      <c r="U771" s="3"/>
      <c r="V771" s="3"/>
      <c r="AS771" s="22">
        <f t="shared" si="82"/>
        <v>361.2</v>
      </c>
      <c r="AT771" s="3">
        <v>229.95</v>
      </c>
      <c r="AU771" s="3">
        <v>25.55</v>
      </c>
      <c r="AV771" s="3">
        <v>90.4</v>
      </c>
      <c r="AW771" s="3">
        <v>15.3</v>
      </c>
      <c r="BD771" s="3"/>
      <c r="BE771" s="3"/>
      <c r="CE771" s="22">
        <f t="shared" si="83"/>
        <v>361.2</v>
      </c>
      <c r="CF771" s="3">
        <f t="shared" si="85"/>
        <v>0</v>
      </c>
      <c r="CG771" s="17">
        <f t="shared" si="84"/>
        <v>10316</v>
      </c>
      <c r="CH771" s="3" t="str">
        <f t="shared" si="84"/>
        <v>خ ت طب</v>
      </c>
    </row>
    <row r="772" spans="3:86" x14ac:dyDescent="0.25">
      <c r="C772" s="25">
        <v>17061</v>
      </c>
      <c r="D772" s="11">
        <v>10317</v>
      </c>
      <c r="E772" s="3" t="s">
        <v>130</v>
      </c>
      <c r="F772" s="3" t="s">
        <v>492</v>
      </c>
      <c r="G772" s="3"/>
      <c r="H772" s="3">
        <v>87.94</v>
      </c>
      <c r="U772" s="3"/>
      <c r="V772" s="3"/>
      <c r="AS772" s="22">
        <f t="shared" si="82"/>
        <v>87.94</v>
      </c>
      <c r="AT772" s="3">
        <v>53.46</v>
      </c>
      <c r="AU772" s="3">
        <v>9.5399999999999991</v>
      </c>
      <c r="AV772" s="3">
        <v>21.19</v>
      </c>
      <c r="AW772" s="3">
        <v>3.75</v>
      </c>
      <c r="BD772" s="3"/>
      <c r="BE772" s="3"/>
      <c r="CE772" s="22">
        <f t="shared" si="83"/>
        <v>87.94</v>
      </c>
      <c r="CF772" s="3">
        <f t="shared" si="85"/>
        <v>0</v>
      </c>
      <c r="CG772" s="17">
        <f t="shared" si="84"/>
        <v>10317</v>
      </c>
      <c r="CH772" s="3" t="str">
        <f t="shared" si="84"/>
        <v>خ ت طب</v>
      </c>
    </row>
    <row r="773" spans="3:86" x14ac:dyDescent="0.25">
      <c r="C773" s="25">
        <v>17062</v>
      </c>
      <c r="D773" s="11">
        <v>10318</v>
      </c>
      <c r="E773" s="3" t="s">
        <v>130</v>
      </c>
      <c r="F773" s="3" t="s">
        <v>495</v>
      </c>
      <c r="G773" s="3"/>
      <c r="H773" s="3">
        <v>515.91</v>
      </c>
      <c r="U773" s="3"/>
      <c r="V773" s="3"/>
      <c r="AS773" s="22">
        <f t="shared" si="82"/>
        <v>515.91</v>
      </c>
      <c r="AT773" s="3">
        <v>310.83999999999997</v>
      </c>
      <c r="AU773" s="3">
        <v>58.76</v>
      </c>
      <c r="AV773" s="3">
        <v>124.31</v>
      </c>
      <c r="AW773" s="3">
        <v>22</v>
      </c>
      <c r="BD773" s="3"/>
      <c r="BE773" s="3"/>
      <c r="CE773" s="22">
        <f t="shared" si="83"/>
        <v>515.91</v>
      </c>
      <c r="CF773" s="3">
        <f t="shared" si="85"/>
        <v>0</v>
      </c>
      <c r="CG773" s="17">
        <f t="shared" si="84"/>
        <v>10318</v>
      </c>
      <c r="CH773" s="3" t="str">
        <f t="shared" si="84"/>
        <v>خ ت طب</v>
      </c>
    </row>
    <row r="774" spans="3:86" x14ac:dyDescent="0.25">
      <c r="C774" s="25">
        <v>17063</v>
      </c>
      <c r="D774" s="11">
        <v>10319</v>
      </c>
      <c r="E774" s="3" t="s">
        <v>130</v>
      </c>
      <c r="F774" s="3" t="s">
        <v>495</v>
      </c>
      <c r="G774" s="3"/>
      <c r="H774" s="3">
        <v>689.5</v>
      </c>
      <c r="U774" s="3"/>
      <c r="V774" s="3"/>
      <c r="AS774" s="22">
        <f t="shared" si="82"/>
        <v>689.5</v>
      </c>
      <c r="AT774" s="3">
        <v>441.63</v>
      </c>
      <c r="AU774" s="3">
        <v>49.07</v>
      </c>
      <c r="AV774" s="3">
        <v>169.5</v>
      </c>
      <c r="AW774" s="3">
        <v>29.3</v>
      </c>
      <c r="BD774" s="3"/>
      <c r="BE774" s="3"/>
      <c r="CE774" s="22">
        <f t="shared" si="83"/>
        <v>689.5</v>
      </c>
      <c r="CF774" s="3">
        <f t="shared" si="85"/>
        <v>0</v>
      </c>
      <c r="CG774" s="17">
        <f t="shared" si="84"/>
        <v>10319</v>
      </c>
      <c r="CH774" s="3" t="str">
        <f t="shared" si="84"/>
        <v>خ ت طب</v>
      </c>
    </row>
    <row r="775" spans="3:86" x14ac:dyDescent="0.25">
      <c r="C775" s="25">
        <v>17064</v>
      </c>
      <c r="D775" s="11">
        <v>10320</v>
      </c>
      <c r="E775" s="3" t="s">
        <v>130</v>
      </c>
      <c r="F775" s="3" t="s">
        <v>1027</v>
      </c>
      <c r="G775" s="3"/>
      <c r="H775" s="3">
        <v>175.86</v>
      </c>
      <c r="U775" s="3"/>
      <c r="V775" s="3"/>
      <c r="AS775" s="22">
        <f t="shared" si="82"/>
        <v>175.86</v>
      </c>
      <c r="AT775" s="3">
        <v>113.4</v>
      </c>
      <c r="AU775" s="3">
        <v>12.6</v>
      </c>
      <c r="AV775" s="3">
        <v>42.36</v>
      </c>
      <c r="AW775" s="3">
        <v>7.5</v>
      </c>
      <c r="BD775" s="3"/>
      <c r="BE775" s="3"/>
      <c r="CE775" s="22">
        <f t="shared" si="83"/>
        <v>175.86</v>
      </c>
      <c r="CF775" s="3">
        <f t="shared" si="85"/>
        <v>0</v>
      </c>
      <c r="CG775" s="17">
        <f t="shared" si="84"/>
        <v>10320</v>
      </c>
      <c r="CH775" s="3" t="str">
        <f t="shared" si="84"/>
        <v>خ ت طب</v>
      </c>
    </row>
    <row r="776" spans="3:86" x14ac:dyDescent="0.25">
      <c r="C776" s="25">
        <v>17065</v>
      </c>
      <c r="D776" s="11">
        <v>10321</v>
      </c>
      <c r="E776" s="3" t="s">
        <v>130</v>
      </c>
      <c r="F776" s="3" t="s">
        <v>1027</v>
      </c>
      <c r="G776" s="3"/>
      <c r="H776" s="3">
        <v>58.62</v>
      </c>
      <c r="U776" s="3"/>
      <c r="V776" s="3"/>
      <c r="AS776" s="22">
        <f t="shared" si="82"/>
        <v>58.62</v>
      </c>
      <c r="AT776" s="3">
        <v>33.6</v>
      </c>
      <c r="AU776" s="3">
        <v>8.4</v>
      </c>
      <c r="AV776" s="3">
        <v>14.12</v>
      </c>
      <c r="AW776" s="3">
        <v>2.5</v>
      </c>
      <c r="BD776" s="3"/>
      <c r="BE776" s="3"/>
      <c r="CE776" s="22">
        <f t="shared" si="83"/>
        <v>58.62</v>
      </c>
      <c r="CF776" s="3">
        <f t="shared" si="85"/>
        <v>0</v>
      </c>
      <c r="CG776" s="17">
        <f t="shared" si="84"/>
        <v>10321</v>
      </c>
      <c r="CH776" s="3" t="str">
        <f t="shared" si="84"/>
        <v>خ ت طب</v>
      </c>
    </row>
    <row r="777" spans="3:86" x14ac:dyDescent="0.25">
      <c r="C777" s="25">
        <v>17066</v>
      </c>
      <c r="D777" s="11">
        <v>10322</v>
      </c>
      <c r="E777" s="3" t="s">
        <v>130</v>
      </c>
      <c r="F777" s="3" t="s">
        <v>1027</v>
      </c>
      <c r="G777" s="3"/>
      <c r="H777" s="3">
        <v>820.68</v>
      </c>
      <c r="U777" s="3"/>
      <c r="V777" s="3"/>
      <c r="AS777" s="22">
        <f t="shared" si="82"/>
        <v>820.68</v>
      </c>
      <c r="AT777" s="3">
        <v>489.3</v>
      </c>
      <c r="AU777" s="3">
        <v>98.7</v>
      </c>
      <c r="AV777" s="3">
        <v>197.68</v>
      </c>
      <c r="AW777" s="3">
        <v>35</v>
      </c>
      <c r="BD777" s="3"/>
      <c r="BE777" s="3"/>
      <c r="CE777" s="22">
        <f t="shared" si="83"/>
        <v>820.68000000000006</v>
      </c>
      <c r="CF777" s="3">
        <f t="shared" si="85"/>
        <v>0</v>
      </c>
      <c r="CG777" s="17">
        <f t="shared" si="84"/>
        <v>10322</v>
      </c>
      <c r="CH777" s="3" t="str">
        <f t="shared" si="84"/>
        <v>خ ت طب</v>
      </c>
    </row>
    <row r="778" spans="3:86" x14ac:dyDescent="0.25">
      <c r="C778" s="25">
        <v>17067</v>
      </c>
      <c r="D778" s="11">
        <v>10323</v>
      </c>
      <c r="E778" s="3" t="s">
        <v>130</v>
      </c>
      <c r="F778" s="3" t="s">
        <v>1028</v>
      </c>
      <c r="G778" s="3"/>
      <c r="H778" s="3">
        <v>332.02</v>
      </c>
      <c r="U778" s="3"/>
      <c r="V778" s="3"/>
      <c r="AS778" s="22">
        <f t="shared" si="82"/>
        <v>332.02</v>
      </c>
      <c r="AT778" s="3">
        <v>209.54</v>
      </c>
      <c r="AU778" s="3">
        <v>23.28</v>
      </c>
      <c r="AV778" s="3">
        <v>85.2</v>
      </c>
      <c r="AW778" s="3">
        <v>14</v>
      </c>
      <c r="BD778" s="3"/>
      <c r="BE778" s="3"/>
      <c r="CE778" s="22">
        <f t="shared" si="83"/>
        <v>332.02</v>
      </c>
      <c r="CF778" s="3">
        <f t="shared" si="85"/>
        <v>0</v>
      </c>
      <c r="CG778" s="17">
        <f t="shared" si="84"/>
        <v>10323</v>
      </c>
      <c r="CH778" s="3" t="str">
        <f t="shared" si="84"/>
        <v>خ ت طب</v>
      </c>
    </row>
    <row r="779" spans="3:86" x14ac:dyDescent="0.25">
      <c r="C779" s="25">
        <v>17068</v>
      </c>
      <c r="D779" s="11">
        <v>10324</v>
      </c>
      <c r="E779" s="3" t="s">
        <v>130</v>
      </c>
      <c r="F779" s="3" t="s">
        <v>1029</v>
      </c>
      <c r="G779" s="3"/>
      <c r="H779" s="3">
        <v>140.69999999999999</v>
      </c>
      <c r="U779" s="3"/>
      <c r="V779" s="3"/>
      <c r="AS779" s="22">
        <f t="shared" si="82"/>
        <v>140.69999999999999</v>
      </c>
      <c r="AT779" s="3">
        <v>87.36</v>
      </c>
      <c r="AU779" s="3">
        <v>13.44</v>
      </c>
      <c r="AV779" s="3">
        <v>33.9</v>
      </c>
      <c r="AW779" s="3">
        <v>6</v>
      </c>
      <c r="BD779" s="3"/>
      <c r="BE779" s="3"/>
      <c r="CE779" s="22">
        <f t="shared" si="83"/>
        <v>140.69999999999999</v>
      </c>
      <c r="CF779" s="3">
        <f t="shared" si="85"/>
        <v>0</v>
      </c>
      <c r="CG779" s="17">
        <f t="shared" si="84"/>
        <v>10324</v>
      </c>
      <c r="CH779" s="3" t="str">
        <f t="shared" si="84"/>
        <v>خ ت طب</v>
      </c>
    </row>
    <row r="780" spans="3:86" x14ac:dyDescent="0.25">
      <c r="C780" s="25">
        <v>17069</v>
      </c>
      <c r="D780" s="11">
        <v>10325</v>
      </c>
      <c r="E780" s="3" t="s">
        <v>130</v>
      </c>
      <c r="F780" s="3" t="s">
        <v>1030</v>
      </c>
      <c r="G780" s="3"/>
      <c r="H780" s="3">
        <v>515.9</v>
      </c>
      <c r="U780" s="3"/>
      <c r="V780" s="3"/>
      <c r="AS780" s="22">
        <f t="shared" si="82"/>
        <v>515.9</v>
      </c>
      <c r="AT780" s="3">
        <v>332.64</v>
      </c>
      <c r="AU780" s="3">
        <v>36.96</v>
      </c>
      <c r="AV780" s="3">
        <v>124.3</v>
      </c>
      <c r="AW780" s="3">
        <v>22</v>
      </c>
      <c r="BD780" s="3"/>
      <c r="BE780" s="3"/>
      <c r="CE780" s="22">
        <f t="shared" si="83"/>
        <v>515.9</v>
      </c>
      <c r="CF780" s="3">
        <f t="shared" si="85"/>
        <v>0</v>
      </c>
      <c r="CG780" s="17">
        <f t="shared" si="84"/>
        <v>10325</v>
      </c>
      <c r="CH780" s="3" t="str">
        <f t="shared" si="84"/>
        <v>خ ت طب</v>
      </c>
    </row>
    <row r="781" spans="3:86" x14ac:dyDescent="0.25">
      <c r="C781" s="25">
        <v>17070</v>
      </c>
      <c r="D781" s="11">
        <v>10326</v>
      </c>
      <c r="E781" s="3" t="s">
        <v>130</v>
      </c>
      <c r="F781" s="3" t="s">
        <v>1030</v>
      </c>
      <c r="G781" s="3"/>
      <c r="H781" s="3">
        <v>445.56</v>
      </c>
      <c r="U781" s="3"/>
      <c r="V781" s="3"/>
      <c r="AS781" s="22">
        <f t="shared" si="82"/>
        <v>445.56</v>
      </c>
      <c r="AT781" s="3">
        <v>277.47000000000003</v>
      </c>
      <c r="AU781" s="3">
        <v>41.73</v>
      </c>
      <c r="AV781" s="3">
        <v>107.36</v>
      </c>
      <c r="AW781" s="3">
        <v>19</v>
      </c>
      <c r="BD781" s="3"/>
      <c r="BE781" s="3"/>
      <c r="CE781" s="22">
        <f t="shared" si="83"/>
        <v>445.56000000000006</v>
      </c>
      <c r="CF781" s="3">
        <f t="shared" si="85"/>
        <v>0</v>
      </c>
      <c r="CG781" s="17">
        <f t="shared" si="84"/>
        <v>10326</v>
      </c>
      <c r="CH781" s="3" t="str">
        <f t="shared" si="84"/>
        <v>خ ت طب</v>
      </c>
    </row>
    <row r="782" spans="3:86" x14ac:dyDescent="0.25">
      <c r="C782" s="25">
        <v>17071</v>
      </c>
      <c r="D782" s="11">
        <v>10327</v>
      </c>
      <c r="E782" s="3" t="s">
        <v>130</v>
      </c>
      <c r="F782" s="3" t="s">
        <v>485</v>
      </c>
      <c r="G782" s="3"/>
      <c r="H782" s="3">
        <v>46.9</v>
      </c>
      <c r="U782" s="3"/>
      <c r="V782" s="3"/>
      <c r="AS782" s="22">
        <f t="shared" si="82"/>
        <v>46.9</v>
      </c>
      <c r="AT782" s="3">
        <v>30.24</v>
      </c>
      <c r="AU782" s="3">
        <v>3.36</v>
      </c>
      <c r="AV782" s="3">
        <v>11.3</v>
      </c>
      <c r="AW782" s="3">
        <v>2</v>
      </c>
      <c r="BD782" s="3"/>
      <c r="BE782" s="3"/>
      <c r="CE782" s="22">
        <f t="shared" si="83"/>
        <v>46.900000000000006</v>
      </c>
      <c r="CF782" s="3">
        <f t="shared" si="85"/>
        <v>0</v>
      </c>
      <c r="CG782" s="17">
        <f t="shared" si="84"/>
        <v>10327</v>
      </c>
      <c r="CH782" s="3" t="str">
        <f t="shared" si="84"/>
        <v>خ ت طب</v>
      </c>
    </row>
    <row r="783" spans="3:86" x14ac:dyDescent="0.25">
      <c r="C783" s="25">
        <v>17072</v>
      </c>
      <c r="D783" s="11">
        <v>10328</v>
      </c>
      <c r="E783" s="3" t="s">
        <v>130</v>
      </c>
      <c r="F783" s="3" t="s">
        <v>485</v>
      </c>
      <c r="G783" s="3"/>
      <c r="H783" s="3">
        <v>164.15</v>
      </c>
      <c r="U783" s="3"/>
      <c r="V783" s="3"/>
      <c r="AS783" s="22">
        <f t="shared" si="82"/>
        <v>164.15</v>
      </c>
      <c r="AT783" s="3">
        <v>99.92</v>
      </c>
      <c r="AU783" s="3">
        <v>17.68</v>
      </c>
      <c r="AV783" s="3">
        <v>39.549999999999997</v>
      </c>
      <c r="AW783" s="3">
        <v>7</v>
      </c>
      <c r="BD783" s="3"/>
      <c r="BE783" s="3"/>
      <c r="CE783" s="22">
        <f t="shared" si="83"/>
        <v>164.14999999999998</v>
      </c>
      <c r="CF783" s="3">
        <f t="shared" si="85"/>
        <v>0</v>
      </c>
      <c r="CG783" s="17">
        <f t="shared" si="84"/>
        <v>10328</v>
      </c>
      <c r="CH783" s="3" t="str">
        <f t="shared" si="84"/>
        <v>خ ت طب</v>
      </c>
    </row>
    <row r="784" spans="3:86" x14ac:dyDescent="0.25">
      <c r="C784" s="25">
        <v>17073</v>
      </c>
      <c r="D784" s="11">
        <v>10329</v>
      </c>
      <c r="E784" s="3" t="s">
        <v>130</v>
      </c>
      <c r="F784" s="3" t="s">
        <v>867</v>
      </c>
      <c r="G784" s="3"/>
      <c r="H784" s="3">
        <v>2000</v>
      </c>
      <c r="U784" s="3"/>
      <c r="V784" s="3"/>
      <c r="AS784" s="22">
        <f t="shared" si="82"/>
        <v>2000</v>
      </c>
      <c r="AT784" s="3">
        <v>1686.7</v>
      </c>
      <c r="AU784" s="3">
        <v>213.3</v>
      </c>
      <c r="AW784" s="3">
        <v>100</v>
      </c>
      <c r="BD784" s="3"/>
      <c r="BE784" s="3"/>
      <c r="CE784" s="22">
        <f t="shared" si="83"/>
        <v>2000</v>
      </c>
      <c r="CF784" s="3">
        <f t="shared" si="85"/>
        <v>0</v>
      </c>
      <c r="CG784" s="17">
        <f t="shared" si="84"/>
        <v>10329</v>
      </c>
      <c r="CH784" s="3" t="str">
        <f t="shared" si="84"/>
        <v>خ ت طب</v>
      </c>
    </row>
    <row r="785" spans="2:86" x14ac:dyDescent="0.25">
      <c r="C785" s="25">
        <v>17074</v>
      </c>
      <c r="D785" s="11">
        <v>10330</v>
      </c>
      <c r="E785" s="3" t="s">
        <v>130</v>
      </c>
      <c r="F785" s="3" t="s">
        <v>858</v>
      </c>
      <c r="G785" s="3"/>
      <c r="H785" s="3">
        <v>187.6</v>
      </c>
      <c r="U785" s="3"/>
      <c r="V785" s="3"/>
      <c r="AS785" s="22">
        <f t="shared" si="82"/>
        <v>187.6</v>
      </c>
      <c r="AT785" s="3">
        <v>120.96</v>
      </c>
      <c r="AU785" s="3">
        <v>13.44</v>
      </c>
      <c r="AV785" s="3">
        <v>45.2</v>
      </c>
      <c r="AW785" s="3">
        <v>8</v>
      </c>
      <c r="BD785" s="3"/>
      <c r="BE785" s="3"/>
      <c r="CE785" s="22">
        <f t="shared" si="83"/>
        <v>187.60000000000002</v>
      </c>
      <c r="CF785" s="3">
        <f t="shared" si="85"/>
        <v>0</v>
      </c>
      <c r="CG785" s="17">
        <f t="shared" si="84"/>
        <v>10330</v>
      </c>
      <c r="CH785" s="3" t="str">
        <f t="shared" si="84"/>
        <v>خ ت طب</v>
      </c>
    </row>
    <row r="786" spans="2:86" x14ac:dyDescent="0.25">
      <c r="C786" s="25">
        <v>17075</v>
      </c>
      <c r="D786" s="11">
        <v>10331</v>
      </c>
      <c r="E786" s="3" t="s">
        <v>130</v>
      </c>
      <c r="F786" s="3" t="s">
        <v>858</v>
      </c>
      <c r="G786" s="3"/>
      <c r="H786" s="3">
        <v>140.69999999999999</v>
      </c>
      <c r="U786" s="3"/>
      <c r="V786" s="3"/>
      <c r="AS786" s="22">
        <f t="shared" si="82"/>
        <v>140.69999999999999</v>
      </c>
      <c r="AT786" s="3">
        <v>87.36</v>
      </c>
      <c r="AU786" s="3">
        <v>13.44</v>
      </c>
      <c r="AV786" s="3">
        <v>33.9</v>
      </c>
      <c r="AW786" s="3">
        <v>6</v>
      </c>
      <c r="BD786" s="3"/>
      <c r="BE786" s="3"/>
      <c r="CE786" s="22">
        <f t="shared" si="83"/>
        <v>140.69999999999999</v>
      </c>
      <c r="CF786" s="3">
        <f t="shared" si="85"/>
        <v>0</v>
      </c>
      <c r="CG786" s="17">
        <f t="shared" si="84"/>
        <v>10331</v>
      </c>
      <c r="CH786" s="3" t="str">
        <f t="shared" si="84"/>
        <v>خ ت طب</v>
      </c>
    </row>
    <row r="787" spans="2:86" x14ac:dyDescent="0.25">
      <c r="C787" s="25">
        <v>17076</v>
      </c>
      <c r="D787" s="11">
        <v>10332</v>
      </c>
      <c r="E787" s="3" t="s">
        <v>130</v>
      </c>
      <c r="F787" s="3" t="s">
        <v>1031</v>
      </c>
      <c r="G787" s="3"/>
      <c r="H787" s="3">
        <v>546.73</v>
      </c>
      <c r="U787" s="3"/>
      <c r="V787" s="3"/>
      <c r="AS787" s="22">
        <f t="shared" si="82"/>
        <v>546.73</v>
      </c>
      <c r="AT787" s="3">
        <v>351.62</v>
      </c>
      <c r="AU787" s="3">
        <v>40.07</v>
      </c>
      <c r="AV787" s="3">
        <v>131.72999999999999</v>
      </c>
      <c r="AW787" s="3">
        <v>23.31</v>
      </c>
      <c r="BD787" s="3"/>
      <c r="BE787" s="3"/>
      <c r="CE787" s="22">
        <f t="shared" si="83"/>
        <v>546.7299999999999</v>
      </c>
      <c r="CF787" s="3">
        <f t="shared" si="85"/>
        <v>0</v>
      </c>
      <c r="CG787" s="17">
        <f t="shared" si="84"/>
        <v>10332</v>
      </c>
      <c r="CH787" s="3" t="str">
        <f t="shared" si="84"/>
        <v>خ ت طب</v>
      </c>
    </row>
    <row r="788" spans="2:86" x14ac:dyDescent="0.25">
      <c r="C788" s="25">
        <v>17077</v>
      </c>
      <c r="D788" s="11">
        <v>10333</v>
      </c>
      <c r="E788" s="3" t="s">
        <v>130</v>
      </c>
      <c r="F788" s="3" t="s">
        <v>1031</v>
      </c>
      <c r="G788" s="3"/>
      <c r="H788" s="3">
        <v>1088.8599999999999</v>
      </c>
      <c r="U788" s="3"/>
      <c r="V788" s="3"/>
      <c r="AS788" s="22">
        <f t="shared" si="82"/>
        <v>1088.8599999999999</v>
      </c>
      <c r="AT788" s="3">
        <v>666.13</v>
      </c>
      <c r="AU788" s="3">
        <v>113.96</v>
      </c>
      <c r="AV788" s="3">
        <v>262.33</v>
      </c>
      <c r="AW788" s="3">
        <v>46.44</v>
      </c>
      <c r="BD788" s="3"/>
      <c r="BE788" s="3"/>
      <c r="CE788" s="22">
        <f t="shared" si="83"/>
        <v>1088.8600000000001</v>
      </c>
      <c r="CF788" s="3">
        <f t="shared" si="85"/>
        <v>0</v>
      </c>
      <c r="CG788" s="17">
        <f t="shared" si="84"/>
        <v>10333</v>
      </c>
      <c r="CH788" s="3" t="str">
        <f t="shared" si="84"/>
        <v>خ ت طب</v>
      </c>
    </row>
    <row r="789" spans="2:86" x14ac:dyDescent="0.25">
      <c r="C789" s="25">
        <v>17079</v>
      </c>
      <c r="D789" s="11">
        <v>10334</v>
      </c>
      <c r="E789" s="3" t="s">
        <v>130</v>
      </c>
      <c r="F789" s="3" t="s">
        <v>490</v>
      </c>
      <c r="G789" s="3"/>
      <c r="H789" s="3">
        <v>93.8</v>
      </c>
      <c r="U789" s="3"/>
      <c r="V789" s="3"/>
      <c r="AS789" s="22">
        <f t="shared" si="82"/>
        <v>93.8</v>
      </c>
      <c r="AT789" s="3">
        <v>57.12</v>
      </c>
      <c r="AU789" s="3">
        <v>10.08</v>
      </c>
      <c r="AV789" s="3">
        <v>22.6</v>
      </c>
      <c r="AW789" s="3">
        <v>4</v>
      </c>
      <c r="BD789" s="3"/>
      <c r="BE789" s="3"/>
      <c r="CE789" s="22">
        <f t="shared" si="83"/>
        <v>93.800000000000011</v>
      </c>
      <c r="CF789" s="3">
        <f t="shared" si="85"/>
        <v>0</v>
      </c>
      <c r="CG789" s="17">
        <f t="shared" si="84"/>
        <v>10334</v>
      </c>
      <c r="CH789" s="3" t="str">
        <f t="shared" si="84"/>
        <v>خ ت طب</v>
      </c>
    </row>
    <row r="790" spans="2:86" x14ac:dyDescent="0.25">
      <c r="C790" s="25">
        <v>17078</v>
      </c>
      <c r="D790" s="11">
        <v>10335</v>
      </c>
      <c r="E790" s="3" t="s">
        <v>130</v>
      </c>
      <c r="F790" s="3" t="s">
        <v>1032</v>
      </c>
      <c r="G790" s="3"/>
      <c r="H790" s="3">
        <v>20000</v>
      </c>
      <c r="U790" s="3"/>
      <c r="V790" s="3"/>
      <c r="AS790" s="22">
        <f t="shared" si="82"/>
        <v>20000</v>
      </c>
      <c r="AT790" s="3">
        <v>15072.96</v>
      </c>
      <c r="AU790" s="3">
        <v>3927.04</v>
      </c>
      <c r="AW790" s="3">
        <v>1000</v>
      </c>
      <c r="BD790" s="3"/>
      <c r="BE790" s="3"/>
      <c r="CE790" s="22">
        <f t="shared" si="83"/>
        <v>20000</v>
      </c>
      <c r="CF790" s="3">
        <f t="shared" si="85"/>
        <v>0</v>
      </c>
      <c r="CG790" s="17">
        <f t="shared" si="84"/>
        <v>10335</v>
      </c>
      <c r="CH790" s="3" t="str">
        <f t="shared" si="84"/>
        <v>خ ت طب</v>
      </c>
    </row>
    <row r="791" spans="2:86" x14ac:dyDescent="0.25">
      <c r="C791" s="25">
        <v>17059</v>
      </c>
      <c r="D791" s="11">
        <v>10336</v>
      </c>
      <c r="E791" s="3" t="s">
        <v>130</v>
      </c>
      <c r="F791" s="3" t="s">
        <v>1033</v>
      </c>
      <c r="G791" s="3"/>
      <c r="H791" s="3">
        <v>187.6</v>
      </c>
      <c r="U791" s="3"/>
      <c r="V791" s="3"/>
      <c r="AS791" s="22">
        <f t="shared" si="82"/>
        <v>187.6</v>
      </c>
      <c r="AT791" s="3">
        <v>121.76</v>
      </c>
      <c r="AU791" s="3">
        <v>12.64</v>
      </c>
      <c r="AV791" s="3">
        <v>45.2</v>
      </c>
      <c r="AW791" s="3">
        <v>8</v>
      </c>
      <c r="BD791" s="3"/>
      <c r="BE791" s="3"/>
      <c r="CE791" s="22">
        <f t="shared" si="83"/>
        <v>187.60000000000002</v>
      </c>
      <c r="CF791" s="3">
        <f t="shared" si="85"/>
        <v>0</v>
      </c>
      <c r="CG791" s="17">
        <f t="shared" si="84"/>
        <v>10336</v>
      </c>
      <c r="CH791" s="3" t="str">
        <f t="shared" si="84"/>
        <v>خ ت طب</v>
      </c>
    </row>
    <row r="792" spans="2:86" x14ac:dyDescent="0.25">
      <c r="C792" s="25">
        <v>17536</v>
      </c>
      <c r="D792" s="11">
        <v>10337</v>
      </c>
      <c r="E792" s="3" t="s">
        <v>121</v>
      </c>
      <c r="F792" s="3" t="s">
        <v>1034</v>
      </c>
      <c r="G792" s="3"/>
      <c r="H792" s="3">
        <v>3500</v>
      </c>
      <c r="U792" s="3"/>
      <c r="V792" s="3"/>
      <c r="AS792" s="22">
        <f t="shared" si="82"/>
        <v>3500</v>
      </c>
      <c r="AT792" s="3">
        <v>3129.35</v>
      </c>
      <c r="AU792" s="3">
        <v>370.65</v>
      </c>
      <c r="BD792" s="3"/>
      <c r="BE792" s="3"/>
      <c r="CE792" s="22">
        <f t="shared" si="83"/>
        <v>3500</v>
      </c>
      <c r="CF792" s="3">
        <f t="shared" si="85"/>
        <v>0</v>
      </c>
      <c r="CG792" s="17">
        <f t="shared" si="84"/>
        <v>10337</v>
      </c>
      <c r="CH792" s="3" t="str">
        <f t="shared" si="84"/>
        <v>ماليزى اسنان</v>
      </c>
    </row>
    <row r="793" spans="2:86" x14ac:dyDescent="0.25">
      <c r="C793" s="25">
        <v>17535</v>
      </c>
      <c r="D793" s="11">
        <v>10338</v>
      </c>
      <c r="E793" s="3" t="s">
        <v>121</v>
      </c>
      <c r="F793" s="3" t="s">
        <v>1034</v>
      </c>
      <c r="G793" s="3"/>
      <c r="H793" s="3">
        <v>1000</v>
      </c>
      <c r="U793" s="3"/>
      <c r="V793" s="3"/>
      <c r="AS793" s="22">
        <f t="shared" si="82"/>
        <v>1000</v>
      </c>
      <c r="AT793" s="3">
        <v>894.1</v>
      </c>
      <c r="AU793" s="3">
        <v>105.9</v>
      </c>
      <c r="BD793" s="3"/>
      <c r="BE793" s="3"/>
      <c r="CE793" s="22">
        <f t="shared" si="83"/>
        <v>1000</v>
      </c>
      <c r="CF793" s="3">
        <f t="shared" si="85"/>
        <v>0</v>
      </c>
      <c r="CG793" s="17">
        <f t="shared" si="84"/>
        <v>10338</v>
      </c>
      <c r="CH793" s="3" t="str">
        <f t="shared" si="84"/>
        <v>ماليزى اسنان</v>
      </c>
    </row>
    <row r="794" spans="2:86" x14ac:dyDescent="0.25">
      <c r="C794" s="25">
        <v>17491</v>
      </c>
      <c r="D794" s="11">
        <v>10339</v>
      </c>
      <c r="E794" s="3" t="s">
        <v>121</v>
      </c>
      <c r="F794" s="3" t="s">
        <v>1035</v>
      </c>
      <c r="G794" s="3"/>
      <c r="H794" s="3">
        <v>5220</v>
      </c>
      <c r="U794" s="3"/>
      <c r="V794" s="3"/>
      <c r="AS794" s="22">
        <f t="shared" si="82"/>
        <v>5220</v>
      </c>
      <c r="AT794" s="3">
        <v>4659.55</v>
      </c>
      <c r="AU794" s="3">
        <v>560.45000000000005</v>
      </c>
      <c r="BD794" s="3"/>
      <c r="BE794" s="3"/>
      <c r="CE794" s="22">
        <f t="shared" si="83"/>
        <v>5220</v>
      </c>
      <c r="CF794" s="3">
        <f t="shared" si="85"/>
        <v>0</v>
      </c>
      <c r="CG794" s="17">
        <f t="shared" si="84"/>
        <v>10339</v>
      </c>
      <c r="CH794" s="3" t="str">
        <f t="shared" si="84"/>
        <v>ماليزى اسنان</v>
      </c>
    </row>
    <row r="795" spans="2:86" x14ac:dyDescent="0.25">
      <c r="B795" s="3"/>
      <c r="C795" s="25">
        <v>17523</v>
      </c>
      <c r="D795" s="11">
        <v>10340</v>
      </c>
      <c r="E795" s="3" t="s">
        <v>121</v>
      </c>
      <c r="F795" s="3" t="s">
        <v>1035</v>
      </c>
      <c r="G795" s="3"/>
      <c r="H795" s="3">
        <v>9300</v>
      </c>
      <c r="U795" s="3"/>
      <c r="V795" s="3"/>
      <c r="AS795" s="22">
        <f t="shared" si="82"/>
        <v>9300</v>
      </c>
      <c r="AT795" s="3">
        <v>8301.65</v>
      </c>
      <c r="AU795" s="3">
        <v>998.35</v>
      </c>
      <c r="BD795" s="3"/>
      <c r="BE795" s="3"/>
      <c r="CE795" s="22">
        <f t="shared" si="83"/>
        <v>9300</v>
      </c>
      <c r="CF795" s="3">
        <f t="shared" si="85"/>
        <v>0</v>
      </c>
      <c r="CG795" s="17">
        <f t="shared" si="84"/>
        <v>10340</v>
      </c>
      <c r="CH795" s="3" t="str">
        <f t="shared" si="84"/>
        <v>ماليزى اسنان</v>
      </c>
    </row>
    <row r="796" spans="2:86" x14ac:dyDescent="0.25">
      <c r="B796" s="3"/>
      <c r="C796" s="25">
        <v>17497</v>
      </c>
      <c r="D796" s="11">
        <v>10341</v>
      </c>
      <c r="E796" s="3" t="s">
        <v>121</v>
      </c>
      <c r="F796" s="3" t="s">
        <v>1036</v>
      </c>
      <c r="G796" s="3"/>
      <c r="H796" s="3">
        <v>2110.5</v>
      </c>
      <c r="U796" s="3"/>
      <c r="V796" s="3"/>
      <c r="AS796" s="22">
        <f t="shared" si="82"/>
        <v>2110.5</v>
      </c>
      <c r="AT796" s="3">
        <v>1410.35</v>
      </c>
      <c r="AU796" s="3">
        <v>191.65</v>
      </c>
      <c r="AV796" s="3">
        <v>508.5</v>
      </c>
      <c r="BD796" s="3"/>
      <c r="BE796" s="3"/>
      <c r="CE796" s="22">
        <f t="shared" si="83"/>
        <v>2110.5</v>
      </c>
      <c r="CF796" s="3">
        <f t="shared" si="85"/>
        <v>0</v>
      </c>
      <c r="CG796" s="17">
        <f t="shared" si="84"/>
        <v>10341</v>
      </c>
      <c r="CH796" s="3" t="str">
        <f t="shared" si="84"/>
        <v>ماليزى اسنان</v>
      </c>
    </row>
    <row r="797" spans="2:86" x14ac:dyDescent="0.25">
      <c r="C797" s="25">
        <v>17501</v>
      </c>
      <c r="D797" s="11">
        <v>10342</v>
      </c>
      <c r="E797" s="3" t="s">
        <v>121</v>
      </c>
      <c r="F797" s="3" t="s">
        <v>1036</v>
      </c>
      <c r="G797" s="3"/>
      <c r="H797" s="3">
        <v>16821</v>
      </c>
      <c r="U797" s="3"/>
      <c r="V797" s="3"/>
      <c r="AS797" s="22">
        <f t="shared" si="82"/>
        <v>16821</v>
      </c>
      <c r="AT797" s="3">
        <v>14068.3</v>
      </c>
      <c r="AU797" s="3">
        <v>1735.7</v>
      </c>
      <c r="AV797" s="3">
        <v>1017</v>
      </c>
      <c r="BD797" s="3"/>
      <c r="BE797" s="3"/>
      <c r="CE797" s="22">
        <f t="shared" si="83"/>
        <v>16821</v>
      </c>
      <c r="CF797" s="3">
        <f t="shared" si="85"/>
        <v>0</v>
      </c>
      <c r="CG797" s="17">
        <f t="shared" si="84"/>
        <v>10342</v>
      </c>
      <c r="CH797" s="3" t="str">
        <f t="shared" si="84"/>
        <v>ماليزى اسنان</v>
      </c>
    </row>
    <row r="798" spans="2:86" x14ac:dyDescent="0.25">
      <c r="B798" s="3"/>
      <c r="C798" s="25">
        <v>17500</v>
      </c>
      <c r="D798" s="11">
        <v>10343</v>
      </c>
      <c r="E798" s="3" t="s">
        <v>121</v>
      </c>
      <c r="F798" s="3" t="s">
        <v>1036</v>
      </c>
      <c r="G798" s="3"/>
      <c r="H798" s="3">
        <v>2696.75</v>
      </c>
      <c r="U798" s="3"/>
      <c r="V798" s="3"/>
      <c r="AS798" s="22">
        <f t="shared" si="82"/>
        <v>2696.75</v>
      </c>
      <c r="AT798" s="3">
        <v>1802</v>
      </c>
      <c r="AU798" s="3">
        <v>245</v>
      </c>
      <c r="AV798" s="3">
        <v>649.75</v>
      </c>
      <c r="BD798" s="3"/>
      <c r="BE798" s="3"/>
      <c r="CE798" s="22">
        <f t="shared" si="83"/>
        <v>2696.75</v>
      </c>
      <c r="CF798" s="3">
        <f t="shared" si="85"/>
        <v>0</v>
      </c>
      <c r="CG798" s="17">
        <f t="shared" si="84"/>
        <v>10343</v>
      </c>
      <c r="CH798" s="3" t="str">
        <f t="shared" si="84"/>
        <v>ماليزى اسنان</v>
      </c>
    </row>
    <row r="799" spans="2:86" x14ac:dyDescent="0.25">
      <c r="C799" s="25">
        <v>17507</v>
      </c>
      <c r="D799" s="11">
        <v>10344</v>
      </c>
      <c r="E799" s="3" t="s">
        <v>121</v>
      </c>
      <c r="F799" s="3" t="s">
        <v>1037</v>
      </c>
      <c r="G799" s="3"/>
      <c r="H799" s="3">
        <v>7583.43</v>
      </c>
      <c r="U799" s="3"/>
      <c r="V799" s="3"/>
      <c r="AS799" s="22">
        <f t="shared" si="82"/>
        <v>7583.43</v>
      </c>
      <c r="AT799" s="3">
        <v>5878.96</v>
      </c>
      <c r="AU799" s="3">
        <v>749</v>
      </c>
      <c r="AV799" s="3">
        <v>955.47</v>
      </c>
      <c r="BD799" s="3"/>
      <c r="BE799" s="3"/>
      <c r="CE799" s="22">
        <f t="shared" si="83"/>
        <v>7583.43</v>
      </c>
      <c r="CF799" s="3">
        <f t="shared" si="85"/>
        <v>0</v>
      </c>
      <c r="CG799" s="17">
        <f t="shared" si="84"/>
        <v>10344</v>
      </c>
      <c r="CH799" s="3" t="str">
        <f t="shared" si="84"/>
        <v>ماليزى اسنان</v>
      </c>
    </row>
    <row r="800" spans="2:86" x14ac:dyDescent="0.25">
      <c r="C800" s="25">
        <v>17508</v>
      </c>
      <c r="D800" s="11">
        <v>10345</v>
      </c>
      <c r="E800" s="3" t="s">
        <v>121</v>
      </c>
      <c r="F800" s="3" t="s">
        <v>1037</v>
      </c>
      <c r="G800" s="3"/>
      <c r="H800" s="3">
        <v>8083.84</v>
      </c>
      <c r="U800" s="3"/>
      <c r="V800" s="3"/>
      <c r="AS800" s="22">
        <f t="shared" si="82"/>
        <v>8083.84</v>
      </c>
      <c r="AT800" s="3">
        <v>5562.26</v>
      </c>
      <c r="AU800" s="3">
        <v>746.6</v>
      </c>
      <c r="AV800" s="3">
        <v>1774.98</v>
      </c>
      <c r="BD800" s="3"/>
      <c r="BE800" s="3"/>
      <c r="CE800" s="22">
        <f t="shared" si="83"/>
        <v>8083.84</v>
      </c>
      <c r="CF800" s="3">
        <f t="shared" si="85"/>
        <v>0</v>
      </c>
      <c r="CG800" s="17">
        <f t="shared" si="84"/>
        <v>10345</v>
      </c>
      <c r="CH800" s="3" t="str">
        <f t="shared" si="84"/>
        <v>ماليزى اسنان</v>
      </c>
    </row>
    <row r="801" spans="3:86" x14ac:dyDescent="0.25">
      <c r="C801" s="25">
        <v>17531</v>
      </c>
      <c r="D801" s="11">
        <v>10346</v>
      </c>
      <c r="E801" s="3" t="s">
        <v>121</v>
      </c>
      <c r="F801" s="3" t="s">
        <v>1038</v>
      </c>
      <c r="G801" s="3"/>
      <c r="H801" s="3">
        <v>6250</v>
      </c>
      <c r="U801" s="3"/>
      <c r="V801" s="3"/>
      <c r="AS801" s="22">
        <f t="shared" si="82"/>
        <v>6250</v>
      </c>
      <c r="AT801" s="3">
        <v>5578.85</v>
      </c>
      <c r="AU801" s="3">
        <v>671.15</v>
      </c>
      <c r="BD801" s="3"/>
      <c r="BE801" s="3"/>
      <c r="CE801" s="22">
        <f t="shared" si="83"/>
        <v>6250</v>
      </c>
      <c r="CF801" s="3">
        <f t="shared" si="85"/>
        <v>0</v>
      </c>
      <c r="CG801" s="17">
        <f t="shared" si="84"/>
        <v>10346</v>
      </c>
      <c r="CH801" s="3" t="str">
        <f t="shared" si="84"/>
        <v>ماليزى اسنان</v>
      </c>
    </row>
    <row r="802" spans="3:86" x14ac:dyDescent="0.25">
      <c r="C802" s="25">
        <v>17534</v>
      </c>
      <c r="D802" s="11">
        <v>10347</v>
      </c>
      <c r="E802" s="3" t="s">
        <v>121</v>
      </c>
      <c r="F802" s="3" t="s">
        <v>1038</v>
      </c>
      <c r="G802" s="3"/>
      <c r="H802" s="3">
        <v>9000</v>
      </c>
      <c r="U802" s="3"/>
      <c r="V802" s="3"/>
      <c r="AS802" s="22">
        <f t="shared" si="82"/>
        <v>9000</v>
      </c>
      <c r="AT802" s="3">
        <v>8033.55</v>
      </c>
      <c r="AU802" s="3">
        <v>966.45</v>
      </c>
      <c r="BD802" s="3"/>
      <c r="BE802" s="3"/>
      <c r="CE802" s="22">
        <f t="shared" si="83"/>
        <v>9000</v>
      </c>
      <c r="CF802" s="3">
        <f t="shared" si="85"/>
        <v>0</v>
      </c>
      <c r="CG802" s="17">
        <f t="shared" si="84"/>
        <v>10347</v>
      </c>
      <c r="CH802" s="3" t="str">
        <f t="shared" si="84"/>
        <v>ماليزى اسنان</v>
      </c>
    </row>
    <row r="803" spans="3:86" x14ac:dyDescent="0.25">
      <c r="C803" s="25">
        <v>17545</v>
      </c>
      <c r="D803" s="11">
        <v>10348</v>
      </c>
      <c r="E803" s="3" t="s">
        <v>121</v>
      </c>
      <c r="F803" s="3" t="s">
        <v>1039</v>
      </c>
      <c r="G803" s="3"/>
      <c r="H803" s="3">
        <v>4860</v>
      </c>
      <c r="U803" s="3"/>
      <c r="V803" s="3"/>
      <c r="AS803" s="22">
        <f t="shared" si="82"/>
        <v>4860</v>
      </c>
      <c r="AT803" s="3">
        <v>4338.25</v>
      </c>
      <c r="AU803" s="3">
        <v>521.75</v>
      </c>
      <c r="BD803" s="3"/>
      <c r="BE803" s="3"/>
      <c r="CE803" s="22">
        <f t="shared" si="83"/>
        <v>4860</v>
      </c>
      <c r="CF803" s="3">
        <f t="shared" si="85"/>
        <v>0</v>
      </c>
      <c r="CG803" s="17">
        <f t="shared" si="84"/>
        <v>10348</v>
      </c>
      <c r="CH803" s="3" t="str">
        <f t="shared" si="84"/>
        <v>ماليزى اسنان</v>
      </c>
    </row>
    <row r="804" spans="3:86" x14ac:dyDescent="0.25">
      <c r="C804" s="25">
        <v>17546</v>
      </c>
      <c r="D804" s="11">
        <v>10349</v>
      </c>
      <c r="E804" s="3" t="s">
        <v>121</v>
      </c>
      <c r="F804" s="3" t="s">
        <v>1039</v>
      </c>
      <c r="G804" s="3"/>
      <c r="H804" s="3">
        <v>9840</v>
      </c>
      <c r="U804" s="3"/>
      <c r="V804" s="3"/>
      <c r="AS804" s="22">
        <f t="shared" si="82"/>
        <v>9840</v>
      </c>
      <c r="AT804" s="3">
        <v>8783.6</v>
      </c>
      <c r="AU804" s="3">
        <v>1056.4000000000001</v>
      </c>
      <c r="BD804" s="3"/>
      <c r="BE804" s="3"/>
      <c r="CE804" s="22">
        <f t="shared" si="83"/>
        <v>9840</v>
      </c>
      <c r="CF804" s="3">
        <f t="shared" si="85"/>
        <v>0</v>
      </c>
      <c r="CG804" s="17">
        <f t="shared" si="84"/>
        <v>10349</v>
      </c>
      <c r="CH804" s="3" t="str">
        <f t="shared" si="84"/>
        <v>ماليزى اسنان</v>
      </c>
    </row>
    <row r="805" spans="3:86" x14ac:dyDescent="0.25">
      <c r="C805" s="25">
        <v>17502</v>
      </c>
      <c r="D805" s="11">
        <v>10350</v>
      </c>
      <c r="E805" s="3" t="s">
        <v>121</v>
      </c>
      <c r="F805" s="3" t="s">
        <v>1040</v>
      </c>
      <c r="G805" s="3"/>
      <c r="H805" s="3">
        <v>16895.759999999998</v>
      </c>
      <c r="U805" s="3"/>
      <c r="V805" s="3"/>
      <c r="AS805" s="22">
        <f t="shared" si="82"/>
        <v>16895.759999999998</v>
      </c>
      <c r="AT805" s="3">
        <v>14636.14</v>
      </c>
      <c r="AU805" s="3">
        <v>1775.25</v>
      </c>
      <c r="AV805" s="3">
        <v>484.37</v>
      </c>
      <c r="BD805" s="3"/>
      <c r="BE805" s="3"/>
      <c r="CE805" s="22">
        <f t="shared" si="83"/>
        <v>16895.759999999998</v>
      </c>
      <c r="CF805" s="3">
        <f t="shared" si="85"/>
        <v>0</v>
      </c>
      <c r="CG805" s="17">
        <f t="shared" si="84"/>
        <v>10350</v>
      </c>
      <c r="CH805" s="3" t="str">
        <f t="shared" si="84"/>
        <v>ماليزى اسنان</v>
      </c>
    </row>
    <row r="806" spans="3:86" x14ac:dyDescent="0.25">
      <c r="C806" s="25">
        <v>17542</v>
      </c>
      <c r="D806" s="11">
        <v>10351</v>
      </c>
      <c r="E806" s="3" t="s">
        <v>121</v>
      </c>
      <c r="F806" s="3" t="s">
        <v>1041</v>
      </c>
      <c r="G806" s="3"/>
      <c r="H806" s="3">
        <v>3750</v>
      </c>
      <c r="U806" s="3"/>
      <c r="V806" s="3"/>
      <c r="AS806" s="22">
        <f t="shared" si="82"/>
        <v>3750</v>
      </c>
      <c r="AT806" s="3">
        <v>3347.25</v>
      </c>
      <c r="AU806" s="3">
        <v>402.75</v>
      </c>
      <c r="BD806" s="3"/>
      <c r="BE806" s="3"/>
      <c r="CE806" s="22">
        <f t="shared" si="83"/>
        <v>3750</v>
      </c>
      <c r="CF806" s="3">
        <f t="shared" si="85"/>
        <v>0</v>
      </c>
      <c r="CG806" s="17">
        <f t="shared" si="84"/>
        <v>10351</v>
      </c>
      <c r="CH806" s="3" t="str">
        <f t="shared" si="84"/>
        <v>ماليزى اسنان</v>
      </c>
    </row>
    <row r="807" spans="3:86" x14ac:dyDescent="0.25">
      <c r="C807" s="25">
        <v>17498</v>
      </c>
      <c r="D807" s="11">
        <v>10352</v>
      </c>
      <c r="E807" s="3" t="s">
        <v>121</v>
      </c>
      <c r="F807" s="3" t="s">
        <v>1042</v>
      </c>
      <c r="G807" s="3"/>
      <c r="H807" s="3">
        <v>32530.1</v>
      </c>
      <c r="U807" s="3"/>
      <c r="V807" s="3"/>
      <c r="AS807" s="22">
        <f t="shared" si="82"/>
        <v>32530.1</v>
      </c>
      <c r="AT807" s="3">
        <v>27927.84</v>
      </c>
      <c r="AU807" s="3">
        <v>3406.6</v>
      </c>
      <c r="AV807" s="3">
        <v>1195.6600000000001</v>
      </c>
      <c r="BD807" s="3"/>
      <c r="BE807" s="3"/>
      <c r="CE807" s="22">
        <f t="shared" si="83"/>
        <v>32530.1</v>
      </c>
      <c r="CF807" s="3">
        <f t="shared" si="85"/>
        <v>0</v>
      </c>
      <c r="CG807" s="17">
        <f t="shared" si="84"/>
        <v>10352</v>
      </c>
      <c r="CH807" s="3" t="str">
        <f t="shared" si="84"/>
        <v>ماليزى اسنان</v>
      </c>
    </row>
    <row r="808" spans="3:86" x14ac:dyDescent="0.25">
      <c r="C808" s="25">
        <v>17492</v>
      </c>
      <c r="D808" s="11">
        <v>10353</v>
      </c>
      <c r="E808" s="3" t="s">
        <v>121</v>
      </c>
      <c r="F808" s="3" t="s">
        <v>1043</v>
      </c>
      <c r="G808" s="3"/>
      <c r="H808" s="3">
        <v>3658.19</v>
      </c>
      <c r="U808" s="3"/>
      <c r="V808" s="3"/>
      <c r="AS808" s="22">
        <f t="shared" si="82"/>
        <v>3658.19</v>
      </c>
      <c r="AT808" s="3">
        <v>2448.85</v>
      </c>
      <c r="AU808" s="3">
        <v>327.95</v>
      </c>
      <c r="AV808" s="3">
        <v>881.39</v>
      </c>
      <c r="BD808" s="3"/>
      <c r="BE808" s="3"/>
      <c r="CE808" s="22">
        <f t="shared" si="83"/>
        <v>3658.1899999999996</v>
      </c>
      <c r="CF808" s="3">
        <f t="shared" si="85"/>
        <v>0</v>
      </c>
      <c r="CG808" s="17">
        <f t="shared" si="84"/>
        <v>10353</v>
      </c>
      <c r="CH808" s="3" t="str">
        <f t="shared" si="84"/>
        <v>ماليزى اسنان</v>
      </c>
    </row>
    <row r="809" spans="3:86" x14ac:dyDescent="0.25">
      <c r="C809" s="25">
        <v>17493</v>
      </c>
      <c r="D809" s="11">
        <v>10354</v>
      </c>
      <c r="E809" s="3" t="s">
        <v>121</v>
      </c>
      <c r="F809" s="3" t="s">
        <v>1044</v>
      </c>
      <c r="G809" s="3"/>
      <c r="H809" s="3">
        <v>3517.5</v>
      </c>
      <c r="U809" s="3"/>
      <c r="V809" s="3"/>
      <c r="AS809" s="22">
        <f t="shared" si="82"/>
        <v>3517.5</v>
      </c>
      <c r="AT809" s="3">
        <v>2350.6999999999998</v>
      </c>
      <c r="AU809" s="3">
        <v>319.3</v>
      </c>
      <c r="AV809" s="3">
        <v>847.5</v>
      </c>
      <c r="BD809" s="3"/>
      <c r="BE809" s="3"/>
      <c r="CE809" s="22">
        <f t="shared" si="83"/>
        <v>3517.5</v>
      </c>
      <c r="CF809" s="3">
        <f t="shared" si="85"/>
        <v>0</v>
      </c>
      <c r="CG809" s="17">
        <f t="shared" si="84"/>
        <v>10354</v>
      </c>
      <c r="CH809" s="3" t="str">
        <f t="shared" si="84"/>
        <v>ماليزى اسنان</v>
      </c>
    </row>
    <row r="810" spans="3:86" x14ac:dyDescent="0.25">
      <c r="C810" s="25">
        <v>17495</v>
      </c>
      <c r="D810" s="11">
        <v>10355</v>
      </c>
      <c r="E810" s="3" t="s">
        <v>121</v>
      </c>
      <c r="F810" s="3" t="s">
        <v>1045</v>
      </c>
      <c r="G810" s="3"/>
      <c r="H810" s="3">
        <v>6683.25</v>
      </c>
      <c r="U810" s="3"/>
      <c r="V810" s="3"/>
      <c r="AS810" s="22">
        <f t="shared" si="82"/>
        <v>6683.25</v>
      </c>
      <c r="AT810" s="3">
        <v>4466</v>
      </c>
      <c r="AU810" s="3">
        <v>607</v>
      </c>
      <c r="AV810" s="3">
        <v>1610.25</v>
      </c>
      <c r="BD810" s="3"/>
      <c r="BE810" s="3"/>
      <c r="CE810" s="22">
        <f t="shared" si="83"/>
        <v>6683.25</v>
      </c>
      <c r="CF810" s="3">
        <f t="shared" si="85"/>
        <v>0</v>
      </c>
      <c r="CG810" s="17">
        <f t="shared" si="84"/>
        <v>10355</v>
      </c>
      <c r="CH810" s="3" t="str">
        <f t="shared" si="84"/>
        <v>ماليزى اسنان</v>
      </c>
    </row>
    <row r="811" spans="3:86" x14ac:dyDescent="0.25">
      <c r="C811" s="25">
        <v>17494</v>
      </c>
      <c r="D811" s="11">
        <v>10356</v>
      </c>
      <c r="E811" s="3" t="s">
        <v>121</v>
      </c>
      <c r="F811" s="3" t="s">
        <v>1046</v>
      </c>
      <c r="G811" s="3"/>
      <c r="H811" s="3">
        <v>6114.15</v>
      </c>
      <c r="U811" s="3"/>
      <c r="V811" s="3"/>
      <c r="AS811" s="22">
        <f t="shared" si="82"/>
        <v>6114.15</v>
      </c>
      <c r="AT811" s="3">
        <v>4517.87</v>
      </c>
      <c r="AU811" s="3">
        <v>590.5</v>
      </c>
      <c r="AV811" s="3">
        <v>1005.78</v>
      </c>
      <c r="BD811" s="3"/>
      <c r="BE811" s="3"/>
      <c r="CE811" s="22">
        <f t="shared" si="83"/>
        <v>6114.15</v>
      </c>
      <c r="CF811" s="3">
        <f t="shared" si="85"/>
        <v>0</v>
      </c>
      <c r="CG811" s="17">
        <f t="shared" si="84"/>
        <v>10356</v>
      </c>
      <c r="CH811" s="3" t="str">
        <f t="shared" si="84"/>
        <v>ماليزى اسنان</v>
      </c>
    </row>
    <row r="812" spans="3:86" x14ac:dyDescent="0.25">
      <c r="C812" s="25">
        <v>17505</v>
      </c>
      <c r="D812" s="11">
        <v>10357</v>
      </c>
      <c r="E812" s="3" t="s">
        <v>121</v>
      </c>
      <c r="F812" s="3" t="s">
        <v>1047</v>
      </c>
      <c r="G812" s="3"/>
      <c r="H812" s="3">
        <v>4221</v>
      </c>
      <c r="U812" s="3"/>
      <c r="V812" s="3"/>
      <c r="AS812" s="22">
        <f t="shared" si="82"/>
        <v>4221</v>
      </c>
      <c r="AT812" s="3">
        <v>2821.05</v>
      </c>
      <c r="AU812" s="3">
        <v>382.95</v>
      </c>
      <c r="AV812" s="3">
        <v>1017</v>
      </c>
      <c r="BD812" s="3"/>
      <c r="BE812" s="3"/>
      <c r="CE812" s="22">
        <f t="shared" si="83"/>
        <v>4221</v>
      </c>
      <c r="CF812" s="3">
        <f t="shared" si="85"/>
        <v>0</v>
      </c>
      <c r="CG812" s="17">
        <f t="shared" si="84"/>
        <v>10357</v>
      </c>
      <c r="CH812" s="3" t="str">
        <f t="shared" si="84"/>
        <v>ماليزى اسنان</v>
      </c>
    </row>
    <row r="813" spans="3:86" x14ac:dyDescent="0.25">
      <c r="C813" s="25">
        <v>17512</v>
      </c>
      <c r="D813" s="11">
        <v>10358</v>
      </c>
      <c r="E813" s="3" t="s">
        <v>121</v>
      </c>
      <c r="F813" s="3" t="s">
        <v>1048</v>
      </c>
      <c r="G813" s="3"/>
      <c r="H813" s="3">
        <v>1407</v>
      </c>
      <c r="U813" s="3"/>
      <c r="V813" s="3"/>
      <c r="AS813" s="22">
        <f t="shared" ref="AS813:AS890" si="86">SUM(H813:AQ813)</f>
        <v>1407</v>
      </c>
      <c r="AT813" s="3">
        <v>940.35</v>
      </c>
      <c r="AU813" s="3">
        <v>127.65</v>
      </c>
      <c r="AV813" s="3">
        <v>339</v>
      </c>
      <c r="BD813" s="3"/>
      <c r="BE813" s="3"/>
      <c r="CE813" s="22">
        <f t="shared" si="83"/>
        <v>1407</v>
      </c>
      <c r="CF813" s="3">
        <f t="shared" si="85"/>
        <v>0</v>
      </c>
      <c r="CG813" s="17">
        <f t="shared" si="84"/>
        <v>10358</v>
      </c>
      <c r="CH813" s="3" t="str">
        <f t="shared" si="84"/>
        <v>ماليزى اسنان</v>
      </c>
    </row>
    <row r="814" spans="3:86" x14ac:dyDescent="0.25">
      <c r="C814" s="25">
        <v>17513</v>
      </c>
      <c r="D814" s="11">
        <v>10359</v>
      </c>
      <c r="E814" s="3" t="s">
        <v>121</v>
      </c>
      <c r="F814" s="3" t="s">
        <v>1049</v>
      </c>
      <c r="G814" s="3"/>
      <c r="H814" s="3">
        <v>4338.25</v>
      </c>
      <c r="U814" s="3"/>
      <c r="V814" s="3"/>
      <c r="AS814" s="22">
        <f t="shared" si="86"/>
        <v>4338.25</v>
      </c>
      <c r="AT814" s="3">
        <v>2901.2</v>
      </c>
      <c r="AU814" s="3">
        <v>391.8</v>
      </c>
      <c r="AV814" s="3">
        <v>1045.25</v>
      </c>
      <c r="BD814" s="3"/>
      <c r="BE814" s="3"/>
      <c r="CE814" s="22">
        <f t="shared" ref="CE814:CE866" si="87">SUM(AT814:CC814)</f>
        <v>4338.25</v>
      </c>
      <c r="CF814" s="3">
        <f t="shared" si="85"/>
        <v>0</v>
      </c>
      <c r="CG814" s="17">
        <f t="shared" ref="CG814:CH866" si="88">+D814</f>
        <v>10359</v>
      </c>
      <c r="CH814" s="3" t="str">
        <f t="shared" si="88"/>
        <v>ماليزى اسنان</v>
      </c>
    </row>
    <row r="815" spans="3:86" x14ac:dyDescent="0.25">
      <c r="C815" s="25">
        <v>17517</v>
      </c>
      <c r="D815" s="11">
        <v>10360</v>
      </c>
      <c r="E815" s="3" t="s">
        <v>121</v>
      </c>
      <c r="F815" s="3" t="s">
        <v>1050</v>
      </c>
      <c r="G815" s="3"/>
      <c r="H815" s="3">
        <v>12135.38</v>
      </c>
      <c r="U815" s="3"/>
      <c r="V815" s="3"/>
      <c r="AS815" s="22">
        <f t="shared" si="86"/>
        <v>12135.38</v>
      </c>
      <c r="AT815" s="3">
        <v>8111.45</v>
      </c>
      <c r="AU815" s="3">
        <v>1100.05</v>
      </c>
      <c r="AV815" s="3">
        <v>2923.88</v>
      </c>
      <c r="BD815" s="3"/>
      <c r="BE815" s="3"/>
      <c r="CE815" s="22">
        <f t="shared" si="87"/>
        <v>12135.380000000001</v>
      </c>
      <c r="CF815" s="3">
        <f t="shared" ref="CF815:CF866" si="89">+CE815-AS815</f>
        <v>0</v>
      </c>
      <c r="CG815" s="17">
        <f t="shared" si="88"/>
        <v>10360</v>
      </c>
      <c r="CH815" s="3" t="str">
        <f t="shared" si="88"/>
        <v>ماليزى اسنان</v>
      </c>
    </row>
    <row r="816" spans="3:86" x14ac:dyDescent="0.25">
      <c r="C816" s="25">
        <v>17514</v>
      </c>
      <c r="D816" s="11">
        <v>10361</v>
      </c>
      <c r="E816" s="3" t="s">
        <v>121</v>
      </c>
      <c r="F816" s="3" t="s">
        <v>1051</v>
      </c>
      <c r="G816" s="3"/>
      <c r="H816" s="3">
        <v>2931.25</v>
      </c>
      <c r="U816" s="3"/>
      <c r="V816" s="3"/>
      <c r="AS816" s="22">
        <f t="shared" si="86"/>
        <v>2931.25</v>
      </c>
      <c r="AT816" s="3">
        <v>1960.95</v>
      </c>
      <c r="AU816" s="3">
        <v>264.05</v>
      </c>
      <c r="AV816" s="3">
        <v>706.25</v>
      </c>
      <c r="BD816" s="3"/>
      <c r="BE816" s="3"/>
      <c r="CE816" s="22">
        <f t="shared" si="87"/>
        <v>2931.25</v>
      </c>
      <c r="CF816" s="3">
        <f t="shared" si="89"/>
        <v>0</v>
      </c>
      <c r="CG816" s="17">
        <f t="shared" si="88"/>
        <v>10361</v>
      </c>
      <c r="CH816" s="3" t="str">
        <f t="shared" si="88"/>
        <v>ماليزى اسنان</v>
      </c>
    </row>
    <row r="817" spans="3:86" x14ac:dyDescent="0.25">
      <c r="C817" s="25">
        <v>17519</v>
      </c>
      <c r="D817" s="11">
        <v>10362</v>
      </c>
      <c r="E817" s="3" t="s">
        <v>121</v>
      </c>
      <c r="F817" s="3" t="s">
        <v>1052</v>
      </c>
      <c r="G817" s="3"/>
      <c r="H817" s="3">
        <v>7500</v>
      </c>
      <c r="U817" s="3"/>
      <c r="V817" s="3"/>
      <c r="AS817" s="22">
        <f t="shared" si="86"/>
        <v>7500</v>
      </c>
      <c r="AT817" s="3">
        <v>6694.5</v>
      </c>
      <c r="AU817" s="3">
        <v>805.5</v>
      </c>
      <c r="BD817" s="3"/>
      <c r="BE817" s="3"/>
      <c r="CE817" s="22">
        <f t="shared" si="87"/>
        <v>7500</v>
      </c>
      <c r="CF817" s="3">
        <f t="shared" si="89"/>
        <v>0</v>
      </c>
      <c r="CG817" s="17">
        <f t="shared" si="88"/>
        <v>10362</v>
      </c>
      <c r="CH817" s="3" t="str">
        <f t="shared" si="88"/>
        <v>ماليزى اسنان</v>
      </c>
    </row>
    <row r="818" spans="3:86" x14ac:dyDescent="0.25">
      <c r="C818" s="25">
        <v>17520</v>
      </c>
      <c r="D818" s="11">
        <v>10363</v>
      </c>
      <c r="E818" s="3" t="s">
        <v>121</v>
      </c>
      <c r="F818" s="3" t="s">
        <v>1053</v>
      </c>
      <c r="G818" s="3"/>
      <c r="H818" s="3">
        <v>1829.1</v>
      </c>
      <c r="U818" s="3"/>
      <c r="V818" s="3"/>
      <c r="AS818" s="22">
        <f t="shared" si="86"/>
        <v>1829.1</v>
      </c>
      <c r="AT818" s="3">
        <v>1222.3499999999999</v>
      </c>
      <c r="AU818" s="3">
        <v>166.05</v>
      </c>
      <c r="AV818" s="3">
        <v>440.7</v>
      </c>
      <c r="BD818" s="3"/>
      <c r="BE818" s="3"/>
      <c r="CE818" s="22">
        <f t="shared" si="87"/>
        <v>1829.1</v>
      </c>
      <c r="CF818" s="3">
        <f t="shared" si="89"/>
        <v>0</v>
      </c>
      <c r="CG818" s="17">
        <f t="shared" si="88"/>
        <v>10363</v>
      </c>
      <c r="CH818" s="3" t="str">
        <f t="shared" si="88"/>
        <v>ماليزى اسنان</v>
      </c>
    </row>
    <row r="819" spans="3:86" x14ac:dyDescent="0.25">
      <c r="C819" s="25">
        <v>17525</v>
      </c>
      <c r="D819" s="11">
        <v>10364</v>
      </c>
      <c r="E819" s="3" t="s">
        <v>121</v>
      </c>
      <c r="F819" s="3" t="s">
        <v>1053</v>
      </c>
      <c r="G819" s="3"/>
      <c r="H819" s="3">
        <v>56074.26</v>
      </c>
      <c r="U819" s="3"/>
      <c r="V819" s="3"/>
      <c r="AS819" s="22">
        <f t="shared" si="86"/>
        <v>56074.26</v>
      </c>
      <c r="AT819" s="3">
        <v>41406.33</v>
      </c>
      <c r="AU819" s="3">
        <v>5375.3</v>
      </c>
      <c r="AV819" s="3">
        <v>9292.6299999999992</v>
      </c>
      <c r="BD819" s="3"/>
      <c r="BE819" s="3"/>
      <c r="CE819" s="22">
        <f t="shared" si="87"/>
        <v>56074.26</v>
      </c>
      <c r="CF819" s="3">
        <f t="shared" si="89"/>
        <v>0</v>
      </c>
      <c r="CG819" s="17">
        <f t="shared" si="88"/>
        <v>10364</v>
      </c>
      <c r="CH819" s="3" t="str">
        <f t="shared" si="88"/>
        <v>ماليزى اسنان</v>
      </c>
    </row>
    <row r="820" spans="3:86" x14ac:dyDescent="0.25">
      <c r="C820" s="25">
        <v>17524</v>
      </c>
      <c r="D820" s="11">
        <v>10365</v>
      </c>
      <c r="E820" s="3" t="s">
        <v>121</v>
      </c>
      <c r="F820" s="3" t="s">
        <v>1054</v>
      </c>
      <c r="G820" s="3"/>
      <c r="H820" s="3">
        <v>1172.5</v>
      </c>
      <c r="U820" s="3"/>
      <c r="V820" s="3"/>
      <c r="AS820" s="22">
        <f t="shared" si="86"/>
        <v>1172.5</v>
      </c>
      <c r="AT820" s="3">
        <v>784.1</v>
      </c>
      <c r="AU820" s="3">
        <v>105.9</v>
      </c>
      <c r="AV820" s="3">
        <v>282.5</v>
      </c>
      <c r="BD820" s="3"/>
      <c r="BE820" s="3"/>
      <c r="CE820" s="22">
        <f t="shared" si="87"/>
        <v>1172.5</v>
      </c>
      <c r="CF820" s="3">
        <f t="shared" si="89"/>
        <v>0</v>
      </c>
      <c r="CG820" s="17">
        <f t="shared" si="88"/>
        <v>10365</v>
      </c>
      <c r="CH820" s="3" t="str">
        <f t="shared" si="88"/>
        <v>ماليزى اسنان</v>
      </c>
    </row>
    <row r="821" spans="3:86" x14ac:dyDescent="0.25">
      <c r="C821" s="25">
        <v>17525</v>
      </c>
      <c r="D821" s="11">
        <v>10366</v>
      </c>
      <c r="E821" s="3" t="s">
        <v>121</v>
      </c>
      <c r="F821" s="3" t="s">
        <v>1055</v>
      </c>
      <c r="G821" s="3"/>
      <c r="H821" s="3">
        <v>2814</v>
      </c>
      <c r="U821" s="3"/>
      <c r="V821" s="3"/>
      <c r="AS821" s="22">
        <f t="shared" si="86"/>
        <v>2814</v>
      </c>
      <c r="AT821" s="3">
        <v>1884</v>
      </c>
      <c r="AU821" s="3">
        <v>252</v>
      </c>
      <c r="AV821" s="3">
        <v>678</v>
      </c>
      <c r="BD821" s="3"/>
      <c r="BE821" s="3"/>
      <c r="CE821" s="22">
        <f t="shared" si="87"/>
        <v>2814</v>
      </c>
      <c r="CF821" s="3">
        <f t="shared" si="89"/>
        <v>0</v>
      </c>
      <c r="CG821" s="17">
        <f t="shared" si="88"/>
        <v>10366</v>
      </c>
      <c r="CH821" s="3" t="str">
        <f t="shared" si="88"/>
        <v>ماليزى اسنان</v>
      </c>
    </row>
    <row r="822" spans="3:86" x14ac:dyDescent="0.25">
      <c r="C822" s="25">
        <v>17526</v>
      </c>
      <c r="D822" s="11">
        <v>10367</v>
      </c>
      <c r="E822" s="3" t="s">
        <v>121</v>
      </c>
      <c r="F822" s="3" t="s">
        <v>1056</v>
      </c>
      <c r="G822" s="3"/>
      <c r="H822" s="3">
        <v>3282.98</v>
      </c>
      <c r="U822" s="3"/>
      <c r="V822" s="3"/>
      <c r="AS822" s="22">
        <f t="shared" si="86"/>
        <v>3282.98</v>
      </c>
      <c r="AT822" s="3">
        <v>2197.9</v>
      </c>
      <c r="AU822" s="3">
        <v>294.10000000000002</v>
      </c>
      <c r="AV822" s="3">
        <v>790.98</v>
      </c>
      <c r="BD822" s="3"/>
      <c r="BE822" s="3"/>
      <c r="CE822" s="22">
        <f t="shared" si="87"/>
        <v>3282.98</v>
      </c>
      <c r="CF822" s="3">
        <f t="shared" si="89"/>
        <v>0</v>
      </c>
      <c r="CG822" s="17">
        <f t="shared" si="88"/>
        <v>10367</v>
      </c>
      <c r="CH822" s="3" t="str">
        <f t="shared" si="88"/>
        <v>ماليزى اسنان</v>
      </c>
    </row>
    <row r="823" spans="3:86" x14ac:dyDescent="0.25">
      <c r="C823" s="25">
        <v>17530</v>
      </c>
      <c r="D823" s="11">
        <v>10368</v>
      </c>
      <c r="E823" s="3" t="s">
        <v>121</v>
      </c>
      <c r="F823" s="3" t="s">
        <v>1057</v>
      </c>
      <c r="G823" s="3"/>
      <c r="H823" s="3">
        <v>879.4</v>
      </c>
      <c r="U823" s="3"/>
      <c r="V823" s="3"/>
      <c r="AS823" s="22">
        <f t="shared" si="86"/>
        <v>879.4</v>
      </c>
      <c r="AT823" s="3">
        <v>590</v>
      </c>
      <c r="AU823" s="3">
        <v>77.5</v>
      </c>
      <c r="AV823" s="3">
        <v>211.9</v>
      </c>
      <c r="BD823" s="3"/>
      <c r="BE823" s="3"/>
      <c r="CE823" s="22">
        <f t="shared" si="87"/>
        <v>879.4</v>
      </c>
      <c r="CF823" s="3">
        <f t="shared" si="89"/>
        <v>0</v>
      </c>
      <c r="CG823" s="17">
        <f t="shared" si="88"/>
        <v>10368</v>
      </c>
      <c r="CH823" s="3" t="str">
        <f t="shared" si="88"/>
        <v>ماليزى اسنان</v>
      </c>
    </row>
    <row r="824" spans="3:86" x14ac:dyDescent="0.25">
      <c r="C824" s="25">
        <v>17533</v>
      </c>
      <c r="D824" s="11">
        <v>10369</v>
      </c>
      <c r="E824" s="3" t="s">
        <v>121</v>
      </c>
      <c r="F824" s="3" t="s">
        <v>1058</v>
      </c>
      <c r="G824" s="3"/>
      <c r="H824" s="3">
        <v>13750</v>
      </c>
      <c r="U824" s="3"/>
      <c r="V824" s="3"/>
      <c r="AS824" s="22">
        <f t="shared" si="86"/>
        <v>13750</v>
      </c>
      <c r="AT824" s="3">
        <v>12274.05</v>
      </c>
      <c r="AU824" s="3">
        <v>1475.95</v>
      </c>
      <c r="BD824" s="3"/>
      <c r="BE824" s="3"/>
      <c r="CE824" s="22">
        <f t="shared" si="87"/>
        <v>13750</v>
      </c>
      <c r="CF824" s="3">
        <f t="shared" si="89"/>
        <v>0</v>
      </c>
      <c r="CG824" s="17">
        <f t="shared" si="88"/>
        <v>10369</v>
      </c>
      <c r="CH824" s="3" t="str">
        <f t="shared" si="88"/>
        <v>ماليزى اسنان</v>
      </c>
    </row>
    <row r="825" spans="3:86" x14ac:dyDescent="0.25">
      <c r="C825" s="25">
        <v>17548</v>
      </c>
      <c r="D825" s="11">
        <v>10370</v>
      </c>
      <c r="E825" s="3" t="s">
        <v>121</v>
      </c>
      <c r="F825" s="3" t="s">
        <v>1059</v>
      </c>
      <c r="G825" s="3"/>
      <c r="H825" s="3">
        <v>26897.01</v>
      </c>
      <c r="U825" s="3"/>
      <c r="V825" s="3"/>
      <c r="AS825" s="22">
        <f t="shared" si="86"/>
        <v>26897.01</v>
      </c>
      <c r="AT825" s="3">
        <v>19072.509999999998</v>
      </c>
      <c r="AU825" s="3">
        <v>2506.9499999999998</v>
      </c>
      <c r="AV825" s="3">
        <v>5317.55</v>
      </c>
      <c r="BD825" s="3"/>
      <c r="BE825" s="3"/>
      <c r="CE825" s="22">
        <f t="shared" si="87"/>
        <v>26897.01</v>
      </c>
      <c r="CF825" s="3">
        <f t="shared" si="89"/>
        <v>0</v>
      </c>
      <c r="CG825" s="17">
        <f t="shared" si="88"/>
        <v>10370</v>
      </c>
      <c r="CH825" s="3" t="str">
        <f t="shared" si="88"/>
        <v>ماليزى اسنان</v>
      </c>
    </row>
    <row r="826" spans="3:86" x14ac:dyDescent="0.25">
      <c r="C826" s="25">
        <v>17537</v>
      </c>
      <c r="D826" s="11">
        <v>10371</v>
      </c>
      <c r="E826" s="3" t="s">
        <v>121</v>
      </c>
      <c r="F826" s="3" t="s">
        <v>1060</v>
      </c>
      <c r="G826" s="3"/>
      <c r="H826" s="3">
        <v>879.38</v>
      </c>
      <c r="U826" s="3"/>
      <c r="V826" s="3"/>
      <c r="AS826" s="22">
        <f t="shared" si="86"/>
        <v>879.38</v>
      </c>
      <c r="AT826" s="3">
        <v>588.15</v>
      </c>
      <c r="AU826" s="3">
        <v>79.349999999999994</v>
      </c>
      <c r="AV826" s="3">
        <v>211.88</v>
      </c>
      <c r="BD826" s="3"/>
      <c r="BE826" s="3"/>
      <c r="CE826" s="22">
        <f t="shared" si="87"/>
        <v>879.38</v>
      </c>
      <c r="CF826" s="3">
        <f t="shared" si="89"/>
        <v>0</v>
      </c>
      <c r="CG826" s="17">
        <f t="shared" si="88"/>
        <v>10371</v>
      </c>
      <c r="CH826" s="3" t="str">
        <f t="shared" si="88"/>
        <v>ماليزى اسنان</v>
      </c>
    </row>
    <row r="827" spans="3:86" x14ac:dyDescent="0.25">
      <c r="C827" s="25">
        <v>17540</v>
      </c>
      <c r="D827" s="11">
        <v>10372</v>
      </c>
      <c r="E827" s="3" t="s">
        <v>121</v>
      </c>
      <c r="F827" s="3" t="s">
        <v>1061</v>
      </c>
      <c r="G827" s="3"/>
      <c r="H827" s="3">
        <v>4638.13</v>
      </c>
      <c r="U827" s="3"/>
      <c r="V827" s="3"/>
      <c r="AS827" s="22">
        <f t="shared" si="86"/>
        <v>4638.13</v>
      </c>
      <c r="AT827" s="3">
        <v>3550</v>
      </c>
      <c r="AU827" s="3">
        <v>452.5</v>
      </c>
      <c r="AV827" s="3">
        <v>635.63</v>
      </c>
      <c r="BD827" s="3"/>
      <c r="BE827" s="3"/>
      <c r="CE827" s="22">
        <f t="shared" si="87"/>
        <v>4638.13</v>
      </c>
      <c r="CF827" s="3">
        <f t="shared" si="89"/>
        <v>0</v>
      </c>
      <c r="CG827" s="17">
        <f t="shared" si="88"/>
        <v>10372</v>
      </c>
      <c r="CH827" s="3" t="str">
        <f t="shared" si="88"/>
        <v>ماليزى اسنان</v>
      </c>
    </row>
    <row r="828" spans="3:86" x14ac:dyDescent="0.25">
      <c r="C828" s="25">
        <v>17544</v>
      </c>
      <c r="D828" s="11">
        <v>10373</v>
      </c>
      <c r="E828" s="3" t="s">
        <v>121</v>
      </c>
      <c r="F828" s="3" t="s">
        <v>1062</v>
      </c>
      <c r="G828" s="3"/>
      <c r="H828" s="3">
        <v>1758.75</v>
      </c>
      <c r="U828" s="3"/>
      <c r="V828" s="3"/>
      <c r="AS828" s="22">
        <f t="shared" si="86"/>
        <v>1758.75</v>
      </c>
      <c r="AT828" s="3">
        <v>1175.3499999999999</v>
      </c>
      <c r="AU828" s="3">
        <v>159.65</v>
      </c>
      <c r="AV828" s="3">
        <v>423.75</v>
      </c>
      <c r="BD828" s="3"/>
      <c r="BE828" s="3"/>
      <c r="CE828" s="22">
        <f t="shared" si="87"/>
        <v>1758.75</v>
      </c>
      <c r="CF828" s="3">
        <f t="shared" si="89"/>
        <v>0</v>
      </c>
      <c r="CG828" s="17">
        <f t="shared" si="88"/>
        <v>10373</v>
      </c>
      <c r="CH828" s="3" t="str">
        <f t="shared" si="88"/>
        <v>ماليزى اسنان</v>
      </c>
    </row>
    <row r="829" spans="3:86" x14ac:dyDescent="0.25">
      <c r="C829" s="25">
        <v>17547</v>
      </c>
      <c r="D829" s="11">
        <v>10374</v>
      </c>
      <c r="E829" s="3" t="s">
        <v>121</v>
      </c>
      <c r="F829" s="3" t="s">
        <v>1062</v>
      </c>
      <c r="G829" s="3"/>
      <c r="H829" s="3">
        <v>55471.08</v>
      </c>
      <c r="U829" s="3"/>
      <c r="V829" s="3"/>
      <c r="AS829" s="22">
        <f t="shared" si="86"/>
        <v>55471.08</v>
      </c>
      <c r="AT829" s="3">
        <v>40048.74</v>
      </c>
      <c r="AU829" s="3">
        <v>5250.55</v>
      </c>
      <c r="AV829" s="3">
        <v>10171.790000000001</v>
      </c>
      <c r="BD829" s="3"/>
      <c r="BE829" s="3"/>
      <c r="CE829" s="22">
        <f t="shared" si="87"/>
        <v>55471.08</v>
      </c>
      <c r="CF829" s="3">
        <f t="shared" si="89"/>
        <v>0</v>
      </c>
      <c r="CG829" s="17">
        <f t="shared" si="88"/>
        <v>10374</v>
      </c>
      <c r="CH829" s="3" t="str">
        <f t="shared" si="88"/>
        <v>ماليزى اسنان</v>
      </c>
    </row>
    <row r="830" spans="3:86" x14ac:dyDescent="0.25">
      <c r="C830" s="25">
        <v>17551</v>
      </c>
      <c r="D830" s="11">
        <v>10375</v>
      </c>
      <c r="E830" s="3" t="s">
        <v>121</v>
      </c>
      <c r="F830" s="3" t="s">
        <v>1063</v>
      </c>
      <c r="G830" s="3"/>
      <c r="H830" s="3">
        <v>19122.86</v>
      </c>
      <c r="U830" s="3"/>
      <c r="V830" s="3"/>
      <c r="AS830" s="22">
        <f t="shared" si="86"/>
        <v>19122.86</v>
      </c>
      <c r="AT830" s="3">
        <v>13387.94</v>
      </c>
      <c r="AU830" s="3">
        <v>1767.05</v>
      </c>
      <c r="AV830" s="3">
        <v>3967.87</v>
      </c>
      <c r="BD830" s="3"/>
      <c r="BE830" s="3"/>
      <c r="CE830" s="22">
        <f t="shared" si="87"/>
        <v>19122.86</v>
      </c>
      <c r="CF830" s="3">
        <f t="shared" si="89"/>
        <v>0</v>
      </c>
      <c r="CG830" s="17">
        <f t="shared" si="88"/>
        <v>10375</v>
      </c>
      <c r="CH830" s="3" t="str">
        <f t="shared" si="88"/>
        <v>ماليزى اسنان</v>
      </c>
    </row>
    <row r="831" spans="3:86" x14ac:dyDescent="0.25">
      <c r="C831" s="25">
        <v>17490</v>
      </c>
      <c r="D831" s="11">
        <v>10376</v>
      </c>
      <c r="E831" s="3" t="s">
        <v>121</v>
      </c>
      <c r="F831" s="3" t="s">
        <v>1064</v>
      </c>
      <c r="G831" s="3"/>
      <c r="H831" s="3">
        <v>351.76</v>
      </c>
      <c r="U831" s="3"/>
      <c r="V831" s="3"/>
      <c r="AS831" s="22">
        <f t="shared" si="86"/>
        <v>351.76</v>
      </c>
      <c r="AT831" s="3">
        <v>236</v>
      </c>
      <c r="AU831" s="3">
        <v>31</v>
      </c>
      <c r="AV831" s="3">
        <v>84.76</v>
      </c>
      <c r="BD831" s="3"/>
      <c r="BE831" s="3"/>
      <c r="CE831" s="22">
        <f t="shared" si="87"/>
        <v>351.76</v>
      </c>
      <c r="CF831" s="3">
        <f t="shared" si="89"/>
        <v>0</v>
      </c>
      <c r="CG831" s="17">
        <f t="shared" si="88"/>
        <v>10376</v>
      </c>
      <c r="CH831" s="3" t="str">
        <f t="shared" si="88"/>
        <v>ماليزى اسنان</v>
      </c>
    </row>
    <row r="832" spans="3:86" x14ac:dyDescent="0.25">
      <c r="C832" s="25">
        <v>17504</v>
      </c>
      <c r="D832" s="11">
        <v>10377</v>
      </c>
      <c r="E832" s="3" t="s">
        <v>121</v>
      </c>
      <c r="F832" s="3" t="s">
        <v>1065</v>
      </c>
      <c r="G832" s="3"/>
      <c r="H832" s="3">
        <v>1407</v>
      </c>
      <c r="U832" s="3"/>
      <c r="V832" s="3"/>
      <c r="AS832" s="22">
        <f t="shared" si="86"/>
        <v>1407</v>
      </c>
      <c r="AT832" s="3">
        <v>940.35</v>
      </c>
      <c r="AU832" s="3">
        <v>127.65</v>
      </c>
      <c r="AV832" s="3">
        <v>339</v>
      </c>
      <c r="BD832" s="3"/>
      <c r="BE832" s="3"/>
      <c r="CE832" s="22">
        <f t="shared" si="87"/>
        <v>1407</v>
      </c>
      <c r="CF832" s="3">
        <f t="shared" si="89"/>
        <v>0</v>
      </c>
      <c r="CG832" s="17">
        <f t="shared" si="88"/>
        <v>10377</v>
      </c>
      <c r="CH832" s="3" t="str">
        <f t="shared" si="88"/>
        <v>ماليزى اسنان</v>
      </c>
    </row>
    <row r="833" spans="3:86" x14ac:dyDescent="0.25">
      <c r="C833" s="25">
        <v>17496</v>
      </c>
      <c r="D833" s="11">
        <v>10378</v>
      </c>
      <c r="E833" s="3" t="s">
        <v>121</v>
      </c>
      <c r="F833" s="3" t="s">
        <v>1066</v>
      </c>
      <c r="G833" s="3"/>
      <c r="H833" s="3">
        <v>1407</v>
      </c>
      <c r="U833" s="3"/>
      <c r="V833" s="3"/>
      <c r="AS833" s="22">
        <f t="shared" si="86"/>
        <v>1407</v>
      </c>
      <c r="AT833" s="3">
        <v>940.35</v>
      </c>
      <c r="AU833" s="3">
        <v>127.65</v>
      </c>
      <c r="AV833" s="3">
        <v>339</v>
      </c>
      <c r="BD833" s="3"/>
      <c r="BE833" s="3"/>
      <c r="CE833" s="22">
        <f t="shared" si="87"/>
        <v>1407</v>
      </c>
      <c r="CF833" s="3">
        <f t="shared" si="89"/>
        <v>0</v>
      </c>
      <c r="CG833" s="17">
        <f t="shared" si="88"/>
        <v>10378</v>
      </c>
      <c r="CH833" s="3" t="str">
        <f t="shared" si="88"/>
        <v>ماليزى اسنان</v>
      </c>
    </row>
    <row r="834" spans="3:86" x14ac:dyDescent="0.25">
      <c r="C834" s="25">
        <v>17499</v>
      </c>
      <c r="D834" s="11">
        <v>10379</v>
      </c>
      <c r="E834" s="3" t="s">
        <v>121</v>
      </c>
      <c r="F834" s="3" t="s">
        <v>1067</v>
      </c>
      <c r="G834" s="3"/>
      <c r="H834" s="3">
        <v>2110.5</v>
      </c>
      <c r="U834" s="3"/>
      <c r="V834" s="3"/>
      <c r="AS834" s="22">
        <f t="shared" si="86"/>
        <v>2110.5</v>
      </c>
      <c r="AT834" s="3">
        <v>1411.4</v>
      </c>
      <c r="AU834" s="3">
        <v>190.6</v>
      </c>
      <c r="AV834" s="3">
        <v>508.5</v>
      </c>
      <c r="BD834" s="3"/>
      <c r="BE834" s="3"/>
      <c r="CE834" s="22">
        <f t="shared" si="87"/>
        <v>2110.5</v>
      </c>
      <c r="CF834" s="3">
        <f t="shared" si="89"/>
        <v>0</v>
      </c>
      <c r="CG834" s="17">
        <f t="shared" si="88"/>
        <v>10379</v>
      </c>
      <c r="CH834" s="3" t="str">
        <f t="shared" si="88"/>
        <v>ماليزى اسنان</v>
      </c>
    </row>
    <row r="835" spans="3:86" x14ac:dyDescent="0.25">
      <c r="C835" s="25">
        <v>17503</v>
      </c>
      <c r="D835" s="11">
        <v>10380</v>
      </c>
      <c r="E835" s="3" t="s">
        <v>121</v>
      </c>
      <c r="F835" s="3" t="s">
        <v>1068</v>
      </c>
      <c r="G835" s="3"/>
      <c r="H835" s="3">
        <v>2814</v>
      </c>
      <c r="U835" s="3"/>
      <c r="V835" s="3"/>
      <c r="AS835" s="22">
        <f t="shared" si="86"/>
        <v>2814</v>
      </c>
      <c r="AT835" s="3">
        <v>1882.4</v>
      </c>
      <c r="AU835" s="3">
        <v>253.6</v>
      </c>
      <c r="AV835" s="3">
        <v>678</v>
      </c>
      <c r="BD835" s="3"/>
      <c r="BE835" s="3"/>
      <c r="CE835" s="22">
        <f t="shared" si="87"/>
        <v>2814</v>
      </c>
      <c r="CF835" s="3">
        <f t="shared" si="89"/>
        <v>0</v>
      </c>
      <c r="CG835" s="17">
        <f t="shared" si="88"/>
        <v>10380</v>
      </c>
      <c r="CH835" s="3" t="str">
        <f t="shared" si="88"/>
        <v>ماليزى اسنان</v>
      </c>
    </row>
    <row r="836" spans="3:86" x14ac:dyDescent="0.25">
      <c r="C836" s="25">
        <v>17506</v>
      </c>
      <c r="D836" s="11">
        <v>10381</v>
      </c>
      <c r="E836" s="3" t="s">
        <v>121</v>
      </c>
      <c r="F836" s="3" t="s">
        <v>1069</v>
      </c>
      <c r="G836" s="3"/>
      <c r="H836" s="3">
        <v>1758.72</v>
      </c>
      <c r="U836" s="3"/>
      <c r="V836" s="3"/>
      <c r="AS836" s="22">
        <f t="shared" si="86"/>
        <v>1758.72</v>
      </c>
      <c r="AT836" s="3">
        <v>1178.7</v>
      </c>
      <c r="AU836" s="3">
        <v>156.30000000000001</v>
      </c>
      <c r="AV836" s="3">
        <v>423.72</v>
      </c>
      <c r="BD836" s="3"/>
      <c r="BE836" s="3"/>
      <c r="CE836" s="22">
        <f t="shared" si="87"/>
        <v>1758.72</v>
      </c>
      <c r="CF836" s="3">
        <f t="shared" si="89"/>
        <v>0</v>
      </c>
      <c r="CG836" s="17">
        <f t="shared" si="88"/>
        <v>10381</v>
      </c>
      <c r="CH836" s="3" t="str">
        <f t="shared" si="88"/>
        <v>ماليزى اسنان</v>
      </c>
    </row>
    <row r="837" spans="3:86" x14ac:dyDescent="0.25">
      <c r="C837" s="25">
        <v>17509</v>
      </c>
      <c r="D837" s="11">
        <v>10382</v>
      </c>
      <c r="E837" s="3" t="s">
        <v>121</v>
      </c>
      <c r="F837" s="3" t="s">
        <v>1070</v>
      </c>
      <c r="G837" s="3"/>
      <c r="H837" s="3">
        <v>1407</v>
      </c>
      <c r="U837" s="3"/>
      <c r="V837" s="3"/>
      <c r="AS837" s="22">
        <f t="shared" si="86"/>
        <v>1407</v>
      </c>
      <c r="AT837" s="3">
        <v>940.35</v>
      </c>
      <c r="AU837" s="3">
        <v>127.65</v>
      </c>
      <c r="AV837" s="3">
        <v>339</v>
      </c>
      <c r="BD837" s="3"/>
      <c r="BE837" s="3"/>
      <c r="CE837" s="22">
        <f t="shared" si="87"/>
        <v>1407</v>
      </c>
      <c r="CF837" s="3">
        <f t="shared" si="89"/>
        <v>0</v>
      </c>
      <c r="CG837" s="17">
        <f t="shared" si="88"/>
        <v>10382</v>
      </c>
      <c r="CH837" s="3" t="str">
        <f t="shared" si="88"/>
        <v>ماليزى اسنان</v>
      </c>
    </row>
    <row r="838" spans="3:86" x14ac:dyDescent="0.25">
      <c r="C838" s="25">
        <v>17515</v>
      </c>
      <c r="D838" s="11">
        <v>10383</v>
      </c>
      <c r="E838" s="3" t="s">
        <v>121</v>
      </c>
      <c r="F838" s="3" t="s">
        <v>1071</v>
      </c>
      <c r="G838" s="3"/>
      <c r="H838" s="3">
        <v>3165.75</v>
      </c>
      <c r="U838" s="3"/>
      <c r="V838" s="3"/>
      <c r="AS838" s="22">
        <f t="shared" si="86"/>
        <v>3165.75</v>
      </c>
      <c r="AT838" s="3">
        <v>2118.4</v>
      </c>
      <c r="AU838" s="3">
        <v>284.60000000000002</v>
      </c>
      <c r="AV838" s="3">
        <v>762.75</v>
      </c>
      <c r="BD838" s="3"/>
      <c r="BE838" s="3"/>
      <c r="CE838" s="22">
        <f t="shared" si="87"/>
        <v>3165.75</v>
      </c>
      <c r="CF838" s="3">
        <f t="shared" si="89"/>
        <v>0</v>
      </c>
      <c r="CG838" s="17">
        <f t="shared" si="88"/>
        <v>10383</v>
      </c>
      <c r="CH838" s="3" t="str">
        <f t="shared" si="88"/>
        <v>ماليزى اسنان</v>
      </c>
    </row>
    <row r="839" spans="3:86" x14ac:dyDescent="0.25">
      <c r="C839" s="25">
        <v>17516</v>
      </c>
      <c r="D839" s="11">
        <v>10384</v>
      </c>
      <c r="E839" s="3" t="s">
        <v>121</v>
      </c>
      <c r="F839" s="3" t="s">
        <v>1072</v>
      </c>
      <c r="G839" s="3"/>
      <c r="H839" s="3">
        <v>1172.5</v>
      </c>
      <c r="U839" s="3"/>
      <c r="V839" s="3"/>
      <c r="AS839" s="22">
        <f t="shared" si="86"/>
        <v>1172.5</v>
      </c>
      <c r="AT839" s="3">
        <v>784.1</v>
      </c>
      <c r="AU839" s="3">
        <v>105.9</v>
      </c>
      <c r="AV839" s="3">
        <v>282.5</v>
      </c>
      <c r="BD839" s="3"/>
      <c r="BE839" s="3"/>
      <c r="CE839" s="22">
        <f t="shared" si="87"/>
        <v>1172.5</v>
      </c>
      <c r="CF839" s="3">
        <f t="shared" si="89"/>
        <v>0</v>
      </c>
      <c r="CG839" s="17">
        <f t="shared" si="88"/>
        <v>10384</v>
      </c>
      <c r="CH839" s="3" t="str">
        <f t="shared" si="88"/>
        <v>ماليزى اسنان</v>
      </c>
    </row>
    <row r="840" spans="3:86" x14ac:dyDescent="0.25">
      <c r="C840" s="25">
        <v>17518</v>
      </c>
      <c r="D840" s="11">
        <v>10385</v>
      </c>
      <c r="E840" s="3" t="s">
        <v>121</v>
      </c>
      <c r="F840" s="3" t="s">
        <v>1073</v>
      </c>
      <c r="G840" s="3"/>
      <c r="H840" s="3">
        <v>2098.77</v>
      </c>
      <c r="U840" s="3"/>
      <c r="V840" s="3"/>
      <c r="AS840" s="22">
        <f t="shared" si="86"/>
        <v>2098.77</v>
      </c>
      <c r="AT840" s="3">
        <v>1404.95</v>
      </c>
      <c r="AU840" s="3">
        <v>188.15</v>
      </c>
      <c r="AV840" s="3">
        <v>505.67</v>
      </c>
      <c r="BD840" s="3"/>
      <c r="BE840" s="3"/>
      <c r="CE840" s="22">
        <f t="shared" si="87"/>
        <v>2098.77</v>
      </c>
      <c r="CF840" s="3">
        <f t="shared" si="89"/>
        <v>0</v>
      </c>
      <c r="CG840" s="17">
        <f t="shared" si="88"/>
        <v>10385</v>
      </c>
      <c r="CH840" s="3" t="str">
        <f t="shared" si="88"/>
        <v>ماليزى اسنان</v>
      </c>
    </row>
    <row r="841" spans="3:86" x14ac:dyDescent="0.25">
      <c r="C841" s="25">
        <v>17521</v>
      </c>
      <c r="D841" s="11">
        <v>10386</v>
      </c>
      <c r="E841" s="3" t="s">
        <v>121</v>
      </c>
      <c r="F841" s="3" t="s">
        <v>1074</v>
      </c>
      <c r="G841" s="3"/>
      <c r="H841" s="3">
        <v>46402.73</v>
      </c>
      <c r="U841" s="3"/>
      <c r="V841" s="3"/>
      <c r="AS841" s="22">
        <f t="shared" si="86"/>
        <v>46402.73</v>
      </c>
      <c r="AT841" s="3">
        <v>34068.93</v>
      </c>
      <c r="AU841" s="3">
        <v>4435.7</v>
      </c>
      <c r="AV841" s="3">
        <v>7898.1</v>
      </c>
      <c r="BD841" s="3"/>
      <c r="BE841" s="3"/>
      <c r="CE841" s="22">
        <f t="shared" si="87"/>
        <v>46402.729999999996</v>
      </c>
      <c r="CF841" s="3">
        <f t="shared" si="89"/>
        <v>0</v>
      </c>
      <c r="CG841" s="17">
        <f t="shared" si="88"/>
        <v>10386</v>
      </c>
      <c r="CH841" s="3" t="str">
        <f t="shared" si="88"/>
        <v>ماليزى اسنان</v>
      </c>
    </row>
    <row r="842" spans="3:86" x14ac:dyDescent="0.25">
      <c r="C842" s="25">
        <v>17527</v>
      </c>
      <c r="D842" s="11">
        <v>10387</v>
      </c>
      <c r="E842" s="3" t="s">
        <v>121</v>
      </c>
      <c r="F842" s="3" t="s">
        <v>1075</v>
      </c>
      <c r="G842" s="3"/>
      <c r="H842" s="3">
        <v>1758.76</v>
      </c>
      <c r="U842" s="3"/>
      <c r="V842" s="3"/>
      <c r="AS842" s="22">
        <f t="shared" si="86"/>
        <v>1758.76</v>
      </c>
      <c r="AT842" s="3">
        <v>1176.95</v>
      </c>
      <c r="AU842" s="3">
        <v>158.05000000000001</v>
      </c>
      <c r="AV842" s="3">
        <v>423.76</v>
      </c>
      <c r="BD842" s="3"/>
      <c r="BE842" s="3"/>
      <c r="CE842" s="22">
        <f t="shared" si="87"/>
        <v>1758.76</v>
      </c>
      <c r="CF842" s="3">
        <f t="shared" si="89"/>
        <v>0</v>
      </c>
      <c r="CG842" s="17">
        <f t="shared" si="88"/>
        <v>10387</v>
      </c>
      <c r="CH842" s="3" t="str">
        <f t="shared" si="88"/>
        <v>ماليزى اسنان</v>
      </c>
    </row>
    <row r="843" spans="3:86" x14ac:dyDescent="0.25">
      <c r="C843" s="25">
        <v>17532</v>
      </c>
      <c r="D843" s="11">
        <v>10388</v>
      </c>
      <c r="E843" s="3" t="s">
        <v>121</v>
      </c>
      <c r="F843" s="3" t="s">
        <v>1076</v>
      </c>
      <c r="G843" s="3"/>
      <c r="H843" s="3">
        <v>6750</v>
      </c>
      <c r="U843" s="3"/>
      <c r="V843" s="3"/>
      <c r="AS843" s="22">
        <f t="shared" si="86"/>
        <v>6750</v>
      </c>
      <c r="AT843" s="3">
        <v>6025.45</v>
      </c>
      <c r="AU843" s="3">
        <v>724.55</v>
      </c>
      <c r="BD843" s="3"/>
      <c r="BE843" s="3"/>
      <c r="CE843" s="22">
        <f t="shared" si="87"/>
        <v>6750</v>
      </c>
      <c r="CF843" s="3">
        <f t="shared" si="89"/>
        <v>0</v>
      </c>
      <c r="CG843" s="17">
        <f t="shared" si="88"/>
        <v>10388</v>
      </c>
      <c r="CH843" s="3" t="str">
        <f t="shared" si="88"/>
        <v>ماليزى اسنان</v>
      </c>
    </row>
    <row r="844" spans="3:86" x14ac:dyDescent="0.25">
      <c r="C844" s="25">
        <v>17538</v>
      </c>
      <c r="D844" s="11">
        <v>10389</v>
      </c>
      <c r="E844" s="3" t="s">
        <v>121</v>
      </c>
      <c r="F844" s="3" t="s">
        <v>1077</v>
      </c>
      <c r="G844" s="3"/>
      <c r="H844" s="3">
        <v>2931.26</v>
      </c>
      <c r="U844" s="3"/>
      <c r="V844" s="3"/>
      <c r="AS844" s="22">
        <f t="shared" si="86"/>
        <v>2931.26</v>
      </c>
      <c r="AT844" s="3">
        <v>1959.3</v>
      </c>
      <c r="AU844" s="3">
        <v>265.7</v>
      </c>
      <c r="AV844" s="3">
        <v>706.26</v>
      </c>
      <c r="BD844" s="3"/>
      <c r="BE844" s="3"/>
      <c r="CE844" s="22">
        <f t="shared" si="87"/>
        <v>2931.26</v>
      </c>
      <c r="CF844" s="3">
        <f t="shared" si="89"/>
        <v>0</v>
      </c>
      <c r="CG844" s="17">
        <f t="shared" si="88"/>
        <v>10389</v>
      </c>
      <c r="CH844" s="3" t="str">
        <f t="shared" si="88"/>
        <v>ماليزى اسنان</v>
      </c>
    </row>
    <row r="845" spans="3:86" x14ac:dyDescent="0.25">
      <c r="C845" s="25">
        <v>17539</v>
      </c>
      <c r="D845" s="11">
        <v>10390</v>
      </c>
      <c r="E845" s="3" t="s">
        <v>121</v>
      </c>
      <c r="F845" s="3" t="s">
        <v>1078</v>
      </c>
      <c r="G845" s="3"/>
      <c r="H845" s="3">
        <v>4690.01</v>
      </c>
      <c r="U845" s="3"/>
      <c r="V845" s="3"/>
      <c r="AS845" s="22">
        <f t="shared" si="86"/>
        <v>4690.01</v>
      </c>
      <c r="AT845" s="3">
        <v>3135.05</v>
      </c>
      <c r="AU845" s="3">
        <v>424.95</v>
      </c>
      <c r="AV845" s="3">
        <v>1130.01</v>
      </c>
      <c r="BD845" s="3"/>
      <c r="BE845" s="3"/>
      <c r="CE845" s="22">
        <f t="shared" si="87"/>
        <v>4690.01</v>
      </c>
      <c r="CF845" s="3">
        <f t="shared" si="89"/>
        <v>0</v>
      </c>
      <c r="CG845" s="17">
        <f t="shared" si="88"/>
        <v>10390</v>
      </c>
      <c r="CH845" s="3" t="str">
        <f t="shared" si="88"/>
        <v>ماليزى اسنان</v>
      </c>
    </row>
    <row r="846" spans="3:86" x14ac:dyDescent="0.25">
      <c r="C846" s="25">
        <v>17541</v>
      </c>
      <c r="D846" s="11">
        <v>10391</v>
      </c>
      <c r="E846" s="3" t="s">
        <v>121</v>
      </c>
      <c r="F846" s="3" t="s">
        <v>1079</v>
      </c>
      <c r="G846" s="3"/>
      <c r="H846" s="3">
        <v>4500</v>
      </c>
      <c r="U846" s="3"/>
      <c r="V846" s="3"/>
      <c r="AS846" s="22">
        <f t="shared" si="86"/>
        <v>4500</v>
      </c>
      <c r="AT846" s="3">
        <v>4017</v>
      </c>
      <c r="AU846" s="3">
        <v>483</v>
      </c>
      <c r="BD846" s="3"/>
      <c r="BE846" s="3"/>
      <c r="CE846" s="22">
        <f t="shared" si="87"/>
        <v>4500</v>
      </c>
      <c r="CF846" s="3">
        <f t="shared" si="89"/>
        <v>0</v>
      </c>
      <c r="CG846" s="17">
        <f t="shared" si="88"/>
        <v>10391</v>
      </c>
      <c r="CH846" s="3" t="str">
        <f t="shared" si="88"/>
        <v>ماليزى اسنان</v>
      </c>
    </row>
    <row r="847" spans="3:86" x14ac:dyDescent="0.25">
      <c r="C847" s="25">
        <v>17543</v>
      </c>
      <c r="D847" s="11">
        <v>10392</v>
      </c>
      <c r="E847" s="3" t="s">
        <v>121</v>
      </c>
      <c r="F847" s="3" t="s">
        <v>1080</v>
      </c>
      <c r="G847" s="3"/>
      <c r="H847" s="3">
        <v>50075.77</v>
      </c>
      <c r="U847" s="3"/>
      <c r="V847" s="3"/>
      <c r="AS847" s="22">
        <f t="shared" si="86"/>
        <v>50075.77</v>
      </c>
      <c r="AT847" s="3">
        <v>34858.36</v>
      </c>
      <c r="AU847" s="3">
        <v>4153.6099999999997</v>
      </c>
      <c r="AV847" s="3">
        <v>11063.8</v>
      </c>
      <c r="BD847" s="3"/>
      <c r="BE847" s="3"/>
      <c r="CE847" s="22">
        <f t="shared" si="87"/>
        <v>50075.770000000004</v>
      </c>
      <c r="CF847" s="3">
        <f t="shared" si="89"/>
        <v>0</v>
      </c>
      <c r="CG847" s="17">
        <f t="shared" si="88"/>
        <v>10392</v>
      </c>
      <c r="CH847" s="3" t="str">
        <f t="shared" si="88"/>
        <v>ماليزى اسنان</v>
      </c>
    </row>
    <row r="848" spans="3:86" x14ac:dyDescent="0.25">
      <c r="C848" s="25">
        <v>17549</v>
      </c>
      <c r="D848" s="11">
        <v>10393</v>
      </c>
      <c r="E848" s="3" t="s">
        <v>121</v>
      </c>
      <c r="F848" s="3" t="s">
        <v>1081</v>
      </c>
      <c r="G848" s="3"/>
      <c r="H848" s="3">
        <v>13729.03</v>
      </c>
      <c r="U848" s="3"/>
      <c r="V848" s="3"/>
      <c r="AS848" s="22">
        <f t="shared" si="86"/>
        <v>13729.03</v>
      </c>
      <c r="AT848" s="3">
        <v>9397.9699999999993</v>
      </c>
      <c r="AU848" s="3">
        <v>1253.8</v>
      </c>
      <c r="AV848" s="3">
        <v>3077.26</v>
      </c>
      <c r="BD848" s="3"/>
      <c r="BE848" s="3"/>
      <c r="CE848" s="22">
        <f t="shared" si="87"/>
        <v>13729.029999999999</v>
      </c>
      <c r="CF848" s="3">
        <f t="shared" si="89"/>
        <v>0</v>
      </c>
      <c r="CG848" s="17">
        <f t="shared" si="88"/>
        <v>10393</v>
      </c>
      <c r="CH848" s="3" t="str">
        <f t="shared" si="88"/>
        <v>ماليزى اسنان</v>
      </c>
    </row>
    <row r="849" spans="2:86" x14ac:dyDescent="0.25">
      <c r="C849" s="25">
        <v>17550</v>
      </c>
      <c r="D849" s="11">
        <v>10394</v>
      </c>
      <c r="E849" s="3" t="s">
        <v>121</v>
      </c>
      <c r="F849" s="3" t="s">
        <v>1082</v>
      </c>
      <c r="G849" s="3"/>
      <c r="H849" s="3">
        <v>234.5</v>
      </c>
      <c r="U849" s="3"/>
      <c r="V849" s="3"/>
      <c r="AS849" s="22">
        <f t="shared" si="86"/>
        <v>234.5</v>
      </c>
      <c r="AT849" s="3">
        <v>157.19999999999999</v>
      </c>
      <c r="AU849" s="3">
        <v>20.8</v>
      </c>
      <c r="AV849" s="3">
        <v>56.5</v>
      </c>
      <c r="BD849" s="3"/>
      <c r="BE849" s="3"/>
      <c r="CE849" s="22">
        <f t="shared" si="87"/>
        <v>234.5</v>
      </c>
      <c r="CF849" s="3">
        <f t="shared" si="89"/>
        <v>0</v>
      </c>
      <c r="CG849" s="17">
        <f t="shared" si="88"/>
        <v>10394</v>
      </c>
      <c r="CH849" s="3" t="str">
        <f t="shared" si="88"/>
        <v>ماليزى اسنان</v>
      </c>
    </row>
    <row r="850" spans="2:86" x14ac:dyDescent="0.25">
      <c r="C850" s="25">
        <v>17552</v>
      </c>
      <c r="D850" s="11">
        <v>10395</v>
      </c>
      <c r="E850" s="3" t="s">
        <v>121</v>
      </c>
      <c r="F850" s="3" t="s">
        <v>1082</v>
      </c>
      <c r="G850" s="3"/>
      <c r="H850" s="3">
        <v>6038.37</v>
      </c>
      <c r="U850" s="3"/>
      <c r="V850" s="3"/>
      <c r="AS850" s="22">
        <f t="shared" si="86"/>
        <v>6038.37</v>
      </c>
      <c r="AT850" s="3">
        <v>4041.05</v>
      </c>
      <c r="AU850" s="3">
        <v>542.45000000000005</v>
      </c>
      <c r="AV850" s="3">
        <v>1454.87</v>
      </c>
      <c r="BD850" s="3"/>
      <c r="BE850" s="3"/>
      <c r="CE850" s="22">
        <f t="shared" si="87"/>
        <v>6038.37</v>
      </c>
      <c r="CF850" s="3">
        <f t="shared" si="89"/>
        <v>0</v>
      </c>
      <c r="CG850" s="17">
        <f t="shared" si="88"/>
        <v>10395</v>
      </c>
      <c r="CH850" s="3" t="str">
        <f t="shared" si="88"/>
        <v>ماليزى اسنان</v>
      </c>
    </row>
    <row r="851" spans="2:86" x14ac:dyDescent="0.25">
      <c r="B851" s="17" t="s">
        <v>599</v>
      </c>
      <c r="C851" s="25">
        <v>17528</v>
      </c>
      <c r="D851" s="11">
        <v>10396</v>
      </c>
      <c r="E851" s="3" t="s">
        <v>121</v>
      </c>
      <c r="F851" s="3" t="s">
        <v>1083</v>
      </c>
      <c r="G851" s="3"/>
      <c r="H851" s="3">
        <v>18761.240000000002</v>
      </c>
      <c r="U851" s="3"/>
      <c r="V851" s="3"/>
      <c r="AS851" s="22">
        <f t="shared" si="86"/>
        <v>18761.240000000002</v>
      </c>
      <c r="AT851" s="3">
        <v>12916.31</v>
      </c>
      <c r="AU851" s="3">
        <v>1732.3</v>
      </c>
      <c r="AV851" s="3">
        <v>4112.63</v>
      </c>
      <c r="BD851" s="3"/>
      <c r="BE851" s="3"/>
      <c r="CE851" s="22">
        <f t="shared" si="87"/>
        <v>18761.239999999998</v>
      </c>
      <c r="CF851" s="3">
        <f t="shared" si="89"/>
        <v>0</v>
      </c>
      <c r="CG851" s="17">
        <f t="shared" si="88"/>
        <v>10396</v>
      </c>
      <c r="CH851" s="3" t="str">
        <f t="shared" si="88"/>
        <v>ماليزى اسنان</v>
      </c>
    </row>
    <row r="852" spans="2:86" x14ac:dyDescent="0.25">
      <c r="B852" s="17" t="s">
        <v>599</v>
      </c>
      <c r="C852" s="25">
        <v>17529</v>
      </c>
      <c r="D852" s="11">
        <v>10397</v>
      </c>
      <c r="E852" s="3" t="s">
        <v>121</v>
      </c>
      <c r="F852" s="3" t="s">
        <v>1084</v>
      </c>
      <c r="G852" s="3"/>
      <c r="H852" s="3">
        <v>2579.5</v>
      </c>
      <c r="U852" s="3"/>
      <c r="V852" s="3"/>
      <c r="AS852" s="22">
        <f t="shared" si="86"/>
        <v>2579.5</v>
      </c>
      <c r="AT852" s="3">
        <v>1724.45</v>
      </c>
      <c r="AU852" s="3">
        <v>233.55</v>
      </c>
      <c r="AV852" s="3">
        <v>621.5</v>
      </c>
      <c r="BD852" s="3"/>
      <c r="BE852" s="3"/>
      <c r="CE852" s="22">
        <f t="shared" si="87"/>
        <v>2579.5</v>
      </c>
      <c r="CF852" s="3">
        <f t="shared" si="89"/>
        <v>0</v>
      </c>
      <c r="CG852" s="17">
        <f t="shared" si="88"/>
        <v>10397</v>
      </c>
      <c r="CH852" s="3" t="str">
        <f t="shared" si="88"/>
        <v>ماليزى اسنان</v>
      </c>
    </row>
    <row r="853" spans="2:86" x14ac:dyDescent="0.25">
      <c r="C853" s="25"/>
      <c r="D853" s="11">
        <v>10398</v>
      </c>
      <c r="E853" s="3" t="s">
        <v>332</v>
      </c>
      <c r="F853" s="3" t="s">
        <v>1085</v>
      </c>
      <c r="G853" s="3"/>
      <c r="U853" s="3"/>
      <c r="V853" s="3"/>
      <c r="AS853" s="22">
        <f t="shared" si="86"/>
        <v>0</v>
      </c>
      <c r="AU853" s="3"/>
      <c r="BD853" s="3"/>
      <c r="BE853" s="3"/>
      <c r="CE853" s="22">
        <f t="shared" si="87"/>
        <v>0</v>
      </c>
      <c r="CF853" s="3">
        <f t="shared" si="89"/>
        <v>0</v>
      </c>
      <c r="CG853" s="17">
        <f t="shared" si="88"/>
        <v>10398</v>
      </c>
      <c r="CH853" s="3" t="str">
        <f t="shared" si="88"/>
        <v xml:space="preserve">لاب فقط </v>
      </c>
    </row>
    <row r="854" spans="2:86" x14ac:dyDescent="0.25">
      <c r="C854" s="25">
        <v>17464</v>
      </c>
      <c r="D854" s="11">
        <v>10399</v>
      </c>
      <c r="E854" s="3" t="s">
        <v>78</v>
      </c>
      <c r="F854" s="3" t="s">
        <v>1086</v>
      </c>
      <c r="G854" s="3"/>
      <c r="H854" s="3">
        <v>1741.16</v>
      </c>
      <c r="U854" s="3"/>
      <c r="V854" s="3"/>
      <c r="AS854" s="22">
        <f t="shared" si="86"/>
        <v>1741.16</v>
      </c>
      <c r="AT854" s="3">
        <v>1163.5999999999999</v>
      </c>
      <c r="AU854" s="3">
        <v>158.05000000000001</v>
      </c>
      <c r="AV854" s="3">
        <v>419.51</v>
      </c>
      <c r="BD854" s="3"/>
      <c r="BE854" s="3"/>
      <c r="CE854" s="22">
        <f t="shared" si="87"/>
        <v>1741.1599999999999</v>
      </c>
      <c r="CF854" s="3">
        <f t="shared" si="89"/>
        <v>0</v>
      </c>
      <c r="CG854" s="17">
        <f t="shared" si="88"/>
        <v>10399</v>
      </c>
      <c r="CH854" s="3" t="str">
        <f t="shared" si="88"/>
        <v>برنامج دولى</v>
      </c>
    </row>
    <row r="855" spans="2:86" x14ac:dyDescent="0.25">
      <c r="C855" s="25">
        <v>17463</v>
      </c>
      <c r="D855" s="11">
        <v>10400</v>
      </c>
      <c r="E855" s="3" t="s">
        <v>78</v>
      </c>
      <c r="F855" s="3" t="s">
        <v>1086</v>
      </c>
      <c r="G855" s="3"/>
      <c r="H855" s="3">
        <v>2110.5</v>
      </c>
      <c r="U855" s="3"/>
      <c r="V855" s="3"/>
      <c r="AS855" s="22">
        <f t="shared" si="86"/>
        <v>2110.5</v>
      </c>
      <c r="AT855" s="3">
        <v>1410.35</v>
      </c>
      <c r="AU855" s="3">
        <v>191.65</v>
      </c>
      <c r="AV855" s="3">
        <v>508.5</v>
      </c>
      <c r="BD855" s="3"/>
      <c r="BE855" s="3"/>
      <c r="CE855" s="22">
        <f t="shared" si="87"/>
        <v>2110.5</v>
      </c>
      <c r="CF855" s="3">
        <f t="shared" si="89"/>
        <v>0</v>
      </c>
      <c r="CG855" s="17">
        <f t="shared" si="88"/>
        <v>10400</v>
      </c>
      <c r="CH855" s="3" t="str">
        <f t="shared" si="88"/>
        <v>برنامج دولى</v>
      </c>
    </row>
    <row r="856" spans="2:86" x14ac:dyDescent="0.25">
      <c r="C856" s="25">
        <v>17465</v>
      </c>
      <c r="D856" s="11">
        <v>10401</v>
      </c>
      <c r="E856" s="3" t="s">
        <v>78</v>
      </c>
      <c r="F856" s="3" t="s">
        <v>1086</v>
      </c>
      <c r="G856" s="3"/>
      <c r="H856" s="3">
        <v>2110.5</v>
      </c>
      <c r="U856" s="3"/>
      <c r="V856" s="3"/>
      <c r="AS856" s="22">
        <f t="shared" si="86"/>
        <v>2110.5</v>
      </c>
      <c r="AT856" s="3">
        <v>1410.35</v>
      </c>
      <c r="AU856" s="3">
        <v>191.65</v>
      </c>
      <c r="AV856" s="3">
        <v>508.5</v>
      </c>
      <c r="BD856" s="3"/>
      <c r="BE856" s="3"/>
      <c r="CE856" s="22">
        <f t="shared" si="87"/>
        <v>2110.5</v>
      </c>
      <c r="CF856" s="3">
        <f t="shared" si="89"/>
        <v>0</v>
      </c>
      <c r="CG856" s="17">
        <f t="shared" si="88"/>
        <v>10401</v>
      </c>
      <c r="CH856" s="3" t="str">
        <f t="shared" si="88"/>
        <v>برنامج دولى</v>
      </c>
    </row>
    <row r="857" spans="2:86" x14ac:dyDescent="0.25">
      <c r="C857" s="25"/>
      <c r="D857" s="11">
        <v>10402</v>
      </c>
      <c r="E857" s="3" t="s">
        <v>332</v>
      </c>
      <c r="F857" s="3" t="s">
        <v>1087</v>
      </c>
      <c r="G857" s="3"/>
      <c r="U857" s="3"/>
      <c r="V857" s="3"/>
      <c r="AS857" s="22">
        <f t="shared" si="86"/>
        <v>0</v>
      </c>
      <c r="AU857" s="3"/>
      <c r="BD857" s="3"/>
      <c r="BE857" s="3"/>
      <c r="CE857" s="22">
        <f t="shared" si="87"/>
        <v>0</v>
      </c>
      <c r="CF857" s="3">
        <f t="shared" si="89"/>
        <v>0</v>
      </c>
      <c r="CG857" s="17">
        <f t="shared" si="88"/>
        <v>10402</v>
      </c>
      <c r="CH857" s="3" t="str">
        <f t="shared" si="88"/>
        <v xml:space="preserve">لاب فقط </v>
      </c>
    </row>
    <row r="858" spans="2:86" x14ac:dyDescent="0.25">
      <c r="B858" s="17" t="s">
        <v>599</v>
      </c>
      <c r="C858" s="25">
        <v>15767</v>
      </c>
      <c r="D858" s="11">
        <v>10403</v>
      </c>
      <c r="E858" s="3" t="s">
        <v>121</v>
      </c>
      <c r="F858" s="3" t="s">
        <v>1088</v>
      </c>
      <c r="G858" s="3"/>
      <c r="H858" s="3">
        <v>145718.1</v>
      </c>
      <c r="U858" s="3"/>
      <c r="V858" s="3"/>
      <c r="AS858" s="22">
        <f t="shared" si="86"/>
        <v>145718.1</v>
      </c>
      <c r="AT858" s="3">
        <v>130075.84</v>
      </c>
      <c r="AU858" s="3">
        <v>15642.26</v>
      </c>
      <c r="BD858" s="3"/>
      <c r="BE858" s="3"/>
      <c r="CE858" s="22">
        <f t="shared" si="87"/>
        <v>145718.1</v>
      </c>
      <c r="CF858" s="3">
        <f t="shared" si="89"/>
        <v>0</v>
      </c>
      <c r="CG858" s="17">
        <f t="shared" si="88"/>
        <v>10403</v>
      </c>
      <c r="CH858" s="3" t="str">
        <f t="shared" si="88"/>
        <v>ماليزى اسنان</v>
      </c>
    </row>
    <row r="859" spans="2:86" x14ac:dyDescent="0.25">
      <c r="B859" s="17" t="s">
        <v>599</v>
      </c>
      <c r="C859" s="25">
        <v>15769</v>
      </c>
      <c r="D859" s="11">
        <v>10404</v>
      </c>
      <c r="E859" s="3" t="s">
        <v>121</v>
      </c>
      <c r="F859" s="3" t="s">
        <v>1088</v>
      </c>
      <c r="G859" s="3"/>
      <c r="H859" s="3">
        <v>811999.42</v>
      </c>
      <c r="U859" s="3"/>
      <c r="V859" s="3"/>
      <c r="AS859" s="22">
        <f t="shared" si="86"/>
        <v>811999.42</v>
      </c>
      <c r="AT859" s="3">
        <v>715209.67</v>
      </c>
      <c r="AU859" s="3">
        <v>86545.09</v>
      </c>
      <c r="AV859" s="3">
        <v>10244.66</v>
      </c>
      <c r="BD859" s="3"/>
      <c r="BE859" s="3"/>
      <c r="CE859" s="22">
        <f t="shared" si="87"/>
        <v>811999.42</v>
      </c>
      <c r="CF859" s="3">
        <f t="shared" si="89"/>
        <v>0</v>
      </c>
      <c r="CG859" s="17">
        <f t="shared" si="88"/>
        <v>10404</v>
      </c>
      <c r="CH859" s="3" t="str">
        <f t="shared" si="88"/>
        <v>ماليزى اسنان</v>
      </c>
    </row>
    <row r="860" spans="2:86" x14ac:dyDescent="0.25">
      <c r="B860" s="17" t="s">
        <v>599</v>
      </c>
      <c r="C860" s="25">
        <v>17557</v>
      </c>
      <c r="D860" s="11">
        <v>10405</v>
      </c>
      <c r="E860" s="3" t="s">
        <v>121</v>
      </c>
      <c r="F860" s="3" t="s">
        <v>1089</v>
      </c>
      <c r="G860" s="3"/>
      <c r="H860" s="3">
        <v>1414.21</v>
      </c>
      <c r="U860" s="3"/>
      <c r="V860" s="3"/>
      <c r="AS860" s="22">
        <f t="shared" si="86"/>
        <v>1414.21</v>
      </c>
      <c r="AT860" s="3">
        <v>1164.6099999999999</v>
      </c>
      <c r="AU860" s="3">
        <v>144.44999999999999</v>
      </c>
      <c r="AV860" s="3">
        <v>105.15</v>
      </c>
      <c r="BD860" s="3"/>
      <c r="BE860" s="3"/>
      <c r="CE860" s="22">
        <f t="shared" si="87"/>
        <v>1414.21</v>
      </c>
      <c r="CF860" s="3">
        <f t="shared" si="89"/>
        <v>0</v>
      </c>
      <c r="CG860" s="17">
        <f t="shared" si="88"/>
        <v>10405</v>
      </c>
      <c r="CH860" s="3" t="str">
        <f t="shared" si="88"/>
        <v>ماليزى اسنان</v>
      </c>
    </row>
    <row r="861" spans="2:86" x14ac:dyDescent="0.25">
      <c r="B861" s="17" t="s">
        <v>599</v>
      </c>
      <c r="C861" s="25">
        <v>15768</v>
      </c>
      <c r="D861" s="11">
        <v>10406</v>
      </c>
      <c r="E861" s="3" t="s">
        <v>121</v>
      </c>
      <c r="F861" s="3" t="s">
        <v>1090</v>
      </c>
      <c r="G861" s="3"/>
      <c r="H861" s="3">
        <v>79822.5</v>
      </c>
      <c r="U861" s="3"/>
      <c r="V861" s="3"/>
      <c r="AS861" s="22">
        <f t="shared" si="86"/>
        <v>79822.5</v>
      </c>
      <c r="AT861" s="3">
        <v>70791.899999999994</v>
      </c>
      <c r="AU861" s="3">
        <v>8528.1</v>
      </c>
      <c r="AV861" s="3">
        <v>502.5</v>
      </c>
      <c r="BD861" s="3"/>
      <c r="BE861" s="3"/>
      <c r="CE861" s="22">
        <f t="shared" si="87"/>
        <v>79822.5</v>
      </c>
      <c r="CF861" s="3">
        <f t="shared" si="89"/>
        <v>0</v>
      </c>
      <c r="CG861" s="17">
        <f t="shared" si="88"/>
        <v>10406</v>
      </c>
      <c r="CH861" s="3" t="str">
        <f t="shared" si="88"/>
        <v>ماليزى اسنان</v>
      </c>
    </row>
    <row r="862" spans="2:86" x14ac:dyDescent="0.25">
      <c r="B862" s="17" t="s">
        <v>599</v>
      </c>
      <c r="C862" s="25">
        <v>17559</v>
      </c>
      <c r="D862" s="11">
        <v>10407</v>
      </c>
      <c r="E862" s="3" t="s">
        <v>121</v>
      </c>
      <c r="F862" s="3" t="s">
        <v>1091</v>
      </c>
      <c r="G862" s="3"/>
      <c r="H862" s="3">
        <v>3750</v>
      </c>
      <c r="U862" s="3"/>
      <c r="V862" s="3"/>
      <c r="AS862" s="22">
        <f t="shared" si="86"/>
        <v>3750</v>
      </c>
      <c r="AT862" s="3">
        <v>3347.25</v>
      </c>
      <c r="AU862" s="3">
        <v>402.75</v>
      </c>
      <c r="BD862" s="3"/>
      <c r="BE862" s="3"/>
      <c r="CE862" s="22">
        <f t="shared" si="87"/>
        <v>3750</v>
      </c>
      <c r="CF862" s="3">
        <f t="shared" si="89"/>
        <v>0</v>
      </c>
      <c r="CG862" s="17">
        <f t="shared" si="88"/>
        <v>10407</v>
      </c>
      <c r="CH862" s="3" t="str">
        <f t="shared" si="88"/>
        <v>ماليزى اسنان</v>
      </c>
    </row>
    <row r="863" spans="2:86" x14ac:dyDescent="0.25">
      <c r="B863" s="17" t="s">
        <v>599</v>
      </c>
      <c r="C863" s="25">
        <v>17558</v>
      </c>
      <c r="D863" s="11">
        <v>10408</v>
      </c>
      <c r="E863" s="3" t="s">
        <v>121</v>
      </c>
      <c r="F863" s="3" t="str">
        <f>+F861</f>
        <v>مكافاه منسقين خريف ا ه ت</v>
      </c>
      <c r="G863" s="3"/>
      <c r="H863" s="3">
        <v>21000</v>
      </c>
      <c r="U863" s="3"/>
      <c r="V863" s="3"/>
      <c r="AS863" s="22">
        <f t="shared" si="86"/>
        <v>21000</v>
      </c>
      <c r="AT863" s="3">
        <v>18747.05</v>
      </c>
      <c r="AU863" s="3">
        <v>2252.9499999999998</v>
      </c>
      <c r="BD863" s="3"/>
      <c r="BE863" s="3"/>
      <c r="CE863" s="22">
        <f t="shared" si="87"/>
        <v>21000</v>
      </c>
      <c r="CF863" s="3">
        <f t="shared" si="89"/>
        <v>0</v>
      </c>
      <c r="CG863" s="17">
        <f t="shared" si="88"/>
        <v>10408</v>
      </c>
      <c r="CH863" s="3" t="str">
        <f t="shared" si="88"/>
        <v>ماليزى اسنان</v>
      </c>
    </row>
    <row r="864" spans="2:86" x14ac:dyDescent="0.25">
      <c r="C864" s="25">
        <v>17238</v>
      </c>
      <c r="D864" s="11">
        <v>10409</v>
      </c>
      <c r="E864" s="3" t="s">
        <v>137</v>
      </c>
      <c r="F864" s="3" t="str">
        <f>+F866</f>
        <v>مكافاه كورس غرس الفتره 11/1/2024</v>
      </c>
      <c r="G864" s="3"/>
      <c r="H864" s="3">
        <v>1172.5</v>
      </c>
      <c r="U864" s="3"/>
      <c r="V864" s="3"/>
      <c r="AS864" s="22">
        <f t="shared" si="86"/>
        <v>1172.5</v>
      </c>
      <c r="AT864" s="3">
        <v>734.1</v>
      </c>
      <c r="AU864" s="3">
        <v>105.9</v>
      </c>
      <c r="AV864" s="3">
        <v>282.5</v>
      </c>
      <c r="AW864" s="3">
        <v>50</v>
      </c>
      <c r="BD864" s="3"/>
      <c r="BE864" s="3"/>
      <c r="CE864" s="22">
        <f t="shared" si="87"/>
        <v>1172.5</v>
      </c>
      <c r="CF864" s="3">
        <f t="shared" si="89"/>
        <v>0</v>
      </c>
      <c r="CG864" s="17">
        <f t="shared" si="88"/>
        <v>10409</v>
      </c>
      <c r="CH864" s="3" t="str">
        <f t="shared" si="88"/>
        <v xml:space="preserve">خدمة عامة </v>
      </c>
    </row>
    <row r="865" spans="1:97" x14ac:dyDescent="0.25">
      <c r="B865" s="3"/>
      <c r="C865" s="25">
        <v>17236</v>
      </c>
      <c r="D865" s="11">
        <v>10410</v>
      </c>
      <c r="E865" s="3" t="s">
        <v>137</v>
      </c>
      <c r="F865" s="3" t="str">
        <f>+F864</f>
        <v>مكافاه كورس غرس الفتره 11/1/2024</v>
      </c>
      <c r="G865" s="3"/>
      <c r="H865" s="3">
        <v>151453.01999999999</v>
      </c>
      <c r="U865" s="3"/>
      <c r="V865" s="3"/>
      <c r="AS865" s="22">
        <f t="shared" si="86"/>
        <v>151453.01999999999</v>
      </c>
      <c r="AT865" s="3">
        <v>122803.22</v>
      </c>
      <c r="AU865" s="3">
        <v>15594.85</v>
      </c>
      <c r="AV865" s="3">
        <v>5654.95</v>
      </c>
      <c r="AW865" s="3">
        <v>7400</v>
      </c>
      <c r="BD865" s="3"/>
      <c r="BE865" s="3"/>
      <c r="CE865" s="22">
        <f t="shared" si="87"/>
        <v>151453.02000000002</v>
      </c>
      <c r="CF865" s="3">
        <f t="shared" si="89"/>
        <v>0</v>
      </c>
      <c r="CG865" s="17">
        <f t="shared" si="88"/>
        <v>10410</v>
      </c>
      <c r="CH865" s="3" t="str">
        <f t="shared" si="88"/>
        <v xml:space="preserve">خدمة عامة </v>
      </c>
    </row>
    <row r="866" spans="1:97" x14ac:dyDescent="0.25">
      <c r="C866" s="25">
        <v>17237</v>
      </c>
      <c r="D866" s="11">
        <v>10411</v>
      </c>
      <c r="E866" s="3" t="s">
        <v>137</v>
      </c>
      <c r="F866" s="3" t="s">
        <v>1092</v>
      </c>
      <c r="G866" s="3"/>
      <c r="H866" s="3">
        <v>8793.75</v>
      </c>
      <c r="U866" s="3"/>
      <c r="V866" s="3"/>
      <c r="AS866" s="22">
        <f t="shared" si="86"/>
        <v>8793.75</v>
      </c>
      <c r="AT866" s="3">
        <v>5500.65</v>
      </c>
      <c r="AU866" s="3">
        <v>799.35</v>
      </c>
      <c r="AV866" s="3">
        <v>2118.75</v>
      </c>
      <c r="AW866" s="3">
        <v>375</v>
      </c>
      <c r="BD866" s="3"/>
      <c r="BE866" s="3"/>
      <c r="CE866" s="22">
        <f t="shared" si="87"/>
        <v>8793.75</v>
      </c>
      <c r="CF866" s="3">
        <f t="shared" si="89"/>
        <v>0</v>
      </c>
      <c r="CG866" s="17">
        <f t="shared" si="88"/>
        <v>10411</v>
      </c>
      <c r="CH866" s="3" t="str">
        <f t="shared" si="88"/>
        <v xml:space="preserve">خدمة عامة </v>
      </c>
    </row>
    <row r="867" spans="1:97" s="29" customFormat="1" x14ac:dyDescent="0.25">
      <c r="A867" s="27"/>
      <c r="B867" s="28"/>
      <c r="C867" s="46"/>
      <c r="D867" s="47"/>
      <c r="F867" s="29" t="s">
        <v>1093</v>
      </c>
      <c r="H867" s="29">
        <f>SUM(H623:H866)</f>
        <v>4516106.8299999991</v>
      </c>
      <c r="I867" s="29">
        <f t="shared" ref="I867:BU867" si="90">SUM(I623:I866)</f>
        <v>0</v>
      </c>
      <c r="J867" s="29">
        <f t="shared" si="90"/>
        <v>0</v>
      </c>
      <c r="K867" s="29">
        <f t="shared" si="90"/>
        <v>0</v>
      </c>
      <c r="L867" s="29">
        <f t="shared" si="90"/>
        <v>0</v>
      </c>
      <c r="M867" s="29">
        <f t="shared" si="90"/>
        <v>0</v>
      </c>
      <c r="N867" s="29">
        <f t="shared" si="90"/>
        <v>0</v>
      </c>
      <c r="O867" s="29">
        <f t="shared" si="90"/>
        <v>0</v>
      </c>
      <c r="P867" s="29">
        <f t="shared" si="90"/>
        <v>0</v>
      </c>
      <c r="Q867" s="29">
        <f t="shared" si="90"/>
        <v>0</v>
      </c>
      <c r="R867" s="29">
        <f t="shared" si="90"/>
        <v>0</v>
      </c>
      <c r="S867" s="29">
        <f t="shared" si="90"/>
        <v>0</v>
      </c>
      <c r="T867" s="29">
        <f t="shared" si="90"/>
        <v>0</v>
      </c>
      <c r="U867" s="29">
        <f t="shared" si="90"/>
        <v>0</v>
      </c>
      <c r="V867" s="29">
        <f t="shared" si="90"/>
        <v>0</v>
      </c>
      <c r="W867" s="29">
        <f t="shared" si="90"/>
        <v>0</v>
      </c>
      <c r="X867" s="29">
        <f t="shared" si="90"/>
        <v>0</v>
      </c>
      <c r="Y867" s="29">
        <f t="shared" si="90"/>
        <v>0</v>
      </c>
      <c r="Z867" s="29">
        <f t="shared" si="90"/>
        <v>0</v>
      </c>
      <c r="AA867" s="29">
        <f t="shared" si="90"/>
        <v>0</v>
      </c>
      <c r="AB867" s="29">
        <f t="shared" si="90"/>
        <v>0</v>
      </c>
      <c r="AC867" s="29">
        <f t="shared" si="90"/>
        <v>0</v>
      </c>
      <c r="AD867" s="29">
        <f t="shared" si="90"/>
        <v>0</v>
      </c>
      <c r="AE867" s="29">
        <f t="shared" si="90"/>
        <v>0</v>
      </c>
      <c r="AF867" s="29">
        <f t="shared" si="90"/>
        <v>0</v>
      </c>
      <c r="AG867" s="29">
        <f t="shared" si="90"/>
        <v>0</v>
      </c>
      <c r="AH867" s="29">
        <f t="shared" si="90"/>
        <v>0</v>
      </c>
      <c r="AI867" s="29">
        <f t="shared" si="90"/>
        <v>0</v>
      </c>
      <c r="AJ867" s="29">
        <f t="shared" si="90"/>
        <v>0</v>
      </c>
      <c r="AK867" s="29">
        <f t="shared" si="90"/>
        <v>0</v>
      </c>
      <c r="AL867" s="29">
        <f t="shared" si="90"/>
        <v>0</v>
      </c>
      <c r="AM867" s="29">
        <f t="shared" si="90"/>
        <v>0</v>
      </c>
      <c r="AN867" s="29">
        <f t="shared" si="90"/>
        <v>0</v>
      </c>
      <c r="AO867" s="29">
        <f t="shared" si="90"/>
        <v>0</v>
      </c>
      <c r="AP867" s="29">
        <f t="shared" si="90"/>
        <v>0</v>
      </c>
      <c r="AQ867" s="29">
        <f t="shared" si="90"/>
        <v>0</v>
      </c>
      <c r="AS867" s="29">
        <f t="shared" si="90"/>
        <v>4516106.8299999991</v>
      </c>
      <c r="AT867" s="29">
        <f t="shared" si="90"/>
        <v>3567622.4200000032</v>
      </c>
      <c r="AU867" s="29">
        <f t="shared" si="90"/>
        <v>456751.77000000014</v>
      </c>
      <c r="AV867" s="29">
        <f t="shared" si="90"/>
        <v>475866.60999999987</v>
      </c>
      <c r="AW867" s="29">
        <f t="shared" si="90"/>
        <v>15346.029999999999</v>
      </c>
      <c r="AX867" s="29">
        <f t="shared" si="90"/>
        <v>520</v>
      </c>
      <c r="AY867" s="29">
        <f t="shared" si="90"/>
        <v>0</v>
      </c>
      <c r="AZ867" s="29">
        <f t="shared" si="90"/>
        <v>0</v>
      </c>
      <c r="BA867" s="29">
        <f t="shared" si="90"/>
        <v>0</v>
      </c>
      <c r="BB867" s="29">
        <f t="shared" si="90"/>
        <v>0</v>
      </c>
      <c r="BC867" s="29">
        <f t="shared" si="90"/>
        <v>0</v>
      </c>
      <c r="BD867" s="29">
        <f t="shared" si="90"/>
        <v>0</v>
      </c>
      <c r="BE867" s="29">
        <f t="shared" si="90"/>
        <v>0</v>
      </c>
      <c r="BF867" s="29">
        <f t="shared" si="90"/>
        <v>0</v>
      </c>
      <c r="BG867" s="29">
        <f t="shared" si="90"/>
        <v>0</v>
      </c>
      <c r="BH867" s="29">
        <f t="shared" si="90"/>
        <v>0</v>
      </c>
      <c r="BI867" s="29">
        <f t="shared" si="90"/>
        <v>0</v>
      </c>
      <c r="BJ867" s="29">
        <f t="shared" si="90"/>
        <v>0</v>
      </c>
      <c r="BK867" s="29">
        <f t="shared" si="90"/>
        <v>0</v>
      </c>
      <c r="BL867" s="29">
        <f t="shared" si="90"/>
        <v>0</v>
      </c>
      <c r="BM867" s="29">
        <f t="shared" si="90"/>
        <v>0</v>
      </c>
      <c r="BN867" s="29">
        <f t="shared" si="90"/>
        <v>0</v>
      </c>
      <c r="BO867" s="29">
        <f t="shared" si="90"/>
        <v>0</v>
      </c>
      <c r="BP867" s="29">
        <f t="shared" si="90"/>
        <v>0</v>
      </c>
      <c r="BQ867" s="29">
        <f t="shared" si="90"/>
        <v>0</v>
      </c>
      <c r="BR867" s="29">
        <f t="shared" si="90"/>
        <v>0</v>
      </c>
      <c r="BS867" s="29">
        <f t="shared" si="90"/>
        <v>0</v>
      </c>
      <c r="BT867" s="29">
        <f t="shared" si="90"/>
        <v>0</v>
      </c>
      <c r="BU867" s="29">
        <f t="shared" si="90"/>
        <v>0</v>
      </c>
      <c r="BV867" s="29">
        <f t="shared" ref="BV867:CS867" si="91">SUM(BV623:BV866)</f>
        <v>0</v>
      </c>
      <c r="BW867" s="29">
        <f t="shared" si="91"/>
        <v>0</v>
      </c>
      <c r="BX867" s="29">
        <f t="shared" si="91"/>
        <v>0</v>
      </c>
      <c r="BY867" s="29">
        <f t="shared" si="91"/>
        <v>0</v>
      </c>
      <c r="BZ867" s="29">
        <f t="shared" si="91"/>
        <v>0</v>
      </c>
      <c r="CA867" s="29">
        <f t="shared" si="91"/>
        <v>0</v>
      </c>
      <c r="CB867" s="29">
        <f t="shared" si="91"/>
        <v>0</v>
      </c>
      <c r="CC867" s="29">
        <f t="shared" si="91"/>
        <v>0</v>
      </c>
      <c r="CE867" s="29">
        <f t="shared" si="91"/>
        <v>4516106.83</v>
      </c>
      <c r="CF867" s="29">
        <f t="shared" si="91"/>
        <v>0</v>
      </c>
      <c r="CH867" s="29">
        <f t="shared" si="91"/>
        <v>0</v>
      </c>
      <c r="CI867" s="29">
        <f t="shared" si="91"/>
        <v>0</v>
      </c>
      <c r="CJ867" s="29">
        <f t="shared" si="91"/>
        <v>0</v>
      </c>
      <c r="CK867" s="29">
        <f t="shared" si="91"/>
        <v>0</v>
      </c>
      <c r="CL867" s="29">
        <f t="shared" si="91"/>
        <v>0</v>
      </c>
      <c r="CM867" s="29">
        <f t="shared" si="91"/>
        <v>0</v>
      </c>
      <c r="CN867" s="29">
        <f t="shared" si="91"/>
        <v>0</v>
      </c>
      <c r="CO867" s="29">
        <f t="shared" si="91"/>
        <v>0</v>
      </c>
      <c r="CP867" s="29">
        <f t="shared" si="91"/>
        <v>0</v>
      </c>
      <c r="CQ867" s="29">
        <f t="shared" si="91"/>
        <v>0</v>
      </c>
      <c r="CR867" s="29">
        <f t="shared" si="91"/>
        <v>0</v>
      </c>
      <c r="CS867" s="29">
        <f t="shared" si="91"/>
        <v>0</v>
      </c>
    </row>
    <row r="868" spans="1:97" x14ac:dyDescent="0.25">
      <c r="C868" s="25">
        <v>16686</v>
      </c>
      <c r="D868" s="11">
        <v>10412</v>
      </c>
      <c r="E868" s="3" t="s">
        <v>78</v>
      </c>
      <c r="F868" s="3" t="s">
        <v>1094</v>
      </c>
      <c r="G868" s="3"/>
      <c r="I868" s="3">
        <v>240</v>
      </c>
      <c r="U868" s="3"/>
      <c r="V868" s="3"/>
      <c r="AS868" s="22">
        <f t="shared" si="86"/>
        <v>240</v>
      </c>
      <c r="AT868" s="3">
        <v>240</v>
      </c>
      <c r="AU868" s="3"/>
      <c r="BD868" s="3"/>
      <c r="BE868" s="3"/>
      <c r="CE868" s="22">
        <f t="shared" ref="CE868:CE888" si="92">SUM(AT868:CC868)</f>
        <v>240</v>
      </c>
      <c r="CF868" s="3">
        <f t="shared" ref="CF868:CF926" si="93">+CE868-AS868</f>
        <v>0</v>
      </c>
      <c r="CG868" s="17">
        <f t="shared" ref="CG868:CH888" si="94">+D868</f>
        <v>10412</v>
      </c>
      <c r="CH868" s="3" t="str">
        <f t="shared" si="94"/>
        <v>برنامج دولى</v>
      </c>
    </row>
    <row r="869" spans="1:97" x14ac:dyDescent="0.25">
      <c r="B869" s="3"/>
      <c r="C869" s="25">
        <v>16756</v>
      </c>
      <c r="D869" s="11">
        <v>10413</v>
      </c>
      <c r="E869" s="3" t="s">
        <v>78</v>
      </c>
      <c r="F869" s="3" t="s">
        <v>442</v>
      </c>
      <c r="G869" s="3"/>
      <c r="I869" s="3">
        <v>150</v>
      </c>
      <c r="U869" s="3"/>
      <c r="V869" s="3"/>
      <c r="AS869" s="22">
        <f t="shared" si="86"/>
        <v>150</v>
      </c>
      <c r="AT869" s="3">
        <v>150</v>
      </c>
      <c r="AU869" s="3"/>
      <c r="BD869" s="3"/>
      <c r="BE869" s="3"/>
      <c r="CE869" s="22">
        <f t="shared" si="92"/>
        <v>150</v>
      </c>
      <c r="CF869" s="3">
        <f t="shared" si="93"/>
        <v>0</v>
      </c>
      <c r="CG869" s="17">
        <f t="shared" si="94"/>
        <v>10413</v>
      </c>
      <c r="CH869" s="3" t="str">
        <f t="shared" si="94"/>
        <v>برنامج دولى</v>
      </c>
    </row>
    <row r="870" spans="1:97" x14ac:dyDescent="0.25">
      <c r="C870" s="25">
        <v>16758</v>
      </c>
      <c r="D870" s="11">
        <v>10414</v>
      </c>
      <c r="E870" s="3" t="s">
        <v>78</v>
      </c>
      <c r="F870" s="3" t="s">
        <v>444</v>
      </c>
      <c r="G870" s="3"/>
      <c r="I870" s="3">
        <v>450</v>
      </c>
      <c r="U870" s="3"/>
      <c r="V870" s="3"/>
      <c r="AS870" s="22">
        <f t="shared" si="86"/>
        <v>450</v>
      </c>
      <c r="AT870" s="3">
        <v>450</v>
      </c>
      <c r="AU870" s="3"/>
      <c r="BD870" s="3"/>
      <c r="BE870" s="3"/>
      <c r="CE870" s="22">
        <f t="shared" si="92"/>
        <v>450</v>
      </c>
      <c r="CF870" s="3">
        <f t="shared" si="93"/>
        <v>0</v>
      </c>
      <c r="CG870" s="17">
        <f t="shared" si="94"/>
        <v>10414</v>
      </c>
      <c r="CH870" s="3" t="str">
        <f t="shared" si="94"/>
        <v>برنامج دولى</v>
      </c>
    </row>
    <row r="871" spans="1:97" x14ac:dyDescent="0.25">
      <c r="C871" s="25">
        <v>16757</v>
      </c>
      <c r="D871" s="11">
        <v>10415</v>
      </c>
      <c r="E871" s="3" t="s">
        <v>78</v>
      </c>
      <c r="F871" s="3" t="s">
        <v>1095</v>
      </c>
      <c r="G871" s="3"/>
      <c r="I871" s="3">
        <v>165</v>
      </c>
      <c r="U871" s="3"/>
      <c r="V871" s="3"/>
      <c r="AS871" s="22">
        <f t="shared" si="86"/>
        <v>165</v>
      </c>
      <c r="AT871" s="3">
        <v>165</v>
      </c>
      <c r="AU871" s="3"/>
      <c r="BD871" s="3"/>
      <c r="BE871" s="3"/>
      <c r="CE871" s="22">
        <f t="shared" si="92"/>
        <v>165</v>
      </c>
      <c r="CF871" s="3">
        <f t="shared" si="93"/>
        <v>0</v>
      </c>
      <c r="CG871" s="17">
        <f t="shared" si="94"/>
        <v>10415</v>
      </c>
      <c r="CH871" s="3" t="str">
        <f t="shared" si="94"/>
        <v>برنامج دولى</v>
      </c>
    </row>
    <row r="872" spans="1:97" x14ac:dyDescent="0.25">
      <c r="C872" s="25">
        <v>16759</v>
      </c>
      <c r="D872" s="11">
        <v>10416</v>
      </c>
      <c r="E872" s="3" t="s">
        <v>78</v>
      </c>
      <c r="F872" s="3" t="s">
        <v>443</v>
      </c>
      <c r="G872" s="3"/>
      <c r="I872" s="3">
        <v>120</v>
      </c>
      <c r="U872" s="3"/>
      <c r="V872" s="3"/>
      <c r="AS872" s="22">
        <f t="shared" si="86"/>
        <v>120</v>
      </c>
      <c r="AT872" s="3">
        <v>120</v>
      </c>
      <c r="AU872" s="3"/>
      <c r="BD872" s="3"/>
      <c r="BE872" s="3"/>
      <c r="CE872" s="22">
        <f t="shared" si="92"/>
        <v>120</v>
      </c>
      <c r="CF872" s="3">
        <f t="shared" si="93"/>
        <v>0</v>
      </c>
      <c r="CG872" s="17">
        <f t="shared" si="94"/>
        <v>10416</v>
      </c>
      <c r="CH872" s="3" t="str">
        <f t="shared" si="94"/>
        <v>برنامج دولى</v>
      </c>
    </row>
    <row r="873" spans="1:97" x14ac:dyDescent="0.25">
      <c r="C873" s="25">
        <v>16754</v>
      </c>
      <c r="D873" s="11">
        <v>10417</v>
      </c>
      <c r="E873" s="3" t="s">
        <v>78</v>
      </c>
      <c r="F873" s="3" t="s">
        <v>1096</v>
      </c>
      <c r="G873" s="3"/>
      <c r="I873" s="3">
        <v>360</v>
      </c>
      <c r="U873" s="3"/>
      <c r="V873" s="3"/>
      <c r="AS873" s="22">
        <f t="shared" si="86"/>
        <v>360</v>
      </c>
      <c r="AT873" s="3">
        <v>360</v>
      </c>
      <c r="AU873" s="3"/>
      <c r="BD873" s="3"/>
      <c r="BE873" s="3"/>
      <c r="CE873" s="22">
        <f t="shared" si="92"/>
        <v>360</v>
      </c>
      <c r="CF873" s="3">
        <f t="shared" si="93"/>
        <v>0</v>
      </c>
      <c r="CG873" s="17">
        <f t="shared" si="94"/>
        <v>10417</v>
      </c>
      <c r="CH873" s="3" t="str">
        <f t="shared" si="94"/>
        <v>برنامج دولى</v>
      </c>
    </row>
    <row r="874" spans="1:97" x14ac:dyDescent="0.25">
      <c r="C874" s="25">
        <v>16755</v>
      </c>
      <c r="D874" s="11">
        <v>10418</v>
      </c>
      <c r="E874" s="3" t="s">
        <v>78</v>
      </c>
      <c r="F874" s="3" t="s">
        <v>1097</v>
      </c>
      <c r="G874" s="3"/>
      <c r="I874" s="3">
        <v>640</v>
      </c>
      <c r="U874" s="3"/>
      <c r="V874" s="3"/>
      <c r="AS874" s="22">
        <f t="shared" si="86"/>
        <v>640</v>
      </c>
      <c r="AT874" s="3">
        <v>640</v>
      </c>
      <c r="AU874" s="3"/>
      <c r="BD874" s="3"/>
      <c r="BE874" s="3"/>
      <c r="CE874" s="22">
        <f t="shared" si="92"/>
        <v>640</v>
      </c>
      <c r="CF874" s="3">
        <f t="shared" si="93"/>
        <v>0</v>
      </c>
      <c r="CG874" s="17">
        <f t="shared" si="94"/>
        <v>10418</v>
      </c>
      <c r="CH874" s="3" t="str">
        <f t="shared" si="94"/>
        <v>برنامج دولى</v>
      </c>
    </row>
    <row r="875" spans="1:97" x14ac:dyDescent="0.25">
      <c r="C875" s="25">
        <v>17134</v>
      </c>
      <c r="D875" s="11">
        <v>10419</v>
      </c>
      <c r="E875" s="3" t="s">
        <v>78</v>
      </c>
      <c r="F875" s="3" t="s">
        <v>1098</v>
      </c>
      <c r="G875" s="3"/>
      <c r="I875" s="3">
        <v>164962.98000000001</v>
      </c>
      <c r="U875" s="3"/>
      <c r="V875" s="3"/>
      <c r="AS875" s="22">
        <f t="shared" si="86"/>
        <v>164962.98000000001</v>
      </c>
      <c r="AT875" s="3">
        <v>147251.6</v>
      </c>
      <c r="AU875" s="3">
        <f>1041.88+3125.65+90</f>
        <v>4257.5300000000007</v>
      </c>
      <c r="AW875" s="3">
        <v>5</v>
      </c>
      <c r="BD875" s="3"/>
      <c r="BE875" s="3"/>
      <c r="BG875" s="3">
        <v>1571.15</v>
      </c>
      <c r="BH875" s="3">
        <v>40</v>
      </c>
      <c r="BI875" s="3">
        <f>684.65+24.8+684.65+24.8</f>
        <v>1418.8999999999999</v>
      </c>
      <c r="BJ875" s="3">
        <v>8248.5</v>
      </c>
      <c r="CC875" s="3">
        <f>220.3+500+1000+450</f>
        <v>2170.3000000000002</v>
      </c>
      <c r="CE875" s="22">
        <f t="shared" si="92"/>
        <v>164962.97999999998</v>
      </c>
      <c r="CF875" s="3">
        <f t="shared" si="93"/>
        <v>0</v>
      </c>
      <c r="CG875" s="17">
        <f t="shared" si="94"/>
        <v>10419</v>
      </c>
      <c r="CH875" s="3" t="str">
        <f t="shared" si="94"/>
        <v>برنامج دولى</v>
      </c>
    </row>
    <row r="876" spans="1:97" x14ac:dyDescent="0.25">
      <c r="C876" s="25">
        <v>17468</v>
      </c>
      <c r="D876" s="11">
        <v>10420</v>
      </c>
      <c r="E876" s="3" t="s">
        <v>78</v>
      </c>
      <c r="F876" s="3" t="s">
        <v>1099</v>
      </c>
      <c r="G876" s="3"/>
      <c r="I876" s="3">
        <v>9000</v>
      </c>
      <c r="P876" s="3">
        <v>9000</v>
      </c>
      <c r="U876" s="3"/>
      <c r="V876" s="3"/>
      <c r="AS876" s="22">
        <f t="shared" si="86"/>
        <v>18000</v>
      </c>
      <c r="AT876" s="3">
        <v>9000</v>
      </c>
      <c r="AU876" s="3"/>
      <c r="BD876" s="3"/>
      <c r="BE876" s="3"/>
      <c r="BO876" s="3">
        <v>9000</v>
      </c>
      <c r="CE876" s="22">
        <f t="shared" si="92"/>
        <v>18000</v>
      </c>
      <c r="CF876" s="3">
        <f t="shared" si="93"/>
        <v>0</v>
      </c>
      <c r="CG876" s="17">
        <f t="shared" si="94"/>
        <v>10420</v>
      </c>
      <c r="CH876" s="3" t="str">
        <f t="shared" si="94"/>
        <v>برنامج دولى</v>
      </c>
    </row>
    <row r="877" spans="1:97" x14ac:dyDescent="0.25">
      <c r="C877" s="25">
        <v>17472</v>
      </c>
      <c r="D877" s="11">
        <v>10421</v>
      </c>
      <c r="E877" s="3" t="s">
        <v>128</v>
      </c>
      <c r="F877" s="3" t="s">
        <v>1100</v>
      </c>
      <c r="G877" s="3"/>
      <c r="I877" s="3">
        <v>16000</v>
      </c>
      <c r="P877" s="3">
        <v>16000</v>
      </c>
      <c r="U877" s="3"/>
      <c r="V877" s="3"/>
      <c r="AS877" s="22">
        <f t="shared" si="86"/>
        <v>32000</v>
      </c>
      <c r="AT877" s="3">
        <v>16000</v>
      </c>
      <c r="AU877" s="3"/>
      <c r="BD877" s="3"/>
      <c r="BE877" s="3"/>
      <c r="BO877" s="3">
        <v>16000</v>
      </c>
      <c r="CE877" s="22">
        <f t="shared" si="92"/>
        <v>32000</v>
      </c>
      <c r="CF877" s="3">
        <f t="shared" si="93"/>
        <v>0</v>
      </c>
      <c r="CG877" s="17">
        <f t="shared" si="94"/>
        <v>10421</v>
      </c>
      <c r="CH877" s="3" t="str">
        <f t="shared" si="94"/>
        <v>مركز مؤتمرات</v>
      </c>
    </row>
    <row r="878" spans="1:97" ht="31.5" x14ac:dyDescent="0.25">
      <c r="C878" s="25">
        <v>16949</v>
      </c>
      <c r="D878" s="11">
        <v>10422</v>
      </c>
      <c r="E878" s="3" t="s">
        <v>121</v>
      </c>
      <c r="F878" s="9" t="s">
        <v>1101</v>
      </c>
      <c r="G878" s="3"/>
      <c r="I878" s="3">
        <v>2000</v>
      </c>
      <c r="U878" s="3"/>
      <c r="V878" s="3"/>
      <c r="AS878" s="22">
        <f t="shared" si="86"/>
        <v>2000</v>
      </c>
      <c r="AT878" s="3">
        <v>1661.1</v>
      </c>
      <c r="AU878" s="3">
        <f>25.75+77.25+1.8</f>
        <v>104.8</v>
      </c>
      <c r="AW878" s="3">
        <v>5</v>
      </c>
      <c r="BD878" s="3"/>
      <c r="BE878" s="3"/>
      <c r="BG878" s="3">
        <v>52.75</v>
      </c>
      <c r="BH878" s="3">
        <v>4</v>
      </c>
      <c r="CC878" s="3">
        <v>172.35</v>
      </c>
      <c r="CE878" s="22">
        <f t="shared" si="92"/>
        <v>1999.9999999999998</v>
      </c>
      <c r="CF878" s="3">
        <f t="shared" si="93"/>
        <v>0</v>
      </c>
      <c r="CG878" s="17">
        <f t="shared" si="94"/>
        <v>10422</v>
      </c>
      <c r="CH878" s="3" t="str">
        <f t="shared" si="94"/>
        <v>ماليزى اسنان</v>
      </c>
    </row>
    <row r="879" spans="1:97" ht="31.5" x14ac:dyDescent="0.25">
      <c r="B879" s="3"/>
      <c r="C879" s="25">
        <v>16948</v>
      </c>
      <c r="D879" s="11">
        <v>10423</v>
      </c>
      <c r="E879" s="3" t="s">
        <v>121</v>
      </c>
      <c r="F879" s="9" t="s">
        <v>1102</v>
      </c>
      <c r="G879" s="3"/>
      <c r="I879" s="3">
        <v>2000</v>
      </c>
      <c r="U879" s="3"/>
      <c r="V879" s="3"/>
      <c r="AS879" s="22">
        <f t="shared" si="86"/>
        <v>2000</v>
      </c>
      <c r="AT879" s="3">
        <v>1833.45</v>
      </c>
      <c r="AU879" s="3">
        <v>104.8</v>
      </c>
      <c r="AW879" s="3">
        <v>5</v>
      </c>
      <c r="BD879" s="3"/>
      <c r="BE879" s="3"/>
      <c r="BG879" s="3">
        <v>52.75</v>
      </c>
      <c r="BH879" s="3">
        <v>4</v>
      </c>
      <c r="CE879" s="22">
        <f t="shared" si="92"/>
        <v>2000</v>
      </c>
      <c r="CF879" s="3">
        <f t="shared" si="93"/>
        <v>0</v>
      </c>
      <c r="CG879" s="17">
        <f t="shared" si="94"/>
        <v>10423</v>
      </c>
      <c r="CH879" s="3" t="str">
        <f t="shared" si="94"/>
        <v>ماليزى اسنان</v>
      </c>
    </row>
    <row r="880" spans="1:97" ht="31.5" x14ac:dyDescent="0.25">
      <c r="B880" s="3"/>
      <c r="C880" s="25">
        <v>16952</v>
      </c>
      <c r="D880" s="11">
        <v>10424</v>
      </c>
      <c r="E880" s="3" t="s">
        <v>121</v>
      </c>
      <c r="F880" s="9" t="s">
        <v>1103</v>
      </c>
      <c r="G880" s="3"/>
      <c r="I880" s="3">
        <v>332167.5</v>
      </c>
      <c r="U880" s="3"/>
      <c r="V880" s="3"/>
      <c r="AS880" s="22">
        <f t="shared" si="86"/>
        <v>332167.5</v>
      </c>
      <c r="AT880" s="3">
        <v>332167.5</v>
      </c>
      <c r="AU880" s="3"/>
      <c r="BD880" s="3"/>
      <c r="BE880" s="3"/>
      <c r="CE880" s="22">
        <f t="shared" si="92"/>
        <v>332167.5</v>
      </c>
      <c r="CF880" s="3">
        <f t="shared" si="93"/>
        <v>0</v>
      </c>
      <c r="CG880" s="17">
        <f t="shared" si="94"/>
        <v>10424</v>
      </c>
      <c r="CH880" s="3" t="str">
        <f t="shared" si="94"/>
        <v>ماليزى اسنان</v>
      </c>
    </row>
    <row r="881" spans="2:86" ht="31.5" x14ac:dyDescent="0.25">
      <c r="B881" s="3"/>
      <c r="C881" s="25">
        <v>16950</v>
      </c>
      <c r="D881" s="11">
        <v>10425</v>
      </c>
      <c r="E881" s="3" t="s">
        <v>121</v>
      </c>
      <c r="F881" s="9" t="s">
        <v>1104</v>
      </c>
      <c r="G881" s="3"/>
      <c r="I881" s="3">
        <v>3000</v>
      </c>
      <c r="U881" s="3"/>
      <c r="V881" s="3"/>
      <c r="AS881" s="22">
        <f t="shared" si="86"/>
        <v>3000</v>
      </c>
      <c r="AT881" s="3">
        <v>2590.8000000000002</v>
      </c>
      <c r="AU881" s="3">
        <f>44.25+132.75+34.2</f>
        <v>211.2</v>
      </c>
      <c r="AW881" s="3">
        <v>5</v>
      </c>
      <c r="BD881" s="3"/>
      <c r="BE881" s="3"/>
      <c r="BG881" s="3">
        <v>90</v>
      </c>
      <c r="BH881" s="3">
        <v>76</v>
      </c>
      <c r="BI881" s="3">
        <f>13.5*2</f>
        <v>27</v>
      </c>
      <c r="CE881" s="22">
        <f t="shared" si="92"/>
        <v>3000</v>
      </c>
      <c r="CF881" s="3">
        <f t="shared" si="93"/>
        <v>0</v>
      </c>
      <c r="CG881" s="17">
        <f t="shared" si="94"/>
        <v>10425</v>
      </c>
      <c r="CH881" s="3" t="str">
        <f t="shared" si="94"/>
        <v>ماليزى اسنان</v>
      </c>
    </row>
    <row r="882" spans="2:86" ht="31.5" x14ac:dyDescent="0.25">
      <c r="C882" s="25">
        <v>17275</v>
      </c>
      <c r="D882" s="11">
        <v>10426</v>
      </c>
      <c r="E882" s="3" t="s">
        <v>121</v>
      </c>
      <c r="F882" s="9" t="s">
        <v>1105</v>
      </c>
      <c r="G882" s="3"/>
      <c r="R882" s="3">
        <v>4856.25</v>
      </c>
      <c r="U882" s="3"/>
      <c r="V882" s="3"/>
      <c r="AS882" s="22">
        <f t="shared" si="86"/>
        <v>4856.25</v>
      </c>
      <c r="AT882" s="3">
        <v>4856.25</v>
      </c>
      <c r="AU882" s="3"/>
      <c r="BD882" s="3"/>
      <c r="BE882" s="3"/>
      <c r="CE882" s="22">
        <f t="shared" si="92"/>
        <v>4856.25</v>
      </c>
      <c r="CF882" s="3">
        <f t="shared" si="93"/>
        <v>0</v>
      </c>
      <c r="CG882" s="17">
        <f t="shared" si="94"/>
        <v>10426</v>
      </c>
      <c r="CH882" s="3" t="str">
        <f t="shared" si="94"/>
        <v>ماليزى اسنان</v>
      </c>
    </row>
    <row r="883" spans="2:86" ht="31.5" x14ac:dyDescent="0.25">
      <c r="C883" s="25">
        <v>16931</v>
      </c>
      <c r="D883" s="11">
        <v>10427</v>
      </c>
      <c r="E883" s="3" t="s">
        <v>121</v>
      </c>
      <c r="F883" s="9" t="s">
        <v>1106</v>
      </c>
      <c r="G883" s="3"/>
      <c r="U883" s="3"/>
      <c r="V883" s="3"/>
      <c r="X883" s="3">
        <v>2850</v>
      </c>
      <c r="AS883" s="22">
        <f t="shared" si="86"/>
        <v>2850</v>
      </c>
      <c r="AT883" s="3">
        <v>2850</v>
      </c>
      <c r="AU883" s="3"/>
      <c r="BD883" s="3"/>
      <c r="BE883" s="3"/>
      <c r="CE883" s="22">
        <f t="shared" si="92"/>
        <v>2850</v>
      </c>
      <c r="CF883" s="3">
        <f t="shared" si="93"/>
        <v>0</v>
      </c>
      <c r="CG883" s="17">
        <f t="shared" si="94"/>
        <v>10427</v>
      </c>
      <c r="CH883" s="3" t="str">
        <f t="shared" si="94"/>
        <v>ماليزى اسنان</v>
      </c>
    </row>
    <row r="884" spans="2:86" x14ac:dyDescent="0.25">
      <c r="C884" s="25">
        <v>16534</v>
      </c>
      <c r="D884" s="11">
        <v>10428</v>
      </c>
      <c r="E884" s="3" t="s">
        <v>119</v>
      </c>
      <c r="F884" s="3" t="s">
        <v>1107</v>
      </c>
      <c r="G884" s="3"/>
      <c r="U884" s="3"/>
      <c r="V884" s="3"/>
      <c r="X884" s="3">
        <v>7200</v>
      </c>
      <c r="AS884" s="22">
        <f t="shared" si="86"/>
        <v>7200</v>
      </c>
      <c r="AT884" s="3">
        <v>7200</v>
      </c>
      <c r="AU884" s="3"/>
      <c r="BD884" s="3"/>
      <c r="BE884" s="3"/>
      <c r="CE884" s="22">
        <f t="shared" si="92"/>
        <v>7200</v>
      </c>
      <c r="CF884" s="3">
        <f t="shared" si="93"/>
        <v>0</v>
      </c>
      <c r="CG884" s="17">
        <f t="shared" si="94"/>
        <v>10428</v>
      </c>
      <c r="CH884" s="3" t="str">
        <f t="shared" si="94"/>
        <v>خ ت صيدلة</v>
      </c>
    </row>
    <row r="885" spans="2:86" x14ac:dyDescent="0.25">
      <c r="B885" s="3"/>
      <c r="C885" s="25">
        <v>16959</v>
      </c>
      <c r="D885" s="11">
        <v>10429</v>
      </c>
      <c r="E885" s="3" t="s">
        <v>132</v>
      </c>
      <c r="F885" s="3" t="s">
        <v>1108</v>
      </c>
      <c r="G885" s="3"/>
      <c r="I885" s="3">
        <v>3015</v>
      </c>
      <c r="U885" s="3"/>
      <c r="V885" s="3"/>
      <c r="AS885" s="22">
        <f t="shared" si="86"/>
        <v>3015</v>
      </c>
      <c r="AT885" s="3">
        <v>3015</v>
      </c>
      <c r="AU885" s="3"/>
      <c r="BD885" s="3"/>
      <c r="BE885" s="3"/>
      <c r="CE885" s="22">
        <f t="shared" si="92"/>
        <v>3015</v>
      </c>
      <c r="CF885" s="3">
        <f t="shared" si="93"/>
        <v>0</v>
      </c>
      <c r="CG885" s="17">
        <f t="shared" si="94"/>
        <v>10429</v>
      </c>
      <c r="CH885" s="3" t="str">
        <f t="shared" si="94"/>
        <v>صيدلة اكلينيكى</v>
      </c>
    </row>
    <row r="886" spans="2:86" x14ac:dyDescent="0.25">
      <c r="C886" s="25">
        <v>16957</v>
      </c>
      <c r="D886" s="11">
        <v>10430</v>
      </c>
      <c r="E886" s="3" t="s">
        <v>132</v>
      </c>
      <c r="F886" s="3" t="s">
        <v>1109</v>
      </c>
      <c r="G886" s="3"/>
      <c r="I886" s="3">
        <v>4890</v>
      </c>
      <c r="U886" s="3"/>
      <c r="V886" s="3"/>
      <c r="AS886" s="22">
        <f t="shared" si="86"/>
        <v>4890</v>
      </c>
      <c r="AT886" s="3">
        <v>4890</v>
      </c>
      <c r="AU886" s="3"/>
      <c r="BD886" s="3"/>
      <c r="BE886" s="3"/>
      <c r="CE886" s="22">
        <f t="shared" si="92"/>
        <v>4890</v>
      </c>
      <c r="CF886" s="3">
        <f t="shared" si="93"/>
        <v>0</v>
      </c>
      <c r="CG886" s="17">
        <f t="shared" si="94"/>
        <v>10430</v>
      </c>
      <c r="CH886" s="3" t="str">
        <f t="shared" si="94"/>
        <v>صيدلة اكلينيكى</v>
      </c>
    </row>
    <row r="887" spans="2:86" x14ac:dyDescent="0.25">
      <c r="C887" s="25">
        <v>16958</v>
      </c>
      <c r="D887" s="11">
        <v>10431</v>
      </c>
      <c r="E887" s="3" t="s">
        <v>132</v>
      </c>
      <c r="F887" s="3" t="s">
        <v>1110</v>
      </c>
      <c r="G887" s="3"/>
      <c r="I887" s="3">
        <v>812</v>
      </c>
      <c r="U887" s="3"/>
      <c r="V887" s="3"/>
      <c r="AS887" s="22">
        <f t="shared" si="86"/>
        <v>812</v>
      </c>
      <c r="AT887" s="3">
        <v>812</v>
      </c>
      <c r="AU887" s="3"/>
      <c r="BD887" s="3"/>
      <c r="BE887" s="3"/>
      <c r="CE887" s="22">
        <f t="shared" si="92"/>
        <v>812</v>
      </c>
      <c r="CF887" s="3">
        <f t="shared" si="93"/>
        <v>0</v>
      </c>
      <c r="CG887" s="17">
        <f t="shared" si="94"/>
        <v>10431</v>
      </c>
      <c r="CH887" s="3" t="str">
        <f t="shared" si="94"/>
        <v>صيدلة اكلينيكى</v>
      </c>
    </row>
    <row r="888" spans="2:86" x14ac:dyDescent="0.25">
      <c r="C888" s="25">
        <v>16961</v>
      </c>
      <c r="D888" s="11">
        <v>10432</v>
      </c>
      <c r="E888" s="3" t="s">
        <v>132</v>
      </c>
      <c r="F888" s="3" t="s">
        <v>1111</v>
      </c>
      <c r="G888" s="3"/>
      <c r="I888" s="3">
        <v>8410.2000000000007</v>
      </c>
      <c r="U888" s="3"/>
      <c r="V888" s="3"/>
      <c r="AS888" s="22">
        <f t="shared" si="86"/>
        <v>8410.2000000000007</v>
      </c>
      <c r="AT888" s="3">
        <v>8410.2000000000007</v>
      </c>
      <c r="AU888" s="3"/>
      <c r="BD888" s="3"/>
      <c r="BE888" s="3"/>
      <c r="CE888" s="22">
        <f t="shared" si="92"/>
        <v>8410.2000000000007</v>
      </c>
      <c r="CF888" s="3">
        <f t="shared" si="93"/>
        <v>0</v>
      </c>
      <c r="CG888" s="17">
        <f t="shared" si="94"/>
        <v>10432</v>
      </c>
      <c r="CH888" s="3" t="str">
        <f t="shared" si="94"/>
        <v>صيدلة اكلينيكى</v>
      </c>
    </row>
    <row r="889" spans="2:86" x14ac:dyDescent="0.25">
      <c r="C889" s="25">
        <v>16962</v>
      </c>
      <c r="D889" s="11">
        <v>10433</v>
      </c>
      <c r="E889" s="3" t="s">
        <v>132</v>
      </c>
      <c r="F889" s="3" t="s">
        <v>1112</v>
      </c>
      <c r="G889" s="3"/>
      <c r="I889" s="3">
        <v>5225</v>
      </c>
      <c r="U889" s="3"/>
      <c r="V889" s="3"/>
      <c r="AS889" s="22">
        <f t="shared" si="86"/>
        <v>5225</v>
      </c>
      <c r="AT889" s="3">
        <v>5225</v>
      </c>
      <c r="AU889" s="3"/>
      <c r="BD889" s="3"/>
      <c r="BE889" s="3"/>
      <c r="CE889" s="22">
        <f t="shared" ref="CE889:CE892" si="95">SUM(AT889:CC889)</f>
        <v>5225</v>
      </c>
      <c r="CF889" s="3">
        <f t="shared" si="93"/>
        <v>0</v>
      </c>
      <c r="CG889" s="17">
        <f t="shared" ref="CG889:CH904" si="96">+D889</f>
        <v>10433</v>
      </c>
      <c r="CH889" s="3" t="str">
        <f t="shared" si="96"/>
        <v>صيدلة اكلينيكى</v>
      </c>
    </row>
    <row r="890" spans="2:86" x14ac:dyDescent="0.25">
      <c r="C890" s="25">
        <v>16965</v>
      </c>
      <c r="D890" s="11">
        <v>10434</v>
      </c>
      <c r="E890" s="3" t="s">
        <v>132</v>
      </c>
      <c r="F890" s="3" t="s">
        <v>1113</v>
      </c>
      <c r="G890" s="3"/>
      <c r="I890" s="3">
        <v>54000</v>
      </c>
      <c r="U890" s="3"/>
      <c r="V890" s="3"/>
      <c r="AS890" s="22">
        <f t="shared" si="86"/>
        <v>54000</v>
      </c>
      <c r="AT890" s="3">
        <v>50594.95</v>
      </c>
      <c r="AU890" s="3">
        <f>384.25+1152.75+6.3</f>
        <v>1543.3</v>
      </c>
      <c r="BD890" s="3"/>
      <c r="BE890" s="3"/>
      <c r="BG890" s="3">
        <v>1421.25</v>
      </c>
      <c r="BH890" s="3">
        <v>14</v>
      </c>
      <c r="BI890" s="3">
        <f>213.25*2</f>
        <v>426.5</v>
      </c>
      <c r="CE890" s="22">
        <f t="shared" si="95"/>
        <v>54000</v>
      </c>
      <c r="CF890" s="3">
        <f t="shared" si="93"/>
        <v>0</v>
      </c>
      <c r="CG890" s="17">
        <f t="shared" si="96"/>
        <v>10434</v>
      </c>
      <c r="CH890" s="3" t="str">
        <f t="shared" si="96"/>
        <v>صيدلة اكلينيكى</v>
      </c>
    </row>
    <row r="891" spans="2:86" x14ac:dyDescent="0.25">
      <c r="C891" s="25">
        <v>16953</v>
      </c>
      <c r="D891" s="11">
        <v>10435</v>
      </c>
      <c r="E891" s="3" t="s">
        <v>119</v>
      </c>
      <c r="F891" s="3" t="s">
        <v>1114</v>
      </c>
      <c r="G891" s="3"/>
      <c r="I891" s="3">
        <v>8100</v>
      </c>
      <c r="U891" s="3"/>
      <c r="V891" s="3"/>
      <c r="AS891" s="22">
        <f>SUM(H891:AQ891)</f>
        <v>8100</v>
      </c>
      <c r="AT891" s="3">
        <v>7500.9</v>
      </c>
      <c r="AU891" s="3">
        <f>128.8+386.4+0.9</f>
        <v>516.1</v>
      </c>
      <c r="BD891" s="3"/>
      <c r="BE891" s="3"/>
      <c r="BG891" s="3">
        <v>81</v>
      </c>
      <c r="BH891" s="3">
        <v>2</v>
      </c>
      <c r="CE891" s="22">
        <f>SUM(AT891:CC891)</f>
        <v>8100</v>
      </c>
      <c r="CF891" s="3">
        <f>+CE891-AS891</f>
        <v>0</v>
      </c>
      <c r="CG891" s="17">
        <f>+D891</f>
        <v>10435</v>
      </c>
      <c r="CH891" s="3" t="str">
        <f>+E891</f>
        <v>خ ت صيدلة</v>
      </c>
    </row>
    <row r="892" spans="2:86" x14ac:dyDescent="0.25">
      <c r="B892" s="3"/>
      <c r="C892" s="25">
        <v>13051</v>
      </c>
      <c r="D892" s="11">
        <v>10436</v>
      </c>
      <c r="E892" s="3" t="s">
        <v>130</v>
      </c>
      <c r="F892" s="3" t="s">
        <v>1115</v>
      </c>
      <c r="G892" s="3"/>
      <c r="I892" s="3">
        <v>2925</v>
      </c>
      <c r="U892" s="3"/>
      <c r="V892" s="3"/>
      <c r="AS892" s="22">
        <f>SUM(H892:AQ892)</f>
        <v>2925</v>
      </c>
      <c r="AT892" s="3">
        <v>2221.15</v>
      </c>
      <c r="AU892" s="3">
        <f>43.15+129.45+36</f>
        <v>208.6</v>
      </c>
      <c r="AW892" s="3">
        <v>5</v>
      </c>
      <c r="BD892" s="3"/>
      <c r="BE892" s="3"/>
      <c r="BG892" s="3">
        <v>87.75</v>
      </c>
      <c r="BH892" s="3">
        <v>80</v>
      </c>
      <c r="BI892" s="3">
        <f>15*2</f>
        <v>30</v>
      </c>
      <c r="BJ892" s="3">
        <v>146.25</v>
      </c>
      <c r="CC892" s="3">
        <v>146.25</v>
      </c>
      <c r="CE892" s="22">
        <f t="shared" si="95"/>
        <v>2925</v>
      </c>
      <c r="CF892" s="3">
        <f t="shared" si="93"/>
        <v>0</v>
      </c>
      <c r="CG892" s="17">
        <f t="shared" si="96"/>
        <v>10436</v>
      </c>
      <c r="CH892" s="3" t="str">
        <f t="shared" si="96"/>
        <v>خ ت طب</v>
      </c>
    </row>
    <row r="893" spans="2:86" x14ac:dyDescent="0.25">
      <c r="C893" s="25">
        <v>13052</v>
      </c>
      <c r="D893" s="11">
        <v>10437</v>
      </c>
      <c r="E893" s="3" t="s">
        <v>130</v>
      </c>
      <c r="F893" s="3" t="s">
        <v>1116</v>
      </c>
      <c r="G893" s="3"/>
      <c r="I893" s="3">
        <v>4200</v>
      </c>
      <c r="U893" s="3"/>
      <c r="V893" s="3"/>
      <c r="AS893" s="22">
        <f>SUM(H893:AQ893)</f>
        <v>4200</v>
      </c>
      <c r="AT893" s="3">
        <v>3244</v>
      </c>
      <c r="AU893" s="3">
        <v>285</v>
      </c>
      <c r="AW893" s="3">
        <v>5</v>
      </c>
      <c r="BD893" s="3"/>
      <c r="BE893" s="3"/>
      <c r="BG893" s="3">
        <v>126</v>
      </c>
      <c r="BH893" s="3">
        <v>80</v>
      </c>
      <c r="BI893" s="3">
        <f>20*2</f>
        <v>40</v>
      </c>
      <c r="BJ893" s="3">
        <v>210</v>
      </c>
      <c r="CC893" s="3">
        <v>210</v>
      </c>
      <c r="CE893" s="22">
        <f t="shared" ref="CE893:CE896" si="97">SUM(AT893:CC893)</f>
        <v>4200</v>
      </c>
      <c r="CF893" s="3">
        <f t="shared" si="93"/>
        <v>0</v>
      </c>
      <c r="CG893" s="17">
        <f t="shared" si="96"/>
        <v>10437</v>
      </c>
      <c r="CH893" s="3" t="str">
        <f t="shared" si="96"/>
        <v>خ ت طب</v>
      </c>
    </row>
    <row r="894" spans="2:86" x14ac:dyDescent="0.25">
      <c r="C894" s="25">
        <v>17270</v>
      </c>
      <c r="D894" s="11">
        <v>10438</v>
      </c>
      <c r="E894" s="3" t="s">
        <v>121</v>
      </c>
      <c r="F894" s="9" t="s">
        <v>1117</v>
      </c>
      <c r="G894" s="3"/>
      <c r="I894" s="3">
        <v>5500</v>
      </c>
      <c r="U894" s="3"/>
      <c r="V894" s="3"/>
      <c r="AB894" s="3">
        <v>5500</v>
      </c>
      <c r="AS894" s="22">
        <f>SUM(H894:AQ894)</f>
        <v>11000</v>
      </c>
      <c r="AT894" s="3">
        <v>5500</v>
      </c>
      <c r="AU894" s="3"/>
      <c r="BD894" s="3"/>
      <c r="BE894" s="3"/>
      <c r="BR894" s="3">
        <v>5500</v>
      </c>
      <c r="CE894" s="22">
        <f t="shared" si="97"/>
        <v>11000</v>
      </c>
      <c r="CF894" s="3">
        <f t="shared" si="93"/>
        <v>0</v>
      </c>
      <c r="CG894" s="17">
        <f t="shared" si="96"/>
        <v>10438</v>
      </c>
      <c r="CH894" s="3" t="str">
        <f t="shared" si="96"/>
        <v>ماليزى اسنان</v>
      </c>
    </row>
    <row r="895" spans="2:86" ht="31.5" x14ac:dyDescent="0.25">
      <c r="C895" s="25">
        <v>17271</v>
      </c>
      <c r="D895" s="11">
        <v>10439</v>
      </c>
      <c r="E895" s="3" t="s">
        <v>121</v>
      </c>
      <c r="F895" s="9" t="s">
        <v>1118</v>
      </c>
      <c r="G895" s="3"/>
      <c r="I895" s="3">
        <v>3128.16</v>
      </c>
      <c r="U895" s="3"/>
      <c r="V895" s="3"/>
      <c r="AB895" s="3">
        <v>3128.16</v>
      </c>
      <c r="AS895" s="22">
        <f t="shared" ref="AS895:AS982" si="98">SUM(H895:AQ895)</f>
        <v>6256.32</v>
      </c>
      <c r="AT895" s="3">
        <v>3128.16</v>
      </c>
      <c r="AU895" s="3"/>
      <c r="BD895" s="3"/>
      <c r="BE895" s="3"/>
      <c r="BR895" s="3">
        <v>3128.16</v>
      </c>
      <c r="CE895" s="22">
        <f t="shared" si="97"/>
        <v>6256.32</v>
      </c>
      <c r="CF895" s="3">
        <f t="shared" si="93"/>
        <v>0</v>
      </c>
      <c r="CG895" s="17">
        <f t="shared" si="96"/>
        <v>10439</v>
      </c>
      <c r="CH895" s="3" t="str">
        <f t="shared" si="96"/>
        <v>ماليزى اسنان</v>
      </c>
    </row>
    <row r="896" spans="2:86" x14ac:dyDescent="0.25">
      <c r="C896" s="25">
        <v>16951</v>
      </c>
      <c r="D896" s="11">
        <v>10440</v>
      </c>
      <c r="E896" s="3" t="s">
        <v>121</v>
      </c>
      <c r="F896" s="3" t="s">
        <v>1119</v>
      </c>
      <c r="G896" s="3"/>
      <c r="I896" s="3">
        <v>138988.79999999999</v>
      </c>
      <c r="U896" s="3"/>
      <c r="V896" s="3"/>
      <c r="AS896" s="22">
        <f t="shared" si="98"/>
        <v>138988.79999999999</v>
      </c>
      <c r="AT896" s="3">
        <v>133086.85</v>
      </c>
      <c r="AU896" s="3">
        <f>831.25+2493.75+79.2</f>
        <v>3404.2</v>
      </c>
      <c r="AW896" s="3">
        <v>5</v>
      </c>
      <c r="BD896" s="3"/>
      <c r="BE896" s="3"/>
      <c r="BG896" s="3">
        <v>1219.25</v>
      </c>
      <c r="BH896" s="3">
        <v>176</v>
      </c>
      <c r="BI896" s="3">
        <f>548.75*2</f>
        <v>1097.5</v>
      </c>
      <c r="CE896" s="22">
        <f t="shared" si="97"/>
        <v>138988.80000000002</v>
      </c>
      <c r="CF896" s="3">
        <f t="shared" si="93"/>
        <v>0</v>
      </c>
      <c r="CG896" s="17">
        <f t="shared" si="96"/>
        <v>10440</v>
      </c>
      <c r="CH896" s="3" t="str">
        <f t="shared" si="96"/>
        <v>ماليزى اسنان</v>
      </c>
    </row>
    <row r="897" spans="3:86" x14ac:dyDescent="0.25">
      <c r="C897" s="25">
        <v>16963</v>
      </c>
      <c r="D897" s="11">
        <v>10441</v>
      </c>
      <c r="E897" s="3" t="s">
        <v>119</v>
      </c>
      <c r="F897" s="3" t="s">
        <v>1120</v>
      </c>
      <c r="G897" s="3"/>
      <c r="U897" s="3"/>
      <c r="V897" s="3"/>
      <c r="X897" s="3">
        <v>4225</v>
      </c>
      <c r="AS897" s="22">
        <f t="shared" si="98"/>
        <v>4225</v>
      </c>
      <c r="AT897" s="3">
        <v>2535</v>
      </c>
      <c r="AU897" s="3"/>
      <c r="BD897" s="3"/>
      <c r="BE897" s="3"/>
      <c r="CC897" s="3">
        <v>1690</v>
      </c>
      <c r="CE897" s="22">
        <f t="shared" ref="CE897:CE913" si="99">SUM(AT897:CC897)</f>
        <v>4225</v>
      </c>
      <c r="CF897" s="3">
        <f t="shared" si="93"/>
        <v>0</v>
      </c>
      <c r="CG897" s="17">
        <f t="shared" si="96"/>
        <v>10441</v>
      </c>
      <c r="CH897" s="3" t="str">
        <f t="shared" si="96"/>
        <v>خ ت صيدلة</v>
      </c>
    </row>
    <row r="898" spans="3:86" ht="31.5" x14ac:dyDescent="0.25">
      <c r="C898" s="25">
        <v>16943</v>
      </c>
      <c r="D898" s="11">
        <v>10442</v>
      </c>
      <c r="E898" s="3" t="s">
        <v>119</v>
      </c>
      <c r="F898" s="9" t="s">
        <v>1121</v>
      </c>
      <c r="G898" s="3"/>
      <c r="U898" s="3"/>
      <c r="V898" s="3"/>
      <c r="AD898" s="3">
        <v>26222.57</v>
      </c>
      <c r="AS898" s="22">
        <f t="shared" si="98"/>
        <v>26222.57</v>
      </c>
      <c r="AT898" s="3">
        <v>26222.57</v>
      </c>
      <c r="AU898" s="3"/>
      <c r="BD898" s="3"/>
      <c r="BE898" s="3"/>
      <c r="CE898" s="22">
        <f t="shared" si="99"/>
        <v>26222.57</v>
      </c>
      <c r="CF898" s="3">
        <f t="shared" si="93"/>
        <v>0</v>
      </c>
      <c r="CG898" s="17">
        <f t="shared" si="96"/>
        <v>10442</v>
      </c>
      <c r="CH898" s="3" t="str">
        <f t="shared" si="96"/>
        <v>خ ت صيدلة</v>
      </c>
    </row>
    <row r="899" spans="3:86" ht="31.5" x14ac:dyDescent="0.25">
      <c r="C899" s="25">
        <v>16942</v>
      </c>
      <c r="D899" s="11">
        <v>10443</v>
      </c>
      <c r="F899" s="9" t="s">
        <v>1122</v>
      </c>
      <c r="G899" s="3"/>
      <c r="U899" s="3"/>
      <c r="V899" s="3"/>
      <c r="AD899" s="3">
        <v>2200</v>
      </c>
      <c r="AS899" s="22">
        <f t="shared" si="98"/>
        <v>2200</v>
      </c>
      <c r="AT899" s="3">
        <v>2200</v>
      </c>
      <c r="AU899" s="3"/>
      <c r="BD899" s="3"/>
      <c r="BE899" s="3"/>
      <c r="CE899" s="22">
        <f t="shared" si="99"/>
        <v>2200</v>
      </c>
      <c r="CF899" s="3">
        <f t="shared" si="93"/>
        <v>0</v>
      </c>
      <c r="CG899" s="17">
        <f t="shared" si="96"/>
        <v>10443</v>
      </c>
      <c r="CH899" s="3">
        <f t="shared" si="96"/>
        <v>0</v>
      </c>
    </row>
    <row r="900" spans="3:86" x14ac:dyDescent="0.25">
      <c r="C900" s="25">
        <v>16551</v>
      </c>
      <c r="D900" s="11">
        <v>10444</v>
      </c>
      <c r="F900" s="3" t="s">
        <v>1123</v>
      </c>
      <c r="G900" s="3"/>
      <c r="U900" s="3"/>
      <c r="V900" s="3"/>
      <c r="AD900" s="3">
        <v>1492.4</v>
      </c>
      <c r="AS900" s="22">
        <f t="shared" si="98"/>
        <v>1492.4</v>
      </c>
      <c r="AT900" s="3">
        <v>1492.4</v>
      </c>
      <c r="AU900" s="3"/>
      <c r="BD900" s="3"/>
      <c r="BE900" s="3"/>
      <c r="CE900" s="22">
        <f t="shared" si="99"/>
        <v>1492.4</v>
      </c>
      <c r="CF900" s="3">
        <f t="shared" si="93"/>
        <v>0</v>
      </c>
      <c r="CG900" s="17">
        <f t="shared" si="96"/>
        <v>10444</v>
      </c>
      <c r="CH900" s="3">
        <f t="shared" si="96"/>
        <v>0</v>
      </c>
    </row>
    <row r="901" spans="3:86" x14ac:dyDescent="0.25">
      <c r="C901" s="25">
        <v>16945</v>
      </c>
      <c r="D901" s="11">
        <v>10445</v>
      </c>
      <c r="E901" s="3" t="s">
        <v>78</v>
      </c>
      <c r="F901" s="3" t="s">
        <v>1124</v>
      </c>
      <c r="G901" s="3"/>
      <c r="U901" s="3"/>
      <c r="V901" s="3"/>
      <c r="W901" s="3">
        <v>38995.85</v>
      </c>
      <c r="AS901" s="22">
        <f t="shared" si="98"/>
        <v>38995.85</v>
      </c>
      <c r="AT901" s="3">
        <v>38995.85</v>
      </c>
      <c r="AU901" s="3"/>
      <c r="BD901" s="3"/>
      <c r="BE901" s="3"/>
      <c r="CE901" s="22">
        <f t="shared" si="99"/>
        <v>38995.85</v>
      </c>
      <c r="CF901" s="3">
        <f t="shared" si="93"/>
        <v>0</v>
      </c>
      <c r="CG901" s="17">
        <f t="shared" si="96"/>
        <v>10445</v>
      </c>
      <c r="CH901" s="3" t="str">
        <f t="shared" si="96"/>
        <v>برنامج دولى</v>
      </c>
    </row>
    <row r="902" spans="3:86" x14ac:dyDescent="0.25">
      <c r="C902" s="25">
        <v>16946</v>
      </c>
      <c r="D902" s="11">
        <v>10446</v>
      </c>
      <c r="E902" s="3" t="s">
        <v>130</v>
      </c>
      <c r="F902" s="3" t="s">
        <v>1124</v>
      </c>
      <c r="G902" s="3"/>
      <c r="U902" s="3"/>
      <c r="V902" s="3"/>
      <c r="W902" s="3">
        <v>6924.35</v>
      </c>
      <c r="AS902" s="22">
        <f t="shared" si="98"/>
        <v>6924.35</v>
      </c>
      <c r="AT902" s="3">
        <v>6924.35</v>
      </c>
      <c r="AU902" s="3"/>
      <c r="BD902" s="3"/>
      <c r="BE902" s="3"/>
      <c r="CE902" s="22">
        <f t="shared" si="99"/>
        <v>6924.35</v>
      </c>
      <c r="CF902" s="3">
        <f t="shared" si="93"/>
        <v>0</v>
      </c>
      <c r="CG902" s="17">
        <f t="shared" si="96"/>
        <v>10446</v>
      </c>
      <c r="CH902" s="3" t="str">
        <f t="shared" si="96"/>
        <v>خ ت طب</v>
      </c>
    </row>
    <row r="903" spans="3:86" x14ac:dyDescent="0.25">
      <c r="C903" s="25">
        <v>16947</v>
      </c>
      <c r="D903" s="11">
        <v>10447</v>
      </c>
      <c r="E903" s="3" t="s">
        <v>128</v>
      </c>
      <c r="F903" s="3" t="s">
        <v>1124</v>
      </c>
      <c r="G903" s="3"/>
      <c r="U903" s="3"/>
      <c r="V903" s="3"/>
      <c r="W903" s="3">
        <v>2759.95</v>
      </c>
      <c r="AS903" s="22">
        <f t="shared" si="98"/>
        <v>2759.95</v>
      </c>
      <c r="AT903" s="3">
        <v>2759.95</v>
      </c>
      <c r="AU903" s="3"/>
      <c r="BD903" s="3"/>
      <c r="BE903" s="3"/>
      <c r="CE903" s="22">
        <f t="shared" si="99"/>
        <v>2759.95</v>
      </c>
      <c r="CF903" s="3">
        <f t="shared" si="93"/>
        <v>0</v>
      </c>
      <c r="CG903" s="17">
        <f t="shared" si="96"/>
        <v>10447</v>
      </c>
      <c r="CH903" s="3" t="str">
        <f t="shared" si="96"/>
        <v>مركز مؤتمرات</v>
      </c>
    </row>
    <row r="904" spans="3:86" x14ac:dyDescent="0.25">
      <c r="C904" s="25">
        <v>17216</v>
      </c>
      <c r="D904" s="11">
        <v>10448</v>
      </c>
      <c r="E904" s="3" t="s">
        <v>121</v>
      </c>
      <c r="F904" s="3" t="s">
        <v>1124</v>
      </c>
      <c r="G904" s="3"/>
      <c r="U904" s="3"/>
      <c r="V904" s="3"/>
      <c r="W904" s="3">
        <v>25096.3</v>
      </c>
      <c r="AS904" s="22">
        <f t="shared" si="98"/>
        <v>25096.3</v>
      </c>
      <c r="AT904" s="3">
        <v>25096.3</v>
      </c>
      <c r="AU904" s="3"/>
      <c r="BD904" s="3"/>
      <c r="BE904" s="3"/>
      <c r="CE904" s="22">
        <f t="shared" si="99"/>
        <v>25096.3</v>
      </c>
      <c r="CF904" s="3">
        <f t="shared" si="93"/>
        <v>0</v>
      </c>
      <c r="CG904" s="17">
        <f t="shared" si="96"/>
        <v>10448</v>
      </c>
      <c r="CH904" s="3" t="str">
        <f t="shared" si="96"/>
        <v>ماليزى اسنان</v>
      </c>
    </row>
    <row r="905" spans="3:86" x14ac:dyDescent="0.25">
      <c r="C905" s="25">
        <v>17217</v>
      </c>
      <c r="D905" s="11">
        <v>10449</v>
      </c>
      <c r="E905" s="3" t="s">
        <v>137</v>
      </c>
      <c r="F905" s="3" t="s">
        <v>1124</v>
      </c>
      <c r="G905" s="3"/>
      <c r="U905" s="3"/>
      <c r="V905" s="3"/>
      <c r="W905" s="3">
        <v>553</v>
      </c>
      <c r="AS905" s="22">
        <f t="shared" si="98"/>
        <v>553</v>
      </c>
      <c r="AT905" s="3">
        <v>553</v>
      </c>
      <c r="AU905" s="3"/>
      <c r="BD905" s="3"/>
      <c r="BE905" s="3"/>
      <c r="CE905" s="22">
        <f t="shared" si="99"/>
        <v>553</v>
      </c>
      <c r="CF905" s="3">
        <f t="shared" si="93"/>
        <v>0</v>
      </c>
      <c r="CG905" s="17">
        <f t="shared" ref="CG905:CH921" si="100">+D905</f>
        <v>10449</v>
      </c>
      <c r="CH905" s="3" t="str">
        <f t="shared" si="100"/>
        <v xml:space="preserve">خدمة عامة </v>
      </c>
    </row>
    <row r="906" spans="3:86" x14ac:dyDescent="0.25">
      <c r="C906" s="25">
        <v>16939</v>
      </c>
      <c r="D906" s="11">
        <v>10450</v>
      </c>
      <c r="E906" s="3" t="s">
        <v>132</v>
      </c>
      <c r="F906" s="3" t="s">
        <v>1124</v>
      </c>
      <c r="G906" s="3"/>
      <c r="U906" s="3"/>
      <c r="V906" s="3"/>
      <c r="W906" s="3">
        <v>16664.349999999999</v>
      </c>
      <c r="AS906" s="22">
        <f t="shared" si="98"/>
        <v>16664.349999999999</v>
      </c>
      <c r="AT906" s="3">
        <v>16664.349999999999</v>
      </c>
      <c r="AU906" s="3"/>
      <c r="BD906" s="3"/>
      <c r="BE906" s="3"/>
      <c r="CE906" s="22">
        <f t="shared" si="99"/>
        <v>16664.349999999999</v>
      </c>
      <c r="CF906" s="3">
        <f t="shared" si="93"/>
        <v>0</v>
      </c>
      <c r="CG906" s="17">
        <f t="shared" si="100"/>
        <v>10450</v>
      </c>
      <c r="CH906" s="3" t="str">
        <f t="shared" si="100"/>
        <v>صيدلة اكلينيكى</v>
      </c>
    </row>
    <row r="907" spans="3:86" x14ac:dyDescent="0.25">
      <c r="C907" s="25">
        <v>16940</v>
      </c>
      <c r="D907" s="11">
        <v>10451</v>
      </c>
      <c r="E907" s="3" t="s">
        <v>119</v>
      </c>
      <c r="F907" s="3" t="s">
        <v>1124</v>
      </c>
      <c r="G907" s="3"/>
      <c r="U907" s="3"/>
      <c r="V907" s="3"/>
      <c r="W907" s="3">
        <v>2842.75</v>
      </c>
      <c r="AS907" s="22">
        <f t="shared" si="98"/>
        <v>2842.75</v>
      </c>
      <c r="AT907" s="3">
        <v>2842.75</v>
      </c>
      <c r="AU907" s="3"/>
      <c r="BD907" s="3"/>
      <c r="BE907" s="3"/>
      <c r="CE907" s="22">
        <f t="shared" si="99"/>
        <v>2842.75</v>
      </c>
      <c r="CF907" s="3">
        <f t="shared" si="93"/>
        <v>0</v>
      </c>
      <c r="CG907" s="17">
        <f t="shared" si="100"/>
        <v>10451</v>
      </c>
      <c r="CH907" s="3" t="str">
        <f t="shared" si="100"/>
        <v>خ ت صيدلة</v>
      </c>
    </row>
    <row r="908" spans="3:86" x14ac:dyDescent="0.25">
      <c r="C908" s="25">
        <v>16941</v>
      </c>
      <c r="D908" s="11">
        <v>10452</v>
      </c>
      <c r="E908" s="3" t="s">
        <v>730</v>
      </c>
      <c r="F908" s="3" t="s">
        <v>1124</v>
      </c>
      <c r="G908" s="3"/>
      <c r="U908" s="3"/>
      <c r="V908" s="3"/>
      <c r="W908" s="3">
        <v>118.3</v>
      </c>
      <c r="AS908" s="22">
        <f t="shared" si="98"/>
        <v>118.3</v>
      </c>
      <c r="AT908" s="3">
        <v>118.3</v>
      </c>
      <c r="AU908" s="3"/>
      <c r="BD908" s="3"/>
      <c r="BE908" s="3"/>
      <c r="CE908" s="22">
        <f t="shared" si="99"/>
        <v>118.3</v>
      </c>
      <c r="CF908" s="3">
        <f t="shared" si="93"/>
        <v>0</v>
      </c>
      <c r="CG908" s="17">
        <f t="shared" si="100"/>
        <v>10452</v>
      </c>
      <c r="CH908" s="3" t="str">
        <f t="shared" si="100"/>
        <v>علمى صيدلة</v>
      </c>
    </row>
    <row r="909" spans="3:86" x14ac:dyDescent="0.25">
      <c r="C909" s="25">
        <v>15970</v>
      </c>
      <c r="D909" s="11">
        <v>10453</v>
      </c>
      <c r="E909" s="3" t="s">
        <v>78</v>
      </c>
      <c r="F909" s="3" t="s">
        <v>1125</v>
      </c>
      <c r="G909" s="3"/>
      <c r="H909" s="3">
        <v>205.17</v>
      </c>
      <c r="U909" s="3"/>
      <c r="V909" s="3"/>
      <c r="AS909" s="22">
        <f t="shared" si="98"/>
        <v>205.17</v>
      </c>
      <c r="AT909" s="3">
        <v>140.18</v>
      </c>
      <c r="AU909" s="3">
        <v>15.57</v>
      </c>
      <c r="AV909" s="3">
        <v>49.42</v>
      </c>
      <c r="BD909" s="3"/>
      <c r="BE909" s="3"/>
      <c r="CE909" s="22">
        <f t="shared" si="99"/>
        <v>205.17000000000002</v>
      </c>
      <c r="CF909" s="3">
        <f t="shared" si="93"/>
        <v>0</v>
      </c>
      <c r="CG909" s="17">
        <f t="shared" si="100"/>
        <v>10453</v>
      </c>
      <c r="CH909" s="3" t="str">
        <f t="shared" si="100"/>
        <v>برنامج دولى</v>
      </c>
    </row>
    <row r="910" spans="3:86" x14ac:dyDescent="0.25">
      <c r="C910" s="25">
        <v>17178</v>
      </c>
      <c r="D910" s="11">
        <v>10454</v>
      </c>
      <c r="E910" s="3" t="s">
        <v>78</v>
      </c>
      <c r="F910" s="3" t="s">
        <v>1126</v>
      </c>
      <c r="G910" s="3"/>
      <c r="H910" s="3">
        <v>2600</v>
      </c>
      <c r="U910" s="3"/>
      <c r="V910" s="3"/>
      <c r="AS910" s="22">
        <f t="shared" si="98"/>
        <v>2600</v>
      </c>
      <c r="AT910" s="3">
        <v>2320.85</v>
      </c>
      <c r="AU910" s="3">
        <f>19.15+260</f>
        <v>279.14999999999998</v>
      </c>
      <c r="BD910" s="3"/>
      <c r="BE910" s="3"/>
      <c r="CE910" s="22">
        <f t="shared" si="99"/>
        <v>2600</v>
      </c>
      <c r="CF910" s="3">
        <f t="shared" si="93"/>
        <v>0</v>
      </c>
      <c r="CG910" s="17">
        <f t="shared" si="100"/>
        <v>10454</v>
      </c>
      <c r="CH910" s="3" t="str">
        <f t="shared" si="100"/>
        <v>برنامج دولى</v>
      </c>
    </row>
    <row r="911" spans="3:86" x14ac:dyDescent="0.25">
      <c r="C911" s="25">
        <v>17177</v>
      </c>
      <c r="D911" s="11">
        <v>10455</v>
      </c>
      <c r="E911" s="3" t="s">
        <v>78</v>
      </c>
      <c r="F911" s="3" t="s">
        <v>1126</v>
      </c>
      <c r="G911" s="3"/>
      <c r="H911" s="3">
        <v>2600</v>
      </c>
      <c r="U911" s="3"/>
      <c r="V911" s="3"/>
      <c r="AS911" s="22">
        <f t="shared" si="98"/>
        <v>2600</v>
      </c>
      <c r="AT911" s="3">
        <v>2320.85</v>
      </c>
      <c r="AU911" s="3">
        <f>19.15+260</f>
        <v>279.14999999999998</v>
      </c>
      <c r="BD911" s="3"/>
      <c r="BE911" s="3"/>
      <c r="CE911" s="22">
        <f t="shared" si="99"/>
        <v>2600</v>
      </c>
      <c r="CF911" s="3">
        <f t="shared" si="93"/>
        <v>0</v>
      </c>
      <c r="CG911" s="17">
        <f t="shared" si="100"/>
        <v>10455</v>
      </c>
      <c r="CH911" s="3" t="str">
        <f t="shared" si="100"/>
        <v>برنامج دولى</v>
      </c>
    </row>
    <row r="912" spans="3:86" x14ac:dyDescent="0.25">
      <c r="C912" s="25">
        <v>17204</v>
      </c>
      <c r="D912" s="11">
        <v>10456</v>
      </c>
      <c r="E912" s="3" t="s">
        <v>78</v>
      </c>
      <c r="F912" s="3" t="s">
        <v>1127</v>
      </c>
      <c r="G912" s="3"/>
      <c r="H912" s="3">
        <v>938</v>
      </c>
      <c r="U912" s="3"/>
      <c r="V912" s="3"/>
      <c r="AS912" s="22">
        <f t="shared" si="98"/>
        <v>938</v>
      </c>
      <c r="AT912" s="3">
        <v>627.4</v>
      </c>
      <c r="AU912" s="3">
        <f>4.6+80</f>
        <v>84.6</v>
      </c>
      <c r="AV912" s="3">
        <f>310.6-AU912</f>
        <v>226.00000000000003</v>
      </c>
      <c r="BD912" s="3"/>
      <c r="BE912" s="3"/>
      <c r="CE912" s="22">
        <f t="shared" si="99"/>
        <v>938</v>
      </c>
      <c r="CF912" s="3">
        <f t="shared" si="93"/>
        <v>0</v>
      </c>
      <c r="CG912" s="17">
        <f t="shared" si="100"/>
        <v>10456</v>
      </c>
      <c r="CH912" s="3" t="str">
        <f t="shared" si="100"/>
        <v>برنامج دولى</v>
      </c>
    </row>
    <row r="913" spans="1:92" x14ac:dyDescent="0.25">
      <c r="C913" s="25">
        <v>17205</v>
      </c>
      <c r="D913" s="11">
        <v>10457</v>
      </c>
      <c r="E913" s="3" t="s">
        <v>78</v>
      </c>
      <c r="F913" s="3" t="s">
        <v>1128</v>
      </c>
      <c r="G913" s="3"/>
      <c r="H913" s="3">
        <v>11234.9</v>
      </c>
      <c r="U913" s="3"/>
      <c r="V913" s="3"/>
      <c r="AS913" s="22">
        <f t="shared" si="98"/>
        <v>11234.9</v>
      </c>
      <c r="AT913" s="3">
        <v>7498.98</v>
      </c>
      <c r="AU913" s="3">
        <f>70.8+958.2</f>
        <v>1029</v>
      </c>
      <c r="AV913" s="3">
        <f>3735.92-70.8-958.2</f>
        <v>2706.92</v>
      </c>
      <c r="BD913" s="3"/>
      <c r="BE913" s="3"/>
      <c r="CE913" s="22">
        <f t="shared" si="99"/>
        <v>11234.9</v>
      </c>
      <c r="CF913" s="3">
        <f t="shared" si="93"/>
        <v>0</v>
      </c>
      <c r="CG913" s="17">
        <f t="shared" si="100"/>
        <v>10457</v>
      </c>
      <c r="CH913" s="3" t="str">
        <f t="shared" si="100"/>
        <v>برنامج دولى</v>
      </c>
    </row>
    <row r="914" spans="1:92" x14ac:dyDescent="0.25">
      <c r="C914" s="25">
        <v>17678</v>
      </c>
      <c r="D914" s="11">
        <v>10458</v>
      </c>
      <c r="E914" s="3" t="s">
        <v>78</v>
      </c>
      <c r="F914" s="3" t="s">
        <v>1129</v>
      </c>
      <c r="G914" s="3"/>
      <c r="H914" s="3">
        <v>6756</v>
      </c>
      <c r="U914" s="3"/>
      <c r="V914" s="3"/>
      <c r="AS914" s="22">
        <f t="shared" si="98"/>
        <v>6756</v>
      </c>
      <c r="AT914" s="3">
        <v>6026.75</v>
      </c>
      <c r="AU914" s="3">
        <v>729.25</v>
      </c>
      <c r="BD914" s="3"/>
      <c r="BE914" s="3"/>
      <c r="CE914" s="22">
        <f t="shared" ref="CE914:CE963" si="101">SUM(AT914:CC914)</f>
        <v>6756</v>
      </c>
      <c r="CF914" s="3">
        <f t="shared" si="93"/>
        <v>0</v>
      </c>
      <c r="CG914" s="17">
        <f t="shared" si="100"/>
        <v>10458</v>
      </c>
      <c r="CH914" s="3" t="str">
        <f t="shared" si="100"/>
        <v>برنامج دولى</v>
      </c>
    </row>
    <row r="915" spans="1:92" x14ac:dyDescent="0.25">
      <c r="C915" s="25">
        <v>17676</v>
      </c>
      <c r="D915" s="11">
        <v>10459</v>
      </c>
      <c r="E915" s="3" t="s">
        <v>78</v>
      </c>
      <c r="F915" s="3" t="s">
        <v>1129</v>
      </c>
      <c r="G915" s="3"/>
      <c r="H915" s="3">
        <v>17149</v>
      </c>
      <c r="U915" s="3"/>
      <c r="V915" s="3"/>
      <c r="AS915" s="22">
        <f t="shared" si="98"/>
        <v>17149</v>
      </c>
      <c r="AT915" s="3">
        <v>15298</v>
      </c>
      <c r="AU915" s="3">
        <v>1851</v>
      </c>
      <c r="BD915" s="3"/>
      <c r="BE915" s="3"/>
      <c r="CE915" s="22">
        <f t="shared" si="101"/>
        <v>17149</v>
      </c>
      <c r="CF915" s="3">
        <f t="shared" si="93"/>
        <v>0</v>
      </c>
      <c r="CG915" s="17">
        <f t="shared" si="100"/>
        <v>10459</v>
      </c>
      <c r="CH915" s="3" t="str">
        <f t="shared" si="100"/>
        <v>برنامج دولى</v>
      </c>
    </row>
    <row r="916" spans="1:92" x14ac:dyDescent="0.25">
      <c r="C916" s="25">
        <v>17677</v>
      </c>
      <c r="D916" s="11">
        <v>10460</v>
      </c>
      <c r="E916" s="3" t="s">
        <v>78</v>
      </c>
      <c r="F916" s="3" t="s">
        <v>1129</v>
      </c>
      <c r="G916" s="3"/>
      <c r="H916" s="3">
        <v>63661</v>
      </c>
      <c r="U916" s="3"/>
      <c r="V916" s="3"/>
      <c r="AS916" s="22">
        <f t="shared" si="98"/>
        <v>63661</v>
      </c>
      <c r="AT916" s="3">
        <v>56789.65</v>
      </c>
      <c r="AU916" s="3">
        <v>6871.35</v>
      </c>
      <c r="BD916" s="3"/>
      <c r="BE916" s="3"/>
      <c r="CE916" s="22">
        <f t="shared" si="101"/>
        <v>63661</v>
      </c>
      <c r="CF916" s="3">
        <f t="shared" si="93"/>
        <v>0</v>
      </c>
      <c r="CG916" s="17">
        <f t="shared" si="100"/>
        <v>10460</v>
      </c>
      <c r="CH916" s="3" t="str">
        <f t="shared" si="100"/>
        <v>برنامج دولى</v>
      </c>
    </row>
    <row r="917" spans="1:92" x14ac:dyDescent="0.25">
      <c r="C917" s="25">
        <v>17675</v>
      </c>
      <c r="D917" s="11">
        <v>10461</v>
      </c>
      <c r="E917" s="3" t="s">
        <v>78</v>
      </c>
      <c r="F917" s="3" t="s">
        <v>1129</v>
      </c>
      <c r="G917" s="3"/>
      <c r="H917" s="3">
        <v>47374</v>
      </c>
      <c r="U917" s="3"/>
      <c r="V917" s="3"/>
      <c r="AS917" s="22">
        <f t="shared" si="98"/>
        <v>47374</v>
      </c>
      <c r="AT917" s="3">
        <v>42260.55</v>
      </c>
      <c r="AU917" s="3">
        <v>5113.45</v>
      </c>
      <c r="BD917" s="3"/>
      <c r="BE917" s="3"/>
      <c r="CE917" s="22">
        <f t="shared" si="101"/>
        <v>47374</v>
      </c>
      <c r="CF917" s="3">
        <f t="shared" si="93"/>
        <v>0</v>
      </c>
      <c r="CG917" s="17">
        <f t="shared" si="100"/>
        <v>10461</v>
      </c>
      <c r="CH917" s="3" t="str">
        <f t="shared" si="100"/>
        <v>برنامج دولى</v>
      </c>
    </row>
    <row r="918" spans="1:92" x14ac:dyDescent="0.25">
      <c r="C918" s="25">
        <v>17679</v>
      </c>
      <c r="D918" s="11">
        <v>10462</v>
      </c>
      <c r="E918" s="3" t="s">
        <v>78</v>
      </c>
      <c r="F918" s="3" t="s">
        <v>1129</v>
      </c>
      <c r="G918" s="3"/>
      <c r="H918" s="3">
        <v>5533</v>
      </c>
      <c r="U918" s="3"/>
      <c r="V918" s="3"/>
      <c r="AS918" s="22">
        <f t="shared" si="98"/>
        <v>5533</v>
      </c>
      <c r="AT918" s="3">
        <v>4935.8</v>
      </c>
      <c r="AU918" s="3">
        <v>597.20000000000005</v>
      </c>
      <c r="BD918" s="3"/>
      <c r="BE918" s="3"/>
      <c r="CE918" s="22">
        <f t="shared" si="101"/>
        <v>5533</v>
      </c>
      <c r="CF918" s="3">
        <f t="shared" si="93"/>
        <v>0</v>
      </c>
      <c r="CG918" s="17">
        <f t="shared" si="100"/>
        <v>10462</v>
      </c>
      <c r="CH918" s="3" t="str">
        <f t="shared" si="100"/>
        <v>برنامج دولى</v>
      </c>
    </row>
    <row r="919" spans="1:92" x14ac:dyDescent="0.25">
      <c r="C919" s="25">
        <v>17684</v>
      </c>
      <c r="D919" s="11">
        <v>10463</v>
      </c>
      <c r="E919" s="3" t="s">
        <v>78</v>
      </c>
      <c r="F919" s="3" t="s">
        <v>1129</v>
      </c>
      <c r="G919" s="3"/>
      <c r="H919" s="3">
        <v>5533</v>
      </c>
      <c r="U919" s="3"/>
      <c r="V919" s="3"/>
      <c r="AS919" s="22">
        <f t="shared" si="98"/>
        <v>5533</v>
      </c>
      <c r="AT919" s="3">
        <v>4935.8</v>
      </c>
      <c r="AU919" s="3">
        <v>597.20000000000005</v>
      </c>
      <c r="BD919" s="3"/>
      <c r="BE919" s="3"/>
      <c r="CE919" s="22">
        <f t="shared" si="101"/>
        <v>5533</v>
      </c>
      <c r="CF919" s="3">
        <f t="shared" si="93"/>
        <v>0</v>
      </c>
      <c r="CG919" s="17">
        <f t="shared" si="100"/>
        <v>10463</v>
      </c>
      <c r="CH919" s="3" t="str">
        <f t="shared" si="100"/>
        <v>برنامج دولى</v>
      </c>
    </row>
    <row r="920" spans="1:92" x14ac:dyDescent="0.25">
      <c r="C920" s="25">
        <v>17681</v>
      </c>
      <c r="D920" s="11">
        <v>10464</v>
      </c>
      <c r="E920" s="3" t="s">
        <v>132</v>
      </c>
      <c r="F920" s="3" t="s">
        <v>1129</v>
      </c>
      <c r="G920" s="3"/>
      <c r="H920" s="3">
        <v>5533</v>
      </c>
      <c r="U920" s="3"/>
      <c r="V920" s="3"/>
      <c r="AS920" s="22">
        <f t="shared" si="98"/>
        <v>5533</v>
      </c>
      <c r="AT920" s="3">
        <v>4935.8</v>
      </c>
      <c r="AU920" s="3">
        <v>597.20000000000005</v>
      </c>
      <c r="BD920" s="3"/>
      <c r="BE920" s="3"/>
      <c r="CE920" s="22">
        <f t="shared" si="101"/>
        <v>5533</v>
      </c>
      <c r="CF920" s="3">
        <f t="shared" si="93"/>
        <v>0</v>
      </c>
      <c r="CG920" s="17">
        <f t="shared" si="100"/>
        <v>10464</v>
      </c>
      <c r="CH920" s="3" t="str">
        <f t="shared" si="100"/>
        <v>صيدلة اكلينيكى</v>
      </c>
    </row>
    <row r="921" spans="1:92" x14ac:dyDescent="0.25">
      <c r="C921" s="25">
        <v>17680</v>
      </c>
      <c r="D921" s="11">
        <v>10465</v>
      </c>
      <c r="E921" s="3" t="s">
        <v>121</v>
      </c>
      <c r="F921" s="3" t="s">
        <v>1129</v>
      </c>
      <c r="G921" s="3"/>
      <c r="H921" s="3">
        <v>6033</v>
      </c>
      <c r="U921" s="3"/>
      <c r="V921" s="3"/>
      <c r="AS921" s="22">
        <f t="shared" si="98"/>
        <v>6033</v>
      </c>
      <c r="AT921" s="3">
        <v>5381.8</v>
      </c>
      <c r="AU921" s="3">
        <v>651.20000000000005</v>
      </c>
      <c r="BD921" s="3"/>
      <c r="BE921" s="3"/>
      <c r="CE921" s="22">
        <f t="shared" si="101"/>
        <v>6033</v>
      </c>
      <c r="CF921" s="3">
        <f t="shared" si="93"/>
        <v>0</v>
      </c>
      <c r="CG921" s="17">
        <f t="shared" si="100"/>
        <v>10465</v>
      </c>
      <c r="CH921" s="3" t="str">
        <f t="shared" si="100"/>
        <v>ماليزى اسنان</v>
      </c>
    </row>
    <row r="922" spans="1:92" x14ac:dyDescent="0.25">
      <c r="C922" s="25">
        <v>17682</v>
      </c>
      <c r="D922" s="11">
        <v>10466</v>
      </c>
      <c r="E922" s="3" t="s">
        <v>121</v>
      </c>
      <c r="F922" s="3" t="s">
        <v>1129</v>
      </c>
      <c r="G922" s="3"/>
      <c r="H922" s="3">
        <v>20754.3</v>
      </c>
      <c r="U922" s="3"/>
      <c r="V922" s="3"/>
      <c r="AS922" s="22">
        <f t="shared" si="98"/>
        <v>20754.3</v>
      </c>
      <c r="AT922" s="3">
        <v>18518.87</v>
      </c>
      <c r="AU922" s="3">
        <v>2235.4299999999998</v>
      </c>
      <c r="BD922" s="3"/>
      <c r="BE922" s="3"/>
      <c r="CE922" s="22">
        <f t="shared" si="101"/>
        <v>20754.3</v>
      </c>
      <c r="CF922" s="3">
        <f t="shared" si="93"/>
        <v>0</v>
      </c>
      <c r="CG922" s="17">
        <f t="shared" ref="CG922:CH982" si="102">+D922</f>
        <v>10466</v>
      </c>
      <c r="CH922" s="3" t="str">
        <f t="shared" si="102"/>
        <v>ماليزى اسنان</v>
      </c>
    </row>
    <row r="923" spans="1:92" x14ac:dyDescent="0.25">
      <c r="C923" s="25">
        <v>17683</v>
      </c>
      <c r="D923" s="11">
        <v>10467</v>
      </c>
      <c r="E923" s="3" t="s">
        <v>132</v>
      </c>
      <c r="F923" s="3" t="s">
        <v>1129</v>
      </c>
      <c r="G923" s="3"/>
      <c r="H923" s="3">
        <v>21617.22</v>
      </c>
      <c r="U923" s="3"/>
      <c r="V923" s="3"/>
      <c r="AS923" s="22">
        <f t="shared" si="98"/>
        <v>21617.22</v>
      </c>
      <c r="AT923" s="3">
        <v>19286.45</v>
      </c>
      <c r="AU923" s="3">
        <v>2330.77</v>
      </c>
      <c r="BD923" s="3"/>
      <c r="BE923" s="3"/>
      <c r="CE923" s="22">
        <f t="shared" si="101"/>
        <v>21617.22</v>
      </c>
      <c r="CF923" s="3">
        <f t="shared" si="93"/>
        <v>0</v>
      </c>
      <c r="CG923" s="17">
        <f t="shared" si="102"/>
        <v>10467</v>
      </c>
      <c r="CH923" s="3" t="str">
        <f t="shared" si="102"/>
        <v>صيدلة اكلينيكى</v>
      </c>
    </row>
    <row r="924" spans="1:92" s="29" customFormat="1" x14ac:dyDescent="0.25">
      <c r="A924" s="27"/>
      <c r="B924" s="28"/>
      <c r="C924" s="46"/>
      <c r="D924" s="47"/>
      <c r="F924" s="29" t="s">
        <v>1130</v>
      </c>
      <c r="H924" s="29">
        <f>SUM(H868:H923)</f>
        <v>217521.59</v>
      </c>
      <c r="I924" s="29">
        <f t="shared" ref="I924:BU924" si="103">SUM(I868:I923)</f>
        <v>770449.6399999999</v>
      </c>
      <c r="J924" s="29">
        <f t="shared" si="103"/>
        <v>0</v>
      </c>
      <c r="K924" s="29">
        <f t="shared" si="103"/>
        <v>0</v>
      </c>
      <c r="L924" s="29">
        <f t="shared" si="103"/>
        <v>0</v>
      </c>
      <c r="M924" s="29">
        <f t="shared" si="103"/>
        <v>0</v>
      </c>
      <c r="N924" s="29">
        <f t="shared" si="103"/>
        <v>0</v>
      </c>
      <c r="O924" s="29">
        <f t="shared" si="103"/>
        <v>0</v>
      </c>
      <c r="P924" s="29">
        <f t="shared" si="103"/>
        <v>25000</v>
      </c>
      <c r="Q924" s="29">
        <f t="shared" si="103"/>
        <v>0</v>
      </c>
      <c r="R924" s="29">
        <f t="shared" si="103"/>
        <v>4856.25</v>
      </c>
      <c r="S924" s="29">
        <f t="shared" si="103"/>
        <v>0</v>
      </c>
      <c r="T924" s="29">
        <f t="shared" si="103"/>
        <v>0</v>
      </c>
      <c r="U924" s="29">
        <f t="shared" si="103"/>
        <v>0</v>
      </c>
      <c r="V924" s="29">
        <f t="shared" si="103"/>
        <v>0</v>
      </c>
      <c r="W924" s="29">
        <f t="shared" si="103"/>
        <v>93954.849999999991</v>
      </c>
      <c r="X924" s="29">
        <f t="shared" si="103"/>
        <v>14275</v>
      </c>
      <c r="Y924" s="29">
        <f t="shared" si="103"/>
        <v>0</v>
      </c>
      <c r="Z924" s="29">
        <f t="shared" si="103"/>
        <v>0</v>
      </c>
      <c r="AA924" s="29">
        <f t="shared" si="103"/>
        <v>0</v>
      </c>
      <c r="AB924" s="29">
        <f t="shared" si="103"/>
        <v>8628.16</v>
      </c>
      <c r="AC924" s="29">
        <f t="shared" si="103"/>
        <v>0</v>
      </c>
      <c r="AD924" s="29">
        <f t="shared" si="103"/>
        <v>29914.97</v>
      </c>
      <c r="AE924" s="29">
        <f t="shared" si="103"/>
        <v>0</v>
      </c>
      <c r="AF924" s="29">
        <f t="shared" si="103"/>
        <v>0</v>
      </c>
      <c r="AG924" s="29">
        <f t="shared" si="103"/>
        <v>0</v>
      </c>
      <c r="AH924" s="29">
        <f t="shared" si="103"/>
        <v>0</v>
      </c>
      <c r="AI924" s="29">
        <f t="shared" si="103"/>
        <v>0</v>
      </c>
      <c r="AJ924" s="29">
        <f t="shared" si="103"/>
        <v>0</v>
      </c>
      <c r="AK924" s="29">
        <f t="shared" si="103"/>
        <v>0</v>
      </c>
      <c r="AL924" s="29">
        <f t="shared" si="103"/>
        <v>0</v>
      </c>
      <c r="AM924" s="29">
        <f t="shared" si="103"/>
        <v>0</v>
      </c>
      <c r="AN924" s="29">
        <f t="shared" si="103"/>
        <v>0</v>
      </c>
      <c r="AO924" s="29">
        <f t="shared" si="103"/>
        <v>0</v>
      </c>
      <c r="AP924" s="29">
        <f t="shared" si="103"/>
        <v>0</v>
      </c>
      <c r="AQ924" s="29">
        <f t="shared" si="103"/>
        <v>0</v>
      </c>
      <c r="AS924" s="29">
        <f t="shared" si="103"/>
        <v>1164600.46</v>
      </c>
      <c r="AT924" s="29">
        <f t="shared" si="103"/>
        <v>1072846.4600000002</v>
      </c>
      <c r="AU924" s="29">
        <f t="shared" si="103"/>
        <v>33897.050000000003</v>
      </c>
      <c r="AV924" s="29">
        <f t="shared" si="103"/>
        <v>2982.34</v>
      </c>
      <c r="AW924" s="29">
        <f t="shared" si="103"/>
        <v>35</v>
      </c>
      <c r="AX924" s="29">
        <f t="shared" si="103"/>
        <v>0</v>
      </c>
      <c r="AY924" s="29">
        <f t="shared" si="103"/>
        <v>0</v>
      </c>
      <c r="AZ924" s="29">
        <f t="shared" si="103"/>
        <v>0</v>
      </c>
      <c r="BA924" s="29">
        <f t="shared" si="103"/>
        <v>0</v>
      </c>
      <c r="BB924" s="29">
        <f t="shared" si="103"/>
        <v>0</v>
      </c>
      <c r="BC924" s="29">
        <f t="shared" si="103"/>
        <v>0</v>
      </c>
      <c r="BD924" s="29">
        <f t="shared" si="103"/>
        <v>0</v>
      </c>
      <c r="BE924" s="29">
        <f t="shared" si="103"/>
        <v>0</v>
      </c>
      <c r="BF924" s="29">
        <f t="shared" si="103"/>
        <v>0</v>
      </c>
      <c r="BG924" s="29">
        <f t="shared" si="103"/>
        <v>4701.8999999999996</v>
      </c>
      <c r="BH924" s="29">
        <f t="shared" si="103"/>
        <v>476</v>
      </c>
      <c r="BI924" s="29">
        <f t="shared" si="103"/>
        <v>3039.8999999999996</v>
      </c>
      <c r="BJ924" s="29">
        <f t="shared" si="103"/>
        <v>8604.75</v>
      </c>
      <c r="BK924" s="29">
        <f t="shared" si="103"/>
        <v>0</v>
      </c>
      <c r="BL924" s="29">
        <f t="shared" si="103"/>
        <v>0</v>
      </c>
      <c r="BM924" s="29">
        <f t="shared" si="103"/>
        <v>0</v>
      </c>
      <c r="BN924" s="29">
        <f t="shared" si="103"/>
        <v>0</v>
      </c>
      <c r="BO924" s="29">
        <f t="shared" si="103"/>
        <v>25000</v>
      </c>
      <c r="BP924" s="29">
        <f t="shared" si="103"/>
        <v>0</v>
      </c>
      <c r="BQ924" s="29">
        <f t="shared" si="103"/>
        <v>0</v>
      </c>
      <c r="BR924" s="29">
        <f t="shared" si="103"/>
        <v>8628.16</v>
      </c>
      <c r="BS924" s="29">
        <f t="shared" si="103"/>
        <v>0</v>
      </c>
      <c r="BT924" s="29">
        <f t="shared" si="103"/>
        <v>0</v>
      </c>
      <c r="BU924" s="29">
        <f t="shared" si="103"/>
        <v>0</v>
      </c>
      <c r="BV924" s="29">
        <f t="shared" ref="BV924:CL924" si="104">SUM(BV868:BV923)</f>
        <v>0</v>
      </c>
      <c r="BW924" s="29">
        <f t="shared" si="104"/>
        <v>0</v>
      </c>
      <c r="BX924" s="29">
        <f t="shared" si="104"/>
        <v>0</v>
      </c>
      <c r="BY924" s="29">
        <f t="shared" si="104"/>
        <v>0</v>
      </c>
      <c r="BZ924" s="29">
        <f t="shared" si="104"/>
        <v>0</v>
      </c>
      <c r="CA924" s="29">
        <f t="shared" si="104"/>
        <v>0</v>
      </c>
      <c r="CB924" s="29">
        <f t="shared" si="104"/>
        <v>0</v>
      </c>
      <c r="CC924" s="29">
        <f t="shared" si="104"/>
        <v>4388.8999999999996</v>
      </c>
      <c r="CE924" s="29">
        <f t="shared" si="104"/>
        <v>1164600.46</v>
      </c>
      <c r="CF924" s="29">
        <f t="shared" si="104"/>
        <v>0</v>
      </c>
      <c r="CH924" s="29">
        <f t="shared" si="104"/>
        <v>0</v>
      </c>
      <c r="CI924" s="29">
        <f t="shared" si="104"/>
        <v>0</v>
      </c>
      <c r="CJ924" s="29">
        <f t="shared" si="104"/>
        <v>0</v>
      </c>
      <c r="CK924" s="29">
        <f t="shared" si="104"/>
        <v>0</v>
      </c>
      <c r="CL924" s="29">
        <f t="shared" si="104"/>
        <v>0</v>
      </c>
    </row>
    <row r="925" spans="1:92" x14ac:dyDescent="0.25">
      <c r="C925" s="25">
        <v>14925</v>
      </c>
      <c r="D925" s="11">
        <v>10468</v>
      </c>
      <c r="E925" s="3" t="s">
        <v>128</v>
      </c>
      <c r="F925" s="3" t="s">
        <v>1131</v>
      </c>
      <c r="G925" s="3"/>
      <c r="U925" s="3"/>
      <c r="V925" s="3"/>
      <c r="X925" s="3">
        <v>17074.41</v>
      </c>
      <c r="AS925" s="22">
        <f t="shared" si="98"/>
        <v>17074.41</v>
      </c>
      <c r="AT925" s="3">
        <v>17074.41</v>
      </c>
      <c r="AU925" s="3"/>
      <c r="BD925" s="3"/>
      <c r="BE925" s="3"/>
      <c r="CE925" s="22">
        <f t="shared" si="101"/>
        <v>17074.41</v>
      </c>
      <c r="CF925" s="3">
        <f t="shared" si="93"/>
        <v>0</v>
      </c>
      <c r="CG925" s="17">
        <f t="shared" si="102"/>
        <v>10468</v>
      </c>
      <c r="CH925" s="3" t="str">
        <f t="shared" si="102"/>
        <v>مركز مؤتمرات</v>
      </c>
    </row>
    <row r="926" spans="1:92" s="29" customFormat="1" x14ac:dyDescent="0.25">
      <c r="A926" s="27"/>
      <c r="B926" s="28"/>
      <c r="C926" s="46"/>
      <c r="D926" s="47"/>
      <c r="F926" s="29" t="s">
        <v>1132</v>
      </c>
      <c r="X926" s="29">
        <f>SUM(X925)</f>
        <v>17074.41</v>
      </c>
      <c r="Y926" s="29">
        <f t="shared" ref="Y926:CL926" si="105">SUM(Y925)</f>
        <v>0</v>
      </c>
      <c r="Z926" s="29">
        <f t="shared" si="105"/>
        <v>0</v>
      </c>
      <c r="AA926" s="29">
        <f t="shared" si="105"/>
        <v>0</v>
      </c>
      <c r="AB926" s="29">
        <f t="shared" si="105"/>
        <v>0</v>
      </c>
      <c r="AC926" s="29">
        <f t="shared" si="105"/>
        <v>0</v>
      </c>
      <c r="AD926" s="29">
        <f t="shared" si="105"/>
        <v>0</v>
      </c>
      <c r="AE926" s="29">
        <f t="shared" si="105"/>
        <v>0</v>
      </c>
      <c r="AF926" s="29">
        <f t="shared" si="105"/>
        <v>0</v>
      </c>
      <c r="AG926" s="29">
        <f t="shared" si="105"/>
        <v>0</v>
      </c>
      <c r="AH926" s="29">
        <f t="shared" si="105"/>
        <v>0</v>
      </c>
      <c r="AI926" s="29">
        <f t="shared" si="105"/>
        <v>0</v>
      </c>
      <c r="AJ926" s="29">
        <f t="shared" si="105"/>
        <v>0</v>
      </c>
      <c r="AK926" s="29">
        <f t="shared" si="105"/>
        <v>0</v>
      </c>
      <c r="AL926" s="29">
        <f t="shared" si="105"/>
        <v>0</v>
      </c>
      <c r="AM926" s="29">
        <f t="shared" si="105"/>
        <v>0</v>
      </c>
      <c r="AN926" s="29">
        <f t="shared" si="105"/>
        <v>0</v>
      </c>
      <c r="AO926" s="29">
        <f t="shared" si="105"/>
        <v>0</v>
      </c>
      <c r="AP926" s="29">
        <f t="shared" si="105"/>
        <v>0</v>
      </c>
      <c r="AQ926" s="29">
        <f t="shared" si="105"/>
        <v>0</v>
      </c>
      <c r="AS926" s="22">
        <f t="shared" si="98"/>
        <v>17074.41</v>
      </c>
      <c r="AT926" s="29">
        <f t="shared" si="105"/>
        <v>17074.41</v>
      </c>
      <c r="AU926" s="29">
        <f t="shared" si="105"/>
        <v>0</v>
      </c>
      <c r="AV926" s="29">
        <f t="shared" si="105"/>
        <v>0</v>
      </c>
      <c r="AW926" s="29">
        <f t="shared" si="105"/>
        <v>0</v>
      </c>
      <c r="AX926" s="29">
        <f t="shared" si="105"/>
        <v>0</v>
      </c>
      <c r="AY926" s="29">
        <f t="shared" si="105"/>
        <v>0</v>
      </c>
      <c r="AZ926" s="29">
        <f t="shared" si="105"/>
        <v>0</v>
      </c>
      <c r="BA926" s="29">
        <f t="shared" si="105"/>
        <v>0</v>
      </c>
      <c r="BB926" s="29">
        <f t="shared" si="105"/>
        <v>0</v>
      </c>
      <c r="BC926" s="29">
        <f t="shared" si="105"/>
        <v>0</v>
      </c>
      <c r="BD926" s="29">
        <f t="shared" si="105"/>
        <v>0</v>
      </c>
      <c r="BE926" s="29">
        <f t="shared" si="105"/>
        <v>0</v>
      </c>
      <c r="BF926" s="29">
        <f t="shared" si="105"/>
        <v>0</v>
      </c>
      <c r="BG926" s="29">
        <f t="shared" si="105"/>
        <v>0</v>
      </c>
      <c r="BH926" s="29">
        <f t="shared" si="105"/>
        <v>0</v>
      </c>
      <c r="BI926" s="29">
        <f t="shared" si="105"/>
        <v>0</v>
      </c>
      <c r="BJ926" s="29">
        <f t="shared" si="105"/>
        <v>0</v>
      </c>
      <c r="BK926" s="29">
        <f t="shared" si="105"/>
        <v>0</v>
      </c>
      <c r="BL926" s="29">
        <f t="shared" si="105"/>
        <v>0</v>
      </c>
      <c r="BM926" s="29">
        <f t="shared" si="105"/>
        <v>0</v>
      </c>
      <c r="BN926" s="29">
        <f t="shared" si="105"/>
        <v>0</v>
      </c>
      <c r="BO926" s="29">
        <f t="shared" si="105"/>
        <v>0</v>
      </c>
      <c r="BP926" s="29">
        <f t="shared" si="105"/>
        <v>0</v>
      </c>
      <c r="BQ926" s="29">
        <f t="shared" si="105"/>
        <v>0</v>
      </c>
      <c r="BR926" s="29">
        <f t="shared" si="105"/>
        <v>0</v>
      </c>
      <c r="BS926" s="29">
        <f t="shared" si="105"/>
        <v>0</v>
      </c>
      <c r="BT926" s="29">
        <f t="shared" si="105"/>
        <v>0</v>
      </c>
      <c r="BU926" s="29">
        <f t="shared" si="105"/>
        <v>0</v>
      </c>
      <c r="BV926" s="29">
        <f t="shared" si="105"/>
        <v>0</v>
      </c>
      <c r="BW926" s="29">
        <f t="shared" si="105"/>
        <v>0</v>
      </c>
      <c r="BX926" s="29">
        <f t="shared" si="105"/>
        <v>0</v>
      </c>
      <c r="BY926" s="29">
        <f t="shared" si="105"/>
        <v>0</v>
      </c>
      <c r="BZ926" s="29">
        <f t="shared" si="105"/>
        <v>0</v>
      </c>
      <c r="CA926" s="29">
        <f t="shared" si="105"/>
        <v>0</v>
      </c>
      <c r="CB926" s="29">
        <f t="shared" si="105"/>
        <v>0</v>
      </c>
      <c r="CC926" s="29">
        <f t="shared" si="105"/>
        <v>0</v>
      </c>
      <c r="CE926" s="22">
        <f t="shared" ref="CE926:CE937" si="106">SUM(AT926:CC926)</f>
        <v>17074.41</v>
      </c>
      <c r="CF926" s="3">
        <f t="shared" si="93"/>
        <v>0</v>
      </c>
      <c r="CG926" s="17">
        <f t="shared" si="102"/>
        <v>0</v>
      </c>
      <c r="CH926" s="3">
        <f t="shared" si="102"/>
        <v>0</v>
      </c>
      <c r="CI926" s="29">
        <f t="shared" si="105"/>
        <v>0</v>
      </c>
      <c r="CJ926" s="29">
        <f t="shared" si="105"/>
        <v>0</v>
      </c>
      <c r="CK926" s="29">
        <f t="shared" si="105"/>
        <v>0</v>
      </c>
      <c r="CL926" s="29">
        <f t="shared" si="105"/>
        <v>0</v>
      </c>
      <c r="CM926" s="29">
        <f t="shared" ref="CM926:CN926" si="107">SUM(CM925)</f>
        <v>0</v>
      </c>
      <c r="CN926" s="29">
        <f t="shared" si="107"/>
        <v>0</v>
      </c>
    </row>
    <row r="927" spans="1:92" x14ac:dyDescent="0.25">
      <c r="C927" s="25"/>
      <c r="D927" s="11">
        <v>10469</v>
      </c>
      <c r="G927" s="3"/>
      <c r="U927" s="3"/>
      <c r="V927" s="3"/>
      <c r="AS927" s="21"/>
      <c r="AU927" s="3"/>
      <c r="BD927" s="3"/>
      <c r="BE927" s="3"/>
      <c r="CE927" s="21"/>
    </row>
    <row r="928" spans="1:92" x14ac:dyDescent="0.25">
      <c r="C928" s="25"/>
      <c r="D928" s="11">
        <v>10470</v>
      </c>
      <c r="G928" s="3"/>
      <c r="U928" s="3"/>
      <c r="V928" s="3"/>
      <c r="AS928" s="21"/>
      <c r="AU928" s="3"/>
      <c r="BD928" s="3"/>
      <c r="BE928" s="3"/>
      <c r="CE928" s="21"/>
    </row>
    <row r="929" spans="1:90" x14ac:dyDescent="0.25">
      <c r="C929" s="25"/>
      <c r="D929" s="11">
        <v>10471</v>
      </c>
      <c r="F929" s="3" t="s">
        <v>1133</v>
      </c>
      <c r="G929" s="3"/>
      <c r="U929" s="3"/>
      <c r="V929" s="3"/>
      <c r="AS929" s="21"/>
      <c r="AU929" s="3"/>
      <c r="BD929" s="3"/>
      <c r="BE929" s="3"/>
      <c r="CE929" s="21"/>
    </row>
    <row r="930" spans="1:90" x14ac:dyDescent="0.25">
      <c r="C930" s="25"/>
      <c r="D930" s="11">
        <v>10472</v>
      </c>
      <c r="F930" s="3" t="s">
        <v>1134</v>
      </c>
      <c r="G930" s="3"/>
      <c r="U930" s="3"/>
      <c r="V930" s="3"/>
      <c r="AS930" s="21"/>
      <c r="AU930" s="3"/>
      <c r="BD930" s="3"/>
      <c r="BE930" s="3"/>
      <c r="CE930" s="21"/>
    </row>
    <row r="931" spans="1:90" x14ac:dyDescent="0.25">
      <c r="C931" s="25"/>
      <c r="D931" s="11">
        <v>10473</v>
      </c>
      <c r="F931" s="3" t="s">
        <v>1135</v>
      </c>
      <c r="G931" s="3"/>
      <c r="U931" s="3"/>
      <c r="V931" s="3"/>
      <c r="AS931" s="21"/>
      <c r="AU931" s="3"/>
      <c r="BD931" s="3"/>
      <c r="BE931" s="3"/>
      <c r="CE931" s="21"/>
    </row>
    <row r="932" spans="1:90" x14ac:dyDescent="0.25">
      <c r="C932" s="25"/>
      <c r="D932" s="11">
        <v>10474</v>
      </c>
      <c r="F932" s="3" t="s">
        <v>1136</v>
      </c>
      <c r="G932" s="3"/>
      <c r="U932" s="3"/>
      <c r="V932" s="3"/>
      <c r="AS932" s="21"/>
      <c r="AU932" s="3"/>
      <c r="BD932" s="3"/>
      <c r="BE932" s="3"/>
      <c r="CE932" s="21"/>
    </row>
    <row r="933" spans="1:90" s="29" customFormat="1" x14ac:dyDescent="0.25">
      <c r="A933" s="27"/>
      <c r="B933" s="28"/>
      <c r="C933" s="46"/>
      <c r="D933" s="47"/>
      <c r="F933" s="29" t="s">
        <v>1137</v>
      </c>
      <c r="AS933" s="22"/>
      <c r="CE933" s="22"/>
      <c r="CF933" s="3"/>
      <c r="CG933" s="17"/>
      <c r="CH933" s="3"/>
    </row>
    <row r="934" spans="1:90" ht="31.5" x14ac:dyDescent="0.25">
      <c r="A934" s="16">
        <v>45508</v>
      </c>
      <c r="C934" s="25"/>
      <c r="D934" s="11">
        <v>449</v>
      </c>
      <c r="E934" s="3" t="s">
        <v>332</v>
      </c>
      <c r="F934" s="9" t="s">
        <v>1138</v>
      </c>
      <c r="G934" s="3"/>
      <c r="H934" s="3">
        <v>0</v>
      </c>
      <c r="U934" s="3"/>
      <c r="V934" s="3"/>
      <c r="AS934" s="22">
        <f t="shared" si="98"/>
        <v>0</v>
      </c>
      <c r="AU934" s="3"/>
      <c r="BD934" s="3"/>
      <c r="BE934" s="3"/>
      <c r="CC934" s="3">
        <v>0</v>
      </c>
      <c r="CE934" s="22">
        <f t="shared" si="106"/>
        <v>0</v>
      </c>
      <c r="CF934" s="3">
        <f t="shared" ref="CF934:CF937" si="108">+CE934-AS934</f>
        <v>0</v>
      </c>
      <c r="CG934" s="17">
        <f t="shared" si="102"/>
        <v>449</v>
      </c>
      <c r="CH934" s="3" t="str">
        <f t="shared" si="102"/>
        <v xml:space="preserve">لاب فقط </v>
      </c>
    </row>
    <row r="935" spans="1:90" x14ac:dyDescent="0.25">
      <c r="C935" s="25"/>
      <c r="D935" s="11">
        <v>450</v>
      </c>
      <c r="F935" s="3" t="s">
        <v>1139</v>
      </c>
      <c r="G935" s="3"/>
      <c r="H935" s="3">
        <v>1146025.3700000001</v>
      </c>
      <c r="U935" s="3"/>
      <c r="V935" s="3"/>
      <c r="AS935" s="22">
        <f t="shared" si="98"/>
        <v>1146025.3700000001</v>
      </c>
      <c r="AU935" s="3"/>
      <c r="BD935" s="3"/>
      <c r="BE935" s="3"/>
      <c r="CC935" s="3">
        <v>1146025.3700000001</v>
      </c>
      <c r="CE935" s="22">
        <f t="shared" si="106"/>
        <v>1146025.3700000001</v>
      </c>
      <c r="CF935" s="3">
        <f t="shared" si="108"/>
        <v>0</v>
      </c>
      <c r="CG935" s="17">
        <f t="shared" si="102"/>
        <v>450</v>
      </c>
      <c r="CH935" s="3">
        <f t="shared" si="102"/>
        <v>0</v>
      </c>
    </row>
    <row r="936" spans="1:90" x14ac:dyDescent="0.25">
      <c r="C936" s="25"/>
      <c r="D936" s="11">
        <v>451</v>
      </c>
      <c r="F936" s="3" t="s">
        <v>1140</v>
      </c>
      <c r="G936" s="3"/>
      <c r="H936" s="3">
        <v>897605.04</v>
      </c>
      <c r="U936" s="3"/>
      <c r="V936" s="3"/>
      <c r="AS936" s="22">
        <f t="shared" si="98"/>
        <v>897605.04</v>
      </c>
      <c r="AU936" s="3"/>
      <c r="BD936" s="3"/>
      <c r="BE936" s="3"/>
      <c r="CC936" s="3">
        <v>897605.04</v>
      </c>
      <c r="CE936" s="22">
        <f t="shared" si="106"/>
        <v>897605.04</v>
      </c>
      <c r="CF936" s="3">
        <f t="shared" si="108"/>
        <v>0</v>
      </c>
      <c r="CG936" s="17">
        <f t="shared" si="102"/>
        <v>451</v>
      </c>
      <c r="CH936" s="3">
        <f t="shared" si="102"/>
        <v>0</v>
      </c>
    </row>
    <row r="937" spans="1:90" ht="31.5" x14ac:dyDescent="0.25">
      <c r="A937" s="16" t="s">
        <v>1141</v>
      </c>
      <c r="D937" s="17">
        <v>452</v>
      </c>
      <c r="E937" s="3" t="s">
        <v>332</v>
      </c>
      <c r="F937" s="9" t="s">
        <v>1142</v>
      </c>
      <c r="AS937" s="22">
        <f t="shared" si="98"/>
        <v>0</v>
      </c>
      <c r="CE937" s="22">
        <f t="shared" si="106"/>
        <v>0</v>
      </c>
      <c r="CF937" s="3">
        <f t="shared" si="108"/>
        <v>0</v>
      </c>
      <c r="CG937" s="17">
        <f t="shared" si="102"/>
        <v>452</v>
      </c>
      <c r="CH937" s="3" t="str">
        <f t="shared" si="102"/>
        <v xml:space="preserve">لاب فقط </v>
      </c>
    </row>
    <row r="938" spans="1:90" s="29" customFormat="1" x14ac:dyDescent="0.25">
      <c r="A938" s="27"/>
      <c r="B938" s="28"/>
      <c r="C938" s="28"/>
      <c r="D938" s="28"/>
      <c r="F938" s="29" t="s">
        <v>1143</v>
      </c>
      <c r="H938" s="29">
        <f>SUM(H934:H937)</f>
        <v>2043630.4100000001</v>
      </c>
      <c r="I938" s="29">
        <f t="shared" ref="I938:BU938" si="109">SUM(I934:I937)</f>
        <v>0</v>
      </c>
      <c r="J938" s="29">
        <f t="shared" si="109"/>
        <v>0</v>
      </c>
      <c r="K938" s="29">
        <f t="shared" si="109"/>
        <v>0</v>
      </c>
      <c r="L938" s="29">
        <f t="shared" si="109"/>
        <v>0</v>
      </c>
      <c r="M938" s="29">
        <f t="shared" si="109"/>
        <v>0</v>
      </c>
      <c r="N938" s="29">
        <f t="shared" si="109"/>
        <v>0</v>
      </c>
      <c r="O938" s="29">
        <f t="shared" si="109"/>
        <v>0</v>
      </c>
      <c r="P938" s="29">
        <f t="shared" si="109"/>
        <v>0</v>
      </c>
      <c r="Q938" s="29">
        <f t="shared" si="109"/>
        <v>0</v>
      </c>
      <c r="R938" s="29">
        <f t="shared" si="109"/>
        <v>0</v>
      </c>
      <c r="S938" s="29">
        <f t="shared" si="109"/>
        <v>0</v>
      </c>
      <c r="T938" s="29">
        <f t="shared" si="109"/>
        <v>0</v>
      </c>
      <c r="U938" s="29">
        <f t="shared" si="109"/>
        <v>0</v>
      </c>
      <c r="V938" s="29">
        <f t="shared" si="109"/>
        <v>0</v>
      </c>
      <c r="W938" s="29">
        <f t="shared" si="109"/>
        <v>0</v>
      </c>
      <c r="X938" s="29">
        <f t="shared" si="109"/>
        <v>0</v>
      </c>
      <c r="Y938" s="29">
        <f t="shared" si="109"/>
        <v>0</v>
      </c>
      <c r="Z938" s="29">
        <f t="shared" si="109"/>
        <v>0</v>
      </c>
      <c r="AA938" s="29">
        <f t="shared" si="109"/>
        <v>0</v>
      </c>
      <c r="AB938" s="29">
        <f t="shared" si="109"/>
        <v>0</v>
      </c>
      <c r="AC938" s="29">
        <f t="shared" si="109"/>
        <v>0</v>
      </c>
      <c r="AD938" s="29">
        <f t="shared" si="109"/>
        <v>0</v>
      </c>
      <c r="AE938" s="29">
        <f t="shared" si="109"/>
        <v>0</v>
      </c>
      <c r="AF938" s="29">
        <f t="shared" si="109"/>
        <v>0</v>
      </c>
      <c r="AG938" s="29">
        <f t="shared" si="109"/>
        <v>0</v>
      </c>
      <c r="AH938" s="29">
        <f t="shared" si="109"/>
        <v>0</v>
      </c>
      <c r="AI938" s="29">
        <f t="shared" si="109"/>
        <v>0</v>
      </c>
      <c r="AJ938" s="29">
        <f t="shared" si="109"/>
        <v>0</v>
      </c>
      <c r="AK938" s="29">
        <f t="shared" si="109"/>
        <v>0</v>
      </c>
      <c r="AL938" s="29">
        <f t="shared" si="109"/>
        <v>0</v>
      </c>
      <c r="AM938" s="29">
        <f t="shared" si="109"/>
        <v>0</v>
      </c>
      <c r="AN938" s="29">
        <f t="shared" si="109"/>
        <v>0</v>
      </c>
      <c r="AO938" s="29">
        <f t="shared" si="109"/>
        <v>0</v>
      </c>
      <c r="AP938" s="29">
        <f t="shared" si="109"/>
        <v>0</v>
      </c>
      <c r="AQ938" s="29">
        <f t="shared" si="109"/>
        <v>0</v>
      </c>
      <c r="AS938" s="29">
        <f t="shared" si="109"/>
        <v>2043630.4100000001</v>
      </c>
      <c r="AT938" s="29">
        <f t="shared" si="109"/>
        <v>0</v>
      </c>
      <c r="AU938" s="29">
        <f t="shared" si="109"/>
        <v>0</v>
      </c>
      <c r="AV938" s="29">
        <f t="shared" si="109"/>
        <v>0</v>
      </c>
      <c r="AW938" s="29">
        <f t="shared" si="109"/>
        <v>0</v>
      </c>
      <c r="AX938" s="29">
        <f t="shared" si="109"/>
        <v>0</v>
      </c>
      <c r="AY938" s="29">
        <f t="shared" si="109"/>
        <v>0</v>
      </c>
      <c r="AZ938" s="29">
        <f t="shared" si="109"/>
        <v>0</v>
      </c>
      <c r="BA938" s="29">
        <f t="shared" si="109"/>
        <v>0</v>
      </c>
      <c r="BB938" s="29">
        <f t="shared" si="109"/>
        <v>0</v>
      </c>
      <c r="BC938" s="29">
        <f t="shared" si="109"/>
        <v>0</v>
      </c>
      <c r="BD938" s="29">
        <f t="shared" si="109"/>
        <v>0</v>
      </c>
      <c r="BE938" s="29">
        <f t="shared" si="109"/>
        <v>0</v>
      </c>
      <c r="BF938" s="29">
        <f t="shared" si="109"/>
        <v>0</v>
      </c>
      <c r="BG938" s="29">
        <f t="shared" si="109"/>
        <v>0</v>
      </c>
      <c r="BH938" s="29">
        <f t="shared" si="109"/>
        <v>0</v>
      </c>
      <c r="BI938" s="29">
        <f t="shared" si="109"/>
        <v>0</v>
      </c>
      <c r="BJ938" s="29">
        <f t="shared" si="109"/>
        <v>0</v>
      </c>
      <c r="BK938" s="29">
        <f t="shared" si="109"/>
        <v>0</v>
      </c>
      <c r="BL938" s="29">
        <f t="shared" si="109"/>
        <v>0</v>
      </c>
      <c r="BM938" s="29">
        <f t="shared" si="109"/>
        <v>0</v>
      </c>
      <c r="BN938" s="29">
        <f t="shared" si="109"/>
        <v>0</v>
      </c>
      <c r="BO938" s="29">
        <f t="shared" si="109"/>
        <v>0</v>
      </c>
      <c r="BP938" s="29">
        <f t="shared" si="109"/>
        <v>0</v>
      </c>
      <c r="BQ938" s="29">
        <f t="shared" si="109"/>
        <v>0</v>
      </c>
      <c r="BR938" s="29">
        <f t="shared" si="109"/>
        <v>0</v>
      </c>
      <c r="BS938" s="29">
        <f t="shared" si="109"/>
        <v>0</v>
      </c>
      <c r="BT938" s="29">
        <f t="shared" si="109"/>
        <v>0</v>
      </c>
      <c r="BU938" s="29">
        <f t="shared" si="109"/>
        <v>0</v>
      </c>
      <c r="BV938" s="29">
        <f t="shared" ref="BV938:CL938" si="110">SUM(BV934:BV937)</f>
        <v>0</v>
      </c>
      <c r="BW938" s="29">
        <f t="shared" si="110"/>
        <v>0</v>
      </c>
      <c r="BX938" s="29">
        <f t="shared" si="110"/>
        <v>0</v>
      </c>
      <c r="BY938" s="29">
        <f t="shared" si="110"/>
        <v>0</v>
      </c>
      <c r="BZ938" s="29">
        <f t="shared" si="110"/>
        <v>0</v>
      </c>
      <c r="CA938" s="29">
        <f t="shared" si="110"/>
        <v>0</v>
      </c>
      <c r="CB938" s="29">
        <f t="shared" si="110"/>
        <v>0</v>
      </c>
      <c r="CC938" s="29">
        <f t="shared" si="110"/>
        <v>2043630.4100000001</v>
      </c>
      <c r="CE938" s="29">
        <f t="shared" si="110"/>
        <v>2043630.4100000001</v>
      </c>
      <c r="CF938" s="29">
        <f t="shared" si="110"/>
        <v>0</v>
      </c>
      <c r="CH938" s="29">
        <f t="shared" si="110"/>
        <v>0</v>
      </c>
      <c r="CI938" s="29">
        <f t="shared" si="110"/>
        <v>0</v>
      </c>
      <c r="CJ938" s="29">
        <f t="shared" si="110"/>
        <v>0</v>
      </c>
      <c r="CK938" s="29">
        <f t="shared" si="110"/>
        <v>0</v>
      </c>
      <c r="CL938" s="29">
        <f t="shared" si="110"/>
        <v>0</v>
      </c>
    </row>
    <row r="939" spans="1:90" x14ac:dyDescent="0.25">
      <c r="C939" s="25"/>
      <c r="D939" s="11">
        <v>453</v>
      </c>
      <c r="F939" s="3" t="s">
        <v>1144</v>
      </c>
      <c r="G939" s="3"/>
      <c r="Q939" s="3">
        <v>3000</v>
      </c>
      <c r="U939" s="3"/>
      <c r="V939" s="3"/>
      <c r="AS939" s="22">
        <f t="shared" si="98"/>
        <v>3000</v>
      </c>
      <c r="AU939" s="3"/>
      <c r="BD939" s="3"/>
      <c r="BE939" s="3"/>
      <c r="BP939" s="3">
        <v>3000</v>
      </c>
      <c r="CE939" s="22">
        <f t="shared" ref="CE939:CE961" si="111">SUM(AT939:CC939)</f>
        <v>3000</v>
      </c>
      <c r="CF939" s="3">
        <f t="shared" ref="CF939:CF982" si="112">+CE939-AS939</f>
        <v>0</v>
      </c>
      <c r="CG939" s="17">
        <f t="shared" ref="CG939:CH954" si="113">+D939</f>
        <v>453</v>
      </c>
      <c r="CH939" s="3">
        <f t="shared" si="113"/>
        <v>0</v>
      </c>
    </row>
    <row r="940" spans="1:90" x14ac:dyDescent="0.25">
      <c r="C940" s="25"/>
      <c r="D940" s="11">
        <v>454</v>
      </c>
      <c r="F940" s="3" t="s">
        <v>1145</v>
      </c>
      <c r="G940" s="3"/>
      <c r="U940" s="3"/>
      <c r="V940" s="3"/>
      <c r="AC940" s="3">
        <v>3744.9</v>
      </c>
      <c r="AS940" s="22">
        <f t="shared" si="98"/>
        <v>3744.9</v>
      </c>
      <c r="AU940" s="3"/>
      <c r="BD940" s="3"/>
      <c r="BE940" s="3"/>
      <c r="BQ940" s="3">
        <v>3744.9</v>
      </c>
      <c r="CE940" s="22">
        <f t="shared" si="111"/>
        <v>3744.9</v>
      </c>
      <c r="CF940" s="3">
        <f t="shared" si="112"/>
        <v>0</v>
      </c>
      <c r="CG940" s="17">
        <f t="shared" si="113"/>
        <v>454</v>
      </c>
      <c r="CH940" s="3">
        <f t="shared" si="113"/>
        <v>0</v>
      </c>
    </row>
    <row r="941" spans="1:90" x14ac:dyDescent="0.25">
      <c r="C941" s="25"/>
      <c r="D941" s="11">
        <v>455</v>
      </c>
      <c r="F941" s="3" t="s">
        <v>1145</v>
      </c>
      <c r="G941" s="3"/>
      <c r="U941" s="3"/>
      <c r="V941" s="3"/>
      <c r="AC941" s="3">
        <v>17977.8</v>
      </c>
      <c r="AS941" s="22">
        <f t="shared" si="98"/>
        <v>17977.8</v>
      </c>
      <c r="AU941" s="3"/>
      <c r="BD941" s="3"/>
      <c r="BE941" s="3"/>
      <c r="BQ941" s="3">
        <v>17977.8</v>
      </c>
      <c r="CE941" s="22">
        <f t="shared" si="111"/>
        <v>17977.8</v>
      </c>
      <c r="CF941" s="3">
        <f t="shared" si="112"/>
        <v>0</v>
      </c>
      <c r="CG941" s="17">
        <f t="shared" si="113"/>
        <v>455</v>
      </c>
      <c r="CH941" s="3">
        <f t="shared" si="113"/>
        <v>0</v>
      </c>
    </row>
    <row r="942" spans="1:90" x14ac:dyDescent="0.25">
      <c r="C942" s="25"/>
      <c r="D942" s="11">
        <v>456</v>
      </c>
      <c r="E942" s="3" t="s">
        <v>122</v>
      </c>
      <c r="F942" s="3" t="s">
        <v>1146</v>
      </c>
      <c r="G942" s="3"/>
      <c r="U942" s="3"/>
      <c r="V942" s="3"/>
      <c r="AQ942" s="3">
        <v>200</v>
      </c>
      <c r="AS942" s="22">
        <f t="shared" si="98"/>
        <v>200</v>
      </c>
      <c r="AU942" s="3"/>
      <c r="BD942" s="3"/>
      <c r="BE942" s="3"/>
      <c r="CC942" s="3">
        <v>200</v>
      </c>
      <c r="CE942" s="22">
        <f t="shared" si="111"/>
        <v>200</v>
      </c>
      <c r="CF942" s="3">
        <f t="shared" si="112"/>
        <v>0</v>
      </c>
      <c r="CG942" s="17">
        <f t="shared" si="113"/>
        <v>456</v>
      </c>
      <c r="CH942" s="3" t="str">
        <f t="shared" si="113"/>
        <v>علاج تخصصى</v>
      </c>
    </row>
    <row r="943" spans="1:90" x14ac:dyDescent="0.25">
      <c r="C943" s="25"/>
      <c r="D943" s="11">
        <v>457</v>
      </c>
      <c r="E943" s="3" t="s">
        <v>122</v>
      </c>
      <c r="F943" s="3" t="s">
        <v>1147</v>
      </c>
      <c r="G943" s="3"/>
      <c r="U943" s="3"/>
      <c r="V943" s="3"/>
      <c r="AQ943" s="3">
        <v>50</v>
      </c>
      <c r="AS943" s="22">
        <f t="shared" si="98"/>
        <v>50</v>
      </c>
      <c r="AU943" s="3"/>
      <c r="BD943" s="3"/>
      <c r="BE943" s="3"/>
      <c r="CC943" s="3">
        <v>50</v>
      </c>
      <c r="CE943" s="22">
        <f t="shared" si="111"/>
        <v>50</v>
      </c>
      <c r="CF943" s="3">
        <f t="shared" si="112"/>
        <v>0</v>
      </c>
      <c r="CG943" s="17">
        <f t="shared" si="113"/>
        <v>457</v>
      </c>
      <c r="CH943" s="3" t="str">
        <f t="shared" si="113"/>
        <v>علاج تخصصى</v>
      </c>
    </row>
    <row r="944" spans="1:90" x14ac:dyDescent="0.25">
      <c r="C944" s="25"/>
      <c r="D944" s="11">
        <v>458</v>
      </c>
      <c r="E944" s="3" t="s">
        <v>122</v>
      </c>
      <c r="F944" s="3" t="s">
        <v>1148</v>
      </c>
      <c r="G944" s="3"/>
      <c r="U944" s="3"/>
      <c r="V944" s="3"/>
      <c r="AQ944" s="3">
        <v>150</v>
      </c>
      <c r="AS944" s="22">
        <f t="shared" si="98"/>
        <v>150</v>
      </c>
      <c r="AU944" s="3"/>
      <c r="BD944" s="3"/>
      <c r="BE944" s="3"/>
      <c r="CC944" s="3">
        <v>150</v>
      </c>
      <c r="CE944" s="22">
        <f t="shared" si="111"/>
        <v>150</v>
      </c>
      <c r="CF944" s="3">
        <f t="shared" si="112"/>
        <v>0</v>
      </c>
      <c r="CG944" s="17">
        <f t="shared" si="113"/>
        <v>458</v>
      </c>
      <c r="CH944" s="3" t="str">
        <f t="shared" si="113"/>
        <v>علاج تخصصى</v>
      </c>
    </row>
    <row r="945" spans="3:86" x14ac:dyDescent="0.25">
      <c r="C945" s="25"/>
      <c r="D945" s="11">
        <v>459</v>
      </c>
      <c r="E945" s="3" t="s">
        <v>122</v>
      </c>
      <c r="F945" s="3" t="s">
        <v>1149</v>
      </c>
      <c r="G945" s="3"/>
      <c r="U945" s="3"/>
      <c r="V945" s="3"/>
      <c r="AQ945" s="3">
        <v>300</v>
      </c>
      <c r="AS945" s="22">
        <f t="shared" si="98"/>
        <v>300</v>
      </c>
      <c r="AU945" s="3"/>
      <c r="BD945" s="3"/>
      <c r="BE945" s="3"/>
      <c r="CC945" s="3">
        <v>300</v>
      </c>
      <c r="CE945" s="22">
        <f t="shared" si="111"/>
        <v>300</v>
      </c>
      <c r="CF945" s="3">
        <f t="shared" si="112"/>
        <v>0</v>
      </c>
      <c r="CG945" s="17">
        <f t="shared" si="113"/>
        <v>459</v>
      </c>
      <c r="CH945" s="3" t="str">
        <f t="shared" si="113"/>
        <v>علاج تخصصى</v>
      </c>
    </row>
    <row r="946" spans="3:86" x14ac:dyDescent="0.25">
      <c r="C946" s="25"/>
      <c r="D946" s="11">
        <v>460</v>
      </c>
      <c r="E946" s="3" t="s">
        <v>137</v>
      </c>
      <c r="F946" s="3" t="s">
        <v>1150</v>
      </c>
      <c r="G946" s="3"/>
      <c r="U946" s="3"/>
      <c r="V946" s="3"/>
      <c r="AQ946" s="3">
        <v>7560</v>
      </c>
      <c r="AS946" s="22">
        <f t="shared" si="98"/>
        <v>7560</v>
      </c>
      <c r="AU946" s="3"/>
      <c r="BD946" s="3"/>
      <c r="BE946" s="3"/>
      <c r="CC946" s="3">
        <v>7560</v>
      </c>
      <c r="CE946" s="22">
        <f t="shared" si="111"/>
        <v>7560</v>
      </c>
      <c r="CF946" s="3">
        <f t="shared" si="112"/>
        <v>0</v>
      </c>
      <c r="CG946" s="17">
        <f t="shared" si="113"/>
        <v>460</v>
      </c>
      <c r="CH946" s="3" t="str">
        <f t="shared" si="113"/>
        <v xml:space="preserve">خدمة عامة </v>
      </c>
    </row>
    <row r="947" spans="3:86" x14ac:dyDescent="0.25">
      <c r="C947" s="25"/>
      <c r="D947" s="11">
        <v>461</v>
      </c>
      <c r="E947" s="3" t="s">
        <v>137</v>
      </c>
      <c r="F947" s="3" t="s">
        <v>1151</v>
      </c>
      <c r="G947" s="3"/>
      <c r="U947" s="3"/>
      <c r="V947" s="3"/>
      <c r="AQ947" s="3">
        <v>8010</v>
      </c>
      <c r="AS947" s="22">
        <f t="shared" si="98"/>
        <v>8010</v>
      </c>
      <c r="AU947" s="3"/>
      <c r="BD947" s="3"/>
      <c r="BE947" s="3"/>
      <c r="CC947" s="3">
        <v>8010</v>
      </c>
      <c r="CE947" s="22">
        <f t="shared" si="111"/>
        <v>8010</v>
      </c>
      <c r="CF947" s="3">
        <f t="shared" si="112"/>
        <v>0</v>
      </c>
      <c r="CG947" s="17">
        <f t="shared" si="113"/>
        <v>461</v>
      </c>
      <c r="CH947" s="3" t="str">
        <f t="shared" si="113"/>
        <v xml:space="preserve">خدمة عامة </v>
      </c>
    </row>
    <row r="948" spans="3:86" x14ac:dyDescent="0.25">
      <c r="C948" s="25"/>
      <c r="D948" s="11">
        <v>462</v>
      </c>
      <c r="E948" s="3" t="s">
        <v>137</v>
      </c>
      <c r="F948" s="3" t="s">
        <v>1152</v>
      </c>
      <c r="G948" s="3"/>
      <c r="U948" s="3"/>
      <c r="V948" s="3"/>
      <c r="AQ948" s="3">
        <v>4850</v>
      </c>
      <c r="AS948" s="22">
        <f t="shared" si="98"/>
        <v>4850</v>
      </c>
      <c r="AU948" s="3"/>
      <c r="BD948" s="3"/>
      <c r="BE948" s="3"/>
      <c r="CC948" s="3">
        <v>4850</v>
      </c>
      <c r="CE948" s="22">
        <f t="shared" si="111"/>
        <v>4850</v>
      </c>
      <c r="CF948" s="3">
        <f t="shared" si="112"/>
        <v>0</v>
      </c>
      <c r="CG948" s="17">
        <f t="shared" si="113"/>
        <v>462</v>
      </c>
      <c r="CH948" s="3" t="str">
        <f t="shared" si="113"/>
        <v xml:space="preserve">خدمة عامة </v>
      </c>
    </row>
    <row r="949" spans="3:86" x14ac:dyDescent="0.25">
      <c r="C949" s="25"/>
      <c r="D949" s="11">
        <v>463</v>
      </c>
      <c r="E949" s="3" t="s">
        <v>137</v>
      </c>
      <c r="F949" s="3" t="s">
        <v>1153</v>
      </c>
      <c r="G949" s="3"/>
      <c r="U949" s="3"/>
      <c r="V949" s="3"/>
      <c r="AQ949" s="3">
        <v>2620</v>
      </c>
      <c r="AS949" s="22">
        <f t="shared" si="98"/>
        <v>2620</v>
      </c>
      <c r="AU949" s="3"/>
      <c r="BD949" s="3"/>
      <c r="BE949" s="3"/>
      <c r="CC949" s="3">
        <v>2620</v>
      </c>
      <c r="CE949" s="22">
        <f t="shared" si="111"/>
        <v>2620</v>
      </c>
      <c r="CF949" s="3">
        <f t="shared" si="112"/>
        <v>0</v>
      </c>
      <c r="CG949" s="17">
        <f t="shared" si="113"/>
        <v>463</v>
      </c>
      <c r="CH949" s="3" t="str">
        <f t="shared" si="113"/>
        <v xml:space="preserve">خدمة عامة </v>
      </c>
    </row>
    <row r="950" spans="3:86" x14ac:dyDescent="0.25">
      <c r="C950" s="25"/>
      <c r="D950" s="11">
        <v>464</v>
      </c>
      <c r="E950" s="3" t="s">
        <v>137</v>
      </c>
      <c r="F950" s="3" t="s">
        <v>1154</v>
      </c>
      <c r="G950" s="3"/>
      <c r="U950" s="3"/>
      <c r="V950" s="3"/>
      <c r="AQ950" s="3">
        <v>5990</v>
      </c>
      <c r="AS950" s="22">
        <f t="shared" si="98"/>
        <v>5990</v>
      </c>
      <c r="AU950" s="3"/>
      <c r="BD950" s="3"/>
      <c r="BE950" s="3"/>
      <c r="CC950" s="3">
        <v>5990</v>
      </c>
      <c r="CE950" s="22">
        <f t="shared" si="111"/>
        <v>5990</v>
      </c>
      <c r="CF950" s="3">
        <f t="shared" si="112"/>
        <v>0</v>
      </c>
      <c r="CG950" s="17">
        <f t="shared" si="113"/>
        <v>464</v>
      </c>
      <c r="CH950" s="3" t="str">
        <f t="shared" si="113"/>
        <v xml:space="preserve">خدمة عامة </v>
      </c>
    </row>
    <row r="951" spans="3:86" x14ac:dyDescent="0.25">
      <c r="C951" s="25"/>
      <c r="D951" s="11">
        <v>465</v>
      </c>
      <c r="E951" s="3" t="s">
        <v>137</v>
      </c>
      <c r="F951" s="3" t="s">
        <v>1155</v>
      </c>
      <c r="G951" s="3"/>
      <c r="U951" s="3"/>
      <c r="V951" s="3"/>
      <c r="AQ951" s="3">
        <v>3520</v>
      </c>
      <c r="AS951" s="22">
        <f t="shared" si="98"/>
        <v>3520</v>
      </c>
      <c r="AU951" s="3"/>
      <c r="BD951" s="3"/>
      <c r="BE951" s="3"/>
      <c r="CC951" s="3">
        <v>3520</v>
      </c>
      <c r="CE951" s="22">
        <f t="shared" si="111"/>
        <v>3520</v>
      </c>
      <c r="CF951" s="3">
        <f t="shared" si="112"/>
        <v>0</v>
      </c>
      <c r="CG951" s="17">
        <f t="shared" si="113"/>
        <v>465</v>
      </c>
      <c r="CH951" s="3" t="str">
        <f t="shared" si="113"/>
        <v xml:space="preserve">خدمة عامة </v>
      </c>
    </row>
    <row r="952" spans="3:86" x14ac:dyDescent="0.25">
      <c r="C952" s="25"/>
      <c r="D952" s="11">
        <v>466</v>
      </c>
      <c r="E952" s="3" t="s">
        <v>137</v>
      </c>
      <c r="F952" s="3" t="s">
        <v>1156</v>
      </c>
      <c r="G952" s="3"/>
      <c r="U952" s="3"/>
      <c r="V952" s="3"/>
      <c r="AQ952" s="3">
        <v>7815</v>
      </c>
      <c r="AS952" s="22">
        <f t="shared" si="98"/>
        <v>7815</v>
      </c>
      <c r="AU952" s="3"/>
      <c r="BD952" s="3"/>
      <c r="BE952" s="3"/>
      <c r="CC952" s="3">
        <v>7815</v>
      </c>
      <c r="CE952" s="22">
        <f t="shared" si="111"/>
        <v>7815</v>
      </c>
      <c r="CF952" s="3">
        <f t="shared" si="112"/>
        <v>0</v>
      </c>
      <c r="CG952" s="17">
        <f t="shared" si="113"/>
        <v>466</v>
      </c>
      <c r="CH952" s="3" t="str">
        <f t="shared" si="113"/>
        <v xml:space="preserve">خدمة عامة </v>
      </c>
    </row>
    <row r="953" spans="3:86" x14ac:dyDescent="0.25">
      <c r="C953" s="25"/>
      <c r="D953" s="11">
        <v>467</v>
      </c>
      <c r="F953" s="3" t="s">
        <v>1157</v>
      </c>
      <c r="G953" s="3"/>
      <c r="U953" s="3"/>
      <c r="V953" s="3"/>
      <c r="AJ953" s="3">
        <v>84000</v>
      </c>
      <c r="AS953" s="22">
        <f t="shared" si="98"/>
        <v>84000</v>
      </c>
      <c r="AU953" s="3"/>
      <c r="BD953" s="3"/>
      <c r="BE953" s="3"/>
      <c r="BU953" s="3">
        <v>84000</v>
      </c>
      <c r="CE953" s="22">
        <f t="shared" si="111"/>
        <v>84000</v>
      </c>
      <c r="CF953" s="3">
        <f t="shared" si="112"/>
        <v>0</v>
      </c>
      <c r="CG953" s="17">
        <f t="shared" si="113"/>
        <v>467</v>
      </c>
      <c r="CH953" s="3">
        <f t="shared" si="113"/>
        <v>0</v>
      </c>
    </row>
    <row r="954" spans="3:86" x14ac:dyDescent="0.25">
      <c r="C954" s="25"/>
      <c r="D954" s="11">
        <v>468</v>
      </c>
      <c r="F954" s="3" t="s">
        <v>1158</v>
      </c>
      <c r="G954" s="3"/>
      <c r="U954" s="3"/>
      <c r="V954" s="3"/>
      <c r="AJ954" s="3">
        <v>9000</v>
      </c>
      <c r="AS954" s="22">
        <f t="shared" si="98"/>
        <v>9000</v>
      </c>
      <c r="AU954" s="3"/>
      <c r="BD954" s="3"/>
      <c r="BE954" s="3"/>
      <c r="BU954" s="3">
        <v>9000</v>
      </c>
      <c r="CE954" s="22">
        <f t="shared" si="111"/>
        <v>9000</v>
      </c>
      <c r="CF954" s="3">
        <f t="shared" si="112"/>
        <v>0</v>
      </c>
      <c r="CG954" s="17">
        <f t="shared" si="113"/>
        <v>468</v>
      </c>
      <c r="CH954" s="3">
        <f t="shared" si="113"/>
        <v>0</v>
      </c>
    </row>
    <row r="955" spans="3:86" x14ac:dyDescent="0.25">
      <c r="C955" s="25"/>
      <c r="D955" s="11">
        <v>469</v>
      </c>
      <c r="E955" s="3" t="s">
        <v>729</v>
      </c>
      <c r="F955" s="3" t="s">
        <v>1159</v>
      </c>
      <c r="G955" s="3"/>
      <c r="I955" s="3">
        <v>80</v>
      </c>
      <c r="U955" s="3"/>
      <c r="V955" s="3"/>
      <c r="AO955" s="3">
        <v>800</v>
      </c>
      <c r="AS955" s="22">
        <f t="shared" si="98"/>
        <v>880</v>
      </c>
      <c r="AU955" s="3"/>
      <c r="BD955" s="3"/>
      <c r="BE955" s="3"/>
      <c r="BZ955" s="3">
        <v>80</v>
      </c>
      <c r="CC955" s="3">
        <v>800</v>
      </c>
      <c r="CE955" s="22">
        <f t="shared" si="111"/>
        <v>880</v>
      </c>
      <c r="CF955" s="3">
        <f t="shared" si="112"/>
        <v>0</v>
      </c>
      <c r="CG955" s="17">
        <f t="shared" ref="CG955:CH961" si="114">+D955</f>
        <v>469</v>
      </c>
      <c r="CH955" s="3" t="str">
        <f t="shared" si="114"/>
        <v>خدمات صيدلة</v>
      </c>
    </row>
    <row r="956" spans="3:86" x14ac:dyDescent="0.25">
      <c r="C956" s="25"/>
      <c r="D956" s="11">
        <v>470</v>
      </c>
      <c r="E956" s="3" t="s">
        <v>132</v>
      </c>
      <c r="F956" s="3" t="s">
        <v>1159</v>
      </c>
      <c r="G956" s="3"/>
      <c r="I956" s="3">
        <v>50</v>
      </c>
      <c r="U956" s="3"/>
      <c r="V956" s="3"/>
      <c r="AS956" s="22">
        <f t="shared" si="98"/>
        <v>50</v>
      </c>
      <c r="AU956" s="3"/>
      <c r="BD956" s="3"/>
      <c r="BE956" s="3"/>
      <c r="BZ956" s="3">
        <v>50</v>
      </c>
      <c r="CE956" s="22">
        <f t="shared" si="111"/>
        <v>50</v>
      </c>
      <c r="CF956" s="3">
        <f t="shared" si="112"/>
        <v>0</v>
      </c>
      <c r="CG956" s="17">
        <f t="shared" si="114"/>
        <v>470</v>
      </c>
      <c r="CH956" s="3" t="str">
        <f t="shared" si="114"/>
        <v>صيدلة اكلينيكى</v>
      </c>
    </row>
    <row r="957" spans="3:86" x14ac:dyDescent="0.25">
      <c r="C957" s="25"/>
      <c r="D957" s="11">
        <v>471</v>
      </c>
      <c r="E957" s="3" t="s">
        <v>1160</v>
      </c>
      <c r="F957" s="3" t="s">
        <v>1159</v>
      </c>
      <c r="G957" s="3"/>
      <c r="I957" s="3">
        <v>50</v>
      </c>
      <c r="U957" s="3"/>
      <c r="V957" s="3"/>
      <c r="AS957" s="22">
        <f t="shared" si="98"/>
        <v>50</v>
      </c>
      <c r="AU957" s="3"/>
      <c r="BD957" s="3"/>
      <c r="BE957" s="3"/>
      <c r="BZ957" s="3">
        <v>50</v>
      </c>
      <c r="CE957" s="22">
        <f t="shared" si="111"/>
        <v>50</v>
      </c>
      <c r="CF957" s="3">
        <f t="shared" si="112"/>
        <v>0</v>
      </c>
      <c r="CG957" s="17">
        <f t="shared" si="114"/>
        <v>471</v>
      </c>
      <c r="CH957" s="3" t="str">
        <f t="shared" si="114"/>
        <v>خ ت صيدله</v>
      </c>
    </row>
    <row r="958" spans="3:86" x14ac:dyDescent="0.25">
      <c r="C958" s="25"/>
      <c r="D958" s="11">
        <v>472</v>
      </c>
      <c r="E958" s="3" t="s">
        <v>116</v>
      </c>
      <c r="F958" s="3" t="s">
        <v>1159</v>
      </c>
      <c r="G958" s="3"/>
      <c r="I958" s="3">
        <v>50</v>
      </c>
      <c r="U958" s="3"/>
      <c r="V958" s="3"/>
      <c r="AO958" s="3">
        <v>150000</v>
      </c>
      <c r="AS958" s="22">
        <f t="shared" si="98"/>
        <v>150050</v>
      </c>
      <c r="AU958" s="3"/>
      <c r="BD958" s="3"/>
      <c r="BE958" s="3"/>
      <c r="BZ958" s="3">
        <v>50</v>
      </c>
      <c r="CC958" s="3">
        <v>150000</v>
      </c>
      <c r="CE958" s="22">
        <f t="shared" si="111"/>
        <v>150050</v>
      </c>
      <c r="CF958" s="3">
        <f t="shared" si="112"/>
        <v>0</v>
      </c>
      <c r="CG958" s="17">
        <f t="shared" si="114"/>
        <v>472</v>
      </c>
      <c r="CH958" s="3" t="str">
        <f t="shared" si="114"/>
        <v>اتحاد صيدلة</v>
      </c>
    </row>
    <row r="959" spans="3:86" x14ac:dyDescent="0.25">
      <c r="C959" s="25"/>
      <c r="D959" s="11">
        <v>473</v>
      </c>
      <c r="E959" s="3" t="s">
        <v>724</v>
      </c>
      <c r="F959" s="3" t="s">
        <v>1159</v>
      </c>
      <c r="G959" s="3"/>
      <c r="K959" s="3">
        <v>442.5</v>
      </c>
      <c r="U959" s="3"/>
      <c r="V959" s="3"/>
      <c r="AO959" s="3">
        <v>2950</v>
      </c>
      <c r="AS959" s="22">
        <f t="shared" si="98"/>
        <v>3392.5</v>
      </c>
      <c r="AU959" s="3"/>
      <c r="BD959" s="3"/>
      <c r="BE959" s="3"/>
      <c r="BZ959" s="3">
        <v>442.5</v>
      </c>
      <c r="CC959" s="3">
        <v>2950</v>
      </c>
      <c r="CE959" s="22">
        <f t="shared" si="111"/>
        <v>3392.5</v>
      </c>
      <c r="CF959" s="3">
        <f t="shared" si="112"/>
        <v>0</v>
      </c>
      <c r="CG959" s="17">
        <f t="shared" si="114"/>
        <v>473</v>
      </c>
      <c r="CH959" s="3" t="str">
        <f t="shared" si="114"/>
        <v>اتحاد طب</v>
      </c>
    </row>
    <row r="960" spans="3:86" x14ac:dyDescent="0.25">
      <c r="C960" s="25"/>
      <c r="D960" s="11">
        <v>474</v>
      </c>
      <c r="E960" s="3" t="s">
        <v>130</v>
      </c>
      <c r="F960" s="3" t="s">
        <v>1159</v>
      </c>
      <c r="G960" s="3"/>
      <c r="I960" s="3">
        <v>880</v>
      </c>
      <c r="K960" s="3">
        <v>4248</v>
      </c>
      <c r="U960" s="3"/>
      <c r="V960" s="3"/>
      <c r="AO960" s="3">
        <v>28320</v>
      </c>
      <c r="AS960" s="22">
        <f t="shared" si="98"/>
        <v>33448</v>
      </c>
      <c r="AU960" s="3"/>
      <c r="BD960" s="3"/>
      <c r="BE960" s="3"/>
      <c r="BZ960" s="3">
        <v>5128</v>
      </c>
      <c r="CC960" s="3">
        <v>28320</v>
      </c>
      <c r="CE960" s="22">
        <f t="shared" si="111"/>
        <v>33448</v>
      </c>
      <c r="CF960" s="3">
        <f t="shared" si="112"/>
        <v>0</v>
      </c>
      <c r="CG960" s="17">
        <f t="shared" si="114"/>
        <v>474</v>
      </c>
      <c r="CH960" s="3" t="str">
        <f t="shared" si="114"/>
        <v>خ ت طب</v>
      </c>
    </row>
    <row r="961" spans="1:91" x14ac:dyDescent="0.25">
      <c r="C961" s="25"/>
      <c r="D961" s="11">
        <v>475</v>
      </c>
      <c r="E961" s="3" t="s">
        <v>128</v>
      </c>
      <c r="F961" s="3" t="s">
        <v>1159</v>
      </c>
      <c r="G961" s="3"/>
      <c r="I961" s="3">
        <v>200</v>
      </c>
      <c r="K961" s="3">
        <v>10982.04</v>
      </c>
      <c r="U961" s="3"/>
      <c r="V961" s="3"/>
      <c r="AO961" s="3">
        <v>73213.58</v>
      </c>
      <c r="AS961" s="22">
        <f t="shared" si="98"/>
        <v>84395.62</v>
      </c>
      <c r="AU961" s="3"/>
      <c r="BD961" s="3"/>
      <c r="BE961" s="3"/>
      <c r="BZ961" s="3">
        <v>11182.04</v>
      </c>
      <c r="CC961" s="3">
        <v>73213.58</v>
      </c>
      <c r="CE961" s="22">
        <f t="shared" si="111"/>
        <v>84395.62</v>
      </c>
      <c r="CF961" s="3">
        <f t="shared" si="112"/>
        <v>0</v>
      </c>
      <c r="CG961" s="17">
        <f t="shared" si="114"/>
        <v>475</v>
      </c>
      <c r="CH961" s="3" t="str">
        <f t="shared" si="114"/>
        <v>مركز مؤتمرات</v>
      </c>
    </row>
    <row r="962" spans="1:91" x14ac:dyDescent="0.25">
      <c r="C962" s="25"/>
      <c r="D962" s="11">
        <v>476</v>
      </c>
      <c r="E962" s="3" t="s">
        <v>726</v>
      </c>
      <c r="F962" s="3" t="s">
        <v>1159</v>
      </c>
      <c r="G962" s="3"/>
      <c r="I962" s="3">
        <v>754</v>
      </c>
      <c r="K962" s="3">
        <v>47550</v>
      </c>
      <c r="U962" s="3"/>
      <c r="V962" s="3"/>
      <c r="AO962" s="3">
        <v>377000</v>
      </c>
      <c r="AS962" s="22">
        <f t="shared" si="98"/>
        <v>425304</v>
      </c>
      <c r="AU962" s="3"/>
      <c r="BD962" s="3"/>
      <c r="BE962" s="3"/>
      <c r="BZ962" s="3">
        <v>48304</v>
      </c>
      <c r="CC962" s="3">
        <v>377000</v>
      </c>
      <c r="CE962" s="22">
        <f t="shared" si="101"/>
        <v>425304</v>
      </c>
      <c r="CF962" s="3">
        <f t="shared" si="112"/>
        <v>0</v>
      </c>
      <c r="CG962" s="17">
        <f t="shared" si="102"/>
        <v>476</v>
      </c>
      <c r="CH962" s="3" t="str">
        <f t="shared" si="102"/>
        <v>تحسين خدمات</v>
      </c>
    </row>
    <row r="963" spans="1:91" x14ac:dyDescent="0.25">
      <c r="C963" s="25"/>
      <c r="D963" s="11">
        <v>477</v>
      </c>
      <c r="E963" s="3" t="s">
        <v>78</v>
      </c>
      <c r="F963" s="3" t="s">
        <v>1159</v>
      </c>
      <c r="G963" s="3"/>
      <c r="I963" s="3">
        <v>200</v>
      </c>
      <c r="K963" s="3">
        <v>152871.31</v>
      </c>
      <c r="U963" s="3"/>
      <c r="V963" s="3"/>
      <c r="AO963" s="3">
        <v>1575578.89</v>
      </c>
      <c r="AS963" s="22">
        <f t="shared" si="98"/>
        <v>1728650.2</v>
      </c>
      <c r="AU963" s="3"/>
      <c r="BD963" s="3"/>
      <c r="BE963" s="3"/>
      <c r="BZ963" s="3">
        <v>153071.31</v>
      </c>
      <c r="CC963" s="3">
        <v>1575578.89</v>
      </c>
      <c r="CE963" s="22">
        <f t="shared" si="101"/>
        <v>1728650.2</v>
      </c>
      <c r="CF963" s="3">
        <f t="shared" si="112"/>
        <v>0</v>
      </c>
      <c r="CG963" s="17">
        <f t="shared" si="102"/>
        <v>477</v>
      </c>
      <c r="CH963" s="3" t="str">
        <f t="shared" si="102"/>
        <v>برنامج دولى</v>
      </c>
    </row>
    <row r="964" spans="1:91" x14ac:dyDescent="0.25">
      <c r="C964" s="25"/>
      <c r="D964" s="11">
        <v>478</v>
      </c>
      <c r="E964" s="3" t="s">
        <v>122</v>
      </c>
      <c r="F964" s="3" t="s">
        <v>1161</v>
      </c>
      <c r="G964" s="3"/>
      <c r="K964" s="3">
        <v>382.5</v>
      </c>
      <c r="U964" s="3"/>
      <c r="V964" s="3"/>
      <c r="AO964" s="3">
        <v>2200</v>
      </c>
      <c r="AS964" s="22">
        <f t="shared" si="98"/>
        <v>2582.5</v>
      </c>
      <c r="AU964" s="3"/>
      <c r="BD964" s="3"/>
      <c r="BE964" s="3"/>
      <c r="BZ964" s="3">
        <v>382.5</v>
      </c>
      <c r="CB964" s="3">
        <v>2200</v>
      </c>
      <c r="CE964" s="22">
        <f t="shared" ref="CE964:CE982" si="115">SUM(AT964:CC964)</f>
        <v>2582.5</v>
      </c>
      <c r="CF964" s="3">
        <f t="shared" si="112"/>
        <v>0</v>
      </c>
      <c r="CG964" s="17">
        <f t="shared" si="102"/>
        <v>478</v>
      </c>
      <c r="CH964" s="3" t="str">
        <f t="shared" si="102"/>
        <v>علاج تخصصى</v>
      </c>
    </row>
    <row r="965" spans="1:91" x14ac:dyDescent="0.25">
      <c r="C965" s="25"/>
      <c r="D965" s="11">
        <v>479</v>
      </c>
      <c r="E965" s="3" t="s">
        <v>122</v>
      </c>
      <c r="F965" s="3" t="s">
        <v>1162</v>
      </c>
      <c r="G965" s="3"/>
      <c r="K965" s="3">
        <v>337.5</v>
      </c>
      <c r="U965" s="3"/>
      <c r="V965" s="3"/>
      <c r="AO965" s="3">
        <v>1800</v>
      </c>
      <c r="AS965" s="22">
        <f t="shared" si="98"/>
        <v>2137.5</v>
      </c>
      <c r="AU965" s="3"/>
      <c r="BD965" s="3"/>
      <c r="BE965" s="3"/>
      <c r="BZ965" s="3">
        <v>337.5</v>
      </c>
      <c r="CB965" s="3">
        <v>1800</v>
      </c>
      <c r="CE965" s="22">
        <f t="shared" si="115"/>
        <v>2137.5</v>
      </c>
      <c r="CF965" s="3">
        <f t="shared" si="112"/>
        <v>0</v>
      </c>
      <c r="CG965" s="17">
        <f t="shared" si="102"/>
        <v>479</v>
      </c>
      <c r="CH965" s="3" t="str">
        <f t="shared" si="102"/>
        <v>علاج تخصصى</v>
      </c>
    </row>
    <row r="966" spans="1:91" x14ac:dyDescent="0.25">
      <c r="C966" s="25"/>
      <c r="D966" s="11">
        <v>480</v>
      </c>
      <c r="E966" s="3" t="s">
        <v>123</v>
      </c>
      <c r="F966" s="3" t="s">
        <v>1162</v>
      </c>
      <c r="G966" s="3"/>
      <c r="U966" s="3"/>
      <c r="V966" s="3"/>
      <c r="AO966" s="3">
        <v>350</v>
      </c>
      <c r="AS966" s="22">
        <f t="shared" si="98"/>
        <v>350</v>
      </c>
      <c r="AU966" s="3"/>
      <c r="BD966" s="3"/>
      <c r="BE966" s="3"/>
      <c r="CB966" s="3">
        <v>350</v>
      </c>
      <c r="CE966" s="22">
        <f t="shared" si="115"/>
        <v>350</v>
      </c>
      <c r="CF966" s="3">
        <f t="shared" si="112"/>
        <v>0</v>
      </c>
      <c r="CG966" s="17">
        <f t="shared" si="102"/>
        <v>480</v>
      </c>
      <c r="CH966" s="3" t="str">
        <f t="shared" si="102"/>
        <v>خ ت اسنان</v>
      </c>
    </row>
    <row r="967" spans="1:91" x14ac:dyDescent="0.25">
      <c r="C967" s="25"/>
      <c r="D967" s="11">
        <v>481</v>
      </c>
      <c r="E967" s="3" t="s">
        <v>137</v>
      </c>
      <c r="F967" s="3" t="s">
        <v>1161</v>
      </c>
      <c r="G967" s="3"/>
      <c r="K967" s="3">
        <v>40646.25</v>
      </c>
      <c r="U967" s="3"/>
      <c r="V967" s="3"/>
      <c r="AO967" s="3">
        <v>87125</v>
      </c>
      <c r="AS967" s="22">
        <f t="shared" si="98"/>
        <v>127771.25</v>
      </c>
      <c r="AU967" s="3"/>
      <c r="BD967" s="3"/>
      <c r="BE967" s="3"/>
      <c r="BZ967" s="3">
        <v>40646.25</v>
      </c>
      <c r="CB967" s="3">
        <v>87105</v>
      </c>
      <c r="CC967" s="3">
        <v>20</v>
      </c>
      <c r="CE967" s="22">
        <f t="shared" si="115"/>
        <v>127771.25</v>
      </c>
      <c r="CF967" s="3">
        <f t="shared" si="112"/>
        <v>0</v>
      </c>
      <c r="CG967" s="17">
        <f t="shared" si="102"/>
        <v>481</v>
      </c>
      <c r="CH967" s="3" t="str">
        <f t="shared" si="102"/>
        <v xml:space="preserve">خدمة عامة </v>
      </c>
    </row>
    <row r="968" spans="1:91" x14ac:dyDescent="0.25">
      <c r="C968" s="25"/>
      <c r="D968" s="11">
        <v>482</v>
      </c>
      <c r="E968" s="3" t="s">
        <v>137</v>
      </c>
      <c r="F968" s="3" t="s">
        <v>1163</v>
      </c>
      <c r="G968" s="3"/>
      <c r="U968" s="3"/>
      <c r="V968" s="3"/>
      <c r="AO968" s="3">
        <v>70810</v>
      </c>
      <c r="AS968" s="22">
        <f t="shared" si="98"/>
        <v>70810</v>
      </c>
      <c r="AU968" s="3"/>
      <c r="BD968" s="3"/>
      <c r="BE968" s="3"/>
      <c r="CB968" s="3">
        <v>70790</v>
      </c>
      <c r="CC968" s="3">
        <v>20</v>
      </c>
      <c r="CE968" s="22">
        <f t="shared" si="115"/>
        <v>70810</v>
      </c>
      <c r="CF968" s="3">
        <f t="shared" si="112"/>
        <v>0</v>
      </c>
      <c r="CG968" s="17">
        <f t="shared" si="102"/>
        <v>482</v>
      </c>
      <c r="CH968" s="3" t="str">
        <f t="shared" si="102"/>
        <v xml:space="preserve">خدمة عامة </v>
      </c>
    </row>
    <row r="969" spans="1:91" x14ac:dyDescent="0.25">
      <c r="C969" s="25"/>
      <c r="D969" s="11">
        <v>483</v>
      </c>
      <c r="E969" s="3" t="s">
        <v>137</v>
      </c>
      <c r="F969" s="3" t="str">
        <f>+F965</f>
        <v>كشف بنك مارس 2024</v>
      </c>
      <c r="G969" s="3"/>
      <c r="K969" s="3">
        <v>10885.5</v>
      </c>
      <c r="U969" s="3"/>
      <c r="V969" s="3"/>
      <c r="AO969" s="3">
        <v>94220</v>
      </c>
      <c r="AS969" s="22">
        <f t="shared" si="98"/>
        <v>105105.5</v>
      </c>
      <c r="AU969" s="3"/>
      <c r="BD969" s="3"/>
      <c r="BE969" s="3"/>
      <c r="BZ969" s="3">
        <v>10885.5</v>
      </c>
      <c r="CB969" s="3">
        <v>59400</v>
      </c>
      <c r="CC969" s="3">
        <v>34820</v>
      </c>
      <c r="CE969" s="22">
        <f t="shared" si="115"/>
        <v>105105.5</v>
      </c>
      <c r="CF969" s="3">
        <f t="shared" si="112"/>
        <v>0</v>
      </c>
      <c r="CG969" s="17">
        <f t="shared" si="102"/>
        <v>483</v>
      </c>
      <c r="CH969" s="3" t="str">
        <f t="shared" si="102"/>
        <v xml:space="preserve">خدمة عامة </v>
      </c>
    </row>
    <row r="970" spans="1:91" x14ac:dyDescent="0.25">
      <c r="C970" s="25"/>
      <c r="D970" s="11">
        <v>484</v>
      </c>
      <c r="F970" s="3" t="s">
        <v>1164</v>
      </c>
      <c r="G970" s="3"/>
      <c r="U970" s="3"/>
      <c r="V970" s="3"/>
      <c r="AG970" s="3">
        <v>1000</v>
      </c>
      <c r="AS970" s="22">
        <f>SUM(H970:AQ970)</f>
        <v>1000</v>
      </c>
      <c r="AU970" s="3"/>
      <c r="BD970" s="3"/>
      <c r="BE970" s="3"/>
      <c r="CA970" s="3">
        <v>1000</v>
      </c>
      <c r="CE970" s="22">
        <f>SUM(AT970:CC970)</f>
        <v>1000</v>
      </c>
      <c r="CF970" s="3">
        <f>+CE970-AS970</f>
        <v>0</v>
      </c>
      <c r="CG970" s="17">
        <f>+D970</f>
        <v>484</v>
      </c>
      <c r="CH970" s="3">
        <f>+E970</f>
        <v>0</v>
      </c>
    </row>
    <row r="971" spans="1:91" ht="47.25" x14ac:dyDescent="0.25">
      <c r="C971" s="25"/>
      <c r="D971" s="11">
        <v>485</v>
      </c>
      <c r="F971" s="9" t="s">
        <v>1165</v>
      </c>
      <c r="G971" s="3"/>
      <c r="U971" s="3"/>
      <c r="V971" s="3"/>
      <c r="X971" s="3">
        <v>191192.1</v>
      </c>
      <c r="AF971" s="3">
        <v>191192.1</v>
      </c>
      <c r="AS971" s="22">
        <f t="shared" si="98"/>
        <v>382384.2</v>
      </c>
      <c r="AU971" s="3"/>
      <c r="AZ971" s="3">
        <v>191192.1</v>
      </c>
      <c r="BD971" s="3"/>
      <c r="BE971" s="3"/>
      <c r="CC971" s="3">
        <v>191192.1</v>
      </c>
      <c r="CE971" s="22">
        <f t="shared" si="115"/>
        <v>382384.2</v>
      </c>
      <c r="CF971" s="3">
        <f t="shared" si="112"/>
        <v>0</v>
      </c>
      <c r="CG971" s="17">
        <f t="shared" si="102"/>
        <v>485</v>
      </c>
      <c r="CH971" s="3">
        <f t="shared" si="102"/>
        <v>0</v>
      </c>
    </row>
    <row r="972" spans="1:91" s="29" customFormat="1" x14ac:dyDescent="0.25">
      <c r="A972" s="27"/>
      <c r="B972" s="28"/>
      <c r="C972" s="46"/>
      <c r="D972" s="47"/>
      <c r="F972" s="29" t="s">
        <v>1166</v>
      </c>
      <c r="I972" s="29">
        <f>SUM(I939:I971)</f>
        <v>2264</v>
      </c>
      <c r="J972" s="29">
        <f t="shared" ref="J972:BV972" si="116">SUM(J939:J971)</f>
        <v>0</v>
      </c>
      <c r="K972" s="29">
        <f t="shared" si="116"/>
        <v>268345.59999999998</v>
      </c>
      <c r="L972" s="29">
        <f t="shared" si="116"/>
        <v>0</v>
      </c>
      <c r="M972" s="29">
        <f t="shared" si="116"/>
        <v>0</v>
      </c>
      <c r="N972" s="29">
        <f t="shared" si="116"/>
        <v>0</v>
      </c>
      <c r="O972" s="29">
        <f t="shared" si="116"/>
        <v>0</v>
      </c>
      <c r="P972" s="29">
        <f t="shared" si="116"/>
        <v>0</v>
      </c>
      <c r="Q972" s="29">
        <f t="shared" si="116"/>
        <v>3000</v>
      </c>
      <c r="R972" s="29">
        <f t="shared" si="116"/>
        <v>0</v>
      </c>
      <c r="S972" s="29">
        <f t="shared" si="116"/>
        <v>0</v>
      </c>
      <c r="T972" s="29">
        <f t="shared" si="116"/>
        <v>0</v>
      </c>
      <c r="U972" s="29">
        <f t="shared" si="116"/>
        <v>0</v>
      </c>
      <c r="V972" s="29">
        <f t="shared" si="116"/>
        <v>0</v>
      </c>
      <c r="W972" s="29">
        <f t="shared" si="116"/>
        <v>0</v>
      </c>
      <c r="X972" s="29">
        <f t="shared" si="116"/>
        <v>191192.1</v>
      </c>
      <c r="Y972" s="29">
        <f t="shared" si="116"/>
        <v>0</v>
      </c>
      <c r="Z972" s="29">
        <f t="shared" si="116"/>
        <v>0</v>
      </c>
      <c r="AA972" s="29">
        <f t="shared" si="116"/>
        <v>0</v>
      </c>
      <c r="AB972" s="29">
        <f t="shared" si="116"/>
        <v>0</v>
      </c>
      <c r="AC972" s="29">
        <f t="shared" si="116"/>
        <v>21722.7</v>
      </c>
      <c r="AD972" s="29">
        <f t="shared" si="116"/>
        <v>0</v>
      </c>
      <c r="AE972" s="29">
        <f t="shared" si="116"/>
        <v>0</v>
      </c>
      <c r="AF972" s="29">
        <f t="shared" si="116"/>
        <v>191192.1</v>
      </c>
      <c r="AG972" s="29">
        <f t="shared" si="116"/>
        <v>1000</v>
      </c>
      <c r="AH972" s="29">
        <f t="shared" si="116"/>
        <v>0</v>
      </c>
      <c r="AI972" s="29">
        <f t="shared" si="116"/>
        <v>0</v>
      </c>
      <c r="AJ972" s="29">
        <f t="shared" si="116"/>
        <v>93000</v>
      </c>
      <c r="AK972" s="29">
        <f t="shared" si="116"/>
        <v>0</v>
      </c>
      <c r="AL972" s="29">
        <f t="shared" si="116"/>
        <v>0</v>
      </c>
      <c r="AM972" s="29">
        <f t="shared" si="116"/>
        <v>0</v>
      </c>
      <c r="AN972" s="29">
        <f t="shared" si="116"/>
        <v>0</v>
      </c>
      <c r="AO972" s="29">
        <f t="shared" si="116"/>
        <v>2464367.4699999997</v>
      </c>
      <c r="AP972" s="29">
        <f t="shared" si="116"/>
        <v>0</v>
      </c>
      <c r="AQ972" s="29">
        <f t="shared" si="116"/>
        <v>41065</v>
      </c>
      <c r="AS972" s="29">
        <f t="shared" si="116"/>
        <v>3277148.97</v>
      </c>
      <c r="AT972" s="29">
        <f t="shared" si="116"/>
        <v>0</v>
      </c>
      <c r="AU972" s="29">
        <f t="shared" si="116"/>
        <v>0</v>
      </c>
      <c r="AV972" s="29">
        <f t="shared" si="116"/>
        <v>0</v>
      </c>
      <c r="AW972" s="29">
        <f t="shared" si="116"/>
        <v>0</v>
      </c>
      <c r="AX972" s="29">
        <f t="shared" si="116"/>
        <v>0</v>
      </c>
      <c r="AY972" s="29">
        <f t="shared" si="116"/>
        <v>0</v>
      </c>
      <c r="AZ972" s="29">
        <f t="shared" si="116"/>
        <v>191192.1</v>
      </c>
      <c r="BA972" s="29">
        <f t="shared" si="116"/>
        <v>0</v>
      </c>
      <c r="BB972" s="29">
        <f t="shared" si="116"/>
        <v>0</v>
      </c>
      <c r="BC972" s="29">
        <f t="shared" si="116"/>
        <v>0</v>
      </c>
      <c r="BD972" s="29">
        <f t="shared" si="116"/>
        <v>0</v>
      </c>
      <c r="BE972" s="29">
        <f t="shared" si="116"/>
        <v>0</v>
      </c>
      <c r="BF972" s="29">
        <f t="shared" si="116"/>
        <v>0</v>
      </c>
      <c r="BG972" s="29">
        <f t="shared" si="116"/>
        <v>0</v>
      </c>
      <c r="BH972" s="29">
        <f t="shared" si="116"/>
        <v>0</v>
      </c>
      <c r="BI972" s="29">
        <f t="shared" si="116"/>
        <v>0</v>
      </c>
      <c r="BJ972" s="29">
        <f t="shared" si="116"/>
        <v>0</v>
      </c>
      <c r="BK972" s="29">
        <f t="shared" si="116"/>
        <v>0</v>
      </c>
      <c r="BL972" s="29">
        <f t="shared" si="116"/>
        <v>0</v>
      </c>
      <c r="BM972" s="29">
        <f t="shared" si="116"/>
        <v>0</v>
      </c>
      <c r="BN972" s="29">
        <f t="shared" si="116"/>
        <v>0</v>
      </c>
      <c r="BO972" s="29">
        <f t="shared" si="116"/>
        <v>0</v>
      </c>
      <c r="BP972" s="29">
        <f t="shared" si="116"/>
        <v>3000</v>
      </c>
      <c r="BQ972" s="29">
        <f t="shared" si="116"/>
        <v>21722.7</v>
      </c>
      <c r="BR972" s="29">
        <f t="shared" si="116"/>
        <v>0</v>
      </c>
      <c r="BS972" s="29">
        <f t="shared" si="116"/>
        <v>0</v>
      </c>
      <c r="BT972" s="29">
        <f t="shared" si="116"/>
        <v>0</v>
      </c>
      <c r="BU972" s="29">
        <f t="shared" si="116"/>
        <v>93000</v>
      </c>
      <c r="BV972" s="29">
        <f t="shared" si="116"/>
        <v>0</v>
      </c>
      <c r="BW972" s="29">
        <f t="shared" ref="BW972:CM972" si="117">SUM(BW939:BW971)</f>
        <v>0</v>
      </c>
      <c r="BX972" s="29">
        <f t="shared" si="117"/>
        <v>0</v>
      </c>
      <c r="BY972" s="29">
        <f t="shared" si="117"/>
        <v>0</v>
      </c>
      <c r="BZ972" s="29">
        <f t="shared" si="117"/>
        <v>270609.59999999998</v>
      </c>
      <c r="CA972" s="29">
        <f t="shared" si="117"/>
        <v>1000</v>
      </c>
      <c r="CB972" s="29">
        <f t="shared" si="117"/>
        <v>221645</v>
      </c>
      <c r="CC972" s="29">
        <f t="shared" si="117"/>
        <v>2474979.5699999998</v>
      </c>
      <c r="CE972" s="29">
        <f t="shared" si="117"/>
        <v>3277148.97</v>
      </c>
      <c r="CF972" s="29">
        <f t="shared" si="117"/>
        <v>0</v>
      </c>
      <c r="CH972" s="29">
        <f t="shared" si="117"/>
        <v>0</v>
      </c>
      <c r="CI972" s="29">
        <f t="shared" si="117"/>
        <v>0</v>
      </c>
      <c r="CJ972" s="29">
        <f t="shared" si="117"/>
        <v>0</v>
      </c>
      <c r="CK972" s="29">
        <f t="shared" si="117"/>
        <v>0</v>
      </c>
      <c r="CL972" s="29">
        <f t="shared" si="117"/>
        <v>0</v>
      </c>
      <c r="CM972" s="29">
        <f t="shared" si="117"/>
        <v>0</v>
      </c>
    </row>
    <row r="973" spans="1:91" ht="31.5" x14ac:dyDescent="0.25">
      <c r="C973" s="25"/>
      <c r="D973" s="11">
        <v>486</v>
      </c>
      <c r="E973" s="3" t="s">
        <v>121</v>
      </c>
      <c r="F973" s="9" t="s">
        <v>1167</v>
      </c>
      <c r="G973" s="3"/>
      <c r="U973" s="3"/>
      <c r="V973" s="3"/>
      <c r="AR973" s="3">
        <v>172.35</v>
      </c>
      <c r="AS973" s="22">
        <f>SUM(H973:AR973)</f>
        <v>172.35</v>
      </c>
      <c r="AU973" s="3"/>
      <c r="BD973" s="3"/>
      <c r="BE973" s="3"/>
      <c r="CD973" s="3">
        <v>172.35</v>
      </c>
      <c r="CE973" s="22">
        <f>SUM(AT973:CD973)</f>
        <v>172.35</v>
      </c>
      <c r="CF973" s="3">
        <f t="shared" si="112"/>
        <v>0</v>
      </c>
      <c r="CG973" s="17">
        <f t="shared" si="102"/>
        <v>486</v>
      </c>
      <c r="CH973" s="3" t="str">
        <f t="shared" si="102"/>
        <v>ماليزى اسنان</v>
      </c>
    </row>
    <row r="974" spans="1:91" s="29" customFormat="1" x14ac:dyDescent="0.25">
      <c r="A974" s="27"/>
      <c r="B974" s="28"/>
      <c r="C974" s="46"/>
      <c r="D974" s="47"/>
      <c r="F974" s="29" t="s">
        <v>1168</v>
      </c>
      <c r="AR974" s="29">
        <f>SUM(AR973)</f>
        <v>172.35</v>
      </c>
      <c r="AS974" s="29">
        <f t="shared" ref="AS974:CK974" si="118">SUM(AS973)</f>
        <v>172.35</v>
      </c>
      <c r="AT974" s="29">
        <f t="shared" si="118"/>
        <v>0</v>
      </c>
      <c r="AU974" s="29">
        <f t="shared" si="118"/>
        <v>0</v>
      </c>
      <c r="AV974" s="29">
        <f t="shared" si="118"/>
        <v>0</v>
      </c>
      <c r="AW974" s="29">
        <f t="shared" si="118"/>
        <v>0</v>
      </c>
      <c r="AX974" s="29">
        <f t="shared" si="118"/>
        <v>0</v>
      </c>
      <c r="AY974" s="29">
        <f t="shared" si="118"/>
        <v>0</v>
      </c>
      <c r="AZ974" s="29">
        <f t="shared" si="118"/>
        <v>0</v>
      </c>
      <c r="BA974" s="29">
        <f t="shared" si="118"/>
        <v>0</v>
      </c>
      <c r="BB974" s="29">
        <f t="shared" si="118"/>
        <v>0</v>
      </c>
      <c r="BC974" s="29">
        <f t="shared" si="118"/>
        <v>0</v>
      </c>
      <c r="BD974" s="29">
        <f t="shared" si="118"/>
        <v>0</v>
      </c>
      <c r="BE974" s="29">
        <f t="shared" si="118"/>
        <v>0</v>
      </c>
      <c r="BF974" s="29">
        <f t="shared" si="118"/>
        <v>0</v>
      </c>
      <c r="BG974" s="29">
        <f t="shared" si="118"/>
        <v>0</v>
      </c>
      <c r="BH974" s="29">
        <f t="shared" si="118"/>
        <v>0</v>
      </c>
      <c r="BI974" s="29">
        <f t="shared" si="118"/>
        <v>0</v>
      </c>
      <c r="BJ974" s="29">
        <f t="shared" si="118"/>
        <v>0</v>
      </c>
      <c r="BK974" s="29">
        <f t="shared" si="118"/>
        <v>0</v>
      </c>
      <c r="BL974" s="29">
        <f t="shared" si="118"/>
        <v>0</v>
      </c>
      <c r="BM974" s="29">
        <f t="shared" si="118"/>
        <v>0</v>
      </c>
      <c r="BN974" s="29">
        <f t="shared" si="118"/>
        <v>0</v>
      </c>
      <c r="BO974" s="29">
        <f t="shared" si="118"/>
        <v>0</v>
      </c>
      <c r="BP974" s="29">
        <f t="shared" si="118"/>
        <v>0</v>
      </c>
      <c r="BQ974" s="29">
        <f t="shared" si="118"/>
        <v>0</v>
      </c>
      <c r="BR974" s="29">
        <f t="shared" si="118"/>
        <v>0</v>
      </c>
      <c r="BS974" s="29">
        <f t="shared" si="118"/>
        <v>0</v>
      </c>
      <c r="BT974" s="29">
        <f t="shared" si="118"/>
        <v>0</v>
      </c>
      <c r="BU974" s="29">
        <f t="shared" si="118"/>
        <v>0</v>
      </c>
      <c r="BV974" s="29">
        <f t="shared" si="118"/>
        <v>0</v>
      </c>
      <c r="BW974" s="29">
        <f t="shared" si="118"/>
        <v>0</v>
      </c>
      <c r="BX974" s="29">
        <f t="shared" si="118"/>
        <v>0</v>
      </c>
      <c r="BY974" s="29">
        <f t="shared" si="118"/>
        <v>0</v>
      </c>
      <c r="BZ974" s="29">
        <f t="shared" si="118"/>
        <v>0</v>
      </c>
      <c r="CA974" s="29">
        <f t="shared" si="118"/>
        <v>0</v>
      </c>
      <c r="CB974" s="29">
        <f t="shared" si="118"/>
        <v>0</v>
      </c>
      <c r="CC974" s="29">
        <f t="shared" si="118"/>
        <v>0</v>
      </c>
      <c r="CD974" s="29">
        <f t="shared" si="118"/>
        <v>172.35</v>
      </c>
      <c r="CE974" s="29">
        <f t="shared" si="118"/>
        <v>172.35</v>
      </c>
      <c r="CF974" s="29">
        <f t="shared" si="118"/>
        <v>0</v>
      </c>
      <c r="CH974" s="29">
        <f t="shared" si="118"/>
        <v>0</v>
      </c>
      <c r="CI974" s="29">
        <f t="shared" si="118"/>
        <v>0</v>
      </c>
      <c r="CJ974" s="29">
        <f t="shared" si="118"/>
        <v>0</v>
      </c>
      <c r="CK974" s="29">
        <f t="shared" si="118"/>
        <v>0</v>
      </c>
    </row>
    <row r="975" spans="1:91" x14ac:dyDescent="0.25">
      <c r="A975" s="16" t="s">
        <v>1169</v>
      </c>
      <c r="C975" s="25"/>
      <c r="D975" s="11">
        <v>487</v>
      </c>
      <c r="F975" s="3" t="s">
        <v>1145</v>
      </c>
      <c r="G975" s="3"/>
      <c r="U975" s="3"/>
      <c r="V975" s="3"/>
      <c r="AC975" s="3">
        <v>2211.6</v>
      </c>
      <c r="AS975" s="22">
        <f t="shared" si="98"/>
        <v>2211.6</v>
      </c>
      <c r="AU975" s="3"/>
      <c r="BD975" s="3"/>
      <c r="BE975" s="3"/>
      <c r="BQ975" s="3">
        <v>2211.6</v>
      </c>
      <c r="CE975" s="22">
        <f t="shared" si="115"/>
        <v>2211.6</v>
      </c>
      <c r="CF975" s="3">
        <f t="shared" si="112"/>
        <v>0</v>
      </c>
      <c r="CG975" s="17">
        <f t="shared" si="102"/>
        <v>487</v>
      </c>
      <c r="CH975" s="3">
        <f t="shared" si="102"/>
        <v>0</v>
      </c>
    </row>
    <row r="976" spans="1:91" x14ac:dyDescent="0.25">
      <c r="A976" s="16" t="s">
        <v>1169</v>
      </c>
      <c r="C976" s="25"/>
      <c r="D976" s="11">
        <v>488</v>
      </c>
      <c r="E976" s="3" t="s">
        <v>724</v>
      </c>
      <c r="F976" s="3" t="s">
        <v>1170</v>
      </c>
      <c r="G976" s="3"/>
      <c r="I976" s="3">
        <v>69830</v>
      </c>
      <c r="U976" s="3"/>
      <c r="V976" s="3"/>
      <c r="AS976" s="22">
        <f t="shared" si="98"/>
        <v>69830</v>
      </c>
      <c r="AU976" s="3"/>
      <c r="BD976" s="3"/>
      <c r="BE976" s="3"/>
      <c r="CC976" s="3">
        <v>69830</v>
      </c>
      <c r="CE976" s="22">
        <f t="shared" si="115"/>
        <v>69830</v>
      </c>
      <c r="CF976" s="3">
        <f t="shared" si="112"/>
        <v>0</v>
      </c>
      <c r="CG976" s="17">
        <f t="shared" si="102"/>
        <v>488</v>
      </c>
      <c r="CH976" s="3" t="str">
        <f t="shared" si="102"/>
        <v>اتحاد طب</v>
      </c>
    </row>
    <row r="977" spans="1:94" s="29" customFormat="1" x14ac:dyDescent="0.25">
      <c r="A977" s="27"/>
      <c r="B977" s="28"/>
      <c r="C977" s="46"/>
      <c r="D977" s="47"/>
      <c r="F977" s="29" t="s">
        <v>1171</v>
      </c>
      <c r="I977" s="29">
        <f>SUM(I975:I976)</f>
        <v>69830</v>
      </c>
      <c r="J977" s="29">
        <f t="shared" ref="J977:BU977" si="119">SUM(J975:J976)</f>
        <v>0</v>
      </c>
      <c r="K977" s="29">
        <f t="shared" si="119"/>
        <v>0</v>
      </c>
      <c r="L977" s="29">
        <f t="shared" si="119"/>
        <v>0</v>
      </c>
      <c r="M977" s="29">
        <f t="shared" si="119"/>
        <v>0</v>
      </c>
      <c r="N977" s="29">
        <f t="shared" si="119"/>
        <v>0</v>
      </c>
      <c r="O977" s="29">
        <f t="shared" si="119"/>
        <v>0</v>
      </c>
      <c r="P977" s="29">
        <f t="shared" si="119"/>
        <v>0</v>
      </c>
      <c r="Q977" s="29">
        <f t="shared" si="119"/>
        <v>0</v>
      </c>
      <c r="R977" s="29">
        <f t="shared" si="119"/>
        <v>0</v>
      </c>
      <c r="S977" s="29">
        <f t="shared" si="119"/>
        <v>0</v>
      </c>
      <c r="T977" s="29">
        <f t="shared" si="119"/>
        <v>0</v>
      </c>
      <c r="U977" s="29">
        <f t="shared" si="119"/>
        <v>0</v>
      </c>
      <c r="V977" s="29">
        <f t="shared" si="119"/>
        <v>0</v>
      </c>
      <c r="W977" s="29">
        <f t="shared" si="119"/>
        <v>0</v>
      </c>
      <c r="X977" s="29">
        <f t="shared" si="119"/>
        <v>0</v>
      </c>
      <c r="Y977" s="29">
        <f t="shared" si="119"/>
        <v>0</v>
      </c>
      <c r="Z977" s="29">
        <f t="shared" si="119"/>
        <v>0</v>
      </c>
      <c r="AA977" s="29">
        <f t="shared" si="119"/>
        <v>0</v>
      </c>
      <c r="AB977" s="29">
        <f t="shared" si="119"/>
        <v>0</v>
      </c>
      <c r="AC977" s="29">
        <f t="shared" si="119"/>
        <v>2211.6</v>
      </c>
      <c r="AD977" s="29">
        <f t="shared" si="119"/>
        <v>0</v>
      </c>
      <c r="AE977" s="29">
        <f t="shared" si="119"/>
        <v>0</v>
      </c>
      <c r="AF977" s="29">
        <f t="shared" si="119"/>
        <v>0</v>
      </c>
      <c r="AG977" s="29">
        <f t="shared" si="119"/>
        <v>0</v>
      </c>
      <c r="AH977" s="29">
        <f t="shared" si="119"/>
        <v>0</v>
      </c>
      <c r="AI977" s="29">
        <f t="shared" si="119"/>
        <v>0</v>
      </c>
      <c r="AJ977" s="29">
        <f t="shared" si="119"/>
        <v>0</v>
      </c>
      <c r="AK977" s="29">
        <f t="shared" si="119"/>
        <v>0</v>
      </c>
      <c r="AL977" s="29">
        <f t="shared" si="119"/>
        <v>0</v>
      </c>
      <c r="AM977" s="29">
        <f t="shared" si="119"/>
        <v>0</v>
      </c>
      <c r="AN977" s="29">
        <f t="shared" si="119"/>
        <v>0</v>
      </c>
      <c r="AO977" s="29">
        <f t="shared" si="119"/>
        <v>0</v>
      </c>
      <c r="AP977" s="29">
        <f t="shared" si="119"/>
        <v>0</v>
      </c>
      <c r="AQ977" s="29">
        <f t="shared" si="119"/>
        <v>0</v>
      </c>
      <c r="AR977" s="29">
        <f t="shared" si="119"/>
        <v>0</v>
      </c>
      <c r="AS977" s="29">
        <f t="shared" si="119"/>
        <v>72041.600000000006</v>
      </c>
      <c r="AT977" s="29">
        <f t="shared" si="119"/>
        <v>0</v>
      </c>
      <c r="AU977" s="29">
        <f t="shared" si="119"/>
        <v>0</v>
      </c>
      <c r="AV977" s="29">
        <f t="shared" si="119"/>
        <v>0</v>
      </c>
      <c r="AW977" s="29">
        <f t="shared" si="119"/>
        <v>0</v>
      </c>
      <c r="AX977" s="29">
        <f t="shared" si="119"/>
        <v>0</v>
      </c>
      <c r="AY977" s="29">
        <f t="shared" si="119"/>
        <v>0</v>
      </c>
      <c r="AZ977" s="29">
        <f t="shared" si="119"/>
        <v>0</v>
      </c>
      <c r="BA977" s="29">
        <f t="shared" si="119"/>
        <v>0</v>
      </c>
      <c r="BB977" s="29">
        <f t="shared" si="119"/>
        <v>0</v>
      </c>
      <c r="BC977" s="29">
        <f t="shared" si="119"/>
        <v>0</v>
      </c>
      <c r="BD977" s="29">
        <f t="shared" si="119"/>
        <v>0</v>
      </c>
      <c r="BE977" s="29">
        <f t="shared" si="119"/>
        <v>0</v>
      </c>
      <c r="BF977" s="29">
        <f t="shared" si="119"/>
        <v>0</v>
      </c>
      <c r="BG977" s="29">
        <f t="shared" si="119"/>
        <v>0</v>
      </c>
      <c r="BH977" s="29">
        <f t="shared" si="119"/>
        <v>0</v>
      </c>
      <c r="BI977" s="29">
        <f t="shared" si="119"/>
        <v>0</v>
      </c>
      <c r="BJ977" s="29">
        <f t="shared" si="119"/>
        <v>0</v>
      </c>
      <c r="BK977" s="29">
        <f t="shared" si="119"/>
        <v>0</v>
      </c>
      <c r="BL977" s="29">
        <f t="shared" si="119"/>
        <v>0</v>
      </c>
      <c r="BM977" s="29">
        <f t="shared" si="119"/>
        <v>0</v>
      </c>
      <c r="BN977" s="29">
        <f t="shared" si="119"/>
        <v>0</v>
      </c>
      <c r="BO977" s="29">
        <f t="shared" si="119"/>
        <v>0</v>
      </c>
      <c r="BP977" s="29">
        <f t="shared" si="119"/>
        <v>0</v>
      </c>
      <c r="BQ977" s="29">
        <f t="shared" si="119"/>
        <v>2211.6</v>
      </c>
      <c r="BR977" s="29">
        <f t="shared" si="119"/>
        <v>0</v>
      </c>
      <c r="BS977" s="29">
        <f t="shared" si="119"/>
        <v>0</v>
      </c>
      <c r="BT977" s="29">
        <f t="shared" si="119"/>
        <v>0</v>
      </c>
      <c r="BU977" s="29">
        <f t="shared" si="119"/>
        <v>0</v>
      </c>
      <c r="BV977" s="29">
        <f t="shared" ref="BV977:CP977" si="120">SUM(BV975:BV976)</f>
        <v>0</v>
      </c>
      <c r="BW977" s="29">
        <f t="shared" si="120"/>
        <v>0</v>
      </c>
      <c r="BX977" s="29">
        <f t="shared" si="120"/>
        <v>0</v>
      </c>
      <c r="BY977" s="29">
        <f t="shared" si="120"/>
        <v>0</v>
      </c>
      <c r="BZ977" s="29">
        <f t="shared" si="120"/>
        <v>0</v>
      </c>
      <c r="CA977" s="29">
        <f t="shared" si="120"/>
        <v>0</v>
      </c>
      <c r="CB977" s="29">
        <f t="shared" si="120"/>
        <v>0</v>
      </c>
      <c r="CC977" s="29">
        <f t="shared" si="120"/>
        <v>69830</v>
      </c>
      <c r="CD977" s="29">
        <f t="shared" si="120"/>
        <v>0</v>
      </c>
      <c r="CE977" s="29">
        <f t="shared" si="120"/>
        <v>72041.600000000006</v>
      </c>
      <c r="CF977" s="29">
        <f t="shared" si="120"/>
        <v>0</v>
      </c>
      <c r="CH977" s="29">
        <f t="shared" si="120"/>
        <v>0</v>
      </c>
      <c r="CI977" s="29">
        <f t="shared" si="120"/>
        <v>0</v>
      </c>
      <c r="CJ977" s="29">
        <f t="shared" si="120"/>
        <v>0</v>
      </c>
      <c r="CK977" s="29">
        <f t="shared" si="120"/>
        <v>0</v>
      </c>
      <c r="CL977" s="29">
        <f t="shared" si="120"/>
        <v>0</v>
      </c>
      <c r="CM977" s="29">
        <f t="shared" si="120"/>
        <v>0</v>
      </c>
      <c r="CN977" s="29">
        <f t="shared" si="120"/>
        <v>0</v>
      </c>
      <c r="CO977" s="29">
        <f t="shared" si="120"/>
        <v>0</v>
      </c>
      <c r="CP977" s="29">
        <f t="shared" si="120"/>
        <v>0</v>
      </c>
    </row>
    <row r="978" spans="1:94" x14ac:dyDescent="0.25">
      <c r="C978" s="25"/>
      <c r="D978" s="11">
        <v>489</v>
      </c>
      <c r="E978" s="3" t="s">
        <v>332</v>
      </c>
      <c r="F978" s="3" t="str">
        <f>+F982</f>
        <v>تعديل بنود استماره 75 ابريل</v>
      </c>
      <c r="G978" s="3"/>
      <c r="U978" s="3"/>
      <c r="V978" s="3"/>
      <c r="AS978" s="22">
        <f t="shared" si="98"/>
        <v>0</v>
      </c>
      <c r="AU978" s="3"/>
      <c r="BD978" s="3"/>
      <c r="BE978" s="3"/>
      <c r="CE978" s="22">
        <f t="shared" si="115"/>
        <v>0</v>
      </c>
      <c r="CF978" s="3">
        <f t="shared" si="112"/>
        <v>0</v>
      </c>
      <c r="CG978" s="17">
        <f t="shared" si="102"/>
        <v>489</v>
      </c>
      <c r="CH978" s="3" t="str">
        <f t="shared" si="102"/>
        <v xml:space="preserve">لاب فقط </v>
      </c>
    </row>
    <row r="979" spans="1:94" x14ac:dyDescent="0.25">
      <c r="A979" s="16" t="s">
        <v>1172</v>
      </c>
      <c r="C979" s="25"/>
      <c r="D979" s="11">
        <v>490</v>
      </c>
      <c r="E979" s="3" t="s">
        <v>332</v>
      </c>
      <c r="F979" s="3" t="s">
        <v>1173</v>
      </c>
      <c r="G979" s="3"/>
      <c r="U979" s="3"/>
      <c r="V979" s="3"/>
      <c r="AS979" s="22">
        <f t="shared" si="98"/>
        <v>0</v>
      </c>
      <c r="AU979" s="3"/>
      <c r="BD979" s="3"/>
      <c r="BE979" s="3"/>
      <c r="CE979" s="22">
        <f t="shared" si="115"/>
        <v>0</v>
      </c>
      <c r="CF979" s="3">
        <f t="shared" si="112"/>
        <v>0</v>
      </c>
      <c r="CG979" s="17">
        <f t="shared" si="102"/>
        <v>490</v>
      </c>
      <c r="CH979" s="3" t="str">
        <f t="shared" si="102"/>
        <v xml:space="preserve">لاب فقط </v>
      </c>
    </row>
    <row r="980" spans="1:94" x14ac:dyDescent="0.25">
      <c r="A980" s="16" t="s">
        <v>1172</v>
      </c>
      <c r="C980" s="25"/>
      <c r="D980" s="11">
        <v>491</v>
      </c>
      <c r="E980" s="3" t="s">
        <v>1174</v>
      </c>
      <c r="F980" s="3" t="s">
        <v>1175</v>
      </c>
      <c r="G980" s="3"/>
      <c r="K980" s="3">
        <v>455464.92</v>
      </c>
      <c r="U980" s="3"/>
      <c r="V980" s="3"/>
      <c r="AE980" s="3">
        <v>19248834.370000001</v>
      </c>
      <c r="AF980" s="3">
        <v>32385717.359999999</v>
      </c>
      <c r="AS980" s="22">
        <f t="shared" si="98"/>
        <v>52090016.650000006</v>
      </c>
      <c r="AU980" s="3"/>
      <c r="AZ980" s="3">
        <v>19704299.289999999</v>
      </c>
      <c r="BD980" s="3"/>
      <c r="BE980" s="3"/>
      <c r="CC980" s="3">
        <v>32385717.359999999</v>
      </c>
      <c r="CE980" s="22">
        <f t="shared" si="115"/>
        <v>52090016.649999999</v>
      </c>
      <c r="CF980" s="3">
        <f t="shared" si="112"/>
        <v>0</v>
      </c>
      <c r="CG980" s="17">
        <f t="shared" si="102"/>
        <v>491</v>
      </c>
      <c r="CH980" s="3" t="str">
        <f t="shared" si="102"/>
        <v>وحدة</v>
      </c>
    </row>
    <row r="981" spans="1:94" x14ac:dyDescent="0.25">
      <c r="A981" s="16" t="s">
        <v>1172</v>
      </c>
      <c r="C981" s="25"/>
      <c r="D981" s="11">
        <v>492</v>
      </c>
      <c r="E981" s="3" t="s">
        <v>1174</v>
      </c>
      <c r="F981" s="3" t="s">
        <v>1176</v>
      </c>
      <c r="G981" s="3"/>
      <c r="U981" s="3"/>
      <c r="V981" s="3"/>
      <c r="AE981" s="3">
        <v>2305202.7400000002</v>
      </c>
      <c r="AH981" s="3">
        <v>19248834.370000001</v>
      </c>
      <c r="AS981" s="22">
        <f t="shared" si="98"/>
        <v>21554037.109999999</v>
      </c>
      <c r="AU981" s="3"/>
      <c r="BA981" s="3">
        <v>21554037.109999999</v>
      </c>
      <c r="BD981" s="3"/>
      <c r="BE981" s="3"/>
      <c r="CE981" s="22">
        <f t="shared" si="115"/>
        <v>21554037.109999999</v>
      </c>
      <c r="CF981" s="3">
        <f t="shared" si="112"/>
        <v>0</v>
      </c>
      <c r="CG981" s="17">
        <f t="shared" si="102"/>
        <v>492</v>
      </c>
      <c r="CH981" s="3" t="str">
        <f t="shared" si="102"/>
        <v>وحدة</v>
      </c>
    </row>
    <row r="982" spans="1:94" x14ac:dyDescent="0.25">
      <c r="A982" s="16" t="s">
        <v>1172</v>
      </c>
      <c r="C982" s="25"/>
      <c r="D982" s="11">
        <v>493</v>
      </c>
      <c r="E982" s="3" t="s">
        <v>332</v>
      </c>
      <c r="F982" s="3" t="s">
        <v>1177</v>
      </c>
      <c r="G982" s="3"/>
      <c r="U982" s="3"/>
      <c r="V982" s="3"/>
      <c r="AS982" s="22">
        <f t="shared" si="98"/>
        <v>0</v>
      </c>
      <c r="AU982" s="3"/>
      <c r="BD982" s="3"/>
      <c r="BE982" s="3"/>
      <c r="CE982" s="22">
        <f t="shared" si="115"/>
        <v>0</v>
      </c>
      <c r="CF982" s="3">
        <f t="shared" si="112"/>
        <v>0</v>
      </c>
      <c r="CG982" s="17">
        <f t="shared" si="102"/>
        <v>493</v>
      </c>
      <c r="CH982" s="3" t="str">
        <f t="shared" si="102"/>
        <v xml:space="preserve">لاب فقط </v>
      </c>
    </row>
    <row r="983" spans="1:94" s="29" customFormat="1" x14ac:dyDescent="0.25">
      <c r="A983" s="27"/>
      <c r="B983" s="28"/>
      <c r="C983" s="46"/>
      <c r="D983" s="47"/>
      <c r="F983" s="29" t="s">
        <v>1178</v>
      </c>
      <c r="K983" s="29">
        <f>SUM(K978:K982)</f>
        <v>455464.92</v>
      </c>
      <c r="L983" s="29">
        <f t="shared" ref="L983:BW983" si="121">SUM(L978:L982)</f>
        <v>0</v>
      </c>
      <c r="M983" s="29">
        <f t="shared" si="121"/>
        <v>0</v>
      </c>
      <c r="N983" s="29">
        <f t="shared" si="121"/>
        <v>0</v>
      </c>
      <c r="O983" s="29">
        <f t="shared" si="121"/>
        <v>0</v>
      </c>
      <c r="P983" s="29">
        <f t="shared" si="121"/>
        <v>0</v>
      </c>
      <c r="Q983" s="29">
        <f t="shared" si="121"/>
        <v>0</v>
      </c>
      <c r="R983" s="29">
        <f t="shared" si="121"/>
        <v>0</v>
      </c>
      <c r="S983" s="29">
        <f t="shared" si="121"/>
        <v>0</v>
      </c>
      <c r="T983" s="29">
        <f t="shared" si="121"/>
        <v>0</v>
      </c>
      <c r="U983" s="29">
        <f t="shared" si="121"/>
        <v>0</v>
      </c>
      <c r="V983" s="29">
        <f t="shared" si="121"/>
        <v>0</v>
      </c>
      <c r="W983" s="29">
        <f t="shared" si="121"/>
        <v>0</v>
      </c>
      <c r="X983" s="29">
        <f t="shared" si="121"/>
        <v>0</v>
      </c>
      <c r="Y983" s="29">
        <f t="shared" si="121"/>
        <v>0</v>
      </c>
      <c r="Z983" s="29">
        <f t="shared" si="121"/>
        <v>0</v>
      </c>
      <c r="AA983" s="29">
        <f t="shared" si="121"/>
        <v>0</v>
      </c>
      <c r="AB983" s="29">
        <f t="shared" si="121"/>
        <v>0</v>
      </c>
      <c r="AC983" s="29">
        <f t="shared" si="121"/>
        <v>0</v>
      </c>
      <c r="AD983" s="29">
        <f t="shared" si="121"/>
        <v>0</v>
      </c>
      <c r="AE983" s="29">
        <f t="shared" si="121"/>
        <v>21554037.109999999</v>
      </c>
      <c r="AF983" s="29">
        <f t="shared" si="121"/>
        <v>32385717.359999999</v>
      </c>
      <c r="AG983" s="29">
        <f t="shared" si="121"/>
        <v>0</v>
      </c>
      <c r="AH983" s="29">
        <f t="shared" si="121"/>
        <v>19248834.370000001</v>
      </c>
      <c r="AI983" s="29">
        <f t="shared" si="121"/>
        <v>0</v>
      </c>
      <c r="AJ983" s="29">
        <f t="shared" si="121"/>
        <v>0</v>
      </c>
      <c r="AK983" s="29">
        <f t="shared" si="121"/>
        <v>0</v>
      </c>
      <c r="AL983" s="29">
        <f t="shared" si="121"/>
        <v>0</v>
      </c>
      <c r="AM983" s="29">
        <f t="shared" si="121"/>
        <v>0</v>
      </c>
      <c r="AN983" s="29">
        <f t="shared" si="121"/>
        <v>0</v>
      </c>
      <c r="AO983" s="29">
        <f t="shared" si="121"/>
        <v>0</v>
      </c>
      <c r="AP983" s="29">
        <f t="shared" si="121"/>
        <v>0</v>
      </c>
      <c r="AQ983" s="29">
        <f t="shared" si="121"/>
        <v>0</v>
      </c>
      <c r="AR983" s="29">
        <f t="shared" si="121"/>
        <v>0</v>
      </c>
      <c r="AS983" s="29">
        <f t="shared" si="121"/>
        <v>73644053.760000005</v>
      </c>
      <c r="AT983" s="29">
        <f t="shared" si="121"/>
        <v>0</v>
      </c>
      <c r="AU983" s="29">
        <f t="shared" si="121"/>
        <v>0</v>
      </c>
      <c r="AV983" s="29">
        <f t="shared" si="121"/>
        <v>0</v>
      </c>
      <c r="AW983" s="29">
        <f t="shared" si="121"/>
        <v>0</v>
      </c>
      <c r="AX983" s="29">
        <f t="shared" si="121"/>
        <v>0</v>
      </c>
      <c r="AY983" s="29">
        <f t="shared" si="121"/>
        <v>0</v>
      </c>
      <c r="AZ983" s="29">
        <f t="shared" si="121"/>
        <v>19704299.289999999</v>
      </c>
      <c r="BA983" s="29">
        <f t="shared" si="121"/>
        <v>21554037.109999999</v>
      </c>
      <c r="BB983" s="29">
        <f t="shared" si="121"/>
        <v>0</v>
      </c>
      <c r="BC983" s="29">
        <f t="shared" si="121"/>
        <v>0</v>
      </c>
      <c r="BD983" s="29">
        <f t="shared" si="121"/>
        <v>0</v>
      </c>
      <c r="BE983" s="29">
        <f t="shared" si="121"/>
        <v>0</v>
      </c>
      <c r="BF983" s="29">
        <f t="shared" si="121"/>
        <v>0</v>
      </c>
      <c r="BG983" s="29">
        <f t="shared" si="121"/>
        <v>0</v>
      </c>
      <c r="BH983" s="29">
        <f t="shared" si="121"/>
        <v>0</v>
      </c>
      <c r="BI983" s="29">
        <f t="shared" si="121"/>
        <v>0</v>
      </c>
      <c r="BJ983" s="29">
        <f t="shared" si="121"/>
        <v>0</v>
      </c>
      <c r="BK983" s="29">
        <f t="shared" si="121"/>
        <v>0</v>
      </c>
      <c r="BL983" s="29">
        <f t="shared" si="121"/>
        <v>0</v>
      </c>
      <c r="BM983" s="29">
        <f t="shared" si="121"/>
        <v>0</v>
      </c>
      <c r="BN983" s="29">
        <f t="shared" si="121"/>
        <v>0</v>
      </c>
      <c r="BO983" s="29">
        <f t="shared" si="121"/>
        <v>0</v>
      </c>
      <c r="BP983" s="29">
        <f t="shared" si="121"/>
        <v>0</v>
      </c>
      <c r="BQ983" s="29">
        <f t="shared" si="121"/>
        <v>0</v>
      </c>
      <c r="BR983" s="29">
        <f t="shared" si="121"/>
        <v>0</v>
      </c>
      <c r="BS983" s="29">
        <f t="shared" si="121"/>
        <v>0</v>
      </c>
      <c r="BT983" s="29">
        <f t="shared" si="121"/>
        <v>0</v>
      </c>
      <c r="BU983" s="29">
        <f t="shared" si="121"/>
        <v>0</v>
      </c>
      <c r="BV983" s="29">
        <f t="shared" si="121"/>
        <v>0</v>
      </c>
      <c r="BW983" s="29">
        <f t="shared" si="121"/>
        <v>0</v>
      </c>
      <c r="BX983" s="29">
        <f t="shared" ref="BX983:CM983" si="122">SUM(BX978:BX982)</f>
        <v>0</v>
      </c>
      <c r="BY983" s="29">
        <f t="shared" si="122"/>
        <v>0</v>
      </c>
      <c r="BZ983" s="29">
        <f t="shared" si="122"/>
        <v>0</v>
      </c>
      <c r="CA983" s="29">
        <f t="shared" si="122"/>
        <v>0</v>
      </c>
      <c r="CB983" s="29">
        <f t="shared" si="122"/>
        <v>0</v>
      </c>
      <c r="CC983" s="29">
        <f t="shared" si="122"/>
        <v>32385717.359999999</v>
      </c>
      <c r="CD983" s="29">
        <f t="shared" si="122"/>
        <v>0</v>
      </c>
      <c r="CE983" s="29">
        <f t="shared" si="122"/>
        <v>73644053.75999999</v>
      </c>
      <c r="CF983" s="29">
        <f t="shared" si="122"/>
        <v>0</v>
      </c>
      <c r="CG983" s="29">
        <f t="shared" si="122"/>
        <v>2455</v>
      </c>
      <c r="CH983" s="29">
        <f t="shared" si="122"/>
        <v>0</v>
      </c>
      <c r="CI983" s="29">
        <f t="shared" si="122"/>
        <v>0</v>
      </c>
      <c r="CJ983" s="29">
        <f t="shared" si="122"/>
        <v>0</v>
      </c>
      <c r="CK983" s="29">
        <f t="shared" si="122"/>
        <v>0</v>
      </c>
      <c r="CL983" s="29">
        <f t="shared" si="122"/>
        <v>0</v>
      </c>
      <c r="CM983" s="29">
        <f t="shared" si="122"/>
        <v>0</v>
      </c>
    </row>
  </sheetData>
  <autoFilter ref="A2:CS983" xr:uid="{9F5FDF8B-164F-4562-8760-D86518EF9961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F4BEA-F4D0-446A-9307-6DA200BCC4DF}">
  <dimension ref="A2:CP1934"/>
  <sheetViews>
    <sheetView rightToLeft="1" topLeftCell="B1" workbookViewId="0">
      <pane ySplit="3" topLeftCell="A217" activePane="bottomLeft" state="frozen"/>
      <selection pane="bottomLeft" activeCell="G1" sqref="G1:G1048576"/>
    </sheetView>
  </sheetViews>
  <sheetFormatPr defaultColWidth="9.140625" defaultRowHeight="15.75" x14ac:dyDescent="0.25"/>
  <cols>
    <col min="1" max="1" width="13.28515625" style="16" customWidth="1"/>
    <col min="2" max="2" width="18.140625" style="17" customWidth="1"/>
    <col min="3" max="3" width="22.85546875" style="17" customWidth="1"/>
    <col min="4" max="4" width="8.5703125" style="17" customWidth="1"/>
    <col min="5" max="5" width="9" style="17" customWidth="1"/>
    <col min="6" max="6" width="11.140625" style="3" customWidth="1"/>
    <col min="7" max="7" width="40.42578125" style="3" customWidth="1"/>
    <col min="8" max="8" width="8.140625" style="18" hidden="1" customWidth="1"/>
    <col min="9" max="9" width="13.5703125" style="3" hidden="1" customWidth="1"/>
    <col min="10" max="10" width="12.28515625" style="3" hidden="1" customWidth="1"/>
    <col min="11" max="11" width="13.5703125" style="3" hidden="1" customWidth="1"/>
    <col min="12" max="12" width="11.5703125" style="3" customWidth="1"/>
    <col min="13" max="13" width="11.42578125" style="3" hidden="1" customWidth="1"/>
    <col min="14" max="14" width="11.85546875" style="3" hidden="1" customWidth="1"/>
    <col min="15" max="15" width="11.42578125" style="3" hidden="1" customWidth="1"/>
    <col min="16" max="16" width="12.85546875" style="3" hidden="1" customWidth="1"/>
    <col min="17" max="17" width="10.85546875" style="3" hidden="1" customWidth="1"/>
    <col min="18" max="18" width="12.42578125" style="3" hidden="1" customWidth="1"/>
    <col min="19" max="19" width="12.140625" style="3" hidden="1" customWidth="1"/>
    <col min="20" max="20" width="12.42578125" style="3" hidden="1" customWidth="1"/>
    <col min="21" max="21" width="11.5703125" style="3" hidden="1" customWidth="1"/>
    <col min="22" max="22" width="9.85546875" style="4" hidden="1" customWidth="1"/>
    <col min="23" max="23" width="9.140625" style="4" hidden="1" customWidth="1"/>
    <col min="24" max="24" width="16.5703125" style="3" hidden="1" customWidth="1"/>
    <col min="25" max="25" width="11.5703125" style="3" hidden="1" customWidth="1"/>
    <col min="26" max="26" width="12.85546875" style="3" hidden="1" customWidth="1"/>
    <col min="27" max="27" width="14.42578125" style="3" hidden="1" customWidth="1"/>
    <col min="28" max="28" width="12.140625" style="3" hidden="1" customWidth="1"/>
    <col min="29" max="29" width="12" style="3" hidden="1" customWidth="1"/>
    <col min="30" max="30" width="10" style="3" hidden="1" customWidth="1"/>
    <col min="31" max="31" width="10.7109375" style="3" hidden="1" customWidth="1"/>
    <col min="32" max="32" width="9.5703125" style="3" hidden="1" customWidth="1"/>
    <col min="33" max="33" width="15" style="3" customWidth="1"/>
    <col min="34" max="34" width="16.140625" style="3" customWidth="1"/>
    <col min="35" max="35" width="10.140625" style="3" hidden="1" customWidth="1"/>
    <col min="36" max="36" width="13.85546875" style="3" customWidth="1"/>
    <col min="37" max="37" width="11.7109375" style="3" hidden="1" customWidth="1"/>
    <col min="38" max="45" width="10.140625" style="3" hidden="1" customWidth="1"/>
    <col min="46" max="46" width="9.85546875" style="3" hidden="1" customWidth="1"/>
    <col min="47" max="47" width="14.85546875" style="10" customWidth="1"/>
    <col min="48" max="48" width="12.85546875" style="3" customWidth="1"/>
    <col min="49" max="49" width="9.140625" style="3" customWidth="1"/>
    <col min="50" max="50" width="10.7109375" style="3" customWidth="1"/>
    <col min="51" max="51" width="11.28515625" style="3" customWidth="1"/>
    <col min="52" max="53" width="9.5703125" style="3" customWidth="1"/>
    <col min="54" max="55" width="14.5703125" style="3" customWidth="1"/>
    <col min="56" max="57" width="10.140625" style="3" customWidth="1"/>
    <col min="58" max="58" width="12.140625" style="3" customWidth="1"/>
    <col min="59" max="59" width="18.140625" style="3" customWidth="1"/>
    <col min="60" max="61" width="8.42578125" style="3" customWidth="1"/>
    <col min="62" max="62" width="8.7109375" style="3" customWidth="1"/>
    <col min="63" max="63" width="9" style="3" customWidth="1"/>
    <col min="64" max="64" width="8.42578125" style="3" customWidth="1"/>
    <col min="65" max="65" width="10.7109375" style="3" customWidth="1"/>
    <col min="66" max="66" width="10.42578125" style="3" customWidth="1"/>
    <col min="67" max="67" width="10.140625" style="3" customWidth="1"/>
    <col min="68" max="68" width="9.28515625" style="3" customWidth="1"/>
    <col min="69" max="69" width="10.140625" style="3" customWidth="1"/>
    <col min="70" max="70" width="11.140625" style="3" customWidth="1"/>
    <col min="71" max="71" width="11.5703125" style="3" customWidth="1"/>
    <col min="72" max="72" width="10.140625" style="3" customWidth="1"/>
    <col min="73" max="73" width="11.140625" style="3" customWidth="1"/>
    <col min="74" max="74" width="9.28515625" style="3" customWidth="1"/>
    <col min="75" max="75" width="13" style="3" customWidth="1"/>
    <col min="76" max="76" width="11.7109375" style="3" customWidth="1"/>
    <col min="77" max="77" width="10.140625" style="3" customWidth="1"/>
    <col min="78" max="78" width="15.140625" style="3" customWidth="1"/>
    <col min="79" max="79" width="13.42578125" style="3" customWidth="1"/>
    <col min="80" max="80" width="12.42578125" style="3" customWidth="1"/>
    <col min="81" max="81" width="13.28515625" style="3" customWidth="1"/>
    <col min="82" max="82" width="10.140625" style="3" customWidth="1"/>
    <col min="83" max="83" width="11.140625" style="3" customWidth="1"/>
    <col min="84" max="84" width="10.140625" style="3" customWidth="1"/>
    <col min="85" max="85" width="16.5703125" style="201" customWidth="1"/>
    <col min="86" max="86" width="17.140625" style="10" customWidth="1"/>
    <col min="87" max="87" width="12.85546875" style="3" customWidth="1"/>
    <col min="88" max="88" width="9.28515625" style="17" customWidth="1"/>
    <col min="89" max="89" width="11.85546875" style="3" customWidth="1"/>
    <col min="90" max="91" width="9.140625" style="3"/>
    <col min="92" max="92" width="14" style="3" customWidth="1"/>
    <col min="93" max="16384" width="9.140625" style="3"/>
  </cols>
  <sheetData>
    <row r="2" spans="1:89" s="4" customFormat="1" ht="36" customHeight="1" x14ac:dyDescent="0.25">
      <c r="A2" s="1"/>
      <c r="B2" s="2"/>
      <c r="C2" s="2"/>
      <c r="D2" s="3"/>
      <c r="H2" s="5"/>
      <c r="I2" s="6" t="s">
        <v>1</v>
      </c>
      <c r="J2" s="6" t="s">
        <v>2</v>
      </c>
      <c r="K2" s="6" t="s">
        <v>3</v>
      </c>
      <c r="L2" s="6" t="s">
        <v>4</v>
      </c>
      <c r="M2" s="6" t="s">
        <v>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7"/>
      <c r="AV2" s="6"/>
      <c r="AW2" s="8"/>
      <c r="AX2" s="6"/>
      <c r="AY2" s="6"/>
      <c r="AZ2" s="6"/>
      <c r="BA2" s="6"/>
      <c r="BB2" s="6"/>
      <c r="BC2" s="6"/>
      <c r="BD2" s="6"/>
      <c r="BE2" s="6"/>
      <c r="BF2" s="6"/>
      <c r="BG2" s="9"/>
      <c r="BH2" s="9"/>
      <c r="BI2" s="9"/>
      <c r="BS2" s="4" t="s">
        <v>6</v>
      </c>
      <c r="CG2" s="201"/>
      <c r="CH2" s="10"/>
      <c r="CJ2" s="2"/>
    </row>
    <row r="3" spans="1:89" s="13" customFormat="1" ht="72" customHeight="1" x14ac:dyDescent="0.25">
      <c r="A3" s="1" t="s">
        <v>7</v>
      </c>
      <c r="B3" s="2"/>
      <c r="C3" s="2"/>
      <c r="D3" s="11" t="s">
        <v>8</v>
      </c>
      <c r="E3" s="12" t="s">
        <v>9</v>
      </c>
      <c r="F3" s="6" t="s">
        <v>10</v>
      </c>
      <c r="G3" s="37" t="s">
        <v>11</v>
      </c>
      <c r="H3" s="5" t="s">
        <v>12</v>
      </c>
      <c r="I3" s="6" t="s">
        <v>13</v>
      </c>
      <c r="J3" s="6" t="s">
        <v>14</v>
      </c>
      <c r="K3" s="6" t="s">
        <v>15</v>
      </c>
      <c r="L3" s="6" t="s">
        <v>16</v>
      </c>
      <c r="M3" s="6" t="s">
        <v>17</v>
      </c>
      <c r="N3" s="6" t="s">
        <v>18</v>
      </c>
      <c r="O3" s="6" t="s">
        <v>19</v>
      </c>
      <c r="P3" s="6" t="s">
        <v>20</v>
      </c>
      <c r="Q3" s="6" t="s">
        <v>21</v>
      </c>
      <c r="R3" s="6" t="s">
        <v>22</v>
      </c>
      <c r="S3" s="6" t="s">
        <v>23</v>
      </c>
      <c r="T3" s="6" t="s">
        <v>24</v>
      </c>
      <c r="U3" s="6" t="s">
        <v>25</v>
      </c>
      <c r="V3" s="6" t="s">
        <v>26</v>
      </c>
      <c r="W3" s="6" t="s">
        <v>27</v>
      </c>
      <c r="X3" s="6" t="s">
        <v>28</v>
      </c>
      <c r="Y3" s="6" t="s">
        <v>29</v>
      </c>
      <c r="Z3" s="6" t="s">
        <v>30</v>
      </c>
      <c r="AA3" s="6" t="s">
        <v>31</v>
      </c>
      <c r="AB3" s="6" t="s">
        <v>32</v>
      </c>
      <c r="AC3" s="6" t="s">
        <v>33</v>
      </c>
      <c r="AD3" s="6" t="s">
        <v>34</v>
      </c>
      <c r="AE3" s="6" t="s">
        <v>35</v>
      </c>
      <c r="AF3" s="6" t="s">
        <v>5060</v>
      </c>
      <c r="AG3" s="6" t="s">
        <v>36</v>
      </c>
      <c r="AH3" s="6" t="s">
        <v>37</v>
      </c>
      <c r="AI3" s="6" t="s">
        <v>38</v>
      </c>
      <c r="AJ3" s="6" t="s">
        <v>39</v>
      </c>
      <c r="AK3" s="6" t="s">
        <v>40</v>
      </c>
      <c r="AL3" s="6" t="s">
        <v>41</v>
      </c>
      <c r="AM3" s="6" t="s">
        <v>42</v>
      </c>
      <c r="AN3" s="6" t="s">
        <v>43</v>
      </c>
      <c r="AO3" s="6" t="s">
        <v>44</v>
      </c>
      <c r="AP3" s="6" t="s">
        <v>45</v>
      </c>
      <c r="AQ3" s="6" t="s">
        <v>46</v>
      </c>
      <c r="AR3" s="6" t="s">
        <v>47</v>
      </c>
      <c r="AS3" s="6" t="s">
        <v>48</v>
      </c>
      <c r="AT3" s="6" t="s">
        <v>49</v>
      </c>
      <c r="AU3" s="7" t="s">
        <v>50</v>
      </c>
      <c r="AV3" s="6" t="s">
        <v>51</v>
      </c>
      <c r="AW3" s="8" t="s">
        <v>52</v>
      </c>
      <c r="AX3" s="6" t="s">
        <v>25</v>
      </c>
      <c r="AY3" s="6" t="s">
        <v>53</v>
      </c>
      <c r="AZ3" s="6" t="s">
        <v>54</v>
      </c>
      <c r="BA3" s="6" t="s">
        <v>55</v>
      </c>
      <c r="BB3" s="6" t="s">
        <v>37</v>
      </c>
      <c r="BC3" s="6" t="s">
        <v>39</v>
      </c>
      <c r="BD3" s="6" t="s">
        <v>56</v>
      </c>
      <c r="BE3" s="6" t="s">
        <v>5346</v>
      </c>
      <c r="BF3" s="6" t="s">
        <v>57</v>
      </c>
      <c r="BG3" s="9" t="s">
        <v>58</v>
      </c>
      <c r="BH3" s="9" t="s">
        <v>59</v>
      </c>
      <c r="BI3" s="9" t="s">
        <v>5060</v>
      </c>
      <c r="BJ3" s="13" t="s">
        <v>31</v>
      </c>
      <c r="BK3" s="13" t="s">
        <v>60</v>
      </c>
      <c r="BL3" s="13" t="s">
        <v>27</v>
      </c>
      <c r="BM3" s="13" t="s">
        <v>61</v>
      </c>
      <c r="BN3" s="13" t="s">
        <v>62</v>
      </c>
      <c r="BO3" s="13" t="s">
        <v>24</v>
      </c>
      <c r="BP3" s="13" t="s">
        <v>63</v>
      </c>
      <c r="BQ3" s="13" t="s">
        <v>64</v>
      </c>
      <c r="BR3" s="13" t="s">
        <v>18</v>
      </c>
      <c r="BS3" s="13" t="s">
        <v>65</v>
      </c>
      <c r="BT3" s="13" t="s">
        <v>21</v>
      </c>
      <c r="BU3" s="13" t="s">
        <v>66</v>
      </c>
      <c r="BV3" s="13" t="s">
        <v>67</v>
      </c>
      <c r="BW3" s="13" t="s">
        <v>40</v>
      </c>
      <c r="BX3" s="13" t="s">
        <v>68</v>
      </c>
      <c r="BY3" s="13" t="s">
        <v>69</v>
      </c>
      <c r="BZ3" s="13" t="s">
        <v>41</v>
      </c>
      <c r="CA3" s="13" t="s">
        <v>70</v>
      </c>
      <c r="CB3" s="13" t="s">
        <v>71</v>
      </c>
      <c r="CC3" s="13" t="s">
        <v>72</v>
      </c>
      <c r="CD3" s="13" t="s">
        <v>46</v>
      </c>
      <c r="CE3" s="13" t="s">
        <v>73</v>
      </c>
      <c r="CF3" s="13" t="s">
        <v>74</v>
      </c>
      <c r="CG3" s="208" t="s">
        <v>75</v>
      </c>
      <c r="CH3" s="14" t="s">
        <v>76</v>
      </c>
      <c r="CI3" s="13" t="s">
        <v>77</v>
      </c>
      <c r="CJ3" s="15"/>
    </row>
    <row r="4" spans="1:89" x14ac:dyDescent="0.25">
      <c r="D4" s="19">
        <v>17035</v>
      </c>
      <c r="E4" s="17">
        <v>10475</v>
      </c>
      <c r="F4" s="3" t="s">
        <v>78</v>
      </c>
      <c r="G4" s="19" t="s">
        <v>79</v>
      </c>
      <c r="I4" s="19">
        <v>8793.6</v>
      </c>
      <c r="AU4" s="10">
        <f t="shared" ref="AU4:AU35" si="0">SUM(I4:AS4)</f>
        <v>8793.6</v>
      </c>
      <c r="AV4" s="19">
        <v>5881.05</v>
      </c>
      <c r="AW4" s="19">
        <v>794.05</v>
      </c>
      <c r="AX4" s="19">
        <v>2118.5</v>
      </c>
      <c r="CH4" s="10">
        <f t="shared" ref="CH4:CH67" si="1">SUM(AV4:CG4)</f>
        <v>8793.6</v>
      </c>
      <c r="CI4" s="3">
        <f t="shared" ref="CI4:CI67" si="2">+CH4-AU4</f>
        <v>0</v>
      </c>
      <c r="CJ4" s="17">
        <f t="shared" ref="CJ4:CJ67" si="3">+E4</f>
        <v>10475</v>
      </c>
      <c r="CK4" s="3" t="str">
        <f t="shared" ref="CK4:CK67" si="4">+F4</f>
        <v>برنامج دولى</v>
      </c>
    </row>
    <row r="5" spans="1:89" x14ac:dyDescent="0.25">
      <c r="D5" s="19">
        <v>17034</v>
      </c>
      <c r="E5" s="17">
        <v>10476</v>
      </c>
      <c r="F5" s="3" t="s">
        <v>78</v>
      </c>
      <c r="G5" s="19" t="s">
        <v>79</v>
      </c>
      <c r="I5" s="19">
        <v>12467.86</v>
      </c>
      <c r="AU5" s="10">
        <f t="shared" si="0"/>
        <v>12467.86</v>
      </c>
      <c r="AV5" s="19">
        <v>10233.24</v>
      </c>
      <c r="AW5" s="19">
        <v>1271.9000000000001</v>
      </c>
      <c r="AX5" s="19">
        <v>962.72</v>
      </c>
      <c r="CH5" s="10">
        <f t="shared" si="1"/>
        <v>12467.859999999999</v>
      </c>
      <c r="CI5" s="3">
        <f t="shared" si="2"/>
        <v>0</v>
      </c>
      <c r="CJ5" s="17">
        <f t="shared" si="3"/>
        <v>10476</v>
      </c>
      <c r="CK5" s="3" t="str">
        <f t="shared" si="4"/>
        <v>برنامج دولى</v>
      </c>
    </row>
    <row r="6" spans="1:89" x14ac:dyDescent="0.25">
      <c r="C6" s="3"/>
      <c r="D6" s="19">
        <v>17033</v>
      </c>
      <c r="E6" s="20">
        <v>10477</v>
      </c>
      <c r="F6" s="3" t="s">
        <v>78</v>
      </c>
      <c r="G6" s="19" t="s">
        <v>79</v>
      </c>
      <c r="I6" s="19">
        <v>113987.88</v>
      </c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2">
        <f t="shared" si="0"/>
        <v>113987.88</v>
      </c>
      <c r="AV6" s="19">
        <v>100658.08</v>
      </c>
      <c r="AW6" s="19">
        <v>12170.5</v>
      </c>
      <c r="AX6" s="19">
        <v>1159.3</v>
      </c>
      <c r="AY6" s="21"/>
      <c r="AZ6" s="21"/>
      <c r="BA6" s="21"/>
      <c r="BB6" s="21"/>
      <c r="BC6" s="21"/>
      <c r="BD6" s="21"/>
      <c r="BE6" s="21"/>
      <c r="BF6" s="21"/>
      <c r="CH6" s="22">
        <f t="shared" si="1"/>
        <v>113987.88</v>
      </c>
      <c r="CI6" s="3">
        <f t="shared" si="2"/>
        <v>0</v>
      </c>
      <c r="CJ6" s="17">
        <f t="shared" si="3"/>
        <v>10477</v>
      </c>
      <c r="CK6" s="3" t="str">
        <f t="shared" si="4"/>
        <v>برنامج دولى</v>
      </c>
    </row>
    <row r="7" spans="1:89" x14ac:dyDescent="0.25">
      <c r="D7" s="19">
        <v>17025</v>
      </c>
      <c r="E7" s="17">
        <v>10478</v>
      </c>
      <c r="F7" s="3" t="s">
        <v>78</v>
      </c>
      <c r="G7" s="19" t="s">
        <v>80</v>
      </c>
      <c r="I7" s="19">
        <v>71162.240000000005</v>
      </c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2">
        <f t="shared" si="0"/>
        <v>71162.240000000005</v>
      </c>
      <c r="AV7" s="19">
        <v>63155.66</v>
      </c>
      <c r="AW7" s="19">
        <v>7609.85</v>
      </c>
      <c r="AX7" s="19">
        <v>396.73</v>
      </c>
      <c r="AY7" s="21"/>
      <c r="AZ7" s="21"/>
      <c r="BA7" s="21"/>
      <c r="BB7" s="21"/>
      <c r="BC7" s="21"/>
      <c r="BD7" s="21"/>
      <c r="BE7" s="21"/>
      <c r="BF7" s="21"/>
      <c r="CH7" s="22">
        <f t="shared" si="1"/>
        <v>71162.240000000005</v>
      </c>
      <c r="CI7" s="3">
        <f t="shared" si="2"/>
        <v>0</v>
      </c>
      <c r="CJ7" s="17">
        <f t="shared" si="3"/>
        <v>10478</v>
      </c>
      <c r="CK7" s="3" t="str">
        <f t="shared" si="4"/>
        <v>برنامج دولى</v>
      </c>
    </row>
    <row r="8" spans="1:89" x14ac:dyDescent="0.25">
      <c r="D8" s="19">
        <v>17026</v>
      </c>
      <c r="E8" s="17">
        <v>10479</v>
      </c>
      <c r="F8" s="3" t="s">
        <v>78</v>
      </c>
      <c r="G8" s="19" t="s">
        <v>80</v>
      </c>
      <c r="I8" s="19">
        <v>158.29</v>
      </c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2">
        <f t="shared" si="0"/>
        <v>158.29</v>
      </c>
      <c r="AV8" s="19">
        <v>106.2</v>
      </c>
      <c r="AW8" s="19">
        <v>13.95</v>
      </c>
      <c r="AX8" s="19">
        <v>38.14</v>
      </c>
      <c r="AY8" s="21"/>
      <c r="AZ8" s="21"/>
      <c r="BA8" s="21"/>
      <c r="BB8" s="21"/>
      <c r="BC8" s="21"/>
      <c r="BD8" s="21"/>
      <c r="BE8" s="21"/>
      <c r="BF8" s="21"/>
      <c r="CH8" s="22">
        <f t="shared" si="1"/>
        <v>158.29000000000002</v>
      </c>
      <c r="CI8" s="3">
        <f t="shared" si="2"/>
        <v>0</v>
      </c>
      <c r="CJ8" s="17">
        <f t="shared" si="3"/>
        <v>10479</v>
      </c>
      <c r="CK8" s="3" t="str">
        <f t="shared" si="4"/>
        <v>برنامج دولى</v>
      </c>
    </row>
    <row r="9" spans="1:89" x14ac:dyDescent="0.25">
      <c r="D9" s="19">
        <v>17027</v>
      </c>
      <c r="E9" s="20">
        <v>10480</v>
      </c>
      <c r="F9" s="3" t="s">
        <v>78</v>
      </c>
      <c r="G9" s="19" t="s">
        <v>80</v>
      </c>
      <c r="I9" s="19">
        <v>5190</v>
      </c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2">
        <f t="shared" si="0"/>
        <v>5190</v>
      </c>
      <c r="AV9" s="19">
        <v>4634.6499999999996</v>
      </c>
      <c r="AW9" s="19">
        <v>555.35</v>
      </c>
      <c r="AX9" s="19"/>
      <c r="AY9" s="21"/>
      <c r="AZ9" s="21"/>
      <c r="BA9" s="21"/>
      <c r="BB9" s="21"/>
      <c r="BC9" s="21"/>
      <c r="BD9" s="21"/>
      <c r="BE9" s="21"/>
      <c r="BF9" s="21"/>
      <c r="CH9" s="22">
        <f t="shared" si="1"/>
        <v>5190</v>
      </c>
      <c r="CI9" s="3">
        <f t="shared" si="2"/>
        <v>0</v>
      </c>
      <c r="CJ9" s="17">
        <f t="shared" si="3"/>
        <v>10480</v>
      </c>
      <c r="CK9" s="3" t="str">
        <f t="shared" si="4"/>
        <v>برنامج دولى</v>
      </c>
    </row>
    <row r="10" spans="1:89" x14ac:dyDescent="0.25">
      <c r="D10" s="19">
        <v>17028</v>
      </c>
      <c r="E10" s="17">
        <v>10481</v>
      </c>
      <c r="F10" s="3" t="s">
        <v>78</v>
      </c>
      <c r="G10" s="19" t="s">
        <v>80</v>
      </c>
      <c r="I10" s="19">
        <v>3240</v>
      </c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2">
        <f t="shared" si="0"/>
        <v>3240</v>
      </c>
      <c r="AV10" s="19">
        <v>2892.05</v>
      </c>
      <c r="AW10" s="19">
        <v>347.95</v>
      </c>
      <c r="AX10" s="19"/>
      <c r="AY10" s="21"/>
      <c r="AZ10" s="21"/>
      <c r="BA10" s="21"/>
      <c r="BB10" s="21"/>
      <c r="BC10" s="21"/>
      <c r="BD10" s="21"/>
      <c r="BE10" s="21"/>
      <c r="BF10" s="21"/>
      <c r="CH10" s="22">
        <f t="shared" si="1"/>
        <v>3240</v>
      </c>
      <c r="CI10" s="3">
        <f t="shared" si="2"/>
        <v>0</v>
      </c>
      <c r="CJ10" s="17">
        <f t="shared" si="3"/>
        <v>10481</v>
      </c>
      <c r="CK10" s="3" t="str">
        <f t="shared" si="4"/>
        <v>برنامج دولى</v>
      </c>
    </row>
    <row r="11" spans="1:89" x14ac:dyDescent="0.25">
      <c r="D11" s="19">
        <v>17029</v>
      </c>
      <c r="E11" s="17">
        <v>10482</v>
      </c>
      <c r="F11" s="3" t="s">
        <v>78</v>
      </c>
      <c r="G11" s="19" t="s">
        <v>80</v>
      </c>
      <c r="I11" s="19">
        <v>1037.6600000000001</v>
      </c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>
        <f>8.25+150</f>
        <v>158.25</v>
      </c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2">
        <f t="shared" si="0"/>
        <v>1195.9100000000001</v>
      </c>
      <c r="AV11" s="19">
        <v>694.35</v>
      </c>
      <c r="AW11" s="19">
        <f>88.5+4.8</f>
        <v>93.3</v>
      </c>
      <c r="AX11" s="19">
        <v>250.01</v>
      </c>
      <c r="AY11" s="21"/>
      <c r="AZ11" s="21"/>
      <c r="BA11" s="21"/>
      <c r="BB11" s="21"/>
      <c r="BC11" s="21"/>
      <c r="BD11" s="21"/>
      <c r="BE11" s="21"/>
      <c r="BF11" s="21"/>
      <c r="CH11" s="22">
        <f t="shared" si="1"/>
        <v>1037.6599999999999</v>
      </c>
      <c r="CI11" s="3">
        <f t="shared" si="2"/>
        <v>-158.25000000000023</v>
      </c>
      <c r="CJ11" s="17">
        <f t="shared" si="3"/>
        <v>10482</v>
      </c>
      <c r="CK11" s="3" t="str">
        <f t="shared" si="4"/>
        <v>برنامج دولى</v>
      </c>
    </row>
    <row r="12" spans="1:89" x14ac:dyDescent="0.25">
      <c r="D12" s="19">
        <v>17021</v>
      </c>
      <c r="E12" s="20">
        <v>10483</v>
      </c>
      <c r="F12" s="3" t="s">
        <v>78</v>
      </c>
      <c r="G12" s="19" t="s">
        <v>81</v>
      </c>
      <c r="I12" s="19">
        <v>5256.27</v>
      </c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2">
        <f t="shared" si="0"/>
        <v>5256.27</v>
      </c>
      <c r="AV12" s="19">
        <v>4114.43</v>
      </c>
      <c r="AW12" s="19">
        <v>517.45000000000005</v>
      </c>
      <c r="AX12" s="19">
        <v>624.39</v>
      </c>
      <c r="AY12" s="21"/>
      <c r="AZ12" s="21"/>
      <c r="BA12" s="21"/>
      <c r="BB12" s="21"/>
      <c r="BC12" s="21"/>
      <c r="BD12" s="21"/>
      <c r="BE12" s="21"/>
      <c r="BF12" s="21"/>
      <c r="CH12" s="22">
        <f t="shared" si="1"/>
        <v>5256.27</v>
      </c>
      <c r="CI12" s="3">
        <f t="shared" si="2"/>
        <v>0</v>
      </c>
      <c r="CJ12" s="17">
        <f t="shared" si="3"/>
        <v>10483</v>
      </c>
      <c r="CK12" s="3" t="str">
        <f t="shared" si="4"/>
        <v>برنامج دولى</v>
      </c>
    </row>
    <row r="13" spans="1:89" x14ac:dyDescent="0.25">
      <c r="C13" s="21"/>
      <c r="D13" s="19">
        <v>17022</v>
      </c>
      <c r="E13" s="17">
        <v>10484</v>
      </c>
      <c r="F13" s="3" t="s">
        <v>78</v>
      </c>
      <c r="G13" s="19" t="s">
        <v>81</v>
      </c>
      <c r="I13" s="19">
        <v>879.38</v>
      </c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2">
        <f t="shared" si="0"/>
        <v>879.38</v>
      </c>
      <c r="AV13" s="19">
        <v>588.15</v>
      </c>
      <c r="AW13" s="19">
        <f>75+4.35</f>
        <v>79.349999999999994</v>
      </c>
      <c r="AX13" s="19">
        <v>211.88</v>
      </c>
      <c r="AY13" s="21"/>
      <c r="AZ13" s="21"/>
      <c r="BA13" s="21"/>
      <c r="BB13" s="21"/>
      <c r="BC13" s="21"/>
      <c r="BD13" s="21"/>
      <c r="BE13" s="21"/>
      <c r="BF13" s="21"/>
      <c r="CH13" s="22">
        <f t="shared" si="1"/>
        <v>879.38</v>
      </c>
      <c r="CI13" s="3">
        <f t="shared" si="2"/>
        <v>0</v>
      </c>
      <c r="CJ13" s="17">
        <f t="shared" si="3"/>
        <v>10484</v>
      </c>
      <c r="CK13" s="3" t="str">
        <f t="shared" si="4"/>
        <v>برنامج دولى</v>
      </c>
    </row>
    <row r="14" spans="1:89" x14ac:dyDescent="0.25">
      <c r="C14" s="21"/>
      <c r="D14" s="19">
        <v>17020</v>
      </c>
      <c r="E14" s="17">
        <v>10485</v>
      </c>
      <c r="F14" s="3" t="s">
        <v>78</v>
      </c>
      <c r="G14" s="19" t="s">
        <v>82</v>
      </c>
      <c r="I14" s="19">
        <v>1758.75</v>
      </c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2">
        <f t="shared" si="0"/>
        <v>1758.75</v>
      </c>
      <c r="AV14" s="19">
        <v>1175.3499999999999</v>
      </c>
      <c r="AW14" s="19">
        <v>159.65</v>
      </c>
      <c r="AX14" s="19">
        <v>423.75</v>
      </c>
      <c r="AY14" s="21"/>
      <c r="AZ14" s="21"/>
      <c r="BA14" s="21"/>
      <c r="BB14" s="21"/>
      <c r="BC14" s="21"/>
      <c r="BD14" s="21"/>
      <c r="BE14" s="21"/>
      <c r="BF14" s="21"/>
      <c r="CH14" s="22">
        <f t="shared" si="1"/>
        <v>1758.75</v>
      </c>
      <c r="CI14" s="3">
        <f t="shared" si="2"/>
        <v>0</v>
      </c>
      <c r="CJ14" s="17">
        <f t="shared" si="3"/>
        <v>10485</v>
      </c>
      <c r="CK14" s="3" t="str">
        <f t="shared" si="4"/>
        <v>برنامج دولى</v>
      </c>
    </row>
    <row r="15" spans="1:89" x14ac:dyDescent="0.25">
      <c r="D15" s="19">
        <v>17024</v>
      </c>
      <c r="E15" s="20">
        <v>10486</v>
      </c>
      <c r="F15" s="3" t="s">
        <v>78</v>
      </c>
      <c r="G15" s="19" t="s">
        <v>83</v>
      </c>
      <c r="I15" s="19">
        <v>9000</v>
      </c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2">
        <f t="shared" si="0"/>
        <v>9000</v>
      </c>
      <c r="AV15" s="19">
        <v>8033.9</v>
      </c>
      <c r="AW15" s="19">
        <v>966.1</v>
      </c>
      <c r="AX15" s="19"/>
      <c r="AY15" s="21"/>
      <c r="AZ15" s="21"/>
      <c r="BA15" s="21"/>
      <c r="BB15" s="21"/>
      <c r="BC15" s="21"/>
      <c r="BD15" s="21"/>
      <c r="BE15" s="21"/>
      <c r="BF15" s="21"/>
      <c r="CH15" s="22">
        <f t="shared" si="1"/>
        <v>9000</v>
      </c>
      <c r="CI15" s="3">
        <f t="shared" si="2"/>
        <v>0</v>
      </c>
      <c r="CJ15" s="17">
        <f t="shared" si="3"/>
        <v>10486</v>
      </c>
      <c r="CK15" s="3" t="str">
        <f t="shared" si="4"/>
        <v>برنامج دولى</v>
      </c>
    </row>
    <row r="16" spans="1:89" x14ac:dyDescent="0.25">
      <c r="C16" s="21"/>
      <c r="D16" s="19">
        <v>17017</v>
      </c>
      <c r="E16" s="17">
        <v>10487</v>
      </c>
      <c r="F16" s="3" t="s">
        <v>78</v>
      </c>
      <c r="G16" s="19" t="s">
        <v>84</v>
      </c>
      <c r="I16" s="19">
        <v>22126</v>
      </c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2">
        <f t="shared" si="0"/>
        <v>22126</v>
      </c>
      <c r="AV16" s="19">
        <v>19333.099999999999</v>
      </c>
      <c r="AW16" s="19">
        <v>2340.9</v>
      </c>
      <c r="AX16" s="19">
        <v>452</v>
      </c>
      <c r="AY16" s="21"/>
      <c r="AZ16" s="21"/>
      <c r="BA16" s="21"/>
      <c r="BB16" s="21"/>
      <c r="BC16" s="21"/>
      <c r="BD16" s="21"/>
      <c r="BE16" s="21"/>
      <c r="BF16" s="21"/>
      <c r="CH16" s="22">
        <f t="shared" si="1"/>
        <v>22126</v>
      </c>
      <c r="CI16" s="3">
        <f t="shared" si="2"/>
        <v>0</v>
      </c>
      <c r="CJ16" s="17">
        <f t="shared" si="3"/>
        <v>10487</v>
      </c>
      <c r="CK16" s="3" t="str">
        <f t="shared" si="4"/>
        <v>برنامج دولى</v>
      </c>
    </row>
    <row r="17" spans="1:89" x14ac:dyDescent="0.25">
      <c r="D17" s="19">
        <v>17019</v>
      </c>
      <c r="E17" s="17">
        <v>10488</v>
      </c>
      <c r="F17" s="3" t="s">
        <v>78</v>
      </c>
      <c r="G17" s="19" t="s">
        <v>84</v>
      </c>
      <c r="I17" s="19">
        <v>1500</v>
      </c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2">
        <f t="shared" si="0"/>
        <v>1500</v>
      </c>
      <c r="AV17" s="19">
        <v>1339.1</v>
      </c>
      <c r="AW17" s="19">
        <v>160.9</v>
      </c>
      <c r="AX17" s="19"/>
      <c r="AY17" s="21"/>
      <c r="AZ17" s="21"/>
      <c r="BA17" s="21"/>
      <c r="BB17" s="21"/>
      <c r="BC17" s="21"/>
      <c r="BD17" s="21"/>
      <c r="BE17" s="21"/>
      <c r="BF17" s="21"/>
      <c r="CH17" s="22">
        <f t="shared" si="1"/>
        <v>1500</v>
      </c>
      <c r="CI17" s="3">
        <f t="shared" si="2"/>
        <v>0</v>
      </c>
      <c r="CJ17" s="17">
        <f t="shared" si="3"/>
        <v>10488</v>
      </c>
      <c r="CK17" s="3" t="str">
        <f t="shared" si="4"/>
        <v>برنامج دولى</v>
      </c>
    </row>
    <row r="18" spans="1:89" x14ac:dyDescent="0.25">
      <c r="D18" s="19">
        <v>17018</v>
      </c>
      <c r="E18" s="20">
        <v>10489</v>
      </c>
      <c r="F18" s="3" t="s">
        <v>78</v>
      </c>
      <c r="G18" s="19" t="s">
        <v>84</v>
      </c>
      <c r="I18" s="19">
        <v>6000</v>
      </c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2">
        <f t="shared" si="0"/>
        <v>6000</v>
      </c>
      <c r="AV18" s="19">
        <v>5356.4</v>
      </c>
      <c r="AW18" s="19">
        <v>643.6</v>
      </c>
      <c r="AX18" s="19"/>
      <c r="AY18" s="21"/>
      <c r="AZ18" s="21"/>
      <c r="BA18" s="21"/>
      <c r="BB18" s="21"/>
      <c r="BC18" s="21"/>
      <c r="BD18" s="21"/>
      <c r="BE18" s="21"/>
      <c r="BF18" s="21"/>
      <c r="CH18" s="22">
        <f t="shared" si="1"/>
        <v>6000</v>
      </c>
      <c r="CI18" s="3">
        <f t="shared" si="2"/>
        <v>0</v>
      </c>
      <c r="CJ18" s="17">
        <f t="shared" si="3"/>
        <v>10489</v>
      </c>
      <c r="CK18" s="3" t="str">
        <f t="shared" si="4"/>
        <v>برنامج دولى</v>
      </c>
    </row>
    <row r="19" spans="1:89" x14ac:dyDescent="0.25">
      <c r="D19" s="19">
        <v>17013</v>
      </c>
      <c r="E19" s="17">
        <v>10490</v>
      </c>
      <c r="F19" s="3" t="s">
        <v>78</v>
      </c>
      <c r="G19" s="19" t="s">
        <v>85</v>
      </c>
      <c r="I19" s="19">
        <v>7002.43</v>
      </c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2">
        <f t="shared" si="0"/>
        <v>7002.43</v>
      </c>
      <c r="AV19" s="19">
        <v>5866.73</v>
      </c>
      <c r="AW19" s="19">
        <v>722.3</v>
      </c>
      <c r="AX19" s="19">
        <v>413.4</v>
      </c>
      <c r="AY19" s="21"/>
      <c r="AZ19" s="21"/>
      <c r="BA19" s="21"/>
      <c r="BB19" s="21"/>
      <c r="BC19" s="21"/>
      <c r="BD19" s="21"/>
      <c r="BE19" s="21"/>
      <c r="BF19" s="21"/>
      <c r="CH19" s="22">
        <f t="shared" si="1"/>
        <v>7002.4299999999994</v>
      </c>
      <c r="CI19" s="3">
        <f t="shared" si="2"/>
        <v>0</v>
      </c>
      <c r="CJ19" s="17">
        <f t="shared" si="3"/>
        <v>10490</v>
      </c>
      <c r="CK19" s="3" t="str">
        <f t="shared" si="4"/>
        <v>برنامج دولى</v>
      </c>
    </row>
    <row r="20" spans="1:89" x14ac:dyDescent="0.25">
      <c r="D20" s="19">
        <v>17014</v>
      </c>
      <c r="E20" s="17">
        <v>10491</v>
      </c>
      <c r="F20" s="3" t="s">
        <v>78</v>
      </c>
      <c r="G20" s="19" t="s">
        <v>85</v>
      </c>
      <c r="I20" s="19">
        <v>1500</v>
      </c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2">
        <f t="shared" si="0"/>
        <v>1500</v>
      </c>
      <c r="AV20" s="19">
        <v>1339.1</v>
      </c>
      <c r="AW20" s="19">
        <v>160.9</v>
      </c>
      <c r="AX20" s="19"/>
      <c r="AY20" s="21"/>
      <c r="AZ20" s="21"/>
      <c r="BA20" s="21"/>
      <c r="BB20" s="21"/>
      <c r="BC20" s="21"/>
      <c r="BD20" s="21"/>
      <c r="BE20" s="21"/>
      <c r="BF20" s="21"/>
      <c r="CH20" s="22">
        <f t="shared" si="1"/>
        <v>1500</v>
      </c>
      <c r="CI20" s="3">
        <f t="shared" si="2"/>
        <v>0</v>
      </c>
      <c r="CJ20" s="17">
        <f t="shared" si="3"/>
        <v>10491</v>
      </c>
      <c r="CK20" s="3" t="str">
        <f t="shared" si="4"/>
        <v>برنامج دولى</v>
      </c>
    </row>
    <row r="21" spans="1:89" x14ac:dyDescent="0.25">
      <c r="D21" s="19">
        <v>17015</v>
      </c>
      <c r="E21" s="20">
        <v>10492</v>
      </c>
      <c r="F21" s="3" t="s">
        <v>78</v>
      </c>
      <c r="G21" s="19" t="s">
        <v>85</v>
      </c>
      <c r="I21" s="19">
        <v>3938</v>
      </c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2">
        <f t="shared" si="0"/>
        <v>3938</v>
      </c>
      <c r="AV21" s="19">
        <v>3305.55</v>
      </c>
      <c r="AW21" s="19">
        <v>406.45</v>
      </c>
      <c r="AX21" s="19">
        <v>226</v>
      </c>
      <c r="AY21" s="21"/>
      <c r="AZ21" s="21"/>
      <c r="BA21" s="21"/>
      <c r="BB21" s="21"/>
      <c r="BC21" s="21"/>
      <c r="BD21" s="21"/>
      <c r="BE21" s="21"/>
      <c r="BF21" s="21"/>
      <c r="CH21" s="22">
        <f t="shared" si="1"/>
        <v>3938</v>
      </c>
      <c r="CI21" s="3">
        <f t="shared" si="2"/>
        <v>0</v>
      </c>
      <c r="CJ21" s="17">
        <f t="shared" si="3"/>
        <v>10492</v>
      </c>
      <c r="CK21" s="3" t="str">
        <f t="shared" si="4"/>
        <v>برنامج دولى</v>
      </c>
    </row>
    <row r="22" spans="1:89" x14ac:dyDescent="0.25">
      <c r="D22" s="19">
        <v>17016</v>
      </c>
      <c r="E22" s="17">
        <v>10493</v>
      </c>
      <c r="F22" s="3" t="s">
        <v>78</v>
      </c>
      <c r="G22" s="19" t="s">
        <v>85</v>
      </c>
      <c r="I22" s="19">
        <v>6331.5</v>
      </c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2">
        <f t="shared" si="0"/>
        <v>6331.5</v>
      </c>
      <c r="AV22" s="19">
        <v>4232.75</v>
      </c>
      <c r="AW22" s="19">
        <f>540+33.25</f>
        <v>573.25</v>
      </c>
      <c r="AX22" s="19">
        <v>1525.5</v>
      </c>
      <c r="AY22" s="21"/>
      <c r="AZ22" s="21"/>
      <c r="BA22" s="21"/>
      <c r="BB22" s="21"/>
      <c r="BC22" s="21"/>
      <c r="BD22" s="21"/>
      <c r="BE22" s="21"/>
      <c r="BF22" s="21"/>
      <c r="CH22" s="22">
        <f t="shared" si="1"/>
        <v>6331.5</v>
      </c>
      <c r="CI22" s="3">
        <f t="shared" si="2"/>
        <v>0</v>
      </c>
      <c r="CJ22" s="17">
        <f t="shared" si="3"/>
        <v>10493</v>
      </c>
      <c r="CK22" s="3" t="str">
        <f t="shared" si="4"/>
        <v>برنامج دولى</v>
      </c>
    </row>
    <row r="23" spans="1:89" x14ac:dyDescent="0.25">
      <c r="D23" s="19">
        <v>17023</v>
      </c>
      <c r="E23" s="17">
        <v>10494</v>
      </c>
      <c r="F23" s="3" t="s">
        <v>78</v>
      </c>
      <c r="G23" s="19" t="s">
        <v>86</v>
      </c>
      <c r="I23" s="19">
        <v>25992</v>
      </c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2">
        <f t="shared" si="0"/>
        <v>25992</v>
      </c>
      <c r="AV23" s="19">
        <v>23196.95</v>
      </c>
      <c r="AW23" s="19">
        <v>2795.05</v>
      </c>
      <c r="AX23" s="19"/>
      <c r="AY23" s="21"/>
      <c r="AZ23" s="21"/>
      <c r="BA23" s="21"/>
      <c r="BB23" s="21"/>
      <c r="BC23" s="21"/>
      <c r="BD23" s="21"/>
      <c r="BE23" s="21"/>
      <c r="BF23" s="21"/>
      <c r="CH23" s="22">
        <f t="shared" si="1"/>
        <v>25992</v>
      </c>
      <c r="CI23" s="3">
        <f t="shared" si="2"/>
        <v>0</v>
      </c>
      <c r="CJ23" s="17">
        <f t="shared" si="3"/>
        <v>10494</v>
      </c>
      <c r="CK23" s="3" t="str">
        <f t="shared" si="4"/>
        <v>برنامج دولى</v>
      </c>
    </row>
    <row r="24" spans="1:89" x14ac:dyDescent="0.25">
      <c r="C24" s="21"/>
      <c r="D24" s="19">
        <v>17011</v>
      </c>
      <c r="E24" s="20">
        <v>10495</v>
      </c>
      <c r="F24" s="3" t="s">
        <v>78</v>
      </c>
      <c r="G24" s="19" t="s">
        <v>86</v>
      </c>
      <c r="I24" s="19">
        <v>56975.4</v>
      </c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2">
        <f t="shared" si="0"/>
        <v>56975.4</v>
      </c>
      <c r="AV24" s="19">
        <v>50851.01</v>
      </c>
      <c r="AW24" s="19">
        <v>6124.39</v>
      </c>
      <c r="AX24" s="19"/>
      <c r="AY24" s="21"/>
      <c r="AZ24" s="21"/>
      <c r="BA24" s="21"/>
      <c r="BB24" s="21"/>
      <c r="BC24" s="21"/>
      <c r="BD24" s="21"/>
      <c r="BE24" s="21"/>
      <c r="BF24" s="21"/>
      <c r="CH24" s="22">
        <f t="shared" si="1"/>
        <v>56975.4</v>
      </c>
      <c r="CI24" s="3">
        <f t="shared" si="2"/>
        <v>0</v>
      </c>
      <c r="CJ24" s="17">
        <f t="shared" si="3"/>
        <v>10495</v>
      </c>
      <c r="CK24" s="3" t="str">
        <f t="shared" si="4"/>
        <v>برنامج دولى</v>
      </c>
    </row>
    <row r="25" spans="1:89" x14ac:dyDescent="0.25">
      <c r="D25" s="19">
        <v>17012</v>
      </c>
      <c r="E25" s="17">
        <v>10496</v>
      </c>
      <c r="F25" s="3" t="s">
        <v>78</v>
      </c>
      <c r="G25" s="19" t="s">
        <v>86</v>
      </c>
      <c r="I25" s="19">
        <v>6000</v>
      </c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2">
        <f t="shared" si="0"/>
        <v>6000</v>
      </c>
      <c r="AV25" s="19">
        <v>5352.4</v>
      </c>
      <c r="AW25" s="19">
        <v>647.6</v>
      </c>
      <c r="AX25" s="19"/>
      <c r="AY25" s="21"/>
      <c r="AZ25" s="21"/>
      <c r="BA25" s="21"/>
      <c r="BB25" s="21"/>
      <c r="BC25" s="21"/>
      <c r="BD25" s="21"/>
      <c r="BE25" s="21"/>
      <c r="BF25" s="21"/>
      <c r="CH25" s="22">
        <f t="shared" si="1"/>
        <v>6000</v>
      </c>
      <c r="CI25" s="3">
        <f t="shared" si="2"/>
        <v>0</v>
      </c>
      <c r="CJ25" s="17">
        <f t="shared" si="3"/>
        <v>10496</v>
      </c>
      <c r="CK25" s="3" t="str">
        <f t="shared" si="4"/>
        <v>برنامج دولى</v>
      </c>
    </row>
    <row r="26" spans="1:89" x14ac:dyDescent="0.25">
      <c r="D26" s="19">
        <v>17046</v>
      </c>
      <c r="E26" s="17">
        <v>10497</v>
      </c>
      <c r="F26" s="3" t="s">
        <v>78</v>
      </c>
      <c r="G26" s="19" t="s">
        <v>87</v>
      </c>
      <c r="I26" s="19">
        <v>480</v>
      </c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2">
        <f t="shared" si="0"/>
        <v>480</v>
      </c>
      <c r="AV26" s="19">
        <v>429.2</v>
      </c>
      <c r="AW26" s="19">
        <v>50.8</v>
      </c>
      <c r="AX26" s="19"/>
      <c r="AY26" s="21"/>
      <c r="AZ26" s="21"/>
      <c r="BA26" s="21"/>
      <c r="BB26" s="21"/>
      <c r="BC26" s="21"/>
      <c r="BD26" s="21"/>
      <c r="BE26" s="21"/>
      <c r="BF26" s="21"/>
      <c r="CH26" s="22">
        <f t="shared" si="1"/>
        <v>480</v>
      </c>
      <c r="CI26" s="3">
        <f t="shared" si="2"/>
        <v>0</v>
      </c>
      <c r="CJ26" s="17">
        <f t="shared" si="3"/>
        <v>10497</v>
      </c>
      <c r="CK26" s="3" t="str">
        <f t="shared" si="4"/>
        <v>برنامج دولى</v>
      </c>
    </row>
    <row r="27" spans="1:89" x14ac:dyDescent="0.25">
      <c r="D27" s="19">
        <v>17038</v>
      </c>
      <c r="E27" s="20">
        <v>10498</v>
      </c>
      <c r="F27" s="3" t="s">
        <v>78</v>
      </c>
      <c r="G27" s="19" t="s">
        <v>79</v>
      </c>
      <c r="I27" s="19">
        <v>5528.63</v>
      </c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2">
        <f t="shared" si="0"/>
        <v>5528.63</v>
      </c>
      <c r="AV27" s="19">
        <v>3874.95</v>
      </c>
      <c r="AW27" s="19">
        <v>509.55</v>
      </c>
      <c r="AX27" s="19">
        <v>1144.1300000000001</v>
      </c>
      <c r="AY27" s="21"/>
      <c r="AZ27" s="21"/>
      <c r="BA27" s="21"/>
      <c r="BB27" s="21"/>
      <c r="BC27" s="21"/>
      <c r="BD27" s="21"/>
      <c r="BE27" s="21"/>
      <c r="BF27" s="21"/>
      <c r="CH27" s="22">
        <f t="shared" si="1"/>
        <v>5528.63</v>
      </c>
      <c r="CI27" s="3">
        <f t="shared" si="2"/>
        <v>0</v>
      </c>
      <c r="CJ27" s="17">
        <f t="shared" si="3"/>
        <v>10498</v>
      </c>
      <c r="CK27" s="3" t="str">
        <f t="shared" si="4"/>
        <v>برنامج دولى</v>
      </c>
    </row>
    <row r="28" spans="1:89" x14ac:dyDescent="0.25">
      <c r="D28" s="19">
        <v>17037</v>
      </c>
      <c r="E28" s="17">
        <v>10499</v>
      </c>
      <c r="F28" s="3" t="s">
        <v>78</v>
      </c>
      <c r="G28" s="19" t="s">
        <v>79</v>
      </c>
      <c r="I28" s="19">
        <v>9552.2800000000007</v>
      </c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2">
        <f t="shared" si="0"/>
        <v>9552.2800000000007</v>
      </c>
      <c r="AV28" s="19">
        <v>8418.26</v>
      </c>
      <c r="AW28" s="19">
        <v>1015.65</v>
      </c>
      <c r="AX28" s="19">
        <v>118.37</v>
      </c>
      <c r="AY28" s="21"/>
      <c r="AZ28" s="21"/>
      <c r="BA28" s="21"/>
      <c r="BB28" s="21"/>
      <c r="BC28" s="21"/>
      <c r="BD28" s="21"/>
      <c r="BE28" s="21"/>
      <c r="BF28" s="21"/>
      <c r="CH28" s="22">
        <f t="shared" si="1"/>
        <v>9552.2800000000007</v>
      </c>
      <c r="CI28" s="3">
        <f t="shared" si="2"/>
        <v>0</v>
      </c>
      <c r="CJ28" s="17">
        <f t="shared" si="3"/>
        <v>10499</v>
      </c>
      <c r="CK28" s="3" t="str">
        <f t="shared" si="4"/>
        <v>برنامج دولى</v>
      </c>
    </row>
    <row r="29" spans="1:89" x14ac:dyDescent="0.25">
      <c r="C29" s="21"/>
      <c r="D29" s="19">
        <v>17036</v>
      </c>
      <c r="E29" s="17">
        <v>10500</v>
      </c>
      <c r="F29" s="3" t="s">
        <v>78</v>
      </c>
      <c r="G29" s="19" t="s">
        <v>79</v>
      </c>
      <c r="I29" s="19">
        <v>68271.75</v>
      </c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2">
        <f t="shared" si="0"/>
        <v>68271.75</v>
      </c>
      <c r="AV29" s="19">
        <v>60874.05</v>
      </c>
      <c r="AW29" s="19">
        <v>7312.95</v>
      </c>
      <c r="AX29" s="19">
        <v>84.75</v>
      </c>
      <c r="AY29" s="21"/>
      <c r="AZ29" s="21"/>
      <c r="BA29" s="21"/>
      <c r="BB29" s="21"/>
      <c r="BC29" s="21"/>
      <c r="BD29" s="21"/>
      <c r="BE29" s="21"/>
      <c r="BF29" s="21"/>
      <c r="CH29" s="22">
        <f t="shared" si="1"/>
        <v>68271.75</v>
      </c>
      <c r="CI29" s="3">
        <f t="shared" si="2"/>
        <v>0</v>
      </c>
      <c r="CJ29" s="17">
        <f t="shared" si="3"/>
        <v>10500</v>
      </c>
      <c r="CK29" s="3" t="str">
        <f t="shared" si="4"/>
        <v>برنامج دولى</v>
      </c>
    </row>
    <row r="30" spans="1:89" x14ac:dyDescent="0.25">
      <c r="A30" s="23"/>
      <c r="B30" s="24"/>
      <c r="C30" s="24"/>
      <c r="D30" s="19">
        <v>17049</v>
      </c>
      <c r="E30" s="20">
        <v>10501</v>
      </c>
      <c r="F30" s="3" t="s">
        <v>78</v>
      </c>
      <c r="G30" s="19" t="s">
        <v>88</v>
      </c>
      <c r="I30" s="19">
        <v>3306.44</v>
      </c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2">
        <f t="shared" si="0"/>
        <v>3306.44</v>
      </c>
      <c r="AV30" s="19">
        <v>2212.15</v>
      </c>
      <c r="AW30" s="19">
        <v>297.64999999999998</v>
      </c>
      <c r="AX30" s="19">
        <v>796.64</v>
      </c>
      <c r="AY30" s="21"/>
      <c r="AZ30" s="21"/>
      <c r="BA30" s="21"/>
      <c r="BB30" s="21"/>
      <c r="BC30" s="21"/>
      <c r="BD30" s="21"/>
      <c r="BE30" s="21"/>
      <c r="BF30" s="21"/>
      <c r="CH30" s="22">
        <f t="shared" si="1"/>
        <v>3306.44</v>
      </c>
      <c r="CI30" s="3">
        <f t="shared" si="2"/>
        <v>0</v>
      </c>
      <c r="CJ30" s="17">
        <f t="shared" si="3"/>
        <v>10501</v>
      </c>
      <c r="CK30" s="3" t="str">
        <f t="shared" si="4"/>
        <v>برنامج دولى</v>
      </c>
    </row>
    <row r="31" spans="1:89" x14ac:dyDescent="0.25">
      <c r="D31" s="19">
        <v>17040</v>
      </c>
      <c r="E31" s="17">
        <v>10502</v>
      </c>
      <c r="F31" s="3" t="s">
        <v>78</v>
      </c>
      <c r="G31" s="19" t="s">
        <v>88</v>
      </c>
      <c r="I31" s="19">
        <v>11933.8</v>
      </c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2">
        <f t="shared" si="0"/>
        <v>11933.8</v>
      </c>
      <c r="AV31" s="19">
        <v>9520.2000000000007</v>
      </c>
      <c r="AW31" s="19">
        <v>1195.5</v>
      </c>
      <c r="AX31" s="19">
        <v>1218.0999999999999</v>
      </c>
      <c r="AY31" s="21"/>
      <c r="AZ31" s="21"/>
      <c r="BA31" s="21"/>
      <c r="BB31" s="21"/>
      <c r="BC31" s="21"/>
      <c r="BD31" s="21"/>
      <c r="BE31" s="21"/>
      <c r="BF31" s="21"/>
      <c r="CH31" s="22">
        <f t="shared" si="1"/>
        <v>11933.800000000001</v>
      </c>
      <c r="CI31" s="3">
        <f t="shared" si="2"/>
        <v>0</v>
      </c>
      <c r="CJ31" s="17">
        <f t="shared" si="3"/>
        <v>10502</v>
      </c>
      <c r="CK31" s="3" t="str">
        <f t="shared" si="4"/>
        <v>برنامج دولى</v>
      </c>
    </row>
    <row r="32" spans="1:89" x14ac:dyDescent="0.25">
      <c r="D32" s="19">
        <v>17039</v>
      </c>
      <c r="E32" s="17">
        <v>10503</v>
      </c>
      <c r="F32" s="3" t="s">
        <v>78</v>
      </c>
      <c r="G32" s="19" t="s">
        <v>88</v>
      </c>
      <c r="I32" s="19">
        <v>63944.38</v>
      </c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2">
        <f t="shared" si="0"/>
        <v>63944.38</v>
      </c>
      <c r="AV32" s="19">
        <v>56467.56</v>
      </c>
      <c r="AW32" s="19">
        <v>6814.55</v>
      </c>
      <c r="AX32" s="19">
        <v>662.27</v>
      </c>
      <c r="AY32" s="21"/>
      <c r="AZ32" s="21"/>
      <c r="BA32" s="21"/>
      <c r="BB32" s="21"/>
      <c r="BC32" s="21"/>
      <c r="BD32" s="21"/>
      <c r="BE32" s="21"/>
      <c r="BF32" s="21"/>
      <c r="CH32" s="22">
        <f t="shared" si="1"/>
        <v>63944.38</v>
      </c>
      <c r="CI32" s="3">
        <f t="shared" si="2"/>
        <v>0</v>
      </c>
      <c r="CJ32" s="17">
        <f t="shared" si="3"/>
        <v>10503</v>
      </c>
      <c r="CK32" s="3" t="str">
        <f t="shared" si="4"/>
        <v>برنامج دولى</v>
      </c>
    </row>
    <row r="33" spans="3:89" x14ac:dyDescent="0.25">
      <c r="D33" s="19">
        <v>17042</v>
      </c>
      <c r="E33" s="20">
        <v>10504</v>
      </c>
      <c r="F33" s="3" t="s">
        <v>78</v>
      </c>
      <c r="G33" s="19" t="s">
        <v>89</v>
      </c>
      <c r="I33" s="19">
        <v>1195.95</v>
      </c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2">
        <f t="shared" si="0"/>
        <v>1195.95</v>
      </c>
      <c r="AV33" s="19">
        <v>799.35</v>
      </c>
      <c r="AW33" s="19">
        <f>102+6.45</f>
        <v>108.45</v>
      </c>
      <c r="AX33" s="19">
        <v>288.14999999999998</v>
      </c>
      <c r="AY33" s="21"/>
      <c r="AZ33" s="21"/>
      <c r="BA33" s="21"/>
      <c r="BB33" s="21"/>
      <c r="BC33" s="21"/>
      <c r="BD33" s="21"/>
      <c r="BE33" s="21"/>
      <c r="BF33" s="21"/>
      <c r="CH33" s="22">
        <f t="shared" si="1"/>
        <v>1195.95</v>
      </c>
      <c r="CI33" s="3">
        <f t="shared" si="2"/>
        <v>0</v>
      </c>
      <c r="CJ33" s="17">
        <f t="shared" si="3"/>
        <v>10504</v>
      </c>
      <c r="CK33" s="3" t="str">
        <f t="shared" si="4"/>
        <v>برنامج دولى</v>
      </c>
    </row>
    <row r="34" spans="3:89" x14ac:dyDescent="0.25">
      <c r="D34" s="19">
        <v>17043</v>
      </c>
      <c r="E34" s="17">
        <v>10505</v>
      </c>
      <c r="F34" s="3" t="s">
        <v>78</v>
      </c>
      <c r="G34" s="19" t="s">
        <v>89</v>
      </c>
      <c r="I34" s="19">
        <v>1596.79</v>
      </c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2">
        <f t="shared" si="0"/>
        <v>1596.79</v>
      </c>
      <c r="AV34" s="19">
        <v>1050.9100000000001</v>
      </c>
      <c r="AW34" s="19">
        <v>141.69999999999999</v>
      </c>
      <c r="AX34" s="19">
        <v>404.18</v>
      </c>
      <c r="AY34" s="21"/>
      <c r="AZ34" s="21"/>
      <c r="BA34" s="21"/>
      <c r="BB34" s="21"/>
      <c r="BC34" s="21"/>
      <c r="BD34" s="21"/>
      <c r="BE34" s="21"/>
      <c r="BF34" s="21"/>
      <c r="CH34" s="22">
        <f t="shared" si="1"/>
        <v>1596.7900000000002</v>
      </c>
      <c r="CI34" s="3">
        <f t="shared" si="2"/>
        <v>0</v>
      </c>
      <c r="CJ34" s="17">
        <f t="shared" si="3"/>
        <v>10505</v>
      </c>
      <c r="CK34" s="3" t="str">
        <f t="shared" si="4"/>
        <v>برنامج دولى</v>
      </c>
    </row>
    <row r="35" spans="3:89" x14ac:dyDescent="0.25">
      <c r="D35" s="19">
        <v>17044</v>
      </c>
      <c r="E35" s="17">
        <v>10506</v>
      </c>
      <c r="F35" s="3" t="s">
        <v>78</v>
      </c>
      <c r="G35" s="19" t="s">
        <v>89</v>
      </c>
      <c r="I35" s="19">
        <v>3127.9</v>
      </c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2">
        <f t="shared" si="0"/>
        <v>3127.9</v>
      </c>
      <c r="AV35" s="19">
        <v>2414.23</v>
      </c>
      <c r="AW35" s="19">
        <v>307.7</v>
      </c>
      <c r="AX35" s="19">
        <v>405.97</v>
      </c>
      <c r="AY35" s="21"/>
      <c r="AZ35" s="21"/>
      <c r="BA35" s="21"/>
      <c r="BB35" s="21"/>
      <c r="BC35" s="21"/>
      <c r="BD35" s="21"/>
      <c r="BE35" s="21"/>
      <c r="BF35" s="21"/>
      <c r="CH35" s="22">
        <f t="shared" si="1"/>
        <v>3127.8999999999996</v>
      </c>
      <c r="CI35" s="3">
        <f t="shared" si="2"/>
        <v>0</v>
      </c>
      <c r="CJ35" s="17">
        <f t="shared" si="3"/>
        <v>10506</v>
      </c>
      <c r="CK35" s="3" t="str">
        <f t="shared" si="4"/>
        <v>برنامج دولى</v>
      </c>
    </row>
    <row r="36" spans="3:89" x14ac:dyDescent="0.25">
      <c r="D36" s="19">
        <v>17045</v>
      </c>
      <c r="E36" s="20">
        <v>10507</v>
      </c>
      <c r="F36" s="3" t="s">
        <v>78</v>
      </c>
      <c r="G36" s="19" t="s">
        <v>89</v>
      </c>
      <c r="I36" s="19">
        <v>78820.710000000006</v>
      </c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2">
        <f t="shared" ref="AU36:AU67" si="5">SUM(I36:AS36)</f>
        <v>78820.710000000006</v>
      </c>
      <c r="AV36" s="19">
        <v>69661.350000000006</v>
      </c>
      <c r="AW36" s="19">
        <v>8404.85</v>
      </c>
      <c r="AX36" s="19">
        <v>754.51</v>
      </c>
      <c r="AY36" s="21"/>
      <c r="AZ36" s="21"/>
      <c r="BA36" s="21"/>
      <c r="BB36" s="21"/>
      <c r="BC36" s="21"/>
      <c r="BD36" s="21"/>
      <c r="BE36" s="21"/>
      <c r="BF36" s="21"/>
      <c r="CH36" s="22">
        <f t="shared" si="1"/>
        <v>78820.710000000006</v>
      </c>
      <c r="CI36" s="3">
        <f t="shared" si="2"/>
        <v>0</v>
      </c>
      <c r="CJ36" s="17">
        <f t="shared" si="3"/>
        <v>10507</v>
      </c>
      <c r="CK36" s="3" t="str">
        <f t="shared" si="4"/>
        <v>برنامج دولى</v>
      </c>
    </row>
    <row r="37" spans="3:89" x14ac:dyDescent="0.25">
      <c r="D37" s="19">
        <v>17031</v>
      </c>
      <c r="E37" s="17">
        <v>10508</v>
      </c>
      <c r="F37" s="3" t="s">
        <v>78</v>
      </c>
      <c r="G37" s="19" t="s">
        <v>90</v>
      </c>
      <c r="I37" s="19">
        <v>5565.53</v>
      </c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2">
        <f t="shared" si="5"/>
        <v>5565.53</v>
      </c>
      <c r="AV37" s="19">
        <v>4945.1499999999996</v>
      </c>
      <c r="AW37" s="19">
        <v>594.95000000000005</v>
      </c>
      <c r="AX37" s="19">
        <v>25.43</v>
      </c>
      <c r="AY37" s="21"/>
      <c r="AZ37" s="21"/>
      <c r="BA37" s="21"/>
      <c r="BB37" s="21"/>
      <c r="BC37" s="21"/>
      <c r="BD37" s="21"/>
      <c r="BE37" s="21"/>
      <c r="BF37" s="21"/>
      <c r="CH37" s="22">
        <f t="shared" si="1"/>
        <v>5565.53</v>
      </c>
      <c r="CI37" s="3">
        <f t="shared" si="2"/>
        <v>0</v>
      </c>
      <c r="CJ37" s="17">
        <f t="shared" si="3"/>
        <v>10508</v>
      </c>
      <c r="CK37" s="3" t="str">
        <f t="shared" si="4"/>
        <v>برنامج دولى</v>
      </c>
    </row>
    <row r="38" spans="3:89" x14ac:dyDescent="0.25">
      <c r="D38" s="19">
        <v>17032</v>
      </c>
      <c r="E38" s="17">
        <v>10509</v>
      </c>
      <c r="F38" s="3" t="s">
        <v>78</v>
      </c>
      <c r="G38" s="19" t="s">
        <v>90</v>
      </c>
      <c r="I38" s="19">
        <v>175.88</v>
      </c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2">
        <f t="shared" si="5"/>
        <v>175.88</v>
      </c>
      <c r="AV38" s="19">
        <v>118.15</v>
      </c>
      <c r="AW38" s="19">
        <v>15.35</v>
      </c>
      <c r="AX38" s="19">
        <v>42.38</v>
      </c>
      <c r="AY38" s="21"/>
      <c r="AZ38" s="21"/>
      <c r="BA38" s="21"/>
      <c r="BB38" s="21"/>
      <c r="BC38" s="21"/>
      <c r="BD38" s="21"/>
      <c r="BE38" s="21"/>
      <c r="BF38" s="21"/>
      <c r="CH38" s="22">
        <f t="shared" si="1"/>
        <v>175.88</v>
      </c>
      <c r="CI38" s="3">
        <f t="shared" si="2"/>
        <v>0</v>
      </c>
      <c r="CJ38" s="17">
        <f t="shared" si="3"/>
        <v>10509</v>
      </c>
      <c r="CK38" s="3" t="str">
        <f t="shared" si="4"/>
        <v>برنامج دولى</v>
      </c>
    </row>
    <row r="39" spans="3:89" x14ac:dyDescent="0.25">
      <c r="D39" s="19">
        <v>17030</v>
      </c>
      <c r="E39" s="20">
        <v>10510</v>
      </c>
      <c r="F39" s="3" t="s">
        <v>78</v>
      </c>
      <c r="G39" s="19" t="s">
        <v>90</v>
      </c>
      <c r="I39" s="19">
        <v>386.93</v>
      </c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2">
        <f t="shared" si="5"/>
        <v>386.93</v>
      </c>
      <c r="AV39" s="19">
        <v>260.2</v>
      </c>
      <c r="AW39" s="19">
        <v>33.5</v>
      </c>
      <c r="AX39" s="19">
        <v>93.23</v>
      </c>
      <c r="AY39" s="21"/>
      <c r="AZ39" s="21"/>
      <c r="BA39" s="21"/>
      <c r="BB39" s="21"/>
      <c r="BC39" s="21"/>
      <c r="BD39" s="21"/>
      <c r="BE39" s="21"/>
      <c r="BF39" s="21"/>
      <c r="CH39" s="22">
        <f t="shared" si="1"/>
        <v>386.93</v>
      </c>
      <c r="CI39" s="3">
        <f t="shared" si="2"/>
        <v>0</v>
      </c>
      <c r="CJ39" s="17">
        <f t="shared" si="3"/>
        <v>10510</v>
      </c>
      <c r="CK39" s="3" t="str">
        <f t="shared" si="4"/>
        <v>برنامج دولى</v>
      </c>
    </row>
    <row r="40" spans="3:89" x14ac:dyDescent="0.25">
      <c r="D40" s="19">
        <v>17176</v>
      </c>
      <c r="E40" s="17">
        <v>10511</v>
      </c>
      <c r="F40" s="3" t="s">
        <v>78</v>
      </c>
      <c r="G40" s="19" t="s">
        <v>91</v>
      </c>
      <c r="I40" s="19">
        <v>5000</v>
      </c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2">
        <f t="shared" si="5"/>
        <v>5000</v>
      </c>
      <c r="AV40" s="19">
        <v>4463.2</v>
      </c>
      <c r="AW40" s="19">
        <v>536.79999999999995</v>
      </c>
      <c r="AX40" s="19"/>
      <c r="AY40" s="21"/>
      <c r="AZ40" s="21"/>
      <c r="BA40" s="21"/>
      <c r="BB40" s="21"/>
      <c r="BC40" s="21"/>
      <c r="BD40" s="21"/>
      <c r="BE40" s="21"/>
      <c r="BF40" s="21"/>
      <c r="CH40" s="22">
        <f t="shared" si="1"/>
        <v>5000</v>
      </c>
      <c r="CI40" s="3">
        <f t="shared" si="2"/>
        <v>0</v>
      </c>
      <c r="CJ40" s="17">
        <f t="shared" si="3"/>
        <v>10511</v>
      </c>
      <c r="CK40" s="3" t="str">
        <f t="shared" si="4"/>
        <v>برنامج دولى</v>
      </c>
    </row>
    <row r="41" spans="3:89" x14ac:dyDescent="0.25">
      <c r="D41" s="19">
        <v>17175</v>
      </c>
      <c r="E41" s="17">
        <v>10512</v>
      </c>
      <c r="F41" s="3" t="s">
        <v>78</v>
      </c>
      <c r="G41" s="19" t="s">
        <v>92</v>
      </c>
      <c r="I41" s="19">
        <v>1407</v>
      </c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2">
        <f t="shared" si="5"/>
        <v>1407</v>
      </c>
      <c r="AV41" s="19">
        <v>939.35</v>
      </c>
      <c r="AW41" s="19">
        <f>120+8.65</f>
        <v>128.65</v>
      </c>
      <c r="AX41" s="19">
        <v>339</v>
      </c>
      <c r="AY41" s="21"/>
      <c r="AZ41" s="21"/>
      <c r="BA41" s="21"/>
      <c r="BB41" s="21"/>
      <c r="BC41" s="21"/>
      <c r="BD41" s="21"/>
      <c r="BE41" s="21"/>
      <c r="BF41" s="21"/>
      <c r="CH41" s="22">
        <f t="shared" si="1"/>
        <v>1407</v>
      </c>
      <c r="CI41" s="3">
        <f t="shared" si="2"/>
        <v>0</v>
      </c>
      <c r="CJ41" s="17">
        <f t="shared" si="3"/>
        <v>10512</v>
      </c>
      <c r="CK41" s="3" t="str">
        <f t="shared" si="4"/>
        <v>برنامج دولى</v>
      </c>
    </row>
    <row r="42" spans="3:89" x14ac:dyDescent="0.25">
      <c r="C42" s="21"/>
      <c r="D42" s="19">
        <v>17381</v>
      </c>
      <c r="E42" s="20">
        <v>10513</v>
      </c>
      <c r="F42" s="3" t="s">
        <v>78</v>
      </c>
      <c r="G42" s="19" t="s">
        <v>93</v>
      </c>
      <c r="I42" s="19">
        <v>1113.8800000000001</v>
      </c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2">
        <f t="shared" si="5"/>
        <v>1113.8800000000001</v>
      </c>
      <c r="AV42" s="19">
        <v>744.9</v>
      </c>
      <c r="AW42" s="19">
        <f>95+5.6</f>
        <v>100.6</v>
      </c>
      <c r="AX42" s="19">
        <v>268.38</v>
      </c>
      <c r="AY42" s="21"/>
      <c r="AZ42" s="21"/>
      <c r="BA42" s="21"/>
      <c r="BB42" s="21"/>
      <c r="BC42" s="21"/>
      <c r="BD42" s="21"/>
      <c r="BE42" s="21"/>
      <c r="BF42" s="21"/>
      <c r="CH42" s="22">
        <f t="shared" si="1"/>
        <v>1113.8800000000001</v>
      </c>
      <c r="CI42" s="3">
        <f t="shared" si="2"/>
        <v>0</v>
      </c>
      <c r="CJ42" s="17">
        <f t="shared" si="3"/>
        <v>10513</v>
      </c>
      <c r="CK42" s="3" t="str">
        <f t="shared" si="4"/>
        <v>برنامج دولى</v>
      </c>
    </row>
    <row r="43" spans="3:89" x14ac:dyDescent="0.25">
      <c r="D43" s="19">
        <v>17186</v>
      </c>
      <c r="E43" s="17">
        <v>10514</v>
      </c>
      <c r="F43" s="3" t="s">
        <v>78</v>
      </c>
      <c r="G43" s="19" t="s">
        <v>94</v>
      </c>
      <c r="I43" s="19">
        <v>1582.88</v>
      </c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2">
        <f t="shared" si="5"/>
        <v>1582.88</v>
      </c>
      <c r="AV43" s="19">
        <v>1057.8499999999999</v>
      </c>
      <c r="AW43" s="19">
        <v>143.65</v>
      </c>
      <c r="AX43" s="19">
        <v>381.38</v>
      </c>
      <c r="AY43" s="21"/>
      <c r="AZ43" s="21"/>
      <c r="BA43" s="21"/>
      <c r="BB43" s="21"/>
      <c r="BC43" s="21"/>
      <c r="BD43" s="21"/>
      <c r="BE43" s="21"/>
      <c r="BF43" s="21"/>
      <c r="CH43" s="22">
        <f t="shared" si="1"/>
        <v>1582.88</v>
      </c>
      <c r="CI43" s="3">
        <f t="shared" si="2"/>
        <v>0</v>
      </c>
      <c r="CJ43" s="17">
        <f t="shared" si="3"/>
        <v>10514</v>
      </c>
      <c r="CK43" s="3" t="str">
        <f t="shared" si="4"/>
        <v>برنامج دولى</v>
      </c>
    </row>
    <row r="44" spans="3:89" x14ac:dyDescent="0.25">
      <c r="D44" s="19">
        <v>17380</v>
      </c>
      <c r="E44" s="17">
        <v>10515</v>
      </c>
      <c r="F44" s="3" t="s">
        <v>78</v>
      </c>
      <c r="G44" s="19" t="s">
        <v>94</v>
      </c>
      <c r="I44" s="19">
        <v>527.63</v>
      </c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2">
        <f t="shared" si="5"/>
        <v>527.63</v>
      </c>
      <c r="AV44" s="19">
        <v>353.2</v>
      </c>
      <c r="AW44" s="19">
        <v>47.3</v>
      </c>
      <c r="AX44" s="19">
        <v>127.13</v>
      </c>
      <c r="AY44" s="21"/>
      <c r="AZ44" s="21"/>
      <c r="BA44" s="21"/>
      <c r="BB44" s="21"/>
      <c r="BC44" s="21"/>
      <c r="BD44" s="21"/>
      <c r="BE44" s="21"/>
      <c r="BF44" s="21"/>
      <c r="CH44" s="22">
        <f t="shared" si="1"/>
        <v>527.63</v>
      </c>
      <c r="CI44" s="3">
        <f t="shared" si="2"/>
        <v>0</v>
      </c>
      <c r="CJ44" s="17">
        <f t="shared" si="3"/>
        <v>10515</v>
      </c>
      <c r="CK44" s="3" t="str">
        <f t="shared" si="4"/>
        <v>برنامج دولى</v>
      </c>
    </row>
    <row r="45" spans="3:89" x14ac:dyDescent="0.25">
      <c r="D45" s="19">
        <v>17187</v>
      </c>
      <c r="E45" s="20">
        <v>10516</v>
      </c>
      <c r="F45" s="3" t="s">
        <v>78</v>
      </c>
      <c r="G45" s="19" t="s">
        <v>94</v>
      </c>
      <c r="I45" s="19">
        <v>527.62</v>
      </c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2">
        <f t="shared" si="5"/>
        <v>527.62</v>
      </c>
      <c r="AV45" s="19">
        <v>353.2</v>
      </c>
      <c r="AW45" s="19">
        <v>47.3</v>
      </c>
      <c r="AX45" s="19">
        <v>127.12</v>
      </c>
      <c r="AY45" s="21"/>
      <c r="AZ45" s="21"/>
      <c r="BA45" s="21"/>
      <c r="BB45" s="21"/>
      <c r="BC45" s="21"/>
      <c r="BD45" s="21"/>
      <c r="BE45" s="21"/>
      <c r="BF45" s="21"/>
      <c r="CH45" s="22">
        <f t="shared" si="1"/>
        <v>527.62</v>
      </c>
      <c r="CI45" s="3">
        <f t="shared" si="2"/>
        <v>0</v>
      </c>
      <c r="CJ45" s="17">
        <f t="shared" si="3"/>
        <v>10516</v>
      </c>
      <c r="CK45" s="3" t="str">
        <f t="shared" si="4"/>
        <v>برنامج دولى</v>
      </c>
    </row>
    <row r="46" spans="3:89" x14ac:dyDescent="0.25">
      <c r="D46" s="19">
        <v>17188</v>
      </c>
      <c r="E46" s="17">
        <v>10517</v>
      </c>
      <c r="F46" s="3" t="s">
        <v>78</v>
      </c>
      <c r="G46" s="19" t="s">
        <v>95</v>
      </c>
      <c r="I46" s="19">
        <v>1366.72</v>
      </c>
      <c r="AU46" s="10">
        <f t="shared" si="5"/>
        <v>1366.72</v>
      </c>
      <c r="AV46" s="19">
        <v>965.85</v>
      </c>
      <c r="AW46" s="19">
        <v>127.85</v>
      </c>
      <c r="AX46" s="19">
        <v>273.02</v>
      </c>
      <c r="CH46" s="22">
        <f t="shared" si="1"/>
        <v>1366.72</v>
      </c>
      <c r="CI46" s="3">
        <f t="shared" si="2"/>
        <v>0</v>
      </c>
      <c r="CJ46" s="17">
        <f t="shared" si="3"/>
        <v>10517</v>
      </c>
      <c r="CK46" s="3" t="str">
        <f t="shared" si="4"/>
        <v>برنامج دولى</v>
      </c>
    </row>
    <row r="47" spans="3:89" x14ac:dyDescent="0.25">
      <c r="D47" s="19">
        <v>17190</v>
      </c>
      <c r="E47" s="17">
        <v>10518</v>
      </c>
      <c r="F47" s="3" t="s">
        <v>78</v>
      </c>
      <c r="G47" s="19" t="s">
        <v>95</v>
      </c>
      <c r="I47" s="19">
        <v>1172.5</v>
      </c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2">
        <f t="shared" si="5"/>
        <v>1172.5</v>
      </c>
      <c r="AV47" s="19">
        <v>784.1</v>
      </c>
      <c r="AW47" s="19">
        <v>105.9</v>
      </c>
      <c r="AX47" s="19">
        <v>282.5</v>
      </c>
      <c r="AY47" s="21"/>
      <c r="AZ47" s="21"/>
      <c r="BA47" s="21"/>
      <c r="BB47" s="21"/>
      <c r="BC47" s="21"/>
      <c r="BD47" s="21"/>
      <c r="BE47" s="21"/>
      <c r="BF47" s="21"/>
      <c r="CH47" s="22">
        <f t="shared" si="1"/>
        <v>1172.5</v>
      </c>
      <c r="CI47" s="3">
        <f t="shared" si="2"/>
        <v>0</v>
      </c>
      <c r="CJ47" s="17">
        <f t="shared" si="3"/>
        <v>10518</v>
      </c>
      <c r="CK47" s="3" t="str">
        <f t="shared" si="4"/>
        <v>برنامج دولى</v>
      </c>
    </row>
    <row r="48" spans="3:89" x14ac:dyDescent="0.25">
      <c r="D48" s="19">
        <v>17189</v>
      </c>
      <c r="E48" s="20">
        <v>10519</v>
      </c>
      <c r="F48" s="3" t="s">
        <v>78</v>
      </c>
      <c r="G48" s="19" t="s">
        <v>95</v>
      </c>
      <c r="I48" s="19">
        <v>1172.5</v>
      </c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2">
        <f t="shared" si="5"/>
        <v>1172.5</v>
      </c>
      <c r="AV48" s="19">
        <v>784.1</v>
      </c>
      <c r="AW48" s="19">
        <v>105.9</v>
      </c>
      <c r="AX48" s="19">
        <v>282.5</v>
      </c>
      <c r="AY48" s="21"/>
      <c r="AZ48" s="21"/>
      <c r="BA48" s="21"/>
      <c r="BB48" s="21"/>
      <c r="BC48" s="21"/>
      <c r="BD48" s="21"/>
      <c r="BE48" s="21"/>
      <c r="BF48" s="21"/>
      <c r="CH48" s="22">
        <f t="shared" si="1"/>
        <v>1172.5</v>
      </c>
      <c r="CI48" s="3">
        <f t="shared" si="2"/>
        <v>0</v>
      </c>
      <c r="CJ48" s="17">
        <f t="shared" si="3"/>
        <v>10519</v>
      </c>
      <c r="CK48" s="3" t="str">
        <f t="shared" si="4"/>
        <v>برنامج دولى</v>
      </c>
    </row>
    <row r="49" spans="3:92" x14ac:dyDescent="0.25">
      <c r="D49" s="19">
        <v>17191</v>
      </c>
      <c r="E49" s="17">
        <v>10520</v>
      </c>
      <c r="F49" s="3" t="s">
        <v>78</v>
      </c>
      <c r="G49" s="19" t="s">
        <v>96</v>
      </c>
      <c r="I49" s="19">
        <v>14157.94</v>
      </c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2">
        <f t="shared" si="5"/>
        <v>14157.94</v>
      </c>
      <c r="AV49" s="19">
        <v>9811.7999999999993</v>
      </c>
      <c r="AW49" s="19">
        <v>934.95</v>
      </c>
      <c r="AX49" s="19">
        <v>3411.19</v>
      </c>
      <c r="AY49" s="21"/>
      <c r="AZ49" s="21"/>
      <c r="BA49" s="21"/>
      <c r="BB49" s="21"/>
      <c r="BC49" s="21"/>
      <c r="BD49" s="21"/>
      <c r="BE49" s="21"/>
      <c r="BF49" s="21"/>
      <c r="CH49" s="22">
        <f t="shared" si="1"/>
        <v>14157.94</v>
      </c>
      <c r="CI49" s="3">
        <f t="shared" si="2"/>
        <v>0</v>
      </c>
      <c r="CJ49" s="17">
        <f t="shared" si="3"/>
        <v>10520</v>
      </c>
      <c r="CK49" s="3" t="str">
        <f t="shared" si="4"/>
        <v>برنامج دولى</v>
      </c>
    </row>
    <row r="50" spans="3:92" x14ac:dyDescent="0.25">
      <c r="D50" s="19">
        <v>17192</v>
      </c>
      <c r="E50" s="17">
        <v>10521</v>
      </c>
      <c r="F50" s="3" t="s">
        <v>78</v>
      </c>
      <c r="G50" s="19" t="s">
        <v>96</v>
      </c>
      <c r="I50" s="19">
        <v>3605.44</v>
      </c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2">
        <f t="shared" si="5"/>
        <v>3605.44</v>
      </c>
      <c r="AV50" s="19">
        <v>2409.1</v>
      </c>
      <c r="AW50" s="19">
        <v>327.64999999999998</v>
      </c>
      <c r="AX50" s="19">
        <v>868.69</v>
      </c>
      <c r="AY50" s="21"/>
      <c r="AZ50" s="21"/>
      <c r="BA50" s="21"/>
      <c r="BB50" s="21"/>
      <c r="BC50" s="21"/>
      <c r="BD50" s="21"/>
      <c r="BE50" s="21"/>
      <c r="BF50" s="21"/>
      <c r="CH50" s="22">
        <f t="shared" si="1"/>
        <v>3605.44</v>
      </c>
      <c r="CI50" s="3">
        <f t="shared" si="2"/>
        <v>0</v>
      </c>
      <c r="CJ50" s="17">
        <f t="shared" si="3"/>
        <v>10521</v>
      </c>
      <c r="CK50" s="3" t="str">
        <f t="shared" si="4"/>
        <v>برنامج دولى</v>
      </c>
    </row>
    <row r="51" spans="3:92" x14ac:dyDescent="0.25">
      <c r="D51" s="19">
        <v>17193</v>
      </c>
      <c r="E51" s="20">
        <v>10522</v>
      </c>
      <c r="F51" s="3" t="s">
        <v>78</v>
      </c>
      <c r="G51" s="19" t="s">
        <v>97</v>
      </c>
      <c r="I51" s="19">
        <v>5137.76</v>
      </c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2">
        <f t="shared" si="5"/>
        <v>5137.76</v>
      </c>
      <c r="AV51" s="19">
        <v>3460.44</v>
      </c>
      <c r="AW51" s="19">
        <v>469.1</v>
      </c>
      <c r="AX51" s="19">
        <v>1208.22</v>
      </c>
      <c r="AY51" s="21"/>
      <c r="AZ51" s="21"/>
      <c r="BA51" s="21"/>
      <c r="BB51" s="21"/>
      <c r="BC51" s="21"/>
      <c r="BD51" s="21"/>
      <c r="BE51" s="21"/>
      <c r="BF51" s="21"/>
      <c r="CH51" s="22">
        <f t="shared" si="1"/>
        <v>5137.76</v>
      </c>
      <c r="CI51" s="3">
        <f t="shared" si="2"/>
        <v>0</v>
      </c>
      <c r="CJ51" s="17">
        <f t="shared" si="3"/>
        <v>10522</v>
      </c>
      <c r="CK51" s="3" t="str">
        <f t="shared" si="4"/>
        <v>برنامج دولى</v>
      </c>
    </row>
    <row r="52" spans="3:92" x14ac:dyDescent="0.25">
      <c r="D52" s="19">
        <v>17194</v>
      </c>
      <c r="E52" s="17">
        <v>10523</v>
      </c>
      <c r="F52" s="3" t="s">
        <v>78</v>
      </c>
      <c r="G52" s="19" t="s">
        <v>97</v>
      </c>
      <c r="I52" s="19">
        <v>10083.5</v>
      </c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2">
        <f t="shared" si="5"/>
        <v>10083.5</v>
      </c>
      <c r="AV52" s="19">
        <v>6737.3</v>
      </c>
      <c r="AW52" s="19">
        <v>916.7</v>
      </c>
      <c r="AX52" s="19">
        <v>2429.5</v>
      </c>
      <c r="AY52" s="21"/>
      <c r="AZ52" s="21"/>
      <c r="BA52" s="21"/>
      <c r="BB52" s="21"/>
      <c r="BC52" s="21"/>
      <c r="BD52" s="21"/>
      <c r="BE52" s="21"/>
      <c r="BF52" s="21"/>
      <c r="CH52" s="22">
        <f t="shared" si="1"/>
        <v>10083.5</v>
      </c>
      <c r="CI52" s="3">
        <f t="shared" si="2"/>
        <v>0</v>
      </c>
      <c r="CJ52" s="17">
        <f t="shared" si="3"/>
        <v>10523</v>
      </c>
      <c r="CK52" s="3" t="str">
        <f t="shared" si="4"/>
        <v>برنامج دولى</v>
      </c>
    </row>
    <row r="53" spans="3:92" x14ac:dyDescent="0.25">
      <c r="D53" s="19">
        <v>17195</v>
      </c>
      <c r="E53" s="17">
        <v>10524</v>
      </c>
      <c r="F53" s="3" t="s">
        <v>78</v>
      </c>
      <c r="G53" s="19" t="s">
        <v>98</v>
      </c>
      <c r="I53" s="19">
        <v>1758.75</v>
      </c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2">
        <f t="shared" si="5"/>
        <v>1758.75</v>
      </c>
      <c r="AV53" s="19">
        <v>1177.2</v>
      </c>
      <c r="AW53" s="19">
        <v>157.80000000000001</v>
      </c>
      <c r="AX53" s="19">
        <v>423.75</v>
      </c>
      <c r="AY53" s="21"/>
      <c r="AZ53" s="21"/>
      <c r="BA53" s="21"/>
      <c r="BB53" s="21"/>
      <c r="BC53" s="21"/>
      <c r="BD53" s="21"/>
      <c r="BE53" s="21"/>
      <c r="BF53" s="21"/>
      <c r="CH53" s="22">
        <f t="shared" si="1"/>
        <v>1758.75</v>
      </c>
      <c r="CI53" s="3">
        <f t="shared" si="2"/>
        <v>0</v>
      </c>
      <c r="CJ53" s="17">
        <f t="shared" si="3"/>
        <v>10524</v>
      </c>
      <c r="CK53" s="3" t="str">
        <f t="shared" si="4"/>
        <v>برنامج دولى</v>
      </c>
    </row>
    <row r="54" spans="3:92" x14ac:dyDescent="0.25">
      <c r="D54" s="19">
        <v>17196</v>
      </c>
      <c r="E54" s="20">
        <v>10525</v>
      </c>
      <c r="F54" s="3" t="s">
        <v>78</v>
      </c>
      <c r="G54" s="19" t="s">
        <v>98</v>
      </c>
      <c r="I54" s="19">
        <v>586.25</v>
      </c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2">
        <f t="shared" si="5"/>
        <v>586.25</v>
      </c>
      <c r="AV54" s="19">
        <v>392.4</v>
      </c>
      <c r="AW54" s="19">
        <v>52.6</v>
      </c>
      <c r="AX54" s="19">
        <v>141.25</v>
      </c>
      <c r="AY54" s="21"/>
      <c r="AZ54" s="21"/>
      <c r="BA54" s="21"/>
      <c r="BB54" s="21"/>
      <c r="BC54" s="21"/>
      <c r="BD54" s="21"/>
      <c r="BE54" s="21"/>
      <c r="BF54" s="21"/>
      <c r="CH54" s="22">
        <f t="shared" si="1"/>
        <v>586.25</v>
      </c>
      <c r="CI54" s="3">
        <f t="shared" si="2"/>
        <v>0</v>
      </c>
      <c r="CJ54" s="17">
        <f t="shared" si="3"/>
        <v>10525</v>
      </c>
      <c r="CK54" s="3" t="str">
        <f t="shared" si="4"/>
        <v>برنامج دولى</v>
      </c>
    </row>
    <row r="55" spans="3:92" x14ac:dyDescent="0.25">
      <c r="D55" s="19">
        <v>17197</v>
      </c>
      <c r="E55" s="17">
        <v>10526</v>
      </c>
      <c r="F55" s="3" t="s">
        <v>78</v>
      </c>
      <c r="G55" s="19" t="s">
        <v>99</v>
      </c>
      <c r="I55" s="19">
        <v>938</v>
      </c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2">
        <f t="shared" si="5"/>
        <v>938</v>
      </c>
      <c r="AV55" s="19">
        <v>627.35</v>
      </c>
      <c r="AW55" s="19">
        <v>84.65</v>
      </c>
      <c r="AX55" s="19">
        <v>226</v>
      </c>
      <c r="AY55" s="21"/>
      <c r="AZ55" s="21"/>
      <c r="BA55" s="21"/>
      <c r="BB55" s="21"/>
      <c r="BC55" s="21"/>
      <c r="BD55" s="21"/>
      <c r="BE55" s="21"/>
      <c r="BF55" s="21"/>
      <c r="CH55" s="22">
        <f t="shared" si="1"/>
        <v>938</v>
      </c>
      <c r="CI55" s="3">
        <f t="shared" si="2"/>
        <v>0</v>
      </c>
      <c r="CJ55" s="17">
        <f t="shared" si="3"/>
        <v>10526</v>
      </c>
      <c r="CK55" s="3" t="str">
        <f t="shared" si="4"/>
        <v>برنامج دولى</v>
      </c>
    </row>
    <row r="56" spans="3:92" x14ac:dyDescent="0.25">
      <c r="D56" s="19">
        <v>17198</v>
      </c>
      <c r="E56" s="17">
        <v>10527</v>
      </c>
      <c r="F56" s="3" t="s">
        <v>78</v>
      </c>
      <c r="G56" s="19" t="s">
        <v>100</v>
      </c>
      <c r="I56" s="19">
        <v>410.38</v>
      </c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2">
        <f t="shared" si="5"/>
        <v>410.38</v>
      </c>
      <c r="AV56" s="19">
        <v>274.8</v>
      </c>
      <c r="AW56" s="19">
        <v>36.700000000000003</v>
      </c>
      <c r="AX56" s="19">
        <v>98.88</v>
      </c>
      <c r="AY56" s="21"/>
      <c r="AZ56" s="21"/>
      <c r="BA56" s="21"/>
      <c r="BB56" s="21"/>
      <c r="BC56" s="21"/>
      <c r="BD56" s="21"/>
      <c r="BE56" s="21"/>
      <c r="BF56" s="21"/>
      <c r="CH56" s="22">
        <f t="shared" si="1"/>
        <v>410.38</v>
      </c>
      <c r="CI56" s="3">
        <f t="shared" si="2"/>
        <v>0</v>
      </c>
      <c r="CJ56" s="17">
        <f t="shared" si="3"/>
        <v>10527</v>
      </c>
      <c r="CK56" s="3" t="str">
        <f t="shared" si="4"/>
        <v>برنامج دولى</v>
      </c>
      <c r="CN56" s="3">
        <f>259.8+779.4+36</f>
        <v>1075.2</v>
      </c>
    </row>
    <row r="57" spans="3:92" x14ac:dyDescent="0.25">
      <c r="D57" s="19">
        <v>17199</v>
      </c>
      <c r="E57" s="20">
        <v>10528</v>
      </c>
      <c r="F57" s="3" t="s">
        <v>78</v>
      </c>
      <c r="G57" s="19" t="s">
        <v>101</v>
      </c>
      <c r="I57" s="19">
        <v>1758.75</v>
      </c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2">
        <f t="shared" si="5"/>
        <v>1758.75</v>
      </c>
      <c r="AV57" s="19">
        <v>1175.3499999999999</v>
      </c>
      <c r="AW57" s="19">
        <v>159.65</v>
      </c>
      <c r="AX57" s="19">
        <v>423.75</v>
      </c>
      <c r="AY57" s="21"/>
      <c r="AZ57" s="21"/>
      <c r="BA57" s="21"/>
      <c r="BB57" s="21"/>
      <c r="BC57" s="21"/>
      <c r="BD57" s="21"/>
      <c r="BE57" s="21"/>
      <c r="BF57" s="21"/>
      <c r="CH57" s="22">
        <f t="shared" si="1"/>
        <v>1758.75</v>
      </c>
      <c r="CI57" s="3">
        <f t="shared" si="2"/>
        <v>0</v>
      </c>
      <c r="CJ57" s="17">
        <f t="shared" si="3"/>
        <v>10528</v>
      </c>
      <c r="CK57" s="3" t="str">
        <f t="shared" si="4"/>
        <v>برنامج دولى</v>
      </c>
    </row>
    <row r="58" spans="3:92" x14ac:dyDescent="0.25">
      <c r="D58" s="19">
        <v>17200</v>
      </c>
      <c r="E58" s="17">
        <v>10529</v>
      </c>
      <c r="F58" s="3" t="s">
        <v>78</v>
      </c>
      <c r="G58" s="19" t="s">
        <v>102</v>
      </c>
      <c r="I58" s="19">
        <v>1758.75</v>
      </c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2">
        <f t="shared" si="5"/>
        <v>1758.75</v>
      </c>
      <c r="AV58" s="19">
        <v>1175.3499999999999</v>
      </c>
      <c r="AW58" s="19">
        <v>159.65</v>
      </c>
      <c r="AX58" s="19">
        <v>423.75</v>
      </c>
      <c r="AY58" s="21"/>
      <c r="AZ58" s="21"/>
      <c r="BA58" s="21"/>
      <c r="BB58" s="21"/>
      <c r="BC58" s="21"/>
      <c r="BD58" s="21"/>
      <c r="BE58" s="21"/>
      <c r="BF58" s="21"/>
      <c r="CH58" s="22">
        <f t="shared" si="1"/>
        <v>1758.75</v>
      </c>
      <c r="CI58" s="3">
        <f t="shared" si="2"/>
        <v>0</v>
      </c>
      <c r="CJ58" s="17">
        <f t="shared" si="3"/>
        <v>10529</v>
      </c>
      <c r="CK58" s="3" t="str">
        <f t="shared" si="4"/>
        <v>برنامج دولى</v>
      </c>
    </row>
    <row r="59" spans="3:92" x14ac:dyDescent="0.25">
      <c r="D59" s="19">
        <v>17201</v>
      </c>
      <c r="E59" s="17">
        <v>10530</v>
      </c>
      <c r="F59" s="3" t="s">
        <v>78</v>
      </c>
      <c r="G59" s="19" t="s">
        <v>103</v>
      </c>
      <c r="I59" s="19">
        <v>7555.72</v>
      </c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2">
        <f t="shared" si="5"/>
        <v>7555.72</v>
      </c>
      <c r="AV59" s="19">
        <v>6659.52</v>
      </c>
      <c r="AW59" s="19">
        <v>804.95</v>
      </c>
      <c r="AX59" s="19">
        <v>91.25</v>
      </c>
      <c r="AY59" s="21"/>
      <c r="AZ59" s="21"/>
      <c r="BA59" s="21"/>
      <c r="BB59" s="21"/>
      <c r="BC59" s="21"/>
      <c r="BD59" s="21"/>
      <c r="BE59" s="21"/>
      <c r="BF59" s="21"/>
      <c r="CH59" s="22">
        <f t="shared" si="1"/>
        <v>7555.72</v>
      </c>
      <c r="CI59" s="3">
        <f t="shared" si="2"/>
        <v>0</v>
      </c>
      <c r="CJ59" s="17">
        <f t="shared" si="3"/>
        <v>10530</v>
      </c>
      <c r="CK59" s="3" t="str">
        <f t="shared" si="4"/>
        <v>برنامج دولى</v>
      </c>
    </row>
    <row r="60" spans="3:92" x14ac:dyDescent="0.25">
      <c r="C60" s="21"/>
      <c r="D60" s="19">
        <v>17202</v>
      </c>
      <c r="E60" s="20">
        <v>10531</v>
      </c>
      <c r="F60" s="3" t="s">
        <v>78</v>
      </c>
      <c r="G60" s="19" t="s">
        <v>103</v>
      </c>
      <c r="I60" s="19">
        <v>12500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2">
        <f t="shared" si="5"/>
        <v>12500</v>
      </c>
      <c r="AV60" s="19">
        <v>11158</v>
      </c>
      <c r="AW60" s="19">
        <v>1342</v>
      </c>
      <c r="AX60" s="19"/>
      <c r="AY60" s="21"/>
      <c r="AZ60" s="21"/>
      <c r="BA60" s="21"/>
      <c r="BB60" s="21"/>
      <c r="BC60" s="21"/>
      <c r="BD60" s="21"/>
      <c r="BE60" s="21"/>
      <c r="BF60" s="21"/>
      <c r="CH60" s="22">
        <f t="shared" si="1"/>
        <v>12500</v>
      </c>
      <c r="CI60" s="3">
        <f t="shared" si="2"/>
        <v>0</v>
      </c>
      <c r="CJ60" s="17">
        <f t="shared" si="3"/>
        <v>10531</v>
      </c>
      <c r="CK60" s="3" t="str">
        <f t="shared" si="4"/>
        <v>برنامج دولى</v>
      </c>
    </row>
    <row r="61" spans="3:92" x14ac:dyDescent="0.25">
      <c r="D61" s="19">
        <v>17203</v>
      </c>
      <c r="E61" s="17">
        <v>10532</v>
      </c>
      <c r="F61" s="3" t="s">
        <v>78</v>
      </c>
      <c r="G61" s="19" t="s">
        <v>104</v>
      </c>
      <c r="I61" s="19">
        <v>351.75</v>
      </c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2">
        <f t="shared" si="5"/>
        <v>351.75</v>
      </c>
      <c r="AV61" s="19">
        <v>235.55</v>
      </c>
      <c r="AW61" s="19">
        <v>31.45</v>
      </c>
      <c r="AX61" s="19">
        <v>84.75</v>
      </c>
      <c r="AY61" s="21"/>
      <c r="AZ61" s="21"/>
      <c r="BA61" s="21"/>
      <c r="BB61" s="21"/>
      <c r="BC61" s="21"/>
      <c r="BD61" s="21"/>
      <c r="BE61" s="21"/>
      <c r="BF61" s="21"/>
      <c r="CH61" s="22">
        <f t="shared" si="1"/>
        <v>351.75</v>
      </c>
      <c r="CI61" s="3">
        <f t="shared" si="2"/>
        <v>0</v>
      </c>
      <c r="CJ61" s="17">
        <f t="shared" si="3"/>
        <v>10532</v>
      </c>
      <c r="CK61" s="3" t="str">
        <f t="shared" si="4"/>
        <v>برنامج دولى</v>
      </c>
    </row>
    <row r="62" spans="3:92" x14ac:dyDescent="0.25">
      <c r="D62" s="19">
        <v>17206</v>
      </c>
      <c r="E62" s="17">
        <v>10533</v>
      </c>
      <c r="F62" s="3" t="s">
        <v>78</v>
      </c>
      <c r="G62" s="19" t="s">
        <v>105</v>
      </c>
      <c r="I62" s="19">
        <v>1172.5</v>
      </c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2">
        <f t="shared" si="5"/>
        <v>1172.5</v>
      </c>
      <c r="AV62" s="19">
        <v>784.1</v>
      </c>
      <c r="AW62" s="19">
        <v>105.9</v>
      </c>
      <c r="AX62" s="19">
        <v>282.5</v>
      </c>
      <c r="AY62" s="21"/>
      <c r="AZ62" s="21"/>
      <c r="BA62" s="21"/>
      <c r="BB62" s="21"/>
      <c r="BC62" s="21"/>
      <c r="BD62" s="21"/>
      <c r="BE62" s="21"/>
      <c r="BF62" s="21"/>
      <c r="CH62" s="22">
        <f t="shared" si="1"/>
        <v>1172.5</v>
      </c>
      <c r="CI62" s="3">
        <f t="shared" si="2"/>
        <v>0</v>
      </c>
      <c r="CJ62" s="17">
        <f t="shared" si="3"/>
        <v>10533</v>
      </c>
      <c r="CK62" s="3" t="str">
        <f t="shared" si="4"/>
        <v>برنامج دولى</v>
      </c>
    </row>
    <row r="63" spans="3:92" x14ac:dyDescent="0.25">
      <c r="D63" s="19">
        <v>17207</v>
      </c>
      <c r="E63" s="20">
        <v>10534</v>
      </c>
      <c r="F63" s="3" t="s">
        <v>78</v>
      </c>
      <c r="G63" s="19" t="s">
        <v>106</v>
      </c>
      <c r="I63" s="19">
        <v>3283</v>
      </c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2">
        <f t="shared" si="5"/>
        <v>3283</v>
      </c>
      <c r="AV63" s="19">
        <v>2195.9</v>
      </c>
      <c r="AW63" s="19">
        <f>280+16.1</f>
        <v>296.10000000000002</v>
      </c>
      <c r="AX63" s="19">
        <v>791</v>
      </c>
      <c r="AY63" s="21"/>
      <c r="AZ63" s="21"/>
      <c r="BA63" s="21"/>
      <c r="BB63" s="21"/>
      <c r="BC63" s="21"/>
      <c r="BD63" s="21"/>
      <c r="BE63" s="21"/>
      <c r="BF63" s="21"/>
      <c r="CH63" s="22">
        <f t="shared" si="1"/>
        <v>3283</v>
      </c>
      <c r="CI63" s="3">
        <f t="shared" si="2"/>
        <v>0</v>
      </c>
      <c r="CJ63" s="17">
        <f t="shared" si="3"/>
        <v>10534</v>
      </c>
      <c r="CK63" s="3" t="str">
        <f t="shared" si="4"/>
        <v>برنامج دولى</v>
      </c>
    </row>
    <row r="64" spans="3:92" x14ac:dyDescent="0.25">
      <c r="D64" s="19">
        <v>17185</v>
      </c>
      <c r="E64" s="17">
        <v>10535</v>
      </c>
      <c r="F64" s="3" t="s">
        <v>78</v>
      </c>
      <c r="G64" s="19" t="s">
        <v>107</v>
      </c>
      <c r="I64" s="19">
        <v>2110.5</v>
      </c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2">
        <f t="shared" si="5"/>
        <v>2110.5</v>
      </c>
      <c r="AV64" s="19">
        <v>1410.35</v>
      </c>
      <c r="AW64" s="19">
        <v>191.65</v>
      </c>
      <c r="AX64" s="19">
        <v>508.5</v>
      </c>
      <c r="AY64" s="21"/>
      <c r="AZ64" s="21"/>
      <c r="BA64" s="21"/>
      <c r="BB64" s="21"/>
      <c r="BC64" s="21"/>
      <c r="BD64" s="21"/>
      <c r="BE64" s="21"/>
      <c r="BF64" s="21"/>
      <c r="CH64" s="22">
        <f t="shared" si="1"/>
        <v>2110.5</v>
      </c>
      <c r="CI64" s="3">
        <f t="shared" si="2"/>
        <v>0</v>
      </c>
      <c r="CJ64" s="17">
        <f t="shared" si="3"/>
        <v>10535</v>
      </c>
      <c r="CK64" s="3" t="str">
        <f t="shared" si="4"/>
        <v>برنامج دولى</v>
      </c>
    </row>
    <row r="65" spans="3:89" x14ac:dyDescent="0.25">
      <c r="D65" s="19">
        <v>17183</v>
      </c>
      <c r="E65" s="17">
        <v>10536</v>
      </c>
      <c r="F65" s="3" t="s">
        <v>78</v>
      </c>
      <c r="G65" s="19" t="s">
        <v>108</v>
      </c>
      <c r="I65" s="19">
        <v>17874.84</v>
      </c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2">
        <f t="shared" si="5"/>
        <v>17874.84</v>
      </c>
      <c r="AV65" s="19">
        <v>11804.68</v>
      </c>
      <c r="AW65" s="19">
        <v>1607.75</v>
      </c>
      <c r="AX65" s="19">
        <v>4462.41</v>
      </c>
      <c r="AY65" s="21"/>
      <c r="AZ65" s="21"/>
      <c r="BA65" s="21"/>
      <c r="BB65" s="21"/>
      <c r="BC65" s="21"/>
      <c r="BD65" s="21"/>
      <c r="BE65" s="21"/>
      <c r="BF65" s="21"/>
      <c r="CH65" s="22">
        <f t="shared" si="1"/>
        <v>17874.84</v>
      </c>
      <c r="CI65" s="3">
        <f t="shared" si="2"/>
        <v>0</v>
      </c>
      <c r="CJ65" s="17">
        <f t="shared" si="3"/>
        <v>10536</v>
      </c>
      <c r="CK65" s="3" t="str">
        <f t="shared" si="4"/>
        <v>برنامج دولى</v>
      </c>
    </row>
    <row r="66" spans="3:89" x14ac:dyDescent="0.25">
      <c r="D66" s="19">
        <v>17184</v>
      </c>
      <c r="E66" s="20">
        <v>10537</v>
      </c>
      <c r="F66" s="3" t="s">
        <v>78</v>
      </c>
      <c r="G66" s="19" t="s">
        <v>108</v>
      </c>
      <c r="I66" s="19">
        <v>8442</v>
      </c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2">
        <f t="shared" si="5"/>
        <v>8442</v>
      </c>
      <c r="AV66" s="19">
        <v>5642.95</v>
      </c>
      <c r="AW66" s="19">
        <v>765.05</v>
      </c>
      <c r="AX66" s="19">
        <v>2034</v>
      </c>
      <c r="AY66" s="21"/>
      <c r="AZ66" s="21"/>
      <c r="BA66" s="21"/>
      <c r="BB66" s="21"/>
      <c r="BC66" s="21"/>
      <c r="BD66" s="21"/>
      <c r="BE66" s="21"/>
      <c r="BF66" s="21"/>
      <c r="CH66" s="22">
        <f t="shared" si="1"/>
        <v>8442</v>
      </c>
      <c r="CI66" s="3">
        <f t="shared" si="2"/>
        <v>0</v>
      </c>
      <c r="CJ66" s="17">
        <f t="shared" si="3"/>
        <v>10537</v>
      </c>
      <c r="CK66" s="3" t="str">
        <f t="shared" si="4"/>
        <v>برنامج دولى</v>
      </c>
    </row>
    <row r="67" spans="3:89" x14ac:dyDescent="0.25">
      <c r="C67" s="21"/>
      <c r="D67" s="19">
        <v>17181</v>
      </c>
      <c r="E67" s="17">
        <v>10538</v>
      </c>
      <c r="F67" s="3" t="s">
        <v>78</v>
      </c>
      <c r="G67" s="19" t="s">
        <v>109</v>
      </c>
      <c r="I67" s="19">
        <v>3517.5</v>
      </c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2">
        <f t="shared" si="5"/>
        <v>3517.5</v>
      </c>
      <c r="AV67" s="19">
        <v>2350.35</v>
      </c>
      <c r="AW67" s="19">
        <v>319.64999999999998</v>
      </c>
      <c r="AX67" s="19">
        <v>847.5</v>
      </c>
      <c r="AY67" s="21"/>
      <c r="AZ67" s="21"/>
      <c r="BA67" s="21"/>
      <c r="BB67" s="21"/>
      <c r="BC67" s="21"/>
      <c r="BD67" s="21"/>
      <c r="BE67" s="21"/>
      <c r="BF67" s="21"/>
      <c r="CH67" s="22">
        <f t="shared" si="1"/>
        <v>3517.5</v>
      </c>
      <c r="CI67" s="3">
        <f t="shared" si="2"/>
        <v>0</v>
      </c>
      <c r="CJ67" s="17">
        <f t="shared" si="3"/>
        <v>10538</v>
      </c>
      <c r="CK67" s="3" t="str">
        <f t="shared" si="4"/>
        <v>برنامج دولى</v>
      </c>
    </row>
    <row r="68" spans="3:89" x14ac:dyDescent="0.25">
      <c r="C68" s="3"/>
      <c r="D68" s="19">
        <v>17182</v>
      </c>
      <c r="E68" s="17">
        <v>10539</v>
      </c>
      <c r="F68" s="3" t="s">
        <v>78</v>
      </c>
      <c r="G68" s="19" t="s">
        <v>109</v>
      </c>
      <c r="I68" s="19">
        <v>2579.5</v>
      </c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2">
        <f t="shared" ref="AU68:AU82" si="6">SUM(I68:AS68)</f>
        <v>2579.5</v>
      </c>
      <c r="AV68" s="19">
        <v>1723.65</v>
      </c>
      <c r="AW68" s="19">
        <v>234.35</v>
      </c>
      <c r="AX68" s="19">
        <v>621.5</v>
      </c>
      <c r="AY68" s="21"/>
      <c r="AZ68" s="21"/>
      <c r="BA68" s="21"/>
      <c r="BB68" s="21"/>
      <c r="BC68" s="21"/>
      <c r="BD68" s="21"/>
      <c r="BE68" s="21"/>
      <c r="BF68" s="21"/>
      <c r="CH68" s="22">
        <f t="shared" ref="CH68:CH131" si="7">SUM(AV68:CG68)</f>
        <v>2579.5</v>
      </c>
      <c r="CI68" s="3">
        <f t="shared" ref="CI68:CI131" si="8">+CH68-AU68</f>
        <v>0</v>
      </c>
      <c r="CJ68" s="17">
        <f t="shared" ref="CJ68:CJ131" si="9">+E68</f>
        <v>10539</v>
      </c>
      <c r="CK68" s="3" t="str">
        <f t="shared" ref="CK68:CK131" si="10">+F68</f>
        <v>برنامج دولى</v>
      </c>
    </row>
    <row r="69" spans="3:89" x14ac:dyDescent="0.25">
      <c r="C69" s="3"/>
      <c r="D69" s="19">
        <v>17179</v>
      </c>
      <c r="E69" s="20">
        <v>10540</v>
      </c>
      <c r="F69" s="3" t="s">
        <v>78</v>
      </c>
      <c r="G69" s="19" t="s">
        <v>110</v>
      </c>
      <c r="I69" s="19">
        <v>2696.75</v>
      </c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2">
        <f t="shared" si="6"/>
        <v>2696.75</v>
      </c>
      <c r="AV69" s="19">
        <v>1802</v>
      </c>
      <c r="AW69" s="19">
        <v>245</v>
      </c>
      <c r="AX69" s="19">
        <v>649.75</v>
      </c>
      <c r="AY69" s="21"/>
      <c r="AZ69" s="21"/>
      <c r="BA69" s="21"/>
      <c r="BB69" s="21"/>
      <c r="BC69" s="21"/>
      <c r="BD69" s="21"/>
      <c r="BE69" s="21"/>
      <c r="BF69" s="21"/>
      <c r="CH69" s="22">
        <f t="shared" si="7"/>
        <v>2696.75</v>
      </c>
      <c r="CI69" s="3">
        <f t="shared" si="8"/>
        <v>0</v>
      </c>
      <c r="CJ69" s="17">
        <f t="shared" si="9"/>
        <v>10540</v>
      </c>
      <c r="CK69" s="3" t="str">
        <f t="shared" si="10"/>
        <v>برنامج دولى</v>
      </c>
    </row>
    <row r="70" spans="3:89" x14ac:dyDescent="0.25">
      <c r="D70" s="19">
        <v>17180</v>
      </c>
      <c r="E70" s="17">
        <v>10541</v>
      </c>
      <c r="F70" s="3" t="s">
        <v>78</v>
      </c>
      <c r="G70" s="19" t="s">
        <v>110</v>
      </c>
      <c r="I70" s="19">
        <v>3283</v>
      </c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2">
        <f t="shared" si="6"/>
        <v>3283</v>
      </c>
      <c r="AV70" s="19">
        <v>2194.4499999999998</v>
      </c>
      <c r="AW70" s="19">
        <v>297.55</v>
      </c>
      <c r="AX70" s="19">
        <v>791</v>
      </c>
      <c r="AY70" s="21"/>
      <c r="AZ70" s="21"/>
      <c r="BA70" s="21"/>
      <c r="BB70" s="21"/>
      <c r="BC70" s="21"/>
      <c r="BD70" s="21"/>
      <c r="BE70" s="21"/>
      <c r="BF70" s="21"/>
      <c r="CH70" s="22">
        <f t="shared" si="7"/>
        <v>3283</v>
      </c>
      <c r="CI70" s="3">
        <f t="shared" si="8"/>
        <v>0</v>
      </c>
      <c r="CJ70" s="17">
        <f t="shared" si="9"/>
        <v>10541</v>
      </c>
      <c r="CK70" s="3" t="str">
        <f t="shared" si="10"/>
        <v>برنامج دولى</v>
      </c>
    </row>
    <row r="71" spans="3:89" x14ac:dyDescent="0.25">
      <c r="D71" s="19">
        <v>17393</v>
      </c>
      <c r="E71" s="17">
        <v>10542</v>
      </c>
      <c r="F71" s="3" t="s">
        <v>78</v>
      </c>
      <c r="G71" s="19" t="s">
        <v>111</v>
      </c>
      <c r="H71" s="19"/>
      <c r="I71" s="19">
        <v>10728.37</v>
      </c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2">
        <f t="shared" si="6"/>
        <v>10728.37</v>
      </c>
      <c r="AV71" s="19">
        <v>7168.8</v>
      </c>
      <c r="AW71" s="19">
        <v>974.7</v>
      </c>
      <c r="AX71" s="19">
        <v>2584.87</v>
      </c>
      <c r="AY71" s="21"/>
      <c r="AZ71" s="21"/>
      <c r="BA71" s="21"/>
      <c r="BB71" s="21"/>
      <c r="BC71" s="21"/>
      <c r="BD71" s="21"/>
      <c r="BE71" s="21"/>
      <c r="BF71" s="21"/>
      <c r="CH71" s="22">
        <f t="shared" si="7"/>
        <v>10728.369999999999</v>
      </c>
      <c r="CI71" s="3">
        <f t="shared" si="8"/>
        <v>0</v>
      </c>
      <c r="CJ71" s="17">
        <f t="shared" si="9"/>
        <v>10542</v>
      </c>
      <c r="CK71" s="3" t="str">
        <f t="shared" si="10"/>
        <v>برنامج دولى</v>
      </c>
    </row>
    <row r="72" spans="3:89" x14ac:dyDescent="0.25">
      <c r="C72" s="21"/>
      <c r="D72" s="19">
        <v>17392</v>
      </c>
      <c r="E72" s="20">
        <v>10543</v>
      </c>
      <c r="F72" s="3" t="s">
        <v>78</v>
      </c>
      <c r="G72" s="19" t="s">
        <v>111</v>
      </c>
      <c r="H72" s="19"/>
      <c r="I72" s="19">
        <v>3195.06</v>
      </c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2">
        <f t="shared" si="6"/>
        <v>3195.06</v>
      </c>
      <c r="AV72" s="19">
        <v>2134.9</v>
      </c>
      <c r="AW72" s="19">
        <v>290.35000000000002</v>
      </c>
      <c r="AX72" s="19">
        <v>769.81</v>
      </c>
      <c r="AY72" s="21"/>
      <c r="AZ72" s="21"/>
      <c r="BA72" s="21"/>
      <c r="BB72" s="21"/>
      <c r="BC72" s="21"/>
      <c r="BD72" s="21"/>
      <c r="BE72" s="21"/>
      <c r="BF72" s="21"/>
      <c r="CH72" s="22">
        <f t="shared" si="7"/>
        <v>3195.06</v>
      </c>
      <c r="CI72" s="3">
        <f t="shared" si="8"/>
        <v>0</v>
      </c>
      <c r="CJ72" s="17">
        <f t="shared" si="9"/>
        <v>10543</v>
      </c>
      <c r="CK72" s="3" t="str">
        <f t="shared" si="10"/>
        <v>برنامج دولى</v>
      </c>
    </row>
    <row r="73" spans="3:89" x14ac:dyDescent="0.25">
      <c r="D73" s="19">
        <v>17326</v>
      </c>
      <c r="E73" s="17">
        <v>10544</v>
      </c>
      <c r="F73" s="3" t="s">
        <v>78</v>
      </c>
      <c r="G73" s="19" t="s">
        <v>112</v>
      </c>
      <c r="H73" s="19"/>
      <c r="I73" s="19">
        <v>9082.92</v>
      </c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2">
        <f t="shared" si="6"/>
        <v>9082.92</v>
      </c>
      <c r="AV73" s="19">
        <v>6206.55</v>
      </c>
      <c r="AW73" s="3">
        <v>816.3</v>
      </c>
      <c r="AX73" s="19">
        <v>2060.0700000000002</v>
      </c>
      <c r="AY73" s="21"/>
      <c r="AZ73" s="21"/>
      <c r="BA73" s="21"/>
      <c r="BB73" s="21"/>
      <c r="BC73" s="21"/>
      <c r="BD73" s="21"/>
      <c r="BE73" s="21"/>
      <c r="BF73" s="21"/>
      <c r="CH73" s="22">
        <f t="shared" si="7"/>
        <v>9082.92</v>
      </c>
      <c r="CI73" s="3">
        <f t="shared" si="8"/>
        <v>0</v>
      </c>
      <c r="CJ73" s="17">
        <f t="shared" si="9"/>
        <v>10544</v>
      </c>
      <c r="CK73" s="3" t="str">
        <f t="shared" si="10"/>
        <v>برنامج دولى</v>
      </c>
    </row>
    <row r="74" spans="3:89" x14ac:dyDescent="0.25">
      <c r="D74" s="19">
        <v>17394</v>
      </c>
      <c r="E74" s="17">
        <v>10545</v>
      </c>
      <c r="F74" s="3" t="s">
        <v>78</v>
      </c>
      <c r="G74" s="19" t="s">
        <v>112</v>
      </c>
      <c r="H74" s="19"/>
      <c r="I74" s="19">
        <v>351.75</v>
      </c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2">
        <f t="shared" si="6"/>
        <v>351.75</v>
      </c>
      <c r="AV74" s="19">
        <v>235.55</v>
      </c>
      <c r="AW74" s="19">
        <v>31.45</v>
      </c>
      <c r="AX74" s="19">
        <v>84.75</v>
      </c>
      <c r="AY74" s="21"/>
      <c r="AZ74" s="21"/>
      <c r="BA74" s="21"/>
      <c r="BB74" s="21"/>
      <c r="BC74" s="21"/>
      <c r="BD74" s="21"/>
      <c r="BE74" s="21"/>
      <c r="BF74" s="21"/>
      <c r="CH74" s="22">
        <f t="shared" si="7"/>
        <v>351.75</v>
      </c>
      <c r="CI74" s="3">
        <f t="shared" si="8"/>
        <v>0</v>
      </c>
      <c r="CJ74" s="17">
        <f t="shared" si="9"/>
        <v>10545</v>
      </c>
      <c r="CK74" s="3" t="str">
        <f t="shared" si="10"/>
        <v>برنامج دولى</v>
      </c>
    </row>
    <row r="75" spans="3:89" ht="31.5" x14ac:dyDescent="0.25">
      <c r="D75" s="19">
        <v>17395</v>
      </c>
      <c r="E75" s="20">
        <v>10546</v>
      </c>
      <c r="F75" s="3" t="s">
        <v>78</v>
      </c>
      <c r="G75" s="213" t="s">
        <v>113</v>
      </c>
      <c r="H75" s="19"/>
      <c r="I75" s="19">
        <v>938</v>
      </c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2">
        <f t="shared" si="6"/>
        <v>938</v>
      </c>
      <c r="AV75" s="19">
        <v>627.35</v>
      </c>
      <c r="AW75" s="19">
        <v>84.65</v>
      </c>
      <c r="AX75" s="19">
        <v>226</v>
      </c>
      <c r="AY75" s="21"/>
      <c r="AZ75" s="21"/>
      <c r="BA75" s="21"/>
      <c r="BB75" s="21"/>
      <c r="BC75" s="21"/>
      <c r="BD75" s="21"/>
      <c r="BE75" s="21"/>
      <c r="BF75" s="21"/>
      <c r="CH75" s="22">
        <f t="shared" si="7"/>
        <v>938</v>
      </c>
      <c r="CI75" s="3">
        <f t="shared" si="8"/>
        <v>0</v>
      </c>
      <c r="CJ75" s="17">
        <f t="shared" si="9"/>
        <v>10546</v>
      </c>
      <c r="CK75" s="3" t="str">
        <f t="shared" si="10"/>
        <v>برنامج دولى</v>
      </c>
    </row>
    <row r="76" spans="3:89" ht="31.5" x14ac:dyDescent="0.25">
      <c r="D76" s="19">
        <v>17378</v>
      </c>
      <c r="E76" s="17">
        <v>10547</v>
      </c>
      <c r="F76" s="3" t="s">
        <v>78</v>
      </c>
      <c r="G76" s="213" t="s">
        <v>113</v>
      </c>
      <c r="H76" s="19"/>
      <c r="I76" s="19">
        <v>1407</v>
      </c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2">
        <f t="shared" si="6"/>
        <v>1407</v>
      </c>
      <c r="AV76" s="19">
        <v>940.35</v>
      </c>
      <c r="AW76" s="19">
        <v>127.65</v>
      </c>
      <c r="AX76" s="19">
        <v>339</v>
      </c>
      <c r="AY76" s="21"/>
      <c r="AZ76" s="21"/>
      <c r="BA76" s="21"/>
      <c r="BB76" s="21"/>
      <c r="BC76" s="21"/>
      <c r="BD76" s="21"/>
      <c r="BE76" s="21"/>
      <c r="BF76" s="21"/>
      <c r="CH76" s="22">
        <f t="shared" si="7"/>
        <v>1407</v>
      </c>
      <c r="CI76" s="3">
        <f t="shared" si="8"/>
        <v>0</v>
      </c>
      <c r="CJ76" s="17">
        <f t="shared" si="9"/>
        <v>10547</v>
      </c>
      <c r="CK76" s="3" t="str">
        <f t="shared" si="10"/>
        <v>برنامج دولى</v>
      </c>
    </row>
    <row r="77" spans="3:89" ht="31.5" x14ac:dyDescent="0.25">
      <c r="D77" s="19">
        <v>17376</v>
      </c>
      <c r="E77" s="17">
        <v>10548</v>
      </c>
      <c r="F77" s="3" t="s">
        <v>78</v>
      </c>
      <c r="G77" s="213" t="s">
        <v>113</v>
      </c>
      <c r="H77" s="19"/>
      <c r="I77" s="19">
        <v>938</v>
      </c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2">
        <f t="shared" si="6"/>
        <v>938</v>
      </c>
      <c r="AV77" s="19">
        <v>627.35</v>
      </c>
      <c r="AW77" s="19">
        <v>84.65</v>
      </c>
      <c r="AX77" s="19">
        <v>226</v>
      </c>
      <c r="AY77" s="21"/>
      <c r="AZ77" s="21"/>
      <c r="BA77" s="21"/>
      <c r="BB77" s="21"/>
      <c r="BC77" s="21"/>
      <c r="BD77" s="21"/>
      <c r="BE77" s="21"/>
      <c r="BF77" s="21"/>
      <c r="CH77" s="22">
        <f t="shared" si="7"/>
        <v>938</v>
      </c>
      <c r="CI77" s="3">
        <f t="shared" si="8"/>
        <v>0</v>
      </c>
      <c r="CJ77" s="17">
        <f t="shared" si="9"/>
        <v>10548</v>
      </c>
      <c r="CK77" s="3" t="str">
        <f t="shared" si="10"/>
        <v>برنامج دولى</v>
      </c>
    </row>
    <row r="78" spans="3:89" x14ac:dyDescent="0.25">
      <c r="D78" s="19">
        <v>17302</v>
      </c>
      <c r="E78" s="20">
        <v>10549</v>
      </c>
      <c r="F78" s="3" t="s">
        <v>78</v>
      </c>
      <c r="G78" s="19" t="s">
        <v>114</v>
      </c>
      <c r="H78" s="19"/>
      <c r="I78" s="19">
        <v>20523.599999999999</v>
      </c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2">
        <f t="shared" si="6"/>
        <v>20523.599999999999</v>
      </c>
      <c r="AV78" s="19">
        <v>18360.04</v>
      </c>
      <c r="AW78" s="19">
        <v>2163.56</v>
      </c>
      <c r="AX78" s="19"/>
      <c r="AY78" s="21"/>
      <c r="AZ78" s="21"/>
      <c r="BA78" s="21"/>
      <c r="BB78" s="21"/>
      <c r="BC78" s="21"/>
      <c r="BD78" s="21"/>
      <c r="BE78" s="21"/>
      <c r="BF78" s="21"/>
      <c r="CH78" s="22">
        <f t="shared" si="7"/>
        <v>20523.600000000002</v>
      </c>
      <c r="CI78" s="3">
        <f t="shared" si="8"/>
        <v>0</v>
      </c>
      <c r="CJ78" s="17">
        <f t="shared" si="9"/>
        <v>10549</v>
      </c>
      <c r="CK78" s="3" t="str">
        <f t="shared" si="10"/>
        <v>برنامج دولى</v>
      </c>
    </row>
    <row r="79" spans="3:89" x14ac:dyDescent="0.25">
      <c r="D79" s="19">
        <v>17301</v>
      </c>
      <c r="E79" s="17">
        <v>10550</v>
      </c>
      <c r="F79" s="3" t="s">
        <v>78</v>
      </c>
      <c r="G79" s="19" t="s">
        <v>114</v>
      </c>
      <c r="H79" s="19"/>
      <c r="I79" s="19">
        <v>18624.32</v>
      </c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2">
        <f t="shared" si="6"/>
        <v>18624.32</v>
      </c>
      <c r="AV79" s="19">
        <v>16656.39</v>
      </c>
      <c r="AW79" s="19">
        <v>1967.93</v>
      </c>
      <c r="AX79" s="19"/>
      <c r="AY79" s="21"/>
      <c r="AZ79" s="21"/>
      <c r="BA79" s="21"/>
      <c r="BB79" s="21"/>
      <c r="BC79" s="21"/>
      <c r="BD79" s="21"/>
      <c r="BE79" s="21"/>
      <c r="BF79" s="21"/>
      <c r="CH79" s="22">
        <f t="shared" si="7"/>
        <v>18624.32</v>
      </c>
      <c r="CI79" s="3">
        <f t="shared" si="8"/>
        <v>0</v>
      </c>
      <c r="CJ79" s="17">
        <f t="shared" si="9"/>
        <v>10550</v>
      </c>
      <c r="CK79" s="3" t="str">
        <f t="shared" si="10"/>
        <v>برنامج دولى</v>
      </c>
    </row>
    <row r="80" spans="3:89" x14ac:dyDescent="0.25">
      <c r="D80" s="19">
        <v>17303</v>
      </c>
      <c r="E80" s="17">
        <v>10551</v>
      </c>
      <c r="F80" s="3" t="s">
        <v>78</v>
      </c>
      <c r="G80" s="19" t="s">
        <v>115</v>
      </c>
      <c r="H80" s="19"/>
      <c r="I80" s="19">
        <v>6800.5</v>
      </c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2">
        <f t="shared" si="6"/>
        <v>6800.5</v>
      </c>
      <c r="AV80" s="19">
        <v>4548.3999999999996</v>
      </c>
      <c r="AW80" s="19">
        <v>613.6</v>
      </c>
      <c r="AX80" s="19">
        <v>1638.5</v>
      </c>
      <c r="AY80" s="21"/>
      <c r="AZ80" s="21"/>
      <c r="BA80" s="21"/>
      <c r="BB80" s="21"/>
      <c r="BC80" s="21"/>
      <c r="BD80" s="21"/>
      <c r="BE80" s="21"/>
      <c r="BF80" s="21"/>
      <c r="CH80" s="22">
        <f t="shared" si="7"/>
        <v>6800.5</v>
      </c>
      <c r="CI80" s="3">
        <f t="shared" si="8"/>
        <v>0</v>
      </c>
      <c r="CJ80" s="17">
        <f t="shared" si="9"/>
        <v>10551</v>
      </c>
      <c r="CK80" s="3" t="str">
        <f t="shared" si="10"/>
        <v>برنامج دولى</v>
      </c>
    </row>
    <row r="81" spans="4:89" x14ac:dyDescent="0.25">
      <c r="D81" s="19">
        <v>17304</v>
      </c>
      <c r="E81" s="11">
        <v>10552</v>
      </c>
      <c r="F81" s="3" t="s">
        <v>78</v>
      </c>
      <c r="G81" s="19" t="s">
        <v>115</v>
      </c>
      <c r="H81" s="19"/>
      <c r="I81" s="19">
        <v>1993.25</v>
      </c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2">
        <f t="shared" si="6"/>
        <v>1993.25</v>
      </c>
      <c r="AV81" s="19">
        <v>1333.05</v>
      </c>
      <c r="AW81" s="19">
        <v>179.95</v>
      </c>
      <c r="AX81" s="19">
        <v>480.25</v>
      </c>
      <c r="AY81" s="21"/>
      <c r="AZ81" s="21"/>
      <c r="BA81" s="21"/>
      <c r="BB81" s="21"/>
      <c r="BC81" s="21"/>
      <c r="BD81" s="21"/>
      <c r="BE81" s="21"/>
      <c r="BF81" s="21"/>
      <c r="CH81" s="22">
        <f t="shared" si="7"/>
        <v>1993.25</v>
      </c>
      <c r="CI81" s="3">
        <f t="shared" si="8"/>
        <v>0</v>
      </c>
      <c r="CJ81" s="17">
        <f t="shared" si="9"/>
        <v>10552</v>
      </c>
      <c r="CK81" s="3" t="str">
        <f t="shared" si="10"/>
        <v>برنامج دولى</v>
      </c>
    </row>
    <row r="82" spans="4:89" x14ac:dyDescent="0.25">
      <c r="D82" s="19">
        <v>17305</v>
      </c>
      <c r="E82" s="17">
        <v>10553</v>
      </c>
      <c r="F82" s="3" t="s">
        <v>78</v>
      </c>
      <c r="G82" s="19" t="s">
        <v>115</v>
      </c>
      <c r="H82" s="19"/>
      <c r="I82" s="19">
        <v>3048.5</v>
      </c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2">
        <f t="shared" si="6"/>
        <v>3048.5</v>
      </c>
      <c r="AV82" s="19">
        <v>2037.55</v>
      </c>
      <c r="AW82" s="19">
        <f>260+16.45</f>
        <v>276.45</v>
      </c>
      <c r="AX82" s="19">
        <v>734.5</v>
      </c>
      <c r="AY82" s="21"/>
      <c r="AZ82" s="21"/>
      <c r="BA82" s="21"/>
      <c r="BB82" s="21"/>
      <c r="BC82" s="21"/>
      <c r="BD82" s="21"/>
      <c r="BE82" s="21"/>
      <c r="BF82" s="21"/>
      <c r="CH82" s="22">
        <f t="shared" si="7"/>
        <v>3048.5</v>
      </c>
      <c r="CI82" s="3">
        <f t="shared" si="8"/>
        <v>0</v>
      </c>
      <c r="CJ82" s="17">
        <f t="shared" si="9"/>
        <v>10553</v>
      </c>
      <c r="CK82" s="3" t="str">
        <f t="shared" si="10"/>
        <v>برنامج دولى</v>
      </c>
    </row>
    <row r="83" spans="4:89" x14ac:dyDescent="0.25">
      <c r="D83" s="19">
        <v>18030</v>
      </c>
      <c r="E83" s="17">
        <v>10554</v>
      </c>
      <c r="F83" s="3" t="s">
        <v>116</v>
      </c>
      <c r="G83" s="19" t="s">
        <v>117</v>
      </c>
      <c r="H83" s="19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19">
        <v>2606.0100000000002</v>
      </c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2">
        <f t="shared" ref="AU83:AU91" si="11">SUM(J83:AS83)</f>
        <v>2606.0100000000002</v>
      </c>
      <c r="AV83" s="19">
        <v>2606.0100000000002</v>
      </c>
      <c r="AW83" s="19"/>
      <c r="AX83" s="19"/>
      <c r="AY83" s="21"/>
      <c r="AZ83" s="21"/>
      <c r="BA83" s="21"/>
      <c r="BB83" s="21"/>
      <c r="BC83" s="21"/>
      <c r="BD83" s="21"/>
      <c r="BE83" s="21"/>
      <c r="BF83" s="21"/>
      <c r="CH83" s="22">
        <f t="shared" si="7"/>
        <v>2606.0100000000002</v>
      </c>
      <c r="CI83" s="3">
        <f t="shared" si="8"/>
        <v>0</v>
      </c>
      <c r="CJ83" s="17">
        <f t="shared" si="9"/>
        <v>10554</v>
      </c>
      <c r="CK83" s="3" t="str">
        <f t="shared" si="10"/>
        <v>اتحاد صيدلة</v>
      </c>
    </row>
    <row r="84" spans="4:89" x14ac:dyDescent="0.25">
      <c r="D84" s="19">
        <v>18031</v>
      </c>
      <c r="E84" s="17">
        <v>10555</v>
      </c>
      <c r="F84" s="3" t="s">
        <v>132</v>
      </c>
      <c r="G84" s="19" t="s">
        <v>117</v>
      </c>
      <c r="H84" s="19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19">
        <v>50829.27</v>
      </c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2">
        <f t="shared" si="11"/>
        <v>50829.27</v>
      </c>
      <c r="AV84" s="19">
        <v>50829.27</v>
      </c>
      <c r="AW84" s="19"/>
      <c r="AX84" s="19"/>
      <c r="AY84" s="21"/>
      <c r="AZ84" s="21"/>
      <c r="BA84" s="21"/>
      <c r="BB84" s="21"/>
      <c r="BC84" s="21"/>
      <c r="BD84" s="21"/>
      <c r="BE84" s="21"/>
      <c r="BF84" s="21"/>
      <c r="CH84" s="22">
        <f t="shared" si="7"/>
        <v>50829.27</v>
      </c>
      <c r="CI84" s="3">
        <f t="shared" si="8"/>
        <v>0</v>
      </c>
      <c r="CJ84" s="17">
        <f t="shared" si="9"/>
        <v>10555</v>
      </c>
      <c r="CK84" s="3" t="str">
        <f t="shared" si="10"/>
        <v>صيدلة اكلينيكى</v>
      </c>
    </row>
    <row r="85" spans="4:89" x14ac:dyDescent="0.25">
      <c r="D85" s="19">
        <v>18032</v>
      </c>
      <c r="E85" s="17">
        <v>10556</v>
      </c>
      <c r="F85" s="3" t="s">
        <v>119</v>
      </c>
      <c r="G85" s="19" t="s">
        <v>120</v>
      </c>
      <c r="H85" s="19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19">
        <v>5992.27</v>
      </c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2">
        <f t="shared" si="11"/>
        <v>5992.27</v>
      </c>
      <c r="AV85" s="19">
        <v>5992.27</v>
      </c>
      <c r="AW85" s="19"/>
      <c r="AX85" s="19"/>
      <c r="AY85" s="21"/>
      <c r="AZ85" s="21"/>
      <c r="BA85" s="21"/>
      <c r="BB85" s="21"/>
      <c r="BC85" s="21"/>
      <c r="BD85" s="21"/>
      <c r="BE85" s="21"/>
      <c r="BF85" s="21"/>
      <c r="CH85" s="22">
        <f t="shared" si="7"/>
        <v>5992.27</v>
      </c>
      <c r="CI85" s="3">
        <f t="shared" si="8"/>
        <v>0</v>
      </c>
      <c r="CJ85" s="17">
        <f t="shared" si="9"/>
        <v>10556</v>
      </c>
      <c r="CK85" s="3" t="str">
        <f t="shared" si="10"/>
        <v>خ ت صيدلة</v>
      </c>
    </row>
    <row r="86" spans="4:89" x14ac:dyDescent="0.25">
      <c r="D86" s="19">
        <v>18033</v>
      </c>
      <c r="E86" s="17">
        <v>10557</v>
      </c>
      <c r="F86" s="3" t="s">
        <v>249</v>
      </c>
      <c r="G86" s="19" t="s">
        <v>120</v>
      </c>
      <c r="H86" s="19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19">
        <v>16216.53</v>
      </c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2">
        <f t="shared" si="11"/>
        <v>16216.53</v>
      </c>
      <c r="AV86" s="19">
        <v>16216.53</v>
      </c>
      <c r="AW86" s="19"/>
      <c r="AX86" s="19"/>
      <c r="AY86" s="21"/>
      <c r="AZ86" s="21"/>
      <c r="BA86" s="21"/>
      <c r="BB86" s="21"/>
      <c r="BC86" s="21"/>
      <c r="BD86" s="21"/>
      <c r="BE86" s="21"/>
      <c r="BF86" s="21"/>
      <c r="CH86" s="22">
        <f t="shared" si="7"/>
        <v>16216.53</v>
      </c>
      <c r="CI86" s="3">
        <f t="shared" si="8"/>
        <v>0</v>
      </c>
      <c r="CJ86" s="17">
        <f t="shared" si="9"/>
        <v>10557</v>
      </c>
      <c r="CK86" s="3" t="str">
        <f t="shared" si="10"/>
        <v>خدمة عامة</v>
      </c>
    </row>
    <row r="87" spans="4:89" x14ac:dyDescent="0.25">
      <c r="D87" s="19">
        <v>18034</v>
      </c>
      <c r="E87" s="17">
        <v>10558</v>
      </c>
      <c r="F87" s="3" t="s">
        <v>121</v>
      </c>
      <c r="G87" s="19" t="s">
        <v>120</v>
      </c>
      <c r="H87" s="19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19">
        <v>197367.4</v>
      </c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2">
        <f t="shared" si="11"/>
        <v>197367.4</v>
      </c>
      <c r="AV87" s="19">
        <v>197367.4</v>
      </c>
      <c r="AW87" s="19"/>
      <c r="AX87" s="19"/>
      <c r="AY87" s="21"/>
      <c r="AZ87" s="21"/>
      <c r="BA87" s="21"/>
      <c r="BB87" s="21"/>
      <c r="BC87" s="21"/>
      <c r="BD87" s="21"/>
      <c r="BE87" s="21"/>
      <c r="BF87" s="21"/>
      <c r="CH87" s="22">
        <f t="shared" si="7"/>
        <v>197367.4</v>
      </c>
      <c r="CI87" s="3">
        <f t="shared" si="8"/>
        <v>0</v>
      </c>
      <c r="CJ87" s="17">
        <f t="shared" si="9"/>
        <v>10558</v>
      </c>
      <c r="CK87" s="3" t="str">
        <f t="shared" si="10"/>
        <v>ماليزى اسنان</v>
      </c>
    </row>
    <row r="88" spans="4:89" x14ac:dyDescent="0.25">
      <c r="D88" s="19">
        <v>18035</v>
      </c>
      <c r="E88" s="17">
        <v>10559</v>
      </c>
      <c r="F88" s="3" t="s">
        <v>122</v>
      </c>
      <c r="G88" s="19" t="s">
        <v>120</v>
      </c>
      <c r="H88" s="19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19">
        <v>4643.46</v>
      </c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2">
        <f t="shared" si="11"/>
        <v>4643.46</v>
      </c>
      <c r="AV88" s="19">
        <v>4643.46</v>
      </c>
      <c r="AW88" s="19"/>
      <c r="AX88" s="19"/>
      <c r="AY88" s="21"/>
      <c r="AZ88" s="21"/>
      <c r="BA88" s="21"/>
      <c r="BB88" s="21"/>
      <c r="BC88" s="21"/>
      <c r="BD88" s="21"/>
      <c r="BE88" s="21"/>
      <c r="BF88" s="21"/>
      <c r="CH88" s="22">
        <f t="shared" si="7"/>
        <v>4643.46</v>
      </c>
      <c r="CI88" s="3">
        <f t="shared" si="8"/>
        <v>0</v>
      </c>
      <c r="CJ88" s="17">
        <f t="shared" si="9"/>
        <v>10559</v>
      </c>
      <c r="CK88" s="3" t="str">
        <f t="shared" si="10"/>
        <v>علاج تخصصى</v>
      </c>
    </row>
    <row r="89" spans="4:89" x14ac:dyDescent="0.25">
      <c r="D89" s="19">
        <v>18036</v>
      </c>
      <c r="E89" s="17">
        <v>10560</v>
      </c>
      <c r="F89" s="3" t="s">
        <v>123</v>
      </c>
      <c r="G89" s="19" t="s">
        <v>120</v>
      </c>
      <c r="H89" s="19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19">
        <v>50286</v>
      </c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2">
        <f t="shared" si="11"/>
        <v>50286</v>
      </c>
      <c r="AV89" s="19">
        <v>50286</v>
      </c>
      <c r="AW89" s="19"/>
      <c r="AX89" s="19"/>
      <c r="AY89" s="21"/>
      <c r="AZ89" s="21"/>
      <c r="BA89" s="21"/>
      <c r="BB89" s="21"/>
      <c r="BC89" s="21"/>
      <c r="BD89" s="21"/>
      <c r="BE89" s="21"/>
      <c r="BF89" s="21"/>
      <c r="CH89" s="22">
        <f t="shared" si="7"/>
        <v>50286</v>
      </c>
      <c r="CI89" s="3">
        <f t="shared" si="8"/>
        <v>0</v>
      </c>
      <c r="CJ89" s="17">
        <f t="shared" si="9"/>
        <v>10560</v>
      </c>
      <c r="CK89" s="3" t="str">
        <f t="shared" si="10"/>
        <v>خ ت اسنان</v>
      </c>
    </row>
    <row r="90" spans="4:89" x14ac:dyDescent="0.25">
      <c r="D90" s="19">
        <v>18037</v>
      </c>
      <c r="E90" s="17">
        <v>10561</v>
      </c>
      <c r="F90" s="3" t="s">
        <v>124</v>
      </c>
      <c r="G90" s="19" t="s">
        <v>120</v>
      </c>
      <c r="H90" s="19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19">
        <v>69.19</v>
      </c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2">
        <f t="shared" si="11"/>
        <v>69.19</v>
      </c>
      <c r="AV90" s="19">
        <v>69.19</v>
      </c>
      <c r="AW90" s="19"/>
      <c r="AX90" s="19"/>
      <c r="AY90" s="21"/>
      <c r="AZ90" s="21"/>
      <c r="BA90" s="21"/>
      <c r="BB90" s="21"/>
      <c r="BC90" s="21"/>
      <c r="BD90" s="21"/>
      <c r="BE90" s="21"/>
      <c r="BF90" s="21"/>
      <c r="CH90" s="22">
        <f t="shared" si="7"/>
        <v>69.19</v>
      </c>
      <c r="CI90" s="3">
        <f t="shared" si="8"/>
        <v>0</v>
      </c>
      <c r="CJ90" s="17">
        <f t="shared" si="9"/>
        <v>10561</v>
      </c>
      <c r="CK90" s="3" t="str">
        <f t="shared" si="10"/>
        <v>تكافل اسنان</v>
      </c>
    </row>
    <row r="91" spans="4:89" x14ac:dyDescent="0.25">
      <c r="D91" s="19">
        <v>18038</v>
      </c>
      <c r="E91" s="17">
        <v>10562</v>
      </c>
      <c r="F91" s="3" t="s">
        <v>125</v>
      </c>
      <c r="G91" s="19" t="s">
        <v>120</v>
      </c>
      <c r="H91" s="19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19">
        <v>797.93</v>
      </c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2">
        <f t="shared" si="11"/>
        <v>797.93</v>
      </c>
      <c r="AV91" s="19">
        <v>797.93</v>
      </c>
      <c r="AW91" s="19"/>
      <c r="AX91" s="19"/>
      <c r="AY91" s="21"/>
      <c r="AZ91" s="21"/>
      <c r="BA91" s="21"/>
      <c r="BB91" s="21"/>
      <c r="BC91" s="21"/>
      <c r="BD91" s="21"/>
      <c r="BE91" s="21"/>
      <c r="BF91" s="21"/>
      <c r="CH91" s="22">
        <f t="shared" si="7"/>
        <v>797.93</v>
      </c>
      <c r="CI91" s="3">
        <f t="shared" si="8"/>
        <v>0</v>
      </c>
      <c r="CJ91" s="17">
        <f t="shared" si="9"/>
        <v>10562</v>
      </c>
      <c r="CK91" s="3" t="str">
        <f t="shared" si="10"/>
        <v>اختبار مواد</v>
      </c>
    </row>
    <row r="92" spans="4:89" x14ac:dyDescent="0.25">
      <c r="D92" s="19">
        <v>17306</v>
      </c>
      <c r="E92" s="17">
        <v>10563</v>
      </c>
      <c r="F92" s="3" t="s">
        <v>78</v>
      </c>
      <c r="G92" s="19" t="s">
        <v>126</v>
      </c>
      <c r="H92" s="19"/>
      <c r="I92" s="19">
        <v>1518.46</v>
      </c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2">
        <f>SUM(I92:AS92)</f>
        <v>1518.46</v>
      </c>
      <c r="AV92" s="19">
        <v>869.83</v>
      </c>
      <c r="AW92" s="19">
        <v>127.1</v>
      </c>
      <c r="AX92" s="19">
        <v>521.53</v>
      </c>
      <c r="AY92" s="21"/>
      <c r="AZ92" s="21"/>
      <c r="BA92" s="21"/>
      <c r="BB92" s="21"/>
      <c r="BC92" s="21"/>
      <c r="BD92" s="21"/>
      <c r="BE92" s="21"/>
      <c r="BF92" s="21"/>
      <c r="CH92" s="22">
        <f t="shared" si="7"/>
        <v>1518.46</v>
      </c>
      <c r="CI92" s="3">
        <f t="shared" si="8"/>
        <v>0</v>
      </c>
      <c r="CJ92" s="17">
        <f t="shared" si="9"/>
        <v>10563</v>
      </c>
      <c r="CK92" s="3" t="str">
        <f t="shared" si="10"/>
        <v>برنامج دولى</v>
      </c>
    </row>
    <row r="93" spans="4:89" x14ac:dyDescent="0.25">
      <c r="D93" s="19">
        <v>17341</v>
      </c>
      <c r="E93" s="20">
        <v>10564</v>
      </c>
      <c r="F93" s="3" t="s">
        <v>78</v>
      </c>
      <c r="G93" s="19" t="s">
        <v>127</v>
      </c>
      <c r="H93" s="19"/>
      <c r="I93" s="19">
        <v>2000</v>
      </c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2">
        <f>SUM(I93:AS93)</f>
        <v>2000</v>
      </c>
      <c r="AV93" s="19">
        <v>1786.7</v>
      </c>
      <c r="AW93" s="19">
        <v>213.3</v>
      </c>
      <c r="AX93" s="19"/>
      <c r="AY93" s="21"/>
      <c r="AZ93" s="21"/>
      <c r="BA93" s="21"/>
      <c r="BB93" s="21"/>
      <c r="BC93" s="21"/>
      <c r="BD93" s="21"/>
      <c r="BE93" s="21"/>
      <c r="BF93" s="21"/>
      <c r="CH93" s="22">
        <f t="shared" si="7"/>
        <v>2000</v>
      </c>
      <c r="CI93" s="3">
        <f t="shared" si="8"/>
        <v>0</v>
      </c>
      <c r="CJ93" s="17">
        <f t="shared" si="9"/>
        <v>10564</v>
      </c>
      <c r="CK93" s="3" t="str">
        <f t="shared" si="10"/>
        <v>برنامج دولى</v>
      </c>
    </row>
    <row r="94" spans="4:89" x14ac:dyDescent="0.25">
      <c r="D94" s="19">
        <v>17340</v>
      </c>
      <c r="E94" s="17">
        <v>10565</v>
      </c>
      <c r="F94" s="3" t="s">
        <v>78</v>
      </c>
      <c r="G94" s="19" t="s">
        <v>127</v>
      </c>
      <c r="H94" s="19"/>
      <c r="I94" s="19">
        <v>1000</v>
      </c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2">
        <f>SUM(I94:AS94)</f>
        <v>1000</v>
      </c>
      <c r="AV94" s="19">
        <v>893.35</v>
      </c>
      <c r="AW94" s="19">
        <v>106.65</v>
      </c>
      <c r="AX94" s="19"/>
      <c r="AY94" s="21"/>
      <c r="AZ94" s="21"/>
      <c r="BA94" s="21"/>
      <c r="BB94" s="21"/>
      <c r="BC94" s="21"/>
      <c r="BD94" s="21"/>
      <c r="BE94" s="21"/>
      <c r="BF94" s="21"/>
      <c r="CH94" s="22">
        <f t="shared" si="7"/>
        <v>1000</v>
      </c>
      <c r="CI94" s="3">
        <f t="shared" si="8"/>
        <v>0</v>
      </c>
      <c r="CJ94" s="17">
        <f t="shared" si="9"/>
        <v>10565</v>
      </c>
      <c r="CK94" s="3" t="str">
        <f t="shared" si="10"/>
        <v>برنامج دولى</v>
      </c>
    </row>
    <row r="95" spans="4:89" x14ac:dyDescent="0.25">
      <c r="D95" s="19">
        <v>18027</v>
      </c>
      <c r="E95" s="17">
        <v>10566</v>
      </c>
      <c r="F95" s="3" t="s">
        <v>78</v>
      </c>
      <c r="G95" s="19" t="s">
        <v>120</v>
      </c>
      <c r="H95" s="19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19">
        <v>438414.78</v>
      </c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2">
        <f t="shared" ref="AU95:AU135" si="12">SUM(J95:AS95)</f>
        <v>438414.78</v>
      </c>
      <c r="AV95" s="19">
        <v>438414.78</v>
      </c>
      <c r="AW95" s="19"/>
      <c r="AX95" s="19"/>
      <c r="AY95" s="21"/>
      <c r="AZ95" s="21"/>
      <c r="BA95" s="21"/>
      <c r="BB95" s="21"/>
      <c r="BC95" s="21"/>
      <c r="BD95" s="21"/>
      <c r="BE95" s="21"/>
      <c r="BF95" s="21"/>
      <c r="CH95" s="22">
        <f t="shared" si="7"/>
        <v>438414.78</v>
      </c>
      <c r="CI95" s="3">
        <f t="shared" si="8"/>
        <v>0</v>
      </c>
      <c r="CJ95" s="17">
        <f t="shared" si="9"/>
        <v>10566</v>
      </c>
      <c r="CK95" s="3" t="str">
        <f t="shared" si="10"/>
        <v>برنامج دولى</v>
      </c>
    </row>
    <row r="96" spans="4:89" x14ac:dyDescent="0.25">
      <c r="D96" s="19">
        <v>18028</v>
      </c>
      <c r="E96" s="20">
        <v>10567</v>
      </c>
      <c r="F96" s="3" t="s">
        <v>128</v>
      </c>
      <c r="G96" s="19" t="s">
        <v>129</v>
      </c>
      <c r="H96" s="19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19">
        <v>20961.02</v>
      </c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2">
        <f t="shared" si="12"/>
        <v>20961.02</v>
      </c>
      <c r="AV96" s="19">
        <v>20961.02</v>
      </c>
      <c r="AW96" s="19"/>
      <c r="AX96" s="19"/>
      <c r="AY96" s="21"/>
      <c r="AZ96" s="21"/>
      <c r="BA96" s="21"/>
      <c r="BB96" s="21"/>
      <c r="BC96" s="21"/>
      <c r="BD96" s="21"/>
      <c r="BE96" s="21"/>
      <c r="BF96" s="21"/>
      <c r="CH96" s="22">
        <f t="shared" si="7"/>
        <v>20961.02</v>
      </c>
      <c r="CI96" s="3">
        <f t="shared" si="8"/>
        <v>0</v>
      </c>
      <c r="CJ96" s="17">
        <f t="shared" si="9"/>
        <v>10567</v>
      </c>
      <c r="CK96" s="3" t="str">
        <f t="shared" si="10"/>
        <v>مركز مؤتمرات</v>
      </c>
    </row>
    <row r="97" spans="4:89" x14ac:dyDescent="0.25">
      <c r="D97" s="19">
        <v>18029</v>
      </c>
      <c r="E97" s="17">
        <v>10568</v>
      </c>
      <c r="F97" s="3" t="s">
        <v>130</v>
      </c>
      <c r="G97" s="19" t="s">
        <v>131</v>
      </c>
      <c r="H97" s="19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19">
        <v>9512.06</v>
      </c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2">
        <f t="shared" si="12"/>
        <v>9512.06</v>
      </c>
      <c r="AV97" s="19">
        <v>9512.06</v>
      </c>
      <c r="AW97" s="19"/>
      <c r="AX97" s="19"/>
      <c r="AY97" s="21"/>
      <c r="AZ97" s="21"/>
      <c r="BA97" s="21"/>
      <c r="BB97" s="21"/>
      <c r="BC97" s="21"/>
      <c r="BD97" s="21"/>
      <c r="BE97" s="21"/>
      <c r="BF97" s="21"/>
      <c r="CH97" s="22">
        <f t="shared" si="7"/>
        <v>9512.06</v>
      </c>
      <c r="CI97" s="3">
        <f t="shared" si="8"/>
        <v>0</v>
      </c>
      <c r="CJ97" s="17">
        <f t="shared" si="9"/>
        <v>10568</v>
      </c>
      <c r="CK97" s="3" t="str">
        <f t="shared" si="10"/>
        <v>خ ت طب</v>
      </c>
    </row>
    <row r="98" spans="4:89" x14ac:dyDescent="0.25">
      <c r="D98" s="19">
        <v>17959</v>
      </c>
      <c r="E98" s="17">
        <v>10569</v>
      </c>
      <c r="F98" s="3" t="s">
        <v>132</v>
      </c>
      <c r="G98" s="19" t="s">
        <v>133</v>
      </c>
      <c r="H98" s="19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19">
        <v>61969.79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2">
        <f t="shared" si="12"/>
        <v>61969.79</v>
      </c>
      <c r="AV98" s="19">
        <v>61969.79</v>
      </c>
      <c r="AW98" s="19"/>
      <c r="AX98" s="19"/>
      <c r="AY98" s="21"/>
      <c r="AZ98" s="21"/>
      <c r="BA98" s="21"/>
      <c r="BB98" s="21"/>
      <c r="BC98" s="21"/>
      <c r="BD98" s="21"/>
      <c r="BE98" s="21"/>
      <c r="BF98" s="21"/>
      <c r="CH98" s="22">
        <f t="shared" si="7"/>
        <v>61969.79</v>
      </c>
      <c r="CI98" s="3">
        <f t="shared" si="8"/>
        <v>0</v>
      </c>
      <c r="CJ98" s="17">
        <f t="shared" si="9"/>
        <v>10569</v>
      </c>
      <c r="CK98" s="3" t="str">
        <f t="shared" si="10"/>
        <v>صيدلة اكلينيكى</v>
      </c>
    </row>
    <row r="99" spans="4:89" x14ac:dyDescent="0.25">
      <c r="D99" s="19">
        <v>17960</v>
      </c>
      <c r="E99" s="20">
        <v>10570</v>
      </c>
      <c r="F99" s="3" t="s">
        <v>132</v>
      </c>
      <c r="G99" s="19" t="s">
        <v>134</v>
      </c>
      <c r="H99" s="19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19">
        <v>4789.74</v>
      </c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2">
        <f t="shared" si="12"/>
        <v>4789.74</v>
      </c>
      <c r="AV99" s="19">
        <v>4789.74</v>
      </c>
      <c r="AW99" s="19"/>
      <c r="AX99" s="19"/>
      <c r="AY99" s="21"/>
      <c r="AZ99" s="21"/>
      <c r="BA99" s="21"/>
      <c r="BB99" s="21"/>
      <c r="BC99" s="21"/>
      <c r="BD99" s="21"/>
      <c r="BE99" s="21"/>
      <c r="BF99" s="21"/>
      <c r="CH99" s="22">
        <f t="shared" si="7"/>
        <v>4789.74</v>
      </c>
      <c r="CI99" s="3">
        <f t="shared" si="8"/>
        <v>0</v>
      </c>
      <c r="CJ99" s="17">
        <f t="shared" si="9"/>
        <v>10570</v>
      </c>
      <c r="CK99" s="3" t="str">
        <f t="shared" si="10"/>
        <v>صيدلة اكلينيكى</v>
      </c>
    </row>
    <row r="100" spans="4:89" x14ac:dyDescent="0.25">
      <c r="D100" s="19">
        <v>17961</v>
      </c>
      <c r="E100" s="17">
        <v>10571</v>
      </c>
      <c r="F100" s="3" t="s">
        <v>132</v>
      </c>
      <c r="G100" s="19" t="s">
        <v>135</v>
      </c>
      <c r="H100" s="19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19">
        <v>7835.7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2">
        <f t="shared" si="12"/>
        <v>7835.7</v>
      </c>
      <c r="AV100" s="19">
        <v>7835.7</v>
      </c>
      <c r="AW100" s="19"/>
      <c r="AX100" s="19"/>
      <c r="AY100" s="21"/>
      <c r="AZ100" s="21"/>
      <c r="BA100" s="21"/>
      <c r="BB100" s="21"/>
      <c r="BC100" s="21"/>
      <c r="BD100" s="21"/>
      <c r="BE100" s="21"/>
      <c r="BF100" s="21"/>
      <c r="CH100" s="22">
        <f t="shared" si="7"/>
        <v>7835.7</v>
      </c>
      <c r="CI100" s="3">
        <f t="shared" si="8"/>
        <v>0</v>
      </c>
      <c r="CJ100" s="17">
        <f t="shared" si="9"/>
        <v>10571</v>
      </c>
      <c r="CK100" s="3" t="str">
        <f t="shared" si="10"/>
        <v>صيدلة اكلينيكى</v>
      </c>
    </row>
    <row r="101" spans="4:89" x14ac:dyDescent="0.25">
      <c r="D101" s="19">
        <v>17962</v>
      </c>
      <c r="E101" s="17">
        <v>10572</v>
      </c>
      <c r="F101" s="3" t="s">
        <v>132</v>
      </c>
      <c r="G101" s="19" t="s">
        <v>136</v>
      </c>
      <c r="H101" s="19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W101" s="19">
        <v>170</v>
      </c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2">
        <f t="shared" si="12"/>
        <v>170</v>
      </c>
      <c r="AV101" s="19">
        <v>170</v>
      </c>
      <c r="AW101" s="19"/>
      <c r="AX101" s="19"/>
      <c r="AY101" s="21"/>
      <c r="AZ101" s="21"/>
      <c r="BA101" s="21"/>
      <c r="BB101" s="21"/>
      <c r="BC101" s="21"/>
      <c r="BD101" s="21"/>
      <c r="BE101" s="21"/>
      <c r="BF101" s="21"/>
      <c r="CH101" s="22">
        <f t="shared" si="7"/>
        <v>170</v>
      </c>
      <c r="CI101" s="3">
        <f t="shared" si="8"/>
        <v>0</v>
      </c>
      <c r="CJ101" s="17">
        <f t="shared" si="9"/>
        <v>10572</v>
      </c>
      <c r="CK101" s="3" t="str">
        <f t="shared" si="10"/>
        <v>صيدلة اكلينيكى</v>
      </c>
    </row>
    <row r="102" spans="4:89" x14ac:dyDescent="0.25">
      <c r="D102" s="19">
        <v>17963</v>
      </c>
      <c r="E102" s="20">
        <v>10573</v>
      </c>
      <c r="F102" s="3" t="s">
        <v>119</v>
      </c>
      <c r="G102" s="19" t="s">
        <v>133</v>
      </c>
      <c r="H102" s="19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19">
        <v>8421.98</v>
      </c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2">
        <f t="shared" si="12"/>
        <v>8421.98</v>
      </c>
      <c r="AV102" s="19">
        <v>8421.98</v>
      </c>
      <c r="AW102" s="19"/>
      <c r="AX102" s="19"/>
      <c r="AY102" s="21"/>
      <c r="AZ102" s="21"/>
      <c r="BA102" s="21"/>
      <c r="BB102" s="21"/>
      <c r="BC102" s="21"/>
      <c r="BD102" s="21"/>
      <c r="BE102" s="21"/>
      <c r="BF102" s="21"/>
      <c r="CH102" s="22">
        <f t="shared" si="7"/>
        <v>8421.98</v>
      </c>
      <c r="CI102" s="3">
        <f t="shared" si="8"/>
        <v>0</v>
      </c>
      <c r="CJ102" s="17">
        <f t="shared" si="9"/>
        <v>10573</v>
      </c>
      <c r="CK102" s="3" t="str">
        <f t="shared" si="10"/>
        <v>خ ت صيدلة</v>
      </c>
    </row>
    <row r="103" spans="4:89" x14ac:dyDescent="0.25">
      <c r="D103" s="19">
        <v>17964</v>
      </c>
      <c r="E103" s="17">
        <v>10574</v>
      </c>
      <c r="F103" s="3" t="s">
        <v>119</v>
      </c>
      <c r="G103" s="19" t="s">
        <v>134</v>
      </c>
      <c r="H103" s="19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19">
        <v>350.25</v>
      </c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2">
        <f t="shared" si="12"/>
        <v>350.25</v>
      </c>
      <c r="AV103" s="19">
        <v>350.25</v>
      </c>
      <c r="AW103" s="19"/>
      <c r="AX103" s="19"/>
      <c r="AY103" s="21"/>
      <c r="AZ103" s="21"/>
      <c r="BA103" s="21"/>
      <c r="BB103" s="21"/>
      <c r="BC103" s="21"/>
      <c r="BD103" s="21"/>
      <c r="BE103" s="21"/>
      <c r="BF103" s="21"/>
      <c r="CH103" s="22">
        <f t="shared" si="7"/>
        <v>350.25</v>
      </c>
      <c r="CI103" s="3">
        <f t="shared" si="8"/>
        <v>0</v>
      </c>
      <c r="CJ103" s="17">
        <f t="shared" si="9"/>
        <v>10574</v>
      </c>
      <c r="CK103" s="3" t="str">
        <f t="shared" si="10"/>
        <v>خ ت صيدلة</v>
      </c>
    </row>
    <row r="104" spans="4:89" x14ac:dyDescent="0.25">
      <c r="D104" s="19">
        <v>17965</v>
      </c>
      <c r="E104" s="17">
        <v>10575</v>
      </c>
      <c r="F104" s="3" t="s">
        <v>119</v>
      </c>
      <c r="G104" s="19" t="s">
        <v>135</v>
      </c>
      <c r="H104" s="19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19">
        <v>8249.6</v>
      </c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2">
        <f t="shared" si="12"/>
        <v>8249.6</v>
      </c>
      <c r="AV104" s="19">
        <v>8249.6</v>
      </c>
      <c r="AW104" s="19"/>
      <c r="AX104" s="19"/>
      <c r="AY104" s="21"/>
      <c r="AZ104" s="21"/>
      <c r="BA104" s="21"/>
      <c r="BB104" s="21"/>
      <c r="BC104" s="21"/>
      <c r="BD104" s="21"/>
      <c r="BE104" s="21"/>
      <c r="BF104" s="21"/>
      <c r="CH104" s="22">
        <f t="shared" si="7"/>
        <v>8249.6</v>
      </c>
      <c r="CI104" s="3">
        <f t="shared" si="8"/>
        <v>0</v>
      </c>
      <c r="CJ104" s="17">
        <f t="shared" si="9"/>
        <v>10575</v>
      </c>
      <c r="CK104" s="3" t="str">
        <f t="shared" si="10"/>
        <v>خ ت صيدلة</v>
      </c>
    </row>
    <row r="105" spans="4:89" x14ac:dyDescent="0.25">
      <c r="D105" s="19">
        <v>17966</v>
      </c>
      <c r="E105" s="20">
        <v>10576</v>
      </c>
      <c r="F105" s="3" t="s">
        <v>119</v>
      </c>
      <c r="G105" s="19" t="s">
        <v>136</v>
      </c>
      <c r="H105" s="19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W105" s="19">
        <v>48</v>
      </c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2">
        <f t="shared" si="12"/>
        <v>48</v>
      </c>
      <c r="AV105" s="19">
        <v>48</v>
      </c>
      <c r="AW105" s="19"/>
      <c r="AX105" s="19"/>
      <c r="AY105" s="21"/>
      <c r="AZ105" s="21"/>
      <c r="BA105" s="21"/>
      <c r="BB105" s="21"/>
      <c r="BC105" s="21"/>
      <c r="BD105" s="21"/>
      <c r="BE105" s="21"/>
      <c r="BF105" s="21"/>
      <c r="CH105" s="22">
        <f t="shared" si="7"/>
        <v>48</v>
      </c>
      <c r="CI105" s="3">
        <f t="shared" si="8"/>
        <v>0</v>
      </c>
      <c r="CJ105" s="17">
        <f t="shared" si="9"/>
        <v>10576</v>
      </c>
      <c r="CK105" s="3" t="str">
        <f t="shared" si="10"/>
        <v>خ ت صيدلة</v>
      </c>
    </row>
    <row r="106" spans="4:89" x14ac:dyDescent="0.25">
      <c r="D106" s="19">
        <v>17967</v>
      </c>
      <c r="E106" s="17">
        <v>10577</v>
      </c>
      <c r="F106" s="3" t="s">
        <v>116</v>
      </c>
      <c r="G106" s="19" t="s">
        <v>133</v>
      </c>
      <c r="H106" s="19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19">
        <v>922.53</v>
      </c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2">
        <f t="shared" si="12"/>
        <v>922.53</v>
      </c>
      <c r="AV106" s="19">
        <v>922.53</v>
      </c>
      <c r="AW106" s="19"/>
      <c r="AX106" s="19"/>
      <c r="AY106" s="21"/>
      <c r="AZ106" s="21"/>
      <c r="BA106" s="21"/>
      <c r="BB106" s="21"/>
      <c r="BC106" s="21"/>
      <c r="BD106" s="21"/>
      <c r="BE106" s="21"/>
      <c r="BF106" s="21"/>
      <c r="CH106" s="22">
        <f t="shared" si="7"/>
        <v>922.53</v>
      </c>
      <c r="CI106" s="3">
        <f t="shared" si="8"/>
        <v>0</v>
      </c>
      <c r="CJ106" s="17">
        <f t="shared" si="9"/>
        <v>10577</v>
      </c>
      <c r="CK106" s="3" t="str">
        <f t="shared" si="10"/>
        <v>اتحاد صيدلة</v>
      </c>
    </row>
    <row r="107" spans="4:89" x14ac:dyDescent="0.25">
      <c r="D107" s="19">
        <v>17968</v>
      </c>
      <c r="E107" s="17">
        <v>10578</v>
      </c>
      <c r="F107" s="3" t="s">
        <v>116</v>
      </c>
      <c r="G107" s="19" t="s">
        <v>134</v>
      </c>
      <c r="H107" s="19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19">
        <v>42.8</v>
      </c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2">
        <f t="shared" si="12"/>
        <v>42.8</v>
      </c>
      <c r="AV107" s="19">
        <v>42.8</v>
      </c>
      <c r="AW107" s="19"/>
      <c r="AX107" s="19"/>
      <c r="AY107" s="21"/>
      <c r="AZ107" s="21"/>
      <c r="BA107" s="21"/>
      <c r="BB107" s="21"/>
      <c r="BC107" s="21"/>
      <c r="BD107" s="21"/>
      <c r="BE107" s="21"/>
      <c r="BF107" s="21"/>
      <c r="CH107" s="22">
        <f t="shared" si="7"/>
        <v>42.8</v>
      </c>
      <c r="CI107" s="3">
        <f t="shared" si="8"/>
        <v>0</v>
      </c>
      <c r="CJ107" s="17">
        <f t="shared" si="9"/>
        <v>10578</v>
      </c>
      <c r="CK107" s="3" t="str">
        <f t="shared" si="10"/>
        <v>اتحاد صيدلة</v>
      </c>
    </row>
    <row r="108" spans="4:89" x14ac:dyDescent="0.25">
      <c r="D108" s="19">
        <v>18075</v>
      </c>
      <c r="E108" s="20">
        <v>10579</v>
      </c>
      <c r="F108" s="3" t="s">
        <v>78</v>
      </c>
      <c r="G108" s="19" t="s">
        <v>133</v>
      </c>
      <c r="H108" s="19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19">
        <v>321159.40999999997</v>
      </c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2">
        <f t="shared" si="12"/>
        <v>321159.40999999997</v>
      </c>
      <c r="AV108" s="19">
        <v>321159.40999999997</v>
      </c>
      <c r="AW108" s="19"/>
      <c r="AX108" s="19"/>
      <c r="AY108" s="21"/>
      <c r="AZ108" s="21"/>
      <c r="BA108" s="21"/>
      <c r="BB108" s="21"/>
      <c r="BC108" s="21"/>
      <c r="BD108" s="21"/>
      <c r="BE108" s="21"/>
      <c r="BF108" s="21"/>
      <c r="CH108" s="22">
        <f t="shared" si="7"/>
        <v>321159.40999999997</v>
      </c>
      <c r="CI108" s="3">
        <f t="shared" si="8"/>
        <v>0</v>
      </c>
      <c r="CJ108" s="17">
        <f t="shared" si="9"/>
        <v>10579</v>
      </c>
      <c r="CK108" s="3" t="str">
        <f t="shared" si="10"/>
        <v>برنامج دولى</v>
      </c>
    </row>
    <row r="109" spans="4:89" x14ac:dyDescent="0.25">
      <c r="D109" s="19">
        <v>18076</v>
      </c>
      <c r="E109" s="17">
        <v>10580</v>
      </c>
      <c r="F109" s="3" t="s">
        <v>78</v>
      </c>
      <c r="G109" s="19" t="s">
        <v>134</v>
      </c>
      <c r="H109" s="19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19">
        <v>30494.799999999999</v>
      </c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2">
        <f t="shared" si="12"/>
        <v>30494.799999999999</v>
      </c>
      <c r="AV109" s="19">
        <v>30494.799999999999</v>
      </c>
      <c r="AW109" s="19"/>
      <c r="AX109" s="19"/>
      <c r="AY109" s="21"/>
      <c r="AZ109" s="21"/>
      <c r="BA109" s="21"/>
      <c r="BB109" s="21"/>
      <c r="BC109" s="21"/>
      <c r="BD109" s="21"/>
      <c r="BE109" s="21"/>
      <c r="BF109" s="21"/>
      <c r="CH109" s="22">
        <f t="shared" si="7"/>
        <v>30494.799999999999</v>
      </c>
      <c r="CI109" s="3">
        <f t="shared" si="8"/>
        <v>0</v>
      </c>
      <c r="CJ109" s="17">
        <f t="shared" si="9"/>
        <v>10580</v>
      </c>
      <c r="CK109" s="3" t="str">
        <f t="shared" si="10"/>
        <v>برنامج دولى</v>
      </c>
    </row>
    <row r="110" spans="4:89" x14ac:dyDescent="0.25">
      <c r="D110" s="19">
        <v>18073</v>
      </c>
      <c r="E110" s="17">
        <v>10581</v>
      </c>
      <c r="F110" s="3" t="s">
        <v>78</v>
      </c>
      <c r="G110" s="19" t="s">
        <v>135</v>
      </c>
      <c r="H110" s="19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19">
        <v>46829.72</v>
      </c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2">
        <f t="shared" si="12"/>
        <v>46829.72</v>
      </c>
      <c r="AV110" s="19">
        <v>46829.72</v>
      </c>
      <c r="AW110" s="19"/>
      <c r="AX110" s="19"/>
      <c r="AY110" s="21"/>
      <c r="AZ110" s="21"/>
      <c r="BA110" s="21"/>
      <c r="BB110" s="21"/>
      <c r="BC110" s="21"/>
      <c r="BD110" s="21"/>
      <c r="BE110" s="21"/>
      <c r="BF110" s="21"/>
      <c r="CH110" s="22">
        <f t="shared" si="7"/>
        <v>46829.72</v>
      </c>
      <c r="CI110" s="3">
        <f t="shared" si="8"/>
        <v>0</v>
      </c>
      <c r="CJ110" s="17">
        <f t="shared" si="9"/>
        <v>10581</v>
      </c>
      <c r="CK110" s="3" t="str">
        <f t="shared" si="10"/>
        <v>برنامج دولى</v>
      </c>
    </row>
    <row r="111" spans="4:89" x14ac:dyDescent="0.25">
      <c r="D111" s="19">
        <v>18074</v>
      </c>
      <c r="E111" s="20">
        <v>10582</v>
      </c>
      <c r="F111" s="3" t="s">
        <v>78</v>
      </c>
      <c r="G111" s="19" t="s">
        <v>136</v>
      </c>
      <c r="H111" s="19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W111" s="19">
        <v>918</v>
      </c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2">
        <f t="shared" si="12"/>
        <v>918</v>
      </c>
      <c r="AV111" s="19">
        <v>918</v>
      </c>
      <c r="AW111" s="19"/>
      <c r="AX111" s="19"/>
      <c r="AY111" s="21"/>
      <c r="AZ111" s="21"/>
      <c r="BA111" s="21"/>
      <c r="BB111" s="21"/>
      <c r="BC111" s="21"/>
      <c r="BD111" s="21"/>
      <c r="BE111" s="21"/>
      <c r="BF111" s="21"/>
      <c r="CH111" s="22">
        <f t="shared" si="7"/>
        <v>918</v>
      </c>
      <c r="CI111" s="3">
        <f t="shared" si="8"/>
        <v>0</v>
      </c>
      <c r="CJ111" s="17">
        <f t="shared" si="9"/>
        <v>10582</v>
      </c>
      <c r="CK111" s="3" t="str">
        <f t="shared" si="10"/>
        <v>برنامج دولى</v>
      </c>
    </row>
    <row r="112" spans="4:89" x14ac:dyDescent="0.25">
      <c r="D112" s="19">
        <v>18079</v>
      </c>
      <c r="E112" s="17">
        <v>10583</v>
      </c>
      <c r="F112" s="3" t="s">
        <v>130</v>
      </c>
      <c r="G112" s="19" t="s">
        <v>133</v>
      </c>
      <c r="H112" s="19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19">
        <v>5208.8999999999996</v>
      </c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2">
        <f t="shared" si="12"/>
        <v>5208.8999999999996</v>
      </c>
      <c r="AV112" s="19">
        <v>5208.8999999999996</v>
      </c>
      <c r="AW112" s="19"/>
      <c r="AX112" s="19"/>
      <c r="AY112" s="21"/>
      <c r="AZ112" s="21"/>
      <c r="BA112" s="21"/>
      <c r="BB112" s="21"/>
      <c r="BC112" s="21"/>
      <c r="BD112" s="21"/>
      <c r="BE112" s="21"/>
      <c r="BF112" s="21"/>
      <c r="CH112" s="22">
        <f t="shared" si="7"/>
        <v>5208.8999999999996</v>
      </c>
      <c r="CI112" s="3">
        <f t="shared" si="8"/>
        <v>0</v>
      </c>
      <c r="CJ112" s="17">
        <f t="shared" si="9"/>
        <v>10583</v>
      </c>
      <c r="CK112" s="3" t="str">
        <f t="shared" si="10"/>
        <v>خ ت طب</v>
      </c>
    </row>
    <row r="113" spans="4:89" x14ac:dyDescent="0.25">
      <c r="D113" s="19">
        <v>18080</v>
      </c>
      <c r="E113" s="17">
        <v>10584</v>
      </c>
      <c r="F113" s="3" t="s">
        <v>130</v>
      </c>
      <c r="G113" s="19" t="s">
        <v>134</v>
      </c>
      <c r="H113" s="19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19">
        <v>322</v>
      </c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2">
        <f t="shared" si="12"/>
        <v>322</v>
      </c>
      <c r="AV113" s="19">
        <v>322</v>
      </c>
      <c r="AW113" s="19"/>
      <c r="AX113" s="19"/>
      <c r="AY113" s="21"/>
      <c r="AZ113" s="21"/>
      <c r="BA113" s="21"/>
      <c r="BB113" s="21"/>
      <c r="BC113" s="21"/>
      <c r="BD113" s="21"/>
      <c r="BE113" s="21"/>
      <c r="BF113" s="21"/>
      <c r="CH113" s="22">
        <f t="shared" si="7"/>
        <v>322</v>
      </c>
      <c r="CI113" s="3">
        <f t="shared" si="8"/>
        <v>0</v>
      </c>
      <c r="CJ113" s="17">
        <f t="shared" si="9"/>
        <v>10584</v>
      </c>
      <c r="CK113" s="3" t="str">
        <f t="shared" si="10"/>
        <v>خ ت طب</v>
      </c>
    </row>
    <row r="114" spans="4:89" x14ac:dyDescent="0.25">
      <c r="D114" s="19">
        <v>18077</v>
      </c>
      <c r="E114" s="20">
        <v>10585</v>
      </c>
      <c r="F114" s="3" t="s">
        <v>130</v>
      </c>
      <c r="G114" s="19" t="s">
        <v>135</v>
      </c>
      <c r="H114" s="19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19">
        <v>8009.04</v>
      </c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2">
        <f t="shared" si="12"/>
        <v>8009.04</v>
      </c>
      <c r="AV114" s="19">
        <v>8009.04</v>
      </c>
      <c r="AW114" s="19"/>
      <c r="AX114" s="19"/>
      <c r="AY114" s="21"/>
      <c r="AZ114" s="21"/>
      <c r="BA114" s="21"/>
      <c r="BB114" s="21"/>
      <c r="BC114" s="21"/>
      <c r="BD114" s="21"/>
      <c r="BE114" s="21"/>
      <c r="BF114" s="21"/>
      <c r="CH114" s="22">
        <f t="shared" si="7"/>
        <v>8009.04</v>
      </c>
      <c r="CI114" s="3">
        <f t="shared" si="8"/>
        <v>0</v>
      </c>
      <c r="CJ114" s="17">
        <f t="shared" si="9"/>
        <v>10585</v>
      </c>
      <c r="CK114" s="3" t="str">
        <f t="shared" si="10"/>
        <v>خ ت طب</v>
      </c>
    </row>
    <row r="115" spans="4:89" x14ac:dyDescent="0.25">
      <c r="D115" s="19">
        <v>18078</v>
      </c>
      <c r="E115" s="17">
        <v>10586</v>
      </c>
      <c r="F115" s="3" t="s">
        <v>130</v>
      </c>
      <c r="G115" s="19" t="s">
        <v>136</v>
      </c>
      <c r="H115" s="19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W115" s="19">
        <v>284.10000000000002</v>
      </c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2">
        <f t="shared" si="12"/>
        <v>284.10000000000002</v>
      </c>
      <c r="AV115" s="19">
        <v>284.10000000000002</v>
      </c>
      <c r="AW115" s="19"/>
      <c r="AX115" s="19"/>
      <c r="AY115" s="21"/>
      <c r="AZ115" s="21"/>
      <c r="BA115" s="21"/>
      <c r="BB115" s="21"/>
      <c r="BC115" s="21"/>
      <c r="BD115" s="21"/>
      <c r="BE115" s="21"/>
      <c r="BF115" s="21"/>
      <c r="CH115" s="22">
        <f t="shared" si="7"/>
        <v>284.10000000000002</v>
      </c>
      <c r="CI115" s="3">
        <f t="shared" si="8"/>
        <v>0</v>
      </c>
      <c r="CJ115" s="17">
        <f t="shared" si="9"/>
        <v>10586</v>
      </c>
      <c r="CK115" s="3" t="str">
        <f t="shared" si="10"/>
        <v>خ ت طب</v>
      </c>
    </row>
    <row r="116" spans="4:89" x14ac:dyDescent="0.25">
      <c r="D116" s="19">
        <v>18081</v>
      </c>
      <c r="E116" s="17">
        <v>10587</v>
      </c>
      <c r="F116" s="3" t="s">
        <v>128</v>
      </c>
      <c r="G116" s="19" t="s">
        <v>133</v>
      </c>
      <c r="H116" s="19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19">
        <v>10946.7</v>
      </c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2">
        <f t="shared" si="12"/>
        <v>10946.7</v>
      </c>
      <c r="AV116" s="19">
        <v>10946.7</v>
      </c>
      <c r="AW116" s="19"/>
      <c r="AX116" s="19"/>
      <c r="AY116" s="21"/>
      <c r="AZ116" s="21"/>
      <c r="BA116" s="21"/>
      <c r="BB116" s="21"/>
      <c r="BC116" s="21"/>
      <c r="BD116" s="21"/>
      <c r="BE116" s="21"/>
      <c r="BF116" s="21"/>
      <c r="CH116" s="22">
        <f t="shared" si="7"/>
        <v>10946.7</v>
      </c>
      <c r="CI116" s="3">
        <f t="shared" si="8"/>
        <v>0</v>
      </c>
      <c r="CJ116" s="17">
        <f t="shared" si="9"/>
        <v>10587</v>
      </c>
      <c r="CK116" s="3" t="str">
        <f t="shared" si="10"/>
        <v>مركز مؤتمرات</v>
      </c>
    </row>
    <row r="117" spans="4:89" x14ac:dyDescent="0.25">
      <c r="D117" s="19">
        <v>18082</v>
      </c>
      <c r="E117" s="20">
        <v>10588</v>
      </c>
      <c r="F117" s="3" t="s">
        <v>128</v>
      </c>
      <c r="G117" s="19" t="s">
        <v>134</v>
      </c>
      <c r="H117" s="19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19">
        <v>735.1</v>
      </c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2">
        <f t="shared" si="12"/>
        <v>735.1</v>
      </c>
      <c r="AV117" s="19">
        <v>735.1</v>
      </c>
      <c r="AW117" s="19"/>
      <c r="AX117" s="19"/>
      <c r="AY117" s="21"/>
      <c r="AZ117" s="21"/>
      <c r="BA117" s="21"/>
      <c r="BB117" s="21"/>
      <c r="BC117" s="21"/>
      <c r="BD117" s="21"/>
      <c r="BE117" s="21"/>
      <c r="BF117" s="21"/>
      <c r="CH117" s="22">
        <f t="shared" si="7"/>
        <v>735.1</v>
      </c>
      <c r="CI117" s="3">
        <f t="shared" si="8"/>
        <v>0</v>
      </c>
      <c r="CJ117" s="17">
        <f t="shared" si="9"/>
        <v>10588</v>
      </c>
      <c r="CK117" s="3" t="str">
        <f t="shared" si="10"/>
        <v>مركز مؤتمرات</v>
      </c>
    </row>
    <row r="118" spans="4:89" x14ac:dyDescent="0.25">
      <c r="D118" s="19">
        <v>18083</v>
      </c>
      <c r="E118" s="17">
        <v>10589</v>
      </c>
      <c r="F118" s="3" t="s">
        <v>128</v>
      </c>
      <c r="G118" s="19" t="s">
        <v>135</v>
      </c>
      <c r="H118" s="19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19">
        <v>964</v>
      </c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2">
        <f t="shared" si="12"/>
        <v>964</v>
      </c>
      <c r="AV118" s="19">
        <v>964</v>
      </c>
      <c r="AW118" s="19"/>
      <c r="AX118" s="19"/>
      <c r="AY118" s="21"/>
      <c r="AZ118" s="21"/>
      <c r="BA118" s="21"/>
      <c r="BB118" s="21"/>
      <c r="BC118" s="21"/>
      <c r="BD118" s="21"/>
      <c r="BE118" s="21"/>
      <c r="BF118" s="21"/>
      <c r="CH118" s="22">
        <f t="shared" si="7"/>
        <v>964</v>
      </c>
      <c r="CI118" s="3">
        <f t="shared" si="8"/>
        <v>0</v>
      </c>
      <c r="CJ118" s="17">
        <f t="shared" si="9"/>
        <v>10589</v>
      </c>
      <c r="CK118" s="3" t="str">
        <f t="shared" si="10"/>
        <v>مركز مؤتمرات</v>
      </c>
    </row>
    <row r="119" spans="4:89" x14ac:dyDescent="0.25">
      <c r="D119" s="19">
        <v>18084</v>
      </c>
      <c r="E119" s="17">
        <v>10590</v>
      </c>
      <c r="F119" s="3" t="s">
        <v>128</v>
      </c>
      <c r="G119" s="19" t="s">
        <v>136</v>
      </c>
      <c r="H119" s="19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W119" s="19">
        <v>80</v>
      </c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2">
        <f t="shared" si="12"/>
        <v>80</v>
      </c>
      <c r="AV119" s="19">
        <v>80</v>
      </c>
      <c r="AW119" s="19"/>
      <c r="AX119" s="19"/>
      <c r="AY119" s="21"/>
      <c r="AZ119" s="21"/>
      <c r="BA119" s="21"/>
      <c r="BB119" s="21"/>
      <c r="BC119" s="21"/>
      <c r="BD119" s="21"/>
      <c r="BE119" s="21"/>
      <c r="BF119" s="21"/>
      <c r="CH119" s="22">
        <f t="shared" si="7"/>
        <v>80</v>
      </c>
      <c r="CI119" s="3">
        <f t="shared" si="8"/>
        <v>0</v>
      </c>
      <c r="CJ119" s="17">
        <f t="shared" si="9"/>
        <v>10590</v>
      </c>
      <c r="CK119" s="3" t="str">
        <f t="shared" si="10"/>
        <v>مركز مؤتمرات</v>
      </c>
    </row>
    <row r="120" spans="4:89" x14ac:dyDescent="0.25">
      <c r="D120" s="19">
        <v>18085</v>
      </c>
      <c r="E120" s="20">
        <v>10591</v>
      </c>
      <c r="F120" s="3" t="s">
        <v>121</v>
      </c>
      <c r="G120" s="19" t="s">
        <v>133</v>
      </c>
      <c r="H120" s="19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19">
        <v>246712.5</v>
      </c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2">
        <f t="shared" si="12"/>
        <v>246712.5</v>
      </c>
      <c r="AV120" s="19">
        <v>246712.5</v>
      </c>
      <c r="AW120" s="19"/>
      <c r="AX120" s="19"/>
      <c r="AY120" s="21"/>
      <c r="AZ120" s="21"/>
      <c r="BA120" s="21"/>
      <c r="BB120" s="21"/>
      <c r="BC120" s="21"/>
      <c r="BD120" s="21"/>
      <c r="BE120" s="21"/>
      <c r="BF120" s="21"/>
      <c r="CH120" s="22">
        <f t="shared" si="7"/>
        <v>246712.5</v>
      </c>
      <c r="CI120" s="3">
        <f t="shared" si="8"/>
        <v>0</v>
      </c>
      <c r="CJ120" s="17">
        <f t="shared" si="9"/>
        <v>10591</v>
      </c>
      <c r="CK120" s="3" t="str">
        <f t="shared" si="10"/>
        <v>ماليزى اسنان</v>
      </c>
    </row>
    <row r="121" spans="4:89" x14ac:dyDescent="0.25">
      <c r="D121" s="19">
        <v>18086</v>
      </c>
      <c r="E121" s="17">
        <v>10592</v>
      </c>
      <c r="F121" s="3" t="s">
        <v>121</v>
      </c>
      <c r="G121" s="19" t="s">
        <v>134</v>
      </c>
      <c r="H121" s="19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19">
        <v>17534.98</v>
      </c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2">
        <f t="shared" si="12"/>
        <v>17534.98</v>
      </c>
      <c r="AV121" s="19">
        <v>17534.98</v>
      </c>
      <c r="AW121" s="19"/>
      <c r="AX121" s="19"/>
      <c r="AY121" s="21"/>
      <c r="AZ121" s="21"/>
      <c r="BA121" s="21"/>
      <c r="BB121" s="21"/>
      <c r="BC121" s="21"/>
      <c r="BD121" s="21"/>
      <c r="BE121" s="21"/>
      <c r="BF121" s="21"/>
      <c r="CH121" s="22">
        <f t="shared" si="7"/>
        <v>17534.98</v>
      </c>
      <c r="CI121" s="3">
        <f t="shared" si="8"/>
        <v>0</v>
      </c>
      <c r="CJ121" s="17">
        <f t="shared" si="9"/>
        <v>10592</v>
      </c>
      <c r="CK121" s="3" t="str">
        <f t="shared" si="10"/>
        <v>ماليزى اسنان</v>
      </c>
    </row>
    <row r="122" spans="4:89" x14ac:dyDescent="0.25">
      <c r="D122" s="19">
        <v>18088</v>
      </c>
      <c r="E122" s="17">
        <v>10593</v>
      </c>
      <c r="F122" s="3" t="s">
        <v>121</v>
      </c>
      <c r="G122" s="19" t="s">
        <v>135</v>
      </c>
      <c r="H122" s="19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19">
        <v>39687.1</v>
      </c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2">
        <f t="shared" si="12"/>
        <v>39687.1</v>
      </c>
      <c r="AV122" s="19">
        <v>39687.1</v>
      </c>
      <c r="AW122" s="19"/>
      <c r="AX122" s="19"/>
      <c r="AY122" s="21"/>
      <c r="AZ122" s="21"/>
      <c r="BA122" s="21"/>
      <c r="BB122" s="21"/>
      <c r="BC122" s="21"/>
      <c r="BD122" s="21"/>
      <c r="BE122" s="21"/>
      <c r="BF122" s="21"/>
      <c r="CH122" s="22">
        <f t="shared" si="7"/>
        <v>39687.1</v>
      </c>
      <c r="CI122" s="3">
        <f t="shared" si="8"/>
        <v>0</v>
      </c>
      <c r="CJ122" s="17">
        <f t="shared" si="9"/>
        <v>10593</v>
      </c>
      <c r="CK122" s="3" t="str">
        <f t="shared" si="10"/>
        <v>ماليزى اسنان</v>
      </c>
    </row>
    <row r="123" spans="4:89" x14ac:dyDescent="0.25">
      <c r="D123" s="19">
        <v>18089</v>
      </c>
      <c r="E123" s="20">
        <v>10594</v>
      </c>
      <c r="F123" s="3" t="s">
        <v>121</v>
      </c>
      <c r="G123" s="19" t="s">
        <v>136</v>
      </c>
      <c r="H123" s="19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W123" s="19">
        <v>726</v>
      </c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2">
        <f t="shared" si="12"/>
        <v>726</v>
      </c>
      <c r="AV123" s="19">
        <v>726</v>
      </c>
      <c r="AW123" s="19"/>
      <c r="AX123" s="19"/>
      <c r="AY123" s="21"/>
      <c r="AZ123" s="21"/>
      <c r="BA123" s="21"/>
      <c r="BB123" s="21"/>
      <c r="BC123" s="21"/>
      <c r="BD123" s="21"/>
      <c r="BE123" s="21"/>
      <c r="BF123" s="21"/>
      <c r="CH123" s="22">
        <f t="shared" si="7"/>
        <v>726</v>
      </c>
      <c r="CI123" s="3">
        <f t="shared" si="8"/>
        <v>0</v>
      </c>
      <c r="CJ123" s="17">
        <f t="shared" si="9"/>
        <v>10594</v>
      </c>
      <c r="CK123" s="3" t="str">
        <f t="shared" si="10"/>
        <v>ماليزى اسنان</v>
      </c>
    </row>
    <row r="124" spans="4:89" x14ac:dyDescent="0.25">
      <c r="D124" s="19">
        <v>18090</v>
      </c>
      <c r="E124" s="17">
        <v>10595</v>
      </c>
      <c r="F124" s="3" t="s">
        <v>123</v>
      </c>
      <c r="G124" s="19" t="s">
        <v>133</v>
      </c>
      <c r="H124" s="19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19">
        <v>34239.19</v>
      </c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2">
        <f t="shared" si="12"/>
        <v>34239.19</v>
      </c>
      <c r="AV124" s="19">
        <v>34239.19</v>
      </c>
      <c r="AW124" s="19"/>
      <c r="AX124" s="19"/>
      <c r="AY124" s="21"/>
      <c r="AZ124" s="21"/>
      <c r="BA124" s="21"/>
      <c r="BB124" s="21"/>
      <c r="BC124" s="21"/>
      <c r="BD124" s="21"/>
      <c r="BE124" s="21"/>
      <c r="BF124" s="21"/>
      <c r="CH124" s="22">
        <f t="shared" si="7"/>
        <v>34239.19</v>
      </c>
      <c r="CI124" s="3">
        <f t="shared" si="8"/>
        <v>0</v>
      </c>
      <c r="CJ124" s="17">
        <f t="shared" si="9"/>
        <v>10595</v>
      </c>
      <c r="CK124" s="3" t="str">
        <f t="shared" si="10"/>
        <v>خ ت اسنان</v>
      </c>
    </row>
    <row r="125" spans="4:89" x14ac:dyDescent="0.25">
      <c r="D125" s="19">
        <v>18091</v>
      </c>
      <c r="E125" s="17">
        <v>10596</v>
      </c>
      <c r="F125" s="3" t="s">
        <v>123</v>
      </c>
      <c r="G125" s="19" t="s">
        <v>134</v>
      </c>
      <c r="H125" s="19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19">
        <v>2201.8000000000002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2">
        <f t="shared" si="12"/>
        <v>2201.8000000000002</v>
      </c>
      <c r="AV125" s="19">
        <v>2201.8000000000002</v>
      </c>
      <c r="AW125" s="19"/>
      <c r="AX125" s="19"/>
      <c r="AY125" s="21"/>
      <c r="AZ125" s="21"/>
      <c r="BA125" s="21"/>
      <c r="BB125" s="21"/>
      <c r="BC125" s="21"/>
      <c r="BD125" s="21"/>
      <c r="BE125" s="21"/>
      <c r="BF125" s="21"/>
      <c r="CH125" s="22">
        <f t="shared" si="7"/>
        <v>2201.8000000000002</v>
      </c>
      <c r="CI125" s="3">
        <f t="shared" si="8"/>
        <v>0</v>
      </c>
      <c r="CJ125" s="17">
        <f t="shared" si="9"/>
        <v>10596</v>
      </c>
      <c r="CK125" s="3" t="str">
        <f t="shared" si="10"/>
        <v>خ ت اسنان</v>
      </c>
    </row>
    <row r="126" spans="4:89" x14ac:dyDescent="0.25">
      <c r="D126" s="19">
        <v>18092</v>
      </c>
      <c r="E126" s="20">
        <v>10597</v>
      </c>
      <c r="F126" s="3" t="s">
        <v>122</v>
      </c>
      <c r="G126" s="19" t="s">
        <v>133</v>
      </c>
      <c r="H126" s="19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19">
        <v>6345.14</v>
      </c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2">
        <f t="shared" si="12"/>
        <v>6345.14</v>
      </c>
      <c r="AV126" s="19">
        <v>6345.14</v>
      </c>
      <c r="AW126" s="19"/>
      <c r="AX126" s="19"/>
      <c r="AY126" s="21"/>
      <c r="AZ126" s="21"/>
      <c r="BA126" s="21"/>
      <c r="BB126" s="21"/>
      <c r="BC126" s="21"/>
      <c r="BD126" s="21"/>
      <c r="BE126" s="21"/>
      <c r="BF126" s="21"/>
      <c r="CH126" s="22">
        <f t="shared" si="7"/>
        <v>6345.14</v>
      </c>
      <c r="CI126" s="3">
        <f t="shared" si="8"/>
        <v>0</v>
      </c>
      <c r="CJ126" s="17">
        <f t="shared" si="9"/>
        <v>10597</v>
      </c>
      <c r="CK126" s="3" t="str">
        <f t="shared" si="10"/>
        <v>علاج تخصصى</v>
      </c>
    </row>
    <row r="127" spans="4:89" x14ac:dyDescent="0.25">
      <c r="D127" s="19">
        <v>18093</v>
      </c>
      <c r="E127" s="17">
        <v>10598</v>
      </c>
      <c r="F127" s="3" t="s">
        <v>122</v>
      </c>
      <c r="G127" s="19" t="s">
        <v>134</v>
      </c>
      <c r="H127" s="19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19">
        <v>433.15</v>
      </c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2">
        <f t="shared" si="12"/>
        <v>433.15</v>
      </c>
      <c r="AV127" s="19">
        <v>433.15</v>
      </c>
      <c r="AW127" s="19"/>
      <c r="AX127" s="19"/>
      <c r="AY127" s="21"/>
      <c r="AZ127" s="21"/>
      <c r="BA127" s="21"/>
      <c r="BB127" s="21"/>
      <c r="BC127" s="21"/>
      <c r="BD127" s="21"/>
      <c r="BE127" s="21"/>
      <c r="BF127" s="21"/>
      <c r="CH127" s="22">
        <f t="shared" si="7"/>
        <v>433.15</v>
      </c>
      <c r="CI127" s="3">
        <f t="shared" si="8"/>
        <v>0</v>
      </c>
      <c r="CJ127" s="17">
        <f t="shared" si="9"/>
        <v>10598</v>
      </c>
      <c r="CK127" s="3" t="str">
        <f t="shared" si="10"/>
        <v>علاج تخصصى</v>
      </c>
    </row>
    <row r="128" spans="4:89" x14ac:dyDescent="0.25">
      <c r="D128" s="19">
        <v>18094</v>
      </c>
      <c r="E128" s="17">
        <v>10599</v>
      </c>
      <c r="F128" s="3" t="s">
        <v>137</v>
      </c>
      <c r="G128" s="19" t="s">
        <v>133</v>
      </c>
      <c r="H128" s="19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19">
        <v>32757</v>
      </c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2">
        <f t="shared" si="12"/>
        <v>32757</v>
      </c>
      <c r="AV128" s="19">
        <v>32757</v>
      </c>
      <c r="AW128" s="19"/>
      <c r="AX128" s="19"/>
      <c r="AY128" s="21"/>
      <c r="AZ128" s="21"/>
      <c r="BA128" s="21"/>
      <c r="BB128" s="21"/>
      <c r="BC128" s="21"/>
      <c r="BD128" s="21"/>
      <c r="BE128" s="21"/>
      <c r="BF128" s="21"/>
      <c r="CH128" s="22">
        <f t="shared" si="7"/>
        <v>32757</v>
      </c>
      <c r="CI128" s="3">
        <f t="shared" si="8"/>
        <v>0</v>
      </c>
      <c r="CJ128" s="17">
        <f t="shared" si="9"/>
        <v>10599</v>
      </c>
      <c r="CK128" s="3" t="str">
        <f t="shared" si="10"/>
        <v xml:space="preserve">خدمة عامة </v>
      </c>
    </row>
    <row r="129" spans="4:89" x14ac:dyDescent="0.25">
      <c r="D129" s="19">
        <v>18095</v>
      </c>
      <c r="E129" s="20">
        <v>10600</v>
      </c>
      <c r="F129" s="3" t="s">
        <v>137</v>
      </c>
      <c r="G129" s="19" t="s">
        <v>134</v>
      </c>
      <c r="H129" s="19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19">
        <v>2024.6</v>
      </c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2">
        <f t="shared" si="12"/>
        <v>2024.6</v>
      </c>
      <c r="AV129" s="19">
        <v>2024.6</v>
      </c>
      <c r="AW129" s="19"/>
      <c r="AX129" s="19"/>
      <c r="AY129" s="21"/>
      <c r="AZ129" s="21"/>
      <c r="BA129" s="21"/>
      <c r="BB129" s="21"/>
      <c r="BC129" s="21"/>
      <c r="BD129" s="21"/>
      <c r="BE129" s="21"/>
      <c r="BF129" s="21"/>
      <c r="CH129" s="22">
        <f t="shared" si="7"/>
        <v>2024.6</v>
      </c>
      <c r="CI129" s="3">
        <f t="shared" si="8"/>
        <v>0</v>
      </c>
      <c r="CJ129" s="17">
        <f t="shared" si="9"/>
        <v>10600</v>
      </c>
      <c r="CK129" s="3" t="str">
        <f t="shared" si="10"/>
        <v xml:space="preserve">خدمة عامة </v>
      </c>
    </row>
    <row r="130" spans="4:89" x14ac:dyDescent="0.25">
      <c r="D130" s="19">
        <v>18096</v>
      </c>
      <c r="E130" s="17">
        <v>10601</v>
      </c>
      <c r="F130" s="3" t="s">
        <v>125</v>
      </c>
      <c r="G130" s="19" t="s">
        <v>133</v>
      </c>
      <c r="H130" s="19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19">
        <v>365.35</v>
      </c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2">
        <f t="shared" si="12"/>
        <v>365.35</v>
      </c>
      <c r="AV130" s="19">
        <v>365.35</v>
      </c>
      <c r="AW130" s="19"/>
      <c r="AX130" s="19"/>
      <c r="AY130" s="21"/>
      <c r="AZ130" s="21"/>
      <c r="BA130" s="21"/>
      <c r="BB130" s="21"/>
      <c r="BC130" s="21"/>
      <c r="BD130" s="21"/>
      <c r="BE130" s="21"/>
      <c r="BF130" s="21"/>
      <c r="CH130" s="22">
        <f t="shared" si="7"/>
        <v>365.35</v>
      </c>
      <c r="CI130" s="3">
        <f t="shared" si="8"/>
        <v>0</v>
      </c>
      <c r="CJ130" s="17">
        <f t="shared" si="9"/>
        <v>10601</v>
      </c>
      <c r="CK130" s="3" t="str">
        <f t="shared" si="10"/>
        <v>اختبار مواد</v>
      </c>
    </row>
    <row r="131" spans="4:89" x14ac:dyDescent="0.25">
      <c r="D131" s="19">
        <v>18097</v>
      </c>
      <c r="E131" s="17">
        <v>10602</v>
      </c>
      <c r="F131" s="3" t="s">
        <v>125</v>
      </c>
      <c r="G131" s="19" t="s">
        <v>134</v>
      </c>
      <c r="H131" s="19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19">
        <v>22.65</v>
      </c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2">
        <f t="shared" si="12"/>
        <v>22.65</v>
      </c>
      <c r="AV131" s="19">
        <v>22.65</v>
      </c>
      <c r="AW131" s="19"/>
      <c r="AX131" s="19"/>
      <c r="AY131" s="21"/>
      <c r="AZ131" s="21"/>
      <c r="BA131" s="21"/>
      <c r="BB131" s="21"/>
      <c r="BC131" s="21"/>
      <c r="BD131" s="21"/>
      <c r="BE131" s="21"/>
      <c r="BF131" s="21"/>
      <c r="CH131" s="22">
        <f t="shared" si="7"/>
        <v>22.65</v>
      </c>
      <c r="CI131" s="3">
        <f t="shared" si="8"/>
        <v>0</v>
      </c>
      <c r="CJ131" s="17">
        <f t="shared" si="9"/>
        <v>10602</v>
      </c>
      <c r="CK131" s="3" t="str">
        <f t="shared" si="10"/>
        <v>اختبار مواد</v>
      </c>
    </row>
    <row r="132" spans="4:89" x14ac:dyDescent="0.25">
      <c r="D132" s="19">
        <v>18098</v>
      </c>
      <c r="E132" s="20">
        <v>10603</v>
      </c>
      <c r="F132" s="3" t="s">
        <v>125</v>
      </c>
      <c r="G132" s="19" t="s">
        <v>135</v>
      </c>
      <c r="H132" s="19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19">
        <v>1537.2</v>
      </c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2">
        <f t="shared" si="12"/>
        <v>1537.2</v>
      </c>
      <c r="AV132" s="19">
        <v>1537.2</v>
      </c>
      <c r="AW132" s="19"/>
      <c r="AX132" s="19"/>
      <c r="AY132" s="21"/>
      <c r="AZ132" s="21"/>
      <c r="BA132" s="21"/>
      <c r="BB132" s="21"/>
      <c r="BC132" s="21"/>
      <c r="BD132" s="21"/>
      <c r="BE132" s="21"/>
      <c r="BF132" s="21"/>
      <c r="CH132" s="22">
        <f t="shared" ref="CH132:CH195" si="13">SUM(AV132:CG132)</f>
        <v>1537.2</v>
      </c>
      <c r="CI132" s="3">
        <f t="shared" ref="CI132:CI195" si="14">+CH132-AU132</f>
        <v>0</v>
      </c>
      <c r="CJ132" s="17">
        <f t="shared" ref="CJ132:CJ195" si="15">+E132</f>
        <v>10603</v>
      </c>
      <c r="CK132" s="3" t="str">
        <f t="shared" ref="CK132:CK195" si="16">+F132</f>
        <v>اختبار مواد</v>
      </c>
    </row>
    <row r="133" spans="4:89" x14ac:dyDescent="0.25">
      <c r="D133" s="19">
        <v>18099</v>
      </c>
      <c r="E133" s="17">
        <v>10604</v>
      </c>
      <c r="F133" s="3" t="s">
        <v>125</v>
      </c>
      <c r="G133" s="19" t="s">
        <v>136</v>
      </c>
      <c r="H133" s="19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W133" s="19">
        <v>116</v>
      </c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2">
        <f t="shared" si="12"/>
        <v>116</v>
      </c>
      <c r="AV133" s="19">
        <v>116</v>
      </c>
      <c r="AW133" s="19"/>
      <c r="AX133" s="19"/>
      <c r="AY133" s="21"/>
      <c r="AZ133" s="21"/>
      <c r="BA133" s="21"/>
      <c r="BB133" s="21"/>
      <c r="BC133" s="21"/>
      <c r="BD133" s="21"/>
      <c r="BE133" s="21"/>
      <c r="BF133" s="21"/>
      <c r="CH133" s="22">
        <f t="shared" si="13"/>
        <v>116</v>
      </c>
      <c r="CI133" s="3">
        <f t="shared" si="14"/>
        <v>0</v>
      </c>
      <c r="CJ133" s="17">
        <f t="shared" si="15"/>
        <v>10604</v>
      </c>
      <c r="CK133" s="3" t="str">
        <f t="shared" si="16"/>
        <v>اختبار مواد</v>
      </c>
    </row>
    <row r="134" spans="4:89" x14ac:dyDescent="0.25">
      <c r="D134" s="19">
        <v>18100</v>
      </c>
      <c r="E134" s="20">
        <v>10605</v>
      </c>
      <c r="F134" s="3" t="s">
        <v>124</v>
      </c>
      <c r="G134" s="19" t="s">
        <v>133</v>
      </c>
      <c r="H134" s="19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19">
        <v>68.430000000000007</v>
      </c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2">
        <f t="shared" si="12"/>
        <v>68.430000000000007</v>
      </c>
      <c r="AV134" s="19">
        <v>68.430000000000007</v>
      </c>
      <c r="AW134" s="19"/>
      <c r="AX134" s="19"/>
      <c r="AY134" s="21"/>
      <c r="AZ134" s="21"/>
      <c r="BA134" s="21"/>
      <c r="BB134" s="21"/>
      <c r="BC134" s="21"/>
      <c r="BD134" s="21"/>
      <c r="BE134" s="21"/>
      <c r="BF134" s="21"/>
      <c r="CH134" s="22">
        <f t="shared" si="13"/>
        <v>68.430000000000007</v>
      </c>
      <c r="CI134" s="3">
        <f t="shared" si="14"/>
        <v>0</v>
      </c>
      <c r="CJ134" s="17">
        <f t="shared" si="15"/>
        <v>10605</v>
      </c>
      <c r="CK134" s="3" t="str">
        <f t="shared" si="16"/>
        <v>تكافل اسنان</v>
      </c>
    </row>
    <row r="135" spans="4:89" x14ac:dyDescent="0.25">
      <c r="D135" s="19">
        <v>18101</v>
      </c>
      <c r="E135" s="17">
        <v>10606</v>
      </c>
      <c r="F135" s="3" t="s">
        <v>124</v>
      </c>
      <c r="G135" s="19" t="s">
        <v>134</v>
      </c>
      <c r="H135" s="19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19">
        <v>2.5</v>
      </c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2">
        <f t="shared" si="12"/>
        <v>2.5</v>
      </c>
      <c r="AV135" s="19">
        <v>2.5</v>
      </c>
      <c r="AW135" s="19"/>
      <c r="AX135" s="19"/>
      <c r="AY135" s="21"/>
      <c r="AZ135" s="21"/>
      <c r="BA135" s="21"/>
      <c r="BB135" s="21"/>
      <c r="BC135" s="21"/>
      <c r="BD135" s="21"/>
      <c r="BE135" s="21"/>
      <c r="BF135" s="21"/>
      <c r="CH135" s="22">
        <f t="shared" si="13"/>
        <v>2.5</v>
      </c>
      <c r="CI135" s="3">
        <f t="shared" si="14"/>
        <v>0</v>
      </c>
      <c r="CJ135" s="17">
        <f t="shared" si="15"/>
        <v>10606</v>
      </c>
      <c r="CK135" s="3" t="str">
        <f t="shared" si="16"/>
        <v>تكافل اسنان</v>
      </c>
    </row>
    <row r="136" spans="4:89" x14ac:dyDescent="0.25">
      <c r="D136" s="19">
        <v>17339</v>
      </c>
      <c r="E136" s="17">
        <v>10607</v>
      </c>
      <c r="F136" s="3" t="s">
        <v>78</v>
      </c>
      <c r="G136" s="19" t="s">
        <v>127</v>
      </c>
      <c r="H136" s="19"/>
      <c r="I136" s="19">
        <v>3111.66</v>
      </c>
      <c r="V136" s="3"/>
      <c r="W136" s="3"/>
      <c r="AU136" s="22">
        <f t="shared" ref="AU136:AU199" si="17">SUM(I136:AS136)</f>
        <v>3111.66</v>
      </c>
      <c r="AV136" s="19">
        <v>2609.35</v>
      </c>
      <c r="AW136" s="19">
        <v>319.45</v>
      </c>
      <c r="AX136" s="19">
        <v>182.86</v>
      </c>
      <c r="CH136" s="22">
        <f t="shared" si="13"/>
        <v>3111.66</v>
      </c>
      <c r="CI136" s="3">
        <f t="shared" si="14"/>
        <v>0</v>
      </c>
      <c r="CJ136" s="17">
        <f t="shared" si="15"/>
        <v>10607</v>
      </c>
      <c r="CK136" s="3" t="str">
        <f t="shared" si="16"/>
        <v>برنامج دولى</v>
      </c>
    </row>
    <row r="137" spans="4:89" x14ac:dyDescent="0.25">
      <c r="D137" s="19">
        <v>17345</v>
      </c>
      <c r="E137" s="20">
        <v>10608</v>
      </c>
      <c r="F137" s="3" t="s">
        <v>78</v>
      </c>
      <c r="G137" s="19" t="s">
        <v>138</v>
      </c>
      <c r="H137" s="19"/>
      <c r="I137" s="19">
        <v>4103.75</v>
      </c>
      <c r="V137" s="3"/>
      <c r="W137" s="3"/>
      <c r="AU137" s="22">
        <f t="shared" si="17"/>
        <v>4103.75</v>
      </c>
      <c r="AV137" s="19">
        <v>2818.8</v>
      </c>
      <c r="AW137" s="19">
        <v>296.2</v>
      </c>
      <c r="AX137" s="19">
        <v>988.75</v>
      </c>
      <c r="CH137" s="22">
        <f t="shared" si="13"/>
        <v>4103.75</v>
      </c>
      <c r="CI137" s="3">
        <f t="shared" si="14"/>
        <v>0</v>
      </c>
      <c r="CJ137" s="17">
        <f t="shared" si="15"/>
        <v>10608</v>
      </c>
      <c r="CK137" s="3" t="str">
        <f t="shared" si="16"/>
        <v>برنامج دولى</v>
      </c>
    </row>
    <row r="138" spans="4:89" x14ac:dyDescent="0.25">
      <c r="D138" s="19">
        <v>17344</v>
      </c>
      <c r="E138" s="17">
        <v>10609</v>
      </c>
      <c r="F138" s="3" t="s">
        <v>78</v>
      </c>
      <c r="G138" s="19" t="s">
        <v>138</v>
      </c>
      <c r="H138" s="19"/>
      <c r="I138" s="19">
        <v>2462.25</v>
      </c>
      <c r="V138" s="3"/>
      <c r="W138" s="3"/>
      <c r="AU138" s="22">
        <f t="shared" si="17"/>
        <v>2462.25</v>
      </c>
      <c r="AV138" s="19">
        <v>1646.85</v>
      </c>
      <c r="AW138" s="19">
        <v>222.15</v>
      </c>
      <c r="AX138" s="19">
        <v>593.25</v>
      </c>
      <c r="CH138" s="22">
        <f t="shared" si="13"/>
        <v>2462.25</v>
      </c>
      <c r="CI138" s="3">
        <f t="shared" si="14"/>
        <v>0</v>
      </c>
      <c r="CJ138" s="17">
        <f t="shared" si="15"/>
        <v>10609</v>
      </c>
      <c r="CK138" s="3" t="str">
        <f t="shared" si="16"/>
        <v>برنامج دولى</v>
      </c>
    </row>
    <row r="139" spans="4:89" x14ac:dyDescent="0.25">
      <c r="D139" s="19">
        <v>17343</v>
      </c>
      <c r="E139" s="17">
        <v>10610</v>
      </c>
      <c r="F139" s="3" t="s">
        <v>78</v>
      </c>
      <c r="G139" s="19" t="s">
        <v>138</v>
      </c>
      <c r="H139" s="19"/>
      <c r="I139" s="19">
        <v>1200</v>
      </c>
      <c r="V139" s="3"/>
      <c r="W139" s="3"/>
      <c r="AU139" s="22">
        <f t="shared" si="17"/>
        <v>1200</v>
      </c>
      <c r="AV139" s="19">
        <v>1071.3499999999999</v>
      </c>
      <c r="AW139" s="19">
        <v>128.65</v>
      </c>
      <c r="AX139" s="19"/>
      <c r="CH139" s="22">
        <f t="shared" si="13"/>
        <v>1200</v>
      </c>
      <c r="CI139" s="3">
        <f t="shared" si="14"/>
        <v>0</v>
      </c>
      <c r="CJ139" s="17">
        <f t="shared" si="15"/>
        <v>10610</v>
      </c>
      <c r="CK139" s="3" t="str">
        <f t="shared" si="16"/>
        <v>برنامج دولى</v>
      </c>
    </row>
    <row r="140" spans="4:89" x14ac:dyDescent="0.25">
      <c r="D140" s="19">
        <v>17342</v>
      </c>
      <c r="E140" s="20">
        <v>10611</v>
      </c>
      <c r="F140" s="3" t="s">
        <v>78</v>
      </c>
      <c r="G140" s="19" t="s">
        <v>138</v>
      </c>
      <c r="H140" s="19"/>
      <c r="I140" s="19">
        <v>1641.5</v>
      </c>
      <c r="V140" s="3"/>
      <c r="W140" s="3"/>
      <c r="AU140" s="22">
        <f t="shared" si="17"/>
        <v>1641.5</v>
      </c>
      <c r="AV140" s="19">
        <v>1097.9000000000001</v>
      </c>
      <c r="AW140" s="19">
        <v>148.1</v>
      </c>
      <c r="AX140" s="19">
        <v>395.5</v>
      </c>
      <c r="CH140" s="22">
        <f t="shared" si="13"/>
        <v>1641.5</v>
      </c>
      <c r="CI140" s="3">
        <f t="shared" si="14"/>
        <v>0</v>
      </c>
      <c r="CJ140" s="17">
        <f t="shared" si="15"/>
        <v>10611</v>
      </c>
      <c r="CK140" s="3" t="str">
        <f t="shared" si="16"/>
        <v>برنامج دولى</v>
      </c>
    </row>
    <row r="141" spans="4:89" x14ac:dyDescent="0.25">
      <c r="D141" s="19">
        <v>17347</v>
      </c>
      <c r="E141" s="17">
        <v>10612</v>
      </c>
      <c r="F141" s="3" t="s">
        <v>78</v>
      </c>
      <c r="G141" s="19" t="s">
        <v>139</v>
      </c>
      <c r="H141" s="19"/>
      <c r="I141" s="19">
        <v>19130.009999999998</v>
      </c>
      <c r="V141" s="3"/>
      <c r="W141" s="3"/>
      <c r="AU141" s="22">
        <f t="shared" si="17"/>
        <v>19130.009999999998</v>
      </c>
      <c r="AV141" s="19">
        <v>16882.349999999999</v>
      </c>
      <c r="AW141" s="19">
        <v>2034.75</v>
      </c>
      <c r="AX141" s="19">
        <v>212.91</v>
      </c>
      <c r="CH141" s="22">
        <f t="shared" si="13"/>
        <v>19130.009999999998</v>
      </c>
      <c r="CI141" s="3">
        <f t="shared" si="14"/>
        <v>0</v>
      </c>
      <c r="CJ141" s="17">
        <f t="shared" si="15"/>
        <v>10612</v>
      </c>
      <c r="CK141" s="3" t="str">
        <f t="shared" si="16"/>
        <v>برنامج دولى</v>
      </c>
    </row>
    <row r="142" spans="4:89" x14ac:dyDescent="0.25">
      <c r="D142" s="19">
        <v>17348</v>
      </c>
      <c r="E142" s="17">
        <v>10613</v>
      </c>
      <c r="F142" s="3" t="s">
        <v>78</v>
      </c>
      <c r="G142" s="19" t="s">
        <v>139</v>
      </c>
      <c r="H142" s="19"/>
      <c r="I142" s="19">
        <v>1000</v>
      </c>
      <c r="V142" s="3"/>
      <c r="W142" s="3"/>
      <c r="AU142" s="22">
        <f t="shared" si="17"/>
        <v>1000</v>
      </c>
      <c r="AV142" s="19">
        <v>893.35</v>
      </c>
      <c r="AW142" s="19">
        <v>106.65</v>
      </c>
      <c r="AX142" s="19"/>
      <c r="CH142" s="22">
        <f t="shared" si="13"/>
        <v>1000</v>
      </c>
      <c r="CI142" s="3">
        <f t="shared" si="14"/>
        <v>0</v>
      </c>
      <c r="CJ142" s="17">
        <f t="shared" si="15"/>
        <v>10613</v>
      </c>
      <c r="CK142" s="3" t="str">
        <f t="shared" si="16"/>
        <v>برنامج دولى</v>
      </c>
    </row>
    <row r="143" spans="4:89" x14ac:dyDescent="0.25">
      <c r="D143" s="19">
        <v>17350</v>
      </c>
      <c r="E143" s="20">
        <v>10614</v>
      </c>
      <c r="F143" s="3" t="s">
        <v>78</v>
      </c>
      <c r="G143" s="19" t="s">
        <v>140</v>
      </c>
      <c r="H143" s="19"/>
      <c r="I143" s="19">
        <v>4221</v>
      </c>
      <c r="V143" s="3"/>
      <c r="W143" s="3"/>
      <c r="AU143" s="22">
        <f t="shared" si="17"/>
        <v>4221</v>
      </c>
      <c r="AV143" s="19">
        <v>2821.05</v>
      </c>
      <c r="AW143" s="19">
        <v>382.95</v>
      </c>
      <c r="AX143" s="19">
        <v>1017</v>
      </c>
      <c r="CH143" s="22">
        <f t="shared" si="13"/>
        <v>4221</v>
      </c>
      <c r="CI143" s="3">
        <f t="shared" si="14"/>
        <v>0</v>
      </c>
      <c r="CJ143" s="17">
        <f t="shared" si="15"/>
        <v>10614</v>
      </c>
      <c r="CK143" s="3" t="str">
        <f t="shared" si="16"/>
        <v>برنامج دولى</v>
      </c>
    </row>
    <row r="144" spans="4:89" x14ac:dyDescent="0.25">
      <c r="D144" s="19">
        <v>17351</v>
      </c>
      <c r="E144" s="17">
        <v>10615</v>
      </c>
      <c r="F144" s="3" t="s">
        <v>78</v>
      </c>
      <c r="G144" s="19" t="s">
        <v>141</v>
      </c>
      <c r="H144" s="19"/>
      <c r="I144" s="19">
        <v>1758.75</v>
      </c>
      <c r="V144" s="3"/>
      <c r="W144" s="3"/>
      <c r="AU144" s="22">
        <f t="shared" si="17"/>
        <v>1758.75</v>
      </c>
      <c r="AV144" s="19">
        <v>1175.3499999999999</v>
      </c>
      <c r="AW144" s="19">
        <v>159.65</v>
      </c>
      <c r="AX144" s="19">
        <v>423.75</v>
      </c>
      <c r="CH144" s="22">
        <f t="shared" si="13"/>
        <v>1758.75</v>
      </c>
      <c r="CI144" s="3">
        <f t="shared" si="14"/>
        <v>0</v>
      </c>
      <c r="CJ144" s="17">
        <f t="shared" si="15"/>
        <v>10615</v>
      </c>
      <c r="CK144" s="3" t="str">
        <f t="shared" si="16"/>
        <v>برنامج دولى</v>
      </c>
    </row>
    <row r="145" spans="4:89" ht="31.5" x14ac:dyDescent="0.25">
      <c r="D145" s="19">
        <v>17349</v>
      </c>
      <c r="E145" s="17">
        <v>10616</v>
      </c>
      <c r="F145" s="3" t="s">
        <v>78</v>
      </c>
      <c r="G145" s="213" t="s">
        <v>142</v>
      </c>
      <c r="H145" s="19"/>
      <c r="I145" s="19">
        <v>644.88</v>
      </c>
      <c r="V145" s="3"/>
      <c r="W145" s="3"/>
      <c r="AU145" s="22">
        <f t="shared" si="17"/>
        <v>644.88</v>
      </c>
      <c r="AV145" s="19">
        <v>431.4</v>
      </c>
      <c r="AW145" s="19">
        <v>58.1</v>
      </c>
      <c r="AX145" s="19">
        <v>155.38</v>
      </c>
      <c r="CH145" s="22">
        <f t="shared" si="13"/>
        <v>644.88</v>
      </c>
      <c r="CI145" s="3">
        <f t="shared" si="14"/>
        <v>0</v>
      </c>
      <c r="CJ145" s="17">
        <f t="shared" si="15"/>
        <v>10616</v>
      </c>
      <c r="CK145" s="3" t="str">
        <f t="shared" si="16"/>
        <v>برنامج دولى</v>
      </c>
    </row>
    <row r="146" spans="4:89" x14ac:dyDescent="0.25">
      <c r="D146" s="19">
        <v>17352</v>
      </c>
      <c r="E146" s="20">
        <v>10617</v>
      </c>
      <c r="F146" s="3" t="s">
        <v>78</v>
      </c>
      <c r="G146" s="19" t="s">
        <v>143</v>
      </c>
      <c r="H146" s="19"/>
      <c r="I146" s="19">
        <v>430.63</v>
      </c>
      <c r="V146" s="3"/>
      <c r="W146" s="3"/>
      <c r="AU146" s="22">
        <f t="shared" si="17"/>
        <v>430.63</v>
      </c>
      <c r="AV146" s="19">
        <v>288.35000000000002</v>
      </c>
      <c r="AW146" s="19">
        <v>38.53</v>
      </c>
      <c r="AX146" s="19">
        <v>103.75</v>
      </c>
      <c r="CH146" s="22">
        <f t="shared" si="13"/>
        <v>430.63</v>
      </c>
      <c r="CI146" s="3">
        <f t="shared" si="14"/>
        <v>0</v>
      </c>
      <c r="CJ146" s="17">
        <f t="shared" si="15"/>
        <v>10617</v>
      </c>
      <c r="CK146" s="3" t="str">
        <f t="shared" si="16"/>
        <v>برنامج دولى</v>
      </c>
    </row>
    <row r="147" spans="4:89" x14ac:dyDescent="0.25">
      <c r="D147" s="19">
        <v>17353</v>
      </c>
      <c r="E147" s="17">
        <v>10618</v>
      </c>
      <c r="F147" s="3" t="s">
        <v>78</v>
      </c>
      <c r="G147" s="19" t="s">
        <v>144</v>
      </c>
      <c r="H147" s="19"/>
      <c r="I147" s="19">
        <v>1172.5</v>
      </c>
      <c r="V147" s="3"/>
      <c r="W147" s="3"/>
      <c r="AU147" s="22">
        <f t="shared" si="17"/>
        <v>1172.5</v>
      </c>
      <c r="AV147" s="19">
        <v>784.1</v>
      </c>
      <c r="AW147" s="19">
        <v>105.9</v>
      </c>
      <c r="AX147" s="19">
        <v>282.5</v>
      </c>
      <c r="CH147" s="22">
        <f t="shared" si="13"/>
        <v>1172.5</v>
      </c>
      <c r="CI147" s="3">
        <f t="shared" si="14"/>
        <v>0</v>
      </c>
      <c r="CJ147" s="17">
        <f t="shared" si="15"/>
        <v>10618</v>
      </c>
      <c r="CK147" s="3" t="str">
        <f t="shared" si="16"/>
        <v>برنامج دولى</v>
      </c>
    </row>
    <row r="148" spans="4:89" x14ac:dyDescent="0.25">
      <c r="D148" s="19">
        <v>17354</v>
      </c>
      <c r="E148" s="17">
        <v>10619</v>
      </c>
      <c r="F148" s="3" t="s">
        <v>78</v>
      </c>
      <c r="G148" s="19" t="s">
        <v>145</v>
      </c>
      <c r="H148" s="19"/>
      <c r="I148" s="19">
        <v>2754.85</v>
      </c>
      <c r="V148" s="3"/>
      <c r="W148" s="3"/>
      <c r="AU148" s="22">
        <f t="shared" si="17"/>
        <v>2754.85</v>
      </c>
      <c r="AV148" s="19">
        <v>2071.09</v>
      </c>
      <c r="AW148" s="19">
        <v>266.39999999999998</v>
      </c>
      <c r="AX148" s="19">
        <v>417.36</v>
      </c>
      <c r="CH148" s="22">
        <f t="shared" si="13"/>
        <v>2754.8500000000004</v>
      </c>
      <c r="CI148" s="3">
        <f t="shared" si="14"/>
        <v>0</v>
      </c>
      <c r="CJ148" s="17">
        <f t="shared" si="15"/>
        <v>10619</v>
      </c>
      <c r="CK148" s="3" t="str">
        <f t="shared" si="16"/>
        <v>برنامج دولى</v>
      </c>
    </row>
    <row r="149" spans="4:89" x14ac:dyDescent="0.25">
      <c r="D149" s="19">
        <v>17355</v>
      </c>
      <c r="E149" s="20">
        <v>10620</v>
      </c>
      <c r="F149" s="3" t="s">
        <v>78</v>
      </c>
      <c r="G149" s="19" t="s">
        <v>146</v>
      </c>
      <c r="H149" s="19"/>
      <c r="I149" s="19">
        <v>2931.24</v>
      </c>
      <c r="V149" s="3"/>
      <c r="W149" s="3"/>
      <c r="AU149" s="22">
        <f t="shared" si="17"/>
        <v>2931.24</v>
      </c>
      <c r="AV149" s="19">
        <v>1959</v>
      </c>
      <c r="AW149" s="19">
        <v>266</v>
      </c>
      <c r="AX149" s="19">
        <v>706.24</v>
      </c>
      <c r="CH149" s="22">
        <f t="shared" si="13"/>
        <v>2931.24</v>
      </c>
      <c r="CI149" s="3">
        <f t="shared" si="14"/>
        <v>0</v>
      </c>
      <c r="CJ149" s="17">
        <f t="shared" si="15"/>
        <v>10620</v>
      </c>
      <c r="CK149" s="3" t="str">
        <f t="shared" si="16"/>
        <v>برنامج دولى</v>
      </c>
    </row>
    <row r="150" spans="4:89" x14ac:dyDescent="0.25">
      <c r="D150" s="19">
        <v>17356</v>
      </c>
      <c r="E150" s="17">
        <v>10621</v>
      </c>
      <c r="F150" s="3" t="s">
        <v>78</v>
      </c>
      <c r="G150" s="19" t="s">
        <v>147</v>
      </c>
      <c r="H150" s="19"/>
      <c r="I150" s="19">
        <v>2462.25</v>
      </c>
      <c r="V150" s="3"/>
      <c r="W150" s="3"/>
      <c r="AU150" s="22">
        <f t="shared" si="17"/>
        <v>2462.25</v>
      </c>
      <c r="AV150" s="19">
        <v>1645.35</v>
      </c>
      <c r="AW150" s="19">
        <v>223.65</v>
      </c>
      <c r="AX150" s="19">
        <v>593.25</v>
      </c>
      <c r="CH150" s="22">
        <f t="shared" si="13"/>
        <v>2462.25</v>
      </c>
      <c r="CI150" s="3">
        <f t="shared" si="14"/>
        <v>0</v>
      </c>
      <c r="CJ150" s="17">
        <f t="shared" si="15"/>
        <v>10621</v>
      </c>
      <c r="CK150" s="3" t="str">
        <f t="shared" si="16"/>
        <v>برنامج دولى</v>
      </c>
    </row>
    <row r="151" spans="4:89" x14ac:dyDescent="0.25">
      <c r="D151" s="19">
        <v>17357</v>
      </c>
      <c r="E151" s="17">
        <v>10622</v>
      </c>
      <c r="F151" s="3" t="s">
        <v>78</v>
      </c>
      <c r="G151" s="19" t="s">
        <v>148</v>
      </c>
      <c r="H151" s="19"/>
      <c r="I151" s="19">
        <v>586.25</v>
      </c>
      <c r="V151" s="3"/>
      <c r="W151" s="3"/>
      <c r="AU151" s="22">
        <f t="shared" si="17"/>
        <v>586.25</v>
      </c>
      <c r="AV151" s="19">
        <v>392.4</v>
      </c>
      <c r="AW151" s="19">
        <v>52.6</v>
      </c>
      <c r="AX151" s="19">
        <v>141.25</v>
      </c>
      <c r="CH151" s="22">
        <f t="shared" si="13"/>
        <v>586.25</v>
      </c>
      <c r="CI151" s="3">
        <f t="shared" si="14"/>
        <v>0</v>
      </c>
      <c r="CJ151" s="17">
        <f t="shared" si="15"/>
        <v>10622</v>
      </c>
      <c r="CK151" s="3" t="str">
        <f t="shared" si="16"/>
        <v>برنامج دولى</v>
      </c>
    </row>
    <row r="152" spans="4:89" x14ac:dyDescent="0.25">
      <c r="D152" s="19">
        <v>17358</v>
      </c>
      <c r="E152" s="20">
        <v>10623</v>
      </c>
      <c r="F152" s="3" t="s">
        <v>78</v>
      </c>
      <c r="G152" s="19" t="s">
        <v>149</v>
      </c>
      <c r="H152" s="19"/>
      <c r="I152" s="19">
        <v>750</v>
      </c>
      <c r="V152" s="3"/>
      <c r="W152" s="3"/>
      <c r="AU152" s="22">
        <f t="shared" si="17"/>
        <v>750</v>
      </c>
      <c r="AV152" s="19">
        <v>670.1</v>
      </c>
      <c r="AW152" s="19">
        <v>79.900000000000006</v>
      </c>
      <c r="AX152" s="19"/>
      <c r="CH152" s="22">
        <f t="shared" si="13"/>
        <v>750</v>
      </c>
      <c r="CI152" s="3">
        <f t="shared" si="14"/>
        <v>0</v>
      </c>
      <c r="CJ152" s="17">
        <f t="shared" si="15"/>
        <v>10623</v>
      </c>
      <c r="CK152" s="3" t="str">
        <f t="shared" si="16"/>
        <v>برنامج دولى</v>
      </c>
    </row>
    <row r="153" spans="4:89" x14ac:dyDescent="0.25">
      <c r="D153" s="19">
        <v>17360</v>
      </c>
      <c r="E153" s="17">
        <v>10624</v>
      </c>
      <c r="F153" s="3" t="s">
        <v>78</v>
      </c>
      <c r="G153" s="19" t="s">
        <v>150</v>
      </c>
      <c r="H153" s="19"/>
      <c r="I153" s="19">
        <v>2814</v>
      </c>
      <c r="V153" s="3"/>
      <c r="W153" s="3"/>
      <c r="AU153" s="22">
        <f t="shared" si="17"/>
        <v>2814</v>
      </c>
      <c r="AV153" s="19">
        <v>1882</v>
      </c>
      <c r="AW153" s="19">
        <v>254</v>
      </c>
      <c r="AX153" s="19">
        <v>678</v>
      </c>
      <c r="CH153" s="22">
        <f t="shared" si="13"/>
        <v>2814</v>
      </c>
      <c r="CI153" s="3">
        <f t="shared" si="14"/>
        <v>0</v>
      </c>
      <c r="CJ153" s="17">
        <f t="shared" si="15"/>
        <v>10624</v>
      </c>
      <c r="CK153" s="3" t="str">
        <f t="shared" si="16"/>
        <v>برنامج دولى</v>
      </c>
    </row>
    <row r="154" spans="4:89" x14ac:dyDescent="0.25">
      <c r="D154" s="19">
        <v>17361</v>
      </c>
      <c r="E154" s="17">
        <v>10625</v>
      </c>
      <c r="F154" s="3" t="s">
        <v>78</v>
      </c>
      <c r="G154" s="19" t="s">
        <v>150</v>
      </c>
      <c r="H154" s="19"/>
      <c r="I154" s="19">
        <v>2372.5</v>
      </c>
      <c r="V154" s="3"/>
      <c r="W154" s="3"/>
      <c r="AU154" s="22">
        <f t="shared" si="17"/>
        <v>2372.5</v>
      </c>
      <c r="AV154" s="19">
        <v>1855.45</v>
      </c>
      <c r="AW154" s="19">
        <v>234.55</v>
      </c>
      <c r="AX154" s="19">
        <v>282.5</v>
      </c>
      <c r="CH154" s="22">
        <f t="shared" si="13"/>
        <v>2372.5</v>
      </c>
      <c r="CI154" s="3">
        <f t="shared" si="14"/>
        <v>0</v>
      </c>
      <c r="CJ154" s="17">
        <f t="shared" si="15"/>
        <v>10625</v>
      </c>
      <c r="CK154" s="3" t="str">
        <f t="shared" si="16"/>
        <v>برنامج دولى</v>
      </c>
    </row>
    <row r="155" spans="4:89" x14ac:dyDescent="0.25">
      <c r="D155" s="19">
        <v>17362</v>
      </c>
      <c r="E155" s="20">
        <v>10626</v>
      </c>
      <c r="F155" s="3" t="s">
        <v>78</v>
      </c>
      <c r="G155" s="19" t="s">
        <v>151</v>
      </c>
      <c r="H155" s="19"/>
      <c r="I155" s="19">
        <v>3165.75</v>
      </c>
      <c r="V155" s="3"/>
      <c r="W155" s="3"/>
      <c r="AU155" s="22">
        <f t="shared" si="17"/>
        <v>3165.75</v>
      </c>
      <c r="AV155" s="19">
        <v>2116.1</v>
      </c>
      <c r="AW155" s="19">
        <v>286.89999999999998</v>
      </c>
      <c r="AX155" s="19">
        <v>762.75</v>
      </c>
      <c r="CH155" s="22">
        <f t="shared" si="13"/>
        <v>3165.75</v>
      </c>
      <c r="CI155" s="3">
        <f t="shared" si="14"/>
        <v>0</v>
      </c>
      <c r="CJ155" s="17">
        <f t="shared" si="15"/>
        <v>10626</v>
      </c>
      <c r="CK155" s="3" t="str">
        <f t="shared" si="16"/>
        <v>برنامج دولى</v>
      </c>
    </row>
    <row r="156" spans="4:89" x14ac:dyDescent="0.25">
      <c r="D156" s="19">
        <v>17359</v>
      </c>
      <c r="E156" s="17">
        <v>10627</v>
      </c>
      <c r="F156" s="3" t="s">
        <v>78</v>
      </c>
      <c r="G156" s="19" t="s">
        <v>151</v>
      </c>
      <c r="H156" s="19"/>
      <c r="I156" s="19">
        <v>2345</v>
      </c>
      <c r="V156" s="3"/>
      <c r="W156" s="3"/>
      <c r="AU156" s="22">
        <f t="shared" si="17"/>
        <v>2345</v>
      </c>
      <c r="AV156" s="19">
        <v>1568.2</v>
      </c>
      <c r="AW156" s="19">
        <v>211.8</v>
      </c>
      <c r="AX156" s="19">
        <v>565</v>
      </c>
      <c r="CH156" s="22">
        <f t="shared" si="13"/>
        <v>2345</v>
      </c>
      <c r="CI156" s="3">
        <f t="shared" si="14"/>
        <v>0</v>
      </c>
      <c r="CJ156" s="17">
        <f t="shared" si="15"/>
        <v>10627</v>
      </c>
      <c r="CK156" s="3" t="str">
        <f t="shared" si="16"/>
        <v>برنامج دولى</v>
      </c>
    </row>
    <row r="157" spans="4:89" x14ac:dyDescent="0.25">
      <c r="D157" s="19">
        <v>17365</v>
      </c>
      <c r="E157" s="17">
        <v>10628</v>
      </c>
      <c r="F157" s="3" t="s">
        <v>78</v>
      </c>
      <c r="G157" s="19" t="s">
        <v>152</v>
      </c>
      <c r="H157" s="19"/>
      <c r="I157" s="19">
        <v>2462.25</v>
      </c>
      <c r="V157" s="3"/>
      <c r="W157" s="3"/>
      <c r="AU157" s="22">
        <f t="shared" si="17"/>
        <v>2462.25</v>
      </c>
      <c r="AV157" s="19">
        <v>1647.8</v>
      </c>
      <c r="AW157" s="19">
        <v>221.2</v>
      </c>
      <c r="AX157" s="19">
        <v>593.25</v>
      </c>
      <c r="CH157" s="22">
        <f t="shared" si="13"/>
        <v>2462.25</v>
      </c>
      <c r="CI157" s="3">
        <f t="shared" si="14"/>
        <v>0</v>
      </c>
      <c r="CJ157" s="17">
        <f t="shared" si="15"/>
        <v>10628</v>
      </c>
      <c r="CK157" s="3" t="str">
        <f t="shared" si="16"/>
        <v>برنامج دولى</v>
      </c>
    </row>
    <row r="158" spans="4:89" x14ac:dyDescent="0.25">
      <c r="D158" s="19">
        <v>17363</v>
      </c>
      <c r="E158" s="20">
        <v>10629</v>
      </c>
      <c r="F158" s="3" t="s">
        <v>78</v>
      </c>
      <c r="G158" s="19" t="s">
        <v>152</v>
      </c>
      <c r="H158" s="19"/>
      <c r="I158" s="19">
        <v>1876</v>
      </c>
      <c r="V158" s="3"/>
      <c r="W158" s="3"/>
      <c r="AU158" s="22">
        <f t="shared" si="17"/>
        <v>1876</v>
      </c>
      <c r="AV158" s="19">
        <v>1255.4000000000001</v>
      </c>
      <c r="AW158" s="19">
        <v>168.6</v>
      </c>
      <c r="AX158" s="19">
        <v>452</v>
      </c>
      <c r="CH158" s="22">
        <f t="shared" si="13"/>
        <v>1876</v>
      </c>
      <c r="CI158" s="3">
        <f t="shared" si="14"/>
        <v>0</v>
      </c>
      <c r="CJ158" s="17">
        <f t="shared" si="15"/>
        <v>10629</v>
      </c>
      <c r="CK158" s="3" t="str">
        <f t="shared" si="16"/>
        <v>برنامج دولى</v>
      </c>
    </row>
    <row r="159" spans="4:89" ht="31.5" x14ac:dyDescent="0.25">
      <c r="D159" s="19">
        <v>17366</v>
      </c>
      <c r="E159" s="17">
        <v>10630</v>
      </c>
      <c r="F159" s="3" t="s">
        <v>78</v>
      </c>
      <c r="G159" s="213" t="s">
        <v>153</v>
      </c>
      <c r="H159" s="19"/>
      <c r="I159" s="19">
        <v>2500</v>
      </c>
      <c r="V159" s="3"/>
      <c r="W159" s="3"/>
      <c r="AU159" s="22">
        <f t="shared" si="17"/>
        <v>2500</v>
      </c>
      <c r="AV159" s="19">
        <v>2231.6</v>
      </c>
      <c r="AW159" s="19">
        <v>268.39999999999998</v>
      </c>
      <c r="AX159" s="19"/>
      <c r="CH159" s="22">
        <f t="shared" si="13"/>
        <v>2500</v>
      </c>
      <c r="CI159" s="3">
        <f t="shared" si="14"/>
        <v>0</v>
      </c>
      <c r="CJ159" s="17">
        <f t="shared" si="15"/>
        <v>10630</v>
      </c>
      <c r="CK159" s="3" t="str">
        <f t="shared" si="16"/>
        <v>برنامج دولى</v>
      </c>
    </row>
    <row r="160" spans="4:89" ht="31.5" x14ac:dyDescent="0.25">
      <c r="D160" s="19">
        <v>17364</v>
      </c>
      <c r="E160" s="17">
        <v>10631</v>
      </c>
      <c r="F160" s="3" t="s">
        <v>78</v>
      </c>
      <c r="G160" s="213" t="s">
        <v>153</v>
      </c>
      <c r="H160" s="19"/>
      <c r="I160" s="19">
        <v>8793.75</v>
      </c>
      <c r="V160" s="3"/>
      <c r="W160" s="3"/>
      <c r="AU160" s="22">
        <f t="shared" si="17"/>
        <v>8793.75</v>
      </c>
      <c r="AV160" s="19">
        <v>5876.75</v>
      </c>
      <c r="AW160" s="19">
        <v>798.25</v>
      </c>
      <c r="AX160" s="19">
        <v>2118.75</v>
      </c>
      <c r="CH160" s="22">
        <f t="shared" si="13"/>
        <v>8793.75</v>
      </c>
      <c r="CI160" s="3">
        <f t="shared" si="14"/>
        <v>0</v>
      </c>
      <c r="CJ160" s="17">
        <f t="shared" si="15"/>
        <v>10631</v>
      </c>
      <c r="CK160" s="3" t="str">
        <f t="shared" si="16"/>
        <v>برنامج دولى</v>
      </c>
    </row>
    <row r="161" spans="3:89" x14ac:dyDescent="0.25">
      <c r="D161" s="19">
        <v>17367</v>
      </c>
      <c r="E161" s="20">
        <v>10632</v>
      </c>
      <c r="F161" s="3" t="s">
        <v>78</v>
      </c>
      <c r="G161" s="19" t="s">
        <v>154</v>
      </c>
      <c r="H161" s="19"/>
      <c r="I161" s="19">
        <v>20240.38</v>
      </c>
      <c r="V161" s="3"/>
      <c r="W161" s="3"/>
      <c r="AU161" s="22">
        <f t="shared" si="17"/>
        <v>20240.38</v>
      </c>
      <c r="AV161" s="19">
        <v>17703.099999999999</v>
      </c>
      <c r="AW161" s="19">
        <v>2143.6</v>
      </c>
      <c r="AX161" s="19">
        <v>393.68</v>
      </c>
      <c r="CH161" s="22">
        <f t="shared" si="13"/>
        <v>20240.379999999997</v>
      </c>
      <c r="CI161" s="3">
        <f t="shared" si="14"/>
        <v>0</v>
      </c>
      <c r="CJ161" s="17">
        <f t="shared" si="15"/>
        <v>10632</v>
      </c>
      <c r="CK161" s="3" t="str">
        <f t="shared" si="16"/>
        <v>برنامج دولى</v>
      </c>
    </row>
    <row r="162" spans="3:89" x14ac:dyDescent="0.25">
      <c r="D162" s="19">
        <v>17368</v>
      </c>
      <c r="E162" s="17">
        <v>10633</v>
      </c>
      <c r="F162" s="3" t="s">
        <v>78</v>
      </c>
      <c r="G162" s="19" t="s">
        <v>154</v>
      </c>
      <c r="H162" s="19"/>
      <c r="I162" s="19">
        <v>1000</v>
      </c>
      <c r="V162" s="3"/>
      <c r="W162" s="3"/>
      <c r="AU162" s="22">
        <f t="shared" si="17"/>
        <v>1000</v>
      </c>
      <c r="AV162" s="19">
        <v>893.35</v>
      </c>
      <c r="AW162" s="19">
        <v>106.65</v>
      </c>
      <c r="AX162" s="19"/>
      <c r="CH162" s="22">
        <f t="shared" si="13"/>
        <v>1000</v>
      </c>
      <c r="CI162" s="3">
        <f t="shared" si="14"/>
        <v>0</v>
      </c>
      <c r="CJ162" s="17">
        <f t="shared" si="15"/>
        <v>10633</v>
      </c>
      <c r="CK162" s="3" t="str">
        <f t="shared" si="16"/>
        <v>برنامج دولى</v>
      </c>
    </row>
    <row r="163" spans="3:89" x14ac:dyDescent="0.25">
      <c r="D163" s="19">
        <v>17372</v>
      </c>
      <c r="E163" s="17">
        <v>10634</v>
      </c>
      <c r="F163" s="3" t="s">
        <v>78</v>
      </c>
      <c r="G163" s="19" t="s">
        <v>155</v>
      </c>
      <c r="H163" s="19"/>
      <c r="I163" s="19">
        <v>800</v>
      </c>
      <c r="V163" s="3"/>
      <c r="W163" s="3"/>
      <c r="AU163" s="22">
        <f t="shared" si="17"/>
        <v>800</v>
      </c>
      <c r="AV163" s="19">
        <v>714.75</v>
      </c>
      <c r="AW163" s="19">
        <v>85.25</v>
      </c>
      <c r="AX163" s="19"/>
      <c r="CH163" s="22">
        <f t="shared" si="13"/>
        <v>800</v>
      </c>
      <c r="CI163" s="3">
        <f t="shared" si="14"/>
        <v>0</v>
      </c>
      <c r="CJ163" s="17">
        <f t="shared" si="15"/>
        <v>10634</v>
      </c>
      <c r="CK163" s="3" t="str">
        <f t="shared" si="16"/>
        <v>برنامج دولى</v>
      </c>
    </row>
    <row r="164" spans="3:89" x14ac:dyDescent="0.25">
      <c r="D164" s="19">
        <v>17371</v>
      </c>
      <c r="E164" s="20">
        <v>10635</v>
      </c>
      <c r="F164" s="3" t="s">
        <v>78</v>
      </c>
      <c r="G164" s="19" t="s">
        <v>155</v>
      </c>
      <c r="H164" s="19"/>
      <c r="I164" s="19">
        <v>4690</v>
      </c>
      <c r="V164" s="3"/>
      <c r="W164" s="3"/>
      <c r="AU164" s="22">
        <f t="shared" si="17"/>
        <v>4690</v>
      </c>
      <c r="AV164" s="19">
        <v>3136.75</v>
      </c>
      <c r="AW164" s="19">
        <v>423.25</v>
      </c>
      <c r="AX164" s="19">
        <v>1130</v>
      </c>
      <c r="CH164" s="22">
        <f t="shared" si="13"/>
        <v>4690</v>
      </c>
      <c r="CI164" s="3">
        <f t="shared" si="14"/>
        <v>0</v>
      </c>
      <c r="CJ164" s="17">
        <f t="shared" si="15"/>
        <v>10635</v>
      </c>
      <c r="CK164" s="3" t="str">
        <f t="shared" si="16"/>
        <v>برنامج دولى</v>
      </c>
    </row>
    <row r="165" spans="3:89" x14ac:dyDescent="0.25">
      <c r="D165" s="19">
        <v>17370</v>
      </c>
      <c r="E165" s="17">
        <v>10636</v>
      </c>
      <c r="F165" s="3" t="s">
        <v>78</v>
      </c>
      <c r="G165" s="19" t="s">
        <v>155</v>
      </c>
      <c r="H165" s="19"/>
      <c r="I165" s="19">
        <v>938</v>
      </c>
      <c r="V165" s="3"/>
      <c r="W165" s="3"/>
      <c r="AU165" s="22">
        <f t="shared" si="17"/>
        <v>938</v>
      </c>
      <c r="AV165" s="19">
        <v>627.35</v>
      </c>
      <c r="AW165" s="19">
        <v>84.65</v>
      </c>
      <c r="AX165" s="19">
        <v>226</v>
      </c>
      <c r="CH165" s="22">
        <f t="shared" si="13"/>
        <v>938</v>
      </c>
      <c r="CI165" s="3">
        <f t="shared" si="14"/>
        <v>0</v>
      </c>
      <c r="CJ165" s="17">
        <f t="shared" si="15"/>
        <v>10636</v>
      </c>
      <c r="CK165" s="3" t="str">
        <f t="shared" si="16"/>
        <v>برنامج دولى</v>
      </c>
    </row>
    <row r="166" spans="3:89" x14ac:dyDescent="0.25">
      <c r="D166" s="19">
        <v>17369</v>
      </c>
      <c r="E166" s="17">
        <v>10637</v>
      </c>
      <c r="F166" s="3" t="s">
        <v>78</v>
      </c>
      <c r="G166" s="19" t="s">
        <v>155</v>
      </c>
      <c r="H166" s="19"/>
      <c r="I166" s="19">
        <v>1876</v>
      </c>
      <c r="V166" s="3"/>
      <c r="W166" s="3"/>
      <c r="AU166" s="22">
        <f t="shared" si="17"/>
        <v>1876</v>
      </c>
      <c r="AV166" s="19">
        <v>1254.1500000000001</v>
      </c>
      <c r="AW166" s="19">
        <f>160+9.85</f>
        <v>169.85</v>
      </c>
      <c r="AX166" s="19">
        <v>452</v>
      </c>
      <c r="CH166" s="22">
        <f t="shared" si="13"/>
        <v>1876</v>
      </c>
      <c r="CI166" s="3">
        <f t="shared" si="14"/>
        <v>0</v>
      </c>
      <c r="CJ166" s="17">
        <f t="shared" si="15"/>
        <v>10637</v>
      </c>
      <c r="CK166" s="3" t="str">
        <f t="shared" si="16"/>
        <v>برنامج دولى</v>
      </c>
    </row>
    <row r="167" spans="3:89" x14ac:dyDescent="0.25">
      <c r="D167" s="19">
        <v>17377</v>
      </c>
      <c r="E167" s="20">
        <v>10638</v>
      </c>
      <c r="F167" s="3" t="s">
        <v>78</v>
      </c>
      <c r="G167" s="19" t="s">
        <v>155</v>
      </c>
      <c r="H167" s="19"/>
      <c r="I167" s="19">
        <v>800</v>
      </c>
      <c r="V167" s="3"/>
      <c r="W167" s="3"/>
      <c r="AU167" s="22">
        <f t="shared" si="17"/>
        <v>800</v>
      </c>
      <c r="AV167" s="19">
        <v>714.75</v>
      </c>
      <c r="AW167" s="19">
        <v>85.25</v>
      </c>
      <c r="AX167" s="19"/>
      <c r="CH167" s="22">
        <f t="shared" si="13"/>
        <v>800</v>
      </c>
      <c r="CI167" s="3">
        <f t="shared" si="14"/>
        <v>0</v>
      </c>
      <c r="CJ167" s="17">
        <f t="shared" si="15"/>
        <v>10638</v>
      </c>
      <c r="CK167" s="3" t="str">
        <f t="shared" si="16"/>
        <v>برنامج دولى</v>
      </c>
    </row>
    <row r="168" spans="3:89" x14ac:dyDescent="0.25">
      <c r="D168" s="19">
        <v>17375</v>
      </c>
      <c r="E168" s="17">
        <v>10639</v>
      </c>
      <c r="F168" s="3" t="s">
        <v>78</v>
      </c>
      <c r="G168" s="19" t="s">
        <v>155</v>
      </c>
      <c r="H168" s="19"/>
      <c r="I168" s="19">
        <v>3283</v>
      </c>
      <c r="V168" s="3"/>
      <c r="W168" s="3"/>
      <c r="AU168" s="22">
        <f t="shared" si="17"/>
        <v>3283</v>
      </c>
      <c r="AV168" s="19">
        <v>2195.9</v>
      </c>
      <c r="AW168" s="19">
        <v>296.10000000000002</v>
      </c>
      <c r="AX168" s="19">
        <v>791</v>
      </c>
      <c r="CH168" s="22">
        <f t="shared" si="13"/>
        <v>3283</v>
      </c>
      <c r="CI168" s="3">
        <f t="shared" si="14"/>
        <v>0</v>
      </c>
      <c r="CJ168" s="17">
        <f t="shared" si="15"/>
        <v>10639</v>
      </c>
      <c r="CK168" s="3" t="str">
        <f t="shared" si="16"/>
        <v>برنامج دولى</v>
      </c>
    </row>
    <row r="169" spans="3:89" x14ac:dyDescent="0.25">
      <c r="D169" s="19">
        <v>17373</v>
      </c>
      <c r="E169" s="17">
        <v>10640</v>
      </c>
      <c r="F169" s="3" t="s">
        <v>78</v>
      </c>
      <c r="G169" s="19" t="s">
        <v>155</v>
      </c>
      <c r="H169" s="19"/>
      <c r="I169" s="19">
        <v>938</v>
      </c>
      <c r="V169" s="3"/>
      <c r="W169" s="3"/>
      <c r="AU169" s="22">
        <f t="shared" si="17"/>
        <v>938</v>
      </c>
      <c r="AV169" s="19">
        <v>627.35</v>
      </c>
      <c r="AW169" s="19">
        <v>84.65</v>
      </c>
      <c r="AX169" s="19">
        <v>226</v>
      </c>
      <c r="CH169" s="22">
        <f t="shared" si="13"/>
        <v>938</v>
      </c>
      <c r="CI169" s="3">
        <f t="shared" si="14"/>
        <v>0</v>
      </c>
      <c r="CJ169" s="17">
        <f t="shared" si="15"/>
        <v>10640</v>
      </c>
      <c r="CK169" s="3" t="str">
        <f t="shared" si="16"/>
        <v>برنامج دولى</v>
      </c>
    </row>
    <row r="170" spans="3:89" x14ac:dyDescent="0.25">
      <c r="D170" s="19">
        <v>17374</v>
      </c>
      <c r="E170" s="20">
        <v>10641</v>
      </c>
      <c r="F170" s="3" t="s">
        <v>78</v>
      </c>
      <c r="G170" s="19" t="s">
        <v>155</v>
      </c>
      <c r="H170" s="19"/>
      <c r="I170" s="19">
        <v>938</v>
      </c>
      <c r="V170" s="3"/>
      <c r="W170" s="3"/>
      <c r="AU170" s="22">
        <f t="shared" si="17"/>
        <v>938</v>
      </c>
      <c r="AV170" s="19">
        <v>627.35</v>
      </c>
      <c r="AW170" s="19">
        <v>84.65</v>
      </c>
      <c r="AX170" s="19">
        <v>226</v>
      </c>
      <c r="CH170" s="22">
        <f t="shared" si="13"/>
        <v>938</v>
      </c>
      <c r="CI170" s="3">
        <f t="shared" si="14"/>
        <v>0</v>
      </c>
      <c r="CJ170" s="17">
        <f t="shared" si="15"/>
        <v>10641</v>
      </c>
      <c r="CK170" s="3" t="str">
        <f t="shared" si="16"/>
        <v>برنامج دولى</v>
      </c>
    </row>
    <row r="171" spans="3:89" x14ac:dyDescent="0.25">
      <c r="D171" s="19">
        <v>17311</v>
      </c>
      <c r="E171" s="17">
        <v>10642</v>
      </c>
      <c r="F171" s="3" t="s">
        <v>78</v>
      </c>
      <c r="G171" s="19" t="s">
        <v>156</v>
      </c>
      <c r="H171" s="19"/>
      <c r="I171" s="19">
        <v>1113.8800000000001</v>
      </c>
      <c r="V171" s="3"/>
      <c r="W171" s="3"/>
      <c r="AU171" s="22">
        <f t="shared" si="17"/>
        <v>1113.8800000000001</v>
      </c>
      <c r="AV171" s="19">
        <v>745.4</v>
      </c>
      <c r="AW171" s="19">
        <v>100.1</v>
      </c>
      <c r="AX171" s="19">
        <v>268.38</v>
      </c>
      <c r="CH171" s="22">
        <f t="shared" si="13"/>
        <v>1113.8800000000001</v>
      </c>
      <c r="CI171" s="3">
        <f t="shared" si="14"/>
        <v>0</v>
      </c>
      <c r="CJ171" s="17">
        <f t="shared" si="15"/>
        <v>10642</v>
      </c>
      <c r="CK171" s="3" t="str">
        <f t="shared" si="16"/>
        <v>برنامج دولى</v>
      </c>
    </row>
    <row r="172" spans="3:89" ht="31.5" x14ac:dyDescent="0.25">
      <c r="D172" s="19">
        <v>17312</v>
      </c>
      <c r="E172" s="17">
        <v>10643</v>
      </c>
      <c r="F172" s="3" t="s">
        <v>78</v>
      </c>
      <c r="G172" s="213" t="s">
        <v>157</v>
      </c>
      <c r="H172" s="19"/>
      <c r="I172" s="19">
        <v>5084.5</v>
      </c>
      <c r="V172" s="3"/>
      <c r="W172" s="3"/>
      <c r="AU172" s="22">
        <f t="shared" si="17"/>
        <v>5084.5</v>
      </c>
      <c r="AV172" s="19">
        <v>4488.1499999999996</v>
      </c>
      <c r="AW172" s="19">
        <v>539.85</v>
      </c>
      <c r="AX172" s="19">
        <v>56.5</v>
      </c>
      <c r="CH172" s="22">
        <f t="shared" si="13"/>
        <v>5084.5</v>
      </c>
      <c r="CI172" s="3">
        <f t="shared" si="14"/>
        <v>0</v>
      </c>
      <c r="CJ172" s="17">
        <f t="shared" si="15"/>
        <v>10643</v>
      </c>
      <c r="CK172" s="3" t="str">
        <f t="shared" si="16"/>
        <v>برنامج دولى</v>
      </c>
    </row>
    <row r="173" spans="3:89" ht="31.5" x14ac:dyDescent="0.25">
      <c r="D173" s="19">
        <v>17313</v>
      </c>
      <c r="E173" s="20">
        <v>10644</v>
      </c>
      <c r="F173" s="3" t="s">
        <v>78</v>
      </c>
      <c r="G173" s="213" t="s">
        <v>157</v>
      </c>
      <c r="H173" s="19"/>
      <c r="I173" s="19">
        <v>2931.25</v>
      </c>
      <c r="V173" s="3"/>
      <c r="W173" s="3"/>
      <c r="AU173" s="22">
        <f t="shared" si="17"/>
        <v>2931.25</v>
      </c>
      <c r="AV173" s="19">
        <v>1961.95</v>
      </c>
      <c r="AW173" s="19">
        <v>263.05</v>
      </c>
      <c r="AX173" s="19">
        <v>706.25</v>
      </c>
      <c r="CH173" s="22">
        <f t="shared" si="13"/>
        <v>2931.25</v>
      </c>
      <c r="CI173" s="3">
        <f t="shared" si="14"/>
        <v>0</v>
      </c>
      <c r="CJ173" s="17">
        <f t="shared" si="15"/>
        <v>10644</v>
      </c>
      <c r="CK173" s="3" t="str">
        <f t="shared" si="16"/>
        <v>برنامج دولى</v>
      </c>
    </row>
    <row r="174" spans="3:89" ht="31.5" x14ac:dyDescent="0.25">
      <c r="D174" s="19">
        <v>17314</v>
      </c>
      <c r="E174" s="17">
        <v>10645</v>
      </c>
      <c r="F174" s="3" t="s">
        <v>78</v>
      </c>
      <c r="G174" s="213" t="s">
        <v>157</v>
      </c>
      <c r="H174" s="19"/>
      <c r="I174" s="19">
        <v>1231.1300000000001</v>
      </c>
      <c r="V174" s="3"/>
      <c r="W174" s="3"/>
      <c r="AU174" s="22">
        <f t="shared" si="17"/>
        <v>1231.1300000000001</v>
      </c>
      <c r="AV174" s="19">
        <v>824.4</v>
      </c>
      <c r="AW174" s="19">
        <v>110.1</v>
      </c>
      <c r="AX174" s="19">
        <v>296.63</v>
      </c>
      <c r="CH174" s="22">
        <f t="shared" si="13"/>
        <v>1231.1300000000001</v>
      </c>
      <c r="CI174" s="3">
        <f t="shared" si="14"/>
        <v>0</v>
      </c>
      <c r="CJ174" s="17">
        <f t="shared" si="15"/>
        <v>10645</v>
      </c>
      <c r="CK174" s="3" t="str">
        <f t="shared" si="16"/>
        <v>برنامج دولى</v>
      </c>
    </row>
    <row r="175" spans="3:89" ht="31.5" x14ac:dyDescent="0.25">
      <c r="D175" s="19">
        <v>17315</v>
      </c>
      <c r="E175" s="17">
        <v>10646</v>
      </c>
      <c r="F175" s="3" t="s">
        <v>78</v>
      </c>
      <c r="G175" s="213" t="s">
        <v>157</v>
      </c>
      <c r="H175" s="19"/>
      <c r="I175" s="19">
        <v>938</v>
      </c>
      <c r="V175" s="3"/>
      <c r="W175" s="3"/>
      <c r="AU175" s="22">
        <f t="shared" si="17"/>
        <v>938</v>
      </c>
      <c r="AV175" s="19">
        <v>627.79999999999995</v>
      </c>
      <c r="AW175" s="19">
        <v>84.2</v>
      </c>
      <c r="AX175" s="19">
        <v>226</v>
      </c>
      <c r="CH175" s="22">
        <f t="shared" si="13"/>
        <v>938</v>
      </c>
      <c r="CI175" s="3">
        <f t="shared" si="14"/>
        <v>0</v>
      </c>
      <c r="CJ175" s="17">
        <f t="shared" si="15"/>
        <v>10646</v>
      </c>
      <c r="CK175" s="3" t="str">
        <f t="shared" si="16"/>
        <v>برنامج دولى</v>
      </c>
    </row>
    <row r="176" spans="3:89" x14ac:dyDescent="0.25">
      <c r="C176" s="3"/>
      <c r="D176" s="19">
        <v>17316</v>
      </c>
      <c r="E176" s="20">
        <v>10647</v>
      </c>
      <c r="F176" s="3" t="s">
        <v>78</v>
      </c>
      <c r="G176" s="19" t="s">
        <v>158</v>
      </c>
      <c r="H176" s="19"/>
      <c r="I176" s="19">
        <v>9551.75</v>
      </c>
      <c r="V176" s="3"/>
      <c r="W176" s="3"/>
      <c r="AU176" s="22">
        <f t="shared" si="17"/>
        <v>9551.75</v>
      </c>
      <c r="AV176" s="19">
        <v>8447.9500000000007</v>
      </c>
      <c r="AW176" s="19">
        <v>1019.05</v>
      </c>
      <c r="AX176" s="19">
        <v>84.75</v>
      </c>
      <c r="CH176" s="22">
        <f t="shared" si="13"/>
        <v>9551.75</v>
      </c>
      <c r="CI176" s="3">
        <f t="shared" si="14"/>
        <v>0</v>
      </c>
      <c r="CJ176" s="17">
        <f t="shared" si="15"/>
        <v>10647</v>
      </c>
      <c r="CK176" s="3" t="str">
        <f t="shared" si="16"/>
        <v>برنامج دولى</v>
      </c>
    </row>
    <row r="177" spans="3:89" x14ac:dyDescent="0.25">
      <c r="C177" s="3"/>
      <c r="D177" s="19">
        <v>17317</v>
      </c>
      <c r="E177" s="17">
        <v>10648</v>
      </c>
      <c r="F177" s="3" t="s">
        <v>78</v>
      </c>
      <c r="G177" s="19" t="s">
        <v>158</v>
      </c>
      <c r="H177" s="19"/>
      <c r="I177" s="19">
        <v>5510.75</v>
      </c>
      <c r="V177" s="3"/>
      <c r="W177" s="3"/>
      <c r="AU177" s="22">
        <f t="shared" si="17"/>
        <v>5510.75</v>
      </c>
      <c r="AV177" s="19">
        <v>3684.85</v>
      </c>
      <c r="AW177" s="19">
        <v>498.15</v>
      </c>
      <c r="AX177" s="19">
        <v>1327.75</v>
      </c>
      <c r="CH177" s="22">
        <f t="shared" si="13"/>
        <v>5510.75</v>
      </c>
      <c r="CI177" s="3">
        <f t="shared" si="14"/>
        <v>0</v>
      </c>
      <c r="CJ177" s="17">
        <f t="shared" si="15"/>
        <v>10648</v>
      </c>
      <c r="CK177" s="3" t="str">
        <f t="shared" si="16"/>
        <v>برنامج دولى</v>
      </c>
    </row>
    <row r="178" spans="3:89" x14ac:dyDescent="0.25">
      <c r="D178" s="19">
        <v>17318</v>
      </c>
      <c r="E178" s="17">
        <v>10649</v>
      </c>
      <c r="F178" s="3" t="s">
        <v>78</v>
      </c>
      <c r="G178" s="19" t="s">
        <v>158</v>
      </c>
      <c r="H178" s="19"/>
      <c r="I178" s="19">
        <v>2110.5</v>
      </c>
      <c r="V178" s="3"/>
      <c r="W178" s="3"/>
      <c r="AU178" s="22">
        <f t="shared" si="17"/>
        <v>2110.5</v>
      </c>
      <c r="AV178" s="19">
        <v>1412.05</v>
      </c>
      <c r="AW178" s="19">
        <v>189.95</v>
      </c>
      <c r="AX178" s="19">
        <v>508.5</v>
      </c>
      <c r="CH178" s="22">
        <f t="shared" si="13"/>
        <v>2110.5</v>
      </c>
      <c r="CI178" s="3">
        <f t="shared" si="14"/>
        <v>0</v>
      </c>
      <c r="CJ178" s="17">
        <f t="shared" si="15"/>
        <v>10649</v>
      </c>
      <c r="CK178" s="3" t="str">
        <f t="shared" si="16"/>
        <v>برنامج دولى</v>
      </c>
    </row>
    <row r="179" spans="3:89" x14ac:dyDescent="0.25">
      <c r="D179" s="19">
        <v>17319</v>
      </c>
      <c r="E179" s="20">
        <v>10650</v>
      </c>
      <c r="F179" s="3" t="s">
        <v>78</v>
      </c>
      <c r="G179" s="19" t="s">
        <v>158</v>
      </c>
      <c r="H179" s="19"/>
      <c r="I179" s="19">
        <v>2227.75</v>
      </c>
      <c r="V179" s="3"/>
      <c r="W179" s="3"/>
      <c r="AU179" s="22">
        <f t="shared" si="17"/>
        <v>2227.75</v>
      </c>
      <c r="AV179" s="19">
        <v>1489.75</v>
      </c>
      <c r="AW179" s="19">
        <f>190+11.25</f>
        <v>201.25</v>
      </c>
      <c r="AX179" s="19">
        <v>536.75</v>
      </c>
      <c r="CH179" s="22">
        <f t="shared" si="13"/>
        <v>2227.75</v>
      </c>
      <c r="CI179" s="3">
        <f t="shared" si="14"/>
        <v>0</v>
      </c>
      <c r="CJ179" s="17">
        <f t="shared" si="15"/>
        <v>10650</v>
      </c>
      <c r="CK179" s="3" t="str">
        <f t="shared" si="16"/>
        <v>برنامج دولى</v>
      </c>
    </row>
    <row r="180" spans="3:89" x14ac:dyDescent="0.25">
      <c r="D180" s="19">
        <v>17320</v>
      </c>
      <c r="E180" s="17">
        <v>10651</v>
      </c>
      <c r="F180" s="3" t="s">
        <v>78</v>
      </c>
      <c r="G180" s="19" t="s">
        <v>159</v>
      </c>
      <c r="H180" s="19"/>
      <c r="I180" s="19">
        <v>9610.3799999999992</v>
      </c>
      <c r="V180" s="3"/>
      <c r="W180" s="3"/>
      <c r="AU180" s="22">
        <f t="shared" si="17"/>
        <v>9610.3799999999992</v>
      </c>
      <c r="AV180" s="19">
        <v>8487.2000000000007</v>
      </c>
      <c r="AW180" s="19">
        <v>1024.3</v>
      </c>
      <c r="AX180" s="19">
        <v>98.88</v>
      </c>
      <c r="CH180" s="22">
        <f t="shared" si="13"/>
        <v>9610.3799999999992</v>
      </c>
      <c r="CI180" s="3">
        <f t="shared" si="14"/>
        <v>0</v>
      </c>
      <c r="CJ180" s="17">
        <f t="shared" si="15"/>
        <v>10651</v>
      </c>
      <c r="CK180" s="3" t="str">
        <f t="shared" si="16"/>
        <v>برنامج دولى</v>
      </c>
    </row>
    <row r="181" spans="3:89" x14ac:dyDescent="0.25">
      <c r="D181" s="19">
        <v>17321</v>
      </c>
      <c r="E181" s="17">
        <v>10652</v>
      </c>
      <c r="F181" s="3" t="s">
        <v>78</v>
      </c>
      <c r="G181" s="19" t="s">
        <v>159</v>
      </c>
      <c r="H181" s="19"/>
      <c r="I181" s="19">
        <v>5862.51</v>
      </c>
      <c r="V181" s="3"/>
      <c r="W181" s="3"/>
      <c r="AU181" s="22">
        <f t="shared" si="17"/>
        <v>5862.51</v>
      </c>
      <c r="AV181" s="19">
        <v>3919.9</v>
      </c>
      <c r="AW181" s="19">
        <v>530.1</v>
      </c>
      <c r="AX181" s="19">
        <v>1412.51</v>
      </c>
      <c r="CH181" s="22">
        <f t="shared" si="13"/>
        <v>5862.51</v>
      </c>
      <c r="CI181" s="3">
        <f t="shared" si="14"/>
        <v>0</v>
      </c>
      <c r="CJ181" s="17">
        <f t="shared" si="15"/>
        <v>10652</v>
      </c>
      <c r="CK181" s="3" t="str">
        <f t="shared" si="16"/>
        <v>برنامج دولى</v>
      </c>
    </row>
    <row r="182" spans="3:89" x14ac:dyDescent="0.25">
      <c r="D182" s="19">
        <v>17322</v>
      </c>
      <c r="E182" s="20">
        <v>10653</v>
      </c>
      <c r="F182" s="3" t="s">
        <v>78</v>
      </c>
      <c r="G182" s="19" t="s">
        <v>159</v>
      </c>
      <c r="H182" s="19"/>
      <c r="I182" s="19">
        <v>2403.63</v>
      </c>
      <c r="V182" s="3"/>
      <c r="W182" s="3"/>
      <c r="AU182" s="22">
        <f t="shared" si="17"/>
        <v>2403.63</v>
      </c>
      <c r="AV182" s="19">
        <v>1607.85</v>
      </c>
      <c r="AW182" s="19">
        <v>216.65</v>
      </c>
      <c r="AX182" s="19">
        <v>579.13</v>
      </c>
      <c r="CH182" s="22">
        <f t="shared" si="13"/>
        <v>2403.63</v>
      </c>
      <c r="CI182" s="3">
        <f t="shared" si="14"/>
        <v>0</v>
      </c>
      <c r="CJ182" s="17">
        <f t="shared" si="15"/>
        <v>10653</v>
      </c>
      <c r="CK182" s="3" t="str">
        <f t="shared" si="16"/>
        <v>برنامج دولى</v>
      </c>
    </row>
    <row r="183" spans="3:89" x14ac:dyDescent="0.25">
      <c r="D183" s="19">
        <v>17323</v>
      </c>
      <c r="E183" s="17">
        <v>10654</v>
      </c>
      <c r="F183" s="3" t="s">
        <v>78</v>
      </c>
      <c r="G183" s="19" t="s">
        <v>159</v>
      </c>
      <c r="H183" s="19"/>
      <c r="I183" s="19">
        <v>2286.38</v>
      </c>
      <c r="V183" s="3"/>
      <c r="W183" s="3"/>
      <c r="AU183" s="22">
        <f t="shared" si="17"/>
        <v>2286.38</v>
      </c>
      <c r="AV183" s="19">
        <v>1529</v>
      </c>
      <c r="AW183" s="19">
        <f>195+11.5</f>
        <v>206.5</v>
      </c>
      <c r="AX183" s="19">
        <v>550.88</v>
      </c>
      <c r="CH183" s="22">
        <f t="shared" si="13"/>
        <v>2286.38</v>
      </c>
      <c r="CI183" s="3">
        <f t="shared" si="14"/>
        <v>0</v>
      </c>
      <c r="CJ183" s="17">
        <f t="shared" si="15"/>
        <v>10654</v>
      </c>
      <c r="CK183" s="3" t="str">
        <f t="shared" si="16"/>
        <v>برنامج دولى</v>
      </c>
    </row>
    <row r="184" spans="3:89" x14ac:dyDescent="0.25">
      <c r="D184" s="19">
        <v>17327</v>
      </c>
      <c r="E184" s="17">
        <v>10655</v>
      </c>
      <c r="F184" s="3" t="s">
        <v>78</v>
      </c>
      <c r="G184" s="19" t="s">
        <v>160</v>
      </c>
      <c r="H184" s="19"/>
      <c r="I184" s="19">
        <v>1758.76</v>
      </c>
      <c r="V184" s="3"/>
      <c r="W184" s="3"/>
      <c r="AU184" s="22">
        <f t="shared" si="17"/>
        <v>1758.76</v>
      </c>
      <c r="AV184" s="19">
        <v>1176.3</v>
      </c>
      <c r="AW184" s="19">
        <v>158.69999999999999</v>
      </c>
      <c r="AX184" s="19">
        <v>423.76</v>
      </c>
      <c r="CH184" s="22">
        <f t="shared" si="13"/>
        <v>1758.76</v>
      </c>
      <c r="CI184" s="3">
        <f t="shared" si="14"/>
        <v>0</v>
      </c>
      <c r="CJ184" s="17">
        <f t="shared" si="15"/>
        <v>10655</v>
      </c>
      <c r="CK184" s="3" t="str">
        <f t="shared" si="16"/>
        <v>برنامج دولى</v>
      </c>
    </row>
    <row r="185" spans="3:89" x14ac:dyDescent="0.25">
      <c r="D185" s="19">
        <v>17328</v>
      </c>
      <c r="E185" s="20">
        <v>10656</v>
      </c>
      <c r="F185" s="3" t="s">
        <v>78</v>
      </c>
      <c r="G185" s="19" t="s">
        <v>160</v>
      </c>
      <c r="H185" s="19"/>
      <c r="I185" s="19">
        <v>5100.37</v>
      </c>
      <c r="V185" s="3"/>
      <c r="W185" s="3"/>
      <c r="AU185" s="22">
        <f t="shared" si="17"/>
        <v>5100.37</v>
      </c>
      <c r="AV185" s="19">
        <v>3408.5</v>
      </c>
      <c r="AW185" s="19">
        <v>463</v>
      </c>
      <c r="AX185" s="19">
        <v>1228.8699999999999</v>
      </c>
      <c r="CH185" s="22">
        <f t="shared" si="13"/>
        <v>5100.37</v>
      </c>
      <c r="CI185" s="3">
        <f t="shared" si="14"/>
        <v>0</v>
      </c>
      <c r="CJ185" s="17">
        <f t="shared" si="15"/>
        <v>10656</v>
      </c>
      <c r="CK185" s="3" t="str">
        <f t="shared" si="16"/>
        <v>برنامج دولى</v>
      </c>
    </row>
    <row r="186" spans="3:89" x14ac:dyDescent="0.25">
      <c r="D186" s="19">
        <v>17329</v>
      </c>
      <c r="E186" s="17">
        <v>10657</v>
      </c>
      <c r="F186" s="3" t="s">
        <v>78</v>
      </c>
      <c r="G186" s="19" t="s">
        <v>160</v>
      </c>
      <c r="H186" s="19"/>
      <c r="I186" s="19">
        <v>8148.86</v>
      </c>
      <c r="V186" s="3"/>
      <c r="W186" s="3"/>
      <c r="AU186" s="22">
        <f t="shared" si="17"/>
        <v>8148.86</v>
      </c>
      <c r="AV186" s="19">
        <v>5447.1</v>
      </c>
      <c r="AW186" s="19">
        <v>738.4</v>
      </c>
      <c r="AX186" s="19">
        <v>1963.36</v>
      </c>
      <c r="CH186" s="22">
        <f t="shared" si="13"/>
        <v>8148.86</v>
      </c>
      <c r="CI186" s="3">
        <f t="shared" si="14"/>
        <v>0</v>
      </c>
      <c r="CJ186" s="17">
        <f t="shared" si="15"/>
        <v>10657</v>
      </c>
      <c r="CK186" s="3" t="str">
        <f t="shared" si="16"/>
        <v>برنامج دولى</v>
      </c>
    </row>
    <row r="187" spans="3:89" x14ac:dyDescent="0.25">
      <c r="D187" s="19">
        <v>17330</v>
      </c>
      <c r="E187" s="17">
        <v>10658</v>
      </c>
      <c r="F187" s="3" t="s">
        <v>78</v>
      </c>
      <c r="G187" s="19" t="s">
        <v>161</v>
      </c>
      <c r="H187" s="19"/>
      <c r="I187" s="19">
        <v>1758.75</v>
      </c>
      <c r="V187" s="3"/>
      <c r="W187" s="3"/>
      <c r="AU187" s="22">
        <f t="shared" si="17"/>
        <v>1758.75</v>
      </c>
      <c r="AV187" s="19">
        <v>1175.3499999999999</v>
      </c>
      <c r="AW187" s="19">
        <v>159.65</v>
      </c>
      <c r="AX187" s="19">
        <v>423.75</v>
      </c>
      <c r="CH187" s="22">
        <f t="shared" si="13"/>
        <v>1758.75</v>
      </c>
      <c r="CI187" s="3">
        <f t="shared" si="14"/>
        <v>0</v>
      </c>
      <c r="CJ187" s="17">
        <f t="shared" si="15"/>
        <v>10658</v>
      </c>
      <c r="CK187" s="3" t="str">
        <f t="shared" si="16"/>
        <v>برنامج دولى</v>
      </c>
    </row>
    <row r="188" spans="3:89" x14ac:dyDescent="0.25">
      <c r="D188" s="19">
        <v>17332</v>
      </c>
      <c r="E188" s="20">
        <v>10659</v>
      </c>
      <c r="F188" s="3" t="s">
        <v>78</v>
      </c>
      <c r="G188" s="19" t="s">
        <v>162</v>
      </c>
      <c r="H188" s="19"/>
      <c r="I188" s="19">
        <v>5554.38</v>
      </c>
      <c r="V188" s="3"/>
      <c r="W188" s="3"/>
      <c r="AU188" s="22">
        <f t="shared" si="17"/>
        <v>5554.38</v>
      </c>
      <c r="AV188" s="19">
        <v>4875.4799999999996</v>
      </c>
      <c r="AW188" s="19">
        <v>589.85</v>
      </c>
      <c r="AX188" s="19">
        <v>89.05</v>
      </c>
      <c r="CH188" s="22">
        <f t="shared" si="13"/>
        <v>5554.38</v>
      </c>
      <c r="CI188" s="3">
        <f t="shared" si="14"/>
        <v>0</v>
      </c>
      <c r="CJ188" s="17">
        <f t="shared" si="15"/>
        <v>10659</v>
      </c>
      <c r="CK188" s="3" t="str">
        <f t="shared" si="16"/>
        <v>برنامج دولى</v>
      </c>
    </row>
    <row r="189" spans="3:89" x14ac:dyDescent="0.25">
      <c r="D189" s="19">
        <v>17331</v>
      </c>
      <c r="E189" s="17">
        <v>10660</v>
      </c>
      <c r="F189" s="3" t="s">
        <v>78</v>
      </c>
      <c r="G189" s="19" t="s">
        <v>162</v>
      </c>
      <c r="H189" s="19"/>
      <c r="I189" s="19">
        <v>6663.93</v>
      </c>
      <c r="V189" s="3"/>
      <c r="W189" s="3"/>
      <c r="AU189" s="22">
        <f t="shared" si="17"/>
        <v>6663.93</v>
      </c>
      <c r="AV189" s="19">
        <v>5695.97</v>
      </c>
      <c r="AW189" s="19">
        <v>699.5</v>
      </c>
      <c r="AX189" s="19">
        <v>268.45999999999998</v>
      </c>
      <c r="CH189" s="22">
        <f t="shared" si="13"/>
        <v>6663.93</v>
      </c>
      <c r="CI189" s="3">
        <f t="shared" si="14"/>
        <v>0</v>
      </c>
      <c r="CJ189" s="17">
        <f t="shared" si="15"/>
        <v>10660</v>
      </c>
      <c r="CK189" s="3" t="str">
        <f t="shared" si="16"/>
        <v>برنامج دولى</v>
      </c>
    </row>
    <row r="190" spans="3:89" x14ac:dyDescent="0.25">
      <c r="D190" s="19">
        <v>17324</v>
      </c>
      <c r="E190" s="17">
        <v>10661</v>
      </c>
      <c r="F190" s="3" t="s">
        <v>78</v>
      </c>
      <c r="G190" s="19" t="s">
        <v>162</v>
      </c>
      <c r="H190" s="19"/>
      <c r="I190" s="19">
        <v>5334.88</v>
      </c>
      <c r="V190" s="3"/>
      <c r="W190" s="3"/>
      <c r="AU190" s="22">
        <f t="shared" si="17"/>
        <v>5334.88</v>
      </c>
      <c r="AV190" s="19">
        <v>3567.15</v>
      </c>
      <c r="AW190" s="19">
        <v>482.35</v>
      </c>
      <c r="AX190" s="19">
        <v>1285.3800000000001</v>
      </c>
      <c r="CH190" s="22">
        <f t="shared" si="13"/>
        <v>5334.88</v>
      </c>
      <c r="CI190" s="3">
        <f t="shared" si="14"/>
        <v>0</v>
      </c>
      <c r="CJ190" s="17">
        <f t="shared" si="15"/>
        <v>10661</v>
      </c>
      <c r="CK190" s="3" t="str">
        <f t="shared" si="16"/>
        <v>برنامج دولى</v>
      </c>
    </row>
    <row r="191" spans="3:89" x14ac:dyDescent="0.25">
      <c r="D191" s="19">
        <v>17325</v>
      </c>
      <c r="E191" s="20">
        <v>10662</v>
      </c>
      <c r="F191" s="3" t="s">
        <v>78</v>
      </c>
      <c r="G191" s="19" t="s">
        <v>162</v>
      </c>
      <c r="H191" s="19"/>
      <c r="I191" s="19">
        <v>879.38</v>
      </c>
      <c r="V191" s="3"/>
      <c r="W191" s="3"/>
      <c r="AU191" s="22">
        <f t="shared" si="17"/>
        <v>879.38</v>
      </c>
      <c r="AV191" s="19">
        <v>588.15</v>
      </c>
      <c r="AW191" s="19">
        <v>79.349999999999994</v>
      </c>
      <c r="AX191" s="19">
        <v>211.88</v>
      </c>
      <c r="CH191" s="22">
        <f t="shared" si="13"/>
        <v>879.38</v>
      </c>
      <c r="CI191" s="3">
        <f t="shared" si="14"/>
        <v>0</v>
      </c>
      <c r="CJ191" s="17">
        <f t="shared" si="15"/>
        <v>10662</v>
      </c>
      <c r="CK191" s="3" t="str">
        <f t="shared" si="16"/>
        <v>برنامج دولى</v>
      </c>
    </row>
    <row r="192" spans="3:89" x14ac:dyDescent="0.25">
      <c r="D192" s="19">
        <v>17338</v>
      </c>
      <c r="E192" s="17">
        <v>10663</v>
      </c>
      <c r="F192" s="3" t="s">
        <v>78</v>
      </c>
      <c r="G192" s="19" t="s">
        <v>162</v>
      </c>
      <c r="H192" s="19"/>
      <c r="I192" s="19">
        <v>2344.9899999999998</v>
      </c>
      <c r="V192" s="3"/>
      <c r="W192" s="3"/>
      <c r="AU192" s="22">
        <f t="shared" si="17"/>
        <v>2344.9899999999998</v>
      </c>
      <c r="AV192" s="19">
        <v>1568.55</v>
      </c>
      <c r="AW192" s="19">
        <v>211.45</v>
      </c>
      <c r="AX192" s="19">
        <v>564.99</v>
      </c>
      <c r="CH192" s="22">
        <f t="shared" si="13"/>
        <v>2344.9899999999998</v>
      </c>
      <c r="CI192" s="3">
        <f t="shared" si="14"/>
        <v>0</v>
      </c>
      <c r="CJ192" s="17">
        <f t="shared" si="15"/>
        <v>10663</v>
      </c>
      <c r="CK192" s="3" t="str">
        <f t="shared" si="16"/>
        <v>برنامج دولى</v>
      </c>
    </row>
    <row r="193" spans="3:89" x14ac:dyDescent="0.25">
      <c r="D193" s="19">
        <v>17337</v>
      </c>
      <c r="E193" s="17">
        <v>10664</v>
      </c>
      <c r="F193" s="3" t="s">
        <v>78</v>
      </c>
      <c r="G193" s="19" t="s">
        <v>162</v>
      </c>
      <c r="H193" s="19"/>
      <c r="I193" s="19">
        <v>879.38</v>
      </c>
      <c r="V193" s="3"/>
      <c r="W193" s="3"/>
      <c r="AU193" s="22">
        <f t="shared" si="17"/>
        <v>879.38</v>
      </c>
      <c r="AV193" s="19">
        <v>588.15</v>
      </c>
      <c r="AW193" s="19">
        <v>79.349999999999994</v>
      </c>
      <c r="AX193" s="19">
        <v>211.88</v>
      </c>
      <c r="CH193" s="22">
        <f t="shared" si="13"/>
        <v>879.38</v>
      </c>
      <c r="CI193" s="3">
        <f t="shared" si="14"/>
        <v>0</v>
      </c>
      <c r="CJ193" s="17">
        <f t="shared" si="15"/>
        <v>10664</v>
      </c>
      <c r="CK193" s="3" t="str">
        <f t="shared" si="16"/>
        <v>برنامج دولى</v>
      </c>
    </row>
    <row r="194" spans="3:89" x14ac:dyDescent="0.25">
      <c r="D194" s="19">
        <v>17336</v>
      </c>
      <c r="E194" s="20">
        <v>10665</v>
      </c>
      <c r="F194" s="3" t="s">
        <v>78</v>
      </c>
      <c r="G194" s="19" t="s">
        <v>162</v>
      </c>
      <c r="H194" s="19"/>
      <c r="I194" s="19">
        <v>5158.9799999999996</v>
      </c>
      <c r="V194" s="3"/>
      <c r="W194" s="3"/>
      <c r="AU194" s="22">
        <f t="shared" si="17"/>
        <v>5158.9799999999996</v>
      </c>
      <c r="AV194" s="19">
        <v>3449.7</v>
      </c>
      <c r="AW194" s="19">
        <v>466.3</v>
      </c>
      <c r="AX194" s="19">
        <v>1242.98</v>
      </c>
      <c r="CH194" s="22">
        <f t="shared" si="13"/>
        <v>5158.9799999999996</v>
      </c>
      <c r="CI194" s="3">
        <f t="shared" si="14"/>
        <v>0</v>
      </c>
      <c r="CJ194" s="17">
        <f t="shared" si="15"/>
        <v>10665</v>
      </c>
      <c r="CK194" s="3" t="str">
        <f t="shared" si="16"/>
        <v>برنامج دولى</v>
      </c>
    </row>
    <row r="195" spans="3:89" x14ac:dyDescent="0.25">
      <c r="D195" s="19">
        <v>17336</v>
      </c>
      <c r="E195" s="17">
        <v>10666</v>
      </c>
      <c r="F195" s="3" t="s">
        <v>78</v>
      </c>
      <c r="G195" s="19" t="s">
        <v>162</v>
      </c>
      <c r="H195" s="19"/>
      <c r="I195" s="19">
        <v>820.75</v>
      </c>
      <c r="V195" s="3"/>
      <c r="W195" s="3"/>
      <c r="AU195" s="22">
        <f t="shared" si="17"/>
        <v>820.75</v>
      </c>
      <c r="AV195" s="19">
        <v>548.95000000000005</v>
      </c>
      <c r="AW195" s="19">
        <v>74.05</v>
      </c>
      <c r="AX195" s="19">
        <v>197.75</v>
      </c>
      <c r="CH195" s="22">
        <f t="shared" si="13"/>
        <v>820.75</v>
      </c>
      <c r="CI195" s="3">
        <f t="shared" si="14"/>
        <v>0</v>
      </c>
      <c r="CJ195" s="17">
        <f t="shared" si="15"/>
        <v>10666</v>
      </c>
      <c r="CK195" s="3" t="str">
        <f t="shared" si="16"/>
        <v>برنامج دولى</v>
      </c>
    </row>
    <row r="196" spans="3:89" x14ac:dyDescent="0.25">
      <c r="D196" s="19">
        <v>17334</v>
      </c>
      <c r="E196" s="17">
        <v>10667</v>
      </c>
      <c r="F196" s="3" t="s">
        <v>78</v>
      </c>
      <c r="G196" s="19" t="s">
        <v>162</v>
      </c>
      <c r="H196" s="19"/>
      <c r="I196" s="19">
        <v>2286.37</v>
      </c>
      <c r="V196" s="3"/>
      <c r="W196" s="3"/>
      <c r="AU196" s="22">
        <f t="shared" si="17"/>
        <v>2286.37</v>
      </c>
      <c r="AV196" s="19">
        <v>1529.35</v>
      </c>
      <c r="AW196" s="19">
        <v>206.15</v>
      </c>
      <c r="AX196" s="19">
        <v>550.87</v>
      </c>
      <c r="CH196" s="22">
        <f t="shared" ref="CH196:CH259" si="18">SUM(AV196:CG196)</f>
        <v>2286.37</v>
      </c>
      <c r="CI196" s="3">
        <f t="shared" ref="CI196:CI259" si="19">+CH196-AU196</f>
        <v>0</v>
      </c>
      <c r="CJ196" s="17">
        <f t="shared" ref="CJ196:CJ259" si="20">+E196</f>
        <v>10667</v>
      </c>
      <c r="CK196" s="3" t="str">
        <f t="shared" ref="CK196:CK259" si="21">+F196</f>
        <v>برنامج دولى</v>
      </c>
    </row>
    <row r="197" spans="3:89" x14ac:dyDescent="0.25">
      <c r="D197" s="19">
        <v>17333</v>
      </c>
      <c r="E197" s="20">
        <v>10668</v>
      </c>
      <c r="F197" s="3" t="s">
        <v>78</v>
      </c>
      <c r="G197" s="19" t="s">
        <v>162</v>
      </c>
      <c r="H197" s="19"/>
      <c r="I197" s="19">
        <v>820.75</v>
      </c>
      <c r="V197" s="3"/>
      <c r="W197" s="3"/>
      <c r="AU197" s="22">
        <f t="shared" si="17"/>
        <v>820.75</v>
      </c>
      <c r="AV197" s="19">
        <v>548.95000000000005</v>
      </c>
      <c r="AW197" s="19">
        <v>74.05</v>
      </c>
      <c r="AX197" s="19">
        <v>197.75</v>
      </c>
      <c r="CH197" s="22">
        <f t="shared" si="18"/>
        <v>820.75</v>
      </c>
      <c r="CI197" s="3">
        <f t="shared" si="19"/>
        <v>0</v>
      </c>
      <c r="CJ197" s="17">
        <f t="shared" si="20"/>
        <v>10668</v>
      </c>
      <c r="CK197" s="3" t="str">
        <f t="shared" si="21"/>
        <v>برنامج دولى</v>
      </c>
    </row>
    <row r="198" spans="3:89" x14ac:dyDescent="0.25">
      <c r="D198" s="19">
        <v>17710</v>
      </c>
      <c r="E198" s="17">
        <v>10669</v>
      </c>
      <c r="F198" s="3" t="s">
        <v>78</v>
      </c>
      <c r="G198" s="19" t="s">
        <v>163</v>
      </c>
      <c r="H198" s="19"/>
      <c r="I198" s="19">
        <v>12118.21</v>
      </c>
      <c r="V198" s="3"/>
      <c r="W198" s="3"/>
      <c r="AU198" s="22">
        <f t="shared" si="17"/>
        <v>12118.21</v>
      </c>
      <c r="AV198" s="19">
        <v>10636.28</v>
      </c>
      <c r="AW198" s="19">
        <v>1288.3499999999999</v>
      </c>
      <c r="AX198" s="19">
        <v>193.58</v>
      </c>
      <c r="CH198" s="22">
        <f t="shared" si="18"/>
        <v>12118.210000000001</v>
      </c>
      <c r="CI198" s="3">
        <f t="shared" si="19"/>
        <v>0</v>
      </c>
      <c r="CJ198" s="17">
        <f t="shared" si="20"/>
        <v>10669</v>
      </c>
      <c r="CK198" s="3" t="str">
        <f t="shared" si="21"/>
        <v>برنامج دولى</v>
      </c>
    </row>
    <row r="199" spans="3:89" x14ac:dyDescent="0.25">
      <c r="C199" s="3"/>
      <c r="D199" s="19">
        <v>17715</v>
      </c>
      <c r="E199" s="17">
        <v>10670</v>
      </c>
      <c r="F199" s="3" t="s">
        <v>78</v>
      </c>
      <c r="G199" s="19" t="s">
        <v>164</v>
      </c>
      <c r="H199" s="19"/>
      <c r="I199" s="19">
        <v>26058.959999999999</v>
      </c>
      <c r="V199" s="3"/>
      <c r="W199" s="3"/>
      <c r="AU199" s="22">
        <f t="shared" si="17"/>
        <v>26058.959999999999</v>
      </c>
      <c r="AV199" s="19">
        <v>21494.36</v>
      </c>
      <c r="AW199" s="19">
        <v>2666.6</v>
      </c>
      <c r="AX199" s="19">
        <v>1898</v>
      </c>
      <c r="CH199" s="22">
        <f t="shared" si="18"/>
        <v>26058.959999999999</v>
      </c>
      <c r="CI199" s="3">
        <f t="shared" si="19"/>
        <v>0</v>
      </c>
      <c r="CJ199" s="17">
        <f t="shared" si="20"/>
        <v>10670</v>
      </c>
      <c r="CK199" s="3" t="str">
        <f t="shared" si="21"/>
        <v>برنامج دولى</v>
      </c>
    </row>
    <row r="200" spans="3:89" x14ac:dyDescent="0.25">
      <c r="D200" s="19">
        <v>17714</v>
      </c>
      <c r="E200" s="20">
        <v>10671</v>
      </c>
      <c r="F200" s="3" t="s">
        <v>78</v>
      </c>
      <c r="G200" s="19" t="s">
        <v>164</v>
      </c>
      <c r="H200" s="19"/>
      <c r="I200" s="19">
        <v>1477.35</v>
      </c>
      <c r="V200" s="3"/>
      <c r="W200" s="3"/>
      <c r="AU200" s="22">
        <f t="shared" ref="AU200:AU263" si="22">SUM(I200:AS200)</f>
        <v>1477.35</v>
      </c>
      <c r="AV200" s="19">
        <v>987.35</v>
      </c>
      <c r="AW200" s="19">
        <v>134.05000000000001</v>
      </c>
      <c r="AX200" s="19">
        <v>355.95</v>
      </c>
      <c r="CH200" s="22">
        <f t="shared" si="18"/>
        <v>1477.3500000000001</v>
      </c>
      <c r="CI200" s="3">
        <f t="shared" si="19"/>
        <v>0</v>
      </c>
      <c r="CJ200" s="17">
        <f t="shared" si="20"/>
        <v>10671</v>
      </c>
      <c r="CK200" s="3" t="str">
        <f t="shared" si="21"/>
        <v>برنامج دولى</v>
      </c>
    </row>
    <row r="201" spans="3:89" x14ac:dyDescent="0.25">
      <c r="D201" s="19">
        <v>17713</v>
      </c>
      <c r="E201" s="17">
        <v>10672</v>
      </c>
      <c r="F201" s="3" t="s">
        <v>78</v>
      </c>
      <c r="G201" s="19" t="s">
        <v>164</v>
      </c>
      <c r="H201" s="19"/>
      <c r="I201" s="19">
        <v>6014.93</v>
      </c>
      <c r="V201" s="3"/>
      <c r="W201" s="3"/>
      <c r="AU201" s="22">
        <f t="shared" si="22"/>
        <v>6014.93</v>
      </c>
      <c r="AV201" s="19">
        <v>4019.2</v>
      </c>
      <c r="AW201" s="19">
        <v>546.5</v>
      </c>
      <c r="AX201" s="19">
        <v>1449.23</v>
      </c>
      <c r="CH201" s="22">
        <f t="shared" si="18"/>
        <v>6014.93</v>
      </c>
      <c r="CI201" s="3">
        <f t="shared" si="19"/>
        <v>0</v>
      </c>
      <c r="CJ201" s="17">
        <f t="shared" si="20"/>
        <v>10672</v>
      </c>
      <c r="CK201" s="3" t="str">
        <f t="shared" si="21"/>
        <v>برنامج دولى</v>
      </c>
    </row>
    <row r="202" spans="3:89" x14ac:dyDescent="0.25">
      <c r="D202" s="19">
        <v>17712</v>
      </c>
      <c r="E202" s="17">
        <v>10673</v>
      </c>
      <c r="F202" s="3" t="s">
        <v>78</v>
      </c>
      <c r="G202" s="19" t="s">
        <v>164</v>
      </c>
      <c r="H202" s="19"/>
      <c r="I202" s="19">
        <v>7783.58</v>
      </c>
      <c r="V202" s="3"/>
      <c r="W202" s="3"/>
      <c r="AU202" s="22">
        <f t="shared" si="22"/>
        <v>7783.58</v>
      </c>
      <c r="AV202" s="19">
        <v>5508.25</v>
      </c>
      <c r="AW202" s="19">
        <v>730.05</v>
      </c>
      <c r="AX202" s="19">
        <v>1545.28</v>
      </c>
      <c r="CH202" s="22">
        <f t="shared" si="18"/>
        <v>7783.58</v>
      </c>
      <c r="CI202" s="3">
        <f t="shared" si="19"/>
        <v>0</v>
      </c>
      <c r="CJ202" s="17">
        <f t="shared" si="20"/>
        <v>10673</v>
      </c>
      <c r="CK202" s="3" t="str">
        <f t="shared" si="21"/>
        <v>برنامج دولى</v>
      </c>
    </row>
    <row r="203" spans="3:89" x14ac:dyDescent="0.25">
      <c r="D203" s="19">
        <v>17711</v>
      </c>
      <c r="E203" s="20">
        <v>10674</v>
      </c>
      <c r="F203" s="3" t="s">
        <v>78</v>
      </c>
      <c r="G203" s="19" t="s">
        <v>164</v>
      </c>
      <c r="H203" s="19"/>
      <c r="I203" s="19">
        <v>2004.98</v>
      </c>
      <c r="V203" s="3"/>
      <c r="W203" s="3"/>
      <c r="AU203" s="22">
        <f t="shared" si="22"/>
        <v>2004.98</v>
      </c>
      <c r="AV203" s="19">
        <v>1339.85</v>
      </c>
      <c r="AW203" s="19">
        <v>182.05</v>
      </c>
      <c r="AX203" s="19">
        <v>483.08</v>
      </c>
      <c r="CH203" s="22">
        <f t="shared" si="18"/>
        <v>2004.9799999999998</v>
      </c>
      <c r="CI203" s="3">
        <f t="shared" si="19"/>
        <v>0</v>
      </c>
      <c r="CJ203" s="17">
        <f t="shared" si="20"/>
        <v>10674</v>
      </c>
      <c r="CK203" s="3" t="str">
        <f t="shared" si="21"/>
        <v>برنامج دولى</v>
      </c>
    </row>
    <row r="204" spans="3:89" x14ac:dyDescent="0.25">
      <c r="D204" s="19">
        <v>17718</v>
      </c>
      <c r="E204" s="17">
        <v>10675</v>
      </c>
      <c r="F204" s="3" t="s">
        <v>78</v>
      </c>
      <c r="G204" s="19" t="s">
        <v>165</v>
      </c>
      <c r="H204" s="19"/>
      <c r="I204" s="19">
        <v>21171.11</v>
      </c>
      <c r="V204" s="3"/>
      <c r="W204" s="3"/>
      <c r="AU204" s="22">
        <f t="shared" si="22"/>
        <v>21171.11</v>
      </c>
      <c r="AV204" s="19">
        <v>18718.599999999999</v>
      </c>
      <c r="AW204" s="19">
        <v>2270.5500000000002</v>
      </c>
      <c r="AX204" s="19">
        <v>181.96</v>
      </c>
      <c r="CH204" s="22">
        <f t="shared" si="18"/>
        <v>21171.109999999997</v>
      </c>
      <c r="CI204" s="3">
        <f t="shared" si="19"/>
        <v>0</v>
      </c>
      <c r="CJ204" s="17">
        <f t="shared" si="20"/>
        <v>10675</v>
      </c>
      <c r="CK204" s="3" t="str">
        <f t="shared" si="21"/>
        <v>برنامج دولى</v>
      </c>
    </row>
    <row r="205" spans="3:89" x14ac:dyDescent="0.25">
      <c r="D205" s="19">
        <v>17717</v>
      </c>
      <c r="E205" s="17">
        <v>10676</v>
      </c>
      <c r="F205" s="3" t="s">
        <v>78</v>
      </c>
      <c r="G205" s="19" t="s">
        <v>165</v>
      </c>
      <c r="H205" s="19"/>
      <c r="I205" s="19">
        <v>2321.56</v>
      </c>
      <c r="V205" s="3"/>
      <c r="W205" s="3"/>
      <c r="AU205" s="22">
        <f t="shared" si="22"/>
        <v>2321.56</v>
      </c>
      <c r="AV205" s="19">
        <v>1553.25</v>
      </c>
      <c r="AW205" s="19">
        <v>208.95</v>
      </c>
      <c r="AX205" s="19">
        <v>559.36</v>
      </c>
      <c r="CH205" s="22">
        <f t="shared" si="18"/>
        <v>2321.56</v>
      </c>
      <c r="CI205" s="3">
        <f t="shared" si="19"/>
        <v>0</v>
      </c>
      <c r="CJ205" s="17">
        <f t="shared" si="20"/>
        <v>10676</v>
      </c>
      <c r="CK205" s="3" t="str">
        <f t="shared" si="21"/>
        <v>برنامج دولى</v>
      </c>
    </row>
    <row r="206" spans="3:89" x14ac:dyDescent="0.25">
      <c r="D206" s="19">
        <v>17716</v>
      </c>
      <c r="E206" s="20">
        <v>10677</v>
      </c>
      <c r="F206" s="3" t="s">
        <v>78</v>
      </c>
      <c r="G206" s="19" t="s">
        <v>165</v>
      </c>
      <c r="H206" s="19"/>
      <c r="I206" s="19">
        <v>2321.56</v>
      </c>
      <c r="V206" s="3"/>
      <c r="W206" s="3"/>
      <c r="AU206" s="22">
        <f t="shared" si="22"/>
        <v>2321.56</v>
      </c>
      <c r="AV206" s="19">
        <v>1552.5</v>
      </c>
      <c r="AW206" s="19">
        <v>209.7</v>
      </c>
      <c r="AX206" s="19">
        <v>559.36</v>
      </c>
      <c r="CH206" s="22">
        <f t="shared" si="18"/>
        <v>2321.56</v>
      </c>
      <c r="CI206" s="3">
        <f t="shared" si="19"/>
        <v>0</v>
      </c>
      <c r="CJ206" s="17">
        <f t="shared" si="20"/>
        <v>10677</v>
      </c>
      <c r="CK206" s="3" t="str">
        <f t="shared" si="21"/>
        <v>برنامج دولى</v>
      </c>
    </row>
    <row r="207" spans="3:89" x14ac:dyDescent="0.25">
      <c r="D207" s="19">
        <v>17719</v>
      </c>
      <c r="E207" s="17">
        <v>10678</v>
      </c>
      <c r="F207" s="3" t="s">
        <v>78</v>
      </c>
      <c r="G207" s="19" t="s">
        <v>166</v>
      </c>
      <c r="H207" s="19"/>
      <c r="I207" s="19">
        <v>25167.72</v>
      </c>
      <c r="V207" s="3"/>
      <c r="W207" s="3"/>
      <c r="AU207" s="22">
        <f t="shared" si="22"/>
        <v>25167.72</v>
      </c>
      <c r="AV207" s="19">
        <v>21601.52</v>
      </c>
      <c r="AW207" s="19">
        <v>2636.45</v>
      </c>
      <c r="AX207" s="19">
        <v>929.75</v>
      </c>
      <c r="CH207" s="22">
        <f t="shared" si="18"/>
        <v>25167.72</v>
      </c>
      <c r="CI207" s="3">
        <f t="shared" si="19"/>
        <v>0</v>
      </c>
      <c r="CJ207" s="17">
        <f t="shared" si="20"/>
        <v>10678</v>
      </c>
      <c r="CK207" s="3" t="str">
        <f t="shared" si="21"/>
        <v>برنامج دولى</v>
      </c>
    </row>
    <row r="208" spans="3:89" x14ac:dyDescent="0.25">
      <c r="D208" s="19">
        <v>17720</v>
      </c>
      <c r="E208" s="17">
        <v>10679</v>
      </c>
      <c r="F208" s="3" t="s">
        <v>78</v>
      </c>
      <c r="G208" s="19" t="s">
        <v>166</v>
      </c>
      <c r="H208" s="19"/>
      <c r="I208" s="19">
        <v>6014.93</v>
      </c>
      <c r="V208" s="3"/>
      <c r="W208" s="3"/>
      <c r="AU208" s="22">
        <f t="shared" si="22"/>
        <v>6014.93</v>
      </c>
      <c r="AV208" s="19">
        <v>4019.2</v>
      </c>
      <c r="AW208" s="19">
        <v>546.5</v>
      </c>
      <c r="AX208" s="19">
        <v>1449.23</v>
      </c>
      <c r="CH208" s="22">
        <f t="shared" si="18"/>
        <v>6014.93</v>
      </c>
      <c r="CI208" s="3">
        <f t="shared" si="19"/>
        <v>0</v>
      </c>
      <c r="CJ208" s="17">
        <f t="shared" si="20"/>
        <v>10679</v>
      </c>
      <c r="CK208" s="3" t="str">
        <f t="shared" si="21"/>
        <v>برنامج دولى</v>
      </c>
    </row>
    <row r="209" spans="1:89" ht="19.5" customHeight="1" x14ac:dyDescent="0.25">
      <c r="D209" s="19">
        <v>17721</v>
      </c>
      <c r="E209" s="20">
        <v>10680</v>
      </c>
      <c r="F209" s="3" t="s">
        <v>78</v>
      </c>
      <c r="G209" s="19" t="s">
        <v>166</v>
      </c>
      <c r="H209" s="19"/>
      <c r="I209" s="19">
        <v>7723.45</v>
      </c>
      <c r="V209" s="3"/>
      <c r="W209" s="3"/>
      <c r="AU209" s="22">
        <f t="shared" si="22"/>
        <v>7723.45</v>
      </c>
      <c r="AV209" s="19">
        <v>5546.29</v>
      </c>
      <c r="AW209" s="19">
        <v>730.35</v>
      </c>
      <c r="AX209" s="19">
        <v>1446.81</v>
      </c>
      <c r="CH209" s="22">
        <f t="shared" si="18"/>
        <v>7723.4500000000007</v>
      </c>
      <c r="CI209" s="3">
        <f t="shared" si="19"/>
        <v>0</v>
      </c>
      <c r="CJ209" s="17">
        <f t="shared" si="20"/>
        <v>10680</v>
      </c>
      <c r="CK209" s="3" t="str">
        <f t="shared" si="21"/>
        <v>برنامج دولى</v>
      </c>
    </row>
    <row r="210" spans="1:89" x14ac:dyDescent="0.25">
      <c r="D210" s="19">
        <v>17722</v>
      </c>
      <c r="E210" s="17">
        <v>10681</v>
      </c>
      <c r="F210" s="3" t="s">
        <v>78</v>
      </c>
      <c r="G210" s="19" t="s">
        <v>166</v>
      </c>
      <c r="H210" s="19"/>
      <c r="I210" s="19">
        <v>2004.98</v>
      </c>
      <c r="V210" s="3"/>
      <c r="W210" s="3"/>
      <c r="AU210" s="22">
        <f t="shared" si="22"/>
        <v>2004.98</v>
      </c>
      <c r="AV210" s="19">
        <v>1338.45</v>
      </c>
      <c r="AW210" s="19">
        <f>171+12.45</f>
        <v>183.45</v>
      </c>
      <c r="AX210" s="19">
        <v>483.08</v>
      </c>
      <c r="CH210" s="22">
        <f t="shared" si="18"/>
        <v>2004.98</v>
      </c>
      <c r="CI210" s="3">
        <f t="shared" si="19"/>
        <v>0</v>
      </c>
      <c r="CJ210" s="17">
        <f t="shared" si="20"/>
        <v>10681</v>
      </c>
      <c r="CK210" s="3" t="str">
        <f t="shared" si="21"/>
        <v>برنامج دولى</v>
      </c>
    </row>
    <row r="211" spans="1:89" x14ac:dyDescent="0.25">
      <c r="A211" s="23"/>
      <c r="B211" s="24"/>
      <c r="C211" s="24"/>
      <c r="D211" s="19">
        <v>17005</v>
      </c>
      <c r="E211" s="17">
        <v>10682</v>
      </c>
      <c r="F211" s="3" t="s">
        <v>78</v>
      </c>
      <c r="G211" s="19" t="s">
        <v>167</v>
      </c>
      <c r="H211" s="19"/>
      <c r="I211" s="19">
        <v>21989.52</v>
      </c>
      <c r="V211" s="3"/>
      <c r="W211" s="3"/>
      <c r="AU211" s="22">
        <f t="shared" si="22"/>
        <v>21989.52</v>
      </c>
      <c r="AV211" s="19">
        <v>19627.43</v>
      </c>
      <c r="AW211" s="19">
        <v>2362.09</v>
      </c>
      <c r="AX211" s="19"/>
      <c r="CH211" s="22">
        <f t="shared" si="18"/>
        <v>21989.52</v>
      </c>
      <c r="CI211" s="3">
        <f t="shared" si="19"/>
        <v>0</v>
      </c>
      <c r="CJ211" s="17">
        <f t="shared" si="20"/>
        <v>10682</v>
      </c>
      <c r="CK211" s="3" t="str">
        <f t="shared" si="21"/>
        <v>برنامج دولى</v>
      </c>
    </row>
    <row r="212" spans="1:89" x14ac:dyDescent="0.25">
      <c r="D212" s="19">
        <v>17006</v>
      </c>
      <c r="E212" s="20">
        <v>10683</v>
      </c>
      <c r="F212" s="3" t="s">
        <v>78</v>
      </c>
      <c r="G212" s="19" t="s">
        <v>168</v>
      </c>
      <c r="H212" s="19"/>
      <c r="I212" s="19">
        <v>5393.5</v>
      </c>
      <c r="V212" s="3"/>
      <c r="W212" s="3"/>
      <c r="AU212" s="22">
        <f t="shared" si="22"/>
        <v>5393.5</v>
      </c>
      <c r="AV212" s="19">
        <v>3605.4</v>
      </c>
      <c r="AW212" s="19">
        <f>460+28.6</f>
        <v>488.6</v>
      </c>
      <c r="AX212" s="19">
        <v>1299.5</v>
      </c>
      <c r="CH212" s="22">
        <f t="shared" si="18"/>
        <v>5393.5</v>
      </c>
      <c r="CI212" s="3">
        <f t="shared" si="19"/>
        <v>0</v>
      </c>
      <c r="CJ212" s="17">
        <f t="shared" si="20"/>
        <v>10683</v>
      </c>
      <c r="CK212" s="3" t="str">
        <f t="shared" si="21"/>
        <v>برنامج دولى</v>
      </c>
    </row>
    <row r="213" spans="1:89" x14ac:dyDescent="0.25">
      <c r="D213" s="19">
        <v>17007</v>
      </c>
      <c r="E213" s="17">
        <v>10684</v>
      </c>
      <c r="F213" s="3" t="s">
        <v>78</v>
      </c>
      <c r="G213" s="19" t="s">
        <v>168</v>
      </c>
      <c r="H213" s="19"/>
      <c r="I213" s="19">
        <v>6470.97</v>
      </c>
      <c r="V213" s="3"/>
      <c r="W213" s="3"/>
      <c r="AU213" s="22">
        <f t="shared" si="22"/>
        <v>6470.97</v>
      </c>
      <c r="AV213" s="19">
        <v>5135.76</v>
      </c>
      <c r="AW213" s="19">
        <v>645.79999999999995</v>
      </c>
      <c r="AX213" s="19">
        <v>689.41</v>
      </c>
      <c r="CH213" s="22">
        <f t="shared" si="18"/>
        <v>6470.97</v>
      </c>
      <c r="CI213" s="3">
        <f t="shared" si="19"/>
        <v>0</v>
      </c>
      <c r="CJ213" s="17">
        <f t="shared" si="20"/>
        <v>10684</v>
      </c>
      <c r="CK213" s="3" t="str">
        <f t="shared" si="21"/>
        <v>برنامج دولى</v>
      </c>
    </row>
    <row r="214" spans="1:89" x14ac:dyDescent="0.25">
      <c r="C214" s="3"/>
      <c r="D214" s="19">
        <v>17008</v>
      </c>
      <c r="E214" s="17">
        <v>10685</v>
      </c>
      <c r="F214" s="3" t="s">
        <v>78</v>
      </c>
      <c r="G214" s="19" t="s">
        <v>168</v>
      </c>
      <c r="H214" s="19"/>
      <c r="I214" s="19">
        <v>5438</v>
      </c>
      <c r="V214" s="3"/>
      <c r="W214" s="3"/>
      <c r="AU214" s="22">
        <f t="shared" si="22"/>
        <v>5438</v>
      </c>
      <c r="AV214" s="19">
        <v>4644.6499999999996</v>
      </c>
      <c r="AW214" s="19">
        <v>567.35</v>
      </c>
      <c r="AX214" s="19">
        <v>226</v>
      </c>
      <c r="CH214" s="22">
        <f t="shared" si="18"/>
        <v>5438</v>
      </c>
      <c r="CI214" s="3">
        <f t="shared" si="19"/>
        <v>0</v>
      </c>
      <c r="CJ214" s="17">
        <f t="shared" si="20"/>
        <v>10685</v>
      </c>
      <c r="CK214" s="3" t="str">
        <f t="shared" si="21"/>
        <v>برنامج دولى</v>
      </c>
    </row>
    <row r="215" spans="1:89" x14ac:dyDescent="0.25">
      <c r="D215" s="19">
        <v>17009</v>
      </c>
      <c r="E215" s="20">
        <v>10686</v>
      </c>
      <c r="F215" s="3" t="s">
        <v>78</v>
      </c>
      <c r="G215" s="19" t="s">
        <v>168</v>
      </c>
      <c r="H215" s="19"/>
      <c r="I215" s="19">
        <v>1500</v>
      </c>
      <c r="V215" s="3"/>
      <c r="W215" s="3"/>
      <c r="AU215" s="22">
        <f t="shared" si="22"/>
        <v>1500</v>
      </c>
      <c r="AV215" s="19">
        <v>1339.1</v>
      </c>
      <c r="AW215" s="19">
        <v>160.9</v>
      </c>
      <c r="AX215" s="19"/>
      <c r="CH215" s="22">
        <f t="shared" si="18"/>
        <v>1500</v>
      </c>
      <c r="CI215" s="3">
        <f t="shared" si="19"/>
        <v>0</v>
      </c>
      <c r="CJ215" s="17">
        <f t="shared" si="20"/>
        <v>10686</v>
      </c>
      <c r="CK215" s="3" t="str">
        <f t="shared" si="21"/>
        <v>برنامج دولى</v>
      </c>
    </row>
    <row r="216" spans="1:89" x14ac:dyDescent="0.25">
      <c r="D216" s="19">
        <v>17010</v>
      </c>
      <c r="E216" s="17">
        <v>10687</v>
      </c>
      <c r="F216" s="3" t="s">
        <v>78</v>
      </c>
      <c r="G216" s="19" t="s">
        <v>168</v>
      </c>
      <c r="H216" s="19"/>
      <c r="I216" s="19">
        <v>1758.75</v>
      </c>
      <c r="V216" s="3"/>
      <c r="W216" s="3"/>
      <c r="AU216" s="22">
        <f t="shared" si="22"/>
        <v>1758.75</v>
      </c>
      <c r="AV216" s="19">
        <v>1175.3499999999999</v>
      </c>
      <c r="AW216" s="19">
        <v>159.65</v>
      </c>
      <c r="AX216" s="19">
        <v>423.75</v>
      </c>
      <c r="CH216" s="22">
        <f t="shared" si="18"/>
        <v>1758.75</v>
      </c>
      <c r="CI216" s="3">
        <f t="shared" si="19"/>
        <v>0</v>
      </c>
      <c r="CJ216" s="17">
        <f t="shared" si="20"/>
        <v>10687</v>
      </c>
      <c r="CK216" s="3" t="str">
        <f t="shared" si="21"/>
        <v>برنامج دولى</v>
      </c>
    </row>
    <row r="217" spans="1:89" x14ac:dyDescent="0.25">
      <c r="C217" s="207"/>
      <c r="D217" s="19">
        <v>17004</v>
      </c>
      <c r="E217" s="17">
        <v>10688</v>
      </c>
      <c r="F217" s="3" t="s">
        <v>78</v>
      </c>
      <c r="G217" s="19" t="s">
        <v>169</v>
      </c>
      <c r="H217" s="19"/>
      <c r="I217" s="19">
        <v>2400</v>
      </c>
      <c r="V217" s="3"/>
      <c r="W217" s="3"/>
      <c r="AU217" s="22">
        <f t="shared" si="22"/>
        <v>2400</v>
      </c>
      <c r="AV217" s="19">
        <v>2142.35</v>
      </c>
      <c r="AW217" s="19">
        <v>257.64999999999998</v>
      </c>
      <c r="AX217" s="19"/>
      <c r="CH217" s="22">
        <f t="shared" si="18"/>
        <v>2400</v>
      </c>
      <c r="CI217" s="3">
        <f t="shared" si="19"/>
        <v>0</v>
      </c>
      <c r="CJ217" s="17">
        <f t="shared" si="20"/>
        <v>10688</v>
      </c>
      <c r="CK217" s="3" t="str">
        <f t="shared" si="21"/>
        <v>برنامج دولى</v>
      </c>
    </row>
    <row r="218" spans="1:89" x14ac:dyDescent="0.25">
      <c r="D218" s="19">
        <v>17862</v>
      </c>
      <c r="E218" s="20">
        <v>10689</v>
      </c>
      <c r="F218" s="3" t="s">
        <v>130</v>
      </c>
      <c r="G218" s="19" t="s">
        <v>170</v>
      </c>
      <c r="H218" s="19"/>
      <c r="I218" s="19">
        <v>527.62</v>
      </c>
      <c r="V218" s="3"/>
      <c r="W218" s="3"/>
      <c r="AU218" s="22">
        <f t="shared" si="22"/>
        <v>527.62</v>
      </c>
      <c r="AV218" s="19">
        <v>328.09</v>
      </c>
      <c r="AW218" s="19">
        <v>49.91</v>
      </c>
      <c r="AX218" s="19">
        <v>127.12</v>
      </c>
      <c r="AY218" s="3">
        <v>22.5</v>
      </c>
      <c r="CH218" s="22">
        <f t="shared" si="18"/>
        <v>527.62</v>
      </c>
      <c r="CI218" s="3">
        <f t="shared" si="19"/>
        <v>0</v>
      </c>
      <c r="CJ218" s="17">
        <f t="shared" si="20"/>
        <v>10689</v>
      </c>
      <c r="CK218" s="3" t="str">
        <f t="shared" si="21"/>
        <v>خ ت طب</v>
      </c>
    </row>
    <row r="219" spans="1:89" x14ac:dyDescent="0.25">
      <c r="D219" s="19">
        <v>17861</v>
      </c>
      <c r="E219" s="17">
        <v>10690</v>
      </c>
      <c r="F219" s="3" t="s">
        <v>130</v>
      </c>
      <c r="G219" s="19" t="s">
        <v>170</v>
      </c>
      <c r="H219" s="19"/>
      <c r="I219" s="19">
        <v>527.62</v>
      </c>
      <c r="V219" s="3"/>
      <c r="W219" s="3"/>
      <c r="AU219" s="22">
        <f t="shared" si="22"/>
        <v>527.62</v>
      </c>
      <c r="AV219" s="19">
        <v>338.54</v>
      </c>
      <c r="AW219" s="19">
        <v>39.46</v>
      </c>
      <c r="AX219" s="19">
        <v>127.12</v>
      </c>
      <c r="AY219" s="3">
        <v>22.5</v>
      </c>
      <c r="CH219" s="22">
        <f t="shared" si="18"/>
        <v>527.62</v>
      </c>
      <c r="CI219" s="3">
        <f t="shared" si="19"/>
        <v>0</v>
      </c>
      <c r="CJ219" s="17">
        <f t="shared" si="20"/>
        <v>10690</v>
      </c>
      <c r="CK219" s="3" t="str">
        <f t="shared" si="21"/>
        <v>خ ت طب</v>
      </c>
    </row>
    <row r="220" spans="1:89" ht="31.5" x14ac:dyDescent="0.25">
      <c r="D220" s="19">
        <v>16976</v>
      </c>
      <c r="E220" s="17">
        <v>10691</v>
      </c>
      <c r="F220" s="3" t="s">
        <v>171</v>
      </c>
      <c r="G220" s="213" t="s">
        <v>172</v>
      </c>
      <c r="H220" s="19"/>
      <c r="I220" s="19"/>
      <c r="V220" s="3"/>
      <c r="W220" s="3"/>
      <c r="AT220" s="3">
        <v>6489</v>
      </c>
      <c r="AU220" s="22">
        <f t="shared" si="22"/>
        <v>0</v>
      </c>
      <c r="AV220" s="19">
        <v>6489</v>
      </c>
      <c r="AW220" s="19"/>
      <c r="AX220" s="19"/>
      <c r="CH220" s="22">
        <f t="shared" si="18"/>
        <v>6489</v>
      </c>
      <c r="CI220" s="3">
        <f t="shared" si="19"/>
        <v>6489</v>
      </c>
      <c r="CJ220" s="17">
        <f t="shared" si="20"/>
        <v>10691</v>
      </c>
      <c r="CK220" s="3" t="str">
        <f t="shared" si="21"/>
        <v>تحاليل طبية</v>
      </c>
    </row>
    <row r="221" spans="1:89" x14ac:dyDescent="0.25">
      <c r="D221" s="19"/>
      <c r="E221" s="20">
        <v>10692</v>
      </c>
      <c r="F221" s="3" t="s">
        <v>171</v>
      </c>
      <c r="G221" s="214" t="s">
        <v>173</v>
      </c>
      <c r="H221" s="19"/>
      <c r="I221" s="19"/>
      <c r="V221" s="3"/>
      <c r="W221" s="3"/>
      <c r="AT221" s="3">
        <v>951</v>
      </c>
      <c r="AU221" s="22">
        <f t="shared" si="22"/>
        <v>0</v>
      </c>
      <c r="AV221" s="19">
        <v>951</v>
      </c>
      <c r="AW221" s="19"/>
      <c r="AX221" s="19"/>
      <c r="CH221" s="22">
        <f t="shared" si="18"/>
        <v>951</v>
      </c>
      <c r="CI221" s="3">
        <f t="shared" si="19"/>
        <v>951</v>
      </c>
      <c r="CJ221" s="17">
        <f t="shared" si="20"/>
        <v>10692</v>
      </c>
      <c r="CK221" s="3" t="str">
        <f t="shared" si="21"/>
        <v>تحاليل طبية</v>
      </c>
    </row>
    <row r="222" spans="1:89" x14ac:dyDescent="0.25">
      <c r="D222" s="19"/>
      <c r="E222" s="17">
        <v>10693</v>
      </c>
      <c r="F222" s="3" t="s">
        <v>171</v>
      </c>
      <c r="G222" s="19" t="s">
        <v>174</v>
      </c>
      <c r="H222" s="19"/>
      <c r="I222" s="19"/>
      <c r="V222" s="3"/>
      <c r="W222" s="3"/>
      <c r="AT222" s="3">
        <v>2469.98</v>
      </c>
      <c r="AU222" s="22">
        <f t="shared" si="22"/>
        <v>0</v>
      </c>
      <c r="AV222" s="19">
        <v>2469.98</v>
      </c>
      <c r="AW222" s="19"/>
      <c r="AX222" s="19"/>
      <c r="CH222" s="22">
        <f t="shared" si="18"/>
        <v>2469.98</v>
      </c>
      <c r="CI222" s="3">
        <f t="shared" si="19"/>
        <v>2469.98</v>
      </c>
      <c r="CJ222" s="17">
        <f t="shared" si="20"/>
        <v>10693</v>
      </c>
      <c r="CK222" s="3" t="str">
        <f t="shared" si="21"/>
        <v>تحاليل طبية</v>
      </c>
    </row>
    <row r="223" spans="1:89" ht="31.5" x14ac:dyDescent="0.25">
      <c r="D223" s="19"/>
      <c r="E223" s="17">
        <v>10694</v>
      </c>
      <c r="F223" s="3" t="s">
        <v>171</v>
      </c>
      <c r="G223" s="213" t="s">
        <v>175</v>
      </c>
      <c r="H223" s="19"/>
      <c r="I223" s="19"/>
      <c r="V223" s="3"/>
      <c r="W223" s="3"/>
      <c r="AT223" s="3">
        <v>1110</v>
      </c>
      <c r="AU223" s="22">
        <f t="shared" si="22"/>
        <v>0</v>
      </c>
      <c r="AV223" s="19">
        <v>1110</v>
      </c>
      <c r="AW223" s="19"/>
      <c r="AX223" s="19"/>
      <c r="CH223" s="22">
        <f t="shared" si="18"/>
        <v>1110</v>
      </c>
      <c r="CI223" s="3">
        <f t="shared" si="19"/>
        <v>1110</v>
      </c>
      <c r="CJ223" s="17">
        <f t="shared" si="20"/>
        <v>10694</v>
      </c>
      <c r="CK223" s="3" t="str">
        <f t="shared" si="21"/>
        <v>تحاليل طبية</v>
      </c>
    </row>
    <row r="224" spans="1:89" x14ac:dyDescent="0.25">
      <c r="D224" s="25">
        <v>16989</v>
      </c>
      <c r="E224" s="20">
        <v>10695</v>
      </c>
      <c r="F224" s="3" t="s">
        <v>132</v>
      </c>
      <c r="G224" s="3" t="s">
        <v>176</v>
      </c>
      <c r="H224" s="3"/>
      <c r="I224" s="3">
        <v>36035.620000000003</v>
      </c>
      <c r="V224" s="3"/>
      <c r="W224" s="3"/>
      <c r="AU224" s="22">
        <f t="shared" si="22"/>
        <v>36035.620000000003</v>
      </c>
      <c r="AV224" s="3">
        <v>26273.46</v>
      </c>
      <c r="AW224" s="3">
        <v>3382.35</v>
      </c>
      <c r="AX224" s="3">
        <v>6379.81</v>
      </c>
      <c r="CH224" s="22">
        <f t="shared" si="18"/>
        <v>36035.619999999995</v>
      </c>
      <c r="CI224" s="3">
        <f t="shared" si="19"/>
        <v>0</v>
      </c>
      <c r="CJ224" s="17">
        <f t="shared" si="20"/>
        <v>10695</v>
      </c>
      <c r="CK224" s="3" t="str">
        <f t="shared" si="21"/>
        <v>صيدلة اكلينيكى</v>
      </c>
    </row>
    <row r="225" spans="3:89" x14ac:dyDescent="0.25">
      <c r="C225" s="3"/>
      <c r="D225" s="25">
        <v>16990</v>
      </c>
      <c r="E225" s="17">
        <v>10696</v>
      </c>
      <c r="F225" s="3" t="s">
        <v>132</v>
      </c>
      <c r="G225" s="3" t="s">
        <v>176</v>
      </c>
      <c r="H225" s="3"/>
      <c r="I225" s="3">
        <v>902.83</v>
      </c>
      <c r="V225" s="3"/>
      <c r="W225" s="3"/>
      <c r="AU225" s="22">
        <f t="shared" si="22"/>
        <v>902.83</v>
      </c>
      <c r="AV225" s="3">
        <v>604.07000000000005</v>
      </c>
      <c r="AW225" s="3">
        <v>81.23</v>
      </c>
      <c r="AX225" s="3">
        <v>217.53</v>
      </c>
      <c r="CH225" s="22">
        <f t="shared" si="18"/>
        <v>902.83</v>
      </c>
      <c r="CI225" s="3">
        <f t="shared" si="19"/>
        <v>0</v>
      </c>
      <c r="CJ225" s="17">
        <f t="shared" si="20"/>
        <v>10696</v>
      </c>
      <c r="CK225" s="3" t="str">
        <f t="shared" si="21"/>
        <v>صيدلة اكلينيكى</v>
      </c>
    </row>
    <row r="226" spans="3:89" x14ac:dyDescent="0.25">
      <c r="D226" s="25">
        <v>16987</v>
      </c>
      <c r="E226" s="17">
        <v>10697</v>
      </c>
      <c r="F226" s="3" t="s">
        <v>132</v>
      </c>
      <c r="G226" s="3" t="s">
        <v>176</v>
      </c>
      <c r="H226" s="3"/>
      <c r="I226" s="3">
        <v>574.52</v>
      </c>
      <c r="V226" s="3"/>
      <c r="W226" s="3"/>
      <c r="AU226" s="22">
        <f t="shared" si="22"/>
        <v>574.52</v>
      </c>
      <c r="AV226" s="3">
        <v>384.55</v>
      </c>
      <c r="AW226" s="3">
        <v>51.55</v>
      </c>
      <c r="AX226" s="3">
        <v>138.41999999999999</v>
      </c>
      <c r="CH226" s="22">
        <f t="shared" si="18"/>
        <v>574.52</v>
      </c>
      <c r="CI226" s="3">
        <f t="shared" si="19"/>
        <v>0</v>
      </c>
      <c r="CJ226" s="17">
        <f t="shared" si="20"/>
        <v>10697</v>
      </c>
      <c r="CK226" s="3" t="str">
        <f t="shared" si="21"/>
        <v>صيدلة اكلينيكى</v>
      </c>
    </row>
    <row r="227" spans="3:89" x14ac:dyDescent="0.25">
      <c r="D227" s="25">
        <v>16988</v>
      </c>
      <c r="E227" s="20">
        <v>10698</v>
      </c>
      <c r="F227" s="3" t="s">
        <v>132</v>
      </c>
      <c r="G227" s="3" t="s">
        <v>177</v>
      </c>
      <c r="H227" s="3"/>
      <c r="I227" s="3">
        <v>1723.58</v>
      </c>
      <c r="V227" s="3"/>
      <c r="W227" s="3"/>
      <c r="AU227" s="22">
        <f t="shared" si="22"/>
        <v>1723.58</v>
      </c>
      <c r="AV227" s="3">
        <v>1154.0999999999999</v>
      </c>
      <c r="AW227" s="3">
        <v>154.19999999999999</v>
      </c>
      <c r="AX227" s="3">
        <v>415.28</v>
      </c>
      <c r="CH227" s="22">
        <f t="shared" si="18"/>
        <v>1723.58</v>
      </c>
      <c r="CI227" s="3">
        <f t="shared" si="19"/>
        <v>0</v>
      </c>
      <c r="CJ227" s="17">
        <f t="shared" si="20"/>
        <v>10698</v>
      </c>
      <c r="CK227" s="3" t="str">
        <f t="shared" si="21"/>
        <v>صيدلة اكلينيكى</v>
      </c>
    </row>
    <row r="228" spans="3:89" x14ac:dyDescent="0.25">
      <c r="D228" s="25">
        <v>16991</v>
      </c>
      <c r="E228" s="17">
        <v>10699</v>
      </c>
      <c r="F228" s="3" t="s">
        <v>132</v>
      </c>
      <c r="G228" s="3" t="s">
        <v>178</v>
      </c>
      <c r="H228" s="3"/>
      <c r="I228" s="3">
        <v>633.15</v>
      </c>
      <c r="V228" s="3"/>
      <c r="W228" s="3"/>
      <c r="AU228" s="22">
        <f t="shared" si="22"/>
        <v>633.15</v>
      </c>
      <c r="AV228" s="3">
        <v>423.55</v>
      </c>
      <c r="AW228" s="3">
        <v>57.05</v>
      </c>
      <c r="AX228" s="3">
        <v>152.55000000000001</v>
      </c>
      <c r="CH228" s="22">
        <f t="shared" si="18"/>
        <v>633.15000000000009</v>
      </c>
      <c r="CI228" s="3">
        <f t="shared" si="19"/>
        <v>0</v>
      </c>
      <c r="CJ228" s="17">
        <f t="shared" si="20"/>
        <v>10699</v>
      </c>
      <c r="CK228" s="3" t="str">
        <f t="shared" si="21"/>
        <v>صيدلة اكلينيكى</v>
      </c>
    </row>
    <row r="229" spans="3:89" x14ac:dyDescent="0.25">
      <c r="D229" s="25">
        <v>16992</v>
      </c>
      <c r="E229" s="17">
        <v>10700</v>
      </c>
      <c r="F229" s="3" t="s">
        <v>132</v>
      </c>
      <c r="G229" s="3" t="s">
        <v>179</v>
      </c>
      <c r="H229" s="3"/>
      <c r="I229" s="3">
        <v>500</v>
      </c>
      <c r="V229" s="3"/>
      <c r="W229" s="3"/>
      <c r="AU229" s="22">
        <f t="shared" si="22"/>
        <v>500</v>
      </c>
      <c r="AV229" s="3">
        <v>447.05</v>
      </c>
      <c r="AW229" s="3">
        <v>52.95</v>
      </c>
      <c r="CH229" s="22">
        <f t="shared" si="18"/>
        <v>500</v>
      </c>
      <c r="CI229" s="3">
        <f t="shared" si="19"/>
        <v>0</v>
      </c>
      <c r="CJ229" s="17">
        <f t="shared" si="20"/>
        <v>10700</v>
      </c>
      <c r="CK229" s="3" t="str">
        <f t="shared" si="21"/>
        <v>صيدلة اكلينيكى</v>
      </c>
    </row>
    <row r="230" spans="3:89" x14ac:dyDescent="0.25">
      <c r="D230" s="25">
        <v>16993</v>
      </c>
      <c r="E230" s="20">
        <v>10701</v>
      </c>
      <c r="F230" s="3" t="s">
        <v>132</v>
      </c>
      <c r="G230" s="3" t="s">
        <v>179</v>
      </c>
      <c r="H230" s="3"/>
      <c r="I230" s="3">
        <v>3000</v>
      </c>
      <c r="V230" s="3"/>
      <c r="W230" s="3"/>
      <c r="AU230" s="22">
        <f t="shared" si="22"/>
        <v>3000</v>
      </c>
      <c r="AV230" s="3">
        <v>2682.3</v>
      </c>
      <c r="AW230" s="3">
        <v>317.7</v>
      </c>
      <c r="CH230" s="22">
        <f t="shared" si="18"/>
        <v>3000</v>
      </c>
      <c r="CI230" s="3">
        <f t="shared" si="19"/>
        <v>0</v>
      </c>
      <c r="CJ230" s="17">
        <f t="shared" si="20"/>
        <v>10701</v>
      </c>
      <c r="CK230" s="3" t="str">
        <f t="shared" si="21"/>
        <v>صيدلة اكلينيكى</v>
      </c>
    </row>
    <row r="231" spans="3:89" x14ac:dyDescent="0.25">
      <c r="D231" s="25">
        <v>17590</v>
      </c>
      <c r="E231" s="17">
        <v>10702</v>
      </c>
      <c r="F231" s="3" t="s">
        <v>132</v>
      </c>
      <c r="G231" s="3" t="s">
        <v>180</v>
      </c>
      <c r="H231" s="3"/>
      <c r="I231" s="3">
        <v>586.25</v>
      </c>
      <c r="V231" s="3"/>
      <c r="W231" s="3"/>
      <c r="AU231" s="22">
        <f t="shared" si="22"/>
        <v>586.25</v>
      </c>
      <c r="AV231" s="3">
        <v>392.4</v>
      </c>
      <c r="AW231" s="3">
        <v>52.6</v>
      </c>
      <c r="AX231" s="3">
        <v>141.25</v>
      </c>
      <c r="CH231" s="22">
        <f t="shared" si="18"/>
        <v>586.25</v>
      </c>
      <c r="CI231" s="3">
        <f t="shared" si="19"/>
        <v>0</v>
      </c>
      <c r="CJ231" s="17">
        <f t="shared" si="20"/>
        <v>10702</v>
      </c>
      <c r="CK231" s="3" t="str">
        <f t="shared" si="21"/>
        <v>صيدلة اكلينيكى</v>
      </c>
    </row>
    <row r="232" spans="3:89" x14ac:dyDescent="0.25">
      <c r="D232" s="25">
        <v>16994</v>
      </c>
      <c r="E232" s="17">
        <v>10703</v>
      </c>
      <c r="F232" s="3" t="s">
        <v>132</v>
      </c>
      <c r="G232" s="3" t="s">
        <v>181</v>
      </c>
      <c r="H232" s="3"/>
      <c r="I232" s="3">
        <v>293.12</v>
      </c>
      <c r="V232" s="3"/>
      <c r="W232" s="3"/>
      <c r="AU232" s="22">
        <f t="shared" si="22"/>
        <v>293.12</v>
      </c>
      <c r="AV232" s="3">
        <v>196.45</v>
      </c>
      <c r="AW232" s="3">
        <v>26.05</v>
      </c>
      <c r="AX232" s="3">
        <v>70.62</v>
      </c>
      <c r="CH232" s="22">
        <f t="shared" si="18"/>
        <v>293.12</v>
      </c>
      <c r="CI232" s="3">
        <f t="shared" si="19"/>
        <v>0</v>
      </c>
      <c r="CJ232" s="17">
        <f t="shared" si="20"/>
        <v>10703</v>
      </c>
      <c r="CK232" s="3" t="str">
        <f t="shared" si="21"/>
        <v>صيدلة اكلينيكى</v>
      </c>
    </row>
    <row r="233" spans="3:89" x14ac:dyDescent="0.25">
      <c r="D233" s="25">
        <v>16995</v>
      </c>
      <c r="E233" s="20">
        <v>10704</v>
      </c>
      <c r="F233" s="3" t="s">
        <v>132</v>
      </c>
      <c r="G233" s="3" t="s">
        <v>182</v>
      </c>
      <c r="H233" s="3"/>
      <c r="I233" s="3">
        <v>293.12</v>
      </c>
      <c r="V233" s="3"/>
      <c r="W233" s="3"/>
      <c r="AU233" s="22">
        <f t="shared" si="22"/>
        <v>293.12</v>
      </c>
      <c r="AV233" s="3">
        <v>196.45</v>
      </c>
      <c r="AW233" s="3">
        <v>26.05</v>
      </c>
      <c r="AX233" s="3">
        <v>70.62</v>
      </c>
      <c r="CH233" s="22">
        <f t="shared" si="18"/>
        <v>293.12</v>
      </c>
      <c r="CI233" s="3">
        <f t="shared" si="19"/>
        <v>0</v>
      </c>
      <c r="CJ233" s="17">
        <f t="shared" si="20"/>
        <v>10704</v>
      </c>
      <c r="CK233" s="3" t="str">
        <f t="shared" si="21"/>
        <v>صيدلة اكلينيكى</v>
      </c>
    </row>
    <row r="234" spans="3:89" x14ac:dyDescent="0.25">
      <c r="D234" s="25">
        <v>17594</v>
      </c>
      <c r="E234" s="17">
        <v>10705</v>
      </c>
      <c r="F234" s="3" t="s">
        <v>132</v>
      </c>
      <c r="G234" s="3" t="s">
        <v>183</v>
      </c>
      <c r="H234" s="3"/>
      <c r="I234" s="3">
        <v>3020</v>
      </c>
      <c r="V234" s="3"/>
      <c r="W234" s="3"/>
      <c r="AU234" s="22">
        <f t="shared" si="22"/>
        <v>3020</v>
      </c>
      <c r="AV234" s="3">
        <v>2696.85</v>
      </c>
      <c r="AW234" s="3">
        <v>323.14999999999998</v>
      </c>
      <c r="CH234" s="22">
        <f t="shared" si="18"/>
        <v>3020</v>
      </c>
      <c r="CI234" s="3">
        <f t="shared" si="19"/>
        <v>0</v>
      </c>
      <c r="CJ234" s="17">
        <f t="shared" si="20"/>
        <v>10705</v>
      </c>
      <c r="CK234" s="3" t="str">
        <f t="shared" si="21"/>
        <v>صيدلة اكلينيكى</v>
      </c>
    </row>
    <row r="235" spans="3:89" x14ac:dyDescent="0.25">
      <c r="D235" s="25">
        <v>17593</v>
      </c>
      <c r="E235" s="17">
        <v>10706</v>
      </c>
      <c r="F235" s="3" t="s">
        <v>132</v>
      </c>
      <c r="G235" s="3" t="s">
        <v>181</v>
      </c>
      <c r="H235" s="3"/>
      <c r="I235" s="3">
        <v>300</v>
      </c>
      <c r="V235" s="3"/>
      <c r="W235" s="3"/>
      <c r="AU235" s="22">
        <f t="shared" si="22"/>
        <v>300</v>
      </c>
      <c r="AV235" s="3">
        <v>268.35000000000002</v>
      </c>
      <c r="AW235" s="3">
        <v>31.65</v>
      </c>
      <c r="CH235" s="22">
        <f t="shared" si="18"/>
        <v>300</v>
      </c>
      <c r="CI235" s="3">
        <f t="shared" si="19"/>
        <v>0</v>
      </c>
      <c r="CJ235" s="17">
        <f t="shared" si="20"/>
        <v>10706</v>
      </c>
      <c r="CK235" s="3" t="str">
        <f t="shared" si="21"/>
        <v>صيدلة اكلينيكى</v>
      </c>
    </row>
    <row r="236" spans="3:89" x14ac:dyDescent="0.25">
      <c r="D236" s="25">
        <v>17592</v>
      </c>
      <c r="E236" s="20">
        <v>10707</v>
      </c>
      <c r="F236" s="3" t="s">
        <v>132</v>
      </c>
      <c r="G236" s="3" t="s">
        <v>184</v>
      </c>
      <c r="H236" s="3"/>
      <c r="I236" s="3">
        <v>1524.25</v>
      </c>
      <c r="V236" s="3"/>
      <c r="W236" s="3"/>
      <c r="AU236" s="22">
        <f t="shared" si="22"/>
        <v>1524.25</v>
      </c>
      <c r="AV236" s="3">
        <v>1018.7</v>
      </c>
      <c r="AW236" s="3">
        <v>138.30000000000001</v>
      </c>
      <c r="AX236" s="3">
        <v>367.25</v>
      </c>
      <c r="CH236" s="22">
        <f t="shared" si="18"/>
        <v>1524.25</v>
      </c>
      <c r="CI236" s="3">
        <f t="shared" si="19"/>
        <v>0</v>
      </c>
      <c r="CJ236" s="17">
        <f t="shared" si="20"/>
        <v>10707</v>
      </c>
      <c r="CK236" s="3" t="str">
        <f t="shared" si="21"/>
        <v>صيدلة اكلينيكى</v>
      </c>
    </row>
    <row r="237" spans="3:89" x14ac:dyDescent="0.25">
      <c r="D237" s="25">
        <v>17591</v>
      </c>
      <c r="E237" s="17">
        <v>10708</v>
      </c>
      <c r="F237" s="3" t="s">
        <v>132</v>
      </c>
      <c r="G237" s="3" t="s">
        <v>184</v>
      </c>
      <c r="H237" s="3"/>
      <c r="I237" s="3">
        <v>1758.75</v>
      </c>
      <c r="V237" s="3"/>
      <c r="W237" s="3"/>
      <c r="AU237" s="22">
        <f t="shared" si="22"/>
        <v>1758.75</v>
      </c>
      <c r="AV237" s="3">
        <v>1175.3499999999999</v>
      </c>
      <c r="AW237" s="3">
        <v>159.65</v>
      </c>
      <c r="AX237" s="3">
        <v>423.75</v>
      </c>
      <c r="CH237" s="22">
        <f t="shared" si="18"/>
        <v>1758.75</v>
      </c>
      <c r="CI237" s="3">
        <f t="shared" si="19"/>
        <v>0</v>
      </c>
      <c r="CJ237" s="17">
        <f t="shared" si="20"/>
        <v>10708</v>
      </c>
      <c r="CK237" s="3" t="str">
        <f t="shared" si="21"/>
        <v>صيدلة اكلينيكى</v>
      </c>
    </row>
    <row r="238" spans="3:89" x14ac:dyDescent="0.25">
      <c r="D238" s="25">
        <v>17002</v>
      </c>
      <c r="E238" s="17">
        <v>10709</v>
      </c>
      <c r="F238" s="3" t="s">
        <v>132</v>
      </c>
      <c r="G238" s="3" t="s">
        <v>185</v>
      </c>
      <c r="H238" s="3"/>
      <c r="I238" s="3">
        <v>27313.35</v>
      </c>
      <c r="V238" s="3"/>
      <c r="W238" s="3"/>
      <c r="AU238" s="22">
        <f t="shared" si="22"/>
        <v>27313.35</v>
      </c>
      <c r="AV238" s="3">
        <v>18288.7</v>
      </c>
      <c r="AW238" s="3">
        <v>2443.85</v>
      </c>
      <c r="AX238" s="3">
        <v>6580.8</v>
      </c>
      <c r="CH238" s="22">
        <f t="shared" si="18"/>
        <v>27313.35</v>
      </c>
      <c r="CI238" s="3">
        <f t="shared" si="19"/>
        <v>0</v>
      </c>
      <c r="CJ238" s="17">
        <f t="shared" si="20"/>
        <v>10709</v>
      </c>
      <c r="CK238" s="3" t="str">
        <f t="shared" si="21"/>
        <v>صيدلة اكلينيكى</v>
      </c>
    </row>
    <row r="239" spans="3:89" x14ac:dyDescent="0.25">
      <c r="D239" s="25">
        <v>17000</v>
      </c>
      <c r="E239" s="20">
        <v>10710</v>
      </c>
      <c r="F239" s="3" t="s">
        <v>132</v>
      </c>
      <c r="G239" s="3" t="s">
        <v>185</v>
      </c>
      <c r="H239" s="3"/>
      <c r="I239" s="3">
        <v>3640.59</v>
      </c>
      <c r="V239" s="3"/>
      <c r="W239" s="3"/>
      <c r="AU239" s="22">
        <f t="shared" si="22"/>
        <v>3640.59</v>
      </c>
      <c r="AV239" s="3">
        <v>2438.25</v>
      </c>
      <c r="AW239" s="3">
        <v>325.2</v>
      </c>
      <c r="AX239" s="3">
        <v>877.14</v>
      </c>
      <c r="CH239" s="22">
        <f t="shared" si="18"/>
        <v>3640.5899999999997</v>
      </c>
      <c r="CI239" s="3">
        <f t="shared" si="19"/>
        <v>0</v>
      </c>
      <c r="CJ239" s="17">
        <f t="shared" si="20"/>
        <v>10710</v>
      </c>
      <c r="CK239" s="3" t="str">
        <f t="shared" si="21"/>
        <v>صيدلة اكلينيكى</v>
      </c>
    </row>
    <row r="240" spans="3:89" x14ac:dyDescent="0.25">
      <c r="D240" s="25">
        <v>16998</v>
      </c>
      <c r="E240" s="17">
        <v>10711</v>
      </c>
      <c r="F240" s="3" t="s">
        <v>132</v>
      </c>
      <c r="G240" s="3" t="s">
        <v>185</v>
      </c>
      <c r="H240" s="3"/>
      <c r="I240" s="3">
        <v>500</v>
      </c>
      <c r="V240" s="3"/>
      <c r="W240" s="3"/>
      <c r="AU240" s="22">
        <f t="shared" si="22"/>
        <v>500</v>
      </c>
      <c r="AV240" s="3">
        <v>447.05</v>
      </c>
      <c r="AW240" s="3">
        <v>52.95</v>
      </c>
      <c r="CH240" s="22">
        <f t="shared" si="18"/>
        <v>500</v>
      </c>
      <c r="CI240" s="3">
        <f t="shared" si="19"/>
        <v>0</v>
      </c>
      <c r="CJ240" s="17">
        <f t="shared" si="20"/>
        <v>10711</v>
      </c>
      <c r="CK240" s="3" t="str">
        <f t="shared" si="21"/>
        <v>صيدلة اكلينيكى</v>
      </c>
    </row>
    <row r="241" spans="1:89" x14ac:dyDescent="0.25">
      <c r="D241" s="25">
        <v>16999</v>
      </c>
      <c r="E241" s="17">
        <v>10712</v>
      </c>
      <c r="F241" s="3" t="s">
        <v>132</v>
      </c>
      <c r="G241" s="3" t="s">
        <v>185</v>
      </c>
      <c r="H241" s="3"/>
      <c r="I241" s="3">
        <v>1676.67</v>
      </c>
      <c r="V241" s="3"/>
      <c r="W241" s="3"/>
      <c r="AU241" s="22">
        <f t="shared" si="22"/>
        <v>1676.67</v>
      </c>
      <c r="AV241" s="3">
        <v>1122.5</v>
      </c>
      <c r="AW241" s="3">
        <v>150.19999999999999</v>
      </c>
      <c r="AX241" s="3">
        <v>403.97</v>
      </c>
      <c r="CH241" s="22">
        <f t="shared" si="18"/>
        <v>1676.67</v>
      </c>
      <c r="CI241" s="3">
        <f t="shared" si="19"/>
        <v>0</v>
      </c>
      <c r="CJ241" s="17">
        <f t="shared" si="20"/>
        <v>10712</v>
      </c>
      <c r="CK241" s="3" t="str">
        <f t="shared" si="21"/>
        <v>صيدلة اكلينيكى</v>
      </c>
    </row>
    <row r="242" spans="1:89" x14ac:dyDescent="0.25">
      <c r="D242" s="25">
        <v>16997</v>
      </c>
      <c r="E242" s="20">
        <v>10713</v>
      </c>
      <c r="F242" s="3" t="s">
        <v>132</v>
      </c>
      <c r="G242" s="3" t="s">
        <v>185</v>
      </c>
      <c r="H242" s="3"/>
      <c r="I242" s="3">
        <v>703.5</v>
      </c>
      <c r="V242" s="3"/>
      <c r="W242" s="3"/>
      <c r="AU242" s="22">
        <f t="shared" si="22"/>
        <v>703.5</v>
      </c>
      <c r="AV242" s="3">
        <v>470.6</v>
      </c>
      <c r="AW242" s="3">
        <v>63.4</v>
      </c>
      <c r="AX242" s="3">
        <v>169.5</v>
      </c>
      <c r="CH242" s="22">
        <f t="shared" si="18"/>
        <v>703.5</v>
      </c>
      <c r="CI242" s="3">
        <f t="shared" si="19"/>
        <v>0</v>
      </c>
      <c r="CJ242" s="17">
        <f t="shared" si="20"/>
        <v>10713</v>
      </c>
      <c r="CK242" s="3" t="str">
        <f t="shared" si="21"/>
        <v>صيدلة اكلينيكى</v>
      </c>
    </row>
    <row r="243" spans="1:89" x14ac:dyDescent="0.25">
      <c r="D243" s="25">
        <v>16996</v>
      </c>
      <c r="E243" s="17">
        <v>10714</v>
      </c>
      <c r="F243" s="3" t="s">
        <v>132</v>
      </c>
      <c r="G243" s="3" t="s">
        <v>185</v>
      </c>
      <c r="H243" s="3"/>
      <c r="I243" s="3">
        <v>350</v>
      </c>
      <c r="V243" s="3"/>
      <c r="W243" s="3"/>
      <c r="AU243" s="22">
        <f t="shared" si="22"/>
        <v>350</v>
      </c>
      <c r="AV243" s="3">
        <v>313.05</v>
      </c>
      <c r="AW243" s="3">
        <v>36.950000000000003</v>
      </c>
      <c r="CH243" s="22">
        <f t="shared" si="18"/>
        <v>350</v>
      </c>
      <c r="CI243" s="3">
        <f t="shared" si="19"/>
        <v>0</v>
      </c>
      <c r="CJ243" s="17">
        <f t="shared" si="20"/>
        <v>10714</v>
      </c>
      <c r="CK243" s="3" t="str">
        <f t="shared" si="21"/>
        <v>صيدلة اكلينيكى</v>
      </c>
    </row>
    <row r="244" spans="1:89" x14ac:dyDescent="0.25">
      <c r="D244" s="25">
        <v>17001</v>
      </c>
      <c r="E244" s="17">
        <v>10715</v>
      </c>
      <c r="F244" s="3" t="s">
        <v>132</v>
      </c>
      <c r="G244" s="3" t="s">
        <v>185</v>
      </c>
      <c r="H244" s="3"/>
      <c r="I244" s="3">
        <v>351.75</v>
      </c>
      <c r="V244" s="3"/>
      <c r="W244" s="3"/>
      <c r="AU244" s="22">
        <f t="shared" si="22"/>
        <v>351.75</v>
      </c>
      <c r="AV244" s="3">
        <v>235.55</v>
      </c>
      <c r="AW244" s="3">
        <v>31.45</v>
      </c>
      <c r="AX244" s="3">
        <v>84.75</v>
      </c>
      <c r="CH244" s="22">
        <f t="shared" si="18"/>
        <v>351.75</v>
      </c>
      <c r="CI244" s="3">
        <f t="shared" si="19"/>
        <v>0</v>
      </c>
      <c r="CJ244" s="17">
        <f t="shared" si="20"/>
        <v>10715</v>
      </c>
      <c r="CK244" s="3" t="str">
        <f t="shared" si="21"/>
        <v>صيدلة اكلينيكى</v>
      </c>
    </row>
    <row r="245" spans="1:89" x14ac:dyDescent="0.25">
      <c r="D245" s="25">
        <v>17003</v>
      </c>
      <c r="E245" s="20">
        <v>10716</v>
      </c>
      <c r="F245" s="3" t="s">
        <v>132</v>
      </c>
      <c r="G245" s="3" t="s">
        <v>185</v>
      </c>
      <c r="H245" s="3"/>
      <c r="I245" s="3">
        <v>10168.42</v>
      </c>
      <c r="V245" s="3"/>
      <c r="W245" s="3"/>
      <c r="AU245" s="22">
        <f t="shared" si="22"/>
        <v>10168.42</v>
      </c>
      <c r="AV245" s="3">
        <v>8845.06</v>
      </c>
      <c r="AW245" s="3">
        <v>392.49</v>
      </c>
      <c r="AX245" s="3">
        <v>930.87</v>
      </c>
      <c r="CH245" s="22">
        <f t="shared" si="18"/>
        <v>10168.42</v>
      </c>
      <c r="CI245" s="3">
        <f t="shared" si="19"/>
        <v>0</v>
      </c>
      <c r="CJ245" s="17">
        <f t="shared" si="20"/>
        <v>10716</v>
      </c>
      <c r="CK245" s="3" t="str">
        <f t="shared" si="21"/>
        <v>صيدلة اكلينيكى</v>
      </c>
    </row>
    <row r="246" spans="1:89" x14ac:dyDescent="0.25">
      <c r="D246" s="25">
        <v>17599</v>
      </c>
      <c r="E246" s="17">
        <v>10717</v>
      </c>
      <c r="F246" s="3" t="s">
        <v>132</v>
      </c>
      <c r="G246" s="3" t="s">
        <v>186</v>
      </c>
      <c r="H246" s="3"/>
      <c r="I246" s="3">
        <v>25200</v>
      </c>
      <c r="V246" s="3"/>
      <c r="W246" s="3"/>
      <c r="AU246" s="22">
        <f t="shared" si="22"/>
        <v>25200</v>
      </c>
      <c r="AV246" s="3">
        <v>22482.05</v>
      </c>
      <c r="AW246" s="3">
        <v>2717.95</v>
      </c>
      <c r="CH246" s="22">
        <f t="shared" si="18"/>
        <v>25200</v>
      </c>
      <c r="CI246" s="3">
        <f t="shared" si="19"/>
        <v>0</v>
      </c>
      <c r="CJ246" s="17">
        <f t="shared" si="20"/>
        <v>10717</v>
      </c>
      <c r="CK246" s="3" t="str">
        <f t="shared" si="21"/>
        <v>صيدلة اكلينيكى</v>
      </c>
    </row>
    <row r="247" spans="1:89" x14ac:dyDescent="0.25">
      <c r="D247" s="25">
        <v>17596</v>
      </c>
      <c r="E247" s="17">
        <v>10718</v>
      </c>
      <c r="F247" s="3" t="s">
        <v>132</v>
      </c>
      <c r="G247" s="3" t="s">
        <v>187</v>
      </c>
      <c r="H247" s="3"/>
      <c r="I247" s="3">
        <v>879.38</v>
      </c>
      <c r="V247" s="3"/>
      <c r="W247" s="3"/>
      <c r="AU247" s="22">
        <f t="shared" si="22"/>
        <v>879.38</v>
      </c>
      <c r="AV247" s="3">
        <v>588.15</v>
      </c>
      <c r="AW247" s="3">
        <v>79.349999999999994</v>
      </c>
      <c r="AX247" s="3">
        <v>211.88</v>
      </c>
      <c r="CH247" s="22">
        <f t="shared" si="18"/>
        <v>879.38</v>
      </c>
      <c r="CI247" s="3">
        <f t="shared" si="19"/>
        <v>0</v>
      </c>
      <c r="CJ247" s="17">
        <f t="shared" si="20"/>
        <v>10718</v>
      </c>
      <c r="CK247" s="3" t="str">
        <f t="shared" si="21"/>
        <v>صيدلة اكلينيكى</v>
      </c>
    </row>
    <row r="248" spans="1:89" x14ac:dyDescent="0.25">
      <c r="D248" s="25">
        <v>17595</v>
      </c>
      <c r="E248" s="20">
        <v>10719</v>
      </c>
      <c r="F248" s="3" t="s">
        <v>132</v>
      </c>
      <c r="G248" s="3" t="s">
        <v>187</v>
      </c>
      <c r="H248" s="3"/>
      <c r="I248" s="3">
        <v>586.25</v>
      </c>
      <c r="V248" s="3"/>
      <c r="W248" s="3"/>
      <c r="AU248" s="22">
        <f t="shared" si="22"/>
        <v>586.25</v>
      </c>
      <c r="AV248" s="3">
        <v>392.4</v>
      </c>
      <c r="AW248" s="3">
        <v>52.6</v>
      </c>
      <c r="AX248" s="3">
        <v>141.25</v>
      </c>
      <c r="CH248" s="22">
        <f t="shared" si="18"/>
        <v>586.25</v>
      </c>
      <c r="CI248" s="3">
        <f t="shared" si="19"/>
        <v>0</v>
      </c>
      <c r="CJ248" s="17">
        <f t="shared" si="20"/>
        <v>10719</v>
      </c>
      <c r="CK248" s="3" t="str">
        <f t="shared" si="21"/>
        <v>صيدلة اكلينيكى</v>
      </c>
    </row>
    <row r="249" spans="1:89" x14ac:dyDescent="0.25">
      <c r="D249" s="25">
        <v>17598</v>
      </c>
      <c r="E249" s="17">
        <v>10720</v>
      </c>
      <c r="F249" s="3" t="s">
        <v>132</v>
      </c>
      <c r="G249" s="3" t="s">
        <v>187</v>
      </c>
      <c r="H249" s="3"/>
      <c r="I249" s="3">
        <v>586.25</v>
      </c>
      <c r="V249" s="3"/>
      <c r="W249" s="3"/>
      <c r="AU249" s="22">
        <f t="shared" si="22"/>
        <v>586.25</v>
      </c>
      <c r="AV249" s="3">
        <v>391.85</v>
      </c>
      <c r="AW249" s="3">
        <v>53.15</v>
      </c>
      <c r="AX249" s="3">
        <v>141.25</v>
      </c>
      <c r="CH249" s="22">
        <f t="shared" si="18"/>
        <v>586.25</v>
      </c>
      <c r="CI249" s="3">
        <f t="shared" si="19"/>
        <v>0</v>
      </c>
      <c r="CJ249" s="17">
        <f t="shared" si="20"/>
        <v>10720</v>
      </c>
      <c r="CK249" s="3" t="str">
        <f t="shared" si="21"/>
        <v>صيدلة اكلينيكى</v>
      </c>
    </row>
    <row r="250" spans="1:89" x14ac:dyDescent="0.25">
      <c r="D250" s="25">
        <v>17597</v>
      </c>
      <c r="E250" s="17">
        <v>10721</v>
      </c>
      <c r="F250" s="3" t="s">
        <v>132</v>
      </c>
      <c r="G250" s="3" t="s">
        <v>187</v>
      </c>
      <c r="H250" s="3"/>
      <c r="I250" s="3">
        <v>9173.32</v>
      </c>
      <c r="V250" s="3"/>
      <c r="W250" s="3"/>
      <c r="AU250" s="22">
        <f t="shared" si="22"/>
        <v>9173.32</v>
      </c>
      <c r="AV250" s="3">
        <v>7545.26</v>
      </c>
      <c r="AW250" s="3">
        <v>934.8</v>
      </c>
      <c r="AX250" s="3">
        <v>693.26</v>
      </c>
      <c r="CH250" s="22">
        <f t="shared" si="18"/>
        <v>9173.32</v>
      </c>
      <c r="CI250" s="3">
        <f t="shared" si="19"/>
        <v>0</v>
      </c>
      <c r="CJ250" s="17">
        <f t="shared" si="20"/>
        <v>10721</v>
      </c>
      <c r="CK250" s="3" t="str">
        <f t="shared" si="21"/>
        <v>صيدلة اكلينيكى</v>
      </c>
    </row>
    <row r="251" spans="1:89" x14ac:dyDescent="0.25">
      <c r="D251" s="25">
        <v>17602</v>
      </c>
      <c r="E251" s="20">
        <v>10722</v>
      </c>
      <c r="F251" s="3" t="s">
        <v>132</v>
      </c>
      <c r="G251" s="3" t="s">
        <v>188</v>
      </c>
      <c r="H251" s="3"/>
      <c r="I251" s="3">
        <v>25210.34</v>
      </c>
      <c r="V251" s="3"/>
      <c r="W251" s="3"/>
      <c r="AU251" s="22">
        <f t="shared" si="22"/>
        <v>25210.34</v>
      </c>
      <c r="AV251" s="3">
        <v>16785.7</v>
      </c>
      <c r="AW251" s="3">
        <v>2266.3000000000002</v>
      </c>
      <c r="AX251" s="3">
        <v>6158.34</v>
      </c>
      <c r="CH251" s="22">
        <f t="shared" si="18"/>
        <v>25210.34</v>
      </c>
      <c r="CI251" s="3">
        <f t="shared" si="19"/>
        <v>0</v>
      </c>
      <c r="CJ251" s="17">
        <f t="shared" si="20"/>
        <v>10722</v>
      </c>
      <c r="CK251" s="3" t="str">
        <f t="shared" si="21"/>
        <v>صيدلة اكلينيكى</v>
      </c>
    </row>
    <row r="252" spans="1:89" x14ac:dyDescent="0.25">
      <c r="D252" s="25">
        <v>17605</v>
      </c>
      <c r="E252" s="17">
        <v>10723</v>
      </c>
      <c r="F252" s="3" t="s">
        <v>132</v>
      </c>
      <c r="G252" s="3" t="s">
        <v>189</v>
      </c>
      <c r="H252" s="3"/>
      <c r="I252" s="3">
        <v>107144.67</v>
      </c>
      <c r="V252" s="3"/>
      <c r="W252" s="3"/>
      <c r="AU252" s="22">
        <f t="shared" si="22"/>
        <v>107144.67</v>
      </c>
      <c r="AV252" s="3">
        <v>72231.09</v>
      </c>
      <c r="AW252" s="3">
        <v>9697.5</v>
      </c>
      <c r="AX252" s="3">
        <v>25216.080000000002</v>
      </c>
      <c r="CH252" s="22">
        <f t="shared" si="18"/>
        <v>107144.67</v>
      </c>
      <c r="CI252" s="3">
        <f t="shared" si="19"/>
        <v>0</v>
      </c>
      <c r="CJ252" s="17">
        <f t="shared" si="20"/>
        <v>10723</v>
      </c>
      <c r="CK252" s="3" t="str">
        <f t="shared" si="21"/>
        <v>صيدلة اكلينيكى</v>
      </c>
    </row>
    <row r="253" spans="1:89" x14ac:dyDescent="0.25">
      <c r="D253" s="25">
        <v>17606</v>
      </c>
      <c r="E253" s="17">
        <v>10724</v>
      </c>
      <c r="F253" s="3" t="s">
        <v>132</v>
      </c>
      <c r="G253" s="3" t="s">
        <v>189</v>
      </c>
      <c r="H253" s="3"/>
      <c r="I253" s="3">
        <v>31043.55</v>
      </c>
      <c r="V253" s="3"/>
      <c r="W253" s="3"/>
      <c r="AU253" s="22">
        <f t="shared" si="22"/>
        <v>31043.55</v>
      </c>
      <c r="AV253" s="3">
        <v>22014.02</v>
      </c>
      <c r="AW253" s="3">
        <v>2489.48</v>
      </c>
      <c r="AX253" s="3">
        <v>6540.05</v>
      </c>
      <c r="CH253" s="22">
        <f t="shared" si="18"/>
        <v>31043.55</v>
      </c>
      <c r="CI253" s="3">
        <f t="shared" si="19"/>
        <v>0</v>
      </c>
      <c r="CJ253" s="17">
        <f t="shared" si="20"/>
        <v>10724</v>
      </c>
      <c r="CK253" s="3" t="str">
        <f t="shared" si="21"/>
        <v>صيدلة اكلينيكى</v>
      </c>
    </row>
    <row r="254" spans="1:89" s="19" customFormat="1" ht="19.5" x14ac:dyDescent="0.25">
      <c r="A254" s="215"/>
      <c r="D254" s="19">
        <v>17603</v>
      </c>
      <c r="E254" s="20">
        <v>10725</v>
      </c>
      <c r="F254" s="3" t="s">
        <v>132</v>
      </c>
      <c r="G254" s="216" t="s">
        <v>189</v>
      </c>
      <c r="H254" s="26"/>
      <c r="I254" s="26">
        <v>7621.2</v>
      </c>
      <c r="J254" s="26"/>
      <c r="K254" s="26"/>
      <c r="L254" s="26"/>
      <c r="AU254" s="22">
        <f t="shared" si="22"/>
        <v>7621.2</v>
      </c>
      <c r="AV254" s="19">
        <v>5098</v>
      </c>
      <c r="AW254" s="19">
        <v>687</v>
      </c>
      <c r="AX254" s="19">
        <v>1836.2</v>
      </c>
      <c r="CG254" s="217"/>
      <c r="CH254" s="22">
        <f t="shared" si="18"/>
        <v>7621.2</v>
      </c>
      <c r="CI254" s="3">
        <f t="shared" si="19"/>
        <v>0</v>
      </c>
      <c r="CJ254" s="17">
        <f t="shared" si="20"/>
        <v>10725</v>
      </c>
      <c r="CK254" s="3" t="str">
        <f t="shared" si="21"/>
        <v>صيدلة اكلينيكى</v>
      </c>
    </row>
    <row r="255" spans="1:89" s="19" customFormat="1" ht="19.5" x14ac:dyDescent="0.25">
      <c r="A255" s="215"/>
      <c r="D255" s="19">
        <v>17604</v>
      </c>
      <c r="E255" s="17">
        <v>10726</v>
      </c>
      <c r="F255" s="3" t="s">
        <v>132</v>
      </c>
      <c r="G255" s="216" t="s">
        <v>189</v>
      </c>
      <c r="H255" s="26"/>
      <c r="I255" s="26">
        <v>762.12</v>
      </c>
      <c r="J255" s="26"/>
      <c r="K255" s="26"/>
      <c r="L255" s="26"/>
      <c r="AU255" s="22">
        <f t="shared" si="22"/>
        <v>762.12</v>
      </c>
      <c r="AV255" s="19">
        <v>509.8</v>
      </c>
      <c r="AW255" s="19">
        <v>68.7</v>
      </c>
      <c r="AX255" s="19">
        <v>183.62</v>
      </c>
      <c r="CG255" s="217"/>
      <c r="CH255" s="22">
        <f t="shared" si="18"/>
        <v>762.12</v>
      </c>
      <c r="CI255" s="3">
        <f t="shared" si="19"/>
        <v>0</v>
      </c>
      <c r="CJ255" s="17">
        <f t="shared" si="20"/>
        <v>10726</v>
      </c>
      <c r="CK255" s="3" t="str">
        <f t="shared" si="21"/>
        <v>صيدلة اكلينيكى</v>
      </c>
    </row>
    <row r="256" spans="1:89" s="19" customFormat="1" ht="19.5" x14ac:dyDescent="0.25">
      <c r="A256" s="215"/>
      <c r="D256" s="19">
        <v>17600</v>
      </c>
      <c r="E256" s="17">
        <v>10727</v>
      </c>
      <c r="F256" s="3" t="s">
        <v>132</v>
      </c>
      <c r="G256" s="216" t="s">
        <v>189</v>
      </c>
      <c r="H256" s="26"/>
      <c r="I256" s="26">
        <v>3048.48</v>
      </c>
      <c r="J256" s="26"/>
      <c r="K256" s="26"/>
      <c r="L256" s="26"/>
      <c r="AU256" s="22">
        <f t="shared" si="22"/>
        <v>3048.48</v>
      </c>
      <c r="AV256" s="19">
        <v>2039.2</v>
      </c>
      <c r="AW256" s="19">
        <v>274.8</v>
      </c>
      <c r="AX256" s="19">
        <v>734.48</v>
      </c>
      <c r="CG256" s="217"/>
      <c r="CH256" s="22">
        <f t="shared" si="18"/>
        <v>3048.48</v>
      </c>
      <c r="CI256" s="3">
        <f t="shared" si="19"/>
        <v>0</v>
      </c>
      <c r="CJ256" s="17">
        <f t="shared" si="20"/>
        <v>10727</v>
      </c>
      <c r="CK256" s="3" t="str">
        <f t="shared" si="21"/>
        <v>صيدلة اكلينيكى</v>
      </c>
    </row>
    <row r="257" spans="1:89" s="19" customFormat="1" ht="19.5" x14ac:dyDescent="0.25">
      <c r="A257" s="215"/>
      <c r="D257" s="19">
        <v>17601</v>
      </c>
      <c r="E257" s="20">
        <v>10728</v>
      </c>
      <c r="F257" s="3" t="s">
        <v>132</v>
      </c>
      <c r="G257" s="216" t="s">
        <v>190</v>
      </c>
      <c r="H257" s="26"/>
      <c r="I257" s="26">
        <v>650</v>
      </c>
      <c r="J257" s="26"/>
      <c r="K257" s="26"/>
      <c r="L257" s="26"/>
      <c r="AU257" s="22">
        <f t="shared" si="22"/>
        <v>650</v>
      </c>
      <c r="AV257" s="19">
        <v>580.79999999999995</v>
      </c>
      <c r="AW257" s="19">
        <v>69.2</v>
      </c>
      <c r="CG257" s="217"/>
      <c r="CH257" s="22">
        <f t="shared" si="18"/>
        <v>650</v>
      </c>
      <c r="CI257" s="3">
        <f t="shared" si="19"/>
        <v>0</v>
      </c>
      <c r="CJ257" s="17">
        <f t="shared" si="20"/>
        <v>10728</v>
      </c>
      <c r="CK257" s="3" t="str">
        <f t="shared" si="21"/>
        <v>صيدلة اكلينيكى</v>
      </c>
    </row>
    <row r="258" spans="1:89" s="19" customFormat="1" ht="19.5" x14ac:dyDescent="0.25">
      <c r="A258" s="215"/>
      <c r="D258" s="19">
        <v>17427</v>
      </c>
      <c r="E258" s="17">
        <v>10729</v>
      </c>
      <c r="F258" s="3" t="s">
        <v>132</v>
      </c>
      <c r="G258" s="216" t="s">
        <v>191</v>
      </c>
      <c r="H258" s="26"/>
      <c r="I258" s="26">
        <v>3750</v>
      </c>
      <c r="J258" s="26"/>
      <c r="K258" s="26"/>
      <c r="L258" s="26"/>
      <c r="AU258" s="22">
        <f t="shared" si="22"/>
        <v>3750</v>
      </c>
      <c r="AV258" s="19">
        <v>3347.25</v>
      </c>
      <c r="AW258" s="19">
        <v>402.75</v>
      </c>
      <c r="CG258" s="217"/>
      <c r="CH258" s="22">
        <f t="shared" si="18"/>
        <v>3750</v>
      </c>
      <c r="CI258" s="3">
        <f t="shared" si="19"/>
        <v>0</v>
      </c>
      <c r="CJ258" s="17">
        <f t="shared" si="20"/>
        <v>10729</v>
      </c>
      <c r="CK258" s="3" t="str">
        <f t="shared" si="21"/>
        <v>صيدلة اكلينيكى</v>
      </c>
    </row>
    <row r="259" spans="1:89" s="19" customFormat="1" ht="19.5" x14ac:dyDescent="0.25">
      <c r="A259" s="215"/>
      <c r="D259" s="19">
        <v>17426</v>
      </c>
      <c r="E259" s="17">
        <v>10730</v>
      </c>
      <c r="F259" s="3" t="s">
        <v>132</v>
      </c>
      <c r="G259" s="216" t="s">
        <v>192</v>
      </c>
      <c r="H259" s="26"/>
      <c r="I259" s="26">
        <v>53125</v>
      </c>
      <c r="J259" s="26"/>
      <c r="K259" s="26"/>
      <c r="L259" s="26"/>
      <c r="AU259" s="22">
        <f t="shared" si="22"/>
        <v>53125</v>
      </c>
      <c r="AV259" s="19">
        <v>47520.05</v>
      </c>
      <c r="AW259" s="19">
        <v>5604.95</v>
      </c>
      <c r="CG259" s="217"/>
      <c r="CH259" s="22">
        <f t="shared" si="18"/>
        <v>53125</v>
      </c>
      <c r="CI259" s="3">
        <f t="shared" si="19"/>
        <v>0</v>
      </c>
      <c r="CJ259" s="17">
        <f t="shared" si="20"/>
        <v>10730</v>
      </c>
      <c r="CK259" s="3" t="str">
        <f t="shared" si="21"/>
        <v>صيدلة اكلينيكى</v>
      </c>
    </row>
    <row r="260" spans="1:89" s="19" customFormat="1" ht="19.5" x14ac:dyDescent="0.25">
      <c r="A260" s="215"/>
      <c r="D260" s="19">
        <v>17431</v>
      </c>
      <c r="E260" s="20">
        <v>10731</v>
      </c>
      <c r="F260" s="3" t="s">
        <v>132</v>
      </c>
      <c r="G260" s="216" t="s">
        <v>193</v>
      </c>
      <c r="H260" s="26"/>
      <c r="I260" s="26">
        <v>182500</v>
      </c>
      <c r="J260" s="26"/>
      <c r="K260" s="26"/>
      <c r="L260" s="26"/>
      <c r="AU260" s="22">
        <f t="shared" si="22"/>
        <v>182500</v>
      </c>
      <c r="AV260" s="19">
        <v>163152.29999999999</v>
      </c>
      <c r="AW260" s="19">
        <v>19347.7</v>
      </c>
      <c r="CG260" s="217"/>
      <c r="CH260" s="22">
        <f t="shared" ref="CH260:CH323" si="23">SUM(AV260:CG260)</f>
        <v>182500</v>
      </c>
      <c r="CI260" s="3">
        <f t="shared" ref="CI260:CI323" si="24">+CH260-AU260</f>
        <v>0</v>
      </c>
      <c r="CJ260" s="17">
        <f t="shared" ref="CJ260:CJ323" si="25">+E260</f>
        <v>10731</v>
      </c>
      <c r="CK260" s="3" t="str">
        <f t="shared" ref="CK260:CK323" si="26">+F260</f>
        <v>صيدلة اكلينيكى</v>
      </c>
    </row>
    <row r="261" spans="1:89" s="19" customFormat="1" ht="19.5" x14ac:dyDescent="0.25">
      <c r="A261" s="215"/>
      <c r="D261" s="19">
        <v>17430</v>
      </c>
      <c r="E261" s="17">
        <v>10732</v>
      </c>
      <c r="F261" s="3" t="s">
        <v>132</v>
      </c>
      <c r="G261" s="216" t="s">
        <v>193</v>
      </c>
      <c r="H261" s="26"/>
      <c r="I261" s="26">
        <v>21000</v>
      </c>
      <c r="J261" s="26"/>
      <c r="K261" s="26"/>
      <c r="L261" s="26"/>
      <c r="AU261" s="22">
        <f t="shared" si="22"/>
        <v>21000</v>
      </c>
      <c r="AV261" s="19">
        <v>18787.400000000001</v>
      </c>
      <c r="AW261" s="19">
        <v>2212.6</v>
      </c>
      <c r="CG261" s="217"/>
      <c r="CH261" s="22">
        <f t="shared" si="23"/>
        <v>21000</v>
      </c>
      <c r="CI261" s="3">
        <f t="shared" si="24"/>
        <v>0</v>
      </c>
      <c r="CJ261" s="17">
        <f t="shared" si="25"/>
        <v>10732</v>
      </c>
      <c r="CK261" s="3" t="str">
        <f t="shared" si="26"/>
        <v>صيدلة اكلينيكى</v>
      </c>
    </row>
    <row r="262" spans="1:89" s="19" customFormat="1" ht="19.5" x14ac:dyDescent="0.25">
      <c r="A262" s="215"/>
      <c r="D262" s="19">
        <v>17429</v>
      </c>
      <c r="E262" s="17">
        <v>10733</v>
      </c>
      <c r="F262" s="3" t="s">
        <v>132</v>
      </c>
      <c r="G262" s="216" t="s">
        <v>193</v>
      </c>
      <c r="H262" s="26"/>
      <c r="I262" s="26">
        <v>95000</v>
      </c>
      <c r="J262" s="26"/>
      <c r="K262" s="26"/>
      <c r="L262" s="26"/>
      <c r="AU262" s="22">
        <f t="shared" si="22"/>
        <v>95000</v>
      </c>
      <c r="AV262" s="19">
        <v>85165.4</v>
      </c>
      <c r="AW262" s="19">
        <v>9834.6</v>
      </c>
      <c r="CG262" s="217"/>
      <c r="CH262" s="22">
        <f t="shared" si="23"/>
        <v>95000</v>
      </c>
      <c r="CI262" s="3">
        <f t="shared" si="24"/>
        <v>0</v>
      </c>
      <c r="CJ262" s="17">
        <f t="shared" si="25"/>
        <v>10733</v>
      </c>
      <c r="CK262" s="3" t="str">
        <f t="shared" si="26"/>
        <v>صيدلة اكلينيكى</v>
      </c>
    </row>
    <row r="263" spans="1:89" s="19" customFormat="1" ht="19.5" x14ac:dyDescent="0.25">
      <c r="A263" s="215"/>
      <c r="D263" s="19">
        <v>17413</v>
      </c>
      <c r="E263" s="20">
        <v>10734</v>
      </c>
      <c r="F263" s="3" t="s">
        <v>132</v>
      </c>
      <c r="G263" s="216" t="s">
        <v>193</v>
      </c>
      <c r="H263" s="26"/>
      <c r="I263" s="26">
        <v>22883.85</v>
      </c>
      <c r="J263" s="26"/>
      <c r="K263" s="26"/>
      <c r="L263" s="26"/>
      <c r="AU263" s="22">
        <f t="shared" si="22"/>
        <v>22883.85</v>
      </c>
      <c r="AV263" s="19">
        <v>22883.85</v>
      </c>
      <c r="CG263" s="217"/>
      <c r="CH263" s="22">
        <f t="shared" si="23"/>
        <v>22883.85</v>
      </c>
      <c r="CI263" s="3">
        <f t="shared" si="24"/>
        <v>0</v>
      </c>
      <c r="CJ263" s="17">
        <f t="shared" si="25"/>
        <v>10734</v>
      </c>
      <c r="CK263" s="3" t="str">
        <f t="shared" si="26"/>
        <v>صيدلة اكلينيكى</v>
      </c>
    </row>
    <row r="264" spans="1:89" s="19" customFormat="1" ht="19.5" x14ac:dyDescent="0.25">
      <c r="A264" s="215"/>
      <c r="D264" s="19">
        <v>17423</v>
      </c>
      <c r="E264" s="17">
        <v>10735</v>
      </c>
      <c r="F264" s="3" t="s">
        <v>132</v>
      </c>
      <c r="G264" s="216" t="s">
        <v>193</v>
      </c>
      <c r="H264" s="26"/>
      <c r="I264" s="26">
        <v>229000</v>
      </c>
      <c r="J264" s="26"/>
      <c r="K264" s="26"/>
      <c r="L264" s="26"/>
      <c r="AU264" s="22">
        <f t="shared" ref="AU264:AU327" si="27">SUM(I264:AS264)</f>
        <v>229000</v>
      </c>
      <c r="AV264" s="19">
        <v>205021.2</v>
      </c>
      <c r="AW264" s="19">
        <v>23978.799999999999</v>
      </c>
      <c r="CG264" s="217"/>
      <c r="CH264" s="22">
        <f t="shared" si="23"/>
        <v>229000</v>
      </c>
      <c r="CI264" s="3">
        <f t="shared" si="24"/>
        <v>0</v>
      </c>
      <c r="CJ264" s="17">
        <f t="shared" si="25"/>
        <v>10735</v>
      </c>
      <c r="CK264" s="3" t="str">
        <f t="shared" si="26"/>
        <v>صيدلة اكلينيكى</v>
      </c>
    </row>
    <row r="265" spans="1:89" s="19" customFormat="1" ht="19.5" x14ac:dyDescent="0.25">
      <c r="A265" s="215"/>
      <c r="D265" s="19">
        <v>17462</v>
      </c>
      <c r="E265" s="17">
        <v>10736</v>
      </c>
      <c r="F265" s="3" t="s">
        <v>132</v>
      </c>
      <c r="G265" s="216" t="s">
        <v>191</v>
      </c>
      <c r="H265" s="26"/>
      <c r="I265" s="26">
        <v>24000</v>
      </c>
      <c r="J265" s="26"/>
      <c r="K265" s="26"/>
      <c r="L265" s="26"/>
      <c r="AU265" s="22">
        <f t="shared" si="27"/>
        <v>24000</v>
      </c>
      <c r="AV265" s="19">
        <v>21478.400000000001</v>
      </c>
      <c r="AW265" s="19">
        <v>2521.6</v>
      </c>
      <c r="CG265" s="217"/>
      <c r="CH265" s="22">
        <f t="shared" si="23"/>
        <v>24000</v>
      </c>
      <c r="CI265" s="3">
        <f t="shared" si="24"/>
        <v>0</v>
      </c>
      <c r="CJ265" s="17">
        <f t="shared" si="25"/>
        <v>10736</v>
      </c>
      <c r="CK265" s="3" t="str">
        <f t="shared" si="26"/>
        <v>صيدلة اكلينيكى</v>
      </c>
    </row>
    <row r="266" spans="1:89" s="19" customFormat="1" ht="19.5" x14ac:dyDescent="0.25">
      <c r="A266" s="215"/>
      <c r="D266" s="19">
        <v>17424</v>
      </c>
      <c r="E266" s="20">
        <v>10737</v>
      </c>
      <c r="F266" s="3" t="s">
        <v>132</v>
      </c>
      <c r="G266" s="216" t="s">
        <v>194</v>
      </c>
      <c r="H266" s="26"/>
      <c r="I266" s="26">
        <v>18753.900000000001</v>
      </c>
      <c r="J266" s="26"/>
      <c r="K266" s="26"/>
      <c r="L266" s="26"/>
      <c r="AU266" s="22">
        <f t="shared" si="27"/>
        <v>18753.900000000001</v>
      </c>
      <c r="AV266" s="19">
        <v>18753.900000000001</v>
      </c>
      <c r="CG266" s="217"/>
      <c r="CH266" s="22">
        <f t="shared" si="23"/>
        <v>18753.900000000001</v>
      </c>
      <c r="CI266" s="3">
        <f t="shared" si="24"/>
        <v>0</v>
      </c>
      <c r="CJ266" s="17">
        <f t="shared" si="25"/>
        <v>10737</v>
      </c>
      <c r="CK266" s="3" t="str">
        <f t="shared" si="26"/>
        <v>صيدلة اكلينيكى</v>
      </c>
    </row>
    <row r="267" spans="1:89" s="19" customFormat="1" ht="19.5" x14ac:dyDescent="0.25">
      <c r="A267" s="215"/>
      <c r="D267" s="19">
        <v>17425</v>
      </c>
      <c r="E267" s="17">
        <v>10738</v>
      </c>
      <c r="F267" s="3" t="s">
        <v>132</v>
      </c>
      <c r="G267" s="216" t="s">
        <v>193</v>
      </c>
      <c r="H267" s="26"/>
      <c r="I267" s="26">
        <v>71000</v>
      </c>
      <c r="J267" s="26"/>
      <c r="K267" s="26"/>
      <c r="L267" s="26"/>
      <c r="AU267" s="22">
        <f t="shared" si="27"/>
        <v>71000</v>
      </c>
      <c r="AV267" s="19">
        <v>63486.45</v>
      </c>
      <c r="AW267" s="19">
        <v>7513.55</v>
      </c>
      <c r="CG267" s="217"/>
      <c r="CH267" s="22">
        <f t="shared" si="23"/>
        <v>71000</v>
      </c>
      <c r="CI267" s="3">
        <f t="shared" si="24"/>
        <v>0</v>
      </c>
      <c r="CJ267" s="17">
        <f t="shared" si="25"/>
        <v>10738</v>
      </c>
      <c r="CK267" s="3" t="str">
        <f t="shared" si="26"/>
        <v>صيدلة اكلينيكى</v>
      </c>
    </row>
    <row r="268" spans="1:89" s="19" customFormat="1" ht="19.5" x14ac:dyDescent="0.25">
      <c r="A268" s="215"/>
      <c r="D268" s="19">
        <v>17827</v>
      </c>
      <c r="E268" s="17">
        <v>10739</v>
      </c>
      <c r="F268" s="3" t="s">
        <v>132</v>
      </c>
      <c r="G268" s="216" t="s">
        <v>195</v>
      </c>
      <c r="H268" s="26"/>
      <c r="I268" s="26">
        <v>1465.63</v>
      </c>
      <c r="J268" s="26"/>
      <c r="K268" s="26"/>
      <c r="L268" s="26"/>
      <c r="AU268" s="22">
        <f t="shared" si="27"/>
        <v>1465.63</v>
      </c>
      <c r="AV268" s="19">
        <v>978.5</v>
      </c>
      <c r="AW268" s="19">
        <v>134</v>
      </c>
      <c r="AX268" s="19">
        <v>353.13</v>
      </c>
      <c r="CG268" s="217"/>
      <c r="CH268" s="22">
        <f t="shared" si="23"/>
        <v>1465.63</v>
      </c>
      <c r="CI268" s="3">
        <f t="shared" si="24"/>
        <v>0</v>
      </c>
      <c r="CJ268" s="17">
        <f t="shared" si="25"/>
        <v>10739</v>
      </c>
      <c r="CK268" s="3" t="str">
        <f t="shared" si="26"/>
        <v>صيدلة اكلينيكى</v>
      </c>
    </row>
    <row r="269" spans="1:89" s="19" customFormat="1" ht="19.5" x14ac:dyDescent="0.25">
      <c r="A269" s="215"/>
      <c r="D269" s="19">
        <v>17826</v>
      </c>
      <c r="E269" s="20">
        <v>10740</v>
      </c>
      <c r="F269" s="3" t="s">
        <v>132</v>
      </c>
      <c r="G269" s="216" t="s">
        <v>196</v>
      </c>
      <c r="H269" s="26"/>
      <c r="I269" s="26">
        <v>1372.9</v>
      </c>
      <c r="J269" s="26"/>
      <c r="K269" s="26"/>
      <c r="L269" s="26"/>
      <c r="AU269" s="22">
        <f t="shared" si="27"/>
        <v>1372.9</v>
      </c>
      <c r="AV269" s="19">
        <v>1038.19</v>
      </c>
      <c r="AW269" s="19">
        <v>133.44999999999999</v>
      </c>
      <c r="AX269" s="19">
        <v>201.26</v>
      </c>
      <c r="CG269" s="217"/>
      <c r="CH269" s="22">
        <f t="shared" si="23"/>
        <v>1372.9</v>
      </c>
      <c r="CI269" s="3">
        <f t="shared" si="24"/>
        <v>0</v>
      </c>
      <c r="CJ269" s="17">
        <f t="shared" si="25"/>
        <v>10740</v>
      </c>
      <c r="CK269" s="3" t="str">
        <f t="shared" si="26"/>
        <v>صيدلة اكلينيكى</v>
      </c>
    </row>
    <row r="270" spans="1:89" s="19" customFormat="1" ht="19.5" x14ac:dyDescent="0.25">
      <c r="A270" s="215"/>
      <c r="D270" s="19">
        <v>17825</v>
      </c>
      <c r="E270" s="17">
        <v>10741</v>
      </c>
      <c r="F270" s="3" t="s">
        <v>132</v>
      </c>
      <c r="G270" s="216" t="s">
        <v>197</v>
      </c>
      <c r="H270" s="26"/>
      <c r="I270" s="26">
        <v>586.26</v>
      </c>
      <c r="J270" s="26"/>
      <c r="K270" s="26"/>
      <c r="L270" s="26"/>
      <c r="AU270" s="22">
        <f t="shared" si="27"/>
        <v>586.26</v>
      </c>
      <c r="AV270" s="19">
        <v>392.4</v>
      </c>
      <c r="AW270" s="19">
        <v>52.6</v>
      </c>
      <c r="AX270" s="19">
        <v>141.26</v>
      </c>
      <c r="CG270" s="217"/>
      <c r="CH270" s="22">
        <f t="shared" si="23"/>
        <v>586.26</v>
      </c>
      <c r="CI270" s="3">
        <f t="shared" si="24"/>
        <v>0</v>
      </c>
      <c r="CJ270" s="17">
        <f t="shared" si="25"/>
        <v>10741</v>
      </c>
      <c r="CK270" s="3" t="str">
        <f t="shared" si="26"/>
        <v>صيدلة اكلينيكى</v>
      </c>
    </row>
    <row r="271" spans="1:89" s="19" customFormat="1" ht="19.5" x14ac:dyDescent="0.25">
      <c r="A271" s="215"/>
      <c r="D271" s="19">
        <v>17823</v>
      </c>
      <c r="E271" s="17">
        <v>10742</v>
      </c>
      <c r="F271" s="3" t="s">
        <v>132</v>
      </c>
      <c r="G271" s="216" t="s">
        <v>197</v>
      </c>
      <c r="H271" s="26"/>
      <c r="I271" s="26">
        <v>912.42</v>
      </c>
      <c r="J271" s="26"/>
      <c r="K271" s="26"/>
      <c r="L271" s="26"/>
      <c r="AU271" s="22">
        <f t="shared" si="27"/>
        <v>912.42</v>
      </c>
      <c r="AV271" s="19">
        <v>720.34</v>
      </c>
      <c r="AW271" s="19">
        <v>89.85</v>
      </c>
      <c r="AX271" s="19">
        <v>102.23</v>
      </c>
      <c r="CG271" s="217"/>
      <c r="CH271" s="22">
        <f t="shared" si="23"/>
        <v>912.42000000000007</v>
      </c>
      <c r="CI271" s="3">
        <f t="shared" si="24"/>
        <v>0</v>
      </c>
      <c r="CJ271" s="17">
        <f t="shared" si="25"/>
        <v>10742</v>
      </c>
      <c r="CK271" s="3" t="str">
        <f t="shared" si="26"/>
        <v>صيدلة اكلينيكى</v>
      </c>
    </row>
    <row r="272" spans="1:89" s="19" customFormat="1" ht="19.5" x14ac:dyDescent="0.25">
      <c r="A272" s="215"/>
      <c r="D272" s="19">
        <v>17822</v>
      </c>
      <c r="E272" s="20">
        <v>10743</v>
      </c>
      <c r="F272" s="3" t="s">
        <v>132</v>
      </c>
      <c r="G272" s="216" t="s">
        <v>197</v>
      </c>
      <c r="H272" s="26"/>
      <c r="I272" s="26">
        <v>293.12</v>
      </c>
      <c r="J272" s="26"/>
      <c r="K272" s="26"/>
      <c r="L272" s="26"/>
      <c r="AU272" s="22">
        <f t="shared" si="27"/>
        <v>293.12</v>
      </c>
      <c r="AV272" s="19">
        <v>196.45</v>
      </c>
      <c r="AW272" s="19">
        <v>26.05</v>
      </c>
      <c r="AX272" s="19">
        <v>70.62</v>
      </c>
      <c r="CG272" s="217"/>
      <c r="CH272" s="22">
        <f t="shared" si="23"/>
        <v>293.12</v>
      </c>
      <c r="CI272" s="3">
        <f t="shared" si="24"/>
        <v>0</v>
      </c>
      <c r="CJ272" s="17">
        <f t="shared" si="25"/>
        <v>10743</v>
      </c>
      <c r="CK272" s="3" t="str">
        <f t="shared" si="26"/>
        <v>صيدلة اكلينيكى</v>
      </c>
    </row>
    <row r="273" spans="1:89" s="19" customFormat="1" ht="19.5" x14ac:dyDescent="0.25">
      <c r="A273" s="215"/>
      <c r="D273" s="19">
        <v>17824</v>
      </c>
      <c r="E273" s="17">
        <v>10744</v>
      </c>
      <c r="F273" s="3" t="s">
        <v>132</v>
      </c>
      <c r="G273" s="216" t="s">
        <v>197</v>
      </c>
      <c r="H273" s="26"/>
      <c r="I273" s="26">
        <v>2286.2399999999998</v>
      </c>
      <c r="J273" s="26"/>
      <c r="K273" s="26"/>
      <c r="L273" s="26"/>
      <c r="AU273" s="22">
        <f t="shared" si="27"/>
        <v>2286.2399999999998</v>
      </c>
      <c r="AV273" s="19">
        <v>1913.35</v>
      </c>
      <c r="AW273" s="19">
        <v>231.65</v>
      </c>
      <c r="AX273" s="19">
        <v>141.24</v>
      </c>
      <c r="CG273" s="217"/>
      <c r="CH273" s="22">
        <f t="shared" si="23"/>
        <v>2286.2399999999998</v>
      </c>
      <c r="CI273" s="3">
        <f t="shared" si="24"/>
        <v>0</v>
      </c>
      <c r="CJ273" s="17">
        <f t="shared" si="25"/>
        <v>10744</v>
      </c>
      <c r="CK273" s="3" t="str">
        <f t="shared" si="26"/>
        <v>صيدلة اكلينيكى</v>
      </c>
    </row>
    <row r="274" spans="1:89" s="19" customFormat="1" ht="19.5" x14ac:dyDescent="0.25">
      <c r="A274" s="215"/>
      <c r="D274" s="19">
        <v>17820</v>
      </c>
      <c r="E274" s="17">
        <v>10745</v>
      </c>
      <c r="F274" s="3" t="s">
        <v>132</v>
      </c>
      <c r="G274" s="216" t="s">
        <v>198</v>
      </c>
      <c r="H274" s="26"/>
      <c r="I274" s="26">
        <v>3990</v>
      </c>
      <c r="J274" s="26"/>
      <c r="K274" s="26"/>
      <c r="L274" s="26"/>
      <c r="AU274" s="22">
        <f t="shared" si="27"/>
        <v>3990</v>
      </c>
      <c r="AV274" s="19">
        <v>3561.45</v>
      </c>
      <c r="AW274" s="19">
        <v>428.55</v>
      </c>
      <c r="CG274" s="217"/>
      <c r="CH274" s="22">
        <f t="shared" si="23"/>
        <v>3990</v>
      </c>
      <c r="CI274" s="3">
        <f t="shared" si="24"/>
        <v>0</v>
      </c>
      <c r="CJ274" s="17">
        <f t="shared" si="25"/>
        <v>10745</v>
      </c>
      <c r="CK274" s="3" t="str">
        <f t="shared" si="26"/>
        <v>صيدلة اكلينيكى</v>
      </c>
    </row>
    <row r="275" spans="1:89" s="19" customFormat="1" ht="19.5" x14ac:dyDescent="0.25">
      <c r="A275" s="215"/>
      <c r="D275" s="19">
        <v>17821</v>
      </c>
      <c r="E275" s="20">
        <v>10746</v>
      </c>
      <c r="F275" s="3" t="s">
        <v>132</v>
      </c>
      <c r="G275" s="216" t="s">
        <v>198</v>
      </c>
      <c r="H275" s="26"/>
      <c r="I275" s="26">
        <v>140707.79</v>
      </c>
      <c r="J275" s="26"/>
      <c r="K275" s="26"/>
      <c r="L275" s="26"/>
      <c r="AU275" s="22">
        <f t="shared" si="27"/>
        <v>140707.79</v>
      </c>
      <c r="AV275" s="19">
        <v>125570.38</v>
      </c>
      <c r="AW275" s="19">
        <v>15124.65</v>
      </c>
      <c r="AX275" s="19">
        <v>12.76</v>
      </c>
      <c r="CG275" s="217"/>
      <c r="CH275" s="22">
        <f t="shared" si="23"/>
        <v>140707.79</v>
      </c>
      <c r="CI275" s="3">
        <f t="shared" si="24"/>
        <v>0</v>
      </c>
      <c r="CJ275" s="17">
        <f t="shared" si="25"/>
        <v>10746</v>
      </c>
      <c r="CK275" s="3" t="str">
        <f t="shared" si="26"/>
        <v>صيدلة اكلينيكى</v>
      </c>
    </row>
    <row r="276" spans="1:89" s="19" customFormat="1" ht="19.5" x14ac:dyDescent="0.25">
      <c r="A276" s="215"/>
      <c r="D276" s="19">
        <v>17828</v>
      </c>
      <c r="E276" s="17">
        <v>10747</v>
      </c>
      <c r="F276" s="3" t="s">
        <v>132</v>
      </c>
      <c r="G276" s="216" t="s">
        <v>199</v>
      </c>
      <c r="H276" s="26"/>
      <c r="I276" s="26">
        <v>300</v>
      </c>
      <c r="J276" s="26"/>
      <c r="K276" s="26"/>
      <c r="L276" s="26"/>
      <c r="AU276" s="22">
        <f t="shared" si="27"/>
        <v>300</v>
      </c>
      <c r="AV276" s="19">
        <v>268.35000000000002</v>
      </c>
      <c r="AW276" s="19">
        <v>31.65</v>
      </c>
      <c r="CG276" s="217"/>
      <c r="CH276" s="22">
        <f t="shared" si="23"/>
        <v>300</v>
      </c>
      <c r="CI276" s="3">
        <f t="shared" si="24"/>
        <v>0</v>
      </c>
      <c r="CJ276" s="17">
        <f t="shared" si="25"/>
        <v>10747</v>
      </c>
      <c r="CK276" s="3" t="str">
        <f t="shared" si="26"/>
        <v>صيدلة اكلينيكى</v>
      </c>
    </row>
    <row r="277" spans="1:89" s="19" customFormat="1" ht="19.5" x14ac:dyDescent="0.25">
      <c r="A277" s="215"/>
      <c r="D277" s="19">
        <v>17830</v>
      </c>
      <c r="E277" s="17">
        <v>10748</v>
      </c>
      <c r="F277" s="3" t="s">
        <v>132</v>
      </c>
      <c r="G277" s="216" t="s">
        <v>199</v>
      </c>
      <c r="H277" s="26"/>
      <c r="I277" s="26">
        <v>762.12</v>
      </c>
      <c r="J277" s="26"/>
      <c r="K277" s="26"/>
      <c r="L277" s="26"/>
      <c r="AU277" s="22">
        <f t="shared" si="27"/>
        <v>762.12</v>
      </c>
      <c r="AV277" s="19">
        <v>509.8</v>
      </c>
      <c r="AW277" s="19">
        <v>68.7</v>
      </c>
      <c r="AX277" s="19">
        <v>183.62</v>
      </c>
      <c r="CG277" s="217"/>
      <c r="CH277" s="22">
        <f t="shared" si="23"/>
        <v>762.12</v>
      </c>
      <c r="CI277" s="3">
        <f t="shared" si="24"/>
        <v>0</v>
      </c>
      <c r="CJ277" s="17">
        <f t="shared" si="25"/>
        <v>10748</v>
      </c>
      <c r="CK277" s="3" t="str">
        <f t="shared" si="26"/>
        <v>صيدلة اكلينيكى</v>
      </c>
    </row>
    <row r="278" spans="1:89" s="19" customFormat="1" ht="19.5" x14ac:dyDescent="0.25">
      <c r="A278" s="215"/>
      <c r="D278" s="19">
        <v>17829</v>
      </c>
      <c r="E278" s="20">
        <v>10749</v>
      </c>
      <c r="F278" s="3" t="s">
        <v>132</v>
      </c>
      <c r="G278" s="216" t="s">
        <v>199</v>
      </c>
      <c r="H278" s="26"/>
      <c r="I278" s="26">
        <v>2989.84</v>
      </c>
      <c r="J278" s="26"/>
      <c r="K278" s="26"/>
      <c r="L278" s="26"/>
      <c r="AU278" s="22">
        <f t="shared" si="27"/>
        <v>2989.84</v>
      </c>
      <c r="AV278" s="19">
        <v>2002.8</v>
      </c>
      <c r="AW278" s="19">
        <v>266.7</v>
      </c>
      <c r="AX278" s="19">
        <v>720.34</v>
      </c>
      <c r="CG278" s="217"/>
      <c r="CH278" s="22">
        <f t="shared" si="23"/>
        <v>2989.84</v>
      </c>
      <c r="CI278" s="3">
        <f t="shared" si="24"/>
        <v>0</v>
      </c>
      <c r="CJ278" s="17">
        <f t="shared" si="25"/>
        <v>10749</v>
      </c>
      <c r="CK278" s="3" t="str">
        <f t="shared" si="26"/>
        <v>صيدلة اكلينيكى</v>
      </c>
    </row>
    <row r="279" spans="1:89" s="19" customFormat="1" ht="19.5" x14ac:dyDescent="0.25">
      <c r="A279" s="215"/>
      <c r="D279" s="19">
        <v>17832</v>
      </c>
      <c r="E279" s="17">
        <v>10750</v>
      </c>
      <c r="F279" s="3" t="s">
        <v>132</v>
      </c>
      <c r="G279" s="216" t="s">
        <v>199</v>
      </c>
      <c r="H279" s="26"/>
      <c r="I279" s="26">
        <v>1410.38</v>
      </c>
      <c r="J279" s="26"/>
      <c r="K279" s="26"/>
      <c r="L279" s="26"/>
      <c r="AU279" s="22">
        <f t="shared" si="27"/>
        <v>1410.38</v>
      </c>
      <c r="AV279" s="19">
        <v>1267.77</v>
      </c>
      <c r="AW279" s="19">
        <v>43.730000000000004</v>
      </c>
      <c r="AX279" s="19">
        <v>98.88</v>
      </c>
      <c r="CG279" s="217"/>
      <c r="CH279" s="22">
        <f t="shared" si="23"/>
        <v>1410.38</v>
      </c>
      <c r="CI279" s="3">
        <f t="shared" si="24"/>
        <v>0</v>
      </c>
      <c r="CJ279" s="17">
        <f t="shared" si="25"/>
        <v>10750</v>
      </c>
      <c r="CK279" s="3" t="str">
        <f t="shared" si="26"/>
        <v>صيدلة اكلينيكى</v>
      </c>
    </row>
    <row r="280" spans="1:89" s="19" customFormat="1" ht="19.5" x14ac:dyDescent="0.25">
      <c r="A280" s="215"/>
      <c r="D280" s="19">
        <v>17831</v>
      </c>
      <c r="E280" s="17">
        <v>10751</v>
      </c>
      <c r="F280" s="3" t="s">
        <v>132</v>
      </c>
      <c r="G280" s="216" t="s">
        <v>199</v>
      </c>
      <c r="H280" s="26"/>
      <c r="I280" s="26">
        <v>6404.89</v>
      </c>
      <c r="J280" s="26"/>
      <c r="K280" s="26"/>
      <c r="L280" s="26"/>
      <c r="AU280" s="22">
        <f t="shared" si="27"/>
        <v>6404.89</v>
      </c>
      <c r="AV280" s="19">
        <v>4650.91</v>
      </c>
      <c r="AW280" s="19">
        <v>599.54999999999995</v>
      </c>
      <c r="AX280" s="19">
        <v>1154.43</v>
      </c>
      <c r="CG280" s="217"/>
      <c r="CH280" s="22">
        <f t="shared" si="23"/>
        <v>6404.89</v>
      </c>
      <c r="CI280" s="3">
        <f t="shared" si="24"/>
        <v>0</v>
      </c>
      <c r="CJ280" s="17">
        <f t="shared" si="25"/>
        <v>10751</v>
      </c>
      <c r="CK280" s="3" t="str">
        <f t="shared" si="26"/>
        <v>صيدلة اكلينيكى</v>
      </c>
    </row>
    <row r="281" spans="1:89" s="19" customFormat="1" ht="19.5" x14ac:dyDescent="0.25">
      <c r="A281" s="215"/>
      <c r="D281" s="19">
        <v>17819</v>
      </c>
      <c r="E281" s="20">
        <v>10752</v>
      </c>
      <c r="F281" s="3" t="s">
        <v>132</v>
      </c>
      <c r="G281" s="216" t="s">
        <v>200</v>
      </c>
      <c r="H281" s="26"/>
      <c r="I281" s="26">
        <v>11540</v>
      </c>
      <c r="J281" s="26"/>
      <c r="K281" s="26"/>
      <c r="L281" s="26"/>
      <c r="AU281" s="22">
        <f t="shared" si="27"/>
        <v>11540</v>
      </c>
      <c r="AV281" s="19">
        <v>10303.1</v>
      </c>
      <c r="AW281" s="19">
        <v>1236.9000000000001</v>
      </c>
      <c r="CG281" s="217"/>
      <c r="CH281" s="22">
        <f t="shared" si="23"/>
        <v>11540</v>
      </c>
      <c r="CI281" s="3">
        <f t="shared" si="24"/>
        <v>0</v>
      </c>
      <c r="CJ281" s="17">
        <f t="shared" si="25"/>
        <v>10752</v>
      </c>
      <c r="CK281" s="3" t="str">
        <f t="shared" si="26"/>
        <v>صيدلة اكلينيكى</v>
      </c>
    </row>
    <row r="282" spans="1:89" s="19" customFormat="1" ht="19.5" x14ac:dyDescent="0.25">
      <c r="A282" s="215"/>
      <c r="C282" s="26"/>
      <c r="D282" s="19">
        <v>17833</v>
      </c>
      <c r="E282" s="17">
        <v>10753</v>
      </c>
      <c r="F282" s="3" t="s">
        <v>119</v>
      </c>
      <c r="G282" s="216" t="s">
        <v>201</v>
      </c>
      <c r="H282" s="26"/>
      <c r="I282" s="26">
        <v>3360</v>
      </c>
      <c r="J282" s="26"/>
      <c r="K282" s="26"/>
      <c r="L282" s="26"/>
      <c r="AU282" s="22">
        <f t="shared" si="27"/>
        <v>3360</v>
      </c>
      <c r="AV282" s="19">
        <v>2534</v>
      </c>
      <c r="AW282" s="19">
        <v>658</v>
      </c>
      <c r="AY282" s="19">
        <v>168</v>
      </c>
      <c r="CG282" s="217"/>
      <c r="CH282" s="22">
        <f t="shared" si="23"/>
        <v>3360</v>
      </c>
      <c r="CI282" s="3">
        <f t="shared" si="24"/>
        <v>0</v>
      </c>
      <c r="CJ282" s="17">
        <f t="shared" si="25"/>
        <v>10753</v>
      </c>
      <c r="CK282" s="3" t="str">
        <f t="shared" si="26"/>
        <v>خ ت صيدلة</v>
      </c>
    </row>
    <row r="283" spans="1:89" s="19" customFormat="1" ht="19.5" x14ac:dyDescent="0.25">
      <c r="A283" s="215"/>
      <c r="D283" s="19">
        <v>17838</v>
      </c>
      <c r="E283" s="17">
        <v>10754</v>
      </c>
      <c r="F283" s="3" t="s">
        <v>119</v>
      </c>
      <c r="G283" s="216" t="s">
        <v>202</v>
      </c>
      <c r="H283" s="26"/>
      <c r="I283" s="26">
        <v>536.01</v>
      </c>
      <c r="J283" s="26"/>
      <c r="K283" s="26"/>
      <c r="L283" s="26"/>
      <c r="AU283" s="22">
        <f t="shared" si="27"/>
        <v>536.01</v>
      </c>
      <c r="AV283" s="19">
        <v>404.31</v>
      </c>
      <c r="AW283" s="19">
        <v>47.72</v>
      </c>
      <c r="AX283" s="19">
        <v>58.98</v>
      </c>
      <c r="AY283" s="19">
        <v>25</v>
      </c>
      <c r="CG283" s="217"/>
      <c r="CH283" s="22">
        <f t="shared" si="23"/>
        <v>536.01</v>
      </c>
      <c r="CI283" s="3">
        <f t="shared" si="24"/>
        <v>0</v>
      </c>
      <c r="CJ283" s="17">
        <f t="shared" si="25"/>
        <v>10754</v>
      </c>
      <c r="CK283" s="3" t="str">
        <f t="shared" si="26"/>
        <v>خ ت صيدلة</v>
      </c>
    </row>
    <row r="284" spans="1:89" s="19" customFormat="1" ht="19.5" x14ac:dyDescent="0.25">
      <c r="A284" s="215"/>
      <c r="D284" s="19">
        <v>17840</v>
      </c>
      <c r="E284" s="20">
        <v>10755</v>
      </c>
      <c r="F284" s="3" t="s">
        <v>119</v>
      </c>
      <c r="G284" s="216" t="s">
        <v>203</v>
      </c>
      <c r="H284" s="26"/>
      <c r="I284" s="26">
        <v>412.43</v>
      </c>
      <c r="J284" s="26"/>
      <c r="K284" s="26"/>
      <c r="L284" s="26"/>
      <c r="AU284" s="22">
        <f t="shared" si="27"/>
        <v>412.43</v>
      </c>
      <c r="AV284" s="19">
        <v>345.92</v>
      </c>
      <c r="AW284" s="19">
        <v>10.280000000000001</v>
      </c>
      <c r="AX284" s="19">
        <v>36.729999999999997</v>
      </c>
      <c r="AY284" s="19">
        <v>19.5</v>
      </c>
      <c r="CG284" s="217"/>
      <c r="CH284" s="22">
        <f t="shared" si="23"/>
        <v>412.43000000000006</v>
      </c>
      <c r="CI284" s="3">
        <f t="shared" si="24"/>
        <v>0</v>
      </c>
      <c r="CJ284" s="17">
        <f t="shared" si="25"/>
        <v>10755</v>
      </c>
      <c r="CK284" s="3" t="str">
        <f t="shared" si="26"/>
        <v>خ ت صيدلة</v>
      </c>
    </row>
    <row r="285" spans="1:89" s="19" customFormat="1" ht="19.5" x14ac:dyDescent="0.25">
      <c r="A285" s="215"/>
      <c r="D285" s="19">
        <v>17841</v>
      </c>
      <c r="E285" s="17">
        <v>10756</v>
      </c>
      <c r="F285" s="3" t="s">
        <v>119</v>
      </c>
      <c r="G285" s="216" t="s">
        <v>203</v>
      </c>
      <c r="H285" s="26"/>
      <c r="I285" s="26">
        <v>797.28</v>
      </c>
      <c r="J285" s="26"/>
      <c r="K285" s="26"/>
      <c r="L285" s="26"/>
      <c r="AU285" s="22">
        <f t="shared" si="27"/>
        <v>797.28</v>
      </c>
      <c r="AV285" s="19">
        <v>497.88</v>
      </c>
      <c r="AW285" s="19">
        <v>73.320000000000007</v>
      </c>
      <c r="AX285" s="19">
        <v>192.08</v>
      </c>
      <c r="AY285" s="19">
        <v>34</v>
      </c>
      <c r="CG285" s="217"/>
      <c r="CH285" s="22">
        <f t="shared" si="23"/>
        <v>797.28000000000009</v>
      </c>
      <c r="CI285" s="3">
        <f t="shared" si="24"/>
        <v>0</v>
      </c>
      <c r="CJ285" s="17">
        <f t="shared" si="25"/>
        <v>10756</v>
      </c>
      <c r="CK285" s="3" t="str">
        <f t="shared" si="26"/>
        <v>خ ت صيدلة</v>
      </c>
    </row>
    <row r="286" spans="1:89" s="19" customFormat="1" ht="19.5" x14ac:dyDescent="0.25">
      <c r="A286" s="215"/>
      <c r="D286" s="19">
        <v>17842</v>
      </c>
      <c r="E286" s="17">
        <v>10757</v>
      </c>
      <c r="F286" s="3" t="s">
        <v>119</v>
      </c>
      <c r="G286" s="216" t="s">
        <v>203</v>
      </c>
      <c r="H286" s="26"/>
      <c r="I286" s="26">
        <v>304.83999999999997</v>
      </c>
      <c r="J286" s="26"/>
      <c r="K286" s="26"/>
      <c r="L286" s="26"/>
      <c r="AU286" s="22">
        <f t="shared" si="27"/>
        <v>304.83999999999997</v>
      </c>
      <c r="AV286" s="19">
        <v>195.84</v>
      </c>
      <c r="AW286" s="19">
        <v>22.560000000000002</v>
      </c>
      <c r="AX286" s="19">
        <v>73.44</v>
      </c>
      <c r="AY286" s="19">
        <v>13</v>
      </c>
      <c r="CG286" s="217"/>
      <c r="CH286" s="22">
        <f t="shared" si="23"/>
        <v>304.84000000000003</v>
      </c>
      <c r="CI286" s="3">
        <f t="shared" si="24"/>
        <v>0</v>
      </c>
      <c r="CJ286" s="17">
        <f t="shared" si="25"/>
        <v>10757</v>
      </c>
      <c r="CK286" s="3" t="str">
        <f t="shared" si="26"/>
        <v>خ ت صيدلة</v>
      </c>
    </row>
    <row r="287" spans="1:89" s="19" customFormat="1" ht="19.5" x14ac:dyDescent="0.25">
      <c r="A287" s="215"/>
      <c r="D287" s="19">
        <v>17843</v>
      </c>
      <c r="E287" s="20">
        <v>10758</v>
      </c>
      <c r="F287" s="3" t="s">
        <v>119</v>
      </c>
      <c r="G287" s="216" t="s">
        <v>204</v>
      </c>
      <c r="H287" s="26"/>
      <c r="I287" s="26">
        <v>5155.4399999999996</v>
      </c>
      <c r="J287" s="26"/>
      <c r="K287" s="26"/>
      <c r="L287" s="26"/>
      <c r="AU287" s="22">
        <f t="shared" si="27"/>
        <v>5155.4399999999996</v>
      </c>
      <c r="AV287" s="19">
        <v>3296.95</v>
      </c>
      <c r="AW287" s="19">
        <v>587.36</v>
      </c>
      <c r="AX287" s="19">
        <v>1045.27</v>
      </c>
      <c r="AY287" s="19">
        <v>225.86</v>
      </c>
      <c r="CG287" s="217"/>
      <c r="CH287" s="22">
        <f t="shared" si="23"/>
        <v>5155.4399999999996</v>
      </c>
      <c r="CI287" s="3">
        <f t="shared" si="24"/>
        <v>0</v>
      </c>
      <c r="CJ287" s="17">
        <f t="shared" si="25"/>
        <v>10758</v>
      </c>
      <c r="CK287" s="3" t="str">
        <f t="shared" si="26"/>
        <v>خ ت صيدلة</v>
      </c>
    </row>
    <row r="288" spans="1:89" s="19" customFormat="1" ht="19.5" x14ac:dyDescent="0.25">
      <c r="A288" s="215"/>
      <c r="D288" s="19">
        <v>17844</v>
      </c>
      <c r="E288" s="17">
        <v>10759</v>
      </c>
      <c r="F288" s="3" t="s">
        <v>119</v>
      </c>
      <c r="G288" s="216" t="s">
        <v>204</v>
      </c>
      <c r="H288" s="26"/>
      <c r="I288" s="26">
        <v>46.9</v>
      </c>
      <c r="J288" s="26"/>
      <c r="K288" s="26"/>
      <c r="L288" s="26"/>
      <c r="AU288" s="22">
        <f t="shared" si="27"/>
        <v>46.9</v>
      </c>
      <c r="AV288" s="19">
        <v>30.24</v>
      </c>
      <c r="AW288" s="19">
        <v>3.36</v>
      </c>
      <c r="AX288" s="19">
        <v>11.3</v>
      </c>
      <c r="AY288" s="19">
        <v>2</v>
      </c>
      <c r="CG288" s="217"/>
      <c r="CH288" s="22">
        <f t="shared" si="23"/>
        <v>46.900000000000006</v>
      </c>
      <c r="CI288" s="3">
        <f t="shared" si="24"/>
        <v>0</v>
      </c>
      <c r="CJ288" s="17">
        <f t="shared" si="25"/>
        <v>10759</v>
      </c>
      <c r="CK288" s="3" t="str">
        <f t="shared" si="26"/>
        <v>خ ت صيدلة</v>
      </c>
    </row>
    <row r="289" spans="1:89" s="19" customFormat="1" ht="19.5" x14ac:dyDescent="0.25">
      <c r="A289" s="218"/>
      <c r="B289" s="217"/>
      <c r="D289" s="19">
        <v>17845</v>
      </c>
      <c r="E289" s="17">
        <v>10760</v>
      </c>
      <c r="F289" s="3" t="s">
        <v>119</v>
      </c>
      <c r="G289" s="216" t="s">
        <v>205</v>
      </c>
      <c r="H289" s="26"/>
      <c r="I289" s="26">
        <v>140.69999999999999</v>
      </c>
      <c r="J289" s="220"/>
      <c r="K289" s="220"/>
      <c r="L289" s="26"/>
      <c r="AU289" s="22">
        <f t="shared" si="27"/>
        <v>140.69999999999999</v>
      </c>
      <c r="AV289" s="19">
        <v>90.72</v>
      </c>
      <c r="AW289" s="19">
        <v>10.08</v>
      </c>
      <c r="AX289" s="19">
        <v>33.9</v>
      </c>
      <c r="AY289" s="19">
        <v>6</v>
      </c>
      <c r="CG289" s="217"/>
      <c r="CH289" s="22">
        <f t="shared" si="23"/>
        <v>140.69999999999999</v>
      </c>
      <c r="CI289" s="3">
        <f t="shared" si="24"/>
        <v>0</v>
      </c>
      <c r="CJ289" s="17">
        <f t="shared" si="25"/>
        <v>10760</v>
      </c>
      <c r="CK289" s="3" t="str">
        <f t="shared" si="26"/>
        <v>خ ت صيدلة</v>
      </c>
    </row>
    <row r="290" spans="1:89" s="19" customFormat="1" ht="19.5" x14ac:dyDescent="0.25">
      <c r="A290" s="215"/>
      <c r="D290" s="19">
        <v>17846</v>
      </c>
      <c r="E290" s="20">
        <v>10761</v>
      </c>
      <c r="F290" s="3" t="s">
        <v>119</v>
      </c>
      <c r="G290" s="216" t="s">
        <v>205</v>
      </c>
      <c r="H290" s="26"/>
      <c r="I290" s="26">
        <v>830.2</v>
      </c>
      <c r="J290" s="26"/>
      <c r="K290" s="26"/>
      <c r="L290" s="26"/>
      <c r="AU290" s="22">
        <f t="shared" si="27"/>
        <v>830.2</v>
      </c>
      <c r="AV290" s="19">
        <v>532.35</v>
      </c>
      <c r="AW290" s="19">
        <v>59.15</v>
      </c>
      <c r="AX290" s="19">
        <v>203.4</v>
      </c>
      <c r="AY290" s="19">
        <v>35.299999999999997</v>
      </c>
      <c r="CG290" s="217"/>
      <c r="CH290" s="22">
        <f t="shared" si="23"/>
        <v>830.19999999999993</v>
      </c>
      <c r="CI290" s="3">
        <f t="shared" si="24"/>
        <v>0</v>
      </c>
      <c r="CJ290" s="17">
        <f t="shared" si="25"/>
        <v>10761</v>
      </c>
      <c r="CK290" s="3" t="str">
        <f t="shared" si="26"/>
        <v>خ ت صيدلة</v>
      </c>
    </row>
    <row r="291" spans="1:89" s="19" customFormat="1" ht="19.5" x14ac:dyDescent="0.25">
      <c r="A291" s="215"/>
      <c r="D291" s="19">
        <v>17847</v>
      </c>
      <c r="E291" s="17">
        <v>10762</v>
      </c>
      <c r="F291" s="3" t="s">
        <v>119</v>
      </c>
      <c r="G291" s="216" t="s">
        <v>206</v>
      </c>
      <c r="H291" s="26"/>
      <c r="I291" s="26">
        <v>1172.5</v>
      </c>
      <c r="J291" s="26"/>
      <c r="K291" s="26"/>
      <c r="L291" s="26"/>
      <c r="AU291" s="22">
        <f t="shared" si="27"/>
        <v>1172.5</v>
      </c>
      <c r="AV291" s="19">
        <v>680.61</v>
      </c>
      <c r="AW291" s="19">
        <v>159.39000000000001</v>
      </c>
      <c r="AX291" s="19">
        <v>282.5</v>
      </c>
      <c r="AY291" s="19">
        <v>50</v>
      </c>
      <c r="CG291" s="217"/>
      <c r="CH291" s="22">
        <f t="shared" si="23"/>
        <v>1172.5</v>
      </c>
      <c r="CI291" s="3">
        <f t="shared" si="24"/>
        <v>0</v>
      </c>
      <c r="CJ291" s="17">
        <f t="shared" si="25"/>
        <v>10762</v>
      </c>
      <c r="CK291" s="3" t="str">
        <f t="shared" si="26"/>
        <v>خ ت صيدلة</v>
      </c>
    </row>
    <row r="292" spans="1:89" s="19" customFormat="1" ht="19.5" x14ac:dyDescent="0.25">
      <c r="A292" s="215"/>
      <c r="D292" s="19">
        <v>17848</v>
      </c>
      <c r="E292" s="17">
        <v>10763</v>
      </c>
      <c r="F292" s="3" t="s">
        <v>119</v>
      </c>
      <c r="G292" s="216" t="s">
        <v>207</v>
      </c>
      <c r="H292" s="26"/>
      <c r="I292" s="26">
        <v>469</v>
      </c>
      <c r="J292" s="26"/>
      <c r="K292" s="26"/>
      <c r="L292" s="26"/>
      <c r="AU292" s="22">
        <f t="shared" si="27"/>
        <v>469</v>
      </c>
      <c r="AV292" s="19">
        <v>267.2</v>
      </c>
      <c r="AW292" s="19">
        <v>68.8</v>
      </c>
      <c r="AX292" s="19">
        <v>113</v>
      </c>
      <c r="AY292" s="19">
        <v>20</v>
      </c>
      <c r="CG292" s="217"/>
      <c r="CH292" s="22">
        <f t="shared" si="23"/>
        <v>469</v>
      </c>
      <c r="CI292" s="3">
        <f t="shared" si="24"/>
        <v>0</v>
      </c>
      <c r="CJ292" s="17">
        <f t="shared" si="25"/>
        <v>10763</v>
      </c>
      <c r="CK292" s="3" t="str">
        <f t="shared" si="26"/>
        <v>خ ت صيدلة</v>
      </c>
    </row>
    <row r="293" spans="1:89" s="19" customFormat="1" ht="19.5" x14ac:dyDescent="0.25">
      <c r="A293" s="215"/>
      <c r="D293" s="19">
        <v>17849</v>
      </c>
      <c r="E293" s="20">
        <v>10764</v>
      </c>
      <c r="F293" s="3" t="s">
        <v>119</v>
      </c>
      <c r="G293" s="216" t="s">
        <v>208</v>
      </c>
      <c r="H293" s="26"/>
      <c r="I293" s="26">
        <v>769.36</v>
      </c>
      <c r="J293" s="26"/>
      <c r="K293" s="26"/>
      <c r="L293" s="26"/>
      <c r="AU293" s="22">
        <f t="shared" si="27"/>
        <v>769.36</v>
      </c>
      <c r="AV293" s="19">
        <v>586.84</v>
      </c>
      <c r="AW293" s="19">
        <v>18.060000000000002</v>
      </c>
      <c r="AX293" s="19">
        <v>129.96</v>
      </c>
      <c r="AY293" s="19">
        <v>34.5</v>
      </c>
      <c r="CG293" s="217"/>
      <c r="CH293" s="22">
        <f t="shared" si="23"/>
        <v>769.36000000000013</v>
      </c>
      <c r="CI293" s="3">
        <f t="shared" si="24"/>
        <v>0</v>
      </c>
      <c r="CJ293" s="17">
        <f t="shared" si="25"/>
        <v>10764</v>
      </c>
      <c r="CK293" s="3" t="str">
        <f t="shared" si="26"/>
        <v>خ ت صيدلة</v>
      </c>
    </row>
    <row r="294" spans="1:89" s="19" customFormat="1" ht="19.5" x14ac:dyDescent="0.25">
      <c r="A294" s="215"/>
      <c r="D294" s="19">
        <v>17850</v>
      </c>
      <c r="E294" s="17">
        <v>10765</v>
      </c>
      <c r="F294" s="3" t="s">
        <v>119</v>
      </c>
      <c r="G294" s="216" t="s">
        <v>208</v>
      </c>
      <c r="H294" s="26"/>
      <c r="I294" s="26">
        <v>1618.08</v>
      </c>
      <c r="J294" s="26"/>
      <c r="K294" s="26"/>
      <c r="L294" s="26"/>
      <c r="AU294" s="22">
        <f t="shared" si="27"/>
        <v>1618.08</v>
      </c>
      <c r="AV294" s="19">
        <v>970.85</v>
      </c>
      <c r="AW294" s="19">
        <v>188.35</v>
      </c>
      <c r="AX294" s="19">
        <v>389.88</v>
      </c>
      <c r="AY294" s="19">
        <v>69</v>
      </c>
      <c r="CG294" s="217"/>
      <c r="CH294" s="22">
        <f t="shared" si="23"/>
        <v>1618.08</v>
      </c>
      <c r="CI294" s="3">
        <f t="shared" si="24"/>
        <v>0</v>
      </c>
      <c r="CJ294" s="17">
        <f t="shared" si="25"/>
        <v>10765</v>
      </c>
      <c r="CK294" s="3" t="str">
        <f t="shared" si="26"/>
        <v>خ ت صيدلة</v>
      </c>
    </row>
    <row r="295" spans="1:89" s="19" customFormat="1" ht="19.5" x14ac:dyDescent="0.25">
      <c r="A295" s="215"/>
      <c r="D295" s="19">
        <v>17851</v>
      </c>
      <c r="E295" s="17">
        <v>10766</v>
      </c>
      <c r="F295" s="3" t="s">
        <v>119</v>
      </c>
      <c r="G295" s="216" t="s">
        <v>208</v>
      </c>
      <c r="H295" s="26"/>
      <c r="I295" s="26">
        <v>269.68</v>
      </c>
      <c r="J295" s="26"/>
      <c r="K295" s="26"/>
      <c r="L295" s="26"/>
      <c r="AU295" s="22">
        <f t="shared" si="27"/>
        <v>269.68</v>
      </c>
      <c r="AV295" s="19">
        <v>173.02</v>
      </c>
      <c r="AW295" s="19">
        <v>20.18</v>
      </c>
      <c r="AX295" s="19">
        <v>64.98</v>
      </c>
      <c r="AY295" s="19">
        <v>11.5</v>
      </c>
      <c r="CG295" s="217"/>
      <c r="CH295" s="22">
        <f t="shared" si="23"/>
        <v>269.68</v>
      </c>
      <c r="CI295" s="3">
        <f t="shared" si="24"/>
        <v>0</v>
      </c>
      <c r="CJ295" s="17">
        <f t="shared" si="25"/>
        <v>10766</v>
      </c>
      <c r="CK295" s="3" t="str">
        <f t="shared" si="26"/>
        <v>خ ت صيدلة</v>
      </c>
    </row>
    <row r="296" spans="1:89" s="19" customFormat="1" ht="19.5" x14ac:dyDescent="0.25">
      <c r="A296" s="215"/>
      <c r="D296" s="19">
        <v>17852</v>
      </c>
      <c r="E296" s="20">
        <v>10767</v>
      </c>
      <c r="F296" s="3" t="s">
        <v>119</v>
      </c>
      <c r="G296" s="216" t="s">
        <v>209</v>
      </c>
      <c r="H296" s="26"/>
      <c r="I296" s="26">
        <v>46.9</v>
      </c>
      <c r="J296" s="26"/>
      <c r="K296" s="26"/>
      <c r="L296" s="26"/>
      <c r="AU296" s="22">
        <f t="shared" si="27"/>
        <v>46.9</v>
      </c>
      <c r="AV296" s="19">
        <v>30.24</v>
      </c>
      <c r="AW296" s="19">
        <v>3.36</v>
      </c>
      <c r="AX296" s="19">
        <v>11.3</v>
      </c>
      <c r="AY296" s="19">
        <v>2</v>
      </c>
      <c r="CG296" s="217"/>
      <c r="CH296" s="22">
        <f t="shared" si="23"/>
        <v>46.900000000000006</v>
      </c>
      <c r="CI296" s="3">
        <f t="shared" si="24"/>
        <v>0</v>
      </c>
      <c r="CJ296" s="17">
        <f t="shared" si="25"/>
        <v>10767</v>
      </c>
      <c r="CK296" s="3" t="str">
        <f t="shared" si="26"/>
        <v>خ ت صيدلة</v>
      </c>
    </row>
    <row r="297" spans="1:89" s="19" customFormat="1" ht="19.5" x14ac:dyDescent="0.25">
      <c r="A297" s="215"/>
      <c r="D297" s="19">
        <v>17853</v>
      </c>
      <c r="E297" s="17">
        <v>10768</v>
      </c>
      <c r="F297" s="3" t="s">
        <v>119</v>
      </c>
      <c r="G297" s="216" t="s">
        <v>209</v>
      </c>
      <c r="H297" s="26"/>
      <c r="I297" s="26">
        <v>835.93</v>
      </c>
      <c r="J297" s="26"/>
      <c r="K297" s="26"/>
      <c r="L297" s="26"/>
      <c r="AU297" s="22">
        <f t="shared" si="27"/>
        <v>835.93</v>
      </c>
      <c r="AV297" s="19">
        <v>527.85</v>
      </c>
      <c r="AW297" s="19">
        <v>106.05</v>
      </c>
      <c r="AX297" s="19">
        <v>165.28</v>
      </c>
      <c r="AY297" s="19">
        <v>36.75</v>
      </c>
      <c r="CG297" s="217"/>
      <c r="CH297" s="22">
        <f t="shared" si="23"/>
        <v>835.93</v>
      </c>
      <c r="CI297" s="3">
        <f t="shared" si="24"/>
        <v>0</v>
      </c>
      <c r="CJ297" s="17">
        <f t="shared" si="25"/>
        <v>10768</v>
      </c>
      <c r="CK297" s="3" t="str">
        <f t="shared" si="26"/>
        <v>خ ت صيدلة</v>
      </c>
    </row>
    <row r="298" spans="1:89" s="19" customFormat="1" ht="19.5" x14ac:dyDescent="0.25">
      <c r="A298" s="215"/>
      <c r="D298" s="19">
        <v>17856</v>
      </c>
      <c r="E298" s="17">
        <v>10769</v>
      </c>
      <c r="F298" s="3" t="s">
        <v>119</v>
      </c>
      <c r="G298" s="216" t="s">
        <v>210</v>
      </c>
      <c r="H298" s="26"/>
      <c r="I298" s="3">
        <v>457.29</v>
      </c>
      <c r="J298" s="26"/>
      <c r="K298" s="26"/>
      <c r="L298" s="26"/>
      <c r="AU298" s="22">
        <f t="shared" si="27"/>
        <v>457.29</v>
      </c>
      <c r="AV298" s="19">
        <v>318.24</v>
      </c>
      <c r="AW298" s="19">
        <v>9.36</v>
      </c>
      <c r="AX298" s="19">
        <v>110.19</v>
      </c>
      <c r="AY298" s="19">
        <v>19.5</v>
      </c>
      <c r="CG298" s="217"/>
      <c r="CH298" s="22">
        <f t="shared" si="23"/>
        <v>457.29</v>
      </c>
      <c r="CI298" s="3">
        <f t="shared" si="24"/>
        <v>0</v>
      </c>
      <c r="CJ298" s="17">
        <f t="shared" si="25"/>
        <v>10769</v>
      </c>
      <c r="CK298" s="3" t="str">
        <f t="shared" si="26"/>
        <v>خ ت صيدلة</v>
      </c>
    </row>
    <row r="299" spans="1:89" x14ac:dyDescent="0.25">
      <c r="D299" s="17">
        <v>17857</v>
      </c>
      <c r="E299" s="20">
        <v>10770</v>
      </c>
      <c r="F299" s="3" t="s">
        <v>119</v>
      </c>
      <c r="G299" s="3" t="s">
        <v>210</v>
      </c>
      <c r="H299" s="3"/>
      <c r="I299" s="3">
        <v>797.28</v>
      </c>
      <c r="AU299" s="22">
        <f t="shared" si="27"/>
        <v>797.28</v>
      </c>
      <c r="AV299" s="3">
        <v>497.88</v>
      </c>
      <c r="AW299" s="3">
        <v>73.320000000000007</v>
      </c>
      <c r="AX299" s="3">
        <v>192.08</v>
      </c>
      <c r="AY299" s="3">
        <v>34</v>
      </c>
      <c r="CH299" s="22">
        <f t="shared" si="23"/>
        <v>797.28000000000009</v>
      </c>
      <c r="CI299" s="3">
        <f t="shared" si="24"/>
        <v>0</v>
      </c>
      <c r="CJ299" s="17">
        <f t="shared" si="25"/>
        <v>10770</v>
      </c>
      <c r="CK299" s="3" t="str">
        <f t="shared" si="26"/>
        <v>خ ت صيدلة</v>
      </c>
    </row>
    <row r="300" spans="1:89" x14ac:dyDescent="0.25">
      <c r="D300" s="17">
        <v>17858</v>
      </c>
      <c r="E300" s="17">
        <v>10771</v>
      </c>
      <c r="F300" s="3" t="s">
        <v>119</v>
      </c>
      <c r="G300" s="3" t="s">
        <v>210</v>
      </c>
      <c r="H300" s="3"/>
      <c r="I300" s="3">
        <v>304.83999999999997</v>
      </c>
      <c r="AU300" s="22">
        <f t="shared" si="27"/>
        <v>304.83999999999997</v>
      </c>
      <c r="AV300" s="3">
        <v>195.84</v>
      </c>
      <c r="AW300" s="3">
        <v>22.560000000000002</v>
      </c>
      <c r="AX300" s="3">
        <v>73.44</v>
      </c>
      <c r="AY300" s="3">
        <v>13</v>
      </c>
      <c r="CH300" s="22">
        <f t="shared" si="23"/>
        <v>304.84000000000003</v>
      </c>
      <c r="CI300" s="3">
        <f t="shared" si="24"/>
        <v>0</v>
      </c>
      <c r="CJ300" s="17">
        <f t="shared" si="25"/>
        <v>10771</v>
      </c>
      <c r="CK300" s="3" t="str">
        <f t="shared" si="26"/>
        <v>خ ت صيدلة</v>
      </c>
    </row>
    <row r="301" spans="1:89" x14ac:dyDescent="0.25">
      <c r="D301" s="17">
        <v>17859</v>
      </c>
      <c r="E301" s="17">
        <v>10772</v>
      </c>
      <c r="F301" s="3" t="s">
        <v>119</v>
      </c>
      <c r="G301" s="3" t="s">
        <v>211</v>
      </c>
      <c r="H301" s="3"/>
      <c r="I301" s="3">
        <v>41.04</v>
      </c>
      <c r="AU301" s="22">
        <f t="shared" si="27"/>
        <v>41.04</v>
      </c>
      <c r="AV301" s="3">
        <v>23.52</v>
      </c>
      <c r="AW301" s="3">
        <v>5.88</v>
      </c>
      <c r="AX301" s="3">
        <v>9.89</v>
      </c>
      <c r="AY301" s="3">
        <v>1.75</v>
      </c>
      <c r="CH301" s="22">
        <f t="shared" si="23"/>
        <v>41.04</v>
      </c>
      <c r="CI301" s="3">
        <f t="shared" si="24"/>
        <v>0</v>
      </c>
      <c r="CJ301" s="17">
        <f t="shared" si="25"/>
        <v>10772</v>
      </c>
      <c r="CK301" s="3" t="str">
        <f t="shared" si="26"/>
        <v>خ ت صيدلة</v>
      </c>
    </row>
    <row r="302" spans="1:89" x14ac:dyDescent="0.25">
      <c r="D302" s="17" t="s">
        <v>212</v>
      </c>
      <c r="E302" s="20">
        <v>10773</v>
      </c>
      <c r="F302" s="3" t="s">
        <v>119</v>
      </c>
      <c r="G302" s="3" t="s">
        <v>211</v>
      </c>
      <c r="H302" s="3"/>
      <c r="I302" s="3">
        <v>46.9</v>
      </c>
      <c r="AU302" s="22">
        <f t="shared" si="27"/>
        <v>46.9</v>
      </c>
      <c r="AV302" s="3">
        <v>30.24</v>
      </c>
      <c r="AW302" s="3">
        <v>3.36</v>
      </c>
      <c r="AX302" s="3">
        <v>11.3</v>
      </c>
      <c r="AY302" s="3">
        <v>2</v>
      </c>
      <c r="CH302" s="22">
        <f t="shared" si="23"/>
        <v>46.900000000000006</v>
      </c>
      <c r="CI302" s="3">
        <f t="shared" si="24"/>
        <v>0</v>
      </c>
      <c r="CJ302" s="17">
        <f t="shared" si="25"/>
        <v>10773</v>
      </c>
      <c r="CK302" s="3" t="str">
        <f t="shared" si="26"/>
        <v>خ ت صيدلة</v>
      </c>
    </row>
    <row r="303" spans="1:89" x14ac:dyDescent="0.25">
      <c r="D303" s="17">
        <v>17860</v>
      </c>
      <c r="E303" s="17">
        <v>10774</v>
      </c>
      <c r="F303" s="3" t="s">
        <v>119</v>
      </c>
      <c r="G303" s="3" t="s">
        <v>211</v>
      </c>
      <c r="H303" s="3"/>
      <c r="I303" s="3">
        <v>5415.28</v>
      </c>
      <c r="AU303" s="22">
        <f t="shared" si="27"/>
        <v>5415.28</v>
      </c>
      <c r="AV303" s="3">
        <v>3443.72</v>
      </c>
      <c r="AW303" s="3">
        <v>616.24</v>
      </c>
      <c r="AX303" s="3">
        <v>1118.71</v>
      </c>
      <c r="AY303" s="3">
        <v>236.61</v>
      </c>
      <c r="CH303" s="22">
        <f t="shared" si="23"/>
        <v>5415.28</v>
      </c>
      <c r="CI303" s="3">
        <f t="shared" si="24"/>
        <v>0</v>
      </c>
      <c r="CJ303" s="17">
        <f t="shared" si="25"/>
        <v>10774</v>
      </c>
      <c r="CK303" s="3" t="str">
        <f t="shared" si="26"/>
        <v>خ ت صيدلة</v>
      </c>
    </row>
    <row r="304" spans="1:89" x14ac:dyDescent="0.25">
      <c r="D304" s="17">
        <v>17864</v>
      </c>
      <c r="E304" s="17">
        <v>10775</v>
      </c>
      <c r="F304" s="3" t="s">
        <v>119</v>
      </c>
      <c r="G304" s="3" t="s">
        <v>213</v>
      </c>
      <c r="H304" s="3"/>
      <c r="I304" s="3">
        <v>1538.7</v>
      </c>
      <c r="AU304" s="22">
        <f t="shared" si="27"/>
        <v>1538.7</v>
      </c>
      <c r="AV304" s="3">
        <v>1172.3399999999999</v>
      </c>
      <c r="AW304" s="3">
        <v>37.46</v>
      </c>
      <c r="AX304" s="3">
        <v>259.89999999999998</v>
      </c>
      <c r="AY304" s="3">
        <v>69</v>
      </c>
      <c r="CH304" s="22">
        <f t="shared" si="23"/>
        <v>1538.6999999999998</v>
      </c>
      <c r="CI304" s="3">
        <f t="shared" si="24"/>
        <v>0</v>
      </c>
      <c r="CJ304" s="17">
        <f t="shared" si="25"/>
        <v>10775</v>
      </c>
      <c r="CK304" s="3" t="str">
        <f t="shared" si="26"/>
        <v>خ ت صيدلة</v>
      </c>
    </row>
    <row r="305" spans="1:89" x14ac:dyDescent="0.25">
      <c r="D305" s="17">
        <v>17865</v>
      </c>
      <c r="E305" s="20">
        <v>10776</v>
      </c>
      <c r="F305" s="3" t="s">
        <v>119</v>
      </c>
      <c r="G305" s="3" t="s">
        <v>213</v>
      </c>
      <c r="H305" s="3"/>
      <c r="I305" s="3">
        <v>2157.4</v>
      </c>
      <c r="AU305" s="22">
        <f t="shared" si="27"/>
        <v>2157.4</v>
      </c>
      <c r="AV305" s="3">
        <v>1286.57</v>
      </c>
      <c r="AW305" s="3">
        <v>259.02999999999997</v>
      </c>
      <c r="AX305" s="3">
        <v>519.79999999999995</v>
      </c>
      <c r="AY305" s="3">
        <v>92</v>
      </c>
      <c r="CH305" s="22">
        <f t="shared" si="23"/>
        <v>2157.3999999999996</v>
      </c>
      <c r="CI305" s="3">
        <f t="shared" si="24"/>
        <v>0</v>
      </c>
      <c r="CJ305" s="17">
        <f t="shared" si="25"/>
        <v>10776</v>
      </c>
      <c r="CK305" s="3" t="str">
        <f t="shared" si="26"/>
        <v>خ ت صيدلة</v>
      </c>
    </row>
    <row r="306" spans="1:89" x14ac:dyDescent="0.25">
      <c r="D306" s="17">
        <v>17866</v>
      </c>
      <c r="E306" s="17">
        <v>10777</v>
      </c>
      <c r="F306" s="3" t="s">
        <v>119</v>
      </c>
      <c r="G306" s="3" t="s">
        <v>213</v>
      </c>
      <c r="H306" s="3"/>
      <c r="I306" s="3">
        <v>539.35</v>
      </c>
      <c r="AU306" s="22">
        <f t="shared" si="27"/>
        <v>539.35</v>
      </c>
      <c r="AV306" s="3">
        <v>307.24</v>
      </c>
      <c r="AW306" s="3">
        <v>79.16</v>
      </c>
      <c r="AX306" s="3">
        <v>129.94999999999999</v>
      </c>
      <c r="AY306" s="3">
        <v>23</v>
      </c>
      <c r="CH306" s="22">
        <f t="shared" si="23"/>
        <v>539.34999999999991</v>
      </c>
      <c r="CI306" s="3">
        <f t="shared" si="24"/>
        <v>0</v>
      </c>
      <c r="CJ306" s="17">
        <f t="shared" si="25"/>
        <v>10777</v>
      </c>
      <c r="CK306" s="3" t="str">
        <f t="shared" si="26"/>
        <v>خ ت صيدلة</v>
      </c>
    </row>
    <row r="307" spans="1:89" x14ac:dyDescent="0.25">
      <c r="D307" s="17">
        <v>17867</v>
      </c>
      <c r="E307" s="17">
        <v>10778</v>
      </c>
      <c r="F307" s="3" t="s">
        <v>119</v>
      </c>
      <c r="G307" s="3" t="s">
        <v>213</v>
      </c>
      <c r="H307" s="3"/>
      <c r="I307" s="3">
        <v>269.68</v>
      </c>
      <c r="AU307" s="22">
        <f t="shared" si="27"/>
        <v>269.68</v>
      </c>
      <c r="AV307" s="3">
        <v>163.41</v>
      </c>
      <c r="AW307" s="3">
        <v>29.79</v>
      </c>
      <c r="AX307" s="3">
        <v>64.98</v>
      </c>
      <c r="AY307" s="3">
        <v>11.5</v>
      </c>
      <c r="CH307" s="22">
        <f t="shared" si="23"/>
        <v>269.68</v>
      </c>
      <c r="CI307" s="3">
        <f t="shared" si="24"/>
        <v>0</v>
      </c>
      <c r="CJ307" s="17">
        <f t="shared" si="25"/>
        <v>10778</v>
      </c>
      <c r="CK307" s="3" t="str">
        <f t="shared" si="26"/>
        <v>خ ت صيدلة</v>
      </c>
    </row>
    <row r="308" spans="1:89" x14ac:dyDescent="0.25">
      <c r="D308" s="17">
        <v>17868</v>
      </c>
      <c r="E308" s="20">
        <v>10779</v>
      </c>
      <c r="F308" s="3" t="s">
        <v>119</v>
      </c>
      <c r="G308" s="3" t="s">
        <v>213</v>
      </c>
      <c r="H308" s="3"/>
      <c r="I308" s="3">
        <v>539.35</v>
      </c>
      <c r="AU308" s="22">
        <f t="shared" si="27"/>
        <v>539.35</v>
      </c>
      <c r="AV308" s="3">
        <v>345.65</v>
      </c>
      <c r="AW308" s="3">
        <v>40.75</v>
      </c>
      <c r="AX308" s="3">
        <v>129.94999999999999</v>
      </c>
      <c r="AY308" s="3">
        <v>23</v>
      </c>
      <c r="CH308" s="22">
        <f t="shared" si="23"/>
        <v>539.34999999999991</v>
      </c>
      <c r="CI308" s="3">
        <f t="shared" si="24"/>
        <v>0</v>
      </c>
      <c r="CJ308" s="17">
        <f t="shared" si="25"/>
        <v>10779</v>
      </c>
      <c r="CK308" s="3" t="str">
        <f t="shared" si="26"/>
        <v>خ ت صيدلة</v>
      </c>
    </row>
    <row r="309" spans="1:89" x14ac:dyDescent="0.25">
      <c r="D309" s="17">
        <v>17869</v>
      </c>
      <c r="E309" s="17">
        <v>10780</v>
      </c>
      <c r="F309" s="3" t="s">
        <v>119</v>
      </c>
      <c r="G309" s="3" t="s">
        <v>214</v>
      </c>
      <c r="H309" s="3"/>
      <c r="I309" s="3">
        <v>800</v>
      </c>
      <c r="AU309" s="22">
        <f t="shared" si="27"/>
        <v>800</v>
      </c>
      <c r="AV309" s="3">
        <v>603.79999999999995</v>
      </c>
      <c r="AW309" s="3">
        <v>156.19999999999999</v>
      </c>
      <c r="AY309" s="3">
        <v>40</v>
      </c>
      <c r="CH309" s="22">
        <f t="shared" si="23"/>
        <v>800</v>
      </c>
      <c r="CI309" s="3">
        <f t="shared" si="24"/>
        <v>0</v>
      </c>
      <c r="CJ309" s="17">
        <f t="shared" si="25"/>
        <v>10780</v>
      </c>
      <c r="CK309" s="3" t="str">
        <f t="shared" si="26"/>
        <v>خ ت صيدلة</v>
      </c>
    </row>
    <row r="310" spans="1:89" x14ac:dyDescent="0.25">
      <c r="D310" s="17">
        <v>17870</v>
      </c>
      <c r="E310" s="17">
        <v>10781</v>
      </c>
      <c r="F310" s="3" t="s">
        <v>119</v>
      </c>
      <c r="G310" s="3" t="s">
        <v>215</v>
      </c>
      <c r="H310" s="3"/>
      <c r="I310" s="3">
        <v>1000</v>
      </c>
      <c r="AU310" s="22">
        <f t="shared" si="27"/>
        <v>1000</v>
      </c>
      <c r="AV310" s="3">
        <v>893.35</v>
      </c>
      <c r="AW310" s="3">
        <v>106.65</v>
      </c>
      <c r="CH310" s="22">
        <f t="shared" si="23"/>
        <v>1000</v>
      </c>
      <c r="CI310" s="3">
        <f t="shared" si="24"/>
        <v>0</v>
      </c>
      <c r="CJ310" s="17">
        <f t="shared" si="25"/>
        <v>10781</v>
      </c>
      <c r="CK310" s="3" t="str">
        <f t="shared" si="26"/>
        <v>خ ت صيدلة</v>
      </c>
    </row>
    <row r="311" spans="1:89" x14ac:dyDescent="0.25">
      <c r="D311" s="17">
        <v>17871</v>
      </c>
      <c r="E311" s="20">
        <v>10782</v>
      </c>
      <c r="F311" s="3" t="s">
        <v>119</v>
      </c>
      <c r="G311" s="3" t="s">
        <v>216</v>
      </c>
      <c r="H311" s="3"/>
      <c r="I311" s="3">
        <v>2174.81</v>
      </c>
      <c r="AU311" s="22">
        <f t="shared" si="27"/>
        <v>2174.81</v>
      </c>
      <c r="AV311" s="3">
        <v>1263.1600000000001</v>
      </c>
      <c r="AW311" s="3">
        <v>294.89999999999998</v>
      </c>
      <c r="AX311" s="3">
        <v>524.01</v>
      </c>
      <c r="AY311" s="3">
        <v>92.74</v>
      </c>
      <c r="CH311" s="22">
        <f t="shared" si="23"/>
        <v>2174.8099999999995</v>
      </c>
      <c r="CI311" s="3">
        <f t="shared" si="24"/>
        <v>0</v>
      </c>
      <c r="CJ311" s="17">
        <f t="shared" si="25"/>
        <v>10782</v>
      </c>
      <c r="CK311" s="3" t="str">
        <f t="shared" si="26"/>
        <v>خ ت صيدلة</v>
      </c>
    </row>
    <row r="312" spans="1:89" x14ac:dyDescent="0.25">
      <c r="D312" s="17">
        <v>10783</v>
      </c>
      <c r="E312" s="17">
        <v>10783</v>
      </c>
      <c r="F312" s="3" t="s">
        <v>119</v>
      </c>
      <c r="G312" s="3" t="s">
        <v>217</v>
      </c>
      <c r="H312" s="3"/>
      <c r="I312" s="3">
        <v>412.43</v>
      </c>
      <c r="AU312" s="22">
        <f t="shared" si="27"/>
        <v>412.43</v>
      </c>
      <c r="AV312" s="3">
        <v>345.92</v>
      </c>
      <c r="AW312" s="3">
        <f>8.88+1.4</f>
        <v>10.280000000000001</v>
      </c>
      <c r="AX312" s="3">
        <v>36.729999999999997</v>
      </c>
      <c r="AY312" s="3">
        <v>19.5</v>
      </c>
      <c r="CH312" s="22">
        <f t="shared" si="23"/>
        <v>412.43000000000006</v>
      </c>
      <c r="CI312" s="3">
        <f t="shared" si="24"/>
        <v>0</v>
      </c>
      <c r="CJ312" s="17">
        <f t="shared" si="25"/>
        <v>10783</v>
      </c>
      <c r="CK312" s="3" t="str">
        <f t="shared" si="26"/>
        <v>خ ت صيدلة</v>
      </c>
    </row>
    <row r="313" spans="1:89" x14ac:dyDescent="0.25">
      <c r="D313" s="17">
        <v>17873</v>
      </c>
      <c r="E313" s="17">
        <v>10784</v>
      </c>
      <c r="F313" s="3" t="s">
        <v>119</v>
      </c>
      <c r="G313" s="3" t="s">
        <v>217</v>
      </c>
      <c r="H313" s="3"/>
      <c r="I313" s="3">
        <v>797.28</v>
      </c>
      <c r="AU313" s="22">
        <f t="shared" si="27"/>
        <v>797.28</v>
      </c>
      <c r="AV313" s="3">
        <v>497.88</v>
      </c>
      <c r="AW313" s="3">
        <v>73.320000000000007</v>
      </c>
      <c r="AX313" s="3">
        <v>192.08</v>
      </c>
      <c r="AY313" s="3">
        <v>34</v>
      </c>
      <c r="CH313" s="22">
        <f t="shared" si="23"/>
        <v>797.28000000000009</v>
      </c>
      <c r="CI313" s="3">
        <f t="shared" si="24"/>
        <v>0</v>
      </c>
      <c r="CJ313" s="17">
        <f t="shared" si="25"/>
        <v>10784</v>
      </c>
      <c r="CK313" s="3" t="str">
        <f t="shared" si="26"/>
        <v>خ ت صيدلة</v>
      </c>
    </row>
    <row r="314" spans="1:89" x14ac:dyDescent="0.25">
      <c r="D314" s="17">
        <v>17874</v>
      </c>
      <c r="E314" s="20">
        <v>10785</v>
      </c>
      <c r="F314" s="3" t="s">
        <v>119</v>
      </c>
      <c r="G314" s="3" t="s">
        <v>217</v>
      </c>
      <c r="H314" s="3"/>
      <c r="I314" s="3">
        <v>304.83999999999997</v>
      </c>
      <c r="AU314" s="22">
        <f t="shared" si="27"/>
        <v>304.83999999999997</v>
      </c>
      <c r="AV314" s="3">
        <v>195.84</v>
      </c>
      <c r="AW314" s="3">
        <v>22.560000000000002</v>
      </c>
      <c r="AX314" s="3">
        <v>73.44</v>
      </c>
      <c r="AY314" s="3">
        <v>13</v>
      </c>
      <c r="CH314" s="22">
        <f t="shared" si="23"/>
        <v>304.84000000000003</v>
      </c>
      <c r="CI314" s="3">
        <f t="shared" si="24"/>
        <v>0</v>
      </c>
      <c r="CJ314" s="17">
        <f t="shared" si="25"/>
        <v>10785</v>
      </c>
      <c r="CK314" s="3" t="str">
        <f t="shared" si="26"/>
        <v>خ ت صيدلة</v>
      </c>
    </row>
    <row r="315" spans="1:89" x14ac:dyDescent="0.25">
      <c r="D315" s="17">
        <v>17875</v>
      </c>
      <c r="E315" s="17">
        <v>10786</v>
      </c>
      <c r="F315" s="3" t="s">
        <v>119</v>
      </c>
      <c r="G315" s="3" t="s">
        <v>218</v>
      </c>
      <c r="H315" s="3"/>
      <c r="I315" s="3">
        <v>46.9</v>
      </c>
      <c r="AU315" s="22">
        <f t="shared" si="27"/>
        <v>46.9</v>
      </c>
      <c r="AV315" s="3">
        <v>30.24</v>
      </c>
      <c r="AW315" s="3">
        <v>3.36</v>
      </c>
      <c r="AX315" s="3">
        <v>11.3</v>
      </c>
      <c r="AY315" s="3">
        <v>2</v>
      </c>
      <c r="CH315" s="22">
        <f t="shared" si="23"/>
        <v>46.900000000000006</v>
      </c>
      <c r="CI315" s="3">
        <f t="shared" si="24"/>
        <v>0</v>
      </c>
      <c r="CJ315" s="17">
        <f t="shared" si="25"/>
        <v>10786</v>
      </c>
      <c r="CK315" s="3" t="str">
        <f t="shared" si="26"/>
        <v>خ ت صيدلة</v>
      </c>
    </row>
    <row r="316" spans="1:89" s="29" customFormat="1" x14ac:dyDescent="0.25">
      <c r="A316" s="27"/>
      <c r="B316" s="28"/>
      <c r="C316" s="28"/>
      <c r="D316" s="28"/>
      <c r="E316" s="28"/>
      <c r="G316" s="29" t="s">
        <v>219</v>
      </c>
      <c r="I316" s="29">
        <f t="shared" ref="I316:AT316" si="28">SUM(I4:I315)</f>
        <v>2442721.6500000004</v>
      </c>
      <c r="J316" s="29">
        <f t="shared" si="28"/>
        <v>0</v>
      </c>
      <c r="K316" s="29">
        <f t="shared" si="28"/>
        <v>0</v>
      </c>
      <c r="L316" s="29">
        <f t="shared" si="28"/>
        <v>0</v>
      </c>
      <c r="M316" s="29">
        <f t="shared" si="28"/>
        <v>0</v>
      </c>
      <c r="N316" s="29">
        <f t="shared" si="28"/>
        <v>0</v>
      </c>
      <c r="O316" s="29">
        <f t="shared" si="28"/>
        <v>0</v>
      </c>
      <c r="P316" s="29">
        <f t="shared" si="28"/>
        <v>0</v>
      </c>
      <c r="Q316" s="29">
        <f t="shared" si="28"/>
        <v>0</v>
      </c>
      <c r="R316" s="29">
        <f t="shared" si="28"/>
        <v>0</v>
      </c>
      <c r="S316" s="29">
        <f t="shared" si="28"/>
        <v>0</v>
      </c>
      <c r="T316" s="29">
        <f t="shared" si="28"/>
        <v>0</v>
      </c>
      <c r="U316" s="29">
        <f t="shared" si="28"/>
        <v>797695.92000000016</v>
      </c>
      <c r="V316" s="29">
        <f t="shared" si="28"/>
        <v>901183.64999999991</v>
      </c>
      <c r="W316" s="29">
        <f t="shared" si="28"/>
        <v>2342.1</v>
      </c>
      <c r="X316" s="29">
        <f t="shared" si="28"/>
        <v>0</v>
      </c>
      <c r="Y316" s="29">
        <f t="shared" si="28"/>
        <v>0</v>
      </c>
      <c r="Z316" s="29">
        <f t="shared" si="28"/>
        <v>0</v>
      </c>
      <c r="AA316" s="29">
        <f t="shared" si="28"/>
        <v>0</v>
      </c>
      <c r="AB316" s="29">
        <f t="shared" si="28"/>
        <v>0</v>
      </c>
      <c r="AC316" s="29">
        <f t="shared" si="28"/>
        <v>0</v>
      </c>
      <c r="AD316" s="29">
        <f t="shared" si="28"/>
        <v>0</v>
      </c>
      <c r="AE316" s="29">
        <f t="shared" si="28"/>
        <v>0</v>
      </c>
      <c r="AG316" s="29">
        <f t="shared" si="28"/>
        <v>158.25</v>
      </c>
      <c r="AH316" s="29">
        <f t="shared" si="28"/>
        <v>0</v>
      </c>
      <c r="AI316" s="29">
        <f t="shared" si="28"/>
        <v>0</v>
      </c>
      <c r="AJ316" s="29">
        <f t="shared" si="28"/>
        <v>0</v>
      </c>
      <c r="AK316" s="29">
        <f t="shared" si="28"/>
        <v>0</v>
      </c>
      <c r="AL316" s="29">
        <f t="shared" si="28"/>
        <v>0</v>
      </c>
      <c r="AM316" s="29">
        <f t="shared" si="28"/>
        <v>0</v>
      </c>
      <c r="AN316" s="29">
        <f t="shared" si="28"/>
        <v>0</v>
      </c>
      <c r="AO316" s="29">
        <f t="shared" si="28"/>
        <v>0</v>
      </c>
      <c r="AP316" s="29">
        <f t="shared" si="28"/>
        <v>0</v>
      </c>
      <c r="AQ316" s="29">
        <f t="shared" si="28"/>
        <v>0</v>
      </c>
      <c r="AR316" s="29">
        <f t="shared" si="28"/>
        <v>0</v>
      </c>
      <c r="AS316" s="29">
        <f t="shared" si="28"/>
        <v>0</v>
      </c>
      <c r="AT316" s="29">
        <f t="shared" si="28"/>
        <v>11019.98</v>
      </c>
      <c r="AU316" s="22">
        <f t="shared" si="27"/>
        <v>4144101.5700000003</v>
      </c>
      <c r="AV316" s="29">
        <f t="shared" ref="AV316:CG316" si="29">SUM(AV4:AV315)</f>
        <v>3748416.3300000019</v>
      </c>
      <c r="AW316" s="29">
        <f t="shared" si="29"/>
        <v>243835.14999999988</v>
      </c>
      <c r="AX316" s="29">
        <f t="shared" si="29"/>
        <v>161187.81</v>
      </c>
      <c r="AY316" s="29">
        <f t="shared" si="29"/>
        <v>1524.01</v>
      </c>
      <c r="AZ316" s="29">
        <f t="shared" si="29"/>
        <v>0</v>
      </c>
      <c r="BA316" s="29">
        <f t="shared" si="29"/>
        <v>0</v>
      </c>
      <c r="BB316" s="29">
        <f t="shared" si="29"/>
        <v>0</v>
      </c>
      <c r="BC316" s="29">
        <f t="shared" si="29"/>
        <v>0</v>
      </c>
      <c r="BD316" s="29">
        <f t="shared" si="29"/>
        <v>0</v>
      </c>
      <c r="BF316" s="29">
        <f t="shared" si="29"/>
        <v>0</v>
      </c>
      <c r="BG316" s="29">
        <f t="shared" si="29"/>
        <v>0</v>
      </c>
      <c r="BH316" s="29">
        <f t="shared" si="29"/>
        <v>0</v>
      </c>
      <c r="BJ316" s="29">
        <f t="shared" si="29"/>
        <v>0</v>
      </c>
      <c r="BK316" s="29">
        <f t="shared" si="29"/>
        <v>0</v>
      </c>
      <c r="BL316" s="29">
        <f t="shared" si="29"/>
        <v>0</v>
      </c>
      <c r="BM316" s="29">
        <f t="shared" si="29"/>
        <v>0</v>
      </c>
      <c r="BN316" s="29">
        <f t="shared" si="29"/>
        <v>0</v>
      </c>
      <c r="BO316" s="29">
        <f t="shared" si="29"/>
        <v>0</v>
      </c>
      <c r="BP316" s="29">
        <f t="shared" si="29"/>
        <v>0</v>
      </c>
      <c r="BQ316" s="29">
        <f t="shared" si="29"/>
        <v>0</v>
      </c>
      <c r="BR316" s="29">
        <f t="shared" si="29"/>
        <v>0</v>
      </c>
      <c r="BS316" s="29">
        <f t="shared" si="29"/>
        <v>0</v>
      </c>
      <c r="BT316" s="29">
        <f t="shared" si="29"/>
        <v>0</v>
      </c>
      <c r="BU316" s="29">
        <f t="shared" si="29"/>
        <v>0</v>
      </c>
      <c r="BV316" s="29">
        <f t="shared" si="29"/>
        <v>0</v>
      </c>
      <c r="BW316" s="29">
        <f t="shared" si="29"/>
        <v>0</v>
      </c>
      <c r="BX316" s="29">
        <f t="shared" si="29"/>
        <v>0</v>
      </c>
      <c r="BY316" s="29">
        <f t="shared" si="29"/>
        <v>0</v>
      </c>
      <c r="BZ316" s="29">
        <f t="shared" si="29"/>
        <v>0</v>
      </c>
      <c r="CA316" s="29">
        <f t="shared" si="29"/>
        <v>0</v>
      </c>
      <c r="CB316" s="29">
        <f t="shared" si="29"/>
        <v>0</v>
      </c>
      <c r="CC316" s="29">
        <f t="shared" si="29"/>
        <v>0</v>
      </c>
      <c r="CD316" s="29">
        <f t="shared" si="29"/>
        <v>0</v>
      </c>
      <c r="CE316" s="29">
        <f t="shared" si="29"/>
        <v>0</v>
      </c>
      <c r="CF316" s="29">
        <f t="shared" si="29"/>
        <v>0</v>
      </c>
      <c r="CG316" s="201">
        <f t="shared" si="29"/>
        <v>0</v>
      </c>
      <c r="CH316" s="22">
        <f t="shared" si="23"/>
        <v>4154963.3000000017</v>
      </c>
      <c r="CI316" s="3">
        <f t="shared" si="24"/>
        <v>10861.730000001378</v>
      </c>
      <c r="CJ316" s="17">
        <f t="shared" si="25"/>
        <v>0</v>
      </c>
      <c r="CK316" s="3">
        <f t="shared" si="26"/>
        <v>0</v>
      </c>
    </row>
    <row r="317" spans="1:89" x14ac:dyDescent="0.25">
      <c r="A317" s="16">
        <v>45327</v>
      </c>
      <c r="D317" s="17">
        <v>8529</v>
      </c>
      <c r="E317" s="17">
        <v>10787</v>
      </c>
      <c r="F317" s="3" t="s">
        <v>78</v>
      </c>
      <c r="G317" s="3" t="s">
        <v>5116</v>
      </c>
      <c r="H317" s="3" t="s">
        <v>220</v>
      </c>
      <c r="I317" s="3">
        <v>93.8</v>
      </c>
      <c r="V317" s="3"/>
      <c r="W317" s="3"/>
      <c r="AU317" s="22">
        <f t="shared" si="27"/>
        <v>93.8</v>
      </c>
      <c r="AV317" s="3">
        <v>63.9</v>
      </c>
      <c r="AW317" s="3">
        <f>7.11+0.15</f>
        <v>7.2600000000000007</v>
      </c>
      <c r="AX317" s="3">
        <f>19.4+3.2</f>
        <v>22.599999999999998</v>
      </c>
      <c r="AY317" s="3">
        <v>0.04</v>
      </c>
      <c r="CH317" s="22">
        <f t="shared" si="23"/>
        <v>93.8</v>
      </c>
      <c r="CI317" s="3">
        <f t="shared" si="24"/>
        <v>0</v>
      </c>
      <c r="CJ317" s="17">
        <f t="shared" si="25"/>
        <v>10787</v>
      </c>
      <c r="CK317" s="3" t="str">
        <f t="shared" si="26"/>
        <v>برنامج دولى</v>
      </c>
    </row>
    <row r="318" spans="1:89" x14ac:dyDescent="0.25">
      <c r="D318" s="17">
        <v>8496</v>
      </c>
      <c r="E318" s="17">
        <v>10788</v>
      </c>
      <c r="G318" s="3" t="s">
        <v>221</v>
      </c>
      <c r="H318" s="3" t="s">
        <v>220</v>
      </c>
      <c r="V318" s="3"/>
      <c r="W318" s="3"/>
      <c r="AE318" s="3">
        <v>2322.98</v>
      </c>
      <c r="AU318" s="22">
        <f t="shared" si="27"/>
        <v>2322.98</v>
      </c>
      <c r="AV318" s="3">
        <v>2322.98</v>
      </c>
      <c r="CH318" s="22">
        <f t="shared" si="23"/>
        <v>2322.98</v>
      </c>
      <c r="CI318" s="3">
        <f t="shared" si="24"/>
        <v>0</v>
      </c>
      <c r="CJ318" s="17">
        <f t="shared" si="25"/>
        <v>10788</v>
      </c>
      <c r="CK318" s="3">
        <f t="shared" si="26"/>
        <v>0</v>
      </c>
    </row>
    <row r="319" spans="1:89" x14ac:dyDescent="0.25">
      <c r="D319" s="17">
        <v>8495</v>
      </c>
      <c r="E319" s="17">
        <v>10789</v>
      </c>
      <c r="G319" s="3" t="s">
        <v>222</v>
      </c>
      <c r="H319" s="3" t="s">
        <v>220</v>
      </c>
      <c r="V319" s="3"/>
      <c r="W319" s="3"/>
      <c r="AE319" s="3">
        <v>85</v>
      </c>
      <c r="AU319" s="22">
        <f t="shared" si="27"/>
        <v>85</v>
      </c>
      <c r="AV319" s="3">
        <v>85</v>
      </c>
      <c r="CH319" s="22">
        <f t="shared" si="23"/>
        <v>85</v>
      </c>
      <c r="CI319" s="3">
        <f t="shared" si="24"/>
        <v>0</v>
      </c>
      <c r="CJ319" s="17">
        <f t="shared" si="25"/>
        <v>10789</v>
      </c>
      <c r="CK319" s="3">
        <f t="shared" si="26"/>
        <v>0</v>
      </c>
    </row>
    <row r="320" spans="1:89" x14ac:dyDescent="0.25">
      <c r="D320" s="17">
        <v>8522</v>
      </c>
      <c r="E320" s="17">
        <v>10790</v>
      </c>
      <c r="G320" s="3" t="s">
        <v>223</v>
      </c>
      <c r="H320" s="3" t="s">
        <v>220</v>
      </c>
      <c r="V320" s="3"/>
      <c r="W320" s="3"/>
      <c r="AE320" s="3">
        <v>2</v>
      </c>
      <c r="AU320" s="22">
        <f t="shared" si="27"/>
        <v>2</v>
      </c>
      <c r="AV320" s="3">
        <v>2</v>
      </c>
      <c r="CH320" s="22">
        <f t="shared" si="23"/>
        <v>2</v>
      </c>
      <c r="CI320" s="3">
        <f t="shared" si="24"/>
        <v>0</v>
      </c>
      <c r="CJ320" s="17">
        <f t="shared" si="25"/>
        <v>10790</v>
      </c>
      <c r="CK320" s="3">
        <f t="shared" si="26"/>
        <v>0</v>
      </c>
    </row>
    <row r="321" spans="4:89" x14ac:dyDescent="0.25">
      <c r="D321" s="17">
        <v>8455</v>
      </c>
      <c r="E321" s="17">
        <v>10791</v>
      </c>
      <c r="G321" s="3" t="s">
        <v>224</v>
      </c>
      <c r="H321" s="3" t="s">
        <v>220</v>
      </c>
      <c r="U321" s="3">
        <v>705444.9</v>
      </c>
      <c r="V321" s="3"/>
      <c r="W321" s="3"/>
      <c r="AU321" s="22">
        <f t="shared" si="27"/>
        <v>705444.9</v>
      </c>
      <c r="AV321" s="3">
        <v>705444.9</v>
      </c>
      <c r="CH321" s="22">
        <f t="shared" si="23"/>
        <v>705444.9</v>
      </c>
      <c r="CI321" s="3">
        <f t="shared" si="24"/>
        <v>0</v>
      </c>
      <c r="CJ321" s="17">
        <f t="shared" si="25"/>
        <v>10791</v>
      </c>
      <c r="CK321" s="3">
        <f t="shared" si="26"/>
        <v>0</v>
      </c>
    </row>
    <row r="322" spans="4:89" x14ac:dyDescent="0.25">
      <c r="D322" s="17">
        <v>8493</v>
      </c>
      <c r="E322" s="17">
        <v>10792</v>
      </c>
      <c r="G322" s="3" t="s">
        <v>225</v>
      </c>
      <c r="H322" s="3" t="s">
        <v>220</v>
      </c>
      <c r="V322" s="3"/>
      <c r="W322" s="3"/>
      <c r="AE322" s="3">
        <v>558</v>
      </c>
      <c r="AU322" s="22">
        <f t="shared" si="27"/>
        <v>558</v>
      </c>
      <c r="AV322" s="3">
        <v>558</v>
      </c>
      <c r="CH322" s="22">
        <f t="shared" si="23"/>
        <v>558</v>
      </c>
      <c r="CI322" s="3">
        <f t="shared" si="24"/>
        <v>0</v>
      </c>
      <c r="CJ322" s="17">
        <f t="shared" si="25"/>
        <v>10792</v>
      </c>
      <c r="CK322" s="3">
        <f t="shared" si="26"/>
        <v>0</v>
      </c>
    </row>
    <row r="323" spans="4:89" x14ac:dyDescent="0.25">
      <c r="D323" s="17">
        <v>8518</v>
      </c>
      <c r="E323" s="17">
        <v>10793</v>
      </c>
      <c r="G323" s="3" t="s">
        <v>226</v>
      </c>
      <c r="H323" s="3" t="s">
        <v>220</v>
      </c>
      <c r="V323" s="3"/>
      <c r="W323" s="3"/>
      <c r="AE323" s="3">
        <v>2</v>
      </c>
      <c r="AU323" s="22">
        <f t="shared" si="27"/>
        <v>2</v>
      </c>
      <c r="AV323" s="3">
        <v>2</v>
      </c>
      <c r="CH323" s="22">
        <f t="shared" si="23"/>
        <v>2</v>
      </c>
      <c r="CI323" s="3">
        <f t="shared" si="24"/>
        <v>0</v>
      </c>
      <c r="CJ323" s="17">
        <f t="shared" si="25"/>
        <v>10793</v>
      </c>
      <c r="CK323" s="3">
        <f t="shared" si="26"/>
        <v>0</v>
      </c>
    </row>
    <row r="324" spans="4:89" x14ac:dyDescent="0.25">
      <c r="D324" s="17">
        <v>8485</v>
      </c>
      <c r="E324" s="17">
        <v>10794</v>
      </c>
      <c r="G324" s="3" t="s">
        <v>227</v>
      </c>
      <c r="H324" s="3" t="s">
        <v>220</v>
      </c>
      <c r="V324" s="3"/>
      <c r="W324" s="3"/>
      <c r="AE324" s="3">
        <v>800</v>
      </c>
      <c r="AU324" s="22">
        <f t="shared" si="27"/>
        <v>800</v>
      </c>
      <c r="AV324" s="3">
        <v>800</v>
      </c>
      <c r="CH324" s="22">
        <f t="shared" ref="CH324:CH336" si="30">SUM(AV324:CG324)</f>
        <v>800</v>
      </c>
      <c r="CI324" s="3">
        <f t="shared" ref="CI324:CI336" si="31">+CH324-AU324</f>
        <v>0</v>
      </c>
      <c r="CJ324" s="17">
        <f t="shared" ref="CJ324:CJ336" si="32">+E324</f>
        <v>10794</v>
      </c>
      <c r="CK324" s="3">
        <f t="shared" ref="CK324:CK336" si="33">+F324</f>
        <v>0</v>
      </c>
    </row>
    <row r="325" spans="4:89" x14ac:dyDescent="0.25">
      <c r="D325" s="17">
        <v>8523</v>
      </c>
      <c r="E325" s="17">
        <v>10795</v>
      </c>
      <c r="G325" s="3" t="s">
        <v>228</v>
      </c>
      <c r="H325" s="3" t="s">
        <v>220</v>
      </c>
      <c r="V325" s="3"/>
      <c r="W325" s="3"/>
      <c r="AE325" s="3">
        <v>14</v>
      </c>
      <c r="AU325" s="22">
        <f t="shared" si="27"/>
        <v>14</v>
      </c>
      <c r="AV325" s="3">
        <v>14</v>
      </c>
      <c r="CH325" s="22">
        <f t="shared" si="30"/>
        <v>14</v>
      </c>
      <c r="CI325" s="3">
        <f t="shared" si="31"/>
        <v>0</v>
      </c>
      <c r="CJ325" s="17">
        <f t="shared" si="32"/>
        <v>10795</v>
      </c>
      <c r="CK325" s="3">
        <f t="shared" si="33"/>
        <v>0</v>
      </c>
    </row>
    <row r="326" spans="4:89" x14ac:dyDescent="0.25">
      <c r="D326" s="17">
        <v>8520</v>
      </c>
      <c r="E326" s="17">
        <v>10796</v>
      </c>
      <c r="G326" s="3" t="s">
        <v>229</v>
      </c>
      <c r="H326" s="3" t="s">
        <v>220</v>
      </c>
      <c r="V326" s="3"/>
      <c r="W326" s="3"/>
      <c r="AE326" s="3">
        <v>700</v>
      </c>
      <c r="AU326" s="22">
        <f t="shared" si="27"/>
        <v>700</v>
      </c>
      <c r="AV326" s="3">
        <v>700</v>
      </c>
      <c r="CH326" s="22">
        <f t="shared" si="30"/>
        <v>700</v>
      </c>
      <c r="CI326" s="3">
        <f t="shared" si="31"/>
        <v>0</v>
      </c>
      <c r="CJ326" s="17">
        <f t="shared" si="32"/>
        <v>10796</v>
      </c>
      <c r="CK326" s="3">
        <f t="shared" si="33"/>
        <v>0</v>
      </c>
    </row>
    <row r="327" spans="4:89" x14ac:dyDescent="0.25">
      <c r="D327" s="17">
        <v>8503</v>
      </c>
      <c r="E327" s="17">
        <v>10797</v>
      </c>
      <c r="G327" s="3" t="s">
        <v>230</v>
      </c>
      <c r="H327" s="3" t="s">
        <v>220</v>
      </c>
      <c r="V327" s="3"/>
      <c r="W327" s="3"/>
      <c r="AE327" s="3">
        <v>6315</v>
      </c>
      <c r="AU327" s="22">
        <f t="shared" si="27"/>
        <v>6315</v>
      </c>
      <c r="AV327" s="3">
        <v>6315</v>
      </c>
      <c r="CH327" s="22">
        <f t="shared" si="30"/>
        <v>6315</v>
      </c>
      <c r="CI327" s="3">
        <f t="shared" si="31"/>
        <v>0</v>
      </c>
      <c r="CJ327" s="17">
        <f t="shared" si="32"/>
        <v>10797</v>
      </c>
      <c r="CK327" s="3">
        <f t="shared" si="33"/>
        <v>0</v>
      </c>
    </row>
    <row r="328" spans="4:89" x14ac:dyDescent="0.25">
      <c r="D328" s="17">
        <v>8504</v>
      </c>
      <c r="E328" s="17">
        <v>10798</v>
      </c>
      <c r="G328" s="3" t="s">
        <v>231</v>
      </c>
      <c r="H328" s="3" t="s">
        <v>220</v>
      </c>
      <c r="V328" s="3"/>
      <c r="W328" s="3"/>
      <c r="AE328" s="3">
        <v>2248.37</v>
      </c>
      <c r="AU328" s="22">
        <f t="shared" ref="AU328:AU336" si="34">SUM(I328:AS328)</f>
        <v>2248.37</v>
      </c>
      <c r="AV328" s="3">
        <v>2248.37</v>
      </c>
      <c r="CH328" s="22">
        <f t="shared" si="30"/>
        <v>2248.37</v>
      </c>
      <c r="CI328" s="3">
        <f t="shared" si="31"/>
        <v>0</v>
      </c>
      <c r="CJ328" s="17">
        <f t="shared" si="32"/>
        <v>10798</v>
      </c>
      <c r="CK328" s="3">
        <f t="shared" si="33"/>
        <v>0</v>
      </c>
    </row>
    <row r="329" spans="4:89" x14ac:dyDescent="0.25">
      <c r="D329" s="17">
        <v>8515</v>
      </c>
      <c r="E329" s="17">
        <v>10799</v>
      </c>
      <c r="G329" s="3" t="s">
        <v>232</v>
      </c>
      <c r="H329" s="3" t="s">
        <v>220</v>
      </c>
      <c r="V329" s="3"/>
      <c r="W329" s="3"/>
      <c r="AE329" s="3">
        <v>1334</v>
      </c>
      <c r="AU329" s="22">
        <f t="shared" si="34"/>
        <v>1334</v>
      </c>
      <c r="AV329" s="3">
        <v>1334</v>
      </c>
      <c r="CH329" s="22">
        <f t="shared" si="30"/>
        <v>1334</v>
      </c>
      <c r="CI329" s="3">
        <f t="shared" si="31"/>
        <v>0</v>
      </c>
      <c r="CJ329" s="17">
        <f t="shared" si="32"/>
        <v>10799</v>
      </c>
      <c r="CK329" s="3">
        <f t="shared" si="33"/>
        <v>0</v>
      </c>
    </row>
    <row r="330" spans="4:89" x14ac:dyDescent="0.25">
      <c r="D330" s="17">
        <v>8524</v>
      </c>
      <c r="E330" s="17">
        <v>10800</v>
      </c>
      <c r="G330" s="3" t="s">
        <v>233</v>
      </c>
      <c r="H330" s="3" t="s">
        <v>220</v>
      </c>
      <c r="V330" s="3">
        <v>2581.39</v>
      </c>
      <c r="W330" s="3"/>
      <c r="AU330" s="22">
        <f t="shared" si="34"/>
        <v>2581.39</v>
      </c>
      <c r="AV330" s="3">
        <v>2581.39</v>
      </c>
      <c r="CH330" s="22">
        <f t="shared" si="30"/>
        <v>2581.39</v>
      </c>
      <c r="CI330" s="3">
        <f t="shared" si="31"/>
        <v>0</v>
      </c>
      <c r="CJ330" s="17">
        <f t="shared" si="32"/>
        <v>10800</v>
      </c>
      <c r="CK330" s="3">
        <f t="shared" si="33"/>
        <v>0</v>
      </c>
    </row>
    <row r="331" spans="4:89" x14ac:dyDescent="0.25">
      <c r="D331" s="17">
        <v>8525</v>
      </c>
      <c r="E331" s="17">
        <v>10801</v>
      </c>
      <c r="G331" s="3" t="s">
        <v>234</v>
      </c>
      <c r="H331" s="3" t="s">
        <v>220</v>
      </c>
      <c r="V331" s="3">
        <v>17140.95</v>
      </c>
      <c r="W331" s="3"/>
      <c r="AU331" s="22">
        <f t="shared" si="34"/>
        <v>17140.95</v>
      </c>
      <c r="AV331" s="3">
        <v>17140.95</v>
      </c>
      <c r="CH331" s="22">
        <f t="shared" si="30"/>
        <v>17140.95</v>
      </c>
      <c r="CI331" s="3">
        <f t="shared" si="31"/>
        <v>0</v>
      </c>
      <c r="CJ331" s="17">
        <f t="shared" si="32"/>
        <v>10801</v>
      </c>
      <c r="CK331" s="3">
        <f t="shared" si="33"/>
        <v>0</v>
      </c>
    </row>
    <row r="332" spans="4:89" x14ac:dyDescent="0.25">
      <c r="D332" s="17">
        <v>8507</v>
      </c>
      <c r="E332" s="17">
        <v>10802</v>
      </c>
      <c r="G332" s="3" t="s">
        <v>235</v>
      </c>
      <c r="H332" s="3" t="s">
        <v>220</v>
      </c>
      <c r="V332" s="3"/>
      <c r="W332" s="3"/>
      <c r="AE332" s="3">
        <v>2600</v>
      </c>
      <c r="AU332" s="22">
        <f t="shared" si="34"/>
        <v>2600</v>
      </c>
      <c r="AV332" s="3">
        <v>2600</v>
      </c>
      <c r="CH332" s="22">
        <f t="shared" si="30"/>
        <v>2600</v>
      </c>
      <c r="CI332" s="3">
        <f t="shared" si="31"/>
        <v>0</v>
      </c>
      <c r="CJ332" s="17">
        <f t="shared" si="32"/>
        <v>10802</v>
      </c>
      <c r="CK332" s="3">
        <f t="shared" si="33"/>
        <v>0</v>
      </c>
    </row>
    <row r="333" spans="4:89" x14ac:dyDescent="0.25">
      <c r="D333" s="17">
        <v>8521</v>
      </c>
      <c r="E333" s="17">
        <v>10803</v>
      </c>
      <c r="G333" s="3" t="s">
        <v>236</v>
      </c>
      <c r="H333" s="3" t="s">
        <v>220</v>
      </c>
      <c r="V333" s="3"/>
      <c r="W333" s="3"/>
      <c r="AE333" s="3">
        <v>1177.31</v>
      </c>
      <c r="AU333" s="22">
        <f t="shared" si="34"/>
        <v>1177.31</v>
      </c>
      <c r="AV333" s="3">
        <v>1177.31</v>
      </c>
      <c r="CH333" s="22">
        <f t="shared" si="30"/>
        <v>1177.31</v>
      </c>
      <c r="CI333" s="3">
        <f t="shared" si="31"/>
        <v>0</v>
      </c>
      <c r="CJ333" s="17">
        <f t="shared" si="32"/>
        <v>10803</v>
      </c>
      <c r="CK333" s="3">
        <f t="shared" si="33"/>
        <v>0</v>
      </c>
    </row>
    <row r="334" spans="4:89" x14ac:dyDescent="0.25">
      <c r="D334" s="17">
        <v>8516</v>
      </c>
      <c r="E334" s="17">
        <v>10804</v>
      </c>
      <c r="G334" s="3" t="s">
        <v>237</v>
      </c>
      <c r="H334" s="3" t="s">
        <v>220</v>
      </c>
      <c r="V334" s="3"/>
      <c r="W334" s="3"/>
      <c r="AE334" s="3">
        <v>1200</v>
      </c>
      <c r="AU334" s="22">
        <f t="shared" si="34"/>
        <v>1200</v>
      </c>
      <c r="AV334" s="3">
        <v>1200</v>
      </c>
      <c r="CH334" s="22">
        <f t="shared" si="30"/>
        <v>1200</v>
      </c>
      <c r="CI334" s="3">
        <f t="shared" si="31"/>
        <v>0</v>
      </c>
      <c r="CJ334" s="17">
        <f t="shared" si="32"/>
        <v>10804</v>
      </c>
      <c r="CK334" s="3">
        <f t="shared" si="33"/>
        <v>0</v>
      </c>
    </row>
    <row r="335" spans="4:89" x14ac:dyDescent="0.25">
      <c r="D335" s="17">
        <v>8491</v>
      </c>
      <c r="E335" s="17">
        <v>10805</v>
      </c>
      <c r="G335" s="3" t="s">
        <v>238</v>
      </c>
      <c r="H335" s="3" t="s">
        <v>220</v>
      </c>
      <c r="V335" s="3"/>
      <c r="W335" s="3"/>
      <c r="AE335" s="3">
        <v>106</v>
      </c>
      <c r="AU335" s="22">
        <f t="shared" si="34"/>
        <v>106</v>
      </c>
      <c r="AV335" s="3">
        <v>106</v>
      </c>
      <c r="CH335" s="22">
        <f t="shared" si="30"/>
        <v>106</v>
      </c>
      <c r="CI335" s="3">
        <f t="shared" si="31"/>
        <v>0</v>
      </c>
      <c r="CJ335" s="17">
        <f t="shared" si="32"/>
        <v>10805</v>
      </c>
      <c r="CK335" s="3">
        <f t="shared" si="33"/>
        <v>0</v>
      </c>
    </row>
    <row r="336" spans="4:89" x14ac:dyDescent="0.25">
      <c r="D336" s="17">
        <v>8514</v>
      </c>
      <c r="E336" s="17">
        <v>10806</v>
      </c>
      <c r="G336" s="3" t="s">
        <v>239</v>
      </c>
      <c r="H336" s="3" t="s">
        <v>220</v>
      </c>
      <c r="V336" s="3"/>
      <c r="W336" s="3"/>
      <c r="AE336" s="3">
        <v>1211.8399999999999</v>
      </c>
      <c r="AU336" s="22">
        <f t="shared" si="34"/>
        <v>1211.8399999999999</v>
      </c>
      <c r="AV336" s="3">
        <v>1211.8399999999999</v>
      </c>
      <c r="CH336" s="22">
        <f t="shared" si="30"/>
        <v>1211.8399999999999</v>
      </c>
      <c r="CI336" s="3">
        <f t="shared" si="31"/>
        <v>0</v>
      </c>
      <c r="CJ336" s="17">
        <f t="shared" si="32"/>
        <v>10806</v>
      </c>
      <c r="CK336" s="3">
        <f t="shared" si="33"/>
        <v>0</v>
      </c>
    </row>
    <row r="337" spans="1:90" s="29" customFormat="1" x14ac:dyDescent="0.25">
      <c r="A337" s="27"/>
      <c r="B337" s="28"/>
      <c r="C337" s="28"/>
      <c r="D337" s="28"/>
      <c r="E337" s="28"/>
      <c r="G337" s="29" t="s">
        <v>240</v>
      </c>
      <c r="I337" s="29">
        <f>SUM(I317:I336)</f>
        <v>93.8</v>
      </c>
      <c r="J337" s="29">
        <f t="shared" ref="J337:BV337" si="35">SUM(J317:J336)</f>
        <v>0</v>
      </c>
      <c r="K337" s="29">
        <f t="shared" si="35"/>
        <v>0</v>
      </c>
      <c r="L337" s="29">
        <f t="shared" si="35"/>
        <v>0</v>
      </c>
      <c r="M337" s="29">
        <f t="shared" si="35"/>
        <v>0</v>
      </c>
      <c r="N337" s="29">
        <f t="shared" si="35"/>
        <v>0</v>
      </c>
      <c r="O337" s="29">
        <f t="shared" si="35"/>
        <v>0</v>
      </c>
      <c r="P337" s="29">
        <f t="shared" si="35"/>
        <v>0</v>
      </c>
      <c r="Q337" s="29">
        <f t="shared" si="35"/>
        <v>0</v>
      </c>
      <c r="R337" s="29">
        <f t="shared" si="35"/>
        <v>0</v>
      </c>
      <c r="S337" s="29">
        <f t="shared" si="35"/>
        <v>0</v>
      </c>
      <c r="T337" s="29">
        <f t="shared" si="35"/>
        <v>0</v>
      </c>
      <c r="U337" s="29">
        <f t="shared" si="35"/>
        <v>705444.9</v>
      </c>
      <c r="V337" s="29">
        <f t="shared" si="35"/>
        <v>19722.34</v>
      </c>
      <c r="W337" s="29">
        <f t="shared" si="35"/>
        <v>0</v>
      </c>
      <c r="X337" s="29">
        <f t="shared" si="35"/>
        <v>0</v>
      </c>
      <c r="Y337" s="29">
        <f t="shared" si="35"/>
        <v>0</v>
      </c>
      <c r="Z337" s="29">
        <f t="shared" si="35"/>
        <v>0</v>
      </c>
      <c r="AA337" s="29">
        <f t="shared" si="35"/>
        <v>0</v>
      </c>
      <c r="AB337" s="29">
        <f t="shared" si="35"/>
        <v>0</v>
      </c>
      <c r="AC337" s="29">
        <f t="shared" si="35"/>
        <v>0</v>
      </c>
      <c r="AD337" s="29">
        <f t="shared" si="35"/>
        <v>0</v>
      </c>
      <c r="AE337" s="29">
        <f t="shared" si="35"/>
        <v>20676.5</v>
      </c>
      <c r="AF337" s="29">
        <f t="shared" si="35"/>
        <v>0</v>
      </c>
      <c r="AG337" s="29">
        <f t="shared" si="35"/>
        <v>0</v>
      </c>
      <c r="AH337" s="29">
        <f t="shared" si="35"/>
        <v>0</v>
      </c>
      <c r="AI337" s="29">
        <f t="shared" si="35"/>
        <v>0</v>
      </c>
      <c r="AJ337" s="29">
        <f t="shared" si="35"/>
        <v>0</v>
      </c>
      <c r="AK337" s="29">
        <f t="shared" si="35"/>
        <v>0</v>
      </c>
      <c r="AL337" s="29">
        <f t="shared" si="35"/>
        <v>0</v>
      </c>
      <c r="AM337" s="29">
        <f t="shared" si="35"/>
        <v>0</v>
      </c>
      <c r="AN337" s="29">
        <f t="shared" si="35"/>
        <v>0</v>
      </c>
      <c r="AO337" s="29">
        <f t="shared" si="35"/>
        <v>0</v>
      </c>
      <c r="AP337" s="29">
        <f t="shared" si="35"/>
        <v>0</v>
      </c>
      <c r="AQ337" s="29">
        <f t="shared" si="35"/>
        <v>0</v>
      </c>
      <c r="AR337" s="29">
        <f t="shared" si="35"/>
        <v>0</v>
      </c>
      <c r="AS337" s="29">
        <f t="shared" si="35"/>
        <v>0</v>
      </c>
      <c r="AT337" s="29">
        <f t="shared" si="35"/>
        <v>0</v>
      </c>
      <c r="AU337" s="29">
        <f t="shared" si="35"/>
        <v>745937.54</v>
      </c>
      <c r="AV337" s="29">
        <f t="shared" si="35"/>
        <v>745907.64</v>
      </c>
      <c r="AW337" s="29">
        <f t="shared" si="35"/>
        <v>7.2600000000000007</v>
      </c>
      <c r="AX337" s="29">
        <f t="shared" si="35"/>
        <v>22.599999999999998</v>
      </c>
      <c r="AY337" s="29">
        <f t="shared" si="35"/>
        <v>0.04</v>
      </c>
      <c r="AZ337" s="29">
        <f t="shared" si="35"/>
        <v>0</v>
      </c>
      <c r="BA337" s="29">
        <f t="shared" si="35"/>
        <v>0</v>
      </c>
      <c r="BB337" s="29">
        <f t="shared" si="35"/>
        <v>0</v>
      </c>
      <c r="BC337" s="29">
        <f t="shared" si="35"/>
        <v>0</v>
      </c>
      <c r="BD337" s="29">
        <f t="shared" si="35"/>
        <v>0</v>
      </c>
      <c r="BF337" s="29">
        <f t="shared" si="35"/>
        <v>0</v>
      </c>
      <c r="BG337" s="29">
        <f t="shared" si="35"/>
        <v>0</v>
      </c>
      <c r="BH337" s="29">
        <f t="shared" si="35"/>
        <v>0</v>
      </c>
      <c r="BI337" s="29">
        <f t="shared" si="35"/>
        <v>0</v>
      </c>
      <c r="BJ337" s="29">
        <f t="shared" si="35"/>
        <v>0</v>
      </c>
      <c r="BK337" s="29">
        <f t="shared" si="35"/>
        <v>0</v>
      </c>
      <c r="BL337" s="29">
        <f t="shared" si="35"/>
        <v>0</v>
      </c>
      <c r="BM337" s="29">
        <f t="shared" si="35"/>
        <v>0</v>
      </c>
      <c r="BN337" s="29">
        <f t="shared" si="35"/>
        <v>0</v>
      </c>
      <c r="BO337" s="29">
        <f t="shared" si="35"/>
        <v>0</v>
      </c>
      <c r="BP337" s="29">
        <f t="shared" si="35"/>
        <v>0</v>
      </c>
      <c r="BQ337" s="29">
        <f t="shared" si="35"/>
        <v>0</v>
      </c>
      <c r="BR337" s="29">
        <f t="shared" si="35"/>
        <v>0</v>
      </c>
      <c r="BS337" s="29">
        <f t="shared" si="35"/>
        <v>0</v>
      </c>
      <c r="BT337" s="29">
        <f t="shared" si="35"/>
        <v>0</v>
      </c>
      <c r="BU337" s="29">
        <f t="shared" si="35"/>
        <v>0</v>
      </c>
      <c r="BV337" s="29">
        <f t="shared" si="35"/>
        <v>0</v>
      </c>
      <c r="BW337" s="29">
        <f t="shared" ref="BW337:CL337" si="36">SUM(BW317:BW336)</f>
        <v>0</v>
      </c>
      <c r="BX337" s="29">
        <f t="shared" si="36"/>
        <v>0</v>
      </c>
      <c r="BY337" s="29">
        <f t="shared" si="36"/>
        <v>0</v>
      </c>
      <c r="BZ337" s="29">
        <f t="shared" si="36"/>
        <v>0</v>
      </c>
      <c r="CA337" s="29">
        <f t="shared" si="36"/>
        <v>0</v>
      </c>
      <c r="CB337" s="29">
        <f t="shared" si="36"/>
        <v>0</v>
      </c>
      <c r="CC337" s="29">
        <f t="shared" si="36"/>
        <v>0</v>
      </c>
      <c r="CD337" s="29">
        <f t="shared" si="36"/>
        <v>0</v>
      </c>
      <c r="CE337" s="29">
        <f t="shared" si="36"/>
        <v>0</v>
      </c>
      <c r="CF337" s="29">
        <f t="shared" si="36"/>
        <v>0</v>
      </c>
      <c r="CG337" s="29">
        <f t="shared" si="36"/>
        <v>0</v>
      </c>
      <c r="CH337" s="29">
        <f t="shared" si="36"/>
        <v>745937.54</v>
      </c>
      <c r="CI337" s="29">
        <f t="shared" si="36"/>
        <v>0</v>
      </c>
      <c r="CL337" s="29">
        <f t="shared" si="36"/>
        <v>0</v>
      </c>
    </row>
    <row r="338" spans="1:90" x14ac:dyDescent="0.25">
      <c r="D338" s="17">
        <v>17876</v>
      </c>
      <c r="E338" s="11">
        <v>10807</v>
      </c>
      <c r="F338" s="3" t="s">
        <v>119</v>
      </c>
      <c r="G338" s="3" t="s">
        <v>218</v>
      </c>
      <c r="I338" s="3">
        <v>923.87</v>
      </c>
      <c r="AU338" s="22">
        <f t="shared" ref="AU338:AU369" si="37">SUM(I338:AS338)</f>
        <v>923.87</v>
      </c>
      <c r="AV338" s="3">
        <v>582.04</v>
      </c>
      <c r="AW338" s="3">
        <v>114.86</v>
      </c>
      <c r="AX338" s="3">
        <v>186.47</v>
      </c>
      <c r="AY338" s="3">
        <v>40.5</v>
      </c>
      <c r="CH338" s="22">
        <f t="shared" ref="CH338:CH369" si="38">SUM(AV338:CG338)</f>
        <v>923.87</v>
      </c>
      <c r="CI338" s="3">
        <f t="shared" ref="CI338:CI369" si="39">+CH338-AU338</f>
        <v>0</v>
      </c>
      <c r="CJ338" s="17">
        <f t="shared" ref="CJ338:CJ369" si="40">+E338</f>
        <v>10807</v>
      </c>
      <c r="CK338" s="3" t="str">
        <f t="shared" ref="CK338:CK369" si="41">+F338</f>
        <v>خ ت صيدلة</v>
      </c>
    </row>
    <row r="339" spans="1:90" x14ac:dyDescent="0.25">
      <c r="D339" s="17">
        <v>17877</v>
      </c>
      <c r="E339" s="17">
        <v>10808</v>
      </c>
      <c r="F339" s="3" t="s">
        <v>119</v>
      </c>
      <c r="G339" s="3" t="s">
        <v>241</v>
      </c>
      <c r="I339" s="3">
        <v>351.75</v>
      </c>
      <c r="AU339" s="22">
        <f t="shared" si="37"/>
        <v>351.75</v>
      </c>
      <c r="AV339" s="3">
        <v>200.44</v>
      </c>
      <c r="AW339" s="3">
        <v>51.56</v>
      </c>
      <c r="AX339" s="3">
        <v>84.75</v>
      </c>
      <c r="AY339" s="3">
        <v>15</v>
      </c>
      <c r="CH339" s="22">
        <f t="shared" si="38"/>
        <v>351.75</v>
      </c>
      <c r="CI339" s="3">
        <f t="shared" si="39"/>
        <v>0</v>
      </c>
      <c r="CJ339" s="17">
        <f t="shared" si="40"/>
        <v>10808</v>
      </c>
      <c r="CK339" s="3" t="str">
        <f t="shared" si="41"/>
        <v>خ ت صيدلة</v>
      </c>
    </row>
    <row r="340" spans="1:90" x14ac:dyDescent="0.25">
      <c r="C340" s="3"/>
      <c r="D340" s="17">
        <v>17878</v>
      </c>
      <c r="E340" s="11">
        <v>10809</v>
      </c>
      <c r="F340" s="3" t="s">
        <v>119</v>
      </c>
      <c r="G340" s="3" t="s">
        <v>242</v>
      </c>
      <c r="I340" s="3">
        <v>1000</v>
      </c>
      <c r="AU340" s="22">
        <f t="shared" si="37"/>
        <v>1000</v>
      </c>
      <c r="AV340" s="3">
        <v>893.35</v>
      </c>
      <c r="AW340" s="3">
        <v>106.65</v>
      </c>
      <c r="CH340" s="22">
        <f t="shared" si="38"/>
        <v>1000</v>
      </c>
      <c r="CI340" s="3">
        <f t="shared" si="39"/>
        <v>0</v>
      </c>
      <c r="CJ340" s="17">
        <f t="shared" si="40"/>
        <v>10809</v>
      </c>
      <c r="CK340" s="3" t="str">
        <f t="shared" si="41"/>
        <v>خ ت صيدلة</v>
      </c>
    </row>
    <row r="341" spans="1:90" x14ac:dyDescent="0.25">
      <c r="C341" s="3"/>
      <c r="D341" s="17">
        <v>17879</v>
      </c>
      <c r="E341" s="11">
        <v>10810</v>
      </c>
      <c r="F341" s="3" t="s">
        <v>119</v>
      </c>
      <c r="G341" s="3" t="s">
        <v>243</v>
      </c>
      <c r="I341" s="3">
        <v>586.25</v>
      </c>
      <c r="AU341" s="22">
        <f t="shared" si="37"/>
        <v>586.25</v>
      </c>
      <c r="AV341" s="3">
        <v>375.66</v>
      </c>
      <c r="AW341" s="3">
        <v>44.34</v>
      </c>
      <c r="AX341" s="3">
        <v>141.25</v>
      </c>
      <c r="AY341" s="3">
        <v>25</v>
      </c>
      <c r="CH341" s="22">
        <f t="shared" si="38"/>
        <v>586.25</v>
      </c>
      <c r="CI341" s="3">
        <f t="shared" si="39"/>
        <v>0</v>
      </c>
      <c r="CJ341" s="17">
        <f t="shared" si="40"/>
        <v>10810</v>
      </c>
      <c r="CK341" s="3" t="str">
        <f t="shared" si="41"/>
        <v>خ ت صيدلة</v>
      </c>
    </row>
    <row r="342" spans="1:90" x14ac:dyDescent="0.25">
      <c r="D342" s="17">
        <v>17880</v>
      </c>
      <c r="E342" s="17">
        <v>10811</v>
      </c>
      <c r="F342" s="3" t="s">
        <v>119</v>
      </c>
      <c r="G342" s="3" t="s">
        <v>244</v>
      </c>
      <c r="I342" s="3">
        <v>140.69999999999999</v>
      </c>
      <c r="AU342" s="22">
        <f t="shared" si="37"/>
        <v>140.69999999999999</v>
      </c>
      <c r="AV342" s="3">
        <v>90.72</v>
      </c>
      <c r="AW342" s="3">
        <v>10.08</v>
      </c>
      <c r="AX342" s="3">
        <v>33.9</v>
      </c>
      <c r="AY342" s="3">
        <v>6</v>
      </c>
      <c r="CH342" s="22">
        <f t="shared" si="38"/>
        <v>140.69999999999999</v>
      </c>
      <c r="CI342" s="3">
        <f t="shared" si="39"/>
        <v>0</v>
      </c>
      <c r="CJ342" s="17">
        <f t="shared" si="40"/>
        <v>10811</v>
      </c>
      <c r="CK342" s="3" t="str">
        <f t="shared" si="41"/>
        <v>خ ت صيدلة</v>
      </c>
    </row>
    <row r="343" spans="1:90" x14ac:dyDescent="0.25">
      <c r="C343" s="3"/>
      <c r="D343" s="17">
        <v>17881</v>
      </c>
      <c r="E343" s="11">
        <v>10812</v>
      </c>
      <c r="F343" s="3" t="s">
        <v>119</v>
      </c>
      <c r="G343" s="3" t="s">
        <v>244</v>
      </c>
      <c r="I343" s="3">
        <v>783.3</v>
      </c>
      <c r="V343" s="3"/>
      <c r="W343" s="3"/>
      <c r="AU343" s="22">
        <f t="shared" si="37"/>
        <v>783.3</v>
      </c>
      <c r="AV343" s="3">
        <v>502.11</v>
      </c>
      <c r="AW343" s="3">
        <v>55.79</v>
      </c>
      <c r="AX343" s="3">
        <v>192.1</v>
      </c>
      <c r="AY343" s="3">
        <v>33.299999999999997</v>
      </c>
      <c r="CH343" s="22">
        <f t="shared" si="38"/>
        <v>783.3</v>
      </c>
      <c r="CI343" s="3">
        <f t="shared" si="39"/>
        <v>0</v>
      </c>
      <c r="CJ343" s="17">
        <f t="shared" si="40"/>
        <v>10812</v>
      </c>
      <c r="CK343" s="3" t="str">
        <f t="shared" si="41"/>
        <v>خ ت صيدلة</v>
      </c>
    </row>
    <row r="344" spans="1:90" x14ac:dyDescent="0.25">
      <c r="D344" s="17">
        <v>16674</v>
      </c>
      <c r="E344" s="11">
        <v>10813</v>
      </c>
      <c r="F344" s="3" t="s">
        <v>123</v>
      </c>
      <c r="G344" s="3" t="s">
        <v>245</v>
      </c>
      <c r="I344" s="3">
        <v>3108.83</v>
      </c>
      <c r="AU344" s="22">
        <f t="shared" si="37"/>
        <v>3108.83</v>
      </c>
      <c r="AV344" s="3">
        <v>2303.9299999999998</v>
      </c>
      <c r="AW344" s="3">
        <v>293.42</v>
      </c>
      <c r="AX344" s="3">
        <v>367.26</v>
      </c>
      <c r="AY344" s="3">
        <v>144.22</v>
      </c>
      <c r="CH344" s="22">
        <f t="shared" si="38"/>
        <v>3108.8299999999995</v>
      </c>
      <c r="CI344" s="3">
        <f t="shared" si="39"/>
        <v>0</v>
      </c>
      <c r="CJ344" s="17">
        <f t="shared" si="40"/>
        <v>10813</v>
      </c>
      <c r="CK344" s="3" t="str">
        <f t="shared" si="41"/>
        <v>خ ت اسنان</v>
      </c>
    </row>
    <row r="345" spans="1:90" x14ac:dyDescent="0.25">
      <c r="D345" s="17">
        <v>16675</v>
      </c>
      <c r="E345" s="17">
        <v>10814</v>
      </c>
      <c r="F345" s="3" t="s">
        <v>123</v>
      </c>
      <c r="G345" s="3" t="s">
        <v>245</v>
      </c>
      <c r="I345" s="3">
        <v>775.9</v>
      </c>
      <c r="AU345" s="22">
        <f t="shared" si="37"/>
        <v>775.9</v>
      </c>
      <c r="AV345" s="3">
        <v>566.98</v>
      </c>
      <c r="AW345" s="3">
        <v>71.53</v>
      </c>
      <c r="AX345" s="3">
        <v>101.7</v>
      </c>
      <c r="AY345" s="3">
        <v>35.69</v>
      </c>
      <c r="CH345" s="22">
        <f t="shared" si="38"/>
        <v>775.90000000000009</v>
      </c>
      <c r="CI345" s="3">
        <f t="shared" si="39"/>
        <v>0</v>
      </c>
      <c r="CJ345" s="17">
        <f t="shared" si="40"/>
        <v>10814</v>
      </c>
      <c r="CK345" s="3" t="str">
        <f t="shared" si="41"/>
        <v>خ ت اسنان</v>
      </c>
    </row>
    <row r="346" spans="1:90" x14ac:dyDescent="0.25">
      <c r="C346" s="3"/>
      <c r="D346" s="17">
        <v>16676</v>
      </c>
      <c r="E346" s="11">
        <v>10815</v>
      </c>
      <c r="F346" s="3" t="s">
        <v>123</v>
      </c>
      <c r="G346" s="3" t="s">
        <v>245</v>
      </c>
      <c r="I346" s="3">
        <v>75</v>
      </c>
      <c r="AU346" s="22">
        <f t="shared" si="37"/>
        <v>75</v>
      </c>
      <c r="AV346" s="3">
        <v>63.6</v>
      </c>
      <c r="AW346" s="3">
        <v>7.65</v>
      </c>
      <c r="AY346" s="3">
        <v>3.75</v>
      </c>
      <c r="CH346" s="22">
        <f t="shared" si="38"/>
        <v>75</v>
      </c>
      <c r="CI346" s="3">
        <f t="shared" si="39"/>
        <v>0</v>
      </c>
      <c r="CJ346" s="17">
        <f t="shared" si="40"/>
        <v>10815</v>
      </c>
      <c r="CK346" s="3" t="str">
        <f t="shared" si="41"/>
        <v>خ ت اسنان</v>
      </c>
    </row>
    <row r="347" spans="1:90" x14ac:dyDescent="0.25">
      <c r="D347" s="17">
        <v>17232</v>
      </c>
      <c r="E347" s="11">
        <v>10816</v>
      </c>
      <c r="F347" s="3" t="s">
        <v>123</v>
      </c>
      <c r="G347" s="3" t="s">
        <v>246</v>
      </c>
      <c r="I347" s="3">
        <v>2500</v>
      </c>
      <c r="AU347" s="22">
        <f t="shared" si="37"/>
        <v>2500</v>
      </c>
      <c r="AV347" s="3">
        <v>1886.52</v>
      </c>
      <c r="AW347" s="3">
        <v>488.48</v>
      </c>
      <c r="AY347" s="3">
        <v>125</v>
      </c>
      <c r="CH347" s="22">
        <f t="shared" si="38"/>
        <v>2500</v>
      </c>
      <c r="CI347" s="3">
        <f t="shared" si="39"/>
        <v>0</v>
      </c>
      <c r="CJ347" s="17">
        <f t="shared" si="40"/>
        <v>10816</v>
      </c>
      <c r="CK347" s="3" t="str">
        <f t="shared" si="41"/>
        <v>خ ت اسنان</v>
      </c>
    </row>
    <row r="348" spans="1:90" x14ac:dyDescent="0.25">
      <c r="D348" s="17">
        <v>17227</v>
      </c>
      <c r="E348" s="17">
        <v>10817</v>
      </c>
      <c r="F348" s="3" t="s">
        <v>123</v>
      </c>
      <c r="G348" s="3" t="s">
        <v>246</v>
      </c>
      <c r="I348" s="3">
        <v>879.38</v>
      </c>
      <c r="AU348" s="22">
        <f t="shared" si="37"/>
        <v>879.38</v>
      </c>
      <c r="AV348" s="3">
        <v>588.15</v>
      </c>
      <c r="AW348" s="3">
        <v>79.349999999999994</v>
      </c>
      <c r="AX348" s="3">
        <v>211.88</v>
      </c>
      <c r="CH348" s="22">
        <f t="shared" si="38"/>
        <v>879.38</v>
      </c>
      <c r="CI348" s="3">
        <f t="shared" si="39"/>
        <v>0</v>
      </c>
      <c r="CJ348" s="17">
        <f t="shared" si="40"/>
        <v>10817</v>
      </c>
      <c r="CK348" s="3" t="str">
        <f t="shared" si="41"/>
        <v>خ ت اسنان</v>
      </c>
    </row>
    <row r="349" spans="1:90" x14ac:dyDescent="0.25">
      <c r="D349" s="17">
        <v>17229</v>
      </c>
      <c r="E349" s="11">
        <v>10818</v>
      </c>
      <c r="F349" s="3" t="s">
        <v>123</v>
      </c>
      <c r="G349" s="3" t="s">
        <v>246</v>
      </c>
      <c r="I349" s="3">
        <v>500</v>
      </c>
      <c r="AU349" s="22">
        <f t="shared" si="37"/>
        <v>500</v>
      </c>
      <c r="AV349" s="3">
        <v>377.64</v>
      </c>
      <c r="AW349" s="3">
        <v>97.36</v>
      </c>
      <c r="AY349" s="3">
        <v>25</v>
      </c>
      <c r="CH349" s="22">
        <f t="shared" si="38"/>
        <v>500</v>
      </c>
      <c r="CI349" s="3">
        <f t="shared" si="39"/>
        <v>0</v>
      </c>
      <c r="CJ349" s="17">
        <f t="shared" si="40"/>
        <v>10818</v>
      </c>
      <c r="CK349" s="3" t="str">
        <f t="shared" si="41"/>
        <v>خ ت اسنان</v>
      </c>
    </row>
    <row r="350" spans="1:90" x14ac:dyDescent="0.25">
      <c r="D350" s="17">
        <v>17230</v>
      </c>
      <c r="E350" s="11">
        <v>10819</v>
      </c>
      <c r="F350" s="3" t="s">
        <v>123</v>
      </c>
      <c r="G350" s="3" t="s">
        <v>246</v>
      </c>
      <c r="I350" s="3">
        <v>1250</v>
      </c>
      <c r="AU350" s="22">
        <f t="shared" si="37"/>
        <v>1250</v>
      </c>
      <c r="AV350" s="3">
        <v>942.8</v>
      </c>
      <c r="AW350" s="3">
        <v>244.7</v>
      </c>
      <c r="AY350" s="3">
        <v>62.5</v>
      </c>
      <c r="CH350" s="22">
        <f t="shared" si="38"/>
        <v>1250</v>
      </c>
      <c r="CI350" s="3">
        <f t="shared" si="39"/>
        <v>0</v>
      </c>
      <c r="CJ350" s="17">
        <f t="shared" si="40"/>
        <v>10819</v>
      </c>
      <c r="CK350" s="3" t="str">
        <f t="shared" si="41"/>
        <v>خ ت اسنان</v>
      </c>
    </row>
    <row r="351" spans="1:90" x14ac:dyDescent="0.25">
      <c r="D351" s="17">
        <v>17770</v>
      </c>
      <c r="E351" s="17">
        <v>10820</v>
      </c>
      <c r="F351" s="3" t="s">
        <v>123</v>
      </c>
      <c r="G351" s="3" t="s">
        <v>247</v>
      </c>
      <c r="I351" s="3">
        <v>1407</v>
      </c>
      <c r="AU351" s="22">
        <f t="shared" si="37"/>
        <v>1407</v>
      </c>
      <c r="AV351" s="3">
        <v>881.2</v>
      </c>
      <c r="AW351" s="3">
        <v>126.8</v>
      </c>
      <c r="AX351" s="3">
        <v>339</v>
      </c>
      <c r="AY351" s="3">
        <v>60</v>
      </c>
      <c r="CH351" s="22">
        <f t="shared" si="38"/>
        <v>1407</v>
      </c>
      <c r="CI351" s="3">
        <f t="shared" si="39"/>
        <v>0</v>
      </c>
      <c r="CJ351" s="17">
        <f t="shared" si="40"/>
        <v>10820</v>
      </c>
      <c r="CK351" s="3" t="str">
        <f t="shared" si="41"/>
        <v>خ ت اسنان</v>
      </c>
    </row>
    <row r="352" spans="1:90" x14ac:dyDescent="0.25">
      <c r="D352" s="17">
        <v>17773</v>
      </c>
      <c r="E352" s="11">
        <v>10821</v>
      </c>
      <c r="F352" s="3" t="s">
        <v>123</v>
      </c>
      <c r="G352" s="3" t="s">
        <v>248</v>
      </c>
      <c r="I352" s="3">
        <v>293.12</v>
      </c>
      <c r="AU352" s="22">
        <f t="shared" si="37"/>
        <v>293.12</v>
      </c>
      <c r="AV352" s="3">
        <v>183.95</v>
      </c>
      <c r="AW352" s="3">
        <v>26.05</v>
      </c>
      <c r="AX352" s="3">
        <v>70.62</v>
      </c>
      <c r="AY352" s="3">
        <v>12.5</v>
      </c>
      <c r="CH352" s="22">
        <f t="shared" si="38"/>
        <v>293.12</v>
      </c>
      <c r="CI352" s="3">
        <f t="shared" si="39"/>
        <v>0</v>
      </c>
      <c r="CJ352" s="17">
        <f t="shared" si="40"/>
        <v>10821</v>
      </c>
      <c r="CK352" s="3" t="str">
        <f t="shared" si="41"/>
        <v>خ ت اسنان</v>
      </c>
    </row>
    <row r="353" spans="3:89" x14ac:dyDescent="0.25">
      <c r="D353" s="17">
        <v>17834</v>
      </c>
      <c r="E353" s="11">
        <v>10822</v>
      </c>
      <c r="F353" s="3" t="s">
        <v>123</v>
      </c>
      <c r="G353" s="3" t="s">
        <v>215</v>
      </c>
      <c r="I353" s="3">
        <v>1000</v>
      </c>
      <c r="AU353" s="22">
        <f t="shared" si="37"/>
        <v>1000</v>
      </c>
      <c r="AV353" s="3">
        <v>843.35</v>
      </c>
      <c r="AW353" s="3">
        <v>106.65</v>
      </c>
      <c r="AY353" s="3">
        <v>50</v>
      </c>
      <c r="CH353" s="22">
        <f t="shared" si="38"/>
        <v>1000</v>
      </c>
      <c r="CI353" s="3">
        <f t="shared" si="39"/>
        <v>0</v>
      </c>
      <c r="CJ353" s="17">
        <f t="shared" si="40"/>
        <v>10822</v>
      </c>
      <c r="CK353" s="3" t="str">
        <f t="shared" si="41"/>
        <v>خ ت اسنان</v>
      </c>
    </row>
    <row r="354" spans="3:89" x14ac:dyDescent="0.25">
      <c r="C354" s="3"/>
      <c r="D354" s="17">
        <v>17623</v>
      </c>
      <c r="E354" s="17">
        <v>10823</v>
      </c>
      <c r="F354" s="3" t="s">
        <v>249</v>
      </c>
      <c r="G354" s="3" t="s">
        <v>250</v>
      </c>
      <c r="I354" s="3">
        <v>3413.51</v>
      </c>
      <c r="AU354" s="22">
        <f t="shared" si="37"/>
        <v>3413.51</v>
      </c>
      <c r="AV354" s="3">
        <v>2562.2399999999998</v>
      </c>
      <c r="AW354" s="3">
        <v>341.6</v>
      </c>
      <c r="AX354" s="3">
        <v>349.67</v>
      </c>
      <c r="AY354" s="3">
        <v>160</v>
      </c>
      <c r="CH354" s="22">
        <f t="shared" si="38"/>
        <v>3413.5099999999998</v>
      </c>
      <c r="CI354" s="3">
        <f t="shared" si="39"/>
        <v>0</v>
      </c>
      <c r="CJ354" s="17">
        <f t="shared" si="40"/>
        <v>10823</v>
      </c>
      <c r="CK354" s="3" t="str">
        <f t="shared" si="41"/>
        <v>خدمة عامة</v>
      </c>
    </row>
    <row r="355" spans="3:89" x14ac:dyDescent="0.25">
      <c r="D355" s="17">
        <v>17956</v>
      </c>
      <c r="E355" s="11">
        <v>10824</v>
      </c>
      <c r="F355" s="3" t="s">
        <v>249</v>
      </c>
      <c r="G355" s="3" t="s">
        <v>251</v>
      </c>
      <c r="I355" s="3">
        <v>20324.41</v>
      </c>
      <c r="AU355" s="22">
        <f t="shared" si="37"/>
        <v>20324.41</v>
      </c>
      <c r="AV355" s="3">
        <v>15723.11</v>
      </c>
      <c r="AW355" s="3">
        <v>2080.9</v>
      </c>
      <c r="AX355" s="3">
        <v>1551.55</v>
      </c>
      <c r="AY355" s="3">
        <v>968.85</v>
      </c>
      <c r="CH355" s="22">
        <f t="shared" si="38"/>
        <v>20324.41</v>
      </c>
      <c r="CI355" s="3">
        <f t="shared" si="39"/>
        <v>0</v>
      </c>
      <c r="CJ355" s="17">
        <f t="shared" si="40"/>
        <v>10824</v>
      </c>
      <c r="CK355" s="3" t="str">
        <f t="shared" si="41"/>
        <v>خدمة عامة</v>
      </c>
    </row>
    <row r="356" spans="3:89" x14ac:dyDescent="0.25">
      <c r="D356" s="17">
        <v>17949</v>
      </c>
      <c r="E356" s="11">
        <v>10825</v>
      </c>
      <c r="F356" s="3" t="s">
        <v>249</v>
      </c>
      <c r="G356" s="3" t="s">
        <v>252</v>
      </c>
      <c r="I356" s="3">
        <v>3850.62</v>
      </c>
      <c r="AU356" s="22">
        <f t="shared" si="37"/>
        <v>3850.62</v>
      </c>
      <c r="AV356" s="3">
        <v>2436.38</v>
      </c>
      <c r="AW356" s="3">
        <v>347.5</v>
      </c>
      <c r="AX356" s="3">
        <v>901.74</v>
      </c>
      <c r="AY356" s="3">
        <v>165</v>
      </c>
      <c r="CH356" s="22">
        <f t="shared" si="38"/>
        <v>3850.62</v>
      </c>
      <c r="CI356" s="3">
        <f t="shared" si="39"/>
        <v>0</v>
      </c>
      <c r="CJ356" s="17">
        <f t="shared" si="40"/>
        <v>10825</v>
      </c>
      <c r="CK356" s="3" t="str">
        <f t="shared" si="41"/>
        <v>خدمة عامة</v>
      </c>
    </row>
    <row r="357" spans="3:89" x14ac:dyDescent="0.25">
      <c r="D357" s="17">
        <v>17950</v>
      </c>
      <c r="E357" s="17">
        <v>10826</v>
      </c>
      <c r="F357" s="3" t="s">
        <v>249</v>
      </c>
      <c r="G357" s="3" t="s">
        <v>252</v>
      </c>
      <c r="I357" s="3">
        <v>3283</v>
      </c>
      <c r="AU357" s="22">
        <f t="shared" si="37"/>
        <v>3283</v>
      </c>
      <c r="AV357" s="3">
        <v>2100.6</v>
      </c>
      <c r="AW357" s="3">
        <v>251.4</v>
      </c>
      <c r="AX357" s="3">
        <v>791</v>
      </c>
      <c r="AY357" s="3">
        <v>140</v>
      </c>
      <c r="CH357" s="22">
        <f t="shared" si="38"/>
        <v>3283</v>
      </c>
      <c r="CI357" s="3">
        <f t="shared" si="39"/>
        <v>0</v>
      </c>
      <c r="CJ357" s="17">
        <f t="shared" si="40"/>
        <v>10826</v>
      </c>
      <c r="CK357" s="3" t="str">
        <f t="shared" si="41"/>
        <v>خدمة عامة</v>
      </c>
    </row>
    <row r="358" spans="3:89" x14ac:dyDescent="0.25">
      <c r="D358" s="17">
        <v>17951</v>
      </c>
      <c r="E358" s="11">
        <v>10827</v>
      </c>
      <c r="F358" s="3" t="s">
        <v>249</v>
      </c>
      <c r="G358" s="3" t="s">
        <v>252</v>
      </c>
      <c r="I358" s="3">
        <v>469</v>
      </c>
      <c r="AU358" s="22">
        <f t="shared" si="37"/>
        <v>469</v>
      </c>
      <c r="AV358" s="3">
        <v>294</v>
      </c>
      <c r="AW358" s="3">
        <v>42</v>
      </c>
      <c r="AX358" s="3">
        <v>113</v>
      </c>
      <c r="AY358" s="3">
        <v>20</v>
      </c>
      <c r="CH358" s="22">
        <f t="shared" si="38"/>
        <v>469</v>
      </c>
      <c r="CI358" s="3">
        <f t="shared" si="39"/>
        <v>0</v>
      </c>
      <c r="CJ358" s="17">
        <f t="shared" si="40"/>
        <v>10827</v>
      </c>
      <c r="CK358" s="3" t="str">
        <f t="shared" si="41"/>
        <v>خدمة عامة</v>
      </c>
    </row>
    <row r="359" spans="3:89" x14ac:dyDescent="0.25">
      <c r="D359" s="17">
        <v>16426</v>
      </c>
      <c r="E359" s="11">
        <v>10828</v>
      </c>
      <c r="F359" s="3" t="s">
        <v>249</v>
      </c>
      <c r="G359" s="3" t="s">
        <v>253</v>
      </c>
      <c r="I359" s="3">
        <v>4455.5</v>
      </c>
      <c r="AU359" s="22">
        <f t="shared" si="37"/>
        <v>4455.5</v>
      </c>
      <c r="AV359" s="3">
        <v>2787</v>
      </c>
      <c r="AW359" s="3">
        <f>380+25</f>
        <v>405</v>
      </c>
      <c r="AX359" s="3">
        <v>1073.5</v>
      </c>
      <c r="AY359" s="3">
        <v>190</v>
      </c>
      <c r="CH359" s="22">
        <f t="shared" si="38"/>
        <v>4455.5</v>
      </c>
      <c r="CI359" s="3">
        <f t="shared" si="39"/>
        <v>0</v>
      </c>
      <c r="CJ359" s="17">
        <f t="shared" si="40"/>
        <v>10828</v>
      </c>
      <c r="CK359" s="3" t="str">
        <f t="shared" si="41"/>
        <v>خدمة عامة</v>
      </c>
    </row>
    <row r="360" spans="3:89" x14ac:dyDescent="0.25">
      <c r="D360" s="17">
        <v>16427</v>
      </c>
      <c r="E360" s="17">
        <v>10829</v>
      </c>
      <c r="F360" s="3" t="s">
        <v>249</v>
      </c>
      <c r="G360" s="3" t="s">
        <v>254</v>
      </c>
      <c r="I360" s="3">
        <v>6566</v>
      </c>
      <c r="AU360" s="22">
        <f t="shared" si="37"/>
        <v>6566</v>
      </c>
      <c r="AV360" s="3">
        <v>4107.3</v>
      </c>
      <c r="AW360" s="3">
        <f>36.7+560</f>
        <v>596.70000000000005</v>
      </c>
      <c r="AX360" s="3">
        <v>1582</v>
      </c>
      <c r="AY360" s="3">
        <v>280</v>
      </c>
      <c r="CH360" s="22">
        <f t="shared" si="38"/>
        <v>6566</v>
      </c>
      <c r="CI360" s="3">
        <f t="shared" si="39"/>
        <v>0</v>
      </c>
      <c r="CJ360" s="17">
        <f t="shared" si="40"/>
        <v>10829</v>
      </c>
      <c r="CK360" s="3" t="str">
        <f t="shared" si="41"/>
        <v>خدمة عامة</v>
      </c>
    </row>
    <row r="361" spans="3:89" x14ac:dyDescent="0.25">
      <c r="D361" s="17">
        <v>16428</v>
      </c>
      <c r="E361" s="11">
        <v>10830</v>
      </c>
      <c r="F361" s="3" t="s">
        <v>249</v>
      </c>
      <c r="G361" s="3" t="s">
        <v>254</v>
      </c>
      <c r="I361" s="3">
        <v>703.5</v>
      </c>
      <c r="AU361" s="22">
        <f t="shared" si="37"/>
        <v>703.5</v>
      </c>
      <c r="AV361" s="3">
        <v>441.1</v>
      </c>
      <c r="AW361" s="3">
        <v>62.9</v>
      </c>
      <c r="AX361" s="3">
        <v>169.5</v>
      </c>
      <c r="AY361" s="3">
        <v>30</v>
      </c>
      <c r="CH361" s="22">
        <f t="shared" si="38"/>
        <v>703.5</v>
      </c>
      <c r="CI361" s="3">
        <f t="shared" si="39"/>
        <v>0</v>
      </c>
      <c r="CJ361" s="17">
        <f t="shared" si="40"/>
        <v>10830</v>
      </c>
      <c r="CK361" s="3" t="str">
        <f t="shared" si="41"/>
        <v>خدمة عامة</v>
      </c>
    </row>
    <row r="362" spans="3:89" x14ac:dyDescent="0.25">
      <c r="D362" s="17">
        <v>17953</v>
      </c>
      <c r="E362" s="11">
        <v>10831</v>
      </c>
      <c r="F362" s="3" t="s">
        <v>249</v>
      </c>
      <c r="G362" s="3" t="s">
        <v>255</v>
      </c>
      <c r="I362" s="3">
        <v>3500</v>
      </c>
      <c r="AU362" s="22">
        <f t="shared" si="37"/>
        <v>3500</v>
      </c>
      <c r="AV362" s="3">
        <v>2949.1</v>
      </c>
      <c r="AW362" s="3">
        <v>375.9</v>
      </c>
      <c r="AY362" s="3">
        <v>175</v>
      </c>
      <c r="CH362" s="22">
        <f t="shared" si="38"/>
        <v>3500</v>
      </c>
      <c r="CI362" s="3">
        <f t="shared" si="39"/>
        <v>0</v>
      </c>
      <c r="CJ362" s="17">
        <f t="shared" si="40"/>
        <v>10831</v>
      </c>
      <c r="CK362" s="3" t="str">
        <f t="shared" si="41"/>
        <v>خدمة عامة</v>
      </c>
    </row>
    <row r="363" spans="3:89" x14ac:dyDescent="0.25">
      <c r="D363" s="17">
        <v>17954</v>
      </c>
      <c r="E363" s="17">
        <v>10832</v>
      </c>
      <c r="F363" s="3" t="s">
        <v>249</v>
      </c>
      <c r="G363" s="3" t="s">
        <v>255</v>
      </c>
      <c r="I363" s="3">
        <v>820.75</v>
      </c>
      <c r="AU363" s="22">
        <f t="shared" si="37"/>
        <v>820.75</v>
      </c>
      <c r="AV363" s="3">
        <v>513.95000000000005</v>
      </c>
      <c r="AW363" s="3">
        <v>74.05</v>
      </c>
      <c r="AX363" s="3">
        <v>197.75</v>
      </c>
      <c r="AY363" s="3">
        <v>35</v>
      </c>
      <c r="CH363" s="22">
        <f t="shared" si="38"/>
        <v>820.75</v>
      </c>
      <c r="CI363" s="3">
        <f t="shared" si="39"/>
        <v>0</v>
      </c>
      <c r="CJ363" s="17">
        <f t="shared" si="40"/>
        <v>10832</v>
      </c>
      <c r="CK363" s="3" t="str">
        <f t="shared" si="41"/>
        <v>خدمة عامة</v>
      </c>
    </row>
    <row r="364" spans="3:89" x14ac:dyDescent="0.25">
      <c r="D364" s="17">
        <v>17952</v>
      </c>
      <c r="E364" s="11">
        <v>10833</v>
      </c>
      <c r="F364" s="3" t="s">
        <v>249</v>
      </c>
      <c r="G364" s="3" t="s">
        <v>255</v>
      </c>
      <c r="I364" s="3">
        <v>4336.21</v>
      </c>
      <c r="AU364" s="22">
        <f t="shared" si="37"/>
        <v>4336.21</v>
      </c>
      <c r="AV364" s="3">
        <v>3157.9</v>
      </c>
      <c r="AW364" s="3">
        <v>427.7</v>
      </c>
      <c r="AX364" s="3">
        <v>550.61</v>
      </c>
      <c r="AY364" s="3">
        <v>200</v>
      </c>
      <c r="CH364" s="22">
        <f t="shared" si="38"/>
        <v>4336.21</v>
      </c>
      <c r="CI364" s="3">
        <f t="shared" si="39"/>
        <v>0</v>
      </c>
      <c r="CJ364" s="17">
        <f t="shared" si="40"/>
        <v>10833</v>
      </c>
      <c r="CK364" s="3" t="str">
        <f t="shared" si="41"/>
        <v>خدمة عامة</v>
      </c>
    </row>
    <row r="365" spans="3:89" x14ac:dyDescent="0.25">
      <c r="D365" s="17">
        <v>17766</v>
      </c>
      <c r="E365" s="11">
        <v>10834</v>
      </c>
      <c r="F365" s="3" t="s">
        <v>249</v>
      </c>
      <c r="G365" s="3" t="s">
        <v>256</v>
      </c>
      <c r="I365" s="3">
        <v>703.5</v>
      </c>
      <c r="AU365" s="22">
        <f t="shared" si="37"/>
        <v>703.5</v>
      </c>
      <c r="AV365" s="3">
        <v>441.1</v>
      </c>
      <c r="AW365" s="3">
        <v>62.9</v>
      </c>
      <c r="AX365" s="3">
        <f>72+7.5+6+18+6+54+6</f>
        <v>169.5</v>
      </c>
      <c r="AY365" s="3">
        <v>30</v>
      </c>
      <c r="CH365" s="22">
        <f t="shared" si="38"/>
        <v>703.5</v>
      </c>
      <c r="CI365" s="3">
        <f t="shared" si="39"/>
        <v>0</v>
      </c>
      <c r="CJ365" s="17">
        <f t="shared" si="40"/>
        <v>10834</v>
      </c>
      <c r="CK365" s="3" t="str">
        <f t="shared" si="41"/>
        <v>خدمة عامة</v>
      </c>
    </row>
    <row r="366" spans="3:89" x14ac:dyDescent="0.25">
      <c r="D366" s="17">
        <v>17765</v>
      </c>
      <c r="E366" s="17">
        <v>10835</v>
      </c>
      <c r="F366" s="3" t="s">
        <v>249</v>
      </c>
      <c r="G366" s="3" t="s">
        <v>256</v>
      </c>
      <c r="I366" s="3">
        <v>6683.25</v>
      </c>
      <c r="AU366" s="22">
        <f t="shared" si="37"/>
        <v>6683.25</v>
      </c>
      <c r="AV366" s="3">
        <v>4180.6499999999996</v>
      </c>
      <c r="AW366" s="3">
        <f>37.35+570</f>
        <v>607.35</v>
      </c>
      <c r="AX366" s="3">
        <f>684+71.25+57+171+57+513+57</f>
        <v>1610.25</v>
      </c>
      <c r="AY366" s="3">
        <v>285</v>
      </c>
      <c r="CH366" s="22">
        <f t="shared" si="38"/>
        <v>6683.25</v>
      </c>
      <c r="CI366" s="3">
        <f t="shared" si="39"/>
        <v>0</v>
      </c>
      <c r="CJ366" s="17">
        <f t="shared" si="40"/>
        <v>10835</v>
      </c>
      <c r="CK366" s="3" t="str">
        <f t="shared" si="41"/>
        <v>خدمة عامة</v>
      </c>
    </row>
    <row r="367" spans="3:89" x14ac:dyDescent="0.25">
      <c r="D367" s="17">
        <v>17763</v>
      </c>
      <c r="E367" s="11">
        <v>10836</v>
      </c>
      <c r="F367" s="3" t="s">
        <v>249</v>
      </c>
      <c r="G367" s="3" t="s">
        <v>256</v>
      </c>
      <c r="I367" s="3">
        <v>6000</v>
      </c>
      <c r="AU367" s="22">
        <f t="shared" si="37"/>
        <v>6000</v>
      </c>
      <c r="AV367" s="3">
        <v>5055.7</v>
      </c>
      <c r="AW367" s="3">
        <v>644.29999999999995</v>
      </c>
      <c r="AY367" s="3">
        <v>300</v>
      </c>
      <c r="CH367" s="22">
        <f t="shared" si="38"/>
        <v>6000</v>
      </c>
      <c r="CI367" s="3">
        <f t="shared" si="39"/>
        <v>0</v>
      </c>
      <c r="CJ367" s="17">
        <f t="shared" si="40"/>
        <v>10836</v>
      </c>
      <c r="CK367" s="3" t="str">
        <f t="shared" si="41"/>
        <v>خدمة عامة</v>
      </c>
    </row>
    <row r="368" spans="3:89" x14ac:dyDescent="0.25">
      <c r="D368" s="17">
        <v>17764</v>
      </c>
      <c r="E368" s="11">
        <v>10837</v>
      </c>
      <c r="F368" s="3" t="s">
        <v>249</v>
      </c>
      <c r="G368" s="3" t="s">
        <v>256</v>
      </c>
      <c r="I368" s="3">
        <v>2345</v>
      </c>
      <c r="AU368" s="22">
        <f t="shared" si="37"/>
        <v>2345</v>
      </c>
      <c r="AV368" s="3">
        <v>1467.7</v>
      </c>
      <c r="AW368" s="3">
        <v>212.3</v>
      </c>
      <c r="AX368" s="3">
        <f>240+25+100+200</f>
        <v>565</v>
      </c>
      <c r="AY368" s="3">
        <v>100</v>
      </c>
      <c r="CH368" s="22">
        <f t="shared" si="38"/>
        <v>2345</v>
      </c>
      <c r="CI368" s="3">
        <f t="shared" si="39"/>
        <v>0</v>
      </c>
      <c r="CJ368" s="17">
        <f t="shared" si="40"/>
        <v>10837</v>
      </c>
      <c r="CK368" s="3" t="str">
        <f t="shared" si="41"/>
        <v>خدمة عامة</v>
      </c>
    </row>
    <row r="369" spans="3:89" x14ac:dyDescent="0.25">
      <c r="D369" s="17">
        <v>17622</v>
      </c>
      <c r="E369" s="17">
        <v>10838</v>
      </c>
      <c r="F369" s="3" t="s">
        <v>249</v>
      </c>
      <c r="G369" s="3" t="s">
        <v>257</v>
      </c>
      <c r="I369" s="3">
        <v>4250.28</v>
      </c>
      <c r="AU369" s="22">
        <f t="shared" si="37"/>
        <v>4250.28</v>
      </c>
      <c r="AV369" s="3">
        <v>2746.33</v>
      </c>
      <c r="AW369" s="3">
        <v>387.65</v>
      </c>
      <c r="AX369" s="3">
        <v>932.25</v>
      </c>
      <c r="AY369" s="3">
        <v>184.05</v>
      </c>
      <c r="CH369" s="22">
        <f t="shared" si="38"/>
        <v>4250.28</v>
      </c>
      <c r="CI369" s="3">
        <f t="shared" si="39"/>
        <v>0</v>
      </c>
      <c r="CJ369" s="17">
        <f t="shared" si="40"/>
        <v>10838</v>
      </c>
      <c r="CK369" s="3" t="str">
        <f t="shared" si="41"/>
        <v>خدمة عامة</v>
      </c>
    </row>
    <row r="370" spans="3:89" x14ac:dyDescent="0.25">
      <c r="C370" s="3"/>
      <c r="D370" s="17">
        <v>17955</v>
      </c>
      <c r="E370" s="11">
        <v>10839</v>
      </c>
      <c r="F370" s="3" t="s">
        <v>249</v>
      </c>
      <c r="G370" s="3" t="s">
        <v>251</v>
      </c>
      <c r="I370" s="3">
        <v>133107.23000000001</v>
      </c>
      <c r="AU370" s="22">
        <f t="shared" ref="AU370:AU401" si="42">SUM(I370:AS370)</f>
        <v>133107.23000000001</v>
      </c>
      <c r="AV370" s="3">
        <v>98879.039999999994</v>
      </c>
      <c r="AW370" s="3">
        <v>13329.35</v>
      </c>
      <c r="AX370" s="3">
        <v>14692.04</v>
      </c>
      <c r="AY370" s="3">
        <v>6206.8</v>
      </c>
      <c r="CH370" s="22">
        <f t="shared" ref="CH370:CH401" si="43">SUM(AV370:CG370)</f>
        <v>133107.22999999998</v>
      </c>
      <c r="CI370" s="3">
        <f t="shared" ref="CI370:CI401" si="44">+CH370-AU370</f>
        <v>0</v>
      </c>
      <c r="CJ370" s="17">
        <f t="shared" ref="CJ370:CJ401" si="45">+E370</f>
        <v>10839</v>
      </c>
      <c r="CK370" s="3" t="str">
        <f t="shared" ref="CK370:CK401" si="46">+F370</f>
        <v>خدمة عامة</v>
      </c>
    </row>
    <row r="371" spans="3:89" x14ac:dyDescent="0.25">
      <c r="D371" s="17">
        <v>17781</v>
      </c>
      <c r="E371" s="11">
        <v>10840</v>
      </c>
      <c r="F371" s="3" t="s">
        <v>121</v>
      </c>
      <c r="G371" s="3" t="s">
        <v>258</v>
      </c>
      <c r="I371" s="3">
        <v>4911.43</v>
      </c>
      <c r="AU371" s="22">
        <f t="shared" si="42"/>
        <v>4911.43</v>
      </c>
      <c r="AV371" s="3">
        <v>3335.7</v>
      </c>
      <c r="AW371" s="3">
        <v>437.08</v>
      </c>
      <c r="AX371" s="3">
        <v>1138.6500000000001</v>
      </c>
      <c r="CH371" s="22">
        <f t="shared" si="43"/>
        <v>4911.43</v>
      </c>
      <c r="CI371" s="3">
        <f t="shared" si="44"/>
        <v>0</v>
      </c>
      <c r="CJ371" s="17">
        <f t="shared" si="45"/>
        <v>10840</v>
      </c>
      <c r="CK371" s="3" t="str">
        <f t="shared" si="46"/>
        <v>ماليزى اسنان</v>
      </c>
    </row>
    <row r="372" spans="3:89" x14ac:dyDescent="0.25">
      <c r="D372" s="17">
        <v>17780</v>
      </c>
      <c r="E372" s="17">
        <v>10841</v>
      </c>
      <c r="F372" s="3" t="s">
        <v>121</v>
      </c>
      <c r="G372" s="3" t="s">
        <v>258</v>
      </c>
      <c r="I372" s="3">
        <v>867.3</v>
      </c>
      <c r="AU372" s="22">
        <f t="shared" si="42"/>
        <v>867.3</v>
      </c>
      <c r="AV372" s="3">
        <v>581.9</v>
      </c>
      <c r="AW372" s="3">
        <v>76.45</v>
      </c>
      <c r="AX372" s="3">
        <v>208.95</v>
      </c>
      <c r="CH372" s="22">
        <f t="shared" si="43"/>
        <v>867.3</v>
      </c>
      <c r="CI372" s="3">
        <f t="shared" si="44"/>
        <v>0</v>
      </c>
      <c r="CJ372" s="17">
        <f t="shared" si="45"/>
        <v>10841</v>
      </c>
      <c r="CK372" s="3" t="str">
        <f t="shared" si="46"/>
        <v>ماليزى اسنان</v>
      </c>
    </row>
    <row r="373" spans="3:89" x14ac:dyDescent="0.25">
      <c r="C373" s="3"/>
      <c r="D373" s="17">
        <v>17779</v>
      </c>
      <c r="E373" s="11">
        <v>10842</v>
      </c>
      <c r="F373" s="3" t="s">
        <v>121</v>
      </c>
      <c r="G373" s="3" t="s">
        <v>258</v>
      </c>
      <c r="I373" s="3">
        <v>12322.27</v>
      </c>
      <c r="AU373" s="22">
        <f t="shared" si="42"/>
        <v>12322.27</v>
      </c>
      <c r="AV373" s="3">
        <v>8617.33</v>
      </c>
      <c r="AW373" s="3">
        <v>1114.27</v>
      </c>
      <c r="AX373" s="3">
        <v>2590.67</v>
      </c>
      <c r="CH373" s="22">
        <f t="shared" si="43"/>
        <v>12322.27</v>
      </c>
      <c r="CI373" s="3">
        <f t="shared" si="44"/>
        <v>0</v>
      </c>
      <c r="CJ373" s="17">
        <f t="shared" si="45"/>
        <v>10842</v>
      </c>
      <c r="CK373" s="3" t="str">
        <f t="shared" si="46"/>
        <v>ماليزى اسنان</v>
      </c>
    </row>
    <row r="374" spans="3:89" x14ac:dyDescent="0.25">
      <c r="D374" s="17">
        <v>17886</v>
      </c>
      <c r="E374" s="11">
        <v>10843</v>
      </c>
      <c r="F374" s="3" t="s">
        <v>128</v>
      </c>
      <c r="G374" s="3" t="s">
        <v>259</v>
      </c>
      <c r="I374" s="3">
        <v>4739.83</v>
      </c>
      <c r="AU374" s="22">
        <f t="shared" si="42"/>
        <v>4739.83</v>
      </c>
      <c r="AV374" s="3">
        <v>3167.31</v>
      </c>
      <c r="AW374" s="3">
        <v>430.5</v>
      </c>
      <c r="AX374" s="3">
        <v>1142.02</v>
      </c>
      <c r="CH374" s="22">
        <f t="shared" si="43"/>
        <v>4739.83</v>
      </c>
      <c r="CI374" s="3">
        <f t="shared" si="44"/>
        <v>0</v>
      </c>
      <c r="CJ374" s="17">
        <f t="shared" si="45"/>
        <v>10843</v>
      </c>
      <c r="CK374" s="3" t="str">
        <f t="shared" si="46"/>
        <v>مركز مؤتمرات</v>
      </c>
    </row>
    <row r="375" spans="3:89" x14ac:dyDescent="0.25">
      <c r="D375" s="17">
        <v>17887</v>
      </c>
      <c r="E375" s="17">
        <v>10844</v>
      </c>
      <c r="F375" s="3" t="s">
        <v>128</v>
      </c>
      <c r="G375" s="3" t="s">
        <v>259</v>
      </c>
      <c r="I375" s="3">
        <v>3665.39</v>
      </c>
      <c r="AU375" s="22">
        <f t="shared" si="42"/>
        <v>3665.39</v>
      </c>
      <c r="AV375" s="3">
        <v>2562.1799999999998</v>
      </c>
      <c r="AW375" s="3">
        <v>341.05</v>
      </c>
      <c r="AX375" s="3">
        <v>762.16</v>
      </c>
      <c r="CH375" s="22">
        <f t="shared" si="43"/>
        <v>3665.39</v>
      </c>
      <c r="CI375" s="3">
        <f t="shared" si="44"/>
        <v>0</v>
      </c>
      <c r="CJ375" s="17">
        <f t="shared" si="45"/>
        <v>10844</v>
      </c>
      <c r="CK375" s="3" t="str">
        <f t="shared" si="46"/>
        <v>مركز مؤتمرات</v>
      </c>
    </row>
    <row r="376" spans="3:89" x14ac:dyDescent="0.25">
      <c r="D376" s="17">
        <v>17888</v>
      </c>
      <c r="E376" s="11">
        <v>10845</v>
      </c>
      <c r="F376" s="3" t="s">
        <v>128</v>
      </c>
      <c r="G376" s="3" t="s">
        <v>259</v>
      </c>
      <c r="I376" s="3">
        <v>2953.34</v>
      </c>
      <c r="AU376" s="22">
        <f t="shared" si="42"/>
        <v>2953.34</v>
      </c>
      <c r="AV376" s="3">
        <v>1975.82</v>
      </c>
      <c r="AW376" s="3">
        <v>267.85000000000002</v>
      </c>
      <c r="AX376" s="3">
        <v>709.67</v>
      </c>
      <c r="CH376" s="22">
        <f t="shared" si="43"/>
        <v>2953.34</v>
      </c>
      <c r="CI376" s="3">
        <f t="shared" si="44"/>
        <v>0</v>
      </c>
      <c r="CJ376" s="17">
        <f t="shared" si="45"/>
        <v>10845</v>
      </c>
      <c r="CK376" s="3" t="str">
        <f t="shared" si="46"/>
        <v>مركز مؤتمرات</v>
      </c>
    </row>
    <row r="377" spans="3:89" x14ac:dyDescent="0.25">
      <c r="D377" s="17">
        <v>17889</v>
      </c>
      <c r="E377" s="11">
        <v>10846</v>
      </c>
      <c r="F377" s="3" t="s">
        <v>128</v>
      </c>
      <c r="G377" s="3" t="s">
        <v>259</v>
      </c>
      <c r="I377" s="3">
        <v>28179.65</v>
      </c>
      <c r="AU377" s="22">
        <f t="shared" si="42"/>
        <v>28179.65</v>
      </c>
      <c r="AV377" s="3">
        <v>19306.72</v>
      </c>
      <c r="AW377" s="3">
        <v>2593</v>
      </c>
      <c r="AX377" s="3">
        <v>6279.93</v>
      </c>
      <c r="CH377" s="22">
        <f t="shared" si="43"/>
        <v>28179.65</v>
      </c>
      <c r="CI377" s="3">
        <f t="shared" si="44"/>
        <v>0</v>
      </c>
      <c r="CJ377" s="17">
        <f t="shared" si="45"/>
        <v>10846</v>
      </c>
      <c r="CK377" s="3" t="str">
        <f t="shared" si="46"/>
        <v>مركز مؤتمرات</v>
      </c>
    </row>
    <row r="378" spans="3:89" x14ac:dyDescent="0.25">
      <c r="D378" s="17">
        <v>17885</v>
      </c>
      <c r="E378" s="17">
        <v>10847</v>
      </c>
      <c r="F378" s="3" t="s">
        <v>128</v>
      </c>
      <c r="G378" s="3" t="s">
        <v>259</v>
      </c>
      <c r="I378" s="3">
        <v>2000</v>
      </c>
      <c r="AU378" s="22">
        <f t="shared" si="42"/>
        <v>2000</v>
      </c>
      <c r="AV378" s="3">
        <v>1786.7</v>
      </c>
      <c r="AW378" s="3">
        <v>213.3</v>
      </c>
      <c r="CH378" s="22">
        <f t="shared" si="43"/>
        <v>2000</v>
      </c>
      <c r="CI378" s="3">
        <f t="shared" si="44"/>
        <v>0</v>
      </c>
      <c r="CJ378" s="17">
        <f t="shared" si="45"/>
        <v>10847</v>
      </c>
      <c r="CK378" s="3" t="str">
        <f t="shared" si="46"/>
        <v>مركز مؤتمرات</v>
      </c>
    </row>
    <row r="379" spans="3:89" x14ac:dyDescent="0.25">
      <c r="D379" s="17">
        <v>17884</v>
      </c>
      <c r="E379" s="11">
        <v>10848</v>
      </c>
      <c r="F379" s="3" t="s">
        <v>128</v>
      </c>
      <c r="G379" s="3" t="s">
        <v>247</v>
      </c>
      <c r="I379" s="3">
        <v>2172.5</v>
      </c>
      <c r="AU379" s="22">
        <f t="shared" si="42"/>
        <v>2172.5</v>
      </c>
      <c r="AV379" s="3">
        <v>1677.45</v>
      </c>
      <c r="AW379" s="3">
        <v>212.55</v>
      </c>
      <c r="AX379" s="3">
        <v>282.5</v>
      </c>
      <c r="CH379" s="22">
        <f t="shared" si="43"/>
        <v>2172.5</v>
      </c>
      <c r="CI379" s="3">
        <f t="shared" si="44"/>
        <v>0</v>
      </c>
      <c r="CJ379" s="17">
        <f t="shared" si="45"/>
        <v>10848</v>
      </c>
      <c r="CK379" s="3" t="str">
        <f t="shared" si="46"/>
        <v>مركز مؤتمرات</v>
      </c>
    </row>
    <row r="380" spans="3:89" x14ac:dyDescent="0.25">
      <c r="D380" s="17">
        <v>17882</v>
      </c>
      <c r="E380" s="11">
        <v>10849</v>
      </c>
      <c r="F380" s="3" t="s">
        <v>128</v>
      </c>
      <c r="G380" s="3" t="s">
        <v>260</v>
      </c>
      <c r="I380" s="3">
        <v>703.5</v>
      </c>
      <c r="AU380" s="22">
        <f t="shared" si="42"/>
        <v>703.5</v>
      </c>
      <c r="AV380" s="3">
        <v>470.7</v>
      </c>
      <c r="AW380" s="3">
        <v>63.3</v>
      </c>
      <c r="AX380" s="3">
        <v>169.5</v>
      </c>
      <c r="CH380" s="22">
        <f t="shared" si="43"/>
        <v>703.5</v>
      </c>
      <c r="CI380" s="3">
        <f t="shared" si="44"/>
        <v>0</v>
      </c>
      <c r="CJ380" s="17">
        <f t="shared" si="45"/>
        <v>10849</v>
      </c>
      <c r="CK380" s="3" t="str">
        <f t="shared" si="46"/>
        <v>مركز مؤتمرات</v>
      </c>
    </row>
    <row r="381" spans="3:89" x14ac:dyDescent="0.25">
      <c r="D381" s="17">
        <v>17883</v>
      </c>
      <c r="E381" s="17">
        <v>10850</v>
      </c>
      <c r="F381" s="3" t="s">
        <v>128</v>
      </c>
      <c r="G381" s="3" t="s">
        <v>260</v>
      </c>
      <c r="I381" s="3">
        <v>4992.72</v>
      </c>
      <c r="AU381" s="22">
        <f t="shared" si="42"/>
        <v>4992.72</v>
      </c>
      <c r="AV381" s="3">
        <v>3480.02</v>
      </c>
      <c r="AW381" s="3">
        <v>463.4</v>
      </c>
      <c r="AX381" s="3">
        <v>1049.3</v>
      </c>
      <c r="CH381" s="22">
        <f t="shared" si="43"/>
        <v>4992.72</v>
      </c>
      <c r="CI381" s="3">
        <f t="shared" si="44"/>
        <v>0</v>
      </c>
      <c r="CJ381" s="17">
        <f t="shared" si="45"/>
        <v>10850</v>
      </c>
      <c r="CK381" s="3" t="str">
        <f t="shared" si="46"/>
        <v>مركز مؤتمرات</v>
      </c>
    </row>
    <row r="382" spans="3:89" x14ac:dyDescent="0.25">
      <c r="D382" s="17">
        <v>17957</v>
      </c>
      <c r="E382" s="11">
        <v>10851</v>
      </c>
      <c r="F382" s="3" t="s">
        <v>128</v>
      </c>
      <c r="G382" s="3" t="s">
        <v>260</v>
      </c>
      <c r="I382" s="3">
        <v>11769.01</v>
      </c>
      <c r="AU382" s="22">
        <f t="shared" si="42"/>
        <v>11769.01</v>
      </c>
      <c r="AV382" s="3">
        <v>9340.9</v>
      </c>
      <c r="AW382" s="3">
        <v>1176.9000000000001</v>
      </c>
      <c r="AX382" s="3">
        <v>1251.21</v>
      </c>
      <c r="CH382" s="22">
        <f t="shared" si="43"/>
        <v>11769.009999999998</v>
      </c>
      <c r="CI382" s="3">
        <f t="shared" si="44"/>
        <v>0</v>
      </c>
      <c r="CJ382" s="17">
        <f t="shared" si="45"/>
        <v>10851</v>
      </c>
      <c r="CK382" s="3" t="str">
        <f t="shared" si="46"/>
        <v>مركز مؤتمرات</v>
      </c>
    </row>
    <row r="383" spans="3:89" x14ac:dyDescent="0.25">
      <c r="C383" s="3"/>
      <c r="D383" s="19">
        <v>17915</v>
      </c>
      <c r="E383" s="11">
        <v>10852</v>
      </c>
      <c r="F383" s="3" t="s">
        <v>78</v>
      </c>
      <c r="G383" s="19" t="s">
        <v>261</v>
      </c>
      <c r="I383" s="19">
        <v>3693.38</v>
      </c>
      <c r="AU383" s="22">
        <f t="shared" si="42"/>
        <v>3693.38</v>
      </c>
      <c r="AV383" s="19">
        <v>2468.9</v>
      </c>
      <c r="AW383" s="19">
        <v>334.6</v>
      </c>
      <c r="AX383" s="19">
        <v>889.88</v>
      </c>
      <c r="CH383" s="22">
        <f t="shared" si="43"/>
        <v>3693.38</v>
      </c>
      <c r="CI383" s="3">
        <f t="shared" si="44"/>
        <v>0</v>
      </c>
      <c r="CJ383" s="17">
        <f t="shared" si="45"/>
        <v>10852</v>
      </c>
      <c r="CK383" s="3" t="str">
        <f t="shared" si="46"/>
        <v>برنامج دولى</v>
      </c>
    </row>
    <row r="384" spans="3:89" x14ac:dyDescent="0.25">
      <c r="D384" s="19">
        <v>17916</v>
      </c>
      <c r="E384" s="17">
        <v>10853</v>
      </c>
      <c r="F384" s="3" t="s">
        <v>78</v>
      </c>
      <c r="G384" s="19" t="s">
        <v>261</v>
      </c>
      <c r="I384" s="19">
        <v>1113.8800000000001</v>
      </c>
      <c r="AU384" s="22">
        <f t="shared" si="42"/>
        <v>1113.8800000000001</v>
      </c>
      <c r="AV384" s="19">
        <v>744.9</v>
      </c>
      <c r="AW384" s="19">
        <v>100.6</v>
      </c>
      <c r="AX384" s="19">
        <v>268.38</v>
      </c>
      <c r="CH384" s="22">
        <f t="shared" si="43"/>
        <v>1113.8800000000001</v>
      </c>
      <c r="CI384" s="3">
        <f t="shared" si="44"/>
        <v>0</v>
      </c>
      <c r="CJ384" s="17">
        <f t="shared" si="45"/>
        <v>10853</v>
      </c>
      <c r="CK384" s="3" t="str">
        <f t="shared" si="46"/>
        <v>برنامج دولى</v>
      </c>
    </row>
    <row r="385" spans="4:89" x14ac:dyDescent="0.25">
      <c r="D385" s="19">
        <v>17917</v>
      </c>
      <c r="E385" s="11">
        <v>10854</v>
      </c>
      <c r="F385" s="3" t="s">
        <v>78</v>
      </c>
      <c r="G385" s="19" t="s">
        <v>261</v>
      </c>
      <c r="I385" s="19">
        <v>3079.5</v>
      </c>
      <c r="AU385" s="22">
        <f t="shared" si="42"/>
        <v>3079.5</v>
      </c>
      <c r="AV385" s="19">
        <v>2171.0500000000002</v>
      </c>
      <c r="AW385" s="19">
        <v>286.95</v>
      </c>
      <c r="AX385" s="19">
        <v>621.5</v>
      </c>
      <c r="CH385" s="22">
        <f t="shared" si="43"/>
        <v>3079.5</v>
      </c>
      <c r="CI385" s="3">
        <f t="shared" si="44"/>
        <v>0</v>
      </c>
      <c r="CJ385" s="17">
        <f t="shared" si="45"/>
        <v>10854</v>
      </c>
      <c r="CK385" s="3" t="str">
        <f t="shared" si="46"/>
        <v>برنامج دولى</v>
      </c>
    </row>
    <row r="386" spans="4:89" x14ac:dyDescent="0.25">
      <c r="D386" s="19">
        <v>17918</v>
      </c>
      <c r="E386" s="11">
        <v>10855</v>
      </c>
      <c r="F386" s="3" t="s">
        <v>78</v>
      </c>
      <c r="G386" s="19" t="s">
        <v>261</v>
      </c>
      <c r="I386" s="19">
        <v>1289.75</v>
      </c>
      <c r="AU386" s="22">
        <f t="shared" si="42"/>
        <v>1289.75</v>
      </c>
      <c r="AV386" s="19">
        <v>862</v>
      </c>
      <c r="AW386" s="19">
        <v>117</v>
      </c>
      <c r="AX386" s="19">
        <v>310.75</v>
      </c>
      <c r="CH386" s="22">
        <f t="shared" si="43"/>
        <v>1289.75</v>
      </c>
      <c r="CI386" s="3">
        <f t="shared" si="44"/>
        <v>0</v>
      </c>
      <c r="CJ386" s="17">
        <f t="shared" si="45"/>
        <v>10855</v>
      </c>
      <c r="CK386" s="3" t="str">
        <f t="shared" si="46"/>
        <v>برنامج دولى</v>
      </c>
    </row>
    <row r="387" spans="4:89" x14ac:dyDescent="0.25">
      <c r="D387" s="19">
        <v>17919</v>
      </c>
      <c r="E387" s="17">
        <v>10856</v>
      </c>
      <c r="F387" s="3" t="s">
        <v>78</v>
      </c>
      <c r="G387" s="19" t="s">
        <v>262</v>
      </c>
      <c r="I387" s="19">
        <v>11293.75</v>
      </c>
      <c r="AU387" s="22">
        <f t="shared" si="42"/>
        <v>11293.75</v>
      </c>
      <c r="AV387" s="19">
        <v>8108.35</v>
      </c>
      <c r="AW387" s="19">
        <v>1066.6500000000001</v>
      </c>
      <c r="AX387" s="19">
        <v>2118.75</v>
      </c>
      <c r="CH387" s="22">
        <f t="shared" si="43"/>
        <v>11293.75</v>
      </c>
      <c r="CI387" s="3">
        <f t="shared" si="44"/>
        <v>0</v>
      </c>
      <c r="CJ387" s="17">
        <f t="shared" si="45"/>
        <v>10856</v>
      </c>
      <c r="CK387" s="3" t="str">
        <f t="shared" si="46"/>
        <v>برنامج دولى</v>
      </c>
    </row>
    <row r="388" spans="4:89" x14ac:dyDescent="0.25">
      <c r="D388" s="19">
        <v>17920</v>
      </c>
      <c r="E388" s="11">
        <v>10857</v>
      </c>
      <c r="F388" s="3" t="s">
        <v>78</v>
      </c>
      <c r="G388" s="19" t="s">
        <v>262</v>
      </c>
      <c r="I388" s="19">
        <v>1758.75</v>
      </c>
      <c r="AU388" s="22">
        <f t="shared" si="42"/>
        <v>1758.75</v>
      </c>
      <c r="AV388" s="19">
        <v>1175.3499999999999</v>
      </c>
      <c r="AW388" s="19">
        <v>159.65</v>
      </c>
      <c r="AX388" s="19">
        <v>423.75</v>
      </c>
      <c r="CH388" s="22">
        <f t="shared" si="43"/>
        <v>1758.75</v>
      </c>
      <c r="CI388" s="3">
        <f t="shared" si="44"/>
        <v>0</v>
      </c>
      <c r="CJ388" s="17">
        <f t="shared" si="45"/>
        <v>10857</v>
      </c>
      <c r="CK388" s="3" t="str">
        <f t="shared" si="46"/>
        <v>برنامج دولى</v>
      </c>
    </row>
    <row r="389" spans="4:89" x14ac:dyDescent="0.25">
      <c r="D389" s="19">
        <v>17921</v>
      </c>
      <c r="E389" s="11">
        <v>10858</v>
      </c>
      <c r="F389" s="3" t="s">
        <v>78</v>
      </c>
      <c r="G389" s="19" t="s">
        <v>263</v>
      </c>
      <c r="I389" s="19">
        <v>1758.75</v>
      </c>
      <c r="AU389" s="22">
        <f t="shared" si="42"/>
        <v>1758.75</v>
      </c>
      <c r="AV389" s="19">
        <v>1175.3499999999999</v>
      </c>
      <c r="AW389" s="19">
        <v>159.65</v>
      </c>
      <c r="AX389" s="19">
        <v>423.75</v>
      </c>
      <c r="CH389" s="22">
        <f t="shared" si="43"/>
        <v>1758.75</v>
      </c>
      <c r="CI389" s="3">
        <f t="shared" si="44"/>
        <v>0</v>
      </c>
      <c r="CJ389" s="17">
        <f t="shared" si="45"/>
        <v>10858</v>
      </c>
      <c r="CK389" s="3" t="str">
        <f t="shared" si="46"/>
        <v>برنامج دولى</v>
      </c>
    </row>
    <row r="390" spans="4:89" x14ac:dyDescent="0.25">
      <c r="D390" s="19">
        <v>17922</v>
      </c>
      <c r="E390" s="17">
        <v>10859</v>
      </c>
      <c r="F390" s="3" t="s">
        <v>78</v>
      </c>
      <c r="G390" s="19" t="s">
        <v>264</v>
      </c>
      <c r="I390" s="19">
        <v>1407</v>
      </c>
      <c r="AU390" s="22">
        <f t="shared" si="42"/>
        <v>1407</v>
      </c>
      <c r="AV390" s="19">
        <v>940.35</v>
      </c>
      <c r="AW390" s="19">
        <v>127.65</v>
      </c>
      <c r="AX390" s="19">
        <v>339</v>
      </c>
      <c r="CH390" s="22">
        <f t="shared" si="43"/>
        <v>1407</v>
      </c>
      <c r="CI390" s="3">
        <f t="shared" si="44"/>
        <v>0</v>
      </c>
      <c r="CJ390" s="17">
        <f t="shared" si="45"/>
        <v>10859</v>
      </c>
      <c r="CK390" s="3" t="str">
        <f t="shared" si="46"/>
        <v>برنامج دولى</v>
      </c>
    </row>
    <row r="391" spans="4:89" x14ac:dyDescent="0.25">
      <c r="D391" s="19">
        <v>17633</v>
      </c>
      <c r="E391" s="11">
        <v>10860</v>
      </c>
      <c r="F391" s="3" t="s">
        <v>78</v>
      </c>
      <c r="G391" s="19" t="s">
        <v>265</v>
      </c>
      <c r="I391" s="19">
        <v>1020.88</v>
      </c>
      <c r="AU391" s="22">
        <f t="shared" si="42"/>
        <v>1020.88</v>
      </c>
      <c r="AV391" s="19">
        <v>682.74</v>
      </c>
      <c r="AW391" s="19">
        <v>92.17</v>
      </c>
      <c r="AX391" s="19">
        <v>245.97</v>
      </c>
      <c r="CH391" s="22">
        <f t="shared" si="43"/>
        <v>1020.88</v>
      </c>
      <c r="CI391" s="3">
        <f t="shared" si="44"/>
        <v>0</v>
      </c>
      <c r="CJ391" s="17">
        <f t="shared" si="45"/>
        <v>10860</v>
      </c>
      <c r="CK391" s="3" t="str">
        <f t="shared" si="46"/>
        <v>برنامج دولى</v>
      </c>
    </row>
    <row r="392" spans="4:89" x14ac:dyDescent="0.25">
      <c r="D392" s="19">
        <v>17632</v>
      </c>
      <c r="E392" s="11">
        <v>10861</v>
      </c>
      <c r="F392" s="3" t="s">
        <v>78</v>
      </c>
      <c r="G392" s="19" t="s">
        <v>265</v>
      </c>
      <c r="I392" s="19">
        <v>1973.34</v>
      </c>
      <c r="AU392" s="22">
        <f t="shared" si="42"/>
        <v>1973.34</v>
      </c>
      <c r="AV392" s="19">
        <v>1320.82</v>
      </c>
      <c r="AW392" s="19">
        <v>177.05</v>
      </c>
      <c r="AX392" s="19">
        <v>475.47</v>
      </c>
      <c r="CH392" s="22">
        <f t="shared" si="43"/>
        <v>1973.34</v>
      </c>
      <c r="CI392" s="3">
        <f t="shared" si="44"/>
        <v>0</v>
      </c>
      <c r="CJ392" s="17">
        <f t="shared" si="45"/>
        <v>10861</v>
      </c>
      <c r="CK392" s="3" t="str">
        <f t="shared" si="46"/>
        <v>برنامج دولى</v>
      </c>
    </row>
    <row r="393" spans="4:89" x14ac:dyDescent="0.25">
      <c r="D393" s="19">
        <v>17631</v>
      </c>
      <c r="E393" s="17">
        <v>10862</v>
      </c>
      <c r="F393" s="3" t="s">
        <v>78</v>
      </c>
      <c r="G393" s="19" t="s">
        <v>265</v>
      </c>
      <c r="I393" s="19">
        <v>19222.599999999999</v>
      </c>
      <c r="AU393" s="22">
        <f t="shared" si="42"/>
        <v>19222.599999999999</v>
      </c>
      <c r="AV393" s="19">
        <v>17118.34</v>
      </c>
      <c r="AW393" s="19">
        <v>2067.25</v>
      </c>
      <c r="AX393" s="19">
        <v>37.01</v>
      </c>
      <c r="CH393" s="22">
        <f t="shared" si="43"/>
        <v>19222.599999999999</v>
      </c>
      <c r="CI393" s="3">
        <f t="shared" si="44"/>
        <v>0</v>
      </c>
      <c r="CJ393" s="17">
        <f t="shared" si="45"/>
        <v>10862</v>
      </c>
      <c r="CK393" s="3" t="str">
        <f t="shared" si="46"/>
        <v>برنامج دولى</v>
      </c>
    </row>
    <row r="394" spans="4:89" x14ac:dyDescent="0.25">
      <c r="D394" s="19">
        <v>17630</v>
      </c>
      <c r="E394" s="11">
        <v>10863</v>
      </c>
      <c r="F394" s="3" t="s">
        <v>78</v>
      </c>
      <c r="G394" s="19" t="s">
        <v>265</v>
      </c>
      <c r="I394" s="19">
        <v>606.94000000000005</v>
      </c>
      <c r="AU394" s="22">
        <f t="shared" si="42"/>
        <v>606.94000000000005</v>
      </c>
      <c r="AV394" s="19">
        <v>406.03</v>
      </c>
      <c r="AW394" s="19">
        <v>54.66</v>
      </c>
      <c r="AX394" s="19">
        <v>146.25</v>
      </c>
      <c r="CH394" s="22">
        <f t="shared" si="43"/>
        <v>606.93999999999994</v>
      </c>
      <c r="CI394" s="3">
        <f t="shared" si="44"/>
        <v>0</v>
      </c>
      <c r="CJ394" s="17">
        <f t="shared" si="45"/>
        <v>10863</v>
      </c>
      <c r="CK394" s="3" t="str">
        <f t="shared" si="46"/>
        <v>برنامج دولى</v>
      </c>
    </row>
    <row r="395" spans="4:89" x14ac:dyDescent="0.25">
      <c r="D395" s="19">
        <v>17629</v>
      </c>
      <c r="E395" s="11">
        <v>10864</v>
      </c>
      <c r="F395" s="3" t="s">
        <v>78</v>
      </c>
      <c r="G395" s="19" t="s">
        <v>265</v>
      </c>
      <c r="I395" s="19">
        <v>2510.1799999999998</v>
      </c>
      <c r="AU395" s="22">
        <f t="shared" si="42"/>
        <v>2510.1799999999998</v>
      </c>
      <c r="AV395" s="19">
        <v>1680.64</v>
      </c>
      <c r="AW395" s="19">
        <v>224.74</v>
      </c>
      <c r="AX395" s="19">
        <v>604.79999999999995</v>
      </c>
      <c r="CH395" s="22">
        <f t="shared" si="43"/>
        <v>2510.1800000000003</v>
      </c>
      <c r="CI395" s="3">
        <f t="shared" si="44"/>
        <v>0</v>
      </c>
      <c r="CJ395" s="17">
        <f t="shared" si="45"/>
        <v>10864</v>
      </c>
      <c r="CK395" s="3" t="str">
        <f t="shared" si="46"/>
        <v>برنامج دولى</v>
      </c>
    </row>
    <row r="396" spans="4:89" x14ac:dyDescent="0.25">
      <c r="D396" s="19">
        <v>17629</v>
      </c>
      <c r="E396" s="17">
        <v>10865</v>
      </c>
      <c r="F396" s="3" t="s">
        <v>78</v>
      </c>
      <c r="G396" s="19" t="s">
        <v>265</v>
      </c>
      <c r="I396" s="19">
        <v>613.72</v>
      </c>
      <c r="AU396" s="22">
        <f t="shared" si="42"/>
        <v>613.72</v>
      </c>
      <c r="AV396" s="19">
        <v>410.58</v>
      </c>
      <c r="AW396" s="19">
        <v>55.29</v>
      </c>
      <c r="AX396" s="19">
        <v>147.85</v>
      </c>
      <c r="CH396" s="22">
        <f t="shared" si="43"/>
        <v>613.72</v>
      </c>
      <c r="CI396" s="3">
        <f t="shared" si="44"/>
        <v>0</v>
      </c>
      <c r="CJ396" s="17">
        <f t="shared" si="45"/>
        <v>10865</v>
      </c>
      <c r="CK396" s="3" t="str">
        <f t="shared" si="46"/>
        <v>برنامج دولى</v>
      </c>
    </row>
    <row r="397" spans="4:89" x14ac:dyDescent="0.25">
      <c r="D397" s="19">
        <v>17628</v>
      </c>
      <c r="E397" s="11">
        <v>10866</v>
      </c>
      <c r="F397" s="3" t="s">
        <v>78</v>
      </c>
      <c r="G397" s="19" t="s">
        <v>265</v>
      </c>
      <c r="I397" s="19">
        <v>4115.45</v>
      </c>
      <c r="AU397" s="22">
        <f t="shared" si="42"/>
        <v>4115.45</v>
      </c>
      <c r="AV397" s="19">
        <v>2752.76</v>
      </c>
      <c r="AW397" s="19">
        <v>371.15</v>
      </c>
      <c r="AX397" s="19">
        <v>991.54</v>
      </c>
      <c r="CH397" s="22">
        <f t="shared" si="43"/>
        <v>4115.4500000000007</v>
      </c>
      <c r="CI397" s="3">
        <f t="shared" si="44"/>
        <v>0</v>
      </c>
      <c r="CJ397" s="17">
        <f t="shared" si="45"/>
        <v>10866</v>
      </c>
      <c r="CK397" s="3" t="str">
        <f t="shared" si="46"/>
        <v>برنامج دولى</v>
      </c>
    </row>
    <row r="398" spans="4:89" x14ac:dyDescent="0.25">
      <c r="D398" s="19">
        <v>17627</v>
      </c>
      <c r="E398" s="11">
        <v>10867</v>
      </c>
      <c r="F398" s="3" t="s">
        <v>78</v>
      </c>
      <c r="G398" s="19" t="s">
        <v>265</v>
      </c>
      <c r="I398" s="19">
        <v>1876</v>
      </c>
      <c r="AU398" s="22">
        <f t="shared" si="42"/>
        <v>1876</v>
      </c>
      <c r="AV398" s="19">
        <v>1253.7</v>
      </c>
      <c r="AW398" s="19">
        <v>170.3</v>
      </c>
      <c r="AX398" s="19">
        <v>452</v>
      </c>
      <c r="CH398" s="22">
        <f t="shared" si="43"/>
        <v>1876</v>
      </c>
      <c r="CI398" s="3">
        <f t="shared" si="44"/>
        <v>0</v>
      </c>
      <c r="CJ398" s="17">
        <f t="shared" si="45"/>
        <v>10867</v>
      </c>
      <c r="CK398" s="3" t="str">
        <f t="shared" si="46"/>
        <v>برنامج دولى</v>
      </c>
    </row>
    <row r="399" spans="4:89" x14ac:dyDescent="0.25">
      <c r="D399" s="19">
        <v>17626</v>
      </c>
      <c r="E399" s="17">
        <v>10868</v>
      </c>
      <c r="F399" s="3" t="s">
        <v>78</v>
      </c>
      <c r="G399" s="19" t="s">
        <v>265</v>
      </c>
      <c r="I399" s="19">
        <v>8204.5400000000009</v>
      </c>
      <c r="AU399" s="22">
        <f t="shared" si="42"/>
        <v>8204.5400000000009</v>
      </c>
      <c r="AV399" s="19">
        <v>6629.02</v>
      </c>
      <c r="AW399" s="19">
        <v>827.22</v>
      </c>
      <c r="AX399" s="19">
        <v>748.3</v>
      </c>
      <c r="CH399" s="22">
        <f t="shared" si="43"/>
        <v>8204.5400000000009</v>
      </c>
      <c r="CI399" s="3">
        <f t="shared" si="44"/>
        <v>0</v>
      </c>
      <c r="CJ399" s="17">
        <f t="shared" si="45"/>
        <v>10868</v>
      </c>
      <c r="CK399" s="3" t="str">
        <f t="shared" si="46"/>
        <v>برنامج دولى</v>
      </c>
    </row>
    <row r="400" spans="4:89" x14ac:dyDescent="0.25">
      <c r="D400" s="19">
        <v>17625</v>
      </c>
      <c r="E400" s="11">
        <v>10869</v>
      </c>
      <c r="F400" s="3" t="s">
        <v>78</v>
      </c>
      <c r="G400" s="19" t="s">
        <v>265</v>
      </c>
      <c r="I400" s="19">
        <v>2234</v>
      </c>
      <c r="AU400" s="22">
        <f t="shared" si="42"/>
        <v>2234</v>
      </c>
      <c r="AV400" s="19">
        <v>1628.62</v>
      </c>
      <c r="AW400" s="19">
        <v>211.24</v>
      </c>
      <c r="AX400" s="19">
        <v>394.14</v>
      </c>
      <c r="CH400" s="22">
        <f t="shared" si="43"/>
        <v>2234</v>
      </c>
      <c r="CI400" s="3">
        <f t="shared" si="44"/>
        <v>0</v>
      </c>
      <c r="CJ400" s="17">
        <f t="shared" si="45"/>
        <v>10869</v>
      </c>
      <c r="CK400" s="3" t="str">
        <f t="shared" si="46"/>
        <v>برنامج دولى</v>
      </c>
    </row>
    <row r="401" spans="4:89" x14ac:dyDescent="0.25">
      <c r="D401" s="19">
        <v>17624</v>
      </c>
      <c r="E401" s="11">
        <v>10870</v>
      </c>
      <c r="F401" s="3" t="s">
        <v>78</v>
      </c>
      <c r="G401" s="19" t="s">
        <v>265</v>
      </c>
      <c r="I401" s="19">
        <v>1730.6</v>
      </c>
      <c r="AU401" s="22">
        <f t="shared" si="42"/>
        <v>1730.6</v>
      </c>
      <c r="AV401" s="19">
        <v>1157.54</v>
      </c>
      <c r="AW401" s="19">
        <v>156.1</v>
      </c>
      <c r="AX401" s="19">
        <v>416.96</v>
      </c>
      <c r="CH401" s="22">
        <f t="shared" si="43"/>
        <v>1730.6</v>
      </c>
      <c r="CI401" s="3">
        <f t="shared" si="44"/>
        <v>0</v>
      </c>
      <c r="CJ401" s="17">
        <f t="shared" si="45"/>
        <v>10870</v>
      </c>
      <c r="CK401" s="3" t="str">
        <f t="shared" si="46"/>
        <v>برنامج دولى</v>
      </c>
    </row>
    <row r="402" spans="4:89" x14ac:dyDescent="0.25">
      <c r="D402" s="19">
        <v>17890</v>
      </c>
      <c r="E402" s="17">
        <v>10871</v>
      </c>
      <c r="F402" s="3" t="s">
        <v>78</v>
      </c>
      <c r="G402" s="19" t="s">
        <v>266</v>
      </c>
      <c r="I402" s="19">
        <v>50291.040000000001</v>
      </c>
      <c r="AU402" s="22">
        <f t="shared" ref="AU402:AU433" si="47">SUM(I402:AS402)</f>
        <v>50291.040000000001</v>
      </c>
      <c r="AV402" s="19">
        <v>34175.800000000003</v>
      </c>
      <c r="AW402" s="19">
        <v>4600.6000000000004</v>
      </c>
      <c r="AX402" s="19">
        <v>11514.64</v>
      </c>
      <c r="CH402" s="22">
        <f t="shared" ref="CH402:CH433" si="48">SUM(AV402:CG402)</f>
        <v>50291.040000000001</v>
      </c>
      <c r="CI402" s="3">
        <f t="shared" ref="CI402:CI433" si="49">+CH402-AU402</f>
        <v>0</v>
      </c>
      <c r="CJ402" s="17">
        <f t="shared" ref="CJ402:CJ433" si="50">+E402</f>
        <v>10871</v>
      </c>
      <c r="CK402" s="3" t="str">
        <f t="shared" ref="CK402:CK433" si="51">+F402</f>
        <v>برنامج دولى</v>
      </c>
    </row>
    <row r="403" spans="4:89" x14ac:dyDescent="0.25">
      <c r="D403" s="19">
        <v>17891</v>
      </c>
      <c r="E403" s="11">
        <v>10872</v>
      </c>
      <c r="F403" s="3" t="s">
        <v>78</v>
      </c>
      <c r="G403" s="19" t="s">
        <v>266</v>
      </c>
      <c r="I403" s="19">
        <v>961.45</v>
      </c>
      <c r="AU403" s="22">
        <f t="shared" si="47"/>
        <v>961.45</v>
      </c>
      <c r="AV403" s="19">
        <v>643</v>
      </c>
      <c r="AW403" s="19">
        <v>86.8</v>
      </c>
      <c r="AX403" s="19">
        <v>231.65</v>
      </c>
      <c r="CH403" s="22">
        <f t="shared" si="48"/>
        <v>961.44999999999993</v>
      </c>
      <c r="CI403" s="3">
        <f t="shared" si="49"/>
        <v>0</v>
      </c>
      <c r="CJ403" s="17">
        <f t="shared" si="50"/>
        <v>10872</v>
      </c>
      <c r="CK403" s="3" t="str">
        <f t="shared" si="51"/>
        <v>برنامج دولى</v>
      </c>
    </row>
    <row r="404" spans="4:89" x14ac:dyDescent="0.25">
      <c r="D404" s="19">
        <v>17892</v>
      </c>
      <c r="E404" s="11">
        <v>10873</v>
      </c>
      <c r="F404" s="3" t="s">
        <v>78</v>
      </c>
      <c r="G404" s="19" t="s">
        <v>266</v>
      </c>
      <c r="I404" s="19">
        <v>1758.75</v>
      </c>
      <c r="AU404" s="22">
        <f t="shared" si="47"/>
        <v>1758.75</v>
      </c>
      <c r="AV404" s="19">
        <v>1175.3499999999999</v>
      </c>
      <c r="AW404" s="19">
        <v>159.65</v>
      </c>
      <c r="AX404" s="19">
        <v>423.75</v>
      </c>
      <c r="CH404" s="22">
        <f t="shared" si="48"/>
        <v>1758.75</v>
      </c>
      <c r="CI404" s="3">
        <f t="shared" si="49"/>
        <v>0</v>
      </c>
      <c r="CJ404" s="17">
        <f t="shared" si="50"/>
        <v>10873</v>
      </c>
      <c r="CK404" s="3" t="str">
        <f t="shared" si="51"/>
        <v>برنامج دولى</v>
      </c>
    </row>
    <row r="405" spans="4:89" x14ac:dyDescent="0.25">
      <c r="D405" s="19">
        <v>17893</v>
      </c>
      <c r="E405" s="17">
        <v>10874</v>
      </c>
      <c r="F405" s="3" t="s">
        <v>78</v>
      </c>
      <c r="G405" s="19" t="s">
        <v>266</v>
      </c>
      <c r="I405" s="19">
        <v>1360.1</v>
      </c>
      <c r="AU405" s="22">
        <f t="shared" si="47"/>
        <v>1360.1</v>
      </c>
      <c r="AV405" s="19">
        <v>909</v>
      </c>
      <c r="AW405" s="19">
        <v>123.4</v>
      </c>
      <c r="AX405" s="19">
        <v>327.7</v>
      </c>
      <c r="CH405" s="22">
        <f t="shared" si="48"/>
        <v>1360.1000000000001</v>
      </c>
      <c r="CI405" s="3">
        <f t="shared" si="49"/>
        <v>0</v>
      </c>
      <c r="CJ405" s="17">
        <f t="shared" si="50"/>
        <v>10874</v>
      </c>
      <c r="CK405" s="3" t="str">
        <f t="shared" si="51"/>
        <v>برنامج دولى</v>
      </c>
    </row>
    <row r="406" spans="4:89" x14ac:dyDescent="0.25">
      <c r="D406" s="19">
        <v>17894</v>
      </c>
      <c r="E406" s="11">
        <v>10875</v>
      </c>
      <c r="F406" s="3" t="s">
        <v>78</v>
      </c>
      <c r="G406" s="19" t="s">
        <v>266</v>
      </c>
      <c r="I406" s="19">
        <v>1407</v>
      </c>
      <c r="AU406" s="22">
        <f t="shared" si="47"/>
        <v>1407</v>
      </c>
      <c r="AV406" s="19">
        <v>939.35</v>
      </c>
      <c r="AW406" s="19">
        <v>128.65</v>
      </c>
      <c r="AX406" s="19">
        <v>339</v>
      </c>
      <c r="CH406" s="22">
        <f t="shared" si="48"/>
        <v>1407</v>
      </c>
      <c r="CI406" s="3">
        <f t="shared" si="49"/>
        <v>0</v>
      </c>
      <c r="CJ406" s="17">
        <f t="shared" si="50"/>
        <v>10875</v>
      </c>
      <c r="CK406" s="3" t="str">
        <f t="shared" si="51"/>
        <v>برنامج دولى</v>
      </c>
    </row>
    <row r="407" spans="4:89" x14ac:dyDescent="0.25">
      <c r="D407" s="19">
        <v>17895</v>
      </c>
      <c r="E407" s="11">
        <v>10876</v>
      </c>
      <c r="F407" s="3" t="s">
        <v>78</v>
      </c>
      <c r="G407" s="19" t="s">
        <v>267</v>
      </c>
      <c r="I407" s="19">
        <v>1876</v>
      </c>
      <c r="AU407" s="22">
        <f t="shared" si="47"/>
        <v>1876</v>
      </c>
      <c r="AV407" s="19">
        <v>1254.7</v>
      </c>
      <c r="AW407" s="19">
        <v>169.3</v>
      </c>
      <c r="AX407" s="19">
        <v>452</v>
      </c>
      <c r="CH407" s="22">
        <f t="shared" si="48"/>
        <v>1876</v>
      </c>
      <c r="CI407" s="3">
        <f t="shared" si="49"/>
        <v>0</v>
      </c>
      <c r="CJ407" s="17">
        <f t="shared" si="50"/>
        <v>10876</v>
      </c>
      <c r="CK407" s="3" t="str">
        <f t="shared" si="51"/>
        <v>برنامج دولى</v>
      </c>
    </row>
    <row r="408" spans="4:89" x14ac:dyDescent="0.25">
      <c r="D408" s="19">
        <v>17912</v>
      </c>
      <c r="E408" s="17">
        <v>10877</v>
      </c>
      <c r="F408" s="3" t="s">
        <v>78</v>
      </c>
      <c r="G408" s="19" t="s">
        <v>268</v>
      </c>
      <c r="I408" s="19">
        <v>7386.75</v>
      </c>
      <c r="AU408" s="22">
        <f t="shared" si="47"/>
        <v>7386.75</v>
      </c>
      <c r="AV408" s="19">
        <v>4938.6000000000004</v>
      </c>
      <c r="AW408" s="19">
        <v>668.4</v>
      </c>
      <c r="AX408" s="19">
        <v>1779.75</v>
      </c>
      <c r="CH408" s="22">
        <f t="shared" si="48"/>
        <v>7386.75</v>
      </c>
      <c r="CI408" s="3">
        <f t="shared" si="49"/>
        <v>0</v>
      </c>
      <c r="CJ408" s="17">
        <f t="shared" si="50"/>
        <v>10877</v>
      </c>
      <c r="CK408" s="3" t="str">
        <f t="shared" si="51"/>
        <v>برنامج دولى</v>
      </c>
    </row>
    <row r="409" spans="4:89" x14ac:dyDescent="0.25">
      <c r="D409" s="19">
        <v>17913</v>
      </c>
      <c r="E409" s="11">
        <v>10878</v>
      </c>
      <c r="F409" s="3" t="s">
        <v>78</v>
      </c>
      <c r="G409" s="19" t="s">
        <v>268</v>
      </c>
      <c r="I409" s="19">
        <v>117.25</v>
      </c>
      <c r="AU409" s="22">
        <f t="shared" si="47"/>
        <v>117.25</v>
      </c>
      <c r="AV409" s="19">
        <v>78.75</v>
      </c>
      <c r="AW409" s="19">
        <v>10.25</v>
      </c>
      <c r="AX409" s="19">
        <v>28.25</v>
      </c>
      <c r="CH409" s="22">
        <f t="shared" si="48"/>
        <v>117.25</v>
      </c>
      <c r="CI409" s="3">
        <f t="shared" si="49"/>
        <v>0</v>
      </c>
      <c r="CJ409" s="17">
        <f t="shared" si="50"/>
        <v>10878</v>
      </c>
      <c r="CK409" s="3" t="str">
        <f t="shared" si="51"/>
        <v>برنامج دولى</v>
      </c>
    </row>
    <row r="410" spans="4:89" x14ac:dyDescent="0.25">
      <c r="D410" s="19">
        <v>17914</v>
      </c>
      <c r="E410" s="11">
        <v>10879</v>
      </c>
      <c r="F410" s="3" t="s">
        <v>78</v>
      </c>
      <c r="G410" s="19" t="s">
        <v>269</v>
      </c>
      <c r="I410" s="19">
        <v>4500</v>
      </c>
      <c r="AU410" s="22">
        <f t="shared" si="47"/>
        <v>4500</v>
      </c>
      <c r="AV410" s="19">
        <v>4016.95</v>
      </c>
      <c r="AW410" s="19">
        <v>483.05</v>
      </c>
      <c r="AX410" s="19"/>
      <c r="CH410" s="22">
        <f t="shared" si="48"/>
        <v>4500</v>
      </c>
      <c r="CI410" s="3">
        <f t="shared" si="49"/>
        <v>0</v>
      </c>
      <c r="CJ410" s="17">
        <f t="shared" si="50"/>
        <v>10879</v>
      </c>
      <c r="CK410" s="3" t="str">
        <f t="shared" si="51"/>
        <v>برنامج دولى</v>
      </c>
    </row>
    <row r="411" spans="4:89" x14ac:dyDescent="0.25">
      <c r="D411" s="19">
        <v>17983</v>
      </c>
      <c r="E411" s="17">
        <v>10880</v>
      </c>
      <c r="F411" s="3" t="s">
        <v>78</v>
      </c>
      <c r="G411" s="19" t="s">
        <v>270</v>
      </c>
      <c r="I411" s="19">
        <v>2400</v>
      </c>
      <c r="AU411" s="22">
        <f t="shared" si="47"/>
        <v>2400</v>
      </c>
      <c r="AV411" s="19">
        <v>2142.6999999999998</v>
      </c>
      <c r="AW411" s="19">
        <v>257.3</v>
      </c>
      <c r="AX411" s="19"/>
      <c r="CH411" s="22">
        <f t="shared" si="48"/>
        <v>2400</v>
      </c>
      <c r="CI411" s="3">
        <f t="shared" si="49"/>
        <v>0</v>
      </c>
      <c r="CJ411" s="17">
        <f t="shared" si="50"/>
        <v>10880</v>
      </c>
      <c r="CK411" s="3" t="str">
        <f t="shared" si="51"/>
        <v>برنامج دولى</v>
      </c>
    </row>
    <row r="412" spans="4:89" x14ac:dyDescent="0.25">
      <c r="D412" s="19">
        <v>17979</v>
      </c>
      <c r="E412" s="11">
        <v>10881</v>
      </c>
      <c r="F412" s="3" t="s">
        <v>78</v>
      </c>
      <c r="G412" s="19" t="s">
        <v>271</v>
      </c>
      <c r="I412" s="19">
        <v>1200</v>
      </c>
      <c r="AU412" s="22">
        <f t="shared" si="47"/>
        <v>1200</v>
      </c>
      <c r="AV412" s="19">
        <v>1072.3</v>
      </c>
      <c r="AW412" s="19">
        <v>127.7</v>
      </c>
      <c r="AX412" s="19"/>
      <c r="CH412" s="22">
        <f t="shared" si="48"/>
        <v>1200</v>
      </c>
      <c r="CI412" s="3">
        <f t="shared" si="49"/>
        <v>0</v>
      </c>
      <c r="CJ412" s="17">
        <f t="shared" si="50"/>
        <v>10881</v>
      </c>
      <c r="CK412" s="3" t="str">
        <f t="shared" si="51"/>
        <v>برنامج دولى</v>
      </c>
    </row>
    <row r="413" spans="4:89" x14ac:dyDescent="0.25">
      <c r="D413" s="19">
        <v>17980</v>
      </c>
      <c r="E413" s="11">
        <v>10882</v>
      </c>
      <c r="F413" s="3" t="s">
        <v>78</v>
      </c>
      <c r="G413" s="19" t="s">
        <v>271</v>
      </c>
      <c r="I413" s="19">
        <v>600</v>
      </c>
      <c r="AU413" s="22">
        <f t="shared" si="47"/>
        <v>600</v>
      </c>
      <c r="AV413" s="19">
        <v>536.15</v>
      </c>
      <c r="AW413" s="19">
        <v>63.85</v>
      </c>
      <c r="AX413" s="19"/>
      <c r="CH413" s="22">
        <f t="shared" si="48"/>
        <v>600</v>
      </c>
      <c r="CI413" s="3">
        <f t="shared" si="49"/>
        <v>0</v>
      </c>
      <c r="CJ413" s="17">
        <f t="shared" si="50"/>
        <v>10882</v>
      </c>
      <c r="CK413" s="3" t="str">
        <f t="shared" si="51"/>
        <v>برنامج دولى</v>
      </c>
    </row>
    <row r="414" spans="4:89" x14ac:dyDescent="0.25">
      <c r="D414" s="19">
        <v>17981</v>
      </c>
      <c r="E414" s="17">
        <v>10883</v>
      </c>
      <c r="F414" s="3" t="s">
        <v>78</v>
      </c>
      <c r="G414" s="19" t="s">
        <v>271</v>
      </c>
      <c r="I414" s="19">
        <v>600</v>
      </c>
      <c r="AU414" s="22">
        <f t="shared" si="47"/>
        <v>600</v>
      </c>
      <c r="AV414" s="19">
        <v>536.15</v>
      </c>
      <c r="AW414" s="19">
        <v>63.85</v>
      </c>
      <c r="AX414" s="19"/>
      <c r="CH414" s="22">
        <f t="shared" si="48"/>
        <v>600</v>
      </c>
      <c r="CI414" s="3">
        <f t="shared" si="49"/>
        <v>0</v>
      </c>
      <c r="CJ414" s="17">
        <f t="shared" si="50"/>
        <v>10883</v>
      </c>
      <c r="CK414" s="3" t="str">
        <f t="shared" si="51"/>
        <v>برنامج دولى</v>
      </c>
    </row>
    <row r="415" spans="4:89" x14ac:dyDescent="0.25">
      <c r="D415" s="19">
        <v>17982</v>
      </c>
      <c r="E415" s="11">
        <v>10884</v>
      </c>
      <c r="F415" s="3" t="s">
        <v>78</v>
      </c>
      <c r="G415" s="19" t="s">
        <v>271</v>
      </c>
      <c r="I415" s="19">
        <v>600</v>
      </c>
      <c r="AU415" s="22">
        <f t="shared" si="47"/>
        <v>600</v>
      </c>
      <c r="AV415" s="19">
        <v>536.15</v>
      </c>
      <c r="AW415" s="19">
        <v>63.85</v>
      </c>
      <c r="AX415" s="19"/>
      <c r="CH415" s="22">
        <f t="shared" si="48"/>
        <v>600</v>
      </c>
      <c r="CI415" s="3">
        <f t="shared" si="49"/>
        <v>0</v>
      </c>
      <c r="CJ415" s="17">
        <f t="shared" si="50"/>
        <v>10884</v>
      </c>
      <c r="CK415" s="3" t="str">
        <f t="shared" si="51"/>
        <v>برنامج دولى</v>
      </c>
    </row>
    <row r="416" spans="4:89" x14ac:dyDescent="0.25">
      <c r="D416" s="19">
        <v>17991</v>
      </c>
      <c r="E416" s="11">
        <v>10885</v>
      </c>
      <c r="F416" s="3" t="s">
        <v>78</v>
      </c>
      <c r="G416" s="19" t="s">
        <v>272</v>
      </c>
      <c r="I416" s="19">
        <v>6390.13</v>
      </c>
      <c r="AU416" s="22">
        <f t="shared" si="47"/>
        <v>6390.13</v>
      </c>
      <c r="AV416" s="19">
        <v>4270.95</v>
      </c>
      <c r="AW416" s="19">
        <v>579.54999999999995</v>
      </c>
      <c r="AX416" s="19">
        <v>1539.63</v>
      </c>
      <c r="CH416" s="22">
        <f t="shared" si="48"/>
        <v>6390.13</v>
      </c>
      <c r="CI416" s="3">
        <f t="shared" si="49"/>
        <v>0</v>
      </c>
      <c r="CJ416" s="17">
        <f t="shared" si="50"/>
        <v>10885</v>
      </c>
      <c r="CK416" s="3" t="str">
        <f t="shared" si="51"/>
        <v>برنامج دولى</v>
      </c>
    </row>
    <row r="417" spans="4:89" x14ac:dyDescent="0.25">
      <c r="D417" s="19">
        <v>17992</v>
      </c>
      <c r="E417" s="17">
        <v>10886</v>
      </c>
      <c r="F417" s="3" t="s">
        <v>78</v>
      </c>
      <c r="G417" s="19" t="s">
        <v>272</v>
      </c>
      <c r="I417" s="19">
        <v>1758.75</v>
      </c>
      <c r="AU417" s="22">
        <f t="shared" si="47"/>
        <v>1758.75</v>
      </c>
      <c r="AV417" s="19">
        <v>1174.0999999999999</v>
      </c>
      <c r="AW417" s="19">
        <f>150+10.9</f>
        <v>160.9</v>
      </c>
      <c r="AX417" s="19">
        <v>423.75</v>
      </c>
      <c r="CH417" s="22">
        <f t="shared" si="48"/>
        <v>1758.75</v>
      </c>
      <c r="CI417" s="3">
        <f t="shared" si="49"/>
        <v>0</v>
      </c>
      <c r="CJ417" s="17">
        <f t="shared" si="50"/>
        <v>10886</v>
      </c>
      <c r="CK417" s="3" t="str">
        <f t="shared" si="51"/>
        <v>برنامج دولى</v>
      </c>
    </row>
    <row r="418" spans="4:89" x14ac:dyDescent="0.25">
      <c r="D418" s="19">
        <v>17987</v>
      </c>
      <c r="E418" s="11">
        <v>10887</v>
      </c>
      <c r="F418" s="3" t="s">
        <v>78</v>
      </c>
      <c r="G418" s="19" t="s">
        <v>273</v>
      </c>
      <c r="I418" s="19">
        <v>6000</v>
      </c>
      <c r="AU418" s="22">
        <f t="shared" si="47"/>
        <v>6000</v>
      </c>
      <c r="AV418" s="19">
        <v>5355.7</v>
      </c>
      <c r="AW418" s="19">
        <v>644.29999999999995</v>
      </c>
      <c r="AX418" s="19"/>
      <c r="CH418" s="22">
        <f t="shared" si="48"/>
        <v>6000</v>
      </c>
      <c r="CI418" s="3">
        <f t="shared" si="49"/>
        <v>0</v>
      </c>
      <c r="CJ418" s="17">
        <f t="shared" si="50"/>
        <v>10887</v>
      </c>
      <c r="CK418" s="3" t="str">
        <f t="shared" si="51"/>
        <v>برنامج دولى</v>
      </c>
    </row>
    <row r="419" spans="4:89" x14ac:dyDescent="0.25">
      <c r="D419" s="19">
        <v>17988</v>
      </c>
      <c r="E419" s="11">
        <v>10888</v>
      </c>
      <c r="F419" s="3" t="s">
        <v>78</v>
      </c>
      <c r="G419" s="19" t="s">
        <v>273</v>
      </c>
      <c r="I419" s="19">
        <v>3000</v>
      </c>
      <c r="AU419" s="22">
        <f t="shared" si="47"/>
        <v>3000</v>
      </c>
      <c r="AV419" s="19">
        <v>2678.2</v>
      </c>
      <c r="AW419" s="19">
        <v>321.8</v>
      </c>
      <c r="AX419" s="19"/>
      <c r="CH419" s="22">
        <f t="shared" si="48"/>
        <v>3000</v>
      </c>
      <c r="CI419" s="3">
        <f t="shared" si="49"/>
        <v>0</v>
      </c>
      <c r="CJ419" s="17">
        <f t="shared" si="50"/>
        <v>10888</v>
      </c>
      <c r="CK419" s="3" t="str">
        <f t="shared" si="51"/>
        <v>برنامج دولى</v>
      </c>
    </row>
    <row r="420" spans="4:89" x14ac:dyDescent="0.25">
      <c r="D420" s="19">
        <v>17989</v>
      </c>
      <c r="E420" s="17">
        <v>10889</v>
      </c>
      <c r="F420" s="3" t="s">
        <v>78</v>
      </c>
      <c r="G420" s="19" t="s">
        <v>273</v>
      </c>
      <c r="I420" s="19">
        <v>5862.5</v>
      </c>
      <c r="AU420" s="22">
        <f t="shared" si="47"/>
        <v>5862.5</v>
      </c>
      <c r="AV420" s="19">
        <v>3918.1</v>
      </c>
      <c r="AW420" s="19">
        <v>531.9</v>
      </c>
      <c r="AX420" s="19">
        <v>1412.5</v>
      </c>
      <c r="CH420" s="22">
        <f t="shared" si="48"/>
        <v>5862.5</v>
      </c>
      <c r="CI420" s="3">
        <f t="shared" si="49"/>
        <v>0</v>
      </c>
      <c r="CJ420" s="17">
        <f t="shared" si="50"/>
        <v>10889</v>
      </c>
      <c r="CK420" s="3" t="str">
        <f t="shared" si="51"/>
        <v>برنامج دولى</v>
      </c>
    </row>
    <row r="421" spans="4:89" x14ac:dyDescent="0.25">
      <c r="D421" s="19">
        <v>17990</v>
      </c>
      <c r="E421" s="11">
        <v>10890</v>
      </c>
      <c r="F421" s="3" t="s">
        <v>78</v>
      </c>
      <c r="G421" s="19" t="s">
        <v>273</v>
      </c>
      <c r="I421" s="19">
        <v>2345</v>
      </c>
      <c r="AU421" s="22">
        <f t="shared" si="47"/>
        <v>2345</v>
      </c>
      <c r="AV421" s="19">
        <v>1568.2</v>
      </c>
      <c r="AW421" s="19">
        <v>211.8</v>
      </c>
      <c r="AX421" s="19">
        <v>565</v>
      </c>
      <c r="CH421" s="22">
        <f t="shared" si="48"/>
        <v>2345</v>
      </c>
      <c r="CI421" s="3">
        <f t="shared" si="49"/>
        <v>0</v>
      </c>
      <c r="CJ421" s="17">
        <f t="shared" si="50"/>
        <v>10890</v>
      </c>
      <c r="CK421" s="3" t="str">
        <f t="shared" si="51"/>
        <v>برنامج دولى</v>
      </c>
    </row>
    <row r="422" spans="4:89" x14ac:dyDescent="0.25">
      <c r="D422" s="19">
        <v>17986</v>
      </c>
      <c r="E422" s="11">
        <v>10891</v>
      </c>
      <c r="F422" s="3" t="s">
        <v>78</v>
      </c>
      <c r="G422" s="19" t="s">
        <v>274</v>
      </c>
      <c r="I422" s="19">
        <v>1465.62</v>
      </c>
      <c r="AU422" s="22">
        <f t="shared" si="47"/>
        <v>1465.62</v>
      </c>
      <c r="AV422" s="19">
        <v>979.5</v>
      </c>
      <c r="AW422" s="19">
        <v>133</v>
      </c>
      <c r="AX422" s="19">
        <v>353.12</v>
      </c>
      <c r="CH422" s="22">
        <f t="shared" si="48"/>
        <v>1465.62</v>
      </c>
      <c r="CI422" s="3">
        <f t="shared" si="49"/>
        <v>0</v>
      </c>
      <c r="CJ422" s="17">
        <f t="shared" si="50"/>
        <v>10891</v>
      </c>
      <c r="CK422" s="3" t="str">
        <f t="shared" si="51"/>
        <v>برنامج دولى</v>
      </c>
    </row>
    <row r="423" spans="4:89" x14ac:dyDescent="0.25">
      <c r="D423" s="19">
        <v>17985</v>
      </c>
      <c r="E423" s="17">
        <v>10892</v>
      </c>
      <c r="F423" s="3" t="s">
        <v>78</v>
      </c>
      <c r="G423" s="19" t="s">
        <v>274</v>
      </c>
      <c r="I423" s="19">
        <v>1465.62</v>
      </c>
      <c r="AU423" s="22">
        <f t="shared" si="47"/>
        <v>1465.62</v>
      </c>
      <c r="AV423" s="19">
        <v>979.5</v>
      </c>
      <c r="AW423" s="19">
        <v>133</v>
      </c>
      <c r="AX423" s="19">
        <v>353.12</v>
      </c>
      <c r="CH423" s="22">
        <f t="shared" si="48"/>
        <v>1465.62</v>
      </c>
      <c r="CI423" s="3">
        <f t="shared" si="49"/>
        <v>0</v>
      </c>
      <c r="CJ423" s="17">
        <f t="shared" si="50"/>
        <v>10892</v>
      </c>
      <c r="CK423" s="3" t="str">
        <f t="shared" si="51"/>
        <v>برنامج دولى</v>
      </c>
    </row>
    <row r="424" spans="4:89" x14ac:dyDescent="0.25">
      <c r="D424" s="19">
        <v>17984</v>
      </c>
      <c r="E424" s="11">
        <v>10893</v>
      </c>
      <c r="F424" s="3" t="s">
        <v>78</v>
      </c>
      <c r="G424" s="19" t="s">
        <v>274</v>
      </c>
      <c r="I424" s="19">
        <v>1465.62</v>
      </c>
      <c r="AU424" s="22">
        <f t="shared" si="47"/>
        <v>1465.62</v>
      </c>
      <c r="AV424" s="19">
        <v>979.5</v>
      </c>
      <c r="AW424" s="19">
        <v>133</v>
      </c>
      <c r="AX424" s="19">
        <v>353.12</v>
      </c>
      <c r="CH424" s="22">
        <f t="shared" si="48"/>
        <v>1465.62</v>
      </c>
      <c r="CI424" s="3">
        <f t="shared" si="49"/>
        <v>0</v>
      </c>
      <c r="CJ424" s="17">
        <f t="shared" si="50"/>
        <v>10893</v>
      </c>
      <c r="CK424" s="3" t="str">
        <f t="shared" si="51"/>
        <v>برنامج دولى</v>
      </c>
    </row>
    <row r="425" spans="4:89" x14ac:dyDescent="0.25">
      <c r="D425" s="19">
        <v>17923</v>
      </c>
      <c r="E425" s="11">
        <v>10894</v>
      </c>
      <c r="F425" s="3" t="s">
        <v>78</v>
      </c>
      <c r="G425" s="19" t="s">
        <v>275</v>
      </c>
      <c r="I425" s="19">
        <v>234.5</v>
      </c>
      <c r="AU425" s="22">
        <f t="shared" si="47"/>
        <v>234.5</v>
      </c>
      <c r="AV425" s="19">
        <v>157.1</v>
      </c>
      <c r="AW425" s="19">
        <v>20.9</v>
      </c>
      <c r="AX425" s="19">
        <v>56.5</v>
      </c>
      <c r="CH425" s="22">
        <f t="shared" si="48"/>
        <v>234.5</v>
      </c>
      <c r="CI425" s="3">
        <f t="shared" si="49"/>
        <v>0</v>
      </c>
      <c r="CJ425" s="17">
        <f t="shared" si="50"/>
        <v>10894</v>
      </c>
      <c r="CK425" s="3" t="str">
        <f t="shared" si="51"/>
        <v>برنامج دولى</v>
      </c>
    </row>
    <row r="426" spans="4:89" x14ac:dyDescent="0.25">
      <c r="D426" s="19">
        <v>17993</v>
      </c>
      <c r="E426" s="17">
        <v>10895</v>
      </c>
      <c r="F426" s="3" t="s">
        <v>78</v>
      </c>
      <c r="G426" s="19" t="s">
        <v>276</v>
      </c>
      <c r="I426" s="19">
        <v>1066.98</v>
      </c>
      <c r="AU426" s="22">
        <f t="shared" si="47"/>
        <v>1066.98</v>
      </c>
      <c r="AV426" s="19">
        <v>712.85</v>
      </c>
      <c r="AW426" s="19">
        <f>91+6.05</f>
        <v>97.05</v>
      </c>
      <c r="AX426" s="19">
        <v>257.08</v>
      </c>
      <c r="CH426" s="22">
        <f t="shared" si="48"/>
        <v>1066.98</v>
      </c>
      <c r="CI426" s="3">
        <f t="shared" si="49"/>
        <v>0</v>
      </c>
      <c r="CJ426" s="17">
        <f t="shared" si="50"/>
        <v>10895</v>
      </c>
      <c r="CK426" s="3" t="str">
        <f t="shared" si="51"/>
        <v>برنامج دولى</v>
      </c>
    </row>
    <row r="427" spans="4:89" x14ac:dyDescent="0.25">
      <c r="D427" s="19">
        <v>17587</v>
      </c>
      <c r="E427" s="11">
        <v>10896</v>
      </c>
      <c r="F427" s="3" t="s">
        <v>78</v>
      </c>
      <c r="G427" s="19" t="s">
        <v>277</v>
      </c>
      <c r="I427" s="19">
        <v>217.74</v>
      </c>
      <c r="AU427" s="22">
        <f t="shared" si="47"/>
        <v>217.74</v>
      </c>
      <c r="AV427" s="19">
        <v>195.21</v>
      </c>
      <c r="AW427" s="19">
        <v>22.53</v>
      </c>
      <c r="AX427" s="19"/>
      <c r="CH427" s="22">
        <f t="shared" si="48"/>
        <v>217.74</v>
      </c>
      <c r="CI427" s="3">
        <f t="shared" si="49"/>
        <v>0</v>
      </c>
      <c r="CJ427" s="17">
        <f t="shared" si="50"/>
        <v>10896</v>
      </c>
      <c r="CK427" s="3" t="str">
        <f t="shared" si="51"/>
        <v>برنامج دولى</v>
      </c>
    </row>
    <row r="428" spans="4:89" x14ac:dyDescent="0.25">
      <c r="D428" s="19">
        <v>17282</v>
      </c>
      <c r="E428" s="11">
        <v>10897</v>
      </c>
      <c r="F428" s="3" t="s">
        <v>78</v>
      </c>
      <c r="G428" s="19" t="s">
        <v>278</v>
      </c>
      <c r="I428" s="19">
        <v>75698.679999999993</v>
      </c>
      <c r="AU428" s="22">
        <f t="shared" si="47"/>
        <v>75698.679999999993</v>
      </c>
      <c r="AV428" s="19">
        <v>66702.509999999995</v>
      </c>
      <c r="AW428" s="19">
        <v>8097.6</v>
      </c>
      <c r="AX428" s="19">
        <v>898.57</v>
      </c>
      <c r="CH428" s="22">
        <f t="shared" si="48"/>
        <v>75698.680000000008</v>
      </c>
      <c r="CI428" s="3">
        <f t="shared" si="49"/>
        <v>0</v>
      </c>
      <c r="CJ428" s="17">
        <f t="shared" si="50"/>
        <v>10897</v>
      </c>
      <c r="CK428" s="3" t="str">
        <f t="shared" si="51"/>
        <v>برنامج دولى</v>
      </c>
    </row>
    <row r="429" spans="4:89" x14ac:dyDescent="0.25">
      <c r="D429" s="19">
        <v>17283</v>
      </c>
      <c r="E429" s="17">
        <v>10898</v>
      </c>
      <c r="F429" s="3" t="s">
        <v>78</v>
      </c>
      <c r="G429" s="19" t="s">
        <v>278</v>
      </c>
      <c r="I429" s="19">
        <v>4311.1000000000004</v>
      </c>
      <c r="AU429" s="22">
        <f t="shared" si="47"/>
        <v>4311.1000000000004</v>
      </c>
      <c r="AV429" s="19">
        <v>2995.06</v>
      </c>
      <c r="AW429" s="19">
        <v>397.15</v>
      </c>
      <c r="AX429" s="19">
        <v>918.89</v>
      </c>
      <c r="CH429" s="22">
        <f t="shared" si="48"/>
        <v>4311.1000000000004</v>
      </c>
      <c r="CI429" s="3">
        <f t="shared" si="49"/>
        <v>0</v>
      </c>
      <c r="CJ429" s="17">
        <f t="shared" si="50"/>
        <v>10898</v>
      </c>
      <c r="CK429" s="3" t="str">
        <f t="shared" si="51"/>
        <v>برنامج دولى</v>
      </c>
    </row>
    <row r="430" spans="4:89" x14ac:dyDescent="0.25">
      <c r="D430" s="19">
        <v>17284</v>
      </c>
      <c r="E430" s="11">
        <v>10899</v>
      </c>
      <c r="F430" s="3" t="s">
        <v>78</v>
      </c>
      <c r="G430" s="19" t="s">
        <v>278</v>
      </c>
      <c r="I430" s="19">
        <v>2373.58</v>
      </c>
      <c r="AU430" s="22">
        <f t="shared" si="47"/>
        <v>2373.58</v>
      </c>
      <c r="AV430" s="19">
        <v>1701.44</v>
      </c>
      <c r="AW430" s="19">
        <v>224.1</v>
      </c>
      <c r="AX430" s="19">
        <v>448.04</v>
      </c>
      <c r="CH430" s="22">
        <f t="shared" si="48"/>
        <v>2373.58</v>
      </c>
      <c r="CI430" s="3">
        <f t="shared" si="49"/>
        <v>0</v>
      </c>
      <c r="CJ430" s="17">
        <f t="shared" si="50"/>
        <v>10899</v>
      </c>
      <c r="CK430" s="3" t="str">
        <f t="shared" si="51"/>
        <v>برنامج دولى</v>
      </c>
    </row>
    <row r="431" spans="4:89" x14ac:dyDescent="0.25">
      <c r="D431" s="19">
        <v>17285</v>
      </c>
      <c r="E431" s="11">
        <v>10900</v>
      </c>
      <c r="F431" s="3" t="s">
        <v>78</v>
      </c>
      <c r="G431" s="19" t="s">
        <v>278</v>
      </c>
      <c r="I431" s="19">
        <v>3211.2</v>
      </c>
      <c r="AU431" s="22">
        <f t="shared" si="47"/>
        <v>3211.2</v>
      </c>
      <c r="AV431" s="19">
        <v>2363.1</v>
      </c>
      <c r="AW431" s="19">
        <f>288+17.7</f>
        <v>305.7</v>
      </c>
      <c r="AX431" s="19">
        <v>542.4</v>
      </c>
      <c r="CH431" s="22">
        <f t="shared" si="48"/>
        <v>3211.2</v>
      </c>
      <c r="CI431" s="3">
        <f t="shared" si="49"/>
        <v>0</v>
      </c>
      <c r="CJ431" s="17">
        <f t="shared" si="50"/>
        <v>10900</v>
      </c>
      <c r="CK431" s="3" t="str">
        <f t="shared" si="51"/>
        <v>برنامج دولى</v>
      </c>
    </row>
    <row r="432" spans="4:89" x14ac:dyDescent="0.25">
      <c r="D432" s="19">
        <v>17286</v>
      </c>
      <c r="E432" s="17">
        <v>10901</v>
      </c>
      <c r="F432" s="3" t="s">
        <v>78</v>
      </c>
      <c r="G432" s="19" t="s">
        <v>279</v>
      </c>
      <c r="I432" s="19">
        <v>20324.509999999998</v>
      </c>
      <c r="AU432" s="22">
        <f t="shared" si="47"/>
        <v>20324.509999999998</v>
      </c>
      <c r="AV432" s="19">
        <v>18051.599999999999</v>
      </c>
      <c r="AW432" s="19">
        <v>2175.4499999999998</v>
      </c>
      <c r="AX432" s="19">
        <v>97.46</v>
      </c>
      <c r="CH432" s="22">
        <f t="shared" si="48"/>
        <v>20324.509999999998</v>
      </c>
      <c r="CI432" s="3">
        <f t="shared" si="49"/>
        <v>0</v>
      </c>
      <c r="CJ432" s="17">
        <f t="shared" si="50"/>
        <v>10901</v>
      </c>
      <c r="CK432" s="3" t="str">
        <f t="shared" si="51"/>
        <v>برنامج دولى</v>
      </c>
    </row>
    <row r="433" spans="4:89" x14ac:dyDescent="0.25">
      <c r="D433" s="19">
        <v>17287</v>
      </c>
      <c r="E433" s="11">
        <v>10902</v>
      </c>
      <c r="F433" s="3" t="s">
        <v>78</v>
      </c>
      <c r="G433" s="19" t="s">
        <v>279</v>
      </c>
      <c r="I433" s="19">
        <v>809.02</v>
      </c>
      <c r="AU433" s="22">
        <f t="shared" si="47"/>
        <v>809.02</v>
      </c>
      <c r="AV433" s="19">
        <v>541.70000000000005</v>
      </c>
      <c r="AW433" s="19">
        <v>72.400000000000006</v>
      </c>
      <c r="AX433" s="19">
        <v>194.92</v>
      </c>
      <c r="CH433" s="22">
        <f t="shared" si="48"/>
        <v>809.02</v>
      </c>
      <c r="CI433" s="3">
        <f t="shared" si="49"/>
        <v>0</v>
      </c>
      <c r="CJ433" s="17">
        <f t="shared" si="50"/>
        <v>10902</v>
      </c>
      <c r="CK433" s="3" t="str">
        <f t="shared" si="51"/>
        <v>برنامج دولى</v>
      </c>
    </row>
    <row r="434" spans="4:89" x14ac:dyDescent="0.25">
      <c r="D434" s="19">
        <v>17288</v>
      </c>
      <c r="E434" s="11">
        <v>10903</v>
      </c>
      <c r="F434" s="3" t="s">
        <v>78</v>
      </c>
      <c r="G434" s="19" t="s">
        <v>279</v>
      </c>
      <c r="I434" s="19">
        <v>40685.550000000003</v>
      </c>
      <c r="AU434" s="22">
        <f t="shared" ref="AU434:AU465" si="52">SUM(I434:AS434)</f>
        <v>40685.550000000003</v>
      </c>
      <c r="AV434" s="19">
        <v>36057.65</v>
      </c>
      <c r="AW434" s="19">
        <v>4373.1499999999996</v>
      </c>
      <c r="AX434" s="19">
        <v>254.75</v>
      </c>
      <c r="CH434" s="22">
        <f t="shared" ref="CH434:CH465" si="53">SUM(AV434:CG434)</f>
        <v>40685.550000000003</v>
      </c>
      <c r="CI434" s="3">
        <f t="shared" ref="CI434:CI465" si="54">+CH434-AU434</f>
        <v>0</v>
      </c>
      <c r="CJ434" s="17">
        <f t="shared" ref="CJ434:CJ465" si="55">+E434</f>
        <v>10903</v>
      </c>
      <c r="CK434" s="3" t="str">
        <f t="shared" ref="CK434:CK465" si="56">+F434</f>
        <v>برنامج دولى</v>
      </c>
    </row>
    <row r="435" spans="4:89" x14ac:dyDescent="0.25">
      <c r="D435" s="19">
        <v>17289</v>
      </c>
      <c r="E435" s="17">
        <v>10904</v>
      </c>
      <c r="F435" s="3" t="s">
        <v>78</v>
      </c>
      <c r="G435" s="19" t="s">
        <v>279</v>
      </c>
      <c r="I435" s="19">
        <v>1653.22</v>
      </c>
      <c r="AU435" s="22">
        <f t="shared" si="52"/>
        <v>1653.22</v>
      </c>
      <c r="AV435" s="19">
        <v>1105.8</v>
      </c>
      <c r="AW435" s="19">
        <v>149.1</v>
      </c>
      <c r="AX435" s="19">
        <v>398.32</v>
      </c>
      <c r="CH435" s="22">
        <f t="shared" si="53"/>
        <v>1653.2199999999998</v>
      </c>
      <c r="CI435" s="3">
        <f t="shared" si="54"/>
        <v>0</v>
      </c>
      <c r="CJ435" s="17">
        <f t="shared" si="55"/>
        <v>10904</v>
      </c>
      <c r="CK435" s="3" t="str">
        <f t="shared" si="56"/>
        <v>برنامج دولى</v>
      </c>
    </row>
    <row r="436" spans="4:89" x14ac:dyDescent="0.25">
      <c r="D436" s="19">
        <v>17290</v>
      </c>
      <c r="E436" s="11">
        <v>10905</v>
      </c>
      <c r="F436" s="3" t="s">
        <v>78</v>
      </c>
      <c r="G436" s="19" t="s">
        <v>280</v>
      </c>
      <c r="I436" s="19">
        <v>62850</v>
      </c>
      <c r="AU436" s="22">
        <f t="shared" si="52"/>
        <v>62850</v>
      </c>
      <c r="AV436" s="19">
        <v>56128.45</v>
      </c>
      <c r="AW436" s="19">
        <v>6721.55</v>
      </c>
      <c r="AX436" s="19"/>
      <c r="CH436" s="22">
        <f t="shared" si="53"/>
        <v>62850</v>
      </c>
      <c r="CI436" s="3">
        <f t="shared" si="54"/>
        <v>0</v>
      </c>
      <c r="CJ436" s="17">
        <f t="shared" si="55"/>
        <v>10905</v>
      </c>
      <c r="CK436" s="3" t="str">
        <f t="shared" si="56"/>
        <v>برنامج دولى</v>
      </c>
    </row>
    <row r="437" spans="4:89" x14ac:dyDescent="0.25">
      <c r="D437" s="19">
        <v>17291</v>
      </c>
      <c r="E437" s="11">
        <v>10906</v>
      </c>
      <c r="F437" s="3" t="s">
        <v>78</v>
      </c>
      <c r="G437" s="19" t="s">
        <v>278</v>
      </c>
      <c r="I437" s="19">
        <v>9780.89</v>
      </c>
      <c r="AU437" s="22">
        <f t="shared" si="52"/>
        <v>9780.89</v>
      </c>
      <c r="AV437" s="19">
        <v>8094.73</v>
      </c>
      <c r="AW437" s="19">
        <v>996.9</v>
      </c>
      <c r="AX437" s="19">
        <v>689.26</v>
      </c>
      <c r="CH437" s="22">
        <f t="shared" si="53"/>
        <v>9780.89</v>
      </c>
      <c r="CI437" s="3">
        <f t="shared" si="54"/>
        <v>0</v>
      </c>
      <c r="CJ437" s="17">
        <f t="shared" si="55"/>
        <v>10906</v>
      </c>
      <c r="CK437" s="3" t="str">
        <f t="shared" si="56"/>
        <v>برنامج دولى</v>
      </c>
    </row>
    <row r="438" spans="4:89" x14ac:dyDescent="0.25">
      <c r="D438" s="19">
        <v>17292</v>
      </c>
      <c r="E438" s="17">
        <v>10907</v>
      </c>
      <c r="F438" s="3" t="s">
        <v>78</v>
      </c>
      <c r="G438" s="19" t="s">
        <v>278</v>
      </c>
      <c r="I438" s="19">
        <v>738.68</v>
      </c>
      <c r="AU438" s="22">
        <f t="shared" si="52"/>
        <v>738.68</v>
      </c>
      <c r="AV438" s="19">
        <v>494.1</v>
      </c>
      <c r="AW438" s="19">
        <v>66.599999999999994</v>
      </c>
      <c r="AX438" s="19">
        <v>177.98</v>
      </c>
      <c r="CH438" s="22">
        <f t="shared" si="53"/>
        <v>738.68000000000006</v>
      </c>
      <c r="CI438" s="3">
        <f t="shared" si="54"/>
        <v>0</v>
      </c>
      <c r="CJ438" s="17">
        <f t="shared" si="55"/>
        <v>10907</v>
      </c>
      <c r="CK438" s="3" t="str">
        <f t="shared" si="56"/>
        <v>برنامج دولى</v>
      </c>
    </row>
    <row r="439" spans="4:89" x14ac:dyDescent="0.25">
      <c r="D439" s="19">
        <v>17293</v>
      </c>
      <c r="E439" s="11">
        <v>10908</v>
      </c>
      <c r="F439" s="3" t="s">
        <v>78</v>
      </c>
      <c r="G439" s="19" t="s">
        <v>278</v>
      </c>
      <c r="I439" s="19">
        <v>551.91999999999996</v>
      </c>
      <c r="AU439" s="22">
        <f t="shared" si="52"/>
        <v>551.91999999999996</v>
      </c>
      <c r="AV439" s="19">
        <v>407.3</v>
      </c>
      <c r="AW439" s="19">
        <f>49.5+1.9</f>
        <v>51.4</v>
      </c>
      <c r="AX439" s="19">
        <v>93.22</v>
      </c>
      <c r="CH439" s="22">
        <f t="shared" si="53"/>
        <v>551.91999999999996</v>
      </c>
      <c r="CI439" s="3">
        <f t="shared" si="54"/>
        <v>0</v>
      </c>
      <c r="CJ439" s="17">
        <f t="shared" si="55"/>
        <v>10908</v>
      </c>
      <c r="CK439" s="3" t="str">
        <f t="shared" si="56"/>
        <v>برنامج دولى</v>
      </c>
    </row>
    <row r="440" spans="4:89" x14ac:dyDescent="0.25">
      <c r="D440" s="19">
        <v>17294</v>
      </c>
      <c r="E440" s="11">
        <v>10909</v>
      </c>
      <c r="F440" s="3" t="s">
        <v>78</v>
      </c>
      <c r="G440" s="19" t="s">
        <v>281</v>
      </c>
      <c r="I440" s="19">
        <v>55254.8</v>
      </c>
      <c r="AU440" s="22">
        <f t="shared" si="52"/>
        <v>55254.8</v>
      </c>
      <c r="AV440" s="19">
        <v>46299.63</v>
      </c>
      <c r="AW440" s="19">
        <v>5721.05</v>
      </c>
      <c r="AX440" s="19">
        <v>3234.12</v>
      </c>
      <c r="CH440" s="22">
        <f t="shared" si="53"/>
        <v>55254.8</v>
      </c>
      <c r="CI440" s="3">
        <f t="shared" si="54"/>
        <v>0</v>
      </c>
      <c r="CJ440" s="17">
        <f t="shared" si="55"/>
        <v>10909</v>
      </c>
      <c r="CK440" s="3" t="str">
        <f t="shared" si="56"/>
        <v>برنامج دولى</v>
      </c>
    </row>
    <row r="441" spans="4:89" x14ac:dyDescent="0.25">
      <c r="D441" s="19">
        <v>17295</v>
      </c>
      <c r="E441" s="17">
        <v>10910</v>
      </c>
      <c r="F441" s="3" t="s">
        <v>78</v>
      </c>
      <c r="G441" s="19" t="s">
        <v>281</v>
      </c>
      <c r="I441" s="19">
        <v>10206.16</v>
      </c>
      <c r="AU441" s="22">
        <f t="shared" si="52"/>
        <v>10206.16</v>
      </c>
      <c r="AV441" s="19">
        <v>7953.27</v>
      </c>
      <c r="AW441" s="19">
        <v>1014.55</v>
      </c>
      <c r="AX441" s="19">
        <v>1238.3399999999999</v>
      </c>
      <c r="CH441" s="22">
        <f t="shared" si="53"/>
        <v>10206.16</v>
      </c>
      <c r="CI441" s="3">
        <f t="shared" si="54"/>
        <v>0</v>
      </c>
      <c r="CJ441" s="17">
        <f t="shared" si="55"/>
        <v>10910</v>
      </c>
      <c r="CK441" s="3" t="str">
        <f t="shared" si="56"/>
        <v>برنامج دولى</v>
      </c>
    </row>
    <row r="442" spans="4:89" x14ac:dyDescent="0.25">
      <c r="D442" s="19">
        <v>17296</v>
      </c>
      <c r="E442" s="11">
        <v>10911</v>
      </c>
      <c r="F442" s="3" t="s">
        <v>78</v>
      </c>
      <c r="G442" s="19" t="s">
        <v>282</v>
      </c>
      <c r="I442" s="19">
        <v>115971.7</v>
      </c>
      <c r="AU442" s="22">
        <f t="shared" si="52"/>
        <v>115971.7</v>
      </c>
      <c r="AV442" s="19">
        <v>102872.09</v>
      </c>
      <c r="AW442" s="19">
        <v>12327.1</v>
      </c>
      <c r="AX442" s="19">
        <v>772.51</v>
      </c>
      <c r="CH442" s="22">
        <f t="shared" si="53"/>
        <v>115971.7</v>
      </c>
      <c r="CI442" s="3">
        <f t="shared" si="54"/>
        <v>0</v>
      </c>
      <c r="CJ442" s="17">
        <f t="shared" si="55"/>
        <v>10911</v>
      </c>
      <c r="CK442" s="3" t="str">
        <f t="shared" si="56"/>
        <v>برنامج دولى</v>
      </c>
    </row>
    <row r="443" spans="4:89" x14ac:dyDescent="0.25">
      <c r="D443" s="19">
        <v>17297</v>
      </c>
      <c r="E443" s="11">
        <v>10912</v>
      </c>
      <c r="F443" s="3" t="s">
        <v>78</v>
      </c>
      <c r="G443" s="19" t="s">
        <v>282</v>
      </c>
      <c r="I443" s="19">
        <v>6891.27</v>
      </c>
      <c r="AU443" s="22">
        <f t="shared" si="52"/>
        <v>6891.27</v>
      </c>
      <c r="AV443" s="19">
        <v>5566.12</v>
      </c>
      <c r="AW443" s="19">
        <v>700.75</v>
      </c>
      <c r="AX443" s="19">
        <v>624.4</v>
      </c>
      <c r="CH443" s="22">
        <f t="shared" si="53"/>
        <v>6891.2699999999995</v>
      </c>
      <c r="CI443" s="3">
        <f t="shared" si="54"/>
        <v>0</v>
      </c>
      <c r="CJ443" s="17">
        <f t="shared" si="55"/>
        <v>10912</v>
      </c>
      <c r="CK443" s="3" t="str">
        <f t="shared" si="56"/>
        <v>برنامج دولى</v>
      </c>
    </row>
    <row r="444" spans="4:89" x14ac:dyDescent="0.25">
      <c r="D444" s="19">
        <v>17298</v>
      </c>
      <c r="E444" s="17">
        <v>10913</v>
      </c>
      <c r="F444" s="3" t="s">
        <v>78</v>
      </c>
      <c r="G444" s="19" t="s">
        <v>282</v>
      </c>
      <c r="I444" s="19">
        <v>2040</v>
      </c>
      <c r="AU444" s="22">
        <f t="shared" si="52"/>
        <v>2040</v>
      </c>
      <c r="AV444" s="19">
        <v>1821.05</v>
      </c>
      <c r="AW444" s="19">
        <v>218.95</v>
      </c>
      <c r="AX444" s="19"/>
      <c r="CH444" s="22">
        <f t="shared" si="53"/>
        <v>2040</v>
      </c>
      <c r="CI444" s="3">
        <f t="shared" si="54"/>
        <v>0</v>
      </c>
      <c r="CJ444" s="17">
        <f t="shared" si="55"/>
        <v>10913</v>
      </c>
      <c r="CK444" s="3" t="str">
        <f t="shared" si="56"/>
        <v>برنامج دولى</v>
      </c>
    </row>
    <row r="445" spans="4:89" x14ac:dyDescent="0.25">
      <c r="D445" s="19">
        <v>17299</v>
      </c>
      <c r="E445" s="11">
        <v>10914</v>
      </c>
      <c r="F445" s="3" t="s">
        <v>78</v>
      </c>
      <c r="G445" s="19" t="s">
        <v>282</v>
      </c>
      <c r="I445" s="19">
        <v>1864.28</v>
      </c>
      <c r="AU445" s="22">
        <f t="shared" si="52"/>
        <v>1864.28</v>
      </c>
      <c r="AV445" s="19">
        <v>1245.8499999999999</v>
      </c>
      <c r="AW445" s="19">
        <v>169.25</v>
      </c>
      <c r="AX445" s="19">
        <v>449.18</v>
      </c>
      <c r="CH445" s="22">
        <f t="shared" si="53"/>
        <v>1864.28</v>
      </c>
      <c r="CI445" s="3">
        <f t="shared" si="54"/>
        <v>0</v>
      </c>
      <c r="CJ445" s="17">
        <f t="shared" si="55"/>
        <v>10914</v>
      </c>
      <c r="CK445" s="3" t="str">
        <f t="shared" si="56"/>
        <v>برنامج دولى</v>
      </c>
    </row>
    <row r="446" spans="4:89" x14ac:dyDescent="0.25">
      <c r="D446" s="19">
        <v>17300</v>
      </c>
      <c r="E446" s="11">
        <v>10915</v>
      </c>
      <c r="F446" s="3" t="s">
        <v>78</v>
      </c>
      <c r="G446" s="19" t="s">
        <v>282</v>
      </c>
      <c r="I446" s="19">
        <v>2849.18</v>
      </c>
      <c r="AU446" s="22">
        <f t="shared" si="52"/>
        <v>2849.18</v>
      </c>
      <c r="AV446" s="19">
        <v>1901.85</v>
      </c>
      <c r="AW446" s="19">
        <f>243+17.85</f>
        <v>260.85000000000002</v>
      </c>
      <c r="AX446" s="19">
        <v>686.48</v>
      </c>
      <c r="CH446" s="22">
        <f t="shared" si="53"/>
        <v>2849.18</v>
      </c>
      <c r="CI446" s="3">
        <f t="shared" si="54"/>
        <v>0</v>
      </c>
      <c r="CJ446" s="17">
        <f t="shared" si="55"/>
        <v>10915</v>
      </c>
      <c r="CK446" s="3" t="str">
        <f t="shared" si="56"/>
        <v>برنامج دولى</v>
      </c>
    </row>
    <row r="447" spans="4:89" x14ac:dyDescent="0.25">
      <c r="D447" s="19">
        <v>17391</v>
      </c>
      <c r="E447" s="17">
        <v>10916</v>
      </c>
      <c r="F447" s="3" t="s">
        <v>78</v>
      </c>
      <c r="G447" s="19" t="s">
        <v>283</v>
      </c>
      <c r="I447" s="19">
        <v>5189.6400000000003</v>
      </c>
      <c r="AU447" s="22">
        <f t="shared" si="52"/>
        <v>5189.6400000000003</v>
      </c>
      <c r="AV447" s="19">
        <v>4136</v>
      </c>
      <c r="AW447" s="19">
        <v>513.79999999999995</v>
      </c>
      <c r="AX447" s="19">
        <v>539.84</v>
      </c>
      <c r="CH447" s="22">
        <f t="shared" si="53"/>
        <v>5189.6400000000003</v>
      </c>
      <c r="CI447" s="3">
        <f t="shared" si="54"/>
        <v>0</v>
      </c>
      <c r="CJ447" s="17">
        <f t="shared" si="55"/>
        <v>10916</v>
      </c>
      <c r="CK447" s="3" t="str">
        <f t="shared" si="56"/>
        <v>برنامج دولى</v>
      </c>
    </row>
    <row r="448" spans="4:89" x14ac:dyDescent="0.25">
      <c r="D448" s="19">
        <v>17383</v>
      </c>
      <c r="E448" s="11">
        <v>10917</v>
      </c>
      <c r="F448" s="3" t="s">
        <v>78</v>
      </c>
      <c r="G448" s="19" t="s">
        <v>283</v>
      </c>
      <c r="I448" s="19">
        <v>600</v>
      </c>
      <c r="AU448" s="22">
        <f t="shared" si="52"/>
        <v>600</v>
      </c>
      <c r="AV448" s="19">
        <v>536.15</v>
      </c>
      <c r="AW448" s="19">
        <v>63.85</v>
      </c>
      <c r="AX448" s="19"/>
      <c r="CH448" s="22">
        <f t="shared" si="53"/>
        <v>600</v>
      </c>
      <c r="CI448" s="3">
        <f t="shared" si="54"/>
        <v>0</v>
      </c>
      <c r="CJ448" s="17">
        <f t="shared" si="55"/>
        <v>10917</v>
      </c>
      <c r="CK448" s="3" t="str">
        <f t="shared" si="56"/>
        <v>برنامج دولى</v>
      </c>
    </row>
    <row r="449" spans="4:89" x14ac:dyDescent="0.25">
      <c r="D449" s="19">
        <v>17346</v>
      </c>
      <c r="E449" s="11">
        <v>10918</v>
      </c>
      <c r="F449" s="3" t="s">
        <v>78</v>
      </c>
      <c r="G449" s="19" t="s">
        <v>283</v>
      </c>
      <c r="I449" s="19">
        <v>422.1</v>
      </c>
      <c r="AU449" s="22">
        <f t="shared" si="52"/>
        <v>422.1</v>
      </c>
      <c r="AV449" s="19">
        <v>282.60000000000002</v>
      </c>
      <c r="AW449" s="19">
        <v>37.799999999999997</v>
      </c>
      <c r="AX449" s="19">
        <v>101.7</v>
      </c>
      <c r="CH449" s="22">
        <f t="shared" si="53"/>
        <v>422.1</v>
      </c>
      <c r="CI449" s="3">
        <f t="shared" si="54"/>
        <v>0</v>
      </c>
      <c r="CJ449" s="17">
        <f t="shared" si="55"/>
        <v>10918</v>
      </c>
      <c r="CK449" s="3" t="str">
        <f t="shared" si="56"/>
        <v>برنامج دولى</v>
      </c>
    </row>
    <row r="450" spans="4:89" ht="31.5" x14ac:dyDescent="0.25">
      <c r="D450" s="19">
        <v>17703</v>
      </c>
      <c r="E450" s="17">
        <v>10919</v>
      </c>
      <c r="F450" s="3" t="s">
        <v>78</v>
      </c>
      <c r="G450" s="213" t="s">
        <v>284</v>
      </c>
      <c r="I450" s="19">
        <v>22708.34</v>
      </c>
      <c r="AU450" s="22">
        <f t="shared" si="52"/>
        <v>22708.34</v>
      </c>
      <c r="AV450" s="19">
        <v>19498.14</v>
      </c>
      <c r="AW450" s="19">
        <v>2377.6999999999998</v>
      </c>
      <c r="AX450" s="19">
        <v>832.5</v>
      </c>
      <c r="CH450" s="22">
        <f t="shared" si="53"/>
        <v>22708.34</v>
      </c>
      <c r="CI450" s="3">
        <f t="shared" si="54"/>
        <v>0</v>
      </c>
      <c r="CJ450" s="17">
        <f t="shared" si="55"/>
        <v>10919</v>
      </c>
      <c r="CK450" s="3" t="str">
        <f t="shared" si="56"/>
        <v>برنامج دولى</v>
      </c>
    </row>
    <row r="451" spans="4:89" ht="31.5" x14ac:dyDescent="0.25">
      <c r="D451" s="19">
        <v>17702</v>
      </c>
      <c r="E451" s="11">
        <v>10920</v>
      </c>
      <c r="F451" s="3" t="s">
        <v>78</v>
      </c>
      <c r="G451" s="213" t="s">
        <v>284</v>
      </c>
      <c r="I451" s="19">
        <v>1497.16</v>
      </c>
      <c r="AU451" s="22">
        <f t="shared" si="52"/>
        <v>1497.16</v>
      </c>
      <c r="AV451" s="19">
        <v>1249.4100000000001</v>
      </c>
      <c r="AW451" s="19">
        <v>154.15</v>
      </c>
      <c r="AX451" s="19">
        <v>93.6</v>
      </c>
      <c r="CH451" s="22">
        <f t="shared" si="53"/>
        <v>1497.16</v>
      </c>
      <c r="CI451" s="3">
        <f t="shared" si="54"/>
        <v>0</v>
      </c>
      <c r="CJ451" s="17">
        <f t="shared" si="55"/>
        <v>10920</v>
      </c>
      <c r="CK451" s="3" t="str">
        <f t="shared" si="56"/>
        <v>برنامج دولى</v>
      </c>
    </row>
    <row r="452" spans="4:89" ht="31.5" x14ac:dyDescent="0.25">
      <c r="D452" s="19">
        <v>17701</v>
      </c>
      <c r="E452" s="11">
        <v>10921</v>
      </c>
      <c r="F452" s="3" t="s">
        <v>78</v>
      </c>
      <c r="G452" s="213" t="s">
        <v>284</v>
      </c>
      <c r="I452" s="19">
        <v>281.39999999999998</v>
      </c>
      <c r="AU452" s="22">
        <f t="shared" si="52"/>
        <v>281.39999999999998</v>
      </c>
      <c r="AV452" s="19">
        <v>188.45</v>
      </c>
      <c r="AW452" s="19">
        <f>24+1.15</f>
        <v>25.15</v>
      </c>
      <c r="AX452" s="19">
        <v>67.8</v>
      </c>
      <c r="CH452" s="22">
        <f t="shared" si="53"/>
        <v>281.39999999999998</v>
      </c>
      <c r="CI452" s="3">
        <f t="shared" si="54"/>
        <v>0</v>
      </c>
      <c r="CJ452" s="17">
        <f t="shared" si="55"/>
        <v>10921</v>
      </c>
      <c r="CK452" s="3" t="str">
        <f t="shared" si="56"/>
        <v>برنامج دولى</v>
      </c>
    </row>
    <row r="453" spans="4:89" x14ac:dyDescent="0.25">
      <c r="D453" s="19">
        <v>17700</v>
      </c>
      <c r="E453" s="17">
        <v>10922</v>
      </c>
      <c r="F453" s="3" t="s">
        <v>78</v>
      </c>
      <c r="G453" s="19" t="s">
        <v>285</v>
      </c>
      <c r="I453" s="19">
        <v>6269.03</v>
      </c>
      <c r="AU453" s="22">
        <f t="shared" si="52"/>
        <v>6269.03</v>
      </c>
      <c r="AV453" s="19">
        <v>5567.52</v>
      </c>
      <c r="AW453" s="19">
        <v>670.35</v>
      </c>
      <c r="AX453" s="19">
        <v>31.16</v>
      </c>
      <c r="CH453" s="22">
        <f t="shared" si="53"/>
        <v>6269.0300000000007</v>
      </c>
      <c r="CI453" s="3">
        <f t="shared" si="54"/>
        <v>0</v>
      </c>
      <c r="CJ453" s="17">
        <f t="shared" si="55"/>
        <v>10922</v>
      </c>
      <c r="CK453" s="3" t="str">
        <f t="shared" si="56"/>
        <v>برنامج دولى</v>
      </c>
    </row>
    <row r="454" spans="4:89" x14ac:dyDescent="0.25">
      <c r="D454" s="19">
        <v>17699</v>
      </c>
      <c r="E454" s="11">
        <v>10923</v>
      </c>
      <c r="F454" s="3" t="s">
        <v>78</v>
      </c>
      <c r="G454" s="19" t="s">
        <v>286</v>
      </c>
      <c r="I454" s="19">
        <v>8540.49</v>
      </c>
      <c r="AU454" s="22">
        <f t="shared" si="52"/>
        <v>8540.49</v>
      </c>
      <c r="AV454" s="19">
        <v>7562.92</v>
      </c>
      <c r="AW454" s="19">
        <v>911.25</v>
      </c>
      <c r="AX454" s="19">
        <v>66.319999999999993</v>
      </c>
      <c r="CH454" s="22">
        <f t="shared" si="53"/>
        <v>8540.49</v>
      </c>
      <c r="CI454" s="3">
        <f t="shared" si="54"/>
        <v>0</v>
      </c>
      <c r="CJ454" s="17">
        <f t="shared" si="55"/>
        <v>10923</v>
      </c>
      <c r="CK454" s="3" t="str">
        <f t="shared" si="56"/>
        <v>برنامج دولى</v>
      </c>
    </row>
    <row r="455" spans="4:89" x14ac:dyDescent="0.25">
      <c r="D455" s="19">
        <v>17706</v>
      </c>
      <c r="E455" s="11">
        <v>10924</v>
      </c>
      <c r="F455" s="3" t="s">
        <v>78</v>
      </c>
      <c r="G455" s="19" t="s">
        <v>287</v>
      </c>
      <c r="I455" s="19">
        <v>5370.59</v>
      </c>
      <c r="AU455" s="22">
        <f t="shared" si="52"/>
        <v>5370.59</v>
      </c>
      <c r="AV455" s="19">
        <v>4603.54</v>
      </c>
      <c r="AW455" s="19">
        <v>557.29999999999995</v>
      </c>
      <c r="AX455" s="19">
        <v>209.75</v>
      </c>
      <c r="CH455" s="22">
        <f t="shared" si="53"/>
        <v>5370.59</v>
      </c>
      <c r="CI455" s="3">
        <f t="shared" si="54"/>
        <v>0</v>
      </c>
      <c r="CJ455" s="17">
        <f t="shared" si="55"/>
        <v>10924</v>
      </c>
      <c r="CK455" s="3" t="str">
        <f t="shared" si="56"/>
        <v>برنامج دولى</v>
      </c>
    </row>
    <row r="456" spans="4:89" x14ac:dyDescent="0.25">
      <c r="D456" s="19">
        <v>17705</v>
      </c>
      <c r="E456" s="17">
        <v>10925</v>
      </c>
      <c r="F456" s="3" t="s">
        <v>78</v>
      </c>
      <c r="G456" s="213" t="s">
        <v>287</v>
      </c>
      <c r="I456" s="19">
        <v>580.39</v>
      </c>
      <c r="AU456" s="22">
        <f t="shared" si="52"/>
        <v>580.39</v>
      </c>
      <c r="AV456" s="19">
        <v>388.5</v>
      </c>
      <c r="AW456" s="19">
        <v>52.05</v>
      </c>
      <c r="AX456" s="19">
        <v>139.84</v>
      </c>
      <c r="CH456" s="22">
        <f t="shared" si="53"/>
        <v>580.39</v>
      </c>
      <c r="CI456" s="3">
        <f t="shared" si="54"/>
        <v>0</v>
      </c>
      <c r="CJ456" s="17">
        <f t="shared" si="55"/>
        <v>10925</v>
      </c>
      <c r="CK456" s="3" t="str">
        <f t="shared" si="56"/>
        <v>برنامج دولى</v>
      </c>
    </row>
    <row r="457" spans="4:89" x14ac:dyDescent="0.25">
      <c r="D457" s="19">
        <v>17704</v>
      </c>
      <c r="E457" s="11">
        <v>10926</v>
      </c>
      <c r="F457" s="3" t="s">
        <v>78</v>
      </c>
      <c r="G457" s="213" t="s">
        <v>287</v>
      </c>
      <c r="I457" s="19">
        <v>316.58</v>
      </c>
      <c r="AU457" s="22">
        <f t="shared" si="52"/>
        <v>316.58</v>
      </c>
      <c r="AV457" s="19">
        <v>212.05</v>
      </c>
      <c r="AW457" s="19">
        <v>28.25</v>
      </c>
      <c r="AX457" s="19">
        <v>76.28</v>
      </c>
      <c r="CH457" s="22">
        <f t="shared" si="53"/>
        <v>316.58000000000004</v>
      </c>
      <c r="CI457" s="3">
        <f t="shared" si="54"/>
        <v>0</v>
      </c>
      <c r="CJ457" s="17">
        <f t="shared" si="55"/>
        <v>10926</v>
      </c>
      <c r="CK457" s="3" t="str">
        <f t="shared" si="56"/>
        <v>برنامج دولى</v>
      </c>
    </row>
    <row r="458" spans="4:89" x14ac:dyDescent="0.25">
      <c r="D458" s="19">
        <v>17698</v>
      </c>
      <c r="E458" s="11">
        <v>10927</v>
      </c>
      <c r="F458" s="3" t="s">
        <v>78</v>
      </c>
      <c r="G458" s="19" t="s">
        <v>288</v>
      </c>
      <c r="I458" s="19">
        <v>703.5</v>
      </c>
      <c r="AU458" s="22">
        <f t="shared" si="52"/>
        <v>703.5</v>
      </c>
      <c r="AV458" s="19">
        <v>470.7</v>
      </c>
      <c r="AW458" s="19">
        <v>63.3</v>
      </c>
      <c r="AX458" s="19">
        <v>169.5</v>
      </c>
      <c r="CH458" s="22">
        <f t="shared" si="53"/>
        <v>703.5</v>
      </c>
      <c r="CI458" s="3">
        <f t="shared" si="54"/>
        <v>0</v>
      </c>
      <c r="CJ458" s="17">
        <f t="shared" si="55"/>
        <v>10927</v>
      </c>
      <c r="CK458" s="3" t="str">
        <f t="shared" si="56"/>
        <v>برنامج دولى</v>
      </c>
    </row>
    <row r="459" spans="4:89" x14ac:dyDescent="0.25">
      <c r="D459" s="19">
        <v>17697</v>
      </c>
      <c r="E459" s="17">
        <v>10928</v>
      </c>
      <c r="F459" s="3" t="s">
        <v>78</v>
      </c>
      <c r="G459" s="19" t="s">
        <v>288</v>
      </c>
      <c r="I459" s="19">
        <v>17767</v>
      </c>
      <c r="AU459" s="22">
        <f t="shared" si="52"/>
        <v>17767</v>
      </c>
      <c r="AV459" s="19">
        <v>15307.36</v>
      </c>
      <c r="AW459" s="19">
        <v>1858.6</v>
      </c>
      <c r="AX459" s="19">
        <v>601.04</v>
      </c>
      <c r="CH459" s="22">
        <f t="shared" si="53"/>
        <v>17767</v>
      </c>
      <c r="CI459" s="3">
        <f t="shared" si="54"/>
        <v>0</v>
      </c>
      <c r="CJ459" s="17">
        <f t="shared" si="55"/>
        <v>10928</v>
      </c>
      <c r="CK459" s="3" t="str">
        <f t="shared" si="56"/>
        <v>برنامج دولى</v>
      </c>
    </row>
    <row r="460" spans="4:89" x14ac:dyDescent="0.25">
      <c r="D460" s="19">
        <v>17696</v>
      </c>
      <c r="E460" s="11">
        <v>10929</v>
      </c>
      <c r="F460" s="3" t="s">
        <v>78</v>
      </c>
      <c r="G460" s="19" t="s">
        <v>288</v>
      </c>
      <c r="I460" s="19">
        <v>703.5</v>
      </c>
      <c r="AU460" s="22">
        <f t="shared" si="52"/>
        <v>703.5</v>
      </c>
      <c r="AV460" s="19">
        <v>470.6</v>
      </c>
      <c r="AW460" s="19">
        <v>63.4</v>
      </c>
      <c r="AX460" s="19">
        <v>169.5</v>
      </c>
      <c r="CH460" s="22">
        <f t="shared" si="53"/>
        <v>703.5</v>
      </c>
      <c r="CI460" s="3">
        <f t="shared" si="54"/>
        <v>0</v>
      </c>
      <c r="CJ460" s="17">
        <f t="shared" si="55"/>
        <v>10929</v>
      </c>
      <c r="CK460" s="3" t="str">
        <f t="shared" si="56"/>
        <v>برنامج دولى</v>
      </c>
    </row>
    <row r="461" spans="4:89" x14ac:dyDescent="0.25">
      <c r="D461" s="19">
        <v>17692</v>
      </c>
      <c r="E461" s="11">
        <v>10930</v>
      </c>
      <c r="F461" s="3" t="s">
        <v>78</v>
      </c>
      <c r="G461" s="19" t="s">
        <v>289</v>
      </c>
      <c r="I461" s="19">
        <v>30655.32</v>
      </c>
      <c r="AU461" s="22">
        <f t="shared" si="52"/>
        <v>30655.32</v>
      </c>
      <c r="AV461" s="19">
        <v>24752.78</v>
      </c>
      <c r="AW461" s="19">
        <v>3085.2</v>
      </c>
      <c r="AX461" s="19">
        <v>2817.34</v>
      </c>
      <c r="CH461" s="22">
        <f t="shared" si="53"/>
        <v>30655.32</v>
      </c>
      <c r="CI461" s="3">
        <f t="shared" si="54"/>
        <v>0</v>
      </c>
      <c r="CJ461" s="17">
        <f t="shared" si="55"/>
        <v>10930</v>
      </c>
      <c r="CK461" s="3" t="str">
        <f t="shared" si="56"/>
        <v>برنامج دولى</v>
      </c>
    </row>
    <row r="462" spans="4:89" x14ac:dyDescent="0.25">
      <c r="D462" s="19">
        <v>17691</v>
      </c>
      <c r="E462" s="17">
        <v>10931</v>
      </c>
      <c r="F462" s="3" t="s">
        <v>78</v>
      </c>
      <c r="G462" s="19" t="s">
        <v>289</v>
      </c>
      <c r="I462" s="19">
        <v>3271.28</v>
      </c>
      <c r="AU462" s="22">
        <f t="shared" si="52"/>
        <v>3271.28</v>
      </c>
      <c r="AV462" s="19">
        <v>2188.3000000000002</v>
      </c>
      <c r="AW462" s="19">
        <v>294.8</v>
      </c>
      <c r="AX462" s="19">
        <v>788.18</v>
      </c>
      <c r="CH462" s="22">
        <f t="shared" si="53"/>
        <v>3271.28</v>
      </c>
      <c r="CI462" s="3">
        <f t="shared" si="54"/>
        <v>0</v>
      </c>
      <c r="CJ462" s="17">
        <f t="shared" si="55"/>
        <v>10931</v>
      </c>
      <c r="CK462" s="3" t="str">
        <f t="shared" si="56"/>
        <v>برنامج دولى</v>
      </c>
    </row>
    <row r="463" spans="4:89" x14ac:dyDescent="0.25">
      <c r="D463" s="19">
        <v>17690</v>
      </c>
      <c r="E463" s="11">
        <v>10932</v>
      </c>
      <c r="F463" s="3" t="s">
        <v>78</v>
      </c>
      <c r="G463" s="19" t="s">
        <v>289</v>
      </c>
      <c r="I463" s="19">
        <v>844.2</v>
      </c>
      <c r="AU463" s="22">
        <f t="shared" si="52"/>
        <v>844.2</v>
      </c>
      <c r="AV463" s="19">
        <v>564.65</v>
      </c>
      <c r="AW463" s="19">
        <v>76.150000000000006</v>
      </c>
      <c r="AX463" s="19">
        <v>203.4</v>
      </c>
      <c r="CH463" s="22">
        <f t="shared" si="53"/>
        <v>844.19999999999993</v>
      </c>
      <c r="CI463" s="3">
        <f t="shared" si="54"/>
        <v>0</v>
      </c>
      <c r="CJ463" s="17">
        <f t="shared" si="55"/>
        <v>10932</v>
      </c>
      <c r="CK463" s="3" t="str">
        <f t="shared" si="56"/>
        <v>برنامج دولى</v>
      </c>
    </row>
    <row r="464" spans="4:89" x14ac:dyDescent="0.25">
      <c r="D464" s="19">
        <v>17695</v>
      </c>
      <c r="E464" s="11">
        <v>10933</v>
      </c>
      <c r="F464" s="3" t="s">
        <v>78</v>
      </c>
      <c r="G464" s="19" t="s">
        <v>289</v>
      </c>
      <c r="I464" s="19">
        <v>12864.28</v>
      </c>
      <c r="AU464" s="22">
        <f t="shared" si="52"/>
        <v>12864.28</v>
      </c>
      <c r="AV464" s="19">
        <v>10058.799999999999</v>
      </c>
      <c r="AW464" s="19">
        <v>1267.25</v>
      </c>
      <c r="AX464" s="19">
        <v>1538.23</v>
      </c>
      <c r="CH464" s="22">
        <f t="shared" si="53"/>
        <v>12864.279999999999</v>
      </c>
      <c r="CI464" s="3">
        <f t="shared" si="54"/>
        <v>0</v>
      </c>
      <c r="CJ464" s="17">
        <f t="shared" si="55"/>
        <v>10933</v>
      </c>
      <c r="CK464" s="3" t="str">
        <f t="shared" si="56"/>
        <v>برنامج دولى</v>
      </c>
    </row>
    <row r="465" spans="4:89" x14ac:dyDescent="0.25">
      <c r="D465" s="19">
        <v>17694</v>
      </c>
      <c r="E465" s="17">
        <v>10934</v>
      </c>
      <c r="F465" s="3" t="s">
        <v>78</v>
      </c>
      <c r="G465" s="19" t="s">
        <v>289</v>
      </c>
      <c r="I465" s="19">
        <v>1266.3</v>
      </c>
      <c r="AU465" s="22">
        <f t="shared" si="52"/>
        <v>1266.3</v>
      </c>
      <c r="AV465" s="19">
        <v>847.1</v>
      </c>
      <c r="AW465" s="19">
        <v>114.1</v>
      </c>
      <c r="AX465" s="19">
        <v>305.10000000000002</v>
      </c>
      <c r="CH465" s="22">
        <f t="shared" si="53"/>
        <v>1266.3000000000002</v>
      </c>
      <c r="CI465" s="3">
        <f t="shared" si="54"/>
        <v>0</v>
      </c>
      <c r="CJ465" s="17">
        <f t="shared" si="55"/>
        <v>10934</v>
      </c>
      <c r="CK465" s="3" t="str">
        <f t="shared" si="56"/>
        <v>برنامج دولى</v>
      </c>
    </row>
    <row r="466" spans="4:89" x14ac:dyDescent="0.25">
      <c r="D466" s="19">
        <v>17693</v>
      </c>
      <c r="E466" s="11">
        <v>10935</v>
      </c>
      <c r="F466" s="3" t="s">
        <v>78</v>
      </c>
      <c r="G466" s="19" t="s">
        <v>289</v>
      </c>
      <c r="I466" s="19">
        <v>422.1</v>
      </c>
      <c r="AU466" s="22">
        <f t="shared" ref="AU466:AU497" si="57">SUM(I466:AS466)</f>
        <v>422.1</v>
      </c>
      <c r="AV466" s="19">
        <v>282.60000000000002</v>
      </c>
      <c r="AW466" s="19">
        <v>37.799999999999997</v>
      </c>
      <c r="AX466" s="19">
        <v>101.7</v>
      </c>
      <c r="CH466" s="22">
        <f t="shared" ref="CH466:CH497" si="58">SUM(AV466:CG466)</f>
        <v>422.1</v>
      </c>
      <c r="CI466" s="3">
        <f t="shared" ref="CI466:CI497" si="59">+CH466-AU466</f>
        <v>0</v>
      </c>
      <c r="CJ466" s="17">
        <f t="shared" ref="CJ466:CJ497" si="60">+E466</f>
        <v>10935</v>
      </c>
      <c r="CK466" s="3" t="str">
        <f t="shared" ref="CK466:CK497" si="61">+F466</f>
        <v>برنامج دولى</v>
      </c>
    </row>
    <row r="467" spans="4:89" x14ac:dyDescent="0.25">
      <c r="D467" s="19">
        <v>17689</v>
      </c>
      <c r="E467" s="11">
        <v>10936</v>
      </c>
      <c r="F467" s="3" t="s">
        <v>78</v>
      </c>
      <c r="G467" s="19" t="s">
        <v>290</v>
      </c>
      <c r="I467" s="19">
        <v>5236.2</v>
      </c>
      <c r="AU467" s="22">
        <f t="shared" si="57"/>
        <v>5236.2</v>
      </c>
      <c r="AV467" s="19">
        <v>3484.5</v>
      </c>
      <c r="AW467" s="19">
        <v>464.15</v>
      </c>
      <c r="AX467" s="19">
        <v>1287.55</v>
      </c>
      <c r="CH467" s="22">
        <f t="shared" si="58"/>
        <v>5236.2</v>
      </c>
      <c r="CI467" s="3">
        <f t="shared" si="59"/>
        <v>0</v>
      </c>
      <c r="CJ467" s="17">
        <f t="shared" si="60"/>
        <v>10936</v>
      </c>
      <c r="CK467" s="3" t="str">
        <f t="shared" si="61"/>
        <v>برنامج دولى</v>
      </c>
    </row>
    <row r="468" spans="4:89" x14ac:dyDescent="0.25">
      <c r="D468" s="19">
        <v>17688</v>
      </c>
      <c r="E468" s="17">
        <v>10937</v>
      </c>
      <c r="F468" s="3" t="s">
        <v>78</v>
      </c>
      <c r="G468" s="19" t="s">
        <v>290</v>
      </c>
      <c r="I468" s="19">
        <v>322.44</v>
      </c>
      <c r="AU468" s="22">
        <f t="shared" si="57"/>
        <v>322.44</v>
      </c>
      <c r="AV468" s="19">
        <v>215.95</v>
      </c>
      <c r="AW468" s="19">
        <v>28.8</v>
      </c>
      <c r="AX468" s="19">
        <v>77.69</v>
      </c>
      <c r="CH468" s="22">
        <f t="shared" si="58"/>
        <v>322.44</v>
      </c>
      <c r="CI468" s="3">
        <f t="shared" si="59"/>
        <v>0</v>
      </c>
      <c r="CJ468" s="17">
        <f t="shared" si="60"/>
        <v>10937</v>
      </c>
      <c r="CK468" s="3" t="str">
        <f t="shared" si="61"/>
        <v>برنامج دولى</v>
      </c>
    </row>
    <row r="469" spans="4:89" x14ac:dyDescent="0.25">
      <c r="D469" s="19">
        <v>17760</v>
      </c>
      <c r="E469" s="11">
        <v>10938</v>
      </c>
      <c r="F469" s="3" t="s">
        <v>78</v>
      </c>
      <c r="G469" s="19" t="s">
        <v>290</v>
      </c>
      <c r="I469" s="19">
        <v>351.75</v>
      </c>
      <c r="AU469" s="22">
        <f t="shared" si="57"/>
        <v>351.75</v>
      </c>
      <c r="AV469" s="19">
        <v>235.55</v>
      </c>
      <c r="AW469" s="19">
        <v>31.45</v>
      </c>
      <c r="AX469" s="19">
        <v>84.75</v>
      </c>
      <c r="CH469" s="22">
        <f t="shared" si="58"/>
        <v>351.75</v>
      </c>
      <c r="CI469" s="3">
        <f t="shared" si="59"/>
        <v>0</v>
      </c>
      <c r="CJ469" s="17">
        <f t="shared" si="60"/>
        <v>10938</v>
      </c>
      <c r="CK469" s="3" t="str">
        <f t="shared" si="61"/>
        <v>برنامج دولى</v>
      </c>
    </row>
    <row r="470" spans="4:89" x14ac:dyDescent="0.25">
      <c r="D470" s="19">
        <v>17759</v>
      </c>
      <c r="E470" s="11">
        <v>10939</v>
      </c>
      <c r="F470" s="3" t="s">
        <v>78</v>
      </c>
      <c r="G470" s="19" t="s">
        <v>290</v>
      </c>
      <c r="I470" s="19">
        <v>2550.19</v>
      </c>
      <c r="AU470" s="22">
        <f t="shared" si="57"/>
        <v>2550.19</v>
      </c>
      <c r="AV470" s="19">
        <v>1708.55</v>
      </c>
      <c r="AW470" s="19">
        <v>227.2</v>
      </c>
      <c r="AX470" s="19">
        <v>614.44000000000005</v>
      </c>
      <c r="CH470" s="22">
        <f t="shared" si="58"/>
        <v>2550.19</v>
      </c>
      <c r="CI470" s="3">
        <f t="shared" si="59"/>
        <v>0</v>
      </c>
      <c r="CJ470" s="17">
        <f t="shared" si="60"/>
        <v>10939</v>
      </c>
      <c r="CK470" s="3" t="str">
        <f t="shared" si="61"/>
        <v>برنامج دولى</v>
      </c>
    </row>
    <row r="471" spans="4:89" x14ac:dyDescent="0.25">
      <c r="D471" s="19">
        <v>17686</v>
      </c>
      <c r="E471" s="17">
        <v>10940</v>
      </c>
      <c r="F471" s="3" t="s">
        <v>78</v>
      </c>
      <c r="G471" s="19" t="s">
        <v>290</v>
      </c>
      <c r="I471" s="19">
        <v>556.94000000000005</v>
      </c>
      <c r="AU471" s="22">
        <f t="shared" si="57"/>
        <v>556.94000000000005</v>
      </c>
      <c r="AV471" s="19">
        <v>373.15</v>
      </c>
      <c r="AW471" s="19">
        <v>49.6</v>
      </c>
      <c r="AX471" s="19">
        <v>134.19</v>
      </c>
      <c r="CH471" s="22">
        <f t="shared" si="58"/>
        <v>556.94000000000005</v>
      </c>
      <c r="CI471" s="3">
        <f t="shared" si="59"/>
        <v>0</v>
      </c>
      <c r="CJ471" s="17">
        <f t="shared" si="60"/>
        <v>10940</v>
      </c>
      <c r="CK471" s="3" t="str">
        <f t="shared" si="61"/>
        <v>برنامج دولى</v>
      </c>
    </row>
    <row r="472" spans="4:89" x14ac:dyDescent="0.25">
      <c r="D472" s="19">
        <v>17687</v>
      </c>
      <c r="E472" s="11">
        <v>10941</v>
      </c>
      <c r="F472" s="3" t="s">
        <v>78</v>
      </c>
      <c r="G472" s="19" t="s">
        <v>290</v>
      </c>
      <c r="I472" s="19">
        <v>644.88</v>
      </c>
      <c r="AU472" s="22">
        <f t="shared" si="57"/>
        <v>644.88</v>
      </c>
      <c r="AV472" s="19">
        <v>432</v>
      </c>
      <c r="AW472" s="19">
        <f>55+2.5</f>
        <v>57.5</v>
      </c>
      <c r="AX472" s="19">
        <v>155.38</v>
      </c>
      <c r="CH472" s="22">
        <f t="shared" si="58"/>
        <v>644.88</v>
      </c>
      <c r="CI472" s="3">
        <f t="shared" si="59"/>
        <v>0</v>
      </c>
      <c r="CJ472" s="17">
        <f t="shared" si="60"/>
        <v>10941</v>
      </c>
      <c r="CK472" s="3" t="str">
        <f t="shared" si="61"/>
        <v>برنامج دولى</v>
      </c>
    </row>
    <row r="473" spans="4:89" x14ac:dyDescent="0.25">
      <c r="D473" s="19">
        <v>18133</v>
      </c>
      <c r="E473" s="11">
        <v>10942</v>
      </c>
      <c r="F473" s="3" t="s">
        <v>78</v>
      </c>
      <c r="G473" s="19" t="s">
        <v>291</v>
      </c>
      <c r="I473" s="19">
        <v>23049.81</v>
      </c>
      <c r="AU473" s="22">
        <f t="shared" si="57"/>
        <v>23049.81</v>
      </c>
      <c r="AV473" s="19">
        <v>16258.31</v>
      </c>
      <c r="AW473" s="19">
        <v>2124.4</v>
      </c>
      <c r="AX473" s="19">
        <v>4667.1000000000004</v>
      </c>
      <c r="CH473" s="22">
        <f t="shared" si="58"/>
        <v>23049.809999999998</v>
      </c>
      <c r="CI473" s="3">
        <f t="shared" si="59"/>
        <v>0</v>
      </c>
      <c r="CJ473" s="17">
        <f t="shared" si="60"/>
        <v>10942</v>
      </c>
      <c r="CK473" s="3" t="str">
        <f t="shared" si="61"/>
        <v>برنامج دولى</v>
      </c>
    </row>
    <row r="474" spans="4:89" x14ac:dyDescent="0.25">
      <c r="D474" s="19">
        <v>18134</v>
      </c>
      <c r="E474" s="17">
        <v>10943</v>
      </c>
      <c r="F474" s="3" t="s">
        <v>78</v>
      </c>
      <c r="G474" s="19" t="s">
        <v>291</v>
      </c>
      <c r="I474" s="19">
        <v>55618.35</v>
      </c>
      <c r="AU474" s="22">
        <f t="shared" si="57"/>
        <v>55618.35</v>
      </c>
      <c r="AV474" s="19">
        <v>37153.18</v>
      </c>
      <c r="AW474" s="19">
        <v>5006.1499999999996</v>
      </c>
      <c r="AX474" s="19">
        <v>13459.02</v>
      </c>
      <c r="CH474" s="22">
        <f t="shared" si="58"/>
        <v>55618.350000000006</v>
      </c>
      <c r="CI474" s="3">
        <f t="shared" si="59"/>
        <v>0</v>
      </c>
      <c r="CJ474" s="17">
        <f t="shared" si="60"/>
        <v>10943</v>
      </c>
      <c r="CK474" s="3" t="str">
        <f t="shared" si="61"/>
        <v>برنامج دولى</v>
      </c>
    </row>
    <row r="475" spans="4:89" x14ac:dyDescent="0.25">
      <c r="D475" s="19">
        <v>18135</v>
      </c>
      <c r="E475" s="11">
        <v>10944</v>
      </c>
      <c r="F475" s="3" t="s">
        <v>78</v>
      </c>
      <c r="G475" s="19" t="s">
        <v>291</v>
      </c>
      <c r="I475" s="19">
        <v>175.88</v>
      </c>
      <c r="AU475" s="22">
        <f t="shared" si="57"/>
        <v>175.88</v>
      </c>
      <c r="AV475" s="19">
        <v>118</v>
      </c>
      <c r="AW475" s="19">
        <v>15.5</v>
      </c>
      <c r="AX475" s="19">
        <v>42.38</v>
      </c>
      <c r="CH475" s="22">
        <f t="shared" si="58"/>
        <v>175.88</v>
      </c>
      <c r="CI475" s="3">
        <f t="shared" si="59"/>
        <v>0</v>
      </c>
      <c r="CJ475" s="17">
        <f t="shared" si="60"/>
        <v>10944</v>
      </c>
      <c r="CK475" s="3" t="str">
        <f t="shared" si="61"/>
        <v>برنامج دولى</v>
      </c>
    </row>
    <row r="476" spans="4:89" x14ac:dyDescent="0.25">
      <c r="D476" s="19">
        <v>18136</v>
      </c>
      <c r="E476" s="11">
        <v>10945</v>
      </c>
      <c r="F476" s="3" t="s">
        <v>78</v>
      </c>
      <c r="G476" s="19" t="s">
        <v>291</v>
      </c>
      <c r="I476" s="19">
        <v>850.06</v>
      </c>
      <c r="AU476" s="22">
        <f t="shared" si="57"/>
        <v>850.06</v>
      </c>
      <c r="AV476" s="19">
        <v>569.25</v>
      </c>
      <c r="AW476" s="19">
        <v>76</v>
      </c>
      <c r="AX476" s="19">
        <v>204.81</v>
      </c>
      <c r="CH476" s="22">
        <f t="shared" si="58"/>
        <v>850.06</v>
      </c>
      <c r="CI476" s="3">
        <f t="shared" si="59"/>
        <v>0</v>
      </c>
      <c r="CJ476" s="17">
        <f t="shared" si="60"/>
        <v>10945</v>
      </c>
      <c r="CK476" s="3" t="str">
        <f t="shared" si="61"/>
        <v>برنامج دولى</v>
      </c>
    </row>
    <row r="477" spans="4:89" x14ac:dyDescent="0.25">
      <c r="D477" s="19">
        <v>18137</v>
      </c>
      <c r="E477" s="17">
        <v>10946</v>
      </c>
      <c r="F477" s="3" t="s">
        <v>78</v>
      </c>
      <c r="G477" s="19" t="s">
        <v>291</v>
      </c>
      <c r="I477" s="19">
        <v>469</v>
      </c>
      <c r="AU477" s="22">
        <f t="shared" si="57"/>
        <v>469</v>
      </c>
      <c r="AV477" s="19">
        <v>314</v>
      </c>
      <c r="AW477" s="19">
        <v>42</v>
      </c>
      <c r="AX477" s="19">
        <v>113</v>
      </c>
      <c r="CH477" s="22">
        <f t="shared" si="58"/>
        <v>469</v>
      </c>
      <c r="CI477" s="3">
        <f t="shared" si="59"/>
        <v>0</v>
      </c>
      <c r="CJ477" s="17">
        <f t="shared" si="60"/>
        <v>10946</v>
      </c>
      <c r="CK477" s="3" t="str">
        <f t="shared" si="61"/>
        <v>برنامج دولى</v>
      </c>
    </row>
    <row r="478" spans="4:89" x14ac:dyDescent="0.25">
      <c r="D478" s="19">
        <v>18138</v>
      </c>
      <c r="E478" s="11">
        <v>10947</v>
      </c>
      <c r="F478" s="3" t="s">
        <v>78</v>
      </c>
      <c r="G478" s="19" t="s">
        <v>291</v>
      </c>
      <c r="I478" s="19">
        <v>87.94</v>
      </c>
      <c r="AU478" s="22">
        <f t="shared" si="57"/>
        <v>87.94</v>
      </c>
      <c r="AV478" s="19">
        <v>59.15</v>
      </c>
      <c r="AW478" s="19">
        <v>7.6</v>
      </c>
      <c r="AX478" s="19">
        <v>21.19</v>
      </c>
      <c r="CH478" s="22">
        <f t="shared" si="58"/>
        <v>87.94</v>
      </c>
      <c r="CI478" s="3">
        <f t="shared" si="59"/>
        <v>0</v>
      </c>
      <c r="CJ478" s="17">
        <f t="shared" si="60"/>
        <v>10947</v>
      </c>
      <c r="CK478" s="3" t="str">
        <f t="shared" si="61"/>
        <v>برنامج دولى</v>
      </c>
    </row>
    <row r="479" spans="4:89" x14ac:dyDescent="0.25">
      <c r="D479" s="19">
        <v>18139</v>
      </c>
      <c r="E479" s="11">
        <v>10948</v>
      </c>
      <c r="F479" s="3" t="s">
        <v>78</v>
      </c>
      <c r="G479" s="19" t="s">
        <v>291</v>
      </c>
      <c r="I479" s="19">
        <v>3640.22</v>
      </c>
      <c r="AU479" s="22">
        <f t="shared" si="57"/>
        <v>3640.22</v>
      </c>
      <c r="AV479" s="19">
        <v>2542.1799999999998</v>
      </c>
      <c r="AW479" s="19">
        <v>336.15</v>
      </c>
      <c r="AX479" s="19">
        <v>761.89</v>
      </c>
      <c r="CH479" s="22">
        <f t="shared" si="58"/>
        <v>3640.22</v>
      </c>
      <c r="CI479" s="3">
        <f t="shared" si="59"/>
        <v>0</v>
      </c>
      <c r="CJ479" s="17">
        <f t="shared" si="60"/>
        <v>10948</v>
      </c>
      <c r="CK479" s="3" t="str">
        <f t="shared" si="61"/>
        <v>برنامج دولى</v>
      </c>
    </row>
    <row r="480" spans="4:89" x14ac:dyDescent="0.25">
      <c r="D480" s="19">
        <v>18140</v>
      </c>
      <c r="E480" s="17">
        <v>10949</v>
      </c>
      <c r="F480" s="3" t="s">
        <v>78</v>
      </c>
      <c r="G480" s="19" t="s">
        <v>291</v>
      </c>
      <c r="I480" s="19">
        <v>175.88</v>
      </c>
      <c r="AU480" s="22">
        <f t="shared" si="57"/>
        <v>175.88</v>
      </c>
      <c r="AV480" s="19">
        <v>118</v>
      </c>
      <c r="AW480" s="19">
        <v>15.5</v>
      </c>
      <c r="AX480" s="19">
        <v>42.38</v>
      </c>
      <c r="CH480" s="22">
        <f t="shared" si="58"/>
        <v>175.88</v>
      </c>
      <c r="CI480" s="3">
        <f t="shared" si="59"/>
        <v>0</v>
      </c>
      <c r="CJ480" s="17">
        <f t="shared" si="60"/>
        <v>10949</v>
      </c>
      <c r="CK480" s="3" t="str">
        <f t="shared" si="61"/>
        <v>برنامج دولى</v>
      </c>
    </row>
    <row r="481" spans="4:89" x14ac:dyDescent="0.25">
      <c r="D481" s="19">
        <v>18141</v>
      </c>
      <c r="E481" s="11">
        <v>10950</v>
      </c>
      <c r="F481" s="3" t="s">
        <v>78</v>
      </c>
      <c r="G481" s="19" t="s">
        <v>291</v>
      </c>
      <c r="I481" s="19">
        <v>820.75</v>
      </c>
      <c r="AU481" s="22">
        <f t="shared" si="57"/>
        <v>820.75</v>
      </c>
      <c r="AV481" s="19">
        <v>548.95000000000005</v>
      </c>
      <c r="AW481" s="19">
        <v>74.05</v>
      </c>
      <c r="AX481" s="19">
        <v>197.75</v>
      </c>
      <c r="CH481" s="22">
        <f t="shared" si="58"/>
        <v>820.75</v>
      </c>
      <c r="CI481" s="3">
        <f t="shared" si="59"/>
        <v>0</v>
      </c>
      <c r="CJ481" s="17">
        <f t="shared" si="60"/>
        <v>10950</v>
      </c>
      <c r="CK481" s="3" t="str">
        <f t="shared" si="61"/>
        <v>برنامج دولى</v>
      </c>
    </row>
    <row r="482" spans="4:89" x14ac:dyDescent="0.25">
      <c r="D482" s="19">
        <v>18142</v>
      </c>
      <c r="E482" s="11">
        <v>10951</v>
      </c>
      <c r="F482" s="3" t="s">
        <v>78</v>
      </c>
      <c r="G482" s="19" t="s">
        <v>291</v>
      </c>
      <c r="I482" s="19">
        <v>205.19</v>
      </c>
      <c r="AU482" s="22">
        <f t="shared" si="57"/>
        <v>205.19</v>
      </c>
      <c r="AV482" s="19">
        <v>137.6</v>
      </c>
      <c r="AW482" s="19">
        <v>18.149999999999999</v>
      </c>
      <c r="AX482" s="19">
        <v>49.44</v>
      </c>
      <c r="CH482" s="22">
        <f t="shared" si="58"/>
        <v>205.19</v>
      </c>
      <c r="CI482" s="3">
        <f t="shared" si="59"/>
        <v>0</v>
      </c>
      <c r="CJ482" s="17">
        <f t="shared" si="60"/>
        <v>10951</v>
      </c>
      <c r="CK482" s="3" t="str">
        <f t="shared" si="61"/>
        <v>برنامج دولى</v>
      </c>
    </row>
    <row r="483" spans="4:89" x14ac:dyDescent="0.25">
      <c r="D483" s="19">
        <v>1814</v>
      </c>
      <c r="E483" s="17">
        <v>10952</v>
      </c>
      <c r="F483" s="3" t="s">
        <v>78</v>
      </c>
      <c r="G483" s="19" t="s">
        <v>291</v>
      </c>
      <c r="I483" s="19">
        <v>3370.94</v>
      </c>
      <c r="AU483" s="22">
        <f t="shared" si="57"/>
        <v>3370.94</v>
      </c>
      <c r="AV483" s="19">
        <v>2255.5</v>
      </c>
      <c r="AW483" s="19">
        <f>287.5+15.75</f>
        <v>303.25</v>
      </c>
      <c r="AX483" s="19">
        <v>812.19</v>
      </c>
      <c r="CH483" s="22">
        <f t="shared" si="58"/>
        <v>3370.94</v>
      </c>
      <c r="CI483" s="3">
        <f t="shared" si="59"/>
        <v>0</v>
      </c>
      <c r="CJ483" s="17">
        <f t="shared" si="60"/>
        <v>10952</v>
      </c>
      <c r="CK483" s="3" t="str">
        <f t="shared" si="61"/>
        <v>برنامج دولى</v>
      </c>
    </row>
    <row r="484" spans="4:89" x14ac:dyDescent="0.25">
      <c r="D484" s="19">
        <v>17978</v>
      </c>
      <c r="E484" s="11">
        <v>10953</v>
      </c>
      <c r="F484" s="3" t="s">
        <v>78</v>
      </c>
      <c r="G484" s="19" t="s">
        <v>292</v>
      </c>
      <c r="I484" s="19">
        <v>50065.57</v>
      </c>
      <c r="AU484" s="22">
        <f t="shared" si="57"/>
        <v>50065.57</v>
      </c>
      <c r="AV484" s="19">
        <v>42607.41</v>
      </c>
      <c r="AW484" s="19">
        <v>5205.3999999999996</v>
      </c>
      <c r="AX484" s="19">
        <v>2252.7600000000002</v>
      </c>
      <c r="CH484" s="22">
        <f t="shared" si="58"/>
        <v>50065.570000000007</v>
      </c>
      <c r="CI484" s="3">
        <f t="shared" si="59"/>
        <v>0</v>
      </c>
      <c r="CJ484" s="17">
        <f t="shared" si="60"/>
        <v>10953</v>
      </c>
      <c r="CK484" s="3" t="str">
        <f t="shared" si="61"/>
        <v>برنامج دولى</v>
      </c>
    </row>
    <row r="485" spans="4:89" x14ac:dyDescent="0.25">
      <c r="D485" s="19">
        <v>17977</v>
      </c>
      <c r="E485" s="11">
        <v>10954</v>
      </c>
      <c r="F485" s="3" t="s">
        <v>78</v>
      </c>
      <c r="G485" s="19" t="s">
        <v>292</v>
      </c>
      <c r="I485" s="19">
        <v>3012.6</v>
      </c>
      <c r="AU485" s="22">
        <f t="shared" si="57"/>
        <v>3012.6</v>
      </c>
      <c r="AV485" s="19">
        <v>2121.9</v>
      </c>
      <c r="AW485" s="19">
        <v>280.5</v>
      </c>
      <c r="AX485" s="19">
        <v>610.20000000000005</v>
      </c>
      <c r="CH485" s="22">
        <f t="shared" si="58"/>
        <v>3012.6000000000004</v>
      </c>
      <c r="CI485" s="3">
        <f t="shared" si="59"/>
        <v>0</v>
      </c>
      <c r="CJ485" s="17">
        <f t="shared" si="60"/>
        <v>10954</v>
      </c>
      <c r="CK485" s="3" t="str">
        <f t="shared" si="61"/>
        <v>برنامج دولى</v>
      </c>
    </row>
    <row r="486" spans="4:89" x14ac:dyDescent="0.25">
      <c r="D486" s="19">
        <v>17976</v>
      </c>
      <c r="E486" s="17">
        <v>10955</v>
      </c>
      <c r="F486" s="3" t="s">
        <v>78</v>
      </c>
      <c r="G486" s="19" t="s">
        <v>292</v>
      </c>
      <c r="I486" s="19">
        <v>105.52</v>
      </c>
      <c r="AU486" s="22">
        <f t="shared" si="57"/>
        <v>105.52</v>
      </c>
      <c r="AV486" s="19">
        <v>70.900000000000006</v>
      </c>
      <c r="AW486" s="19">
        <v>9.1999999999999993</v>
      </c>
      <c r="AX486" s="19">
        <v>25.42</v>
      </c>
      <c r="CH486" s="22">
        <f t="shared" si="58"/>
        <v>105.52000000000001</v>
      </c>
      <c r="CI486" s="3">
        <f t="shared" si="59"/>
        <v>0</v>
      </c>
      <c r="CJ486" s="17">
        <f t="shared" si="60"/>
        <v>10955</v>
      </c>
      <c r="CK486" s="3" t="str">
        <f t="shared" si="61"/>
        <v>برنامج دولى</v>
      </c>
    </row>
    <row r="487" spans="4:89" x14ac:dyDescent="0.25">
      <c r="D487" s="19">
        <v>17975</v>
      </c>
      <c r="E487" s="11">
        <v>10956</v>
      </c>
      <c r="F487" s="3" t="s">
        <v>78</v>
      </c>
      <c r="G487" s="19" t="s">
        <v>292</v>
      </c>
      <c r="I487" s="19">
        <v>246.22</v>
      </c>
      <c r="AU487" s="22">
        <f t="shared" si="57"/>
        <v>246.22</v>
      </c>
      <c r="AV487" s="19">
        <v>165.05</v>
      </c>
      <c r="AW487" s="19">
        <v>21.85</v>
      </c>
      <c r="AX487" s="19">
        <v>59.32</v>
      </c>
      <c r="CH487" s="22">
        <f t="shared" si="58"/>
        <v>246.22</v>
      </c>
      <c r="CI487" s="3">
        <f t="shared" si="59"/>
        <v>0</v>
      </c>
      <c r="CJ487" s="17">
        <f t="shared" si="60"/>
        <v>10956</v>
      </c>
      <c r="CK487" s="3" t="str">
        <f t="shared" si="61"/>
        <v>برنامج دولى</v>
      </c>
    </row>
    <row r="488" spans="4:89" x14ac:dyDescent="0.25">
      <c r="D488" s="19">
        <v>17974</v>
      </c>
      <c r="E488" s="11">
        <v>10957</v>
      </c>
      <c r="F488" s="3" t="s">
        <v>78</v>
      </c>
      <c r="G488" s="19" t="s">
        <v>292</v>
      </c>
      <c r="I488" s="19">
        <v>1793.93</v>
      </c>
      <c r="AU488" s="22">
        <f t="shared" si="57"/>
        <v>1793.93</v>
      </c>
      <c r="AV488" s="19">
        <v>1198.05</v>
      </c>
      <c r="AW488" s="19">
        <f>153+10.65</f>
        <v>163.65</v>
      </c>
      <c r="AX488" s="19">
        <v>432.23</v>
      </c>
      <c r="CH488" s="22">
        <f t="shared" si="58"/>
        <v>1793.93</v>
      </c>
      <c r="CI488" s="3">
        <f t="shared" si="59"/>
        <v>0</v>
      </c>
      <c r="CJ488" s="17">
        <f t="shared" si="60"/>
        <v>10957</v>
      </c>
      <c r="CK488" s="3" t="str">
        <f t="shared" si="61"/>
        <v>برنامج دولى</v>
      </c>
    </row>
    <row r="489" spans="4:89" x14ac:dyDescent="0.25">
      <c r="D489" s="17">
        <v>18144</v>
      </c>
      <c r="E489" s="11">
        <v>10958</v>
      </c>
      <c r="F489" s="3" t="s">
        <v>119</v>
      </c>
      <c r="G489" s="3" t="s">
        <v>293</v>
      </c>
      <c r="I489" s="3">
        <v>6000</v>
      </c>
      <c r="AU489" s="22">
        <f t="shared" si="57"/>
        <v>6000</v>
      </c>
      <c r="AV489" s="19">
        <v>4521.92</v>
      </c>
      <c r="AW489" s="19">
        <v>1178.08</v>
      </c>
      <c r="AX489" s="19"/>
      <c r="AY489" s="3">
        <v>300</v>
      </c>
      <c r="CH489" s="22">
        <f t="shared" si="58"/>
        <v>6000</v>
      </c>
      <c r="CI489" s="3">
        <f t="shared" si="59"/>
        <v>0</v>
      </c>
      <c r="CJ489" s="17">
        <f t="shared" si="60"/>
        <v>10958</v>
      </c>
      <c r="CK489" s="3" t="str">
        <f t="shared" si="61"/>
        <v>خ ت صيدلة</v>
      </c>
    </row>
    <row r="490" spans="4:89" x14ac:dyDescent="0.25">
      <c r="D490" s="17">
        <v>18145</v>
      </c>
      <c r="E490" s="17">
        <v>10959</v>
      </c>
      <c r="F490" s="3" t="s">
        <v>119</v>
      </c>
      <c r="G490" s="3" t="s">
        <v>293</v>
      </c>
      <c r="I490" s="3">
        <v>20000</v>
      </c>
      <c r="AU490" s="22">
        <f t="shared" si="57"/>
        <v>20000</v>
      </c>
      <c r="AV490" s="19">
        <v>15072.96</v>
      </c>
      <c r="AW490" s="19">
        <v>3927.04</v>
      </c>
      <c r="AX490" s="19"/>
      <c r="AY490" s="3">
        <v>1000</v>
      </c>
      <c r="CH490" s="22">
        <f t="shared" si="58"/>
        <v>20000</v>
      </c>
      <c r="CI490" s="3">
        <f t="shared" si="59"/>
        <v>0</v>
      </c>
      <c r="CJ490" s="17">
        <f t="shared" si="60"/>
        <v>10959</v>
      </c>
      <c r="CK490" s="3" t="str">
        <f t="shared" si="61"/>
        <v>خ ت صيدلة</v>
      </c>
    </row>
    <row r="491" spans="4:89" x14ac:dyDescent="0.25">
      <c r="D491" s="17">
        <v>18146</v>
      </c>
      <c r="E491" s="11">
        <v>10960</v>
      </c>
      <c r="F491" s="3" t="s">
        <v>119</v>
      </c>
      <c r="G491" s="3" t="s">
        <v>294</v>
      </c>
      <c r="I491" s="3">
        <v>3900</v>
      </c>
      <c r="AU491" s="22">
        <f t="shared" si="57"/>
        <v>3900</v>
      </c>
      <c r="AV491" s="19">
        <v>2942.04</v>
      </c>
      <c r="AW491" s="19">
        <v>762.96</v>
      </c>
      <c r="AX491" s="19"/>
      <c r="AY491" s="3">
        <v>195</v>
      </c>
      <c r="CH491" s="22">
        <f t="shared" si="58"/>
        <v>3900</v>
      </c>
      <c r="CI491" s="3">
        <f t="shared" si="59"/>
        <v>0</v>
      </c>
      <c r="CJ491" s="17">
        <f t="shared" si="60"/>
        <v>10960</v>
      </c>
      <c r="CK491" s="3" t="str">
        <f t="shared" si="61"/>
        <v>خ ت صيدلة</v>
      </c>
    </row>
    <row r="492" spans="4:89" x14ac:dyDescent="0.25">
      <c r="D492" s="17">
        <v>18147</v>
      </c>
      <c r="E492" s="11">
        <v>10961</v>
      </c>
      <c r="F492" s="3" t="s">
        <v>119</v>
      </c>
      <c r="G492" s="3" t="s">
        <v>295</v>
      </c>
      <c r="I492" s="3">
        <v>250</v>
      </c>
      <c r="AU492" s="22">
        <f t="shared" si="57"/>
        <v>250</v>
      </c>
      <c r="AV492" s="19">
        <v>200.86</v>
      </c>
      <c r="AW492" s="19">
        <v>36.64</v>
      </c>
      <c r="AX492" s="19"/>
      <c r="AY492" s="3">
        <v>12.5</v>
      </c>
      <c r="CH492" s="22">
        <f t="shared" si="58"/>
        <v>250</v>
      </c>
      <c r="CI492" s="3">
        <f t="shared" si="59"/>
        <v>0</v>
      </c>
      <c r="CJ492" s="17">
        <f t="shared" si="60"/>
        <v>10961</v>
      </c>
      <c r="CK492" s="3" t="str">
        <f t="shared" si="61"/>
        <v>خ ت صيدلة</v>
      </c>
    </row>
    <row r="493" spans="4:89" x14ac:dyDescent="0.25">
      <c r="D493" s="17">
        <v>18148</v>
      </c>
      <c r="E493" s="17">
        <v>10962</v>
      </c>
      <c r="F493" s="3" t="s">
        <v>119</v>
      </c>
      <c r="G493" s="3" t="s">
        <v>295</v>
      </c>
      <c r="I493" s="3">
        <v>439.69</v>
      </c>
      <c r="AU493" s="22">
        <f t="shared" si="57"/>
        <v>439.69</v>
      </c>
      <c r="AV493" s="19">
        <v>281.83999999999997</v>
      </c>
      <c r="AW493" s="19">
        <v>33.159999999999997</v>
      </c>
      <c r="AX493" s="19">
        <v>105.94</v>
      </c>
      <c r="AY493" s="3">
        <v>18.75</v>
      </c>
      <c r="CH493" s="22">
        <f t="shared" si="58"/>
        <v>439.69</v>
      </c>
      <c r="CI493" s="3">
        <f t="shared" si="59"/>
        <v>0</v>
      </c>
      <c r="CJ493" s="17">
        <f t="shared" si="60"/>
        <v>10962</v>
      </c>
      <c r="CK493" s="3" t="str">
        <f t="shared" si="61"/>
        <v>خ ت صيدلة</v>
      </c>
    </row>
    <row r="494" spans="4:89" x14ac:dyDescent="0.25">
      <c r="D494" s="17">
        <v>18149</v>
      </c>
      <c r="E494" s="11">
        <v>10963</v>
      </c>
      <c r="F494" s="3" t="s">
        <v>119</v>
      </c>
      <c r="G494" s="3" t="s">
        <v>296</v>
      </c>
      <c r="I494" s="3">
        <v>2868.33</v>
      </c>
      <c r="AU494" s="22">
        <f t="shared" si="57"/>
        <v>2868.33</v>
      </c>
      <c r="AV494" s="19">
        <v>1829.97</v>
      </c>
      <c r="AW494" s="19">
        <v>214.89</v>
      </c>
      <c r="AX494" s="19">
        <v>701.47</v>
      </c>
      <c r="AY494" s="3">
        <v>122</v>
      </c>
      <c r="CH494" s="22">
        <f t="shared" si="58"/>
        <v>2868.33</v>
      </c>
      <c r="CI494" s="3">
        <f t="shared" si="59"/>
        <v>0</v>
      </c>
      <c r="CJ494" s="17">
        <f t="shared" si="60"/>
        <v>10963</v>
      </c>
      <c r="CK494" s="3" t="str">
        <f t="shared" si="61"/>
        <v>خ ت صيدلة</v>
      </c>
    </row>
    <row r="495" spans="4:89" x14ac:dyDescent="0.25">
      <c r="D495" s="17">
        <v>18150</v>
      </c>
      <c r="E495" s="11">
        <v>10964</v>
      </c>
      <c r="F495" s="3" t="s">
        <v>119</v>
      </c>
      <c r="G495" s="3" t="s">
        <v>297</v>
      </c>
      <c r="I495" s="3">
        <v>6767.64</v>
      </c>
      <c r="AU495" s="22">
        <f t="shared" si="57"/>
        <v>6767.64</v>
      </c>
      <c r="AV495" s="19">
        <v>4576.01</v>
      </c>
      <c r="AW495" s="19">
        <v>856.74</v>
      </c>
      <c r="AX495" s="19">
        <v>1027.8900000000001</v>
      </c>
      <c r="AY495" s="3">
        <v>307</v>
      </c>
      <c r="CH495" s="22">
        <f t="shared" si="58"/>
        <v>6767.64</v>
      </c>
      <c r="CI495" s="3">
        <f t="shared" si="59"/>
        <v>0</v>
      </c>
      <c r="CJ495" s="17">
        <f t="shared" si="60"/>
        <v>10964</v>
      </c>
      <c r="CK495" s="3" t="str">
        <f t="shared" si="61"/>
        <v>خ ت صيدلة</v>
      </c>
    </row>
    <row r="496" spans="4:89" x14ac:dyDescent="0.25">
      <c r="D496" s="17">
        <v>18151</v>
      </c>
      <c r="E496" s="11">
        <v>10965</v>
      </c>
      <c r="F496" s="3" t="s">
        <v>119</v>
      </c>
      <c r="G496" s="3" t="s">
        <v>297</v>
      </c>
      <c r="I496" s="3">
        <v>2637.91</v>
      </c>
      <c r="AU496" s="22">
        <f t="shared" si="57"/>
        <v>2637.91</v>
      </c>
      <c r="AV496" s="19">
        <v>1985.89</v>
      </c>
      <c r="AW496" s="19">
        <f>50.92+12.1</f>
        <v>63.02</v>
      </c>
      <c r="AX496" s="19">
        <v>471.5</v>
      </c>
      <c r="AY496" s="3">
        <v>117.5</v>
      </c>
      <c r="CH496" s="22">
        <f t="shared" si="58"/>
        <v>2637.9100000000003</v>
      </c>
      <c r="CI496" s="3">
        <f t="shared" si="59"/>
        <v>0</v>
      </c>
      <c r="CJ496" s="17">
        <f t="shared" si="60"/>
        <v>10965</v>
      </c>
      <c r="CK496" s="3" t="str">
        <f t="shared" si="61"/>
        <v>خ ت صيدلة</v>
      </c>
    </row>
    <row r="497" spans="1:89" x14ac:dyDescent="0.25">
      <c r="D497" s="17">
        <v>18152</v>
      </c>
      <c r="E497" s="17">
        <v>10966</v>
      </c>
      <c r="F497" s="3" t="s">
        <v>119</v>
      </c>
      <c r="G497" s="3" t="s">
        <v>298</v>
      </c>
      <c r="I497" s="3">
        <v>5000</v>
      </c>
      <c r="AU497" s="22">
        <f t="shared" si="57"/>
        <v>5000</v>
      </c>
      <c r="AV497" s="19">
        <v>3770.88</v>
      </c>
      <c r="AW497" s="19">
        <v>979.12</v>
      </c>
      <c r="AX497" s="19"/>
      <c r="AY497" s="3">
        <v>250</v>
      </c>
      <c r="CH497" s="22">
        <f t="shared" si="58"/>
        <v>5000</v>
      </c>
      <c r="CI497" s="3">
        <f t="shared" si="59"/>
        <v>0</v>
      </c>
      <c r="CJ497" s="17">
        <f t="shared" si="60"/>
        <v>10966</v>
      </c>
      <c r="CK497" s="3" t="str">
        <f t="shared" si="61"/>
        <v>خ ت صيدلة</v>
      </c>
    </row>
    <row r="498" spans="1:89" x14ac:dyDescent="0.25">
      <c r="D498" s="17">
        <v>18153</v>
      </c>
      <c r="E498" s="11">
        <v>10967</v>
      </c>
      <c r="F498" s="3" t="s">
        <v>119</v>
      </c>
      <c r="G498" s="3" t="s">
        <v>298</v>
      </c>
      <c r="I498" s="3">
        <v>7350</v>
      </c>
      <c r="AU498" s="22">
        <f t="shared" ref="AU498:AU509" si="62">SUM(I498:AS498)</f>
        <v>7350</v>
      </c>
      <c r="AV498" s="19">
        <v>5542.48</v>
      </c>
      <c r="AW498" s="19">
        <v>1440.02</v>
      </c>
      <c r="AX498" s="19"/>
      <c r="AY498" s="3">
        <v>367.5</v>
      </c>
      <c r="CH498" s="22">
        <f t="shared" ref="CH498:CH509" si="63">SUM(AV498:CG498)</f>
        <v>7350</v>
      </c>
      <c r="CI498" s="3">
        <f t="shared" ref="CI498:CI509" si="64">+CH498-AU498</f>
        <v>0</v>
      </c>
      <c r="CJ498" s="17">
        <f t="shared" ref="CJ498:CJ509" si="65">+E498</f>
        <v>10967</v>
      </c>
      <c r="CK498" s="3" t="str">
        <f t="shared" ref="CK498:CK510" si="66">+F498</f>
        <v>خ ت صيدلة</v>
      </c>
    </row>
    <row r="499" spans="1:89" ht="31.5" x14ac:dyDescent="0.25">
      <c r="D499" s="17">
        <v>18154</v>
      </c>
      <c r="E499" s="11">
        <v>10968</v>
      </c>
      <c r="F499" s="3" t="s">
        <v>119</v>
      </c>
      <c r="G499" s="9" t="s">
        <v>299</v>
      </c>
      <c r="I499" s="3">
        <v>3360</v>
      </c>
      <c r="AU499" s="22">
        <f t="shared" si="62"/>
        <v>3360</v>
      </c>
      <c r="AV499" s="19">
        <v>2534</v>
      </c>
      <c r="AW499" s="19">
        <v>658</v>
      </c>
      <c r="AX499" s="19"/>
      <c r="AY499" s="3">
        <v>168</v>
      </c>
      <c r="CH499" s="22">
        <f t="shared" si="63"/>
        <v>3360</v>
      </c>
      <c r="CI499" s="3">
        <f t="shared" si="64"/>
        <v>0</v>
      </c>
      <c r="CJ499" s="17">
        <f t="shared" si="65"/>
        <v>10968</v>
      </c>
      <c r="CK499" s="3" t="str">
        <f t="shared" si="66"/>
        <v>خ ت صيدلة</v>
      </c>
    </row>
    <row r="500" spans="1:89" x14ac:dyDescent="0.25">
      <c r="D500" s="17">
        <v>14582</v>
      </c>
      <c r="E500" s="17">
        <v>10969</v>
      </c>
      <c r="F500" s="3" t="s">
        <v>78</v>
      </c>
      <c r="G500" s="3" t="s">
        <v>300</v>
      </c>
      <c r="M500" s="3">
        <v>6300</v>
      </c>
      <c r="N500" s="3">
        <v>6300</v>
      </c>
      <c r="O500" s="3">
        <v>6300</v>
      </c>
      <c r="AU500" s="22">
        <f t="shared" si="62"/>
        <v>18900</v>
      </c>
      <c r="AV500" s="19">
        <v>5401</v>
      </c>
      <c r="AW500" s="19">
        <v>436</v>
      </c>
      <c r="AX500" s="19"/>
      <c r="AY500" s="3">
        <v>5</v>
      </c>
      <c r="BK500" s="3">
        <v>63</v>
      </c>
      <c r="BL500" s="3">
        <v>80</v>
      </c>
      <c r="BN500" s="3">
        <v>315</v>
      </c>
      <c r="BP500" s="3">
        <v>6300</v>
      </c>
      <c r="BQ500" s="3">
        <v>6300</v>
      </c>
      <c r="CH500" s="22">
        <f t="shared" si="63"/>
        <v>18900</v>
      </c>
      <c r="CI500" s="3">
        <f t="shared" si="64"/>
        <v>0</v>
      </c>
      <c r="CJ500" s="17">
        <f t="shared" si="65"/>
        <v>10969</v>
      </c>
      <c r="CK500" s="3" t="str">
        <f t="shared" si="66"/>
        <v>برنامج دولى</v>
      </c>
    </row>
    <row r="501" spans="1:89" x14ac:dyDescent="0.25">
      <c r="D501" s="17">
        <v>18019</v>
      </c>
      <c r="E501" s="17">
        <v>10970</v>
      </c>
      <c r="F501" s="3" t="s">
        <v>78</v>
      </c>
      <c r="G501" s="3" t="s">
        <v>301</v>
      </c>
      <c r="J501" s="3">
        <v>33060</v>
      </c>
      <c r="AU501" s="22">
        <f t="shared" si="62"/>
        <v>33060</v>
      </c>
      <c r="AV501" s="19">
        <v>31096</v>
      </c>
      <c r="AW501" s="19">
        <v>1132</v>
      </c>
      <c r="AX501" s="19"/>
      <c r="AY501" s="3">
        <v>5</v>
      </c>
      <c r="BK501" s="3">
        <v>290</v>
      </c>
      <c r="BL501" s="3">
        <v>80</v>
      </c>
      <c r="CG501" s="201">
        <v>457</v>
      </c>
      <c r="CH501" s="22">
        <f t="shared" si="63"/>
        <v>33060</v>
      </c>
      <c r="CI501" s="3">
        <f t="shared" si="64"/>
        <v>0</v>
      </c>
      <c r="CJ501" s="17">
        <f t="shared" si="65"/>
        <v>10970</v>
      </c>
      <c r="CK501" s="3" t="str">
        <f t="shared" si="66"/>
        <v>برنامج دولى</v>
      </c>
    </row>
    <row r="502" spans="1:89" x14ac:dyDescent="0.25">
      <c r="C502" s="3"/>
      <c r="D502" s="17">
        <v>15828</v>
      </c>
      <c r="E502" s="17">
        <v>10971</v>
      </c>
      <c r="F502" s="3" t="s">
        <v>78</v>
      </c>
      <c r="G502" s="3" t="s">
        <v>302</v>
      </c>
      <c r="J502" s="3">
        <v>68400</v>
      </c>
      <c r="AU502" s="22">
        <f t="shared" si="62"/>
        <v>68400</v>
      </c>
      <c r="AV502" s="19">
        <v>62479</v>
      </c>
      <c r="AW502" s="19">
        <v>1876</v>
      </c>
      <c r="AX502" s="19"/>
      <c r="AY502" s="3">
        <v>5</v>
      </c>
      <c r="BL502" s="3">
        <v>80</v>
      </c>
      <c r="BM502" s="3">
        <v>540</v>
      </c>
      <c r="BO502" s="3">
        <v>3420</v>
      </c>
      <c r="CH502" s="22">
        <f t="shared" si="63"/>
        <v>68400</v>
      </c>
      <c r="CI502" s="3">
        <f t="shared" si="64"/>
        <v>0</v>
      </c>
      <c r="CJ502" s="17">
        <f t="shared" si="65"/>
        <v>10971</v>
      </c>
      <c r="CK502" s="3" t="str">
        <f t="shared" si="66"/>
        <v>برنامج دولى</v>
      </c>
    </row>
    <row r="503" spans="1:89" x14ac:dyDescent="0.25">
      <c r="C503" s="3"/>
      <c r="D503" s="17">
        <v>17135</v>
      </c>
      <c r="E503" s="17">
        <v>10972</v>
      </c>
      <c r="F503" s="3" t="s">
        <v>78</v>
      </c>
      <c r="G503" s="3" t="s">
        <v>303</v>
      </c>
      <c r="J503" s="3">
        <v>152091.87</v>
      </c>
      <c r="AU503" s="22">
        <f t="shared" si="62"/>
        <v>152091.87</v>
      </c>
      <c r="AV503" s="19">
        <v>128479.49</v>
      </c>
      <c r="AW503" s="19">
        <f>968.35+2905.05+80</f>
        <v>3953.4</v>
      </c>
      <c r="AX503" s="19"/>
      <c r="AY503" s="3">
        <v>5</v>
      </c>
      <c r="BK503" s="3">
        <v>1448.87</v>
      </c>
      <c r="BL503" s="3">
        <v>40</v>
      </c>
      <c r="BM503" s="3">
        <f>628.2+22.78+628.2+22.78</f>
        <v>1301.96</v>
      </c>
      <c r="BN503" s="3">
        <v>7605</v>
      </c>
      <c r="BO503" s="3">
        <v>7605</v>
      </c>
      <c r="CG503" s="201">
        <f>203.15+500+500+450</f>
        <v>1653.15</v>
      </c>
      <c r="CH503" s="22">
        <f t="shared" si="63"/>
        <v>152091.87</v>
      </c>
      <c r="CI503" s="3">
        <f t="shared" si="64"/>
        <v>0</v>
      </c>
      <c r="CJ503" s="17">
        <f t="shared" si="65"/>
        <v>10972</v>
      </c>
      <c r="CK503" s="3" t="str">
        <f t="shared" si="66"/>
        <v>برنامج دولى</v>
      </c>
    </row>
    <row r="504" spans="1:89" x14ac:dyDescent="0.25">
      <c r="C504" s="3"/>
      <c r="D504" s="17">
        <v>18040</v>
      </c>
      <c r="E504" s="17">
        <v>10973</v>
      </c>
      <c r="F504" s="3" t="s">
        <v>78</v>
      </c>
      <c r="G504" s="3" t="s">
        <v>304</v>
      </c>
      <c r="J504" s="3">
        <v>21250</v>
      </c>
      <c r="AU504" s="22">
        <f t="shared" si="62"/>
        <v>21250</v>
      </c>
      <c r="AV504" s="19">
        <v>20226.099999999999</v>
      </c>
      <c r="AW504" s="19">
        <v>850.1</v>
      </c>
      <c r="AX504" s="19"/>
      <c r="BL504" s="3">
        <v>6</v>
      </c>
      <c r="BM504" s="3">
        <f>83.9*2</f>
        <v>167.8</v>
      </c>
      <c r="CH504" s="22">
        <f t="shared" si="63"/>
        <v>21249.999999999996</v>
      </c>
      <c r="CI504" s="3">
        <f t="shared" si="64"/>
        <v>0</v>
      </c>
      <c r="CJ504" s="17">
        <f t="shared" si="65"/>
        <v>10973</v>
      </c>
      <c r="CK504" s="3" t="str">
        <f t="shared" si="66"/>
        <v>برنامج دولى</v>
      </c>
    </row>
    <row r="505" spans="1:89" x14ac:dyDescent="0.25">
      <c r="D505" s="17">
        <v>18043</v>
      </c>
      <c r="E505" s="17">
        <v>10974</v>
      </c>
      <c r="F505" s="3" t="s">
        <v>130</v>
      </c>
      <c r="G505" s="3" t="s">
        <v>305</v>
      </c>
      <c r="J505" s="3">
        <v>5400</v>
      </c>
      <c r="AU505" s="22">
        <f t="shared" si="62"/>
        <v>5400</v>
      </c>
      <c r="AV505" s="19">
        <v>4925.3</v>
      </c>
      <c r="AW505" s="19">
        <v>283.89999999999998</v>
      </c>
      <c r="AX505" s="19"/>
      <c r="BK505" s="3">
        <v>142.1</v>
      </c>
      <c r="BL505" s="3">
        <v>6</v>
      </c>
      <c r="BM505" s="3">
        <v>42.7</v>
      </c>
      <c r="CH505" s="22">
        <f t="shared" si="63"/>
        <v>5400</v>
      </c>
      <c r="CI505" s="3">
        <f t="shared" si="64"/>
        <v>0</v>
      </c>
      <c r="CJ505" s="17">
        <f t="shared" si="65"/>
        <v>10974</v>
      </c>
      <c r="CK505" s="3" t="str">
        <f t="shared" si="66"/>
        <v>خ ت طب</v>
      </c>
    </row>
    <row r="506" spans="1:89" x14ac:dyDescent="0.25">
      <c r="C506" s="3"/>
      <c r="D506" s="17">
        <v>18041</v>
      </c>
      <c r="E506" s="17">
        <v>10975</v>
      </c>
      <c r="F506" s="3" t="s">
        <v>130</v>
      </c>
      <c r="G506" s="3" t="s">
        <v>306</v>
      </c>
      <c r="J506" s="3">
        <v>3000</v>
      </c>
      <c r="AU506" s="22">
        <f t="shared" si="62"/>
        <v>3000</v>
      </c>
      <c r="AV506" s="19">
        <v>2812.6</v>
      </c>
      <c r="AW506" s="19">
        <v>157.69999999999999</v>
      </c>
      <c r="AX506" s="19"/>
      <c r="BL506" s="3">
        <v>6</v>
      </c>
      <c r="BM506" s="3">
        <f>11.85*2</f>
        <v>23.7</v>
      </c>
      <c r="CH506" s="22">
        <f t="shared" si="63"/>
        <v>2999.9999999999995</v>
      </c>
      <c r="CI506" s="3">
        <f t="shared" si="64"/>
        <v>0</v>
      </c>
      <c r="CJ506" s="17">
        <f t="shared" si="65"/>
        <v>10975</v>
      </c>
      <c r="CK506" s="3" t="str">
        <f t="shared" si="66"/>
        <v>خ ت طب</v>
      </c>
    </row>
    <row r="507" spans="1:89" x14ac:dyDescent="0.25">
      <c r="D507" s="17">
        <v>18042</v>
      </c>
      <c r="E507" s="17">
        <v>10976</v>
      </c>
      <c r="F507" s="3" t="s">
        <v>130</v>
      </c>
      <c r="G507" s="3" t="s">
        <v>307</v>
      </c>
      <c r="J507" s="3">
        <v>2194.41</v>
      </c>
      <c r="AU507" s="22">
        <f t="shared" si="62"/>
        <v>2194.41</v>
      </c>
      <c r="AV507" s="19">
        <v>1561.91</v>
      </c>
      <c r="AW507" s="19">
        <v>115.3</v>
      </c>
      <c r="AX507" s="19"/>
      <c r="BH507" s="3">
        <f>219.45+274.35</f>
        <v>493.8</v>
      </c>
      <c r="BL507" s="3">
        <v>6</v>
      </c>
      <c r="BM507" s="3">
        <v>17.399999999999999</v>
      </c>
      <c r="CH507" s="22">
        <f t="shared" si="63"/>
        <v>2194.4100000000003</v>
      </c>
      <c r="CI507" s="3">
        <f t="shared" si="64"/>
        <v>0</v>
      </c>
      <c r="CJ507" s="17">
        <f t="shared" si="65"/>
        <v>10976</v>
      </c>
      <c r="CK507" s="3" t="str">
        <f t="shared" si="66"/>
        <v>خ ت طب</v>
      </c>
    </row>
    <row r="508" spans="1:89" x14ac:dyDescent="0.25">
      <c r="D508" s="17">
        <v>17809</v>
      </c>
      <c r="E508" s="17">
        <v>10977</v>
      </c>
      <c r="F508" s="3" t="s">
        <v>130</v>
      </c>
      <c r="G508" s="3" t="s">
        <v>308</v>
      </c>
      <c r="J508" s="3">
        <v>1606</v>
      </c>
      <c r="AU508" s="22">
        <f t="shared" si="62"/>
        <v>1606</v>
      </c>
      <c r="AV508" s="19">
        <v>1494.7</v>
      </c>
      <c r="AW508" s="19">
        <v>92.1</v>
      </c>
      <c r="AX508" s="19"/>
      <c r="BL508" s="3">
        <v>6</v>
      </c>
      <c r="BM508" s="3">
        <v>13.2</v>
      </c>
      <c r="CH508" s="22">
        <f t="shared" si="63"/>
        <v>1606</v>
      </c>
      <c r="CI508" s="3">
        <f t="shared" si="64"/>
        <v>0</v>
      </c>
      <c r="CJ508" s="17">
        <f t="shared" si="65"/>
        <v>10977</v>
      </c>
      <c r="CK508" s="3" t="str">
        <f t="shared" si="66"/>
        <v>خ ت طب</v>
      </c>
    </row>
    <row r="509" spans="1:89" x14ac:dyDescent="0.25">
      <c r="D509" s="17">
        <v>17634</v>
      </c>
      <c r="E509" s="17">
        <v>10978</v>
      </c>
      <c r="F509" s="3" t="s">
        <v>130</v>
      </c>
      <c r="G509" s="3" t="s">
        <v>300</v>
      </c>
      <c r="J509" s="3">
        <v>600</v>
      </c>
      <c r="AU509" s="22">
        <f t="shared" si="62"/>
        <v>600</v>
      </c>
      <c r="AV509" s="19">
        <v>537.1</v>
      </c>
      <c r="AW509" s="19">
        <v>33.5</v>
      </c>
      <c r="AX509" s="19"/>
      <c r="BK509" s="3">
        <v>18</v>
      </c>
      <c r="BL509" s="3">
        <v>6</v>
      </c>
      <c r="BM509" s="3">
        <v>5.4</v>
      </c>
      <c r="CH509" s="22">
        <f t="shared" si="63"/>
        <v>600</v>
      </c>
      <c r="CI509" s="3">
        <f t="shared" si="64"/>
        <v>0</v>
      </c>
      <c r="CJ509" s="17">
        <f t="shared" si="65"/>
        <v>10978</v>
      </c>
      <c r="CK509" s="3" t="str">
        <f t="shared" si="66"/>
        <v>خ ت طب</v>
      </c>
    </row>
    <row r="510" spans="1:89" s="32" customFormat="1" x14ac:dyDescent="0.25">
      <c r="A510" s="30"/>
      <c r="B510" s="31"/>
      <c r="C510" s="31"/>
      <c r="D510" s="31"/>
      <c r="E510" s="31">
        <v>10979</v>
      </c>
      <c r="F510" s="32" t="s">
        <v>332</v>
      </c>
      <c r="G510" s="32" t="s">
        <v>5138</v>
      </c>
      <c r="H510" s="33"/>
      <c r="V510" s="34"/>
      <c r="W510" s="34"/>
      <c r="AU510" s="35"/>
      <c r="AV510" s="36"/>
      <c r="AW510" s="36"/>
      <c r="AX510" s="36"/>
      <c r="CG510" s="209"/>
      <c r="CH510" s="35"/>
      <c r="CJ510" s="31">
        <f t="shared" ref="CJ510:CJ550" si="67">+E510</f>
        <v>10979</v>
      </c>
      <c r="CK510" s="32" t="str">
        <f t="shared" si="66"/>
        <v xml:space="preserve">لاب فقط </v>
      </c>
    </row>
    <row r="511" spans="1:89" x14ac:dyDescent="0.25">
      <c r="D511" s="17">
        <v>17274</v>
      </c>
      <c r="E511" s="17">
        <v>10980</v>
      </c>
      <c r="F511" s="3" t="s">
        <v>121</v>
      </c>
      <c r="G511" s="3" t="s">
        <v>309</v>
      </c>
      <c r="J511" s="3">
        <v>24282</v>
      </c>
      <c r="AU511" s="22">
        <f t="shared" ref="AU511:AU552" si="68">SUM(I511:AS511)</f>
        <v>24282</v>
      </c>
      <c r="AV511" s="19">
        <v>22524.400000000001</v>
      </c>
      <c r="AW511" s="19">
        <f>227.5+682.5+3.6</f>
        <v>913.6</v>
      </c>
      <c r="AX511" s="19"/>
      <c r="AY511" s="3">
        <v>5</v>
      </c>
      <c r="BK511" s="3">
        <v>639</v>
      </c>
      <c r="BL511" s="3">
        <v>8</v>
      </c>
      <c r="BM511" s="3">
        <v>192</v>
      </c>
      <c r="CH511" s="22">
        <f t="shared" ref="CH511:CH550" si="69">SUM(AV511:CG511)</f>
        <v>24282</v>
      </c>
      <c r="CI511" s="3">
        <f t="shared" ref="CI511:CI550" si="70">+CH511-AU511</f>
        <v>0</v>
      </c>
      <c r="CJ511" s="17">
        <f t="shared" si="67"/>
        <v>10980</v>
      </c>
      <c r="CK511" s="3" t="str">
        <f t="shared" ref="CK511:CK550" si="71">+F511</f>
        <v>ماليزى اسنان</v>
      </c>
    </row>
    <row r="512" spans="1:89" x14ac:dyDescent="0.25">
      <c r="D512" s="17">
        <v>17753</v>
      </c>
      <c r="E512" s="17">
        <v>10981</v>
      </c>
      <c r="F512" s="3" t="s">
        <v>78</v>
      </c>
      <c r="G512" s="3" t="s">
        <v>310</v>
      </c>
      <c r="J512" s="3">
        <v>320</v>
      </c>
      <c r="AU512" s="22">
        <f t="shared" si="68"/>
        <v>320</v>
      </c>
      <c r="AV512" s="19">
        <v>320</v>
      </c>
      <c r="AW512" s="19"/>
      <c r="AX512" s="19"/>
      <c r="CH512" s="22">
        <f t="shared" si="69"/>
        <v>320</v>
      </c>
      <c r="CI512" s="3">
        <f t="shared" si="70"/>
        <v>0</v>
      </c>
      <c r="CJ512" s="17">
        <f t="shared" si="67"/>
        <v>10981</v>
      </c>
      <c r="CK512" s="3" t="str">
        <f t="shared" si="71"/>
        <v>برنامج دولى</v>
      </c>
    </row>
    <row r="513" spans="3:89" x14ac:dyDescent="0.25">
      <c r="D513" s="17">
        <v>17754</v>
      </c>
      <c r="E513" s="17">
        <v>10982</v>
      </c>
      <c r="F513" s="3" t="s">
        <v>78</v>
      </c>
      <c r="G513" s="3" t="s">
        <v>311</v>
      </c>
      <c r="J513" s="3">
        <v>640</v>
      </c>
      <c r="AU513" s="22">
        <f t="shared" si="68"/>
        <v>640</v>
      </c>
      <c r="AV513" s="19">
        <v>640</v>
      </c>
      <c r="AW513" s="19"/>
      <c r="AX513" s="19"/>
      <c r="CH513" s="22">
        <f t="shared" si="69"/>
        <v>640</v>
      </c>
      <c r="CI513" s="3">
        <f t="shared" si="70"/>
        <v>0</v>
      </c>
      <c r="CJ513" s="17">
        <f t="shared" si="67"/>
        <v>10982</v>
      </c>
      <c r="CK513" s="3" t="str">
        <f t="shared" si="71"/>
        <v>برنامج دولى</v>
      </c>
    </row>
    <row r="514" spans="3:89" x14ac:dyDescent="0.25">
      <c r="C514" s="3"/>
      <c r="D514" s="17">
        <v>17755</v>
      </c>
      <c r="E514" s="17">
        <v>10983</v>
      </c>
      <c r="F514" s="3" t="s">
        <v>78</v>
      </c>
      <c r="G514" s="3" t="s">
        <v>312</v>
      </c>
      <c r="J514" s="3">
        <v>1040</v>
      </c>
      <c r="AU514" s="22">
        <f t="shared" si="68"/>
        <v>1040</v>
      </c>
      <c r="AV514" s="19">
        <v>1040</v>
      </c>
      <c r="AW514" s="19"/>
      <c r="AX514" s="19"/>
      <c r="CH514" s="22">
        <f t="shared" si="69"/>
        <v>1040</v>
      </c>
      <c r="CI514" s="3">
        <f t="shared" si="70"/>
        <v>0</v>
      </c>
      <c r="CJ514" s="17">
        <f t="shared" si="67"/>
        <v>10983</v>
      </c>
      <c r="CK514" s="3" t="str">
        <f t="shared" si="71"/>
        <v>برنامج دولى</v>
      </c>
    </row>
    <row r="515" spans="3:89" x14ac:dyDescent="0.25">
      <c r="D515" s="17">
        <v>17467</v>
      </c>
      <c r="E515" s="17">
        <v>10984</v>
      </c>
      <c r="F515" s="3" t="s">
        <v>116</v>
      </c>
      <c r="G515" s="3" t="s">
        <v>313</v>
      </c>
      <c r="J515" s="3">
        <v>64275</v>
      </c>
      <c r="AU515" s="22">
        <f t="shared" si="68"/>
        <v>64275</v>
      </c>
      <c r="AV515" s="19">
        <v>58427</v>
      </c>
      <c r="AW515" s="19">
        <f>485.75+1457.25+13.5</f>
        <v>1956.5</v>
      </c>
      <c r="AX515" s="19"/>
      <c r="AY515" s="3">
        <v>5</v>
      </c>
      <c r="BK515" s="3">
        <v>642.75</v>
      </c>
      <c r="BL515" s="3">
        <v>30</v>
      </c>
      <c r="BO515" s="3">
        <v>3213.75</v>
      </c>
      <c r="CH515" s="22">
        <f t="shared" si="69"/>
        <v>64275</v>
      </c>
      <c r="CI515" s="3">
        <f t="shared" si="70"/>
        <v>0</v>
      </c>
      <c r="CJ515" s="17">
        <f t="shared" si="67"/>
        <v>10984</v>
      </c>
      <c r="CK515" s="3" t="str">
        <f t="shared" si="71"/>
        <v>اتحاد صيدلة</v>
      </c>
    </row>
    <row r="516" spans="3:89" x14ac:dyDescent="0.25">
      <c r="D516" s="17">
        <v>18064</v>
      </c>
      <c r="E516" s="17">
        <v>10985</v>
      </c>
      <c r="F516" s="3" t="s">
        <v>116</v>
      </c>
      <c r="G516" s="3" t="s">
        <v>314</v>
      </c>
      <c r="J516" s="3">
        <v>12000</v>
      </c>
      <c r="Q516" s="3">
        <v>12000</v>
      </c>
      <c r="AU516" s="22">
        <f t="shared" si="68"/>
        <v>24000</v>
      </c>
      <c r="AV516" s="3">
        <v>12000</v>
      </c>
      <c r="AW516" s="4"/>
      <c r="BS516" s="3">
        <v>12000</v>
      </c>
      <c r="CH516" s="22">
        <f t="shared" si="69"/>
        <v>24000</v>
      </c>
      <c r="CI516" s="3">
        <f t="shared" si="70"/>
        <v>0</v>
      </c>
      <c r="CJ516" s="17">
        <f t="shared" si="67"/>
        <v>10985</v>
      </c>
      <c r="CK516" s="3" t="str">
        <f t="shared" si="71"/>
        <v>اتحاد صيدلة</v>
      </c>
    </row>
    <row r="517" spans="3:89" x14ac:dyDescent="0.25">
      <c r="C517" s="3"/>
      <c r="D517" s="17">
        <v>17945</v>
      </c>
      <c r="E517" s="17">
        <v>10986</v>
      </c>
      <c r="F517" s="3" t="s">
        <v>132</v>
      </c>
      <c r="G517" s="3" t="s">
        <v>315</v>
      </c>
      <c r="J517" s="3">
        <v>22600.27</v>
      </c>
      <c r="AU517" s="22">
        <f t="shared" si="68"/>
        <v>22600.27</v>
      </c>
      <c r="AV517" s="3">
        <v>20358.87</v>
      </c>
      <c r="AW517" s="4">
        <f>219+657+9.9</f>
        <v>885.9</v>
      </c>
      <c r="AY517" s="3">
        <v>5</v>
      </c>
      <c r="BK517" s="3">
        <v>198.25</v>
      </c>
      <c r="BL517" s="3">
        <v>22</v>
      </c>
      <c r="BO517" s="3">
        <v>1130.25</v>
      </c>
      <c r="CH517" s="22">
        <f t="shared" si="69"/>
        <v>22600.27</v>
      </c>
      <c r="CI517" s="3">
        <f t="shared" si="70"/>
        <v>0</v>
      </c>
      <c r="CJ517" s="17">
        <f t="shared" si="67"/>
        <v>10986</v>
      </c>
      <c r="CK517" s="3" t="str">
        <f t="shared" si="71"/>
        <v>صيدلة اكلينيكى</v>
      </c>
    </row>
    <row r="518" spans="3:89" x14ac:dyDescent="0.25">
      <c r="D518" s="17">
        <v>17946</v>
      </c>
      <c r="E518" s="17">
        <v>10987</v>
      </c>
      <c r="F518" s="3" t="s">
        <v>132</v>
      </c>
      <c r="G518" s="3" t="s">
        <v>315</v>
      </c>
      <c r="J518" s="3">
        <v>11115</v>
      </c>
      <c r="AU518" s="22">
        <f t="shared" si="68"/>
        <v>11115</v>
      </c>
      <c r="AV518" s="3">
        <v>9806.75</v>
      </c>
      <c r="AW518" s="4">
        <f>155.25+465.75+9</f>
        <v>630</v>
      </c>
      <c r="AY518" s="3">
        <v>5</v>
      </c>
      <c r="BK518" s="3">
        <v>97.5</v>
      </c>
      <c r="BL518" s="3">
        <v>20</v>
      </c>
      <c r="BO518" s="3">
        <v>555.75</v>
      </c>
      <c r="CH518" s="22">
        <f t="shared" si="69"/>
        <v>11115</v>
      </c>
      <c r="CI518" s="3">
        <f t="shared" si="70"/>
        <v>0</v>
      </c>
      <c r="CJ518" s="17">
        <f t="shared" si="67"/>
        <v>10987</v>
      </c>
      <c r="CK518" s="3" t="str">
        <f t="shared" si="71"/>
        <v>صيدلة اكلينيكى</v>
      </c>
    </row>
    <row r="519" spans="3:89" x14ac:dyDescent="0.25">
      <c r="D519" s="17">
        <v>17944</v>
      </c>
      <c r="E519" s="17">
        <v>10988</v>
      </c>
      <c r="F519" s="3" t="s">
        <v>132</v>
      </c>
      <c r="G519" s="3" t="s">
        <v>316</v>
      </c>
      <c r="J519" s="3">
        <v>5145</v>
      </c>
      <c r="AU519" s="22">
        <f t="shared" si="68"/>
        <v>5145</v>
      </c>
      <c r="AV519" s="3">
        <v>5145</v>
      </c>
      <c r="AW519" s="4"/>
      <c r="CH519" s="22">
        <f t="shared" si="69"/>
        <v>5145</v>
      </c>
      <c r="CI519" s="3">
        <f t="shared" si="70"/>
        <v>0</v>
      </c>
      <c r="CJ519" s="17">
        <f t="shared" si="67"/>
        <v>10988</v>
      </c>
      <c r="CK519" s="3" t="str">
        <f t="shared" si="71"/>
        <v>صيدلة اكلينيكى</v>
      </c>
    </row>
    <row r="520" spans="3:89" x14ac:dyDescent="0.25">
      <c r="D520" s="17">
        <v>16960</v>
      </c>
      <c r="E520" s="17">
        <v>10989</v>
      </c>
      <c r="F520" s="3" t="s">
        <v>132</v>
      </c>
      <c r="G520" s="3" t="s">
        <v>317</v>
      </c>
      <c r="J520" s="3">
        <v>450</v>
      </c>
      <c r="AU520" s="22">
        <f t="shared" si="68"/>
        <v>450</v>
      </c>
      <c r="AV520" s="3">
        <v>368</v>
      </c>
      <c r="AW520" s="4">
        <f>5.25+15.75+9</f>
        <v>30</v>
      </c>
      <c r="AY520" s="3">
        <v>5</v>
      </c>
      <c r="BK520" s="3">
        <v>4.5</v>
      </c>
      <c r="BL520" s="3">
        <v>20</v>
      </c>
      <c r="BO520" s="3">
        <v>22.5</v>
      </c>
      <c r="CH520" s="22">
        <f t="shared" si="69"/>
        <v>450</v>
      </c>
      <c r="CI520" s="3">
        <f t="shared" si="70"/>
        <v>0</v>
      </c>
      <c r="CJ520" s="17">
        <f t="shared" si="67"/>
        <v>10989</v>
      </c>
      <c r="CK520" s="3" t="str">
        <f t="shared" si="71"/>
        <v>صيدلة اكلينيكى</v>
      </c>
    </row>
    <row r="521" spans="3:89" x14ac:dyDescent="0.25">
      <c r="D521" s="17">
        <v>16956</v>
      </c>
      <c r="E521" s="17">
        <v>10990</v>
      </c>
      <c r="F521" s="3" t="s">
        <v>132</v>
      </c>
      <c r="G521" s="3" t="s">
        <v>317</v>
      </c>
      <c r="J521" s="3">
        <v>2100</v>
      </c>
      <c r="AU521" s="22">
        <f t="shared" si="68"/>
        <v>2100</v>
      </c>
      <c r="AV521" s="3">
        <v>1916.2</v>
      </c>
      <c r="AW521" s="3">
        <f>30.75+92.25+10.8</f>
        <v>133.80000000000001</v>
      </c>
      <c r="AY521" s="3">
        <v>5</v>
      </c>
      <c r="BK521" s="3">
        <v>21</v>
      </c>
      <c r="BL521" s="3">
        <v>24</v>
      </c>
      <c r="CH521" s="22">
        <f t="shared" si="69"/>
        <v>2100</v>
      </c>
      <c r="CI521" s="3">
        <f t="shared" si="70"/>
        <v>0</v>
      </c>
      <c r="CJ521" s="17">
        <f t="shared" si="67"/>
        <v>10990</v>
      </c>
      <c r="CK521" s="3" t="str">
        <f t="shared" si="71"/>
        <v>صيدلة اكلينيكى</v>
      </c>
    </row>
    <row r="522" spans="3:89" x14ac:dyDescent="0.25">
      <c r="D522" s="17">
        <v>15921</v>
      </c>
      <c r="E522" s="17">
        <v>10991</v>
      </c>
      <c r="F522" s="3" t="s">
        <v>132</v>
      </c>
      <c r="G522" s="3" t="s">
        <v>318</v>
      </c>
      <c r="J522" s="3">
        <v>4104</v>
      </c>
      <c r="AU522" s="22">
        <f t="shared" si="68"/>
        <v>4104</v>
      </c>
      <c r="AV522" s="3">
        <v>3600.75</v>
      </c>
      <c r="AW522" s="3">
        <f>53.75+159.75+13.5</f>
        <v>227</v>
      </c>
      <c r="AY522" s="3">
        <v>5</v>
      </c>
      <c r="BK522" s="3">
        <v>36</v>
      </c>
      <c r="BL522" s="3">
        <v>30</v>
      </c>
      <c r="BO522" s="3">
        <v>205.25</v>
      </c>
      <c r="CH522" s="22">
        <f t="shared" si="69"/>
        <v>4104</v>
      </c>
      <c r="CI522" s="3">
        <f t="shared" si="70"/>
        <v>0</v>
      </c>
      <c r="CJ522" s="17">
        <f t="shared" si="67"/>
        <v>10991</v>
      </c>
      <c r="CK522" s="3" t="str">
        <f t="shared" si="71"/>
        <v>صيدلة اكلينيكى</v>
      </c>
    </row>
    <row r="523" spans="3:89" x14ac:dyDescent="0.25">
      <c r="D523" s="17">
        <v>16964</v>
      </c>
      <c r="E523" s="17">
        <v>10992</v>
      </c>
      <c r="F523" s="3" t="s">
        <v>132</v>
      </c>
      <c r="G523" s="3" t="s">
        <v>319</v>
      </c>
      <c r="J523" s="3">
        <v>11803</v>
      </c>
      <c r="AU523" s="22">
        <f t="shared" si="68"/>
        <v>11803</v>
      </c>
      <c r="AV523" s="3">
        <v>10952.9</v>
      </c>
      <c r="AW523" s="3">
        <f>170.8+512.55+13.5</f>
        <v>696.84999999999991</v>
      </c>
      <c r="AY523" s="3">
        <v>5</v>
      </c>
      <c r="BK523" s="3">
        <v>118.25</v>
      </c>
      <c r="BL523" s="3">
        <v>30</v>
      </c>
      <c r="CH523" s="22">
        <f t="shared" si="69"/>
        <v>11803</v>
      </c>
      <c r="CI523" s="3">
        <f t="shared" si="70"/>
        <v>0</v>
      </c>
      <c r="CJ523" s="17">
        <f t="shared" si="67"/>
        <v>10992</v>
      </c>
      <c r="CK523" s="3" t="str">
        <f t="shared" si="71"/>
        <v>صيدلة اكلينيكى</v>
      </c>
    </row>
    <row r="524" spans="3:89" x14ac:dyDescent="0.25">
      <c r="D524" s="17">
        <v>15924</v>
      </c>
      <c r="E524" s="17">
        <v>10993</v>
      </c>
      <c r="F524" s="3" t="s">
        <v>119</v>
      </c>
      <c r="G524" s="3" t="s">
        <v>320</v>
      </c>
      <c r="J524" s="3">
        <v>8500</v>
      </c>
      <c r="AU524" s="22">
        <f t="shared" si="68"/>
        <v>8500</v>
      </c>
      <c r="AV524" s="3">
        <v>7409.7</v>
      </c>
      <c r="AW524" s="3">
        <f>135.25+405.75+10.8</f>
        <v>551.79999999999995</v>
      </c>
      <c r="AY524" s="3">
        <v>5</v>
      </c>
      <c r="BK524" s="3">
        <v>84.5</v>
      </c>
      <c r="BL524" s="3">
        <v>24</v>
      </c>
      <c r="BO524" s="3">
        <v>425</v>
      </c>
      <c r="CH524" s="22">
        <f t="shared" si="69"/>
        <v>8500</v>
      </c>
      <c r="CI524" s="3">
        <f t="shared" si="70"/>
        <v>0</v>
      </c>
      <c r="CJ524" s="17">
        <f t="shared" si="67"/>
        <v>10993</v>
      </c>
      <c r="CK524" s="3" t="str">
        <f t="shared" si="71"/>
        <v>خ ت صيدلة</v>
      </c>
    </row>
    <row r="525" spans="3:89" x14ac:dyDescent="0.25">
      <c r="D525" s="17">
        <v>14611</v>
      </c>
      <c r="E525" s="17">
        <v>10994</v>
      </c>
      <c r="F525" s="3" t="s">
        <v>119</v>
      </c>
      <c r="G525" s="3" t="s">
        <v>321</v>
      </c>
      <c r="S525" s="3">
        <v>1881</v>
      </c>
      <c r="AU525" s="22">
        <f t="shared" si="68"/>
        <v>1881</v>
      </c>
      <c r="AV525" s="3">
        <v>1881</v>
      </c>
      <c r="CH525" s="22">
        <f t="shared" si="69"/>
        <v>1881</v>
      </c>
      <c r="CI525" s="3">
        <f t="shared" si="70"/>
        <v>0</v>
      </c>
      <c r="CJ525" s="17">
        <f t="shared" si="67"/>
        <v>10994</v>
      </c>
      <c r="CK525" s="3" t="str">
        <f t="shared" si="71"/>
        <v>خ ت صيدلة</v>
      </c>
    </row>
    <row r="526" spans="3:89" x14ac:dyDescent="0.25">
      <c r="D526" s="17">
        <v>17281</v>
      </c>
      <c r="E526" s="17">
        <v>10995</v>
      </c>
      <c r="F526" s="3" t="s">
        <v>122</v>
      </c>
      <c r="G526" s="3" t="s">
        <v>322</v>
      </c>
      <c r="AB526" s="3">
        <v>92.25</v>
      </c>
      <c r="AU526" s="22">
        <f t="shared" si="68"/>
        <v>92.25</v>
      </c>
      <c r="AV526" s="3">
        <v>92.25</v>
      </c>
      <c r="CH526" s="22">
        <f t="shared" si="69"/>
        <v>92.25</v>
      </c>
      <c r="CI526" s="3">
        <f t="shared" si="70"/>
        <v>0</v>
      </c>
      <c r="CJ526" s="17">
        <f t="shared" si="67"/>
        <v>10995</v>
      </c>
      <c r="CK526" s="3" t="str">
        <f t="shared" si="71"/>
        <v>علاج تخصصى</v>
      </c>
    </row>
    <row r="527" spans="3:89" x14ac:dyDescent="0.25">
      <c r="C527" s="3"/>
      <c r="D527" s="17">
        <v>17276</v>
      </c>
      <c r="E527" s="17">
        <v>10996</v>
      </c>
      <c r="F527" s="3" t="s">
        <v>121</v>
      </c>
      <c r="G527" s="3" t="s">
        <v>323</v>
      </c>
      <c r="AB527" s="3">
        <v>21516.9</v>
      </c>
      <c r="AU527" s="22">
        <f t="shared" si="68"/>
        <v>21516.9</v>
      </c>
      <c r="AV527" s="3">
        <v>21516.9</v>
      </c>
      <c r="CH527" s="22">
        <f t="shared" si="69"/>
        <v>21516.9</v>
      </c>
      <c r="CI527" s="3">
        <f t="shared" si="70"/>
        <v>0</v>
      </c>
      <c r="CJ527" s="17">
        <f t="shared" si="67"/>
        <v>10996</v>
      </c>
      <c r="CK527" s="3" t="str">
        <f t="shared" si="71"/>
        <v>ماليزى اسنان</v>
      </c>
    </row>
    <row r="528" spans="3:89" ht="47.25" x14ac:dyDescent="0.25">
      <c r="C528" s="24" t="s">
        <v>5136</v>
      </c>
      <c r="D528" s="17">
        <v>17280</v>
      </c>
      <c r="E528" s="17">
        <v>10997</v>
      </c>
      <c r="F528" s="3" t="s">
        <v>249</v>
      </c>
      <c r="G528" s="3" t="s">
        <v>322</v>
      </c>
      <c r="AB528" s="3">
        <v>380</v>
      </c>
      <c r="AU528" s="22">
        <f t="shared" si="68"/>
        <v>380</v>
      </c>
      <c r="AV528" s="3">
        <v>380</v>
      </c>
      <c r="CH528" s="22">
        <f t="shared" si="69"/>
        <v>380</v>
      </c>
      <c r="CI528" s="3">
        <f t="shared" si="70"/>
        <v>0</v>
      </c>
      <c r="CJ528" s="17">
        <f t="shared" si="67"/>
        <v>10997</v>
      </c>
      <c r="CK528" s="3" t="str">
        <f t="shared" si="71"/>
        <v>خدمة عامة</v>
      </c>
    </row>
    <row r="529" spans="3:89" x14ac:dyDescent="0.25">
      <c r="D529" s="17">
        <v>17278</v>
      </c>
      <c r="E529" s="17">
        <v>10998</v>
      </c>
      <c r="F529" s="3" t="s">
        <v>122</v>
      </c>
      <c r="G529" s="3" t="s">
        <v>323</v>
      </c>
      <c r="AB529" s="3">
        <v>92.25</v>
      </c>
      <c r="AU529" s="22">
        <f t="shared" si="68"/>
        <v>92.25</v>
      </c>
      <c r="AV529" s="3">
        <v>92.25</v>
      </c>
      <c r="CH529" s="22">
        <f t="shared" si="69"/>
        <v>92.25</v>
      </c>
      <c r="CI529" s="3">
        <f t="shared" si="70"/>
        <v>0</v>
      </c>
      <c r="CJ529" s="17">
        <f t="shared" si="67"/>
        <v>10998</v>
      </c>
      <c r="CK529" s="3" t="str">
        <f t="shared" si="71"/>
        <v>علاج تخصصى</v>
      </c>
    </row>
    <row r="530" spans="3:89" ht="47.25" x14ac:dyDescent="0.25">
      <c r="C530" s="24" t="s">
        <v>5135</v>
      </c>
      <c r="D530" s="17">
        <v>17277</v>
      </c>
      <c r="E530" s="17">
        <v>10999</v>
      </c>
      <c r="F530" s="3" t="s">
        <v>249</v>
      </c>
      <c r="G530" s="3" t="s">
        <v>323</v>
      </c>
      <c r="AB530" s="3">
        <v>380</v>
      </c>
      <c r="AU530" s="22">
        <f t="shared" si="68"/>
        <v>380</v>
      </c>
      <c r="AV530" s="3">
        <v>380</v>
      </c>
      <c r="CH530" s="22">
        <f t="shared" si="69"/>
        <v>380</v>
      </c>
      <c r="CI530" s="3">
        <f t="shared" si="70"/>
        <v>0</v>
      </c>
      <c r="CJ530" s="17">
        <f t="shared" si="67"/>
        <v>10999</v>
      </c>
      <c r="CK530" s="3" t="str">
        <f t="shared" si="71"/>
        <v>خدمة عامة</v>
      </c>
    </row>
    <row r="531" spans="3:89" x14ac:dyDescent="0.25">
      <c r="D531" s="17">
        <v>17279</v>
      </c>
      <c r="E531" s="17">
        <v>11000</v>
      </c>
      <c r="F531" s="3" t="s">
        <v>121</v>
      </c>
      <c r="G531" s="3" t="s">
        <v>322</v>
      </c>
      <c r="AB531" s="3">
        <v>21516.9</v>
      </c>
      <c r="AU531" s="22">
        <f t="shared" si="68"/>
        <v>21516.9</v>
      </c>
      <c r="AV531" s="3">
        <v>21516.9</v>
      </c>
      <c r="CH531" s="22">
        <f t="shared" si="69"/>
        <v>21516.9</v>
      </c>
      <c r="CI531" s="3">
        <f t="shared" si="70"/>
        <v>0</v>
      </c>
      <c r="CJ531" s="17">
        <f t="shared" si="67"/>
        <v>11000</v>
      </c>
      <c r="CK531" s="3" t="str">
        <f t="shared" si="71"/>
        <v>ماليزى اسنان</v>
      </c>
    </row>
    <row r="532" spans="3:89" x14ac:dyDescent="0.25">
      <c r="D532" s="17">
        <v>17636</v>
      </c>
      <c r="E532" s="17">
        <v>11001</v>
      </c>
      <c r="F532" s="3" t="s">
        <v>130</v>
      </c>
      <c r="G532" s="3" t="s">
        <v>324</v>
      </c>
      <c r="AE532" s="3">
        <v>1557.47</v>
      </c>
      <c r="AU532" s="22">
        <f t="shared" si="68"/>
        <v>1557.47</v>
      </c>
      <c r="AV532" s="3">
        <v>1557.47</v>
      </c>
      <c r="CH532" s="22">
        <f t="shared" si="69"/>
        <v>1557.47</v>
      </c>
      <c r="CI532" s="3">
        <f t="shared" si="70"/>
        <v>0</v>
      </c>
      <c r="CJ532" s="17">
        <f t="shared" si="67"/>
        <v>11001</v>
      </c>
      <c r="CK532" s="3" t="str">
        <f t="shared" si="71"/>
        <v>خ ت طب</v>
      </c>
    </row>
    <row r="533" spans="3:89" x14ac:dyDescent="0.25">
      <c r="D533" s="17">
        <v>14612</v>
      </c>
      <c r="E533" s="17">
        <v>11002</v>
      </c>
      <c r="F533" s="3" t="s">
        <v>119</v>
      </c>
      <c r="G533" s="3" t="s">
        <v>321</v>
      </c>
      <c r="S533" s="3">
        <v>6583.5</v>
      </c>
      <c r="AU533" s="22">
        <f t="shared" si="68"/>
        <v>6583.5</v>
      </c>
      <c r="AV533" s="3">
        <v>6583.5</v>
      </c>
      <c r="CH533" s="22">
        <f t="shared" si="69"/>
        <v>6583.5</v>
      </c>
      <c r="CI533" s="3">
        <f t="shared" si="70"/>
        <v>0</v>
      </c>
      <c r="CJ533" s="17">
        <f t="shared" si="67"/>
        <v>11002</v>
      </c>
      <c r="CK533" s="3" t="str">
        <f t="shared" si="71"/>
        <v>خ ت صيدلة</v>
      </c>
    </row>
    <row r="534" spans="3:89" x14ac:dyDescent="0.25">
      <c r="D534" s="17">
        <v>18195</v>
      </c>
      <c r="E534" s="17">
        <v>11003</v>
      </c>
      <c r="F534" s="3" t="s">
        <v>325</v>
      </c>
      <c r="G534" s="3" t="s">
        <v>326</v>
      </c>
      <c r="J534" s="3">
        <v>10147.5</v>
      </c>
      <c r="AU534" s="22">
        <f t="shared" si="68"/>
        <v>10147.5</v>
      </c>
      <c r="AV534" s="3">
        <v>8872.4</v>
      </c>
      <c r="AW534" s="3">
        <f>141.65+424.95+36</f>
        <v>602.6</v>
      </c>
      <c r="AY534" s="3">
        <v>5</v>
      </c>
      <c r="BL534" s="3">
        <v>80</v>
      </c>
      <c r="BM534" s="3">
        <f>40.05*2</f>
        <v>80.099999999999994</v>
      </c>
      <c r="BN534" s="3">
        <v>507.4</v>
      </c>
      <c r="CH534" s="22">
        <f t="shared" si="69"/>
        <v>10147.5</v>
      </c>
      <c r="CI534" s="3">
        <f t="shared" si="70"/>
        <v>0</v>
      </c>
      <c r="CJ534" s="17">
        <f t="shared" si="67"/>
        <v>11003</v>
      </c>
      <c r="CK534" s="3" t="str">
        <f t="shared" si="71"/>
        <v xml:space="preserve">برنامج دولى </v>
      </c>
    </row>
    <row r="535" spans="3:89" x14ac:dyDescent="0.25">
      <c r="D535" s="17">
        <v>18039</v>
      </c>
      <c r="E535" s="17">
        <v>11004</v>
      </c>
      <c r="F535" s="3" t="s">
        <v>325</v>
      </c>
      <c r="G535" s="3" t="s">
        <v>327</v>
      </c>
      <c r="J535" s="3">
        <v>4948</v>
      </c>
      <c r="AU535" s="22">
        <f t="shared" si="68"/>
        <v>4948</v>
      </c>
      <c r="AV535" s="3">
        <v>4634.5</v>
      </c>
      <c r="AW535" s="3">
        <f>66.15+198.45+2.7</f>
        <v>267.3</v>
      </c>
      <c r="BL535" s="3">
        <v>6</v>
      </c>
      <c r="BM535" s="3">
        <f>20.1*2</f>
        <v>40.200000000000003</v>
      </c>
      <c r="CH535" s="22">
        <f t="shared" si="69"/>
        <v>4948</v>
      </c>
      <c r="CI535" s="3">
        <f t="shared" si="70"/>
        <v>0</v>
      </c>
      <c r="CJ535" s="17">
        <f t="shared" si="67"/>
        <v>11004</v>
      </c>
      <c r="CK535" s="3" t="str">
        <f t="shared" si="71"/>
        <v xml:space="preserve">برنامج دولى </v>
      </c>
    </row>
    <row r="536" spans="3:89" x14ac:dyDescent="0.25">
      <c r="D536" s="17">
        <v>18002</v>
      </c>
      <c r="E536" s="17">
        <v>11005</v>
      </c>
      <c r="F536" s="3" t="s">
        <v>325</v>
      </c>
      <c r="G536" s="3" t="s">
        <v>328</v>
      </c>
      <c r="I536" s="3">
        <v>4103.75</v>
      </c>
      <c r="AU536" s="22">
        <f t="shared" si="68"/>
        <v>4103.75</v>
      </c>
      <c r="AV536" s="3">
        <v>2742.35</v>
      </c>
      <c r="AW536" s="3">
        <v>372.65</v>
      </c>
      <c r="AX536" s="3">
        <v>988.75</v>
      </c>
      <c r="CH536" s="22">
        <f t="shared" si="69"/>
        <v>4103.75</v>
      </c>
      <c r="CI536" s="3">
        <f t="shared" si="70"/>
        <v>0</v>
      </c>
      <c r="CJ536" s="17">
        <f t="shared" si="67"/>
        <v>11005</v>
      </c>
      <c r="CK536" s="3" t="str">
        <f t="shared" si="71"/>
        <v xml:space="preserve">برنامج دولى </v>
      </c>
    </row>
    <row r="537" spans="3:89" x14ac:dyDescent="0.25">
      <c r="D537" s="17">
        <v>18003</v>
      </c>
      <c r="E537" s="17">
        <v>11006</v>
      </c>
      <c r="F537" s="3" t="s">
        <v>325</v>
      </c>
      <c r="G537" s="3" t="s">
        <v>329</v>
      </c>
      <c r="I537" s="3">
        <v>2600</v>
      </c>
      <c r="AU537" s="22">
        <f t="shared" si="68"/>
        <v>2600</v>
      </c>
      <c r="AV537" s="3">
        <v>2320.85</v>
      </c>
      <c r="AW537" s="3">
        <v>279.14999999999998</v>
      </c>
      <c r="CH537" s="22">
        <f t="shared" si="69"/>
        <v>2600</v>
      </c>
      <c r="CI537" s="3">
        <f t="shared" si="70"/>
        <v>0</v>
      </c>
      <c r="CJ537" s="17">
        <f t="shared" si="67"/>
        <v>11006</v>
      </c>
      <c r="CK537" s="3" t="str">
        <f t="shared" si="71"/>
        <v xml:space="preserve">برنامج دولى </v>
      </c>
    </row>
    <row r="538" spans="3:89" x14ac:dyDescent="0.25">
      <c r="D538" s="17">
        <v>18004</v>
      </c>
      <c r="E538" s="17">
        <v>11007</v>
      </c>
      <c r="F538" s="3" t="s">
        <v>325</v>
      </c>
      <c r="G538" s="3" t="s">
        <v>329</v>
      </c>
      <c r="I538" s="3">
        <v>1407</v>
      </c>
      <c r="AU538" s="22">
        <f t="shared" si="68"/>
        <v>1407</v>
      </c>
      <c r="AV538" s="3">
        <v>940.35</v>
      </c>
      <c r="AW538" s="3">
        <v>127.65</v>
      </c>
      <c r="AX538" s="3">
        <v>339</v>
      </c>
      <c r="CH538" s="22">
        <f t="shared" si="69"/>
        <v>1407</v>
      </c>
      <c r="CI538" s="3">
        <f t="shared" si="70"/>
        <v>0</v>
      </c>
      <c r="CJ538" s="17">
        <f t="shared" si="67"/>
        <v>11007</v>
      </c>
      <c r="CK538" s="3" t="str">
        <f t="shared" si="71"/>
        <v xml:space="preserve">برنامج دولى </v>
      </c>
    </row>
    <row r="539" spans="3:89" x14ac:dyDescent="0.25">
      <c r="D539" s="17">
        <v>18005</v>
      </c>
      <c r="E539" s="17">
        <v>11008</v>
      </c>
      <c r="F539" s="3" t="s">
        <v>325</v>
      </c>
      <c r="G539" s="3" t="s">
        <v>329</v>
      </c>
      <c r="I539" s="3">
        <v>234.5</v>
      </c>
      <c r="AU539" s="22">
        <f t="shared" si="68"/>
        <v>234.5</v>
      </c>
      <c r="AV539" s="3">
        <v>157.19999999999999</v>
      </c>
      <c r="AW539" s="3">
        <v>20.8</v>
      </c>
      <c r="AX539" s="3">
        <v>56.5</v>
      </c>
      <c r="CH539" s="22">
        <f t="shared" si="69"/>
        <v>234.5</v>
      </c>
      <c r="CI539" s="3">
        <f t="shared" si="70"/>
        <v>0</v>
      </c>
      <c r="CJ539" s="17">
        <f t="shared" si="67"/>
        <v>11008</v>
      </c>
      <c r="CK539" s="3" t="str">
        <f t="shared" si="71"/>
        <v xml:space="preserve">برنامج دولى </v>
      </c>
    </row>
    <row r="540" spans="3:89" x14ac:dyDescent="0.25">
      <c r="D540" s="17">
        <v>18006</v>
      </c>
      <c r="E540" s="17">
        <v>11009</v>
      </c>
      <c r="F540" s="3" t="s">
        <v>325</v>
      </c>
      <c r="G540" s="3" t="s">
        <v>329</v>
      </c>
      <c r="I540" s="3">
        <v>3048.5</v>
      </c>
      <c r="AU540" s="22">
        <f t="shared" si="68"/>
        <v>3048.5</v>
      </c>
      <c r="AV540" s="3">
        <v>2037</v>
      </c>
      <c r="AW540" s="3">
        <v>277</v>
      </c>
      <c r="AX540" s="3">
        <v>734.5</v>
      </c>
      <c r="CH540" s="22">
        <f t="shared" si="69"/>
        <v>3048.5</v>
      </c>
      <c r="CI540" s="3">
        <f t="shared" si="70"/>
        <v>0</v>
      </c>
      <c r="CJ540" s="17">
        <f t="shared" si="67"/>
        <v>11009</v>
      </c>
      <c r="CK540" s="3" t="str">
        <f t="shared" si="71"/>
        <v xml:space="preserve">برنامج دولى </v>
      </c>
    </row>
    <row r="541" spans="3:89" x14ac:dyDescent="0.25">
      <c r="D541" s="17">
        <v>18007</v>
      </c>
      <c r="E541" s="17">
        <v>11010</v>
      </c>
      <c r="F541" s="3" t="s">
        <v>325</v>
      </c>
      <c r="G541" s="3" t="s">
        <v>329</v>
      </c>
      <c r="I541" s="3">
        <v>1407</v>
      </c>
      <c r="AU541" s="22">
        <f t="shared" si="68"/>
        <v>1407</v>
      </c>
      <c r="AV541" s="3">
        <v>940.35</v>
      </c>
      <c r="AW541" s="3">
        <v>127.65</v>
      </c>
      <c r="AX541" s="3">
        <v>339</v>
      </c>
      <c r="CH541" s="22">
        <f t="shared" si="69"/>
        <v>1407</v>
      </c>
      <c r="CI541" s="3">
        <f t="shared" si="70"/>
        <v>0</v>
      </c>
      <c r="CJ541" s="17">
        <f t="shared" si="67"/>
        <v>11010</v>
      </c>
      <c r="CK541" s="3" t="str">
        <f t="shared" si="71"/>
        <v xml:space="preserve">برنامج دولى </v>
      </c>
    </row>
    <row r="542" spans="3:89" x14ac:dyDescent="0.25">
      <c r="D542" s="17">
        <v>18008</v>
      </c>
      <c r="E542" s="17">
        <v>11011</v>
      </c>
      <c r="F542" s="3" t="s">
        <v>325</v>
      </c>
      <c r="G542" s="3" t="s">
        <v>329</v>
      </c>
      <c r="I542" s="3">
        <v>1800</v>
      </c>
      <c r="AU542" s="22">
        <f t="shared" si="68"/>
        <v>1800</v>
      </c>
      <c r="AV542" s="3">
        <v>1607.55</v>
      </c>
      <c r="AW542" s="3">
        <v>192.45</v>
      </c>
      <c r="CH542" s="22">
        <f t="shared" si="69"/>
        <v>1800</v>
      </c>
      <c r="CI542" s="3">
        <f t="shared" si="70"/>
        <v>0</v>
      </c>
      <c r="CJ542" s="17">
        <f t="shared" si="67"/>
        <v>11011</v>
      </c>
      <c r="CK542" s="3" t="str">
        <f t="shared" si="71"/>
        <v xml:space="preserve">برنامج دولى </v>
      </c>
    </row>
    <row r="543" spans="3:89" x14ac:dyDescent="0.25">
      <c r="D543" s="17">
        <v>18009</v>
      </c>
      <c r="E543" s="17">
        <v>11012</v>
      </c>
      <c r="F543" s="3" t="s">
        <v>325</v>
      </c>
      <c r="G543" s="3" t="s">
        <v>330</v>
      </c>
      <c r="I543" s="3">
        <v>5159</v>
      </c>
      <c r="AU543" s="22">
        <f t="shared" si="68"/>
        <v>5159</v>
      </c>
      <c r="AV543" s="3">
        <v>3447.3</v>
      </c>
      <c r="AW543" s="3">
        <v>468.7</v>
      </c>
      <c r="AX543" s="3">
        <v>1243</v>
      </c>
      <c r="CH543" s="22">
        <f t="shared" si="69"/>
        <v>5159</v>
      </c>
      <c r="CI543" s="3">
        <f t="shared" si="70"/>
        <v>0</v>
      </c>
      <c r="CJ543" s="17">
        <f t="shared" si="67"/>
        <v>11012</v>
      </c>
      <c r="CK543" s="3" t="str">
        <f t="shared" si="71"/>
        <v xml:space="preserve">برنامج دولى </v>
      </c>
    </row>
    <row r="544" spans="3:89" x14ac:dyDescent="0.25">
      <c r="D544" s="17">
        <v>18011</v>
      </c>
      <c r="E544" s="17">
        <v>11013</v>
      </c>
      <c r="F544" s="3" t="s">
        <v>325</v>
      </c>
      <c r="G544" s="3" t="s">
        <v>330</v>
      </c>
      <c r="I544" s="3">
        <v>234.5</v>
      </c>
      <c r="AU544" s="22">
        <f t="shared" si="68"/>
        <v>234.5</v>
      </c>
      <c r="AV544" s="3">
        <v>157.19999999999999</v>
      </c>
      <c r="AW544" s="3">
        <v>20.8</v>
      </c>
      <c r="AX544" s="3">
        <v>56.5</v>
      </c>
      <c r="CH544" s="22">
        <f t="shared" si="69"/>
        <v>234.5</v>
      </c>
      <c r="CI544" s="3">
        <f t="shared" si="70"/>
        <v>0</v>
      </c>
      <c r="CJ544" s="17">
        <f t="shared" si="67"/>
        <v>11013</v>
      </c>
      <c r="CK544" s="3" t="str">
        <f t="shared" si="71"/>
        <v xml:space="preserve">برنامج دولى </v>
      </c>
    </row>
    <row r="545" spans="1:89" x14ac:dyDescent="0.25">
      <c r="D545" s="17">
        <v>18010</v>
      </c>
      <c r="E545" s="17">
        <v>11014</v>
      </c>
      <c r="F545" s="3" t="s">
        <v>325</v>
      </c>
      <c r="G545" s="3" t="s">
        <v>330</v>
      </c>
      <c r="I545" s="3">
        <v>469</v>
      </c>
      <c r="AU545" s="22">
        <f t="shared" si="68"/>
        <v>469</v>
      </c>
      <c r="AV545" s="3">
        <v>314</v>
      </c>
      <c r="AW545" s="3">
        <v>42</v>
      </c>
      <c r="AX545" s="3">
        <v>113</v>
      </c>
      <c r="CH545" s="22">
        <f t="shared" si="69"/>
        <v>469</v>
      </c>
      <c r="CI545" s="3">
        <f t="shared" si="70"/>
        <v>0</v>
      </c>
      <c r="CJ545" s="17">
        <f t="shared" si="67"/>
        <v>11014</v>
      </c>
      <c r="CK545" s="3" t="str">
        <f t="shared" si="71"/>
        <v xml:space="preserve">برنامج دولى </v>
      </c>
    </row>
    <row r="546" spans="1:89" x14ac:dyDescent="0.25">
      <c r="D546" s="17">
        <v>17994</v>
      </c>
      <c r="E546" s="17">
        <v>11015</v>
      </c>
      <c r="F546" s="3" t="s">
        <v>325</v>
      </c>
      <c r="G546" s="3" t="s">
        <v>331</v>
      </c>
      <c r="I546" s="3">
        <v>527.62</v>
      </c>
      <c r="AU546" s="22">
        <f t="shared" si="68"/>
        <v>527.62</v>
      </c>
      <c r="AV546" s="3">
        <v>353.2</v>
      </c>
      <c r="AW546" s="3">
        <v>47.3</v>
      </c>
      <c r="AX546" s="3">
        <v>127.12</v>
      </c>
      <c r="CH546" s="22">
        <f t="shared" si="69"/>
        <v>527.62</v>
      </c>
      <c r="CI546" s="3">
        <f t="shared" si="70"/>
        <v>0</v>
      </c>
      <c r="CJ546" s="17">
        <f t="shared" si="67"/>
        <v>11015</v>
      </c>
      <c r="CK546" s="3" t="str">
        <f t="shared" si="71"/>
        <v xml:space="preserve">برنامج دولى </v>
      </c>
    </row>
    <row r="547" spans="1:89" x14ac:dyDescent="0.25">
      <c r="E547" s="17">
        <v>11016</v>
      </c>
      <c r="F547" s="3" t="s">
        <v>332</v>
      </c>
      <c r="G547" s="3" t="s">
        <v>333</v>
      </c>
      <c r="I547" s="3">
        <v>0</v>
      </c>
      <c r="AU547" s="22">
        <f t="shared" si="68"/>
        <v>0</v>
      </c>
      <c r="AV547" s="3">
        <v>0</v>
      </c>
      <c r="CH547" s="22">
        <f t="shared" si="69"/>
        <v>0</v>
      </c>
      <c r="CI547" s="3">
        <f t="shared" si="70"/>
        <v>0</v>
      </c>
      <c r="CJ547" s="17">
        <f t="shared" si="67"/>
        <v>11016</v>
      </c>
      <c r="CK547" s="3" t="str">
        <f t="shared" si="71"/>
        <v xml:space="preserve">لاب فقط </v>
      </c>
    </row>
    <row r="548" spans="1:89" x14ac:dyDescent="0.25">
      <c r="D548" s="17">
        <v>17898</v>
      </c>
      <c r="E548" s="17">
        <v>11017</v>
      </c>
      <c r="F548" s="3" t="s">
        <v>325</v>
      </c>
      <c r="G548" s="3" t="s">
        <v>334</v>
      </c>
      <c r="I548" s="3">
        <v>3283</v>
      </c>
      <c r="AU548" s="22">
        <f t="shared" si="68"/>
        <v>3283</v>
      </c>
      <c r="AV548" s="3">
        <v>2195.9</v>
      </c>
      <c r="AW548" s="3">
        <v>296.10000000000002</v>
      </c>
      <c r="AX548" s="3">
        <v>791</v>
      </c>
      <c r="CH548" s="22">
        <f t="shared" si="69"/>
        <v>3283</v>
      </c>
      <c r="CI548" s="3">
        <f t="shared" si="70"/>
        <v>0</v>
      </c>
      <c r="CJ548" s="17">
        <f t="shared" si="67"/>
        <v>11017</v>
      </c>
      <c r="CK548" s="3" t="str">
        <f t="shared" si="71"/>
        <v xml:space="preserve">برنامج دولى </v>
      </c>
    </row>
    <row r="549" spans="1:89" x14ac:dyDescent="0.25">
      <c r="D549" s="17">
        <v>17899</v>
      </c>
      <c r="E549" s="17">
        <v>11018</v>
      </c>
      <c r="F549" s="3" t="s">
        <v>325</v>
      </c>
      <c r="G549" s="3" t="s">
        <v>334</v>
      </c>
      <c r="I549" s="3">
        <v>703.5</v>
      </c>
      <c r="AU549" s="22">
        <f t="shared" si="68"/>
        <v>703.5</v>
      </c>
      <c r="AV549" s="3">
        <v>470.6</v>
      </c>
      <c r="AW549" s="3">
        <v>63.4</v>
      </c>
      <c r="AX549" s="3">
        <v>169.5</v>
      </c>
      <c r="CH549" s="22">
        <f t="shared" si="69"/>
        <v>703.5</v>
      </c>
      <c r="CI549" s="3">
        <f t="shared" si="70"/>
        <v>0</v>
      </c>
      <c r="CJ549" s="17">
        <f t="shared" si="67"/>
        <v>11018</v>
      </c>
      <c r="CK549" s="3" t="str">
        <f t="shared" si="71"/>
        <v xml:space="preserve">برنامج دولى </v>
      </c>
    </row>
    <row r="550" spans="1:89" x14ac:dyDescent="0.25">
      <c r="D550" s="17">
        <v>17900</v>
      </c>
      <c r="E550" s="17">
        <v>11019</v>
      </c>
      <c r="F550" s="3" t="s">
        <v>325</v>
      </c>
      <c r="G550" s="3" t="s">
        <v>334</v>
      </c>
      <c r="I550" s="3">
        <v>2579.5</v>
      </c>
      <c r="AU550" s="22">
        <f t="shared" si="68"/>
        <v>2579.5</v>
      </c>
      <c r="AV550" s="3">
        <v>1725.3</v>
      </c>
      <c r="AW550" s="3">
        <v>232.7</v>
      </c>
      <c r="AX550" s="3">
        <v>621.5</v>
      </c>
      <c r="CH550" s="22">
        <f t="shared" si="69"/>
        <v>2579.5</v>
      </c>
      <c r="CI550" s="3">
        <f t="shared" si="70"/>
        <v>0</v>
      </c>
      <c r="CJ550" s="17">
        <f t="shared" si="67"/>
        <v>11019</v>
      </c>
      <c r="CK550" s="3" t="str">
        <f t="shared" si="71"/>
        <v xml:space="preserve">برنامج دولى </v>
      </c>
    </row>
    <row r="551" spans="1:89" s="29" customFormat="1" x14ac:dyDescent="0.25">
      <c r="A551" s="27"/>
      <c r="B551" s="28"/>
      <c r="C551" s="28"/>
      <c r="D551" s="17"/>
      <c r="E551" s="28"/>
      <c r="G551" s="29" t="s">
        <v>335</v>
      </c>
      <c r="I551" s="29">
        <f t="shared" ref="I551:AO551" si="72">SUM(I338:I550)</f>
        <v>1253317.2499999995</v>
      </c>
      <c r="J551" s="29">
        <f t="shared" si="72"/>
        <v>471072.05</v>
      </c>
      <c r="K551" s="29">
        <f t="shared" si="72"/>
        <v>0</v>
      </c>
      <c r="L551" s="29">
        <f t="shared" si="72"/>
        <v>0</v>
      </c>
      <c r="M551" s="29">
        <f t="shared" si="72"/>
        <v>6300</v>
      </c>
      <c r="N551" s="29">
        <f t="shared" si="72"/>
        <v>6300</v>
      </c>
      <c r="O551" s="29">
        <f t="shared" si="72"/>
        <v>6300</v>
      </c>
      <c r="P551" s="29">
        <f t="shared" si="72"/>
        <v>0</v>
      </c>
      <c r="Q551" s="29">
        <f t="shared" si="72"/>
        <v>12000</v>
      </c>
      <c r="R551" s="29">
        <f t="shared" si="72"/>
        <v>0</v>
      </c>
      <c r="S551" s="29">
        <f t="shared" si="72"/>
        <v>8464.5</v>
      </c>
      <c r="T551" s="29">
        <f t="shared" si="72"/>
        <v>0</v>
      </c>
      <c r="U551" s="29">
        <f t="shared" si="72"/>
        <v>0</v>
      </c>
      <c r="V551" s="29">
        <f t="shared" si="72"/>
        <v>0</v>
      </c>
      <c r="W551" s="29">
        <f t="shared" si="72"/>
        <v>0</v>
      </c>
      <c r="X551" s="29">
        <f t="shared" si="72"/>
        <v>0</v>
      </c>
      <c r="Y551" s="29">
        <f t="shared" si="72"/>
        <v>0</v>
      </c>
      <c r="Z551" s="29">
        <f t="shared" si="72"/>
        <v>0</v>
      </c>
      <c r="AA551" s="29">
        <f t="shared" si="72"/>
        <v>0</v>
      </c>
      <c r="AB551" s="29">
        <f t="shared" si="72"/>
        <v>43978.3</v>
      </c>
      <c r="AC551" s="29">
        <f t="shared" si="72"/>
        <v>0</v>
      </c>
      <c r="AD551" s="29">
        <f t="shared" si="72"/>
        <v>0</v>
      </c>
      <c r="AE551" s="29">
        <f t="shared" si="72"/>
        <v>1557.47</v>
      </c>
      <c r="AG551" s="29">
        <f t="shared" si="72"/>
        <v>0</v>
      </c>
      <c r="AH551" s="29">
        <f t="shared" si="72"/>
        <v>0</v>
      </c>
      <c r="AI551" s="29">
        <f t="shared" si="72"/>
        <v>0</v>
      </c>
      <c r="AJ551" s="29">
        <f t="shared" si="72"/>
        <v>0</v>
      </c>
      <c r="AK551" s="29">
        <f t="shared" si="72"/>
        <v>0</v>
      </c>
      <c r="AL551" s="29">
        <f t="shared" si="72"/>
        <v>0</v>
      </c>
      <c r="AM551" s="29">
        <f t="shared" si="72"/>
        <v>0</v>
      </c>
      <c r="AN551" s="29">
        <f t="shared" si="72"/>
        <v>0</v>
      </c>
      <c r="AO551" s="29">
        <f t="shared" si="72"/>
        <v>0</v>
      </c>
      <c r="AP551" s="29">
        <f t="shared" ref="AP551:BW551" si="73">SUM(AP338:AP550)</f>
        <v>0</v>
      </c>
      <c r="AQ551" s="29">
        <f t="shared" si="73"/>
        <v>0</v>
      </c>
      <c r="AR551" s="29">
        <f t="shared" si="73"/>
        <v>0</v>
      </c>
      <c r="AS551" s="29">
        <f t="shared" si="73"/>
        <v>0</v>
      </c>
      <c r="AT551" s="29">
        <f t="shared" si="73"/>
        <v>0</v>
      </c>
      <c r="AU551" s="22">
        <f t="shared" si="68"/>
        <v>1809289.5699999996</v>
      </c>
      <c r="AV551" s="29">
        <f t="shared" si="73"/>
        <v>1463895.8100000005</v>
      </c>
      <c r="AW551" s="29">
        <f t="shared" si="73"/>
        <v>145717.99</v>
      </c>
      <c r="AX551" s="29">
        <f t="shared" si="73"/>
        <v>127592.32999999999</v>
      </c>
      <c r="AY551" s="29">
        <f t="shared" si="73"/>
        <v>13036.41</v>
      </c>
      <c r="AZ551" s="29">
        <f t="shared" si="73"/>
        <v>0</v>
      </c>
      <c r="BA551" s="29">
        <f t="shared" si="73"/>
        <v>0</v>
      </c>
      <c r="BB551" s="29">
        <f t="shared" si="73"/>
        <v>0</v>
      </c>
      <c r="BC551" s="29">
        <f t="shared" si="73"/>
        <v>0</v>
      </c>
      <c r="BD551" s="29">
        <f t="shared" si="73"/>
        <v>0</v>
      </c>
      <c r="BF551" s="29">
        <f t="shared" si="73"/>
        <v>0</v>
      </c>
      <c r="BG551" s="29">
        <f t="shared" si="73"/>
        <v>0</v>
      </c>
      <c r="BH551" s="29">
        <f t="shared" si="73"/>
        <v>493.8</v>
      </c>
      <c r="BJ551" s="29">
        <f t="shared" si="73"/>
        <v>0</v>
      </c>
      <c r="BK551" s="29">
        <f t="shared" si="73"/>
        <v>3803.72</v>
      </c>
      <c r="BL551" s="29">
        <f t="shared" si="73"/>
        <v>610</v>
      </c>
      <c r="BM551" s="29">
        <f t="shared" si="73"/>
        <v>2424.4599999999996</v>
      </c>
      <c r="BN551" s="29">
        <f t="shared" si="73"/>
        <v>8427.4</v>
      </c>
      <c r="BO551" s="29">
        <f t="shared" si="73"/>
        <v>16577.5</v>
      </c>
      <c r="BP551" s="29">
        <f t="shared" si="73"/>
        <v>6300</v>
      </c>
      <c r="BQ551" s="29">
        <f t="shared" si="73"/>
        <v>6300</v>
      </c>
      <c r="BR551" s="29">
        <f t="shared" si="73"/>
        <v>0</v>
      </c>
      <c r="BS551" s="29">
        <f t="shared" si="73"/>
        <v>12000</v>
      </c>
      <c r="BT551" s="29">
        <f t="shared" si="73"/>
        <v>0</v>
      </c>
      <c r="BU551" s="29">
        <f t="shared" si="73"/>
        <v>0</v>
      </c>
      <c r="BV551" s="29">
        <f t="shared" si="73"/>
        <v>0</v>
      </c>
      <c r="BW551" s="29">
        <f t="shared" si="73"/>
        <v>0</v>
      </c>
      <c r="BX551" s="29">
        <f t="shared" ref="BX551:CG551" si="74">SUM(BX338:BX550)</f>
        <v>0</v>
      </c>
      <c r="BY551" s="29">
        <f t="shared" si="74"/>
        <v>0</v>
      </c>
      <c r="BZ551" s="29">
        <f t="shared" si="74"/>
        <v>0</v>
      </c>
      <c r="CA551" s="29">
        <f t="shared" si="74"/>
        <v>0</v>
      </c>
      <c r="CB551" s="29">
        <f t="shared" si="74"/>
        <v>0</v>
      </c>
      <c r="CC551" s="29">
        <f t="shared" si="74"/>
        <v>0</v>
      </c>
      <c r="CD551" s="29">
        <f t="shared" si="74"/>
        <v>0</v>
      </c>
      <c r="CE551" s="29">
        <f t="shared" si="74"/>
        <v>0</v>
      </c>
      <c r="CF551" s="29">
        <f t="shared" si="74"/>
        <v>0</v>
      </c>
      <c r="CG551" s="201">
        <f t="shared" si="74"/>
        <v>2110.15</v>
      </c>
      <c r="CH551" s="22">
        <f t="shared" ref="CH551:CH552" si="75">SUM(AV551:CG551)</f>
        <v>1809289.5700000003</v>
      </c>
      <c r="CI551" s="3">
        <f t="shared" ref="CI551:CI552" si="76">+CH551-AU551</f>
        <v>0</v>
      </c>
      <c r="CJ551" s="17">
        <f t="shared" ref="CJ551:CJ552" si="77">+E551</f>
        <v>0</v>
      </c>
      <c r="CK551" s="3">
        <f t="shared" ref="CK551:CK552" si="78">+F551</f>
        <v>0</v>
      </c>
    </row>
    <row r="552" spans="1:89" x14ac:dyDescent="0.25">
      <c r="D552" s="17">
        <v>8530</v>
      </c>
      <c r="E552" s="17">
        <v>11020</v>
      </c>
      <c r="F552" s="3" t="s">
        <v>78</v>
      </c>
      <c r="G552" s="3" t="s">
        <v>5115</v>
      </c>
      <c r="H552" s="3" t="s">
        <v>220</v>
      </c>
      <c r="I552" s="3">
        <v>3853.17</v>
      </c>
      <c r="V552" s="3"/>
      <c r="W552" s="3"/>
      <c r="AU552" s="22">
        <f t="shared" si="68"/>
        <v>3853.17</v>
      </c>
      <c r="AV552" s="3">
        <v>2802.38</v>
      </c>
      <c r="AW552" s="3">
        <f>123.47+3</f>
        <v>126.47</v>
      </c>
      <c r="AX552" s="3">
        <f>791.4+131.3</f>
        <v>922.7</v>
      </c>
      <c r="AY552" s="3">
        <v>1.62</v>
      </c>
      <c r="CH552" s="22">
        <f t="shared" si="75"/>
        <v>3853.17</v>
      </c>
      <c r="CI552" s="3">
        <f t="shared" si="76"/>
        <v>0</v>
      </c>
      <c r="CJ552" s="17">
        <f t="shared" si="77"/>
        <v>11020</v>
      </c>
      <c r="CK552" s="3" t="str">
        <f t="shared" si="78"/>
        <v>برنامج دولى</v>
      </c>
    </row>
    <row r="553" spans="1:89" s="29" customFormat="1" x14ac:dyDescent="0.25">
      <c r="A553" s="27"/>
      <c r="B553" s="28"/>
      <c r="C553" s="28"/>
      <c r="D553" s="28"/>
      <c r="E553" s="28"/>
      <c r="G553" s="29" t="s">
        <v>336</v>
      </c>
      <c r="I553" s="29">
        <f>SUM(I552)</f>
        <v>3853.17</v>
      </c>
      <c r="J553" s="29">
        <f t="shared" ref="J553:BV553" si="79">SUM(J552)</f>
        <v>0</v>
      </c>
      <c r="K553" s="29">
        <f t="shared" si="79"/>
        <v>0</v>
      </c>
      <c r="L553" s="29">
        <f t="shared" si="79"/>
        <v>0</v>
      </c>
      <c r="M553" s="29">
        <f t="shared" si="79"/>
        <v>0</v>
      </c>
      <c r="N553" s="29">
        <f t="shared" si="79"/>
        <v>0</v>
      </c>
      <c r="O553" s="29">
        <f t="shared" si="79"/>
        <v>0</v>
      </c>
      <c r="P553" s="29">
        <f t="shared" si="79"/>
        <v>0</v>
      </c>
      <c r="Q553" s="29">
        <f t="shared" si="79"/>
        <v>0</v>
      </c>
      <c r="R553" s="29">
        <f t="shared" si="79"/>
        <v>0</v>
      </c>
      <c r="S553" s="29">
        <f t="shared" si="79"/>
        <v>0</v>
      </c>
      <c r="T553" s="29">
        <f t="shared" si="79"/>
        <v>0</v>
      </c>
      <c r="U553" s="29">
        <f t="shared" si="79"/>
        <v>0</v>
      </c>
      <c r="V553" s="29">
        <f t="shared" si="79"/>
        <v>0</v>
      </c>
      <c r="W553" s="29">
        <f t="shared" si="79"/>
        <v>0</v>
      </c>
      <c r="X553" s="29">
        <f t="shared" si="79"/>
        <v>0</v>
      </c>
      <c r="Y553" s="29">
        <f t="shared" si="79"/>
        <v>0</v>
      </c>
      <c r="Z553" s="29">
        <f t="shared" si="79"/>
        <v>0</v>
      </c>
      <c r="AA553" s="29">
        <f t="shared" si="79"/>
        <v>0</v>
      </c>
      <c r="AB553" s="29">
        <f t="shared" si="79"/>
        <v>0</v>
      </c>
      <c r="AC553" s="29">
        <f t="shared" si="79"/>
        <v>0</v>
      </c>
      <c r="AD553" s="29">
        <f t="shared" si="79"/>
        <v>0</v>
      </c>
      <c r="AE553" s="29">
        <f t="shared" si="79"/>
        <v>0</v>
      </c>
      <c r="AF553" s="29">
        <f t="shared" si="79"/>
        <v>0</v>
      </c>
      <c r="AG553" s="29">
        <f t="shared" si="79"/>
        <v>0</v>
      </c>
      <c r="AH553" s="29">
        <f t="shared" si="79"/>
        <v>0</v>
      </c>
      <c r="AI553" s="29">
        <f t="shared" si="79"/>
        <v>0</v>
      </c>
      <c r="AJ553" s="29">
        <f t="shared" si="79"/>
        <v>0</v>
      </c>
      <c r="AK553" s="29">
        <f t="shared" si="79"/>
        <v>0</v>
      </c>
      <c r="AL553" s="29">
        <f t="shared" si="79"/>
        <v>0</v>
      </c>
      <c r="AM553" s="29">
        <f t="shared" si="79"/>
        <v>0</v>
      </c>
      <c r="AN553" s="29">
        <f t="shared" si="79"/>
        <v>0</v>
      </c>
      <c r="AO553" s="29">
        <f t="shared" si="79"/>
        <v>0</v>
      </c>
      <c r="AP553" s="29">
        <f t="shared" si="79"/>
        <v>0</v>
      </c>
      <c r="AQ553" s="29">
        <f t="shared" si="79"/>
        <v>0</v>
      </c>
      <c r="AR553" s="29">
        <f t="shared" si="79"/>
        <v>0</v>
      </c>
      <c r="AS553" s="29">
        <f t="shared" si="79"/>
        <v>0</v>
      </c>
      <c r="AT553" s="29">
        <f t="shared" si="79"/>
        <v>0</v>
      </c>
      <c r="AU553" s="29">
        <f t="shared" si="79"/>
        <v>3853.17</v>
      </c>
      <c r="AV553" s="29">
        <f t="shared" si="79"/>
        <v>2802.38</v>
      </c>
      <c r="AW553" s="29">
        <f t="shared" si="79"/>
        <v>126.47</v>
      </c>
      <c r="AX553" s="29">
        <f t="shared" si="79"/>
        <v>922.7</v>
      </c>
      <c r="AY553" s="29">
        <f t="shared" si="79"/>
        <v>1.62</v>
      </c>
      <c r="AZ553" s="29">
        <f t="shared" si="79"/>
        <v>0</v>
      </c>
      <c r="BA553" s="29">
        <f t="shared" si="79"/>
        <v>0</v>
      </c>
      <c r="BB553" s="29">
        <f t="shared" si="79"/>
        <v>0</v>
      </c>
      <c r="BC553" s="29">
        <f t="shared" si="79"/>
        <v>0</v>
      </c>
      <c r="BD553" s="29">
        <f t="shared" si="79"/>
        <v>0</v>
      </c>
      <c r="BF553" s="29">
        <f t="shared" si="79"/>
        <v>0</v>
      </c>
      <c r="BG553" s="29">
        <f t="shared" si="79"/>
        <v>0</v>
      </c>
      <c r="BH553" s="29">
        <f t="shared" si="79"/>
        <v>0</v>
      </c>
      <c r="BI553" s="29">
        <f t="shared" si="79"/>
        <v>0</v>
      </c>
      <c r="BJ553" s="29">
        <f t="shared" si="79"/>
        <v>0</v>
      </c>
      <c r="BK553" s="29">
        <f t="shared" si="79"/>
        <v>0</v>
      </c>
      <c r="BL553" s="29">
        <f t="shared" si="79"/>
        <v>0</v>
      </c>
      <c r="BM553" s="29">
        <f t="shared" si="79"/>
        <v>0</v>
      </c>
      <c r="BN553" s="29">
        <f t="shared" si="79"/>
        <v>0</v>
      </c>
      <c r="BO553" s="29">
        <f t="shared" si="79"/>
        <v>0</v>
      </c>
      <c r="BP553" s="29">
        <f t="shared" si="79"/>
        <v>0</v>
      </c>
      <c r="BQ553" s="29">
        <f t="shared" si="79"/>
        <v>0</v>
      </c>
      <c r="BR553" s="29">
        <f t="shared" si="79"/>
        <v>0</v>
      </c>
      <c r="BS553" s="29">
        <f t="shared" si="79"/>
        <v>0</v>
      </c>
      <c r="BT553" s="29">
        <f t="shared" si="79"/>
        <v>0</v>
      </c>
      <c r="BU553" s="29">
        <f t="shared" si="79"/>
        <v>0</v>
      </c>
      <c r="BV553" s="29">
        <f t="shared" si="79"/>
        <v>0</v>
      </c>
      <c r="BW553" s="29">
        <f t="shared" ref="BW553:CK553" si="80">SUM(BW552)</f>
        <v>0</v>
      </c>
      <c r="BX553" s="29">
        <f t="shared" si="80"/>
        <v>0</v>
      </c>
      <c r="BY553" s="29">
        <f t="shared" si="80"/>
        <v>0</v>
      </c>
      <c r="BZ553" s="29">
        <f t="shared" si="80"/>
        <v>0</v>
      </c>
      <c r="CA553" s="29">
        <f t="shared" si="80"/>
        <v>0</v>
      </c>
      <c r="CB553" s="29">
        <f t="shared" si="80"/>
        <v>0</v>
      </c>
      <c r="CC553" s="29">
        <f t="shared" si="80"/>
        <v>0</v>
      </c>
      <c r="CD553" s="29">
        <f t="shared" si="80"/>
        <v>0</v>
      </c>
      <c r="CE553" s="29">
        <f t="shared" si="80"/>
        <v>0</v>
      </c>
      <c r="CF553" s="29">
        <f t="shared" si="80"/>
        <v>0</v>
      </c>
      <c r="CG553" s="29">
        <f t="shared" si="80"/>
        <v>0</v>
      </c>
      <c r="CH553" s="29">
        <f t="shared" si="80"/>
        <v>3853.17</v>
      </c>
      <c r="CI553" s="29">
        <f t="shared" si="80"/>
        <v>0</v>
      </c>
      <c r="CK553" s="29">
        <f t="shared" si="80"/>
        <v>0</v>
      </c>
    </row>
    <row r="554" spans="1:89" x14ac:dyDescent="0.25">
      <c r="D554" s="17">
        <v>17906</v>
      </c>
      <c r="E554" s="17">
        <v>11021</v>
      </c>
      <c r="F554" s="3" t="s">
        <v>78</v>
      </c>
      <c r="G554" s="3" t="s">
        <v>337</v>
      </c>
      <c r="I554" s="3">
        <v>1250</v>
      </c>
      <c r="AU554" s="22">
        <f t="shared" ref="AU554:AU585" si="81">SUM(I554:AS554)</f>
        <v>1250</v>
      </c>
      <c r="AV554" s="3">
        <v>1116</v>
      </c>
      <c r="AW554" s="3">
        <v>134</v>
      </c>
      <c r="CH554" s="22">
        <f t="shared" ref="CH554:CH585" si="82">SUM(AV554:CG554)</f>
        <v>1250</v>
      </c>
      <c r="CI554" s="3">
        <f t="shared" ref="CI554:CI585" si="83">+CH554-AU554</f>
        <v>0</v>
      </c>
      <c r="CJ554" s="17">
        <f t="shared" ref="CJ554:CJ585" si="84">+E554</f>
        <v>11021</v>
      </c>
      <c r="CK554" s="3" t="str">
        <f t="shared" ref="CK554:CK585" si="85">+F554</f>
        <v>برنامج دولى</v>
      </c>
    </row>
    <row r="555" spans="1:89" x14ac:dyDescent="0.25">
      <c r="C555" s="3">
        <f>+I551+I552</f>
        <v>1257170.4199999995</v>
      </c>
      <c r="D555" s="17">
        <v>17903</v>
      </c>
      <c r="E555" s="17">
        <v>11022</v>
      </c>
      <c r="F555" s="3" t="s">
        <v>78</v>
      </c>
      <c r="G555" s="3" t="s">
        <v>338</v>
      </c>
      <c r="I555" s="3">
        <v>9966.26</v>
      </c>
      <c r="AU555" s="22">
        <f t="shared" si="81"/>
        <v>9966.26</v>
      </c>
      <c r="AV555" s="3">
        <v>6659.6</v>
      </c>
      <c r="AW555" s="3">
        <v>905.4</v>
      </c>
      <c r="AX555" s="3">
        <v>2401.2600000000002</v>
      </c>
      <c r="CH555" s="22">
        <f t="shared" si="82"/>
        <v>9966.26</v>
      </c>
      <c r="CI555" s="3">
        <f t="shared" si="83"/>
        <v>0</v>
      </c>
      <c r="CJ555" s="17">
        <f t="shared" si="84"/>
        <v>11022</v>
      </c>
      <c r="CK555" s="3" t="str">
        <f t="shared" si="85"/>
        <v>برنامج دولى</v>
      </c>
    </row>
    <row r="556" spans="1:89" x14ac:dyDescent="0.25">
      <c r="C556" s="3"/>
      <c r="D556" s="17">
        <v>17902</v>
      </c>
      <c r="E556" s="17">
        <v>11023</v>
      </c>
      <c r="F556" s="3" t="s">
        <v>78</v>
      </c>
      <c r="G556" s="3" t="s">
        <v>338</v>
      </c>
      <c r="I556" s="3">
        <v>9086.89</v>
      </c>
      <c r="AU556" s="22">
        <f t="shared" si="81"/>
        <v>9086.89</v>
      </c>
      <c r="AV556" s="3">
        <v>6073.2</v>
      </c>
      <c r="AW556" s="3">
        <v>824.3</v>
      </c>
      <c r="AX556" s="3">
        <v>2189.39</v>
      </c>
      <c r="CH556" s="22">
        <f t="shared" si="82"/>
        <v>9086.89</v>
      </c>
      <c r="CI556" s="3">
        <f t="shared" si="83"/>
        <v>0</v>
      </c>
      <c r="CJ556" s="17">
        <f t="shared" si="84"/>
        <v>11023</v>
      </c>
      <c r="CK556" s="3" t="str">
        <f t="shared" si="85"/>
        <v>برنامج دولى</v>
      </c>
    </row>
    <row r="557" spans="1:89" x14ac:dyDescent="0.25">
      <c r="B557" s="3">
        <f>+C557-I548</f>
        <v>1251170.42</v>
      </c>
      <c r="C557" s="17">
        <v>1254453.42</v>
      </c>
      <c r="D557" s="17">
        <v>17904</v>
      </c>
      <c r="E557" s="17">
        <v>11024</v>
      </c>
      <c r="F557" s="3" t="s">
        <v>78</v>
      </c>
      <c r="G557" s="3" t="s">
        <v>338</v>
      </c>
      <c r="I557" s="3">
        <v>586.25</v>
      </c>
      <c r="AU557" s="22">
        <f t="shared" si="81"/>
        <v>586.25</v>
      </c>
      <c r="AV557" s="3">
        <v>392.4</v>
      </c>
      <c r="AW557" s="3">
        <v>52.6</v>
      </c>
      <c r="AX557" s="3">
        <v>141.25</v>
      </c>
      <c r="CH557" s="22">
        <f t="shared" si="82"/>
        <v>586.25</v>
      </c>
      <c r="CI557" s="3">
        <f t="shared" si="83"/>
        <v>0</v>
      </c>
      <c r="CJ557" s="17">
        <f t="shared" si="84"/>
        <v>11024</v>
      </c>
      <c r="CK557" s="3" t="str">
        <f t="shared" si="85"/>
        <v>برنامج دولى</v>
      </c>
    </row>
    <row r="558" spans="1:89" x14ac:dyDescent="0.25">
      <c r="C558" s="3"/>
      <c r="D558" s="17">
        <v>17906</v>
      </c>
      <c r="E558" s="17">
        <v>11025</v>
      </c>
      <c r="F558" s="3" t="s">
        <v>78</v>
      </c>
      <c r="G558" s="3" t="s">
        <v>338</v>
      </c>
      <c r="I558" s="3">
        <v>879.38</v>
      </c>
      <c r="AU558" s="22">
        <f t="shared" si="81"/>
        <v>879.38</v>
      </c>
      <c r="AV558" s="3">
        <v>588.15</v>
      </c>
      <c r="AW558" s="3">
        <v>79.349999999999994</v>
      </c>
      <c r="AX558" s="3">
        <v>211.88</v>
      </c>
      <c r="CH558" s="22">
        <f t="shared" si="82"/>
        <v>879.38</v>
      </c>
      <c r="CI558" s="3">
        <f t="shared" si="83"/>
        <v>0</v>
      </c>
      <c r="CJ558" s="17">
        <f t="shared" si="84"/>
        <v>11025</v>
      </c>
      <c r="CK558" s="3" t="str">
        <f t="shared" si="85"/>
        <v>برنامج دولى</v>
      </c>
    </row>
    <row r="559" spans="1:89" x14ac:dyDescent="0.25">
      <c r="C559" s="3">
        <f>+C555-C557</f>
        <v>2716.9999999995343</v>
      </c>
      <c r="D559" s="17">
        <v>17905</v>
      </c>
      <c r="E559" s="17">
        <v>11026</v>
      </c>
      <c r="F559" s="3" t="s">
        <v>78</v>
      </c>
      <c r="G559" s="3" t="s">
        <v>338</v>
      </c>
      <c r="I559" s="3">
        <v>879.38</v>
      </c>
      <c r="AU559" s="22">
        <f t="shared" si="81"/>
        <v>879.38</v>
      </c>
      <c r="AV559" s="3">
        <v>588.15</v>
      </c>
      <c r="AW559" s="3">
        <v>79.349999999999994</v>
      </c>
      <c r="AX559" s="3">
        <v>211.88</v>
      </c>
      <c r="CH559" s="22">
        <f t="shared" si="82"/>
        <v>879.38</v>
      </c>
      <c r="CI559" s="3">
        <f t="shared" si="83"/>
        <v>0</v>
      </c>
      <c r="CJ559" s="17">
        <f t="shared" si="84"/>
        <v>11026</v>
      </c>
      <c r="CK559" s="3" t="str">
        <f t="shared" si="85"/>
        <v>برنامج دولى</v>
      </c>
    </row>
    <row r="560" spans="1:89" x14ac:dyDescent="0.25">
      <c r="D560" s="17">
        <v>17907</v>
      </c>
      <c r="E560" s="17">
        <v>11027</v>
      </c>
      <c r="F560" s="3" t="s">
        <v>78</v>
      </c>
      <c r="G560" s="3" t="s">
        <v>338</v>
      </c>
      <c r="I560" s="3">
        <v>4338.25</v>
      </c>
      <c r="AU560" s="22">
        <f t="shared" si="81"/>
        <v>4338.25</v>
      </c>
      <c r="AV560" s="3">
        <v>2899.8</v>
      </c>
      <c r="AW560" s="3">
        <v>393.2</v>
      </c>
      <c r="AX560" s="3">
        <v>1045.25</v>
      </c>
      <c r="CH560" s="22">
        <f t="shared" si="82"/>
        <v>4338.25</v>
      </c>
      <c r="CI560" s="3">
        <f t="shared" si="83"/>
        <v>0</v>
      </c>
      <c r="CJ560" s="17">
        <f t="shared" si="84"/>
        <v>11027</v>
      </c>
      <c r="CK560" s="3" t="str">
        <f t="shared" si="85"/>
        <v>برنامج دولى</v>
      </c>
    </row>
    <row r="561" spans="3:89" x14ac:dyDescent="0.25">
      <c r="C561" s="3">
        <f>+C555-B557</f>
        <v>5999.9999999995343</v>
      </c>
      <c r="D561" s="17">
        <v>17909</v>
      </c>
      <c r="E561" s="17">
        <v>11028</v>
      </c>
      <c r="F561" s="3" t="s">
        <v>78</v>
      </c>
      <c r="G561" s="3" t="s">
        <v>339</v>
      </c>
      <c r="I561" s="3">
        <v>1758.75</v>
      </c>
      <c r="AU561" s="22">
        <f t="shared" si="81"/>
        <v>1758.75</v>
      </c>
      <c r="AV561" s="3">
        <v>1175.3499999999999</v>
      </c>
      <c r="AW561" s="3">
        <v>159.65</v>
      </c>
      <c r="AX561" s="3">
        <v>423.75</v>
      </c>
      <c r="CH561" s="22">
        <f t="shared" si="82"/>
        <v>1758.75</v>
      </c>
      <c r="CI561" s="3">
        <f t="shared" si="83"/>
        <v>0</v>
      </c>
      <c r="CJ561" s="17">
        <f t="shared" si="84"/>
        <v>11028</v>
      </c>
      <c r="CK561" s="3" t="str">
        <f t="shared" si="85"/>
        <v>برنامج دولى</v>
      </c>
    </row>
    <row r="562" spans="3:89" x14ac:dyDescent="0.25">
      <c r="D562" s="17">
        <v>17910</v>
      </c>
      <c r="E562" s="17">
        <v>11029</v>
      </c>
      <c r="F562" s="3" t="s">
        <v>78</v>
      </c>
      <c r="G562" s="3" t="s">
        <v>339</v>
      </c>
      <c r="I562" s="3">
        <v>5415.58</v>
      </c>
      <c r="AU562" s="22">
        <f t="shared" si="81"/>
        <v>5415.58</v>
      </c>
      <c r="AV562" s="3">
        <v>3437.85</v>
      </c>
      <c r="AW562" s="3">
        <v>478.3</v>
      </c>
      <c r="AX562" s="3">
        <v>1499.43</v>
      </c>
      <c r="CH562" s="22">
        <f t="shared" si="82"/>
        <v>5415.58</v>
      </c>
      <c r="CI562" s="3">
        <f t="shared" si="83"/>
        <v>0</v>
      </c>
      <c r="CJ562" s="17">
        <f t="shared" si="84"/>
        <v>11029</v>
      </c>
      <c r="CK562" s="3" t="str">
        <f t="shared" si="85"/>
        <v>برنامج دولى</v>
      </c>
    </row>
    <row r="563" spans="3:89" x14ac:dyDescent="0.25">
      <c r="D563" s="17">
        <v>17908</v>
      </c>
      <c r="E563" s="17">
        <v>11030</v>
      </c>
      <c r="F563" s="3" t="s">
        <v>78</v>
      </c>
      <c r="G563" s="3" t="s">
        <v>340</v>
      </c>
      <c r="I563" s="3">
        <v>351.75</v>
      </c>
      <c r="AU563" s="22">
        <f t="shared" si="81"/>
        <v>351.75</v>
      </c>
      <c r="AV563" s="3">
        <v>235.55</v>
      </c>
      <c r="AW563" s="3">
        <v>31.45</v>
      </c>
      <c r="AX563" s="3">
        <v>84.75</v>
      </c>
      <c r="CH563" s="22">
        <f t="shared" si="82"/>
        <v>351.75</v>
      </c>
      <c r="CI563" s="3">
        <f t="shared" si="83"/>
        <v>0</v>
      </c>
      <c r="CJ563" s="17">
        <f t="shared" si="84"/>
        <v>11030</v>
      </c>
      <c r="CK563" s="3" t="str">
        <f t="shared" si="85"/>
        <v>برنامج دولى</v>
      </c>
    </row>
    <row r="564" spans="3:89" x14ac:dyDescent="0.25">
      <c r="D564" s="17">
        <v>17911</v>
      </c>
      <c r="E564" s="17">
        <v>11031</v>
      </c>
      <c r="F564" s="3" t="s">
        <v>78</v>
      </c>
      <c r="G564" s="3" t="s">
        <v>341</v>
      </c>
      <c r="I564" s="3">
        <v>4221</v>
      </c>
      <c r="AU564" s="22">
        <f t="shared" si="81"/>
        <v>4221</v>
      </c>
      <c r="AV564" s="3">
        <v>2821.9</v>
      </c>
      <c r="AW564" s="3">
        <v>382.1</v>
      </c>
      <c r="AX564" s="3">
        <v>1017</v>
      </c>
      <c r="CH564" s="22">
        <f t="shared" si="82"/>
        <v>4221</v>
      </c>
      <c r="CI564" s="3">
        <f t="shared" si="83"/>
        <v>0</v>
      </c>
      <c r="CJ564" s="17">
        <f t="shared" si="84"/>
        <v>11031</v>
      </c>
      <c r="CK564" s="3" t="str">
        <f t="shared" si="85"/>
        <v>برنامج دولى</v>
      </c>
    </row>
    <row r="565" spans="3:89" x14ac:dyDescent="0.25">
      <c r="D565" s="17">
        <v>17995</v>
      </c>
      <c r="E565" s="17">
        <v>11032</v>
      </c>
      <c r="F565" s="3" t="s">
        <v>78</v>
      </c>
      <c r="G565" s="3" t="s">
        <v>342</v>
      </c>
      <c r="I565" s="3">
        <v>3634.76</v>
      </c>
      <c r="AU565" s="22">
        <f t="shared" si="81"/>
        <v>3634.76</v>
      </c>
      <c r="AV565" s="3">
        <v>2433.9</v>
      </c>
      <c r="AW565" s="3">
        <f>310+15.1</f>
        <v>325.10000000000002</v>
      </c>
      <c r="AX565" s="3">
        <v>875.76</v>
      </c>
      <c r="CH565" s="22">
        <f t="shared" si="82"/>
        <v>3634.76</v>
      </c>
      <c r="CI565" s="3">
        <f t="shared" si="83"/>
        <v>0</v>
      </c>
      <c r="CJ565" s="17">
        <f t="shared" si="84"/>
        <v>11032</v>
      </c>
      <c r="CK565" s="3" t="str">
        <f t="shared" si="85"/>
        <v>برنامج دولى</v>
      </c>
    </row>
    <row r="566" spans="3:89" x14ac:dyDescent="0.25">
      <c r="D566" s="17">
        <v>17997</v>
      </c>
      <c r="E566" s="17">
        <v>11033</v>
      </c>
      <c r="F566" s="3" t="s">
        <v>78</v>
      </c>
      <c r="G566" s="3" t="s">
        <v>343</v>
      </c>
      <c r="I566" s="3">
        <v>351.75</v>
      </c>
      <c r="AU566" s="22">
        <f t="shared" si="81"/>
        <v>351.75</v>
      </c>
      <c r="AV566" s="3">
        <v>235.55</v>
      </c>
      <c r="AW566" s="3">
        <v>31.45</v>
      </c>
      <c r="AX566" s="3">
        <v>84.75</v>
      </c>
      <c r="CH566" s="22">
        <f t="shared" si="82"/>
        <v>351.75</v>
      </c>
      <c r="CI566" s="3">
        <f t="shared" si="83"/>
        <v>0</v>
      </c>
      <c r="CJ566" s="17">
        <f t="shared" si="84"/>
        <v>11033</v>
      </c>
      <c r="CK566" s="3" t="str">
        <f t="shared" si="85"/>
        <v>برنامج دولى</v>
      </c>
    </row>
    <row r="567" spans="3:89" x14ac:dyDescent="0.25">
      <c r="D567" s="17">
        <v>17998</v>
      </c>
      <c r="E567" s="17">
        <v>11034</v>
      </c>
      <c r="F567" s="3" t="s">
        <v>78</v>
      </c>
      <c r="G567" s="3" t="s">
        <v>344</v>
      </c>
      <c r="I567" s="3">
        <v>762.12</v>
      </c>
      <c r="AU567" s="22">
        <f t="shared" si="81"/>
        <v>762.12</v>
      </c>
      <c r="AV567" s="3">
        <v>509.8</v>
      </c>
      <c r="AW567" s="3">
        <v>68.7</v>
      </c>
      <c r="AX567" s="3">
        <v>183.62</v>
      </c>
      <c r="CH567" s="22">
        <f t="shared" si="82"/>
        <v>762.12</v>
      </c>
      <c r="CI567" s="3">
        <f t="shared" si="83"/>
        <v>0</v>
      </c>
      <c r="CJ567" s="17">
        <f t="shared" si="84"/>
        <v>11034</v>
      </c>
      <c r="CK567" s="3" t="str">
        <f t="shared" si="85"/>
        <v>برنامج دولى</v>
      </c>
    </row>
    <row r="568" spans="3:89" x14ac:dyDescent="0.25">
      <c r="D568" s="17">
        <v>17999</v>
      </c>
      <c r="E568" s="17">
        <v>11035</v>
      </c>
      <c r="F568" s="3" t="s">
        <v>78</v>
      </c>
      <c r="G568" s="3" t="s">
        <v>344</v>
      </c>
      <c r="I568" s="3">
        <v>762.12</v>
      </c>
      <c r="AU568" s="22">
        <f t="shared" si="81"/>
        <v>762.12</v>
      </c>
      <c r="AV568" s="3">
        <v>509.8</v>
      </c>
      <c r="AW568" s="3">
        <f>3.7+65</f>
        <v>68.7</v>
      </c>
      <c r="AX568" s="3">
        <v>183.62</v>
      </c>
      <c r="CH568" s="22">
        <f t="shared" si="82"/>
        <v>762.12</v>
      </c>
      <c r="CI568" s="3">
        <f t="shared" si="83"/>
        <v>0</v>
      </c>
      <c r="CJ568" s="17">
        <f t="shared" si="84"/>
        <v>11035</v>
      </c>
      <c r="CK568" s="3" t="str">
        <f t="shared" si="85"/>
        <v>برنامج دولى</v>
      </c>
    </row>
    <row r="569" spans="3:89" x14ac:dyDescent="0.25">
      <c r="D569" s="17">
        <v>18132</v>
      </c>
      <c r="E569" s="17">
        <v>11036</v>
      </c>
      <c r="F569" s="3" t="s">
        <v>78</v>
      </c>
      <c r="G569" s="3" t="s">
        <v>343</v>
      </c>
      <c r="I569" s="3">
        <v>351.75</v>
      </c>
      <c r="AU569" s="22">
        <f t="shared" si="81"/>
        <v>351.75</v>
      </c>
      <c r="AV569" s="3">
        <v>235.55</v>
      </c>
      <c r="AW569" s="3">
        <v>31.45</v>
      </c>
      <c r="AX569" s="3">
        <v>84.75</v>
      </c>
      <c r="CH569" s="22">
        <f t="shared" si="82"/>
        <v>351.75</v>
      </c>
      <c r="CI569" s="3">
        <f t="shared" si="83"/>
        <v>0</v>
      </c>
      <c r="CJ569" s="17">
        <f t="shared" si="84"/>
        <v>11036</v>
      </c>
      <c r="CK569" s="3" t="str">
        <f t="shared" si="85"/>
        <v>برنامج دولى</v>
      </c>
    </row>
    <row r="570" spans="3:89" x14ac:dyDescent="0.25">
      <c r="D570" s="17">
        <v>16868</v>
      </c>
      <c r="E570" s="17">
        <v>11037</v>
      </c>
      <c r="F570" s="3" t="s">
        <v>78</v>
      </c>
      <c r="G570" s="3" t="s">
        <v>345</v>
      </c>
      <c r="I570" s="3">
        <v>30535.11</v>
      </c>
      <c r="AU570" s="22">
        <f t="shared" si="81"/>
        <v>30535.11</v>
      </c>
      <c r="AV570" s="3">
        <v>26105.19</v>
      </c>
      <c r="AW570" s="3">
        <v>3160.55</v>
      </c>
      <c r="AX570" s="3">
        <v>1269.3699999999999</v>
      </c>
      <c r="CH570" s="22">
        <f t="shared" si="82"/>
        <v>30535.109999999997</v>
      </c>
      <c r="CI570" s="3">
        <f t="shared" si="83"/>
        <v>0</v>
      </c>
      <c r="CJ570" s="17">
        <f t="shared" si="84"/>
        <v>11037</v>
      </c>
      <c r="CK570" s="3" t="str">
        <f t="shared" si="85"/>
        <v>برنامج دولى</v>
      </c>
    </row>
    <row r="571" spans="3:89" x14ac:dyDescent="0.25">
      <c r="D571" s="17">
        <v>16884</v>
      </c>
      <c r="E571" s="17">
        <v>11038</v>
      </c>
      <c r="F571" s="3" t="s">
        <v>78</v>
      </c>
      <c r="G571" s="3" t="s">
        <v>345</v>
      </c>
      <c r="I571" s="3">
        <v>11028.37</v>
      </c>
      <c r="AU571" s="22">
        <f t="shared" si="81"/>
        <v>11028.37</v>
      </c>
      <c r="AV571" s="3">
        <v>8684.09</v>
      </c>
      <c r="AW571" s="3">
        <v>1085.95</v>
      </c>
      <c r="AX571" s="3">
        <v>1258.33</v>
      </c>
      <c r="CH571" s="22">
        <f t="shared" si="82"/>
        <v>11028.37</v>
      </c>
      <c r="CI571" s="3">
        <f t="shared" si="83"/>
        <v>0</v>
      </c>
      <c r="CJ571" s="17">
        <f t="shared" si="84"/>
        <v>11038</v>
      </c>
      <c r="CK571" s="3" t="str">
        <f t="shared" si="85"/>
        <v>برنامج دولى</v>
      </c>
    </row>
    <row r="572" spans="3:89" x14ac:dyDescent="0.25">
      <c r="D572" s="17">
        <v>16874</v>
      </c>
      <c r="E572" s="17">
        <v>11039</v>
      </c>
      <c r="F572" s="3" t="s">
        <v>78</v>
      </c>
      <c r="G572" s="3" t="s">
        <v>345</v>
      </c>
      <c r="I572" s="3">
        <v>11092.06</v>
      </c>
      <c r="AU572" s="22">
        <f t="shared" si="81"/>
        <v>11092.06</v>
      </c>
      <c r="AV572" s="3">
        <v>8914.1</v>
      </c>
      <c r="AW572" s="3">
        <v>1110.0999999999999</v>
      </c>
      <c r="AX572" s="3">
        <v>1067.8599999999999</v>
      </c>
      <c r="CH572" s="22">
        <f t="shared" si="82"/>
        <v>11092.060000000001</v>
      </c>
      <c r="CI572" s="3">
        <f t="shared" si="83"/>
        <v>0</v>
      </c>
      <c r="CJ572" s="17">
        <f t="shared" si="84"/>
        <v>11039</v>
      </c>
      <c r="CK572" s="3" t="str">
        <f t="shared" si="85"/>
        <v>برنامج دولى</v>
      </c>
    </row>
    <row r="573" spans="3:89" x14ac:dyDescent="0.25">
      <c r="D573" s="17">
        <v>16879</v>
      </c>
      <c r="E573" s="17">
        <v>11040</v>
      </c>
      <c r="F573" s="3" t="s">
        <v>78</v>
      </c>
      <c r="G573" s="3" t="s">
        <v>345</v>
      </c>
      <c r="I573" s="3">
        <v>12302.07</v>
      </c>
      <c r="AU573" s="22">
        <f t="shared" si="81"/>
        <v>12302.07</v>
      </c>
      <c r="AV573" s="3">
        <v>10048.209999999999</v>
      </c>
      <c r="AW573" s="3">
        <v>1243.3</v>
      </c>
      <c r="AX573" s="3">
        <v>1010.56</v>
      </c>
      <c r="CH573" s="22">
        <f t="shared" si="82"/>
        <v>12302.069999999998</v>
      </c>
      <c r="CI573" s="3">
        <f t="shared" si="83"/>
        <v>0</v>
      </c>
      <c r="CJ573" s="17">
        <f t="shared" si="84"/>
        <v>11040</v>
      </c>
      <c r="CK573" s="3" t="str">
        <f t="shared" si="85"/>
        <v>برنامج دولى</v>
      </c>
    </row>
    <row r="574" spans="3:89" x14ac:dyDescent="0.25">
      <c r="D574" s="17">
        <v>16872</v>
      </c>
      <c r="E574" s="17">
        <v>11041</v>
      </c>
      <c r="F574" s="3" t="s">
        <v>78</v>
      </c>
      <c r="G574" s="3" t="s">
        <v>345</v>
      </c>
      <c r="I574" s="3">
        <v>2356.7199999999998</v>
      </c>
      <c r="AU574" s="22">
        <f t="shared" si="81"/>
        <v>2356.7199999999998</v>
      </c>
      <c r="AV574" s="3">
        <v>1574.85</v>
      </c>
      <c r="AW574" s="3">
        <v>214.05</v>
      </c>
      <c r="AX574" s="3">
        <v>567.82000000000005</v>
      </c>
      <c r="CH574" s="22">
        <f t="shared" si="82"/>
        <v>2356.7199999999998</v>
      </c>
      <c r="CI574" s="3">
        <f t="shared" si="83"/>
        <v>0</v>
      </c>
      <c r="CJ574" s="17">
        <f t="shared" si="84"/>
        <v>11041</v>
      </c>
      <c r="CK574" s="3" t="str">
        <f t="shared" si="85"/>
        <v>برنامج دولى</v>
      </c>
    </row>
    <row r="575" spans="3:89" x14ac:dyDescent="0.25">
      <c r="D575" s="17">
        <v>16871</v>
      </c>
      <c r="E575" s="17">
        <v>11042</v>
      </c>
      <c r="F575" s="3" t="s">
        <v>78</v>
      </c>
      <c r="G575" s="3" t="s">
        <v>345</v>
      </c>
      <c r="I575" s="3">
        <v>3535.08</v>
      </c>
      <c r="AU575" s="22">
        <f t="shared" si="81"/>
        <v>3535.08</v>
      </c>
      <c r="AV575" s="3">
        <v>2362.4499999999998</v>
      </c>
      <c r="AW575" s="3">
        <v>320.89999999999998</v>
      </c>
      <c r="AX575" s="3">
        <v>851.73</v>
      </c>
      <c r="CH575" s="22">
        <f t="shared" si="82"/>
        <v>3535.08</v>
      </c>
      <c r="CI575" s="3">
        <f t="shared" si="83"/>
        <v>0</v>
      </c>
      <c r="CJ575" s="17">
        <f t="shared" si="84"/>
        <v>11042</v>
      </c>
      <c r="CK575" s="3" t="str">
        <f t="shared" si="85"/>
        <v>برنامج دولى</v>
      </c>
    </row>
    <row r="576" spans="3:89" x14ac:dyDescent="0.25">
      <c r="D576" s="17">
        <v>16873</v>
      </c>
      <c r="E576" s="17">
        <v>11043</v>
      </c>
      <c r="F576" s="3" t="s">
        <v>78</v>
      </c>
      <c r="G576" s="3" t="s">
        <v>345</v>
      </c>
      <c r="I576" s="3">
        <v>1934.63</v>
      </c>
      <c r="AU576" s="22">
        <f t="shared" si="81"/>
        <v>1934.63</v>
      </c>
      <c r="AV576" s="3">
        <v>1291.5</v>
      </c>
      <c r="AW576" s="3">
        <v>177</v>
      </c>
      <c r="AX576" s="3">
        <v>466.13</v>
      </c>
      <c r="CH576" s="22">
        <f t="shared" si="82"/>
        <v>1934.63</v>
      </c>
      <c r="CI576" s="3">
        <f t="shared" si="83"/>
        <v>0</v>
      </c>
      <c r="CJ576" s="17">
        <f t="shared" si="84"/>
        <v>11043</v>
      </c>
      <c r="CK576" s="3" t="str">
        <f t="shared" si="85"/>
        <v>برنامج دولى</v>
      </c>
    </row>
    <row r="577" spans="4:89" x14ac:dyDescent="0.25">
      <c r="D577" s="17">
        <v>16870</v>
      </c>
      <c r="E577" s="17">
        <v>11044</v>
      </c>
      <c r="F577" s="3" t="s">
        <v>78</v>
      </c>
      <c r="G577" s="3" t="s">
        <v>345</v>
      </c>
      <c r="I577" s="3">
        <v>2928.83</v>
      </c>
      <c r="AU577" s="22">
        <f t="shared" si="81"/>
        <v>2928.83</v>
      </c>
      <c r="AV577" s="3">
        <v>1990.7</v>
      </c>
      <c r="AW577" s="3">
        <v>268.60000000000002</v>
      </c>
      <c r="AX577" s="3">
        <v>669.53</v>
      </c>
      <c r="CH577" s="22">
        <f t="shared" si="82"/>
        <v>2928.83</v>
      </c>
      <c r="CI577" s="3">
        <f t="shared" si="83"/>
        <v>0</v>
      </c>
      <c r="CJ577" s="17">
        <f t="shared" si="84"/>
        <v>11044</v>
      </c>
      <c r="CK577" s="3" t="str">
        <f t="shared" si="85"/>
        <v>برنامج دولى</v>
      </c>
    </row>
    <row r="578" spans="4:89" x14ac:dyDescent="0.25">
      <c r="D578" s="17">
        <v>16878</v>
      </c>
      <c r="E578" s="17">
        <v>11045</v>
      </c>
      <c r="F578" s="3" t="s">
        <v>78</v>
      </c>
      <c r="G578" s="3" t="s">
        <v>345</v>
      </c>
      <c r="I578" s="3">
        <v>1582.88</v>
      </c>
      <c r="AU578" s="22">
        <f t="shared" si="81"/>
        <v>1582.88</v>
      </c>
      <c r="AV578" s="3">
        <v>1057.95</v>
      </c>
      <c r="AW578" s="3">
        <v>143.55000000000001</v>
      </c>
      <c r="AX578" s="3">
        <v>381.38</v>
      </c>
      <c r="CH578" s="22">
        <f t="shared" si="82"/>
        <v>1582.88</v>
      </c>
      <c r="CI578" s="3">
        <f t="shared" si="83"/>
        <v>0</v>
      </c>
      <c r="CJ578" s="17">
        <f t="shared" si="84"/>
        <v>11045</v>
      </c>
      <c r="CK578" s="3" t="str">
        <f t="shared" si="85"/>
        <v>برنامج دولى</v>
      </c>
    </row>
    <row r="579" spans="4:89" x14ac:dyDescent="0.25">
      <c r="D579" s="17">
        <v>16877</v>
      </c>
      <c r="E579" s="17">
        <v>11046</v>
      </c>
      <c r="F579" s="3" t="s">
        <v>78</v>
      </c>
      <c r="G579" s="3" t="s">
        <v>345</v>
      </c>
      <c r="I579" s="3">
        <v>3104.19</v>
      </c>
      <c r="AU579" s="22">
        <f t="shared" si="81"/>
        <v>3104.19</v>
      </c>
      <c r="AV579" s="3">
        <v>2074.86</v>
      </c>
      <c r="AW579" s="3">
        <v>281.39999999999998</v>
      </c>
      <c r="AX579" s="3">
        <v>747.93</v>
      </c>
      <c r="CH579" s="22">
        <f t="shared" si="82"/>
        <v>3104.19</v>
      </c>
      <c r="CI579" s="3">
        <f t="shared" si="83"/>
        <v>0</v>
      </c>
      <c r="CJ579" s="17">
        <f t="shared" si="84"/>
        <v>11046</v>
      </c>
      <c r="CK579" s="3" t="str">
        <f t="shared" si="85"/>
        <v>برنامج دولى</v>
      </c>
    </row>
    <row r="580" spans="4:89" x14ac:dyDescent="0.25">
      <c r="D580" s="17">
        <v>16875</v>
      </c>
      <c r="E580" s="17">
        <v>11047</v>
      </c>
      <c r="F580" s="3" t="s">
        <v>78</v>
      </c>
      <c r="G580" s="3" t="s">
        <v>345</v>
      </c>
      <c r="I580" s="3">
        <v>2216.02</v>
      </c>
      <c r="AU580" s="22">
        <f t="shared" si="81"/>
        <v>2216.02</v>
      </c>
      <c r="AV580" s="3">
        <v>1480.85</v>
      </c>
      <c r="AW580" s="3">
        <v>201.25</v>
      </c>
      <c r="AX580" s="3">
        <v>533.91999999999996</v>
      </c>
      <c r="CH580" s="22">
        <f t="shared" si="82"/>
        <v>2216.02</v>
      </c>
      <c r="CI580" s="3">
        <f t="shared" si="83"/>
        <v>0</v>
      </c>
      <c r="CJ580" s="17">
        <f t="shared" si="84"/>
        <v>11047</v>
      </c>
      <c r="CK580" s="3" t="str">
        <f t="shared" si="85"/>
        <v>برنامج دولى</v>
      </c>
    </row>
    <row r="581" spans="4:89" x14ac:dyDescent="0.25">
      <c r="D581" s="17">
        <v>16876</v>
      </c>
      <c r="E581" s="17">
        <v>11048</v>
      </c>
      <c r="F581" s="3" t="s">
        <v>78</v>
      </c>
      <c r="G581" s="3" t="s">
        <v>345</v>
      </c>
      <c r="I581" s="3">
        <v>1846.69</v>
      </c>
      <c r="AU581" s="22">
        <f t="shared" si="81"/>
        <v>1846.69</v>
      </c>
      <c r="AV581" s="3">
        <v>1234.0999999999999</v>
      </c>
      <c r="AW581" s="3">
        <v>167.65</v>
      </c>
      <c r="AX581" s="3">
        <v>444.94</v>
      </c>
      <c r="CH581" s="22">
        <f t="shared" si="82"/>
        <v>1846.69</v>
      </c>
      <c r="CI581" s="3">
        <f t="shared" si="83"/>
        <v>0</v>
      </c>
      <c r="CJ581" s="17">
        <f t="shared" si="84"/>
        <v>11048</v>
      </c>
      <c r="CK581" s="3" t="str">
        <f t="shared" si="85"/>
        <v>برنامج دولى</v>
      </c>
    </row>
    <row r="582" spans="4:89" x14ac:dyDescent="0.25">
      <c r="D582" s="17">
        <v>16882</v>
      </c>
      <c r="E582" s="17">
        <v>11049</v>
      </c>
      <c r="F582" s="3" t="s">
        <v>78</v>
      </c>
      <c r="G582" s="3" t="s">
        <v>345</v>
      </c>
      <c r="I582" s="3">
        <v>2356.7199999999998</v>
      </c>
      <c r="AU582" s="22">
        <f t="shared" si="81"/>
        <v>2356.7199999999998</v>
      </c>
      <c r="AV582" s="3">
        <v>1574.85</v>
      </c>
      <c r="AW582" s="3">
        <v>214.05</v>
      </c>
      <c r="AX582" s="3">
        <v>567.82000000000005</v>
      </c>
      <c r="CH582" s="22">
        <f t="shared" si="82"/>
        <v>2356.7199999999998</v>
      </c>
      <c r="CI582" s="3">
        <f t="shared" si="83"/>
        <v>0</v>
      </c>
      <c r="CJ582" s="17">
        <f t="shared" si="84"/>
        <v>11049</v>
      </c>
      <c r="CK582" s="3" t="str">
        <f t="shared" si="85"/>
        <v>برنامج دولى</v>
      </c>
    </row>
    <row r="583" spans="4:89" x14ac:dyDescent="0.25">
      <c r="D583" s="17">
        <v>16881</v>
      </c>
      <c r="E583" s="17">
        <v>11050</v>
      </c>
      <c r="F583" s="3" t="s">
        <v>78</v>
      </c>
      <c r="G583" s="3" t="s">
        <v>345</v>
      </c>
      <c r="I583" s="3">
        <v>3535.08</v>
      </c>
      <c r="AU583" s="22">
        <f t="shared" si="81"/>
        <v>3535.08</v>
      </c>
      <c r="AV583" s="3">
        <v>2363.3000000000002</v>
      </c>
      <c r="AW583" s="3">
        <v>320.05</v>
      </c>
      <c r="AX583" s="3">
        <v>851.73</v>
      </c>
      <c r="CH583" s="22">
        <f t="shared" si="82"/>
        <v>3535.0800000000004</v>
      </c>
      <c r="CI583" s="3">
        <f t="shared" si="83"/>
        <v>0</v>
      </c>
      <c r="CJ583" s="17">
        <f t="shared" si="84"/>
        <v>11050</v>
      </c>
      <c r="CK583" s="3" t="str">
        <f t="shared" si="85"/>
        <v>برنامج دولى</v>
      </c>
    </row>
    <row r="584" spans="4:89" x14ac:dyDescent="0.25">
      <c r="D584" s="17">
        <v>16880</v>
      </c>
      <c r="E584" s="17">
        <v>11051</v>
      </c>
      <c r="F584" s="3" t="s">
        <v>78</v>
      </c>
      <c r="G584" s="3" t="s">
        <v>345</v>
      </c>
      <c r="I584" s="3">
        <v>1846.69</v>
      </c>
      <c r="AU584" s="22">
        <f t="shared" si="81"/>
        <v>1846.69</v>
      </c>
      <c r="AV584" s="3">
        <v>1234.0999999999999</v>
      </c>
      <c r="AW584" s="3">
        <v>167.65</v>
      </c>
      <c r="AX584" s="3">
        <v>444.94</v>
      </c>
      <c r="CH584" s="22">
        <f t="shared" si="82"/>
        <v>1846.69</v>
      </c>
      <c r="CI584" s="3">
        <f t="shared" si="83"/>
        <v>0</v>
      </c>
      <c r="CJ584" s="17">
        <f t="shared" si="84"/>
        <v>11051</v>
      </c>
      <c r="CK584" s="3" t="str">
        <f t="shared" si="85"/>
        <v>برنامج دولى</v>
      </c>
    </row>
    <row r="585" spans="4:89" x14ac:dyDescent="0.25">
      <c r="D585" s="17">
        <v>16887</v>
      </c>
      <c r="E585" s="17">
        <v>11052</v>
      </c>
      <c r="F585" s="3" t="s">
        <v>78</v>
      </c>
      <c r="G585" s="3" t="s">
        <v>345</v>
      </c>
      <c r="I585" s="3">
        <v>2040.15</v>
      </c>
      <c r="AU585" s="22">
        <f t="shared" si="81"/>
        <v>2040.15</v>
      </c>
      <c r="AV585" s="3">
        <v>1363.35</v>
      </c>
      <c r="AW585" s="3">
        <v>185.25</v>
      </c>
      <c r="AX585" s="3">
        <v>491.55</v>
      </c>
      <c r="CH585" s="22">
        <f t="shared" si="82"/>
        <v>2040.1499999999999</v>
      </c>
      <c r="CI585" s="3">
        <f t="shared" si="83"/>
        <v>0</v>
      </c>
      <c r="CJ585" s="17">
        <f t="shared" si="84"/>
        <v>11052</v>
      </c>
      <c r="CK585" s="3" t="str">
        <f t="shared" si="85"/>
        <v>برنامج دولى</v>
      </c>
    </row>
    <row r="586" spans="4:89" x14ac:dyDescent="0.25">
      <c r="D586" s="17">
        <v>16885</v>
      </c>
      <c r="E586" s="17">
        <v>11053</v>
      </c>
      <c r="F586" s="3" t="s">
        <v>78</v>
      </c>
      <c r="G586" s="3" t="s">
        <v>345</v>
      </c>
      <c r="I586" s="3">
        <v>1616.15</v>
      </c>
      <c r="AU586" s="22">
        <f t="shared" ref="AU586:AU617" si="86">SUM(I586:AS586)</f>
        <v>1616.15</v>
      </c>
      <c r="AV586" s="3">
        <v>1221.51</v>
      </c>
      <c r="AW586" s="3">
        <v>155.30000000000001</v>
      </c>
      <c r="AX586" s="3">
        <v>239.34</v>
      </c>
      <c r="CH586" s="22">
        <f t="shared" ref="CH586:CH617" si="87">SUM(AV586:CG586)</f>
        <v>1616.1499999999999</v>
      </c>
      <c r="CI586" s="3">
        <f t="shared" ref="CI586:CI617" si="88">+CH586-AU586</f>
        <v>0</v>
      </c>
      <c r="CJ586" s="17">
        <f t="shared" ref="CJ586:CJ617" si="89">+E586</f>
        <v>11053</v>
      </c>
      <c r="CK586" s="3" t="str">
        <f t="shared" ref="CK586:CK617" si="90">+F586</f>
        <v>برنامج دولى</v>
      </c>
    </row>
    <row r="587" spans="4:89" x14ac:dyDescent="0.25">
      <c r="D587" s="17">
        <v>16886</v>
      </c>
      <c r="E587" s="17">
        <v>11054</v>
      </c>
      <c r="F587" s="3" t="s">
        <v>78</v>
      </c>
      <c r="G587" s="3" t="s">
        <v>345</v>
      </c>
      <c r="I587" s="3">
        <v>3060.23</v>
      </c>
      <c r="AU587" s="22">
        <f t="shared" si="86"/>
        <v>3060.23</v>
      </c>
      <c r="AV587" s="3">
        <v>2046.15</v>
      </c>
      <c r="AW587" s="3">
        <v>276.75</v>
      </c>
      <c r="AX587" s="3">
        <v>737.33</v>
      </c>
      <c r="CH587" s="22">
        <f t="shared" si="87"/>
        <v>3060.23</v>
      </c>
      <c r="CI587" s="3">
        <f t="shared" si="88"/>
        <v>0</v>
      </c>
      <c r="CJ587" s="17">
        <f t="shared" si="89"/>
        <v>11054</v>
      </c>
      <c r="CK587" s="3" t="str">
        <f t="shared" si="90"/>
        <v>برنامج دولى</v>
      </c>
    </row>
    <row r="588" spans="4:89" x14ac:dyDescent="0.25">
      <c r="D588" s="17">
        <v>16888</v>
      </c>
      <c r="E588" s="17">
        <v>11055</v>
      </c>
      <c r="F588" s="3" t="s">
        <v>78</v>
      </c>
      <c r="G588" s="3" t="s">
        <v>345</v>
      </c>
      <c r="I588" s="3">
        <v>1407</v>
      </c>
      <c r="AU588" s="22">
        <f t="shared" si="86"/>
        <v>1407</v>
      </c>
      <c r="AV588" s="3">
        <v>941.5</v>
      </c>
      <c r="AW588" s="3">
        <v>126.5</v>
      </c>
      <c r="AX588" s="3">
        <v>339</v>
      </c>
      <c r="CH588" s="22">
        <f t="shared" si="87"/>
        <v>1407</v>
      </c>
      <c r="CI588" s="3">
        <f t="shared" si="88"/>
        <v>0</v>
      </c>
      <c r="CJ588" s="17">
        <f t="shared" si="89"/>
        <v>11055</v>
      </c>
      <c r="CK588" s="3" t="str">
        <f t="shared" si="90"/>
        <v>برنامج دولى</v>
      </c>
    </row>
    <row r="589" spans="4:89" x14ac:dyDescent="0.25">
      <c r="D589" s="17">
        <v>16883</v>
      </c>
      <c r="E589" s="17">
        <v>11056</v>
      </c>
      <c r="F589" s="3" t="s">
        <v>78</v>
      </c>
      <c r="G589" s="3" t="s">
        <v>345</v>
      </c>
      <c r="I589" s="3">
        <v>2110.5</v>
      </c>
      <c r="AU589" s="22">
        <f t="shared" si="86"/>
        <v>2110.5</v>
      </c>
      <c r="AV589" s="3">
        <v>1408.85</v>
      </c>
      <c r="AW589" s="3">
        <v>193.15</v>
      </c>
      <c r="AX589" s="3">
        <v>508.5</v>
      </c>
      <c r="CH589" s="22">
        <f t="shared" si="87"/>
        <v>2110.5</v>
      </c>
      <c r="CI589" s="3">
        <f t="shared" si="88"/>
        <v>0</v>
      </c>
      <c r="CJ589" s="17">
        <f t="shared" si="89"/>
        <v>11056</v>
      </c>
      <c r="CK589" s="3" t="str">
        <f t="shared" si="90"/>
        <v>برنامج دولى</v>
      </c>
    </row>
    <row r="590" spans="4:89" x14ac:dyDescent="0.25">
      <c r="D590" s="17">
        <v>16869</v>
      </c>
      <c r="E590" s="17">
        <v>11057</v>
      </c>
      <c r="F590" s="3" t="s">
        <v>78</v>
      </c>
      <c r="G590" s="3" t="s">
        <v>345</v>
      </c>
      <c r="I590" s="3">
        <v>9953.32</v>
      </c>
      <c r="AU590" s="22">
        <f t="shared" si="86"/>
        <v>9953.32</v>
      </c>
      <c r="AV590" s="3">
        <v>7759.04</v>
      </c>
      <c r="AW590" s="3">
        <v>976.95</v>
      </c>
      <c r="AX590" s="3">
        <v>1217.33</v>
      </c>
      <c r="CH590" s="22">
        <f t="shared" si="87"/>
        <v>9953.32</v>
      </c>
      <c r="CI590" s="3">
        <f t="shared" si="88"/>
        <v>0</v>
      </c>
      <c r="CJ590" s="17">
        <f t="shared" si="89"/>
        <v>11057</v>
      </c>
      <c r="CK590" s="3" t="str">
        <f t="shared" si="90"/>
        <v>برنامج دولى</v>
      </c>
    </row>
    <row r="591" spans="4:89" x14ac:dyDescent="0.25">
      <c r="D591" s="17">
        <v>18382</v>
      </c>
      <c r="E591" s="17">
        <v>11058</v>
      </c>
      <c r="F591" s="3" t="s">
        <v>78</v>
      </c>
      <c r="G591" s="3" t="s">
        <v>345</v>
      </c>
      <c r="I591" s="3">
        <v>300</v>
      </c>
      <c r="AU591" s="22">
        <f t="shared" si="86"/>
        <v>300</v>
      </c>
      <c r="AV591" s="3">
        <v>268.35000000000002</v>
      </c>
      <c r="AW591" s="3">
        <v>31.65</v>
      </c>
      <c r="CH591" s="22">
        <f t="shared" si="87"/>
        <v>300</v>
      </c>
      <c r="CI591" s="3">
        <f t="shared" si="88"/>
        <v>0</v>
      </c>
      <c r="CJ591" s="17">
        <f t="shared" si="89"/>
        <v>11058</v>
      </c>
      <c r="CK591" s="3" t="str">
        <f t="shared" si="90"/>
        <v>برنامج دولى</v>
      </c>
    </row>
    <row r="592" spans="4:89" x14ac:dyDescent="0.25">
      <c r="D592" s="17">
        <v>18381</v>
      </c>
      <c r="E592" s="17">
        <v>11059</v>
      </c>
      <c r="F592" s="3" t="s">
        <v>78</v>
      </c>
      <c r="G592" s="3" t="s">
        <v>345</v>
      </c>
      <c r="I592" s="3">
        <v>120</v>
      </c>
      <c r="AU592" s="22">
        <f t="shared" si="86"/>
        <v>120</v>
      </c>
      <c r="AV592" s="3">
        <v>107.55</v>
      </c>
      <c r="AW592" s="3">
        <v>12.45</v>
      </c>
      <c r="CH592" s="22">
        <f t="shared" si="87"/>
        <v>120</v>
      </c>
      <c r="CI592" s="3">
        <f t="shared" si="88"/>
        <v>0</v>
      </c>
      <c r="CJ592" s="17">
        <f t="shared" si="89"/>
        <v>11059</v>
      </c>
      <c r="CK592" s="3" t="str">
        <f t="shared" si="90"/>
        <v>برنامج دولى</v>
      </c>
    </row>
    <row r="593" spans="4:89" x14ac:dyDescent="0.25">
      <c r="D593" s="17">
        <v>18379</v>
      </c>
      <c r="E593" s="17">
        <v>11060</v>
      </c>
      <c r="F593" s="3" t="s">
        <v>78</v>
      </c>
      <c r="G593" s="3" t="s">
        <v>345</v>
      </c>
      <c r="I593" s="3">
        <v>600</v>
      </c>
      <c r="AU593" s="22">
        <f t="shared" si="86"/>
        <v>600</v>
      </c>
      <c r="AV593" s="3">
        <v>536.15</v>
      </c>
      <c r="AW593" s="3">
        <v>63.85</v>
      </c>
      <c r="CH593" s="22">
        <f t="shared" si="87"/>
        <v>600</v>
      </c>
      <c r="CI593" s="3">
        <f t="shared" si="88"/>
        <v>0</v>
      </c>
      <c r="CJ593" s="17">
        <f t="shared" si="89"/>
        <v>11060</v>
      </c>
      <c r="CK593" s="3" t="str">
        <f t="shared" si="90"/>
        <v>برنامج دولى</v>
      </c>
    </row>
    <row r="594" spans="4:89" x14ac:dyDescent="0.25">
      <c r="D594" s="17">
        <v>18380</v>
      </c>
      <c r="E594" s="17">
        <v>11061</v>
      </c>
      <c r="F594" s="3" t="s">
        <v>78</v>
      </c>
      <c r="G594" s="3" t="s">
        <v>345</v>
      </c>
      <c r="I594" s="3">
        <v>600</v>
      </c>
      <c r="AU594" s="22">
        <f t="shared" si="86"/>
        <v>600</v>
      </c>
      <c r="AV594" s="3">
        <v>536.15</v>
      </c>
      <c r="AW594" s="3">
        <v>63.85</v>
      </c>
      <c r="CH594" s="22">
        <f t="shared" si="87"/>
        <v>600</v>
      </c>
      <c r="CI594" s="3">
        <f t="shared" si="88"/>
        <v>0</v>
      </c>
      <c r="CJ594" s="17">
        <f t="shared" si="89"/>
        <v>11061</v>
      </c>
      <c r="CK594" s="3" t="str">
        <f t="shared" si="90"/>
        <v>برنامج دولى</v>
      </c>
    </row>
    <row r="595" spans="4:89" x14ac:dyDescent="0.25">
      <c r="D595" s="17">
        <v>17709</v>
      </c>
      <c r="E595" s="17">
        <v>11062</v>
      </c>
      <c r="F595" s="3" t="s">
        <v>78</v>
      </c>
      <c r="G595" s="3" t="s">
        <v>346</v>
      </c>
      <c r="I595" s="3">
        <v>19452.03</v>
      </c>
      <c r="AU595" s="22">
        <f t="shared" si="86"/>
        <v>19452.03</v>
      </c>
      <c r="AV595" s="3">
        <v>17060.13</v>
      </c>
      <c r="AW595" s="3">
        <v>2061.0100000000002</v>
      </c>
      <c r="AX595" s="3">
        <v>330.89</v>
      </c>
      <c r="CH595" s="22">
        <f t="shared" si="87"/>
        <v>19452.03</v>
      </c>
      <c r="CI595" s="3">
        <f t="shared" si="88"/>
        <v>0</v>
      </c>
      <c r="CJ595" s="17">
        <f t="shared" si="89"/>
        <v>11062</v>
      </c>
      <c r="CK595" s="3" t="str">
        <f t="shared" si="90"/>
        <v>برنامج دولى</v>
      </c>
    </row>
    <row r="596" spans="4:89" x14ac:dyDescent="0.25">
      <c r="D596" s="17">
        <v>17708</v>
      </c>
      <c r="E596" s="17">
        <v>11063</v>
      </c>
      <c r="F596" s="3" t="s">
        <v>78</v>
      </c>
      <c r="G596" s="3" t="s">
        <v>346</v>
      </c>
      <c r="I596" s="3">
        <v>2323.39</v>
      </c>
      <c r="AU596" s="22">
        <f t="shared" si="86"/>
        <v>2323.39</v>
      </c>
      <c r="AV596" s="3">
        <v>1962.06</v>
      </c>
      <c r="AW596" s="3">
        <v>241.15</v>
      </c>
      <c r="AX596" s="3">
        <v>120.18</v>
      </c>
      <c r="CH596" s="22">
        <f t="shared" si="87"/>
        <v>2323.39</v>
      </c>
      <c r="CI596" s="3">
        <f t="shared" si="88"/>
        <v>0</v>
      </c>
      <c r="CJ596" s="17">
        <f t="shared" si="89"/>
        <v>11063</v>
      </c>
      <c r="CK596" s="3" t="str">
        <f t="shared" si="90"/>
        <v>برنامج دولى</v>
      </c>
    </row>
    <row r="597" spans="4:89" x14ac:dyDescent="0.25">
      <c r="D597" s="17">
        <v>17707</v>
      </c>
      <c r="E597" s="17">
        <v>11064</v>
      </c>
      <c r="F597" s="3" t="s">
        <v>78</v>
      </c>
      <c r="G597" s="3" t="s">
        <v>347</v>
      </c>
      <c r="I597" s="3">
        <v>3800.63</v>
      </c>
      <c r="AU597" s="22">
        <f t="shared" si="86"/>
        <v>3800.63</v>
      </c>
      <c r="AV597" s="3">
        <v>3316.65</v>
      </c>
      <c r="AW597" s="3">
        <v>401.05</v>
      </c>
      <c r="AX597" s="3">
        <v>82.93</v>
      </c>
      <c r="CH597" s="22">
        <f t="shared" si="87"/>
        <v>3800.63</v>
      </c>
      <c r="CI597" s="3">
        <f t="shared" si="88"/>
        <v>0</v>
      </c>
      <c r="CJ597" s="17">
        <f t="shared" si="89"/>
        <v>11064</v>
      </c>
      <c r="CK597" s="3" t="str">
        <f t="shared" si="90"/>
        <v>برنامج دولى</v>
      </c>
    </row>
    <row r="598" spans="4:89" x14ac:dyDescent="0.25">
      <c r="D598" s="17">
        <v>16690</v>
      </c>
      <c r="E598" s="17">
        <v>11065</v>
      </c>
      <c r="F598" s="3" t="s">
        <v>78</v>
      </c>
      <c r="G598" s="3" t="s">
        <v>348</v>
      </c>
      <c r="I598" s="3">
        <v>1650</v>
      </c>
      <c r="AU598" s="22">
        <f t="shared" si="86"/>
        <v>1650</v>
      </c>
      <c r="AV598" s="3">
        <v>1474.15</v>
      </c>
      <c r="AW598" s="3">
        <v>175.85</v>
      </c>
      <c r="CH598" s="22">
        <f t="shared" si="87"/>
        <v>1650</v>
      </c>
      <c r="CI598" s="3">
        <f t="shared" si="88"/>
        <v>0</v>
      </c>
      <c r="CJ598" s="17">
        <f t="shared" si="89"/>
        <v>11065</v>
      </c>
      <c r="CK598" s="3" t="str">
        <f t="shared" si="90"/>
        <v>برنامج دولى</v>
      </c>
    </row>
    <row r="599" spans="4:89" x14ac:dyDescent="0.25">
      <c r="D599" s="17">
        <v>16841</v>
      </c>
      <c r="E599" s="17">
        <v>11066</v>
      </c>
      <c r="F599" s="3" t="s">
        <v>78</v>
      </c>
      <c r="G599" s="3" t="s">
        <v>349</v>
      </c>
      <c r="I599" s="3">
        <v>3300</v>
      </c>
      <c r="AU599" s="22">
        <f t="shared" si="86"/>
        <v>3300</v>
      </c>
      <c r="AV599" s="3">
        <v>2948.3</v>
      </c>
      <c r="AW599" s="3">
        <v>351.7</v>
      </c>
      <c r="CH599" s="22">
        <f t="shared" si="87"/>
        <v>3300</v>
      </c>
      <c r="CI599" s="3">
        <f t="shared" si="88"/>
        <v>0</v>
      </c>
      <c r="CJ599" s="17">
        <f t="shared" si="89"/>
        <v>11066</v>
      </c>
      <c r="CK599" s="3" t="str">
        <f t="shared" si="90"/>
        <v>برنامج دولى</v>
      </c>
    </row>
    <row r="600" spans="4:89" x14ac:dyDescent="0.25">
      <c r="D600" s="17">
        <v>18197</v>
      </c>
      <c r="E600" s="17">
        <v>11067</v>
      </c>
      <c r="F600" s="3" t="s">
        <v>78</v>
      </c>
      <c r="G600" s="3" t="s">
        <v>350</v>
      </c>
      <c r="I600" s="3">
        <v>32177.7</v>
      </c>
      <c r="AU600" s="22">
        <f t="shared" si="86"/>
        <v>32177.7</v>
      </c>
      <c r="AV600" s="3">
        <v>25852.58</v>
      </c>
      <c r="AW600" s="3">
        <v>3250.05</v>
      </c>
      <c r="AX600" s="3">
        <v>3075.07</v>
      </c>
      <c r="CH600" s="22">
        <f t="shared" si="87"/>
        <v>32177.7</v>
      </c>
      <c r="CI600" s="3">
        <f t="shared" si="88"/>
        <v>0</v>
      </c>
      <c r="CJ600" s="17">
        <f t="shared" si="89"/>
        <v>11067</v>
      </c>
      <c r="CK600" s="3" t="str">
        <f t="shared" si="90"/>
        <v>برنامج دولى</v>
      </c>
    </row>
    <row r="601" spans="4:89" x14ac:dyDescent="0.25">
      <c r="D601" s="17">
        <v>18196</v>
      </c>
      <c r="E601" s="17">
        <v>11068</v>
      </c>
      <c r="F601" s="3" t="s">
        <v>78</v>
      </c>
      <c r="G601" s="3" t="s">
        <v>350</v>
      </c>
      <c r="I601" s="3">
        <v>7874.4</v>
      </c>
      <c r="AU601" s="22">
        <f t="shared" si="86"/>
        <v>7874.4</v>
      </c>
      <c r="AV601" s="3">
        <v>5588.57</v>
      </c>
      <c r="AW601" s="3">
        <v>739.2</v>
      </c>
      <c r="AX601" s="3">
        <v>1546.63</v>
      </c>
      <c r="CH601" s="22">
        <f t="shared" si="87"/>
        <v>7874.4</v>
      </c>
      <c r="CI601" s="3">
        <f t="shared" si="88"/>
        <v>0</v>
      </c>
      <c r="CJ601" s="17">
        <f t="shared" si="89"/>
        <v>11068</v>
      </c>
      <c r="CK601" s="3" t="str">
        <f t="shared" si="90"/>
        <v>برنامج دولى</v>
      </c>
    </row>
    <row r="602" spans="4:89" x14ac:dyDescent="0.25">
      <c r="D602" s="17">
        <v>18199</v>
      </c>
      <c r="E602" s="17">
        <v>11069</v>
      </c>
      <c r="F602" s="3" t="s">
        <v>78</v>
      </c>
      <c r="G602" s="3" t="s">
        <v>350</v>
      </c>
      <c r="I602" s="3">
        <v>3291.84</v>
      </c>
      <c r="AU602" s="22">
        <f t="shared" si="86"/>
        <v>3291.84</v>
      </c>
      <c r="AV602" s="3">
        <v>2130.16</v>
      </c>
      <c r="AW602" s="3">
        <v>290.7</v>
      </c>
      <c r="AX602" s="3">
        <v>870.98</v>
      </c>
      <c r="CH602" s="22">
        <f t="shared" si="87"/>
        <v>3291.8399999999997</v>
      </c>
      <c r="CI602" s="3">
        <f t="shared" si="88"/>
        <v>0</v>
      </c>
      <c r="CJ602" s="17">
        <f t="shared" si="89"/>
        <v>11069</v>
      </c>
      <c r="CK602" s="3" t="str">
        <f t="shared" si="90"/>
        <v>برنامج دولى</v>
      </c>
    </row>
    <row r="603" spans="4:89" x14ac:dyDescent="0.25">
      <c r="D603" s="17">
        <v>18062</v>
      </c>
      <c r="E603" s="17">
        <v>11070</v>
      </c>
      <c r="F603" s="3" t="s">
        <v>78</v>
      </c>
      <c r="G603" s="3" t="s">
        <v>351</v>
      </c>
      <c r="I603" s="3">
        <v>1864.28</v>
      </c>
      <c r="AU603" s="22">
        <f t="shared" si="86"/>
        <v>1864.28</v>
      </c>
      <c r="AV603" s="3">
        <v>1247.75</v>
      </c>
      <c r="AW603" s="3">
        <v>167.35</v>
      </c>
      <c r="AX603" s="3">
        <v>449.18</v>
      </c>
      <c r="CH603" s="22">
        <f t="shared" si="87"/>
        <v>1864.28</v>
      </c>
      <c r="CI603" s="3">
        <f t="shared" si="88"/>
        <v>0</v>
      </c>
      <c r="CJ603" s="17">
        <f t="shared" si="89"/>
        <v>11070</v>
      </c>
      <c r="CK603" s="3" t="str">
        <f t="shared" si="90"/>
        <v>برنامج دولى</v>
      </c>
    </row>
    <row r="604" spans="4:89" x14ac:dyDescent="0.25">
      <c r="D604" s="17">
        <v>18063</v>
      </c>
      <c r="E604" s="17">
        <v>11071</v>
      </c>
      <c r="F604" s="3" t="s">
        <v>78</v>
      </c>
      <c r="G604" s="3" t="s">
        <v>351</v>
      </c>
      <c r="I604" s="3">
        <v>703.5</v>
      </c>
      <c r="AU604" s="22">
        <f t="shared" si="86"/>
        <v>703.5</v>
      </c>
      <c r="AV604" s="3">
        <v>473</v>
      </c>
      <c r="AW604" s="3">
        <v>61</v>
      </c>
      <c r="AX604" s="3">
        <v>169.5</v>
      </c>
      <c r="CH604" s="22">
        <f t="shared" si="87"/>
        <v>703.5</v>
      </c>
      <c r="CI604" s="3">
        <f t="shared" si="88"/>
        <v>0</v>
      </c>
      <c r="CJ604" s="17">
        <f t="shared" si="89"/>
        <v>11071</v>
      </c>
      <c r="CK604" s="3" t="str">
        <f t="shared" si="90"/>
        <v>برنامج دولى</v>
      </c>
    </row>
    <row r="605" spans="4:89" x14ac:dyDescent="0.25">
      <c r="D605" s="17">
        <v>18198</v>
      </c>
      <c r="E605" s="17">
        <v>11072</v>
      </c>
      <c r="F605" s="3" t="s">
        <v>78</v>
      </c>
      <c r="G605" s="3" t="s">
        <v>351</v>
      </c>
      <c r="I605" s="3">
        <v>2532.6</v>
      </c>
      <c r="AU605" s="22">
        <f t="shared" si="86"/>
        <v>2532.6</v>
      </c>
      <c r="AV605" s="3">
        <v>1695.05</v>
      </c>
      <c r="AW605" s="3">
        <v>227.35</v>
      </c>
      <c r="AX605" s="3">
        <v>610.20000000000005</v>
      </c>
      <c r="CH605" s="22">
        <f t="shared" si="87"/>
        <v>2532.6</v>
      </c>
      <c r="CI605" s="3">
        <f t="shared" si="88"/>
        <v>0</v>
      </c>
      <c r="CJ605" s="17">
        <f t="shared" si="89"/>
        <v>11072</v>
      </c>
      <c r="CK605" s="3" t="str">
        <f t="shared" si="90"/>
        <v>برنامج دولى</v>
      </c>
    </row>
    <row r="606" spans="4:89" x14ac:dyDescent="0.25">
      <c r="D606" s="17">
        <v>18047</v>
      </c>
      <c r="E606" s="17">
        <v>11073</v>
      </c>
      <c r="F606" s="3" t="s">
        <v>78</v>
      </c>
      <c r="G606" s="3" t="s">
        <v>352</v>
      </c>
      <c r="I606" s="3">
        <v>6734.7</v>
      </c>
      <c r="AU606" s="22">
        <f t="shared" si="86"/>
        <v>6734.7</v>
      </c>
      <c r="AV606" s="3">
        <v>5355.85</v>
      </c>
      <c r="AW606" s="3">
        <v>666.95</v>
      </c>
      <c r="AX606" s="3">
        <v>711.9</v>
      </c>
      <c r="CH606" s="22">
        <f t="shared" si="87"/>
        <v>6734.7</v>
      </c>
      <c r="CI606" s="3">
        <f t="shared" si="88"/>
        <v>0</v>
      </c>
      <c r="CJ606" s="17">
        <f t="shared" si="89"/>
        <v>11073</v>
      </c>
      <c r="CK606" s="3" t="str">
        <f t="shared" si="90"/>
        <v>برنامج دولى</v>
      </c>
    </row>
    <row r="607" spans="4:89" x14ac:dyDescent="0.25">
      <c r="D607" s="17">
        <v>18049</v>
      </c>
      <c r="E607" s="17">
        <v>11074</v>
      </c>
      <c r="F607" s="3" t="s">
        <v>78</v>
      </c>
      <c r="G607" s="3" t="s">
        <v>352</v>
      </c>
      <c r="I607" s="3">
        <v>844.2</v>
      </c>
      <c r="AU607" s="22">
        <f t="shared" si="86"/>
        <v>844.2</v>
      </c>
      <c r="AV607" s="3">
        <v>565.20000000000005</v>
      </c>
      <c r="AW607" s="3">
        <v>75.599999999999994</v>
      </c>
      <c r="AX607" s="3">
        <v>203.4</v>
      </c>
      <c r="CH607" s="22">
        <f t="shared" si="87"/>
        <v>844.2</v>
      </c>
      <c r="CI607" s="3">
        <f t="shared" si="88"/>
        <v>0</v>
      </c>
      <c r="CJ607" s="17">
        <f t="shared" si="89"/>
        <v>11074</v>
      </c>
      <c r="CK607" s="3" t="str">
        <f t="shared" si="90"/>
        <v>برنامج دولى</v>
      </c>
    </row>
    <row r="608" spans="4:89" x14ac:dyDescent="0.25">
      <c r="D608" s="17">
        <v>18048</v>
      </c>
      <c r="E608" s="17">
        <v>11075</v>
      </c>
      <c r="F608" s="3" t="s">
        <v>78</v>
      </c>
      <c r="G608" s="3" t="s">
        <v>352</v>
      </c>
      <c r="I608" s="3">
        <v>600</v>
      </c>
      <c r="AU608" s="22">
        <f t="shared" si="86"/>
        <v>600</v>
      </c>
      <c r="AV608" s="3">
        <v>536.15</v>
      </c>
      <c r="AW608" s="3">
        <v>63.85</v>
      </c>
      <c r="CH608" s="22">
        <f t="shared" si="87"/>
        <v>600</v>
      </c>
      <c r="CI608" s="3">
        <f t="shared" si="88"/>
        <v>0</v>
      </c>
      <c r="CJ608" s="17">
        <f t="shared" si="89"/>
        <v>11075</v>
      </c>
      <c r="CK608" s="3" t="str">
        <f t="shared" si="90"/>
        <v>برنامج دولى</v>
      </c>
    </row>
    <row r="609" spans="4:89" x14ac:dyDescent="0.25">
      <c r="D609" s="17">
        <v>18070</v>
      </c>
      <c r="E609" s="17">
        <v>11076</v>
      </c>
      <c r="F609" s="3" t="s">
        <v>78</v>
      </c>
      <c r="G609" s="3" t="s">
        <v>353</v>
      </c>
      <c r="I609" s="3">
        <v>20036.87</v>
      </c>
      <c r="AU609" s="22">
        <f t="shared" si="86"/>
        <v>20036.87</v>
      </c>
      <c r="AV609" s="3">
        <v>17829.48</v>
      </c>
      <c r="AW609" s="3">
        <v>2147</v>
      </c>
      <c r="AX609" s="3">
        <v>60.39</v>
      </c>
      <c r="CH609" s="22">
        <f t="shared" si="87"/>
        <v>20036.87</v>
      </c>
      <c r="CI609" s="3">
        <f t="shared" si="88"/>
        <v>0</v>
      </c>
      <c r="CJ609" s="17">
        <f t="shared" si="89"/>
        <v>11076</v>
      </c>
      <c r="CK609" s="3" t="str">
        <f t="shared" si="90"/>
        <v>برنامج دولى</v>
      </c>
    </row>
    <row r="610" spans="4:89" x14ac:dyDescent="0.25">
      <c r="D610" s="17">
        <v>18069</v>
      </c>
      <c r="E610" s="17">
        <v>11077</v>
      </c>
      <c r="F610" s="3" t="s">
        <v>78</v>
      </c>
      <c r="G610" s="3" t="s">
        <v>353</v>
      </c>
      <c r="I610" s="3">
        <v>2931.25</v>
      </c>
      <c r="AU610" s="22">
        <f t="shared" si="86"/>
        <v>2931.25</v>
      </c>
      <c r="AV610" s="3">
        <v>1958.65</v>
      </c>
      <c r="AW610" s="3">
        <v>266.35000000000002</v>
      </c>
      <c r="AX610" s="3">
        <v>706.25</v>
      </c>
      <c r="CH610" s="22">
        <f t="shared" si="87"/>
        <v>2931.25</v>
      </c>
      <c r="CI610" s="3">
        <f t="shared" si="88"/>
        <v>0</v>
      </c>
      <c r="CJ610" s="17">
        <f t="shared" si="89"/>
        <v>11077</v>
      </c>
      <c r="CK610" s="3" t="str">
        <f t="shared" si="90"/>
        <v>برنامج دولى</v>
      </c>
    </row>
    <row r="611" spans="4:89" x14ac:dyDescent="0.25">
      <c r="D611" s="17">
        <v>18046</v>
      </c>
      <c r="E611" s="17">
        <v>11078</v>
      </c>
      <c r="F611" s="3" t="s">
        <v>78</v>
      </c>
      <c r="G611" s="3" t="s">
        <v>354</v>
      </c>
      <c r="I611" s="3">
        <v>586.25</v>
      </c>
      <c r="AU611" s="22">
        <f t="shared" si="86"/>
        <v>586.25</v>
      </c>
      <c r="AV611" s="3">
        <v>392.4</v>
      </c>
      <c r="AW611" s="3">
        <v>52.6</v>
      </c>
      <c r="AX611" s="3">
        <v>141.25</v>
      </c>
      <c r="CH611" s="22">
        <f t="shared" si="87"/>
        <v>586.25</v>
      </c>
      <c r="CI611" s="3">
        <f t="shared" si="88"/>
        <v>0</v>
      </c>
      <c r="CJ611" s="17">
        <f t="shared" si="89"/>
        <v>11078</v>
      </c>
      <c r="CK611" s="3" t="str">
        <f t="shared" si="90"/>
        <v>برنامج دولى</v>
      </c>
    </row>
    <row r="612" spans="4:89" x14ac:dyDescent="0.25">
      <c r="D612" s="17">
        <v>18020</v>
      </c>
      <c r="E612" s="17">
        <v>11079</v>
      </c>
      <c r="F612" s="3" t="s">
        <v>78</v>
      </c>
      <c r="G612" s="3" t="s">
        <v>354</v>
      </c>
      <c r="I612" s="3">
        <v>4015.77</v>
      </c>
      <c r="AU612" s="22">
        <f t="shared" si="86"/>
        <v>4015.77</v>
      </c>
      <c r="AV612" s="3">
        <v>2703.95</v>
      </c>
      <c r="AW612" s="3">
        <v>344.3</v>
      </c>
      <c r="AX612" s="3">
        <v>967.52</v>
      </c>
      <c r="CH612" s="22">
        <f t="shared" si="87"/>
        <v>4015.77</v>
      </c>
      <c r="CI612" s="3">
        <f t="shared" si="88"/>
        <v>0</v>
      </c>
      <c r="CJ612" s="17">
        <f t="shared" si="89"/>
        <v>11079</v>
      </c>
      <c r="CK612" s="3" t="str">
        <f t="shared" si="90"/>
        <v>برنامج دولى</v>
      </c>
    </row>
    <row r="613" spans="4:89" x14ac:dyDescent="0.25">
      <c r="D613" s="17">
        <v>18045</v>
      </c>
      <c r="E613" s="17">
        <v>11080</v>
      </c>
      <c r="F613" s="3" t="s">
        <v>78</v>
      </c>
      <c r="G613" s="3" t="s">
        <v>354</v>
      </c>
      <c r="I613" s="3">
        <v>146.56</v>
      </c>
      <c r="AU613" s="22">
        <f t="shared" si="86"/>
        <v>146.56</v>
      </c>
      <c r="AV613" s="3">
        <v>98.35</v>
      </c>
      <c r="AW613" s="3">
        <v>12.9</v>
      </c>
      <c r="AX613" s="3">
        <v>35.31</v>
      </c>
      <c r="CH613" s="22">
        <f t="shared" si="87"/>
        <v>146.56</v>
      </c>
      <c r="CI613" s="3">
        <f t="shared" si="88"/>
        <v>0</v>
      </c>
      <c r="CJ613" s="17">
        <f t="shared" si="89"/>
        <v>11080</v>
      </c>
      <c r="CK613" s="3" t="str">
        <f t="shared" si="90"/>
        <v>برنامج دولى</v>
      </c>
    </row>
    <row r="614" spans="4:89" x14ac:dyDescent="0.25">
      <c r="D614" s="17">
        <v>18022</v>
      </c>
      <c r="E614" s="17">
        <v>11081</v>
      </c>
      <c r="F614" s="3" t="s">
        <v>78</v>
      </c>
      <c r="G614" s="3" t="s">
        <v>354</v>
      </c>
      <c r="I614" s="3">
        <v>8344.0300000000007</v>
      </c>
      <c r="AU614" s="22">
        <f t="shared" si="86"/>
        <v>8344.0300000000007</v>
      </c>
      <c r="AV614" s="3">
        <v>5605.65</v>
      </c>
      <c r="AW614" s="3">
        <v>741.95</v>
      </c>
      <c r="AX614" s="3">
        <v>1996.43</v>
      </c>
      <c r="CH614" s="22">
        <f t="shared" si="87"/>
        <v>8344.0299999999988</v>
      </c>
      <c r="CI614" s="3">
        <f t="shared" si="88"/>
        <v>0</v>
      </c>
      <c r="CJ614" s="17">
        <f t="shared" si="89"/>
        <v>11081</v>
      </c>
      <c r="CK614" s="3" t="str">
        <f t="shared" si="90"/>
        <v>برنامج دولى</v>
      </c>
    </row>
    <row r="615" spans="4:89" x14ac:dyDescent="0.25">
      <c r="D615" s="17">
        <v>18023</v>
      </c>
      <c r="E615" s="17">
        <v>11082</v>
      </c>
      <c r="F615" s="3" t="s">
        <v>78</v>
      </c>
      <c r="G615" s="3" t="s">
        <v>354</v>
      </c>
      <c r="I615" s="3">
        <v>732.81</v>
      </c>
      <c r="AU615" s="22">
        <f t="shared" si="86"/>
        <v>732.81</v>
      </c>
      <c r="AV615" s="3">
        <v>490.75</v>
      </c>
      <c r="AW615" s="3">
        <v>65.5</v>
      </c>
      <c r="AX615" s="3">
        <v>176.56</v>
      </c>
      <c r="CH615" s="22">
        <f t="shared" si="87"/>
        <v>732.81</v>
      </c>
      <c r="CI615" s="3">
        <f t="shared" si="88"/>
        <v>0</v>
      </c>
      <c r="CJ615" s="17">
        <f t="shared" si="89"/>
        <v>11082</v>
      </c>
      <c r="CK615" s="3" t="str">
        <f t="shared" si="90"/>
        <v>برنامج دولى</v>
      </c>
    </row>
    <row r="616" spans="4:89" x14ac:dyDescent="0.25">
      <c r="D616" s="17">
        <v>18021</v>
      </c>
      <c r="E616" s="17">
        <v>11083</v>
      </c>
      <c r="F616" s="3" t="s">
        <v>78</v>
      </c>
      <c r="G616" s="3" t="s">
        <v>354</v>
      </c>
      <c r="I616" s="3">
        <v>146.56</v>
      </c>
      <c r="AU616" s="22">
        <f t="shared" si="86"/>
        <v>146.56</v>
      </c>
      <c r="AV616" s="3">
        <v>98.35</v>
      </c>
      <c r="AW616" s="3">
        <v>12.9</v>
      </c>
      <c r="AX616" s="3">
        <v>35.31</v>
      </c>
      <c r="CH616" s="22">
        <f t="shared" si="87"/>
        <v>146.56</v>
      </c>
      <c r="CI616" s="3">
        <f t="shared" si="88"/>
        <v>0</v>
      </c>
      <c r="CJ616" s="17">
        <f t="shared" si="89"/>
        <v>11083</v>
      </c>
      <c r="CK616" s="3" t="str">
        <f t="shared" si="90"/>
        <v>برنامج دولى</v>
      </c>
    </row>
    <row r="617" spans="4:89" x14ac:dyDescent="0.25">
      <c r="D617" s="17">
        <v>18044</v>
      </c>
      <c r="E617" s="17">
        <v>11084</v>
      </c>
      <c r="F617" s="3" t="s">
        <v>78</v>
      </c>
      <c r="G617" s="3" t="s">
        <v>354</v>
      </c>
      <c r="I617" s="3">
        <v>146.56</v>
      </c>
      <c r="AU617" s="22">
        <f t="shared" si="86"/>
        <v>146.56</v>
      </c>
      <c r="AV617" s="3">
        <v>98.35</v>
      </c>
      <c r="AW617" s="3">
        <v>12.9</v>
      </c>
      <c r="AX617" s="3">
        <v>35.31</v>
      </c>
      <c r="CH617" s="22">
        <f t="shared" si="87"/>
        <v>146.56</v>
      </c>
      <c r="CI617" s="3">
        <f t="shared" si="88"/>
        <v>0</v>
      </c>
      <c r="CJ617" s="17">
        <f t="shared" si="89"/>
        <v>11084</v>
      </c>
      <c r="CK617" s="3" t="str">
        <f t="shared" si="90"/>
        <v>برنامج دولى</v>
      </c>
    </row>
    <row r="618" spans="4:89" x14ac:dyDescent="0.25">
      <c r="D618" s="17">
        <v>18185</v>
      </c>
      <c r="E618" s="17">
        <v>11085</v>
      </c>
      <c r="F618" s="3" t="s">
        <v>78</v>
      </c>
      <c r="G618" s="3" t="s">
        <v>355</v>
      </c>
      <c r="I618" s="3">
        <v>11700</v>
      </c>
      <c r="AU618" s="22">
        <f t="shared" ref="AU618:AU649" si="91">SUM(I618:AS618)</f>
        <v>11700</v>
      </c>
      <c r="AV618" s="3">
        <v>10439.700000000001</v>
      </c>
      <c r="AW618" s="3">
        <v>1260.3</v>
      </c>
      <c r="CH618" s="22">
        <f t="shared" ref="CH618:CH649" si="92">SUM(AV618:CG618)</f>
        <v>11700</v>
      </c>
      <c r="CI618" s="3">
        <f t="shared" ref="CI618:CI649" si="93">+CH618-AU618</f>
        <v>0</v>
      </c>
      <c r="CJ618" s="17">
        <f t="shared" ref="CJ618:CJ649" si="94">+E618</f>
        <v>11085</v>
      </c>
      <c r="CK618" s="3" t="str">
        <f t="shared" ref="CK618:CK649" si="95">+F618</f>
        <v>برنامج دولى</v>
      </c>
    </row>
    <row r="619" spans="4:89" x14ac:dyDescent="0.25">
      <c r="D619" s="17">
        <v>18188</v>
      </c>
      <c r="E619" s="17">
        <v>11086</v>
      </c>
      <c r="F619" s="3" t="s">
        <v>78</v>
      </c>
      <c r="G619" s="3" t="s">
        <v>355</v>
      </c>
      <c r="I619" s="3">
        <v>2110.5</v>
      </c>
      <c r="AU619" s="22">
        <f t="shared" si="91"/>
        <v>2110.5</v>
      </c>
      <c r="AV619" s="3">
        <v>1411.4</v>
      </c>
      <c r="AW619" s="3">
        <v>190.6</v>
      </c>
      <c r="AX619" s="3">
        <v>508.5</v>
      </c>
      <c r="CH619" s="22">
        <f t="shared" si="92"/>
        <v>2110.5</v>
      </c>
      <c r="CI619" s="3">
        <f t="shared" si="93"/>
        <v>0</v>
      </c>
      <c r="CJ619" s="17">
        <f t="shared" si="94"/>
        <v>11086</v>
      </c>
      <c r="CK619" s="3" t="str">
        <f t="shared" si="95"/>
        <v>برنامج دولى</v>
      </c>
    </row>
    <row r="620" spans="4:89" x14ac:dyDescent="0.25">
      <c r="D620" s="17">
        <v>18186</v>
      </c>
      <c r="E620" s="17">
        <v>11087</v>
      </c>
      <c r="F620" s="3" t="s">
        <v>78</v>
      </c>
      <c r="G620" s="3" t="s">
        <v>355</v>
      </c>
      <c r="I620" s="3">
        <v>28746.02</v>
      </c>
      <c r="AU620" s="22">
        <f t="shared" si="91"/>
        <v>28746.02</v>
      </c>
      <c r="AV620" s="3">
        <v>23918.17</v>
      </c>
      <c r="AW620" s="3">
        <v>2951.05</v>
      </c>
      <c r="AX620" s="3">
        <v>1876.8</v>
      </c>
      <c r="CH620" s="22">
        <f t="shared" si="92"/>
        <v>28746.019999999997</v>
      </c>
      <c r="CI620" s="3">
        <f t="shared" si="93"/>
        <v>0</v>
      </c>
      <c r="CJ620" s="17">
        <f t="shared" si="94"/>
        <v>11087</v>
      </c>
      <c r="CK620" s="3" t="str">
        <f t="shared" si="95"/>
        <v>برنامج دولى</v>
      </c>
    </row>
    <row r="621" spans="4:89" x14ac:dyDescent="0.25">
      <c r="D621" s="17">
        <v>18187</v>
      </c>
      <c r="E621" s="17">
        <v>11088</v>
      </c>
      <c r="F621" s="3" t="s">
        <v>78</v>
      </c>
      <c r="G621" s="3" t="s">
        <v>355</v>
      </c>
      <c r="I621" s="3">
        <v>1688.39</v>
      </c>
      <c r="AU621" s="22">
        <f t="shared" si="91"/>
        <v>1688.39</v>
      </c>
      <c r="AV621" s="3">
        <v>1129.95</v>
      </c>
      <c r="AW621" s="3">
        <v>151.65</v>
      </c>
      <c r="AX621" s="3">
        <v>406.79</v>
      </c>
      <c r="CH621" s="22">
        <f t="shared" si="92"/>
        <v>1688.39</v>
      </c>
      <c r="CI621" s="3">
        <f t="shared" si="93"/>
        <v>0</v>
      </c>
      <c r="CJ621" s="17">
        <f t="shared" si="94"/>
        <v>11088</v>
      </c>
      <c r="CK621" s="3" t="str">
        <f t="shared" si="95"/>
        <v>برنامج دولى</v>
      </c>
    </row>
    <row r="622" spans="4:89" x14ac:dyDescent="0.25">
      <c r="D622" s="17">
        <v>18000</v>
      </c>
      <c r="E622" s="17">
        <v>11089</v>
      </c>
      <c r="F622" s="3" t="s">
        <v>78</v>
      </c>
      <c r="G622" s="3" t="s">
        <v>328</v>
      </c>
      <c r="I622" s="3">
        <v>3517.5</v>
      </c>
      <c r="AU622" s="22">
        <f t="shared" si="91"/>
        <v>3517.5</v>
      </c>
      <c r="AV622" s="3">
        <v>2350.35</v>
      </c>
      <c r="AW622" s="3">
        <v>319.64999999999998</v>
      </c>
      <c r="AX622" s="3">
        <v>847.5</v>
      </c>
      <c r="CH622" s="22">
        <f t="shared" si="92"/>
        <v>3517.5</v>
      </c>
      <c r="CI622" s="3">
        <f t="shared" si="93"/>
        <v>0</v>
      </c>
      <c r="CJ622" s="17">
        <f t="shared" si="94"/>
        <v>11089</v>
      </c>
      <c r="CK622" s="3" t="str">
        <f t="shared" si="95"/>
        <v>برنامج دولى</v>
      </c>
    </row>
    <row r="623" spans="4:89" x14ac:dyDescent="0.25">
      <c r="D623" s="17">
        <v>18001</v>
      </c>
      <c r="E623" s="17">
        <v>11090</v>
      </c>
      <c r="F623" s="3" t="s">
        <v>78</v>
      </c>
      <c r="G623" s="3" t="s">
        <v>328</v>
      </c>
      <c r="I623" s="3">
        <v>2500</v>
      </c>
      <c r="AU623" s="22">
        <f t="shared" si="91"/>
        <v>2500</v>
      </c>
      <c r="AV623" s="3">
        <v>2231.6</v>
      </c>
      <c r="AW623" s="3">
        <v>268.39999999999998</v>
      </c>
      <c r="CH623" s="22">
        <f t="shared" si="92"/>
        <v>2500</v>
      </c>
      <c r="CI623" s="3">
        <f t="shared" si="93"/>
        <v>0</v>
      </c>
      <c r="CJ623" s="17">
        <f t="shared" si="94"/>
        <v>11090</v>
      </c>
      <c r="CK623" s="3" t="str">
        <f t="shared" si="95"/>
        <v>برنامج دولى</v>
      </c>
    </row>
    <row r="624" spans="4:89" x14ac:dyDescent="0.25">
      <c r="D624" s="17">
        <v>18341</v>
      </c>
      <c r="E624" s="17">
        <v>11091</v>
      </c>
      <c r="F624" s="3" t="s">
        <v>130</v>
      </c>
      <c r="G624" s="3" t="s">
        <v>356</v>
      </c>
      <c r="I624" s="3">
        <v>996.62</v>
      </c>
      <c r="AU624" s="22">
        <f t="shared" si="91"/>
        <v>996.62</v>
      </c>
      <c r="AV624" s="3">
        <v>602.77</v>
      </c>
      <c r="AW624" s="3">
        <v>111.23</v>
      </c>
      <c r="AX624" s="3">
        <v>240.12</v>
      </c>
      <c r="AY624" s="3">
        <v>42.5</v>
      </c>
      <c r="CH624" s="22">
        <f t="shared" si="92"/>
        <v>996.62</v>
      </c>
      <c r="CI624" s="3">
        <f t="shared" si="93"/>
        <v>0</v>
      </c>
      <c r="CJ624" s="17">
        <f t="shared" si="94"/>
        <v>11091</v>
      </c>
      <c r="CK624" s="3" t="str">
        <f t="shared" si="95"/>
        <v>خ ت طب</v>
      </c>
    </row>
    <row r="625" spans="4:89" x14ac:dyDescent="0.25">
      <c r="D625" s="17">
        <v>18060</v>
      </c>
      <c r="E625" s="17">
        <v>11092</v>
      </c>
      <c r="F625" s="3" t="s">
        <v>78</v>
      </c>
      <c r="G625" s="3" t="s">
        <v>357</v>
      </c>
      <c r="I625" s="3">
        <v>1758.75</v>
      </c>
      <c r="AU625" s="22">
        <f t="shared" si="91"/>
        <v>1758.75</v>
      </c>
      <c r="AV625" s="3">
        <v>1100.3499999999999</v>
      </c>
      <c r="AW625" s="3">
        <f>9.65+150</f>
        <v>159.65</v>
      </c>
      <c r="AX625" s="3">
        <f>658.4-AW625-75</f>
        <v>423.75</v>
      </c>
      <c r="AY625" s="3">
        <v>75</v>
      </c>
      <c r="CH625" s="22">
        <f t="shared" si="92"/>
        <v>1758.75</v>
      </c>
      <c r="CI625" s="3">
        <f t="shared" si="93"/>
        <v>0</v>
      </c>
      <c r="CJ625" s="17">
        <f t="shared" si="94"/>
        <v>11092</v>
      </c>
      <c r="CK625" s="3" t="str">
        <f t="shared" si="95"/>
        <v>برنامج دولى</v>
      </c>
    </row>
    <row r="626" spans="4:89" x14ac:dyDescent="0.25">
      <c r="D626" s="17">
        <v>18061</v>
      </c>
      <c r="E626" s="17">
        <v>11093</v>
      </c>
      <c r="F626" s="3" t="s">
        <v>78</v>
      </c>
      <c r="G626" s="3" t="s">
        <v>357</v>
      </c>
      <c r="I626" s="3">
        <v>23860.38</v>
      </c>
      <c r="AU626" s="22">
        <f t="shared" si="91"/>
        <v>23860.38</v>
      </c>
      <c r="AV626" s="3">
        <v>15947.05</v>
      </c>
      <c r="AW626" s="3">
        <v>2164.4499999999998</v>
      </c>
      <c r="AX626" s="3">
        <v>5748.88</v>
      </c>
      <c r="CH626" s="22">
        <f t="shared" si="92"/>
        <v>23860.38</v>
      </c>
      <c r="CI626" s="3">
        <f t="shared" si="93"/>
        <v>0</v>
      </c>
      <c r="CJ626" s="17">
        <f t="shared" si="94"/>
        <v>11093</v>
      </c>
      <c r="CK626" s="3" t="str">
        <f t="shared" si="95"/>
        <v>برنامج دولى</v>
      </c>
    </row>
    <row r="627" spans="4:89" x14ac:dyDescent="0.25">
      <c r="D627" s="17">
        <v>18056</v>
      </c>
      <c r="E627" s="17">
        <v>11094</v>
      </c>
      <c r="F627" s="3" t="s">
        <v>78</v>
      </c>
      <c r="G627" s="3" t="s">
        <v>357</v>
      </c>
      <c r="I627" s="3">
        <v>1758.75</v>
      </c>
      <c r="AU627" s="22">
        <f t="shared" si="91"/>
        <v>1758.75</v>
      </c>
      <c r="AV627" s="3">
        <v>1175.3499999999999</v>
      </c>
      <c r="AW627" s="3">
        <v>159.65</v>
      </c>
      <c r="AX627" s="3">
        <v>423.75</v>
      </c>
      <c r="CH627" s="22">
        <f t="shared" si="92"/>
        <v>1758.75</v>
      </c>
      <c r="CI627" s="3">
        <f t="shared" si="93"/>
        <v>0</v>
      </c>
      <c r="CJ627" s="17">
        <f t="shared" si="94"/>
        <v>11094</v>
      </c>
      <c r="CK627" s="3" t="str">
        <f t="shared" si="95"/>
        <v>برنامج دولى</v>
      </c>
    </row>
    <row r="628" spans="4:89" x14ac:dyDescent="0.25">
      <c r="D628" s="17">
        <v>18058</v>
      </c>
      <c r="E628" s="17">
        <v>11095</v>
      </c>
      <c r="F628" s="3" t="s">
        <v>78</v>
      </c>
      <c r="G628" s="3" t="s">
        <v>357</v>
      </c>
      <c r="I628" s="3">
        <v>1659.63</v>
      </c>
      <c r="AU628" s="22">
        <f t="shared" si="91"/>
        <v>1659.63</v>
      </c>
      <c r="AV628" s="3">
        <v>1238.06</v>
      </c>
      <c r="AW628" s="3">
        <v>160.15</v>
      </c>
      <c r="AX628" s="3">
        <v>261.42</v>
      </c>
      <c r="CH628" s="22">
        <f t="shared" si="92"/>
        <v>1659.63</v>
      </c>
      <c r="CI628" s="3">
        <f t="shared" si="93"/>
        <v>0</v>
      </c>
      <c r="CJ628" s="17">
        <f t="shared" si="94"/>
        <v>11095</v>
      </c>
      <c r="CK628" s="3" t="str">
        <f t="shared" si="95"/>
        <v>برنامج دولى</v>
      </c>
    </row>
    <row r="629" spans="4:89" x14ac:dyDescent="0.25">
      <c r="D629" s="17">
        <v>18059</v>
      </c>
      <c r="E629" s="17">
        <v>11096</v>
      </c>
      <c r="F629" s="3" t="s">
        <v>78</v>
      </c>
      <c r="G629" s="3" t="s">
        <v>357</v>
      </c>
      <c r="I629" s="3">
        <v>1758.75</v>
      </c>
      <c r="AU629" s="22">
        <f t="shared" si="91"/>
        <v>1758.75</v>
      </c>
      <c r="AV629" s="3">
        <v>1175.3499999999999</v>
      </c>
      <c r="AW629" s="3">
        <v>159.65</v>
      </c>
      <c r="AX629" s="3">
        <v>423.75</v>
      </c>
      <c r="CH629" s="22">
        <f t="shared" si="92"/>
        <v>1758.75</v>
      </c>
      <c r="CI629" s="3">
        <f t="shared" si="93"/>
        <v>0</v>
      </c>
      <c r="CJ629" s="17">
        <f t="shared" si="94"/>
        <v>11096</v>
      </c>
      <c r="CK629" s="3" t="str">
        <f t="shared" si="95"/>
        <v>برنامج دولى</v>
      </c>
    </row>
    <row r="630" spans="4:89" x14ac:dyDescent="0.25">
      <c r="D630" s="17">
        <v>18057</v>
      </c>
      <c r="E630" s="17">
        <v>11097</v>
      </c>
      <c r="F630" s="3" t="s">
        <v>78</v>
      </c>
      <c r="G630" s="3" t="s">
        <v>357</v>
      </c>
      <c r="I630" s="3">
        <v>5276.25</v>
      </c>
      <c r="AU630" s="22">
        <f t="shared" si="91"/>
        <v>5276.25</v>
      </c>
      <c r="AV630" s="3">
        <v>3526.05</v>
      </c>
      <c r="AW630" s="3">
        <v>478.95</v>
      </c>
      <c r="AX630" s="3">
        <v>1271.25</v>
      </c>
      <c r="CH630" s="22">
        <f t="shared" si="92"/>
        <v>5276.25</v>
      </c>
      <c r="CI630" s="3">
        <f t="shared" si="93"/>
        <v>0</v>
      </c>
      <c r="CJ630" s="17">
        <f t="shared" si="94"/>
        <v>11097</v>
      </c>
      <c r="CK630" s="3" t="str">
        <f t="shared" si="95"/>
        <v>برنامج دولى</v>
      </c>
    </row>
    <row r="631" spans="4:89" x14ac:dyDescent="0.25">
      <c r="D631" s="17">
        <v>18200</v>
      </c>
      <c r="E631" s="17">
        <v>11098</v>
      </c>
      <c r="F631" s="3" t="s">
        <v>78</v>
      </c>
      <c r="G631" s="3" t="s">
        <v>358</v>
      </c>
      <c r="I631" s="3">
        <v>1723.8</v>
      </c>
      <c r="AU631" s="22">
        <f t="shared" si="91"/>
        <v>1723.8</v>
      </c>
      <c r="AV631" s="3">
        <v>1382.67</v>
      </c>
      <c r="AW631" s="3">
        <v>171.15</v>
      </c>
      <c r="AX631" s="3">
        <v>169.98</v>
      </c>
      <c r="CH631" s="22">
        <f t="shared" si="92"/>
        <v>1723.8000000000002</v>
      </c>
      <c r="CI631" s="3">
        <f t="shared" si="93"/>
        <v>0</v>
      </c>
      <c r="CJ631" s="17">
        <f t="shared" si="94"/>
        <v>11098</v>
      </c>
      <c r="CK631" s="3" t="str">
        <f t="shared" si="95"/>
        <v>برنامج دولى</v>
      </c>
    </row>
    <row r="632" spans="4:89" x14ac:dyDescent="0.25">
      <c r="D632" s="17">
        <v>18201</v>
      </c>
      <c r="E632" s="17">
        <v>11099</v>
      </c>
      <c r="F632" s="3" t="s">
        <v>78</v>
      </c>
      <c r="G632" s="3" t="s">
        <v>358</v>
      </c>
      <c r="I632" s="3">
        <v>175.88</v>
      </c>
      <c r="AU632" s="22">
        <f t="shared" si="91"/>
        <v>175.88</v>
      </c>
      <c r="AV632" s="3">
        <v>118.4</v>
      </c>
      <c r="AW632" s="3">
        <v>15.1</v>
      </c>
      <c r="AX632" s="3">
        <v>42.38</v>
      </c>
      <c r="CH632" s="22">
        <f t="shared" si="92"/>
        <v>175.88</v>
      </c>
      <c r="CI632" s="3">
        <f t="shared" si="93"/>
        <v>0</v>
      </c>
      <c r="CJ632" s="17">
        <f t="shared" si="94"/>
        <v>11099</v>
      </c>
      <c r="CK632" s="3" t="str">
        <f t="shared" si="95"/>
        <v>برنامج دولى</v>
      </c>
    </row>
    <row r="633" spans="4:89" x14ac:dyDescent="0.25">
      <c r="D633" s="17">
        <v>18054</v>
      </c>
      <c r="E633" s="17">
        <v>11100</v>
      </c>
      <c r="F633" s="3" t="s">
        <v>78</v>
      </c>
      <c r="G633" s="3" t="s">
        <v>359</v>
      </c>
      <c r="I633" s="3">
        <v>4015.37</v>
      </c>
      <c r="AU633" s="22">
        <f t="shared" si="91"/>
        <v>4015.37</v>
      </c>
      <c r="AV633" s="3">
        <v>3321.17</v>
      </c>
      <c r="AW633" s="3">
        <v>407</v>
      </c>
      <c r="AX633" s="3">
        <v>287.2</v>
      </c>
      <c r="CH633" s="22">
        <f t="shared" si="92"/>
        <v>4015.37</v>
      </c>
      <c r="CI633" s="3">
        <f t="shared" si="93"/>
        <v>0</v>
      </c>
      <c r="CJ633" s="17">
        <f t="shared" si="94"/>
        <v>11100</v>
      </c>
      <c r="CK633" s="3" t="str">
        <f t="shared" si="95"/>
        <v>برنامج دولى</v>
      </c>
    </row>
    <row r="634" spans="4:89" x14ac:dyDescent="0.25">
      <c r="D634" s="17">
        <v>18053</v>
      </c>
      <c r="E634" s="17">
        <v>11101</v>
      </c>
      <c r="F634" s="3" t="s">
        <v>78</v>
      </c>
      <c r="G634" s="3" t="s">
        <v>359</v>
      </c>
      <c r="I634" s="3">
        <v>1266.32</v>
      </c>
      <c r="AU634" s="22">
        <f t="shared" si="91"/>
        <v>1266.32</v>
      </c>
      <c r="AV634" s="3">
        <v>848.2</v>
      </c>
      <c r="AW634" s="3">
        <v>113</v>
      </c>
      <c r="AX634" s="3">
        <v>305.12</v>
      </c>
      <c r="CH634" s="22">
        <f t="shared" si="92"/>
        <v>1266.3200000000002</v>
      </c>
      <c r="CI634" s="3">
        <f t="shared" si="93"/>
        <v>0</v>
      </c>
      <c r="CJ634" s="17">
        <f t="shared" si="94"/>
        <v>11101</v>
      </c>
      <c r="CK634" s="3" t="str">
        <f t="shared" si="95"/>
        <v>برنامج دولى</v>
      </c>
    </row>
    <row r="635" spans="4:89" x14ac:dyDescent="0.25">
      <c r="D635" s="17">
        <v>18052</v>
      </c>
      <c r="E635" s="17">
        <v>11102</v>
      </c>
      <c r="F635" s="3" t="s">
        <v>78</v>
      </c>
      <c r="G635" s="3" t="s">
        <v>359</v>
      </c>
      <c r="I635" s="3">
        <v>633.16</v>
      </c>
      <c r="AU635" s="22">
        <f t="shared" si="91"/>
        <v>633.16</v>
      </c>
      <c r="AV635" s="3">
        <v>424.1</v>
      </c>
      <c r="AW635" s="3">
        <v>56.5</v>
      </c>
      <c r="AX635" s="3">
        <v>152.56</v>
      </c>
      <c r="CH635" s="22">
        <f t="shared" si="92"/>
        <v>633.16000000000008</v>
      </c>
      <c r="CI635" s="3">
        <f t="shared" si="93"/>
        <v>0</v>
      </c>
      <c r="CJ635" s="17">
        <f t="shared" si="94"/>
        <v>11102</v>
      </c>
      <c r="CK635" s="3" t="str">
        <f t="shared" si="95"/>
        <v>برنامج دولى</v>
      </c>
    </row>
    <row r="636" spans="4:89" x14ac:dyDescent="0.25">
      <c r="D636" s="17">
        <v>18051</v>
      </c>
      <c r="E636" s="17">
        <v>11103</v>
      </c>
      <c r="F636" s="3" t="s">
        <v>78</v>
      </c>
      <c r="G636" s="3" t="s">
        <v>359</v>
      </c>
      <c r="I636" s="3">
        <v>492.45</v>
      </c>
      <c r="AU636" s="22">
        <f t="shared" si="91"/>
        <v>492.45</v>
      </c>
      <c r="AV636" s="3">
        <v>329.7</v>
      </c>
      <c r="AW636" s="3">
        <v>44.1</v>
      </c>
      <c r="AX636" s="3">
        <v>118.65</v>
      </c>
      <c r="CH636" s="22">
        <f t="shared" si="92"/>
        <v>492.45000000000005</v>
      </c>
      <c r="CI636" s="3">
        <f t="shared" si="93"/>
        <v>0</v>
      </c>
      <c r="CJ636" s="17">
        <f t="shared" si="94"/>
        <v>11103</v>
      </c>
      <c r="CK636" s="3" t="str">
        <f t="shared" si="95"/>
        <v>برنامج دولى</v>
      </c>
    </row>
    <row r="637" spans="4:89" x14ac:dyDescent="0.25">
      <c r="D637" s="17">
        <v>18203</v>
      </c>
      <c r="E637" s="17">
        <v>11104</v>
      </c>
      <c r="F637" s="3" t="s">
        <v>78</v>
      </c>
      <c r="G637" s="3" t="str">
        <f>+G632</f>
        <v>عب تدريس ميكروبيولوجى</v>
      </c>
      <c r="I637" s="3">
        <v>2532.6</v>
      </c>
      <c r="AU637" s="22">
        <f t="shared" si="91"/>
        <v>2532.6</v>
      </c>
      <c r="AV637" s="3">
        <v>1693</v>
      </c>
      <c r="AW637" s="3">
        <v>229.4</v>
      </c>
      <c r="AX637" s="3">
        <v>610.20000000000005</v>
      </c>
      <c r="CH637" s="22">
        <f t="shared" si="92"/>
        <v>2532.6000000000004</v>
      </c>
      <c r="CI637" s="3">
        <f t="shared" si="93"/>
        <v>0</v>
      </c>
      <c r="CJ637" s="17">
        <f t="shared" si="94"/>
        <v>11104</v>
      </c>
      <c r="CK637" s="3" t="str">
        <f t="shared" si="95"/>
        <v>برنامج دولى</v>
      </c>
    </row>
    <row r="638" spans="4:89" x14ac:dyDescent="0.25">
      <c r="D638" s="17">
        <v>18204</v>
      </c>
      <c r="E638" s="17">
        <v>11105</v>
      </c>
      <c r="F638" s="3" t="s">
        <v>78</v>
      </c>
      <c r="G638" s="3" t="str">
        <f>+G637</f>
        <v>عب تدريس ميكروبيولوجى</v>
      </c>
      <c r="I638" s="3">
        <v>562.79999999999995</v>
      </c>
      <c r="AU638" s="22">
        <f t="shared" si="91"/>
        <v>562.79999999999995</v>
      </c>
      <c r="AV638" s="3">
        <v>377.45</v>
      </c>
      <c r="AW638" s="3">
        <v>49.75</v>
      </c>
      <c r="AX638" s="3">
        <v>135.6</v>
      </c>
      <c r="CH638" s="22">
        <f t="shared" si="92"/>
        <v>562.79999999999995</v>
      </c>
      <c r="CI638" s="3">
        <f t="shared" si="93"/>
        <v>0</v>
      </c>
      <c r="CJ638" s="17">
        <f t="shared" si="94"/>
        <v>11105</v>
      </c>
      <c r="CK638" s="3" t="str">
        <f t="shared" si="95"/>
        <v>برنامج دولى</v>
      </c>
    </row>
    <row r="639" spans="4:89" x14ac:dyDescent="0.25">
      <c r="D639" s="17">
        <v>18202</v>
      </c>
      <c r="E639" s="17">
        <v>11106</v>
      </c>
      <c r="F639" s="3" t="s">
        <v>78</v>
      </c>
      <c r="G639" s="3" t="str">
        <f>+G638</f>
        <v>عب تدريس ميكروبيولوجى</v>
      </c>
      <c r="I639" s="3">
        <v>23599.37</v>
      </c>
      <c r="AU639" s="22">
        <f t="shared" si="91"/>
        <v>23599.37</v>
      </c>
      <c r="AV639" s="3">
        <v>19719.259999999998</v>
      </c>
      <c r="AW639" s="3">
        <v>2423.6</v>
      </c>
      <c r="AX639" s="3">
        <v>1456.51</v>
      </c>
      <c r="CH639" s="22">
        <f t="shared" si="92"/>
        <v>23599.369999999995</v>
      </c>
      <c r="CI639" s="3">
        <f t="shared" si="93"/>
        <v>0</v>
      </c>
      <c r="CJ639" s="17">
        <f t="shared" si="94"/>
        <v>11106</v>
      </c>
      <c r="CK639" s="3" t="str">
        <f t="shared" si="95"/>
        <v>برنامج دولى</v>
      </c>
    </row>
    <row r="640" spans="4:89" x14ac:dyDescent="0.25">
      <c r="D640" s="17">
        <v>18205</v>
      </c>
      <c r="E640" s="17">
        <v>11107</v>
      </c>
      <c r="F640" s="3" t="s">
        <v>78</v>
      </c>
      <c r="G640" s="3" t="s">
        <v>360</v>
      </c>
      <c r="I640" s="3">
        <v>253098.28</v>
      </c>
      <c r="AU640" s="22">
        <f t="shared" si="91"/>
        <v>253098.28</v>
      </c>
      <c r="AV640" s="3">
        <v>218488.37</v>
      </c>
      <c r="AW640" s="3">
        <v>26768.2</v>
      </c>
      <c r="AX640" s="3">
        <v>7841.71</v>
      </c>
      <c r="CH640" s="22">
        <f t="shared" si="92"/>
        <v>253098.28</v>
      </c>
      <c r="CI640" s="3">
        <f t="shared" si="93"/>
        <v>0</v>
      </c>
      <c r="CJ640" s="17">
        <f t="shared" si="94"/>
        <v>11107</v>
      </c>
      <c r="CK640" s="3" t="str">
        <f t="shared" si="95"/>
        <v>برنامج دولى</v>
      </c>
    </row>
    <row r="641" spans="3:89" x14ac:dyDescent="0.25">
      <c r="D641" s="17">
        <v>18206</v>
      </c>
      <c r="E641" s="17">
        <v>11108</v>
      </c>
      <c r="F641" s="3" t="s">
        <v>78</v>
      </c>
      <c r="G641" s="3" t="s">
        <v>360</v>
      </c>
      <c r="I641" s="3">
        <v>10927.7</v>
      </c>
      <c r="AU641" s="22">
        <f t="shared" si="91"/>
        <v>10927.7</v>
      </c>
      <c r="AV641" s="3">
        <v>7302.4</v>
      </c>
      <c r="AW641" s="3">
        <v>992.4</v>
      </c>
      <c r="AX641" s="3">
        <v>2632.9</v>
      </c>
      <c r="CH641" s="22">
        <f t="shared" si="92"/>
        <v>10927.699999999999</v>
      </c>
      <c r="CI641" s="3">
        <f t="shared" si="93"/>
        <v>0</v>
      </c>
      <c r="CJ641" s="17">
        <f t="shared" si="94"/>
        <v>11108</v>
      </c>
      <c r="CK641" s="3" t="str">
        <f t="shared" si="95"/>
        <v>برنامج دولى</v>
      </c>
    </row>
    <row r="642" spans="3:89" x14ac:dyDescent="0.25">
      <c r="D642" s="17">
        <v>18207</v>
      </c>
      <c r="E642" s="17">
        <v>11109</v>
      </c>
      <c r="F642" s="3" t="s">
        <v>78</v>
      </c>
      <c r="G642" s="3" t="s">
        <v>360</v>
      </c>
      <c r="I642" s="3">
        <v>31039.37</v>
      </c>
      <c r="AU642" s="22">
        <f t="shared" si="91"/>
        <v>31039.37</v>
      </c>
      <c r="AV642" s="3">
        <v>22182.05</v>
      </c>
      <c r="AW642" s="3">
        <v>2929.95</v>
      </c>
      <c r="AX642" s="3">
        <v>5927.37</v>
      </c>
      <c r="CH642" s="22">
        <f t="shared" si="92"/>
        <v>31039.37</v>
      </c>
      <c r="CI642" s="3">
        <f t="shared" si="93"/>
        <v>0</v>
      </c>
      <c r="CJ642" s="17">
        <f t="shared" si="94"/>
        <v>11109</v>
      </c>
      <c r="CK642" s="3" t="str">
        <f t="shared" si="95"/>
        <v>برنامج دولى</v>
      </c>
    </row>
    <row r="643" spans="3:89" x14ac:dyDescent="0.25">
      <c r="C643" s="3"/>
      <c r="D643" s="17">
        <v>18208</v>
      </c>
      <c r="E643" s="17">
        <v>11110</v>
      </c>
      <c r="F643" s="3" t="s">
        <v>78</v>
      </c>
      <c r="G643" s="3" t="s">
        <v>361</v>
      </c>
      <c r="I643" s="3">
        <v>1375</v>
      </c>
      <c r="AU643" s="22">
        <f t="shared" si="91"/>
        <v>1375</v>
      </c>
      <c r="AV643" s="3">
        <v>1228.55</v>
      </c>
      <c r="AW643" s="3">
        <v>146.44999999999999</v>
      </c>
      <c r="CH643" s="22">
        <f t="shared" si="92"/>
        <v>1375</v>
      </c>
      <c r="CI643" s="3">
        <f t="shared" si="93"/>
        <v>0</v>
      </c>
      <c r="CJ643" s="17">
        <f t="shared" si="94"/>
        <v>11110</v>
      </c>
      <c r="CK643" s="3" t="str">
        <f t="shared" si="95"/>
        <v>برنامج دولى</v>
      </c>
    </row>
    <row r="644" spans="3:89" x14ac:dyDescent="0.25">
      <c r="D644" s="17">
        <v>18050</v>
      </c>
      <c r="E644" s="17">
        <v>11111</v>
      </c>
      <c r="F644" s="3" t="s">
        <v>78</v>
      </c>
      <c r="G644" s="3" t="s">
        <v>362</v>
      </c>
      <c r="I644" s="3">
        <v>16050.91</v>
      </c>
      <c r="AU644" s="22">
        <f t="shared" si="91"/>
        <v>16050.91</v>
      </c>
      <c r="AV644" s="3">
        <v>14236.94</v>
      </c>
      <c r="AW644" s="3">
        <v>1722.08</v>
      </c>
      <c r="AX644" s="3">
        <v>91.89</v>
      </c>
      <c r="CH644" s="22">
        <f t="shared" si="92"/>
        <v>16050.91</v>
      </c>
      <c r="CI644" s="3">
        <f t="shared" si="93"/>
        <v>0</v>
      </c>
      <c r="CJ644" s="17">
        <f t="shared" si="94"/>
        <v>11111</v>
      </c>
      <c r="CK644" s="3" t="str">
        <f t="shared" si="95"/>
        <v>برنامج دولى</v>
      </c>
    </row>
    <row r="645" spans="3:89" x14ac:dyDescent="0.25">
      <c r="D645" s="17">
        <v>18492</v>
      </c>
      <c r="E645" s="17">
        <v>11112</v>
      </c>
      <c r="F645" s="3" t="s">
        <v>78</v>
      </c>
      <c r="G645" s="3" t="s">
        <v>363</v>
      </c>
      <c r="I645" s="3">
        <v>1838.11</v>
      </c>
      <c r="AU645" s="22">
        <f t="shared" si="91"/>
        <v>1838.11</v>
      </c>
      <c r="AV645" s="3">
        <v>1640.85</v>
      </c>
      <c r="AW645" s="3">
        <f>13.45+183.81</f>
        <v>197.26</v>
      </c>
      <c r="CH645" s="22">
        <f t="shared" si="92"/>
        <v>1838.11</v>
      </c>
      <c r="CI645" s="3">
        <f t="shared" si="93"/>
        <v>0</v>
      </c>
      <c r="CJ645" s="17">
        <f t="shared" si="94"/>
        <v>11112</v>
      </c>
      <c r="CK645" s="3" t="str">
        <f t="shared" si="95"/>
        <v>برنامج دولى</v>
      </c>
    </row>
    <row r="646" spans="3:89" x14ac:dyDescent="0.25">
      <c r="D646" s="17">
        <v>18495</v>
      </c>
      <c r="E646" s="17">
        <v>11113</v>
      </c>
      <c r="F646" s="3" t="s">
        <v>78</v>
      </c>
      <c r="G646" s="3" t="s">
        <v>364</v>
      </c>
      <c r="I646" s="3">
        <v>1245.3800000000001</v>
      </c>
      <c r="AU646" s="22">
        <f t="shared" si="91"/>
        <v>1245.3800000000001</v>
      </c>
      <c r="AV646" s="3">
        <v>1111.8499999999999</v>
      </c>
      <c r="AW646" s="3">
        <f>9+124.53</f>
        <v>133.53</v>
      </c>
      <c r="CH646" s="22">
        <f t="shared" si="92"/>
        <v>1245.3799999999999</v>
      </c>
      <c r="CI646" s="3">
        <f t="shared" si="93"/>
        <v>0</v>
      </c>
      <c r="CJ646" s="17">
        <f t="shared" si="94"/>
        <v>11113</v>
      </c>
      <c r="CK646" s="3" t="str">
        <f t="shared" si="95"/>
        <v>برنامج دولى</v>
      </c>
    </row>
    <row r="647" spans="3:89" x14ac:dyDescent="0.25">
      <c r="D647" s="17">
        <v>18065</v>
      </c>
      <c r="E647" s="17">
        <v>11114</v>
      </c>
      <c r="F647" s="3" t="s">
        <v>78</v>
      </c>
      <c r="G647" s="3" t="s">
        <v>365</v>
      </c>
      <c r="I647" s="3">
        <v>1213.78</v>
      </c>
      <c r="AU647" s="22">
        <f t="shared" si="91"/>
        <v>1213.78</v>
      </c>
      <c r="AV647" s="3">
        <v>1083.6500000000001</v>
      </c>
      <c r="AW647" s="3">
        <f>8.75+121.38</f>
        <v>130.13</v>
      </c>
      <c r="CH647" s="22">
        <f t="shared" si="92"/>
        <v>1213.7800000000002</v>
      </c>
      <c r="CI647" s="3">
        <f t="shared" si="93"/>
        <v>0</v>
      </c>
      <c r="CJ647" s="17">
        <f t="shared" si="94"/>
        <v>11114</v>
      </c>
      <c r="CK647" s="3" t="str">
        <f t="shared" si="95"/>
        <v>برنامج دولى</v>
      </c>
    </row>
    <row r="648" spans="3:89" x14ac:dyDescent="0.25">
      <c r="D648" s="17">
        <v>18067</v>
      </c>
      <c r="E648" s="17">
        <v>11115</v>
      </c>
      <c r="F648" s="3" t="s">
        <v>78</v>
      </c>
      <c r="G648" s="3" t="s">
        <v>366</v>
      </c>
      <c r="I648" s="3">
        <v>1203.55</v>
      </c>
      <c r="AU648" s="22">
        <f t="shared" si="91"/>
        <v>1203.55</v>
      </c>
      <c r="AV648" s="3">
        <v>1074.55</v>
      </c>
      <c r="AW648" s="3">
        <v>129</v>
      </c>
      <c r="CH648" s="22">
        <f t="shared" si="92"/>
        <v>1203.55</v>
      </c>
      <c r="CI648" s="3">
        <f t="shared" si="93"/>
        <v>0</v>
      </c>
      <c r="CJ648" s="17">
        <f t="shared" si="94"/>
        <v>11115</v>
      </c>
      <c r="CK648" s="3" t="str">
        <f t="shared" si="95"/>
        <v>برنامج دولى</v>
      </c>
    </row>
    <row r="649" spans="3:89" x14ac:dyDescent="0.25">
      <c r="C649" s="17" t="s">
        <v>367</v>
      </c>
      <c r="D649" s="17">
        <v>17775</v>
      </c>
      <c r="E649" s="17">
        <v>11116</v>
      </c>
      <c r="F649" s="3" t="s">
        <v>121</v>
      </c>
      <c r="G649" s="3" t="s">
        <v>368</v>
      </c>
      <c r="I649" s="3">
        <v>44265.4</v>
      </c>
      <c r="AU649" s="22">
        <f t="shared" si="91"/>
        <v>44265.4</v>
      </c>
      <c r="AV649" s="3">
        <v>28990.93</v>
      </c>
      <c r="AW649" s="3">
        <v>4869.0600000000004</v>
      </c>
      <c r="AX649" s="3">
        <v>10405.41</v>
      </c>
      <c r="CH649" s="22">
        <f t="shared" si="92"/>
        <v>44265.399999999994</v>
      </c>
      <c r="CI649" s="3">
        <f t="shared" si="93"/>
        <v>0</v>
      </c>
      <c r="CJ649" s="17">
        <f t="shared" si="94"/>
        <v>11116</v>
      </c>
      <c r="CK649" s="3" t="str">
        <f t="shared" si="95"/>
        <v>ماليزى اسنان</v>
      </c>
    </row>
    <row r="650" spans="3:89" x14ac:dyDescent="0.25">
      <c r="C650" s="17" t="s">
        <v>367</v>
      </c>
      <c r="D650" s="17">
        <v>17776</v>
      </c>
      <c r="E650" s="17">
        <v>11117</v>
      </c>
      <c r="F650" s="3" t="s">
        <v>121</v>
      </c>
      <c r="G650" s="3" t="s">
        <v>368</v>
      </c>
      <c r="I650" s="3">
        <v>497.3</v>
      </c>
      <c r="AU650" s="22">
        <f t="shared" ref="AU650:AU662" si="96">SUM(I650:AS650)</f>
        <v>497.3</v>
      </c>
      <c r="AV650" s="3">
        <v>333.27</v>
      </c>
      <c r="AW650" s="3">
        <v>44.21</v>
      </c>
      <c r="AX650" s="3">
        <v>119.82</v>
      </c>
      <c r="CH650" s="22">
        <f t="shared" ref="CH650:CH681" si="97">SUM(AV650:CG650)</f>
        <v>497.29999999999995</v>
      </c>
      <c r="CI650" s="3">
        <f t="shared" ref="CI650:CI681" si="98">+CH650-AU650</f>
        <v>0</v>
      </c>
      <c r="CJ650" s="17">
        <f t="shared" ref="CJ650:CJ681" si="99">+E650</f>
        <v>11117</v>
      </c>
      <c r="CK650" s="3" t="str">
        <f t="shared" ref="CK650:CK681" si="100">+F650</f>
        <v>ماليزى اسنان</v>
      </c>
    </row>
    <row r="651" spans="3:89" x14ac:dyDescent="0.25">
      <c r="C651" s="17" t="s">
        <v>367</v>
      </c>
      <c r="D651" s="17">
        <v>17778</v>
      </c>
      <c r="E651" s="17">
        <v>11118</v>
      </c>
      <c r="F651" s="3" t="s">
        <v>121</v>
      </c>
      <c r="G651" s="3" t="s">
        <v>368</v>
      </c>
      <c r="I651" s="3">
        <v>568.4</v>
      </c>
      <c r="AU651" s="22">
        <f t="shared" si="96"/>
        <v>568.4</v>
      </c>
      <c r="AV651" s="3">
        <v>422.51</v>
      </c>
      <c r="AW651" s="3">
        <v>83.95</v>
      </c>
      <c r="AX651" s="3">
        <v>61.94</v>
      </c>
      <c r="CH651" s="22">
        <f t="shared" si="97"/>
        <v>568.4</v>
      </c>
      <c r="CI651" s="3">
        <f t="shared" si="98"/>
        <v>0</v>
      </c>
      <c r="CJ651" s="17">
        <f t="shared" si="99"/>
        <v>11118</v>
      </c>
      <c r="CK651" s="3" t="str">
        <f t="shared" si="100"/>
        <v>ماليزى اسنان</v>
      </c>
    </row>
    <row r="652" spans="3:89" x14ac:dyDescent="0.25">
      <c r="C652" s="17" t="s">
        <v>367</v>
      </c>
      <c r="D652" s="17">
        <v>15319</v>
      </c>
      <c r="E652" s="17">
        <v>11119</v>
      </c>
      <c r="F652" s="3" t="s">
        <v>121</v>
      </c>
      <c r="G652" s="3" t="s">
        <v>369</v>
      </c>
      <c r="I652" s="3">
        <v>15064.1</v>
      </c>
      <c r="AU652" s="22">
        <f t="shared" si="96"/>
        <v>15064.1</v>
      </c>
      <c r="AV652" s="3">
        <v>10037.200000000001</v>
      </c>
      <c r="AW652" s="3">
        <v>1747.36</v>
      </c>
      <c r="AX652" s="3">
        <v>3279.54</v>
      </c>
      <c r="CH652" s="22">
        <f t="shared" si="97"/>
        <v>15064.100000000002</v>
      </c>
      <c r="CI652" s="3">
        <f t="shared" si="98"/>
        <v>0</v>
      </c>
      <c r="CJ652" s="17">
        <f t="shared" si="99"/>
        <v>11119</v>
      </c>
      <c r="CK652" s="3" t="str">
        <f t="shared" si="100"/>
        <v>ماليزى اسنان</v>
      </c>
    </row>
    <row r="653" spans="3:89" x14ac:dyDescent="0.25">
      <c r="C653" s="17" t="s">
        <v>367</v>
      </c>
      <c r="D653" s="17">
        <v>17958</v>
      </c>
      <c r="E653" s="17">
        <v>11120</v>
      </c>
      <c r="F653" s="3" t="s">
        <v>121</v>
      </c>
      <c r="G653" s="3" t="s">
        <v>369</v>
      </c>
      <c r="I653" s="3">
        <v>523.16</v>
      </c>
      <c r="AU653" s="22">
        <f t="shared" si="96"/>
        <v>523.16</v>
      </c>
      <c r="AV653" s="3">
        <v>350.6</v>
      </c>
      <c r="AW653" s="3">
        <v>46.52</v>
      </c>
      <c r="AX653" s="3">
        <v>126.04</v>
      </c>
      <c r="CH653" s="22">
        <f t="shared" si="97"/>
        <v>523.16</v>
      </c>
      <c r="CI653" s="3">
        <f t="shared" si="98"/>
        <v>0</v>
      </c>
      <c r="CJ653" s="17">
        <f t="shared" si="99"/>
        <v>11120</v>
      </c>
      <c r="CK653" s="3" t="str">
        <f t="shared" si="100"/>
        <v>ماليزى اسنان</v>
      </c>
    </row>
    <row r="654" spans="3:89" x14ac:dyDescent="0.25">
      <c r="C654" s="17" t="s">
        <v>367</v>
      </c>
      <c r="D654" s="17">
        <v>15344</v>
      </c>
      <c r="E654" s="17">
        <v>11121</v>
      </c>
      <c r="F654" s="3" t="s">
        <v>121</v>
      </c>
      <c r="G654" s="3" t="s">
        <v>370</v>
      </c>
      <c r="I654" s="3">
        <v>2293.16</v>
      </c>
      <c r="AU654" s="22">
        <f t="shared" si="96"/>
        <v>2293.16</v>
      </c>
      <c r="AV654" s="3">
        <v>1534.83</v>
      </c>
      <c r="AW654" s="3">
        <v>205.81</v>
      </c>
      <c r="AX654" s="3">
        <v>552.52</v>
      </c>
      <c r="CH654" s="22">
        <f t="shared" si="97"/>
        <v>2293.16</v>
      </c>
      <c r="CI654" s="3">
        <f t="shared" si="98"/>
        <v>0</v>
      </c>
      <c r="CJ654" s="17">
        <f t="shared" si="99"/>
        <v>11121</v>
      </c>
      <c r="CK654" s="3" t="str">
        <f t="shared" si="100"/>
        <v>ماليزى اسنان</v>
      </c>
    </row>
    <row r="655" spans="3:89" ht="31.5" x14ac:dyDescent="0.25">
      <c r="D655" s="17">
        <v>18189</v>
      </c>
      <c r="E655" s="17">
        <v>11122</v>
      </c>
      <c r="F655" s="3" t="s">
        <v>121</v>
      </c>
      <c r="G655" s="9" t="s">
        <v>371</v>
      </c>
      <c r="T655" s="3">
        <v>108000</v>
      </c>
      <c r="AU655" s="22">
        <f t="shared" si="96"/>
        <v>108000</v>
      </c>
      <c r="AV655" s="3">
        <v>108000</v>
      </c>
      <c r="CH655" s="22">
        <f t="shared" si="97"/>
        <v>108000</v>
      </c>
      <c r="CI655" s="3">
        <f t="shared" si="98"/>
        <v>0</v>
      </c>
      <c r="CJ655" s="17">
        <f t="shared" si="99"/>
        <v>11122</v>
      </c>
      <c r="CK655" s="3" t="str">
        <f t="shared" si="100"/>
        <v>ماليزى اسنان</v>
      </c>
    </row>
    <row r="656" spans="3:89" ht="31.5" x14ac:dyDescent="0.25">
      <c r="C656" s="3"/>
      <c r="D656" s="17">
        <v>17272</v>
      </c>
      <c r="E656" s="17">
        <v>11123</v>
      </c>
      <c r="F656" s="3" t="s">
        <v>121</v>
      </c>
      <c r="G656" s="9" t="s">
        <v>372</v>
      </c>
      <c r="J656" s="3">
        <v>2500</v>
      </c>
      <c r="AU656" s="22">
        <f t="shared" si="96"/>
        <v>2500</v>
      </c>
      <c r="AV656" s="3">
        <v>2190.3000000000002</v>
      </c>
      <c r="AW656" s="3">
        <f>36.75+110.25+34.2</f>
        <v>181.2</v>
      </c>
      <c r="AY656" s="3">
        <v>5</v>
      </c>
      <c r="BK656" s="3">
        <v>25</v>
      </c>
      <c r="BL656" s="3">
        <v>76</v>
      </c>
      <c r="BM656" s="3">
        <f>11.25*2</f>
        <v>22.5</v>
      </c>
      <c r="CH656" s="22">
        <f t="shared" si="97"/>
        <v>2500</v>
      </c>
      <c r="CI656" s="3">
        <f t="shared" si="98"/>
        <v>0</v>
      </c>
      <c r="CJ656" s="17">
        <f t="shared" si="99"/>
        <v>11123</v>
      </c>
      <c r="CK656" s="3" t="str">
        <f t="shared" si="100"/>
        <v>ماليزى اسنان</v>
      </c>
    </row>
    <row r="657" spans="3:89" ht="31.5" x14ac:dyDescent="0.25">
      <c r="D657" s="17">
        <v>17553</v>
      </c>
      <c r="E657" s="17">
        <v>11124</v>
      </c>
      <c r="F657" s="3" t="s">
        <v>121</v>
      </c>
      <c r="G657" s="9" t="s">
        <v>373</v>
      </c>
      <c r="J657" s="3">
        <v>78000</v>
      </c>
      <c r="AU657" s="22">
        <f t="shared" si="96"/>
        <v>78000</v>
      </c>
      <c r="AV657" s="3">
        <v>70637.75</v>
      </c>
      <c r="AW657" s="3">
        <f>510.25+1530.75+36</f>
        <v>2077</v>
      </c>
      <c r="AY657" s="3">
        <v>5</v>
      </c>
      <c r="BK657" s="3">
        <v>684.25</v>
      </c>
      <c r="BL657" s="3">
        <v>80</v>
      </c>
      <c r="BM657" s="3">
        <f>308*2</f>
        <v>616</v>
      </c>
      <c r="BN657" s="3">
        <v>3900</v>
      </c>
      <c r="CH657" s="22">
        <f t="shared" si="97"/>
        <v>78000</v>
      </c>
      <c r="CI657" s="3">
        <f t="shared" si="98"/>
        <v>0</v>
      </c>
      <c r="CJ657" s="17">
        <f t="shared" si="99"/>
        <v>11124</v>
      </c>
      <c r="CK657" s="3" t="str">
        <f t="shared" si="100"/>
        <v>ماليزى اسنان</v>
      </c>
    </row>
    <row r="658" spans="3:89" ht="31.5" x14ac:dyDescent="0.25">
      <c r="C658" s="17" t="s">
        <v>374</v>
      </c>
      <c r="D658" s="17">
        <v>18383</v>
      </c>
      <c r="E658" s="17">
        <v>11125</v>
      </c>
      <c r="F658" s="3" t="s">
        <v>121</v>
      </c>
      <c r="G658" s="9" t="s">
        <v>375</v>
      </c>
      <c r="J658" s="3">
        <v>298000</v>
      </c>
      <c r="AU658" s="22">
        <f t="shared" si="96"/>
        <v>298000</v>
      </c>
      <c r="AV658" s="3">
        <v>268333.90000000002</v>
      </c>
      <c r="AW658" s="3">
        <f>1802.75+5408.25+70</f>
        <v>7281</v>
      </c>
      <c r="AY658" s="3">
        <v>5</v>
      </c>
      <c r="BJ658" s="3">
        <v>1351.5</v>
      </c>
      <c r="BK658" s="3">
        <v>2838.1</v>
      </c>
      <c r="BL658" s="3">
        <v>156</v>
      </c>
      <c r="BM658" s="3">
        <f>1277.25*2</f>
        <v>2554.5</v>
      </c>
      <c r="BO658" s="3">
        <v>14900</v>
      </c>
      <c r="CG658" s="201">
        <f>200+180+200</f>
        <v>580</v>
      </c>
      <c r="CH658" s="22">
        <f t="shared" si="97"/>
        <v>298000</v>
      </c>
      <c r="CI658" s="3">
        <f t="shared" si="98"/>
        <v>0</v>
      </c>
      <c r="CJ658" s="17">
        <f t="shared" si="99"/>
        <v>11125</v>
      </c>
      <c r="CK658" s="3" t="str">
        <f t="shared" si="100"/>
        <v>ماليزى اسنان</v>
      </c>
    </row>
    <row r="659" spans="3:89" x14ac:dyDescent="0.25">
      <c r="D659" s="17">
        <v>17943</v>
      </c>
      <c r="E659" s="17">
        <v>11126</v>
      </c>
      <c r="F659" s="3" t="s">
        <v>132</v>
      </c>
      <c r="G659" s="3" t="s">
        <v>376</v>
      </c>
      <c r="J659" s="3">
        <v>16550</v>
      </c>
      <c r="AU659" s="22">
        <f t="shared" si="96"/>
        <v>16550</v>
      </c>
      <c r="AV659" s="3">
        <v>14721.95</v>
      </c>
      <c r="AW659" s="3">
        <f>199.5+598.65+9.9</f>
        <v>808.05</v>
      </c>
      <c r="AY659" s="3">
        <v>5</v>
      </c>
      <c r="BK659" s="3">
        <v>165.5</v>
      </c>
      <c r="BL659" s="3">
        <v>22</v>
      </c>
      <c r="BO659" s="3">
        <v>827.5</v>
      </c>
      <c r="CH659" s="22">
        <f t="shared" si="97"/>
        <v>16550</v>
      </c>
      <c r="CI659" s="3">
        <f t="shared" si="98"/>
        <v>0</v>
      </c>
      <c r="CJ659" s="17">
        <f t="shared" si="99"/>
        <v>11126</v>
      </c>
      <c r="CK659" s="3" t="str">
        <f t="shared" si="100"/>
        <v>صيدلة اكلينيكى</v>
      </c>
    </row>
    <row r="660" spans="3:89" x14ac:dyDescent="0.25">
      <c r="D660" s="17">
        <v>18355</v>
      </c>
      <c r="E660" s="17">
        <v>11127</v>
      </c>
      <c r="F660" s="3" t="s">
        <v>78</v>
      </c>
      <c r="G660" s="3" t="s">
        <v>377</v>
      </c>
      <c r="J660" s="3">
        <v>640</v>
      </c>
      <c r="AU660" s="22">
        <f t="shared" si="96"/>
        <v>640</v>
      </c>
      <c r="AV660" s="3">
        <v>640</v>
      </c>
      <c r="CH660" s="22">
        <f t="shared" si="97"/>
        <v>640</v>
      </c>
      <c r="CI660" s="3">
        <f t="shared" si="98"/>
        <v>0</v>
      </c>
      <c r="CJ660" s="17">
        <f t="shared" si="99"/>
        <v>11127</v>
      </c>
      <c r="CK660" s="3" t="str">
        <f t="shared" si="100"/>
        <v>برنامج دولى</v>
      </c>
    </row>
    <row r="661" spans="3:89" x14ac:dyDescent="0.25">
      <c r="C661" s="3"/>
      <c r="D661" s="17">
        <v>18360</v>
      </c>
      <c r="E661" s="17">
        <v>11128</v>
      </c>
      <c r="F661" s="3" t="s">
        <v>78</v>
      </c>
      <c r="G661" s="3" t="s">
        <v>378</v>
      </c>
      <c r="J661" s="3">
        <v>200</v>
      </c>
      <c r="AU661" s="22">
        <f t="shared" si="96"/>
        <v>200</v>
      </c>
      <c r="AV661" s="3">
        <v>200</v>
      </c>
      <c r="CH661" s="22">
        <f t="shared" si="97"/>
        <v>200</v>
      </c>
      <c r="CI661" s="3">
        <f t="shared" si="98"/>
        <v>0</v>
      </c>
      <c r="CJ661" s="17">
        <f t="shared" si="99"/>
        <v>11128</v>
      </c>
      <c r="CK661" s="3" t="str">
        <f t="shared" si="100"/>
        <v>برنامج دولى</v>
      </c>
    </row>
    <row r="662" spans="3:89" x14ac:dyDescent="0.25">
      <c r="D662" s="17">
        <v>18359</v>
      </c>
      <c r="E662" s="17">
        <v>11129</v>
      </c>
      <c r="F662" s="3" t="s">
        <v>78</v>
      </c>
      <c r="G662" s="3" t="s">
        <v>379</v>
      </c>
      <c r="J662" s="3">
        <v>480</v>
      </c>
      <c r="AU662" s="22">
        <f t="shared" si="96"/>
        <v>480</v>
      </c>
      <c r="AV662" s="3">
        <v>480</v>
      </c>
      <c r="CH662" s="22">
        <f t="shared" si="97"/>
        <v>480</v>
      </c>
      <c r="CI662" s="3">
        <f t="shared" si="98"/>
        <v>0</v>
      </c>
      <c r="CJ662" s="17">
        <f t="shared" si="99"/>
        <v>11129</v>
      </c>
      <c r="CK662" s="3" t="str">
        <f t="shared" si="100"/>
        <v>برنامج دولى</v>
      </c>
    </row>
    <row r="663" spans="3:89" x14ac:dyDescent="0.25">
      <c r="E663" s="17">
        <v>11130</v>
      </c>
      <c r="F663" s="3" t="s">
        <v>332</v>
      </c>
      <c r="G663" s="3" t="s">
        <v>380</v>
      </c>
      <c r="CH663" s="22">
        <f t="shared" si="97"/>
        <v>0</v>
      </c>
      <c r="CI663" s="3">
        <f t="shared" si="98"/>
        <v>0</v>
      </c>
      <c r="CJ663" s="17">
        <f t="shared" si="99"/>
        <v>11130</v>
      </c>
      <c r="CK663" s="3" t="str">
        <f t="shared" si="100"/>
        <v xml:space="preserve">لاب فقط </v>
      </c>
    </row>
    <row r="664" spans="3:89" x14ac:dyDescent="0.25">
      <c r="E664" s="17">
        <v>11131</v>
      </c>
      <c r="F664" s="3" t="s">
        <v>332</v>
      </c>
      <c r="G664" s="3" t="s">
        <v>381</v>
      </c>
      <c r="CH664" s="22">
        <f t="shared" si="97"/>
        <v>0</v>
      </c>
      <c r="CI664" s="3">
        <f t="shared" si="98"/>
        <v>0</v>
      </c>
      <c r="CJ664" s="17">
        <f t="shared" si="99"/>
        <v>11131</v>
      </c>
      <c r="CK664" s="3" t="str">
        <f t="shared" si="100"/>
        <v xml:space="preserve">لاب فقط </v>
      </c>
    </row>
    <row r="665" spans="3:89" x14ac:dyDescent="0.25">
      <c r="D665" s="17">
        <v>18361</v>
      </c>
      <c r="E665" s="17">
        <v>11132</v>
      </c>
      <c r="F665" s="3" t="s">
        <v>78</v>
      </c>
      <c r="G665" s="3" t="s">
        <v>382</v>
      </c>
      <c r="J665" s="3">
        <v>120</v>
      </c>
      <c r="AU665" s="22">
        <f t="shared" ref="AU665:AU681" si="101">SUM(I665:AS665)</f>
        <v>120</v>
      </c>
      <c r="AV665" s="3">
        <v>120</v>
      </c>
      <c r="CH665" s="22">
        <f t="shared" si="97"/>
        <v>120</v>
      </c>
      <c r="CI665" s="3">
        <f t="shared" si="98"/>
        <v>0</v>
      </c>
      <c r="CJ665" s="17">
        <f t="shared" si="99"/>
        <v>11132</v>
      </c>
      <c r="CK665" s="3" t="str">
        <f t="shared" si="100"/>
        <v>برنامج دولى</v>
      </c>
    </row>
    <row r="666" spans="3:89" x14ac:dyDescent="0.25">
      <c r="D666" s="17">
        <v>18362</v>
      </c>
      <c r="E666" s="17">
        <v>11133</v>
      </c>
      <c r="F666" s="3" t="s">
        <v>78</v>
      </c>
      <c r="G666" s="3" t="s">
        <v>383</v>
      </c>
      <c r="J666" s="3">
        <v>730</v>
      </c>
      <c r="AU666" s="22">
        <f t="shared" si="101"/>
        <v>730</v>
      </c>
      <c r="AV666" s="3">
        <v>730</v>
      </c>
      <c r="CH666" s="22">
        <f t="shared" si="97"/>
        <v>730</v>
      </c>
      <c r="CI666" s="3">
        <f t="shared" si="98"/>
        <v>0</v>
      </c>
      <c r="CJ666" s="17">
        <f t="shared" si="99"/>
        <v>11133</v>
      </c>
      <c r="CK666" s="3" t="str">
        <f t="shared" si="100"/>
        <v>برنامج دولى</v>
      </c>
    </row>
    <row r="667" spans="3:89" x14ac:dyDescent="0.25">
      <c r="D667" s="17">
        <v>18374</v>
      </c>
      <c r="E667" s="17">
        <v>11134</v>
      </c>
      <c r="F667" s="3" t="s">
        <v>78</v>
      </c>
      <c r="G667" s="3" t="s">
        <v>384</v>
      </c>
      <c r="J667" s="3">
        <v>4220</v>
      </c>
      <c r="AU667" s="22">
        <f t="shared" si="101"/>
        <v>4220</v>
      </c>
      <c r="AV667" s="3">
        <v>3473.2</v>
      </c>
      <c r="AW667" s="3">
        <f>62.55+187.65+36</f>
        <v>286.2</v>
      </c>
      <c r="AY667" s="3">
        <v>5</v>
      </c>
      <c r="BK667" s="3">
        <v>126.6</v>
      </c>
      <c r="BL667" s="3">
        <v>80</v>
      </c>
      <c r="BM667" s="3">
        <f>19*2</f>
        <v>38</v>
      </c>
      <c r="BN667" s="3">
        <v>211</v>
      </c>
      <c r="CH667" s="22">
        <f t="shared" si="97"/>
        <v>4220</v>
      </c>
      <c r="CI667" s="3">
        <f t="shared" si="98"/>
        <v>0</v>
      </c>
      <c r="CJ667" s="17">
        <f t="shared" si="99"/>
        <v>11134</v>
      </c>
      <c r="CK667" s="3" t="str">
        <f t="shared" si="100"/>
        <v>برنامج دولى</v>
      </c>
    </row>
    <row r="668" spans="3:89" x14ac:dyDescent="0.25">
      <c r="D668" s="17">
        <v>18369</v>
      </c>
      <c r="E668" s="17">
        <v>11135</v>
      </c>
      <c r="F668" s="3" t="s">
        <v>78</v>
      </c>
      <c r="G668" s="3" t="s">
        <v>385</v>
      </c>
      <c r="J668" s="3">
        <v>1425</v>
      </c>
      <c r="AU668" s="22">
        <f t="shared" si="101"/>
        <v>1425</v>
      </c>
      <c r="AV668" s="3">
        <v>1295.5</v>
      </c>
      <c r="AW668" s="3">
        <v>74.7</v>
      </c>
      <c r="BK668" s="3">
        <v>37.5</v>
      </c>
      <c r="BL668" s="3">
        <v>6</v>
      </c>
      <c r="BM668" s="3">
        <f>5.65*2</f>
        <v>11.3</v>
      </c>
      <c r="CH668" s="22">
        <f t="shared" si="97"/>
        <v>1425</v>
      </c>
      <c r="CI668" s="3">
        <f t="shared" si="98"/>
        <v>0</v>
      </c>
      <c r="CJ668" s="17">
        <f t="shared" si="99"/>
        <v>11135</v>
      </c>
      <c r="CK668" s="3" t="str">
        <f t="shared" si="100"/>
        <v>برنامج دولى</v>
      </c>
    </row>
    <row r="669" spans="3:89" x14ac:dyDescent="0.25">
      <c r="D669" s="17">
        <v>18370</v>
      </c>
      <c r="E669" s="17">
        <v>11136</v>
      </c>
      <c r="F669" s="3" t="s">
        <v>78</v>
      </c>
      <c r="G669" s="3" t="s">
        <v>386</v>
      </c>
      <c r="J669" s="3">
        <v>1097.1400000000001</v>
      </c>
      <c r="AU669" s="22">
        <f t="shared" si="101"/>
        <v>1097.1400000000001</v>
      </c>
      <c r="AV669" s="3">
        <v>1028.54</v>
      </c>
      <c r="AW669" s="3">
        <v>53.9</v>
      </c>
      <c r="BL669" s="3">
        <v>6</v>
      </c>
      <c r="BM669" s="3">
        <f>4.35*2</f>
        <v>8.6999999999999993</v>
      </c>
      <c r="CH669" s="22">
        <f t="shared" si="97"/>
        <v>1097.1400000000001</v>
      </c>
      <c r="CI669" s="3">
        <f t="shared" si="98"/>
        <v>0</v>
      </c>
      <c r="CJ669" s="17">
        <f t="shared" si="99"/>
        <v>11136</v>
      </c>
      <c r="CK669" s="3" t="str">
        <f t="shared" si="100"/>
        <v>برنامج دولى</v>
      </c>
    </row>
    <row r="670" spans="3:89" x14ac:dyDescent="0.25">
      <c r="D670" s="17">
        <v>18366</v>
      </c>
      <c r="E670" s="17">
        <v>11137</v>
      </c>
      <c r="F670" s="3" t="s">
        <v>78</v>
      </c>
      <c r="G670" s="3" t="s">
        <v>386</v>
      </c>
      <c r="J670" s="3">
        <v>67510</v>
      </c>
      <c r="AU670" s="22">
        <f t="shared" si="101"/>
        <v>67510</v>
      </c>
      <c r="AV670" s="3">
        <v>65126.6</v>
      </c>
      <c r="AW670" s="3">
        <v>1830.4</v>
      </c>
      <c r="BL670" s="3">
        <v>20</v>
      </c>
      <c r="BM670" s="3">
        <f>266.5*2</f>
        <v>533</v>
      </c>
      <c r="CH670" s="22">
        <f t="shared" si="97"/>
        <v>67510</v>
      </c>
      <c r="CI670" s="3">
        <f t="shared" si="98"/>
        <v>0</v>
      </c>
      <c r="CJ670" s="17">
        <f t="shared" si="99"/>
        <v>11137</v>
      </c>
      <c r="CK670" s="3" t="str">
        <f t="shared" si="100"/>
        <v>برنامج دولى</v>
      </c>
    </row>
    <row r="671" spans="3:89" x14ac:dyDescent="0.25">
      <c r="D671" s="17">
        <v>18371</v>
      </c>
      <c r="E671" s="17">
        <v>11138</v>
      </c>
      <c r="F671" s="3" t="s">
        <v>78</v>
      </c>
      <c r="G671" s="3" t="s">
        <v>387</v>
      </c>
      <c r="J671" s="3">
        <v>18183.05</v>
      </c>
      <c r="AU671" s="22">
        <f t="shared" si="101"/>
        <v>18183.05</v>
      </c>
      <c r="AV671" s="3">
        <v>17227.650000000001</v>
      </c>
      <c r="AW671" s="3">
        <v>791.8</v>
      </c>
      <c r="BL671" s="3">
        <v>20</v>
      </c>
      <c r="BM671" s="3">
        <f>71.8*2</f>
        <v>143.6</v>
      </c>
      <c r="CH671" s="22">
        <f t="shared" si="97"/>
        <v>18183.05</v>
      </c>
      <c r="CI671" s="3">
        <f t="shared" si="98"/>
        <v>0</v>
      </c>
      <c r="CJ671" s="17">
        <f t="shared" si="99"/>
        <v>11138</v>
      </c>
      <c r="CK671" s="3" t="str">
        <f t="shared" si="100"/>
        <v>برنامج دولى</v>
      </c>
    </row>
    <row r="672" spans="3:89" x14ac:dyDescent="0.25">
      <c r="D672" s="17">
        <v>18368</v>
      </c>
      <c r="E672" s="17">
        <v>11139</v>
      </c>
      <c r="F672" s="3" t="s">
        <v>78</v>
      </c>
      <c r="G672" s="3" t="s">
        <v>388</v>
      </c>
      <c r="J672" s="3">
        <v>1250</v>
      </c>
      <c r="AU672" s="22">
        <f t="shared" si="101"/>
        <v>1250</v>
      </c>
      <c r="AV672" s="3">
        <v>1135.5999999999999</v>
      </c>
      <c r="AW672" s="3">
        <v>65.5</v>
      </c>
      <c r="BK672" s="3">
        <v>32.9</v>
      </c>
      <c r="BL672" s="3">
        <v>6</v>
      </c>
      <c r="BM672" s="3">
        <f>5*2</f>
        <v>10</v>
      </c>
      <c r="CH672" s="22">
        <f t="shared" si="97"/>
        <v>1250</v>
      </c>
      <c r="CI672" s="3">
        <f t="shared" si="98"/>
        <v>0</v>
      </c>
      <c r="CJ672" s="17">
        <f t="shared" si="99"/>
        <v>11139</v>
      </c>
      <c r="CK672" s="3" t="str">
        <f t="shared" si="100"/>
        <v>برنامج دولى</v>
      </c>
    </row>
    <row r="673" spans="1:94" x14ac:dyDescent="0.25">
      <c r="D673" s="17">
        <v>18367</v>
      </c>
      <c r="E673" s="17">
        <v>11140</v>
      </c>
      <c r="F673" s="3" t="s">
        <v>78</v>
      </c>
      <c r="G673" s="3" t="s">
        <v>388</v>
      </c>
      <c r="J673" s="3">
        <v>1250</v>
      </c>
      <c r="AU673" s="22">
        <f t="shared" si="101"/>
        <v>1250</v>
      </c>
      <c r="AV673" s="3">
        <v>1135.5999999999999</v>
      </c>
      <c r="AW673" s="3">
        <v>65.5</v>
      </c>
      <c r="BK673" s="3">
        <v>32.9</v>
      </c>
      <c r="BL673" s="3">
        <v>6</v>
      </c>
      <c r="BM673" s="3">
        <v>10</v>
      </c>
      <c r="CH673" s="22">
        <f t="shared" si="97"/>
        <v>1250</v>
      </c>
      <c r="CI673" s="3">
        <f t="shared" si="98"/>
        <v>0</v>
      </c>
      <c r="CJ673" s="17">
        <f t="shared" si="99"/>
        <v>11140</v>
      </c>
      <c r="CK673" s="3" t="str">
        <f t="shared" si="100"/>
        <v>برنامج دولى</v>
      </c>
    </row>
    <row r="674" spans="1:94" x14ac:dyDescent="0.25">
      <c r="D674" s="17">
        <v>18372</v>
      </c>
      <c r="E674" s="17">
        <v>11141</v>
      </c>
      <c r="F674" s="3" t="s">
        <v>78</v>
      </c>
      <c r="G674" s="3" t="s">
        <v>389</v>
      </c>
      <c r="J674" s="3">
        <v>2000</v>
      </c>
      <c r="AU674" s="22">
        <f t="shared" si="101"/>
        <v>2000</v>
      </c>
      <c r="AV674" s="3">
        <v>1820.25</v>
      </c>
      <c r="AW674" s="3">
        <v>105.1</v>
      </c>
      <c r="BK674" s="3">
        <v>52.65</v>
      </c>
      <c r="BL674" s="3">
        <v>6</v>
      </c>
      <c r="BM674" s="3">
        <f>8*2</f>
        <v>16</v>
      </c>
      <c r="CH674" s="22">
        <f t="shared" si="97"/>
        <v>2000</v>
      </c>
      <c r="CI674" s="3">
        <f t="shared" si="98"/>
        <v>0</v>
      </c>
      <c r="CJ674" s="17">
        <f t="shared" si="99"/>
        <v>11141</v>
      </c>
      <c r="CK674" s="3" t="str">
        <f t="shared" si="100"/>
        <v>برنامج دولى</v>
      </c>
    </row>
    <row r="675" spans="1:94" x14ac:dyDescent="0.25">
      <c r="D675" s="17">
        <v>18356</v>
      </c>
      <c r="E675" s="17">
        <v>11142</v>
      </c>
      <c r="F675" s="3" t="s">
        <v>78</v>
      </c>
      <c r="G675" s="3" t="s">
        <v>390</v>
      </c>
      <c r="J675" s="3">
        <v>160</v>
      </c>
      <c r="AU675" s="22">
        <f t="shared" si="101"/>
        <v>160</v>
      </c>
      <c r="AV675" s="3">
        <v>160</v>
      </c>
      <c r="CH675" s="22">
        <f t="shared" si="97"/>
        <v>160</v>
      </c>
      <c r="CI675" s="3">
        <f t="shared" si="98"/>
        <v>0</v>
      </c>
      <c r="CJ675" s="17">
        <f t="shared" si="99"/>
        <v>11142</v>
      </c>
      <c r="CK675" s="3" t="str">
        <f t="shared" si="100"/>
        <v>برنامج دولى</v>
      </c>
    </row>
    <row r="676" spans="1:94" x14ac:dyDescent="0.25">
      <c r="D676" s="17">
        <v>18365</v>
      </c>
      <c r="E676" s="17">
        <v>11143</v>
      </c>
      <c r="F676" s="3" t="s">
        <v>78</v>
      </c>
      <c r="G676" s="3" t="s">
        <v>391</v>
      </c>
      <c r="J676" s="3">
        <v>29749.99</v>
      </c>
      <c r="AU676" s="22">
        <f t="shared" si="101"/>
        <v>29749.99</v>
      </c>
      <c r="AV676" s="3">
        <v>27696.59</v>
      </c>
      <c r="AW676" s="3">
        <v>1029.5</v>
      </c>
      <c r="BK676" s="3">
        <v>782.9</v>
      </c>
      <c r="BL676" s="3">
        <v>6</v>
      </c>
      <c r="BM676" s="3">
        <f>117.5*2</f>
        <v>235</v>
      </c>
      <c r="CH676" s="22">
        <f t="shared" si="97"/>
        <v>29749.99</v>
      </c>
      <c r="CI676" s="3">
        <f t="shared" si="98"/>
        <v>0</v>
      </c>
      <c r="CJ676" s="17">
        <f t="shared" si="99"/>
        <v>11143</v>
      </c>
      <c r="CK676" s="3" t="str">
        <f t="shared" si="100"/>
        <v>برنامج دولى</v>
      </c>
    </row>
    <row r="677" spans="1:94" x14ac:dyDescent="0.25">
      <c r="D677" s="17">
        <v>18357</v>
      </c>
      <c r="E677" s="17">
        <v>11144</v>
      </c>
      <c r="F677" s="3" t="s">
        <v>78</v>
      </c>
      <c r="G677" s="3" t="s">
        <v>392</v>
      </c>
      <c r="J677" s="3">
        <v>160</v>
      </c>
      <c r="AU677" s="22">
        <f t="shared" si="101"/>
        <v>160</v>
      </c>
      <c r="AV677" s="3">
        <v>160</v>
      </c>
      <c r="CH677" s="22">
        <f t="shared" si="97"/>
        <v>160</v>
      </c>
      <c r="CI677" s="3">
        <f t="shared" si="98"/>
        <v>0</v>
      </c>
      <c r="CJ677" s="17">
        <f t="shared" si="99"/>
        <v>11144</v>
      </c>
      <c r="CK677" s="3" t="str">
        <f t="shared" si="100"/>
        <v>برنامج دولى</v>
      </c>
    </row>
    <row r="678" spans="1:94" x14ac:dyDescent="0.25">
      <c r="D678" s="17">
        <v>18375</v>
      </c>
      <c r="E678" s="17">
        <v>11145</v>
      </c>
      <c r="F678" s="3" t="s">
        <v>78</v>
      </c>
      <c r="G678" s="3" t="s">
        <v>393</v>
      </c>
      <c r="J678" s="3">
        <v>8493</v>
      </c>
      <c r="AU678" s="22">
        <f t="shared" si="101"/>
        <v>8493</v>
      </c>
      <c r="AV678" s="3">
        <v>7183.15</v>
      </c>
      <c r="AW678" s="3">
        <v>509.6</v>
      </c>
      <c r="AY678" s="3">
        <v>5</v>
      </c>
      <c r="BK678" s="3">
        <v>223.5</v>
      </c>
      <c r="BL678" s="3">
        <v>80</v>
      </c>
      <c r="BM678" s="3">
        <f>33.55*2</f>
        <v>67.099999999999994</v>
      </c>
      <c r="BN678" s="3">
        <v>424.65</v>
      </c>
      <c r="CH678" s="22">
        <f t="shared" si="97"/>
        <v>8493</v>
      </c>
      <c r="CI678" s="3">
        <f t="shared" si="98"/>
        <v>0</v>
      </c>
      <c r="CJ678" s="17">
        <f t="shared" si="99"/>
        <v>11145</v>
      </c>
      <c r="CK678" s="3" t="str">
        <f t="shared" si="100"/>
        <v>برنامج دولى</v>
      </c>
    </row>
    <row r="679" spans="1:94" x14ac:dyDescent="0.25">
      <c r="D679" s="17">
        <v>18373</v>
      </c>
      <c r="E679" s="17">
        <v>11146</v>
      </c>
      <c r="F679" s="3" t="s">
        <v>78</v>
      </c>
      <c r="G679" s="3" t="s">
        <v>394</v>
      </c>
      <c r="J679" s="3">
        <v>13375</v>
      </c>
      <c r="AU679" s="22">
        <f t="shared" si="101"/>
        <v>13375</v>
      </c>
      <c r="AV679" s="3">
        <v>12119.8</v>
      </c>
      <c r="AW679" s="3">
        <v>717.6</v>
      </c>
      <c r="BK679" s="3">
        <v>352</v>
      </c>
      <c r="BL679" s="3">
        <v>80</v>
      </c>
      <c r="BM679" s="3">
        <f>52.8*2</f>
        <v>105.6</v>
      </c>
      <c r="CH679" s="22">
        <f t="shared" si="97"/>
        <v>13375</v>
      </c>
      <c r="CI679" s="3">
        <f t="shared" si="98"/>
        <v>0</v>
      </c>
      <c r="CJ679" s="17">
        <f t="shared" si="99"/>
        <v>11146</v>
      </c>
      <c r="CK679" s="3" t="str">
        <f t="shared" si="100"/>
        <v>برنامج دولى</v>
      </c>
    </row>
    <row r="680" spans="1:94" x14ac:dyDescent="0.25">
      <c r="D680" s="17">
        <v>18523</v>
      </c>
      <c r="E680" s="17">
        <v>11147</v>
      </c>
      <c r="G680" s="3" t="s">
        <v>395</v>
      </c>
      <c r="AE680" s="3">
        <v>2610.16</v>
      </c>
      <c r="AU680" s="22">
        <f t="shared" si="101"/>
        <v>2610.16</v>
      </c>
      <c r="AV680" s="3">
        <v>2610.16</v>
      </c>
      <c r="CH680" s="22">
        <f t="shared" si="97"/>
        <v>2610.16</v>
      </c>
      <c r="CI680" s="3">
        <f t="shared" si="98"/>
        <v>0</v>
      </c>
      <c r="CJ680" s="17">
        <f t="shared" si="99"/>
        <v>11147</v>
      </c>
      <c r="CK680" s="3">
        <f t="shared" si="100"/>
        <v>0</v>
      </c>
    </row>
    <row r="681" spans="1:94" x14ac:dyDescent="0.25">
      <c r="D681" s="17">
        <v>18524</v>
      </c>
      <c r="E681" s="17">
        <v>11148</v>
      </c>
      <c r="G681" s="3" t="s">
        <v>396</v>
      </c>
      <c r="AE681" s="3">
        <v>1650</v>
      </c>
      <c r="AU681" s="22">
        <f t="shared" si="101"/>
        <v>1650</v>
      </c>
      <c r="AV681" s="3">
        <v>1650</v>
      </c>
      <c r="CH681" s="22">
        <f t="shared" si="97"/>
        <v>1650</v>
      </c>
      <c r="CI681" s="3">
        <f t="shared" si="98"/>
        <v>0</v>
      </c>
      <c r="CJ681" s="17">
        <f t="shared" si="99"/>
        <v>11148</v>
      </c>
      <c r="CK681" s="3">
        <f t="shared" si="100"/>
        <v>0</v>
      </c>
    </row>
    <row r="682" spans="1:94" s="29" customFormat="1" x14ac:dyDescent="0.25">
      <c r="A682" s="27"/>
      <c r="B682" s="28"/>
      <c r="C682" s="28"/>
      <c r="D682" s="28"/>
      <c r="E682" s="28"/>
      <c r="G682" s="29" t="s">
        <v>397</v>
      </c>
      <c r="I682" s="29">
        <f t="shared" ref="I682:AO682" si="102">SUM(I554:I681)</f>
        <v>786377.30000000028</v>
      </c>
      <c r="J682" s="29">
        <f t="shared" si="102"/>
        <v>546093.17999999993</v>
      </c>
      <c r="K682" s="29">
        <f t="shared" si="102"/>
        <v>0</v>
      </c>
      <c r="L682" s="29">
        <f t="shared" si="102"/>
        <v>0</v>
      </c>
      <c r="M682" s="29">
        <f t="shared" si="102"/>
        <v>0</v>
      </c>
      <c r="N682" s="29">
        <f t="shared" si="102"/>
        <v>0</v>
      </c>
      <c r="O682" s="29">
        <f t="shared" si="102"/>
        <v>0</v>
      </c>
      <c r="P682" s="29">
        <f t="shared" si="102"/>
        <v>0</v>
      </c>
      <c r="Q682" s="29">
        <f t="shared" si="102"/>
        <v>0</v>
      </c>
      <c r="R682" s="29">
        <f t="shared" si="102"/>
        <v>0</v>
      </c>
      <c r="S682" s="29">
        <f t="shared" si="102"/>
        <v>0</v>
      </c>
      <c r="T682" s="29">
        <f t="shared" si="102"/>
        <v>108000</v>
      </c>
      <c r="U682" s="29">
        <f t="shared" si="102"/>
        <v>0</v>
      </c>
      <c r="V682" s="29">
        <f t="shared" si="102"/>
        <v>0</v>
      </c>
      <c r="W682" s="29">
        <f t="shared" si="102"/>
        <v>0</v>
      </c>
      <c r="X682" s="29">
        <f t="shared" si="102"/>
        <v>0</v>
      </c>
      <c r="Y682" s="29">
        <f t="shared" si="102"/>
        <v>0</v>
      </c>
      <c r="Z682" s="29">
        <f t="shared" si="102"/>
        <v>0</v>
      </c>
      <c r="AA682" s="29">
        <f t="shared" si="102"/>
        <v>0</v>
      </c>
      <c r="AB682" s="29">
        <f t="shared" si="102"/>
        <v>0</v>
      </c>
      <c r="AC682" s="29">
        <f t="shared" si="102"/>
        <v>0</v>
      </c>
      <c r="AD682" s="29">
        <f t="shared" si="102"/>
        <v>0</v>
      </c>
      <c r="AE682" s="29">
        <f t="shared" si="102"/>
        <v>4260.16</v>
      </c>
      <c r="AG682" s="29">
        <f t="shared" si="102"/>
        <v>0</v>
      </c>
      <c r="AH682" s="29">
        <f t="shared" si="102"/>
        <v>0</v>
      </c>
      <c r="AI682" s="29">
        <f t="shared" si="102"/>
        <v>0</v>
      </c>
      <c r="AJ682" s="29">
        <f t="shared" si="102"/>
        <v>0</v>
      </c>
      <c r="AK682" s="29">
        <f t="shared" si="102"/>
        <v>0</v>
      </c>
      <c r="AL682" s="29">
        <f t="shared" si="102"/>
        <v>0</v>
      </c>
      <c r="AM682" s="29">
        <f t="shared" si="102"/>
        <v>0</v>
      </c>
      <c r="AN682" s="29">
        <f t="shared" si="102"/>
        <v>0</v>
      </c>
      <c r="AO682" s="29">
        <f t="shared" si="102"/>
        <v>0</v>
      </c>
      <c r="AP682" s="29">
        <f t="shared" ref="AP682:BW682" si="103">SUM(AP554:AP681)</f>
        <v>0</v>
      </c>
      <c r="AQ682" s="29">
        <f t="shared" si="103"/>
        <v>0</v>
      </c>
      <c r="AR682" s="29">
        <f t="shared" si="103"/>
        <v>0</v>
      </c>
      <c r="AS682" s="29">
        <f t="shared" si="103"/>
        <v>0</v>
      </c>
      <c r="AT682" s="29">
        <f t="shared" si="103"/>
        <v>0</v>
      </c>
      <c r="AU682" s="29">
        <f t="shared" si="103"/>
        <v>1444730.6400000001</v>
      </c>
      <c r="AV682" s="29">
        <f t="shared" si="103"/>
        <v>1231928.9700000002</v>
      </c>
      <c r="AW682" s="29">
        <f t="shared" si="103"/>
        <v>95703.999999999985</v>
      </c>
      <c r="AX682" s="29">
        <f t="shared" si="103"/>
        <v>84380.419999999984</v>
      </c>
      <c r="AY682" s="29">
        <f t="shared" si="103"/>
        <v>147.5</v>
      </c>
      <c r="AZ682" s="29">
        <f t="shared" si="103"/>
        <v>0</v>
      </c>
      <c r="BA682" s="29">
        <f t="shared" si="103"/>
        <v>0</v>
      </c>
      <c r="BB682" s="29">
        <f t="shared" si="103"/>
        <v>0</v>
      </c>
      <c r="BC682" s="29">
        <f t="shared" si="103"/>
        <v>0</v>
      </c>
      <c r="BD682" s="29">
        <f t="shared" si="103"/>
        <v>0</v>
      </c>
      <c r="BF682" s="29">
        <f t="shared" si="103"/>
        <v>0</v>
      </c>
      <c r="BG682" s="29">
        <f t="shared" si="103"/>
        <v>0</v>
      </c>
      <c r="BH682" s="29">
        <f t="shared" si="103"/>
        <v>0</v>
      </c>
      <c r="BJ682" s="29">
        <f t="shared" si="103"/>
        <v>1351.5</v>
      </c>
      <c r="BK682" s="29">
        <f t="shared" si="103"/>
        <v>5353.8</v>
      </c>
      <c r="BL682" s="29">
        <f t="shared" si="103"/>
        <v>650</v>
      </c>
      <c r="BM682" s="29">
        <f t="shared" si="103"/>
        <v>4371.3000000000011</v>
      </c>
      <c r="BN682" s="29">
        <f t="shared" si="103"/>
        <v>4535.6499999999996</v>
      </c>
      <c r="BO682" s="29">
        <f t="shared" si="103"/>
        <v>15727.5</v>
      </c>
      <c r="BP682" s="29">
        <f t="shared" si="103"/>
        <v>0</v>
      </c>
      <c r="BQ682" s="29">
        <f t="shared" si="103"/>
        <v>0</v>
      </c>
      <c r="BR682" s="29">
        <f t="shared" si="103"/>
        <v>0</v>
      </c>
      <c r="BS682" s="29">
        <f t="shared" si="103"/>
        <v>0</v>
      </c>
      <c r="BT682" s="29">
        <f t="shared" si="103"/>
        <v>0</v>
      </c>
      <c r="BU682" s="29">
        <f t="shared" si="103"/>
        <v>0</v>
      </c>
      <c r="BV682" s="29">
        <f t="shared" si="103"/>
        <v>0</v>
      </c>
      <c r="BW682" s="29">
        <f t="shared" si="103"/>
        <v>0</v>
      </c>
      <c r="BX682" s="29">
        <f t="shared" ref="BX682:CI682" si="104">SUM(BX554:BX681)</f>
        <v>0</v>
      </c>
      <c r="BY682" s="29">
        <f t="shared" si="104"/>
        <v>0</v>
      </c>
      <c r="BZ682" s="29">
        <f t="shared" si="104"/>
        <v>0</v>
      </c>
      <c r="CA682" s="29">
        <f t="shared" si="104"/>
        <v>0</v>
      </c>
      <c r="CB682" s="29">
        <f t="shared" si="104"/>
        <v>0</v>
      </c>
      <c r="CC682" s="29">
        <f t="shared" si="104"/>
        <v>0</v>
      </c>
      <c r="CD682" s="29">
        <f t="shared" si="104"/>
        <v>0</v>
      </c>
      <c r="CE682" s="29">
        <f t="shared" si="104"/>
        <v>0</v>
      </c>
      <c r="CF682" s="29">
        <f t="shared" si="104"/>
        <v>0</v>
      </c>
      <c r="CG682" s="201">
        <f t="shared" si="104"/>
        <v>580</v>
      </c>
      <c r="CH682" s="29">
        <f t="shared" si="104"/>
        <v>1444730.6400000001</v>
      </c>
      <c r="CI682" s="29">
        <f t="shared" si="104"/>
        <v>0</v>
      </c>
      <c r="CL682" s="29">
        <f>SUM(CL554:CL681)</f>
        <v>0</v>
      </c>
      <c r="CM682" s="29">
        <f>SUM(CM554:CM681)</f>
        <v>0</v>
      </c>
      <c r="CN682" s="29">
        <f>SUM(CN554:CN681)</f>
        <v>0</v>
      </c>
      <c r="CO682" s="29">
        <f>SUM(CO554:CO681)</f>
        <v>0</v>
      </c>
      <c r="CP682" s="29">
        <f>SUM(CP554:CP681)</f>
        <v>0</v>
      </c>
    </row>
    <row r="683" spans="1:94" x14ac:dyDescent="0.25">
      <c r="D683" s="17">
        <v>18551</v>
      </c>
      <c r="E683" s="17">
        <v>11149</v>
      </c>
      <c r="F683" s="3" t="s">
        <v>78</v>
      </c>
      <c r="G683" s="3" t="s">
        <v>398</v>
      </c>
      <c r="Y683" s="3">
        <v>445</v>
      </c>
      <c r="AU683" s="22">
        <f t="shared" ref="AU683:AU714" si="105">SUM(I683:AS683)</f>
        <v>445</v>
      </c>
      <c r="AV683" s="3">
        <v>445</v>
      </c>
      <c r="CH683" s="22">
        <f t="shared" ref="CH683:CH714" si="106">SUM(AV683:CG683)</f>
        <v>445</v>
      </c>
      <c r="CI683" s="3">
        <f t="shared" ref="CI683:CI714" si="107">+CH683-AU683</f>
        <v>0</v>
      </c>
      <c r="CJ683" s="17">
        <f t="shared" ref="CJ683:CJ714" si="108">+E683</f>
        <v>11149</v>
      </c>
      <c r="CK683" s="3" t="str">
        <f t="shared" ref="CK683:CK714" si="109">+F683</f>
        <v>برنامج دولى</v>
      </c>
    </row>
    <row r="684" spans="1:94" x14ac:dyDescent="0.25">
      <c r="C684" s="3"/>
      <c r="D684" s="17">
        <v>18550</v>
      </c>
      <c r="E684" s="17">
        <v>11150</v>
      </c>
      <c r="F684" s="3" t="s">
        <v>78</v>
      </c>
      <c r="G684" s="3" t="s">
        <v>399</v>
      </c>
      <c r="Y684" s="3">
        <v>1367.5</v>
      </c>
      <c r="AU684" s="22">
        <f t="shared" si="105"/>
        <v>1367.5</v>
      </c>
      <c r="AV684" s="3">
        <v>1367.5</v>
      </c>
      <c r="CH684" s="22">
        <f t="shared" si="106"/>
        <v>1367.5</v>
      </c>
      <c r="CI684" s="3">
        <f t="shared" si="107"/>
        <v>0</v>
      </c>
      <c r="CJ684" s="17">
        <f t="shared" si="108"/>
        <v>11150</v>
      </c>
      <c r="CK684" s="3" t="str">
        <f t="shared" si="109"/>
        <v>برنامج دولى</v>
      </c>
    </row>
    <row r="685" spans="1:94" x14ac:dyDescent="0.25">
      <c r="D685" s="17">
        <v>18549</v>
      </c>
      <c r="E685" s="17">
        <v>11151</v>
      </c>
      <c r="F685" s="3" t="s">
        <v>78</v>
      </c>
      <c r="G685" s="3" t="s">
        <v>400</v>
      </c>
      <c r="Y685" s="3">
        <v>620</v>
      </c>
      <c r="AU685" s="22">
        <f t="shared" si="105"/>
        <v>620</v>
      </c>
      <c r="AV685" s="3">
        <v>620</v>
      </c>
      <c r="CH685" s="22">
        <f t="shared" si="106"/>
        <v>620</v>
      </c>
      <c r="CI685" s="3">
        <f t="shared" si="107"/>
        <v>0</v>
      </c>
      <c r="CJ685" s="17">
        <f t="shared" si="108"/>
        <v>11151</v>
      </c>
      <c r="CK685" s="3" t="str">
        <f t="shared" si="109"/>
        <v>برنامج دولى</v>
      </c>
    </row>
    <row r="686" spans="1:94" ht="31.5" x14ac:dyDescent="0.25">
      <c r="D686" s="17">
        <v>16809</v>
      </c>
      <c r="E686" s="17">
        <v>11152</v>
      </c>
      <c r="F686" s="3" t="s">
        <v>132</v>
      </c>
      <c r="G686" s="9" t="s">
        <v>401</v>
      </c>
      <c r="J686" s="3">
        <v>875000</v>
      </c>
      <c r="AU686" s="22">
        <f t="shared" si="105"/>
        <v>875000</v>
      </c>
      <c r="AV686" s="3">
        <v>782401.6</v>
      </c>
      <c r="AW686" s="3">
        <f>4705.5+14116.5+27</f>
        <v>18849</v>
      </c>
      <c r="AY686" s="3">
        <v>5</v>
      </c>
      <c r="BK686" s="3">
        <v>23026.5</v>
      </c>
      <c r="BL686" s="3">
        <v>60</v>
      </c>
      <c r="BM686" s="3">
        <f>3453.95*2</f>
        <v>6907.9</v>
      </c>
      <c r="BO686" s="3">
        <v>43750</v>
      </c>
      <c r="CH686" s="22">
        <f t="shared" si="106"/>
        <v>875000</v>
      </c>
      <c r="CI686" s="3">
        <f t="shared" si="107"/>
        <v>0</v>
      </c>
      <c r="CJ686" s="17">
        <f t="shared" si="108"/>
        <v>11152</v>
      </c>
      <c r="CK686" s="3" t="str">
        <f t="shared" si="109"/>
        <v>صيدلة اكلينيكى</v>
      </c>
    </row>
    <row r="687" spans="1:94" x14ac:dyDescent="0.25">
      <c r="D687" s="17">
        <v>18174</v>
      </c>
      <c r="E687" s="17">
        <v>11153</v>
      </c>
      <c r="F687" s="3" t="s">
        <v>132</v>
      </c>
      <c r="G687" s="3" t="s">
        <v>402</v>
      </c>
      <c r="I687" s="3">
        <v>24365.08</v>
      </c>
      <c r="AU687" s="22">
        <f t="shared" si="105"/>
        <v>24365.08</v>
      </c>
      <c r="AV687" s="3">
        <v>16958.38</v>
      </c>
      <c r="AW687" s="3">
        <v>2223.3000000000002</v>
      </c>
      <c r="AX687" s="3">
        <v>5183.3999999999996</v>
      </c>
      <c r="CH687" s="22">
        <f t="shared" si="106"/>
        <v>24365.08</v>
      </c>
      <c r="CI687" s="3">
        <f t="shared" si="107"/>
        <v>0</v>
      </c>
      <c r="CJ687" s="17">
        <f t="shared" si="108"/>
        <v>11153</v>
      </c>
      <c r="CK687" s="3" t="str">
        <f t="shared" si="109"/>
        <v>صيدلة اكلينيكى</v>
      </c>
    </row>
    <row r="688" spans="1:94" x14ac:dyDescent="0.25">
      <c r="D688" s="17">
        <v>18165</v>
      </c>
      <c r="E688" s="17">
        <v>11154</v>
      </c>
      <c r="F688" s="3" t="s">
        <v>132</v>
      </c>
      <c r="G688" s="3" t="s">
        <v>403</v>
      </c>
      <c r="I688" s="3">
        <v>1500</v>
      </c>
      <c r="AU688" s="22">
        <f t="shared" si="105"/>
        <v>1500</v>
      </c>
      <c r="AV688" s="3">
        <v>1339.1</v>
      </c>
      <c r="AW688" s="3">
        <v>160.9</v>
      </c>
      <c r="CH688" s="22">
        <f t="shared" si="106"/>
        <v>1500</v>
      </c>
      <c r="CI688" s="3">
        <f t="shared" si="107"/>
        <v>0</v>
      </c>
      <c r="CJ688" s="17">
        <f t="shared" si="108"/>
        <v>11154</v>
      </c>
      <c r="CK688" s="3" t="str">
        <f t="shared" si="109"/>
        <v>صيدلة اكلينيكى</v>
      </c>
    </row>
    <row r="689" spans="3:89" x14ac:dyDescent="0.25">
      <c r="C689" s="3"/>
      <c r="D689" s="17">
        <v>18166</v>
      </c>
      <c r="E689" s="17">
        <v>11155</v>
      </c>
      <c r="F689" s="3" t="s">
        <v>132</v>
      </c>
      <c r="G689" s="3" t="s">
        <v>403</v>
      </c>
      <c r="I689" s="3">
        <v>1300</v>
      </c>
      <c r="AU689" s="22">
        <f t="shared" si="105"/>
        <v>1300</v>
      </c>
      <c r="AV689" s="3">
        <v>1160.5999999999999</v>
      </c>
      <c r="AW689" s="3">
        <v>139.4</v>
      </c>
      <c r="CH689" s="22">
        <f t="shared" si="106"/>
        <v>1300</v>
      </c>
      <c r="CI689" s="3">
        <f t="shared" si="107"/>
        <v>0</v>
      </c>
      <c r="CJ689" s="17">
        <f t="shared" si="108"/>
        <v>11155</v>
      </c>
      <c r="CK689" s="3" t="str">
        <f t="shared" si="109"/>
        <v>صيدلة اكلينيكى</v>
      </c>
    </row>
    <row r="690" spans="3:89" x14ac:dyDescent="0.25">
      <c r="D690" s="17">
        <v>18161</v>
      </c>
      <c r="E690" s="17">
        <v>11156</v>
      </c>
      <c r="F690" s="3" t="s">
        <v>132</v>
      </c>
      <c r="G690" s="3" t="s">
        <v>404</v>
      </c>
      <c r="I690" s="3">
        <v>7850</v>
      </c>
      <c r="AU690" s="22">
        <f t="shared" si="105"/>
        <v>7850</v>
      </c>
      <c r="AV690" s="3">
        <v>7007.9</v>
      </c>
      <c r="AW690" s="3">
        <v>842.1</v>
      </c>
      <c r="CH690" s="22">
        <f t="shared" si="106"/>
        <v>7850</v>
      </c>
      <c r="CI690" s="3">
        <f t="shared" si="107"/>
        <v>0</v>
      </c>
      <c r="CJ690" s="17">
        <f t="shared" si="108"/>
        <v>11156</v>
      </c>
      <c r="CK690" s="3" t="str">
        <f t="shared" si="109"/>
        <v>صيدلة اكلينيكى</v>
      </c>
    </row>
    <row r="691" spans="3:89" x14ac:dyDescent="0.25">
      <c r="D691" s="17">
        <v>18160</v>
      </c>
      <c r="E691" s="17">
        <v>11157</v>
      </c>
      <c r="F691" s="3" t="s">
        <v>132</v>
      </c>
      <c r="G691" s="3" t="s">
        <v>404</v>
      </c>
      <c r="I691" s="3">
        <v>6000</v>
      </c>
      <c r="AU691" s="22">
        <f t="shared" si="105"/>
        <v>6000</v>
      </c>
      <c r="AV691" s="3">
        <v>5356.4</v>
      </c>
      <c r="AW691" s="3">
        <v>643.6</v>
      </c>
      <c r="CH691" s="22">
        <f t="shared" si="106"/>
        <v>6000</v>
      </c>
      <c r="CI691" s="3">
        <f t="shared" si="107"/>
        <v>0</v>
      </c>
      <c r="CJ691" s="17">
        <f t="shared" si="108"/>
        <v>11157</v>
      </c>
      <c r="CK691" s="3" t="str">
        <f t="shared" si="109"/>
        <v>صيدلة اكلينيكى</v>
      </c>
    </row>
    <row r="692" spans="3:89" x14ac:dyDescent="0.25">
      <c r="D692" s="17">
        <v>18159</v>
      </c>
      <c r="E692" s="17">
        <v>11158</v>
      </c>
      <c r="F692" s="3" t="s">
        <v>132</v>
      </c>
      <c r="G692" s="3" t="s">
        <v>404</v>
      </c>
      <c r="I692" s="3">
        <v>1500</v>
      </c>
      <c r="AU692" s="22">
        <f t="shared" si="105"/>
        <v>1500</v>
      </c>
      <c r="AV692" s="3">
        <v>1339.1</v>
      </c>
      <c r="AW692" s="3">
        <v>160.9</v>
      </c>
      <c r="CH692" s="22">
        <f t="shared" si="106"/>
        <v>1500</v>
      </c>
      <c r="CI692" s="3">
        <f t="shared" si="107"/>
        <v>0</v>
      </c>
      <c r="CJ692" s="17">
        <f t="shared" si="108"/>
        <v>11158</v>
      </c>
      <c r="CK692" s="3" t="str">
        <f t="shared" si="109"/>
        <v>صيدلة اكلينيكى</v>
      </c>
    </row>
    <row r="693" spans="3:89" x14ac:dyDescent="0.25">
      <c r="D693" s="17">
        <v>18156</v>
      </c>
      <c r="E693" s="17">
        <v>11159</v>
      </c>
      <c r="F693" s="3" t="s">
        <v>132</v>
      </c>
      <c r="G693" s="3" t="s">
        <v>405</v>
      </c>
      <c r="I693" s="3">
        <v>2051.88</v>
      </c>
      <c r="AU693" s="22">
        <f t="shared" si="105"/>
        <v>2051.88</v>
      </c>
      <c r="AV693" s="3">
        <v>1373.4</v>
      </c>
      <c r="AW693" s="3">
        <v>184.1</v>
      </c>
      <c r="AX693" s="3">
        <v>494.38</v>
      </c>
      <c r="CH693" s="22">
        <f t="shared" si="106"/>
        <v>2051.88</v>
      </c>
      <c r="CI693" s="3">
        <f t="shared" si="107"/>
        <v>0</v>
      </c>
      <c r="CJ693" s="17">
        <f t="shared" si="108"/>
        <v>11159</v>
      </c>
      <c r="CK693" s="3" t="str">
        <f t="shared" si="109"/>
        <v>صيدلة اكلينيكى</v>
      </c>
    </row>
    <row r="694" spans="3:89" x14ac:dyDescent="0.25">
      <c r="D694" s="17">
        <v>18155</v>
      </c>
      <c r="E694" s="17">
        <v>11160</v>
      </c>
      <c r="F694" s="3" t="s">
        <v>132</v>
      </c>
      <c r="G694" s="3" t="s">
        <v>406</v>
      </c>
      <c r="I694" s="3">
        <v>23100</v>
      </c>
      <c r="AU694" s="22">
        <f t="shared" si="105"/>
        <v>23100</v>
      </c>
      <c r="AV694" s="3">
        <v>20671.099999999999</v>
      </c>
      <c r="AW694" s="3">
        <v>2428.9</v>
      </c>
      <c r="CH694" s="22">
        <f t="shared" si="106"/>
        <v>23100</v>
      </c>
      <c r="CI694" s="3">
        <f t="shared" si="107"/>
        <v>0</v>
      </c>
      <c r="CJ694" s="17">
        <f t="shared" si="108"/>
        <v>11160</v>
      </c>
      <c r="CK694" s="3" t="str">
        <f t="shared" si="109"/>
        <v>صيدلة اكلينيكى</v>
      </c>
    </row>
    <row r="695" spans="3:89" x14ac:dyDescent="0.25">
      <c r="D695" s="17">
        <v>18167</v>
      </c>
      <c r="E695" s="17">
        <v>11161</v>
      </c>
      <c r="F695" s="3" t="s">
        <v>132</v>
      </c>
      <c r="G695" s="3" t="s">
        <v>402</v>
      </c>
      <c r="I695" s="3">
        <v>11408.04</v>
      </c>
      <c r="AU695" s="22">
        <f t="shared" si="105"/>
        <v>11408.04</v>
      </c>
      <c r="AV695" s="3">
        <v>10209.18</v>
      </c>
      <c r="AW695" s="3">
        <f>294.5+72.37</f>
        <v>366.87</v>
      </c>
      <c r="AX695" s="3">
        <v>831.99</v>
      </c>
      <c r="CH695" s="22">
        <f t="shared" si="106"/>
        <v>11408.04</v>
      </c>
      <c r="CI695" s="3">
        <f t="shared" si="107"/>
        <v>0</v>
      </c>
      <c r="CJ695" s="17">
        <f t="shared" si="108"/>
        <v>11161</v>
      </c>
      <c r="CK695" s="3" t="str">
        <f t="shared" si="109"/>
        <v>صيدلة اكلينيكى</v>
      </c>
    </row>
    <row r="696" spans="3:89" x14ac:dyDescent="0.25">
      <c r="D696" s="17">
        <v>18172</v>
      </c>
      <c r="E696" s="17">
        <v>11162</v>
      </c>
      <c r="F696" s="3" t="s">
        <v>132</v>
      </c>
      <c r="G696" s="3" t="s">
        <v>402</v>
      </c>
      <c r="I696" s="3">
        <v>3634.75</v>
      </c>
      <c r="AU696" s="22">
        <f t="shared" si="105"/>
        <v>3634.75</v>
      </c>
      <c r="AV696" s="3">
        <v>2434.25</v>
      </c>
      <c r="AW696" s="3">
        <v>324.75</v>
      </c>
      <c r="AX696" s="3">
        <v>875.75</v>
      </c>
      <c r="CH696" s="22">
        <f t="shared" si="106"/>
        <v>3634.75</v>
      </c>
      <c r="CI696" s="3">
        <f t="shared" si="107"/>
        <v>0</v>
      </c>
      <c r="CJ696" s="17">
        <f t="shared" si="108"/>
        <v>11162</v>
      </c>
      <c r="CK696" s="3" t="str">
        <f t="shared" si="109"/>
        <v>صيدلة اكلينيكى</v>
      </c>
    </row>
    <row r="697" spans="3:89" x14ac:dyDescent="0.25">
      <c r="D697" s="17">
        <v>18168</v>
      </c>
      <c r="E697" s="17">
        <v>11163</v>
      </c>
      <c r="F697" s="3" t="s">
        <v>132</v>
      </c>
      <c r="G697" s="3" t="s">
        <v>402</v>
      </c>
      <c r="I697" s="3">
        <v>500</v>
      </c>
      <c r="AU697" s="22">
        <f t="shared" si="105"/>
        <v>500</v>
      </c>
      <c r="AV697" s="3">
        <v>447.05</v>
      </c>
      <c r="AW697" s="3">
        <v>52.95</v>
      </c>
      <c r="CH697" s="22">
        <f t="shared" si="106"/>
        <v>500</v>
      </c>
      <c r="CI697" s="3">
        <f t="shared" si="107"/>
        <v>0</v>
      </c>
      <c r="CJ697" s="17">
        <f t="shared" si="108"/>
        <v>11163</v>
      </c>
      <c r="CK697" s="3" t="str">
        <f t="shared" si="109"/>
        <v>صيدلة اكلينيكى</v>
      </c>
    </row>
    <row r="698" spans="3:89" x14ac:dyDescent="0.25">
      <c r="D698" s="17">
        <v>18171</v>
      </c>
      <c r="E698" s="17">
        <v>11164</v>
      </c>
      <c r="F698" s="3" t="s">
        <v>132</v>
      </c>
      <c r="G698" s="3" t="s">
        <v>402</v>
      </c>
      <c r="I698" s="3">
        <v>1596.62</v>
      </c>
      <c r="AU698" s="22">
        <f t="shared" si="105"/>
        <v>1596.62</v>
      </c>
      <c r="AV698" s="3">
        <v>1203.7</v>
      </c>
      <c r="AW698" s="3">
        <v>152.80000000000001</v>
      </c>
      <c r="AX698" s="3">
        <v>240.12</v>
      </c>
      <c r="CH698" s="22">
        <f t="shared" si="106"/>
        <v>1596.62</v>
      </c>
      <c r="CI698" s="3">
        <f t="shared" si="107"/>
        <v>0</v>
      </c>
      <c r="CJ698" s="17">
        <f t="shared" si="108"/>
        <v>11164</v>
      </c>
      <c r="CK698" s="3" t="str">
        <f t="shared" si="109"/>
        <v>صيدلة اكلينيكى</v>
      </c>
    </row>
    <row r="699" spans="3:89" x14ac:dyDescent="0.25">
      <c r="D699" s="17">
        <v>18169</v>
      </c>
      <c r="E699" s="17">
        <v>11165</v>
      </c>
      <c r="F699" s="3" t="s">
        <v>132</v>
      </c>
      <c r="G699" s="3" t="s">
        <v>402</v>
      </c>
      <c r="I699" s="3">
        <v>703.5</v>
      </c>
      <c r="AU699" s="22">
        <f t="shared" si="105"/>
        <v>703.5</v>
      </c>
      <c r="AV699" s="3">
        <v>470.6</v>
      </c>
      <c r="AW699" s="3">
        <v>63.4</v>
      </c>
      <c r="AX699" s="3">
        <v>169.5</v>
      </c>
      <c r="CH699" s="22">
        <f t="shared" si="106"/>
        <v>703.5</v>
      </c>
      <c r="CI699" s="3">
        <f t="shared" si="107"/>
        <v>0</v>
      </c>
      <c r="CJ699" s="17">
        <f t="shared" si="108"/>
        <v>11165</v>
      </c>
      <c r="CK699" s="3" t="str">
        <f t="shared" si="109"/>
        <v>صيدلة اكلينيكى</v>
      </c>
    </row>
    <row r="700" spans="3:89" x14ac:dyDescent="0.25">
      <c r="D700" s="17">
        <v>18170</v>
      </c>
      <c r="E700" s="17">
        <v>11166</v>
      </c>
      <c r="F700" s="3" t="s">
        <v>132</v>
      </c>
      <c r="G700" s="3" t="s">
        <v>402</v>
      </c>
      <c r="I700" s="3">
        <v>350</v>
      </c>
      <c r="AU700" s="22">
        <f t="shared" si="105"/>
        <v>350</v>
      </c>
      <c r="AV700" s="3">
        <v>313.05</v>
      </c>
      <c r="AW700" s="3">
        <v>36.950000000000003</v>
      </c>
      <c r="CH700" s="22">
        <f t="shared" si="106"/>
        <v>350</v>
      </c>
      <c r="CI700" s="3">
        <f t="shared" si="107"/>
        <v>0</v>
      </c>
      <c r="CJ700" s="17">
        <f t="shared" si="108"/>
        <v>11166</v>
      </c>
      <c r="CK700" s="3" t="str">
        <f t="shared" si="109"/>
        <v>صيدلة اكلينيكى</v>
      </c>
    </row>
    <row r="701" spans="3:89" x14ac:dyDescent="0.25">
      <c r="D701" s="17">
        <v>18173</v>
      </c>
      <c r="E701" s="17">
        <v>11167</v>
      </c>
      <c r="F701" s="3" t="s">
        <v>132</v>
      </c>
      <c r="G701" s="3" t="s">
        <v>402</v>
      </c>
      <c r="I701" s="3">
        <v>351.75</v>
      </c>
      <c r="AU701" s="22">
        <f t="shared" si="105"/>
        <v>351.75</v>
      </c>
      <c r="AV701" s="3">
        <v>235.55</v>
      </c>
      <c r="AW701" s="3">
        <v>31.45</v>
      </c>
      <c r="AX701" s="3">
        <v>84.75</v>
      </c>
      <c r="CH701" s="22">
        <f t="shared" si="106"/>
        <v>351.75</v>
      </c>
      <c r="CI701" s="3">
        <f t="shared" si="107"/>
        <v>0</v>
      </c>
      <c r="CJ701" s="17">
        <f t="shared" si="108"/>
        <v>11167</v>
      </c>
      <c r="CK701" s="3" t="str">
        <f t="shared" si="109"/>
        <v>صيدلة اكلينيكى</v>
      </c>
    </row>
    <row r="702" spans="3:89" x14ac:dyDescent="0.25">
      <c r="D702" s="17">
        <v>18175</v>
      </c>
      <c r="E702" s="17">
        <v>11168</v>
      </c>
      <c r="F702" s="3" t="s">
        <v>132</v>
      </c>
      <c r="G702" s="3" t="s">
        <v>407</v>
      </c>
      <c r="I702" s="3">
        <v>586.25</v>
      </c>
      <c r="AU702" s="22">
        <f t="shared" si="105"/>
        <v>586.25</v>
      </c>
      <c r="AV702" s="3">
        <v>392.4</v>
      </c>
      <c r="AW702" s="3">
        <v>52.6</v>
      </c>
      <c r="AX702" s="3">
        <v>141.25</v>
      </c>
      <c r="CH702" s="22">
        <f t="shared" si="106"/>
        <v>586.25</v>
      </c>
      <c r="CI702" s="3">
        <f t="shared" si="107"/>
        <v>0</v>
      </c>
      <c r="CJ702" s="17">
        <f t="shared" si="108"/>
        <v>11168</v>
      </c>
      <c r="CK702" s="3" t="str">
        <f t="shared" si="109"/>
        <v>صيدلة اكلينيكى</v>
      </c>
    </row>
    <row r="703" spans="3:89" x14ac:dyDescent="0.25">
      <c r="D703" s="17">
        <v>18176</v>
      </c>
      <c r="E703" s="17">
        <v>11169</v>
      </c>
      <c r="F703" s="3" t="s">
        <v>132</v>
      </c>
      <c r="G703" s="3" t="s">
        <v>408</v>
      </c>
      <c r="I703" s="3">
        <v>300</v>
      </c>
      <c r="AU703" s="22">
        <f t="shared" si="105"/>
        <v>300</v>
      </c>
      <c r="AV703" s="3">
        <v>268.35000000000002</v>
      </c>
      <c r="AW703" s="3">
        <v>31.65</v>
      </c>
      <c r="CH703" s="22">
        <f t="shared" si="106"/>
        <v>300</v>
      </c>
      <c r="CI703" s="3">
        <f t="shared" si="107"/>
        <v>0</v>
      </c>
      <c r="CJ703" s="17">
        <f t="shared" si="108"/>
        <v>11169</v>
      </c>
      <c r="CK703" s="3" t="str">
        <f t="shared" si="109"/>
        <v>صيدلة اكلينيكى</v>
      </c>
    </row>
    <row r="704" spans="3:89" x14ac:dyDescent="0.25">
      <c r="D704" s="17">
        <v>18177</v>
      </c>
      <c r="E704" s="17">
        <v>11170</v>
      </c>
      <c r="F704" s="3" t="s">
        <v>132</v>
      </c>
      <c r="G704" s="3" t="s">
        <v>409</v>
      </c>
      <c r="I704" s="3">
        <v>2520</v>
      </c>
      <c r="AU704" s="22">
        <f t="shared" si="105"/>
        <v>2520</v>
      </c>
      <c r="AV704" s="3">
        <v>2249.8000000000002</v>
      </c>
      <c r="AW704" s="3">
        <v>270.2</v>
      </c>
      <c r="CH704" s="22">
        <f t="shared" si="106"/>
        <v>2520</v>
      </c>
      <c r="CI704" s="3">
        <f t="shared" si="107"/>
        <v>0</v>
      </c>
      <c r="CJ704" s="17">
        <f t="shared" si="108"/>
        <v>11170</v>
      </c>
      <c r="CK704" s="3" t="str">
        <f t="shared" si="109"/>
        <v>صيدلة اكلينيكى</v>
      </c>
    </row>
    <row r="705" spans="4:89" x14ac:dyDescent="0.25">
      <c r="D705" s="17">
        <v>18178</v>
      </c>
      <c r="E705" s="17">
        <v>11171</v>
      </c>
      <c r="F705" s="3" t="s">
        <v>132</v>
      </c>
      <c r="G705" s="3" t="s">
        <v>410</v>
      </c>
      <c r="I705" s="3">
        <v>3020</v>
      </c>
      <c r="AU705" s="22">
        <f t="shared" si="105"/>
        <v>3020</v>
      </c>
      <c r="AV705" s="3">
        <v>2696.85</v>
      </c>
      <c r="AW705" s="3">
        <v>323.14999999999998</v>
      </c>
      <c r="CH705" s="22">
        <f t="shared" si="106"/>
        <v>3020</v>
      </c>
      <c r="CI705" s="3">
        <f t="shared" si="107"/>
        <v>0</v>
      </c>
      <c r="CJ705" s="17">
        <f t="shared" si="108"/>
        <v>11171</v>
      </c>
      <c r="CK705" s="3" t="str">
        <f t="shared" si="109"/>
        <v>صيدلة اكلينيكى</v>
      </c>
    </row>
    <row r="706" spans="4:89" x14ac:dyDescent="0.25">
      <c r="D706" s="17">
        <v>18179</v>
      </c>
      <c r="E706" s="17">
        <v>11172</v>
      </c>
      <c r="F706" s="3" t="s">
        <v>132</v>
      </c>
      <c r="G706" s="3" t="s">
        <v>411</v>
      </c>
      <c r="I706" s="3">
        <v>25200</v>
      </c>
      <c r="AU706" s="22">
        <f t="shared" si="105"/>
        <v>25200</v>
      </c>
      <c r="AV706" s="3">
        <v>22482.05</v>
      </c>
      <c r="AW706" s="3">
        <v>2717.95</v>
      </c>
      <c r="CH706" s="22">
        <f t="shared" si="106"/>
        <v>25200</v>
      </c>
      <c r="CI706" s="3">
        <f t="shared" si="107"/>
        <v>0</v>
      </c>
      <c r="CJ706" s="17">
        <f t="shared" si="108"/>
        <v>11172</v>
      </c>
      <c r="CK706" s="3" t="str">
        <f t="shared" si="109"/>
        <v>صيدلة اكلينيكى</v>
      </c>
    </row>
    <row r="707" spans="4:89" x14ac:dyDescent="0.25">
      <c r="D707" s="17">
        <v>18184</v>
      </c>
      <c r="E707" s="17">
        <v>11173</v>
      </c>
      <c r="F707" s="3" t="s">
        <v>132</v>
      </c>
      <c r="G707" s="3" t="s">
        <v>412</v>
      </c>
      <c r="I707" s="3">
        <v>6555.49</v>
      </c>
      <c r="AU707" s="22">
        <f t="shared" si="105"/>
        <v>6555.49</v>
      </c>
      <c r="AV707" s="3">
        <v>4859.5</v>
      </c>
      <c r="AW707" s="3">
        <v>622.5</v>
      </c>
      <c r="AX707" s="3">
        <v>1073.49</v>
      </c>
      <c r="CH707" s="22">
        <f t="shared" si="106"/>
        <v>6555.49</v>
      </c>
      <c r="CI707" s="3">
        <f t="shared" si="107"/>
        <v>0</v>
      </c>
      <c r="CJ707" s="17">
        <f t="shared" si="108"/>
        <v>11173</v>
      </c>
      <c r="CK707" s="3" t="str">
        <f t="shared" si="109"/>
        <v>صيدلة اكلينيكى</v>
      </c>
    </row>
    <row r="708" spans="4:89" x14ac:dyDescent="0.25">
      <c r="D708" s="17">
        <v>18181</v>
      </c>
      <c r="E708" s="17">
        <v>11174</v>
      </c>
      <c r="F708" s="3" t="s">
        <v>132</v>
      </c>
      <c r="G708" s="3" t="s">
        <v>412</v>
      </c>
      <c r="I708" s="3">
        <v>500</v>
      </c>
      <c r="AU708" s="22">
        <f t="shared" si="105"/>
        <v>500</v>
      </c>
      <c r="AV708" s="3">
        <v>447.05</v>
      </c>
      <c r="AW708" s="3">
        <v>52.95</v>
      </c>
      <c r="CH708" s="22">
        <f t="shared" si="106"/>
        <v>500</v>
      </c>
      <c r="CI708" s="3">
        <f t="shared" si="107"/>
        <v>0</v>
      </c>
      <c r="CJ708" s="17">
        <f t="shared" si="108"/>
        <v>11174</v>
      </c>
      <c r="CK708" s="3" t="str">
        <f t="shared" si="109"/>
        <v>صيدلة اكلينيكى</v>
      </c>
    </row>
    <row r="709" spans="4:89" x14ac:dyDescent="0.25">
      <c r="D709" s="17">
        <v>18180</v>
      </c>
      <c r="E709" s="17">
        <v>11175</v>
      </c>
      <c r="F709" s="3" t="s">
        <v>132</v>
      </c>
      <c r="G709" s="3" t="s">
        <v>412</v>
      </c>
      <c r="I709" s="3">
        <v>9629.3799999999992</v>
      </c>
      <c r="AU709" s="22">
        <f t="shared" si="105"/>
        <v>9629.3799999999992</v>
      </c>
      <c r="AV709" s="3">
        <v>9281.68</v>
      </c>
      <c r="AW709" s="3">
        <f>75+60.82</f>
        <v>135.82</v>
      </c>
      <c r="AX709" s="3">
        <v>211.88</v>
      </c>
      <c r="CH709" s="22">
        <f t="shared" si="106"/>
        <v>9629.3799999999992</v>
      </c>
      <c r="CI709" s="3">
        <f t="shared" si="107"/>
        <v>0</v>
      </c>
      <c r="CJ709" s="17">
        <f t="shared" si="108"/>
        <v>11175</v>
      </c>
      <c r="CK709" s="3" t="str">
        <f t="shared" si="109"/>
        <v>صيدلة اكلينيكى</v>
      </c>
    </row>
    <row r="710" spans="4:89" x14ac:dyDescent="0.25">
      <c r="D710" s="17">
        <v>18183</v>
      </c>
      <c r="E710" s="17">
        <v>11176</v>
      </c>
      <c r="F710" s="3" t="s">
        <v>132</v>
      </c>
      <c r="G710" s="3" t="s">
        <v>412</v>
      </c>
      <c r="I710" s="3">
        <v>586.25</v>
      </c>
      <c r="AU710" s="22">
        <f t="shared" si="105"/>
        <v>586.25</v>
      </c>
      <c r="AV710" s="3">
        <v>392.4</v>
      </c>
      <c r="AW710" s="3">
        <v>52.6</v>
      </c>
      <c r="AX710" s="3">
        <v>141.25</v>
      </c>
      <c r="CH710" s="22">
        <f t="shared" si="106"/>
        <v>586.25</v>
      </c>
      <c r="CI710" s="3">
        <f t="shared" si="107"/>
        <v>0</v>
      </c>
      <c r="CJ710" s="17">
        <f t="shared" si="108"/>
        <v>11176</v>
      </c>
      <c r="CK710" s="3" t="str">
        <f t="shared" si="109"/>
        <v>صيدلة اكلينيكى</v>
      </c>
    </row>
    <row r="711" spans="4:89" x14ac:dyDescent="0.25">
      <c r="D711" s="17">
        <v>18182</v>
      </c>
      <c r="E711" s="17">
        <v>11177</v>
      </c>
      <c r="F711" s="3" t="s">
        <v>132</v>
      </c>
      <c r="G711" s="3" t="s">
        <v>412</v>
      </c>
      <c r="I711" s="3">
        <v>2051.88</v>
      </c>
      <c r="AU711" s="22">
        <f t="shared" si="105"/>
        <v>2051.88</v>
      </c>
      <c r="AV711" s="3">
        <v>1373.35</v>
      </c>
      <c r="AW711" s="3">
        <v>184.15</v>
      </c>
      <c r="AX711" s="3">
        <v>494.38</v>
      </c>
      <c r="CH711" s="22">
        <f t="shared" si="106"/>
        <v>2051.88</v>
      </c>
      <c r="CI711" s="3">
        <f t="shared" si="107"/>
        <v>0</v>
      </c>
      <c r="CJ711" s="17">
        <f t="shared" si="108"/>
        <v>11177</v>
      </c>
      <c r="CK711" s="3" t="str">
        <f t="shared" si="109"/>
        <v>صيدلة اكلينيكى</v>
      </c>
    </row>
    <row r="712" spans="4:89" x14ac:dyDescent="0.25">
      <c r="D712" s="17">
        <v>18071</v>
      </c>
      <c r="E712" s="17">
        <v>11178</v>
      </c>
      <c r="F712" s="3" t="s">
        <v>132</v>
      </c>
      <c r="G712" s="3" t="s">
        <v>404</v>
      </c>
      <c r="I712" s="3">
        <v>5100</v>
      </c>
      <c r="AU712" s="22">
        <f t="shared" si="105"/>
        <v>5100</v>
      </c>
      <c r="AV712" s="3">
        <v>4553.25</v>
      </c>
      <c r="AW712" s="3">
        <v>546.75</v>
      </c>
      <c r="CH712" s="22">
        <f t="shared" si="106"/>
        <v>5100</v>
      </c>
      <c r="CI712" s="3">
        <f t="shared" si="107"/>
        <v>0</v>
      </c>
      <c r="CJ712" s="17">
        <f t="shared" si="108"/>
        <v>11178</v>
      </c>
      <c r="CK712" s="3" t="str">
        <f t="shared" si="109"/>
        <v>صيدلة اكلينيكى</v>
      </c>
    </row>
    <row r="713" spans="4:89" x14ac:dyDescent="0.25">
      <c r="D713" s="17">
        <v>18072</v>
      </c>
      <c r="E713" s="17">
        <v>11179</v>
      </c>
      <c r="F713" s="3" t="s">
        <v>132</v>
      </c>
      <c r="G713" s="3" t="s">
        <v>404</v>
      </c>
      <c r="I713" s="3">
        <v>125476.39</v>
      </c>
      <c r="AU713" s="22">
        <f t="shared" si="105"/>
        <v>125476.39</v>
      </c>
      <c r="AV713" s="3">
        <v>111023.16</v>
      </c>
      <c r="AW713" s="3">
        <v>13374.95</v>
      </c>
      <c r="AX713" s="3">
        <v>1078.28</v>
      </c>
      <c r="CH713" s="22">
        <f t="shared" si="106"/>
        <v>125476.39</v>
      </c>
      <c r="CI713" s="3">
        <f t="shared" si="107"/>
        <v>0</v>
      </c>
      <c r="CJ713" s="17">
        <f t="shared" si="108"/>
        <v>11179</v>
      </c>
      <c r="CK713" s="3" t="str">
        <f t="shared" si="109"/>
        <v>صيدلة اكلينيكى</v>
      </c>
    </row>
    <row r="714" spans="4:89" x14ac:dyDescent="0.25">
      <c r="D714" s="17">
        <v>18162</v>
      </c>
      <c r="E714" s="17">
        <v>11180</v>
      </c>
      <c r="F714" s="3" t="s">
        <v>132</v>
      </c>
      <c r="G714" s="3" t="s">
        <v>413</v>
      </c>
      <c r="I714" s="3">
        <v>9008.76</v>
      </c>
      <c r="AU714" s="22">
        <f t="shared" si="105"/>
        <v>9008.76</v>
      </c>
      <c r="AV714" s="3">
        <v>7649.5</v>
      </c>
      <c r="AW714" s="3">
        <v>935.5</v>
      </c>
      <c r="AX714" s="3">
        <v>423.76</v>
      </c>
      <c r="CH714" s="22">
        <f t="shared" si="106"/>
        <v>9008.76</v>
      </c>
      <c r="CI714" s="3">
        <f t="shared" si="107"/>
        <v>0</v>
      </c>
      <c r="CJ714" s="17">
        <f t="shared" si="108"/>
        <v>11180</v>
      </c>
      <c r="CK714" s="3" t="str">
        <f t="shared" si="109"/>
        <v>صيدلة اكلينيكى</v>
      </c>
    </row>
    <row r="715" spans="4:89" x14ac:dyDescent="0.25">
      <c r="D715" s="17">
        <v>18163</v>
      </c>
      <c r="E715" s="17">
        <v>11181</v>
      </c>
      <c r="F715" s="3" t="s">
        <v>132</v>
      </c>
      <c r="G715" s="3" t="s">
        <v>413</v>
      </c>
      <c r="I715" s="3">
        <v>843.67</v>
      </c>
      <c r="AU715" s="22">
        <f t="shared" ref="AU715:AU746" si="110">SUM(I715:AS715)</f>
        <v>843.67</v>
      </c>
      <c r="AV715" s="3">
        <v>610.77</v>
      </c>
      <c r="AW715" s="3">
        <v>79.5</v>
      </c>
      <c r="AX715" s="3">
        <v>153.4</v>
      </c>
      <c r="CH715" s="22">
        <f t="shared" ref="CH715:CH746" si="111">SUM(AV715:CG715)</f>
        <v>843.67</v>
      </c>
      <c r="CI715" s="3">
        <f t="shared" ref="CI715:CI746" si="112">+CH715-AU715</f>
        <v>0</v>
      </c>
      <c r="CJ715" s="17">
        <f t="shared" ref="CJ715:CJ746" si="113">+E715</f>
        <v>11181</v>
      </c>
      <c r="CK715" s="3" t="str">
        <f t="shared" ref="CK715:CK746" si="114">+F715</f>
        <v>صيدلة اكلينيكى</v>
      </c>
    </row>
    <row r="716" spans="4:89" x14ac:dyDescent="0.25">
      <c r="D716" s="17">
        <v>18193</v>
      </c>
      <c r="E716" s="17">
        <v>11182</v>
      </c>
      <c r="F716" s="3" t="s">
        <v>132</v>
      </c>
      <c r="G716" s="3" t="s">
        <v>413</v>
      </c>
      <c r="I716" s="3">
        <v>500</v>
      </c>
      <c r="AU716" s="22">
        <f t="shared" si="110"/>
        <v>500</v>
      </c>
      <c r="AV716" s="3">
        <v>447.05</v>
      </c>
      <c r="AW716" s="3">
        <v>52.95</v>
      </c>
      <c r="CH716" s="22">
        <f t="shared" si="111"/>
        <v>500</v>
      </c>
      <c r="CI716" s="3">
        <f t="shared" si="112"/>
        <v>0</v>
      </c>
      <c r="CJ716" s="17">
        <f t="shared" si="113"/>
        <v>11182</v>
      </c>
      <c r="CK716" s="3" t="str">
        <f t="shared" si="114"/>
        <v>صيدلة اكلينيكى</v>
      </c>
    </row>
    <row r="717" spans="4:89" x14ac:dyDescent="0.25">
      <c r="D717" s="17">
        <v>18164</v>
      </c>
      <c r="E717" s="17">
        <v>11183</v>
      </c>
      <c r="F717" s="3" t="s">
        <v>132</v>
      </c>
      <c r="G717" s="3" t="s">
        <v>413</v>
      </c>
      <c r="I717" s="3">
        <v>586.25</v>
      </c>
      <c r="AU717" s="22">
        <f t="shared" si="110"/>
        <v>586.25</v>
      </c>
      <c r="AV717" s="3">
        <v>392.4</v>
      </c>
      <c r="AW717" s="3">
        <f>2.6+50</f>
        <v>52.6</v>
      </c>
      <c r="AX717" s="3">
        <v>141.25</v>
      </c>
      <c r="CH717" s="22">
        <f t="shared" si="111"/>
        <v>586.25</v>
      </c>
      <c r="CI717" s="3">
        <f t="shared" si="112"/>
        <v>0</v>
      </c>
      <c r="CJ717" s="17">
        <f t="shared" si="113"/>
        <v>11183</v>
      </c>
      <c r="CK717" s="3" t="str">
        <f t="shared" si="114"/>
        <v>صيدلة اكلينيكى</v>
      </c>
    </row>
    <row r="718" spans="4:89" x14ac:dyDescent="0.25">
      <c r="D718" s="17">
        <v>18158</v>
      </c>
      <c r="E718" s="17">
        <v>11184</v>
      </c>
      <c r="F718" s="3" t="s">
        <v>132</v>
      </c>
      <c r="G718" s="3" t="s">
        <v>414</v>
      </c>
      <c r="I718" s="3">
        <v>10567.9</v>
      </c>
      <c r="AU718" s="22">
        <f t="shared" si="110"/>
        <v>10567.9</v>
      </c>
      <c r="AV718" s="3">
        <v>8471.65</v>
      </c>
      <c r="AW718" s="3">
        <v>1067.95</v>
      </c>
      <c r="AX718" s="3">
        <v>1028.3</v>
      </c>
      <c r="CH718" s="22">
        <f t="shared" si="111"/>
        <v>10567.9</v>
      </c>
      <c r="CI718" s="3">
        <f t="shared" si="112"/>
        <v>0</v>
      </c>
      <c r="CJ718" s="17">
        <f t="shared" si="113"/>
        <v>11184</v>
      </c>
      <c r="CK718" s="3" t="str">
        <f t="shared" si="114"/>
        <v>صيدلة اكلينيكى</v>
      </c>
    </row>
    <row r="719" spans="4:89" x14ac:dyDescent="0.25">
      <c r="D719" s="17">
        <v>18157</v>
      </c>
      <c r="E719" s="17">
        <v>11185</v>
      </c>
      <c r="F719" s="3" t="s">
        <v>132</v>
      </c>
      <c r="G719" s="3" t="s">
        <v>414</v>
      </c>
      <c r="I719" s="3">
        <v>1680</v>
      </c>
      <c r="AU719" s="22">
        <f t="shared" si="110"/>
        <v>1680</v>
      </c>
      <c r="AV719" s="3">
        <v>1499.75</v>
      </c>
      <c r="AW719" s="3">
        <v>180.25</v>
      </c>
      <c r="CH719" s="22">
        <f t="shared" si="111"/>
        <v>1680</v>
      </c>
      <c r="CI719" s="3">
        <f t="shared" si="112"/>
        <v>0</v>
      </c>
      <c r="CJ719" s="17">
        <f t="shared" si="113"/>
        <v>11185</v>
      </c>
      <c r="CK719" s="3" t="str">
        <f t="shared" si="114"/>
        <v>صيدلة اكلينيكى</v>
      </c>
    </row>
    <row r="720" spans="4:89" x14ac:dyDescent="0.25">
      <c r="D720" s="17">
        <v>18194</v>
      </c>
      <c r="E720" s="17">
        <v>11186</v>
      </c>
      <c r="F720" s="3" t="s">
        <v>132</v>
      </c>
      <c r="G720" s="3" t="s">
        <v>414</v>
      </c>
      <c r="I720" s="3">
        <v>6120.45</v>
      </c>
      <c r="AU720" s="22">
        <f t="shared" si="110"/>
        <v>6120.45</v>
      </c>
      <c r="AV720" s="3">
        <v>4085.39</v>
      </c>
      <c r="AW720" s="3">
        <f>522+38.41</f>
        <v>560.41</v>
      </c>
      <c r="AX720" s="29">
        <v>1474.65</v>
      </c>
      <c r="CH720" s="22">
        <f t="shared" si="111"/>
        <v>6120.4500000000007</v>
      </c>
      <c r="CI720" s="3">
        <f t="shared" si="112"/>
        <v>0</v>
      </c>
      <c r="CJ720" s="17">
        <f t="shared" si="113"/>
        <v>11186</v>
      </c>
      <c r="CK720" s="3" t="str">
        <f t="shared" si="114"/>
        <v>صيدلة اكلينيكى</v>
      </c>
    </row>
    <row r="721" spans="3:89" x14ac:dyDescent="0.25">
      <c r="C721" s="17" t="s">
        <v>367</v>
      </c>
      <c r="D721" s="17">
        <v>17234</v>
      </c>
      <c r="E721" s="17">
        <v>11187</v>
      </c>
      <c r="F721" s="3" t="s">
        <v>124</v>
      </c>
      <c r="G721" s="3" t="s">
        <v>415</v>
      </c>
      <c r="I721" s="3">
        <v>802.76</v>
      </c>
      <c r="AU721" s="22">
        <f t="shared" si="110"/>
        <v>802.76</v>
      </c>
      <c r="AV721" s="3">
        <v>504.33</v>
      </c>
      <c r="AW721" s="3">
        <v>70.760000000000005</v>
      </c>
      <c r="AX721" s="3">
        <v>193.44</v>
      </c>
      <c r="AY721" s="3">
        <v>34.229999999999997</v>
      </c>
      <c r="CH721" s="22">
        <f t="shared" si="111"/>
        <v>802.76</v>
      </c>
      <c r="CI721" s="3">
        <f t="shared" si="112"/>
        <v>0</v>
      </c>
      <c r="CJ721" s="17">
        <f t="shared" si="113"/>
        <v>11187</v>
      </c>
      <c r="CK721" s="3" t="str">
        <f t="shared" si="114"/>
        <v>تكافل اسنان</v>
      </c>
    </row>
    <row r="722" spans="3:89" x14ac:dyDescent="0.25">
      <c r="D722" s="17">
        <v>17771</v>
      </c>
      <c r="E722" s="17">
        <v>11188</v>
      </c>
      <c r="F722" s="3" t="s">
        <v>123</v>
      </c>
      <c r="G722" s="3" t="s">
        <v>416</v>
      </c>
      <c r="I722" s="3">
        <v>5041.75</v>
      </c>
      <c r="AU722" s="22">
        <f t="shared" si="110"/>
        <v>5041.75</v>
      </c>
      <c r="AV722" s="3">
        <v>3159.15</v>
      </c>
      <c r="AW722" s="3">
        <v>452.85</v>
      </c>
      <c r="AX722" s="3">
        <v>1214.75</v>
      </c>
      <c r="AY722" s="3">
        <v>215</v>
      </c>
      <c r="CH722" s="22">
        <f t="shared" si="111"/>
        <v>5041.75</v>
      </c>
      <c r="CI722" s="3">
        <f t="shared" si="112"/>
        <v>0</v>
      </c>
      <c r="CJ722" s="17">
        <f t="shared" si="113"/>
        <v>11188</v>
      </c>
      <c r="CK722" s="3" t="str">
        <f t="shared" si="114"/>
        <v>خ ت اسنان</v>
      </c>
    </row>
    <row r="723" spans="3:89" x14ac:dyDescent="0.25">
      <c r="D723" s="17">
        <v>17772</v>
      </c>
      <c r="E723" s="17">
        <v>11189</v>
      </c>
      <c r="F723" s="3" t="s">
        <v>123</v>
      </c>
      <c r="G723" s="3" t="s">
        <v>416</v>
      </c>
      <c r="I723" s="3">
        <v>1172.5</v>
      </c>
      <c r="AU723" s="22">
        <f t="shared" si="110"/>
        <v>1172.5</v>
      </c>
      <c r="AV723" s="3">
        <v>734.8</v>
      </c>
      <c r="AW723" s="3">
        <v>105.2</v>
      </c>
      <c r="AX723" s="3">
        <v>282.5</v>
      </c>
      <c r="AY723" s="3">
        <v>50</v>
      </c>
      <c r="CH723" s="22">
        <f t="shared" si="111"/>
        <v>1172.5</v>
      </c>
      <c r="CI723" s="3">
        <f t="shared" si="112"/>
        <v>0</v>
      </c>
      <c r="CJ723" s="17">
        <f t="shared" si="113"/>
        <v>11189</v>
      </c>
      <c r="CK723" s="3" t="str">
        <f t="shared" si="114"/>
        <v>خ ت اسنان</v>
      </c>
    </row>
    <row r="724" spans="3:89" x14ac:dyDescent="0.25">
      <c r="C724" s="3"/>
      <c r="D724" s="17">
        <v>16429</v>
      </c>
      <c r="E724" s="17">
        <v>11190</v>
      </c>
      <c r="F724" s="3" t="s">
        <v>123</v>
      </c>
      <c r="G724" s="3" t="s">
        <v>417</v>
      </c>
      <c r="I724" s="3">
        <v>4502.63</v>
      </c>
      <c r="AU724" s="22">
        <f t="shared" si="110"/>
        <v>4502.63</v>
      </c>
      <c r="AV724" s="3">
        <v>3500.73</v>
      </c>
      <c r="AW724" s="3">
        <v>455.05</v>
      </c>
      <c r="AX724" s="3">
        <v>331.85</v>
      </c>
      <c r="AY724" s="3">
        <v>215</v>
      </c>
      <c r="CH724" s="22">
        <f t="shared" si="111"/>
        <v>4502.63</v>
      </c>
      <c r="CI724" s="3">
        <f t="shared" si="112"/>
        <v>0</v>
      </c>
      <c r="CJ724" s="17">
        <f t="shared" si="113"/>
        <v>11190</v>
      </c>
      <c r="CK724" s="3" t="str">
        <f t="shared" si="114"/>
        <v>خ ت اسنان</v>
      </c>
    </row>
    <row r="725" spans="3:89" x14ac:dyDescent="0.25">
      <c r="C725" s="3"/>
      <c r="D725" s="17">
        <v>16430</v>
      </c>
      <c r="E725" s="17">
        <v>11191</v>
      </c>
      <c r="F725" s="3" t="s">
        <v>123</v>
      </c>
      <c r="G725" s="3" t="s">
        <v>417</v>
      </c>
      <c r="I725" s="3">
        <v>1086.25</v>
      </c>
      <c r="AU725" s="22">
        <f t="shared" si="110"/>
        <v>1086.25</v>
      </c>
      <c r="AV725" s="3">
        <v>789.45</v>
      </c>
      <c r="AW725" s="3">
        <v>105.55</v>
      </c>
      <c r="AX725" s="3">
        <v>141.25</v>
      </c>
      <c r="AY725" s="3">
        <v>50</v>
      </c>
      <c r="CH725" s="22">
        <f t="shared" si="111"/>
        <v>1086.25</v>
      </c>
      <c r="CI725" s="3">
        <f t="shared" si="112"/>
        <v>0</v>
      </c>
      <c r="CJ725" s="17">
        <f t="shared" si="113"/>
        <v>11191</v>
      </c>
      <c r="CK725" s="3" t="str">
        <f t="shared" si="114"/>
        <v>خ ت اسنان</v>
      </c>
    </row>
    <row r="726" spans="3:89" x14ac:dyDescent="0.25">
      <c r="D726" s="17">
        <v>18220</v>
      </c>
      <c r="E726" s="17">
        <v>11192</v>
      </c>
      <c r="F726" s="3" t="s">
        <v>123</v>
      </c>
      <c r="G726" s="3" t="s">
        <v>418</v>
      </c>
      <c r="I726" s="3">
        <v>386.93</v>
      </c>
      <c r="AU726" s="22">
        <f t="shared" si="110"/>
        <v>386.93</v>
      </c>
      <c r="AV726" s="3">
        <v>243.85</v>
      </c>
      <c r="AW726" s="3">
        <v>33.35</v>
      </c>
      <c r="AX726" s="3">
        <v>93.23</v>
      </c>
      <c r="AY726" s="3">
        <v>16.5</v>
      </c>
      <c r="CH726" s="22">
        <f t="shared" si="111"/>
        <v>386.93</v>
      </c>
      <c r="CI726" s="3">
        <f t="shared" si="112"/>
        <v>0</v>
      </c>
      <c r="CJ726" s="17">
        <f t="shared" si="113"/>
        <v>11192</v>
      </c>
      <c r="CK726" s="3" t="str">
        <f t="shared" si="114"/>
        <v>خ ت اسنان</v>
      </c>
    </row>
    <row r="727" spans="3:89" x14ac:dyDescent="0.25">
      <c r="C727" s="3"/>
      <c r="D727" s="17">
        <v>18219</v>
      </c>
      <c r="E727" s="17">
        <v>11193</v>
      </c>
      <c r="F727" s="3" t="s">
        <v>123</v>
      </c>
      <c r="G727" s="3" t="s">
        <v>418</v>
      </c>
      <c r="I727" s="3">
        <v>75</v>
      </c>
      <c r="AU727" s="22">
        <f t="shared" si="110"/>
        <v>75</v>
      </c>
      <c r="AV727" s="3">
        <v>63.6</v>
      </c>
      <c r="AW727" s="3">
        <v>7.65</v>
      </c>
      <c r="AY727" s="3">
        <v>3.75</v>
      </c>
      <c r="CH727" s="22">
        <f t="shared" si="111"/>
        <v>75</v>
      </c>
      <c r="CI727" s="3">
        <f t="shared" si="112"/>
        <v>0</v>
      </c>
      <c r="CJ727" s="17">
        <f t="shared" si="113"/>
        <v>11193</v>
      </c>
      <c r="CK727" s="3" t="str">
        <f t="shared" si="114"/>
        <v>خ ت اسنان</v>
      </c>
    </row>
    <row r="728" spans="3:89" x14ac:dyDescent="0.25">
      <c r="D728" s="17">
        <v>18221</v>
      </c>
      <c r="E728" s="17">
        <v>11194</v>
      </c>
      <c r="F728" s="3" t="s">
        <v>123</v>
      </c>
      <c r="G728" s="3" t="s">
        <v>418</v>
      </c>
      <c r="I728" s="3">
        <v>93.8</v>
      </c>
      <c r="AU728" s="22">
        <f t="shared" si="110"/>
        <v>93.8</v>
      </c>
      <c r="AV728" s="3">
        <v>59.2</v>
      </c>
      <c r="AW728" s="3">
        <v>8</v>
      </c>
      <c r="AX728" s="3">
        <v>22.6</v>
      </c>
      <c r="AY728" s="3">
        <v>4</v>
      </c>
      <c r="CH728" s="22">
        <f t="shared" si="111"/>
        <v>93.800000000000011</v>
      </c>
      <c r="CI728" s="3">
        <f t="shared" si="112"/>
        <v>0</v>
      </c>
      <c r="CJ728" s="17">
        <f t="shared" si="113"/>
        <v>11194</v>
      </c>
      <c r="CK728" s="3" t="str">
        <f t="shared" si="114"/>
        <v>خ ت اسنان</v>
      </c>
    </row>
    <row r="729" spans="3:89" x14ac:dyDescent="0.25">
      <c r="D729" s="17">
        <v>18218</v>
      </c>
      <c r="E729" s="17">
        <v>11195</v>
      </c>
      <c r="F729" s="3" t="s">
        <v>123</v>
      </c>
      <c r="G729" s="3" t="s">
        <v>418</v>
      </c>
      <c r="I729" s="3">
        <v>790.03</v>
      </c>
      <c r="AU729" s="22">
        <f t="shared" si="110"/>
        <v>790.03</v>
      </c>
      <c r="AV729" s="3">
        <v>498.51</v>
      </c>
      <c r="AW729" s="3">
        <v>67.48</v>
      </c>
      <c r="AX729" s="3">
        <v>190.35</v>
      </c>
      <c r="AY729" s="3">
        <v>33.69</v>
      </c>
      <c r="CH729" s="22">
        <f t="shared" si="111"/>
        <v>790.03</v>
      </c>
      <c r="CI729" s="3">
        <f t="shared" si="112"/>
        <v>0</v>
      </c>
      <c r="CJ729" s="17">
        <f t="shared" si="113"/>
        <v>11195</v>
      </c>
      <c r="CK729" s="3" t="str">
        <f t="shared" si="114"/>
        <v>خ ت اسنان</v>
      </c>
    </row>
    <row r="730" spans="3:89" x14ac:dyDescent="0.25">
      <c r="D730" s="17">
        <v>18810</v>
      </c>
      <c r="E730" s="17">
        <v>11196</v>
      </c>
      <c r="F730" s="3" t="s">
        <v>121</v>
      </c>
      <c r="G730" s="3" t="s">
        <v>419</v>
      </c>
      <c r="I730" s="3">
        <v>69000</v>
      </c>
      <c r="AU730" s="22">
        <f t="shared" si="110"/>
        <v>69000</v>
      </c>
      <c r="AV730" s="3">
        <v>61645</v>
      </c>
      <c r="AW730" s="3">
        <v>7355</v>
      </c>
      <c r="CH730" s="22">
        <f t="shared" si="111"/>
        <v>69000</v>
      </c>
      <c r="CI730" s="3">
        <f t="shared" si="112"/>
        <v>0</v>
      </c>
      <c r="CJ730" s="17">
        <f t="shared" si="113"/>
        <v>11196</v>
      </c>
      <c r="CK730" s="3" t="str">
        <f t="shared" si="114"/>
        <v>ماليزى اسنان</v>
      </c>
    </row>
    <row r="731" spans="3:89" x14ac:dyDescent="0.25">
      <c r="D731" s="17">
        <v>18809</v>
      </c>
      <c r="E731" s="17">
        <v>11197</v>
      </c>
      <c r="F731" s="3" t="s">
        <v>121</v>
      </c>
      <c r="G731" s="3" t="s">
        <v>419</v>
      </c>
      <c r="I731" s="3">
        <v>10000</v>
      </c>
      <c r="AU731" s="22">
        <f t="shared" si="110"/>
        <v>10000</v>
      </c>
      <c r="AV731" s="3">
        <v>8920.4</v>
      </c>
      <c r="AW731" s="3">
        <v>1079.5999999999999</v>
      </c>
      <c r="CH731" s="22">
        <f t="shared" si="111"/>
        <v>10000</v>
      </c>
      <c r="CI731" s="3">
        <f t="shared" si="112"/>
        <v>0</v>
      </c>
      <c r="CJ731" s="17">
        <f t="shared" si="113"/>
        <v>11197</v>
      </c>
      <c r="CK731" s="3" t="str">
        <f t="shared" si="114"/>
        <v>ماليزى اسنان</v>
      </c>
    </row>
    <row r="732" spans="3:89" x14ac:dyDescent="0.25">
      <c r="D732" s="17">
        <v>18806</v>
      </c>
      <c r="E732" s="17">
        <v>11198</v>
      </c>
      <c r="F732" s="3" t="s">
        <v>121</v>
      </c>
      <c r="G732" s="3" t="s">
        <v>420</v>
      </c>
      <c r="I732" s="3">
        <v>6000</v>
      </c>
      <c r="AU732" s="22">
        <f t="shared" si="110"/>
        <v>6000</v>
      </c>
      <c r="AV732" s="3">
        <v>5355.7</v>
      </c>
      <c r="AW732" s="3">
        <v>644.29999999999995</v>
      </c>
      <c r="CH732" s="22">
        <f t="shared" si="111"/>
        <v>6000</v>
      </c>
      <c r="CI732" s="3">
        <f t="shared" si="112"/>
        <v>0</v>
      </c>
      <c r="CJ732" s="17">
        <f t="shared" si="113"/>
        <v>11198</v>
      </c>
      <c r="CK732" s="3" t="str">
        <f t="shared" si="114"/>
        <v>ماليزى اسنان</v>
      </c>
    </row>
    <row r="733" spans="3:89" x14ac:dyDescent="0.25">
      <c r="C733" s="3"/>
      <c r="D733" s="17">
        <v>18805</v>
      </c>
      <c r="E733" s="17">
        <v>11199</v>
      </c>
      <c r="F733" s="3" t="s">
        <v>121</v>
      </c>
      <c r="G733" s="3" t="s">
        <v>420</v>
      </c>
      <c r="I733" s="3">
        <v>9817.4699999999993</v>
      </c>
      <c r="AU733" s="22">
        <f t="shared" si="110"/>
        <v>9817.4699999999993</v>
      </c>
      <c r="AV733" s="3">
        <v>7516.17</v>
      </c>
      <c r="AW733" s="3">
        <v>962.55</v>
      </c>
      <c r="AX733" s="3">
        <v>1338.75</v>
      </c>
      <c r="CH733" s="22">
        <f t="shared" si="111"/>
        <v>9817.4699999999993</v>
      </c>
      <c r="CI733" s="3">
        <f t="shared" si="112"/>
        <v>0</v>
      </c>
      <c r="CJ733" s="17">
        <f t="shared" si="113"/>
        <v>11199</v>
      </c>
      <c r="CK733" s="3" t="str">
        <f t="shared" si="114"/>
        <v>ماليزى اسنان</v>
      </c>
    </row>
    <row r="734" spans="3:89" x14ac:dyDescent="0.25">
      <c r="D734" s="17">
        <v>18807</v>
      </c>
      <c r="E734" s="17">
        <v>11200</v>
      </c>
      <c r="F734" s="3" t="s">
        <v>121</v>
      </c>
      <c r="G734" s="3" t="s">
        <v>420</v>
      </c>
      <c r="I734" s="3">
        <v>16873.25</v>
      </c>
      <c r="AU734" s="22">
        <f t="shared" si="110"/>
        <v>16873.25</v>
      </c>
      <c r="AV734" s="3">
        <v>12203.66</v>
      </c>
      <c r="AW734" s="3">
        <v>1601.8</v>
      </c>
      <c r="AX734" s="3">
        <v>3067.79</v>
      </c>
      <c r="CH734" s="22">
        <f t="shared" si="111"/>
        <v>16873.25</v>
      </c>
      <c r="CI734" s="3">
        <f t="shared" si="112"/>
        <v>0</v>
      </c>
      <c r="CJ734" s="17">
        <f t="shared" si="113"/>
        <v>11200</v>
      </c>
      <c r="CK734" s="3" t="str">
        <f t="shared" si="114"/>
        <v>ماليزى اسنان</v>
      </c>
    </row>
    <row r="735" spans="3:89" x14ac:dyDescent="0.25">
      <c r="D735" s="17">
        <v>18811</v>
      </c>
      <c r="E735" s="17">
        <v>11201</v>
      </c>
      <c r="F735" s="3" t="s">
        <v>121</v>
      </c>
      <c r="G735" s="3" t="s">
        <v>421</v>
      </c>
      <c r="I735" s="3">
        <v>29775.65</v>
      </c>
      <c r="AU735" s="22">
        <f t="shared" si="110"/>
        <v>29775.65</v>
      </c>
      <c r="AV735" s="3">
        <v>19896.55</v>
      </c>
      <c r="AW735" s="3">
        <v>2705</v>
      </c>
      <c r="AX735" s="3">
        <v>7174.1</v>
      </c>
      <c r="CH735" s="22">
        <f t="shared" si="111"/>
        <v>29775.65</v>
      </c>
      <c r="CI735" s="3">
        <f t="shared" si="112"/>
        <v>0</v>
      </c>
      <c r="CJ735" s="17">
        <f t="shared" si="113"/>
        <v>11201</v>
      </c>
      <c r="CK735" s="3" t="str">
        <f t="shared" si="114"/>
        <v>ماليزى اسنان</v>
      </c>
    </row>
    <row r="736" spans="3:89" x14ac:dyDescent="0.25">
      <c r="D736" s="17">
        <v>18808</v>
      </c>
      <c r="E736" s="17">
        <v>11202</v>
      </c>
      <c r="F736" s="3" t="s">
        <v>121</v>
      </c>
      <c r="G736" s="3" t="s">
        <v>422</v>
      </c>
      <c r="I736" s="3">
        <v>27858.6</v>
      </c>
      <c r="AU736" s="22">
        <f t="shared" si="110"/>
        <v>27858.6</v>
      </c>
      <c r="AV736" s="3">
        <v>18615.849999999999</v>
      </c>
      <c r="AW736" s="3">
        <v>2530.5500000000002</v>
      </c>
      <c r="AX736" s="3">
        <v>6712.2</v>
      </c>
      <c r="CH736" s="22">
        <f t="shared" si="111"/>
        <v>27858.6</v>
      </c>
      <c r="CI736" s="3">
        <f t="shared" si="112"/>
        <v>0</v>
      </c>
      <c r="CJ736" s="17">
        <f t="shared" si="113"/>
        <v>11202</v>
      </c>
      <c r="CK736" s="3" t="str">
        <f t="shared" si="114"/>
        <v>ماليزى اسنان</v>
      </c>
    </row>
    <row r="737" spans="3:89" x14ac:dyDescent="0.25">
      <c r="D737" s="17">
        <v>16135</v>
      </c>
      <c r="E737" s="17">
        <v>11203</v>
      </c>
      <c r="F737" s="3" t="s">
        <v>119</v>
      </c>
      <c r="G737" s="3" t="s">
        <v>423</v>
      </c>
      <c r="I737" s="3">
        <v>1021.5</v>
      </c>
      <c r="AU737" s="22">
        <f t="shared" si="110"/>
        <v>1021.5</v>
      </c>
      <c r="AV737" s="3">
        <v>720.08</v>
      </c>
      <c r="AW737" s="3">
        <v>127.42</v>
      </c>
      <c r="AX737" s="3">
        <v>126.5</v>
      </c>
      <c r="AY737" s="3">
        <v>47.5</v>
      </c>
      <c r="CH737" s="22">
        <f t="shared" si="111"/>
        <v>1021.5</v>
      </c>
      <c r="CI737" s="3">
        <f t="shared" si="112"/>
        <v>0</v>
      </c>
      <c r="CJ737" s="17">
        <f t="shared" si="113"/>
        <v>11203</v>
      </c>
      <c r="CK737" s="3" t="str">
        <f t="shared" si="114"/>
        <v>خ ت صيدلة</v>
      </c>
    </row>
    <row r="738" spans="3:89" x14ac:dyDescent="0.25">
      <c r="D738" s="17">
        <v>16169</v>
      </c>
      <c r="E738" s="17">
        <v>11204</v>
      </c>
      <c r="F738" s="3" t="s">
        <v>119</v>
      </c>
      <c r="G738" s="3" t="s">
        <v>423</v>
      </c>
      <c r="I738" s="3">
        <v>675</v>
      </c>
      <c r="AU738" s="22">
        <f t="shared" si="110"/>
        <v>675</v>
      </c>
      <c r="AV738" s="3">
        <v>509.48</v>
      </c>
      <c r="AW738" s="3">
        <v>131.77000000000001</v>
      </c>
      <c r="AY738" s="3">
        <v>33.75</v>
      </c>
      <c r="CH738" s="22">
        <f t="shared" si="111"/>
        <v>675</v>
      </c>
      <c r="CI738" s="3">
        <f t="shared" si="112"/>
        <v>0</v>
      </c>
      <c r="CJ738" s="17">
        <f t="shared" si="113"/>
        <v>11204</v>
      </c>
      <c r="CK738" s="3" t="str">
        <f t="shared" si="114"/>
        <v>خ ت صيدلة</v>
      </c>
    </row>
    <row r="739" spans="3:89" x14ac:dyDescent="0.25">
      <c r="C739" s="3"/>
      <c r="D739" s="17">
        <v>16167</v>
      </c>
      <c r="E739" s="17">
        <v>11205</v>
      </c>
      <c r="F739" s="3" t="s">
        <v>119</v>
      </c>
      <c r="G739" s="3" t="s">
        <v>423</v>
      </c>
      <c r="I739" s="3">
        <v>280.52</v>
      </c>
      <c r="AU739" s="22">
        <f t="shared" si="110"/>
        <v>280.52</v>
      </c>
      <c r="AV739" s="3">
        <v>205.02</v>
      </c>
      <c r="AW739" s="3">
        <v>52.71</v>
      </c>
      <c r="AX739" s="3">
        <v>9.0399999999999991</v>
      </c>
      <c r="AY739" s="3">
        <v>13.75</v>
      </c>
      <c r="CH739" s="22">
        <f t="shared" si="111"/>
        <v>280.52000000000004</v>
      </c>
      <c r="CI739" s="3">
        <f t="shared" si="112"/>
        <v>0</v>
      </c>
      <c r="CJ739" s="17">
        <f t="shared" si="113"/>
        <v>11205</v>
      </c>
      <c r="CK739" s="3" t="str">
        <f t="shared" si="114"/>
        <v>خ ت صيدلة</v>
      </c>
    </row>
    <row r="740" spans="3:89" x14ac:dyDescent="0.25">
      <c r="D740" s="17">
        <v>16165</v>
      </c>
      <c r="E740" s="17">
        <v>11206</v>
      </c>
      <c r="F740" s="3" t="s">
        <v>119</v>
      </c>
      <c r="G740" s="3" t="s">
        <v>423</v>
      </c>
      <c r="I740" s="3">
        <v>675</v>
      </c>
      <c r="AU740" s="22">
        <f t="shared" si="110"/>
        <v>675</v>
      </c>
      <c r="AV740" s="3">
        <v>509.96</v>
      </c>
      <c r="AW740" s="3">
        <v>131.29</v>
      </c>
      <c r="AY740" s="3">
        <v>33.75</v>
      </c>
      <c r="CH740" s="22">
        <f t="shared" si="111"/>
        <v>675</v>
      </c>
      <c r="CI740" s="3">
        <f t="shared" si="112"/>
        <v>0</v>
      </c>
      <c r="CJ740" s="17">
        <f t="shared" si="113"/>
        <v>11206</v>
      </c>
      <c r="CK740" s="3" t="str">
        <f t="shared" si="114"/>
        <v>خ ت صيدلة</v>
      </c>
    </row>
    <row r="741" spans="3:89" x14ac:dyDescent="0.25">
      <c r="C741" s="3"/>
      <c r="D741" s="17">
        <v>16172</v>
      </c>
      <c r="E741" s="17">
        <v>11207</v>
      </c>
      <c r="F741" s="3" t="s">
        <v>119</v>
      </c>
      <c r="G741" s="3" t="s">
        <v>424</v>
      </c>
      <c r="I741" s="3">
        <v>1075</v>
      </c>
      <c r="AU741" s="22">
        <f t="shared" si="110"/>
        <v>1075</v>
      </c>
      <c r="AV741" s="3">
        <v>960.8</v>
      </c>
      <c r="AW741" s="3">
        <f>6.7+107.5</f>
        <v>114.2</v>
      </c>
      <c r="CH741" s="22">
        <f t="shared" si="111"/>
        <v>1075</v>
      </c>
      <c r="CI741" s="3">
        <f t="shared" si="112"/>
        <v>0</v>
      </c>
      <c r="CJ741" s="17">
        <f t="shared" si="113"/>
        <v>11207</v>
      </c>
      <c r="CK741" s="3" t="str">
        <f t="shared" si="114"/>
        <v>خ ت صيدلة</v>
      </c>
    </row>
    <row r="742" spans="3:89" x14ac:dyDescent="0.25">
      <c r="D742" s="17">
        <v>16164</v>
      </c>
      <c r="E742" s="17">
        <v>11208</v>
      </c>
      <c r="F742" s="3" t="s">
        <v>119</v>
      </c>
      <c r="G742" s="3" t="str">
        <f>+G740</f>
        <v>مكافاه اشراف ومناقشه</v>
      </c>
      <c r="I742" s="3">
        <v>400</v>
      </c>
      <c r="AU742" s="22">
        <f t="shared" si="110"/>
        <v>400</v>
      </c>
      <c r="AV742" s="3">
        <v>302.16000000000003</v>
      </c>
      <c r="AW742" s="3">
        <v>77.84</v>
      </c>
      <c r="AY742" s="3">
        <v>20</v>
      </c>
      <c r="CH742" s="22">
        <f t="shared" si="111"/>
        <v>400</v>
      </c>
      <c r="CI742" s="3">
        <f t="shared" si="112"/>
        <v>0</v>
      </c>
      <c r="CJ742" s="17">
        <f t="shared" si="113"/>
        <v>11208</v>
      </c>
      <c r="CK742" s="3" t="str">
        <f t="shared" si="114"/>
        <v>خ ت صيدلة</v>
      </c>
    </row>
    <row r="743" spans="3:89" x14ac:dyDescent="0.25">
      <c r="D743" s="17">
        <v>16161</v>
      </c>
      <c r="E743" s="17">
        <v>11209</v>
      </c>
      <c r="F743" s="3" t="s">
        <v>119</v>
      </c>
      <c r="G743" s="3" t="str">
        <f>+G742</f>
        <v>مكافاه اشراف ومناقشه</v>
      </c>
      <c r="I743" s="3">
        <v>1933.32</v>
      </c>
      <c r="AU743" s="22">
        <f t="shared" si="110"/>
        <v>1933.32</v>
      </c>
      <c r="AV743" s="3">
        <v>1459.4</v>
      </c>
      <c r="AW743" s="3">
        <v>377.26</v>
      </c>
      <c r="AY743" s="3">
        <v>96.66</v>
      </c>
      <c r="CH743" s="22">
        <f t="shared" si="111"/>
        <v>1933.3200000000002</v>
      </c>
      <c r="CI743" s="3">
        <f t="shared" si="112"/>
        <v>0</v>
      </c>
      <c r="CJ743" s="17">
        <f t="shared" si="113"/>
        <v>11209</v>
      </c>
      <c r="CK743" s="3" t="str">
        <f t="shared" si="114"/>
        <v>خ ت صيدلة</v>
      </c>
    </row>
    <row r="744" spans="3:89" x14ac:dyDescent="0.25">
      <c r="D744" s="17">
        <v>16730</v>
      </c>
      <c r="E744" s="17">
        <v>11210</v>
      </c>
      <c r="F744" s="3" t="s">
        <v>119</v>
      </c>
      <c r="G744" s="3" t="str">
        <f>+G741</f>
        <v xml:space="preserve">مكافاه مناقشه ماجستير </v>
      </c>
      <c r="I744" s="3">
        <v>400</v>
      </c>
      <c r="AU744" s="22">
        <f t="shared" si="110"/>
        <v>400</v>
      </c>
      <c r="AV744" s="3">
        <v>357.7</v>
      </c>
      <c r="AW744" s="3">
        <v>42.3</v>
      </c>
      <c r="CH744" s="22">
        <f t="shared" si="111"/>
        <v>400</v>
      </c>
      <c r="CI744" s="3">
        <f t="shared" si="112"/>
        <v>0</v>
      </c>
      <c r="CJ744" s="17">
        <f t="shared" si="113"/>
        <v>11210</v>
      </c>
      <c r="CK744" s="3" t="str">
        <f t="shared" si="114"/>
        <v>خ ت صيدلة</v>
      </c>
    </row>
    <row r="745" spans="3:89" x14ac:dyDescent="0.25">
      <c r="D745" s="17">
        <v>16136</v>
      </c>
      <c r="E745" s="17">
        <v>11211</v>
      </c>
      <c r="F745" s="3" t="s">
        <v>119</v>
      </c>
      <c r="G745" s="3" t="str">
        <f>+G743</f>
        <v>مكافاه اشراف ومناقشه</v>
      </c>
      <c r="I745" s="3">
        <v>950</v>
      </c>
      <c r="AU745" s="22">
        <f t="shared" si="110"/>
        <v>950</v>
      </c>
      <c r="AV745" s="3">
        <v>716.96</v>
      </c>
      <c r="AW745" s="3">
        <v>185.54</v>
      </c>
      <c r="AY745" s="3">
        <v>47.5</v>
      </c>
      <c r="CH745" s="22">
        <f t="shared" si="111"/>
        <v>950</v>
      </c>
      <c r="CI745" s="3">
        <f t="shared" si="112"/>
        <v>0</v>
      </c>
      <c r="CJ745" s="17">
        <f t="shared" si="113"/>
        <v>11211</v>
      </c>
      <c r="CK745" s="3" t="str">
        <f t="shared" si="114"/>
        <v>خ ت صيدلة</v>
      </c>
    </row>
    <row r="746" spans="3:89" x14ac:dyDescent="0.25">
      <c r="D746" s="17">
        <v>16141</v>
      </c>
      <c r="E746" s="17">
        <v>11212</v>
      </c>
      <c r="F746" s="3" t="s">
        <v>119</v>
      </c>
      <c r="G746" s="3" t="s">
        <v>425</v>
      </c>
      <c r="I746" s="3">
        <v>750</v>
      </c>
      <c r="AU746" s="22">
        <f t="shared" si="110"/>
        <v>750</v>
      </c>
      <c r="AV746" s="3">
        <v>670.1</v>
      </c>
      <c r="AW746" s="3">
        <v>79.900000000000006</v>
      </c>
      <c r="CH746" s="22">
        <f t="shared" si="111"/>
        <v>750</v>
      </c>
      <c r="CI746" s="3">
        <f t="shared" si="112"/>
        <v>0</v>
      </c>
      <c r="CJ746" s="17">
        <f t="shared" si="113"/>
        <v>11212</v>
      </c>
      <c r="CK746" s="3" t="str">
        <f t="shared" si="114"/>
        <v>خ ت صيدلة</v>
      </c>
    </row>
    <row r="747" spans="3:89" x14ac:dyDescent="0.25">
      <c r="D747" s="17">
        <v>16140</v>
      </c>
      <c r="E747" s="17">
        <v>11213</v>
      </c>
      <c r="F747" s="3" t="s">
        <v>119</v>
      </c>
      <c r="G747" s="3" t="str">
        <f>+G742</f>
        <v>مكافاه اشراف ومناقشه</v>
      </c>
      <c r="I747" s="3">
        <v>2500</v>
      </c>
      <c r="AU747" s="22">
        <f t="shared" ref="AU747:AU778" si="115">SUM(I747:AS747)</f>
        <v>2500</v>
      </c>
      <c r="AV747" s="3">
        <v>1886.52</v>
      </c>
      <c r="AW747" s="3">
        <v>488.48</v>
      </c>
      <c r="AY747" s="3">
        <v>125</v>
      </c>
      <c r="CH747" s="22">
        <f t="shared" ref="CH747:CH778" si="116">SUM(AV747:CG747)</f>
        <v>2500</v>
      </c>
      <c r="CI747" s="3">
        <f t="shared" ref="CI747:CI778" si="117">+CH747-AU747</f>
        <v>0</v>
      </c>
      <c r="CJ747" s="17">
        <f t="shared" ref="CJ747:CJ778" si="118">+E747</f>
        <v>11213</v>
      </c>
      <c r="CK747" s="3" t="str">
        <f t="shared" ref="CK747:CK778" si="119">+F747</f>
        <v>خ ت صيدلة</v>
      </c>
    </row>
    <row r="748" spans="3:89" x14ac:dyDescent="0.25">
      <c r="D748" s="17">
        <v>16141</v>
      </c>
      <c r="E748" s="17">
        <v>11214</v>
      </c>
      <c r="F748" s="3" t="s">
        <v>119</v>
      </c>
      <c r="G748" s="3" t="str">
        <f>+G747</f>
        <v>مكافاه اشراف ومناقشه</v>
      </c>
      <c r="I748" s="3">
        <v>750</v>
      </c>
      <c r="AU748" s="22">
        <f t="shared" si="115"/>
        <v>750</v>
      </c>
      <c r="AV748" s="3">
        <v>670.1</v>
      </c>
      <c r="AW748" s="3">
        <v>79.900000000000006</v>
      </c>
      <c r="CH748" s="22">
        <f t="shared" si="116"/>
        <v>750</v>
      </c>
      <c r="CI748" s="3">
        <f t="shared" si="117"/>
        <v>0</v>
      </c>
      <c r="CJ748" s="17">
        <f t="shared" si="118"/>
        <v>11214</v>
      </c>
      <c r="CK748" s="3" t="str">
        <f t="shared" si="119"/>
        <v>خ ت صيدلة</v>
      </c>
    </row>
    <row r="749" spans="3:89" x14ac:dyDescent="0.25">
      <c r="D749" s="17">
        <v>16174</v>
      </c>
      <c r="E749" s="17">
        <v>11215</v>
      </c>
      <c r="F749" s="3" t="s">
        <v>119</v>
      </c>
      <c r="G749" s="3" t="str">
        <f>+G748</f>
        <v>مكافاه اشراف ومناقشه</v>
      </c>
      <c r="I749" s="3">
        <v>750</v>
      </c>
      <c r="AU749" s="22">
        <f t="shared" si="115"/>
        <v>750</v>
      </c>
      <c r="AV749" s="3">
        <v>670.1</v>
      </c>
      <c r="AW749" s="3">
        <v>79.900000000000006</v>
      </c>
      <c r="CH749" s="22">
        <f t="shared" si="116"/>
        <v>750</v>
      </c>
      <c r="CI749" s="3">
        <f t="shared" si="117"/>
        <v>0</v>
      </c>
      <c r="CJ749" s="17">
        <f t="shared" si="118"/>
        <v>11215</v>
      </c>
      <c r="CK749" s="3" t="str">
        <f t="shared" si="119"/>
        <v>خ ت صيدلة</v>
      </c>
    </row>
    <row r="750" spans="3:89" x14ac:dyDescent="0.25">
      <c r="D750" s="17">
        <v>16149</v>
      </c>
      <c r="E750" s="17">
        <v>11216</v>
      </c>
      <c r="F750" s="3" t="s">
        <v>119</v>
      </c>
      <c r="G750" s="3" t="str">
        <f>+G749</f>
        <v>مكافاه اشراف ومناقشه</v>
      </c>
      <c r="I750" s="3">
        <v>3965.63</v>
      </c>
      <c r="AU750" s="22">
        <f t="shared" si="115"/>
        <v>3965.63</v>
      </c>
      <c r="AV750" s="3">
        <v>2720.04</v>
      </c>
      <c r="AW750" s="3">
        <v>704.96</v>
      </c>
      <c r="AX750" s="3">
        <v>353.13</v>
      </c>
      <c r="AY750" s="3">
        <v>187.5</v>
      </c>
      <c r="CH750" s="22">
        <f t="shared" si="116"/>
        <v>3965.63</v>
      </c>
      <c r="CI750" s="3">
        <f t="shared" si="117"/>
        <v>0</v>
      </c>
      <c r="CJ750" s="17">
        <f t="shared" si="118"/>
        <v>11216</v>
      </c>
      <c r="CK750" s="3" t="str">
        <f t="shared" si="119"/>
        <v>خ ت صيدلة</v>
      </c>
    </row>
    <row r="751" spans="3:89" x14ac:dyDescent="0.25">
      <c r="D751" s="17">
        <v>16143</v>
      </c>
      <c r="E751" s="17">
        <v>11217</v>
      </c>
      <c r="F751" s="3" t="s">
        <v>119</v>
      </c>
      <c r="G751" s="3" t="str">
        <f>+G750</f>
        <v>مكافاه اشراف ومناقشه</v>
      </c>
      <c r="I751" s="3">
        <v>2314.69</v>
      </c>
      <c r="AU751" s="22">
        <f t="shared" si="115"/>
        <v>2314.69</v>
      </c>
      <c r="AV751" s="3">
        <v>1696.44</v>
      </c>
      <c r="AW751" s="3">
        <v>399.81</v>
      </c>
      <c r="AX751" s="3">
        <v>105.94</v>
      </c>
      <c r="AY751" s="3">
        <v>112.5</v>
      </c>
      <c r="CH751" s="22">
        <f t="shared" si="116"/>
        <v>2314.69</v>
      </c>
      <c r="CI751" s="3">
        <f t="shared" si="117"/>
        <v>0</v>
      </c>
      <c r="CJ751" s="17">
        <f t="shared" si="118"/>
        <v>11217</v>
      </c>
      <c r="CK751" s="3" t="str">
        <f t="shared" si="119"/>
        <v>خ ت صيدلة</v>
      </c>
    </row>
    <row r="752" spans="3:89" x14ac:dyDescent="0.25">
      <c r="D752" s="17">
        <v>16145</v>
      </c>
      <c r="E752" s="17">
        <v>11218</v>
      </c>
      <c r="F752" s="3" t="s">
        <v>119</v>
      </c>
      <c r="G752" s="3" t="str">
        <f>+G751</f>
        <v>مكافاه اشراف ومناقشه</v>
      </c>
      <c r="I752" s="3">
        <v>2363.23</v>
      </c>
      <c r="AU752" s="22">
        <f t="shared" si="115"/>
        <v>2363.23</v>
      </c>
      <c r="AV752" s="3">
        <v>1734.97</v>
      </c>
      <c r="AW752" s="3">
        <v>409.68</v>
      </c>
      <c r="AX752" s="3">
        <v>103.59</v>
      </c>
      <c r="AY752" s="3">
        <v>114.99</v>
      </c>
      <c r="CH752" s="22">
        <f t="shared" si="116"/>
        <v>2363.23</v>
      </c>
      <c r="CI752" s="3">
        <f t="shared" si="117"/>
        <v>0</v>
      </c>
      <c r="CJ752" s="17">
        <f t="shared" si="118"/>
        <v>11218</v>
      </c>
      <c r="CK752" s="3" t="str">
        <f t="shared" si="119"/>
        <v>خ ت صيدلة</v>
      </c>
    </row>
    <row r="753" spans="3:89" x14ac:dyDescent="0.25">
      <c r="D753" s="17">
        <v>16148</v>
      </c>
      <c r="E753" s="17">
        <v>11219</v>
      </c>
      <c r="F753" s="3" t="s">
        <v>119</v>
      </c>
      <c r="G753" s="3" t="str">
        <f>+G744</f>
        <v xml:space="preserve">مكافاه مناقشه ماجستير </v>
      </c>
      <c r="I753" s="3">
        <v>400</v>
      </c>
      <c r="AU753" s="22">
        <f t="shared" si="115"/>
        <v>400</v>
      </c>
      <c r="AV753" s="3">
        <v>357.7</v>
      </c>
      <c r="AW753" s="3">
        <v>42.3</v>
      </c>
      <c r="CH753" s="22">
        <f t="shared" si="116"/>
        <v>400</v>
      </c>
      <c r="CI753" s="3">
        <f t="shared" si="117"/>
        <v>0</v>
      </c>
      <c r="CJ753" s="17">
        <f t="shared" si="118"/>
        <v>11219</v>
      </c>
      <c r="CK753" s="3" t="str">
        <f t="shared" si="119"/>
        <v>خ ت صيدلة</v>
      </c>
    </row>
    <row r="754" spans="3:89" x14ac:dyDescent="0.25">
      <c r="D754" s="17">
        <v>16160</v>
      </c>
      <c r="E754" s="17">
        <v>11220</v>
      </c>
      <c r="F754" s="3" t="s">
        <v>119</v>
      </c>
      <c r="G754" s="3" t="str">
        <f>+G752</f>
        <v>مكافاه اشراف ومناقشه</v>
      </c>
      <c r="I754" s="3">
        <v>1397.44</v>
      </c>
      <c r="AU754" s="22">
        <f t="shared" si="115"/>
        <v>1397.44</v>
      </c>
      <c r="AV754" s="3">
        <v>995.4</v>
      </c>
      <c r="AW754" s="3">
        <v>256.85000000000002</v>
      </c>
      <c r="AX754" s="3">
        <v>77.69</v>
      </c>
      <c r="AY754" s="3">
        <v>67.5</v>
      </c>
      <c r="CH754" s="22">
        <f t="shared" si="116"/>
        <v>1397.44</v>
      </c>
      <c r="CI754" s="3">
        <f t="shared" si="117"/>
        <v>0</v>
      </c>
      <c r="CJ754" s="17">
        <f t="shared" si="118"/>
        <v>11220</v>
      </c>
      <c r="CK754" s="3" t="str">
        <f t="shared" si="119"/>
        <v>خ ت صيدلة</v>
      </c>
    </row>
    <row r="755" spans="3:89" x14ac:dyDescent="0.25">
      <c r="D755" s="17">
        <v>16156</v>
      </c>
      <c r="E755" s="17">
        <v>11221</v>
      </c>
      <c r="F755" s="3" t="s">
        <v>119</v>
      </c>
      <c r="G755" s="3" t="str">
        <f>+G753</f>
        <v xml:space="preserve">مكافاه مناقشه ماجستير </v>
      </c>
      <c r="I755" s="3">
        <v>675</v>
      </c>
      <c r="AU755" s="22">
        <f t="shared" si="115"/>
        <v>675</v>
      </c>
      <c r="AV755" s="3">
        <v>603.70000000000005</v>
      </c>
      <c r="AW755" s="3">
        <f>3.8+67.5</f>
        <v>71.3</v>
      </c>
      <c r="CH755" s="22">
        <f t="shared" si="116"/>
        <v>675</v>
      </c>
      <c r="CI755" s="3">
        <f t="shared" si="117"/>
        <v>0</v>
      </c>
      <c r="CJ755" s="17">
        <f t="shared" si="118"/>
        <v>11221</v>
      </c>
      <c r="CK755" s="3" t="str">
        <f t="shared" si="119"/>
        <v>خ ت صيدلة</v>
      </c>
    </row>
    <row r="756" spans="3:89" x14ac:dyDescent="0.25">
      <c r="D756" s="17">
        <v>16157</v>
      </c>
      <c r="E756" s="17">
        <v>11222</v>
      </c>
      <c r="F756" s="3" t="s">
        <v>119</v>
      </c>
      <c r="G756" s="3" t="str">
        <f>+G754</f>
        <v>مكافاه اشراف ومناقشه</v>
      </c>
      <c r="I756" s="3">
        <v>275</v>
      </c>
      <c r="AU756" s="22">
        <f t="shared" si="115"/>
        <v>275</v>
      </c>
      <c r="AV756" s="3">
        <v>207.8</v>
      </c>
      <c r="AW756" s="3">
        <v>53.45</v>
      </c>
      <c r="AY756" s="3">
        <v>13.75</v>
      </c>
      <c r="CH756" s="22">
        <f t="shared" si="116"/>
        <v>275</v>
      </c>
      <c r="CI756" s="3">
        <f t="shared" si="117"/>
        <v>0</v>
      </c>
      <c r="CJ756" s="17">
        <f t="shared" si="118"/>
        <v>11222</v>
      </c>
      <c r="CK756" s="3" t="str">
        <f t="shared" si="119"/>
        <v>خ ت صيدلة</v>
      </c>
    </row>
    <row r="757" spans="3:89" x14ac:dyDescent="0.25">
      <c r="D757" s="17">
        <v>16152</v>
      </c>
      <c r="E757" s="17">
        <v>11223</v>
      </c>
      <c r="F757" s="3" t="s">
        <v>119</v>
      </c>
      <c r="G757" s="3" t="str">
        <f>+G756</f>
        <v>مكافاه اشراف ومناقشه</v>
      </c>
      <c r="I757" s="3">
        <v>2500</v>
      </c>
      <c r="AU757" s="22">
        <f t="shared" si="115"/>
        <v>2500</v>
      </c>
      <c r="AV757" s="3">
        <v>1933.73</v>
      </c>
      <c r="AW757" s="3">
        <v>441.27</v>
      </c>
      <c r="AY757" s="3">
        <v>125</v>
      </c>
      <c r="CH757" s="22">
        <f t="shared" si="116"/>
        <v>2500</v>
      </c>
      <c r="CI757" s="3">
        <f t="shared" si="117"/>
        <v>0</v>
      </c>
      <c r="CJ757" s="17">
        <f t="shared" si="118"/>
        <v>11223</v>
      </c>
      <c r="CK757" s="3" t="str">
        <f t="shared" si="119"/>
        <v>خ ت صيدلة</v>
      </c>
    </row>
    <row r="758" spans="3:89" x14ac:dyDescent="0.25">
      <c r="D758" s="17">
        <v>16153</v>
      </c>
      <c r="E758" s="17">
        <v>11224</v>
      </c>
      <c r="F758" s="3" t="s">
        <v>119</v>
      </c>
      <c r="G758" s="3" t="str">
        <f>+G757</f>
        <v>مكافاه اشراف ومناقشه</v>
      </c>
      <c r="I758" s="3">
        <v>1250</v>
      </c>
      <c r="AU758" s="22">
        <f t="shared" si="115"/>
        <v>1250</v>
      </c>
      <c r="AV758" s="3">
        <v>1117.1500000000001</v>
      </c>
      <c r="AW758" s="3">
        <f>7.85+125</f>
        <v>132.85</v>
      </c>
      <c r="CH758" s="22">
        <f t="shared" si="116"/>
        <v>1250</v>
      </c>
      <c r="CI758" s="3">
        <f t="shared" si="117"/>
        <v>0</v>
      </c>
      <c r="CJ758" s="17">
        <f t="shared" si="118"/>
        <v>11224</v>
      </c>
      <c r="CK758" s="3" t="str">
        <f t="shared" si="119"/>
        <v>خ ت صيدلة</v>
      </c>
    </row>
    <row r="759" spans="3:89" x14ac:dyDescent="0.25">
      <c r="E759" s="17">
        <v>11225</v>
      </c>
      <c r="F759" s="3" t="s">
        <v>332</v>
      </c>
      <c r="G759" s="3" t="s">
        <v>426</v>
      </c>
      <c r="AU759" s="22">
        <f t="shared" si="115"/>
        <v>0</v>
      </c>
      <c r="CH759" s="22">
        <f t="shared" si="116"/>
        <v>0</v>
      </c>
      <c r="CI759" s="3">
        <f t="shared" si="117"/>
        <v>0</v>
      </c>
      <c r="CJ759" s="17">
        <f t="shared" si="118"/>
        <v>11225</v>
      </c>
      <c r="CK759" s="3" t="str">
        <f t="shared" si="119"/>
        <v xml:space="preserve">لاب فقط </v>
      </c>
    </row>
    <row r="760" spans="3:89" x14ac:dyDescent="0.25">
      <c r="E760" s="17">
        <v>11226</v>
      </c>
      <c r="F760" s="3" t="s">
        <v>332</v>
      </c>
      <c r="G760" s="3" t="s">
        <v>427</v>
      </c>
      <c r="AU760" s="22">
        <f t="shared" si="115"/>
        <v>0</v>
      </c>
      <c r="CH760" s="22">
        <f t="shared" si="116"/>
        <v>0</v>
      </c>
      <c r="CI760" s="3">
        <f t="shared" si="117"/>
        <v>0</v>
      </c>
      <c r="CJ760" s="17">
        <f t="shared" si="118"/>
        <v>11226</v>
      </c>
      <c r="CK760" s="3" t="str">
        <f t="shared" si="119"/>
        <v xml:space="preserve">لاب فقط </v>
      </c>
    </row>
    <row r="761" spans="3:89" x14ac:dyDescent="0.25">
      <c r="D761" s="17">
        <v>18012</v>
      </c>
      <c r="E761" s="17">
        <v>11227</v>
      </c>
      <c r="F761" s="3" t="s">
        <v>325</v>
      </c>
      <c r="G761" s="3" t="s">
        <v>330</v>
      </c>
      <c r="I761" s="3">
        <v>234.5</v>
      </c>
      <c r="AU761" s="22">
        <f t="shared" si="115"/>
        <v>234.5</v>
      </c>
      <c r="AV761" s="3">
        <v>157.19999999999999</v>
      </c>
      <c r="AW761" s="3">
        <v>20.8</v>
      </c>
      <c r="AX761" s="3">
        <v>56.5</v>
      </c>
      <c r="CH761" s="22">
        <f t="shared" si="116"/>
        <v>234.5</v>
      </c>
      <c r="CI761" s="3">
        <f t="shared" si="117"/>
        <v>0</v>
      </c>
      <c r="CJ761" s="17">
        <f t="shared" si="118"/>
        <v>11227</v>
      </c>
      <c r="CK761" s="3" t="str">
        <f t="shared" si="119"/>
        <v xml:space="preserve">برنامج دولى </v>
      </c>
    </row>
    <row r="762" spans="3:89" x14ac:dyDescent="0.25">
      <c r="D762" s="17">
        <v>17897</v>
      </c>
      <c r="E762" s="17">
        <v>11228</v>
      </c>
      <c r="F762" s="3" t="s">
        <v>325</v>
      </c>
      <c r="G762" s="3" t="s">
        <v>428</v>
      </c>
      <c r="I762" s="3">
        <v>3283</v>
      </c>
      <c r="AU762" s="22">
        <f t="shared" si="115"/>
        <v>3283</v>
      </c>
      <c r="AV762" s="3">
        <v>2194.0500000000002</v>
      </c>
      <c r="AW762" s="3">
        <v>297.95</v>
      </c>
      <c r="AX762" s="3">
        <v>791</v>
      </c>
      <c r="CH762" s="22">
        <f t="shared" si="116"/>
        <v>3283</v>
      </c>
      <c r="CI762" s="3">
        <f t="shared" si="117"/>
        <v>0</v>
      </c>
      <c r="CJ762" s="17">
        <f t="shared" si="118"/>
        <v>11228</v>
      </c>
      <c r="CK762" s="3" t="str">
        <f t="shared" si="119"/>
        <v xml:space="preserve">برنامج دولى </v>
      </c>
    </row>
    <row r="763" spans="3:89" x14ac:dyDescent="0.25">
      <c r="D763" s="17">
        <v>17996</v>
      </c>
      <c r="E763" s="17">
        <v>11229</v>
      </c>
      <c r="F763" s="3" t="s">
        <v>325</v>
      </c>
      <c r="G763" s="3" t="s">
        <v>429</v>
      </c>
      <c r="I763" s="3">
        <v>8442</v>
      </c>
      <c r="AU763" s="22">
        <f t="shared" si="115"/>
        <v>8442</v>
      </c>
      <c r="AV763" s="3">
        <v>5640.65</v>
      </c>
      <c r="AW763" s="3">
        <v>767.35</v>
      </c>
      <c r="AX763" s="3">
        <v>2034</v>
      </c>
      <c r="CH763" s="22">
        <f t="shared" si="116"/>
        <v>8442</v>
      </c>
      <c r="CI763" s="3">
        <f t="shared" si="117"/>
        <v>0</v>
      </c>
      <c r="CJ763" s="17">
        <f t="shared" si="118"/>
        <v>11229</v>
      </c>
      <c r="CK763" s="3" t="str">
        <f t="shared" si="119"/>
        <v xml:space="preserve">برنامج دولى </v>
      </c>
    </row>
    <row r="764" spans="3:89" x14ac:dyDescent="0.25">
      <c r="D764" s="17">
        <v>17896</v>
      </c>
      <c r="E764" s="17">
        <v>11230</v>
      </c>
      <c r="F764" s="3" t="s">
        <v>325</v>
      </c>
      <c r="G764" s="3" t="str">
        <f>+G762</f>
        <v>ج شؤن خريجين</v>
      </c>
      <c r="I764" s="3">
        <v>13835.5</v>
      </c>
      <c r="AU764" s="22">
        <f t="shared" si="115"/>
        <v>13835.5</v>
      </c>
      <c r="AV764" s="3">
        <v>9246.9500000000007</v>
      </c>
      <c r="AW764" s="3">
        <v>1255.05</v>
      </c>
      <c r="AX764" s="3">
        <v>3333.5</v>
      </c>
      <c r="CH764" s="22">
        <f t="shared" si="116"/>
        <v>13835.5</v>
      </c>
      <c r="CI764" s="3">
        <f t="shared" si="117"/>
        <v>0</v>
      </c>
      <c r="CJ764" s="17">
        <f t="shared" si="118"/>
        <v>11230</v>
      </c>
      <c r="CK764" s="3" t="str">
        <f t="shared" si="119"/>
        <v xml:space="preserve">برنامج دولى </v>
      </c>
    </row>
    <row r="765" spans="3:89" x14ac:dyDescent="0.25">
      <c r="D765" s="17">
        <v>18650</v>
      </c>
      <c r="E765" s="17">
        <v>11231</v>
      </c>
      <c r="F765" s="3" t="s">
        <v>325</v>
      </c>
      <c r="G765" s="3" t="str">
        <f>+G764</f>
        <v>ج شؤن خريجين</v>
      </c>
      <c r="I765" s="3">
        <v>13835.5</v>
      </c>
      <c r="AU765" s="22">
        <f t="shared" si="115"/>
        <v>13835.5</v>
      </c>
      <c r="AV765" s="3">
        <v>9246.9500000000007</v>
      </c>
      <c r="AW765" s="3">
        <v>1255.05</v>
      </c>
      <c r="AX765" s="3">
        <v>3333.5</v>
      </c>
      <c r="CH765" s="22">
        <f t="shared" si="116"/>
        <v>13835.5</v>
      </c>
      <c r="CI765" s="3">
        <f t="shared" si="117"/>
        <v>0</v>
      </c>
      <c r="CJ765" s="17">
        <f t="shared" si="118"/>
        <v>11231</v>
      </c>
      <c r="CK765" s="3" t="str">
        <f t="shared" si="119"/>
        <v xml:space="preserve">برنامج دولى </v>
      </c>
    </row>
    <row r="766" spans="3:89" x14ac:dyDescent="0.25">
      <c r="D766" s="17">
        <v>18649</v>
      </c>
      <c r="E766" s="17">
        <v>11232</v>
      </c>
      <c r="F766" s="3" t="s">
        <v>325</v>
      </c>
      <c r="G766" s="3" t="str">
        <f>+G765</f>
        <v>ج شؤن خريجين</v>
      </c>
      <c r="I766" s="3">
        <v>3283</v>
      </c>
      <c r="AU766" s="22">
        <f t="shared" si="115"/>
        <v>3283</v>
      </c>
      <c r="AV766" s="3">
        <v>2194.0500000000002</v>
      </c>
      <c r="AW766" s="3">
        <v>297.95</v>
      </c>
      <c r="AX766" s="3">
        <v>791</v>
      </c>
      <c r="CH766" s="22">
        <f t="shared" si="116"/>
        <v>3283</v>
      </c>
      <c r="CI766" s="3">
        <f t="shared" si="117"/>
        <v>0</v>
      </c>
      <c r="CJ766" s="17">
        <f t="shared" si="118"/>
        <v>11232</v>
      </c>
      <c r="CK766" s="3" t="str">
        <f t="shared" si="119"/>
        <v xml:space="preserve">برنامج دولى </v>
      </c>
    </row>
    <row r="767" spans="3:89" x14ac:dyDescent="0.25">
      <c r="D767" s="17">
        <v>18055</v>
      </c>
      <c r="E767" s="17">
        <v>11233</v>
      </c>
      <c r="F767" s="3" t="s">
        <v>325</v>
      </c>
      <c r="G767" s="3" t="s">
        <v>430</v>
      </c>
      <c r="I767" s="3">
        <v>9092.31</v>
      </c>
      <c r="AU767" s="22">
        <f t="shared" si="115"/>
        <v>9092.31</v>
      </c>
      <c r="AV767" s="3">
        <v>7981.68</v>
      </c>
      <c r="AW767" s="3">
        <v>959.45</v>
      </c>
      <c r="AX767" s="3">
        <v>151.18</v>
      </c>
      <c r="CH767" s="22">
        <f t="shared" si="116"/>
        <v>9092.3100000000013</v>
      </c>
      <c r="CI767" s="3">
        <f t="shared" si="117"/>
        <v>0</v>
      </c>
      <c r="CJ767" s="17">
        <f t="shared" si="118"/>
        <v>11233</v>
      </c>
      <c r="CK767" s="3" t="str">
        <f t="shared" si="119"/>
        <v xml:space="preserve">برنامج دولى </v>
      </c>
    </row>
    <row r="768" spans="3:89" x14ac:dyDescent="0.25">
      <c r="C768" s="3"/>
      <c r="D768" s="17">
        <v>18317</v>
      </c>
      <c r="E768" s="17">
        <v>11234</v>
      </c>
      <c r="F768" s="3" t="s">
        <v>325</v>
      </c>
      <c r="G768" s="3" t="s">
        <v>431</v>
      </c>
      <c r="I768" s="3">
        <v>19140</v>
      </c>
      <c r="AU768" s="22">
        <f t="shared" si="115"/>
        <v>19140</v>
      </c>
      <c r="AV768" s="3">
        <v>17078.400000000001</v>
      </c>
      <c r="AW768" s="3">
        <v>2061.6</v>
      </c>
      <c r="CH768" s="22">
        <f t="shared" si="116"/>
        <v>19140</v>
      </c>
      <c r="CI768" s="3">
        <f t="shared" si="117"/>
        <v>0</v>
      </c>
      <c r="CJ768" s="17">
        <f t="shared" si="118"/>
        <v>11234</v>
      </c>
      <c r="CK768" s="3" t="str">
        <f t="shared" si="119"/>
        <v xml:space="preserve">برنامج دولى </v>
      </c>
    </row>
    <row r="769" spans="4:89" x14ac:dyDescent="0.25">
      <c r="D769" s="17">
        <v>18321</v>
      </c>
      <c r="E769" s="17">
        <v>11235</v>
      </c>
      <c r="F769" s="3" t="s">
        <v>128</v>
      </c>
      <c r="G769" s="3" t="s">
        <v>432</v>
      </c>
      <c r="I769" s="3">
        <v>932.72</v>
      </c>
      <c r="AU769" s="22">
        <f t="shared" si="115"/>
        <v>932.72</v>
      </c>
      <c r="AV769" s="3">
        <v>623.78</v>
      </c>
      <c r="AW769" s="3">
        <v>84.2</v>
      </c>
      <c r="AX769" s="3">
        <v>224.74</v>
      </c>
      <c r="CH769" s="22">
        <f t="shared" si="116"/>
        <v>932.72</v>
      </c>
      <c r="CI769" s="3">
        <f t="shared" si="117"/>
        <v>0</v>
      </c>
      <c r="CJ769" s="17">
        <f t="shared" si="118"/>
        <v>11235</v>
      </c>
      <c r="CK769" s="3" t="str">
        <f t="shared" si="119"/>
        <v>مركز مؤتمرات</v>
      </c>
    </row>
    <row r="770" spans="4:89" x14ac:dyDescent="0.25">
      <c r="D770" s="17">
        <v>18322</v>
      </c>
      <c r="E770" s="17">
        <v>11236</v>
      </c>
      <c r="F770" s="3" t="s">
        <v>128</v>
      </c>
      <c r="G770" s="3" t="s">
        <v>432</v>
      </c>
      <c r="I770" s="3">
        <v>1723.58</v>
      </c>
      <c r="AU770" s="22">
        <f t="shared" si="115"/>
        <v>1723.58</v>
      </c>
      <c r="AV770" s="3">
        <v>1151.8499999999999</v>
      </c>
      <c r="AW770" s="3">
        <v>156.44999999999999</v>
      </c>
      <c r="AX770" s="3">
        <v>415.28</v>
      </c>
      <c r="CH770" s="22">
        <f t="shared" si="116"/>
        <v>1723.58</v>
      </c>
      <c r="CI770" s="3">
        <f t="shared" si="117"/>
        <v>0</v>
      </c>
      <c r="CJ770" s="17">
        <f t="shared" si="118"/>
        <v>11236</v>
      </c>
      <c r="CK770" s="3" t="str">
        <f t="shared" si="119"/>
        <v>مركز مؤتمرات</v>
      </c>
    </row>
    <row r="771" spans="4:89" x14ac:dyDescent="0.25">
      <c r="D771" s="17">
        <v>18323</v>
      </c>
      <c r="E771" s="17">
        <v>11237</v>
      </c>
      <c r="F771" s="3" t="s">
        <v>128</v>
      </c>
      <c r="G771" s="3" t="s">
        <v>432</v>
      </c>
      <c r="I771" s="3">
        <v>4067.4</v>
      </c>
      <c r="AU771" s="22">
        <f t="shared" si="115"/>
        <v>4067.4</v>
      </c>
      <c r="AV771" s="3">
        <v>2718.36</v>
      </c>
      <c r="AW771" s="3">
        <v>369.05</v>
      </c>
      <c r="AX771" s="3">
        <v>979.99</v>
      </c>
      <c r="CH771" s="22">
        <f t="shared" si="116"/>
        <v>4067.4000000000005</v>
      </c>
      <c r="CI771" s="3">
        <f t="shared" si="117"/>
        <v>0</v>
      </c>
      <c r="CJ771" s="17">
        <f t="shared" si="118"/>
        <v>11237</v>
      </c>
      <c r="CK771" s="3" t="str">
        <f t="shared" si="119"/>
        <v>مركز مؤتمرات</v>
      </c>
    </row>
    <row r="772" spans="4:89" x14ac:dyDescent="0.25">
      <c r="D772" s="17">
        <v>18324</v>
      </c>
      <c r="E772" s="17">
        <v>11238</v>
      </c>
      <c r="F772" s="3" t="s">
        <v>128</v>
      </c>
      <c r="G772" s="3" t="s">
        <v>432</v>
      </c>
      <c r="I772" s="3">
        <v>19871.599999999999</v>
      </c>
      <c r="AU772" s="22">
        <f t="shared" si="115"/>
        <v>19871.599999999999</v>
      </c>
      <c r="AV772" s="3">
        <v>13410.35</v>
      </c>
      <c r="AW772" s="3">
        <v>1811.7</v>
      </c>
      <c r="AX772" s="3">
        <v>4649.55</v>
      </c>
      <c r="CH772" s="22">
        <f t="shared" si="116"/>
        <v>19871.600000000002</v>
      </c>
      <c r="CI772" s="3">
        <f t="shared" si="117"/>
        <v>0</v>
      </c>
      <c r="CJ772" s="17">
        <f t="shared" si="118"/>
        <v>11238</v>
      </c>
      <c r="CK772" s="3" t="str">
        <f t="shared" si="119"/>
        <v>مركز مؤتمرات</v>
      </c>
    </row>
    <row r="773" spans="4:89" x14ac:dyDescent="0.25">
      <c r="D773" s="17">
        <v>18217</v>
      </c>
      <c r="E773" s="17">
        <v>11239</v>
      </c>
      <c r="F773" s="3" t="s">
        <v>123</v>
      </c>
      <c r="G773" s="3" t="s">
        <v>433</v>
      </c>
      <c r="I773" s="3">
        <v>3185.04</v>
      </c>
      <c r="AU773" s="22">
        <f t="shared" si="115"/>
        <v>3185.04</v>
      </c>
      <c r="AV773" s="3">
        <v>2008.59</v>
      </c>
      <c r="AW773" s="3">
        <v>276.56</v>
      </c>
      <c r="AX773" s="3">
        <v>763.97</v>
      </c>
      <c r="AY773" s="3">
        <v>135.91999999999999</v>
      </c>
      <c r="CH773" s="22">
        <f t="shared" si="116"/>
        <v>3185.04</v>
      </c>
      <c r="CI773" s="3">
        <f t="shared" si="117"/>
        <v>0</v>
      </c>
      <c r="CJ773" s="17">
        <f t="shared" si="118"/>
        <v>11239</v>
      </c>
      <c r="CK773" s="3" t="str">
        <f t="shared" si="119"/>
        <v>خ ت اسنان</v>
      </c>
    </row>
    <row r="774" spans="4:89" x14ac:dyDescent="0.25">
      <c r="D774" s="17">
        <v>16391</v>
      </c>
      <c r="E774" s="17">
        <v>11240</v>
      </c>
      <c r="F774" s="3" t="s">
        <v>119</v>
      </c>
      <c r="G774" s="3" t="s">
        <v>434</v>
      </c>
      <c r="M774" s="3">
        <v>807576</v>
      </c>
      <c r="N774" s="3">
        <v>807576</v>
      </c>
      <c r="O774" s="3">
        <v>807576</v>
      </c>
      <c r="AU774" s="22">
        <f t="shared" si="115"/>
        <v>2422728</v>
      </c>
      <c r="AV774" s="3">
        <v>695907.05</v>
      </c>
      <c r="AW774" s="3">
        <f>4350.75+13052.25+13.5</f>
        <v>17416.5</v>
      </c>
      <c r="AY774" s="3">
        <v>5</v>
      </c>
      <c r="BK774" s="3">
        <v>7084.25</v>
      </c>
      <c r="BL774" s="3">
        <v>30</v>
      </c>
      <c r="BM774" s="3">
        <f>3187.8*2</f>
        <v>6375.6</v>
      </c>
      <c r="BO774" s="3">
        <v>40378.800000000003</v>
      </c>
      <c r="BP774" s="3">
        <v>807576</v>
      </c>
      <c r="BQ774" s="3">
        <v>807576</v>
      </c>
      <c r="CG774" s="201">
        <v>40378.800000000003</v>
      </c>
      <c r="CH774" s="22">
        <f t="shared" si="116"/>
        <v>2422728</v>
      </c>
      <c r="CI774" s="3">
        <f t="shared" si="117"/>
        <v>0</v>
      </c>
      <c r="CJ774" s="17">
        <f t="shared" si="118"/>
        <v>11240</v>
      </c>
      <c r="CK774" s="3" t="str">
        <f t="shared" si="119"/>
        <v>خ ت صيدلة</v>
      </c>
    </row>
    <row r="775" spans="4:89" ht="31.5" x14ac:dyDescent="0.25">
      <c r="D775" s="17">
        <v>18812</v>
      </c>
      <c r="E775" s="17">
        <v>11241</v>
      </c>
      <c r="F775" s="3" t="s">
        <v>116</v>
      </c>
      <c r="G775" s="9" t="s">
        <v>435</v>
      </c>
      <c r="J775" s="3">
        <v>8550</v>
      </c>
      <c r="Q775" s="3">
        <v>8550</v>
      </c>
      <c r="AU775" s="22">
        <f t="shared" si="115"/>
        <v>17100</v>
      </c>
      <c r="AV775" s="3">
        <v>8550</v>
      </c>
      <c r="BS775" s="3">
        <v>8550</v>
      </c>
      <c r="CH775" s="22">
        <f t="shared" si="116"/>
        <v>17100</v>
      </c>
      <c r="CI775" s="3">
        <f t="shared" si="117"/>
        <v>0</v>
      </c>
      <c r="CJ775" s="17">
        <f t="shared" si="118"/>
        <v>11241</v>
      </c>
      <c r="CK775" s="3" t="str">
        <f t="shared" si="119"/>
        <v>اتحاد صيدلة</v>
      </c>
    </row>
    <row r="776" spans="4:89" x14ac:dyDescent="0.25">
      <c r="D776" s="17">
        <v>18803</v>
      </c>
      <c r="E776" s="17">
        <v>11242</v>
      </c>
      <c r="F776" s="3" t="s">
        <v>130</v>
      </c>
      <c r="G776" s="9" t="s">
        <v>436</v>
      </c>
      <c r="J776" s="3">
        <v>1099.99</v>
      </c>
      <c r="AU776" s="22">
        <f t="shared" si="115"/>
        <v>1099.99</v>
      </c>
      <c r="AV776" s="3">
        <v>1002.39</v>
      </c>
      <c r="AW776" s="3">
        <f>12.8+38.4+2.7</f>
        <v>53.900000000000006</v>
      </c>
      <c r="BK776" s="3">
        <v>29</v>
      </c>
      <c r="BL776" s="3">
        <v>6</v>
      </c>
      <c r="BM776" s="3">
        <f>4.35*2</f>
        <v>8.6999999999999993</v>
      </c>
      <c r="CH776" s="22">
        <f t="shared" si="116"/>
        <v>1099.99</v>
      </c>
      <c r="CI776" s="3">
        <f t="shared" si="117"/>
        <v>0</v>
      </c>
      <c r="CJ776" s="17">
        <f t="shared" si="118"/>
        <v>11242</v>
      </c>
      <c r="CK776" s="3" t="str">
        <f t="shared" si="119"/>
        <v>خ ت طب</v>
      </c>
    </row>
    <row r="777" spans="4:89" x14ac:dyDescent="0.25">
      <c r="D777" s="17">
        <v>18839</v>
      </c>
      <c r="E777" s="17">
        <v>11243</v>
      </c>
      <c r="F777" s="3" t="s">
        <v>128</v>
      </c>
      <c r="G777" s="9" t="s">
        <v>437</v>
      </c>
      <c r="J777" s="3">
        <v>2784.73</v>
      </c>
      <c r="AU777" s="22">
        <f t="shared" si="115"/>
        <v>2784.73</v>
      </c>
      <c r="AV777" s="3">
        <v>2585.5300000000002</v>
      </c>
      <c r="AW777" s="3">
        <f>36.9+110.7+9</f>
        <v>156.6</v>
      </c>
      <c r="BL777" s="3">
        <v>20</v>
      </c>
      <c r="BM777" s="3">
        <f>11.3*2</f>
        <v>22.6</v>
      </c>
      <c r="CH777" s="22">
        <f t="shared" si="116"/>
        <v>2784.73</v>
      </c>
      <c r="CI777" s="3">
        <f t="shared" si="117"/>
        <v>0</v>
      </c>
      <c r="CJ777" s="17">
        <f t="shared" si="118"/>
        <v>11243</v>
      </c>
      <c r="CK777" s="3" t="str">
        <f t="shared" si="119"/>
        <v>مركز مؤتمرات</v>
      </c>
    </row>
    <row r="778" spans="4:89" ht="31.5" x14ac:dyDescent="0.25">
      <c r="D778" s="17">
        <v>18846</v>
      </c>
      <c r="E778" s="17">
        <v>11244</v>
      </c>
      <c r="F778" s="3" t="s">
        <v>325</v>
      </c>
      <c r="G778" s="9" t="s">
        <v>438</v>
      </c>
      <c r="J778" s="3">
        <v>16000</v>
      </c>
      <c r="Q778" s="3">
        <v>16000</v>
      </c>
      <c r="AU778" s="22">
        <f t="shared" si="115"/>
        <v>32000</v>
      </c>
      <c r="AV778" s="3">
        <v>16000</v>
      </c>
      <c r="BS778" s="3">
        <v>16000</v>
      </c>
      <c r="CH778" s="22">
        <f t="shared" si="116"/>
        <v>32000</v>
      </c>
      <c r="CI778" s="3">
        <f t="shared" si="117"/>
        <v>0</v>
      </c>
      <c r="CJ778" s="17">
        <f t="shared" si="118"/>
        <v>11244</v>
      </c>
      <c r="CK778" s="3" t="str">
        <f t="shared" si="119"/>
        <v xml:space="preserve">برنامج دولى </v>
      </c>
    </row>
    <row r="779" spans="4:89" x14ac:dyDescent="0.25">
      <c r="D779" s="17">
        <v>18854</v>
      </c>
      <c r="E779" s="17">
        <v>11245</v>
      </c>
      <c r="F779" s="3" t="s">
        <v>325</v>
      </c>
      <c r="G779" s="3" t="s">
        <v>439</v>
      </c>
      <c r="J779" s="3">
        <v>16000</v>
      </c>
      <c r="Q779" s="3">
        <v>16000</v>
      </c>
      <c r="AU779" s="22">
        <f t="shared" ref="AU779:AU804" si="120">SUM(I779:AS779)</f>
        <v>32000</v>
      </c>
      <c r="AV779" s="3">
        <v>16000</v>
      </c>
      <c r="BS779" s="3">
        <v>16000</v>
      </c>
      <c r="CH779" s="22">
        <f t="shared" ref="CH779:CH804" si="121">SUM(AV779:CG779)</f>
        <v>32000</v>
      </c>
      <c r="CI779" s="3">
        <f t="shared" ref="CI779:CI804" si="122">+CH779-AU779</f>
        <v>0</v>
      </c>
      <c r="CJ779" s="17">
        <f t="shared" ref="CJ779:CJ804" si="123">+E779</f>
        <v>11245</v>
      </c>
      <c r="CK779" s="3" t="str">
        <f t="shared" ref="CK779:CK804" si="124">+F779</f>
        <v xml:space="preserve">برنامج دولى </v>
      </c>
    </row>
    <row r="780" spans="4:89" x14ac:dyDescent="0.25">
      <c r="D780" s="17">
        <v>18801</v>
      </c>
      <c r="E780" s="17">
        <v>11246</v>
      </c>
      <c r="F780" s="3" t="s">
        <v>325</v>
      </c>
      <c r="G780" s="3" t="s">
        <v>440</v>
      </c>
      <c r="J780" s="3">
        <v>1875</v>
      </c>
      <c r="AU780" s="22">
        <f t="shared" si="120"/>
        <v>1875</v>
      </c>
      <c r="AV780" s="3">
        <v>1695.85</v>
      </c>
      <c r="AW780" s="3">
        <f>24+72+9</f>
        <v>105</v>
      </c>
      <c r="BK780" s="3">
        <v>49.35</v>
      </c>
      <c r="BL780" s="3">
        <v>10</v>
      </c>
      <c r="BM780" s="3">
        <f>7.4*2</f>
        <v>14.8</v>
      </c>
      <c r="CH780" s="22">
        <f t="shared" si="121"/>
        <v>1874.9999999999998</v>
      </c>
      <c r="CI780" s="3">
        <f t="shared" si="122"/>
        <v>0</v>
      </c>
      <c r="CJ780" s="17">
        <f t="shared" si="123"/>
        <v>11246</v>
      </c>
      <c r="CK780" s="3" t="str">
        <f t="shared" si="124"/>
        <v xml:space="preserve">برنامج دولى </v>
      </c>
    </row>
    <row r="781" spans="4:89" ht="31.5" x14ac:dyDescent="0.25">
      <c r="D781" s="17">
        <v>18847</v>
      </c>
      <c r="E781" s="17">
        <v>11247</v>
      </c>
      <c r="F781" s="3" t="s">
        <v>325</v>
      </c>
      <c r="G781" s="9" t="s">
        <v>441</v>
      </c>
      <c r="J781" s="3">
        <v>14250</v>
      </c>
      <c r="AU781" s="22">
        <f t="shared" si="120"/>
        <v>14250</v>
      </c>
      <c r="AV781" s="3">
        <v>13033.5</v>
      </c>
      <c r="AW781" s="3">
        <f>175+525+9</f>
        <v>709</v>
      </c>
      <c r="BK781" s="3">
        <v>375</v>
      </c>
      <c r="BL781" s="3">
        <v>20</v>
      </c>
      <c r="BM781" s="3">
        <f>56.25*2</f>
        <v>112.5</v>
      </c>
      <c r="CH781" s="22">
        <f t="shared" si="121"/>
        <v>14250</v>
      </c>
      <c r="CI781" s="3">
        <f t="shared" si="122"/>
        <v>0</v>
      </c>
      <c r="CJ781" s="17">
        <f t="shared" si="123"/>
        <v>11247</v>
      </c>
      <c r="CK781" s="3" t="str">
        <f t="shared" si="124"/>
        <v xml:space="preserve">برنامج دولى </v>
      </c>
    </row>
    <row r="782" spans="4:89" x14ac:dyDescent="0.25">
      <c r="D782" s="17">
        <v>18853</v>
      </c>
      <c r="E782" s="17">
        <v>11248</v>
      </c>
      <c r="F782" s="3" t="s">
        <v>325</v>
      </c>
      <c r="G782" s="3" t="s">
        <v>442</v>
      </c>
      <c r="J782" s="3">
        <v>30</v>
      </c>
      <c r="AU782" s="22">
        <f t="shared" si="120"/>
        <v>30</v>
      </c>
      <c r="AV782" s="3">
        <v>30</v>
      </c>
      <c r="CH782" s="22">
        <f t="shared" si="121"/>
        <v>30</v>
      </c>
      <c r="CI782" s="3">
        <f t="shared" si="122"/>
        <v>0</v>
      </c>
      <c r="CJ782" s="17">
        <f t="shared" si="123"/>
        <v>11248</v>
      </c>
      <c r="CK782" s="3" t="str">
        <f t="shared" si="124"/>
        <v xml:space="preserve">برنامج دولى </v>
      </c>
    </row>
    <row r="783" spans="4:89" x14ac:dyDescent="0.25">
      <c r="D783" s="17">
        <v>18852</v>
      </c>
      <c r="E783" s="17">
        <v>11249</v>
      </c>
      <c r="F783" s="3" t="s">
        <v>325</v>
      </c>
      <c r="G783" s="3" t="s">
        <v>443</v>
      </c>
      <c r="J783" s="3">
        <v>120</v>
      </c>
      <c r="AU783" s="22">
        <f t="shared" si="120"/>
        <v>120</v>
      </c>
      <c r="AV783" s="3">
        <v>120</v>
      </c>
      <c r="CH783" s="22">
        <f t="shared" si="121"/>
        <v>120</v>
      </c>
      <c r="CI783" s="3">
        <f t="shared" si="122"/>
        <v>0</v>
      </c>
      <c r="CJ783" s="17">
        <f t="shared" si="123"/>
        <v>11249</v>
      </c>
      <c r="CK783" s="3" t="str">
        <f t="shared" si="124"/>
        <v xml:space="preserve">برنامج دولى </v>
      </c>
    </row>
    <row r="784" spans="4:89" x14ac:dyDescent="0.25">
      <c r="D784" s="17">
        <v>18851</v>
      </c>
      <c r="E784" s="17">
        <v>11250</v>
      </c>
      <c r="F784" s="3" t="s">
        <v>325</v>
      </c>
      <c r="G784" s="3" t="s">
        <v>444</v>
      </c>
      <c r="J784" s="3">
        <v>375</v>
      </c>
      <c r="AU784" s="22">
        <f t="shared" si="120"/>
        <v>375</v>
      </c>
      <c r="AV784" s="3">
        <v>375</v>
      </c>
      <c r="CH784" s="22">
        <f t="shared" si="121"/>
        <v>375</v>
      </c>
      <c r="CI784" s="3">
        <f t="shared" si="122"/>
        <v>0</v>
      </c>
      <c r="CJ784" s="17">
        <f t="shared" si="123"/>
        <v>11250</v>
      </c>
      <c r="CK784" s="3" t="str">
        <f t="shared" si="124"/>
        <v xml:space="preserve">برنامج دولى </v>
      </c>
    </row>
    <row r="785" spans="1:89" x14ac:dyDescent="0.25">
      <c r="A785" s="16" t="s">
        <v>445</v>
      </c>
      <c r="E785" s="17">
        <v>11251</v>
      </c>
      <c r="F785" s="3" t="s">
        <v>332</v>
      </c>
      <c r="G785" s="3" t="s">
        <v>446</v>
      </c>
      <c r="AU785" s="22">
        <f t="shared" si="120"/>
        <v>0</v>
      </c>
      <c r="AV785" s="3">
        <v>0</v>
      </c>
      <c r="CH785" s="22">
        <f t="shared" si="121"/>
        <v>0</v>
      </c>
      <c r="CI785" s="3">
        <f t="shared" si="122"/>
        <v>0</v>
      </c>
      <c r="CJ785" s="17">
        <f t="shared" si="123"/>
        <v>11251</v>
      </c>
      <c r="CK785" s="3" t="str">
        <f t="shared" si="124"/>
        <v xml:space="preserve">لاب فقط </v>
      </c>
    </row>
    <row r="786" spans="1:89" x14ac:dyDescent="0.25">
      <c r="A786" s="16" t="s">
        <v>445</v>
      </c>
      <c r="E786" s="17">
        <v>11252</v>
      </c>
      <c r="F786" s="3" t="s">
        <v>332</v>
      </c>
      <c r="G786" s="3" t="s">
        <v>447</v>
      </c>
      <c r="AU786" s="22">
        <f t="shared" si="120"/>
        <v>0</v>
      </c>
      <c r="AV786" s="3">
        <v>0</v>
      </c>
      <c r="CH786" s="22">
        <f t="shared" si="121"/>
        <v>0</v>
      </c>
      <c r="CI786" s="3">
        <f t="shared" si="122"/>
        <v>0</v>
      </c>
      <c r="CJ786" s="17">
        <f t="shared" si="123"/>
        <v>11252</v>
      </c>
      <c r="CK786" s="3" t="str">
        <f t="shared" si="124"/>
        <v xml:space="preserve">لاب فقط </v>
      </c>
    </row>
    <row r="787" spans="1:89" x14ac:dyDescent="0.25">
      <c r="A787" s="16" t="s">
        <v>445</v>
      </c>
      <c r="E787" s="17">
        <v>11253</v>
      </c>
      <c r="F787" s="3" t="s">
        <v>332</v>
      </c>
      <c r="G787" s="3" t="s">
        <v>448</v>
      </c>
      <c r="AU787" s="22">
        <f t="shared" si="120"/>
        <v>0</v>
      </c>
      <c r="AV787" s="3">
        <v>0</v>
      </c>
      <c r="CH787" s="22">
        <f t="shared" si="121"/>
        <v>0</v>
      </c>
      <c r="CI787" s="3">
        <f t="shared" si="122"/>
        <v>0</v>
      </c>
      <c r="CJ787" s="17">
        <f t="shared" si="123"/>
        <v>11253</v>
      </c>
      <c r="CK787" s="3" t="str">
        <f t="shared" si="124"/>
        <v xml:space="preserve">لاب فقط </v>
      </c>
    </row>
    <row r="788" spans="1:89" x14ac:dyDescent="0.25">
      <c r="D788" s="17">
        <v>18850</v>
      </c>
      <c r="E788" s="17">
        <v>11254</v>
      </c>
      <c r="F788" s="3" t="s">
        <v>325</v>
      </c>
      <c r="G788" s="3" t="s">
        <v>449</v>
      </c>
      <c r="J788" s="3">
        <v>105</v>
      </c>
      <c r="AU788" s="22">
        <f t="shared" si="120"/>
        <v>105</v>
      </c>
      <c r="AV788" s="3">
        <v>105</v>
      </c>
      <c r="CH788" s="22">
        <f t="shared" si="121"/>
        <v>105</v>
      </c>
      <c r="CI788" s="3">
        <f t="shared" si="122"/>
        <v>0</v>
      </c>
      <c r="CJ788" s="17">
        <f t="shared" si="123"/>
        <v>11254</v>
      </c>
      <c r="CK788" s="3" t="str">
        <f t="shared" si="124"/>
        <v xml:space="preserve">برنامج دولى </v>
      </c>
    </row>
    <row r="789" spans="1:89" x14ac:dyDescent="0.25">
      <c r="D789" s="17">
        <v>18849</v>
      </c>
      <c r="E789" s="17">
        <v>11255</v>
      </c>
      <c r="F789" s="3" t="s">
        <v>325</v>
      </c>
      <c r="G789" s="3" t="s">
        <v>450</v>
      </c>
      <c r="J789" s="3">
        <v>240</v>
      </c>
      <c r="AU789" s="22">
        <f t="shared" si="120"/>
        <v>240</v>
      </c>
      <c r="AV789" s="3">
        <v>240</v>
      </c>
      <c r="CH789" s="22">
        <f t="shared" si="121"/>
        <v>240</v>
      </c>
      <c r="CI789" s="3">
        <f t="shared" si="122"/>
        <v>0</v>
      </c>
      <c r="CJ789" s="17">
        <f t="shared" si="123"/>
        <v>11255</v>
      </c>
      <c r="CK789" s="3" t="str">
        <f t="shared" si="124"/>
        <v xml:space="preserve">برنامج دولى </v>
      </c>
    </row>
    <row r="790" spans="1:89" x14ac:dyDescent="0.25">
      <c r="D790" s="17">
        <v>18848</v>
      </c>
      <c r="E790" s="17">
        <v>11256</v>
      </c>
      <c r="F790" s="3" t="s">
        <v>325</v>
      </c>
      <c r="G790" s="3" t="s">
        <v>451</v>
      </c>
      <c r="J790" s="3">
        <v>520</v>
      </c>
      <c r="AU790" s="22">
        <f t="shared" si="120"/>
        <v>520</v>
      </c>
      <c r="AV790" s="3">
        <v>520</v>
      </c>
      <c r="CH790" s="22">
        <f t="shared" si="121"/>
        <v>520</v>
      </c>
      <c r="CI790" s="3">
        <f t="shared" si="122"/>
        <v>0</v>
      </c>
      <c r="CJ790" s="17">
        <f t="shared" si="123"/>
        <v>11256</v>
      </c>
      <c r="CK790" s="3" t="str">
        <f t="shared" si="124"/>
        <v xml:space="preserve">برنامج دولى </v>
      </c>
    </row>
    <row r="791" spans="1:89" x14ac:dyDescent="0.25">
      <c r="D791" s="17">
        <v>18855</v>
      </c>
      <c r="E791" s="17">
        <v>11257</v>
      </c>
      <c r="F791" s="3" t="s">
        <v>325</v>
      </c>
      <c r="G791" s="3" t="s">
        <v>452</v>
      </c>
      <c r="J791" s="3">
        <v>660</v>
      </c>
      <c r="AU791" s="22">
        <f t="shared" si="120"/>
        <v>660</v>
      </c>
      <c r="AV791" s="3">
        <v>660</v>
      </c>
      <c r="CH791" s="22">
        <f t="shared" si="121"/>
        <v>660</v>
      </c>
      <c r="CI791" s="3">
        <f t="shared" si="122"/>
        <v>0</v>
      </c>
      <c r="CJ791" s="17">
        <f t="shared" si="123"/>
        <v>11257</v>
      </c>
      <c r="CK791" s="3" t="str">
        <f t="shared" si="124"/>
        <v xml:space="preserve">برنامج دولى </v>
      </c>
    </row>
    <row r="792" spans="1:89" ht="31.5" x14ac:dyDescent="0.25">
      <c r="D792" s="17">
        <v>18560</v>
      </c>
      <c r="E792" s="17">
        <v>11258</v>
      </c>
      <c r="F792" s="3" t="s">
        <v>121</v>
      </c>
      <c r="G792" s="9" t="s">
        <v>453</v>
      </c>
      <c r="J792" s="3">
        <v>450000.18</v>
      </c>
      <c r="AU792" s="22">
        <f t="shared" si="120"/>
        <v>450000.18</v>
      </c>
      <c r="AV792" s="3">
        <v>409976.68</v>
      </c>
      <c r="AW792" s="3">
        <f>2468.25+7404.75+45</f>
        <v>9918</v>
      </c>
      <c r="AY792" s="3">
        <v>5</v>
      </c>
      <c r="BK792" s="3">
        <v>3947.5</v>
      </c>
      <c r="BL792" s="3">
        <v>100</v>
      </c>
      <c r="BM792" s="3">
        <f>1776.5*2</f>
        <v>3553</v>
      </c>
      <c r="BN792" s="3">
        <v>22500</v>
      </c>
      <c r="CH792" s="22">
        <f t="shared" si="121"/>
        <v>450000.18</v>
      </c>
      <c r="CI792" s="3">
        <f t="shared" si="122"/>
        <v>0</v>
      </c>
      <c r="CJ792" s="17">
        <f t="shared" si="123"/>
        <v>11258</v>
      </c>
      <c r="CK792" s="3" t="str">
        <f t="shared" si="124"/>
        <v>ماليزى اسنان</v>
      </c>
    </row>
    <row r="793" spans="1:89" ht="31.5" x14ac:dyDescent="0.25">
      <c r="C793" s="3"/>
      <c r="D793" s="17">
        <v>18558</v>
      </c>
      <c r="E793" s="17">
        <v>11259</v>
      </c>
      <c r="F793" s="3" t="s">
        <v>121</v>
      </c>
      <c r="G793" s="9" t="s">
        <v>454</v>
      </c>
      <c r="J793" s="3">
        <v>332167.5</v>
      </c>
      <c r="AU793" s="22">
        <f t="shared" si="120"/>
        <v>332167.5</v>
      </c>
      <c r="AV793" s="3">
        <v>332167.5</v>
      </c>
      <c r="CH793" s="22">
        <f t="shared" si="121"/>
        <v>332167.5</v>
      </c>
      <c r="CI793" s="3">
        <f t="shared" si="122"/>
        <v>0</v>
      </c>
      <c r="CJ793" s="17">
        <f t="shared" si="123"/>
        <v>11259</v>
      </c>
      <c r="CK793" s="3" t="str">
        <f t="shared" si="124"/>
        <v>ماليزى اسنان</v>
      </c>
    </row>
    <row r="794" spans="1:89" ht="31.5" x14ac:dyDescent="0.25">
      <c r="C794" s="3"/>
      <c r="D794" s="17">
        <v>18556</v>
      </c>
      <c r="E794" s="17">
        <v>11260</v>
      </c>
      <c r="F794" s="3" t="s">
        <v>121</v>
      </c>
      <c r="G794" s="9" t="s">
        <v>455</v>
      </c>
      <c r="J794" s="3">
        <v>1000</v>
      </c>
      <c r="AU794" s="22">
        <f t="shared" si="120"/>
        <v>1000</v>
      </c>
      <c r="AV794" s="3">
        <v>869</v>
      </c>
      <c r="AW794" s="3">
        <f>14.5+43.5+18</f>
        <v>76</v>
      </c>
      <c r="AY794" s="3">
        <v>5</v>
      </c>
      <c r="BK794" s="3">
        <v>10</v>
      </c>
      <c r="BL794" s="3">
        <v>40</v>
      </c>
      <c r="CH794" s="22">
        <f t="shared" si="121"/>
        <v>1000</v>
      </c>
      <c r="CI794" s="3">
        <f t="shared" si="122"/>
        <v>0</v>
      </c>
      <c r="CJ794" s="17">
        <f t="shared" si="123"/>
        <v>11260</v>
      </c>
      <c r="CK794" s="3" t="str">
        <f t="shared" si="124"/>
        <v>ماليزى اسنان</v>
      </c>
    </row>
    <row r="795" spans="1:89" ht="31.5" x14ac:dyDescent="0.25">
      <c r="C795" s="3"/>
      <c r="D795" s="17">
        <v>18555</v>
      </c>
      <c r="E795" s="17">
        <v>11261</v>
      </c>
      <c r="F795" s="3" t="s">
        <v>121</v>
      </c>
      <c r="G795" s="9" t="s">
        <v>456</v>
      </c>
      <c r="J795" s="3">
        <v>2090</v>
      </c>
      <c r="AU795" s="22">
        <f t="shared" si="120"/>
        <v>2090</v>
      </c>
      <c r="AV795" s="3">
        <v>2090</v>
      </c>
      <c r="CH795" s="22">
        <f t="shared" si="121"/>
        <v>2090</v>
      </c>
      <c r="CI795" s="3">
        <f t="shared" si="122"/>
        <v>0</v>
      </c>
      <c r="CJ795" s="17">
        <f t="shared" si="123"/>
        <v>11261</v>
      </c>
      <c r="CK795" s="3" t="str">
        <f t="shared" si="124"/>
        <v>ماليزى اسنان</v>
      </c>
    </row>
    <row r="796" spans="1:89" ht="31.5" x14ac:dyDescent="0.25">
      <c r="D796" s="17">
        <v>18559</v>
      </c>
      <c r="E796" s="17">
        <v>11262</v>
      </c>
      <c r="F796" s="3" t="s">
        <v>121</v>
      </c>
      <c r="G796" s="9" t="s">
        <v>457</v>
      </c>
      <c r="L796" s="3">
        <v>2500</v>
      </c>
      <c r="Q796" s="3">
        <v>2500</v>
      </c>
      <c r="AU796" s="22">
        <f t="shared" si="120"/>
        <v>5000</v>
      </c>
      <c r="AV796" s="3">
        <v>2500</v>
      </c>
      <c r="BS796" s="3">
        <v>2500</v>
      </c>
      <c r="CH796" s="22">
        <f t="shared" si="121"/>
        <v>5000</v>
      </c>
      <c r="CI796" s="3">
        <f t="shared" si="122"/>
        <v>0</v>
      </c>
      <c r="CJ796" s="17">
        <f t="shared" si="123"/>
        <v>11262</v>
      </c>
      <c r="CK796" s="3" t="str">
        <f t="shared" si="124"/>
        <v>ماليزى اسنان</v>
      </c>
    </row>
    <row r="797" spans="1:89" ht="31.5" x14ac:dyDescent="0.25">
      <c r="C797" s="3"/>
      <c r="D797" s="17">
        <v>18552</v>
      </c>
      <c r="E797" s="17">
        <v>11263</v>
      </c>
      <c r="F797" s="3" t="s">
        <v>121</v>
      </c>
      <c r="G797" s="9" t="s">
        <v>458</v>
      </c>
      <c r="Y797" s="3">
        <v>19862.400000000001</v>
      </c>
      <c r="AU797" s="22">
        <f t="shared" si="120"/>
        <v>19862.400000000001</v>
      </c>
      <c r="AV797" s="3">
        <v>19862.400000000001</v>
      </c>
      <c r="CH797" s="22">
        <f t="shared" si="121"/>
        <v>19862.400000000001</v>
      </c>
      <c r="CI797" s="3">
        <f t="shared" si="122"/>
        <v>0</v>
      </c>
      <c r="CJ797" s="17">
        <f t="shared" si="123"/>
        <v>11263</v>
      </c>
      <c r="CK797" s="3" t="str">
        <f t="shared" si="124"/>
        <v>ماليزى اسنان</v>
      </c>
    </row>
    <row r="798" spans="1:89" ht="31.5" x14ac:dyDescent="0.25">
      <c r="D798" s="17">
        <v>18562</v>
      </c>
      <c r="E798" s="17">
        <v>11264</v>
      </c>
      <c r="F798" s="3" t="s">
        <v>121</v>
      </c>
      <c r="G798" s="9" t="s">
        <v>459</v>
      </c>
      <c r="Y798" s="3">
        <v>11855.75</v>
      </c>
      <c r="AU798" s="22">
        <f t="shared" si="120"/>
        <v>11855.75</v>
      </c>
      <c r="AV798" s="3">
        <v>11855.75</v>
      </c>
      <c r="CH798" s="22">
        <f t="shared" si="121"/>
        <v>11855.75</v>
      </c>
      <c r="CI798" s="3">
        <f t="shared" si="122"/>
        <v>0</v>
      </c>
      <c r="CJ798" s="17">
        <f t="shared" si="123"/>
        <v>11264</v>
      </c>
      <c r="CK798" s="3" t="str">
        <f t="shared" si="124"/>
        <v>ماليزى اسنان</v>
      </c>
    </row>
    <row r="799" spans="1:89" x14ac:dyDescent="0.25">
      <c r="D799" s="17">
        <v>18561</v>
      </c>
      <c r="E799" s="17">
        <v>11265</v>
      </c>
      <c r="F799" s="3" t="s">
        <v>121</v>
      </c>
      <c r="G799" s="3" t="s">
        <v>460</v>
      </c>
      <c r="S799" s="3">
        <v>14985</v>
      </c>
      <c r="AU799" s="22">
        <f t="shared" si="120"/>
        <v>14985</v>
      </c>
      <c r="AV799" s="3">
        <v>14985</v>
      </c>
      <c r="CH799" s="22">
        <f t="shared" si="121"/>
        <v>14985</v>
      </c>
      <c r="CI799" s="3">
        <f t="shared" si="122"/>
        <v>0</v>
      </c>
      <c r="CJ799" s="17">
        <f t="shared" si="123"/>
        <v>11265</v>
      </c>
      <c r="CK799" s="3" t="str">
        <f t="shared" si="124"/>
        <v>ماليزى اسنان</v>
      </c>
    </row>
    <row r="800" spans="1:89" ht="31.5" x14ac:dyDescent="0.25">
      <c r="D800" s="17">
        <v>18842</v>
      </c>
      <c r="E800" s="17">
        <v>11266</v>
      </c>
      <c r="F800" s="3" t="s">
        <v>121</v>
      </c>
      <c r="G800" s="9" t="s">
        <v>461</v>
      </c>
      <c r="S800" s="3">
        <v>918.5</v>
      </c>
      <c r="AU800" s="22">
        <f t="shared" si="120"/>
        <v>918.5</v>
      </c>
      <c r="AV800" s="3">
        <v>918.5</v>
      </c>
      <c r="CH800" s="22">
        <f t="shared" si="121"/>
        <v>918.5</v>
      </c>
      <c r="CI800" s="3">
        <f t="shared" si="122"/>
        <v>0</v>
      </c>
      <c r="CJ800" s="17">
        <f t="shared" si="123"/>
        <v>11266</v>
      </c>
      <c r="CK800" s="3" t="str">
        <f t="shared" si="124"/>
        <v>ماليزى اسنان</v>
      </c>
    </row>
    <row r="801" spans="1:89" x14ac:dyDescent="0.25">
      <c r="C801" s="3"/>
      <c r="D801" s="17">
        <v>18843</v>
      </c>
      <c r="E801" s="17">
        <v>11267</v>
      </c>
      <c r="G801" s="3" t="s">
        <v>462</v>
      </c>
      <c r="AE801" s="3">
        <v>788</v>
      </c>
      <c r="AU801" s="22">
        <f t="shared" si="120"/>
        <v>788</v>
      </c>
      <c r="AV801" s="3">
        <v>788</v>
      </c>
      <c r="CH801" s="22">
        <f t="shared" si="121"/>
        <v>788</v>
      </c>
      <c r="CI801" s="3">
        <f t="shared" si="122"/>
        <v>0</v>
      </c>
      <c r="CJ801" s="17">
        <f t="shared" si="123"/>
        <v>11267</v>
      </c>
      <c r="CK801" s="3">
        <f t="shared" si="124"/>
        <v>0</v>
      </c>
    </row>
    <row r="802" spans="1:89" x14ac:dyDescent="0.25">
      <c r="D802" s="17">
        <v>18804</v>
      </c>
      <c r="E802" s="17">
        <v>11268</v>
      </c>
      <c r="F802" s="3" t="s">
        <v>130</v>
      </c>
      <c r="G802" s="3" t="s">
        <v>463</v>
      </c>
      <c r="J802" s="3">
        <v>443294.7</v>
      </c>
      <c r="AU802" s="22">
        <f t="shared" si="120"/>
        <v>443294.7</v>
      </c>
      <c r="AV802" s="3">
        <v>405262.4</v>
      </c>
      <c r="AW802" s="3">
        <f>2433.15+7299.45+36</f>
        <v>9768.6</v>
      </c>
      <c r="AY802" s="3">
        <v>5</v>
      </c>
      <c r="BK802" s="3">
        <v>3888.55</v>
      </c>
      <c r="BL802" s="3">
        <v>80</v>
      </c>
      <c r="BN802" s="3">
        <v>22164.75</v>
      </c>
      <c r="CG802" s="201">
        <v>2125.4</v>
      </c>
      <c r="CH802" s="22">
        <f t="shared" si="121"/>
        <v>443294.7</v>
      </c>
      <c r="CI802" s="3">
        <f t="shared" si="122"/>
        <v>0</v>
      </c>
      <c r="CJ802" s="17">
        <f t="shared" si="123"/>
        <v>11268</v>
      </c>
      <c r="CK802" s="3" t="str">
        <f t="shared" si="124"/>
        <v>خ ت طب</v>
      </c>
    </row>
    <row r="803" spans="1:89" x14ac:dyDescent="0.25">
      <c r="D803" s="17">
        <v>18845</v>
      </c>
      <c r="E803" s="17">
        <v>11269</v>
      </c>
      <c r="F803" s="3" t="s">
        <v>325</v>
      </c>
      <c r="G803" s="3" t="s">
        <v>464</v>
      </c>
      <c r="J803" s="3">
        <v>11787</v>
      </c>
      <c r="AU803" s="22">
        <f t="shared" si="120"/>
        <v>11787</v>
      </c>
      <c r="AV803" s="3">
        <v>9744.1</v>
      </c>
      <c r="AW803" s="3">
        <f>162.5+487.5+36</f>
        <v>686</v>
      </c>
      <c r="AY803" s="3">
        <v>5</v>
      </c>
      <c r="BL803" s="3">
        <v>80</v>
      </c>
      <c r="BM803" s="3">
        <f>46.6*2</f>
        <v>93.2</v>
      </c>
      <c r="BN803" s="3">
        <v>589.35</v>
      </c>
      <c r="CG803" s="201">
        <v>589.35</v>
      </c>
      <c r="CH803" s="22">
        <f t="shared" si="121"/>
        <v>11787.000000000002</v>
      </c>
      <c r="CI803" s="3">
        <f t="shared" si="122"/>
        <v>0</v>
      </c>
      <c r="CJ803" s="17">
        <f t="shared" si="123"/>
        <v>11269</v>
      </c>
      <c r="CK803" s="3" t="str">
        <f t="shared" si="124"/>
        <v xml:space="preserve">برنامج دولى </v>
      </c>
    </row>
    <row r="804" spans="1:89" ht="31.5" x14ac:dyDescent="0.25">
      <c r="D804" s="17">
        <v>18802</v>
      </c>
      <c r="E804" s="17">
        <v>11270</v>
      </c>
      <c r="F804" s="3" t="s">
        <v>325</v>
      </c>
      <c r="G804" s="9" t="s">
        <v>465</v>
      </c>
      <c r="J804" s="3">
        <v>7800</v>
      </c>
      <c r="AU804" s="22">
        <f t="shared" si="120"/>
        <v>7800</v>
      </c>
      <c r="AV804" s="3">
        <v>7176</v>
      </c>
      <c r="AW804" s="3">
        <v>470.6</v>
      </c>
      <c r="AY804" s="3">
        <v>5</v>
      </c>
      <c r="BK804" s="3">
        <v>68.400000000000006</v>
      </c>
      <c r="BL804" s="3">
        <v>80</v>
      </c>
      <c r="CH804" s="22">
        <f t="shared" si="121"/>
        <v>7800</v>
      </c>
      <c r="CI804" s="3">
        <f t="shared" si="122"/>
        <v>0</v>
      </c>
      <c r="CJ804" s="17">
        <f t="shared" si="123"/>
        <v>11270</v>
      </c>
      <c r="CK804" s="3" t="str">
        <f t="shared" si="124"/>
        <v xml:space="preserve">برنامج دولى </v>
      </c>
    </row>
    <row r="805" spans="1:89" s="29" customFormat="1" x14ac:dyDescent="0.25">
      <c r="A805" s="27"/>
      <c r="B805" s="28"/>
      <c r="C805" s="28"/>
      <c r="D805" s="28"/>
      <c r="E805" s="28"/>
      <c r="G805" s="29" t="s">
        <v>466</v>
      </c>
      <c r="I805" s="29">
        <f t="shared" ref="I805:AO805" si="125">SUM(I683:I804)</f>
        <v>608548.39</v>
      </c>
      <c r="J805" s="29">
        <f t="shared" si="125"/>
        <v>2185749.1</v>
      </c>
      <c r="K805" s="29">
        <f t="shared" si="125"/>
        <v>0</v>
      </c>
      <c r="L805" s="29">
        <f t="shared" si="125"/>
        <v>2500</v>
      </c>
      <c r="M805" s="29">
        <f t="shared" si="125"/>
        <v>807576</v>
      </c>
      <c r="N805" s="29">
        <f t="shared" si="125"/>
        <v>807576</v>
      </c>
      <c r="O805" s="29">
        <f t="shared" si="125"/>
        <v>807576</v>
      </c>
      <c r="P805" s="29">
        <f t="shared" si="125"/>
        <v>0</v>
      </c>
      <c r="Q805" s="29">
        <f t="shared" si="125"/>
        <v>43050</v>
      </c>
      <c r="R805" s="29">
        <f t="shared" si="125"/>
        <v>0</v>
      </c>
      <c r="S805" s="29">
        <f t="shared" si="125"/>
        <v>15903.5</v>
      </c>
      <c r="T805" s="29">
        <f t="shared" si="125"/>
        <v>0</v>
      </c>
      <c r="U805" s="29">
        <f t="shared" si="125"/>
        <v>0</v>
      </c>
      <c r="V805" s="29">
        <f t="shared" si="125"/>
        <v>0</v>
      </c>
      <c r="W805" s="29">
        <f t="shared" si="125"/>
        <v>0</v>
      </c>
      <c r="X805" s="29">
        <f t="shared" si="125"/>
        <v>0</v>
      </c>
      <c r="Y805" s="29">
        <f t="shared" si="125"/>
        <v>34150.65</v>
      </c>
      <c r="Z805" s="29">
        <f t="shared" si="125"/>
        <v>0</v>
      </c>
      <c r="AA805" s="29">
        <f t="shared" si="125"/>
        <v>0</v>
      </c>
      <c r="AB805" s="29">
        <f t="shared" si="125"/>
        <v>0</v>
      </c>
      <c r="AC805" s="29">
        <f t="shared" si="125"/>
        <v>0</v>
      </c>
      <c r="AD805" s="29">
        <f t="shared" si="125"/>
        <v>0</v>
      </c>
      <c r="AE805" s="29">
        <f t="shared" si="125"/>
        <v>788</v>
      </c>
      <c r="AG805" s="29">
        <f t="shared" si="125"/>
        <v>0</v>
      </c>
      <c r="AH805" s="29">
        <f t="shared" si="125"/>
        <v>0</v>
      </c>
      <c r="AI805" s="29">
        <f t="shared" si="125"/>
        <v>0</v>
      </c>
      <c r="AJ805" s="29">
        <f t="shared" si="125"/>
        <v>0</v>
      </c>
      <c r="AK805" s="29">
        <f t="shared" si="125"/>
        <v>0</v>
      </c>
      <c r="AL805" s="29">
        <f t="shared" si="125"/>
        <v>0</v>
      </c>
      <c r="AM805" s="29">
        <f t="shared" si="125"/>
        <v>0</v>
      </c>
      <c r="AN805" s="29">
        <f t="shared" si="125"/>
        <v>0</v>
      </c>
      <c r="AO805" s="29">
        <f t="shared" si="125"/>
        <v>0</v>
      </c>
      <c r="AP805" s="29">
        <f t="shared" ref="AP805:BW805" si="126">SUM(AP683:AP804)</f>
        <v>0</v>
      </c>
      <c r="AQ805" s="29">
        <f t="shared" si="126"/>
        <v>0</v>
      </c>
      <c r="AR805" s="29">
        <f t="shared" si="126"/>
        <v>0</v>
      </c>
      <c r="AS805" s="29">
        <f t="shared" si="126"/>
        <v>0</v>
      </c>
      <c r="AT805" s="29">
        <f t="shared" si="126"/>
        <v>0</v>
      </c>
      <c r="AU805" s="29">
        <f t="shared" si="126"/>
        <v>5313417.6400000006</v>
      </c>
      <c r="AV805" s="29">
        <f t="shared" si="126"/>
        <v>3251914.58</v>
      </c>
      <c r="AW805" s="29">
        <f t="shared" si="126"/>
        <v>119594.83000000002</v>
      </c>
      <c r="AX805" s="29">
        <f t="shared" si="126"/>
        <v>53304.689999999995</v>
      </c>
      <c r="AY805" s="29">
        <f t="shared" si="126"/>
        <v>1832.24</v>
      </c>
      <c r="AZ805" s="29">
        <f t="shared" si="126"/>
        <v>0</v>
      </c>
      <c r="BA805" s="29">
        <f t="shared" si="126"/>
        <v>0</v>
      </c>
      <c r="BB805" s="29">
        <f t="shared" si="126"/>
        <v>0</v>
      </c>
      <c r="BC805" s="29">
        <f t="shared" si="126"/>
        <v>0</v>
      </c>
      <c r="BD805" s="29">
        <f t="shared" si="126"/>
        <v>0</v>
      </c>
      <c r="BF805" s="29">
        <f t="shared" si="126"/>
        <v>0</v>
      </c>
      <c r="BG805" s="29">
        <f t="shared" si="126"/>
        <v>0</v>
      </c>
      <c r="BH805" s="29">
        <f t="shared" si="126"/>
        <v>0</v>
      </c>
      <c r="BJ805" s="29">
        <f t="shared" si="126"/>
        <v>0</v>
      </c>
      <c r="BK805" s="29">
        <f t="shared" si="126"/>
        <v>38478.550000000003</v>
      </c>
      <c r="BL805" s="29">
        <f t="shared" si="126"/>
        <v>526</v>
      </c>
      <c r="BM805" s="29">
        <f t="shared" si="126"/>
        <v>17088.3</v>
      </c>
      <c r="BN805" s="29">
        <f t="shared" si="126"/>
        <v>45254.1</v>
      </c>
      <c r="BO805" s="29">
        <f t="shared" si="126"/>
        <v>84128.8</v>
      </c>
      <c r="BP805" s="29">
        <f t="shared" si="126"/>
        <v>807576</v>
      </c>
      <c r="BQ805" s="29">
        <f t="shared" si="126"/>
        <v>807576</v>
      </c>
      <c r="BR805" s="29">
        <f t="shared" si="126"/>
        <v>0</v>
      </c>
      <c r="BS805" s="29">
        <f t="shared" si="126"/>
        <v>43050</v>
      </c>
      <c r="BT805" s="29">
        <f t="shared" si="126"/>
        <v>0</v>
      </c>
      <c r="BU805" s="29">
        <f t="shared" si="126"/>
        <v>0</v>
      </c>
      <c r="BV805" s="29">
        <f t="shared" si="126"/>
        <v>0</v>
      </c>
      <c r="BW805" s="29">
        <f t="shared" si="126"/>
        <v>0</v>
      </c>
      <c r="BX805" s="29">
        <f t="shared" ref="BX805:CI805" si="127">SUM(BX683:BX804)</f>
        <v>0</v>
      </c>
      <c r="BY805" s="29">
        <f t="shared" si="127"/>
        <v>0</v>
      </c>
      <c r="BZ805" s="29">
        <f t="shared" si="127"/>
        <v>0</v>
      </c>
      <c r="CA805" s="29">
        <f t="shared" si="127"/>
        <v>0</v>
      </c>
      <c r="CB805" s="29">
        <f t="shared" si="127"/>
        <v>0</v>
      </c>
      <c r="CC805" s="29">
        <f t="shared" si="127"/>
        <v>0</v>
      </c>
      <c r="CD805" s="29">
        <f t="shared" si="127"/>
        <v>0</v>
      </c>
      <c r="CE805" s="29">
        <f t="shared" si="127"/>
        <v>0</v>
      </c>
      <c r="CF805" s="29">
        <f t="shared" si="127"/>
        <v>0</v>
      </c>
      <c r="CG805" s="201">
        <f t="shared" si="127"/>
        <v>43093.55</v>
      </c>
      <c r="CH805" s="29">
        <f t="shared" si="127"/>
        <v>5313417.6400000006</v>
      </c>
      <c r="CI805" s="29">
        <f t="shared" si="127"/>
        <v>0</v>
      </c>
    </row>
    <row r="806" spans="1:89" ht="31.5" x14ac:dyDescent="0.25">
      <c r="D806" s="17">
        <v>18831</v>
      </c>
      <c r="E806" s="17">
        <v>11271</v>
      </c>
      <c r="F806" s="3" t="s">
        <v>121</v>
      </c>
      <c r="G806" s="9" t="s">
        <v>467</v>
      </c>
      <c r="I806" s="3">
        <v>2931.26</v>
      </c>
      <c r="AU806" s="22">
        <f t="shared" ref="AU806:AU837" si="128">SUM(I806:AS806)</f>
        <v>2931.26</v>
      </c>
      <c r="AV806" s="3">
        <v>1959.3</v>
      </c>
      <c r="AW806" s="3">
        <v>265.7</v>
      </c>
      <c r="AX806" s="3">
        <v>706.26</v>
      </c>
      <c r="CH806" s="22">
        <f t="shared" ref="CH806:CH837" si="129">SUM(AV806:CG806)</f>
        <v>2931.26</v>
      </c>
      <c r="CI806" s="3">
        <f t="shared" ref="CI806:CI837" si="130">+CH806-AU806</f>
        <v>0</v>
      </c>
      <c r="CJ806" s="17">
        <f t="shared" ref="CJ806:CJ837" si="131">+E806</f>
        <v>11271</v>
      </c>
      <c r="CK806" s="3" t="str">
        <f t="shared" ref="CK806:CK837" si="132">+F806</f>
        <v>ماليزى اسنان</v>
      </c>
    </row>
    <row r="807" spans="1:89" x14ac:dyDescent="0.25">
      <c r="E807" s="17">
        <v>11272</v>
      </c>
      <c r="F807" s="3" t="s">
        <v>121</v>
      </c>
      <c r="G807" s="3" t="s">
        <v>468</v>
      </c>
      <c r="I807" s="3">
        <v>28899.81</v>
      </c>
      <c r="AU807" s="22">
        <f t="shared" si="128"/>
        <v>28899.81</v>
      </c>
      <c r="AV807" s="3">
        <v>19391.27</v>
      </c>
      <c r="AW807" s="3">
        <v>2630.6</v>
      </c>
      <c r="AX807" s="3">
        <v>6877.94</v>
      </c>
      <c r="CH807" s="22">
        <f t="shared" si="129"/>
        <v>28899.809999999998</v>
      </c>
      <c r="CI807" s="3">
        <f t="shared" si="130"/>
        <v>0</v>
      </c>
      <c r="CJ807" s="17">
        <f t="shared" si="131"/>
        <v>11272</v>
      </c>
      <c r="CK807" s="3" t="str">
        <f t="shared" si="132"/>
        <v>ماليزى اسنان</v>
      </c>
    </row>
    <row r="808" spans="1:89" x14ac:dyDescent="0.25">
      <c r="C808" s="3"/>
      <c r="D808" s="17">
        <v>18835</v>
      </c>
      <c r="E808" s="17">
        <v>11273</v>
      </c>
      <c r="F808" s="3" t="s">
        <v>121</v>
      </c>
      <c r="G808" s="3" t="s">
        <v>469</v>
      </c>
      <c r="I808" s="3">
        <v>7000</v>
      </c>
      <c r="AU808" s="22">
        <f t="shared" si="128"/>
        <v>7000</v>
      </c>
      <c r="AV808" s="3">
        <v>6248.2</v>
      </c>
      <c r="AW808" s="3">
        <v>751.8</v>
      </c>
      <c r="CH808" s="22">
        <f t="shared" si="129"/>
        <v>7000</v>
      </c>
      <c r="CI808" s="3">
        <f t="shared" si="130"/>
        <v>0</v>
      </c>
      <c r="CJ808" s="17">
        <f t="shared" si="131"/>
        <v>11273</v>
      </c>
      <c r="CK808" s="3" t="str">
        <f t="shared" si="132"/>
        <v>ماليزى اسنان</v>
      </c>
    </row>
    <row r="809" spans="1:89" x14ac:dyDescent="0.25">
      <c r="C809" s="3"/>
      <c r="D809" s="17">
        <v>18834</v>
      </c>
      <c r="E809" s="17">
        <v>11274</v>
      </c>
      <c r="F809" s="3" t="s">
        <v>121</v>
      </c>
      <c r="G809" s="3" t="s">
        <v>469</v>
      </c>
      <c r="I809" s="3">
        <v>3500</v>
      </c>
      <c r="AU809" s="22">
        <f t="shared" si="128"/>
        <v>3500</v>
      </c>
      <c r="AV809" s="3">
        <v>3124.1</v>
      </c>
      <c r="AW809" s="3">
        <v>375.9</v>
      </c>
      <c r="CH809" s="22">
        <f t="shared" si="129"/>
        <v>3500</v>
      </c>
      <c r="CI809" s="3">
        <f t="shared" si="130"/>
        <v>0</v>
      </c>
      <c r="CJ809" s="17">
        <f t="shared" si="131"/>
        <v>11274</v>
      </c>
      <c r="CK809" s="3" t="str">
        <f t="shared" si="132"/>
        <v>ماليزى اسنان</v>
      </c>
    </row>
    <row r="810" spans="1:89" x14ac:dyDescent="0.25">
      <c r="D810" s="17">
        <v>18832</v>
      </c>
      <c r="E810" s="17">
        <v>11275</v>
      </c>
      <c r="F810" s="3" t="s">
        <v>121</v>
      </c>
      <c r="G810" s="3" t="s">
        <v>469</v>
      </c>
      <c r="I810" s="3">
        <v>14100</v>
      </c>
      <c r="AU810" s="22">
        <f t="shared" si="128"/>
        <v>14100</v>
      </c>
      <c r="AV810" s="3">
        <v>12585.7</v>
      </c>
      <c r="AW810" s="3">
        <v>1514.3</v>
      </c>
      <c r="CH810" s="22">
        <f t="shared" si="129"/>
        <v>14100</v>
      </c>
      <c r="CI810" s="3">
        <f t="shared" si="130"/>
        <v>0</v>
      </c>
      <c r="CJ810" s="17">
        <f t="shared" si="131"/>
        <v>11275</v>
      </c>
      <c r="CK810" s="3" t="str">
        <f t="shared" si="132"/>
        <v>ماليزى اسنان</v>
      </c>
    </row>
    <row r="811" spans="1:89" x14ac:dyDescent="0.25">
      <c r="C811" s="3"/>
      <c r="D811" s="17">
        <v>18829</v>
      </c>
      <c r="E811" s="17">
        <v>11276</v>
      </c>
      <c r="F811" s="3" t="s">
        <v>121</v>
      </c>
      <c r="G811" s="3" t="s">
        <v>470</v>
      </c>
      <c r="I811" s="3">
        <v>29139.57</v>
      </c>
      <c r="AU811" s="22">
        <f t="shared" si="128"/>
        <v>29139.57</v>
      </c>
      <c r="AV811" s="3">
        <v>20612.09</v>
      </c>
      <c r="AW811" s="3">
        <v>2730.8</v>
      </c>
      <c r="AX811" s="3">
        <v>5796.68</v>
      </c>
      <c r="CH811" s="22">
        <f t="shared" si="129"/>
        <v>29139.57</v>
      </c>
      <c r="CI811" s="3">
        <f t="shared" si="130"/>
        <v>0</v>
      </c>
      <c r="CJ811" s="17">
        <f t="shared" si="131"/>
        <v>11276</v>
      </c>
      <c r="CK811" s="3" t="str">
        <f t="shared" si="132"/>
        <v>ماليزى اسنان</v>
      </c>
    </row>
    <row r="812" spans="1:89" x14ac:dyDescent="0.25">
      <c r="D812" s="17">
        <v>18833</v>
      </c>
      <c r="E812" s="17">
        <v>11277</v>
      </c>
      <c r="F812" s="3" t="s">
        <v>121</v>
      </c>
      <c r="G812" s="3" t="s">
        <v>471</v>
      </c>
      <c r="I812" s="3">
        <v>879.38</v>
      </c>
      <c r="AU812" s="22">
        <f t="shared" si="128"/>
        <v>879.38</v>
      </c>
      <c r="AV812" s="3">
        <v>588.15</v>
      </c>
      <c r="AW812" s="3">
        <v>79.349999999999994</v>
      </c>
      <c r="AX812" s="3">
        <v>211.88</v>
      </c>
      <c r="CH812" s="22">
        <f t="shared" si="129"/>
        <v>879.38</v>
      </c>
      <c r="CI812" s="3">
        <f t="shared" si="130"/>
        <v>0</v>
      </c>
      <c r="CJ812" s="17">
        <f t="shared" si="131"/>
        <v>11277</v>
      </c>
      <c r="CK812" s="3" t="str">
        <f t="shared" si="132"/>
        <v>ماليزى اسنان</v>
      </c>
    </row>
    <row r="813" spans="1:89" x14ac:dyDescent="0.25">
      <c r="D813" s="17">
        <v>18875</v>
      </c>
      <c r="E813" s="17">
        <v>11278</v>
      </c>
      <c r="F813" s="3" t="s">
        <v>132</v>
      </c>
      <c r="G813" s="3" t="s">
        <v>472</v>
      </c>
      <c r="I813" s="3">
        <v>615.38</v>
      </c>
      <c r="AU813" s="22">
        <f t="shared" si="128"/>
        <v>615.38</v>
      </c>
      <c r="AV813" s="3">
        <v>411.67</v>
      </c>
      <c r="AW813" s="3">
        <v>55.43</v>
      </c>
      <c r="AX813" s="3">
        <v>148.28</v>
      </c>
      <c r="CH813" s="22">
        <f t="shared" si="129"/>
        <v>615.38</v>
      </c>
      <c r="CI813" s="3">
        <f t="shared" si="130"/>
        <v>0</v>
      </c>
      <c r="CJ813" s="17">
        <f t="shared" si="131"/>
        <v>11278</v>
      </c>
      <c r="CK813" s="3" t="str">
        <f t="shared" si="132"/>
        <v>صيدلة اكلينيكى</v>
      </c>
    </row>
    <row r="814" spans="1:89" x14ac:dyDescent="0.25">
      <c r="D814" s="17">
        <v>18442</v>
      </c>
      <c r="E814" s="17">
        <v>11279</v>
      </c>
      <c r="F814" s="3" t="s">
        <v>132</v>
      </c>
      <c r="G814" s="3" t="s">
        <v>473</v>
      </c>
      <c r="I814" s="3">
        <v>52656.98</v>
      </c>
      <c r="AU814" s="22">
        <f t="shared" si="128"/>
        <v>52656.98</v>
      </c>
      <c r="AV814" s="3">
        <v>37805.410000000003</v>
      </c>
      <c r="AW814" s="3">
        <f>295.15+969.34</f>
        <v>1264.49</v>
      </c>
      <c r="AX814" s="3">
        <v>12687.08</v>
      </c>
      <c r="AY814" s="3">
        <v>900</v>
      </c>
      <c r="CH814" s="22">
        <f t="shared" si="129"/>
        <v>52656.98</v>
      </c>
      <c r="CI814" s="3">
        <f t="shared" si="130"/>
        <v>0</v>
      </c>
      <c r="CJ814" s="17">
        <f t="shared" si="131"/>
        <v>11279</v>
      </c>
      <c r="CK814" s="3" t="str">
        <f t="shared" si="132"/>
        <v>صيدلة اكلينيكى</v>
      </c>
    </row>
    <row r="815" spans="1:89" x14ac:dyDescent="0.25">
      <c r="D815" s="17">
        <v>18441</v>
      </c>
      <c r="E815" s="17">
        <v>11280</v>
      </c>
      <c r="F815" s="3" t="s">
        <v>132</v>
      </c>
      <c r="G815" s="3" t="s">
        <v>473</v>
      </c>
      <c r="I815" s="3">
        <v>15600</v>
      </c>
      <c r="AU815" s="22">
        <f t="shared" si="128"/>
        <v>15600</v>
      </c>
      <c r="AV815" s="3">
        <v>14562.43</v>
      </c>
      <c r="AW815" s="3">
        <f>114.2+373.37</f>
        <v>487.57</v>
      </c>
      <c r="AY815" s="3">
        <v>550</v>
      </c>
      <c r="CH815" s="22">
        <f t="shared" si="129"/>
        <v>15600</v>
      </c>
      <c r="CI815" s="3">
        <f t="shared" si="130"/>
        <v>0</v>
      </c>
      <c r="CJ815" s="17">
        <f t="shared" si="131"/>
        <v>11280</v>
      </c>
      <c r="CK815" s="3" t="str">
        <f t="shared" si="132"/>
        <v>صيدلة اكلينيكى</v>
      </c>
    </row>
    <row r="816" spans="1:89" x14ac:dyDescent="0.25">
      <c r="D816" s="17">
        <v>18439</v>
      </c>
      <c r="E816" s="17">
        <v>11281</v>
      </c>
      <c r="F816" s="3" t="s">
        <v>132</v>
      </c>
      <c r="G816" s="3" t="s">
        <v>474</v>
      </c>
      <c r="I816" s="3">
        <v>4221</v>
      </c>
      <c r="AU816" s="22">
        <f t="shared" si="128"/>
        <v>4221</v>
      </c>
      <c r="AV816" s="3">
        <v>3100.79</v>
      </c>
      <c r="AW816" s="3">
        <f>23.7+79.51</f>
        <v>103.21000000000001</v>
      </c>
      <c r="AX816" s="3">
        <v>1017</v>
      </c>
      <c r="CH816" s="22">
        <f t="shared" si="129"/>
        <v>4221</v>
      </c>
      <c r="CI816" s="3">
        <f t="shared" si="130"/>
        <v>0</v>
      </c>
      <c r="CJ816" s="17">
        <f t="shared" si="131"/>
        <v>11281</v>
      </c>
      <c r="CK816" s="3" t="str">
        <f t="shared" si="132"/>
        <v>صيدلة اكلينيكى</v>
      </c>
    </row>
    <row r="817" spans="3:89" x14ac:dyDescent="0.25">
      <c r="D817" s="17">
        <v>18440</v>
      </c>
      <c r="E817" s="17">
        <v>11282</v>
      </c>
      <c r="F817" s="3" t="s">
        <v>132</v>
      </c>
      <c r="G817" s="3" t="s">
        <v>475</v>
      </c>
      <c r="I817" s="3">
        <v>6100</v>
      </c>
      <c r="AU817" s="22">
        <f t="shared" si="128"/>
        <v>6100</v>
      </c>
      <c r="AV817" s="3">
        <v>5444.99</v>
      </c>
      <c r="AW817" s="3">
        <v>655.01</v>
      </c>
      <c r="CH817" s="22">
        <f t="shared" si="129"/>
        <v>6100</v>
      </c>
      <c r="CI817" s="3">
        <f t="shared" si="130"/>
        <v>0</v>
      </c>
      <c r="CJ817" s="17">
        <f t="shared" si="131"/>
        <v>11282</v>
      </c>
      <c r="CK817" s="3" t="str">
        <f t="shared" si="132"/>
        <v>صيدلة اكلينيكى</v>
      </c>
    </row>
    <row r="818" spans="3:89" x14ac:dyDescent="0.25">
      <c r="D818" s="17">
        <v>18343</v>
      </c>
      <c r="E818" s="17">
        <v>11283</v>
      </c>
      <c r="F818" s="3" t="s">
        <v>132</v>
      </c>
      <c r="G818" s="3" t="s">
        <v>476</v>
      </c>
      <c r="I818" s="3">
        <v>10728.36</v>
      </c>
      <c r="AU818" s="22">
        <f t="shared" si="128"/>
        <v>10728.36</v>
      </c>
      <c r="AV818" s="3">
        <v>7178.85</v>
      </c>
      <c r="AW818" s="3">
        <v>964.65</v>
      </c>
      <c r="AX818" s="3">
        <v>2584.86</v>
      </c>
      <c r="CH818" s="22">
        <f t="shared" si="129"/>
        <v>10728.36</v>
      </c>
      <c r="CI818" s="3">
        <f t="shared" si="130"/>
        <v>0</v>
      </c>
      <c r="CJ818" s="17">
        <f t="shared" si="131"/>
        <v>11283</v>
      </c>
      <c r="CK818" s="3" t="str">
        <f t="shared" si="132"/>
        <v>صيدلة اكلينيكى</v>
      </c>
    </row>
    <row r="819" spans="3:89" x14ac:dyDescent="0.25">
      <c r="C819" s="3"/>
      <c r="D819" s="17">
        <v>18344</v>
      </c>
      <c r="E819" s="17">
        <v>11284</v>
      </c>
      <c r="F819" s="3" t="s">
        <v>132</v>
      </c>
      <c r="G819" s="3" t="s">
        <v>476</v>
      </c>
      <c r="I819" s="3">
        <v>586.25</v>
      </c>
      <c r="AU819" s="22">
        <f t="shared" si="128"/>
        <v>586.25</v>
      </c>
      <c r="AV819" s="3">
        <v>392.4</v>
      </c>
      <c r="AW819" s="3">
        <v>52.6</v>
      </c>
      <c r="AX819" s="3">
        <v>141.25</v>
      </c>
      <c r="CH819" s="22">
        <f t="shared" si="129"/>
        <v>586.25</v>
      </c>
      <c r="CI819" s="3">
        <f t="shared" si="130"/>
        <v>0</v>
      </c>
      <c r="CJ819" s="17">
        <f t="shared" si="131"/>
        <v>11284</v>
      </c>
      <c r="CK819" s="3" t="str">
        <f t="shared" si="132"/>
        <v>صيدلة اكلينيكى</v>
      </c>
    </row>
    <row r="820" spans="3:89" x14ac:dyDescent="0.25">
      <c r="D820" s="17">
        <v>18345</v>
      </c>
      <c r="E820" s="17">
        <v>11285</v>
      </c>
      <c r="F820" s="3" t="s">
        <v>132</v>
      </c>
      <c r="G820" s="3" t="s">
        <v>476</v>
      </c>
      <c r="I820" s="3">
        <v>1876</v>
      </c>
      <c r="AU820" s="22">
        <f t="shared" si="128"/>
        <v>1876</v>
      </c>
      <c r="AV820" s="3">
        <v>1255.3499999999999</v>
      </c>
      <c r="AW820" s="3">
        <v>168.65</v>
      </c>
      <c r="AX820" s="3">
        <v>452</v>
      </c>
      <c r="CH820" s="22">
        <f t="shared" si="129"/>
        <v>1876</v>
      </c>
      <c r="CI820" s="3">
        <f t="shared" si="130"/>
        <v>0</v>
      </c>
      <c r="CJ820" s="17">
        <f t="shared" si="131"/>
        <v>11285</v>
      </c>
      <c r="CK820" s="3" t="str">
        <f t="shared" si="132"/>
        <v>صيدلة اكلينيكى</v>
      </c>
    </row>
    <row r="821" spans="3:89" x14ac:dyDescent="0.25">
      <c r="D821" s="17">
        <v>18346</v>
      </c>
      <c r="E821" s="17">
        <v>11286</v>
      </c>
      <c r="F821" s="3" t="s">
        <v>132</v>
      </c>
      <c r="G821" s="3" t="s">
        <v>476</v>
      </c>
      <c r="I821" s="3">
        <v>586.25</v>
      </c>
      <c r="AU821" s="22">
        <f t="shared" si="128"/>
        <v>586.25</v>
      </c>
      <c r="AV821" s="3">
        <v>392.4</v>
      </c>
      <c r="AW821" s="3">
        <v>52.6</v>
      </c>
      <c r="AX821" s="3">
        <v>141.25</v>
      </c>
      <c r="CH821" s="22">
        <f t="shared" si="129"/>
        <v>586.25</v>
      </c>
      <c r="CI821" s="3">
        <f t="shared" si="130"/>
        <v>0</v>
      </c>
      <c r="CJ821" s="17">
        <f t="shared" si="131"/>
        <v>11286</v>
      </c>
      <c r="CK821" s="3" t="str">
        <f t="shared" si="132"/>
        <v>صيدلة اكلينيكى</v>
      </c>
    </row>
    <row r="822" spans="3:89" x14ac:dyDescent="0.25">
      <c r="D822" s="17">
        <v>18342</v>
      </c>
      <c r="E822" s="17">
        <v>11287</v>
      </c>
      <c r="F822" s="3" t="s">
        <v>132</v>
      </c>
      <c r="G822" s="3" t="s">
        <v>476</v>
      </c>
      <c r="I822" s="3">
        <v>8703.5</v>
      </c>
      <c r="AU822" s="22">
        <f t="shared" si="128"/>
        <v>8703.5</v>
      </c>
      <c r="AV822" s="3">
        <v>8418.68</v>
      </c>
      <c r="AW822" s="3">
        <f>60+55.32</f>
        <v>115.32</v>
      </c>
      <c r="AX822" s="3">
        <v>169.5</v>
      </c>
      <c r="CH822" s="22">
        <f t="shared" si="129"/>
        <v>8703.5</v>
      </c>
      <c r="CI822" s="3">
        <f t="shared" si="130"/>
        <v>0</v>
      </c>
      <c r="CJ822" s="17">
        <f t="shared" si="131"/>
        <v>11287</v>
      </c>
      <c r="CK822" s="3" t="str">
        <f t="shared" si="132"/>
        <v>صيدلة اكلينيكى</v>
      </c>
    </row>
    <row r="823" spans="3:89" x14ac:dyDescent="0.25">
      <c r="D823" s="17">
        <v>18574</v>
      </c>
      <c r="E823" s="17">
        <v>11288</v>
      </c>
      <c r="F823" s="3" t="s">
        <v>132</v>
      </c>
      <c r="G823" s="3" t="s">
        <v>477</v>
      </c>
      <c r="I823" s="3">
        <v>15371.48</v>
      </c>
      <c r="AU823" s="22">
        <f t="shared" si="128"/>
        <v>15371.48</v>
      </c>
      <c r="AV823" s="3">
        <v>10291.450000000001</v>
      </c>
      <c r="AW823" s="3">
        <v>1376.45</v>
      </c>
      <c r="AX823" s="3">
        <v>3703.58</v>
      </c>
      <c r="CH823" s="22">
        <f t="shared" si="129"/>
        <v>15371.480000000001</v>
      </c>
      <c r="CI823" s="3">
        <f t="shared" si="130"/>
        <v>0</v>
      </c>
      <c r="CJ823" s="17">
        <f t="shared" si="131"/>
        <v>11288</v>
      </c>
      <c r="CK823" s="3" t="str">
        <f t="shared" si="132"/>
        <v>صيدلة اكلينيكى</v>
      </c>
    </row>
    <row r="824" spans="3:89" x14ac:dyDescent="0.25">
      <c r="D824" s="17">
        <v>18573</v>
      </c>
      <c r="E824" s="17">
        <v>11289</v>
      </c>
      <c r="F824" s="3" t="s">
        <v>132</v>
      </c>
      <c r="G824" s="3" t="s">
        <v>477</v>
      </c>
      <c r="I824" s="3">
        <v>527.62</v>
      </c>
      <c r="AU824" s="22">
        <f t="shared" si="128"/>
        <v>527.62</v>
      </c>
      <c r="AV824" s="3">
        <v>353.2</v>
      </c>
      <c r="AW824" s="3">
        <v>47.3</v>
      </c>
      <c r="AX824" s="3">
        <v>127.12</v>
      </c>
      <c r="CH824" s="22">
        <f t="shared" si="129"/>
        <v>527.62</v>
      </c>
      <c r="CI824" s="3">
        <f t="shared" si="130"/>
        <v>0</v>
      </c>
      <c r="CJ824" s="17">
        <f t="shared" si="131"/>
        <v>11289</v>
      </c>
      <c r="CK824" s="3" t="str">
        <f t="shared" si="132"/>
        <v>صيدلة اكلينيكى</v>
      </c>
    </row>
    <row r="825" spans="3:89" x14ac:dyDescent="0.25">
      <c r="D825" s="17">
        <v>18572</v>
      </c>
      <c r="E825" s="17">
        <v>11290</v>
      </c>
      <c r="F825" s="3" t="s">
        <v>132</v>
      </c>
      <c r="G825" s="3" t="s">
        <v>477</v>
      </c>
      <c r="I825" s="3">
        <v>5038.38</v>
      </c>
      <c r="AU825" s="22">
        <f t="shared" si="128"/>
        <v>5038.38</v>
      </c>
      <c r="AV825" s="3">
        <v>3362.08</v>
      </c>
      <c r="AW825" s="3">
        <v>450.7</v>
      </c>
      <c r="AX825" s="3">
        <v>1225.5999999999999</v>
      </c>
      <c r="CH825" s="22">
        <f t="shared" si="129"/>
        <v>5038.3799999999992</v>
      </c>
      <c r="CI825" s="3">
        <f t="shared" si="130"/>
        <v>0</v>
      </c>
      <c r="CJ825" s="17">
        <f t="shared" si="131"/>
        <v>11290</v>
      </c>
      <c r="CK825" s="3" t="str">
        <f t="shared" si="132"/>
        <v>صيدلة اكلينيكى</v>
      </c>
    </row>
    <row r="826" spans="3:89" x14ac:dyDescent="0.25">
      <c r="D826" s="17">
        <v>18571</v>
      </c>
      <c r="E826" s="17">
        <v>11291</v>
      </c>
      <c r="F826" s="3" t="s">
        <v>132</v>
      </c>
      <c r="G826" s="3" t="s">
        <v>477</v>
      </c>
      <c r="I826" s="3">
        <v>2391.9</v>
      </c>
      <c r="AU826" s="22">
        <f t="shared" si="128"/>
        <v>2391.9</v>
      </c>
      <c r="AV826" s="3">
        <v>1601.15</v>
      </c>
      <c r="AW826" s="3">
        <v>214.45</v>
      </c>
      <c r="AX826" s="3">
        <v>576.29999999999995</v>
      </c>
      <c r="CH826" s="22">
        <f t="shared" si="129"/>
        <v>2391.9</v>
      </c>
      <c r="CI826" s="3">
        <f t="shared" si="130"/>
        <v>0</v>
      </c>
      <c r="CJ826" s="17">
        <f t="shared" si="131"/>
        <v>11291</v>
      </c>
      <c r="CK826" s="3" t="str">
        <f t="shared" si="132"/>
        <v>صيدلة اكلينيكى</v>
      </c>
    </row>
    <row r="827" spans="3:89" x14ac:dyDescent="0.25">
      <c r="D827" s="17">
        <v>18575</v>
      </c>
      <c r="E827" s="17">
        <v>11292</v>
      </c>
      <c r="F827" s="3" t="s">
        <v>132</v>
      </c>
      <c r="G827" s="3" t="s">
        <v>477</v>
      </c>
      <c r="I827" s="3">
        <v>4901.6499999999996</v>
      </c>
      <c r="AU827" s="22">
        <f t="shared" si="128"/>
        <v>4901.6499999999996</v>
      </c>
      <c r="AV827" s="3">
        <v>3786.58</v>
      </c>
      <c r="AW827" s="3">
        <f>285+24.92</f>
        <v>309.92</v>
      </c>
      <c r="AX827" s="3">
        <v>805.15</v>
      </c>
      <c r="CH827" s="22">
        <f t="shared" si="129"/>
        <v>4901.6499999999996</v>
      </c>
      <c r="CI827" s="3">
        <f t="shared" si="130"/>
        <v>0</v>
      </c>
      <c r="CJ827" s="17">
        <f t="shared" si="131"/>
        <v>11292</v>
      </c>
      <c r="CK827" s="3" t="str">
        <f t="shared" si="132"/>
        <v>صيدلة اكلينيكى</v>
      </c>
    </row>
    <row r="828" spans="3:89" x14ac:dyDescent="0.25">
      <c r="D828" s="17">
        <v>18569</v>
      </c>
      <c r="E828" s="17">
        <v>11293</v>
      </c>
      <c r="F828" s="3" t="s">
        <v>132</v>
      </c>
      <c r="G828" s="3" t="s">
        <v>478</v>
      </c>
      <c r="I828" s="3">
        <v>19831.32</v>
      </c>
      <c r="AU828" s="22">
        <f t="shared" si="128"/>
        <v>19831.32</v>
      </c>
      <c r="AV828" s="3">
        <v>13928.55</v>
      </c>
      <c r="AW828" s="3">
        <v>1806.4</v>
      </c>
      <c r="AX828" s="3">
        <v>4096.37</v>
      </c>
      <c r="CH828" s="22">
        <f t="shared" si="129"/>
        <v>19831.32</v>
      </c>
      <c r="CI828" s="3">
        <f t="shared" si="130"/>
        <v>0</v>
      </c>
      <c r="CJ828" s="17">
        <f t="shared" si="131"/>
        <v>11293</v>
      </c>
      <c r="CK828" s="3" t="str">
        <f t="shared" si="132"/>
        <v>صيدلة اكلينيكى</v>
      </c>
    </row>
    <row r="829" spans="3:89" x14ac:dyDescent="0.25">
      <c r="D829" s="17">
        <v>18568</v>
      </c>
      <c r="E829" s="17">
        <v>11294</v>
      </c>
      <c r="F829" s="3" t="s">
        <v>132</v>
      </c>
      <c r="G829" s="3" t="s">
        <v>478</v>
      </c>
      <c r="I829" s="3">
        <v>463.14</v>
      </c>
      <c r="AU829" s="22">
        <f t="shared" si="128"/>
        <v>463.14</v>
      </c>
      <c r="AV829" s="3">
        <v>310.5</v>
      </c>
      <c r="AW829" s="3">
        <v>41.05</v>
      </c>
      <c r="AX829" s="3">
        <v>111.59</v>
      </c>
      <c r="CH829" s="22">
        <f t="shared" si="129"/>
        <v>463.14</v>
      </c>
      <c r="CI829" s="3">
        <f t="shared" si="130"/>
        <v>0</v>
      </c>
      <c r="CJ829" s="17">
        <f t="shared" si="131"/>
        <v>11294</v>
      </c>
      <c r="CK829" s="3" t="str">
        <f t="shared" si="132"/>
        <v>صيدلة اكلينيكى</v>
      </c>
    </row>
    <row r="830" spans="3:89" x14ac:dyDescent="0.25">
      <c r="C830" s="3"/>
      <c r="D830" s="17">
        <v>18567</v>
      </c>
      <c r="E830" s="17">
        <v>11295</v>
      </c>
      <c r="F830" s="3" t="s">
        <v>132</v>
      </c>
      <c r="G830" s="3" t="s">
        <v>478</v>
      </c>
      <c r="I830" s="3">
        <v>1066.97</v>
      </c>
      <c r="AU830" s="22">
        <f t="shared" si="128"/>
        <v>1066.97</v>
      </c>
      <c r="AV830" s="3">
        <v>715.05</v>
      </c>
      <c r="AW830" s="3">
        <v>94.85</v>
      </c>
      <c r="AX830" s="3">
        <v>257.07</v>
      </c>
      <c r="CH830" s="22">
        <f t="shared" si="129"/>
        <v>1066.97</v>
      </c>
      <c r="CI830" s="3">
        <f t="shared" si="130"/>
        <v>0</v>
      </c>
      <c r="CJ830" s="17">
        <f t="shared" si="131"/>
        <v>11295</v>
      </c>
      <c r="CK830" s="3" t="str">
        <f t="shared" si="132"/>
        <v>صيدلة اكلينيكى</v>
      </c>
    </row>
    <row r="831" spans="3:89" x14ac:dyDescent="0.25">
      <c r="D831" s="17">
        <v>18570</v>
      </c>
      <c r="E831" s="17">
        <v>11296</v>
      </c>
      <c r="F831" s="3" t="s">
        <v>132</v>
      </c>
      <c r="G831" s="3" t="s">
        <v>478</v>
      </c>
      <c r="I831" s="3">
        <v>369.34</v>
      </c>
      <c r="AU831" s="22">
        <f t="shared" si="128"/>
        <v>369.34</v>
      </c>
      <c r="AV831" s="3">
        <v>247.13</v>
      </c>
      <c r="AW831" s="3">
        <f>31.5+1.72</f>
        <v>33.22</v>
      </c>
      <c r="AX831" s="3">
        <v>88.99</v>
      </c>
      <c r="CH831" s="22">
        <f t="shared" si="129"/>
        <v>369.34000000000003</v>
      </c>
      <c r="CI831" s="3">
        <f t="shared" si="130"/>
        <v>0</v>
      </c>
      <c r="CJ831" s="17">
        <f t="shared" si="131"/>
        <v>11296</v>
      </c>
      <c r="CK831" s="3" t="str">
        <f t="shared" si="132"/>
        <v>صيدلة اكلينيكى</v>
      </c>
    </row>
    <row r="832" spans="3:89" x14ac:dyDescent="0.25">
      <c r="D832" s="17">
        <v>18874</v>
      </c>
      <c r="E832" s="17">
        <v>11297</v>
      </c>
      <c r="F832" s="3" t="s">
        <v>132</v>
      </c>
      <c r="G832" s="3" t="s">
        <v>479</v>
      </c>
      <c r="I832" s="3">
        <v>1600</v>
      </c>
      <c r="AU832" s="22">
        <f t="shared" si="128"/>
        <v>1600</v>
      </c>
      <c r="AV832" s="3">
        <v>1428.35</v>
      </c>
      <c r="AW832" s="3">
        <v>171.65</v>
      </c>
      <c r="CH832" s="22">
        <f t="shared" si="129"/>
        <v>1600</v>
      </c>
      <c r="CI832" s="3">
        <f t="shared" si="130"/>
        <v>0</v>
      </c>
      <c r="CJ832" s="17">
        <f t="shared" si="131"/>
        <v>11297</v>
      </c>
      <c r="CK832" s="3" t="str">
        <f t="shared" si="132"/>
        <v>صيدلة اكلينيكى</v>
      </c>
    </row>
    <row r="833" spans="3:89" x14ac:dyDescent="0.25">
      <c r="D833" s="17">
        <v>18687</v>
      </c>
      <c r="E833" s="17">
        <v>11298</v>
      </c>
      <c r="F833" s="3" t="s">
        <v>171</v>
      </c>
      <c r="G833" s="3" t="s">
        <v>480</v>
      </c>
      <c r="I833" s="3">
        <v>1500</v>
      </c>
      <c r="AU833" s="22">
        <f t="shared" si="128"/>
        <v>1500</v>
      </c>
      <c r="AV833" s="3">
        <v>1264.0999999999999</v>
      </c>
      <c r="AW833" s="3">
        <v>160.9</v>
      </c>
      <c r="AY833" s="3">
        <v>75</v>
      </c>
      <c r="CH833" s="22">
        <f t="shared" si="129"/>
        <v>1500</v>
      </c>
      <c r="CI833" s="3">
        <f t="shared" si="130"/>
        <v>0</v>
      </c>
      <c r="CJ833" s="17">
        <f t="shared" si="131"/>
        <v>11298</v>
      </c>
      <c r="CK833" s="3" t="str">
        <f t="shared" si="132"/>
        <v>تحاليل طبية</v>
      </c>
    </row>
    <row r="834" spans="3:89" x14ac:dyDescent="0.25">
      <c r="D834" s="17">
        <v>18688</v>
      </c>
      <c r="E834" s="17">
        <v>11299</v>
      </c>
      <c r="F834" s="3" t="s">
        <v>171</v>
      </c>
      <c r="G834" s="3" t="s">
        <v>481</v>
      </c>
      <c r="I834" s="3">
        <v>700</v>
      </c>
      <c r="AU834" s="22">
        <f t="shared" si="128"/>
        <v>700</v>
      </c>
      <c r="AV834" s="3">
        <v>590.45000000000005</v>
      </c>
      <c r="AW834" s="3">
        <f>70+4.55</f>
        <v>74.55</v>
      </c>
      <c r="AY834" s="3">
        <v>35</v>
      </c>
      <c r="CH834" s="22">
        <f t="shared" si="129"/>
        <v>700</v>
      </c>
      <c r="CI834" s="3">
        <f t="shared" si="130"/>
        <v>0</v>
      </c>
      <c r="CJ834" s="17">
        <f t="shared" si="131"/>
        <v>11299</v>
      </c>
      <c r="CK834" s="3" t="str">
        <f t="shared" si="132"/>
        <v>تحاليل طبية</v>
      </c>
    </row>
    <row r="835" spans="3:89" x14ac:dyDescent="0.25">
      <c r="D835" s="17">
        <v>18666</v>
      </c>
      <c r="E835" s="17">
        <v>11300</v>
      </c>
      <c r="F835" s="3" t="s">
        <v>130</v>
      </c>
      <c r="G835" s="3" t="s">
        <v>482</v>
      </c>
      <c r="I835" s="3">
        <v>314.3</v>
      </c>
      <c r="AU835" s="22">
        <f t="shared" si="128"/>
        <v>314.3</v>
      </c>
      <c r="AV835" s="3">
        <v>199.71</v>
      </c>
      <c r="AW835" s="3">
        <v>22.19</v>
      </c>
      <c r="AX835" s="3">
        <v>79.099999999999994</v>
      </c>
      <c r="AY835" s="3">
        <v>13.3</v>
      </c>
      <c r="CH835" s="22">
        <f t="shared" si="129"/>
        <v>314.3</v>
      </c>
      <c r="CI835" s="3">
        <f t="shared" si="130"/>
        <v>0</v>
      </c>
      <c r="CJ835" s="17">
        <f t="shared" si="131"/>
        <v>11300</v>
      </c>
      <c r="CK835" s="3" t="str">
        <f t="shared" si="132"/>
        <v>خ ت طب</v>
      </c>
    </row>
    <row r="836" spans="3:89" x14ac:dyDescent="0.25">
      <c r="D836" s="17">
        <v>18667</v>
      </c>
      <c r="E836" s="17">
        <v>11301</v>
      </c>
      <c r="F836" s="3" t="s">
        <v>130</v>
      </c>
      <c r="G836" s="3" t="s">
        <v>483</v>
      </c>
      <c r="I836" s="3">
        <v>133.80000000000001</v>
      </c>
      <c r="AU836" s="22">
        <f t="shared" si="128"/>
        <v>133.80000000000001</v>
      </c>
      <c r="AV836" s="3">
        <v>91.1</v>
      </c>
      <c r="AW836" s="3">
        <v>14.1</v>
      </c>
      <c r="AX836" s="3">
        <v>22.6</v>
      </c>
      <c r="AY836" s="3">
        <v>6</v>
      </c>
      <c r="CH836" s="22">
        <f t="shared" si="129"/>
        <v>133.79999999999998</v>
      </c>
      <c r="CI836" s="3">
        <f t="shared" si="130"/>
        <v>0</v>
      </c>
      <c r="CJ836" s="17">
        <f t="shared" si="131"/>
        <v>11301</v>
      </c>
      <c r="CK836" s="3" t="str">
        <f t="shared" si="132"/>
        <v>خ ت طب</v>
      </c>
    </row>
    <row r="837" spans="3:89" x14ac:dyDescent="0.25">
      <c r="D837" s="17">
        <v>18665</v>
      </c>
      <c r="E837" s="17">
        <v>11302</v>
      </c>
      <c r="F837" s="3" t="s">
        <v>130</v>
      </c>
      <c r="G837" s="3" t="s">
        <v>484</v>
      </c>
      <c r="I837" s="3">
        <v>2000</v>
      </c>
      <c r="AU837" s="22">
        <f t="shared" si="128"/>
        <v>2000</v>
      </c>
      <c r="AV837" s="3">
        <v>1686.7</v>
      </c>
      <c r="AW837" s="3">
        <v>213.3</v>
      </c>
      <c r="AY837" s="3">
        <v>100</v>
      </c>
      <c r="CH837" s="22">
        <f t="shared" si="129"/>
        <v>2000</v>
      </c>
      <c r="CI837" s="3">
        <f t="shared" si="130"/>
        <v>0</v>
      </c>
      <c r="CJ837" s="17">
        <f t="shared" si="131"/>
        <v>11302</v>
      </c>
      <c r="CK837" s="3" t="str">
        <f t="shared" si="132"/>
        <v>خ ت طب</v>
      </c>
    </row>
    <row r="838" spans="3:89" x14ac:dyDescent="0.25">
      <c r="D838" s="17">
        <v>18668</v>
      </c>
      <c r="E838" s="17">
        <v>11303</v>
      </c>
      <c r="F838" s="3" t="s">
        <v>130</v>
      </c>
      <c r="G838" s="3" t="s">
        <v>485</v>
      </c>
      <c r="I838" s="3">
        <v>46.9</v>
      </c>
      <c r="AU838" s="22">
        <f t="shared" ref="AU838:AU874" si="133">SUM(I838:AS838)</f>
        <v>46.9</v>
      </c>
      <c r="AV838" s="3">
        <v>30.24</v>
      </c>
      <c r="AW838" s="3">
        <v>3.36</v>
      </c>
      <c r="AX838" s="3">
        <v>11.3</v>
      </c>
      <c r="AY838" s="3">
        <v>2</v>
      </c>
      <c r="CH838" s="22">
        <f t="shared" ref="CH838:CH869" si="134">SUM(AV838:CG838)</f>
        <v>46.900000000000006</v>
      </c>
      <c r="CI838" s="3">
        <f t="shared" ref="CI838:CI869" si="135">+CH838-AU838</f>
        <v>0</v>
      </c>
      <c r="CJ838" s="17">
        <f t="shared" ref="CJ838:CJ869" si="136">+E838</f>
        <v>11303</v>
      </c>
      <c r="CK838" s="3" t="str">
        <f t="shared" ref="CK838:CK869" si="137">+F838</f>
        <v>خ ت طب</v>
      </c>
    </row>
    <row r="839" spans="3:89" x14ac:dyDescent="0.25">
      <c r="D839" s="17">
        <v>18669</v>
      </c>
      <c r="E839" s="17">
        <v>11304</v>
      </c>
      <c r="F839" s="3" t="s">
        <v>130</v>
      </c>
      <c r="G839" s="3" t="s">
        <v>485</v>
      </c>
      <c r="I839" s="3">
        <v>164.15</v>
      </c>
      <c r="AU839" s="22">
        <f t="shared" si="133"/>
        <v>164.15</v>
      </c>
      <c r="AV839" s="3">
        <v>99.92</v>
      </c>
      <c r="AW839" s="3">
        <v>17.68</v>
      </c>
      <c r="AX839" s="3">
        <v>39.549999999999997</v>
      </c>
      <c r="AY839" s="3">
        <v>7</v>
      </c>
      <c r="CH839" s="22">
        <f t="shared" si="134"/>
        <v>164.14999999999998</v>
      </c>
      <c r="CI839" s="3">
        <f t="shared" si="135"/>
        <v>0</v>
      </c>
      <c r="CJ839" s="17">
        <f t="shared" si="136"/>
        <v>11304</v>
      </c>
      <c r="CK839" s="3" t="str">
        <f t="shared" si="137"/>
        <v>خ ت طب</v>
      </c>
    </row>
    <row r="840" spans="3:89" x14ac:dyDescent="0.25">
      <c r="C840" s="3"/>
      <c r="D840" s="17">
        <v>18670</v>
      </c>
      <c r="E840" s="17">
        <v>11305</v>
      </c>
      <c r="F840" s="3" t="s">
        <v>130</v>
      </c>
      <c r="G840" s="3" t="s">
        <v>486</v>
      </c>
      <c r="I840" s="3">
        <v>515.9</v>
      </c>
      <c r="AU840" s="22">
        <f t="shared" si="133"/>
        <v>515.9</v>
      </c>
      <c r="AV840" s="3">
        <v>332.64</v>
      </c>
      <c r="AW840" s="3">
        <v>36.96</v>
      </c>
      <c r="AX840" s="3">
        <v>124.3</v>
      </c>
      <c r="AY840" s="3">
        <v>22</v>
      </c>
      <c r="CH840" s="22">
        <f t="shared" si="134"/>
        <v>515.9</v>
      </c>
      <c r="CI840" s="3">
        <f t="shared" si="135"/>
        <v>0</v>
      </c>
      <c r="CJ840" s="17">
        <f t="shared" si="136"/>
        <v>11305</v>
      </c>
      <c r="CK840" s="3" t="str">
        <f t="shared" si="137"/>
        <v>خ ت طب</v>
      </c>
    </row>
    <row r="841" spans="3:89" x14ac:dyDescent="0.25">
      <c r="D841" s="17">
        <v>18671</v>
      </c>
      <c r="E841" s="17">
        <v>11306</v>
      </c>
      <c r="F841" s="3" t="s">
        <v>130</v>
      </c>
      <c r="G841" s="3" t="s">
        <v>486</v>
      </c>
      <c r="I841" s="3">
        <v>134.84</v>
      </c>
      <c r="AU841" s="22">
        <f t="shared" si="133"/>
        <v>134.84</v>
      </c>
      <c r="AV841" s="3">
        <v>82.02</v>
      </c>
      <c r="AW841" s="3">
        <v>14.58</v>
      </c>
      <c r="AX841" s="3">
        <v>32.49</v>
      </c>
      <c r="AY841" s="3">
        <v>5.75</v>
      </c>
      <c r="CH841" s="22">
        <f t="shared" si="134"/>
        <v>134.84</v>
      </c>
      <c r="CI841" s="3">
        <f t="shared" si="135"/>
        <v>0</v>
      </c>
      <c r="CJ841" s="17">
        <f t="shared" si="136"/>
        <v>11306</v>
      </c>
      <c r="CK841" s="3" t="str">
        <f t="shared" si="137"/>
        <v>خ ت طب</v>
      </c>
    </row>
    <row r="842" spans="3:89" x14ac:dyDescent="0.25">
      <c r="D842" s="17">
        <v>18672</v>
      </c>
      <c r="E842" s="17">
        <v>11307</v>
      </c>
      <c r="F842" s="3" t="s">
        <v>130</v>
      </c>
      <c r="G842" s="3" t="s">
        <v>487</v>
      </c>
      <c r="I842" s="3">
        <v>164.15</v>
      </c>
      <c r="AU842" s="22">
        <f t="shared" si="133"/>
        <v>164.15</v>
      </c>
      <c r="AV842" s="3">
        <v>99.92</v>
      </c>
      <c r="AW842" s="3">
        <v>17.68</v>
      </c>
      <c r="AX842" s="3">
        <v>39.549999999999997</v>
      </c>
      <c r="AY842" s="3">
        <v>7</v>
      </c>
      <c r="CH842" s="22">
        <f t="shared" si="134"/>
        <v>164.14999999999998</v>
      </c>
      <c r="CI842" s="3">
        <f t="shared" si="135"/>
        <v>0</v>
      </c>
      <c r="CJ842" s="17">
        <f t="shared" si="136"/>
        <v>11307</v>
      </c>
      <c r="CK842" s="3" t="str">
        <f t="shared" si="137"/>
        <v>خ ت طب</v>
      </c>
    </row>
    <row r="843" spans="3:89" x14ac:dyDescent="0.25">
      <c r="D843" s="17">
        <v>18673</v>
      </c>
      <c r="E843" s="17">
        <v>11308</v>
      </c>
      <c r="F843" s="3" t="s">
        <v>130</v>
      </c>
      <c r="G843" s="3" t="s">
        <v>487</v>
      </c>
      <c r="I843" s="3">
        <v>515.9</v>
      </c>
      <c r="AU843" s="22">
        <f t="shared" si="133"/>
        <v>515.9</v>
      </c>
      <c r="AV843" s="3">
        <v>332.64</v>
      </c>
      <c r="AW843" s="3">
        <v>36.96</v>
      </c>
      <c r="AX843" s="3">
        <v>124.3</v>
      </c>
      <c r="AY843" s="3">
        <v>22</v>
      </c>
      <c r="CH843" s="22">
        <f t="shared" si="134"/>
        <v>515.9</v>
      </c>
      <c r="CI843" s="3">
        <f t="shared" si="135"/>
        <v>0</v>
      </c>
      <c r="CJ843" s="17">
        <f t="shared" si="136"/>
        <v>11308</v>
      </c>
      <c r="CK843" s="3" t="str">
        <f t="shared" si="137"/>
        <v>خ ت طب</v>
      </c>
    </row>
    <row r="844" spans="3:89" x14ac:dyDescent="0.25">
      <c r="D844" s="17">
        <v>18674</v>
      </c>
      <c r="E844" s="17">
        <v>11309</v>
      </c>
      <c r="F844" s="3" t="s">
        <v>130</v>
      </c>
      <c r="G844" s="3" t="s">
        <v>487</v>
      </c>
      <c r="I844" s="3">
        <v>1050.46</v>
      </c>
      <c r="AU844" s="22">
        <f t="shared" si="133"/>
        <v>1050.46</v>
      </c>
      <c r="AV844" s="3">
        <v>623.67999999999995</v>
      </c>
      <c r="AW844" s="3">
        <v>128.88</v>
      </c>
      <c r="AX844" s="3">
        <v>253.11</v>
      </c>
      <c r="AY844" s="3">
        <v>44.79</v>
      </c>
      <c r="CH844" s="22">
        <f t="shared" si="134"/>
        <v>1050.46</v>
      </c>
      <c r="CI844" s="3">
        <f t="shared" si="135"/>
        <v>0</v>
      </c>
      <c r="CJ844" s="17">
        <f t="shared" si="136"/>
        <v>11309</v>
      </c>
      <c r="CK844" s="3" t="str">
        <f t="shared" si="137"/>
        <v>خ ت طب</v>
      </c>
    </row>
    <row r="845" spans="3:89" x14ac:dyDescent="0.25">
      <c r="D845" s="17">
        <v>18675</v>
      </c>
      <c r="E845" s="17">
        <v>11310</v>
      </c>
      <c r="F845" s="3" t="s">
        <v>130</v>
      </c>
      <c r="G845" s="3" t="s">
        <v>356</v>
      </c>
      <c r="I845" s="3">
        <v>117.25</v>
      </c>
      <c r="AU845" s="22">
        <f t="shared" si="133"/>
        <v>117.25</v>
      </c>
      <c r="AV845" s="3">
        <v>71.36</v>
      </c>
      <c r="AW845" s="3">
        <v>12.64</v>
      </c>
      <c r="AX845" s="3">
        <v>28.25</v>
      </c>
      <c r="AY845" s="3">
        <v>5</v>
      </c>
      <c r="CH845" s="22">
        <f t="shared" si="134"/>
        <v>117.25</v>
      </c>
      <c r="CI845" s="3">
        <f t="shared" si="135"/>
        <v>0</v>
      </c>
      <c r="CJ845" s="17">
        <f t="shared" si="136"/>
        <v>11310</v>
      </c>
      <c r="CK845" s="3" t="str">
        <f t="shared" si="137"/>
        <v>خ ت طب</v>
      </c>
    </row>
    <row r="846" spans="3:89" x14ac:dyDescent="0.25">
      <c r="D846" s="17">
        <v>18676</v>
      </c>
      <c r="E846" s="17">
        <v>11311</v>
      </c>
      <c r="F846" s="3" t="s">
        <v>130</v>
      </c>
      <c r="G846" s="3" t="s">
        <v>488</v>
      </c>
      <c r="I846" s="3">
        <v>361.2</v>
      </c>
      <c r="AU846" s="22">
        <f t="shared" si="133"/>
        <v>361.2</v>
      </c>
      <c r="AV846" s="3">
        <v>229.95</v>
      </c>
      <c r="AW846" s="3">
        <v>25.55</v>
      </c>
      <c r="AX846" s="3">
        <v>90.4</v>
      </c>
      <c r="AY846" s="3">
        <v>15.3</v>
      </c>
      <c r="CH846" s="22">
        <f t="shared" si="134"/>
        <v>361.2</v>
      </c>
      <c r="CI846" s="3">
        <f t="shared" si="135"/>
        <v>0</v>
      </c>
      <c r="CJ846" s="17">
        <f t="shared" si="136"/>
        <v>11311</v>
      </c>
      <c r="CK846" s="3" t="str">
        <f t="shared" si="137"/>
        <v>خ ت طب</v>
      </c>
    </row>
    <row r="847" spans="3:89" x14ac:dyDescent="0.25">
      <c r="D847" s="17">
        <v>18677</v>
      </c>
      <c r="E847" s="17">
        <v>11312</v>
      </c>
      <c r="F847" s="3" t="s">
        <v>130</v>
      </c>
      <c r="G847" s="3" t="s">
        <v>489</v>
      </c>
      <c r="I847" s="3">
        <v>158.29</v>
      </c>
      <c r="AU847" s="22">
        <f t="shared" si="133"/>
        <v>158.29</v>
      </c>
      <c r="AV847" s="3">
        <v>93.12</v>
      </c>
      <c r="AW847" s="3">
        <v>20.28</v>
      </c>
      <c r="AX847" s="3">
        <v>38.14</v>
      </c>
      <c r="AY847" s="3">
        <v>6.75</v>
      </c>
      <c r="CH847" s="22">
        <f t="shared" si="134"/>
        <v>158.29000000000002</v>
      </c>
      <c r="CI847" s="3">
        <f t="shared" si="135"/>
        <v>0</v>
      </c>
      <c r="CJ847" s="17">
        <f t="shared" si="136"/>
        <v>11312</v>
      </c>
      <c r="CK847" s="3" t="str">
        <f t="shared" si="137"/>
        <v>خ ت طب</v>
      </c>
    </row>
    <row r="848" spans="3:89" x14ac:dyDescent="0.25">
      <c r="D848" s="17">
        <v>18678</v>
      </c>
      <c r="E848" s="17">
        <v>11313</v>
      </c>
      <c r="F848" s="3" t="s">
        <v>130</v>
      </c>
      <c r="G848" s="3" t="s">
        <v>490</v>
      </c>
      <c r="I848" s="3">
        <v>93.8</v>
      </c>
      <c r="AU848" s="22">
        <f t="shared" si="133"/>
        <v>93.8</v>
      </c>
      <c r="AV848" s="3">
        <v>57.12</v>
      </c>
      <c r="AW848" s="3">
        <v>10.08</v>
      </c>
      <c r="AX848" s="3">
        <v>22.6</v>
      </c>
      <c r="AY848" s="3">
        <v>4</v>
      </c>
      <c r="CH848" s="22">
        <f t="shared" si="134"/>
        <v>93.800000000000011</v>
      </c>
      <c r="CI848" s="3">
        <f t="shared" si="135"/>
        <v>0</v>
      </c>
      <c r="CJ848" s="17">
        <f t="shared" si="136"/>
        <v>11313</v>
      </c>
      <c r="CK848" s="3" t="str">
        <f t="shared" si="137"/>
        <v>خ ت طب</v>
      </c>
    </row>
    <row r="849" spans="4:89" x14ac:dyDescent="0.25">
      <c r="D849" s="17">
        <v>18680</v>
      </c>
      <c r="E849" s="17">
        <v>11314</v>
      </c>
      <c r="F849" s="3" t="s">
        <v>130</v>
      </c>
      <c r="G849" s="3" t="s">
        <v>491</v>
      </c>
      <c r="I849" s="3">
        <v>445.56</v>
      </c>
      <c r="AU849" s="22">
        <f t="shared" si="133"/>
        <v>445.56</v>
      </c>
      <c r="AV849" s="3">
        <v>277.47000000000003</v>
      </c>
      <c r="AW849" s="3">
        <v>41.73</v>
      </c>
      <c r="AX849" s="3">
        <v>107.36</v>
      </c>
      <c r="AY849" s="3">
        <v>19</v>
      </c>
      <c r="CH849" s="22">
        <f t="shared" si="134"/>
        <v>445.56000000000006</v>
      </c>
      <c r="CI849" s="3">
        <f t="shared" si="135"/>
        <v>0</v>
      </c>
      <c r="CJ849" s="17">
        <f t="shared" si="136"/>
        <v>11314</v>
      </c>
      <c r="CK849" s="3" t="str">
        <f t="shared" si="137"/>
        <v>خ ت طب</v>
      </c>
    </row>
    <row r="850" spans="4:89" x14ac:dyDescent="0.25">
      <c r="D850" s="17">
        <v>18679</v>
      </c>
      <c r="E850" s="17">
        <v>11315</v>
      </c>
      <c r="F850" s="3" t="s">
        <v>130</v>
      </c>
      <c r="G850" s="3" t="s">
        <v>491</v>
      </c>
      <c r="I850" s="3">
        <v>515.9</v>
      </c>
      <c r="AU850" s="22">
        <f t="shared" si="133"/>
        <v>515.9</v>
      </c>
      <c r="AV850" s="3">
        <v>332.64</v>
      </c>
      <c r="AW850" s="3">
        <v>36.96</v>
      </c>
      <c r="AX850" s="3">
        <v>124.3</v>
      </c>
      <c r="AY850" s="3">
        <v>22</v>
      </c>
      <c r="CH850" s="22">
        <f t="shared" si="134"/>
        <v>515.9</v>
      </c>
      <c r="CI850" s="3">
        <f t="shared" si="135"/>
        <v>0</v>
      </c>
      <c r="CJ850" s="17">
        <f t="shared" si="136"/>
        <v>11315</v>
      </c>
      <c r="CK850" s="3" t="str">
        <f t="shared" si="137"/>
        <v>خ ت طب</v>
      </c>
    </row>
    <row r="851" spans="4:89" x14ac:dyDescent="0.25">
      <c r="D851" s="17">
        <v>18681</v>
      </c>
      <c r="E851" s="17">
        <v>11316</v>
      </c>
      <c r="F851" s="3" t="s">
        <v>130</v>
      </c>
      <c r="G851" s="3" t="s">
        <v>492</v>
      </c>
      <c r="I851" s="3">
        <v>87.94</v>
      </c>
      <c r="AU851" s="22">
        <f t="shared" si="133"/>
        <v>87.94</v>
      </c>
      <c r="AV851" s="3">
        <v>53.46</v>
      </c>
      <c r="AW851" s="3">
        <v>9.5399999999999991</v>
      </c>
      <c r="AX851" s="3">
        <v>21.19</v>
      </c>
      <c r="AY851" s="3">
        <v>3.75</v>
      </c>
      <c r="CH851" s="22">
        <f t="shared" si="134"/>
        <v>87.94</v>
      </c>
      <c r="CI851" s="3">
        <f t="shared" si="135"/>
        <v>0</v>
      </c>
      <c r="CJ851" s="17">
        <f t="shared" si="136"/>
        <v>11316</v>
      </c>
      <c r="CK851" s="3" t="str">
        <f t="shared" si="137"/>
        <v>خ ت طب</v>
      </c>
    </row>
    <row r="852" spans="4:89" x14ac:dyDescent="0.25">
      <c r="D852" s="17">
        <v>18682</v>
      </c>
      <c r="E852" s="17">
        <v>11317</v>
      </c>
      <c r="F852" s="3" t="s">
        <v>130</v>
      </c>
      <c r="G852" s="3" t="s">
        <v>493</v>
      </c>
      <c r="I852" s="3">
        <v>60</v>
      </c>
      <c r="AU852" s="22">
        <f t="shared" si="133"/>
        <v>60</v>
      </c>
      <c r="AV852" s="3">
        <v>51.21</v>
      </c>
      <c r="AW852" s="3">
        <v>5.79</v>
      </c>
      <c r="AY852" s="3">
        <v>3</v>
      </c>
      <c r="CH852" s="22">
        <f t="shared" si="134"/>
        <v>60</v>
      </c>
      <c r="CI852" s="3">
        <f t="shared" si="135"/>
        <v>0</v>
      </c>
      <c r="CJ852" s="17">
        <f t="shared" si="136"/>
        <v>11317</v>
      </c>
      <c r="CK852" s="3" t="str">
        <f t="shared" si="137"/>
        <v>خ ت طب</v>
      </c>
    </row>
    <row r="853" spans="4:89" x14ac:dyDescent="0.25">
      <c r="D853" s="17">
        <v>18683</v>
      </c>
      <c r="E853" s="17">
        <v>11318</v>
      </c>
      <c r="F853" s="3" t="s">
        <v>130</v>
      </c>
      <c r="G853" s="3" t="s">
        <v>493</v>
      </c>
      <c r="I853" s="3">
        <v>187.6</v>
      </c>
      <c r="AU853" s="22">
        <f t="shared" si="133"/>
        <v>187.6</v>
      </c>
      <c r="AV853" s="3">
        <v>120.96</v>
      </c>
      <c r="AW853" s="3">
        <v>13.44</v>
      </c>
      <c r="AX853" s="3">
        <v>45.2</v>
      </c>
      <c r="AY853" s="3">
        <v>8</v>
      </c>
      <c r="CH853" s="22">
        <f t="shared" si="134"/>
        <v>187.60000000000002</v>
      </c>
      <c r="CI853" s="3">
        <f t="shared" si="135"/>
        <v>0</v>
      </c>
      <c r="CJ853" s="17">
        <f t="shared" si="136"/>
        <v>11318</v>
      </c>
      <c r="CK853" s="3" t="str">
        <f t="shared" si="137"/>
        <v>خ ت طب</v>
      </c>
    </row>
    <row r="854" spans="4:89" x14ac:dyDescent="0.25">
      <c r="D854" s="17">
        <v>18684</v>
      </c>
      <c r="E854" s="17">
        <v>11319</v>
      </c>
      <c r="F854" s="3" t="s">
        <v>130</v>
      </c>
      <c r="G854" s="3" t="s">
        <v>493</v>
      </c>
      <c r="I854" s="3">
        <v>140.69999999999999</v>
      </c>
      <c r="AU854" s="22">
        <f t="shared" si="133"/>
        <v>140.69999999999999</v>
      </c>
      <c r="AV854" s="3">
        <v>87.36</v>
      </c>
      <c r="AW854" s="3">
        <v>13.44</v>
      </c>
      <c r="AX854" s="3">
        <v>33.9</v>
      </c>
      <c r="AY854" s="3">
        <v>6</v>
      </c>
      <c r="CH854" s="22">
        <f t="shared" si="134"/>
        <v>140.69999999999999</v>
      </c>
      <c r="CI854" s="3">
        <f t="shared" si="135"/>
        <v>0</v>
      </c>
      <c r="CJ854" s="17">
        <f t="shared" si="136"/>
        <v>11319</v>
      </c>
      <c r="CK854" s="3" t="str">
        <f t="shared" si="137"/>
        <v>خ ت طب</v>
      </c>
    </row>
    <row r="855" spans="4:89" x14ac:dyDescent="0.25">
      <c r="D855" s="17">
        <v>18685</v>
      </c>
      <c r="E855" s="17">
        <v>11320</v>
      </c>
      <c r="F855" s="3" t="s">
        <v>130</v>
      </c>
      <c r="G855" s="3" t="s">
        <v>494</v>
      </c>
      <c r="I855" s="3">
        <v>469</v>
      </c>
      <c r="AU855" s="22">
        <f t="shared" si="133"/>
        <v>469</v>
      </c>
      <c r="AV855" s="3">
        <v>302.39999999999998</v>
      </c>
      <c r="AW855" s="3">
        <v>33.6</v>
      </c>
      <c r="AX855" s="3">
        <v>113</v>
      </c>
      <c r="AY855" s="3">
        <v>20</v>
      </c>
      <c r="CH855" s="22">
        <f t="shared" si="134"/>
        <v>469</v>
      </c>
      <c r="CI855" s="3">
        <f t="shared" si="135"/>
        <v>0</v>
      </c>
      <c r="CJ855" s="17">
        <f t="shared" si="136"/>
        <v>11320</v>
      </c>
      <c r="CK855" s="3" t="str">
        <f t="shared" si="137"/>
        <v>خ ت طب</v>
      </c>
    </row>
    <row r="856" spans="4:89" x14ac:dyDescent="0.25">
      <c r="D856" s="17">
        <v>18686</v>
      </c>
      <c r="E856" s="17">
        <v>11321</v>
      </c>
      <c r="F856" s="3" t="s">
        <v>130</v>
      </c>
      <c r="G856" s="3" t="s">
        <v>494</v>
      </c>
      <c r="I856" s="3">
        <v>316.58</v>
      </c>
      <c r="AU856" s="22">
        <f t="shared" si="133"/>
        <v>316.58</v>
      </c>
      <c r="AV856" s="3">
        <v>194.4</v>
      </c>
      <c r="AW856" s="3">
        <v>32.4</v>
      </c>
      <c r="AX856" s="3">
        <v>76.28</v>
      </c>
      <c r="AY856" s="3">
        <v>13.5</v>
      </c>
      <c r="CH856" s="22">
        <f t="shared" si="134"/>
        <v>316.58000000000004</v>
      </c>
      <c r="CI856" s="3">
        <f t="shared" si="135"/>
        <v>0</v>
      </c>
      <c r="CJ856" s="17">
        <f t="shared" si="136"/>
        <v>11321</v>
      </c>
      <c r="CK856" s="3" t="str">
        <f t="shared" si="137"/>
        <v>خ ت طب</v>
      </c>
    </row>
    <row r="857" spans="4:89" x14ac:dyDescent="0.25">
      <c r="D857" s="17">
        <v>18690</v>
      </c>
      <c r="E857" s="17">
        <v>11322</v>
      </c>
      <c r="F857" s="3" t="s">
        <v>130</v>
      </c>
      <c r="G857" s="3" t="s">
        <v>495</v>
      </c>
      <c r="I857" s="3">
        <v>515.91</v>
      </c>
      <c r="AU857" s="22">
        <f t="shared" si="133"/>
        <v>515.91</v>
      </c>
      <c r="AV857" s="3">
        <v>310.83999999999997</v>
      </c>
      <c r="AW857" s="3">
        <v>58.76</v>
      </c>
      <c r="AX857" s="3">
        <v>124.31</v>
      </c>
      <c r="AY857" s="3">
        <v>22</v>
      </c>
      <c r="CH857" s="22">
        <f t="shared" si="134"/>
        <v>515.91</v>
      </c>
      <c r="CI857" s="3">
        <f t="shared" si="135"/>
        <v>0</v>
      </c>
      <c r="CJ857" s="17">
        <f t="shared" si="136"/>
        <v>11322</v>
      </c>
      <c r="CK857" s="3" t="str">
        <f t="shared" si="137"/>
        <v>خ ت طب</v>
      </c>
    </row>
    <row r="858" spans="4:89" x14ac:dyDescent="0.25">
      <c r="D858" s="17">
        <v>18689</v>
      </c>
      <c r="E858" s="17">
        <v>11323</v>
      </c>
      <c r="F858" s="3" t="s">
        <v>130</v>
      </c>
      <c r="G858" s="3" t="s">
        <v>495</v>
      </c>
      <c r="I858" s="3">
        <v>783.3</v>
      </c>
      <c r="AU858" s="22">
        <f t="shared" si="133"/>
        <v>783.3</v>
      </c>
      <c r="AV858" s="3">
        <v>502.11</v>
      </c>
      <c r="AW858" s="3">
        <v>55.79</v>
      </c>
      <c r="AX858" s="3">
        <v>192.1</v>
      </c>
      <c r="AY858" s="3">
        <v>33.299999999999997</v>
      </c>
      <c r="CH858" s="22">
        <f t="shared" si="134"/>
        <v>783.3</v>
      </c>
      <c r="CI858" s="3">
        <f t="shared" si="135"/>
        <v>0</v>
      </c>
      <c r="CJ858" s="17">
        <f t="shared" si="136"/>
        <v>11323</v>
      </c>
      <c r="CK858" s="3" t="str">
        <f t="shared" si="137"/>
        <v>خ ت طب</v>
      </c>
    </row>
    <row r="859" spans="4:89" x14ac:dyDescent="0.25">
      <c r="D859" s="17">
        <v>18691</v>
      </c>
      <c r="E859" s="17">
        <v>11324</v>
      </c>
      <c r="F859" s="3" t="s">
        <v>130</v>
      </c>
      <c r="G859" s="3" t="s">
        <v>490</v>
      </c>
      <c r="I859" s="3">
        <v>175.88</v>
      </c>
      <c r="AU859" s="22">
        <f t="shared" si="133"/>
        <v>175.88</v>
      </c>
      <c r="AV859" s="3">
        <v>106.68</v>
      </c>
      <c r="AW859" s="3">
        <v>19.32</v>
      </c>
      <c r="AX859" s="3">
        <v>42.38</v>
      </c>
      <c r="AY859" s="3">
        <v>7.5</v>
      </c>
      <c r="CH859" s="22">
        <f t="shared" si="134"/>
        <v>175.88</v>
      </c>
      <c r="CI859" s="3">
        <f t="shared" si="135"/>
        <v>0</v>
      </c>
      <c r="CJ859" s="17">
        <f t="shared" si="136"/>
        <v>11324</v>
      </c>
      <c r="CK859" s="3" t="str">
        <f t="shared" si="137"/>
        <v>خ ت طب</v>
      </c>
    </row>
    <row r="860" spans="4:89" x14ac:dyDescent="0.25">
      <c r="D860" s="17">
        <v>18692</v>
      </c>
      <c r="E860" s="17">
        <v>11325</v>
      </c>
      <c r="F860" s="3" t="s">
        <v>130</v>
      </c>
      <c r="G860" s="3" t="s">
        <v>496</v>
      </c>
      <c r="I860" s="3">
        <v>546.73</v>
      </c>
      <c r="AU860" s="22">
        <f t="shared" si="133"/>
        <v>546.73</v>
      </c>
      <c r="AV860" s="3">
        <v>351.62</v>
      </c>
      <c r="AW860" s="3">
        <v>40.07</v>
      </c>
      <c r="AX860" s="3">
        <v>131.72999999999999</v>
      </c>
      <c r="AY860" s="3">
        <v>23.31</v>
      </c>
      <c r="CH860" s="22">
        <f t="shared" si="134"/>
        <v>546.7299999999999</v>
      </c>
      <c r="CI860" s="3">
        <f t="shared" si="135"/>
        <v>0</v>
      </c>
      <c r="CJ860" s="17">
        <f t="shared" si="136"/>
        <v>11325</v>
      </c>
      <c r="CK860" s="3" t="str">
        <f t="shared" si="137"/>
        <v>خ ت طب</v>
      </c>
    </row>
    <row r="861" spans="4:89" x14ac:dyDescent="0.25">
      <c r="D861" s="17">
        <v>18693</v>
      </c>
      <c r="E861" s="17">
        <v>11326</v>
      </c>
      <c r="F861" s="3" t="s">
        <v>130</v>
      </c>
      <c r="G861" s="3" t="s">
        <v>496</v>
      </c>
      <c r="I861" s="3">
        <v>1128.3699999999999</v>
      </c>
      <c r="AU861" s="22">
        <f t="shared" si="133"/>
        <v>1128.3699999999999</v>
      </c>
      <c r="AV861" s="3">
        <v>694.75</v>
      </c>
      <c r="AW861" s="3">
        <v>113.65</v>
      </c>
      <c r="AX861" s="3">
        <v>271.85000000000002</v>
      </c>
      <c r="AY861" s="3">
        <v>48.12</v>
      </c>
      <c r="CH861" s="22">
        <f t="shared" si="134"/>
        <v>1128.3699999999999</v>
      </c>
      <c r="CI861" s="3">
        <f t="shared" si="135"/>
        <v>0</v>
      </c>
      <c r="CJ861" s="17">
        <f t="shared" si="136"/>
        <v>11326</v>
      </c>
      <c r="CK861" s="3" t="str">
        <f t="shared" si="137"/>
        <v>خ ت طب</v>
      </c>
    </row>
    <row r="862" spans="4:89" x14ac:dyDescent="0.25">
      <c r="D862" s="17">
        <v>18694</v>
      </c>
      <c r="E862" s="17">
        <v>11327</v>
      </c>
      <c r="F862" s="3" t="s">
        <v>130</v>
      </c>
      <c r="G862" s="3" t="s">
        <v>497</v>
      </c>
      <c r="I862" s="3">
        <v>311.12</v>
      </c>
      <c r="AU862" s="22">
        <f t="shared" si="133"/>
        <v>311.12</v>
      </c>
      <c r="AV862" s="3">
        <v>191.91</v>
      </c>
      <c r="AW862" s="3">
        <v>30.98</v>
      </c>
      <c r="AX862" s="3">
        <v>74.95</v>
      </c>
      <c r="AY862" s="3">
        <v>13.28</v>
      </c>
      <c r="CH862" s="22">
        <f t="shared" si="134"/>
        <v>311.11999999999995</v>
      </c>
      <c r="CI862" s="3">
        <f t="shared" si="135"/>
        <v>0</v>
      </c>
      <c r="CJ862" s="17">
        <f t="shared" si="136"/>
        <v>11327</v>
      </c>
      <c r="CK862" s="3" t="str">
        <f t="shared" si="137"/>
        <v>خ ت طب</v>
      </c>
    </row>
    <row r="863" spans="4:89" x14ac:dyDescent="0.25">
      <c r="D863" s="17">
        <v>18695</v>
      </c>
      <c r="E863" s="17">
        <v>11328</v>
      </c>
      <c r="F863" s="3" t="s">
        <v>130</v>
      </c>
      <c r="G863" s="3" t="s">
        <v>498</v>
      </c>
      <c r="I863" s="3">
        <v>175.86</v>
      </c>
      <c r="AU863" s="22">
        <f t="shared" si="133"/>
        <v>175.86</v>
      </c>
      <c r="AV863" s="3">
        <v>113.4</v>
      </c>
      <c r="AW863" s="3">
        <v>12.6</v>
      </c>
      <c r="AX863" s="3">
        <v>42.36</v>
      </c>
      <c r="AY863" s="3">
        <v>7.5</v>
      </c>
      <c r="CH863" s="22">
        <f t="shared" si="134"/>
        <v>175.86</v>
      </c>
      <c r="CI863" s="3">
        <f t="shared" si="135"/>
        <v>0</v>
      </c>
      <c r="CJ863" s="17">
        <f t="shared" si="136"/>
        <v>11328</v>
      </c>
      <c r="CK863" s="3" t="str">
        <f t="shared" si="137"/>
        <v>خ ت طب</v>
      </c>
    </row>
    <row r="864" spans="4:89" x14ac:dyDescent="0.25">
      <c r="D864" s="17">
        <v>18696</v>
      </c>
      <c r="E864" s="17">
        <v>11329</v>
      </c>
      <c r="F864" s="3" t="s">
        <v>130</v>
      </c>
      <c r="G864" s="3" t="s">
        <v>498</v>
      </c>
      <c r="I864" s="3">
        <v>58.62</v>
      </c>
      <c r="AU864" s="22">
        <f t="shared" si="133"/>
        <v>58.62</v>
      </c>
      <c r="AV864" s="3">
        <v>33.6</v>
      </c>
      <c r="AW864" s="3">
        <v>8.4</v>
      </c>
      <c r="AX864" s="3">
        <v>14.12</v>
      </c>
      <c r="AY864" s="3">
        <v>2.5</v>
      </c>
      <c r="CH864" s="22">
        <f t="shared" si="134"/>
        <v>58.62</v>
      </c>
      <c r="CI864" s="3">
        <f t="shared" si="135"/>
        <v>0</v>
      </c>
      <c r="CJ864" s="17">
        <f t="shared" si="136"/>
        <v>11329</v>
      </c>
      <c r="CK864" s="3" t="str">
        <f t="shared" si="137"/>
        <v>خ ت طب</v>
      </c>
    </row>
    <row r="865" spans="3:89" x14ac:dyDescent="0.25">
      <c r="D865" s="17">
        <v>18697</v>
      </c>
      <c r="E865" s="17">
        <v>11330</v>
      </c>
      <c r="F865" s="3" t="s">
        <v>130</v>
      </c>
      <c r="G865" s="3" t="s">
        <v>498</v>
      </c>
      <c r="I865" s="3">
        <v>762.06</v>
      </c>
      <c r="AU865" s="22">
        <f t="shared" si="133"/>
        <v>762.06</v>
      </c>
      <c r="AV865" s="3">
        <v>455.7</v>
      </c>
      <c r="AW865" s="3">
        <v>90.3</v>
      </c>
      <c r="AX865" s="3">
        <v>183.56</v>
      </c>
      <c r="AY865" s="3">
        <v>32.5</v>
      </c>
      <c r="CH865" s="22">
        <f t="shared" si="134"/>
        <v>762.06</v>
      </c>
      <c r="CI865" s="3">
        <f t="shared" si="135"/>
        <v>0</v>
      </c>
      <c r="CJ865" s="17">
        <f t="shared" si="136"/>
        <v>11330</v>
      </c>
      <c r="CK865" s="3" t="str">
        <f t="shared" si="137"/>
        <v>خ ت طب</v>
      </c>
    </row>
    <row r="866" spans="3:89" x14ac:dyDescent="0.25">
      <c r="D866" s="17">
        <v>18698</v>
      </c>
      <c r="E866" s="17">
        <v>11331</v>
      </c>
      <c r="F866" s="3" t="s">
        <v>130</v>
      </c>
      <c r="G866" s="3" t="s">
        <v>499</v>
      </c>
      <c r="I866" s="3">
        <v>187.6</v>
      </c>
      <c r="AU866" s="22">
        <f t="shared" si="133"/>
        <v>187.6</v>
      </c>
      <c r="AV866" s="3">
        <v>121.76</v>
      </c>
      <c r="AW866" s="3">
        <v>12.64</v>
      </c>
      <c r="AX866" s="3">
        <v>45.2</v>
      </c>
      <c r="AY866" s="3">
        <v>8</v>
      </c>
      <c r="CH866" s="22">
        <f t="shared" si="134"/>
        <v>187.60000000000002</v>
      </c>
      <c r="CI866" s="3">
        <f t="shared" si="135"/>
        <v>0</v>
      </c>
      <c r="CJ866" s="17">
        <f t="shared" si="136"/>
        <v>11331</v>
      </c>
      <c r="CK866" s="3" t="str">
        <f t="shared" si="137"/>
        <v>خ ت طب</v>
      </c>
    </row>
    <row r="867" spans="3:89" x14ac:dyDescent="0.25">
      <c r="D867" s="17">
        <v>18699</v>
      </c>
      <c r="E867" s="17">
        <v>11332</v>
      </c>
      <c r="F867" s="3" t="s">
        <v>130</v>
      </c>
      <c r="G867" s="3" t="s">
        <v>500</v>
      </c>
      <c r="I867" s="3">
        <v>175.88</v>
      </c>
      <c r="AU867" s="22">
        <f t="shared" si="133"/>
        <v>175.88</v>
      </c>
      <c r="AV867" s="3">
        <v>112.95</v>
      </c>
      <c r="AW867" s="3">
        <v>13.05</v>
      </c>
      <c r="AX867" s="3">
        <v>42.38</v>
      </c>
      <c r="AY867" s="3">
        <v>7.5</v>
      </c>
      <c r="CH867" s="22">
        <f t="shared" si="134"/>
        <v>175.88</v>
      </c>
      <c r="CI867" s="3">
        <f t="shared" si="135"/>
        <v>0</v>
      </c>
      <c r="CJ867" s="17">
        <f t="shared" si="136"/>
        <v>11332</v>
      </c>
      <c r="CK867" s="3" t="str">
        <f t="shared" si="137"/>
        <v>خ ت طب</v>
      </c>
    </row>
    <row r="868" spans="3:89" x14ac:dyDescent="0.25">
      <c r="E868" s="17">
        <v>11333</v>
      </c>
      <c r="F868" s="3" t="s">
        <v>332</v>
      </c>
      <c r="G868" s="3" t="s">
        <v>501</v>
      </c>
      <c r="AU868" s="22">
        <f t="shared" si="133"/>
        <v>0</v>
      </c>
      <c r="CH868" s="22">
        <f t="shared" si="134"/>
        <v>0</v>
      </c>
      <c r="CI868" s="3">
        <f t="shared" si="135"/>
        <v>0</v>
      </c>
      <c r="CJ868" s="17">
        <f t="shared" si="136"/>
        <v>11333</v>
      </c>
      <c r="CK868" s="3" t="str">
        <f t="shared" si="137"/>
        <v xml:space="preserve">لاب فقط </v>
      </c>
    </row>
    <row r="869" spans="3:89" x14ac:dyDescent="0.25">
      <c r="E869" s="17">
        <v>11334</v>
      </c>
      <c r="F869" s="3" t="s">
        <v>332</v>
      </c>
      <c r="G869" s="3" t="s">
        <v>502</v>
      </c>
      <c r="AU869" s="22">
        <f t="shared" si="133"/>
        <v>0</v>
      </c>
      <c r="CH869" s="22">
        <f t="shared" si="134"/>
        <v>0</v>
      </c>
      <c r="CI869" s="3">
        <f t="shared" si="135"/>
        <v>0</v>
      </c>
      <c r="CJ869" s="17">
        <f t="shared" si="136"/>
        <v>11334</v>
      </c>
      <c r="CK869" s="3" t="str">
        <f t="shared" si="137"/>
        <v xml:space="preserve">لاب فقط </v>
      </c>
    </row>
    <row r="870" spans="3:89" x14ac:dyDescent="0.25">
      <c r="C870" s="17" t="s">
        <v>503</v>
      </c>
      <c r="D870" s="17">
        <v>19053</v>
      </c>
      <c r="E870" s="17">
        <v>11335</v>
      </c>
      <c r="F870" s="3" t="s">
        <v>121</v>
      </c>
      <c r="G870" s="3" t="s">
        <v>504</v>
      </c>
      <c r="I870" s="3">
        <v>16800</v>
      </c>
      <c r="AU870" s="22">
        <f t="shared" si="133"/>
        <v>16800</v>
      </c>
      <c r="AV870" s="3">
        <v>14986.4</v>
      </c>
      <c r="AW870" s="3">
        <v>1813.6</v>
      </c>
      <c r="CH870" s="22">
        <f t="shared" ref="CH870:CH874" si="138">SUM(AV870:CG870)</f>
        <v>16800</v>
      </c>
      <c r="CI870" s="3">
        <f t="shared" ref="CI870:CI874" si="139">+CH870-AU870</f>
        <v>0</v>
      </c>
      <c r="CJ870" s="17">
        <f t="shared" ref="CJ870:CJ901" si="140">+E870</f>
        <v>11335</v>
      </c>
      <c r="CK870" s="3" t="str">
        <f t="shared" ref="CK870:CK901" si="141">+F870</f>
        <v>ماليزى اسنان</v>
      </c>
    </row>
    <row r="871" spans="3:89" x14ac:dyDescent="0.25">
      <c r="C871" s="17" t="s">
        <v>503</v>
      </c>
      <c r="D871" s="17">
        <v>19052</v>
      </c>
      <c r="E871" s="17">
        <v>11336</v>
      </c>
      <c r="F871" s="3" t="s">
        <v>121</v>
      </c>
      <c r="G871" s="3" t="s">
        <v>504</v>
      </c>
      <c r="I871" s="3">
        <v>15600</v>
      </c>
      <c r="AU871" s="22">
        <f t="shared" si="133"/>
        <v>15600</v>
      </c>
      <c r="AV871" s="3">
        <v>13943.6</v>
      </c>
      <c r="AW871" s="3">
        <v>1656.4</v>
      </c>
      <c r="CH871" s="22">
        <f t="shared" si="138"/>
        <v>15600</v>
      </c>
      <c r="CI871" s="3">
        <f t="shared" si="139"/>
        <v>0</v>
      </c>
      <c r="CJ871" s="17">
        <f t="shared" si="140"/>
        <v>11336</v>
      </c>
      <c r="CK871" s="3" t="str">
        <f t="shared" si="141"/>
        <v>ماليزى اسنان</v>
      </c>
    </row>
    <row r="872" spans="3:89" x14ac:dyDescent="0.25">
      <c r="C872" s="17" t="s">
        <v>503</v>
      </c>
      <c r="D872" s="17">
        <v>19051</v>
      </c>
      <c r="E872" s="17">
        <v>11337</v>
      </c>
      <c r="F872" s="3" t="s">
        <v>121</v>
      </c>
      <c r="G872" s="3" t="s">
        <v>504</v>
      </c>
      <c r="I872" s="3">
        <v>10560</v>
      </c>
      <c r="AU872" s="22">
        <f t="shared" si="133"/>
        <v>10560</v>
      </c>
      <c r="AV872" s="3">
        <v>9422.7000000000007</v>
      </c>
      <c r="AW872" s="3">
        <v>1137.3</v>
      </c>
      <c r="CH872" s="22">
        <f t="shared" si="138"/>
        <v>10560</v>
      </c>
      <c r="CI872" s="3">
        <f t="shared" si="139"/>
        <v>0</v>
      </c>
      <c r="CJ872" s="17">
        <f t="shared" si="140"/>
        <v>11337</v>
      </c>
      <c r="CK872" s="3" t="str">
        <f t="shared" si="141"/>
        <v>ماليزى اسنان</v>
      </c>
    </row>
    <row r="873" spans="3:89" x14ac:dyDescent="0.25">
      <c r="C873" s="17" t="s">
        <v>503</v>
      </c>
      <c r="D873" s="17">
        <v>19050</v>
      </c>
      <c r="E873" s="17">
        <v>11338</v>
      </c>
      <c r="F873" s="3" t="s">
        <v>121</v>
      </c>
      <c r="G873" s="3" t="s">
        <v>504</v>
      </c>
      <c r="I873" s="3">
        <v>11670</v>
      </c>
      <c r="AU873" s="22">
        <f t="shared" si="133"/>
        <v>11670</v>
      </c>
      <c r="AV873" s="3">
        <v>10410.4</v>
      </c>
      <c r="AW873" s="3">
        <v>1259.5999999999999</v>
      </c>
      <c r="CH873" s="22">
        <f t="shared" si="138"/>
        <v>11670</v>
      </c>
      <c r="CI873" s="3">
        <f t="shared" si="139"/>
        <v>0</v>
      </c>
      <c r="CJ873" s="17">
        <f t="shared" si="140"/>
        <v>11338</v>
      </c>
      <c r="CK873" s="3" t="str">
        <f t="shared" si="141"/>
        <v>ماليزى اسنان</v>
      </c>
    </row>
    <row r="874" spans="3:89" x14ac:dyDescent="0.25">
      <c r="C874" s="17" t="s">
        <v>503</v>
      </c>
      <c r="D874" s="17">
        <v>19049</v>
      </c>
      <c r="E874" s="17">
        <v>11339</v>
      </c>
      <c r="F874" s="3" t="s">
        <v>121</v>
      </c>
      <c r="G874" s="3" t="s">
        <v>504</v>
      </c>
      <c r="I874" s="3">
        <v>48392.46</v>
      </c>
      <c r="AU874" s="22">
        <f t="shared" si="133"/>
        <v>48392.46</v>
      </c>
      <c r="AV874" s="3">
        <v>42021.279999999999</v>
      </c>
      <c r="AW874" s="3">
        <v>5138.8999999999996</v>
      </c>
      <c r="AX874" s="3">
        <v>1232.28</v>
      </c>
      <c r="CH874" s="22">
        <f t="shared" si="138"/>
        <v>48392.46</v>
      </c>
      <c r="CI874" s="3">
        <f t="shared" si="139"/>
        <v>0</v>
      </c>
      <c r="CJ874" s="17">
        <f t="shared" si="140"/>
        <v>11339</v>
      </c>
      <c r="CK874" s="3" t="str">
        <f t="shared" si="141"/>
        <v>ماليزى اسنان</v>
      </c>
    </row>
    <row r="875" spans="3:89" x14ac:dyDescent="0.25">
      <c r="E875" s="17">
        <v>11340</v>
      </c>
      <c r="F875" s="3" t="s">
        <v>332</v>
      </c>
      <c r="G875" s="3" t="s">
        <v>505</v>
      </c>
      <c r="AU875" s="22"/>
      <c r="CH875" s="22"/>
      <c r="CJ875" s="17">
        <f t="shared" si="140"/>
        <v>11340</v>
      </c>
      <c r="CK875" s="3" t="str">
        <f t="shared" si="141"/>
        <v xml:space="preserve">لاب فقط </v>
      </c>
    </row>
    <row r="876" spans="3:89" x14ac:dyDescent="0.25">
      <c r="C876" s="17" t="s">
        <v>503</v>
      </c>
      <c r="D876" s="17">
        <v>19048</v>
      </c>
      <c r="E876" s="17">
        <v>11341</v>
      </c>
      <c r="F876" s="3" t="s">
        <v>121</v>
      </c>
      <c r="G876" s="3" t="s">
        <v>504</v>
      </c>
      <c r="I876" s="3">
        <v>13500</v>
      </c>
      <c r="AU876" s="22">
        <f t="shared" ref="AU876:AU913" si="142">SUM(I876:AS876)</f>
        <v>13500</v>
      </c>
      <c r="AV876" s="3">
        <v>12050.15</v>
      </c>
      <c r="AW876" s="3">
        <v>1449.85</v>
      </c>
      <c r="CH876" s="22">
        <f t="shared" ref="CH876:CH913" si="143">SUM(AV876:CG876)</f>
        <v>13500</v>
      </c>
      <c r="CI876" s="3">
        <f t="shared" ref="CI876:CI913" si="144">+CH876-AU876</f>
        <v>0</v>
      </c>
      <c r="CJ876" s="17">
        <f t="shared" si="140"/>
        <v>11341</v>
      </c>
      <c r="CK876" s="3" t="str">
        <f t="shared" si="141"/>
        <v>ماليزى اسنان</v>
      </c>
    </row>
    <row r="877" spans="3:89" x14ac:dyDescent="0.25">
      <c r="C877" s="17" t="s">
        <v>503</v>
      </c>
      <c r="D877" s="17">
        <v>19046</v>
      </c>
      <c r="E877" s="17">
        <v>11342</v>
      </c>
      <c r="F877" s="3" t="s">
        <v>121</v>
      </c>
      <c r="G877" s="3" t="s">
        <v>504</v>
      </c>
      <c r="I877" s="3">
        <v>7200</v>
      </c>
      <c r="AU877" s="22">
        <f t="shared" si="142"/>
        <v>7200</v>
      </c>
      <c r="AV877" s="3">
        <v>6422.8</v>
      </c>
      <c r="AW877" s="3">
        <v>777.2</v>
      </c>
      <c r="CH877" s="22">
        <f t="shared" si="143"/>
        <v>7200</v>
      </c>
      <c r="CI877" s="3">
        <f t="shared" si="144"/>
        <v>0</v>
      </c>
      <c r="CJ877" s="17">
        <f t="shared" si="140"/>
        <v>11342</v>
      </c>
      <c r="CK877" s="3" t="str">
        <f t="shared" si="141"/>
        <v>ماليزى اسنان</v>
      </c>
    </row>
    <row r="878" spans="3:89" x14ac:dyDescent="0.25">
      <c r="C878" s="17" t="s">
        <v>503</v>
      </c>
      <c r="D878" s="17">
        <v>18823</v>
      </c>
      <c r="E878" s="17">
        <v>11343</v>
      </c>
      <c r="F878" s="3" t="s">
        <v>121</v>
      </c>
      <c r="G878" s="3" t="s">
        <v>506</v>
      </c>
      <c r="I878" s="3">
        <v>18766.73</v>
      </c>
      <c r="AU878" s="22">
        <f t="shared" si="142"/>
        <v>18766.73</v>
      </c>
      <c r="AV878" s="3">
        <v>14394.67</v>
      </c>
      <c r="AW878" s="3">
        <v>1839</v>
      </c>
      <c r="AX878" s="3">
        <v>2533.06</v>
      </c>
      <c r="CH878" s="22">
        <f t="shared" si="143"/>
        <v>18766.73</v>
      </c>
      <c r="CI878" s="3">
        <f t="shared" si="144"/>
        <v>0</v>
      </c>
      <c r="CJ878" s="17">
        <f t="shared" si="140"/>
        <v>11343</v>
      </c>
      <c r="CK878" s="3" t="str">
        <f t="shared" si="141"/>
        <v>ماليزى اسنان</v>
      </c>
    </row>
    <row r="879" spans="3:89" x14ac:dyDescent="0.25">
      <c r="C879" s="17" t="s">
        <v>503</v>
      </c>
      <c r="D879" s="17">
        <v>18822</v>
      </c>
      <c r="E879" s="17">
        <v>11344</v>
      </c>
      <c r="F879" s="3" t="s">
        <v>121</v>
      </c>
      <c r="G879" s="3" t="s">
        <v>507</v>
      </c>
      <c r="I879" s="3">
        <v>3939.6</v>
      </c>
      <c r="AU879" s="22">
        <f t="shared" si="142"/>
        <v>3939.6</v>
      </c>
      <c r="AV879" s="3">
        <v>2632.7</v>
      </c>
      <c r="AW879" s="3">
        <f>21.7+336</f>
        <v>357.7</v>
      </c>
      <c r="AX879" s="3">
        <f>1306.9-AW879</f>
        <v>949.2</v>
      </c>
      <c r="CH879" s="22">
        <f t="shared" si="143"/>
        <v>3939.5999999999995</v>
      </c>
      <c r="CI879" s="3">
        <f t="shared" si="144"/>
        <v>0</v>
      </c>
      <c r="CJ879" s="17">
        <f t="shared" si="140"/>
        <v>11344</v>
      </c>
      <c r="CK879" s="3" t="str">
        <f t="shared" si="141"/>
        <v>ماليزى اسنان</v>
      </c>
    </row>
    <row r="880" spans="3:89" x14ac:dyDescent="0.25">
      <c r="C880" s="17" t="s">
        <v>503</v>
      </c>
      <c r="D880" s="17">
        <v>18819</v>
      </c>
      <c r="E880" s="17">
        <v>11345</v>
      </c>
      <c r="F880" s="3" t="s">
        <v>121</v>
      </c>
      <c r="G880" s="3" t="s">
        <v>507</v>
      </c>
      <c r="I880" s="3">
        <v>96421.52</v>
      </c>
      <c r="AU880" s="22">
        <f t="shared" si="142"/>
        <v>96421.52</v>
      </c>
      <c r="AV880" s="3">
        <v>76913.600000000006</v>
      </c>
      <c r="AW880" s="3">
        <v>9679.35</v>
      </c>
      <c r="AX880" s="3">
        <v>9828.57</v>
      </c>
      <c r="CH880" s="22">
        <f t="shared" si="143"/>
        <v>96421.520000000019</v>
      </c>
      <c r="CI880" s="3">
        <f t="shared" si="144"/>
        <v>0</v>
      </c>
      <c r="CJ880" s="17">
        <f t="shared" si="140"/>
        <v>11345</v>
      </c>
      <c r="CK880" s="3" t="str">
        <f t="shared" si="141"/>
        <v>ماليزى اسنان</v>
      </c>
    </row>
    <row r="881" spans="3:89" x14ac:dyDescent="0.25">
      <c r="C881" s="17" t="s">
        <v>503</v>
      </c>
      <c r="D881" s="17">
        <v>18821</v>
      </c>
      <c r="E881" s="17">
        <v>11346</v>
      </c>
      <c r="F881" s="3" t="s">
        <v>121</v>
      </c>
      <c r="G881" s="3" t="s">
        <v>507</v>
      </c>
      <c r="I881" s="3">
        <v>9600</v>
      </c>
      <c r="AU881" s="22">
        <f t="shared" si="142"/>
        <v>9600</v>
      </c>
      <c r="AV881" s="3">
        <v>8569.0499999999993</v>
      </c>
      <c r="AW881" s="3">
        <v>1030.95</v>
      </c>
      <c r="CH881" s="22">
        <f t="shared" si="143"/>
        <v>9600</v>
      </c>
      <c r="CI881" s="3">
        <f t="shared" si="144"/>
        <v>0</v>
      </c>
      <c r="CJ881" s="17">
        <f t="shared" si="140"/>
        <v>11346</v>
      </c>
      <c r="CK881" s="3" t="str">
        <f t="shared" si="141"/>
        <v>ماليزى اسنان</v>
      </c>
    </row>
    <row r="882" spans="3:89" x14ac:dyDescent="0.25">
      <c r="C882" s="17" t="s">
        <v>503</v>
      </c>
      <c r="D882" s="17">
        <v>18828</v>
      </c>
      <c r="E882" s="17">
        <v>11347</v>
      </c>
      <c r="F882" s="3" t="s">
        <v>121</v>
      </c>
      <c r="G882" s="3" t="s">
        <v>508</v>
      </c>
      <c r="I882" s="3">
        <v>4800</v>
      </c>
      <c r="AU882" s="22">
        <f t="shared" si="142"/>
        <v>4800</v>
      </c>
      <c r="AV882" s="3">
        <v>4284.3500000000004</v>
      </c>
      <c r="AW882" s="3">
        <v>515.65</v>
      </c>
      <c r="CH882" s="22">
        <f t="shared" si="143"/>
        <v>4800</v>
      </c>
      <c r="CI882" s="3">
        <f t="shared" si="144"/>
        <v>0</v>
      </c>
      <c r="CJ882" s="17">
        <f t="shared" si="140"/>
        <v>11347</v>
      </c>
      <c r="CK882" s="3" t="str">
        <f t="shared" si="141"/>
        <v>ماليزى اسنان</v>
      </c>
    </row>
    <row r="883" spans="3:89" x14ac:dyDescent="0.25">
      <c r="C883" s="17" t="s">
        <v>503</v>
      </c>
      <c r="D883" s="17">
        <v>18827</v>
      </c>
      <c r="E883" s="17">
        <v>11348</v>
      </c>
      <c r="F883" s="3" t="s">
        <v>121</v>
      </c>
      <c r="G883" s="3" t="s">
        <v>508</v>
      </c>
      <c r="I883" s="3">
        <v>3165.75</v>
      </c>
      <c r="AU883" s="22">
        <f t="shared" si="142"/>
        <v>3165.75</v>
      </c>
      <c r="AV883" s="3">
        <v>2115.35</v>
      </c>
      <c r="AW883" s="3">
        <v>287.64999999999998</v>
      </c>
      <c r="AX883" s="3">
        <v>762.75</v>
      </c>
      <c r="CH883" s="22">
        <f t="shared" si="143"/>
        <v>3165.75</v>
      </c>
      <c r="CI883" s="3">
        <f t="shared" si="144"/>
        <v>0</v>
      </c>
      <c r="CJ883" s="17">
        <f t="shared" si="140"/>
        <v>11348</v>
      </c>
      <c r="CK883" s="3" t="str">
        <f t="shared" si="141"/>
        <v>ماليزى اسنان</v>
      </c>
    </row>
    <row r="884" spans="3:89" x14ac:dyDescent="0.25">
      <c r="C884" s="17" t="s">
        <v>503</v>
      </c>
      <c r="D884" s="17">
        <v>18826</v>
      </c>
      <c r="E884" s="17">
        <v>11349</v>
      </c>
      <c r="F884" s="3" t="s">
        <v>121</v>
      </c>
      <c r="G884" s="3" t="s">
        <v>508</v>
      </c>
      <c r="I884" s="3">
        <v>12776.25</v>
      </c>
      <c r="AU884" s="22">
        <f t="shared" si="142"/>
        <v>12776.25</v>
      </c>
      <c r="AV884" s="3">
        <v>10220.15</v>
      </c>
      <c r="AW884" s="3">
        <v>1284.8499999999999</v>
      </c>
      <c r="AX884" s="3">
        <v>1271.25</v>
      </c>
      <c r="CH884" s="22">
        <f t="shared" si="143"/>
        <v>12776.25</v>
      </c>
      <c r="CI884" s="3">
        <f t="shared" si="144"/>
        <v>0</v>
      </c>
      <c r="CJ884" s="17">
        <f t="shared" si="140"/>
        <v>11349</v>
      </c>
      <c r="CK884" s="3" t="str">
        <f t="shared" si="141"/>
        <v>ماليزى اسنان</v>
      </c>
    </row>
    <row r="885" spans="3:89" x14ac:dyDescent="0.25">
      <c r="C885" s="17" t="s">
        <v>503</v>
      </c>
      <c r="D885" s="17">
        <v>18825</v>
      </c>
      <c r="E885" s="17">
        <v>11350</v>
      </c>
      <c r="F885" s="3" t="s">
        <v>121</v>
      </c>
      <c r="G885" s="3" t="s">
        <v>506</v>
      </c>
      <c r="I885" s="3">
        <v>6225.75</v>
      </c>
      <c r="AU885" s="22">
        <f t="shared" si="142"/>
        <v>6225.75</v>
      </c>
      <c r="AV885" s="3">
        <v>4847.45</v>
      </c>
      <c r="AW885" s="3">
        <v>615.54999999999995</v>
      </c>
      <c r="AX885" s="3">
        <v>762.75</v>
      </c>
      <c r="CH885" s="22">
        <f t="shared" si="143"/>
        <v>6225.75</v>
      </c>
      <c r="CI885" s="3">
        <f t="shared" si="144"/>
        <v>0</v>
      </c>
      <c r="CJ885" s="17">
        <f t="shared" si="140"/>
        <v>11350</v>
      </c>
      <c r="CK885" s="3" t="str">
        <f t="shared" si="141"/>
        <v>ماليزى اسنان</v>
      </c>
    </row>
    <row r="886" spans="3:89" x14ac:dyDescent="0.25">
      <c r="C886" s="17" t="s">
        <v>503</v>
      </c>
      <c r="D886" s="17">
        <v>18824</v>
      </c>
      <c r="E886" s="17">
        <v>11351</v>
      </c>
      <c r="F886" s="3" t="s">
        <v>121</v>
      </c>
      <c r="G886" s="3" t="s">
        <v>509</v>
      </c>
      <c r="I886" s="3">
        <v>17678.21</v>
      </c>
      <c r="AU886" s="22">
        <f t="shared" si="142"/>
        <v>17678.21</v>
      </c>
      <c r="AV886" s="3">
        <v>13434.61</v>
      </c>
      <c r="AW886" s="3">
        <v>1724.5</v>
      </c>
      <c r="AX886" s="3">
        <v>2519.1</v>
      </c>
      <c r="CH886" s="22">
        <f t="shared" si="143"/>
        <v>17678.21</v>
      </c>
      <c r="CI886" s="3">
        <f t="shared" si="144"/>
        <v>0</v>
      </c>
      <c r="CJ886" s="17">
        <f t="shared" si="140"/>
        <v>11351</v>
      </c>
      <c r="CK886" s="3" t="str">
        <f t="shared" si="141"/>
        <v>ماليزى اسنان</v>
      </c>
    </row>
    <row r="887" spans="3:89" x14ac:dyDescent="0.25">
      <c r="C887" s="17" t="s">
        <v>503</v>
      </c>
      <c r="D887" s="17">
        <v>18825</v>
      </c>
      <c r="E887" s="17">
        <v>11352</v>
      </c>
      <c r="F887" s="3" t="s">
        <v>121</v>
      </c>
      <c r="G887" s="3" t="str">
        <f>+G881</f>
        <v>مكافاه تدريس فرقه خامسه ccc</v>
      </c>
      <c r="I887" s="3">
        <v>2532.6</v>
      </c>
      <c r="AU887" s="22">
        <f t="shared" si="142"/>
        <v>2532.6</v>
      </c>
      <c r="AV887" s="3">
        <v>1692.35</v>
      </c>
      <c r="AW887" s="3">
        <v>230.05</v>
      </c>
      <c r="AX887" s="3">
        <v>610.20000000000005</v>
      </c>
      <c r="CH887" s="22">
        <f t="shared" si="143"/>
        <v>2532.6</v>
      </c>
      <c r="CI887" s="3">
        <f t="shared" si="144"/>
        <v>0</v>
      </c>
      <c r="CJ887" s="17">
        <f t="shared" si="140"/>
        <v>11352</v>
      </c>
      <c r="CK887" s="3" t="str">
        <f t="shared" si="141"/>
        <v>ماليزى اسنان</v>
      </c>
    </row>
    <row r="888" spans="3:89" x14ac:dyDescent="0.25">
      <c r="C888" s="17" t="s">
        <v>503</v>
      </c>
      <c r="D888" s="17">
        <v>19047</v>
      </c>
      <c r="E888" s="17">
        <v>11353</v>
      </c>
      <c r="F888" s="3" t="s">
        <v>121</v>
      </c>
      <c r="G888" s="3" t="s">
        <v>504</v>
      </c>
      <c r="I888" s="3">
        <v>7200</v>
      </c>
      <c r="AU888" s="22">
        <f t="shared" si="142"/>
        <v>7200</v>
      </c>
      <c r="AV888" s="3">
        <v>6426.7</v>
      </c>
      <c r="AW888" s="3">
        <v>773.3</v>
      </c>
      <c r="CH888" s="22">
        <f t="shared" si="143"/>
        <v>7200</v>
      </c>
      <c r="CI888" s="3">
        <f t="shared" si="144"/>
        <v>0</v>
      </c>
      <c r="CJ888" s="17">
        <f t="shared" si="140"/>
        <v>11353</v>
      </c>
      <c r="CK888" s="3" t="str">
        <f t="shared" si="141"/>
        <v>ماليزى اسنان</v>
      </c>
    </row>
    <row r="889" spans="3:89" x14ac:dyDescent="0.25">
      <c r="C889" s="17" t="s">
        <v>503</v>
      </c>
      <c r="D889" s="17">
        <v>18982</v>
      </c>
      <c r="E889" s="17">
        <v>11354</v>
      </c>
      <c r="F889" s="3" t="s">
        <v>121</v>
      </c>
      <c r="G889" s="3" t="s">
        <v>510</v>
      </c>
      <c r="I889" s="3">
        <v>4396.88</v>
      </c>
      <c r="AU889" s="22">
        <f t="shared" si="142"/>
        <v>4396.88</v>
      </c>
      <c r="AV889" s="3">
        <v>2939.3</v>
      </c>
      <c r="AW889" s="3">
        <v>398.2</v>
      </c>
      <c r="AX889" s="3">
        <v>1059.3800000000001</v>
      </c>
      <c r="CH889" s="22">
        <f t="shared" si="143"/>
        <v>4396.88</v>
      </c>
      <c r="CI889" s="3">
        <f t="shared" si="144"/>
        <v>0</v>
      </c>
      <c r="CJ889" s="17">
        <f t="shared" si="140"/>
        <v>11354</v>
      </c>
      <c r="CK889" s="3" t="str">
        <f t="shared" si="141"/>
        <v>ماليزى اسنان</v>
      </c>
    </row>
    <row r="890" spans="3:89" x14ac:dyDescent="0.25">
      <c r="C890" s="17" t="s">
        <v>503</v>
      </c>
      <c r="D890" s="17">
        <v>18983</v>
      </c>
      <c r="E890" s="17">
        <v>11355</v>
      </c>
      <c r="F890" s="3" t="s">
        <v>121</v>
      </c>
      <c r="G890" s="3" t="s">
        <v>511</v>
      </c>
      <c r="I890" s="3">
        <v>4345</v>
      </c>
      <c r="AU890" s="22">
        <f t="shared" si="142"/>
        <v>4345</v>
      </c>
      <c r="AV890" s="3">
        <v>3353.55</v>
      </c>
      <c r="AW890" s="3">
        <v>426.45</v>
      </c>
      <c r="AX890" s="3">
        <v>565</v>
      </c>
      <c r="CH890" s="22">
        <f t="shared" si="143"/>
        <v>4345</v>
      </c>
      <c r="CI890" s="3">
        <f t="shared" si="144"/>
        <v>0</v>
      </c>
      <c r="CJ890" s="17">
        <f t="shared" si="140"/>
        <v>11355</v>
      </c>
      <c r="CK890" s="3" t="str">
        <f t="shared" si="141"/>
        <v>ماليزى اسنان</v>
      </c>
    </row>
    <row r="891" spans="3:89" x14ac:dyDescent="0.25">
      <c r="C891" s="17" t="s">
        <v>503</v>
      </c>
      <c r="D891" s="17">
        <v>18981</v>
      </c>
      <c r="E891" s="17">
        <v>11356</v>
      </c>
      <c r="F891" s="3" t="s">
        <v>121</v>
      </c>
      <c r="G891" s="3" t="s">
        <v>512</v>
      </c>
      <c r="I891" s="3">
        <v>1100</v>
      </c>
      <c r="AU891" s="22">
        <f t="shared" si="142"/>
        <v>1100</v>
      </c>
      <c r="AV891" s="3">
        <v>982.1</v>
      </c>
      <c r="AW891" s="3">
        <v>117.9</v>
      </c>
      <c r="CH891" s="22">
        <f t="shared" si="143"/>
        <v>1100</v>
      </c>
      <c r="CI891" s="3">
        <f t="shared" si="144"/>
        <v>0</v>
      </c>
      <c r="CJ891" s="17">
        <f t="shared" si="140"/>
        <v>11356</v>
      </c>
      <c r="CK891" s="3" t="str">
        <f t="shared" si="141"/>
        <v>ماليزى اسنان</v>
      </c>
    </row>
    <row r="892" spans="3:89" x14ac:dyDescent="0.25">
      <c r="C892" s="17" t="s">
        <v>503</v>
      </c>
      <c r="D892" s="17">
        <v>18977</v>
      </c>
      <c r="E892" s="17">
        <v>11357</v>
      </c>
      <c r="F892" s="3" t="s">
        <v>121</v>
      </c>
      <c r="G892" s="3" t="s">
        <v>512</v>
      </c>
      <c r="I892" s="3">
        <v>1641.5</v>
      </c>
      <c r="AU892" s="22">
        <f t="shared" si="142"/>
        <v>1641.5</v>
      </c>
      <c r="AV892" s="3">
        <v>1097.9000000000001</v>
      </c>
      <c r="AW892" s="3">
        <v>148.1</v>
      </c>
      <c r="AX892" s="3">
        <v>395.5</v>
      </c>
      <c r="CH892" s="22">
        <f t="shared" si="143"/>
        <v>1641.5</v>
      </c>
      <c r="CI892" s="3">
        <f t="shared" si="144"/>
        <v>0</v>
      </c>
      <c r="CJ892" s="17">
        <f t="shared" si="140"/>
        <v>11357</v>
      </c>
      <c r="CK892" s="3" t="str">
        <f t="shared" si="141"/>
        <v>ماليزى اسنان</v>
      </c>
    </row>
    <row r="893" spans="3:89" x14ac:dyDescent="0.25">
      <c r="C893" s="17" t="s">
        <v>503</v>
      </c>
      <c r="D893" s="17">
        <v>18975</v>
      </c>
      <c r="E893" s="17">
        <v>11358</v>
      </c>
      <c r="F893" s="3" t="s">
        <v>121</v>
      </c>
      <c r="G893" s="3" t="s">
        <v>512</v>
      </c>
      <c r="I893" s="3">
        <v>7178.31</v>
      </c>
      <c r="AU893" s="22">
        <f t="shared" si="142"/>
        <v>7178.31</v>
      </c>
      <c r="AV893" s="3">
        <v>5454.39</v>
      </c>
      <c r="AW893" s="3">
        <v>694.95</v>
      </c>
      <c r="AX893" s="3">
        <v>1028.97</v>
      </c>
      <c r="CH893" s="22">
        <f t="shared" si="143"/>
        <v>7178.31</v>
      </c>
      <c r="CI893" s="3">
        <f t="shared" si="144"/>
        <v>0</v>
      </c>
      <c r="CJ893" s="17">
        <f t="shared" si="140"/>
        <v>11358</v>
      </c>
      <c r="CK893" s="3" t="str">
        <f t="shared" si="141"/>
        <v>ماليزى اسنان</v>
      </c>
    </row>
    <row r="894" spans="3:89" x14ac:dyDescent="0.25">
      <c r="C894" s="17" t="s">
        <v>503</v>
      </c>
      <c r="D894" s="17">
        <v>18976</v>
      </c>
      <c r="E894" s="17">
        <v>11359</v>
      </c>
      <c r="F894" s="3" t="s">
        <v>121</v>
      </c>
      <c r="G894" s="3" t="s">
        <v>512</v>
      </c>
      <c r="I894" s="3">
        <v>4103.75</v>
      </c>
      <c r="AU894" s="22">
        <f t="shared" si="142"/>
        <v>4103.75</v>
      </c>
      <c r="AV894" s="3">
        <v>2744.75</v>
      </c>
      <c r="AW894" s="3">
        <v>370.25</v>
      </c>
      <c r="AX894" s="3">
        <v>988.75</v>
      </c>
      <c r="CH894" s="22">
        <f t="shared" si="143"/>
        <v>4103.75</v>
      </c>
      <c r="CI894" s="3">
        <f t="shared" si="144"/>
        <v>0</v>
      </c>
      <c r="CJ894" s="17">
        <f t="shared" si="140"/>
        <v>11359</v>
      </c>
      <c r="CK894" s="3" t="str">
        <f t="shared" si="141"/>
        <v>ماليزى اسنان</v>
      </c>
    </row>
    <row r="895" spans="3:89" x14ac:dyDescent="0.25">
      <c r="C895" s="17" t="s">
        <v>503</v>
      </c>
      <c r="D895" s="17">
        <v>19040</v>
      </c>
      <c r="E895" s="17">
        <v>11360</v>
      </c>
      <c r="F895" s="3" t="s">
        <v>121</v>
      </c>
      <c r="G895" s="3" t="str">
        <f>+G888</f>
        <v>مكافاه تدريس ثانيه</v>
      </c>
      <c r="I895" s="3">
        <v>12803.7</v>
      </c>
      <c r="AU895" s="22">
        <f t="shared" si="142"/>
        <v>12803.7</v>
      </c>
      <c r="AV895" s="3">
        <v>8554</v>
      </c>
      <c r="AW895" s="3">
        <f>72.8+1092</f>
        <v>1164.8</v>
      </c>
      <c r="AX895" s="3">
        <f>4249.7-AW895</f>
        <v>3084.8999999999996</v>
      </c>
      <c r="CH895" s="22">
        <f t="shared" si="143"/>
        <v>12803.699999999999</v>
      </c>
      <c r="CI895" s="3">
        <f t="shared" si="144"/>
        <v>0</v>
      </c>
      <c r="CJ895" s="17">
        <f t="shared" si="140"/>
        <v>11360</v>
      </c>
      <c r="CK895" s="3" t="str">
        <f t="shared" si="141"/>
        <v>ماليزى اسنان</v>
      </c>
    </row>
    <row r="896" spans="3:89" x14ac:dyDescent="0.25">
      <c r="C896" s="17" t="s">
        <v>503</v>
      </c>
      <c r="D896" s="17">
        <v>19032</v>
      </c>
      <c r="E896" s="17">
        <v>11361</v>
      </c>
      <c r="F896" s="3" t="s">
        <v>121</v>
      </c>
      <c r="G896" s="3" t="s">
        <v>513</v>
      </c>
      <c r="I896" s="3">
        <v>1876</v>
      </c>
      <c r="AU896" s="22">
        <f t="shared" si="142"/>
        <v>1876</v>
      </c>
      <c r="AV896" s="3">
        <v>1256</v>
      </c>
      <c r="AW896" s="3">
        <v>168</v>
      </c>
      <c r="AX896" s="3">
        <v>452</v>
      </c>
      <c r="CH896" s="22">
        <f t="shared" si="143"/>
        <v>1876</v>
      </c>
      <c r="CI896" s="3">
        <f t="shared" si="144"/>
        <v>0</v>
      </c>
      <c r="CJ896" s="17">
        <f t="shared" si="140"/>
        <v>11361</v>
      </c>
      <c r="CK896" s="3" t="str">
        <f t="shared" si="141"/>
        <v>ماليزى اسنان</v>
      </c>
    </row>
    <row r="897" spans="3:89" x14ac:dyDescent="0.25">
      <c r="C897" s="17" t="s">
        <v>503</v>
      </c>
      <c r="D897" s="17">
        <v>19031</v>
      </c>
      <c r="E897" s="17">
        <v>11362</v>
      </c>
      <c r="F897" s="3" t="s">
        <v>121</v>
      </c>
      <c r="G897" s="3" t="s">
        <v>514</v>
      </c>
      <c r="I897" s="3">
        <v>2838.54</v>
      </c>
      <c r="AU897" s="22">
        <f t="shared" si="142"/>
        <v>2838.54</v>
      </c>
      <c r="AV897" s="3">
        <v>2021.11</v>
      </c>
      <c r="AW897" s="3">
        <v>263</v>
      </c>
      <c r="AX897" s="3">
        <v>554.42999999999995</v>
      </c>
      <c r="CH897" s="22">
        <f t="shared" si="143"/>
        <v>2838.5399999999995</v>
      </c>
      <c r="CI897" s="3">
        <f t="shared" si="144"/>
        <v>0</v>
      </c>
      <c r="CJ897" s="17">
        <f t="shared" si="140"/>
        <v>11362</v>
      </c>
      <c r="CK897" s="3" t="str">
        <f t="shared" si="141"/>
        <v>ماليزى اسنان</v>
      </c>
    </row>
    <row r="898" spans="3:89" x14ac:dyDescent="0.25">
      <c r="C898" s="17" t="s">
        <v>503</v>
      </c>
      <c r="D898" s="17">
        <v>19034</v>
      </c>
      <c r="E898" s="17">
        <v>11363</v>
      </c>
      <c r="F898" s="3" t="s">
        <v>121</v>
      </c>
      <c r="G898" s="3" t="s">
        <v>515</v>
      </c>
      <c r="I898" s="3">
        <v>351.76</v>
      </c>
      <c r="AU898" s="22">
        <f t="shared" si="142"/>
        <v>351.76</v>
      </c>
      <c r="AV898" s="3">
        <v>236</v>
      </c>
      <c r="AW898" s="3">
        <v>31</v>
      </c>
      <c r="AX898" s="3">
        <v>84.76</v>
      </c>
      <c r="CH898" s="22">
        <f t="shared" si="143"/>
        <v>351.76</v>
      </c>
      <c r="CI898" s="3">
        <f t="shared" si="144"/>
        <v>0</v>
      </c>
      <c r="CJ898" s="17">
        <f t="shared" si="140"/>
        <v>11363</v>
      </c>
      <c r="CK898" s="3" t="str">
        <f t="shared" si="141"/>
        <v>ماليزى اسنان</v>
      </c>
    </row>
    <row r="899" spans="3:89" x14ac:dyDescent="0.25">
      <c r="C899" s="17" t="s">
        <v>503</v>
      </c>
      <c r="D899" s="17">
        <v>19033</v>
      </c>
      <c r="E899" s="17">
        <v>11364</v>
      </c>
      <c r="F899" s="3" t="s">
        <v>121</v>
      </c>
      <c r="G899" s="3" t="s">
        <v>515</v>
      </c>
      <c r="I899" s="3">
        <v>879.4</v>
      </c>
      <c r="AU899" s="22">
        <f t="shared" si="142"/>
        <v>879.4</v>
      </c>
      <c r="AV899" s="3">
        <v>590</v>
      </c>
      <c r="AW899" s="3">
        <v>77.5</v>
      </c>
      <c r="AX899" s="3">
        <v>211.9</v>
      </c>
      <c r="CH899" s="22">
        <f t="shared" si="143"/>
        <v>879.4</v>
      </c>
      <c r="CI899" s="3">
        <f t="shared" si="144"/>
        <v>0</v>
      </c>
      <c r="CJ899" s="17">
        <f t="shared" si="140"/>
        <v>11364</v>
      </c>
      <c r="CK899" s="3" t="str">
        <f t="shared" si="141"/>
        <v>ماليزى اسنان</v>
      </c>
    </row>
    <row r="900" spans="3:89" x14ac:dyDescent="0.25">
      <c r="C900" s="17" t="s">
        <v>503</v>
      </c>
      <c r="D900" s="17">
        <v>19036</v>
      </c>
      <c r="E900" s="17">
        <v>11365</v>
      </c>
      <c r="F900" s="3" t="s">
        <v>121</v>
      </c>
      <c r="G900" s="3" t="s">
        <v>516</v>
      </c>
      <c r="I900" s="3">
        <v>2000</v>
      </c>
      <c r="AU900" s="22">
        <f t="shared" si="142"/>
        <v>2000</v>
      </c>
      <c r="AV900" s="3">
        <v>1785.35</v>
      </c>
      <c r="AW900" s="3">
        <v>214.65</v>
      </c>
      <c r="CH900" s="22">
        <f t="shared" si="143"/>
        <v>2000</v>
      </c>
      <c r="CI900" s="3">
        <f t="shared" si="144"/>
        <v>0</v>
      </c>
      <c r="CJ900" s="17">
        <f t="shared" si="140"/>
        <v>11365</v>
      </c>
      <c r="CK900" s="3" t="str">
        <f t="shared" si="141"/>
        <v>ماليزى اسنان</v>
      </c>
    </row>
    <row r="901" spans="3:89" x14ac:dyDescent="0.25">
      <c r="C901" s="17" t="s">
        <v>503</v>
      </c>
      <c r="D901" s="17">
        <v>19035</v>
      </c>
      <c r="E901" s="17">
        <v>11366</v>
      </c>
      <c r="F901" s="3" t="s">
        <v>121</v>
      </c>
      <c r="G901" s="3" t="s">
        <v>516</v>
      </c>
      <c r="I901" s="3">
        <v>1172.5</v>
      </c>
      <c r="AU901" s="22">
        <f t="shared" si="142"/>
        <v>1172.5</v>
      </c>
      <c r="AV901" s="3">
        <v>784.1</v>
      </c>
      <c r="AW901" s="3">
        <v>105.9</v>
      </c>
      <c r="AX901" s="3">
        <v>282.5</v>
      </c>
      <c r="CH901" s="22">
        <f t="shared" si="143"/>
        <v>1172.5</v>
      </c>
      <c r="CI901" s="3">
        <f t="shared" si="144"/>
        <v>0</v>
      </c>
      <c r="CJ901" s="17">
        <f t="shared" si="140"/>
        <v>11366</v>
      </c>
      <c r="CK901" s="3" t="str">
        <f t="shared" si="141"/>
        <v>ماليزى اسنان</v>
      </c>
    </row>
    <row r="902" spans="3:89" x14ac:dyDescent="0.25">
      <c r="C902" s="17" t="s">
        <v>503</v>
      </c>
      <c r="D902" s="17">
        <v>19037</v>
      </c>
      <c r="E902" s="17">
        <v>11367</v>
      </c>
      <c r="F902" s="3" t="s">
        <v>121</v>
      </c>
      <c r="G902" s="3" t="s">
        <v>517</v>
      </c>
      <c r="I902" s="3">
        <v>586.25</v>
      </c>
      <c r="AU902" s="22">
        <f t="shared" si="142"/>
        <v>586.25</v>
      </c>
      <c r="AV902" s="3">
        <v>392.4</v>
      </c>
      <c r="AW902" s="3">
        <v>52.6</v>
      </c>
      <c r="AX902" s="3">
        <v>141.25</v>
      </c>
      <c r="CH902" s="22">
        <f t="shared" si="143"/>
        <v>586.25</v>
      </c>
      <c r="CI902" s="3">
        <f t="shared" si="144"/>
        <v>0</v>
      </c>
      <c r="CJ902" s="17">
        <f t="shared" ref="CJ902:CJ913" si="145">+E902</f>
        <v>11367</v>
      </c>
      <c r="CK902" s="3" t="str">
        <f t="shared" ref="CK902:CK913" si="146">+F902</f>
        <v>ماليزى اسنان</v>
      </c>
    </row>
    <row r="903" spans="3:89" x14ac:dyDescent="0.25">
      <c r="C903" s="17" t="s">
        <v>503</v>
      </c>
      <c r="D903" s="17">
        <v>19039</v>
      </c>
      <c r="E903" s="17">
        <v>11368</v>
      </c>
      <c r="F903" s="3" t="s">
        <v>121</v>
      </c>
      <c r="G903" s="3" t="s">
        <v>518</v>
      </c>
      <c r="I903" s="3">
        <v>8207.5</v>
      </c>
      <c r="AU903" s="22">
        <f t="shared" si="142"/>
        <v>8207.5</v>
      </c>
      <c r="AV903" s="3">
        <v>5484</v>
      </c>
      <c r="AW903" s="3">
        <v>746</v>
      </c>
      <c r="AX903" s="3">
        <v>1977.5</v>
      </c>
      <c r="CH903" s="22">
        <f t="shared" si="143"/>
        <v>8207.5</v>
      </c>
      <c r="CI903" s="3">
        <f t="shared" si="144"/>
        <v>0</v>
      </c>
      <c r="CJ903" s="17">
        <f t="shared" si="145"/>
        <v>11368</v>
      </c>
      <c r="CK903" s="3" t="str">
        <f t="shared" si="146"/>
        <v>ماليزى اسنان</v>
      </c>
    </row>
    <row r="904" spans="3:89" x14ac:dyDescent="0.25">
      <c r="C904" s="17" t="s">
        <v>503</v>
      </c>
      <c r="D904" s="17">
        <v>19038</v>
      </c>
      <c r="E904" s="17">
        <v>11369</v>
      </c>
      <c r="F904" s="3" t="s">
        <v>121</v>
      </c>
      <c r="G904" s="3" t="s">
        <v>518</v>
      </c>
      <c r="I904" s="3">
        <v>8083.84</v>
      </c>
      <c r="AU904" s="22">
        <f t="shared" si="142"/>
        <v>8083.84</v>
      </c>
      <c r="AV904" s="3">
        <v>5562.26</v>
      </c>
      <c r="AW904" s="3">
        <v>746.6</v>
      </c>
      <c r="AX904" s="3">
        <v>1774.98</v>
      </c>
      <c r="CH904" s="22">
        <f t="shared" si="143"/>
        <v>8083.84</v>
      </c>
      <c r="CI904" s="3">
        <f t="shared" si="144"/>
        <v>0</v>
      </c>
      <c r="CJ904" s="17">
        <f t="shared" si="145"/>
        <v>11369</v>
      </c>
      <c r="CK904" s="3" t="str">
        <f t="shared" si="146"/>
        <v>ماليزى اسنان</v>
      </c>
    </row>
    <row r="905" spans="3:89" x14ac:dyDescent="0.25">
      <c r="C905" s="17" t="s">
        <v>503</v>
      </c>
      <c r="D905" s="17">
        <v>19041</v>
      </c>
      <c r="E905" s="17">
        <v>11370</v>
      </c>
      <c r="F905" s="3" t="s">
        <v>121</v>
      </c>
      <c r="G905" s="3" t="str">
        <f>+G888</f>
        <v>مكافاه تدريس ثانيه</v>
      </c>
      <c r="I905" s="3">
        <v>33855.07</v>
      </c>
      <c r="AU905" s="22">
        <f t="shared" si="142"/>
        <v>33855.07</v>
      </c>
      <c r="AV905" s="3">
        <v>28300.57</v>
      </c>
      <c r="AW905" s="3">
        <v>3466.35</v>
      </c>
      <c r="AX905" s="3">
        <v>2088.15</v>
      </c>
      <c r="CH905" s="22">
        <f t="shared" si="143"/>
        <v>33855.07</v>
      </c>
      <c r="CI905" s="3">
        <f t="shared" si="144"/>
        <v>0</v>
      </c>
      <c r="CJ905" s="17">
        <f t="shared" si="145"/>
        <v>11370</v>
      </c>
      <c r="CK905" s="3" t="str">
        <f t="shared" si="146"/>
        <v>ماليزى اسنان</v>
      </c>
    </row>
    <row r="906" spans="3:89" x14ac:dyDescent="0.25">
      <c r="C906" s="17" t="s">
        <v>503</v>
      </c>
      <c r="D906" s="17">
        <v>19041</v>
      </c>
      <c r="E906" s="17">
        <v>11371</v>
      </c>
      <c r="F906" s="3" t="s">
        <v>121</v>
      </c>
      <c r="G906" s="3" t="str">
        <f>+G905</f>
        <v>مكافاه تدريس ثانيه</v>
      </c>
      <c r="I906" s="3">
        <v>15000</v>
      </c>
      <c r="AU906" s="22">
        <f t="shared" si="142"/>
        <v>15000</v>
      </c>
      <c r="AV906" s="3">
        <v>13405.4</v>
      </c>
      <c r="AW906" s="3">
        <v>1594.6</v>
      </c>
      <c r="CH906" s="22">
        <f t="shared" si="143"/>
        <v>15000</v>
      </c>
      <c r="CI906" s="3">
        <f t="shared" si="144"/>
        <v>0</v>
      </c>
      <c r="CJ906" s="17">
        <f t="shared" si="145"/>
        <v>11371</v>
      </c>
      <c r="CK906" s="3" t="str">
        <f t="shared" si="146"/>
        <v>ماليزى اسنان</v>
      </c>
    </row>
    <row r="907" spans="3:89" x14ac:dyDescent="0.25">
      <c r="C907" s="17" t="s">
        <v>503</v>
      </c>
      <c r="D907" s="17">
        <v>19042</v>
      </c>
      <c r="E907" s="17">
        <v>11372</v>
      </c>
      <c r="F907" s="3" t="s">
        <v>121</v>
      </c>
      <c r="G907" s="3" t="str">
        <f>+G906</f>
        <v>مكافاه تدريس ثانيه</v>
      </c>
      <c r="I907" s="3">
        <v>12600</v>
      </c>
      <c r="AU907" s="22">
        <f t="shared" si="142"/>
        <v>12600</v>
      </c>
      <c r="AV907" s="3">
        <v>11252.6</v>
      </c>
      <c r="AW907" s="3">
        <v>1347.4</v>
      </c>
      <c r="CH907" s="22">
        <f t="shared" si="143"/>
        <v>12600</v>
      </c>
      <c r="CI907" s="3">
        <f t="shared" si="144"/>
        <v>0</v>
      </c>
      <c r="CJ907" s="17">
        <f t="shared" si="145"/>
        <v>11372</v>
      </c>
      <c r="CK907" s="3" t="str">
        <f t="shared" si="146"/>
        <v>ماليزى اسنان</v>
      </c>
    </row>
    <row r="908" spans="3:89" x14ac:dyDescent="0.25">
      <c r="C908" s="17" t="s">
        <v>503</v>
      </c>
      <c r="D908" s="17">
        <v>19043</v>
      </c>
      <c r="E908" s="17">
        <v>11373</v>
      </c>
      <c r="F908" s="3" t="s">
        <v>121</v>
      </c>
      <c r="G908" s="3" t="str">
        <f>+G907</f>
        <v>مكافاه تدريس ثانيه</v>
      </c>
      <c r="I908" s="3">
        <v>16260</v>
      </c>
      <c r="AU908" s="22">
        <f t="shared" si="142"/>
        <v>16260</v>
      </c>
      <c r="AV908" s="3">
        <v>14512.6</v>
      </c>
      <c r="AW908" s="3">
        <v>1747.4</v>
      </c>
      <c r="CH908" s="22">
        <f t="shared" si="143"/>
        <v>16260</v>
      </c>
      <c r="CI908" s="3">
        <f t="shared" si="144"/>
        <v>0</v>
      </c>
      <c r="CJ908" s="17">
        <f t="shared" si="145"/>
        <v>11373</v>
      </c>
      <c r="CK908" s="3" t="str">
        <f t="shared" si="146"/>
        <v>ماليزى اسنان</v>
      </c>
    </row>
    <row r="909" spans="3:89" x14ac:dyDescent="0.25">
      <c r="C909" s="17" t="s">
        <v>503</v>
      </c>
      <c r="D909" s="17">
        <v>19044</v>
      </c>
      <c r="E909" s="17">
        <v>11374</v>
      </c>
      <c r="F909" s="3" t="s">
        <v>121</v>
      </c>
      <c r="G909" s="3" t="str">
        <f>+G908</f>
        <v>مكافاه تدريس ثانيه</v>
      </c>
      <c r="I909" s="3">
        <v>14400</v>
      </c>
      <c r="AU909" s="22">
        <f t="shared" si="142"/>
        <v>14400</v>
      </c>
      <c r="AV909" s="3">
        <v>12845.55</v>
      </c>
      <c r="AW909" s="3">
        <v>1554.45</v>
      </c>
      <c r="CH909" s="22">
        <f t="shared" si="143"/>
        <v>14400</v>
      </c>
      <c r="CI909" s="3">
        <f t="shared" si="144"/>
        <v>0</v>
      </c>
      <c r="CJ909" s="17">
        <f t="shared" si="145"/>
        <v>11374</v>
      </c>
      <c r="CK909" s="3" t="str">
        <f t="shared" si="146"/>
        <v>ماليزى اسنان</v>
      </c>
    </row>
    <row r="910" spans="3:89" x14ac:dyDescent="0.25">
      <c r="C910" s="17" t="s">
        <v>503</v>
      </c>
      <c r="D910" s="17">
        <v>19045</v>
      </c>
      <c r="E910" s="17">
        <v>11375</v>
      </c>
      <c r="F910" s="3" t="s">
        <v>121</v>
      </c>
      <c r="G910" s="3" t="str">
        <f>+G909</f>
        <v>مكافاه تدريس ثانيه</v>
      </c>
      <c r="I910" s="3">
        <v>8220</v>
      </c>
      <c r="AU910" s="22">
        <f t="shared" si="142"/>
        <v>8220</v>
      </c>
      <c r="AV910" s="3">
        <v>7334.45</v>
      </c>
      <c r="AW910" s="3">
        <v>885.55</v>
      </c>
      <c r="CH910" s="22">
        <f t="shared" si="143"/>
        <v>8220</v>
      </c>
      <c r="CI910" s="3">
        <f t="shared" si="144"/>
        <v>0</v>
      </c>
      <c r="CJ910" s="17">
        <f t="shared" si="145"/>
        <v>11375</v>
      </c>
      <c r="CK910" s="3" t="str">
        <f t="shared" si="146"/>
        <v>ماليزى اسنان</v>
      </c>
    </row>
    <row r="911" spans="3:89" x14ac:dyDescent="0.25">
      <c r="C911" s="17" t="s">
        <v>503</v>
      </c>
      <c r="D911" s="17">
        <v>19004</v>
      </c>
      <c r="E911" s="17">
        <v>11376</v>
      </c>
      <c r="F911" s="3" t="s">
        <v>121</v>
      </c>
      <c r="G911" s="3" t="s">
        <v>519</v>
      </c>
      <c r="I911" s="3">
        <v>50665.01</v>
      </c>
      <c r="AU911" s="22">
        <f t="shared" si="142"/>
        <v>50665.01</v>
      </c>
      <c r="AV911" s="3">
        <v>38348.910000000003</v>
      </c>
      <c r="AW911" s="3">
        <v>4921.95</v>
      </c>
      <c r="AX911" s="3">
        <v>7394.15</v>
      </c>
      <c r="CH911" s="22">
        <f t="shared" si="143"/>
        <v>50665.01</v>
      </c>
      <c r="CI911" s="3">
        <f t="shared" si="144"/>
        <v>0</v>
      </c>
      <c r="CJ911" s="17">
        <f t="shared" si="145"/>
        <v>11376</v>
      </c>
      <c r="CK911" s="3" t="str">
        <f t="shared" si="146"/>
        <v>ماليزى اسنان</v>
      </c>
    </row>
    <row r="912" spans="3:89" x14ac:dyDescent="0.25">
      <c r="C912" s="17" t="s">
        <v>503</v>
      </c>
      <c r="D912" s="17">
        <v>18999</v>
      </c>
      <c r="E912" s="17">
        <v>11377</v>
      </c>
      <c r="F912" s="3" t="s">
        <v>121</v>
      </c>
      <c r="G912" s="3" t="s">
        <v>520</v>
      </c>
      <c r="I912" s="3">
        <v>41386.22</v>
      </c>
      <c r="AU912" s="22">
        <f t="shared" si="142"/>
        <v>41386.22</v>
      </c>
      <c r="AV912" s="3">
        <v>31869.86</v>
      </c>
      <c r="AW912" s="3">
        <v>4052.7</v>
      </c>
      <c r="AX912" s="3">
        <v>5463.66</v>
      </c>
      <c r="CH912" s="22">
        <f t="shared" si="143"/>
        <v>41386.22</v>
      </c>
      <c r="CI912" s="3">
        <f t="shared" si="144"/>
        <v>0</v>
      </c>
      <c r="CJ912" s="17">
        <f t="shared" si="145"/>
        <v>11377</v>
      </c>
      <c r="CK912" s="3" t="str">
        <f t="shared" si="146"/>
        <v>ماليزى اسنان</v>
      </c>
    </row>
    <row r="913" spans="1:90" x14ac:dyDescent="0.25">
      <c r="C913" s="17" t="s">
        <v>503</v>
      </c>
      <c r="D913" s="17">
        <v>19002</v>
      </c>
      <c r="E913" s="17">
        <v>11378</v>
      </c>
      <c r="F913" s="3" t="s">
        <v>121</v>
      </c>
      <c r="G913" s="3" t="s">
        <v>521</v>
      </c>
      <c r="I913" s="3">
        <v>25981.59</v>
      </c>
      <c r="AU913" s="22">
        <f t="shared" si="142"/>
        <v>25981.59</v>
      </c>
      <c r="AV913" s="3">
        <v>17771.919999999998</v>
      </c>
      <c r="AW913" s="3">
        <v>2385.1</v>
      </c>
      <c r="AX913" s="3">
        <v>5824.57</v>
      </c>
      <c r="CH913" s="22">
        <f t="shared" si="143"/>
        <v>25981.589999999997</v>
      </c>
      <c r="CI913" s="3">
        <f t="shared" si="144"/>
        <v>0</v>
      </c>
      <c r="CJ913" s="17">
        <f t="shared" si="145"/>
        <v>11378</v>
      </c>
      <c r="CK913" s="3" t="str">
        <f t="shared" si="146"/>
        <v>ماليزى اسنان</v>
      </c>
    </row>
    <row r="914" spans="1:90" s="29" customFormat="1" x14ac:dyDescent="0.25">
      <c r="A914" s="27"/>
      <c r="B914" s="28"/>
      <c r="C914" s="28"/>
      <c r="D914" s="28"/>
      <c r="E914" s="28"/>
      <c r="G914" s="29" t="s">
        <v>522</v>
      </c>
      <c r="I914" s="29">
        <f t="shared" ref="I914:AO914" si="147">SUM(I806:I913)</f>
        <v>841462.7799999998</v>
      </c>
      <c r="J914" s="29">
        <f t="shared" si="147"/>
        <v>0</v>
      </c>
      <c r="K914" s="29">
        <f t="shared" si="147"/>
        <v>0</v>
      </c>
      <c r="L914" s="29">
        <f t="shared" si="147"/>
        <v>0</v>
      </c>
      <c r="M914" s="29">
        <f t="shared" si="147"/>
        <v>0</v>
      </c>
      <c r="N914" s="29">
        <f t="shared" si="147"/>
        <v>0</v>
      </c>
      <c r="O914" s="29">
        <f t="shared" si="147"/>
        <v>0</v>
      </c>
      <c r="P914" s="29">
        <f t="shared" si="147"/>
        <v>0</v>
      </c>
      <c r="Q914" s="29">
        <f t="shared" si="147"/>
        <v>0</v>
      </c>
      <c r="R914" s="29">
        <f t="shared" si="147"/>
        <v>0</v>
      </c>
      <c r="S914" s="29">
        <f t="shared" si="147"/>
        <v>0</v>
      </c>
      <c r="T914" s="29">
        <f t="shared" si="147"/>
        <v>0</v>
      </c>
      <c r="U914" s="29">
        <f t="shared" si="147"/>
        <v>0</v>
      </c>
      <c r="V914" s="29">
        <f t="shared" si="147"/>
        <v>0</v>
      </c>
      <c r="W914" s="29">
        <f t="shared" si="147"/>
        <v>0</v>
      </c>
      <c r="X914" s="29">
        <f t="shared" si="147"/>
        <v>0</v>
      </c>
      <c r="Y914" s="29">
        <f t="shared" si="147"/>
        <v>0</v>
      </c>
      <c r="Z914" s="29">
        <f t="shared" si="147"/>
        <v>0</v>
      </c>
      <c r="AA914" s="29">
        <f t="shared" si="147"/>
        <v>0</v>
      </c>
      <c r="AB914" s="29">
        <f t="shared" si="147"/>
        <v>0</v>
      </c>
      <c r="AC914" s="29">
        <f t="shared" si="147"/>
        <v>0</v>
      </c>
      <c r="AD914" s="29">
        <f t="shared" si="147"/>
        <v>0</v>
      </c>
      <c r="AE914" s="29">
        <f t="shared" si="147"/>
        <v>0</v>
      </c>
      <c r="AG914" s="29">
        <f t="shared" si="147"/>
        <v>0</v>
      </c>
      <c r="AH914" s="29">
        <f t="shared" si="147"/>
        <v>0</v>
      </c>
      <c r="AI914" s="29">
        <f t="shared" si="147"/>
        <v>0</v>
      </c>
      <c r="AJ914" s="29">
        <f t="shared" si="147"/>
        <v>0</v>
      </c>
      <c r="AK914" s="29">
        <f t="shared" si="147"/>
        <v>0</v>
      </c>
      <c r="AL914" s="29">
        <f t="shared" si="147"/>
        <v>0</v>
      </c>
      <c r="AM914" s="29">
        <f t="shared" si="147"/>
        <v>0</v>
      </c>
      <c r="AN914" s="29">
        <f t="shared" si="147"/>
        <v>0</v>
      </c>
      <c r="AO914" s="29">
        <f t="shared" si="147"/>
        <v>0</v>
      </c>
      <c r="AP914" s="29">
        <f t="shared" ref="AP914:BW914" si="148">SUM(AP806:AP913)</f>
        <v>0</v>
      </c>
      <c r="AQ914" s="29">
        <f t="shared" si="148"/>
        <v>0</v>
      </c>
      <c r="AR914" s="29">
        <f t="shared" si="148"/>
        <v>0</v>
      </c>
      <c r="AS914" s="29">
        <f t="shared" si="148"/>
        <v>0</v>
      </c>
      <c r="AT914" s="29">
        <f t="shared" si="148"/>
        <v>0</v>
      </c>
      <c r="AU914" s="29">
        <f t="shared" si="148"/>
        <v>841462.7799999998</v>
      </c>
      <c r="AV914" s="29">
        <f t="shared" si="148"/>
        <v>663463.09</v>
      </c>
      <c r="AW914" s="29">
        <f t="shared" si="148"/>
        <v>77518.919999999984</v>
      </c>
      <c r="AX914" s="29">
        <f t="shared" si="148"/>
        <v>98359.119999999966</v>
      </c>
      <c r="AY914" s="29">
        <f t="shared" si="148"/>
        <v>2121.65</v>
      </c>
      <c r="AZ914" s="29">
        <f t="shared" si="148"/>
        <v>0</v>
      </c>
      <c r="BA914" s="29">
        <f t="shared" si="148"/>
        <v>0</v>
      </c>
      <c r="BB914" s="29">
        <f t="shared" si="148"/>
        <v>0</v>
      </c>
      <c r="BC914" s="29">
        <f t="shared" si="148"/>
        <v>0</v>
      </c>
      <c r="BD914" s="29">
        <f t="shared" si="148"/>
        <v>0</v>
      </c>
      <c r="BF914" s="29">
        <f t="shared" si="148"/>
        <v>0</v>
      </c>
      <c r="BG914" s="29">
        <f t="shared" si="148"/>
        <v>0</v>
      </c>
      <c r="BH914" s="29">
        <f t="shared" si="148"/>
        <v>0</v>
      </c>
      <c r="BJ914" s="29">
        <f t="shared" si="148"/>
        <v>0</v>
      </c>
      <c r="BK914" s="29">
        <f t="shared" si="148"/>
        <v>0</v>
      </c>
      <c r="BL914" s="29">
        <f t="shared" si="148"/>
        <v>0</v>
      </c>
      <c r="BM914" s="29">
        <f t="shared" si="148"/>
        <v>0</v>
      </c>
      <c r="BN914" s="29">
        <f t="shared" si="148"/>
        <v>0</v>
      </c>
      <c r="BO914" s="29">
        <f t="shared" si="148"/>
        <v>0</v>
      </c>
      <c r="BP914" s="29">
        <f t="shared" si="148"/>
        <v>0</v>
      </c>
      <c r="BQ914" s="29">
        <f t="shared" si="148"/>
        <v>0</v>
      </c>
      <c r="BR914" s="29">
        <f t="shared" si="148"/>
        <v>0</v>
      </c>
      <c r="BS914" s="29">
        <f t="shared" si="148"/>
        <v>0</v>
      </c>
      <c r="BT914" s="29">
        <f t="shared" si="148"/>
        <v>0</v>
      </c>
      <c r="BU914" s="29">
        <f t="shared" si="148"/>
        <v>0</v>
      </c>
      <c r="BV914" s="29">
        <f t="shared" si="148"/>
        <v>0</v>
      </c>
      <c r="BW914" s="29">
        <f t="shared" si="148"/>
        <v>0</v>
      </c>
      <c r="BX914" s="29">
        <f t="shared" ref="BX914:CI914" si="149">SUM(BX806:BX913)</f>
        <v>0</v>
      </c>
      <c r="BY914" s="29">
        <f t="shared" si="149"/>
        <v>0</v>
      </c>
      <c r="BZ914" s="29">
        <f t="shared" si="149"/>
        <v>0</v>
      </c>
      <c r="CA914" s="29">
        <f t="shared" si="149"/>
        <v>0</v>
      </c>
      <c r="CB914" s="29">
        <f t="shared" si="149"/>
        <v>0</v>
      </c>
      <c r="CC914" s="29">
        <f t="shared" si="149"/>
        <v>0</v>
      </c>
      <c r="CD914" s="29">
        <f t="shared" si="149"/>
        <v>0</v>
      </c>
      <c r="CE914" s="29">
        <f t="shared" si="149"/>
        <v>0</v>
      </c>
      <c r="CF914" s="29">
        <f t="shared" si="149"/>
        <v>0</v>
      </c>
      <c r="CG914" s="201">
        <f t="shared" si="149"/>
        <v>0</v>
      </c>
      <c r="CH914" s="29">
        <f t="shared" si="149"/>
        <v>841462.7799999998</v>
      </c>
      <c r="CI914" s="29">
        <f t="shared" si="149"/>
        <v>0</v>
      </c>
      <c r="CK914" s="29">
        <f>SUM(CK806:CK913)</f>
        <v>0</v>
      </c>
      <c r="CL914" s="29">
        <f>SUM(CL806:CL913)</f>
        <v>0</v>
      </c>
    </row>
    <row r="915" spans="1:90" x14ac:dyDescent="0.25">
      <c r="A915" s="16" t="s">
        <v>523</v>
      </c>
      <c r="D915" s="17">
        <v>9250</v>
      </c>
      <c r="E915" s="17">
        <v>11379</v>
      </c>
      <c r="F915" s="3" t="s">
        <v>121</v>
      </c>
      <c r="G915" s="3" t="s">
        <v>5044</v>
      </c>
      <c r="H915" s="18" t="s">
        <v>220</v>
      </c>
      <c r="I915" s="3">
        <v>13240.8</v>
      </c>
      <c r="AU915" s="22">
        <f t="shared" ref="AU915:AU941" si="150">SUM(I915:AS915)</f>
        <v>13240.8</v>
      </c>
      <c r="AV915" s="3">
        <v>9598.06</v>
      </c>
      <c r="AW915" s="3">
        <v>79.5</v>
      </c>
      <c r="AX915" s="3">
        <f>2739+451.9+16</f>
        <v>3206.9</v>
      </c>
      <c r="AY915" s="3">
        <f>5.64+314.83</f>
        <v>320.46999999999997</v>
      </c>
      <c r="BI915" s="3">
        <v>35</v>
      </c>
      <c r="CG915" s="201">
        <v>0.87</v>
      </c>
      <c r="CH915" s="22">
        <f>SUM(AV915:CG915)</f>
        <v>13240.8</v>
      </c>
      <c r="CI915" s="3">
        <f>+CH915-AU915</f>
        <v>0</v>
      </c>
      <c r="CJ915" s="17">
        <f>+E915</f>
        <v>11379</v>
      </c>
      <c r="CK915" s="3" t="str">
        <f>+F915</f>
        <v>ماليزى اسنان</v>
      </c>
    </row>
    <row r="916" spans="1:90" x14ac:dyDescent="0.25">
      <c r="D916" s="17">
        <v>9251</v>
      </c>
      <c r="E916" s="17">
        <v>11379</v>
      </c>
      <c r="F916" s="3" t="s">
        <v>121</v>
      </c>
      <c r="G916" s="3" t="s">
        <v>5044</v>
      </c>
      <c r="H916" s="18" t="s">
        <v>220</v>
      </c>
      <c r="I916" s="3">
        <v>6400.85</v>
      </c>
      <c r="AU916" s="22">
        <f t="shared" si="150"/>
        <v>6400.85</v>
      </c>
      <c r="AV916" s="3">
        <v>4617.71</v>
      </c>
      <c r="AW916" s="3">
        <v>38.5</v>
      </c>
      <c r="AX916" s="3">
        <f>1324+218.4</f>
        <v>1542.4</v>
      </c>
      <c r="AY916" s="3">
        <f>179.72+2.73</f>
        <v>182.45</v>
      </c>
      <c r="BI916" s="3">
        <v>18</v>
      </c>
      <c r="CG916" s="201">
        <v>1.79</v>
      </c>
      <c r="CH916" s="22">
        <f t="shared" ref="CH916:CH917" si="151">SUM(AV916:CG916)</f>
        <v>6400.85</v>
      </c>
      <c r="CI916" s="3">
        <f t="shared" ref="CI916:CI917" si="152">+CH916-AU916</f>
        <v>0</v>
      </c>
      <c r="CJ916" s="17">
        <f t="shared" ref="CJ916:CJ917" si="153">+E916</f>
        <v>11379</v>
      </c>
      <c r="CK916" s="3" t="str">
        <f t="shared" ref="CK916:CK917" si="154">+F916</f>
        <v>ماليزى اسنان</v>
      </c>
    </row>
    <row r="917" spans="1:90" x14ac:dyDescent="0.25">
      <c r="A917" s="16" t="s">
        <v>523</v>
      </c>
      <c r="D917" s="17">
        <v>9253</v>
      </c>
      <c r="E917" s="17">
        <v>11380</v>
      </c>
      <c r="F917" s="3" t="s">
        <v>121</v>
      </c>
      <c r="G917" s="3" t="s">
        <v>5044</v>
      </c>
      <c r="H917" s="18" t="s">
        <v>220</v>
      </c>
      <c r="I917" s="3">
        <v>13608.39</v>
      </c>
      <c r="AU917" s="22">
        <f t="shared" si="150"/>
        <v>13608.39</v>
      </c>
      <c r="AV917" s="3">
        <v>9930.89</v>
      </c>
      <c r="AW917" s="3">
        <f>24.75+81.85</f>
        <v>106.6</v>
      </c>
      <c r="AX917" s="3">
        <f>2814.8+464.3</f>
        <v>3279.1000000000004</v>
      </c>
      <c r="AY917" s="3">
        <f>286+5.8</f>
        <v>291.8</v>
      </c>
      <c r="CH917" s="22">
        <f t="shared" si="151"/>
        <v>13608.39</v>
      </c>
      <c r="CI917" s="3">
        <f t="shared" si="152"/>
        <v>0</v>
      </c>
      <c r="CJ917" s="17">
        <f t="shared" si="153"/>
        <v>11380</v>
      </c>
      <c r="CK917" s="3" t="str">
        <f t="shared" si="154"/>
        <v>ماليزى اسنان</v>
      </c>
    </row>
    <row r="918" spans="1:90" x14ac:dyDescent="0.25">
      <c r="A918" s="16" t="s">
        <v>523</v>
      </c>
      <c r="C918" s="3"/>
      <c r="D918" s="17">
        <v>9252</v>
      </c>
      <c r="E918" s="17">
        <v>11381</v>
      </c>
      <c r="F918" s="3" t="s">
        <v>121</v>
      </c>
      <c r="G918" s="3" t="s">
        <v>5044</v>
      </c>
      <c r="H918" s="18" t="s">
        <v>220</v>
      </c>
      <c r="I918" s="3">
        <v>353635.96</v>
      </c>
      <c r="AU918" s="22">
        <f t="shared" si="150"/>
        <v>353635.96</v>
      </c>
      <c r="AV918" s="3">
        <v>263936.45</v>
      </c>
      <c r="AW918" s="3">
        <f>260+2126.85</f>
        <v>2386.85</v>
      </c>
      <c r="AX918" s="3">
        <f>73154.9+12070.4</f>
        <v>85225.299999999988</v>
      </c>
      <c r="AY918" s="3">
        <f>1460.01+150.74</f>
        <v>1610.75</v>
      </c>
      <c r="BI918" s="3">
        <v>463.5</v>
      </c>
      <c r="CG918" s="201">
        <v>13.11</v>
      </c>
      <c r="CH918" s="22">
        <f>SUM(AV918:CG918)</f>
        <v>353635.95999999996</v>
      </c>
      <c r="CI918" s="3">
        <f>+CH918-AU918</f>
        <v>0</v>
      </c>
      <c r="CJ918" s="17">
        <f>+E918</f>
        <v>11381</v>
      </c>
      <c r="CK918" s="3" t="str">
        <f>+F918</f>
        <v>ماليزى اسنان</v>
      </c>
    </row>
    <row r="919" spans="1:90" x14ac:dyDescent="0.25">
      <c r="A919" s="16" t="s">
        <v>523</v>
      </c>
      <c r="D919" s="17">
        <v>9254</v>
      </c>
      <c r="E919" s="17">
        <v>11382</v>
      </c>
      <c r="F919" s="3" t="s">
        <v>121</v>
      </c>
      <c r="G919" s="3" t="s">
        <v>5044</v>
      </c>
      <c r="H919" s="18" t="s">
        <v>220</v>
      </c>
      <c r="I919" s="3">
        <v>6367.87</v>
      </c>
      <c r="AU919" s="22">
        <f t="shared" si="150"/>
        <v>6367.87</v>
      </c>
      <c r="AV919" s="3">
        <v>4667.6499999999996</v>
      </c>
      <c r="AW919" s="3">
        <v>38.299999999999997</v>
      </c>
      <c r="AX919" s="3">
        <f>1317.3+217.4</f>
        <v>1534.7</v>
      </c>
      <c r="AY919" s="3">
        <f>89.13+2.72</f>
        <v>91.85</v>
      </c>
      <c r="BI919" s="3">
        <v>34.5</v>
      </c>
      <c r="CG919" s="201">
        <v>0.87</v>
      </c>
      <c r="CH919" s="22">
        <f>SUM(AV919:CG919)</f>
        <v>6367.87</v>
      </c>
      <c r="CI919" s="3">
        <f>+CH919-AU919</f>
        <v>0</v>
      </c>
      <c r="CJ919" s="17">
        <f>+E919</f>
        <v>11382</v>
      </c>
      <c r="CK919" s="3" t="str">
        <f>+F919</f>
        <v>ماليزى اسنان</v>
      </c>
    </row>
    <row r="920" spans="1:90" x14ac:dyDescent="0.25">
      <c r="D920" s="17">
        <v>9255</v>
      </c>
      <c r="E920" s="17">
        <v>11382</v>
      </c>
      <c r="F920" s="3" t="s">
        <v>121</v>
      </c>
      <c r="G920" s="3" t="s">
        <v>5044</v>
      </c>
      <c r="H920" s="18" t="s">
        <v>220</v>
      </c>
      <c r="I920" s="3">
        <v>6367.87</v>
      </c>
      <c r="AU920" s="22">
        <f t="shared" si="150"/>
        <v>6367.87</v>
      </c>
      <c r="AV920" s="3">
        <v>4789.1499999999996</v>
      </c>
      <c r="AW920" s="3">
        <v>38.299999999999997</v>
      </c>
      <c r="AX920" s="3">
        <f>1317.3+217.4</f>
        <v>1534.7</v>
      </c>
      <c r="AY920" s="3">
        <f>3+2.72</f>
        <v>5.7200000000000006</v>
      </c>
      <c r="CH920" s="22">
        <f t="shared" ref="CH920:CH921" si="155">SUM(AV920:CG920)</f>
        <v>6367.87</v>
      </c>
      <c r="CI920" s="3">
        <f t="shared" ref="CI920:CI921" si="156">+CH920-AU920</f>
        <v>0</v>
      </c>
      <c r="CJ920" s="17">
        <f t="shared" ref="CJ920:CJ921" si="157">+E920</f>
        <v>11382</v>
      </c>
      <c r="CK920" s="3" t="str">
        <f t="shared" ref="CK920:CK921" si="158">+F920</f>
        <v>ماليزى اسنان</v>
      </c>
    </row>
    <row r="921" spans="1:90" x14ac:dyDescent="0.25">
      <c r="D921" s="17">
        <v>9256</v>
      </c>
      <c r="E921" s="17">
        <v>11382</v>
      </c>
      <c r="F921" s="3" t="s">
        <v>121</v>
      </c>
      <c r="G921" s="3" t="s">
        <v>5044</v>
      </c>
      <c r="H921" s="18" t="s">
        <v>220</v>
      </c>
      <c r="I921" s="3">
        <v>12782.46</v>
      </c>
      <c r="AU921" s="22">
        <f t="shared" si="150"/>
        <v>12782.46</v>
      </c>
      <c r="AV921" s="3">
        <v>9395.85</v>
      </c>
      <c r="AW921" s="3">
        <v>76.849999999999994</v>
      </c>
      <c r="AX921" s="3">
        <f>2644.4+436.4</f>
        <v>3080.8</v>
      </c>
      <c r="AY921" s="3">
        <f>221.33+5.45</f>
        <v>226.78</v>
      </c>
      <c r="CG921" s="201">
        <v>2.1800000000000002</v>
      </c>
      <c r="CH921" s="22">
        <f t="shared" si="155"/>
        <v>12782.460000000001</v>
      </c>
      <c r="CI921" s="3">
        <f t="shared" si="156"/>
        <v>0</v>
      </c>
      <c r="CJ921" s="17">
        <f t="shared" si="157"/>
        <v>11382</v>
      </c>
      <c r="CK921" s="3" t="str">
        <f t="shared" si="158"/>
        <v>ماليزى اسنان</v>
      </c>
    </row>
    <row r="922" spans="1:90" x14ac:dyDescent="0.25">
      <c r="A922" s="16" t="s">
        <v>523</v>
      </c>
      <c r="D922" s="17">
        <v>9257</v>
      </c>
      <c r="E922" s="17">
        <v>11383</v>
      </c>
      <c r="F922" s="3" t="s">
        <v>121</v>
      </c>
      <c r="G922" s="3" t="s">
        <v>5044</v>
      </c>
      <c r="H922" s="18" t="s">
        <v>220</v>
      </c>
      <c r="I922" s="3">
        <v>6367.87</v>
      </c>
      <c r="AU922" s="22">
        <f t="shared" si="150"/>
        <v>6367.87</v>
      </c>
      <c r="AV922" s="3">
        <v>4789.1499999999996</v>
      </c>
      <c r="AW922" s="3">
        <v>38.299999999999997</v>
      </c>
      <c r="AX922" s="3">
        <f>1317.3+217.4</f>
        <v>1534.7</v>
      </c>
      <c r="AY922" s="3">
        <f>3+2.72</f>
        <v>5.7200000000000006</v>
      </c>
      <c r="CH922" s="22">
        <f t="shared" ref="CH922:CH934" si="159">SUM(AV922:CG922)</f>
        <v>6367.87</v>
      </c>
      <c r="CI922" s="3">
        <f t="shared" ref="CI922:CI934" si="160">+CH922-AU922</f>
        <v>0</v>
      </c>
      <c r="CJ922" s="17">
        <f t="shared" ref="CJ922:CJ934" si="161">+E922</f>
        <v>11383</v>
      </c>
      <c r="CK922" s="3" t="str">
        <f t="shared" ref="CK922:CK934" si="162">+F922</f>
        <v>ماليزى اسنان</v>
      </c>
    </row>
    <row r="923" spans="1:90" x14ac:dyDescent="0.25">
      <c r="A923" s="16" t="s">
        <v>523</v>
      </c>
      <c r="D923" s="17">
        <v>9258</v>
      </c>
      <c r="E923" s="17">
        <v>11384</v>
      </c>
      <c r="F923" s="3" t="s">
        <v>121</v>
      </c>
      <c r="G923" s="3" t="s">
        <v>5044</v>
      </c>
      <c r="H923" s="18" t="s">
        <v>220</v>
      </c>
      <c r="I923" s="3">
        <v>38720.82</v>
      </c>
      <c r="AU923" s="22">
        <f t="shared" si="150"/>
        <v>38720.82</v>
      </c>
      <c r="AV923" s="3">
        <v>29121.72</v>
      </c>
      <c r="AW923" s="3">
        <v>232.8</v>
      </c>
      <c r="AX923" s="3">
        <f>8010+1321.8</f>
        <v>9331.7999999999993</v>
      </c>
      <c r="AY923" s="3">
        <f>18+16.5</f>
        <v>34.5</v>
      </c>
      <c r="CH923" s="22">
        <f t="shared" si="159"/>
        <v>38720.82</v>
      </c>
      <c r="CI923" s="3">
        <f t="shared" si="160"/>
        <v>0</v>
      </c>
      <c r="CJ923" s="17">
        <f t="shared" si="161"/>
        <v>11384</v>
      </c>
      <c r="CK923" s="3" t="str">
        <f t="shared" si="162"/>
        <v>ماليزى اسنان</v>
      </c>
    </row>
    <row r="924" spans="1:90" x14ac:dyDescent="0.25">
      <c r="A924" s="16" t="s">
        <v>523</v>
      </c>
      <c r="D924" s="17">
        <v>9248</v>
      </c>
      <c r="E924" s="17">
        <v>11385</v>
      </c>
      <c r="F924" s="3" t="s">
        <v>121</v>
      </c>
      <c r="G924" s="3" t="s">
        <v>5044</v>
      </c>
      <c r="H924" s="18" t="s">
        <v>220</v>
      </c>
      <c r="I924" s="3">
        <v>140643.03</v>
      </c>
      <c r="AU924" s="22">
        <f t="shared" si="150"/>
        <v>140643.03</v>
      </c>
      <c r="AV924" s="3">
        <v>81423.31</v>
      </c>
      <c r="AW924" s="3">
        <v>800.55</v>
      </c>
      <c r="AX924" s="3">
        <f>29093+4800</f>
        <v>33893</v>
      </c>
      <c r="AY924" s="3">
        <f>47.9+326.05</f>
        <v>373.95</v>
      </c>
      <c r="AZ924" s="3">
        <f>13750+10350</f>
        <v>24100</v>
      </c>
      <c r="BI924" s="3">
        <v>48.25</v>
      </c>
      <c r="CG924" s="201">
        <v>3.97</v>
      </c>
      <c r="CH924" s="22">
        <f t="shared" si="159"/>
        <v>140643.03</v>
      </c>
      <c r="CI924" s="3">
        <f t="shared" si="160"/>
        <v>0</v>
      </c>
      <c r="CJ924" s="17">
        <f t="shared" si="161"/>
        <v>11385</v>
      </c>
      <c r="CK924" s="3" t="str">
        <f t="shared" si="162"/>
        <v>ماليزى اسنان</v>
      </c>
    </row>
    <row r="925" spans="1:90" x14ac:dyDescent="0.25">
      <c r="A925" s="16" t="s">
        <v>523</v>
      </c>
      <c r="D925" s="17">
        <v>9249</v>
      </c>
      <c r="E925" s="17">
        <v>11386</v>
      </c>
      <c r="F925" s="3" t="s">
        <v>121</v>
      </c>
      <c r="G925" s="3" t="s">
        <v>5044</v>
      </c>
      <c r="H925" s="18" t="s">
        <v>220</v>
      </c>
      <c r="I925" s="3">
        <v>6269.65</v>
      </c>
      <c r="AU925" s="22">
        <f t="shared" si="150"/>
        <v>6269.65</v>
      </c>
      <c r="AV925" s="3">
        <v>3592.53</v>
      </c>
      <c r="AW925" s="3">
        <v>36.1</v>
      </c>
      <c r="AX925" s="3">
        <f>1296.9+214</f>
        <v>1510.9</v>
      </c>
      <c r="AY925" s="3">
        <f>3+2.12</f>
        <v>5.12</v>
      </c>
      <c r="AZ925" s="3">
        <f>450+650</f>
        <v>1100</v>
      </c>
      <c r="BI925" s="3">
        <v>25</v>
      </c>
      <c r="CH925" s="22">
        <f t="shared" si="159"/>
        <v>6269.6500000000005</v>
      </c>
      <c r="CI925" s="3">
        <f t="shared" si="160"/>
        <v>0</v>
      </c>
      <c r="CJ925" s="17">
        <f t="shared" si="161"/>
        <v>11386</v>
      </c>
      <c r="CK925" s="3" t="str">
        <f t="shared" si="162"/>
        <v>ماليزى اسنان</v>
      </c>
    </row>
    <row r="926" spans="1:90" x14ac:dyDescent="0.25">
      <c r="A926" s="16" t="s">
        <v>523</v>
      </c>
      <c r="D926" s="17">
        <v>9111</v>
      </c>
      <c r="E926" s="17">
        <v>11387</v>
      </c>
      <c r="F926" s="3" t="s">
        <v>325</v>
      </c>
      <c r="G926" s="3" t="s">
        <v>1571</v>
      </c>
      <c r="H926" s="18" t="s">
        <v>220</v>
      </c>
      <c r="I926" s="3">
        <v>1501.9</v>
      </c>
      <c r="AU926" s="22">
        <f t="shared" si="150"/>
        <v>1501.9</v>
      </c>
      <c r="AX926" s="3">
        <v>1501.9</v>
      </c>
      <c r="CH926" s="22">
        <f t="shared" si="159"/>
        <v>1501.9</v>
      </c>
      <c r="CI926" s="3">
        <f t="shared" si="160"/>
        <v>0</v>
      </c>
      <c r="CJ926" s="17">
        <f t="shared" si="161"/>
        <v>11387</v>
      </c>
      <c r="CK926" s="3" t="str">
        <f t="shared" si="162"/>
        <v xml:space="preserve">برنامج دولى </v>
      </c>
    </row>
    <row r="927" spans="1:90" x14ac:dyDescent="0.25">
      <c r="A927" s="16" t="s">
        <v>523</v>
      </c>
      <c r="D927" s="17">
        <v>8535</v>
      </c>
      <c r="E927" s="17">
        <v>11388</v>
      </c>
      <c r="F927" s="3" t="s">
        <v>132</v>
      </c>
      <c r="G927" s="3" t="s">
        <v>5044</v>
      </c>
      <c r="H927" s="18" t="s">
        <v>220</v>
      </c>
      <c r="I927" s="3">
        <v>68152.97</v>
      </c>
      <c r="AU927" s="22">
        <f t="shared" si="150"/>
        <v>68152.97</v>
      </c>
      <c r="AV927" s="3">
        <v>48367.76</v>
      </c>
      <c r="AW927" s="3">
        <v>407.45</v>
      </c>
      <c r="AX927" s="3">
        <f>14097.8+2326</f>
        <v>16423.8</v>
      </c>
      <c r="AY927" s="3">
        <f>2924.9+29.06</f>
        <v>2953.96</v>
      </c>
      <c r="CH927" s="22">
        <f t="shared" si="159"/>
        <v>68152.97</v>
      </c>
      <c r="CI927" s="3">
        <f t="shared" si="160"/>
        <v>0</v>
      </c>
      <c r="CJ927" s="17">
        <f t="shared" si="161"/>
        <v>11388</v>
      </c>
      <c r="CK927" s="3" t="str">
        <f t="shared" si="162"/>
        <v>صيدلة اكلينيكى</v>
      </c>
    </row>
    <row r="928" spans="1:90" x14ac:dyDescent="0.25">
      <c r="A928" s="16" t="s">
        <v>523</v>
      </c>
      <c r="D928" s="17">
        <v>8536</v>
      </c>
      <c r="E928" s="17">
        <v>11389</v>
      </c>
      <c r="F928" s="3" t="s">
        <v>132</v>
      </c>
      <c r="G928" s="3" t="s">
        <v>5044</v>
      </c>
      <c r="H928" s="18" t="s">
        <v>220</v>
      </c>
      <c r="I928" s="3">
        <v>6231.05</v>
      </c>
      <c r="AU928" s="22">
        <f t="shared" si="150"/>
        <v>6231.05</v>
      </c>
      <c r="AV928" s="3">
        <v>4492.3599999999997</v>
      </c>
      <c r="AW928" s="3">
        <v>36.4</v>
      </c>
      <c r="AX928" s="3">
        <f>1288.9+212.7</f>
        <v>1501.6000000000001</v>
      </c>
      <c r="AY928" s="3">
        <f>135+2.66</f>
        <v>137.66</v>
      </c>
      <c r="BA928" s="3">
        <v>63.03</v>
      </c>
      <c r="CH928" s="22">
        <f t="shared" si="159"/>
        <v>6231.0499999999993</v>
      </c>
      <c r="CI928" s="3">
        <f t="shared" si="160"/>
        <v>0</v>
      </c>
      <c r="CJ928" s="17">
        <f t="shared" si="161"/>
        <v>11389</v>
      </c>
      <c r="CK928" s="3" t="str">
        <f t="shared" si="162"/>
        <v>صيدلة اكلينيكى</v>
      </c>
    </row>
    <row r="929" spans="1:89" x14ac:dyDescent="0.25">
      <c r="A929" s="16" t="s">
        <v>523</v>
      </c>
      <c r="C929" s="3"/>
      <c r="D929" s="17">
        <v>8537</v>
      </c>
      <c r="E929" s="17">
        <v>11390</v>
      </c>
      <c r="F929" s="3" t="s">
        <v>132</v>
      </c>
      <c r="G929" s="3" t="s">
        <v>5044</v>
      </c>
      <c r="H929" s="18" t="s">
        <v>220</v>
      </c>
      <c r="I929" s="3">
        <v>6001.28</v>
      </c>
      <c r="AU929" s="22">
        <f t="shared" si="150"/>
        <v>6001.28</v>
      </c>
      <c r="AV929" s="3">
        <v>4288.57</v>
      </c>
      <c r="AW929" s="3">
        <v>36.049999999999997</v>
      </c>
      <c r="AX929" s="3">
        <f>1241.3+204.8</f>
        <v>1446.1</v>
      </c>
      <c r="AY929" s="3">
        <f>228+2.56</f>
        <v>230.56</v>
      </c>
      <c r="CH929" s="22">
        <f t="shared" si="159"/>
        <v>6001.28</v>
      </c>
      <c r="CI929" s="3">
        <f t="shared" si="160"/>
        <v>0</v>
      </c>
      <c r="CJ929" s="17">
        <f t="shared" si="161"/>
        <v>11390</v>
      </c>
      <c r="CK929" s="3" t="str">
        <f t="shared" si="162"/>
        <v>صيدلة اكلينيكى</v>
      </c>
    </row>
    <row r="930" spans="1:89" x14ac:dyDescent="0.25">
      <c r="A930" s="16" t="s">
        <v>523</v>
      </c>
      <c r="C930" s="3"/>
      <c r="D930" s="17">
        <v>8539</v>
      </c>
      <c r="E930" s="17">
        <v>11391</v>
      </c>
      <c r="F930" s="3" t="s">
        <v>132</v>
      </c>
      <c r="G930" s="3" t="s">
        <v>5044</v>
      </c>
      <c r="H930" s="18" t="s">
        <v>220</v>
      </c>
      <c r="I930" s="3">
        <v>19808.46</v>
      </c>
      <c r="AU930" s="22">
        <f t="shared" si="150"/>
        <v>19808.46</v>
      </c>
      <c r="AV930" s="3">
        <v>14667.28</v>
      </c>
      <c r="AW930" s="3">
        <v>119.15</v>
      </c>
      <c r="AX930" s="3">
        <f>4097.7+676.1</f>
        <v>4773.8</v>
      </c>
      <c r="AY930" s="3">
        <f>239.79+8.44</f>
        <v>248.23</v>
      </c>
      <c r="CH930" s="22">
        <f t="shared" si="159"/>
        <v>19808.46</v>
      </c>
      <c r="CI930" s="3">
        <f t="shared" si="160"/>
        <v>0</v>
      </c>
      <c r="CJ930" s="17">
        <f t="shared" si="161"/>
        <v>11391</v>
      </c>
      <c r="CK930" s="3" t="str">
        <f t="shared" si="162"/>
        <v>صيدلة اكلينيكى</v>
      </c>
    </row>
    <row r="931" spans="1:89" x14ac:dyDescent="0.25">
      <c r="A931" s="16" t="s">
        <v>523</v>
      </c>
      <c r="D931" s="17">
        <v>8538</v>
      </c>
      <c r="E931" s="17">
        <v>11392</v>
      </c>
      <c r="F931" s="3" t="s">
        <v>132</v>
      </c>
      <c r="G931" s="3" t="s">
        <v>5044</v>
      </c>
      <c r="H931" s="18" t="s">
        <v>220</v>
      </c>
      <c r="I931" s="3">
        <v>166925.9</v>
      </c>
      <c r="AU931" s="22">
        <f t="shared" si="150"/>
        <v>166925.9</v>
      </c>
      <c r="AV931" s="3">
        <v>119066.12</v>
      </c>
      <c r="AW931" s="3">
        <f>15.33+985.15</f>
        <v>1000.48</v>
      </c>
      <c r="AX931" s="3">
        <f>35337+5830.3+39</f>
        <v>41206.300000000003</v>
      </c>
      <c r="AY931" s="3">
        <f>5582.1+70.9</f>
        <v>5653</v>
      </c>
      <c r="CH931" s="22">
        <f t="shared" si="159"/>
        <v>166925.9</v>
      </c>
      <c r="CI931" s="3">
        <f t="shared" si="160"/>
        <v>0</v>
      </c>
      <c r="CJ931" s="17">
        <f t="shared" si="161"/>
        <v>11392</v>
      </c>
      <c r="CK931" s="3" t="str">
        <f t="shared" si="162"/>
        <v>صيدلة اكلينيكى</v>
      </c>
    </row>
    <row r="932" spans="1:89" x14ac:dyDescent="0.25">
      <c r="A932" s="16" t="s">
        <v>523</v>
      </c>
      <c r="C932" s="3"/>
      <c r="D932" s="17">
        <v>8541</v>
      </c>
      <c r="E932" s="17">
        <v>11393</v>
      </c>
      <c r="F932" s="3" t="s">
        <v>132</v>
      </c>
      <c r="G932" s="3" t="s">
        <v>5044</v>
      </c>
      <c r="H932" s="18" t="s">
        <v>220</v>
      </c>
      <c r="I932" s="3">
        <v>6453.47</v>
      </c>
      <c r="AU932" s="22">
        <f t="shared" si="150"/>
        <v>6453.47</v>
      </c>
      <c r="AV932" s="3">
        <v>4853.62</v>
      </c>
      <c r="AW932" s="3">
        <v>38.799999999999997</v>
      </c>
      <c r="AX932" s="3">
        <f>1335+220.3</f>
        <v>1555.3</v>
      </c>
      <c r="AY932" s="3">
        <f>3+2.75</f>
        <v>5.75</v>
      </c>
      <c r="CH932" s="22">
        <f t="shared" si="159"/>
        <v>6453.47</v>
      </c>
      <c r="CI932" s="3">
        <f t="shared" si="160"/>
        <v>0</v>
      </c>
      <c r="CJ932" s="17">
        <f t="shared" si="161"/>
        <v>11393</v>
      </c>
      <c r="CK932" s="3" t="str">
        <f t="shared" si="162"/>
        <v>صيدلة اكلينيكى</v>
      </c>
    </row>
    <row r="933" spans="1:89" x14ac:dyDescent="0.25">
      <c r="A933" s="16" t="s">
        <v>523</v>
      </c>
      <c r="B933" s="17">
        <f>230195.81-68408</f>
        <v>161787.81</v>
      </c>
      <c r="C933" s="3"/>
      <c r="D933" s="17">
        <v>8540</v>
      </c>
      <c r="E933" s="17">
        <v>11394</v>
      </c>
      <c r="F933" s="3" t="s">
        <v>132</v>
      </c>
      <c r="G933" s="3" t="s">
        <v>5044</v>
      </c>
      <c r="H933" s="18" t="s">
        <v>220</v>
      </c>
      <c r="I933" s="3">
        <v>6228.75</v>
      </c>
      <c r="AU933" s="22">
        <f t="shared" si="150"/>
        <v>6228.75</v>
      </c>
      <c r="AV933" s="3">
        <v>4684.54</v>
      </c>
      <c r="AW933" s="3">
        <v>37.450000000000003</v>
      </c>
      <c r="AX933" s="3">
        <f>1288.5+212.6</f>
        <v>1501.1</v>
      </c>
      <c r="AY933" s="3">
        <f>3+2.66</f>
        <v>5.66</v>
      </c>
      <c r="CH933" s="22">
        <f t="shared" si="159"/>
        <v>6228.75</v>
      </c>
      <c r="CI933" s="3">
        <f t="shared" si="160"/>
        <v>0</v>
      </c>
      <c r="CJ933" s="17">
        <f t="shared" si="161"/>
        <v>11394</v>
      </c>
      <c r="CK933" s="3" t="str">
        <f t="shared" si="162"/>
        <v>صيدلة اكلينيكى</v>
      </c>
    </row>
    <row r="934" spans="1:89" x14ac:dyDescent="0.25">
      <c r="A934" s="16" t="s">
        <v>523</v>
      </c>
      <c r="D934" s="17">
        <v>9049</v>
      </c>
      <c r="E934" s="17">
        <v>11395</v>
      </c>
      <c r="F934" s="3" t="s">
        <v>325</v>
      </c>
      <c r="G934" s="3" t="s">
        <v>5044</v>
      </c>
      <c r="H934" s="18" t="s">
        <v>220</v>
      </c>
      <c r="I934" s="3">
        <v>20117.03</v>
      </c>
      <c r="AU934" s="22">
        <f t="shared" si="150"/>
        <v>20117.03</v>
      </c>
      <c r="AV934" s="3">
        <v>14645.17</v>
      </c>
      <c r="AW934" s="3">
        <f>30.28+121</f>
        <v>151.28</v>
      </c>
      <c r="AX934" s="3">
        <f>4161.4+686.6</f>
        <v>4848</v>
      </c>
      <c r="AY934" s="3">
        <f>464+8.58</f>
        <v>472.58</v>
      </c>
      <c r="CH934" s="22">
        <f t="shared" si="159"/>
        <v>20117.030000000002</v>
      </c>
      <c r="CI934" s="3">
        <f t="shared" si="160"/>
        <v>0</v>
      </c>
      <c r="CJ934" s="17">
        <f t="shared" si="161"/>
        <v>11395</v>
      </c>
      <c r="CK934" s="3" t="str">
        <f t="shared" si="162"/>
        <v xml:space="preserve">برنامج دولى </v>
      </c>
    </row>
    <row r="935" spans="1:89" x14ac:dyDescent="0.25">
      <c r="C935" s="3"/>
      <c r="D935" s="17">
        <v>9044</v>
      </c>
      <c r="E935" s="17">
        <v>11395</v>
      </c>
      <c r="F935" s="3" t="s">
        <v>325</v>
      </c>
      <c r="G935" s="3" t="s">
        <v>5044</v>
      </c>
      <c r="H935" s="18" t="s">
        <v>220</v>
      </c>
      <c r="I935" s="3">
        <v>6434.53</v>
      </c>
      <c r="AU935" s="22">
        <f t="shared" si="150"/>
        <v>6434.53</v>
      </c>
      <c r="AV935" s="3">
        <v>4769.49</v>
      </c>
      <c r="AW935" s="3">
        <v>38.700000000000003</v>
      </c>
      <c r="AX935" s="3">
        <f>1331+219.6</f>
        <v>1550.6</v>
      </c>
      <c r="AY935" s="3">
        <f>73+2.74</f>
        <v>75.739999999999995</v>
      </c>
      <c r="CH935" s="22">
        <f t="shared" ref="CH935:CH936" si="163">SUM(AV935:CG935)</f>
        <v>6434.5299999999988</v>
      </c>
      <c r="CI935" s="3">
        <f t="shared" ref="CI935:CI936" si="164">+CH935-AU935</f>
        <v>0</v>
      </c>
      <c r="CJ935" s="17">
        <f t="shared" ref="CJ935:CJ936" si="165">+E935</f>
        <v>11395</v>
      </c>
      <c r="CK935" s="3" t="str">
        <f t="shared" ref="CK935:CK936" si="166">+F935</f>
        <v xml:space="preserve">برنامج دولى </v>
      </c>
    </row>
    <row r="936" spans="1:89" x14ac:dyDescent="0.25">
      <c r="D936" s="17">
        <v>9045</v>
      </c>
      <c r="E936" s="17">
        <v>11395</v>
      </c>
      <c r="F936" s="3" t="s">
        <v>325</v>
      </c>
      <c r="G936" s="3" t="s">
        <v>5044</v>
      </c>
      <c r="H936" s="18" t="s">
        <v>220</v>
      </c>
      <c r="I936" s="3">
        <v>13682.72</v>
      </c>
      <c r="AU936" s="22">
        <f t="shared" si="150"/>
        <v>13682.72</v>
      </c>
      <c r="AV936" s="3">
        <v>10260.879999999999</v>
      </c>
      <c r="AW936" s="3">
        <f>30.3+82.3</f>
        <v>112.6</v>
      </c>
      <c r="AX936" s="3">
        <f>2830.4+467</f>
        <v>3297.4</v>
      </c>
      <c r="AY936" s="3">
        <f>6+5.84</f>
        <v>11.84</v>
      </c>
      <c r="CH936" s="22">
        <f t="shared" si="163"/>
        <v>13682.72</v>
      </c>
      <c r="CI936" s="3">
        <f t="shared" si="164"/>
        <v>0</v>
      </c>
      <c r="CJ936" s="17">
        <f t="shared" si="165"/>
        <v>11395</v>
      </c>
      <c r="CK936" s="3" t="str">
        <f t="shared" si="166"/>
        <v xml:space="preserve">برنامج دولى </v>
      </c>
    </row>
    <row r="937" spans="1:89" x14ac:dyDescent="0.25">
      <c r="D937" s="17">
        <v>9046</v>
      </c>
      <c r="E937" s="17">
        <v>11395</v>
      </c>
      <c r="F937" s="3" t="s">
        <v>325</v>
      </c>
      <c r="G937" s="3" t="s">
        <v>5044</v>
      </c>
      <c r="H937" s="18" t="s">
        <v>220</v>
      </c>
      <c r="I937" s="3">
        <v>12830.43</v>
      </c>
      <c r="AU937" s="22">
        <f t="shared" si="150"/>
        <v>12830.43</v>
      </c>
      <c r="AV937" s="3">
        <v>9514.81</v>
      </c>
      <c r="AW937" s="3">
        <v>77.150000000000006</v>
      </c>
      <c r="AX937" s="3">
        <f>2654.1+437.9</f>
        <v>3092</v>
      </c>
      <c r="AY937" s="3">
        <f>141+5.47</f>
        <v>146.47</v>
      </c>
      <c r="CH937" s="22">
        <f t="shared" ref="CH937" si="167">SUM(AV937:CG937)</f>
        <v>12830.429999999998</v>
      </c>
      <c r="CI937" s="3">
        <f t="shared" ref="CI937" si="168">+CH937-AU937</f>
        <v>0</v>
      </c>
      <c r="CJ937" s="17">
        <f t="shared" ref="CJ937" si="169">+E937</f>
        <v>11395</v>
      </c>
      <c r="CK937" s="3" t="str">
        <f t="shared" ref="CK937" si="170">+F937</f>
        <v xml:space="preserve">برنامج دولى </v>
      </c>
    </row>
    <row r="938" spans="1:89" x14ac:dyDescent="0.25">
      <c r="A938" s="16" t="s">
        <v>523</v>
      </c>
      <c r="D938" s="17">
        <v>9047</v>
      </c>
      <c r="E938" s="17">
        <v>11396</v>
      </c>
      <c r="F938" s="3" t="s">
        <v>325</v>
      </c>
      <c r="G938" s="3" t="s">
        <v>5044</v>
      </c>
      <c r="H938" s="18" t="s">
        <v>220</v>
      </c>
      <c r="I938" s="3">
        <v>6434.53</v>
      </c>
      <c r="AU938" s="22">
        <f t="shared" si="150"/>
        <v>6434.53</v>
      </c>
      <c r="AV938" s="3">
        <v>4787.49</v>
      </c>
      <c r="AW938" s="3">
        <v>38.700000000000003</v>
      </c>
      <c r="AX938" s="3">
        <f>1331+219.6</f>
        <v>1550.6</v>
      </c>
      <c r="AY938" s="3">
        <f>55+2.74</f>
        <v>57.74</v>
      </c>
      <c r="CH938" s="22">
        <f>SUM(AV938:CG938)</f>
        <v>6434.5299999999988</v>
      </c>
      <c r="CI938" s="3">
        <f>+CH938-AU938</f>
        <v>0</v>
      </c>
      <c r="CJ938" s="17">
        <f>+E938</f>
        <v>11396</v>
      </c>
      <c r="CK938" s="3" t="str">
        <f>+F938</f>
        <v xml:space="preserve">برنامج دولى </v>
      </c>
    </row>
    <row r="939" spans="1:89" x14ac:dyDescent="0.25">
      <c r="D939" s="17">
        <v>9048</v>
      </c>
      <c r="E939" s="17">
        <v>11396</v>
      </c>
      <c r="F939" s="3" t="s">
        <v>325</v>
      </c>
      <c r="G939" s="3" t="s">
        <v>5044</v>
      </c>
      <c r="H939" s="18" t="s">
        <v>220</v>
      </c>
      <c r="I939" s="3">
        <v>6395.9</v>
      </c>
      <c r="AU939" s="22">
        <f t="shared" si="150"/>
        <v>6395.9</v>
      </c>
      <c r="AV939" s="3">
        <v>4810.32</v>
      </c>
      <c r="AW939" s="3">
        <v>38.450000000000003</v>
      </c>
      <c r="AX939" s="3">
        <f>1323.1+218.3</f>
        <v>1541.3999999999999</v>
      </c>
      <c r="AY939" s="3">
        <f>3+2.73</f>
        <v>5.73</v>
      </c>
      <c r="CH939" s="22">
        <f t="shared" ref="CH939:CH940" si="171">SUM(AV939:CG939)</f>
        <v>6395.8999999999987</v>
      </c>
      <c r="CI939" s="3">
        <f t="shared" ref="CI939:CI940" si="172">+CH939-AU939</f>
        <v>0</v>
      </c>
      <c r="CJ939" s="17">
        <f t="shared" ref="CJ939:CJ940" si="173">+E939</f>
        <v>11396</v>
      </c>
      <c r="CK939" s="3" t="str">
        <f t="shared" ref="CK939:CK940" si="174">+F939</f>
        <v xml:space="preserve">برنامج دولى </v>
      </c>
    </row>
    <row r="940" spans="1:89" x14ac:dyDescent="0.25">
      <c r="D940" s="17">
        <v>9050</v>
      </c>
      <c r="E940" s="17">
        <v>11396</v>
      </c>
      <c r="F940" s="3" t="s">
        <v>325</v>
      </c>
      <c r="G940" s="3" t="s">
        <v>5044</v>
      </c>
      <c r="H940" s="18" t="s">
        <v>220</v>
      </c>
      <c r="I940" s="3">
        <v>12869.06</v>
      </c>
      <c r="AU940" s="22">
        <f t="shared" si="150"/>
        <v>12869.06</v>
      </c>
      <c r="AV940" s="3">
        <v>9304.49</v>
      </c>
      <c r="AW940" s="3">
        <v>77.400000000000006</v>
      </c>
      <c r="AX940" s="3">
        <f>2662+439.2</f>
        <v>3101.2</v>
      </c>
      <c r="AY940" s="3">
        <f>380.49+5.48</f>
        <v>385.97</v>
      </c>
      <c r="CH940" s="22">
        <f t="shared" si="171"/>
        <v>12869.06</v>
      </c>
      <c r="CI940" s="3">
        <f t="shared" si="172"/>
        <v>0</v>
      </c>
      <c r="CJ940" s="17">
        <f t="shared" si="173"/>
        <v>11396</v>
      </c>
      <c r="CK940" s="3" t="str">
        <f t="shared" si="174"/>
        <v xml:space="preserve">برنامج دولى </v>
      </c>
    </row>
    <row r="941" spans="1:89" x14ac:dyDescent="0.25">
      <c r="A941" s="16" t="s">
        <v>523</v>
      </c>
      <c r="D941" s="17">
        <v>9051</v>
      </c>
      <c r="E941" s="17">
        <v>11397</v>
      </c>
      <c r="F941" s="3" t="s">
        <v>325</v>
      </c>
      <c r="G941" s="3" t="s">
        <v>5044</v>
      </c>
      <c r="H941" s="18" t="s">
        <v>220</v>
      </c>
      <c r="I941" s="3">
        <v>4799.16</v>
      </c>
      <c r="AU941" s="22">
        <f t="shared" si="150"/>
        <v>4799.16</v>
      </c>
      <c r="AV941" s="3">
        <v>3120.31</v>
      </c>
      <c r="AW941" s="3">
        <v>23.25</v>
      </c>
      <c r="AX941" s="3">
        <f>1415.2+233.5</f>
        <v>1648.7</v>
      </c>
      <c r="AY941" s="3">
        <f>5+1.9</f>
        <v>6.9</v>
      </c>
      <c r="CH941" s="22">
        <f>SUM(AV941:CG941)</f>
        <v>4799.16</v>
      </c>
      <c r="CI941" s="3">
        <f>+CH941-AU941</f>
        <v>0</v>
      </c>
      <c r="CJ941" s="17">
        <f>+E941</f>
        <v>11397</v>
      </c>
      <c r="CK941" s="3" t="str">
        <f>+F941</f>
        <v xml:space="preserve">برنامج دولى </v>
      </c>
    </row>
    <row r="942" spans="1:89" x14ac:dyDescent="0.25">
      <c r="D942" s="17">
        <v>9052</v>
      </c>
      <c r="E942" s="17">
        <v>11397</v>
      </c>
      <c r="F942" s="3" t="s">
        <v>325</v>
      </c>
      <c r="G942" s="3" t="s">
        <v>5044</v>
      </c>
      <c r="H942" s="18" t="s">
        <v>220</v>
      </c>
      <c r="I942" s="3">
        <v>80444.7</v>
      </c>
      <c r="AU942" s="22">
        <f t="shared" ref="AU942:AU943" si="175">SUM(I942:AS942)</f>
        <v>80444.7</v>
      </c>
      <c r="AV942" s="3">
        <v>59516.79</v>
      </c>
      <c r="AW942" s="3">
        <f>91.25+479.3</f>
        <v>570.54999999999995</v>
      </c>
      <c r="AX942" s="3">
        <f>16641+2745.7</f>
        <v>19386.7</v>
      </c>
      <c r="AY942" s="3">
        <f>372+34.02</f>
        <v>406.02</v>
      </c>
      <c r="AZ942" s="3">
        <v>564.64</v>
      </c>
      <c r="CH942" s="22">
        <f t="shared" ref="CH942:CH943" si="176">SUM(AV942:CG942)</f>
        <v>80444.700000000012</v>
      </c>
      <c r="CI942" s="3">
        <f t="shared" ref="CI942:CI943" si="177">+CH942-AU942</f>
        <v>0</v>
      </c>
      <c r="CJ942" s="17">
        <f t="shared" ref="CJ942:CJ943" si="178">+E942</f>
        <v>11397</v>
      </c>
      <c r="CK942" s="3" t="str">
        <f t="shared" ref="CK942:CK943" si="179">+F942</f>
        <v xml:space="preserve">برنامج دولى </v>
      </c>
    </row>
    <row r="943" spans="1:89" x14ac:dyDescent="0.25">
      <c r="D943" s="17">
        <v>9053</v>
      </c>
      <c r="E943" s="17">
        <v>11397</v>
      </c>
      <c r="F943" s="3" t="s">
        <v>325</v>
      </c>
      <c r="G943" s="3" t="s">
        <v>5044</v>
      </c>
      <c r="H943" s="18" t="s">
        <v>220</v>
      </c>
      <c r="I943" s="3">
        <v>45948.44</v>
      </c>
      <c r="AU943" s="22">
        <f t="shared" si="175"/>
        <v>45948.44</v>
      </c>
      <c r="AV943" s="3">
        <v>34148.57</v>
      </c>
      <c r="AW943" s="3">
        <f>30.28+276.35</f>
        <v>306.63</v>
      </c>
      <c r="AX943" s="3">
        <f>9505+1568.3</f>
        <v>11073.3</v>
      </c>
      <c r="AY943" s="3">
        <f>400.35+19.59</f>
        <v>419.94</v>
      </c>
      <c r="CH943" s="22">
        <f t="shared" si="176"/>
        <v>45948.44</v>
      </c>
      <c r="CI943" s="3">
        <f t="shared" si="177"/>
        <v>0</v>
      </c>
      <c r="CJ943" s="17">
        <f t="shared" si="178"/>
        <v>11397</v>
      </c>
      <c r="CK943" s="3" t="str">
        <f t="shared" si="179"/>
        <v xml:space="preserve">برنامج دولى </v>
      </c>
    </row>
    <row r="944" spans="1:89" x14ac:dyDescent="0.25">
      <c r="A944" s="16" t="s">
        <v>523</v>
      </c>
      <c r="D944" s="17">
        <v>9054</v>
      </c>
      <c r="E944" s="17">
        <v>11398</v>
      </c>
      <c r="F944" s="3" t="s">
        <v>325</v>
      </c>
      <c r="G944" s="3" t="s">
        <v>5044</v>
      </c>
      <c r="H944" s="18" t="s">
        <v>220</v>
      </c>
      <c r="I944" s="3">
        <v>1574308.66</v>
      </c>
      <c r="AU944" s="22">
        <f t="shared" ref="AU944:AU952" si="180">SUM(I944:AS944)</f>
        <v>1574308.66</v>
      </c>
      <c r="AV944" s="3">
        <v>1165294.99</v>
      </c>
      <c r="AW944" s="3">
        <f>1880.65+9346.65</f>
        <v>11227.3</v>
      </c>
      <c r="AX944" s="3">
        <f>330997.2+54612+12</f>
        <v>385621.2</v>
      </c>
      <c r="AY944" s="3">
        <f>5886.3+667.16</f>
        <v>6553.46</v>
      </c>
      <c r="AZ944" s="3">
        <v>5015.87</v>
      </c>
      <c r="BA944" s="3">
        <v>595.84</v>
      </c>
      <c r="CH944" s="22">
        <f>SUM(AV944:CG944)</f>
        <v>1574308.6600000001</v>
      </c>
      <c r="CI944" s="3">
        <f>+CH944-AU944</f>
        <v>0</v>
      </c>
      <c r="CJ944" s="17">
        <f t="shared" ref="CJ944:CK947" si="181">+E944</f>
        <v>11398</v>
      </c>
      <c r="CK944" s="3" t="str">
        <f t="shared" si="181"/>
        <v xml:space="preserve">برنامج دولى </v>
      </c>
    </row>
    <row r="945" spans="1:89" x14ac:dyDescent="0.25">
      <c r="A945" s="16" t="s">
        <v>523</v>
      </c>
      <c r="D945" s="17">
        <v>9058</v>
      </c>
      <c r="E945" s="17">
        <v>11399</v>
      </c>
      <c r="F945" s="3" t="s">
        <v>325</v>
      </c>
      <c r="G945" s="3" t="s">
        <v>5044</v>
      </c>
      <c r="H945" s="18" t="s">
        <v>220</v>
      </c>
      <c r="I945" s="3">
        <v>6434.53</v>
      </c>
      <c r="AU945" s="22">
        <f t="shared" si="180"/>
        <v>6434.53</v>
      </c>
      <c r="AV945" s="3">
        <v>4816.6899999999996</v>
      </c>
      <c r="AW945" s="3">
        <v>38.5</v>
      </c>
      <c r="AX945" s="3">
        <f>1331+219.6+23</f>
        <v>1573.6</v>
      </c>
      <c r="AY945" s="3">
        <f>3+2.74</f>
        <v>5.74</v>
      </c>
      <c r="CH945" s="22">
        <f>SUM(AV945:CG945)</f>
        <v>6434.5299999999988</v>
      </c>
      <c r="CI945" s="3">
        <f>+CH945-AU945</f>
        <v>0</v>
      </c>
      <c r="CJ945" s="17">
        <f t="shared" si="181"/>
        <v>11399</v>
      </c>
      <c r="CK945" s="3" t="str">
        <f t="shared" si="181"/>
        <v xml:space="preserve">برنامج دولى </v>
      </c>
    </row>
    <row r="946" spans="1:89" x14ac:dyDescent="0.25">
      <c r="A946" s="16" t="s">
        <v>523</v>
      </c>
      <c r="D946" s="17">
        <v>9055</v>
      </c>
      <c r="E946" s="17">
        <v>11400</v>
      </c>
      <c r="F946" s="3" t="s">
        <v>325</v>
      </c>
      <c r="G946" s="3" t="s">
        <v>5044</v>
      </c>
      <c r="H946" s="18" t="s">
        <v>220</v>
      </c>
      <c r="I946" s="3">
        <v>13682.5</v>
      </c>
      <c r="AU946" s="22">
        <f t="shared" si="180"/>
        <v>13682.5</v>
      </c>
      <c r="AV946" s="3">
        <v>10260.68</v>
      </c>
      <c r="AW946" s="3">
        <f>30.28+82.3</f>
        <v>112.58</v>
      </c>
      <c r="AX946" s="3">
        <f>2830.4+467</f>
        <v>3297.4</v>
      </c>
      <c r="AY946" s="3">
        <f>6+5.84</f>
        <v>11.84</v>
      </c>
      <c r="CH946" s="22">
        <f>SUM(AV946:CG946)</f>
        <v>13682.5</v>
      </c>
      <c r="CI946" s="3">
        <f>+CH946-AU946</f>
        <v>0</v>
      </c>
      <c r="CJ946" s="17">
        <f t="shared" si="181"/>
        <v>11400</v>
      </c>
      <c r="CK946" s="3" t="str">
        <f t="shared" si="181"/>
        <v xml:space="preserve">برنامج دولى </v>
      </c>
    </row>
    <row r="947" spans="1:89" x14ac:dyDescent="0.25">
      <c r="A947" s="16" t="s">
        <v>523</v>
      </c>
      <c r="D947" s="17">
        <v>9056</v>
      </c>
      <c r="E947" s="17">
        <v>11401</v>
      </c>
      <c r="F947" s="3" t="s">
        <v>325</v>
      </c>
      <c r="G947" s="3" t="s">
        <v>5044</v>
      </c>
      <c r="H947" s="18" t="s">
        <v>220</v>
      </c>
      <c r="I947" s="3">
        <v>6434.53</v>
      </c>
      <c r="AU947" s="22">
        <f t="shared" si="180"/>
        <v>6434.53</v>
      </c>
      <c r="AV947" s="3">
        <v>4839.49</v>
      </c>
      <c r="AW947" s="3">
        <v>38.700000000000003</v>
      </c>
      <c r="AX947" s="3">
        <f>1331+219.6</f>
        <v>1550.6</v>
      </c>
      <c r="AY947" s="3">
        <f>3+2.74</f>
        <v>5.74</v>
      </c>
      <c r="CH947" s="22">
        <f>SUM(AV947:CG947)</f>
        <v>6434.5299999999988</v>
      </c>
      <c r="CI947" s="3">
        <f>+CH947-AU947</f>
        <v>0</v>
      </c>
      <c r="CJ947" s="17">
        <f t="shared" si="181"/>
        <v>11401</v>
      </c>
      <c r="CK947" s="3" t="str">
        <f t="shared" si="181"/>
        <v xml:space="preserve">برنامج دولى </v>
      </c>
    </row>
    <row r="948" spans="1:89" x14ac:dyDescent="0.25">
      <c r="D948" s="17">
        <v>9057</v>
      </c>
      <c r="E948" s="17">
        <v>11401</v>
      </c>
      <c r="F948" s="3" t="s">
        <v>325</v>
      </c>
      <c r="G948" s="3" t="s">
        <v>5044</v>
      </c>
      <c r="H948" s="18" t="s">
        <v>220</v>
      </c>
      <c r="I948" s="3">
        <v>12869.06</v>
      </c>
      <c r="AU948" s="22">
        <f t="shared" si="180"/>
        <v>12869.06</v>
      </c>
      <c r="AV948" s="3">
        <v>9563.98</v>
      </c>
      <c r="AW948" s="3">
        <v>77.400000000000006</v>
      </c>
      <c r="AX948" s="3">
        <f>2662+439.2</f>
        <v>3101.2</v>
      </c>
      <c r="AY948" s="3">
        <f>121+5.48</f>
        <v>126.48</v>
      </c>
      <c r="CH948" s="22">
        <f t="shared" ref="CH948:CH949" si="182">SUM(AV948:CG948)</f>
        <v>12869.059999999998</v>
      </c>
      <c r="CI948" s="3">
        <f t="shared" ref="CI948:CI949" si="183">+CH948-AU948</f>
        <v>0</v>
      </c>
      <c r="CJ948" s="17">
        <f t="shared" ref="CJ948:CJ949" si="184">+E948</f>
        <v>11401</v>
      </c>
      <c r="CK948" s="3" t="str">
        <f t="shared" ref="CK948:CK949" si="185">+F948</f>
        <v xml:space="preserve">برنامج دولى </v>
      </c>
    </row>
    <row r="949" spans="1:89" x14ac:dyDescent="0.25">
      <c r="D949" s="17">
        <v>9059</v>
      </c>
      <c r="E949" s="17">
        <v>11401</v>
      </c>
      <c r="F949" s="3" t="s">
        <v>325</v>
      </c>
      <c r="G949" s="3" t="s">
        <v>5044</v>
      </c>
      <c r="H949" s="18" t="s">
        <v>220</v>
      </c>
      <c r="I949" s="3">
        <v>6434.53</v>
      </c>
      <c r="AU949" s="22">
        <f t="shared" si="180"/>
        <v>6434.53</v>
      </c>
      <c r="AV949" s="3">
        <v>3081.49</v>
      </c>
      <c r="AW949" s="3">
        <v>38.700000000000003</v>
      </c>
      <c r="AX949" s="3">
        <f>1331+219.6</f>
        <v>1550.6</v>
      </c>
      <c r="AY949" s="3">
        <f>961+800+2.74</f>
        <v>1763.74</v>
      </c>
      <c r="CH949" s="22">
        <f t="shared" si="182"/>
        <v>6434.5299999999988</v>
      </c>
      <c r="CI949" s="3">
        <f t="shared" si="183"/>
        <v>0</v>
      </c>
      <c r="CJ949" s="17">
        <f t="shared" si="184"/>
        <v>11401</v>
      </c>
      <c r="CK949" s="3" t="str">
        <f t="shared" si="185"/>
        <v xml:space="preserve">برنامج دولى </v>
      </c>
    </row>
    <row r="950" spans="1:89" x14ac:dyDescent="0.25">
      <c r="A950" s="16" t="s">
        <v>523</v>
      </c>
      <c r="D950" s="17">
        <v>9063</v>
      </c>
      <c r="E950" s="17">
        <v>11402</v>
      </c>
      <c r="F950" s="3" t="s">
        <v>325</v>
      </c>
      <c r="G950" s="3" t="s">
        <v>5044</v>
      </c>
      <c r="H950" s="18" t="s">
        <v>220</v>
      </c>
      <c r="I950" s="3">
        <v>12869.06</v>
      </c>
      <c r="AU950" s="22">
        <f t="shared" si="180"/>
        <v>12869.06</v>
      </c>
      <c r="AV950" s="3">
        <v>8168.52</v>
      </c>
      <c r="AW950" s="3">
        <v>76</v>
      </c>
      <c r="AX950" s="3">
        <f>2662+439.2</f>
        <v>3101.2</v>
      </c>
      <c r="AY950" s="3">
        <f>1056+5.4</f>
        <v>1061.4000000000001</v>
      </c>
      <c r="AZ950" s="3">
        <v>177.02</v>
      </c>
      <c r="BA950" s="3">
        <v>284.92</v>
      </c>
      <c r="CH950" s="22">
        <f>SUM(AV950:CG950)</f>
        <v>12869.060000000001</v>
      </c>
      <c r="CI950" s="3">
        <f>+CH950-AU950</f>
        <v>0</v>
      </c>
      <c r="CJ950" s="17">
        <f>+E950</f>
        <v>11402</v>
      </c>
      <c r="CK950" s="3" t="str">
        <f>+F950</f>
        <v xml:space="preserve">برنامج دولى </v>
      </c>
    </row>
    <row r="951" spans="1:89" x14ac:dyDescent="0.25">
      <c r="A951" s="16" t="s">
        <v>523</v>
      </c>
      <c r="D951" s="17">
        <v>9060</v>
      </c>
      <c r="E951" s="17">
        <v>11403</v>
      </c>
      <c r="F951" s="3" t="s">
        <v>325</v>
      </c>
      <c r="G951" s="3" t="s">
        <v>5044</v>
      </c>
      <c r="H951" s="18" t="s">
        <v>220</v>
      </c>
      <c r="I951" s="3">
        <v>26213.94</v>
      </c>
      <c r="AU951" s="22">
        <f t="shared" si="180"/>
        <v>26213.94</v>
      </c>
      <c r="AV951" s="3">
        <v>19700.57</v>
      </c>
      <c r="AW951" s="3">
        <f>15.14+157.65</f>
        <v>172.79000000000002</v>
      </c>
      <c r="AX951" s="3">
        <f>5422.7+894.7</f>
        <v>6317.4</v>
      </c>
      <c r="AY951" s="3">
        <f>12+11.18</f>
        <v>23.18</v>
      </c>
      <c r="CH951" s="22">
        <f>SUM(AV951:CG951)</f>
        <v>26213.940000000002</v>
      </c>
      <c r="CI951" s="3">
        <f>+CH951-AU951</f>
        <v>0</v>
      </c>
      <c r="CJ951" s="17">
        <f>+E951</f>
        <v>11403</v>
      </c>
      <c r="CK951" s="3" t="str">
        <f>+F951</f>
        <v xml:space="preserve">برنامج دولى </v>
      </c>
    </row>
    <row r="952" spans="1:89" x14ac:dyDescent="0.25">
      <c r="D952" s="17">
        <v>9061</v>
      </c>
      <c r="E952" s="17">
        <v>11403</v>
      </c>
      <c r="F952" s="3" t="s">
        <v>325</v>
      </c>
      <c r="G952" s="3" t="s">
        <v>5044</v>
      </c>
      <c r="H952" s="18" t="s">
        <v>220</v>
      </c>
      <c r="I952" s="3">
        <v>6444.5</v>
      </c>
      <c r="AU952" s="22">
        <f t="shared" si="180"/>
        <v>6444.5</v>
      </c>
      <c r="AV952" s="3">
        <v>3392</v>
      </c>
      <c r="AW952" s="3">
        <v>38.75</v>
      </c>
      <c r="AX952" s="3">
        <f>1333.1+219.9</f>
        <v>1553</v>
      </c>
      <c r="AY952" s="3">
        <f>1458+2.75</f>
        <v>1460.75</v>
      </c>
      <c r="CH952" s="22">
        <f t="shared" ref="CH952:CH969" si="186">SUM(AV952:CG952)</f>
        <v>6444.5</v>
      </c>
      <c r="CI952" s="3">
        <f t="shared" ref="CI952:CI969" si="187">+CH952-AU952</f>
        <v>0</v>
      </c>
      <c r="CJ952" s="17">
        <f t="shared" ref="CJ952:CJ969" si="188">+E952</f>
        <v>11403</v>
      </c>
      <c r="CK952" s="3" t="str">
        <f t="shared" ref="CK952:CK969" si="189">+F952</f>
        <v xml:space="preserve">برنامج دولى </v>
      </c>
    </row>
    <row r="953" spans="1:89" x14ac:dyDescent="0.25">
      <c r="D953" s="17">
        <v>9062</v>
      </c>
      <c r="E953" s="17">
        <v>11403</v>
      </c>
      <c r="F953" s="3" t="s">
        <v>325</v>
      </c>
      <c r="G953" s="3" t="s">
        <v>5044</v>
      </c>
      <c r="H953" s="18" t="s">
        <v>220</v>
      </c>
      <c r="I953" s="3">
        <v>6439.23</v>
      </c>
      <c r="AU953" s="22">
        <f t="shared" ref="AU953:AU954" si="190">SUM(I953:AS953)</f>
        <v>6439.23</v>
      </c>
      <c r="AV953" s="3">
        <v>4732.88</v>
      </c>
      <c r="AW953" s="3">
        <v>38.700000000000003</v>
      </c>
      <c r="AX953" s="3">
        <f>1332.1+219.8</f>
        <v>1551.8999999999999</v>
      </c>
      <c r="AY953" s="3">
        <f>113+2.75</f>
        <v>115.75</v>
      </c>
      <c r="CH953" s="22">
        <f t="shared" si="186"/>
        <v>6439.23</v>
      </c>
      <c r="CI953" s="3">
        <f t="shared" si="187"/>
        <v>0</v>
      </c>
      <c r="CJ953" s="17">
        <f t="shared" si="188"/>
        <v>11403</v>
      </c>
      <c r="CK953" s="3" t="str">
        <f t="shared" si="189"/>
        <v xml:space="preserve">برنامج دولى </v>
      </c>
    </row>
    <row r="954" spans="1:89" x14ac:dyDescent="0.25">
      <c r="D954" s="17">
        <v>9064</v>
      </c>
      <c r="E954" s="17">
        <v>11404</v>
      </c>
      <c r="F954" s="3" t="s">
        <v>325</v>
      </c>
      <c r="G954" s="3" t="s">
        <v>5044</v>
      </c>
      <c r="H954" s="18" t="s">
        <v>220</v>
      </c>
      <c r="I954" s="3">
        <v>20117.03</v>
      </c>
      <c r="AU954" s="22">
        <f t="shared" si="190"/>
        <v>20117.03</v>
      </c>
      <c r="AV954" s="3">
        <v>15096.17</v>
      </c>
      <c r="AW954" s="3">
        <f>30.28+121</f>
        <v>151.28</v>
      </c>
      <c r="AX954" s="3">
        <f>4161.4+686.6</f>
        <v>4848</v>
      </c>
      <c r="AY954" s="3">
        <f>13+8.58</f>
        <v>21.58</v>
      </c>
      <c r="CH954" s="22">
        <f t="shared" si="186"/>
        <v>20117.030000000002</v>
      </c>
      <c r="CI954" s="3">
        <f t="shared" si="187"/>
        <v>0</v>
      </c>
      <c r="CJ954" s="17">
        <f t="shared" si="188"/>
        <v>11404</v>
      </c>
      <c r="CK954" s="3" t="str">
        <f t="shared" si="189"/>
        <v xml:space="preserve">برنامج دولى </v>
      </c>
    </row>
    <row r="955" spans="1:89" x14ac:dyDescent="0.25">
      <c r="A955" s="16" t="s">
        <v>523</v>
      </c>
      <c r="D955" s="17">
        <v>9065</v>
      </c>
      <c r="E955" s="17">
        <v>11404</v>
      </c>
      <c r="F955" s="3" t="s">
        <v>325</v>
      </c>
      <c r="G955" s="3" t="s">
        <v>5044</v>
      </c>
      <c r="H955" s="18" t="s">
        <v>220</v>
      </c>
      <c r="I955" s="3">
        <v>6434.53</v>
      </c>
      <c r="AU955" s="22">
        <f t="shared" ref="AU955:AU963" si="191">SUM(I955:AS955)</f>
        <v>6434.53</v>
      </c>
      <c r="AV955" s="3">
        <v>4668.67</v>
      </c>
      <c r="AW955" s="3">
        <v>38.700000000000003</v>
      </c>
      <c r="AX955" s="3">
        <f>1331+219.6</f>
        <v>1550.6</v>
      </c>
      <c r="AY955" s="3">
        <f>173.82+2.74</f>
        <v>176.56</v>
      </c>
      <c r="CH955" s="22">
        <f t="shared" si="186"/>
        <v>6434.53</v>
      </c>
      <c r="CI955" s="3">
        <f t="shared" si="187"/>
        <v>0</v>
      </c>
      <c r="CJ955" s="17">
        <f t="shared" si="188"/>
        <v>11404</v>
      </c>
      <c r="CK955" s="3" t="str">
        <f t="shared" si="189"/>
        <v xml:space="preserve">برنامج دولى </v>
      </c>
    </row>
    <row r="956" spans="1:89" x14ac:dyDescent="0.25">
      <c r="D956" s="17">
        <v>9067</v>
      </c>
      <c r="E956" s="17">
        <v>11404</v>
      </c>
      <c r="F956" s="3" t="s">
        <v>325</v>
      </c>
      <c r="G956" s="3" t="s">
        <v>5044</v>
      </c>
      <c r="H956" s="18" t="s">
        <v>220</v>
      </c>
      <c r="I956" s="3">
        <v>19226.330000000002</v>
      </c>
      <c r="AU956" s="22">
        <f t="shared" si="191"/>
        <v>19226.330000000002</v>
      </c>
      <c r="AV956" s="3">
        <v>14330.13</v>
      </c>
      <c r="AW956" s="3">
        <v>115.6</v>
      </c>
      <c r="AX956" s="3">
        <f>3977.2+656.2</f>
        <v>4633.3999999999996</v>
      </c>
      <c r="AY956" s="3">
        <f>139+8.2</f>
        <v>147.19999999999999</v>
      </c>
      <c r="CH956" s="22">
        <f t="shared" si="186"/>
        <v>19226.329999999998</v>
      </c>
      <c r="CI956" s="3">
        <f t="shared" si="187"/>
        <v>0</v>
      </c>
      <c r="CJ956" s="17">
        <f t="shared" si="188"/>
        <v>11404</v>
      </c>
      <c r="CK956" s="3" t="str">
        <f t="shared" si="189"/>
        <v xml:space="preserve">برنامج دولى </v>
      </c>
    </row>
    <row r="957" spans="1:89" x14ac:dyDescent="0.25">
      <c r="D957" s="17">
        <v>9068</v>
      </c>
      <c r="E957" s="17">
        <v>11404</v>
      </c>
      <c r="F957" s="3" t="s">
        <v>325</v>
      </c>
      <c r="G957" s="3" t="s">
        <v>5044</v>
      </c>
      <c r="H957" s="18" t="s">
        <v>220</v>
      </c>
      <c r="I957" s="3">
        <v>6841.25</v>
      </c>
      <c r="AU957" s="22">
        <f t="shared" si="191"/>
        <v>6841.25</v>
      </c>
      <c r="AV957" s="3">
        <v>5128.34</v>
      </c>
      <c r="AW957" s="3">
        <f>15.14+41.15</f>
        <v>56.29</v>
      </c>
      <c r="AX957" s="3">
        <f>1415.2+233.5</f>
        <v>1648.7</v>
      </c>
      <c r="AY957" s="3">
        <f>5+2.92</f>
        <v>7.92</v>
      </c>
      <c r="CH957" s="22">
        <f t="shared" si="186"/>
        <v>6841.25</v>
      </c>
      <c r="CI957" s="3">
        <f t="shared" si="187"/>
        <v>0</v>
      </c>
      <c r="CJ957" s="17">
        <f t="shared" si="188"/>
        <v>11404</v>
      </c>
      <c r="CK957" s="3" t="str">
        <f t="shared" si="189"/>
        <v xml:space="preserve">برنامج دولى </v>
      </c>
    </row>
    <row r="958" spans="1:89" x14ac:dyDescent="0.25">
      <c r="D958" s="17">
        <v>9069</v>
      </c>
      <c r="E958" s="17">
        <v>11404</v>
      </c>
      <c r="F958" s="3" t="s">
        <v>325</v>
      </c>
      <c r="G958" s="3" t="s">
        <v>5044</v>
      </c>
      <c r="H958" s="18" t="s">
        <v>220</v>
      </c>
      <c r="I958" s="3">
        <v>6434.53</v>
      </c>
      <c r="AU958" s="22">
        <f t="shared" si="191"/>
        <v>6434.53</v>
      </c>
      <c r="AV958" s="3">
        <v>4839.49</v>
      </c>
      <c r="AW958" s="3">
        <v>38.700000000000003</v>
      </c>
      <c r="AX958" s="3">
        <f>1331+219.6</f>
        <v>1550.6</v>
      </c>
      <c r="AY958" s="3">
        <f>3+2.74</f>
        <v>5.74</v>
      </c>
      <c r="CH958" s="22">
        <f t="shared" si="186"/>
        <v>6434.5299999999988</v>
      </c>
      <c r="CI958" s="3">
        <f t="shared" si="187"/>
        <v>0</v>
      </c>
      <c r="CJ958" s="17">
        <f t="shared" si="188"/>
        <v>11404</v>
      </c>
      <c r="CK958" s="3" t="str">
        <f t="shared" si="189"/>
        <v xml:space="preserve">برنامج دولى </v>
      </c>
    </row>
    <row r="959" spans="1:89" x14ac:dyDescent="0.25">
      <c r="A959" s="16" t="s">
        <v>523</v>
      </c>
      <c r="D959" s="17">
        <v>9066</v>
      </c>
      <c r="E959" s="17">
        <v>11405</v>
      </c>
      <c r="F959" s="3" t="s">
        <v>325</v>
      </c>
      <c r="G959" s="3" t="s">
        <v>5044</v>
      </c>
      <c r="H959" s="18" t="s">
        <v>220</v>
      </c>
      <c r="I959" s="3">
        <v>26551.58</v>
      </c>
      <c r="AU959" s="22">
        <f t="shared" si="191"/>
        <v>26551.58</v>
      </c>
      <c r="AV959" s="3">
        <v>19939.68</v>
      </c>
      <c r="AW959" s="3">
        <f>30.28+159.7</f>
        <v>189.98</v>
      </c>
      <c r="AX959" s="3">
        <f>5492.4+906.2</f>
        <v>6398.5999999999995</v>
      </c>
      <c r="AY959" s="3">
        <f>12+11.32</f>
        <v>23.32</v>
      </c>
      <c r="CH959" s="22">
        <f t="shared" si="186"/>
        <v>26551.579999999998</v>
      </c>
      <c r="CI959" s="3">
        <f t="shared" si="187"/>
        <v>0</v>
      </c>
      <c r="CJ959" s="17">
        <f t="shared" si="188"/>
        <v>11405</v>
      </c>
      <c r="CK959" s="3" t="str">
        <f t="shared" si="189"/>
        <v xml:space="preserve">برنامج دولى </v>
      </c>
    </row>
    <row r="960" spans="1:89" x14ac:dyDescent="0.25">
      <c r="A960" s="16" t="s">
        <v>523</v>
      </c>
      <c r="D960" s="17">
        <v>9070</v>
      </c>
      <c r="E960" s="17">
        <v>11406</v>
      </c>
      <c r="F960" s="3" t="s">
        <v>325</v>
      </c>
      <c r="G960" s="3" t="s">
        <v>5044</v>
      </c>
      <c r="H960" s="18" t="s">
        <v>220</v>
      </c>
      <c r="I960" s="3">
        <v>6434.53</v>
      </c>
      <c r="AU960" s="22">
        <f t="shared" si="191"/>
        <v>6434.53</v>
      </c>
      <c r="AV960" s="3">
        <v>4839.49</v>
      </c>
      <c r="AW960" s="3">
        <v>38.700000000000003</v>
      </c>
      <c r="AX960" s="3">
        <f>1331+219.6</f>
        <v>1550.6</v>
      </c>
      <c r="AY960" s="3">
        <f>3+2.74</f>
        <v>5.74</v>
      </c>
      <c r="CH960" s="22">
        <f t="shared" si="186"/>
        <v>6434.5299999999988</v>
      </c>
      <c r="CI960" s="3">
        <f t="shared" si="187"/>
        <v>0</v>
      </c>
      <c r="CJ960" s="17">
        <f t="shared" si="188"/>
        <v>11406</v>
      </c>
      <c r="CK960" s="3" t="str">
        <f t="shared" si="189"/>
        <v xml:space="preserve">برنامج دولى </v>
      </c>
    </row>
    <row r="961" spans="1:92" x14ac:dyDescent="0.25">
      <c r="A961" s="16" t="s">
        <v>523</v>
      </c>
      <c r="D961" s="17">
        <v>9071</v>
      </c>
      <c r="E961" s="17">
        <v>11407</v>
      </c>
      <c r="F961" s="3" t="s">
        <v>325</v>
      </c>
      <c r="G961" s="3" t="s">
        <v>5044</v>
      </c>
      <c r="H961" s="18" t="s">
        <v>220</v>
      </c>
      <c r="I961" s="3">
        <v>6841.25</v>
      </c>
      <c r="AU961" s="22">
        <f t="shared" si="191"/>
        <v>6841.25</v>
      </c>
      <c r="AV961" s="3">
        <v>5130.34</v>
      </c>
      <c r="AW961" s="3">
        <f>15.14+41.15</f>
        <v>56.29</v>
      </c>
      <c r="AX961" s="3">
        <f>1415.2+233.5</f>
        <v>1648.7</v>
      </c>
      <c r="AY961" s="3">
        <f>3+2.92</f>
        <v>5.92</v>
      </c>
      <c r="CH961" s="22">
        <f t="shared" si="186"/>
        <v>6841.25</v>
      </c>
      <c r="CI961" s="3">
        <f t="shared" si="187"/>
        <v>0</v>
      </c>
      <c r="CJ961" s="17">
        <f t="shared" si="188"/>
        <v>11407</v>
      </c>
      <c r="CK961" s="3" t="str">
        <f t="shared" si="189"/>
        <v xml:space="preserve">برنامج دولى </v>
      </c>
    </row>
    <row r="962" spans="1:92" x14ac:dyDescent="0.25">
      <c r="D962" s="17">
        <v>9073</v>
      </c>
      <c r="E962" s="17">
        <v>11407</v>
      </c>
      <c r="F962" s="3" t="s">
        <v>325</v>
      </c>
      <c r="G962" s="3" t="s">
        <v>5044</v>
      </c>
      <c r="H962" s="18" t="s">
        <v>220</v>
      </c>
      <c r="I962" s="3">
        <v>6843.45</v>
      </c>
      <c r="AU962" s="22">
        <f t="shared" si="191"/>
        <v>6843.45</v>
      </c>
      <c r="AV962" s="3">
        <v>5132</v>
      </c>
      <c r="AW962" s="3">
        <f>15.33+41.2</f>
        <v>56.53</v>
      </c>
      <c r="AX962" s="3">
        <f>1415.5+233.5</f>
        <v>1649</v>
      </c>
      <c r="AY962" s="3">
        <f>3+2.92</f>
        <v>5.92</v>
      </c>
      <c r="CH962" s="22">
        <f t="shared" si="186"/>
        <v>6843.45</v>
      </c>
      <c r="CI962" s="3">
        <f t="shared" si="187"/>
        <v>0</v>
      </c>
      <c r="CJ962" s="17">
        <f t="shared" si="188"/>
        <v>11407</v>
      </c>
      <c r="CK962" s="3" t="str">
        <f t="shared" si="189"/>
        <v xml:space="preserve">برنامج دولى </v>
      </c>
    </row>
    <row r="963" spans="1:92" x14ac:dyDescent="0.25">
      <c r="A963" s="16" t="s">
        <v>523</v>
      </c>
      <c r="D963" s="17">
        <v>9072</v>
      </c>
      <c r="E963" s="17">
        <v>11408</v>
      </c>
      <c r="F963" s="3" t="s">
        <v>325</v>
      </c>
      <c r="G963" s="3" t="s">
        <v>5044</v>
      </c>
      <c r="H963" s="18" t="s">
        <v>220</v>
      </c>
      <c r="I963" s="3">
        <v>6841.25</v>
      </c>
      <c r="AU963" s="22">
        <f t="shared" si="191"/>
        <v>6841.25</v>
      </c>
      <c r="AV963" s="3">
        <v>5130.34</v>
      </c>
      <c r="AW963" s="3">
        <f>15.14+41.15</f>
        <v>56.29</v>
      </c>
      <c r="AX963" s="3">
        <f>1415.2+233.5</f>
        <v>1648.7</v>
      </c>
      <c r="AY963" s="3">
        <f>3+2.92</f>
        <v>5.92</v>
      </c>
      <c r="CH963" s="22">
        <f t="shared" si="186"/>
        <v>6841.25</v>
      </c>
      <c r="CI963" s="3">
        <f t="shared" si="187"/>
        <v>0</v>
      </c>
      <c r="CJ963" s="17">
        <f t="shared" si="188"/>
        <v>11408</v>
      </c>
      <c r="CK963" s="3" t="str">
        <f t="shared" si="189"/>
        <v xml:space="preserve">برنامج دولى </v>
      </c>
    </row>
    <row r="964" spans="1:92" s="29" customFormat="1" x14ac:dyDescent="0.25">
      <c r="A964" s="27"/>
      <c r="B964" s="28"/>
      <c r="C964" s="28"/>
      <c r="D964" s="28"/>
      <c r="E964" s="28"/>
      <c r="G964" s="29" t="s">
        <v>524</v>
      </c>
      <c r="I964" s="29">
        <f>SUM(I915:I963)</f>
        <v>2880362.1199999992</v>
      </c>
      <c r="J964" s="29">
        <f t="shared" ref="J964:BX964" si="192">SUM(J915:J963)</f>
        <v>0</v>
      </c>
      <c r="K964" s="29">
        <f t="shared" si="192"/>
        <v>0</v>
      </c>
      <c r="L964" s="29">
        <f t="shared" si="192"/>
        <v>0</v>
      </c>
      <c r="M964" s="29">
        <f t="shared" si="192"/>
        <v>0</v>
      </c>
      <c r="N964" s="29">
        <f t="shared" si="192"/>
        <v>0</v>
      </c>
      <c r="O964" s="29">
        <f t="shared" si="192"/>
        <v>0</v>
      </c>
      <c r="P964" s="29">
        <f t="shared" si="192"/>
        <v>0</v>
      </c>
      <c r="Q964" s="29">
        <f t="shared" si="192"/>
        <v>0</v>
      </c>
      <c r="R964" s="29">
        <f t="shared" si="192"/>
        <v>0</v>
      </c>
      <c r="S964" s="29">
        <f t="shared" si="192"/>
        <v>0</v>
      </c>
      <c r="T964" s="29">
        <f t="shared" si="192"/>
        <v>0</v>
      </c>
      <c r="U964" s="29">
        <f t="shared" si="192"/>
        <v>0</v>
      </c>
      <c r="V964" s="29">
        <f t="shared" si="192"/>
        <v>0</v>
      </c>
      <c r="W964" s="29">
        <f t="shared" si="192"/>
        <v>0</v>
      </c>
      <c r="X964" s="29">
        <f t="shared" si="192"/>
        <v>0</v>
      </c>
      <c r="Y964" s="29">
        <f t="shared" si="192"/>
        <v>0</v>
      </c>
      <c r="Z964" s="29">
        <f t="shared" si="192"/>
        <v>0</v>
      </c>
      <c r="AA964" s="29">
        <f t="shared" si="192"/>
        <v>0</v>
      </c>
      <c r="AB964" s="29">
        <f t="shared" si="192"/>
        <v>0</v>
      </c>
      <c r="AC964" s="29">
        <f t="shared" si="192"/>
        <v>0</v>
      </c>
      <c r="AD964" s="29">
        <f t="shared" si="192"/>
        <v>0</v>
      </c>
      <c r="AE964" s="29">
        <f t="shared" si="192"/>
        <v>0</v>
      </c>
      <c r="AG964" s="29">
        <f t="shared" si="192"/>
        <v>0</v>
      </c>
      <c r="AH964" s="29">
        <f t="shared" si="192"/>
        <v>0</v>
      </c>
      <c r="AI964" s="29">
        <f t="shared" si="192"/>
        <v>0</v>
      </c>
      <c r="AJ964" s="29">
        <f t="shared" si="192"/>
        <v>0</v>
      </c>
      <c r="AK964" s="29">
        <f t="shared" si="192"/>
        <v>0</v>
      </c>
      <c r="AL964" s="29">
        <f t="shared" si="192"/>
        <v>0</v>
      </c>
      <c r="AM964" s="29">
        <f t="shared" si="192"/>
        <v>0</v>
      </c>
      <c r="AN964" s="29">
        <f t="shared" si="192"/>
        <v>0</v>
      </c>
      <c r="AO964" s="29">
        <f t="shared" si="192"/>
        <v>0</v>
      </c>
      <c r="AP964" s="29">
        <f t="shared" si="192"/>
        <v>0</v>
      </c>
      <c r="AQ964" s="29">
        <f t="shared" si="192"/>
        <v>0</v>
      </c>
      <c r="AR964" s="29">
        <f t="shared" si="192"/>
        <v>0</v>
      </c>
      <c r="AS964" s="29">
        <f t="shared" si="192"/>
        <v>0</v>
      </c>
      <c r="AT964" s="29">
        <f t="shared" si="192"/>
        <v>0</v>
      </c>
      <c r="AU964" s="29">
        <f t="shared" si="192"/>
        <v>2880362.1199999992</v>
      </c>
      <c r="AV964" s="29">
        <f t="shared" si="192"/>
        <v>2099246.98</v>
      </c>
      <c r="AW964" s="29">
        <f t="shared" si="192"/>
        <v>19640.920000000006</v>
      </c>
      <c r="AX964" s="29">
        <f t="shared" si="192"/>
        <v>703019.09999999974</v>
      </c>
      <c r="AY964" s="29">
        <f t="shared" si="192"/>
        <v>25906.760000000006</v>
      </c>
      <c r="AZ964" s="29">
        <f t="shared" si="192"/>
        <v>30957.53</v>
      </c>
      <c r="BA964" s="29">
        <f t="shared" si="192"/>
        <v>943.79</v>
      </c>
      <c r="BB964" s="29">
        <f t="shared" si="192"/>
        <v>0</v>
      </c>
      <c r="BC964" s="29">
        <f t="shared" si="192"/>
        <v>0</v>
      </c>
      <c r="BD964" s="29">
        <f t="shared" si="192"/>
        <v>0</v>
      </c>
      <c r="BF964" s="29">
        <f t="shared" si="192"/>
        <v>0</v>
      </c>
      <c r="BG964" s="29">
        <f t="shared" si="192"/>
        <v>0</v>
      </c>
      <c r="BH964" s="29">
        <f t="shared" si="192"/>
        <v>0</v>
      </c>
      <c r="BI964" s="29">
        <f t="shared" si="192"/>
        <v>624.25</v>
      </c>
      <c r="BJ964" s="29">
        <f t="shared" si="192"/>
        <v>0</v>
      </c>
      <c r="BK964" s="29">
        <f t="shared" si="192"/>
        <v>0</v>
      </c>
      <c r="BL964" s="29">
        <f t="shared" si="192"/>
        <v>0</v>
      </c>
      <c r="BM964" s="29">
        <f t="shared" si="192"/>
        <v>0</v>
      </c>
      <c r="BN964" s="29">
        <f t="shared" si="192"/>
        <v>0</v>
      </c>
      <c r="BO964" s="29">
        <f t="shared" si="192"/>
        <v>0</v>
      </c>
      <c r="BP964" s="29">
        <f t="shared" si="192"/>
        <v>0</v>
      </c>
      <c r="BQ964" s="29">
        <f t="shared" si="192"/>
        <v>0</v>
      </c>
      <c r="BR964" s="29">
        <f t="shared" si="192"/>
        <v>0</v>
      </c>
      <c r="BS964" s="29">
        <f t="shared" si="192"/>
        <v>0</v>
      </c>
      <c r="BT964" s="29">
        <f t="shared" si="192"/>
        <v>0</v>
      </c>
      <c r="BU964" s="29">
        <f t="shared" si="192"/>
        <v>0</v>
      </c>
      <c r="BV964" s="29">
        <f t="shared" si="192"/>
        <v>0</v>
      </c>
      <c r="BW964" s="29">
        <f t="shared" si="192"/>
        <v>0</v>
      </c>
      <c r="BX964" s="29">
        <f t="shared" si="192"/>
        <v>0</v>
      </c>
      <c r="BY964" s="29">
        <f t="shared" ref="BY964:CI964" si="193">SUM(BY915:BY963)</f>
        <v>0</v>
      </c>
      <c r="BZ964" s="29">
        <f t="shared" si="193"/>
        <v>0</v>
      </c>
      <c r="CA964" s="29">
        <f t="shared" si="193"/>
        <v>0</v>
      </c>
      <c r="CB964" s="29">
        <f t="shared" si="193"/>
        <v>0</v>
      </c>
      <c r="CC964" s="29">
        <f t="shared" si="193"/>
        <v>0</v>
      </c>
      <c r="CD964" s="29">
        <f t="shared" si="193"/>
        <v>0</v>
      </c>
      <c r="CE964" s="29">
        <f t="shared" si="193"/>
        <v>0</v>
      </c>
      <c r="CF964" s="29">
        <f t="shared" si="193"/>
        <v>0</v>
      </c>
      <c r="CG964" s="29">
        <f t="shared" si="193"/>
        <v>22.79</v>
      </c>
      <c r="CH964" s="29">
        <f t="shared" si="193"/>
        <v>2880362.1199999992</v>
      </c>
      <c r="CI964" s="29">
        <f t="shared" si="193"/>
        <v>0</v>
      </c>
      <c r="CK964" s="29">
        <f t="shared" ref="CK964:CN964" si="194">SUM(CK915:CK963)</f>
        <v>0</v>
      </c>
      <c r="CL964" s="29">
        <f t="shared" si="194"/>
        <v>0</v>
      </c>
      <c r="CM964" s="29">
        <f t="shared" si="194"/>
        <v>0</v>
      </c>
      <c r="CN964" s="29">
        <f t="shared" si="194"/>
        <v>0</v>
      </c>
    </row>
    <row r="965" spans="1:92" x14ac:dyDescent="0.25">
      <c r="C965" s="17" t="s">
        <v>503</v>
      </c>
      <c r="D965" s="17">
        <v>19005</v>
      </c>
      <c r="E965" s="17">
        <v>11409</v>
      </c>
      <c r="F965" s="3" t="s">
        <v>121</v>
      </c>
      <c r="G965" s="3" t="str">
        <f>+G913</f>
        <v>مكافاه سكاشن ليليه ابريل مؤقتين</v>
      </c>
      <c r="I965" s="3">
        <v>1172.5</v>
      </c>
      <c r="AU965" s="22">
        <f t="shared" ref="AU965:AU996" si="195">SUM(I965:AS965)</f>
        <v>1172.5</v>
      </c>
      <c r="AV965" s="3">
        <v>784.1</v>
      </c>
      <c r="AW965" s="3">
        <v>105.9</v>
      </c>
      <c r="AX965" s="3">
        <v>282.5</v>
      </c>
      <c r="CH965" s="22">
        <f t="shared" si="186"/>
        <v>1172.5</v>
      </c>
      <c r="CI965" s="3">
        <f t="shared" si="187"/>
        <v>0</v>
      </c>
      <c r="CJ965" s="17">
        <f t="shared" si="188"/>
        <v>11409</v>
      </c>
      <c r="CK965" s="3" t="str">
        <f t="shared" si="189"/>
        <v>ماليزى اسنان</v>
      </c>
    </row>
    <row r="966" spans="1:92" x14ac:dyDescent="0.25">
      <c r="C966" s="17" t="s">
        <v>503</v>
      </c>
      <c r="D966" s="17">
        <v>19003</v>
      </c>
      <c r="E966" s="17">
        <v>11410</v>
      </c>
      <c r="F966" s="3" t="s">
        <v>121</v>
      </c>
      <c r="G966" s="3" t="s">
        <v>525</v>
      </c>
      <c r="I966" s="3">
        <v>4000</v>
      </c>
      <c r="AU966" s="22">
        <f t="shared" si="195"/>
        <v>4000</v>
      </c>
      <c r="AV966" s="3">
        <v>3570.35</v>
      </c>
      <c r="AW966" s="3">
        <v>429.65</v>
      </c>
      <c r="CH966" s="22">
        <f t="shared" si="186"/>
        <v>4000</v>
      </c>
      <c r="CI966" s="3">
        <f t="shared" si="187"/>
        <v>0</v>
      </c>
      <c r="CJ966" s="17">
        <f t="shared" si="188"/>
        <v>11410</v>
      </c>
      <c r="CK966" s="3" t="str">
        <f t="shared" si="189"/>
        <v>ماليزى اسنان</v>
      </c>
    </row>
    <row r="967" spans="1:92" x14ac:dyDescent="0.25">
      <c r="C967" s="17" t="s">
        <v>503</v>
      </c>
      <c r="D967" s="17">
        <v>18997</v>
      </c>
      <c r="E967" s="17">
        <v>11411</v>
      </c>
      <c r="F967" s="3" t="s">
        <v>121</v>
      </c>
      <c r="G967" s="3" t="s">
        <v>526</v>
      </c>
      <c r="I967" s="3">
        <v>4000</v>
      </c>
      <c r="AU967" s="22">
        <f t="shared" si="195"/>
        <v>4000</v>
      </c>
      <c r="AV967" s="3">
        <v>3570.35</v>
      </c>
      <c r="AW967" s="3">
        <v>429.65</v>
      </c>
      <c r="CH967" s="22">
        <f t="shared" si="186"/>
        <v>4000</v>
      </c>
      <c r="CI967" s="3">
        <f t="shared" si="187"/>
        <v>0</v>
      </c>
      <c r="CJ967" s="17">
        <f t="shared" si="188"/>
        <v>11411</v>
      </c>
      <c r="CK967" s="3" t="str">
        <f t="shared" si="189"/>
        <v>ماليزى اسنان</v>
      </c>
    </row>
    <row r="968" spans="1:92" x14ac:dyDescent="0.25">
      <c r="C968" s="17" t="s">
        <v>503</v>
      </c>
      <c r="D968" s="17">
        <v>19001</v>
      </c>
      <c r="E968" s="17">
        <v>11412</v>
      </c>
      <c r="F968" s="3" t="s">
        <v>121</v>
      </c>
      <c r="G968" s="3" t="s">
        <v>527</v>
      </c>
      <c r="I968" s="3">
        <v>4165.75</v>
      </c>
      <c r="AU968" s="22">
        <f t="shared" si="195"/>
        <v>4165.75</v>
      </c>
      <c r="AV968" s="3">
        <v>3010.45</v>
      </c>
      <c r="AW968" s="3">
        <v>392.55</v>
      </c>
      <c r="AX968" s="3">
        <v>762.75</v>
      </c>
      <c r="CH968" s="22">
        <f t="shared" si="186"/>
        <v>4165.75</v>
      </c>
      <c r="CI968" s="3">
        <f t="shared" si="187"/>
        <v>0</v>
      </c>
      <c r="CJ968" s="17">
        <f t="shared" si="188"/>
        <v>11412</v>
      </c>
      <c r="CK968" s="3" t="str">
        <f t="shared" si="189"/>
        <v>ماليزى اسنان</v>
      </c>
    </row>
    <row r="969" spans="1:92" x14ac:dyDescent="0.25">
      <c r="C969" s="17" t="s">
        <v>503</v>
      </c>
      <c r="D969" s="17">
        <v>19000</v>
      </c>
      <c r="E969" s="17">
        <v>11413</v>
      </c>
      <c r="F969" s="3" t="s">
        <v>121</v>
      </c>
      <c r="G969" s="3" t="s">
        <v>528</v>
      </c>
      <c r="I969" s="3">
        <v>14480.37</v>
      </c>
      <c r="AU969" s="22">
        <f t="shared" si="195"/>
        <v>14480.37</v>
      </c>
      <c r="AV969" s="3">
        <v>9683.75</v>
      </c>
      <c r="AW969" s="3">
        <v>1307.75</v>
      </c>
      <c r="AX969" s="3">
        <v>3488.87</v>
      </c>
      <c r="CH969" s="22">
        <f t="shared" si="186"/>
        <v>14480.369999999999</v>
      </c>
      <c r="CI969" s="3">
        <f t="shared" si="187"/>
        <v>0</v>
      </c>
      <c r="CJ969" s="17">
        <f t="shared" si="188"/>
        <v>11413</v>
      </c>
      <c r="CK969" s="3" t="str">
        <f t="shared" si="189"/>
        <v>ماليزى اسنان</v>
      </c>
    </row>
    <row r="970" spans="1:92" x14ac:dyDescent="0.25">
      <c r="C970" s="17" t="s">
        <v>503</v>
      </c>
      <c r="D970" s="17">
        <v>18996</v>
      </c>
      <c r="E970" s="17">
        <v>11414</v>
      </c>
      <c r="F970" s="3" t="s">
        <v>121</v>
      </c>
      <c r="G970" s="3" t="s">
        <v>529</v>
      </c>
      <c r="I970" s="3">
        <v>2030.51</v>
      </c>
      <c r="AU970" s="22">
        <f t="shared" si="195"/>
        <v>2030.51</v>
      </c>
      <c r="AV970" s="3">
        <v>1460.96</v>
      </c>
      <c r="AW970" s="3">
        <v>192.05</v>
      </c>
      <c r="AX970" s="3">
        <v>377.5</v>
      </c>
      <c r="CH970" s="22">
        <f t="shared" ref="CH970:CH1001" si="196">SUM(AV970:CG970)</f>
        <v>2030.51</v>
      </c>
      <c r="CI970" s="3">
        <f t="shared" ref="CI970:CI1001" si="197">+CH970-AU970</f>
        <v>0</v>
      </c>
      <c r="CJ970" s="17">
        <f t="shared" ref="CJ970:CJ1001" si="198">+E970</f>
        <v>11414</v>
      </c>
      <c r="CK970" s="3" t="str">
        <f t="shared" ref="CK970:CK1001" si="199">+F970</f>
        <v>ماليزى اسنان</v>
      </c>
    </row>
    <row r="971" spans="1:92" x14ac:dyDescent="0.25">
      <c r="C971" s="17" t="s">
        <v>503</v>
      </c>
      <c r="D971" s="17">
        <v>18995</v>
      </c>
      <c r="E971" s="17">
        <v>11415</v>
      </c>
      <c r="F971" s="3" t="s">
        <v>121</v>
      </c>
      <c r="G971" s="3" t="s">
        <v>530</v>
      </c>
      <c r="I971" s="3">
        <v>1172.5</v>
      </c>
      <c r="AU971" s="22">
        <f t="shared" si="195"/>
        <v>1172.5</v>
      </c>
      <c r="AV971" s="3">
        <v>784.1</v>
      </c>
      <c r="AW971" s="3">
        <v>105.9</v>
      </c>
      <c r="AX971" s="3">
        <v>282.5</v>
      </c>
      <c r="CH971" s="22">
        <f t="shared" si="196"/>
        <v>1172.5</v>
      </c>
      <c r="CI971" s="3">
        <f t="shared" si="197"/>
        <v>0</v>
      </c>
      <c r="CJ971" s="17">
        <f t="shared" si="198"/>
        <v>11415</v>
      </c>
      <c r="CK971" s="3" t="str">
        <f t="shared" si="199"/>
        <v>ماليزى اسنان</v>
      </c>
    </row>
    <row r="972" spans="1:92" x14ac:dyDescent="0.25">
      <c r="C972" s="17" t="s">
        <v>503</v>
      </c>
      <c r="D972" s="17">
        <v>18994</v>
      </c>
      <c r="E972" s="17">
        <v>11416</v>
      </c>
      <c r="F972" s="3" t="s">
        <v>121</v>
      </c>
      <c r="G972" s="3" t="s">
        <v>531</v>
      </c>
      <c r="I972" s="3">
        <v>1172.5</v>
      </c>
      <c r="AU972" s="22">
        <f t="shared" si="195"/>
        <v>1172.5</v>
      </c>
      <c r="AV972" s="3">
        <v>784.1</v>
      </c>
      <c r="AW972" s="3">
        <v>105.9</v>
      </c>
      <c r="AX972" s="3">
        <v>282.5</v>
      </c>
      <c r="CH972" s="22">
        <f t="shared" si="196"/>
        <v>1172.5</v>
      </c>
      <c r="CI972" s="3">
        <f t="shared" si="197"/>
        <v>0</v>
      </c>
      <c r="CJ972" s="17">
        <f t="shared" si="198"/>
        <v>11416</v>
      </c>
      <c r="CK972" s="3" t="str">
        <f t="shared" si="199"/>
        <v>ماليزى اسنان</v>
      </c>
    </row>
    <row r="973" spans="1:92" x14ac:dyDescent="0.25">
      <c r="C973" s="17" t="s">
        <v>503</v>
      </c>
      <c r="D973" s="17">
        <v>18993</v>
      </c>
      <c r="E973" s="17">
        <v>11417</v>
      </c>
      <c r="F973" s="3" t="s">
        <v>121</v>
      </c>
      <c r="G973" s="3" t="s">
        <v>532</v>
      </c>
      <c r="I973" s="3">
        <v>7504</v>
      </c>
      <c r="AU973" s="22">
        <f t="shared" si="195"/>
        <v>7504</v>
      </c>
      <c r="AV973" s="3">
        <v>5014.3500000000004</v>
      </c>
      <c r="AW973" s="3">
        <v>681.65</v>
      </c>
      <c r="AX973" s="3">
        <v>1808</v>
      </c>
      <c r="CH973" s="22">
        <f t="shared" si="196"/>
        <v>7504</v>
      </c>
      <c r="CI973" s="3">
        <f t="shared" si="197"/>
        <v>0</v>
      </c>
      <c r="CJ973" s="17">
        <f t="shared" si="198"/>
        <v>11417</v>
      </c>
      <c r="CK973" s="3" t="str">
        <f t="shared" si="199"/>
        <v>ماليزى اسنان</v>
      </c>
    </row>
    <row r="974" spans="1:92" x14ac:dyDescent="0.25">
      <c r="C974" s="17" t="s">
        <v>503</v>
      </c>
      <c r="D974" s="17">
        <v>18990</v>
      </c>
      <c r="E974" s="17">
        <v>11418</v>
      </c>
      <c r="F974" s="3" t="s">
        <v>121</v>
      </c>
      <c r="G974" s="3" t="s">
        <v>533</v>
      </c>
      <c r="I974" s="3">
        <v>2110.5</v>
      </c>
      <c r="AU974" s="22">
        <f t="shared" si="195"/>
        <v>2110.5</v>
      </c>
      <c r="AV974" s="3">
        <v>1411.8</v>
      </c>
      <c r="AW974" s="3">
        <v>190.2</v>
      </c>
      <c r="AX974" s="3">
        <v>508.5</v>
      </c>
      <c r="CH974" s="22">
        <f t="shared" si="196"/>
        <v>2110.5</v>
      </c>
      <c r="CI974" s="3">
        <f t="shared" si="197"/>
        <v>0</v>
      </c>
      <c r="CJ974" s="17">
        <f t="shared" si="198"/>
        <v>11418</v>
      </c>
      <c r="CK974" s="3" t="str">
        <f t="shared" si="199"/>
        <v>ماليزى اسنان</v>
      </c>
    </row>
    <row r="975" spans="1:92" x14ac:dyDescent="0.25">
      <c r="C975" s="17" t="s">
        <v>503</v>
      </c>
      <c r="D975" s="17">
        <v>18991</v>
      </c>
      <c r="E975" s="17">
        <v>11419</v>
      </c>
      <c r="F975" s="3" t="s">
        <v>121</v>
      </c>
      <c r="G975" s="3" t="s">
        <v>534</v>
      </c>
      <c r="I975" s="3">
        <v>800</v>
      </c>
      <c r="AU975" s="22">
        <f t="shared" si="195"/>
        <v>800</v>
      </c>
      <c r="AV975" s="3">
        <v>714.75</v>
      </c>
      <c r="AW975" s="3">
        <v>85.25</v>
      </c>
      <c r="CH975" s="22">
        <f t="shared" si="196"/>
        <v>800</v>
      </c>
      <c r="CI975" s="3">
        <f t="shared" si="197"/>
        <v>0</v>
      </c>
      <c r="CJ975" s="17">
        <f t="shared" si="198"/>
        <v>11419</v>
      </c>
      <c r="CK975" s="3" t="str">
        <f t="shared" si="199"/>
        <v>ماليزى اسنان</v>
      </c>
    </row>
    <row r="976" spans="1:92" x14ac:dyDescent="0.25">
      <c r="C976" s="17" t="s">
        <v>503</v>
      </c>
      <c r="D976" s="17">
        <v>18992</v>
      </c>
      <c r="E976" s="17">
        <v>11420</v>
      </c>
      <c r="F976" s="3" t="s">
        <v>121</v>
      </c>
      <c r="G976" s="3" t="s">
        <v>535</v>
      </c>
      <c r="I976" s="3">
        <v>1172.5</v>
      </c>
      <c r="AU976" s="22">
        <f t="shared" si="195"/>
        <v>1172.5</v>
      </c>
      <c r="AV976" s="3">
        <v>784.1</v>
      </c>
      <c r="AW976" s="3">
        <v>105.9</v>
      </c>
      <c r="AX976" s="3">
        <v>282.5</v>
      </c>
      <c r="CH976" s="22">
        <f t="shared" si="196"/>
        <v>1172.5</v>
      </c>
      <c r="CI976" s="3">
        <f t="shared" si="197"/>
        <v>0</v>
      </c>
      <c r="CJ976" s="17">
        <f t="shared" si="198"/>
        <v>11420</v>
      </c>
      <c r="CK976" s="3" t="str">
        <f t="shared" si="199"/>
        <v>ماليزى اسنان</v>
      </c>
    </row>
    <row r="977" spans="3:89" x14ac:dyDescent="0.25">
      <c r="C977" s="17" t="s">
        <v>503</v>
      </c>
      <c r="D977" s="17">
        <v>18989</v>
      </c>
      <c r="E977" s="17">
        <v>11421</v>
      </c>
      <c r="F977" s="3" t="s">
        <v>121</v>
      </c>
      <c r="G977" s="3" t="str">
        <f>+G907</f>
        <v>مكافاه تدريس ثانيه</v>
      </c>
      <c r="I977" s="3">
        <v>105960.06</v>
      </c>
      <c r="AU977" s="22">
        <f t="shared" si="195"/>
        <v>105960.06</v>
      </c>
      <c r="AV977" s="3">
        <v>94013.63</v>
      </c>
      <c r="AW977" s="3">
        <v>11307.65</v>
      </c>
      <c r="AX977" s="3">
        <v>638.78</v>
      </c>
      <c r="CH977" s="22">
        <f t="shared" si="196"/>
        <v>105960.06</v>
      </c>
      <c r="CI977" s="3">
        <f t="shared" si="197"/>
        <v>0</v>
      </c>
      <c r="CJ977" s="17">
        <f t="shared" si="198"/>
        <v>11421</v>
      </c>
      <c r="CK977" s="3" t="str">
        <f t="shared" si="199"/>
        <v>ماليزى اسنان</v>
      </c>
    </row>
    <row r="978" spans="3:89" x14ac:dyDescent="0.25">
      <c r="C978" s="17" t="s">
        <v>503</v>
      </c>
      <c r="D978" s="17">
        <v>18978</v>
      </c>
      <c r="E978" s="17">
        <v>11422</v>
      </c>
      <c r="F978" s="3" t="s">
        <v>121</v>
      </c>
      <c r="G978" s="3" t="s">
        <v>536</v>
      </c>
      <c r="I978" s="3">
        <v>1758.76</v>
      </c>
      <c r="AU978" s="22">
        <f t="shared" si="195"/>
        <v>1758.76</v>
      </c>
      <c r="AV978" s="3">
        <v>1176.95</v>
      </c>
      <c r="AW978" s="3">
        <v>158.05000000000001</v>
      </c>
      <c r="AX978" s="3">
        <v>423.76</v>
      </c>
      <c r="CH978" s="22">
        <f t="shared" si="196"/>
        <v>1758.76</v>
      </c>
      <c r="CI978" s="3">
        <f t="shared" si="197"/>
        <v>0</v>
      </c>
      <c r="CJ978" s="17">
        <f t="shared" si="198"/>
        <v>11422</v>
      </c>
      <c r="CK978" s="3" t="str">
        <f t="shared" si="199"/>
        <v>ماليزى اسنان</v>
      </c>
    </row>
    <row r="979" spans="3:89" x14ac:dyDescent="0.25">
      <c r="C979" s="17" t="s">
        <v>503</v>
      </c>
      <c r="D979" s="17">
        <v>18980</v>
      </c>
      <c r="E979" s="17">
        <v>11423</v>
      </c>
      <c r="F979" s="3" t="s">
        <v>121</v>
      </c>
      <c r="G979" s="3" t="s">
        <v>536</v>
      </c>
      <c r="I979" s="3">
        <v>3127.74</v>
      </c>
      <c r="AU979" s="22">
        <f t="shared" si="195"/>
        <v>3127.74</v>
      </c>
      <c r="AV979" s="3">
        <v>2296.3000000000002</v>
      </c>
      <c r="AW979" s="3">
        <v>294.7</v>
      </c>
      <c r="AX979" s="3">
        <v>536.74</v>
      </c>
      <c r="CH979" s="22">
        <f t="shared" si="196"/>
        <v>3127.74</v>
      </c>
      <c r="CI979" s="3">
        <f t="shared" si="197"/>
        <v>0</v>
      </c>
      <c r="CJ979" s="17">
        <f t="shared" si="198"/>
        <v>11423</v>
      </c>
      <c r="CK979" s="3" t="str">
        <f t="shared" si="199"/>
        <v>ماليزى اسنان</v>
      </c>
    </row>
    <row r="980" spans="3:89" x14ac:dyDescent="0.25">
      <c r="C980" s="17" t="s">
        <v>503</v>
      </c>
      <c r="D980" s="17">
        <v>18979</v>
      </c>
      <c r="E980" s="17">
        <v>11424</v>
      </c>
      <c r="F980" s="3" t="s">
        <v>121</v>
      </c>
      <c r="G980" s="3" t="s">
        <v>537</v>
      </c>
      <c r="I980" s="3">
        <v>2239.0700000000002</v>
      </c>
      <c r="AU980" s="22">
        <f t="shared" si="195"/>
        <v>2239.0700000000002</v>
      </c>
      <c r="AV980" s="3">
        <v>1634.05</v>
      </c>
      <c r="AW980" s="3">
        <v>213.5</v>
      </c>
      <c r="AX980" s="3">
        <v>391.52</v>
      </c>
      <c r="CH980" s="22">
        <f t="shared" si="196"/>
        <v>2239.0699999999997</v>
      </c>
      <c r="CI980" s="3">
        <f t="shared" si="197"/>
        <v>0</v>
      </c>
      <c r="CJ980" s="17">
        <f t="shared" si="198"/>
        <v>11424</v>
      </c>
      <c r="CK980" s="3" t="str">
        <f t="shared" si="199"/>
        <v>ماليزى اسنان</v>
      </c>
    </row>
    <row r="981" spans="3:89" x14ac:dyDescent="0.25">
      <c r="C981" s="17" t="s">
        <v>503</v>
      </c>
      <c r="D981" s="17">
        <v>18988</v>
      </c>
      <c r="E981" s="17">
        <v>11425</v>
      </c>
      <c r="F981" s="3" t="s">
        <v>121</v>
      </c>
      <c r="G981" s="3" t="s">
        <v>537</v>
      </c>
      <c r="I981" s="3">
        <v>1100</v>
      </c>
      <c r="AU981" s="22">
        <f t="shared" si="195"/>
        <v>1100</v>
      </c>
      <c r="AV981" s="3">
        <v>982.1</v>
      </c>
      <c r="AW981" s="3">
        <v>117.9</v>
      </c>
      <c r="CH981" s="22">
        <f t="shared" si="196"/>
        <v>1100</v>
      </c>
      <c r="CI981" s="3">
        <f t="shared" si="197"/>
        <v>0</v>
      </c>
      <c r="CJ981" s="17">
        <f t="shared" si="198"/>
        <v>11425</v>
      </c>
      <c r="CK981" s="3" t="str">
        <f t="shared" si="199"/>
        <v>ماليزى اسنان</v>
      </c>
    </row>
    <row r="982" spans="3:89" x14ac:dyDescent="0.25">
      <c r="C982" s="17" t="s">
        <v>503</v>
      </c>
      <c r="D982" s="17">
        <v>18986</v>
      </c>
      <c r="E982" s="17">
        <v>11426</v>
      </c>
      <c r="F982" s="3" t="s">
        <v>121</v>
      </c>
      <c r="G982" s="3" t="s">
        <v>538</v>
      </c>
      <c r="I982" s="3">
        <v>2903.5</v>
      </c>
      <c r="AU982" s="22">
        <f t="shared" si="195"/>
        <v>2903.5</v>
      </c>
      <c r="AV982" s="3">
        <v>2436.25</v>
      </c>
      <c r="AW982" s="3">
        <v>297.75</v>
      </c>
      <c r="AX982" s="3">
        <v>169.5</v>
      </c>
      <c r="CH982" s="22">
        <f t="shared" si="196"/>
        <v>2903.5</v>
      </c>
      <c r="CI982" s="3">
        <f t="shared" si="197"/>
        <v>0</v>
      </c>
      <c r="CJ982" s="17">
        <f t="shared" si="198"/>
        <v>11426</v>
      </c>
      <c r="CK982" s="3" t="str">
        <f t="shared" si="199"/>
        <v>ماليزى اسنان</v>
      </c>
    </row>
    <row r="983" spans="3:89" x14ac:dyDescent="0.25">
      <c r="C983" s="17" t="s">
        <v>503</v>
      </c>
      <c r="D983" s="17">
        <v>18987</v>
      </c>
      <c r="E983" s="17">
        <v>11427</v>
      </c>
      <c r="F983" s="3" t="s">
        <v>121</v>
      </c>
      <c r="G983" s="3" t="s">
        <v>539</v>
      </c>
      <c r="I983" s="3">
        <v>3869.26</v>
      </c>
      <c r="AU983" s="22">
        <f t="shared" si="195"/>
        <v>3869.26</v>
      </c>
      <c r="AV983" s="3">
        <v>2588.1</v>
      </c>
      <c r="AW983" s="3">
        <v>348.9</v>
      </c>
      <c r="AX983" s="3">
        <v>932.26</v>
      </c>
      <c r="CH983" s="22">
        <f t="shared" si="196"/>
        <v>3869.26</v>
      </c>
      <c r="CI983" s="3">
        <f t="shared" si="197"/>
        <v>0</v>
      </c>
      <c r="CJ983" s="17">
        <f t="shared" si="198"/>
        <v>11427</v>
      </c>
      <c r="CK983" s="3" t="str">
        <f t="shared" si="199"/>
        <v>ماليزى اسنان</v>
      </c>
    </row>
    <row r="984" spans="3:89" x14ac:dyDescent="0.25">
      <c r="C984" s="17" t="s">
        <v>503</v>
      </c>
      <c r="D984" s="17">
        <v>18973</v>
      </c>
      <c r="E984" s="17">
        <v>11428</v>
      </c>
      <c r="F984" s="3" t="s">
        <v>121</v>
      </c>
      <c r="G984" s="3" t="s">
        <v>540</v>
      </c>
      <c r="H984" s="3"/>
      <c r="I984" s="3">
        <v>6000</v>
      </c>
      <c r="AU984" s="22">
        <f t="shared" si="195"/>
        <v>6000</v>
      </c>
      <c r="AV984" s="3">
        <v>5355.7</v>
      </c>
      <c r="AW984" s="3">
        <v>644.29999999999995</v>
      </c>
      <c r="CH984" s="22">
        <f t="shared" si="196"/>
        <v>6000</v>
      </c>
      <c r="CI984" s="3">
        <f t="shared" si="197"/>
        <v>0</v>
      </c>
      <c r="CJ984" s="17">
        <f t="shared" si="198"/>
        <v>11428</v>
      </c>
      <c r="CK984" s="3" t="str">
        <f t="shared" si="199"/>
        <v>ماليزى اسنان</v>
      </c>
    </row>
    <row r="985" spans="3:89" x14ac:dyDescent="0.25">
      <c r="C985" s="17" t="s">
        <v>503</v>
      </c>
      <c r="D985" s="17">
        <v>18974</v>
      </c>
      <c r="E985" s="17">
        <v>11429</v>
      </c>
      <c r="F985" s="3" t="s">
        <v>121</v>
      </c>
      <c r="G985" s="3" t="s">
        <v>541</v>
      </c>
      <c r="I985" s="3">
        <v>2500</v>
      </c>
      <c r="AU985" s="22">
        <f t="shared" si="195"/>
        <v>2500</v>
      </c>
      <c r="AV985" s="3">
        <v>2231.6</v>
      </c>
      <c r="AW985" s="3">
        <v>268.39999999999998</v>
      </c>
      <c r="CH985" s="22">
        <f t="shared" si="196"/>
        <v>2500</v>
      </c>
      <c r="CI985" s="3">
        <f t="shared" si="197"/>
        <v>0</v>
      </c>
      <c r="CJ985" s="17">
        <f t="shared" si="198"/>
        <v>11429</v>
      </c>
      <c r="CK985" s="3" t="str">
        <f t="shared" si="199"/>
        <v>ماليزى اسنان</v>
      </c>
    </row>
    <row r="986" spans="3:89" x14ac:dyDescent="0.25">
      <c r="C986" s="17" t="s">
        <v>503</v>
      </c>
      <c r="D986" s="17">
        <v>19054</v>
      </c>
      <c r="E986" s="17">
        <v>11430</v>
      </c>
      <c r="F986" s="3" t="s">
        <v>121</v>
      </c>
      <c r="G986" s="3" t="s">
        <v>542</v>
      </c>
      <c r="I986" s="3">
        <v>8697.1200000000008</v>
      </c>
      <c r="AU986" s="22">
        <f t="shared" si="195"/>
        <v>8697.1200000000008</v>
      </c>
      <c r="AV986" s="3">
        <v>6699.86</v>
      </c>
      <c r="AW986" s="3">
        <v>855.6</v>
      </c>
      <c r="AX986" s="3">
        <v>1141.6600000000001</v>
      </c>
      <c r="CH986" s="22">
        <f t="shared" si="196"/>
        <v>8697.1200000000008</v>
      </c>
      <c r="CI986" s="3">
        <f t="shared" si="197"/>
        <v>0</v>
      </c>
      <c r="CJ986" s="17">
        <f t="shared" si="198"/>
        <v>11430</v>
      </c>
      <c r="CK986" s="3" t="str">
        <f t="shared" si="199"/>
        <v>ماليزى اسنان</v>
      </c>
    </row>
    <row r="987" spans="3:89" x14ac:dyDescent="0.25">
      <c r="C987" s="17" t="s">
        <v>503</v>
      </c>
      <c r="D987" s="17">
        <v>18972</v>
      </c>
      <c r="E987" s="17">
        <v>11431</v>
      </c>
      <c r="F987" s="3" t="s">
        <v>121</v>
      </c>
      <c r="G987" s="3" t="str">
        <f>+G984</f>
        <v>ج التعليم الالكترونى ربيع ا ه ت</v>
      </c>
      <c r="I987" s="3">
        <v>8000</v>
      </c>
      <c r="AU987" s="22">
        <f t="shared" si="195"/>
        <v>8000</v>
      </c>
      <c r="AV987" s="3">
        <v>7141.05</v>
      </c>
      <c r="AW987" s="3">
        <v>858.95</v>
      </c>
      <c r="CH987" s="22">
        <f t="shared" si="196"/>
        <v>8000</v>
      </c>
      <c r="CI987" s="3">
        <f t="shared" si="197"/>
        <v>0</v>
      </c>
      <c r="CJ987" s="17">
        <f t="shared" si="198"/>
        <v>11431</v>
      </c>
      <c r="CK987" s="3" t="str">
        <f t="shared" si="199"/>
        <v>ماليزى اسنان</v>
      </c>
    </row>
    <row r="988" spans="3:89" x14ac:dyDescent="0.25">
      <c r="C988" s="17" t="s">
        <v>503</v>
      </c>
      <c r="D988" s="17">
        <v>19029</v>
      </c>
      <c r="E988" s="17">
        <v>11432</v>
      </c>
      <c r="F988" s="3" t="s">
        <v>121</v>
      </c>
      <c r="G988" s="3" t="s">
        <v>543</v>
      </c>
      <c r="I988" s="3">
        <v>879.38</v>
      </c>
      <c r="AU988" s="22">
        <f t="shared" si="195"/>
        <v>879.38</v>
      </c>
      <c r="AV988" s="3">
        <v>588.15</v>
      </c>
      <c r="AW988" s="3">
        <v>79.349999999999994</v>
      </c>
      <c r="AX988" s="3">
        <v>211.88</v>
      </c>
      <c r="CH988" s="22">
        <f t="shared" si="196"/>
        <v>879.38</v>
      </c>
      <c r="CI988" s="3">
        <f t="shared" si="197"/>
        <v>0</v>
      </c>
      <c r="CJ988" s="17">
        <f t="shared" si="198"/>
        <v>11432</v>
      </c>
      <c r="CK988" s="3" t="str">
        <f t="shared" si="199"/>
        <v>ماليزى اسنان</v>
      </c>
    </row>
    <row r="989" spans="3:89" x14ac:dyDescent="0.25">
      <c r="C989" s="17" t="s">
        <v>503</v>
      </c>
      <c r="D989" s="17">
        <v>19030</v>
      </c>
      <c r="E989" s="17">
        <v>11433</v>
      </c>
      <c r="F989" s="3" t="s">
        <v>121</v>
      </c>
      <c r="G989" s="3" t="s">
        <v>544</v>
      </c>
      <c r="I989" s="3">
        <v>2430.62</v>
      </c>
      <c r="AU989" s="22">
        <f t="shared" si="195"/>
        <v>2430.62</v>
      </c>
      <c r="AV989" s="3">
        <v>1895.88</v>
      </c>
      <c r="AW989" s="3">
        <v>238.95</v>
      </c>
      <c r="AX989" s="3">
        <v>295.79000000000002</v>
      </c>
      <c r="CH989" s="22">
        <f t="shared" si="196"/>
        <v>2430.62</v>
      </c>
      <c r="CI989" s="3">
        <f t="shared" si="197"/>
        <v>0</v>
      </c>
      <c r="CJ989" s="17">
        <f t="shared" si="198"/>
        <v>11433</v>
      </c>
      <c r="CK989" s="3" t="str">
        <f t="shared" si="199"/>
        <v>ماليزى اسنان</v>
      </c>
    </row>
    <row r="990" spans="3:89" x14ac:dyDescent="0.25">
      <c r="C990" s="17" t="s">
        <v>503</v>
      </c>
      <c r="D990" s="17">
        <v>19027</v>
      </c>
      <c r="E990" s="17">
        <v>11434</v>
      </c>
      <c r="F990" s="3" t="s">
        <v>121</v>
      </c>
      <c r="G990" s="3" t="s">
        <v>545</v>
      </c>
      <c r="I990" s="3">
        <v>2814</v>
      </c>
      <c r="AU990" s="22">
        <f t="shared" si="195"/>
        <v>2814</v>
      </c>
      <c r="AV990" s="3">
        <v>1884</v>
      </c>
      <c r="AW990" s="3">
        <v>252</v>
      </c>
      <c r="AX990" s="3">
        <v>678</v>
      </c>
      <c r="CH990" s="22">
        <f t="shared" si="196"/>
        <v>2814</v>
      </c>
      <c r="CI990" s="3">
        <f t="shared" si="197"/>
        <v>0</v>
      </c>
      <c r="CJ990" s="17">
        <f t="shared" si="198"/>
        <v>11434</v>
      </c>
      <c r="CK990" s="3" t="str">
        <f t="shared" si="199"/>
        <v>ماليزى اسنان</v>
      </c>
    </row>
    <row r="991" spans="3:89" x14ac:dyDescent="0.25">
      <c r="C991" s="17" t="s">
        <v>503</v>
      </c>
      <c r="D991" s="17">
        <v>19028</v>
      </c>
      <c r="E991" s="17">
        <v>11435</v>
      </c>
      <c r="F991" s="3" t="s">
        <v>121</v>
      </c>
      <c r="G991" s="3" t="s">
        <v>546</v>
      </c>
      <c r="I991" s="3">
        <v>1465.62</v>
      </c>
      <c r="AU991" s="22">
        <f t="shared" si="195"/>
        <v>1465.62</v>
      </c>
      <c r="AV991" s="3">
        <v>979.5</v>
      </c>
      <c r="AW991" s="3">
        <v>133</v>
      </c>
      <c r="AX991" s="3">
        <v>353.12</v>
      </c>
      <c r="CH991" s="22">
        <f t="shared" si="196"/>
        <v>1465.62</v>
      </c>
      <c r="CI991" s="3">
        <f t="shared" si="197"/>
        <v>0</v>
      </c>
      <c r="CJ991" s="17">
        <f t="shared" si="198"/>
        <v>11435</v>
      </c>
      <c r="CK991" s="3" t="str">
        <f t="shared" si="199"/>
        <v>ماليزى اسنان</v>
      </c>
    </row>
    <row r="992" spans="3:89" x14ac:dyDescent="0.25">
      <c r="C992" s="17" t="s">
        <v>503</v>
      </c>
      <c r="D992" s="17">
        <v>19026</v>
      </c>
      <c r="E992" s="17">
        <v>11436</v>
      </c>
      <c r="F992" s="3" t="s">
        <v>121</v>
      </c>
      <c r="G992" s="3" t="s">
        <v>547</v>
      </c>
      <c r="I992" s="3">
        <v>6185.75</v>
      </c>
      <c r="AU992" s="22">
        <f t="shared" si="195"/>
        <v>6185.75</v>
      </c>
      <c r="AV992" s="3">
        <v>4472.62</v>
      </c>
      <c r="AW992" s="3">
        <v>590.1</v>
      </c>
      <c r="AX992" s="3">
        <v>1123.03</v>
      </c>
      <c r="CH992" s="22">
        <f t="shared" si="196"/>
        <v>6185.75</v>
      </c>
      <c r="CI992" s="3">
        <f t="shared" si="197"/>
        <v>0</v>
      </c>
      <c r="CJ992" s="17">
        <f t="shared" si="198"/>
        <v>11436</v>
      </c>
      <c r="CK992" s="3" t="str">
        <f t="shared" si="199"/>
        <v>ماليزى اسنان</v>
      </c>
    </row>
    <row r="993" spans="2:89" x14ac:dyDescent="0.25">
      <c r="C993" s="17" t="s">
        <v>503</v>
      </c>
      <c r="D993" s="17">
        <v>19025</v>
      </c>
      <c r="E993" s="17">
        <v>11437</v>
      </c>
      <c r="F993" s="3" t="s">
        <v>121</v>
      </c>
      <c r="G993" s="3" t="s">
        <v>547</v>
      </c>
      <c r="I993" s="3">
        <v>6045</v>
      </c>
      <c r="AU993" s="22">
        <f t="shared" si="195"/>
        <v>6045</v>
      </c>
      <c r="AV993" s="3">
        <v>4869.95</v>
      </c>
      <c r="AW993" s="3">
        <v>610.04999999999995</v>
      </c>
      <c r="AX993" s="3">
        <v>565</v>
      </c>
      <c r="CH993" s="22">
        <f t="shared" si="196"/>
        <v>6045</v>
      </c>
      <c r="CI993" s="3">
        <f t="shared" si="197"/>
        <v>0</v>
      </c>
      <c r="CJ993" s="17">
        <f t="shared" si="198"/>
        <v>11437</v>
      </c>
      <c r="CK993" s="3" t="str">
        <f t="shared" si="199"/>
        <v>ماليزى اسنان</v>
      </c>
    </row>
    <row r="994" spans="2:89" x14ac:dyDescent="0.25">
      <c r="C994" s="17" t="s">
        <v>503</v>
      </c>
      <c r="D994" s="17">
        <v>19024</v>
      </c>
      <c r="E994" s="17">
        <v>11438</v>
      </c>
      <c r="F994" s="3" t="s">
        <v>121</v>
      </c>
      <c r="G994" s="3" t="s">
        <v>508</v>
      </c>
      <c r="I994" s="3">
        <v>12180</v>
      </c>
      <c r="AU994" s="22">
        <f t="shared" si="195"/>
        <v>12180</v>
      </c>
      <c r="AV994" s="3">
        <v>10865.35</v>
      </c>
      <c r="AW994" s="3">
        <v>1314.65</v>
      </c>
      <c r="CH994" s="22">
        <f t="shared" si="196"/>
        <v>12180</v>
      </c>
      <c r="CI994" s="3">
        <f t="shared" si="197"/>
        <v>0</v>
      </c>
      <c r="CJ994" s="17">
        <f t="shared" si="198"/>
        <v>11438</v>
      </c>
      <c r="CK994" s="3" t="str">
        <f t="shared" si="199"/>
        <v>ماليزى اسنان</v>
      </c>
    </row>
    <row r="995" spans="2:89" x14ac:dyDescent="0.25">
      <c r="B995" s="3"/>
      <c r="C995" s="17" t="s">
        <v>503</v>
      </c>
      <c r="D995" s="17">
        <v>19023</v>
      </c>
      <c r="E995" s="17">
        <v>11439</v>
      </c>
      <c r="F995" s="3" t="s">
        <v>121</v>
      </c>
      <c r="G995" s="3" t="s">
        <v>508</v>
      </c>
      <c r="I995" s="3">
        <v>6090</v>
      </c>
      <c r="AU995" s="22">
        <f t="shared" si="195"/>
        <v>6090</v>
      </c>
      <c r="AV995" s="3">
        <v>5436.05</v>
      </c>
      <c r="AW995" s="3">
        <v>653.95000000000005</v>
      </c>
      <c r="CH995" s="22">
        <f t="shared" si="196"/>
        <v>6090</v>
      </c>
      <c r="CI995" s="3">
        <f t="shared" si="197"/>
        <v>0</v>
      </c>
      <c r="CJ995" s="17">
        <f t="shared" si="198"/>
        <v>11439</v>
      </c>
      <c r="CK995" s="3" t="str">
        <f t="shared" si="199"/>
        <v>ماليزى اسنان</v>
      </c>
    </row>
    <row r="996" spans="2:89" x14ac:dyDescent="0.25">
      <c r="C996" s="17" t="s">
        <v>503</v>
      </c>
      <c r="D996" s="17">
        <v>19022</v>
      </c>
      <c r="E996" s="17">
        <v>11440</v>
      </c>
      <c r="F996" s="3" t="s">
        <v>121</v>
      </c>
      <c r="G996" s="3" t="s">
        <v>508</v>
      </c>
      <c r="I996" s="3">
        <v>21600</v>
      </c>
      <c r="AU996" s="22">
        <f t="shared" si="195"/>
        <v>21600</v>
      </c>
      <c r="AV996" s="3">
        <v>19293.900000000001</v>
      </c>
      <c r="AW996" s="3">
        <v>2306.1</v>
      </c>
      <c r="CH996" s="22">
        <f t="shared" si="196"/>
        <v>21600</v>
      </c>
      <c r="CI996" s="3">
        <f t="shared" si="197"/>
        <v>0</v>
      </c>
      <c r="CJ996" s="17">
        <f t="shared" si="198"/>
        <v>11440</v>
      </c>
      <c r="CK996" s="3" t="str">
        <f t="shared" si="199"/>
        <v>ماليزى اسنان</v>
      </c>
    </row>
    <row r="997" spans="2:89" x14ac:dyDescent="0.25">
      <c r="C997" s="17" t="s">
        <v>503</v>
      </c>
      <c r="D997" s="17">
        <v>19021</v>
      </c>
      <c r="E997" s="17">
        <v>11441</v>
      </c>
      <c r="F997" s="3" t="s">
        <v>121</v>
      </c>
      <c r="G997" s="3" t="s">
        <v>508</v>
      </c>
      <c r="I997" s="3">
        <v>15720</v>
      </c>
      <c r="AU997" s="22">
        <f t="shared" ref="AU997:AU1028" si="200">SUM(I997:AS997)</f>
        <v>15720</v>
      </c>
      <c r="AV997" s="3">
        <v>14032.15</v>
      </c>
      <c r="AW997" s="3">
        <v>1687.85</v>
      </c>
      <c r="CH997" s="22">
        <f t="shared" si="196"/>
        <v>15720</v>
      </c>
      <c r="CI997" s="3">
        <f t="shared" si="197"/>
        <v>0</v>
      </c>
      <c r="CJ997" s="17">
        <f t="shared" si="198"/>
        <v>11441</v>
      </c>
      <c r="CK997" s="3" t="str">
        <f t="shared" si="199"/>
        <v>ماليزى اسنان</v>
      </c>
    </row>
    <row r="998" spans="2:89" x14ac:dyDescent="0.25">
      <c r="C998" s="17" t="s">
        <v>503</v>
      </c>
      <c r="D998" s="17">
        <v>19020</v>
      </c>
      <c r="E998" s="17">
        <v>11442</v>
      </c>
      <c r="F998" s="3" t="s">
        <v>121</v>
      </c>
      <c r="G998" s="3" t="s">
        <v>508</v>
      </c>
      <c r="I998" s="3">
        <v>7020</v>
      </c>
      <c r="AU998" s="22">
        <f t="shared" si="200"/>
        <v>7020</v>
      </c>
      <c r="AV998" s="3">
        <v>6262.2</v>
      </c>
      <c r="AW998" s="3">
        <v>757.8</v>
      </c>
      <c r="CH998" s="22">
        <f t="shared" si="196"/>
        <v>7020</v>
      </c>
      <c r="CI998" s="3">
        <f t="shared" si="197"/>
        <v>0</v>
      </c>
      <c r="CJ998" s="17">
        <f t="shared" si="198"/>
        <v>11442</v>
      </c>
      <c r="CK998" s="3" t="str">
        <f t="shared" si="199"/>
        <v>ماليزى اسنان</v>
      </c>
    </row>
    <row r="999" spans="2:89" x14ac:dyDescent="0.25">
      <c r="C999" s="17" t="s">
        <v>503</v>
      </c>
      <c r="D999" s="17">
        <v>19019</v>
      </c>
      <c r="E999" s="17">
        <v>11443</v>
      </c>
      <c r="F999" s="3" t="s">
        <v>121</v>
      </c>
      <c r="G999" s="3" t="s">
        <v>508</v>
      </c>
      <c r="I999" s="3">
        <v>12960</v>
      </c>
      <c r="AU999" s="22">
        <f t="shared" si="200"/>
        <v>12960</v>
      </c>
      <c r="AV999" s="3">
        <v>11575.5</v>
      </c>
      <c r="AW999" s="3">
        <v>1384.5</v>
      </c>
      <c r="CH999" s="22">
        <f t="shared" si="196"/>
        <v>12960</v>
      </c>
      <c r="CI999" s="3">
        <f t="shared" si="197"/>
        <v>0</v>
      </c>
      <c r="CJ999" s="17">
        <f t="shared" si="198"/>
        <v>11443</v>
      </c>
      <c r="CK999" s="3" t="str">
        <f t="shared" si="199"/>
        <v>ماليزى اسنان</v>
      </c>
    </row>
    <row r="1000" spans="2:89" x14ac:dyDescent="0.25">
      <c r="C1000" s="17" t="s">
        <v>503</v>
      </c>
      <c r="D1000" s="17">
        <v>19018</v>
      </c>
      <c r="E1000" s="17">
        <v>11444</v>
      </c>
      <c r="F1000" s="3" t="s">
        <v>121</v>
      </c>
      <c r="G1000" s="3" t="s">
        <v>508</v>
      </c>
      <c r="I1000" s="3">
        <v>34260</v>
      </c>
      <c r="AU1000" s="22">
        <f t="shared" si="200"/>
        <v>34260</v>
      </c>
      <c r="AV1000" s="3">
        <v>30582.400000000001</v>
      </c>
      <c r="AW1000" s="3">
        <v>3677.6</v>
      </c>
      <c r="CH1000" s="22">
        <f t="shared" si="196"/>
        <v>34260</v>
      </c>
      <c r="CI1000" s="3">
        <f t="shared" si="197"/>
        <v>0</v>
      </c>
      <c r="CJ1000" s="17">
        <f t="shared" si="198"/>
        <v>11444</v>
      </c>
      <c r="CK1000" s="3" t="str">
        <f t="shared" si="199"/>
        <v>ماليزى اسنان</v>
      </c>
    </row>
    <row r="1001" spans="2:89" x14ac:dyDescent="0.25">
      <c r="C1001" s="17" t="s">
        <v>503</v>
      </c>
      <c r="D1001" s="17">
        <v>19017</v>
      </c>
      <c r="E1001" s="17">
        <v>11445</v>
      </c>
      <c r="F1001" s="3" t="s">
        <v>121</v>
      </c>
      <c r="G1001" s="3" t="s">
        <v>508</v>
      </c>
      <c r="I1001" s="3">
        <v>7620</v>
      </c>
      <c r="AU1001" s="22">
        <f t="shared" si="200"/>
        <v>7620</v>
      </c>
      <c r="AV1001" s="3">
        <v>6801.55</v>
      </c>
      <c r="AW1001" s="3">
        <v>818.45</v>
      </c>
      <c r="CH1001" s="22">
        <f t="shared" si="196"/>
        <v>7620</v>
      </c>
      <c r="CI1001" s="3">
        <f t="shared" si="197"/>
        <v>0</v>
      </c>
      <c r="CJ1001" s="17">
        <f t="shared" si="198"/>
        <v>11445</v>
      </c>
      <c r="CK1001" s="3" t="str">
        <f t="shared" si="199"/>
        <v>ماليزى اسنان</v>
      </c>
    </row>
    <row r="1002" spans="2:89" x14ac:dyDescent="0.25">
      <c r="C1002" s="17" t="s">
        <v>503</v>
      </c>
      <c r="D1002" s="17">
        <v>19016</v>
      </c>
      <c r="E1002" s="17">
        <v>11446</v>
      </c>
      <c r="F1002" s="3" t="s">
        <v>121</v>
      </c>
      <c r="G1002" s="3" t="s">
        <v>508</v>
      </c>
      <c r="I1002" s="3">
        <v>8520</v>
      </c>
      <c r="AU1002" s="22">
        <f t="shared" si="200"/>
        <v>8520</v>
      </c>
      <c r="AV1002" s="3">
        <v>7605.5</v>
      </c>
      <c r="AW1002" s="3">
        <v>914.5</v>
      </c>
      <c r="CH1002" s="22">
        <f t="shared" ref="CH1002:CH1033" si="201">SUM(AV1002:CG1002)</f>
        <v>8520</v>
      </c>
      <c r="CI1002" s="3">
        <f t="shared" ref="CI1002:CI1033" si="202">+CH1002-AU1002</f>
        <v>0</v>
      </c>
      <c r="CJ1002" s="17">
        <f t="shared" ref="CJ1002:CJ1033" si="203">+E1002</f>
        <v>11446</v>
      </c>
      <c r="CK1002" s="3" t="str">
        <f t="shared" ref="CK1002:CK1033" si="204">+F1002</f>
        <v>ماليزى اسنان</v>
      </c>
    </row>
    <row r="1003" spans="2:89" x14ac:dyDescent="0.25">
      <c r="C1003" s="17" t="s">
        <v>503</v>
      </c>
      <c r="D1003" s="17">
        <v>19014</v>
      </c>
      <c r="E1003" s="17">
        <v>11447</v>
      </c>
      <c r="F1003" s="3" t="s">
        <v>121</v>
      </c>
      <c r="G1003" s="3" t="s">
        <v>508</v>
      </c>
      <c r="I1003" s="3">
        <v>4800</v>
      </c>
      <c r="AU1003" s="22">
        <f t="shared" si="200"/>
        <v>4800</v>
      </c>
      <c r="AV1003" s="3">
        <v>4284.3500000000004</v>
      </c>
      <c r="AW1003" s="3">
        <v>515.65</v>
      </c>
      <c r="CH1003" s="22">
        <f t="shared" si="201"/>
        <v>4800</v>
      </c>
      <c r="CI1003" s="3">
        <f t="shared" si="202"/>
        <v>0</v>
      </c>
      <c r="CJ1003" s="17">
        <f t="shared" si="203"/>
        <v>11447</v>
      </c>
      <c r="CK1003" s="3" t="str">
        <f t="shared" si="204"/>
        <v>ماليزى اسنان</v>
      </c>
    </row>
    <row r="1004" spans="2:89" x14ac:dyDescent="0.25">
      <c r="C1004" s="17" t="s">
        <v>503</v>
      </c>
      <c r="D1004" s="17">
        <v>19015</v>
      </c>
      <c r="E1004" s="17">
        <v>11448</v>
      </c>
      <c r="F1004" s="3" t="s">
        <v>121</v>
      </c>
      <c r="G1004" s="3" t="s">
        <v>508</v>
      </c>
      <c r="I1004" s="3">
        <v>7800</v>
      </c>
      <c r="AU1004" s="22">
        <f t="shared" si="200"/>
        <v>7800</v>
      </c>
      <c r="AV1004" s="3">
        <v>6962.55</v>
      </c>
      <c r="AW1004" s="3">
        <v>837.45</v>
      </c>
      <c r="CH1004" s="22">
        <f t="shared" si="201"/>
        <v>7800</v>
      </c>
      <c r="CI1004" s="3">
        <f t="shared" si="202"/>
        <v>0</v>
      </c>
      <c r="CJ1004" s="17">
        <f t="shared" si="203"/>
        <v>11448</v>
      </c>
      <c r="CK1004" s="3" t="str">
        <f t="shared" si="204"/>
        <v>ماليزى اسنان</v>
      </c>
    </row>
    <row r="1005" spans="2:89" x14ac:dyDescent="0.25">
      <c r="C1005" s="17" t="s">
        <v>503</v>
      </c>
      <c r="D1005" s="17">
        <v>19012</v>
      </c>
      <c r="E1005" s="17">
        <v>11449</v>
      </c>
      <c r="F1005" s="3" t="s">
        <v>121</v>
      </c>
      <c r="G1005" s="3" t="s">
        <v>508</v>
      </c>
      <c r="I1005" s="3">
        <v>6480</v>
      </c>
      <c r="AU1005" s="22">
        <f t="shared" si="200"/>
        <v>6480</v>
      </c>
      <c r="AV1005" s="3">
        <v>5780.55</v>
      </c>
      <c r="AW1005" s="3">
        <v>699.45</v>
      </c>
      <c r="CH1005" s="22">
        <f t="shared" si="201"/>
        <v>6480</v>
      </c>
      <c r="CI1005" s="3">
        <f t="shared" si="202"/>
        <v>0</v>
      </c>
      <c r="CJ1005" s="17">
        <f t="shared" si="203"/>
        <v>11449</v>
      </c>
      <c r="CK1005" s="3" t="str">
        <f t="shared" si="204"/>
        <v>ماليزى اسنان</v>
      </c>
    </row>
    <row r="1006" spans="2:89" x14ac:dyDescent="0.25">
      <c r="C1006" s="17" t="s">
        <v>503</v>
      </c>
      <c r="D1006" s="17">
        <v>19013</v>
      </c>
      <c r="E1006" s="17">
        <v>11450</v>
      </c>
      <c r="F1006" s="3" t="s">
        <v>121</v>
      </c>
      <c r="G1006" s="3" t="s">
        <v>508</v>
      </c>
      <c r="I1006" s="3">
        <v>4072.04</v>
      </c>
      <c r="AU1006" s="22">
        <f t="shared" si="200"/>
        <v>4072.04</v>
      </c>
      <c r="AV1006" s="3">
        <v>3189.17</v>
      </c>
      <c r="AW1006" s="3">
        <v>404.6</v>
      </c>
      <c r="AX1006" s="3">
        <v>478.27</v>
      </c>
      <c r="CH1006" s="22">
        <f t="shared" si="201"/>
        <v>4072.04</v>
      </c>
      <c r="CI1006" s="3">
        <f t="shared" si="202"/>
        <v>0</v>
      </c>
      <c r="CJ1006" s="17">
        <f t="shared" si="203"/>
        <v>11450</v>
      </c>
      <c r="CK1006" s="3" t="str">
        <f t="shared" si="204"/>
        <v>ماليزى اسنان</v>
      </c>
    </row>
    <row r="1007" spans="2:89" x14ac:dyDescent="0.25">
      <c r="C1007" s="17" t="s">
        <v>503</v>
      </c>
      <c r="D1007" s="17">
        <v>18998</v>
      </c>
      <c r="E1007" s="17">
        <v>11451</v>
      </c>
      <c r="F1007" s="3" t="s">
        <v>121</v>
      </c>
      <c r="G1007" s="3" t="s">
        <v>548</v>
      </c>
      <c r="I1007" s="3">
        <v>4250</v>
      </c>
      <c r="AU1007" s="22">
        <f t="shared" si="200"/>
        <v>4250</v>
      </c>
      <c r="AV1007" s="3">
        <v>3793.5</v>
      </c>
      <c r="AW1007" s="3">
        <v>456.5</v>
      </c>
      <c r="CH1007" s="22">
        <f t="shared" si="201"/>
        <v>4250</v>
      </c>
      <c r="CI1007" s="3">
        <f t="shared" si="202"/>
        <v>0</v>
      </c>
      <c r="CJ1007" s="17">
        <f t="shared" si="203"/>
        <v>11451</v>
      </c>
      <c r="CK1007" s="3" t="str">
        <f t="shared" si="204"/>
        <v>ماليزى اسنان</v>
      </c>
    </row>
    <row r="1008" spans="2:89" x14ac:dyDescent="0.25">
      <c r="C1008" s="17" t="s">
        <v>503</v>
      </c>
      <c r="D1008" s="17">
        <v>19010</v>
      </c>
      <c r="E1008" s="17">
        <v>11452</v>
      </c>
      <c r="F1008" s="3" t="s">
        <v>121</v>
      </c>
      <c r="G1008" s="3" t="s">
        <v>548</v>
      </c>
      <c r="I1008" s="3">
        <v>15000</v>
      </c>
      <c r="AU1008" s="22">
        <f t="shared" si="200"/>
        <v>15000</v>
      </c>
      <c r="AV1008" s="3">
        <v>13388.9</v>
      </c>
      <c r="AW1008" s="3">
        <v>1611.1</v>
      </c>
      <c r="CH1008" s="22">
        <f t="shared" si="201"/>
        <v>15000</v>
      </c>
      <c r="CI1008" s="3">
        <f t="shared" si="202"/>
        <v>0</v>
      </c>
      <c r="CJ1008" s="17">
        <f t="shared" si="203"/>
        <v>11452</v>
      </c>
      <c r="CK1008" s="3" t="str">
        <f t="shared" si="204"/>
        <v>ماليزى اسنان</v>
      </c>
    </row>
    <row r="1009" spans="2:89" x14ac:dyDescent="0.25">
      <c r="C1009" s="17" t="s">
        <v>503</v>
      </c>
      <c r="D1009" s="17">
        <v>19011</v>
      </c>
      <c r="E1009" s="17">
        <v>11453</v>
      </c>
      <c r="F1009" s="3" t="s">
        <v>121</v>
      </c>
      <c r="G1009" s="3" t="s">
        <v>549</v>
      </c>
      <c r="I1009" s="3">
        <v>5809.13</v>
      </c>
      <c r="AU1009" s="22">
        <f t="shared" si="200"/>
        <v>5809.13</v>
      </c>
      <c r="AV1009" s="3">
        <v>3951.08</v>
      </c>
      <c r="AW1009" s="3">
        <v>532.95000000000005</v>
      </c>
      <c r="AX1009" s="3">
        <v>1325.1</v>
      </c>
      <c r="CH1009" s="22">
        <f t="shared" si="201"/>
        <v>5809.1299999999992</v>
      </c>
      <c r="CI1009" s="3">
        <f t="shared" si="202"/>
        <v>0</v>
      </c>
      <c r="CJ1009" s="17">
        <f t="shared" si="203"/>
        <v>11453</v>
      </c>
      <c r="CK1009" s="3" t="str">
        <f t="shared" si="204"/>
        <v>ماليزى اسنان</v>
      </c>
    </row>
    <row r="1010" spans="2:89" x14ac:dyDescent="0.25">
      <c r="C1010" s="17" t="s">
        <v>503</v>
      </c>
      <c r="D1010" s="17">
        <v>19008</v>
      </c>
      <c r="E1010" s="17">
        <v>11454</v>
      </c>
      <c r="F1010" s="3" t="s">
        <v>121</v>
      </c>
      <c r="G1010" s="3" t="s">
        <v>550</v>
      </c>
      <c r="I1010" s="3">
        <v>2110.48</v>
      </c>
      <c r="AU1010" s="22">
        <f t="shared" si="200"/>
        <v>2110.48</v>
      </c>
      <c r="AV1010" s="3">
        <v>1412.8</v>
      </c>
      <c r="AW1010" s="3">
        <v>189.2</v>
      </c>
      <c r="AX1010" s="3">
        <v>508.48</v>
      </c>
      <c r="CH1010" s="22">
        <f t="shared" si="201"/>
        <v>2110.48</v>
      </c>
      <c r="CI1010" s="3">
        <f t="shared" si="202"/>
        <v>0</v>
      </c>
      <c r="CJ1010" s="17">
        <f t="shared" si="203"/>
        <v>11454</v>
      </c>
      <c r="CK1010" s="3" t="str">
        <f t="shared" si="204"/>
        <v>ماليزى اسنان</v>
      </c>
    </row>
    <row r="1011" spans="2:89" x14ac:dyDescent="0.25">
      <c r="C1011" s="17" t="s">
        <v>503</v>
      </c>
      <c r="D1011" s="17">
        <v>19009</v>
      </c>
      <c r="E1011" s="17">
        <v>11455</v>
      </c>
      <c r="F1011" s="3" t="s">
        <v>121</v>
      </c>
      <c r="G1011" s="3" t="s">
        <v>550</v>
      </c>
      <c r="I1011" s="3">
        <v>3607.1</v>
      </c>
      <c r="AU1011" s="22">
        <f t="shared" si="200"/>
        <v>3607.1</v>
      </c>
      <c r="AV1011" s="3">
        <v>2527.0500000000002</v>
      </c>
      <c r="AW1011" s="3">
        <v>331.45</v>
      </c>
      <c r="AX1011" s="3">
        <v>748.6</v>
      </c>
      <c r="CH1011" s="22">
        <f t="shared" si="201"/>
        <v>3607.1</v>
      </c>
      <c r="CI1011" s="3">
        <f t="shared" si="202"/>
        <v>0</v>
      </c>
      <c r="CJ1011" s="17">
        <f t="shared" si="203"/>
        <v>11455</v>
      </c>
      <c r="CK1011" s="3" t="str">
        <f t="shared" si="204"/>
        <v>ماليزى اسنان</v>
      </c>
    </row>
    <row r="1012" spans="2:89" x14ac:dyDescent="0.25">
      <c r="C1012" s="17" t="s">
        <v>503</v>
      </c>
      <c r="D1012" s="17">
        <v>19006</v>
      </c>
      <c r="E1012" s="17">
        <v>11456</v>
      </c>
      <c r="F1012" s="3" t="s">
        <v>121</v>
      </c>
      <c r="G1012" s="3" t="s">
        <v>551</v>
      </c>
      <c r="I1012" s="3">
        <v>5817.05</v>
      </c>
      <c r="AU1012" s="22">
        <f t="shared" si="200"/>
        <v>5817.05</v>
      </c>
      <c r="AV1012" s="3">
        <v>4024.07</v>
      </c>
      <c r="AW1012" s="3">
        <v>536.79999999999995</v>
      </c>
      <c r="AX1012" s="3">
        <v>1256.18</v>
      </c>
      <c r="CH1012" s="22">
        <f t="shared" si="201"/>
        <v>5817.05</v>
      </c>
      <c r="CI1012" s="3">
        <f t="shared" si="202"/>
        <v>0</v>
      </c>
      <c r="CJ1012" s="17">
        <f t="shared" si="203"/>
        <v>11456</v>
      </c>
      <c r="CK1012" s="3" t="str">
        <f t="shared" si="204"/>
        <v>ماليزى اسنان</v>
      </c>
    </row>
    <row r="1013" spans="2:89" x14ac:dyDescent="0.25">
      <c r="C1013" s="17" t="s">
        <v>503</v>
      </c>
      <c r="D1013" s="17">
        <v>19007</v>
      </c>
      <c r="E1013" s="17">
        <v>11457</v>
      </c>
      <c r="F1013" s="3" t="s">
        <v>121</v>
      </c>
      <c r="G1013" s="3" t="s">
        <v>552</v>
      </c>
      <c r="I1013" s="3">
        <v>9305.0499999999993</v>
      </c>
      <c r="AU1013" s="22">
        <f t="shared" si="200"/>
        <v>9305.0499999999993</v>
      </c>
      <c r="AV1013" s="3">
        <v>7460.85</v>
      </c>
      <c r="AW1013" s="3">
        <v>935.2</v>
      </c>
      <c r="AX1013" s="3">
        <v>909</v>
      </c>
      <c r="CH1013" s="22">
        <f t="shared" si="201"/>
        <v>9305.0500000000011</v>
      </c>
      <c r="CI1013" s="3">
        <f t="shared" si="202"/>
        <v>0</v>
      </c>
      <c r="CJ1013" s="17">
        <f t="shared" si="203"/>
        <v>11457</v>
      </c>
      <c r="CK1013" s="3" t="str">
        <f t="shared" si="204"/>
        <v>ماليزى اسنان</v>
      </c>
    </row>
    <row r="1014" spans="2:89" x14ac:dyDescent="0.25">
      <c r="C1014" s="17" t="s">
        <v>367</v>
      </c>
      <c r="D1014" s="17">
        <v>18016</v>
      </c>
      <c r="E1014" s="17">
        <v>11458</v>
      </c>
      <c r="F1014" s="3" t="s">
        <v>121</v>
      </c>
      <c r="G1014" s="3" t="s">
        <v>553</v>
      </c>
      <c r="I1014" s="3">
        <v>2345</v>
      </c>
      <c r="AU1014" s="22">
        <f t="shared" si="200"/>
        <v>2345</v>
      </c>
      <c r="AV1014" s="3">
        <v>1567</v>
      </c>
      <c r="AW1014" s="3">
        <v>213</v>
      </c>
      <c r="AX1014" s="3">
        <v>565</v>
      </c>
      <c r="CH1014" s="22">
        <f t="shared" si="201"/>
        <v>2345</v>
      </c>
      <c r="CI1014" s="3">
        <f t="shared" si="202"/>
        <v>0</v>
      </c>
      <c r="CJ1014" s="17">
        <f t="shared" si="203"/>
        <v>11458</v>
      </c>
      <c r="CK1014" s="3" t="str">
        <f t="shared" si="204"/>
        <v>ماليزى اسنان</v>
      </c>
    </row>
    <row r="1015" spans="2:89" x14ac:dyDescent="0.25">
      <c r="C1015" s="17" t="s">
        <v>367</v>
      </c>
      <c r="D1015" s="17">
        <v>17777</v>
      </c>
      <c r="E1015" s="17">
        <v>11459</v>
      </c>
      <c r="F1015" s="3" t="s">
        <v>121</v>
      </c>
      <c r="G1015" s="3" t="s">
        <v>554</v>
      </c>
      <c r="I1015" s="3">
        <v>1340.17</v>
      </c>
      <c r="AU1015" s="22">
        <f t="shared" si="200"/>
        <v>1340.17</v>
      </c>
      <c r="AV1015" s="3">
        <v>895.72</v>
      </c>
      <c r="AW1015" s="3">
        <v>121.55</v>
      </c>
      <c r="AX1015" s="3">
        <v>322.89999999999998</v>
      </c>
      <c r="CH1015" s="22">
        <f t="shared" si="201"/>
        <v>1340.17</v>
      </c>
      <c r="CI1015" s="3">
        <f t="shared" si="202"/>
        <v>0</v>
      </c>
      <c r="CJ1015" s="17">
        <f t="shared" si="203"/>
        <v>11459</v>
      </c>
      <c r="CK1015" s="3" t="str">
        <f t="shared" si="204"/>
        <v>ماليزى اسنان</v>
      </c>
    </row>
    <row r="1016" spans="2:89" x14ac:dyDescent="0.25">
      <c r="C1016" s="17" t="s">
        <v>555</v>
      </c>
      <c r="D1016" s="17">
        <v>18901</v>
      </c>
      <c r="E1016" s="17">
        <v>11460</v>
      </c>
      <c r="F1016" s="3" t="s">
        <v>249</v>
      </c>
      <c r="G1016" s="3" t="s">
        <v>556</v>
      </c>
      <c r="I1016" s="3">
        <v>23327.8</v>
      </c>
      <c r="AU1016" s="22">
        <f t="shared" si="200"/>
        <v>23327.8</v>
      </c>
      <c r="AV1016" s="3">
        <v>17296.03</v>
      </c>
      <c r="AW1016" s="3">
        <v>3868.65</v>
      </c>
      <c r="AX1016" s="3">
        <v>1028.1199999999999</v>
      </c>
      <c r="AY1016" s="3">
        <v>1135</v>
      </c>
      <c r="CH1016" s="22">
        <f t="shared" si="201"/>
        <v>23327.8</v>
      </c>
      <c r="CI1016" s="3">
        <f t="shared" si="202"/>
        <v>0</v>
      </c>
      <c r="CJ1016" s="17">
        <f t="shared" si="203"/>
        <v>11460</v>
      </c>
      <c r="CK1016" s="3" t="str">
        <f t="shared" si="204"/>
        <v>خدمة عامة</v>
      </c>
    </row>
    <row r="1017" spans="2:89" x14ac:dyDescent="0.25">
      <c r="B1017" s="3"/>
      <c r="C1017" s="17" t="s">
        <v>555</v>
      </c>
      <c r="D1017" s="17">
        <v>18900</v>
      </c>
      <c r="E1017" s="17">
        <v>11461</v>
      </c>
      <c r="F1017" s="3" t="s">
        <v>249</v>
      </c>
      <c r="G1017" s="3" t="s">
        <v>556</v>
      </c>
      <c r="I1017" s="3">
        <v>3763.73</v>
      </c>
      <c r="AU1017" s="22">
        <f t="shared" si="200"/>
        <v>3763.73</v>
      </c>
      <c r="AV1017" s="3">
        <v>2409.5300000000002</v>
      </c>
      <c r="AW1017" s="3">
        <v>286.87</v>
      </c>
      <c r="AX1017" s="3">
        <v>906.83</v>
      </c>
      <c r="AY1017" s="3">
        <v>160.5</v>
      </c>
      <c r="CH1017" s="22">
        <f t="shared" si="201"/>
        <v>3763.73</v>
      </c>
      <c r="CI1017" s="3">
        <f t="shared" si="202"/>
        <v>0</v>
      </c>
      <c r="CJ1017" s="17">
        <f t="shared" si="203"/>
        <v>11461</v>
      </c>
      <c r="CK1017" s="3" t="str">
        <f t="shared" si="204"/>
        <v>خدمة عامة</v>
      </c>
    </row>
    <row r="1018" spans="2:89" x14ac:dyDescent="0.25">
      <c r="C1018" s="17" t="s">
        <v>555</v>
      </c>
      <c r="D1018" s="17">
        <v>18902</v>
      </c>
      <c r="E1018" s="17">
        <v>11462</v>
      </c>
      <c r="F1018" s="3" t="s">
        <v>249</v>
      </c>
      <c r="G1018" s="3" t="s">
        <v>556</v>
      </c>
      <c r="I1018" s="3">
        <v>820.76</v>
      </c>
      <c r="AU1018" s="22">
        <f t="shared" si="200"/>
        <v>820.76</v>
      </c>
      <c r="AV1018" s="3">
        <v>526.14</v>
      </c>
      <c r="AW1018" s="3">
        <v>61.86</v>
      </c>
      <c r="AX1018" s="3">
        <v>197.76</v>
      </c>
      <c r="AY1018" s="3">
        <v>35</v>
      </c>
      <c r="CH1018" s="22">
        <f t="shared" si="201"/>
        <v>820.76</v>
      </c>
      <c r="CI1018" s="3">
        <f t="shared" si="202"/>
        <v>0</v>
      </c>
      <c r="CJ1018" s="17">
        <f t="shared" si="203"/>
        <v>11462</v>
      </c>
      <c r="CK1018" s="3" t="str">
        <f t="shared" si="204"/>
        <v>خدمة عامة</v>
      </c>
    </row>
    <row r="1019" spans="2:89" x14ac:dyDescent="0.25">
      <c r="C1019" s="17" t="s">
        <v>557</v>
      </c>
      <c r="D1019" s="17">
        <v>18617</v>
      </c>
      <c r="E1019" s="17">
        <v>11463</v>
      </c>
      <c r="F1019" s="3" t="s">
        <v>123</v>
      </c>
      <c r="G1019" s="3" t="s">
        <v>424</v>
      </c>
      <c r="I1019" s="3">
        <v>766.66</v>
      </c>
      <c r="AU1019" s="22">
        <f t="shared" si="200"/>
        <v>766.66</v>
      </c>
      <c r="AV1019" s="3">
        <v>579.14</v>
      </c>
      <c r="AW1019" s="3">
        <v>149.19</v>
      </c>
      <c r="AY1019" s="3">
        <v>38.33</v>
      </c>
      <c r="CH1019" s="22">
        <f t="shared" si="201"/>
        <v>766.66</v>
      </c>
      <c r="CI1019" s="3">
        <f t="shared" si="202"/>
        <v>0</v>
      </c>
      <c r="CJ1019" s="17">
        <f t="shared" si="203"/>
        <v>11463</v>
      </c>
      <c r="CK1019" s="3" t="str">
        <f t="shared" si="204"/>
        <v>خ ت اسنان</v>
      </c>
    </row>
    <row r="1020" spans="2:89" x14ac:dyDescent="0.25">
      <c r="C1020" s="17" t="s">
        <v>557</v>
      </c>
      <c r="D1020" s="17">
        <v>18614</v>
      </c>
      <c r="E1020" s="17">
        <v>11464</v>
      </c>
      <c r="F1020" s="3" t="s">
        <v>123</v>
      </c>
      <c r="G1020" s="3" t="s">
        <v>424</v>
      </c>
      <c r="I1020" s="3">
        <v>766.66</v>
      </c>
      <c r="AU1020" s="22">
        <f t="shared" si="200"/>
        <v>766.66</v>
      </c>
      <c r="AV1020" s="3">
        <v>579.14</v>
      </c>
      <c r="AW1020" s="3">
        <v>149.19</v>
      </c>
      <c r="AY1020" s="3">
        <v>38.33</v>
      </c>
      <c r="CH1020" s="22">
        <f t="shared" si="201"/>
        <v>766.66</v>
      </c>
      <c r="CI1020" s="3">
        <f t="shared" si="202"/>
        <v>0</v>
      </c>
      <c r="CJ1020" s="17">
        <f t="shared" si="203"/>
        <v>11464</v>
      </c>
      <c r="CK1020" s="3" t="str">
        <f t="shared" si="204"/>
        <v>خ ت اسنان</v>
      </c>
    </row>
    <row r="1021" spans="2:89" x14ac:dyDescent="0.25">
      <c r="C1021" s="17" t="s">
        <v>557</v>
      </c>
      <c r="D1021" s="17">
        <v>18613</v>
      </c>
      <c r="E1021" s="17">
        <v>11465</v>
      </c>
      <c r="F1021" s="3" t="s">
        <v>123</v>
      </c>
      <c r="G1021" s="3" t="s">
        <v>424</v>
      </c>
      <c r="I1021" s="3">
        <v>766.66</v>
      </c>
      <c r="AU1021" s="22">
        <f t="shared" si="200"/>
        <v>766.66</v>
      </c>
      <c r="AV1021" s="3">
        <v>578.62</v>
      </c>
      <c r="AW1021" s="3">
        <v>149.71</v>
      </c>
      <c r="AY1021" s="3">
        <v>38.33</v>
      </c>
      <c r="CH1021" s="22">
        <f t="shared" si="201"/>
        <v>766.66000000000008</v>
      </c>
      <c r="CI1021" s="3">
        <f t="shared" si="202"/>
        <v>0</v>
      </c>
      <c r="CJ1021" s="17">
        <f t="shared" si="203"/>
        <v>11465</v>
      </c>
      <c r="CK1021" s="3" t="str">
        <f t="shared" si="204"/>
        <v>خ ت اسنان</v>
      </c>
    </row>
    <row r="1022" spans="2:89" x14ac:dyDescent="0.25">
      <c r="C1022" s="17" t="s">
        <v>557</v>
      </c>
      <c r="D1022" s="17">
        <v>18608</v>
      </c>
      <c r="E1022" s="17">
        <v>11466</v>
      </c>
      <c r="F1022" s="3" t="s">
        <v>123</v>
      </c>
      <c r="G1022" s="3" t="s">
        <v>424</v>
      </c>
      <c r="I1022" s="3">
        <v>550</v>
      </c>
      <c r="AU1022" s="22">
        <f t="shared" si="200"/>
        <v>550</v>
      </c>
      <c r="AV1022" s="3">
        <v>464</v>
      </c>
      <c r="AW1022" s="3">
        <v>58.5</v>
      </c>
      <c r="AY1022" s="3">
        <v>27.5</v>
      </c>
      <c r="CH1022" s="22">
        <f t="shared" si="201"/>
        <v>550</v>
      </c>
      <c r="CI1022" s="3">
        <f t="shared" si="202"/>
        <v>0</v>
      </c>
      <c r="CJ1022" s="17">
        <f t="shared" si="203"/>
        <v>11466</v>
      </c>
      <c r="CK1022" s="3" t="str">
        <f t="shared" si="204"/>
        <v>خ ت اسنان</v>
      </c>
    </row>
    <row r="1023" spans="2:89" x14ac:dyDescent="0.25">
      <c r="C1023" s="17" t="s">
        <v>557</v>
      </c>
      <c r="D1023" s="17">
        <v>18612</v>
      </c>
      <c r="E1023" s="17">
        <v>11467</v>
      </c>
      <c r="F1023" s="3" t="s">
        <v>123</v>
      </c>
      <c r="G1023" s="3" t="s">
        <v>424</v>
      </c>
      <c r="I1023" s="3">
        <v>469</v>
      </c>
      <c r="AU1023" s="22">
        <f t="shared" si="200"/>
        <v>469</v>
      </c>
      <c r="AV1023" s="3">
        <v>313.7</v>
      </c>
      <c r="AW1023" s="3">
        <v>42.3</v>
      </c>
      <c r="AX1023" s="3">
        <v>113</v>
      </c>
      <c r="CH1023" s="22">
        <f t="shared" si="201"/>
        <v>469</v>
      </c>
      <c r="CI1023" s="3">
        <f t="shared" si="202"/>
        <v>0</v>
      </c>
      <c r="CJ1023" s="17">
        <f t="shared" si="203"/>
        <v>11467</v>
      </c>
      <c r="CK1023" s="3" t="str">
        <f t="shared" si="204"/>
        <v>خ ت اسنان</v>
      </c>
    </row>
    <row r="1024" spans="2:89" x14ac:dyDescent="0.25">
      <c r="C1024" s="17" t="s">
        <v>557</v>
      </c>
      <c r="D1024" s="17">
        <v>18611</v>
      </c>
      <c r="E1024" s="17">
        <v>11468</v>
      </c>
      <c r="F1024" s="3" t="s">
        <v>123</v>
      </c>
      <c r="G1024" s="3" t="s">
        <v>424</v>
      </c>
      <c r="I1024" s="3">
        <v>1350</v>
      </c>
      <c r="AU1024" s="22">
        <f t="shared" si="200"/>
        <v>1350</v>
      </c>
      <c r="AV1024" s="3">
        <v>1138.9000000000001</v>
      </c>
      <c r="AW1024" s="3">
        <v>143.6</v>
      </c>
      <c r="AY1024" s="3">
        <v>67.5</v>
      </c>
      <c r="CH1024" s="22">
        <f t="shared" si="201"/>
        <v>1350</v>
      </c>
      <c r="CI1024" s="3">
        <f t="shared" si="202"/>
        <v>0</v>
      </c>
      <c r="CJ1024" s="17">
        <f t="shared" si="203"/>
        <v>11468</v>
      </c>
      <c r="CK1024" s="3" t="str">
        <f t="shared" si="204"/>
        <v>خ ت اسنان</v>
      </c>
    </row>
    <row r="1025" spans="3:89" x14ac:dyDescent="0.25">
      <c r="C1025" s="17" t="s">
        <v>557</v>
      </c>
      <c r="D1025" s="17">
        <v>18605</v>
      </c>
      <c r="E1025" s="17">
        <v>11469</v>
      </c>
      <c r="F1025" s="3" t="s">
        <v>123</v>
      </c>
      <c r="G1025" s="3" t="s">
        <v>424</v>
      </c>
      <c r="I1025" s="3">
        <v>1994.88</v>
      </c>
      <c r="AU1025" s="22">
        <f t="shared" si="200"/>
        <v>1994.88</v>
      </c>
      <c r="AV1025" s="3">
        <v>1386.24</v>
      </c>
      <c r="AW1025" s="3">
        <v>358.26</v>
      </c>
      <c r="AX1025" s="3">
        <v>155.38</v>
      </c>
      <c r="AY1025" s="3">
        <v>95</v>
      </c>
      <c r="CH1025" s="22">
        <f t="shared" si="201"/>
        <v>1994.88</v>
      </c>
      <c r="CI1025" s="3">
        <f t="shared" si="202"/>
        <v>0</v>
      </c>
      <c r="CJ1025" s="17">
        <f t="shared" si="203"/>
        <v>11469</v>
      </c>
      <c r="CK1025" s="3" t="str">
        <f t="shared" si="204"/>
        <v>خ ت اسنان</v>
      </c>
    </row>
    <row r="1026" spans="3:89" x14ac:dyDescent="0.25">
      <c r="C1026" s="17" t="s">
        <v>557</v>
      </c>
      <c r="D1026" s="17">
        <v>18600</v>
      </c>
      <c r="E1026" s="17">
        <v>11470</v>
      </c>
      <c r="F1026" s="3" t="s">
        <v>123</v>
      </c>
      <c r="G1026" s="3" t="s">
        <v>425</v>
      </c>
      <c r="I1026" s="3">
        <v>1416.66</v>
      </c>
      <c r="AU1026" s="22">
        <f t="shared" si="200"/>
        <v>1416.66</v>
      </c>
      <c r="AV1026" s="3">
        <v>1068.46</v>
      </c>
      <c r="AW1026" s="3">
        <v>277.37</v>
      </c>
      <c r="AY1026" s="3">
        <v>70.83</v>
      </c>
      <c r="CH1026" s="22">
        <f t="shared" si="201"/>
        <v>1416.6599999999999</v>
      </c>
      <c r="CI1026" s="3">
        <f t="shared" si="202"/>
        <v>0</v>
      </c>
      <c r="CJ1026" s="17">
        <f t="shared" si="203"/>
        <v>11470</v>
      </c>
      <c r="CK1026" s="3" t="str">
        <f t="shared" si="204"/>
        <v>خ ت اسنان</v>
      </c>
    </row>
    <row r="1027" spans="3:89" x14ac:dyDescent="0.25">
      <c r="C1027" s="17" t="s">
        <v>557</v>
      </c>
      <c r="D1027" s="17">
        <v>18603</v>
      </c>
      <c r="E1027" s="17">
        <v>11471</v>
      </c>
      <c r="F1027" s="3" t="s">
        <v>123</v>
      </c>
      <c r="G1027" s="3" t="str">
        <f>+G1025</f>
        <v xml:space="preserve">مكافاه مناقشه ماجستير </v>
      </c>
      <c r="I1027" s="3">
        <v>469</v>
      </c>
      <c r="AU1027" s="22">
        <f t="shared" si="200"/>
        <v>469</v>
      </c>
      <c r="AV1027" s="3">
        <v>313.7</v>
      </c>
      <c r="AW1027" s="3">
        <v>42.3</v>
      </c>
      <c r="AX1027" s="3">
        <v>113</v>
      </c>
      <c r="CH1027" s="22">
        <f t="shared" si="201"/>
        <v>469</v>
      </c>
      <c r="CI1027" s="3">
        <f t="shared" si="202"/>
        <v>0</v>
      </c>
      <c r="CJ1027" s="17">
        <f t="shared" si="203"/>
        <v>11471</v>
      </c>
      <c r="CK1027" s="3" t="str">
        <f t="shared" si="204"/>
        <v>خ ت اسنان</v>
      </c>
    </row>
    <row r="1028" spans="3:89" x14ac:dyDescent="0.25">
      <c r="C1028" s="17" t="s">
        <v>557</v>
      </c>
      <c r="D1028" s="17">
        <v>18599</v>
      </c>
      <c r="E1028" s="17">
        <v>11472</v>
      </c>
      <c r="F1028" s="3" t="s">
        <v>123</v>
      </c>
      <c r="G1028" s="3" t="str">
        <f>+G1026</f>
        <v>مكافاه مناقشه دكتوراه</v>
      </c>
      <c r="I1028" s="3">
        <v>1416.66</v>
      </c>
      <c r="AU1028" s="22">
        <f t="shared" si="200"/>
        <v>1416.66</v>
      </c>
      <c r="AV1028" s="3">
        <v>1069.26</v>
      </c>
      <c r="AW1028" s="3">
        <v>276.57</v>
      </c>
      <c r="AY1028" s="3">
        <v>70.83</v>
      </c>
      <c r="CH1028" s="22">
        <f t="shared" si="201"/>
        <v>1416.6599999999999</v>
      </c>
      <c r="CI1028" s="3">
        <f t="shared" si="202"/>
        <v>0</v>
      </c>
      <c r="CJ1028" s="17">
        <f t="shared" si="203"/>
        <v>11472</v>
      </c>
      <c r="CK1028" s="3" t="str">
        <f t="shared" si="204"/>
        <v>خ ت اسنان</v>
      </c>
    </row>
    <row r="1029" spans="3:89" x14ac:dyDescent="0.25">
      <c r="C1029" s="17" t="s">
        <v>557</v>
      </c>
      <c r="D1029" s="17">
        <v>18601</v>
      </c>
      <c r="E1029" s="17">
        <v>11473</v>
      </c>
      <c r="F1029" s="3" t="s">
        <v>123</v>
      </c>
      <c r="G1029" s="3" t="str">
        <f>+G1028</f>
        <v>مكافاه مناقشه دكتوراه</v>
      </c>
      <c r="I1029" s="3">
        <v>879.38</v>
      </c>
      <c r="AU1029" s="22">
        <f t="shared" ref="AU1029:AU1060" si="205">SUM(I1029:AS1029)</f>
        <v>879.38</v>
      </c>
      <c r="AV1029" s="3">
        <v>587.6</v>
      </c>
      <c r="AW1029" s="3">
        <f>75+4.9</f>
        <v>79.900000000000006</v>
      </c>
      <c r="AX1029" s="3">
        <v>211.88</v>
      </c>
      <c r="CH1029" s="22">
        <f t="shared" si="201"/>
        <v>879.38</v>
      </c>
      <c r="CI1029" s="3">
        <f t="shared" si="202"/>
        <v>0</v>
      </c>
      <c r="CJ1029" s="17">
        <f t="shared" si="203"/>
        <v>11473</v>
      </c>
      <c r="CK1029" s="3" t="str">
        <f t="shared" si="204"/>
        <v>خ ت اسنان</v>
      </c>
    </row>
    <row r="1030" spans="3:89" x14ac:dyDescent="0.25">
      <c r="C1030" s="17" t="s">
        <v>557</v>
      </c>
      <c r="D1030" s="17">
        <v>18628</v>
      </c>
      <c r="E1030" s="17">
        <v>11474</v>
      </c>
      <c r="F1030" s="3" t="s">
        <v>123</v>
      </c>
      <c r="G1030" s="3" t="str">
        <f>+G1027</f>
        <v xml:space="preserve">مكافاه مناقشه ماجستير </v>
      </c>
      <c r="I1030" s="3">
        <v>1933.32</v>
      </c>
      <c r="AU1030" s="22">
        <f t="shared" si="205"/>
        <v>1933.32</v>
      </c>
      <c r="AV1030" s="3">
        <v>1459.4</v>
      </c>
      <c r="AW1030" s="3">
        <v>377.26</v>
      </c>
      <c r="AY1030" s="3">
        <v>96.66</v>
      </c>
      <c r="CH1030" s="22">
        <f t="shared" si="201"/>
        <v>1933.3200000000002</v>
      </c>
      <c r="CI1030" s="3">
        <f t="shared" si="202"/>
        <v>0</v>
      </c>
      <c r="CJ1030" s="17">
        <f t="shared" si="203"/>
        <v>11474</v>
      </c>
      <c r="CK1030" s="3" t="str">
        <f t="shared" si="204"/>
        <v>خ ت اسنان</v>
      </c>
    </row>
    <row r="1031" spans="3:89" x14ac:dyDescent="0.25">
      <c r="C1031" s="17" t="s">
        <v>557</v>
      </c>
      <c r="D1031" s="17">
        <v>18621</v>
      </c>
      <c r="E1031" s="17">
        <v>11475</v>
      </c>
      <c r="F1031" s="3" t="s">
        <v>123</v>
      </c>
      <c r="G1031" s="3" t="str">
        <f>+G1030</f>
        <v xml:space="preserve">مكافاه مناقشه ماجستير </v>
      </c>
      <c r="I1031" s="3">
        <v>1900</v>
      </c>
      <c r="AU1031" s="22">
        <f t="shared" si="205"/>
        <v>1900</v>
      </c>
      <c r="AV1031" s="3">
        <v>1434.32</v>
      </c>
      <c r="AW1031" s="3">
        <v>370.68</v>
      </c>
      <c r="AY1031" s="3">
        <v>95</v>
      </c>
      <c r="CH1031" s="22">
        <f t="shared" si="201"/>
        <v>1900</v>
      </c>
      <c r="CI1031" s="3">
        <f t="shared" si="202"/>
        <v>0</v>
      </c>
      <c r="CJ1031" s="17">
        <f t="shared" si="203"/>
        <v>11475</v>
      </c>
      <c r="CK1031" s="3" t="str">
        <f t="shared" si="204"/>
        <v>خ ت اسنان</v>
      </c>
    </row>
    <row r="1032" spans="3:89" x14ac:dyDescent="0.25">
      <c r="C1032" s="17" t="s">
        <v>557</v>
      </c>
      <c r="D1032" s="17">
        <v>18618</v>
      </c>
      <c r="E1032" s="17">
        <v>11476</v>
      </c>
      <c r="F1032" s="3" t="s">
        <v>123</v>
      </c>
      <c r="G1032" s="3" t="str">
        <f>+G1031</f>
        <v xml:space="preserve">مكافاه مناقشه ماجستير </v>
      </c>
      <c r="I1032" s="3">
        <v>469</v>
      </c>
      <c r="AU1032" s="22">
        <f t="shared" si="205"/>
        <v>469</v>
      </c>
      <c r="AV1032" s="3">
        <v>313.7</v>
      </c>
      <c r="AW1032" s="3">
        <v>42.3</v>
      </c>
      <c r="AX1032" s="3">
        <v>113</v>
      </c>
      <c r="CH1032" s="22">
        <f t="shared" si="201"/>
        <v>469</v>
      </c>
      <c r="CI1032" s="3">
        <f t="shared" si="202"/>
        <v>0</v>
      </c>
      <c r="CJ1032" s="17">
        <f t="shared" si="203"/>
        <v>11476</v>
      </c>
      <c r="CK1032" s="3" t="str">
        <f t="shared" si="204"/>
        <v>خ ت اسنان</v>
      </c>
    </row>
    <row r="1033" spans="3:89" x14ac:dyDescent="0.25">
      <c r="C1033" s="17" t="s">
        <v>557</v>
      </c>
      <c r="D1033" s="17">
        <v>18622</v>
      </c>
      <c r="E1033" s="17">
        <v>11477</v>
      </c>
      <c r="F1033" s="3" t="s">
        <v>123</v>
      </c>
      <c r="G1033" s="3" t="str">
        <f>+G1032</f>
        <v xml:space="preserve">مكافاه مناقشه ماجستير </v>
      </c>
      <c r="I1033" s="3">
        <v>1113.8800000000001</v>
      </c>
      <c r="AU1033" s="22">
        <f t="shared" si="205"/>
        <v>1113.8800000000001</v>
      </c>
      <c r="AV1033" s="3">
        <v>744.7</v>
      </c>
      <c r="AW1033" s="3">
        <f>95+5.8</f>
        <v>100.8</v>
      </c>
      <c r="AX1033" s="3">
        <f>369.18-100.8</f>
        <v>268.38</v>
      </c>
      <c r="CH1033" s="22">
        <f t="shared" si="201"/>
        <v>1113.8800000000001</v>
      </c>
      <c r="CI1033" s="3">
        <f t="shared" si="202"/>
        <v>0</v>
      </c>
      <c r="CJ1033" s="17">
        <f t="shared" si="203"/>
        <v>11477</v>
      </c>
      <c r="CK1033" s="3" t="str">
        <f t="shared" si="204"/>
        <v>خ ت اسنان</v>
      </c>
    </row>
    <row r="1034" spans="3:89" x14ac:dyDescent="0.25">
      <c r="C1034" s="17" t="s">
        <v>557</v>
      </c>
      <c r="D1034" s="17">
        <v>18625</v>
      </c>
      <c r="E1034" s="17">
        <v>11478</v>
      </c>
      <c r="F1034" s="3" t="s">
        <v>123</v>
      </c>
      <c r="G1034" s="3" t="str">
        <f>+G1033</f>
        <v xml:space="preserve">مكافاه مناقشه ماجستير </v>
      </c>
      <c r="I1034" s="3">
        <v>1350</v>
      </c>
      <c r="AU1034" s="22">
        <f t="shared" si="205"/>
        <v>1350</v>
      </c>
      <c r="AV1034" s="3">
        <v>1019.12</v>
      </c>
      <c r="AW1034" s="3">
        <v>263.38</v>
      </c>
      <c r="AY1034" s="3">
        <v>67.5</v>
      </c>
      <c r="CH1034" s="22">
        <f t="shared" ref="CH1034:CH1065" si="206">SUM(AV1034:CG1034)</f>
        <v>1350</v>
      </c>
      <c r="CI1034" s="3">
        <f t="shared" ref="CI1034:CI1065" si="207">+CH1034-AU1034</f>
        <v>0</v>
      </c>
      <c r="CJ1034" s="17">
        <f t="shared" ref="CJ1034:CJ1067" si="208">+E1034</f>
        <v>11478</v>
      </c>
      <c r="CK1034" s="3" t="str">
        <f t="shared" ref="CK1034:CK1067" si="209">+F1034</f>
        <v>خ ت اسنان</v>
      </c>
    </row>
    <row r="1035" spans="3:89" x14ac:dyDescent="0.25">
      <c r="C1035" s="17" t="s">
        <v>557</v>
      </c>
      <c r="D1035" s="17">
        <v>18626</v>
      </c>
      <c r="E1035" s="17">
        <v>11479</v>
      </c>
      <c r="F1035" s="3" t="s">
        <v>123</v>
      </c>
      <c r="G1035" s="3" t="str">
        <f>+G1034</f>
        <v xml:space="preserve">مكافاه مناقشه ماجستير </v>
      </c>
      <c r="I1035" s="3">
        <v>371.21</v>
      </c>
      <c r="AU1035" s="22">
        <f t="shared" si="205"/>
        <v>371.21</v>
      </c>
      <c r="AV1035" s="3">
        <v>274.7</v>
      </c>
      <c r="AW1035" s="3">
        <v>70.73</v>
      </c>
      <c r="AX1035" s="3">
        <v>7.45</v>
      </c>
      <c r="AY1035" s="3">
        <v>18.329999999999998</v>
      </c>
      <c r="CH1035" s="22">
        <f t="shared" si="206"/>
        <v>371.21</v>
      </c>
      <c r="CI1035" s="3">
        <f t="shared" si="207"/>
        <v>0</v>
      </c>
      <c r="CJ1035" s="17">
        <f t="shared" si="208"/>
        <v>11479</v>
      </c>
      <c r="CK1035" s="3" t="str">
        <f t="shared" si="209"/>
        <v>خ ت اسنان</v>
      </c>
    </row>
    <row r="1036" spans="3:89" x14ac:dyDescent="0.25">
      <c r="C1036" s="17" t="s">
        <v>557</v>
      </c>
      <c r="D1036" s="17">
        <v>18632</v>
      </c>
      <c r="E1036" s="17">
        <v>11480</v>
      </c>
      <c r="F1036" s="3" t="s">
        <v>123</v>
      </c>
      <c r="G1036" s="3" t="str">
        <f>+G1029</f>
        <v>مكافاه مناقشه دكتوراه</v>
      </c>
      <c r="I1036" s="3">
        <v>4250</v>
      </c>
      <c r="AU1036" s="22">
        <f t="shared" si="205"/>
        <v>4250</v>
      </c>
      <c r="AV1036" s="3">
        <v>3205.68</v>
      </c>
      <c r="AW1036" s="3">
        <v>831.82</v>
      </c>
      <c r="AY1036" s="3">
        <v>212.5</v>
      </c>
      <c r="CH1036" s="22">
        <f t="shared" si="206"/>
        <v>4250</v>
      </c>
      <c r="CI1036" s="3">
        <f t="shared" si="207"/>
        <v>0</v>
      </c>
      <c r="CJ1036" s="17">
        <f t="shared" si="208"/>
        <v>11480</v>
      </c>
      <c r="CK1036" s="3" t="str">
        <f t="shared" si="209"/>
        <v>خ ت اسنان</v>
      </c>
    </row>
    <row r="1037" spans="3:89" x14ac:dyDescent="0.25">
      <c r="C1037" s="17" t="s">
        <v>557</v>
      </c>
      <c r="D1037" s="17">
        <v>18631</v>
      </c>
      <c r="E1037" s="17">
        <v>11481</v>
      </c>
      <c r="F1037" s="3" t="s">
        <v>123</v>
      </c>
      <c r="G1037" s="3" t="str">
        <f>+G1035</f>
        <v xml:space="preserve">مكافاه مناقشه ماجستير </v>
      </c>
      <c r="I1037" s="3">
        <v>469</v>
      </c>
      <c r="AU1037" s="22">
        <f t="shared" si="205"/>
        <v>469</v>
      </c>
      <c r="AV1037" s="3">
        <v>313.7</v>
      </c>
      <c r="AW1037" s="3">
        <v>42.3</v>
      </c>
      <c r="AX1037" s="3">
        <v>113</v>
      </c>
      <c r="CH1037" s="22">
        <f t="shared" si="206"/>
        <v>469</v>
      </c>
      <c r="CI1037" s="3">
        <f t="shared" si="207"/>
        <v>0</v>
      </c>
      <c r="CJ1037" s="17">
        <f t="shared" si="208"/>
        <v>11481</v>
      </c>
      <c r="CK1037" s="3" t="str">
        <f t="shared" si="209"/>
        <v>خ ت اسنان</v>
      </c>
    </row>
    <row r="1038" spans="3:89" x14ac:dyDescent="0.25">
      <c r="C1038" s="17" t="s">
        <v>557</v>
      </c>
      <c r="D1038" s="17">
        <v>18635</v>
      </c>
      <c r="E1038" s="17">
        <v>11482</v>
      </c>
      <c r="F1038" s="3" t="s">
        <v>123</v>
      </c>
      <c r="G1038" s="3" t="str">
        <f>+G1036</f>
        <v>مكافاه مناقشه دكتوراه</v>
      </c>
      <c r="I1038" s="3">
        <v>879.38</v>
      </c>
      <c r="AU1038" s="22">
        <f t="shared" si="205"/>
        <v>879.38</v>
      </c>
      <c r="AV1038" s="3">
        <v>588.15</v>
      </c>
      <c r="AW1038" s="3">
        <f>4.35+75</f>
        <v>79.349999999999994</v>
      </c>
      <c r="AX1038" s="3">
        <v>211.88</v>
      </c>
      <c r="CH1038" s="22">
        <f t="shared" si="206"/>
        <v>879.38</v>
      </c>
      <c r="CI1038" s="3">
        <f t="shared" si="207"/>
        <v>0</v>
      </c>
      <c r="CJ1038" s="17">
        <f t="shared" si="208"/>
        <v>11482</v>
      </c>
      <c r="CK1038" s="3" t="str">
        <f t="shared" si="209"/>
        <v>خ ت اسنان</v>
      </c>
    </row>
    <row r="1039" spans="3:89" x14ac:dyDescent="0.25">
      <c r="C1039" s="17" t="s">
        <v>557</v>
      </c>
      <c r="D1039" s="17">
        <v>18660</v>
      </c>
      <c r="E1039" s="17">
        <v>11483</v>
      </c>
      <c r="F1039" s="3" t="s">
        <v>123</v>
      </c>
      <c r="G1039" s="3" t="str">
        <f>+G1037</f>
        <v xml:space="preserve">مكافاه مناقشه ماجستير </v>
      </c>
      <c r="I1039" s="3">
        <v>950</v>
      </c>
      <c r="AU1039" s="22">
        <f t="shared" si="205"/>
        <v>950</v>
      </c>
      <c r="AV1039" s="3">
        <v>716.96</v>
      </c>
      <c r="AW1039" s="3">
        <v>185.54</v>
      </c>
      <c r="AY1039" s="3">
        <v>47.5</v>
      </c>
      <c r="CH1039" s="22">
        <f t="shared" si="206"/>
        <v>950</v>
      </c>
      <c r="CI1039" s="3">
        <f t="shared" si="207"/>
        <v>0</v>
      </c>
      <c r="CJ1039" s="17">
        <f t="shared" si="208"/>
        <v>11483</v>
      </c>
      <c r="CK1039" s="3" t="str">
        <f t="shared" si="209"/>
        <v>خ ت اسنان</v>
      </c>
    </row>
    <row r="1040" spans="3:89" x14ac:dyDescent="0.25">
      <c r="C1040" s="17" t="s">
        <v>557</v>
      </c>
      <c r="D1040" s="17">
        <v>18663</v>
      </c>
      <c r="E1040" s="17">
        <v>11484</v>
      </c>
      <c r="F1040" s="3" t="s">
        <v>123</v>
      </c>
      <c r="G1040" s="3" t="str">
        <f>+G1039</f>
        <v xml:space="preserve">مكافاه مناقشه ماجستير </v>
      </c>
      <c r="I1040" s="3">
        <v>469</v>
      </c>
      <c r="AU1040" s="22">
        <f t="shared" si="205"/>
        <v>469</v>
      </c>
      <c r="AV1040" s="3">
        <v>314</v>
      </c>
      <c r="AW1040" s="3">
        <v>42</v>
      </c>
      <c r="AX1040" s="3">
        <v>113</v>
      </c>
      <c r="CH1040" s="22">
        <f t="shared" si="206"/>
        <v>469</v>
      </c>
      <c r="CI1040" s="3">
        <f t="shared" si="207"/>
        <v>0</v>
      </c>
      <c r="CJ1040" s="17">
        <f t="shared" si="208"/>
        <v>11484</v>
      </c>
      <c r="CK1040" s="3" t="str">
        <f t="shared" si="209"/>
        <v>خ ت اسنان</v>
      </c>
    </row>
    <row r="1041" spans="2:89" x14ac:dyDescent="0.25">
      <c r="B1041" s="3"/>
      <c r="C1041" s="17">
        <v>18657</v>
      </c>
      <c r="D1041" s="17">
        <v>18655</v>
      </c>
      <c r="E1041" s="17">
        <v>11485</v>
      </c>
      <c r="F1041" s="3" t="s">
        <v>123</v>
      </c>
      <c r="G1041" s="3" t="str">
        <f>+G1038</f>
        <v>مكافاه مناقشه دكتوراه</v>
      </c>
      <c r="I1041" s="3">
        <v>3000</v>
      </c>
      <c r="AU1041" s="22">
        <f t="shared" si="205"/>
        <v>3000</v>
      </c>
      <c r="AV1041" s="3">
        <v>2264.16</v>
      </c>
      <c r="AW1041" s="3">
        <v>585.84</v>
      </c>
      <c r="AX1041" s="32"/>
      <c r="AY1041" s="3">
        <v>150</v>
      </c>
      <c r="CH1041" s="22">
        <f t="shared" si="206"/>
        <v>3000</v>
      </c>
      <c r="CI1041" s="3">
        <f t="shared" si="207"/>
        <v>0</v>
      </c>
      <c r="CJ1041" s="17">
        <f t="shared" si="208"/>
        <v>11485</v>
      </c>
      <c r="CK1041" s="3" t="str">
        <f t="shared" si="209"/>
        <v>خ ت اسنان</v>
      </c>
    </row>
    <row r="1042" spans="2:89" x14ac:dyDescent="0.25">
      <c r="C1042" s="17" t="s">
        <v>557</v>
      </c>
      <c r="D1042" s="17">
        <v>18655</v>
      </c>
      <c r="E1042" s="17">
        <v>11486</v>
      </c>
      <c r="F1042" s="3" t="s">
        <v>123</v>
      </c>
      <c r="G1042" s="3" t="str">
        <f>+G1041</f>
        <v>مكافاه مناقشه دكتوراه</v>
      </c>
      <c r="I1042" s="3">
        <v>1250</v>
      </c>
      <c r="AU1042" s="22">
        <f t="shared" si="205"/>
        <v>1250</v>
      </c>
      <c r="AV1042" s="3">
        <v>942.8</v>
      </c>
      <c r="AW1042" s="3">
        <v>244.7</v>
      </c>
      <c r="AY1042" s="3">
        <v>62.5</v>
      </c>
      <c r="CH1042" s="22">
        <f t="shared" si="206"/>
        <v>1250</v>
      </c>
      <c r="CI1042" s="3">
        <f t="shared" si="207"/>
        <v>0</v>
      </c>
      <c r="CJ1042" s="17">
        <f t="shared" si="208"/>
        <v>11486</v>
      </c>
      <c r="CK1042" s="3" t="str">
        <f t="shared" si="209"/>
        <v>خ ت اسنان</v>
      </c>
    </row>
    <row r="1043" spans="2:89" x14ac:dyDescent="0.25">
      <c r="C1043" s="17" t="s">
        <v>557</v>
      </c>
      <c r="D1043" s="17">
        <v>18637</v>
      </c>
      <c r="E1043" s="17">
        <v>11487</v>
      </c>
      <c r="F1043" s="3" t="s">
        <v>123</v>
      </c>
      <c r="G1043" s="3" t="str">
        <f>+G1039</f>
        <v xml:space="preserve">مكافاه مناقشه ماجستير </v>
      </c>
      <c r="I1043" s="3">
        <v>950</v>
      </c>
      <c r="AU1043" s="22">
        <f t="shared" si="205"/>
        <v>950</v>
      </c>
      <c r="AV1043" s="3">
        <v>717.28</v>
      </c>
      <c r="AW1043" s="3">
        <v>185.22</v>
      </c>
      <c r="AY1043" s="3">
        <v>47.5</v>
      </c>
      <c r="CH1043" s="22">
        <f t="shared" si="206"/>
        <v>950</v>
      </c>
      <c r="CI1043" s="3">
        <f t="shared" si="207"/>
        <v>0</v>
      </c>
      <c r="CJ1043" s="17">
        <f t="shared" si="208"/>
        <v>11487</v>
      </c>
      <c r="CK1043" s="3" t="str">
        <f t="shared" si="209"/>
        <v>خ ت اسنان</v>
      </c>
    </row>
    <row r="1044" spans="2:89" x14ac:dyDescent="0.25">
      <c r="C1044" s="17" t="s">
        <v>557</v>
      </c>
      <c r="D1044" s="17">
        <v>18651</v>
      </c>
      <c r="E1044" s="17">
        <v>11488</v>
      </c>
      <c r="F1044" s="3" t="s">
        <v>123</v>
      </c>
      <c r="G1044" s="3" t="str">
        <f>+G1042</f>
        <v>مكافاه مناقشه دكتوراه</v>
      </c>
      <c r="I1044" s="3">
        <v>879.38</v>
      </c>
      <c r="AU1044" s="22">
        <f t="shared" si="205"/>
        <v>879.38</v>
      </c>
      <c r="AV1044" s="3">
        <v>588.15</v>
      </c>
      <c r="AW1044" s="3">
        <f>75+4.35</f>
        <v>79.349999999999994</v>
      </c>
      <c r="AX1044" s="3">
        <v>211.88</v>
      </c>
      <c r="CH1044" s="22">
        <f t="shared" si="206"/>
        <v>879.38</v>
      </c>
      <c r="CI1044" s="3">
        <f t="shared" si="207"/>
        <v>0</v>
      </c>
      <c r="CJ1044" s="17">
        <f t="shared" si="208"/>
        <v>11488</v>
      </c>
      <c r="CK1044" s="3" t="str">
        <f t="shared" si="209"/>
        <v>خ ت اسنان</v>
      </c>
    </row>
    <row r="1045" spans="2:89" x14ac:dyDescent="0.25">
      <c r="C1045" s="17" t="s">
        <v>557</v>
      </c>
      <c r="D1045" s="17">
        <v>18638</v>
      </c>
      <c r="E1045" s="17">
        <v>11489</v>
      </c>
      <c r="F1045" s="3" t="s">
        <v>123</v>
      </c>
      <c r="G1045" s="3" t="str">
        <f>+G1043</f>
        <v xml:space="preserve">مكافاه مناقشه ماجستير </v>
      </c>
      <c r="I1045" s="3">
        <v>675</v>
      </c>
      <c r="AU1045" s="22">
        <f t="shared" si="205"/>
        <v>675</v>
      </c>
      <c r="AV1045" s="3">
        <v>509.96</v>
      </c>
      <c r="AW1045" s="3">
        <v>131.29</v>
      </c>
      <c r="AY1045" s="3">
        <v>33.75</v>
      </c>
      <c r="CH1045" s="22">
        <f t="shared" si="206"/>
        <v>675</v>
      </c>
      <c r="CI1045" s="3">
        <f t="shared" si="207"/>
        <v>0</v>
      </c>
      <c r="CJ1045" s="17">
        <f t="shared" si="208"/>
        <v>11489</v>
      </c>
      <c r="CK1045" s="3" t="str">
        <f t="shared" si="209"/>
        <v>خ ت اسنان</v>
      </c>
    </row>
    <row r="1046" spans="2:89" x14ac:dyDescent="0.25">
      <c r="C1046" s="17" t="s">
        <v>557</v>
      </c>
      <c r="D1046" s="17">
        <v>18641</v>
      </c>
      <c r="E1046" s="17">
        <v>11490</v>
      </c>
      <c r="F1046" s="3" t="s">
        <v>123</v>
      </c>
      <c r="G1046" s="3" t="str">
        <f>+G1045</f>
        <v xml:space="preserve">مكافاه مناقشه ماجستير </v>
      </c>
      <c r="I1046" s="3">
        <v>275</v>
      </c>
      <c r="AU1046" s="22">
        <f t="shared" si="205"/>
        <v>275</v>
      </c>
      <c r="AV1046" s="3">
        <v>207.8</v>
      </c>
      <c r="AW1046" s="3">
        <v>53.45</v>
      </c>
      <c r="AY1046" s="3">
        <v>13.75</v>
      </c>
      <c r="CH1046" s="22">
        <f t="shared" si="206"/>
        <v>275</v>
      </c>
      <c r="CI1046" s="3">
        <f t="shared" si="207"/>
        <v>0</v>
      </c>
      <c r="CJ1046" s="17">
        <f t="shared" si="208"/>
        <v>11490</v>
      </c>
      <c r="CK1046" s="3" t="str">
        <f t="shared" si="209"/>
        <v>خ ت اسنان</v>
      </c>
    </row>
    <row r="1047" spans="2:89" x14ac:dyDescent="0.25">
      <c r="C1047" s="17" t="s">
        <v>557</v>
      </c>
      <c r="D1047" s="17">
        <v>18646</v>
      </c>
      <c r="E1047" s="17">
        <v>11491</v>
      </c>
      <c r="F1047" s="3" t="s">
        <v>123</v>
      </c>
      <c r="G1047" s="3" t="str">
        <f>+G1046</f>
        <v xml:space="preserve">مكافاه مناقشه ماجستير </v>
      </c>
      <c r="I1047" s="3">
        <v>400</v>
      </c>
      <c r="AU1047" s="22">
        <f t="shared" si="205"/>
        <v>400</v>
      </c>
      <c r="AV1047" s="3">
        <v>302.16000000000003</v>
      </c>
      <c r="AW1047" s="3">
        <v>77.84</v>
      </c>
      <c r="AY1047" s="3">
        <v>20</v>
      </c>
      <c r="CH1047" s="22">
        <f t="shared" si="206"/>
        <v>400</v>
      </c>
      <c r="CI1047" s="3">
        <f t="shared" si="207"/>
        <v>0</v>
      </c>
      <c r="CJ1047" s="17">
        <f t="shared" si="208"/>
        <v>11491</v>
      </c>
      <c r="CK1047" s="3" t="str">
        <f t="shared" si="209"/>
        <v>خ ت اسنان</v>
      </c>
    </row>
    <row r="1048" spans="2:89" x14ac:dyDescent="0.25">
      <c r="C1048" s="17" t="s">
        <v>557</v>
      </c>
      <c r="D1048" s="17">
        <v>18642</v>
      </c>
      <c r="E1048" s="17">
        <v>11492</v>
      </c>
      <c r="F1048" s="3" t="s">
        <v>123</v>
      </c>
      <c r="G1048" s="3" t="str">
        <f>+G1047</f>
        <v xml:space="preserve">مكافاه مناقشه ماجستير </v>
      </c>
      <c r="I1048" s="3">
        <v>469</v>
      </c>
      <c r="AU1048" s="22">
        <f t="shared" si="205"/>
        <v>469</v>
      </c>
      <c r="AV1048" s="3">
        <v>314</v>
      </c>
      <c r="AW1048" s="3">
        <v>42</v>
      </c>
      <c r="AX1048" s="3">
        <v>113</v>
      </c>
      <c r="CH1048" s="22">
        <f t="shared" si="206"/>
        <v>469</v>
      </c>
      <c r="CI1048" s="3">
        <f t="shared" si="207"/>
        <v>0</v>
      </c>
      <c r="CJ1048" s="17">
        <f t="shared" si="208"/>
        <v>11492</v>
      </c>
      <c r="CK1048" s="3" t="str">
        <f t="shared" si="209"/>
        <v>خ ت اسنان</v>
      </c>
    </row>
    <row r="1049" spans="2:89" x14ac:dyDescent="0.25">
      <c r="C1049" s="17" t="s">
        <v>557</v>
      </c>
      <c r="D1049" s="17">
        <v>18661</v>
      </c>
      <c r="E1049" s="17">
        <v>11493</v>
      </c>
      <c r="F1049" s="3" t="s">
        <v>123</v>
      </c>
      <c r="G1049" s="3" t="str">
        <f>+G1048</f>
        <v xml:space="preserve">مكافاه مناقشه ماجستير </v>
      </c>
      <c r="I1049" s="3">
        <v>950</v>
      </c>
      <c r="AU1049" s="22">
        <f t="shared" si="205"/>
        <v>950</v>
      </c>
      <c r="AV1049" s="3">
        <v>717.36</v>
      </c>
      <c r="AW1049" s="3">
        <v>185.14</v>
      </c>
      <c r="AY1049" s="3">
        <v>47.5</v>
      </c>
      <c r="CH1049" s="22">
        <f t="shared" si="206"/>
        <v>950</v>
      </c>
      <c r="CI1049" s="3">
        <f t="shared" si="207"/>
        <v>0</v>
      </c>
      <c r="CJ1049" s="17">
        <f t="shared" si="208"/>
        <v>11493</v>
      </c>
      <c r="CK1049" s="3" t="str">
        <f t="shared" si="209"/>
        <v>خ ت اسنان</v>
      </c>
    </row>
    <row r="1050" spans="2:89" x14ac:dyDescent="0.25">
      <c r="C1050" s="17" t="s">
        <v>557</v>
      </c>
      <c r="D1050" s="17">
        <v>1844</v>
      </c>
      <c r="E1050" s="17">
        <v>11494</v>
      </c>
      <c r="F1050" s="3" t="s">
        <v>123</v>
      </c>
      <c r="G1050" s="3" t="str">
        <f>+G1049</f>
        <v xml:space="preserve">مكافاه مناقشه ماجستير </v>
      </c>
      <c r="I1050" s="3">
        <v>1994.88</v>
      </c>
      <c r="AU1050" s="22">
        <f t="shared" si="205"/>
        <v>1994.88</v>
      </c>
      <c r="AV1050" s="3">
        <v>1432.13</v>
      </c>
      <c r="AW1050" s="3">
        <v>312.37</v>
      </c>
      <c r="AX1050" s="3">
        <v>155.38</v>
      </c>
      <c r="AY1050" s="3">
        <v>95</v>
      </c>
      <c r="CH1050" s="22">
        <f t="shared" si="206"/>
        <v>1994.88</v>
      </c>
      <c r="CI1050" s="3">
        <f t="shared" si="207"/>
        <v>0</v>
      </c>
      <c r="CJ1050" s="17">
        <f t="shared" si="208"/>
        <v>11494</v>
      </c>
      <c r="CK1050" s="3" t="str">
        <f t="shared" si="209"/>
        <v>خ ت اسنان</v>
      </c>
    </row>
    <row r="1051" spans="2:89" x14ac:dyDescent="0.25">
      <c r="C1051" s="17" t="s">
        <v>557</v>
      </c>
      <c r="D1051" s="17">
        <v>18596</v>
      </c>
      <c r="E1051" s="17">
        <v>11495</v>
      </c>
      <c r="F1051" s="3" t="s">
        <v>123</v>
      </c>
      <c r="G1051" s="3" t="str">
        <f>+G1044</f>
        <v>مكافاه مناقشه دكتوراه</v>
      </c>
      <c r="I1051" s="3">
        <v>666.66</v>
      </c>
      <c r="AU1051" s="22">
        <f t="shared" si="205"/>
        <v>666.66</v>
      </c>
      <c r="AV1051" s="3">
        <v>503.18</v>
      </c>
      <c r="AW1051" s="3">
        <v>130.15</v>
      </c>
      <c r="AY1051" s="3">
        <v>33.33</v>
      </c>
      <c r="CH1051" s="22">
        <f t="shared" si="206"/>
        <v>666.66000000000008</v>
      </c>
      <c r="CI1051" s="3">
        <f t="shared" si="207"/>
        <v>0</v>
      </c>
      <c r="CJ1051" s="17">
        <f t="shared" si="208"/>
        <v>11495</v>
      </c>
      <c r="CK1051" s="3" t="str">
        <f t="shared" si="209"/>
        <v>خ ت اسنان</v>
      </c>
    </row>
    <row r="1052" spans="2:89" x14ac:dyDescent="0.25">
      <c r="C1052" s="17" t="s">
        <v>557</v>
      </c>
      <c r="D1052" s="17">
        <v>18787</v>
      </c>
      <c r="E1052" s="17">
        <v>11496</v>
      </c>
      <c r="F1052" s="3" t="s">
        <v>123</v>
      </c>
      <c r="G1052" s="3" t="str">
        <f>+G1050</f>
        <v xml:space="preserve">مكافاه مناقشه ماجستير </v>
      </c>
      <c r="I1052" s="3">
        <v>766.66</v>
      </c>
      <c r="AU1052" s="22">
        <f t="shared" si="205"/>
        <v>766.66</v>
      </c>
      <c r="AV1052" s="3">
        <v>579.14</v>
      </c>
      <c r="AW1052" s="3">
        <v>149.19</v>
      </c>
      <c r="AY1052" s="3">
        <v>38.33</v>
      </c>
      <c r="CH1052" s="22">
        <f t="shared" si="206"/>
        <v>766.66</v>
      </c>
      <c r="CI1052" s="3">
        <f t="shared" si="207"/>
        <v>0</v>
      </c>
      <c r="CJ1052" s="17">
        <f t="shared" si="208"/>
        <v>11496</v>
      </c>
      <c r="CK1052" s="3" t="str">
        <f t="shared" si="209"/>
        <v>خ ت اسنان</v>
      </c>
    </row>
    <row r="1053" spans="2:89" x14ac:dyDescent="0.25">
      <c r="C1053" s="17" t="s">
        <v>557</v>
      </c>
      <c r="D1053" s="17">
        <v>18781</v>
      </c>
      <c r="E1053" s="17">
        <v>11497</v>
      </c>
      <c r="F1053" s="3" t="s">
        <v>123</v>
      </c>
      <c r="G1053" s="3" t="str">
        <f>+G1051</f>
        <v>مكافاه مناقشه دكتوراه</v>
      </c>
      <c r="I1053" s="3">
        <v>879.38</v>
      </c>
      <c r="AU1053" s="22">
        <f t="shared" si="205"/>
        <v>879.38</v>
      </c>
      <c r="AV1053" s="3">
        <v>588.15</v>
      </c>
      <c r="AW1053" s="3">
        <f>4.35+75</f>
        <v>79.349999999999994</v>
      </c>
      <c r="AX1053" s="3">
        <v>211.88</v>
      </c>
      <c r="CH1053" s="22">
        <f t="shared" si="206"/>
        <v>879.38</v>
      </c>
      <c r="CI1053" s="3">
        <f t="shared" si="207"/>
        <v>0</v>
      </c>
      <c r="CJ1053" s="17">
        <f t="shared" si="208"/>
        <v>11497</v>
      </c>
      <c r="CK1053" s="3" t="str">
        <f t="shared" si="209"/>
        <v>خ ت اسنان</v>
      </c>
    </row>
    <row r="1054" spans="2:89" x14ac:dyDescent="0.25">
      <c r="C1054" s="17" t="s">
        <v>557</v>
      </c>
      <c r="D1054" s="17">
        <v>18786</v>
      </c>
      <c r="E1054" s="17">
        <v>11498</v>
      </c>
      <c r="F1054" s="3" t="s">
        <v>123</v>
      </c>
      <c r="G1054" s="3" t="str">
        <f>+G1052</f>
        <v xml:space="preserve">مكافاه مناقشه ماجستير </v>
      </c>
      <c r="I1054" s="3">
        <v>400</v>
      </c>
      <c r="AU1054" s="22">
        <f t="shared" si="205"/>
        <v>400</v>
      </c>
      <c r="AV1054" s="3">
        <v>302.16000000000003</v>
      </c>
      <c r="AW1054" s="3">
        <v>77.84</v>
      </c>
      <c r="AY1054" s="3">
        <v>20</v>
      </c>
      <c r="CH1054" s="22">
        <f t="shared" si="206"/>
        <v>400</v>
      </c>
      <c r="CI1054" s="3">
        <f t="shared" si="207"/>
        <v>0</v>
      </c>
      <c r="CJ1054" s="17">
        <f t="shared" si="208"/>
        <v>11498</v>
      </c>
      <c r="CK1054" s="3" t="str">
        <f t="shared" si="209"/>
        <v>خ ت اسنان</v>
      </c>
    </row>
    <row r="1055" spans="2:89" x14ac:dyDescent="0.25">
      <c r="C1055" s="17" t="s">
        <v>557</v>
      </c>
      <c r="D1055" s="17">
        <v>18778</v>
      </c>
      <c r="E1055" s="17">
        <v>11499</v>
      </c>
      <c r="F1055" s="3" t="s">
        <v>123</v>
      </c>
      <c r="G1055" s="3" t="str">
        <f>+G1053</f>
        <v>مكافاه مناقشه دكتوراه</v>
      </c>
      <c r="I1055" s="3">
        <v>1750</v>
      </c>
      <c r="AU1055" s="22">
        <f t="shared" si="205"/>
        <v>1750</v>
      </c>
      <c r="AV1055" s="3">
        <v>1319.8</v>
      </c>
      <c r="AW1055" s="3">
        <v>342.7</v>
      </c>
      <c r="AY1055" s="3">
        <v>87.5</v>
      </c>
      <c r="CH1055" s="22">
        <f t="shared" si="206"/>
        <v>1750</v>
      </c>
      <c r="CI1055" s="3">
        <f t="shared" si="207"/>
        <v>0</v>
      </c>
      <c r="CJ1055" s="17">
        <f t="shared" si="208"/>
        <v>11499</v>
      </c>
      <c r="CK1055" s="3" t="str">
        <f t="shared" si="209"/>
        <v>خ ت اسنان</v>
      </c>
    </row>
    <row r="1056" spans="2:89" x14ac:dyDescent="0.25">
      <c r="C1056" s="17" t="s">
        <v>557</v>
      </c>
      <c r="D1056" s="17">
        <v>18777</v>
      </c>
      <c r="E1056" s="17">
        <v>11500</v>
      </c>
      <c r="F1056" s="3" t="s">
        <v>123</v>
      </c>
      <c r="G1056" s="3" t="str">
        <f>+G1055</f>
        <v>مكافاه مناقشه دكتوراه</v>
      </c>
      <c r="I1056" s="3">
        <v>2500</v>
      </c>
      <c r="AU1056" s="22">
        <f t="shared" si="205"/>
        <v>2500</v>
      </c>
      <c r="AV1056" s="3">
        <v>1885.88</v>
      </c>
      <c r="AW1056" s="3">
        <v>489.12</v>
      </c>
      <c r="AY1056" s="3">
        <v>125</v>
      </c>
      <c r="CH1056" s="22">
        <f t="shared" si="206"/>
        <v>2500</v>
      </c>
      <c r="CI1056" s="3">
        <f t="shared" si="207"/>
        <v>0</v>
      </c>
      <c r="CJ1056" s="17">
        <f t="shared" si="208"/>
        <v>11500</v>
      </c>
      <c r="CK1056" s="3" t="str">
        <f t="shared" si="209"/>
        <v>خ ت اسنان</v>
      </c>
    </row>
    <row r="1057" spans="1:93" x14ac:dyDescent="0.25">
      <c r="C1057" s="17" t="s">
        <v>557</v>
      </c>
      <c r="D1057" s="17">
        <v>18783</v>
      </c>
      <c r="E1057" s="17">
        <v>11501</v>
      </c>
      <c r="F1057" s="3" t="s">
        <v>123</v>
      </c>
      <c r="G1057" s="3" t="str">
        <f>+G1054</f>
        <v xml:space="preserve">مكافاه مناقشه ماجستير </v>
      </c>
      <c r="I1057" s="3">
        <v>469</v>
      </c>
      <c r="AU1057" s="22">
        <f t="shared" si="205"/>
        <v>469</v>
      </c>
      <c r="AV1057" s="3">
        <v>314</v>
      </c>
      <c r="AW1057" s="3">
        <v>42</v>
      </c>
      <c r="AX1057" s="3">
        <v>113</v>
      </c>
      <c r="CH1057" s="22">
        <f t="shared" si="206"/>
        <v>469</v>
      </c>
      <c r="CI1057" s="3">
        <f t="shared" si="207"/>
        <v>0</v>
      </c>
      <c r="CJ1057" s="17">
        <f t="shared" si="208"/>
        <v>11501</v>
      </c>
      <c r="CK1057" s="3" t="str">
        <f t="shared" si="209"/>
        <v>خ ت اسنان</v>
      </c>
    </row>
    <row r="1058" spans="1:93" x14ac:dyDescent="0.25">
      <c r="C1058" s="17" t="s">
        <v>557</v>
      </c>
      <c r="D1058" s="17">
        <v>18791</v>
      </c>
      <c r="E1058" s="17">
        <v>11502</v>
      </c>
      <c r="F1058" s="3" t="s">
        <v>123</v>
      </c>
      <c r="G1058" s="3" t="str">
        <f t="shared" ref="G1058:G1063" si="210">+G1057</f>
        <v xml:space="preserve">مكافاه مناقشه ماجستير </v>
      </c>
      <c r="I1058" s="3">
        <v>414.33</v>
      </c>
      <c r="AU1058" s="22">
        <f t="shared" si="205"/>
        <v>414.33</v>
      </c>
      <c r="AV1058" s="3">
        <v>263.33999999999997</v>
      </c>
      <c r="AW1058" s="3">
        <v>48.32</v>
      </c>
      <c r="AX1058" s="3">
        <v>84.34</v>
      </c>
      <c r="AY1058" s="3">
        <v>18.329999999999998</v>
      </c>
      <c r="CH1058" s="22">
        <f t="shared" si="206"/>
        <v>414.33</v>
      </c>
      <c r="CI1058" s="3">
        <f t="shared" si="207"/>
        <v>0</v>
      </c>
      <c r="CJ1058" s="17">
        <f t="shared" si="208"/>
        <v>11502</v>
      </c>
      <c r="CK1058" s="3" t="str">
        <f t="shared" si="209"/>
        <v>خ ت اسنان</v>
      </c>
    </row>
    <row r="1059" spans="1:93" x14ac:dyDescent="0.25">
      <c r="C1059" s="17" t="s">
        <v>557</v>
      </c>
      <c r="D1059" s="17">
        <v>18773</v>
      </c>
      <c r="E1059" s="17">
        <v>11503</v>
      </c>
      <c r="F1059" s="3" t="s">
        <v>123</v>
      </c>
      <c r="G1059" s="3" t="str">
        <f t="shared" si="210"/>
        <v xml:space="preserve">مكافاه مناقشه ماجستير </v>
      </c>
      <c r="I1059" s="3">
        <v>469</v>
      </c>
      <c r="AU1059" s="22">
        <f t="shared" si="205"/>
        <v>469</v>
      </c>
      <c r="AV1059" s="3">
        <v>313.7</v>
      </c>
      <c r="AW1059" s="3">
        <v>42.3</v>
      </c>
      <c r="AX1059" s="3">
        <v>113</v>
      </c>
      <c r="CH1059" s="22">
        <f t="shared" si="206"/>
        <v>469</v>
      </c>
      <c r="CI1059" s="3">
        <f t="shared" si="207"/>
        <v>0</v>
      </c>
      <c r="CJ1059" s="17">
        <f t="shared" si="208"/>
        <v>11503</v>
      </c>
      <c r="CK1059" s="3" t="str">
        <f t="shared" si="209"/>
        <v>خ ت اسنان</v>
      </c>
    </row>
    <row r="1060" spans="1:93" x14ac:dyDescent="0.25">
      <c r="C1060" s="17" t="s">
        <v>557</v>
      </c>
      <c r="D1060" s="17">
        <v>18771</v>
      </c>
      <c r="E1060" s="17">
        <v>11504</v>
      </c>
      <c r="F1060" s="3" t="s">
        <v>123</v>
      </c>
      <c r="G1060" s="3" t="str">
        <f t="shared" si="210"/>
        <v xml:space="preserve">مكافاه مناقشه ماجستير </v>
      </c>
      <c r="I1060" s="3">
        <v>469</v>
      </c>
      <c r="AU1060" s="22">
        <f t="shared" si="205"/>
        <v>469</v>
      </c>
      <c r="AV1060" s="3">
        <v>314</v>
      </c>
      <c r="AW1060" s="3">
        <v>42</v>
      </c>
      <c r="AX1060" s="3">
        <v>113</v>
      </c>
      <c r="CH1060" s="22">
        <f t="shared" si="206"/>
        <v>469</v>
      </c>
      <c r="CI1060" s="3">
        <f t="shared" si="207"/>
        <v>0</v>
      </c>
      <c r="CJ1060" s="17">
        <f t="shared" si="208"/>
        <v>11504</v>
      </c>
      <c r="CK1060" s="3" t="str">
        <f t="shared" si="209"/>
        <v>خ ت اسنان</v>
      </c>
    </row>
    <row r="1061" spans="1:93" x14ac:dyDescent="0.25">
      <c r="C1061" s="17" t="s">
        <v>557</v>
      </c>
      <c r="D1061" s="17">
        <v>18789</v>
      </c>
      <c r="E1061" s="17">
        <v>11505</v>
      </c>
      <c r="F1061" s="3" t="s">
        <v>123</v>
      </c>
      <c r="G1061" s="3" t="str">
        <f t="shared" si="210"/>
        <v xml:space="preserve">مكافاه مناقشه ماجستير </v>
      </c>
      <c r="I1061" s="3">
        <v>366.66</v>
      </c>
      <c r="AU1061" s="22">
        <f t="shared" ref="AU1061:AU1067" si="211">SUM(I1061:AS1061)</f>
        <v>366.66</v>
      </c>
      <c r="AV1061" s="3">
        <v>276.98</v>
      </c>
      <c r="AW1061" s="3">
        <v>71.349999999999994</v>
      </c>
      <c r="AY1061" s="3">
        <v>18.329999999999998</v>
      </c>
      <c r="CH1061" s="22">
        <f t="shared" si="206"/>
        <v>366.66</v>
      </c>
      <c r="CI1061" s="3">
        <f t="shared" si="207"/>
        <v>0</v>
      </c>
      <c r="CJ1061" s="17">
        <f t="shared" si="208"/>
        <v>11505</v>
      </c>
      <c r="CK1061" s="3" t="str">
        <f t="shared" si="209"/>
        <v>خ ت اسنان</v>
      </c>
    </row>
    <row r="1062" spans="1:93" x14ac:dyDescent="0.25">
      <c r="C1062" s="17" t="s">
        <v>557</v>
      </c>
      <c r="D1062" s="17">
        <v>18775</v>
      </c>
      <c r="E1062" s="17">
        <v>11506</v>
      </c>
      <c r="F1062" s="3" t="s">
        <v>123</v>
      </c>
      <c r="G1062" s="3" t="str">
        <f t="shared" si="210"/>
        <v xml:space="preserve">مكافاه مناقشه ماجستير </v>
      </c>
      <c r="I1062" s="3">
        <v>1900</v>
      </c>
      <c r="AU1062" s="22">
        <f t="shared" si="211"/>
        <v>1900</v>
      </c>
      <c r="AV1062" s="3">
        <v>1434.32</v>
      </c>
      <c r="AW1062" s="3">
        <v>370.68</v>
      </c>
      <c r="AY1062" s="3">
        <v>95</v>
      </c>
      <c r="CH1062" s="22">
        <f t="shared" si="206"/>
        <v>1900</v>
      </c>
      <c r="CI1062" s="3">
        <f t="shared" si="207"/>
        <v>0</v>
      </c>
      <c r="CJ1062" s="17">
        <f t="shared" si="208"/>
        <v>11506</v>
      </c>
      <c r="CK1062" s="3" t="str">
        <f t="shared" si="209"/>
        <v>خ ت اسنان</v>
      </c>
    </row>
    <row r="1063" spans="1:93" x14ac:dyDescent="0.25">
      <c r="C1063" s="17" t="s">
        <v>557</v>
      </c>
      <c r="D1063" s="17">
        <v>18769</v>
      </c>
      <c r="E1063" s="17">
        <v>11507</v>
      </c>
      <c r="F1063" s="3" t="s">
        <v>123</v>
      </c>
      <c r="G1063" s="3" t="str">
        <f t="shared" si="210"/>
        <v xml:space="preserve">مكافاه مناقشه ماجستير </v>
      </c>
      <c r="I1063" s="3">
        <v>1350</v>
      </c>
      <c r="AU1063" s="22">
        <f t="shared" si="211"/>
        <v>1350</v>
      </c>
      <c r="AV1063" s="3">
        <v>1019.12</v>
      </c>
      <c r="AW1063" s="3">
        <v>263.38</v>
      </c>
      <c r="AY1063" s="3">
        <v>67.5</v>
      </c>
      <c r="CH1063" s="22">
        <f t="shared" si="206"/>
        <v>1350</v>
      </c>
      <c r="CI1063" s="3">
        <f t="shared" si="207"/>
        <v>0</v>
      </c>
      <c r="CJ1063" s="17">
        <f t="shared" si="208"/>
        <v>11507</v>
      </c>
      <c r="CK1063" s="3" t="str">
        <f t="shared" si="209"/>
        <v>خ ت اسنان</v>
      </c>
    </row>
    <row r="1064" spans="1:93" x14ac:dyDescent="0.25">
      <c r="C1064" s="17" t="s">
        <v>557</v>
      </c>
      <c r="D1064" s="17">
        <v>18740</v>
      </c>
      <c r="E1064" s="17">
        <v>11508</v>
      </c>
      <c r="F1064" s="3" t="s">
        <v>123</v>
      </c>
      <c r="G1064" s="3" t="str">
        <f>+G1056</f>
        <v>مكافاه مناقشه دكتوراه</v>
      </c>
      <c r="I1064" s="3">
        <v>879.38</v>
      </c>
      <c r="AU1064" s="22">
        <f t="shared" si="211"/>
        <v>879.38</v>
      </c>
      <c r="AV1064" s="3">
        <v>587.6</v>
      </c>
      <c r="AW1064" s="3">
        <f>75+4.9</f>
        <v>79.900000000000006</v>
      </c>
      <c r="AX1064" s="3">
        <v>211.88</v>
      </c>
      <c r="CH1064" s="22">
        <f t="shared" si="206"/>
        <v>879.38</v>
      </c>
      <c r="CI1064" s="3">
        <f t="shared" si="207"/>
        <v>0</v>
      </c>
      <c r="CJ1064" s="17">
        <f t="shared" si="208"/>
        <v>11508</v>
      </c>
      <c r="CK1064" s="3" t="str">
        <f t="shared" si="209"/>
        <v>خ ت اسنان</v>
      </c>
    </row>
    <row r="1065" spans="1:93" x14ac:dyDescent="0.25">
      <c r="C1065" s="17" t="s">
        <v>557</v>
      </c>
      <c r="D1065" s="17">
        <v>18744</v>
      </c>
      <c r="E1065" s="17">
        <v>11509</v>
      </c>
      <c r="F1065" s="3" t="s">
        <v>123</v>
      </c>
      <c r="G1065" s="3" t="str">
        <f>+G1063</f>
        <v xml:space="preserve">مكافاه مناقشه ماجستير </v>
      </c>
      <c r="I1065" s="3">
        <v>950</v>
      </c>
      <c r="AU1065" s="22">
        <f t="shared" si="211"/>
        <v>950</v>
      </c>
      <c r="AV1065" s="3">
        <v>716.96</v>
      </c>
      <c r="AW1065" s="3">
        <v>185.54</v>
      </c>
      <c r="AY1065" s="3">
        <v>47.5</v>
      </c>
      <c r="CH1065" s="22">
        <f t="shared" si="206"/>
        <v>950</v>
      </c>
      <c r="CI1065" s="3">
        <f t="shared" si="207"/>
        <v>0</v>
      </c>
      <c r="CJ1065" s="17">
        <f t="shared" si="208"/>
        <v>11509</v>
      </c>
      <c r="CK1065" s="3" t="str">
        <f t="shared" si="209"/>
        <v>خ ت اسنان</v>
      </c>
    </row>
    <row r="1066" spans="1:93" x14ac:dyDescent="0.25">
      <c r="C1066" s="17" t="s">
        <v>557</v>
      </c>
      <c r="D1066" s="17">
        <v>18742</v>
      </c>
      <c r="E1066" s="17">
        <v>11510</v>
      </c>
      <c r="F1066" s="3" t="s">
        <v>123</v>
      </c>
      <c r="G1066" s="3" t="str">
        <f>+G1064</f>
        <v>مكافاه مناقشه دكتوراه</v>
      </c>
      <c r="I1066" s="3">
        <v>4249.9799999999996</v>
      </c>
      <c r="AU1066" s="22">
        <f t="shared" si="211"/>
        <v>4249.9799999999996</v>
      </c>
      <c r="AV1066" s="3">
        <v>3206.18</v>
      </c>
      <c r="AW1066" s="3">
        <v>831.31</v>
      </c>
      <c r="AY1066" s="3">
        <v>212.49</v>
      </c>
      <c r="CH1066" s="22">
        <f t="shared" ref="CH1066:CH1067" si="212">SUM(AV1066:CG1066)</f>
        <v>4249.9799999999996</v>
      </c>
      <c r="CI1066" s="3">
        <f t="shared" ref="CI1066:CI1067" si="213">+CH1066-AU1066</f>
        <v>0</v>
      </c>
      <c r="CJ1066" s="17">
        <f t="shared" si="208"/>
        <v>11510</v>
      </c>
      <c r="CK1066" s="3" t="str">
        <f t="shared" si="209"/>
        <v>خ ت اسنان</v>
      </c>
    </row>
    <row r="1067" spans="1:93" x14ac:dyDescent="0.25">
      <c r="D1067" s="17">
        <v>19384</v>
      </c>
      <c r="E1067" s="17">
        <v>11511</v>
      </c>
      <c r="F1067" s="3" t="s">
        <v>130</v>
      </c>
      <c r="G1067" s="3" t="s">
        <v>558</v>
      </c>
      <c r="J1067" s="3">
        <v>200</v>
      </c>
      <c r="AU1067" s="22">
        <f t="shared" si="211"/>
        <v>200</v>
      </c>
      <c r="AV1067" s="3">
        <v>200</v>
      </c>
      <c r="CH1067" s="22">
        <f t="shared" si="212"/>
        <v>200</v>
      </c>
      <c r="CI1067" s="3">
        <f t="shared" si="213"/>
        <v>0</v>
      </c>
      <c r="CJ1067" s="17">
        <f t="shared" si="208"/>
        <v>11511</v>
      </c>
      <c r="CK1067" s="3" t="str">
        <f t="shared" si="209"/>
        <v>خ ت طب</v>
      </c>
    </row>
    <row r="1068" spans="1:93" s="29" customFormat="1" x14ac:dyDescent="0.25">
      <c r="A1068" s="27"/>
      <c r="B1068" s="28"/>
      <c r="C1068" s="28"/>
      <c r="D1068" s="28"/>
      <c r="E1068" s="28"/>
      <c r="G1068" s="29" t="s">
        <v>559</v>
      </c>
      <c r="I1068" s="29">
        <f t="shared" ref="I1068:AO1068" si="214">SUM(I965:I1067)</f>
        <v>490698.97999999975</v>
      </c>
      <c r="J1068" s="29">
        <f t="shared" si="214"/>
        <v>200</v>
      </c>
      <c r="K1068" s="29">
        <f t="shared" si="214"/>
        <v>0</v>
      </c>
      <c r="L1068" s="29">
        <f t="shared" si="214"/>
        <v>0</v>
      </c>
      <c r="M1068" s="29">
        <f t="shared" si="214"/>
        <v>0</v>
      </c>
      <c r="N1068" s="29">
        <f t="shared" si="214"/>
        <v>0</v>
      </c>
      <c r="O1068" s="29">
        <f t="shared" si="214"/>
        <v>0</v>
      </c>
      <c r="P1068" s="29">
        <f t="shared" si="214"/>
        <v>0</v>
      </c>
      <c r="Q1068" s="29">
        <f t="shared" si="214"/>
        <v>0</v>
      </c>
      <c r="R1068" s="29">
        <f t="shared" si="214"/>
        <v>0</v>
      </c>
      <c r="S1068" s="29">
        <f t="shared" si="214"/>
        <v>0</v>
      </c>
      <c r="T1068" s="29">
        <f t="shared" si="214"/>
        <v>0</v>
      </c>
      <c r="U1068" s="29">
        <f t="shared" si="214"/>
        <v>0</v>
      </c>
      <c r="V1068" s="29">
        <f t="shared" si="214"/>
        <v>0</v>
      </c>
      <c r="W1068" s="29">
        <f t="shared" si="214"/>
        <v>0</v>
      </c>
      <c r="X1068" s="29">
        <f t="shared" si="214"/>
        <v>0</v>
      </c>
      <c r="Y1068" s="29">
        <f t="shared" si="214"/>
        <v>0</v>
      </c>
      <c r="Z1068" s="29">
        <f t="shared" si="214"/>
        <v>0</v>
      </c>
      <c r="AA1068" s="29">
        <f t="shared" si="214"/>
        <v>0</v>
      </c>
      <c r="AB1068" s="29">
        <f t="shared" si="214"/>
        <v>0</v>
      </c>
      <c r="AC1068" s="29">
        <f t="shared" si="214"/>
        <v>0</v>
      </c>
      <c r="AD1068" s="29">
        <f t="shared" si="214"/>
        <v>0</v>
      </c>
      <c r="AE1068" s="29">
        <f t="shared" si="214"/>
        <v>0</v>
      </c>
      <c r="AG1068" s="29">
        <f t="shared" si="214"/>
        <v>0</v>
      </c>
      <c r="AH1068" s="29">
        <f t="shared" si="214"/>
        <v>0</v>
      </c>
      <c r="AI1068" s="29">
        <f t="shared" si="214"/>
        <v>0</v>
      </c>
      <c r="AJ1068" s="29">
        <f t="shared" si="214"/>
        <v>0</v>
      </c>
      <c r="AK1068" s="29">
        <f t="shared" si="214"/>
        <v>0</v>
      </c>
      <c r="AL1068" s="29">
        <f t="shared" si="214"/>
        <v>0</v>
      </c>
      <c r="AM1068" s="29">
        <f t="shared" si="214"/>
        <v>0</v>
      </c>
      <c r="AN1068" s="29">
        <f t="shared" si="214"/>
        <v>0</v>
      </c>
      <c r="AO1068" s="29">
        <f t="shared" si="214"/>
        <v>0</v>
      </c>
      <c r="AP1068" s="29">
        <f t="shared" ref="AP1068:BW1068" si="215">SUM(AP965:AP1067)</f>
        <v>0</v>
      </c>
      <c r="AQ1068" s="29">
        <f t="shared" si="215"/>
        <v>0</v>
      </c>
      <c r="AR1068" s="29">
        <f t="shared" si="215"/>
        <v>0</v>
      </c>
      <c r="AS1068" s="29">
        <f t="shared" si="215"/>
        <v>0</v>
      </c>
      <c r="AT1068" s="29">
        <f t="shared" si="215"/>
        <v>0</v>
      </c>
      <c r="AU1068" s="29">
        <f t="shared" si="215"/>
        <v>490898.97999999975</v>
      </c>
      <c r="AV1068" s="29">
        <f t="shared" si="215"/>
        <v>405026.24000000017</v>
      </c>
      <c r="AW1068" s="29">
        <f t="shared" si="215"/>
        <v>55794.559999999998</v>
      </c>
      <c r="AX1068" s="29">
        <f t="shared" si="215"/>
        <v>26530.23000000001</v>
      </c>
      <c r="AY1068" s="29">
        <f t="shared" si="215"/>
        <v>3547.95</v>
      </c>
      <c r="AZ1068" s="29">
        <f t="shared" si="215"/>
        <v>0</v>
      </c>
      <c r="BA1068" s="29">
        <f t="shared" si="215"/>
        <v>0</v>
      </c>
      <c r="BB1068" s="29">
        <f t="shared" si="215"/>
        <v>0</v>
      </c>
      <c r="BC1068" s="29">
        <f t="shared" si="215"/>
        <v>0</v>
      </c>
      <c r="BD1068" s="29">
        <f t="shared" si="215"/>
        <v>0</v>
      </c>
      <c r="BF1068" s="29">
        <f t="shared" si="215"/>
        <v>0</v>
      </c>
      <c r="BG1068" s="29">
        <f t="shared" si="215"/>
        <v>0</v>
      </c>
      <c r="BH1068" s="29">
        <f t="shared" si="215"/>
        <v>0</v>
      </c>
      <c r="BJ1068" s="29">
        <f t="shared" si="215"/>
        <v>0</v>
      </c>
      <c r="BK1068" s="29">
        <f t="shared" si="215"/>
        <v>0</v>
      </c>
      <c r="BL1068" s="29">
        <f t="shared" si="215"/>
        <v>0</v>
      </c>
      <c r="BM1068" s="29">
        <f t="shared" si="215"/>
        <v>0</v>
      </c>
      <c r="BN1068" s="29">
        <f t="shared" si="215"/>
        <v>0</v>
      </c>
      <c r="BO1068" s="29">
        <f t="shared" si="215"/>
        <v>0</v>
      </c>
      <c r="BP1068" s="29">
        <f t="shared" si="215"/>
        <v>0</v>
      </c>
      <c r="BQ1068" s="29">
        <f t="shared" si="215"/>
        <v>0</v>
      </c>
      <c r="BR1068" s="29">
        <f t="shared" si="215"/>
        <v>0</v>
      </c>
      <c r="BS1068" s="29">
        <f t="shared" si="215"/>
        <v>0</v>
      </c>
      <c r="BT1068" s="29">
        <f t="shared" si="215"/>
        <v>0</v>
      </c>
      <c r="BU1068" s="29">
        <f t="shared" si="215"/>
        <v>0</v>
      </c>
      <c r="BV1068" s="29">
        <f t="shared" si="215"/>
        <v>0</v>
      </c>
      <c r="BW1068" s="29">
        <f t="shared" si="215"/>
        <v>0</v>
      </c>
      <c r="BX1068" s="29">
        <f t="shared" ref="BX1068:CI1068" si="216">SUM(BX965:BX1067)</f>
        <v>0</v>
      </c>
      <c r="BY1068" s="29">
        <f t="shared" si="216"/>
        <v>0</v>
      </c>
      <c r="BZ1068" s="29">
        <f t="shared" si="216"/>
        <v>0</v>
      </c>
      <c r="CA1068" s="29">
        <f t="shared" si="216"/>
        <v>0</v>
      </c>
      <c r="CB1068" s="29">
        <f t="shared" si="216"/>
        <v>0</v>
      </c>
      <c r="CC1068" s="29">
        <f t="shared" si="216"/>
        <v>0</v>
      </c>
      <c r="CD1068" s="29">
        <f t="shared" si="216"/>
        <v>0</v>
      </c>
      <c r="CE1068" s="29">
        <f t="shared" si="216"/>
        <v>0</v>
      </c>
      <c r="CF1068" s="29">
        <f t="shared" si="216"/>
        <v>0</v>
      </c>
      <c r="CG1068" s="201">
        <f t="shared" si="216"/>
        <v>0</v>
      </c>
      <c r="CH1068" s="29">
        <f t="shared" si="216"/>
        <v>490898.97999999975</v>
      </c>
      <c r="CI1068" s="29">
        <f t="shared" si="216"/>
        <v>0</v>
      </c>
      <c r="CK1068" s="29">
        <f>SUM(CK965:CK1067)</f>
        <v>0</v>
      </c>
      <c r="CL1068" s="29">
        <f>SUM(CL965:CL1067)</f>
        <v>0</v>
      </c>
      <c r="CM1068" s="29">
        <f>SUM(CM965:CM1067)</f>
        <v>0</v>
      </c>
      <c r="CN1068" s="29">
        <f>SUM(CN965:CN1067)</f>
        <v>0</v>
      </c>
      <c r="CO1068" s="29">
        <f>SUM(CO965:CO1067)</f>
        <v>0</v>
      </c>
    </row>
    <row r="1069" spans="1:93" x14ac:dyDescent="0.25">
      <c r="D1069" s="17">
        <v>9263</v>
      </c>
      <c r="E1069" s="17">
        <v>11512</v>
      </c>
      <c r="F1069" s="3" t="s">
        <v>121</v>
      </c>
      <c r="G1069" s="3" t="s">
        <v>5044</v>
      </c>
      <c r="H1069" s="3" t="s">
        <v>220</v>
      </c>
      <c r="I1069" s="3">
        <v>7334.32</v>
      </c>
      <c r="V1069" s="3"/>
      <c r="W1069" s="3"/>
      <c r="AU1069" s="22">
        <f>SUM(I1069:AS1069)</f>
        <v>7334.32</v>
      </c>
      <c r="AV1069" s="3">
        <v>5464.27</v>
      </c>
      <c r="AW1069" s="3">
        <f>52.27+44.15</f>
        <v>96.42</v>
      </c>
      <c r="AX1069" s="3">
        <f>1517.2+250.3</f>
        <v>1767.5</v>
      </c>
      <c r="AY1069" s="3">
        <f>3+3.13</f>
        <v>6.13</v>
      </c>
      <c r="CH1069" s="22">
        <f>SUM(AV1069:CG1069)</f>
        <v>7334.3200000000006</v>
      </c>
      <c r="CI1069" s="3">
        <f>+CH1069-AU1069</f>
        <v>0</v>
      </c>
      <c r="CJ1069" s="17">
        <f>+E1069</f>
        <v>11512</v>
      </c>
      <c r="CK1069" s="3" t="str">
        <f>+F1069</f>
        <v>ماليزى اسنان</v>
      </c>
    </row>
    <row r="1070" spans="1:93" s="29" customFormat="1" x14ac:dyDescent="0.25">
      <c r="A1070" s="27"/>
      <c r="B1070" s="28"/>
      <c r="C1070" s="28"/>
      <c r="D1070" s="28"/>
      <c r="E1070" s="28"/>
      <c r="G1070" s="29" t="s">
        <v>560</v>
      </c>
      <c r="I1070" s="29">
        <f>SUM(I1069)</f>
        <v>7334.32</v>
      </c>
      <c r="J1070" s="29">
        <f t="shared" ref="J1070:BX1070" si="217">SUM(J1069)</f>
        <v>0</v>
      </c>
      <c r="K1070" s="29">
        <f t="shared" si="217"/>
        <v>0</v>
      </c>
      <c r="L1070" s="29">
        <f t="shared" si="217"/>
        <v>0</v>
      </c>
      <c r="M1070" s="29">
        <f t="shared" si="217"/>
        <v>0</v>
      </c>
      <c r="N1070" s="29">
        <f t="shared" si="217"/>
        <v>0</v>
      </c>
      <c r="O1070" s="29">
        <f t="shared" si="217"/>
        <v>0</v>
      </c>
      <c r="P1070" s="29">
        <f t="shared" si="217"/>
        <v>0</v>
      </c>
      <c r="Q1070" s="29">
        <f t="shared" si="217"/>
        <v>0</v>
      </c>
      <c r="R1070" s="29">
        <f t="shared" si="217"/>
        <v>0</v>
      </c>
      <c r="S1070" s="29">
        <f t="shared" si="217"/>
        <v>0</v>
      </c>
      <c r="T1070" s="29">
        <f t="shared" si="217"/>
        <v>0</v>
      </c>
      <c r="U1070" s="29">
        <f t="shared" si="217"/>
        <v>0</v>
      </c>
      <c r="V1070" s="29">
        <f t="shared" si="217"/>
        <v>0</v>
      </c>
      <c r="W1070" s="29">
        <f t="shared" si="217"/>
        <v>0</v>
      </c>
      <c r="X1070" s="29">
        <f t="shared" si="217"/>
        <v>0</v>
      </c>
      <c r="Y1070" s="29">
        <f t="shared" si="217"/>
        <v>0</v>
      </c>
      <c r="Z1070" s="29">
        <f t="shared" si="217"/>
        <v>0</v>
      </c>
      <c r="AA1070" s="29">
        <f t="shared" si="217"/>
        <v>0</v>
      </c>
      <c r="AB1070" s="29">
        <f t="shared" si="217"/>
        <v>0</v>
      </c>
      <c r="AC1070" s="29">
        <f t="shared" si="217"/>
        <v>0</v>
      </c>
      <c r="AD1070" s="29">
        <f t="shared" si="217"/>
        <v>0</v>
      </c>
      <c r="AE1070" s="29">
        <f t="shared" si="217"/>
        <v>0</v>
      </c>
      <c r="AG1070" s="29">
        <f t="shared" si="217"/>
        <v>0</v>
      </c>
      <c r="AH1070" s="29">
        <f t="shared" si="217"/>
        <v>0</v>
      </c>
      <c r="AI1070" s="29">
        <f t="shared" si="217"/>
        <v>0</v>
      </c>
      <c r="AJ1070" s="29">
        <f t="shared" si="217"/>
        <v>0</v>
      </c>
      <c r="AK1070" s="29">
        <f t="shared" si="217"/>
        <v>0</v>
      </c>
      <c r="AL1070" s="29">
        <f t="shared" si="217"/>
        <v>0</v>
      </c>
      <c r="AM1070" s="29">
        <f t="shared" si="217"/>
        <v>0</v>
      </c>
      <c r="AN1070" s="29">
        <f t="shared" si="217"/>
        <v>0</v>
      </c>
      <c r="AO1070" s="29">
        <f t="shared" si="217"/>
        <v>0</v>
      </c>
      <c r="AP1070" s="29">
        <f t="shared" si="217"/>
        <v>0</v>
      </c>
      <c r="AQ1070" s="29">
        <f t="shared" si="217"/>
        <v>0</v>
      </c>
      <c r="AR1070" s="29">
        <f t="shared" si="217"/>
        <v>0</v>
      </c>
      <c r="AS1070" s="29">
        <f t="shared" si="217"/>
        <v>0</v>
      </c>
      <c r="AT1070" s="29">
        <f t="shared" si="217"/>
        <v>0</v>
      </c>
      <c r="AU1070" s="29">
        <f t="shared" si="217"/>
        <v>7334.32</v>
      </c>
      <c r="AV1070" s="29">
        <f t="shared" si="217"/>
        <v>5464.27</v>
      </c>
      <c r="AW1070" s="29">
        <f t="shared" si="217"/>
        <v>96.42</v>
      </c>
      <c r="AX1070" s="29">
        <f t="shared" si="217"/>
        <v>1767.5</v>
      </c>
      <c r="AY1070" s="29">
        <f t="shared" si="217"/>
        <v>6.13</v>
      </c>
      <c r="AZ1070" s="29">
        <f t="shared" si="217"/>
        <v>0</v>
      </c>
      <c r="BA1070" s="29">
        <f t="shared" si="217"/>
        <v>0</v>
      </c>
      <c r="BB1070" s="29">
        <f t="shared" si="217"/>
        <v>0</v>
      </c>
      <c r="BC1070" s="29">
        <f t="shared" si="217"/>
        <v>0</v>
      </c>
      <c r="BD1070" s="29">
        <f t="shared" si="217"/>
        <v>0</v>
      </c>
      <c r="BF1070" s="29">
        <f t="shared" si="217"/>
        <v>0</v>
      </c>
      <c r="BG1070" s="29">
        <f t="shared" si="217"/>
        <v>0</v>
      </c>
      <c r="BH1070" s="29">
        <f t="shared" si="217"/>
        <v>0</v>
      </c>
      <c r="BJ1070" s="29">
        <f t="shared" si="217"/>
        <v>0</v>
      </c>
      <c r="BK1070" s="29">
        <f t="shared" si="217"/>
        <v>0</v>
      </c>
      <c r="BL1070" s="29">
        <f t="shared" si="217"/>
        <v>0</v>
      </c>
      <c r="BM1070" s="29">
        <f t="shared" si="217"/>
        <v>0</v>
      </c>
      <c r="BN1070" s="29">
        <f t="shared" si="217"/>
        <v>0</v>
      </c>
      <c r="BO1070" s="29">
        <f t="shared" si="217"/>
        <v>0</v>
      </c>
      <c r="BP1070" s="29">
        <f t="shared" si="217"/>
        <v>0</v>
      </c>
      <c r="BQ1070" s="29">
        <f t="shared" si="217"/>
        <v>0</v>
      </c>
      <c r="BR1070" s="29">
        <f t="shared" si="217"/>
        <v>0</v>
      </c>
      <c r="BS1070" s="29">
        <f t="shared" si="217"/>
        <v>0</v>
      </c>
      <c r="BT1070" s="29">
        <f t="shared" si="217"/>
        <v>0</v>
      </c>
      <c r="BU1070" s="29">
        <f t="shared" si="217"/>
        <v>0</v>
      </c>
      <c r="BV1070" s="29">
        <f t="shared" si="217"/>
        <v>0</v>
      </c>
      <c r="BW1070" s="29">
        <f t="shared" si="217"/>
        <v>0</v>
      </c>
      <c r="BX1070" s="29">
        <f t="shared" si="217"/>
        <v>0</v>
      </c>
      <c r="BY1070" s="29">
        <f t="shared" ref="BY1070:CI1070" si="218">SUM(BY1069)</f>
        <v>0</v>
      </c>
      <c r="BZ1070" s="29">
        <f t="shared" si="218"/>
        <v>0</v>
      </c>
      <c r="CA1070" s="29">
        <f t="shared" si="218"/>
        <v>0</v>
      </c>
      <c r="CB1070" s="29">
        <f t="shared" si="218"/>
        <v>0</v>
      </c>
      <c r="CC1070" s="29">
        <f t="shared" si="218"/>
        <v>0</v>
      </c>
      <c r="CD1070" s="29">
        <f t="shared" si="218"/>
        <v>0</v>
      </c>
      <c r="CE1070" s="29">
        <f t="shared" si="218"/>
        <v>0</v>
      </c>
      <c r="CF1070" s="29">
        <f t="shared" si="218"/>
        <v>0</v>
      </c>
      <c r="CG1070" s="201">
        <f t="shared" si="218"/>
        <v>0</v>
      </c>
      <c r="CH1070" s="29">
        <f t="shared" si="218"/>
        <v>7334.3200000000006</v>
      </c>
      <c r="CI1070" s="29">
        <f t="shared" si="218"/>
        <v>0</v>
      </c>
    </row>
    <row r="1071" spans="1:93" x14ac:dyDescent="0.25">
      <c r="C1071" s="17" t="s">
        <v>557</v>
      </c>
      <c r="D1071" s="17">
        <v>18733</v>
      </c>
      <c r="E1071" s="17">
        <v>11513</v>
      </c>
      <c r="F1071" s="3" t="s">
        <v>123</v>
      </c>
      <c r="G1071" s="3" t="str">
        <f>+G1065</f>
        <v xml:space="preserve">مكافاه مناقشه ماجستير </v>
      </c>
      <c r="I1071" s="3">
        <v>469</v>
      </c>
      <c r="AU1071" s="22">
        <f t="shared" ref="AU1071:AU1134" si="219">SUM(I1071:AS1071)</f>
        <v>469</v>
      </c>
      <c r="AV1071" s="3">
        <v>313.7</v>
      </c>
      <c r="AW1071" s="3">
        <v>42.3</v>
      </c>
      <c r="AX1071" s="3">
        <v>113</v>
      </c>
      <c r="CH1071" s="22">
        <f t="shared" ref="CH1071:CH1134" si="220">SUM(AV1071:CG1071)</f>
        <v>469</v>
      </c>
      <c r="CI1071" s="3">
        <f t="shared" ref="CI1071:CI1134" si="221">+CH1071-AU1071</f>
        <v>0</v>
      </c>
      <c r="CJ1071" s="17">
        <f t="shared" ref="CJ1071:CJ1134" si="222">+E1071</f>
        <v>11513</v>
      </c>
      <c r="CK1071" s="3" t="str">
        <f t="shared" ref="CK1071:CK1134" si="223">+F1071</f>
        <v>خ ت اسنان</v>
      </c>
    </row>
    <row r="1072" spans="1:93" x14ac:dyDescent="0.25">
      <c r="C1072" s="17" t="s">
        <v>557</v>
      </c>
      <c r="D1072" s="17">
        <v>18730</v>
      </c>
      <c r="E1072" s="17">
        <v>11514</v>
      </c>
      <c r="F1072" s="3" t="s">
        <v>123</v>
      </c>
      <c r="G1072" s="3" t="str">
        <f>+G1071</f>
        <v xml:space="preserve">مكافاه مناقشه ماجستير </v>
      </c>
      <c r="I1072" s="3">
        <v>469</v>
      </c>
      <c r="AU1072" s="22">
        <f t="shared" si="219"/>
        <v>469</v>
      </c>
      <c r="AV1072" s="3">
        <v>313.7</v>
      </c>
      <c r="AW1072" s="3">
        <v>42.3</v>
      </c>
      <c r="AX1072" s="3">
        <v>113</v>
      </c>
      <c r="CH1072" s="22">
        <f t="shared" si="220"/>
        <v>469</v>
      </c>
      <c r="CI1072" s="3">
        <f t="shared" si="221"/>
        <v>0</v>
      </c>
      <c r="CJ1072" s="17">
        <f t="shared" si="222"/>
        <v>11514</v>
      </c>
      <c r="CK1072" s="3" t="str">
        <f t="shared" si="223"/>
        <v>خ ت اسنان</v>
      </c>
    </row>
    <row r="1073" spans="2:89" x14ac:dyDescent="0.25">
      <c r="C1073" s="17" t="s">
        <v>557</v>
      </c>
      <c r="D1073" s="17">
        <v>18735</v>
      </c>
      <c r="E1073" s="17">
        <v>11515</v>
      </c>
      <c r="F1073" s="3" t="s">
        <v>123</v>
      </c>
      <c r="G1073" s="3" t="str">
        <f>+G1072</f>
        <v xml:space="preserve">مكافاه مناقشه ماجستير </v>
      </c>
      <c r="I1073" s="3">
        <v>1900</v>
      </c>
      <c r="AU1073" s="22">
        <f t="shared" si="219"/>
        <v>1900</v>
      </c>
      <c r="AV1073" s="3">
        <v>1433.92</v>
      </c>
      <c r="AW1073" s="3">
        <v>371.08</v>
      </c>
      <c r="AY1073" s="3">
        <v>95</v>
      </c>
      <c r="CH1073" s="22">
        <f t="shared" si="220"/>
        <v>1900</v>
      </c>
      <c r="CI1073" s="3">
        <f t="shared" si="221"/>
        <v>0</v>
      </c>
      <c r="CJ1073" s="17">
        <f t="shared" si="222"/>
        <v>11515</v>
      </c>
      <c r="CK1073" s="3" t="str">
        <f t="shared" si="223"/>
        <v>خ ت اسنان</v>
      </c>
    </row>
    <row r="1074" spans="2:89" x14ac:dyDescent="0.25">
      <c r="C1074" s="17" t="s">
        <v>557</v>
      </c>
      <c r="D1074" s="17">
        <v>18734</v>
      </c>
      <c r="E1074" s="17">
        <v>11516</v>
      </c>
      <c r="F1074" s="3" t="s">
        <v>123</v>
      </c>
      <c r="G1074" s="3" t="str">
        <f>+G1073</f>
        <v xml:space="preserve">مكافاه مناقشه ماجستير </v>
      </c>
      <c r="I1074" s="3">
        <v>400</v>
      </c>
      <c r="AU1074" s="22">
        <f t="shared" si="219"/>
        <v>400</v>
      </c>
      <c r="AV1074" s="3">
        <v>302.16000000000003</v>
      </c>
      <c r="AW1074" s="3">
        <v>77.84</v>
      </c>
      <c r="AY1074" s="3">
        <v>20</v>
      </c>
      <c r="CH1074" s="22">
        <f t="shared" si="220"/>
        <v>400</v>
      </c>
      <c r="CI1074" s="3">
        <f t="shared" si="221"/>
        <v>0</v>
      </c>
      <c r="CJ1074" s="17">
        <f t="shared" si="222"/>
        <v>11516</v>
      </c>
      <c r="CK1074" s="3" t="str">
        <f t="shared" si="223"/>
        <v>خ ت اسنان</v>
      </c>
    </row>
    <row r="1075" spans="2:89" x14ac:dyDescent="0.25">
      <c r="C1075" s="17" t="s">
        <v>557</v>
      </c>
      <c r="D1075" s="17">
        <v>18652</v>
      </c>
      <c r="E1075" s="17">
        <v>11517</v>
      </c>
      <c r="F1075" s="3" t="s">
        <v>123</v>
      </c>
      <c r="G1075" s="3" t="str">
        <f>+G1074</f>
        <v xml:space="preserve">مكافاه مناقشه ماجستير </v>
      </c>
      <c r="I1075" s="3">
        <v>400</v>
      </c>
      <c r="AU1075" s="22">
        <f t="shared" si="219"/>
        <v>400</v>
      </c>
      <c r="AV1075" s="3">
        <v>302.16000000000003</v>
      </c>
      <c r="AW1075" s="3">
        <v>77.84</v>
      </c>
      <c r="AY1075" s="3">
        <v>20</v>
      </c>
      <c r="CH1075" s="22">
        <f t="shared" si="220"/>
        <v>400</v>
      </c>
      <c r="CI1075" s="3">
        <f t="shared" si="221"/>
        <v>0</v>
      </c>
      <c r="CJ1075" s="17">
        <f t="shared" si="222"/>
        <v>11517</v>
      </c>
      <c r="CK1075" s="3" t="str">
        <f t="shared" si="223"/>
        <v>خ ت اسنان</v>
      </c>
    </row>
    <row r="1076" spans="2:89" x14ac:dyDescent="0.25">
      <c r="B1076" s="3"/>
      <c r="C1076" s="17" t="s">
        <v>557</v>
      </c>
      <c r="D1076" s="17">
        <v>18732</v>
      </c>
      <c r="E1076" s="17">
        <v>11518</v>
      </c>
      <c r="F1076" s="3" t="s">
        <v>123</v>
      </c>
      <c r="G1076" s="3" t="str">
        <f>+G1075</f>
        <v xml:space="preserve">مكافاه مناقشه ماجستير </v>
      </c>
      <c r="I1076" s="3">
        <v>1500</v>
      </c>
      <c r="AU1076" s="22">
        <f t="shared" si="219"/>
        <v>1500</v>
      </c>
      <c r="AV1076" s="3">
        <v>1132.1600000000001</v>
      </c>
      <c r="AW1076" s="3">
        <v>292.83999999999997</v>
      </c>
      <c r="AY1076" s="3">
        <v>75</v>
      </c>
      <c r="CH1076" s="22">
        <f t="shared" si="220"/>
        <v>1500</v>
      </c>
      <c r="CI1076" s="3">
        <f t="shared" si="221"/>
        <v>0</v>
      </c>
      <c r="CJ1076" s="17">
        <f t="shared" si="222"/>
        <v>11518</v>
      </c>
      <c r="CK1076" s="3" t="str">
        <f t="shared" si="223"/>
        <v>خ ت اسنان</v>
      </c>
    </row>
    <row r="1077" spans="2:89" x14ac:dyDescent="0.25">
      <c r="C1077" s="17" t="s">
        <v>561</v>
      </c>
      <c r="D1077" s="17">
        <v>18888</v>
      </c>
      <c r="E1077" s="17">
        <v>11519</v>
      </c>
      <c r="F1077" s="3" t="s">
        <v>325</v>
      </c>
      <c r="G1077" s="3" t="s">
        <v>562</v>
      </c>
      <c r="I1077" s="3">
        <v>8330.34</v>
      </c>
      <c r="AU1077" s="22">
        <f t="shared" si="219"/>
        <v>8330.34</v>
      </c>
      <c r="AV1077" s="3">
        <v>5473.73</v>
      </c>
      <c r="AW1077" s="3">
        <v>1007.9</v>
      </c>
      <c r="AX1077" s="3">
        <v>1848.71</v>
      </c>
      <c r="CH1077" s="22">
        <f t="shared" si="220"/>
        <v>8330.34</v>
      </c>
      <c r="CI1077" s="3">
        <f t="shared" si="221"/>
        <v>0</v>
      </c>
      <c r="CJ1077" s="17">
        <f t="shared" si="222"/>
        <v>11519</v>
      </c>
      <c r="CK1077" s="3" t="str">
        <f t="shared" si="223"/>
        <v xml:space="preserve">برنامج دولى </v>
      </c>
    </row>
    <row r="1078" spans="2:89" x14ac:dyDescent="0.25">
      <c r="C1078" s="17" t="s">
        <v>561</v>
      </c>
      <c r="D1078" s="17">
        <v>18889</v>
      </c>
      <c r="E1078" s="17">
        <v>11520</v>
      </c>
      <c r="F1078" s="3" t="s">
        <v>325</v>
      </c>
      <c r="G1078" s="3" t="s">
        <v>562</v>
      </c>
      <c r="I1078" s="3">
        <v>808.16</v>
      </c>
      <c r="AU1078" s="22">
        <f t="shared" si="219"/>
        <v>808.16</v>
      </c>
      <c r="AV1078" s="3">
        <v>538.64</v>
      </c>
      <c r="AW1078" s="3">
        <v>74.8</v>
      </c>
      <c r="AX1078" s="3">
        <v>194.72</v>
      </c>
      <c r="CH1078" s="22">
        <f t="shared" si="220"/>
        <v>808.16</v>
      </c>
      <c r="CI1078" s="3">
        <f t="shared" si="221"/>
        <v>0</v>
      </c>
      <c r="CJ1078" s="17">
        <f t="shared" si="222"/>
        <v>11520</v>
      </c>
      <c r="CK1078" s="3" t="str">
        <f t="shared" si="223"/>
        <v xml:space="preserve">برنامج دولى </v>
      </c>
    </row>
    <row r="1079" spans="2:89" x14ac:dyDescent="0.25">
      <c r="C1079" s="17" t="s">
        <v>561</v>
      </c>
      <c r="D1079" s="17">
        <v>18890</v>
      </c>
      <c r="E1079" s="17">
        <v>11521</v>
      </c>
      <c r="F1079" s="3" t="s">
        <v>325</v>
      </c>
      <c r="G1079" s="3" t="s">
        <v>562</v>
      </c>
      <c r="I1079" s="3">
        <v>865.32</v>
      </c>
      <c r="AU1079" s="22">
        <f t="shared" si="219"/>
        <v>865.32</v>
      </c>
      <c r="AV1079" s="3">
        <v>588.29999999999995</v>
      </c>
      <c r="AW1079" s="3">
        <v>68.52</v>
      </c>
      <c r="AX1079" s="3">
        <v>208.5</v>
      </c>
      <c r="CH1079" s="22">
        <f t="shared" si="220"/>
        <v>865.31999999999994</v>
      </c>
      <c r="CI1079" s="3">
        <f t="shared" si="221"/>
        <v>0</v>
      </c>
      <c r="CJ1079" s="17">
        <f t="shared" si="222"/>
        <v>11521</v>
      </c>
      <c r="CK1079" s="3" t="str">
        <f t="shared" si="223"/>
        <v xml:space="preserve">برنامج دولى </v>
      </c>
    </row>
    <row r="1080" spans="2:89" x14ac:dyDescent="0.25">
      <c r="B1080" s="3"/>
      <c r="C1080" s="17" t="s">
        <v>561</v>
      </c>
      <c r="D1080" s="17">
        <v>18891</v>
      </c>
      <c r="E1080" s="17">
        <v>11522</v>
      </c>
      <c r="F1080" s="3" t="s">
        <v>325</v>
      </c>
      <c r="G1080" s="3" t="s">
        <v>562</v>
      </c>
      <c r="I1080" s="3">
        <v>1528.16</v>
      </c>
      <c r="AU1080" s="22">
        <f t="shared" si="219"/>
        <v>1528.16</v>
      </c>
      <c r="AV1080" s="3">
        <v>974.81</v>
      </c>
      <c r="AW1080" s="3">
        <v>185.17</v>
      </c>
      <c r="AX1080" s="3">
        <v>368.18</v>
      </c>
      <c r="CH1080" s="22">
        <f t="shared" si="220"/>
        <v>1528.16</v>
      </c>
      <c r="CI1080" s="3">
        <f t="shared" si="221"/>
        <v>0</v>
      </c>
      <c r="CJ1080" s="17">
        <f t="shared" si="222"/>
        <v>11522</v>
      </c>
      <c r="CK1080" s="3" t="str">
        <f t="shared" si="223"/>
        <v xml:space="preserve">برنامج دولى </v>
      </c>
    </row>
    <row r="1081" spans="2:89" x14ac:dyDescent="0.25">
      <c r="C1081" s="17" t="s">
        <v>561</v>
      </c>
      <c r="D1081" s="17">
        <v>18892</v>
      </c>
      <c r="E1081" s="17">
        <v>11523</v>
      </c>
      <c r="F1081" s="3" t="s">
        <v>325</v>
      </c>
      <c r="G1081" s="3" t="s">
        <v>562</v>
      </c>
      <c r="I1081" s="3">
        <v>811.38</v>
      </c>
      <c r="AU1081" s="22">
        <f t="shared" si="219"/>
        <v>811.38</v>
      </c>
      <c r="AV1081" s="3">
        <v>540.79</v>
      </c>
      <c r="AW1081" s="3">
        <v>75.09</v>
      </c>
      <c r="AX1081" s="3">
        <v>195.5</v>
      </c>
      <c r="CH1081" s="22">
        <f t="shared" si="220"/>
        <v>811.38</v>
      </c>
      <c r="CI1081" s="3">
        <f t="shared" si="221"/>
        <v>0</v>
      </c>
      <c r="CJ1081" s="17">
        <f t="shared" si="222"/>
        <v>11523</v>
      </c>
      <c r="CK1081" s="3" t="str">
        <f t="shared" si="223"/>
        <v xml:space="preserve">برنامج دولى </v>
      </c>
    </row>
    <row r="1082" spans="2:89" x14ac:dyDescent="0.25">
      <c r="C1082" s="17" t="s">
        <v>561</v>
      </c>
      <c r="D1082" s="17">
        <v>18893</v>
      </c>
      <c r="E1082" s="17">
        <v>11524</v>
      </c>
      <c r="F1082" s="3" t="s">
        <v>325</v>
      </c>
      <c r="G1082" s="3" t="s">
        <v>562</v>
      </c>
      <c r="I1082" s="3">
        <v>1453.65</v>
      </c>
      <c r="AU1082" s="22">
        <f t="shared" si="219"/>
        <v>1453.65</v>
      </c>
      <c r="AV1082" s="3">
        <v>932.89</v>
      </c>
      <c r="AW1082" s="3">
        <v>170.53</v>
      </c>
      <c r="AX1082" s="3">
        <v>350.23</v>
      </c>
      <c r="CH1082" s="22">
        <f t="shared" si="220"/>
        <v>1453.65</v>
      </c>
      <c r="CI1082" s="3">
        <f t="shared" si="221"/>
        <v>0</v>
      </c>
      <c r="CJ1082" s="17">
        <f t="shared" si="222"/>
        <v>11524</v>
      </c>
      <c r="CK1082" s="3" t="str">
        <f t="shared" si="223"/>
        <v xml:space="preserve">برنامج دولى </v>
      </c>
    </row>
    <row r="1083" spans="2:89" x14ac:dyDescent="0.25">
      <c r="C1083" s="17" t="s">
        <v>561</v>
      </c>
      <c r="D1083" s="17">
        <v>18894</v>
      </c>
      <c r="E1083" s="17">
        <v>11525</v>
      </c>
      <c r="F1083" s="3" t="s">
        <v>325</v>
      </c>
      <c r="G1083" s="3" t="s">
        <v>562</v>
      </c>
      <c r="I1083" s="3">
        <v>404.61</v>
      </c>
      <c r="AU1083" s="22">
        <f t="shared" si="219"/>
        <v>404.61</v>
      </c>
      <c r="AV1083" s="3">
        <v>259.62</v>
      </c>
      <c r="AW1083" s="3">
        <v>47.51</v>
      </c>
      <c r="AX1083" s="3">
        <v>97.48</v>
      </c>
      <c r="CH1083" s="22">
        <f t="shared" si="220"/>
        <v>404.61</v>
      </c>
      <c r="CI1083" s="3">
        <f t="shared" si="221"/>
        <v>0</v>
      </c>
      <c r="CJ1083" s="17">
        <f t="shared" si="222"/>
        <v>11525</v>
      </c>
      <c r="CK1083" s="3" t="str">
        <f t="shared" si="223"/>
        <v xml:space="preserve">برنامج دولى </v>
      </c>
    </row>
    <row r="1084" spans="2:89" x14ac:dyDescent="0.25">
      <c r="C1084" s="17" t="s">
        <v>561</v>
      </c>
      <c r="D1084" s="17">
        <v>18895</v>
      </c>
      <c r="E1084" s="17">
        <v>11526</v>
      </c>
      <c r="F1084" s="3" t="s">
        <v>325</v>
      </c>
      <c r="G1084" s="3" t="s">
        <v>562</v>
      </c>
      <c r="I1084" s="3">
        <v>625.54999999999995</v>
      </c>
      <c r="AU1084" s="22">
        <f t="shared" si="219"/>
        <v>625.54999999999995</v>
      </c>
      <c r="AV1084" s="3">
        <v>377.45</v>
      </c>
      <c r="AW1084" s="3">
        <v>97.36</v>
      </c>
      <c r="AX1084" s="3">
        <v>150.74</v>
      </c>
      <c r="CH1084" s="22">
        <f t="shared" si="220"/>
        <v>625.54999999999995</v>
      </c>
      <c r="CI1084" s="3">
        <f t="shared" si="221"/>
        <v>0</v>
      </c>
      <c r="CJ1084" s="17">
        <f t="shared" si="222"/>
        <v>11526</v>
      </c>
      <c r="CK1084" s="3" t="str">
        <f t="shared" si="223"/>
        <v xml:space="preserve">برنامج دولى </v>
      </c>
    </row>
    <row r="1085" spans="2:89" x14ac:dyDescent="0.25">
      <c r="C1085" s="17" t="s">
        <v>561</v>
      </c>
      <c r="D1085" s="17">
        <v>18896</v>
      </c>
      <c r="E1085" s="17">
        <v>11527</v>
      </c>
      <c r="F1085" s="3" t="s">
        <v>325</v>
      </c>
      <c r="G1085" s="3" t="s">
        <v>562</v>
      </c>
      <c r="I1085" s="3">
        <v>522.25</v>
      </c>
      <c r="AU1085" s="22">
        <f t="shared" si="219"/>
        <v>522.25</v>
      </c>
      <c r="AV1085" s="3">
        <v>325.56</v>
      </c>
      <c r="AW1085" s="3">
        <v>70.87</v>
      </c>
      <c r="AX1085" s="3">
        <v>125.82</v>
      </c>
      <c r="CH1085" s="22">
        <f t="shared" si="220"/>
        <v>522.25</v>
      </c>
      <c r="CI1085" s="3">
        <f t="shared" si="221"/>
        <v>0</v>
      </c>
      <c r="CJ1085" s="17">
        <f t="shared" si="222"/>
        <v>11527</v>
      </c>
      <c r="CK1085" s="3" t="str">
        <f t="shared" si="223"/>
        <v xml:space="preserve">برنامج دولى </v>
      </c>
    </row>
    <row r="1086" spans="2:89" x14ac:dyDescent="0.25">
      <c r="C1086" s="17" t="s">
        <v>561</v>
      </c>
      <c r="D1086" s="17">
        <v>18897</v>
      </c>
      <c r="E1086" s="17">
        <v>11528</v>
      </c>
      <c r="F1086" s="3" t="s">
        <v>325</v>
      </c>
      <c r="G1086" s="3" t="s">
        <v>562</v>
      </c>
      <c r="I1086" s="3">
        <v>116.46</v>
      </c>
      <c r="AU1086" s="22">
        <f t="shared" si="219"/>
        <v>116.46</v>
      </c>
      <c r="AV1086" s="3">
        <v>70.53</v>
      </c>
      <c r="AW1086" s="3">
        <v>17.88</v>
      </c>
      <c r="AX1086" s="3">
        <v>28.05</v>
      </c>
      <c r="CH1086" s="22">
        <f t="shared" si="220"/>
        <v>116.46</v>
      </c>
      <c r="CI1086" s="3">
        <f t="shared" si="221"/>
        <v>0</v>
      </c>
      <c r="CJ1086" s="17">
        <f t="shared" si="222"/>
        <v>11528</v>
      </c>
      <c r="CK1086" s="3" t="str">
        <f t="shared" si="223"/>
        <v xml:space="preserve">برنامج دولى </v>
      </c>
    </row>
    <row r="1087" spans="2:89" x14ac:dyDescent="0.25">
      <c r="C1087" s="17" t="s">
        <v>563</v>
      </c>
      <c r="D1087" s="17">
        <v>18707</v>
      </c>
      <c r="E1087" s="17">
        <v>11529</v>
      </c>
      <c r="F1087" s="3" t="s">
        <v>325</v>
      </c>
      <c r="G1087" s="3" t="s">
        <v>564</v>
      </c>
      <c r="I1087" s="3">
        <v>21371.88</v>
      </c>
      <c r="AU1087" s="22">
        <f t="shared" si="219"/>
        <v>21371.88</v>
      </c>
      <c r="AV1087" s="3">
        <v>18415.71</v>
      </c>
      <c r="AW1087" s="3">
        <v>2248.9</v>
      </c>
      <c r="AX1087" s="3">
        <v>707.27</v>
      </c>
      <c r="CH1087" s="22">
        <f t="shared" si="220"/>
        <v>21371.88</v>
      </c>
      <c r="CI1087" s="3">
        <f t="shared" si="221"/>
        <v>0</v>
      </c>
      <c r="CJ1087" s="17">
        <f t="shared" si="222"/>
        <v>11529</v>
      </c>
      <c r="CK1087" s="3" t="str">
        <f t="shared" si="223"/>
        <v xml:space="preserve">برنامج دولى </v>
      </c>
    </row>
    <row r="1088" spans="2:89" x14ac:dyDescent="0.25">
      <c r="C1088" s="17" t="s">
        <v>563</v>
      </c>
      <c r="D1088" s="17">
        <v>18705</v>
      </c>
      <c r="E1088" s="17">
        <v>11530</v>
      </c>
      <c r="F1088" s="3" t="s">
        <v>325</v>
      </c>
      <c r="G1088" s="3" t="s">
        <v>564</v>
      </c>
      <c r="I1088" s="3">
        <v>6331.49</v>
      </c>
      <c r="AU1088" s="22">
        <f t="shared" si="219"/>
        <v>6331.49</v>
      </c>
      <c r="AV1088" s="3">
        <v>4231.3999999999996</v>
      </c>
      <c r="AW1088" s="3">
        <v>574.6</v>
      </c>
      <c r="AX1088" s="3">
        <v>1525.49</v>
      </c>
      <c r="CH1088" s="22">
        <f t="shared" si="220"/>
        <v>6331.49</v>
      </c>
      <c r="CI1088" s="3">
        <f t="shared" si="221"/>
        <v>0</v>
      </c>
      <c r="CJ1088" s="17">
        <f t="shared" si="222"/>
        <v>11530</v>
      </c>
      <c r="CK1088" s="3" t="str">
        <f t="shared" si="223"/>
        <v xml:space="preserve">برنامج دولى </v>
      </c>
    </row>
    <row r="1089" spans="3:89" x14ac:dyDescent="0.25">
      <c r="C1089" s="17" t="s">
        <v>563</v>
      </c>
      <c r="D1089" s="17">
        <v>18703</v>
      </c>
      <c r="E1089" s="17">
        <v>11531</v>
      </c>
      <c r="F1089" s="3" t="s">
        <v>325</v>
      </c>
      <c r="G1089" s="3" t="s">
        <v>564</v>
      </c>
      <c r="I1089" s="3">
        <v>3375.59</v>
      </c>
      <c r="AU1089" s="22">
        <f t="shared" si="219"/>
        <v>3375.59</v>
      </c>
      <c r="AV1089" s="3">
        <v>2989.67</v>
      </c>
      <c r="AW1089" s="3">
        <v>360.4</v>
      </c>
      <c r="AX1089" s="3">
        <v>25.52</v>
      </c>
      <c r="CH1089" s="22">
        <f t="shared" si="220"/>
        <v>3375.59</v>
      </c>
      <c r="CI1089" s="3">
        <f t="shared" si="221"/>
        <v>0</v>
      </c>
      <c r="CJ1089" s="17">
        <f t="shared" si="222"/>
        <v>11531</v>
      </c>
      <c r="CK1089" s="3" t="str">
        <f t="shared" si="223"/>
        <v xml:space="preserve">برنامج دولى </v>
      </c>
    </row>
    <row r="1090" spans="3:89" x14ac:dyDescent="0.25">
      <c r="C1090" s="17" t="s">
        <v>563</v>
      </c>
      <c r="D1090" s="17">
        <v>18706</v>
      </c>
      <c r="E1090" s="17">
        <v>11532</v>
      </c>
      <c r="F1090" s="3" t="s">
        <v>325</v>
      </c>
      <c r="G1090" s="3" t="s">
        <v>564</v>
      </c>
      <c r="I1090" s="3">
        <v>844.2</v>
      </c>
      <c r="AU1090" s="22">
        <f t="shared" si="219"/>
        <v>844.2</v>
      </c>
      <c r="AV1090" s="3">
        <v>564.1</v>
      </c>
      <c r="AW1090" s="3">
        <f>72+4.7</f>
        <v>76.7</v>
      </c>
      <c r="AX1090" s="3">
        <v>203.4</v>
      </c>
      <c r="CH1090" s="22">
        <f t="shared" si="220"/>
        <v>844.2</v>
      </c>
      <c r="CI1090" s="3">
        <f t="shared" si="221"/>
        <v>0</v>
      </c>
      <c r="CJ1090" s="17">
        <f t="shared" si="222"/>
        <v>11532</v>
      </c>
      <c r="CK1090" s="3" t="str">
        <f t="shared" si="223"/>
        <v xml:space="preserve">برنامج دولى </v>
      </c>
    </row>
    <row r="1091" spans="3:89" x14ac:dyDescent="0.25">
      <c r="C1091" s="17" t="s">
        <v>563</v>
      </c>
      <c r="D1091" s="17">
        <v>18318</v>
      </c>
      <c r="E1091" s="17">
        <v>11533</v>
      </c>
      <c r="F1091" s="3" t="s">
        <v>325</v>
      </c>
      <c r="G1091" s="3" t="s">
        <v>565</v>
      </c>
      <c r="I1091" s="3">
        <v>5400</v>
      </c>
      <c r="AU1091" s="22">
        <f t="shared" si="219"/>
        <v>5400</v>
      </c>
      <c r="AV1091" s="3">
        <v>4817.2</v>
      </c>
      <c r="AW1091" s="3">
        <v>582.79999999999995</v>
      </c>
      <c r="CH1091" s="22">
        <f t="shared" si="220"/>
        <v>5400</v>
      </c>
      <c r="CI1091" s="3">
        <f t="shared" si="221"/>
        <v>0</v>
      </c>
      <c r="CJ1091" s="17">
        <f t="shared" si="222"/>
        <v>11533</v>
      </c>
      <c r="CK1091" s="3" t="str">
        <f t="shared" si="223"/>
        <v xml:space="preserve">برنامج دولى </v>
      </c>
    </row>
    <row r="1092" spans="3:89" x14ac:dyDescent="0.25">
      <c r="C1092" s="17" t="s">
        <v>566</v>
      </c>
      <c r="D1092" s="17">
        <v>18451</v>
      </c>
      <c r="E1092" s="17">
        <v>11534</v>
      </c>
      <c r="F1092" s="3" t="s">
        <v>325</v>
      </c>
      <c r="G1092" s="3" t="s">
        <v>567</v>
      </c>
      <c r="I1092" s="3">
        <v>2849.18</v>
      </c>
      <c r="AU1092" s="22">
        <f t="shared" si="219"/>
        <v>2849.18</v>
      </c>
      <c r="AV1092" s="3">
        <v>1904.2</v>
      </c>
      <c r="AW1092" s="3">
        <v>258.5</v>
      </c>
      <c r="AX1092" s="3">
        <v>686.48</v>
      </c>
      <c r="CH1092" s="22">
        <f t="shared" si="220"/>
        <v>2849.18</v>
      </c>
      <c r="CI1092" s="3">
        <f t="shared" si="221"/>
        <v>0</v>
      </c>
      <c r="CJ1092" s="17">
        <f t="shared" si="222"/>
        <v>11534</v>
      </c>
      <c r="CK1092" s="3" t="str">
        <f t="shared" si="223"/>
        <v xml:space="preserve">برنامج دولى </v>
      </c>
    </row>
    <row r="1093" spans="3:89" x14ac:dyDescent="0.25">
      <c r="C1093" s="17" t="s">
        <v>566</v>
      </c>
      <c r="D1093" s="17">
        <v>18450</v>
      </c>
      <c r="E1093" s="17">
        <v>11535</v>
      </c>
      <c r="F1093" s="3" t="s">
        <v>325</v>
      </c>
      <c r="G1093" s="3" t="s">
        <v>567</v>
      </c>
      <c r="I1093" s="3">
        <v>21663.69</v>
      </c>
      <c r="AU1093" s="22">
        <f t="shared" si="219"/>
        <v>21663.69</v>
      </c>
      <c r="AV1093" s="3">
        <v>17482.45</v>
      </c>
      <c r="AW1093" s="3">
        <v>2185.4</v>
      </c>
      <c r="AX1093" s="3">
        <v>1995.84</v>
      </c>
      <c r="CH1093" s="22">
        <f t="shared" si="220"/>
        <v>21663.690000000002</v>
      </c>
      <c r="CI1093" s="3">
        <f t="shared" si="221"/>
        <v>0</v>
      </c>
      <c r="CJ1093" s="17">
        <f t="shared" si="222"/>
        <v>11535</v>
      </c>
      <c r="CK1093" s="3" t="str">
        <f t="shared" si="223"/>
        <v xml:space="preserve">برنامج دولى </v>
      </c>
    </row>
    <row r="1094" spans="3:89" x14ac:dyDescent="0.25">
      <c r="C1094" s="17" t="s">
        <v>566</v>
      </c>
      <c r="D1094" s="17">
        <v>18459</v>
      </c>
      <c r="E1094" s="17">
        <v>11536</v>
      </c>
      <c r="F1094" s="3" t="s">
        <v>325</v>
      </c>
      <c r="G1094" s="3" t="s">
        <v>568</v>
      </c>
      <c r="I1094" s="3">
        <v>1939.03</v>
      </c>
      <c r="AU1094" s="22">
        <f t="shared" si="219"/>
        <v>1939.03</v>
      </c>
      <c r="AV1094" s="3">
        <v>1701.92</v>
      </c>
      <c r="AW1094" s="3">
        <v>205.95</v>
      </c>
      <c r="AX1094" s="3">
        <v>31.16</v>
      </c>
      <c r="CH1094" s="22">
        <f t="shared" si="220"/>
        <v>1939.0300000000002</v>
      </c>
      <c r="CI1094" s="3">
        <f t="shared" si="221"/>
        <v>0</v>
      </c>
      <c r="CJ1094" s="17">
        <f t="shared" si="222"/>
        <v>11536</v>
      </c>
      <c r="CK1094" s="3" t="str">
        <f t="shared" si="223"/>
        <v xml:space="preserve">برنامج دولى </v>
      </c>
    </row>
    <row r="1095" spans="3:89" x14ac:dyDescent="0.25">
      <c r="C1095" s="17" t="s">
        <v>566</v>
      </c>
      <c r="D1095" s="17">
        <v>18453</v>
      </c>
      <c r="E1095" s="17">
        <v>11537</v>
      </c>
      <c r="F1095" s="3" t="s">
        <v>325</v>
      </c>
      <c r="G1095" s="3" t="s">
        <v>569</v>
      </c>
      <c r="I1095" s="3">
        <v>817.83</v>
      </c>
      <c r="AU1095" s="22">
        <f t="shared" si="219"/>
        <v>817.83</v>
      </c>
      <c r="AV1095" s="3">
        <v>548.02</v>
      </c>
      <c r="AW1095" s="3">
        <v>72.75</v>
      </c>
      <c r="AX1095" s="3">
        <v>197.06</v>
      </c>
      <c r="CH1095" s="22">
        <f t="shared" si="220"/>
        <v>817.82999999999993</v>
      </c>
      <c r="CI1095" s="3">
        <f t="shared" si="221"/>
        <v>0</v>
      </c>
      <c r="CJ1095" s="17">
        <f t="shared" si="222"/>
        <v>11537</v>
      </c>
      <c r="CK1095" s="3" t="str">
        <f t="shared" si="223"/>
        <v xml:space="preserve">برنامج دولى </v>
      </c>
    </row>
    <row r="1096" spans="3:89" x14ac:dyDescent="0.25">
      <c r="C1096" s="17" t="s">
        <v>566</v>
      </c>
      <c r="D1096" s="17">
        <v>18452</v>
      </c>
      <c r="E1096" s="17">
        <v>11538</v>
      </c>
      <c r="F1096" s="3" t="s">
        <v>325</v>
      </c>
      <c r="G1096" s="3" t="str">
        <f>+G1093</f>
        <v>عب تدريس فسيولوجى</v>
      </c>
      <c r="I1096" s="3">
        <v>22002.22</v>
      </c>
      <c r="AU1096" s="22">
        <f t="shared" si="219"/>
        <v>22002.22</v>
      </c>
      <c r="AV1096" s="3">
        <v>19575.64</v>
      </c>
      <c r="AW1096" s="3">
        <v>2357.4499999999998</v>
      </c>
      <c r="AX1096" s="3">
        <v>69.13</v>
      </c>
      <c r="CH1096" s="22">
        <f t="shared" si="220"/>
        <v>22002.22</v>
      </c>
      <c r="CI1096" s="3">
        <f t="shared" si="221"/>
        <v>0</v>
      </c>
      <c r="CJ1096" s="17">
        <f t="shared" si="222"/>
        <v>11538</v>
      </c>
      <c r="CK1096" s="3" t="str">
        <f t="shared" si="223"/>
        <v xml:space="preserve">برنامج دولى </v>
      </c>
    </row>
    <row r="1097" spans="3:89" x14ac:dyDescent="0.25">
      <c r="C1097" s="17" t="s">
        <v>566</v>
      </c>
      <c r="D1097" s="17">
        <v>18454</v>
      </c>
      <c r="E1097" s="17">
        <v>11539</v>
      </c>
      <c r="F1097" s="3" t="s">
        <v>325</v>
      </c>
      <c r="G1097" s="3" t="s">
        <v>360</v>
      </c>
      <c r="I1097" s="3">
        <v>98524.94</v>
      </c>
      <c r="AU1097" s="22">
        <f t="shared" si="219"/>
        <v>98524.94</v>
      </c>
      <c r="AV1097" s="3">
        <v>83030.210000000006</v>
      </c>
      <c r="AW1097" s="3">
        <v>10217.35</v>
      </c>
      <c r="AX1097" s="3">
        <v>5277.38</v>
      </c>
      <c r="CH1097" s="22">
        <f t="shared" si="220"/>
        <v>98524.940000000017</v>
      </c>
      <c r="CI1097" s="3">
        <f t="shared" si="221"/>
        <v>0</v>
      </c>
      <c r="CJ1097" s="17">
        <f t="shared" si="222"/>
        <v>11539</v>
      </c>
      <c r="CK1097" s="3" t="str">
        <f t="shared" si="223"/>
        <v xml:space="preserve">برنامج دولى </v>
      </c>
    </row>
    <row r="1098" spans="3:89" x14ac:dyDescent="0.25">
      <c r="C1098" s="17" t="s">
        <v>566</v>
      </c>
      <c r="D1098" s="17">
        <v>18456</v>
      </c>
      <c r="E1098" s="17">
        <v>11540</v>
      </c>
      <c r="F1098" s="3" t="s">
        <v>325</v>
      </c>
      <c r="G1098" s="3" t="s">
        <v>360</v>
      </c>
      <c r="I1098" s="3">
        <v>2796.41</v>
      </c>
      <c r="AU1098" s="22">
        <f t="shared" si="219"/>
        <v>2796.41</v>
      </c>
      <c r="AV1098" s="3">
        <v>1869.75</v>
      </c>
      <c r="AW1098" s="3">
        <v>252.9</v>
      </c>
      <c r="AX1098" s="3">
        <v>673.76</v>
      </c>
      <c r="CH1098" s="22">
        <f t="shared" si="220"/>
        <v>2796.41</v>
      </c>
      <c r="CI1098" s="3">
        <f t="shared" si="221"/>
        <v>0</v>
      </c>
      <c r="CJ1098" s="17">
        <f t="shared" si="222"/>
        <v>11540</v>
      </c>
      <c r="CK1098" s="3" t="str">
        <f t="shared" si="223"/>
        <v xml:space="preserve">برنامج دولى </v>
      </c>
    </row>
    <row r="1099" spans="3:89" x14ac:dyDescent="0.25">
      <c r="C1099" s="17" t="s">
        <v>566</v>
      </c>
      <c r="D1099" s="17">
        <v>18711</v>
      </c>
      <c r="E1099" s="17">
        <v>11541</v>
      </c>
      <c r="F1099" s="3" t="s">
        <v>325</v>
      </c>
      <c r="G1099" s="3" t="str">
        <f>+G1095</f>
        <v>عب تدريس تشريح</v>
      </c>
      <c r="I1099" s="3">
        <v>1407</v>
      </c>
      <c r="AU1099" s="22">
        <f t="shared" si="219"/>
        <v>1407</v>
      </c>
      <c r="AV1099" s="3">
        <v>942.1</v>
      </c>
      <c r="AW1099" s="3">
        <v>125.9</v>
      </c>
      <c r="AX1099" s="3">
        <v>339</v>
      </c>
      <c r="CH1099" s="22">
        <f t="shared" si="220"/>
        <v>1407</v>
      </c>
      <c r="CI1099" s="3">
        <f t="shared" si="221"/>
        <v>0</v>
      </c>
      <c r="CJ1099" s="17">
        <f t="shared" si="222"/>
        <v>11541</v>
      </c>
      <c r="CK1099" s="3" t="str">
        <f t="shared" si="223"/>
        <v xml:space="preserve">برنامج دولى </v>
      </c>
    </row>
    <row r="1100" spans="3:89" x14ac:dyDescent="0.25">
      <c r="C1100" s="17" t="s">
        <v>566</v>
      </c>
      <c r="D1100" s="17">
        <v>18713</v>
      </c>
      <c r="E1100" s="17">
        <v>11542</v>
      </c>
      <c r="F1100" s="3" t="s">
        <v>325</v>
      </c>
      <c r="G1100" s="3" t="str">
        <f t="shared" ref="G1100:G1106" si="224">+G1099</f>
        <v>عب تدريس تشريح</v>
      </c>
      <c r="I1100" s="3">
        <v>5334.78</v>
      </c>
      <c r="AU1100" s="22">
        <f t="shared" si="219"/>
        <v>5334.78</v>
      </c>
      <c r="AV1100" s="3">
        <v>4309.57</v>
      </c>
      <c r="AW1100" s="3">
        <v>542.45000000000005</v>
      </c>
      <c r="AX1100" s="3">
        <v>482.76</v>
      </c>
      <c r="CH1100" s="22">
        <f t="shared" si="220"/>
        <v>5334.78</v>
      </c>
      <c r="CI1100" s="3">
        <f t="shared" si="221"/>
        <v>0</v>
      </c>
      <c r="CJ1100" s="17">
        <f t="shared" si="222"/>
        <v>11542</v>
      </c>
      <c r="CK1100" s="3" t="str">
        <f t="shared" si="223"/>
        <v xml:space="preserve">برنامج دولى </v>
      </c>
    </row>
    <row r="1101" spans="3:89" x14ac:dyDescent="0.25">
      <c r="C1101" s="17" t="s">
        <v>566</v>
      </c>
      <c r="D1101" s="17">
        <v>18714</v>
      </c>
      <c r="E1101" s="17">
        <v>11543</v>
      </c>
      <c r="F1101" s="3" t="s">
        <v>325</v>
      </c>
      <c r="G1101" s="3" t="str">
        <f t="shared" si="224"/>
        <v>عب تدريس تشريح</v>
      </c>
      <c r="I1101" s="3">
        <v>2110.5</v>
      </c>
      <c r="AU1101" s="22">
        <f t="shared" si="219"/>
        <v>2110.5</v>
      </c>
      <c r="AV1101" s="3">
        <v>1411.9</v>
      </c>
      <c r="AW1101" s="3">
        <v>190.1</v>
      </c>
      <c r="AX1101" s="3">
        <v>508.5</v>
      </c>
      <c r="CH1101" s="22">
        <f t="shared" si="220"/>
        <v>2110.5</v>
      </c>
      <c r="CI1101" s="3">
        <f t="shared" si="221"/>
        <v>0</v>
      </c>
      <c r="CJ1101" s="17">
        <f t="shared" si="222"/>
        <v>11543</v>
      </c>
      <c r="CK1101" s="3" t="str">
        <f t="shared" si="223"/>
        <v xml:space="preserve">برنامج دولى </v>
      </c>
    </row>
    <row r="1102" spans="3:89" x14ac:dyDescent="0.25">
      <c r="C1102" s="17" t="s">
        <v>566</v>
      </c>
      <c r="D1102" s="17">
        <v>18715</v>
      </c>
      <c r="E1102" s="17">
        <v>11544</v>
      </c>
      <c r="F1102" s="3" t="s">
        <v>325</v>
      </c>
      <c r="G1102" s="3" t="str">
        <f t="shared" si="224"/>
        <v>عب تدريس تشريح</v>
      </c>
      <c r="I1102" s="3">
        <v>422.1</v>
      </c>
      <c r="AU1102" s="22">
        <f t="shared" si="219"/>
        <v>422.1</v>
      </c>
      <c r="AV1102" s="3">
        <v>282.60000000000002</v>
      </c>
      <c r="AW1102" s="3">
        <v>37.799999999999997</v>
      </c>
      <c r="AX1102" s="3">
        <v>101.7</v>
      </c>
      <c r="CH1102" s="22">
        <f t="shared" si="220"/>
        <v>422.1</v>
      </c>
      <c r="CI1102" s="3">
        <f t="shared" si="221"/>
        <v>0</v>
      </c>
      <c r="CJ1102" s="17">
        <f t="shared" si="222"/>
        <v>11544</v>
      </c>
      <c r="CK1102" s="3" t="str">
        <f t="shared" si="223"/>
        <v xml:space="preserve">برنامج دولى </v>
      </c>
    </row>
    <row r="1103" spans="3:89" x14ac:dyDescent="0.25">
      <c r="C1103" s="17" t="s">
        <v>566</v>
      </c>
      <c r="D1103" s="17">
        <v>18716</v>
      </c>
      <c r="E1103" s="17">
        <v>11545</v>
      </c>
      <c r="F1103" s="3" t="s">
        <v>325</v>
      </c>
      <c r="G1103" s="3" t="str">
        <f t="shared" si="224"/>
        <v>عب تدريس تشريح</v>
      </c>
      <c r="I1103" s="3">
        <v>20640</v>
      </c>
      <c r="AU1103" s="22">
        <f t="shared" si="219"/>
        <v>20640</v>
      </c>
      <c r="AV1103" s="3">
        <v>18458.349999999999</v>
      </c>
      <c r="AW1103" s="3">
        <v>2181.65</v>
      </c>
      <c r="CH1103" s="22">
        <f t="shared" si="220"/>
        <v>20640</v>
      </c>
      <c r="CI1103" s="3">
        <f t="shared" si="221"/>
        <v>0</v>
      </c>
      <c r="CJ1103" s="17">
        <f t="shared" si="222"/>
        <v>11545</v>
      </c>
      <c r="CK1103" s="3" t="str">
        <f t="shared" si="223"/>
        <v xml:space="preserve">برنامج دولى </v>
      </c>
    </row>
    <row r="1104" spans="3:89" x14ac:dyDescent="0.25">
      <c r="C1104" s="17" t="s">
        <v>566</v>
      </c>
      <c r="D1104" s="17">
        <v>18708</v>
      </c>
      <c r="E1104" s="17">
        <v>11546</v>
      </c>
      <c r="F1104" s="3" t="s">
        <v>325</v>
      </c>
      <c r="G1104" s="3" t="str">
        <f t="shared" si="224"/>
        <v>عب تدريس تشريح</v>
      </c>
      <c r="I1104" s="3">
        <v>281.39999999999998</v>
      </c>
      <c r="AU1104" s="22">
        <f t="shared" si="219"/>
        <v>281.39999999999998</v>
      </c>
      <c r="AV1104" s="3">
        <v>188.6</v>
      </c>
      <c r="AW1104" s="3">
        <v>25</v>
      </c>
      <c r="AX1104" s="3">
        <v>67.8</v>
      </c>
      <c r="CH1104" s="22">
        <f t="shared" si="220"/>
        <v>281.39999999999998</v>
      </c>
      <c r="CI1104" s="3">
        <f t="shared" si="221"/>
        <v>0</v>
      </c>
      <c r="CJ1104" s="17">
        <f t="shared" si="222"/>
        <v>11546</v>
      </c>
      <c r="CK1104" s="3" t="str">
        <f t="shared" si="223"/>
        <v xml:space="preserve">برنامج دولى </v>
      </c>
    </row>
    <row r="1105" spans="3:89" x14ac:dyDescent="0.25">
      <c r="C1105" s="17" t="s">
        <v>566</v>
      </c>
      <c r="D1105" s="17">
        <v>18709</v>
      </c>
      <c r="E1105" s="17">
        <v>11547</v>
      </c>
      <c r="F1105" s="3" t="s">
        <v>325</v>
      </c>
      <c r="G1105" s="3" t="str">
        <f t="shared" si="224"/>
        <v>عب تدريس تشريح</v>
      </c>
      <c r="I1105" s="3">
        <v>13200</v>
      </c>
      <c r="AU1105" s="22">
        <f t="shared" si="219"/>
        <v>13200</v>
      </c>
      <c r="AV1105" s="3">
        <v>11790.8</v>
      </c>
      <c r="AW1105" s="3">
        <v>1409.2</v>
      </c>
      <c r="CH1105" s="22">
        <f t="shared" si="220"/>
        <v>13200</v>
      </c>
      <c r="CI1105" s="3">
        <f t="shared" si="221"/>
        <v>0</v>
      </c>
      <c r="CJ1105" s="17">
        <f t="shared" si="222"/>
        <v>11547</v>
      </c>
      <c r="CK1105" s="3" t="str">
        <f t="shared" si="223"/>
        <v xml:space="preserve">برنامج دولى </v>
      </c>
    </row>
    <row r="1106" spans="3:89" x14ac:dyDescent="0.25">
      <c r="C1106" s="17" t="s">
        <v>566</v>
      </c>
      <c r="D1106" s="17">
        <v>18710</v>
      </c>
      <c r="E1106" s="17">
        <v>11548</v>
      </c>
      <c r="F1106" s="3" t="s">
        <v>325</v>
      </c>
      <c r="G1106" s="3" t="str">
        <f t="shared" si="224"/>
        <v>عب تدريس تشريح</v>
      </c>
      <c r="I1106" s="3">
        <v>3360</v>
      </c>
      <c r="AU1106" s="22">
        <f t="shared" si="219"/>
        <v>3360</v>
      </c>
      <c r="AV1106" s="3">
        <v>2999.15</v>
      </c>
      <c r="AW1106" s="3">
        <v>360.85</v>
      </c>
      <c r="CH1106" s="22">
        <f t="shared" si="220"/>
        <v>3360</v>
      </c>
      <c r="CI1106" s="3">
        <f t="shared" si="221"/>
        <v>0</v>
      </c>
      <c r="CJ1106" s="17">
        <f t="shared" si="222"/>
        <v>11548</v>
      </c>
      <c r="CK1106" s="3" t="str">
        <f t="shared" si="223"/>
        <v xml:space="preserve">برنامج دولى </v>
      </c>
    </row>
    <row r="1107" spans="3:89" x14ac:dyDescent="0.25">
      <c r="C1107" s="17" t="s">
        <v>566</v>
      </c>
      <c r="D1107" s="17">
        <v>18457</v>
      </c>
      <c r="E1107" s="17">
        <v>11549</v>
      </c>
      <c r="F1107" s="3" t="s">
        <v>325</v>
      </c>
      <c r="G1107" s="3" t="s">
        <v>360</v>
      </c>
      <c r="I1107" s="3">
        <v>11475.12</v>
      </c>
      <c r="AU1107" s="22">
        <f t="shared" si="219"/>
        <v>11475.12</v>
      </c>
      <c r="AV1107" s="3">
        <v>7692.89</v>
      </c>
      <c r="AW1107" s="3">
        <v>1043</v>
      </c>
      <c r="AX1107" s="3">
        <v>2739.23</v>
      </c>
      <c r="CH1107" s="22">
        <f t="shared" si="220"/>
        <v>11475.119999999999</v>
      </c>
      <c r="CI1107" s="3">
        <f t="shared" si="221"/>
        <v>0</v>
      </c>
      <c r="CJ1107" s="17">
        <f t="shared" si="222"/>
        <v>11549</v>
      </c>
      <c r="CK1107" s="3" t="str">
        <f t="shared" si="223"/>
        <v xml:space="preserve">برنامج دولى </v>
      </c>
    </row>
    <row r="1108" spans="3:89" x14ac:dyDescent="0.25">
      <c r="C1108" s="17" t="s">
        <v>566</v>
      </c>
      <c r="D1108" s="17">
        <v>18316</v>
      </c>
      <c r="E1108" s="17">
        <v>11550</v>
      </c>
      <c r="F1108" s="3" t="s">
        <v>325</v>
      </c>
      <c r="G1108" s="3" t="s">
        <v>570</v>
      </c>
      <c r="I1108" s="3">
        <v>2400</v>
      </c>
      <c r="AU1108" s="22">
        <f t="shared" si="219"/>
        <v>2400</v>
      </c>
      <c r="AV1108" s="3">
        <v>2143.65</v>
      </c>
      <c r="AW1108" s="3">
        <v>256.35000000000002</v>
      </c>
      <c r="CH1108" s="22">
        <f t="shared" si="220"/>
        <v>2400</v>
      </c>
      <c r="CI1108" s="3">
        <f t="shared" si="221"/>
        <v>0</v>
      </c>
      <c r="CJ1108" s="17">
        <f t="shared" si="222"/>
        <v>11550</v>
      </c>
      <c r="CK1108" s="3" t="str">
        <f t="shared" si="223"/>
        <v xml:space="preserve">برنامج دولى </v>
      </c>
    </row>
    <row r="1109" spans="3:89" x14ac:dyDescent="0.25">
      <c r="C1109" s="17" t="s">
        <v>571</v>
      </c>
      <c r="D1109" s="17">
        <v>18235</v>
      </c>
      <c r="E1109" s="17">
        <v>11551</v>
      </c>
      <c r="F1109" s="3" t="s">
        <v>325</v>
      </c>
      <c r="G1109" s="3" t="s">
        <v>572</v>
      </c>
      <c r="I1109" s="3">
        <v>393.12</v>
      </c>
      <c r="AU1109" s="22">
        <f t="shared" si="219"/>
        <v>393.12</v>
      </c>
      <c r="AV1109" s="3">
        <v>286.7</v>
      </c>
      <c r="AW1109" s="3">
        <v>35.799999999999997</v>
      </c>
      <c r="AX1109" s="3">
        <v>70.62</v>
      </c>
      <c r="CH1109" s="22">
        <f t="shared" si="220"/>
        <v>393.12</v>
      </c>
      <c r="CI1109" s="3">
        <f t="shared" si="221"/>
        <v>0</v>
      </c>
      <c r="CJ1109" s="17">
        <f t="shared" si="222"/>
        <v>11551</v>
      </c>
      <c r="CK1109" s="3" t="str">
        <f t="shared" si="223"/>
        <v xml:space="preserve">برنامج دولى </v>
      </c>
    </row>
    <row r="1110" spans="3:89" x14ac:dyDescent="0.25">
      <c r="C1110" s="17" t="s">
        <v>563</v>
      </c>
      <c r="D1110" s="17">
        <v>18704</v>
      </c>
      <c r="E1110" s="17">
        <v>11552</v>
      </c>
      <c r="F1110" s="3" t="s">
        <v>325</v>
      </c>
      <c r="G1110" s="3" t="str">
        <f>+G1090</f>
        <v>عب تدريس  طب مسنين</v>
      </c>
      <c r="I1110" s="3">
        <v>6928.99</v>
      </c>
      <c r="AU1110" s="22">
        <f t="shared" si="219"/>
        <v>6928.99</v>
      </c>
      <c r="AV1110" s="3">
        <v>4950.78</v>
      </c>
      <c r="AW1110" s="3">
        <v>653.35</v>
      </c>
      <c r="AX1110" s="3">
        <v>1324.86</v>
      </c>
      <c r="CH1110" s="22">
        <f t="shared" si="220"/>
        <v>6928.99</v>
      </c>
      <c r="CI1110" s="3">
        <f t="shared" si="221"/>
        <v>0</v>
      </c>
      <c r="CJ1110" s="17">
        <f t="shared" si="222"/>
        <v>11552</v>
      </c>
      <c r="CK1110" s="3" t="str">
        <f t="shared" si="223"/>
        <v xml:space="preserve">برنامج دولى </v>
      </c>
    </row>
    <row r="1111" spans="3:89" x14ac:dyDescent="0.25">
      <c r="C1111" s="17" t="s">
        <v>561</v>
      </c>
      <c r="D1111" s="17">
        <v>18700</v>
      </c>
      <c r="E1111" s="17">
        <v>11553</v>
      </c>
      <c r="F1111" s="3" t="s">
        <v>325</v>
      </c>
      <c r="G1111" s="3" t="s">
        <v>573</v>
      </c>
      <c r="I1111" s="3">
        <v>1143.19</v>
      </c>
      <c r="AU1111" s="22">
        <f t="shared" si="219"/>
        <v>1143.19</v>
      </c>
      <c r="AV1111" s="3">
        <v>732.56</v>
      </c>
      <c r="AW1111" s="3">
        <v>86.44</v>
      </c>
      <c r="AX1111" s="3">
        <v>275.44</v>
      </c>
      <c r="AY1111" s="3">
        <v>48.75</v>
      </c>
      <c r="CH1111" s="22">
        <f t="shared" si="220"/>
        <v>1143.19</v>
      </c>
      <c r="CI1111" s="3">
        <f t="shared" si="221"/>
        <v>0</v>
      </c>
      <c r="CJ1111" s="17">
        <f t="shared" si="222"/>
        <v>11553</v>
      </c>
      <c r="CK1111" s="3" t="str">
        <f t="shared" si="223"/>
        <v xml:space="preserve">برنامج دولى </v>
      </c>
    </row>
    <row r="1112" spans="3:89" x14ac:dyDescent="0.25">
      <c r="C1112" s="17" t="s">
        <v>574</v>
      </c>
      <c r="D1112" s="17">
        <v>18712</v>
      </c>
      <c r="E1112" s="17">
        <v>11554</v>
      </c>
      <c r="F1112" s="3" t="s">
        <v>325</v>
      </c>
      <c r="G1112" s="3" t="s">
        <v>575</v>
      </c>
      <c r="I1112" s="3">
        <v>19440</v>
      </c>
      <c r="AU1112" s="22">
        <f t="shared" si="219"/>
        <v>19440</v>
      </c>
      <c r="AV1112" s="3">
        <v>17345.25</v>
      </c>
      <c r="AW1112" s="3">
        <v>2094.75</v>
      </c>
      <c r="CH1112" s="22">
        <f t="shared" si="220"/>
        <v>19440</v>
      </c>
      <c r="CI1112" s="3">
        <f t="shared" si="221"/>
        <v>0</v>
      </c>
      <c r="CJ1112" s="17">
        <f t="shared" si="222"/>
        <v>11554</v>
      </c>
      <c r="CK1112" s="3" t="str">
        <f t="shared" si="223"/>
        <v xml:space="preserve">برنامج دولى </v>
      </c>
    </row>
    <row r="1113" spans="3:89" x14ac:dyDescent="0.25">
      <c r="C1113" s="17" t="s">
        <v>574</v>
      </c>
      <c r="D1113" s="17">
        <v>18505</v>
      </c>
      <c r="E1113" s="17">
        <v>11555</v>
      </c>
      <c r="F1113" s="3" t="s">
        <v>325</v>
      </c>
      <c r="G1113" s="3" t="s">
        <v>576</v>
      </c>
      <c r="I1113" s="3">
        <v>1080</v>
      </c>
      <c r="AU1113" s="22">
        <f t="shared" si="219"/>
        <v>1080</v>
      </c>
      <c r="AV1113" s="3">
        <v>964.25</v>
      </c>
      <c r="AW1113" s="3">
        <v>115.75</v>
      </c>
      <c r="CH1113" s="22">
        <f t="shared" si="220"/>
        <v>1080</v>
      </c>
      <c r="CI1113" s="3">
        <f t="shared" si="221"/>
        <v>0</v>
      </c>
      <c r="CJ1113" s="17">
        <f t="shared" si="222"/>
        <v>11555</v>
      </c>
      <c r="CK1113" s="3" t="str">
        <f t="shared" si="223"/>
        <v xml:space="preserve">برنامج دولى </v>
      </c>
    </row>
    <row r="1114" spans="3:89" x14ac:dyDescent="0.25">
      <c r="C1114" s="17" t="s">
        <v>574</v>
      </c>
      <c r="D1114" s="17">
        <v>18466</v>
      </c>
      <c r="E1114" s="17">
        <v>11556</v>
      </c>
      <c r="F1114" s="3" t="s">
        <v>325</v>
      </c>
      <c r="G1114" s="3" t="s">
        <v>577</v>
      </c>
      <c r="I1114" s="3">
        <v>105.52</v>
      </c>
      <c r="AU1114" s="22">
        <f t="shared" si="219"/>
        <v>105.52</v>
      </c>
      <c r="AV1114" s="3">
        <v>70.900000000000006</v>
      </c>
      <c r="AW1114" s="3">
        <v>9.1999999999999993</v>
      </c>
      <c r="AX1114" s="3">
        <v>25.42</v>
      </c>
      <c r="CH1114" s="22">
        <f t="shared" si="220"/>
        <v>105.52000000000001</v>
      </c>
      <c r="CI1114" s="3">
        <f t="shared" si="221"/>
        <v>0</v>
      </c>
      <c r="CJ1114" s="17">
        <f t="shared" si="222"/>
        <v>11556</v>
      </c>
      <c r="CK1114" s="3" t="str">
        <f t="shared" si="223"/>
        <v xml:space="preserve">برنامج دولى </v>
      </c>
    </row>
    <row r="1115" spans="3:89" x14ac:dyDescent="0.25">
      <c r="C1115" s="17" t="s">
        <v>574</v>
      </c>
      <c r="D1115" s="17">
        <v>18465</v>
      </c>
      <c r="E1115" s="17">
        <v>11557</v>
      </c>
      <c r="F1115" s="3" t="s">
        <v>325</v>
      </c>
      <c r="G1115" s="3" t="s">
        <v>577</v>
      </c>
      <c r="I1115" s="3">
        <v>1899.45</v>
      </c>
      <c r="AU1115" s="22">
        <f t="shared" si="219"/>
        <v>1899.45</v>
      </c>
      <c r="AV1115" s="3">
        <v>1270.6500000000001</v>
      </c>
      <c r="AW1115" s="3">
        <v>171.15</v>
      </c>
      <c r="AX1115" s="3">
        <v>457.65</v>
      </c>
      <c r="CH1115" s="22">
        <f t="shared" si="220"/>
        <v>1899.4500000000003</v>
      </c>
      <c r="CI1115" s="3">
        <f t="shared" si="221"/>
        <v>0</v>
      </c>
      <c r="CJ1115" s="17">
        <f t="shared" si="222"/>
        <v>11557</v>
      </c>
      <c r="CK1115" s="3" t="str">
        <f t="shared" si="223"/>
        <v xml:space="preserve">برنامج دولى </v>
      </c>
    </row>
    <row r="1116" spans="3:89" x14ac:dyDescent="0.25">
      <c r="C1116" s="17" t="s">
        <v>574</v>
      </c>
      <c r="D1116" s="17">
        <v>18467</v>
      </c>
      <c r="E1116" s="17">
        <v>11558</v>
      </c>
      <c r="F1116" s="3" t="s">
        <v>325</v>
      </c>
      <c r="G1116" s="3" t="s">
        <v>577</v>
      </c>
      <c r="I1116" s="3">
        <v>10764.76</v>
      </c>
      <c r="AU1116" s="22">
        <f t="shared" si="219"/>
        <v>10764.76</v>
      </c>
      <c r="AV1116" s="3">
        <v>8363.5</v>
      </c>
      <c r="AW1116" s="3">
        <v>1058.75</v>
      </c>
      <c r="AX1116" s="3">
        <v>1342.51</v>
      </c>
      <c r="CH1116" s="22">
        <f t="shared" si="220"/>
        <v>10764.76</v>
      </c>
      <c r="CI1116" s="3">
        <f t="shared" si="221"/>
        <v>0</v>
      </c>
      <c r="CJ1116" s="17">
        <f t="shared" si="222"/>
        <v>11558</v>
      </c>
      <c r="CK1116" s="3" t="str">
        <f t="shared" si="223"/>
        <v xml:space="preserve">برنامج دولى </v>
      </c>
    </row>
    <row r="1117" spans="3:89" x14ac:dyDescent="0.25">
      <c r="C1117" s="17" t="s">
        <v>574</v>
      </c>
      <c r="D1117" s="17">
        <v>18464</v>
      </c>
      <c r="E1117" s="17">
        <v>11559</v>
      </c>
      <c r="F1117" s="3" t="s">
        <v>325</v>
      </c>
      <c r="G1117" s="3" t="s">
        <v>577</v>
      </c>
      <c r="I1117" s="3">
        <v>738.68</v>
      </c>
      <c r="AU1117" s="22">
        <f t="shared" si="219"/>
        <v>738.68</v>
      </c>
      <c r="AV1117" s="3">
        <v>494.1</v>
      </c>
      <c r="AW1117" s="3">
        <v>66.599999999999994</v>
      </c>
      <c r="AX1117" s="3">
        <v>177.98</v>
      </c>
      <c r="CH1117" s="22">
        <f t="shared" si="220"/>
        <v>738.68000000000006</v>
      </c>
      <c r="CI1117" s="3">
        <f t="shared" si="221"/>
        <v>0</v>
      </c>
      <c r="CJ1117" s="17">
        <f t="shared" si="222"/>
        <v>11559</v>
      </c>
      <c r="CK1117" s="3" t="str">
        <f t="shared" si="223"/>
        <v xml:space="preserve">برنامج دولى </v>
      </c>
    </row>
    <row r="1118" spans="3:89" x14ac:dyDescent="0.25">
      <c r="C1118" s="17" t="s">
        <v>574</v>
      </c>
      <c r="D1118" s="17">
        <v>18473</v>
      </c>
      <c r="E1118" s="17">
        <v>11560</v>
      </c>
      <c r="F1118" s="3" t="s">
        <v>325</v>
      </c>
      <c r="G1118" s="3" t="s">
        <v>577</v>
      </c>
      <c r="I1118" s="3">
        <v>12421.36</v>
      </c>
      <c r="AU1118" s="22">
        <f t="shared" si="219"/>
        <v>12421.36</v>
      </c>
      <c r="AV1118" s="3">
        <v>10010.85</v>
      </c>
      <c r="AW1118" s="3">
        <v>1244.55</v>
      </c>
      <c r="AX1118" s="3">
        <v>1165.96</v>
      </c>
      <c r="CH1118" s="22">
        <f t="shared" si="220"/>
        <v>12421.36</v>
      </c>
      <c r="CI1118" s="3">
        <f t="shared" si="221"/>
        <v>0</v>
      </c>
      <c r="CJ1118" s="17">
        <f t="shared" si="222"/>
        <v>11560</v>
      </c>
      <c r="CK1118" s="3" t="str">
        <f t="shared" si="223"/>
        <v xml:space="preserve">برنامج دولى </v>
      </c>
    </row>
    <row r="1119" spans="3:89" x14ac:dyDescent="0.25">
      <c r="C1119" s="17" t="s">
        <v>574</v>
      </c>
      <c r="D1119" s="17">
        <v>18471</v>
      </c>
      <c r="E1119" s="17">
        <v>11561</v>
      </c>
      <c r="F1119" s="3" t="s">
        <v>325</v>
      </c>
      <c r="G1119" s="3" t="s">
        <v>577</v>
      </c>
      <c r="I1119" s="3">
        <v>738.68</v>
      </c>
      <c r="AU1119" s="22">
        <f t="shared" si="219"/>
        <v>738.68</v>
      </c>
      <c r="AV1119" s="3">
        <v>494.1</v>
      </c>
      <c r="AW1119" s="3">
        <v>66.599999999999994</v>
      </c>
      <c r="AX1119" s="3">
        <v>177.98</v>
      </c>
      <c r="CH1119" s="22">
        <f t="shared" si="220"/>
        <v>738.68000000000006</v>
      </c>
      <c r="CI1119" s="3">
        <f t="shared" si="221"/>
        <v>0</v>
      </c>
      <c r="CJ1119" s="17">
        <f t="shared" si="222"/>
        <v>11561</v>
      </c>
      <c r="CK1119" s="3" t="str">
        <f t="shared" si="223"/>
        <v xml:space="preserve">برنامج دولى </v>
      </c>
    </row>
    <row r="1120" spans="3:89" x14ac:dyDescent="0.25">
      <c r="C1120" s="17" t="s">
        <v>574</v>
      </c>
      <c r="D1120" s="17">
        <v>18472</v>
      </c>
      <c r="E1120" s="17">
        <v>11562</v>
      </c>
      <c r="F1120" s="3" t="s">
        <v>325</v>
      </c>
      <c r="G1120" s="3" t="s">
        <v>577</v>
      </c>
      <c r="I1120" s="3">
        <v>2638.13</v>
      </c>
      <c r="AU1120" s="22">
        <f t="shared" si="219"/>
        <v>2638.13</v>
      </c>
      <c r="AV1120" s="3">
        <v>1763.45</v>
      </c>
      <c r="AW1120" s="3">
        <v>239.05</v>
      </c>
      <c r="AX1120" s="3">
        <v>635.63</v>
      </c>
      <c r="CH1120" s="22">
        <f t="shared" si="220"/>
        <v>2638.13</v>
      </c>
      <c r="CI1120" s="3">
        <f t="shared" si="221"/>
        <v>0</v>
      </c>
      <c r="CJ1120" s="17">
        <f t="shared" si="222"/>
        <v>11562</v>
      </c>
      <c r="CK1120" s="3" t="str">
        <f t="shared" si="223"/>
        <v xml:space="preserve">برنامج دولى </v>
      </c>
    </row>
    <row r="1121" spans="3:89" x14ac:dyDescent="0.25">
      <c r="C1121" s="17" t="s">
        <v>574</v>
      </c>
      <c r="D1121" s="17">
        <v>18482</v>
      </c>
      <c r="E1121" s="17">
        <v>11563</v>
      </c>
      <c r="F1121" s="3" t="s">
        <v>325</v>
      </c>
      <c r="G1121" s="3" t="s">
        <v>578</v>
      </c>
      <c r="I1121" s="3">
        <v>1160.78</v>
      </c>
      <c r="AU1121" s="22">
        <f t="shared" si="219"/>
        <v>1160.78</v>
      </c>
      <c r="AV1121" s="3">
        <v>776.25</v>
      </c>
      <c r="AW1121" s="3">
        <v>104.85</v>
      </c>
      <c r="AX1121" s="3">
        <v>279.68</v>
      </c>
      <c r="CH1121" s="22">
        <f t="shared" si="220"/>
        <v>1160.78</v>
      </c>
      <c r="CI1121" s="3">
        <f t="shared" si="221"/>
        <v>0</v>
      </c>
      <c r="CJ1121" s="17">
        <f t="shared" si="222"/>
        <v>11563</v>
      </c>
      <c r="CK1121" s="3" t="str">
        <f t="shared" si="223"/>
        <v xml:space="preserve">برنامج دولى </v>
      </c>
    </row>
    <row r="1122" spans="3:89" x14ac:dyDescent="0.25">
      <c r="C1122" s="17" t="s">
        <v>574</v>
      </c>
      <c r="D1122" s="17">
        <v>18484</v>
      </c>
      <c r="E1122" s="17">
        <v>11564</v>
      </c>
      <c r="F1122" s="3" t="s">
        <v>325</v>
      </c>
      <c r="G1122" s="3" t="s">
        <v>578</v>
      </c>
      <c r="I1122" s="3">
        <v>39000</v>
      </c>
      <c r="AU1122" s="22">
        <f t="shared" si="219"/>
        <v>39000</v>
      </c>
      <c r="AV1122" s="3">
        <v>34871</v>
      </c>
      <c r="AW1122" s="3">
        <v>4129</v>
      </c>
      <c r="CH1122" s="22">
        <f t="shared" si="220"/>
        <v>39000</v>
      </c>
      <c r="CI1122" s="3">
        <f t="shared" si="221"/>
        <v>0</v>
      </c>
      <c r="CJ1122" s="17">
        <f t="shared" si="222"/>
        <v>11564</v>
      </c>
      <c r="CK1122" s="3" t="str">
        <f t="shared" si="223"/>
        <v xml:space="preserve">برنامج دولى </v>
      </c>
    </row>
    <row r="1123" spans="3:89" x14ac:dyDescent="0.25">
      <c r="C1123" s="17" t="s">
        <v>574</v>
      </c>
      <c r="D1123" s="17">
        <v>18483</v>
      </c>
      <c r="E1123" s="17">
        <v>11565</v>
      </c>
      <c r="F1123" s="3" t="s">
        <v>325</v>
      </c>
      <c r="G1123" s="3" t="s">
        <v>578</v>
      </c>
      <c r="I1123" s="3">
        <v>3831.82</v>
      </c>
      <c r="AU1123" s="22">
        <f t="shared" si="219"/>
        <v>3831.82</v>
      </c>
      <c r="AV1123" s="3">
        <v>2609.36</v>
      </c>
      <c r="AW1123" s="3">
        <v>351.5</v>
      </c>
      <c r="AX1123" s="3">
        <v>870.96</v>
      </c>
      <c r="CH1123" s="22">
        <f t="shared" si="220"/>
        <v>3831.82</v>
      </c>
      <c r="CI1123" s="3">
        <f t="shared" si="221"/>
        <v>0</v>
      </c>
      <c r="CJ1123" s="17">
        <f t="shared" si="222"/>
        <v>11565</v>
      </c>
      <c r="CK1123" s="3" t="str">
        <f t="shared" si="223"/>
        <v xml:space="preserve">برنامج دولى </v>
      </c>
    </row>
    <row r="1124" spans="3:89" x14ac:dyDescent="0.25">
      <c r="C1124" s="17" t="s">
        <v>574</v>
      </c>
      <c r="D1124" s="17">
        <v>18481</v>
      </c>
      <c r="E1124" s="17">
        <v>11566</v>
      </c>
      <c r="F1124" s="3" t="s">
        <v>325</v>
      </c>
      <c r="G1124" s="3" t="s">
        <v>578</v>
      </c>
      <c r="I1124" s="3">
        <v>967.31</v>
      </c>
      <c r="AU1124" s="22">
        <f t="shared" si="219"/>
        <v>967.31</v>
      </c>
      <c r="AV1124" s="3">
        <v>646.95000000000005</v>
      </c>
      <c r="AW1124" s="3">
        <v>87.3</v>
      </c>
      <c r="AX1124" s="3">
        <v>233.06</v>
      </c>
      <c r="CH1124" s="22">
        <f t="shared" si="220"/>
        <v>967.31</v>
      </c>
      <c r="CI1124" s="3">
        <f t="shared" si="221"/>
        <v>0</v>
      </c>
      <c r="CJ1124" s="17">
        <f t="shared" si="222"/>
        <v>11566</v>
      </c>
      <c r="CK1124" s="3" t="str">
        <f t="shared" si="223"/>
        <v xml:space="preserve">برنامج دولى </v>
      </c>
    </row>
    <row r="1125" spans="3:89" x14ac:dyDescent="0.25">
      <c r="C1125" s="17" t="s">
        <v>574</v>
      </c>
      <c r="D1125" s="17">
        <v>18468</v>
      </c>
      <c r="E1125" s="17">
        <v>11567</v>
      </c>
      <c r="F1125" s="3" t="s">
        <v>325</v>
      </c>
      <c r="G1125" s="3" t="str">
        <f>+G1119</f>
        <v>عب عملى وافدين طب مجتمع</v>
      </c>
      <c r="I1125" s="3">
        <v>3904.43</v>
      </c>
      <c r="AU1125" s="22">
        <f t="shared" si="219"/>
        <v>3904.43</v>
      </c>
      <c r="AV1125" s="3">
        <v>2611.85</v>
      </c>
      <c r="AW1125" s="3">
        <v>351.85</v>
      </c>
      <c r="AX1125" s="3">
        <v>940.73</v>
      </c>
      <c r="CH1125" s="22">
        <f t="shared" si="220"/>
        <v>3904.43</v>
      </c>
      <c r="CI1125" s="3">
        <f t="shared" si="221"/>
        <v>0</v>
      </c>
      <c r="CJ1125" s="17">
        <f t="shared" si="222"/>
        <v>11567</v>
      </c>
      <c r="CK1125" s="3" t="str">
        <f t="shared" si="223"/>
        <v xml:space="preserve">برنامج دولى </v>
      </c>
    </row>
    <row r="1126" spans="3:89" x14ac:dyDescent="0.25">
      <c r="C1126" s="17" t="s">
        <v>574</v>
      </c>
      <c r="D1126" s="17">
        <v>18469</v>
      </c>
      <c r="E1126" s="17">
        <v>11568</v>
      </c>
      <c r="F1126" s="3" t="s">
        <v>325</v>
      </c>
      <c r="G1126" s="3" t="str">
        <f>+G1120</f>
        <v>عب عملى وافدين طب مجتمع</v>
      </c>
      <c r="I1126" s="3">
        <v>422.1</v>
      </c>
      <c r="AU1126" s="22">
        <f t="shared" si="219"/>
        <v>422.1</v>
      </c>
      <c r="AV1126" s="3">
        <v>282.60000000000002</v>
      </c>
      <c r="AW1126" s="3">
        <v>37.799999999999997</v>
      </c>
      <c r="AX1126" s="3">
        <v>101.7</v>
      </c>
      <c r="CH1126" s="22">
        <f t="shared" si="220"/>
        <v>422.1</v>
      </c>
      <c r="CI1126" s="3">
        <f t="shared" si="221"/>
        <v>0</v>
      </c>
      <c r="CJ1126" s="17">
        <f t="shared" si="222"/>
        <v>11568</v>
      </c>
      <c r="CK1126" s="3" t="str">
        <f t="shared" si="223"/>
        <v xml:space="preserve">برنامج دولى </v>
      </c>
    </row>
    <row r="1127" spans="3:89" x14ac:dyDescent="0.25">
      <c r="C1127" s="17" t="s">
        <v>574</v>
      </c>
      <c r="D1127" s="17">
        <v>18470</v>
      </c>
      <c r="E1127" s="17">
        <v>11569</v>
      </c>
      <c r="F1127" s="3" t="s">
        <v>325</v>
      </c>
      <c r="G1127" s="3" t="str">
        <f>+G1126</f>
        <v>عب عملى وافدين طب مجتمع</v>
      </c>
      <c r="I1127" s="3">
        <v>29205.34</v>
      </c>
      <c r="AU1127" s="22">
        <f t="shared" si="219"/>
        <v>29205.34</v>
      </c>
      <c r="AV1127" s="3">
        <v>23790.47</v>
      </c>
      <c r="AW1127" s="3">
        <v>2954.85</v>
      </c>
      <c r="AX1127" s="3">
        <v>2460.02</v>
      </c>
      <c r="CH1127" s="22">
        <f t="shared" si="220"/>
        <v>29205.34</v>
      </c>
      <c r="CI1127" s="3">
        <f t="shared" si="221"/>
        <v>0</v>
      </c>
      <c r="CJ1127" s="17">
        <f t="shared" si="222"/>
        <v>11569</v>
      </c>
      <c r="CK1127" s="3" t="str">
        <f t="shared" si="223"/>
        <v xml:space="preserve">برنامج دولى </v>
      </c>
    </row>
    <row r="1128" spans="3:89" x14ac:dyDescent="0.25">
      <c r="C1128" s="17" t="s">
        <v>574</v>
      </c>
      <c r="D1128" s="17">
        <v>18475</v>
      </c>
      <c r="E1128" s="17">
        <v>11570</v>
      </c>
      <c r="F1128" s="3" t="s">
        <v>325</v>
      </c>
      <c r="G1128" s="3" t="s">
        <v>579</v>
      </c>
      <c r="I1128" s="3">
        <v>33592.9</v>
      </c>
      <c r="AU1128" s="22">
        <f t="shared" si="219"/>
        <v>33592.9</v>
      </c>
      <c r="AV1128" s="3">
        <v>28266.65</v>
      </c>
      <c r="AW1128" s="3">
        <v>3470.95</v>
      </c>
      <c r="AX1128" s="3">
        <v>1855.3</v>
      </c>
      <c r="CH1128" s="22">
        <f t="shared" si="220"/>
        <v>33592.9</v>
      </c>
      <c r="CI1128" s="3">
        <f t="shared" si="221"/>
        <v>0</v>
      </c>
      <c r="CJ1128" s="17">
        <f t="shared" si="222"/>
        <v>11570</v>
      </c>
      <c r="CK1128" s="3" t="str">
        <f t="shared" si="223"/>
        <v xml:space="preserve">برنامج دولى </v>
      </c>
    </row>
    <row r="1129" spans="3:89" x14ac:dyDescent="0.25">
      <c r="C1129" s="17" t="s">
        <v>574</v>
      </c>
      <c r="D1129" s="17">
        <v>18474</v>
      </c>
      <c r="E1129" s="17">
        <v>11571</v>
      </c>
      <c r="F1129" s="3" t="s">
        <v>325</v>
      </c>
      <c r="G1129" s="3" t="s">
        <v>579</v>
      </c>
      <c r="I1129" s="3">
        <v>492.45</v>
      </c>
      <c r="AU1129" s="22">
        <f t="shared" si="219"/>
        <v>492.45</v>
      </c>
      <c r="AV1129" s="3">
        <v>329.65</v>
      </c>
      <c r="AW1129" s="3">
        <f>42+2.15</f>
        <v>44.15</v>
      </c>
      <c r="AX1129" s="3">
        <f>162.8-AW1129</f>
        <v>118.65</v>
      </c>
      <c r="CH1129" s="22">
        <f t="shared" si="220"/>
        <v>492.44999999999993</v>
      </c>
      <c r="CI1129" s="3">
        <f t="shared" si="221"/>
        <v>0</v>
      </c>
      <c r="CJ1129" s="17">
        <f t="shared" si="222"/>
        <v>11571</v>
      </c>
      <c r="CK1129" s="3" t="str">
        <f t="shared" si="223"/>
        <v xml:space="preserve">برنامج دولى </v>
      </c>
    </row>
    <row r="1130" spans="3:89" x14ac:dyDescent="0.25">
      <c r="C1130" s="17" t="s">
        <v>574</v>
      </c>
      <c r="D1130" s="17">
        <v>18460</v>
      </c>
      <c r="E1130" s="17">
        <v>11572</v>
      </c>
      <c r="F1130" s="3" t="s">
        <v>325</v>
      </c>
      <c r="G1130" s="3" t="s">
        <v>580</v>
      </c>
      <c r="I1130" s="3">
        <v>1200</v>
      </c>
      <c r="AU1130" s="22">
        <f t="shared" si="219"/>
        <v>1200</v>
      </c>
      <c r="AV1130" s="3">
        <v>1071.3499999999999</v>
      </c>
      <c r="AW1130" s="3">
        <v>128.65</v>
      </c>
      <c r="CH1130" s="22">
        <f t="shared" si="220"/>
        <v>1200</v>
      </c>
      <c r="CI1130" s="3">
        <f t="shared" si="221"/>
        <v>0</v>
      </c>
      <c r="CJ1130" s="17">
        <f t="shared" si="222"/>
        <v>11572</v>
      </c>
      <c r="CK1130" s="3" t="str">
        <f t="shared" si="223"/>
        <v xml:space="preserve">برنامج دولى </v>
      </c>
    </row>
    <row r="1131" spans="3:89" x14ac:dyDescent="0.25">
      <c r="C1131" s="17" t="s">
        <v>574</v>
      </c>
      <c r="D1131" s="17">
        <v>18455</v>
      </c>
      <c r="E1131" s="17">
        <v>11573</v>
      </c>
      <c r="F1131" s="3" t="s">
        <v>325</v>
      </c>
      <c r="G1131" s="3" t="s">
        <v>581</v>
      </c>
      <c r="I1131" s="3">
        <v>11638.43</v>
      </c>
      <c r="AU1131" s="22">
        <f t="shared" si="219"/>
        <v>11638.43</v>
      </c>
      <c r="AV1131" s="3">
        <v>8882.2999999999993</v>
      </c>
      <c r="AW1131" s="3">
        <v>1137.4000000000001</v>
      </c>
      <c r="AX1131" s="3">
        <v>1618.73</v>
      </c>
      <c r="CH1131" s="22">
        <f t="shared" si="220"/>
        <v>11638.429999999998</v>
      </c>
      <c r="CI1131" s="3">
        <f t="shared" si="221"/>
        <v>0</v>
      </c>
      <c r="CJ1131" s="17">
        <f t="shared" si="222"/>
        <v>11573</v>
      </c>
      <c r="CK1131" s="3" t="str">
        <f t="shared" si="223"/>
        <v xml:space="preserve">برنامج دولى </v>
      </c>
    </row>
    <row r="1132" spans="3:89" x14ac:dyDescent="0.25">
      <c r="C1132" s="17" t="s">
        <v>574</v>
      </c>
      <c r="D1132" s="17">
        <v>18458</v>
      </c>
      <c r="E1132" s="17">
        <v>11574</v>
      </c>
      <c r="F1132" s="3" t="s">
        <v>325</v>
      </c>
      <c r="G1132" s="3" t="s">
        <v>581</v>
      </c>
      <c r="I1132" s="3">
        <v>4115.47</v>
      </c>
      <c r="AU1132" s="22">
        <f t="shared" si="219"/>
        <v>4115.47</v>
      </c>
      <c r="AV1132" s="3">
        <v>2750.9</v>
      </c>
      <c r="AW1132" s="3">
        <v>373</v>
      </c>
      <c r="AX1132" s="3">
        <v>991.57</v>
      </c>
      <c r="CH1132" s="22">
        <f t="shared" si="220"/>
        <v>4115.47</v>
      </c>
      <c r="CI1132" s="3">
        <f t="shared" si="221"/>
        <v>0</v>
      </c>
      <c r="CJ1132" s="17">
        <f t="shared" si="222"/>
        <v>11574</v>
      </c>
      <c r="CK1132" s="3" t="str">
        <f t="shared" si="223"/>
        <v xml:space="preserve">برنامج دولى </v>
      </c>
    </row>
    <row r="1133" spans="3:89" x14ac:dyDescent="0.25">
      <c r="C1133" s="17" t="s">
        <v>574</v>
      </c>
      <c r="D1133" s="17">
        <v>18293</v>
      </c>
      <c r="E1133" s="17">
        <v>11575</v>
      </c>
      <c r="F1133" s="3" t="s">
        <v>325</v>
      </c>
      <c r="G1133" s="3" t="s">
        <v>582</v>
      </c>
      <c r="I1133" s="3">
        <v>1055.25</v>
      </c>
      <c r="AU1133" s="22">
        <f t="shared" si="219"/>
        <v>1055.25</v>
      </c>
      <c r="AV1133" s="3">
        <v>707.5</v>
      </c>
      <c r="AW1133" s="3">
        <v>93.5</v>
      </c>
      <c r="AX1133" s="3">
        <v>254.25</v>
      </c>
      <c r="CH1133" s="22">
        <f t="shared" si="220"/>
        <v>1055.25</v>
      </c>
      <c r="CI1133" s="3">
        <f t="shared" si="221"/>
        <v>0</v>
      </c>
      <c r="CJ1133" s="17">
        <f t="shared" si="222"/>
        <v>11575</v>
      </c>
      <c r="CK1133" s="3" t="str">
        <f t="shared" si="223"/>
        <v xml:space="preserve">برنامج دولى </v>
      </c>
    </row>
    <row r="1134" spans="3:89" x14ac:dyDescent="0.25">
      <c r="C1134" s="17" t="s">
        <v>574</v>
      </c>
      <c r="D1134" s="17">
        <v>18292</v>
      </c>
      <c r="E1134" s="17">
        <v>11576</v>
      </c>
      <c r="F1134" s="3" t="s">
        <v>325</v>
      </c>
      <c r="G1134" s="3" t="s">
        <v>582</v>
      </c>
      <c r="I1134" s="3">
        <v>9887.6200000000008</v>
      </c>
      <c r="AU1134" s="22">
        <f t="shared" si="219"/>
        <v>9887.6200000000008</v>
      </c>
      <c r="AV1134" s="3">
        <v>8713.4500000000007</v>
      </c>
      <c r="AW1134" s="3">
        <v>1047.05</v>
      </c>
      <c r="AX1134" s="3">
        <v>127.12</v>
      </c>
      <c r="CH1134" s="22">
        <f t="shared" si="220"/>
        <v>9887.6200000000008</v>
      </c>
      <c r="CI1134" s="3">
        <f t="shared" si="221"/>
        <v>0</v>
      </c>
      <c r="CJ1134" s="17">
        <f t="shared" si="222"/>
        <v>11576</v>
      </c>
      <c r="CK1134" s="3" t="str">
        <f t="shared" si="223"/>
        <v xml:space="preserve">برنامج دولى </v>
      </c>
    </row>
    <row r="1135" spans="3:89" x14ac:dyDescent="0.25">
      <c r="C1135" s="17" t="s">
        <v>574</v>
      </c>
      <c r="D1135" s="17">
        <v>18301</v>
      </c>
      <c r="E1135" s="17">
        <v>11577</v>
      </c>
      <c r="F1135" s="3" t="s">
        <v>325</v>
      </c>
      <c r="G1135" s="3" t="s">
        <v>582</v>
      </c>
      <c r="I1135" s="3">
        <v>1477.37</v>
      </c>
      <c r="AU1135" s="22">
        <f t="shared" ref="AU1135:AU1198" si="225">SUM(I1135:AS1135)</f>
        <v>1477.37</v>
      </c>
      <c r="AV1135" s="3">
        <v>990.25</v>
      </c>
      <c r="AW1135" s="3">
        <v>131.15</v>
      </c>
      <c r="AX1135" s="3">
        <v>355.97</v>
      </c>
      <c r="CH1135" s="22">
        <f t="shared" ref="CH1135:CH1198" si="226">SUM(AV1135:CG1135)</f>
        <v>1477.3700000000001</v>
      </c>
      <c r="CI1135" s="3">
        <f t="shared" ref="CI1135:CI1198" si="227">+CH1135-AU1135</f>
        <v>0</v>
      </c>
      <c r="CJ1135" s="17">
        <f t="shared" ref="CJ1135:CJ1198" si="228">+E1135</f>
        <v>11577</v>
      </c>
      <c r="CK1135" s="3" t="str">
        <f t="shared" ref="CK1135:CK1198" si="229">+F1135</f>
        <v xml:space="preserve">برنامج دولى </v>
      </c>
    </row>
    <row r="1136" spans="3:89" x14ac:dyDescent="0.25">
      <c r="C1136" s="17" t="s">
        <v>574</v>
      </c>
      <c r="D1136" s="17">
        <v>18339</v>
      </c>
      <c r="E1136" s="17">
        <v>11578</v>
      </c>
      <c r="F1136" s="3" t="s">
        <v>325</v>
      </c>
      <c r="G1136" s="3" t="s">
        <v>582</v>
      </c>
      <c r="I1136" s="3">
        <v>960</v>
      </c>
      <c r="AU1136" s="22">
        <f t="shared" si="225"/>
        <v>960</v>
      </c>
      <c r="AV1136" s="3">
        <v>857.6</v>
      </c>
      <c r="AW1136" s="3">
        <v>102.4</v>
      </c>
      <c r="CH1136" s="22">
        <f t="shared" si="226"/>
        <v>960</v>
      </c>
      <c r="CI1136" s="3">
        <f t="shared" si="227"/>
        <v>0</v>
      </c>
      <c r="CJ1136" s="17">
        <f t="shared" si="228"/>
        <v>11578</v>
      </c>
      <c r="CK1136" s="3" t="str">
        <f t="shared" si="229"/>
        <v xml:space="preserve">برنامج دولى </v>
      </c>
    </row>
    <row r="1137" spans="3:89" x14ac:dyDescent="0.25">
      <c r="C1137" s="17" t="s">
        <v>574</v>
      </c>
      <c r="D1137" s="17">
        <v>18299</v>
      </c>
      <c r="E1137" s="17">
        <v>11579</v>
      </c>
      <c r="F1137" s="3" t="s">
        <v>325</v>
      </c>
      <c r="G1137" s="3" t="s">
        <v>582</v>
      </c>
      <c r="I1137" s="3">
        <v>211.05</v>
      </c>
      <c r="AU1137" s="22">
        <f t="shared" si="225"/>
        <v>211.05</v>
      </c>
      <c r="AV1137" s="3">
        <v>141.5</v>
      </c>
      <c r="AW1137" s="3">
        <f>18+0.7</f>
        <v>18.7</v>
      </c>
      <c r="AX1137" s="3">
        <f>69.55-AW1137</f>
        <v>50.849999999999994</v>
      </c>
      <c r="CH1137" s="22">
        <f t="shared" si="226"/>
        <v>211.04999999999998</v>
      </c>
      <c r="CI1137" s="3">
        <f t="shared" si="227"/>
        <v>0</v>
      </c>
      <c r="CJ1137" s="17">
        <f t="shared" si="228"/>
        <v>11579</v>
      </c>
      <c r="CK1137" s="3" t="str">
        <f t="shared" si="229"/>
        <v xml:space="preserve">برنامج دولى </v>
      </c>
    </row>
    <row r="1138" spans="3:89" x14ac:dyDescent="0.25">
      <c r="C1138" s="17" t="s">
        <v>574</v>
      </c>
      <c r="D1138" s="17">
        <v>18298</v>
      </c>
      <c r="E1138" s="17">
        <v>11580</v>
      </c>
      <c r="F1138" s="3" t="s">
        <v>325</v>
      </c>
      <c r="G1138" s="3" t="s">
        <v>582</v>
      </c>
      <c r="I1138" s="3">
        <v>105.52</v>
      </c>
      <c r="AU1138" s="22">
        <f t="shared" si="225"/>
        <v>105.52</v>
      </c>
      <c r="AV1138" s="3">
        <v>70.900000000000006</v>
      </c>
      <c r="AW1138" s="3">
        <v>9.1999999999999993</v>
      </c>
      <c r="AX1138" s="3">
        <v>25.42</v>
      </c>
      <c r="CH1138" s="22">
        <f t="shared" si="226"/>
        <v>105.52000000000001</v>
      </c>
      <c r="CI1138" s="3">
        <f t="shared" si="227"/>
        <v>0</v>
      </c>
      <c r="CJ1138" s="17">
        <f t="shared" si="228"/>
        <v>11580</v>
      </c>
      <c r="CK1138" s="3" t="str">
        <f t="shared" si="229"/>
        <v xml:space="preserve">برنامج دولى </v>
      </c>
    </row>
    <row r="1139" spans="3:89" x14ac:dyDescent="0.25">
      <c r="C1139" s="17" t="s">
        <v>574</v>
      </c>
      <c r="D1139" s="17">
        <v>18297</v>
      </c>
      <c r="E1139" s="17">
        <v>11581</v>
      </c>
      <c r="F1139" s="3" t="s">
        <v>325</v>
      </c>
      <c r="G1139" s="3" t="s">
        <v>582</v>
      </c>
      <c r="I1139" s="3">
        <v>633.14</v>
      </c>
      <c r="AU1139" s="22">
        <f t="shared" si="225"/>
        <v>633.14</v>
      </c>
      <c r="AV1139" s="3">
        <v>425.15</v>
      </c>
      <c r="AW1139" s="3">
        <v>55.45</v>
      </c>
      <c r="AX1139" s="3">
        <v>152.54</v>
      </c>
      <c r="CH1139" s="22">
        <f t="shared" si="226"/>
        <v>633.14</v>
      </c>
      <c r="CI1139" s="3">
        <f t="shared" si="227"/>
        <v>0</v>
      </c>
      <c r="CJ1139" s="17">
        <f t="shared" si="228"/>
        <v>11581</v>
      </c>
      <c r="CK1139" s="3" t="str">
        <f t="shared" si="229"/>
        <v xml:space="preserve">برنامج دولى </v>
      </c>
    </row>
    <row r="1140" spans="3:89" x14ac:dyDescent="0.25">
      <c r="C1140" s="17" t="s">
        <v>574</v>
      </c>
      <c r="D1140" s="17">
        <v>18310</v>
      </c>
      <c r="E1140" s="17">
        <v>11582</v>
      </c>
      <c r="F1140" s="3" t="s">
        <v>325</v>
      </c>
      <c r="G1140" s="3" t="s">
        <v>582</v>
      </c>
      <c r="I1140" s="3">
        <v>2321.5300000000002</v>
      </c>
      <c r="AU1140" s="22">
        <f t="shared" si="225"/>
        <v>2321.5300000000002</v>
      </c>
      <c r="AV1140" s="3">
        <v>1555</v>
      </c>
      <c r="AW1140" s="3">
        <v>207.2</v>
      </c>
      <c r="AX1140" s="3">
        <v>559.33000000000004</v>
      </c>
      <c r="CH1140" s="22">
        <f t="shared" si="226"/>
        <v>2321.5300000000002</v>
      </c>
      <c r="CI1140" s="3">
        <f t="shared" si="227"/>
        <v>0</v>
      </c>
      <c r="CJ1140" s="17">
        <f t="shared" si="228"/>
        <v>11582</v>
      </c>
      <c r="CK1140" s="3" t="str">
        <f t="shared" si="229"/>
        <v xml:space="preserve">برنامج دولى </v>
      </c>
    </row>
    <row r="1141" spans="3:89" x14ac:dyDescent="0.25">
      <c r="C1141" s="17" t="s">
        <v>574</v>
      </c>
      <c r="D1141" s="17">
        <v>18311</v>
      </c>
      <c r="E1141" s="17">
        <v>11583</v>
      </c>
      <c r="F1141" s="3" t="s">
        <v>325</v>
      </c>
      <c r="G1141" s="3" t="s">
        <v>582</v>
      </c>
      <c r="I1141" s="3">
        <v>5557.65</v>
      </c>
      <c r="AU1141" s="22">
        <f t="shared" si="225"/>
        <v>5557.65</v>
      </c>
      <c r="AV1141" s="3">
        <v>3720.9</v>
      </c>
      <c r="AW1141" s="3">
        <v>497.7</v>
      </c>
      <c r="AX1141" s="3">
        <v>1339.05</v>
      </c>
      <c r="CH1141" s="22">
        <f t="shared" si="226"/>
        <v>5557.6500000000005</v>
      </c>
      <c r="CI1141" s="3">
        <f t="shared" si="227"/>
        <v>0</v>
      </c>
      <c r="CJ1141" s="17">
        <f t="shared" si="228"/>
        <v>11583</v>
      </c>
      <c r="CK1141" s="3" t="str">
        <f t="shared" si="229"/>
        <v xml:space="preserve">برنامج دولى </v>
      </c>
    </row>
    <row r="1142" spans="3:89" x14ac:dyDescent="0.25">
      <c r="C1142" s="17" t="s">
        <v>574</v>
      </c>
      <c r="D1142" s="17">
        <v>18294</v>
      </c>
      <c r="E1142" s="17">
        <v>11584</v>
      </c>
      <c r="F1142" s="3" t="s">
        <v>325</v>
      </c>
      <c r="G1142" s="3" t="s">
        <v>582</v>
      </c>
      <c r="I1142" s="3">
        <v>984.9</v>
      </c>
      <c r="AU1142" s="22">
        <f t="shared" si="225"/>
        <v>984.9</v>
      </c>
      <c r="AV1142" s="3">
        <v>661.85</v>
      </c>
      <c r="AW1142" s="3">
        <f>1.75+84</f>
        <v>85.75</v>
      </c>
      <c r="AX1142" s="3">
        <f>323.05-AW1142</f>
        <v>237.3</v>
      </c>
      <c r="CH1142" s="22">
        <f t="shared" si="226"/>
        <v>984.90000000000009</v>
      </c>
      <c r="CI1142" s="3">
        <f t="shared" si="227"/>
        <v>0</v>
      </c>
      <c r="CJ1142" s="17">
        <f t="shared" si="228"/>
        <v>11584</v>
      </c>
      <c r="CK1142" s="3" t="str">
        <f t="shared" si="229"/>
        <v xml:space="preserve">برنامج دولى </v>
      </c>
    </row>
    <row r="1143" spans="3:89" x14ac:dyDescent="0.25">
      <c r="C1143" s="17" t="s">
        <v>574</v>
      </c>
      <c r="D1143" s="17">
        <v>18308</v>
      </c>
      <c r="E1143" s="17">
        <v>11585</v>
      </c>
      <c r="F1143" s="3" t="s">
        <v>325</v>
      </c>
      <c r="G1143" s="3" t="s">
        <v>582</v>
      </c>
      <c r="I1143" s="3">
        <v>21456.49</v>
      </c>
      <c r="AU1143" s="22">
        <f t="shared" si="225"/>
        <v>21456.49</v>
      </c>
      <c r="AV1143" s="3">
        <v>16998.86</v>
      </c>
      <c r="AW1143" s="3">
        <v>2137.85</v>
      </c>
      <c r="AX1143" s="3">
        <v>2319.7800000000002</v>
      </c>
      <c r="CH1143" s="22">
        <f t="shared" si="226"/>
        <v>21456.489999999998</v>
      </c>
      <c r="CI1143" s="3">
        <f t="shared" si="227"/>
        <v>0</v>
      </c>
      <c r="CJ1143" s="17">
        <f t="shared" si="228"/>
        <v>11585</v>
      </c>
      <c r="CK1143" s="3" t="str">
        <f t="shared" si="229"/>
        <v xml:space="preserve">برنامج دولى </v>
      </c>
    </row>
    <row r="1144" spans="3:89" x14ac:dyDescent="0.25">
      <c r="C1144" s="17" t="s">
        <v>574</v>
      </c>
      <c r="D1144" s="17">
        <v>18309</v>
      </c>
      <c r="E1144" s="17">
        <v>11586</v>
      </c>
      <c r="F1144" s="3" t="s">
        <v>325</v>
      </c>
      <c r="G1144" s="3" t="s">
        <v>582</v>
      </c>
      <c r="I1144" s="3">
        <v>1468.69</v>
      </c>
      <c r="AU1144" s="22">
        <f t="shared" si="225"/>
        <v>1468.69</v>
      </c>
      <c r="AV1144" s="3">
        <v>1267.4100000000001</v>
      </c>
      <c r="AW1144" s="3">
        <v>154.30000000000001</v>
      </c>
      <c r="AX1144" s="3">
        <v>46.98</v>
      </c>
      <c r="CH1144" s="22">
        <f t="shared" si="226"/>
        <v>1468.69</v>
      </c>
      <c r="CI1144" s="3">
        <f t="shared" si="227"/>
        <v>0</v>
      </c>
      <c r="CJ1144" s="17">
        <f t="shared" si="228"/>
        <v>11586</v>
      </c>
      <c r="CK1144" s="3" t="str">
        <f t="shared" si="229"/>
        <v xml:space="preserve">برنامج دولى </v>
      </c>
    </row>
    <row r="1145" spans="3:89" x14ac:dyDescent="0.25">
      <c r="C1145" s="17" t="s">
        <v>574</v>
      </c>
      <c r="D1145" s="17">
        <v>18312</v>
      </c>
      <c r="E1145" s="17">
        <v>11587</v>
      </c>
      <c r="F1145" s="3" t="s">
        <v>325</v>
      </c>
      <c r="G1145" s="3" t="s">
        <v>582</v>
      </c>
      <c r="I1145" s="3">
        <v>351.75</v>
      </c>
      <c r="AU1145" s="22">
        <f t="shared" si="225"/>
        <v>351.75</v>
      </c>
      <c r="AV1145" s="3">
        <v>235.55</v>
      </c>
      <c r="AW1145" s="3">
        <v>31.45</v>
      </c>
      <c r="AX1145" s="3">
        <v>84.75</v>
      </c>
      <c r="CH1145" s="22">
        <f t="shared" si="226"/>
        <v>351.75</v>
      </c>
      <c r="CI1145" s="3">
        <f t="shared" si="227"/>
        <v>0</v>
      </c>
      <c r="CJ1145" s="17">
        <f t="shared" si="228"/>
        <v>11587</v>
      </c>
      <c r="CK1145" s="3" t="str">
        <f t="shared" si="229"/>
        <v xml:space="preserve">برنامج دولى </v>
      </c>
    </row>
    <row r="1146" spans="3:89" x14ac:dyDescent="0.25">
      <c r="C1146" s="17" t="s">
        <v>574</v>
      </c>
      <c r="D1146" s="17">
        <v>18302</v>
      </c>
      <c r="E1146" s="17">
        <v>11588</v>
      </c>
      <c r="F1146" s="3" t="s">
        <v>325</v>
      </c>
      <c r="G1146" s="3" t="s">
        <v>582</v>
      </c>
      <c r="I1146" s="3">
        <v>3658.2</v>
      </c>
      <c r="AU1146" s="22">
        <f t="shared" si="225"/>
        <v>3658.2</v>
      </c>
      <c r="AV1146" s="3">
        <v>2451.8000000000002</v>
      </c>
      <c r="AW1146" s="3">
        <v>325</v>
      </c>
      <c r="AX1146" s="3">
        <v>881.4</v>
      </c>
      <c r="CH1146" s="22">
        <f t="shared" si="226"/>
        <v>3658.2000000000003</v>
      </c>
      <c r="CI1146" s="3">
        <f t="shared" si="227"/>
        <v>0</v>
      </c>
      <c r="CJ1146" s="17">
        <f t="shared" si="228"/>
        <v>11588</v>
      </c>
      <c r="CK1146" s="3" t="str">
        <f t="shared" si="229"/>
        <v xml:space="preserve">برنامج دولى </v>
      </c>
    </row>
    <row r="1147" spans="3:89" x14ac:dyDescent="0.25">
      <c r="C1147" s="17" t="s">
        <v>574</v>
      </c>
      <c r="D1147" s="17">
        <v>18303</v>
      </c>
      <c r="E1147" s="17">
        <v>11589</v>
      </c>
      <c r="F1147" s="3" t="s">
        <v>325</v>
      </c>
      <c r="G1147" s="3" t="s">
        <v>582</v>
      </c>
      <c r="I1147" s="3">
        <v>281.39999999999998</v>
      </c>
      <c r="AU1147" s="22">
        <f t="shared" si="225"/>
        <v>281.39999999999998</v>
      </c>
      <c r="AV1147" s="3">
        <v>188.6</v>
      </c>
      <c r="AW1147" s="3">
        <v>25</v>
      </c>
      <c r="AX1147" s="3">
        <v>67.8</v>
      </c>
      <c r="CH1147" s="22">
        <f t="shared" si="226"/>
        <v>281.39999999999998</v>
      </c>
      <c r="CI1147" s="3">
        <f t="shared" si="227"/>
        <v>0</v>
      </c>
      <c r="CJ1147" s="17">
        <f t="shared" si="228"/>
        <v>11589</v>
      </c>
      <c r="CK1147" s="3" t="str">
        <f t="shared" si="229"/>
        <v xml:space="preserve">برنامج دولى </v>
      </c>
    </row>
    <row r="1148" spans="3:89" x14ac:dyDescent="0.25">
      <c r="C1148" s="17" t="s">
        <v>574</v>
      </c>
      <c r="D1148" s="17">
        <v>18291</v>
      </c>
      <c r="E1148" s="17">
        <v>11590</v>
      </c>
      <c r="F1148" s="3" t="s">
        <v>325</v>
      </c>
      <c r="G1148" s="3" t="s">
        <v>582</v>
      </c>
      <c r="I1148" s="3">
        <v>720</v>
      </c>
      <c r="AU1148" s="22">
        <f t="shared" si="225"/>
        <v>720</v>
      </c>
      <c r="AV1148" s="3">
        <v>643.29999999999995</v>
      </c>
      <c r="AW1148" s="3">
        <v>76.7</v>
      </c>
      <c r="CH1148" s="22">
        <f t="shared" si="226"/>
        <v>720</v>
      </c>
      <c r="CI1148" s="3">
        <f t="shared" si="227"/>
        <v>0</v>
      </c>
      <c r="CJ1148" s="17">
        <f t="shared" si="228"/>
        <v>11590</v>
      </c>
      <c r="CK1148" s="3" t="str">
        <f t="shared" si="229"/>
        <v xml:space="preserve">برنامج دولى </v>
      </c>
    </row>
    <row r="1149" spans="3:89" x14ac:dyDescent="0.25">
      <c r="C1149" s="17" t="s">
        <v>574</v>
      </c>
      <c r="D1149" s="17">
        <v>18288</v>
      </c>
      <c r="E1149" s="17">
        <v>11591</v>
      </c>
      <c r="F1149" s="3" t="s">
        <v>325</v>
      </c>
      <c r="G1149" s="3" t="s">
        <v>582</v>
      </c>
      <c r="I1149" s="3">
        <v>2110.5</v>
      </c>
      <c r="AU1149" s="22">
        <f t="shared" si="225"/>
        <v>2110.5</v>
      </c>
      <c r="AV1149" s="3">
        <v>1415.3</v>
      </c>
      <c r="AW1149" s="3">
        <f>180+6.7</f>
        <v>186.7</v>
      </c>
      <c r="AX1149" s="3">
        <f>695.2-AW1149</f>
        <v>508.50000000000006</v>
      </c>
      <c r="CH1149" s="22">
        <f t="shared" si="226"/>
        <v>2110.5</v>
      </c>
      <c r="CI1149" s="3">
        <f t="shared" si="227"/>
        <v>0</v>
      </c>
      <c r="CJ1149" s="17">
        <f t="shared" si="228"/>
        <v>11591</v>
      </c>
      <c r="CK1149" s="3" t="str">
        <f t="shared" si="229"/>
        <v xml:space="preserve">برنامج دولى </v>
      </c>
    </row>
    <row r="1150" spans="3:89" x14ac:dyDescent="0.25">
      <c r="C1150" s="17" t="s">
        <v>574</v>
      </c>
      <c r="D1150" s="17">
        <v>18320</v>
      </c>
      <c r="E1150" s="17">
        <v>11592</v>
      </c>
      <c r="F1150" s="3" t="s">
        <v>325</v>
      </c>
      <c r="G1150" s="3" t="s">
        <v>581</v>
      </c>
      <c r="I1150" s="3">
        <v>2400</v>
      </c>
      <c r="AU1150" s="22">
        <f t="shared" si="225"/>
        <v>2400</v>
      </c>
      <c r="AV1150" s="3">
        <v>2142.35</v>
      </c>
      <c r="AW1150" s="3">
        <v>257.64999999999998</v>
      </c>
      <c r="CH1150" s="22">
        <f t="shared" si="226"/>
        <v>2400</v>
      </c>
      <c r="CI1150" s="3">
        <f t="shared" si="227"/>
        <v>0</v>
      </c>
      <c r="CJ1150" s="17">
        <f t="shared" si="228"/>
        <v>11592</v>
      </c>
      <c r="CK1150" s="3" t="str">
        <f t="shared" si="229"/>
        <v xml:space="preserve">برنامج دولى </v>
      </c>
    </row>
    <row r="1151" spans="3:89" x14ac:dyDescent="0.25">
      <c r="C1151" s="17" t="s">
        <v>574</v>
      </c>
      <c r="D1151" s="17">
        <v>18319</v>
      </c>
      <c r="E1151" s="17">
        <v>11593</v>
      </c>
      <c r="F1151" s="3" t="s">
        <v>325</v>
      </c>
      <c r="G1151" s="3" t="s">
        <v>565</v>
      </c>
      <c r="I1151" s="3">
        <v>6000</v>
      </c>
      <c r="AU1151" s="22">
        <f t="shared" si="225"/>
        <v>6000</v>
      </c>
      <c r="AV1151" s="3">
        <v>5352.4</v>
      </c>
      <c r="AW1151" s="3">
        <v>647.6</v>
      </c>
      <c r="CH1151" s="22">
        <f t="shared" si="226"/>
        <v>6000</v>
      </c>
      <c r="CI1151" s="3">
        <f t="shared" si="227"/>
        <v>0</v>
      </c>
      <c r="CJ1151" s="17">
        <f t="shared" si="228"/>
        <v>11593</v>
      </c>
      <c r="CK1151" s="3" t="str">
        <f t="shared" si="229"/>
        <v xml:space="preserve">برنامج دولى </v>
      </c>
    </row>
    <row r="1152" spans="3:89" x14ac:dyDescent="0.25">
      <c r="C1152" s="17" t="s">
        <v>574</v>
      </c>
      <c r="D1152" s="17">
        <v>18287</v>
      </c>
      <c r="E1152" s="17">
        <v>11594</v>
      </c>
      <c r="F1152" s="3" t="s">
        <v>325</v>
      </c>
      <c r="G1152" s="3" t="s">
        <v>565</v>
      </c>
      <c r="I1152" s="3">
        <v>6000</v>
      </c>
      <c r="AU1152" s="22">
        <f t="shared" si="225"/>
        <v>6000</v>
      </c>
      <c r="AV1152" s="3">
        <v>5356.75</v>
      </c>
      <c r="AW1152" s="3">
        <v>643.25</v>
      </c>
      <c r="CH1152" s="22">
        <f t="shared" si="226"/>
        <v>6000</v>
      </c>
      <c r="CI1152" s="3">
        <f t="shared" si="227"/>
        <v>0</v>
      </c>
      <c r="CJ1152" s="17">
        <f t="shared" si="228"/>
        <v>11594</v>
      </c>
      <c r="CK1152" s="3" t="str">
        <f t="shared" si="229"/>
        <v xml:space="preserve">برنامج دولى </v>
      </c>
    </row>
    <row r="1153" spans="3:89" x14ac:dyDescent="0.25">
      <c r="C1153" s="17" t="s">
        <v>574</v>
      </c>
      <c r="D1153" s="17">
        <v>18285</v>
      </c>
      <c r="E1153" s="17">
        <v>11595</v>
      </c>
      <c r="F1153" s="3" t="s">
        <v>325</v>
      </c>
      <c r="G1153" s="3" t="s">
        <v>583</v>
      </c>
      <c r="I1153" s="3">
        <v>211.05</v>
      </c>
      <c r="AU1153" s="22">
        <f t="shared" si="225"/>
        <v>211.05</v>
      </c>
      <c r="AV1153" s="3">
        <v>141.5</v>
      </c>
      <c r="AW1153" s="3">
        <v>18.7</v>
      </c>
      <c r="AX1153" s="3">
        <v>50.85</v>
      </c>
      <c r="CH1153" s="22">
        <f t="shared" si="226"/>
        <v>211.04999999999998</v>
      </c>
      <c r="CI1153" s="3">
        <f t="shared" si="227"/>
        <v>0</v>
      </c>
      <c r="CJ1153" s="17">
        <f t="shared" si="228"/>
        <v>11595</v>
      </c>
      <c r="CK1153" s="3" t="str">
        <f t="shared" si="229"/>
        <v xml:space="preserve">برنامج دولى </v>
      </c>
    </row>
    <row r="1154" spans="3:89" x14ac:dyDescent="0.25">
      <c r="C1154" s="17" t="s">
        <v>574</v>
      </c>
      <c r="D1154" s="17">
        <v>18286</v>
      </c>
      <c r="E1154" s="17">
        <v>11596</v>
      </c>
      <c r="F1154" s="3" t="s">
        <v>325</v>
      </c>
      <c r="G1154" s="3" t="s">
        <v>583</v>
      </c>
      <c r="I1154" s="3">
        <v>1579.72</v>
      </c>
      <c r="AU1154" s="22">
        <f t="shared" si="225"/>
        <v>1579.72</v>
      </c>
      <c r="AV1154" s="3">
        <v>1199</v>
      </c>
      <c r="AW1154" s="3">
        <v>151.9</v>
      </c>
      <c r="AX1154" s="3">
        <v>228.82</v>
      </c>
      <c r="CH1154" s="22">
        <f t="shared" si="226"/>
        <v>1579.72</v>
      </c>
      <c r="CI1154" s="3">
        <f t="shared" si="227"/>
        <v>0</v>
      </c>
      <c r="CJ1154" s="17">
        <f t="shared" si="228"/>
        <v>11596</v>
      </c>
      <c r="CK1154" s="3" t="str">
        <f t="shared" si="229"/>
        <v xml:space="preserve">برنامج دولى </v>
      </c>
    </row>
    <row r="1155" spans="3:89" x14ac:dyDescent="0.25">
      <c r="C1155" s="17" t="s">
        <v>574</v>
      </c>
      <c r="D1155" s="17">
        <v>18315</v>
      </c>
      <c r="E1155" s="17">
        <v>11597</v>
      </c>
      <c r="F1155" s="3" t="s">
        <v>325</v>
      </c>
      <c r="G1155" s="3" t="s">
        <v>583</v>
      </c>
      <c r="I1155" s="3">
        <v>27963.5</v>
      </c>
      <c r="AU1155" s="22">
        <f t="shared" si="225"/>
        <v>27963.5</v>
      </c>
      <c r="AV1155" s="3">
        <v>23024.47</v>
      </c>
      <c r="AW1155" s="3">
        <v>2845.25</v>
      </c>
      <c r="AX1155" s="3">
        <v>2093.7800000000002</v>
      </c>
      <c r="CH1155" s="22">
        <f t="shared" si="226"/>
        <v>27963.5</v>
      </c>
      <c r="CI1155" s="3">
        <f t="shared" si="227"/>
        <v>0</v>
      </c>
      <c r="CJ1155" s="17">
        <f t="shared" si="228"/>
        <v>11597</v>
      </c>
      <c r="CK1155" s="3" t="str">
        <f t="shared" si="229"/>
        <v xml:space="preserve">برنامج دولى </v>
      </c>
    </row>
    <row r="1156" spans="3:89" x14ac:dyDescent="0.25">
      <c r="C1156" s="17" t="s">
        <v>574</v>
      </c>
      <c r="D1156" s="17">
        <v>18314</v>
      </c>
      <c r="E1156" s="17">
        <v>11598</v>
      </c>
      <c r="F1156" s="3" t="s">
        <v>325</v>
      </c>
      <c r="G1156" s="3" t="s">
        <v>583</v>
      </c>
      <c r="I1156" s="3">
        <v>4537.58</v>
      </c>
      <c r="AU1156" s="22">
        <f t="shared" si="225"/>
        <v>4537.58</v>
      </c>
      <c r="AV1156" s="3">
        <v>3034.65</v>
      </c>
      <c r="AW1156" s="3">
        <v>409.65</v>
      </c>
      <c r="AX1156" s="3">
        <v>1093.28</v>
      </c>
      <c r="CH1156" s="22">
        <f t="shared" si="226"/>
        <v>4537.58</v>
      </c>
      <c r="CI1156" s="3">
        <f t="shared" si="227"/>
        <v>0</v>
      </c>
      <c r="CJ1156" s="17">
        <f t="shared" si="228"/>
        <v>11598</v>
      </c>
      <c r="CK1156" s="3" t="str">
        <f t="shared" si="229"/>
        <v xml:space="preserve">برنامج دولى </v>
      </c>
    </row>
    <row r="1157" spans="3:89" x14ac:dyDescent="0.25">
      <c r="C1157" s="17" t="s">
        <v>574</v>
      </c>
      <c r="D1157" s="17">
        <v>18313</v>
      </c>
      <c r="E1157" s="17">
        <v>11599</v>
      </c>
      <c r="F1157" s="3" t="s">
        <v>325</v>
      </c>
      <c r="G1157" s="3" t="s">
        <v>583</v>
      </c>
      <c r="I1157" s="3">
        <v>1371.82</v>
      </c>
      <c r="AU1157" s="22">
        <f t="shared" si="225"/>
        <v>1371.82</v>
      </c>
      <c r="AV1157" s="3">
        <v>916.85</v>
      </c>
      <c r="AW1157" s="3">
        <v>124.45</v>
      </c>
      <c r="AX1157" s="3">
        <v>330.52</v>
      </c>
      <c r="CH1157" s="22">
        <f t="shared" si="226"/>
        <v>1371.82</v>
      </c>
      <c r="CI1157" s="3">
        <f t="shared" si="227"/>
        <v>0</v>
      </c>
      <c r="CJ1157" s="17">
        <f t="shared" si="228"/>
        <v>11599</v>
      </c>
      <c r="CK1157" s="3" t="str">
        <f t="shared" si="229"/>
        <v xml:space="preserve">برنامج دولى </v>
      </c>
    </row>
    <row r="1158" spans="3:89" x14ac:dyDescent="0.25">
      <c r="C1158" s="17" t="s">
        <v>574</v>
      </c>
      <c r="D1158" s="17">
        <v>18282</v>
      </c>
      <c r="E1158" s="17">
        <v>11600</v>
      </c>
      <c r="F1158" s="3" t="s">
        <v>325</v>
      </c>
      <c r="G1158" s="3" t="s">
        <v>575</v>
      </c>
      <c r="I1158" s="3">
        <v>26759.45</v>
      </c>
      <c r="AU1158" s="22">
        <f t="shared" si="225"/>
        <v>26759.45</v>
      </c>
      <c r="AV1158" s="3">
        <v>23786.65</v>
      </c>
      <c r="AW1158" s="3">
        <v>2875.45</v>
      </c>
      <c r="AX1158" s="3">
        <v>97.35</v>
      </c>
      <c r="CH1158" s="22">
        <f t="shared" si="226"/>
        <v>26759.45</v>
      </c>
      <c r="CI1158" s="3">
        <f t="shared" si="227"/>
        <v>0</v>
      </c>
      <c r="CJ1158" s="17">
        <f t="shared" si="228"/>
        <v>11600</v>
      </c>
      <c r="CK1158" s="3" t="str">
        <f t="shared" si="229"/>
        <v xml:space="preserve">برنامج دولى </v>
      </c>
    </row>
    <row r="1159" spans="3:89" x14ac:dyDescent="0.25">
      <c r="C1159" s="17" t="s">
        <v>574</v>
      </c>
      <c r="D1159" s="17">
        <v>18305</v>
      </c>
      <c r="E1159" s="17">
        <v>11601</v>
      </c>
      <c r="F1159" s="3" t="s">
        <v>325</v>
      </c>
      <c r="G1159" s="3" t="s">
        <v>575</v>
      </c>
      <c r="I1159" s="3">
        <v>24870.15</v>
      </c>
      <c r="AU1159" s="22">
        <f t="shared" si="225"/>
        <v>24870.15</v>
      </c>
      <c r="AV1159" s="3">
        <v>21590.9</v>
      </c>
      <c r="AW1159" s="3">
        <v>2640.3</v>
      </c>
      <c r="AX1159" s="3">
        <v>638.95000000000005</v>
      </c>
      <c r="CH1159" s="22">
        <f t="shared" si="226"/>
        <v>24870.15</v>
      </c>
      <c r="CI1159" s="3">
        <f t="shared" si="227"/>
        <v>0</v>
      </c>
      <c r="CJ1159" s="17">
        <f t="shared" si="228"/>
        <v>11601</v>
      </c>
      <c r="CK1159" s="3" t="str">
        <f t="shared" si="229"/>
        <v xml:space="preserve">برنامج دولى </v>
      </c>
    </row>
    <row r="1160" spans="3:89" x14ac:dyDescent="0.25">
      <c r="C1160" s="17" t="s">
        <v>574</v>
      </c>
      <c r="D1160" s="17">
        <v>18306</v>
      </c>
      <c r="E1160" s="17">
        <v>11602</v>
      </c>
      <c r="F1160" s="3" t="s">
        <v>325</v>
      </c>
      <c r="G1160" s="3" t="s">
        <v>575</v>
      </c>
      <c r="I1160" s="3">
        <v>1618.54</v>
      </c>
      <c r="AU1160" s="22">
        <f t="shared" si="225"/>
        <v>1618.54</v>
      </c>
      <c r="AV1160" s="3">
        <v>1173.55</v>
      </c>
      <c r="AW1160" s="3">
        <v>152.6</v>
      </c>
      <c r="AX1160" s="3">
        <v>292.39</v>
      </c>
      <c r="CH1160" s="22">
        <f t="shared" si="226"/>
        <v>1618.54</v>
      </c>
      <c r="CI1160" s="3">
        <f t="shared" si="227"/>
        <v>0</v>
      </c>
      <c r="CJ1160" s="17">
        <f t="shared" si="228"/>
        <v>11602</v>
      </c>
      <c r="CK1160" s="3" t="str">
        <f t="shared" si="229"/>
        <v xml:space="preserve">برنامج دولى </v>
      </c>
    </row>
    <row r="1161" spans="3:89" x14ac:dyDescent="0.25">
      <c r="C1161" s="17" t="s">
        <v>574</v>
      </c>
      <c r="D1161" s="17">
        <v>18307</v>
      </c>
      <c r="E1161" s="17">
        <v>11603</v>
      </c>
      <c r="F1161" s="3" t="s">
        <v>325</v>
      </c>
      <c r="G1161" s="3" t="s">
        <v>575</v>
      </c>
      <c r="I1161" s="3">
        <v>1688.4</v>
      </c>
      <c r="AU1161" s="22">
        <f t="shared" si="225"/>
        <v>1688.4</v>
      </c>
      <c r="AV1161" s="3">
        <v>1129.8499999999999</v>
      </c>
      <c r="AW1161" s="3">
        <v>151.75</v>
      </c>
      <c r="AX1161" s="3">
        <v>406.8</v>
      </c>
      <c r="CH1161" s="22">
        <f t="shared" si="226"/>
        <v>1688.3999999999999</v>
      </c>
      <c r="CI1161" s="3">
        <f t="shared" si="227"/>
        <v>0</v>
      </c>
      <c r="CJ1161" s="17">
        <f t="shared" si="228"/>
        <v>11603</v>
      </c>
      <c r="CK1161" s="3" t="str">
        <f t="shared" si="229"/>
        <v xml:space="preserve">برنامج دولى </v>
      </c>
    </row>
    <row r="1162" spans="3:89" x14ac:dyDescent="0.25">
      <c r="C1162" s="17" t="s">
        <v>574</v>
      </c>
      <c r="D1162" s="17">
        <v>18283</v>
      </c>
      <c r="E1162" s="17">
        <v>11604</v>
      </c>
      <c r="F1162" s="3" t="s">
        <v>325</v>
      </c>
      <c r="G1162" s="3" t="s">
        <v>575</v>
      </c>
      <c r="I1162" s="3">
        <v>5250</v>
      </c>
      <c r="AU1162" s="22">
        <f t="shared" si="225"/>
        <v>5250</v>
      </c>
      <c r="AV1162" s="3">
        <v>4683.3999999999996</v>
      </c>
      <c r="AW1162" s="3">
        <v>566.6</v>
      </c>
      <c r="CH1162" s="22">
        <f t="shared" si="226"/>
        <v>5250</v>
      </c>
      <c r="CI1162" s="3">
        <f t="shared" si="227"/>
        <v>0</v>
      </c>
      <c r="CJ1162" s="17">
        <f t="shared" si="228"/>
        <v>11604</v>
      </c>
      <c r="CK1162" s="3" t="str">
        <f t="shared" si="229"/>
        <v xml:space="preserve">برنامج دولى </v>
      </c>
    </row>
    <row r="1163" spans="3:89" x14ac:dyDescent="0.25">
      <c r="C1163" s="17" t="s">
        <v>574</v>
      </c>
      <c r="D1163" s="17">
        <v>18304</v>
      </c>
      <c r="E1163" s="17">
        <v>11605</v>
      </c>
      <c r="F1163" s="3" t="s">
        <v>325</v>
      </c>
      <c r="G1163" s="3" t="s">
        <v>575</v>
      </c>
      <c r="I1163" s="3">
        <v>5390.22</v>
      </c>
      <c r="AU1163" s="22">
        <f t="shared" si="225"/>
        <v>5390.22</v>
      </c>
      <c r="AV1163" s="3">
        <v>4274.5200000000004</v>
      </c>
      <c r="AW1163" s="3">
        <v>542.15</v>
      </c>
      <c r="AX1163" s="3">
        <v>573.54999999999995</v>
      </c>
      <c r="CH1163" s="22">
        <f t="shared" si="226"/>
        <v>5390.22</v>
      </c>
      <c r="CI1163" s="3">
        <f t="shared" si="227"/>
        <v>0</v>
      </c>
      <c r="CJ1163" s="17">
        <f t="shared" si="228"/>
        <v>11605</v>
      </c>
      <c r="CK1163" s="3" t="str">
        <f t="shared" si="229"/>
        <v xml:space="preserve">برنامج دولى </v>
      </c>
    </row>
    <row r="1164" spans="3:89" x14ac:dyDescent="0.25">
      <c r="C1164" s="17" t="s">
        <v>574</v>
      </c>
      <c r="D1164" s="17">
        <v>18340</v>
      </c>
      <c r="E1164" s="17">
        <v>11606</v>
      </c>
      <c r="F1164" s="3" t="s">
        <v>325</v>
      </c>
      <c r="G1164" s="3" t="s">
        <v>575</v>
      </c>
      <c r="I1164" s="3">
        <v>3373.84</v>
      </c>
      <c r="AU1164" s="22">
        <f t="shared" si="225"/>
        <v>3373.84</v>
      </c>
      <c r="AV1164" s="3">
        <v>2899.26</v>
      </c>
      <c r="AW1164" s="3">
        <v>353.65</v>
      </c>
      <c r="AX1164" s="3">
        <v>120.93</v>
      </c>
      <c r="CH1164" s="22">
        <f t="shared" si="226"/>
        <v>3373.84</v>
      </c>
      <c r="CI1164" s="3">
        <f t="shared" si="227"/>
        <v>0</v>
      </c>
      <c r="CJ1164" s="17">
        <f t="shared" si="228"/>
        <v>11606</v>
      </c>
      <c r="CK1164" s="3" t="str">
        <f t="shared" si="229"/>
        <v xml:space="preserve">برنامج دولى </v>
      </c>
    </row>
    <row r="1165" spans="3:89" x14ac:dyDescent="0.25">
      <c r="C1165" s="17" t="s">
        <v>574</v>
      </c>
      <c r="D1165" s="17">
        <v>18284</v>
      </c>
      <c r="E1165" s="17">
        <v>11607</v>
      </c>
      <c r="F1165" s="3" t="s">
        <v>325</v>
      </c>
      <c r="G1165" s="3" t="s">
        <v>575</v>
      </c>
      <c r="I1165" s="3">
        <v>3095.4</v>
      </c>
      <c r="AU1165" s="22">
        <f t="shared" si="225"/>
        <v>3095.4</v>
      </c>
      <c r="AV1165" s="3">
        <v>2070.15</v>
      </c>
      <c r="AW1165" s="3">
        <v>279.45</v>
      </c>
      <c r="AX1165" s="3">
        <v>745.8</v>
      </c>
      <c r="CH1165" s="22">
        <f t="shared" si="226"/>
        <v>3095.3999999999996</v>
      </c>
      <c r="CI1165" s="3">
        <f t="shared" si="227"/>
        <v>0</v>
      </c>
      <c r="CJ1165" s="17">
        <f t="shared" si="228"/>
        <v>11607</v>
      </c>
      <c r="CK1165" s="3" t="str">
        <f t="shared" si="229"/>
        <v xml:space="preserve">برنامج دولى </v>
      </c>
    </row>
    <row r="1166" spans="3:89" x14ac:dyDescent="0.25">
      <c r="C1166" s="17" t="s">
        <v>574</v>
      </c>
      <c r="D1166" s="17">
        <v>18300</v>
      </c>
      <c r="E1166" s="17">
        <v>11608</v>
      </c>
      <c r="F1166" s="3" t="s">
        <v>325</v>
      </c>
      <c r="G1166" s="3" t="str">
        <f>+G1149</f>
        <v>عب تدريس مناطق حاره</v>
      </c>
      <c r="I1166" s="3">
        <v>17698.96</v>
      </c>
      <c r="AU1166" s="22">
        <f t="shared" si="225"/>
        <v>17698.96</v>
      </c>
      <c r="AV1166" s="3">
        <v>15485.4</v>
      </c>
      <c r="AW1166" s="3">
        <v>1871.35</v>
      </c>
      <c r="AX1166" s="3">
        <v>342.21</v>
      </c>
      <c r="CH1166" s="22">
        <f t="shared" si="226"/>
        <v>17698.96</v>
      </c>
      <c r="CI1166" s="3">
        <f t="shared" si="227"/>
        <v>0</v>
      </c>
      <c r="CJ1166" s="17">
        <f t="shared" si="228"/>
        <v>11608</v>
      </c>
      <c r="CK1166" s="3" t="str">
        <f t="shared" si="229"/>
        <v xml:space="preserve">برنامج دولى </v>
      </c>
    </row>
    <row r="1167" spans="3:89" x14ac:dyDescent="0.25">
      <c r="C1167" s="17" t="s">
        <v>574</v>
      </c>
      <c r="D1167" s="17">
        <v>18296</v>
      </c>
      <c r="E1167" s="17">
        <v>11609</v>
      </c>
      <c r="F1167" s="3" t="s">
        <v>325</v>
      </c>
      <c r="G1167" s="3" t="str">
        <f>+G1166</f>
        <v>عب تدريس مناطق حاره</v>
      </c>
      <c r="I1167" s="3">
        <v>246.24</v>
      </c>
      <c r="AU1167" s="22">
        <f t="shared" si="225"/>
        <v>246.24</v>
      </c>
      <c r="AV1167" s="3">
        <v>165.4</v>
      </c>
      <c r="AW1167" s="3">
        <v>21.5</v>
      </c>
      <c r="AX1167" s="3">
        <v>59.34</v>
      </c>
      <c r="CH1167" s="22">
        <f t="shared" si="226"/>
        <v>246.24</v>
      </c>
      <c r="CI1167" s="3">
        <f t="shared" si="227"/>
        <v>0</v>
      </c>
      <c r="CJ1167" s="17">
        <f t="shared" si="228"/>
        <v>11609</v>
      </c>
      <c r="CK1167" s="3" t="str">
        <f t="shared" si="229"/>
        <v xml:space="preserve">برنامج دولى </v>
      </c>
    </row>
    <row r="1168" spans="3:89" x14ac:dyDescent="0.25">
      <c r="C1168" s="17" t="s">
        <v>574</v>
      </c>
      <c r="D1168" s="17">
        <v>18295</v>
      </c>
      <c r="E1168" s="17">
        <v>11610</v>
      </c>
      <c r="F1168" s="3" t="s">
        <v>325</v>
      </c>
      <c r="G1168" s="3" t="str">
        <f>+G1167</f>
        <v>عب تدريس مناطق حاره</v>
      </c>
      <c r="I1168" s="3">
        <v>7371.75</v>
      </c>
      <c r="AU1168" s="22">
        <f t="shared" si="225"/>
        <v>7371.75</v>
      </c>
      <c r="AV1168" s="3">
        <v>6507.35</v>
      </c>
      <c r="AW1168" s="3">
        <v>779.65</v>
      </c>
      <c r="AX1168" s="3">
        <v>84.75</v>
      </c>
      <c r="CH1168" s="22">
        <f t="shared" si="226"/>
        <v>7371.75</v>
      </c>
      <c r="CI1168" s="3">
        <f t="shared" si="227"/>
        <v>0</v>
      </c>
      <c r="CJ1168" s="17">
        <f t="shared" si="228"/>
        <v>11610</v>
      </c>
      <c r="CK1168" s="3" t="str">
        <f t="shared" si="229"/>
        <v xml:space="preserve">برنامج دولى </v>
      </c>
    </row>
    <row r="1169" spans="2:89" x14ac:dyDescent="0.25">
      <c r="C1169" s="17" t="s">
        <v>574</v>
      </c>
      <c r="D1169" s="17">
        <v>18290</v>
      </c>
      <c r="E1169" s="17">
        <v>11611</v>
      </c>
      <c r="F1169" s="3" t="s">
        <v>325</v>
      </c>
      <c r="G1169" s="3" t="str">
        <f>+G1168</f>
        <v>عب تدريس مناطق حاره</v>
      </c>
      <c r="I1169" s="3">
        <v>738.66</v>
      </c>
      <c r="AU1169" s="22">
        <f t="shared" si="225"/>
        <v>738.66</v>
      </c>
      <c r="AV1169" s="3">
        <v>495</v>
      </c>
      <c r="AW1169" s="3">
        <v>65.7</v>
      </c>
      <c r="AX1169" s="3">
        <v>177.96</v>
      </c>
      <c r="CH1169" s="22">
        <f t="shared" si="226"/>
        <v>738.66000000000008</v>
      </c>
      <c r="CI1169" s="3">
        <f t="shared" si="227"/>
        <v>0</v>
      </c>
      <c r="CJ1169" s="17">
        <f t="shared" si="228"/>
        <v>11611</v>
      </c>
      <c r="CK1169" s="3" t="str">
        <f t="shared" si="229"/>
        <v xml:space="preserve">برنامج دولى </v>
      </c>
    </row>
    <row r="1170" spans="2:89" x14ac:dyDescent="0.25">
      <c r="C1170" s="17" t="s">
        <v>574</v>
      </c>
      <c r="D1170" s="17">
        <v>18289</v>
      </c>
      <c r="E1170" s="17">
        <v>11612</v>
      </c>
      <c r="F1170" s="3" t="s">
        <v>325</v>
      </c>
      <c r="G1170" s="3" t="str">
        <f>+G1169</f>
        <v>عب تدريس مناطق حاره</v>
      </c>
      <c r="I1170" s="3">
        <v>211.05</v>
      </c>
      <c r="AU1170" s="22">
        <f t="shared" si="225"/>
        <v>211.05</v>
      </c>
      <c r="AV1170" s="3">
        <v>141.5</v>
      </c>
      <c r="AW1170" s="3">
        <v>18.7</v>
      </c>
      <c r="AX1170" s="3">
        <v>50.85</v>
      </c>
      <c r="CH1170" s="22">
        <f t="shared" si="226"/>
        <v>211.04999999999998</v>
      </c>
      <c r="CI1170" s="3">
        <f t="shared" si="227"/>
        <v>0</v>
      </c>
      <c r="CJ1170" s="17">
        <f t="shared" si="228"/>
        <v>11612</v>
      </c>
      <c r="CK1170" s="3" t="str">
        <f t="shared" si="229"/>
        <v xml:space="preserve">برنامج دولى </v>
      </c>
    </row>
    <row r="1171" spans="2:89" x14ac:dyDescent="0.25">
      <c r="C1171" s="17" t="s">
        <v>574</v>
      </c>
      <c r="D1171" s="17">
        <v>19203</v>
      </c>
      <c r="E1171" s="17">
        <v>11613</v>
      </c>
      <c r="F1171" s="3" t="s">
        <v>325</v>
      </c>
      <c r="G1171" s="3" t="s">
        <v>584</v>
      </c>
      <c r="I1171" s="3">
        <v>9000</v>
      </c>
      <c r="AU1171" s="22">
        <f t="shared" si="225"/>
        <v>9000</v>
      </c>
      <c r="AV1171" s="3">
        <v>8030.25</v>
      </c>
      <c r="AW1171" s="3">
        <v>969.75</v>
      </c>
      <c r="CH1171" s="22">
        <f t="shared" si="226"/>
        <v>9000</v>
      </c>
      <c r="CI1171" s="3">
        <f t="shared" si="227"/>
        <v>0</v>
      </c>
      <c r="CJ1171" s="17">
        <f t="shared" si="228"/>
        <v>11613</v>
      </c>
      <c r="CK1171" s="3" t="str">
        <f t="shared" si="229"/>
        <v xml:space="preserve">برنامج دولى </v>
      </c>
    </row>
    <row r="1172" spans="2:89" x14ac:dyDescent="0.25">
      <c r="C1172" s="17" t="s">
        <v>574</v>
      </c>
      <c r="D1172" s="17">
        <v>19204</v>
      </c>
      <c r="E1172" s="17">
        <v>11614</v>
      </c>
      <c r="F1172" s="3" t="s">
        <v>325</v>
      </c>
      <c r="G1172" s="3" t="s">
        <v>585</v>
      </c>
      <c r="I1172" s="3">
        <v>12000</v>
      </c>
      <c r="AU1172" s="22">
        <f t="shared" si="225"/>
        <v>12000</v>
      </c>
      <c r="AV1172" s="3">
        <v>10714.4</v>
      </c>
      <c r="AW1172" s="3">
        <v>1285.5999999999999</v>
      </c>
      <c r="CH1172" s="22">
        <f t="shared" si="226"/>
        <v>12000</v>
      </c>
      <c r="CI1172" s="3">
        <f t="shared" si="227"/>
        <v>0</v>
      </c>
      <c r="CJ1172" s="17">
        <f t="shared" si="228"/>
        <v>11614</v>
      </c>
      <c r="CK1172" s="3" t="str">
        <f t="shared" si="229"/>
        <v xml:space="preserve">برنامج دولى </v>
      </c>
    </row>
    <row r="1173" spans="2:89" x14ac:dyDescent="0.25">
      <c r="C1173" s="17" t="s">
        <v>574</v>
      </c>
      <c r="D1173" s="17">
        <v>19214</v>
      </c>
      <c r="E1173" s="17">
        <v>11615</v>
      </c>
      <c r="F1173" s="3" t="s">
        <v>325</v>
      </c>
      <c r="G1173" s="3" t="s">
        <v>586</v>
      </c>
      <c r="I1173" s="3">
        <v>8571.0499999999993</v>
      </c>
      <c r="AU1173" s="22">
        <f t="shared" si="225"/>
        <v>8571.0499999999993</v>
      </c>
      <c r="AV1173" s="3">
        <v>6927.61</v>
      </c>
      <c r="AW1173" s="3">
        <v>872</v>
      </c>
      <c r="AX1173" s="3">
        <v>771.44</v>
      </c>
      <c r="CH1173" s="22">
        <f t="shared" si="226"/>
        <v>8571.0499999999993</v>
      </c>
      <c r="CI1173" s="3">
        <f t="shared" si="227"/>
        <v>0</v>
      </c>
      <c r="CJ1173" s="17">
        <f t="shared" si="228"/>
        <v>11615</v>
      </c>
      <c r="CK1173" s="3" t="str">
        <f t="shared" si="229"/>
        <v xml:space="preserve">برنامج دولى </v>
      </c>
    </row>
    <row r="1174" spans="2:89" x14ac:dyDescent="0.25">
      <c r="C1174" s="17" t="s">
        <v>574</v>
      </c>
      <c r="D1174" s="17">
        <v>19213</v>
      </c>
      <c r="E1174" s="17">
        <v>11616</v>
      </c>
      <c r="F1174" s="3" t="s">
        <v>325</v>
      </c>
      <c r="G1174" s="3" t="s">
        <v>586</v>
      </c>
      <c r="I1174" s="3">
        <v>949.72</v>
      </c>
      <c r="AU1174" s="22">
        <f t="shared" si="225"/>
        <v>949.72</v>
      </c>
      <c r="AV1174" s="3">
        <v>635.20000000000005</v>
      </c>
      <c r="AW1174" s="3">
        <v>85.7</v>
      </c>
      <c r="AX1174" s="3">
        <v>228.82</v>
      </c>
      <c r="CH1174" s="22">
        <f t="shared" si="226"/>
        <v>949.72</v>
      </c>
      <c r="CI1174" s="3">
        <f t="shared" si="227"/>
        <v>0</v>
      </c>
      <c r="CJ1174" s="17">
        <f t="shared" si="228"/>
        <v>11616</v>
      </c>
      <c r="CK1174" s="3" t="str">
        <f t="shared" si="229"/>
        <v xml:space="preserve">برنامج دولى </v>
      </c>
    </row>
    <row r="1175" spans="2:89" x14ac:dyDescent="0.25">
      <c r="C1175" s="17" t="s">
        <v>574</v>
      </c>
      <c r="D1175" s="17">
        <v>19207</v>
      </c>
      <c r="E1175" s="17">
        <v>11617</v>
      </c>
      <c r="F1175" s="3" t="s">
        <v>325</v>
      </c>
      <c r="G1175" s="3" t="s">
        <v>586</v>
      </c>
      <c r="I1175" s="3">
        <v>1266.3</v>
      </c>
      <c r="AU1175" s="22">
        <f t="shared" si="225"/>
        <v>1266.3</v>
      </c>
      <c r="AV1175" s="3">
        <v>846.35</v>
      </c>
      <c r="AW1175" s="3">
        <v>114.85</v>
      </c>
      <c r="AX1175" s="3">
        <v>305.10000000000002</v>
      </c>
      <c r="CH1175" s="22">
        <f t="shared" si="226"/>
        <v>1266.3000000000002</v>
      </c>
      <c r="CI1175" s="3">
        <f t="shared" si="227"/>
        <v>0</v>
      </c>
      <c r="CJ1175" s="17">
        <f t="shared" si="228"/>
        <v>11617</v>
      </c>
      <c r="CK1175" s="3" t="str">
        <f t="shared" si="229"/>
        <v xml:space="preserve">برنامج دولى </v>
      </c>
    </row>
    <row r="1176" spans="2:89" x14ac:dyDescent="0.25">
      <c r="B1176" s="3"/>
      <c r="C1176" s="17" t="s">
        <v>574</v>
      </c>
      <c r="D1176" s="17">
        <v>19205</v>
      </c>
      <c r="E1176" s="17">
        <v>11618</v>
      </c>
      <c r="F1176" s="3" t="s">
        <v>325</v>
      </c>
      <c r="G1176" s="3" t="s">
        <v>578</v>
      </c>
      <c r="I1176" s="3">
        <v>967.31</v>
      </c>
      <c r="AU1176" s="22">
        <f t="shared" si="225"/>
        <v>967.31</v>
      </c>
      <c r="AV1176" s="3">
        <v>646.95000000000005</v>
      </c>
      <c r="AW1176" s="3">
        <v>87.3</v>
      </c>
      <c r="AX1176" s="3">
        <v>233.06</v>
      </c>
      <c r="CH1176" s="22">
        <f t="shared" si="226"/>
        <v>967.31</v>
      </c>
      <c r="CI1176" s="3">
        <f t="shared" si="227"/>
        <v>0</v>
      </c>
      <c r="CJ1176" s="17">
        <f t="shared" si="228"/>
        <v>11618</v>
      </c>
      <c r="CK1176" s="3" t="str">
        <f t="shared" si="229"/>
        <v xml:space="preserve">برنامج دولى </v>
      </c>
    </row>
    <row r="1177" spans="2:89" x14ac:dyDescent="0.25">
      <c r="C1177" s="17" t="s">
        <v>574</v>
      </c>
      <c r="D1177" s="17">
        <v>19206</v>
      </c>
      <c r="E1177" s="17">
        <v>11619</v>
      </c>
      <c r="F1177" s="3" t="s">
        <v>325</v>
      </c>
      <c r="G1177" s="3" t="s">
        <v>587</v>
      </c>
      <c r="I1177" s="3">
        <v>11330.74</v>
      </c>
      <c r="AU1177" s="22">
        <f t="shared" si="225"/>
        <v>11330.74</v>
      </c>
      <c r="AV1177" s="3">
        <v>9302.25</v>
      </c>
      <c r="AW1177" s="3">
        <v>1159.3</v>
      </c>
      <c r="AX1177" s="3">
        <v>869.19</v>
      </c>
      <c r="CH1177" s="22">
        <f t="shared" si="226"/>
        <v>11330.74</v>
      </c>
      <c r="CI1177" s="3">
        <f t="shared" si="227"/>
        <v>0</v>
      </c>
      <c r="CJ1177" s="17">
        <f t="shared" si="228"/>
        <v>11619</v>
      </c>
      <c r="CK1177" s="3" t="str">
        <f t="shared" si="229"/>
        <v xml:space="preserve">برنامج دولى </v>
      </c>
    </row>
    <row r="1178" spans="2:89" x14ac:dyDescent="0.25">
      <c r="C1178" s="17" t="s">
        <v>588</v>
      </c>
      <c r="D1178" s="17">
        <v>19208</v>
      </c>
      <c r="E1178" s="17">
        <v>11620</v>
      </c>
      <c r="F1178" s="3" t="s">
        <v>119</v>
      </c>
      <c r="G1178" s="3" t="s">
        <v>589</v>
      </c>
      <c r="I1178" s="3">
        <v>3869.25</v>
      </c>
      <c r="AU1178" s="22">
        <f t="shared" si="225"/>
        <v>3869.25</v>
      </c>
      <c r="AV1178" s="3">
        <v>2696.17</v>
      </c>
      <c r="AW1178" s="3">
        <f>21.7+69.13</f>
        <v>90.83</v>
      </c>
      <c r="AX1178" s="3">
        <v>932.25</v>
      </c>
      <c r="AY1178" s="3">
        <v>150</v>
      </c>
      <c r="CH1178" s="22">
        <f t="shared" si="226"/>
        <v>3869.25</v>
      </c>
      <c r="CI1178" s="3">
        <f t="shared" si="227"/>
        <v>0</v>
      </c>
      <c r="CJ1178" s="17">
        <f t="shared" si="228"/>
        <v>11620</v>
      </c>
      <c r="CK1178" s="3" t="str">
        <f t="shared" si="229"/>
        <v>خ ت صيدلة</v>
      </c>
    </row>
    <row r="1179" spans="2:89" x14ac:dyDescent="0.25">
      <c r="C1179" s="17" t="s">
        <v>588</v>
      </c>
      <c r="D1179" s="17">
        <v>19216</v>
      </c>
      <c r="E1179" s="17">
        <v>11621</v>
      </c>
      <c r="F1179" s="3" t="s">
        <v>119</v>
      </c>
      <c r="G1179" s="3" t="s">
        <v>590</v>
      </c>
      <c r="I1179" s="3">
        <v>21587.83</v>
      </c>
      <c r="AU1179" s="22">
        <f t="shared" si="225"/>
        <v>21587.83</v>
      </c>
      <c r="AV1179" s="3">
        <v>14868.68</v>
      </c>
      <c r="AW1179" s="3">
        <v>3785.62</v>
      </c>
      <c r="AX1179" s="3">
        <v>1912.53</v>
      </c>
      <c r="AY1179" s="3">
        <v>1021</v>
      </c>
      <c r="CH1179" s="22">
        <f t="shared" si="226"/>
        <v>21587.829999999998</v>
      </c>
      <c r="CI1179" s="3">
        <f t="shared" si="227"/>
        <v>0</v>
      </c>
      <c r="CJ1179" s="17">
        <f t="shared" si="228"/>
        <v>11621</v>
      </c>
      <c r="CK1179" s="3" t="str">
        <f t="shared" si="229"/>
        <v>خ ت صيدلة</v>
      </c>
    </row>
    <row r="1180" spans="2:89" x14ac:dyDescent="0.25">
      <c r="C1180" s="17" t="s">
        <v>588</v>
      </c>
      <c r="D1180" s="17">
        <v>19215</v>
      </c>
      <c r="E1180" s="17">
        <v>11622</v>
      </c>
      <c r="F1180" s="3" t="s">
        <v>119</v>
      </c>
      <c r="G1180" s="3" t="s">
        <v>591</v>
      </c>
      <c r="I1180" s="3">
        <v>3360</v>
      </c>
      <c r="AU1180" s="22">
        <f t="shared" si="225"/>
        <v>3360</v>
      </c>
      <c r="AV1180" s="3">
        <v>2534</v>
      </c>
      <c r="AW1180" s="3">
        <v>658</v>
      </c>
      <c r="AY1180" s="3">
        <v>168</v>
      </c>
      <c r="CH1180" s="22">
        <f t="shared" si="226"/>
        <v>3360</v>
      </c>
      <c r="CI1180" s="3">
        <f t="shared" si="227"/>
        <v>0</v>
      </c>
      <c r="CJ1180" s="17">
        <f t="shared" si="228"/>
        <v>11622</v>
      </c>
      <c r="CK1180" s="3" t="str">
        <f t="shared" si="229"/>
        <v>خ ت صيدلة</v>
      </c>
    </row>
    <row r="1181" spans="2:89" x14ac:dyDescent="0.25">
      <c r="B1181" s="3"/>
      <c r="C1181" s="17" t="s">
        <v>592</v>
      </c>
      <c r="D1181" s="17">
        <v>18956</v>
      </c>
      <c r="E1181" s="17">
        <v>11623</v>
      </c>
      <c r="F1181" s="3" t="s">
        <v>132</v>
      </c>
      <c r="G1181" s="3" t="s">
        <v>593</v>
      </c>
      <c r="I1181" s="3">
        <v>2314.2399999999998</v>
      </c>
      <c r="AU1181" s="22">
        <f t="shared" si="225"/>
        <v>2314.2399999999998</v>
      </c>
      <c r="AV1181" s="3">
        <v>1513.42</v>
      </c>
      <c r="AW1181" s="3">
        <v>204.3</v>
      </c>
      <c r="AX1181" s="3">
        <v>596.52</v>
      </c>
      <c r="CH1181" s="22">
        <f t="shared" si="226"/>
        <v>2314.2399999999998</v>
      </c>
      <c r="CI1181" s="3">
        <f t="shared" si="227"/>
        <v>0</v>
      </c>
      <c r="CJ1181" s="17">
        <f t="shared" si="228"/>
        <v>11623</v>
      </c>
      <c r="CK1181" s="3" t="str">
        <f t="shared" si="229"/>
        <v>صيدلة اكلينيكى</v>
      </c>
    </row>
    <row r="1182" spans="2:89" x14ac:dyDescent="0.25">
      <c r="C1182" s="17" t="s">
        <v>592</v>
      </c>
      <c r="D1182" s="17">
        <v>18957</v>
      </c>
      <c r="E1182" s="17">
        <v>11624</v>
      </c>
      <c r="F1182" s="3" t="s">
        <v>132</v>
      </c>
      <c r="G1182" s="3" t="s">
        <v>593</v>
      </c>
      <c r="I1182" s="3">
        <v>3283</v>
      </c>
      <c r="AU1182" s="22">
        <f t="shared" si="225"/>
        <v>3283</v>
      </c>
      <c r="AV1182" s="3">
        <v>2199.8000000000002</v>
      </c>
      <c r="AW1182" s="3">
        <v>292.2</v>
      </c>
      <c r="AX1182" s="3">
        <v>791</v>
      </c>
      <c r="CH1182" s="22">
        <f t="shared" si="226"/>
        <v>3283</v>
      </c>
      <c r="CI1182" s="3">
        <f t="shared" si="227"/>
        <v>0</v>
      </c>
      <c r="CJ1182" s="17">
        <f t="shared" si="228"/>
        <v>11624</v>
      </c>
      <c r="CK1182" s="3" t="str">
        <f t="shared" si="229"/>
        <v>صيدلة اكلينيكى</v>
      </c>
    </row>
    <row r="1183" spans="2:89" x14ac:dyDescent="0.25">
      <c r="C1183" s="17" t="s">
        <v>592</v>
      </c>
      <c r="D1183" s="17">
        <v>18966</v>
      </c>
      <c r="E1183" s="17">
        <v>11625</v>
      </c>
      <c r="F1183" s="3" t="s">
        <v>132</v>
      </c>
      <c r="G1183" s="3" t="s">
        <v>594</v>
      </c>
      <c r="I1183" s="3">
        <v>4256.18</v>
      </c>
      <c r="AU1183" s="22">
        <f t="shared" si="225"/>
        <v>4256.18</v>
      </c>
      <c r="AV1183" s="3">
        <v>2840.85</v>
      </c>
      <c r="AW1183" s="3">
        <f>363+26.85</f>
        <v>389.85</v>
      </c>
      <c r="AX1183" s="3">
        <v>1025.48</v>
      </c>
      <c r="CH1183" s="22">
        <f t="shared" si="226"/>
        <v>4256.18</v>
      </c>
      <c r="CI1183" s="3">
        <f t="shared" si="227"/>
        <v>0</v>
      </c>
      <c r="CJ1183" s="17">
        <f t="shared" si="228"/>
        <v>11625</v>
      </c>
      <c r="CK1183" s="3" t="str">
        <f t="shared" si="229"/>
        <v>صيدلة اكلينيكى</v>
      </c>
    </row>
    <row r="1184" spans="2:89" x14ac:dyDescent="0.25">
      <c r="C1184" s="17" t="s">
        <v>592</v>
      </c>
      <c r="D1184" s="17">
        <v>18963</v>
      </c>
      <c r="E1184" s="17">
        <v>11626</v>
      </c>
      <c r="F1184" s="3" t="s">
        <v>132</v>
      </c>
      <c r="G1184" s="3" t="s">
        <v>595</v>
      </c>
      <c r="I1184" s="3">
        <v>422.1</v>
      </c>
      <c r="AU1184" s="22">
        <f t="shared" si="225"/>
        <v>422.1</v>
      </c>
      <c r="AV1184" s="3">
        <v>282.60000000000002</v>
      </c>
      <c r="AW1184" s="3">
        <v>37.799999999999997</v>
      </c>
      <c r="AX1184" s="3">
        <v>101.7</v>
      </c>
      <c r="CH1184" s="22">
        <f t="shared" si="226"/>
        <v>422.1</v>
      </c>
      <c r="CI1184" s="3">
        <f t="shared" si="227"/>
        <v>0</v>
      </c>
      <c r="CJ1184" s="17">
        <f t="shared" si="228"/>
        <v>11626</v>
      </c>
      <c r="CK1184" s="3" t="str">
        <f t="shared" si="229"/>
        <v>صيدلة اكلينيكى</v>
      </c>
    </row>
    <row r="1185" spans="2:89" x14ac:dyDescent="0.25">
      <c r="C1185" s="17" t="s">
        <v>592</v>
      </c>
      <c r="D1185" s="17">
        <v>18944</v>
      </c>
      <c r="E1185" s="17">
        <v>11627</v>
      </c>
      <c r="F1185" s="3" t="s">
        <v>132</v>
      </c>
      <c r="G1185" s="3" t="s">
        <v>595</v>
      </c>
      <c r="I1185" s="3">
        <v>7281.23</v>
      </c>
      <c r="AU1185" s="22">
        <f t="shared" si="225"/>
        <v>7281.23</v>
      </c>
      <c r="AV1185" s="3">
        <v>4865.75</v>
      </c>
      <c r="AW1185" s="3">
        <v>661.15</v>
      </c>
      <c r="AX1185" s="3">
        <v>1754.33</v>
      </c>
      <c r="CH1185" s="22">
        <f t="shared" si="226"/>
        <v>7281.23</v>
      </c>
      <c r="CI1185" s="3">
        <f t="shared" si="227"/>
        <v>0</v>
      </c>
      <c r="CJ1185" s="17">
        <f t="shared" si="228"/>
        <v>11627</v>
      </c>
      <c r="CK1185" s="3" t="str">
        <f t="shared" si="229"/>
        <v>صيدلة اكلينيكى</v>
      </c>
    </row>
    <row r="1186" spans="2:89" x14ac:dyDescent="0.25">
      <c r="C1186" s="17" t="s">
        <v>592</v>
      </c>
      <c r="D1186" s="17">
        <v>18965</v>
      </c>
      <c r="E1186" s="17">
        <v>11628</v>
      </c>
      <c r="F1186" s="3" t="s">
        <v>132</v>
      </c>
      <c r="G1186" s="3" t="s">
        <v>595</v>
      </c>
      <c r="I1186" s="3">
        <v>20964.3</v>
      </c>
      <c r="AU1186" s="22">
        <f t="shared" si="225"/>
        <v>20964.3</v>
      </c>
      <c r="AV1186" s="3">
        <v>14017.8</v>
      </c>
      <c r="AW1186" s="3">
        <v>1895.4</v>
      </c>
      <c r="AX1186" s="3">
        <v>5051.1000000000004</v>
      </c>
      <c r="CH1186" s="22">
        <f t="shared" si="226"/>
        <v>20964.3</v>
      </c>
      <c r="CI1186" s="3">
        <f t="shared" si="227"/>
        <v>0</v>
      </c>
      <c r="CJ1186" s="17">
        <f t="shared" si="228"/>
        <v>11628</v>
      </c>
      <c r="CK1186" s="3" t="str">
        <f t="shared" si="229"/>
        <v>صيدلة اكلينيكى</v>
      </c>
    </row>
    <row r="1187" spans="2:89" x14ac:dyDescent="0.25">
      <c r="C1187" s="17" t="s">
        <v>592</v>
      </c>
      <c r="D1187" s="17">
        <v>18962</v>
      </c>
      <c r="E1187" s="17">
        <v>11629</v>
      </c>
      <c r="F1187" s="3" t="s">
        <v>132</v>
      </c>
      <c r="G1187" s="3" t="str">
        <f>+G1183</f>
        <v>مكافاه عن اعمال تدريس</v>
      </c>
      <c r="I1187" s="3">
        <v>1969.8</v>
      </c>
      <c r="AU1187" s="22">
        <f t="shared" si="225"/>
        <v>1969.8</v>
      </c>
      <c r="AV1187" s="3">
        <v>1314.97</v>
      </c>
      <c r="AW1187" s="3">
        <f>168+12.23</f>
        <v>180.23</v>
      </c>
      <c r="AX1187" s="3">
        <v>474.6</v>
      </c>
      <c r="CH1187" s="22">
        <f t="shared" si="226"/>
        <v>1969.8000000000002</v>
      </c>
      <c r="CI1187" s="3">
        <f t="shared" si="227"/>
        <v>0</v>
      </c>
      <c r="CJ1187" s="17">
        <f t="shared" si="228"/>
        <v>11629</v>
      </c>
      <c r="CK1187" s="3" t="str">
        <f t="shared" si="229"/>
        <v>صيدلة اكلينيكى</v>
      </c>
    </row>
    <row r="1188" spans="2:89" x14ac:dyDescent="0.25">
      <c r="C1188" s="17" t="s">
        <v>592</v>
      </c>
      <c r="D1188" s="17">
        <v>18960</v>
      </c>
      <c r="E1188" s="17">
        <v>11630</v>
      </c>
      <c r="F1188" s="3" t="s">
        <v>132</v>
      </c>
      <c r="G1188" s="3" t="s">
        <v>596</v>
      </c>
      <c r="I1188" s="3">
        <v>18696.73</v>
      </c>
      <c r="AU1188" s="22">
        <f t="shared" si="225"/>
        <v>18696.73</v>
      </c>
      <c r="AV1188" s="3">
        <v>16034.13</v>
      </c>
      <c r="AW1188" s="3">
        <v>1963.75</v>
      </c>
      <c r="AX1188" s="3">
        <v>698.85</v>
      </c>
      <c r="CH1188" s="22">
        <f t="shared" si="226"/>
        <v>18696.729999999996</v>
      </c>
      <c r="CI1188" s="3">
        <f t="shared" si="227"/>
        <v>0</v>
      </c>
      <c r="CJ1188" s="17">
        <f t="shared" si="228"/>
        <v>11630</v>
      </c>
      <c r="CK1188" s="3" t="str">
        <f t="shared" si="229"/>
        <v>صيدلة اكلينيكى</v>
      </c>
    </row>
    <row r="1189" spans="2:89" x14ac:dyDescent="0.25">
      <c r="C1189" s="17" t="s">
        <v>592</v>
      </c>
      <c r="D1189" s="17">
        <v>18959</v>
      </c>
      <c r="E1189" s="17">
        <v>11631</v>
      </c>
      <c r="F1189" s="3" t="s">
        <v>132</v>
      </c>
      <c r="G1189" s="3" t="s">
        <v>596</v>
      </c>
      <c r="I1189" s="3">
        <v>1800</v>
      </c>
      <c r="AU1189" s="22">
        <f t="shared" si="225"/>
        <v>1800</v>
      </c>
      <c r="AV1189" s="3">
        <v>1606.85</v>
      </c>
      <c r="AW1189" s="3">
        <v>193.15</v>
      </c>
      <c r="CH1189" s="22">
        <f t="shared" si="226"/>
        <v>1800</v>
      </c>
      <c r="CI1189" s="3">
        <f t="shared" si="227"/>
        <v>0</v>
      </c>
      <c r="CJ1189" s="17">
        <f t="shared" si="228"/>
        <v>11631</v>
      </c>
      <c r="CK1189" s="3" t="str">
        <f t="shared" si="229"/>
        <v>صيدلة اكلينيكى</v>
      </c>
    </row>
    <row r="1190" spans="2:89" x14ac:dyDescent="0.25">
      <c r="C1190" s="17" t="s">
        <v>592</v>
      </c>
      <c r="D1190" s="17">
        <v>18961</v>
      </c>
      <c r="E1190" s="17">
        <v>11632</v>
      </c>
      <c r="F1190" s="3" t="s">
        <v>132</v>
      </c>
      <c r="G1190" s="3" t="s">
        <v>596</v>
      </c>
      <c r="I1190" s="3">
        <v>381951.15</v>
      </c>
      <c r="AU1190" s="22">
        <f t="shared" si="225"/>
        <v>381951.15</v>
      </c>
      <c r="AV1190" s="3">
        <v>324759.45</v>
      </c>
      <c r="AW1190" s="3">
        <v>39703.449999999997</v>
      </c>
      <c r="AX1190" s="3">
        <v>17488.25</v>
      </c>
      <c r="CH1190" s="22">
        <f t="shared" si="226"/>
        <v>381951.15</v>
      </c>
      <c r="CI1190" s="3">
        <f t="shared" si="227"/>
        <v>0</v>
      </c>
      <c r="CJ1190" s="17">
        <f t="shared" si="228"/>
        <v>11632</v>
      </c>
      <c r="CK1190" s="3" t="str">
        <f t="shared" si="229"/>
        <v>صيدلة اكلينيكى</v>
      </c>
    </row>
    <row r="1191" spans="2:89" x14ac:dyDescent="0.25">
      <c r="C1191" s="17" t="s">
        <v>592</v>
      </c>
      <c r="D1191" s="17">
        <v>18967</v>
      </c>
      <c r="E1191" s="17">
        <v>11633</v>
      </c>
      <c r="F1191" s="3" t="s">
        <v>132</v>
      </c>
      <c r="G1191" s="3" t="s">
        <v>597</v>
      </c>
      <c r="I1191" s="3">
        <v>1876</v>
      </c>
      <c r="AU1191" s="22">
        <f t="shared" si="225"/>
        <v>1876</v>
      </c>
      <c r="AV1191" s="3">
        <v>1256</v>
      </c>
      <c r="AW1191" s="3">
        <v>168</v>
      </c>
      <c r="AX1191" s="3">
        <v>452</v>
      </c>
      <c r="CH1191" s="22">
        <f t="shared" si="226"/>
        <v>1876</v>
      </c>
      <c r="CI1191" s="3">
        <f t="shared" si="227"/>
        <v>0</v>
      </c>
      <c r="CJ1191" s="17">
        <f t="shared" si="228"/>
        <v>11633</v>
      </c>
      <c r="CK1191" s="3" t="str">
        <f t="shared" si="229"/>
        <v>صيدلة اكلينيكى</v>
      </c>
    </row>
    <row r="1192" spans="2:89" x14ac:dyDescent="0.25">
      <c r="C1192" s="17" t="s">
        <v>592</v>
      </c>
      <c r="D1192" s="17">
        <v>18971</v>
      </c>
      <c r="E1192" s="17">
        <v>11634</v>
      </c>
      <c r="F1192" s="3" t="s">
        <v>132</v>
      </c>
      <c r="G1192" s="3" t="s">
        <v>597</v>
      </c>
      <c r="I1192" s="3">
        <v>877.63</v>
      </c>
      <c r="AU1192" s="22">
        <f t="shared" si="225"/>
        <v>877.63</v>
      </c>
      <c r="AV1192" s="3">
        <v>700.95</v>
      </c>
      <c r="AW1192" s="3">
        <f>45+4.55</f>
        <v>49.55</v>
      </c>
      <c r="AX1192" s="3">
        <v>127.13</v>
      </c>
      <c r="CH1192" s="22">
        <f t="shared" si="226"/>
        <v>877.63</v>
      </c>
      <c r="CI1192" s="3">
        <f t="shared" si="227"/>
        <v>0</v>
      </c>
      <c r="CJ1192" s="17">
        <f t="shared" si="228"/>
        <v>11634</v>
      </c>
      <c r="CK1192" s="3" t="str">
        <f t="shared" si="229"/>
        <v>صيدلة اكلينيكى</v>
      </c>
    </row>
    <row r="1193" spans="2:89" x14ac:dyDescent="0.25">
      <c r="C1193" s="17" t="s">
        <v>592</v>
      </c>
      <c r="D1193" s="17">
        <v>18968</v>
      </c>
      <c r="E1193" s="17">
        <v>11635</v>
      </c>
      <c r="F1193" s="3" t="s">
        <v>132</v>
      </c>
      <c r="G1193" s="3" t="s">
        <v>597</v>
      </c>
      <c r="I1193" s="3">
        <v>2726.77</v>
      </c>
      <c r="AU1193" s="22">
        <f t="shared" si="225"/>
        <v>2726.77</v>
      </c>
      <c r="AV1193" s="3">
        <v>1935.53</v>
      </c>
      <c r="AW1193" s="3">
        <v>256.10000000000002</v>
      </c>
      <c r="AX1193" s="3">
        <v>535.14</v>
      </c>
      <c r="CH1193" s="22">
        <f t="shared" si="226"/>
        <v>2726.77</v>
      </c>
      <c r="CI1193" s="3">
        <f t="shared" si="227"/>
        <v>0</v>
      </c>
      <c r="CJ1193" s="17">
        <f t="shared" si="228"/>
        <v>11635</v>
      </c>
      <c r="CK1193" s="3" t="str">
        <f t="shared" si="229"/>
        <v>صيدلة اكلينيكى</v>
      </c>
    </row>
    <row r="1194" spans="2:89" x14ac:dyDescent="0.25">
      <c r="C1194" s="17" t="s">
        <v>592</v>
      </c>
      <c r="D1194" s="17">
        <v>18969</v>
      </c>
      <c r="E1194" s="17">
        <v>11636</v>
      </c>
      <c r="F1194" s="3" t="s">
        <v>132</v>
      </c>
      <c r="G1194" s="3" t="s">
        <v>597</v>
      </c>
      <c r="I1194" s="3">
        <v>10717.43</v>
      </c>
      <c r="AU1194" s="22">
        <f t="shared" si="225"/>
        <v>10717.43</v>
      </c>
      <c r="AV1194" s="3">
        <v>8167.28</v>
      </c>
      <c r="AW1194" s="3">
        <v>1047.7</v>
      </c>
      <c r="AX1194" s="3">
        <v>1502.45</v>
      </c>
      <c r="CH1194" s="22">
        <f t="shared" si="226"/>
        <v>10717.43</v>
      </c>
      <c r="CI1194" s="3">
        <f t="shared" si="227"/>
        <v>0</v>
      </c>
      <c r="CJ1194" s="17">
        <f t="shared" si="228"/>
        <v>11636</v>
      </c>
      <c r="CK1194" s="3" t="str">
        <f t="shared" si="229"/>
        <v>صيدلة اكلينيكى</v>
      </c>
    </row>
    <row r="1195" spans="2:89" x14ac:dyDescent="0.25">
      <c r="C1195" s="17" t="s">
        <v>592</v>
      </c>
      <c r="D1195" s="17">
        <v>18970</v>
      </c>
      <c r="E1195" s="17">
        <v>11637</v>
      </c>
      <c r="F1195" s="3" t="s">
        <v>132</v>
      </c>
      <c r="G1195" s="3" t="s">
        <v>597</v>
      </c>
      <c r="I1195" s="3">
        <v>165805.6</v>
      </c>
      <c r="AU1195" s="22">
        <f t="shared" si="225"/>
        <v>165805.6</v>
      </c>
      <c r="AV1195" s="3">
        <v>135110.44</v>
      </c>
      <c r="AW1195" s="3">
        <v>16847.55</v>
      </c>
      <c r="AX1195" s="3">
        <v>13847.61</v>
      </c>
      <c r="CH1195" s="22">
        <f t="shared" si="226"/>
        <v>165805.59999999998</v>
      </c>
      <c r="CI1195" s="3">
        <f t="shared" si="227"/>
        <v>0</v>
      </c>
      <c r="CJ1195" s="17">
        <f t="shared" si="228"/>
        <v>11637</v>
      </c>
      <c r="CK1195" s="3" t="str">
        <f t="shared" si="229"/>
        <v>صيدلة اكلينيكى</v>
      </c>
    </row>
    <row r="1196" spans="2:89" x14ac:dyDescent="0.25">
      <c r="C1196" s="17" t="s">
        <v>592</v>
      </c>
      <c r="D1196" s="17">
        <v>18955</v>
      </c>
      <c r="E1196" s="17">
        <v>11638</v>
      </c>
      <c r="F1196" s="3" t="s">
        <v>132</v>
      </c>
      <c r="G1196" s="3" t="str">
        <f>+G1181</f>
        <v>ج سكرتاريه ومشتريات</v>
      </c>
      <c r="I1196" s="3">
        <v>293.12</v>
      </c>
      <c r="AU1196" s="22">
        <f t="shared" si="225"/>
        <v>293.12</v>
      </c>
      <c r="AV1196" s="3">
        <v>196.45</v>
      </c>
      <c r="AW1196" s="3">
        <v>26.05</v>
      </c>
      <c r="AX1196" s="3">
        <v>70.62</v>
      </c>
      <c r="CH1196" s="22">
        <f t="shared" si="226"/>
        <v>293.12</v>
      </c>
      <c r="CI1196" s="3">
        <f t="shared" si="227"/>
        <v>0</v>
      </c>
      <c r="CJ1196" s="17">
        <f t="shared" si="228"/>
        <v>11638</v>
      </c>
      <c r="CK1196" s="3" t="str">
        <f t="shared" si="229"/>
        <v>صيدلة اكلينيكى</v>
      </c>
    </row>
    <row r="1197" spans="2:89" x14ac:dyDescent="0.25">
      <c r="C1197" s="17" t="s">
        <v>592</v>
      </c>
      <c r="D1197" s="17">
        <v>18958</v>
      </c>
      <c r="E1197" s="17">
        <v>11639</v>
      </c>
      <c r="F1197" s="3" t="s">
        <v>132</v>
      </c>
      <c r="G1197" s="3" t="s">
        <v>598</v>
      </c>
      <c r="I1197" s="3">
        <v>293.13</v>
      </c>
      <c r="AU1197" s="22">
        <f t="shared" si="225"/>
        <v>293.13</v>
      </c>
      <c r="AV1197" s="3">
        <v>196.2</v>
      </c>
      <c r="AW1197" s="3">
        <f>1.3+25</f>
        <v>26.3</v>
      </c>
      <c r="AX1197" s="3">
        <v>70.63</v>
      </c>
      <c r="CH1197" s="22">
        <f t="shared" si="226"/>
        <v>293.13</v>
      </c>
      <c r="CI1197" s="3">
        <f t="shared" si="227"/>
        <v>0</v>
      </c>
      <c r="CJ1197" s="17">
        <f t="shared" si="228"/>
        <v>11639</v>
      </c>
      <c r="CK1197" s="3" t="str">
        <f t="shared" si="229"/>
        <v>صيدلة اكلينيكى</v>
      </c>
    </row>
    <row r="1198" spans="2:89" x14ac:dyDescent="0.25">
      <c r="B1198" s="17" t="s">
        <v>599</v>
      </c>
      <c r="C1198" s="17" t="s">
        <v>503</v>
      </c>
      <c r="D1198" s="17">
        <v>18985</v>
      </c>
      <c r="E1198" s="17">
        <v>11640</v>
      </c>
      <c r="F1198" s="3" t="s">
        <v>121</v>
      </c>
      <c r="G1198" s="3" t="s">
        <v>600</v>
      </c>
      <c r="I1198" s="3">
        <v>18239.490000000002</v>
      </c>
      <c r="AU1198" s="22">
        <f t="shared" si="225"/>
        <v>18239.490000000002</v>
      </c>
      <c r="AV1198" s="3">
        <v>13246.52</v>
      </c>
      <c r="AW1198" s="3">
        <v>1734.8</v>
      </c>
      <c r="AX1198" s="3">
        <v>3258.17</v>
      </c>
      <c r="CH1198" s="22">
        <f t="shared" si="226"/>
        <v>18239.489999999998</v>
      </c>
      <c r="CI1198" s="3">
        <f t="shared" si="227"/>
        <v>0</v>
      </c>
      <c r="CJ1198" s="17">
        <f t="shared" si="228"/>
        <v>11640</v>
      </c>
      <c r="CK1198" s="3" t="str">
        <f t="shared" si="229"/>
        <v>ماليزى اسنان</v>
      </c>
    </row>
    <row r="1199" spans="2:89" x14ac:dyDescent="0.25">
      <c r="B1199" s="17" t="s">
        <v>599</v>
      </c>
      <c r="C1199" s="17" t="s">
        <v>503</v>
      </c>
      <c r="D1199" s="17">
        <v>18984</v>
      </c>
      <c r="E1199" s="17">
        <v>11641</v>
      </c>
      <c r="F1199" s="3" t="s">
        <v>121</v>
      </c>
      <c r="G1199" s="3" t="s">
        <v>601</v>
      </c>
      <c r="I1199" s="3">
        <v>2403.62</v>
      </c>
      <c r="AU1199" s="22">
        <f t="shared" ref="AU1199:AU1262" si="230">SUM(I1199:AS1199)</f>
        <v>2403.62</v>
      </c>
      <c r="AV1199" s="3">
        <v>1606.9</v>
      </c>
      <c r="AW1199" s="3">
        <v>217.6</v>
      </c>
      <c r="AX1199" s="3">
        <v>579.12</v>
      </c>
      <c r="CH1199" s="22">
        <f t="shared" ref="CH1199:CH1262" si="231">SUM(AV1199:CG1199)</f>
        <v>2403.62</v>
      </c>
      <c r="CI1199" s="3">
        <f t="shared" ref="CI1199:CI1262" si="232">+CH1199-AU1199</f>
        <v>0</v>
      </c>
      <c r="CJ1199" s="17">
        <f t="shared" ref="CJ1199:CJ1262" si="233">+E1199</f>
        <v>11641</v>
      </c>
      <c r="CK1199" s="3" t="str">
        <f t="shared" ref="CK1199:CK1262" si="234">+F1199</f>
        <v>ماليزى اسنان</v>
      </c>
    </row>
    <row r="1200" spans="2:89" x14ac:dyDescent="0.25">
      <c r="C1200" s="17" t="s">
        <v>503</v>
      </c>
      <c r="D1200" s="17">
        <v>19144</v>
      </c>
      <c r="E1200" s="17">
        <v>11642</v>
      </c>
      <c r="F1200" s="3" t="s">
        <v>121</v>
      </c>
      <c r="G1200" s="3" t="s">
        <v>602</v>
      </c>
      <c r="I1200" s="3">
        <v>35939.269999999997</v>
      </c>
      <c r="AU1200" s="22">
        <f t="shared" si="230"/>
        <v>35939.269999999997</v>
      </c>
      <c r="AV1200" s="3">
        <v>30149.48</v>
      </c>
      <c r="AW1200" s="3">
        <v>3727.5</v>
      </c>
      <c r="AX1200" s="3">
        <v>2062.29</v>
      </c>
      <c r="CH1200" s="22">
        <f t="shared" si="231"/>
        <v>35939.269999999997</v>
      </c>
      <c r="CI1200" s="3">
        <f t="shared" si="232"/>
        <v>0</v>
      </c>
      <c r="CJ1200" s="17">
        <f t="shared" si="233"/>
        <v>11642</v>
      </c>
      <c r="CK1200" s="3" t="str">
        <f t="shared" si="234"/>
        <v>ماليزى اسنان</v>
      </c>
    </row>
    <row r="1201" spans="2:89" x14ac:dyDescent="0.25">
      <c r="C1201" s="17" t="s">
        <v>503</v>
      </c>
      <c r="D1201" s="17">
        <v>19131</v>
      </c>
      <c r="E1201" s="17">
        <v>11643</v>
      </c>
      <c r="F1201" s="3" t="s">
        <v>121</v>
      </c>
      <c r="G1201" s="3" t="s">
        <v>602</v>
      </c>
      <c r="I1201" s="3">
        <v>7200</v>
      </c>
      <c r="AU1201" s="22">
        <f t="shared" si="230"/>
        <v>7200</v>
      </c>
      <c r="AV1201" s="3">
        <v>6422.8</v>
      </c>
      <c r="AW1201" s="3">
        <v>777.2</v>
      </c>
      <c r="CH1201" s="22">
        <f t="shared" si="231"/>
        <v>7200</v>
      </c>
      <c r="CI1201" s="3">
        <f t="shared" si="232"/>
        <v>0</v>
      </c>
      <c r="CJ1201" s="17">
        <f t="shared" si="233"/>
        <v>11643</v>
      </c>
      <c r="CK1201" s="3" t="str">
        <f t="shared" si="234"/>
        <v>ماليزى اسنان</v>
      </c>
    </row>
    <row r="1202" spans="2:89" x14ac:dyDescent="0.25">
      <c r="C1202" s="17" t="s">
        <v>503</v>
      </c>
      <c r="D1202" s="17">
        <v>19129</v>
      </c>
      <c r="E1202" s="17">
        <v>11644</v>
      </c>
      <c r="F1202" s="3" t="s">
        <v>121</v>
      </c>
      <c r="G1202" s="3" t="s">
        <v>602</v>
      </c>
      <c r="I1202" s="3">
        <v>7800</v>
      </c>
      <c r="AU1202" s="22">
        <f t="shared" si="230"/>
        <v>7800</v>
      </c>
      <c r="AV1202" s="3">
        <v>6958</v>
      </c>
      <c r="AW1202" s="3">
        <v>842</v>
      </c>
      <c r="CH1202" s="22">
        <f t="shared" si="231"/>
        <v>7800</v>
      </c>
      <c r="CI1202" s="3">
        <f t="shared" si="232"/>
        <v>0</v>
      </c>
      <c r="CJ1202" s="17">
        <f t="shared" si="233"/>
        <v>11644</v>
      </c>
      <c r="CK1202" s="3" t="str">
        <f t="shared" si="234"/>
        <v>ماليزى اسنان</v>
      </c>
    </row>
    <row r="1203" spans="2:89" x14ac:dyDescent="0.25">
      <c r="B1203" s="3"/>
      <c r="C1203" s="17" t="s">
        <v>503</v>
      </c>
      <c r="D1203" s="17">
        <v>19128</v>
      </c>
      <c r="E1203" s="17">
        <v>11645</v>
      </c>
      <c r="F1203" s="3" t="s">
        <v>121</v>
      </c>
      <c r="G1203" s="3" t="s">
        <v>602</v>
      </c>
      <c r="I1203" s="3">
        <v>14040</v>
      </c>
      <c r="AU1203" s="22">
        <f t="shared" si="230"/>
        <v>14040</v>
      </c>
      <c r="AV1203" s="3">
        <v>11142.76</v>
      </c>
      <c r="AW1203" s="3">
        <v>2897.24</v>
      </c>
      <c r="CH1203" s="22">
        <f t="shared" si="231"/>
        <v>14040</v>
      </c>
      <c r="CI1203" s="3">
        <f t="shared" si="232"/>
        <v>0</v>
      </c>
      <c r="CJ1203" s="17">
        <f t="shared" si="233"/>
        <v>11645</v>
      </c>
      <c r="CK1203" s="3" t="str">
        <f t="shared" si="234"/>
        <v>ماليزى اسنان</v>
      </c>
    </row>
    <row r="1204" spans="2:89" x14ac:dyDescent="0.25">
      <c r="C1204" s="17" t="s">
        <v>503</v>
      </c>
      <c r="D1204" s="17">
        <v>19126</v>
      </c>
      <c r="E1204" s="17">
        <v>11646</v>
      </c>
      <c r="F1204" s="3" t="s">
        <v>121</v>
      </c>
      <c r="G1204" s="3" t="s">
        <v>602</v>
      </c>
      <c r="I1204" s="3">
        <v>7800</v>
      </c>
      <c r="AU1204" s="22">
        <f t="shared" si="230"/>
        <v>7800</v>
      </c>
      <c r="AV1204" s="3">
        <v>6958</v>
      </c>
      <c r="AW1204" s="3">
        <v>842</v>
      </c>
      <c r="CH1204" s="22">
        <f t="shared" si="231"/>
        <v>7800</v>
      </c>
      <c r="CI1204" s="3">
        <f t="shared" si="232"/>
        <v>0</v>
      </c>
      <c r="CJ1204" s="17">
        <f t="shared" si="233"/>
        <v>11646</v>
      </c>
      <c r="CK1204" s="3" t="str">
        <f t="shared" si="234"/>
        <v>ماليزى اسنان</v>
      </c>
    </row>
    <row r="1205" spans="2:89" x14ac:dyDescent="0.25">
      <c r="C1205" s="17" t="s">
        <v>503</v>
      </c>
      <c r="D1205" s="17">
        <v>19130</v>
      </c>
      <c r="E1205" s="17">
        <v>11647</v>
      </c>
      <c r="F1205" s="3" t="s">
        <v>121</v>
      </c>
      <c r="G1205" s="3" t="s">
        <v>602</v>
      </c>
      <c r="I1205" s="3">
        <v>12100.2</v>
      </c>
      <c r="AU1205" s="22">
        <f t="shared" si="230"/>
        <v>12100.2</v>
      </c>
      <c r="AV1205" s="3">
        <v>8080.1</v>
      </c>
      <c r="AW1205" s="3">
        <f>72.7+1032</f>
        <v>1104.7</v>
      </c>
      <c r="AX1205" s="3">
        <f>4020.1-AW1205</f>
        <v>2915.3999999999996</v>
      </c>
      <c r="CH1205" s="22">
        <f t="shared" si="231"/>
        <v>12100.2</v>
      </c>
      <c r="CI1205" s="3">
        <f t="shared" si="232"/>
        <v>0</v>
      </c>
      <c r="CJ1205" s="17">
        <f t="shared" si="233"/>
        <v>11647</v>
      </c>
      <c r="CK1205" s="3" t="str">
        <f t="shared" si="234"/>
        <v>ماليزى اسنان</v>
      </c>
    </row>
    <row r="1206" spans="2:89" x14ac:dyDescent="0.25">
      <c r="C1206" s="17" t="s">
        <v>503</v>
      </c>
      <c r="D1206" s="17">
        <v>19134</v>
      </c>
      <c r="E1206" s="17">
        <v>11648</v>
      </c>
      <c r="F1206" s="3" t="s">
        <v>121</v>
      </c>
      <c r="G1206" s="3" t="s">
        <v>602</v>
      </c>
      <c r="I1206" s="3">
        <v>3360</v>
      </c>
      <c r="AU1206" s="22">
        <f t="shared" si="230"/>
        <v>3360</v>
      </c>
      <c r="AV1206" s="3">
        <v>2999.5</v>
      </c>
      <c r="AW1206" s="3">
        <v>360.5</v>
      </c>
      <c r="CH1206" s="22">
        <f t="shared" si="231"/>
        <v>3360</v>
      </c>
      <c r="CI1206" s="3">
        <f t="shared" si="232"/>
        <v>0</v>
      </c>
      <c r="CJ1206" s="17">
        <f t="shared" si="233"/>
        <v>11648</v>
      </c>
      <c r="CK1206" s="3" t="str">
        <f t="shared" si="234"/>
        <v>ماليزى اسنان</v>
      </c>
    </row>
    <row r="1207" spans="2:89" x14ac:dyDescent="0.25">
      <c r="C1207" s="17" t="s">
        <v>503</v>
      </c>
      <c r="D1207" s="17">
        <v>19138</v>
      </c>
      <c r="E1207" s="17">
        <v>11649</v>
      </c>
      <c r="F1207" s="3" t="s">
        <v>121</v>
      </c>
      <c r="G1207" s="3" t="s">
        <v>602</v>
      </c>
      <c r="I1207" s="3">
        <v>10200</v>
      </c>
      <c r="AU1207" s="22">
        <f t="shared" si="230"/>
        <v>10200</v>
      </c>
      <c r="AV1207" s="3">
        <v>9099.7999999999993</v>
      </c>
      <c r="AW1207" s="3">
        <v>1100.2</v>
      </c>
      <c r="CH1207" s="22">
        <f t="shared" si="231"/>
        <v>10200</v>
      </c>
      <c r="CI1207" s="3">
        <f t="shared" si="232"/>
        <v>0</v>
      </c>
      <c r="CJ1207" s="17">
        <f t="shared" si="233"/>
        <v>11649</v>
      </c>
      <c r="CK1207" s="3" t="str">
        <f t="shared" si="234"/>
        <v>ماليزى اسنان</v>
      </c>
    </row>
    <row r="1208" spans="2:89" x14ac:dyDescent="0.25">
      <c r="C1208" s="17" t="s">
        <v>503</v>
      </c>
      <c r="D1208" s="17">
        <v>19133</v>
      </c>
      <c r="E1208" s="17">
        <v>11650</v>
      </c>
      <c r="F1208" s="3" t="s">
        <v>121</v>
      </c>
      <c r="G1208" s="3" t="s">
        <v>602</v>
      </c>
      <c r="I1208" s="3">
        <v>16080</v>
      </c>
      <c r="AU1208" s="22">
        <f t="shared" si="230"/>
        <v>16080</v>
      </c>
      <c r="AV1208" s="3">
        <v>14344.15</v>
      </c>
      <c r="AW1208" s="3">
        <v>1735.85</v>
      </c>
      <c r="CH1208" s="22">
        <f t="shared" si="231"/>
        <v>16080</v>
      </c>
      <c r="CI1208" s="3">
        <f t="shared" si="232"/>
        <v>0</v>
      </c>
      <c r="CJ1208" s="17">
        <f t="shared" si="233"/>
        <v>11650</v>
      </c>
      <c r="CK1208" s="3" t="str">
        <f t="shared" si="234"/>
        <v>ماليزى اسنان</v>
      </c>
    </row>
    <row r="1209" spans="2:89" x14ac:dyDescent="0.25">
      <c r="C1209" s="17" t="s">
        <v>503</v>
      </c>
      <c r="D1209" s="17">
        <v>19132</v>
      </c>
      <c r="E1209" s="17">
        <v>11651</v>
      </c>
      <c r="F1209" s="3" t="s">
        <v>121</v>
      </c>
      <c r="G1209" s="3" t="s">
        <v>602</v>
      </c>
      <c r="I1209" s="3">
        <v>16200</v>
      </c>
      <c r="AU1209" s="22">
        <f t="shared" si="230"/>
        <v>16200</v>
      </c>
      <c r="AV1209" s="3">
        <v>14459.9</v>
      </c>
      <c r="AW1209" s="3">
        <v>1740.1</v>
      </c>
      <c r="CH1209" s="22">
        <f t="shared" si="231"/>
        <v>16200</v>
      </c>
      <c r="CI1209" s="3">
        <f t="shared" si="232"/>
        <v>0</v>
      </c>
      <c r="CJ1209" s="17">
        <f t="shared" si="233"/>
        <v>11651</v>
      </c>
      <c r="CK1209" s="3" t="str">
        <f t="shared" si="234"/>
        <v>ماليزى اسنان</v>
      </c>
    </row>
    <row r="1210" spans="2:89" x14ac:dyDescent="0.25">
      <c r="C1210" s="17" t="s">
        <v>503</v>
      </c>
      <c r="D1210" s="17">
        <v>19146</v>
      </c>
      <c r="E1210" s="17">
        <v>11652</v>
      </c>
      <c r="F1210" s="3" t="s">
        <v>121</v>
      </c>
      <c r="G1210" s="3" t="s">
        <v>602</v>
      </c>
      <c r="I1210" s="3">
        <v>13920</v>
      </c>
      <c r="AU1210" s="22">
        <f t="shared" si="230"/>
        <v>13920</v>
      </c>
      <c r="AV1210" s="3">
        <v>12424.65</v>
      </c>
      <c r="AW1210" s="3">
        <v>1495.35</v>
      </c>
      <c r="CH1210" s="22">
        <f t="shared" si="231"/>
        <v>13920</v>
      </c>
      <c r="CI1210" s="3">
        <f t="shared" si="232"/>
        <v>0</v>
      </c>
      <c r="CJ1210" s="17">
        <f t="shared" si="233"/>
        <v>11652</v>
      </c>
      <c r="CK1210" s="3" t="str">
        <f t="shared" si="234"/>
        <v>ماليزى اسنان</v>
      </c>
    </row>
    <row r="1211" spans="2:89" x14ac:dyDescent="0.25">
      <c r="C1211" s="17" t="s">
        <v>503</v>
      </c>
      <c r="D1211" s="17">
        <v>19145</v>
      </c>
      <c r="E1211" s="17">
        <v>11653</v>
      </c>
      <c r="F1211" s="3" t="s">
        <v>121</v>
      </c>
      <c r="G1211" s="3" t="s">
        <v>602</v>
      </c>
      <c r="I1211" s="3">
        <v>13920</v>
      </c>
      <c r="AU1211" s="22">
        <f t="shared" si="230"/>
        <v>13920</v>
      </c>
      <c r="AV1211" s="3">
        <v>12425.35</v>
      </c>
      <c r="AW1211" s="3">
        <v>1494.65</v>
      </c>
      <c r="CH1211" s="22">
        <f t="shared" si="231"/>
        <v>13920</v>
      </c>
      <c r="CI1211" s="3">
        <f t="shared" si="232"/>
        <v>0</v>
      </c>
      <c r="CJ1211" s="17">
        <f t="shared" si="233"/>
        <v>11653</v>
      </c>
      <c r="CK1211" s="3" t="str">
        <f t="shared" si="234"/>
        <v>ماليزى اسنان</v>
      </c>
    </row>
    <row r="1212" spans="2:89" x14ac:dyDescent="0.25">
      <c r="C1212" s="17" t="s">
        <v>503</v>
      </c>
      <c r="D1212" s="17">
        <v>19143</v>
      </c>
      <c r="E1212" s="17">
        <v>11654</v>
      </c>
      <c r="F1212" s="3" t="s">
        <v>121</v>
      </c>
      <c r="G1212" s="3" t="s">
        <v>602</v>
      </c>
      <c r="I1212" s="3">
        <v>6120</v>
      </c>
      <c r="AU1212" s="22">
        <f t="shared" si="230"/>
        <v>6120</v>
      </c>
      <c r="AV1212" s="3">
        <v>5462.8</v>
      </c>
      <c r="AW1212" s="3">
        <v>657.2</v>
      </c>
      <c r="CH1212" s="22">
        <f t="shared" si="231"/>
        <v>6120</v>
      </c>
      <c r="CI1212" s="3">
        <f t="shared" si="232"/>
        <v>0</v>
      </c>
      <c r="CJ1212" s="17">
        <f t="shared" si="233"/>
        <v>11654</v>
      </c>
      <c r="CK1212" s="3" t="str">
        <f t="shared" si="234"/>
        <v>ماليزى اسنان</v>
      </c>
    </row>
    <row r="1213" spans="2:89" x14ac:dyDescent="0.25">
      <c r="C1213" s="17" t="s">
        <v>503</v>
      </c>
      <c r="D1213" s="17">
        <v>19142</v>
      </c>
      <c r="E1213" s="17">
        <v>11655</v>
      </c>
      <c r="F1213" s="3" t="s">
        <v>121</v>
      </c>
      <c r="G1213" s="3" t="s">
        <v>602</v>
      </c>
      <c r="I1213" s="3">
        <v>16851.05</v>
      </c>
      <c r="AU1213" s="22">
        <f t="shared" si="230"/>
        <v>16851.05</v>
      </c>
      <c r="AV1213" s="3">
        <v>14316.06</v>
      </c>
      <c r="AW1213" s="3">
        <v>1763.55</v>
      </c>
      <c r="AX1213" s="3">
        <v>771.44</v>
      </c>
      <c r="CH1213" s="22">
        <f t="shared" si="231"/>
        <v>16851.05</v>
      </c>
      <c r="CI1213" s="3">
        <f t="shared" si="232"/>
        <v>0</v>
      </c>
      <c r="CJ1213" s="17">
        <f t="shared" si="233"/>
        <v>11655</v>
      </c>
      <c r="CK1213" s="3" t="str">
        <f t="shared" si="234"/>
        <v>ماليزى اسنان</v>
      </c>
    </row>
    <row r="1214" spans="2:89" x14ac:dyDescent="0.25">
      <c r="C1214" s="17" t="s">
        <v>503</v>
      </c>
      <c r="D1214" s="17">
        <v>19141</v>
      </c>
      <c r="E1214" s="17">
        <v>11656</v>
      </c>
      <c r="F1214" s="3" t="s">
        <v>121</v>
      </c>
      <c r="G1214" s="3" t="s">
        <v>602</v>
      </c>
      <c r="I1214" s="3">
        <v>8400</v>
      </c>
      <c r="AU1214" s="22">
        <f t="shared" si="230"/>
        <v>8400</v>
      </c>
      <c r="AV1214" s="3">
        <v>7497.7</v>
      </c>
      <c r="AW1214" s="3">
        <v>902.3</v>
      </c>
      <c r="CH1214" s="22">
        <f t="shared" si="231"/>
        <v>8400</v>
      </c>
      <c r="CI1214" s="3">
        <f t="shared" si="232"/>
        <v>0</v>
      </c>
      <c r="CJ1214" s="17">
        <f t="shared" si="233"/>
        <v>11656</v>
      </c>
      <c r="CK1214" s="3" t="str">
        <f t="shared" si="234"/>
        <v>ماليزى اسنان</v>
      </c>
    </row>
    <row r="1215" spans="2:89" x14ac:dyDescent="0.25">
      <c r="C1215" s="17" t="s">
        <v>503</v>
      </c>
      <c r="D1215" s="17">
        <v>19140</v>
      </c>
      <c r="E1215" s="17">
        <v>11657</v>
      </c>
      <c r="F1215" s="3" t="s">
        <v>121</v>
      </c>
      <c r="G1215" s="3" t="s">
        <v>602</v>
      </c>
      <c r="I1215" s="3">
        <v>26811.05</v>
      </c>
      <c r="AU1215" s="22">
        <f t="shared" si="230"/>
        <v>26811.05</v>
      </c>
      <c r="AV1215" s="3">
        <v>23203.31</v>
      </c>
      <c r="AW1215" s="3">
        <v>2836.3</v>
      </c>
      <c r="AX1215" s="3">
        <v>771.44</v>
      </c>
      <c r="CH1215" s="22">
        <f t="shared" si="231"/>
        <v>26811.05</v>
      </c>
      <c r="CI1215" s="3">
        <f t="shared" si="232"/>
        <v>0</v>
      </c>
      <c r="CJ1215" s="17">
        <f t="shared" si="233"/>
        <v>11657</v>
      </c>
      <c r="CK1215" s="3" t="str">
        <f t="shared" si="234"/>
        <v>ماليزى اسنان</v>
      </c>
    </row>
    <row r="1216" spans="2:89" x14ac:dyDescent="0.25">
      <c r="C1216" s="17" t="s">
        <v>503</v>
      </c>
      <c r="D1216" s="17">
        <v>19137</v>
      </c>
      <c r="E1216" s="17">
        <v>11658</v>
      </c>
      <c r="F1216" s="3" t="s">
        <v>121</v>
      </c>
      <c r="G1216" s="3" t="s">
        <v>602</v>
      </c>
      <c r="I1216" s="3">
        <v>21450</v>
      </c>
      <c r="AU1216" s="22">
        <f t="shared" si="230"/>
        <v>21450</v>
      </c>
      <c r="AV1216" s="3">
        <v>19147.3</v>
      </c>
      <c r="AW1216" s="3">
        <v>2302.6999999999998</v>
      </c>
      <c r="CH1216" s="22">
        <f t="shared" si="231"/>
        <v>21450</v>
      </c>
      <c r="CI1216" s="3">
        <f t="shared" si="232"/>
        <v>0</v>
      </c>
      <c r="CJ1216" s="17">
        <f t="shared" si="233"/>
        <v>11658</v>
      </c>
      <c r="CK1216" s="3" t="str">
        <f t="shared" si="234"/>
        <v>ماليزى اسنان</v>
      </c>
    </row>
    <row r="1217" spans="3:89" x14ac:dyDescent="0.25">
      <c r="C1217" s="17" t="s">
        <v>503</v>
      </c>
      <c r="D1217" s="17">
        <v>19136</v>
      </c>
      <c r="E1217" s="17">
        <v>11659</v>
      </c>
      <c r="F1217" s="3" t="s">
        <v>121</v>
      </c>
      <c r="G1217" s="3" t="s">
        <v>602</v>
      </c>
      <c r="I1217" s="3">
        <v>5460</v>
      </c>
      <c r="AU1217" s="22">
        <f t="shared" si="230"/>
        <v>5460</v>
      </c>
      <c r="AV1217" s="3">
        <v>4873.75</v>
      </c>
      <c r="AW1217" s="3">
        <v>586.25</v>
      </c>
      <c r="CH1217" s="22">
        <f t="shared" si="231"/>
        <v>5460</v>
      </c>
      <c r="CI1217" s="3">
        <f t="shared" si="232"/>
        <v>0</v>
      </c>
      <c r="CJ1217" s="17">
        <f t="shared" si="233"/>
        <v>11659</v>
      </c>
      <c r="CK1217" s="3" t="str">
        <f t="shared" si="234"/>
        <v>ماليزى اسنان</v>
      </c>
    </row>
    <row r="1218" spans="3:89" x14ac:dyDescent="0.25">
      <c r="C1218" s="17" t="s">
        <v>503</v>
      </c>
      <c r="D1218" s="17">
        <v>19139</v>
      </c>
      <c r="E1218" s="17">
        <v>11660</v>
      </c>
      <c r="F1218" s="3" t="s">
        <v>121</v>
      </c>
      <c r="G1218" s="3" t="s">
        <v>602</v>
      </c>
      <c r="I1218" s="3">
        <v>7800</v>
      </c>
      <c r="AU1218" s="22">
        <f t="shared" si="230"/>
        <v>7800</v>
      </c>
      <c r="AV1218" s="3">
        <v>6962.9</v>
      </c>
      <c r="AW1218" s="3">
        <v>837.1</v>
      </c>
      <c r="CH1218" s="22">
        <f t="shared" si="231"/>
        <v>7800</v>
      </c>
      <c r="CI1218" s="3">
        <f t="shared" si="232"/>
        <v>0</v>
      </c>
      <c r="CJ1218" s="17">
        <f t="shared" si="233"/>
        <v>11660</v>
      </c>
      <c r="CK1218" s="3" t="str">
        <f t="shared" si="234"/>
        <v>ماليزى اسنان</v>
      </c>
    </row>
    <row r="1219" spans="3:89" x14ac:dyDescent="0.25">
      <c r="C1219" s="17" t="s">
        <v>503</v>
      </c>
      <c r="D1219" s="17">
        <v>19135</v>
      </c>
      <c r="E1219" s="17">
        <v>11661</v>
      </c>
      <c r="F1219" s="3" t="s">
        <v>121</v>
      </c>
      <c r="G1219" s="3" t="s">
        <v>602</v>
      </c>
      <c r="I1219" s="3">
        <v>8640</v>
      </c>
      <c r="AU1219" s="22">
        <f t="shared" si="230"/>
        <v>8640</v>
      </c>
      <c r="AV1219" s="3">
        <v>7712.25</v>
      </c>
      <c r="AW1219" s="3">
        <v>927.75</v>
      </c>
      <c r="CH1219" s="22">
        <f t="shared" si="231"/>
        <v>8640</v>
      </c>
      <c r="CI1219" s="3">
        <f t="shared" si="232"/>
        <v>0</v>
      </c>
      <c r="CJ1219" s="17">
        <f t="shared" si="233"/>
        <v>11661</v>
      </c>
      <c r="CK1219" s="3" t="str">
        <f t="shared" si="234"/>
        <v>ماليزى اسنان</v>
      </c>
    </row>
    <row r="1220" spans="3:89" x14ac:dyDescent="0.25">
      <c r="C1220" s="17" t="s">
        <v>503</v>
      </c>
      <c r="D1220" s="17">
        <v>19114</v>
      </c>
      <c r="E1220" s="17">
        <v>11662</v>
      </c>
      <c r="F1220" s="3" t="s">
        <v>121</v>
      </c>
      <c r="G1220" s="3" t="s">
        <v>603</v>
      </c>
      <c r="I1220" s="3">
        <v>17971.900000000001</v>
      </c>
      <c r="AU1220" s="22">
        <f t="shared" si="230"/>
        <v>17971.900000000001</v>
      </c>
      <c r="AV1220" s="3">
        <v>14981.53</v>
      </c>
      <c r="AW1220" s="3">
        <v>1857.25</v>
      </c>
      <c r="AX1220" s="3">
        <v>1133.1199999999999</v>
      </c>
      <c r="CH1220" s="22">
        <f t="shared" si="231"/>
        <v>17971.899999999998</v>
      </c>
      <c r="CI1220" s="3">
        <f t="shared" si="232"/>
        <v>0</v>
      </c>
      <c r="CJ1220" s="17">
        <f t="shared" si="233"/>
        <v>11662</v>
      </c>
      <c r="CK1220" s="3" t="str">
        <f t="shared" si="234"/>
        <v>ماليزى اسنان</v>
      </c>
    </row>
    <row r="1221" spans="3:89" x14ac:dyDescent="0.25">
      <c r="C1221" s="17" t="s">
        <v>503</v>
      </c>
      <c r="D1221" s="17">
        <v>19127</v>
      </c>
      <c r="E1221" s="17">
        <v>11663</v>
      </c>
      <c r="F1221" s="3" t="s">
        <v>121</v>
      </c>
      <c r="G1221" s="3" t="str">
        <f>+G1219</f>
        <v>مكافاه تدريس فرقه اولى</v>
      </c>
      <c r="I1221" s="3">
        <v>5628</v>
      </c>
      <c r="AU1221" s="22">
        <f t="shared" si="230"/>
        <v>5628</v>
      </c>
      <c r="AV1221" s="3">
        <v>3760.3</v>
      </c>
      <c r="AW1221" s="3">
        <f>31.7+480</f>
        <v>511.7</v>
      </c>
      <c r="AX1221" s="3">
        <f>1867.7-AW1221</f>
        <v>1356</v>
      </c>
      <c r="CH1221" s="22">
        <f t="shared" si="231"/>
        <v>5628</v>
      </c>
      <c r="CI1221" s="3">
        <f t="shared" si="232"/>
        <v>0</v>
      </c>
      <c r="CJ1221" s="17">
        <f t="shared" si="233"/>
        <v>11663</v>
      </c>
      <c r="CK1221" s="3" t="str">
        <f t="shared" si="234"/>
        <v>ماليزى اسنان</v>
      </c>
    </row>
    <row r="1222" spans="3:89" x14ac:dyDescent="0.25">
      <c r="C1222" s="17" t="s">
        <v>503</v>
      </c>
      <c r="D1222" s="17">
        <v>19125</v>
      </c>
      <c r="E1222" s="17">
        <v>11664</v>
      </c>
      <c r="F1222" s="3" t="s">
        <v>121</v>
      </c>
      <c r="G1222" s="3" t="str">
        <f>+G1221</f>
        <v>مكافاه تدريس فرقه اولى</v>
      </c>
      <c r="I1222" s="3">
        <v>14040</v>
      </c>
      <c r="AU1222" s="22">
        <f t="shared" si="230"/>
        <v>14040</v>
      </c>
      <c r="AV1222" s="3">
        <v>12544.25</v>
      </c>
      <c r="AW1222" s="3">
        <v>1495.75</v>
      </c>
      <c r="CH1222" s="22">
        <f t="shared" si="231"/>
        <v>14040</v>
      </c>
      <c r="CI1222" s="3">
        <f t="shared" si="232"/>
        <v>0</v>
      </c>
      <c r="CJ1222" s="17">
        <f t="shared" si="233"/>
        <v>11664</v>
      </c>
      <c r="CK1222" s="3" t="str">
        <f t="shared" si="234"/>
        <v>ماليزى اسنان</v>
      </c>
    </row>
    <row r="1223" spans="3:89" x14ac:dyDescent="0.25">
      <c r="C1223" s="17" t="s">
        <v>503</v>
      </c>
      <c r="D1223" s="17">
        <v>19122</v>
      </c>
      <c r="E1223" s="17">
        <v>11665</v>
      </c>
      <c r="F1223" s="3" t="s">
        <v>121</v>
      </c>
      <c r="G1223" s="3" t="str">
        <f>+G1220</f>
        <v xml:space="preserve">مكافاه تدريس فرقه رابعه </v>
      </c>
      <c r="I1223" s="3">
        <v>5854.72</v>
      </c>
      <c r="AU1223" s="22">
        <f t="shared" si="230"/>
        <v>5854.72</v>
      </c>
      <c r="AV1223" s="3">
        <v>5014.3999999999996</v>
      </c>
      <c r="AW1223" s="3">
        <v>611.5</v>
      </c>
      <c r="AX1223" s="3">
        <v>228.82</v>
      </c>
      <c r="CH1223" s="22">
        <f t="shared" si="231"/>
        <v>5854.7199999999993</v>
      </c>
      <c r="CI1223" s="3">
        <f t="shared" si="232"/>
        <v>0</v>
      </c>
      <c r="CJ1223" s="17">
        <f t="shared" si="233"/>
        <v>11665</v>
      </c>
      <c r="CK1223" s="3" t="str">
        <f t="shared" si="234"/>
        <v>ماليزى اسنان</v>
      </c>
    </row>
    <row r="1224" spans="3:89" x14ac:dyDescent="0.25">
      <c r="C1224" s="17" t="s">
        <v>503</v>
      </c>
      <c r="D1224" s="17">
        <v>19099</v>
      </c>
      <c r="E1224" s="17">
        <v>11666</v>
      </c>
      <c r="F1224" s="3" t="s">
        <v>121</v>
      </c>
      <c r="G1224" s="3" t="str">
        <f t="shared" ref="G1224:G1256" si="235">+G1223</f>
        <v xml:space="preserve">مكافاه تدريس فرقه رابعه </v>
      </c>
      <c r="I1224" s="3">
        <v>32940</v>
      </c>
      <c r="AU1224" s="22">
        <f t="shared" si="230"/>
        <v>32940</v>
      </c>
      <c r="AV1224" s="3">
        <v>29414.25</v>
      </c>
      <c r="AW1224" s="3">
        <v>3525.75</v>
      </c>
      <c r="CH1224" s="22">
        <f t="shared" si="231"/>
        <v>32940</v>
      </c>
      <c r="CI1224" s="3">
        <f t="shared" si="232"/>
        <v>0</v>
      </c>
      <c r="CJ1224" s="17">
        <f t="shared" si="233"/>
        <v>11666</v>
      </c>
      <c r="CK1224" s="3" t="str">
        <f t="shared" si="234"/>
        <v>ماليزى اسنان</v>
      </c>
    </row>
    <row r="1225" spans="3:89" x14ac:dyDescent="0.25">
      <c r="C1225" s="17" t="s">
        <v>503</v>
      </c>
      <c r="D1225" s="17">
        <v>19100</v>
      </c>
      <c r="E1225" s="17">
        <v>11667</v>
      </c>
      <c r="F1225" s="3" t="s">
        <v>121</v>
      </c>
      <c r="G1225" s="3" t="str">
        <f t="shared" si="235"/>
        <v xml:space="preserve">مكافاه تدريس فرقه رابعه </v>
      </c>
      <c r="I1225" s="3">
        <v>6239.27</v>
      </c>
      <c r="AU1225" s="22">
        <f t="shared" si="230"/>
        <v>6239.27</v>
      </c>
      <c r="AV1225" s="3">
        <v>5565.31</v>
      </c>
      <c r="AW1225" s="3">
        <v>665.6</v>
      </c>
      <c r="AX1225" s="3">
        <v>8.36</v>
      </c>
      <c r="CH1225" s="22">
        <f t="shared" si="231"/>
        <v>6239.27</v>
      </c>
      <c r="CI1225" s="3">
        <f t="shared" si="232"/>
        <v>0</v>
      </c>
      <c r="CJ1225" s="17">
        <f t="shared" si="233"/>
        <v>11667</v>
      </c>
      <c r="CK1225" s="3" t="str">
        <f t="shared" si="234"/>
        <v>ماليزى اسنان</v>
      </c>
    </row>
    <row r="1226" spans="3:89" x14ac:dyDescent="0.25">
      <c r="C1226" s="17" t="s">
        <v>503</v>
      </c>
      <c r="D1226" s="17">
        <v>19155</v>
      </c>
      <c r="E1226" s="17">
        <v>11668</v>
      </c>
      <c r="F1226" s="3" t="s">
        <v>121</v>
      </c>
      <c r="G1226" s="3" t="str">
        <f t="shared" si="235"/>
        <v xml:space="preserve">مكافاه تدريس فرقه رابعه </v>
      </c>
      <c r="I1226" s="3">
        <v>4050</v>
      </c>
      <c r="AU1226" s="22">
        <f t="shared" si="230"/>
        <v>4050</v>
      </c>
      <c r="AV1226" s="3">
        <v>3615.75</v>
      </c>
      <c r="AW1226" s="3">
        <v>434.25</v>
      </c>
      <c r="CH1226" s="22">
        <f t="shared" si="231"/>
        <v>4050</v>
      </c>
      <c r="CI1226" s="3">
        <f t="shared" si="232"/>
        <v>0</v>
      </c>
      <c r="CJ1226" s="17">
        <f t="shared" si="233"/>
        <v>11668</v>
      </c>
      <c r="CK1226" s="3" t="str">
        <f t="shared" si="234"/>
        <v>ماليزى اسنان</v>
      </c>
    </row>
    <row r="1227" spans="3:89" x14ac:dyDescent="0.25">
      <c r="C1227" s="17" t="s">
        <v>503</v>
      </c>
      <c r="D1227" s="17">
        <v>19098</v>
      </c>
      <c r="E1227" s="17">
        <v>11669</v>
      </c>
      <c r="F1227" s="3" t="s">
        <v>121</v>
      </c>
      <c r="G1227" s="3" t="str">
        <f t="shared" si="235"/>
        <v xml:space="preserve">مكافاه تدريس فرقه رابعه </v>
      </c>
      <c r="I1227" s="3">
        <v>2855.25</v>
      </c>
      <c r="AU1227" s="22">
        <f t="shared" si="230"/>
        <v>2855.25</v>
      </c>
      <c r="AV1227" s="3">
        <v>2313.35</v>
      </c>
      <c r="AW1227" s="3">
        <v>287.64999999999998</v>
      </c>
      <c r="AX1227" s="3">
        <v>254.25</v>
      </c>
      <c r="CH1227" s="22">
        <f t="shared" si="231"/>
        <v>2855.25</v>
      </c>
      <c r="CI1227" s="3">
        <f t="shared" si="232"/>
        <v>0</v>
      </c>
      <c r="CJ1227" s="17">
        <f t="shared" si="233"/>
        <v>11669</v>
      </c>
      <c r="CK1227" s="3" t="str">
        <f t="shared" si="234"/>
        <v>ماليزى اسنان</v>
      </c>
    </row>
    <row r="1228" spans="3:89" x14ac:dyDescent="0.25">
      <c r="C1228" s="17" t="s">
        <v>503</v>
      </c>
      <c r="D1228" s="17">
        <v>19154</v>
      </c>
      <c r="E1228" s="17">
        <v>11670</v>
      </c>
      <c r="F1228" s="3" t="s">
        <v>121</v>
      </c>
      <c r="G1228" s="3" t="str">
        <f t="shared" si="235"/>
        <v xml:space="preserve">مكافاه تدريس فرقه رابعه </v>
      </c>
      <c r="I1228" s="3">
        <v>10030.1</v>
      </c>
      <c r="AU1228" s="22">
        <f t="shared" si="230"/>
        <v>10030.1</v>
      </c>
      <c r="AV1228" s="3">
        <v>8660.18</v>
      </c>
      <c r="AW1228" s="3">
        <v>1058.5999999999999</v>
      </c>
      <c r="AX1228" s="3">
        <v>311.32</v>
      </c>
      <c r="CH1228" s="22">
        <f t="shared" si="231"/>
        <v>10030.1</v>
      </c>
      <c r="CI1228" s="3">
        <f t="shared" si="232"/>
        <v>0</v>
      </c>
      <c r="CJ1228" s="17">
        <f t="shared" si="233"/>
        <v>11670</v>
      </c>
      <c r="CK1228" s="3" t="str">
        <f t="shared" si="234"/>
        <v>ماليزى اسنان</v>
      </c>
    </row>
    <row r="1229" spans="3:89" x14ac:dyDescent="0.25">
      <c r="C1229" s="17" t="s">
        <v>503</v>
      </c>
      <c r="D1229" s="17">
        <v>19124</v>
      </c>
      <c r="E1229" s="17">
        <v>11671</v>
      </c>
      <c r="F1229" s="3" t="s">
        <v>121</v>
      </c>
      <c r="G1229" s="3" t="str">
        <f t="shared" si="235"/>
        <v xml:space="preserve">مكافاه تدريس فرقه رابعه </v>
      </c>
      <c r="I1229" s="3">
        <v>7800</v>
      </c>
      <c r="AU1229" s="22">
        <f t="shared" si="230"/>
        <v>7800</v>
      </c>
      <c r="AV1229" s="3">
        <v>6958.95</v>
      </c>
      <c r="AW1229" s="3">
        <v>841.05</v>
      </c>
      <c r="CH1229" s="22">
        <f t="shared" si="231"/>
        <v>7800</v>
      </c>
      <c r="CI1229" s="3">
        <f t="shared" si="232"/>
        <v>0</v>
      </c>
      <c r="CJ1229" s="17">
        <f t="shared" si="233"/>
        <v>11671</v>
      </c>
      <c r="CK1229" s="3" t="str">
        <f t="shared" si="234"/>
        <v>ماليزى اسنان</v>
      </c>
    </row>
    <row r="1230" spans="3:89" x14ac:dyDescent="0.25">
      <c r="C1230" s="17" t="s">
        <v>503</v>
      </c>
      <c r="D1230" s="17">
        <v>19123</v>
      </c>
      <c r="E1230" s="17">
        <v>11672</v>
      </c>
      <c r="F1230" s="3" t="s">
        <v>121</v>
      </c>
      <c r="G1230" s="3" t="str">
        <f t="shared" si="235"/>
        <v xml:space="preserve">مكافاه تدريس فرقه رابعه </v>
      </c>
      <c r="I1230" s="3">
        <v>11259.61</v>
      </c>
      <c r="AU1230" s="22">
        <f t="shared" si="230"/>
        <v>11259.61</v>
      </c>
      <c r="AV1230" s="3">
        <v>9527.6299999999992</v>
      </c>
      <c r="AW1230" s="3">
        <v>1175.8</v>
      </c>
      <c r="AX1230" s="3">
        <v>556.17999999999995</v>
      </c>
      <c r="CH1230" s="22">
        <f t="shared" si="231"/>
        <v>11259.609999999999</v>
      </c>
      <c r="CI1230" s="3">
        <f t="shared" si="232"/>
        <v>0</v>
      </c>
      <c r="CJ1230" s="17">
        <f t="shared" si="233"/>
        <v>11672</v>
      </c>
      <c r="CK1230" s="3" t="str">
        <f t="shared" si="234"/>
        <v>ماليزى اسنان</v>
      </c>
    </row>
    <row r="1231" spans="3:89" x14ac:dyDescent="0.25">
      <c r="C1231" s="17" t="s">
        <v>503</v>
      </c>
      <c r="D1231" s="17">
        <v>19107</v>
      </c>
      <c r="E1231" s="17">
        <v>11673</v>
      </c>
      <c r="F1231" s="3" t="s">
        <v>121</v>
      </c>
      <c r="G1231" s="3" t="str">
        <f t="shared" si="235"/>
        <v xml:space="preserve">مكافاه تدريس فرقه رابعه </v>
      </c>
      <c r="I1231" s="3">
        <v>2700</v>
      </c>
      <c r="AU1231" s="22">
        <f t="shared" si="230"/>
        <v>2700</v>
      </c>
      <c r="AV1231" s="3">
        <v>2410.5</v>
      </c>
      <c r="AW1231" s="3">
        <v>289.5</v>
      </c>
      <c r="CH1231" s="22">
        <f t="shared" si="231"/>
        <v>2700</v>
      </c>
      <c r="CI1231" s="3">
        <f t="shared" si="232"/>
        <v>0</v>
      </c>
      <c r="CJ1231" s="17">
        <f t="shared" si="233"/>
        <v>11673</v>
      </c>
      <c r="CK1231" s="3" t="str">
        <f t="shared" si="234"/>
        <v>ماليزى اسنان</v>
      </c>
    </row>
    <row r="1232" spans="3:89" x14ac:dyDescent="0.25">
      <c r="C1232" s="17" t="s">
        <v>503</v>
      </c>
      <c r="D1232" s="17">
        <v>19108</v>
      </c>
      <c r="E1232" s="17">
        <v>11674</v>
      </c>
      <c r="F1232" s="3" t="s">
        <v>121</v>
      </c>
      <c r="G1232" s="3" t="str">
        <f t="shared" si="235"/>
        <v xml:space="preserve">مكافاه تدريس فرقه رابعه </v>
      </c>
      <c r="I1232" s="3">
        <v>3105</v>
      </c>
      <c r="AU1232" s="22">
        <f t="shared" si="230"/>
        <v>3105</v>
      </c>
      <c r="AV1232" s="3">
        <v>2773.9</v>
      </c>
      <c r="AW1232" s="3">
        <v>331.1</v>
      </c>
      <c r="CH1232" s="22">
        <f t="shared" si="231"/>
        <v>3105</v>
      </c>
      <c r="CI1232" s="3">
        <f t="shared" si="232"/>
        <v>0</v>
      </c>
      <c r="CJ1232" s="17">
        <f t="shared" si="233"/>
        <v>11674</v>
      </c>
      <c r="CK1232" s="3" t="str">
        <f t="shared" si="234"/>
        <v>ماليزى اسنان</v>
      </c>
    </row>
    <row r="1233" spans="3:89" x14ac:dyDescent="0.25">
      <c r="C1233" s="17" t="s">
        <v>503</v>
      </c>
      <c r="D1233" s="17">
        <v>19126</v>
      </c>
      <c r="E1233" s="17">
        <v>11675</v>
      </c>
      <c r="F1233" s="3" t="s">
        <v>121</v>
      </c>
      <c r="G1233" s="3" t="str">
        <f t="shared" si="235"/>
        <v xml:space="preserve">مكافاه تدريس فرقه رابعه </v>
      </c>
      <c r="I1233" s="3">
        <v>8100</v>
      </c>
      <c r="AU1233" s="22">
        <f t="shared" si="230"/>
        <v>8100</v>
      </c>
      <c r="AV1233" s="3">
        <v>7225.6</v>
      </c>
      <c r="AW1233" s="3">
        <v>874.4</v>
      </c>
      <c r="CH1233" s="22">
        <f t="shared" si="231"/>
        <v>8100</v>
      </c>
      <c r="CI1233" s="3">
        <f t="shared" si="232"/>
        <v>0</v>
      </c>
      <c r="CJ1233" s="17">
        <f t="shared" si="233"/>
        <v>11675</v>
      </c>
      <c r="CK1233" s="3" t="str">
        <f t="shared" si="234"/>
        <v>ماليزى اسنان</v>
      </c>
    </row>
    <row r="1234" spans="3:89" x14ac:dyDescent="0.25">
      <c r="C1234" s="17" t="s">
        <v>503</v>
      </c>
      <c r="D1234" s="17">
        <v>19120</v>
      </c>
      <c r="E1234" s="17">
        <v>11676</v>
      </c>
      <c r="F1234" s="3" t="s">
        <v>121</v>
      </c>
      <c r="G1234" s="3" t="str">
        <f t="shared" si="235"/>
        <v xml:space="preserve">مكافاه تدريس فرقه رابعه </v>
      </c>
      <c r="I1234" s="3">
        <v>2700</v>
      </c>
      <c r="AU1234" s="22">
        <f t="shared" si="230"/>
        <v>2700</v>
      </c>
      <c r="AV1234" s="3">
        <v>2410.1</v>
      </c>
      <c r="AW1234" s="3">
        <v>289.89999999999998</v>
      </c>
      <c r="CH1234" s="22">
        <f t="shared" si="231"/>
        <v>2700</v>
      </c>
      <c r="CI1234" s="3">
        <f t="shared" si="232"/>
        <v>0</v>
      </c>
      <c r="CJ1234" s="17">
        <f t="shared" si="233"/>
        <v>11676</v>
      </c>
      <c r="CK1234" s="3" t="str">
        <f t="shared" si="234"/>
        <v>ماليزى اسنان</v>
      </c>
    </row>
    <row r="1235" spans="3:89" x14ac:dyDescent="0.25">
      <c r="C1235" s="17" t="s">
        <v>503</v>
      </c>
      <c r="D1235" s="17">
        <v>19119</v>
      </c>
      <c r="E1235" s="17">
        <v>11677</v>
      </c>
      <c r="F1235" s="3" t="s">
        <v>121</v>
      </c>
      <c r="G1235" s="3" t="str">
        <f t="shared" si="235"/>
        <v xml:space="preserve">مكافاه تدريس فرقه رابعه </v>
      </c>
      <c r="I1235" s="3">
        <v>1800</v>
      </c>
      <c r="AU1235" s="22">
        <f t="shared" si="230"/>
        <v>1800</v>
      </c>
      <c r="AV1235" s="3">
        <v>1606.85</v>
      </c>
      <c r="AW1235" s="3">
        <v>193.15</v>
      </c>
      <c r="CH1235" s="22">
        <f t="shared" si="231"/>
        <v>1800</v>
      </c>
      <c r="CI1235" s="3">
        <f t="shared" si="232"/>
        <v>0</v>
      </c>
      <c r="CJ1235" s="17">
        <f t="shared" si="233"/>
        <v>11677</v>
      </c>
      <c r="CK1235" s="3" t="str">
        <f t="shared" si="234"/>
        <v>ماليزى اسنان</v>
      </c>
    </row>
    <row r="1236" spans="3:89" x14ac:dyDescent="0.25">
      <c r="C1236" s="17" t="s">
        <v>503</v>
      </c>
      <c r="D1236" s="17">
        <v>19118</v>
      </c>
      <c r="E1236" s="17">
        <v>11678</v>
      </c>
      <c r="F1236" s="3" t="s">
        <v>121</v>
      </c>
      <c r="G1236" s="3" t="str">
        <f t="shared" si="235"/>
        <v xml:space="preserve">مكافاه تدريس فرقه رابعه </v>
      </c>
      <c r="I1236" s="3">
        <v>6600</v>
      </c>
      <c r="AU1236" s="22">
        <f t="shared" si="230"/>
        <v>6600</v>
      </c>
      <c r="AV1236" s="3">
        <v>5891.2</v>
      </c>
      <c r="AW1236" s="3">
        <v>708.8</v>
      </c>
      <c r="CH1236" s="22">
        <f t="shared" si="231"/>
        <v>6600</v>
      </c>
      <c r="CI1236" s="3">
        <f t="shared" si="232"/>
        <v>0</v>
      </c>
      <c r="CJ1236" s="17">
        <f t="shared" si="233"/>
        <v>11678</v>
      </c>
      <c r="CK1236" s="3" t="str">
        <f t="shared" si="234"/>
        <v>ماليزى اسنان</v>
      </c>
    </row>
    <row r="1237" spans="3:89" x14ac:dyDescent="0.25">
      <c r="C1237" s="17" t="s">
        <v>503</v>
      </c>
      <c r="D1237" s="17">
        <v>19148</v>
      </c>
      <c r="E1237" s="17">
        <v>11679</v>
      </c>
      <c r="F1237" s="3" t="s">
        <v>121</v>
      </c>
      <c r="G1237" s="3" t="str">
        <f t="shared" si="235"/>
        <v xml:space="preserve">مكافاه تدريس فرقه رابعه </v>
      </c>
      <c r="I1237" s="3">
        <v>16800</v>
      </c>
      <c r="AU1237" s="22">
        <f t="shared" si="230"/>
        <v>16800</v>
      </c>
      <c r="AV1237" s="3">
        <v>14989.1</v>
      </c>
      <c r="AW1237" s="3">
        <v>1810.9</v>
      </c>
      <c r="CH1237" s="22">
        <f t="shared" si="231"/>
        <v>16800</v>
      </c>
      <c r="CI1237" s="3">
        <f t="shared" si="232"/>
        <v>0</v>
      </c>
      <c r="CJ1237" s="17">
        <f t="shared" si="233"/>
        <v>11679</v>
      </c>
      <c r="CK1237" s="3" t="str">
        <f t="shared" si="234"/>
        <v>ماليزى اسنان</v>
      </c>
    </row>
    <row r="1238" spans="3:89" x14ac:dyDescent="0.25">
      <c r="C1238" s="17" t="s">
        <v>503</v>
      </c>
      <c r="D1238" s="17">
        <v>19116</v>
      </c>
      <c r="E1238" s="17">
        <v>11680</v>
      </c>
      <c r="F1238" s="3" t="s">
        <v>121</v>
      </c>
      <c r="G1238" s="3" t="str">
        <f t="shared" si="235"/>
        <v xml:space="preserve">مكافاه تدريس فرقه رابعه </v>
      </c>
      <c r="I1238" s="3">
        <v>26737.439999999999</v>
      </c>
      <c r="AU1238" s="22">
        <f t="shared" si="230"/>
        <v>26737.439999999999</v>
      </c>
      <c r="AV1238" s="3">
        <v>23161.11</v>
      </c>
      <c r="AW1238" s="3">
        <v>2827.2</v>
      </c>
      <c r="AX1238" s="3">
        <v>749.13</v>
      </c>
      <c r="CH1238" s="22">
        <f t="shared" si="231"/>
        <v>26737.440000000002</v>
      </c>
      <c r="CI1238" s="3">
        <f t="shared" si="232"/>
        <v>0</v>
      </c>
      <c r="CJ1238" s="17">
        <f t="shared" si="233"/>
        <v>11680</v>
      </c>
      <c r="CK1238" s="3" t="str">
        <f t="shared" si="234"/>
        <v>ماليزى اسنان</v>
      </c>
    </row>
    <row r="1239" spans="3:89" x14ac:dyDescent="0.25">
      <c r="C1239" s="17" t="s">
        <v>503</v>
      </c>
      <c r="D1239" s="17">
        <v>19117</v>
      </c>
      <c r="E1239" s="17">
        <v>11681</v>
      </c>
      <c r="F1239" s="3" t="s">
        <v>121</v>
      </c>
      <c r="G1239" s="3" t="str">
        <f t="shared" si="235"/>
        <v xml:space="preserve">مكافاه تدريس فرقه رابعه </v>
      </c>
      <c r="I1239" s="3">
        <v>6660</v>
      </c>
      <c r="AU1239" s="22">
        <f t="shared" si="230"/>
        <v>6660</v>
      </c>
      <c r="AV1239" s="3">
        <v>5944.8</v>
      </c>
      <c r="AW1239" s="3">
        <v>715.2</v>
      </c>
      <c r="CH1239" s="22">
        <f t="shared" si="231"/>
        <v>6660</v>
      </c>
      <c r="CI1239" s="3">
        <f t="shared" si="232"/>
        <v>0</v>
      </c>
      <c r="CJ1239" s="17">
        <f t="shared" si="233"/>
        <v>11681</v>
      </c>
      <c r="CK1239" s="3" t="str">
        <f t="shared" si="234"/>
        <v>ماليزى اسنان</v>
      </c>
    </row>
    <row r="1240" spans="3:89" x14ac:dyDescent="0.25">
      <c r="C1240" s="17" t="s">
        <v>503</v>
      </c>
      <c r="D1240" s="17">
        <v>19103</v>
      </c>
      <c r="E1240" s="17">
        <v>11682</v>
      </c>
      <c r="F1240" s="3" t="s">
        <v>121</v>
      </c>
      <c r="G1240" s="3" t="str">
        <f t="shared" si="235"/>
        <v xml:space="preserve">مكافاه تدريس فرقه رابعه </v>
      </c>
      <c r="I1240" s="3">
        <v>5625</v>
      </c>
      <c r="AU1240" s="22">
        <f t="shared" si="230"/>
        <v>5625</v>
      </c>
      <c r="AV1240" s="3">
        <v>5021.3999999999996</v>
      </c>
      <c r="AW1240" s="3">
        <v>603.6</v>
      </c>
      <c r="CH1240" s="22">
        <f t="shared" si="231"/>
        <v>5625</v>
      </c>
      <c r="CI1240" s="3">
        <f t="shared" si="232"/>
        <v>0</v>
      </c>
      <c r="CJ1240" s="17">
        <f t="shared" si="233"/>
        <v>11682</v>
      </c>
      <c r="CK1240" s="3" t="str">
        <f t="shared" si="234"/>
        <v>ماليزى اسنان</v>
      </c>
    </row>
    <row r="1241" spans="3:89" x14ac:dyDescent="0.25">
      <c r="C1241" s="17" t="s">
        <v>503</v>
      </c>
      <c r="D1241" s="17">
        <v>19150</v>
      </c>
      <c r="E1241" s="17">
        <v>11683</v>
      </c>
      <c r="F1241" s="3" t="s">
        <v>121</v>
      </c>
      <c r="G1241" s="3" t="str">
        <f t="shared" si="235"/>
        <v xml:space="preserve">مكافاه تدريس فرقه رابعه </v>
      </c>
      <c r="I1241" s="3">
        <v>6660</v>
      </c>
      <c r="AU1241" s="22">
        <f t="shared" si="230"/>
        <v>6660</v>
      </c>
      <c r="AV1241" s="3">
        <v>5944.8</v>
      </c>
      <c r="AW1241" s="3">
        <v>715.2</v>
      </c>
      <c r="CH1241" s="22">
        <f t="shared" si="231"/>
        <v>6660</v>
      </c>
      <c r="CI1241" s="3">
        <f t="shared" si="232"/>
        <v>0</v>
      </c>
      <c r="CJ1241" s="17">
        <f t="shared" si="233"/>
        <v>11683</v>
      </c>
      <c r="CK1241" s="3" t="str">
        <f t="shared" si="234"/>
        <v>ماليزى اسنان</v>
      </c>
    </row>
    <row r="1242" spans="3:89" x14ac:dyDescent="0.25">
      <c r="C1242" s="17" t="s">
        <v>503</v>
      </c>
      <c r="D1242" s="17">
        <v>19115</v>
      </c>
      <c r="E1242" s="17">
        <v>11684</v>
      </c>
      <c r="F1242" s="3" t="s">
        <v>121</v>
      </c>
      <c r="G1242" s="3" t="str">
        <f t="shared" si="235"/>
        <v xml:space="preserve">مكافاه تدريس فرقه رابعه </v>
      </c>
      <c r="I1242" s="3">
        <v>5265</v>
      </c>
      <c r="AU1242" s="22">
        <f t="shared" si="230"/>
        <v>5265</v>
      </c>
      <c r="AV1242" s="3">
        <v>4700.5</v>
      </c>
      <c r="AW1242" s="3">
        <v>564.5</v>
      </c>
      <c r="CH1242" s="22">
        <f t="shared" si="231"/>
        <v>5265</v>
      </c>
      <c r="CI1242" s="3">
        <f t="shared" si="232"/>
        <v>0</v>
      </c>
      <c r="CJ1242" s="17">
        <f t="shared" si="233"/>
        <v>11684</v>
      </c>
      <c r="CK1242" s="3" t="str">
        <f t="shared" si="234"/>
        <v>ماليزى اسنان</v>
      </c>
    </row>
    <row r="1243" spans="3:89" x14ac:dyDescent="0.25">
      <c r="C1243" s="17" t="s">
        <v>503</v>
      </c>
      <c r="D1243" s="17">
        <v>19112</v>
      </c>
      <c r="E1243" s="17">
        <v>11685</v>
      </c>
      <c r="F1243" s="3" t="s">
        <v>121</v>
      </c>
      <c r="G1243" s="3" t="str">
        <f t="shared" si="235"/>
        <v xml:space="preserve">مكافاه تدريس فرقه رابعه </v>
      </c>
      <c r="I1243" s="3">
        <v>28583.54</v>
      </c>
      <c r="AU1243" s="22">
        <f t="shared" si="230"/>
        <v>28583.54</v>
      </c>
      <c r="AV1243" s="3">
        <v>25233.49</v>
      </c>
      <c r="AW1243" s="3">
        <v>3065.85</v>
      </c>
      <c r="AX1243" s="3">
        <v>284.2</v>
      </c>
      <c r="CH1243" s="22">
        <f t="shared" si="231"/>
        <v>28583.54</v>
      </c>
      <c r="CI1243" s="3">
        <f t="shared" si="232"/>
        <v>0</v>
      </c>
      <c r="CJ1243" s="17">
        <f t="shared" si="233"/>
        <v>11685</v>
      </c>
      <c r="CK1243" s="3" t="str">
        <f t="shared" si="234"/>
        <v>ماليزى اسنان</v>
      </c>
    </row>
    <row r="1244" spans="3:89" x14ac:dyDescent="0.25">
      <c r="C1244" s="17" t="s">
        <v>503</v>
      </c>
      <c r="D1244" s="17">
        <v>19113</v>
      </c>
      <c r="E1244" s="17">
        <v>11686</v>
      </c>
      <c r="F1244" s="3" t="s">
        <v>121</v>
      </c>
      <c r="G1244" s="3" t="str">
        <f t="shared" si="235"/>
        <v xml:space="preserve">مكافاه تدريس فرقه رابعه </v>
      </c>
      <c r="I1244" s="3">
        <v>3285</v>
      </c>
      <c r="AU1244" s="22">
        <f t="shared" si="230"/>
        <v>3285</v>
      </c>
      <c r="AV1244" s="3">
        <v>2933.35</v>
      </c>
      <c r="AW1244" s="3">
        <v>351.65</v>
      </c>
      <c r="CH1244" s="22">
        <f t="shared" si="231"/>
        <v>3285</v>
      </c>
      <c r="CI1244" s="3">
        <f t="shared" si="232"/>
        <v>0</v>
      </c>
      <c r="CJ1244" s="17">
        <f t="shared" si="233"/>
        <v>11686</v>
      </c>
      <c r="CK1244" s="3" t="str">
        <f t="shared" si="234"/>
        <v>ماليزى اسنان</v>
      </c>
    </row>
    <row r="1245" spans="3:89" x14ac:dyDescent="0.25">
      <c r="C1245" s="17" t="s">
        <v>503</v>
      </c>
      <c r="D1245" s="17">
        <v>19106</v>
      </c>
      <c r="E1245" s="17">
        <v>11687</v>
      </c>
      <c r="F1245" s="3" t="s">
        <v>121</v>
      </c>
      <c r="G1245" s="3" t="str">
        <f t="shared" si="235"/>
        <v xml:space="preserve">مكافاه تدريس فرقه رابعه </v>
      </c>
      <c r="I1245" s="3">
        <v>5289.86</v>
      </c>
      <c r="AU1245" s="22">
        <f t="shared" si="230"/>
        <v>5289.86</v>
      </c>
      <c r="AV1245" s="3">
        <v>4618.6499999999996</v>
      </c>
      <c r="AW1245" s="3">
        <v>556.79999999999995</v>
      </c>
      <c r="AX1245" s="3">
        <v>114.41</v>
      </c>
      <c r="CH1245" s="22">
        <f t="shared" si="231"/>
        <v>5289.86</v>
      </c>
      <c r="CI1245" s="3">
        <f t="shared" si="232"/>
        <v>0</v>
      </c>
      <c r="CJ1245" s="17">
        <f t="shared" si="233"/>
        <v>11687</v>
      </c>
      <c r="CK1245" s="3" t="str">
        <f t="shared" si="234"/>
        <v>ماليزى اسنان</v>
      </c>
    </row>
    <row r="1246" spans="3:89" x14ac:dyDescent="0.25">
      <c r="C1246" s="17" t="s">
        <v>503</v>
      </c>
      <c r="D1246" s="17">
        <v>19110</v>
      </c>
      <c r="E1246" s="17">
        <v>11688</v>
      </c>
      <c r="F1246" s="3" t="s">
        <v>121</v>
      </c>
      <c r="G1246" s="3" t="str">
        <f t="shared" si="235"/>
        <v xml:space="preserve">مكافاه تدريس فرقه رابعه </v>
      </c>
      <c r="I1246" s="3">
        <v>3960</v>
      </c>
      <c r="AU1246" s="22">
        <f t="shared" si="230"/>
        <v>3960</v>
      </c>
      <c r="AV1246" s="3">
        <v>3535.75</v>
      </c>
      <c r="AW1246" s="3">
        <v>424.25</v>
      </c>
      <c r="CH1246" s="22">
        <f t="shared" si="231"/>
        <v>3960</v>
      </c>
      <c r="CI1246" s="3">
        <f t="shared" si="232"/>
        <v>0</v>
      </c>
      <c r="CJ1246" s="17">
        <f t="shared" si="233"/>
        <v>11688</v>
      </c>
      <c r="CK1246" s="3" t="str">
        <f t="shared" si="234"/>
        <v>ماليزى اسنان</v>
      </c>
    </row>
    <row r="1247" spans="3:89" x14ac:dyDescent="0.25">
      <c r="C1247" s="17" t="s">
        <v>503</v>
      </c>
      <c r="D1247" s="17">
        <v>19111</v>
      </c>
      <c r="E1247" s="17">
        <v>11689</v>
      </c>
      <c r="F1247" s="3" t="s">
        <v>121</v>
      </c>
      <c r="G1247" s="3" t="str">
        <f t="shared" si="235"/>
        <v xml:space="preserve">مكافاه تدريس فرقه رابعه </v>
      </c>
      <c r="I1247" s="3">
        <v>938.25</v>
      </c>
      <c r="AU1247" s="22">
        <f t="shared" si="230"/>
        <v>938.25</v>
      </c>
      <c r="AV1247" s="3">
        <v>795.1</v>
      </c>
      <c r="AW1247" s="3">
        <v>95.9</v>
      </c>
      <c r="AX1247" s="3">
        <v>47.25</v>
      </c>
      <c r="CH1247" s="22">
        <f t="shared" si="231"/>
        <v>938.25</v>
      </c>
      <c r="CI1247" s="3">
        <f t="shared" si="232"/>
        <v>0</v>
      </c>
      <c r="CJ1247" s="17">
        <f t="shared" si="233"/>
        <v>11689</v>
      </c>
      <c r="CK1247" s="3" t="str">
        <f t="shared" si="234"/>
        <v>ماليزى اسنان</v>
      </c>
    </row>
    <row r="1248" spans="3:89" x14ac:dyDescent="0.25">
      <c r="C1248" s="17" t="s">
        <v>503</v>
      </c>
      <c r="D1248" s="17">
        <v>19109</v>
      </c>
      <c r="E1248" s="17">
        <v>11690</v>
      </c>
      <c r="F1248" s="3" t="s">
        <v>121</v>
      </c>
      <c r="G1248" s="3" t="str">
        <f t="shared" si="235"/>
        <v xml:space="preserve">مكافاه تدريس فرقه رابعه </v>
      </c>
      <c r="I1248" s="3">
        <v>25489.64</v>
      </c>
      <c r="AU1248" s="22">
        <f t="shared" si="230"/>
        <v>25489.64</v>
      </c>
      <c r="AV1248" s="3">
        <v>21302.47</v>
      </c>
      <c r="AW1248" s="3">
        <v>2631.95</v>
      </c>
      <c r="AX1248" s="3">
        <v>1555.22</v>
      </c>
      <c r="CH1248" s="22">
        <f t="shared" si="231"/>
        <v>25489.640000000003</v>
      </c>
      <c r="CI1248" s="3">
        <f t="shared" si="232"/>
        <v>0</v>
      </c>
      <c r="CJ1248" s="17">
        <f t="shared" si="233"/>
        <v>11690</v>
      </c>
      <c r="CK1248" s="3" t="str">
        <f t="shared" si="234"/>
        <v>ماليزى اسنان</v>
      </c>
    </row>
    <row r="1249" spans="3:89" x14ac:dyDescent="0.25">
      <c r="C1249" s="17" t="s">
        <v>503</v>
      </c>
      <c r="D1249" s="17">
        <v>19105</v>
      </c>
      <c r="E1249" s="17">
        <v>11691</v>
      </c>
      <c r="F1249" s="3" t="s">
        <v>121</v>
      </c>
      <c r="G1249" s="3" t="str">
        <f t="shared" si="235"/>
        <v xml:space="preserve">مكافاه تدريس فرقه رابعه </v>
      </c>
      <c r="I1249" s="3">
        <v>13440</v>
      </c>
      <c r="AU1249" s="22">
        <f t="shared" si="230"/>
        <v>13440</v>
      </c>
      <c r="AV1249" s="3">
        <v>11992.25</v>
      </c>
      <c r="AW1249" s="3">
        <v>1447.75</v>
      </c>
      <c r="CH1249" s="22">
        <f t="shared" si="231"/>
        <v>13440</v>
      </c>
      <c r="CI1249" s="3">
        <f t="shared" si="232"/>
        <v>0</v>
      </c>
      <c r="CJ1249" s="17">
        <f t="shared" si="233"/>
        <v>11691</v>
      </c>
      <c r="CK1249" s="3" t="str">
        <f t="shared" si="234"/>
        <v>ماليزى اسنان</v>
      </c>
    </row>
    <row r="1250" spans="3:89" x14ac:dyDescent="0.25">
      <c r="C1250" s="17" t="s">
        <v>503</v>
      </c>
      <c r="D1250" s="17">
        <v>19147</v>
      </c>
      <c r="E1250" s="17">
        <v>11692</v>
      </c>
      <c r="F1250" s="3" t="s">
        <v>121</v>
      </c>
      <c r="G1250" s="3" t="str">
        <f t="shared" si="235"/>
        <v xml:space="preserve">مكافاه تدريس فرقه رابعه </v>
      </c>
      <c r="I1250" s="3">
        <v>5379.86</v>
      </c>
      <c r="AU1250" s="22">
        <f t="shared" si="230"/>
        <v>5379.86</v>
      </c>
      <c r="AV1250" s="3">
        <v>4697.8500000000004</v>
      </c>
      <c r="AW1250" s="3">
        <v>567.6</v>
      </c>
      <c r="AX1250" s="3">
        <v>114.41</v>
      </c>
      <c r="CH1250" s="22">
        <f t="shared" si="231"/>
        <v>5379.8600000000006</v>
      </c>
      <c r="CI1250" s="3">
        <f t="shared" si="232"/>
        <v>0</v>
      </c>
      <c r="CJ1250" s="17">
        <f t="shared" si="233"/>
        <v>11692</v>
      </c>
      <c r="CK1250" s="3" t="str">
        <f t="shared" si="234"/>
        <v>ماليزى اسنان</v>
      </c>
    </row>
    <row r="1251" spans="3:89" x14ac:dyDescent="0.25">
      <c r="C1251" s="17" t="s">
        <v>503</v>
      </c>
      <c r="D1251" s="17">
        <v>19104</v>
      </c>
      <c r="E1251" s="17">
        <v>11693</v>
      </c>
      <c r="F1251" s="3" t="s">
        <v>121</v>
      </c>
      <c r="G1251" s="3" t="str">
        <f t="shared" si="235"/>
        <v xml:space="preserve">مكافاه تدريس فرقه رابعه </v>
      </c>
      <c r="I1251" s="3">
        <v>4972.5</v>
      </c>
      <c r="AU1251" s="22">
        <f t="shared" si="230"/>
        <v>4972.5</v>
      </c>
      <c r="AV1251" s="3">
        <v>4439.3500000000004</v>
      </c>
      <c r="AW1251" s="3">
        <v>533.15</v>
      </c>
      <c r="CH1251" s="22">
        <f t="shared" si="231"/>
        <v>4972.5</v>
      </c>
      <c r="CI1251" s="3">
        <f t="shared" si="232"/>
        <v>0</v>
      </c>
      <c r="CJ1251" s="17">
        <f t="shared" si="233"/>
        <v>11693</v>
      </c>
      <c r="CK1251" s="3" t="str">
        <f t="shared" si="234"/>
        <v>ماليزى اسنان</v>
      </c>
    </row>
    <row r="1252" spans="3:89" x14ac:dyDescent="0.25">
      <c r="C1252" s="17" t="s">
        <v>503</v>
      </c>
      <c r="D1252" s="17">
        <v>19102</v>
      </c>
      <c r="E1252" s="17">
        <v>11694</v>
      </c>
      <c r="F1252" s="3" t="s">
        <v>121</v>
      </c>
      <c r="G1252" s="3" t="str">
        <f t="shared" si="235"/>
        <v xml:space="preserve">مكافاه تدريس فرقه رابعه </v>
      </c>
      <c r="I1252" s="3">
        <v>6475.5</v>
      </c>
      <c r="AU1252" s="22">
        <f t="shared" si="230"/>
        <v>6475.5</v>
      </c>
      <c r="AV1252" s="3">
        <v>5308.75</v>
      </c>
      <c r="AW1252" s="3">
        <v>658.25</v>
      </c>
      <c r="AX1252" s="3">
        <v>508.5</v>
      </c>
      <c r="CH1252" s="22">
        <f t="shared" si="231"/>
        <v>6475.5</v>
      </c>
      <c r="CI1252" s="3">
        <f t="shared" si="232"/>
        <v>0</v>
      </c>
      <c r="CJ1252" s="17">
        <f t="shared" si="233"/>
        <v>11694</v>
      </c>
      <c r="CK1252" s="3" t="str">
        <f t="shared" si="234"/>
        <v>ماليزى اسنان</v>
      </c>
    </row>
    <row r="1253" spans="3:89" x14ac:dyDescent="0.25">
      <c r="C1253" s="17" t="s">
        <v>503</v>
      </c>
      <c r="D1253" s="17">
        <v>19152</v>
      </c>
      <c r="E1253" s="17">
        <v>11695</v>
      </c>
      <c r="F1253" s="3" t="s">
        <v>121</v>
      </c>
      <c r="G1253" s="3" t="str">
        <f t="shared" si="235"/>
        <v xml:space="preserve">مكافاه تدريس فرقه رابعه </v>
      </c>
      <c r="I1253" s="3">
        <v>5763.46</v>
      </c>
      <c r="AU1253" s="22">
        <f t="shared" si="230"/>
        <v>5763.46</v>
      </c>
      <c r="AV1253" s="3">
        <v>5091.8999999999996</v>
      </c>
      <c r="AW1253" s="3">
        <v>611.70000000000005</v>
      </c>
      <c r="AX1253" s="3">
        <v>59.86</v>
      </c>
      <c r="CH1253" s="22">
        <f t="shared" si="231"/>
        <v>5763.4599999999991</v>
      </c>
      <c r="CI1253" s="3">
        <f t="shared" si="232"/>
        <v>0</v>
      </c>
      <c r="CJ1253" s="17">
        <f t="shared" si="233"/>
        <v>11695</v>
      </c>
      <c r="CK1253" s="3" t="str">
        <f t="shared" si="234"/>
        <v>ماليزى اسنان</v>
      </c>
    </row>
    <row r="1254" spans="3:89" x14ac:dyDescent="0.25">
      <c r="C1254" s="17" t="s">
        <v>503</v>
      </c>
      <c r="D1254" s="17">
        <v>19151</v>
      </c>
      <c r="E1254" s="17">
        <v>11696</v>
      </c>
      <c r="F1254" s="3" t="s">
        <v>121</v>
      </c>
      <c r="G1254" s="3" t="str">
        <f t="shared" si="235"/>
        <v xml:space="preserve">مكافاه تدريس فرقه رابعه </v>
      </c>
      <c r="I1254" s="3">
        <v>20124.759999999998</v>
      </c>
      <c r="AU1254" s="22">
        <f t="shared" si="230"/>
        <v>20124.759999999998</v>
      </c>
      <c r="AV1254" s="3">
        <v>17828.2</v>
      </c>
      <c r="AW1254" s="3">
        <v>2157.75</v>
      </c>
      <c r="AX1254" s="3">
        <v>138.81</v>
      </c>
      <c r="CH1254" s="22">
        <f t="shared" si="231"/>
        <v>20124.760000000002</v>
      </c>
      <c r="CI1254" s="3">
        <f t="shared" si="232"/>
        <v>0</v>
      </c>
      <c r="CJ1254" s="17">
        <f t="shared" si="233"/>
        <v>11696</v>
      </c>
      <c r="CK1254" s="3" t="str">
        <f t="shared" si="234"/>
        <v>ماليزى اسنان</v>
      </c>
    </row>
    <row r="1255" spans="3:89" x14ac:dyDescent="0.25">
      <c r="C1255" s="17" t="s">
        <v>503</v>
      </c>
      <c r="D1255" s="17">
        <v>19149</v>
      </c>
      <c r="E1255" s="17">
        <v>11697</v>
      </c>
      <c r="F1255" s="3" t="s">
        <v>121</v>
      </c>
      <c r="G1255" s="3" t="str">
        <f t="shared" si="235"/>
        <v xml:space="preserve">مكافاه تدريس فرقه رابعه </v>
      </c>
      <c r="I1255" s="3">
        <v>24900</v>
      </c>
      <c r="AU1255" s="22">
        <f t="shared" si="230"/>
        <v>24900</v>
      </c>
      <c r="AV1255" s="3">
        <v>22212.3</v>
      </c>
      <c r="AW1255" s="3">
        <v>2687.7</v>
      </c>
      <c r="CH1255" s="22">
        <f t="shared" si="231"/>
        <v>24900</v>
      </c>
      <c r="CI1255" s="3">
        <f t="shared" si="232"/>
        <v>0</v>
      </c>
      <c r="CJ1255" s="17">
        <f t="shared" si="233"/>
        <v>11697</v>
      </c>
      <c r="CK1255" s="3" t="str">
        <f t="shared" si="234"/>
        <v>ماليزى اسنان</v>
      </c>
    </row>
    <row r="1256" spans="3:89" x14ac:dyDescent="0.25">
      <c r="C1256" s="17" t="s">
        <v>503</v>
      </c>
      <c r="D1256" s="17">
        <v>19153</v>
      </c>
      <c r="E1256" s="17">
        <v>11698</v>
      </c>
      <c r="F1256" s="3" t="s">
        <v>121</v>
      </c>
      <c r="G1256" s="3" t="str">
        <f t="shared" si="235"/>
        <v xml:space="preserve">مكافاه تدريس فرقه رابعه </v>
      </c>
      <c r="I1256" s="3">
        <v>5040</v>
      </c>
      <c r="AU1256" s="22">
        <f t="shared" si="230"/>
        <v>5040</v>
      </c>
      <c r="AV1256" s="3">
        <v>4499.6499999999996</v>
      </c>
      <c r="AW1256" s="3">
        <v>540.35</v>
      </c>
      <c r="CH1256" s="22">
        <f t="shared" si="231"/>
        <v>5040</v>
      </c>
      <c r="CI1256" s="3">
        <f t="shared" si="232"/>
        <v>0</v>
      </c>
      <c r="CJ1256" s="17">
        <f t="shared" si="233"/>
        <v>11698</v>
      </c>
      <c r="CK1256" s="3" t="str">
        <f t="shared" si="234"/>
        <v>ماليزى اسنان</v>
      </c>
    </row>
    <row r="1257" spans="3:89" x14ac:dyDescent="0.25">
      <c r="C1257" s="17" t="s">
        <v>503</v>
      </c>
      <c r="D1257" s="17">
        <v>19194</v>
      </c>
      <c r="E1257" s="17">
        <v>11699</v>
      </c>
      <c r="F1257" s="3" t="s">
        <v>121</v>
      </c>
      <c r="G1257" s="3" t="s">
        <v>604</v>
      </c>
      <c r="I1257" s="3">
        <v>586.25</v>
      </c>
      <c r="AU1257" s="22">
        <f t="shared" si="230"/>
        <v>586.25</v>
      </c>
      <c r="AV1257" s="3">
        <v>392.4</v>
      </c>
      <c r="AW1257" s="3">
        <v>52.6</v>
      </c>
      <c r="AX1257" s="3">
        <v>141.25</v>
      </c>
      <c r="CH1257" s="22">
        <f t="shared" si="231"/>
        <v>586.25</v>
      </c>
      <c r="CI1257" s="3">
        <f t="shared" si="232"/>
        <v>0</v>
      </c>
      <c r="CJ1257" s="17">
        <f t="shared" si="233"/>
        <v>11699</v>
      </c>
      <c r="CK1257" s="3" t="str">
        <f t="shared" si="234"/>
        <v>ماليزى اسنان</v>
      </c>
    </row>
    <row r="1258" spans="3:89" x14ac:dyDescent="0.25">
      <c r="D1258" s="17">
        <v>18191</v>
      </c>
      <c r="E1258" s="17">
        <v>11700</v>
      </c>
      <c r="F1258" s="3" t="s">
        <v>121</v>
      </c>
      <c r="G1258" s="3" t="s">
        <v>605</v>
      </c>
      <c r="Y1258" s="3">
        <v>59893.3</v>
      </c>
      <c r="AU1258" s="22">
        <f t="shared" si="230"/>
        <v>59893.3</v>
      </c>
      <c r="AV1258" s="3">
        <v>59893.3</v>
      </c>
      <c r="CH1258" s="22">
        <f t="shared" si="231"/>
        <v>59893.3</v>
      </c>
      <c r="CI1258" s="3">
        <f t="shared" si="232"/>
        <v>0</v>
      </c>
      <c r="CJ1258" s="17">
        <f t="shared" si="233"/>
        <v>11700</v>
      </c>
      <c r="CK1258" s="3" t="str">
        <f t="shared" si="234"/>
        <v>ماليزى اسنان</v>
      </c>
    </row>
    <row r="1259" spans="3:89" x14ac:dyDescent="0.25">
      <c r="D1259" s="17">
        <v>18190</v>
      </c>
      <c r="E1259" s="17">
        <v>11701</v>
      </c>
      <c r="F1259" s="3" t="s">
        <v>121</v>
      </c>
      <c r="G1259" s="3" t="s">
        <v>605</v>
      </c>
      <c r="Y1259" s="3">
        <v>131298.79999999999</v>
      </c>
      <c r="AU1259" s="22">
        <f t="shared" si="230"/>
        <v>131298.79999999999</v>
      </c>
      <c r="AV1259" s="3">
        <v>131298.79999999999</v>
      </c>
      <c r="CH1259" s="22">
        <f t="shared" si="231"/>
        <v>131298.79999999999</v>
      </c>
      <c r="CI1259" s="3">
        <f t="shared" si="232"/>
        <v>0</v>
      </c>
      <c r="CJ1259" s="17">
        <f t="shared" si="233"/>
        <v>11701</v>
      </c>
      <c r="CK1259" s="3" t="str">
        <f t="shared" si="234"/>
        <v>ماليزى اسنان</v>
      </c>
    </row>
    <row r="1260" spans="3:89" x14ac:dyDescent="0.25">
      <c r="D1260" s="17">
        <v>19247</v>
      </c>
      <c r="E1260" s="17">
        <v>11702</v>
      </c>
      <c r="F1260" s="3" t="s">
        <v>121</v>
      </c>
      <c r="G1260" s="3" t="s">
        <v>606</v>
      </c>
      <c r="Y1260" s="3">
        <v>152822</v>
      </c>
      <c r="AU1260" s="22">
        <f t="shared" si="230"/>
        <v>152822</v>
      </c>
      <c r="AV1260" s="3">
        <v>152822</v>
      </c>
      <c r="CH1260" s="22">
        <f t="shared" si="231"/>
        <v>152822</v>
      </c>
      <c r="CI1260" s="3">
        <f t="shared" si="232"/>
        <v>0</v>
      </c>
      <c r="CJ1260" s="17">
        <f t="shared" si="233"/>
        <v>11702</v>
      </c>
      <c r="CK1260" s="3" t="str">
        <f t="shared" si="234"/>
        <v>ماليزى اسنان</v>
      </c>
    </row>
    <row r="1261" spans="3:89" x14ac:dyDescent="0.25">
      <c r="D1261" s="17">
        <v>18554</v>
      </c>
      <c r="E1261" s="17">
        <v>11703</v>
      </c>
      <c r="F1261" s="3" t="s">
        <v>121</v>
      </c>
      <c r="G1261" s="3" t="s">
        <v>607</v>
      </c>
      <c r="J1261" s="3">
        <v>5671.5</v>
      </c>
      <c r="AU1261" s="22">
        <f t="shared" si="230"/>
        <v>5671.5</v>
      </c>
      <c r="AV1261" s="3">
        <v>5207.6499999999996</v>
      </c>
      <c r="AW1261" s="3">
        <f>74+222+35.1</f>
        <v>331.1</v>
      </c>
      <c r="AY1261" s="3">
        <v>5</v>
      </c>
      <c r="BK1261" s="3">
        <v>49.75</v>
      </c>
      <c r="BL1261" s="3">
        <v>78</v>
      </c>
      <c r="CH1261" s="22">
        <f t="shared" si="231"/>
        <v>5671.5</v>
      </c>
      <c r="CI1261" s="3">
        <f t="shared" si="232"/>
        <v>0</v>
      </c>
      <c r="CJ1261" s="17">
        <f t="shared" si="233"/>
        <v>11703</v>
      </c>
      <c r="CK1261" s="3" t="str">
        <f t="shared" si="234"/>
        <v>ماليزى اسنان</v>
      </c>
    </row>
    <row r="1262" spans="3:89" x14ac:dyDescent="0.25">
      <c r="C1262" s="3"/>
      <c r="D1262" s="17">
        <v>18557</v>
      </c>
      <c r="E1262" s="17">
        <v>11704</v>
      </c>
      <c r="F1262" s="3" t="s">
        <v>121</v>
      </c>
      <c r="G1262" s="3" t="s">
        <v>608</v>
      </c>
      <c r="J1262" s="3">
        <v>11867.4</v>
      </c>
      <c r="AU1262" s="22">
        <f t="shared" si="230"/>
        <v>11867.4</v>
      </c>
      <c r="AV1262" s="3">
        <v>11039.7</v>
      </c>
      <c r="AW1262" s="3">
        <f>162.25+486.75+21.6</f>
        <v>670.6</v>
      </c>
      <c r="AY1262" s="3">
        <v>5</v>
      </c>
      <c r="BK1262" s="3">
        <v>104.1</v>
      </c>
      <c r="BL1262" s="3">
        <v>48</v>
      </c>
      <c r="CH1262" s="22">
        <f t="shared" si="231"/>
        <v>11867.400000000001</v>
      </c>
      <c r="CI1262" s="3">
        <f t="shared" si="232"/>
        <v>0</v>
      </c>
      <c r="CJ1262" s="17">
        <f t="shared" si="233"/>
        <v>11704</v>
      </c>
      <c r="CK1262" s="3" t="str">
        <f t="shared" si="234"/>
        <v>ماليزى اسنان</v>
      </c>
    </row>
    <row r="1263" spans="3:89" x14ac:dyDescent="0.25">
      <c r="D1263" s="17">
        <v>18553</v>
      </c>
      <c r="E1263" s="17">
        <v>11705</v>
      </c>
      <c r="F1263" s="3" t="s">
        <v>121</v>
      </c>
      <c r="G1263" s="3" t="s">
        <v>609</v>
      </c>
      <c r="J1263" s="3">
        <v>15330</v>
      </c>
      <c r="AU1263" s="22">
        <f t="shared" ref="AU1263:AU1284" si="236">SUM(I1263:AS1263)</f>
        <v>15330</v>
      </c>
      <c r="AV1263" s="3">
        <v>14274.2</v>
      </c>
      <c r="AW1263" s="3">
        <f>191.75+575.25+40.5</f>
        <v>807.5</v>
      </c>
      <c r="AY1263" s="3">
        <v>5</v>
      </c>
      <c r="BK1263" s="3">
        <v>153.30000000000001</v>
      </c>
      <c r="BL1263" s="3">
        <v>90</v>
      </c>
      <c r="CH1263" s="22">
        <f t="shared" ref="CH1263:CH1284" si="237">SUM(AV1263:CG1263)</f>
        <v>15330</v>
      </c>
      <c r="CI1263" s="3">
        <f t="shared" ref="CI1263:CI1284" si="238">+CH1263-AU1263</f>
        <v>0</v>
      </c>
      <c r="CJ1263" s="17">
        <f t="shared" ref="CJ1263:CJ1284" si="239">+E1263</f>
        <v>11705</v>
      </c>
      <c r="CK1263" s="3" t="str">
        <f t="shared" ref="CK1263:CK1284" si="240">+F1263</f>
        <v>ماليزى اسنان</v>
      </c>
    </row>
    <row r="1264" spans="3:89" x14ac:dyDescent="0.25">
      <c r="D1264" s="17">
        <v>19360</v>
      </c>
      <c r="E1264" s="17">
        <v>11706</v>
      </c>
      <c r="F1264" s="3" t="s">
        <v>132</v>
      </c>
      <c r="G1264" s="3" t="s">
        <v>610</v>
      </c>
      <c r="J1264" s="3">
        <v>15000</v>
      </c>
      <c r="Q1264" s="3">
        <v>15000</v>
      </c>
      <c r="AU1264" s="22">
        <f t="shared" si="236"/>
        <v>30000</v>
      </c>
      <c r="AV1264" s="3">
        <v>15000</v>
      </c>
      <c r="BS1264" s="3">
        <v>15000</v>
      </c>
      <c r="CH1264" s="22">
        <f t="shared" si="237"/>
        <v>30000</v>
      </c>
      <c r="CI1264" s="3">
        <f t="shared" si="238"/>
        <v>0</v>
      </c>
      <c r="CJ1264" s="17">
        <f t="shared" si="239"/>
        <v>11706</v>
      </c>
      <c r="CK1264" s="3" t="str">
        <f t="shared" si="240"/>
        <v>صيدلة اكلينيكى</v>
      </c>
    </row>
    <row r="1265" spans="3:89" x14ac:dyDescent="0.25">
      <c r="D1265" s="17">
        <v>16380</v>
      </c>
      <c r="E1265" s="17">
        <v>11707</v>
      </c>
      <c r="F1265" s="3" t="s">
        <v>119</v>
      </c>
      <c r="G1265" s="3" t="s">
        <v>611</v>
      </c>
      <c r="J1265" s="3">
        <v>84274.5</v>
      </c>
      <c r="AU1265" s="22">
        <f t="shared" si="236"/>
        <v>84274.5</v>
      </c>
      <c r="AV1265" s="3">
        <v>79148.25</v>
      </c>
      <c r="AW1265" s="3">
        <f>543.55+1630.65+19.8</f>
        <v>2194</v>
      </c>
      <c r="AY1265" s="3">
        <v>5</v>
      </c>
      <c r="BK1265" s="3">
        <v>2217.75</v>
      </c>
      <c r="BL1265" s="3">
        <v>44</v>
      </c>
      <c r="BM1265" s="3">
        <f>332.75*2</f>
        <v>665.5</v>
      </c>
      <c r="CH1265" s="22">
        <f t="shared" si="237"/>
        <v>84274.5</v>
      </c>
      <c r="CI1265" s="3">
        <f t="shared" si="238"/>
        <v>0</v>
      </c>
      <c r="CJ1265" s="17">
        <f t="shared" si="239"/>
        <v>11707</v>
      </c>
      <c r="CK1265" s="3" t="str">
        <f t="shared" si="240"/>
        <v>خ ت صيدلة</v>
      </c>
    </row>
    <row r="1266" spans="3:89" x14ac:dyDescent="0.25">
      <c r="D1266" s="17">
        <v>19353</v>
      </c>
      <c r="E1266" s="17">
        <v>11708</v>
      </c>
      <c r="F1266" s="3" t="s">
        <v>130</v>
      </c>
      <c r="G1266" s="3" t="s">
        <v>612</v>
      </c>
      <c r="J1266" s="3">
        <v>1250</v>
      </c>
      <c r="AU1266" s="22">
        <f t="shared" si="236"/>
        <v>1250</v>
      </c>
      <c r="AV1266" s="3">
        <v>1135.5999999999999</v>
      </c>
      <c r="AW1266" s="3">
        <v>65.5</v>
      </c>
      <c r="BK1266" s="3">
        <v>32.9</v>
      </c>
      <c r="BL1266" s="3">
        <v>6</v>
      </c>
      <c r="BM1266" s="3">
        <v>10</v>
      </c>
      <c r="CH1266" s="22">
        <f t="shared" si="237"/>
        <v>1250</v>
      </c>
      <c r="CI1266" s="3">
        <f t="shared" si="238"/>
        <v>0</v>
      </c>
      <c r="CJ1266" s="17">
        <f t="shared" si="239"/>
        <v>11708</v>
      </c>
      <c r="CK1266" s="3" t="str">
        <f t="shared" si="240"/>
        <v>خ ت طب</v>
      </c>
    </row>
    <row r="1267" spans="3:89" x14ac:dyDescent="0.25">
      <c r="D1267" s="17">
        <v>19352</v>
      </c>
      <c r="E1267" s="17">
        <v>11709</v>
      </c>
      <c r="F1267" s="3" t="s">
        <v>130</v>
      </c>
      <c r="G1267" s="3" t="s">
        <v>613</v>
      </c>
      <c r="J1267" s="3">
        <v>32319</v>
      </c>
      <c r="AU1267" s="22">
        <f t="shared" si="236"/>
        <v>32319</v>
      </c>
      <c r="AV1267" s="3">
        <v>30103.9</v>
      </c>
      <c r="AW1267" s="3">
        <v>1089.4000000000001</v>
      </c>
      <c r="BK1267" s="3">
        <v>850.5</v>
      </c>
      <c r="BL1267" s="3">
        <v>20</v>
      </c>
      <c r="BM1267" s="3">
        <f>127.6*2</f>
        <v>255.2</v>
      </c>
      <c r="CH1267" s="22">
        <f t="shared" si="237"/>
        <v>32319.000000000004</v>
      </c>
      <c r="CI1267" s="3">
        <f t="shared" si="238"/>
        <v>0</v>
      </c>
      <c r="CJ1267" s="17">
        <f t="shared" si="239"/>
        <v>11709</v>
      </c>
      <c r="CK1267" s="3" t="str">
        <f t="shared" si="240"/>
        <v>خ ت طب</v>
      </c>
    </row>
    <row r="1268" spans="3:89" x14ac:dyDescent="0.25">
      <c r="C1268" s="3"/>
      <c r="D1268" s="17">
        <v>19351</v>
      </c>
      <c r="E1268" s="17">
        <v>11710</v>
      </c>
      <c r="F1268" s="3" t="s">
        <v>130</v>
      </c>
      <c r="G1268" s="3" t="s">
        <v>614</v>
      </c>
      <c r="J1268" s="3">
        <v>213.75</v>
      </c>
      <c r="AU1268" s="22">
        <f t="shared" si="236"/>
        <v>213.75</v>
      </c>
      <c r="AV1268" s="3">
        <v>196.75</v>
      </c>
      <c r="AW1268" s="3">
        <v>9.3000000000000007</v>
      </c>
      <c r="BL1268" s="3">
        <v>6</v>
      </c>
      <c r="BM1268" s="3">
        <f>0.85*2</f>
        <v>1.7</v>
      </c>
      <c r="CH1268" s="22">
        <f t="shared" si="237"/>
        <v>213.75</v>
      </c>
      <c r="CI1268" s="3">
        <f t="shared" si="238"/>
        <v>0</v>
      </c>
      <c r="CJ1268" s="17">
        <f t="shared" si="239"/>
        <v>11710</v>
      </c>
      <c r="CK1268" s="3" t="str">
        <f t="shared" si="240"/>
        <v>خ ت طب</v>
      </c>
    </row>
    <row r="1269" spans="3:89" x14ac:dyDescent="0.25">
      <c r="D1269" s="17">
        <v>19347</v>
      </c>
      <c r="E1269" s="17">
        <v>11711</v>
      </c>
      <c r="F1269" s="3" t="s">
        <v>130</v>
      </c>
      <c r="G1269" s="3" t="s">
        <v>615</v>
      </c>
      <c r="J1269" s="3">
        <v>1140</v>
      </c>
      <c r="AU1269" s="22">
        <f t="shared" si="236"/>
        <v>1140</v>
      </c>
      <c r="AV1269" s="3">
        <v>1039.0999999999999</v>
      </c>
      <c r="AW1269" s="3">
        <f>13.3+39.9+2.7</f>
        <v>55.900000000000006</v>
      </c>
      <c r="BK1269" s="3">
        <v>30</v>
      </c>
      <c r="BL1269" s="3">
        <v>6</v>
      </c>
      <c r="BM1269" s="3">
        <f>4.5*2</f>
        <v>9</v>
      </c>
      <c r="CH1269" s="22">
        <f t="shared" si="237"/>
        <v>1140</v>
      </c>
      <c r="CI1269" s="3">
        <f t="shared" si="238"/>
        <v>0</v>
      </c>
      <c r="CJ1269" s="17">
        <f t="shared" si="239"/>
        <v>11711</v>
      </c>
      <c r="CK1269" s="3" t="str">
        <f t="shared" si="240"/>
        <v>خ ت طب</v>
      </c>
    </row>
    <row r="1270" spans="3:89" x14ac:dyDescent="0.25">
      <c r="D1270" s="17">
        <v>19350</v>
      </c>
      <c r="E1270" s="17">
        <v>11712</v>
      </c>
      <c r="F1270" s="3" t="s">
        <v>130</v>
      </c>
      <c r="G1270" s="3" t="s">
        <v>615</v>
      </c>
      <c r="J1270" s="3">
        <v>1140</v>
      </c>
      <c r="AU1270" s="22">
        <f t="shared" si="236"/>
        <v>1140</v>
      </c>
      <c r="AV1270" s="3">
        <v>1039.0999999999999</v>
      </c>
      <c r="AW1270" s="3">
        <v>55.9</v>
      </c>
      <c r="BK1270" s="3">
        <v>30</v>
      </c>
      <c r="BL1270" s="3">
        <v>6</v>
      </c>
      <c r="BM1270" s="3">
        <v>9</v>
      </c>
      <c r="CH1270" s="22">
        <f t="shared" si="237"/>
        <v>1140</v>
      </c>
      <c r="CI1270" s="3">
        <f t="shared" si="238"/>
        <v>0</v>
      </c>
      <c r="CJ1270" s="17">
        <f t="shared" si="239"/>
        <v>11712</v>
      </c>
      <c r="CK1270" s="3" t="str">
        <f t="shared" si="240"/>
        <v>خ ت طب</v>
      </c>
    </row>
    <row r="1271" spans="3:89" x14ac:dyDescent="0.25">
      <c r="D1271" s="17">
        <v>19349</v>
      </c>
      <c r="E1271" s="17">
        <v>11713</v>
      </c>
      <c r="F1271" s="3" t="s">
        <v>130</v>
      </c>
      <c r="G1271" s="3" t="s">
        <v>616</v>
      </c>
      <c r="J1271" s="3">
        <v>2000</v>
      </c>
      <c r="AU1271" s="22">
        <f t="shared" si="236"/>
        <v>2000</v>
      </c>
      <c r="AV1271" s="3">
        <v>1820.25</v>
      </c>
      <c r="AW1271" s="3">
        <v>105.1</v>
      </c>
      <c r="BK1271" s="3">
        <v>52.65</v>
      </c>
      <c r="BL1271" s="3">
        <v>6</v>
      </c>
      <c r="BM1271" s="3">
        <f>8*2</f>
        <v>16</v>
      </c>
      <c r="CH1271" s="22">
        <f t="shared" si="237"/>
        <v>2000</v>
      </c>
      <c r="CI1271" s="3">
        <f t="shared" si="238"/>
        <v>0</v>
      </c>
      <c r="CJ1271" s="17">
        <f t="shared" si="239"/>
        <v>11713</v>
      </c>
      <c r="CK1271" s="3" t="str">
        <f t="shared" si="240"/>
        <v>خ ت طب</v>
      </c>
    </row>
    <row r="1272" spans="3:89" x14ac:dyDescent="0.25">
      <c r="D1272" s="17">
        <v>19348</v>
      </c>
      <c r="E1272" s="17">
        <v>11714</v>
      </c>
      <c r="F1272" s="3" t="s">
        <v>130</v>
      </c>
      <c r="G1272" s="3" t="str">
        <f>+G1266</f>
        <v>شركه المنى للاجهزه العلميه صيانه اوتوكلاف</v>
      </c>
      <c r="J1272" s="3">
        <v>2052</v>
      </c>
      <c r="AU1272" s="22">
        <f t="shared" si="236"/>
        <v>2052</v>
      </c>
      <c r="AV1272" s="3">
        <v>1868.1</v>
      </c>
      <c r="AW1272" s="3">
        <v>107.7</v>
      </c>
      <c r="BK1272" s="3">
        <v>54</v>
      </c>
      <c r="BL1272" s="3">
        <v>6</v>
      </c>
      <c r="BM1272" s="3">
        <f>8.1*2</f>
        <v>16.2</v>
      </c>
      <c r="CH1272" s="22">
        <f t="shared" si="237"/>
        <v>2052</v>
      </c>
      <c r="CI1272" s="3">
        <f t="shared" si="238"/>
        <v>0</v>
      </c>
      <c r="CJ1272" s="17">
        <f t="shared" si="239"/>
        <v>11714</v>
      </c>
      <c r="CK1272" s="3" t="str">
        <f t="shared" si="240"/>
        <v>خ ت طب</v>
      </c>
    </row>
    <row r="1273" spans="3:89" ht="31.5" x14ac:dyDescent="0.25">
      <c r="D1273" s="17">
        <v>18931</v>
      </c>
      <c r="E1273" s="17">
        <v>11715</v>
      </c>
      <c r="F1273" s="3" t="s">
        <v>130</v>
      </c>
      <c r="G1273" s="9" t="s">
        <v>617</v>
      </c>
      <c r="J1273" s="3">
        <v>4305.78</v>
      </c>
      <c r="AC1273" s="3">
        <v>4305.78</v>
      </c>
      <c r="AU1273" s="22">
        <f t="shared" si="236"/>
        <v>8611.56</v>
      </c>
      <c r="AV1273" s="3">
        <v>4305.78</v>
      </c>
      <c r="BV1273" s="3">
        <v>4305.78</v>
      </c>
      <c r="CH1273" s="22">
        <f t="shared" si="237"/>
        <v>8611.56</v>
      </c>
      <c r="CI1273" s="3">
        <f t="shared" si="238"/>
        <v>0</v>
      </c>
      <c r="CJ1273" s="17">
        <f t="shared" si="239"/>
        <v>11715</v>
      </c>
      <c r="CK1273" s="3" t="str">
        <f t="shared" si="240"/>
        <v>خ ت طب</v>
      </c>
    </row>
    <row r="1274" spans="3:89" x14ac:dyDescent="0.25">
      <c r="D1274" s="17">
        <v>19354</v>
      </c>
      <c r="E1274" s="17">
        <v>11716</v>
      </c>
      <c r="F1274" s="3" t="s">
        <v>325</v>
      </c>
      <c r="G1274" s="3" t="s">
        <v>618</v>
      </c>
      <c r="J1274" s="3">
        <v>1000</v>
      </c>
      <c r="AU1274" s="22">
        <f t="shared" si="236"/>
        <v>1000</v>
      </c>
      <c r="AV1274" s="3">
        <v>910.55</v>
      </c>
      <c r="AW1274" s="3">
        <f>11.6+34.8+2.7</f>
        <v>49.1</v>
      </c>
      <c r="BK1274" s="3">
        <v>26.35</v>
      </c>
      <c r="BL1274" s="3">
        <v>6</v>
      </c>
      <c r="BM1274" s="3">
        <v>8</v>
      </c>
      <c r="CH1274" s="22">
        <f t="shared" si="237"/>
        <v>1000</v>
      </c>
      <c r="CI1274" s="3">
        <f t="shared" si="238"/>
        <v>0</v>
      </c>
      <c r="CJ1274" s="17">
        <f t="shared" si="239"/>
        <v>11716</v>
      </c>
      <c r="CK1274" s="3" t="str">
        <f t="shared" si="240"/>
        <v xml:space="preserve">برنامج دولى </v>
      </c>
    </row>
    <row r="1275" spans="3:89" x14ac:dyDescent="0.25">
      <c r="C1275" s="3"/>
      <c r="D1275" s="17">
        <v>19346</v>
      </c>
      <c r="E1275" s="17">
        <v>11717</v>
      </c>
      <c r="F1275" s="3" t="s">
        <v>325</v>
      </c>
      <c r="G1275" s="3" t="s">
        <v>619</v>
      </c>
      <c r="J1275" s="3">
        <v>5400</v>
      </c>
      <c r="AU1275" s="22">
        <f t="shared" si="236"/>
        <v>5400</v>
      </c>
      <c r="AV1275" s="3">
        <v>4925.3</v>
      </c>
      <c r="AW1275" s="3">
        <v>283.89999999999998</v>
      </c>
      <c r="BK1275" s="3">
        <v>142.1</v>
      </c>
      <c r="BL1275" s="3">
        <v>6</v>
      </c>
      <c r="BM1275" s="3">
        <f>21.35*2</f>
        <v>42.7</v>
      </c>
      <c r="CH1275" s="22">
        <f t="shared" si="237"/>
        <v>5400</v>
      </c>
      <c r="CI1275" s="3">
        <f t="shared" si="238"/>
        <v>0</v>
      </c>
      <c r="CJ1275" s="17">
        <f t="shared" si="239"/>
        <v>11717</v>
      </c>
      <c r="CK1275" s="3" t="str">
        <f t="shared" si="240"/>
        <v xml:space="preserve">برنامج دولى </v>
      </c>
    </row>
    <row r="1276" spans="3:89" x14ac:dyDescent="0.25">
      <c r="D1276" s="17">
        <v>19553</v>
      </c>
      <c r="E1276" s="17">
        <v>11718</v>
      </c>
      <c r="F1276" s="3" t="s">
        <v>325</v>
      </c>
      <c r="G1276" s="3" t="s">
        <v>620</v>
      </c>
      <c r="J1276" s="3">
        <v>240</v>
      </c>
      <c r="AU1276" s="22">
        <f t="shared" si="236"/>
        <v>240</v>
      </c>
      <c r="AV1276" s="3">
        <v>240</v>
      </c>
      <c r="CH1276" s="22">
        <f t="shared" si="237"/>
        <v>240</v>
      </c>
      <c r="CI1276" s="3">
        <f t="shared" si="238"/>
        <v>0</v>
      </c>
      <c r="CJ1276" s="17">
        <f t="shared" si="239"/>
        <v>11718</v>
      </c>
      <c r="CK1276" s="3" t="str">
        <f t="shared" si="240"/>
        <v xml:space="preserve">برنامج دولى </v>
      </c>
    </row>
    <row r="1277" spans="3:89" x14ac:dyDescent="0.25">
      <c r="D1277" s="17">
        <v>19554</v>
      </c>
      <c r="E1277" s="17">
        <v>11719</v>
      </c>
      <c r="F1277" s="3" t="s">
        <v>325</v>
      </c>
      <c r="G1277" s="3" t="s">
        <v>621</v>
      </c>
      <c r="J1277" s="3">
        <v>360</v>
      </c>
      <c r="AU1277" s="22">
        <f t="shared" si="236"/>
        <v>360</v>
      </c>
      <c r="AV1277" s="3">
        <v>360</v>
      </c>
      <c r="CH1277" s="22">
        <f t="shared" si="237"/>
        <v>360</v>
      </c>
      <c r="CI1277" s="3">
        <f t="shared" si="238"/>
        <v>0</v>
      </c>
      <c r="CJ1277" s="17">
        <f t="shared" si="239"/>
        <v>11719</v>
      </c>
      <c r="CK1277" s="3" t="str">
        <f t="shared" si="240"/>
        <v xml:space="preserve">برنامج دولى </v>
      </c>
    </row>
    <row r="1278" spans="3:89" x14ac:dyDescent="0.25">
      <c r="D1278" s="17">
        <v>17751</v>
      </c>
      <c r="E1278" s="17">
        <v>11720</v>
      </c>
      <c r="F1278" s="3" t="s">
        <v>325</v>
      </c>
      <c r="G1278" s="3" t="s">
        <v>622</v>
      </c>
      <c r="J1278" s="3">
        <v>23123.360000000001</v>
      </c>
      <c r="AU1278" s="22">
        <f t="shared" si="236"/>
        <v>23123.360000000001</v>
      </c>
      <c r="AV1278" s="3">
        <v>21599.06</v>
      </c>
      <c r="AW1278" s="3">
        <v>895.8</v>
      </c>
      <c r="BK1278" s="3">
        <v>608.5</v>
      </c>
      <c r="BL1278" s="3">
        <v>20</v>
      </c>
      <c r="CH1278" s="22">
        <f t="shared" si="237"/>
        <v>23123.360000000001</v>
      </c>
      <c r="CI1278" s="3">
        <f t="shared" si="238"/>
        <v>0</v>
      </c>
      <c r="CJ1278" s="17">
        <f t="shared" si="239"/>
        <v>11720</v>
      </c>
      <c r="CK1278" s="3" t="str">
        <f t="shared" si="240"/>
        <v xml:space="preserve">برنامج دولى </v>
      </c>
    </row>
    <row r="1279" spans="3:89" x14ac:dyDescent="0.25">
      <c r="D1279" s="17">
        <v>18840</v>
      </c>
      <c r="E1279" s="17">
        <v>11721</v>
      </c>
      <c r="F1279" s="3" t="s">
        <v>128</v>
      </c>
      <c r="G1279" s="3" t="s">
        <v>623</v>
      </c>
      <c r="J1279" s="3">
        <v>57000</v>
      </c>
      <c r="AU1279" s="22">
        <f t="shared" si="236"/>
        <v>57000</v>
      </c>
      <c r="AV1279" s="3">
        <v>48800.2</v>
      </c>
      <c r="AW1279" s="3">
        <f>400+1200+36</f>
        <v>1636</v>
      </c>
      <c r="AY1279" s="3">
        <v>5</v>
      </c>
      <c r="BK1279" s="3">
        <v>1500</v>
      </c>
      <c r="BL1279" s="3">
        <v>80</v>
      </c>
      <c r="BM1279" s="3">
        <f>225*2</f>
        <v>450</v>
      </c>
      <c r="BN1279" s="3">
        <v>2850</v>
      </c>
      <c r="CG1279" s="201">
        <v>1678.8</v>
      </c>
      <c r="CH1279" s="22">
        <f t="shared" si="237"/>
        <v>57000</v>
      </c>
      <c r="CI1279" s="3">
        <f t="shared" si="238"/>
        <v>0</v>
      </c>
      <c r="CJ1279" s="17">
        <f t="shared" si="239"/>
        <v>11721</v>
      </c>
      <c r="CK1279" s="3" t="str">
        <f t="shared" si="240"/>
        <v>مركز مؤتمرات</v>
      </c>
    </row>
    <row r="1280" spans="3:89" x14ac:dyDescent="0.25">
      <c r="C1280" s="17" t="s">
        <v>374</v>
      </c>
      <c r="D1280" s="17">
        <v>19086</v>
      </c>
      <c r="E1280" s="17">
        <v>11722</v>
      </c>
      <c r="F1280" s="3" t="s">
        <v>325</v>
      </c>
      <c r="G1280" s="3" t="s">
        <v>624</v>
      </c>
      <c r="Y1280" s="3">
        <v>20910</v>
      </c>
      <c r="AU1280" s="22">
        <f t="shared" si="236"/>
        <v>20910</v>
      </c>
      <c r="AV1280" s="3">
        <v>19361.2</v>
      </c>
      <c r="AW1280" s="3">
        <v>906.5</v>
      </c>
      <c r="AY1280" s="3">
        <v>5</v>
      </c>
      <c r="BK1280" s="3">
        <v>627.29999999999995</v>
      </c>
      <c r="BL1280" s="3">
        <v>10</v>
      </c>
      <c r="CH1280" s="22">
        <f t="shared" si="237"/>
        <v>20910</v>
      </c>
      <c r="CI1280" s="3">
        <f t="shared" si="238"/>
        <v>0</v>
      </c>
      <c r="CJ1280" s="17">
        <f t="shared" si="239"/>
        <v>11722</v>
      </c>
      <c r="CK1280" s="3" t="str">
        <f t="shared" si="240"/>
        <v xml:space="preserve">برنامج دولى </v>
      </c>
    </row>
    <row r="1281" spans="1:91" x14ac:dyDescent="0.25">
      <c r="D1281" s="17">
        <v>18800</v>
      </c>
      <c r="E1281" s="17">
        <v>11723</v>
      </c>
      <c r="F1281" s="3" t="s">
        <v>325</v>
      </c>
      <c r="G1281" s="3" t="s">
        <v>625</v>
      </c>
      <c r="Y1281" s="3">
        <v>240111.78</v>
      </c>
      <c r="AU1281" s="22">
        <f t="shared" si="236"/>
        <v>240111.78</v>
      </c>
      <c r="AV1281" s="3">
        <v>240111.78</v>
      </c>
      <c r="CH1281" s="22">
        <f t="shared" si="237"/>
        <v>240111.78</v>
      </c>
      <c r="CI1281" s="3">
        <f t="shared" si="238"/>
        <v>0</v>
      </c>
      <c r="CJ1281" s="17">
        <f t="shared" si="239"/>
        <v>11723</v>
      </c>
      <c r="CK1281" s="3" t="str">
        <f t="shared" si="240"/>
        <v xml:space="preserve">برنامج دولى </v>
      </c>
    </row>
    <row r="1282" spans="1:91" x14ac:dyDescent="0.25">
      <c r="E1282" s="17">
        <v>11724</v>
      </c>
      <c r="F1282" s="3" t="s">
        <v>332</v>
      </c>
      <c r="G1282" s="3" t="s">
        <v>626</v>
      </c>
      <c r="AU1282" s="22">
        <f t="shared" si="236"/>
        <v>0</v>
      </c>
      <c r="CH1282" s="22">
        <f t="shared" si="237"/>
        <v>0</v>
      </c>
      <c r="CI1282" s="3">
        <f t="shared" si="238"/>
        <v>0</v>
      </c>
      <c r="CJ1282" s="17">
        <f t="shared" si="239"/>
        <v>11724</v>
      </c>
      <c r="CK1282" s="3" t="str">
        <f t="shared" si="240"/>
        <v xml:space="preserve">لاب فقط </v>
      </c>
    </row>
    <row r="1283" spans="1:91" x14ac:dyDescent="0.25">
      <c r="E1283" s="17">
        <v>11725</v>
      </c>
      <c r="F1283" s="3" t="s">
        <v>332</v>
      </c>
      <c r="G1283" s="3" t="s">
        <v>627</v>
      </c>
      <c r="AU1283" s="22">
        <f t="shared" si="236"/>
        <v>0</v>
      </c>
      <c r="CH1283" s="22">
        <f t="shared" si="237"/>
        <v>0</v>
      </c>
      <c r="CI1283" s="3">
        <f t="shared" si="238"/>
        <v>0</v>
      </c>
      <c r="CJ1283" s="17">
        <f t="shared" si="239"/>
        <v>11725</v>
      </c>
      <c r="CK1283" s="3" t="str">
        <f t="shared" si="240"/>
        <v xml:space="preserve">لاب فقط </v>
      </c>
    </row>
    <row r="1284" spans="1:91" x14ac:dyDescent="0.25">
      <c r="E1284" s="17">
        <v>11726</v>
      </c>
      <c r="F1284" s="3" t="s">
        <v>332</v>
      </c>
      <c r="G1284" s="3" t="s">
        <v>628</v>
      </c>
      <c r="AU1284" s="22">
        <f t="shared" si="236"/>
        <v>0</v>
      </c>
      <c r="CH1284" s="22">
        <f t="shared" si="237"/>
        <v>0</v>
      </c>
      <c r="CI1284" s="3">
        <f t="shared" si="238"/>
        <v>0</v>
      </c>
      <c r="CJ1284" s="17">
        <f t="shared" si="239"/>
        <v>11726</v>
      </c>
      <c r="CK1284" s="3" t="str">
        <f t="shared" si="240"/>
        <v xml:space="preserve">لاب فقط </v>
      </c>
    </row>
    <row r="1285" spans="1:91" s="29" customFormat="1" x14ac:dyDescent="0.25">
      <c r="A1285" s="27"/>
      <c r="B1285" s="28"/>
      <c r="C1285" s="28"/>
      <c r="D1285" s="28"/>
      <c r="E1285" s="28"/>
      <c r="G1285" s="29" t="s">
        <v>629</v>
      </c>
      <c r="I1285" s="29">
        <f t="shared" ref="I1285:AO1285" si="241">SUM(I1071:I1284)</f>
        <v>2003406.7400000005</v>
      </c>
      <c r="J1285" s="29">
        <f t="shared" si="241"/>
        <v>263687.28999999998</v>
      </c>
      <c r="K1285" s="29">
        <f t="shared" si="241"/>
        <v>0</v>
      </c>
      <c r="L1285" s="29">
        <f t="shared" si="241"/>
        <v>0</v>
      </c>
      <c r="M1285" s="29">
        <f t="shared" si="241"/>
        <v>0</v>
      </c>
      <c r="N1285" s="29">
        <f t="shared" si="241"/>
        <v>0</v>
      </c>
      <c r="O1285" s="29">
        <f t="shared" si="241"/>
        <v>0</v>
      </c>
      <c r="P1285" s="29">
        <f t="shared" si="241"/>
        <v>0</v>
      </c>
      <c r="Q1285" s="29">
        <f t="shared" si="241"/>
        <v>15000</v>
      </c>
      <c r="R1285" s="29">
        <f t="shared" si="241"/>
        <v>0</v>
      </c>
      <c r="S1285" s="29">
        <f t="shared" si="241"/>
        <v>0</v>
      </c>
      <c r="T1285" s="29">
        <f t="shared" si="241"/>
        <v>0</v>
      </c>
      <c r="U1285" s="29">
        <f t="shared" si="241"/>
        <v>0</v>
      </c>
      <c r="V1285" s="29">
        <f t="shared" si="241"/>
        <v>0</v>
      </c>
      <c r="W1285" s="29">
        <f t="shared" si="241"/>
        <v>0</v>
      </c>
      <c r="X1285" s="29">
        <f t="shared" si="241"/>
        <v>0</v>
      </c>
      <c r="Y1285" s="29">
        <f t="shared" si="241"/>
        <v>605035.88</v>
      </c>
      <c r="Z1285" s="29">
        <f t="shared" si="241"/>
        <v>0</v>
      </c>
      <c r="AA1285" s="29">
        <f t="shared" si="241"/>
        <v>0</v>
      </c>
      <c r="AB1285" s="29">
        <f t="shared" si="241"/>
        <v>0</v>
      </c>
      <c r="AC1285" s="29">
        <f t="shared" si="241"/>
        <v>4305.78</v>
      </c>
      <c r="AD1285" s="29">
        <f t="shared" si="241"/>
        <v>0</v>
      </c>
      <c r="AE1285" s="29">
        <f t="shared" si="241"/>
        <v>0</v>
      </c>
      <c r="AG1285" s="29">
        <f t="shared" si="241"/>
        <v>0</v>
      </c>
      <c r="AH1285" s="29">
        <f t="shared" si="241"/>
        <v>0</v>
      </c>
      <c r="AI1285" s="29">
        <f t="shared" si="241"/>
        <v>0</v>
      </c>
      <c r="AJ1285" s="29">
        <f t="shared" si="241"/>
        <v>0</v>
      </c>
      <c r="AK1285" s="29">
        <f t="shared" si="241"/>
        <v>0</v>
      </c>
      <c r="AL1285" s="29">
        <f t="shared" si="241"/>
        <v>0</v>
      </c>
      <c r="AM1285" s="29">
        <f t="shared" si="241"/>
        <v>0</v>
      </c>
      <c r="AN1285" s="29">
        <f t="shared" si="241"/>
        <v>0</v>
      </c>
      <c r="AO1285" s="29">
        <f t="shared" si="241"/>
        <v>0</v>
      </c>
      <c r="AP1285" s="29">
        <f t="shared" ref="AP1285:BW1285" si="242">SUM(AP1071:AP1284)</f>
        <v>0</v>
      </c>
      <c r="AQ1285" s="29">
        <f t="shared" si="242"/>
        <v>0</v>
      </c>
      <c r="AR1285" s="29">
        <f t="shared" si="242"/>
        <v>0</v>
      </c>
      <c r="AS1285" s="29">
        <f t="shared" si="242"/>
        <v>0</v>
      </c>
      <c r="AT1285" s="29">
        <f t="shared" si="242"/>
        <v>0</v>
      </c>
      <c r="AU1285" s="29">
        <f t="shared" si="242"/>
        <v>2891435.69</v>
      </c>
      <c r="AV1285" s="29">
        <f t="shared" si="242"/>
        <v>2520994.34</v>
      </c>
      <c r="AW1285" s="29">
        <f t="shared" si="242"/>
        <v>219870.74</v>
      </c>
      <c r="AX1285" s="29">
        <f t="shared" si="242"/>
        <v>116707.78</v>
      </c>
      <c r="AY1285" s="29">
        <f t="shared" si="242"/>
        <v>1627.75</v>
      </c>
      <c r="AZ1285" s="29">
        <f t="shared" si="242"/>
        <v>0</v>
      </c>
      <c r="BA1285" s="29">
        <f t="shared" si="242"/>
        <v>0</v>
      </c>
      <c r="BB1285" s="29">
        <f t="shared" si="242"/>
        <v>0</v>
      </c>
      <c r="BC1285" s="29">
        <f t="shared" si="242"/>
        <v>0</v>
      </c>
      <c r="BD1285" s="29">
        <f t="shared" si="242"/>
        <v>0</v>
      </c>
      <c r="BF1285" s="29">
        <f t="shared" si="242"/>
        <v>0</v>
      </c>
      <c r="BG1285" s="29">
        <f t="shared" si="242"/>
        <v>0</v>
      </c>
      <c r="BH1285" s="29">
        <f t="shared" si="242"/>
        <v>0</v>
      </c>
      <c r="BJ1285" s="29">
        <f t="shared" si="242"/>
        <v>0</v>
      </c>
      <c r="BK1285" s="29">
        <f t="shared" si="242"/>
        <v>6479.2</v>
      </c>
      <c r="BL1285" s="29">
        <f t="shared" si="242"/>
        <v>438</v>
      </c>
      <c r="BM1285" s="29">
        <f t="shared" si="242"/>
        <v>1483.3000000000002</v>
      </c>
      <c r="BN1285" s="29">
        <f t="shared" si="242"/>
        <v>2850</v>
      </c>
      <c r="BO1285" s="29">
        <f t="shared" si="242"/>
        <v>0</v>
      </c>
      <c r="BP1285" s="29">
        <f t="shared" si="242"/>
        <v>0</v>
      </c>
      <c r="BQ1285" s="29">
        <f t="shared" si="242"/>
        <v>0</v>
      </c>
      <c r="BR1285" s="29">
        <f t="shared" si="242"/>
        <v>0</v>
      </c>
      <c r="BS1285" s="29">
        <f t="shared" si="242"/>
        <v>15000</v>
      </c>
      <c r="BT1285" s="29">
        <f t="shared" si="242"/>
        <v>0</v>
      </c>
      <c r="BU1285" s="29">
        <f t="shared" si="242"/>
        <v>0</v>
      </c>
      <c r="BV1285" s="29">
        <f t="shared" si="242"/>
        <v>4305.78</v>
      </c>
      <c r="BW1285" s="29">
        <f t="shared" si="242"/>
        <v>0</v>
      </c>
      <c r="BX1285" s="29">
        <f t="shared" ref="BX1285:CI1285" si="243">SUM(BX1071:BX1284)</f>
        <v>0</v>
      </c>
      <c r="BY1285" s="29">
        <f t="shared" si="243"/>
        <v>0</v>
      </c>
      <c r="BZ1285" s="29">
        <f t="shared" si="243"/>
        <v>0</v>
      </c>
      <c r="CA1285" s="29">
        <f t="shared" si="243"/>
        <v>0</v>
      </c>
      <c r="CB1285" s="29">
        <f t="shared" si="243"/>
        <v>0</v>
      </c>
      <c r="CC1285" s="29">
        <f t="shared" si="243"/>
        <v>0</v>
      </c>
      <c r="CD1285" s="29">
        <f t="shared" si="243"/>
        <v>0</v>
      </c>
      <c r="CE1285" s="29">
        <f t="shared" si="243"/>
        <v>0</v>
      </c>
      <c r="CF1285" s="29">
        <f t="shared" si="243"/>
        <v>0</v>
      </c>
      <c r="CG1285" s="201">
        <f t="shared" si="243"/>
        <v>1678.8</v>
      </c>
      <c r="CH1285" s="29">
        <f t="shared" si="243"/>
        <v>2891435.69</v>
      </c>
      <c r="CI1285" s="29">
        <f t="shared" si="243"/>
        <v>0</v>
      </c>
      <c r="CL1285" s="29">
        <f>SUM(CL1071:CL1284)</f>
        <v>0</v>
      </c>
      <c r="CM1285" s="29">
        <f>SUM(CM1071:CM1284)</f>
        <v>0</v>
      </c>
    </row>
    <row r="1286" spans="1:91" x14ac:dyDescent="0.25">
      <c r="D1286" s="17">
        <v>19828</v>
      </c>
      <c r="E1286" s="17">
        <v>11727</v>
      </c>
      <c r="F1286" s="3" t="s">
        <v>325</v>
      </c>
      <c r="G1286" s="3" t="s">
        <v>630</v>
      </c>
      <c r="J1286" s="3">
        <v>6700</v>
      </c>
      <c r="Q1286" s="3">
        <v>6700</v>
      </c>
      <c r="AU1286" s="22">
        <f t="shared" ref="AU1286:AU1317" si="244">SUM(I1286:AS1286)</f>
        <v>13400</v>
      </c>
      <c r="AV1286" s="3">
        <v>6700</v>
      </c>
      <c r="BS1286" s="3">
        <v>6700</v>
      </c>
      <c r="CH1286" s="22">
        <f t="shared" ref="CH1286:CH1317" si="245">SUM(AV1286:CG1286)</f>
        <v>13400</v>
      </c>
      <c r="CI1286" s="3">
        <f t="shared" ref="CI1286:CI1317" si="246">+CH1286-AU1286</f>
        <v>0</v>
      </c>
      <c r="CJ1286" s="17">
        <f t="shared" ref="CJ1286:CJ1317" si="247">+E1286</f>
        <v>11727</v>
      </c>
      <c r="CK1286" s="3" t="str">
        <f>+F1289</f>
        <v>خ ت طب</v>
      </c>
    </row>
    <row r="1287" spans="1:91" x14ac:dyDescent="0.25">
      <c r="D1287" s="17">
        <v>19092</v>
      </c>
      <c r="E1287" s="17">
        <v>11728</v>
      </c>
      <c r="F1287" s="3" t="s">
        <v>132</v>
      </c>
      <c r="G1287" s="3" t="s">
        <v>631</v>
      </c>
      <c r="J1287" s="3">
        <v>412.52</v>
      </c>
      <c r="AU1287" s="22">
        <f t="shared" si="244"/>
        <v>412.52</v>
      </c>
      <c r="AV1287" s="3">
        <v>381.62</v>
      </c>
      <c r="AW1287" s="3">
        <f>4.25+12.75+0.9</f>
        <v>17.899999999999999</v>
      </c>
      <c r="BK1287" s="3">
        <v>11</v>
      </c>
      <c r="BL1287" s="3">
        <v>2</v>
      </c>
      <c r="CH1287" s="22">
        <f t="shared" si="245"/>
        <v>412.52</v>
      </c>
      <c r="CI1287" s="3">
        <f t="shared" si="246"/>
        <v>0</v>
      </c>
      <c r="CJ1287" s="17">
        <f t="shared" si="247"/>
        <v>11728</v>
      </c>
      <c r="CK1287" s="3" t="str">
        <f>+F1290</f>
        <v>ماليزى اسنان</v>
      </c>
    </row>
    <row r="1288" spans="1:91" x14ac:dyDescent="0.25">
      <c r="D1288" s="17">
        <v>19356</v>
      </c>
      <c r="E1288" s="17">
        <v>11729</v>
      </c>
      <c r="F1288" s="3" t="s">
        <v>249</v>
      </c>
      <c r="G1288" s="3" t="s">
        <v>632</v>
      </c>
      <c r="J1288" s="3">
        <v>47766</v>
      </c>
      <c r="AU1288" s="22">
        <f t="shared" si="244"/>
        <v>47766</v>
      </c>
      <c r="AV1288" s="3">
        <v>45850</v>
      </c>
      <c r="AW1288" s="3">
        <f>351.25+1053.75+27</f>
        <v>1432</v>
      </c>
      <c r="AY1288" s="3">
        <v>5</v>
      </c>
      <c r="BK1288" s="3">
        <v>419</v>
      </c>
      <c r="BL1288" s="3">
        <v>60</v>
      </c>
      <c r="CH1288" s="22">
        <f t="shared" si="245"/>
        <v>47766</v>
      </c>
      <c r="CI1288" s="3">
        <f t="shared" si="246"/>
        <v>0</v>
      </c>
      <c r="CJ1288" s="17">
        <f t="shared" si="247"/>
        <v>11729</v>
      </c>
      <c r="CK1288" s="3" t="str">
        <f>+F1291</f>
        <v>علاج تخصصى</v>
      </c>
    </row>
    <row r="1289" spans="1:91" x14ac:dyDescent="0.25">
      <c r="D1289" s="17">
        <v>19565</v>
      </c>
      <c r="E1289" s="17">
        <v>11730</v>
      </c>
      <c r="F1289" s="3" t="s">
        <v>130</v>
      </c>
      <c r="G1289" s="3" t="s">
        <v>633</v>
      </c>
      <c r="I1289" s="3">
        <v>996.62</v>
      </c>
      <c r="AU1289" s="22">
        <f t="shared" si="244"/>
        <v>996.62</v>
      </c>
      <c r="AV1289" s="3">
        <v>602.69000000000005</v>
      </c>
      <c r="AW1289" s="3">
        <v>111.31</v>
      </c>
      <c r="AX1289" s="3">
        <v>240.12</v>
      </c>
      <c r="AY1289" s="3">
        <v>42.5</v>
      </c>
      <c r="CH1289" s="22">
        <f t="shared" si="245"/>
        <v>996.62</v>
      </c>
      <c r="CI1289" s="3">
        <f t="shared" si="246"/>
        <v>0</v>
      </c>
      <c r="CJ1289" s="17">
        <f t="shared" si="247"/>
        <v>11730</v>
      </c>
      <c r="CK1289" s="3" t="str">
        <f>+F1292</f>
        <v>علاج تخصصى</v>
      </c>
    </row>
    <row r="1290" spans="1:91" x14ac:dyDescent="0.25">
      <c r="C1290" s="17" t="s">
        <v>561</v>
      </c>
      <c r="D1290" s="17">
        <v>17789</v>
      </c>
      <c r="E1290" s="17">
        <v>11731</v>
      </c>
      <c r="F1290" s="3" t="s">
        <v>121</v>
      </c>
      <c r="G1290" s="3" t="s">
        <v>634</v>
      </c>
      <c r="I1290" s="3">
        <v>231.28</v>
      </c>
      <c r="AU1290" s="22">
        <f t="shared" si="244"/>
        <v>231.28</v>
      </c>
      <c r="AV1290" s="3">
        <v>155.08000000000001</v>
      </c>
      <c r="AW1290" s="3">
        <v>20.48</v>
      </c>
      <c r="AX1290" s="3">
        <v>55.72</v>
      </c>
      <c r="CH1290" s="22">
        <f t="shared" si="245"/>
        <v>231.28</v>
      </c>
      <c r="CI1290" s="3">
        <f t="shared" si="246"/>
        <v>0</v>
      </c>
      <c r="CJ1290" s="17">
        <f t="shared" si="247"/>
        <v>11731</v>
      </c>
      <c r="CK1290" s="3" t="str">
        <f t="shared" ref="CK1290:CK1321" si="248">+F1290</f>
        <v>ماليزى اسنان</v>
      </c>
    </row>
    <row r="1291" spans="1:91" x14ac:dyDescent="0.25">
      <c r="C1291" s="17" t="s">
        <v>635</v>
      </c>
      <c r="D1291" s="17">
        <v>19236</v>
      </c>
      <c r="E1291" s="17">
        <v>11732</v>
      </c>
      <c r="F1291" s="3" t="s">
        <v>122</v>
      </c>
      <c r="G1291" s="3" t="s">
        <v>636</v>
      </c>
      <c r="I1291" s="3">
        <v>3049.34</v>
      </c>
      <c r="AU1291" s="22">
        <f t="shared" si="244"/>
        <v>3049.34</v>
      </c>
      <c r="AV1291" s="3">
        <v>2569.44</v>
      </c>
      <c r="AW1291" s="3">
        <v>327.43</v>
      </c>
      <c r="AY1291" s="3">
        <v>152.47</v>
      </c>
      <c r="CH1291" s="22">
        <f t="shared" si="245"/>
        <v>3049.3399999999997</v>
      </c>
      <c r="CI1291" s="3">
        <f t="shared" si="246"/>
        <v>0</v>
      </c>
      <c r="CJ1291" s="17">
        <f t="shared" si="247"/>
        <v>11732</v>
      </c>
      <c r="CK1291" s="3" t="str">
        <f t="shared" si="248"/>
        <v>علاج تخصصى</v>
      </c>
    </row>
    <row r="1292" spans="1:91" x14ac:dyDescent="0.25">
      <c r="B1292" s="3"/>
      <c r="C1292" s="17" t="s">
        <v>635</v>
      </c>
      <c r="D1292" s="17">
        <v>19239</v>
      </c>
      <c r="E1292" s="17">
        <v>11733</v>
      </c>
      <c r="F1292" s="3" t="s">
        <v>122</v>
      </c>
      <c r="G1292" s="3" t="s">
        <v>637</v>
      </c>
      <c r="I1292" s="3">
        <v>2880.85</v>
      </c>
      <c r="AU1292" s="22">
        <f t="shared" si="244"/>
        <v>2880.85</v>
      </c>
      <c r="AV1292" s="3">
        <v>2271.89</v>
      </c>
      <c r="AW1292" s="3">
        <v>292.10000000000002</v>
      </c>
      <c r="AX1292" s="3">
        <v>178.26</v>
      </c>
      <c r="AY1292" s="3">
        <v>138.6</v>
      </c>
      <c r="CH1292" s="22">
        <f t="shared" si="245"/>
        <v>2880.85</v>
      </c>
      <c r="CI1292" s="3">
        <f t="shared" si="246"/>
        <v>0</v>
      </c>
      <c r="CJ1292" s="17">
        <f t="shared" si="247"/>
        <v>11733</v>
      </c>
      <c r="CK1292" s="3" t="str">
        <f t="shared" si="248"/>
        <v>علاج تخصصى</v>
      </c>
    </row>
    <row r="1293" spans="1:91" x14ac:dyDescent="0.25">
      <c r="C1293" s="17" t="s">
        <v>635</v>
      </c>
      <c r="D1293" s="17">
        <v>19235</v>
      </c>
      <c r="E1293" s="17">
        <v>11734</v>
      </c>
      <c r="F1293" s="3" t="s">
        <v>122</v>
      </c>
      <c r="G1293" s="3" t="str">
        <f>+G1291</f>
        <v>مكافاه علاج بالاجر اطفال ابريل</v>
      </c>
      <c r="I1293" s="3">
        <v>4870.25</v>
      </c>
      <c r="AU1293" s="22">
        <f t="shared" si="244"/>
        <v>4870.25</v>
      </c>
      <c r="AV1293" s="3">
        <v>4103.5600000000004</v>
      </c>
      <c r="AW1293" s="3">
        <v>523.17999999999995</v>
      </c>
      <c r="AY1293" s="3">
        <v>243.51</v>
      </c>
      <c r="CH1293" s="22">
        <f t="shared" si="245"/>
        <v>4870.2500000000009</v>
      </c>
      <c r="CI1293" s="3">
        <f t="shared" si="246"/>
        <v>0</v>
      </c>
      <c r="CJ1293" s="17">
        <f t="shared" si="247"/>
        <v>11734</v>
      </c>
      <c r="CK1293" s="3" t="str">
        <f t="shared" si="248"/>
        <v>علاج تخصصى</v>
      </c>
    </row>
    <row r="1294" spans="1:91" x14ac:dyDescent="0.25">
      <c r="C1294" s="17" t="s">
        <v>635</v>
      </c>
      <c r="D1294" s="17">
        <v>19237</v>
      </c>
      <c r="E1294" s="17">
        <v>11735</v>
      </c>
      <c r="F1294" s="3" t="s">
        <v>122</v>
      </c>
      <c r="G1294" s="3" t="s">
        <v>638</v>
      </c>
      <c r="I1294" s="3">
        <v>827.54</v>
      </c>
      <c r="AU1294" s="22">
        <f t="shared" si="244"/>
        <v>827.54</v>
      </c>
      <c r="AV1294" s="3">
        <v>683.61</v>
      </c>
      <c r="AW1294" s="3">
        <v>85.42</v>
      </c>
      <c r="AX1294" s="3">
        <v>17.68</v>
      </c>
      <c r="AY1294" s="3">
        <v>40.83</v>
      </c>
      <c r="CH1294" s="22">
        <f t="shared" si="245"/>
        <v>827.54</v>
      </c>
      <c r="CI1294" s="3">
        <f t="shared" si="246"/>
        <v>0</v>
      </c>
      <c r="CJ1294" s="17">
        <f t="shared" si="247"/>
        <v>11735</v>
      </c>
      <c r="CK1294" s="3" t="str">
        <f t="shared" si="248"/>
        <v>علاج تخصصى</v>
      </c>
    </row>
    <row r="1295" spans="1:91" x14ac:dyDescent="0.25">
      <c r="C1295" s="17" t="s">
        <v>635</v>
      </c>
      <c r="D1295" s="17">
        <v>19234</v>
      </c>
      <c r="E1295" s="17">
        <v>11736</v>
      </c>
      <c r="F1295" s="3" t="s">
        <v>122</v>
      </c>
      <c r="G1295" s="3" t="str">
        <f>+G1293</f>
        <v>مكافاه علاج بالاجر اطفال ابريل</v>
      </c>
      <c r="I1295" s="3">
        <v>31619.63</v>
      </c>
      <c r="AU1295" s="22">
        <f t="shared" si="244"/>
        <v>31619.63</v>
      </c>
      <c r="AV1295" s="3">
        <v>25507.72</v>
      </c>
      <c r="AW1295" s="3">
        <v>3273.25</v>
      </c>
      <c r="AX1295" s="3">
        <v>1297.29</v>
      </c>
      <c r="AY1295" s="3">
        <v>1541.37</v>
      </c>
      <c r="CH1295" s="22">
        <f t="shared" si="245"/>
        <v>31619.63</v>
      </c>
      <c r="CI1295" s="3">
        <f t="shared" si="246"/>
        <v>0</v>
      </c>
      <c r="CJ1295" s="17">
        <f t="shared" si="247"/>
        <v>11736</v>
      </c>
      <c r="CK1295" s="3" t="str">
        <f t="shared" si="248"/>
        <v>علاج تخصصى</v>
      </c>
    </row>
    <row r="1296" spans="1:91" x14ac:dyDescent="0.25">
      <c r="C1296" s="17" t="s">
        <v>635</v>
      </c>
      <c r="D1296" s="17">
        <v>19241</v>
      </c>
      <c r="E1296" s="17">
        <v>11737</v>
      </c>
      <c r="F1296" s="3" t="s">
        <v>122</v>
      </c>
      <c r="G1296" s="3" t="s">
        <v>639</v>
      </c>
      <c r="I1296" s="3">
        <v>1137.81</v>
      </c>
      <c r="AU1296" s="22">
        <f t="shared" si="244"/>
        <v>1137.81</v>
      </c>
      <c r="AV1296" s="3">
        <v>958.94</v>
      </c>
      <c r="AW1296" s="3">
        <v>121.98</v>
      </c>
      <c r="AY1296" s="3">
        <v>56.89</v>
      </c>
      <c r="CH1296" s="22">
        <f t="shared" si="245"/>
        <v>1137.8100000000002</v>
      </c>
      <c r="CI1296" s="3">
        <f t="shared" si="246"/>
        <v>0</v>
      </c>
      <c r="CJ1296" s="17">
        <f t="shared" si="247"/>
        <v>11737</v>
      </c>
      <c r="CK1296" s="3" t="str">
        <f t="shared" si="248"/>
        <v>علاج تخصصى</v>
      </c>
    </row>
    <row r="1297" spans="2:89" x14ac:dyDescent="0.25">
      <c r="C1297" s="17" t="s">
        <v>635</v>
      </c>
      <c r="D1297" s="17">
        <v>19238</v>
      </c>
      <c r="E1297" s="17">
        <v>11738</v>
      </c>
      <c r="F1297" s="3" t="s">
        <v>122</v>
      </c>
      <c r="G1297" s="3" t="str">
        <f>+G1292</f>
        <v>مكافاه علاج بالاجر للعاملين ابريل</v>
      </c>
      <c r="I1297" s="3">
        <v>361.13</v>
      </c>
      <c r="AU1297" s="22">
        <f t="shared" si="244"/>
        <v>361.13</v>
      </c>
      <c r="AV1297" s="3">
        <v>226.42</v>
      </c>
      <c r="AW1297" s="3">
        <v>32.299999999999997</v>
      </c>
      <c r="AX1297" s="3">
        <v>87.01</v>
      </c>
      <c r="AY1297" s="3">
        <v>15.4</v>
      </c>
      <c r="CH1297" s="22">
        <f t="shared" si="245"/>
        <v>361.12999999999994</v>
      </c>
      <c r="CI1297" s="3">
        <f t="shared" si="246"/>
        <v>0</v>
      </c>
      <c r="CJ1297" s="17">
        <f t="shared" si="247"/>
        <v>11738</v>
      </c>
      <c r="CK1297" s="3" t="str">
        <f t="shared" si="248"/>
        <v>علاج تخصصى</v>
      </c>
    </row>
    <row r="1298" spans="2:89" x14ac:dyDescent="0.25">
      <c r="C1298" s="17" t="s">
        <v>635</v>
      </c>
      <c r="D1298" s="17">
        <v>19240</v>
      </c>
      <c r="E1298" s="17">
        <v>11739</v>
      </c>
      <c r="F1298" s="3" t="s">
        <v>122</v>
      </c>
      <c r="G1298" s="3" t="str">
        <f>+G1296</f>
        <v>مكافاه علاج بالاجر اطفال مايو</v>
      </c>
      <c r="I1298" s="3">
        <v>36484.83</v>
      </c>
      <c r="AU1298" s="22">
        <f t="shared" si="244"/>
        <v>36484.83</v>
      </c>
      <c r="AV1298" s="3">
        <v>30322.54</v>
      </c>
      <c r="AW1298" s="3">
        <v>3833.08</v>
      </c>
      <c r="AX1298" s="3">
        <v>520.87</v>
      </c>
      <c r="AY1298" s="3">
        <v>1808.34</v>
      </c>
      <c r="CH1298" s="22">
        <f t="shared" si="245"/>
        <v>36484.83</v>
      </c>
      <c r="CI1298" s="3">
        <f t="shared" si="246"/>
        <v>0</v>
      </c>
      <c r="CJ1298" s="17">
        <f t="shared" si="247"/>
        <v>11739</v>
      </c>
      <c r="CK1298" s="3" t="str">
        <f t="shared" si="248"/>
        <v>علاج تخصصى</v>
      </c>
    </row>
    <row r="1299" spans="2:89" x14ac:dyDescent="0.25">
      <c r="C1299" s="17" t="s">
        <v>592</v>
      </c>
      <c r="D1299" s="17">
        <v>19288</v>
      </c>
      <c r="E1299" s="17">
        <v>11740</v>
      </c>
      <c r="F1299" s="3" t="s">
        <v>132</v>
      </c>
      <c r="G1299" s="3" t="s">
        <v>640</v>
      </c>
      <c r="I1299" s="3">
        <v>5862.49</v>
      </c>
      <c r="AU1299" s="22">
        <f t="shared" si="244"/>
        <v>5862.49</v>
      </c>
      <c r="AV1299" s="3">
        <v>3918.55</v>
      </c>
      <c r="AW1299" s="3">
        <v>531.45000000000005</v>
      </c>
      <c r="AX1299" s="3">
        <v>1412.49</v>
      </c>
      <c r="CH1299" s="22">
        <f t="shared" si="245"/>
        <v>5862.49</v>
      </c>
      <c r="CI1299" s="3">
        <f t="shared" si="246"/>
        <v>0</v>
      </c>
      <c r="CJ1299" s="17">
        <f t="shared" si="247"/>
        <v>11740</v>
      </c>
      <c r="CK1299" s="3" t="str">
        <f t="shared" si="248"/>
        <v>صيدلة اكلينيكى</v>
      </c>
    </row>
    <row r="1300" spans="2:89" x14ac:dyDescent="0.25">
      <c r="C1300" s="17" t="s">
        <v>592</v>
      </c>
      <c r="D1300" s="17">
        <v>19289</v>
      </c>
      <c r="E1300" s="17">
        <v>11741</v>
      </c>
      <c r="F1300" s="3" t="s">
        <v>132</v>
      </c>
      <c r="G1300" s="3" t="s">
        <v>641</v>
      </c>
      <c r="I1300" s="3">
        <v>351.75</v>
      </c>
      <c r="AU1300" s="22">
        <f t="shared" si="244"/>
        <v>351.75</v>
      </c>
      <c r="AV1300" s="3">
        <v>235.55</v>
      </c>
      <c r="AW1300" s="3">
        <v>31.45</v>
      </c>
      <c r="AX1300" s="3">
        <v>84.75</v>
      </c>
      <c r="CH1300" s="22">
        <f t="shared" si="245"/>
        <v>351.75</v>
      </c>
      <c r="CI1300" s="3">
        <f t="shared" si="246"/>
        <v>0</v>
      </c>
      <c r="CJ1300" s="17">
        <f t="shared" si="247"/>
        <v>11741</v>
      </c>
      <c r="CK1300" s="3" t="str">
        <f t="shared" si="248"/>
        <v>صيدلة اكلينيكى</v>
      </c>
    </row>
    <row r="1301" spans="2:89" x14ac:dyDescent="0.25">
      <c r="C1301" s="17" t="s">
        <v>592</v>
      </c>
      <c r="D1301" s="17">
        <v>19290</v>
      </c>
      <c r="E1301" s="17">
        <v>11742</v>
      </c>
      <c r="F1301" s="3" t="s">
        <v>132</v>
      </c>
      <c r="G1301" s="3" t="s">
        <v>642</v>
      </c>
      <c r="I1301" s="3">
        <v>293.12</v>
      </c>
      <c r="AU1301" s="22">
        <f t="shared" si="244"/>
        <v>293.12</v>
      </c>
      <c r="AV1301" s="3">
        <v>196.45</v>
      </c>
      <c r="AW1301" s="3">
        <v>26.05</v>
      </c>
      <c r="AX1301" s="3">
        <v>70.62</v>
      </c>
      <c r="CH1301" s="22">
        <f t="shared" si="245"/>
        <v>293.12</v>
      </c>
      <c r="CI1301" s="3">
        <f t="shared" si="246"/>
        <v>0</v>
      </c>
      <c r="CJ1301" s="17">
        <f t="shared" si="247"/>
        <v>11742</v>
      </c>
      <c r="CK1301" s="3" t="str">
        <f t="shared" si="248"/>
        <v>صيدلة اكلينيكى</v>
      </c>
    </row>
    <row r="1302" spans="2:89" x14ac:dyDescent="0.25">
      <c r="C1302" s="17" t="s">
        <v>592</v>
      </c>
      <c r="D1302" s="17">
        <v>19291</v>
      </c>
      <c r="E1302" s="17">
        <v>11743</v>
      </c>
      <c r="F1302" s="3" t="s">
        <v>132</v>
      </c>
      <c r="G1302" s="3" t="s">
        <v>643</v>
      </c>
      <c r="I1302" s="3">
        <v>586.25</v>
      </c>
      <c r="AU1302" s="22">
        <f t="shared" si="244"/>
        <v>586.25</v>
      </c>
      <c r="AV1302" s="3">
        <v>392.4</v>
      </c>
      <c r="AW1302" s="3">
        <v>52.6</v>
      </c>
      <c r="AX1302" s="3">
        <v>141.25</v>
      </c>
      <c r="CH1302" s="22">
        <f t="shared" si="245"/>
        <v>586.25</v>
      </c>
      <c r="CI1302" s="3">
        <f t="shared" si="246"/>
        <v>0</v>
      </c>
      <c r="CJ1302" s="17">
        <f t="shared" si="247"/>
        <v>11743</v>
      </c>
      <c r="CK1302" s="3" t="str">
        <f t="shared" si="248"/>
        <v>صيدلة اكلينيكى</v>
      </c>
    </row>
    <row r="1303" spans="2:89" x14ac:dyDescent="0.25">
      <c r="B1303" s="3"/>
      <c r="C1303" s="17" t="s">
        <v>592</v>
      </c>
      <c r="D1303" s="17">
        <v>19302</v>
      </c>
      <c r="E1303" s="17">
        <v>11744</v>
      </c>
      <c r="F1303" s="3" t="s">
        <v>132</v>
      </c>
      <c r="G1303" s="3" t="s">
        <v>403</v>
      </c>
      <c r="I1303" s="3">
        <v>1524.25</v>
      </c>
      <c r="AU1303" s="22">
        <f t="shared" si="244"/>
        <v>1524.25</v>
      </c>
      <c r="AV1303" s="3">
        <v>1018.7</v>
      </c>
      <c r="AW1303" s="3">
        <v>138.30000000000001</v>
      </c>
      <c r="AX1303" s="3">
        <v>367.25</v>
      </c>
      <c r="CH1303" s="22">
        <f t="shared" si="245"/>
        <v>1524.25</v>
      </c>
      <c r="CI1303" s="3">
        <f t="shared" si="246"/>
        <v>0</v>
      </c>
      <c r="CJ1303" s="17">
        <f t="shared" si="247"/>
        <v>11744</v>
      </c>
      <c r="CK1303" s="3" t="str">
        <f t="shared" si="248"/>
        <v>صيدلة اكلينيكى</v>
      </c>
    </row>
    <row r="1304" spans="2:89" x14ac:dyDescent="0.25">
      <c r="C1304" s="17" t="s">
        <v>592</v>
      </c>
      <c r="D1304" s="17">
        <v>19301</v>
      </c>
      <c r="E1304" s="17">
        <v>11745</v>
      </c>
      <c r="F1304" s="3" t="s">
        <v>132</v>
      </c>
      <c r="G1304" s="3" t="s">
        <v>403</v>
      </c>
      <c r="I1304" s="3">
        <v>1758.75</v>
      </c>
      <c r="AU1304" s="22">
        <f t="shared" si="244"/>
        <v>1758.75</v>
      </c>
      <c r="AV1304" s="3">
        <v>1175.3499999999999</v>
      </c>
      <c r="AW1304" s="3">
        <v>159.65</v>
      </c>
      <c r="AX1304" s="3">
        <v>423.75</v>
      </c>
      <c r="CH1304" s="22">
        <f t="shared" si="245"/>
        <v>1758.75</v>
      </c>
      <c r="CI1304" s="3">
        <f t="shared" si="246"/>
        <v>0</v>
      </c>
      <c r="CJ1304" s="17">
        <f t="shared" si="247"/>
        <v>11745</v>
      </c>
      <c r="CK1304" s="3" t="str">
        <f t="shared" si="248"/>
        <v>صيدلة اكلينيكى</v>
      </c>
    </row>
    <row r="1305" spans="2:89" x14ac:dyDescent="0.25">
      <c r="C1305" s="17" t="s">
        <v>592</v>
      </c>
      <c r="D1305" s="17">
        <v>19293</v>
      </c>
      <c r="E1305" s="17">
        <v>11746</v>
      </c>
      <c r="F1305" s="3" t="s">
        <v>132</v>
      </c>
      <c r="G1305" s="3" t="s">
        <v>644</v>
      </c>
      <c r="I1305" s="3">
        <v>28500</v>
      </c>
      <c r="AU1305" s="22">
        <f t="shared" si="244"/>
        <v>28500</v>
      </c>
      <c r="AV1305" s="3">
        <v>25423.599999999999</v>
      </c>
      <c r="AW1305" s="3">
        <v>3076.4</v>
      </c>
      <c r="CH1305" s="22">
        <f t="shared" si="245"/>
        <v>28500</v>
      </c>
      <c r="CI1305" s="3">
        <f t="shared" si="246"/>
        <v>0</v>
      </c>
      <c r="CJ1305" s="17">
        <f t="shared" si="247"/>
        <v>11746</v>
      </c>
      <c r="CK1305" s="3" t="str">
        <f t="shared" si="248"/>
        <v>صيدلة اكلينيكى</v>
      </c>
    </row>
    <row r="1306" spans="2:89" x14ac:dyDescent="0.25">
      <c r="C1306" s="17" t="s">
        <v>592</v>
      </c>
      <c r="D1306" s="17">
        <v>19292</v>
      </c>
      <c r="E1306" s="17">
        <v>11747</v>
      </c>
      <c r="F1306" s="3" t="s">
        <v>132</v>
      </c>
      <c r="G1306" s="3" t="s">
        <v>645</v>
      </c>
      <c r="I1306" s="3">
        <v>3106.25</v>
      </c>
      <c r="AU1306" s="22">
        <f t="shared" si="244"/>
        <v>3106.25</v>
      </c>
      <c r="AV1306" s="3">
        <v>2642.2</v>
      </c>
      <c r="AW1306" s="3">
        <v>322.8</v>
      </c>
      <c r="AX1306" s="3">
        <v>141.25</v>
      </c>
      <c r="CH1306" s="22">
        <f t="shared" si="245"/>
        <v>3106.25</v>
      </c>
      <c r="CI1306" s="3">
        <f t="shared" si="246"/>
        <v>0</v>
      </c>
      <c r="CJ1306" s="17">
        <f t="shared" si="247"/>
        <v>11747</v>
      </c>
      <c r="CK1306" s="3" t="str">
        <f t="shared" si="248"/>
        <v>صيدلة اكلينيكى</v>
      </c>
    </row>
    <row r="1307" spans="2:89" x14ac:dyDescent="0.25">
      <c r="C1307" s="17" t="s">
        <v>592</v>
      </c>
      <c r="D1307" s="17">
        <v>19294</v>
      </c>
      <c r="E1307" s="17">
        <v>11748</v>
      </c>
      <c r="F1307" s="3" t="s">
        <v>132</v>
      </c>
      <c r="G1307" s="3" t="s">
        <v>646</v>
      </c>
      <c r="I1307" s="3">
        <v>2520.88</v>
      </c>
      <c r="AU1307" s="22">
        <f t="shared" si="244"/>
        <v>2520.88</v>
      </c>
      <c r="AV1307" s="3">
        <v>1686.8</v>
      </c>
      <c r="AW1307" s="3">
        <v>226.7</v>
      </c>
      <c r="AX1307" s="3">
        <v>607.38</v>
      </c>
      <c r="CH1307" s="22">
        <f t="shared" si="245"/>
        <v>2520.88</v>
      </c>
      <c r="CI1307" s="3">
        <f t="shared" si="246"/>
        <v>0</v>
      </c>
      <c r="CJ1307" s="17">
        <f t="shared" si="247"/>
        <v>11748</v>
      </c>
      <c r="CK1307" s="3" t="str">
        <f t="shared" si="248"/>
        <v>صيدلة اكلينيكى</v>
      </c>
    </row>
    <row r="1308" spans="2:89" x14ac:dyDescent="0.25">
      <c r="C1308" s="17" t="s">
        <v>592</v>
      </c>
      <c r="D1308" s="17">
        <v>19295</v>
      </c>
      <c r="E1308" s="17">
        <v>11749</v>
      </c>
      <c r="F1308" s="3" t="s">
        <v>132</v>
      </c>
      <c r="G1308" s="3" t="s">
        <v>647</v>
      </c>
      <c r="I1308" s="3">
        <v>6612.9</v>
      </c>
      <c r="AU1308" s="22">
        <f t="shared" si="244"/>
        <v>6612.9</v>
      </c>
      <c r="AV1308" s="3">
        <v>4423.8999999999996</v>
      </c>
      <c r="AW1308" s="3">
        <f>31.7+564</f>
        <v>595.70000000000005</v>
      </c>
      <c r="AX1308" s="3">
        <v>1593.3</v>
      </c>
      <c r="CH1308" s="22">
        <f t="shared" si="245"/>
        <v>6612.9</v>
      </c>
      <c r="CI1308" s="3">
        <f t="shared" si="246"/>
        <v>0</v>
      </c>
      <c r="CJ1308" s="17">
        <f t="shared" si="247"/>
        <v>11749</v>
      </c>
      <c r="CK1308" s="3" t="str">
        <f t="shared" si="248"/>
        <v>صيدلة اكلينيكى</v>
      </c>
    </row>
    <row r="1309" spans="2:89" x14ac:dyDescent="0.25">
      <c r="C1309" s="17" t="s">
        <v>592</v>
      </c>
      <c r="D1309" s="17">
        <v>19297</v>
      </c>
      <c r="E1309" s="17">
        <v>11750</v>
      </c>
      <c r="F1309" s="3" t="s">
        <v>132</v>
      </c>
      <c r="G1309" s="3" t="s">
        <v>648</v>
      </c>
      <c r="I1309" s="3">
        <v>3500</v>
      </c>
      <c r="AU1309" s="22">
        <f t="shared" si="244"/>
        <v>3500</v>
      </c>
      <c r="AV1309" s="3">
        <v>3129.35</v>
      </c>
      <c r="AW1309" s="3">
        <v>370.65</v>
      </c>
      <c r="CH1309" s="22">
        <f t="shared" si="245"/>
        <v>3500</v>
      </c>
      <c r="CI1309" s="3">
        <f t="shared" si="246"/>
        <v>0</v>
      </c>
      <c r="CJ1309" s="17">
        <f t="shared" si="247"/>
        <v>11750</v>
      </c>
      <c r="CK1309" s="3" t="str">
        <f t="shared" si="248"/>
        <v>صيدلة اكلينيكى</v>
      </c>
    </row>
    <row r="1310" spans="2:89" x14ac:dyDescent="0.25">
      <c r="C1310" s="17" t="s">
        <v>592</v>
      </c>
      <c r="D1310" s="17">
        <v>19296</v>
      </c>
      <c r="E1310" s="17">
        <v>11751</v>
      </c>
      <c r="F1310" s="3" t="s">
        <v>132</v>
      </c>
      <c r="G1310" s="3" t="s">
        <v>649</v>
      </c>
      <c r="I1310" s="3">
        <v>500</v>
      </c>
      <c r="AU1310" s="22">
        <f t="shared" si="244"/>
        <v>500</v>
      </c>
      <c r="AV1310" s="3">
        <v>447.05</v>
      </c>
      <c r="AW1310" s="3">
        <v>52.95</v>
      </c>
      <c r="CH1310" s="22">
        <f t="shared" si="245"/>
        <v>500</v>
      </c>
      <c r="CI1310" s="3">
        <f t="shared" si="246"/>
        <v>0</v>
      </c>
      <c r="CJ1310" s="17">
        <f t="shared" si="247"/>
        <v>11751</v>
      </c>
      <c r="CK1310" s="3" t="str">
        <f t="shared" si="248"/>
        <v>صيدلة اكلينيكى</v>
      </c>
    </row>
    <row r="1311" spans="2:89" x14ac:dyDescent="0.25">
      <c r="C1311" s="17" t="s">
        <v>592</v>
      </c>
      <c r="D1311" s="17">
        <v>19303</v>
      </c>
      <c r="E1311" s="17">
        <v>11752</v>
      </c>
      <c r="F1311" s="3" t="s">
        <v>132</v>
      </c>
      <c r="G1311" s="3" t="s">
        <v>650</v>
      </c>
      <c r="I1311" s="3">
        <v>5776.25</v>
      </c>
      <c r="AU1311" s="22">
        <f t="shared" si="244"/>
        <v>5776.25</v>
      </c>
      <c r="AV1311" s="3">
        <v>3971.55</v>
      </c>
      <c r="AW1311" s="3">
        <v>533.45000000000005</v>
      </c>
      <c r="AX1311" s="3">
        <v>1271.25</v>
      </c>
      <c r="CH1311" s="22">
        <f t="shared" si="245"/>
        <v>5776.25</v>
      </c>
      <c r="CI1311" s="3">
        <f t="shared" si="246"/>
        <v>0</v>
      </c>
      <c r="CJ1311" s="17">
        <f t="shared" si="247"/>
        <v>11752</v>
      </c>
      <c r="CK1311" s="3" t="str">
        <f t="shared" si="248"/>
        <v>صيدلة اكلينيكى</v>
      </c>
    </row>
    <row r="1312" spans="2:89" x14ac:dyDescent="0.25">
      <c r="C1312" s="17" t="s">
        <v>592</v>
      </c>
      <c r="D1312" s="17">
        <v>19299</v>
      </c>
      <c r="E1312" s="17">
        <v>11753</v>
      </c>
      <c r="F1312" s="3" t="s">
        <v>132</v>
      </c>
      <c r="G1312" s="3" t="s">
        <v>651</v>
      </c>
      <c r="I1312" s="3">
        <v>938</v>
      </c>
      <c r="AU1312" s="22">
        <f t="shared" si="244"/>
        <v>938</v>
      </c>
      <c r="AV1312" s="3">
        <v>628</v>
      </c>
      <c r="AW1312" s="3">
        <v>84</v>
      </c>
      <c r="AX1312" s="3">
        <v>226</v>
      </c>
      <c r="CH1312" s="22">
        <f t="shared" si="245"/>
        <v>938</v>
      </c>
      <c r="CI1312" s="3">
        <f t="shared" si="246"/>
        <v>0</v>
      </c>
      <c r="CJ1312" s="17">
        <f t="shared" si="247"/>
        <v>11753</v>
      </c>
      <c r="CK1312" s="3" t="str">
        <f t="shared" si="248"/>
        <v>صيدلة اكلينيكى</v>
      </c>
    </row>
    <row r="1313" spans="2:89" x14ac:dyDescent="0.25">
      <c r="C1313" s="17" t="s">
        <v>592</v>
      </c>
      <c r="D1313" s="17">
        <v>19298</v>
      </c>
      <c r="E1313" s="17">
        <v>11754</v>
      </c>
      <c r="F1313" s="3" t="s">
        <v>132</v>
      </c>
      <c r="G1313" s="3" t="s">
        <v>651</v>
      </c>
      <c r="I1313" s="3">
        <v>351.75</v>
      </c>
      <c r="AU1313" s="22">
        <f t="shared" si="244"/>
        <v>351.75</v>
      </c>
      <c r="AV1313" s="3">
        <v>235.55</v>
      </c>
      <c r="AW1313" s="3">
        <v>31.45</v>
      </c>
      <c r="AX1313" s="3">
        <v>84.75</v>
      </c>
      <c r="CH1313" s="22">
        <f t="shared" si="245"/>
        <v>351.75</v>
      </c>
      <c r="CI1313" s="3">
        <f t="shared" si="246"/>
        <v>0</v>
      </c>
      <c r="CJ1313" s="17">
        <f t="shared" si="247"/>
        <v>11754</v>
      </c>
      <c r="CK1313" s="3" t="str">
        <f t="shared" si="248"/>
        <v>صيدلة اكلينيكى</v>
      </c>
    </row>
    <row r="1314" spans="2:89" x14ac:dyDescent="0.25">
      <c r="C1314" s="17" t="s">
        <v>592</v>
      </c>
      <c r="D1314" s="17">
        <v>19300</v>
      </c>
      <c r="E1314" s="17">
        <v>11755</v>
      </c>
      <c r="F1314" s="3" t="s">
        <v>132</v>
      </c>
      <c r="G1314" s="3" t="s">
        <v>651</v>
      </c>
      <c r="I1314" s="3">
        <v>300</v>
      </c>
      <c r="AU1314" s="22">
        <f t="shared" si="244"/>
        <v>300</v>
      </c>
      <c r="AV1314" s="3">
        <v>268.35000000000002</v>
      </c>
      <c r="AW1314" s="3">
        <f>30+1.65</f>
        <v>31.65</v>
      </c>
      <c r="CH1314" s="22">
        <f t="shared" si="245"/>
        <v>300</v>
      </c>
      <c r="CI1314" s="3">
        <f t="shared" si="246"/>
        <v>0</v>
      </c>
      <c r="CJ1314" s="17">
        <f t="shared" si="247"/>
        <v>11755</v>
      </c>
      <c r="CK1314" s="3" t="str">
        <f t="shared" si="248"/>
        <v>صيدلة اكلينيكى</v>
      </c>
    </row>
    <row r="1315" spans="2:89" x14ac:dyDescent="0.25">
      <c r="C1315" s="17" t="s">
        <v>592</v>
      </c>
      <c r="D1315" s="17">
        <v>19306</v>
      </c>
      <c r="E1315" s="17">
        <v>11756</v>
      </c>
      <c r="F1315" s="3" t="s">
        <v>132</v>
      </c>
      <c r="G1315" s="3" t="s">
        <v>652</v>
      </c>
      <c r="I1315" s="3">
        <v>9224.39</v>
      </c>
      <c r="AU1315" s="22">
        <f t="shared" si="244"/>
        <v>9224.39</v>
      </c>
      <c r="AV1315" s="3">
        <v>7512.9</v>
      </c>
      <c r="AW1315" s="3">
        <v>934.6</v>
      </c>
      <c r="AX1315" s="3">
        <v>776.89</v>
      </c>
      <c r="CH1315" s="22">
        <f t="shared" si="245"/>
        <v>9224.39</v>
      </c>
      <c r="CI1315" s="3">
        <f t="shared" si="246"/>
        <v>0</v>
      </c>
      <c r="CJ1315" s="17">
        <f t="shared" si="247"/>
        <v>11756</v>
      </c>
      <c r="CK1315" s="3" t="str">
        <f t="shared" si="248"/>
        <v>صيدلة اكلينيكى</v>
      </c>
    </row>
    <row r="1316" spans="2:89" x14ac:dyDescent="0.25">
      <c r="C1316" s="17" t="s">
        <v>592</v>
      </c>
      <c r="D1316" s="17">
        <v>19305</v>
      </c>
      <c r="E1316" s="17">
        <v>11757</v>
      </c>
      <c r="F1316" s="3" t="s">
        <v>132</v>
      </c>
      <c r="G1316" s="3" t="s">
        <v>652</v>
      </c>
      <c r="I1316" s="3">
        <v>750</v>
      </c>
      <c r="AU1316" s="22">
        <f t="shared" si="244"/>
        <v>750</v>
      </c>
      <c r="AV1316" s="3">
        <v>670.1</v>
      </c>
      <c r="AW1316" s="3">
        <v>79.900000000000006</v>
      </c>
      <c r="CH1316" s="22">
        <f t="shared" si="245"/>
        <v>750</v>
      </c>
      <c r="CI1316" s="3">
        <f t="shared" si="246"/>
        <v>0</v>
      </c>
      <c r="CJ1316" s="17">
        <f t="shared" si="247"/>
        <v>11757</v>
      </c>
      <c r="CK1316" s="3" t="str">
        <f t="shared" si="248"/>
        <v>صيدلة اكلينيكى</v>
      </c>
    </row>
    <row r="1317" spans="2:89" x14ac:dyDescent="0.25">
      <c r="C1317" s="17" t="s">
        <v>592</v>
      </c>
      <c r="D1317" s="17">
        <v>19304</v>
      </c>
      <c r="E1317" s="17">
        <v>11758</v>
      </c>
      <c r="F1317" s="3" t="s">
        <v>132</v>
      </c>
      <c r="G1317" s="3" t="s">
        <v>652</v>
      </c>
      <c r="I1317" s="3">
        <v>586.25</v>
      </c>
      <c r="AU1317" s="22">
        <f t="shared" si="244"/>
        <v>586.25</v>
      </c>
      <c r="AV1317" s="3">
        <v>392.4</v>
      </c>
      <c r="AW1317" s="3">
        <v>52.6</v>
      </c>
      <c r="AX1317" s="3">
        <v>141.25</v>
      </c>
      <c r="CH1317" s="22">
        <f t="shared" si="245"/>
        <v>586.25</v>
      </c>
      <c r="CI1317" s="3">
        <f t="shared" si="246"/>
        <v>0</v>
      </c>
      <c r="CJ1317" s="17">
        <f t="shared" si="247"/>
        <v>11758</v>
      </c>
      <c r="CK1317" s="3" t="str">
        <f t="shared" si="248"/>
        <v>صيدلة اكلينيكى</v>
      </c>
    </row>
    <row r="1318" spans="2:89" x14ac:dyDescent="0.25">
      <c r="C1318" s="17" t="s">
        <v>592</v>
      </c>
      <c r="D1318" s="17">
        <v>19307</v>
      </c>
      <c r="E1318" s="17">
        <v>11759</v>
      </c>
      <c r="F1318" s="3" t="s">
        <v>132</v>
      </c>
      <c r="G1318" s="3" t="s">
        <v>652</v>
      </c>
      <c r="I1318" s="3">
        <v>586.25</v>
      </c>
      <c r="AU1318" s="22">
        <f t="shared" ref="AU1318:AU1349" si="249">SUM(I1318:AS1318)</f>
        <v>586.25</v>
      </c>
      <c r="AV1318" s="3">
        <v>392.4</v>
      </c>
      <c r="AW1318" s="3">
        <f>50+2.6</f>
        <v>52.6</v>
      </c>
      <c r="AX1318" s="3">
        <v>141.25</v>
      </c>
      <c r="CH1318" s="22">
        <f t="shared" ref="CH1318:CH1349" si="250">SUM(AV1318:CG1318)</f>
        <v>586.25</v>
      </c>
      <c r="CI1318" s="3">
        <f t="shared" ref="CI1318:CI1349" si="251">+CH1318-AU1318</f>
        <v>0</v>
      </c>
      <c r="CJ1318" s="17">
        <f t="shared" ref="CJ1318:CJ1349" si="252">+E1318</f>
        <v>11759</v>
      </c>
      <c r="CK1318" s="3" t="str">
        <f t="shared" si="248"/>
        <v>صيدلة اكلينيكى</v>
      </c>
    </row>
    <row r="1319" spans="2:89" x14ac:dyDescent="0.25">
      <c r="C1319" s="17" t="s">
        <v>592</v>
      </c>
      <c r="D1319" s="17">
        <v>19312</v>
      </c>
      <c r="E1319" s="17">
        <v>11760</v>
      </c>
      <c r="F1319" s="3" t="s">
        <v>132</v>
      </c>
      <c r="G1319" s="3" t="s">
        <v>653</v>
      </c>
      <c r="I1319" s="3">
        <v>11007</v>
      </c>
      <c r="AU1319" s="22">
        <f t="shared" si="249"/>
        <v>11007</v>
      </c>
      <c r="AV1319" s="3">
        <v>9520.5</v>
      </c>
      <c r="AW1319" s="3">
        <f>67.5+1080</f>
        <v>1147.5</v>
      </c>
      <c r="AX1319" s="3">
        <v>339</v>
      </c>
      <c r="CH1319" s="22">
        <f t="shared" si="250"/>
        <v>11007</v>
      </c>
      <c r="CI1319" s="3">
        <f t="shared" si="251"/>
        <v>0</v>
      </c>
      <c r="CJ1319" s="17">
        <f t="shared" si="252"/>
        <v>11760</v>
      </c>
      <c r="CK1319" s="3" t="str">
        <f t="shared" si="248"/>
        <v>صيدلة اكلينيكى</v>
      </c>
    </row>
    <row r="1320" spans="2:89" x14ac:dyDescent="0.25">
      <c r="C1320" s="17" t="s">
        <v>592</v>
      </c>
      <c r="D1320" s="17">
        <v>19311</v>
      </c>
      <c r="E1320" s="17">
        <v>11761</v>
      </c>
      <c r="F1320" s="3" t="s">
        <v>132</v>
      </c>
      <c r="G1320" s="3" t="s">
        <v>653</v>
      </c>
      <c r="I1320" s="3">
        <v>7148.89</v>
      </c>
      <c r="AU1320" s="22">
        <f t="shared" si="249"/>
        <v>7148.89</v>
      </c>
      <c r="AV1320" s="3">
        <v>4788.38</v>
      </c>
      <c r="AW1320" s="3">
        <v>642.75</v>
      </c>
      <c r="AX1320" s="3">
        <v>1717.76</v>
      </c>
      <c r="CH1320" s="22">
        <f t="shared" si="250"/>
        <v>7148.89</v>
      </c>
      <c r="CI1320" s="3">
        <f t="shared" si="251"/>
        <v>0</v>
      </c>
      <c r="CJ1320" s="17">
        <f t="shared" si="252"/>
        <v>11761</v>
      </c>
      <c r="CK1320" s="3" t="str">
        <f t="shared" si="248"/>
        <v>صيدلة اكلينيكى</v>
      </c>
    </row>
    <row r="1321" spans="2:89" x14ac:dyDescent="0.25">
      <c r="C1321" s="17" t="s">
        <v>592</v>
      </c>
      <c r="D1321" s="17">
        <v>19310</v>
      </c>
      <c r="E1321" s="17">
        <v>11762</v>
      </c>
      <c r="F1321" s="3" t="s">
        <v>132</v>
      </c>
      <c r="G1321" s="3" t="s">
        <v>653</v>
      </c>
      <c r="I1321" s="3">
        <v>586.25</v>
      </c>
      <c r="AU1321" s="22">
        <f t="shared" si="249"/>
        <v>586.25</v>
      </c>
      <c r="AV1321" s="3">
        <v>392.4</v>
      </c>
      <c r="AW1321" s="3">
        <v>52.6</v>
      </c>
      <c r="AX1321" s="3">
        <v>141.25</v>
      </c>
      <c r="CH1321" s="22">
        <f t="shared" si="250"/>
        <v>586.25</v>
      </c>
      <c r="CI1321" s="3">
        <f t="shared" si="251"/>
        <v>0</v>
      </c>
      <c r="CJ1321" s="17">
        <f t="shared" si="252"/>
        <v>11762</v>
      </c>
      <c r="CK1321" s="3" t="str">
        <f t="shared" si="248"/>
        <v>صيدلة اكلينيكى</v>
      </c>
    </row>
    <row r="1322" spans="2:89" x14ac:dyDescent="0.25">
      <c r="C1322" s="17" t="s">
        <v>592</v>
      </c>
      <c r="D1322" s="17">
        <v>19309</v>
      </c>
      <c r="E1322" s="17">
        <v>11763</v>
      </c>
      <c r="F1322" s="3" t="s">
        <v>132</v>
      </c>
      <c r="G1322" s="3" t="s">
        <v>653</v>
      </c>
      <c r="I1322" s="3">
        <v>762.12</v>
      </c>
      <c r="AU1322" s="22">
        <f t="shared" si="249"/>
        <v>762.12</v>
      </c>
      <c r="AV1322" s="3">
        <v>509.8</v>
      </c>
      <c r="AW1322" s="3">
        <v>68.7</v>
      </c>
      <c r="AX1322" s="3">
        <v>183.62</v>
      </c>
      <c r="CH1322" s="22">
        <f t="shared" si="250"/>
        <v>762.12</v>
      </c>
      <c r="CI1322" s="3">
        <f t="shared" si="251"/>
        <v>0</v>
      </c>
      <c r="CJ1322" s="17">
        <f t="shared" si="252"/>
        <v>11763</v>
      </c>
      <c r="CK1322" s="3" t="str">
        <f t="shared" ref="CK1322:CK1353" si="253">+F1322</f>
        <v>صيدلة اكلينيكى</v>
      </c>
    </row>
    <row r="1323" spans="2:89" x14ac:dyDescent="0.25">
      <c r="C1323" s="17" t="s">
        <v>592</v>
      </c>
      <c r="D1323" s="17">
        <v>19308</v>
      </c>
      <c r="E1323" s="17">
        <v>11764</v>
      </c>
      <c r="F1323" s="3" t="s">
        <v>132</v>
      </c>
      <c r="G1323" s="3" t="s">
        <v>653</v>
      </c>
      <c r="I1323" s="3">
        <v>1876</v>
      </c>
      <c r="AU1323" s="22">
        <f t="shared" si="249"/>
        <v>1876</v>
      </c>
      <c r="AV1323" s="3">
        <v>1255.3499999999999</v>
      </c>
      <c r="AW1323" s="3">
        <v>168.65</v>
      </c>
      <c r="AX1323" s="3">
        <v>452</v>
      </c>
      <c r="CH1323" s="22">
        <f t="shared" si="250"/>
        <v>1876</v>
      </c>
      <c r="CI1323" s="3">
        <f t="shared" si="251"/>
        <v>0</v>
      </c>
      <c r="CJ1323" s="17">
        <f t="shared" si="252"/>
        <v>11764</v>
      </c>
      <c r="CK1323" s="3" t="str">
        <f t="shared" si="253"/>
        <v>صيدلة اكلينيكى</v>
      </c>
    </row>
    <row r="1324" spans="2:89" x14ac:dyDescent="0.25">
      <c r="C1324" s="17" t="s">
        <v>571</v>
      </c>
      <c r="D1324" s="17">
        <v>19494</v>
      </c>
      <c r="E1324" s="17">
        <v>11765</v>
      </c>
      <c r="F1324" s="3" t="s">
        <v>325</v>
      </c>
      <c r="G1324" s="3" t="s">
        <v>654</v>
      </c>
      <c r="I1324" s="3">
        <v>12000</v>
      </c>
      <c r="AU1324" s="22">
        <f t="shared" si="249"/>
        <v>12000</v>
      </c>
      <c r="AV1324" s="3">
        <v>10711.65</v>
      </c>
      <c r="AW1324" s="3">
        <v>1288.3499999999999</v>
      </c>
      <c r="CH1324" s="22">
        <f t="shared" si="250"/>
        <v>12000</v>
      </c>
      <c r="CI1324" s="3">
        <f t="shared" si="251"/>
        <v>0</v>
      </c>
      <c r="CJ1324" s="17">
        <f t="shared" si="252"/>
        <v>11765</v>
      </c>
      <c r="CK1324" s="3" t="str">
        <f t="shared" si="253"/>
        <v xml:space="preserve">برنامج دولى </v>
      </c>
    </row>
    <row r="1325" spans="2:89" x14ac:dyDescent="0.25">
      <c r="C1325" s="17" t="s">
        <v>574</v>
      </c>
      <c r="D1325" s="17">
        <v>19493</v>
      </c>
      <c r="E1325" s="17">
        <v>11766</v>
      </c>
      <c r="F1325" s="3" t="s">
        <v>325</v>
      </c>
      <c r="G1325" s="3" t="s">
        <v>506</v>
      </c>
      <c r="I1325" s="3">
        <v>2110.5</v>
      </c>
      <c r="AU1325" s="22">
        <f t="shared" si="249"/>
        <v>2110.5</v>
      </c>
      <c r="AV1325" s="3">
        <v>1410.35</v>
      </c>
      <c r="AW1325" s="3">
        <f>11.65+180</f>
        <v>191.65</v>
      </c>
      <c r="AX1325" s="3">
        <f>700.15-AW1325</f>
        <v>508.5</v>
      </c>
      <c r="CH1325" s="22">
        <f t="shared" si="250"/>
        <v>2110.5</v>
      </c>
      <c r="CI1325" s="3">
        <f t="shared" si="251"/>
        <v>0</v>
      </c>
      <c r="CJ1325" s="17">
        <f t="shared" si="252"/>
        <v>11766</v>
      </c>
      <c r="CK1325" s="3" t="str">
        <f t="shared" si="253"/>
        <v xml:space="preserve">برنامج دولى </v>
      </c>
    </row>
    <row r="1326" spans="2:89" x14ac:dyDescent="0.25">
      <c r="B1326" s="3"/>
      <c r="C1326" s="17" t="s">
        <v>574</v>
      </c>
      <c r="D1326" s="17">
        <v>19502</v>
      </c>
      <c r="E1326" s="17">
        <v>11767</v>
      </c>
      <c r="F1326" s="3" t="s">
        <v>325</v>
      </c>
      <c r="G1326" s="3" t="s">
        <v>567</v>
      </c>
      <c r="I1326" s="3">
        <v>44700</v>
      </c>
      <c r="AU1326" s="22">
        <f t="shared" si="249"/>
        <v>44700</v>
      </c>
      <c r="AV1326" s="3">
        <v>39887.949999999997</v>
      </c>
      <c r="AW1326" s="3">
        <v>4812.05</v>
      </c>
      <c r="CH1326" s="22">
        <f t="shared" si="250"/>
        <v>44700</v>
      </c>
      <c r="CI1326" s="3">
        <f t="shared" si="251"/>
        <v>0</v>
      </c>
      <c r="CJ1326" s="17">
        <f t="shared" si="252"/>
        <v>11767</v>
      </c>
      <c r="CK1326" s="3" t="str">
        <f t="shared" si="253"/>
        <v xml:space="preserve">برنامج دولى </v>
      </c>
    </row>
    <row r="1327" spans="2:89" x14ac:dyDescent="0.25">
      <c r="C1327" s="17" t="s">
        <v>574</v>
      </c>
      <c r="D1327" s="17">
        <v>19503</v>
      </c>
      <c r="E1327" s="17">
        <v>11768</v>
      </c>
      <c r="F1327" s="3" t="s">
        <v>325</v>
      </c>
      <c r="G1327" s="3" t="s">
        <v>567</v>
      </c>
      <c r="I1327" s="3">
        <v>3697.85</v>
      </c>
      <c r="AU1327" s="22">
        <f t="shared" si="249"/>
        <v>3697.85</v>
      </c>
      <c r="AV1327" s="3">
        <v>3152.06</v>
      </c>
      <c r="AW1327" s="3">
        <v>385.55</v>
      </c>
      <c r="AX1327" s="3">
        <v>160.24</v>
      </c>
      <c r="CH1327" s="22">
        <f t="shared" si="250"/>
        <v>3697.8500000000004</v>
      </c>
      <c r="CI1327" s="3">
        <f t="shared" si="251"/>
        <v>0</v>
      </c>
      <c r="CJ1327" s="17">
        <f t="shared" si="252"/>
        <v>11768</v>
      </c>
      <c r="CK1327" s="3" t="str">
        <f t="shared" si="253"/>
        <v xml:space="preserve">برنامج دولى </v>
      </c>
    </row>
    <row r="1328" spans="2:89" x14ac:dyDescent="0.25">
      <c r="C1328" s="17" t="s">
        <v>574</v>
      </c>
      <c r="D1328" s="17">
        <v>19504</v>
      </c>
      <c r="E1328" s="17">
        <v>11769</v>
      </c>
      <c r="F1328" s="3" t="s">
        <v>325</v>
      </c>
      <c r="G1328" s="3" t="s">
        <v>567</v>
      </c>
      <c r="I1328" s="3">
        <v>3169.15</v>
      </c>
      <c r="AU1328" s="22">
        <f t="shared" si="249"/>
        <v>3169.15</v>
      </c>
      <c r="AV1328" s="3">
        <v>2058.1</v>
      </c>
      <c r="AW1328" s="3">
        <v>281.3</v>
      </c>
      <c r="AX1328" s="3">
        <v>829.75</v>
      </c>
      <c r="CH1328" s="22">
        <f t="shared" si="250"/>
        <v>3169.15</v>
      </c>
      <c r="CI1328" s="3">
        <f t="shared" si="251"/>
        <v>0</v>
      </c>
      <c r="CJ1328" s="17">
        <f t="shared" si="252"/>
        <v>11769</v>
      </c>
      <c r="CK1328" s="3" t="str">
        <f t="shared" si="253"/>
        <v xml:space="preserve">برنامج دولى </v>
      </c>
    </row>
    <row r="1329" spans="3:89" x14ac:dyDescent="0.25">
      <c r="C1329" s="17" t="s">
        <v>574</v>
      </c>
      <c r="D1329" s="17">
        <v>19508</v>
      </c>
      <c r="E1329" s="17">
        <v>11770</v>
      </c>
      <c r="F1329" s="3" t="s">
        <v>325</v>
      </c>
      <c r="G1329" s="3" t="s">
        <v>567</v>
      </c>
      <c r="I1329" s="3">
        <v>316.57</v>
      </c>
      <c r="AU1329" s="22">
        <f t="shared" si="249"/>
        <v>316.57</v>
      </c>
      <c r="AV1329" s="3">
        <v>212.4</v>
      </c>
      <c r="AW1329" s="3">
        <v>27.9</v>
      </c>
      <c r="AX1329" s="3">
        <v>76.27</v>
      </c>
      <c r="CH1329" s="22">
        <f t="shared" si="250"/>
        <v>316.57</v>
      </c>
      <c r="CI1329" s="3">
        <f t="shared" si="251"/>
        <v>0</v>
      </c>
      <c r="CJ1329" s="17">
        <f t="shared" si="252"/>
        <v>11770</v>
      </c>
      <c r="CK1329" s="3" t="str">
        <f t="shared" si="253"/>
        <v xml:space="preserve">برنامج دولى </v>
      </c>
    </row>
    <row r="1330" spans="3:89" x14ac:dyDescent="0.25">
      <c r="C1330" s="17" t="s">
        <v>574</v>
      </c>
      <c r="D1330" s="17">
        <v>19506</v>
      </c>
      <c r="E1330" s="17">
        <v>11771</v>
      </c>
      <c r="F1330" s="3" t="s">
        <v>325</v>
      </c>
      <c r="G1330" s="3" t="s">
        <v>567</v>
      </c>
      <c r="I1330" s="3">
        <v>931.05</v>
      </c>
      <c r="AU1330" s="22">
        <f t="shared" si="249"/>
        <v>931.05</v>
      </c>
      <c r="AV1330" s="3">
        <v>785.4</v>
      </c>
      <c r="AW1330" s="3">
        <v>94.8</v>
      </c>
      <c r="AX1330" s="3">
        <v>50.85</v>
      </c>
      <c r="CH1330" s="22">
        <f t="shared" si="250"/>
        <v>931.05</v>
      </c>
      <c r="CI1330" s="3">
        <f t="shared" si="251"/>
        <v>0</v>
      </c>
      <c r="CJ1330" s="17">
        <f t="shared" si="252"/>
        <v>11771</v>
      </c>
      <c r="CK1330" s="3" t="str">
        <f t="shared" si="253"/>
        <v xml:space="preserve">برنامج دولى </v>
      </c>
    </row>
    <row r="1331" spans="3:89" x14ac:dyDescent="0.25">
      <c r="C1331" s="17" t="s">
        <v>574</v>
      </c>
      <c r="D1331" s="17">
        <v>19507</v>
      </c>
      <c r="E1331" s="17">
        <v>11772</v>
      </c>
      <c r="F1331" s="3" t="s">
        <v>325</v>
      </c>
      <c r="G1331" s="3" t="s">
        <v>567</v>
      </c>
      <c r="I1331" s="3">
        <v>422.1</v>
      </c>
      <c r="AU1331" s="22">
        <f t="shared" si="249"/>
        <v>422.1</v>
      </c>
      <c r="AV1331" s="3">
        <v>282.60000000000002</v>
      </c>
      <c r="AW1331" s="3">
        <v>37.799999999999997</v>
      </c>
      <c r="AX1331" s="3">
        <v>101.7</v>
      </c>
      <c r="CH1331" s="22">
        <f t="shared" si="250"/>
        <v>422.1</v>
      </c>
      <c r="CI1331" s="3">
        <f t="shared" si="251"/>
        <v>0</v>
      </c>
      <c r="CJ1331" s="17">
        <f t="shared" si="252"/>
        <v>11772</v>
      </c>
      <c r="CK1331" s="3" t="str">
        <f t="shared" si="253"/>
        <v xml:space="preserve">برنامج دولى </v>
      </c>
    </row>
    <row r="1332" spans="3:89" x14ac:dyDescent="0.25">
      <c r="C1332" s="17" t="s">
        <v>574</v>
      </c>
      <c r="D1332" s="17">
        <v>19411</v>
      </c>
      <c r="E1332" s="17">
        <v>11773</v>
      </c>
      <c r="F1332" s="3" t="s">
        <v>325</v>
      </c>
      <c r="G1332" s="3" t="s">
        <v>655</v>
      </c>
      <c r="I1332" s="3">
        <v>12000</v>
      </c>
      <c r="AU1332" s="22">
        <f t="shared" si="249"/>
        <v>12000</v>
      </c>
      <c r="AV1332" s="3">
        <v>10714.4</v>
      </c>
      <c r="AW1332" s="3">
        <v>1285.5999999999999</v>
      </c>
      <c r="CH1332" s="22">
        <f t="shared" si="250"/>
        <v>12000</v>
      </c>
      <c r="CI1332" s="3">
        <f t="shared" si="251"/>
        <v>0</v>
      </c>
      <c r="CJ1332" s="17">
        <f t="shared" si="252"/>
        <v>11773</v>
      </c>
      <c r="CK1332" s="3" t="str">
        <f t="shared" si="253"/>
        <v xml:space="preserve">برنامج دولى </v>
      </c>
    </row>
    <row r="1333" spans="3:89" x14ac:dyDescent="0.25">
      <c r="C1333" s="17" t="s">
        <v>574</v>
      </c>
      <c r="D1333" s="17">
        <v>19492</v>
      </c>
      <c r="E1333" s="17">
        <v>11774</v>
      </c>
      <c r="F1333" s="3" t="s">
        <v>325</v>
      </c>
      <c r="G1333" s="3" t="s">
        <v>656</v>
      </c>
      <c r="I1333" s="3">
        <v>4440</v>
      </c>
      <c r="AU1333" s="22">
        <f t="shared" si="249"/>
        <v>4440</v>
      </c>
      <c r="AV1333" s="3">
        <v>3968.35</v>
      </c>
      <c r="AW1333" s="3">
        <v>471.65</v>
      </c>
      <c r="CH1333" s="22">
        <f t="shared" si="250"/>
        <v>4440</v>
      </c>
      <c r="CI1333" s="3">
        <f t="shared" si="251"/>
        <v>0</v>
      </c>
      <c r="CJ1333" s="17">
        <f t="shared" si="252"/>
        <v>11774</v>
      </c>
      <c r="CK1333" s="3" t="str">
        <f t="shared" si="253"/>
        <v xml:space="preserve">برنامج دولى </v>
      </c>
    </row>
    <row r="1334" spans="3:89" x14ac:dyDescent="0.25">
      <c r="C1334" s="17" t="s">
        <v>574</v>
      </c>
      <c r="D1334" s="17">
        <v>19505</v>
      </c>
      <c r="E1334" s="17">
        <v>11775</v>
      </c>
      <c r="F1334" s="3" t="s">
        <v>325</v>
      </c>
      <c r="G1334" s="3" t="str">
        <f>+G1331</f>
        <v>عب تدريس فسيولوجى</v>
      </c>
      <c r="I1334" s="3">
        <v>96898.35</v>
      </c>
      <c r="AU1334" s="22">
        <f t="shared" si="249"/>
        <v>96898.35</v>
      </c>
      <c r="AV1334" s="3">
        <v>84940.04</v>
      </c>
      <c r="AW1334" s="3">
        <v>10290.549999999999</v>
      </c>
      <c r="AX1334" s="3">
        <v>1667.76</v>
      </c>
      <c r="CH1334" s="22">
        <f t="shared" si="250"/>
        <v>96898.349999999991</v>
      </c>
      <c r="CI1334" s="3">
        <f t="shared" si="251"/>
        <v>0</v>
      </c>
      <c r="CJ1334" s="17">
        <f t="shared" si="252"/>
        <v>11775</v>
      </c>
      <c r="CK1334" s="3" t="str">
        <f t="shared" si="253"/>
        <v xml:space="preserve">برنامج دولى </v>
      </c>
    </row>
    <row r="1335" spans="3:89" x14ac:dyDescent="0.25">
      <c r="C1335" s="17" t="s">
        <v>657</v>
      </c>
      <c r="D1335" s="17">
        <v>19403</v>
      </c>
      <c r="E1335" s="17">
        <v>11776</v>
      </c>
      <c r="F1335" s="3" t="s">
        <v>325</v>
      </c>
      <c r="G1335" s="3" t="s">
        <v>658</v>
      </c>
      <c r="I1335" s="3">
        <v>1172.5</v>
      </c>
      <c r="AU1335" s="22">
        <f t="shared" si="249"/>
        <v>1172.5</v>
      </c>
      <c r="AV1335" s="3">
        <v>784.1</v>
      </c>
      <c r="AW1335" s="3">
        <v>105.9</v>
      </c>
      <c r="AX1335" s="3">
        <v>282.5</v>
      </c>
      <c r="CH1335" s="22">
        <f t="shared" si="250"/>
        <v>1172.5</v>
      </c>
      <c r="CI1335" s="3">
        <f t="shared" si="251"/>
        <v>0</v>
      </c>
      <c r="CJ1335" s="17">
        <f t="shared" si="252"/>
        <v>11776</v>
      </c>
      <c r="CK1335" s="3" t="str">
        <f t="shared" si="253"/>
        <v xml:space="preserve">برنامج دولى </v>
      </c>
    </row>
    <row r="1336" spans="3:89" x14ac:dyDescent="0.25">
      <c r="C1336" s="17" t="s">
        <v>657</v>
      </c>
      <c r="D1336" s="17">
        <v>19402</v>
      </c>
      <c r="E1336" s="17">
        <v>11777</v>
      </c>
      <c r="F1336" s="3" t="s">
        <v>325</v>
      </c>
      <c r="G1336" s="3" t="s">
        <v>659</v>
      </c>
      <c r="I1336" s="3">
        <v>13080.07</v>
      </c>
      <c r="AU1336" s="22">
        <f t="shared" si="249"/>
        <v>13080.07</v>
      </c>
      <c r="AV1336" s="3">
        <v>8739.6</v>
      </c>
      <c r="AW1336" s="3">
        <f>73.4+1115.57</f>
        <v>1188.97</v>
      </c>
      <c r="AX1336" s="3">
        <v>3151.5</v>
      </c>
      <c r="CH1336" s="22">
        <f t="shared" si="250"/>
        <v>13080.07</v>
      </c>
      <c r="CI1336" s="3">
        <f t="shared" si="251"/>
        <v>0</v>
      </c>
      <c r="CJ1336" s="17">
        <f t="shared" si="252"/>
        <v>11777</v>
      </c>
      <c r="CK1336" s="3" t="str">
        <f t="shared" si="253"/>
        <v xml:space="preserve">برنامج دولى </v>
      </c>
    </row>
    <row r="1337" spans="3:89" x14ac:dyDescent="0.25">
      <c r="C1337" s="17" t="s">
        <v>657</v>
      </c>
      <c r="D1337" s="17">
        <v>19395</v>
      </c>
      <c r="E1337" s="17">
        <v>11778</v>
      </c>
      <c r="F1337" s="3" t="s">
        <v>325</v>
      </c>
      <c r="G1337" s="3" t="s">
        <v>660</v>
      </c>
      <c r="I1337" s="3">
        <v>1993.25</v>
      </c>
      <c r="AU1337" s="22">
        <f t="shared" si="249"/>
        <v>1993.25</v>
      </c>
      <c r="AV1337" s="3">
        <v>1332</v>
      </c>
      <c r="AW1337" s="3">
        <v>181</v>
      </c>
      <c r="AX1337" s="3">
        <v>480.25</v>
      </c>
      <c r="CH1337" s="22">
        <f t="shared" si="250"/>
        <v>1993.25</v>
      </c>
      <c r="CI1337" s="3">
        <f t="shared" si="251"/>
        <v>0</v>
      </c>
      <c r="CJ1337" s="17">
        <f t="shared" si="252"/>
        <v>11778</v>
      </c>
      <c r="CK1337" s="3" t="str">
        <f t="shared" si="253"/>
        <v xml:space="preserve">برنامج دولى </v>
      </c>
    </row>
    <row r="1338" spans="3:89" x14ac:dyDescent="0.25">
      <c r="C1338" s="17" t="s">
        <v>657</v>
      </c>
      <c r="D1338" s="17">
        <v>19394</v>
      </c>
      <c r="E1338" s="17">
        <v>11779</v>
      </c>
      <c r="F1338" s="3" t="s">
        <v>325</v>
      </c>
      <c r="G1338" s="3" t="s">
        <v>660</v>
      </c>
      <c r="I1338" s="3">
        <v>1055.25</v>
      </c>
      <c r="AU1338" s="22">
        <f t="shared" si="249"/>
        <v>1055.25</v>
      </c>
      <c r="AV1338" s="3">
        <v>705.7</v>
      </c>
      <c r="AW1338" s="3">
        <v>95.3</v>
      </c>
      <c r="AX1338" s="3">
        <v>254.25</v>
      </c>
      <c r="CH1338" s="22">
        <f t="shared" si="250"/>
        <v>1055.25</v>
      </c>
      <c r="CI1338" s="3">
        <f t="shared" si="251"/>
        <v>0</v>
      </c>
      <c r="CJ1338" s="17">
        <f t="shared" si="252"/>
        <v>11779</v>
      </c>
      <c r="CK1338" s="3" t="str">
        <f t="shared" si="253"/>
        <v xml:space="preserve">برنامج دولى </v>
      </c>
    </row>
    <row r="1339" spans="3:89" x14ac:dyDescent="0.25">
      <c r="C1339" s="17" t="s">
        <v>657</v>
      </c>
      <c r="D1339" s="17">
        <v>19393</v>
      </c>
      <c r="E1339" s="17">
        <v>11780</v>
      </c>
      <c r="F1339" s="3" t="s">
        <v>325</v>
      </c>
      <c r="G1339" s="3" t="s">
        <v>660</v>
      </c>
      <c r="I1339" s="3">
        <v>1113.8800000000001</v>
      </c>
      <c r="AU1339" s="22">
        <f t="shared" si="249"/>
        <v>1113.8800000000001</v>
      </c>
      <c r="AV1339" s="3">
        <v>744.9</v>
      </c>
      <c r="AW1339" s="3">
        <v>100.6</v>
      </c>
      <c r="AX1339" s="3">
        <v>268.38</v>
      </c>
      <c r="CH1339" s="22">
        <f t="shared" si="250"/>
        <v>1113.8800000000001</v>
      </c>
      <c r="CI1339" s="3">
        <f t="shared" si="251"/>
        <v>0</v>
      </c>
      <c r="CJ1339" s="17">
        <f t="shared" si="252"/>
        <v>11780</v>
      </c>
      <c r="CK1339" s="3" t="str">
        <f t="shared" si="253"/>
        <v xml:space="preserve">برنامج دولى </v>
      </c>
    </row>
    <row r="1340" spans="3:89" x14ac:dyDescent="0.25">
      <c r="C1340" s="17" t="s">
        <v>657</v>
      </c>
      <c r="D1340" s="17">
        <v>19392</v>
      </c>
      <c r="E1340" s="17">
        <v>11781</v>
      </c>
      <c r="F1340" s="3" t="s">
        <v>325</v>
      </c>
      <c r="G1340" s="3" t="s">
        <v>660</v>
      </c>
      <c r="I1340" s="3">
        <v>938</v>
      </c>
      <c r="AU1340" s="22">
        <f t="shared" si="249"/>
        <v>938</v>
      </c>
      <c r="AV1340" s="3">
        <v>627.35</v>
      </c>
      <c r="AW1340" s="3">
        <v>84.65</v>
      </c>
      <c r="AX1340" s="3">
        <v>226</v>
      </c>
      <c r="CH1340" s="22">
        <f t="shared" si="250"/>
        <v>938</v>
      </c>
      <c r="CI1340" s="3">
        <f t="shared" si="251"/>
        <v>0</v>
      </c>
      <c r="CJ1340" s="17">
        <f t="shared" si="252"/>
        <v>11781</v>
      </c>
      <c r="CK1340" s="3" t="str">
        <f t="shared" si="253"/>
        <v xml:space="preserve">برنامج دولى </v>
      </c>
    </row>
    <row r="1341" spans="3:89" x14ac:dyDescent="0.25">
      <c r="C1341" s="17" t="s">
        <v>657</v>
      </c>
      <c r="D1341" s="17">
        <v>19391</v>
      </c>
      <c r="E1341" s="17">
        <v>11782</v>
      </c>
      <c r="F1341" s="3" t="s">
        <v>325</v>
      </c>
      <c r="G1341" s="3" t="s">
        <v>660</v>
      </c>
      <c r="I1341" s="3">
        <v>12194</v>
      </c>
      <c r="AU1341" s="22">
        <f t="shared" si="249"/>
        <v>12194</v>
      </c>
      <c r="AV1341" s="3">
        <v>8152.55</v>
      </c>
      <c r="AW1341" s="3">
        <v>1103.45</v>
      </c>
      <c r="AX1341" s="3">
        <v>2938</v>
      </c>
      <c r="CH1341" s="22">
        <f t="shared" si="250"/>
        <v>12194</v>
      </c>
      <c r="CI1341" s="3">
        <f t="shared" si="251"/>
        <v>0</v>
      </c>
      <c r="CJ1341" s="17">
        <f t="shared" si="252"/>
        <v>11782</v>
      </c>
      <c r="CK1341" s="3" t="str">
        <f t="shared" si="253"/>
        <v xml:space="preserve">برنامج دولى </v>
      </c>
    </row>
    <row r="1342" spans="3:89" x14ac:dyDescent="0.25">
      <c r="C1342" s="17" t="s">
        <v>657</v>
      </c>
      <c r="D1342" s="17">
        <v>19390</v>
      </c>
      <c r="E1342" s="17">
        <v>11783</v>
      </c>
      <c r="F1342" s="3" t="s">
        <v>325</v>
      </c>
      <c r="G1342" s="3" t="s">
        <v>660</v>
      </c>
      <c r="I1342" s="3">
        <v>2900</v>
      </c>
      <c r="AU1342" s="22">
        <f t="shared" si="249"/>
        <v>2900</v>
      </c>
      <c r="AV1342" s="3">
        <v>2588.6</v>
      </c>
      <c r="AW1342" s="3">
        <v>311.39999999999998</v>
      </c>
      <c r="CH1342" s="22">
        <f t="shared" si="250"/>
        <v>2900</v>
      </c>
      <c r="CI1342" s="3">
        <f t="shared" si="251"/>
        <v>0</v>
      </c>
      <c r="CJ1342" s="17">
        <f t="shared" si="252"/>
        <v>11783</v>
      </c>
      <c r="CK1342" s="3" t="str">
        <f t="shared" si="253"/>
        <v xml:space="preserve">برنامج دولى </v>
      </c>
    </row>
    <row r="1343" spans="3:89" x14ac:dyDescent="0.25">
      <c r="C1343" s="17" t="s">
        <v>657</v>
      </c>
      <c r="D1343" s="17">
        <v>19389</v>
      </c>
      <c r="E1343" s="17">
        <v>11784</v>
      </c>
      <c r="F1343" s="3" t="s">
        <v>325</v>
      </c>
      <c r="G1343" s="3" t="s">
        <v>661</v>
      </c>
      <c r="I1343" s="3">
        <v>1055.25</v>
      </c>
      <c r="AU1343" s="22">
        <f t="shared" si="249"/>
        <v>1055.25</v>
      </c>
      <c r="AV1343" s="3">
        <v>705.7</v>
      </c>
      <c r="AW1343" s="3">
        <v>95.3</v>
      </c>
      <c r="AX1343" s="3">
        <v>254.25</v>
      </c>
      <c r="CH1343" s="22">
        <f t="shared" si="250"/>
        <v>1055.25</v>
      </c>
      <c r="CI1343" s="3">
        <f t="shared" si="251"/>
        <v>0</v>
      </c>
      <c r="CJ1343" s="17">
        <f t="shared" si="252"/>
        <v>11784</v>
      </c>
      <c r="CK1343" s="3" t="str">
        <f t="shared" si="253"/>
        <v xml:space="preserve">برنامج دولى </v>
      </c>
    </row>
    <row r="1344" spans="3:89" x14ac:dyDescent="0.25">
      <c r="C1344" s="17" t="s">
        <v>657</v>
      </c>
      <c r="D1344" s="17">
        <v>19388</v>
      </c>
      <c r="E1344" s="17">
        <v>11785</v>
      </c>
      <c r="F1344" s="3" t="s">
        <v>325</v>
      </c>
      <c r="G1344" s="3" t="s">
        <v>661</v>
      </c>
      <c r="I1344" s="3">
        <v>1200</v>
      </c>
      <c r="AU1344" s="22">
        <f t="shared" si="249"/>
        <v>1200</v>
      </c>
      <c r="AV1344" s="3">
        <v>1071.3499999999999</v>
      </c>
      <c r="AW1344" s="3">
        <v>128.65</v>
      </c>
      <c r="CH1344" s="22">
        <f t="shared" si="250"/>
        <v>1200</v>
      </c>
      <c r="CI1344" s="3">
        <f t="shared" si="251"/>
        <v>0</v>
      </c>
      <c r="CJ1344" s="17">
        <f t="shared" si="252"/>
        <v>11785</v>
      </c>
      <c r="CK1344" s="3" t="str">
        <f t="shared" si="253"/>
        <v xml:space="preserve">برنامج دولى </v>
      </c>
    </row>
    <row r="1345" spans="3:89" x14ac:dyDescent="0.25">
      <c r="C1345" s="17" t="s">
        <v>657</v>
      </c>
      <c r="D1345" s="17">
        <v>19387</v>
      </c>
      <c r="E1345" s="17">
        <v>11786</v>
      </c>
      <c r="F1345" s="3" t="s">
        <v>325</v>
      </c>
      <c r="G1345" s="3" t="s">
        <v>662</v>
      </c>
      <c r="I1345" s="3">
        <v>1465.62</v>
      </c>
      <c r="AU1345" s="22">
        <f t="shared" si="249"/>
        <v>1465.62</v>
      </c>
      <c r="AV1345" s="3">
        <v>980.4</v>
      </c>
      <c r="AW1345" s="3">
        <v>132.1</v>
      </c>
      <c r="AX1345" s="3">
        <v>353.12</v>
      </c>
      <c r="CH1345" s="22">
        <f t="shared" si="250"/>
        <v>1465.62</v>
      </c>
      <c r="CI1345" s="3">
        <f t="shared" si="251"/>
        <v>0</v>
      </c>
      <c r="CJ1345" s="17">
        <f t="shared" si="252"/>
        <v>11786</v>
      </c>
      <c r="CK1345" s="3" t="str">
        <f t="shared" si="253"/>
        <v xml:space="preserve">برنامج دولى </v>
      </c>
    </row>
    <row r="1346" spans="3:89" x14ac:dyDescent="0.25">
      <c r="C1346" s="17" t="s">
        <v>657</v>
      </c>
      <c r="D1346" s="17">
        <v>19386</v>
      </c>
      <c r="E1346" s="17">
        <v>11787</v>
      </c>
      <c r="F1346" s="3" t="s">
        <v>325</v>
      </c>
      <c r="G1346" s="3" t="s">
        <v>662</v>
      </c>
      <c r="I1346" s="3">
        <v>1500</v>
      </c>
      <c r="AU1346" s="22">
        <f t="shared" si="249"/>
        <v>1500</v>
      </c>
      <c r="AV1346" s="3">
        <v>1339.1</v>
      </c>
      <c r="AW1346" s="3">
        <v>160.9</v>
      </c>
      <c r="CH1346" s="22">
        <f t="shared" si="250"/>
        <v>1500</v>
      </c>
      <c r="CI1346" s="3">
        <f t="shared" si="251"/>
        <v>0</v>
      </c>
      <c r="CJ1346" s="17">
        <f t="shared" si="252"/>
        <v>11787</v>
      </c>
      <c r="CK1346" s="3" t="str">
        <f t="shared" si="253"/>
        <v xml:space="preserve">برنامج دولى </v>
      </c>
    </row>
    <row r="1347" spans="3:89" x14ac:dyDescent="0.25">
      <c r="C1347" s="17" t="s">
        <v>657</v>
      </c>
      <c r="D1347" s="17">
        <v>19385</v>
      </c>
      <c r="E1347" s="17">
        <v>11788</v>
      </c>
      <c r="F1347" s="3" t="s">
        <v>325</v>
      </c>
      <c r="G1347" s="3" t="s">
        <v>663</v>
      </c>
      <c r="I1347" s="3">
        <v>2051.88</v>
      </c>
      <c r="AU1347" s="22">
        <f t="shared" si="249"/>
        <v>2051.88</v>
      </c>
      <c r="AV1347" s="3">
        <v>1392.52</v>
      </c>
      <c r="AW1347" s="3">
        <v>164.98</v>
      </c>
      <c r="AX1347" s="3">
        <v>494.38</v>
      </c>
      <c r="CH1347" s="22">
        <f t="shared" si="250"/>
        <v>2051.88</v>
      </c>
      <c r="CI1347" s="3">
        <f t="shared" si="251"/>
        <v>0</v>
      </c>
      <c r="CJ1347" s="17">
        <f t="shared" si="252"/>
        <v>11788</v>
      </c>
      <c r="CK1347" s="3" t="str">
        <f t="shared" si="253"/>
        <v xml:space="preserve">برنامج دولى </v>
      </c>
    </row>
    <row r="1348" spans="3:89" x14ac:dyDescent="0.25">
      <c r="C1348" s="17" t="s">
        <v>657</v>
      </c>
      <c r="D1348" s="17">
        <v>19383</v>
      </c>
      <c r="E1348" s="17">
        <v>11789</v>
      </c>
      <c r="F1348" s="3" t="s">
        <v>325</v>
      </c>
      <c r="G1348" s="3" t="s">
        <v>663</v>
      </c>
      <c r="I1348" s="3">
        <v>1500</v>
      </c>
      <c r="AU1348" s="22">
        <f t="shared" si="249"/>
        <v>1500</v>
      </c>
      <c r="AV1348" s="3">
        <v>1339.1</v>
      </c>
      <c r="AW1348" s="3">
        <v>160.9</v>
      </c>
      <c r="CH1348" s="22">
        <f t="shared" si="250"/>
        <v>1500</v>
      </c>
      <c r="CI1348" s="3">
        <f t="shared" si="251"/>
        <v>0</v>
      </c>
      <c r="CJ1348" s="17">
        <f t="shared" si="252"/>
        <v>11789</v>
      </c>
      <c r="CK1348" s="3" t="str">
        <f t="shared" si="253"/>
        <v xml:space="preserve">برنامج دولى </v>
      </c>
    </row>
    <row r="1349" spans="3:89" x14ac:dyDescent="0.25">
      <c r="C1349" s="17" t="s">
        <v>657</v>
      </c>
      <c r="D1349" s="17">
        <v>19589</v>
      </c>
      <c r="E1349" s="17">
        <v>11790</v>
      </c>
      <c r="F1349" s="3" t="s">
        <v>325</v>
      </c>
      <c r="G1349" s="3" t="s">
        <v>664</v>
      </c>
      <c r="I1349" s="3">
        <v>1172.5</v>
      </c>
      <c r="AU1349" s="22">
        <f t="shared" si="249"/>
        <v>1172.5</v>
      </c>
      <c r="AV1349" s="3">
        <v>784.1</v>
      </c>
      <c r="AW1349" s="3">
        <v>105.9</v>
      </c>
      <c r="AX1349" s="3">
        <v>282.5</v>
      </c>
      <c r="CH1349" s="22">
        <f t="shared" si="250"/>
        <v>1172.5</v>
      </c>
      <c r="CI1349" s="3">
        <f t="shared" si="251"/>
        <v>0</v>
      </c>
      <c r="CJ1349" s="17">
        <f t="shared" si="252"/>
        <v>11790</v>
      </c>
      <c r="CK1349" s="3" t="str">
        <f t="shared" si="253"/>
        <v xml:space="preserve">برنامج دولى </v>
      </c>
    </row>
    <row r="1350" spans="3:89" x14ac:dyDescent="0.25">
      <c r="C1350" s="17" t="s">
        <v>657</v>
      </c>
      <c r="D1350" s="17">
        <v>19382</v>
      </c>
      <c r="E1350" s="17">
        <v>11791</v>
      </c>
      <c r="F1350" s="3" t="s">
        <v>325</v>
      </c>
      <c r="G1350" s="3" t="s">
        <v>664</v>
      </c>
      <c r="I1350" s="3">
        <v>1631.77</v>
      </c>
      <c r="AU1350" s="22">
        <f t="shared" ref="AU1350:AU1379" si="254">SUM(I1350:AS1350)</f>
        <v>1631.77</v>
      </c>
      <c r="AV1350" s="3">
        <v>1255.72</v>
      </c>
      <c r="AW1350" s="3">
        <v>160.25</v>
      </c>
      <c r="AX1350" s="3">
        <v>215.8</v>
      </c>
      <c r="CH1350" s="22">
        <f t="shared" ref="CH1350:CH1379" si="255">SUM(AV1350:CG1350)</f>
        <v>1631.77</v>
      </c>
      <c r="CI1350" s="3">
        <f t="shared" ref="CI1350:CI1379" si="256">+CH1350-AU1350</f>
        <v>0</v>
      </c>
      <c r="CJ1350" s="17">
        <f t="shared" ref="CJ1350:CJ1379" si="257">+E1350</f>
        <v>11791</v>
      </c>
      <c r="CK1350" s="3" t="str">
        <f t="shared" si="253"/>
        <v xml:space="preserve">برنامج دولى </v>
      </c>
    </row>
    <row r="1351" spans="3:89" x14ac:dyDescent="0.25">
      <c r="C1351" s="17" t="s">
        <v>657</v>
      </c>
      <c r="D1351" s="17">
        <v>19381</v>
      </c>
      <c r="E1351" s="17">
        <v>11792</v>
      </c>
      <c r="F1351" s="3" t="s">
        <v>325</v>
      </c>
      <c r="G1351" s="3" t="s">
        <v>665</v>
      </c>
      <c r="I1351" s="3">
        <v>351.75</v>
      </c>
      <c r="AU1351" s="22">
        <f t="shared" si="254"/>
        <v>351.75</v>
      </c>
      <c r="AV1351" s="3">
        <v>235.55</v>
      </c>
      <c r="AW1351" s="3">
        <v>31.45</v>
      </c>
      <c r="AX1351" s="3">
        <v>84.75</v>
      </c>
      <c r="CH1351" s="22">
        <f t="shared" si="255"/>
        <v>351.75</v>
      </c>
      <c r="CI1351" s="3">
        <f t="shared" si="256"/>
        <v>0</v>
      </c>
      <c r="CJ1351" s="17">
        <f t="shared" si="257"/>
        <v>11792</v>
      </c>
      <c r="CK1351" s="3" t="str">
        <f t="shared" si="253"/>
        <v xml:space="preserve">برنامج دولى </v>
      </c>
    </row>
    <row r="1352" spans="3:89" x14ac:dyDescent="0.25">
      <c r="C1352" s="17" t="s">
        <v>657</v>
      </c>
      <c r="D1352" s="17">
        <v>19379</v>
      </c>
      <c r="E1352" s="17">
        <v>11793</v>
      </c>
      <c r="F1352" s="3" t="s">
        <v>325</v>
      </c>
      <c r="G1352" s="3" t="s">
        <v>666</v>
      </c>
      <c r="I1352" s="3">
        <v>3458.88</v>
      </c>
      <c r="AU1352" s="22">
        <f t="shared" si="254"/>
        <v>3458.88</v>
      </c>
      <c r="AV1352" s="3">
        <v>2311.15</v>
      </c>
      <c r="AW1352" s="3">
        <v>314.35000000000002</v>
      </c>
      <c r="AX1352" s="3">
        <v>833.38</v>
      </c>
      <c r="CH1352" s="22">
        <f t="shared" si="255"/>
        <v>3458.88</v>
      </c>
      <c r="CI1352" s="3">
        <f t="shared" si="256"/>
        <v>0</v>
      </c>
      <c r="CJ1352" s="17">
        <f t="shared" si="257"/>
        <v>11793</v>
      </c>
      <c r="CK1352" s="3" t="str">
        <f t="shared" si="253"/>
        <v xml:space="preserve">برنامج دولى </v>
      </c>
    </row>
    <row r="1353" spans="3:89" x14ac:dyDescent="0.25">
      <c r="C1353" s="17" t="s">
        <v>657</v>
      </c>
      <c r="D1353" s="17">
        <v>19378</v>
      </c>
      <c r="E1353" s="17">
        <v>11794</v>
      </c>
      <c r="F1353" s="3" t="s">
        <v>325</v>
      </c>
      <c r="G1353" s="3" t="s">
        <v>666</v>
      </c>
      <c r="I1353" s="3">
        <v>14333.81</v>
      </c>
      <c r="AU1353" s="22">
        <f t="shared" si="254"/>
        <v>14333.81</v>
      </c>
      <c r="AV1353" s="3">
        <v>9897.2999999999993</v>
      </c>
      <c r="AW1353" s="3">
        <v>982.95</v>
      </c>
      <c r="AX1353" s="3">
        <v>3453.56</v>
      </c>
      <c r="CH1353" s="22">
        <f t="shared" si="255"/>
        <v>14333.81</v>
      </c>
      <c r="CI1353" s="3">
        <f t="shared" si="256"/>
        <v>0</v>
      </c>
      <c r="CJ1353" s="17">
        <f t="shared" si="257"/>
        <v>11794</v>
      </c>
      <c r="CK1353" s="3" t="str">
        <f t="shared" si="253"/>
        <v xml:space="preserve">برنامج دولى </v>
      </c>
    </row>
    <row r="1354" spans="3:89" x14ac:dyDescent="0.25">
      <c r="C1354" s="17" t="s">
        <v>657</v>
      </c>
      <c r="D1354" s="17">
        <v>19372</v>
      </c>
      <c r="E1354" s="17">
        <v>11795</v>
      </c>
      <c r="F1354" s="3" t="s">
        <v>325</v>
      </c>
      <c r="G1354" s="3" t="s">
        <v>667</v>
      </c>
      <c r="I1354" s="3">
        <v>27618.39</v>
      </c>
      <c r="AU1354" s="22">
        <f t="shared" si="254"/>
        <v>27618.39</v>
      </c>
      <c r="AV1354" s="3">
        <v>23316.62</v>
      </c>
      <c r="AW1354" s="3">
        <v>2868.05</v>
      </c>
      <c r="AX1354" s="3">
        <v>1433.72</v>
      </c>
      <c r="CH1354" s="22">
        <f t="shared" si="255"/>
        <v>27618.39</v>
      </c>
      <c r="CI1354" s="3">
        <f t="shared" si="256"/>
        <v>0</v>
      </c>
      <c r="CJ1354" s="17">
        <f t="shared" si="257"/>
        <v>11795</v>
      </c>
      <c r="CK1354" s="3" t="str">
        <f t="shared" ref="CK1354:CK1379" si="258">+F1354</f>
        <v xml:space="preserve">برنامج دولى </v>
      </c>
    </row>
    <row r="1355" spans="3:89" x14ac:dyDescent="0.25">
      <c r="C1355" s="17" t="s">
        <v>657</v>
      </c>
      <c r="D1355" s="17">
        <v>19373</v>
      </c>
      <c r="E1355" s="17">
        <v>11796</v>
      </c>
      <c r="F1355" s="3" t="s">
        <v>325</v>
      </c>
      <c r="G1355" s="3" t="s">
        <v>667</v>
      </c>
      <c r="I1355" s="3">
        <v>865.3</v>
      </c>
      <c r="AU1355" s="22">
        <f t="shared" si="254"/>
        <v>865.3</v>
      </c>
      <c r="AV1355" s="3">
        <v>578.77</v>
      </c>
      <c r="AW1355" s="3">
        <v>78.05</v>
      </c>
      <c r="AX1355" s="3">
        <v>208.48</v>
      </c>
      <c r="CH1355" s="22">
        <f t="shared" si="255"/>
        <v>865.3</v>
      </c>
      <c r="CI1355" s="3">
        <f t="shared" si="256"/>
        <v>0</v>
      </c>
      <c r="CJ1355" s="17">
        <f t="shared" si="257"/>
        <v>11796</v>
      </c>
      <c r="CK1355" s="3" t="str">
        <f t="shared" si="258"/>
        <v xml:space="preserve">برنامج دولى </v>
      </c>
    </row>
    <row r="1356" spans="3:89" x14ac:dyDescent="0.25">
      <c r="C1356" s="17" t="s">
        <v>657</v>
      </c>
      <c r="D1356" s="17">
        <v>19374</v>
      </c>
      <c r="E1356" s="17">
        <v>11797</v>
      </c>
      <c r="F1356" s="3" t="s">
        <v>325</v>
      </c>
      <c r="G1356" s="3" t="s">
        <v>667</v>
      </c>
      <c r="I1356" s="3">
        <v>9366.93</v>
      </c>
      <c r="AU1356" s="22">
        <f t="shared" si="254"/>
        <v>9366.93</v>
      </c>
      <c r="AV1356" s="3">
        <v>6265.87</v>
      </c>
      <c r="AW1356" s="3">
        <v>844.24</v>
      </c>
      <c r="AX1356" s="3">
        <v>2256.8200000000002</v>
      </c>
      <c r="CH1356" s="22">
        <f t="shared" si="255"/>
        <v>9366.93</v>
      </c>
      <c r="CI1356" s="3">
        <f t="shared" si="256"/>
        <v>0</v>
      </c>
      <c r="CJ1356" s="17">
        <f t="shared" si="257"/>
        <v>11797</v>
      </c>
      <c r="CK1356" s="3" t="str">
        <f t="shared" si="258"/>
        <v xml:space="preserve">برنامج دولى </v>
      </c>
    </row>
    <row r="1357" spans="3:89" x14ac:dyDescent="0.25">
      <c r="C1357" s="17" t="s">
        <v>657</v>
      </c>
      <c r="D1357" s="17">
        <v>19375</v>
      </c>
      <c r="E1357" s="17">
        <v>11798</v>
      </c>
      <c r="F1357" s="3" t="s">
        <v>325</v>
      </c>
      <c r="G1357" s="3" t="s">
        <v>668</v>
      </c>
      <c r="I1357" s="3">
        <v>2367.77</v>
      </c>
      <c r="AU1357" s="22">
        <f t="shared" si="254"/>
        <v>2367.77</v>
      </c>
      <c r="AV1357" s="3">
        <v>1584.47</v>
      </c>
      <c r="AW1357" s="3">
        <v>212.79</v>
      </c>
      <c r="AX1357" s="3">
        <v>570.51</v>
      </c>
      <c r="CH1357" s="22">
        <f t="shared" si="255"/>
        <v>2367.77</v>
      </c>
      <c r="CI1357" s="3">
        <f t="shared" si="256"/>
        <v>0</v>
      </c>
      <c r="CJ1357" s="17">
        <f t="shared" si="257"/>
        <v>11798</v>
      </c>
      <c r="CK1357" s="3" t="str">
        <f t="shared" si="258"/>
        <v xml:space="preserve">برنامج دولى </v>
      </c>
    </row>
    <row r="1358" spans="3:89" x14ac:dyDescent="0.25">
      <c r="C1358" s="17" t="s">
        <v>657</v>
      </c>
      <c r="D1358" s="17">
        <v>19376</v>
      </c>
      <c r="E1358" s="17">
        <v>11799</v>
      </c>
      <c r="F1358" s="3" t="s">
        <v>325</v>
      </c>
      <c r="G1358" s="3" t="str">
        <f>+G1356</f>
        <v>مكافاه الجوده</v>
      </c>
      <c r="I1358" s="3">
        <v>865.3</v>
      </c>
      <c r="AU1358" s="22">
        <f t="shared" si="254"/>
        <v>865.3</v>
      </c>
      <c r="AV1358" s="3">
        <v>578.77</v>
      </c>
      <c r="AW1358" s="3">
        <v>78.05</v>
      </c>
      <c r="AX1358" s="3">
        <v>208.48</v>
      </c>
      <c r="CH1358" s="22">
        <f t="shared" si="255"/>
        <v>865.3</v>
      </c>
      <c r="CI1358" s="3">
        <f t="shared" si="256"/>
        <v>0</v>
      </c>
      <c r="CJ1358" s="17">
        <f t="shared" si="257"/>
        <v>11799</v>
      </c>
      <c r="CK1358" s="3" t="str">
        <f t="shared" si="258"/>
        <v xml:space="preserve">برنامج دولى </v>
      </c>
    </row>
    <row r="1359" spans="3:89" x14ac:dyDescent="0.25">
      <c r="C1359" s="17" t="s">
        <v>657</v>
      </c>
      <c r="D1359" s="17">
        <v>19376</v>
      </c>
      <c r="E1359" s="17">
        <v>11800</v>
      </c>
      <c r="F1359" s="3" t="s">
        <v>325</v>
      </c>
      <c r="G1359" s="3" t="str">
        <f>+G1358</f>
        <v>مكافاه الجوده</v>
      </c>
      <c r="I1359" s="3">
        <v>865.3</v>
      </c>
      <c r="AU1359" s="22">
        <f t="shared" si="254"/>
        <v>865.3</v>
      </c>
      <c r="AV1359" s="3">
        <v>578.77</v>
      </c>
      <c r="AW1359" s="3">
        <v>78.05</v>
      </c>
      <c r="AX1359" s="3">
        <v>208.48</v>
      </c>
      <c r="CH1359" s="22">
        <f t="shared" si="255"/>
        <v>865.3</v>
      </c>
      <c r="CI1359" s="3">
        <f t="shared" si="256"/>
        <v>0</v>
      </c>
      <c r="CJ1359" s="17">
        <f t="shared" si="257"/>
        <v>11800</v>
      </c>
      <c r="CK1359" s="3" t="str">
        <f t="shared" si="258"/>
        <v xml:space="preserve">برنامج دولى </v>
      </c>
    </row>
    <row r="1360" spans="3:89" x14ac:dyDescent="0.25">
      <c r="C1360" s="17" t="s">
        <v>657</v>
      </c>
      <c r="D1360" s="17">
        <v>19377</v>
      </c>
      <c r="E1360" s="17">
        <v>11801</v>
      </c>
      <c r="F1360" s="3" t="s">
        <v>325</v>
      </c>
      <c r="G1360" s="3" t="str">
        <f>+G1359</f>
        <v>مكافاه الجوده</v>
      </c>
      <c r="I1360" s="3">
        <v>613.72</v>
      </c>
      <c r="AU1360" s="22">
        <f t="shared" si="254"/>
        <v>613.72</v>
      </c>
      <c r="AV1360" s="3">
        <v>410.58</v>
      </c>
      <c r="AW1360" s="3">
        <v>55.29</v>
      </c>
      <c r="AX1360" s="3">
        <v>147.85</v>
      </c>
      <c r="CH1360" s="22">
        <f t="shared" si="255"/>
        <v>613.72</v>
      </c>
      <c r="CI1360" s="3">
        <f t="shared" si="256"/>
        <v>0</v>
      </c>
      <c r="CJ1360" s="17">
        <f t="shared" si="257"/>
        <v>11801</v>
      </c>
      <c r="CK1360" s="3" t="str">
        <f t="shared" si="258"/>
        <v xml:space="preserve">برنامج دولى </v>
      </c>
    </row>
    <row r="1361" spans="2:89" x14ac:dyDescent="0.25">
      <c r="B1361" s="3"/>
      <c r="C1361" s="17" t="s">
        <v>657</v>
      </c>
      <c r="D1361" s="17">
        <v>18943</v>
      </c>
      <c r="E1361" s="17">
        <v>11802</v>
      </c>
      <c r="F1361" s="3" t="s">
        <v>128</v>
      </c>
      <c r="G1361" s="3" t="s">
        <v>669</v>
      </c>
      <c r="I1361" s="3">
        <v>3486.31</v>
      </c>
      <c r="AU1361" s="22">
        <f t="shared" si="254"/>
        <v>3486.31</v>
      </c>
      <c r="AV1361" s="3">
        <v>2329.84</v>
      </c>
      <c r="AW1361" s="3">
        <v>316.49</v>
      </c>
      <c r="AX1361" s="3">
        <v>839.98</v>
      </c>
      <c r="CH1361" s="22">
        <f t="shared" si="255"/>
        <v>3486.31</v>
      </c>
      <c r="CI1361" s="3">
        <f t="shared" si="256"/>
        <v>0</v>
      </c>
      <c r="CJ1361" s="17">
        <f t="shared" si="257"/>
        <v>11802</v>
      </c>
      <c r="CK1361" s="3" t="str">
        <f t="shared" si="258"/>
        <v>مركز مؤتمرات</v>
      </c>
    </row>
    <row r="1362" spans="2:89" x14ac:dyDescent="0.25">
      <c r="C1362" s="17" t="s">
        <v>657</v>
      </c>
      <c r="D1362" s="17">
        <v>18940</v>
      </c>
      <c r="E1362" s="17">
        <v>11803</v>
      </c>
      <c r="F1362" s="3" t="s">
        <v>128</v>
      </c>
      <c r="G1362" s="3" t="s">
        <v>669</v>
      </c>
      <c r="I1362" s="3">
        <v>3842.05</v>
      </c>
      <c r="AU1362" s="22">
        <f t="shared" si="254"/>
        <v>3842.05</v>
      </c>
      <c r="AV1362" s="3">
        <v>2869.39</v>
      </c>
      <c r="AW1362" s="3">
        <v>371.07</v>
      </c>
      <c r="AX1362" s="3">
        <v>601.59</v>
      </c>
      <c r="CH1362" s="22">
        <f t="shared" si="255"/>
        <v>3842.05</v>
      </c>
      <c r="CI1362" s="3">
        <f t="shared" si="256"/>
        <v>0</v>
      </c>
      <c r="CJ1362" s="17">
        <f t="shared" si="257"/>
        <v>11803</v>
      </c>
      <c r="CK1362" s="3" t="str">
        <f t="shared" si="258"/>
        <v>مركز مؤتمرات</v>
      </c>
    </row>
    <row r="1363" spans="2:89" x14ac:dyDescent="0.25">
      <c r="C1363" s="17" t="s">
        <v>657</v>
      </c>
      <c r="D1363" s="17">
        <v>18929</v>
      </c>
      <c r="E1363" s="17">
        <v>11804</v>
      </c>
      <c r="F1363" s="3" t="s">
        <v>128</v>
      </c>
      <c r="G1363" s="3" t="s">
        <v>669</v>
      </c>
      <c r="I1363" s="3">
        <v>22561.82</v>
      </c>
      <c r="AU1363" s="22">
        <f t="shared" si="254"/>
        <v>22561.82</v>
      </c>
      <c r="AV1363" s="3">
        <v>15079.21</v>
      </c>
      <c r="AW1363" s="3">
        <v>2046.6</v>
      </c>
      <c r="AX1363" s="3">
        <v>5436.01</v>
      </c>
      <c r="CH1363" s="22">
        <f t="shared" si="255"/>
        <v>22561.82</v>
      </c>
      <c r="CI1363" s="3">
        <f t="shared" si="256"/>
        <v>0</v>
      </c>
      <c r="CJ1363" s="17">
        <f t="shared" si="257"/>
        <v>11804</v>
      </c>
      <c r="CK1363" s="3" t="str">
        <f t="shared" si="258"/>
        <v>مركز مؤتمرات</v>
      </c>
    </row>
    <row r="1364" spans="2:89" x14ac:dyDescent="0.25">
      <c r="C1364" s="17" t="s">
        <v>657</v>
      </c>
      <c r="D1364" s="17">
        <v>18941</v>
      </c>
      <c r="E1364" s="17">
        <v>11805</v>
      </c>
      <c r="F1364" s="3" t="s">
        <v>128</v>
      </c>
      <c r="G1364" s="3" t="s">
        <v>669</v>
      </c>
      <c r="I1364" s="3">
        <v>4001.59</v>
      </c>
      <c r="AU1364" s="22">
        <f t="shared" si="254"/>
        <v>4001.59</v>
      </c>
      <c r="AV1364" s="3">
        <v>3334.4</v>
      </c>
      <c r="AW1364" s="3">
        <v>411.98</v>
      </c>
      <c r="AX1364" s="3">
        <v>255.21</v>
      </c>
      <c r="CH1364" s="22">
        <f t="shared" si="255"/>
        <v>4001.59</v>
      </c>
      <c r="CI1364" s="3">
        <f t="shared" si="256"/>
        <v>0</v>
      </c>
      <c r="CJ1364" s="17">
        <f t="shared" si="257"/>
        <v>11805</v>
      </c>
      <c r="CK1364" s="3" t="str">
        <f t="shared" si="258"/>
        <v>مركز مؤتمرات</v>
      </c>
    </row>
    <row r="1365" spans="2:89" x14ac:dyDescent="0.25">
      <c r="C1365" s="17" t="s">
        <v>657</v>
      </c>
      <c r="D1365" s="17">
        <v>18942</v>
      </c>
      <c r="E1365" s="17">
        <v>11806</v>
      </c>
      <c r="F1365" s="3" t="s">
        <v>128</v>
      </c>
      <c r="G1365" s="3" t="s">
        <v>669</v>
      </c>
      <c r="I1365" s="3">
        <v>18105.77</v>
      </c>
      <c r="AU1365" s="22">
        <f t="shared" si="254"/>
        <v>18105.77</v>
      </c>
      <c r="AV1365" s="3">
        <v>12101.84</v>
      </c>
      <c r="AW1365" s="3">
        <v>1641.6</v>
      </c>
      <c r="AX1365" s="3">
        <v>4362.33</v>
      </c>
      <c r="CH1365" s="22">
        <f t="shared" si="255"/>
        <v>18105.77</v>
      </c>
      <c r="CI1365" s="3">
        <f t="shared" si="256"/>
        <v>0</v>
      </c>
      <c r="CJ1365" s="17">
        <f t="shared" si="257"/>
        <v>11806</v>
      </c>
      <c r="CK1365" s="3" t="str">
        <f t="shared" si="258"/>
        <v>مركز مؤتمرات</v>
      </c>
    </row>
    <row r="1366" spans="2:89" x14ac:dyDescent="0.25">
      <c r="C1366" s="17" t="s">
        <v>657</v>
      </c>
      <c r="D1366" s="17">
        <v>18926</v>
      </c>
      <c r="E1366" s="17">
        <v>11807</v>
      </c>
      <c r="F1366" s="3" t="s">
        <v>128</v>
      </c>
      <c r="G1366" s="3" t="s">
        <v>670</v>
      </c>
      <c r="I1366" s="3">
        <v>1113.8800000000001</v>
      </c>
      <c r="AU1366" s="22">
        <f t="shared" si="254"/>
        <v>1113.8800000000001</v>
      </c>
      <c r="AV1366" s="3">
        <v>745.4</v>
      </c>
      <c r="AW1366" s="3">
        <v>100.1</v>
      </c>
      <c r="AX1366" s="3">
        <v>268.38</v>
      </c>
      <c r="CH1366" s="22">
        <f t="shared" si="255"/>
        <v>1113.8800000000001</v>
      </c>
      <c r="CI1366" s="3">
        <f t="shared" si="256"/>
        <v>0</v>
      </c>
      <c r="CJ1366" s="17">
        <f t="shared" si="257"/>
        <v>11807</v>
      </c>
      <c r="CK1366" s="3" t="str">
        <f t="shared" si="258"/>
        <v>مركز مؤتمرات</v>
      </c>
    </row>
    <row r="1367" spans="2:89" x14ac:dyDescent="0.25">
      <c r="C1367" s="17" t="s">
        <v>657</v>
      </c>
      <c r="D1367" s="17">
        <v>18927</v>
      </c>
      <c r="E1367" s="17">
        <v>11808</v>
      </c>
      <c r="F1367" s="3" t="s">
        <v>128</v>
      </c>
      <c r="G1367" s="3" t="s">
        <v>670</v>
      </c>
      <c r="I1367" s="3">
        <v>644.88</v>
      </c>
      <c r="AU1367" s="22">
        <f t="shared" si="254"/>
        <v>644.88</v>
      </c>
      <c r="AV1367" s="3">
        <v>431.4</v>
      </c>
      <c r="AW1367" s="3">
        <v>58.1</v>
      </c>
      <c r="AX1367" s="3">
        <v>155.38</v>
      </c>
      <c r="CH1367" s="22">
        <f t="shared" si="255"/>
        <v>644.88</v>
      </c>
      <c r="CI1367" s="3">
        <f t="shared" si="256"/>
        <v>0</v>
      </c>
      <c r="CJ1367" s="17">
        <f t="shared" si="257"/>
        <v>11808</v>
      </c>
      <c r="CK1367" s="3" t="str">
        <f t="shared" si="258"/>
        <v>مركز مؤتمرات</v>
      </c>
    </row>
    <row r="1368" spans="2:89" x14ac:dyDescent="0.25">
      <c r="B1368" s="3"/>
      <c r="C1368" s="17" t="s">
        <v>657</v>
      </c>
      <c r="D1368" s="17">
        <v>18928</v>
      </c>
      <c r="E1368" s="17">
        <v>11809</v>
      </c>
      <c r="F1368" s="3" t="s">
        <v>128</v>
      </c>
      <c r="G1368" s="3" t="s">
        <v>670</v>
      </c>
      <c r="I1368" s="3">
        <v>586.25</v>
      </c>
      <c r="AU1368" s="22">
        <f t="shared" si="254"/>
        <v>586.25</v>
      </c>
      <c r="AV1368" s="3">
        <v>392.4</v>
      </c>
      <c r="AW1368" s="3">
        <v>52.6</v>
      </c>
      <c r="AX1368" s="3">
        <v>141.25</v>
      </c>
      <c r="CH1368" s="22">
        <f t="shared" si="255"/>
        <v>586.25</v>
      </c>
      <c r="CI1368" s="3">
        <f t="shared" si="256"/>
        <v>0</v>
      </c>
      <c r="CJ1368" s="17">
        <f t="shared" si="257"/>
        <v>11809</v>
      </c>
      <c r="CK1368" s="3" t="str">
        <f t="shared" si="258"/>
        <v>مركز مؤتمرات</v>
      </c>
    </row>
    <row r="1369" spans="2:89" x14ac:dyDescent="0.25">
      <c r="C1369" s="17" t="s">
        <v>657</v>
      </c>
      <c r="D1369" s="17">
        <v>18930</v>
      </c>
      <c r="E1369" s="17">
        <v>11810</v>
      </c>
      <c r="F1369" s="3" t="s">
        <v>128</v>
      </c>
      <c r="G1369" s="3" t="s">
        <v>671</v>
      </c>
      <c r="I1369" s="3">
        <v>1521.32</v>
      </c>
      <c r="AU1369" s="22">
        <f t="shared" si="254"/>
        <v>1521.32</v>
      </c>
      <c r="AV1369" s="3">
        <v>1016.71</v>
      </c>
      <c r="AW1369" s="3">
        <v>138.05000000000001</v>
      </c>
      <c r="AX1369" s="3">
        <v>366.56</v>
      </c>
      <c r="CH1369" s="22">
        <f t="shared" si="255"/>
        <v>1521.32</v>
      </c>
      <c r="CI1369" s="3">
        <f t="shared" si="256"/>
        <v>0</v>
      </c>
      <c r="CJ1369" s="17">
        <f t="shared" si="257"/>
        <v>11810</v>
      </c>
      <c r="CK1369" s="3" t="str">
        <f t="shared" si="258"/>
        <v>مركز مؤتمرات</v>
      </c>
    </row>
    <row r="1370" spans="2:89" x14ac:dyDescent="0.25">
      <c r="C1370" s="17" t="s">
        <v>657</v>
      </c>
      <c r="D1370" s="17">
        <v>18932</v>
      </c>
      <c r="E1370" s="17">
        <v>11811</v>
      </c>
      <c r="F1370" s="3" t="s">
        <v>128</v>
      </c>
      <c r="G1370" s="3" t="str">
        <f>+G1369</f>
        <v>ج غير عاديه للمركز ابريل</v>
      </c>
      <c r="I1370" s="3">
        <v>3239.03</v>
      </c>
      <c r="AU1370" s="22">
        <f t="shared" si="254"/>
        <v>3239.03</v>
      </c>
      <c r="AV1370" s="3">
        <v>2164.61</v>
      </c>
      <c r="AW1370" s="3">
        <v>294</v>
      </c>
      <c r="AX1370" s="3">
        <v>780.42</v>
      </c>
      <c r="CH1370" s="22">
        <f t="shared" si="255"/>
        <v>3239.03</v>
      </c>
      <c r="CI1370" s="3">
        <f t="shared" si="256"/>
        <v>0</v>
      </c>
      <c r="CJ1370" s="17">
        <f t="shared" si="257"/>
        <v>11811</v>
      </c>
      <c r="CK1370" s="3" t="str">
        <f t="shared" si="258"/>
        <v>مركز مؤتمرات</v>
      </c>
    </row>
    <row r="1371" spans="2:89" x14ac:dyDescent="0.25">
      <c r="C1371" s="17" t="s">
        <v>657</v>
      </c>
      <c r="D1371" s="17">
        <v>18933</v>
      </c>
      <c r="E1371" s="17">
        <v>11812</v>
      </c>
      <c r="F1371" s="3" t="s">
        <v>128</v>
      </c>
      <c r="G1371" s="3" t="str">
        <f>+G1370</f>
        <v>ج غير عاديه للمركز ابريل</v>
      </c>
      <c r="I1371" s="3">
        <v>3581.99</v>
      </c>
      <c r="AU1371" s="22">
        <f t="shared" si="254"/>
        <v>3581.99</v>
      </c>
      <c r="AV1371" s="3">
        <v>2393.7199999999998</v>
      </c>
      <c r="AW1371" s="3">
        <v>325.2</v>
      </c>
      <c r="AX1371" s="3">
        <v>863.07</v>
      </c>
      <c r="CH1371" s="22">
        <f t="shared" si="255"/>
        <v>3581.99</v>
      </c>
      <c r="CI1371" s="3">
        <f t="shared" si="256"/>
        <v>0</v>
      </c>
      <c r="CJ1371" s="17">
        <f t="shared" si="257"/>
        <v>11812</v>
      </c>
      <c r="CK1371" s="3" t="str">
        <f t="shared" si="258"/>
        <v>مركز مؤتمرات</v>
      </c>
    </row>
    <row r="1372" spans="2:89" x14ac:dyDescent="0.25">
      <c r="C1372" s="17" t="s">
        <v>657</v>
      </c>
      <c r="D1372" s="17">
        <v>18934</v>
      </c>
      <c r="E1372" s="17">
        <v>11813</v>
      </c>
      <c r="F1372" s="3" t="s">
        <v>128</v>
      </c>
      <c r="G1372" s="3" t="s">
        <v>672</v>
      </c>
      <c r="I1372" s="3">
        <v>17865.41</v>
      </c>
      <c r="AU1372" s="22">
        <f t="shared" si="254"/>
        <v>17865.41</v>
      </c>
      <c r="AV1372" s="3">
        <v>11941.19</v>
      </c>
      <c r="AW1372" s="3">
        <v>1619.8</v>
      </c>
      <c r="AX1372" s="3">
        <v>4304.42</v>
      </c>
      <c r="CH1372" s="22">
        <f t="shared" si="255"/>
        <v>17865.41</v>
      </c>
      <c r="CI1372" s="3">
        <f t="shared" si="256"/>
        <v>0</v>
      </c>
      <c r="CJ1372" s="17">
        <f t="shared" si="257"/>
        <v>11813</v>
      </c>
      <c r="CK1372" s="3" t="str">
        <f t="shared" si="258"/>
        <v>مركز مؤتمرات</v>
      </c>
    </row>
    <row r="1373" spans="2:89" x14ac:dyDescent="0.25">
      <c r="B1373" s="3"/>
      <c r="C1373" s="17" t="s">
        <v>657</v>
      </c>
      <c r="D1373" s="17">
        <v>18936</v>
      </c>
      <c r="E1373" s="17">
        <v>11814</v>
      </c>
      <c r="F1373" s="3" t="s">
        <v>128</v>
      </c>
      <c r="G1373" s="3" t="s">
        <v>672</v>
      </c>
      <c r="I1373" s="3">
        <v>4143.49</v>
      </c>
      <c r="AU1373" s="22">
        <f t="shared" si="254"/>
        <v>4143.49</v>
      </c>
      <c r="AV1373" s="3">
        <v>2768.88</v>
      </c>
      <c r="AW1373" s="3">
        <v>376.28</v>
      </c>
      <c r="AX1373" s="3">
        <v>998.33</v>
      </c>
      <c r="CH1373" s="22">
        <f t="shared" si="255"/>
        <v>4143.49</v>
      </c>
      <c r="CI1373" s="3">
        <f t="shared" si="256"/>
        <v>0</v>
      </c>
      <c r="CJ1373" s="17">
        <f t="shared" si="257"/>
        <v>11814</v>
      </c>
      <c r="CK1373" s="3" t="str">
        <f t="shared" si="258"/>
        <v>مركز مؤتمرات</v>
      </c>
    </row>
    <row r="1374" spans="2:89" x14ac:dyDescent="0.25">
      <c r="C1374" s="17" t="s">
        <v>657</v>
      </c>
      <c r="D1374" s="17">
        <v>18935</v>
      </c>
      <c r="E1374" s="17">
        <v>11815</v>
      </c>
      <c r="F1374" s="3" t="s">
        <v>128</v>
      </c>
      <c r="G1374" s="3" t="s">
        <v>672</v>
      </c>
      <c r="I1374" s="3">
        <v>4509.16</v>
      </c>
      <c r="AU1374" s="22">
        <f t="shared" si="254"/>
        <v>4509.16</v>
      </c>
      <c r="AV1374" s="3">
        <v>3013.19</v>
      </c>
      <c r="AW1374" s="3">
        <v>409.53</v>
      </c>
      <c r="AX1374" s="3">
        <v>1086.44</v>
      </c>
      <c r="CH1374" s="22">
        <f t="shared" si="255"/>
        <v>4509.16</v>
      </c>
      <c r="CI1374" s="3">
        <f t="shared" si="256"/>
        <v>0</v>
      </c>
      <c r="CJ1374" s="17">
        <f t="shared" si="257"/>
        <v>11815</v>
      </c>
      <c r="CK1374" s="3" t="str">
        <f t="shared" si="258"/>
        <v>مركز مؤتمرات</v>
      </c>
    </row>
    <row r="1375" spans="2:89" x14ac:dyDescent="0.25">
      <c r="C1375" s="17" t="s">
        <v>657</v>
      </c>
      <c r="D1375" s="17">
        <v>18937</v>
      </c>
      <c r="E1375" s="17">
        <v>11816</v>
      </c>
      <c r="F1375" s="3" t="s">
        <v>128</v>
      </c>
      <c r="G1375" s="3" t="s">
        <v>672</v>
      </c>
      <c r="I1375" s="3">
        <v>3486.31</v>
      </c>
      <c r="AU1375" s="22">
        <f t="shared" si="254"/>
        <v>3486.31</v>
      </c>
      <c r="AV1375" s="3">
        <v>2329.84</v>
      </c>
      <c r="AW1375" s="3">
        <v>316.49</v>
      </c>
      <c r="AX1375" s="3">
        <v>839.98</v>
      </c>
      <c r="CH1375" s="22">
        <f t="shared" si="255"/>
        <v>3486.31</v>
      </c>
      <c r="CI1375" s="3">
        <f t="shared" si="256"/>
        <v>0</v>
      </c>
      <c r="CJ1375" s="17">
        <f t="shared" si="257"/>
        <v>11816</v>
      </c>
      <c r="CK1375" s="3" t="str">
        <f t="shared" si="258"/>
        <v>مركز مؤتمرات</v>
      </c>
    </row>
    <row r="1376" spans="2:89" x14ac:dyDescent="0.25">
      <c r="C1376" s="17" t="s">
        <v>657</v>
      </c>
      <c r="D1376" s="17">
        <v>18938</v>
      </c>
      <c r="E1376" s="17">
        <v>11817</v>
      </c>
      <c r="F1376" s="3" t="s">
        <v>128</v>
      </c>
      <c r="G1376" s="3" t="s">
        <v>673</v>
      </c>
      <c r="I1376" s="3">
        <v>4000</v>
      </c>
      <c r="AU1376" s="22">
        <f t="shared" si="254"/>
        <v>4000</v>
      </c>
      <c r="AV1376" s="3">
        <v>3570.35</v>
      </c>
      <c r="AW1376" s="3">
        <v>429.65</v>
      </c>
      <c r="CH1376" s="22">
        <f t="shared" si="255"/>
        <v>4000</v>
      </c>
      <c r="CI1376" s="3">
        <f t="shared" si="256"/>
        <v>0</v>
      </c>
      <c r="CJ1376" s="17">
        <f t="shared" si="257"/>
        <v>11817</v>
      </c>
      <c r="CK1376" s="3" t="str">
        <f t="shared" si="258"/>
        <v>مركز مؤتمرات</v>
      </c>
    </row>
    <row r="1377" spans="1:91" x14ac:dyDescent="0.25">
      <c r="C1377" s="17" t="s">
        <v>657</v>
      </c>
      <c r="D1377" s="17">
        <v>18939</v>
      </c>
      <c r="E1377" s="17">
        <v>11818</v>
      </c>
      <c r="F1377" s="3" t="s">
        <v>128</v>
      </c>
      <c r="G1377" s="3" t="s">
        <v>674</v>
      </c>
      <c r="I1377" s="3">
        <v>4000</v>
      </c>
      <c r="AU1377" s="22">
        <f t="shared" si="254"/>
        <v>4000</v>
      </c>
      <c r="AV1377" s="3">
        <v>3570.35</v>
      </c>
      <c r="AW1377" s="3">
        <v>429.65</v>
      </c>
      <c r="CH1377" s="22">
        <f t="shared" si="255"/>
        <v>4000</v>
      </c>
      <c r="CI1377" s="3">
        <f t="shared" si="256"/>
        <v>0</v>
      </c>
      <c r="CJ1377" s="17">
        <f t="shared" si="257"/>
        <v>11818</v>
      </c>
      <c r="CK1377" s="3" t="str">
        <f t="shared" si="258"/>
        <v>مركز مؤتمرات</v>
      </c>
    </row>
    <row r="1378" spans="1:91" x14ac:dyDescent="0.25">
      <c r="C1378" s="17" t="s">
        <v>657</v>
      </c>
      <c r="D1378" s="17">
        <v>18925</v>
      </c>
      <c r="E1378" s="17">
        <v>11819</v>
      </c>
      <c r="F1378" s="3" t="s">
        <v>128</v>
      </c>
      <c r="G1378" s="3" t="str">
        <f>+G1368</f>
        <v>مكافاه المستعان بهم فى المركز</v>
      </c>
      <c r="I1378" s="3">
        <v>4455.5</v>
      </c>
      <c r="AU1378" s="22">
        <f t="shared" si="254"/>
        <v>4455.5</v>
      </c>
      <c r="AV1378" s="3">
        <v>2979.5</v>
      </c>
      <c r="AW1378" s="3">
        <f>22.5+380</f>
        <v>402.5</v>
      </c>
      <c r="AX1378" s="3">
        <v>1073.5</v>
      </c>
      <c r="CH1378" s="22">
        <f t="shared" si="255"/>
        <v>4455.5</v>
      </c>
      <c r="CI1378" s="3">
        <f t="shared" si="256"/>
        <v>0</v>
      </c>
      <c r="CJ1378" s="17">
        <f t="shared" si="257"/>
        <v>11819</v>
      </c>
      <c r="CK1378" s="3" t="str">
        <f t="shared" si="258"/>
        <v>مركز مؤتمرات</v>
      </c>
    </row>
    <row r="1379" spans="1:91" x14ac:dyDescent="0.25">
      <c r="C1379" s="17" t="s">
        <v>657</v>
      </c>
      <c r="D1379" s="17">
        <v>19632</v>
      </c>
      <c r="E1379" s="17">
        <v>11820</v>
      </c>
      <c r="F1379" s="3" t="s">
        <v>128</v>
      </c>
      <c r="G1379" s="3" t="s">
        <v>675</v>
      </c>
      <c r="I1379" s="3">
        <v>2044.13</v>
      </c>
      <c r="AU1379" s="22">
        <f t="shared" si="254"/>
        <v>2044.13</v>
      </c>
      <c r="AV1379" s="3">
        <v>1365.99</v>
      </c>
      <c r="AW1379" s="3">
        <v>185.64</v>
      </c>
      <c r="AX1379" s="201">
        <v>492.5</v>
      </c>
      <c r="CH1379" s="22">
        <f t="shared" si="255"/>
        <v>2044.13</v>
      </c>
      <c r="CI1379" s="3">
        <f t="shared" si="256"/>
        <v>0</v>
      </c>
      <c r="CJ1379" s="17">
        <f t="shared" si="257"/>
        <v>11820</v>
      </c>
      <c r="CK1379" s="3" t="str">
        <f t="shared" si="258"/>
        <v>مركز مؤتمرات</v>
      </c>
    </row>
    <row r="1380" spans="1:91" s="29" customFormat="1" x14ac:dyDescent="0.25">
      <c r="A1380" s="27"/>
      <c r="B1380" s="28"/>
      <c r="C1380" s="28"/>
      <c r="D1380" s="28"/>
      <c r="E1380" s="28"/>
      <c r="G1380" s="29" t="s">
        <v>676</v>
      </c>
      <c r="I1380" s="29">
        <f t="shared" ref="I1380:AO1380" si="259">SUM(I1286:I1379)</f>
        <v>572074.65000000026</v>
      </c>
      <c r="J1380" s="29">
        <f t="shared" si="259"/>
        <v>54878.520000000004</v>
      </c>
      <c r="K1380" s="29">
        <f t="shared" si="259"/>
        <v>0</v>
      </c>
      <c r="L1380" s="29">
        <f t="shared" si="259"/>
        <v>0</v>
      </c>
      <c r="M1380" s="29">
        <f t="shared" si="259"/>
        <v>0</v>
      </c>
      <c r="N1380" s="29">
        <f t="shared" si="259"/>
        <v>0</v>
      </c>
      <c r="O1380" s="29">
        <f t="shared" si="259"/>
        <v>0</v>
      </c>
      <c r="P1380" s="29">
        <f t="shared" si="259"/>
        <v>0</v>
      </c>
      <c r="Q1380" s="29">
        <f t="shared" si="259"/>
        <v>6700</v>
      </c>
      <c r="R1380" s="29">
        <f t="shared" si="259"/>
        <v>0</v>
      </c>
      <c r="S1380" s="29">
        <f t="shared" si="259"/>
        <v>0</v>
      </c>
      <c r="T1380" s="29">
        <f t="shared" si="259"/>
        <v>0</v>
      </c>
      <c r="U1380" s="29">
        <f t="shared" si="259"/>
        <v>0</v>
      </c>
      <c r="V1380" s="29">
        <f t="shared" si="259"/>
        <v>0</v>
      </c>
      <c r="W1380" s="29">
        <f t="shared" si="259"/>
        <v>0</v>
      </c>
      <c r="X1380" s="29">
        <f t="shared" si="259"/>
        <v>0</v>
      </c>
      <c r="Y1380" s="29">
        <f t="shared" si="259"/>
        <v>0</v>
      </c>
      <c r="Z1380" s="29">
        <f t="shared" si="259"/>
        <v>0</v>
      </c>
      <c r="AA1380" s="29">
        <f t="shared" si="259"/>
        <v>0</v>
      </c>
      <c r="AB1380" s="29">
        <f t="shared" si="259"/>
        <v>0</v>
      </c>
      <c r="AC1380" s="29">
        <f t="shared" si="259"/>
        <v>0</v>
      </c>
      <c r="AD1380" s="29">
        <f t="shared" si="259"/>
        <v>0</v>
      </c>
      <c r="AE1380" s="29">
        <f t="shared" si="259"/>
        <v>0</v>
      </c>
      <c r="AG1380" s="29">
        <f t="shared" si="259"/>
        <v>0</v>
      </c>
      <c r="AH1380" s="29">
        <f t="shared" si="259"/>
        <v>0</v>
      </c>
      <c r="AI1380" s="29">
        <f t="shared" si="259"/>
        <v>0</v>
      </c>
      <c r="AJ1380" s="29">
        <f t="shared" si="259"/>
        <v>0</v>
      </c>
      <c r="AK1380" s="29">
        <f t="shared" si="259"/>
        <v>0</v>
      </c>
      <c r="AL1380" s="29">
        <f t="shared" si="259"/>
        <v>0</v>
      </c>
      <c r="AM1380" s="29">
        <f t="shared" si="259"/>
        <v>0</v>
      </c>
      <c r="AN1380" s="29">
        <f t="shared" si="259"/>
        <v>0</v>
      </c>
      <c r="AO1380" s="29">
        <f t="shared" si="259"/>
        <v>0</v>
      </c>
      <c r="AP1380" s="29">
        <f t="shared" ref="AP1380:BW1380" si="260">SUM(AP1286:AP1379)</f>
        <v>0</v>
      </c>
      <c r="AQ1380" s="29">
        <f t="shared" si="260"/>
        <v>0</v>
      </c>
      <c r="AR1380" s="29">
        <f t="shared" si="260"/>
        <v>0</v>
      </c>
      <c r="AS1380" s="29">
        <f t="shared" si="260"/>
        <v>0</v>
      </c>
      <c r="AT1380" s="29">
        <f t="shared" si="260"/>
        <v>0</v>
      </c>
      <c r="AU1380" s="29">
        <f t="shared" si="260"/>
        <v>633653.17000000027</v>
      </c>
      <c r="AV1380" s="29">
        <f t="shared" si="260"/>
        <v>506383.24</v>
      </c>
      <c r="AW1380" s="29">
        <f t="shared" si="260"/>
        <v>58451.630000000012</v>
      </c>
      <c r="AX1380" s="29">
        <f t="shared" si="260"/>
        <v>57581.390000000014</v>
      </c>
      <c r="AY1380" s="29">
        <f t="shared" si="260"/>
        <v>4044.91</v>
      </c>
      <c r="AZ1380" s="29">
        <f t="shared" si="260"/>
        <v>0</v>
      </c>
      <c r="BA1380" s="29">
        <f t="shared" si="260"/>
        <v>0</v>
      </c>
      <c r="BB1380" s="29">
        <f t="shared" si="260"/>
        <v>0</v>
      </c>
      <c r="BC1380" s="29">
        <f t="shared" si="260"/>
        <v>0</v>
      </c>
      <c r="BD1380" s="29">
        <f t="shared" si="260"/>
        <v>0</v>
      </c>
      <c r="BF1380" s="29">
        <f t="shared" si="260"/>
        <v>0</v>
      </c>
      <c r="BG1380" s="29">
        <f t="shared" si="260"/>
        <v>0</v>
      </c>
      <c r="BH1380" s="29">
        <f t="shared" si="260"/>
        <v>0</v>
      </c>
      <c r="BJ1380" s="29">
        <f t="shared" si="260"/>
        <v>0</v>
      </c>
      <c r="BK1380" s="29">
        <f t="shared" si="260"/>
        <v>430</v>
      </c>
      <c r="BL1380" s="29">
        <f t="shared" si="260"/>
        <v>62</v>
      </c>
      <c r="BM1380" s="29">
        <f t="shared" si="260"/>
        <v>0</v>
      </c>
      <c r="BN1380" s="29">
        <f t="shared" si="260"/>
        <v>0</v>
      </c>
      <c r="BO1380" s="29">
        <f t="shared" si="260"/>
        <v>0</v>
      </c>
      <c r="BP1380" s="29">
        <f t="shared" si="260"/>
        <v>0</v>
      </c>
      <c r="BQ1380" s="29">
        <f t="shared" si="260"/>
        <v>0</v>
      </c>
      <c r="BR1380" s="29">
        <f t="shared" si="260"/>
        <v>0</v>
      </c>
      <c r="BS1380" s="29">
        <f t="shared" si="260"/>
        <v>6700</v>
      </c>
      <c r="BT1380" s="29">
        <f t="shared" si="260"/>
        <v>0</v>
      </c>
      <c r="BU1380" s="29">
        <f t="shared" si="260"/>
        <v>0</v>
      </c>
      <c r="BV1380" s="29">
        <f t="shared" si="260"/>
        <v>0</v>
      </c>
      <c r="BW1380" s="29">
        <f t="shared" si="260"/>
        <v>0</v>
      </c>
      <c r="BX1380" s="29">
        <f t="shared" ref="BX1380:CI1380" si="261">SUM(BX1286:BX1379)</f>
        <v>0</v>
      </c>
      <c r="BY1380" s="29">
        <f t="shared" si="261"/>
        <v>0</v>
      </c>
      <c r="BZ1380" s="29">
        <f t="shared" si="261"/>
        <v>0</v>
      </c>
      <c r="CA1380" s="29">
        <f t="shared" si="261"/>
        <v>0</v>
      </c>
      <c r="CB1380" s="29">
        <f t="shared" si="261"/>
        <v>0</v>
      </c>
      <c r="CC1380" s="29">
        <f t="shared" si="261"/>
        <v>0</v>
      </c>
      <c r="CD1380" s="29">
        <f t="shared" si="261"/>
        <v>0</v>
      </c>
      <c r="CE1380" s="29">
        <f t="shared" si="261"/>
        <v>0</v>
      </c>
      <c r="CF1380" s="29">
        <f t="shared" si="261"/>
        <v>0</v>
      </c>
      <c r="CG1380" s="201">
        <f t="shared" si="261"/>
        <v>0</v>
      </c>
      <c r="CH1380" s="29">
        <f t="shared" si="261"/>
        <v>633653.17000000016</v>
      </c>
      <c r="CI1380" s="29">
        <f t="shared" si="261"/>
        <v>0</v>
      </c>
      <c r="CK1380" s="29">
        <f>SUM(CK1286:CK1379)</f>
        <v>0</v>
      </c>
      <c r="CL1380" s="29">
        <f>SUM(CL1286:CL1379)</f>
        <v>0</v>
      </c>
      <c r="CM1380" s="29">
        <f>SUM(CM1286:CM1379)</f>
        <v>0</v>
      </c>
    </row>
    <row r="1381" spans="1:91" ht="31.5" x14ac:dyDescent="0.25">
      <c r="A1381" s="16" t="s">
        <v>677</v>
      </c>
      <c r="D1381" s="17">
        <v>19287</v>
      </c>
      <c r="E1381" s="17">
        <v>11821</v>
      </c>
      <c r="G1381" s="9" t="s">
        <v>678</v>
      </c>
      <c r="AE1381" s="3">
        <v>33695.57</v>
      </c>
      <c r="AU1381" s="22">
        <f t="shared" ref="AU1381:AU1444" si="262">SUM(I1381:AS1381)</f>
        <v>33695.57</v>
      </c>
      <c r="AV1381" s="3">
        <v>33695.57</v>
      </c>
      <c r="CH1381" s="22">
        <f t="shared" ref="CH1381:CH1444" si="263">SUM(AV1381:CG1381)</f>
        <v>33695.57</v>
      </c>
      <c r="CI1381" s="3">
        <f t="shared" ref="CI1381:CI1444" si="264">+CH1381-AU1381</f>
        <v>0</v>
      </c>
      <c r="CJ1381" s="17">
        <f t="shared" ref="CJ1381:CJ1444" si="265">+E1381</f>
        <v>11821</v>
      </c>
      <c r="CK1381" s="3">
        <f t="shared" ref="CK1381:CK1444" si="266">+F1381</f>
        <v>0</v>
      </c>
    </row>
    <row r="1382" spans="1:91" x14ac:dyDescent="0.25">
      <c r="C1382" s="17" t="s">
        <v>657</v>
      </c>
      <c r="D1382" s="17">
        <v>19461</v>
      </c>
      <c r="E1382" s="17">
        <v>11822</v>
      </c>
      <c r="F1382" s="3" t="s">
        <v>325</v>
      </c>
      <c r="G1382" s="3" t="s">
        <v>679</v>
      </c>
      <c r="I1382" s="3">
        <v>1758.75</v>
      </c>
      <c r="AU1382" s="22">
        <f t="shared" si="262"/>
        <v>1758.75</v>
      </c>
      <c r="AV1382" s="3">
        <v>1177.75</v>
      </c>
      <c r="AW1382" s="3">
        <f>150+7.25</f>
        <v>157.25</v>
      </c>
      <c r="AX1382" s="3">
        <f>581-157.25</f>
        <v>423.75</v>
      </c>
      <c r="CH1382" s="22">
        <f t="shared" si="263"/>
        <v>1758.75</v>
      </c>
      <c r="CI1382" s="3">
        <f t="shared" si="264"/>
        <v>0</v>
      </c>
      <c r="CJ1382" s="17">
        <f t="shared" si="265"/>
        <v>11822</v>
      </c>
      <c r="CK1382" s="3" t="str">
        <f t="shared" si="266"/>
        <v xml:space="preserve">برنامج دولى </v>
      </c>
    </row>
    <row r="1383" spans="1:91" x14ac:dyDescent="0.25">
      <c r="B1383" s="3"/>
      <c r="C1383" s="17" t="s">
        <v>657</v>
      </c>
      <c r="D1383" s="17">
        <v>19463</v>
      </c>
      <c r="E1383" s="17">
        <v>11823</v>
      </c>
      <c r="F1383" s="3" t="s">
        <v>325</v>
      </c>
      <c r="G1383" s="3" t="s">
        <v>680</v>
      </c>
      <c r="I1383" s="3">
        <v>1407</v>
      </c>
      <c r="AU1383" s="22">
        <f t="shared" si="262"/>
        <v>1407</v>
      </c>
      <c r="AV1383" s="3">
        <v>940.35</v>
      </c>
      <c r="AW1383" s="3">
        <f>7.65+120</f>
        <v>127.65</v>
      </c>
      <c r="AX1383" s="3">
        <v>339</v>
      </c>
      <c r="CH1383" s="22">
        <f t="shared" si="263"/>
        <v>1407</v>
      </c>
      <c r="CI1383" s="3">
        <f t="shared" si="264"/>
        <v>0</v>
      </c>
      <c r="CJ1383" s="17">
        <f t="shared" si="265"/>
        <v>11823</v>
      </c>
      <c r="CK1383" s="3" t="str">
        <f t="shared" si="266"/>
        <v xml:space="preserve">برنامج دولى </v>
      </c>
    </row>
    <row r="1384" spans="1:91" x14ac:dyDescent="0.25">
      <c r="C1384" s="17" t="s">
        <v>657</v>
      </c>
      <c r="D1384" s="17">
        <v>19464</v>
      </c>
      <c r="E1384" s="17">
        <v>11824</v>
      </c>
      <c r="F1384" s="3" t="s">
        <v>325</v>
      </c>
      <c r="G1384" s="3" t="s">
        <v>681</v>
      </c>
      <c r="I1384" s="3">
        <v>3000</v>
      </c>
      <c r="AU1384" s="22">
        <f t="shared" si="262"/>
        <v>3000</v>
      </c>
      <c r="AV1384" s="3">
        <v>2682.3</v>
      </c>
      <c r="AW1384" s="3">
        <v>317.7</v>
      </c>
      <c r="CH1384" s="22">
        <f t="shared" si="263"/>
        <v>3000</v>
      </c>
      <c r="CI1384" s="3">
        <f t="shared" si="264"/>
        <v>0</v>
      </c>
      <c r="CJ1384" s="17">
        <f t="shared" si="265"/>
        <v>11824</v>
      </c>
      <c r="CK1384" s="3" t="str">
        <f t="shared" si="266"/>
        <v xml:space="preserve">برنامج دولى </v>
      </c>
    </row>
    <row r="1385" spans="1:91" x14ac:dyDescent="0.25">
      <c r="C1385" s="17" t="s">
        <v>657</v>
      </c>
      <c r="D1385" s="17">
        <v>19465</v>
      </c>
      <c r="E1385" s="17">
        <v>11825</v>
      </c>
      <c r="F1385" s="3" t="s">
        <v>325</v>
      </c>
      <c r="G1385" s="3" t="s">
        <v>682</v>
      </c>
      <c r="I1385" s="3">
        <v>586.25</v>
      </c>
      <c r="AU1385" s="22">
        <f t="shared" si="262"/>
        <v>586.25</v>
      </c>
      <c r="AV1385" s="3">
        <v>392.4</v>
      </c>
      <c r="AW1385" s="3">
        <v>52.6</v>
      </c>
      <c r="AX1385" s="3">
        <v>141.25</v>
      </c>
      <c r="CH1385" s="22">
        <f t="shared" si="263"/>
        <v>586.25</v>
      </c>
      <c r="CI1385" s="3">
        <f t="shared" si="264"/>
        <v>0</v>
      </c>
      <c r="CJ1385" s="17">
        <f t="shared" si="265"/>
        <v>11825</v>
      </c>
      <c r="CK1385" s="3" t="str">
        <f t="shared" si="266"/>
        <v xml:space="preserve">برنامج دولى </v>
      </c>
    </row>
    <row r="1386" spans="1:91" x14ac:dyDescent="0.25">
      <c r="C1386" s="17" t="s">
        <v>657</v>
      </c>
      <c r="D1386" s="17">
        <v>19466</v>
      </c>
      <c r="E1386" s="17">
        <v>11826</v>
      </c>
      <c r="F1386" s="3" t="s">
        <v>325</v>
      </c>
      <c r="G1386" s="3" t="s">
        <v>683</v>
      </c>
      <c r="I1386" s="3">
        <v>1518.46</v>
      </c>
      <c r="AU1386" s="22">
        <f t="shared" si="262"/>
        <v>1518.46</v>
      </c>
      <c r="AV1386" s="3">
        <v>869.83</v>
      </c>
      <c r="AW1386" s="3">
        <v>127.1</v>
      </c>
      <c r="AX1386" s="3">
        <v>521.53</v>
      </c>
      <c r="CH1386" s="22">
        <f t="shared" si="263"/>
        <v>1518.46</v>
      </c>
      <c r="CI1386" s="3">
        <f t="shared" si="264"/>
        <v>0</v>
      </c>
      <c r="CJ1386" s="17">
        <f t="shared" si="265"/>
        <v>11826</v>
      </c>
      <c r="CK1386" s="3" t="str">
        <f t="shared" si="266"/>
        <v xml:space="preserve">برنامج دولى </v>
      </c>
    </row>
    <row r="1387" spans="1:91" x14ac:dyDescent="0.25">
      <c r="C1387" s="17" t="s">
        <v>657</v>
      </c>
      <c r="D1387" s="17">
        <v>19467</v>
      </c>
      <c r="E1387" s="17">
        <v>11827</v>
      </c>
      <c r="F1387" s="3" t="s">
        <v>325</v>
      </c>
      <c r="G1387" s="3" t="s">
        <v>684</v>
      </c>
      <c r="I1387" s="3">
        <v>5000</v>
      </c>
      <c r="AU1387" s="22">
        <f t="shared" si="262"/>
        <v>5000</v>
      </c>
      <c r="AV1387" s="3">
        <v>4463.2</v>
      </c>
      <c r="AW1387" s="3">
        <v>536.79999999999995</v>
      </c>
      <c r="CH1387" s="22">
        <f t="shared" si="263"/>
        <v>5000</v>
      </c>
      <c r="CI1387" s="3">
        <f t="shared" si="264"/>
        <v>0</v>
      </c>
      <c r="CJ1387" s="17">
        <f t="shared" si="265"/>
        <v>11827</v>
      </c>
      <c r="CK1387" s="3" t="str">
        <f t="shared" si="266"/>
        <v xml:space="preserve">برنامج دولى </v>
      </c>
    </row>
    <row r="1388" spans="1:91" x14ac:dyDescent="0.25">
      <c r="C1388" s="17" t="s">
        <v>657</v>
      </c>
      <c r="D1388" s="17">
        <v>19468</v>
      </c>
      <c r="E1388" s="17">
        <v>11828</v>
      </c>
      <c r="F1388" s="3" t="s">
        <v>325</v>
      </c>
      <c r="G1388" s="3" t="s">
        <v>685</v>
      </c>
      <c r="I1388" s="3">
        <v>1758.75</v>
      </c>
      <c r="AU1388" s="22">
        <f t="shared" si="262"/>
        <v>1758.75</v>
      </c>
      <c r="AV1388" s="3">
        <v>1175.3499999999999</v>
      </c>
      <c r="AW1388" s="3">
        <v>159.65</v>
      </c>
      <c r="AX1388" s="3">
        <v>423.75</v>
      </c>
      <c r="CH1388" s="22">
        <f t="shared" si="263"/>
        <v>1758.75</v>
      </c>
      <c r="CI1388" s="3">
        <f t="shared" si="264"/>
        <v>0</v>
      </c>
      <c r="CJ1388" s="17">
        <f t="shared" si="265"/>
        <v>11828</v>
      </c>
      <c r="CK1388" s="3" t="str">
        <f t="shared" si="266"/>
        <v xml:space="preserve">برنامج دولى </v>
      </c>
    </row>
    <row r="1389" spans="1:91" x14ac:dyDescent="0.25">
      <c r="C1389" s="17" t="s">
        <v>657</v>
      </c>
      <c r="D1389" s="17">
        <v>19469</v>
      </c>
      <c r="E1389" s="17">
        <v>11829</v>
      </c>
      <c r="F1389" s="3" t="s">
        <v>325</v>
      </c>
      <c r="G1389" s="3" t="s">
        <v>686</v>
      </c>
      <c r="I1389" s="3">
        <v>644.88</v>
      </c>
      <c r="AU1389" s="22">
        <f t="shared" si="262"/>
        <v>644.88</v>
      </c>
      <c r="AV1389" s="3">
        <v>431.4</v>
      </c>
      <c r="AW1389" s="3">
        <v>58.1</v>
      </c>
      <c r="AX1389" s="3">
        <v>155.38</v>
      </c>
      <c r="CH1389" s="22">
        <f t="shared" si="263"/>
        <v>644.88</v>
      </c>
      <c r="CI1389" s="3">
        <f t="shared" si="264"/>
        <v>0</v>
      </c>
      <c r="CJ1389" s="17">
        <f t="shared" si="265"/>
        <v>11829</v>
      </c>
      <c r="CK1389" s="3" t="str">
        <f t="shared" si="266"/>
        <v xml:space="preserve">برنامج دولى </v>
      </c>
    </row>
    <row r="1390" spans="1:91" x14ac:dyDescent="0.25">
      <c r="C1390" s="17" t="s">
        <v>657</v>
      </c>
      <c r="D1390" s="17">
        <v>19470</v>
      </c>
      <c r="E1390" s="17">
        <v>11830</v>
      </c>
      <c r="F1390" s="3" t="s">
        <v>325</v>
      </c>
      <c r="G1390" s="3" t="s">
        <v>687</v>
      </c>
      <c r="I1390" s="3">
        <v>1172.5</v>
      </c>
      <c r="AU1390" s="22">
        <f t="shared" si="262"/>
        <v>1172.5</v>
      </c>
      <c r="AV1390" s="3">
        <v>784.1</v>
      </c>
      <c r="AW1390" s="3">
        <v>105.9</v>
      </c>
      <c r="AX1390" s="3">
        <v>282.5</v>
      </c>
      <c r="CH1390" s="22">
        <f t="shared" si="263"/>
        <v>1172.5</v>
      </c>
      <c r="CI1390" s="3">
        <f t="shared" si="264"/>
        <v>0</v>
      </c>
      <c r="CJ1390" s="17">
        <f t="shared" si="265"/>
        <v>11830</v>
      </c>
      <c r="CK1390" s="3" t="str">
        <f t="shared" si="266"/>
        <v xml:space="preserve">برنامج دولى </v>
      </c>
    </row>
    <row r="1391" spans="1:91" x14ac:dyDescent="0.25">
      <c r="C1391" s="17" t="s">
        <v>657</v>
      </c>
      <c r="D1391" s="17">
        <v>19471</v>
      </c>
      <c r="E1391" s="17">
        <v>11831</v>
      </c>
      <c r="F1391" s="3" t="s">
        <v>325</v>
      </c>
      <c r="G1391" s="3" t="s">
        <v>688</v>
      </c>
      <c r="I1391" s="3">
        <v>18344.46</v>
      </c>
      <c r="AU1391" s="22">
        <f t="shared" si="262"/>
        <v>18344.46</v>
      </c>
      <c r="AV1391" s="3">
        <v>11887.22</v>
      </c>
      <c r="AW1391" s="3">
        <v>1635.15</v>
      </c>
      <c r="AX1391" s="3">
        <v>4822.09</v>
      </c>
      <c r="CH1391" s="22">
        <f t="shared" si="263"/>
        <v>18344.46</v>
      </c>
      <c r="CI1391" s="3">
        <f t="shared" si="264"/>
        <v>0</v>
      </c>
      <c r="CJ1391" s="17">
        <f t="shared" si="265"/>
        <v>11831</v>
      </c>
      <c r="CK1391" s="3" t="str">
        <f t="shared" si="266"/>
        <v xml:space="preserve">برنامج دولى </v>
      </c>
    </row>
    <row r="1392" spans="1:91" x14ac:dyDescent="0.25">
      <c r="C1392" s="17" t="s">
        <v>657</v>
      </c>
      <c r="D1392" s="17">
        <v>19472</v>
      </c>
      <c r="E1392" s="17">
        <v>11832</v>
      </c>
      <c r="F1392" s="3" t="s">
        <v>325</v>
      </c>
      <c r="G1392" s="3" t="s">
        <v>688</v>
      </c>
      <c r="I1392" s="3">
        <v>2931.24</v>
      </c>
      <c r="AU1392" s="22">
        <f t="shared" si="262"/>
        <v>2931.24</v>
      </c>
      <c r="AV1392" s="3">
        <v>1959</v>
      </c>
      <c r="AW1392" s="3">
        <v>266</v>
      </c>
      <c r="AX1392" s="3">
        <v>706.24</v>
      </c>
      <c r="CH1392" s="22">
        <f t="shared" si="263"/>
        <v>2931.24</v>
      </c>
      <c r="CI1392" s="3">
        <f t="shared" si="264"/>
        <v>0</v>
      </c>
      <c r="CJ1392" s="17">
        <f t="shared" si="265"/>
        <v>11832</v>
      </c>
      <c r="CK1392" s="3" t="str">
        <f t="shared" si="266"/>
        <v xml:space="preserve">برنامج دولى </v>
      </c>
    </row>
    <row r="1393" spans="3:89" x14ac:dyDescent="0.25">
      <c r="C1393" s="17" t="s">
        <v>657</v>
      </c>
      <c r="D1393" s="17">
        <v>19473</v>
      </c>
      <c r="E1393" s="17">
        <v>11833</v>
      </c>
      <c r="F1393" s="3" t="s">
        <v>325</v>
      </c>
      <c r="G1393" s="3" t="s">
        <v>688</v>
      </c>
      <c r="I1393" s="3">
        <v>3165.74</v>
      </c>
      <c r="AU1393" s="22">
        <f t="shared" si="262"/>
        <v>3165.74</v>
      </c>
      <c r="AV1393" s="3">
        <v>2117.9</v>
      </c>
      <c r="AW1393" s="3">
        <v>285.10000000000002</v>
      </c>
      <c r="AX1393" s="3">
        <v>762.74</v>
      </c>
      <c r="CH1393" s="22">
        <f t="shared" si="263"/>
        <v>3165.74</v>
      </c>
      <c r="CI1393" s="3">
        <f t="shared" si="264"/>
        <v>0</v>
      </c>
      <c r="CJ1393" s="17">
        <f t="shared" si="265"/>
        <v>11833</v>
      </c>
      <c r="CK1393" s="3" t="str">
        <f t="shared" si="266"/>
        <v xml:space="preserve">برنامج دولى </v>
      </c>
    </row>
    <row r="1394" spans="3:89" x14ac:dyDescent="0.25">
      <c r="C1394" s="17" t="s">
        <v>657</v>
      </c>
      <c r="D1394" s="17">
        <v>19474</v>
      </c>
      <c r="E1394" s="17">
        <v>11834</v>
      </c>
      <c r="F1394" s="3" t="s">
        <v>325</v>
      </c>
      <c r="G1394" s="3" t="s">
        <v>688</v>
      </c>
      <c r="I1394" s="3">
        <v>469</v>
      </c>
      <c r="AU1394" s="22">
        <f t="shared" si="262"/>
        <v>469</v>
      </c>
      <c r="AV1394" s="3">
        <v>314</v>
      </c>
      <c r="AW1394" s="3">
        <v>42</v>
      </c>
      <c r="AX1394" s="3">
        <v>113</v>
      </c>
      <c r="CH1394" s="22">
        <f t="shared" si="263"/>
        <v>469</v>
      </c>
      <c r="CI1394" s="3">
        <f t="shared" si="264"/>
        <v>0</v>
      </c>
      <c r="CJ1394" s="17">
        <f t="shared" si="265"/>
        <v>11834</v>
      </c>
      <c r="CK1394" s="3" t="str">
        <f t="shared" si="266"/>
        <v xml:space="preserve">برنامج دولى </v>
      </c>
    </row>
    <row r="1395" spans="3:89" x14ac:dyDescent="0.25">
      <c r="C1395" s="17" t="s">
        <v>657</v>
      </c>
      <c r="D1395" s="17">
        <v>19475</v>
      </c>
      <c r="E1395" s="17">
        <v>11835</v>
      </c>
      <c r="F1395" s="3" t="s">
        <v>325</v>
      </c>
      <c r="G1395" s="3" t="s">
        <v>688</v>
      </c>
      <c r="I1395" s="3">
        <v>293.12</v>
      </c>
      <c r="AU1395" s="22">
        <f t="shared" si="262"/>
        <v>293.12</v>
      </c>
      <c r="AV1395" s="3">
        <v>196.45</v>
      </c>
      <c r="AW1395" s="3">
        <v>26.05</v>
      </c>
      <c r="AX1395" s="3">
        <v>70.62</v>
      </c>
      <c r="CH1395" s="22">
        <f t="shared" si="263"/>
        <v>293.12</v>
      </c>
      <c r="CI1395" s="3">
        <f t="shared" si="264"/>
        <v>0</v>
      </c>
      <c r="CJ1395" s="17">
        <f t="shared" si="265"/>
        <v>11835</v>
      </c>
      <c r="CK1395" s="3" t="str">
        <f t="shared" si="266"/>
        <v xml:space="preserve">برنامج دولى </v>
      </c>
    </row>
    <row r="1396" spans="3:89" x14ac:dyDescent="0.25">
      <c r="C1396" s="17" t="s">
        <v>657</v>
      </c>
      <c r="D1396" s="17">
        <v>19476</v>
      </c>
      <c r="E1396" s="17">
        <v>11836</v>
      </c>
      <c r="F1396" s="3" t="s">
        <v>325</v>
      </c>
      <c r="G1396" s="3" t="s">
        <v>688</v>
      </c>
      <c r="I1396" s="3">
        <v>6741.9</v>
      </c>
      <c r="AU1396" s="22">
        <f t="shared" si="262"/>
        <v>6741.9</v>
      </c>
      <c r="AV1396" s="3">
        <v>4509.8999999999996</v>
      </c>
      <c r="AW1396" s="3">
        <f>575+32.6</f>
        <v>607.6</v>
      </c>
      <c r="AX1396" s="3">
        <v>1624.4</v>
      </c>
      <c r="CH1396" s="22">
        <f t="shared" si="263"/>
        <v>6741.9</v>
      </c>
      <c r="CI1396" s="3">
        <f t="shared" si="264"/>
        <v>0</v>
      </c>
      <c r="CJ1396" s="17">
        <f t="shared" si="265"/>
        <v>11836</v>
      </c>
      <c r="CK1396" s="3" t="str">
        <f t="shared" si="266"/>
        <v xml:space="preserve">برنامج دولى </v>
      </c>
    </row>
    <row r="1397" spans="3:89" x14ac:dyDescent="0.25">
      <c r="C1397" s="17" t="s">
        <v>657</v>
      </c>
      <c r="D1397" s="17">
        <v>19477</v>
      </c>
      <c r="E1397" s="17">
        <v>11837</v>
      </c>
      <c r="F1397" s="3" t="s">
        <v>325</v>
      </c>
      <c r="G1397" s="3" t="s">
        <v>689</v>
      </c>
      <c r="I1397" s="3">
        <v>351.75</v>
      </c>
      <c r="AU1397" s="22">
        <f t="shared" si="262"/>
        <v>351.75</v>
      </c>
      <c r="AV1397" s="3">
        <v>235.55</v>
      </c>
      <c r="AW1397" s="3">
        <v>31.45</v>
      </c>
      <c r="AX1397" s="3">
        <v>84.75</v>
      </c>
      <c r="CH1397" s="22">
        <f t="shared" si="263"/>
        <v>351.75</v>
      </c>
      <c r="CI1397" s="3">
        <f t="shared" si="264"/>
        <v>0</v>
      </c>
      <c r="CJ1397" s="17">
        <f t="shared" si="265"/>
        <v>11837</v>
      </c>
      <c r="CK1397" s="3" t="str">
        <f t="shared" si="266"/>
        <v xml:space="preserve">برنامج دولى </v>
      </c>
    </row>
    <row r="1398" spans="3:89" x14ac:dyDescent="0.25">
      <c r="C1398" s="17" t="s">
        <v>657</v>
      </c>
      <c r="D1398" s="17">
        <v>19478</v>
      </c>
      <c r="E1398" s="17">
        <v>11838</v>
      </c>
      <c r="F1398" s="3" t="s">
        <v>325</v>
      </c>
      <c r="G1398" s="3" t="s">
        <v>690</v>
      </c>
      <c r="I1398" s="3">
        <v>351.75</v>
      </c>
      <c r="AU1398" s="22">
        <f t="shared" si="262"/>
        <v>351.75</v>
      </c>
      <c r="AV1398" s="3">
        <v>235.55</v>
      </c>
      <c r="AW1398" s="3">
        <v>31.45</v>
      </c>
      <c r="AX1398" s="3">
        <v>84.75</v>
      </c>
      <c r="CH1398" s="22">
        <f t="shared" si="263"/>
        <v>351.75</v>
      </c>
      <c r="CI1398" s="3">
        <f t="shared" si="264"/>
        <v>0</v>
      </c>
      <c r="CJ1398" s="17">
        <f t="shared" si="265"/>
        <v>11838</v>
      </c>
      <c r="CK1398" s="3" t="str">
        <f t="shared" si="266"/>
        <v xml:space="preserve">برنامج دولى </v>
      </c>
    </row>
    <row r="1399" spans="3:89" x14ac:dyDescent="0.25">
      <c r="C1399" s="17" t="s">
        <v>657</v>
      </c>
      <c r="D1399" s="17">
        <v>19479</v>
      </c>
      <c r="E1399" s="17">
        <v>11839</v>
      </c>
      <c r="F1399" s="3" t="s">
        <v>325</v>
      </c>
      <c r="G1399" s="3" t="s">
        <v>691</v>
      </c>
      <c r="I1399" s="3">
        <v>879.38</v>
      </c>
      <c r="AU1399" s="22">
        <f t="shared" si="262"/>
        <v>879.38</v>
      </c>
      <c r="AV1399" s="3">
        <v>588.15</v>
      </c>
      <c r="AW1399" s="3">
        <v>79.349999999999994</v>
      </c>
      <c r="AX1399" s="3">
        <v>211.88</v>
      </c>
      <c r="CH1399" s="22">
        <f t="shared" si="263"/>
        <v>879.38</v>
      </c>
      <c r="CI1399" s="3">
        <f t="shared" si="264"/>
        <v>0</v>
      </c>
      <c r="CJ1399" s="17">
        <f t="shared" si="265"/>
        <v>11839</v>
      </c>
      <c r="CK1399" s="3" t="str">
        <f t="shared" si="266"/>
        <v xml:space="preserve">برنامج دولى </v>
      </c>
    </row>
    <row r="1400" spans="3:89" x14ac:dyDescent="0.25">
      <c r="C1400" s="17" t="s">
        <v>657</v>
      </c>
      <c r="D1400" s="17">
        <v>19480</v>
      </c>
      <c r="E1400" s="17">
        <v>11840</v>
      </c>
      <c r="F1400" s="3" t="s">
        <v>325</v>
      </c>
      <c r="G1400" s="3" t="s">
        <v>692</v>
      </c>
      <c r="I1400" s="3">
        <v>1758.75</v>
      </c>
      <c r="AU1400" s="22">
        <f t="shared" si="262"/>
        <v>1758.75</v>
      </c>
      <c r="AV1400" s="3">
        <v>1175.3499999999999</v>
      </c>
      <c r="AW1400" s="3">
        <v>159.65</v>
      </c>
      <c r="AX1400" s="3">
        <v>423.75</v>
      </c>
      <c r="CH1400" s="22">
        <f t="shared" si="263"/>
        <v>1758.75</v>
      </c>
      <c r="CI1400" s="3">
        <f t="shared" si="264"/>
        <v>0</v>
      </c>
      <c r="CJ1400" s="17">
        <f t="shared" si="265"/>
        <v>11840</v>
      </c>
      <c r="CK1400" s="3" t="str">
        <f t="shared" si="266"/>
        <v xml:space="preserve">برنامج دولى </v>
      </c>
    </row>
    <row r="1401" spans="3:89" x14ac:dyDescent="0.25">
      <c r="C1401" s="17" t="s">
        <v>657</v>
      </c>
      <c r="D1401" s="17">
        <v>19481</v>
      </c>
      <c r="E1401" s="17">
        <v>11841</v>
      </c>
      <c r="F1401" s="3" t="s">
        <v>325</v>
      </c>
      <c r="G1401" s="3" t="s">
        <v>693</v>
      </c>
      <c r="I1401" s="3">
        <v>586.25</v>
      </c>
      <c r="AU1401" s="22">
        <f t="shared" si="262"/>
        <v>586.25</v>
      </c>
      <c r="AV1401" s="3">
        <v>392.4</v>
      </c>
      <c r="AW1401" s="3">
        <v>52.6</v>
      </c>
      <c r="AX1401" s="3">
        <v>141.25</v>
      </c>
      <c r="CH1401" s="22">
        <f t="shared" si="263"/>
        <v>586.25</v>
      </c>
      <c r="CI1401" s="3">
        <f t="shared" si="264"/>
        <v>0</v>
      </c>
      <c r="CJ1401" s="17">
        <f t="shared" si="265"/>
        <v>11841</v>
      </c>
      <c r="CK1401" s="3" t="str">
        <f t="shared" si="266"/>
        <v xml:space="preserve">برنامج دولى </v>
      </c>
    </row>
    <row r="1402" spans="3:89" x14ac:dyDescent="0.25">
      <c r="C1402" s="17" t="s">
        <v>657</v>
      </c>
      <c r="D1402" s="17">
        <v>19482</v>
      </c>
      <c r="E1402" s="17">
        <v>11842</v>
      </c>
      <c r="F1402" s="3" t="s">
        <v>325</v>
      </c>
      <c r="G1402" s="3" t="s">
        <v>693</v>
      </c>
      <c r="I1402" s="3">
        <v>586.25</v>
      </c>
      <c r="AU1402" s="22">
        <f t="shared" si="262"/>
        <v>586.25</v>
      </c>
      <c r="AV1402" s="3">
        <v>392.4</v>
      </c>
      <c r="AW1402" s="3">
        <v>52.6</v>
      </c>
      <c r="AX1402" s="3">
        <v>141.25</v>
      </c>
      <c r="CH1402" s="22">
        <f t="shared" si="263"/>
        <v>586.25</v>
      </c>
      <c r="CI1402" s="3">
        <f t="shared" si="264"/>
        <v>0</v>
      </c>
      <c r="CJ1402" s="17">
        <f t="shared" si="265"/>
        <v>11842</v>
      </c>
      <c r="CK1402" s="3" t="str">
        <f t="shared" si="266"/>
        <v xml:space="preserve">برنامج دولى </v>
      </c>
    </row>
    <row r="1403" spans="3:89" x14ac:dyDescent="0.25">
      <c r="C1403" s="17" t="s">
        <v>657</v>
      </c>
      <c r="D1403" s="17">
        <v>19483</v>
      </c>
      <c r="E1403" s="17">
        <v>11843</v>
      </c>
      <c r="F1403" s="3" t="s">
        <v>325</v>
      </c>
      <c r="G1403" s="3" t="s">
        <v>694</v>
      </c>
      <c r="I1403" s="3">
        <v>8207.5</v>
      </c>
      <c r="AU1403" s="22">
        <f t="shared" si="262"/>
        <v>8207.5</v>
      </c>
      <c r="AV1403" s="3">
        <v>5489.9</v>
      </c>
      <c r="AW1403" s="3">
        <v>740.1</v>
      </c>
      <c r="AX1403" s="3">
        <v>1977.5</v>
      </c>
      <c r="CH1403" s="22">
        <f t="shared" si="263"/>
        <v>8207.5</v>
      </c>
      <c r="CI1403" s="3">
        <f t="shared" si="264"/>
        <v>0</v>
      </c>
      <c r="CJ1403" s="17">
        <f t="shared" si="265"/>
        <v>11843</v>
      </c>
      <c r="CK1403" s="3" t="str">
        <f t="shared" si="266"/>
        <v xml:space="preserve">برنامج دولى </v>
      </c>
    </row>
    <row r="1404" spans="3:89" x14ac:dyDescent="0.25">
      <c r="C1404" s="17" t="s">
        <v>657</v>
      </c>
      <c r="D1404" s="17">
        <v>19484</v>
      </c>
      <c r="E1404" s="17">
        <v>11844</v>
      </c>
      <c r="F1404" s="3" t="s">
        <v>325</v>
      </c>
      <c r="G1404" s="3" t="s">
        <v>694</v>
      </c>
      <c r="I1404" s="3">
        <v>7633</v>
      </c>
      <c r="AU1404" s="22">
        <f t="shared" si="262"/>
        <v>7633</v>
      </c>
      <c r="AV1404" s="3">
        <v>5393.49</v>
      </c>
      <c r="AW1404" s="3">
        <v>711.55</v>
      </c>
      <c r="AX1404" s="3">
        <v>1527.96</v>
      </c>
      <c r="CH1404" s="22">
        <f t="shared" si="263"/>
        <v>7633</v>
      </c>
      <c r="CI1404" s="3">
        <f t="shared" si="264"/>
        <v>0</v>
      </c>
      <c r="CJ1404" s="17">
        <f t="shared" si="265"/>
        <v>11844</v>
      </c>
      <c r="CK1404" s="3" t="str">
        <f t="shared" si="266"/>
        <v xml:space="preserve">برنامج دولى </v>
      </c>
    </row>
    <row r="1405" spans="3:89" x14ac:dyDescent="0.25">
      <c r="C1405" s="17" t="s">
        <v>657</v>
      </c>
      <c r="D1405" s="17">
        <v>19485</v>
      </c>
      <c r="E1405" s="17">
        <v>11845</v>
      </c>
      <c r="F1405" s="3" t="s">
        <v>325</v>
      </c>
      <c r="G1405" s="3" t="s">
        <v>694</v>
      </c>
      <c r="I1405" s="3">
        <v>938</v>
      </c>
      <c r="AU1405" s="22">
        <f t="shared" si="262"/>
        <v>938</v>
      </c>
      <c r="AV1405" s="3">
        <v>628</v>
      </c>
      <c r="AW1405" s="3">
        <v>84</v>
      </c>
      <c r="AX1405" s="3">
        <v>226</v>
      </c>
      <c r="CH1405" s="22">
        <f t="shared" si="263"/>
        <v>938</v>
      </c>
      <c r="CI1405" s="3">
        <f t="shared" si="264"/>
        <v>0</v>
      </c>
      <c r="CJ1405" s="17">
        <f t="shared" si="265"/>
        <v>11845</v>
      </c>
      <c r="CK1405" s="3" t="str">
        <f t="shared" si="266"/>
        <v xml:space="preserve">برنامج دولى </v>
      </c>
    </row>
    <row r="1406" spans="3:89" x14ac:dyDescent="0.25">
      <c r="C1406" s="17" t="s">
        <v>657</v>
      </c>
      <c r="D1406" s="17">
        <v>19462</v>
      </c>
      <c r="E1406" s="17">
        <v>11846</v>
      </c>
      <c r="F1406" s="3" t="s">
        <v>325</v>
      </c>
      <c r="G1406" s="3" t="s">
        <v>695</v>
      </c>
      <c r="I1406" s="3">
        <v>938</v>
      </c>
      <c r="AU1406" s="22">
        <f t="shared" si="262"/>
        <v>938</v>
      </c>
      <c r="AV1406" s="3">
        <v>628</v>
      </c>
      <c r="AW1406" s="3">
        <v>84</v>
      </c>
      <c r="AX1406" s="3">
        <v>226</v>
      </c>
      <c r="CH1406" s="22">
        <f t="shared" si="263"/>
        <v>938</v>
      </c>
      <c r="CI1406" s="3">
        <f t="shared" si="264"/>
        <v>0</v>
      </c>
      <c r="CJ1406" s="17">
        <f t="shared" si="265"/>
        <v>11846</v>
      </c>
      <c r="CK1406" s="3" t="str">
        <f t="shared" si="266"/>
        <v xml:space="preserve">برنامج دولى </v>
      </c>
    </row>
    <row r="1407" spans="3:89" x14ac:dyDescent="0.25">
      <c r="C1407" s="17" t="s">
        <v>657</v>
      </c>
      <c r="D1407" s="17">
        <v>19451</v>
      </c>
      <c r="E1407" s="17">
        <v>11847</v>
      </c>
      <c r="F1407" s="3" t="s">
        <v>325</v>
      </c>
      <c r="G1407" s="3" t="s">
        <v>696</v>
      </c>
      <c r="I1407" s="3">
        <v>9303.67</v>
      </c>
      <c r="AU1407" s="22">
        <f t="shared" si="262"/>
        <v>9303.67</v>
      </c>
      <c r="AV1407" s="3">
        <v>6219.3</v>
      </c>
      <c r="AW1407" s="3">
        <v>826.55</v>
      </c>
      <c r="AX1407" s="3">
        <v>2257.8200000000002</v>
      </c>
      <c r="CH1407" s="22">
        <f t="shared" si="263"/>
        <v>9303.67</v>
      </c>
      <c r="CI1407" s="3">
        <f t="shared" si="264"/>
        <v>0</v>
      </c>
      <c r="CJ1407" s="17">
        <f t="shared" si="265"/>
        <v>11847</v>
      </c>
      <c r="CK1407" s="3" t="str">
        <f t="shared" si="266"/>
        <v xml:space="preserve">برنامج دولى </v>
      </c>
    </row>
    <row r="1408" spans="3:89" x14ac:dyDescent="0.25">
      <c r="C1408" s="17" t="s">
        <v>657</v>
      </c>
      <c r="D1408" s="17">
        <v>19452</v>
      </c>
      <c r="E1408" s="17">
        <v>11848</v>
      </c>
      <c r="F1408" s="3" t="s">
        <v>325</v>
      </c>
      <c r="G1408" s="3" t="s">
        <v>696</v>
      </c>
      <c r="I1408" s="3">
        <v>351.75</v>
      </c>
      <c r="AU1408" s="22">
        <f t="shared" si="262"/>
        <v>351.75</v>
      </c>
      <c r="AV1408" s="3">
        <v>235.55</v>
      </c>
      <c r="AW1408" s="3">
        <v>31.45</v>
      </c>
      <c r="AX1408" s="3">
        <v>84.75</v>
      </c>
      <c r="CH1408" s="22">
        <f t="shared" si="263"/>
        <v>351.75</v>
      </c>
      <c r="CI1408" s="3">
        <f t="shared" si="264"/>
        <v>0</v>
      </c>
      <c r="CJ1408" s="17">
        <f t="shared" si="265"/>
        <v>11848</v>
      </c>
      <c r="CK1408" s="3" t="str">
        <f t="shared" si="266"/>
        <v xml:space="preserve">برنامج دولى </v>
      </c>
    </row>
    <row r="1409" spans="3:89" x14ac:dyDescent="0.25">
      <c r="C1409" s="17" t="s">
        <v>657</v>
      </c>
      <c r="D1409" s="17">
        <v>19450</v>
      </c>
      <c r="E1409" s="17">
        <v>11849</v>
      </c>
      <c r="F1409" s="3" t="s">
        <v>325</v>
      </c>
      <c r="G1409" s="3" t="s">
        <v>697</v>
      </c>
      <c r="I1409" s="3">
        <v>2600</v>
      </c>
      <c r="AU1409" s="22">
        <f t="shared" si="262"/>
        <v>2600</v>
      </c>
      <c r="AV1409" s="3">
        <v>2320.85</v>
      </c>
      <c r="AW1409" s="3">
        <v>279.14999999999998</v>
      </c>
      <c r="CH1409" s="22">
        <f t="shared" si="263"/>
        <v>2600</v>
      </c>
      <c r="CI1409" s="3">
        <f t="shared" si="264"/>
        <v>0</v>
      </c>
      <c r="CJ1409" s="17">
        <f t="shared" si="265"/>
        <v>11849</v>
      </c>
      <c r="CK1409" s="3" t="str">
        <f t="shared" si="266"/>
        <v xml:space="preserve">برنامج دولى </v>
      </c>
    </row>
    <row r="1410" spans="3:89" x14ac:dyDescent="0.25">
      <c r="C1410" s="17" t="s">
        <v>657</v>
      </c>
      <c r="D1410" s="17">
        <v>19448</v>
      </c>
      <c r="E1410" s="17">
        <v>11850</v>
      </c>
      <c r="F1410" s="3" t="s">
        <v>325</v>
      </c>
      <c r="G1410" s="3" t="s">
        <v>697</v>
      </c>
      <c r="I1410" s="3">
        <v>2600</v>
      </c>
      <c r="AU1410" s="22">
        <f t="shared" si="262"/>
        <v>2600</v>
      </c>
      <c r="AV1410" s="3">
        <v>2320.85</v>
      </c>
      <c r="AW1410" s="3">
        <v>279.14999999999998</v>
      </c>
      <c r="CH1410" s="22">
        <f t="shared" si="263"/>
        <v>2600</v>
      </c>
      <c r="CI1410" s="3">
        <f t="shared" si="264"/>
        <v>0</v>
      </c>
      <c r="CJ1410" s="17">
        <f t="shared" si="265"/>
        <v>11850</v>
      </c>
      <c r="CK1410" s="3" t="str">
        <f t="shared" si="266"/>
        <v xml:space="preserve">برنامج دولى </v>
      </c>
    </row>
    <row r="1411" spans="3:89" x14ac:dyDescent="0.25">
      <c r="C1411" s="17" t="s">
        <v>657</v>
      </c>
      <c r="D1411" s="17">
        <v>19439</v>
      </c>
      <c r="E1411" s="17">
        <v>11851</v>
      </c>
      <c r="F1411" s="3" t="s">
        <v>325</v>
      </c>
      <c r="G1411" s="3" t="s">
        <v>698</v>
      </c>
      <c r="I1411" s="3">
        <v>9955.8799999999992</v>
      </c>
      <c r="AU1411" s="22">
        <f t="shared" si="262"/>
        <v>9955.8799999999992</v>
      </c>
      <c r="AV1411" s="3">
        <v>8881.0400000000009</v>
      </c>
      <c r="AW1411" s="3">
        <v>1074.8399999999999</v>
      </c>
      <c r="CH1411" s="22">
        <f t="shared" si="263"/>
        <v>9955.880000000001</v>
      </c>
      <c r="CI1411" s="3">
        <f t="shared" si="264"/>
        <v>0</v>
      </c>
      <c r="CJ1411" s="17">
        <f t="shared" si="265"/>
        <v>11851</v>
      </c>
      <c r="CK1411" s="3" t="str">
        <f t="shared" si="266"/>
        <v xml:space="preserve">برنامج دولى </v>
      </c>
    </row>
    <row r="1412" spans="3:89" x14ac:dyDescent="0.25">
      <c r="C1412" s="17" t="s">
        <v>657</v>
      </c>
      <c r="D1412" s="17">
        <v>19438</v>
      </c>
      <c r="E1412" s="17">
        <v>11852</v>
      </c>
      <c r="F1412" s="3" t="s">
        <v>325</v>
      </c>
      <c r="G1412" s="3" t="s">
        <v>698</v>
      </c>
      <c r="I1412" s="3">
        <v>4993.91</v>
      </c>
      <c r="AU1412" s="22">
        <f t="shared" si="262"/>
        <v>4993.91</v>
      </c>
      <c r="AV1412" s="3">
        <v>3337.07</v>
      </c>
      <c r="AW1412" s="3">
        <v>453.62</v>
      </c>
      <c r="AX1412" s="3">
        <v>1203.22</v>
      </c>
      <c r="CH1412" s="22">
        <f t="shared" si="263"/>
        <v>4993.91</v>
      </c>
      <c r="CI1412" s="3">
        <f t="shared" si="264"/>
        <v>0</v>
      </c>
      <c r="CJ1412" s="17">
        <f t="shared" si="265"/>
        <v>11852</v>
      </c>
      <c r="CK1412" s="3" t="str">
        <f t="shared" si="266"/>
        <v xml:space="preserve">برنامج دولى </v>
      </c>
    </row>
    <row r="1413" spans="3:89" x14ac:dyDescent="0.25">
      <c r="C1413" s="17" t="s">
        <v>657</v>
      </c>
      <c r="D1413" s="17">
        <v>19440</v>
      </c>
      <c r="E1413" s="17">
        <v>11853</v>
      </c>
      <c r="F1413" s="3" t="s">
        <v>325</v>
      </c>
      <c r="G1413" s="3" t="s">
        <v>698</v>
      </c>
      <c r="I1413" s="3">
        <v>3993</v>
      </c>
      <c r="AU1413" s="22">
        <f t="shared" si="262"/>
        <v>3993</v>
      </c>
      <c r="AV1413" s="3">
        <v>3564.1</v>
      </c>
      <c r="AW1413" s="3">
        <v>428.9</v>
      </c>
      <c r="CH1413" s="22">
        <f t="shared" si="263"/>
        <v>3993</v>
      </c>
      <c r="CI1413" s="3">
        <f t="shared" si="264"/>
        <v>0</v>
      </c>
      <c r="CJ1413" s="17">
        <f t="shared" si="265"/>
        <v>11853</v>
      </c>
      <c r="CK1413" s="3" t="str">
        <f t="shared" si="266"/>
        <v xml:space="preserve">برنامج دولى </v>
      </c>
    </row>
    <row r="1414" spans="3:89" x14ac:dyDescent="0.25">
      <c r="C1414" s="17" t="s">
        <v>657</v>
      </c>
      <c r="D1414" s="17">
        <v>19441</v>
      </c>
      <c r="E1414" s="17">
        <v>11854</v>
      </c>
      <c r="F1414" s="3" t="s">
        <v>325</v>
      </c>
      <c r="G1414" s="3" t="s">
        <v>699</v>
      </c>
      <c r="I1414" s="3">
        <v>7490.87</v>
      </c>
      <c r="AU1414" s="22">
        <f t="shared" si="262"/>
        <v>7490.87</v>
      </c>
      <c r="AV1414" s="3">
        <v>5005.2</v>
      </c>
      <c r="AW1414" s="3">
        <f>41.95+638.88</f>
        <v>680.83</v>
      </c>
      <c r="AX1414" s="3">
        <v>1804.84</v>
      </c>
      <c r="CH1414" s="22">
        <f t="shared" si="263"/>
        <v>7490.87</v>
      </c>
      <c r="CI1414" s="3">
        <f t="shared" si="264"/>
        <v>0</v>
      </c>
      <c r="CJ1414" s="17">
        <f t="shared" si="265"/>
        <v>11854</v>
      </c>
      <c r="CK1414" s="3" t="str">
        <f t="shared" si="266"/>
        <v xml:space="preserve">برنامج دولى </v>
      </c>
    </row>
    <row r="1415" spans="3:89" x14ac:dyDescent="0.25">
      <c r="C1415" s="17" t="s">
        <v>657</v>
      </c>
      <c r="D1415" s="17">
        <v>19431</v>
      </c>
      <c r="E1415" s="17">
        <v>11855</v>
      </c>
      <c r="F1415" s="3" t="s">
        <v>325</v>
      </c>
      <c r="G1415" s="3" t="s">
        <v>700</v>
      </c>
      <c r="I1415" s="3">
        <v>20000</v>
      </c>
      <c r="AU1415" s="22">
        <f t="shared" si="262"/>
        <v>20000</v>
      </c>
      <c r="AV1415" s="3">
        <v>17840.8</v>
      </c>
      <c r="AW1415" s="3">
        <v>2159.1999999999998</v>
      </c>
      <c r="CH1415" s="22">
        <f t="shared" si="263"/>
        <v>20000</v>
      </c>
      <c r="CI1415" s="3">
        <f t="shared" si="264"/>
        <v>0</v>
      </c>
      <c r="CJ1415" s="17">
        <f t="shared" si="265"/>
        <v>11855</v>
      </c>
      <c r="CK1415" s="3" t="str">
        <f t="shared" si="266"/>
        <v xml:space="preserve">برنامج دولى </v>
      </c>
    </row>
    <row r="1416" spans="3:89" x14ac:dyDescent="0.25">
      <c r="C1416" s="17" t="s">
        <v>657</v>
      </c>
      <c r="D1416" s="17">
        <v>19432</v>
      </c>
      <c r="E1416" s="17">
        <v>11856</v>
      </c>
      <c r="F1416" s="3" t="s">
        <v>325</v>
      </c>
      <c r="G1416" s="3" t="s">
        <v>700</v>
      </c>
      <c r="I1416" s="3">
        <v>1379.38</v>
      </c>
      <c r="AU1416" s="22">
        <f t="shared" si="262"/>
        <v>1379.38</v>
      </c>
      <c r="AV1416" s="3">
        <v>1035.2</v>
      </c>
      <c r="AW1416" s="3">
        <v>132.30000000000001</v>
      </c>
      <c r="AX1416" s="3">
        <v>211.88</v>
      </c>
      <c r="CH1416" s="22">
        <f t="shared" si="263"/>
        <v>1379.38</v>
      </c>
      <c r="CI1416" s="3">
        <f t="shared" si="264"/>
        <v>0</v>
      </c>
      <c r="CJ1416" s="17">
        <f t="shared" si="265"/>
        <v>11856</v>
      </c>
      <c r="CK1416" s="3" t="str">
        <f t="shared" si="266"/>
        <v xml:space="preserve">برنامج دولى </v>
      </c>
    </row>
    <row r="1417" spans="3:89" x14ac:dyDescent="0.25">
      <c r="C1417" s="17" t="s">
        <v>657</v>
      </c>
      <c r="D1417" s="17">
        <v>19433</v>
      </c>
      <c r="E1417" s="17">
        <v>11857</v>
      </c>
      <c r="F1417" s="3" t="s">
        <v>325</v>
      </c>
      <c r="G1417" s="3" t="s">
        <v>700</v>
      </c>
      <c r="I1417" s="3">
        <v>1465.63</v>
      </c>
      <c r="AU1417" s="22">
        <f t="shared" si="262"/>
        <v>1465.63</v>
      </c>
      <c r="AV1417" s="3">
        <v>980.55</v>
      </c>
      <c r="AW1417" s="3">
        <v>131.94999999999999</v>
      </c>
      <c r="AX1417" s="3">
        <v>353.13</v>
      </c>
      <c r="CH1417" s="22">
        <f t="shared" si="263"/>
        <v>1465.63</v>
      </c>
      <c r="CI1417" s="3">
        <f t="shared" si="264"/>
        <v>0</v>
      </c>
      <c r="CJ1417" s="17">
        <f t="shared" si="265"/>
        <v>11857</v>
      </c>
      <c r="CK1417" s="3" t="str">
        <f t="shared" si="266"/>
        <v xml:space="preserve">برنامج دولى </v>
      </c>
    </row>
    <row r="1418" spans="3:89" x14ac:dyDescent="0.25">
      <c r="C1418" s="17" t="s">
        <v>657</v>
      </c>
      <c r="D1418" s="17">
        <v>19434</v>
      </c>
      <c r="E1418" s="17">
        <v>11858</v>
      </c>
      <c r="F1418" s="3" t="s">
        <v>325</v>
      </c>
      <c r="G1418" s="3" t="s">
        <v>700</v>
      </c>
      <c r="I1418" s="3">
        <v>5878.36</v>
      </c>
      <c r="AU1418" s="22">
        <f t="shared" si="262"/>
        <v>5878.36</v>
      </c>
      <c r="AV1418" s="3">
        <v>4667.03</v>
      </c>
      <c r="AW1418" s="3">
        <v>591.70000000000005</v>
      </c>
      <c r="AX1418" s="3">
        <v>619.63</v>
      </c>
      <c r="CH1418" s="22">
        <f t="shared" si="263"/>
        <v>5878.36</v>
      </c>
      <c r="CI1418" s="3">
        <f t="shared" si="264"/>
        <v>0</v>
      </c>
      <c r="CJ1418" s="17">
        <f t="shared" si="265"/>
        <v>11858</v>
      </c>
      <c r="CK1418" s="3" t="str">
        <f t="shared" si="266"/>
        <v xml:space="preserve">برنامج دولى </v>
      </c>
    </row>
    <row r="1419" spans="3:89" x14ac:dyDescent="0.25">
      <c r="C1419" s="17" t="s">
        <v>657</v>
      </c>
      <c r="D1419" s="17">
        <v>19435</v>
      </c>
      <c r="E1419" s="17">
        <v>11859</v>
      </c>
      <c r="F1419" s="3" t="s">
        <v>325</v>
      </c>
      <c r="G1419" s="3" t="s">
        <v>700</v>
      </c>
      <c r="I1419" s="3">
        <v>2172.5</v>
      </c>
      <c r="AU1419" s="22">
        <f t="shared" si="262"/>
        <v>2172.5</v>
      </c>
      <c r="AV1419" s="3">
        <v>1678.9</v>
      </c>
      <c r="AW1419" s="3">
        <v>211.1</v>
      </c>
      <c r="AX1419" s="3">
        <v>282.5</v>
      </c>
      <c r="CH1419" s="22">
        <f t="shared" si="263"/>
        <v>2172.5</v>
      </c>
      <c r="CI1419" s="3">
        <f t="shared" si="264"/>
        <v>0</v>
      </c>
      <c r="CJ1419" s="17">
        <f t="shared" si="265"/>
        <v>11859</v>
      </c>
      <c r="CK1419" s="3" t="str">
        <f t="shared" si="266"/>
        <v xml:space="preserve">برنامج دولى </v>
      </c>
    </row>
    <row r="1420" spans="3:89" x14ac:dyDescent="0.25">
      <c r="C1420" s="17" t="s">
        <v>657</v>
      </c>
      <c r="D1420" s="17">
        <v>19436</v>
      </c>
      <c r="E1420" s="17">
        <v>11860</v>
      </c>
      <c r="F1420" s="3" t="s">
        <v>325</v>
      </c>
      <c r="G1420" s="3" t="str">
        <f>+G1414</f>
        <v>م عاملين مركز ابحاث</v>
      </c>
      <c r="I1420" s="3">
        <v>15621.25</v>
      </c>
      <c r="AU1420" s="22">
        <f t="shared" si="262"/>
        <v>15621.25</v>
      </c>
      <c r="AV1420" s="3">
        <v>12229.8</v>
      </c>
      <c r="AW1420" s="3">
        <f>1450+105.2</f>
        <v>1555.2</v>
      </c>
      <c r="AX1420" s="3">
        <v>1836.25</v>
      </c>
      <c r="CH1420" s="22">
        <f t="shared" si="263"/>
        <v>15621.25</v>
      </c>
      <c r="CI1420" s="3">
        <f t="shared" si="264"/>
        <v>0</v>
      </c>
      <c r="CJ1420" s="17">
        <f t="shared" si="265"/>
        <v>11860</v>
      </c>
      <c r="CK1420" s="3" t="str">
        <f t="shared" si="266"/>
        <v xml:space="preserve">برنامج دولى </v>
      </c>
    </row>
    <row r="1421" spans="3:89" x14ac:dyDescent="0.25">
      <c r="C1421" s="17" t="s">
        <v>657</v>
      </c>
      <c r="D1421" s="17">
        <v>19437</v>
      </c>
      <c r="E1421" s="17">
        <v>11861</v>
      </c>
      <c r="F1421" s="3" t="s">
        <v>325</v>
      </c>
      <c r="G1421" s="3" t="str">
        <f>+G1420</f>
        <v>م عاملين مركز ابحاث</v>
      </c>
      <c r="I1421" s="3">
        <v>4690.01</v>
      </c>
      <c r="AU1421" s="22">
        <f t="shared" si="262"/>
        <v>4690.01</v>
      </c>
      <c r="AV1421" s="3">
        <v>3134.95</v>
      </c>
      <c r="AW1421" s="3">
        <f>400+25.05</f>
        <v>425.05</v>
      </c>
      <c r="AX1421" s="3">
        <v>1130.01</v>
      </c>
      <c r="CH1421" s="22">
        <f t="shared" si="263"/>
        <v>4690.01</v>
      </c>
      <c r="CI1421" s="3">
        <f t="shared" si="264"/>
        <v>0</v>
      </c>
      <c r="CJ1421" s="17">
        <f t="shared" si="265"/>
        <v>11861</v>
      </c>
      <c r="CK1421" s="3" t="str">
        <f t="shared" si="266"/>
        <v xml:space="preserve">برنامج دولى </v>
      </c>
    </row>
    <row r="1422" spans="3:89" x14ac:dyDescent="0.25">
      <c r="C1422" s="17" t="s">
        <v>657</v>
      </c>
      <c r="D1422" s="17">
        <v>19460</v>
      </c>
      <c r="E1422" s="17">
        <v>11862</v>
      </c>
      <c r="F1422" s="3" t="s">
        <v>325</v>
      </c>
      <c r="G1422" s="3" t="s">
        <v>701</v>
      </c>
      <c r="I1422" s="3">
        <v>1407</v>
      </c>
      <c r="AU1422" s="22">
        <f t="shared" si="262"/>
        <v>1407</v>
      </c>
      <c r="AV1422" s="3">
        <v>940.35</v>
      </c>
      <c r="AW1422" s="3">
        <v>127.65</v>
      </c>
      <c r="AX1422" s="3">
        <v>339</v>
      </c>
      <c r="CH1422" s="22">
        <f t="shared" si="263"/>
        <v>1407</v>
      </c>
      <c r="CI1422" s="3">
        <f t="shared" si="264"/>
        <v>0</v>
      </c>
      <c r="CJ1422" s="17">
        <f t="shared" si="265"/>
        <v>11862</v>
      </c>
      <c r="CK1422" s="3" t="str">
        <f t="shared" si="266"/>
        <v xml:space="preserve">برنامج دولى </v>
      </c>
    </row>
    <row r="1423" spans="3:89" x14ac:dyDescent="0.25">
      <c r="C1423" s="17" t="s">
        <v>657</v>
      </c>
      <c r="D1423" s="17">
        <v>19459</v>
      </c>
      <c r="E1423" s="17">
        <v>11863</v>
      </c>
      <c r="F1423" s="3" t="s">
        <v>325</v>
      </c>
      <c r="G1423" s="3" t="s">
        <v>701</v>
      </c>
      <c r="I1423" s="3">
        <v>527.62</v>
      </c>
      <c r="AU1423" s="22">
        <f t="shared" si="262"/>
        <v>527.62</v>
      </c>
      <c r="AV1423" s="3">
        <v>353.2</v>
      </c>
      <c r="AW1423" s="3">
        <v>47.3</v>
      </c>
      <c r="AX1423" s="3">
        <v>127.12</v>
      </c>
      <c r="CH1423" s="22">
        <f t="shared" si="263"/>
        <v>527.62</v>
      </c>
      <c r="CI1423" s="3">
        <f t="shared" si="264"/>
        <v>0</v>
      </c>
      <c r="CJ1423" s="17">
        <f t="shared" si="265"/>
        <v>11863</v>
      </c>
      <c r="CK1423" s="3" t="str">
        <f t="shared" si="266"/>
        <v xml:space="preserve">برنامج دولى </v>
      </c>
    </row>
    <row r="1424" spans="3:89" x14ac:dyDescent="0.25">
      <c r="C1424" s="17" t="s">
        <v>657</v>
      </c>
      <c r="D1424" s="17">
        <v>19458</v>
      </c>
      <c r="E1424" s="17">
        <v>11864</v>
      </c>
      <c r="F1424" s="3" t="s">
        <v>325</v>
      </c>
      <c r="G1424" s="3" t="s">
        <v>701</v>
      </c>
      <c r="I1424" s="3">
        <v>6530.81</v>
      </c>
      <c r="AU1424" s="22">
        <f t="shared" si="262"/>
        <v>6530.81</v>
      </c>
      <c r="AV1424" s="3">
        <v>4367.1000000000004</v>
      </c>
      <c r="AW1424" s="3">
        <v>590.20000000000005</v>
      </c>
      <c r="AX1424" s="3">
        <v>1573.51</v>
      </c>
      <c r="CH1424" s="22">
        <f t="shared" si="263"/>
        <v>6530.81</v>
      </c>
      <c r="CI1424" s="3">
        <f t="shared" si="264"/>
        <v>0</v>
      </c>
      <c r="CJ1424" s="17">
        <f t="shared" si="265"/>
        <v>11864</v>
      </c>
      <c r="CK1424" s="3" t="str">
        <f t="shared" si="266"/>
        <v xml:space="preserve">برنامج دولى </v>
      </c>
    </row>
    <row r="1425" spans="3:89" x14ac:dyDescent="0.25">
      <c r="C1425" s="17" t="s">
        <v>657</v>
      </c>
      <c r="D1425" s="17">
        <v>19457</v>
      </c>
      <c r="E1425" s="17">
        <v>11865</v>
      </c>
      <c r="F1425" s="3" t="s">
        <v>325</v>
      </c>
      <c r="G1425" s="3" t="s">
        <v>701</v>
      </c>
      <c r="I1425" s="3">
        <v>4127.1899999999996</v>
      </c>
      <c r="AU1425" s="22">
        <f t="shared" si="262"/>
        <v>4127.1899999999996</v>
      </c>
      <c r="AV1425" s="3">
        <v>2760.2</v>
      </c>
      <c r="AW1425" s="3">
        <v>372.6</v>
      </c>
      <c r="AX1425" s="3">
        <v>994.39</v>
      </c>
      <c r="CH1425" s="22">
        <f t="shared" si="263"/>
        <v>4127.1899999999996</v>
      </c>
      <c r="CI1425" s="3">
        <f t="shared" si="264"/>
        <v>0</v>
      </c>
      <c r="CJ1425" s="17">
        <f t="shared" si="265"/>
        <v>11865</v>
      </c>
      <c r="CK1425" s="3" t="str">
        <f t="shared" si="266"/>
        <v xml:space="preserve">برنامج دولى </v>
      </c>
    </row>
    <row r="1426" spans="3:89" x14ac:dyDescent="0.25">
      <c r="C1426" s="17" t="s">
        <v>657</v>
      </c>
      <c r="D1426" s="17">
        <v>19456</v>
      </c>
      <c r="E1426" s="17">
        <v>11866</v>
      </c>
      <c r="F1426" s="3" t="s">
        <v>325</v>
      </c>
      <c r="G1426" s="3" t="s">
        <v>702</v>
      </c>
      <c r="I1426" s="3">
        <v>3283</v>
      </c>
      <c r="AU1426" s="22">
        <f t="shared" si="262"/>
        <v>3283</v>
      </c>
      <c r="AV1426" s="3">
        <v>2195.9</v>
      </c>
      <c r="AW1426" s="3">
        <v>296.10000000000002</v>
      </c>
      <c r="AX1426" s="3">
        <v>791</v>
      </c>
      <c r="CH1426" s="22">
        <f t="shared" si="263"/>
        <v>3283</v>
      </c>
      <c r="CI1426" s="3">
        <f t="shared" si="264"/>
        <v>0</v>
      </c>
      <c r="CJ1426" s="17">
        <f t="shared" si="265"/>
        <v>11866</v>
      </c>
      <c r="CK1426" s="3" t="str">
        <f t="shared" si="266"/>
        <v xml:space="preserve">برنامج دولى </v>
      </c>
    </row>
    <row r="1427" spans="3:89" x14ac:dyDescent="0.25">
      <c r="C1427" s="17" t="s">
        <v>657</v>
      </c>
      <c r="D1427" s="17">
        <v>19455</v>
      </c>
      <c r="E1427" s="17">
        <v>11867</v>
      </c>
      <c r="F1427" s="3" t="s">
        <v>325</v>
      </c>
      <c r="G1427" s="3" t="s">
        <v>702</v>
      </c>
      <c r="I1427" s="3">
        <v>703.5</v>
      </c>
      <c r="AU1427" s="22">
        <f t="shared" si="262"/>
        <v>703.5</v>
      </c>
      <c r="AV1427" s="3">
        <v>470.6</v>
      </c>
      <c r="AW1427" s="3">
        <v>63.4</v>
      </c>
      <c r="AX1427" s="3">
        <v>169.5</v>
      </c>
      <c r="CH1427" s="22">
        <f t="shared" si="263"/>
        <v>703.5</v>
      </c>
      <c r="CI1427" s="3">
        <f t="shared" si="264"/>
        <v>0</v>
      </c>
      <c r="CJ1427" s="17">
        <f t="shared" si="265"/>
        <v>11867</v>
      </c>
      <c r="CK1427" s="3" t="str">
        <f t="shared" si="266"/>
        <v xml:space="preserve">برنامج دولى </v>
      </c>
    </row>
    <row r="1428" spans="3:89" x14ac:dyDescent="0.25">
      <c r="C1428" s="17" t="s">
        <v>657</v>
      </c>
      <c r="D1428" s="17">
        <v>19454</v>
      </c>
      <c r="E1428" s="17">
        <v>11868</v>
      </c>
      <c r="F1428" s="3" t="s">
        <v>325</v>
      </c>
      <c r="G1428" s="3" t="s">
        <v>702</v>
      </c>
      <c r="I1428" s="3">
        <v>2579.5</v>
      </c>
      <c r="AU1428" s="22">
        <f t="shared" si="262"/>
        <v>2579.5</v>
      </c>
      <c r="AV1428" s="3">
        <v>1725.3</v>
      </c>
      <c r="AW1428" s="3">
        <v>232.7</v>
      </c>
      <c r="AX1428" s="3">
        <v>621.5</v>
      </c>
      <c r="CH1428" s="22">
        <f t="shared" si="263"/>
        <v>2579.5</v>
      </c>
      <c r="CI1428" s="3">
        <f t="shared" si="264"/>
        <v>0</v>
      </c>
      <c r="CJ1428" s="17">
        <f t="shared" si="265"/>
        <v>11868</v>
      </c>
      <c r="CK1428" s="3" t="str">
        <f t="shared" si="266"/>
        <v xml:space="preserve">برنامج دولى </v>
      </c>
    </row>
    <row r="1429" spans="3:89" x14ac:dyDescent="0.25">
      <c r="C1429" s="17" t="s">
        <v>657</v>
      </c>
      <c r="D1429" s="17">
        <v>19453</v>
      </c>
      <c r="E1429" s="17">
        <v>11869</v>
      </c>
      <c r="F1429" s="3" t="s">
        <v>325</v>
      </c>
      <c r="G1429" s="3" t="s">
        <v>703</v>
      </c>
      <c r="I1429" s="3">
        <v>879.38</v>
      </c>
      <c r="AU1429" s="22">
        <f t="shared" si="262"/>
        <v>879.38</v>
      </c>
      <c r="AV1429" s="3">
        <v>588.15</v>
      </c>
      <c r="AW1429" s="3">
        <v>79.349999999999994</v>
      </c>
      <c r="AX1429" s="3">
        <v>211.88</v>
      </c>
      <c r="CH1429" s="22">
        <f t="shared" si="263"/>
        <v>879.38</v>
      </c>
      <c r="CI1429" s="3">
        <f t="shared" si="264"/>
        <v>0</v>
      </c>
      <c r="CJ1429" s="17">
        <f t="shared" si="265"/>
        <v>11869</v>
      </c>
      <c r="CK1429" s="3" t="str">
        <f t="shared" si="266"/>
        <v xml:space="preserve">برنامج دولى </v>
      </c>
    </row>
    <row r="1430" spans="3:89" x14ac:dyDescent="0.25">
      <c r="C1430" s="17" t="s">
        <v>657</v>
      </c>
      <c r="D1430" s="17">
        <v>19449</v>
      </c>
      <c r="E1430" s="17">
        <v>11870</v>
      </c>
      <c r="F1430" s="3" t="s">
        <v>325</v>
      </c>
      <c r="G1430" s="3" t="s">
        <v>704</v>
      </c>
      <c r="I1430" s="3">
        <v>11033.9</v>
      </c>
      <c r="AU1430" s="22">
        <f t="shared" si="262"/>
        <v>11033.9</v>
      </c>
      <c r="AV1430" s="3">
        <v>9847.76</v>
      </c>
      <c r="AW1430" s="3">
        <v>1186.1400000000001</v>
      </c>
      <c r="CH1430" s="22">
        <f t="shared" si="263"/>
        <v>11033.9</v>
      </c>
      <c r="CI1430" s="3">
        <f t="shared" si="264"/>
        <v>0</v>
      </c>
      <c r="CJ1430" s="17">
        <f t="shared" si="265"/>
        <v>11870</v>
      </c>
      <c r="CK1430" s="3" t="str">
        <f t="shared" si="266"/>
        <v xml:space="preserve">برنامج دولى </v>
      </c>
    </row>
    <row r="1431" spans="3:89" x14ac:dyDescent="0.25">
      <c r="C1431" s="17" t="s">
        <v>657</v>
      </c>
      <c r="D1431" s="17">
        <v>19447</v>
      </c>
      <c r="E1431" s="17">
        <v>11871</v>
      </c>
      <c r="F1431" s="3" t="s">
        <v>325</v>
      </c>
      <c r="G1431" s="3" t="s">
        <v>704</v>
      </c>
      <c r="I1431" s="3">
        <v>1324.3</v>
      </c>
      <c r="AU1431" s="22">
        <f t="shared" si="262"/>
        <v>1324.3</v>
      </c>
      <c r="AV1431" s="3">
        <v>1182.27</v>
      </c>
      <c r="AW1431" s="3">
        <v>142.03</v>
      </c>
      <c r="CH1431" s="22">
        <f t="shared" si="263"/>
        <v>1324.3</v>
      </c>
      <c r="CI1431" s="3">
        <f t="shared" si="264"/>
        <v>0</v>
      </c>
      <c r="CJ1431" s="17">
        <f t="shared" si="265"/>
        <v>11871</v>
      </c>
      <c r="CK1431" s="3" t="str">
        <f t="shared" si="266"/>
        <v xml:space="preserve">برنامج دولى </v>
      </c>
    </row>
    <row r="1432" spans="3:89" x14ac:dyDescent="0.25">
      <c r="C1432" s="17" t="s">
        <v>657</v>
      </c>
      <c r="D1432" s="17">
        <v>19445</v>
      </c>
      <c r="E1432" s="17">
        <v>11872</v>
      </c>
      <c r="F1432" s="3" t="s">
        <v>325</v>
      </c>
      <c r="G1432" s="3" t="s">
        <v>705</v>
      </c>
      <c r="I1432" s="3">
        <v>31187.200000000001</v>
      </c>
      <c r="AU1432" s="22">
        <f t="shared" si="262"/>
        <v>31187.200000000001</v>
      </c>
      <c r="AV1432" s="3">
        <v>27925.279999999999</v>
      </c>
      <c r="AW1432" s="3">
        <v>3261.92</v>
      </c>
      <c r="CH1432" s="22">
        <f t="shared" si="263"/>
        <v>31187.199999999997</v>
      </c>
      <c r="CI1432" s="3">
        <f t="shared" si="264"/>
        <v>0</v>
      </c>
      <c r="CJ1432" s="17">
        <f t="shared" si="265"/>
        <v>11872</v>
      </c>
      <c r="CK1432" s="3" t="str">
        <f t="shared" si="266"/>
        <v xml:space="preserve">برنامج دولى </v>
      </c>
    </row>
    <row r="1433" spans="3:89" x14ac:dyDescent="0.25">
      <c r="C1433" s="17" t="s">
        <v>657</v>
      </c>
      <c r="D1433" s="17">
        <v>19446</v>
      </c>
      <c r="E1433" s="17">
        <v>11873</v>
      </c>
      <c r="F1433" s="3" t="s">
        <v>325</v>
      </c>
      <c r="G1433" s="3" t="s">
        <v>705</v>
      </c>
      <c r="I1433" s="3">
        <v>3089.92</v>
      </c>
      <c r="AU1433" s="22">
        <f t="shared" si="262"/>
        <v>3089.92</v>
      </c>
      <c r="AV1433" s="3">
        <v>2758.13</v>
      </c>
      <c r="AW1433" s="3">
        <v>331.79</v>
      </c>
      <c r="CH1433" s="22">
        <f t="shared" si="263"/>
        <v>3089.92</v>
      </c>
      <c r="CI1433" s="3">
        <f t="shared" si="264"/>
        <v>0</v>
      </c>
      <c r="CJ1433" s="17">
        <f t="shared" si="265"/>
        <v>11873</v>
      </c>
      <c r="CK1433" s="3" t="str">
        <f t="shared" si="266"/>
        <v xml:space="preserve">برنامج دولى </v>
      </c>
    </row>
    <row r="1434" spans="3:89" x14ac:dyDescent="0.25">
      <c r="C1434" s="17" t="s">
        <v>657</v>
      </c>
      <c r="D1434" s="17">
        <v>19444</v>
      </c>
      <c r="E1434" s="17">
        <v>11874</v>
      </c>
      <c r="F1434" s="3" t="s">
        <v>325</v>
      </c>
      <c r="G1434" s="3" t="s">
        <v>706</v>
      </c>
      <c r="I1434" s="3">
        <v>2345</v>
      </c>
      <c r="AU1434" s="22">
        <f t="shared" si="262"/>
        <v>2345</v>
      </c>
      <c r="AV1434" s="3">
        <v>1567</v>
      </c>
      <c r="AW1434" s="3">
        <f>200+13</f>
        <v>213</v>
      </c>
      <c r="AX1434" s="3">
        <f>778-213</f>
        <v>565</v>
      </c>
      <c r="CH1434" s="22">
        <f t="shared" si="263"/>
        <v>2345</v>
      </c>
      <c r="CI1434" s="3">
        <f t="shared" si="264"/>
        <v>0</v>
      </c>
      <c r="CJ1434" s="17">
        <f t="shared" si="265"/>
        <v>11874</v>
      </c>
      <c r="CK1434" s="3" t="str">
        <f t="shared" si="266"/>
        <v xml:space="preserve">برنامج دولى </v>
      </c>
    </row>
    <row r="1435" spans="3:89" x14ac:dyDescent="0.25">
      <c r="C1435" s="17" t="s">
        <v>657</v>
      </c>
      <c r="D1435" s="17">
        <v>19443</v>
      </c>
      <c r="E1435" s="17">
        <v>11875</v>
      </c>
      <c r="F1435" s="3" t="s">
        <v>325</v>
      </c>
      <c r="G1435" s="3" t="str">
        <f>+G1432</f>
        <v>م بروتوكول ابحاث اكلينكيه</v>
      </c>
      <c r="I1435" s="3">
        <v>27298.13</v>
      </c>
      <c r="AU1435" s="22">
        <f t="shared" si="262"/>
        <v>27298.13</v>
      </c>
      <c r="AV1435" s="3">
        <v>24436.82</v>
      </c>
      <c r="AW1435" s="3">
        <v>2861.31</v>
      </c>
      <c r="CH1435" s="22">
        <f t="shared" si="263"/>
        <v>27298.13</v>
      </c>
      <c r="CI1435" s="3">
        <f t="shared" si="264"/>
        <v>0</v>
      </c>
      <c r="CJ1435" s="17">
        <f t="shared" si="265"/>
        <v>11875</v>
      </c>
      <c r="CK1435" s="3" t="str">
        <f t="shared" si="266"/>
        <v xml:space="preserve">برنامج دولى </v>
      </c>
    </row>
    <row r="1436" spans="3:89" x14ac:dyDescent="0.25">
      <c r="C1436" s="17" t="s">
        <v>657</v>
      </c>
      <c r="D1436" s="17">
        <v>19442</v>
      </c>
      <c r="E1436" s="17">
        <v>11876</v>
      </c>
      <c r="F1436" s="3" t="s">
        <v>325</v>
      </c>
      <c r="G1436" s="3" t="str">
        <f>+G1433</f>
        <v>م بروتوكول ابحاث اكلينكيه</v>
      </c>
      <c r="I1436" s="3">
        <v>31359.79</v>
      </c>
      <c r="AU1436" s="22">
        <f t="shared" si="262"/>
        <v>31359.79</v>
      </c>
      <c r="AV1436" s="3">
        <v>28080.11</v>
      </c>
      <c r="AW1436" s="3">
        <v>3279.68</v>
      </c>
      <c r="CH1436" s="22">
        <f t="shared" si="263"/>
        <v>31359.79</v>
      </c>
      <c r="CI1436" s="3">
        <f t="shared" si="264"/>
        <v>0</v>
      </c>
      <c r="CJ1436" s="17">
        <f t="shared" si="265"/>
        <v>11876</v>
      </c>
      <c r="CK1436" s="3" t="str">
        <f t="shared" si="266"/>
        <v xml:space="preserve">برنامج دولى </v>
      </c>
    </row>
    <row r="1437" spans="3:89" x14ac:dyDescent="0.25">
      <c r="C1437" s="17" t="s">
        <v>657</v>
      </c>
      <c r="D1437" s="17">
        <v>19429</v>
      </c>
      <c r="E1437" s="17">
        <v>11877</v>
      </c>
      <c r="F1437" s="3" t="s">
        <v>325</v>
      </c>
      <c r="G1437" s="3" t="s">
        <v>707</v>
      </c>
      <c r="I1437" s="3">
        <v>2814</v>
      </c>
      <c r="AU1437" s="22">
        <f t="shared" si="262"/>
        <v>2814</v>
      </c>
      <c r="AV1437" s="3">
        <v>1886</v>
      </c>
      <c r="AW1437" s="3">
        <v>250</v>
      </c>
      <c r="AX1437" s="3">
        <v>678</v>
      </c>
      <c r="CH1437" s="22">
        <f t="shared" si="263"/>
        <v>2814</v>
      </c>
      <c r="CI1437" s="3">
        <f t="shared" si="264"/>
        <v>0</v>
      </c>
      <c r="CJ1437" s="17">
        <f t="shared" si="265"/>
        <v>11877</v>
      </c>
      <c r="CK1437" s="3" t="str">
        <f t="shared" si="266"/>
        <v xml:space="preserve">برنامج دولى </v>
      </c>
    </row>
    <row r="1438" spans="3:89" x14ac:dyDescent="0.25">
      <c r="C1438" s="17" t="s">
        <v>657</v>
      </c>
      <c r="D1438" s="17">
        <v>19327</v>
      </c>
      <c r="E1438" s="17">
        <v>11878</v>
      </c>
      <c r="F1438" s="3" t="s">
        <v>325</v>
      </c>
      <c r="G1438" s="3" t="s">
        <v>708</v>
      </c>
      <c r="I1438" s="3">
        <v>938</v>
      </c>
      <c r="AU1438" s="22">
        <f t="shared" si="262"/>
        <v>938</v>
      </c>
      <c r="AV1438" s="3">
        <v>628</v>
      </c>
      <c r="AW1438" s="3">
        <v>84</v>
      </c>
      <c r="AX1438" s="3">
        <v>226</v>
      </c>
      <c r="CH1438" s="22">
        <f t="shared" si="263"/>
        <v>938</v>
      </c>
      <c r="CI1438" s="3">
        <f t="shared" si="264"/>
        <v>0</v>
      </c>
      <c r="CJ1438" s="17">
        <f t="shared" si="265"/>
        <v>11878</v>
      </c>
      <c r="CK1438" s="3" t="str">
        <f t="shared" si="266"/>
        <v xml:space="preserve">برنامج دولى </v>
      </c>
    </row>
    <row r="1439" spans="3:89" x14ac:dyDescent="0.25">
      <c r="C1439" s="17" t="s">
        <v>657</v>
      </c>
      <c r="D1439" s="17">
        <v>19326</v>
      </c>
      <c r="E1439" s="17">
        <v>11879</v>
      </c>
      <c r="F1439" s="3" t="s">
        <v>325</v>
      </c>
      <c r="G1439" s="3" t="s">
        <v>709</v>
      </c>
      <c r="I1439" s="3">
        <v>2400</v>
      </c>
      <c r="AU1439" s="22">
        <f t="shared" si="262"/>
        <v>2400</v>
      </c>
      <c r="AV1439" s="3">
        <v>2142.6999999999998</v>
      </c>
      <c r="AW1439" s="3">
        <v>257.3</v>
      </c>
      <c r="CH1439" s="22">
        <f t="shared" si="263"/>
        <v>2400</v>
      </c>
      <c r="CI1439" s="3">
        <f t="shared" si="264"/>
        <v>0</v>
      </c>
      <c r="CJ1439" s="17">
        <f t="shared" si="265"/>
        <v>11879</v>
      </c>
      <c r="CK1439" s="3" t="str">
        <f t="shared" si="266"/>
        <v xml:space="preserve">برنامج دولى </v>
      </c>
    </row>
    <row r="1440" spans="3:89" x14ac:dyDescent="0.25">
      <c r="C1440" s="17" t="s">
        <v>657</v>
      </c>
      <c r="D1440" s="17">
        <v>19325</v>
      </c>
      <c r="E1440" s="17">
        <v>11880</v>
      </c>
      <c r="F1440" s="3" t="s">
        <v>325</v>
      </c>
      <c r="G1440" s="3" t="s">
        <v>710</v>
      </c>
      <c r="I1440" s="3">
        <v>469</v>
      </c>
      <c r="AU1440" s="22">
        <f t="shared" si="262"/>
        <v>469</v>
      </c>
      <c r="AV1440" s="3">
        <v>314</v>
      </c>
      <c r="AW1440" s="3">
        <v>42</v>
      </c>
      <c r="AX1440" s="3">
        <v>113</v>
      </c>
      <c r="CH1440" s="22">
        <f t="shared" si="263"/>
        <v>469</v>
      </c>
      <c r="CI1440" s="3">
        <f t="shared" si="264"/>
        <v>0</v>
      </c>
      <c r="CJ1440" s="17">
        <f t="shared" si="265"/>
        <v>11880</v>
      </c>
      <c r="CK1440" s="3" t="str">
        <f t="shared" si="266"/>
        <v xml:space="preserve">برنامج دولى </v>
      </c>
    </row>
    <row r="1441" spans="3:89" x14ac:dyDescent="0.25">
      <c r="C1441" s="17" t="s">
        <v>657</v>
      </c>
      <c r="D1441" s="17">
        <v>19322</v>
      </c>
      <c r="E1441" s="17">
        <v>11881</v>
      </c>
      <c r="F1441" s="3" t="s">
        <v>325</v>
      </c>
      <c r="G1441" s="3" t="s">
        <v>711</v>
      </c>
      <c r="I1441" s="3">
        <v>3171.17</v>
      </c>
      <c r="AU1441" s="22">
        <f t="shared" si="262"/>
        <v>3171.17</v>
      </c>
      <c r="AV1441" s="3">
        <v>2569.85</v>
      </c>
      <c r="AW1441" s="3">
        <v>321</v>
      </c>
      <c r="AX1441" s="3">
        <v>280.32</v>
      </c>
      <c r="CH1441" s="22">
        <f t="shared" si="263"/>
        <v>3171.17</v>
      </c>
      <c r="CI1441" s="3">
        <f t="shared" si="264"/>
        <v>0</v>
      </c>
      <c r="CJ1441" s="17">
        <f t="shared" si="265"/>
        <v>11881</v>
      </c>
      <c r="CK1441" s="3" t="str">
        <f t="shared" si="266"/>
        <v xml:space="preserve">برنامج دولى </v>
      </c>
    </row>
    <row r="1442" spans="3:89" x14ac:dyDescent="0.25">
      <c r="C1442" s="17" t="s">
        <v>657</v>
      </c>
      <c r="D1442" s="17">
        <v>19324</v>
      </c>
      <c r="E1442" s="17">
        <v>11882</v>
      </c>
      <c r="F1442" s="3" t="s">
        <v>325</v>
      </c>
      <c r="G1442" s="3" t="s">
        <v>711</v>
      </c>
      <c r="I1442" s="3">
        <v>2400</v>
      </c>
      <c r="AU1442" s="22">
        <f t="shared" si="262"/>
        <v>2400</v>
      </c>
      <c r="AV1442" s="3">
        <v>2142.35</v>
      </c>
      <c r="AW1442" s="3">
        <v>257.64999999999998</v>
      </c>
      <c r="CH1442" s="22">
        <f t="shared" si="263"/>
        <v>2400</v>
      </c>
      <c r="CI1442" s="3">
        <f t="shared" si="264"/>
        <v>0</v>
      </c>
      <c r="CJ1442" s="17">
        <f t="shared" si="265"/>
        <v>11882</v>
      </c>
      <c r="CK1442" s="3" t="str">
        <f t="shared" si="266"/>
        <v xml:space="preserve">برنامج دولى </v>
      </c>
    </row>
    <row r="1443" spans="3:89" x14ac:dyDescent="0.25">
      <c r="C1443" s="17" t="s">
        <v>657</v>
      </c>
      <c r="D1443" s="17">
        <v>19323</v>
      </c>
      <c r="E1443" s="17">
        <v>11883</v>
      </c>
      <c r="F1443" s="3" t="s">
        <v>325</v>
      </c>
      <c r="G1443" s="3" t="s">
        <v>712</v>
      </c>
      <c r="I1443" s="3">
        <v>1113.8800000000001</v>
      </c>
      <c r="AU1443" s="22">
        <f t="shared" si="262"/>
        <v>1113.8800000000001</v>
      </c>
      <c r="AV1443" s="3">
        <v>745.4</v>
      </c>
      <c r="AW1443" s="3">
        <v>100.1</v>
      </c>
      <c r="AX1443" s="3">
        <v>268.38</v>
      </c>
      <c r="CH1443" s="22">
        <f t="shared" si="263"/>
        <v>1113.8800000000001</v>
      </c>
      <c r="CI1443" s="3">
        <f t="shared" si="264"/>
        <v>0</v>
      </c>
      <c r="CJ1443" s="17">
        <f t="shared" si="265"/>
        <v>11883</v>
      </c>
      <c r="CK1443" s="3" t="str">
        <f t="shared" si="266"/>
        <v xml:space="preserve">برنامج دولى </v>
      </c>
    </row>
    <row r="1444" spans="3:89" x14ac:dyDescent="0.25">
      <c r="C1444" s="17" t="s">
        <v>657</v>
      </c>
      <c r="D1444" s="17">
        <v>19321</v>
      </c>
      <c r="E1444" s="17">
        <v>11884</v>
      </c>
      <c r="F1444" s="3" t="s">
        <v>325</v>
      </c>
      <c r="G1444" s="3" t="s">
        <v>713</v>
      </c>
      <c r="I1444" s="3">
        <v>4500</v>
      </c>
      <c r="AU1444" s="22">
        <f t="shared" si="262"/>
        <v>4500</v>
      </c>
      <c r="AV1444" s="3">
        <v>4017.3</v>
      </c>
      <c r="AW1444" s="3">
        <v>482.7</v>
      </c>
      <c r="CH1444" s="22">
        <f t="shared" si="263"/>
        <v>4500</v>
      </c>
      <c r="CI1444" s="3">
        <f t="shared" si="264"/>
        <v>0</v>
      </c>
      <c r="CJ1444" s="17">
        <f t="shared" si="265"/>
        <v>11884</v>
      </c>
      <c r="CK1444" s="3" t="str">
        <f t="shared" si="266"/>
        <v xml:space="preserve">برنامج دولى </v>
      </c>
    </row>
    <row r="1445" spans="3:89" x14ac:dyDescent="0.25">
      <c r="C1445" s="17" t="s">
        <v>657</v>
      </c>
      <c r="D1445" s="17">
        <v>19320</v>
      </c>
      <c r="E1445" s="17">
        <v>11885</v>
      </c>
      <c r="F1445" s="3" t="s">
        <v>325</v>
      </c>
      <c r="G1445" s="3" t="s">
        <v>713</v>
      </c>
      <c r="I1445" s="3">
        <v>1500</v>
      </c>
      <c r="AU1445" s="22">
        <f t="shared" ref="AU1445:AU1508" si="267">SUM(I1445:AS1445)</f>
        <v>1500</v>
      </c>
      <c r="AV1445" s="3">
        <v>1339.1</v>
      </c>
      <c r="AW1445" s="3">
        <v>160.9</v>
      </c>
      <c r="CH1445" s="22">
        <f t="shared" ref="CH1445:CH1508" si="268">SUM(AV1445:CG1445)</f>
        <v>1500</v>
      </c>
      <c r="CI1445" s="3">
        <f t="shared" ref="CI1445:CI1508" si="269">+CH1445-AU1445</f>
        <v>0</v>
      </c>
      <c r="CJ1445" s="17">
        <f t="shared" ref="CJ1445:CJ1508" si="270">+E1445</f>
        <v>11885</v>
      </c>
      <c r="CK1445" s="3" t="str">
        <f t="shared" ref="CK1445:CK1508" si="271">+F1445</f>
        <v xml:space="preserve">برنامج دولى </v>
      </c>
    </row>
    <row r="1446" spans="3:89" x14ac:dyDescent="0.25">
      <c r="C1446" s="17" t="s">
        <v>657</v>
      </c>
      <c r="D1446" s="17">
        <v>19319</v>
      </c>
      <c r="E1446" s="17">
        <v>11886</v>
      </c>
      <c r="F1446" s="3" t="s">
        <v>325</v>
      </c>
      <c r="G1446" s="3" t="s">
        <v>714</v>
      </c>
      <c r="I1446" s="3">
        <v>469</v>
      </c>
      <c r="AU1446" s="22">
        <f t="shared" si="267"/>
        <v>469</v>
      </c>
      <c r="AV1446" s="3">
        <v>314</v>
      </c>
      <c r="AW1446" s="3">
        <v>42</v>
      </c>
      <c r="AX1446" s="3">
        <f>155-42</f>
        <v>113</v>
      </c>
      <c r="CH1446" s="22">
        <f t="shared" si="268"/>
        <v>469</v>
      </c>
      <c r="CI1446" s="3">
        <f t="shared" si="269"/>
        <v>0</v>
      </c>
      <c r="CJ1446" s="17">
        <f t="shared" si="270"/>
        <v>11886</v>
      </c>
      <c r="CK1446" s="3" t="str">
        <f t="shared" si="271"/>
        <v xml:space="preserve">برنامج دولى </v>
      </c>
    </row>
    <row r="1447" spans="3:89" x14ac:dyDescent="0.25">
      <c r="C1447" s="17" t="s">
        <v>657</v>
      </c>
      <c r="D1447" s="17">
        <v>19318</v>
      </c>
      <c r="E1447" s="17">
        <v>11887</v>
      </c>
      <c r="F1447" s="3" t="s">
        <v>325</v>
      </c>
      <c r="G1447" s="3" t="s">
        <v>715</v>
      </c>
      <c r="I1447" s="3">
        <v>300</v>
      </c>
      <c r="AU1447" s="22">
        <f t="shared" si="267"/>
        <v>300</v>
      </c>
      <c r="AV1447" s="3">
        <v>268.35000000000002</v>
      </c>
      <c r="AW1447" s="3">
        <v>31.65</v>
      </c>
      <c r="CH1447" s="22">
        <f t="shared" si="268"/>
        <v>300</v>
      </c>
      <c r="CI1447" s="3">
        <f t="shared" si="269"/>
        <v>0</v>
      </c>
      <c r="CJ1447" s="17">
        <f t="shared" si="270"/>
        <v>11887</v>
      </c>
      <c r="CK1447" s="3" t="str">
        <f t="shared" si="271"/>
        <v xml:space="preserve">برنامج دولى </v>
      </c>
    </row>
    <row r="1448" spans="3:89" x14ac:dyDescent="0.25">
      <c r="C1448" s="17" t="s">
        <v>657</v>
      </c>
      <c r="D1448" s="17">
        <v>19317</v>
      </c>
      <c r="E1448" s="17">
        <v>11888</v>
      </c>
      <c r="F1448" s="3" t="s">
        <v>325</v>
      </c>
      <c r="G1448" s="3" t="s">
        <v>715</v>
      </c>
      <c r="I1448" s="3">
        <v>351.75</v>
      </c>
      <c r="AU1448" s="22">
        <f t="shared" si="267"/>
        <v>351.75</v>
      </c>
      <c r="AV1448" s="3">
        <v>235.55</v>
      </c>
      <c r="AW1448" s="3">
        <v>31.45</v>
      </c>
      <c r="AX1448" s="3">
        <v>84.75</v>
      </c>
      <c r="CH1448" s="22">
        <f t="shared" si="268"/>
        <v>351.75</v>
      </c>
      <c r="CI1448" s="3">
        <f t="shared" si="269"/>
        <v>0</v>
      </c>
      <c r="CJ1448" s="17">
        <f t="shared" si="270"/>
        <v>11888</v>
      </c>
      <c r="CK1448" s="3" t="str">
        <f t="shared" si="271"/>
        <v xml:space="preserve">برنامج دولى </v>
      </c>
    </row>
    <row r="1449" spans="3:89" x14ac:dyDescent="0.25">
      <c r="C1449" s="17" t="s">
        <v>657</v>
      </c>
      <c r="D1449" s="17">
        <v>19316</v>
      </c>
      <c r="E1449" s="17">
        <v>11889</v>
      </c>
      <c r="F1449" s="3" t="s">
        <v>325</v>
      </c>
      <c r="G1449" s="3" t="s">
        <v>715</v>
      </c>
      <c r="I1449" s="3">
        <v>4333</v>
      </c>
      <c r="AU1449" s="22">
        <f t="shared" si="267"/>
        <v>4333</v>
      </c>
      <c r="AV1449" s="3">
        <v>3137.3</v>
      </c>
      <c r="AW1449" s="3">
        <v>404.7</v>
      </c>
      <c r="AX1449" s="3">
        <v>791</v>
      </c>
      <c r="CH1449" s="22">
        <f t="shared" si="268"/>
        <v>4333</v>
      </c>
      <c r="CI1449" s="3">
        <f t="shared" si="269"/>
        <v>0</v>
      </c>
      <c r="CJ1449" s="17">
        <f t="shared" si="270"/>
        <v>11889</v>
      </c>
      <c r="CK1449" s="3" t="str">
        <f t="shared" si="271"/>
        <v xml:space="preserve">برنامج دولى </v>
      </c>
    </row>
    <row r="1450" spans="3:89" x14ac:dyDescent="0.25">
      <c r="C1450" s="17" t="s">
        <v>657</v>
      </c>
      <c r="D1450" s="17">
        <v>19315</v>
      </c>
      <c r="E1450" s="17">
        <v>11890</v>
      </c>
      <c r="F1450" s="3" t="s">
        <v>325</v>
      </c>
      <c r="G1450" s="3" t="s">
        <v>715</v>
      </c>
      <c r="I1450" s="3">
        <v>851.75</v>
      </c>
      <c r="AU1450" s="22">
        <f t="shared" si="267"/>
        <v>851.75</v>
      </c>
      <c r="AV1450" s="3">
        <v>682.6</v>
      </c>
      <c r="AW1450" s="3">
        <v>84.4</v>
      </c>
      <c r="AX1450" s="3">
        <v>84.75</v>
      </c>
      <c r="CH1450" s="22">
        <f t="shared" si="268"/>
        <v>851.75</v>
      </c>
      <c r="CI1450" s="3">
        <f t="shared" si="269"/>
        <v>0</v>
      </c>
      <c r="CJ1450" s="17">
        <f t="shared" si="270"/>
        <v>11890</v>
      </c>
      <c r="CK1450" s="3" t="str">
        <f t="shared" si="271"/>
        <v xml:space="preserve">برنامج دولى </v>
      </c>
    </row>
    <row r="1451" spans="3:89" x14ac:dyDescent="0.25">
      <c r="C1451" s="17" t="s">
        <v>657</v>
      </c>
      <c r="D1451" s="17">
        <v>19895</v>
      </c>
      <c r="E1451" s="17">
        <v>11891</v>
      </c>
      <c r="F1451" s="3" t="s">
        <v>325</v>
      </c>
      <c r="G1451" s="3" t="s">
        <v>660</v>
      </c>
      <c r="I1451" s="3">
        <v>3752</v>
      </c>
      <c r="AU1451" s="22">
        <f t="shared" si="267"/>
        <v>3752</v>
      </c>
      <c r="AV1451" s="3">
        <v>2510.0500000000002</v>
      </c>
      <c r="AW1451" s="3">
        <v>337.95</v>
      </c>
      <c r="AX1451" s="3">
        <v>904</v>
      </c>
      <c r="CH1451" s="22">
        <f t="shared" si="268"/>
        <v>3752</v>
      </c>
      <c r="CI1451" s="3">
        <f t="shared" si="269"/>
        <v>0</v>
      </c>
      <c r="CJ1451" s="17">
        <f t="shared" si="270"/>
        <v>11891</v>
      </c>
      <c r="CK1451" s="3" t="str">
        <f t="shared" si="271"/>
        <v xml:space="preserve">برنامج دولى </v>
      </c>
    </row>
    <row r="1452" spans="3:89" x14ac:dyDescent="0.25">
      <c r="C1452" s="17" t="s">
        <v>657</v>
      </c>
      <c r="D1452" s="17">
        <v>19380</v>
      </c>
      <c r="E1452" s="17">
        <v>11892</v>
      </c>
      <c r="F1452" s="3" t="s">
        <v>325</v>
      </c>
      <c r="G1452" s="3" t="s">
        <v>716</v>
      </c>
      <c r="I1452" s="3">
        <v>2345</v>
      </c>
      <c r="AU1452" s="22">
        <f t="shared" si="267"/>
        <v>2345</v>
      </c>
      <c r="AV1452" s="3">
        <v>1568.2</v>
      </c>
      <c r="AW1452" s="3">
        <v>211.8</v>
      </c>
      <c r="AX1452" s="3">
        <v>565</v>
      </c>
      <c r="CH1452" s="22">
        <f t="shared" si="268"/>
        <v>2345</v>
      </c>
      <c r="CI1452" s="3">
        <f t="shared" si="269"/>
        <v>0</v>
      </c>
      <c r="CJ1452" s="17">
        <f t="shared" si="270"/>
        <v>11892</v>
      </c>
      <c r="CK1452" s="3" t="str">
        <f t="shared" si="271"/>
        <v xml:space="preserve">برنامج دولى </v>
      </c>
    </row>
    <row r="1453" spans="3:89" x14ac:dyDescent="0.25">
      <c r="C1453" s="17" t="s">
        <v>657</v>
      </c>
      <c r="D1453" s="17">
        <v>19896</v>
      </c>
      <c r="E1453" s="17">
        <v>11893</v>
      </c>
      <c r="F1453" s="3" t="s">
        <v>325</v>
      </c>
      <c r="G1453" s="3" t="s">
        <v>716</v>
      </c>
      <c r="I1453" s="3">
        <v>3000</v>
      </c>
      <c r="AU1453" s="22">
        <f t="shared" si="267"/>
        <v>3000</v>
      </c>
      <c r="AV1453" s="3">
        <v>2678.2</v>
      </c>
      <c r="AW1453" s="3">
        <v>321.8</v>
      </c>
      <c r="CH1453" s="22">
        <f t="shared" si="268"/>
        <v>3000</v>
      </c>
      <c r="CI1453" s="3">
        <f t="shared" si="269"/>
        <v>0</v>
      </c>
      <c r="CJ1453" s="17">
        <f t="shared" si="270"/>
        <v>11893</v>
      </c>
      <c r="CK1453" s="3" t="str">
        <f t="shared" si="271"/>
        <v xml:space="preserve">برنامج دولى </v>
      </c>
    </row>
    <row r="1454" spans="3:89" x14ac:dyDescent="0.25">
      <c r="C1454" s="17" t="s">
        <v>657</v>
      </c>
      <c r="D1454" s="17">
        <v>19894</v>
      </c>
      <c r="E1454" s="17">
        <v>11894</v>
      </c>
      <c r="F1454" s="3" t="s">
        <v>325</v>
      </c>
      <c r="G1454" s="3" t="s">
        <v>689</v>
      </c>
      <c r="I1454" s="3">
        <v>527.62</v>
      </c>
      <c r="AU1454" s="22">
        <f t="shared" si="267"/>
        <v>527.62</v>
      </c>
      <c r="AV1454" s="3">
        <v>353.2</v>
      </c>
      <c r="AW1454" s="3">
        <v>47.3</v>
      </c>
      <c r="AX1454" s="3">
        <v>127.12</v>
      </c>
      <c r="CH1454" s="22">
        <f t="shared" si="268"/>
        <v>527.62</v>
      </c>
      <c r="CI1454" s="3">
        <f t="shared" si="269"/>
        <v>0</v>
      </c>
      <c r="CJ1454" s="17">
        <f t="shared" si="270"/>
        <v>11894</v>
      </c>
      <c r="CK1454" s="3" t="str">
        <f t="shared" si="271"/>
        <v xml:space="preserve">برنامج دولى </v>
      </c>
    </row>
    <row r="1455" spans="3:89" x14ac:dyDescent="0.25">
      <c r="C1455" s="17" t="s">
        <v>657</v>
      </c>
      <c r="D1455" s="17">
        <v>19895</v>
      </c>
      <c r="E1455" s="17">
        <v>11895</v>
      </c>
      <c r="F1455" s="3" t="s">
        <v>325</v>
      </c>
      <c r="G1455" s="3" t="s">
        <v>717</v>
      </c>
      <c r="I1455" s="3">
        <v>17039</v>
      </c>
      <c r="AU1455" s="22">
        <f t="shared" si="267"/>
        <v>17039</v>
      </c>
      <c r="AV1455" s="3">
        <v>11947.75</v>
      </c>
      <c r="AW1455" s="3">
        <v>1588.25</v>
      </c>
      <c r="AX1455" s="3">
        <v>3503</v>
      </c>
      <c r="CH1455" s="22">
        <f t="shared" si="268"/>
        <v>17039</v>
      </c>
      <c r="CI1455" s="3">
        <f t="shared" si="269"/>
        <v>0</v>
      </c>
      <c r="CJ1455" s="17">
        <f t="shared" si="270"/>
        <v>11895</v>
      </c>
      <c r="CK1455" s="3" t="str">
        <f t="shared" si="271"/>
        <v xml:space="preserve">برنامج دولى </v>
      </c>
    </row>
    <row r="1456" spans="3:89" x14ac:dyDescent="0.25">
      <c r="C1456" s="17" t="s">
        <v>657</v>
      </c>
      <c r="D1456" s="17">
        <v>19892</v>
      </c>
      <c r="E1456" s="17">
        <v>11896</v>
      </c>
      <c r="F1456" s="3" t="s">
        <v>325</v>
      </c>
      <c r="G1456" s="3" t="s">
        <v>717</v>
      </c>
      <c r="I1456" s="3">
        <v>2345</v>
      </c>
      <c r="AU1456" s="22">
        <f t="shared" si="267"/>
        <v>2345</v>
      </c>
      <c r="AV1456" s="3">
        <v>1568.2</v>
      </c>
      <c r="AW1456" s="3">
        <v>211.8</v>
      </c>
      <c r="AX1456" s="3">
        <v>565</v>
      </c>
      <c r="CH1456" s="22">
        <f t="shared" si="268"/>
        <v>2345</v>
      </c>
      <c r="CI1456" s="3">
        <f t="shared" si="269"/>
        <v>0</v>
      </c>
      <c r="CJ1456" s="17">
        <f t="shared" si="270"/>
        <v>11896</v>
      </c>
      <c r="CK1456" s="3" t="str">
        <f t="shared" si="271"/>
        <v xml:space="preserve">برنامج دولى </v>
      </c>
    </row>
    <row r="1457" spans="3:89" x14ac:dyDescent="0.25">
      <c r="C1457" s="17" t="s">
        <v>657</v>
      </c>
      <c r="D1457" s="17">
        <v>19894</v>
      </c>
      <c r="E1457" s="17">
        <v>11897</v>
      </c>
      <c r="F1457" s="3" t="s">
        <v>325</v>
      </c>
      <c r="G1457" s="3" t="s">
        <v>717</v>
      </c>
      <c r="I1457" s="3">
        <v>40978.870000000003</v>
      </c>
      <c r="AU1457" s="22">
        <f t="shared" si="267"/>
        <v>40978.870000000003</v>
      </c>
      <c r="AV1457" s="3">
        <v>27385.95</v>
      </c>
      <c r="AW1457" s="3">
        <v>3719.55</v>
      </c>
      <c r="AX1457" s="3">
        <v>9873.3700000000008</v>
      </c>
      <c r="CH1457" s="22">
        <f t="shared" si="268"/>
        <v>40978.870000000003</v>
      </c>
      <c r="CI1457" s="3">
        <f t="shared" si="269"/>
        <v>0</v>
      </c>
      <c r="CJ1457" s="17">
        <f t="shared" si="270"/>
        <v>11897</v>
      </c>
      <c r="CK1457" s="3" t="str">
        <f t="shared" si="271"/>
        <v xml:space="preserve">برنامج دولى </v>
      </c>
    </row>
    <row r="1458" spans="3:89" x14ac:dyDescent="0.25">
      <c r="C1458" s="17" t="s">
        <v>657</v>
      </c>
      <c r="D1458" s="17">
        <v>19427</v>
      </c>
      <c r="E1458" s="17">
        <v>11898</v>
      </c>
      <c r="F1458" s="3" t="s">
        <v>325</v>
      </c>
      <c r="G1458" s="3" t="s">
        <v>718</v>
      </c>
      <c r="I1458" s="3">
        <v>1758.75</v>
      </c>
      <c r="AU1458" s="22">
        <f t="shared" si="267"/>
        <v>1758.75</v>
      </c>
      <c r="AV1458" s="3">
        <v>1175.3499999999999</v>
      </c>
      <c r="AW1458" s="3">
        <v>159.65</v>
      </c>
      <c r="AX1458" s="201">
        <v>423.75</v>
      </c>
      <c r="CH1458" s="22">
        <f t="shared" si="268"/>
        <v>1758.75</v>
      </c>
      <c r="CI1458" s="3">
        <f t="shared" si="269"/>
        <v>0</v>
      </c>
      <c r="CJ1458" s="17">
        <f t="shared" si="270"/>
        <v>11898</v>
      </c>
      <c r="CK1458" s="3" t="str">
        <f t="shared" si="271"/>
        <v xml:space="preserve">برنامج دولى </v>
      </c>
    </row>
    <row r="1459" spans="3:89" x14ac:dyDescent="0.25">
      <c r="C1459" s="17" t="s">
        <v>657</v>
      </c>
      <c r="D1459" s="17">
        <v>19337</v>
      </c>
      <c r="E1459" s="17">
        <v>11899</v>
      </c>
      <c r="F1459" s="3" t="s">
        <v>325</v>
      </c>
      <c r="G1459" s="3" t="s">
        <v>4959</v>
      </c>
      <c r="I1459" s="3">
        <v>40335.629999999997</v>
      </c>
      <c r="AU1459" s="22">
        <f t="shared" si="267"/>
        <v>40335.629999999997</v>
      </c>
      <c r="AV1459" s="3">
        <v>29859.21</v>
      </c>
      <c r="AW1459" s="3">
        <v>3880.98</v>
      </c>
      <c r="AX1459" s="3">
        <v>6595.44</v>
      </c>
      <c r="CH1459" s="22">
        <f t="shared" si="268"/>
        <v>40335.630000000005</v>
      </c>
      <c r="CI1459" s="3">
        <f t="shared" si="269"/>
        <v>0</v>
      </c>
      <c r="CJ1459" s="17">
        <f t="shared" si="270"/>
        <v>11899</v>
      </c>
      <c r="CK1459" s="3" t="str">
        <f t="shared" si="271"/>
        <v xml:space="preserve">برنامج دولى </v>
      </c>
    </row>
    <row r="1460" spans="3:89" x14ac:dyDescent="0.25">
      <c r="C1460" s="17" t="s">
        <v>657</v>
      </c>
      <c r="D1460" s="17">
        <v>19338</v>
      </c>
      <c r="E1460" s="17">
        <v>11900</v>
      </c>
      <c r="F1460" s="3" t="s">
        <v>325</v>
      </c>
      <c r="G1460" s="3" t="s">
        <v>4959</v>
      </c>
      <c r="I1460" s="3">
        <v>22808.93</v>
      </c>
      <c r="AU1460" s="22">
        <f t="shared" si="267"/>
        <v>22808.93</v>
      </c>
      <c r="AV1460" s="3">
        <v>17526.45</v>
      </c>
      <c r="AW1460" s="3">
        <v>2238.15</v>
      </c>
      <c r="AX1460" s="3">
        <v>3044.33</v>
      </c>
      <c r="CH1460" s="22">
        <f t="shared" si="268"/>
        <v>22808.93</v>
      </c>
      <c r="CI1460" s="3">
        <f t="shared" si="269"/>
        <v>0</v>
      </c>
      <c r="CJ1460" s="17">
        <f t="shared" si="270"/>
        <v>11900</v>
      </c>
      <c r="CK1460" s="3" t="str">
        <f t="shared" si="271"/>
        <v xml:space="preserve">برنامج دولى </v>
      </c>
    </row>
    <row r="1461" spans="3:89" x14ac:dyDescent="0.25">
      <c r="C1461" s="17" t="s">
        <v>657</v>
      </c>
      <c r="D1461" s="17">
        <v>19339</v>
      </c>
      <c r="E1461" s="17">
        <v>11901</v>
      </c>
      <c r="F1461" s="3" t="s">
        <v>325</v>
      </c>
      <c r="G1461" s="3" t="s">
        <v>4959</v>
      </c>
      <c r="I1461" s="3">
        <v>6000</v>
      </c>
      <c r="AU1461" s="22">
        <f t="shared" si="267"/>
        <v>6000</v>
      </c>
      <c r="AV1461" s="3">
        <v>5355.7</v>
      </c>
      <c r="AW1461" s="3">
        <v>644.29999999999995</v>
      </c>
      <c r="CH1461" s="22">
        <f t="shared" si="268"/>
        <v>6000</v>
      </c>
      <c r="CI1461" s="3">
        <f t="shared" si="269"/>
        <v>0</v>
      </c>
      <c r="CJ1461" s="17">
        <f t="shared" si="270"/>
        <v>11901</v>
      </c>
      <c r="CK1461" s="3" t="str">
        <f t="shared" si="271"/>
        <v xml:space="preserve">برنامج دولى </v>
      </c>
    </row>
    <row r="1462" spans="3:89" x14ac:dyDescent="0.25">
      <c r="C1462" s="17" t="s">
        <v>657</v>
      </c>
      <c r="D1462" s="17">
        <v>19340</v>
      </c>
      <c r="E1462" s="17">
        <v>11902</v>
      </c>
      <c r="F1462" s="3" t="s">
        <v>325</v>
      </c>
      <c r="G1462" s="3" t="s">
        <v>4959</v>
      </c>
      <c r="I1462" s="3">
        <v>97615.87</v>
      </c>
      <c r="AU1462" s="22">
        <f t="shared" si="267"/>
        <v>97615.87</v>
      </c>
      <c r="AV1462" s="3">
        <v>64991.1</v>
      </c>
      <c r="AW1462" s="3">
        <v>8852.4</v>
      </c>
      <c r="AX1462" s="3">
        <v>23772.37</v>
      </c>
      <c r="CH1462" s="22">
        <f t="shared" si="268"/>
        <v>97615.87</v>
      </c>
      <c r="CI1462" s="3">
        <f t="shared" si="269"/>
        <v>0</v>
      </c>
      <c r="CJ1462" s="17">
        <f t="shared" si="270"/>
        <v>11902</v>
      </c>
      <c r="CK1462" s="3" t="str">
        <f t="shared" si="271"/>
        <v xml:space="preserve">برنامج دولى </v>
      </c>
    </row>
    <row r="1463" spans="3:89" x14ac:dyDescent="0.25">
      <c r="C1463" s="17" t="s">
        <v>657</v>
      </c>
      <c r="D1463" s="17">
        <v>19341</v>
      </c>
      <c r="E1463" s="17">
        <v>11903</v>
      </c>
      <c r="F1463" s="3" t="s">
        <v>325</v>
      </c>
      <c r="G1463" s="3" t="s">
        <v>4959</v>
      </c>
      <c r="I1463" s="3">
        <v>3517.5</v>
      </c>
      <c r="AU1463" s="22">
        <f t="shared" si="267"/>
        <v>3517.5</v>
      </c>
      <c r="AV1463" s="3">
        <v>2350.35</v>
      </c>
      <c r="AW1463" s="3">
        <v>319.64999999999998</v>
      </c>
      <c r="AX1463" s="3">
        <v>847.5</v>
      </c>
      <c r="CH1463" s="22">
        <f t="shared" si="268"/>
        <v>3517.5</v>
      </c>
      <c r="CI1463" s="3">
        <f t="shared" si="269"/>
        <v>0</v>
      </c>
      <c r="CJ1463" s="17">
        <f t="shared" si="270"/>
        <v>11903</v>
      </c>
      <c r="CK1463" s="3" t="str">
        <f t="shared" si="271"/>
        <v xml:space="preserve">برنامج دولى </v>
      </c>
    </row>
    <row r="1464" spans="3:89" x14ac:dyDescent="0.25">
      <c r="C1464" s="17" t="s">
        <v>657</v>
      </c>
      <c r="D1464" s="17">
        <v>19341</v>
      </c>
      <c r="E1464" s="17">
        <v>11904</v>
      </c>
      <c r="F1464" s="3" t="s">
        <v>325</v>
      </c>
      <c r="G1464" s="3" t="s">
        <v>4959</v>
      </c>
      <c r="I1464" s="3">
        <v>3517.5</v>
      </c>
      <c r="AU1464" s="22">
        <f t="shared" si="267"/>
        <v>3517.5</v>
      </c>
      <c r="AV1464" s="3">
        <v>2350.35</v>
      </c>
      <c r="AW1464" s="3">
        <v>319.64999999999998</v>
      </c>
      <c r="AX1464" s="3">
        <v>847.5</v>
      </c>
      <c r="CH1464" s="22">
        <f t="shared" si="268"/>
        <v>3517.5</v>
      </c>
      <c r="CI1464" s="3">
        <f t="shared" si="269"/>
        <v>0</v>
      </c>
      <c r="CJ1464" s="17">
        <f t="shared" si="270"/>
        <v>11904</v>
      </c>
      <c r="CK1464" s="3" t="str">
        <f t="shared" si="271"/>
        <v xml:space="preserve">برنامج دولى </v>
      </c>
    </row>
    <row r="1465" spans="3:89" x14ac:dyDescent="0.25">
      <c r="C1465" s="17" t="s">
        <v>657</v>
      </c>
      <c r="D1465" s="17">
        <v>19342</v>
      </c>
      <c r="E1465" s="17">
        <v>11905</v>
      </c>
      <c r="F1465" s="3" t="s">
        <v>325</v>
      </c>
      <c r="G1465" s="3" t="s">
        <v>4959</v>
      </c>
      <c r="I1465" s="3">
        <v>5276.25</v>
      </c>
      <c r="AU1465" s="22">
        <f t="shared" si="267"/>
        <v>5276.25</v>
      </c>
      <c r="AV1465" s="3">
        <v>3526.05</v>
      </c>
      <c r="AW1465" s="3">
        <v>478.95</v>
      </c>
      <c r="AX1465" s="3">
        <v>1271.25</v>
      </c>
      <c r="CH1465" s="22">
        <f t="shared" si="268"/>
        <v>5276.25</v>
      </c>
      <c r="CI1465" s="3">
        <f t="shared" si="269"/>
        <v>0</v>
      </c>
      <c r="CJ1465" s="17">
        <f t="shared" si="270"/>
        <v>11905</v>
      </c>
      <c r="CK1465" s="3" t="str">
        <f t="shared" si="271"/>
        <v xml:space="preserve">برنامج دولى </v>
      </c>
    </row>
    <row r="1466" spans="3:89" x14ac:dyDescent="0.25">
      <c r="C1466" s="17" t="s">
        <v>657</v>
      </c>
      <c r="D1466" s="17">
        <v>19343</v>
      </c>
      <c r="E1466" s="17">
        <v>11906</v>
      </c>
      <c r="F1466" s="3" t="s">
        <v>325</v>
      </c>
      <c r="G1466" s="3" t="s">
        <v>4959</v>
      </c>
      <c r="I1466" s="3">
        <v>3517.5</v>
      </c>
      <c r="AU1466" s="22">
        <f t="shared" si="267"/>
        <v>3517.5</v>
      </c>
      <c r="AV1466" s="3">
        <v>2350.35</v>
      </c>
      <c r="AW1466" s="3">
        <v>319.64999999999998</v>
      </c>
      <c r="AX1466" s="3">
        <v>847.5</v>
      </c>
      <c r="CH1466" s="22">
        <f t="shared" si="268"/>
        <v>3517.5</v>
      </c>
      <c r="CI1466" s="3">
        <f t="shared" si="269"/>
        <v>0</v>
      </c>
      <c r="CJ1466" s="17">
        <f t="shared" si="270"/>
        <v>11906</v>
      </c>
      <c r="CK1466" s="3" t="str">
        <f t="shared" si="271"/>
        <v xml:space="preserve">برنامج دولى </v>
      </c>
    </row>
    <row r="1467" spans="3:89" x14ac:dyDescent="0.25">
      <c r="C1467" s="17" t="s">
        <v>657</v>
      </c>
      <c r="D1467" s="17">
        <v>19343</v>
      </c>
      <c r="E1467" s="17">
        <v>11907</v>
      </c>
      <c r="F1467" s="3" t="s">
        <v>325</v>
      </c>
      <c r="G1467" s="3" t="s">
        <v>4959</v>
      </c>
      <c r="I1467" s="3">
        <v>3517.5</v>
      </c>
      <c r="AU1467" s="22">
        <f t="shared" si="267"/>
        <v>3517.5</v>
      </c>
      <c r="AV1467" s="3">
        <v>2350.35</v>
      </c>
      <c r="AW1467" s="3">
        <v>319.64999999999998</v>
      </c>
      <c r="AX1467" s="3">
        <v>847.5</v>
      </c>
      <c r="CH1467" s="22">
        <f t="shared" si="268"/>
        <v>3517.5</v>
      </c>
      <c r="CI1467" s="3">
        <f t="shared" si="269"/>
        <v>0</v>
      </c>
      <c r="CJ1467" s="17">
        <f t="shared" si="270"/>
        <v>11907</v>
      </c>
      <c r="CK1467" s="3" t="str">
        <f t="shared" si="271"/>
        <v xml:space="preserve">برنامج دولى </v>
      </c>
    </row>
    <row r="1468" spans="3:89" x14ac:dyDescent="0.25">
      <c r="C1468" s="17" t="s">
        <v>657</v>
      </c>
      <c r="D1468" s="17">
        <v>19344</v>
      </c>
      <c r="E1468" s="17">
        <v>11908</v>
      </c>
      <c r="F1468" s="3" t="s">
        <v>325</v>
      </c>
      <c r="G1468" s="3" t="s">
        <v>4959</v>
      </c>
      <c r="I1468" s="3">
        <v>10552.5</v>
      </c>
      <c r="AU1468" s="22">
        <f t="shared" si="267"/>
        <v>10552.5</v>
      </c>
      <c r="AV1468" s="3">
        <v>7051.05</v>
      </c>
      <c r="AW1468" s="3">
        <f>58.95+900</f>
        <v>958.95</v>
      </c>
      <c r="AX1468" s="3">
        <v>2542.5</v>
      </c>
      <c r="CH1468" s="22">
        <f t="shared" si="268"/>
        <v>10552.5</v>
      </c>
      <c r="CI1468" s="3">
        <f t="shared" si="269"/>
        <v>0</v>
      </c>
      <c r="CJ1468" s="17">
        <f t="shared" si="270"/>
        <v>11908</v>
      </c>
      <c r="CK1468" s="3" t="str">
        <f t="shared" si="271"/>
        <v xml:space="preserve">برنامج دولى </v>
      </c>
    </row>
    <row r="1469" spans="3:89" x14ac:dyDescent="0.25">
      <c r="C1469" s="17" t="s">
        <v>657</v>
      </c>
      <c r="D1469" s="17">
        <v>19488</v>
      </c>
      <c r="E1469" s="17">
        <v>11909</v>
      </c>
      <c r="F1469" s="3" t="s">
        <v>325</v>
      </c>
      <c r="G1469" s="3" t="s">
        <v>4960</v>
      </c>
      <c r="I1469" s="3">
        <v>46266.22</v>
      </c>
      <c r="AU1469" s="22">
        <f t="shared" si="267"/>
        <v>46266.22</v>
      </c>
      <c r="AV1469" s="3">
        <v>41279.949999999997</v>
      </c>
      <c r="AW1469" s="3">
        <v>4959.71</v>
      </c>
      <c r="AX1469" s="3">
        <v>26.56</v>
      </c>
      <c r="CH1469" s="22">
        <f t="shared" si="268"/>
        <v>46266.219999999994</v>
      </c>
      <c r="CI1469" s="3">
        <f t="shared" si="269"/>
        <v>0</v>
      </c>
      <c r="CJ1469" s="17">
        <f t="shared" si="270"/>
        <v>11909</v>
      </c>
      <c r="CK1469" s="3" t="str">
        <f t="shared" si="271"/>
        <v xml:space="preserve">برنامج دولى </v>
      </c>
    </row>
    <row r="1470" spans="3:89" x14ac:dyDescent="0.25">
      <c r="C1470" s="17" t="s">
        <v>657</v>
      </c>
      <c r="D1470" s="17">
        <v>19489</v>
      </c>
      <c r="E1470" s="17">
        <v>11910</v>
      </c>
      <c r="F1470" s="3" t="s">
        <v>325</v>
      </c>
      <c r="G1470" s="3" t="s">
        <v>4960</v>
      </c>
      <c r="I1470" s="3">
        <v>1562.5</v>
      </c>
      <c r="AU1470" s="22">
        <f t="shared" si="267"/>
        <v>1562.5</v>
      </c>
      <c r="AV1470" s="3">
        <v>1394.9</v>
      </c>
      <c r="AW1470" s="3">
        <v>167.6</v>
      </c>
      <c r="CH1470" s="22">
        <f t="shared" si="268"/>
        <v>1562.5</v>
      </c>
      <c r="CI1470" s="3">
        <f t="shared" si="269"/>
        <v>0</v>
      </c>
      <c r="CJ1470" s="17">
        <f t="shared" si="270"/>
        <v>11910</v>
      </c>
      <c r="CK1470" s="3" t="str">
        <f t="shared" si="271"/>
        <v xml:space="preserve">برنامج دولى </v>
      </c>
    </row>
    <row r="1471" spans="3:89" x14ac:dyDescent="0.25">
      <c r="C1471" s="17" t="s">
        <v>657</v>
      </c>
      <c r="D1471" s="17">
        <v>19331</v>
      </c>
      <c r="E1471" s="17">
        <v>11911</v>
      </c>
      <c r="F1471" s="3" t="s">
        <v>325</v>
      </c>
      <c r="G1471" s="3" t="s">
        <v>4961</v>
      </c>
      <c r="I1471" s="3">
        <v>4000</v>
      </c>
      <c r="AU1471" s="22">
        <f t="shared" si="267"/>
        <v>4000</v>
      </c>
      <c r="AV1471" s="3">
        <v>3570.35</v>
      </c>
      <c r="AW1471" s="3">
        <v>429.65</v>
      </c>
      <c r="CH1471" s="22">
        <f t="shared" si="268"/>
        <v>4000</v>
      </c>
      <c r="CI1471" s="3">
        <f t="shared" si="269"/>
        <v>0</v>
      </c>
      <c r="CJ1471" s="17">
        <f t="shared" si="270"/>
        <v>11911</v>
      </c>
      <c r="CK1471" s="3" t="str">
        <f t="shared" si="271"/>
        <v xml:space="preserve">برنامج دولى </v>
      </c>
    </row>
    <row r="1472" spans="3:89" x14ac:dyDescent="0.25">
      <c r="C1472" s="17" t="s">
        <v>657</v>
      </c>
      <c r="D1472" s="17">
        <v>19330</v>
      </c>
      <c r="E1472" s="17">
        <v>11912</v>
      </c>
      <c r="F1472" s="3" t="s">
        <v>325</v>
      </c>
      <c r="G1472" s="3" t="s">
        <v>4963</v>
      </c>
      <c r="I1472" s="3">
        <v>24375</v>
      </c>
      <c r="AU1472" s="22">
        <f t="shared" si="267"/>
        <v>24375</v>
      </c>
      <c r="AV1472" s="3">
        <v>21743.7</v>
      </c>
      <c r="AW1472" s="3">
        <v>2631.3</v>
      </c>
      <c r="CH1472" s="22">
        <f t="shared" si="268"/>
        <v>24375</v>
      </c>
      <c r="CI1472" s="3">
        <f t="shared" si="269"/>
        <v>0</v>
      </c>
      <c r="CJ1472" s="17">
        <f t="shared" si="270"/>
        <v>11912</v>
      </c>
      <c r="CK1472" s="3" t="str">
        <f t="shared" si="271"/>
        <v xml:space="preserve">برنامج دولى </v>
      </c>
    </row>
    <row r="1473" spans="3:89" x14ac:dyDescent="0.25">
      <c r="C1473" s="17" t="s">
        <v>657</v>
      </c>
      <c r="D1473" s="17">
        <v>19329</v>
      </c>
      <c r="E1473" s="17">
        <v>11913</v>
      </c>
      <c r="F1473" s="3" t="s">
        <v>325</v>
      </c>
      <c r="G1473" s="3" t="s">
        <v>4964</v>
      </c>
      <c r="I1473" s="3">
        <v>26250</v>
      </c>
      <c r="AU1473" s="22">
        <f t="shared" si="267"/>
        <v>26250</v>
      </c>
      <c r="AV1473" s="3">
        <v>23422.45</v>
      </c>
      <c r="AW1473" s="3">
        <v>2827.55</v>
      </c>
      <c r="CH1473" s="22">
        <f t="shared" si="268"/>
        <v>26250</v>
      </c>
      <c r="CI1473" s="3">
        <f t="shared" si="269"/>
        <v>0</v>
      </c>
      <c r="CJ1473" s="17">
        <f t="shared" si="270"/>
        <v>11913</v>
      </c>
      <c r="CK1473" s="3" t="str">
        <f t="shared" si="271"/>
        <v xml:space="preserve">برنامج دولى </v>
      </c>
    </row>
    <row r="1474" spans="3:89" x14ac:dyDescent="0.25">
      <c r="C1474" s="17" t="s">
        <v>657</v>
      </c>
      <c r="D1474" s="17">
        <v>19328</v>
      </c>
      <c r="E1474" s="17">
        <v>11914</v>
      </c>
      <c r="F1474" s="3" t="s">
        <v>325</v>
      </c>
      <c r="G1474" s="3" t="s">
        <v>4965</v>
      </c>
      <c r="I1474" s="3">
        <v>52625</v>
      </c>
      <c r="AU1474" s="22">
        <f t="shared" si="267"/>
        <v>52625</v>
      </c>
      <c r="AV1474" s="3">
        <v>46959</v>
      </c>
      <c r="AW1474" s="3">
        <v>5666</v>
      </c>
      <c r="CH1474" s="22">
        <f t="shared" si="268"/>
        <v>52625</v>
      </c>
      <c r="CI1474" s="3">
        <f t="shared" si="269"/>
        <v>0</v>
      </c>
      <c r="CJ1474" s="17">
        <f t="shared" si="270"/>
        <v>11914</v>
      </c>
      <c r="CK1474" s="3" t="str">
        <f t="shared" si="271"/>
        <v xml:space="preserve">برنامج دولى </v>
      </c>
    </row>
    <row r="1475" spans="3:89" x14ac:dyDescent="0.25">
      <c r="C1475" s="17" t="s">
        <v>657</v>
      </c>
      <c r="D1475" s="17">
        <v>19430</v>
      </c>
      <c r="E1475" s="17">
        <v>11915</v>
      </c>
      <c r="F1475" s="3" t="s">
        <v>325</v>
      </c>
      <c r="G1475" s="3" t="s">
        <v>4966</v>
      </c>
      <c r="I1475" s="3">
        <v>59767.66</v>
      </c>
      <c r="AU1475" s="22">
        <f t="shared" si="267"/>
        <v>59767.66</v>
      </c>
      <c r="AV1475" s="3">
        <v>39935.160000000003</v>
      </c>
      <c r="AW1475" s="3">
        <f>334.65+5097.46</f>
        <v>5432.11</v>
      </c>
      <c r="AX1475" s="3">
        <v>14400.39</v>
      </c>
      <c r="CH1475" s="22">
        <f t="shared" si="268"/>
        <v>59767.66</v>
      </c>
      <c r="CI1475" s="3">
        <f t="shared" si="269"/>
        <v>0</v>
      </c>
      <c r="CJ1475" s="17">
        <f t="shared" si="270"/>
        <v>11915</v>
      </c>
      <c r="CK1475" s="3" t="str">
        <f t="shared" si="271"/>
        <v xml:space="preserve">برنامج دولى </v>
      </c>
    </row>
    <row r="1476" spans="3:89" x14ac:dyDescent="0.25">
      <c r="C1476" s="17" t="s">
        <v>657</v>
      </c>
      <c r="D1476" s="17">
        <v>19084</v>
      </c>
      <c r="E1476" s="17">
        <v>11916</v>
      </c>
      <c r="F1476" s="3" t="s">
        <v>325</v>
      </c>
      <c r="G1476" s="3" t="s">
        <v>4967</v>
      </c>
      <c r="I1476" s="3">
        <v>334</v>
      </c>
      <c r="AU1476" s="22">
        <f t="shared" si="267"/>
        <v>334</v>
      </c>
      <c r="AV1476" s="3">
        <v>298.93</v>
      </c>
      <c r="AW1476" s="3">
        <v>35.07</v>
      </c>
      <c r="CH1476" s="22">
        <f t="shared" si="268"/>
        <v>334</v>
      </c>
      <c r="CI1476" s="3">
        <f t="shared" si="269"/>
        <v>0</v>
      </c>
      <c r="CJ1476" s="17">
        <f t="shared" si="270"/>
        <v>11916</v>
      </c>
      <c r="CK1476" s="3" t="str">
        <f t="shared" si="271"/>
        <v xml:space="preserve">برنامج دولى </v>
      </c>
    </row>
    <row r="1477" spans="3:89" x14ac:dyDescent="0.25">
      <c r="C1477" s="17" t="s">
        <v>657</v>
      </c>
      <c r="D1477" s="17">
        <v>19633</v>
      </c>
      <c r="E1477" s="17">
        <v>11917</v>
      </c>
      <c r="F1477" s="3" t="s">
        <v>325</v>
      </c>
      <c r="G1477" s="3" t="s">
        <v>4968</v>
      </c>
      <c r="I1477" s="3">
        <v>23541.66</v>
      </c>
      <c r="AU1477" s="22">
        <f t="shared" si="267"/>
        <v>23541.66</v>
      </c>
      <c r="AV1477" s="3">
        <v>21010.54</v>
      </c>
      <c r="AW1477" s="3">
        <v>2531.12</v>
      </c>
      <c r="CH1477" s="22">
        <f t="shared" si="268"/>
        <v>23541.66</v>
      </c>
      <c r="CI1477" s="3">
        <f t="shared" si="269"/>
        <v>0</v>
      </c>
      <c r="CJ1477" s="17">
        <f t="shared" si="270"/>
        <v>11917</v>
      </c>
      <c r="CK1477" s="3" t="str">
        <f t="shared" si="271"/>
        <v xml:space="preserve">برنامج دولى </v>
      </c>
    </row>
    <row r="1478" spans="3:89" x14ac:dyDescent="0.25">
      <c r="C1478" s="17" t="s">
        <v>657</v>
      </c>
      <c r="D1478" s="17">
        <v>19530</v>
      </c>
      <c r="E1478" s="17">
        <v>11918</v>
      </c>
      <c r="F1478" s="3" t="s">
        <v>325</v>
      </c>
      <c r="G1478" s="3" t="s">
        <v>4969</v>
      </c>
      <c r="I1478" s="3">
        <v>8156.21</v>
      </c>
      <c r="AU1478" s="22">
        <f t="shared" si="267"/>
        <v>8156.21</v>
      </c>
      <c r="AV1478" s="3">
        <v>5455.96</v>
      </c>
      <c r="AW1478" s="3">
        <f>39.45+695.63</f>
        <v>735.08</v>
      </c>
      <c r="AX1478" s="3">
        <v>1965.17</v>
      </c>
      <c r="CH1478" s="22">
        <f t="shared" si="268"/>
        <v>8156.21</v>
      </c>
      <c r="CI1478" s="3">
        <f t="shared" si="269"/>
        <v>0</v>
      </c>
      <c r="CJ1478" s="17">
        <f t="shared" si="270"/>
        <v>11918</v>
      </c>
      <c r="CK1478" s="3" t="str">
        <f t="shared" si="271"/>
        <v xml:space="preserve">برنامج دولى </v>
      </c>
    </row>
    <row r="1479" spans="3:89" x14ac:dyDescent="0.25">
      <c r="C1479" s="17" t="s">
        <v>657</v>
      </c>
      <c r="D1479" s="17">
        <v>19560</v>
      </c>
      <c r="E1479" s="17">
        <v>11919</v>
      </c>
      <c r="F1479" s="3" t="s">
        <v>325</v>
      </c>
      <c r="G1479" s="3" t="s">
        <v>4970</v>
      </c>
      <c r="I1479" s="3">
        <v>2110.5</v>
      </c>
      <c r="AU1479" s="22">
        <f t="shared" si="267"/>
        <v>2110.5</v>
      </c>
      <c r="AV1479" s="3">
        <v>1410.35</v>
      </c>
      <c r="AW1479" s="3">
        <v>191.65</v>
      </c>
      <c r="AX1479" s="3">
        <v>508.5</v>
      </c>
      <c r="CH1479" s="22">
        <f t="shared" si="268"/>
        <v>2110.5</v>
      </c>
      <c r="CI1479" s="3">
        <f t="shared" si="269"/>
        <v>0</v>
      </c>
      <c r="CJ1479" s="17">
        <f t="shared" si="270"/>
        <v>11919</v>
      </c>
      <c r="CK1479" s="3" t="str">
        <f t="shared" si="271"/>
        <v xml:space="preserve">برنامج دولى </v>
      </c>
    </row>
    <row r="1480" spans="3:89" x14ac:dyDescent="0.25">
      <c r="C1480" s="17" t="s">
        <v>657</v>
      </c>
      <c r="D1480" s="17">
        <v>19561</v>
      </c>
      <c r="E1480" s="17">
        <v>11920</v>
      </c>
      <c r="F1480" s="3" t="s">
        <v>325</v>
      </c>
      <c r="G1480" s="3" t="s">
        <v>4970</v>
      </c>
      <c r="I1480" s="3">
        <v>1993.25</v>
      </c>
      <c r="AU1480" s="22">
        <f t="shared" si="267"/>
        <v>1993.25</v>
      </c>
      <c r="AV1480" s="3">
        <v>1332</v>
      </c>
      <c r="AW1480" s="3">
        <v>181</v>
      </c>
      <c r="AX1480" s="3">
        <v>480.25</v>
      </c>
      <c r="CH1480" s="22">
        <f t="shared" si="268"/>
        <v>1993.25</v>
      </c>
      <c r="CI1480" s="3">
        <f t="shared" si="269"/>
        <v>0</v>
      </c>
      <c r="CJ1480" s="17">
        <f t="shared" si="270"/>
        <v>11920</v>
      </c>
      <c r="CK1480" s="3" t="str">
        <f t="shared" si="271"/>
        <v xml:space="preserve">برنامج دولى </v>
      </c>
    </row>
    <row r="1481" spans="3:89" x14ac:dyDescent="0.25">
      <c r="C1481" s="17" t="s">
        <v>657</v>
      </c>
      <c r="D1481" s="17">
        <v>19540</v>
      </c>
      <c r="E1481" s="17">
        <v>11921</v>
      </c>
      <c r="F1481" s="3" t="s">
        <v>325</v>
      </c>
      <c r="G1481" s="3" t="s">
        <v>4970</v>
      </c>
      <c r="I1481" s="3">
        <v>4685.1899999999996</v>
      </c>
      <c r="AU1481" s="22">
        <f t="shared" si="267"/>
        <v>4685.1899999999996</v>
      </c>
      <c r="AV1481" s="3">
        <v>3594.67</v>
      </c>
      <c r="AW1481" s="3">
        <v>459.7</v>
      </c>
      <c r="AX1481" s="3">
        <v>630.82000000000005</v>
      </c>
      <c r="CH1481" s="22">
        <f t="shared" si="268"/>
        <v>4685.1899999999996</v>
      </c>
      <c r="CI1481" s="3">
        <f t="shared" si="269"/>
        <v>0</v>
      </c>
      <c r="CJ1481" s="17">
        <f t="shared" si="270"/>
        <v>11921</v>
      </c>
      <c r="CK1481" s="3" t="str">
        <f t="shared" si="271"/>
        <v xml:space="preserve">برنامج دولى </v>
      </c>
    </row>
    <row r="1482" spans="3:89" x14ac:dyDescent="0.25">
      <c r="C1482" s="17" t="s">
        <v>657</v>
      </c>
      <c r="D1482" s="17">
        <v>19558</v>
      </c>
      <c r="E1482" s="17">
        <v>11922</v>
      </c>
      <c r="F1482" s="3" t="s">
        <v>325</v>
      </c>
      <c r="G1482" s="3" t="s">
        <v>4970</v>
      </c>
      <c r="I1482" s="3">
        <v>5000</v>
      </c>
      <c r="AU1482" s="22">
        <f t="shared" si="267"/>
        <v>5000</v>
      </c>
      <c r="AV1482" s="3">
        <v>4463.2</v>
      </c>
      <c r="AW1482" s="3">
        <v>536.79999999999995</v>
      </c>
      <c r="CH1482" s="22">
        <f t="shared" si="268"/>
        <v>5000</v>
      </c>
      <c r="CI1482" s="3">
        <f t="shared" si="269"/>
        <v>0</v>
      </c>
      <c r="CJ1482" s="17">
        <f t="shared" si="270"/>
        <v>11922</v>
      </c>
      <c r="CK1482" s="3" t="str">
        <f t="shared" si="271"/>
        <v xml:space="preserve">برنامج دولى </v>
      </c>
    </row>
    <row r="1483" spans="3:89" x14ac:dyDescent="0.25">
      <c r="C1483" s="17" t="s">
        <v>657</v>
      </c>
      <c r="D1483" s="17">
        <v>19559</v>
      </c>
      <c r="E1483" s="17">
        <v>11923</v>
      </c>
      <c r="F1483" s="3" t="s">
        <v>325</v>
      </c>
      <c r="G1483" s="3" t="s">
        <v>4970</v>
      </c>
      <c r="I1483" s="3">
        <v>2500</v>
      </c>
      <c r="AU1483" s="22">
        <f t="shared" si="267"/>
        <v>2500</v>
      </c>
      <c r="AV1483" s="3">
        <v>2231.6</v>
      </c>
      <c r="AW1483" s="3">
        <v>268.39999999999998</v>
      </c>
      <c r="CH1483" s="22">
        <f t="shared" si="268"/>
        <v>2500</v>
      </c>
      <c r="CI1483" s="3">
        <f t="shared" si="269"/>
        <v>0</v>
      </c>
      <c r="CJ1483" s="17">
        <f t="shared" si="270"/>
        <v>11923</v>
      </c>
      <c r="CK1483" s="3" t="str">
        <f t="shared" si="271"/>
        <v xml:space="preserve">برنامج دولى </v>
      </c>
    </row>
    <row r="1484" spans="3:89" x14ac:dyDescent="0.25">
      <c r="C1484" s="17" t="s">
        <v>657</v>
      </c>
      <c r="D1484" s="17">
        <v>19529</v>
      </c>
      <c r="E1484" s="17">
        <v>11924</v>
      </c>
      <c r="F1484" s="3" t="s">
        <v>325</v>
      </c>
      <c r="G1484" s="3" t="s">
        <v>4970</v>
      </c>
      <c r="I1484" s="3">
        <v>38090.620000000003</v>
      </c>
      <c r="AU1484" s="22">
        <f t="shared" si="267"/>
        <v>38090.620000000003</v>
      </c>
      <c r="AV1484" s="3">
        <v>25427.11</v>
      </c>
      <c r="AW1484" s="3">
        <f>237.35+3248.67</f>
        <v>3486.02</v>
      </c>
      <c r="AX1484" s="3">
        <v>9177.49</v>
      </c>
      <c r="CH1484" s="22">
        <f t="shared" si="268"/>
        <v>38090.620000000003</v>
      </c>
      <c r="CI1484" s="3">
        <f t="shared" si="269"/>
        <v>0</v>
      </c>
      <c r="CJ1484" s="17">
        <f t="shared" si="270"/>
        <v>11924</v>
      </c>
      <c r="CK1484" s="3" t="str">
        <f t="shared" si="271"/>
        <v xml:space="preserve">برنامج دولى </v>
      </c>
    </row>
    <row r="1485" spans="3:89" x14ac:dyDescent="0.25">
      <c r="C1485" s="17" t="s">
        <v>657</v>
      </c>
      <c r="D1485" s="17">
        <v>19541</v>
      </c>
      <c r="E1485" s="17">
        <v>11925</v>
      </c>
      <c r="F1485" s="3" t="s">
        <v>325</v>
      </c>
      <c r="G1485" s="3" t="s">
        <v>4970</v>
      </c>
      <c r="I1485" s="3">
        <v>10276.25</v>
      </c>
      <c r="AU1485" s="22">
        <f t="shared" si="267"/>
        <v>10276.25</v>
      </c>
      <c r="AV1485" s="3">
        <v>7989.65</v>
      </c>
      <c r="AW1485" s="3">
        <v>1015.35</v>
      </c>
      <c r="AX1485" s="3">
        <v>1271.25</v>
      </c>
      <c r="CH1485" s="22">
        <f t="shared" si="268"/>
        <v>10276.25</v>
      </c>
      <c r="CI1485" s="3">
        <f t="shared" si="269"/>
        <v>0</v>
      </c>
      <c r="CJ1485" s="17">
        <f t="shared" si="270"/>
        <v>11925</v>
      </c>
      <c r="CK1485" s="3" t="str">
        <f t="shared" si="271"/>
        <v xml:space="preserve">برنامج دولى </v>
      </c>
    </row>
    <row r="1486" spans="3:89" x14ac:dyDescent="0.25">
      <c r="C1486" s="17" t="s">
        <v>657</v>
      </c>
      <c r="D1486" s="17">
        <v>19527</v>
      </c>
      <c r="E1486" s="17">
        <v>11926</v>
      </c>
      <c r="F1486" s="3" t="s">
        <v>325</v>
      </c>
      <c r="G1486" s="3" t="s">
        <v>4970</v>
      </c>
      <c r="I1486" s="3">
        <v>6283</v>
      </c>
      <c r="AU1486" s="22">
        <f t="shared" si="267"/>
        <v>6283</v>
      </c>
      <c r="AV1486" s="3">
        <v>4872.3</v>
      </c>
      <c r="AW1486" s="3">
        <v>619.70000000000005</v>
      </c>
      <c r="AX1486" s="3">
        <v>791</v>
      </c>
      <c r="CH1486" s="22">
        <f t="shared" si="268"/>
        <v>6283</v>
      </c>
      <c r="CI1486" s="3">
        <f t="shared" si="269"/>
        <v>0</v>
      </c>
      <c r="CJ1486" s="17">
        <f t="shared" si="270"/>
        <v>11926</v>
      </c>
      <c r="CK1486" s="3" t="str">
        <f t="shared" si="271"/>
        <v xml:space="preserve">برنامج دولى </v>
      </c>
    </row>
    <row r="1487" spans="3:89" x14ac:dyDescent="0.25">
      <c r="C1487" s="17" t="s">
        <v>657</v>
      </c>
      <c r="D1487" s="17">
        <v>19528</v>
      </c>
      <c r="E1487" s="17">
        <v>11927</v>
      </c>
      <c r="F1487" s="3" t="s">
        <v>325</v>
      </c>
      <c r="G1487" s="3" t="s">
        <v>4970</v>
      </c>
      <c r="I1487" s="3">
        <v>7621.25</v>
      </c>
      <c r="AU1487" s="22">
        <f t="shared" si="267"/>
        <v>7621.25</v>
      </c>
      <c r="AV1487" s="3">
        <v>5094.6499999999996</v>
      </c>
      <c r="AW1487" s="3">
        <v>690.35</v>
      </c>
      <c r="AX1487" s="3">
        <v>1836.25</v>
      </c>
      <c r="CH1487" s="22">
        <f t="shared" si="268"/>
        <v>7621.25</v>
      </c>
      <c r="CI1487" s="3">
        <f t="shared" si="269"/>
        <v>0</v>
      </c>
      <c r="CJ1487" s="17">
        <f t="shared" si="270"/>
        <v>11927</v>
      </c>
      <c r="CK1487" s="3" t="str">
        <f t="shared" si="271"/>
        <v xml:space="preserve">برنامج دولى </v>
      </c>
    </row>
    <row r="1488" spans="3:89" x14ac:dyDescent="0.25">
      <c r="C1488" s="17" t="s">
        <v>657</v>
      </c>
      <c r="D1488" s="17">
        <v>19539</v>
      </c>
      <c r="E1488" s="17">
        <v>11928</v>
      </c>
      <c r="F1488" s="3" t="s">
        <v>325</v>
      </c>
      <c r="G1488" s="3" t="s">
        <v>4970</v>
      </c>
      <c r="I1488" s="3">
        <v>4611.49</v>
      </c>
      <c r="AU1488" s="22">
        <f t="shared" si="267"/>
        <v>4611.49</v>
      </c>
      <c r="AV1488" s="3">
        <v>3641.32</v>
      </c>
      <c r="AW1488" s="3">
        <v>460.05</v>
      </c>
      <c r="AX1488" s="3">
        <v>510.12</v>
      </c>
      <c r="CH1488" s="22">
        <f t="shared" si="268"/>
        <v>4611.49</v>
      </c>
      <c r="CI1488" s="3">
        <f t="shared" si="269"/>
        <v>0</v>
      </c>
      <c r="CJ1488" s="17">
        <f t="shared" si="270"/>
        <v>11928</v>
      </c>
      <c r="CK1488" s="3" t="str">
        <f t="shared" si="271"/>
        <v xml:space="preserve">برنامج دولى </v>
      </c>
    </row>
    <row r="1489" spans="3:89" x14ac:dyDescent="0.25">
      <c r="C1489" s="17" t="s">
        <v>657</v>
      </c>
      <c r="D1489" s="17">
        <v>19562</v>
      </c>
      <c r="E1489" s="17">
        <v>11929</v>
      </c>
      <c r="F1489" s="3" t="s">
        <v>325</v>
      </c>
      <c r="G1489" s="3" t="s">
        <v>4970</v>
      </c>
      <c r="I1489" s="3">
        <v>36888.120000000003</v>
      </c>
      <c r="AU1489" s="22">
        <f t="shared" si="267"/>
        <v>36888.120000000003</v>
      </c>
      <c r="AV1489" s="3">
        <v>27077.200000000001</v>
      </c>
      <c r="AW1489" s="3">
        <v>3525.3</v>
      </c>
      <c r="AX1489" s="3">
        <v>6285.62</v>
      </c>
      <c r="CH1489" s="22">
        <f t="shared" si="268"/>
        <v>36888.120000000003</v>
      </c>
      <c r="CI1489" s="3">
        <f t="shared" si="269"/>
        <v>0</v>
      </c>
      <c r="CJ1489" s="17">
        <f t="shared" si="270"/>
        <v>11929</v>
      </c>
      <c r="CK1489" s="3" t="str">
        <f t="shared" si="271"/>
        <v xml:space="preserve">برنامج دولى </v>
      </c>
    </row>
    <row r="1490" spans="3:89" x14ac:dyDescent="0.25">
      <c r="C1490" s="17" t="s">
        <v>657</v>
      </c>
      <c r="D1490" s="17">
        <v>19538</v>
      </c>
      <c r="E1490" s="17">
        <v>11930</v>
      </c>
      <c r="F1490" s="3" t="s">
        <v>325</v>
      </c>
      <c r="G1490" s="3" t="s">
        <v>4970</v>
      </c>
      <c r="I1490" s="3">
        <v>2110.5</v>
      </c>
      <c r="AU1490" s="22">
        <f t="shared" si="267"/>
        <v>2110.5</v>
      </c>
      <c r="AV1490" s="3">
        <v>1410.35</v>
      </c>
      <c r="AW1490" s="3">
        <v>191.65</v>
      </c>
      <c r="AX1490" s="201">
        <v>508.5</v>
      </c>
      <c r="CH1490" s="22">
        <f t="shared" si="268"/>
        <v>2110.5</v>
      </c>
      <c r="CI1490" s="3">
        <f t="shared" si="269"/>
        <v>0</v>
      </c>
      <c r="CJ1490" s="17">
        <f t="shared" si="270"/>
        <v>11930</v>
      </c>
      <c r="CK1490" s="3" t="str">
        <f t="shared" si="271"/>
        <v xml:space="preserve">برنامج دولى </v>
      </c>
    </row>
    <row r="1491" spans="3:89" x14ac:dyDescent="0.25">
      <c r="C1491" s="17" t="s">
        <v>657</v>
      </c>
      <c r="D1491" s="17">
        <v>19563</v>
      </c>
      <c r="E1491" s="17">
        <v>11931</v>
      </c>
      <c r="F1491" s="3" t="s">
        <v>325</v>
      </c>
      <c r="G1491" s="3" t="s">
        <v>4970</v>
      </c>
      <c r="I1491" s="3">
        <v>310594.43</v>
      </c>
      <c r="AU1491" s="22">
        <f t="shared" si="267"/>
        <v>310594.43</v>
      </c>
      <c r="AV1491" s="3">
        <v>214133.52</v>
      </c>
      <c r="AW1491" s="3">
        <v>28476.22</v>
      </c>
      <c r="AX1491" s="3">
        <v>67984.69</v>
      </c>
      <c r="CH1491" s="22">
        <f t="shared" si="268"/>
        <v>310594.43</v>
      </c>
      <c r="CI1491" s="3">
        <f t="shared" si="269"/>
        <v>0</v>
      </c>
      <c r="CJ1491" s="17">
        <f t="shared" si="270"/>
        <v>11931</v>
      </c>
      <c r="CK1491" s="3" t="str">
        <f t="shared" si="271"/>
        <v xml:space="preserve">برنامج دولى </v>
      </c>
    </row>
    <row r="1492" spans="3:89" x14ac:dyDescent="0.25">
      <c r="C1492" s="17" t="s">
        <v>657</v>
      </c>
      <c r="D1492" s="17">
        <v>19537</v>
      </c>
      <c r="E1492" s="17">
        <v>11932</v>
      </c>
      <c r="F1492" s="3" t="s">
        <v>325</v>
      </c>
      <c r="G1492" s="3" t="s">
        <v>4970</v>
      </c>
      <c r="I1492" s="3">
        <v>23248.67</v>
      </c>
      <c r="AU1492" s="22">
        <f t="shared" si="267"/>
        <v>23248.67</v>
      </c>
      <c r="AV1492" s="3">
        <v>16703.689999999999</v>
      </c>
      <c r="AW1492" s="3">
        <v>2196.38</v>
      </c>
      <c r="AX1492" s="3">
        <v>4348.6000000000004</v>
      </c>
      <c r="CH1492" s="22">
        <f t="shared" si="268"/>
        <v>23248.67</v>
      </c>
      <c r="CI1492" s="3">
        <f t="shared" si="269"/>
        <v>0</v>
      </c>
      <c r="CJ1492" s="17">
        <f t="shared" si="270"/>
        <v>11932</v>
      </c>
      <c r="CK1492" s="3" t="str">
        <f t="shared" si="271"/>
        <v xml:space="preserve">برنامج دولى </v>
      </c>
    </row>
    <row r="1493" spans="3:89" x14ac:dyDescent="0.25">
      <c r="C1493" s="17" t="s">
        <v>657</v>
      </c>
      <c r="D1493" s="17">
        <v>19536</v>
      </c>
      <c r="E1493" s="17">
        <v>11933</v>
      </c>
      <c r="F1493" s="3" t="s">
        <v>325</v>
      </c>
      <c r="G1493" s="3" t="s">
        <v>4970</v>
      </c>
      <c r="I1493" s="3">
        <v>1860.37</v>
      </c>
      <c r="AU1493" s="22">
        <f t="shared" si="267"/>
        <v>1860.37</v>
      </c>
      <c r="AV1493" s="3">
        <v>1243.21</v>
      </c>
      <c r="AW1493" s="3">
        <v>168.92</v>
      </c>
      <c r="AX1493" s="3">
        <v>448.24</v>
      </c>
      <c r="CH1493" s="22">
        <f t="shared" si="268"/>
        <v>1860.3700000000001</v>
      </c>
      <c r="CI1493" s="3">
        <f t="shared" si="269"/>
        <v>0</v>
      </c>
      <c r="CJ1493" s="17">
        <f t="shared" si="270"/>
        <v>11933</v>
      </c>
      <c r="CK1493" s="3" t="str">
        <f t="shared" si="271"/>
        <v xml:space="preserve">برنامج دولى </v>
      </c>
    </row>
    <row r="1494" spans="3:89" x14ac:dyDescent="0.25">
      <c r="C1494" s="17" t="s">
        <v>657</v>
      </c>
      <c r="D1494" s="17">
        <v>19535</v>
      </c>
      <c r="E1494" s="17">
        <v>11934</v>
      </c>
      <c r="F1494" s="3" t="s">
        <v>325</v>
      </c>
      <c r="G1494" s="3" t="s">
        <v>4970</v>
      </c>
      <c r="I1494" s="3">
        <v>1172.5</v>
      </c>
      <c r="AU1494" s="22">
        <f t="shared" si="267"/>
        <v>1172.5</v>
      </c>
      <c r="AV1494" s="3">
        <v>534.1</v>
      </c>
      <c r="AW1494" s="3">
        <v>105.9</v>
      </c>
      <c r="AX1494" s="3">
        <v>282.5</v>
      </c>
      <c r="CE1494" s="3">
        <v>250</v>
      </c>
      <c r="CH1494" s="22">
        <f t="shared" si="268"/>
        <v>1172.5</v>
      </c>
      <c r="CI1494" s="3">
        <f t="shared" si="269"/>
        <v>0</v>
      </c>
      <c r="CJ1494" s="17">
        <f t="shared" si="270"/>
        <v>11934</v>
      </c>
      <c r="CK1494" s="3" t="str">
        <f t="shared" si="271"/>
        <v xml:space="preserve">برنامج دولى </v>
      </c>
    </row>
    <row r="1495" spans="3:89" x14ac:dyDescent="0.25">
      <c r="C1495" s="17" t="s">
        <v>657</v>
      </c>
      <c r="D1495" s="17">
        <v>19534</v>
      </c>
      <c r="E1495" s="17">
        <v>11935</v>
      </c>
      <c r="F1495" s="3" t="s">
        <v>325</v>
      </c>
      <c r="G1495" s="3" t="s">
        <v>4970</v>
      </c>
      <c r="I1495" s="3">
        <v>2110.5</v>
      </c>
      <c r="AU1495" s="22">
        <f t="shared" si="267"/>
        <v>2110.5</v>
      </c>
      <c r="AV1495" s="3">
        <v>1140.3499999999999</v>
      </c>
      <c r="AW1495" s="3">
        <v>191.65</v>
      </c>
      <c r="AX1495" s="3">
        <v>508.5</v>
      </c>
      <c r="CE1495" s="3">
        <v>270</v>
      </c>
      <c r="CH1495" s="22">
        <f t="shared" si="268"/>
        <v>2110.5</v>
      </c>
      <c r="CI1495" s="3">
        <f t="shared" si="269"/>
        <v>0</v>
      </c>
      <c r="CJ1495" s="17">
        <f t="shared" si="270"/>
        <v>11935</v>
      </c>
      <c r="CK1495" s="3" t="str">
        <f t="shared" si="271"/>
        <v xml:space="preserve">برنامج دولى </v>
      </c>
    </row>
    <row r="1496" spans="3:89" x14ac:dyDescent="0.25">
      <c r="C1496" s="17" t="s">
        <v>657</v>
      </c>
      <c r="D1496" s="17">
        <v>19533</v>
      </c>
      <c r="E1496" s="17">
        <v>11936</v>
      </c>
      <c r="F1496" s="3" t="s">
        <v>325</v>
      </c>
      <c r="G1496" s="3" t="s">
        <v>4970</v>
      </c>
      <c r="I1496" s="3">
        <v>532025.55000000005</v>
      </c>
      <c r="AU1496" s="22">
        <f t="shared" si="267"/>
        <v>532025.55000000005</v>
      </c>
      <c r="AV1496" s="3">
        <v>363043.89</v>
      </c>
      <c r="AW1496" s="3">
        <v>48849.19</v>
      </c>
      <c r="AX1496" s="3">
        <v>120132.47</v>
      </c>
      <c r="CH1496" s="22">
        <f t="shared" si="268"/>
        <v>532025.55000000005</v>
      </c>
      <c r="CI1496" s="3">
        <f t="shared" si="269"/>
        <v>0</v>
      </c>
      <c r="CJ1496" s="17">
        <f t="shared" si="270"/>
        <v>11936</v>
      </c>
      <c r="CK1496" s="3" t="str">
        <f t="shared" si="271"/>
        <v xml:space="preserve">برنامج دولى </v>
      </c>
    </row>
    <row r="1497" spans="3:89" x14ac:dyDescent="0.25">
      <c r="C1497" s="17" t="s">
        <v>657</v>
      </c>
      <c r="D1497" s="17">
        <v>19532</v>
      </c>
      <c r="E1497" s="17">
        <v>11937</v>
      </c>
      <c r="F1497" s="3" t="s">
        <v>325</v>
      </c>
      <c r="G1497" s="3" t="s">
        <v>4970</v>
      </c>
      <c r="I1497" s="3">
        <v>3165.75</v>
      </c>
      <c r="AU1497" s="22">
        <f t="shared" si="267"/>
        <v>3165.75</v>
      </c>
      <c r="AV1497" s="3">
        <v>2116.1</v>
      </c>
      <c r="AW1497" s="3">
        <v>286.89999999999998</v>
      </c>
      <c r="AX1497" s="201">
        <v>762.75</v>
      </c>
      <c r="CH1497" s="22">
        <f t="shared" si="268"/>
        <v>3165.75</v>
      </c>
      <c r="CI1497" s="3">
        <f t="shared" si="269"/>
        <v>0</v>
      </c>
      <c r="CJ1497" s="17">
        <f t="shared" si="270"/>
        <v>11937</v>
      </c>
      <c r="CK1497" s="3" t="str">
        <f t="shared" si="271"/>
        <v xml:space="preserve">برنامج دولى </v>
      </c>
    </row>
    <row r="1498" spans="3:89" x14ac:dyDescent="0.25">
      <c r="C1498" s="17" t="s">
        <v>657</v>
      </c>
      <c r="D1498" s="17">
        <v>19426</v>
      </c>
      <c r="E1498" s="17">
        <v>11938</v>
      </c>
      <c r="F1498" s="3" t="s">
        <v>325</v>
      </c>
      <c r="G1498" s="3" t="s">
        <v>4971</v>
      </c>
      <c r="I1498" s="3">
        <v>1407</v>
      </c>
      <c r="AU1498" s="22">
        <f t="shared" si="267"/>
        <v>1407</v>
      </c>
      <c r="AV1498" s="3">
        <v>940.35</v>
      </c>
      <c r="AW1498" s="3">
        <v>127.65</v>
      </c>
      <c r="AX1498" s="3">
        <v>339</v>
      </c>
      <c r="CH1498" s="22">
        <f t="shared" si="268"/>
        <v>1407</v>
      </c>
      <c r="CI1498" s="3">
        <f t="shared" si="269"/>
        <v>0</v>
      </c>
      <c r="CJ1498" s="17">
        <f t="shared" si="270"/>
        <v>11938</v>
      </c>
      <c r="CK1498" s="3" t="str">
        <f t="shared" si="271"/>
        <v xml:space="preserve">برنامج دولى </v>
      </c>
    </row>
    <row r="1499" spans="3:89" x14ac:dyDescent="0.25">
      <c r="C1499" s="17" t="s">
        <v>657</v>
      </c>
      <c r="D1499" s="17">
        <v>19425</v>
      </c>
      <c r="E1499" s="17">
        <v>11939</v>
      </c>
      <c r="F1499" s="3" t="s">
        <v>325</v>
      </c>
      <c r="G1499" s="3" t="s">
        <v>4971</v>
      </c>
      <c r="I1499" s="3">
        <v>2403.62</v>
      </c>
      <c r="AU1499" s="22">
        <f t="shared" si="267"/>
        <v>2403.62</v>
      </c>
      <c r="AV1499" s="3">
        <v>1606.9</v>
      </c>
      <c r="AW1499" s="3">
        <v>217.6</v>
      </c>
      <c r="AX1499" s="3">
        <v>579.12</v>
      </c>
      <c r="CH1499" s="22">
        <f t="shared" si="268"/>
        <v>2403.62</v>
      </c>
      <c r="CI1499" s="3">
        <f t="shared" si="269"/>
        <v>0</v>
      </c>
      <c r="CJ1499" s="17">
        <f t="shared" si="270"/>
        <v>11939</v>
      </c>
      <c r="CK1499" s="3" t="str">
        <f t="shared" si="271"/>
        <v xml:space="preserve">برنامج دولى </v>
      </c>
    </row>
    <row r="1500" spans="3:89" x14ac:dyDescent="0.25">
      <c r="C1500" s="17" t="s">
        <v>657</v>
      </c>
      <c r="D1500" s="17">
        <v>19424</v>
      </c>
      <c r="E1500" s="17">
        <v>11940</v>
      </c>
      <c r="F1500" s="3" t="s">
        <v>325</v>
      </c>
      <c r="G1500" s="3" t="s">
        <v>4971</v>
      </c>
      <c r="I1500" s="3">
        <v>50730.16</v>
      </c>
      <c r="AU1500" s="22">
        <f t="shared" si="267"/>
        <v>50730.16</v>
      </c>
      <c r="AV1500" s="3">
        <v>34294.04</v>
      </c>
      <c r="AW1500" s="3">
        <v>4628.1499999999996</v>
      </c>
      <c r="AX1500" s="3">
        <v>11807.97</v>
      </c>
      <c r="CH1500" s="22">
        <f t="shared" si="268"/>
        <v>50730.16</v>
      </c>
      <c r="CI1500" s="3">
        <f t="shared" si="269"/>
        <v>0</v>
      </c>
      <c r="CJ1500" s="17">
        <f t="shared" si="270"/>
        <v>11940</v>
      </c>
      <c r="CK1500" s="3" t="str">
        <f t="shared" si="271"/>
        <v xml:space="preserve">برنامج دولى </v>
      </c>
    </row>
    <row r="1501" spans="3:89" x14ac:dyDescent="0.25">
      <c r="C1501" s="17" t="s">
        <v>657</v>
      </c>
      <c r="D1501" s="17">
        <v>19423</v>
      </c>
      <c r="E1501" s="17">
        <v>11941</v>
      </c>
      <c r="F1501" s="3" t="s">
        <v>325</v>
      </c>
      <c r="G1501" s="3" t="s">
        <v>4972</v>
      </c>
      <c r="I1501" s="3">
        <v>2345</v>
      </c>
      <c r="AU1501" s="22">
        <f t="shared" si="267"/>
        <v>2345</v>
      </c>
      <c r="AV1501" s="3">
        <v>1568.2</v>
      </c>
      <c r="AW1501" s="3">
        <v>211.8</v>
      </c>
      <c r="AX1501" s="3">
        <v>565</v>
      </c>
      <c r="CH1501" s="22">
        <f t="shared" si="268"/>
        <v>2345</v>
      </c>
      <c r="CI1501" s="3">
        <f t="shared" si="269"/>
        <v>0</v>
      </c>
      <c r="CJ1501" s="17">
        <f t="shared" si="270"/>
        <v>11941</v>
      </c>
      <c r="CK1501" s="3" t="str">
        <f t="shared" si="271"/>
        <v xml:space="preserve">برنامج دولى </v>
      </c>
    </row>
    <row r="1502" spans="3:89" x14ac:dyDescent="0.25">
      <c r="C1502" s="17" t="s">
        <v>657</v>
      </c>
      <c r="D1502" s="17">
        <v>19422</v>
      </c>
      <c r="E1502" s="17">
        <v>11942</v>
      </c>
      <c r="F1502" s="3" t="s">
        <v>325</v>
      </c>
      <c r="G1502" s="3" t="s">
        <v>4972</v>
      </c>
      <c r="I1502" s="3">
        <v>3165.75</v>
      </c>
      <c r="AU1502" s="22">
        <f t="shared" si="267"/>
        <v>3165.75</v>
      </c>
      <c r="AV1502" s="3">
        <v>2116.1</v>
      </c>
      <c r="AW1502" s="3">
        <v>286.89999999999998</v>
      </c>
      <c r="AX1502" s="3">
        <v>762.75</v>
      </c>
      <c r="CH1502" s="22">
        <f t="shared" si="268"/>
        <v>3165.75</v>
      </c>
      <c r="CI1502" s="3">
        <f t="shared" si="269"/>
        <v>0</v>
      </c>
      <c r="CJ1502" s="17">
        <f t="shared" si="270"/>
        <v>11942</v>
      </c>
      <c r="CK1502" s="3" t="str">
        <f t="shared" si="271"/>
        <v xml:space="preserve">برنامج دولى </v>
      </c>
    </row>
    <row r="1503" spans="3:89" x14ac:dyDescent="0.25">
      <c r="C1503" s="17" t="s">
        <v>657</v>
      </c>
      <c r="D1503" s="17">
        <v>19421</v>
      </c>
      <c r="E1503" s="17">
        <v>11943</v>
      </c>
      <c r="F1503" s="3" t="s">
        <v>325</v>
      </c>
      <c r="G1503" s="3" t="s">
        <v>4972</v>
      </c>
      <c r="I1503" s="3">
        <v>1000</v>
      </c>
      <c r="AU1503" s="22">
        <f t="shared" si="267"/>
        <v>1000</v>
      </c>
      <c r="AV1503" s="3">
        <v>893.35</v>
      </c>
      <c r="AW1503" s="3">
        <v>106.65</v>
      </c>
      <c r="CH1503" s="22">
        <f t="shared" si="268"/>
        <v>1000</v>
      </c>
      <c r="CI1503" s="3">
        <f t="shared" si="269"/>
        <v>0</v>
      </c>
      <c r="CJ1503" s="17">
        <f t="shared" si="270"/>
        <v>11943</v>
      </c>
      <c r="CK1503" s="3" t="str">
        <f t="shared" si="271"/>
        <v xml:space="preserve">برنامج دولى </v>
      </c>
    </row>
    <row r="1504" spans="3:89" x14ac:dyDescent="0.25">
      <c r="C1504" s="17" t="s">
        <v>657</v>
      </c>
      <c r="D1504" s="17">
        <v>19420</v>
      </c>
      <c r="E1504" s="17">
        <v>11944</v>
      </c>
      <c r="F1504" s="3" t="s">
        <v>325</v>
      </c>
      <c r="G1504" s="3" t="s">
        <v>4973</v>
      </c>
      <c r="I1504" s="3">
        <v>3693.38</v>
      </c>
      <c r="AU1504" s="22">
        <f t="shared" si="267"/>
        <v>3693.38</v>
      </c>
      <c r="AV1504" s="3">
        <v>2467.85</v>
      </c>
      <c r="AW1504" s="3">
        <v>335.65</v>
      </c>
      <c r="AX1504" s="3">
        <v>889.88</v>
      </c>
      <c r="CH1504" s="22">
        <f t="shared" si="268"/>
        <v>3693.38</v>
      </c>
      <c r="CI1504" s="3">
        <f t="shared" si="269"/>
        <v>0</v>
      </c>
      <c r="CJ1504" s="17">
        <f t="shared" si="270"/>
        <v>11944</v>
      </c>
      <c r="CK1504" s="3" t="str">
        <f t="shared" si="271"/>
        <v xml:space="preserve">برنامج دولى </v>
      </c>
    </row>
    <row r="1505" spans="3:89" x14ac:dyDescent="0.25">
      <c r="C1505" s="17" t="s">
        <v>657</v>
      </c>
      <c r="D1505" s="17">
        <v>19419</v>
      </c>
      <c r="E1505" s="17">
        <v>11945</v>
      </c>
      <c r="F1505" s="3" t="s">
        <v>325</v>
      </c>
      <c r="G1505" s="3" t="s">
        <v>4973</v>
      </c>
      <c r="I1505" s="3">
        <v>738.68</v>
      </c>
      <c r="AU1505" s="22">
        <f t="shared" si="267"/>
        <v>738.68</v>
      </c>
      <c r="AV1505" s="3">
        <v>494.1</v>
      </c>
      <c r="AW1505" s="3">
        <v>66.599999999999994</v>
      </c>
      <c r="AX1505" s="3">
        <v>177.98</v>
      </c>
      <c r="CH1505" s="22">
        <f t="shared" si="268"/>
        <v>738.68000000000006</v>
      </c>
      <c r="CI1505" s="3">
        <f t="shared" si="269"/>
        <v>0</v>
      </c>
      <c r="CJ1505" s="17">
        <f t="shared" si="270"/>
        <v>11945</v>
      </c>
      <c r="CK1505" s="3" t="str">
        <f t="shared" si="271"/>
        <v xml:space="preserve">برنامج دولى </v>
      </c>
    </row>
    <row r="1506" spans="3:89" x14ac:dyDescent="0.25">
      <c r="C1506" s="17" t="s">
        <v>657</v>
      </c>
      <c r="D1506" s="17">
        <v>19418</v>
      </c>
      <c r="E1506" s="17">
        <v>11946</v>
      </c>
      <c r="F1506" s="3" t="s">
        <v>325</v>
      </c>
      <c r="G1506" s="3" t="s">
        <v>4973</v>
      </c>
      <c r="I1506" s="3">
        <v>3060</v>
      </c>
      <c r="AU1506" s="22">
        <f t="shared" si="267"/>
        <v>3060</v>
      </c>
      <c r="AV1506" s="3">
        <v>2731.4</v>
      </c>
      <c r="AW1506" s="3">
        <v>328.6</v>
      </c>
      <c r="CH1506" s="22">
        <f t="shared" si="268"/>
        <v>3060</v>
      </c>
      <c r="CI1506" s="3">
        <f t="shared" si="269"/>
        <v>0</v>
      </c>
      <c r="CJ1506" s="17">
        <f t="shared" si="270"/>
        <v>11946</v>
      </c>
      <c r="CK1506" s="3" t="str">
        <f t="shared" si="271"/>
        <v xml:space="preserve">برنامج دولى </v>
      </c>
    </row>
    <row r="1507" spans="3:89" x14ac:dyDescent="0.25">
      <c r="C1507" s="17" t="s">
        <v>657</v>
      </c>
      <c r="D1507" s="17">
        <v>19417</v>
      </c>
      <c r="E1507" s="17">
        <v>11947</v>
      </c>
      <c r="F1507" s="3" t="s">
        <v>325</v>
      </c>
      <c r="G1507" s="3" t="s">
        <v>4974</v>
      </c>
      <c r="I1507" s="3">
        <v>1000</v>
      </c>
      <c r="AU1507" s="22">
        <f t="shared" si="267"/>
        <v>1000</v>
      </c>
      <c r="AV1507" s="3">
        <v>893.35</v>
      </c>
      <c r="AW1507" s="3">
        <v>106.65</v>
      </c>
      <c r="CH1507" s="22">
        <f t="shared" si="268"/>
        <v>1000</v>
      </c>
      <c r="CI1507" s="3">
        <f t="shared" si="269"/>
        <v>0</v>
      </c>
      <c r="CJ1507" s="17">
        <f t="shared" si="270"/>
        <v>11947</v>
      </c>
      <c r="CK1507" s="3" t="str">
        <f t="shared" si="271"/>
        <v xml:space="preserve">برنامج دولى </v>
      </c>
    </row>
    <row r="1508" spans="3:89" x14ac:dyDescent="0.25">
      <c r="C1508" s="17" t="s">
        <v>657</v>
      </c>
      <c r="D1508" s="17">
        <v>19416</v>
      </c>
      <c r="E1508" s="17">
        <v>11948</v>
      </c>
      <c r="F1508" s="3" t="s">
        <v>325</v>
      </c>
      <c r="G1508" s="3" t="s">
        <v>4974</v>
      </c>
      <c r="I1508" s="3">
        <v>19000</v>
      </c>
      <c r="AU1508" s="22">
        <f t="shared" si="267"/>
        <v>19000</v>
      </c>
      <c r="AV1508" s="3">
        <v>16964.7</v>
      </c>
      <c r="AW1508" s="3">
        <v>2035.3</v>
      </c>
      <c r="CH1508" s="22">
        <f t="shared" si="268"/>
        <v>19000</v>
      </c>
      <c r="CI1508" s="3">
        <f t="shared" si="269"/>
        <v>0</v>
      </c>
      <c r="CJ1508" s="17">
        <f t="shared" si="270"/>
        <v>11948</v>
      </c>
      <c r="CK1508" s="3" t="str">
        <f t="shared" si="271"/>
        <v xml:space="preserve">برنامج دولى </v>
      </c>
    </row>
    <row r="1509" spans="3:89" x14ac:dyDescent="0.25">
      <c r="C1509" s="17" t="s">
        <v>657</v>
      </c>
      <c r="D1509" s="17">
        <v>19415</v>
      </c>
      <c r="E1509" s="17">
        <v>11949</v>
      </c>
      <c r="F1509" s="3" t="s">
        <v>325</v>
      </c>
      <c r="G1509" s="3" t="s">
        <v>4975</v>
      </c>
      <c r="I1509" s="3">
        <v>1172.5</v>
      </c>
      <c r="AU1509" s="22">
        <f t="shared" ref="AU1509:AU1572" si="272">SUM(I1509:AS1509)</f>
        <v>1172.5</v>
      </c>
      <c r="AV1509" s="3">
        <v>784.1</v>
      </c>
      <c r="AW1509" s="3">
        <v>105.9</v>
      </c>
      <c r="AX1509" s="3">
        <v>282.5</v>
      </c>
      <c r="CH1509" s="22">
        <f t="shared" ref="CH1509:CH1572" si="273">SUM(AV1509:CG1509)</f>
        <v>1172.5</v>
      </c>
      <c r="CI1509" s="3">
        <f t="shared" ref="CI1509:CI1572" si="274">+CH1509-AU1509</f>
        <v>0</v>
      </c>
      <c r="CJ1509" s="17">
        <f t="shared" ref="CJ1509:CJ1572" si="275">+E1509</f>
        <v>11949</v>
      </c>
      <c r="CK1509" s="3" t="str">
        <f t="shared" ref="CK1509:CK1572" si="276">+F1509</f>
        <v xml:space="preserve">برنامج دولى </v>
      </c>
    </row>
    <row r="1510" spans="3:89" x14ac:dyDescent="0.25">
      <c r="C1510" s="17" t="s">
        <v>657</v>
      </c>
      <c r="D1510" s="17">
        <v>19414</v>
      </c>
      <c r="E1510" s="17">
        <v>11950</v>
      </c>
      <c r="F1510" s="3" t="s">
        <v>325</v>
      </c>
      <c r="G1510" s="3" t="s">
        <v>4975</v>
      </c>
      <c r="I1510" s="3">
        <v>20569.240000000002</v>
      </c>
      <c r="AU1510" s="22">
        <f t="shared" si="272"/>
        <v>20569.240000000002</v>
      </c>
      <c r="AV1510" s="3">
        <v>17494.86</v>
      </c>
      <c r="AW1510" s="3">
        <v>2142.15</v>
      </c>
      <c r="AX1510" s="3">
        <v>932.23</v>
      </c>
      <c r="CH1510" s="22">
        <f t="shared" si="273"/>
        <v>20569.240000000002</v>
      </c>
      <c r="CI1510" s="3">
        <f t="shared" si="274"/>
        <v>0</v>
      </c>
      <c r="CJ1510" s="17">
        <f t="shared" si="275"/>
        <v>11950</v>
      </c>
      <c r="CK1510" s="3" t="str">
        <f t="shared" si="276"/>
        <v xml:space="preserve">برنامج دولى </v>
      </c>
    </row>
    <row r="1511" spans="3:89" x14ac:dyDescent="0.25">
      <c r="C1511" s="17" t="s">
        <v>657</v>
      </c>
      <c r="D1511" s="17">
        <v>19413</v>
      </c>
      <c r="E1511" s="17">
        <v>11951</v>
      </c>
      <c r="F1511" s="3" t="s">
        <v>325</v>
      </c>
      <c r="G1511" s="3" t="s">
        <v>4976</v>
      </c>
      <c r="I1511" s="3">
        <v>10000</v>
      </c>
      <c r="AU1511" s="22">
        <f t="shared" si="272"/>
        <v>10000</v>
      </c>
      <c r="AV1511" s="3">
        <v>8926.4</v>
      </c>
      <c r="AW1511" s="3">
        <v>1073.5999999999999</v>
      </c>
      <c r="CH1511" s="22">
        <f t="shared" si="273"/>
        <v>10000</v>
      </c>
      <c r="CI1511" s="3">
        <f t="shared" si="274"/>
        <v>0</v>
      </c>
      <c r="CJ1511" s="17">
        <f t="shared" si="275"/>
        <v>11951</v>
      </c>
      <c r="CK1511" s="3" t="str">
        <f t="shared" si="276"/>
        <v xml:space="preserve">برنامج دولى </v>
      </c>
    </row>
    <row r="1512" spans="3:89" x14ac:dyDescent="0.25">
      <c r="C1512" s="17" t="s">
        <v>657</v>
      </c>
      <c r="D1512" s="17">
        <v>19412</v>
      </c>
      <c r="E1512" s="17">
        <v>11952</v>
      </c>
      <c r="F1512" s="3" t="s">
        <v>325</v>
      </c>
      <c r="G1512" s="3" t="s">
        <v>4976</v>
      </c>
      <c r="I1512" s="3">
        <v>12500</v>
      </c>
      <c r="AU1512" s="22">
        <f t="shared" si="272"/>
        <v>12500</v>
      </c>
      <c r="AV1512" s="3">
        <v>11158</v>
      </c>
      <c r="AW1512" s="3">
        <v>1342</v>
      </c>
      <c r="CH1512" s="22">
        <f t="shared" si="273"/>
        <v>12500</v>
      </c>
      <c r="CI1512" s="3">
        <f t="shared" si="274"/>
        <v>0</v>
      </c>
      <c r="CJ1512" s="17">
        <f t="shared" si="275"/>
        <v>11952</v>
      </c>
      <c r="CK1512" s="3" t="str">
        <f t="shared" si="276"/>
        <v xml:space="preserve">برنامج دولى </v>
      </c>
    </row>
    <row r="1513" spans="3:89" x14ac:dyDescent="0.25">
      <c r="C1513" s="17" t="s">
        <v>657</v>
      </c>
      <c r="D1513" s="17">
        <v>19410</v>
      </c>
      <c r="E1513" s="17">
        <v>11953</v>
      </c>
      <c r="F1513" s="3" t="s">
        <v>325</v>
      </c>
      <c r="G1513" s="3" t="s">
        <v>4977</v>
      </c>
      <c r="I1513" s="3">
        <v>1649.62</v>
      </c>
      <c r="AU1513" s="22">
        <f t="shared" si="272"/>
        <v>1649.62</v>
      </c>
      <c r="AV1513" s="3">
        <v>1244.3900000000001</v>
      </c>
      <c r="AW1513" s="3">
        <v>160.19999999999999</v>
      </c>
      <c r="AX1513" s="3">
        <v>245.03</v>
      </c>
      <c r="CH1513" s="22">
        <f t="shared" si="273"/>
        <v>1649.6200000000001</v>
      </c>
      <c r="CI1513" s="3">
        <f t="shared" si="274"/>
        <v>0</v>
      </c>
      <c r="CJ1513" s="17">
        <f t="shared" si="275"/>
        <v>11953</v>
      </c>
      <c r="CK1513" s="3" t="str">
        <f t="shared" si="276"/>
        <v xml:space="preserve">برنامج دولى </v>
      </c>
    </row>
    <row r="1514" spans="3:89" x14ac:dyDescent="0.25">
      <c r="C1514" s="17" t="s">
        <v>657</v>
      </c>
      <c r="D1514" s="17">
        <v>19409</v>
      </c>
      <c r="E1514" s="17">
        <v>11954</v>
      </c>
      <c r="F1514" s="3" t="s">
        <v>325</v>
      </c>
      <c r="G1514" s="3" t="s">
        <v>4978</v>
      </c>
      <c r="I1514" s="3">
        <v>1963.94</v>
      </c>
      <c r="AU1514" s="22">
        <f t="shared" si="272"/>
        <v>1963.94</v>
      </c>
      <c r="AV1514" s="3">
        <v>1312.4</v>
      </c>
      <c r="AW1514" s="3">
        <v>178.35</v>
      </c>
      <c r="AX1514" s="3">
        <v>473.19</v>
      </c>
      <c r="CH1514" s="22">
        <f t="shared" si="273"/>
        <v>1963.94</v>
      </c>
      <c r="CI1514" s="3">
        <f t="shared" si="274"/>
        <v>0</v>
      </c>
      <c r="CJ1514" s="17">
        <f t="shared" si="275"/>
        <v>11954</v>
      </c>
      <c r="CK1514" s="3" t="str">
        <f t="shared" si="276"/>
        <v xml:space="preserve">برنامج دولى </v>
      </c>
    </row>
    <row r="1515" spans="3:89" x14ac:dyDescent="0.25">
      <c r="C1515" s="17" t="s">
        <v>657</v>
      </c>
      <c r="D1515" s="17">
        <v>19408</v>
      </c>
      <c r="E1515" s="17">
        <v>11955</v>
      </c>
      <c r="F1515" s="3" t="s">
        <v>325</v>
      </c>
      <c r="G1515" s="3" t="s">
        <v>4978</v>
      </c>
      <c r="I1515" s="3">
        <v>7269.5</v>
      </c>
      <c r="AU1515" s="22">
        <f t="shared" si="272"/>
        <v>7269.5</v>
      </c>
      <c r="AV1515" s="3">
        <v>4858.05</v>
      </c>
      <c r="AW1515" s="3">
        <v>659.95</v>
      </c>
      <c r="AX1515" s="3">
        <v>1751.5</v>
      </c>
      <c r="CH1515" s="22">
        <f t="shared" si="273"/>
        <v>7269.5</v>
      </c>
      <c r="CI1515" s="3">
        <f t="shared" si="274"/>
        <v>0</v>
      </c>
      <c r="CJ1515" s="17">
        <f t="shared" si="275"/>
        <v>11955</v>
      </c>
      <c r="CK1515" s="3" t="str">
        <f t="shared" si="276"/>
        <v xml:space="preserve">برنامج دولى </v>
      </c>
    </row>
    <row r="1516" spans="3:89" x14ac:dyDescent="0.25">
      <c r="C1516" s="17" t="s">
        <v>657</v>
      </c>
      <c r="D1516" s="17">
        <v>19407</v>
      </c>
      <c r="E1516" s="17">
        <v>11956</v>
      </c>
      <c r="F1516" s="3" t="s">
        <v>325</v>
      </c>
      <c r="G1516" s="3" t="s">
        <v>4979</v>
      </c>
      <c r="I1516" s="3">
        <v>4221</v>
      </c>
      <c r="AU1516" s="22">
        <f t="shared" si="272"/>
        <v>4221</v>
      </c>
      <c r="AV1516" s="3">
        <v>2821.9</v>
      </c>
      <c r="AW1516" s="3">
        <v>382.1</v>
      </c>
      <c r="AX1516" s="3">
        <v>1017</v>
      </c>
      <c r="CH1516" s="22">
        <f t="shared" si="273"/>
        <v>4221</v>
      </c>
      <c r="CI1516" s="3">
        <f t="shared" si="274"/>
        <v>0</v>
      </c>
      <c r="CJ1516" s="17">
        <f t="shared" si="275"/>
        <v>11956</v>
      </c>
      <c r="CK1516" s="3" t="str">
        <f t="shared" si="276"/>
        <v xml:space="preserve">برنامج دولى </v>
      </c>
    </row>
    <row r="1517" spans="3:89" x14ac:dyDescent="0.25">
      <c r="C1517" s="17" t="s">
        <v>657</v>
      </c>
      <c r="D1517" s="17">
        <v>19406</v>
      </c>
      <c r="E1517" s="17">
        <v>11957</v>
      </c>
      <c r="F1517" s="3" t="s">
        <v>325</v>
      </c>
      <c r="G1517" s="3" t="s">
        <v>4979</v>
      </c>
      <c r="I1517" s="3">
        <v>2931.24</v>
      </c>
      <c r="AU1517" s="22">
        <f t="shared" si="272"/>
        <v>2931.24</v>
      </c>
      <c r="AV1517" s="3">
        <v>1959</v>
      </c>
      <c r="AW1517" s="3">
        <v>266</v>
      </c>
      <c r="AX1517" s="3">
        <v>706.24</v>
      </c>
      <c r="CH1517" s="22">
        <f t="shared" si="273"/>
        <v>2931.24</v>
      </c>
      <c r="CI1517" s="3">
        <f t="shared" si="274"/>
        <v>0</v>
      </c>
      <c r="CJ1517" s="17">
        <f t="shared" si="275"/>
        <v>11957</v>
      </c>
      <c r="CK1517" s="3" t="str">
        <f t="shared" si="276"/>
        <v xml:space="preserve">برنامج دولى </v>
      </c>
    </row>
    <row r="1518" spans="3:89" x14ac:dyDescent="0.25">
      <c r="C1518" s="17" t="s">
        <v>657</v>
      </c>
      <c r="D1518" s="17">
        <v>19405</v>
      </c>
      <c r="E1518" s="17">
        <v>11958</v>
      </c>
      <c r="F1518" s="3" t="s">
        <v>325</v>
      </c>
      <c r="G1518" s="3" t="s">
        <v>3219</v>
      </c>
      <c r="I1518" s="3">
        <v>1172.5</v>
      </c>
      <c r="AU1518" s="22">
        <f t="shared" si="272"/>
        <v>1172.5</v>
      </c>
      <c r="AV1518" s="3">
        <v>784.1</v>
      </c>
      <c r="AW1518" s="3">
        <v>105.9</v>
      </c>
      <c r="AX1518" s="3">
        <v>282.5</v>
      </c>
      <c r="CH1518" s="22">
        <f t="shared" si="273"/>
        <v>1172.5</v>
      </c>
      <c r="CI1518" s="3">
        <f t="shared" si="274"/>
        <v>0</v>
      </c>
      <c r="CJ1518" s="17">
        <f t="shared" si="275"/>
        <v>11958</v>
      </c>
      <c r="CK1518" s="3" t="str">
        <f t="shared" si="276"/>
        <v xml:space="preserve">برنامج دولى </v>
      </c>
    </row>
    <row r="1519" spans="3:89" x14ac:dyDescent="0.25">
      <c r="C1519" s="17" t="s">
        <v>657</v>
      </c>
      <c r="D1519" s="17">
        <v>19404</v>
      </c>
      <c r="E1519" s="17">
        <v>11959</v>
      </c>
      <c r="F1519" s="3" t="s">
        <v>325</v>
      </c>
      <c r="G1519" s="3" t="s">
        <v>4980</v>
      </c>
      <c r="I1519" s="3">
        <v>410.38</v>
      </c>
      <c r="AU1519" s="22">
        <f t="shared" si="272"/>
        <v>410.38</v>
      </c>
      <c r="AV1519" s="3">
        <v>274.8</v>
      </c>
      <c r="AW1519" s="3">
        <v>36.700000000000003</v>
      </c>
      <c r="AX1519" s="3">
        <v>98.88</v>
      </c>
      <c r="CH1519" s="22">
        <f t="shared" si="273"/>
        <v>410.38</v>
      </c>
      <c r="CI1519" s="3">
        <f t="shared" si="274"/>
        <v>0</v>
      </c>
      <c r="CJ1519" s="17">
        <f t="shared" si="275"/>
        <v>11959</v>
      </c>
      <c r="CK1519" s="3" t="str">
        <f t="shared" si="276"/>
        <v xml:space="preserve">برنامج دولى </v>
      </c>
    </row>
    <row r="1520" spans="3:89" x14ac:dyDescent="0.25">
      <c r="C1520" s="17" t="s">
        <v>657</v>
      </c>
      <c r="D1520" s="17">
        <v>19401</v>
      </c>
      <c r="E1520" s="17">
        <v>11960</v>
      </c>
      <c r="F1520" s="3" t="s">
        <v>325</v>
      </c>
      <c r="G1520" s="3" t="s">
        <v>4981</v>
      </c>
      <c r="I1520" s="3">
        <v>938</v>
      </c>
      <c r="AU1520" s="22">
        <f t="shared" si="272"/>
        <v>938</v>
      </c>
      <c r="AV1520" s="3">
        <v>627.35</v>
      </c>
      <c r="AW1520" s="3">
        <v>84.65</v>
      </c>
      <c r="AX1520" s="3">
        <v>226</v>
      </c>
      <c r="CH1520" s="22">
        <f t="shared" si="273"/>
        <v>938</v>
      </c>
      <c r="CI1520" s="3">
        <f t="shared" si="274"/>
        <v>0</v>
      </c>
      <c r="CJ1520" s="17">
        <f t="shared" si="275"/>
        <v>11960</v>
      </c>
      <c r="CK1520" s="3" t="str">
        <f t="shared" si="276"/>
        <v xml:space="preserve">برنامج دولى </v>
      </c>
    </row>
    <row r="1521" spans="3:89" x14ac:dyDescent="0.25">
      <c r="C1521" s="17" t="s">
        <v>657</v>
      </c>
      <c r="D1521" s="17">
        <v>19400</v>
      </c>
      <c r="E1521" s="17">
        <v>11961</v>
      </c>
      <c r="F1521" s="3" t="s">
        <v>325</v>
      </c>
      <c r="G1521" s="3" t="s">
        <v>4981</v>
      </c>
      <c r="I1521" s="3">
        <v>1876</v>
      </c>
      <c r="AU1521" s="22">
        <f t="shared" si="272"/>
        <v>1876</v>
      </c>
      <c r="AV1521" s="3">
        <v>1254.7</v>
      </c>
      <c r="AW1521" s="3">
        <v>169.3</v>
      </c>
      <c r="AX1521" s="3">
        <v>452</v>
      </c>
      <c r="CH1521" s="22">
        <f t="shared" si="273"/>
        <v>1876</v>
      </c>
      <c r="CI1521" s="3">
        <f t="shared" si="274"/>
        <v>0</v>
      </c>
      <c r="CJ1521" s="17">
        <f t="shared" si="275"/>
        <v>11961</v>
      </c>
      <c r="CK1521" s="3" t="str">
        <f t="shared" si="276"/>
        <v xml:space="preserve">برنامج دولى </v>
      </c>
    </row>
    <row r="1522" spans="3:89" x14ac:dyDescent="0.25">
      <c r="C1522" s="17" t="s">
        <v>657</v>
      </c>
      <c r="D1522" s="17">
        <v>19399</v>
      </c>
      <c r="E1522" s="17">
        <v>11962</v>
      </c>
      <c r="F1522" s="3" t="s">
        <v>325</v>
      </c>
      <c r="G1522" s="3" t="s">
        <v>4982</v>
      </c>
      <c r="I1522" s="3">
        <v>1172.5</v>
      </c>
      <c r="AU1522" s="22">
        <f t="shared" si="272"/>
        <v>1172.5</v>
      </c>
      <c r="AV1522" s="3">
        <v>784.1</v>
      </c>
      <c r="AW1522" s="3">
        <v>105.9</v>
      </c>
      <c r="AX1522" s="3">
        <v>282.5</v>
      </c>
      <c r="CH1522" s="22">
        <f t="shared" si="273"/>
        <v>1172.5</v>
      </c>
      <c r="CI1522" s="3">
        <f t="shared" si="274"/>
        <v>0</v>
      </c>
      <c r="CJ1522" s="17">
        <f t="shared" si="275"/>
        <v>11962</v>
      </c>
      <c r="CK1522" s="3" t="str">
        <f t="shared" si="276"/>
        <v xml:space="preserve">برنامج دولى </v>
      </c>
    </row>
    <row r="1523" spans="3:89" x14ac:dyDescent="0.25">
      <c r="C1523" s="17" t="s">
        <v>657</v>
      </c>
      <c r="D1523" s="17">
        <v>19398</v>
      </c>
      <c r="E1523" s="17">
        <v>11963</v>
      </c>
      <c r="F1523" s="3" t="s">
        <v>325</v>
      </c>
      <c r="G1523" s="3" t="s">
        <v>4982</v>
      </c>
      <c r="I1523" s="3">
        <v>1876</v>
      </c>
      <c r="AU1523" s="22">
        <f t="shared" si="272"/>
        <v>1876</v>
      </c>
      <c r="AV1523" s="3">
        <v>1254.7</v>
      </c>
      <c r="AW1523" s="3">
        <v>169.3</v>
      </c>
      <c r="AX1523" s="3">
        <v>452</v>
      </c>
      <c r="CH1523" s="22">
        <f t="shared" si="273"/>
        <v>1876</v>
      </c>
      <c r="CI1523" s="3">
        <f t="shared" si="274"/>
        <v>0</v>
      </c>
      <c r="CJ1523" s="17">
        <f t="shared" si="275"/>
        <v>11963</v>
      </c>
      <c r="CK1523" s="3" t="str">
        <f t="shared" si="276"/>
        <v xml:space="preserve">برنامج دولى </v>
      </c>
    </row>
    <row r="1524" spans="3:89" x14ac:dyDescent="0.25">
      <c r="C1524" s="17" t="s">
        <v>657</v>
      </c>
      <c r="D1524" s="17">
        <v>19397</v>
      </c>
      <c r="E1524" s="17">
        <v>11964</v>
      </c>
      <c r="F1524" s="3" t="s">
        <v>325</v>
      </c>
      <c r="G1524" s="3" t="s">
        <v>4982</v>
      </c>
      <c r="I1524" s="3">
        <v>8031.62</v>
      </c>
      <c r="AU1524" s="22">
        <f t="shared" si="272"/>
        <v>8031.62</v>
      </c>
      <c r="AV1524" s="3">
        <v>5368.25</v>
      </c>
      <c r="AW1524" s="3">
        <v>728.25</v>
      </c>
      <c r="AX1524" s="3">
        <v>1935.12</v>
      </c>
      <c r="CH1524" s="22">
        <f t="shared" si="273"/>
        <v>8031.62</v>
      </c>
      <c r="CI1524" s="3">
        <f t="shared" si="274"/>
        <v>0</v>
      </c>
      <c r="CJ1524" s="17">
        <f t="shared" si="275"/>
        <v>11964</v>
      </c>
      <c r="CK1524" s="3" t="str">
        <f t="shared" si="276"/>
        <v xml:space="preserve">برنامج دولى </v>
      </c>
    </row>
    <row r="1525" spans="3:89" x14ac:dyDescent="0.25">
      <c r="C1525" s="17" t="s">
        <v>657</v>
      </c>
      <c r="D1525" s="17">
        <v>19396</v>
      </c>
      <c r="E1525" s="17">
        <v>11965</v>
      </c>
      <c r="F1525" s="3" t="s">
        <v>325</v>
      </c>
      <c r="G1525" s="3" t="s">
        <v>4982</v>
      </c>
      <c r="I1525" s="3">
        <v>5686.62</v>
      </c>
      <c r="AU1525" s="22">
        <f t="shared" si="272"/>
        <v>5686.62</v>
      </c>
      <c r="AV1525" s="3">
        <v>3800.15</v>
      </c>
      <c r="AW1525" s="3">
        <v>516.35</v>
      </c>
      <c r="AX1525" s="201">
        <v>1370.12</v>
      </c>
      <c r="CH1525" s="22">
        <f t="shared" si="273"/>
        <v>5686.62</v>
      </c>
      <c r="CI1525" s="3">
        <f t="shared" si="274"/>
        <v>0</v>
      </c>
      <c r="CJ1525" s="17">
        <f t="shared" si="275"/>
        <v>11965</v>
      </c>
      <c r="CK1525" s="3" t="str">
        <f t="shared" si="276"/>
        <v xml:space="preserve">برنامج دولى </v>
      </c>
    </row>
    <row r="1526" spans="3:89" x14ac:dyDescent="0.25">
      <c r="C1526" s="17" t="s">
        <v>574</v>
      </c>
      <c r="D1526" s="17">
        <v>18479</v>
      </c>
      <c r="E1526" s="17">
        <v>11966</v>
      </c>
      <c r="F1526" s="3" t="s">
        <v>325</v>
      </c>
      <c r="G1526" s="3" t="s">
        <v>582</v>
      </c>
      <c r="I1526" s="3">
        <v>211.05</v>
      </c>
      <c r="AU1526" s="22">
        <f t="shared" si="272"/>
        <v>211.05</v>
      </c>
      <c r="AV1526" s="3">
        <v>141.5</v>
      </c>
      <c r="AW1526" s="3">
        <v>18.7</v>
      </c>
      <c r="AX1526" s="3">
        <v>50.85</v>
      </c>
      <c r="CH1526" s="22">
        <f t="shared" si="273"/>
        <v>211.04999999999998</v>
      </c>
      <c r="CI1526" s="3">
        <f t="shared" si="274"/>
        <v>0</v>
      </c>
      <c r="CJ1526" s="17">
        <f t="shared" si="275"/>
        <v>11966</v>
      </c>
      <c r="CK1526" s="3" t="str">
        <f t="shared" si="276"/>
        <v xml:space="preserve">برنامج دولى </v>
      </c>
    </row>
    <row r="1527" spans="3:89" x14ac:dyDescent="0.25">
      <c r="C1527" s="17" t="s">
        <v>574</v>
      </c>
      <c r="D1527" s="17">
        <v>18478</v>
      </c>
      <c r="E1527" s="17">
        <v>11967</v>
      </c>
      <c r="F1527" s="3" t="s">
        <v>325</v>
      </c>
      <c r="G1527" s="3" t="s">
        <v>582</v>
      </c>
      <c r="I1527" s="3">
        <v>3095.39</v>
      </c>
      <c r="AU1527" s="22">
        <f t="shared" si="272"/>
        <v>3095.39</v>
      </c>
      <c r="AV1527" s="3">
        <v>2075</v>
      </c>
      <c r="AW1527" s="3">
        <v>274.60000000000002</v>
      </c>
      <c r="AX1527" s="3">
        <v>745.79</v>
      </c>
      <c r="CH1527" s="22">
        <f t="shared" si="273"/>
        <v>3095.39</v>
      </c>
      <c r="CI1527" s="3">
        <f t="shared" si="274"/>
        <v>0</v>
      </c>
      <c r="CJ1527" s="17">
        <f t="shared" si="275"/>
        <v>11967</v>
      </c>
      <c r="CK1527" s="3" t="str">
        <f t="shared" si="276"/>
        <v xml:space="preserve">برنامج دولى </v>
      </c>
    </row>
    <row r="1528" spans="3:89" x14ac:dyDescent="0.25">
      <c r="C1528" s="17" t="s">
        <v>574</v>
      </c>
      <c r="D1528" s="17">
        <v>18476</v>
      </c>
      <c r="E1528" s="17">
        <v>11968</v>
      </c>
      <c r="F1528" s="3" t="s">
        <v>325</v>
      </c>
      <c r="G1528" s="3" t="s">
        <v>582</v>
      </c>
      <c r="I1528" s="3">
        <v>18510</v>
      </c>
      <c r="AU1528" s="22">
        <f t="shared" si="272"/>
        <v>18510</v>
      </c>
      <c r="AV1528" s="3">
        <v>16527.75</v>
      </c>
      <c r="AW1528" s="3">
        <v>1982.25</v>
      </c>
      <c r="CH1528" s="22">
        <f t="shared" si="273"/>
        <v>18510</v>
      </c>
      <c r="CI1528" s="3">
        <f t="shared" si="274"/>
        <v>0</v>
      </c>
      <c r="CJ1528" s="17">
        <f t="shared" si="275"/>
        <v>11968</v>
      </c>
      <c r="CK1528" s="3" t="str">
        <f t="shared" si="276"/>
        <v xml:space="preserve">برنامج دولى </v>
      </c>
    </row>
    <row r="1529" spans="3:89" x14ac:dyDescent="0.25">
      <c r="C1529" s="17" t="s">
        <v>574</v>
      </c>
      <c r="D1529" s="17">
        <v>18464</v>
      </c>
      <c r="E1529" s="17">
        <v>11969</v>
      </c>
      <c r="F1529" s="3" t="s">
        <v>325</v>
      </c>
      <c r="G1529" s="3" t="s">
        <v>578</v>
      </c>
      <c r="I1529" s="3">
        <v>3095.4</v>
      </c>
      <c r="AU1529" s="22">
        <f t="shared" si="272"/>
        <v>3095.4</v>
      </c>
      <c r="AV1529" s="3">
        <v>2070.15</v>
      </c>
      <c r="AW1529" s="3">
        <v>279.45</v>
      </c>
      <c r="AX1529" s="3">
        <v>745.8</v>
      </c>
      <c r="CH1529" s="22">
        <f t="shared" si="273"/>
        <v>3095.3999999999996</v>
      </c>
      <c r="CI1529" s="3">
        <f t="shared" si="274"/>
        <v>0</v>
      </c>
      <c r="CJ1529" s="17">
        <f t="shared" si="275"/>
        <v>11969</v>
      </c>
      <c r="CK1529" s="3" t="str">
        <f t="shared" si="276"/>
        <v xml:space="preserve">برنامج دولى </v>
      </c>
    </row>
    <row r="1530" spans="3:89" x14ac:dyDescent="0.25">
      <c r="C1530" s="17" t="s">
        <v>574</v>
      </c>
      <c r="D1530" s="17">
        <v>18462</v>
      </c>
      <c r="E1530" s="17">
        <v>11970</v>
      </c>
      <c r="F1530" s="3" t="s">
        <v>325</v>
      </c>
      <c r="G1530" s="3" t="s">
        <v>578</v>
      </c>
      <c r="I1530" s="3">
        <v>35400</v>
      </c>
      <c r="AU1530" s="22">
        <f t="shared" si="272"/>
        <v>35400</v>
      </c>
      <c r="AV1530" s="3">
        <v>31650.25</v>
      </c>
      <c r="AW1530" s="3">
        <v>3749.75</v>
      </c>
      <c r="CH1530" s="22">
        <f t="shared" si="273"/>
        <v>35400</v>
      </c>
      <c r="CI1530" s="3">
        <f t="shared" si="274"/>
        <v>0</v>
      </c>
      <c r="CJ1530" s="17">
        <f t="shared" si="275"/>
        <v>11970</v>
      </c>
      <c r="CK1530" s="3" t="str">
        <f t="shared" si="276"/>
        <v xml:space="preserve">برنامج دولى </v>
      </c>
    </row>
    <row r="1531" spans="3:89" x14ac:dyDescent="0.25">
      <c r="C1531" s="17" t="s">
        <v>574</v>
      </c>
      <c r="D1531" s="17">
        <v>18463</v>
      </c>
      <c r="E1531" s="17">
        <v>11971</v>
      </c>
      <c r="F1531" s="3" t="s">
        <v>325</v>
      </c>
      <c r="G1531" s="3" t="s">
        <v>578</v>
      </c>
      <c r="I1531" s="3">
        <v>3300</v>
      </c>
      <c r="AU1531" s="22">
        <f t="shared" si="272"/>
        <v>3300</v>
      </c>
      <c r="AV1531" s="3">
        <v>2946</v>
      </c>
      <c r="AW1531" s="3">
        <v>354</v>
      </c>
      <c r="CH1531" s="22">
        <f t="shared" si="273"/>
        <v>3300</v>
      </c>
      <c r="CI1531" s="3">
        <f t="shared" si="274"/>
        <v>0</v>
      </c>
      <c r="CJ1531" s="17">
        <f t="shared" si="275"/>
        <v>11971</v>
      </c>
      <c r="CK1531" s="3" t="str">
        <f t="shared" si="276"/>
        <v xml:space="preserve">برنامج دولى </v>
      </c>
    </row>
    <row r="1532" spans="3:89" x14ac:dyDescent="0.25">
      <c r="C1532" s="17" t="s">
        <v>574</v>
      </c>
      <c r="D1532" s="17">
        <v>18517</v>
      </c>
      <c r="E1532" s="17">
        <v>11972</v>
      </c>
      <c r="F1532" s="3" t="s">
        <v>325</v>
      </c>
      <c r="G1532" s="3" t="s">
        <v>587</v>
      </c>
      <c r="I1532" s="3">
        <v>527.62</v>
      </c>
      <c r="AU1532" s="22">
        <f t="shared" si="272"/>
        <v>527.62</v>
      </c>
      <c r="AV1532" s="3">
        <v>353.2</v>
      </c>
      <c r="AW1532" s="3">
        <v>47.3</v>
      </c>
      <c r="AX1532" s="3">
        <v>127.12</v>
      </c>
      <c r="CH1532" s="22">
        <f t="shared" si="273"/>
        <v>527.62</v>
      </c>
      <c r="CI1532" s="3">
        <f t="shared" si="274"/>
        <v>0</v>
      </c>
      <c r="CJ1532" s="17">
        <f t="shared" si="275"/>
        <v>11972</v>
      </c>
      <c r="CK1532" s="3" t="str">
        <f t="shared" si="276"/>
        <v xml:space="preserve">برنامج دولى </v>
      </c>
    </row>
    <row r="1533" spans="3:89" x14ac:dyDescent="0.25">
      <c r="C1533" s="17" t="s">
        <v>574</v>
      </c>
      <c r="D1533" s="17">
        <v>18516</v>
      </c>
      <c r="E1533" s="17">
        <v>11973</v>
      </c>
      <c r="F1533" s="3" t="s">
        <v>325</v>
      </c>
      <c r="G1533" s="3" t="s">
        <v>4983</v>
      </c>
      <c r="I1533" s="3">
        <v>2110.5</v>
      </c>
      <c r="AU1533" s="22">
        <f t="shared" si="272"/>
        <v>2110.5</v>
      </c>
      <c r="AV1533" s="3">
        <v>1411.4</v>
      </c>
      <c r="AW1533" s="3">
        <v>190.6</v>
      </c>
      <c r="AX1533" s="3">
        <v>508.5</v>
      </c>
      <c r="CH1533" s="22">
        <f t="shared" si="273"/>
        <v>2110.5</v>
      </c>
      <c r="CI1533" s="3">
        <f t="shared" si="274"/>
        <v>0</v>
      </c>
      <c r="CJ1533" s="17">
        <f t="shared" si="275"/>
        <v>11973</v>
      </c>
      <c r="CK1533" s="3" t="str">
        <f t="shared" si="276"/>
        <v xml:space="preserve">برنامج دولى </v>
      </c>
    </row>
    <row r="1534" spans="3:89" x14ac:dyDescent="0.25">
      <c r="C1534" s="17" t="s">
        <v>574</v>
      </c>
      <c r="D1534" s="17">
        <v>18477</v>
      </c>
      <c r="E1534" s="17">
        <v>11974</v>
      </c>
      <c r="F1534" s="3" t="s">
        <v>325</v>
      </c>
      <c r="G1534" s="3" t="str">
        <f>+G1528</f>
        <v>عب تدريس مناطق حاره</v>
      </c>
      <c r="I1534" s="3">
        <v>1407.01</v>
      </c>
      <c r="AU1534" s="22">
        <f t="shared" si="272"/>
        <v>1407.01</v>
      </c>
      <c r="AV1534" s="3">
        <v>943.5</v>
      </c>
      <c r="AW1534" s="3">
        <v>124.5</v>
      </c>
      <c r="AX1534" s="3">
        <v>339.01</v>
      </c>
      <c r="CH1534" s="22">
        <f t="shared" si="273"/>
        <v>1407.01</v>
      </c>
      <c r="CI1534" s="3">
        <f t="shared" si="274"/>
        <v>0</v>
      </c>
      <c r="CJ1534" s="17">
        <f t="shared" si="275"/>
        <v>11974</v>
      </c>
      <c r="CK1534" s="3" t="str">
        <f t="shared" si="276"/>
        <v xml:space="preserve">برنامج دولى </v>
      </c>
    </row>
    <row r="1535" spans="3:89" x14ac:dyDescent="0.25">
      <c r="C1535" s="17" t="s">
        <v>574</v>
      </c>
      <c r="D1535" s="17">
        <v>18519</v>
      </c>
      <c r="E1535" s="17">
        <v>11975</v>
      </c>
      <c r="F1535" s="3" t="s">
        <v>325</v>
      </c>
      <c r="G1535" s="3" t="str">
        <f>+G1533</f>
        <v>عب تدريس جراحه  كبد ومراره</v>
      </c>
      <c r="I1535" s="3">
        <v>3967.4</v>
      </c>
      <c r="AU1535" s="22">
        <f t="shared" si="272"/>
        <v>3967.4</v>
      </c>
      <c r="AV1535" s="3">
        <v>2981.16</v>
      </c>
      <c r="AW1535" s="3">
        <v>384.55</v>
      </c>
      <c r="AX1535" s="3">
        <v>601.69000000000005</v>
      </c>
      <c r="CH1535" s="22">
        <f t="shared" si="273"/>
        <v>3967.4</v>
      </c>
      <c r="CI1535" s="3">
        <f t="shared" si="274"/>
        <v>0</v>
      </c>
      <c r="CJ1535" s="17">
        <f t="shared" si="275"/>
        <v>11975</v>
      </c>
      <c r="CK1535" s="3" t="str">
        <f t="shared" si="276"/>
        <v xml:space="preserve">برنامج دولى </v>
      </c>
    </row>
    <row r="1536" spans="3:89" x14ac:dyDescent="0.25">
      <c r="C1536" s="17" t="s">
        <v>574</v>
      </c>
      <c r="D1536" s="17">
        <v>18518</v>
      </c>
      <c r="E1536" s="17">
        <v>11976</v>
      </c>
      <c r="F1536" s="3" t="s">
        <v>325</v>
      </c>
      <c r="G1536" s="3" t="s">
        <v>4983</v>
      </c>
      <c r="I1536" s="3">
        <v>24300</v>
      </c>
      <c r="AU1536" s="22">
        <f t="shared" si="272"/>
        <v>24300</v>
      </c>
      <c r="AV1536" s="3">
        <v>21676.799999999999</v>
      </c>
      <c r="AW1536" s="3">
        <v>2623.2</v>
      </c>
      <c r="CH1536" s="22">
        <f t="shared" si="273"/>
        <v>24300</v>
      </c>
      <c r="CI1536" s="3">
        <f t="shared" si="274"/>
        <v>0</v>
      </c>
      <c r="CJ1536" s="17">
        <f t="shared" si="275"/>
        <v>11976</v>
      </c>
      <c r="CK1536" s="3" t="str">
        <f t="shared" si="276"/>
        <v xml:space="preserve">برنامج دولى </v>
      </c>
    </row>
    <row r="1537" spans="2:89" x14ac:dyDescent="0.25">
      <c r="C1537" s="17" t="s">
        <v>574</v>
      </c>
      <c r="D1537" s="17">
        <v>18521</v>
      </c>
      <c r="E1537" s="17">
        <v>11977</v>
      </c>
      <c r="F1537" s="3" t="s">
        <v>325</v>
      </c>
      <c r="G1537" s="3" t="str">
        <f>+G1532</f>
        <v>عب تدريس جراحه راس وعنق</v>
      </c>
      <c r="I1537" s="3">
        <v>2110.5</v>
      </c>
      <c r="AU1537" s="22">
        <f t="shared" si="272"/>
        <v>2110.5</v>
      </c>
      <c r="AV1537" s="3">
        <v>1411.4</v>
      </c>
      <c r="AW1537" s="3">
        <v>190.6</v>
      </c>
      <c r="AX1537" s="3">
        <v>508.5</v>
      </c>
      <c r="CH1537" s="22">
        <f t="shared" si="273"/>
        <v>2110.5</v>
      </c>
      <c r="CI1537" s="3">
        <f t="shared" si="274"/>
        <v>0</v>
      </c>
      <c r="CJ1537" s="17">
        <f t="shared" si="275"/>
        <v>11977</v>
      </c>
      <c r="CK1537" s="3" t="str">
        <f t="shared" si="276"/>
        <v xml:space="preserve">برنامج دولى </v>
      </c>
    </row>
    <row r="1538" spans="2:89" x14ac:dyDescent="0.25">
      <c r="C1538" s="17" t="s">
        <v>574</v>
      </c>
      <c r="D1538" s="17">
        <v>18515</v>
      </c>
      <c r="E1538" s="17">
        <v>11978</v>
      </c>
      <c r="F1538" s="3" t="s">
        <v>325</v>
      </c>
      <c r="G1538" s="3" t="str">
        <f>+G1537</f>
        <v>عب تدريس جراحه راس وعنق</v>
      </c>
      <c r="I1538" s="3">
        <v>1160.77</v>
      </c>
      <c r="AU1538" s="22">
        <f t="shared" si="272"/>
        <v>1160.77</v>
      </c>
      <c r="AV1538" s="3">
        <v>776.75</v>
      </c>
      <c r="AW1538" s="3">
        <v>104.35</v>
      </c>
      <c r="AX1538" s="201">
        <v>279.67</v>
      </c>
      <c r="CH1538" s="22">
        <f t="shared" si="273"/>
        <v>1160.77</v>
      </c>
      <c r="CI1538" s="3">
        <f t="shared" si="274"/>
        <v>0</v>
      </c>
      <c r="CJ1538" s="17">
        <f t="shared" si="275"/>
        <v>11978</v>
      </c>
      <c r="CK1538" s="3" t="str">
        <f t="shared" si="276"/>
        <v xml:space="preserve">برنامج دولى </v>
      </c>
    </row>
    <row r="1539" spans="2:89" x14ac:dyDescent="0.25">
      <c r="C1539" s="17" t="s">
        <v>574</v>
      </c>
      <c r="D1539" s="17">
        <v>18514</v>
      </c>
      <c r="E1539" s="17">
        <v>11979</v>
      </c>
      <c r="F1539" s="3" t="s">
        <v>325</v>
      </c>
      <c r="G1539" s="3" t="str">
        <f>+G1538</f>
        <v>عب تدريس جراحه راس وعنق</v>
      </c>
      <c r="I1539" s="3">
        <v>36900</v>
      </c>
      <c r="AU1539" s="22">
        <f t="shared" si="272"/>
        <v>36900</v>
      </c>
      <c r="AV1539" s="3">
        <v>33000.1</v>
      </c>
      <c r="AW1539" s="3">
        <v>3899.9</v>
      </c>
      <c r="CH1539" s="22">
        <f t="shared" si="273"/>
        <v>36900</v>
      </c>
      <c r="CI1539" s="3">
        <f t="shared" si="274"/>
        <v>0</v>
      </c>
      <c r="CJ1539" s="17">
        <f t="shared" si="275"/>
        <v>11979</v>
      </c>
      <c r="CK1539" s="3" t="str">
        <f t="shared" si="276"/>
        <v xml:space="preserve">برنامج دولى </v>
      </c>
    </row>
    <row r="1540" spans="2:89" x14ac:dyDescent="0.25">
      <c r="C1540" s="17" t="s">
        <v>635</v>
      </c>
      <c r="D1540" s="17">
        <v>19680</v>
      </c>
      <c r="E1540" s="17">
        <v>11980</v>
      </c>
      <c r="F1540" s="3" t="s">
        <v>122</v>
      </c>
      <c r="G1540" s="3" t="s">
        <v>720</v>
      </c>
      <c r="I1540" s="3">
        <v>1109.8699999999999</v>
      </c>
      <c r="AU1540" s="22">
        <f t="shared" si="272"/>
        <v>1109.8699999999999</v>
      </c>
      <c r="AV1540" s="3">
        <v>891.21</v>
      </c>
      <c r="AW1540" s="3">
        <v>130.03</v>
      </c>
      <c r="AX1540" s="3">
        <v>34.18</v>
      </c>
      <c r="AY1540" s="3">
        <v>54.45</v>
      </c>
      <c r="CH1540" s="10">
        <f t="shared" si="273"/>
        <v>1109.8700000000001</v>
      </c>
      <c r="CI1540" s="3">
        <f t="shared" si="274"/>
        <v>0</v>
      </c>
      <c r="CJ1540" s="17">
        <f t="shared" si="275"/>
        <v>11980</v>
      </c>
      <c r="CK1540" s="3" t="str">
        <f t="shared" si="276"/>
        <v>علاج تخصصى</v>
      </c>
    </row>
    <row r="1541" spans="2:89" x14ac:dyDescent="0.25">
      <c r="B1541" s="3"/>
      <c r="C1541" s="17" t="s">
        <v>635</v>
      </c>
      <c r="D1541" s="17">
        <v>19679</v>
      </c>
      <c r="E1541" s="17">
        <v>11981</v>
      </c>
      <c r="F1541" s="3" t="s">
        <v>122</v>
      </c>
      <c r="G1541" s="3" t="s">
        <v>720</v>
      </c>
      <c r="I1541" s="3">
        <v>141.87</v>
      </c>
      <c r="AU1541" s="22">
        <f t="shared" si="272"/>
        <v>141.87</v>
      </c>
      <c r="AV1541" s="3">
        <v>89.19</v>
      </c>
      <c r="AW1541" s="3">
        <v>12.45</v>
      </c>
      <c r="AX1541" s="3">
        <v>34.18</v>
      </c>
      <c r="AY1541" s="3">
        <v>6.05</v>
      </c>
      <c r="CH1541" s="10">
        <f t="shared" si="273"/>
        <v>141.87</v>
      </c>
      <c r="CI1541" s="3">
        <f t="shared" si="274"/>
        <v>0</v>
      </c>
      <c r="CJ1541" s="17">
        <f t="shared" si="275"/>
        <v>11981</v>
      </c>
      <c r="CK1541" s="3" t="str">
        <f t="shared" si="276"/>
        <v>علاج تخصصى</v>
      </c>
    </row>
    <row r="1542" spans="2:89" x14ac:dyDescent="0.25">
      <c r="C1542" s="17" t="s">
        <v>555</v>
      </c>
      <c r="D1542" s="17">
        <v>19242</v>
      </c>
      <c r="E1542" s="17">
        <v>11982</v>
      </c>
      <c r="F1542" s="3" t="s">
        <v>4984</v>
      </c>
      <c r="G1542" s="3" t="s">
        <v>4985</v>
      </c>
      <c r="I1542" s="3">
        <v>2524.44</v>
      </c>
      <c r="AU1542" s="22">
        <f t="shared" si="272"/>
        <v>2524.44</v>
      </c>
      <c r="AV1542" s="3">
        <v>1728.14</v>
      </c>
      <c r="AW1542" s="3">
        <v>238.3</v>
      </c>
      <c r="AX1542" s="3">
        <v>445.37</v>
      </c>
      <c r="AY1542" s="3">
        <v>112.63</v>
      </c>
      <c r="CH1542" s="22">
        <f t="shared" si="273"/>
        <v>2524.44</v>
      </c>
      <c r="CI1542" s="3">
        <f t="shared" si="274"/>
        <v>0</v>
      </c>
      <c r="CJ1542" s="17">
        <f t="shared" si="275"/>
        <v>11982</v>
      </c>
      <c r="CK1542" s="3" t="str">
        <f t="shared" si="276"/>
        <v xml:space="preserve">اختبار مواد </v>
      </c>
    </row>
    <row r="1543" spans="2:89" x14ac:dyDescent="0.25">
      <c r="C1543" s="17" t="s">
        <v>555</v>
      </c>
      <c r="D1543" s="17">
        <v>18240</v>
      </c>
      <c r="E1543" s="17">
        <v>11983</v>
      </c>
      <c r="F1543" s="3" t="s">
        <v>249</v>
      </c>
      <c r="G1543" s="3" t="s">
        <v>4986</v>
      </c>
      <c r="I1543" s="3">
        <v>3236.1</v>
      </c>
      <c r="AU1543" s="22">
        <f t="shared" si="272"/>
        <v>3236.1</v>
      </c>
      <c r="AV1543" s="3">
        <v>2165.6</v>
      </c>
      <c r="AW1543" s="3">
        <f>14.8+276</f>
        <v>290.8</v>
      </c>
      <c r="AX1543" s="3">
        <v>779.7</v>
      </c>
      <c r="CH1543" s="22">
        <f t="shared" si="273"/>
        <v>3236.1000000000004</v>
      </c>
      <c r="CI1543" s="3">
        <f t="shared" si="274"/>
        <v>0</v>
      </c>
      <c r="CJ1543" s="17">
        <f t="shared" si="275"/>
        <v>11983</v>
      </c>
      <c r="CK1543" s="3" t="str">
        <f t="shared" si="276"/>
        <v>خدمة عامة</v>
      </c>
    </row>
    <row r="1544" spans="2:89" x14ac:dyDescent="0.25">
      <c r="C1544" s="17" t="s">
        <v>555</v>
      </c>
      <c r="D1544" s="17">
        <v>18242</v>
      </c>
      <c r="E1544" s="17">
        <v>11984</v>
      </c>
      <c r="F1544" s="3" t="s">
        <v>249</v>
      </c>
      <c r="G1544" s="3" t="s">
        <v>4986</v>
      </c>
      <c r="I1544" s="3">
        <v>20073.2</v>
      </c>
      <c r="AU1544" s="22">
        <f t="shared" si="272"/>
        <v>20073.2</v>
      </c>
      <c r="AV1544" s="3">
        <v>12560.25</v>
      </c>
      <c r="AW1544" s="3">
        <v>1820.55</v>
      </c>
      <c r="AX1544" s="3">
        <v>4836.3999999999996</v>
      </c>
      <c r="AY1544" s="3">
        <v>856</v>
      </c>
      <c r="CH1544" s="22">
        <f t="shared" si="273"/>
        <v>20073.199999999997</v>
      </c>
      <c r="CI1544" s="3">
        <f t="shared" si="274"/>
        <v>0</v>
      </c>
      <c r="CJ1544" s="17">
        <f t="shared" si="275"/>
        <v>11984</v>
      </c>
      <c r="CK1544" s="3" t="str">
        <f t="shared" si="276"/>
        <v>خدمة عامة</v>
      </c>
    </row>
    <row r="1545" spans="2:89" x14ac:dyDescent="0.25">
      <c r="C1545" s="17" t="s">
        <v>555</v>
      </c>
      <c r="D1545" s="17">
        <v>18241</v>
      </c>
      <c r="E1545" s="17">
        <v>11985</v>
      </c>
      <c r="F1545" s="3" t="s">
        <v>249</v>
      </c>
      <c r="G1545" s="3" t="s">
        <v>4986</v>
      </c>
      <c r="I1545" s="3">
        <v>422.1</v>
      </c>
      <c r="AU1545" s="22">
        <f t="shared" si="272"/>
        <v>422.1</v>
      </c>
      <c r="AV1545" s="3">
        <v>264.60000000000002</v>
      </c>
      <c r="AW1545" s="3">
        <v>37.799999999999997</v>
      </c>
      <c r="AX1545" s="3">
        <v>101.7</v>
      </c>
      <c r="AY1545" s="3">
        <v>18</v>
      </c>
      <c r="CH1545" s="22">
        <f t="shared" si="273"/>
        <v>422.1</v>
      </c>
      <c r="CI1545" s="3">
        <f t="shared" si="274"/>
        <v>0</v>
      </c>
      <c r="CJ1545" s="17">
        <f t="shared" si="275"/>
        <v>11985</v>
      </c>
      <c r="CK1545" s="3" t="str">
        <f t="shared" si="276"/>
        <v>خدمة عامة</v>
      </c>
    </row>
    <row r="1546" spans="2:89" x14ac:dyDescent="0.25">
      <c r="B1546" s="3"/>
      <c r="C1546" s="17" t="s">
        <v>555</v>
      </c>
      <c r="D1546" s="17">
        <v>18243</v>
      </c>
      <c r="E1546" s="17">
        <v>11986</v>
      </c>
      <c r="F1546" s="3" t="s">
        <v>249</v>
      </c>
      <c r="G1546" s="3" t="s">
        <v>4986</v>
      </c>
      <c r="I1546" s="3">
        <v>422.1</v>
      </c>
      <c r="AU1546" s="22">
        <f t="shared" si="272"/>
        <v>422.1</v>
      </c>
      <c r="AV1546" s="3">
        <v>264.60000000000002</v>
      </c>
      <c r="AW1546" s="3">
        <v>37.799999999999997</v>
      </c>
      <c r="AX1546" s="3">
        <v>101.7</v>
      </c>
      <c r="AY1546" s="3">
        <v>18</v>
      </c>
      <c r="CH1546" s="22">
        <f t="shared" si="273"/>
        <v>422.1</v>
      </c>
      <c r="CI1546" s="3">
        <f t="shared" si="274"/>
        <v>0</v>
      </c>
      <c r="CJ1546" s="17">
        <f t="shared" si="275"/>
        <v>11986</v>
      </c>
      <c r="CK1546" s="3" t="str">
        <f t="shared" si="276"/>
        <v>خدمة عامة</v>
      </c>
    </row>
    <row r="1547" spans="2:89" x14ac:dyDescent="0.25">
      <c r="C1547" s="17" t="s">
        <v>503</v>
      </c>
      <c r="D1547" s="17">
        <v>18798</v>
      </c>
      <c r="E1547" s="17">
        <v>11987</v>
      </c>
      <c r="F1547" s="3" t="s">
        <v>249</v>
      </c>
      <c r="G1547" s="3" t="s">
        <v>4987</v>
      </c>
      <c r="I1547" s="3">
        <v>410.38</v>
      </c>
      <c r="AU1547" s="22">
        <f t="shared" si="272"/>
        <v>410.38</v>
      </c>
      <c r="AV1547" s="3">
        <v>257.3</v>
      </c>
      <c r="AW1547" s="3">
        <v>36.700000000000003</v>
      </c>
      <c r="AX1547" s="3">
        <v>98.88</v>
      </c>
      <c r="AY1547" s="3">
        <v>17.5</v>
      </c>
      <c r="CH1547" s="22">
        <f t="shared" si="273"/>
        <v>410.38</v>
      </c>
      <c r="CI1547" s="3">
        <f t="shared" si="274"/>
        <v>0</v>
      </c>
      <c r="CJ1547" s="17">
        <f t="shared" si="275"/>
        <v>11987</v>
      </c>
      <c r="CK1547" s="3" t="str">
        <f t="shared" si="276"/>
        <v>خدمة عامة</v>
      </c>
    </row>
    <row r="1548" spans="2:89" x14ac:dyDescent="0.25">
      <c r="C1548" s="17" t="s">
        <v>503</v>
      </c>
      <c r="D1548" s="17">
        <v>18799</v>
      </c>
      <c r="E1548" s="17">
        <v>11988</v>
      </c>
      <c r="F1548" s="3" t="s">
        <v>249</v>
      </c>
      <c r="G1548" s="3" t="s">
        <v>4987</v>
      </c>
      <c r="I1548" s="3">
        <v>527.64</v>
      </c>
      <c r="AU1548" s="22">
        <f t="shared" si="272"/>
        <v>527.64</v>
      </c>
      <c r="AV1548" s="3">
        <v>331.5</v>
      </c>
      <c r="AW1548" s="3">
        <v>46.5</v>
      </c>
      <c r="AX1548" s="3">
        <v>127.14</v>
      </c>
      <c r="AY1548" s="3">
        <v>22.5</v>
      </c>
      <c r="CH1548" s="22">
        <f t="shared" si="273"/>
        <v>527.64</v>
      </c>
      <c r="CI1548" s="3">
        <f t="shared" si="274"/>
        <v>0</v>
      </c>
      <c r="CJ1548" s="17">
        <f t="shared" si="275"/>
        <v>11988</v>
      </c>
      <c r="CK1548" s="3" t="str">
        <f t="shared" si="276"/>
        <v>خدمة عامة</v>
      </c>
    </row>
    <row r="1549" spans="2:89" x14ac:dyDescent="0.25">
      <c r="C1549" s="17" t="s">
        <v>503</v>
      </c>
      <c r="D1549" s="17">
        <v>18797</v>
      </c>
      <c r="E1549" s="17">
        <v>11989</v>
      </c>
      <c r="F1549" s="3" t="s">
        <v>249</v>
      </c>
      <c r="G1549" s="3" t="s">
        <v>4987</v>
      </c>
      <c r="I1549" s="3">
        <v>5106.82</v>
      </c>
      <c r="AU1549" s="22">
        <f t="shared" si="272"/>
        <v>5106.82</v>
      </c>
      <c r="AV1549" s="3">
        <v>3202.2</v>
      </c>
      <c r="AW1549" s="3">
        <v>456.34</v>
      </c>
      <c r="AX1549" s="3">
        <v>1230.5</v>
      </c>
      <c r="AY1549" s="3">
        <v>217.78</v>
      </c>
      <c r="CH1549" s="22">
        <f t="shared" si="273"/>
        <v>5106.82</v>
      </c>
      <c r="CI1549" s="3">
        <f t="shared" si="274"/>
        <v>0</v>
      </c>
      <c r="CJ1549" s="17">
        <f t="shared" si="275"/>
        <v>11989</v>
      </c>
      <c r="CK1549" s="3" t="str">
        <f t="shared" si="276"/>
        <v>خدمة عامة</v>
      </c>
    </row>
    <row r="1550" spans="2:89" x14ac:dyDescent="0.25">
      <c r="C1550" s="17" t="s">
        <v>555</v>
      </c>
      <c r="D1550" s="17">
        <v>19266</v>
      </c>
      <c r="E1550" s="17">
        <v>11990</v>
      </c>
      <c r="F1550" s="3" t="s">
        <v>249</v>
      </c>
      <c r="G1550" s="3" t="s">
        <v>4988</v>
      </c>
      <c r="I1550" s="3">
        <v>28304.15</v>
      </c>
      <c r="AU1550" s="22">
        <f t="shared" si="272"/>
        <v>28304.15</v>
      </c>
      <c r="AV1550" s="3">
        <v>21331.1</v>
      </c>
      <c r="AW1550" s="3">
        <v>153.5</v>
      </c>
      <c r="AX1550" s="3">
        <v>6819.55</v>
      </c>
      <c r="CH1550" s="22">
        <f t="shared" si="273"/>
        <v>28304.149999999998</v>
      </c>
      <c r="CI1550" s="3">
        <f t="shared" si="274"/>
        <v>0</v>
      </c>
      <c r="CJ1550" s="17">
        <f t="shared" si="275"/>
        <v>11990</v>
      </c>
      <c r="CK1550" s="3" t="str">
        <f t="shared" si="276"/>
        <v>خدمة عامة</v>
      </c>
    </row>
    <row r="1551" spans="2:89" x14ac:dyDescent="0.25">
      <c r="C1551" s="17" t="s">
        <v>555</v>
      </c>
      <c r="D1551" s="17">
        <v>19263</v>
      </c>
      <c r="E1551" s="17">
        <v>11991</v>
      </c>
      <c r="F1551" s="3" t="s">
        <v>249</v>
      </c>
      <c r="G1551" s="3" t="s">
        <v>4988</v>
      </c>
      <c r="I1551" s="3">
        <v>18704.13</v>
      </c>
      <c r="AU1551" s="22">
        <f t="shared" si="272"/>
        <v>18704.13</v>
      </c>
      <c r="AV1551" s="3">
        <v>14624.56</v>
      </c>
      <c r="AW1551" s="3">
        <v>1921.65</v>
      </c>
      <c r="AX1551" s="3">
        <v>1261.22</v>
      </c>
      <c r="AY1551" s="3">
        <v>896.7</v>
      </c>
      <c r="CH1551" s="22">
        <f t="shared" si="273"/>
        <v>18704.13</v>
      </c>
      <c r="CI1551" s="3">
        <f t="shared" si="274"/>
        <v>0</v>
      </c>
      <c r="CJ1551" s="17">
        <f t="shared" si="275"/>
        <v>11991</v>
      </c>
      <c r="CK1551" s="3" t="str">
        <f t="shared" si="276"/>
        <v>خدمة عامة</v>
      </c>
    </row>
    <row r="1552" spans="2:89" x14ac:dyDescent="0.25">
      <c r="D1552" s="17">
        <v>19265</v>
      </c>
      <c r="E1552" s="17">
        <v>11992</v>
      </c>
      <c r="F1552" s="3" t="s">
        <v>249</v>
      </c>
      <c r="G1552" s="3" t="s">
        <v>4988</v>
      </c>
      <c r="I1552" s="3">
        <v>9562</v>
      </c>
      <c r="AU1552" s="22">
        <f t="shared" si="272"/>
        <v>9562</v>
      </c>
      <c r="AV1552" s="3">
        <v>7854.95</v>
      </c>
      <c r="AW1552" s="3">
        <v>1009.85</v>
      </c>
      <c r="AX1552" s="3">
        <v>226</v>
      </c>
      <c r="AY1552" s="3">
        <v>471.2</v>
      </c>
      <c r="CH1552" s="22">
        <f t="shared" si="273"/>
        <v>9562</v>
      </c>
      <c r="CI1552" s="3">
        <f t="shared" si="274"/>
        <v>0</v>
      </c>
      <c r="CJ1552" s="17">
        <f t="shared" si="275"/>
        <v>11992</v>
      </c>
      <c r="CK1552" s="3" t="str">
        <f t="shared" si="276"/>
        <v>خدمة عامة</v>
      </c>
    </row>
    <row r="1553" spans="3:89" x14ac:dyDescent="0.25">
      <c r="C1553" s="17" t="s">
        <v>555</v>
      </c>
      <c r="D1553" s="17">
        <v>19264</v>
      </c>
      <c r="E1553" s="17">
        <v>11993</v>
      </c>
      <c r="F1553" s="3" t="s">
        <v>249</v>
      </c>
      <c r="G1553" s="3" t="s">
        <v>4988</v>
      </c>
      <c r="I1553" s="3">
        <v>2950.01</v>
      </c>
      <c r="AU1553" s="22">
        <f t="shared" si="272"/>
        <v>2950.01</v>
      </c>
      <c r="AV1553" s="3">
        <v>1846.54</v>
      </c>
      <c r="AW1553" s="3">
        <v>266.89999999999998</v>
      </c>
      <c r="AX1553" s="3">
        <v>710.77</v>
      </c>
      <c r="AY1553" s="3">
        <v>125.8</v>
      </c>
      <c r="CH1553" s="22">
        <f t="shared" si="273"/>
        <v>2950.01</v>
      </c>
      <c r="CI1553" s="3">
        <f t="shared" si="274"/>
        <v>0</v>
      </c>
      <c r="CJ1553" s="17">
        <f t="shared" si="275"/>
        <v>11993</v>
      </c>
      <c r="CK1553" s="3" t="str">
        <f t="shared" si="276"/>
        <v>خدمة عامة</v>
      </c>
    </row>
    <row r="1554" spans="3:89" x14ac:dyDescent="0.25">
      <c r="C1554" s="17" t="s">
        <v>555</v>
      </c>
      <c r="D1554" s="17">
        <v>19271</v>
      </c>
      <c r="E1554" s="17">
        <v>11994</v>
      </c>
      <c r="F1554" s="3" t="s">
        <v>249</v>
      </c>
      <c r="G1554" s="3" t="s">
        <v>4989</v>
      </c>
      <c r="I1554" s="3">
        <v>10552.5</v>
      </c>
      <c r="AU1554" s="22">
        <f t="shared" si="272"/>
        <v>10552.5</v>
      </c>
      <c r="AV1554" s="3">
        <v>6601.75</v>
      </c>
      <c r="AW1554" s="3">
        <v>958.25</v>
      </c>
      <c r="AX1554" s="3">
        <v>2542.5</v>
      </c>
      <c r="AY1554" s="3">
        <v>450</v>
      </c>
      <c r="CH1554" s="22">
        <f t="shared" si="273"/>
        <v>10552.5</v>
      </c>
      <c r="CI1554" s="3">
        <f t="shared" si="274"/>
        <v>0</v>
      </c>
      <c r="CJ1554" s="17">
        <f t="shared" si="275"/>
        <v>11994</v>
      </c>
      <c r="CK1554" s="3" t="str">
        <f t="shared" si="276"/>
        <v>خدمة عامة</v>
      </c>
    </row>
    <row r="1555" spans="3:89" x14ac:dyDescent="0.25">
      <c r="C1555" s="17" t="s">
        <v>555</v>
      </c>
      <c r="D1555" s="17">
        <v>19268</v>
      </c>
      <c r="E1555" s="17">
        <v>11995</v>
      </c>
      <c r="F1555" s="3" t="s">
        <v>249</v>
      </c>
      <c r="G1555" s="3" t="s">
        <v>4989</v>
      </c>
      <c r="I1555" s="3">
        <v>2550</v>
      </c>
      <c r="AU1555" s="22">
        <f t="shared" si="272"/>
        <v>2550</v>
      </c>
      <c r="AV1555" s="3">
        <v>2148.75</v>
      </c>
      <c r="AW1555" s="3">
        <v>273.75</v>
      </c>
      <c r="AY1555" s="3">
        <v>127.5</v>
      </c>
      <c r="CH1555" s="22">
        <f t="shared" si="273"/>
        <v>2550</v>
      </c>
      <c r="CI1555" s="3">
        <f t="shared" si="274"/>
        <v>0</v>
      </c>
      <c r="CJ1555" s="17">
        <f t="shared" si="275"/>
        <v>11995</v>
      </c>
      <c r="CK1555" s="3" t="str">
        <f t="shared" si="276"/>
        <v>خدمة عامة</v>
      </c>
    </row>
    <row r="1556" spans="3:89" x14ac:dyDescent="0.25">
      <c r="C1556" s="17" t="s">
        <v>555</v>
      </c>
      <c r="D1556" s="17">
        <v>19269</v>
      </c>
      <c r="E1556" s="17">
        <v>11996</v>
      </c>
      <c r="F1556" s="3" t="s">
        <v>249</v>
      </c>
      <c r="G1556" s="3" t="s">
        <v>4989</v>
      </c>
      <c r="I1556" s="3">
        <v>6155.63</v>
      </c>
      <c r="AU1556" s="22">
        <f t="shared" si="272"/>
        <v>6155.63</v>
      </c>
      <c r="AV1556" s="3">
        <v>3850.7</v>
      </c>
      <c r="AW1556" s="3">
        <v>559.29999999999995</v>
      </c>
      <c r="AX1556" s="3">
        <v>1483.13</v>
      </c>
      <c r="AY1556" s="3">
        <v>262.5</v>
      </c>
      <c r="CH1556" s="22">
        <f t="shared" si="273"/>
        <v>6155.63</v>
      </c>
      <c r="CI1556" s="3">
        <f t="shared" si="274"/>
        <v>0</v>
      </c>
      <c r="CJ1556" s="17">
        <f t="shared" si="275"/>
        <v>11996</v>
      </c>
      <c r="CK1556" s="3" t="str">
        <f t="shared" si="276"/>
        <v>خدمة عامة</v>
      </c>
    </row>
    <row r="1557" spans="3:89" x14ac:dyDescent="0.25">
      <c r="C1557" s="17" t="s">
        <v>555</v>
      </c>
      <c r="D1557" s="17">
        <v>19270</v>
      </c>
      <c r="E1557" s="17">
        <v>11997</v>
      </c>
      <c r="F1557" s="3" t="s">
        <v>249</v>
      </c>
      <c r="G1557" s="3" t="s">
        <v>4989</v>
      </c>
      <c r="I1557" s="3">
        <v>3165.75</v>
      </c>
      <c r="AU1557" s="22">
        <f t="shared" si="272"/>
        <v>3165.75</v>
      </c>
      <c r="AV1557" s="3">
        <v>1980.35</v>
      </c>
      <c r="AW1557" s="3">
        <v>287.64999999999998</v>
      </c>
      <c r="AX1557" s="3">
        <v>762.75</v>
      </c>
      <c r="AY1557" s="3">
        <v>135</v>
      </c>
      <c r="CH1557" s="22">
        <f t="shared" si="273"/>
        <v>3165.75</v>
      </c>
      <c r="CI1557" s="3">
        <f t="shared" si="274"/>
        <v>0</v>
      </c>
      <c r="CJ1557" s="17">
        <f t="shared" si="275"/>
        <v>11997</v>
      </c>
      <c r="CK1557" s="3" t="str">
        <f t="shared" si="276"/>
        <v>خدمة عامة</v>
      </c>
    </row>
    <row r="1558" spans="3:89" x14ac:dyDescent="0.25">
      <c r="C1558" s="17" t="s">
        <v>555</v>
      </c>
      <c r="D1558" s="17">
        <v>19273</v>
      </c>
      <c r="E1558" s="17">
        <v>11998</v>
      </c>
      <c r="F1558" s="3" t="s">
        <v>249</v>
      </c>
      <c r="G1558" s="3" t="s">
        <v>4990</v>
      </c>
      <c r="I1558" s="3">
        <v>56162.97</v>
      </c>
      <c r="AU1558" s="22">
        <f t="shared" si="272"/>
        <v>56162.97</v>
      </c>
      <c r="AV1558" s="3">
        <v>36166.99</v>
      </c>
      <c r="AW1558" s="3">
        <v>5180.25</v>
      </c>
      <c r="AX1558" s="3">
        <v>12385.73</v>
      </c>
      <c r="AY1558" s="3">
        <v>2430</v>
      </c>
      <c r="CH1558" s="22">
        <f t="shared" si="273"/>
        <v>56162.97</v>
      </c>
      <c r="CI1558" s="3">
        <f t="shared" si="274"/>
        <v>0</v>
      </c>
      <c r="CJ1558" s="17">
        <f t="shared" si="275"/>
        <v>11998</v>
      </c>
      <c r="CK1558" s="3" t="str">
        <f t="shared" si="276"/>
        <v>خدمة عامة</v>
      </c>
    </row>
    <row r="1559" spans="3:89" x14ac:dyDescent="0.25">
      <c r="C1559" s="17" t="s">
        <v>555</v>
      </c>
      <c r="D1559" s="17">
        <v>19272</v>
      </c>
      <c r="E1559" s="17">
        <v>11999</v>
      </c>
      <c r="F1559" s="3" t="s">
        <v>249</v>
      </c>
      <c r="G1559" s="3" t="s">
        <v>4990</v>
      </c>
      <c r="I1559" s="3">
        <v>2110.5</v>
      </c>
      <c r="AU1559" s="22">
        <f t="shared" si="272"/>
        <v>2110.5</v>
      </c>
      <c r="AV1559" s="3">
        <v>1320.35</v>
      </c>
      <c r="AW1559" s="3">
        <v>191.65</v>
      </c>
      <c r="AX1559" s="3">
        <v>508.5</v>
      </c>
      <c r="AY1559" s="3">
        <v>90</v>
      </c>
      <c r="CH1559" s="22">
        <f t="shared" si="273"/>
        <v>2110.5</v>
      </c>
      <c r="CI1559" s="3">
        <f t="shared" si="274"/>
        <v>0</v>
      </c>
      <c r="CJ1559" s="17">
        <f t="shared" si="275"/>
        <v>11999</v>
      </c>
      <c r="CK1559" s="3" t="str">
        <f t="shared" si="276"/>
        <v>خدمة عامة</v>
      </c>
    </row>
    <row r="1560" spans="3:89" x14ac:dyDescent="0.25">
      <c r="C1560" s="17" t="s">
        <v>555</v>
      </c>
      <c r="D1560" s="17">
        <v>19274</v>
      </c>
      <c r="E1560" s="17">
        <v>12000</v>
      </c>
      <c r="F1560" s="3" t="s">
        <v>249</v>
      </c>
      <c r="G1560" s="3" t="s">
        <v>4990</v>
      </c>
      <c r="I1560" s="3">
        <v>176079.26</v>
      </c>
      <c r="AU1560" s="22">
        <f t="shared" si="272"/>
        <v>176079.26</v>
      </c>
      <c r="AV1560" s="3">
        <v>120735.83</v>
      </c>
      <c r="AW1560" s="3">
        <v>16806.28</v>
      </c>
      <c r="AX1560" s="3">
        <v>30669.56</v>
      </c>
      <c r="AY1560" s="3">
        <v>7867.59</v>
      </c>
      <c r="CH1560" s="22">
        <f t="shared" si="273"/>
        <v>176079.25999999998</v>
      </c>
      <c r="CI1560" s="3">
        <f t="shared" si="274"/>
        <v>0</v>
      </c>
      <c r="CJ1560" s="17">
        <f t="shared" si="275"/>
        <v>12000</v>
      </c>
      <c r="CK1560" s="3" t="str">
        <f t="shared" si="276"/>
        <v>خدمة عامة</v>
      </c>
    </row>
    <row r="1561" spans="3:89" x14ac:dyDescent="0.25">
      <c r="C1561" s="17" t="s">
        <v>555</v>
      </c>
      <c r="D1561" s="17">
        <v>19224</v>
      </c>
      <c r="E1561" s="17">
        <v>12001</v>
      </c>
      <c r="F1561" s="3" t="s">
        <v>249</v>
      </c>
      <c r="G1561" s="3" t="s">
        <v>4991</v>
      </c>
      <c r="I1561" s="3">
        <v>106003.71</v>
      </c>
      <c r="AU1561" s="22">
        <f t="shared" si="272"/>
        <v>106003.71</v>
      </c>
      <c r="AV1561" s="3">
        <v>75805.98</v>
      </c>
      <c r="AW1561" s="3">
        <v>10340.549999999999</v>
      </c>
      <c r="AX1561" s="3">
        <v>15015.43</v>
      </c>
      <c r="AY1561" s="3">
        <v>4841.75</v>
      </c>
      <c r="CH1561" s="22">
        <f t="shared" si="273"/>
        <v>106003.70999999999</v>
      </c>
      <c r="CI1561" s="3">
        <f t="shared" si="274"/>
        <v>0</v>
      </c>
      <c r="CJ1561" s="17">
        <f t="shared" si="275"/>
        <v>12001</v>
      </c>
      <c r="CK1561" s="3" t="str">
        <f t="shared" si="276"/>
        <v>خدمة عامة</v>
      </c>
    </row>
    <row r="1562" spans="3:89" x14ac:dyDescent="0.25">
      <c r="C1562" s="17" t="s">
        <v>555</v>
      </c>
      <c r="D1562" s="17">
        <v>19227</v>
      </c>
      <c r="E1562" s="17">
        <v>12002</v>
      </c>
      <c r="F1562" s="3" t="s">
        <v>249</v>
      </c>
      <c r="G1562" s="3" t="s">
        <v>4991</v>
      </c>
      <c r="I1562" s="3">
        <v>9360</v>
      </c>
      <c r="AU1562" s="22">
        <f t="shared" si="272"/>
        <v>9360</v>
      </c>
      <c r="AV1562" s="3">
        <v>7887.65</v>
      </c>
      <c r="AW1562" s="3">
        <v>1004.35</v>
      </c>
      <c r="AY1562" s="3">
        <v>468</v>
      </c>
      <c r="CH1562" s="22">
        <f t="shared" si="273"/>
        <v>9360</v>
      </c>
      <c r="CI1562" s="3">
        <f t="shared" si="274"/>
        <v>0</v>
      </c>
      <c r="CJ1562" s="17">
        <f t="shared" si="275"/>
        <v>12002</v>
      </c>
      <c r="CK1562" s="3" t="str">
        <f t="shared" si="276"/>
        <v>خدمة عامة</v>
      </c>
    </row>
    <row r="1563" spans="3:89" x14ac:dyDescent="0.25">
      <c r="C1563" s="17" t="s">
        <v>555</v>
      </c>
      <c r="D1563" s="17">
        <v>19228</v>
      </c>
      <c r="E1563" s="17">
        <v>12003</v>
      </c>
      <c r="F1563" s="3" t="s">
        <v>249</v>
      </c>
      <c r="G1563" s="3" t="s">
        <v>4991</v>
      </c>
      <c r="I1563" s="3">
        <v>3746.13</v>
      </c>
      <c r="AU1563" s="22">
        <f t="shared" si="272"/>
        <v>3746.13</v>
      </c>
      <c r="AV1563" s="3">
        <v>2345.4499999999998</v>
      </c>
      <c r="AW1563" s="3">
        <v>338.35</v>
      </c>
      <c r="AX1563" s="3">
        <v>902.58</v>
      </c>
      <c r="AY1563" s="3">
        <v>159.75</v>
      </c>
      <c r="CH1563" s="22">
        <f t="shared" si="273"/>
        <v>3746.1299999999997</v>
      </c>
      <c r="CI1563" s="3">
        <f t="shared" si="274"/>
        <v>0</v>
      </c>
      <c r="CJ1563" s="17">
        <f t="shared" si="275"/>
        <v>12003</v>
      </c>
      <c r="CK1563" s="3" t="str">
        <f t="shared" si="276"/>
        <v>خدمة عامة</v>
      </c>
    </row>
    <row r="1564" spans="3:89" x14ac:dyDescent="0.25">
      <c r="C1564" s="17" t="s">
        <v>555</v>
      </c>
      <c r="D1564" s="17">
        <v>19226</v>
      </c>
      <c r="E1564" s="17">
        <v>12004</v>
      </c>
      <c r="F1564" s="3" t="s">
        <v>249</v>
      </c>
      <c r="G1564" s="3" t="s">
        <v>4991</v>
      </c>
      <c r="I1564" s="3">
        <v>31399.55</v>
      </c>
      <c r="AU1564" s="22">
        <f t="shared" si="272"/>
        <v>31399.55</v>
      </c>
      <c r="AV1564" s="3">
        <v>23664.75</v>
      </c>
      <c r="AW1564" s="3">
        <v>169.45</v>
      </c>
      <c r="AX1564" s="3">
        <v>7565.35</v>
      </c>
      <c r="CH1564" s="22">
        <f t="shared" si="273"/>
        <v>31399.550000000003</v>
      </c>
      <c r="CI1564" s="3">
        <f t="shared" si="274"/>
        <v>0</v>
      </c>
      <c r="CJ1564" s="17">
        <f t="shared" si="275"/>
        <v>12004</v>
      </c>
      <c r="CK1564" s="3" t="str">
        <f t="shared" si="276"/>
        <v>خدمة عامة</v>
      </c>
    </row>
    <row r="1565" spans="3:89" x14ac:dyDescent="0.25">
      <c r="C1565" s="17" t="s">
        <v>555</v>
      </c>
      <c r="D1565" s="17">
        <v>19223</v>
      </c>
      <c r="E1565" s="17">
        <v>12005</v>
      </c>
      <c r="F1565" s="3" t="s">
        <v>249</v>
      </c>
      <c r="G1565" s="3" t="s">
        <v>4991</v>
      </c>
      <c r="I1565" s="3">
        <v>53498.07</v>
      </c>
      <c r="AU1565" s="22">
        <f t="shared" si="272"/>
        <v>53498.07</v>
      </c>
      <c r="AV1565" s="3">
        <v>36378.31</v>
      </c>
      <c r="AW1565" s="3">
        <v>5080.6000000000004</v>
      </c>
      <c r="AX1565" s="3">
        <v>9659.16</v>
      </c>
      <c r="AY1565" s="3">
        <v>2380</v>
      </c>
      <c r="CH1565" s="22">
        <f t="shared" si="273"/>
        <v>53498.069999999992</v>
      </c>
      <c r="CI1565" s="3">
        <f t="shared" si="274"/>
        <v>0</v>
      </c>
      <c r="CJ1565" s="17">
        <f t="shared" si="275"/>
        <v>12005</v>
      </c>
      <c r="CK1565" s="3" t="str">
        <f t="shared" si="276"/>
        <v>خدمة عامة</v>
      </c>
    </row>
    <row r="1566" spans="3:89" x14ac:dyDescent="0.25">
      <c r="C1566" s="17" t="s">
        <v>555</v>
      </c>
      <c r="D1566" s="17">
        <v>19225</v>
      </c>
      <c r="E1566" s="17">
        <v>12006</v>
      </c>
      <c r="F1566" s="3" t="s">
        <v>249</v>
      </c>
      <c r="G1566" s="3" t="s">
        <v>4991</v>
      </c>
      <c r="I1566" s="3">
        <v>2345</v>
      </c>
      <c r="AU1566" s="22">
        <f t="shared" si="272"/>
        <v>2345</v>
      </c>
      <c r="AV1566" s="3">
        <v>1468.2</v>
      </c>
      <c r="AW1566" s="3">
        <v>211.8</v>
      </c>
      <c r="AX1566" s="3">
        <v>565</v>
      </c>
      <c r="AY1566" s="3">
        <v>100</v>
      </c>
      <c r="CH1566" s="22">
        <f t="shared" si="273"/>
        <v>2345</v>
      </c>
      <c r="CI1566" s="3">
        <f t="shared" si="274"/>
        <v>0</v>
      </c>
      <c r="CJ1566" s="17">
        <f t="shared" si="275"/>
        <v>12006</v>
      </c>
      <c r="CK1566" s="3" t="str">
        <f t="shared" si="276"/>
        <v>خدمة عامة</v>
      </c>
    </row>
    <row r="1567" spans="3:89" x14ac:dyDescent="0.25">
      <c r="C1567" s="17" t="s">
        <v>555</v>
      </c>
      <c r="D1567" s="17">
        <v>19232</v>
      </c>
      <c r="E1567" s="17">
        <v>12007</v>
      </c>
      <c r="F1567" s="3" t="s">
        <v>249</v>
      </c>
      <c r="G1567" s="3" t="s">
        <v>4992</v>
      </c>
      <c r="I1567" s="3">
        <v>102564.76</v>
      </c>
      <c r="AU1567" s="22">
        <f t="shared" si="272"/>
        <v>102564.76</v>
      </c>
      <c r="AV1567" s="3">
        <v>75759.210000000006</v>
      </c>
      <c r="AW1567" s="3">
        <v>10190.799999999999</v>
      </c>
      <c r="AX1567" s="3">
        <v>11848.25</v>
      </c>
      <c r="AY1567" s="3">
        <v>4766.5</v>
      </c>
      <c r="CH1567" s="22">
        <f t="shared" si="273"/>
        <v>102564.76000000001</v>
      </c>
      <c r="CI1567" s="3">
        <f t="shared" si="274"/>
        <v>0</v>
      </c>
      <c r="CJ1567" s="17">
        <f t="shared" si="275"/>
        <v>12007</v>
      </c>
      <c r="CK1567" s="3" t="str">
        <f t="shared" si="276"/>
        <v>خدمة عامة</v>
      </c>
    </row>
    <row r="1568" spans="3:89" x14ac:dyDescent="0.25">
      <c r="C1568" s="17" t="s">
        <v>555</v>
      </c>
      <c r="D1568" s="17">
        <v>19233</v>
      </c>
      <c r="E1568" s="17">
        <v>12008</v>
      </c>
      <c r="F1568" s="3" t="s">
        <v>249</v>
      </c>
      <c r="G1568" s="3" t="s">
        <v>4992</v>
      </c>
      <c r="I1568" s="3">
        <v>36441.300000000003</v>
      </c>
      <c r="AU1568" s="22">
        <f t="shared" si="272"/>
        <v>36441.300000000003</v>
      </c>
      <c r="AV1568" s="3">
        <v>27464.3</v>
      </c>
      <c r="AW1568" s="3">
        <v>196.9</v>
      </c>
      <c r="AX1568" s="3">
        <v>8780.1</v>
      </c>
      <c r="CH1568" s="22">
        <f t="shared" si="273"/>
        <v>36441.300000000003</v>
      </c>
      <c r="CI1568" s="3">
        <f t="shared" si="274"/>
        <v>0</v>
      </c>
      <c r="CJ1568" s="17">
        <f t="shared" si="275"/>
        <v>12008</v>
      </c>
      <c r="CK1568" s="3" t="str">
        <f t="shared" si="276"/>
        <v>خدمة عامة</v>
      </c>
    </row>
    <row r="1569" spans="1:90" s="29" customFormat="1" x14ac:dyDescent="0.25">
      <c r="A1569" s="27"/>
      <c r="B1569" s="28"/>
      <c r="C1569" s="28"/>
      <c r="D1569" s="28"/>
      <c r="E1569" s="28"/>
      <c r="G1569" s="29" t="s">
        <v>719</v>
      </c>
      <c r="I1569" s="29">
        <f t="shared" ref="I1569:AT1569" si="277">SUM(I1381:I1568)</f>
        <v>2832148.1199999996</v>
      </c>
      <c r="J1569" s="29">
        <f t="shared" si="277"/>
        <v>0</v>
      </c>
      <c r="K1569" s="29">
        <f t="shared" si="277"/>
        <v>0</v>
      </c>
      <c r="L1569" s="29">
        <f t="shared" si="277"/>
        <v>0</v>
      </c>
      <c r="M1569" s="29">
        <f t="shared" si="277"/>
        <v>0</v>
      </c>
      <c r="N1569" s="29">
        <f t="shared" si="277"/>
        <v>0</v>
      </c>
      <c r="O1569" s="29">
        <f t="shared" si="277"/>
        <v>0</v>
      </c>
      <c r="P1569" s="29">
        <f t="shared" si="277"/>
        <v>0</v>
      </c>
      <c r="Q1569" s="29">
        <f t="shared" si="277"/>
        <v>0</v>
      </c>
      <c r="R1569" s="29">
        <f t="shared" si="277"/>
        <v>0</v>
      </c>
      <c r="S1569" s="29">
        <f t="shared" si="277"/>
        <v>0</v>
      </c>
      <c r="T1569" s="29">
        <f t="shared" si="277"/>
        <v>0</v>
      </c>
      <c r="U1569" s="29">
        <f t="shared" si="277"/>
        <v>0</v>
      </c>
      <c r="V1569" s="29">
        <f t="shared" si="277"/>
        <v>0</v>
      </c>
      <c r="W1569" s="29">
        <f t="shared" si="277"/>
        <v>0</v>
      </c>
      <c r="X1569" s="29">
        <f t="shared" si="277"/>
        <v>0</v>
      </c>
      <c r="Y1569" s="29">
        <f t="shared" si="277"/>
        <v>0</v>
      </c>
      <c r="Z1569" s="29">
        <f t="shared" si="277"/>
        <v>0</v>
      </c>
      <c r="AA1569" s="29">
        <f t="shared" si="277"/>
        <v>0</v>
      </c>
      <c r="AB1569" s="29">
        <f t="shared" si="277"/>
        <v>0</v>
      </c>
      <c r="AC1569" s="29">
        <f t="shared" si="277"/>
        <v>0</v>
      </c>
      <c r="AD1569" s="29">
        <f t="shared" si="277"/>
        <v>0</v>
      </c>
      <c r="AE1569" s="29">
        <f t="shared" si="277"/>
        <v>33695.57</v>
      </c>
      <c r="AG1569" s="29">
        <f t="shared" si="277"/>
        <v>0</v>
      </c>
      <c r="AH1569" s="29">
        <f t="shared" si="277"/>
        <v>0</v>
      </c>
      <c r="AI1569" s="29">
        <f t="shared" si="277"/>
        <v>0</v>
      </c>
      <c r="AJ1569" s="29">
        <f t="shared" si="277"/>
        <v>0</v>
      </c>
      <c r="AK1569" s="29">
        <f t="shared" si="277"/>
        <v>0</v>
      </c>
      <c r="AL1569" s="29">
        <f t="shared" si="277"/>
        <v>0</v>
      </c>
      <c r="AM1569" s="29">
        <f t="shared" si="277"/>
        <v>0</v>
      </c>
      <c r="AN1569" s="29">
        <f t="shared" si="277"/>
        <v>0</v>
      </c>
      <c r="AO1569" s="29">
        <f t="shared" si="277"/>
        <v>0</v>
      </c>
      <c r="AP1569" s="29">
        <f t="shared" si="277"/>
        <v>0</v>
      </c>
      <c r="AQ1569" s="29">
        <f t="shared" si="277"/>
        <v>0</v>
      </c>
      <c r="AR1569" s="29">
        <f t="shared" si="277"/>
        <v>0</v>
      </c>
      <c r="AS1569" s="29">
        <f t="shared" si="277"/>
        <v>0</v>
      </c>
      <c r="AT1569" s="29">
        <f t="shared" si="277"/>
        <v>0</v>
      </c>
      <c r="AU1569" s="22">
        <f t="shared" si="272"/>
        <v>2865843.6899999995</v>
      </c>
      <c r="AV1569" s="29">
        <f t="shared" ref="AV1569:CG1569" si="278">SUM(AV1381:AV1568)</f>
        <v>2103888.29</v>
      </c>
      <c r="AW1569" s="29">
        <f t="shared" si="278"/>
        <v>262825.15999999997</v>
      </c>
      <c r="AX1569" s="29">
        <f t="shared" si="278"/>
        <v>471715.03999999986</v>
      </c>
      <c r="AY1569" s="29">
        <f t="shared" si="278"/>
        <v>26895.200000000001</v>
      </c>
      <c r="AZ1569" s="29">
        <f t="shared" si="278"/>
        <v>0</v>
      </c>
      <c r="BA1569" s="29">
        <f t="shared" si="278"/>
        <v>0</v>
      </c>
      <c r="BB1569" s="29">
        <f t="shared" si="278"/>
        <v>0</v>
      </c>
      <c r="BC1569" s="29">
        <f t="shared" si="278"/>
        <v>0</v>
      </c>
      <c r="BD1569" s="29">
        <f t="shared" si="278"/>
        <v>0</v>
      </c>
      <c r="BF1569" s="29">
        <f t="shared" si="278"/>
        <v>0</v>
      </c>
      <c r="BG1569" s="29">
        <f t="shared" si="278"/>
        <v>0</v>
      </c>
      <c r="BH1569" s="29">
        <f t="shared" si="278"/>
        <v>0</v>
      </c>
      <c r="BJ1569" s="29">
        <f t="shared" si="278"/>
        <v>0</v>
      </c>
      <c r="BK1569" s="29">
        <f t="shared" si="278"/>
        <v>0</v>
      </c>
      <c r="BL1569" s="29">
        <f t="shared" si="278"/>
        <v>0</v>
      </c>
      <c r="BM1569" s="29">
        <f t="shared" si="278"/>
        <v>0</v>
      </c>
      <c r="BN1569" s="29">
        <f t="shared" si="278"/>
        <v>0</v>
      </c>
      <c r="BO1569" s="29">
        <f t="shared" si="278"/>
        <v>0</v>
      </c>
      <c r="BP1569" s="29">
        <f t="shared" si="278"/>
        <v>0</v>
      </c>
      <c r="BQ1569" s="29">
        <f t="shared" si="278"/>
        <v>0</v>
      </c>
      <c r="BR1569" s="29">
        <f t="shared" si="278"/>
        <v>0</v>
      </c>
      <c r="BS1569" s="29">
        <f t="shared" si="278"/>
        <v>0</v>
      </c>
      <c r="BT1569" s="29">
        <f t="shared" si="278"/>
        <v>0</v>
      </c>
      <c r="BU1569" s="29">
        <f t="shared" si="278"/>
        <v>0</v>
      </c>
      <c r="BV1569" s="29">
        <f t="shared" si="278"/>
        <v>0</v>
      </c>
      <c r="BW1569" s="29">
        <f t="shared" si="278"/>
        <v>0</v>
      </c>
      <c r="BX1569" s="29">
        <f t="shared" si="278"/>
        <v>0</v>
      </c>
      <c r="BY1569" s="29">
        <f t="shared" si="278"/>
        <v>0</v>
      </c>
      <c r="BZ1569" s="29">
        <f t="shared" si="278"/>
        <v>0</v>
      </c>
      <c r="CA1569" s="29">
        <f t="shared" si="278"/>
        <v>0</v>
      </c>
      <c r="CB1569" s="29">
        <f t="shared" si="278"/>
        <v>0</v>
      </c>
      <c r="CC1569" s="29">
        <f t="shared" si="278"/>
        <v>0</v>
      </c>
      <c r="CD1569" s="29">
        <f t="shared" si="278"/>
        <v>0</v>
      </c>
      <c r="CE1569" s="29">
        <f t="shared" si="278"/>
        <v>520</v>
      </c>
      <c r="CF1569" s="29">
        <f t="shared" si="278"/>
        <v>0</v>
      </c>
      <c r="CG1569" s="201">
        <f t="shared" si="278"/>
        <v>0</v>
      </c>
      <c r="CH1569" s="22">
        <f t="shared" si="273"/>
        <v>2865843.6900000004</v>
      </c>
      <c r="CI1569" s="3">
        <f t="shared" si="274"/>
        <v>0</v>
      </c>
      <c r="CJ1569" s="17">
        <f t="shared" si="275"/>
        <v>0</v>
      </c>
      <c r="CK1569" s="3">
        <f t="shared" si="276"/>
        <v>0</v>
      </c>
      <c r="CL1569" s="29">
        <f>SUM(CL1381:CL1568)</f>
        <v>0</v>
      </c>
    </row>
    <row r="1570" spans="1:90" s="201" customFormat="1" x14ac:dyDescent="0.25">
      <c r="A1570" s="202"/>
      <c r="B1570" s="203"/>
      <c r="C1570" s="203"/>
      <c r="D1570" s="203">
        <v>9326</v>
      </c>
      <c r="E1570" s="203">
        <v>12009</v>
      </c>
      <c r="G1570" s="201" t="s">
        <v>5063</v>
      </c>
      <c r="H1570" s="201" t="s">
        <v>220</v>
      </c>
      <c r="AE1570" s="201">
        <v>2322.98</v>
      </c>
      <c r="AU1570" s="22">
        <f t="shared" si="272"/>
        <v>2322.98</v>
      </c>
      <c r="AV1570" s="201">
        <v>2322.98</v>
      </c>
      <c r="CH1570" s="22">
        <f t="shared" si="273"/>
        <v>2322.98</v>
      </c>
      <c r="CI1570" s="3">
        <f t="shared" si="274"/>
        <v>0</v>
      </c>
      <c r="CJ1570" s="17">
        <f t="shared" si="275"/>
        <v>12009</v>
      </c>
      <c r="CK1570" s="3">
        <f t="shared" si="276"/>
        <v>0</v>
      </c>
    </row>
    <row r="1571" spans="1:90" s="201" customFormat="1" x14ac:dyDescent="0.25">
      <c r="A1571" s="202"/>
      <c r="B1571" s="203"/>
      <c r="C1571" s="203"/>
      <c r="D1571" s="203">
        <v>9325</v>
      </c>
      <c r="E1571" s="203">
        <v>12010</v>
      </c>
      <c r="G1571" s="201" t="s">
        <v>5062</v>
      </c>
      <c r="H1571" s="201" t="s">
        <v>220</v>
      </c>
      <c r="AE1571" s="201">
        <v>365</v>
      </c>
      <c r="AU1571" s="22">
        <f t="shared" si="272"/>
        <v>365</v>
      </c>
      <c r="AV1571" s="201">
        <v>365</v>
      </c>
      <c r="CH1571" s="22">
        <f t="shared" si="273"/>
        <v>365</v>
      </c>
      <c r="CI1571" s="3">
        <f t="shared" si="274"/>
        <v>0</v>
      </c>
      <c r="CJ1571" s="17">
        <f t="shared" si="275"/>
        <v>12010</v>
      </c>
      <c r="CK1571" s="3">
        <f t="shared" si="276"/>
        <v>0</v>
      </c>
    </row>
    <row r="1572" spans="1:90" s="201" customFormat="1" x14ac:dyDescent="0.25">
      <c r="A1572" s="202"/>
      <c r="B1572" s="203"/>
      <c r="C1572" s="203"/>
      <c r="D1572" s="203">
        <v>9323</v>
      </c>
      <c r="E1572" s="203">
        <v>12011</v>
      </c>
      <c r="G1572" s="201" t="s">
        <v>5059</v>
      </c>
      <c r="H1572" s="201" t="s">
        <v>220</v>
      </c>
      <c r="AF1572" s="201">
        <v>624.25</v>
      </c>
      <c r="AU1572" s="22">
        <f t="shared" si="272"/>
        <v>624.25</v>
      </c>
      <c r="AV1572" s="201">
        <v>624.25</v>
      </c>
      <c r="CH1572" s="22">
        <f t="shared" si="273"/>
        <v>624.25</v>
      </c>
      <c r="CI1572" s="3">
        <f t="shared" si="274"/>
        <v>0</v>
      </c>
      <c r="CJ1572" s="17">
        <f t="shared" si="275"/>
        <v>12011</v>
      </c>
      <c r="CK1572" s="3">
        <f t="shared" si="276"/>
        <v>0</v>
      </c>
    </row>
    <row r="1573" spans="1:90" s="201" customFormat="1" x14ac:dyDescent="0.25">
      <c r="A1573" s="202"/>
      <c r="B1573" s="203"/>
      <c r="C1573" s="203"/>
      <c r="D1573" s="203">
        <v>9283</v>
      </c>
      <c r="E1573" s="203">
        <v>12012</v>
      </c>
      <c r="G1573" s="201" t="s">
        <v>5074</v>
      </c>
      <c r="H1573" s="201" t="s">
        <v>220</v>
      </c>
      <c r="U1573" s="201">
        <v>705731.9</v>
      </c>
      <c r="AU1573" s="22">
        <f t="shared" ref="AU1573:AU1618" si="279">SUM(I1573:AS1573)</f>
        <v>705731.9</v>
      </c>
      <c r="AV1573" s="201">
        <v>705731.9</v>
      </c>
      <c r="CH1573" s="22">
        <f t="shared" ref="CH1573:CH1619" si="280">SUM(AV1573:CG1573)</f>
        <v>705731.9</v>
      </c>
      <c r="CI1573" s="3">
        <f t="shared" ref="CI1573:CI1619" si="281">+CH1573-AU1573</f>
        <v>0</v>
      </c>
      <c r="CJ1573" s="17">
        <f t="shared" ref="CJ1573:CJ1619" si="282">+E1573</f>
        <v>12012</v>
      </c>
      <c r="CK1573" s="3">
        <f t="shared" ref="CK1573:CK1619" si="283">+F1573</f>
        <v>0</v>
      </c>
    </row>
    <row r="1574" spans="1:90" s="201" customFormat="1" x14ac:dyDescent="0.25">
      <c r="A1574" s="202"/>
      <c r="B1574" s="203"/>
      <c r="C1574" s="203"/>
      <c r="D1574" s="203">
        <v>9319</v>
      </c>
      <c r="E1574" s="203">
        <v>12013</v>
      </c>
      <c r="G1574" s="201" t="s">
        <v>5056</v>
      </c>
      <c r="H1574" s="201" t="s">
        <v>220</v>
      </c>
      <c r="AE1574" s="201">
        <v>2</v>
      </c>
      <c r="AU1574" s="22">
        <f t="shared" si="279"/>
        <v>2</v>
      </c>
      <c r="AV1574" s="201">
        <v>2</v>
      </c>
      <c r="CH1574" s="22">
        <f t="shared" si="280"/>
        <v>2</v>
      </c>
      <c r="CI1574" s="3">
        <f t="shared" si="281"/>
        <v>0</v>
      </c>
      <c r="CJ1574" s="17">
        <f t="shared" si="282"/>
        <v>12013</v>
      </c>
      <c r="CK1574" s="3">
        <f t="shared" si="283"/>
        <v>0</v>
      </c>
    </row>
    <row r="1575" spans="1:90" s="201" customFormat="1" x14ac:dyDescent="0.25">
      <c r="A1575" s="202"/>
      <c r="B1575" s="203"/>
      <c r="C1575" s="203"/>
      <c r="D1575" s="203">
        <v>9321</v>
      </c>
      <c r="E1575" s="203">
        <v>12014</v>
      </c>
      <c r="G1575" s="201" t="s">
        <v>5058</v>
      </c>
      <c r="H1575" s="201" t="s">
        <v>220</v>
      </c>
      <c r="AE1575" s="201">
        <v>2158</v>
      </c>
      <c r="AU1575" s="22">
        <f t="shared" si="279"/>
        <v>2158</v>
      </c>
      <c r="AV1575" s="201">
        <v>2158</v>
      </c>
      <c r="CH1575" s="22">
        <f t="shared" si="280"/>
        <v>2158</v>
      </c>
      <c r="CI1575" s="3">
        <f t="shared" si="281"/>
        <v>0</v>
      </c>
      <c r="CJ1575" s="17">
        <f t="shared" si="282"/>
        <v>12014</v>
      </c>
      <c r="CK1575" s="3">
        <f t="shared" si="283"/>
        <v>0</v>
      </c>
    </row>
    <row r="1576" spans="1:90" s="201" customFormat="1" x14ac:dyDescent="0.25">
      <c r="A1576" s="202"/>
      <c r="B1576" s="203"/>
      <c r="C1576" s="203"/>
      <c r="D1576" s="203">
        <v>9313</v>
      </c>
      <c r="E1576" s="203">
        <v>12015</v>
      </c>
      <c r="G1576" s="201" t="s">
        <v>5053</v>
      </c>
      <c r="H1576" s="201" t="s">
        <v>220</v>
      </c>
      <c r="AE1576" s="201">
        <v>2</v>
      </c>
      <c r="AU1576" s="22">
        <f t="shared" si="279"/>
        <v>2</v>
      </c>
      <c r="AV1576" s="201">
        <v>2</v>
      </c>
      <c r="CH1576" s="22">
        <f t="shared" si="280"/>
        <v>2</v>
      </c>
      <c r="CI1576" s="3">
        <f t="shared" si="281"/>
        <v>0</v>
      </c>
      <c r="CJ1576" s="17">
        <f t="shared" si="282"/>
        <v>12015</v>
      </c>
      <c r="CK1576" s="3">
        <f t="shared" si="283"/>
        <v>0</v>
      </c>
    </row>
    <row r="1577" spans="1:90" s="201" customFormat="1" x14ac:dyDescent="0.25">
      <c r="A1577" s="202"/>
      <c r="B1577" s="203"/>
      <c r="C1577" s="203"/>
      <c r="D1577" s="203">
        <v>9292</v>
      </c>
      <c r="E1577" s="203">
        <v>12016</v>
      </c>
      <c r="G1577" s="201" t="s">
        <v>5065</v>
      </c>
      <c r="H1577" s="201" t="s">
        <v>220</v>
      </c>
      <c r="AE1577" s="201">
        <v>800</v>
      </c>
      <c r="AU1577" s="22">
        <f t="shared" si="279"/>
        <v>800</v>
      </c>
      <c r="AV1577" s="201">
        <v>800</v>
      </c>
      <c r="CH1577" s="22">
        <f t="shared" si="280"/>
        <v>800</v>
      </c>
      <c r="CI1577" s="3">
        <f t="shared" si="281"/>
        <v>0</v>
      </c>
      <c r="CJ1577" s="17">
        <f t="shared" si="282"/>
        <v>12016</v>
      </c>
      <c r="CK1577" s="3">
        <f t="shared" si="283"/>
        <v>0</v>
      </c>
    </row>
    <row r="1578" spans="1:90" s="201" customFormat="1" x14ac:dyDescent="0.25">
      <c r="A1578" s="202"/>
      <c r="B1578" s="203"/>
      <c r="C1578" s="203"/>
      <c r="D1578" s="203">
        <v>9331</v>
      </c>
      <c r="E1578" s="203">
        <v>12017</v>
      </c>
      <c r="G1578" s="201" t="s">
        <v>5064</v>
      </c>
      <c r="H1578" s="201" t="s">
        <v>220</v>
      </c>
      <c r="AE1578" s="201">
        <v>14</v>
      </c>
      <c r="AU1578" s="22">
        <f t="shared" si="279"/>
        <v>14</v>
      </c>
      <c r="AV1578" s="201">
        <v>14</v>
      </c>
      <c r="CH1578" s="22">
        <f t="shared" si="280"/>
        <v>14</v>
      </c>
      <c r="CI1578" s="3">
        <f t="shared" si="281"/>
        <v>0</v>
      </c>
      <c r="CJ1578" s="17">
        <f t="shared" si="282"/>
        <v>12017</v>
      </c>
      <c r="CK1578" s="3">
        <f t="shared" si="283"/>
        <v>0</v>
      </c>
    </row>
    <row r="1579" spans="1:90" s="201" customFormat="1" x14ac:dyDescent="0.25">
      <c r="A1579" s="202"/>
      <c r="B1579" s="203"/>
      <c r="C1579" s="203"/>
      <c r="D1579" s="203">
        <v>9318</v>
      </c>
      <c r="E1579" s="203">
        <v>12018</v>
      </c>
      <c r="G1579" s="201" t="s">
        <v>5055</v>
      </c>
      <c r="H1579" s="201" t="s">
        <v>220</v>
      </c>
      <c r="AE1579" s="201">
        <v>2665.16</v>
      </c>
      <c r="AU1579" s="22">
        <f t="shared" si="279"/>
        <v>2665.16</v>
      </c>
      <c r="AV1579" s="201">
        <v>2665.16</v>
      </c>
      <c r="CH1579" s="22">
        <f t="shared" si="280"/>
        <v>2665.16</v>
      </c>
      <c r="CI1579" s="3">
        <f t="shared" si="281"/>
        <v>0</v>
      </c>
      <c r="CJ1579" s="17">
        <f t="shared" si="282"/>
        <v>12018</v>
      </c>
      <c r="CK1579" s="3">
        <f t="shared" si="283"/>
        <v>0</v>
      </c>
    </row>
    <row r="1580" spans="1:90" s="201" customFormat="1" x14ac:dyDescent="0.25">
      <c r="A1580" s="202"/>
      <c r="B1580" s="203"/>
      <c r="C1580" s="203"/>
      <c r="D1580" s="203">
        <v>9317</v>
      </c>
      <c r="E1580" s="203">
        <v>12019</v>
      </c>
      <c r="G1580" s="201" t="s">
        <v>5054</v>
      </c>
      <c r="H1580" s="201" t="s">
        <v>220</v>
      </c>
      <c r="AE1580" s="201">
        <v>700</v>
      </c>
      <c r="AU1580" s="22">
        <f t="shared" si="279"/>
        <v>700</v>
      </c>
      <c r="AV1580" s="201">
        <v>700</v>
      </c>
      <c r="CH1580" s="22">
        <f t="shared" si="280"/>
        <v>700</v>
      </c>
      <c r="CI1580" s="3">
        <f t="shared" si="281"/>
        <v>0</v>
      </c>
      <c r="CJ1580" s="17">
        <f t="shared" si="282"/>
        <v>12019</v>
      </c>
      <c r="CK1580" s="3">
        <f t="shared" si="283"/>
        <v>0</v>
      </c>
    </row>
    <row r="1581" spans="1:90" s="201" customFormat="1" x14ac:dyDescent="0.25">
      <c r="A1581" s="202"/>
      <c r="B1581" s="203"/>
      <c r="C1581" s="203"/>
      <c r="D1581" s="203">
        <v>9342</v>
      </c>
      <c r="E1581" s="203">
        <v>12020</v>
      </c>
      <c r="G1581" s="201" t="s">
        <v>5071</v>
      </c>
      <c r="H1581" s="201" t="s">
        <v>220</v>
      </c>
      <c r="AE1581" s="201">
        <v>6315</v>
      </c>
      <c r="AU1581" s="22">
        <f t="shared" si="279"/>
        <v>6315</v>
      </c>
      <c r="AV1581" s="201">
        <v>6315</v>
      </c>
      <c r="CH1581" s="22">
        <f t="shared" si="280"/>
        <v>6315</v>
      </c>
      <c r="CI1581" s="3">
        <f t="shared" si="281"/>
        <v>0</v>
      </c>
      <c r="CJ1581" s="17">
        <f t="shared" si="282"/>
        <v>12020</v>
      </c>
      <c r="CK1581" s="3">
        <f t="shared" si="283"/>
        <v>0</v>
      </c>
    </row>
    <row r="1582" spans="1:90" s="201" customFormat="1" x14ac:dyDescent="0.25">
      <c r="A1582" s="202"/>
      <c r="B1582" s="203"/>
      <c r="C1582" s="203"/>
      <c r="D1582" s="203">
        <v>9320</v>
      </c>
      <c r="E1582" s="203">
        <v>12021</v>
      </c>
      <c r="G1582" s="201" t="s">
        <v>5057</v>
      </c>
      <c r="H1582" s="201" t="s">
        <v>220</v>
      </c>
      <c r="AE1582" s="201">
        <v>2113.37</v>
      </c>
      <c r="AU1582" s="22">
        <f t="shared" si="279"/>
        <v>2113.37</v>
      </c>
      <c r="AV1582" s="201">
        <v>2113.37</v>
      </c>
      <c r="CH1582" s="22">
        <f t="shared" si="280"/>
        <v>2113.37</v>
      </c>
      <c r="CI1582" s="3">
        <f t="shared" si="281"/>
        <v>0</v>
      </c>
      <c r="CJ1582" s="17">
        <f t="shared" si="282"/>
        <v>12021</v>
      </c>
      <c r="CK1582" s="3">
        <f t="shared" si="283"/>
        <v>0</v>
      </c>
    </row>
    <row r="1583" spans="1:90" s="201" customFormat="1" x14ac:dyDescent="0.25">
      <c r="A1583" s="202"/>
      <c r="B1583" s="203"/>
      <c r="C1583" s="203"/>
      <c r="D1583" s="203">
        <v>9338</v>
      </c>
      <c r="E1583" s="203">
        <v>12022</v>
      </c>
      <c r="G1583" s="201" t="s">
        <v>5068</v>
      </c>
      <c r="H1583" s="201" t="s">
        <v>220</v>
      </c>
      <c r="AE1583" s="201">
        <v>1177.31</v>
      </c>
      <c r="AU1583" s="22">
        <f t="shared" si="279"/>
        <v>1177.31</v>
      </c>
      <c r="AV1583" s="201">
        <v>1177.31</v>
      </c>
      <c r="CH1583" s="22">
        <f t="shared" si="280"/>
        <v>1177.31</v>
      </c>
      <c r="CI1583" s="3">
        <f t="shared" si="281"/>
        <v>0</v>
      </c>
      <c r="CJ1583" s="17">
        <f t="shared" si="282"/>
        <v>12022</v>
      </c>
      <c r="CK1583" s="3">
        <f t="shared" si="283"/>
        <v>0</v>
      </c>
    </row>
    <row r="1584" spans="1:90" s="201" customFormat="1" x14ac:dyDescent="0.25">
      <c r="A1584" s="202"/>
      <c r="B1584" s="203"/>
      <c r="C1584" s="203"/>
      <c r="D1584" s="203">
        <v>9340</v>
      </c>
      <c r="E1584" s="203">
        <v>12023</v>
      </c>
      <c r="G1584" s="201" t="s">
        <v>5070</v>
      </c>
      <c r="H1584" s="201" t="s">
        <v>220</v>
      </c>
      <c r="AE1584" s="201">
        <v>1325</v>
      </c>
      <c r="AU1584" s="22">
        <f t="shared" si="279"/>
        <v>1325</v>
      </c>
      <c r="AV1584" s="201">
        <v>1325</v>
      </c>
      <c r="CH1584" s="22">
        <f t="shared" si="280"/>
        <v>1325</v>
      </c>
      <c r="CI1584" s="3">
        <f t="shared" si="281"/>
        <v>0</v>
      </c>
      <c r="CJ1584" s="17">
        <f t="shared" si="282"/>
        <v>12023</v>
      </c>
      <c r="CK1584" s="3">
        <f t="shared" si="283"/>
        <v>0</v>
      </c>
    </row>
    <row r="1585" spans="1:89" s="201" customFormat="1" x14ac:dyDescent="0.25">
      <c r="A1585" s="202"/>
      <c r="B1585" s="203"/>
      <c r="C1585" s="203"/>
      <c r="D1585" s="203">
        <v>9332</v>
      </c>
      <c r="E1585" s="203">
        <v>12024</v>
      </c>
      <c r="G1585" s="201" t="s">
        <v>5066</v>
      </c>
      <c r="H1585" s="201" t="s">
        <v>220</v>
      </c>
      <c r="AE1585" s="201">
        <v>1214.73</v>
      </c>
      <c r="AU1585" s="22">
        <f t="shared" si="279"/>
        <v>1214.73</v>
      </c>
      <c r="AV1585" s="201">
        <v>1214.73</v>
      </c>
      <c r="CH1585" s="22">
        <f t="shared" si="280"/>
        <v>1214.73</v>
      </c>
      <c r="CI1585" s="3">
        <f t="shared" si="281"/>
        <v>0</v>
      </c>
      <c r="CJ1585" s="17">
        <f t="shared" si="282"/>
        <v>12024</v>
      </c>
      <c r="CK1585" s="3">
        <f t="shared" si="283"/>
        <v>0</v>
      </c>
    </row>
    <row r="1586" spans="1:89" s="201" customFormat="1" x14ac:dyDescent="0.25">
      <c r="A1586" s="202"/>
      <c r="B1586" s="203"/>
      <c r="C1586" s="203"/>
      <c r="D1586" s="203">
        <v>9339</v>
      </c>
      <c r="E1586" s="203">
        <v>12025</v>
      </c>
      <c r="G1586" s="201" t="s">
        <v>5069</v>
      </c>
      <c r="H1586" s="201" t="s">
        <v>220</v>
      </c>
      <c r="AE1586" s="201">
        <v>1334</v>
      </c>
      <c r="AU1586" s="22">
        <f t="shared" si="279"/>
        <v>1334</v>
      </c>
      <c r="AV1586" s="201">
        <v>1334</v>
      </c>
      <c r="CH1586" s="22">
        <f t="shared" si="280"/>
        <v>1334</v>
      </c>
      <c r="CI1586" s="3">
        <f t="shared" si="281"/>
        <v>0</v>
      </c>
      <c r="CJ1586" s="17">
        <f t="shared" si="282"/>
        <v>12025</v>
      </c>
      <c r="CK1586" s="3">
        <f t="shared" si="283"/>
        <v>0</v>
      </c>
    </row>
    <row r="1587" spans="1:89" s="201" customFormat="1" x14ac:dyDescent="0.25">
      <c r="A1587" s="202"/>
      <c r="B1587" s="203"/>
      <c r="C1587" s="203"/>
      <c r="D1587" s="203">
        <v>9348</v>
      </c>
      <c r="E1587" s="203">
        <v>12026</v>
      </c>
      <c r="G1587" s="201" t="s">
        <v>5073</v>
      </c>
      <c r="H1587" s="201" t="s">
        <v>220</v>
      </c>
      <c r="V1587" s="201">
        <v>17158.650000000001</v>
      </c>
      <c r="AU1587" s="22">
        <f t="shared" si="279"/>
        <v>17158.650000000001</v>
      </c>
      <c r="AV1587" s="201">
        <v>17158.650000000001</v>
      </c>
      <c r="CH1587" s="22">
        <f t="shared" si="280"/>
        <v>17158.650000000001</v>
      </c>
      <c r="CI1587" s="3">
        <f t="shared" si="281"/>
        <v>0</v>
      </c>
      <c r="CJ1587" s="17">
        <f t="shared" si="282"/>
        <v>12026</v>
      </c>
      <c r="CK1587" s="3">
        <f t="shared" si="283"/>
        <v>0</v>
      </c>
    </row>
    <row r="1588" spans="1:89" s="201" customFormat="1" x14ac:dyDescent="0.25">
      <c r="A1588" s="202"/>
      <c r="B1588" s="203"/>
      <c r="C1588" s="203"/>
      <c r="D1588" s="203">
        <v>9347</v>
      </c>
      <c r="E1588" s="203">
        <v>12027</v>
      </c>
      <c r="G1588" s="201" t="s">
        <v>5072</v>
      </c>
      <c r="H1588" s="201" t="s">
        <v>220</v>
      </c>
      <c r="V1588" s="201">
        <v>2712.42</v>
      </c>
      <c r="AU1588" s="22">
        <f t="shared" si="279"/>
        <v>2712.42</v>
      </c>
      <c r="AV1588" s="201">
        <v>2712.42</v>
      </c>
      <c r="CH1588" s="22">
        <f t="shared" si="280"/>
        <v>2712.42</v>
      </c>
      <c r="CI1588" s="3">
        <f t="shared" si="281"/>
        <v>0</v>
      </c>
      <c r="CJ1588" s="17">
        <f t="shared" si="282"/>
        <v>12027</v>
      </c>
      <c r="CK1588" s="3">
        <f t="shared" si="283"/>
        <v>0</v>
      </c>
    </row>
    <row r="1589" spans="1:89" s="201" customFormat="1" x14ac:dyDescent="0.25">
      <c r="A1589" s="202"/>
      <c r="B1589" s="203"/>
      <c r="C1589" s="203"/>
      <c r="D1589" s="203">
        <v>9334</v>
      </c>
      <c r="E1589" s="203">
        <v>12028</v>
      </c>
      <c r="G1589" s="201" t="s">
        <v>5067</v>
      </c>
      <c r="H1589" s="201" t="s">
        <v>220</v>
      </c>
      <c r="AE1589" s="201">
        <v>3300</v>
      </c>
      <c r="AU1589" s="22">
        <f t="shared" si="279"/>
        <v>3300</v>
      </c>
      <c r="AV1589" s="201">
        <v>3300</v>
      </c>
      <c r="CH1589" s="22">
        <f t="shared" si="280"/>
        <v>3300</v>
      </c>
      <c r="CI1589" s="3">
        <f t="shared" si="281"/>
        <v>0</v>
      </c>
      <c r="CJ1589" s="17">
        <f t="shared" si="282"/>
        <v>12028</v>
      </c>
      <c r="CK1589" s="3">
        <f t="shared" si="283"/>
        <v>0</v>
      </c>
    </row>
    <row r="1590" spans="1:89" s="201" customFormat="1" x14ac:dyDescent="0.25">
      <c r="A1590" s="202"/>
      <c r="B1590" s="203"/>
      <c r="C1590" s="203"/>
      <c r="D1590" s="203">
        <v>9324</v>
      </c>
      <c r="E1590" s="203">
        <v>12029</v>
      </c>
      <c r="G1590" s="201" t="s">
        <v>5061</v>
      </c>
      <c r="H1590" s="201" t="s">
        <v>220</v>
      </c>
      <c r="AE1590" s="201">
        <v>106</v>
      </c>
      <c r="AU1590" s="22">
        <f t="shared" si="279"/>
        <v>106</v>
      </c>
      <c r="AV1590" s="201">
        <v>106</v>
      </c>
      <c r="CH1590" s="22">
        <f t="shared" si="280"/>
        <v>106</v>
      </c>
      <c r="CI1590" s="3">
        <f t="shared" si="281"/>
        <v>0</v>
      </c>
      <c r="CJ1590" s="17">
        <f t="shared" si="282"/>
        <v>12029</v>
      </c>
      <c r="CK1590" s="3">
        <f t="shared" si="283"/>
        <v>0</v>
      </c>
    </row>
    <row r="1591" spans="1:89" s="29" customFormat="1" x14ac:dyDescent="0.25">
      <c r="A1591" s="27"/>
      <c r="B1591" s="28"/>
      <c r="C1591" s="28"/>
      <c r="D1591" s="28"/>
      <c r="E1591" s="28"/>
      <c r="G1591" s="29" t="s">
        <v>4999</v>
      </c>
      <c r="U1591" s="29">
        <f>SUM(U1570:U1590)</f>
        <v>705731.9</v>
      </c>
      <c r="V1591" s="29">
        <f t="shared" ref="V1591:CH1591" si="284">SUM(V1570:V1590)</f>
        <v>19871.07</v>
      </c>
      <c r="W1591" s="29">
        <f t="shared" si="284"/>
        <v>0</v>
      </c>
      <c r="X1591" s="29">
        <f t="shared" si="284"/>
        <v>0</v>
      </c>
      <c r="Y1591" s="29">
        <f t="shared" si="284"/>
        <v>0</v>
      </c>
      <c r="Z1591" s="29">
        <f t="shared" si="284"/>
        <v>0</v>
      </c>
      <c r="AA1591" s="29">
        <f t="shared" si="284"/>
        <v>0</v>
      </c>
      <c r="AB1591" s="29">
        <f t="shared" si="284"/>
        <v>0</v>
      </c>
      <c r="AC1591" s="29">
        <f t="shared" si="284"/>
        <v>0</v>
      </c>
      <c r="AD1591" s="29">
        <f t="shared" si="284"/>
        <v>0</v>
      </c>
      <c r="AE1591" s="29">
        <f t="shared" si="284"/>
        <v>25914.55</v>
      </c>
      <c r="AF1591" s="29">
        <f t="shared" si="284"/>
        <v>624.25</v>
      </c>
      <c r="AG1591" s="29">
        <f t="shared" si="284"/>
        <v>0</v>
      </c>
      <c r="AH1591" s="29">
        <f t="shared" si="284"/>
        <v>0</v>
      </c>
      <c r="AI1591" s="29">
        <f t="shared" si="284"/>
        <v>0</v>
      </c>
      <c r="AJ1591" s="29">
        <f t="shared" si="284"/>
        <v>0</v>
      </c>
      <c r="AK1591" s="29">
        <f t="shared" si="284"/>
        <v>0</v>
      </c>
      <c r="AL1591" s="29">
        <f t="shared" si="284"/>
        <v>0</v>
      </c>
      <c r="AM1591" s="29">
        <f t="shared" si="284"/>
        <v>0</v>
      </c>
      <c r="AN1591" s="29">
        <f t="shared" si="284"/>
        <v>0</v>
      </c>
      <c r="AO1591" s="29">
        <f t="shared" si="284"/>
        <v>0</v>
      </c>
      <c r="AP1591" s="29">
        <f t="shared" si="284"/>
        <v>0</v>
      </c>
      <c r="AQ1591" s="29">
        <f t="shared" si="284"/>
        <v>0</v>
      </c>
      <c r="AR1591" s="29">
        <f t="shared" si="284"/>
        <v>0</v>
      </c>
      <c r="AS1591" s="29">
        <f t="shared" si="284"/>
        <v>0</v>
      </c>
      <c r="AT1591" s="29">
        <f t="shared" si="284"/>
        <v>0</v>
      </c>
      <c r="AU1591" s="29">
        <f t="shared" si="284"/>
        <v>752141.77000000014</v>
      </c>
      <c r="AV1591" s="29">
        <f t="shared" si="284"/>
        <v>752141.77000000014</v>
      </c>
      <c r="AW1591" s="29">
        <f t="shared" si="284"/>
        <v>0</v>
      </c>
      <c r="AX1591" s="29">
        <f t="shared" si="284"/>
        <v>0</v>
      </c>
      <c r="AY1591" s="29">
        <f t="shared" si="284"/>
        <v>0</v>
      </c>
      <c r="AZ1591" s="29">
        <f t="shared" si="284"/>
        <v>0</v>
      </c>
      <c r="BA1591" s="29">
        <f t="shared" si="284"/>
        <v>0</v>
      </c>
      <c r="BB1591" s="29">
        <f t="shared" si="284"/>
        <v>0</v>
      </c>
      <c r="BC1591" s="29">
        <f t="shared" si="284"/>
        <v>0</v>
      </c>
      <c r="BD1591" s="29">
        <f t="shared" si="284"/>
        <v>0</v>
      </c>
      <c r="BF1591" s="29">
        <f t="shared" si="284"/>
        <v>0</v>
      </c>
      <c r="BG1591" s="29">
        <f t="shared" si="284"/>
        <v>0</v>
      </c>
      <c r="BH1591" s="29">
        <f t="shared" si="284"/>
        <v>0</v>
      </c>
      <c r="BI1591" s="29">
        <f t="shared" si="284"/>
        <v>0</v>
      </c>
      <c r="BJ1591" s="29">
        <f t="shared" si="284"/>
        <v>0</v>
      </c>
      <c r="BK1591" s="29">
        <f t="shared" si="284"/>
        <v>0</v>
      </c>
      <c r="BL1591" s="29">
        <f t="shared" si="284"/>
        <v>0</v>
      </c>
      <c r="BM1591" s="29">
        <f t="shared" si="284"/>
        <v>0</v>
      </c>
      <c r="BN1591" s="29">
        <f t="shared" si="284"/>
        <v>0</v>
      </c>
      <c r="BO1591" s="29">
        <f t="shared" si="284"/>
        <v>0</v>
      </c>
      <c r="BP1591" s="29">
        <f t="shared" si="284"/>
        <v>0</v>
      </c>
      <c r="BQ1591" s="29">
        <f t="shared" si="284"/>
        <v>0</v>
      </c>
      <c r="BR1591" s="29">
        <f t="shared" si="284"/>
        <v>0</v>
      </c>
      <c r="BS1591" s="29">
        <f t="shared" si="284"/>
        <v>0</v>
      </c>
      <c r="BT1591" s="29">
        <f t="shared" si="284"/>
        <v>0</v>
      </c>
      <c r="BU1591" s="29">
        <f t="shared" si="284"/>
        <v>0</v>
      </c>
      <c r="BV1591" s="29">
        <f t="shared" si="284"/>
        <v>0</v>
      </c>
      <c r="BW1591" s="29">
        <f t="shared" si="284"/>
        <v>0</v>
      </c>
      <c r="BX1591" s="29">
        <f t="shared" si="284"/>
        <v>0</v>
      </c>
      <c r="BY1591" s="29">
        <f t="shared" si="284"/>
        <v>0</v>
      </c>
      <c r="BZ1591" s="29">
        <f t="shared" si="284"/>
        <v>0</v>
      </c>
      <c r="CA1591" s="29">
        <f t="shared" si="284"/>
        <v>0</v>
      </c>
      <c r="CB1591" s="29">
        <f t="shared" si="284"/>
        <v>0</v>
      </c>
      <c r="CC1591" s="29">
        <f t="shared" si="284"/>
        <v>0</v>
      </c>
      <c r="CD1591" s="29">
        <f t="shared" si="284"/>
        <v>0</v>
      </c>
      <c r="CE1591" s="29">
        <f t="shared" si="284"/>
        <v>0</v>
      </c>
      <c r="CF1591" s="29">
        <f t="shared" si="284"/>
        <v>0</v>
      </c>
      <c r="CG1591" s="29">
        <f t="shared" si="284"/>
        <v>0</v>
      </c>
      <c r="CH1591" s="29">
        <f t="shared" si="284"/>
        <v>752141.77000000014</v>
      </c>
      <c r="CI1591" s="29">
        <f t="shared" ref="CI1591" si="285">SUM(CI1570:CI1590)</f>
        <v>0</v>
      </c>
      <c r="CK1591" s="3">
        <f t="shared" si="283"/>
        <v>0</v>
      </c>
    </row>
    <row r="1592" spans="1:89" s="201" customFormat="1" x14ac:dyDescent="0.25">
      <c r="A1592" s="202"/>
      <c r="B1592" s="203"/>
      <c r="C1592" s="203"/>
      <c r="D1592" s="203"/>
      <c r="E1592" s="203">
        <v>12030</v>
      </c>
      <c r="F1592" s="201" t="s">
        <v>325</v>
      </c>
      <c r="G1592" s="201" t="s">
        <v>5001</v>
      </c>
      <c r="I1592" s="201">
        <v>5683</v>
      </c>
      <c r="AU1592" s="22">
        <f t="shared" si="279"/>
        <v>5683</v>
      </c>
      <c r="AV1592" s="201">
        <v>5069.6000000000004</v>
      </c>
      <c r="AW1592" s="201">
        <v>613.4</v>
      </c>
      <c r="CH1592" s="22">
        <f t="shared" si="280"/>
        <v>5683</v>
      </c>
      <c r="CI1592" s="3">
        <f t="shared" si="281"/>
        <v>0</v>
      </c>
      <c r="CJ1592" s="17">
        <f t="shared" si="282"/>
        <v>12030</v>
      </c>
      <c r="CK1592" s="3" t="str">
        <f t="shared" si="283"/>
        <v xml:space="preserve">برنامج دولى </v>
      </c>
    </row>
    <row r="1593" spans="1:89" s="201" customFormat="1" x14ac:dyDescent="0.25">
      <c r="A1593" s="202"/>
      <c r="B1593" s="203"/>
      <c r="C1593" s="203"/>
      <c r="D1593" s="203"/>
      <c r="E1593" s="203">
        <v>12031</v>
      </c>
      <c r="F1593" s="201" t="s">
        <v>325</v>
      </c>
      <c r="G1593" s="201" t="s">
        <v>5001</v>
      </c>
      <c r="I1593" s="201">
        <v>7406.89</v>
      </c>
      <c r="AU1593" s="22">
        <f t="shared" si="279"/>
        <v>7406.89</v>
      </c>
      <c r="AV1593" s="201">
        <v>5615</v>
      </c>
      <c r="AW1593" s="201">
        <v>725.95</v>
      </c>
      <c r="AX1593" s="201">
        <v>1065.94</v>
      </c>
      <c r="CH1593" s="22">
        <f t="shared" si="280"/>
        <v>7406.8899999999994</v>
      </c>
      <c r="CI1593" s="3">
        <f t="shared" si="281"/>
        <v>0</v>
      </c>
      <c r="CJ1593" s="17">
        <f t="shared" si="282"/>
        <v>12031</v>
      </c>
      <c r="CK1593" s="3" t="str">
        <f t="shared" si="283"/>
        <v xml:space="preserve">برنامج دولى </v>
      </c>
    </row>
    <row r="1594" spans="1:89" s="201" customFormat="1" x14ac:dyDescent="0.25">
      <c r="A1594" s="202"/>
      <c r="B1594" s="203"/>
      <c r="C1594" s="203"/>
      <c r="D1594" s="203"/>
      <c r="E1594" s="203">
        <v>12032</v>
      </c>
      <c r="F1594" s="201" t="s">
        <v>325</v>
      </c>
      <c r="G1594" s="201" t="s">
        <v>5001</v>
      </c>
      <c r="I1594" s="201">
        <v>72347.08</v>
      </c>
      <c r="AU1594" s="22">
        <f t="shared" si="279"/>
        <v>72347.08</v>
      </c>
      <c r="AV1594" s="201">
        <v>50754.01</v>
      </c>
      <c r="AW1594" s="201">
        <v>6786.81</v>
      </c>
      <c r="AX1594" s="201">
        <v>14806.26</v>
      </c>
      <c r="CH1594" s="22">
        <f t="shared" si="280"/>
        <v>72347.08</v>
      </c>
      <c r="CI1594" s="3">
        <f t="shared" si="281"/>
        <v>0</v>
      </c>
      <c r="CJ1594" s="17">
        <f t="shared" si="282"/>
        <v>12032</v>
      </c>
      <c r="CK1594" s="3" t="str">
        <f t="shared" si="283"/>
        <v xml:space="preserve">برنامج دولى </v>
      </c>
    </row>
    <row r="1595" spans="1:89" s="201" customFormat="1" x14ac:dyDescent="0.25">
      <c r="A1595" s="202"/>
      <c r="B1595" s="203"/>
      <c r="C1595" s="203"/>
      <c r="D1595" s="203"/>
      <c r="E1595" s="203">
        <v>12033</v>
      </c>
      <c r="F1595" s="201" t="s">
        <v>325</v>
      </c>
      <c r="G1595" s="201" t="s">
        <v>5001</v>
      </c>
      <c r="I1595" s="201">
        <v>18860.88</v>
      </c>
      <c r="AU1595" s="22">
        <f t="shared" si="279"/>
        <v>18860.88</v>
      </c>
      <c r="AV1595" s="201">
        <v>14443.77</v>
      </c>
      <c r="AW1595" s="201">
        <v>1859.25</v>
      </c>
      <c r="AX1595" s="201">
        <v>2557.86</v>
      </c>
      <c r="CH1595" s="22">
        <f t="shared" si="280"/>
        <v>18860.88</v>
      </c>
      <c r="CI1595" s="3">
        <f t="shared" si="281"/>
        <v>0</v>
      </c>
      <c r="CJ1595" s="17">
        <f t="shared" si="282"/>
        <v>12033</v>
      </c>
      <c r="CK1595" s="3" t="str">
        <f t="shared" si="283"/>
        <v xml:space="preserve">برنامج دولى </v>
      </c>
    </row>
    <row r="1596" spans="1:89" s="201" customFormat="1" x14ac:dyDescent="0.25">
      <c r="A1596" s="202"/>
      <c r="B1596" s="203"/>
      <c r="C1596" s="203"/>
      <c r="D1596" s="203"/>
      <c r="E1596" s="203">
        <v>12034</v>
      </c>
      <c r="F1596" s="201" t="s">
        <v>325</v>
      </c>
      <c r="G1596" s="201" t="s">
        <v>5001</v>
      </c>
      <c r="I1596" s="201">
        <v>51367.7</v>
      </c>
      <c r="AU1596" s="22">
        <f t="shared" si="279"/>
        <v>51367.7</v>
      </c>
      <c r="AV1596" s="201">
        <v>39886.78</v>
      </c>
      <c r="AW1596" s="201">
        <v>5104.3</v>
      </c>
      <c r="AX1596" s="201">
        <v>6376.62</v>
      </c>
      <c r="CH1596" s="22">
        <f t="shared" si="280"/>
        <v>51367.700000000004</v>
      </c>
      <c r="CI1596" s="3">
        <f t="shared" si="281"/>
        <v>0</v>
      </c>
      <c r="CJ1596" s="17">
        <f t="shared" si="282"/>
        <v>12034</v>
      </c>
      <c r="CK1596" s="3" t="str">
        <f t="shared" si="283"/>
        <v xml:space="preserve">برنامج دولى </v>
      </c>
    </row>
    <row r="1597" spans="1:89" s="201" customFormat="1" x14ac:dyDescent="0.25">
      <c r="A1597" s="202"/>
      <c r="B1597" s="203"/>
      <c r="C1597" s="203"/>
      <c r="D1597" s="203"/>
      <c r="E1597" s="203">
        <v>12035</v>
      </c>
      <c r="F1597" s="201" t="s">
        <v>325</v>
      </c>
      <c r="G1597" s="201" t="s">
        <v>5001</v>
      </c>
      <c r="I1597" s="201">
        <v>5948.89</v>
      </c>
      <c r="AU1597" s="22">
        <f t="shared" si="279"/>
        <v>5948.89</v>
      </c>
      <c r="AV1597" s="201">
        <v>4672.75</v>
      </c>
      <c r="AW1597" s="201">
        <v>595.04999999999995</v>
      </c>
      <c r="AX1597" s="201">
        <v>681.09</v>
      </c>
      <c r="CH1597" s="22">
        <f t="shared" si="280"/>
        <v>5948.89</v>
      </c>
      <c r="CI1597" s="3">
        <f t="shared" si="281"/>
        <v>0</v>
      </c>
      <c r="CJ1597" s="17">
        <f t="shared" si="282"/>
        <v>12035</v>
      </c>
      <c r="CK1597" s="3" t="str">
        <f t="shared" si="283"/>
        <v xml:space="preserve">برنامج دولى </v>
      </c>
    </row>
    <row r="1598" spans="1:89" s="201" customFormat="1" x14ac:dyDescent="0.25">
      <c r="A1598" s="202"/>
      <c r="B1598" s="203"/>
      <c r="C1598" s="203"/>
      <c r="D1598" s="203"/>
      <c r="E1598" s="203">
        <v>12036</v>
      </c>
      <c r="F1598" s="201" t="s">
        <v>121</v>
      </c>
      <c r="G1598" s="201" t="s">
        <v>5001</v>
      </c>
      <c r="I1598" s="201">
        <v>6421.04</v>
      </c>
      <c r="AU1598" s="22">
        <f t="shared" si="279"/>
        <v>6421.04</v>
      </c>
      <c r="AV1598" s="201">
        <v>5060.13</v>
      </c>
      <c r="AW1598" s="201">
        <v>643.54999999999995</v>
      </c>
      <c r="AX1598" s="201">
        <v>717.36</v>
      </c>
      <c r="CH1598" s="22">
        <f t="shared" si="280"/>
        <v>6421.04</v>
      </c>
      <c r="CI1598" s="3">
        <f t="shared" si="281"/>
        <v>0</v>
      </c>
      <c r="CJ1598" s="17">
        <f t="shared" si="282"/>
        <v>12036</v>
      </c>
      <c r="CK1598" s="3" t="str">
        <f t="shared" si="283"/>
        <v>ماليزى اسنان</v>
      </c>
    </row>
    <row r="1599" spans="1:89" s="201" customFormat="1" x14ac:dyDescent="0.25">
      <c r="A1599" s="202"/>
      <c r="B1599" s="203"/>
      <c r="C1599" s="203"/>
      <c r="D1599" s="203"/>
      <c r="E1599" s="203">
        <v>12037</v>
      </c>
      <c r="F1599" s="201" t="s">
        <v>121</v>
      </c>
      <c r="G1599" s="201" t="s">
        <v>5001</v>
      </c>
      <c r="I1599" s="201">
        <v>21966.36</v>
      </c>
      <c r="AU1599" s="22">
        <f t="shared" si="279"/>
        <v>21966.36</v>
      </c>
      <c r="AV1599" s="201">
        <v>19378.03</v>
      </c>
      <c r="AW1599" s="201">
        <v>2352.16</v>
      </c>
      <c r="AX1599" s="201">
        <v>236.17</v>
      </c>
      <c r="CH1599" s="22">
        <f t="shared" si="280"/>
        <v>21966.359999999997</v>
      </c>
      <c r="CI1599" s="3">
        <f t="shared" si="281"/>
        <v>0</v>
      </c>
      <c r="CJ1599" s="17">
        <f t="shared" si="282"/>
        <v>12037</v>
      </c>
      <c r="CK1599" s="3" t="str">
        <f t="shared" si="283"/>
        <v>ماليزى اسنان</v>
      </c>
    </row>
    <row r="1600" spans="1:89" s="201" customFormat="1" x14ac:dyDescent="0.25">
      <c r="A1600" s="202"/>
      <c r="B1600" s="203"/>
      <c r="C1600" s="203"/>
      <c r="D1600" s="203"/>
      <c r="E1600" s="203">
        <v>12038</v>
      </c>
      <c r="F1600" s="201" t="s">
        <v>132</v>
      </c>
      <c r="G1600" s="201" t="s">
        <v>5001</v>
      </c>
      <c r="I1600" s="201">
        <v>22712.720000000001</v>
      </c>
      <c r="AU1600" s="22">
        <f t="shared" si="279"/>
        <v>22712.720000000001</v>
      </c>
      <c r="AV1600" s="201">
        <v>19452.13</v>
      </c>
      <c r="AW1600" s="201">
        <v>2391.4499999999998</v>
      </c>
      <c r="AX1600" s="201">
        <v>869.14</v>
      </c>
      <c r="CH1600" s="22">
        <f t="shared" si="280"/>
        <v>22712.720000000001</v>
      </c>
      <c r="CI1600" s="3">
        <f t="shared" si="281"/>
        <v>0</v>
      </c>
      <c r="CJ1600" s="17">
        <f t="shared" si="282"/>
        <v>12038</v>
      </c>
      <c r="CK1600" s="3" t="str">
        <f t="shared" si="283"/>
        <v>صيدلة اكلينيكى</v>
      </c>
    </row>
    <row r="1601" spans="1:89" s="201" customFormat="1" x14ac:dyDescent="0.25">
      <c r="A1601" s="202"/>
      <c r="B1601" s="203"/>
      <c r="C1601" s="203"/>
      <c r="D1601" s="203"/>
      <c r="E1601" s="203">
        <v>12039</v>
      </c>
      <c r="F1601" s="201" t="s">
        <v>132</v>
      </c>
      <c r="G1601" s="201" t="s">
        <v>5001</v>
      </c>
      <c r="I1601" s="201">
        <v>6058.96</v>
      </c>
      <c r="AU1601" s="22">
        <f t="shared" si="279"/>
        <v>6058.96</v>
      </c>
      <c r="AV1601" s="201">
        <v>4603.1000000000004</v>
      </c>
      <c r="AW1601" s="201">
        <v>594.5</v>
      </c>
      <c r="AX1601" s="201">
        <v>861.36</v>
      </c>
      <c r="CH1601" s="22">
        <f t="shared" si="280"/>
        <v>6058.96</v>
      </c>
      <c r="CI1601" s="3">
        <f t="shared" si="281"/>
        <v>0</v>
      </c>
      <c r="CJ1601" s="17">
        <f t="shared" si="282"/>
        <v>12039</v>
      </c>
      <c r="CK1601" s="3" t="str">
        <f t="shared" si="283"/>
        <v>صيدلة اكلينيكى</v>
      </c>
    </row>
    <row r="1602" spans="1:89" s="201" customFormat="1" x14ac:dyDescent="0.25">
      <c r="A1602" s="202"/>
      <c r="B1602" s="203"/>
      <c r="C1602" s="203"/>
      <c r="D1602" s="203"/>
      <c r="E1602" s="203">
        <v>12040</v>
      </c>
      <c r="F1602" s="201" t="s">
        <v>332</v>
      </c>
      <c r="G1602" s="201" t="s">
        <v>5003</v>
      </c>
      <c r="AU1602" s="22">
        <f t="shared" si="279"/>
        <v>0</v>
      </c>
      <c r="CH1602" s="22">
        <f t="shared" si="280"/>
        <v>0</v>
      </c>
      <c r="CI1602" s="3">
        <f t="shared" si="281"/>
        <v>0</v>
      </c>
      <c r="CJ1602" s="17">
        <f t="shared" si="282"/>
        <v>12040</v>
      </c>
      <c r="CK1602" s="3" t="str">
        <f t="shared" si="283"/>
        <v xml:space="preserve">لاب فقط </v>
      </c>
    </row>
    <row r="1603" spans="1:89" x14ac:dyDescent="0.25">
      <c r="C1603" s="17" t="s">
        <v>571</v>
      </c>
      <c r="D1603" s="17">
        <v>19217</v>
      </c>
      <c r="E1603" s="203">
        <v>12041</v>
      </c>
      <c r="F1603" s="3" t="s">
        <v>132</v>
      </c>
      <c r="G1603" s="3" t="s">
        <v>5000</v>
      </c>
      <c r="I1603" s="3">
        <v>244.47</v>
      </c>
      <c r="AU1603" s="22">
        <f t="shared" si="279"/>
        <v>244.47</v>
      </c>
      <c r="AV1603" s="3">
        <v>166.26</v>
      </c>
      <c r="AW1603" s="3">
        <v>19.32</v>
      </c>
      <c r="AX1603" s="3">
        <v>58.89</v>
      </c>
      <c r="CH1603" s="10">
        <f t="shared" si="280"/>
        <v>244.46999999999997</v>
      </c>
      <c r="CI1603" s="3">
        <f t="shared" si="281"/>
        <v>0</v>
      </c>
      <c r="CJ1603" s="17">
        <f t="shared" si="282"/>
        <v>12041</v>
      </c>
      <c r="CK1603" s="3" t="str">
        <f t="shared" si="283"/>
        <v>صيدلة اكلينيكى</v>
      </c>
    </row>
    <row r="1604" spans="1:89" x14ac:dyDescent="0.25">
      <c r="C1604" s="17" t="s">
        <v>571</v>
      </c>
      <c r="D1604" s="17">
        <v>19218</v>
      </c>
      <c r="E1604" s="203">
        <v>12042</v>
      </c>
      <c r="F1604" s="3" t="s">
        <v>132</v>
      </c>
      <c r="G1604" s="3" t="s">
        <v>5000</v>
      </c>
      <c r="I1604" s="3">
        <v>244.47</v>
      </c>
      <c r="AU1604" s="22">
        <f t="shared" si="279"/>
        <v>244.47</v>
      </c>
      <c r="AV1604" s="3">
        <v>166.26</v>
      </c>
      <c r="AW1604" s="3">
        <v>19.32</v>
      </c>
      <c r="AX1604" s="3">
        <v>58.89</v>
      </c>
      <c r="CH1604" s="10">
        <f t="shared" si="280"/>
        <v>244.46999999999997</v>
      </c>
      <c r="CI1604" s="3">
        <f t="shared" si="281"/>
        <v>0</v>
      </c>
      <c r="CJ1604" s="17">
        <f t="shared" si="282"/>
        <v>12042</v>
      </c>
      <c r="CK1604" s="3" t="str">
        <f t="shared" si="283"/>
        <v>صيدلة اكلينيكى</v>
      </c>
    </row>
    <row r="1605" spans="1:89" s="201" customFormat="1" ht="47.25" x14ac:dyDescent="0.25">
      <c r="A1605" s="202"/>
      <c r="B1605" s="203"/>
      <c r="C1605" s="203"/>
      <c r="D1605" s="203"/>
      <c r="E1605" s="203">
        <v>12043</v>
      </c>
      <c r="F1605" s="201" t="s">
        <v>171</v>
      </c>
      <c r="G1605" s="208" t="s">
        <v>5051</v>
      </c>
      <c r="AG1605" s="201">
        <v>1110</v>
      </c>
      <c r="AU1605" s="22">
        <f t="shared" si="279"/>
        <v>1110</v>
      </c>
      <c r="CG1605" s="201">
        <v>1110</v>
      </c>
      <c r="CH1605" s="22">
        <f t="shared" si="280"/>
        <v>1110</v>
      </c>
      <c r="CI1605" s="3">
        <f t="shared" si="281"/>
        <v>0</v>
      </c>
      <c r="CJ1605" s="17">
        <f t="shared" si="282"/>
        <v>12043</v>
      </c>
      <c r="CK1605" s="3" t="str">
        <f t="shared" si="283"/>
        <v>تحاليل طبية</v>
      </c>
    </row>
    <row r="1606" spans="1:89" s="201" customFormat="1" x14ac:dyDescent="0.25">
      <c r="A1606" s="202"/>
      <c r="B1606" s="203"/>
      <c r="C1606" s="203"/>
      <c r="D1606" s="203"/>
      <c r="E1606" s="203">
        <v>12044</v>
      </c>
      <c r="F1606" s="201" t="s">
        <v>332</v>
      </c>
      <c r="G1606" s="201" t="s">
        <v>5002</v>
      </c>
      <c r="AU1606" s="22">
        <f t="shared" si="279"/>
        <v>0</v>
      </c>
      <c r="CH1606" s="22">
        <f t="shared" si="280"/>
        <v>0</v>
      </c>
      <c r="CI1606" s="3">
        <f t="shared" si="281"/>
        <v>0</v>
      </c>
      <c r="CJ1606" s="17">
        <f t="shared" si="282"/>
        <v>12044</v>
      </c>
      <c r="CK1606" s="3" t="str">
        <f t="shared" si="283"/>
        <v xml:space="preserve">لاب فقط </v>
      </c>
    </row>
    <row r="1607" spans="1:89" s="201" customFormat="1" x14ac:dyDescent="0.25">
      <c r="A1607" s="202"/>
      <c r="B1607" s="203"/>
      <c r="C1607" s="203" t="s">
        <v>555</v>
      </c>
      <c r="D1607" s="203">
        <v>19230</v>
      </c>
      <c r="E1607" s="203">
        <v>12045</v>
      </c>
      <c r="F1607" s="201" t="s">
        <v>249</v>
      </c>
      <c r="G1607" s="201" t="str">
        <f>+G1568</f>
        <v>مكافاه امتياز فبراير</v>
      </c>
      <c r="I1607" s="201">
        <v>5786.29</v>
      </c>
      <c r="AU1607" s="22">
        <f t="shared" si="279"/>
        <v>5786.29</v>
      </c>
      <c r="AV1607" s="201">
        <v>3622.65</v>
      </c>
      <c r="AW1607" s="201">
        <v>522.75</v>
      </c>
      <c r="AX1607" s="201">
        <v>1394.14</v>
      </c>
      <c r="AY1607" s="201">
        <v>246.75</v>
      </c>
      <c r="CH1607" s="22">
        <f t="shared" si="280"/>
        <v>5786.29</v>
      </c>
      <c r="CI1607" s="3">
        <f t="shared" si="281"/>
        <v>0</v>
      </c>
      <c r="CJ1607" s="17">
        <f t="shared" si="282"/>
        <v>12045</v>
      </c>
      <c r="CK1607" s="3" t="str">
        <f t="shared" si="283"/>
        <v>خدمة عامة</v>
      </c>
    </row>
    <row r="1608" spans="1:89" s="201" customFormat="1" x14ac:dyDescent="0.25">
      <c r="A1608" s="202"/>
      <c r="B1608" s="203"/>
      <c r="C1608" s="203" t="s">
        <v>555</v>
      </c>
      <c r="D1608" s="203">
        <v>19231</v>
      </c>
      <c r="E1608" s="203">
        <v>12046</v>
      </c>
      <c r="F1608" s="201" t="s">
        <v>249</v>
      </c>
      <c r="G1608" s="201" t="str">
        <f>G1607</f>
        <v>مكافاه امتياز فبراير</v>
      </c>
      <c r="I1608" s="201">
        <v>10260</v>
      </c>
      <c r="AU1608" s="22">
        <f t="shared" si="279"/>
        <v>10260</v>
      </c>
      <c r="AV1608" s="201">
        <v>8646.1</v>
      </c>
      <c r="AW1608" s="201">
        <v>1100.9000000000001</v>
      </c>
      <c r="AY1608" s="201">
        <v>513</v>
      </c>
      <c r="CH1608" s="22">
        <f t="shared" si="280"/>
        <v>10260</v>
      </c>
      <c r="CI1608" s="3">
        <f t="shared" si="281"/>
        <v>0</v>
      </c>
      <c r="CJ1608" s="17">
        <f t="shared" si="282"/>
        <v>12046</v>
      </c>
      <c r="CK1608" s="3" t="str">
        <f t="shared" si="283"/>
        <v>خدمة عامة</v>
      </c>
    </row>
    <row r="1609" spans="1:89" x14ac:dyDescent="0.25">
      <c r="C1609" s="203" t="s">
        <v>555</v>
      </c>
      <c r="D1609" s="17">
        <v>19229</v>
      </c>
      <c r="E1609" s="203">
        <v>12047</v>
      </c>
      <c r="F1609" s="3" t="s">
        <v>249</v>
      </c>
      <c r="G1609" s="201" t="str">
        <f>G1608</f>
        <v>مكافاه امتياز فبراير</v>
      </c>
      <c r="I1609" s="3">
        <v>59842.57</v>
      </c>
      <c r="AU1609" s="22">
        <f t="shared" si="279"/>
        <v>59842.57</v>
      </c>
      <c r="AV1609" s="3">
        <v>45788.87</v>
      </c>
      <c r="AW1609" s="3">
        <v>6072.2</v>
      </c>
      <c r="AX1609" s="3">
        <v>5146.5</v>
      </c>
      <c r="AY1609" s="3">
        <v>2835</v>
      </c>
      <c r="CH1609" s="22">
        <f t="shared" si="280"/>
        <v>59842.57</v>
      </c>
      <c r="CI1609" s="3">
        <f t="shared" si="281"/>
        <v>0</v>
      </c>
      <c r="CJ1609" s="17">
        <f t="shared" si="282"/>
        <v>12047</v>
      </c>
      <c r="CK1609" s="3" t="str">
        <f t="shared" si="283"/>
        <v>خدمة عامة</v>
      </c>
    </row>
    <row r="1610" spans="1:89" x14ac:dyDescent="0.25">
      <c r="C1610" s="203"/>
      <c r="D1610" s="17">
        <v>19551</v>
      </c>
      <c r="E1610" s="203">
        <v>12048</v>
      </c>
      <c r="F1610" s="3" t="s">
        <v>249</v>
      </c>
      <c r="G1610" s="201" t="s">
        <v>4993</v>
      </c>
      <c r="Y1610" s="3">
        <v>4250</v>
      </c>
      <c r="AU1610" s="22">
        <f t="shared" si="279"/>
        <v>4250</v>
      </c>
      <c r="AV1610" s="3">
        <v>4250</v>
      </c>
      <c r="CH1610" s="22">
        <f t="shared" si="280"/>
        <v>4250</v>
      </c>
      <c r="CI1610" s="3">
        <f t="shared" si="281"/>
        <v>0</v>
      </c>
      <c r="CJ1610" s="17">
        <f t="shared" si="282"/>
        <v>12048</v>
      </c>
      <c r="CK1610" s="3" t="str">
        <f t="shared" si="283"/>
        <v>خدمة عامة</v>
      </c>
    </row>
    <row r="1611" spans="1:89" x14ac:dyDescent="0.25">
      <c r="C1611" s="203"/>
      <c r="D1611" s="17">
        <v>19550</v>
      </c>
      <c r="E1611" s="203">
        <v>12049</v>
      </c>
      <c r="F1611" s="3" t="s">
        <v>249</v>
      </c>
      <c r="G1611" s="201" t="s">
        <v>4994</v>
      </c>
      <c r="Y1611" s="3">
        <v>1700</v>
      </c>
      <c r="AU1611" s="22">
        <f t="shared" si="279"/>
        <v>1700</v>
      </c>
      <c r="AV1611" s="3">
        <v>1700</v>
      </c>
      <c r="CH1611" s="22">
        <f t="shared" si="280"/>
        <v>1700</v>
      </c>
      <c r="CI1611" s="3">
        <f t="shared" si="281"/>
        <v>0</v>
      </c>
      <c r="CJ1611" s="17">
        <f t="shared" si="282"/>
        <v>12049</v>
      </c>
      <c r="CK1611" s="3" t="str">
        <f t="shared" si="283"/>
        <v>خدمة عامة</v>
      </c>
    </row>
    <row r="1612" spans="1:89" x14ac:dyDescent="0.25">
      <c r="D1612" s="17">
        <v>19552</v>
      </c>
      <c r="E1612" s="203">
        <v>12050</v>
      </c>
      <c r="F1612" s="3" t="s">
        <v>249</v>
      </c>
      <c r="G1612" s="3" t="s">
        <v>4995</v>
      </c>
      <c r="Y1612" s="3">
        <v>17000</v>
      </c>
      <c r="AU1612" s="22">
        <f t="shared" si="279"/>
        <v>17000</v>
      </c>
      <c r="AV1612" s="3">
        <v>17000</v>
      </c>
      <c r="CH1612" s="22">
        <f t="shared" si="280"/>
        <v>17000</v>
      </c>
      <c r="CI1612" s="3">
        <f t="shared" si="281"/>
        <v>0</v>
      </c>
      <c r="CJ1612" s="17">
        <f t="shared" si="282"/>
        <v>12050</v>
      </c>
      <c r="CK1612" s="3" t="str">
        <f t="shared" si="283"/>
        <v>خدمة عامة</v>
      </c>
    </row>
    <row r="1613" spans="1:89" x14ac:dyDescent="0.25">
      <c r="D1613" s="17">
        <v>19090</v>
      </c>
      <c r="E1613" s="203">
        <v>12051</v>
      </c>
      <c r="F1613" s="3" t="s">
        <v>132</v>
      </c>
      <c r="G1613" s="3" t="s">
        <v>721</v>
      </c>
      <c r="J1613" s="3">
        <v>1470</v>
      </c>
      <c r="AU1613" s="22">
        <f t="shared" si="279"/>
        <v>1470</v>
      </c>
      <c r="AV1613" s="3">
        <v>1470</v>
      </c>
      <c r="CH1613" s="22">
        <f t="shared" si="280"/>
        <v>1470</v>
      </c>
      <c r="CI1613" s="3">
        <f t="shared" si="281"/>
        <v>0</v>
      </c>
      <c r="CJ1613" s="17">
        <f t="shared" si="282"/>
        <v>12051</v>
      </c>
      <c r="CK1613" s="3" t="str">
        <f t="shared" si="283"/>
        <v>صيدلة اكلينيكى</v>
      </c>
    </row>
    <row r="1614" spans="1:89" x14ac:dyDescent="0.25">
      <c r="D1614" s="17">
        <v>19089</v>
      </c>
      <c r="E1614" s="203">
        <v>12052</v>
      </c>
      <c r="F1614" s="3" t="s">
        <v>132</v>
      </c>
      <c r="G1614" s="3" t="s">
        <v>722</v>
      </c>
      <c r="J1614" s="3">
        <v>1700</v>
      </c>
      <c r="AU1614" s="22">
        <f t="shared" si="279"/>
        <v>1700</v>
      </c>
      <c r="AV1614" s="3">
        <v>1462.1</v>
      </c>
      <c r="AW1614" s="3">
        <f>24.75+74.25+9.9</f>
        <v>108.9</v>
      </c>
      <c r="AY1614" s="3">
        <v>5</v>
      </c>
      <c r="BK1614" s="3">
        <v>17</v>
      </c>
      <c r="BL1614" s="3">
        <v>22</v>
      </c>
      <c r="BO1614" s="3">
        <v>85</v>
      </c>
      <c r="CH1614" s="22">
        <f t="shared" si="280"/>
        <v>1700</v>
      </c>
      <c r="CI1614" s="3">
        <f t="shared" si="281"/>
        <v>0</v>
      </c>
      <c r="CJ1614" s="17">
        <f t="shared" si="282"/>
        <v>12052</v>
      </c>
      <c r="CK1614" s="3" t="str">
        <f t="shared" si="283"/>
        <v>صيدلة اكلينيكى</v>
      </c>
    </row>
    <row r="1615" spans="1:89" x14ac:dyDescent="0.25">
      <c r="D1615" s="17">
        <v>17947</v>
      </c>
      <c r="E1615" s="203">
        <v>12053</v>
      </c>
      <c r="F1615" s="3" t="s">
        <v>132</v>
      </c>
      <c r="G1615" s="3" t="s">
        <v>4996</v>
      </c>
      <c r="J1615" s="3">
        <v>3200</v>
      </c>
      <c r="AU1615" s="22">
        <f t="shared" si="279"/>
        <v>3200</v>
      </c>
      <c r="AV1615" s="3">
        <v>2770.5</v>
      </c>
      <c r="AW1615" s="3">
        <f>47.25+141.75+13.5</f>
        <v>202.5</v>
      </c>
      <c r="AY1615" s="3">
        <v>5</v>
      </c>
      <c r="BK1615" s="3">
        <v>32</v>
      </c>
      <c r="BL1615" s="3">
        <v>30</v>
      </c>
      <c r="BO1615" s="3">
        <v>160</v>
      </c>
      <c r="CH1615" s="22">
        <f t="shared" si="280"/>
        <v>3200</v>
      </c>
      <c r="CI1615" s="3">
        <f t="shared" si="281"/>
        <v>0</v>
      </c>
      <c r="CJ1615" s="17">
        <f t="shared" si="282"/>
        <v>12053</v>
      </c>
      <c r="CK1615" s="3" t="str">
        <f t="shared" si="283"/>
        <v>صيدلة اكلينيكى</v>
      </c>
    </row>
    <row r="1616" spans="1:89" x14ac:dyDescent="0.25">
      <c r="D1616" s="17">
        <v>18876</v>
      </c>
      <c r="E1616" s="203">
        <v>12054</v>
      </c>
      <c r="F1616" s="3" t="s">
        <v>130</v>
      </c>
      <c r="G1616" s="3" t="s">
        <v>4997</v>
      </c>
      <c r="J1616" s="3">
        <v>38073.760000000002</v>
      </c>
      <c r="AU1616" s="22">
        <f t="shared" si="279"/>
        <v>38073.760000000002</v>
      </c>
      <c r="AV1616" s="3">
        <v>34546.86</v>
      </c>
      <c r="AW1616" s="3">
        <f>300.4+901.2+36</f>
        <v>1237.5999999999999</v>
      </c>
      <c r="AY1616" s="3">
        <v>5</v>
      </c>
      <c r="BL1616" s="3">
        <v>80</v>
      </c>
      <c r="BM1616" s="3">
        <f>150.3*2</f>
        <v>300.60000000000002</v>
      </c>
      <c r="BN1616" s="3">
        <v>1903.7</v>
      </c>
      <c r="CH1616" s="22">
        <f t="shared" si="280"/>
        <v>38073.759999999995</v>
      </c>
      <c r="CI1616" s="3">
        <f t="shared" si="281"/>
        <v>0</v>
      </c>
      <c r="CJ1616" s="17">
        <f t="shared" si="282"/>
        <v>12054</v>
      </c>
      <c r="CK1616" s="3" t="str">
        <f t="shared" si="283"/>
        <v>خ ت طب</v>
      </c>
    </row>
    <row r="1617" spans="1:92" x14ac:dyDescent="0.25">
      <c r="D1617" s="17">
        <v>19564</v>
      </c>
      <c r="E1617" s="203">
        <v>12055</v>
      </c>
      <c r="F1617" s="3" t="s">
        <v>130</v>
      </c>
      <c r="G1617" s="3" t="s">
        <v>385</v>
      </c>
      <c r="J1617" s="3">
        <v>1425</v>
      </c>
      <c r="AU1617" s="22">
        <f t="shared" si="279"/>
        <v>1425</v>
      </c>
      <c r="AV1617" s="3">
        <v>1295.5</v>
      </c>
      <c r="AW1617" s="3">
        <v>74.7</v>
      </c>
      <c r="BK1617" s="3">
        <v>37.5</v>
      </c>
      <c r="BL1617" s="3">
        <v>6</v>
      </c>
      <c r="BM1617" s="3">
        <f>5.65*2</f>
        <v>11.3</v>
      </c>
      <c r="CH1617" s="22">
        <f t="shared" si="280"/>
        <v>1425</v>
      </c>
      <c r="CI1617" s="3">
        <f t="shared" si="281"/>
        <v>0</v>
      </c>
      <c r="CJ1617" s="17">
        <f t="shared" si="282"/>
        <v>12055</v>
      </c>
      <c r="CK1617" s="3" t="str">
        <f t="shared" si="283"/>
        <v>خ ت طب</v>
      </c>
    </row>
    <row r="1618" spans="1:92" x14ac:dyDescent="0.25">
      <c r="D1618" s="17">
        <v>15827</v>
      </c>
      <c r="E1618" s="203">
        <v>12056</v>
      </c>
      <c r="F1618" s="3" t="s">
        <v>325</v>
      </c>
      <c r="G1618" s="3" t="s">
        <v>4998</v>
      </c>
      <c r="J1618" s="3">
        <v>71345</v>
      </c>
      <c r="AU1618" s="22">
        <f t="shared" si="279"/>
        <v>71345</v>
      </c>
      <c r="AV1618" s="3">
        <v>64201.599999999999</v>
      </c>
      <c r="AW1618" s="3">
        <f>527.8+1583.4+32.4</f>
        <v>2143.6</v>
      </c>
      <c r="AY1618" s="3">
        <v>5</v>
      </c>
      <c r="BK1618" s="3">
        <v>713.45</v>
      </c>
      <c r="BL1618" s="3">
        <v>72</v>
      </c>
      <c r="BM1618" s="3">
        <f>321.05*2</f>
        <v>642.1</v>
      </c>
      <c r="BN1618" s="3">
        <v>3567.25</v>
      </c>
      <c r="CH1618" s="22">
        <f t="shared" si="280"/>
        <v>71345</v>
      </c>
      <c r="CI1618" s="3">
        <f t="shared" si="281"/>
        <v>0</v>
      </c>
      <c r="CJ1618" s="17">
        <f t="shared" si="282"/>
        <v>12056</v>
      </c>
      <c r="CK1618" s="3" t="str">
        <f t="shared" si="283"/>
        <v xml:space="preserve">برنامج دولى </v>
      </c>
    </row>
    <row r="1619" spans="1:92" x14ac:dyDescent="0.25">
      <c r="D1619" s="17">
        <v>18664</v>
      </c>
      <c r="E1619" s="203">
        <v>12057</v>
      </c>
      <c r="G1619" s="3" t="s">
        <v>4962</v>
      </c>
      <c r="AE1619" s="3">
        <v>882.9</v>
      </c>
      <c r="AU1619" s="22">
        <f t="shared" ref="AU1619:AU1789" si="286">SUM(I1619:AS1619)</f>
        <v>882.9</v>
      </c>
      <c r="AV1619" s="3">
        <v>882.9</v>
      </c>
      <c r="CH1619" s="22">
        <f t="shared" si="280"/>
        <v>882.9</v>
      </c>
      <c r="CI1619" s="3">
        <f t="shared" si="281"/>
        <v>0</v>
      </c>
      <c r="CJ1619" s="17">
        <f t="shared" si="282"/>
        <v>12057</v>
      </c>
      <c r="CK1619" s="3">
        <f t="shared" si="283"/>
        <v>0</v>
      </c>
    </row>
    <row r="1620" spans="1:92" s="29" customFormat="1" x14ac:dyDescent="0.25">
      <c r="A1620" s="27"/>
      <c r="B1620" s="28"/>
      <c r="C1620" s="28"/>
      <c r="D1620" s="28"/>
      <c r="E1620" s="28"/>
      <c r="G1620" s="29" t="s">
        <v>5004</v>
      </c>
      <c r="I1620" s="29">
        <f>SUM(I1592:I1619)</f>
        <v>295151.32</v>
      </c>
      <c r="J1620" s="29">
        <f t="shared" ref="J1620:BX1620" si="287">SUM(J1592:J1619)</f>
        <v>117213.76000000001</v>
      </c>
      <c r="K1620" s="29">
        <f t="shared" si="287"/>
        <v>0</v>
      </c>
      <c r="L1620" s="29">
        <f t="shared" si="287"/>
        <v>0</v>
      </c>
      <c r="M1620" s="29">
        <f t="shared" si="287"/>
        <v>0</v>
      </c>
      <c r="N1620" s="29">
        <f t="shared" si="287"/>
        <v>0</v>
      </c>
      <c r="O1620" s="29">
        <f t="shared" si="287"/>
        <v>0</v>
      </c>
      <c r="P1620" s="29">
        <f t="shared" si="287"/>
        <v>0</v>
      </c>
      <c r="Q1620" s="29">
        <f t="shared" si="287"/>
        <v>0</v>
      </c>
      <c r="R1620" s="29">
        <f t="shared" si="287"/>
        <v>0</v>
      </c>
      <c r="S1620" s="29">
        <f t="shared" si="287"/>
        <v>0</v>
      </c>
      <c r="T1620" s="29">
        <f t="shared" si="287"/>
        <v>0</v>
      </c>
      <c r="U1620" s="29">
        <f t="shared" si="287"/>
        <v>0</v>
      </c>
      <c r="V1620" s="29">
        <f t="shared" si="287"/>
        <v>0</v>
      </c>
      <c r="W1620" s="29">
        <f t="shared" si="287"/>
        <v>0</v>
      </c>
      <c r="X1620" s="29">
        <f t="shared" si="287"/>
        <v>0</v>
      </c>
      <c r="Y1620" s="29">
        <f t="shared" si="287"/>
        <v>22950</v>
      </c>
      <c r="Z1620" s="29">
        <f t="shared" si="287"/>
        <v>0</v>
      </c>
      <c r="AA1620" s="29">
        <f t="shared" si="287"/>
        <v>0</v>
      </c>
      <c r="AB1620" s="29">
        <f t="shared" si="287"/>
        <v>0</v>
      </c>
      <c r="AC1620" s="29">
        <f t="shared" si="287"/>
        <v>0</v>
      </c>
      <c r="AD1620" s="29">
        <f t="shared" si="287"/>
        <v>0</v>
      </c>
      <c r="AE1620" s="29">
        <f t="shared" si="287"/>
        <v>882.9</v>
      </c>
      <c r="AG1620" s="29">
        <f t="shared" si="287"/>
        <v>1110</v>
      </c>
      <c r="AH1620" s="29">
        <f t="shared" si="287"/>
        <v>0</v>
      </c>
      <c r="AI1620" s="29">
        <f t="shared" si="287"/>
        <v>0</v>
      </c>
      <c r="AJ1620" s="29">
        <f t="shared" si="287"/>
        <v>0</v>
      </c>
      <c r="AK1620" s="29">
        <f t="shared" si="287"/>
        <v>0</v>
      </c>
      <c r="AL1620" s="29">
        <f t="shared" si="287"/>
        <v>0</v>
      </c>
      <c r="AM1620" s="29">
        <f t="shared" si="287"/>
        <v>0</v>
      </c>
      <c r="AN1620" s="29">
        <f t="shared" si="287"/>
        <v>0</v>
      </c>
      <c r="AO1620" s="29">
        <f t="shared" si="287"/>
        <v>0</v>
      </c>
      <c r="AP1620" s="29">
        <f t="shared" si="287"/>
        <v>0</v>
      </c>
      <c r="AQ1620" s="29">
        <f t="shared" si="287"/>
        <v>0</v>
      </c>
      <c r="AR1620" s="29">
        <f t="shared" si="287"/>
        <v>0</v>
      </c>
      <c r="AS1620" s="29">
        <f t="shared" si="287"/>
        <v>0</v>
      </c>
      <c r="AT1620" s="29">
        <f t="shared" si="287"/>
        <v>0</v>
      </c>
      <c r="AU1620" s="22">
        <f t="shared" si="286"/>
        <v>437307.98000000004</v>
      </c>
      <c r="AV1620" s="29">
        <f t="shared" si="287"/>
        <v>356904.9</v>
      </c>
      <c r="AW1620" s="29">
        <f t="shared" si="287"/>
        <v>33168.21</v>
      </c>
      <c r="AX1620" s="29">
        <f t="shared" si="287"/>
        <v>34830.22</v>
      </c>
      <c r="AY1620" s="29">
        <f t="shared" si="287"/>
        <v>3614.75</v>
      </c>
      <c r="AZ1620" s="29">
        <f t="shared" si="287"/>
        <v>0</v>
      </c>
      <c r="BA1620" s="29">
        <f t="shared" si="287"/>
        <v>0</v>
      </c>
      <c r="BB1620" s="29">
        <f t="shared" si="287"/>
        <v>0</v>
      </c>
      <c r="BC1620" s="29">
        <f t="shared" si="287"/>
        <v>0</v>
      </c>
      <c r="BD1620" s="29">
        <f t="shared" si="287"/>
        <v>0</v>
      </c>
      <c r="BF1620" s="29">
        <f t="shared" si="287"/>
        <v>0</v>
      </c>
      <c r="BG1620" s="29">
        <f t="shared" si="287"/>
        <v>0</v>
      </c>
      <c r="BH1620" s="29">
        <f t="shared" si="287"/>
        <v>0</v>
      </c>
      <c r="BI1620" s="29">
        <f t="shared" si="287"/>
        <v>0</v>
      </c>
      <c r="BJ1620" s="29">
        <f t="shared" si="287"/>
        <v>0</v>
      </c>
      <c r="BK1620" s="29">
        <f t="shared" si="287"/>
        <v>799.95</v>
      </c>
      <c r="BL1620" s="29">
        <f t="shared" si="287"/>
        <v>210</v>
      </c>
      <c r="BM1620" s="29">
        <f t="shared" si="287"/>
        <v>954</v>
      </c>
      <c r="BN1620" s="29">
        <f t="shared" si="287"/>
        <v>5470.95</v>
      </c>
      <c r="BO1620" s="29">
        <f t="shared" si="287"/>
        <v>245</v>
      </c>
      <c r="BP1620" s="29">
        <f t="shared" si="287"/>
        <v>0</v>
      </c>
      <c r="BQ1620" s="29">
        <f t="shared" si="287"/>
        <v>0</v>
      </c>
      <c r="BR1620" s="29">
        <f t="shared" si="287"/>
        <v>0</v>
      </c>
      <c r="BS1620" s="29">
        <f t="shared" si="287"/>
        <v>0</v>
      </c>
      <c r="BT1620" s="29">
        <f t="shared" si="287"/>
        <v>0</v>
      </c>
      <c r="BU1620" s="29">
        <f t="shared" si="287"/>
        <v>0</v>
      </c>
      <c r="BV1620" s="29">
        <f t="shared" si="287"/>
        <v>0</v>
      </c>
      <c r="BW1620" s="29">
        <f t="shared" si="287"/>
        <v>0</v>
      </c>
      <c r="BX1620" s="29">
        <f t="shared" si="287"/>
        <v>0</v>
      </c>
      <c r="BY1620" s="29">
        <f t="shared" ref="BY1620:CG1620" si="288">SUM(BY1592:BY1619)</f>
        <v>0</v>
      </c>
      <c r="BZ1620" s="29">
        <f t="shared" si="288"/>
        <v>0</v>
      </c>
      <c r="CA1620" s="29">
        <f t="shared" si="288"/>
        <v>0</v>
      </c>
      <c r="CB1620" s="29">
        <f t="shared" si="288"/>
        <v>0</v>
      </c>
      <c r="CC1620" s="29">
        <f t="shared" si="288"/>
        <v>0</v>
      </c>
      <c r="CD1620" s="29">
        <f t="shared" si="288"/>
        <v>0</v>
      </c>
      <c r="CE1620" s="29">
        <f t="shared" si="288"/>
        <v>0</v>
      </c>
      <c r="CF1620" s="29">
        <f t="shared" si="288"/>
        <v>0</v>
      </c>
      <c r="CG1620" s="29">
        <f t="shared" si="288"/>
        <v>1110</v>
      </c>
      <c r="CH1620" s="22">
        <f t="shared" ref="CH1620:CH1683" si="289">SUM(AV1620:CG1620)</f>
        <v>437307.9800000001</v>
      </c>
      <c r="CI1620" s="3">
        <f t="shared" ref="CI1620:CI1664" si="290">+CH1620-AU1620</f>
        <v>0</v>
      </c>
      <c r="CJ1620" s="17">
        <f t="shared" ref="CJ1620:CJ1665" si="291">+E1620</f>
        <v>0</v>
      </c>
      <c r="CK1620" s="3">
        <f t="shared" ref="CK1620:CK1665" si="292">+F1620</f>
        <v>0</v>
      </c>
      <c r="CL1620" s="29">
        <f t="shared" ref="CL1620:CN1620" si="293">SUM(CL1592:CL1619)</f>
        <v>0</v>
      </c>
      <c r="CM1620" s="29">
        <f t="shared" si="293"/>
        <v>0</v>
      </c>
      <c r="CN1620" s="29">
        <f t="shared" si="293"/>
        <v>0</v>
      </c>
    </row>
    <row r="1621" spans="1:92" s="201" customFormat="1" x14ac:dyDescent="0.25">
      <c r="A1621" s="202"/>
      <c r="B1621" s="203">
        <v>1</v>
      </c>
      <c r="C1621" s="203" t="s">
        <v>561</v>
      </c>
      <c r="D1621" s="203">
        <v>19634</v>
      </c>
      <c r="E1621" s="203">
        <v>12058</v>
      </c>
      <c r="F1621" s="201" t="s">
        <v>130</v>
      </c>
      <c r="G1621" s="201" t="s">
        <v>5020</v>
      </c>
      <c r="I1621" s="201">
        <v>293.12</v>
      </c>
      <c r="AU1621" s="22">
        <f t="shared" si="286"/>
        <v>293.12</v>
      </c>
      <c r="AV1621" s="201">
        <v>177.61</v>
      </c>
      <c r="AW1621" s="201">
        <v>32.39</v>
      </c>
      <c r="AX1621" s="201">
        <v>70.62</v>
      </c>
      <c r="AY1621" s="201">
        <v>12.5</v>
      </c>
      <c r="CH1621" s="22">
        <f t="shared" ref="CH1621:CH1655" si="294">SUM(AV1621:CG1621)</f>
        <v>293.12</v>
      </c>
      <c r="CI1621" s="3">
        <f t="shared" si="290"/>
        <v>0</v>
      </c>
      <c r="CJ1621" s="17">
        <f t="shared" si="291"/>
        <v>12058</v>
      </c>
      <c r="CK1621" s="3" t="str">
        <f t="shared" si="292"/>
        <v>خ ت طب</v>
      </c>
    </row>
    <row r="1622" spans="1:92" s="201" customFormat="1" x14ac:dyDescent="0.25">
      <c r="A1622" s="202"/>
      <c r="B1622" s="203">
        <v>2</v>
      </c>
      <c r="C1622" s="203" t="s">
        <v>561</v>
      </c>
      <c r="D1622" s="203">
        <v>19635</v>
      </c>
      <c r="E1622" s="203">
        <v>12059</v>
      </c>
      <c r="F1622" s="201" t="s">
        <v>130</v>
      </c>
      <c r="G1622" s="201" t="s">
        <v>5020</v>
      </c>
      <c r="I1622" s="201">
        <v>762.12</v>
      </c>
      <c r="AU1622" s="22">
        <f t="shared" si="286"/>
        <v>762.12</v>
      </c>
      <c r="AV1622" s="201">
        <v>489.02</v>
      </c>
      <c r="AW1622" s="201">
        <v>56.98</v>
      </c>
      <c r="AX1622" s="201">
        <v>183.62</v>
      </c>
      <c r="AY1622" s="201">
        <v>32.5</v>
      </c>
      <c r="CH1622" s="22">
        <f t="shared" si="294"/>
        <v>762.12</v>
      </c>
      <c r="CI1622" s="3">
        <f t="shared" si="290"/>
        <v>0</v>
      </c>
      <c r="CJ1622" s="17">
        <f t="shared" si="291"/>
        <v>12059</v>
      </c>
      <c r="CK1622" s="3" t="str">
        <f t="shared" si="292"/>
        <v>خ ت طب</v>
      </c>
    </row>
    <row r="1623" spans="1:92" s="201" customFormat="1" x14ac:dyDescent="0.25">
      <c r="A1623" s="202"/>
      <c r="B1623" s="203">
        <v>3</v>
      </c>
      <c r="C1623" s="203" t="s">
        <v>561</v>
      </c>
      <c r="D1623" s="203">
        <v>19682</v>
      </c>
      <c r="E1623" s="203">
        <v>12060</v>
      </c>
      <c r="F1623" s="201" t="s">
        <v>130</v>
      </c>
      <c r="G1623" s="201" t="s">
        <v>5021</v>
      </c>
      <c r="I1623" s="201">
        <v>173.8</v>
      </c>
      <c r="AU1623" s="22">
        <f t="shared" si="286"/>
        <v>173.8</v>
      </c>
      <c r="AV1623" s="201">
        <v>128.88</v>
      </c>
      <c r="AW1623" s="201">
        <v>14.32</v>
      </c>
      <c r="AX1623" s="201">
        <v>22.6</v>
      </c>
      <c r="AY1623" s="201">
        <v>8</v>
      </c>
      <c r="CH1623" s="22">
        <f t="shared" si="294"/>
        <v>173.79999999999998</v>
      </c>
      <c r="CI1623" s="3">
        <f t="shared" si="290"/>
        <v>0</v>
      </c>
      <c r="CJ1623" s="17">
        <f t="shared" si="291"/>
        <v>12060</v>
      </c>
      <c r="CK1623" s="3" t="str">
        <f t="shared" si="292"/>
        <v>خ ت طب</v>
      </c>
    </row>
    <row r="1624" spans="1:92" s="201" customFormat="1" x14ac:dyDescent="0.25">
      <c r="A1624" s="202"/>
      <c r="B1624" s="203">
        <v>4</v>
      </c>
      <c r="C1624" s="203" t="s">
        <v>561</v>
      </c>
      <c r="D1624" s="203">
        <v>19683</v>
      </c>
      <c r="E1624" s="203">
        <v>12061</v>
      </c>
      <c r="F1624" s="201" t="s">
        <v>130</v>
      </c>
      <c r="G1624" s="201" t="s">
        <v>5021</v>
      </c>
      <c r="I1624" s="201">
        <v>133.80000000000001</v>
      </c>
      <c r="AU1624" s="22">
        <f t="shared" si="286"/>
        <v>133.80000000000001</v>
      </c>
      <c r="AV1624" s="201">
        <v>91.32</v>
      </c>
      <c r="AW1624" s="201">
        <v>13.88</v>
      </c>
      <c r="AX1624" s="201">
        <v>22.6</v>
      </c>
      <c r="AY1624" s="201">
        <v>6</v>
      </c>
      <c r="CH1624" s="22">
        <f t="shared" si="294"/>
        <v>133.79999999999998</v>
      </c>
      <c r="CI1624" s="3">
        <f t="shared" si="290"/>
        <v>0</v>
      </c>
      <c r="CJ1624" s="17">
        <f t="shared" si="291"/>
        <v>12061</v>
      </c>
      <c r="CK1624" s="3" t="str">
        <f t="shared" si="292"/>
        <v>خ ت طب</v>
      </c>
    </row>
    <row r="1625" spans="1:92" s="201" customFormat="1" x14ac:dyDescent="0.25">
      <c r="A1625" s="202"/>
      <c r="B1625" s="203">
        <v>5</v>
      </c>
      <c r="C1625" s="203" t="s">
        <v>561</v>
      </c>
      <c r="D1625" s="203">
        <v>19684</v>
      </c>
      <c r="E1625" s="203">
        <v>12062</v>
      </c>
      <c r="F1625" s="201" t="s">
        <v>130</v>
      </c>
      <c r="G1625" s="201" t="s">
        <v>5021</v>
      </c>
      <c r="I1625" s="201">
        <v>60</v>
      </c>
      <c r="AU1625" s="22">
        <f t="shared" si="286"/>
        <v>60</v>
      </c>
      <c r="AV1625" s="201">
        <v>51.21</v>
      </c>
      <c r="AW1625" s="201">
        <v>5.79</v>
      </c>
      <c r="AY1625" s="201">
        <v>3</v>
      </c>
      <c r="CH1625" s="22">
        <f t="shared" si="294"/>
        <v>60</v>
      </c>
      <c r="CI1625" s="3">
        <f t="shared" si="290"/>
        <v>0</v>
      </c>
      <c r="CJ1625" s="17">
        <f t="shared" si="291"/>
        <v>12062</v>
      </c>
      <c r="CK1625" s="3" t="str">
        <f t="shared" si="292"/>
        <v>خ ت طب</v>
      </c>
    </row>
    <row r="1626" spans="1:92" s="201" customFormat="1" x14ac:dyDescent="0.25">
      <c r="A1626" s="202"/>
      <c r="B1626" s="203">
        <v>6</v>
      </c>
      <c r="C1626" s="203" t="s">
        <v>561</v>
      </c>
      <c r="D1626" s="203">
        <v>19685</v>
      </c>
      <c r="E1626" s="203">
        <v>12063</v>
      </c>
      <c r="F1626" s="201" t="s">
        <v>130</v>
      </c>
      <c r="G1626" s="201" t="s">
        <v>5022</v>
      </c>
      <c r="I1626" s="201">
        <v>164.15</v>
      </c>
      <c r="AU1626" s="22">
        <f t="shared" si="286"/>
        <v>164.15</v>
      </c>
      <c r="AV1626" s="201">
        <v>99.92</v>
      </c>
      <c r="AW1626" s="201">
        <v>17.68</v>
      </c>
      <c r="AX1626" s="201">
        <v>39.549999999999997</v>
      </c>
      <c r="AY1626" s="201">
        <v>7</v>
      </c>
      <c r="CH1626" s="22">
        <f t="shared" si="294"/>
        <v>164.14999999999998</v>
      </c>
      <c r="CI1626" s="3">
        <f t="shared" si="290"/>
        <v>0</v>
      </c>
      <c r="CJ1626" s="17">
        <f t="shared" si="291"/>
        <v>12063</v>
      </c>
      <c r="CK1626" s="3" t="str">
        <f t="shared" si="292"/>
        <v>خ ت طب</v>
      </c>
    </row>
    <row r="1627" spans="1:92" s="201" customFormat="1" x14ac:dyDescent="0.25">
      <c r="A1627" s="202"/>
      <c r="B1627" s="203">
        <v>7</v>
      </c>
      <c r="C1627" s="203" t="s">
        <v>561</v>
      </c>
      <c r="D1627" s="203">
        <v>19686</v>
      </c>
      <c r="E1627" s="203">
        <v>12064</v>
      </c>
      <c r="F1627" s="201" t="s">
        <v>130</v>
      </c>
      <c r="G1627" s="201" t="s">
        <v>5022</v>
      </c>
      <c r="I1627" s="201">
        <v>46.9</v>
      </c>
      <c r="AU1627" s="22">
        <f t="shared" si="286"/>
        <v>46.9</v>
      </c>
      <c r="AV1627" s="201">
        <v>30.24</v>
      </c>
      <c r="AW1627" s="201">
        <v>3.36</v>
      </c>
      <c r="AX1627" s="201">
        <v>11.3</v>
      </c>
      <c r="AY1627" s="201">
        <v>2</v>
      </c>
      <c r="CH1627" s="22">
        <f t="shared" si="294"/>
        <v>46.900000000000006</v>
      </c>
      <c r="CI1627" s="3">
        <f t="shared" si="290"/>
        <v>0</v>
      </c>
      <c r="CJ1627" s="17">
        <f t="shared" si="291"/>
        <v>12064</v>
      </c>
      <c r="CK1627" s="3" t="str">
        <f t="shared" si="292"/>
        <v>خ ت طب</v>
      </c>
    </row>
    <row r="1628" spans="1:92" s="201" customFormat="1" x14ac:dyDescent="0.25">
      <c r="A1628" s="202"/>
      <c r="B1628" s="203">
        <v>8</v>
      </c>
      <c r="C1628" s="203" t="s">
        <v>561</v>
      </c>
      <c r="D1628" s="203">
        <v>19687</v>
      </c>
      <c r="E1628" s="203">
        <v>12065</v>
      </c>
      <c r="F1628" s="201" t="s">
        <v>130</v>
      </c>
      <c r="G1628" s="201" t="s">
        <v>5023</v>
      </c>
      <c r="I1628" s="201">
        <v>2000</v>
      </c>
      <c r="AU1628" s="22">
        <f t="shared" si="286"/>
        <v>2000</v>
      </c>
      <c r="AV1628" s="201">
        <v>1686.7</v>
      </c>
      <c r="AW1628" s="201">
        <v>213.3</v>
      </c>
      <c r="AY1628" s="201">
        <v>100</v>
      </c>
      <c r="CH1628" s="22">
        <f t="shared" si="294"/>
        <v>2000</v>
      </c>
      <c r="CI1628" s="3">
        <f t="shared" si="290"/>
        <v>0</v>
      </c>
      <c r="CJ1628" s="17">
        <f t="shared" si="291"/>
        <v>12065</v>
      </c>
      <c r="CK1628" s="3" t="str">
        <f t="shared" si="292"/>
        <v>خ ت طب</v>
      </c>
    </row>
    <row r="1629" spans="1:92" s="201" customFormat="1" x14ac:dyDescent="0.25">
      <c r="A1629" s="202"/>
      <c r="B1629" s="203">
        <v>9</v>
      </c>
      <c r="C1629" s="203" t="s">
        <v>561</v>
      </c>
      <c r="D1629" s="203">
        <v>19688</v>
      </c>
      <c r="E1629" s="203">
        <v>12066</v>
      </c>
      <c r="F1629" s="201" t="s">
        <v>130</v>
      </c>
      <c r="G1629" s="201" t="s">
        <v>5024</v>
      </c>
      <c r="I1629" s="201">
        <v>134.84</v>
      </c>
      <c r="AU1629" s="22">
        <f t="shared" si="286"/>
        <v>134.84</v>
      </c>
      <c r="AV1629" s="201">
        <v>82.02</v>
      </c>
      <c r="AW1629" s="201">
        <v>14.58</v>
      </c>
      <c r="AX1629" s="201">
        <v>32.49</v>
      </c>
      <c r="AY1629" s="201">
        <v>5.75</v>
      </c>
      <c r="CH1629" s="22">
        <f t="shared" si="294"/>
        <v>134.84</v>
      </c>
      <c r="CI1629" s="3">
        <f t="shared" si="290"/>
        <v>0</v>
      </c>
      <c r="CJ1629" s="17">
        <f t="shared" si="291"/>
        <v>12066</v>
      </c>
      <c r="CK1629" s="3" t="str">
        <f t="shared" si="292"/>
        <v>خ ت طب</v>
      </c>
    </row>
    <row r="1630" spans="1:92" s="201" customFormat="1" x14ac:dyDescent="0.25">
      <c r="A1630" s="202"/>
      <c r="B1630" s="203">
        <v>10</v>
      </c>
      <c r="C1630" s="203" t="s">
        <v>561</v>
      </c>
      <c r="D1630" s="203">
        <v>19689</v>
      </c>
      <c r="E1630" s="203">
        <v>12067</v>
      </c>
      <c r="F1630" s="201" t="s">
        <v>130</v>
      </c>
      <c r="G1630" s="201" t="s">
        <v>5024</v>
      </c>
      <c r="I1630" s="201">
        <v>515.9</v>
      </c>
      <c r="AU1630" s="22">
        <f t="shared" si="286"/>
        <v>515.9</v>
      </c>
      <c r="AV1630" s="201">
        <v>332.64</v>
      </c>
      <c r="AW1630" s="201">
        <v>36.96</v>
      </c>
      <c r="AX1630" s="201">
        <v>124.3</v>
      </c>
      <c r="AY1630" s="201">
        <v>22</v>
      </c>
      <c r="CH1630" s="22">
        <f t="shared" si="294"/>
        <v>515.9</v>
      </c>
      <c r="CI1630" s="3">
        <f t="shared" si="290"/>
        <v>0</v>
      </c>
      <c r="CJ1630" s="17">
        <f t="shared" si="291"/>
        <v>12067</v>
      </c>
      <c r="CK1630" s="3" t="str">
        <f t="shared" si="292"/>
        <v>خ ت طب</v>
      </c>
    </row>
    <row r="1631" spans="1:92" s="201" customFormat="1" x14ac:dyDescent="0.25">
      <c r="A1631" s="202"/>
      <c r="B1631" s="203">
        <v>11</v>
      </c>
      <c r="C1631" s="203" t="s">
        <v>561</v>
      </c>
      <c r="D1631" s="203">
        <v>19690</v>
      </c>
      <c r="E1631" s="203">
        <v>12068</v>
      </c>
      <c r="F1631" s="201" t="s">
        <v>130</v>
      </c>
      <c r="G1631" s="201" t="s">
        <v>5025</v>
      </c>
      <c r="I1631" s="201">
        <v>445.56</v>
      </c>
      <c r="AU1631" s="22">
        <f t="shared" si="286"/>
        <v>445.56</v>
      </c>
      <c r="AV1631" s="201">
        <v>277.47000000000003</v>
      </c>
      <c r="AW1631" s="201">
        <v>41.73</v>
      </c>
      <c r="AX1631" s="201">
        <v>107.36</v>
      </c>
      <c r="AY1631" s="201">
        <v>19</v>
      </c>
      <c r="CH1631" s="22">
        <f t="shared" si="294"/>
        <v>445.56000000000006</v>
      </c>
      <c r="CI1631" s="3">
        <f t="shared" si="290"/>
        <v>0</v>
      </c>
      <c r="CJ1631" s="17">
        <f t="shared" si="291"/>
        <v>12068</v>
      </c>
      <c r="CK1631" s="3" t="str">
        <f t="shared" si="292"/>
        <v>خ ت طب</v>
      </c>
    </row>
    <row r="1632" spans="1:92" s="201" customFormat="1" x14ac:dyDescent="0.25">
      <c r="A1632" s="202"/>
      <c r="B1632" s="203">
        <v>12</v>
      </c>
      <c r="C1632" s="203" t="s">
        <v>561</v>
      </c>
      <c r="D1632" s="203">
        <v>19691</v>
      </c>
      <c r="E1632" s="203">
        <v>12069</v>
      </c>
      <c r="F1632" s="201" t="s">
        <v>130</v>
      </c>
      <c r="G1632" s="201" t="s">
        <v>5025</v>
      </c>
      <c r="I1632" s="201">
        <v>515.9</v>
      </c>
      <c r="AU1632" s="22">
        <f t="shared" si="286"/>
        <v>515.9</v>
      </c>
      <c r="AV1632" s="201">
        <v>332.64</v>
      </c>
      <c r="AW1632" s="201">
        <v>36.96</v>
      </c>
      <c r="AX1632" s="201">
        <v>124.3</v>
      </c>
      <c r="AY1632" s="201">
        <v>22</v>
      </c>
      <c r="CH1632" s="22">
        <f t="shared" si="294"/>
        <v>515.9</v>
      </c>
      <c r="CI1632" s="3">
        <f t="shared" si="290"/>
        <v>0</v>
      </c>
      <c r="CJ1632" s="17">
        <f t="shared" si="291"/>
        <v>12069</v>
      </c>
      <c r="CK1632" s="3" t="str">
        <f t="shared" si="292"/>
        <v>خ ت طب</v>
      </c>
    </row>
    <row r="1633" spans="1:89" s="201" customFormat="1" x14ac:dyDescent="0.25">
      <c r="A1633" s="202"/>
      <c r="B1633" s="203">
        <v>13</v>
      </c>
      <c r="C1633" s="203" t="s">
        <v>561</v>
      </c>
      <c r="D1633" s="203">
        <v>19692</v>
      </c>
      <c r="E1633" s="203">
        <v>12070</v>
      </c>
      <c r="F1633" s="201" t="s">
        <v>130</v>
      </c>
      <c r="G1633" s="201" t="s">
        <v>5026</v>
      </c>
      <c r="I1633" s="201">
        <v>753.44</v>
      </c>
      <c r="AU1633" s="22">
        <f t="shared" si="286"/>
        <v>753.44</v>
      </c>
      <c r="AV1633" s="201">
        <v>460.38</v>
      </c>
      <c r="AW1633" s="201">
        <v>91.12</v>
      </c>
      <c r="AX1633" s="201">
        <v>169.44</v>
      </c>
      <c r="AY1633" s="201">
        <v>32.5</v>
      </c>
      <c r="CH1633" s="22">
        <f t="shared" si="294"/>
        <v>753.44</v>
      </c>
      <c r="CI1633" s="3">
        <f t="shared" si="290"/>
        <v>0</v>
      </c>
      <c r="CJ1633" s="17">
        <f t="shared" si="291"/>
        <v>12070</v>
      </c>
      <c r="CK1633" s="3" t="str">
        <f t="shared" si="292"/>
        <v>خ ت طب</v>
      </c>
    </row>
    <row r="1634" spans="1:89" s="201" customFormat="1" x14ac:dyDescent="0.25">
      <c r="A1634" s="202"/>
      <c r="B1634" s="203">
        <v>14</v>
      </c>
      <c r="C1634" s="203" t="s">
        <v>561</v>
      </c>
      <c r="D1634" s="203">
        <v>19693</v>
      </c>
      <c r="E1634" s="203">
        <v>12071</v>
      </c>
      <c r="F1634" s="201" t="s">
        <v>130</v>
      </c>
      <c r="G1634" s="201" t="s">
        <v>5026</v>
      </c>
      <c r="I1634" s="201">
        <v>58.62</v>
      </c>
      <c r="AU1634" s="22">
        <f t="shared" si="286"/>
        <v>58.62</v>
      </c>
      <c r="AV1634" s="201">
        <v>33.6</v>
      </c>
      <c r="AW1634" s="201">
        <v>8.4</v>
      </c>
      <c r="AX1634" s="201">
        <v>14.12</v>
      </c>
      <c r="AY1634" s="201">
        <v>2.5</v>
      </c>
      <c r="CH1634" s="22">
        <f t="shared" si="294"/>
        <v>58.62</v>
      </c>
      <c r="CI1634" s="3">
        <f t="shared" si="290"/>
        <v>0</v>
      </c>
      <c r="CJ1634" s="17">
        <f t="shared" si="291"/>
        <v>12071</v>
      </c>
      <c r="CK1634" s="3" t="str">
        <f t="shared" si="292"/>
        <v>خ ت طب</v>
      </c>
    </row>
    <row r="1635" spans="1:89" s="201" customFormat="1" x14ac:dyDescent="0.25">
      <c r="A1635" s="202"/>
      <c r="B1635" s="203">
        <v>15</v>
      </c>
      <c r="C1635" s="203" t="s">
        <v>561</v>
      </c>
      <c r="D1635" s="203">
        <v>19694</v>
      </c>
      <c r="E1635" s="203">
        <v>12072</v>
      </c>
      <c r="F1635" s="201" t="s">
        <v>130</v>
      </c>
      <c r="G1635" s="201" t="s">
        <v>5026</v>
      </c>
      <c r="I1635" s="201">
        <v>167.24</v>
      </c>
      <c r="AU1635" s="22">
        <f t="shared" si="286"/>
        <v>167.24</v>
      </c>
      <c r="AV1635" s="201">
        <v>118.35</v>
      </c>
      <c r="AW1635" s="201">
        <v>13.15</v>
      </c>
      <c r="AX1635" s="201">
        <v>28.24</v>
      </c>
      <c r="AY1635" s="201">
        <v>7.5</v>
      </c>
      <c r="CH1635" s="22">
        <f t="shared" si="294"/>
        <v>167.24</v>
      </c>
      <c r="CI1635" s="3">
        <f t="shared" si="290"/>
        <v>0</v>
      </c>
      <c r="CJ1635" s="17">
        <f t="shared" si="291"/>
        <v>12072</v>
      </c>
      <c r="CK1635" s="3" t="str">
        <f t="shared" si="292"/>
        <v>خ ت طب</v>
      </c>
    </row>
    <row r="1636" spans="1:89" s="201" customFormat="1" x14ac:dyDescent="0.25">
      <c r="A1636" s="202"/>
      <c r="B1636" s="203">
        <v>16</v>
      </c>
      <c r="C1636" s="203" t="s">
        <v>561</v>
      </c>
      <c r="D1636" s="19">
        <v>19695</v>
      </c>
      <c r="E1636" s="203">
        <v>12073</v>
      </c>
      <c r="F1636" s="201" t="s">
        <v>130</v>
      </c>
      <c r="G1636" s="19" t="s">
        <v>5009</v>
      </c>
      <c r="H1636" s="19"/>
      <c r="I1636" s="19">
        <v>133.80000000000001</v>
      </c>
      <c r="AU1636" s="22">
        <f t="shared" si="286"/>
        <v>133.80000000000001</v>
      </c>
      <c r="AV1636" s="19">
        <v>91.1</v>
      </c>
      <c r="AW1636" s="19">
        <v>14.1</v>
      </c>
      <c r="AX1636" s="19">
        <v>22.6</v>
      </c>
      <c r="AY1636" s="19">
        <v>6</v>
      </c>
      <c r="CH1636" s="22">
        <f t="shared" si="294"/>
        <v>133.79999999999998</v>
      </c>
      <c r="CI1636" s="3">
        <f t="shared" si="290"/>
        <v>0</v>
      </c>
      <c r="CJ1636" s="17">
        <f t="shared" si="291"/>
        <v>12073</v>
      </c>
      <c r="CK1636" s="3" t="str">
        <f t="shared" si="292"/>
        <v>خ ت طب</v>
      </c>
    </row>
    <row r="1637" spans="1:89" s="201" customFormat="1" x14ac:dyDescent="0.25">
      <c r="A1637" s="202"/>
      <c r="B1637" s="203">
        <v>17</v>
      </c>
      <c r="C1637" s="203" t="s">
        <v>561</v>
      </c>
      <c r="D1637" s="19">
        <v>19696</v>
      </c>
      <c r="E1637" s="203">
        <v>12074</v>
      </c>
      <c r="F1637" s="201" t="s">
        <v>130</v>
      </c>
      <c r="G1637" s="19" t="s">
        <v>5010</v>
      </c>
      <c r="H1637" s="19"/>
      <c r="I1637" s="19">
        <v>293.60000000000002</v>
      </c>
      <c r="AU1637" s="22">
        <f t="shared" si="286"/>
        <v>293.60000000000002</v>
      </c>
      <c r="AV1637" s="19">
        <v>211.59</v>
      </c>
      <c r="AW1637" s="19">
        <v>23.51</v>
      </c>
      <c r="AX1637" s="19">
        <v>45.2</v>
      </c>
      <c r="AY1637" s="19">
        <v>13.3</v>
      </c>
      <c r="CH1637" s="22">
        <f t="shared" si="294"/>
        <v>293.60000000000002</v>
      </c>
      <c r="CI1637" s="3">
        <f t="shared" si="290"/>
        <v>0</v>
      </c>
      <c r="CJ1637" s="17">
        <f t="shared" si="291"/>
        <v>12074</v>
      </c>
      <c r="CK1637" s="3" t="str">
        <f t="shared" si="292"/>
        <v>خ ت طب</v>
      </c>
    </row>
    <row r="1638" spans="1:89" s="201" customFormat="1" x14ac:dyDescent="0.25">
      <c r="A1638" s="202"/>
      <c r="B1638" s="203">
        <v>18</v>
      </c>
      <c r="C1638" s="203" t="s">
        <v>561</v>
      </c>
      <c r="D1638" s="19">
        <v>19697</v>
      </c>
      <c r="E1638" s="203">
        <v>12075</v>
      </c>
      <c r="F1638" s="201" t="s">
        <v>130</v>
      </c>
      <c r="G1638" s="19" t="s">
        <v>5011</v>
      </c>
      <c r="H1638" s="19"/>
      <c r="I1638" s="19">
        <v>87.94</v>
      </c>
      <c r="AU1638" s="22">
        <f t="shared" si="286"/>
        <v>87.94</v>
      </c>
      <c r="AV1638" s="19">
        <v>53.46</v>
      </c>
      <c r="AW1638" s="19">
        <v>9.5399999999999991</v>
      </c>
      <c r="AX1638" s="19">
        <v>21.19</v>
      </c>
      <c r="AY1638" s="19">
        <v>3.75</v>
      </c>
      <c r="CH1638" s="22">
        <f t="shared" si="294"/>
        <v>87.94</v>
      </c>
      <c r="CI1638" s="3">
        <f t="shared" si="290"/>
        <v>0</v>
      </c>
      <c r="CJ1638" s="17">
        <f t="shared" si="291"/>
        <v>12075</v>
      </c>
      <c r="CK1638" s="3" t="str">
        <f t="shared" si="292"/>
        <v>خ ت طب</v>
      </c>
    </row>
    <row r="1639" spans="1:89" s="201" customFormat="1" x14ac:dyDescent="0.25">
      <c r="A1639" s="202"/>
      <c r="B1639" s="203">
        <v>19</v>
      </c>
      <c r="C1639" s="203" t="s">
        <v>561</v>
      </c>
      <c r="D1639" s="19">
        <v>19698</v>
      </c>
      <c r="E1639" s="203">
        <v>12076</v>
      </c>
      <c r="F1639" s="201" t="s">
        <v>130</v>
      </c>
      <c r="G1639" s="19" t="s">
        <v>5012</v>
      </c>
      <c r="H1639" s="19"/>
      <c r="I1639" s="19">
        <v>515.91</v>
      </c>
      <c r="AU1639" s="22">
        <f t="shared" si="286"/>
        <v>515.91</v>
      </c>
      <c r="AV1639" s="19">
        <v>310.83999999999997</v>
      </c>
      <c r="AW1639" s="19">
        <v>58.76</v>
      </c>
      <c r="AX1639" s="19">
        <v>124.31</v>
      </c>
      <c r="AY1639" s="19">
        <v>22</v>
      </c>
      <c r="CH1639" s="22">
        <f t="shared" si="294"/>
        <v>515.91</v>
      </c>
      <c r="CI1639" s="3">
        <f t="shared" si="290"/>
        <v>0</v>
      </c>
      <c r="CJ1639" s="17">
        <f t="shared" si="291"/>
        <v>12076</v>
      </c>
      <c r="CK1639" s="3" t="str">
        <f t="shared" si="292"/>
        <v>خ ت طب</v>
      </c>
    </row>
    <row r="1640" spans="1:89" s="201" customFormat="1" x14ac:dyDescent="0.25">
      <c r="A1640" s="202"/>
      <c r="B1640" s="203">
        <v>20</v>
      </c>
      <c r="C1640" s="203" t="s">
        <v>561</v>
      </c>
      <c r="D1640" s="19">
        <v>19699</v>
      </c>
      <c r="E1640" s="203">
        <v>12077</v>
      </c>
      <c r="F1640" s="201" t="s">
        <v>130</v>
      </c>
      <c r="G1640" s="19" t="s">
        <v>5012</v>
      </c>
      <c r="H1640" s="19"/>
      <c r="I1640" s="19">
        <v>783.3</v>
      </c>
      <c r="AU1640" s="22">
        <f t="shared" si="286"/>
        <v>783.3</v>
      </c>
      <c r="AV1640" s="19">
        <v>502.11</v>
      </c>
      <c r="AW1640" s="19">
        <v>55.79</v>
      </c>
      <c r="AX1640" s="19">
        <v>192.1</v>
      </c>
      <c r="AY1640" s="19">
        <v>33.299999999999997</v>
      </c>
      <c r="CH1640" s="22">
        <f t="shared" si="294"/>
        <v>783.3</v>
      </c>
      <c r="CI1640" s="3">
        <f t="shared" si="290"/>
        <v>0</v>
      </c>
      <c r="CJ1640" s="17">
        <f t="shared" si="291"/>
        <v>12077</v>
      </c>
      <c r="CK1640" s="3" t="str">
        <f t="shared" si="292"/>
        <v>خ ت طب</v>
      </c>
    </row>
    <row r="1641" spans="1:89" s="201" customFormat="1" x14ac:dyDescent="0.25">
      <c r="A1641" s="202"/>
      <c r="B1641" s="203">
        <v>21</v>
      </c>
      <c r="C1641" s="203" t="s">
        <v>561</v>
      </c>
      <c r="D1641" s="19">
        <v>19700</v>
      </c>
      <c r="E1641" s="203">
        <v>12078</v>
      </c>
      <c r="F1641" s="201" t="s">
        <v>130</v>
      </c>
      <c r="G1641" s="19" t="s">
        <v>5013</v>
      </c>
      <c r="H1641" s="19"/>
      <c r="I1641" s="19">
        <v>175.88</v>
      </c>
      <c r="AU1641" s="22">
        <f t="shared" si="286"/>
        <v>175.88</v>
      </c>
      <c r="AV1641" s="19">
        <v>106.68</v>
      </c>
      <c r="AW1641" s="19">
        <v>19.32</v>
      </c>
      <c r="AX1641" s="19">
        <v>42.38</v>
      </c>
      <c r="AY1641" s="19">
        <v>7.5</v>
      </c>
      <c r="CH1641" s="22">
        <f t="shared" si="294"/>
        <v>175.88</v>
      </c>
      <c r="CI1641" s="3">
        <f t="shared" si="290"/>
        <v>0</v>
      </c>
      <c r="CJ1641" s="17">
        <f t="shared" si="291"/>
        <v>12078</v>
      </c>
      <c r="CK1641" s="3" t="str">
        <f t="shared" si="292"/>
        <v>خ ت طب</v>
      </c>
    </row>
    <row r="1642" spans="1:89" s="201" customFormat="1" x14ac:dyDescent="0.25">
      <c r="A1642" s="202"/>
      <c r="B1642" s="203">
        <v>22</v>
      </c>
      <c r="C1642" s="203" t="s">
        <v>561</v>
      </c>
      <c r="D1642" s="19">
        <v>19701</v>
      </c>
      <c r="E1642" s="203">
        <v>12079</v>
      </c>
      <c r="F1642" s="201" t="s">
        <v>130</v>
      </c>
      <c r="G1642" s="19" t="s">
        <v>5014</v>
      </c>
      <c r="H1642" s="19"/>
      <c r="I1642" s="19">
        <v>117.25</v>
      </c>
      <c r="AU1642" s="22">
        <f t="shared" si="286"/>
        <v>117.25</v>
      </c>
      <c r="AV1642" s="19">
        <v>71.36</v>
      </c>
      <c r="AW1642" s="19">
        <v>12.64</v>
      </c>
      <c r="AX1642" s="19">
        <v>28.25</v>
      </c>
      <c r="AY1642" s="19">
        <v>5</v>
      </c>
      <c r="CH1642" s="22">
        <f t="shared" si="294"/>
        <v>117.25</v>
      </c>
      <c r="CI1642" s="3">
        <f t="shared" si="290"/>
        <v>0</v>
      </c>
      <c r="CJ1642" s="17">
        <f t="shared" si="291"/>
        <v>12079</v>
      </c>
      <c r="CK1642" s="3" t="str">
        <f t="shared" si="292"/>
        <v>خ ت طب</v>
      </c>
    </row>
    <row r="1643" spans="1:89" s="201" customFormat="1" x14ac:dyDescent="0.25">
      <c r="A1643" s="202"/>
      <c r="B1643" s="203">
        <v>23</v>
      </c>
      <c r="C1643" s="203" t="s">
        <v>561</v>
      </c>
      <c r="D1643" s="19">
        <v>19702</v>
      </c>
      <c r="E1643" s="203">
        <v>12080</v>
      </c>
      <c r="F1643" s="201" t="s">
        <v>130</v>
      </c>
      <c r="G1643" s="19" t="s">
        <v>5015</v>
      </c>
      <c r="H1643" s="19"/>
      <c r="I1643" s="19">
        <v>303.64</v>
      </c>
      <c r="AU1643" s="22">
        <f t="shared" si="286"/>
        <v>303.64</v>
      </c>
      <c r="AV1643" s="19">
        <v>201.38</v>
      </c>
      <c r="AW1643" s="19">
        <v>33.67</v>
      </c>
      <c r="AX1643" s="19">
        <v>55.09</v>
      </c>
      <c r="AY1643" s="19">
        <v>13.5</v>
      </c>
      <c r="CH1643" s="22">
        <f t="shared" si="294"/>
        <v>303.64</v>
      </c>
      <c r="CI1643" s="3">
        <f t="shared" si="290"/>
        <v>0</v>
      </c>
      <c r="CJ1643" s="17">
        <f t="shared" si="291"/>
        <v>12080</v>
      </c>
      <c r="CK1643" s="3" t="str">
        <f t="shared" si="292"/>
        <v>خ ت طب</v>
      </c>
    </row>
    <row r="1644" spans="1:89" s="201" customFormat="1" x14ac:dyDescent="0.25">
      <c r="A1644" s="202"/>
      <c r="B1644" s="203">
        <v>24</v>
      </c>
      <c r="C1644" s="203" t="s">
        <v>561</v>
      </c>
      <c r="D1644" s="19">
        <v>19703</v>
      </c>
      <c r="E1644" s="203">
        <v>12081</v>
      </c>
      <c r="F1644" s="201" t="s">
        <v>130</v>
      </c>
      <c r="G1644" s="19" t="s">
        <v>5015</v>
      </c>
      <c r="H1644" s="19"/>
      <c r="I1644" s="19">
        <v>469</v>
      </c>
      <c r="AU1644" s="22">
        <f t="shared" si="286"/>
        <v>469</v>
      </c>
      <c r="AV1644" s="19">
        <v>302.39999999999998</v>
      </c>
      <c r="AW1644" s="19">
        <v>33.6</v>
      </c>
      <c r="AX1644" s="19">
        <v>113</v>
      </c>
      <c r="AY1644" s="19">
        <v>20</v>
      </c>
      <c r="CH1644" s="22">
        <f t="shared" si="294"/>
        <v>469</v>
      </c>
      <c r="CI1644" s="3">
        <f t="shared" si="290"/>
        <v>0</v>
      </c>
      <c r="CJ1644" s="17">
        <f t="shared" si="291"/>
        <v>12081</v>
      </c>
      <c r="CK1644" s="3" t="str">
        <f t="shared" si="292"/>
        <v>خ ت طب</v>
      </c>
    </row>
    <row r="1645" spans="1:89" s="201" customFormat="1" x14ac:dyDescent="0.25">
      <c r="A1645" s="202"/>
      <c r="B1645" s="203">
        <v>25</v>
      </c>
      <c r="C1645" s="203" t="s">
        <v>561</v>
      </c>
      <c r="D1645" s="19">
        <v>19704</v>
      </c>
      <c r="E1645" s="203">
        <v>12082</v>
      </c>
      <c r="F1645" s="201" t="s">
        <v>130</v>
      </c>
      <c r="G1645" s="19" t="s">
        <v>5005</v>
      </c>
      <c r="H1645" s="19"/>
      <c r="I1645" s="19">
        <v>175.88</v>
      </c>
      <c r="AU1645" s="22">
        <f t="shared" si="286"/>
        <v>175.88</v>
      </c>
      <c r="AV1645" s="19">
        <v>112.95</v>
      </c>
      <c r="AW1645" s="19">
        <v>13.05</v>
      </c>
      <c r="AX1645" s="19">
        <v>42.38</v>
      </c>
      <c r="AY1645" s="19">
        <v>7.5</v>
      </c>
      <c r="CH1645" s="22">
        <f t="shared" si="294"/>
        <v>175.88</v>
      </c>
      <c r="CI1645" s="3">
        <f t="shared" si="290"/>
        <v>0</v>
      </c>
      <c r="CJ1645" s="17">
        <f t="shared" si="291"/>
        <v>12082</v>
      </c>
      <c r="CK1645" s="3" t="str">
        <f t="shared" si="292"/>
        <v>خ ت طب</v>
      </c>
    </row>
    <row r="1646" spans="1:89" s="201" customFormat="1" x14ac:dyDescent="0.25">
      <c r="A1646" s="202"/>
      <c r="B1646" s="203">
        <v>26</v>
      </c>
      <c r="C1646" s="203" t="s">
        <v>561</v>
      </c>
      <c r="D1646" s="19">
        <v>19705</v>
      </c>
      <c r="E1646" s="203">
        <v>12083</v>
      </c>
      <c r="F1646" s="201" t="s">
        <v>130</v>
      </c>
      <c r="G1646" s="19" t="s">
        <v>5006</v>
      </c>
      <c r="H1646" s="19"/>
      <c r="I1646" s="19">
        <v>93.8</v>
      </c>
      <c r="AU1646" s="22">
        <f t="shared" si="286"/>
        <v>93.8</v>
      </c>
      <c r="AV1646" s="19">
        <v>57.12</v>
      </c>
      <c r="AW1646" s="19">
        <v>10.08</v>
      </c>
      <c r="AX1646" s="19">
        <v>22.6</v>
      </c>
      <c r="AY1646" s="19">
        <v>4</v>
      </c>
      <c r="CH1646" s="22">
        <f t="shared" si="294"/>
        <v>93.800000000000011</v>
      </c>
      <c r="CI1646" s="3">
        <f t="shared" si="290"/>
        <v>0</v>
      </c>
      <c r="CJ1646" s="17">
        <f t="shared" si="291"/>
        <v>12083</v>
      </c>
      <c r="CK1646" s="3" t="str">
        <f t="shared" si="292"/>
        <v>خ ت طب</v>
      </c>
    </row>
    <row r="1647" spans="1:89" s="201" customFormat="1" x14ac:dyDescent="0.25">
      <c r="A1647" s="202"/>
      <c r="B1647" s="203">
        <v>27</v>
      </c>
      <c r="C1647" s="203" t="s">
        <v>561</v>
      </c>
      <c r="D1647" s="19">
        <v>19706</v>
      </c>
      <c r="E1647" s="203">
        <v>12084</v>
      </c>
      <c r="F1647" s="201" t="s">
        <v>130</v>
      </c>
      <c r="G1647" s="19" t="s">
        <v>5007</v>
      </c>
      <c r="H1647" s="19"/>
      <c r="I1647" s="19">
        <v>158.29</v>
      </c>
      <c r="AU1647" s="22">
        <f t="shared" si="286"/>
        <v>158.29</v>
      </c>
      <c r="AV1647" s="19">
        <v>93.12</v>
      </c>
      <c r="AW1647" s="19">
        <v>20.28</v>
      </c>
      <c r="AX1647" s="19">
        <v>38.14</v>
      </c>
      <c r="AY1647" s="19">
        <v>6.75</v>
      </c>
      <c r="CH1647" s="22">
        <f t="shared" si="294"/>
        <v>158.29000000000002</v>
      </c>
      <c r="CI1647" s="3">
        <f t="shared" si="290"/>
        <v>0</v>
      </c>
      <c r="CJ1647" s="17">
        <f t="shared" si="291"/>
        <v>12084</v>
      </c>
      <c r="CK1647" s="3" t="str">
        <f t="shared" si="292"/>
        <v>خ ت طب</v>
      </c>
    </row>
    <row r="1648" spans="1:89" s="201" customFormat="1" x14ac:dyDescent="0.25">
      <c r="A1648" s="202"/>
      <c r="B1648" s="203">
        <v>28</v>
      </c>
      <c r="C1648" s="203" t="s">
        <v>561</v>
      </c>
      <c r="D1648" s="19">
        <v>19707</v>
      </c>
      <c r="E1648" s="203">
        <v>12085</v>
      </c>
      <c r="F1648" s="201" t="s">
        <v>130</v>
      </c>
      <c r="G1648" s="19" t="s">
        <v>5008</v>
      </c>
      <c r="H1648" s="19"/>
      <c r="I1648" s="19">
        <v>1050.46</v>
      </c>
      <c r="AU1648" s="22">
        <f t="shared" si="286"/>
        <v>1050.46</v>
      </c>
      <c r="AV1648" s="19">
        <v>622.49</v>
      </c>
      <c r="AW1648" s="19">
        <v>130.07</v>
      </c>
      <c r="AX1648" s="19">
        <v>253.11</v>
      </c>
      <c r="AY1648" s="19">
        <v>44.79</v>
      </c>
      <c r="CH1648" s="22">
        <f t="shared" si="294"/>
        <v>1050.46</v>
      </c>
      <c r="CI1648" s="3">
        <f t="shared" si="290"/>
        <v>0</v>
      </c>
      <c r="CJ1648" s="17">
        <f t="shared" si="291"/>
        <v>12085</v>
      </c>
      <c r="CK1648" s="3" t="str">
        <f t="shared" si="292"/>
        <v>خ ت طب</v>
      </c>
    </row>
    <row r="1649" spans="1:89" s="201" customFormat="1" x14ac:dyDescent="0.25">
      <c r="A1649" s="202"/>
      <c r="B1649" s="203">
        <v>29</v>
      </c>
      <c r="C1649" s="203" t="s">
        <v>561</v>
      </c>
      <c r="D1649" s="19">
        <v>19708</v>
      </c>
      <c r="E1649" s="203">
        <v>12086</v>
      </c>
      <c r="F1649" s="201" t="s">
        <v>130</v>
      </c>
      <c r="G1649" s="19" t="s">
        <v>5008</v>
      </c>
      <c r="H1649" s="19"/>
      <c r="I1649" s="19">
        <v>515.9</v>
      </c>
      <c r="AU1649" s="22">
        <f t="shared" si="286"/>
        <v>515.9</v>
      </c>
      <c r="AV1649" s="19">
        <v>332.64</v>
      </c>
      <c r="AW1649" s="19">
        <v>36.96</v>
      </c>
      <c r="AX1649" s="19">
        <v>124.3</v>
      </c>
      <c r="AY1649" s="19">
        <v>22</v>
      </c>
      <c r="CH1649" s="22">
        <f t="shared" si="294"/>
        <v>515.9</v>
      </c>
      <c r="CI1649" s="3">
        <f t="shared" si="290"/>
        <v>0</v>
      </c>
      <c r="CJ1649" s="17">
        <f t="shared" si="291"/>
        <v>12086</v>
      </c>
      <c r="CK1649" s="3" t="str">
        <f t="shared" si="292"/>
        <v>خ ت طب</v>
      </c>
    </row>
    <row r="1650" spans="1:89" s="201" customFormat="1" x14ac:dyDescent="0.25">
      <c r="A1650" s="202"/>
      <c r="B1650" s="203">
        <v>30</v>
      </c>
      <c r="C1650" s="203" t="s">
        <v>561</v>
      </c>
      <c r="D1650" s="19">
        <v>19709</v>
      </c>
      <c r="E1650" s="203">
        <v>12087</v>
      </c>
      <c r="F1650" s="201" t="s">
        <v>130</v>
      </c>
      <c r="G1650" s="19" t="s">
        <v>5008</v>
      </c>
      <c r="H1650" s="19"/>
      <c r="I1650" s="19">
        <v>164.15</v>
      </c>
      <c r="AU1650" s="22">
        <f t="shared" si="286"/>
        <v>164.15</v>
      </c>
      <c r="AV1650" s="19">
        <v>99.92</v>
      </c>
      <c r="AW1650" s="19">
        <v>17.68</v>
      </c>
      <c r="AX1650" s="19">
        <v>39.549999999999997</v>
      </c>
      <c r="AY1650" s="19">
        <v>7</v>
      </c>
      <c r="CH1650" s="22">
        <f t="shared" si="294"/>
        <v>164.14999999999998</v>
      </c>
      <c r="CI1650" s="3">
        <f t="shared" si="290"/>
        <v>0</v>
      </c>
      <c r="CJ1650" s="17">
        <f t="shared" si="291"/>
        <v>12087</v>
      </c>
      <c r="CK1650" s="3" t="str">
        <f t="shared" si="292"/>
        <v>خ ت طب</v>
      </c>
    </row>
    <row r="1651" spans="1:89" s="201" customFormat="1" x14ac:dyDescent="0.25">
      <c r="A1651" s="202"/>
      <c r="B1651" s="203">
        <v>31</v>
      </c>
      <c r="C1651" s="203" t="s">
        <v>561</v>
      </c>
      <c r="D1651" s="19">
        <v>19710</v>
      </c>
      <c r="E1651" s="203">
        <v>12088</v>
      </c>
      <c r="F1651" s="201" t="s">
        <v>130</v>
      </c>
      <c r="G1651" s="19" t="s">
        <v>5016</v>
      </c>
      <c r="H1651" s="19"/>
      <c r="I1651" s="19">
        <v>361.2</v>
      </c>
      <c r="AU1651" s="22">
        <f t="shared" si="286"/>
        <v>361.2</v>
      </c>
      <c r="AV1651" s="19">
        <v>229.95</v>
      </c>
      <c r="AW1651" s="19">
        <v>25.55</v>
      </c>
      <c r="AX1651" s="19">
        <v>90.4</v>
      </c>
      <c r="AY1651" s="19">
        <v>15.3</v>
      </c>
      <c r="CH1651" s="22">
        <f t="shared" si="294"/>
        <v>361.2</v>
      </c>
      <c r="CI1651" s="3">
        <f t="shared" si="290"/>
        <v>0</v>
      </c>
      <c r="CJ1651" s="17">
        <f t="shared" si="291"/>
        <v>12088</v>
      </c>
      <c r="CK1651" s="3" t="str">
        <f t="shared" si="292"/>
        <v>خ ت طب</v>
      </c>
    </row>
    <row r="1652" spans="1:89" s="201" customFormat="1" x14ac:dyDescent="0.25">
      <c r="A1652" s="202"/>
      <c r="B1652" s="203">
        <v>32</v>
      </c>
      <c r="C1652" s="203" t="s">
        <v>561</v>
      </c>
      <c r="D1652" s="19">
        <v>19711</v>
      </c>
      <c r="E1652" s="203">
        <v>12089</v>
      </c>
      <c r="F1652" s="201" t="s">
        <v>130</v>
      </c>
      <c r="G1652" s="19" t="s">
        <v>5017</v>
      </c>
      <c r="H1652" s="19"/>
      <c r="I1652" s="19">
        <v>187.6</v>
      </c>
      <c r="AU1652" s="22">
        <f t="shared" si="286"/>
        <v>187.6</v>
      </c>
      <c r="AV1652" s="19">
        <v>121.76</v>
      </c>
      <c r="AW1652" s="19">
        <v>12.64</v>
      </c>
      <c r="AX1652" s="19">
        <v>45.2</v>
      </c>
      <c r="AY1652" s="19">
        <v>8</v>
      </c>
      <c r="CH1652" s="22">
        <f t="shared" si="294"/>
        <v>187.60000000000002</v>
      </c>
      <c r="CI1652" s="3">
        <f t="shared" si="290"/>
        <v>0</v>
      </c>
      <c r="CJ1652" s="17">
        <f t="shared" si="291"/>
        <v>12089</v>
      </c>
      <c r="CK1652" s="3" t="str">
        <f t="shared" si="292"/>
        <v>خ ت طب</v>
      </c>
    </row>
    <row r="1653" spans="1:89" s="201" customFormat="1" x14ac:dyDescent="0.25">
      <c r="A1653" s="202"/>
      <c r="B1653" s="203">
        <v>33</v>
      </c>
      <c r="C1653" s="203" t="s">
        <v>561</v>
      </c>
      <c r="D1653" s="19">
        <v>19712</v>
      </c>
      <c r="E1653" s="203">
        <v>12090</v>
      </c>
      <c r="F1653" s="201" t="s">
        <v>130</v>
      </c>
      <c r="G1653" s="19" t="s">
        <v>5018</v>
      </c>
      <c r="H1653" s="19"/>
      <c r="I1653" s="19">
        <v>311.12</v>
      </c>
      <c r="AU1653" s="22">
        <f t="shared" si="286"/>
        <v>311.12</v>
      </c>
      <c r="AV1653" s="19">
        <v>191.91</v>
      </c>
      <c r="AW1653" s="19">
        <v>30.98</v>
      </c>
      <c r="AX1653" s="19">
        <v>74.95</v>
      </c>
      <c r="AY1653" s="19">
        <v>13.28</v>
      </c>
      <c r="CH1653" s="22">
        <f t="shared" si="294"/>
        <v>311.11999999999995</v>
      </c>
      <c r="CI1653" s="3">
        <f t="shared" si="290"/>
        <v>0</v>
      </c>
      <c r="CJ1653" s="17">
        <f t="shared" si="291"/>
        <v>12090</v>
      </c>
      <c r="CK1653" s="3" t="str">
        <f t="shared" si="292"/>
        <v>خ ت طب</v>
      </c>
    </row>
    <row r="1654" spans="1:89" s="201" customFormat="1" x14ac:dyDescent="0.25">
      <c r="A1654" s="202"/>
      <c r="B1654" s="203">
        <v>34</v>
      </c>
      <c r="C1654" s="203" t="s">
        <v>561</v>
      </c>
      <c r="D1654" s="19">
        <v>19713</v>
      </c>
      <c r="E1654" s="203">
        <v>12091</v>
      </c>
      <c r="F1654" s="201" t="s">
        <v>130</v>
      </c>
      <c r="G1654" s="19" t="s">
        <v>5019</v>
      </c>
      <c r="H1654" s="19"/>
      <c r="I1654" s="19">
        <v>1097.43</v>
      </c>
      <c r="AU1654" s="22">
        <f t="shared" si="286"/>
        <v>1097.43</v>
      </c>
      <c r="AV1654" s="19">
        <v>711.44</v>
      </c>
      <c r="AW1654" s="19">
        <v>116.69</v>
      </c>
      <c r="AX1654" s="19">
        <v>221.18</v>
      </c>
      <c r="AY1654" s="19">
        <v>48.12</v>
      </c>
      <c r="CH1654" s="22">
        <f t="shared" si="294"/>
        <v>1097.43</v>
      </c>
      <c r="CI1654" s="3">
        <f t="shared" si="290"/>
        <v>0</v>
      </c>
      <c r="CJ1654" s="17">
        <f t="shared" si="291"/>
        <v>12091</v>
      </c>
      <c r="CK1654" s="3" t="str">
        <f t="shared" si="292"/>
        <v>خ ت طب</v>
      </c>
    </row>
    <row r="1655" spans="1:89" s="201" customFormat="1" x14ac:dyDescent="0.25">
      <c r="A1655" s="202"/>
      <c r="B1655" s="203">
        <v>35</v>
      </c>
      <c r="C1655" s="203" t="s">
        <v>561</v>
      </c>
      <c r="D1655" s="19">
        <v>19714</v>
      </c>
      <c r="E1655" s="203">
        <v>12092</v>
      </c>
      <c r="F1655" s="201" t="s">
        <v>130</v>
      </c>
      <c r="G1655" s="19" t="s">
        <v>5019</v>
      </c>
      <c r="H1655" s="19"/>
      <c r="I1655" s="19">
        <v>546.73</v>
      </c>
      <c r="AU1655" s="22">
        <f t="shared" si="286"/>
        <v>546.73</v>
      </c>
      <c r="AV1655" s="19">
        <v>351.62</v>
      </c>
      <c r="AW1655" s="19">
        <v>40.07</v>
      </c>
      <c r="AX1655" s="217">
        <v>131.72999999999999</v>
      </c>
      <c r="AY1655" s="19">
        <v>23.31</v>
      </c>
      <c r="CH1655" s="22">
        <f t="shared" si="294"/>
        <v>546.7299999999999</v>
      </c>
      <c r="CI1655" s="3">
        <f t="shared" si="290"/>
        <v>0</v>
      </c>
      <c r="CJ1655" s="17">
        <f t="shared" si="291"/>
        <v>12092</v>
      </c>
      <c r="CK1655" s="3" t="str">
        <f t="shared" si="292"/>
        <v>خ ت طب</v>
      </c>
    </row>
    <row r="1656" spans="1:89" s="201" customFormat="1" x14ac:dyDescent="0.25">
      <c r="A1656" s="202"/>
      <c r="B1656" s="203">
        <v>36</v>
      </c>
      <c r="C1656" s="203" t="s">
        <v>561</v>
      </c>
      <c r="D1656" s="19">
        <v>19637</v>
      </c>
      <c r="E1656" s="203">
        <v>12093</v>
      </c>
      <c r="F1656" s="201" t="s">
        <v>130</v>
      </c>
      <c r="G1656" s="19" t="s">
        <v>5075</v>
      </c>
      <c r="H1656" s="19"/>
      <c r="I1656" s="19">
        <v>133.80000000000001</v>
      </c>
      <c r="AU1656" s="22">
        <f t="shared" si="286"/>
        <v>133.80000000000001</v>
      </c>
      <c r="AV1656" s="201">
        <v>91.1</v>
      </c>
      <c r="AW1656" s="201">
        <v>14.1</v>
      </c>
      <c r="AX1656" s="201">
        <v>22.6</v>
      </c>
      <c r="AY1656" s="201">
        <v>6</v>
      </c>
      <c r="CH1656" s="22">
        <f t="shared" si="289"/>
        <v>133.79999999999998</v>
      </c>
      <c r="CI1656" s="3">
        <f t="shared" si="290"/>
        <v>0</v>
      </c>
      <c r="CJ1656" s="17">
        <f t="shared" si="291"/>
        <v>12093</v>
      </c>
      <c r="CK1656" s="3" t="str">
        <f t="shared" si="292"/>
        <v>خ ت طب</v>
      </c>
    </row>
    <row r="1657" spans="1:89" s="201" customFormat="1" x14ac:dyDescent="0.25">
      <c r="A1657" s="202"/>
      <c r="B1657" s="203">
        <v>37</v>
      </c>
      <c r="C1657" s="203" t="s">
        <v>561</v>
      </c>
      <c r="D1657" s="19">
        <v>19636</v>
      </c>
      <c r="E1657" s="203">
        <v>12094</v>
      </c>
      <c r="F1657" s="201" t="s">
        <v>130</v>
      </c>
      <c r="G1657" s="19" t="s">
        <v>5076</v>
      </c>
      <c r="H1657" s="19"/>
      <c r="I1657" s="19">
        <v>293.60000000000002</v>
      </c>
      <c r="AU1657" s="22">
        <f t="shared" si="286"/>
        <v>293.60000000000002</v>
      </c>
      <c r="AV1657" s="201">
        <v>211.59</v>
      </c>
      <c r="AW1657" s="201">
        <v>23.51</v>
      </c>
      <c r="AX1657" s="201">
        <v>45.2</v>
      </c>
      <c r="AY1657" s="201">
        <v>13.3</v>
      </c>
      <c r="CH1657" s="22">
        <f t="shared" si="289"/>
        <v>293.60000000000002</v>
      </c>
      <c r="CI1657" s="3">
        <f t="shared" si="290"/>
        <v>0</v>
      </c>
      <c r="CJ1657" s="17">
        <f t="shared" si="291"/>
        <v>12094</v>
      </c>
      <c r="CK1657" s="3" t="str">
        <f t="shared" si="292"/>
        <v>خ ت طب</v>
      </c>
    </row>
    <row r="1658" spans="1:89" s="201" customFormat="1" x14ac:dyDescent="0.25">
      <c r="A1658" s="202"/>
      <c r="B1658" s="203">
        <v>38</v>
      </c>
      <c r="C1658" s="203" t="s">
        <v>561</v>
      </c>
      <c r="D1658" s="19">
        <v>19638</v>
      </c>
      <c r="E1658" s="203">
        <v>12095</v>
      </c>
      <c r="F1658" s="201" t="s">
        <v>130</v>
      </c>
      <c r="G1658" s="19" t="s">
        <v>5077</v>
      </c>
      <c r="H1658" s="19"/>
      <c r="I1658" s="19">
        <v>515.9</v>
      </c>
      <c r="AU1658" s="22">
        <f t="shared" si="286"/>
        <v>515.9</v>
      </c>
      <c r="AV1658" s="201">
        <v>332.64</v>
      </c>
      <c r="AW1658" s="201">
        <v>36.96</v>
      </c>
      <c r="AX1658" s="201">
        <v>124.3</v>
      </c>
      <c r="AY1658" s="201">
        <v>22</v>
      </c>
      <c r="CH1658" s="22">
        <f t="shared" si="289"/>
        <v>515.9</v>
      </c>
      <c r="CI1658" s="3">
        <f t="shared" si="290"/>
        <v>0</v>
      </c>
      <c r="CJ1658" s="17">
        <f t="shared" si="291"/>
        <v>12095</v>
      </c>
      <c r="CK1658" s="3" t="str">
        <f t="shared" si="292"/>
        <v>خ ت طب</v>
      </c>
    </row>
    <row r="1659" spans="1:89" s="201" customFormat="1" x14ac:dyDescent="0.25">
      <c r="A1659" s="202"/>
      <c r="B1659" s="203">
        <v>39</v>
      </c>
      <c r="C1659" s="203" t="s">
        <v>561</v>
      </c>
      <c r="D1659" s="19">
        <v>19639</v>
      </c>
      <c r="E1659" s="203">
        <v>12096</v>
      </c>
      <c r="F1659" s="201" t="s">
        <v>130</v>
      </c>
      <c r="G1659" s="19" t="s">
        <v>5077</v>
      </c>
      <c r="H1659" s="19"/>
      <c r="I1659" s="19">
        <v>445.56</v>
      </c>
      <c r="AU1659" s="22">
        <f t="shared" si="286"/>
        <v>445.56</v>
      </c>
      <c r="AV1659" s="201">
        <v>277.47000000000003</v>
      </c>
      <c r="AW1659" s="201">
        <v>41.73</v>
      </c>
      <c r="AX1659" s="201">
        <v>107.36</v>
      </c>
      <c r="AY1659" s="201">
        <v>19</v>
      </c>
      <c r="CH1659" s="22">
        <f t="shared" si="289"/>
        <v>445.56000000000006</v>
      </c>
      <c r="CI1659" s="3">
        <f t="shared" si="290"/>
        <v>0</v>
      </c>
      <c r="CJ1659" s="17">
        <f t="shared" si="291"/>
        <v>12096</v>
      </c>
      <c r="CK1659" s="3" t="str">
        <f t="shared" si="292"/>
        <v>خ ت طب</v>
      </c>
    </row>
    <row r="1660" spans="1:89" s="201" customFormat="1" x14ac:dyDescent="0.25">
      <c r="A1660" s="202"/>
      <c r="B1660" s="203">
        <v>40</v>
      </c>
      <c r="C1660" s="203" t="s">
        <v>561</v>
      </c>
      <c r="D1660" s="19">
        <v>19640</v>
      </c>
      <c r="E1660" s="203">
        <v>12097</v>
      </c>
      <c r="F1660" s="201" t="s">
        <v>130</v>
      </c>
      <c r="G1660" s="19" t="s">
        <v>5078</v>
      </c>
      <c r="H1660" s="19"/>
      <c r="I1660" s="19">
        <v>134.84</v>
      </c>
      <c r="AU1660" s="22">
        <f t="shared" si="286"/>
        <v>134.84</v>
      </c>
      <c r="AV1660" s="201">
        <v>82.02</v>
      </c>
      <c r="AW1660" s="201">
        <v>14.58</v>
      </c>
      <c r="AX1660" s="201">
        <v>32.49</v>
      </c>
      <c r="AY1660" s="201">
        <v>5.75</v>
      </c>
      <c r="CH1660" s="22">
        <f t="shared" si="289"/>
        <v>134.84</v>
      </c>
      <c r="CI1660" s="3">
        <f t="shared" si="290"/>
        <v>0</v>
      </c>
      <c r="CJ1660" s="17">
        <f t="shared" si="291"/>
        <v>12097</v>
      </c>
      <c r="CK1660" s="3" t="str">
        <f t="shared" si="292"/>
        <v>خ ت طب</v>
      </c>
    </row>
    <row r="1661" spans="1:89" s="201" customFormat="1" x14ac:dyDescent="0.25">
      <c r="A1661" s="202"/>
      <c r="B1661" s="203">
        <v>41</v>
      </c>
      <c r="C1661" s="203" t="s">
        <v>561</v>
      </c>
      <c r="D1661" s="19">
        <v>19641</v>
      </c>
      <c r="E1661" s="203">
        <v>12098</v>
      </c>
      <c r="F1661" s="201" t="s">
        <v>130</v>
      </c>
      <c r="G1661" s="19" t="s">
        <v>5078</v>
      </c>
      <c r="H1661" s="19"/>
      <c r="I1661" s="19">
        <v>510.45</v>
      </c>
      <c r="AU1661" s="22">
        <f t="shared" si="286"/>
        <v>510.45</v>
      </c>
      <c r="AV1661" s="201">
        <v>335.77</v>
      </c>
      <c r="AW1661" s="201">
        <v>37.31</v>
      </c>
      <c r="AX1661" s="201">
        <v>115.37</v>
      </c>
      <c r="AY1661" s="201">
        <v>22</v>
      </c>
      <c r="CH1661" s="22">
        <f t="shared" si="289"/>
        <v>510.45</v>
      </c>
      <c r="CI1661" s="3">
        <f t="shared" si="290"/>
        <v>0</v>
      </c>
      <c r="CJ1661" s="17">
        <f t="shared" si="291"/>
        <v>12098</v>
      </c>
      <c r="CK1661" s="3" t="str">
        <f t="shared" si="292"/>
        <v>خ ت طب</v>
      </c>
    </row>
    <row r="1662" spans="1:89" s="201" customFormat="1" x14ac:dyDescent="0.25">
      <c r="A1662" s="202"/>
      <c r="B1662" s="203">
        <v>42</v>
      </c>
      <c r="C1662" s="203" t="s">
        <v>561</v>
      </c>
      <c r="D1662" s="19">
        <v>19642</v>
      </c>
      <c r="E1662" s="203">
        <v>12099</v>
      </c>
      <c r="F1662" s="201" t="s">
        <v>130</v>
      </c>
      <c r="G1662" s="19" t="s">
        <v>5079</v>
      </c>
      <c r="H1662" s="19"/>
      <c r="I1662" s="19">
        <v>20000</v>
      </c>
      <c r="AU1662" s="22">
        <f t="shared" si="286"/>
        <v>20000</v>
      </c>
      <c r="AV1662" s="201">
        <v>15072.96</v>
      </c>
      <c r="AW1662" s="201">
        <v>3927.04</v>
      </c>
      <c r="AY1662" s="201">
        <v>1000</v>
      </c>
      <c r="CH1662" s="22">
        <f t="shared" si="289"/>
        <v>20000</v>
      </c>
      <c r="CI1662" s="3">
        <f t="shared" si="290"/>
        <v>0</v>
      </c>
      <c r="CJ1662" s="17">
        <f t="shared" si="291"/>
        <v>12099</v>
      </c>
      <c r="CK1662" s="3" t="str">
        <f t="shared" si="292"/>
        <v>خ ت طب</v>
      </c>
    </row>
    <row r="1663" spans="1:89" s="201" customFormat="1" x14ac:dyDescent="0.25">
      <c r="A1663" s="202"/>
      <c r="B1663" s="203">
        <v>43</v>
      </c>
      <c r="C1663" s="203" t="s">
        <v>561</v>
      </c>
      <c r="D1663" s="19">
        <v>19643</v>
      </c>
      <c r="E1663" s="203">
        <v>12100</v>
      </c>
      <c r="F1663" s="201" t="s">
        <v>130</v>
      </c>
      <c r="G1663" s="19" t="s">
        <v>5080</v>
      </c>
      <c r="H1663" s="19"/>
      <c r="I1663" s="19">
        <v>2000</v>
      </c>
      <c r="AU1663" s="22">
        <f t="shared" si="286"/>
        <v>2000</v>
      </c>
      <c r="AV1663" s="201">
        <v>1686.7</v>
      </c>
      <c r="AW1663" s="201">
        <v>213.3</v>
      </c>
      <c r="AY1663" s="201">
        <v>100</v>
      </c>
      <c r="CH1663" s="22">
        <f t="shared" si="289"/>
        <v>2000</v>
      </c>
      <c r="CI1663" s="3">
        <f t="shared" si="290"/>
        <v>0</v>
      </c>
      <c r="CJ1663" s="17">
        <f t="shared" si="291"/>
        <v>12100</v>
      </c>
      <c r="CK1663" s="3" t="str">
        <f t="shared" si="292"/>
        <v>خ ت طب</v>
      </c>
    </row>
    <row r="1664" spans="1:89" s="201" customFormat="1" x14ac:dyDescent="0.25">
      <c r="A1664" s="202"/>
      <c r="B1664" s="203">
        <v>44</v>
      </c>
      <c r="C1664" s="203" t="s">
        <v>561</v>
      </c>
      <c r="D1664" s="19">
        <v>19644</v>
      </c>
      <c r="E1664" s="203">
        <v>12101</v>
      </c>
      <c r="F1664" s="201" t="s">
        <v>130</v>
      </c>
      <c r="G1664" s="19" t="s">
        <v>5081</v>
      </c>
      <c r="H1664" s="19"/>
      <c r="I1664" s="19">
        <v>469</v>
      </c>
      <c r="AU1664" s="22">
        <f t="shared" si="286"/>
        <v>469</v>
      </c>
      <c r="AV1664" s="201">
        <v>302.39999999999998</v>
      </c>
      <c r="AW1664" s="201">
        <v>33.6</v>
      </c>
      <c r="AX1664" s="201">
        <v>113</v>
      </c>
      <c r="AY1664" s="201">
        <v>20</v>
      </c>
      <c r="CH1664" s="22">
        <f t="shared" si="289"/>
        <v>469</v>
      </c>
      <c r="CI1664" s="3">
        <f t="shared" si="290"/>
        <v>0</v>
      </c>
      <c r="CJ1664" s="17">
        <f t="shared" si="291"/>
        <v>12101</v>
      </c>
      <c r="CK1664" s="3" t="str">
        <f t="shared" si="292"/>
        <v>خ ت طب</v>
      </c>
    </row>
    <row r="1665" spans="1:89" s="201" customFormat="1" x14ac:dyDescent="0.25">
      <c r="A1665" s="202"/>
      <c r="B1665" s="203">
        <v>45</v>
      </c>
      <c r="C1665" s="203" t="s">
        <v>561</v>
      </c>
      <c r="D1665" s="19">
        <v>19645</v>
      </c>
      <c r="E1665" s="203">
        <v>12102</v>
      </c>
      <c r="F1665" s="201" t="s">
        <v>130</v>
      </c>
      <c r="G1665" s="19" t="s">
        <v>5081</v>
      </c>
      <c r="H1665" s="19"/>
      <c r="I1665" s="19">
        <v>303.64</v>
      </c>
      <c r="AU1665" s="22">
        <f t="shared" si="286"/>
        <v>303.64</v>
      </c>
      <c r="AV1665" s="201">
        <v>200.45</v>
      </c>
      <c r="AW1665" s="201">
        <v>34.6</v>
      </c>
      <c r="AX1665" s="201">
        <v>55.09</v>
      </c>
      <c r="AY1665" s="201">
        <v>13.5</v>
      </c>
      <c r="CH1665" s="22">
        <f t="shared" si="289"/>
        <v>303.64</v>
      </c>
      <c r="CI1665" s="3">
        <f>+CH1665-AU1665</f>
        <v>0</v>
      </c>
      <c r="CJ1665" s="17">
        <f t="shared" si="291"/>
        <v>12102</v>
      </c>
      <c r="CK1665" s="3" t="str">
        <f t="shared" si="292"/>
        <v>خ ت طب</v>
      </c>
    </row>
    <row r="1666" spans="1:89" s="201" customFormat="1" x14ac:dyDescent="0.25">
      <c r="A1666" s="202"/>
      <c r="B1666" s="203">
        <v>46</v>
      </c>
      <c r="C1666" s="203" t="s">
        <v>561</v>
      </c>
      <c r="D1666" s="19">
        <v>19646</v>
      </c>
      <c r="E1666" s="203">
        <v>12103</v>
      </c>
      <c r="F1666" s="201" t="s">
        <v>130</v>
      </c>
      <c r="G1666" s="19" t="s">
        <v>5082</v>
      </c>
      <c r="H1666" s="19"/>
      <c r="I1666" s="19">
        <v>175.88</v>
      </c>
      <c r="AU1666" s="22">
        <f t="shared" si="286"/>
        <v>175.88</v>
      </c>
      <c r="AV1666" s="201">
        <v>106.68</v>
      </c>
      <c r="AW1666" s="201">
        <v>19.32</v>
      </c>
      <c r="AX1666" s="201">
        <v>42.38</v>
      </c>
      <c r="AY1666" s="201">
        <v>7.5</v>
      </c>
      <c r="CH1666" s="22">
        <f t="shared" si="289"/>
        <v>175.88</v>
      </c>
      <c r="CI1666" s="3">
        <f t="shared" ref="CI1666:CI1727" si="295">+CH1666-AU1666</f>
        <v>0</v>
      </c>
      <c r="CJ1666" s="17">
        <f t="shared" ref="CJ1666:CJ1727" si="296">+E1666</f>
        <v>12103</v>
      </c>
      <c r="CK1666" s="3" t="str">
        <f t="shared" ref="CK1666:CK1727" si="297">+F1666</f>
        <v>خ ت طب</v>
      </c>
    </row>
    <row r="1667" spans="1:89" s="201" customFormat="1" x14ac:dyDescent="0.25">
      <c r="A1667" s="202"/>
      <c r="B1667" s="203">
        <v>47</v>
      </c>
      <c r="C1667" s="203" t="s">
        <v>561</v>
      </c>
      <c r="D1667" s="19">
        <v>19647</v>
      </c>
      <c r="E1667" s="203">
        <v>12104</v>
      </c>
      <c r="F1667" s="201" t="s">
        <v>130</v>
      </c>
      <c r="G1667" s="19" t="s">
        <v>5083</v>
      </c>
      <c r="H1667" s="19"/>
      <c r="I1667" s="19">
        <v>117.25</v>
      </c>
      <c r="AU1667" s="22">
        <f t="shared" si="286"/>
        <v>117.25</v>
      </c>
      <c r="AV1667" s="201">
        <v>71.36</v>
      </c>
      <c r="AW1667" s="201">
        <v>12.64</v>
      </c>
      <c r="AX1667" s="201">
        <v>28.25</v>
      </c>
      <c r="AY1667" s="201">
        <v>5</v>
      </c>
      <c r="CH1667" s="22">
        <f t="shared" si="289"/>
        <v>117.25</v>
      </c>
      <c r="CI1667" s="3">
        <f t="shared" si="295"/>
        <v>0</v>
      </c>
      <c r="CJ1667" s="17">
        <f t="shared" si="296"/>
        <v>12104</v>
      </c>
      <c r="CK1667" s="3" t="str">
        <f t="shared" si="297"/>
        <v>خ ت طب</v>
      </c>
    </row>
    <row r="1668" spans="1:89" s="201" customFormat="1" x14ac:dyDescent="0.25">
      <c r="A1668" s="202"/>
      <c r="B1668" s="203">
        <v>48</v>
      </c>
      <c r="C1668" s="203" t="s">
        <v>561</v>
      </c>
      <c r="D1668" s="19">
        <v>19648</v>
      </c>
      <c r="E1668" s="203">
        <v>12105</v>
      </c>
      <c r="F1668" s="201" t="s">
        <v>130</v>
      </c>
      <c r="G1668" s="19" t="s">
        <v>5084</v>
      </c>
      <c r="H1668" s="19"/>
      <c r="I1668" s="19">
        <v>175.88</v>
      </c>
      <c r="AU1668" s="22">
        <f t="shared" si="286"/>
        <v>175.88</v>
      </c>
      <c r="AV1668" s="201">
        <v>112.95</v>
      </c>
      <c r="AW1668" s="201">
        <v>13.05</v>
      </c>
      <c r="AX1668" s="201">
        <v>42.38</v>
      </c>
      <c r="AY1668" s="201">
        <v>7.5</v>
      </c>
      <c r="CH1668" s="22">
        <f t="shared" si="289"/>
        <v>175.88</v>
      </c>
      <c r="CI1668" s="3">
        <f t="shared" si="295"/>
        <v>0</v>
      </c>
      <c r="CJ1668" s="17">
        <f t="shared" si="296"/>
        <v>12105</v>
      </c>
      <c r="CK1668" s="3" t="str">
        <f t="shared" si="297"/>
        <v>خ ت طب</v>
      </c>
    </row>
    <row r="1669" spans="1:89" s="201" customFormat="1" x14ac:dyDescent="0.25">
      <c r="A1669" s="202"/>
      <c r="B1669" s="203">
        <v>49</v>
      </c>
      <c r="C1669" s="203" t="s">
        <v>561</v>
      </c>
      <c r="D1669" s="19">
        <v>19649</v>
      </c>
      <c r="E1669" s="203">
        <v>12106</v>
      </c>
      <c r="F1669" s="201" t="s">
        <v>130</v>
      </c>
      <c r="G1669" s="19" t="s">
        <v>5085</v>
      </c>
      <c r="H1669" s="19"/>
      <c r="I1669" s="19">
        <v>93.8</v>
      </c>
      <c r="AU1669" s="22">
        <f t="shared" si="286"/>
        <v>93.8</v>
      </c>
      <c r="AV1669" s="201">
        <v>57.12</v>
      </c>
      <c r="AW1669" s="201">
        <v>10.08</v>
      </c>
      <c r="AX1669" s="201">
        <v>22.6</v>
      </c>
      <c r="AY1669" s="201">
        <v>4</v>
      </c>
      <c r="CH1669" s="22">
        <f t="shared" si="289"/>
        <v>93.800000000000011</v>
      </c>
      <c r="CI1669" s="3">
        <f t="shared" si="295"/>
        <v>0</v>
      </c>
      <c r="CJ1669" s="17">
        <f t="shared" si="296"/>
        <v>12106</v>
      </c>
      <c r="CK1669" s="3" t="str">
        <f t="shared" si="297"/>
        <v>خ ت طب</v>
      </c>
    </row>
    <row r="1670" spans="1:89" s="201" customFormat="1" x14ac:dyDescent="0.25">
      <c r="A1670" s="202"/>
      <c r="B1670" s="203">
        <v>50</v>
      </c>
      <c r="C1670" s="203" t="s">
        <v>561</v>
      </c>
      <c r="D1670" s="19">
        <v>19650</v>
      </c>
      <c r="E1670" s="203">
        <v>12107</v>
      </c>
      <c r="F1670" s="201" t="s">
        <v>130</v>
      </c>
      <c r="G1670" s="19" t="s">
        <v>5086</v>
      </c>
      <c r="H1670" s="19"/>
      <c r="I1670" s="19">
        <v>753.44</v>
      </c>
      <c r="AU1670" s="22">
        <f t="shared" si="286"/>
        <v>753.44</v>
      </c>
      <c r="AV1670" s="201">
        <v>460.38</v>
      </c>
      <c r="AW1670" s="201">
        <v>91.12</v>
      </c>
      <c r="AX1670" s="201">
        <v>169.44</v>
      </c>
      <c r="AY1670" s="201">
        <v>32.5</v>
      </c>
      <c r="CH1670" s="22">
        <f t="shared" si="289"/>
        <v>753.44</v>
      </c>
      <c r="CI1670" s="3">
        <f t="shared" si="295"/>
        <v>0</v>
      </c>
      <c r="CJ1670" s="17">
        <f t="shared" si="296"/>
        <v>12107</v>
      </c>
      <c r="CK1670" s="3" t="str">
        <f t="shared" si="297"/>
        <v>خ ت طب</v>
      </c>
    </row>
    <row r="1671" spans="1:89" s="201" customFormat="1" x14ac:dyDescent="0.25">
      <c r="A1671" s="202"/>
      <c r="B1671" s="203">
        <v>51</v>
      </c>
      <c r="C1671" s="203" t="s">
        <v>561</v>
      </c>
      <c r="D1671" s="19">
        <v>19651</v>
      </c>
      <c r="E1671" s="203">
        <v>12108</v>
      </c>
      <c r="F1671" s="201" t="s">
        <v>130</v>
      </c>
      <c r="G1671" s="19" t="s">
        <v>5086</v>
      </c>
      <c r="H1671" s="19"/>
      <c r="I1671" s="19">
        <v>58.62</v>
      </c>
      <c r="AU1671" s="22">
        <f t="shared" si="286"/>
        <v>58.62</v>
      </c>
      <c r="AV1671" s="201">
        <v>33.6</v>
      </c>
      <c r="AW1671" s="201">
        <v>8.4</v>
      </c>
      <c r="AX1671" s="201">
        <v>14.12</v>
      </c>
      <c r="AY1671" s="201">
        <v>2.5</v>
      </c>
      <c r="CH1671" s="22">
        <f t="shared" si="289"/>
        <v>58.62</v>
      </c>
      <c r="CI1671" s="3">
        <f t="shared" si="295"/>
        <v>0</v>
      </c>
      <c r="CJ1671" s="17">
        <f t="shared" si="296"/>
        <v>12108</v>
      </c>
      <c r="CK1671" s="3" t="str">
        <f t="shared" si="297"/>
        <v>خ ت طب</v>
      </c>
    </row>
    <row r="1672" spans="1:89" s="201" customFormat="1" x14ac:dyDescent="0.25">
      <c r="A1672" s="202"/>
      <c r="B1672" s="203">
        <v>52</v>
      </c>
      <c r="C1672" s="203" t="s">
        <v>561</v>
      </c>
      <c r="D1672" s="19">
        <v>19652</v>
      </c>
      <c r="E1672" s="203">
        <v>12109</v>
      </c>
      <c r="F1672" s="201" t="s">
        <v>130</v>
      </c>
      <c r="G1672" s="19" t="s">
        <v>5086</v>
      </c>
      <c r="H1672" s="19"/>
      <c r="I1672" s="19">
        <v>167.24</v>
      </c>
      <c r="AU1672" s="22">
        <f t="shared" si="286"/>
        <v>167.24</v>
      </c>
      <c r="AV1672" s="201">
        <v>118.35</v>
      </c>
      <c r="AW1672" s="201">
        <v>13.15</v>
      </c>
      <c r="AX1672" s="201">
        <v>28.24</v>
      </c>
      <c r="AY1672" s="201">
        <v>7.5</v>
      </c>
      <c r="CH1672" s="22">
        <f t="shared" si="289"/>
        <v>167.24</v>
      </c>
      <c r="CI1672" s="3">
        <f t="shared" si="295"/>
        <v>0</v>
      </c>
      <c r="CJ1672" s="17">
        <f t="shared" si="296"/>
        <v>12109</v>
      </c>
      <c r="CK1672" s="3" t="str">
        <f t="shared" si="297"/>
        <v>خ ت طب</v>
      </c>
    </row>
    <row r="1673" spans="1:89" s="201" customFormat="1" x14ac:dyDescent="0.25">
      <c r="A1673" s="202"/>
      <c r="B1673" s="203">
        <v>53</v>
      </c>
      <c r="C1673" s="203" t="s">
        <v>561</v>
      </c>
      <c r="D1673" s="19">
        <v>19653</v>
      </c>
      <c r="E1673" s="203">
        <v>12110</v>
      </c>
      <c r="F1673" s="201" t="s">
        <v>130</v>
      </c>
      <c r="G1673" s="19" t="s">
        <v>5087</v>
      </c>
      <c r="H1673" s="19"/>
      <c r="I1673" s="19">
        <v>46.9</v>
      </c>
      <c r="AU1673" s="22">
        <f t="shared" si="286"/>
        <v>46.9</v>
      </c>
      <c r="AV1673" s="201">
        <v>30.24</v>
      </c>
      <c r="AW1673" s="201">
        <v>3.36</v>
      </c>
      <c r="AX1673" s="201">
        <v>11.3</v>
      </c>
      <c r="AY1673" s="201">
        <v>2</v>
      </c>
      <c r="CH1673" s="22">
        <f t="shared" si="289"/>
        <v>46.900000000000006</v>
      </c>
      <c r="CI1673" s="3">
        <f t="shared" si="295"/>
        <v>0</v>
      </c>
      <c r="CJ1673" s="17">
        <f t="shared" si="296"/>
        <v>12110</v>
      </c>
      <c r="CK1673" s="3" t="str">
        <f t="shared" si="297"/>
        <v>خ ت طب</v>
      </c>
    </row>
    <row r="1674" spans="1:89" s="201" customFormat="1" x14ac:dyDescent="0.25">
      <c r="A1674" s="202"/>
      <c r="B1674" s="203">
        <v>54</v>
      </c>
      <c r="C1674" s="203" t="s">
        <v>561</v>
      </c>
      <c r="D1674" s="19">
        <v>19654</v>
      </c>
      <c r="E1674" s="203">
        <v>12111</v>
      </c>
      <c r="F1674" s="201" t="s">
        <v>130</v>
      </c>
      <c r="G1674" s="19" t="s">
        <v>5087</v>
      </c>
      <c r="H1674" s="19"/>
      <c r="I1674" s="19">
        <v>164.15</v>
      </c>
      <c r="AU1674" s="22">
        <f t="shared" si="286"/>
        <v>164.15</v>
      </c>
      <c r="AV1674" s="201">
        <v>99.92</v>
      </c>
      <c r="AW1674" s="201">
        <v>17.68</v>
      </c>
      <c r="AX1674" s="201">
        <v>39.549999999999997</v>
      </c>
      <c r="AY1674" s="201">
        <v>7</v>
      </c>
      <c r="CH1674" s="22">
        <f t="shared" si="289"/>
        <v>164.14999999999998</v>
      </c>
      <c r="CI1674" s="3">
        <f t="shared" si="295"/>
        <v>0</v>
      </c>
      <c r="CJ1674" s="17">
        <f t="shared" si="296"/>
        <v>12111</v>
      </c>
      <c r="CK1674" s="3" t="str">
        <f t="shared" si="297"/>
        <v>خ ت طب</v>
      </c>
    </row>
    <row r="1675" spans="1:89" s="201" customFormat="1" x14ac:dyDescent="0.25">
      <c r="A1675" s="202"/>
      <c r="B1675" s="203">
        <v>55</v>
      </c>
      <c r="C1675" s="203" t="s">
        <v>561</v>
      </c>
      <c r="D1675" s="19">
        <v>19655</v>
      </c>
      <c r="E1675" s="203">
        <v>12112</v>
      </c>
      <c r="F1675" s="201" t="s">
        <v>130</v>
      </c>
      <c r="G1675" s="19" t="s">
        <v>5088</v>
      </c>
      <c r="H1675" s="19"/>
      <c r="I1675" s="19">
        <v>173.8</v>
      </c>
      <c r="AU1675" s="22">
        <f t="shared" si="286"/>
        <v>173.8</v>
      </c>
      <c r="AV1675" s="201">
        <v>128.88</v>
      </c>
      <c r="AW1675" s="201">
        <v>14.32</v>
      </c>
      <c r="AX1675" s="201">
        <v>22.6</v>
      </c>
      <c r="AY1675" s="201">
        <v>8</v>
      </c>
      <c r="CH1675" s="22">
        <f t="shared" si="289"/>
        <v>173.79999999999998</v>
      </c>
      <c r="CI1675" s="3">
        <f t="shared" si="295"/>
        <v>0</v>
      </c>
      <c r="CJ1675" s="17">
        <f t="shared" si="296"/>
        <v>12112</v>
      </c>
      <c r="CK1675" s="3" t="str">
        <f t="shared" si="297"/>
        <v>خ ت طب</v>
      </c>
    </row>
    <row r="1676" spans="1:89" s="201" customFormat="1" x14ac:dyDescent="0.25">
      <c r="A1676" s="202"/>
      <c r="B1676" s="203">
        <v>56</v>
      </c>
      <c r="C1676" s="203" t="s">
        <v>561</v>
      </c>
      <c r="D1676" s="19">
        <v>19656</v>
      </c>
      <c r="E1676" s="203">
        <v>12113</v>
      </c>
      <c r="F1676" s="201" t="s">
        <v>130</v>
      </c>
      <c r="G1676" s="19" t="s">
        <v>5088</v>
      </c>
      <c r="H1676" s="19"/>
      <c r="I1676" s="19">
        <v>60</v>
      </c>
      <c r="AU1676" s="22">
        <f t="shared" si="286"/>
        <v>60</v>
      </c>
      <c r="AV1676" s="201">
        <v>51.21</v>
      </c>
      <c r="AW1676" s="201">
        <v>5.79</v>
      </c>
      <c r="AY1676" s="201">
        <v>3</v>
      </c>
      <c r="CH1676" s="22">
        <f t="shared" si="289"/>
        <v>60</v>
      </c>
      <c r="CI1676" s="3">
        <f t="shared" si="295"/>
        <v>0</v>
      </c>
      <c r="CJ1676" s="17">
        <f t="shared" si="296"/>
        <v>12113</v>
      </c>
      <c r="CK1676" s="3" t="str">
        <f t="shared" si="297"/>
        <v>خ ت طب</v>
      </c>
    </row>
    <row r="1677" spans="1:89" s="201" customFormat="1" x14ac:dyDescent="0.25">
      <c r="A1677" s="202"/>
      <c r="B1677" s="203">
        <v>57</v>
      </c>
      <c r="C1677" s="203" t="s">
        <v>561</v>
      </c>
      <c r="D1677" s="19">
        <v>19657</v>
      </c>
      <c r="E1677" s="203">
        <v>12114</v>
      </c>
      <c r="F1677" s="201" t="s">
        <v>130</v>
      </c>
      <c r="G1677" s="19" t="s">
        <v>5088</v>
      </c>
      <c r="H1677" s="19"/>
      <c r="I1677" s="19">
        <v>133.80000000000001</v>
      </c>
      <c r="AU1677" s="22">
        <f t="shared" si="286"/>
        <v>133.80000000000001</v>
      </c>
      <c r="AV1677" s="201">
        <v>91.32</v>
      </c>
      <c r="AW1677" s="201">
        <v>13.88</v>
      </c>
      <c r="AX1677" s="201">
        <v>22.6</v>
      </c>
      <c r="AY1677" s="201">
        <v>6</v>
      </c>
      <c r="CH1677" s="22">
        <f t="shared" si="289"/>
        <v>133.79999999999998</v>
      </c>
      <c r="CI1677" s="3">
        <f t="shared" si="295"/>
        <v>0</v>
      </c>
      <c r="CJ1677" s="17">
        <f t="shared" si="296"/>
        <v>12114</v>
      </c>
      <c r="CK1677" s="3" t="str">
        <f t="shared" si="297"/>
        <v>خ ت طب</v>
      </c>
    </row>
    <row r="1678" spans="1:89" s="201" customFormat="1" x14ac:dyDescent="0.25">
      <c r="A1678" s="202"/>
      <c r="B1678" s="203">
        <v>58</v>
      </c>
      <c r="C1678" s="203" t="s">
        <v>561</v>
      </c>
      <c r="D1678" s="19">
        <v>19658</v>
      </c>
      <c r="E1678" s="203">
        <v>12115</v>
      </c>
      <c r="F1678" s="201" t="s">
        <v>130</v>
      </c>
      <c r="G1678" s="19" t="s">
        <v>5089</v>
      </c>
      <c r="H1678" s="19"/>
      <c r="I1678" s="19">
        <v>546.73</v>
      </c>
      <c r="AU1678" s="22">
        <f t="shared" si="286"/>
        <v>546.73</v>
      </c>
      <c r="AV1678" s="201">
        <v>351.62</v>
      </c>
      <c r="AW1678" s="201">
        <v>40.07</v>
      </c>
      <c r="AX1678" s="201">
        <v>131.72999999999999</v>
      </c>
      <c r="AY1678" s="201">
        <v>23.31</v>
      </c>
      <c r="CH1678" s="22">
        <f t="shared" si="289"/>
        <v>546.7299999999999</v>
      </c>
      <c r="CI1678" s="3">
        <f t="shared" si="295"/>
        <v>0</v>
      </c>
      <c r="CJ1678" s="17">
        <f t="shared" si="296"/>
        <v>12115</v>
      </c>
      <c r="CK1678" s="3" t="str">
        <f t="shared" si="297"/>
        <v>خ ت طب</v>
      </c>
    </row>
    <row r="1679" spans="1:89" s="201" customFormat="1" x14ac:dyDescent="0.25">
      <c r="A1679" s="202"/>
      <c r="B1679" s="203">
        <v>59</v>
      </c>
      <c r="C1679" s="203" t="s">
        <v>561</v>
      </c>
      <c r="D1679" s="19">
        <v>19659</v>
      </c>
      <c r="E1679" s="203">
        <v>12116</v>
      </c>
      <c r="F1679" s="201" t="s">
        <v>130</v>
      </c>
      <c r="G1679" s="19" t="s">
        <v>5089</v>
      </c>
      <c r="H1679" s="19"/>
      <c r="I1679" s="19">
        <v>1097.43</v>
      </c>
      <c r="AU1679" s="22">
        <f t="shared" si="286"/>
        <v>1097.43</v>
      </c>
      <c r="AV1679" s="201">
        <v>711.44</v>
      </c>
      <c r="AW1679" s="201">
        <v>116.69</v>
      </c>
      <c r="AX1679" s="201">
        <v>221.18</v>
      </c>
      <c r="AY1679" s="201">
        <v>48.12</v>
      </c>
      <c r="CH1679" s="22">
        <f t="shared" si="289"/>
        <v>1097.43</v>
      </c>
      <c r="CI1679" s="3">
        <f t="shared" si="295"/>
        <v>0</v>
      </c>
      <c r="CJ1679" s="17">
        <f t="shared" si="296"/>
        <v>12116</v>
      </c>
      <c r="CK1679" s="3" t="str">
        <f t="shared" si="297"/>
        <v>خ ت طب</v>
      </c>
    </row>
    <row r="1680" spans="1:89" s="201" customFormat="1" x14ac:dyDescent="0.25">
      <c r="A1680" s="202"/>
      <c r="B1680" s="203">
        <v>60</v>
      </c>
      <c r="C1680" s="203" t="s">
        <v>561</v>
      </c>
      <c r="D1680" s="19">
        <v>19660</v>
      </c>
      <c r="E1680" s="203">
        <v>12117</v>
      </c>
      <c r="F1680" s="201" t="s">
        <v>130</v>
      </c>
      <c r="G1680" s="19" t="s">
        <v>5090</v>
      </c>
      <c r="H1680" s="19"/>
      <c r="I1680" s="19">
        <v>311.12</v>
      </c>
      <c r="AU1680" s="22">
        <f t="shared" si="286"/>
        <v>311.12</v>
      </c>
      <c r="AV1680" s="201">
        <v>191.91</v>
      </c>
      <c r="AW1680" s="201">
        <v>30.98</v>
      </c>
      <c r="AX1680" s="201">
        <v>74.95</v>
      </c>
      <c r="AY1680" s="201">
        <v>13.28</v>
      </c>
      <c r="CH1680" s="22">
        <f t="shared" si="289"/>
        <v>311.11999999999995</v>
      </c>
      <c r="CI1680" s="3">
        <f t="shared" si="295"/>
        <v>0</v>
      </c>
      <c r="CJ1680" s="17">
        <f t="shared" si="296"/>
        <v>12117</v>
      </c>
      <c r="CK1680" s="3" t="str">
        <f t="shared" si="297"/>
        <v>خ ت طب</v>
      </c>
    </row>
    <row r="1681" spans="1:89" s="201" customFormat="1" x14ac:dyDescent="0.25">
      <c r="A1681" s="202"/>
      <c r="B1681" s="203"/>
      <c r="C1681" s="203" t="s">
        <v>561</v>
      </c>
      <c r="D1681" s="19">
        <v>19661</v>
      </c>
      <c r="E1681" s="203">
        <v>12118</v>
      </c>
      <c r="F1681" s="201" t="s">
        <v>130</v>
      </c>
      <c r="G1681" s="19" t="s">
        <v>5091</v>
      </c>
      <c r="H1681" s="19"/>
      <c r="I1681" s="19">
        <v>187.6</v>
      </c>
      <c r="AU1681" s="22">
        <f t="shared" si="286"/>
        <v>187.6</v>
      </c>
      <c r="AV1681" s="201">
        <v>121.76</v>
      </c>
      <c r="AW1681" s="201">
        <v>12.64</v>
      </c>
      <c r="AX1681" s="201">
        <v>45.2</v>
      </c>
      <c r="AY1681" s="201">
        <v>8</v>
      </c>
      <c r="CH1681" s="22">
        <f t="shared" si="289"/>
        <v>187.60000000000002</v>
      </c>
      <c r="CI1681" s="3">
        <f t="shared" si="295"/>
        <v>0</v>
      </c>
      <c r="CJ1681" s="17">
        <f t="shared" si="296"/>
        <v>12118</v>
      </c>
      <c r="CK1681" s="3" t="str">
        <f t="shared" si="297"/>
        <v>خ ت طب</v>
      </c>
    </row>
    <row r="1682" spans="1:89" s="201" customFormat="1" x14ac:dyDescent="0.25">
      <c r="A1682" s="202"/>
      <c r="B1682" s="203"/>
      <c r="C1682" s="203" t="s">
        <v>561</v>
      </c>
      <c r="D1682" s="19">
        <v>19662</v>
      </c>
      <c r="E1682" s="203">
        <v>12119</v>
      </c>
      <c r="F1682" s="201" t="s">
        <v>130</v>
      </c>
      <c r="G1682" s="19" t="s">
        <v>5092</v>
      </c>
      <c r="H1682" s="19"/>
      <c r="I1682" s="19">
        <v>361.2</v>
      </c>
      <c r="AU1682" s="22">
        <f t="shared" si="286"/>
        <v>361.2</v>
      </c>
      <c r="AV1682" s="201">
        <v>229.95</v>
      </c>
      <c r="AW1682" s="201">
        <v>25.55</v>
      </c>
      <c r="AX1682" s="201">
        <v>90.4</v>
      </c>
      <c r="AY1682" s="201">
        <v>15.3</v>
      </c>
      <c r="CH1682" s="22">
        <f t="shared" si="289"/>
        <v>361.2</v>
      </c>
      <c r="CI1682" s="3">
        <f t="shared" si="295"/>
        <v>0</v>
      </c>
      <c r="CJ1682" s="17">
        <f t="shared" si="296"/>
        <v>12119</v>
      </c>
      <c r="CK1682" s="3" t="str">
        <f t="shared" si="297"/>
        <v>خ ت طب</v>
      </c>
    </row>
    <row r="1683" spans="1:89" s="201" customFormat="1" x14ac:dyDescent="0.25">
      <c r="A1683" s="202"/>
      <c r="B1683" s="203"/>
      <c r="C1683" s="203" t="s">
        <v>561</v>
      </c>
      <c r="D1683" s="19">
        <v>19663</v>
      </c>
      <c r="E1683" s="203">
        <v>12120</v>
      </c>
      <c r="F1683" s="201" t="s">
        <v>130</v>
      </c>
      <c r="G1683" s="19" t="s">
        <v>5093</v>
      </c>
      <c r="H1683" s="19"/>
      <c r="I1683" s="19">
        <v>87.94</v>
      </c>
      <c r="AU1683" s="22">
        <f t="shared" si="286"/>
        <v>87.94</v>
      </c>
      <c r="AV1683" s="201">
        <v>53.46</v>
      </c>
      <c r="AW1683" s="201">
        <v>9.5399999999999991</v>
      </c>
      <c r="AX1683" s="201">
        <v>21.19</v>
      </c>
      <c r="AY1683" s="201">
        <v>3.75</v>
      </c>
      <c r="CH1683" s="22">
        <f t="shared" si="289"/>
        <v>87.94</v>
      </c>
      <c r="CI1683" s="3">
        <f t="shared" si="295"/>
        <v>0</v>
      </c>
      <c r="CJ1683" s="17">
        <f t="shared" si="296"/>
        <v>12120</v>
      </c>
      <c r="CK1683" s="3" t="str">
        <f t="shared" si="297"/>
        <v>خ ت طب</v>
      </c>
    </row>
    <row r="1684" spans="1:89" s="201" customFormat="1" x14ac:dyDescent="0.25">
      <c r="A1684" s="202"/>
      <c r="B1684" s="203"/>
      <c r="C1684" s="203" t="s">
        <v>561</v>
      </c>
      <c r="D1684" s="19">
        <v>19664</v>
      </c>
      <c r="E1684" s="203">
        <v>12121</v>
      </c>
      <c r="F1684" s="201" t="s">
        <v>130</v>
      </c>
      <c r="G1684" s="19" t="s">
        <v>5094</v>
      </c>
      <c r="H1684" s="19"/>
      <c r="I1684" s="19">
        <v>783.3</v>
      </c>
      <c r="AU1684" s="22">
        <f t="shared" si="286"/>
        <v>783.3</v>
      </c>
      <c r="AV1684" s="201">
        <v>502.11</v>
      </c>
      <c r="AW1684" s="201">
        <v>55.79</v>
      </c>
      <c r="AX1684" s="201">
        <v>192.1</v>
      </c>
      <c r="AY1684" s="201">
        <v>33.299999999999997</v>
      </c>
      <c r="CH1684" s="22">
        <f t="shared" ref="CH1684:CH1727" si="298">SUM(AV1684:CG1684)</f>
        <v>783.3</v>
      </c>
      <c r="CI1684" s="3">
        <f t="shared" si="295"/>
        <v>0</v>
      </c>
      <c r="CJ1684" s="17">
        <f t="shared" si="296"/>
        <v>12121</v>
      </c>
      <c r="CK1684" s="3" t="str">
        <f t="shared" si="297"/>
        <v>خ ت طب</v>
      </c>
    </row>
    <row r="1685" spans="1:89" s="201" customFormat="1" x14ac:dyDescent="0.25">
      <c r="A1685" s="202"/>
      <c r="B1685" s="203"/>
      <c r="C1685" s="203" t="s">
        <v>561</v>
      </c>
      <c r="D1685" s="19">
        <v>19665</v>
      </c>
      <c r="E1685" s="203">
        <v>12122</v>
      </c>
      <c r="F1685" s="201" t="s">
        <v>130</v>
      </c>
      <c r="G1685" s="19" t="s">
        <v>5094</v>
      </c>
      <c r="H1685" s="19"/>
      <c r="I1685" s="19">
        <v>515.91</v>
      </c>
      <c r="AU1685" s="22">
        <f t="shared" si="286"/>
        <v>515.91</v>
      </c>
      <c r="AV1685" s="201">
        <v>310.83999999999997</v>
      </c>
      <c r="AW1685" s="201">
        <v>58.76</v>
      </c>
      <c r="AX1685" s="201">
        <v>124.31</v>
      </c>
      <c r="AY1685" s="201">
        <v>22</v>
      </c>
      <c r="CH1685" s="22">
        <f t="shared" si="298"/>
        <v>515.91</v>
      </c>
      <c r="CI1685" s="3">
        <f t="shared" si="295"/>
        <v>0</v>
      </c>
      <c r="CJ1685" s="17">
        <f t="shared" si="296"/>
        <v>12122</v>
      </c>
      <c r="CK1685" s="3" t="str">
        <f t="shared" si="297"/>
        <v>خ ت طب</v>
      </c>
    </row>
    <row r="1686" spans="1:89" s="201" customFormat="1" x14ac:dyDescent="0.25">
      <c r="A1686" s="202"/>
      <c r="B1686" s="203"/>
      <c r="C1686" s="203" t="s">
        <v>561</v>
      </c>
      <c r="D1686" s="19">
        <v>19666</v>
      </c>
      <c r="E1686" s="203">
        <v>12123</v>
      </c>
      <c r="F1686" s="201" t="s">
        <v>130</v>
      </c>
      <c r="G1686" s="19" t="s">
        <v>5095</v>
      </c>
      <c r="H1686" s="19"/>
      <c r="I1686" s="19">
        <v>158.29</v>
      </c>
      <c r="AU1686" s="22">
        <f t="shared" si="286"/>
        <v>158.29</v>
      </c>
      <c r="AV1686" s="201">
        <v>93.12</v>
      </c>
      <c r="AW1686" s="201">
        <v>20.28</v>
      </c>
      <c r="AX1686" s="201">
        <v>38.14</v>
      </c>
      <c r="AY1686" s="201">
        <v>6.75</v>
      </c>
      <c r="CH1686" s="22">
        <f t="shared" si="298"/>
        <v>158.29000000000002</v>
      </c>
      <c r="CI1686" s="3">
        <f t="shared" si="295"/>
        <v>0</v>
      </c>
      <c r="CJ1686" s="17">
        <f t="shared" si="296"/>
        <v>12123</v>
      </c>
      <c r="CK1686" s="3" t="str">
        <f t="shared" si="297"/>
        <v>خ ت طب</v>
      </c>
    </row>
    <row r="1687" spans="1:89" s="201" customFormat="1" x14ac:dyDescent="0.25">
      <c r="A1687" s="202"/>
      <c r="C1687" s="203" t="s">
        <v>561</v>
      </c>
      <c r="D1687" s="19">
        <v>19667</v>
      </c>
      <c r="E1687" s="203">
        <v>12124</v>
      </c>
      <c r="F1687" s="201" t="s">
        <v>130</v>
      </c>
      <c r="G1687" s="19" t="s">
        <v>5096</v>
      </c>
      <c r="H1687" s="19"/>
      <c r="I1687" s="19">
        <v>164.15</v>
      </c>
      <c r="AU1687" s="22">
        <f t="shared" si="286"/>
        <v>164.15</v>
      </c>
      <c r="AV1687" s="201">
        <v>99.92</v>
      </c>
      <c r="AW1687" s="201">
        <v>17.68</v>
      </c>
      <c r="AX1687" s="201">
        <v>39.549999999999997</v>
      </c>
      <c r="AY1687" s="201">
        <v>7</v>
      </c>
      <c r="CH1687" s="22">
        <f t="shared" si="298"/>
        <v>164.14999999999998</v>
      </c>
      <c r="CI1687" s="3">
        <f t="shared" si="295"/>
        <v>0</v>
      </c>
      <c r="CJ1687" s="17">
        <f t="shared" si="296"/>
        <v>12124</v>
      </c>
      <c r="CK1687" s="3" t="str">
        <f t="shared" si="297"/>
        <v>خ ت طب</v>
      </c>
    </row>
    <row r="1688" spans="1:89" s="201" customFormat="1" x14ac:dyDescent="0.25">
      <c r="A1688" s="202"/>
      <c r="B1688" s="203"/>
      <c r="C1688" s="203" t="s">
        <v>561</v>
      </c>
      <c r="D1688" s="19">
        <v>19668</v>
      </c>
      <c r="E1688" s="203">
        <v>12125</v>
      </c>
      <c r="F1688" s="201" t="s">
        <v>130</v>
      </c>
      <c r="G1688" s="19" t="s">
        <v>5096</v>
      </c>
      <c r="H1688" s="19"/>
      <c r="I1688" s="19">
        <v>515.9</v>
      </c>
      <c r="AU1688" s="22">
        <f t="shared" si="286"/>
        <v>515.9</v>
      </c>
      <c r="AV1688" s="201">
        <v>332.64</v>
      </c>
      <c r="AW1688" s="201">
        <v>36.96</v>
      </c>
      <c r="AX1688" s="201">
        <v>124.3</v>
      </c>
      <c r="AY1688" s="201">
        <v>22</v>
      </c>
      <c r="CH1688" s="22">
        <f t="shared" si="298"/>
        <v>515.9</v>
      </c>
      <c r="CI1688" s="3">
        <f t="shared" si="295"/>
        <v>0</v>
      </c>
      <c r="CJ1688" s="17">
        <f t="shared" si="296"/>
        <v>12125</v>
      </c>
      <c r="CK1688" s="3" t="str">
        <f t="shared" si="297"/>
        <v>خ ت طب</v>
      </c>
    </row>
    <row r="1689" spans="1:89" s="201" customFormat="1" x14ac:dyDescent="0.25">
      <c r="A1689" s="202"/>
      <c r="B1689" s="203"/>
      <c r="C1689" s="203" t="s">
        <v>561</v>
      </c>
      <c r="D1689" s="19">
        <v>19669</v>
      </c>
      <c r="E1689" s="203">
        <v>12126</v>
      </c>
      <c r="F1689" s="201" t="s">
        <v>130</v>
      </c>
      <c r="G1689" s="19" t="s">
        <v>5096</v>
      </c>
      <c r="H1689" s="19"/>
      <c r="I1689" s="19">
        <v>962.52</v>
      </c>
      <c r="AU1689" s="22">
        <f t="shared" si="286"/>
        <v>962.52</v>
      </c>
      <c r="AV1689" s="201">
        <v>572.16999999999996</v>
      </c>
      <c r="AW1689" s="201">
        <v>117.39</v>
      </c>
      <c r="AX1689" s="201">
        <v>231.92</v>
      </c>
      <c r="AY1689" s="201">
        <v>41.04</v>
      </c>
      <c r="CH1689" s="22">
        <f t="shared" si="298"/>
        <v>962.51999999999987</v>
      </c>
      <c r="CI1689" s="3">
        <f t="shared" si="295"/>
        <v>0</v>
      </c>
      <c r="CJ1689" s="17">
        <f t="shared" si="296"/>
        <v>12126</v>
      </c>
      <c r="CK1689" s="3" t="str">
        <f t="shared" si="297"/>
        <v>خ ت طب</v>
      </c>
    </row>
    <row r="1690" spans="1:89" s="201" customFormat="1" x14ac:dyDescent="0.25">
      <c r="A1690" s="202"/>
      <c r="B1690" s="203"/>
      <c r="C1690" s="203" t="s">
        <v>563</v>
      </c>
      <c r="D1690" s="19">
        <v>19490</v>
      </c>
      <c r="E1690" s="203">
        <v>12127</v>
      </c>
      <c r="F1690" s="19" t="s">
        <v>325</v>
      </c>
      <c r="G1690" s="19" t="s">
        <v>1931</v>
      </c>
      <c r="H1690" s="19"/>
      <c r="I1690" s="19">
        <v>1195.95</v>
      </c>
      <c r="AU1690" s="22">
        <f t="shared" si="286"/>
        <v>1195.95</v>
      </c>
      <c r="AV1690" s="201">
        <v>800.2</v>
      </c>
      <c r="AW1690" s="201">
        <v>107.6</v>
      </c>
      <c r="AX1690" s="201">
        <v>288.14999999999998</v>
      </c>
      <c r="CH1690" s="22">
        <f t="shared" si="298"/>
        <v>1195.95</v>
      </c>
      <c r="CI1690" s="3">
        <f t="shared" si="295"/>
        <v>0</v>
      </c>
      <c r="CJ1690" s="17">
        <f t="shared" si="296"/>
        <v>12127</v>
      </c>
      <c r="CK1690" s="3" t="str">
        <f t="shared" si="297"/>
        <v xml:space="preserve">برنامج دولى </v>
      </c>
    </row>
    <row r="1691" spans="1:89" s="201" customFormat="1" x14ac:dyDescent="0.25">
      <c r="A1691" s="202"/>
      <c r="B1691" s="203"/>
      <c r="C1691" s="203" t="s">
        <v>563</v>
      </c>
      <c r="D1691" s="19">
        <v>19491</v>
      </c>
      <c r="E1691" s="203">
        <v>12128</v>
      </c>
      <c r="F1691" s="19" t="s">
        <v>325</v>
      </c>
      <c r="G1691" s="19" t="s">
        <v>1931</v>
      </c>
      <c r="H1691" s="19"/>
      <c r="I1691" s="19">
        <v>21431.52</v>
      </c>
      <c r="AU1691" s="22">
        <f t="shared" si="286"/>
        <v>21431.52</v>
      </c>
      <c r="AV1691" s="201">
        <v>18099.62</v>
      </c>
      <c r="AW1691" s="201">
        <v>2217.8000000000002</v>
      </c>
      <c r="AX1691" s="201">
        <v>1114.0999999999999</v>
      </c>
      <c r="CH1691" s="22">
        <f t="shared" si="298"/>
        <v>21431.519999999997</v>
      </c>
      <c r="CI1691" s="3">
        <f t="shared" si="295"/>
        <v>0</v>
      </c>
      <c r="CJ1691" s="17">
        <f t="shared" si="296"/>
        <v>12128</v>
      </c>
      <c r="CK1691" s="3" t="str">
        <f t="shared" si="297"/>
        <v xml:space="preserve">برنامج دولى </v>
      </c>
    </row>
    <row r="1692" spans="1:89" s="201" customFormat="1" x14ac:dyDescent="0.25">
      <c r="A1692" s="202"/>
      <c r="B1692" s="203"/>
      <c r="C1692" s="203" t="s">
        <v>566</v>
      </c>
      <c r="D1692" s="19">
        <v>19512</v>
      </c>
      <c r="E1692" s="203">
        <v>12129</v>
      </c>
      <c r="F1692" s="19" t="s">
        <v>325</v>
      </c>
      <c r="G1692" s="19" t="s">
        <v>5098</v>
      </c>
      <c r="H1692" s="19"/>
      <c r="I1692" s="19">
        <v>37582.800000000003</v>
      </c>
      <c r="AU1692" s="22">
        <f t="shared" si="286"/>
        <v>37582.800000000003</v>
      </c>
      <c r="AV1692" s="201">
        <v>33410.9</v>
      </c>
      <c r="AW1692" s="201">
        <v>4036.3</v>
      </c>
      <c r="AX1692" s="201">
        <v>135.6</v>
      </c>
      <c r="CH1692" s="22">
        <f t="shared" si="298"/>
        <v>37582.800000000003</v>
      </c>
      <c r="CI1692" s="3">
        <f t="shared" si="295"/>
        <v>0</v>
      </c>
      <c r="CJ1692" s="17">
        <f t="shared" si="296"/>
        <v>12129</v>
      </c>
      <c r="CK1692" s="3" t="str">
        <f t="shared" si="297"/>
        <v xml:space="preserve">برنامج دولى </v>
      </c>
    </row>
    <row r="1693" spans="1:89" s="201" customFormat="1" x14ac:dyDescent="0.25">
      <c r="A1693" s="202"/>
      <c r="B1693" s="203"/>
      <c r="C1693" s="203" t="s">
        <v>566</v>
      </c>
      <c r="D1693" s="19">
        <v>19510</v>
      </c>
      <c r="E1693" s="203">
        <v>12130</v>
      </c>
      <c r="F1693" s="19" t="s">
        <v>325</v>
      </c>
      <c r="G1693" s="19" t="s">
        <v>5098</v>
      </c>
      <c r="H1693" s="19"/>
      <c r="I1693" s="19">
        <v>562.79999999999995</v>
      </c>
      <c r="AU1693" s="22">
        <f t="shared" si="286"/>
        <v>562.79999999999995</v>
      </c>
      <c r="AV1693" s="201">
        <v>376.75</v>
      </c>
      <c r="AW1693" s="201">
        <v>50.45</v>
      </c>
      <c r="AX1693" s="201">
        <v>135.6</v>
      </c>
      <c r="CH1693" s="22">
        <f t="shared" si="298"/>
        <v>562.79999999999995</v>
      </c>
      <c r="CI1693" s="3">
        <f t="shared" si="295"/>
        <v>0</v>
      </c>
      <c r="CJ1693" s="17">
        <f t="shared" si="296"/>
        <v>12130</v>
      </c>
      <c r="CK1693" s="3" t="str">
        <f t="shared" si="297"/>
        <v xml:space="preserve">برنامج دولى </v>
      </c>
    </row>
    <row r="1694" spans="1:89" s="201" customFormat="1" x14ac:dyDescent="0.25">
      <c r="A1694" s="202"/>
      <c r="B1694" s="203"/>
      <c r="C1694" s="203" t="s">
        <v>566</v>
      </c>
      <c r="D1694" s="19">
        <v>19511</v>
      </c>
      <c r="E1694" s="203">
        <v>12131</v>
      </c>
      <c r="F1694" s="19" t="s">
        <v>325</v>
      </c>
      <c r="G1694" s="19" t="s">
        <v>5098</v>
      </c>
      <c r="H1694" s="19"/>
      <c r="I1694" s="19">
        <v>1125.5999999999999</v>
      </c>
      <c r="AU1694" s="22">
        <f t="shared" si="286"/>
        <v>1125.5999999999999</v>
      </c>
      <c r="AV1694" s="201">
        <v>752.75</v>
      </c>
      <c r="AW1694" s="201">
        <v>101.65</v>
      </c>
      <c r="AX1694" s="201">
        <v>271.2</v>
      </c>
      <c r="CH1694" s="22">
        <f t="shared" si="298"/>
        <v>1125.5999999999999</v>
      </c>
      <c r="CI1694" s="3">
        <f t="shared" si="295"/>
        <v>0</v>
      </c>
      <c r="CJ1694" s="17">
        <f t="shared" si="296"/>
        <v>12131</v>
      </c>
      <c r="CK1694" s="3" t="str">
        <f t="shared" si="297"/>
        <v xml:space="preserve">برنامج دولى </v>
      </c>
    </row>
    <row r="1695" spans="1:89" s="201" customFormat="1" x14ac:dyDescent="0.25">
      <c r="A1695" s="202"/>
      <c r="B1695" s="203"/>
      <c r="C1695" s="203" t="s">
        <v>566</v>
      </c>
      <c r="D1695" s="19">
        <v>19509</v>
      </c>
      <c r="E1695" s="203">
        <v>12132</v>
      </c>
      <c r="F1695" s="19" t="s">
        <v>325</v>
      </c>
      <c r="G1695" s="19" t="s">
        <v>5098</v>
      </c>
      <c r="H1695" s="19"/>
      <c r="I1695" s="19">
        <v>1920</v>
      </c>
      <c r="AU1695" s="22">
        <f t="shared" si="286"/>
        <v>1920</v>
      </c>
      <c r="AV1695" s="201">
        <v>1713.95</v>
      </c>
      <c r="AW1695" s="201">
        <v>206.05</v>
      </c>
      <c r="CH1695" s="22">
        <f t="shared" si="298"/>
        <v>1920</v>
      </c>
      <c r="CI1695" s="3">
        <f t="shared" si="295"/>
        <v>0</v>
      </c>
      <c r="CJ1695" s="17">
        <f t="shared" si="296"/>
        <v>12132</v>
      </c>
      <c r="CK1695" s="3" t="str">
        <f t="shared" si="297"/>
        <v xml:space="preserve">برنامج دولى </v>
      </c>
    </row>
    <row r="1696" spans="1:89" s="201" customFormat="1" x14ac:dyDescent="0.25">
      <c r="A1696" s="202"/>
      <c r="B1696" s="203"/>
      <c r="C1696" s="203" t="s">
        <v>566</v>
      </c>
      <c r="D1696" s="19">
        <v>19515</v>
      </c>
      <c r="E1696" s="203">
        <v>12133</v>
      </c>
      <c r="F1696" s="19" t="s">
        <v>325</v>
      </c>
      <c r="G1696" s="19" t="s">
        <v>5098</v>
      </c>
      <c r="H1696" s="19"/>
      <c r="I1696" s="19">
        <v>41782.800000000003</v>
      </c>
      <c r="AU1696" s="22">
        <f t="shared" si="286"/>
        <v>41782.800000000003</v>
      </c>
      <c r="AV1696" s="201">
        <v>37161</v>
      </c>
      <c r="AW1696" s="201">
        <v>4486.2</v>
      </c>
      <c r="AX1696" s="201">
        <v>135.6</v>
      </c>
      <c r="CH1696" s="22">
        <f t="shared" si="298"/>
        <v>41782.799999999996</v>
      </c>
      <c r="CI1696" s="3">
        <f t="shared" si="295"/>
        <v>0</v>
      </c>
      <c r="CJ1696" s="17">
        <f t="shared" si="296"/>
        <v>12133</v>
      </c>
      <c r="CK1696" s="3" t="str">
        <f t="shared" si="297"/>
        <v xml:space="preserve">برنامج دولى </v>
      </c>
    </row>
    <row r="1697" spans="1:89" s="201" customFormat="1" x14ac:dyDescent="0.25">
      <c r="A1697" s="202"/>
      <c r="B1697" s="203"/>
      <c r="C1697" s="203" t="s">
        <v>566</v>
      </c>
      <c r="D1697" s="19">
        <v>19514</v>
      </c>
      <c r="E1697" s="203">
        <v>12134</v>
      </c>
      <c r="F1697" s="19" t="s">
        <v>325</v>
      </c>
      <c r="G1697" s="19" t="s">
        <v>5098</v>
      </c>
      <c r="H1697" s="19"/>
      <c r="I1697" s="19">
        <v>562.79999999999995</v>
      </c>
      <c r="AU1697" s="22">
        <f t="shared" si="286"/>
        <v>562.79999999999995</v>
      </c>
      <c r="AV1697" s="201">
        <v>376.75</v>
      </c>
      <c r="AW1697" s="201">
        <v>50.45</v>
      </c>
      <c r="AX1697" s="201">
        <v>135.6</v>
      </c>
      <c r="CH1697" s="22">
        <f t="shared" si="298"/>
        <v>562.79999999999995</v>
      </c>
      <c r="CI1697" s="3">
        <f t="shared" si="295"/>
        <v>0</v>
      </c>
      <c r="CJ1697" s="17">
        <f t="shared" si="296"/>
        <v>12134</v>
      </c>
      <c r="CK1697" s="3" t="str">
        <f t="shared" si="297"/>
        <v xml:space="preserve">برنامج دولى </v>
      </c>
    </row>
    <row r="1698" spans="1:89" s="201" customFormat="1" x14ac:dyDescent="0.25">
      <c r="A1698" s="202"/>
      <c r="B1698" s="203"/>
      <c r="C1698" s="203" t="s">
        <v>566</v>
      </c>
      <c r="D1698" s="19">
        <v>19513</v>
      </c>
      <c r="E1698" s="203">
        <v>12135</v>
      </c>
      <c r="F1698" s="19" t="s">
        <v>325</v>
      </c>
      <c r="G1698" s="19" t="s">
        <v>5098</v>
      </c>
      <c r="H1698" s="19"/>
      <c r="I1698" s="19">
        <v>1125.5999999999999</v>
      </c>
      <c r="AU1698" s="22">
        <f t="shared" si="286"/>
        <v>1125.5999999999999</v>
      </c>
      <c r="AV1698" s="201">
        <v>752.75</v>
      </c>
      <c r="AW1698" s="201">
        <v>101.65</v>
      </c>
      <c r="AX1698" s="201">
        <v>271.2</v>
      </c>
      <c r="CH1698" s="22">
        <f t="shared" si="298"/>
        <v>1125.5999999999999</v>
      </c>
      <c r="CI1698" s="3">
        <f t="shared" si="295"/>
        <v>0</v>
      </c>
      <c r="CJ1698" s="17">
        <f t="shared" si="296"/>
        <v>12135</v>
      </c>
      <c r="CK1698" s="3" t="str">
        <f t="shared" si="297"/>
        <v xml:space="preserve">برنامج دولى </v>
      </c>
    </row>
    <row r="1699" spans="1:89" s="201" customFormat="1" x14ac:dyDescent="0.25">
      <c r="A1699" s="202"/>
      <c r="B1699" s="203"/>
      <c r="C1699" s="203" t="s">
        <v>566</v>
      </c>
      <c r="D1699" s="19">
        <v>19518</v>
      </c>
      <c r="E1699" s="203">
        <v>12136</v>
      </c>
      <c r="F1699" s="19" t="s">
        <v>325</v>
      </c>
      <c r="G1699" s="19" t="s">
        <v>5098</v>
      </c>
      <c r="H1699" s="19"/>
      <c r="I1699" s="19">
        <v>2160</v>
      </c>
      <c r="AU1699" s="22">
        <f t="shared" si="286"/>
        <v>2160</v>
      </c>
      <c r="AV1699" s="201">
        <v>1928.15</v>
      </c>
      <c r="AW1699" s="201">
        <v>231.85</v>
      </c>
      <c r="CH1699" s="22">
        <f t="shared" si="298"/>
        <v>2160</v>
      </c>
      <c r="CI1699" s="3">
        <f t="shared" si="295"/>
        <v>0</v>
      </c>
      <c r="CJ1699" s="17">
        <f t="shared" si="296"/>
        <v>12136</v>
      </c>
      <c r="CK1699" s="3" t="str">
        <f t="shared" si="297"/>
        <v xml:space="preserve">برنامج دولى </v>
      </c>
    </row>
    <row r="1700" spans="1:89" s="201" customFormat="1" x14ac:dyDescent="0.25">
      <c r="A1700" s="202"/>
      <c r="B1700" s="203"/>
      <c r="C1700" s="203" t="s">
        <v>566</v>
      </c>
      <c r="D1700" s="19">
        <v>19519</v>
      </c>
      <c r="E1700" s="203">
        <v>12137</v>
      </c>
      <c r="F1700" s="19" t="s">
        <v>325</v>
      </c>
      <c r="G1700" s="19" t="s">
        <v>5098</v>
      </c>
      <c r="H1700" s="19"/>
      <c r="I1700" s="19">
        <v>30080.39</v>
      </c>
      <c r="AU1700" s="22">
        <f t="shared" si="286"/>
        <v>30080.39</v>
      </c>
      <c r="AV1700" s="201">
        <v>26468.71</v>
      </c>
      <c r="AW1700" s="201">
        <v>3209.8</v>
      </c>
      <c r="AX1700" s="201">
        <v>401.88</v>
      </c>
      <c r="CH1700" s="22">
        <f t="shared" si="298"/>
        <v>30080.39</v>
      </c>
      <c r="CI1700" s="3">
        <f t="shared" si="295"/>
        <v>0</v>
      </c>
      <c r="CJ1700" s="17">
        <f t="shared" si="296"/>
        <v>12137</v>
      </c>
      <c r="CK1700" s="3" t="str">
        <f t="shared" si="297"/>
        <v xml:space="preserve">برنامج دولى </v>
      </c>
    </row>
    <row r="1701" spans="1:89" s="201" customFormat="1" x14ac:dyDescent="0.25">
      <c r="A1701" s="202"/>
      <c r="B1701" s="203"/>
      <c r="C1701" s="203" t="s">
        <v>566</v>
      </c>
      <c r="D1701" s="19">
        <v>19517</v>
      </c>
      <c r="E1701" s="203">
        <v>12138</v>
      </c>
      <c r="F1701" s="19" t="s">
        <v>325</v>
      </c>
      <c r="G1701" s="19" t="s">
        <v>5098</v>
      </c>
      <c r="H1701" s="19"/>
      <c r="I1701" s="19">
        <v>844.2</v>
      </c>
      <c r="AU1701" s="22">
        <f t="shared" si="286"/>
        <v>844.2</v>
      </c>
      <c r="AV1701" s="201">
        <v>564.65</v>
      </c>
      <c r="AW1701" s="201">
        <v>76.150000000000006</v>
      </c>
      <c r="AX1701" s="201">
        <v>203.4</v>
      </c>
      <c r="CH1701" s="22">
        <f t="shared" si="298"/>
        <v>844.19999999999993</v>
      </c>
      <c r="CI1701" s="3">
        <f t="shared" si="295"/>
        <v>0</v>
      </c>
      <c r="CJ1701" s="17">
        <f t="shared" si="296"/>
        <v>12138</v>
      </c>
      <c r="CK1701" s="3" t="str">
        <f t="shared" si="297"/>
        <v xml:space="preserve">برنامج دولى </v>
      </c>
    </row>
    <row r="1702" spans="1:89" s="201" customFormat="1" x14ac:dyDescent="0.25">
      <c r="A1702" s="202"/>
      <c r="B1702" s="203"/>
      <c r="C1702" s="203" t="s">
        <v>566</v>
      </c>
      <c r="D1702" s="19">
        <v>19516</v>
      </c>
      <c r="E1702" s="203">
        <v>12139</v>
      </c>
      <c r="F1702" s="19" t="s">
        <v>325</v>
      </c>
      <c r="G1702" s="19" t="s">
        <v>5098</v>
      </c>
      <c r="H1702" s="19"/>
      <c r="I1702" s="19">
        <v>422.1</v>
      </c>
      <c r="AU1702" s="22">
        <f t="shared" si="286"/>
        <v>422.1</v>
      </c>
      <c r="AV1702" s="201">
        <v>282.60000000000002</v>
      </c>
      <c r="AW1702" s="201">
        <v>37.799999999999997</v>
      </c>
      <c r="AX1702" s="201">
        <v>101.7</v>
      </c>
      <c r="CH1702" s="22">
        <f t="shared" si="298"/>
        <v>422.1</v>
      </c>
      <c r="CI1702" s="3">
        <f t="shared" si="295"/>
        <v>0</v>
      </c>
      <c r="CJ1702" s="17">
        <f t="shared" si="296"/>
        <v>12139</v>
      </c>
      <c r="CK1702" s="3" t="str">
        <f t="shared" si="297"/>
        <v xml:space="preserve">برنامج دولى </v>
      </c>
    </row>
    <row r="1703" spans="1:89" s="201" customFormat="1" x14ac:dyDescent="0.25">
      <c r="A1703" s="202"/>
      <c r="B1703" s="203"/>
      <c r="C1703" s="203" t="s">
        <v>566</v>
      </c>
      <c r="D1703" s="19">
        <v>19524</v>
      </c>
      <c r="E1703" s="203">
        <v>12140</v>
      </c>
      <c r="F1703" s="19" t="s">
        <v>325</v>
      </c>
      <c r="G1703" s="19" t="s">
        <v>5099</v>
      </c>
      <c r="H1703" s="19"/>
      <c r="I1703" s="19">
        <v>2743.12</v>
      </c>
      <c r="AU1703" s="22">
        <f t="shared" si="286"/>
        <v>2743.12</v>
      </c>
      <c r="AV1703" s="201">
        <v>2387.1999999999998</v>
      </c>
      <c r="AW1703" s="201">
        <v>285.3</v>
      </c>
      <c r="AX1703" s="201">
        <v>70.62</v>
      </c>
      <c r="CH1703" s="22">
        <f t="shared" si="298"/>
        <v>2743.12</v>
      </c>
      <c r="CI1703" s="3">
        <f t="shared" si="295"/>
        <v>0</v>
      </c>
      <c r="CJ1703" s="17">
        <f t="shared" si="296"/>
        <v>12140</v>
      </c>
      <c r="CK1703" s="3" t="str">
        <f t="shared" si="297"/>
        <v xml:space="preserve">برنامج دولى </v>
      </c>
    </row>
    <row r="1704" spans="1:89" s="201" customFormat="1" x14ac:dyDescent="0.25">
      <c r="A1704" s="202"/>
      <c r="B1704" s="203"/>
      <c r="C1704" s="203" t="s">
        <v>566</v>
      </c>
      <c r="D1704" s="19">
        <v>19525</v>
      </c>
      <c r="E1704" s="203">
        <v>12141</v>
      </c>
      <c r="F1704" s="19" t="s">
        <v>325</v>
      </c>
      <c r="G1704" s="19" t="s">
        <v>5099</v>
      </c>
      <c r="H1704" s="19"/>
      <c r="I1704" s="19">
        <v>2200</v>
      </c>
      <c r="AU1704" s="22">
        <f t="shared" si="286"/>
        <v>2200</v>
      </c>
      <c r="AV1704" s="201">
        <v>1965.45</v>
      </c>
      <c r="AW1704" s="201">
        <v>234.55</v>
      </c>
      <c r="CH1704" s="22">
        <f t="shared" si="298"/>
        <v>2200</v>
      </c>
      <c r="CI1704" s="3">
        <f t="shared" si="295"/>
        <v>0</v>
      </c>
      <c r="CJ1704" s="17">
        <f t="shared" si="296"/>
        <v>12141</v>
      </c>
      <c r="CK1704" s="3" t="str">
        <f t="shared" si="297"/>
        <v xml:space="preserve">برنامج دولى </v>
      </c>
    </row>
    <row r="1705" spans="1:89" s="201" customFormat="1" x14ac:dyDescent="0.25">
      <c r="A1705" s="202"/>
      <c r="B1705" s="203"/>
      <c r="C1705" s="203" t="s">
        <v>566</v>
      </c>
      <c r="D1705" s="19">
        <v>19523</v>
      </c>
      <c r="E1705" s="203">
        <v>12142</v>
      </c>
      <c r="F1705" s="19" t="s">
        <v>325</v>
      </c>
      <c r="G1705" s="19" t="s">
        <v>431</v>
      </c>
      <c r="H1705" s="19"/>
      <c r="I1705" s="19">
        <v>11143.65</v>
      </c>
      <c r="AU1705" s="22">
        <f t="shared" si="286"/>
        <v>11143.65</v>
      </c>
      <c r="AV1705" s="201">
        <v>9331.4500000000007</v>
      </c>
      <c r="AW1705" s="201">
        <v>1151.1500000000001</v>
      </c>
      <c r="AX1705" s="201">
        <v>661.05</v>
      </c>
      <c r="CH1705" s="22">
        <f t="shared" si="298"/>
        <v>11143.65</v>
      </c>
      <c r="CI1705" s="3">
        <f t="shared" si="295"/>
        <v>0</v>
      </c>
      <c r="CJ1705" s="17">
        <f t="shared" si="296"/>
        <v>12142</v>
      </c>
      <c r="CK1705" s="3" t="str">
        <f t="shared" si="297"/>
        <v xml:space="preserve">برنامج دولى </v>
      </c>
    </row>
    <row r="1706" spans="1:89" s="201" customFormat="1" x14ac:dyDescent="0.25">
      <c r="A1706" s="202"/>
      <c r="B1706" s="203"/>
      <c r="C1706" s="203" t="s">
        <v>566</v>
      </c>
      <c r="D1706" s="19">
        <v>19526</v>
      </c>
      <c r="E1706" s="203">
        <v>12143</v>
      </c>
      <c r="F1706" s="19" t="s">
        <v>325</v>
      </c>
      <c r="G1706" s="19" t="s">
        <v>431</v>
      </c>
      <c r="H1706" s="19"/>
      <c r="I1706" s="19">
        <v>49729.72</v>
      </c>
      <c r="AU1706" s="22">
        <f t="shared" si="286"/>
        <v>49729.72</v>
      </c>
      <c r="AV1706" s="201">
        <v>44179.75</v>
      </c>
      <c r="AW1706" s="201">
        <v>5321.15</v>
      </c>
      <c r="AX1706" s="201">
        <v>228.82</v>
      </c>
      <c r="CH1706" s="22">
        <f t="shared" si="298"/>
        <v>49729.72</v>
      </c>
      <c r="CI1706" s="3">
        <f t="shared" si="295"/>
        <v>0</v>
      </c>
      <c r="CJ1706" s="17">
        <f t="shared" si="296"/>
        <v>12143</v>
      </c>
      <c r="CK1706" s="3" t="str">
        <f t="shared" si="297"/>
        <v xml:space="preserve">برنامج دولى </v>
      </c>
    </row>
    <row r="1707" spans="1:89" s="201" customFormat="1" x14ac:dyDescent="0.25">
      <c r="A1707" s="202"/>
      <c r="B1707" s="203"/>
      <c r="C1707" s="203" t="s">
        <v>566</v>
      </c>
      <c r="D1707" s="19">
        <v>19520</v>
      </c>
      <c r="E1707" s="203">
        <v>12144</v>
      </c>
      <c r="F1707" s="19" t="s">
        <v>325</v>
      </c>
      <c r="G1707" s="19" t="s">
        <v>431</v>
      </c>
      <c r="H1707" s="19"/>
      <c r="I1707" s="19">
        <v>949.72</v>
      </c>
      <c r="AU1707" s="22">
        <f t="shared" si="286"/>
        <v>949.72</v>
      </c>
      <c r="AV1707" s="201">
        <v>635.20000000000005</v>
      </c>
      <c r="AW1707" s="201">
        <v>85.7</v>
      </c>
      <c r="AX1707" s="201">
        <v>228.82</v>
      </c>
      <c r="CH1707" s="22">
        <f t="shared" si="298"/>
        <v>949.72</v>
      </c>
      <c r="CI1707" s="3">
        <f t="shared" si="295"/>
        <v>0</v>
      </c>
      <c r="CJ1707" s="17">
        <f t="shared" si="296"/>
        <v>12144</v>
      </c>
      <c r="CK1707" s="3" t="str">
        <f t="shared" si="297"/>
        <v xml:space="preserve">برنامج دولى </v>
      </c>
    </row>
    <row r="1708" spans="1:89" s="201" customFormat="1" x14ac:dyDescent="0.25">
      <c r="A1708" s="202"/>
      <c r="B1708" s="203"/>
      <c r="C1708" s="203" t="s">
        <v>566</v>
      </c>
      <c r="D1708" s="19">
        <v>19521</v>
      </c>
      <c r="E1708" s="203">
        <v>12145</v>
      </c>
      <c r="F1708" s="19" t="s">
        <v>325</v>
      </c>
      <c r="G1708" s="19" t="s">
        <v>431</v>
      </c>
      <c r="H1708" s="19"/>
      <c r="I1708" s="19">
        <v>4748.6000000000004</v>
      </c>
      <c r="AU1708" s="22">
        <f t="shared" si="286"/>
        <v>4748.6000000000004</v>
      </c>
      <c r="AV1708" s="201">
        <v>3176.6</v>
      </c>
      <c r="AW1708" s="201">
        <v>427.9</v>
      </c>
      <c r="AX1708" s="201">
        <v>1144.0999999999999</v>
      </c>
      <c r="CH1708" s="22">
        <f t="shared" si="298"/>
        <v>4748.6000000000004</v>
      </c>
      <c r="CI1708" s="3">
        <f t="shared" si="295"/>
        <v>0</v>
      </c>
      <c r="CJ1708" s="17">
        <f t="shared" si="296"/>
        <v>12145</v>
      </c>
      <c r="CK1708" s="3" t="str">
        <f t="shared" si="297"/>
        <v xml:space="preserve">برنامج دولى </v>
      </c>
    </row>
    <row r="1709" spans="1:89" s="201" customFormat="1" x14ac:dyDescent="0.25">
      <c r="A1709" s="202"/>
      <c r="B1709" s="203"/>
      <c r="C1709" s="203" t="s">
        <v>566</v>
      </c>
      <c r="D1709" s="19">
        <v>19496</v>
      </c>
      <c r="E1709" s="203">
        <v>12146</v>
      </c>
      <c r="F1709" s="19" t="s">
        <v>325</v>
      </c>
      <c r="G1709" s="19" t="s">
        <v>1202</v>
      </c>
      <c r="H1709" s="19"/>
      <c r="I1709" s="19">
        <v>70.349999999999994</v>
      </c>
      <c r="AU1709" s="22">
        <f t="shared" si="286"/>
        <v>70.349999999999994</v>
      </c>
      <c r="AV1709" s="201">
        <v>47.35</v>
      </c>
      <c r="AW1709" s="201">
        <v>6.05</v>
      </c>
      <c r="AX1709" s="201">
        <v>16.95</v>
      </c>
      <c r="CH1709" s="22">
        <f t="shared" si="298"/>
        <v>70.349999999999994</v>
      </c>
      <c r="CI1709" s="3">
        <f t="shared" si="295"/>
        <v>0</v>
      </c>
      <c r="CJ1709" s="17">
        <f t="shared" si="296"/>
        <v>12146</v>
      </c>
      <c r="CK1709" s="3" t="str">
        <f t="shared" si="297"/>
        <v xml:space="preserve">برنامج دولى </v>
      </c>
    </row>
    <row r="1710" spans="1:89" s="201" customFormat="1" x14ac:dyDescent="0.25">
      <c r="A1710" s="202"/>
      <c r="B1710" s="203"/>
      <c r="C1710" s="203" t="s">
        <v>566</v>
      </c>
      <c r="D1710" s="203">
        <v>19497</v>
      </c>
      <c r="E1710" s="203">
        <v>12147</v>
      </c>
      <c r="F1710" s="19" t="s">
        <v>325</v>
      </c>
      <c r="G1710" s="19" t="s">
        <v>1202</v>
      </c>
      <c r="I1710" s="201">
        <v>7580.76</v>
      </c>
      <c r="AU1710" s="22">
        <f t="shared" si="286"/>
        <v>7580.76</v>
      </c>
      <c r="AV1710" s="201">
        <v>5640.38</v>
      </c>
      <c r="AW1710" s="201">
        <v>727.25</v>
      </c>
      <c r="AX1710" s="201">
        <v>1213.1300000000001</v>
      </c>
      <c r="CH1710" s="22">
        <f t="shared" si="298"/>
        <v>7580.76</v>
      </c>
      <c r="CI1710" s="3">
        <f t="shared" si="295"/>
        <v>0</v>
      </c>
      <c r="CJ1710" s="17">
        <f t="shared" si="296"/>
        <v>12147</v>
      </c>
      <c r="CK1710" s="3" t="str">
        <f t="shared" si="297"/>
        <v xml:space="preserve">برنامج دولى </v>
      </c>
    </row>
    <row r="1711" spans="1:89" s="201" customFormat="1" x14ac:dyDescent="0.25">
      <c r="A1711" s="202"/>
      <c r="B1711" s="203"/>
      <c r="C1711" s="203" t="s">
        <v>566</v>
      </c>
      <c r="D1711" s="203">
        <v>19498</v>
      </c>
      <c r="E1711" s="203">
        <v>12148</v>
      </c>
      <c r="F1711" s="19" t="s">
        <v>325</v>
      </c>
      <c r="G1711" s="19" t="s">
        <v>1202</v>
      </c>
      <c r="I1711" s="201">
        <v>1899.45</v>
      </c>
      <c r="AU1711" s="22">
        <f t="shared" si="286"/>
        <v>1899.45</v>
      </c>
      <c r="AV1711" s="201">
        <v>1269.7</v>
      </c>
      <c r="AW1711" s="201">
        <f>10.1+162</f>
        <v>172.1</v>
      </c>
      <c r="AX1711" s="201">
        <f>629.75-AW1711</f>
        <v>457.65</v>
      </c>
      <c r="CH1711" s="22">
        <f t="shared" si="298"/>
        <v>1899.4499999999998</v>
      </c>
      <c r="CI1711" s="3">
        <f t="shared" si="295"/>
        <v>0</v>
      </c>
      <c r="CJ1711" s="17">
        <f t="shared" si="296"/>
        <v>12148</v>
      </c>
      <c r="CK1711" s="3" t="str">
        <f t="shared" si="297"/>
        <v xml:space="preserve">برنامج دولى </v>
      </c>
    </row>
    <row r="1712" spans="1:89" s="201" customFormat="1" x14ac:dyDescent="0.25">
      <c r="A1712" s="202"/>
      <c r="B1712" s="203"/>
      <c r="C1712" s="203" t="s">
        <v>566</v>
      </c>
      <c r="D1712" s="203">
        <v>19522</v>
      </c>
      <c r="E1712" s="203">
        <v>12149</v>
      </c>
      <c r="F1712" s="19" t="s">
        <v>325</v>
      </c>
      <c r="G1712" s="201" t="str">
        <f>+G1706</f>
        <v>عب تدريس انف واذن</v>
      </c>
      <c r="I1712" s="201">
        <v>474.86</v>
      </c>
      <c r="AU1712" s="22">
        <f t="shared" si="286"/>
        <v>474.86</v>
      </c>
      <c r="AV1712" s="201">
        <v>317.89999999999998</v>
      </c>
      <c r="AW1712" s="201">
        <v>42.55</v>
      </c>
      <c r="AX1712" s="201">
        <v>114.41</v>
      </c>
      <c r="CH1712" s="22">
        <f t="shared" si="298"/>
        <v>474.86</v>
      </c>
      <c r="CI1712" s="3">
        <f t="shared" si="295"/>
        <v>0</v>
      </c>
      <c r="CJ1712" s="17">
        <f t="shared" si="296"/>
        <v>12149</v>
      </c>
      <c r="CK1712" s="3" t="str">
        <f t="shared" si="297"/>
        <v xml:space="preserve">برنامج دولى </v>
      </c>
    </row>
    <row r="1713" spans="1:92" s="201" customFormat="1" x14ac:dyDescent="0.25">
      <c r="A1713" s="202"/>
      <c r="B1713" s="203"/>
      <c r="C1713" s="203" t="s">
        <v>566</v>
      </c>
      <c r="D1713" s="203">
        <v>19499</v>
      </c>
      <c r="E1713" s="203">
        <v>12150</v>
      </c>
      <c r="F1713" s="19" t="s">
        <v>325</v>
      </c>
      <c r="G1713" s="201" t="s">
        <v>2588</v>
      </c>
      <c r="I1713" s="201">
        <v>47998.35</v>
      </c>
      <c r="AU1713" s="22">
        <f t="shared" si="286"/>
        <v>47998.35</v>
      </c>
      <c r="AV1713" s="201">
        <v>41574.35</v>
      </c>
      <c r="AW1713" s="201">
        <v>5051.05</v>
      </c>
      <c r="AX1713" s="201">
        <v>1372.95</v>
      </c>
      <c r="CH1713" s="22">
        <f t="shared" si="298"/>
        <v>47998.35</v>
      </c>
      <c r="CI1713" s="3">
        <f t="shared" si="295"/>
        <v>0</v>
      </c>
      <c r="CJ1713" s="17">
        <f t="shared" si="296"/>
        <v>12150</v>
      </c>
      <c r="CK1713" s="3" t="str">
        <f t="shared" si="297"/>
        <v xml:space="preserve">برنامج دولى </v>
      </c>
    </row>
    <row r="1714" spans="1:92" s="201" customFormat="1" x14ac:dyDescent="0.25">
      <c r="A1714" s="202"/>
      <c r="B1714" s="203"/>
      <c r="C1714" s="203" t="s">
        <v>566</v>
      </c>
      <c r="D1714" s="203">
        <v>19501</v>
      </c>
      <c r="E1714" s="203">
        <v>12151</v>
      </c>
      <c r="F1714" s="19" t="s">
        <v>325</v>
      </c>
      <c r="G1714" s="201" t="s">
        <v>2588</v>
      </c>
      <c r="I1714" s="201">
        <v>3693.38</v>
      </c>
      <c r="AU1714" s="22">
        <f t="shared" si="286"/>
        <v>3693.38</v>
      </c>
      <c r="AV1714" s="201">
        <v>2473.6</v>
      </c>
      <c r="AW1714" s="201">
        <v>329.9</v>
      </c>
      <c r="AX1714" s="201">
        <v>889.88</v>
      </c>
      <c r="CH1714" s="22">
        <f t="shared" si="298"/>
        <v>3693.38</v>
      </c>
      <c r="CI1714" s="3">
        <f t="shared" si="295"/>
        <v>0</v>
      </c>
      <c r="CJ1714" s="17">
        <f t="shared" si="296"/>
        <v>12151</v>
      </c>
      <c r="CK1714" s="3" t="str">
        <f t="shared" si="297"/>
        <v xml:space="preserve">برنامج دولى </v>
      </c>
    </row>
    <row r="1715" spans="1:92" s="201" customFormat="1" x14ac:dyDescent="0.25">
      <c r="A1715" s="202"/>
      <c r="B1715" s="203"/>
      <c r="C1715" s="203" t="s">
        <v>566</v>
      </c>
      <c r="D1715" s="203">
        <v>19500</v>
      </c>
      <c r="E1715" s="203">
        <v>12152</v>
      </c>
      <c r="F1715" s="19" t="s">
        <v>325</v>
      </c>
      <c r="G1715" s="201" t="s">
        <v>2588</v>
      </c>
      <c r="I1715" s="201">
        <v>4924.5</v>
      </c>
      <c r="AU1715" s="22">
        <f t="shared" si="286"/>
        <v>4924.5</v>
      </c>
      <c r="AV1715" s="201">
        <v>3292.55</v>
      </c>
      <c r="AW1715" s="201">
        <v>445.45</v>
      </c>
      <c r="AX1715" s="201">
        <v>1186.5</v>
      </c>
      <c r="CH1715" s="22">
        <f t="shared" si="298"/>
        <v>4924.5</v>
      </c>
      <c r="CI1715" s="3">
        <f t="shared" si="295"/>
        <v>0</v>
      </c>
      <c r="CJ1715" s="17">
        <f t="shared" si="296"/>
        <v>12152</v>
      </c>
      <c r="CK1715" s="3" t="str">
        <f t="shared" si="297"/>
        <v xml:space="preserve">برنامج دولى </v>
      </c>
    </row>
    <row r="1716" spans="1:92" s="201" customFormat="1" x14ac:dyDescent="0.25">
      <c r="A1716" s="202"/>
      <c r="B1716" s="203"/>
      <c r="C1716" s="203" t="s">
        <v>566</v>
      </c>
      <c r="D1716" s="203">
        <v>19495</v>
      </c>
      <c r="E1716" s="203">
        <v>12153</v>
      </c>
      <c r="F1716" s="19" t="s">
        <v>325</v>
      </c>
      <c r="G1716" s="201" t="str">
        <f>+G1710</f>
        <v>عب تدريس مانشيستر</v>
      </c>
      <c r="I1716" s="201">
        <v>53827.14</v>
      </c>
      <c r="AU1716" s="22">
        <f t="shared" si="286"/>
        <v>53827.14</v>
      </c>
      <c r="AV1716" s="201">
        <v>46947.87</v>
      </c>
      <c r="AW1716" s="201">
        <v>5688.45</v>
      </c>
      <c r="AX1716" s="201">
        <v>1190.82</v>
      </c>
      <c r="CH1716" s="22">
        <f t="shared" si="298"/>
        <v>53827.14</v>
      </c>
      <c r="CI1716" s="3">
        <f t="shared" si="295"/>
        <v>0</v>
      </c>
      <c r="CJ1716" s="17">
        <f t="shared" si="296"/>
        <v>12153</v>
      </c>
      <c r="CK1716" s="3" t="str">
        <f t="shared" si="297"/>
        <v xml:space="preserve">برنامج دولى </v>
      </c>
    </row>
    <row r="1717" spans="1:92" s="201" customFormat="1" x14ac:dyDescent="0.25">
      <c r="A1717" s="202"/>
      <c r="B1717" s="203"/>
      <c r="C1717" s="203"/>
      <c r="D1717" s="203">
        <v>20218</v>
      </c>
      <c r="E1717" s="203">
        <v>12154</v>
      </c>
      <c r="F1717" s="19" t="s">
        <v>325</v>
      </c>
      <c r="G1717" s="201" t="s">
        <v>2240</v>
      </c>
      <c r="J1717" s="201">
        <v>840</v>
      </c>
      <c r="AU1717" s="22">
        <f t="shared" si="286"/>
        <v>840</v>
      </c>
      <c r="AV1717" s="201">
        <v>840</v>
      </c>
      <c r="CH1717" s="22">
        <f t="shared" si="298"/>
        <v>840</v>
      </c>
      <c r="CI1717" s="3">
        <f t="shared" si="295"/>
        <v>0</v>
      </c>
      <c r="CJ1717" s="17">
        <f t="shared" si="296"/>
        <v>12154</v>
      </c>
      <c r="CK1717" s="3" t="str">
        <f t="shared" si="297"/>
        <v xml:space="preserve">برنامج دولى </v>
      </c>
    </row>
    <row r="1718" spans="1:92" s="201" customFormat="1" x14ac:dyDescent="0.25">
      <c r="A1718" s="202"/>
      <c r="B1718" s="203"/>
      <c r="C1718" s="203"/>
      <c r="D1718" s="203">
        <v>20217</v>
      </c>
      <c r="E1718" s="203">
        <v>12155</v>
      </c>
      <c r="F1718" s="19" t="s">
        <v>325</v>
      </c>
      <c r="G1718" s="201" t="s">
        <v>1293</v>
      </c>
      <c r="J1718" s="201">
        <v>560</v>
      </c>
      <c r="AU1718" s="22">
        <f t="shared" si="286"/>
        <v>560</v>
      </c>
      <c r="AV1718" s="201">
        <v>560</v>
      </c>
      <c r="CH1718" s="22">
        <f t="shared" si="298"/>
        <v>560</v>
      </c>
      <c r="CI1718" s="3">
        <f t="shared" si="295"/>
        <v>0</v>
      </c>
      <c r="CJ1718" s="17">
        <f t="shared" si="296"/>
        <v>12155</v>
      </c>
      <c r="CK1718" s="3" t="str">
        <f t="shared" si="297"/>
        <v xml:space="preserve">برنامج دولى </v>
      </c>
    </row>
    <row r="1719" spans="1:92" s="201" customFormat="1" x14ac:dyDescent="0.25">
      <c r="A1719" s="202"/>
      <c r="B1719" s="203"/>
      <c r="C1719" s="203"/>
      <c r="D1719" s="203">
        <v>20216</v>
      </c>
      <c r="E1719" s="203">
        <v>12156</v>
      </c>
      <c r="F1719" s="19" t="s">
        <v>325</v>
      </c>
      <c r="G1719" s="201" t="s">
        <v>1672</v>
      </c>
      <c r="J1719" s="201">
        <v>120</v>
      </c>
      <c r="AU1719" s="22">
        <f t="shared" si="286"/>
        <v>120</v>
      </c>
      <c r="AV1719" s="201">
        <v>120</v>
      </c>
      <c r="CH1719" s="22">
        <f t="shared" si="298"/>
        <v>120</v>
      </c>
      <c r="CI1719" s="3">
        <f t="shared" si="295"/>
        <v>0</v>
      </c>
      <c r="CJ1719" s="17">
        <f t="shared" si="296"/>
        <v>12156</v>
      </c>
      <c r="CK1719" s="3" t="str">
        <f t="shared" si="297"/>
        <v xml:space="preserve">برنامج دولى </v>
      </c>
    </row>
    <row r="1720" spans="1:92" s="201" customFormat="1" x14ac:dyDescent="0.25">
      <c r="A1720" s="202"/>
      <c r="B1720" s="203"/>
      <c r="C1720" s="203"/>
      <c r="D1720" s="203">
        <v>20215</v>
      </c>
      <c r="E1720" s="203">
        <v>12157</v>
      </c>
      <c r="F1720" s="19" t="s">
        <v>325</v>
      </c>
      <c r="G1720" s="201" t="s">
        <v>5100</v>
      </c>
      <c r="J1720" s="201">
        <v>275</v>
      </c>
      <c r="AU1720" s="22">
        <f t="shared" si="286"/>
        <v>275</v>
      </c>
      <c r="AV1720" s="201">
        <v>275</v>
      </c>
      <c r="CH1720" s="22">
        <f t="shared" si="298"/>
        <v>275</v>
      </c>
      <c r="CI1720" s="3">
        <f t="shared" si="295"/>
        <v>0</v>
      </c>
      <c r="CJ1720" s="17">
        <f t="shared" si="296"/>
        <v>12157</v>
      </c>
      <c r="CK1720" s="3" t="str">
        <f t="shared" si="297"/>
        <v xml:space="preserve">برنامج دولى </v>
      </c>
    </row>
    <row r="1721" spans="1:92" s="201" customFormat="1" x14ac:dyDescent="0.25">
      <c r="A1721" s="202"/>
      <c r="B1721" s="203"/>
      <c r="C1721" s="203"/>
      <c r="D1721" s="203">
        <v>20041</v>
      </c>
      <c r="E1721" s="203">
        <v>12158</v>
      </c>
      <c r="F1721" s="19" t="s">
        <v>325</v>
      </c>
      <c r="G1721" s="201" t="s">
        <v>1673</v>
      </c>
      <c r="J1721" s="201">
        <v>160</v>
      </c>
      <c r="AU1721" s="22">
        <f t="shared" si="286"/>
        <v>160</v>
      </c>
      <c r="AV1721" s="201">
        <v>160</v>
      </c>
      <c r="CH1721" s="22">
        <f t="shared" si="298"/>
        <v>160</v>
      </c>
      <c r="CI1721" s="3">
        <f t="shared" si="295"/>
        <v>0</v>
      </c>
      <c r="CJ1721" s="17">
        <f t="shared" si="296"/>
        <v>12158</v>
      </c>
      <c r="CK1721" s="3" t="str">
        <f t="shared" si="297"/>
        <v xml:space="preserve">برنامج دولى </v>
      </c>
    </row>
    <row r="1722" spans="1:92" s="201" customFormat="1" x14ac:dyDescent="0.25">
      <c r="A1722" s="202"/>
      <c r="B1722" s="203"/>
      <c r="C1722" s="203"/>
      <c r="D1722" s="203">
        <v>20042</v>
      </c>
      <c r="E1722" s="203">
        <v>12159</v>
      </c>
      <c r="F1722" s="19" t="s">
        <v>325</v>
      </c>
      <c r="G1722" s="201" t="s">
        <v>1288</v>
      </c>
      <c r="J1722" s="201">
        <v>240</v>
      </c>
      <c r="AU1722" s="22">
        <f t="shared" si="286"/>
        <v>240</v>
      </c>
      <c r="AV1722" s="201">
        <v>240</v>
      </c>
      <c r="CH1722" s="22">
        <f t="shared" si="298"/>
        <v>240</v>
      </c>
      <c r="CI1722" s="3">
        <f t="shared" si="295"/>
        <v>0</v>
      </c>
      <c r="CJ1722" s="17">
        <f t="shared" si="296"/>
        <v>12159</v>
      </c>
      <c r="CK1722" s="3" t="str">
        <f t="shared" si="297"/>
        <v xml:space="preserve">برنامج دولى </v>
      </c>
    </row>
    <row r="1723" spans="1:92" s="201" customFormat="1" x14ac:dyDescent="0.25">
      <c r="A1723" s="202"/>
      <c r="B1723" s="203"/>
      <c r="C1723" s="203"/>
      <c r="D1723" s="203">
        <v>20044</v>
      </c>
      <c r="E1723" s="203">
        <v>12160</v>
      </c>
      <c r="F1723" s="19" t="s">
        <v>325</v>
      </c>
      <c r="G1723" s="201" t="s">
        <v>1289</v>
      </c>
      <c r="J1723" s="201">
        <v>360</v>
      </c>
      <c r="AU1723" s="22">
        <f t="shared" si="286"/>
        <v>360</v>
      </c>
      <c r="AV1723" s="201">
        <v>360</v>
      </c>
      <c r="CH1723" s="22">
        <f t="shared" si="298"/>
        <v>360</v>
      </c>
      <c r="CI1723" s="3">
        <f t="shared" si="295"/>
        <v>0</v>
      </c>
      <c r="CJ1723" s="17">
        <f t="shared" si="296"/>
        <v>12160</v>
      </c>
      <c r="CK1723" s="3" t="str">
        <f t="shared" si="297"/>
        <v xml:space="preserve">برنامج دولى </v>
      </c>
    </row>
    <row r="1724" spans="1:92" s="201" customFormat="1" x14ac:dyDescent="0.25">
      <c r="A1724" s="202"/>
      <c r="B1724" s="203"/>
      <c r="D1724" s="203">
        <v>20043</v>
      </c>
      <c r="E1724" s="203">
        <v>12161</v>
      </c>
      <c r="F1724" s="19" t="s">
        <v>325</v>
      </c>
      <c r="G1724" s="201" t="s">
        <v>1291</v>
      </c>
      <c r="J1724" s="201">
        <v>320</v>
      </c>
      <c r="AU1724" s="22">
        <f t="shared" si="286"/>
        <v>320</v>
      </c>
      <c r="AV1724" s="201">
        <v>320</v>
      </c>
      <c r="CH1724" s="22">
        <f t="shared" si="298"/>
        <v>320</v>
      </c>
      <c r="CI1724" s="3">
        <f t="shared" si="295"/>
        <v>0</v>
      </c>
      <c r="CJ1724" s="17">
        <f t="shared" si="296"/>
        <v>12161</v>
      </c>
      <c r="CK1724" s="3" t="str">
        <f t="shared" si="297"/>
        <v xml:space="preserve">برنامج دولى </v>
      </c>
    </row>
    <row r="1725" spans="1:92" s="201" customFormat="1" x14ac:dyDescent="0.25">
      <c r="A1725" s="202"/>
      <c r="B1725" s="203"/>
      <c r="C1725" s="203"/>
      <c r="D1725" s="203">
        <v>20214</v>
      </c>
      <c r="E1725" s="203">
        <v>12162</v>
      </c>
      <c r="F1725" s="19" t="s">
        <v>325</v>
      </c>
      <c r="G1725" s="201" t="s">
        <v>5101</v>
      </c>
      <c r="J1725" s="201">
        <v>200</v>
      </c>
      <c r="AU1725" s="22">
        <f t="shared" si="286"/>
        <v>200</v>
      </c>
      <c r="AV1725" s="201">
        <v>200</v>
      </c>
      <c r="CH1725" s="22">
        <f t="shared" si="298"/>
        <v>200</v>
      </c>
      <c r="CI1725" s="3">
        <f t="shared" si="295"/>
        <v>0</v>
      </c>
      <c r="CJ1725" s="17">
        <f t="shared" si="296"/>
        <v>12162</v>
      </c>
      <c r="CK1725" s="3" t="str">
        <f t="shared" si="297"/>
        <v xml:space="preserve">برنامج دولى </v>
      </c>
    </row>
    <row r="1726" spans="1:92" s="201" customFormat="1" x14ac:dyDescent="0.25">
      <c r="A1726" s="202"/>
      <c r="B1726" s="203"/>
      <c r="C1726" s="203"/>
      <c r="D1726" s="203">
        <v>19085</v>
      </c>
      <c r="E1726" s="203">
        <v>12163</v>
      </c>
      <c r="F1726" s="19" t="s">
        <v>325</v>
      </c>
      <c r="G1726" s="201" t="s">
        <v>5102</v>
      </c>
      <c r="J1726" s="201">
        <v>14860</v>
      </c>
      <c r="AU1726" s="22">
        <f t="shared" si="286"/>
        <v>14860</v>
      </c>
      <c r="AV1726" s="201">
        <v>13517.65</v>
      </c>
      <c r="AW1726" s="201">
        <f>178.25+534.75+36</f>
        <v>749</v>
      </c>
      <c r="AY1726" s="201">
        <v>5</v>
      </c>
      <c r="BK1726" s="201">
        <v>391.05</v>
      </c>
      <c r="BL1726" s="201">
        <v>80</v>
      </c>
      <c r="BM1726" s="201">
        <f>58.65*2</f>
        <v>117.3</v>
      </c>
      <c r="CH1726" s="22">
        <f t="shared" si="298"/>
        <v>14859.999999999998</v>
      </c>
      <c r="CI1726" s="3">
        <f t="shared" si="295"/>
        <v>0</v>
      </c>
      <c r="CJ1726" s="17">
        <f t="shared" si="296"/>
        <v>12163</v>
      </c>
      <c r="CK1726" s="3" t="str">
        <f t="shared" si="297"/>
        <v xml:space="preserve">برنامج دولى </v>
      </c>
    </row>
    <row r="1727" spans="1:92" s="201" customFormat="1" ht="31.5" x14ac:dyDescent="0.25">
      <c r="A1727" s="202"/>
      <c r="B1727" s="203"/>
      <c r="C1727" s="203"/>
      <c r="D1727" s="203">
        <v>20379</v>
      </c>
      <c r="E1727" s="203">
        <v>12164</v>
      </c>
      <c r="F1727" s="201" t="s">
        <v>121</v>
      </c>
      <c r="G1727" s="208" t="s">
        <v>5103</v>
      </c>
      <c r="J1727" s="201">
        <v>20700</v>
      </c>
      <c r="AU1727" s="22">
        <f t="shared" si="286"/>
        <v>20700</v>
      </c>
      <c r="AV1727" s="201">
        <v>19143.05</v>
      </c>
      <c r="AW1727" s="201">
        <f>208.75+626.25+2.7</f>
        <v>837.7</v>
      </c>
      <c r="AY1727" s="201">
        <v>5</v>
      </c>
      <c r="BK1727" s="201">
        <v>544.75</v>
      </c>
      <c r="BL1727" s="201">
        <v>6</v>
      </c>
      <c r="BM1727" s="201">
        <f>81.75*2</f>
        <v>163.5</v>
      </c>
      <c r="CH1727" s="22">
        <f t="shared" si="298"/>
        <v>20700</v>
      </c>
      <c r="CI1727" s="3">
        <f t="shared" si="295"/>
        <v>0</v>
      </c>
      <c r="CJ1727" s="17">
        <f t="shared" si="296"/>
        <v>12164</v>
      </c>
      <c r="CK1727" s="3" t="str">
        <f t="shared" si="297"/>
        <v>ماليزى اسنان</v>
      </c>
    </row>
    <row r="1728" spans="1:92" s="29" customFormat="1" x14ac:dyDescent="0.25">
      <c r="A1728" s="27"/>
      <c r="B1728" s="28"/>
      <c r="C1728" s="28"/>
      <c r="D1728" s="28"/>
      <c r="E1728" s="203"/>
      <c r="G1728" s="29" t="s">
        <v>5097</v>
      </c>
      <c r="I1728" s="29">
        <f t="shared" ref="I1728:AN1728" si="299">SUM(I1621:I1727)</f>
        <v>379168.07000000007</v>
      </c>
      <c r="J1728" s="29">
        <f t="shared" si="299"/>
        <v>38635</v>
      </c>
      <c r="K1728" s="29">
        <f t="shared" si="299"/>
        <v>0</v>
      </c>
      <c r="L1728" s="29">
        <f t="shared" si="299"/>
        <v>0</v>
      </c>
      <c r="M1728" s="29">
        <f t="shared" si="299"/>
        <v>0</v>
      </c>
      <c r="N1728" s="29">
        <f t="shared" si="299"/>
        <v>0</v>
      </c>
      <c r="O1728" s="29">
        <f t="shared" si="299"/>
        <v>0</v>
      </c>
      <c r="P1728" s="29">
        <f t="shared" si="299"/>
        <v>0</v>
      </c>
      <c r="Q1728" s="29">
        <f t="shared" si="299"/>
        <v>0</v>
      </c>
      <c r="R1728" s="29">
        <f t="shared" si="299"/>
        <v>0</v>
      </c>
      <c r="S1728" s="29">
        <f t="shared" si="299"/>
        <v>0</v>
      </c>
      <c r="T1728" s="29">
        <f t="shared" si="299"/>
        <v>0</v>
      </c>
      <c r="U1728" s="29">
        <f t="shared" si="299"/>
        <v>0</v>
      </c>
      <c r="V1728" s="29">
        <f t="shared" si="299"/>
        <v>0</v>
      </c>
      <c r="W1728" s="29">
        <f t="shared" si="299"/>
        <v>0</v>
      </c>
      <c r="X1728" s="29">
        <f t="shared" si="299"/>
        <v>0</v>
      </c>
      <c r="Y1728" s="29">
        <f t="shared" si="299"/>
        <v>0</v>
      </c>
      <c r="Z1728" s="29">
        <f t="shared" si="299"/>
        <v>0</v>
      </c>
      <c r="AA1728" s="29">
        <f t="shared" si="299"/>
        <v>0</v>
      </c>
      <c r="AB1728" s="29">
        <f t="shared" si="299"/>
        <v>0</v>
      </c>
      <c r="AC1728" s="29">
        <f t="shared" si="299"/>
        <v>0</v>
      </c>
      <c r="AD1728" s="29">
        <f t="shared" si="299"/>
        <v>0</v>
      </c>
      <c r="AE1728" s="29">
        <f t="shared" si="299"/>
        <v>0</v>
      </c>
      <c r="AF1728" s="29">
        <f t="shared" si="299"/>
        <v>0</v>
      </c>
      <c r="AG1728" s="29">
        <f t="shared" si="299"/>
        <v>0</v>
      </c>
      <c r="AH1728" s="29">
        <f t="shared" si="299"/>
        <v>0</v>
      </c>
      <c r="AI1728" s="29">
        <f t="shared" si="299"/>
        <v>0</v>
      </c>
      <c r="AJ1728" s="29">
        <f t="shared" si="299"/>
        <v>0</v>
      </c>
      <c r="AK1728" s="29">
        <f t="shared" si="299"/>
        <v>0</v>
      </c>
      <c r="AL1728" s="29">
        <f t="shared" si="299"/>
        <v>0</v>
      </c>
      <c r="AM1728" s="29">
        <f t="shared" si="299"/>
        <v>0</v>
      </c>
      <c r="AN1728" s="29">
        <f t="shared" si="299"/>
        <v>0</v>
      </c>
      <c r="AO1728" s="29">
        <f t="shared" ref="AO1728:BU1728" si="300">SUM(AO1621:AO1727)</f>
        <v>0</v>
      </c>
      <c r="AP1728" s="29">
        <f t="shared" si="300"/>
        <v>0</v>
      </c>
      <c r="AQ1728" s="29">
        <f t="shared" si="300"/>
        <v>0</v>
      </c>
      <c r="AR1728" s="29">
        <f t="shared" si="300"/>
        <v>0</v>
      </c>
      <c r="AS1728" s="29">
        <f t="shared" si="300"/>
        <v>0</v>
      </c>
      <c r="AT1728" s="29">
        <f t="shared" si="300"/>
        <v>0</v>
      </c>
      <c r="AU1728" s="29">
        <f t="shared" si="300"/>
        <v>417803.07000000007</v>
      </c>
      <c r="AV1728" s="29">
        <f t="shared" si="300"/>
        <v>354357.72000000003</v>
      </c>
      <c r="AW1728" s="29">
        <f t="shared" si="300"/>
        <v>42926.429999999993</v>
      </c>
      <c r="AX1728" s="29">
        <f t="shared" si="300"/>
        <v>17041.77</v>
      </c>
      <c r="AY1728" s="29">
        <f t="shared" si="300"/>
        <v>2174.5499999999997</v>
      </c>
      <c r="AZ1728" s="29">
        <f t="shared" si="300"/>
        <v>0</v>
      </c>
      <c r="BA1728" s="29">
        <f t="shared" si="300"/>
        <v>0</v>
      </c>
      <c r="BB1728" s="29">
        <f t="shared" si="300"/>
        <v>0</v>
      </c>
      <c r="BC1728" s="29">
        <f t="shared" si="300"/>
        <v>0</v>
      </c>
      <c r="BD1728" s="29">
        <f t="shared" si="300"/>
        <v>0</v>
      </c>
      <c r="BF1728" s="29">
        <f t="shared" si="300"/>
        <v>0</v>
      </c>
      <c r="BG1728" s="29">
        <f t="shared" si="300"/>
        <v>0</v>
      </c>
      <c r="BH1728" s="29">
        <f t="shared" si="300"/>
        <v>0</v>
      </c>
      <c r="BI1728" s="29">
        <f t="shared" si="300"/>
        <v>0</v>
      </c>
      <c r="BJ1728" s="29">
        <f t="shared" si="300"/>
        <v>0</v>
      </c>
      <c r="BK1728" s="29">
        <f t="shared" si="300"/>
        <v>935.8</v>
      </c>
      <c r="BL1728" s="29">
        <f t="shared" si="300"/>
        <v>86</v>
      </c>
      <c r="BM1728" s="29">
        <f t="shared" si="300"/>
        <v>280.8</v>
      </c>
      <c r="BN1728" s="29">
        <f t="shared" si="300"/>
        <v>0</v>
      </c>
      <c r="BO1728" s="29">
        <f t="shared" si="300"/>
        <v>0</v>
      </c>
      <c r="BP1728" s="29">
        <f t="shared" si="300"/>
        <v>0</v>
      </c>
      <c r="BQ1728" s="29">
        <f t="shared" si="300"/>
        <v>0</v>
      </c>
      <c r="BR1728" s="29">
        <f t="shared" si="300"/>
        <v>0</v>
      </c>
      <c r="BS1728" s="29">
        <f t="shared" si="300"/>
        <v>0</v>
      </c>
      <c r="BT1728" s="29">
        <f t="shared" si="300"/>
        <v>0</v>
      </c>
      <c r="BU1728" s="29">
        <f t="shared" si="300"/>
        <v>0</v>
      </c>
      <c r="BV1728" s="29">
        <f t="shared" ref="BV1728:CI1728" si="301">SUM(BV1621:BV1727)</f>
        <v>0</v>
      </c>
      <c r="BW1728" s="29">
        <f t="shared" si="301"/>
        <v>0</v>
      </c>
      <c r="BX1728" s="29">
        <f t="shared" si="301"/>
        <v>0</v>
      </c>
      <c r="BY1728" s="29">
        <f t="shared" si="301"/>
        <v>0</v>
      </c>
      <c r="BZ1728" s="29">
        <f t="shared" si="301"/>
        <v>0</v>
      </c>
      <c r="CA1728" s="29">
        <f t="shared" si="301"/>
        <v>0</v>
      </c>
      <c r="CB1728" s="29">
        <f t="shared" si="301"/>
        <v>0</v>
      </c>
      <c r="CC1728" s="29">
        <f t="shared" si="301"/>
        <v>0</v>
      </c>
      <c r="CD1728" s="29">
        <f t="shared" si="301"/>
        <v>0</v>
      </c>
      <c r="CE1728" s="29">
        <f t="shared" si="301"/>
        <v>0</v>
      </c>
      <c r="CF1728" s="29">
        <f t="shared" si="301"/>
        <v>0</v>
      </c>
      <c r="CG1728" s="29">
        <f t="shared" si="301"/>
        <v>0</v>
      </c>
      <c r="CH1728" s="29">
        <f t="shared" si="301"/>
        <v>417803.07</v>
      </c>
      <c r="CI1728" s="29">
        <f t="shared" si="301"/>
        <v>0</v>
      </c>
      <c r="CK1728" s="29">
        <f>SUM(CK1621:CK1727)</f>
        <v>0</v>
      </c>
      <c r="CL1728" s="29">
        <f>SUM(CL1621:CL1727)</f>
        <v>0</v>
      </c>
      <c r="CM1728" s="29">
        <f>SUM(CM1621:CM1727)</f>
        <v>0</v>
      </c>
      <c r="CN1728" s="29">
        <f>SUM(CN1621:CN1727)</f>
        <v>0</v>
      </c>
    </row>
    <row r="1729" spans="1:89" s="201" customFormat="1" x14ac:dyDescent="0.25">
      <c r="A1729" s="202"/>
      <c r="B1729" s="203"/>
      <c r="C1729" s="203"/>
      <c r="D1729" s="203"/>
      <c r="E1729" s="203">
        <v>12165</v>
      </c>
      <c r="F1729" s="201" t="s">
        <v>332</v>
      </c>
      <c r="G1729" s="201" t="s">
        <v>5137</v>
      </c>
    </row>
    <row r="1730" spans="1:89" s="205" customFormat="1" x14ac:dyDescent="0.25">
      <c r="A1730" s="204"/>
      <c r="B1730" s="206"/>
      <c r="C1730" s="206"/>
      <c r="D1730" s="206"/>
      <c r="E1730" s="206"/>
      <c r="AU1730" s="22">
        <f t="shared" ref="AU1730:AU1759" si="302">SUM(I1730:AS1730)</f>
        <v>0</v>
      </c>
      <c r="CG1730" s="201"/>
      <c r="CH1730" s="22">
        <f t="shared" ref="CH1730:CH1757" si="303">SUM(AV1730:CG1730)</f>
        <v>0</v>
      </c>
      <c r="CI1730" s="3">
        <f t="shared" ref="CI1730:CI1757" si="304">+CH1730-AU1730</f>
        <v>0</v>
      </c>
      <c r="CJ1730" s="17">
        <f t="shared" ref="CJ1730:CJ1757" si="305">+E1730</f>
        <v>0</v>
      </c>
      <c r="CK1730" s="3">
        <f t="shared" ref="CK1730:CK1757" si="306">+F1730</f>
        <v>0</v>
      </c>
    </row>
    <row r="1731" spans="1:89" x14ac:dyDescent="0.25">
      <c r="A1731" s="16">
        <v>45478</v>
      </c>
      <c r="B1731" s="16"/>
      <c r="C1731" s="16"/>
      <c r="D1731" s="25"/>
      <c r="E1731" s="25">
        <v>494</v>
      </c>
      <c r="F1731" s="3" t="s">
        <v>1431</v>
      </c>
      <c r="G1731" s="3" t="s">
        <v>5043</v>
      </c>
      <c r="H1731" s="3"/>
      <c r="V1731" s="3"/>
      <c r="W1731" s="3"/>
      <c r="AT1731" s="21"/>
      <c r="AU1731" s="22">
        <f t="shared" si="302"/>
        <v>0</v>
      </c>
      <c r="CH1731" s="22">
        <f t="shared" si="303"/>
        <v>0</v>
      </c>
      <c r="CI1731" s="3">
        <f t="shared" si="304"/>
        <v>0</v>
      </c>
      <c r="CJ1731" s="17">
        <f t="shared" si="305"/>
        <v>494</v>
      </c>
      <c r="CK1731" s="3" t="str">
        <f t="shared" si="306"/>
        <v>لاب فقط</v>
      </c>
    </row>
    <row r="1732" spans="1:89" x14ac:dyDescent="0.25">
      <c r="A1732" s="16">
        <v>45478</v>
      </c>
      <c r="B1732" s="16"/>
      <c r="C1732" s="16"/>
      <c r="D1732" s="25"/>
      <c r="E1732" s="25">
        <v>495</v>
      </c>
      <c r="F1732" s="3" t="s">
        <v>1431</v>
      </c>
      <c r="G1732" s="3" t="s">
        <v>5043</v>
      </c>
      <c r="H1732" s="3"/>
      <c r="V1732" s="3"/>
      <c r="W1732" s="3"/>
      <c r="AT1732" s="21"/>
      <c r="AU1732" s="22">
        <f t="shared" si="302"/>
        <v>0</v>
      </c>
      <c r="CH1732" s="22">
        <f t="shared" si="303"/>
        <v>0</v>
      </c>
      <c r="CI1732" s="3">
        <f t="shared" si="304"/>
        <v>0</v>
      </c>
      <c r="CJ1732" s="17">
        <f t="shared" si="305"/>
        <v>495</v>
      </c>
      <c r="CK1732" s="3" t="str">
        <f t="shared" si="306"/>
        <v>لاب فقط</v>
      </c>
    </row>
    <row r="1733" spans="1:89" x14ac:dyDescent="0.25">
      <c r="A1733" s="16">
        <v>45509</v>
      </c>
      <c r="B1733" s="16"/>
      <c r="C1733" s="16"/>
      <c r="D1733" s="20"/>
      <c r="E1733" s="20">
        <v>496</v>
      </c>
      <c r="F1733" s="43"/>
      <c r="G1733" s="3" t="s">
        <v>5702</v>
      </c>
      <c r="V1733" s="3"/>
      <c r="W1733" s="3"/>
      <c r="Y1733" s="3">
        <v>2317.9899999999998</v>
      </c>
      <c r="AT1733" s="210"/>
      <c r="AU1733" s="22">
        <f t="shared" si="302"/>
        <v>2317.9899999999998</v>
      </c>
      <c r="BB1733" s="3">
        <v>2317.9899999999998</v>
      </c>
      <c r="CG1733" s="210"/>
      <c r="CH1733" s="22">
        <f t="shared" si="303"/>
        <v>2317.9899999999998</v>
      </c>
      <c r="CI1733" s="3">
        <f t="shared" si="304"/>
        <v>0</v>
      </c>
      <c r="CJ1733" s="17">
        <f t="shared" si="305"/>
        <v>496</v>
      </c>
      <c r="CK1733" s="3">
        <f t="shared" si="306"/>
        <v>0</v>
      </c>
    </row>
    <row r="1734" spans="1:89" x14ac:dyDescent="0.25">
      <c r="A1734" s="16" t="s">
        <v>5030</v>
      </c>
      <c r="B1734" s="16"/>
      <c r="C1734" s="16"/>
      <c r="E1734" s="17">
        <v>497</v>
      </c>
      <c r="F1734" s="3" t="s">
        <v>1431</v>
      </c>
      <c r="G1734" s="3" t="s">
        <v>5042</v>
      </c>
      <c r="AT1734" s="201"/>
      <c r="AU1734" s="22">
        <f t="shared" si="302"/>
        <v>0</v>
      </c>
      <c r="AV1734" s="4"/>
      <c r="BF1734" s="201"/>
      <c r="BG1734" s="201"/>
      <c r="CH1734" s="22">
        <f t="shared" si="303"/>
        <v>0</v>
      </c>
      <c r="CI1734" s="3">
        <f t="shared" si="304"/>
        <v>0</v>
      </c>
      <c r="CJ1734" s="17">
        <f t="shared" si="305"/>
        <v>497</v>
      </c>
      <c r="CK1734" s="3" t="str">
        <f t="shared" si="306"/>
        <v>لاب فقط</v>
      </c>
    </row>
    <row r="1735" spans="1:89" ht="31.5" x14ac:dyDescent="0.25">
      <c r="A1735" s="16">
        <v>45601</v>
      </c>
      <c r="B1735" s="16"/>
      <c r="C1735" s="16"/>
      <c r="E1735" s="17">
        <v>498</v>
      </c>
      <c r="F1735" s="3" t="s">
        <v>1431</v>
      </c>
      <c r="G1735" s="9" t="s">
        <v>5041</v>
      </c>
      <c r="AT1735" s="201"/>
      <c r="AU1735" s="22">
        <f t="shared" si="302"/>
        <v>0</v>
      </c>
      <c r="AV1735" s="4"/>
      <c r="BF1735" s="201"/>
      <c r="BG1735" s="201"/>
      <c r="CH1735" s="22">
        <f t="shared" si="303"/>
        <v>0</v>
      </c>
      <c r="CI1735" s="3">
        <f t="shared" si="304"/>
        <v>0</v>
      </c>
      <c r="CJ1735" s="17">
        <f t="shared" si="305"/>
        <v>498</v>
      </c>
      <c r="CK1735" s="3" t="str">
        <f t="shared" si="306"/>
        <v>لاب فقط</v>
      </c>
    </row>
    <row r="1736" spans="1:89" x14ac:dyDescent="0.25">
      <c r="A1736" s="16" t="s">
        <v>523</v>
      </c>
      <c r="B1736" s="16"/>
      <c r="C1736" s="16"/>
      <c r="E1736" s="17">
        <v>499</v>
      </c>
      <c r="F1736" s="3" t="s">
        <v>1431</v>
      </c>
      <c r="G1736" s="3" t="s">
        <v>5040</v>
      </c>
      <c r="AT1736" s="201"/>
      <c r="AU1736" s="22">
        <f t="shared" si="302"/>
        <v>0</v>
      </c>
      <c r="AV1736" s="4"/>
      <c r="BF1736" s="201"/>
      <c r="BG1736" s="201"/>
      <c r="CH1736" s="22">
        <f t="shared" si="303"/>
        <v>0</v>
      </c>
      <c r="CI1736" s="3">
        <f t="shared" si="304"/>
        <v>0</v>
      </c>
      <c r="CJ1736" s="17">
        <f t="shared" si="305"/>
        <v>499</v>
      </c>
      <c r="CK1736" s="3" t="str">
        <f t="shared" si="306"/>
        <v>لاب فقط</v>
      </c>
    </row>
    <row r="1737" spans="1:89" x14ac:dyDescent="0.25">
      <c r="A1737" s="16" t="s">
        <v>5030</v>
      </c>
      <c r="B1737" s="16"/>
      <c r="C1737" s="16"/>
      <c r="D1737" s="20"/>
      <c r="E1737" s="20">
        <v>500</v>
      </c>
      <c r="F1737" s="43"/>
      <c r="G1737" s="3" t="s">
        <v>5039</v>
      </c>
      <c r="R1737" s="3">
        <v>15000</v>
      </c>
      <c r="V1737" s="3"/>
      <c r="W1737" s="3"/>
      <c r="AT1737" s="210"/>
      <c r="AU1737" s="22">
        <f t="shared" si="302"/>
        <v>15000</v>
      </c>
      <c r="BF1737" s="201"/>
      <c r="BG1737" s="201"/>
      <c r="BT1737" s="3">
        <v>15000</v>
      </c>
      <c r="CG1737" s="210"/>
      <c r="CH1737" s="22">
        <f t="shared" si="303"/>
        <v>15000</v>
      </c>
      <c r="CI1737" s="3">
        <f t="shared" si="304"/>
        <v>0</v>
      </c>
      <c r="CJ1737" s="17">
        <f t="shared" si="305"/>
        <v>500</v>
      </c>
      <c r="CK1737" s="3">
        <f t="shared" si="306"/>
        <v>0</v>
      </c>
    </row>
    <row r="1738" spans="1:89" x14ac:dyDescent="0.25">
      <c r="A1738" s="16" t="s">
        <v>5030</v>
      </c>
      <c r="B1738" s="16"/>
      <c r="C1738" s="16"/>
      <c r="D1738" s="20"/>
      <c r="E1738" s="20">
        <v>501</v>
      </c>
      <c r="F1738" s="43"/>
      <c r="G1738" s="3" t="s">
        <v>5038</v>
      </c>
      <c r="R1738" s="3">
        <v>15000</v>
      </c>
      <c r="V1738" s="3"/>
      <c r="W1738" s="3"/>
      <c r="AT1738" s="210"/>
      <c r="AU1738" s="22">
        <f t="shared" si="302"/>
        <v>15000</v>
      </c>
      <c r="BT1738" s="3">
        <v>15000</v>
      </c>
      <c r="CG1738" s="210"/>
      <c r="CH1738" s="22">
        <f t="shared" si="303"/>
        <v>15000</v>
      </c>
      <c r="CI1738" s="3">
        <f t="shared" si="304"/>
        <v>0</v>
      </c>
      <c r="CJ1738" s="17">
        <f t="shared" si="305"/>
        <v>501</v>
      </c>
      <c r="CK1738" s="3">
        <f t="shared" si="306"/>
        <v>0</v>
      </c>
    </row>
    <row r="1739" spans="1:89" x14ac:dyDescent="0.25">
      <c r="A1739" s="16" t="s">
        <v>5030</v>
      </c>
      <c r="B1739" s="16"/>
      <c r="C1739" s="16"/>
      <c r="D1739" s="20"/>
      <c r="E1739" s="20">
        <v>502</v>
      </c>
      <c r="F1739" s="43"/>
      <c r="G1739" s="3" t="s">
        <v>5037</v>
      </c>
      <c r="R1739" s="3">
        <v>16000</v>
      </c>
      <c r="V1739" s="3"/>
      <c r="W1739" s="3"/>
      <c r="AT1739" s="210"/>
      <c r="AU1739" s="22">
        <f t="shared" si="302"/>
        <v>16000</v>
      </c>
      <c r="BT1739" s="3">
        <v>16000</v>
      </c>
      <c r="CG1739" s="210"/>
      <c r="CH1739" s="22">
        <f t="shared" si="303"/>
        <v>16000</v>
      </c>
      <c r="CI1739" s="3">
        <f t="shared" si="304"/>
        <v>0</v>
      </c>
      <c r="CJ1739" s="17">
        <f t="shared" si="305"/>
        <v>502</v>
      </c>
      <c r="CK1739" s="3">
        <f t="shared" si="306"/>
        <v>0</v>
      </c>
    </row>
    <row r="1740" spans="1:89" x14ac:dyDescent="0.25">
      <c r="A1740" s="16" t="s">
        <v>5030</v>
      </c>
      <c r="B1740" s="16"/>
      <c r="C1740" s="16"/>
      <c r="D1740" s="20"/>
      <c r="E1740" s="20">
        <v>503</v>
      </c>
      <c r="F1740" s="43"/>
      <c r="G1740" s="3" t="s">
        <v>5036</v>
      </c>
      <c r="R1740" s="3">
        <v>16000</v>
      </c>
      <c r="V1740" s="3"/>
      <c r="W1740" s="3"/>
      <c r="AT1740" s="210"/>
      <c r="AU1740" s="22">
        <f t="shared" si="302"/>
        <v>16000</v>
      </c>
      <c r="BT1740" s="3">
        <v>16000</v>
      </c>
      <c r="CG1740" s="210"/>
      <c r="CH1740" s="22">
        <f t="shared" si="303"/>
        <v>16000</v>
      </c>
      <c r="CI1740" s="3">
        <f t="shared" si="304"/>
        <v>0</v>
      </c>
      <c r="CJ1740" s="17">
        <f t="shared" si="305"/>
        <v>503</v>
      </c>
      <c r="CK1740" s="3">
        <f t="shared" si="306"/>
        <v>0</v>
      </c>
    </row>
    <row r="1741" spans="1:89" x14ac:dyDescent="0.25">
      <c r="A1741" s="16" t="s">
        <v>5030</v>
      </c>
      <c r="B1741" s="16"/>
      <c r="C1741" s="16"/>
      <c r="D1741" s="20"/>
      <c r="E1741" s="20">
        <v>504</v>
      </c>
      <c r="F1741" s="43"/>
      <c r="G1741" s="3" t="s">
        <v>5035</v>
      </c>
      <c r="R1741" s="3">
        <v>8000</v>
      </c>
      <c r="V1741" s="3"/>
      <c r="W1741" s="3"/>
      <c r="AT1741" s="210"/>
      <c r="AU1741" s="22">
        <f t="shared" si="302"/>
        <v>8000</v>
      </c>
      <c r="BT1741" s="3">
        <v>8000</v>
      </c>
      <c r="CG1741" s="210"/>
      <c r="CH1741" s="22">
        <f t="shared" si="303"/>
        <v>8000</v>
      </c>
      <c r="CI1741" s="3">
        <f t="shared" si="304"/>
        <v>0</v>
      </c>
      <c r="CJ1741" s="17">
        <f t="shared" si="305"/>
        <v>504</v>
      </c>
      <c r="CK1741" s="3">
        <f t="shared" si="306"/>
        <v>0</v>
      </c>
    </row>
    <row r="1742" spans="1:89" x14ac:dyDescent="0.25">
      <c r="A1742" s="16" t="s">
        <v>5030</v>
      </c>
      <c r="B1742" s="16"/>
      <c r="C1742" s="16"/>
      <c r="D1742" s="20"/>
      <c r="E1742" s="20">
        <v>505</v>
      </c>
      <c r="F1742" s="43"/>
      <c r="G1742" s="3" t="s">
        <v>5034</v>
      </c>
      <c r="R1742" s="3">
        <v>9000</v>
      </c>
      <c r="V1742" s="3"/>
      <c r="W1742" s="3"/>
      <c r="AT1742" s="210"/>
      <c r="AU1742" s="22">
        <f t="shared" si="302"/>
        <v>9000</v>
      </c>
      <c r="BT1742" s="3">
        <v>9000</v>
      </c>
      <c r="CG1742" s="210"/>
      <c r="CH1742" s="22">
        <f t="shared" si="303"/>
        <v>9000</v>
      </c>
      <c r="CI1742" s="3">
        <f t="shared" si="304"/>
        <v>0</v>
      </c>
      <c r="CJ1742" s="17">
        <f t="shared" si="305"/>
        <v>505</v>
      </c>
      <c r="CK1742" s="3">
        <f t="shared" si="306"/>
        <v>0</v>
      </c>
    </row>
    <row r="1743" spans="1:89" x14ac:dyDescent="0.25">
      <c r="A1743" s="16" t="s">
        <v>5030</v>
      </c>
      <c r="B1743" s="16"/>
      <c r="C1743" s="16"/>
      <c r="D1743" s="20"/>
      <c r="E1743" s="20">
        <v>506</v>
      </c>
      <c r="F1743" s="43"/>
      <c r="G1743" s="3" t="s">
        <v>3032</v>
      </c>
      <c r="R1743" s="3">
        <v>10000</v>
      </c>
      <c r="V1743" s="3"/>
      <c r="W1743" s="3"/>
      <c r="AT1743" s="210"/>
      <c r="AU1743" s="22">
        <f t="shared" si="302"/>
        <v>10000</v>
      </c>
      <c r="BT1743" s="3">
        <v>10000</v>
      </c>
      <c r="CG1743" s="210"/>
      <c r="CH1743" s="22">
        <f t="shared" si="303"/>
        <v>10000</v>
      </c>
      <c r="CI1743" s="3">
        <f t="shared" si="304"/>
        <v>0</v>
      </c>
      <c r="CJ1743" s="17">
        <f t="shared" si="305"/>
        <v>506</v>
      </c>
      <c r="CK1743" s="3">
        <f t="shared" si="306"/>
        <v>0</v>
      </c>
    </row>
    <row r="1744" spans="1:89" x14ac:dyDescent="0.25">
      <c r="A1744" s="16" t="s">
        <v>5030</v>
      </c>
      <c r="B1744" s="16"/>
      <c r="C1744" s="16"/>
      <c r="D1744" s="20"/>
      <c r="E1744" s="20">
        <v>507</v>
      </c>
      <c r="F1744" s="43"/>
      <c r="G1744" s="3" t="s">
        <v>5033</v>
      </c>
      <c r="R1744" s="3">
        <v>16000</v>
      </c>
      <c r="V1744" s="3"/>
      <c r="W1744" s="3"/>
      <c r="AT1744" s="210"/>
      <c r="AU1744" s="22">
        <f t="shared" si="302"/>
        <v>16000</v>
      </c>
      <c r="BT1744" s="3">
        <v>16000</v>
      </c>
      <c r="CG1744" s="210"/>
      <c r="CH1744" s="22">
        <f t="shared" si="303"/>
        <v>16000</v>
      </c>
      <c r="CI1744" s="3">
        <f t="shared" si="304"/>
        <v>0</v>
      </c>
      <c r="CJ1744" s="17">
        <f t="shared" si="305"/>
        <v>507</v>
      </c>
      <c r="CK1744" s="3">
        <f t="shared" si="306"/>
        <v>0</v>
      </c>
    </row>
    <row r="1745" spans="1:91" x14ac:dyDescent="0.25">
      <c r="A1745" s="16" t="s">
        <v>5030</v>
      </c>
      <c r="B1745" s="16"/>
      <c r="C1745" s="16"/>
      <c r="D1745" s="20"/>
      <c r="E1745" s="20">
        <v>508</v>
      </c>
      <c r="F1745" s="43"/>
      <c r="G1745" s="3" t="s">
        <v>5032</v>
      </c>
      <c r="R1745" s="3">
        <v>16000</v>
      </c>
      <c r="V1745" s="3"/>
      <c r="W1745" s="3"/>
      <c r="AT1745" s="210"/>
      <c r="AU1745" s="22">
        <f t="shared" si="302"/>
        <v>16000</v>
      </c>
      <c r="BT1745" s="3">
        <v>16000</v>
      </c>
      <c r="CG1745" s="210"/>
      <c r="CH1745" s="22">
        <f t="shared" si="303"/>
        <v>16000</v>
      </c>
      <c r="CI1745" s="3">
        <f t="shared" si="304"/>
        <v>0</v>
      </c>
      <c r="CJ1745" s="17">
        <f t="shared" si="305"/>
        <v>508</v>
      </c>
      <c r="CK1745" s="3">
        <f t="shared" si="306"/>
        <v>0</v>
      </c>
    </row>
    <row r="1746" spans="1:91" ht="47.25" x14ac:dyDescent="0.25">
      <c r="A1746" s="16" t="s">
        <v>5030</v>
      </c>
      <c r="B1746" s="16"/>
      <c r="C1746" s="23" t="s">
        <v>5046</v>
      </c>
      <c r="D1746" s="20"/>
      <c r="E1746" s="20">
        <v>509</v>
      </c>
      <c r="F1746" s="43"/>
      <c r="G1746" s="3" t="s">
        <v>5031</v>
      </c>
      <c r="V1746" s="3"/>
      <c r="W1746" s="3"/>
      <c r="AD1746" s="3">
        <v>55000</v>
      </c>
      <c r="AT1746" s="210"/>
      <c r="AU1746" s="22">
        <f t="shared" si="302"/>
        <v>55000</v>
      </c>
      <c r="BU1746" s="3">
        <v>55000</v>
      </c>
      <c r="CG1746" s="210"/>
      <c r="CH1746" s="22">
        <f t="shared" si="303"/>
        <v>55000</v>
      </c>
      <c r="CI1746" s="3">
        <f t="shared" si="304"/>
        <v>0</v>
      </c>
      <c r="CJ1746" s="17">
        <f t="shared" si="305"/>
        <v>509</v>
      </c>
      <c r="CK1746" s="3">
        <f t="shared" si="306"/>
        <v>0</v>
      </c>
    </row>
    <row r="1747" spans="1:91" x14ac:dyDescent="0.25">
      <c r="A1747" s="16" t="s">
        <v>5030</v>
      </c>
      <c r="B1747" s="16"/>
      <c r="C1747" s="16"/>
      <c r="D1747" s="20"/>
      <c r="E1747" s="20">
        <v>510</v>
      </c>
      <c r="F1747" s="43"/>
      <c r="G1747" s="3" t="s">
        <v>5029</v>
      </c>
      <c r="R1747" s="3">
        <v>8000</v>
      </c>
      <c r="V1747" s="3"/>
      <c r="W1747" s="3"/>
      <c r="AT1747" s="210"/>
      <c r="AU1747" s="22">
        <f t="shared" si="302"/>
        <v>8000</v>
      </c>
      <c r="BT1747" s="3">
        <v>8000</v>
      </c>
      <c r="CG1747" s="210"/>
      <c r="CH1747" s="22">
        <f t="shared" si="303"/>
        <v>8000</v>
      </c>
      <c r="CI1747" s="3">
        <f t="shared" si="304"/>
        <v>0</v>
      </c>
      <c r="CJ1747" s="17">
        <f t="shared" si="305"/>
        <v>510</v>
      </c>
      <c r="CK1747" s="3">
        <f t="shared" si="306"/>
        <v>0</v>
      </c>
    </row>
    <row r="1748" spans="1:91" ht="31.5" x14ac:dyDescent="0.25">
      <c r="A1748" s="16" t="s">
        <v>5028</v>
      </c>
      <c r="B1748" s="16"/>
      <c r="C1748" s="16"/>
      <c r="D1748" s="20"/>
      <c r="E1748" s="20">
        <v>511</v>
      </c>
      <c r="F1748" s="43" t="s">
        <v>1431</v>
      </c>
      <c r="G1748" s="9" t="s">
        <v>5027</v>
      </c>
      <c r="V1748" s="3"/>
      <c r="W1748" s="3"/>
      <c r="AT1748" s="210"/>
      <c r="AU1748" s="22">
        <f t="shared" si="302"/>
        <v>0</v>
      </c>
      <c r="CG1748" s="210"/>
      <c r="CH1748" s="22">
        <f t="shared" si="303"/>
        <v>0</v>
      </c>
      <c r="CI1748" s="3">
        <f t="shared" si="304"/>
        <v>0</v>
      </c>
      <c r="CJ1748" s="17">
        <f t="shared" si="305"/>
        <v>511</v>
      </c>
      <c r="CK1748" s="3" t="str">
        <f t="shared" si="306"/>
        <v>لاب فقط</v>
      </c>
    </row>
    <row r="1749" spans="1:91" s="29" customFormat="1" x14ac:dyDescent="0.25">
      <c r="A1749" s="27"/>
      <c r="B1749" s="27"/>
      <c r="C1749" s="27"/>
      <c r="D1749" s="47"/>
      <c r="E1749" s="47"/>
      <c r="F1749" s="211"/>
      <c r="G1749" s="212" t="s">
        <v>5045</v>
      </c>
      <c r="R1749" s="29">
        <f>SUM(R1731:R1748)</f>
        <v>129000</v>
      </c>
      <c r="S1749" s="29">
        <f t="shared" ref="S1749:CG1749" si="307">SUM(S1731:S1748)</f>
        <v>0</v>
      </c>
      <c r="T1749" s="29">
        <f t="shared" si="307"/>
        <v>0</v>
      </c>
      <c r="U1749" s="29">
        <f t="shared" si="307"/>
        <v>0</v>
      </c>
      <c r="V1749" s="29">
        <f t="shared" si="307"/>
        <v>0</v>
      </c>
      <c r="W1749" s="29">
        <f t="shared" si="307"/>
        <v>0</v>
      </c>
      <c r="X1749" s="29">
        <f t="shared" si="307"/>
        <v>0</v>
      </c>
      <c r="Y1749" s="29">
        <f t="shared" si="307"/>
        <v>2317.9899999999998</v>
      </c>
      <c r="Z1749" s="29">
        <f t="shared" si="307"/>
        <v>0</v>
      </c>
      <c r="AA1749" s="29">
        <f t="shared" si="307"/>
        <v>0</v>
      </c>
      <c r="AB1749" s="29">
        <f t="shared" si="307"/>
        <v>0</v>
      </c>
      <c r="AC1749" s="29">
        <f t="shared" si="307"/>
        <v>0</v>
      </c>
      <c r="AD1749" s="29">
        <f t="shared" si="307"/>
        <v>55000</v>
      </c>
      <c r="AE1749" s="29">
        <f t="shared" si="307"/>
        <v>0</v>
      </c>
      <c r="AG1749" s="29">
        <f t="shared" si="307"/>
        <v>0</v>
      </c>
      <c r="AH1749" s="29">
        <f t="shared" si="307"/>
        <v>0</v>
      </c>
      <c r="AI1749" s="29">
        <f t="shared" si="307"/>
        <v>0</v>
      </c>
      <c r="AJ1749" s="29">
        <f t="shared" si="307"/>
        <v>0</v>
      </c>
      <c r="AK1749" s="29">
        <f t="shared" si="307"/>
        <v>0</v>
      </c>
      <c r="AL1749" s="29">
        <f t="shared" si="307"/>
        <v>0</v>
      </c>
      <c r="AM1749" s="29">
        <f t="shared" si="307"/>
        <v>0</v>
      </c>
      <c r="AN1749" s="29">
        <f t="shared" si="307"/>
        <v>0</v>
      </c>
      <c r="AO1749" s="29">
        <f t="shared" si="307"/>
        <v>0</v>
      </c>
      <c r="AP1749" s="29">
        <f t="shared" si="307"/>
        <v>0</v>
      </c>
      <c r="AQ1749" s="29">
        <f t="shared" si="307"/>
        <v>0</v>
      </c>
      <c r="AR1749" s="29">
        <f t="shared" si="307"/>
        <v>0</v>
      </c>
      <c r="AS1749" s="29">
        <f t="shared" si="307"/>
        <v>0</v>
      </c>
      <c r="AT1749" s="29">
        <f t="shared" si="307"/>
        <v>0</v>
      </c>
      <c r="AU1749" s="22">
        <f t="shared" si="302"/>
        <v>186317.99</v>
      </c>
      <c r="AV1749" s="29">
        <f t="shared" si="307"/>
        <v>0</v>
      </c>
      <c r="AW1749" s="29">
        <f t="shared" si="307"/>
        <v>0</v>
      </c>
      <c r="AX1749" s="29">
        <f t="shared" si="307"/>
        <v>0</v>
      </c>
      <c r="AY1749" s="29">
        <f t="shared" si="307"/>
        <v>0</v>
      </c>
      <c r="AZ1749" s="29">
        <f t="shared" si="307"/>
        <v>0</v>
      </c>
      <c r="BA1749" s="29">
        <f t="shared" si="307"/>
        <v>0</v>
      </c>
      <c r="BB1749" s="29">
        <f t="shared" si="307"/>
        <v>2317.9899999999998</v>
      </c>
      <c r="BC1749" s="29">
        <f t="shared" si="307"/>
        <v>0</v>
      </c>
      <c r="BD1749" s="29">
        <f t="shared" si="307"/>
        <v>0</v>
      </c>
      <c r="BF1749" s="29">
        <f t="shared" si="307"/>
        <v>0</v>
      </c>
      <c r="BG1749" s="29">
        <f t="shared" si="307"/>
        <v>0</v>
      </c>
      <c r="BH1749" s="29">
        <f t="shared" si="307"/>
        <v>0</v>
      </c>
      <c r="BJ1749" s="29">
        <f t="shared" si="307"/>
        <v>0</v>
      </c>
      <c r="BK1749" s="29">
        <f t="shared" si="307"/>
        <v>0</v>
      </c>
      <c r="BL1749" s="29">
        <f t="shared" si="307"/>
        <v>0</v>
      </c>
      <c r="BM1749" s="29">
        <f t="shared" si="307"/>
        <v>0</v>
      </c>
      <c r="BN1749" s="29">
        <f t="shared" si="307"/>
        <v>0</v>
      </c>
      <c r="BO1749" s="29">
        <f t="shared" si="307"/>
        <v>0</v>
      </c>
      <c r="BP1749" s="29">
        <f t="shared" si="307"/>
        <v>0</v>
      </c>
      <c r="BQ1749" s="29">
        <f t="shared" si="307"/>
        <v>0</v>
      </c>
      <c r="BR1749" s="29">
        <f t="shared" si="307"/>
        <v>0</v>
      </c>
      <c r="BS1749" s="29">
        <f t="shared" si="307"/>
        <v>0</v>
      </c>
      <c r="BT1749" s="29">
        <f t="shared" si="307"/>
        <v>129000</v>
      </c>
      <c r="BU1749" s="29">
        <f t="shared" si="307"/>
        <v>55000</v>
      </c>
      <c r="BV1749" s="29">
        <f t="shared" si="307"/>
        <v>0</v>
      </c>
      <c r="BW1749" s="29">
        <f t="shared" si="307"/>
        <v>0</v>
      </c>
      <c r="BX1749" s="29">
        <f t="shared" si="307"/>
        <v>0</v>
      </c>
      <c r="BY1749" s="29">
        <f t="shared" si="307"/>
        <v>0</v>
      </c>
      <c r="BZ1749" s="29">
        <f t="shared" si="307"/>
        <v>0</v>
      </c>
      <c r="CA1749" s="29">
        <f t="shared" si="307"/>
        <v>0</v>
      </c>
      <c r="CB1749" s="29">
        <f t="shared" si="307"/>
        <v>0</v>
      </c>
      <c r="CC1749" s="29">
        <f t="shared" si="307"/>
        <v>0</v>
      </c>
      <c r="CD1749" s="29">
        <f t="shared" si="307"/>
        <v>0</v>
      </c>
      <c r="CE1749" s="29">
        <f t="shared" si="307"/>
        <v>0</v>
      </c>
      <c r="CF1749" s="29">
        <f t="shared" si="307"/>
        <v>0</v>
      </c>
      <c r="CG1749" s="29">
        <f t="shared" si="307"/>
        <v>0</v>
      </c>
      <c r="CH1749" s="22">
        <f t="shared" si="303"/>
        <v>186317.99</v>
      </c>
      <c r="CI1749" s="3">
        <f t="shared" si="304"/>
        <v>0</v>
      </c>
      <c r="CJ1749" s="17">
        <f t="shared" si="305"/>
        <v>0</v>
      </c>
      <c r="CK1749" s="3">
        <f t="shared" si="306"/>
        <v>0</v>
      </c>
      <c r="CL1749" s="29">
        <f t="shared" ref="CL1749:CM1749" si="308">SUM(CL1731:CL1748)</f>
        <v>0</v>
      </c>
      <c r="CM1749" s="29">
        <f t="shared" si="308"/>
        <v>0</v>
      </c>
    </row>
    <row r="1750" spans="1:91" s="201" customFormat="1" ht="47.25" x14ac:dyDescent="0.25">
      <c r="A1750" s="202"/>
      <c r="B1750" s="203"/>
      <c r="C1750" s="203"/>
      <c r="D1750" s="203">
        <v>19087</v>
      </c>
      <c r="E1750" s="203">
        <v>512</v>
      </c>
      <c r="F1750" s="201" t="s">
        <v>3480</v>
      </c>
      <c r="G1750" s="208" t="s">
        <v>5049</v>
      </c>
      <c r="Y1750" s="201">
        <v>15960</v>
      </c>
      <c r="AH1750" s="201">
        <v>15960</v>
      </c>
      <c r="AU1750" s="22">
        <f t="shared" si="302"/>
        <v>31920</v>
      </c>
      <c r="BB1750" s="201">
        <v>15960</v>
      </c>
      <c r="CG1750" s="201">
        <v>15960</v>
      </c>
      <c r="CH1750" s="22">
        <f t="shared" si="303"/>
        <v>31920</v>
      </c>
      <c r="CI1750" s="3">
        <f t="shared" si="304"/>
        <v>0</v>
      </c>
      <c r="CJ1750" s="17">
        <f t="shared" si="305"/>
        <v>512</v>
      </c>
      <c r="CK1750" s="3" t="str">
        <f t="shared" si="306"/>
        <v>سجلات فقط</v>
      </c>
    </row>
    <row r="1751" spans="1:91" s="201" customFormat="1" ht="31.5" x14ac:dyDescent="0.25">
      <c r="A1751" s="202"/>
      <c r="B1751" s="203"/>
      <c r="C1751" s="203"/>
      <c r="D1751" s="203">
        <v>17561</v>
      </c>
      <c r="E1751" s="203">
        <v>513</v>
      </c>
      <c r="F1751" s="201" t="s">
        <v>3480</v>
      </c>
      <c r="G1751" s="208" t="s">
        <v>5050</v>
      </c>
      <c r="Y1751" s="201">
        <v>1110</v>
      </c>
      <c r="AH1751" s="201">
        <v>1110</v>
      </c>
      <c r="AU1751" s="22">
        <f t="shared" si="302"/>
        <v>2220</v>
      </c>
      <c r="BB1751" s="201">
        <v>1110</v>
      </c>
      <c r="CG1751" s="201">
        <v>1110</v>
      </c>
      <c r="CH1751" s="22">
        <f t="shared" si="303"/>
        <v>2220</v>
      </c>
      <c r="CI1751" s="3">
        <f t="shared" si="304"/>
        <v>0</v>
      </c>
      <c r="CJ1751" s="17">
        <f t="shared" si="305"/>
        <v>513</v>
      </c>
      <c r="CK1751" s="3" t="str">
        <f t="shared" si="306"/>
        <v>سجلات فقط</v>
      </c>
    </row>
    <row r="1752" spans="1:91" s="201" customFormat="1" x14ac:dyDescent="0.25">
      <c r="A1752" s="202"/>
      <c r="B1752" s="203"/>
      <c r="C1752" s="203"/>
      <c r="D1752" s="203"/>
      <c r="E1752" s="20">
        <v>514</v>
      </c>
      <c r="G1752" s="3" t="s">
        <v>5047</v>
      </c>
      <c r="R1752" s="201">
        <v>7000</v>
      </c>
      <c r="AU1752" s="22">
        <f t="shared" si="302"/>
        <v>7000</v>
      </c>
      <c r="BT1752" s="201">
        <v>7000</v>
      </c>
      <c r="CH1752" s="22">
        <f t="shared" si="303"/>
        <v>7000</v>
      </c>
      <c r="CI1752" s="3">
        <f t="shared" si="304"/>
        <v>0</v>
      </c>
      <c r="CJ1752" s="17">
        <f t="shared" si="305"/>
        <v>514</v>
      </c>
      <c r="CK1752" s="3">
        <f t="shared" si="306"/>
        <v>0</v>
      </c>
    </row>
    <row r="1753" spans="1:91" s="201" customFormat="1" x14ac:dyDescent="0.25">
      <c r="A1753" s="202"/>
      <c r="B1753" s="203"/>
      <c r="C1753" s="203"/>
      <c r="D1753" s="203"/>
      <c r="E1753" s="20">
        <v>515</v>
      </c>
      <c r="G1753" s="3" t="s">
        <v>5048</v>
      </c>
      <c r="R1753" s="201">
        <v>15000</v>
      </c>
      <c r="AU1753" s="22">
        <f t="shared" si="302"/>
        <v>15000</v>
      </c>
      <c r="BT1753" s="201">
        <v>15000</v>
      </c>
      <c r="CH1753" s="22">
        <f t="shared" si="303"/>
        <v>15000</v>
      </c>
      <c r="CI1753" s="3">
        <f t="shared" si="304"/>
        <v>0</v>
      </c>
      <c r="CJ1753" s="17">
        <f t="shared" si="305"/>
        <v>515</v>
      </c>
      <c r="CK1753" s="3">
        <f t="shared" si="306"/>
        <v>0</v>
      </c>
    </row>
    <row r="1754" spans="1:91" s="201" customFormat="1" x14ac:dyDescent="0.25">
      <c r="A1754" s="202"/>
      <c r="B1754" s="203"/>
      <c r="C1754" s="203"/>
      <c r="D1754" s="203"/>
      <c r="E1754" s="20">
        <v>516</v>
      </c>
      <c r="G1754" s="3" t="s">
        <v>5039</v>
      </c>
      <c r="R1754" s="201">
        <v>12000</v>
      </c>
      <c r="AU1754" s="22">
        <f t="shared" si="302"/>
        <v>12000</v>
      </c>
      <c r="BT1754" s="201">
        <v>12000</v>
      </c>
      <c r="CH1754" s="22">
        <f t="shared" si="303"/>
        <v>12000</v>
      </c>
      <c r="CI1754" s="3">
        <f t="shared" si="304"/>
        <v>0</v>
      </c>
      <c r="CJ1754" s="17">
        <f t="shared" si="305"/>
        <v>516</v>
      </c>
      <c r="CK1754" s="3">
        <f t="shared" si="306"/>
        <v>0</v>
      </c>
    </row>
    <row r="1755" spans="1:91" s="201" customFormat="1" x14ac:dyDescent="0.25">
      <c r="A1755" s="202"/>
      <c r="B1755" s="203"/>
      <c r="C1755" s="203"/>
      <c r="D1755" s="203"/>
      <c r="E1755" s="203">
        <v>517</v>
      </c>
      <c r="G1755" s="3" t="s">
        <v>5038</v>
      </c>
      <c r="R1755" s="201">
        <v>8550</v>
      </c>
      <c r="AU1755" s="22">
        <f t="shared" si="302"/>
        <v>8550</v>
      </c>
      <c r="BT1755" s="201">
        <v>8550</v>
      </c>
      <c r="CH1755" s="22">
        <f t="shared" si="303"/>
        <v>8550</v>
      </c>
      <c r="CI1755" s="3">
        <f t="shared" si="304"/>
        <v>0</v>
      </c>
      <c r="CJ1755" s="17">
        <f t="shared" si="305"/>
        <v>517</v>
      </c>
      <c r="CK1755" s="3">
        <f t="shared" si="306"/>
        <v>0</v>
      </c>
    </row>
    <row r="1756" spans="1:91" s="29" customFormat="1" x14ac:dyDescent="0.25">
      <c r="A1756" s="27"/>
      <c r="B1756" s="28"/>
      <c r="C1756" s="28"/>
      <c r="D1756" s="28"/>
      <c r="E1756" s="28"/>
      <c r="G1756" s="29" t="s">
        <v>5052</v>
      </c>
      <c r="R1756" s="29">
        <f t="shared" ref="R1756:AE1756" si="309">SUM(R1750:R1755)</f>
        <v>42550</v>
      </c>
      <c r="S1756" s="29">
        <f t="shared" si="309"/>
        <v>0</v>
      </c>
      <c r="T1756" s="29">
        <f t="shared" si="309"/>
        <v>0</v>
      </c>
      <c r="U1756" s="29">
        <f t="shared" si="309"/>
        <v>0</v>
      </c>
      <c r="V1756" s="29">
        <f t="shared" si="309"/>
        <v>0</v>
      </c>
      <c r="W1756" s="29">
        <f t="shared" si="309"/>
        <v>0</v>
      </c>
      <c r="X1756" s="29">
        <f t="shared" si="309"/>
        <v>0</v>
      </c>
      <c r="Y1756" s="29">
        <f t="shared" si="309"/>
        <v>17070</v>
      </c>
      <c r="Z1756" s="29">
        <f t="shared" si="309"/>
        <v>0</v>
      </c>
      <c r="AA1756" s="29">
        <f t="shared" si="309"/>
        <v>0</v>
      </c>
      <c r="AB1756" s="29">
        <f t="shared" si="309"/>
        <v>0</v>
      </c>
      <c r="AC1756" s="29">
        <f t="shared" si="309"/>
        <v>0</v>
      </c>
      <c r="AD1756" s="29">
        <f t="shared" si="309"/>
        <v>0</v>
      </c>
      <c r="AE1756" s="29">
        <f t="shared" si="309"/>
        <v>0</v>
      </c>
      <c r="AG1756" s="29">
        <f t="shared" ref="AG1756:AT1756" si="310">SUM(AG1750:AG1755)</f>
        <v>0</v>
      </c>
      <c r="AH1756" s="29">
        <f t="shared" si="310"/>
        <v>17070</v>
      </c>
      <c r="AI1756" s="29">
        <f t="shared" si="310"/>
        <v>0</v>
      </c>
      <c r="AJ1756" s="29">
        <f t="shared" si="310"/>
        <v>0</v>
      </c>
      <c r="AK1756" s="29">
        <f t="shared" si="310"/>
        <v>0</v>
      </c>
      <c r="AL1756" s="29">
        <f t="shared" si="310"/>
        <v>0</v>
      </c>
      <c r="AM1756" s="29">
        <f t="shared" si="310"/>
        <v>0</v>
      </c>
      <c r="AN1756" s="29">
        <f t="shared" si="310"/>
        <v>0</v>
      </c>
      <c r="AO1756" s="29">
        <f t="shared" si="310"/>
        <v>0</v>
      </c>
      <c r="AP1756" s="29">
        <f t="shared" si="310"/>
        <v>0</v>
      </c>
      <c r="AQ1756" s="29">
        <f t="shared" si="310"/>
        <v>0</v>
      </c>
      <c r="AR1756" s="29">
        <f t="shared" si="310"/>
        <v>0</v>
      </c>
      <c r="AS1756" s="29">
        <f t="shared" si="310"/>
        <v>0</v>
      </c>
      <c r="AT1756" s="29">
        <f t="shared" si="310"/>
        <v>0</v>
      </c>
      <c r="AU1756" s="22">
        <f t="shared" si="302"/>
        <v>76690</v>
      </c>
      <c r="AV1756" s="29">
        <f t="shared" ref="AV1756:BH1756" si="311">SUM(AV1750:AV1755)</f>
        <v>0</v>
      </c>
      <c r="AW1756" s="29">
        <f t="shared" si="311"/>
        <v>0</v>
      </c>
      <c r="AX1756" s="29">
        <f t="shared" si="311"/>
        <v>0</v>
      </c>
      <c r="AY1756" s="29">
        <f t="shared" si="311"/>
        <v>0</v>
      </c>
      <c r="AZ1756" s="29">
        <f t="shared" si="311"/>
        <v>0</v>
      </c>
      <c r="BA1756" s="29">
        <f t="shared" si="311"/>
        <v>0</v>
      </c>
      <c r="BB1756" s="29">
        <f t="shared" si="311"/>
        <v>17070</v>
      </c>
      <c r="BC1756" s="29">
        <f t="shared" si="311"/>
        <v>0</v>
      </c>
      <c r="BD1756" s="29">
        <f t="shared" si="311"/>
        <v>0</v>
      </c>
      <c r="BF1756" s="29">
        <f t="shared" si="311"/>
        <v>0</v>
      </c>
      <c r="BG1756" s="29">
        <f t="shared" si="311"/>
        <v>0</v>
      </c>
      <c r="BH1756" s="29">
        <f t="shared" si="311"/>
        <v>0</v>
      </c>
      <c r="BJ1756" s="29">
        <f t="shared" ref="BJ1756:CG1756" si="312">SUM(BJ1750:BJ1755)</f>
        <v>0</v>
      </c>
      <c r="BK1756" s="29">
        <f t="shared" si="312"/>
        <v>0</v>
      </c>
      <c r="BL1756" s="29">
        <f t="shared" si="312"/>
        <v>0</v>
      </c>
      <c r="BM1756" s="29">
        <f t="shared" si="312"/>
        <v>0</v>
      </c>
      <c r="BN1756" s="29">
        <f t="shared" si="312"/>
        <v>0</v>
      </c>
      <c r="BO1756" s="29">
        <f t="shared" si="312"/>
        <v>0</v>
      </c>
      <c r="BP1756" s="29">
        <f t="shared" si="312"/>
        <v>0</v>
      </c>
      <c r="BQ1756" s="29">
        <f t="shared" si="312"/>
        <v>0</v>
      </c>
      <c r="BR1756" s="29">
        <f t="shared" si="312"/>
        <v>0</v>
      </c>
      <c r="BS1756" s="29">
        <f t="shared" si="312"/>
        <v>0</v>
      </c>
      <c r="BT1756" s="29">
        <f t="shared" si="312"/>
        <v>42550</v>
      </c>
      <c r="BU1756" s="29">
        <f t="shared" si="312"/>
        <v>0</v>
      </c>
      <c r="BV1756" s="29">
        <f t="shared" si="312"/>
        <v>0</v>
      </c>
      <c r="BW1756" s="29">
        <f t="shared" si="312"/>
        <v>0</v>
      </c>
      <c r="BX1756" s="29">
        <f t="shared" si="312"/>
        <v>0</v>
      </c>
      <c r="BY1756" s="29">
        <f t="shared" si="312"/>
        <v>0</v>
      </c>
      <c r="BZ1756" s="29">
        <f t="shared" si="312"/>
        <v>0</v>
      </c>
      <c r="CA1756" s="29">
        <f t="shared" si="312"/>
        <v>0</v>
      </c>
      <c r="CB1756" s="29">
        <f t="shared" si="312"/>
        <v>0</v>
      </c>
      <c r="CC1756" s="29">
        <f t="shared" si="312"/>
        <v>0</v>
      </c>
      <c r="CD1756" s="29">
        <f t="shared" si="312"/>
        <v>0</v>
      </c>
      <c r="CE1756" s="29">
        <f t="shared" si="312"/>
        <v>0</v>
      </c>
      <c r="CF1756" s="29">
        <f t="shared" si="312"/>
        <v>0</v>
      </c>
      <c r="CG1756" s="29">
        <f t="shared" si="312"/>
        <v>17070</v>
      </c>
      <c r="CH1756" s="22">
        <f t="shared" si="303"/>
        <v>76690</v>
      </c>
      <c r="CI1756" s="3">
        <f t="shared" si="304"/>
        <v>0</v>
      </c>
      <c r="CJ1756" s="17">
        <f t="shared" si="305"/>
        <v>0</v>
      </c>
      <c r="CK1756" s="3">
        <f t="shared" si="306"/>
        <v>0</v>
      </c>
      <c r="CL1756" s="29">
        <f>SUM(CL1750:CL1755)</f>
        <v>0</v>
      </c>
    </row>
    <row r="1757" spans="1:91" s="201" customFormat="1" x14ac:dyDescent="0.25">
      <c r="A1757" s="202"/>
      <c r="B1757" s="203"/>
      <c r="C1757" s="203"/>
      <c r="D1757" s="203"/>
      <c r="E1757" s="203">
        <v>518</v>
      </c>
      <c r="F1757" s="201" t="s">
        <v>249</v>
      </c>
      <c r="G1757" s="201" t="s">
        <v>5104</v>
      </c>
      <c r="AS1757" s="201">
        <v>9090</v>
      </c>
      <c r="AU1757" s="22">
        <f t="shared" si="302"/>
        <v>9090</v>
      </c>
      <c r="CG1757" s="201">
        <v>9090</v>
      </c>
      <c r="CH1757" s="22">
        <f t="shared" si="303"/>
        <v>9090</v>
      </c>
      <c r="CI1757" s="3">
        <f t="shared" si="304"/>
        <v>0</v>
      </c>
      <c r="CJ1757" s="17">
        <f t="shared" si="305"/>
        <v>518</v>
      </c>
      <c r="CK1757" s="3" t="str">
        <f t="shared" si="306"/>
        <v>خدمة عامة</v>
      </c>
    </row>
    <row r="1758" spans="1:91" s="201" customFormat="1" x14ac:dyDescent="0.25">
      <c r="A1758" s="202"/>
      <c r="B1758" s="203"/>
      <c r="C1758" s="203"/>
      <c r="D1758" s="203"/>
      <c r="E1758" s="203">
        <v>519</v>
      </c>
      <c r="F1758" s="201" t="s">
        <v>249</v>
      </c>
      <c r="G1758" s="201" t="s">
        <v>5105</v>
      </c>
      <c r="AS1758" s="201">
        <v>6580</v>
      </c>
      <c r="AU1758" s="22">
        <f t="shared" si="302"/>
        <v>6580</v>
      </c>
      <c r="CG1758" s="201">
        <v>6580</v>
      </c>
      <c r="CH1758" s="22">
        <f t="shared" ref="CH1758:CH1766" si="313">SUM(AV1758:CG1758)</f>
        <v>6580</v>
      </c>
      <c r="CI1758" s="3">
        <f t="shared" ref="CI1758:CI1766" si="314">+CH1758-AU1758</f>
        <v>0</v>
      </c>
      <c r="CJ1758" s="17">
        <f t="shared" ref="CJ1758:CJ1766" si="315">+E1758</f>
        <v>519</v>
      </c>
      <c r="CK1758" s="3" t="str">
        <f t="shared" ref="CK1758:CK1766" si="316">+F1758</f>
        <v>خدمة عامة</v>
      </c>
    </row>
    <row r="1759" spans="1:91" s="201" customFormat="1" x14ac:dyDescent="0.25">
      <c r="A1759" s="202"/>
      <c r="B1759" s="203"/>
      <c r="D1759" s="203"/>
      <c r="E1759" s="203">
        <v>520</v>
      </c>
      <c r="F1759" s="201" t="s">
        <v>249</v>
      </c>
      <c r="G1759" s="201" t="s">
        <v>5106</v>
      </c>
      <c r="AS1759" s="201">
        <v>3760</v>
      </c>
      <c r="AU1759" s="22">
        <f t="shared" si="302"/>
        <v>3760</v>
      </c>
      <c r="CG1759" s="201">
        <v>3760</v>
      </c>
      <c r="CH1759" s="22">
        <f t="shared" si="313"/>
        <v>3760</v>
      </c>
      <c r="CI1759" s="3">
        <f t="shared" si="314"/>
        <v>0</v>
      </c>
      <c r="CJ1759" s="17">
        <f t="shared" si="315"/>
        <v>520</v>
      </c>
      <c r="CK1759" s="3" t="str">
        <f t="shared" si="316"/>
        <v>خدمة عامة</v>
      </c>
    </row>
    <row r="1760" spans="1:91" s="201" customFormat="1" x14ac:dyDescent="0.25">
      <c r="A1760" s="202"/>
      <c r="B1760" s="203"/>
      <c r="C1760" s="203"/>
      <c r="D1760" s="203"/>
      <c r="E1760" s="203">
        <v>521</v>
      </c>
      <c r="F1760" s="201" t="s">
        <v>249</v>
      </c>
      <c r="G1760" s="201" t="s">
        <v>5107</v>
      </c>
      <c r="AS1760" s="201">
        <v>2220</v>
      </c>
      <c r="AU1760" s="22">
        <f t="shared" ref="AU1760:AU1772" si="317">SUM(I1760:AS1760)</f>
        <v>2220</v>
      </c>
      <c r="CG1760" s="201">
        <v>2220</v>
      </c>
      <c r="CH1760" s="22">
        <f t="shared" si="313"/>
        <v>2220</v>
      </c>
      <c r="CI1760" s="3">
        <f t="shared" si="314"/>
        <v>0</v>
      </c>
      <c r="CJ1760" s="17">
        <f t="shared" si="315"/>
        <v>521</v>
      </c>
      <c r="CK1760" s="3" t="str">
        <f t="shared" si="316"/>
        <v>خدمة عامة</v>
      </c>
    </row>
    <row r="1761" spans="1:89" s="201" customFormat="1" x14ac:dyDescent="0.25">
      <c r="A1761" s="202"/>
      <c r="B1761" s="203"/>
      <c r="C1761" s="203"/>
      <c r="D1761" s="203"/>
      <c r="E1761" s="203">
        <v>522</v>
      </c>
      <c r="F1761" s="201" t="s">
        <v>249</v>
      </c>
      <c r="G1761" s="201" t="s">
        <v>5108</v>
      </c>
      <c r="AS1761" s="201">
        <v>8270</v>
      </c>
      <c r="AU1761" s="22">
        <f t="shared" si="317"/>
        <v>8270</v>
      </c>
      <c r="CG1761" s="201">
        <v>8270</v>
      </c>
      <c r="CH1761" s="22">
        <f t="shared" si="313"/>
        <v>8270</v>
      </c>
      <c r="CI1761" s="3">
        <f t="shared" si="314"/>
        <v>0</v>
      </c>
      <c r="CJ1761" s="17">
        <f t="shared" si="315"/>
        <v>522</v>
      </c>
      <c r="CK1761" s="3" t="str">
        <f t="shared" si="316"/>
        <v>خدمة عامة</v>
      </c>
    </row>
    <row r="1762" spans="1:89" s="201" customFormat="1" x14ac:dyDescent="0.25">
      <c r="A1762" s="202"/>
      <c r="B1762" s="203"/>
      <c r="C1762" s="203"/>
      <c r="D1762" s="203"/>
      <c r="E1762" s="203">
        <v>523</v>
      </c>
      <c r="F1762" s="201" t="s">
        <v>249</v>
      </c>
      <c r="G1762" s="201" t="s">
        <v>5109</v>
      </c>
      <c r="AS1762" s="201">
        <v>5685</v>
      </c>
      <c r="AU1762" s="22">
        <f t="shared" si="317"/>
        <v>5685</v>
      </c>
      <c r="CG1762" s="201">
        <v>5685</v>
      </c>
      <c r="CH1762" s="22">
        <f t="shared" si="313"/>
        <v>5685</v>
      </c>
      <c r="CI1762" s="3">
        <f t="shared" si="314"/>
        <v>0</v>
      </c>
      <c r="CJ1762" s="17">
        <f t="shared" si="315"/>
        <v>523</v>
      </c>
      <c r="CK1762" s="3" t="str">
        <f t="shared" si="316"/>
        <v>خدمة عامة</v>
      </c>
    </row>
    <row r="1763" spans="1:89" s="201" customFormat="1" x14ac:dyDescent="0.25">
      <c r="A1763" s="202"/>
      <c r="B1763" s="203"/>
      <c r="C1763" s="203"/>
      <c r="D1763" s="203"/>
      <c r="E1763" s="203">
        <v>524</v>
      </c>
      <c r="F1763" s="201" t="s">
        <v>249</v>
      </c>
      <c r="G1763" s="201" t="s">
        <v>5110</v>
      </c>
      <c r="AS1763" s="201">
        <v>940</v>
      </c>
      <c r="AU1763" s="22">
        <f t="shared" si="317"/>
        <v>940</v>
      </c>
      <c r="CG1763" s="201">
        <v>940</v>
      </c>
      <c r="CH1763" s="22">
        <f t="shared" si="313"/>
        <v>940</v>
      </c>
      <c r="CI1763" s="3">
        <f t="shared" si="314"/>
        <v>0</v>
      </c>
      <c r="CJ1763" s="17">
        <f t="shared" si="315"/>
        <v>524</v>
      </c>
      <c r="CK1763" s="3" t="str">
        <f t="shared" si="316"/>
        <v>خدمة عامة</v>
      </c>
    </row>
    <row r="1764" spans="1:89" s="201" customFormat="1" x14ac:dyDescent="0.25">
      <c r="A1764" s="202"/>
      <c r="B1764" s="203"/>
      <c r="C1764" s="203"/>
      <c r="D1764" s="203"/>
      <c r="E1764" s="203">
        <v>525</v>
      </c>
      <c r="F1764" s="201" t="s">
        <v>249</v>
      </c>
      <c r="G1764" s="201" t="s">
        <v>5111</v>
      </c>
      <c r="AS1764" s="201">
        <v>5220</v>
      </c>
      <c r="AU1764" s="22">
        <f t="shared" si="317"/>
        <v>5220</v>
      </c>
      <c r="CG1764" s="201">
        <v>5220</v>
      </c>
      <c r="CH1764" s="22">
        <f t="shared" si="313"/>
        <v>5220</v>
      </c>
      <c r="CI1764" s="3">
        <f t="shared" si="314"/>
        <v>0</v>
      </c>
      <c r="CJ1764" s="17">
        <f t="shared" si="315"/>
        <v>525</v>
      </c>
      <c r="CK1764" s="3" t="str">
        <f t="shared" si="316"/>
        <v>خدمة عامة</v>
      </c>
    </row>
    <row r="1765" spans="1:89" s="201" customFormat="1" x14ac:dyDescent="0.25">
      <c r="A1765" s="202"/>
      <c r="B1765" s="203"/>
      <c r="C1765" s="203"/>
      <c r="D1765" s="203"/>
      <c r="E1765" s="203">
        <v>526</v>
      </c>
      <c r="F1765" s="201" t="s">
        <v>249</v>
      </c>
      <c r="G1765" s="201" t="s">
        <v>5112</v>
      </c>
      <c r="AS1765" s="201">
        <v>4200</v>
      </c>
      <c r="AU1765" s="22">
        <f t="shared" si="317"/>
        <v>4200</v>
      </c>
      <c r="CG1765" s="201">
        <v>4200</v>
      </c>
      <c r="CH1765" s="22">
        <f t="shared" si="313"/>
        <v>4200</v>
      </c>
      <c r="CI1765" s="3">
        <f t="shared" si="314"/>
        <v>0</v>
      </c>
      <c r="CJ1765" s="17">
        <f t="shared" si="315"/>
        <v>526</v>
      </c>
      <c r="CK1765" s="3" t="str">
        <f t="shared" si="316"/>
        <v>خدمة عامة</v>
      </c>
    </row>
    <row r="1766" spans="1:89" s="201" customFormat="1" x14ac:dyDescent="0.25">
      <c r="A1766" s="202"/>
      <c r="B1766" s="203"/>
      <c r="C1766" s="203"/>
      <c r="D1766" s="203"/>
      <c r="E1766" s="203">
        <v>527</v>
      </c>
      <c r="F1766" s="201" t="s">
        <v>249</v>
      </c>
      <c r="G1766" s="201" t="s">
        <v>5113</v>
      </c>
      <c r="AS1766" s="201">
        <v>11665</v>
      </c>
      <c r="AU1766" s="22">
        <f t="shared" si="317"/>
        <v>11665</v>
      </c>
      <c r="CG1766" s="201">
        <v>11665</v>
      </c>
      <c r="CH1766" s="22">
        <f t="shared" si="313"/>
        <v>11665</v>
      </c>
      <c r="CI1766" s="3">
        <f t="shared" si="314"/>
        <v>0</v>
      </c>
      <c r="CJ1766" s="17">
        <f t="shared" si="315"/>
        <v>527</v>
      </c>
      <c r="CK1766" s="3" t="str">
        <f t="shared" si="316"/>
        <v>خدمة عامة</v>
      </c>
    </row>
    <row r="1767" spans="1:89" s="201" customFormat="1" x14ac:dyDescent="0.25">
      <c r="A1767" s="202"/>
      <c r="B1767" s="203"/>
      <c r="C1767" s="203"/>
      <c r="D1767" s="203"/>
      <c r="E1767" s="203">
        <v>528</v>
      </c>
      <c r="F1767" s="201" t="s">
        <v>249</v>
      </c>
      <c r="G1767" s="201" t="s">
        <v>5114</v>
      </c>
      <c r="AS1767" s="201">
        <v>7175</v>
      </c>
      <c r="AU1767" s="22">
        <f t="shared" si="317"/>
        <v>7175</v>
      </c>
      <c r="CG1767" s="201">
        <v>7175</v>
      </c>
      <c r="CH1767" s="22">
        <f t="shared" ref="CH1767:CH1787" si="318">SUM(AV1767:CG1767)</f>
        <v>7175</v>
      </c>
      <c r="CI1767" s="3">
        <f t="shared" ref="CI1767:CI1787" si="319">+CH1767-AU1767</f>
        <v>0</v>
      </c>
      <c r="CJ1767" s="17">
        <f t="shared" ref="CJ1767:CJ1787" si="320">+E1767</f>
        <v>528</v>
      </c>
      <c r="CK1767" s="3" t="str">
        <f t="shared" ref="CK1767:CK1787" si="321">+F1767</f>
        <v>خدمة عامة</v>
      </c>
    </row>
    <row r="1768" spans="1:89" s="201" customFormat="1" x14ac:dyDescent="0.25">
      <c r="A1768" s="202"/>
      <c r="B1768" s="203"/>
      <c r="C1768" s="203"/>
      <c r="D1768" s="203"/>
      <c r="E1768" s="203">
        <v>529</v>
      </c>
      <c r="F1768" s="201" t="s">
        <v>122</v>
      </c>
      <c r="G1768" s="201" t="s">
        <v>5117</v>
      </c>
      <c r="AS1768" s="201">
        <v>250</v>
      </c>
      <c r="AU1768" s="22">
        <f t="shared" si="317"/>
        <v>250</v>
      </c>
      <c r="CG1768" s="201">
        <v>250</v>
      </c>
      <c r="CH1768" s="22">
        <f t="shared" si="318"/>
        <v>250</v>
      </c>
      <c r="CI1768" s="3">
        <f t="shared" si="319"/>
        <v>0</v>
      </c>
      <c r="CJ1768" s="17">
        <f t="shared" si="320"/>
        <v>529</v>
      </c>
      <c r="CK1768" s="3" t="str">
        <f t="shared" si="321"/>
        <v>علاج تخصصى</v>
      </c>
    </row>
    <row r="1769" spans="1:89" s="201" customFormat="1" x14ac:dyDescent="0.25">
      <c r="A1769" s="202"/>
      <c r="B1769" s="203"/>
      <c r="C1769" s="203"/>
      <c r="D1769" s="203"/>
      <c r="E1769" s="203">
        <v>530</v>
      </c>
      <c r="F1769" s="201" t="s">
        <v>122</v>
      </c>
      <c r="G1769" s="201" t="s">
        <v>5118</v>
      </c>
      <c r="AS1769" s="201">
        <v>200</v>
      </c>
      <c r="AU1769" s="22">
        <f t="shared" si="317"/>
        <v>200</v>
      </c>
      <c r="CG1769" s="201">
        <v>200</v>
      </c>
      <c r="CH1769" s="22">
        <f t="shared" si="318"/>
        <v>200</v>
      </c>
      <c r="CI1769" s="3">
        <f t="shared" si="319"/>
        <v>0</v>
      </c>
      <c r="CJ1769" s="17">
        <f t="shared" si="320"/>
        <v>530</v>
      </c>
      <c r="CK1769" s="3" t="str">
        <f t="shared" si="321"/>
        <v>علاج تخصصى</v>
      </c>
    </row>
    <row r="1770" spans="1:89" s="201" customFormat="1" x14ac:dyDescent="0.25">
      <c r="A1770" s="202"/>
      <c r="B1770" s="203"/>
      <c r="C1770" s="203"/>
      <c r="D1770" s="203"/>
      <c r="E1770" s="203">
        <v>531</v>
      </c>
      <c r="F1770" s="201" t="s">
        <v>122</v>
      </c>
      <c r="G1770" s="201" t="s">
        <v>5119</v>
      </c>
      <c r="AS1770" s="201">
        <v>350</v>
      </c>
      <c r="AU1770" s="22">
        <f t="shared" si="317"/>
        <v>350</v>
      </c>
      <c r="CG1770" s="201">
        <v>350</v>
      </c>
      <c r="CH1770" s="22">
        <f t="shared" si="318"/>
        <v>350</v>
      </c>
      <c r="CI1770" s="3">
        <f t="shared" si="319"/>
        <v>0</v>
      </c>
      <c r="CJ1770" s="17">
        <f t="shared" si="320"/>
        <v>531</v>
      </c>
      <c r="CK1770" s="3" t="str">
        <f t="shared" si="321"/>
        <v>علاج تخصصى</v>
      </c>
    </row>
    <row r="1771" spans="1:89" s="201" customFormat="1" x14ac:dyDescent="0.25">
      <c r="A1771" s="202"/>
      <c r="B1771" s="203"/>
      <c r="C1771" s="203"/>
      <c r="D1771" s="203"/>
      <c r="E1771" s="203">
        <v>532</v>
      </c>
      <c r="F1771" s="201" t="s">
        <v>122</v>
      </c>
      <c r="G1771" s="201" t="s">
        <v>5120</v>
      </c>
      <c r="AS1771" s="201">
        <v>150</v>
      </c>
      <c r="AU1771" s="22">
        <f t="shared" si="317"/>
        <v>150</v>
      </c>
      <c r="CG1771" s="201">
        <v>150</v>
      </c>
      <c r="CH1771" s="22">
        <f t="shared" si="318"/>
        <v>150</v>
      </c>
      <c r="CI1771" s="3">
        <f t="shared" si="319"/>
        <v>0</v>
      </c>
      <c r="CJ1771" s="17">
        <f t="shared" si="320"/>
        <v>532</v>
      </c>
      <c r="CK1771" s="3" t="str">
        <f t="shared" si="321"/>
        <v>علاج تخصصى</v>
      </c>
    </row>
    <row r="1772" spans="1:89" s="201" customFormat="1" x14ac:dyDescent="0.25">
      <c r="A1772" s="202"/>
      <c r="B1772" s="203"/>
      <c r="C1772" s="203"/>
      <c r="D1772" s="203"/>
      <c r="E1772" s="203">
        <v>533</v>
      </c>
      <c r="F1772" s="201" t="s">
        <v>122</v>
      </c>
      <c r="G1772" s="201" t="s">
        <v>5121</v>
      </c>
      <c r="AS1772" s="201">
        <v>50</v>
      </c>
      <c r="AU1772" s="22">
        <f t="shared" si="317"/>
        <v>50</v>
      </c>
      <c r="CG1772" s="201">
        <v>50</v>
      </c>
      <c r="CH1772" s="22">
        <f t="shared" si="318"/>
        <v>50</v>
      </c>
      <c r="CI1772" s="3">
        <f t="shared" si="319"/>
        <v>0</v>
      </c>
      <c r="CJ1772" s="17">
        <f t="shared" si="320"/>
        <v>533</v>
      </c>
      <c r="CK1772" s="3" t="str">
        <f t="shared" si="321"/>
        <v>علاج تخصصى</v>
      </c>
    </row>
    <row r="1773" spans="1:89" s="201" customFormat="1" x14ac:dyDescent="0.25">
      <c r="A1773" s="202"/>
      <c r="B1773" s="203"/>
      <c r="C1773" s="203"/>
      <c r="D1773" s="203"/>
      <c r="E1773" s="203">
        <v>534</v>
      </c>
      <c r="F1773" s="201" t="s">
        <v>122</v>
      </c>
      <c r="G1773" s="201" t="s">
        <v>5122</v>
      </c>
      <c r="AS1773" s="201">
        <v>50</v>
      </c>
      <c r="AU1773" s="22">
        <f t="shared" si="286"/>
        <v>50</v>
      </c>
      <c r="CG1773" s="201">
        <v>50</v>
      </c>
      <c r="CH1773" s="22">
        <f t="shared" si="318"/>
        <v>50</v>
      </c>
      <c r="CI1773" s="3">
        <f t="shared" si="319"/>
        <v>0</v>
      </c>
      <c r="CJ1773" s="17">
        <f t="shared" si="320"/>
        <v>534</v>
      </c>
      <c r="CK1773" s="3" t="str">
        <f t="shared" si="321"/>
        <v>علاج تخصصى</v>
      </c>
    </row>
    <row r="1774" spans="1:89" s="201" customFormat="1" x14ac:dyDescent="0.25">
      <c r="A1774" s="202"/>
      <c r="B1774" s="203"/>
      <c r="C1774" s="203"/>
      <c r="D1774" s="203"/>
      <c r="E1774" s="203">
        <v>535</v>
      </c>
      <c r="F1774" s="201" t="s">
        <v>122</v>
      </c>
      <c r="G1774" s="201" t="s">
        <v>5123</v>
      </c>
      <c r="AS1774" s="201">
        <v>400</v>
      </c>
      <c r="AU1774" s="22">
        <f t="shared" si="286"/>
        <v>400</v>
      </c>
      <c r="CG1774" s="201">
        <v>400</v>
      </c>
      <c r="CH1774" s="22">
        <f t="shared" si="318"/>
        <v>400</v>
      </c>
      <c r="CI1774" s="3">
        <f t="shared" si="319"/>
        <v>0</v>
      </c>
      <c r="CJ1774" s="17">
        <f t="shared" si="320"/>
        <v>535</v>
      </c>
      <c r="CK1774" s="3" t="str">
        <f t="shared" si="321"/>
        <v>علاج تخصصى</v>
      </c>
    </row>
    <row r="1775" spans="1:89" s="201" customFormat="1" x14ac:dyDescent="0.25">
      <c r="A1775" s="202"/>
      <c r="B1775" s="203"/>
      <c r="C1775" s="203"/>
      <c r="D1775" s="203"/>
      <c r="E1775" s="203">
        <v>536</v>
      </c>
      <c r="F1775" s="201" t="s">
        <v>122</v>
      </c>
      <c r="G1775" s="201" t="s">
        <v>5124</v>
      </c>
      <c r="AS1775" s="201">
        <v>250</v>
      </c>
      <c r="AU1775" s="22">
        <f t="shared" si="286"/>
        <v>250</v>
      </c>
      <c r="CG1775" s="201">
        <v>250</v>
      </c>
      <c r="CH1775" s="22">
        <f t="shared" si="318"/>
        <v>250</v>
      </c>
      <c r="CI1775" s="3">
        <f t="shared" si="319"/>
        <v>0</v>
      </c>
      <c r="CJ1775" s="17">
        <f t="shared" si="320"/>
        <v>536</v>
      </c>
      <c r="CK1775" s="3" t="str">
        <f t="shared" si="321"/>
        <v>علاج تخصصى</v>
      </c>
    </row>
    <row r="1776" spans="1:89" s="201" customFormat="1" x14ac:dyDescent="0.25">
      <c r="A1776" s="202"/>
      <c r="B1776" s="203"/>
      <c r="C1776" s="203"/>
      <c r="D1776" s="203"/>
      <c r="E1776" s="203">
        <v>537</v>
      </c>
      <c r="F1776" s="201" t="s">
        <v>122</v>
      </c>
      <c r="G1776" s="201" t="s">
        <v>5125</v>
      </c>
      <c r="AS1776" s="201">
        <v>350</v>
      </c>
      <c r="AU1776" s="22">
        <f t="shared" si="286"/>
        <v>350</v>
      </c>
      <c r="CG1776" s="201">
        <v>350</v>
      </c>
      <c r="CH1776" s="22">
        <f t="shared" si="318"/>
        <v>350</v>
      </c>
      <c r="CI1776" s="3">
        <f t="shared" si="319"/>
        <v>0</v>
      </c>
      <c r="CJ1776" s="17">
        <f t="shared" si="320"/>
        <v>537</v>
      </c>
      <c r="CK1776" s="3" t="str">
        <f t="shared" si="321"/>
        <v>علاج تخصصى</v>
      </c>
    </row>
    <row r="1777" spans="1:89" s="201" customFormat="1" x14ac:dyDescent="0.25">
      <c r="A1777" s="202"/>
      <c r="B1777" s="203"/>
      <c r="C1777" s="203"/>
      <c r="D1777" s="203"/>
      <c r="E1777" s="203">
        <v>538</v>
      </c>
      <c r="F1777" s="201" t="s">
        <v>122</v>
      </c>
      <c r="G1777" s="201" t="s">
        <v>5126</v>
      </c>
      <c r="AQ1777" s="201">
        <v>1800</v>
      </c>
      <c r="AU1777" s="22">
        <f t="shared" si="286"/>
        <v>1800</v>
      </c>
      <c r="CF1777" s="201">
        <v>1800</v>
      </c>
      <c r="CH1777" s="22">
        <f t="shared" si="318"/>
        <v>1800</v>
      </c>
      <c r="CI1777" s="3">
        <f t="shared" si="319"/>
        <v>0</v>
      </c>
      <c r="CJ1777" s="17">
        <f t="shared" si="320"/>
        <v>538</v>
      </c>
      <c r="CK1777" s="3" t="str">
        <f t="shared" si="321"/>
        <v>علاج تخصصى</v>
      </c>
    </row>
    <row r="1778" spans="1:89" x14ac:dyDescent="0.25">
      <c r="E1778" s="203">
        <v>539</v>
      </c>
      <c r="F1778" s="201" t="s">
        <v>122</v>
      </c>
      <c r="G1778" s="3" t="s">
        <v>5127</v>
      </c>
      <c r="L1778" s="3">
        <v>270</v>
      </c>
      <c r="AQ1778" s="3">
        <v>1050</v>
      </c>
      <c r="AT1778" s="201"/>
      <c r="AU1778" s="22">
        <f t="shared" si="286"/>
        <v>1320</v>
      </c>
      <c r="CD1778" s="3">
        <v>270</v>
      </c>
      <c r="CF1778" s="3">
        <v>1050</v>
      </c>
      <c r="CH1778" s="22">
        <f t="shared" si="318"/>
        <v>1320</v>
      </c>
      <c r="CI1778" s="3">
        <f t="shared" si="319"/>
        <v>0</v>
      </c>
      <c r="CJ1778" s="17">
        <f t="shared" si="320"/>
        <v>539</v>
      </c>
      <c r="CK1778" s="3" t="str">
        <f t="shared" si="321"/>
        <v>علاج تخصصى</v>
      </c>
    </row>
    <row r="1779" spans="1:89" x14ac:dyDescent="0.25">
      <c r="E1779" s="17">
        <v>540</v>
      </c>
      <c r="F1779" s="3" t="s">
        <v>249</v>
      </c>
      <c r="G1779" s="3" t="s">
        <v>5127</v>
      </c>
      <c r="L1779" s="3">
        <v>10621.5</v>
      </c>
      <c r="AQ1779" s="3">
        <v>68750</v>
      </c>
      <c r="AT1779" s="201"/>
      <c r="AU1779" s="22">
        <f t="shared" si="286"/>
        <v>79371.5</v>
      </c>
      <c r="CD1779" s="3">
        <v>10621.5</v>
      </c>
      <c r="CF1779" s="3">
        <v>54245</v>
      </c>
      <c r="CG1779" s="201">
        <v>14505</v>
      </c>
      <c r="CH1779" s="22">
        <f t="shared" si="318"/>
        <v>79371.5</v>
      </c>
      <c r="CI1779" s="3">
        <f t="shared" si="319"/>
        <v>0</v>
      </c>
      <c r="CJ1779" s="17">
        <f t="shared" si="320"/>
        <v>540</v>
      </c>
      <c r="CK1779" s="3" t="str">
        <f t="shared" si="321"/>
        <v>خدمة عامة</v>
      </c>
    </row>
    <row r="1780" spans="1:89" x14ac:dyDescent="0.25">
      <c r="E1780" s="219">
        <v>541</v>
      </c>
      <c r="G1780" s="3" t="s">
        <v>5128</v>
      </c>
      <c r="AL1780" s="3">
        <v>13500</v>
      </c>
      <c r="AT1780" s="201"/>
      <c r="AU1780" s="22">
        <f t="shared" si="286"/>
        <v>13500</v>
      </c>
      <c r="BY1780" s="3">
        <v>13500</v>
      </c>
      <c r="CH1780" s="22">
        <f t="shared" si="318"/>
        <v>13500</v>
      </c>
      <c r="CI1780" s="3">
        <f t="shared" si="319"/>
        <v>0</v>
      </c>
      <c r="CJ1780" s="17">
        <f t="shared" si="320"/>
        <v>541</v>
      </c>
      <c r="CK1780" s="3">
        <f t="shared" si="321"/>
        <v>0</v>
      </c>
    </row>
    <row r="1781" spans="1:89" x14ac:dyDescent="0.25">
      <c r="E1781" s="219">
        <v>542</v>
      </c>
      <c r="G1781" s="3" t="s">
        <v>5129</v>
      </c>
      <c r="AL1781" s="3">
        <v>13662</v>
      </c>
      <c r="AT1781" s="201"/>
      <c r="AU1781" s="22">
        <f t="shared" si="286"/>
        <v>13662</v>
      </c>
      <c r="BY1781" s="3">
        <v>13662</v>
      </c>
      <c r="CH1781" s="22">
        <f t="shared" si="318"/>
        <v>13662</v>
      </c>
      <c r="CI1781" s="3">
        <f t="shared" si="319"/>
        <v>0</v>
      </c>
      <c r="CJ1781" s="17">
        <f t="shared" si="320"/>
        <v>542</v>
      </c>
      <c r="CK1781" s="3">
        <f t="shared" si="321"/>
        <v>0</v>
      </c>
    </row>
    <row r="1782" spans="1:89" x14ac:dyDescent="0.25">
      <c r="E1782" s="219">
        <v>543</v>
      </c>
      <c r="G1782" s="3" t="s">
        <v>5130</v>
      </c>
      <c r="AL1782" s="3">
        <v>5450</v>
      </c>
      <c r="AT1782" s="201"/>
      <c r="AU1782" s="22">
        <f t="shared" si="286"/>
        <v>5450</v>
      </c>
      <c r="BY1782" s="3">
        <v>5450</v>
      </c>
      <c r="CH1782" s="22">
        <f t="shared" si="318"/>
        <v>5450</v>
      </c>
      <c r="CI1782" s="3">
        <f t="shared" si="319"/>
        <v>0</v>
      </c>
      <c r="CJ1782" s="17">
        <f t="shared" si="320"/>
        <v>543</v>
      </c>
      <c r="CK1782" s="3">
        <f t="shared" si="321"/>
        <v>0</v>
      </c>
    </row>
    <row r="1783" spans="1:89" x14ac:dyDescent="0.25">
      <c r="E1783" s="219">
        <v>544</v>
      </c>
      <c r="G1783" s="3" t="s">
        <v>5131</v>
      </c>
      <c r="AK1783" s="3">
        <v>30000</v>
      </c>
      <c r="AT1783" s="201"/>
      <c r="AU1783" s="22">
        <f t="shared" si="286"/>
        <v>30000</v>
      </c>
      <c r="BX1783" s="3">
        <v>30000</v>
      </c>
      <c r="CH1783" s="22">
        <f t="shared" si="318"/>
        <v>30000</v>
      </c>
      <c r="CI1783" s="3">
        <f t="shared" si="319"/>
        <v>0</v>
      </c>
      <c r="CJ1783" s="17">
        <f t="shared" si="320"/>
        <v>544</v>
      </c>
      <c r="CK1783" s="3">
        <f t="shared" si="321"/>
        <v>0</v>
      </c>
    </row>
    <row r="1784" spans="1:89" x14ac:dyDescent="0.25">
      <c r="E1784" s="219">
        <v>545</v>
      </c>
      <c r="G1784" s="3" t="s">
        <v>1157</v>
      </c>
      <c r="AK1784" s="3">
        <v>12420</v>
      </c>
      <c r="AT1784" s="201"/>
      <c r="AU1784" s="22">
        <f t="shared" si="286"/>
        <v>12420</v>
      </c>
      <c r="BX1784" s="3">
        <v>12420</v>
      </c>
      <c r="CH1784" s="22">
        <f t="shared" si="318"/>
        <v>12420</v>
      </c>
      <c r="CI1784" s="3">
        <f t="shared" si="319"/>
        <v>0</v>
      </c>
      <c r="CJ1784" s="17">
        <f t="shared" si="320"/>
        <v>545</v>
      </c>
      <c r="CK1784" s="3">
        <f t="shared" si="321"/>
        <v>0</v>
      </c>
    </row>
    <row r="1785" spans="1:89" x14ac:dyDescent="0.25">
      <c r="E1785" s="219">
        <v>546</v>
      </c>
      <c r="G1785" s="3" t="s">
        <v>5132</v>
      </c>
      <c r="AK1785" s="3">
        <v>30000</v>
      </c>
      <c r="AT1785" s="201"/>
      <c r="AU1785" s="22">
        <f t="shared" si="286"/>
        <v>30000</v>
      </c>
      <c r="BX1785" s="3">
        <v>30000</v>
      </c>
      <c r="CH1785" s="22">
        <f t="shared" si="318"/>
        <v>30000</v>
      </c>
      <c r="CI1785" s="3">
        <f t="shared" si="319"/>
        <v>0</v>
      </c>
      <c r="CJ1785" s="17">
        <f t="shared" si="320"/>
        <v>546</v>
      </c>
      <c r="CK1785" s="3">
        <f t="shared" si="321"/>
        <v>0</v>
      </c>
    </row>
    <row r="1786" spans="1:89" x14ac:dyDescent="0.25">
      <c r="E1786" s="219">
        <v>547</v>
      </c>
      <c r="G1786" s="3" t="str">
        <f>+G1784</f>
        <v>خطاب ضمان مكتب الاندلس للمقاولات (طب )</v>
      </c>
      <c r="AK1786" s="3">
        <v>27000</v>
      </c>
      <c r="AT1786" s="201"/>
      <c r="AU1786" s="22">
        <f t="shared" si="286"/>
        <v>27000</v>
      </c>
      <c r="BX1786" s="3">
        <v>27000</v>
      </c>
      <c r="CH1786" s="22">
        <f t="shared" si="318"/>
        <v>27000</v>
      </c>
      <c r="CI1786" s="3">
        <f t="shared" si="319"/>
        <v>0</v>
      </c>
      <c r="CJ1786" s="17">
        <f t="shared" si="320"/>
        <v>547</v>
      </c>
      <c r="CK1786" s="3">
        <f t="shared" si="321"/>
        <v>0</v>
      </c>
    </row>
    <row r="1787" spans="1:89" x14ac:dyDescent="0.25">
      <c r="E1787" s="219">
        <v>548</v>
      </c>
      <c r="G1787" s="3" t="s">
        <v>5133</v>
      </c>
      <c r="AK1787" s="3">
        <v>30000</v>
      </c>
      <c r="AT1787" s="201"/>
      <c r="AU1787" s="22">
        <f t="shared" si="286"/>
        <v>30000</v>
      </c>
      <c r="BX1787" s="3">
        <v>30000</v>
      </c>
      <c r="CH1787" s="22">
        <f t="shared" si="318"/>
        <v>30000</v>
      </c>
      <c r="CI1787" s="3">
        <f t="shared" si="319"/>
        <v>0</v>
      </c>
      <c r="CJ1787" s="17">
        <f t="shared" si="320"/>
        <v>548</v>
      </c>
      <c r="CK1787" s="3">
        <f t="shared" si="321"/>
        <v>0</v>
      </c>
    </row>
    <row r="1788" spans="1:89" x14ac:dyDescent="0.25">
      <c r="E1788" s="17">
        <v>549</v>
      </c>
      <c r="G1788" s="3" t="s">
        <v>5035</v>
      </c>
      <c r="R1788" s="3">
        <v>16000</v>
      </c>
      <c r="AT1788" s="201"/>
      <c r="AU1788" s="22">
        <f t="shared" si="286"/>
        <v>16000</v>
      </c>
      <c r="BT1788" s="3">
        <v>16000</v>
      </c>
      <c r="CH1788" s="22">
        <f t="shared" ref="CH1788:CH1792" si="322">SUM(AV1788:CG1788)</f>
        <v>16000</v>
      </c>
      <c r="CI1788" s="3">
        <f t="shared" ref="CI1788:CI1792" si="323">+CH1788-AU1788</f>
        <v>0</v>
      </c>
      <c r="CJ1788" s="17">
        <f t="shared" ref="CJ1788:CJ1793" si="324">+E1788</f>
        <v>549</v>
      </c>
      <c r="CK1788" s="3">
        <f t="shared" ref="CK1788:CK1793" si="325">+F1788</f>
        <v>0</v>
      </c>
    </row>
    <row r="1789" spans="1:89" x14ac:dyDescent="0.25">
      <c r="E1789" s="17">
        <v>550</v>
      </c>
      <c r="G1789" s="3" t="s">
        <v>5139</v>
      </c>
      <c r="I1789" s="3">
        <v>1026876.94</v>
      </c>
      <c r="AT1789" s="201"/>
      <c r="AU1789" s="22">
        <f t="shared" si="286"/>
        <v>1026876.94</v>
      </c>
      <c r="CG1789" s="201">
        <v>1026876.94</v>
      </c>
      <c r="CH1789" s="22">
        <f t="shared" si="322"/>
        <v>1026876.94</v>
      </c>
      <c r="CI1789" s="3">
        <f t="shared" si="323"/>
        <v>0</v>
      </c>
      <c r="CJ1789" s="17">
        <f t="shared" si="324"/>
        <v>550</v>
      </c>
      <c r="CK1789" s="3">
        <f t="shared" si="325"/>
        <v>0</v>
      </c>
    </row>
    <row r="1790" spans="1:89" x14ac:dyDescent="0.25">
      <c r="E1790" s="17">
        <v>551</v>
      </c>
      <c r="F1790" s="3" t="s">
        <v>122</v>
      </c>
      <c r="G1790" s="3" t="s">
        <v>5140</v>
      </c>
      <c r="AS1790" s="3">
        <v>200</v>
      </c>
      <c r="AT1790" s="201"/>
      <c r="AU1790" s="22">
        <f t="shared" ref="AU1790:AU1793" si="326">SUM(I1790:AS1790)</f>
        <v>200</v>
      </c>
      <c r="CG1790" s="201">
        <v>200</v>
      </c>
      <c r="CH1790" s="22">
        <f t="shared" si="322"/>
        <v>200</v>
      </c>
      <c r="CI1790" s="3">
        <f t="shared" si="323"/>
        <v>0</v>
      </c>
      <c r="CJ1790" s="17">
        <f t="shared" si="324"/>
        <v>551</v>
      </c>
      <c r="CK1790" s="3" t="str">
        <f t="shared" si="325"/>
        <v>علاج تخصصى</v>
      </c>
    </row>
    <row r="1791" spans="1:89" x14ac:dyDescent="0.25">
      <c r="E1791" s="17">
        <v>552</v>
      </c>
      <c r="F1791" s="3" t="s">
        <v>249</v>
      </c>
      <c r="G1791" s="3" t="s">
        <v>5141</v>
      </c>
      <c r="AS1791" s="3">
        <v>8765</v>
      </c>
      <c r="AT1791" s="201"/>
      <c r="AU1791" s="22">
        <f t="shared" si="326"/>
        <v>8765</v>
      </c>
      <c r="CG1791" s="201">
        <v>8765</v>
      </c>
      <c r="CH1791" s="22">
        <f t="shared" si="322"/>
        <v>8765</v>
      </c>
      <c r="CI1791" s="3">
        <f t="shared" si="323"/>
        <v>0</v>
      </c>
      <c r="CJ1791" s="17">
        <f t="shared" si="324"/>
        <v>552</v>
      </c>
      <c r="CK1791" s="3" t="str">
        <f t="shared" si="325"/>
        <v>خدمة عامة</v>
      </c>
    </row>
    <row r="1792" spans="1:89" x14ac:dyDescent="0.25">
      <c r="E1792" s="17">
        <v>553</v>
      </c>
      <c r="G1792" s="3" t="s">
        <v>5037</v>
      </c>
      <c r="R1792" s="3">
        <v>16000</v>
      </c>
      <c r="AT1792" s="201"/>
      <c r="AU1792" s="22">
        <f t="shared" si="326"/>
        <v>16000</v>
      </c>
      <c r="BT1792" s="3">
        <v>16000</v>
      </c>
      <c r="CH1792" s="22">
        <f t="shared" si="322"/>
        <v>16000</v>
      </c>
      <c r="CI1792" s="3">
        <f t="shared" si="323"/>
        <v>0</v>
      </c>
      <c r="CJ1792" s="17">
        <f t="shared" si="324"/>
        <v>553</v>
      </c>
      <c r="CK1792" s="3">
        <f t="shared" si="325"/>
        <v>0</v>
      </c>
    </row>
    <row r="1793" spans="1:90" x14ac:dyDescent="0.25">
      <c r="E1793" s="17">
        <v>554</v>
      </c>
      <c r="G1793" s="3" t="s">
        <v>5142</v>
      </c>
      <c r="AD1793" s="3">
        <v>1938</v>
      </c>
      <c r="AT1793" s="201"/>
      <c r="AU1793" s="22">
        <f t="shared" si="326"/>
        <v>1938</v>
      </c>
      <c r="BU1793" s="3">
        <v>1938</v>
      </c>
      <c r="CH1793" s="22">
        <f t="shared" ref="CH1793" si="327">SUM(AV1793:CG1793)</f>
        <v>1938</v>
      </c>
      <c r="CI1793" s="3">
        <f t="shared" ref="CI1793" si="328">+CH1793-AU1793</f>
        <v>0</v>
      </c>
      <c r="CJ1793" s="17">
        <f t="shared" si="324"/>
        <v>554</v>
      </c>
      <c r="CK1793" s="3">
        <f t="shared" si="325"/>
        <v>0</v>
      </c>
    </row>
    <row r="1794" spans="1:90" s="29" customFormat="1" x14ac:dyDescent="0.25">
      <c r="A1794" s="27"/>
      <c r="B1794" s="28"/>
      <c r="C1794" s="28"/>
      <c r="D1794" s="28"/>
      <c r="E1794" s="28"/>
      <c r="G1794" s="29" t="s">
        <v>5134</v>
      </c>
      <c r="I1794" s="29">
        <f>SUM(I1757:I1793)</f>
        <v>1026876.94</v>
      </c>
      <c r="J1794" s="29">
        <f t="shared" ref="J1794:BV1794" si="329">SUM(J1757:J1793)</f>
        <v>0</v>
      </c>
      <c r="K1794" s="29">
        <f t="shared" si="329"/>
        <v>0</v>
      </c>
      <c r="L1794" s="29">
        <f t="shared" si="329"/>
        <v>10891.5</v>
      </c>
      <c r="M1794" s="29">
        <f t="shared" si="329"/>
        <v>0</v>
      </c>
      <c r="N1794" s="29">
        <f t="shared" si="329"/>
        <v>0</v>
      </c>
      <c r="O1794" s="29">
        <f t="shared" si="329"/>
        <v>0</v>
      </c>
      <c r="P1794" s="29">
        <f t="shared" si="329"/>
        <v>0</v>
      </c>
      <c r="Q1794" s="29">
        <f t="shared" si="329"/>
        <v>0</v>
      </c>
      <c r="R1794" s="29">
        <f t="shared" si="329"/>
        <v>32000</v>
      </c>
      <c r="S1794" s="29">
        <f t="shared" si="329"/>
        <v>0</v>
      </c>
      <c r="T1794" s="29">
        <f t="shared" si="329"/>
        <v>0</v>
      </c>
      <c r="U1794" s="29">
        <f t="shared" si="329"/>
        <v>0</v>
      </c>
      <c r="V1794" s="29">
        <f t="shared" si="329"/>
        <v>0</v>
      </c>
      <c r="W1794" s="29">
        <f t="shared" si="329"/>
        <v>0</v>
      </c>
      <c r="X1794" s="29">
        <f t="shared" si="329"/>
        <v>0</v>
      </c>
      <c r="Y1794" s="29">
        <f t="shared" si="329"/>
        <v>0</v>
      </c>
      <c r="Z1794" s="29">
        <f t="shared" si="329"/>
        <v>0</v>
      </c>
      <c r="AA1794" s="29">
        <f t="shared" si="329"/>
        <v>0</v>
      </c>
      <c r="AB1794" s="29">
        <f t="shared" si="329"/>
        <v>0</v>
      </c>
      <c r="AC1794" s="29">
        <f t="shared" si="329"/>
        <v>0</v>
      </c>
      <c r="AD1794" s="29">
        <f t="shared" si="329"/>
        <v>1938</v>
      </c>
      <c r="AE1794" s="29">
        <f t="shared" si="329"/>
        <v>0</v>
      </c>
      <c r="AF1794" s="29">
        <f t="shared" si="329"/>
        <v>0</v>
      </c>
      <c r="AG1794" s="29">
        <f t="shared" si="329"/>
        <v>0</v>
      </c>
      <c r="AH1794" s="29">
        <f t="shared" si="329"/>
        <v>0</v>
      </c>
      <c r="AI1794" s="29">
        <f t="shared" si="329"/>
        <v>0</v>
      </c>
      <c r="AJ1794" s="29">
        <f t="shared" si="329"/>
        <v>0</v>
      </c>
      <c r="AK1794" s="29">
        <f t="shared" si="329"/>
        <v>129420</v>
      </c>
      <c r="AL1794" s="29">
        <f t="shared" si="329"/>
        <v>32612</v>
      </c>
      <c r="AM1794" s="29">
        <f t="shared" si="329"/>
        <v>0</v>
      </c>
      <c r="AN1794" s="29">
        <f t="shared" si="329"/>
        <v>0</v>
      </c>
      <c r="AO1794" s="29">
        <f t="shared" si="329"/>
        <v>0</v>
      </c>
      <c r="AP1794" s="29">
        <f t="shared" si="329"/>
        <v>0</v>
      </c>
      <c r="AQ1794" s="29">
        <f t="shared" si="329"/>
        <v>71600</v>
      </c>
      <c r="AR1794" s="29">
        <f t="shared" si="329"/>
        <v>0</v>
      </c>
      <c r="AS1794" s="29">
        <f t="shared" si="329"/>
        <v>75820</v>
      </c>
      <c r="AT1794" s="29">
        <f t="shared" si="329"/>
        <v>0</v>
      </c>
      <c r="AU1794" s="29">
        <f t="shared" si="329"/>
        <v>1381158.44</v>
      </c>
      <c r="AV1794" s="29">
        <f t="shared" si="329"/>
        <v>0</v>
      </c>
      <c r="AW1794" s="29">
        <f t="shared" si="329"/>
        <v>0</v>
      </c>
      <c r="AX1794" s="29">
        <f t="shared" si="329"/>
        <v>0</v>
      </c>
      <c r="AY1794" s="29">
        <f t="shared" si="329"/>
        <v>0</v>
      </c>
      <c r="AZ1794" s="29">
        <f t="shared" si="329"/>
        <v>0</v>
      </c>
      <c r="BA1794" s="29">
        <f t="shared" si="329"/>
        <v>0</v>
      </c>
      <c r="BB1794" s="29">
        <f t="shared" si="329"/>
        <v>0</v>
      </c>
      <c r="BC1794" s="29">
        <f t="shared" si="329"/>
        <v>0</v>
      </c>
      <c r="BD1794" s="29">
        <f t="shared" si="329"/>
        <v>0</v>
      </c>
      <c r="BF1794" s="29">
        <f t="shared" si="329"/>
        <v>0</v>
      </c>
      <c r="BG1794" s="29">
        <f t="shared" si="329"/>
        <v>0</v>
      </c>
      <c r="BH1794" s="29">
        <f t="shared" si="329"/>
        <v>0</v>
      </c>
      <c r="BI1794" s="29">
        <f t="shared" si="329"/>
        <v>0</v>
      </c>
      <c r="BJ1794" s="29">
        <f t="shared" si="329"/>
        <v>0</v>
      </c>
      <c r="BK1794" s="29">
        <f t="shared" si="329"/>
        <v>0</v>
      </c>
      <c r="BL1794" s="29">
        <f t="shared" si="329"/>
        <v>0</v>
      </c>
      <c r="BM1794" s="29">
        <f t="shared" si="329"/>
        <v>0</v>
      </c>
      <c r="BN1794" s="29">
        <f t="shared" si="329"/>
        <v>0</v>
      </c>
      <c r="BO1794" s="29">
        <f t="shared" si="329"/>
        <v>0</v>
      </c>
      <c r="BP1794" s="29">
        <f t="shared" si="329"/>
        <v>0</v>
      </c>
      <c r="BQ1794" s="29">
        <f t="shared" si="329"/>
        <v>0</v>
      </c>
      <c r="BR1794" s="29">
        <f t="shared" si="329"/>
        <v>0</v>
      </c>
      <c r="BS1794" s="29">
        <f t="shared" si="329"/>
        <v>0</v>
      </c>
      <c r="BT1794" s="29">
        <f t="shared" si="329"/>
        <v>32000</v>
      </c>
      <c r="BU1794" s="29">
        <f t="shared" si="329"/>
        <v>1938</v>
      </c>
      <c r="BV1794" s="29">
        <f t="shared" si="329"/>
        <v>0</v>
      </c>
      <c r="BW1794" s="29">
        <f t="shared" ref="BW1794:CL1794" si="330">SUM(BW1757:BW1793)</f>
        <v>0</v>
      </c>
      <c r="BX1794" s="29">
        <f t="shared" si="330"/>
        <v>129420</v>
      </c>
      <c r="BY1794" s="29">
        <f t="shared" si="330"/>
        <v>32612</v>
      </c>
      <c r="BZ1794" s="29">
        <f t="shared" si="330"/>
        <v>0</v>
      </c>
      <c r="CA1794" s="29">
        <f t="shared" si="330"/>
        <v>0</v>
      </c>
      <c r="CB1794" s="29">
        <f t="shared" si="330"/>
        <v>0</v>
      </c>
      <c r="CC1794" s="29">
        <f t="shared" si="330"/>
        <v>0</v>
      </c>
      <c r="CD1794" s="29">
        <f t="shared" si="330"/>
        <v>10891.5</v>
      </c>
      <c r="CE1794" s="29">
        <f t="shared" si="330"/>
        <v>0</v>
      </c>
      <c r="CF1794" s="29">
        <f t="shared" si="330"/>
        <v>57095</v>
      </c>
      <c r="CG1794" s="29">
        <f t="shared" si="330"/>
        <v>1117201.94</v>
      </c>
      <c r="CH1794" s="29">
        <f t="shared" si="330"/>
        <v>1381158.44</v>
      </c>
      <c r="CI1794" s="29">
        <f t="shared" si="330"/>
        <v>0</v>
      </c>
      <c r="CL1794" s="29">
        <f t="shared" si="330"/>
        <v>0</v>
      </c>
    </row>
    <row r="1795" spans="1:90" x14ac:dyDescent="0.25">
      <c r="E1795" s="17">
        <v>555</v>
      </c>
      <c r="F1795" s="3" t="s">
        <v>1431</v>
      </c>
      <c r="G1795" s="3" t="s">
        <v>3075</v>
      </c>
      <c r="AT1795" s="201"/>
      <c r="AU1795" s="22">
        <f t="shared" ref="AU1795:AU1828" si="331">SUM(I1795:AS1795)</f>
        <v>0</v>
      </c>
      <c r="CH1795" s="22">
        <f t="shared" ref="CH1795:CH1840" si="332">SUM(AV1795:CG1795)</f>
        <v>0</v>
      </c>
      <c r="CI1795" s="3">
        <f t="shared" ref="CI1795:CI1840" si="333">+CH1795-AU1795</f>
        <v>0</v>
      </c>
      <c r="CJ1795" s="17">
        <f t="shared" ref="CJ1795:CJ1840" si="334">+E1795</f>
        <v>555</v>
      </c>
      <c r="CK1795" s="3" t="str">
        <f t="shared" ref="CK1795:CK1840" si="335">+F1795</f>
        <v>لاب فقط</v>
      </c>
    </row>
    <row r="1796" spans="1:90" x14ac:dyDescent="0.25">
      <c r="A1796" s="16" t="s">
        <v>5350</v>
      </c>
      <c r="E1796" s="17">
        <v>556</v>
      </c>
      <c r="G1796" s="3" t="s">
        <v>5348</v>
      </c>
      <c r="L1796" s="3">
        <v>2401114.77</v>
      </c>
      <c r="AG1796" s="3">
        <v>20211626.550000001</v>
      </c>
      <c r="AH1796" s="3">
        <f>16834995.6+16834995.6</f>
        <v>33669991.200000003</v>
      </c>
      <c r="AT1796" s="201"/>
      <c r="AU1796" s="22">
        <f t="shared" si="331"/>
        <v>56282732.520000003</v>
      </c>
      <c r="BB1796" s="3">
        <v>22612741.32</v>
      </c>
      <c r="CG1796" s="201">
        <f>16834995.6+16834995.6</f>
        <v>33669991.200000003</v>
      </c>
      <c r="CH1796" s="22">
        <f t="shared" si="332"/>
        <v>56282732.520000003</v>
      </c>
      <c r="CI1796" s="3">
        <f t="shared" si="333"/>
        <v>0</v>
      </c>
      <c r="CJ1796" s="17">
        <f t="shared" si="334"/>
        <v>556</v>
      </c>
      <c r="CK1796" s="3">
        <f t="shared" si="335"/>
        <v>0</v>
      </c>
    </row>
    <row r="1797" spans="1:90" x14ac:dyDescent="0.25">
      <c r="A1797" s="16" t="s">
        <v>5350</v>
      </c>
      <c r="E1797" s="17">
        <v>557</v>
      </c>
      <c r="G1797" s="3" t="s">
        <v>5349</v>
      </c>
      <c r="AG1797" s="3">
        <v>552419.31000000006</v>
      </c>
      <c r="AJ1797" s="3">
        <f>29736098.47-552419.31</f>
        <v>29183679.16</v>
      </c>
      <c r="AT1797" s="201"/>
      <c r="AU1797" s="22">
        <f t="shared" si="331"/>
        <v>29736098.469999999</v>
      </c>
      <c r="BC1797" s="3">
        <v>29736098.469999999</v>
      </c>
      <c r="CH1797" s="22">
        <f t="shared" si="332"/>
        <v>29736098.469999999</v>
      </c>
      <c r="CI1797" s="3">
        <f t="shared" si="333"/>
        <v>0</v>
      </c>
      <c r="CJ1797" s="17">
        <f t="shared" si="334"/>
        <v>557</v>
      </c>
      <c r="CK1797" s="3">
        <f t="shared" si="335"/>
        <v>0</v>
      </c>
    </row>
    <row r="1798" spans="1:90" x14ac:dyDescent="0.25">
      <c r="A1798" s="16" t="s">
        <v>5350</v>
      </c>
      <c r="E1798" s="17">
        <v>558</v>
      </c>
      <c r="G1798" s="3" t="s">
        <v>5351</v>
      </c>
      <c r="AG1798" s="3">
        <v>2535</v>
      </c>
      <c r="AT1798" s="201"/>
      <c r="AU1798" s="22">
        <f t="shared" si="331"/>
        <v>2535</v>
      </c>
      <c r="BD1798" s="3">
        <v>2535</v>
      </c>
      <c r="CH1798" s="22">
        <f t="shared" si="332"/>
        <v>2535</v>
      </c>
      <c r="CI1798" s="3">
        <f t="shared" si="333"/>
        <v>0</v>
      </c>
      <c r="CJ1798" s="17">
        <f t="shared" si="334"/>
        <v>558</v>
      </c>
      <c r="CK1798" s="3">
        <f t="shared" si="335"/>
        <v>0</v>
      </c>
    </row>
    <row r="1799" spans="1:90" s="29" customFormat="1" x14ac:dyDescent="0.25">
      <c r="A1799" s="27"/>
      <c r="B1799" s="28"/>
      <c r="C1799" s="28"/>
      <c r="D1799" s="28"/>
      <c r="E1799" s="28"/>
      <c r="G1799" s="29" t="s">
        <v>5519</v>
      </c>
      <c r="L1799" s="29">
        <f>SUM(L1795:L1798)</f>
        <v>2401114.77</v>
      </c>
      <c r="M1799" s="29">
        <f t="shared" ref="M1799:BX1799" si="336">SUM(M1795:M1798)</f>
        <v>0</v>
      </c>
      <c r="N1799" s="29">
        <f t="shared" si="336"/>
        <v>0</v>
      </c>
      <c r="O1799" s="29">
        <f t="shared" si="336"/>
        <v>0</v>
      </c>
      <c r="P1799" s="29">
        <f t="shared" si="336"/>
        <v>0</v>
      </c>
      <c r="Q1799" s="29">
        <f t="shared" si="336"/>
        <v>0</v>
      </c>
      <c r="R1799" s="29">
        <f t="shared" si="336"/>
        <v>0</v>
      </c>
      <c r="S1799" s="29">
        <f t="shared" si="336"/>
        <v>0</v>
      </c>
      <c r="T1799" s="29">
        <f t="shared" si="336"/>
        <v>0</v>
      </c>
      <c r="U1799" s="29">
        <f t="shared" si="336"/>
        <v>0</v>
      </c>
      <c r="V1799" s="29">
        <f t="shared" si="336"/>
        <v>0</v>
      </c>
      <c r="W1799" s="29">
        <f t="shared" si="336"/>
        <v>0</v>
      </c>
      <c r="X1799" s="29">
        <f t="shared" si="336"/>
        <v>0</v>
      </c>
      <c r="Y1799" s="29">
        <f t="shared" si="336"/>
        <v>0</v>
      </c>
      <c r="Z1799" s="29">
        <f t="shared" si="336"/>
        <v>0</v>
      </c>
      <c r="AA1799" s="29">
        <f t="shared" si="336"/>
        <v>0</v>
      </c>
      <c r="AB1799" s="29">
        <f t="shared" si="336"/>
        <v>0</v>
      </c>
      <c r="AC1799" s="29">
        <f t="shared" si="336"/>
        <v>0</v>
      </c>
      <c r="AD1799" s="29">
        <f t="shared" si="336"/>
        <v>0</v>
      </c>
      <c r="AE1799" s="29">
        <f t="shared" si="336"/>
        <v>0</v>
      </c>
      <c r="AF1799" s="29">
        <f t="shared" si="336"/>
        <v>0</v>
      </c>
      <c r="AG1799" s="29">
        <f t="shared" si="336"/>
        <v>20766580.859999999</v>
      </c>
      <c r="AH1799" s="29">
        <f t="shared" si="336"/>
        <v>33669991.200000003</v>
      </c>
      <c r="AI1799" s="29">
        <f t="shared" si="336"/>
        <v>0</v>
      </c>
      <c r="AJ1799" s="29">
        <f t="shared" si="336"/>
        <v>29183679.16</v>
      </c>
      <c r="AK1799" s="29">
        <f t="shared" si="336"/>
        <v>0</v>
      </c>
      <c r="AL1799" s="29">
        <f t="shared" si="336"/>
        <v>0</v>
      </c>
      <c r="AM1799" s="29">
        <f t="shared" si="336"/>
        <v>0</v>
      </c>
      <c r="AN1799" s="29">
        <f t="shared" si="336"/>
        <v>0</v>
      </c>
      <c r="AO1799" s="29">
        <f t="shared" si="336"/>
        <v>0</v>
      </c>
      <c r="AP1799" s="29">
        <f t="shared" si="336"/>
        <v>0</v>
      </c>
      <c r="AQ1799" s="29">
        <f t="shared" si="336"/>
        <v>0</v>
      </c>
      <c r="AR1799" s="29">
        <f t="shared" si="336"/>
        <v>0</v>
      </c>
      <c r="AS1799" s="29">
        <f t="shared" si="336"/>
        <v>0</v>
      </c>
      <c r="AT1799" s="29">
        <f t="shared" si="336"/>
        <v>0</v>
      </c>
      <c r="AU1799" s="29">
        <f t="shared" si="336"/>
        <v>86021365.99000001</v>
      </c>
      <c r="AV1799" s="29">
        <f t="shared" si="336"/>
        <v>0</v>
      </c>
      <c r="AW1799" s="29">
        <f t="shared" si="336"/>
        <v>0</v>
      </c>
      <c r="AX1799" s="29">
        <f t="shared" si="336"/>
        <v>0</v>
      </c>
      <c r="AY1799" s="29">
        <f t="shared" si="336"/>
        <v>0</v>
      </c>
      <c r="AZ1799" s="29">
        <f t="shared" si="336"/>
        <v>0</v>
      </c>
      <c r="BA1799" s="29">
        <f t="shared" si="336"/>
        <v>0</v>
      </c>
      <c r="BB1799" s="29">
        <f t="shared" si="336"/>
        <v>22612741.32</v>
      </c>
      <c r="BC1799" s="29">
        <f t="shared" si="336"/>
        <v>29736098.469999999</v>
      </c>
      <c r="BD1799" s="29">
        <f t="shared" si="336"/>
        <v>2535</v>
      </c>
      <c r="BE1799" s="29">
        <f t="shared" si="336"/>
        <v>0</v>
      </c>
      <c r="BF1799" s="29">
        <f t="shared" si="336"/>
        <v>0</v>
      </c>
      <c r="BG1799" s="29">
        <f t="shared" si="336"/>
        <v>0</v>
      </c>
      <c r="BH1799" s="29">
        <f t="shared" si="336"/>
        <v>0</v>
      </c>
      <c r="BI1799" s="29">
        <f t="shared" si="336"/>
        <v>0</v>
      </c>
      <c r="BJ1799" s="29">
        <f t="shared" si="336"/>
        <v>0</v>
      </c>
      <c r="BK1799" s="29">
        <f t="shared" si="336"/>
        <v>0</v>
      </c>
      <c r="BL1799" s="29">
        <f t="shared" si="336"/>
        <v>0</v>
      </c>
      <c r="BM1799" s="29">
        <f t="shared" si="336"/>
        <v>0</v>
      </c>
      <c r="BN1799" s="29">
        <f t="shared" si="336"/>
        <v>0</v>
      </c>
      <c r="BO1799" s="29">
        <f t="shared" si="336"/>
        <v>0</v>
      </c>
      <c r="BP1799" s="29">
        <f t="shared" si="336"/>
        <v>0</v>
      </c>
      <c r="BQ1799" s="29">
        <f t="shared" si="336"/>
        <v>0</v>
      </c>
      <c r="BR1799" s="29">
        <f t="shared" si="336"/>
        <v>0</v>
      </c>
      <c r="BS1799" s="29">
        <f t="shared" si="336"/>
        <v>0</v>
      </c>
      <c r="BT1799" s="29">
        <f t="shared" si="336"/>
        <v>0</v>
      </c>
      <c r="BU1799" s="29">
        <f t="shared" si="336"/>
        <v>0</v>
      </c>
      <c r="BV1799" s="29">
        <f t="shared" si="336"/>
        <v>0</v>
      </c>
      <c r="BW1799" s="29">
        <f t="shared" si="336"/>
        <v>0</v>
      </c>
      <c r="BX1799" s="29">
        <f t="shared" si="336"/>
        <v>0</v>
      </c>
      <c r="BY1799" s="29">
        <f t="shared" ref="BY1799:CL1799" si="337">SUM(BY1795:BY1798)</f>
        <v>0</v>
      </c>
      <c r="BZ1799" s="29">
        <f t="shared" si="337"/>
        <v>0</v>
      </c>
      <c r="CA1799" s="29">
        <f t="shared" si="337"/>
        <v>0</v>
      </c>
      <c r="CB1799" s="29">
        <f t="shared" si="337"/>
        <v>0</v>
      </c>
      <c r="CC1799" s="29">
        <f t="shared" si="337"/>
        <v>0</v>
      </c>
      <c r="CD1799" s="29">
        <f t="shared" si="337"/>
        <v>0</v>
      </c>
      <c r="CE1799" s="29">
        <f t="shared" si="337"/>
        <v>0</v>
      </c>
      <c r="CF1799" s="29">
        <f t="shared" si="337"/>
        <v>0</v>
      </c>
      <c r="CG1799" s="29">
        <f t="shared" si="337"/>
        <v>33669991.200000003</v>
      </c>
      <c r="CH1799" s="29">
        <f t="shared" si="337"/>
        <v>86021365.99000001</v>
      </c>
      <c r="CI1799" s="29">
        <f t="shared" si="337"/>
        <v>0</v>
      </c>
      <c r="CK1799" s="29">
        <f t="shared" si="337"/>
        <v>0</v>
      </c>
      <c r="CL1799" s="29">
        <f t="shared" si="337"/>
        <v>0</v>
      </c>
    </row>
    <row r="1800" spans="1:90" ht="31.5" x14ac:dyDescent="0.25">
      <c r="A1800" s="16" t="s">
        <v>5347</v>
      </c>
      <c r="E1800" s="17">
        <v>559</v>
      </c>
      <c r="F1800" s="3" t="s">
        <v>249</v>
      </c>
      <c r="G1800" s="9" t="s">
        <v>5345</v>
      </c>
      <c r="Y1800" s="3">
        <v>1000</v>
      </c>
      <c r="AT1800" s="201"/>
      <c r="AU1800" s="22">
        <f t="shared" si="331"/>
        <v>1000</v>
      </c>
      <c r="BE1800" s="3">
        <v>1000</v>
      </c>
      <c r="CH1800" s="22">
        <f t="shared" si="332"/>
        <v>1000</v>
      </c>
      <c r="CI1800" s="3">
        <f t="shared" si="333"/>
        <v>0</v>
      </c>
      <c r="CJ1800" s="17">
        <f t="shared" si="334"/>
        <v>559</v>
      </c>
      <c r="CK1800" s="3" t="str">
        <f t="shared" si="335"/>
        <v>خدمة عامة</v>
      </c>
    </row>
    <row r="1801" spans="1:90" s="29" customFormat="1" x14ac:dyDescent="0.25">
      <c r="A1801" s="27"/>
      <c r="B1801" s="28"/>
      <c r="C1801" s="28"/>
      <c r="D1801" s="28"/>
      <c r="E1801" s="28"/>
      <c r="G1801" s="29" t="s">
        <v>5520</v>
      </c>
      <c r="Y1801" s="29">
        <f>SUM(Y1800)</f>
        <v>1000</v>
      </c>
      <c r="Z1801" s="29">
        <f t="shared" ref="Z1801:CK1801" si="338">SUM(Z1800)</f>
        <v>0</v>
      </c>
      <c r="AA1801" s="29">
        <f t="shared" si="338"/>
        <v>0</v>
      </c>
      <c r="AB1801" s="29">
        <f t="shared" si="338"/>
        <v>0</v>
      </c>
      <c r="AC1801" s="29">
        <f t="shared" si="338"/>
        <v>0</v>
      </c>
      <c r="AD1801" s="29">
        <f t="shared" si="338"/>
        <v>0</v>
      </c>
      <c r="AE1801" s="29">
        <f t="shared" si="338"/>
        <v>0</v>
      </c>
      <c r="AF1801" s="29">
        <f t="shared" si="338"/>
        <v>0</v>
      </c>
      <c r="AG1801" s="29">
        <f t="shared" si="338"/>
        <v>0</v>
      </c>
      <c r="AH1801" s="29">
        <f t="shared" si="338"/>
        <v>0</v>
      </c>
      <c r="AI1801" s="29">
        <f t="shared" si="338"/>
        <v>0</v>
      </c>
      <c r="AJ1801" s="29">
        <f t="shared" si="338"/>
        <v>0</v>
      </c>
      <c r="AK1801" s="29">
        <f t="shared" si="338"/>
        <v>0</v>
      </c>
      <c r="AL1801" s="29">
        <f t="shared" si="338"/>
        <v>0</v>
      </c>
      <c r="AM1801" s="29">
        <f t="shared" si="338"/>
        <v>0</v>
      </c>
      <c r="AN1801" s="29">
        <f t="shared" si="338"/>
        <v>0</v>
      </c>
      <c r="AO1801" s="29">
        <f t="shared" si="338"/>
        <v>0</v>
      </c>
      <c r="AP1801" s="29">
        <f t="shared" si="338"/>
        <v>0</v>
      </c>
      <c r="AQ1801" s="29">
        <f t="shared" si="338"/>
        <v>0</v>
      </c>
      <c r="AR1801" s="29">
        <f t="shared" si="338"/>
        <v>0</v>
      </c>
      <c r="AS1801" s="29">
        <f t="shared" si="338"/>
        <v>0</v>
      </c>
      <c r="AT1801" s="29">
        <f t="shared" si="338"/>
        <v>0</v>
      </c>
      <c r="AU1801" s="29">
        <f t="shared" si="338"/>
        <v>1000</v>
      </c>
      <c r="AV1801" s="29">
        <f t="shared" si="338"/>
        <v>0</v>
      </c>
      <c r="AW1801" s="29">
        <f t="shared" si="338"/>
        <v>0</v>
      </c>
      <c r="AX1801" s="29">
        <f t="shared" si="338"/>
        <v>0</v>
      </c>
      <c r="AY1801" s="29">
        <f t="shared" si="338"/>
        <v>0</v>
      </c>
      <c r="AZ1801" s="29">
        <f t="shared" si="338"/>
        <v>0</v>
      </c>
      <c r="BA1801" s="29">
        <f t="shared" si="338"/>
        <v>0</v>
      </c>
      <c r="BB1801" s="29">
        <f t="shared" si="338"/>
        <v>0</v>
      </c>
      <c r="BC1801" s="29">
        <f t="shared" si="338"/>
        <v>0</v>
      </c>
      <c r="BD1801" s="29">
        <f t="shared" si="338"/>
        <v>0</v>
      </c>
      <c r="BE1801" s="29">
        <f t="shared" si="338"/>
        <v>1000</v>
      </c>
      <c r="BF1801" s="29">
        <f t="shared" si="338"/>
        <v>0</v>
      </c>
      <c r="BG1801" s="29">
        <f t="shared" si="338"/>
        <v>0</v>
      </c>
      <c r="BH1801" s="29">
        <f t="shared" si="338"/>
        <v>0</v>
      </c>
      <c r="BI1801" s="29">
        <f t="shared" si="338"/>
        <v>0</v>
      </c>
      <c r="BJ1801" s="29">
        <f t="shared" si="338"/>
        <v>0</v>
      </c>
      <c r="BK1801" s="29">
        <f t="shared" si="338"/>
        <v>0</v>
      </c>
      <c r="BL1801" s="29">
        <f t="shared" si="338"/>
        <v>0</v>
      </c>
      <c r="BM1801" s="29">
        <f t="shared" si="338"/>
        <v>0</v>
      </c>
      <c r="BN1801" s="29">
        <f t="shared" si="338"/>
        <v>0</v>
      </c>
      <c r="BO1801" s="29">
        <f t="shared" si="338"/>
        <v>0</v>
      </c>
      <c r="BP1801" s="29">
        <f t="shared" si="338"/>
        <v>0</v>
      </c>
      <c r="BQ1801" s="29">
        <f t="shared" si="338"/>
        <v>0</v>
      </c>
      <c r="BR1801" s="29">
        <f t="shared" si="338"/>
        <v>0</v>
      </c>
      <c r="BS1801" s="29">
        <f t="shared" si="338"/>
        <v>0</v>
      </c>
      <c r="BT1801" s="29">
        <f t="shared" si="338"/>
        <v>0</v>
      </c>
      <c r="BU1801" s="29">
        <f t="shared" si="338"/>
        <v>0</v>
      </c>
      <c r="BV1801" s="29">
        <f t="shared" si="338"/>
        <v>0</v>
      </c>
      <c r="BW1801" s="29">
        <f t="shared" si="338"/>
        <v>0</v>
      </c>
      <c r="BX1801" s="29">
        <f t="shared" si="338"/>
        <v>0</v>
      </c>
      <c r="BY1801" s="29">
        <f t="shared" si="338"/>
        <v>0</v>
      </c>
      <c r="BZ1801" s="29">
        <f t="shared" si="338"/>
        <v>0</v>
      </c>
      <c r="CA1801" s="29">
        <f t="shared" si="338"/>
        <v>0</v>
      </c>
      <c r="CB1801" s="29">
        <f t="shared" si="338"/>
        <v>0</v>
      </c>
      <c r="CC1801" s="29">
        <f t="shared" si="338"/>
        <v>0</v>
      </c>
      <c r="CD1801" s="29">
        <f t="shared" si="338"/>
        <v>0</v>
      </c>
      <c r="CE1801" s="29">
        <f t="shared" si="338"/>
        <v>0</v>
      </c>
      <c r="CF1801" s="29">
        <f t="shared" si="338"/>
        <v>0</v>
      </c>
      <c r="CG1801" s="29">
        <f t="shared" si="338"/>
        <v>0</v>
      </c>
      <c r="CH1801" s="29">
        <f t="shared" si="338"/>
        <v>1000</v>
      </c>
      <c r="CI1801" s="29">
        <f t="shared" si="338"/>
        <v>0</v>
      </c>
      <c r="CK1801" s="29">
        <f t="shared" si="338"/>
        <v>0</v>
      </c>
      <c r="CL1801" s="29">
        <f t="shared" ref="CL1801" si="339">SUM(CL1800)</f>
        <v>0</v>
      </c>
    </row>
    <row r="1802" spans="1:90" x14ac:dyDescent="0.25">
      <c r="AU1802" s="22">
        <f t="shared" si="331"/>
        <v>0</v>
      </c>
      <c r="CH1802" s="22">
        <f t="shared" si="332"/>
        <v>0</v>
      </c>
      <c r="CI1802" s="3">
        <f t="shared" si="333"/>
        <v>0</v>
      </c>
      <c r="CJ1802" s="17">
        <f t="shared" si="334"/>
        <v>0</v>
      </c>
      <c r="CK1802" s="3">
        <f t="shared" si="335"/>
        <v>0</v>
      </c>
    </row>
    <row r="1803" spans="1:90" x14ac:dyDescent="0.25">
      <c r="AU1803" s="22">
        <f t="shared" si="331"/>
        <v>0</v>
      </c>
      <c r="CH1803" s="22">
        <f t="shared" si="332"/>
        <v>0</v>
      </c>
      <c r="CI1803" s="3">
        <f t="shared" si="333"/>
        <v>0</v>
      </c>
      <c r="CJ1803" s="17">
        <f t="shared" si="334"/>
        <v>0</v>
      </c>
      <c r="CK1803" s="3">
        <f t="shared" si="335"/>
        <v>0</v>
      </c>
    </row>
    <row r="1804" spans="1:90" x14ac:dyDescent="0.25">
      <c r="AU1804" s="22">
        <f t="shared" si="331"/>
        <v>0</v>
      </c>
      <c r="CH1804" s="22">
        <f t="shared" si="332"/>
        <v>0</v>
      </c>
      <c r="CI1804" s="3">
        <f t="shared" si="333"/>
        <v>0</v>
      </c>
      <c r="CJ1804" s="17">
        <f t="shared" si="334"/>
        <v>0</v>
      </c>
      <c r="CK1804" s="3">
        <f t="shared" si="335"/>
        <v>0</v>
      </c>
    </row>
    <row r="1805" spans="1:90" x14ac:dyDescent="0.25">
      <c r="AU1805" s="22">
        <f t="shared" si="331"/>
        <v>0</v>
      </c>
      <c r="CH1805" s="22">
        <f t="shared" si="332"/>
        <v>0</v>
      </c>
      <c r="CI1805" s="3">
        <f t="shared" si="333"/>
        <v>0</v>
      </c>
      <c r="CJ1805" s="17">
        <f t="shared" si="334"/>
        <v>0</v>
      </c>
      <c r="CK1805" s="3">
        <f t="shared" si="335"/>
        <v>0</v>
      </c>
    </row>
    <row r="1806" spans="1:90" x14ac:dyDescent="0.25">
      <c r="AU1806" s="22">
        <f t="shared" si="331"/>
        <v>0</v>
      </c>
      <c r="CH1806" s="22">
        <f t="shared" si="332"/>
        <v>0</v>
      </c>
      <c r="CI1806" s="3">
        <f t="shared" si="333"/>
        <v>0</v>
      </c>
      <c r="CJ1806" s="17">
        <f t="shared" si="334"/>
        <v>0</v>
      </c>
      <c r="CK1806" s="3">
        <f t="shared" si="335"/>
        <v>0</v>
      </c>
    </row>
    <row r="1807" spans="1:90" x14ac:dyDescent="0.25">
      <c r="AU1807" s="22">
        <f t="shared" si="331"/>
        <v>0</v>
      </c>
      <c r="CH1807" s="22">
        <f t="shared" si="332"/>
        <v>0</v>
      </c>
      <c r="CI1807" s="3">
        <f t="shared" si="333"/>
        <v>0</v>
      </c>
      <c r="CJ1807" s="17">
        <f t="shared" si="334"/>
        <v>0</v>
      </c>
      <c r="CK1807" s="3">
        <f t="shared" si="335"/>
        <v>0</v>
      </c>
    </row>
    <row r="1808" spans="1:90" x14ac:dyDescent="0.25">
      <c r="AU1808" s="22">
        <f t="shared" si="331"/>
        <v>0</v>
      </c>
      <c r="CH1808" s="22">
        <f t="shared" si="332"/>
        <v>0</v>
      </c>
      <c r="CI1808" s="3">
        <f t="shared" si="333"/>
        <v>0</v>
      </c>
      <c r="CJ1808" s="17">
        <f t="shared" si="334"/>
        <v>0</v>
      </c>
      <c r="CK1808" s="3">
        <f t="shared" si="335"/>
        <v>0</v>
      </c>
    </row>
    <row r="1809" spans="47:89" x14ac:dyDescent="0.25">
      <c r="AU1809" s="22">
        <f t="shared" si="331"/>
        <v>0</v>
      </c>
      <c r="CH1809" s="22">
        <f t="shared" si="332"/>
        <v>0</v>
      </c>
      <c r="CI1809" s="3">
        <f t="shared" si="333"/>
        <v>0</v>
      </c>
      <c r="CJ1809" s="17">
        <f t="shared" si="334"/>
        <v>0</v>
      </c>
      <c r="CK1809" s="3">
        <f t="shared" si="335"/>
        <v>0</v>
      </c>
    </row>
    <row r="1810" spans="47:89" x14ac:dyDescent="0.25">
      <c r="AU1810" s="22">
        <f t="shared" si="331"/>
        <v>0</v>
      </c>
      <c r="CH1810" s="22">
        <f t="shared" si="332"/>
        <v>0</v>
      </c>
      <c r="CI1810" s="3">
        <f t="shared" si="333"/>
        <v>0</v>
      </c>
      <c r="CJ1810" s="17">
        <f t="shared" si="334"/>
        <v>0</v>
      </c>
      <c r="CK1810" s="3">
        <f t="shared" si="335"/>
        <v>0</v>
      </c>
    </row>
    <row r="1811" spans="47:89" x14ac:dyDescent="0.25">
      <c r="AU1811" s="22">
        <f t="shared" si="331"/>
        <v>0</v>
      </c>
      <c r="CH1811" s="22">
        <f t="shared" si="332"/>
        <v>0</v>
      </c>
      <c r="CI1811" s="3">
        <f t="shared" si="333"/>
        <v>0</v>
      </c>
      <c r="CJ1811" s="17">
        <f t="shared" si="334"/>
        <v>0</v>
      </c>
      <c r="CK1811" s="3">
        <f t="shared" si="335"/>
        <v>0</v>
      </c>
    </row>
    <row r="1812" spans="47:89" x14ac:dyDescent="0.25">
      <c r="AU1812" s="22">
        <f t="shared" si="331"/>
        <v>0</v>
      </c>
      <c r="CH1812" s="22">
        <f t="shared" si="332"/>
        <v>0</v>
      </c>
      <c r="CI1812" s="3">
        <f t="shared" si="333"/>
        <v>0</v>
      </c>
      <c r="CJ1812" s="17">
        <f t="shared" si="334"/>
        <v>0</v>
      </c>
      <c r="CK1812" s="3">
        <f t="shared" si="335"/>
        <v>0</v>
      </c>
    </row>
    <row r="1813" spans="47:89" x14ac:dyDescent="0.25">
      <c r="AU1813" s="22">
        <f t="shared" si="331"/>
        <v>0</v>
      </c>
      <c r="CH1813" s="22">
        <f t="shared" si="332"/>
        <v>0</v>
      </c>
      <c r="CI1813" s="3">
        <f t="shared" si="333"/>
        <v>0</v>
      </c>
      <c r="CJ1813" s="17">
        <f t="shared" si="334"/>
        <v>0</v>
      </c>
      <c r="CK1813" s="3">
        <f t="shared" si="335"/>
        <v>0</v>
      </c>
    </row>
    <row r="1814" spans="47:89" x14ac:dyDescent="0.25">
      <c r="AU1814" s="22">
        <f t="shared" si="331"/>
        <v>0</v>
      </c>
      <c r="CH1814" s="22">
        <f t="shared" si="332"/>
        <v>0</v>
      </c>
      <c r="CI1814" s="3">
        <f t="shared" si="333"/>
        <v>0</v>
      </c>
      <c r="CJ1814" s="17">
        <f t="shared" si="334"/>
        <v>0</v>
      </c>
      <c r="CK1814" s="3">
        <f t="shared" si="335"/>
        <v>0</v>
      </c>
    </row>
    <row r="1815" spans="47:89" x14ac:dyDescent="0.25">
      <c r="AU1815" s="22">
        <f t="shared" si="331"/>
        <v>0</v>
      </c>
      <c r="CH1815" s="22">
        <f t="shared" si="332"/>
        <v>0</v>
      </c>
      <c r="CI1815" s="3">
        <f t="shared" si="333"/>
        <v>0</v>
      </c>
      <c r="CJ1815" s="17">
        <f t="shared" si="334"/>
        <v>0</v>
      </c>
      <c r="CK1815" s="3">
        <f t="shared" si="335"/>
        <v>0</v>
      </c>
    </row>
    <row r="1816" spans="47:89" x14ac:dyDescent="0.25">
      <c r="AU1816" s="22">
        <f t="shared" si="331"/>
        <v>0</v>
      </c>
      <c r="CH1816" s="22">
        <f t="shared" si="332"/>
        <v>0</v>
      </c>
      <c r="CI1816" s="3">
        <f t="shared" si="333"/>
        <v>0</v>
      </c>
      <c r="CJ1816" s="17">
        <f t="shared" si="334"/>
        <v>0</v>
      </c>
      <c r="CK1816" s="3">
        <f t="shared" si="335"/>
        <v>0</v>
      </c>
    </row>
    <row r="1817" spans="47:89" x14ac:dyDescent="0.25">
      <c r="AU1817" s="22">
        <f t="shared" si="331"/>
        <v>0</v>
      </c>
      <c r="CH1817" s="22">
        <f t="shared" si="332"/>
        <v>0</v>
      </c>
      <c r="CI1817" s="3">
        <f t="shared" si="333"/>
        <v>0</v>
      </c>
      <c r="CJ1817" s="17">
        <f t="shared" si="334"/>
        <v>0</v>
      </c>
      <c r="CK1817" s="3">
        <f t="shared" si="335"/>
        <v>0</v>
      </c>
    </row>
    <row r="1818" spans="47:89" x14ac:dyDescent="0.25">
      <c r="AU1818" s="22">
        <f t="shared" si="331"/>
        <v>0</v>
      </c>
      <c r="CH1818" s="22">
        <f t="shared" si="332"/>
        <v>0</v>
      </c>
      <c r="CI1818" s="3">
        <f t="shared" si="333"/>
        <v>0</v>
      </c>
      <c r="CJ1818" s="17">
        <f t="shared" si="334"/>
        <v>0</v>
      </c>
      <c r="CK1818" s="3">
        <f t="shared" si="335"/>
        <v>0</v>
      </c>
    </row>
    <row r="1819" spans="47:89" x14ac:dyDescent="0.25">
      <c r="AU1819" s="22">
        <f t="shared" si="331"/>
        <v>0</v>
      </c>
      <c r="CH1819" s="22">
        <f t="shared" si="332"/>
        <v>0</v>
      </c>
      <c r="CI1819" s="3">
        <f t="shared" si="333"/>
        <v>0</v>
      </c>
      <c r="CJ1819" s="17">
        <f t="shared" si="334"/>
        <v>0</v>
      </c>
      <c r="CK1819" s="3">
        <f t="shared" si="335"/>
        <v>0</v>
      </c>
    </row>
    <row r="1820" spans="47:89" x14ac:dyDescent="0.25">
      <c r="AU1820" s="22">
        <f t="shared" si="331"/>
        <v>0</v>
      </c>
      <c r="CH1820" s="22">
        <f t="shared" si="332"/>
        <v>0</v>
      </c>
      <c r="CI1820" s="3">
        <f t="shared" si="333"/>
        <v>0</v>
      </c>
      <c r="CJ1820" s="17">
        <f t="shared" si="334"/>
        <v>0</v>
      </c>
      <c r="CK1820" s="3">
        <f t="shared" si="335"/>
        <v>0</v>
      </c>
    </row>
    <row r="1821" spans="47:89" x14ac:dyDescent="0.25">
      <c r="AU1821" s="22">
        <f t="shared" si="331"/>
        <v>0</v>
      </c>
      <c r="CH1821" s="22">
        <f t="shared" si="332"/>
        <v>0</v>
      </c>
      <c r="CI1821" s="3">
        <f t="shared" si="333"/>
        <v>0</v>
      </c>
      <c r="CJ1821" s="17">
        <f t="shared" si="334"/>
        <v>0</v>
      </c>
      <c r="CK1821" s="3">
        <f t="shared" si="335"/>
        <v>0</v>
      </c>
    </row>
    <row r="1822" spans="47:89" x14ac:dyDescent="0.25">
      <c r="AU1822" s="22">
        <f t="shared" si="331"/>
        <v>0</v>
      </c>
      <c r="CH1822" s="22">
        <f t="shared" si="332"/>
        <v>0</v>
      </c>
      <c r="CI1822" s="3">
        <f t="shared" si="333"/>
        <v>0</v>
      </c>
      <c r="CJ1822" s="17">
        <f t="shared" si="334"/>
        <v>0</v>
      </c>
      <c r="CK1822" s="3">
        <f t="shared" si="335"/>
        <v>0</v>
      </c>
    </row>
    <row r="1823" spans="47:89" x14ac:dyDescent="0.25">
      <c r="AU1823" s="22">
        <f t="shared" si="331"/>
        <v>0</v>
      </c>
      <c r="CH1823" s="22">
        <f t="shared" si="332"/>
        <v>0</v>
      </c>
      <c r="CI1823" s="3">
        <f t="shared" si="333"/>
        <v>0</v>
      </c>
      <c r="CJ1823" s="17">
        <f t="shared" si="334"/>
        <v>0</v>
      </c>
      <c r="CK1823" s="3">
        <f t="shared" si="335"/>
        <v>0</v>
      </c>
    </row>
    <row r="1824" spans="47:89" x14ac:dyDescent="0.25">
      <c r="AU1824" s="22">
        <f t="shared" si="331"/>
        <v>0</v>
      </c>
      <c r="CH1824" s="22">
        <f t="shared" si="332"/>
        <v>0</v>
      </c>
      <c r="CI1824" s="3">
        <f t="shared" si="333"/>
        <v>0</v>
      </c>
      <c r="CJ1824" s="17">
        <f t="shared" si="334"/>
        <v>0</v>
      </c>
      <c r="CK1824" s="3">
        <f t="shared" si="335"/>
        <v>0</v>
      </c>
    </row>
    <row r="1825" spans="47:89" x14ac:dyDescent="0.25">
      <c r="AU1825" s="22">
        <f t="shared" si="331"/>
        <v>0</v>
      </c>
      <c r="CH1825" s="22">
        <f t="shared" si="332"/>
        <v>0</v>
      </c>
      <c r="CI1825" s="3">
        <f t="shared" si="333"/>
        <v>0</v>
      </c>
      <c r="CJ1825" s="17">
        <f t="shared" si="334"/>
        <v>0</v>
      </c>
      <c r="CK1825" s="3">
        <f t="shared" si="335"/>
        <v>0</v>
      </c>
    </row>
    <row r="1826" spans="47:89" x14ac:dyDescent="0.25">
      <c r="AU1826" s="22">
        <f t="shared" si="331"/>
        <v>0</v>
      </c>
      <c r="CH1826" s="22">
        <f t="shared" si="332"/>
        <v>0</v>
      </c>
      <c r="CI1826" s="3">
        <f t="shared" si="333"/>
        <v>0</v>
      </c>
      <c r="CJ1826" s="17">
        <f t="shared" si="334"/>
        <v>0</v>
      </c>
      <c r="CK1826" s="3">
        <f t="shared" si="335"/>
        <v>0</v>
      </c>
    </row>
    <row r="1827" spans="47:89" x14ac:dyDescent="0.25">
      <c r="AU1827" s="22">
        <f t="shared" si="331"/>
        <v>0</v>
      </c>
      <c r="CH1827" s="22">
        <f t="shared" si="332"/>
        <v>0</v>
      </c>
      <c r="CI1827" s="3">
        <f t="shared" si="333"/>
        <v>0</v>
      </c>
      <c r="CJ1827" s="17">
        <f t="shared" si="334"/>
        <v>0</v>
      </c>
      <c r="CK1827" s="3">
        <f t="shared" si="335"/>
        <v>0</v>
      </c>
    </row>
    <row r="1828" spans="47:89" x14ac:dyDescent="0.25">
      <c r="AU1828" s="22">
        <f t="shared" si="331"/>
        <v>0</v>
      </c>
      <c r="CH1828" s="22">
        <f t="shared" si="332"/>
        <v>0</v>
      </c>
      <c r="CI1828" s="3">
        <f t="shared" si="333"/>
        <v>0</v>
      </c>
      <c r="CJ1828" s="17">
        <f t="shared" si="334"/>
        <v>0</v>
      </c>
      <c r="CK1828" s="3">
        <f t="shared" si="335"/>
        <v>0</v>
      </c>
    </row>
    <row r="1829" spans="47:89" x14ac:dyDescent="0.25">
      <c r="CH1829" s="22">
        <f t="shared" si="332"/>
        <v>0</v>
      </c>
      <c r="CI1829" s="3">
        <f t="shared" si="333"/>
        <v>0</v>
      </c>
      <c r="CJ1829" s="17">
        <f t="shared" si="334"/>
        <v>0</v>
      </c>
      <c r="CK1829" s="3">
        <f t="shared" si="335"/>
        <v>0</v>
      </c>
    </row>
    <row r="1830" spans="47:89" x14ac:dyDescent="0.25">
      <c r="CH1830" s="22">
        <f t="shared" si="332"/>
        <v>0</v>
      </c>
      <c r="CI1830" s="3">
        <f t="shared" si="333"/>
        <v>0</v>
      </c>
      <c r="CJ1830" s="17">
        <f t="shared" si="334"/>
        <v>0</v>
      </c>
      <c r="CK1830" s="3">
        <f t="shared" si="335"/>
        <v>0</v>
      </c>
    </row>
    <row r="1831" spans="47:89" x14ac:dyDescent="0.25">
      <c r="CH1831" s="22">
        <f t="shared" si="332"/>
        <v>0</v>
      </c>
      <c r="CI1831" s="3">
        <f t="shared" si="333"/>
        <v>0</v>
      </c>
      <c r="CJ1831" s="17">
        <f t="shared" si="334"/>
        <v>0</v>
      </c>
      <c r="CK1831" s="3">
        <f t="shared" si="335"/>
        <v>0</v>
      </c>
    </row>
    <row r="1832" spans="47:89" x14ac:dyDescent="0.25">
      <c r="CH1832" s="22">
        <f t="shared" si="332"/>
        <v>0</v>
      </c>
      <c r="CI1832" s="3">
        <f t="shared" si="333"/>
        <v>0</v>
      </c>
      <c r="CJ1832" s="17">
        <f t="shared" si="334"/>
        <v>0</v>
      </c>
      <c r="CK1832" s="3">
        <f t="shared" si="335"/>
        <v>0</v>
      </c>
    </row>
    <row r="1833" spans="47:89" x14ac:dyDescent="0.25">
      <c r="CH1833" s="22">
        <f t="shared" si="332"/>
        <v>0</v>
      </c>
      <c r="CI1833" s="3">
        <f t="shared" si="333"/>
        <v>0</v>
      </c>
      <c r="CJ1833" s="17">
        <f t="shared" si="334"/>
        <v>0</v>
      </c>
      <c r="CK1833" s="3">
        <f t="shared" si="335"/>
        <v>0</v>
      </c>
    </row>
    <row r="1834" spans="47:89" x14ac:dyDescent="0.25">
      <c r="CH1834" s="22">
        <f t="shared" si="332"/>
        <v>0</v>
      </c>
      <c r="CI1834" s="3">
        <f t="shared" si="333"/>
        <v>0</v>
      </c>
      <c r="CJ1834" s="17">
        <f t="shared" si="334"/>
        <v>0</v>
      </c>
      <c r="CK1834" s="3">
        <f t="shared" si="335"/>
        <v>0</v>
      </c>
    </row>
    <row r="1835" spans="47:89" x14ac:dyDescent="0.25">
      <c r="CH1835" s="22">
        <f t="shared" si="332"/>
        <v>0</v>
      </c>
      <c r="CI1835" s="3">
        <f t="shared" si="333"/>
        <v>0</v>
      </c>
      <c r="CJ1835" s="17">
        <f t="shared" si="334"/>
        <v>0</v>
      </c>
      <c r="CK1835" s="3">
        <f t="shared" si="335"/>
        <v>0</v>
      </c>
    </row>
    <row r="1836" spans="47:89" x14ac:dyDescent="0.25">
      <c r="CH1836" s="22">
        <f t="shared" si="332"/>
        <v>0</v>
      </c>
      <c r="CI1836" s="3">
        <f t="shared" si="333"/>
        <v>0</v>
      </c>
      <c r="CJ1836" s="17">
        <f t="shared" si="334"/>
        <v>0</v>
      </c>
      <c r="CK1836" s="3">
        <f t="shared" si="335"/>
        <v>0</v>
      </c>
    </row>
    <row r="1837" spans="47:89" x14ac:dyDescent="0.25">
      <c r="CH1837" s="22">
        <f t="shared" si="332"/>
        <v>0</v>
      </c>
      <c r="CI1837" s="3">
        <f t="shared" si="333"/>
        <v>0</v>
      </c>
      <c r="CJ1837" s="17">
        <f t="shared" si="334"/>
        <v>0</v>
      </c>
      <c r="CK1837" s="3">
        <f t="shared" si="335"/>
        <v>0</v>
      </c>
    </row>
    <row r="1838" spans="47:89" x14ac:dyDescent="0.25">
      <c r="CH1838" s="22">
        <f t="shared" si="332"/>
        <v>0</v>
      </c>
      <c r="CI1838" s="3">
        <f t="shared" si="333"/>
        <v>0</v>
      </c>
      <c r="CJ1838" s="17">
        <f t="shared" si="334"/>
        <v>0</v>
      </c>
      <c r="CK1838" s="3">
        <f t="shared" si="335"/>
        <v>0</v>
      </c>
    </row>
    <row r="1839" spans="47:89" x14ac:dyDescent="0.25">
      <c r="CH1839" s="22">
        <f t="shared" si="332"/>
        <v>0</v>
      </c>
      <c r="CI1839" s="3">
        <f t="shared" si="333"/>
        <v>0</v>
      </c>
      <c r="CJ1839" s="17">
        <f t="shared" si="334"/>
        <v>0</v>
      </c>
      <c r="CK1839" s="3">
        <f t="shared" si="335"/>
        <v>0</v>
      </c>
    </row>
    <row r="1840" spans="47:89" x14ac:dyDescent="0.25">
      <c r="CH1840" s="22">
        <f t="shared" si="332"/>
        <v>0</v>
      </c>
      <c r="CI1840" s="3">
        <f t="shared" si="333"/>
        <v>0</v>
      </c>
      <c r="CJ1840" s="17">
        <f t="shared" si="334"/>
        <v>0</v>
      </c>
      <c r="CK1840" s="3">
        <f t="shared" si="335"/>
        <v>0</v>
      </c>
    </row>
    <row r="1841" spans="86:89" x14ac:dyDescent="0.25">
      <c r="CH1841" s="10">
        <f t="shared" ref="CH1841:CH1852" si="340">SUM(AV1841:CG1841)</f>
        <v>0</v>
      </c>
      <c r="CI1841" s="3">
        <f t="shared" ref="CI1841:CI1852" si="341">+CH1841-AU1841</f>
        <v>0</v>
      </c>
      <c r="CJ1841" s="17">
        <f t="shared" ref="CJ1841:CJ1848" si="342">+E1841</f>
        <v>0</v>
      </c>
      <c r="CK1841" s="3">
        <f t="shared" ref="CK1841:CK1848" si="343">+F1841</f>
        <v>0</v>
      </c>
    </row>
    <row r="1842" spans="86:89" x14ac:dyDescent="0.25">
      <c r="CH1842" s="10">
        <f t="shared" si="340"/>
        <v>0</v>
      </c>
      <c r="CI1842" s="3">
        <f t="shared" si="341"/>
        <v>0</v>
      </c>
      <c r="CJ1842" s="17">
        <f t="shared" si="342"/>
        <v>0</v>
      </c>
      <c r="CK1842" s="3">
        <f t="shared" si="343"/>
        <v>0</v>
      </c>
    </row>
    <row r="1843" spans="86:89" x14ac:dyDescent="0.25">
      <c r="CH1843" s="10">
        <f t="shared" si="340"/>
        <v>0</v>
      </c>
      <c r="CI1843" s="3">
        <f t="shared" si="341"/>
        <v>0</v>
      </c>
      <c r="CJ1843" s="17">
        <f t="shared" si="342"/>
        <v>0</v>
      </c>
      <c r="CK1843" s="3">
        <f t="shared" si="343"/>
        <v>0</v>
      </c>
    </row>
    <row r="1844" spans="86:89" x14ac:dyDescent="0.25">
      <c r="CH1844" s="10">
        <f t="shared" si="340"/>
        <v>0</v>
      </c>
      <c r="CI1844" s="3">
        <f t="shared" si="341"/>
        <v>0</v>
      </c>
      <c r="CJ1844" s="17">
        <f t="shared" si="342"/>
        <v>0</v>
      </c>
      <c r="CK1844" s="3">
        <f t="shared" si="343"/>
        <v>0</v>
      </c>
    </row>
    <row r="1845" spans="86:89" x14ac:dyDescent="0.25">
      <c r="CH1845" s="10">
        <f t="shared" si="340"/>
        <v>0</v>
      </c>
      <c r="CI1845" s="3">
        <f t="shared" si="341"/>
        <v>0</v>
      </c>
      <c r="CJ1845" s="17">
        <f t="shared" si="342"/>
        <v>0</v>
      </c>
      <c r="CK1845" s="3">
        <f t="shared" si="343"/>
        <v>0</v>
      </c>
    </row>
    <row r="1846" spans="86:89" x14ac:dyDescent="0.25">
      <c r="CH1846" s="10">
        <f t="shared" si="340"/>
        <v>0</v>
      </c>
      <c r="CI1846" s="3">
        <f t="shared" si="341"/>
        <v>0</v>
      </c>
      <c r="CJ1846" s="17">
        <f t="shared" si="342"/>
        <v>0</v>
      </c>
      <c r="CK1846" s="3">
        <f t="shared" si="343"/>
        <v>0</v>
      </c>
    </row>
    <row r="1847" spans="86:89" x14ac:dyDescent="0.25">
      <c r="CH1847" s="10">
        <f t="shared" si="340"/>
        <v>0</v>
      </c>
      <c r="CI1847" s="3">
        <f t="shared" si="341"/>
        <v>0</v>
      </c>
      <c r="CJ1847" s="17">
        <f t="shared" si="342"/>
        <v>0</v>
      </c>
      <c r="CK1847" s="3">
        <f t="shared" si="343"/>
        <v>0</v>
      </c>
    </row>
    <row r="1848" spans="86:89" x14ac:dyDescent="0.25">
      <c r="CH1848" s="10">
        <f t="shared" si="340"/>
        <v>0</v>
      </c>
      <c r="CI1848" s="3">
        <f t="shared" si="341"/>
        <v>0</v>
      </c>
      <c r="CJ1848" s="17">
        <f t="shared" si="342"/>
        <v>0</v>
      </c>
      <c r="CK1848" s="3">
        <f t="shared" si="343"/>
        <v>0</v>
      </c>
    </row>
    <row r="1849" spans="86:89" x14ac:dyDescent="0.25">
      <c r="CH1849" s="10">
        <f t="shared" si="340"/>
        <v>0</v>
      </c>
      <c r="CI1849" s="3">
        <f t="shared" si="341"/>
        <v>0</v>
      </c>
      <c r="CJ1849" s="17">
        <f t="shared" ref="CJ1849:CJ1912" si="344">+E1849</f>
        <v>0</v>
      </c>
      <c r="CK1849" s="3">
        <f t="shared" ref="CK1849:CK1912" si="345">+F1849</f>
        <v>0</v>
      </c>
    </row>
    <row r="1850" spans="86:89" x14ac:dyDescent="0.25">
      <c r="CH1850" s="10">
        <f t="shared" si="340"/>
        <v>0</v>
      </c>
      <c r="CI1850" s="3">
        <f t="shared" si="341"/>
        <v>0</v>
      </c>
      <c r="CJ1850" s="17">
        <f t="shared" si="344"/>
        <v>0</v>
      </c>
      <c r="CK1850" s="3">
        <f t="shared" si="345"/>
        <v>0</v>
      </c>
    </row>
    <row r="1851" spans="86:89" x14ac:dyDescent="0.25">
      <c r="CH1851" s="10">
        <f t="shared" si="340"/>
        <v>0</v>
      </c>
      <c r="CI1851" s="3">
        <f t="shared" si="341"/>
        <v>0</v>
      </c>
      <c r="CJ1851" s="17">
        <f t="shared" si="344"/>
        <v>0</v>
      </c>
      <c r="CK1851" s="3">
        <f t="shared" si="345"/>
        <v>0</v>
      </c>
    </row>
    <row r="1852" spans="86:89" x14ac:dyDescent="0.25">
      <c r="CH1852" s="10">
        <f t="shared" si="340"/>
        <v>0</v>
      </c>
      <c r="CI1852" s="3">
        <f t="shared" si="341"/>
        <v>0</v>
      </c>
      <c r="CJ1852" s="17">
        <f t="shared" si="344"/>
        <v>0</v>
      </c>
      <c r="CK1852" s="3">
        <f t="shared" si="345"/>
        <v>0</v>
      </c>
    </row>
    <row r="1853" spans="86:89" x14ac:dyDescent="0.25">
      <c r="CH1853" s="10">
        <f t="shared" ref="CH1853:CH1884" si="346">SUM(AV1853:CG1853)</f>
        <v>0</v>
      </c>
      <c r="CI1853" s="3">
        <f t="shared" ref="CI1853:CI1884" si="347">+CH1853-AU1853</f>
        <v>0</v>
      </c>
      <c r="CJ1853" s="17">
        <f t="shared" si="344"/>
        <v>0</v>
      </c>
      <c r="CK1853" s="3">
        <f t="shared" si="345"/>
        <v>0</v>
      </c>
    </row>
    <row r="1854" spans="86:89" x14ac:dyDescent="0.25">
      <c r="CH1854" s="10">
        <f t="shared" si="346"/>
        <v>0</v>
      </c>
      <c r="CI1854" s="3">
        <f t="shared" si="347"/>
        <v>0</v>
      </c>
      <c r="CJ1854" s="17">
        <f t="shared" si="344"/>
        <v>0</v>
      </c>
      <c r="CK1854" s="3">
        <f t="shared" si="345"/>
        <v>0</v>
      </c>
    </row>
    <row r="1855" spans="86:89" x14ac:dyDescent="0.25">
      <c r="CH1855" s="10">
        <f t="shared" si="346"/>
        <v>0</v>
      </c>
      <c r="CI1855" s="3">
        <f t="shared" si="347"/>
        <v>0</v>
      </c>
      <c r="CJ1855" s="17">
        <f t="shared" si="344"/>
        <v>0</v>
      </c>
      <c r="CK1855" s="3">
        <f t="shared" si="345"/>
        <v>0</v>
      </c>
    </row>
    <row r="1856" spans="86:89" x14ac:dyDescent="0.25">
      <c r="CH1856" s="10">
        <f t="shared" si="346"/>
        <v>0</v>
      </c>
      <c r="CI1856" s="3">
        <f t="shared" si="347"/>
        <v>0</v>
      </c>
      <c r="CJ1856" s="17">
        <f t="shared" si="344"/>
        <v>0</v>
      </c>
      <c r="CK1856" s="3">
        <f t="shared" si="345"/>
        <v>0</v>
      </c>
    </row>
    <row r="1857" spans="86:89" x14ac:dyDescent="0.25">
      <c r="CH1857" s="10">
        <f t="shared" si="346"/>
        <v>0</v>
      </c>
      <c r="CI1857" s="3">
        <f t="shared" si="347"/>
        <v>0</v>
      </c>
      <c r="CJ1857" s="17">
        <f t="shared" si="344"/>
        <v>0</v>
      </c>
      <c r="CK1857" s="3">
        <f t="shared" si="345"/>
        <v>0</v>
      </c>
    </row>
    <row r="1858" spans="86:89" x14ac:dyDescent="0.25">
      <c r="CH1858" s="10">
        <f t="shared" si="346"/>
        <v>0</v>
      </c>
      <c r="CI1858" s="3">
        <f t="shared" si="347"/>
        <v>0</v>
      </c>
      <c r="CJ1858" s="17">
        <f t="shared" si="344"/>
        <v>0</v>
      </c>
      <c r="CK1858" s="3">
        <f t="shared" si="345"/>
        <v>0</v>
      </c>
    </row>
    <row r="1859" spans="86:89" x14ac:dyDescent="0.25">
      <c r="CH1859" s="10">
        <f t="shared" si="346"/>
        <v>0</v>
      </c>
      <c r="CI1859" s="3">
        <f t="shared" si="347"/>
        <v>0</v>
      </c>
      <c r="CJ1859" s="17">
        <f t="shared" si="344"/>
        <v>0</v>
      </c>
      <c r="CK1859" s="3">
        <f t="shared" si="345"/>
        <v>0</v>
      </c>
    </row>
    <row r="1860" spans="86:89" x14ac:dyDescent="0.25">
      <c r="CH1860" s="10">
        <f t="shared" si="346"/>
        <v>0</v>
      </c>
      <c r="CI1860" s="3">
        <f t="shared" si="347"/>
        <v>0</v>
      </c>
      <c r="CJ1860" s="17">
        <f t="shared" si="344"/>
        <v>0</v>
      </c>
      <c r="CK1860" s="3">
        <f t="shared" si="345"/>
        <v>0</v>
      </c>
    </row>
    <row r="1861" spans="86:89" x14ac:dyDescent="0.25">
      <c r="CH1861" s="10">
        <f t="shared" si="346"/>
        <v>0</v>
      </c>
      <c r="CI1861" s="3">
        <f t="shared" si="347"/>
        <v>0</v>
      </c>
      <c r="CJ1861" s="17">
        <f t="shared" si="344"/>
        <v>0</v>
      </c>
      <c r="CK1861" s="3">
        <f t="shared" si="345"/>
        <v>0</v>
      </c>
    </row>
    <row r="1862" spans="86:89" x14ac:dyDescent="0.25">
      <c r="CH1862" s="10">
        <f t="shared" si="346"/>
        <v>0</v>
      </c>
      <c r="CI1862" s="3">
        <f t="shared" si="347"/>
        <v>0</v>
      </c>
      <c r="CJ1862" s="17">
        <f t="shared" si="344"/>
        <v>0</v>
      </c>
      <c r="CK1862" s="3">
        <f t="shared" si="345"/>
        <v>0</v>
      </c>
    </row>
    <row r="1863" spans="86:89" x14ac:dyDescent="0.25">
      <c r="CH1863" s="10">
        <f t="shared" si="346"/>
        <v>0</v>
      </c>
      <c r="CI1863" s="3">
        <f t="shared" si="347"/>
        <v>0</v>
      </c>
      <c r="CJ1863" s="17">
        <f t="shared" si="344"/>
        <v>0</v>
      </c>
      <c r="CK1863" s="3">
        <f t="shared" si="345"/>
        <v>0</v>
      </c>
    </row>
    <row r="1864" spans="86:89" x14ac:dyDescent="0.25">
      <c r="CH1864" s="10">
        <f t="shared" si="346"/>
        <v>0</v>
      </c>
      <c r="CI1864" s="3">
        <f t="shared" si="347"/>
        <v>0</v>
      </c>
      <c r="CJ1864" s="17">
        <f t="shared" si="344"/>
        <v>0</v>
      </c>
      <c r="CK1864" s="3">
        <f t="shared" si="345"/>
        <v>0</v>
      </c>
    </row>
    <row r="1865" spans="86:89" x14ac:dyDescent="0.25">
      <c r="CH1865" s="10">
        <f t="shared" si="346"/>
        <v>0</v>
      </c>
      <c r="CI1865" s="3">
        <f t="shared" si="347"/>
        <v>0</v>
      </c>
      <c r="CJ1865" s="17">
        <f t="shared" si="344"/>
        <v>0</v>
      </c>
      <c r="CK1865" s="3">
        <f t="shared" si="345"/>
        <v>0</v>
      </c>
    </row>
    <row r="1866" spans="86:89" x14ac:dyDescent="0.25">
      <c r="CH1866" s="10">
        <f t="shared" si="346"/>
        <v>0</v>
      </c>
      <c r="CI1866" s="3">
        <f t="shared" si="347"/>
        <v>0</v>
      </c>
      <c r="CJ1866" s="17">
        <f t="shared" si="344"/>
        <v>0</v>
      </c>
      <c r="CK1866" s="3">
        <f t="shared" si="345"/>
        <v>0</v>
      </c>
    </row>
    <row r="1867" spans="86:89" x14ac:dyDescent="0.25">
      <c r="CH1867" s="10">
        <f t="shared" si="346"/>
        <v>0</v>
      </c>
      <c r="CI1867" s="3">
        <f t="shared" si="347"/>
        <v>0</v>
      </c>
      <c r="CJ1867" s="17">
        <f t="shared" si="344"/>
        <v>0</v>
      </c>
      <c r="CK1867" s="3">
        <f t="shared" si="345"/>
        <v>0</v>
      </c>
    </row>
    <row r="1868" spans="86:89" x14ac:dyDescent="0.25">
      <c r="CH1868" s="10">
        <f t="shared" si="346"/>
        <v>0</v>
      </c>
      <c r="CI1868" s="3">
        <f t="shared" si="347"/>
        <v>0</v>
      </c>
      <c r="CJ1868" s="17">
        <f t="shared" si="344"/>
        <v>0</v>
      </c>
      <c r="CK1868" s="3">
        <f t="shared" si="345"/>
        <v>0</v>
      </c>
    </row>
    <row r="1869" spans="86:89" x14ac:dyDescent="0.25">
      <c r="CH1869" s="10">
        <f t="shared" si="346"/>
        <v>0</v>
      </c>
      <c r="CI1869" s="3">
        <f t="shared" si="347"/>
        <v>0</v>
      </c>
      <c r="CJ1869" s="17">
        <f t="shared" si="344"/>
        <v>0</v>
      </c>
      <c r="CK1869" s="3">
        <f t="shared" si="345"/>
        <v>0</v>
      </c>
    </row>
    <row r="1870" spans="86:89" x14ac:dyDescent="0.25">
      <c r="CH1870" s="10">
        <f t="shared" si="346"/>
        <v>0</v>
      </c>
      <c r="CI1870" s="3">
        <f t="shared" si="347"/>
        <v>0</v>
      </c>
      <c r="CJ1870" s="17">
        <f t="shared" si="344"/>
        <v>0</v>
      </c>
      <c r="CK1870" s="3">
        <f t="shared" si="345"/>
        <v>0</v>
      </c>
    </row>
    <row r="1871" spans="86:89" x14ac:dyDescent="0.25">
      <c r="CH1871" s="10">
        <f t="shared" si="346"/>
        <v>0</v>
      </c>
      <c r="CI1871" s="3">
        <f t="shared" si="347"/>
        <v>0</v>
      </c>
      <c r="CJ1871" s="17">
        <f t="shared" si="344"/>
        <v>0</v>
      </c>
      <c r="CK1871" s="3">
        <f t="shared" si="345"/>
        <v>0</v>
      </c>
    </row>
    <row r="1872" spans="86:89" x14ac:dyDescent="0.25">
      <c r="CH1872" s="10">
        <f t="shared" si="346"/>
        <v>0</v>
      </c>
      <c r="CI1872" s="3">
        <f t="shared" si="347"/>
        <v>0</v>
      </c>
      <c r="CJ1872" s="17">
        <f t="shared" si="344"/>
        <v>0</v>
      </c>
      <c r="CK1872" s="3">
        <f t="shared" si="345"/>
        <v>0</v>
      </c>
    </row>
    <row r="1873" spans="86:89" x14ac:dyDescent="0.25">
      <c r="CH1873" s="10">
        <f t="shared" si="346"/>
        <v>0</v>
      </c>
      <c r="CI1873" s="3">
        <f t="shared" si="347"/>
        <v>0</v>
      </c>
      <c r="CJ1873" s="17">
        <f t="shared" si="344"/>
        <v>0</v>
      </c>
      <c r="CK1873" s="3">
        <f t="shared" si="345"/>
        <v>0</v>
      </c>
    </row>
    <row r="1874" spans="86:89" x14ac:dyDescent="0.25">
      <c r="CH1874" s="10">
        <f t="shared" si="346"/>
        <v>0</v>
      </c>
      <c r="CI1874" s="3">
        <f t="shared" si="347"/>
        <v>0</v>
      </c>
      <c r="CJ1874" s="17">
        <f t="shared" si="344"/>
        <v>0</v>
      </c>
      <c r="CK1874" s="3">
        <f t="shared" si="345"/>
        <v>0</v>
      </c>
    </row>
    <row r="1875" spans="86:89" x14ac:dyDescent="0.25">
      <c r="CH1875" s="10">
        <f t="shared" si="346"/>
        <v>0</v>
      </c>
      <c r="CI1875" s="3">
        <f t="shared" si="347"/>
        <v>0</v>
      </c>
      <c r="CJ1875" s="17">
        <f t="shared" si="344"/>
        <v>0</v>
      </c>
      <c r="CK1875" s="3">
        <f t="shared" si="345"/>
        <v>0</v>
      </c>
    </row>
    <row r="1876" spans="86:89" x14ac:dyDescent="0.25">
      <c r="CH1876" s="10">
        <f t="shared" si="346"/>
        <v>0</v>
      </c>
      <c r="CI1876" s="3">
        <f t="shared" si="347"/>
        <v>0</v>
      </c>
      <c r="CJ1876" s="17">
        <f t="shared" si="344"/>
        <v>0</v>
      </c>
      <c r="CK1876" s="3">
        <f t="shared" si="345"/>
        <v>0</v>
      </c>
    </row>
    <row r="1877" spans="86:89" x14ac:dyDescent="0.25">
      <c r="CH1877" s="10">
        <f t="shared" si="346"/>
        <v>0</v>
      </c>
      <c r="CI1877" s="3">
        <f t="shared" si="347"/>
        <v>0</v>
      </c>
      <c r="CJ1877" s="17">
        <f t="shared" si="344"/>
        <v>0</v>
      </c>
      <c r="CK1877" s="3">
        <f t="shared" si="345"/>
        <v>0</v>
      </c>
    </row>
    <row r="1878" spans="86:89" x14ac:dyDescent="0.25">
      <c r="CH1878" s="10">
        <f t="shared" si="346"/>
        <v>0</v>
      </c>
      <c r="CI1878" s="3">
        <f t="shared" si="347"/>
        <v>0</v>
      </c>
      <c r="CJ1878" s="17">
        <f t="shared" si="344"/>
        <v>0</v>
      </c>
      <c r="CK1878" s="3">
        <f t="shared" si="345"/>
        <v>0</v>
      </c>
    </row>
    <row r="1879" spans="86:89" x14ac:dyDescent="0.25">
      <c r="CH1879" s="10">
        <f t="shared" si="346"/>
        <v>0</v>
      </c>
      <c r="CI1879" s="3">
        <f t="shared" si="347"/>
        <v>0</v>
      </c>
      <c r="CJ1879" s="17">
        <f t="shared" si="344"/>
        <v>0</v>
      </c>
      <c r="CK1879" s="3">
        <f t="shared" si="345"/>
        <v>0</v>
      </c>
    </row>
    <row r="1880" spans="86:89" x14ac:dyDescent="0.25">
      <c r="CH1880" s="10">
        <f t="shared" si="346"/>
        <v>0</v>
      </c>
      <c r="CI1880" s="3">
        <f t="shared" si="347"/>
        <v>0</v>
      </c>
      <c r="CJ1880" s="17">
        <f t="shared" si="344"/>
        <v>0</v>
      </c>
      <c r="CK1880" s="3">
        <f t="shared" si="345"/>
        <v>0</v>
      </c>
    </row>
    <row r="1881" spans="86:89" x14ac:dyDescent="0.25">
      <c r="CH1881" s="10">
        <f t="shared" si="346"/>
        <v>0</v>
      </c>
      <c r="CI1881" s="3">
        <f t="shared" si="347"/>
        <v>0</v>
      </c>
      <c r="CJ1881" s="17">
        <f t="shared" si="344"/>
        <v>0</v>
      </c>
      <c r="CK1881" s="3">
        <f t="shared" si="345"/>
        <v>0</v>
      </c>
    </row>
    <row r="1882" spans="86:89" x14ac:dyDescent="0.25">
      <c r="CH1882" s="10">
        <f t="shared" si="346"/>
        <v>0</v>
      </c>
      <c r="CI1882" s="3">
        <f t="shared" si="347"/>
        <v>0</v>
      </c>
      <c r="CJ1882" s="17">
        <f t="shared" si="344"/>
        <v>0</v>
      </c>
      <c r="CK1882" s="3">
        <f t="shared" si="345"/>
        <v>0</v>
      </c>
    </row>
    <row r="1883" spans="86:89" x14ac:dyDescent="0.25">
      <c r="CH1883" s="10">
        <f t="shared" si="346"/>
        <v>0</v>
      </c>
      <c r="CI1883" s="3">
        <f t="shared" si="347"/>
        <v>0</v>
      </c>
      <c r="CJ1883" s="17">
        <f t="shared" si="344"/>
        <v>0</v>
      </c>
      <c r="CK1883" s="3">
        <f t="shared" si="345"/>
        <v>0</v>
      </c>
    </row>
    <row r="1884" spans="86:89" x14ac:dyDescent="0.25">
      <c r="CH1884" s="10">
        <f t="shared" si="346"/>
        <v>0</v>
      </c>
      <c r="CI1884" s="3">
        <f t="shared" si="347"/>
        <v>0</v>
      </c>
      <c r="CJ1884" s="17">
        <f t="shared" si="344"/>
        <v>0</v>
      </c>
      <c r="CK1884" s="3">
        <f t="shared" si="345"/>
        <v>0</v>
      </c>
    </row>
    <row r="1885" spans="86:89" x14ac:dyDescent="0.25">
      <c r="CH1885" s="10">
        <f t="shared" ref="CH1885:CH1916" si="348">SUM(AV1885:CG1885)</f>
        <v>0</v>
      </c>
      <c r="CI1885" s="3">
        <f t="shared" ref="CI1885:CI1916" si="349">+CH1885-AU1885</f>
        <v>0</v>
      </c>
      <c r="CJ1885" s="17">
        <f t="shared" si="344"/>
        <v>0</v>
      </c>
      <c r="CK1885" s="3">
        <f t="shared" si="345"/>
        <v>0</v>
      </c>
    </row>
    <row r="1886" spans="86:89" x14ac:dyDescent="0.25">
      <c r="CH1886" s="10">
        <f t="shared" si="348"/>
        <v>0</v>
      </c>
      <c r="CI1886" s="3">
        <f t="shared" si="349"/>
        <v>0</v>
      </c>
      <c r="CJ1886" s="17">
        <f t="shared" si="344"/>
        <v>0</v>
      </c>
      <c r="CK1886" s="3">
        <f t="shared" si="345"/>
        <v>0</v>
      </c>
    </row>
    <row r="1887" spans="86:89" x14ac:dyDescent="0.25">
      <c r="CH1887" s="10">
        <f t="shared" si="348"/>
        <v>0</v>
      </c>
      <c r="CI1887" s="3">
        <f t="shared" si="349"/>
        <v>0</v>
      </c>
      <c r="CJ1887" s="17">
        <f t="shared" si="344"/>
        <v>0</v>
      </c>
      <c r="CK1887" s="3">
        <f t="shared" si="345"/>
        <v>0</v>
      </c>
    </row>
    <row r="1888" spans="86:89" x14ac:dyDescent="0.25">
      <c r="CH1888" s="10">
        <f t="shared" si="348"/>
        <v>0</v>
      </c>
      <c r="CI1888" s="3">
        <f t="shared" si="349"/>
        <v>0</v>
      </c>
      <c r="CJ1888" s="17">
        <f t="shared" si="344"/>
        <v>0</v>
      </c>
      <c r="CK1888" s="3">
        <f t="shared" si="345"/>
        <v>0</v>
      </c>
    </row>
    <row r="1889" spans="86:89" x14ac:dyDescent="0.25">
      <c r="CH1889" s="10">
        <f t="shared" si="348"/>
        <v>0</v>
      </c>
      <c r="CI1889" s="3">
        <f t="shared" si="349"/>
        <v>0</v>
      </c>
      <c r="CJ1889" s="17">
        <f t="shared" si="344"/>
        <v>0</v>
      </c>
      <c r="CK1889" s="3">
        <f t="shared" si="345"/>
        <v>0</v>
      </c>
    </row>
    <row r="1890" spans="86:89" x14ac:dyDescent="0.25">
      <c r="CH1890" s="10">
        <f t="shared" si="348"/>
        <v>0</v>
      </c>
      <c r="CI1890" s="3">
        <f t="shared" si="349"/>
        <v>0</v>
      </c>
      <c r="CJ1890" s="17">
        <f t="shared" si="344"/>
        <v>0</v>
      </c>
      <c r="CK1890" s="3">
        <f t="shared" si="345"/>
        <v>0</v>
      </c>
    </row>
    <row r="1891" spans="86:89" x14ac:dyDescent="0.25">
      <c r="CH1891" s="10">
        <f t="shared" si="348"/>
        <v>0</v>
      </c>
      <c r="CI1891" s="3">
        <f t="shared" si="349"/>
        <v>0</v>
      </c>
      <c r="CJ1891" s="17">
        <f t="shared" si="344"/>
        <v>0</v>
      </c>
      <c r="CK1891" s="3">
        <f t="shared" si="345"/>
        <v>0</v>
      </c>
    </row>
    <row r="1892" spans="86:89" x14ac:dyDescent="0.25">
      <c r="CH1892" s="10">
        <f t="shared" si="348"/>
        <v>0</v>
      </c>
      <c r="CI1892" s="3">
        <f t="shared" si="349"/>
        <v>0</v>
      </c>
      <c r="CJ1892" s="17">
        <f t="shared" si="344"/>
        <v>0</v>
      </c>
      <c r="CK1892" s="3">
        <f t="shared" si="345"/>
        <v>0</v>
      </c>
    </row>
    <row r="1893" spans="86:89" x14ac:dyDescent="0.25">
      <c r="CH1893" s="10">
        <f t="shared" si="348"/>
        <v>0</v>
      </c>
      <c r="CI1893" s="3">
        <f t="shared" si="349"/>
        <v>0</v>
      </c>
      <c r="CJ1893" s="17">
        <f t="shared" si="344"/>
        <v>0</v>
      </c>
      <c r="CK1893" s="3">
        <f t="shared" si="345"/>
        <v>0</v>
      </c>
    </row>
    <row r="1894" spans="86:89" x14ac:dyDescent="0.25">
      <c r="CH1894" s="10">
        <f t="shared" si="348"/>
        <v>0</v>
      </c>
      <c r="CI1894" s="3">
        <f t="shared" si="349"/>
        <v>0</v>
      </c>
      <c r="CJ1894" s="17">
        <f t="shared" si="344"/>
        <v>0</v>
      </c>
      <c r="CK1894" s="3">
        <f t="shared" si="345"/>
        <v>0</v>
      </c>
    </row>
    <row r="1895" spans="86:89" x14ac:dyDescent="0.25">
      <c r="CH1895" s="10">
        <f t="shared" si="348"/>
        <v>0</v>
      </c>
      <c r="CI1895" s="3">
        <f t="shared" si="349"/>
        <v>0</v>
      </c>
      <c r="CJ1895" s="17">
        <f t="shared" si="344"/>
        <v>0</v>
      </c>
      <c r="CK1895" s="3">
        <f t="shared" si="345"/>
        <v>0</v>
      </c>
    </row>
    <row r="1896" spans="86:89" x14ac:dyDescent="0.25">
      <c r="CH1896" s="10">
        <f t="shared" si="348"/>
        <v>0</v>
      </c>
      <c r="CI1896" s="3">
        <f t="shared" si="349"/>
        <v>0</v>
      </c>
      <c r="CJ1896" s="17">
        <f t="shared" si="344"/>
        <v>0</v>
      </c>
      <c r="CK1896" s="3">
        <f t="shared" si="345"/>
        <v>0</v>
      </c>
    </row>
    <row r="1897" spans="86:89" x14ac:dyDescent="0.25">
      <c r="CH1897" s="10">
        <f t="shared" si="348"/>
        <v>0</v>
      </c>
      <c r="CI1897" s="3">
        <f t="shared" si="349"/>
        <v>0</v>
      </c>
      <c r="CJ1897" s="17">
        <f t="shared" si="344"/>
        <v>0</v>
      </c>
      <c r="CK1897" s="3">
        <f t="shared" si="345"/>
        <v>0</v>
      </c>
    </row>
    <row r="1898" spans="86:89" x14ac:dyDescent="0.25">
      <c r="CH1898" s="10">
        <f t="shared" si="348"/>
        <v>0</v>
      </c>
      <c r="CI1898" s="3">
        <f t="shared" si="349"/>
        <v>0</v>
      </c>
      <c r="CJ1898" s="17">
        <f t="shared" si="344"/>
        <v>0</v>
      </c>
      <c r="CK1898" s="3">
        <f t="shared" si="345"/>
        <v>0</v>
      </c>
    </row>
    <row r="1899" spans="86:89" x14ac:dyDescent="0.25">
      <c r="CH1899" s="10">
        <f t="shared" si="348"/>
        <v>0</v>
      </c>
      <c r="CI1899" s="3">
        <f t="shared" si="349"/>
        <v>0</v>
      </c>
      <c r="CJ1899" s="17">
        <f t="shared" si="344"/>
        <v>0</v>
      </c>
      <c r="CK1899" s="3">
        <f t="shared" si="345"/>
        <v>0</v>
      </c>
    </row>
    <row r="1900" spans="86:89" x14ac:dyDescent="0.25">
      <c r="CH1900" s="10">
        <f t="shared" si="348"/>
        <v>0</v>
      </c>
      <c r="CI1900" s="3">
        <f t="shared" si="349"/>
        <v>0</v>
      </c>
      <c r="CJ1900" s="17">
        <f t="shared" si="344"/>
        <v>0</v>
      </c>
      <c r="CK1900" s="3">
        <f t="shared" si="345"/>
        <v>0</v>
      </c>
    </row>
    <row r="1901" spans="86:89" x14ac:dyDescent="0.25">
      <c r="CH1901" s="10">
        <f t="shared" si="348"/>
        <v>0</v>
      </c>
      <c r="CI1901" s="3">
        <f t="shared" si="349"/>
        <v>0</v>
      </c>
      <c r="CJ1901" s="17">
        <f t="shared" si="344"/>
        <v>0</v>
      </c>
      <c r="CK1901" s="3">
        <f t="shared" si="345"/>
        <v>0</v>
      </c>
    </row>
    <row r="1902" spans="86:89" x14ac:dyDescent="0.25">
      <c r="CH1902" s="10">
        <f t="shared" si="348"/>
        <v>0</v>
      </c>
      <c r="CI1902" s="3">
        <f t="shared" si="349"/>
        <v>0</v>
      </c>
      <c r="CJ1902" s="17">
        <f t="shared" si="344"/>
        <v>0</v>
      </c>
      <c r="CK1902" s="3">
        <f t="shared" si="345"/>
        <v>0</v>
      </c>
    </row>
    <row r="1903" spans="86:89" x14ac:dyDescent="0.25">
      <c r="CH1903" s="10">
        <f t="shared" si="348"/>
        <v>0</v>
      </c>
      <c r="CI1903" s="3">
        <f t="shared" si="349"/>
        <v>0</v>
      </c>
      <c r="CJ1903" s="17">
        <f t="shared" si="344"/>
        <v>0</v>
      </c>
      <c r="CK1903" s="3">
        <f t="shared" si="345"/>
        <v>0</v>
      </c>
    </row>
    <row r="1904" spans="86:89" x14ac:dyDescent="0.25">
      <c r="CH1904" s="10">
        <f t="shared" si="348"/>
        <v>0</v>
      </c>
      <c r="CI1904" s="3">
        <f t="shared" si="349"/>
        <v>0</v>
      </c>
      <c r="CJ1904" s="17">
        <f t="shared" si="344"/>
        <v>0</v>
      </c>
      <c r="CK1904" s="3">
        <f t="shared" si="345"/>
        <v>0</v>
      </c>
    </row>
    <row r="1905" spans="86:89" x14ac:dyDescent="0.25">
      <c r="CH1905" s="10">
        <f t="shared" si="348"/>
        <v>0</v>
      </c>
      <c r="CI1905" s="3">
        <f t="shared" si="349"/>
        <v>0</v>
      </c>
      <c r="CJ1905" s="17">
        <f t="shared" si="344"/>
        <v>0</v>
      </c>
      <c r="CK1905" s="3">
        <f t="shared" si="345"/>
        <v>0</v>
      </c>
    </row>
    <row r="1906" spans="86:89" x14ac:dyDescent="0.25">
      <c r="CH1906" s="10">
        <f t="shared" si="348"/>
        <v>0</v>
      </c>
      <c r="CI1906" s="3">
        <f t="shared" si="349"/>
        <v>0</v>
      </c>
      <c r="CJ1906" s="17">
        <f t="shared" si="344"/>
        <v>0</v>
      </c>
      <c r="CK1906" s="3">
        <f t="shared" si="345"/>
        <v>0</v>
      </c>
    </row>
    <row r="1907" spans="86:89" x14ac:dyDescent="0.25">
      <c r="CH1907" s="10">
        <f t="shared" si="348"/>
        <v>0</v>
      </c>
      <c r="CI1907" s="3">
        <f t="shared" si="349"/>
        <v>0</v>
      </c>
      <c r="CJ1907" s="17">
        <f t="shared" si="344"/>
        <v>0</v>
      </c>
      <c r="CK1907" s="3">
        <f t="shared" si="345"/>
        <v>0</v>
      </c>
    </row>
    <row r="1908" spans="86:89" x14ac:dyDescent="0.25">
      <c r="CH1908" s="10">
        <f t="shared" si="348"/>
        <v>0</v>
      </c>
      <c r="CI1908" s="3">
        <f t="shared" si="349"/>
        <v>0</v>
      </c>
      <c r="CJ1908" s="17">
        <f t="shared" si="344"/>
        <v>0</v>
      </c>
      <c r="CK1908" s="3">
        <f t="shared" si="345"/>
        <v>0</v>
      </c>
    </row>
    <row r="1909" spans="86:89" x14ac:dyDescent="0.25">
      <c r="CH1909" s="10">
        <f t="shared" si="348"/>
        <v>0</v>
      </c>
      <c r="CI1909" s="3">
        <f t="shared" si="349"/>
        <v>0</v>
      </c>
      <c r="CJ1909" s="17">
        <f t="shared" si="344"/>
        <v>0</v>
      </c>
      <c r="CK1909" s="3">
        <f t="shared" si="345"/>
        <v>0</v>
      </c>
    </row>
    <row r="1910" spans="86:89" x14ac:dyDescent="0.25">
      <c r="CH1910" s="10">
        <f t="shared" si="348"/>
        <v>0</v>
      </c>
      <c r="CI1910" s="3">
        <f t="shared" si="349"/>
        <v>0</v>
      </c>
      <c r="CJ1910" s="17">
        <f t="shared" si="344"/>
        <v>0</v>
      </c>
      <c r="CK1910" s="3">
        <f t="shared" si="345"/>
        <v>0</v>
      </c>
    </row>
    <row r="1911" spans="86:89" x14ac:dyDescent="0.25">
      <c r="CH1911" s="10">
        <f t="shared" si="348"/>
        <v>0</v>
      </c>
      <c r="CI1911" s="3">
        <f t="shared" si="349"/>
        <v>0</v>
      </c>
      <c r="CJ1911" s="17">
        <f t="shared" si="344"/>
        <v>0</v>
      </c>
      <c r="CK1911" s="3">
        <f t="shared" si="345"/>
        <v>0</v>
      </c>
    </row>
    <row r="1912" spans="86:89" x14ac:dyDescent="0.25">
      <c r="CH1912" s="10">
        <f t="shared" si="348"/>
        <v>0</v>
      </c>
      <c r="CI1912" s="3">
        <f t="shared" si="349"/>
        <v>0</v>
      </c>
      <c r="CJ1912" s="17">
        <f t="shared" si="344"/>
        <v>0</v>
      </c>
      <c r="CK1912" s="3">
        <f t="shared" si="345"/>
        <v>0</v>
      </c>
    </row>
    <row r="1913" spans="86:89" x14ac:dyDescent="0.25">
      <c r="CH1913" s="10">
        <f t="shared" si="348"/>
        <v>0</v>
      </c>
      <c r="CI1913" s="3">
        <f t="shared" si="349"/>
        <v>0</v>
      </c>
      <c r="CJ1913" s="17">
        <f t="shared" ref="CJ1913:CJ1934" si="350">+E1913</f>
        <v>0</v>
      </c>
      <c r="CK1913" s="3">
        <f t="shared" ref="CK1913:CK1934" si="351">+F1913</f>
        <v>0</v>
      </c>
    </row>
    <row r="1914" spans="86:89" x14ac:dyDescent="0.25">
      <c r="CH1914" s="10">
        <f t="shared" si="348"/>
        <v>0</v>
      </c>
      <c r="CI1914" s="3">
        <f t="shared" si="349"/>
        <v>0</v>
      </c>
      <c r="CJ1914" s="17">
        <f t="shared" si="350"/>
        <v>0</v>
      </c>
      <c r="CK1914" s="3">
        <f t="shared" si="351"/>
        <v>0</v>
      </c>
    </row>
    <row r="1915" spans="86:89" x14ac:dyDescent="0.25">
      <c r="CH1915" s="10">
        <f t="shared" si="348"/>
        <v>0</v>
      </c>
      <c r="CI1915" s="3">
        <f t="shared" si="349"/>
        <v>0</v>
      </c>
      <c r="CJ1915" s="17">
        <f t="shared" si="350"/>
        <v>0</v>
      </c>
      <c r="CK1915" s="3">
        <f t="shared" si="351"/>
        <v>0</v>
      </c>
    </row>
    <row r="1916" spans="86:89" x14ac:dyDescent="0.25">
      <c r="CH1916" s="10">
        <f t="shared" si="348"/>
        <v>0</v>
      </c>
      <c r="CI1916" s="3">
        <f t="shared" si="349"/>
        <v>0</v>
      </c>
      <c r="CJ1916" s="17">
        <f t="shared" si="350"/>
        <v>0</v>
      </c>
      <c r="CK1916" s="3">
        <f t="shared" si="351"/>
        <v>0</v>
      </c>
    </row>
    <row r="1917" spans="86:89" x14ac:dyDescent="0.25">
      <c r="CH1917" s="10">
        <f t="shared" ref="CH1917:CH1934" si="352">SUM(AV1917:CG1917)</f>
        <v>0</v>
      </c>
      <c r="CI1917" s="3">
        <f t="shared" ref="CI1917:CI1934" si="353">+CH1917-AU1917</f>
        <v>0</v>
      </c>
      <c r="CJ1917" s="17">
        <f t="shared" si="350"/>
        <v>0</v>
      </c>
      <c r="CK1917" s="3">
        <f t="shared" si="351"/>
        <v>0</v>
      </c>
    </row>
    <row r="1918" spans="86:89" x14ac:dyDescent="0.25">
      <c r="CH1918" s="10">
        <f t="shared" si="352"/>
        <v>0</v>
      </c>
      <c r="CI1918" s="3">
        <f t="shared" si="353"/>
        <v>0</v>
      </c>
      <c r="CJ1918" s="17">
        <f t="shared" si="350"/>
        <v>0</v>
      </c>
      <c r="CK1918" s="3">
        <f t="shared" si="351"/>
        <v>0</v>
      </c>
    </row>
    <row r="1919" spans="86:89" x14ac:dyDescent="0.25">
      <c r="CH1919" s="10">
        <f t="shared" si="352"/>
        <v>0</v>
      </c>
      <c r="CI1919" s="3">
        <f t="shared" si="353"/>
        <v>0</v>
      </c>
      <c r="CJ1919" s="17">
        <f t="shared" si="350"/>
        <v>0</v>
      </c>
      <c r="CK1919" s="3">
        <f t="shared" si="351"/>
        <v>0</v>
      </c>
    </row>
    <row r="1920" spans="86:89" x14ac:dyDescent="0.25">
      <c r="CH1920" s="10">
        <f t="shared" si="352"/>
        <v>0</v>
      </c>
      <c r="CI1920" s="3">
        <f t="shared" si="353"/>
        <v>0</v>
      </c>
      <c r="CJ1920" s="17">
        <f t="shared" si="350"/>
        <v>0</v>
      </c>
      <c r="CK1920" s="3">
        <f t="shared" si="351"/>
        <v>0</v>
      </c>
    </row>
    <row r="1921" spans="86:89" x14ac:dyDescent="0.25">
      <c r="CH1921" s="10">
        <f t="shared" si="352"/>
        <v>0</v>
      </c>
      <c r="CI1921" s="3">
        <f t="shared" si="353"/>
        <v>0</v>
      </c>
      <c r="CJ1921" s="17">
        <f t="shared" si="350"/>
        <v>0</v>
      </c>
      <c r="CK1921" s="3">
        <f t="shared" si="351"/>
        <v>0</v>
      </c>
    </row>
    <row r="1922" spans="86:89" x14ac:dyDescent="0.25">
      <c r="CH1922" s="10">
        <f t="shared" si="352"/>
        <v>0</v>
      </c>
      <c r="CI1922" s="3">
        <f t="shared" si="353"/>
        <v>0</v>
      </c>
      <c r="CJ1922" s="17">
        <f t="shared" si="350"/>
        <v>0</v>
      </c>
      <c r="CK1922" s="3">
        <f t="shared" si="351"/>
        <v>0</v>
      </c>
    </row>
    <row r="1923" spans="86:89" x14ac:dyDescent="0.25">
      <c r="CH1923" s="10">
        <f t="shared" si="352"/>
        <v>0</v>
      </c>
      <c r="CI1923" s="3">
        <f t="shared" si="353"/>
        <v>0</v>
      </c>
      <c r="CJ1923" s="17">
        <f t="shared" si="350"/>
        <v>0</v>
      </c>
      <c r="CK1923" s="3">
        <f t="shared" si="351"/>
        <v>0</v>
      </c>
    </row>
    <row r="1924" spans="86:89" x14ac:dyDescent="0.25">
      <c r="CH1924" s="10">
        <f t="shared" si="352"/>
        <v>0</v>
      </c>
      <c r="CI1924" s="3">
        <f t="shared" si="353"/>
        <v>0</v>
      </c>
      <c r="CJ1924" s="17">
        <f t="shared" si="350"/>
        <v>0</v>
      </c>
      <c r="CK1924" s="3">
        <f t="shared" si="351"/>
        <v>0</v>
      </c>
    </row>
    <row r="1925" spans="86:89" x14ac:dyDescent="0.25">
      <c r="CH1925" s="10">
        <f t="shared" si="352"/>
        <v>0</v>
      </c>
      <c r="CI1925" s="3">
        <f t="shared" si="353"/>
        <v>0</v>
      </c>
      <c r="CJ1925" s="17">
        <f t="shared" si="350"/>
        <v>0</v>
      </c>
      <c r="CK1925" s="3">
        <f t="shared" si="351"/>
        <v>0</v>
      </c>
    </row>
    <row r="1926" spans="86:89" x14ac:dyDescent="0.25">
      <c r="CH1926" s="10">
        <f t="shared" si="352"/>
        <v>0</v>
      </c>
      <c r="CI1926" s="3">
        <f t="shared" si="353"/>
        <v>0</v>
      </c>
      <c r="CJ1926" s="17">
        <f t="shared" si="350"/>
        <v>0</v>
      </c>
      <c r="CK1926" s="3">
        <f t="shared" si="351"/>
        <v>0</v>
      </c>
    </row>
    <row r="1927" spans="86:89" x14ac:dyDescent="0.25">
      <c r="CH1927" s="10">
        <f t="shared" si="352"/>
        <v>0</v>
      </c>
      <c r="CI1927" s="3">
        <f t="shared" si="353"/>
        <v>0</v>
      </c>
      <c r="CJ1927" s="17">
        <f t="shared" si="350"/>
        <v>0</v>
      </c>
      <c r="CK1927" s="3">
        <f t="shared" si="351"/>
        <v>0</v>
      </c>
    </row>
    <row r="1928" spans="86:89" x14ac:dyDescent="0.25">
      <c r="CH1928" s="10">
        <f t="shared" si="352"/>
        <v>0</v>
      </c>
      <c r="CI1928" s="3">
        <f t="shared" si="353"/>
        <v>0</v>
      </c>
      <c r="CJ1928" s="17">
        <f t="shared" si="350"/>
        <v>0</v>
      </c>
      <c r="CK1928" s="3">
        <f t="shared" si="351"/>
        <v>0</v>
      </c>
    </row>
    <row r="1929" spans="86:89" x14ac:dyDescent="0.25">
      <c r="CH1929" s="10">
        <f t="shared" si="352"/>
        <v>0</v>
      </c>
      <c r="CI1929" s="3">
        <f t="shared" si="353"/>
        <v>0</v>
      </c>
      <c r="CJ1929" s="17">
        <f t="shared" si="350"/>
        <v>0</v>
      </c>
      <c r="CK1929" s="3">
        <f t="shared" si="351"/>
        <v>0</v>
      </c>
    </row>
    <row r="1930" spans="86:89" x14ac:dyDescent="0.25">
      <c r="CH1930" s="10">
        <f t="shared" si="352"/>
        <v>0</v>
      </c>
      <c r="CI1930" s="3">
        <f t="shared" si="353"/>
        <v>0</v>
      </c>
      <c r="CJ1930" s="17">
        <f t="shared" si="350"/>
        <v>0</v>
      </c>
      <c r="CK1930" s="3">
        <f t="shared" si="351"/>
        <v>0</v>
      </c>
    </row>
    <row r="1931" spans="86:89" x14ac:dyDescent="0.25">
      <c r="CH1931" s="10">
        <f t="shared" si="352"/>
        <v>0</v>
      </c>
      <c r="CI1931" s="3">
        <f t="shared" si="353"/>
        <v>0</v>
      </c>
      <c r="CJ1931" s="17">
        <f t="shared" si="350"/>
        <v>0</v>
      </c>
      <c r="CK1931" s="3">
        <f t="shared" si="351"/>
        <v>0</v>
      </c>
    </row>
    <row r="1932" spans="86:89" x14ac:dyDescent="0.25">
      <c r="CH1932" s="10">
        <f t="shared" si="352"/>
        <v>0</v>
      </c>
      <c r="CI1932" s="3">
        <f t="shared" si="353"/>
        <v>0</v>
      </c>
      <c r="CJ1932" s="17">
        <f t="shared" si="350"/>
        <v>0</v>
      </c>
      <c r="CK1932" s="3">
        <f t="shared" si="351"/>
        <v>0</v>
      </c>
    </row>
    <row r="1933" spans="86:89" x14ac:dyDescent="0.25">
      <c r="CH1933" s="10">
        <f t="shared" si="352"/>
        <v>0</v>
      </c>
      <c r="CI1933" s="3">
        <f t="shared" si="353"/>
        <v>0</v>
      </c>
      <c r="CJ1933" s="17">
        <f t="shared" si="350"/>
        <v>0</v>
      </c>
      <c r="CK1933" s="3">
        <f t="shared" si="351"/>
        <v>0</v>
      </c>
    </row>
    <row r="1934" spans="86:89" x14ac:dyDescent="0.25">
      <c r="CH1934" s="10">
        <f t="shared" si="352"/>
        <v>0</v>
      </c>
      <c r="CI1934" s="3">
        <f t="shared" si="353"/>
        <v>0</v>
      </c>
      <c r="CJ1934" s="17">
        <f t="shared" si="350"/>
        <v>0</v>
      </c>
      <c r="CK1934" s="3">
        <f t="shared" si="351"/>
        <v>0</v>
      </c>
    </row>
  </sheetData>
  <autoFilter ref="F2:F1942" xr:uid="{33BF4BEA-F4D0-446A-9307-6DA200BCC4DF}"/>
  <phoneticPr fontId="18" type="noConversion"/>
  <pageMargins left="0.7" right="0.7" top="0.75" bottom="0.75" header="0.3" footer="0.3"/>
  <pageSetup scale="85" orientation="landscape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1F7BF-2492-470E-8574-32AC95AE6060}">
  <dimension ref="A1:CV2452"/>
  <sheetViews>
    <sheetView rightToLeft="1" tabSelected="1" topLeftCell="CC1" zoomScale="106" zoomScaleNormal="106" workbookViewId="0">
      <pane ySplit="2" topLeftCell="A1652" activePane="bottomLeft" state="frozen"/>
      <selection pane="bottomLeft" activeCell="G1601" sqref="G1601"/>
    </sheetView>
  </sheetViews>
  <sheetFormatPr defaultRowHeight="15.75" x14ac:dyDescent="0.25"/>
  <cols>
    <col min="1" max="1" width="12.7109375" style="234" customWidth="1"/>
    <col min="2" max="2" width="16.5703125" style="223" customWidth="1"/>
    <col min="3" max="3" width="27.42578125" style="223" customWidth="1"/>
    <col min="4" max="4" width="9.140625" style="224"/>
    <col min="5" max="5" width="10" style="224" customWidth="1"/>
    <col min="6" max="6" width="13.5703125" style="250" customWidth="1"/>
    <col min="7" max="7" width="40.7109375" style="223" customWidth="1"/>
    <col min="8" max="8" width="9.28515625" style="223" customWidth="1"/>
    <col min="9" max="9" width="12" style="223" customWidth="1"/>
    <col min="10" max="10" width="15" style="223" customWidth="1"/>
    <col min="11" max="11" width="10.5703125" style="223" customWidth="1"/>
    <col min="12" max="12" width="15.7109375" style="223" customWidth="1"/>
    <col min="13" max="13" width="11.85546875" style="223" customWidth="1"/>
    <col min="14" max="14" width="13.5703125" style="223" customWidth="1"/>
    <col min="15" max="15" width="9.85546875" style="223" customWidth="1"/>
    <col min="16" max="16" width="11.140625" style="223" customWidth="1"/>
    <col min="17" max="17" width="9.140625" style="223" customWidth="1"/>
    <col min="18" max="18" width="12.5703125" style="223" customWidth="1"/>
    <col min="19" max="19" width="9.28515625" style="223" customWidth="1"/>
    <col min="20" max="20" width="11.42578125" style="223" customWidth="1"/>
    <col min="21" max="21" width="15.28515625" style="223" customWidth="1"/>
    <col min="22" max="22" width="11.5703125" style="223" customWidth="1"/>
    <col min="23" max="23" width="8.85546875" style="223" customWidth="1"/>
    <col min="24" max="24" width="11.85546875" style="223" customWidth="1"/>
    <col min="25" max="25" width="15.7109375" style="223" customWidth="1"/>
    <col min="26" max="26" width="9.140625" style="223" customWidth="1"/>
    <col min="27" max="27" width="11.140625" style="223" customWidth="1"/>
    <col min="28" max="29" width="13" style="223" customWidth="1"/>
    <col min="30" max="30" width="14.85546875" style="223" customWidth="1"/>
    <col min="31" max="31" width="12.42578125" style="223" customWidth="1"/>
    <col min="32" max="32" width="12.85546875" style="223" customWidth="1"/>
    <col min="33" max="33" width="18.140625" style="223" customWidth="1"/>
    <col min="34" max="34" width="15" style="223" customWidth="1"/>
    <col min="35" max="35" width="18" style="223" customWidth="1"/>
    <col min="36" max="36" width="9.140625" style="223" customWidth="1"/>
    <col min="37" max="37" width="14.28515625" style="223" customWidth="1"/>
    <col min="38" max="38" width="7.28515625" style="223" customWidth="1"/>
    <col min="39" max="39" width="7.140625" style="223" customWidth="1"/>
    <col min="40" max="40" width="5.85546875" style="223" customWidth="1"/>
    <col min="41" max="42" width="9.140625" style="223" customWidth="1"/>
    <col min="43" max="43" width="11" style="223" customWidth="1"/>
    <col min="44" max="44" width="8.7109375" style="223" customWidth="1"/>
    <col min="45" max="45" width="9.140625" style="223" customWidth="1"/>
    <col min="46" max="46" width="8.140625" style="223" customWidth="1"/>
    <col min="47" max="47" width="17.140625" style="223" customWidth="1"/>
    <col min="48" max="48" width="16.7109375" style="223" customWidth="1"/>
    <col min="49" max="49" width="15" style="223" customWidth="1"/>
    <col min="50" max="50" width="11.140625" style="223" customWidth="1"/>
    <col min="51" max="51" width="13" style="223" customWidth="1"/>
    <col min="52" max="52" width="10.7109375" style="223" customWidth="1"/>
    <col min="53" max="53" width="13.28515625" style="223" customWidth="1"/>
    <col min="54" max="54" width="6.28515625" style="223" customWidth="1"/>
    <col min="55" max="55" width="9.140625" style="223" customWidth="1"/>
    <col min="56" max="56" width="18.7109375" style="223" customWidth="1"/>
    <col min="57" max="57" width="14.5703125" style="223" customWidth="1"/>
    <col min="58" max="58" width="9.85546875" style="223" customWidth="1"/>
    <col min="59" max="59" width="11.140625" style="223" customWidth="1"/>
    <col min="60" max="60" width="9.140625" style="223" customWidth="1"/>
    <col min="61" max="61" width="13.7109375" style="223" customWidth="1"/>
    <col min="62" max="62" width="7.7109375" style="223" customWidth="1"/>
    <col min="63" max="63" width="10.42578125" style="223" customWidth="1"/>
    <col min="64" max="64" width="12" style="223" customWidth="1"/>
    <col min="65" max="65" width="11.28515625" style="223" customWidth="1"/>
    <col min="66" max="66" width="6.5703125" style="223" customWidth="1"/>
    <col min="67" max="67" width="9.5703125" style="223" customWidth="1"/>
    <col min="68" max="68" width="11.7109375" style="223" customWidth="1"/>
    <col min="69" max="69" width="11.42578125" style="223" customWidth="1"/>
    <col min="70" max="70" width="8.5703125" style="223" customWidth="1"/>
    <col min="71" max="71" width="8.42578125" style="223" customWidth="1"/>
    <col min="72" max="73" width="9.140625" style="223" customWidth="1"/>
    <col min="74" max="74" width="10.85546875" style="223" customWidth="1"/>
    <col min="75" max="75" width="11.140625" style="223" customWidth="1"/>
    <col min="76" max="76" width="12.85546875" style="223" customWidth="1"/>
    <col min="77" max="77" width="9.140625" style="223" customWidth="1"/>
    <col min="78" max="78" width="7.85546875" style="223" customWidth="1"/>
    <col min="79" max="79" width="7.5703125" style="223" customWidth="1"/>
    <col min="80" max="80" width="7.42578125" style="223" customWidth="1"/>
    <col min="81" max="83" width="9.140625" style="223" customWidth="1"/>
    <col min="84" max="84" width="12.5703125" style="223" customWidth="1"/>
    <col min="85" max="85" width="8.42578125" style="223" customWidth="1"/>
    <col min="86" max="86" width="10" style="223" customWidth="1"/>
    <col min="87" max="87" width="16.5703125" style="223" customWidth="1"/>
    <col min="88" max="88" width="14.85546875" style="223" customWidth="1"/>
    <col min="89" max="89" width="14.42578125" style="223" customWidth="1"/>
    <col min="90" max="90" width="19.7109375" style="223" hidden="1" customWidth="1"/>
    <col min="91" max="91" width="9.140625" style="258" customWidth="1"/>
    <col min="92" max="92" width="13.42578125" style="223" customWidth="1"/>
    <col min="93" max="16384" width="9.140625" style="223"/>
  </cols>
  <sheetData>
    <row r="1" spans="1:94" ht="31.5" x14ac:dyDescent="0.25">
      <c r="D1" s="224" t="s">
        <v>8</v>
      </c>
      <c r="I1" s="223" t="s">
        <v>1</v>
      </c>
      <c r="J1" s="223" t="s">
        <v>2</v>
      </c>
      <c r="K1" s="223" t="s">
        <v>3</v>
      </c>
      <c r="L1" s="225" t="s">
        <v>4</v>
      </c>
      <c r="M1" s="225" t="s">
        <v>5</v>
      </c>
      <c r="AW1" s="223" t="s">
        <v>51</v>
      </c>
      <c r="BU1" s="223" t="s">
        <v>6</v>
      </c>
    </row>
    <row r="2" spans="1:94" s="238" customFormat="1" ht="78.75" x14ac:dyDescent="0.25">
      <c r="A2" s="248" t="s">
        <v>7</v>
      </c>
      <c r="D2" s="249" t="s">
        <v>8</v>
      </c>
      <c r="E2" s="249" t="s">
        <v>9</v>
      </c>
      <c r="F2" s="251" t="s">
        <v>10</v>
      </c>
      <c r="G2" s="238" t="s">
        <v>11</v>
      </c>
      <c r="H2" s="238" t="s">
        <v>12</v>
      </c>
      <c r="I2" s="225" t="s">
        <v>13</v>
      </c>
      <c r="J2" s="225" t="s">
        <v>14</v>
      </c>
      <c r="K2" s="238" t="s">
        <v>15</v>
      </c>
      <c r="L2" s="225" t="s">
        <v>16</v>
      </c>
      <c r="M2" s="238" t="s">
        <v>17</v>
      </c>
      <c r="N2" s="238" t="s">
        <v>18</v>
      </c>
      <c r="O2" s="238" t="s">
        <v>19</v>
      </c>
      <c r="P2" s="238" t="s">
        <v>20</v>
      </c>
      <c r="Q2" s="238" t="s">
        <v>21</v>
      </c>
      <c r="R2" s="238" t="s">
        <v>22</v>
      </c>
      <c r="S2" s="238" t="s">
        <v>23</v>
      </c>
      <c r="T2" s="238" t="s">
        <v>24</v>
      </c>
      <c r="U2" s="238" t="s">
        <v>25</v>
      </c>
      <c r="V2" s="238" t="s">
        <v>26</v>
      </c>
      <c r="W2" s="238" t="s">
        <v>27</v>
      </c>
      <c r="X2" s="238" t="s">
        <v>28</v>
      </c>
      <c r="Y2" s="238" t="s">
        <v>29</v>
      </c>
      <c r="Z2" s="238" t="s">
        <v>30</v>
      </c>
      <c r="AA2" s="238" t="s">
        <v>2201</v>
      </c>
      <c r="AB2" s="238" t="s">
        <v>31</v>
      </c>
      <c r="AC2" s="238" t="s">
        <v>32</v>
      </c>
      <c r="AD2" s="238" t="s">
        <v>33</v>
      </c>
      <c r="AE2" s="238" t="s">
        <v>34</v>
      </c>
      <c r="AF2" s="238" t="s">
        <v>35</v>
      </c>
      <c r="AG2" s="238" t="s">
        <v>5060</v>
      </c>
      <c r="AH2" s="238" t="s">
        <v>36</v>
      </c>
      <c r="AI2" s="225" t="s">
        <v>37</v>
      </c>
      <c r="AJ2" s="238" t="s">
        <v>38</v>
      </c>
      <c r="AK2" s="225" t="s">
        <v>39</v>
      </c>
      <c r="AL2" s="238" t="s">
        <v>40</v>
      </c>
      <c r="AM2" s="225" t="s">
        <v>41</v>
      </c>
      <c r="AN2" s="238" t="s">
        <v>42</v>
      </c>
      <c r="AO2" s="238" t="s">
        <v>43</v>
      </c>
      <c r="AP2" s="238" t="s">
        <v>44</v>
      </c>
      <c r="AQ2" s="238" t="s">
        <v>45</v>
      </c>
      <c r="AR2" s="238" t="s">
        <v>46</v>
      </c>
      <c r="AS2" s="238" t="s">
        <v>47</v>
      </c>
      <c r="AT2" s="225" t="s">
        <v>48</v>
      </c>
      <c r="AU2" s="238" t="s">
        <v>49</v>
      </c>
      <c r="AV2" s="238" t="s">
        <v>50</v>
      </c>
      <c r="AW2" s="238" t="s">
        <v>51</v>
      </c>
      <c r="AX2" s="238" t="s">
        <v>52</v>
      </c>
      <c r="AY2" s="238" t="s">
        <v>25</v>
      </c>
      <c r="AZ2" s="238" t="s">
        <v>53</v>
      </c>
      <c r="BA2" s="238" t="s">
        <v>54</v>
      </c>
      <c r="BB2" s="238" t="s">
        <v>5690</v>
      </c>
      <c r="BC2" s="238" t="s">
        <v>55</v>
      </c>
      <c r="BD2" s="225" t="s">
        <v>37</v>
      </c>
      <c r="BE2" s="225" t="s">
        <v>39</v>
      </c>
      <c r="BF2" s="238" t="s">
        <v>56</v>
      </c>
      <c r="BG2" s="238" t="s">
        <v>30</v>
      </c>
      <c r="BH2" s="238" t="s">
        <v>57</v>
      </c>
      <c r="BI2" s="238" t="s">
        <v>58</v>
      </c>
      <c r="BJ2" s="225" t="s">
        <v>59</v>
      </c>
      <c r="BK2" s="238" t="s">
        <v>5060</v>
      </c>
      <c r="BL2" s="238" t="s">
        <v>31</v>
      </c>
      <c r="BM2" s="238" t="s">
        <v>60</v>
      </c>
      <c r="BN2" s="238" t="s">
        <v>27</v>
      </c>
      <c r="BO2" s="238" t="s">
        <v>61</v>
      </c>
      <c r="BP2" s="238" t="s">
        <v>62</v>
      </c>
      <c r="BQ2" s="238" t="s">
        <v>24</v>
      </c>
      <c r="BR2" s="238" t="s">
        <v>63</v>
      </c>
      <c r="BS2" s="238" t="s">
        <v>64</v>
      </c>
      <c r="BT2" s="238" t="s">
        <v>18</v>
      </c>
      <c r="BU2" s="238" t="s">
        <v>65</v>
      </c>
      <c r="BV2" s="238" t="s">
        <v>21</v>
      </c>
      <c r="BW2" s="238" t="s">
        <v>66</v>
      </c>
      <c r="BX2" s="238" t="s">
        <v>67</v>
      </c>
      <c r="BY2" s="238" t="s">
        <v>40</v>
      </c>
      <c r="BZ2" s="238" t="s">
        <v>68</v>
      </c>
      <c r="CA2" s="225" t="s">
        <v>69</v>
      </c>
      <c r="CB2" s="238" t="s">
        <v>41</v>
      </c>
      <c r="CC2" s="238" t="s">
        <v>70</v>
      </c>
      <c r="CD2" s="238" t="s">
        <v>71</v>
      </c>
      <c r="CE2" s="238" t="s">
        <v>72</v>
      </c>
      <c r="CF2" s="225" t="s">
        <v>46</v>
      </c>
      <c r="CG2" s="238" t="s">
        <v>73</v>
      </c>
      <c r="CH2" s="225" t="s">
        <v>74</v>
      </c>
      <c r="CI2" s="225" t="s">
        <v>5770</v>
      </c>
      <c r="CJ2" s="238" t="s">
        <v>75</v>
      </c>
      <c r="CK2" s="238" t="s">
        <v>76</v>
      </c>
      <c r="CM2" s="258"/>
      <c r="CO2" s="238" t="s">
        <v>5628</v>
      </c>
      <c r="CP2" s="238" t="s">
        <v>5629</v>
      </c>
    </row>
    <row r="3" spans="1:94" x14ac:dyDescent="0.25">
      <c r="I3" s="225"/>
      <c r="J3" s="225"/>
      <c r="L3" s="225"/>
      <c r="M3" s="225"/>
      <c r="AX3" s="225"/>
      <c r="BA3" s="225"/>
      <c r="BB3" s="225"/>
      <c r="BN3" s="225"/>
      <c r="BO3" s="225"/>
      <c r="BS3" s="225"/>
    </row>
    <row r="4" spans="1:94" s="201" customFormat="1" x14ac:dyDescent="0.25">
      <c r="A4" s="202">
        <v>45297</v>
      </c>
      <c r="B4" s="202"/>
      <c r="C4" s="203"/>
      <c r="D4" s="221">
        <v>20646</v>
      </c>
      <c r="E4" s="221">
        <v>12166</v>
      </c>
      <c r="F4" s="252" t="s">
        <v>122</v>
      </c>
      <c r="G4" s="201" t="s">
        <v>5143</v>
      </c>
      <c r="U4" s="201">
        <v>2169.4699999999998</v>
      </c>
      <c r="AV4" s="22">
        <f t="shared" ref="AV4:AV35" si="0">SUM(J4:AT4)</f>
        <v>2169.4699999999998</v>
      </c>
      <c r="AW4" s="201">
        <v>2169.4699999999998</v>
      </c>
      <c r="CK4" s="22">
        <f t="shared" ref="CK4:CK67" si="1">SUM(AW4:CJ4)</f>
        <v>2169.4699999999998</v>
      </c>
      <c r="CL4" s="3">
        <f t="shared" ref="CL4:CL67" si="2">+CK4-AV4</f>
        <v>0</v>
      </c>
      <c r="CM4" s="222">
        <f t="shared" ref="CM4:CM67" si="3">+E4</f>
        <v>12166</v>
      </c>
      <c r="CN4" s="3" t="str">
        <f t="shared" ref="CN4:CN67" si="4">+F4</f>
        <v>علاج تخصصى</v>
      </c>
    </row>
    <row r="5" spans="1:94" s="201" customFormat="1" x14ac:dyDescent="0.25">
      <c r="A5" s="202"/>
      <c r="B5" s="202"/>
      <c r="C5" s="203"/>
      <c r="D5" s="221">
        <v>20646</v>
      </c>
      <c r="E5" s="221">
        <v>12167</v>
      </c>
      <c r="F5" s="252" t="s">
        <v>124</v>
      </c>
      <c r="G5" s="201" t="s">
        <v>5143</v>
      </c>
      <c r="U5" s="201">
        <v>193.44</v>
      </c>
      <c r="AV5" s="22">
        <f t="shared" si="0"/>
        <v>193.44</v>
      </c>
      <c r="AW5" s="201">
        <v>193.44</v>
      </c>
      <c r="CK5" s="22">
        <f t="shared" si="1"/>
        <v>193.44</v>
      </c>
      <c r="CL5" s="3">
        <f t="shared" si="2"/>
        <v>0</v>
      </c>
      <c r="CM5" s="222">
        <f t="shared" si="3"/>
        <v>12167</v>
      </c>
      <c r="CN5" s="3" t="str">
        <f t="shared" si="4"/>
        <v>تكافل اسنان</v>
      </c>
    </row>
    <row r="6" spans="1:94" s="201" customFormat="1" x14ac:dyDescent="0.25">
      <c r="A6" s="202"/>
      <c r="B6" s="202"/>
      <c r="C6" s="203"/>
      <c r="D6" s="221">
        <v>20645</v>
      </c>
      <c r="E6" s="221">
        <v>12168</v>
      </c>
      <c r="F6" s="252" t="s">
        <v>121</v>
      </c>
      <c r="G6" s="201" t="s">
        <v>5143</v>
      </c>
      <c r="U6" s="201">
        <v>144789.04</v>
      </c>
      <c r="AV6" s="22">
        <f t="shared" si="0"/>
        <v>144789.04</v>
      </c>
      <c r="AW6" s="201">
        <v>144789.04</v>
      </c>
      <c r="CK6" s="22">
        <f t="shared" si="1"/>
        <v>144789.04</v>
      </c>
      <c r="CL6" s="3">
        <f t="shared" si="2"/>
        <v>0</v>
      </c>
      <c r="CM6" s="222">
        <f t="shared" si="3"/>
        <v>12168</v>
      </c>
      <c r="CN6" s="3" t="str">
        <f t="shared" si="4"/>
        <v>ماليزى اسنان</v>
      </c>
    </row>
    <row r="7" spans="1:94" s="201" customFormat="1" x14ac:dyDescent="0.25">
      <c r="A7" s="202"/>
      <c r="B7" s="202"/>
      <c r="C7" s="203"/>
      <c r="D7" s="221">
        <v>20643</v>
      </c>
      <c r="E7" s="221">
        <v>12169</v>
      </c>
      <c r="F7" s="252" t="s">
        <v>249</v>
      </c>
      <c r="G7" s="201" t="s">
        <v>5143</v>
      </c>
      <c r="U7" s="201">
        <v>152904.31</v>
      </c>
      <c r="AV7" s="22">
        <f t="shared" si="0"/>
        <v>152904.31</v>
      </c>
      <c r="AW7" s="201">
        <v>152904.31</v>
      </c>
      <c r="CK7" s="22">
        <f t="shared" si="1"/>
        <v>152904.31</v>
      </c>
      <c r="CL7" s="3">
        <f t="shared" si="2"/>
        <v>0</v>
      </c>
      <c r="CM7" s="222">
        <f t="shared" si="3"/>
        <v>12169</v>
      </c>
      <c r="CN7" s="3" t="str">
        <f t="shared" si="4"/>
        <v>خدمة عامة</v>
      </c>
    </row>
    <row r="8" spans="1:94" s="201" customFormat="1" x14ac:dyDescent="0.25">
      <c r="A8" s="202"/>
      <c r="B8" s="202"/>
      <c r="C8" s="203"/>
      <c r="D8" s="221">
        <v>20642</v>
      </c>
      <c r="E8" s="221">
        <v>12170</v>
      </c>
      <c r="F8" s="252" t="s">
        <v>123</v>
      </c>
      <c r="G8" s="201" t="s">
        <v>5143</v>
      </c>
      <c r="U8" s="201">
        <v>7104.29</v>
      </c>
      <c r="AV8" s="22">
        <f t="shared" si="0"/>
        <v>7104.29</v>
      </c>
      <c r="AW8" s="201">
        <v>7104.29</v>
      </c>
      <c r="CK8" s="22">
        <f t="shared" si="1"/>
        <v>7104.29</v>
      </c>
      <c r="CL8" s="3">
        <f t="shared" si="2"/>
        <v>0</v>
      </c>
      <c r="CM8" s="222">
        <f t="shared" si="3"/>
        <v>12170</v>
      </c>
      <c r="CN8" s="3" t="str">
        <f t="shared" si="4"/>
        <v>خ ت اسنان</v>
      </c>
    </row>
    <row r="9" spans="1:94" s="201" customFormat="1" x14ac:dyDescent="0.25">
      <c r="A9" s="202"/>
      <c r="B9" s="202"/>
      <c r="C9" s="203"/>
      <c r="D9" s="221">
        <v>20644</v>
      </c>
      <c r="E9" s="221">
        <v>12171</v>
      </c>
      <c r="F9" s="252" t="s">
        <v>125</v>
      </c>
      <c r="G9" s="201" t="s">
        <v>5143</v>
      </c>
      <c r="U9" s="201">
        <v>445.37</v>
      </c>
      <c r="AV9" s="22">
        <f t="shared" si="0"/>
        <v>445.37</v>
      </c>
      <c r="AW9" s="201">
        <v>445.37</v>
      </c>
      <c r="CK9" s="22">
        <f t="shared" si="1"/>
        <v>445.37</v>
      </c>
      <c r="CL9" s="3">
        <f t="shared" si="2"/>
        <v>0</v>
      </c>
      <c r="CM9" s="222">
        <f t="shared" si="3"/>
        <v>12171</v>
      </c>
      <c r="CN9" s="3" t="str">
        <f t="shared" si="4"/>
        <v>اختبار مواد</v>
      </c>
    </row>
    <row r="10" spans="1:94" s="201" customFormat="1" x14ac:dyDescent="0.25">
      <c r="A10" s="202"/>
      <c r="B10" s="202"/>
      <c r="C10" s="203"/>
      <c r="D10" s="221">
        <v>20641</v>
      </c>
      <c r="E10" s="221">
        <v>12172</v>
      </c>
      <c r="F10" s="252" t="s">
        <v>119</v>
      </c>
      <c r="G10" s="201" t="s">
        <v>5143</v>
      </c>
      <c r="U10" s="201">
        <v>12835.69</v>
      </c>
      <c r="AV10" s="22">
        <f t="shared" si="0"/>
        <v>12835.69</v>
      </c>
      <c r="AW10" s="201">
        <v>12835.69</v>
      </c>
      <c r="CK10" s="22">
        <f t="shared" si="1"/>
        <v>12835.69</v>
      </c>
      <c r="CL10" s="3">
        <f t="shared" si="2"/>
        <v>0</v>
      </c>
      <c r="CM10" s="222">
        <f t="shared" si="3"/>
        <v>12172</v>
      </c>
      <c r="CN10" s="3" t="str">
        <f t="shared" si="4"/>
        <v>خ ت صيدلة</v>
      </c>
    </row>
    <row r="11" spans="1:94" s="201" customFormat="1" x14ac:dyDescent="0.25">
      <c r="A11" s="202"/>
      <c r="B11" s="202"/>
      <c r="C11" s="203"/>
      <c r="D11" s="221">
        <v>20640</v>
      </c>
      <c r="E11" s="221">
        <v>12173</v>
      </c>
      <c r="F11" s="252" t="s">
        <v>5144</v>
      </c>
      <c r="G11" s="201" t="s">
        <v>5143</v>
      </c>
      <c r="U11" s="201">
        <v>161787.81</v>
      </c>
      <c r="AV11" s="22">
        <f t="shared" si="0"/>
        <v>161787.81</v>
      </c>
      <c r="AW11" s="201">
        <v>161787.81</v>
      </c>
      <c r="CK11" s="22">
        <f t="shared" si="1"/>
        <v>161787.81</v>
      </c>
      <c r="CL11" s="3">
        <f t="shared" si="2"/>
        <v>0</v>
      </c>
      <c r="CM11" s="222">
        <f t="shared" si="3"/>
        <v>12173</v>
      </c>
      <c r="CN11" s="3" t="str">
        <f t="shared" si="4"/>
        <v>صيدلة اكلينكى</v>
      </c>
    </row>
    <row r="12" spans="1:94" s="201" customFormat="1" x14ac:dyDescent="0.25">
      <c r="A12" s="202"/>
      <c r="B12" s="202"/>
      <c r="C12" s="203"/>
      <c r="D12" s="221">
        <v>20639</v>
      </c>
      <c r="E12" s="221">
        <v>12174</v>
      </c>
      <c r="F12" s="252" t="s">
        <v>128</v>
      </c>
      <c r="G12" s="201" t="s">
        <v>5143</v>
      </c>
      <c r="U12" s="201">
        <v>40781.199999999997</v>
      </c>
      <c r="AV12" s="22">
        <f t="shared" si="0"/>
        <v>40781.199999999997</v>
      </c>
      <c r="AW12" s="201">
        <v>40781.199999999997</v>
      </c>
      <c r="CK12" s="22">
        <f t="shared" si="1"/>
        <v>40781.199999999997</v>
      </c>
      <c r="CL12" s="3">
        <f t="shared" si="2"/>
        <v>0</v>
      </c>
      <c r="CM12" s="222">
        <f t="shared" si="3"/>
        <v>12174</v>
      </c>
      <c r="CN12" s="3" t="str">
        <f t="shared" si="4"/>
        <v>مركز مؤتمرات</v>
      </c>
    </row>
    <row r="13" spans="1:94" s="201" customFormat="1" x14ac:dyDescent="0.25">
      <c r="A13" s="202"/>
      <c r="B13" s="202"/>
      <c r="C13" s="203"/>
      <c r="D13" s="221">
        <v>20637</v>
      </c>
      <c r="E13" s="221">
        <v>12175</v>
      </c>
      <c r="F13" s="252" t="s">
        <v>78</v>
      </c>
      <c r="G13" s="201" t="s">
        <v>5143</v>
      </c>
      <c r="U13" s="201">
        <v>717821.8</v>
      </c>
      <c r="AV13" s="22">
        <f t="shared" si="0"/>
        <v>717821.8</v>
      </c>
      <c r="AW13" s="201">
        <v>717821.8</v>
      </c>
      <c r="CK13" s="22">
        <f t="shared" si="1"/>
        <v>717821.8</v>
      </c>
      <c r="CL13" s="3">
        <f t="shared" si="2"/>
        <v>0</v>
      </c>
      <c r="CM13" s="222">
        <f t="shared" si="3"/>
        <v>12175</v>
      </c>
      <c r="CN13" s="3" t="str">
        <f t="shared" si="4"/>
        <v>برنامج دولى</v>
      </c>
    </row>
    <row r="14" spans="1:94" s="201" customFormat="1" x14ac:dyDescent="0.25">
      <c r="A14" s="202"/>
      <c r="B14" s="202"/>
      <c r="C14" s="203"/>
      <c r="D14" s="221">
        <v>20638</v>
      </c>
      <c r="E14" s="221">
        <v>12176</v>
      </c>
      <c r="F14" s="252" t="s">
        <v>130</v>
      </c>
      <c r="G14" s="201" t="s">
        <v>5143</v>
      </c>
      <c r="U14" s="201">
        <v>8398.3799999999992</v>
      </c>
      <c r="AV14" s="22">
        <f t="shared" si="0"/>
        <v>8398.3799999999992</v>
      </c>
      <c r="AW14" s="201">
        <v>8398.3799999999992</v>
      </c>
      <c r="CK14" s="22">
        <f t="shared" si="1"/>
        <v>8398.3799999999992</v>
      </c>
      <c r="CL14" s="3">
        <f t="shared" si="2"/>
        <v>0</v>
      </c>
      <c r="CM14" s="222">
        <f t="shared" si="3"/>
        <v>12176</v>
      </c>
      <c r="CN14" s="3" t="str">
        <f t="shared" si="4"/>
        <v>خ ت طب</v>
      </c>
    </row>
    <row r="15" spans="1:94" s="201" customFormat="1" x14ac:dyDescent="0.25">
      <c r="A15" s="202"/>
      <c r="B15" s="202"/>
      <c r="C15" s="203"/>
      <c r="D15" s="221">
        <v>20722</v>
      </c>
      <c r="E15" s="221">
        <v>12177</v>
      </c>
      <c r="F15" s="252"/>
      <c r="G15" s="201" t="s">
        <v>5145</v>
      </c>
      <c r="AF15" s="201">
        <v>1600</v>
      </c>
      <c r="AV15" s="22">
        <f t="shared" si="0"/>
        <v>1600</v>
      </c>
      <c r="AW15" s="201">
        <v>1600</v>
      </c>
      <c r="CK15" s="22">
        <f t="shared" si="1"/>
        <v>1600</v>
      </c>
      <c r="CL15" s="3">
        <f t="shared" si="2"/>
        <v>0</v>
      </c>
      <c r="CM15" s="222">
        <f t="shared" si="3"/>
        <v>12177</v>
      </c>
      <c r="CN15" s="3">
        <f t="shared" si="4"/>
        <v>0</v>
      </c>
    </row>
    <row r="16" spans="1:94" s="201" customFormat="1" x14ac:dyDescent="0.25">
      <c r="A16" s="202"/>
      <c r="B16" s="202"/>
      <c r="C16" s="203"/>
      <c r="D16" s="221">
        <v>20823</v>
      </c>
      <c r="E16" s="221">
        <v>12178</v>
      </c>
      <c r="F16" s="252"/>
      <c r="G16" s="201" t="s">
        <v>5146</v>
      </c>
      <c r="AF16" s="201">
        <v>6835.21</v>
      </c>
      <c r="AV16" s="22">
        <f t="shared" si="0"/>
        <v>6835.21</v>
      </c>
      <c r="AW16" s="201">
        <v>6835.21</v>
      </c>
      <c r="CK16" s="22">
        <f t="shared" si="1"/>
        <v>6835.21</v>
      </c>
      <c r="CL16" s="3">
        <f t="shared" si="2"/>
        <v>0</v>
      </c>
      <c r="CM16" s="222">
        <f t="shared" si="3"/>
        <v>12178</v>
      </c>
      <c r="CN16" s="3">
        <f t="shared" si="4"/>
        <v>0</v>
      </c>
    </row>
    <row r="17" spans="1:92" s="201" customFormat="1" x14ac:dyDescent="0.25">
      <c r="A17" s="202"/>
      <c r="B17" s="202"/>
      <c r="C17" s="203"/>
      <c r="D17" s="221">
        <v>19671</v>
      </c>
      <c r="E17" s="221">
        <v>12179</v>
      </c>
      <c r="F17" s="252"/>
      <c r="G17" s="201" t="s">
        <v>5148</v>
      </c>
      <c r="AF17" s="201">
        <v>1661.53</v>
      </c>
      <c r="AV17" s="22">
        <f t="shared" si="0"/>
        <v>1661.53</v>
      </c>
      <c r="AW17" s="201">
        <v>1661.53</v>
      </c>
      <c r="CK17" s="22">
        <f t="shared" si="1"/>
        <v>1661.53</v>
      </c>
      <c r="CL17" s="3">
        <f t="shared" si="2"/>
        <v>0</v>
      </c>
      <c r="CM17" s="222">
        <f t="shared" si="3"/>
        <v>12179</v>
      </c>
      <c r="CN17" s="3">
        <f t="shared" si="4"/>
        <v>0</v>
      </c>
    </row>
    <row r="18" spans="1:92" s="201" customFormat="1" x14ac:dyDescent="0.25">
      <c r="A18" s="202"/>
      <c r="B18" s="202"/>
      <c r="C18" s="203"/>
      <c r="D18" s="221">
        <v>19670</v>
      </c>
      <c r="E18" s="221">
        <v>12180</v>
      </c>
      <c r="F18" s="252"/>
      <c r="G18" s="201" t="s">
        <v>5149</v>
      </c>
      <c r="AF18" s="201">
        <v>545.52</v>
      </c>
      <c r="AV18" s="22">
        <f t="shared" si="0"/>
        <v>545.52</v>
      </c>
      <c r="AW18" s="201">
        <v>545.52</v>
      </c>
      <c r="CK18" s="22">
        <f t="shared" si="1"/>
        <v>545.52</v>
      </c>
      <c r="CL18" s="3">
        <f t="shared" si="2"/>
        <v>0</v>
      </c>
      <c r="CM18" s="222">
        <f t="shared" si="3"/>
        <v>12180</v>
      </c>
      <c r="CN18" s="3">
        <f t="shared" si="4"/>
        <v>0</v>
      </c>
    </row>
    <row r="19" spans="1:92" x14ac:dyDescent="0.25">
      <c r="C19" s="223" t="s">
        <v>5157</v>
      </c>
      <c r="D19" s="224">
        <v>19088</v>
      </c>
      <c r="E19" s="221">
        <v>12181</v>
      </c>
      <c r="F19" s="250" t="s">
        <v>5144</v>
      </c>
      <c r="G19" s="223" t="s">
        <v>5528</v>
      </c>
      <c r="L19" s="223">
        <v>1023.76</v>
      </c>
      <c r="AV19" s="22">
        <f t="shared" si="0"/>
        <v>1023.76</v>
      </c>
      <c r="AW19" s="223">
        <v>1023.76</v>
      </c>
      <c r="CK19" s="22">
        <f t="shared" si="1"/>
        <v>1023.76</v>
      </c>
      <c r="CL19" s="3">
        <f t="shared" si="2"/>
        <v>0</v>
      </c>
      <c r="CM19" s="222">
        <f t="shared" si="3"/>
        <v>12181</v>
      </c>
      <c r="CN19" s="3" t="str">
        <f t="shared" si="4"/>
        <v>صيدلة اكلينكى</v>
      </c>
    </row>
    <row r="20" spans="1:92" ht="31.5" x14ac:dyDescent="0.25">
      <c r="D20" s="224">
        <v>20688</v>
      </c>
      <c r="E20" s="221">
        <v>12182</v>
      </c>
      <c r="F20" s="250" t="s">
        <v>121</v>
      </c>
      <c r="G20" s="225" t="s">
        <v>5150</v>
      </c>
      <c r="M20" s="223">
        <v>418000</v>
      </c>
      <c r="N20" s="223">
        <v>418000</v>
      </c>
      <c r="O20" s="223">
        <v>418000</v>
      </c>
      <c r="AV20" s="22">
        <f t="shared" si="0"/>
        <v>1254000</v>
      </c>
      <c r="AW20" s="223">
        <v>380737.85</v>
      </c>
      <c r="AX20" s="223">
        <f>2299.75+6899.25+59.4</f>
        <v>9258.4</v>
      </c>
      <c r="AZ20" s="223">
        <v>5</v>
      </c>
      <c r="BM20" s="223">
        <v>3666.75</v>
      </c>
      <c r="BN20" s="223">
        <v>132</v>
      </c>
      <c r="BO20" s="223">
        <f>1650*2</f>
        <v>3300</v>
      </c>
      <c r="BP20" s="223">
        <v>20900</v>
      </c>
      <c r="BR20" s="223">
        <v>418000</v>
      </c>
      <c r="BS20" s="223">
        <v>418000</v>
      </c>
      <c r="CK20" s="22">
        <f t="shared" si="1"/>
        <v>1254000</v>
      </c>
      <c r="CL20" s="3">
        <f t="shared" si="2"/>
        <v>0</v>
      </c>
      <c r="CM20" s="222">
        <f t="shared" si="3"/>
        <v>12182</v>
      </c>
      <c r="CN20" s="3" t="str">
        <f t="shared" si="4"/>
        <v>ماليزى اسنان</v>
      </c>
    </row>
    <row r="21" spans="1:92" x14ac:dyDescent="0.25">
      <c r="D21" s="224">
        <v>20633</v>
      </c>
      <c r="E21" s="221">
        <v>12183</v>
      </c>
      <c r="F21" s="250" t="s">
        <v>78</v>
      </c>
      <c r="G21" s="223" t="s">
        <v>5152</v>
      </c>
      <c r="M21" s="223">
        <v>24269.99</v>
      </c>
      <c r="N21" s="223">
        <v>24269.99</v>
      </c>
      <c r="O21" s="223">
        <v>24269.99</v>
      </c>
      <c r="AV21" s="22">
        <f t="shared" si="0"/>
        <v>72809.97</v>
      </c>
      <c r="AW21" s="223">
        <v>21189.19</v>
      </c>
      <c r="AX21" s="223">
        <v>947</v>
      </c>
      <c r="AZ21" s="223">
        <v>10</v>
      </c>
      <c r="BM21" s="223">
        <v>638.70000000000005</v>
      </c>
      <c r="BN21" s="223">
        <v>80</v>
      </c>
      <c r="BO21" s="223">
        <f>95.8*2</f>
        <v>191.6</v>
      </c>
      <c r="BP21" s="223">
        <v>1213.5</v>
      </c>
      <c r="BR21" s="223">
        <v>24269.99</v>
      </c>
      <c r="BS21" s="223">
        <v>24269.99</v>
      </c>
      <c r="CC21" s="223" t="s">
        <v>5151</v>
      </c>
      <c r="CK21" s="22">
        <f t="shared" si="1"/>
        <v>72809.97</v>
      </c>
      <c r="CL21" s="3">
        <f t="shared" si="2"/>
        <v>0</v>
      </c>
      <c r="CM21" s="222">
        <f t="shared" si="3"/>
        <v>12183</v>
      </c>
      <c r="CN21" s="3" t="str">
        <f t="shared" si="4"/>
        <v>برنامج دولى</v>
      </c>
    </row>
    <row r="22" spans="1:92" x14ac:dyDescent="0.25">
      <c r="D22" s="224">
        <v>20632</v>
      </c>
      <c r="E22" s="221">
        <v>12184</v>
      </c>
      <c r="F22" s="250" t="s">
        <v>2820</v>
      </c>
      <c r="G22" s="223" t="s">
        <v>5153</v>
      </c>
      <c r="M22" s="223">
        <v>85500</v>
      </c>
      <c r="N22" s="223">
        <v>85500</v>
      </c>
      <c r="O22" s="223">
        <v>85500</v>
      </c>
      <c r="AV22" s="22">
        <f t="shared" si="0"/>
        <v>256500</v>
      </c>
      <c r="AW22" s="223">
        <v>77792</v>
      </c>
      <c r="AX22" s="223">
        <v>2488</v>
      </c>
      <c r="AZ22" s="223">
        <v>10</v>
      </c>
      <c r="BM22" s="223">
        <v>855</v>
      </c>
      <c r="BN22" s="223">
        <v>80</v>
      </c>
      <c r="BP22" s="223">
        <v>4275</v>
      </c>
      <c r="BR22" s="223">
        <v>85500</v>
      </c>
      <c r="BS22" s="223">
        <v>85500</v>
      </c>
      <c r="CK22" s="22">
        <f t="shared" si="1"/>
        <v>256500</v>
      </c>
      <c r="CL22" s="3">
        <f t="shared" si="2"/>
        <v>0</v>
      </c>
      <c r="CM22" s="222">
        <f t="shared" si="3"/>
        <v>12184</v>
      </c>
      <c r="CN22" s="3" t="str">
        <f t="shared" si="4"/>
        <v xml:space="preserve">خ ت طب </v>
      </c>
    </row>
    <row r="23" spans="1:92" x14ac:dyDescent="0.25">
      <c r="D23" s="224">
        <v>20631</v>
      </c>
      <c r="E23" s="221">
        <v>12185</v>
      </c>
      <c r="F23" s="250" t="s">
        <v>2820</v>
      </c>
      <c r="G23" s="223" t="s">
        <v>5154</v>
      </c>
      <c r="M23" s="223">
        <v>19500</v>
      </c>
      <c r="N23" s="223">
        <v>19500</v>
      </c>
      <c r="O23" s="223">
        <v>19500</v>
      </c>
      <c r="AV23" s="22">
        <f t="shared" si="0"/>
        <v>58500</v>
      </c>
      <c r="AW23" s="223">
        <v>18392.349999999999</v>
      </c>
      <c r="AX23" s="223">
        <v>846.6</v>
      </c>
      <c r="AZ23" s="223">
        <v>10</v>
      </c>
      <c r="BM23" s="223">
        <v>171.05</v>
      </c>
      <c r="BN23" s="223">
        <v>80</v>
      </c>
      <c r="BR23" s="223">
        <v>19500</v>
      </c>
      <c r="BS23" s="223">
        <v>19500</v>
      </c>
      <c r="CK23" s="22">
        <f t="shared" si="1"/>
        <v>58500</v>
      </c>
      <c r="CL23" s="3">
        <f t="shared" si="2"/>
        <v>0</v>
      </c>
      <c r="CM23" s="222">
        <f t="shared" si="3"/>
        <v>12185</v>
      </c>
      <c r="CN23" s="3" t="str">
        <f t="shared" si="4"/>
        <v xml:space="preserve">خ ت طب </v>
      </c>
    </row>
    <row r="24" spans="1:92" x14ac:dyDescent="0.25">
      <c r="D24" s="224">
        <v>14989</v>
      </c>
      <c r="E24" s="221">
        <v>12186</v>
      </c>
      <c r="F24" s="250" t="s">
        <v>5144</v>
      </c>
      <c r="G24" s="223" t="s">
        <v>5155</v>
      </c>
      <c r="M24" s="223">
        <v>176000</v>
      </c>
      <c r="N24" s="223">
        <v>176000</v>
      </c>
      <c r="O24" s="223">
        <v>176000</v>
      </c>
      <c r="AV24" s="22">
        <f t="shared" si="0"/>
        <v>528000</v>
      </c>
      <c r="AW24" s="223">
        <v>160074.4</v>
      </c>
      <c r="AX24" s="223">
        <f>1026.5+3079.5+25.2</f>
        <v>4131.2</v>
      </c>
      <c r="AZ24" s="223">
        <v>5</v>
      </c>
      <c r="BM24" s="223">
        <v>1543.9</v>
      </c>
      <c r="BN24" s="223">
        <v>56</v>
      </c>
      <c r="BO24" s="223">
        <f>694.75*2</f>
        <v>1389.5</v>
      </c>
      <c r="BQ24" s="223">
        <v>8800</v>
      </c>
      <c r="BR24" s="223">
        <v>176000</v>
      </c>
      <c r="BS24" s="223">
        <v>176000</v>
      </c>
      <c r="CK24" s="22">
        <f t="shared" si="1"/>
        <v>528000</v>
      </c>
      <c r="CL24" s="3">
        <f t="shared" si="2"/>
        <v>0</v>
      </c>
      <c r="CM24" s="222">
        <f t="shared" si="3"/>
        <v>12186</v>
      </c>
      <c r="CN24" s="3" t="str">
        <f t="shared" si="4"/>
        <v>صيدلة اكلينكى</v>
      </c>
    </row>
    <row r="25" spans="1:92" x14ac:dyDescent="0.25">
      <c r="D25" s="224">
        <v>19091</v>
      </c>
      <c r="E25" s="221">
        <v>12187</v>
      </c>
      <c r="F25" s="250" t="s">
        <v>5144</v>
      </c>
      <c r="G25" s="223" t="s">
        <v>5156</v>
      </c>
      <c r="M25" s="223">
        <v>8379</v>
      </c>
      <c r="N25" s="223">
        <v>8379</v>
      </c>
      <c r="O25" s="223">
        <v>8379</v>
      </c>
      <c r="AV25" s="22">
        <f t="shared" si="0"/>
        <v>25137</v>
      </c>
      <c r="AW25" s="223">
        <v>7381.6</v>
      </c>
      <c r="AX25" s="223">
        <f>117+351+9.9</f>
        <v>477.9</v>
      </c>
      <c r="AZ25" s="223">
        <v>5</v>
      </c>
      <c r="BM25" s="223">
        <v>73.5</v>
      </c>
      <c r="BN25" s="223">
        <v>22</v>
      </c>
      <c r="BQ25" s="223">
        <v>419</v>
      </c>
      <c r="BR25" s="223">
        <v>8379</v>
      </c>
      <c r="BS25" s="223">
        <v>8379</v>
      </c>
      <c r="CK25" s="22">
        <f t="shared" si="1"/>
        <v>25137</v>
      </c>
      <c r="CL25" s="3">
        <f t="shared" si="2"/>
        <v>0</v>
      </c>
      <c r="CM25" s="222">
        <f t="shared" si="3"/>
        <v>12187</v>
      </c>
      <c r="CN25" s="3" t="str">
        <f t="shared" si="4"/>
        <v>صيدلة اكلينكى</v>
      </c>
    </row>
    <row r="26" spans="1:92" x14ac:dyDescent="0.25">
      <c r="D26" s="224">
        <v>20378</v>
      </c>
      <c r="E26" s="221">
        <v>12188</v>
      </c>
      <c r="F26" s="250" t="s">
        <v>121</v>
      </c>
      <c r="G26" s="238" t="s">
        <v>5158</v>
      </c>
      <c r="J26" s="223">
        <v>2000</v>
      </c>
      <c r="AV26" s="22">
        <f t="shared" si="0"/>
        <v>2000</v>
      </c>
      <c r="AW26" s="223">
        <v>1827.65</v>
      </c>
      <c r="AX26" s="223">
        <f>25.75+77.25+3.6</f>
        <v>106.6</v>
      </c>
      <c r="AZ26" s="223">
        <v>5</v>
      </c>
      <c r="BM26" s="223">
        <v>52.75</v>
      </c>
      <c r="BN26" s="223">
        <v>8</v>
      </c>
      <c r="CK26" s="22">
        <f t="shared" si="1"/>
        <v>2000</v>
      </c>
      <c r="CL26" s="3">
        <f t="shared" si="2"/>
        <v>0</v>
      </c>
      <c r="CM26" s="222">
        <f t="shared" si="3"/>
        <v>12188</v>
      </c>
      <c r="CN26" s="3" t="str">
        <f t="shared" si="4"/>
        <v>ماليزى اسنان</v>
      </c>
    </row>
    <row r="27" spans="1:92" x14ac:dyDescent="0.25">
      <c r="D27" s="224">
        <v>20498</v>
      </c>
      <c r="E27" s="221">
        <v>12189</v>
      </c>
      <c r="F27" s="250" t="s">
        <v>121</v>
      </c>
      <c r="G27" s="223" t="s">
        <v>5159</v>
      </c>
      <c r="J27" s="223">
        <v>50342.400000000001</v>
      </c>
      <c r="AV27" s="22">
        <f t="shared" si="0"/>
        <v>50342.400000000001</v>
      </c>
      <c r="AW27" s="223">
        <v>45406.05</v>
      </c>
      <c r="AX27" s="223">
        <f>364.75+1094.25+36</f>
        <v>1495</v>
      </c>
      <c r="AZ27" s="223">
        <v>5</v>
      </c>
      <c r="BM27" s="223">
        <v>441.6</v>
      </c>
      <c r="BN27" s="223">
        <v>80</v>
      </c>
      <c r="BO27" s="223">
        <f>198.75*2</f>
        <v>397.5</v>
      </c>
      <c r="BP27" s="223">
        <v>2517.25</v>
      </c>
      <c r="CK27" s="22">
        <f t="shared" si="1"/>
        <v>50342.400000000001</v>
      </c>
      <c r="CL27" s="3">
        <f t="shared" si="2"/>
        <v>0</v>
      </c>
      <c r="CM27" s="222">
        <f t="shared" si="3"/>
        <v>12189</v>
      </c>
      <c r="CN27" s="3" t="str">
        <f t="shared" si="4"/>
        <v>ماليزى اسنان</v>
      </c>
    </row>
    <row r="28" spans="1:92" x14ac:dyDescent="0.25">
      <c r="D28" s="224">
        <v>19359</v>
      </c>
      <c r="E28" s="221">
        <v>12190</v>
      </c>
      <c r="F28" s="250" t="s">
        <v>121</v>
      </c>
      <c r="G28" s="238" t="s">
        <v>5160</v>
      </c>
      <c r="J28" s="223">
        <v>2000</v>
      </c>
      <c r="AV28" s="22">
        <f t="shared" si="0"/>
        <v>2000</v>
      </c>
      <c r="AW28" s="223">
        <v>1827.65</v>
      </c>
      <c r="AX28" s="223">
        <f>25.75+77.25+3.6</f>
        <v>106.6</v>
      </c>
      <c r="AZ28" s="223">
        <v>5</v>
      </c>
      <c r="BM28" s="223">
        <v>52.75</v>
      </c>
      <c r="BN28" s="223">
        <v>8</v>
      </c>
      <c r="CK28" s="22">
        <f t="shared" si="1"/>
        <v>2000</v>
      </c>
      <c r="CL28" s="3">
        <f t="shared" si="2"/>
        <v>0</v>
      </c>
      <c r="CM28" s="222">
        <f t="shared" si="3"/>
        <v>12190</v>
      </c>
      <c r="CN28" s="3" t="str">
        <f t="shared" si="4"/>
        <v>ماليزى اسنان</v>
      </c>
    </row>
    <row r="29" spans="1:92" x14ac:dyDescent="0.25">
      <c r="D29" s="224">
        <v>19681</v>
      </c>
      <c r="E29" s="221">
        <v>12191</v>
      </c>
      <c r="F29" s="250" t="s">
        <v>130</v>
      </c>
      <c r="G29" s="223" t="s">
        <v>5161</v>
      </c>
      <c r="J29" s="223">
        <v>364000</v>
      </c>
      <c r="AV29" s="22">
        <f t="shared" si="0"/>
        <v>364000</v>
      </c>
      <c r="AW29" s="223">
        <v>351103</v>
      </c>
      <c r="AX29" s="223">
        <v>9172</v>
      </c>
      <c r="AZ29" s="223">
        <v>5</v>
      </c>
      <c r="BM29" s="223">
        <v>3640</v>
      </c>
      <c r="BN29" s="223">
        <v>80</v>
      </c>
      <c r="CK29" s="22">
        <f t="shared" si="1"/>
        <v>364000</v>
      </c>
      <c r="CL29" s="3">
        <f t="shared" si="2"/>
        <v>0</v>
      </c>
      <c r="CM29" s="222">
        <f t="shared" si="3"/>
        <v>12191</v>
      </c>
      <c r="CN29" s="3" t="str">
        <f t="shared" si="4"/>
        <v>خ ت طب</v>
      </c>
    </row>
    <row r="30" spans="1:92" x14ac:dyDescent="0.25">
      <c r="D30" s="224">
        <v>20667</v>
      </c>
      <c r="E30" s="221">
        <v>12192</v>
      </c>
      <c r="F30" s="250" t="s">
        <v>5144</v>
      </c>
      <c r="G30" s="223" t="s">
        <v>5162</v>
      </c>
      <c r="J30" s="223">
        <v>6450</v>
      </c>
      <c r="AV30" s="22">
        <f t="shared" si="0"/>
        <v>6450</v>
      </c>
      <c r="AW30" s="223">
        <v>6450</v>
      </c>
      <c r="CK30" s="22">
        <f t="shared" si="1"/>
        <v>6450</v>
      </c>
      <c r="CL30" s="3">
        <f t="shared" si="2"/>
        <v>0</v>
      </c>
      <c r="CM30" s="222">
        <f t="shared" si="3"/>
        <v>12192</v>
      </c>
      <c r="CN30" s="3" t="str">
        <f t="shared" si="4"/>
        <v>صيدلة اكلينكى</v>
      </c>
    </row>
    <row r="31" spans="1:92" x14ac:dyDescent="0.25">
      <c r="D31" s="224">
        <v>20668</v>
      </c>
      <c r="E31" s="221">
        <v>12193</v>
      </c>
      <c r="F31" s="250" t="s">
        <v>5144</v>
      </c>
      <c r="G31" s="223" t="s">
        <v>5163</v>
      </c>
      <c r="J31" s="223">
        <v>1825</v>
      </c>
      <c r="AV31" s="22">
        <f t="shared" si="0"/>
        <v>1825</v>
      </c>
      <c r="AW31" s="223">
        <v>1825</v>
      </c>
      <c r="CK31" s="22">
        <f t="shared" si="1"/>
        <v>1825</v>
      </c>
      <c r="CL31" s="3">
        <f t="shared" si="2"/>
        <v>0</v>
      </c>
      <c r="CM31" s="222">
        <f t="shared" si="3"/>
        <v>12193</v>
      </c>
      <c r="CN31" s="3" t="str">
        <f t="shared" si="4"/>
        <v>صيدلة اكلينكى</v>
      </c>
    </row>
    <row r="32" spans="1:92" x14ac:dyDescent="0.25">
      <c r="D32" s="224">
        <v>20421</v>
      </c>
      <c r="E32" s="221">
        <v>12194</v>
      </c>
      <c r="F32" s="250" t="s">
        <v>5144</v>
      </c>
      <c r="G32" s="223" t="s">
        <v>5164</v>
      </c>
      <c r="J32" s="223">
        <v>1950</v>
      </c>
      <c r="AV32" s="22">
        <f t="shared" si="0"/>
        <v>1950</v>
      </c>
      <c r="AW32" s="223">
        <v>1950</v>
      </c>
      <c r="CK32" s="22">
        <f t="shared" si="1"/>
        <v>1950</v>
      </c>
      <c r="CL32" s="3">
        <f t="shared" si="2"/>
        <v>0</v>
      </c>
      <c r="CM32" s="222">
        <f t="shared" si="3"/>
        <v>12194</v>
      </c>
      <c r="CN32" s="3" t="str">
        <f t="shared" si="4"/>
        <v>صيدلة اكلينكى</v>
      </c>
    </row>
    <row r="33" spans="3:92" x14ac:dyDescent="0.25">
      <c r="D33" s="224">
        <v>20422</v>
      </c>
      <c r="E33" s="221">
        <v>12195</v>
      </c>
      <c r="F33" s="250" t="s">
        <v>5144</v>
      </c>
      <c r="G33" s="223" t="s">
        <v>5165</v>
      </c>
      <c r="J33" s="223">
        <v>6184.5</v>
      </c>
      <c r="AV33" s="22">
        <f t="shared" si="0"/>
        <v>6184.5</v>
      </c>
      <c r="AW33" s="223">
        <v>5429.3</v>
      </c>
      <c r="AX33" s="223">
        <f>86+258+11.7</f>
        <v>355.7</v>
      </c>
      <c r="AZ33" s="223">
        <v>10</v>
      </c>
      <c r="BM33" s="223">
        <v>54.25</v>
      </c>
      <c r="BN33" s="223">
        <v>26</v>
      </c>
      <c r="BQ33" s="223">
        <v>309.25</v>
      </c>
      <c r="CK33" s="22">
        <f t="shared" si="1"/>
        <v>6184.5</v>
      </c>
      <c r="CL33" s="3">
        <f t="shared" si="2"/>
        <v>0</v>
      </c>
      <c r="CM33" s="222">
        <f t="shared" si="3"/>
        <v>12195</v>
      </c>
      <c r="CN33" s="3" t="str">
        <f t="shared" si="4"/>
        <v>صيدلة اكلينكى</v>
      </c>
    </row>
    <row r="34" spans="3:92" x14ac:dyDescent="0.25">
      <c r="D34" s="224">
        <v>20420</v>
      </c>
      <c r="E34" s="221">
        <v>12196</v>
      </c>
      <c r="F34" s="250" t="s">
        <v>5144</v>
      </c>
      <c r="G34" s="223" t="s">
        <v>5156</v>
      </c>
      <c r="J34" s="223">
        <v>969</v>
      </c>
      <c r="AV34" s="22">
        <f t="shared" si="0"/>
        <v>969</v>
      </c>
      <c r="AW34" s="223">
        <v>832.6</v>
      </c>
      <c r="AX34" s="223">
        <f>11.5+34.5+9.9</f>
        <v>55.9</v>
      </c>
      <c r="AZ34" s="223">
        <v>10</v>
      </c>
      <c r="BN34" s="223">
        <v>22</v>
      </c>
      <c r="BQ34" s="223">
        <v>48.5</v>
      </c>
      <c r="CK34" s="22">
        <f t="shared" si="1"/>
        <v>969</v>
      </c>
      <c r="CL34" s="3">
        <f t="shared" si="2"/>
        <v>0</v>
      </c>
      <c r="CM34" s="222">
        <f t="shared" si="3"/>
        <v>12196</v>
      </c>
      <c r="CN34" s="3" t="str">
        <f t="shared" si="4"/>
        <v>صيدلة اكلينكى</v>
      </c>
    </row>
    <row r="35" spans="3:92" x14ac:dyDescent="0.25">
      <c r="D35" s="224">
        <v>20320</v>
      </c>
      <c r="E35" s="221">
        <v>12197</v>
      </c>
      <c r="F35" s="250" t="s">
        <v>5144</v>
      </c>
      <c r="G35" s="223" t="s">
        <v>5166</v>
      </c>
      <c r="J35" s="223">
        <v>205000</v>
      </c>
      <c r="AV35" s="22">
        <f t="shared" si="0"/>
        <v>205000</v>
      </c>
      <c r="AW35" s="223">
        <v>182899.75</v>
      </c>
      <c r="AX35" s="223">
        <f>1179+3537+36</f>
        <v>4752</v>
      </c>
      <c r="AZ35" s="223">
        <v>5</v>
      </c>
      <c r="BM35" s="223">
        <v>5394.75</v>
      </c>
      <c r="BN35" s="223">
        <v>80</v>
      </c>
      <c r="BO35" s="223">
        <f>809.25*2</f>
        <v>1618.5</v>
      </c>
      <c r="BQ35" s="223">
        <v>10250</v>
      </c>
      <c r="CK35" s="22">
        <f t="shared" si="1"/>
        <v>205000</v>
      </c>
      <c r="CL35" s="3">
        <f t="shared" si="2"/>
        <v>0</v>
      </c>
      <c r="CM35" s="222">
        <f t="shared" si="3"/>
        <v>12197</v>
      </c>
      <c r="CN35" s="3" t="str">
        <f t="shared" si="4"/>
        <v>صيدلة اكلينكى</v>
      </c>
    </row>
    <row r="36" spans="3:92" x14ac:dyDescent="0.25">
      <c r="D36" s="224">
        <v>20326</v>
      </c>
      <c r="E36" s="221">
        <v>12198</v>
      </c>
      <c r="F36" s="250" t="s">
        <v>119</v>
      </c>
      <c r="G36" s="223" t="str">
        <f>+G33</f>
        <v>احمد سعد بركات وشركاه المجموعه الطبيه</v>
      </c>
      <c r="J36" s="223">
        <v>3420</v>
      </c>
      <c r="AV36" s="22">
        <f t="shared" ref="AV36:AV44" si="5">SUM(J36:AT36)</f>
        <v>3420</v>
      </c>
      <c r="AW36" s="223">
        <v>2996.4</v>
      </c>
      <c r="AX36" s="223">
        <f>44.25+132.75+12.6</f>
        <v>189.6</v>
      </c>
      <c r="AZ36" s="223">
        <v>5</v>
      </c>
      <c r="BM36" s="223">
        <v>30</v>
      </c>
      <c r="BN36" s="223">
        <v>28</v>
      </c>
      <c r="BQ36" s="223">
        <v>171</v>
      </c>
      <c r="CK36" s="22">
        <f t="shared" si="1"/>
        <v>3420</v>
      </c>
      <c r="CL36" s="3">
        <f t="shared" si="2"/>
        <v>0</v>
      </c>
      <c r="CM36" s="222">
        <f t="shared" si="3"/>
        <v>12198</v>
      </c>
      <c r="CN36" s="3" t="str">
        <f t="shared" si="4"/>
        <v>خ ت صيدلة</v>
      </c>
    </row>
    <row r="37" spans="3:92" x14ac:dyDescent="0.25">
      <c r="D37" s="224">
        <v>20321</v>
      </c>
      <c r="E37" s="221">
        <v>12199</v>
      </c>
      <c r="F37" s="250" t="s">
        <v>119</v>
      </c>
      <c r="G37" s="225" t="s">
        <v>5167</v>
      </c>
      <c r="J37" s="223">
        <v>5520</v>
      </c>
      <c r="AV37" s="22">
        <f t="shared" si="5"/>
        <v>5520</v>
      </c>
      <c r="AW37" s="223">
        <v>4859</v>
      </c>
      <c r="AX37" s="223">
        <f>72+216+13.5</f>
        <v>301.5</v>
      </c>
      <c r="AZ37" s="223">
        <v>5</v>
      </c>
      <c r="BM37" s="223">
        <v>48.5</v>
      </c>
      <c r="BN37" s="223">
        <v>30</v>
      </c>
      <c r="BQ37" s="223">
        <v>276</v>
      </c>
      <c r="CK37" s="22">
        <f t="shared" si="1"/>
        <v>5520</v>
      </c>
      <c r="CL37" s="3">
        <f t="shared" si="2"/>
        <v>0</v>
      </c>
      <c r="CM37" s="222">
        <f t="shared" si="3"/>
        <v>12199</v>
      </c>
      <c r="CN37" s="3" t="str">
        <f t="shared" si="4"/>
        <v>خ ت صيدلة</v>
      </c>
    </row>
    <row r="38" spans="3:92" x14ac:dyDescent="0.25">
      <c r="D38" s="224">
        <v>20325</v>
      </c>
      <c r="E38" s="221">
        <v>12200</v>
      </c>
      <c r="F38" s="250" t="s">
        <v>119</v>
      </c>
      <c r="G38" s="223" t="s">
        <v>5168</v>
      </c>
      <c r="J38" s="223">
        <v>3800</v>
      </c>
      <c r="AV38" s="22">
        <f t="shared" si="5"/>
        <v>3800</v>
      </c>
      <c r="AW38" s="223">
        <v>3503</v>
      </c>
      <c r="AX38" s="223">
        <f>56.25+168.75+9</f>
        <v>234</v>
      </c>
      <c r="AZ38" s="223">
        <v>5</v>
      </c>
      <c r="BM38" s="223">
        <v>38</v>
      </c>
      <c r="BN38" s="223">
        <v>20</v>
      </c>
      <c r="CK38" s="22">
        <f t="shared" si="1"/>
        <v>3800</v>
      </c>
      <c r="CL38" s="3">
        <f t="shared" si="2"/>
        <v>0</v>
      </c>
      <c r="CM38" s="222">
        <f t="shared" si="3"/>
        <v>12200</v>
      </c>
      <c r="CN38" s="3" t="str">
        <f t="shared" si="4"/>
        <v>خ ت صيدلة</v>
      </c>
    </row>
    <row r="39" spans="3:92" x14ac:dyDescent="0.25">
      <c r="D39" s="224">
        <v>20329</v>
      </c>
      <c r="E39" s="221">
        <v>12201</v>
      </c>
      <c r="F39" s="250" t="s">
        <v>119</v>
      </c>
      <c r="G39" s="223" t="s">
        <v>5169</v>
      </c>
      <c r="J39" s="223">
        <v>3853.2</v>
      </c>
      <c r="AV39" s="22">
        <f t="shared" si="5"/>
        <v>3853.2</v>
      </c>
      <c r="AW39" s="223">
        <v>3383.65</v>
      </c>
      <c r="AX39" s="223">
        <f>50.75+152.25+10.8</f>
        <v>213.8</v>
      </c>
      <c r="AZ39" s="223">
        <v>5</v>
      </c>
      <c r="BM39" s="223">
        <v>34</v>
      </c>
      <c r="BN39" s="223">
        <v>24</v>
      </c>
      <c r="BQ39" s="223">
        <v>192.75</v>
      </c>
      <c r="CK39" s="22">
        <f t="shared" si="1"/>
        <v>3853.2000000000003</v>
      </c>
      <c r="CL39" s="3">
        <f t="shared" si="2"/>
        <v>0</v>
      </c>
      <c r="CM39" s="222">
        <f t="shared" si="3"/>
        <v>12201</v>
      </c>
      <c r="CN39" s="3" t="str">
        <f t="shared" si="4"/>
        <v>خ ت صيدلة</v>
      </c>
    </row>
    <row r="40" spans="3:92" x14ac:dyDescent="0.25">
      <c r="D40" s="224">
        <v>20328</v>
      </c>
      <c r="E40" s="221">
        <v>12202</v>
      </c>
      <c r="F40" s="250" t="s">
        <v>119</v>
      </c>
      <c r="G40" s="223" t="s">
        <v>5170</v>
      </c>
      <c r="J40" s="223">
        <v>5815</v>
      </c>
      <c r="AV40" s="22">
        <f t="shared" si="5"/>
        <v>5815</v>
      </c>
      <c r="AW40" s="223">
        <v>5097.6000000000004</v>
      </c>
      <c r="AX40" s="223">
        <f>81+243+14.4</f>
        <v>338.4</v>
      </c>
      <c r="AZ40" s="223">
        <v>5</v>
      </c>
      <c r="BM40" s="223">
        <v>51.25</v>
      </c>
      <c r="BN40" s="223">
        <v>32</v>
      </c>
      <c r="BQ40" s="223">
        <v>290.75</v>
      </c>
      <c r="CK40" s="22">
        <f t="shared" si="1"/>
        <v>5815</v>
      </c>
      <c r="CL40" s="3">
        <f t="shared" si="2"/>
        <v>0</v>
      </c>
      <c r="CM40" s="222">
        <f t="shared" si="3"/>
        <v>12202</v>
      </c>
      <c r="CN40" s="3" t="str">
        <f t="shared" si="4"/>
        <v>خ ت صيدلة</v>
      </c>
    </row>
    <row r="41" spans="3:92" x14ac:dyDescent="0.25">
      <c r="D41" s="224">
        <v>20327</v>
      </c>
      <c r="E41" s="221">
        <v>12203</v>
      </c>
      <c r="F41" s="250" t="s">
        <v>119</v>
      </c>
      <c r="G41" s="225" t="s">
        <v>5171</v>
      </c>
      <c r="J41" s="223">
        <v>1550</v>
      </c>
      <c r="AV41" s="22">
        <f t="shared" si="5"/>
        <v>1550</v>
      </c>
      <c r="AW41" s="223">
        <v>1410.5</v>
      </c>
      <c r="AX41" s="223">
        <f>22.5+67.5+9</f>
        <v>99</v>
      </c>
      <c r="AZ41" s="223">
        <v>5</v>
      </c>
      <c r="BM41" s="223">
        <v>15.5</v>
      </c>
      <c r="BN41" s="223">
        <v>20</v>
      </c>
      <c r="CK41" s="22">
        <f t="shared" si="1"/>
        <v>1550</v>
      </c>
      <c r="CL41" s="3">
        <f t="shared" si="2"/>
        <v>0</v>
      </c>
      <c r="CM41" s="222">
        <f t="shared" si="3"/>
        <v>12203</v>
      </c>
      <c r="CN41" s="3" t="str">
        <f t="shared" si="4"/>
        <v>خ ت صيدلة</v>
      </c>
    </row>
    <row r="42" spans="3:92" x14ac:dyDescent="0.25">
      <c r="D42" s="224">
        <v>20324</v>
      </c>
      <c r="E42" s="221">
        <v>12204</v>
      </c>
      <c r="F42" s="250" t="s">
        <v>119</v>
      </c>
      <c r="G42" s="223" t="s">
        <v>5172</v>
      </c>
      <c r="J42" s="223">
        <v>4389</v>
      </c>
      <c r="AV42" s="22">
        <f t="shared" si="5"/>
        <v>4389</v>
      </c>
      <c r="AW42" s="223">
        <v>3794.9</v>
      </c>
      <c r="AX42" s="223">
        <f>57+171+8.1</f>
        <v>236.1</v>
      </c>
      <c r="AZ42" s="223">
        <v>5</v>
      </c>
      <c r="BM42" s="223">
        <v>115.5</v>
      </c>
      <c r="BN42" s="223">
        <v>18</v>
      </c>
      <c r="BQ42" s="223">
        <v>219.5</v>
      </c>
      <c r="CK42" s="22">
        <f t="shared" si="1"/>
        <v>4389</v>
      </c>
      <c r="CL42" s="3">
        <f t="shared" si="2"/>
        <v>0</v>
      </c>
      <c r="CM42" s="222">
        <f t="shared" si="3"/>
        <v>12204</v>
      </c>
      <c r="CN42" s="3" t="str">
        <f t="shared" si="4"/>
        <v>خ ت صيدلة</v>
      </c>
    </row>
    <row r="43" spans="3:92" x14ac:dyDescent="0.25">
      <c r="D43" s="224">
        <v>20322</v>
      </c>
      <c r="E43" s="221">
        <v>12205</v>
      </c>
      <c r="F43" s="250" t="s">
        <v>78</v>
      </c>
      <c r="G43" s="223" t="s">
        <v>5173</v>
      </c>
      <c r="J43" s="223">
        <v>14400</v>
      </c>
      <c r="AV43" s="22">
        <f t="shared" si="5"/>
        <v>14400</v>
      </c>
      <c r="AW43" s="223">
        <v>13389.4</v>
      </c>
      <c r="AX43" s="223">
        <f>186.4+559.2+36</f>
        <v>781.6</v>
      </c>
      <c r="AZ43" s="223">
        <v>5</v>
      </c>
      <c r="BM43" s="223">
        <v>144</v>
      </c>
      <c r="BN43" s="223">
        <v>80</v>
      </c>
      <c r="CK43" s="22">
        <f t="shared" si="1"/>
        <v>14400</v>
      </c>
      <c r="CL43" s="3">
        <f t="shared" si="2"/>
        <v>0</v>
      </c>
      <c r="CM43" s="222">
        <f t="shared" si="3"/>
        <v>12205</v>
      </c>
      <c r="CN43" s="3" t="str">
        <f t="shared" si="4"/>
        <v>برنامج دولى</v>
      </c>
    </row>
    <row r="44" spans="3:92" x14ac:dyDescent="0.25">
      <c r="D44" s="224">
        <v>20330</v>
      </c>
      <c r="E44" s="221">
        <v>12206</v>
      </c>
      <c r="F44" s="250" t="s">
        <v>78</v>
      </c>
      <c r="G44" s="223" t="s">
        <v>5174</v>
      </c>
      <c r="J44" s="223">
        <v>257850</v>
      </c>
      <c r="AV44" s="22">
        <f t="shared" si="5"/>
        <v>257850</v>
      </c>
      <c r="AW44" s="223">
        <v>248562.1</v>
      </c>
      <c r="AX44" s="223">
        <f>1647.1+4941.3+36</f>
        <v>6624.4</v>
      </c>
      <c r="AZ44" s="223">
        <v>5</v>
      </c>
      <c r="BM44" s="223">
        <v>2578.5</v>
      </c>
      <c r="BN44" s="223">
        <v>80</v>
      </c>
      <c r="CK44" s="22">
        <f t="shared" si="1"/>
        <v>257850</v>
      </c>
      <c r="CL44" s="3">
        <f t="shared" si="2"/>
        <v>0</v>
      </c>
      <c r="CM44" s="222">
        <f t="shared" si="3"/>
        <v>12206</v>
      </c>
      <c r="CN44" s="3" t="str">
        <f t="shared" si="4"/>
        <v>برنامج دولى</v>
      </c>
    </row>
    <row r="45" spans="3:92" x14ac:dyDescent="0.25">
      <c r="C45" s="223" t="s">
        <v>635</v>
      </c>
      <c r="D45" s="224">
        <v>19876</v>
      </c>
      <c r="E45" s="221">
        <v>12207</v>
      </c>
      <c r="F45" s="250" t="s">
        <v>122</v>
      </c>
      <c r="G45" s="223" t="s">
        <v>5175</v>
      </c>
      <c r="I45" s="223">
        <v>5582.5</v>
      </c>
      <c r="AV45" s="22">
        <f>SUM(I45:AU45)</f>
        <v>5582.5</v>
      </c>
      <c r="AW45" s="223">
        <v>4700.83</v>
      </c>
      <c r="AX45" s="223">
        <v>602.54999999999995</v>
      </c>
      <c r="AZ45" s="223">
        <v>279.12</v>
      </c>
      <c r="CK45" s="22">
        <f t="shared" si="1"/>
        <v>5582.5</v>
      </c>
      <c r="CL45" s="3">
        <f t="shared" si="2"/>
        <v>0</v>
      </c>
      <c r="CM45" s="222">
        <f t="shared" si="3"/>
        <v>12207</v>
      </c>
      <c r="CN45" s="3" t="str">
        <f t="shared" si="4"/>
        <v>علاج تخصصى</v>
      </c>
    </row>
    <row r="46" spans="3:92" x14ac:dyDescent="0.25">
      <c r="C46" s="223" t="s">
        <v>635</v>
      </c>
      <c r="D46" s="224">
        <v>19875</v>
      </c>
      <c r="E46" s="221">
        <v>12208</v>
      </c>
      <c r="F46" s="250" t="s">
        <v>122</v>
      </c>
      <c r="G46" s="223" t="s">
        <v>5175</v>
      </c>
      <c r="I46" s="223">
        <v>4551.25</v>
      </c>
      <c r="AV46" s="22">
        <f t="shared" ref="AV46:AV109" si="6">SUM(I46:AU46)</f>
        <v>4551.25</v>
      </c>
      <c r="AW46" s="223">
        <v>3834.76</v>
      </c>
      <c r="AX46" s="223">
        <v>488.93</v>
      </c>
      <c r="AZ46" s="223">
        <v>227.56</v>
      </c>
      <c r="CK46" s="22">
        <f t="shared" si="1"/>
        <v>4551.2500000000009</v>
      </c>
      <c r="CL46" s="3">
        <f t="shared" si="2"/>
        <v>0</v>
      </c>
      <c r="CM46" s="222">
        <f t="shared" si="3"/>
        <v>12208</v>
      </c>
      <c r="CN46" s="3" t="str">
        <f t="shared" si="4"/>
        <v>علاج تخصصى</v>
      </c>
    </row>
    <row r="47" spans="3:92" x14ac:dyDescent="0.25">
      <c r="C47" s="223" t="s">
        <v>635</v>
      </c>
      <c r="D47" s="224">
        <v>19877</v>
      </c>
      <c r="E47" s="221">
        <v>12209</v>
      </c>
      <c r="F47" s="250" t="s">
        <v>122</v>
      </c>
      <c r="G47" s="223" t="s">
        <v>5175</v>
      </c>
      <c r="I47" s="223">
        <v>49218.91</v>
      </c>
      <c r="AV47" s="22">
        <f t="shared" si="6"/>
        <v>49218.91</v>
      </c>
      <c r="AW47" s="223">
        <v>40496.480000000003</v>
      </c>
      <c r="AX47" s="223">
        <v>5172.3100000000004</v>
      </c>
      <c r="AY47" s="223">
        <v>1123.45</v>
      </c>
      <c r="AZ47" s="223">
        <v>2426.67</v>
      </c>
      <c r="CK47" s="22">
        <f t="shared" si="1"/>
        <v>49218.909999999996</v>
      </c>
      <c r="CL47" s="3">
        <f t="shared" si="2"/>
        <v>0</v>
      </c>
      <c r="CM47" s="222">
        <f t="shared" si="3"/>
        <v>12209</v>
      </c>
      <c r="CN47" s="3" t="str">
        <f t="shared" si="4"/>
        <v>علاج تخصصى</v>
      </c>
    </row>
    <row r="48" spans="3:92" x14ac:dyDescent="0.25">
      <c r="C48" s="223" t="s">
        <v>635</v>
      </c>
      <c r="D48" s="224">
        <v>19873</v>
      </c>
      <c r="E48" s="221">
        <v>12210</v>
      </c>
      <c r="F48" s="250" t="s">
        <v>122</v>
      </c>
      <c r="G48" s="223" t="s">
        <v>5175</v>
      </c>
      <c r="I48" s="223">
        <v>433.75</v>
      </c>
      <c r="AV48" s="22">
        <f t="shared" si="6"/>
        <v>433.75</v>
      </c>
      <c r="AW48" s="223">
        <v>366.18</v>
      </c>
      <c r="AX48" s="223">
        <v>45.88</v>
      </c>
      <c r="AZ48" s="223">
        <v>21.69</v>
      </c>
      <c r="CK48" s="22">
        <f t="shared" si="1"/>
        <v>433.75</v>
      </c>
      <c r="CL48" s="3">
        <f t="shared" si="2"/>
        <v>0</v>
      </c>
      <c r="CM48" s="222">
        <f t="shared" si="3"/>
        <v>12210</v>
      </c>
      <c r="CN48" s="3" t="str">
        <f t="shared" si="4"/>
        <v>علاج تخصصى</v>
      </c>
    </row>
    <row r="49" spans="3:92" x14ac:dyDescent="0.25">
      <c r="C49" s="223" t="s">
        <v>635</v>
      </c>
      <c r="D49" s="224">
        <v>19874</v>
      </c>
      <c r="E49" s="221">
        <v>12211</v>
      </c>
      <c r="F49" s="250" t="s">
        <v>122</v>
      </c>
      <c r="G49" s="223" t="s">
        <v>5175</v>
      </c>
      <c r="I49" s="223">
        <v>506.52</v>
      </c>
      <c r="AV49" s="22">
        <f t="shared" si="6"/>
        <v>506.52</v>
      </c>
      <c r="AW49" s="223">
        <v>317.48</v>
      </c>
      <c r="AX49" s="223">
        <v>45.4</v>
      </c>
      <c r="AY49" s="223">
        <v>122.04</v>
      </c>
      <c r="AZ49" s="223">
        <v>21.6</v>
      </c>
      <c r="CK49" s="22">
        <f t="shared" si="1"/>
        <v>506.52000000000004</v>
      </c>
      <c r="CL49" s="3">
        <f t="shared" si="2"/>
        <v>0</v>
      </c>
      <c r="CM49" s="222">
        <f t="shared" si="3"/>
        <v>12211</v>
      </c>
      <c r="CN49" s="3" t="str">
        <f t="shared" si="4"/>
        <v>علاج تخصصى</v>
      </c>
    </row>
    <row r="50" spans="3:92" x14ac:dyDescent="0.25">
      <c r="C50" s="223" t="s">
        <v>592</v>
      </c>
      <c r="D50" s="224">
        <v>19891</v>
      </c>
      <c r="E50" s="221">
        <v>12212</v>
      </c>
      <c r="F50" s="250" t="s">
        <v>123</v>
      </c>
      <c r="G50" s="223" t="s">
        <v>5176</v>
      </c>
      <c r="I50" s="223">
        <v>421.17</v>
      </c>
      <c r="AV50" s="22">
        <f t="shared" si="6"/>
        <v>421.17</v>
      </c>
      <c r="AW50" s="223">
        <v>398.01</v>
      </c>
      <c r="AX50" s="223">
        <v>2.1</v>
      </c>
      <c r="AZ50" s="223">
        <v>21.06</v>
      </c>
      <c r="CK50" s="22">
        <f t="shared" si="1"/>
        <v>421.17</v>
      </c>
      <c r="CL50" s="3">
        <f t="shared" si="2"/>
        <v>0</v>
      </c>
      <c r="CM50" s="222">
        <f t="shared" si="3"/>
        <v>12212</v>
      </c>
      <c r="CN50" s="3" t="str">
        <f t="shared" si="4"/>
        <v>خ ت اسنان</v>
      </c>
    </row>
    <row r="51" spans="3:92" x14ac:dyDescent="0.25">
      <c r="C51" s="223" t="s">
        <v>592</v>
      </c>
      <c r="D51" s="224">
        <v>19890</v>
      </c>
      <c r="E51" s="221">
        <v>12213</v>
      </c>
      <c r="F51" s="250" t="s">
        <v>123</v>
      </c>
      <c r="G51" s="223" t="s">
        <v>5176</v>
      </c>
      <c r="I51" s="223">
        <v>224.3</v>
      </c>
      <c r="AV51" s="22">
        <f t="shared" si="6"/>
        <v>224.3</v>
      </c>
      <c r="AW51" s="223">
        <v>140.81</v>
      </c>
      <c r="AX51" s="223">
        <v>19.88</v>
      </c>
      <c r="AY51" s="223">
        <v>54.04</v>
      </c>
      <c r="AZ51" s="223">
        <v>9.57</v>
      </c>
      <c r="CK51" s="22">
        <f t="shared" si="1"/>
        <v>224.29999999999998</v>
      </c>
      <c r="CL51" s="3">
        <f t="shared" si="2"/>
        <v>0</v>
      </c>
      <c r="CM51" s="222">
        <f t="shared" si="3"/>
        <v>12213</v>
      </c>
      <c r="CN51" s="3" t="str">
        <f t="shared" si="4"/>
        <v>خ ت اسنان</v>
      </c>
    </row>
    <row r="52" spans="3:92" x14ac:dyDescent="0.25">
      <c r="C52" s="223" t="s">
        <v>592</v>
      </c>
      <c r="D52" s="224">
        <v>19888</v>
      </c>
      <c r="E52" s="221">
        <v>12214</v>
      </c>
      <c r="F52" s="250" t="s">
        <v>123</v>
      </c>
      <c r="G52" s="223" t="s">
        <v>5176</v>
      </c>
      <c r="I52" s="223">
        <v>8865.59</v>
      </c>
      <c r="AV52" s="22">
        <f t="shared" si="6"/>
        <v>8865.59</v>
      </c>
      <c r="AW52" s="223">
        <v>5641.16</v>
      </c>
      <c r="AX52" s="223">
        <v>799.65</v>
      </c>
      <c r="AY52" s="223">
        <v>2043.86</v>
      </c>
      <c r="AZ52" s="223">
        <v>380.92</v>
      </c>
      <c r="CK52" s="22">
        <f t="shared" si="1"/>
        <v>8865.59</v>
      </c>
      <c r="CL52" s="3">
        <f t="shared" si="2"/>
        <v>0</v>
      </c>
      <c r="CM52" s="222">
        <f t="shared" si="3"/>
        <v>12214</v>
      </c>
      <c r="CN52" s="3" t="str">
        <f t="shared" si="4"/>
        <v>خ ت اسنان</v>
      </c>
    </row>
    <row r="53" spans="3:92" x14ac:dyDescent="0.25">
      <c r="C53" s="223" t="s">
        <v>592</v>
      </c>
      <c r="D53" s="224">
        <v>19889</v>
      </c>
      <c r="E53" s="221">
        <v>12215</v>
      </c>
      <c r="F53" s="250" t="s">
        <v>123</v>
      </c>
      <c r="G53" s="223" t="s">
        <v>5176</v>
      </c>
      <c r="I53" s="223">
        <v>443.21</v>
      </c>
      <c r="AV53" s="22">
        <f t="shared" si="6"/>
        <v>443.21</v>
      </c>
      <c r="AW53" s="223">
        <v>279.20999999999998</v>
      </c>
      <c r="AX53" s="223">
        <v>38.35</v>
      </c>
      <c r="AY53" s="223">
        <v>106.76</v>
      </c>
      <c r="AZ53" s="223">
        <v>18.89</v>
      </c>
      <c r="CK53" s="22">
        <f t="shared" si="1"/>
        <v>443.21</v>
      </c>
      <c r="CL53" s="3">
        <f t="shared" si="2"/>
        <v>0</v>
      </c>
      <c r="CM53" s="222">
        <f t="shared" si="3"/>
        <v>12215</v>
      </c>
      <c r="CN53" s="3" t="str">
        <f t="shared" si="4"/>
        <v>خ ت اسنان</v>
      </c>
    </row>
    <row r="54" spans="3:92" x14ac:dyDescent="0.25">
      <c r="C54" s="223" t="s">
        <v>5178</v>
      </c>
      <c r="D54" s="224">
        <v>19879</v>
      </c>
      <c r="E54" s="221">
        <v>12216</v>
      </c>
      <c r="F54" s="250" t="s">
        <v>249</v>
      </c>
      <c r="G54" s="223" t="s">
        <v>5177</v>
      </c>
      <c r="I54" s="223">
        <v>138586.31</v>
      </c>
      <c r="AV54" s="22">
        <f t="shared" si="6"/>
        <v>138586.31</v>
      </c>
      <c r="AW54" s="223">
        <v>116042.57</v>
      </c>
      <c r="AX54" s="223">
        <v>14524.8</v>
      </c>
      <c r="AY54" s="223">
        <v>1123.94</v>
      </c>
      <c r="AZ54" s="223">
        <v>6895</v>
      </c>
      <c r="CK54" s="22">
        <f t="shared" si="1"/>
        <v>138586.31</v>
      </c>
      <c r="CL54" s="3">
        <f t="shared" si="2"/>
        <v>0</v>
      </c>
      <c r="CM54" s="222">
        <f t="shared" si="3"/>
        <v>12216</v>
      </c>
      <c r="CN54" s="3" t="str">
        <f t="shared" si="4"/>
        <v>خدمة عامة</v>
      </c>
    </row>
    <row r="55" spans="3:92" x14ac:dyDescent="0.25">
      <c r="C55" s="223" t="s">
        <v>5178</v>
      </c>
      <c r="D55" s="224">
        <v>19878</v>
      </c>
      <c r="E55" s="221">
        <v>12217</v>
      </c>
      <c r="F55" s="250" t="s">
        <v>249</v>
      </c>
      <c r="G55" s="223" t="s">
        <v>5177</v>
      </c>
      <c r="I55" s="223">
        <v>8701.08</v>
      </c>
      <c r="AV55" s="22">
        <f t="shared" si="6"/>
        <v>8701.08</v>
      </c>
      <c r="AW55" s="223">
        <v>7034.09</v>
      </c>
      <c r="AX55" s="223">
        <v>912.7</v>
      </c>
      <c r="AY55" s="223">
        <v>329.29</v>
      </c>
      <c r="AZ55" s="223">
        <v>425</v>
      </c>
      <c r="CK55" s="22">
        <f t="shared" si="1"/>
        <v>8701.08</v>
      </c>
      <c r="CL55" s="3">
        <f t="shared" si="2"/>
        <v>0</v>
      </c>
      <c r="CM55" s="222">
        <f t="shared" si="3"/>
        <v>12217</v>
      </c>
      <c r="CN55" s="3" t="str">
        <f t="shared" si="4"/>
        <v>خدمة عامة</v>
      </c>
    </row>
    <row r="56" spans="3:92" x14ac:dyDescent="0.25">
      <c r="C56" s="223" t="s">
        <v>592</v>
      </c>
      <c r="D56" s="224">
        <v>19887</v>
      </c>
      <c r="E56" s="221">
        <v>12218</v>
      </c>
      <c r="F56" s="250" t="s">
        <v>123</v>
      </c>
      <c r="G56" s="223" t="str">
        <f>+G53</f>
        <v>ج غير عاديه عن التحصيل</v>
      </c>
      <c r="I56" s="223">
        <v>17449.16</v>
      </c>
      <c r="AV56" s="22">
        <f t="shared" si="6"/>
        <v>17449.16</v>
      </c>
      <c r="AW56" s="223">
        <v>11426.92</v>
      </c>
      <c r="AX56" s="223">
        <f>1521.62+83.05</f>
        <v>1604.6699999999998</v>
      </c>
      <c r="AY56" s="223">
        <v>3656.71</v>
      </c>
      <c r="AZ56" s="223">
        <v>760.86</v>
      </c>
      <c r="CK56" s="22">
        <f t="shared" si="1"/>
        <v>17449.16</v>
      </c>
      <c r="CL56" s="3">
        <f t="shared" si="2"/>
        <v>0</v>
      </c>
      <c r="CM56" s="222">
        <f t="shared" si="3"/>
        <v>12218</v>
      </c>
      <c r="CN56" s="3" t="str">
        <f t="shared" si="4"/>
        <v>خ ت اسنان</v>
      </c>
    </row>
    <row r="57" spans="3:92" x14ac:dyDescent="0.25">
      <c r="C57" s="223" t="s">
        <v>555</v>
      </c>
      <c r="D57" s="224">
        <v>19865</v>
      </c>
      <c r="E57" s="221">
        <v>12219</v>
      </c>
      <c r="F57" s="250" t="s">
        <v>124</v>
      </c>
      <c r="G57" s="223" t="s">
        <v>5179</v>
      </c>
      <c r="I57" s="223">
        <v>721.58</v>
      </c>
      <c r="AV57" s="22">
        <f t="shared" si="6"/>
        <v>721.58</v>
      </c>
      <c r="AW57" s="223">
        <v>555.83000000000004</v>
      </c>
      <c r="AX57" s="223">
        <v>71.010000000000005</v>
      </c>
      <c r="AY57" s="223">
        <v>60.51</v>
      </c>
      <c r="AZ57" s="223">
        <v>34.229999999999997</v>
      </c>
      <c r="CK57" s="22">
        <f t="shared" si="1"/>
        <v>721.58</v>
      </c>
      <c r="CL57" s="3">
        <f t="shared" si="2"/>
        <v>0</v>
      </c>
      <c r="CM57" s="222">
        <f t="shared" si="3"/>
        <v>12219</v>
      </c>
      <c r="CN57" s="3" t="str">
        <f t="shared" si="4"/>
        <v>تكافل اسنان</v>
      </c>
    </row>
    <row r="58" spans="3:92" x14ac:dyDescent="0.25">
      <c r="C58" s="223" t="s">
        <v>555</v>
      </c>
      <c r="D58" s="224">
        <v>19866</v>
      </c>
      <c r="E58" s="221">
        <v>12220</v>
      </c>
      <c r="F58" s="250" t="s">
        <v>124</v>
      </c>
      <c r="G58" s="223" t="s">
        <v>5180</v>
      </c>
      <c r="I58" s="223">
        <v>721.58</v>
      </c>
      <c r="AV58" s="22">
        <f t="shared" si="6"/>
        <v>721.58</v>
      </c>
      <c r="AW58" s="223">
        <v>555.83000000000004</v>
      </c>
      <c r="AX58" s="223">
        <v>71.010000000000005</v>
      </c>
      <c r="AY58" s="223">
        <v>60.51</v>
      </c>
      <c r="AZ58" s="223">
        <v>34.229999999999997</v>
      </c>
      <c r="CK58" s="22">
        <f t="shared" si="1"/>
        <v>721.58</v>
      </c>
      <c r="CL58" s="3">
        <f t="shared" si="2"/>
        <v>0</v>
      </c>
      <c r="CM58" s="222">
        <f t="shared" si="3"/>
        <v>12220</v>
      </c>
      <c r="CN58" s="3" t="str">
        <f t="shared" si="4"/>
        <v>تكافل اسنان</v>
      </c>
    </row>
    <row r="59" spans="3:92" x14ac:dyDescent="0.25">
      <c r="C59" s="223" t="s">
        <v>588</v>
      </c>
      <c r="D59" s="224">
        <v>20087</v>
      </c>
      <c r="E59" s="221">
        <v>12221</v>
      </c>
      <c r="F59" s="250" t="s">
        <v>119</v>
      </c>
      <c r="G59" s="223" t="s">
        <v>5181</v>
      </c>
      <c r="I59" s="223">
        <v>3869.25</v>
      </c>
      <c r="AV59" s="22">
        <f t="shared" si="6"/>
        <v>3869.25</v>
      </c>
      <c r="AW59" s="223">
        <v>2696.17</v>
      </c>
      <c r="AX59" s="223">
        <f>21.7+69.13</f>
        <v>90.83</v>
      </c>
      <c r="AY59" s="223">
        <v>932.25</v>
      </c>
      <c r="AZ59" s="223">
        <v>150</v>
      </c>
      <c r="CK59" s="22">
        <f t="shared" si="1"/>
        <v>3869.25</v>
      </c>
      <c r="CL59" s="3">
        <f t="shared" si="2"/>
        <v>0</v>
      </c>
      <c r="CM59" s="222">
        <f t="shared" si="3"/>
        <v>12221</v>
      </c>
      <c r="CN59" s="3" t="str">
        <f t="shared" si="4"/>
        <v>خ ت صيدلة</v>
      </c>
    </row>
    <row r="60" spans="3:92" x14ac:dyDescent="0.25">
      <c r="C60" s="223" t="s">
        <v>588</v>
      </c>
      <c r="D60" s="224">
        <v>20084</v>
      </c>
      <c r="E60" s="221">
        <v>12222</v>
      </c>
      <c r="F60" s="250" t="s">
        <v>119</v>
      </c>
      <c r="G60" s="223" t="s">
        <v>5182</v>
      </c>
      <c r="I60" s="223">
        <v>300</v>
      </c>
      <c r="AV60" s="22">
        <f t="shared" si="6"/>
        <v>300</v>
      </c>
      <c r="AW60" s="223">
        <v>226.68</v>
      </c>
      <c r="AX60" s="223">
        <v>58.32</v>
      </c>
      <c r="AZ60" s="223">
        <v>15</v>
      </c>
      <c r="CK60" s="22">
        <f t="shared" si="1"/>
        <v>300</v>
      </c>
      <c r="CL60" s="3">
        <f t="shared" si="2"/>
        <v>0</v>
      </c>
      <c r="CM60" s="222">
        <f t="shared" si="3"/>
        <v>12222</v>
      </c>
      <c r="CN60" s="3" t="str">
        <f t="shared" si="4"/>
        <v>خ ت صيدلة</v>
      </c>
    </row>
    <row r="61" spans="3:92" x14ac:dyDescent="0.25">
      <c r="C61" s="223" t="s">
        <v>588</v>
      </c>
      <c r="D61" s="224">
        <v>20081</v>
      </c>
      <c r="E61" s="221">
        <v>12223</v>
      </c>
      <c r="F61" s="250" t="s">
        <v>119</v>
      </c>
      <c r="G61" s="223" t="s">
        <v>5183</v>
      </c>
      <c r="I61" s="223">
        <v>586.25</v>
      </c>
      <c r="AV61" s="22">
        <f t="shared" si="6"/>
        <v>586.25</v>
      </c>
      <c r="AW61" s="223">
        <v>350.92</v>
      </c>
      <c r="AX61" s="223">
        <v>69.08</v>
      </c>
      <c r="AY61" s="223">
        <v>141.25</v>
      </c>
      <c r="AZ61" s="223">
        <v>25</v>
      </c>
      <c r="CK61" s="22">
        <f t="shared" si="1"/>
        <v>586.25</v>
      </c>
      <c r="CL61" s="3">
        <f t="shared" si="2"/>
        <v>0</v>
      </c>
      <c r="CM61" s="222">
        <f t="shared" si="3"/>
        <v>12223</v>
      </c>
      <c r="CN61" s="3" t="str">
        <f t="shared" si="4"/>
        <v>خ ت صيدلة</v>
      </c>
    </row>
    <row r="62" spans="3:92" x14ac:dyDescent="0.25">
      <c r="C62" s="223" t="s">
        <v>588</v>
      </c>
      <c r="D62" s="224">
        <v>20525</v>
      </c>
      <c r="E62" s="221">
        <v>12224</v>
      </c>
      <c r="F62" s="250" t="s">
        <v>119</v>
      </c>
      <c r="G62" s="223" t="s">
        <v>5184</v>
      </c>
      <c r="I62" s="223">
        <v>150</v>
      </c>
      <c r="AV62" s="22">
        <f t="shared" si="6"/>
        <v>150</v>
      </c>
      <c r="AW62" s="223">
        <v>113.52</v>
      </c>
      <c r="AX62" s="223">
        <v>28.98</v>
      </c>
      <c r="AZ62" s="223">
        <v>7.5</v>
      </c>
      <c r="CK62" s="22">
        <f t="shared" si="1"/>
        <v>150</v>
      </c>
      <c r="CL62" s="3">
        <f t="shared" si="2"/>
        <v>0</v>
      </c>
      <c r="CM62" s="222">
        <f t="shared" si="3"/>
        <v>12224</v>
      </c>
      <c r="CN62" s="3" t="str">
        <f t="shared" si="4"/>
        <v>خ ت صيدلة</v>
      </c>
    </row>
    <row r="63" spans="3:92" x14ac:dyDescent="0.25">
      <c r="C63" s="223" t="s">
        <v>588</v>
      </c>
      <c r="D63" s="224">
        <v>20095</v>
      </c>
      <c r="E63" s="221">
        <v>12225</v>
      </c>
      <c r="F63" s="250" t="s">
        <v>119</v>
      </c>
      <c r="G63" s="223" t="s">
        <v>5185</v>
      </c>
      <c r="I63" s="223">
        <v>140.69999999999999</v>
      </c>
      <c r="AV63" s="22">
        <f t="shared" si="6"/>
        <v>140.69999999999999</v>
      </c>
      <c r="AW63" s="223">
        <v>85.38</v>
      </c>
      <c r="AX63" s="223">
        <v>15.42</v>
      </c>
      <c r="AY63" s="223">
        <v>33.9</v>
      </c>
      <c r="AZ63" s="223">
        <v>6</v>
      </c>
      <c r="CK63" s="22">
        <f t="shared" si="1"/>
        <v>140.69999999999999</v>
      </c>
      <c r="CL63" s="3">
        <f t="shared" si="2"/>
        <v>0</v>
      </c>
      <c r="CM63" s="222">
        <f t="shared" si="3"/>
        <v>12225</v>
      </c>
      <c r="CN63" s="3" t="str">
        <f t="shared" si="4"/>
        <v>خ ت صيدلة</v>
      </c>
    </row>
    <row r="64" spans="3:92" x14ac:dyDescent="0.25">
      <c r="C64" s="223" t="s">
        <v>588</v>
      </c>
      <c r="D64" s="224">
        <v>20096</v>
      </c>
      <c r="E64" s="221">
        <v>12226</v>
      </c>
      <c r="F64" s="250" t="s">
        <v>119</v>
      </c>
      <c r="G64" s="223" t="s">
        <v>5186</v>
      </c>
      <c r="I64" s="223">
        <v>150</v>
      </c>
      <c r="AV64" s="22">
        <f t="shared" si="6"/>
        <v>150</v>
      </c>
      <c r="AW64" s="223">
        <v>113.52</v>
      </c>
      <c r="AX64" s="223">
        <v>28.98</v>
      </c>
      <c r="AZ64" s="223">
        <v>7.5</v>
      </c>
      <c r="CK64" s="22">
        <f t="shared" si="1"/>
        <v>150</v>
      </c>
      <c r="CL64" s="3">
        <f t="shared" si="2"/>
        <v>0</v>
      </c>
      <c r="CM64" s="222">
        <f t="shared" si="3"/>
        <v>12226</v>
      </c>
      <c r="CN64" s="3" t="str">
        <f t="shared" si="4"/>
        <v>خ ت صيدلة</v>
      </c>
    </row>
    <row r="65" spans="3:92" x14ac:dyDescent="0.25">
      <c r="C65" s="223" t="s">
        <v>588</v>
      </c>
      <c r="D65" s="224">
        <v>20093</v>
      </c>
      <c r="E65" s="221">
        <v>12227</v>
      </c>
      <c r="F65" s="250" t="s">
        <v>119</v>
      </c>
      <c r="G65" s="223" t="s">
        <v>5187</v>
      </c>
      <c r="I65" s="223">
        <v>140.69999999999999</v>
      </c>
      <c r="AV65" s="22">
        <f t="shared" si="6"/>
        <v>140.69999999999999</v>
      </c>
      <c r="AW65" s="223">
        <v>90.4</v>
      </c>
      <c r="AX65" s="223">
        <v>10.4</v>
      </c>
      <c r="AY65" s="223">
        <v>33.9</v>
      </c>
      <c r="AZ65" s="223">
        <v>6</v>
      </c>
      <c r="CK65" s="22">
        <f t="shared" si="1"/>
        <v>140.70000000000002</v>
      </c>
      <c r="CL65" s="3">
        <f t="shared" si="2"/>
        <v>0</v>
      </c>
      <c r="CM65" s="222">
        <f t="shared" si="3"/>
        <v>12227</v>
      </c>
      <c r="CN65" s="3" t="str">
        <f t="shared" si="4"/>
        <v>خ ت صيدلة</v>
      </c>
    </row>
    <row r="66" spans="3:92" x14ac:dyDescent="0.25">
      <c r="C66" s="223" t="s">
        <v>588</v>
      </c>
      <c r="D66" s="224">
        <v>20083</v>
      </c>
      <c r="E66" s="221">
        <v>12228</v>
      </c>
      <c r="F66" s="250" t="s">
        <v>119</v>
      </c>
      <c r="G66" s="223" t="str">
        <f>+G60</f>
        <v>مكافاه عن السفر للجنه قطاع الدراسات</v>
      </c>
      <c r="I66" s="223">
        <v>351.75</v>
      </c>
      <c r="AV66" s="22">
        <f t="shared" si="6"/>
        <v>351.75</v>
      </c>
      <c r="AW66" s="223">
        <v>200.44</v>
      </c>
      <c r="AX66" s="223">
        <v>51.56</v>
      </c>
      <c r="AY66" s="223">
        <v>84.75</v>
      </c>
      <c r="AZ66" s="223">
        <v>15</v>
      </c>
      <c r="CK66" s="22">
        <f t="shared" si="1"/>
        <v>351.75</v>
      </c>
      <c r="CL66" s="3">
        <f t="shared" si="2"/>
        <v>0</v>
      </c>
      <c r="CM66" s="222">
        <f t="shared" si="3"/>
        <v>12228</v>
      </c>
      <c r="CN66" s="3" t="str">
        <f t="shared" si="4"/>
        <v>خ ت صيدلة</v>
      </c>
    </row>
    <row r="67" spans="3:92" x14ac:dyDescent="0.25">
      <c r="C67" s="223" t="s">
        <v>588</v>
      </c>
      <c r="D67" s="224">
        <v>20092</v>
      </c>
      <c r="E67" s="221">
        <v>12229</v>
      </c>
      <c r="F67" s="250" t="s">
        <v>119</v>
      </c>
      <c r="G67" s="223" t="s">
        <v>5188</v>
      </c>
      <c r="I67" s="223">
        <v>14777.72</v>
      </c>
      <c r="AV67" s="22">
        <f t="shared" si="6"/>
        <v>14777.72</v>
      </c>
      <c r="AW67" s="223">
        <v>9528.2999999999993</v>
      </c>
      <c r="AX67" s="223">
        <v>1753.98</v>
      </c>
      <c r="AY67" s="223">
        <v>2843.36</v>
      </c>
      <c r="AZ67" s="223">
        <v>652.08000000000004</v>
      </c>
      <c r="CK67" s="22">
        <f t="shared" si="1"/>
        <v>14777.72</v>
      </c>
      <c r="CL67" s="3">
        <f t="shared" si="2"/>
        <v>0</v>
      </c>
      <c r="CM67" s="222">
        <f t="shared" si="3"/>
        <v>12229</v>
      </c>
      <c r="CN67" s="3" t="str">
        <f t="shared" si="4"/>
        <v>خ ت صيدلة</v>
      </c>
    </row>
    <row r="68" spans="3:92" x14ac:dyDescent="0.25">
      <c r="C68" s="223" t="s">
        <v>5189</v>
      </c>
      <c r="D68" s="224">
        <v>20102</v>
      </c>
      <c r="E68" s="221">
        <v>12230</v>
      </c>
      <c r="F68" s="250" t="s">
        <v>729</v>
      </c>
      <c r="G68" s="223" t="s">
        <v>5190</v>
      </c>
      <c r="I68" s="223">
        <v>5185.08</v>
      </c>
      <c r="AV68" s="22">
        <f t="shared" si="6"/>
        <v>5185.08</v>
      </c>
      <c r="AW68" s="223">
        <v>4625.47</v>
      </c>
      <c r="AX68" s="223">
        <v>559.61</v>
      </c>
      <c r="CK68" s="22">
        <f t="shared" ref="CK68:CK131" si="7">SUM(AW68:CJ68)</f>
        <v>5185.08</v>
      </c>
      <c r="CL68" s="3">
        <f t="shared" ref="CL68:CL131" si="8">+CK68-AV68</f>
        <v>0</v>
      </c>
      <c r="CM68" s="222">
        <f t="shared" ref="CM68:CM131" si="9">+E68</f>
        <v>12230</v>
      </c>
      <c r="CN68" s="3" t="str">
        <f t="shared" ref="CN68:CN131" si="10">+F68</f>
        <v>خدمات صيدلة</v>
      </c>
    </row>
    <row r="69" spans="3:92" x14ac:dyDescent="0.25">
      <c r="C69" s="223" t="s">
        <v>5189</v>
      </c>
      <c r="D69" s="224">
        <v>20101</v>
      </c>
      <c r="E69" s="221">
        <v>12231</v>
      </c>
      <c r="F69" s="250" t="s">
        <v>729</v>
      </c>
      <c r="G69" s="223" t="s">
        <v>3238</v>
      </c>
      <c r="I69" s="223">
        <v>469</v>
      </c>
      <c r="AV69" s="22">
        <f t="shared" si="6"/>
        <v>469</v>
      </c>
      <c r="AW69" s="223">
        <v>314</v>
      </c>
      <c r="AX69" s="223">
        <v>42</v>
      </c>
      <c r="AY69" s="223">
        <v>113</v>
      </c>
      <c r="CK69" s="22">
        <f t="shared" si="7"/>
        <v>469</v>
      </c>
      <c r="CL69" s="3">
        <f t="shared" si="8"/>
        <v>0</v>
      </c>
      <c r="CM69" s="222">
        <f t="shared" si="9"/>
        <v>12231</v>
      </c>
      <c r="CN69" s="3" t="str">
        <f t="shared" si="10"/>
        <v>خدمات صيدلة</v>
      </c>
    </row>
    <row r="70" spans="3:92" x14ac:dyDescent="0.25">
      <c r="C70" s="223" t="s">
        <v>5189</v>
      </c>
      <c r="D70" s="224">
        <v>20099</v>
      </c>
      <c r="E70" s="221">
        <v>12232</v>
      </c>
      <c r="F70" s="250" t="s">
        <v>729</v>
      </c>
      <c r="G70" s="223" t="s">
        <v>3238</v>
      </c>
      <c r="I70" s="223">
        <v>2944.04</v>
      </c>
      <c r="AV70" s="22">
        <f t="shared" si="6"/>
        <v>2944.04</v>
      </c>
      <c r="AW70" s="223">
        <v>1799.22</v>
      </c>
      <c r="AX70" s="223">
        <v>253.85</v>
      </c>
      <c r="AY70" s="223">
        <v>890.97</v>
      </c>
      <c r="CK70" s="22">
        <f t="shared" si="7"/>
        <v>2944.04</v>
      </c>
      <c r="CL70" s="3">
        <f t="shared" si="8"/>
        <v>0</v>
      </c>
      <c r="CM70" s="222">
        <f t="shared" si="9"/>
        <v>12232</v>
      </c>
      <c r="CN70" s="3" t="str">
        <f t="shared" si="10"/>
        <v>خدمات صيدلة</v>
      </c>
    </row>
    <row r="71" spans="3:92" x14ac:dyDescent="0.25">
      <c r="C71" s="223" t="s">
        <v>5189</v>
      </c>
      <c r="D71" s="224">
        <v>20100</v>
      </c>
      <c r="E71" s="221">
        <v>12233</v>
      </c>
      <c r="F71" s="250" t="s">
        <v>729</v>
      </c>
      <c r="G71" s="223" t="s">
        <v>3238</v>
      </c>
      <c r="I71" s="223">
        <v>1641.5</v>
      </c>
      <c r="AV71" s="22">
        <f t="shared" si="6"/>
        <v>1641.5</v>
      </c>
      <c r="AW71" s="223">
        <v>1097</v>
      </c>
      <c r="AX71" s="223">
        <v>149</v>
      </c>
      <c r="AY71" s="223">
        <v>395.5</v>
      </c>
      <c r="CK71" s="22">
        <f t="shared" si="7"/>
        <v>1641.5</v>
      </c>
      <c r="CL71" s="3">
        <f t="shared" si="8"/>
        <v>0</v>
      </c>
      <c r="CM71" s="222">
        <f t="shared" si="9"/>
        <v>12233</v>
      </c>
      <c r="CN71" s="3" t="str">
        <f t="shared" si="10"/>
        <v>خدمات صيدلة</v>
      </c>
    </row>
    <row r="72" spans="3:92" x14ac:dyDescent="0.25">
      <c r="C72" s="223" t="s">
        <v>566</v>
      </c>
      <c r="D72" s="224">
        <v>20090</v>
      </c>
      <c r="E72" s="221">
        <v>12234</v>
      </c>
      <c r="F72" s="250" t="s">
        <v>5144</v>
      </c>
      <c r="G72" s="223" t="s">
        <v>5191</v>
      </c>
      <c r="I72" s="223">
        <v>800</v>
      </c>
      <c r="AV72" s="22">
        <f t="shared" si="6"/>
        <v>800</v>
      </c>
      <c r="AW72" s="223">
        <v>714.75</v>
      </c>
      <c r="AX72" s="223">
        <v>85.25</v>
      </c>
      <c r="CK72" s="22">
        <f t="shared" si="7"/>
        <v>800</v>
      </c>
      <c r="CL72" s="3">
        <f t="shared" si="8"/>
        <v>0</v>
      </c>
      <c r="CM72" s="222">
        <f t="shared" si="9"/>
        <v>12234</v>
      </c>
      <c r="CN72" s="3" t="str">
        <f t="shared" si="10"/>
        <v>صيدلة اكلينكى</v>
      </c>
    </row>
    <row r="73" spans="3:92" x14ac:dyDescent="0.25">
      <c r="C73" s="223" t="s">
        <v>571</v>
      </c>
      <c r="D73" s="224">
        <v>20091</v>
      </c>
      <c r="E73" s="221">
        <v>12235</v>
      </c>
      <c r="F73" s="250" t="s">
        <v>5144</v>
      </c>
      <c r="G73" s="223" t="s">
        <v>5191</v>
      </c>
      <c r="I73" s="223">
        <v>153.85</v>
      </c>
      <c r="AV73" s="22">
        <f t="shared" si="6"/>
        <v>153.85</v>
      </c>
      <c r="AW73" s="223">
        <v>103.26</v>
      </c>
      <c r="AX73" s="223">
        <v>13.52</v>
      </c>
      <c r="AY73" s="223">
        <v>37.07</v>
      </c>
      <c r="CK73" s="22">
        <f t="shared" si="7"/>
        <v>153.85</v>
      </c>
      <c r="CL73" s="3">
        <f t="shared" si="8"/>
        <v>0</v>
      </c>
      <c r="CM73" s="222">
        <f t="shared" si="9"/>
        <v>12235</v>
      </c>
      <c r="CN73" s="3" t="str">
        <f t="shared" si="10"/>
        <v>صيدلة اكلينكى</v>
      </c>
    </row>
    <row r="74" spans="3:92" x14ac:dyDescent="0.25">
      <c r="C74" s="223" t="s">
        <v>592</v>
      </c>
      <c r="D74" s="224">
        <v>19851</v>
      </c>
      <c r="E74" s="221">
        <v>12236</v>
      </c>
      <c r="F74" s="250" t="s">
        <v>5144</v>
      </c>
      <c r="G74" s="223" t="s">
        <v>5192</v>
      </c>
      <c r="I74" s="223">
        <v>2546.11</v>
      </c>
      <c r="AV74" s="22">
        <f t="shared" si="6"/>
        <v>2546.11</v>
      </c>
      <c r="AW74" s="223">
        <v>2232.9499999999998</v>
      </c>
      <c r="AX74" s="223">
        <v>270.39999999999998</v>
      </c>
      <c r="AY74" s="223">
        <v>42.76</v>
      </c>
      <c r="CK74" s="22">
        <f t="shared" si="7"/>
        <v>2546.11</v>
      </c>
      <c r="CL74" s="3">
        <f t="shared" si="8"/>
        <v>0</v>
      </c>
      <c r="CM74" s="222">
        <f t="shared" si="9"/>
        <v>12236</v>
      </c>
      <c r="CN74" s="3" t="str">
        <f t="shared" si="10"/>
        <v>صيدلة اكلينكى</v>
      </c>
    </row>
    <row r="75" spans="3:92" x14ac:dyDescent="0.25">
      <c r="C75" s="223" t="s">
        <v>592</v>
      </c>
      <c r="D75" s="224">
        <v>19855</v>
      </c>
      <c r="E75" s="221">
        <v>12237</v>
      </c>
      <c r="F75" s="250" t="s">
        <v>5144</v>
      </c>
      <c r="G75" s="223" t="s">
        <v>5192</v>
      </c>
      <c r="I75" s="223">
        <v>840</v>
      </c>
      <c r="AV75" s="22">
        <f t="shared" si="6"/>
        <v>840</v>
      </c>
      <c r="AW75" s="223">
        <v>750.45</v>
      </c>
      <c r="AX75" s="223">
        <v>89.55</v>
      </c>
      <c r="CK75" s="22">
        <f t="shared" si="7"/>
        <v>840</v>
      </c>
      <c r="CL75" s="3">
        <f t="shared" si="8"/>
        <v>0</v>
      </c>
      <c r="CM75" s="222">
        <f t="shared" si="9"/>
        <v>12237</v>
      </c>
      <c r="CN75" s="3" t="str">
        <f t="shared" si="10"/>
        <v>صيدلة اكلينكى</v>
      </c>
    </row>
    <row r="76" spans="3:92" x14ac:dyDescent="0.25">
      <c r="C76" s="223" t="s">
        <v>592</v>
      </c>
      <c r="D76" s="224" t="s">
        <v>5193</v>
      </c>
      <c r="E76" s="221">
        <v>12238</v>
      </c>
      <c r="F76" s="250" t="s">
        <v>5144</v>
      </c>
      <c r="G76" s="223" t="s">
        <v>5192</v>
      </c>
      <c r="I76" s="223">
        <v>3000</v>
      </c>
      <c r="AV76" s="22">
        <f t="shared" si="6"/>
        <v>3000</v>
      </c>
      <c r="AW76" s="223">
        <v>2677.85</v>
      </c>
      <c r="AX76" s="223">
        <v>322.14999999999998</v>
      </c>
      <c r="CK76" s="22">
        <f t="shared" si="7"/>
        <v>3000</v>
      </c>
      <c r="CL76" s="3">
        <f t="shared" si="8"/>
        <v>0</v>
      </c>
      <c r="CM76" s="222">
        <f t="shared" si="9"/>
        <v>12238</v>
      </c>
      <c r="CN76" s="3" t="str">
        <f t="shared" si="10"/>
        <v>صيدلة اكلينكى</v>
      </c>
    </row>
    <row r="77" spans="3:92" x14ac:dyDescent="0.25">
      <c r="C77" s="223" t="s">
        <v>592</v>
      </c>
      <c r="D77" s="224">
        <v>19853</v>
      </c>
      <c r="E77" s="221">
        <v>12239</v>
      </c>
      <c r="F77" s="250" t="s">
        <v>5144</v>
      </c>
      <c r="G77" s="223" t="s">
        <v>5192</v>
      </c>
      <c r="I77" s="223">
        <v>2100</v>
      </c>
      <c r="AV77" s="22">
        <f t="shared" si="6"/>
        <v>2100</v>
      </c>
      <c r="AW77" s="223">
        <v>1874.6</v>
      </c>
      <c r="AX77" s="223">
        <v>225.4</v>
      </c>
      <c r="CK77" s="22">
        <f t="shared" si="7"/>
        <v>2100</v>
      </c>
      <c r="CL77" s="3">
        <f t="shared" si="8"/>
        <v>0</v>
      </c>
      <c r="CM77" s="222">
        <f t="shared" si="9"/>
        <v>12239</v>
      </c>
      <c r="CN77" s="3" t="str">
        <f t="shared" si="10"/>
        <v>صيدلة اكلينكى</v>
      </c>
    </row>
    <row r="78" spans="3:92" x14ac:dyDescent="0.25">
      <c r="C78" s="223" t="s">
        <v>592</v>
      </c>
      <c r="D78" s="224">
        <v>19852</v>
      </c>
      <c r="E78" s="221">
        <v>12240</v>
      </c>
      <c r="F78" s="250" t="s">
        <v>5144</v>
      </c>
      <c r="G78" s="223" t="s">
        <v>5192</v>
      </c>
      <c r="I78" s="223">
        <v>2520</v>
      </c>
      <c r="AV78" s="22">
        <f t="shared" si="6"/>
        <v>2520</v>
      </c>
      <c r="AW78" s="223">
        <v>2249.4499999999998</v>
      </c>
      <c r="AX78" s="223">
        <v>270.55</v>
      </c>
      <c r="CK78" s="22">
        <f t="shared" si="7"/>
        <v>2520</v>
      </c>
      <c r="CL78" s="3">
        <f t="shared" si="8"/>
        <v>0</v>
      </c>
      <c r="CM78" s="222">
        <f t="shared" si="9"/>
        <v>12240</v>
      </c>
      <c r="CN78" s="3" t="str">
        <f t="shared" si="10"/>
        <v>صيدلة اكلينكى</v>
      </c>
    </row>
    <row r="79" spans="3:92" x14ac:dyDescent="0.25">
      <c r="C79" s="223" t="s">
        <v>592</v>
      </c>
      <c r="D79" s="224">
        <v>19858</v>
      </c>
      <c r="E79" s="221">
        <v>12241</v>
      </c>
      <c r="F79" s="250" t="s">
        <v>5144</v>
      </c>
      <c r="G79" s="223" t="s">
        <v>5192</v>
      </c>
      <c r="I79" s="223">
        <v>3150</v>
      </c>
      <c r="AV79" s="22">
        <f t="shared" si="6"/>
        <v>3150</v>
      </c>
      <c r="AW79" s="223">
        <v>2811.75</v>
      </c>
      <c r="AX79" s="223">
        <v>338.25</v>
      </c>
      <c r="CK79" s="22">
        <f t="shared" si="7"/>
        <v>3150</v>
      </c>
      <c r="CL79" s="3">
        <f t="shared" si="8"/>
        <v>0</v>
      </c>
      <c r="CM79" s="222">
        <f t="shared" si="9"/>
        <v>12241</v>
      </c>
      <c r="CN79" s="3" t="str">
        <f t="shared" si="10"/>
        <v>صيدلة اكلينكى</v>
      </c>
    </row>
    <row r="80" spans="3:92" x14ac:dyDescent="0.25">
      <c r="C80" s="223" t="s">
        <v>592</v>
      </c>
      <c r="D80" s="224">
        <v>19854</v>
      </c>
      <c r="E80" s="221">
        <v>12242</v>
      </c>
      <c r="F80" s="250" t="s">
        <v>5144</v>
      </c>
      <c r="G80" s="223" t="s">
        <v>5192</v>
      </c>
      <c r="I80" s="223">
        <v>25290</v>
      </c>
      <c r="AV80" s="22">
        <f t="shared" si="6"/>
        <v>25290</v>
      </c>
      <c r="AW80" s="223">
        <v>22577.599999999999</v>
      </c>
      <c r="AX80" s="223">
        <v>2712.4</v>
      </c>
      <c r="CK80" s="22">
        <f t="shared" si="7"/>
        <v>25290</v>
      </c>
      <c r="CL80" s="3">
        <f t="shared" si="8"/>
        <v>0</v>
      </c>
      <c r="CM80" s="222">
        <f t="shared" si="9"/>
        <v>12242</v>
      </c>
      <c r="CN80" s="3" t="str">
        <f t="shared" si="10"/>
        <v>صيدلة اكلينكى</v>
      </c>
    </row>
    <row r="81" spans="3:92" x14ac:dyDescent="0.25">
      <c r="C81" s="223" t="s">
        <v>592</v>
      </c>
      <c r="D81" s="224">
        <v>19856</v>
      </c>
      <c r="E81" s="221">
        <v>12243</v>
      </c>
      <c r="F81" s="250" t="s">
        <v>5144</v>
      </c>
      <c r="G81" s="223" t="s">
        <v>5192</v>
      </c>
      <c r="I81" s="223">
        <v>2400</v>
      </c>
      <c r="AV81" s="22">
        <f t="shared" si="6"/>
        <v>2400</v>
      </c>
      <c r="AW81" s="223">
        <v>2142.35</v>
      </c>
      <c r="AX81" s="223">
        <v>257.64999999999998</v>
      </c>
      <c r="CK81" s="22">
        <f t="shared" si="7"/>
        <v>2400</v>
      </c>
      <c r="CL81" s="3">
        <f t="shared" si="8"/>
        <v>0</v>
      </c>
      <c r="CM81" s="222">
        <f t="shared" si="9"/>
        <v>12243</v>
      </c>
      <c r="CN81" s="3" t="str">
        <f t="shared" si="10"/>
        <v>صيدلة اكلينكى</v>
      </c>
    </row>
    <row r="82" spans="3:92" x14ac:dyDescent="0.25">
      <c r="C82" s="223" t="s">
        <v>592</v>
      </c>
      <c r="D82" s="224">
        <v>19850</v>
      </c>
      <c r="E82" s="221">
        <v>12244</v>
      </c>
      <c r="F82" s="250" t="s">
        <v>5144</v>
      </c>
      <c r="G82" s="223" t="s">
        <v>5192</v>
      </c>
      <c r="I82" s="223">
        <v>3100.66</v>
      </c>
      <c r="AV82" s="22">
        <f t="shared" si="6"/>
        <v>3100.66</v>
      </c>
      <c r="AW82" s="223">
        <v>2706.02</v>
      </c>
      <c r="AX82" s="223">
        <v>328.05</v>
      </c>
      <c r="AY82" s="223">
        <v>66.59</v>
      </c>
      <c r="CK82" s="22">
        <f t="shared" si="7"/>
        <v>3100.6600000000003</v>
      </c>
      <c r="CL82" s="3">
        <f t="shared" si="8"/>
        <v>0</v>
      </c>
      <c r="CM82" s="222">
        <f t="shared" si="9"/>
        <v>12244</v>
      </c>
      <c r="CN82" s="3" t="str">
        <f t="shared" si="10"/>
        <v>صيدلة اكلينكى</v>
      </c>
    </row>
    <row r="83" spans="3:92" x14ac:dyDescent="0.25">
      <c r="C83" s="223" t="s">
        <v>592</v>
      </c>
      <c r="D83" s="224">
        <v>19857</v>
      </c>
      <c r="E83" s="221">
        <v>12245</v>
      </c>
      <c r="F83" s="250" t="s">
        <v>5144</v>
      </c>
      <c r="G83" s="223" t="s">
        <v>5192</v>
      </c>
      <c r="I83" s="223">
        <v>28445.64</v>
      </c>
      <c r="AV83" s="22">
        <f t="shared" si="6"/>
        <v>28445.64</v>
      </c>
      <c r="AW83" s="223">
        <v>24930.59</v>
      </c>
      <c r="AX83" s="223">
        <v>3022.7</v>
      </c>
      <c r="AY83" s="223">
        <v>492.35</v>
      </c>
      <c r="CK83" s="22">
        <f t="shared" si="7"/>
        <v>28445.64</v>
      </c>
      <c r="CL83" s="3">
        <f t="shared" si="8"/>
        <v>0</v>
      </c>
      <c r="CM83" s="222">
        <f t="shared" si="9"/>
        <v>12245</v>
      </c>
      <c r="CN83" s="3" t="str">
        <f t="shared" si="10"/>
        <v>صيدلة اكلينكى</v>
      </c>
    </row>
    <row r="84" spans="3:92" x14ac:dyDescent="0.25">
      <c r="C84" s="223" t="s">
        <v>592</v>
      </c>
      <c r="D84" s="224">
        <v>19849</v>
      </c>
      <c r="E84" s="221">
        <v>12246</v>
      </c>
      <c r="F84" s="250" t="s">
        <v>5144</v>
      </c>
      <c r="G84" s="223" t="s">
        <v>5192</v>
      </c>
      <c r="I84" s="223">
        <v>24746.3</v>
      </c>
      <c r="AV84" s="22">
        <f t="shared" si="6"/>
        <v>24746.3</v>
      </c>
      <c r="AW84" s="223">
        <v>19700.25</v>
      </c>
      <c r="AX84" s="223">
        <v>2480.9499999999998</v>
      </c>
      <c r="AY84" s="223">
        <v>2565.1</v>
      </c>
      <c r="CK84" s="22">
        <f t="shared" si="7"/>
        <v>24746.3</v>
      </c>
      <c r="CL84" s="3">
        <f t="shared" si="8"/>
        <v>0</v>
      </c>
      <c r="CM84" s="222">
        <f t="shared" si="9"/>
        <v>12246</v>
      </c>
      <c r="CN84" s="3" t="str">
        <f t="shared" si="10"/>
        <v>صيدلة اكلينكى</v>
      </c>
    </row>
    <row r="85" spans="3:92" x14ac:dyDescent="0.25">
      <c r="C85" s="223" t="s">
        <v>592</v>
      </c>
      <c r="D85" s="224">
        <v>19899</v>
      </c>
      <c r="E85" s="221">
        <v>12247</v>
      </c>
      <c r="F85" s="250" t="s">
        <v>5144</v>
      </c>
      <c r="G85" s="223" t="s">
        <v>5192</v>
      </c>
      <c r="I85" s="223">
        <v>60735.5</v>
      </c>
      <c r="AV85" s="22">
        <f t="shared" si="6"/>
        <v>60735.5</v>
      </c>
      <c r="AW85" s="223">
        <v>40573.050000000003</v>
      </c>
      <c r="AX85" s="223">
        <f>348.95+5180</f>
        <v>5528.95</v>
      </c>
      <c r="AY85" s="223">
        <v>14633.5</v>
      </c>
      <c r="CK85" s="22">
        <f t="shared" si="7"/>
        <v>60735.5</v>
      </c>
      <c r="CL85" s="3">
        <f t="shared" si="8"/>
        <v>0</v>
      </c>
      <c r="CM85" s="222">
        <f t="shared" si="9"/>
        <v>12247</v>
      </c>
      <c r="CN85" s="3" t="str">
        <f t="shared" si="10"/>
        <v>صيدلة اكلينكى</v>
      </c>
    </row>
    <row r="86" spans="3:92" x14ac:dyDescent="0.25">
      <c r="C86" s="223" t="s">
        <v>5189</v>
      </c>
      <c r="D86" s="224">
        <v>20098</v>
      </c>
      <c r="E86" s="221">
        <v>12248</v>
      </c>
      <c r="F86" s="250" t="s">
        <v>729</v>
      </c>
      <c r="G86" s="223" t="str">
        <f>+G70</f>
        <v>مكافاه تشغيليه خدمات صيدله</v>
      </c>
      <c r="I86" s="223">
        <v>4924.5</v>
      </c>
      <c r="AV86" s="22">
        <f t="shared" si="6"/>
        <v>4924.5</v>
      </c>
      <c r="AW86" s="223">
        <v>3287.61</v>
      </c>
      <c r="AX86" s="223">
        <f>420+30.39</f>
        <v>450.39</v>
      </c>
      <c r="AY86" s="226">
        <f>1636.89-AX86</f>
        <v>1186.5</v>
      </c>
      <c r="CK86" s="22">
        <f t="shared" si="7"/>
        <v>4924.5</v>
      </c>
      <c r="CL86" s="3">
        <f t="shared" si="8"/>
        <v>0</v>
      </c>
      <c r="CM86" s="222">
        <f t="shared" si="9"/>
        <v>12248</v>
      </c>
      <c r="CN86" s="3" t="str">
        <f t="shared" si="10"/>
        <v>خدمات صيدلة</v>
      </c>
    </row>
    <row r="87" spans="3:92" x14ac:dyDescent="0.25">
      <c r="C87" s="223" t="s">
        <v>5196</v>
      </c>
      <c r="D87" s="224">
        <v>20255</v>
      </c>
      <c r="E87" s="221">
        <v>12249</v>
      </c>
      <c r="F87" s="250" t="s">
        <v>78</v>
      </c>
      <c r="G87" s="223" t="s">
        <v>5194</v>
      </c>
      <c r="I87" s="223">
        <v>1500.8</v>
      </c>
      <c r="AV87" s="22">
        <f t="shared" si="6"/>
        <v>1500.8</v>
      </c>
      <c r="AW87" s="223">
        <v>1019.68</v>
      </c>
      <c r="AX87" s="223">
        <v>119.52</v>
      </c>
      <c r="AY87" s="223">
        <v>361.6</v>
      </c>
      <c r="CK87" s="22">
        <f t="shared" si="7"/>
        <v>1500.8000000000002</v>
      </c>
      <c r="CL87" s="3">
        <f t="shared" si="8"/>
        <v>0</v>
      </c>
      <c r="CM87" s="222">
        <f t="shared" si="9"/>
        <v>12249</v>
      </c>
      <c r="CN87" s="3" t="str">
        <f t="shared" si="10"/>
        <v>برنامج دولى</v>
      </c>
    </row>
    <row r="88" spans="3:92" x14ac:dyDescent="0.25">
      <c r="C88" s="223" t="s">
        <v>5196</v>
      </c>
      <c r="D88" s="224">
        <v>20260</v>
      </c>
      <c r="E88" s="221">
        <v>12250</v>
      </c>
      <c r="F88" s="250" t="s">
        <v>78</v>
      </c>
      <c r="G88" s="223" t="s">
        <v>5194</v>
      </c>
      <c r="I88" s="223">
        <v>234.5</v>
      </c>
      <c r="AV88" s="22">
        <f t="shared" si="6"/>
        <v>234.5</v>
      </c>
      <c r="AW88" s="223">
        <v>159.47999999999999</v>
      </c>
      <c r="AX88" s="223">
        <v>18.52</v>
      </c>
      <c r="AY88" s="223">
        <v>56.5</v>
      </c>
      <c r="CK88" s="22">
        <f t="shared" si="7"/>
        <v>234.5</v>
      </c>
      <c r="CL88" s="3">
        <f t="shared" si="8"/>
        <v>0</v>
      </c>
      <c r="CM88" s="222">
        <f t="shared" si="9"/>
        <v>12250</v>
      </c>
      <c r="CN88" s="3" t="str">
        <f t="shared" si="10"/>
        <v>برنامج دولى</v>
      </c>
    </row>
    <row r="89" spans="3:92" x14ac:dyDescent="0.25">
      <c r="C89" s="223" t="s">
        <v>5196</v>
      </c>
      <c r="D89" s="224">
        <v>20514</v>
      </c>
      <c r="E89" s="221">
        <v>12251</v>
      </c>
      <c r="F89" s="250" t="s">
        <v>78</v>
      </c>
      <c r="G89" s="223" t="s">
        <v>5195</v>
      </c>
      <c r="I89" s="223">
        <v>75</v>
      </c>
      <c r="AV89" s="22">
        <f t="shared" si="6"/>
        <v>75</v>
      </c>
      <c r="AW89" s="223">
        <v>67.349999999999994</v>
      </c>
      <c r="AX89" s="223">
        <v>7.65</v>
      </c>
      <c r="CK89" s="22">
        <f t="shared" si="7"/>
        <v>75</v>
      </c>
      <c r="CL89" s="3">
        <f t="shared" si="8"/>
        <v>0</v>
      </c>
      <c r="CM89" s="222">
        <f t="shared" si="9"/>
        <v>12251</v>
      </c>
      <c r="CN89" s="3" t="str">
        <f t="shared" si="10"/>
        <v>برنامج دولى</v>
      </c>
    </row>
    <row r="90" spans="3:92" x14ac:dyDescent="0.25">
      <c r="C90" s="223" t="s">
        <v>5196</v>
      </c>
      <c r="D90" s="224">
        <v>20515</v>
      </c>
      <c r="E90" s="221">
        <v>12252</v>
      </c>
      <c r="F90" s="250" t="s">
        <v>78</v>
      </c>
      <c r="G90" s="223" t="s">
        <v>5195</v>
      </c>
      <c r="I90" s="223">
        <v>100</v>
      </c>
      <c r="AV90" s="22">
        <f t="shared" si="6"/>
        <v>100</v>
      </c>
      <c r="AW90" s="223">
        <v>89.7</v>
      </c>
      <c r="AX90" s="223">
        <v>10.3</v>
      </c>
      <c r="CK90" s="22">
        <f t="shared" si="7"/>
        <v>100</v>
      </c>
      <c r="CL90" s="3">
        <f t="shared" si="8"/>
        <v>0</v>
      </c>
      <c r="CM90" s="222">
        <f t="shared" si="9"/>
        <v>12252</v>
      </c>
      <c r="CN90" s="3" t="str">
        <f t="shared" si="10"/>
        <v>برنامج دولى</v>
      </c>
    </row>
    <row r="91" spans="3:92" x14ac:dyDescent="0.25">
      <c r="C91" s="223" t="s">
        <v>5196</v>
      </c>
      <c r="D91" s="224">
        <v>20513</v>
      </c>
      <c r="E91" s="221">
        <v>12253</v>
      </c>
      <c r="F91" s="250" t="s">
        <v>78</v>
      </c>
      <c r="G91" s="223" t="s">
        <v>5195</v>
      </c>
      <c r="I91" s="223">
        <v>4900</v>
      </c>
      <c r="AV91" s="22">
        <f t="shared" si="6"/>
        <v>4900</v>
      </c>
      <c r="AW91" s="223">
        <v>4376.75</v>
      </c>
      <c r="AX91" s="223">
        <v>523.25</v>
      </c>
      <c r="CK91" s="22">
        <f t="shared" si="7"/>
        <v>4900</v>
      </c>
      <c r="CL91" s="3">
        <f t="shared" si="8"/>
        <v>0</v>
      </c>
      <c r="CM91" s="222">
        <f t="shared" si="9"/>
        <v>12253</v>
      </c>
      <c r="CN91" s="3" t="str">
        <f t="shared" si="10"/>
        <v>برنامج دولى</v>
      </c>
    </row>
    <row r="92" spans="3:92" x14ac:dyDescent="0.25">
      <c r="C92" s="223" t="s">
        <v>5196</v>
      </c>
      <c r="D92" s="224">
        <v>20512</v>
      </c>
      <c r="E92" s="221">
        <v>12254</v>
      </c>
      <c r="F92" s="250" t="s">
        <v>78</v>
      </c>
      <c r="G92" s="223" t="s">
        <v>5195</v>
      </c>
      <c r="I92" s="223">
        <v>675</v>
      </c>
      <c r="AV92" s="22">
        <f t="shared" si="6"/>
        <v>675</v>
      </c>
      <c r="AW92" s="223">
        <v>603.1</v>
      </c>
      <c r="AX92" s="223">
        <v>71.900000000000006</v>
      </c>
      <c r="CK92" s="22">
        <f t="shared" si="7"/>
        <v>675</v>
      </c>
      <c r="CL92" s="3">
        <f t="shared" si="8"/>
        <v>0</v>
      </c>
      <c r="CM92" s="222">
        <f t="shared" si="9"/>
        <v>12254</v>
      </c>
      <c r="CN92" s="3" t="str">
        <f t="shared" si="10"/>
        <v>برنامج دولى</v>
      </c>
    </row>
    <row r="93" spans="3:92" x14ac:dyDescent="0.25">
      <c r="C93" s="223" t="s">
        <v>5196</v>
      </c>
      <c r="D93" s="224">
        <v>20511</v>
      </c>
      <c r="E93" s="221">
        <v>12255</v>
      </c>
      <c r="F93" s="250" t="s">
        <v>78</v>
      </c>
      <c r="G93" s="223" t="s">
        <v>5195</v>
      </c>
      <c r="I93" s="223">
        <v>100</v>
      </c>
      <c r="AV93" s="22">
        <f t="shared" si="6"/>
        <v>100</v>
      </c>
      <c r="AW93" s="223">
        <v>89.7</v>
      </c>
      <c r="AX93" s="223">
        <v>10.3</v>
      </c>
      <c r="CK93" s="22">
        <f t="shared" si="7"/>
        <v>100</v>
      </c>
      <c r="CL93" s="3">
        <f t="shared" si="8"/>
        <v>0</v>
      </c>
      <c r="CM93" s="222">
        <f t="shared" si="9"/>
        <v>12255</v>
      </c>
      <c r="CN93" s="3" t="str">
        <f t="shared" si="10"/>
        <v>برنامج دولى</v>
      </c>
    </row>
    <row r="94" spans="3:92" x14ac:dyDescent="0.25">
      <c r="C94" s="223" t="s">
        <v>5196</v>
      </c>
      <c r="D94" s="224">
        <v>20510</v>
      </c>
      <c r="E94" s="221">
        <v>12256</v>
      </c>
      <c r="F94" s="250" t="s">
        <v>78</v>
      </c>
      <c r="G94" s="223" t="s">
        <v>5195</v>
      </c>
      <c r="I94" s="223">
        <v>75</v>
      </c>
      <c r="AV94" s="22">
        <f t="shared" si="6"/>
        <v>75</v>
      </c>
      <c r="AW94" s="223">
        <v>67.349999999999994</v>
      </c>
      <c r="AX94" s="223">
        <v>7.65</v>
      </c>
      <c r="CK94" s="22">
        <f t="shared" si="7"/>
        <v>75</v>
      </c>
      <c r="CL94" s="3">
        <f t="shared" si="8"/>
        <v>0</v>
      </c>
      <c r="CM94" s="222">
        <f t="shared" si="9"/>
        <v>12256</v>
      </c>
      <c r="CN94" s="3" t="str">
        <f t="shared" si="10"/>
        <v>برنامج دولى</v>
      </c>
    </row>
    <row r="95" spans="3:92" x14ac:dyDescent="0.25">
      <c r="C95" s="223" t="s">
        <v>5196</v>
      </c>
      <c r="D95" s="224">
        <v>20509</v>
      </c>
      <c r="E95" s="221">
        <v>12257</v>
      </c>
      <c r="F95" s="250" t="s">
        <v>78</v>
      </c>
      <c r="G95" s="223" t="s">
        <v>5195</v>
      </c>
      <c r="I95" s="223">
        <v>1350</v>
      </c>
      <c r="AV95" s="22">
        <f t="shared" si="6"/>
        <v>1350</v>
      </c>
      <c r="AW95" s="223">
        <v>1205.8</v>
      </c>
      <c r="AX95" s="223">
        <v>144.19999999999999</v>
      </c>
      <c r="CK95" s="22">
        <f t="shared" si="7"/>
        <v>1350</v>
      </c>
      <c r="CL95" s="3">
        <f t="shared" si="8"/>
        <v>0</v>
      </c>
      <c r="CM95" s="222">
        <f t="shared" si="9"/>
        <v>12257</v>
      </c>
      <c r="CN95" s="3" t="str">
        <f t="shared" si="10"/>
        <v>برنامج دولى</v>
      </c>
    </row>
    <row r="96" spans="3:92" x14ac:dyDescent="0.25">
      <c r="C96" s="223" t="s">
        <v>5196</v>
      </c>
      <c r="D96" s="224">
        <v>20508</v>
      </c>
      <c r="E96" s="221">
        <v>12258</v>
      </c>
      <c r="F96" s="250" t="s">
        <v>78</v>
      </c>
      <c r="G96" s="223" t="s">
        <v>5195</v>
      </c>
      <c r="I96" s="223">
        <v>650</v>
      </c>
      <c r="AV96" s="22">
        <f t="shared" si="6"/>
        <v>650</v>
      </c>
      <c r="AW96" s="223">
        <v>580.79999999999995</v>
      </c>
      <c r="AX96" s="223">
        <v>69.2</v>
      </c>
      <c r="CK96" s="22">
        <f t="shared" si="7"/>
        <v>650</v>
      </c>
      <c r="CL96" s="3">
        <f t="shared" si="8"/>
        <v>0</v>
      </c>
      <c r="CM96" s="222">
        <f t="shared" si="9"/>
        <v>12258</v>
      </c>
      <c r="CN96" s="3" t="str">
        <f t="shared" si="10"/>
        <v>برنامج دولى</v>
      </c>
    </row>
    <row r="97" spans="3:92" x14ac:dyDescent="0.25">
      <c r="C97" s="223" t="s">
        <v>5196</v>
      </c>
      <c r="D97" s="224">
        <v>20507</v>
      </c>
      <c r="E97" s="221">
        <v>12259</v>
      </c>
      <c r="F97" s="250" t="s">
        <v>78</v>
      </c>
      <c r="G97" s="223" t="s">
        <v>5195</v>
      </c>
      <c r="I97" s="223">
        <v>225</v>
      </c>
      <c r="AV97" s="22">
        <f t="shared" si="6"/>
        <v>225</v>
      </c>
      <c r="AW97" s="223">
        <v>201.45</v>
      </c>
      <c r="AX97" s="223">
        <v>23.55</v>
      </c>
      <c r="CK97" s="22">
        <f t="shared" si="7"/>
        <v>225</v>
      </c>
      <c r="CL97" s="3">
        <f t="shared" si="8"/>
        <v>0</v>
      </c>
      <c r="CM97" s="222">
        <f t="shared" si="9"/>
        <v>12259</v>
      </c>
      <c r="CN97" s="3" t="str">
        <f t="shared" si="10"/>
        <v>برنامج دولى</v>
      </c>
    </row>
    <row r="98" spans="3:92" x14ac:dyDescent="0.25">
      <c r="C98" s="223" t="s">
        <v>5196</v>
      </c>
      <c r="D98" s="224">
        <v>20506</v>
      </c>
      <c r="E98" s="221">
        <v>12260</v>
      </c>
      <c r="F98" s="250" t="s">
        <v>78</v>
      </c>
      <c r="G98" s="223" t="s">
        <v>5195</v>
      </c>
      <c r="I98" s="223">
        <v>64770.25</v>
      </c>
      <c r="AV98" s="22">
        <f t="shared" si="6"/>
        <v>64770.25</v>
      </c>
      <c r="AW98" s="223">
        <v>52695.57</v>
      </c>
      <c r="AX98" s="223">
        <v>6514.4</v>
      </c>
      <c r="AY98" s="223">
        <v>5560.28</v>
      </c>
      <c r="CK98" s="22">
        <f t="shared" si="7"/>
        <v>64770.25</v>
      </c>
      <c r="CL98" s="3">
        <f t="shared" si="8"/>
        <v>0</v>
      </c>
      <c r="CM98" s="222">
        <f t="shared" si="9"/>
        <v>12260</v>
      </c>
      <c r="CN98" s="3" t="str">
        <f t="shared" si="10"/>
        <v>برنامج دولى</v>
      </c>
    </row>
    <row r="99" spans="3:92" x14ac:dyDescent="0.25">
      <c r="C99" s="223" t="s">
        <v>5196</v>
      </c>
      <c r="D99" s="224">
        <v>20505</v>
      </c>
      <c r="E99" s="221">
        <v>12261</v>
      </c>
      <c r="F99" s="250" t="s">
        <v>78</v>
      </c>
      <c r="G99" s="223" t="s">
        <v>5195</v>
      </c>
      <c r="I99" s="223">
        <v>29091.7</v>
      </c>
      <c r="AV99" s="22">
        <f t="shared" si="6"/>
        <v>29091.7</v>
      </c>
      <c r="AW99" s="223">
        <v>25344.28</v>
      </c>
      <c r="AX99" s="223">
        <v>3024.05</v>
      </c>
      <c r="AY99" s="223">
        <v>723.37</v>
      </c>
      <c r="CK99" s="22">
        <f t="shared" si="7"/>
        <v>29091.699999999997</v>
      </c>
      <c r="CL99" s="3">
        <f t="shared" si="8"/>
        <v>0</v>
      </c>
      <c r="CM99" s="222">
        <f t="shared" si="9"/>
        <v>12261</v>
      </c>
      <c r="CN99" s="3" t="str">
        <f t="shared" si="10"/>
        <v>برنامج دولى</v>
      </c>
    </row>
    <row r="100" spans="3:92" x14ac:dyDescent="0.25">
      <c r="C100" s="223" t="s">
        <v>5196</v>
      </c>
      <c r="D100" s="224">
        <v>20516</v>
      </c>
      <c r="E100" s="221">
        <v>12262</v>
      </c>
      <c r="F100" s="250" t="s">
        <v>78</v>
      </c>
      <c r="G100" s="223" t="s">
        <v>5195</v>
      </c>
      <c r="I100" s="223">
        <v>3781.32</v>
      </c>
      <c r="AV100" s="22">
        <f t="shared" si="6"/>
        <v>3781.32</v>
      </c>
      <c r="AW100" s="223">
        <v>2525.89</v>
      </c>
      <c r="AX100" s="223">
        <f>322.5+21.86</f>
        <v>344.36</v>
      </c>
      <c r="AY100" s="223">
        <f>1255.43-AX100</f>
        <v>911.07</v>
      </c>
      <c r="CK100" s="22">
        <f t="shared" si="7"/>
        <v>3781.32</v>
      </c>
      <c r="CL100" s="3">
        <f t="shared" si="8"/>
        <v>0</v>
      </c>
      <c r="CM100" s="222">
        <f t="shared" si="9"/>
        <v>12262</v>
      </c>
      <c r="CN100" s="3" t="str">
        <f t="shared" si="10"/>
        <v>برنامج دولى</v>
      </c>
    </row>
    <row r="101" spans="3:92" x14ac:dyDescent="0.25">
      <c r="C101" s="223" t="s">
        <v>563</v>
      </c>
      <c r="D101" s="224">
        <v>20548</v>
      </c>
      <c r="E101" s="221">
        <v>12263</v>
      </c>
      <c r="F101" s="250" t="s">
        <v>78</v>
      </c>
      <c r="G101" s="223" t="s">
        <v>5197</v>
      </c>
      <c r="I101" s="223">
        <v>3517.5</v>
      </c>
      <c r="AV101" s="22">
        <f t="shared" si="6"/>
        <v>3517.5</v>
      </c>
      <c r="AW101" s="223">
        <v>2350.35</v>
      </c>
      <c r="AX101" s="223">
        <f>19.65+300</f>
        <v>319.64999999999998</v>
      </c>
      <c r="AY101" s="223">
        <v>847.5</v>
      </c>
      <c r="CK101" s="22">
        <f t="shared" si="7"/>
        <v>3517.5</v>
      </c>
      <c r="CL101" s="3">
        <f t="shared" si="8"/>
        <v>0</v>
      </c>
      <c r="CM101" s="222">
        <f t="shared" si="9"/>
        <v>12263</v>
      </c>
      <c r="CN101" s="3" t="str">
        <f t="shared" si="10"/>
        <v>برنامج دولى</v>
      </c>
    </row>
    <row r="102" spans="3:92" x14ac:dyDescent="0.25">
      <c r="C102" s="223" t="s">
        <v>563</v>
      </c>
      <c r="D102" s="224">
        <v>20546</v>
      </c>
      <c r="E102" s="221">
        <v>12264</v>
      </c>
      <c r="F102" s="250" t="s">
        <v>78</v>
      </c>
      <c r="G102" s="223" t="s">
        <v>5197</v>
      </c>
      <c r="I102" s="223">
        <v>2989.88</v>
      </c>
      <c r="AV102" s="22">
        <f t="shared" si="6"/>
        <v>2989.88</v>
      </c>
      <c r="AW102" s="223">
        <v>1997.85</v>
      </c>
      <c r="AX102" s="223">
        <f>16.65+255</f>
        <v>271.64999999999998</v>
      </c>
      <c r="AY102" s="223">
        <f>992.03-AX102</f>
        <v>720.38</v>
      </c>
      <c r="CK102" s="22">
        <f t="shared" si="7"/>
        <v>2989.88</v>
      </c>
      <c r="CL102" s="3">
        <f t="shared" si="8"/>
        <v>0</v>
      </c>
      <c r="CM102" s="222">
        <f t="shared" si="9"/>
        <v>12264</v>
      </c>
      <c r="CN102" s="3" t="str">
        <f t="shared" si="10"/>
        <v>برنامج دولى</v>
      </c>
    </row>
    <row r="103" spans="3:92" x14ac:dyDescent="0.25">
      <c r="C103" s="223" t="s">
        <v>563</v>
      </c>
      <c r="D103" s="224">
        <v>20547</v>
      </c>
      <c r="E103" s="221">
        <v>12265</v>
      </c>
      <c r="F103" s="250" t="s">
        <v>78</v>
      </c>
      <c r="G103" s="223" t="s">
        <v>5197</v>
      </c>
      <c r="I103" s="223">
        <v>2110.5</v>
      </c>
      <c r="AV103" s="22">
        <f t="shared" si="6"/>
        <v>2110.5</v>
      </c>
      <c r="AW103" s="223">
        <v>1410.35</v>
      </c>
      <c r="AX103" s="223">
        <f>11.65+180</f>
        <v>191.65</v>
      </c>
      <c r="AY103" s="223">
        <v>508.5</v>
      </c>
      <c r="CK103" s="22">
        <f t="shared" si="7"/>
        <v>2110.5</v>
      </c>
      <c r="CL103" s="3">
        <f t="shared" si="8"/>
        <v>0</v>
      </c>
      <c r="CM103" s="222">
        <f t="shared" si="9"/>
        <v>12265</v>
      </c>
      <c r="CN103" s="3" t="str">
        <f t="shared" si="10"/>
        <v>برنامج دولى</v>
      </c>
    </row>
    <row r="104" spans="3:92" x14ac:dyDescent="0.25">
      <c r="C104" s="223" t="s">
        <v>563</v>
      </c>
      <c r="D104" s="224">
        <v>20567</v>
      </c>
      <c r="E104" s="221">
        <v>12266</v>
      </c>
      <c r="F104" s="250" t="s">
        <v>78</v>
      </c>
      <c r="G104" s="223" t="s">
        <v>5198</v>
      </c>
      <c r="I104" s="223">
        <v>879.38</v>
      </c>
      <c r="AV104" s="22">
        <f t="shared" si="6"/>
        <v>879.38</v>
      </c>
      <c r="AW104" s="223">
        <v>588.15</v>
      </c>
      <c r="AX104" s="223">
        <f>4.35+75</f>
        <v>79.349999999999994</v>
      </c>
      <c r="AY104" s="223">
        <v>211.88</v>
      </c>
      <c r="CK104" s="22">
        <f t="shared" si="7"/>
        <v>879.38</v>
      </c>
      <c r="CL104" s="3">
        <f t="shared" si="8"/>
        <v>0</v>
      </c>
      <c r="CM104" s="222">
        <f t="shared" si="9"/>
        <v>12266</v>
      </c>
      <c r="CN104" s="3" t="str">
        <f t="shared" si="10"/>
        <v>برنامج دولى</v>
      </c>
    </row>
    <row r="105" spans="3:92" x14ac:dyDescent="0.25">
      <c r="C105" s="223" t="s">
        <v>563</v>
      </c>
      <c r="D105" s="224">
        <v>20559</v>
      </c>
      <c r="E105" s="221">
        <v>12267</v>
      </c>
      <c r="F105" s="250" t="s">
        <v>78</v>
      </c>
      <c r="G105" s="223" t="s">
        <v>5199</v>
      </c>
      <c r="I105" s="223">
        <v>4133.0600000000004</v>
      </c>
      <c r="AV105" s="22">
        <f t="shared" si="6"/>
        <v>4133.0600000000004</v>
      </c>
      <c r="AW105" s="223">
        <v>2762.25</v>
      </c>
      <c r="AX105" s="223">
        <f>22.5+352.5</f>
        <v>375</v>
      </c>
      <c r="AY105" s="223">
        <v>995.81</v>
      </c>
      <c r="CK105" s="22">
        <f t="shared" si="7"/>
        <v>4133.0599999999995</v>
      </c>
      <c r="CL105" s="3">
        <f t="shared" si="8"/>
        <v>0</v>
      </c>
      <c r="CM105" s="222">
        <f t="shared" si="9"/>
        <v>12267</v>
      </c>
      <c r="CN105" s="3" t="str">
        <f t="shared" si="10"/>
        <v>برنامج دولى</v>
      </c>
    </row>
    <row r="106" spans="3:92" x14ac:dyDescent="0.25">
      <c r="C106" s="223" t="s">
        <v>563</v>
      </c>
      <c r="D106" s="224">
        <v>20571</v>
      </c>
      <c r="E106" s="221">
        <v>12268</v>
      </c>
      <c r="F106" s="250" t="s">
        <v>78</v>
      </c>
      <c r="G106" s="223" t="s">
        <v>5200</v>
      </c>
      <c r="I106" s="223">
        <v>4472.68</v>
      </c>
      <c r="AV106" s="22">
        <f t="shared" si="6"/>
        <v>4472.68</v>
      </c>
      <c r="AW106" s="223">
        <v>3162.95</v>
      </c>
      <c r="AX106" s="223">
        <v>412.8</v>
      </c>
      <c r="AY106" s="223">
        <v>896.93</v>
      </c>
      <c r="CK106" s="22">
        <f t="shared" si="7"/>
        <v>4472.68</v>
      </c>
      <c r="CL106" s="3">
        <f t="shared" si="8"/>
        <v>0</v>
      </c>
      <c r="CM106" s="222">
        <f t="shared" si="9"/>
        <v>12268</v>
      </c>
      <c r="CN106" s="3" t="str">
        <f t="shared" si="10"/>
        <v>برنامج دولى</v>
      </c>
    </row>
    <row r="107" spans="3:92" x14ac:dyDescent="0.25">
      <c r="C107" s="223" t="s">
        <v>563</v>
      </c>
      <c r="D107" s="224">
        <v>20555</v>
      </c>
      <c r="E107" s="221">
        <v>12269</v>
      </c>
      <c r="F107" s="250" t="s">
        <v>78</v>
      </c>
      <c r="G107" s="223" t="s">
        <v>1007</v>
      </c>
      <c r="I107" s="223">
        <v>1758.75</v>
      </c>
      <c r="AV107" s="22">
        <f t="shared" si="6"/>
        <v>1758.75</v>
      </c>
      <c r="AW107" s="223">
        <v>1174.0999999999999</v>
      </c>
      <c r="AX107" s="223">
        <f>10.9+150</f>
        <v>160.9</v>
      </c>
      <c r="AY107" s="223">
        <v>423.75</v>
      </c>
      <c r="CK107" s="22">
        <f t="shared" si="7"/>
        <v>1758.75</v>
      </c>
      <c r="CL107" s="3">
        <f t="shared" si="8"/>
        <v>0</v>
      </c>
      <c r="CM107" s="222">
        <f t="shared" si="9"/>
        <v>12269</v>
      </c>
      <c r="CN107" s="3" t="str">
        <f t="shared" si="10"/>
        <v>برنامج دولى</v>
      </c>
    </row>
    <row r="108" spans="3:92" x14ac:dyDescent="0.25">
      <c r="C108" s="223" t="s">
        <v>563</v>
      </c>
      <c r="D108" s="224">
        <v>20552</v>
      </c>
      <c r="E108" s="221">
        <v>12270</v>
      </c>
      <c r="F108" s="250" t="s">
        <v>78</v>
      </c>
      <c r="G108" s="223" t="s">
        <v>1004</v>
      </c>
      <c r="I108" s="223">
        <v>2940</v>
      </c>
      <c r="AV108" s="22">
        <f t="shared" si="6"/>
        <v>2940</v>
      </c>
      <c r="AW108" s="223">
        <v>2624.3</v>
      </c>
      <c r="AX108" s="223">
        <v>315.7</v>
      </c>
      <c r="CK108" s="22">
        <f t="shared" si="7"/>
        <v>2940</v>
      </c>
      <c r="CL108" s="3">
        <f t="shared" si="8"/>
        <v>0</v>
      </c>
      <c r="CM108" s="222">
        <f t="shared" si="9"/>
        <v>12270</v>
      </c>
      <c r="CN108" s="3" t="str">
        <f t="shared" si="10"/>
        <v>برنامج دولى</v>
      </c>
    </row>
    <row r="109" spans="3:92" x14ac:dyDescent="0.25">
      <c r="C109" s="223" t="s">
        <v>563</v>
      </c>
      <c r="D109" s="224">
        <v>20569</v>
      </c>
      <c r="E109" s="221">
        <v>12271</v>
      </c>
      <c r="F109" s="250" t="s">
        <v>78</v>
      </c>
      <c r="G109" s="223" t="s">
        <v>5200</v>
      </c>
      <c r="I109" s="223">
        <v>750</v>
      </c>
      <c r="AV109" s="22">
        <f t="shared" si="6"/>
        <v>750</v>
      </c>
      <c r="AW109" s="223">
        <v>670.1</v>
      </c>
      <c r="AX109" s="223">
        <v>79.900000000000006</v>
      </c>
      <c r="CK109" s="22">
        <f t="shared" si="7"/>
        <v>750</v>
      </c>
      <c r="CL109" s="3">
        <f t="shared" si="8"/>
        <v>0</v>
      </c>
      <c r="CM109" s="222">
        <f t="shared" si="9"/>
        <v>12271</v>
      </c>
      <c r="CN109" s="3" t="str">
        <f t="shared" si="10"/>
        <v>برنامج دولى</v>
      </c>
    </row>
    <row r="110" spans="3:92" x14ac:dyDescent="0.25">
      <c r="C110" s="223" t="s">
        <v>563</v>
      </c>
      <c r="D110" s="224">
        <v>20568</v>
      </c>
      <c r="E110" s="221">
        <v>12272</v>
      </c>
      <c r="F110" s="250" t="s">
        <v>78</v>
      </c>
      <c r="G110" s="223" t="s">
        <v>5200</v>
      </c>
      <c r="I110" s="223">
        <v>879.38</v>
      </c>
      <c r="AV110" s="22">
        <f t="shared" ref="AV110:AV173" si="11">SUM(I110:AU110)</f>
        <v>879.38</v>
      </c>
      <c r="AW110" s="223">
        <v>588.15</v>
      </c>
      <c r="AX110" s="223">
        <v>79.349999999999994</v>
      </c>
      <c r="AY110" s="223">
        <v>211.88</v>
      </c>
      <c r="CK110" s="22">
        <f t="shared" si="7"/>
        <v>879.38</v>
      </c>
      <c r="CL110" s="3">
        <f t="shared" si="8"/>
        <v>0</v>
      </c>
      <c r="CM110" s="222">
        <f t="shared" si="9"/>
        <v>12272</v>
      </c>
      <c r="CN110" s="3" t="str">
        <f t="shared" si="10"/>
        <v>برنامج دولى</v>
      </c>
    </row>
    <row r="111" spans="3:92" x14ac:dyDescent="0.25">
      <c r="C111" s="223" t="s">
        <v>563</v>
      </c>
      <c r="D111" s="224">
        <v>20561</v>
      </c>
      <c r="E111" s="221">
        <v>12273</v>
      </c>
      <c r="F111" s="250" t="s">
        <v>78</v>
      </c>
      <c r="G111" s="223" t="s">
        <v>1932</v>
      </c>
      <c r="I111" s="223">
        <v>15990</v>
      </c>
      <c r="AV111" s="22">
        <f t="shared" si="11"/>
        <v>15990</v>
      </c>
      <c r="AW111" s="223">
        <v>14273.9</v>
      </c>
      <c r="AX111" s="223">
        <v>1716.1</v>
      </c>
      <c r="CK111" s="22">
        <f t="shared" si="7"/>
        <v>15990</v>
      </c>
      <c r="CL111" s="3">
        <f t="shared" si="8"/>
        <v>0</v>
      </c>
      <c r="CM111" s="222">
        <f t="shared" si="9"/>
        <v>12273</v>
      </c>
      <c r="CN111" s="3" t="str">
        <f t="shared" si="10"/>
        <v>برنامج دولى</v>
      </c>
    </row>
    <row r="112" spans="3:92" x14ac:dyDescent="0.25">
      <c r="C112" s="223" t="s">
        <v>563</v>
      </c>
      <c r="D112" s="224">
        <v>20560</v>
      </c>
      <c r="E112" s="221">
        <v>12274</v>
      </c>
      <c r="F112" s="250" t="s">
        <v>78</v>
      </c>
      <c r="G112" s="223" t="s">
        <v>1932</v>
      </c>
      <c r="I112" s="223">
        <v>3360</v>
      </c>
      <c r="AV112" s="22">
        <f t="shared" si="11"/>
        <v>3360</v>
      </c>
      <c r="AW112" s="223">
        <v>2999.15</v>
      </c>
      <c r="AX112" s="223">
        <v>360.85</v>
      </c>
      <c r="CK112" s="22">
        <f t="shared" si="7"/>
        <v>3360</v>
      </c>
      <c r="CL112" s="3">
        <f t="shared" si="8"/>
        <v>0</v>
      </c>
      <c r="CM112" s="222">
        <f t="shared" si="9"/>
        <v>12274</v>
      </c>
      <c r="CN112" s="3" t="str">
        <f t="shared" si="10"/>
        <v>برنامج دولى</v>
      </c>
    </row>
    <row r="113" spans="3:92" x14ac:dyDescent="0.25">
      <c r="C113" s="223" t="s">
        <v>563</v>
      </c>
      <c r="D113" s="224">
        <v>20563</v>
      </c>
      <c r="E113" s="221">
        <v>12275</v>
      </c>
      <c r="F113" s="250" t="s">
        <v>78</v>
      </c>
      <c r="G113" s="223" t="s">
        <v>1932</v>
      </c>
      <c r="I113" s="223">
        <v>1653.22</v>
      </c>
      <c r="AV113" s="22">
        <f t="shared" si="11"/>
        <v>1653.22</v>
      </c>
      <c r="AW113" s="223">
        <v>1104.8499999999999</v>
      </c>
      <c r="AX113" s="223">
        <v>150.05000000000001</v>
      </c>
      <c r="AY113" s="223">
        <v>398.32</v>
      </c>
      <c r="CK113" s="22">
        <f t="shared" si="7"/>
        <v>1653.2199999999998</v>
      </c>
      <c r="CL113" s="3">
        <f t="shared" si="8"/>
        <v>0</v>
      </c>
      <c r="CM113" s="222">
        <f t="shared" si="9"/>
        <v>12275</v>
      </c>
      <c r="CN113" s="3" t="str">
        <f t="shared" si="10"/>
        <v>برنامج دولى</v>
      </c>
    </row>
    <row r="114" spans="3:92" x14ac:dyDescent="0.25">
      <c r="C114" s="223" t="s">
        <v>563</v>
      </c>
      <c r="D114" s="224">
        <v>20562</v>
      </c>
      <c r="E114" s="221">
        <v>12276</v>
      </c>
      <c r="F114" s="250" t="s">
        <v>78</v>
      </c>
      <c r="G114" s="223" t="s">
        <v>1932</v>
      </c>
      <c r="I114" s="223">
        <v>6250.03</v>
      </c>
      <c r="AV114" s="22">
        <f t="shared" si="11"/>
        <v>6250.03</v>
      </c>
      <c r="AW114" s="223">
        <v>4648.3</v>
      </c>
      <c r="AX114" s="223">
        <v>602.70000000000005</v>
      </c>
      <c r="AY114" s="223">
        <v>999.03</v>
      </c>
      <c r="CK114" s="22">
        <f t="shared" si="7"/>
        <v>6250.03</v>
      </c>
      <c r="CL114" s="3">
        <f t="shared" si="8"/>
        <v>0</v>
      </c>
      <c r="CM114" s="222">
        <f t="shared" si="9"/>
        <v>12276</v>
      </c>
      <c r="CN114" s="3" t="str">
        <f t="shared" si="10"/>
        <v>برنامج دولى</v>
      </c>
    </row>
    <row r="115" spans="3:92" x14ac:dyDescent="0.25">
      <c r="C115" s="223" t="s">
        <v>563</v>
      </c>
      <c r="D115" s="224">
        <v>20564</v>
      </c>
      <c r="E115" s="221">
        <v>12277</v>
      </c>
      <c r="F115" s="250" t="s">
        <v>78</v>
      </c>
      <c r="G115" s="223" t="s">
        <v>1932</v>
      </c>
      <c r="I115" s="223">
        <v>826.61</v>
      </c>
      <c r="AV115" s="22">
        <f t="shared" si="11"/>
        <v>826.61</v>
      </c>
      <c r="AW115" s="223">
        <v>552.9</v>
      </c>
      <c r="AX115" s="223">
        <v>74.55</v>
      </c>
      <c r="AY115" s="223">
        <v>199.16</v>
      </c>
      <c r="CK115" s="22">
        <f t="shared" si="7"/>
        <v>826.6099999999999</v>
      </c>
      <c r="CL115" s="3">
        <f t="shared" si="8"/>
        <v>0</v>
      </c>
      <c r="CM115" s="222">
        <f t="shared" si="9"/>
        <v>12277</v>
      </c>
      <c r="CN115" s="3" t="str">
        <f t="shared" si="10"/>
        <v>برنامج دولى</v>
      </c>
    </row>
    <row r="116" spans="3:92" x14ac:dyDescent="0.25">
      <c r="C116" s="223" t="s">
        <v>563</v>
      </c>
      <c r="D116" s="224">
        <v>20554</v>
      </c>
      <c r="E116" s="221">
        <v>12278</v>
      </c>
      <c r="F116" s="250" t="s">
        <v>78</v>
      </c>
      <c r="G116" s="223" t="s">
        <v>1005</v>
      </c>
      <c r="I116" s="223">
        <v>3540</v>
      </c>
      <c r="AV116" s="22">
        <f t="shared" si="11"/>
        <v>3540</v>
      </c>
      <c r="AW116" s="223">
        <v>3161.7</v>
      </c>
      <c r="AX116" s="223">
        <v>378.3</v>
      </c>
      <c r="CK116" s="22">
        <f t="shared" si="7"/>
        <v>3540</v>
      </c>
      <c r="CL116" s="3">
        <f t="shared" si="8"/>
        <v>0</v>
      </c>
      <c r="CM116" s="222">
        <f t="shared" si="9"/>
        <v>12278</v>
      </c>
      <c r="CN116" s="3" t="str">
        <f t="shared" si="10"/>
        <v>برنامج دولى</v>
      </c>
    </row>
    <row r="117" spans="3:92" x14ac:dyDescent="0.25">
      <c r="C117" s="223" t="s">
        <v>563</v>
      </c>
      <c r="D117" s="224">
        <v>20566</v>
      </c>
      <c r="E117" s="221">
        <v>12279</v>
      </c>
      <c r="F117" s="250" t="s">
        <v>78</v>
      </c>
      <c r="G117" s="223" t="s">
        <v>2892</v>
      </c>
      <c r="I117" s="223">
        <v>7998</v>
      </c>
      <c r="AV117" s="22">
        <f t="shared" si="11"/>
        <v>7998</v>
      </c>
      <c r="AW117" s="223">
        <v>7134.6</v>
      </c>
      <c r="AX117" s="223">
        <v>863.4</v>
      </c>
      <c r="CK117" s="22">
        <f t="shared" si="7"/>
        <v>7998</v>
      </c>
      <c r="CL117" s="3">
        <f t="shared" si="8"/>
        <v>0</v>
      </c>
      <c r="CM117" s="222">
        <f t="shared" si="9"/>
        <v>12279</v>
      </c>
      <c r="CN117" s="3" t="str">
        <f t="shared" si="10"/>
        <v>برنامج دولى</v>
      </c>
    </row>
    <row r="118" spans="3:92" x14ac:dyDescent="0.25">
      <c r="C118" s="223" t="s">
        <v>563</v>
      </c>
      <c r="D118" s="224">
        <v>20558</v>
      </c>
      <c r="E118" s="221">
        <v>12280</v>
      </c>
      <c r="F118" s="250" t="s">
        <v>78</v>
      </c>
      <c r="G118" s="223" t="s">
        <v>2035</v>
      </c>
      <c r="I118" s="223">
        <v>1758.75</v>
      </c>
      <c r="AV118" s="22">
        <f t="shared" si="11"/>
        <v>1758.75</v>
      </c>
      <c r="AW118" s="223">
        <v>1175.3499999999999</v>
      </c>
      <c r="AX118" s="223">
        <v>159.65</v>
      </c>
      <c r="AY118" s="223">
        <v>423.75</v>
      </c>
      <c r="CK118" s="22">
        <f t="shared" si="7"/>
        <v>1758.75</v>
      </c>
      <c r="CL118" s="3">
        <f t="shared" si="8"/>
        <v>0</v>
      </c>
      <c r="CM118" s="222">
        <f t="shared" si="9"/>
        <v>12280</v>
      </c>
      <c r="CN118" s="3" t="str">
        <f t="shared" si="10"/>
        <v>برنامج دولى</v>
      </c>
    </row>
    <row r="119" spans="3:92" x14ac:dyDescent="0.25">
      <c r="C119" s="223" t="s">
        <v>563</v>
      </c>
      <c r="D119" s="224">
        <v>20570</v>
      </c>
      <c r="E119" s="221">
        <v>12281</v>
      </c>
      <c r="F119" s="250" t="s">
        <v>78</v>
      </c>
      <c r="G119" s="223" t="str">
        <f>+G104</f>
        <v>مكافاه ملاحظه وافدين</v>
      </c>
      <c r="I119" s="223">
        <v>2624.18</v>
      </c>
      <c r="AV119" s="22">
        <f t="shared" si="11"/>
        <v>2624.18</v>
      </c>
      <c r="AW119" s="223">
        <v>2197.0500000000002</v>
      </c>
      <c r="AX119" s="223">
        <v>264.7</v>
      </c>
      <c r="AY119" s="223">
        <v>162.43</v>
      </c>
      <c r="CK119" s="22">
        <f t="shared" si="7"/>
        <v>2624.18</v>
      </c>
      <c r="CL119" s="3">
        <f t="shared" si="8"/>
        <v>0</v>
      </c>
      <c r="CM119" s="222">
        <f t="shared" si="9"/>
        <v>12281</v>
      </c>
      <c r="CN119" s="3" t="str">
        <f t="shared" si="10"/>
        <v>برنامج دولى</v>
      </c>
    </row>
    <row r="120" spans="3:92" x14ac:dyDescent="0.25">
      <c r="C120" s="223" t="s">
        <v>563</v>
      </c>
      <c r="D120" s="224">
        <v>20556</v>
      </c>
      <c r="E120" s="221">
        <v>12282</v>
      </c>
      <c r="F120" s="250" t="s">
        <v>78</v>
      </c>
      <c r="G120" s="223" t="str">
        <f>+G118</f>
        <v>مكافاه كنترول فرقه رابعه</v>
      </c>
      <c r="I120" s="223">
        <v>7030.86</v>
      </c>
      <c r="AV120" s="22">
        <f t="shared" si="11"/>
        <v>7030.86</v>
      </c>
      <c r="AW120" s="223">
        <v>4703.99</v>
      </c>
      <c r="AX120" s="223">
        <v>638.65</v>
      </c>
      <c r="AY120" s="223">
        <v>1688.22</v>
      </c>
      <c r="CK120" s="22">
        <f t="shared" si="7"/>
        <v>7030.86</v>
      </c>
      <c r="CL120" s="3">
        <f t="shared" si="8"/>
        <v>0</v>
      </c>
      <c r="CM120" s="222">
        <f t="shared" si="9"/>
        <v>12282</v>
      </c>
      <c r="CN120" s="3" t="str">
        <f t="shared" si="10"/>
        <v>برنامج دولى</v>
      </c>
    </row>
    <row r="121" spans="3:92" x14ac:dyDescent="0.25">
      <c r="C121" s="223" t="s">
        <v>563</v>
      </c>
      <c r="D121" s="224">
        <v>20565</v>
      </c>
      <c r="E121" s="221">
        <v>12283</v>
      </c>
      <c r="F121" s="250" t="s">
        <v>78</v>
      </c>
      <c r="G121" s="223" t="str">
        <f>+G117</f>
        <v>مراجعه نظرى فرقه رابعه</v>
      </c>
      <c r="I121" s="223">
        <v>96951</v>
      </c>
      <c r="AV121" s="22">
        <f t="shared" si="11"/>
        <v>96951</v>
      </c>
      <c r="AW121" s="223">
        <v>86519.5</v>
      </c>
      <c r="AX121" s="223">
        <v>10431.5</v>
      </c>
      <c r="CK121" s="22">
        <f t="shared" si="7"/>
        <v>96951</v>
      </c>
      <c r="CL121" s="3">
        <f t="shared" si="8"/>
        <v>0</v>
      </c>
      <c r="CM121" s="222">
        <f t="shared" si="9"/>
        <v>12283</v>
      </c>
      <c r="CN121" s="3" t="str">
        <f t="shared" si="10"/>
        <v>برنامج دولى</v>
      </c>
    </row>
    <row r="122" spans="3:92" x14ac:dyDescent="0.25">
      <c r="C122" s="223" t="s">
        <v>563</v>
      </c>
      <c r="D122" s="224">
        <v>20557</v>
      </c>
      <c r="E122" s="221">
        <v>12284</v>
      </c>
      <c r="F122" s="250" t="s">
        <v>78</v>
      </c>
      <c r="G122" s="223" t="str">
        <f>+G120</f>
        <v>مكافاه كنترول فرقه رابعه</v>
      </c>
      <c r="I122" s="223">
        <v>27473.5</v>
      </c>
      <c r="AV122" s="22">
        <f t="shared" si="11"/>
        <v>27473.5</v>
      </c>
      <c r="AW122" s="223">
        <v>18580.5</v>
      </c>
      <c r="AX122" s="223">
        <v>2508.5</v>
      </c>
      <c r="AY122" s="223">
        <v>6384.5</v>
      </c>
      <c r="CK122" s="22">
        <f t="shared" si="7"/>
        <v>27473.5</v>
      </c>
      <c r="CL122" s="3">
        <f t="shared" si="8"/>
        <v>0</v>
      </c>
      <c r="CM122" s="222">
        <f t="shared" si="9"/>
        <v>12284</v>
      </c>
      <c r="CN122" s="3" t="str">
        <f t="shared" si="10"/>
        <v>برنامج دولى</v>
      </c>
    </row>
    <row r="123" spans="3:92" x14ac:dyDescent="0.25">
      <c r="C123" s="223" t="s">
        <v>563</v>
      </c>
      <c r="D123" s="224">
        <v>20551</v>
      </c>
      <c r="E123" s="221">
        <v>12285</v>
      </c>
      <c r="F123" s="250" t="s">
        <v>78</v>
      </c>
      <c r="G123" s="223" t="str">
        <f>+G108</f>
        <v>عب تدريس باطنه</v>
      </c>
      <c r="I123" s="223">
        <v>6648.06</v>
      </c>
      <c r="AV123" s="22">
        <f t="shared" si="11"/>
        <v>6648.06</v>
      </c>
      <c r="AW123" s="223">
        <v>4442.55</v>
      </c>
      <c r="AX123" s="223">
        <v>603.75</v>
      </c>
      <c r="AY123" s="223">
        <v>1601.76</v>
      </c>
      <c r="CK123" s="22">
        <f t="shared" si="7"/>
        <v>6648.06</v>
      </c>
      <c r="CL123" s="3">
        <f t="shared" si="8"/>
        <v>0</v>
      </c>
      <c r="CM123" s="222">
        <f t="shared" si="9"/>
        <v>12285</v>
      </c>
      <c r="CN123" s="3" t="str">
        <f t="shared" si="10"/>
        <v>برنامج دولى</v>
      </c>
    </row>
    <row r="124" spans="3:92" x14ac:dyDescent="0.25">
      <c r="C124" s="223" t="s">
        <v>563</v>
      </c>
      <c r="D124" s="224">
        <v>20550</v>
      </c>
      <c r="E124" s="221">
        <v>12286</v>
      </c>
      <c r="F124" s="250" t="s">
        <v>78</v>
      </c>
      <c r="G124" s="223" t="str">
        <f>+G123</f>
        <v>عب تدريس باطنه</v>
      </c>
      <c r="I124" s="223">
        <v>4432.04</v>
      </c>
      <c r="AV124" s="22">
        <f t="shared" si="11"/>
        <v>4432.04</v>
      </c>
      <c r="AW124" s="223">
        <v>2961.7</v>
      </c>
      <c r="AX124" s="223">
        <v>402.5</v>
      </c>
      <c r="AY124" s="223">
        <v>1067.8399999999999</v>
      </c>
      <c r="CK124" s="22">
        <f t="shared" si="7"/>
        <v>4432.04</v>
      </c>
      <c r="CL124" s="3">
        <f t="shared" si="8"/>
        <v>0</v>
      </c>
      <c r="CM124" s="222">
        <f t="shared" si="9"/>
        <v>12286</v>
      </c>
      <c r="CN124" s="3" t="str">
        <f t="shared" si="10"/>
        <v>برنامج دولى</v>
      </c>
    </row>
    <row r="125" spans="3:92" x14ac:dyDescent="0.25">
      <c r="C125" s="223" t="s">
        <v>563</v>
      </c>
      <c r="D125" s="224">
        <v>20549</v>
      </c>
      <c r="E125" s="221">
        <v>12287</v>
      </c>
      <c r="F125" s="250" t="s">
        <v>78</v>
      </c>
      <c r="G125" s="223" t="s">
        <v>5201</v>
      </c>
      <c r="I125" s="223">
        <v>2216.02</v>
      </c>
      <c r="AV125" s="22">
        <f t="shared" si="11"/>
        <v>2216.02</v>
      </c>
      <c r="AW125" s="223">
        <v>1480.85</v>
      </c>
      <c r="AX125" s="223">
        <v>201.25</v>
      </c>
      <c r="AY125" s="226">
        <v>533.91999999999996</v>
      </c>
      <c r="CK125" s="22">
        <f t="shared" si="7"/>
        <v>2216.02</v>
      </c>
      <c r="CL125" s="3">
        <f t="shared" si="8"/>
        <v>0</v>
      </c>
      <c r="CM125" s="222">
        <f t="shared" si="9"/>
        <v>12287</v>
      </c>
      <c r="CN125" s="3" t="str">
        <f t="shared" si="10"/>
        <v>برنامج دولى</v>
      </c>
    </row>
    <row r="126" spans="3:92" x14ac:dyDescent="0.25">
      <c r="C126" s="223" t="s">
        <v>563</v>
      </c>
      <c r="D126" s="224">
        <v>20553</v>
      </c>
      <c r="E126" s="221">
        <v>12288</v>
      </c>
      <c r="F126" s="250" t="s">
        <v>78</v>
      </c>
      <c r="G126" s="223" t="s">
        <v>5201</v>
      </c>
      <c r="I126" s="223">
        <v>26040</v>
      </c>
      <c r="AV126" s="22">
        <f t="shared" si="11"/>
        <v>26040</v>
      </c>
      <c r="AW126" s="223">
        <v>23232.400000000001</v>
      </c>
      <c r="AX126" s="223">
        <v>2807.6</v>
      </c>
      <c r="CK126" s="22">
        <f t="shared" si="7"/>
        <v>26040</v>
      </c>
      <c r="CL126" s="3">
        <f t="shared" si="8"/>
        <v>0</v>
      </c>
      <c r="CM126" s="222">
        <f t="shared" si="9"/>
        <v>12288</v>
      </c>
      <c r="CN126" s="3" t="str">
        <f t="shared" si="10"/>
        <v>برنامج دولى</v>
      </c>
    </row>
    <row r="127" spans="3:92" x14ac:dyDescent="0.25">
      <c r="C127" s="223" t="s">
        <v>657</v>
      </c>
      <c r="D127" s="224">
        <v>19336</v>
      </c>
      <c r="E127" s="221">
        <v>12289</v>
      </c>
      <c r="F127" s="250" t="s">
        <v>78</v>
      </c>
      <c r="G127" s="223" t="s">
        <v>5202</v>
      </c>
      <c r="I127" s="223">
        <v>24375</v>
      </c>
      <c r="AV127" s="22">
        <f t="shared" si="11"/>
        <v>24375</v>
      </c>
      <c r="AW127" s="223">
        <v>21754.3</v>
      </c>
      <c r="AX127" s="223">
        <v>2620.6999999999998</v>
      </c>
      <c r="CK127" s="22">
        <f t="shared" si="7"/>
        <v>24375</v>
      </c>
      <c r="CL127" s="3">
        <f t="shared" si="8"/>
        <v>0</v>
      </c>
      <c r="CM127" s="222">
        <f t="shared" si="9"/>
        <v>12289</v>
      </c>
      <c r="CN127" s="3" t="str">
        <f t="shared" si="10"/>
        <v>برنامج دولى</v>
      </c>
    </row>
    <row r="128" spans="3:92" x14ac:dyDescent="0.25">
      <c r="C128" s="223" t="s">
        <v>657</v>
      </c>
      <c r="D128" s="224">
        <v>19371</v>
      </c>
      <c r="E128" s="221">
        <v>12290</v>
      </c>
      <c r="F128" s="250" t="s">
        <v>78</v>
      </c>
      <c r="G128" s="223" t="s">
        <v>5203</v>
      </c>
      <c r="I128" s="223">
        <v>9750</v>
      </c>
      <c r="AV128" s="22">
        <f t="shared" si="11"/>
        <v>9750</v>
      </c>
      <c r="AW128" s="223">
        <v>8698.5</v>
      </c>
      <c r="AX128" s="223">
        <v>1051.5</v>
      </c>
      <c r="CK128" s="22">
        <f t="shared" si="7"/>
        <v>9750</v>
      </c>
      <c r="CL128" s="3">
        <f t="shared" si="8"/>
        <v>0</v>
      </c>
      <c r="CM128" s="222">
        <f t="shared" si="9"/>
        <v>12290</v>
      </c>
      <c r="CN128" s="3" t="str">
        <f t="shared" si="10"/>
        <v>برنامج دولى</v>
      </c>
    </row>
    <row r="129" spans="3:92" x14ac:dyDescent="0.25">
      <c r="C129" s="223" t="s">
        <v>657</v>
      </c>
      <c r="D129" s="224">
        <v>19370</v>
      </c>
      <c r="E129" s="221">
        <v>12291</v>
      </c>
      <c r="F129" s="250" t="s">
        <v>78</v>
      </c>
      <c r="G129" s="223" t="s">
        <v>5204</v>
      </c>
      <c r="I129" s="223">
        <v>10552.5</v>
      </c>
      <c r="AV129" s="22">
        <f t="shared" si="11"/>
        <v>10552.5</v>
      </c>
      <c r="AW129" s="223">
        <v>7051.05</v>
      </c>
      <c r="AX129" s="223">
        <f>58.95+900</f>
        <v>958.95</v>
      </c>
      <c r="AY129" s="223">
        <v>2542.5</v>
      </c>
      <c r="CK129" s="22">
        <f t="shared" si="7"/>
        <v>10552.5</v>
      </c>
      <c r="CL129" s="3">
        <f t="shared" si="8"/>
        <v>0</v>
      </c>
      <c r="CM129" s="222">
        <f t="shared" si="9"/>
        <v>12291</v>
      </c>
      <c r="CN129" s="3" t="str">
        <f t="shared" si="10"/>
        <v>برنامج دولى</v>
      </c>
    </row>
    <row r="130" spans="3:92" x14ac:dyDescent="0.25">
      <c r="C130" s="223" t="s">
        <v>657</v>
      </c>
      <c r="D130" s="224">
        <v>19369</v>
      </c>
      <c r="E130" s="221">
        <v>12292</v>
      </c>
      <c r="F130" s="250" t="s">
        <v>78</v>
      </c>
      <c r="G130" s="223" t="s">
        <v>5205</v>
      </c>
      <c r="I130" s="223">
        <v>3335.84</v>
      </c>
      <c r="AV130" s="22">
        <f t="shared" si="11"/>
        <v>3335.84</v>
      </c>
      <c r="AW130" s="223">
        <v>2465.29</v>
      </c>
      <c r="AX130" s="223">
        <v>320.55</v>
      </c>
      <c r="AY130" s="223">
        <v>550</v>
      </c>
      <c r="CK130" s="22">
        <f t="shared" si="7"/>
        <v>3335.84</v>
      </c>
      <c r="CL130" s="3">
        <f t="shared" si="8"/>
        <v>0</v>
      </c>
      <c r="CM130" s="222">
        <f t="shared" si="9"/>
        <v>12292</v>
      </c>
      <c r="CN130" s="3" t="str">
        <f t="shared" si="10"/>
        <v>برنامج دولى</v>
      </c>
    </row>
    <row r="131" spans="3:92" x14ac:dyDescent="0.25">
      <c r="C131" s="223" t="s">
        <v>657</v>
      </c>
      <c r="D131" s="224">
        <v>19368</v>
      </c>
      <c r="E131" s="221">
        <v>12293</v>
      </c>
      <c r="F131" s="250" t="s">
        <v>78</v>
      </c>
      <c r="G131" s="223" t="s">
        <v>5205</v>
      </c>
      <c r="I131" s="223">
        <v>3517.5</v>
      </c>
      <c r="AV131" s="22">
        <f t="shared" si="11"/>
        <v>3517.5</v>
      </c>
      <c r="AW131" s="223">
        <v>2350.35</v>
      </c>
      <c r="AX131" s="223">
        <v>319.64999999999998</v>
      </c>
      <c r="AY131" s="223">
        <v>847.5</v>
      </c>
      <c r="CK131" s="22">
        <f t="shared" si="7"/>
        <v>3517.5</v>
      </c>
      <c r="CL131" s="3">
        <f t="shared" si="8"/>
        <v>0</v>
      </c>
      <c r="CM131" s="222">
        <f t="shared" si="9"/>
        <v>12293</v>
      </c>
      <c r="CN131" s="3" t="str">
        <f t="shared" si="10"/>
        <v>برنامج دولى</v>
      </c>
    </row>
    <row r="132" spans="3:92" x14ac:dyDescent="0.25">
      <c r="C132" s="223" t="s">
        <v>657</v>
      </c>
      <c r="D132" s="224">
        <v>19367</v>
      </c>
      <c r="E132" s="221">
        <v>12294</v>
      </c>
      <c r="F132" s="250" t="s">
        <v>78</v>
      </c>
      <c r="G132" s="223" t="s">
        <v>5205</v>
      </c>
      <c r="I132" s="223">
        <v>4752.07</v>
      </c>
      <c r="AV132" s="22">
        <f t="shared" si="11"/>
        <v>4752.07</v>
      </c>
      <c r="AW132" s="223">
        <v>3857.82</v>
      </c>
      <c r="AX132" s="223">
        <v>481.45</v>
      </c>
      <c r="AY132" s="223">
        <v>412.8</v>
      </c>
      <c r="CK132" s="22">
        <f t="shared" ref="CK132:CK195" si="12">SUM(AW132:CJ132)</f>
        <v>4752.0700000000006</v>
      </c>
      <c r="CL132" s="3">
        <f t="shared" ref="CL132:CL195" si="13">+CK132-AV132</f>
        <v>0</v>
      </c>
      <c r="CM132" s="222">
        <f t="shared" ref="CM132:CM195" si="14">+E132</f>
        <v>12294</v>
      </c>
      <c r="CN132" s="3" t="str">
        <f t="shared" ref="CN132:CN195" si="15">+F132</f>
        <v>برنامج دولى</v>
      </c>
    </row>
    <row r="133" spans="3:92" x14ac:dyDescent="0.25">
      <c r="C133" s="223" t="s">
        <v>657</v>
      </c>
      <c r="D133" s="224">
        <v>19366</v>
      </c>
      <c r="E133" s="221">
        <v>12295</v>
      </c>
      <c r="F133" s="250" t="s">
        <v>78</v>
      </c>
      <c r="G133" s="223" t="s">
        <v>5205</v>
      </c>
      <c r="I133" s="223">
        <v>95169.86</v>
      </c>
      <c r="AV133" s="22">
        <f t="shared" si="11"/>
        <v>95169.86</v>
      </c>
      <c r="AW133" s="223">
        <v>67759.429999999993</v>
      </c>
      <c r="AX133" s="223">
        <v>8954</v>
      </c>
      <c r="AY133" s="223">
        <v>18456.43</v>
      </c>
      <c r="CK133" s="22">
        <f t="shared" si="12"/>
        <v>95169.859999999986</v>
      </c>
      <c r="CL133" s="3">
        <f t="shared" si="13"/>
        <v>0</v>
      </c>
      <c r="CM133" s="222">
        <f t="shared" si="14"/>
        <v>12295</v>
      </c>
      <c r="CN133" s="3" t="str">
        <f t="shared" si="15"/>
        <v>برنامج دولى</v>
      </c>
    </row>
    <row r="134" spans="3:92" x14ac:dyDescent="0.25">
      <c r="C134" s="223" t="s">
        <v>657</v>
      </c>
      <c r="D134" s="224">
        <v>19365</v>
      </c>
      <c r="E134" s="221">
        <v>12296</v>
      </c>
      <c r="F134" s="250" t="s">
        <v>78</v>
      </c>
      <c r="G134" s="223" t="s">
        <v>5205</v>
      </c>
      <c r="I134" s="223">
        <v>3424.59</v>
      </c>
      <c r="AV134" s="22">
        <f t="shared" si="11"/>
        <v>3424.59</v>
      </c>
      <c r="AW134" s="223">
        <v>2409.15</v>
      </c>
      <c r="AX134" s="223">
        <v>320.10000000000002</v>
      </c>
      <c r="AY134" s="223">
        <v>695.34</v>
      </c>
      <c r="CK134" s="22">
        <f t="shared" si="12"/>
        <v>3424.59</v>
      </c>
      <c r="CL134" s="3">
        <f t="shared" si="13"/>
        <v>0</v>
      </c>
      <c r="CM134" s="222">
        <f t="shared" si="14"/>
        <v>12296</v>
      </c>
      <c r="CN134" s="3" t="str">
        <f t="shared" si="15"/>
        <v>برنامج دولى</v>
      </c>
    </row>
    <row r="135" spans="3:92" x14ac:dyDescent="0.25">
      <c r="C135" s="223" t="s">
        <v>657</v>
      </c>
      <c r="D135" s="224">
        <v>19364</v>
      </c>
      <c r="E135" s="221">
        <v>12297</v>
      </c>
      <c r="F135" s="250" t="s">
        <v>78</v>
      </c>
      <c r="G135" s="223" t="s">
        <v>5205</v>
      </c>
      <c r="I135" s="223">
        <v>3517.5</v>
      </c>
      <c r="AV135" s="22">
        <f t="shared" si="11"/>
        <v>3517.5</v>
      </c>
      <c r="AW135" s="223">
        <v>2350.35</v>
      </c>
      <c r="AX135" s="223">
        <v>319.64999999999998</v>
      </c>
      <c r="AY135" s="223">
        <v>847.5</v>
      </c>
      <c r="CK135" s="22">
        <f t="shared" si="12"/>
        <v>3517.5</v>
      </c>
      <c r="CL135" s="3">
        <f t="shared" si="13"/>
        <v>0</v>
      </c>
      <c r="CM135" s="222">
        <f t="shared" si="14"/>
        <v>12297</v>
      </c>
      <c r="CN135" s="3" t="str">
        <f t="shared" si="15"/>
        <v>برنامج دولى</v>
      </c>
    </row>
    <row r="136" spans="3:92" x14ac:dyDescent="0.25">
      <c r="C136" s="223" t="s">
        <v>657</v>
      </c>
      <c r="D136" s="224">
        <v>19363</v>
      </c>
      <c r="E136" s="221">
        <v>12298</v>
      </c>
      <c r="F136" s="250" t="s">
        <v>78</v>
      </c>
      <c r="G136" s="223" t="s">
        <v>5205</v>
      </c>
      <c r="I136" s="223">
        <v>6000</v>
      </c>
      <c r="AV136" s="22">
        <f t="shared" si="11"/>
        <v>6000</v>
      </c>
      <c r="AW136" s="223">
        <v>5355.7</v>
      </c>
      <c r="AX136" s="223">
        <v>644.29999999999995</v>
      </c>
      <c r="CK136" s="22">
        <f t="shared" si="12"/>
        <v>6000</v>
      </c>
      <c r="CL136" s="3">
        <f t="shared" si="13"/>
        <v>0</v>
      </c>
      <c r="CM136" s="222">
        <f t="shared" si="14"/>
        <v>12298</v>
      </c>
      <c r="CN136" s="3" t="str">
        <f t="shared" si="15"/>
        <v>برنامج دولى</v>
      </c>
    </row>
    <row r="137" spans="3:92" x14ac:dyDescent="0.25">
      <c r="C137" s="223" t="s">
        <v>657</v>
      </c>
      <c r="D137" s="224">
        <v>19362</v>
      </c>
      <c r="E137" s="221">
        <v>12299</v>
      </c>
      <c r="F137" s="250" t="s">
        <v>78</v>
      </c>
      <c r="G137" s="223" t="s">
        <v>5205</v>
      </c>
      <c r="I137" s="223">
        <v>21924.13</v>
      </c>
      <c r="AV137" s="22">
        <f t="shared" si="11"/>
        <v>21924.13</v>
      </c>
      <c r="AW137" s="223">
        <v>18162.71</v>
      </c>
      <c r="AX137" s="223">
        <v>2248</v>
      </c>
      <c r="AY137" s="223">
        <v>1513.42</v>
      </c>
      <c r="CK137" s="22">
        <f t="shared" si="12"/>
        <v>21924.129999999997</v>
      </c>
      <c r="CL137" s="3">
        <f t="shared" si="13"/>
        <v>0</v>
      </c>
      <c r="CM137" s="222">
        <f t="shared" si="14"/>
        <v>12299</v>
      </c>
      <c r="CN137" s="3" t="str">
        <f t="shared" si="15"/>
        <v>برنامج دولى</v>
      </c>
    </row>
    <row r="138" spans="3:92" x14ac:dyDescent="0.25">
      <c r="C138" s="223" t="s">
        <v>657</v>
      </c>
      <c r="D138" s="224">
        <v>19361</v>
      </c>
      <c r="E138" s="221">
        <v>12300</v>
      </c>
      <c r="F138" s="250" t="s">
        <v>78</v>
      </c>
      <c r="G138" s="223" t="s">
        <v>5205</v>
      </c>
      <c r="I138" s="223">
        <v>39277.75</v>
      </c>
      <c r="AV138" s="22">
        <f t="shared" si="11"/>
        <v>39277.75</v>
      </c>
      <c r="AW138" s="223">
        <v>31202.34</v>
      </c>
      <c r="AX138" s="223">
        <v>3935.75</v>
      </c>
      <c r="AY138" s="223">
        <v>4139.66</v>
      </c>
      <c r="CK138" s="22">
        <f t="shared" si="12"/>
        <v>39277.75</v>
      </c>
      <c r="CL138" s="3">
        <f t="shared" si="13"/>
        <v>0</v>
      </c>
      <c r="CM138" s="222">
        <f t="shared" si="14"/>
        <v>12300</v>
      </c>
      <c r="CN138" s="3" t="str">
        <f t="shared" si="15"/>
        <v>برنامج دولى</v>
      </c>
    </row>
    <row r="139" spans="3:92" x14ac:dyDescent="0.25">
      <c r="C139" s="223" t="s">
        <v>657</v>
      </c>
      <c r="D139" s="224">
        <v>19486</v>
      </c>
      <c r="E139" s="221">
        <v>12301</v>
      </c>
      <c r="F139" s="250" t="s">
        <v>78</v>
      </c>
      <c r="G139" s="223" t="s">
        <v>5206</v>
      </c>
      <c r="I139" s="223">
        <v>1562.5</v>
      </c>
      <c r="AV139" s="22">
        <f t="shared" si="11"/>
        <v>1562.5</v>
      </c>
      <c r="AW139" s="223">
        <v>1394.9</v>
      </c>
      <c r="AX139" s="223">
        <v>167.6</v>
      </c>
      <c r="CK139" s="22">
        <f t="shared" si="12"/>
        <v>1562.5</v>
      </c>
      <c r="CL139" s="3">
        <f t="shared" si="13"/>
        <v>0</v>
      </c>
      <c r="CM139" s="222">
        <f t="shared" si="14"/>
        <v>12301</v>
      </c>
      <c r="CN139" s="3" t="str">
        <f t="shared" si="15"/>
        <v>برنامج دولى</v>
      </c>
    </row>
    <row r="140" spans="3:92" x14ac:dyDescent="0.25">
      <c r="C140" s="223" t="s">
        <v>657</v>
      </c>
      <c r="D140" s="224">
        <v>19487</v>
      </c>
      <c r="E140" s="221">
        <v>12302</v>
      </c>
      <c r="F140" s="250" t="s">
        <v>78</v>
      </c>
      <c r="G140" s="223" t="s">
        <v>5206</v>
      </c>
      <c r="I140" s="223">
        <v>46875</v>
      </c>
      <c r="AV140" s="22">
        <f t="shared" si="11"/>
        <v>46875</v>
      </c>
      <c r="AW140" s="223">
        <v>41848.04</v>
      </c>
      <c r="AX140" s="223">
        <v>5026.96</v>
      </c>
      <c r="CK140" s="22">
        <f t="shared" si="12"/>
        <v>46875</v>
      </c>
      <c r="CL140" s="3">
        <f t="shared" si="13"/>
        <v>0</v>
      </c>
      <c r="CM140" s="222">
        <f t="shared" si="14"/>
        <v>12302</v>
      </c>
      <c r="CN140" s="3" t="str">
        <f t="shared" si="15"/>
        <v>برنامج دولى</v>
      </c>
    </row>
    <row r="141" spans="3:92" x14ac:dyDescent="0.25">
      <c r="C141" s="223" t="s">
        <v>657</v>
      </c>
      <c r="D141" s="224">
        <v>19335</v>
      </c>
      <c r="E141" s="221">
        <v>12303</v>
      </c>
      <c r="F141" s="250" t="s">
        <v>78</v>
      </c>
      <c r="G141" s="223" t="s">
        <v>5207</v>
      </c>
      <c r="I141" s="223">
        <v>24375</v>
      </c>
      <c r="AV141" s="22">
        <f t="shared" si="11"/>
        <v>24375</v>
      </c>
      <c r="AW141" s="223">
        <v>21743.7</v>
      </c>
      <c r="AX141" s="223">
        <v>2631.3</v>
      </c>
      <c r="CK141" s="22">
        <f t="shared" si="12"/>
        <v>24375</v>
      </c>
      <c r="CL141" s="3">
        <f t="shared" si="13"/>
        <v>0</v>
      </c>
      <c r="CM141" s="222">
        <f t="shared" si="14"/>
        <v>12303</v>
      </c>
      <c r="CN141" s="3" t="str">
        <f t="shared" si="15"/>
        <v>برنامج دولى</v>
      </c>
    </row>
    <row r="142" spans="3:92" x14ac:dyDescent="0.25">
      <c r="C142" s="223" t="s">
        <v>657</v>
      </c>
      <c r="D142" s="224">
        <v>19334</v>
      </c>
      <c r="E142" s="221">
        <v>12304</v>
      </c>
      <c r="F142" s="250" t="s">
        <v>78</v>
      </c>
      <c r="G142" s="225" t="s">
        <v>5208</v>
      </c>
      <c r="I142" s="223">
        <v>4000</v>
      </c>
      <c r="AV142" s="22">
        <f t="shared" si="11"/>
        <v>4000</v>
      </c>
      <c r="AW142" s="223">
        <v>3570.35</v>
      </c>
      <c r="AX142" s="223">
        <v>429.65</v>
      </c>
      <c r="CK142" s="22">
        <f t="shared" si="12"/>
        <v>4000</v>
      </c>
      <c r="CL142" s="3">
        <f t="shared" si="13"/>
        <v>0</v>
      </c>
      <c r="CM142" s="222">
        <f t="shared" si="14"/>
        <v>12304</v>
      </c>
      <c r="CN142" s="3" t="str">
        <f t="shared" si="15"/>
        <v>برنامج دولى</v>
      </c>
    </row>
    <row r="143" spans="3:92" x14ac:dyDescent="0.25">
      <c r="C143" s="223" t="s">
        <v>657</v>
      </c>
      <c r="D143" s="224">
        <v>19333</v>
      </c>
      <c r="E143" s="221">
        <v>12305</v>
      </c>
      <c r="F143" s="250" t="s">
        <v>78</v>
      </c>
      <c r="G143" s="223" t="s">
        <v>5209</v>
      </c>
      <c r="I143" s="223">
        <v>26250</v>
      </c>
      <c r="AV143" s="22">
        <f t="shared" si="11"/>
        <v>26250</v>
      </c>
      <c r="AW143" s="223">
        <v>23422.45</v>
      </c>
      <c r="AX143" s="223">
        <v>2827.55</v>
      </c>
      <c r="CK143" s="22">
        <f t="shared" si="12"/>
        <v>26250</v>
      </c>
      <c r="CL143" s="3">
        <f t="shared" si="13"/>
        <v>0</v>
      </c>
      <c r="CM143" s="222">
        <f t="shared" si="14"/>
        <v>12305</v>
      </c>
      <c r="CN143" s="3" t="str">
        <f t="shared" si="15"/>
        <v>برنامج دولى</v>
      </c>
    </row>
    <row r="144" spans="3:92" x14ac:dyDescent="0.25">
      <c r="C144" s="223" t="s">
        <v>657</v>
      </c>
      <c r="D144" s="224">
        <v>19332</v>
      </c>
      <c r="E144" s="221">
        <v>12306</v>
      </c>
      <c r="F144" s="250" t="s">
        <v>78</v>
      </c>
      <c r="G144" s="223" t="s">
        <v>5207</v>
      </c>
      <c r="I144" s="223">
        <v>52625</v>
      </c>
      <c r="AV144" s="22">
        <f t="shared" si="11"/>
        <v>52625</v>
      </c>
      <c r="AW144" s="223">
        <v>46959</v>
      </c>
      <c r="AX144" s="223">
        <v>5666</v>
      </c>
      <c r="CK144" s="22">
        <f t="shared" si="12"/>
        <v>52625</v>
      </c>
      <c r="CL144" s="3">
        <f t="shared" si="13"/>
        <v>0</v>
      </c>
      <c r="CM144" s="222">
        <f t="shared" si="14"/>
        <v>12306</v>
      </c>
      <c r="CN144" s="3" t="str">
        <f t="shared" si="15"/>
        <v>برنامج دولى</v>
      </c>
    </row>
    <row r="145" spans="3:92" x14ac:dyDescent="0.25">
      <c r="C145" s="223" t="s">
        <v>657</v>
      </c>
      <c r="D145" s="224">
        <v>19531</v>
      </c>
      <c r="E145" s="221">
        <v>12307</v>
      </c>
      <c r="F145" s="250" t="s">
        <v>78</v>
      </c>
      <c r="G145" s="223" t="s">
        <v>5210</v>
      </c>
      <c r="I145" s="223">
        <v>8339.43</v>
      </c>
      <c r="AV145" s="22">
        <f t="shared" si="11"/>
        <v>8339.43</v>
      </c>
      <c r="AW145" s="223">
        <v>5578.43</v>
      </c>
      <c r="AX145" s="223">
        <f>40.4+711.25</f>
        <v>751.65</v>
      </c>
      <c r="AY145" s="226">
        <v>2009.35</v>
      </c>
      <c r="CK145" s="22">
        <f t="shared" si="12"/>
        <v>8339.43</v>
      </c>
      <c r="CL145" s="3">
        <f t="shared" si="13"/>
        <v>0</v>
      </c>
      <c r="CM145" s="222">
        <f t="shared" si="14"/>
        <v>12307</v>
      </c>
      <c r="CN145" s="3" t="str">
        <f t="shared" si="15"/>
        <v>برنامج دولى</v>
      </c>
    </row>
    <row r="146" spans="3:92" x14ac:dyDescent="0.25">
      <c r="C146" s="223" t="s">
        <v>657</v>
      </c>
      <c r="D146" s="224">
        <v>19898</v>
      </c>
      <c r="E146" s="221">
        <v>12308</v>
      </c>
      <c r="F146" s="250" t="s">
        <v>78</v>
      </c>
      <c r="G146" s="223" t="s">
        <v>5211</v>
      </c>
      <c r="I146" s="223">
        <v>2345</v>
      </c>
      <c r="AV146" s="22">
        <f t="shared" si="11"/>
        <v>2345</v>
      </c>
      <c r="AW146" s="223">
        <v>1570</v>
      </c>
      <c r="AX146" s="223">
        <v>210</v>
      </c>
      <c r="AY146" s="223">
        <v>565</v>
      </c>
      <c r="CK146" s="22">
        <f t="shared" si="12"/>
        <v>2345</v>
      </c>
      <c r="CL146" s="3">
        <f t="shared" si="13"/>
        <v>0</v>
      </c>
      <c r="CM146" s="222">
        <f t="shared" si="14"/>
        <v>12308</v>
      </c>
      <c r="CN146" s="3" t="str">
        <f t="shared" si="15"/>
        <v>برنامج دولى</v>
      </c>
    </row>
    <row r="147" spans="3:92" x14ac:dyDescent="0.25">
      <c r="C147" s="223" t="s">
        <v>657</v>
      </c>
      <c r="D147" s="224">
        <v>20501</v>
      </c>
      <c r="E147" s="221">
        <v>12309</v>
      </c>
      <c r="F147" s="250" t="s">
        <v>78</v>
      </c>
      <c r="G147" s="223" t="s">
        <v>5212</v>
      </c>
      <c r="I147" s="223">
        <v>1620</v>
      </c>
      <c r="AV147" s="22">
        <f t="shared" si="11"/>
        <v>1620</v>
      </c>
      <c r="AW147" s="223">
        <v>1447.9</v>
      </c>
      <c r="AX147" s="223">
        <v>172.1</v>
      </c>
      <c r="CK147" s="22">
        <f t="shared" si="12"/>
        <v>1620</v>
      </c>
      <c r="CL147" s="3">
        <f t="shared" si="13"/>
        <v>0</v>
      </c>
      <c r="CM147" s="222">
        <f t="shared" si="14"/>
        <v>12309</v>
      </c>
      <c r="CN147" s="3" t="str">
        <f t="shared" si="15"/>
        <v>برنامج دولى</v>
      </c>
    </row>
    <row r="148" spans="3:92" x14ac:dyDescent="0.25">
      <c r="C148" s="223" t="s">
        <v>657</v>
      </c>
      <c r="D148" s="224">
        <v>20331</v>
      </c>
      <c r="E148" s="221">
        <v>12310</v>
      </c>
      <c r="F148" s="250" t="s">
        <v>78</v>
      </c>
      <c r="G148" s="223" t="s">
        <v>5213</v>
      </c>
      <c r="I148" s="223">
        <v>1758.75</v>
      </c>
      <c r="AV148" s="22">
        <f t="shared" si="11"/>
        <v>1758.75</v>
      </c>
      <c r="AW148" s="223">
        <v>1175.3499999999999</v>
      </c>
      <c r="AX148" s="223">
        <v>159.65</v>
      </c>
      <c r="AY148" s="223">
        <v>423.75</v>
      </c>
      <c r="CK148" s="22">
        <f t="shared" si="12"/>
        <v>1758.75</v>
      </c>
      <c r="CL148" s="3">
        <f t="shared" si="13"/>
        <v>0</v>
      </c>
      <c r="CM148" s="222">
        <f t="shared" si="14"/>
        <v>12310</v>
      </c>
      <c r="CN148" s="3" t="str">
        <f t="shared" si="15"/>
        <v>برنامج دولى</v>
      </c>
    </row>
    <row r="149" spans="3:92" x14ac:dyDescent="0.25">
      <c r="C149" s="223" t="s">
        <v>657</v>
      </c>
      <c r="D149" s="224">
        <v>20332</v>
      </c>
      <c r="E149" s="221">
        <v>12311</v>
      </c>
      <c r="F149" s="250" t="s">
        <v>78</v>
      </c>
      <c r="G149" s="223" t="s">
        <v>5214</v>
      </c>
      <c r="I149" s="223">
        <v>12046.28</v>
      </c>
      <c r="AV149" s="22">
        <f t="shared" si="11"/>
        <v>12046.28</v>
      </c>
      <c r="AW149" s="223">
        <v>8048.96</v>
      </c>
      <c r="AX149" s="223">
        <f>67.5+1027.4</f>
        <v>1094.9000000000001</v>
      </c>
      <c r="AY149" s="223">
        <v>2902.42</v>
      </c>
      <c r="CK149" s="22">
        <f t="shared" si="12"/>
        <v>12046.28</v>
      </c>
      <c r="CL149" s="3">
        <f t="shared" si="13"/>
        <v>0</v>
      </c>
      <c r="CM149" s="222">
        <f t="shared" si="14"/>
        <v>12311</v>
      </c>
      <c r="CN149" s="3" t="str">
        <f t="shared" si="15"/>
        <v>برنامج دولى</v>
      </c>
    </row>
    <row r="150" spans="3:92" x14ac:dyDescent="0.25">
      <c r="C150" s="223" t="s">
        <v>657</v>
      </c>
      <c r="D150" s="224">
        <v>20334</v>
      </c>
      <c r="E150" s="221">
        <v>12312</v>
      </c>
      <c r="F150" s="250" t="s">
        <v>78</v>
      </c>
      <c r="G150" s="223" t="s">
        <v>5215</v>
      </c>
      <c r="I150" s="223">
        <v>3992.23</v>
      </c>
      <c r="AV150" s="22">
        <f t="shared" si="11"/>
        <v>3992.23</v>
      </c>
      <c r="AW150" s="223">
        <v>3563.41</v>
      </c>
      <c r="AX150" s="223">
        <v>428.82</v>
      </c>
      <c r="CK150" s="22">
        <f t="shared" si="12"/>
        <v>3992.23</v>
      </c>
      <c r="CL150" s="3">
        <f t="shared" si="13"/>
        <v>0</v>
      </c>
      <c r="CM150" s="222">
        <f t="shared" si="14"/>
        <v>12312</v>
      </c>
      <c r="CN150" s="3" t="str">
        <f t="shared" si="15"/>
        <v>برنامج دولى</v>
      </c>
    </row>
    <row r="151" spans="3:92" x14ac:dyDescent="0.25">
      <c r="C151" s="223" t="s">
        <v>657</v>
      </c>
      <c r="D151" s="224">
        <v>20335</v>
      </c>
      <c r="E151" s="221">
        <v>12313</v>
      </c>
      <c r="F151" s="250" t="s">
        <v>78</v>
      </c>
      <c r="G151" s="223" t="s">
        <v>5215</v>
      </c>
      <c r="I151" s="223">
        <v>621.46</v>
      </c>
      <c r="AV151" s="22">
        <f t="shared" si="11"/>
        <v>621.46</v>
      </c>
      <c r="AW151" s="223">
        <v>415.78</v>
      </c>
      <c r="AX151" s="223">
        <v>55.95</v>
      </c>
      <c r="AY151" s="223">
        <v>149.72999999999999</v>
      </c>
      <c r="CK151" s="22">
        <f t="shared" si="12"/>
        <v>621.45999999999992</v>
      </c>
      <c r="CL151" s="3">
        <f t="shared" si="13"/>
        <v>0</v>
      </c>
      <c r="CM151" s="222">
        <f t="shared" si="14"/>
        <v>12313</v>
      </c>
      <c r="CN151" s="3" t="str">
        <f t="shared" si="15"/>
        <v>برنامج دولى</v>
      </c>
    </row>
    <row r="152" spans="3:92" x14ac:dyDescent="0.25">
      <c r="C152" s="223" t="s">
        <v>657</v>
      </c>
      <c r="D152" s="224">
        <v>20336</v>
      </c>
      <c r="E152" s="221">
        <v>12314</v>
      </c>
      <c r="F152" s="250" t="s">
        <v>78</v>
      </c>
      <c r="G152" s="223" t="s">
        <v>5216</v>
      </c>
      <c r="I152" s="223">
        <v>266.32</v>
      </c>
      <c r="AV152" s="22">
        <f t="shared" si="11"/>
        <v>266.32</v>
      </c>
      <c r="AW152" s="223">
        <v>178.5</v>
      </c>
      <c r="AX152" s="223">
        <f>22.71+0.95</f>
        <v>23.66</v>
      </c>
      <c r="AY152" s="223">
        <v>64.16</v>
      </c>
      <c r="CK152" s="22">
        <f t="shared" si="12"/>
        <v>266.32</v>
      </c>
      <c r="CL152" s="3">
        <f t="shared" si="13"/>
        <v>0</v>
      </c>
      <c r="CM152" s="222">
        <f t="shared" si="14"/>
        <v>12314</v>
      </c>
      <c r="CN152" s="3" t="str">
        <f t="shared" si="15"/>
        <v>برنامج دولى</v>
      </c>
    </row>
    <row r="153" spans="3:92" x14ac:dyDescent="0.25">
      <c r="C153" s="223" t="s">
        <v>657</v>
      </c>
      <c r="D153" s="224">
        <v>20333</v>
      </c>
      <c r="E153" s="221">
        <v>12315</v>
      </c>
      <c r="F153" s="250" t="s">
        <v>78</v>
      </c>
      <c r="G153" s="223" t="s">
        <v>5217</v>
      </c>
      <c r="I153" s="223">
        <v>6800</v>
      </c>
      <c r="AV153" s="22">
        <f t="shared" si="11"/>
        <v>6800</v>
      </c>
      <c r="AW153" s="223">
        <v>6069.7</v>
      </c>
      <c r="AX153" s="223">
        <v>730.3</v>
      </c>
      <c r="CK153" s="22">
        <f t="shared" si="12"/>
        <v>6800</v>
      </c>
      <c r="CL153" s="3">
        <f t="shared" si="13"/>
        <v>0</v>
      </c>
      <c r="CM153" s="222">
        <f t="shared" si="14"/>
        <v>12315</v>
      </c>
      <c r="CN153" s="3" t="str">
        <f t="shared" si="15"/>
        <v>برنامج دولى</v>
      </c>
    </row>
    <row r="154" spans="3:92" x14ac:dyDescent="0.25">
      <c r="C154" s="223" t="s">
        <v>657</v>
      </c>
      <c r="D154" s="224">
        <v>20338</v>
      </c>
      <c r="E154" s="221">
        <v>12316</v>
      </c>
      <c r="F154" s="250" t="s">
        <v>78</v>
      </c>
      <c r="G154" s="223" t="str">
        <f>+G151</f>
        <v>مكافاه بروتوكول ابحاث اكلينكى</v>
      </c>
      <c r="I154" s="223">
        <v>27298.13</v>
      </c>
      <c r="AV154" s="22">
        <f t="shared" si="11"/>
        <v>27298.13</v>
      </c>
      <c r="AW154" s="223">
        <v>24436.82</v>
      </c>
      <c r="AX154" s="223">
        <v>2861.31</v>
      </c>
      <c r="CK154" s="22">
        <f t="shared" si="12"/>
        <v>27298.13</v>
      </c>
      <c r="CL154" s="3">
        <f t="shared" si="13"/>
        <v>0</v>
      </c>
      <c r="CM154" s="222">
        <f t="shared" si="14"/>
        <v>12316</v>
      </c>
      <c r="CN154" s="3" t="str">
        <f t="shared" si="15"/>
        <v>برنامج دولى</v>
      </c>
    </row>
    <row r="155" spans="3:92" x14ac:dyDescent="0.25">
      <c r="C155" s="223" t="s">
        <v>657</v>
      </c>
      <c r="D155" s="224">
        <v>20337</v>
      </c>
      <c r="E155" s="221">
        <v>12317</v>
      </c>
      <c r="F155" s="250" t="s">
        <v>78</v>
      </c>
      <c r="G155" s="223" t="str">
        <f>+G154</f>
        <v>مكافاه بروتوكول ابحاث اكلينكى</v>
      </c>
      <c r="I155" s="223">
        <v>31359.79</v>
      </c>
      <c r="AV155" s="22">
        <f t="shared" si="11"/>
        <v>31359.79</v>
      </c>
      <c r="AW155" s="223">
        <v>28080.11</v>
      </c>
      <c r="AX155" s="223">
        <v>3279.68</v>
      </c>
      <c r="CK155" s="22">
        <f t="shared" si="12"/>
        <v>31359.79</v>
      </c>
      <c r="CL155" s="3">
        <f t="shared" si="13"/>
        <v>0</v>
      </c>
      <c r="CM155" s="222">
        <f t="shared" si="14"/>
        <v>12317</v>
      </c>
      <c r="CN155" s="3" t="str">
        <f t="shared" si="15"/>
        <v>برنامج دولى</v>
      </c>
    </row>
    <row r="156" spans="3:92" x14ac:dyDescent="0.25">
      <c r="C156" s="223" t="s">
        <v>657</v>
      </c>
      <c r="D156" s="224">
        <v>20351</v>
      </c>
      <c r="E156" s="221">
        <v>12318</v>
      </c>
      <c r="F156" s="250" t="s">
        <v>78</v>
      </c>
      <c r="G156" s="223" t="s">
        <v>5218</v>
      </c>
      <c r="I156" s="223">
        <v>3634.76</v>
      </c>
      <c r="AV156" s="22">
        <f t="shared" si="11"/>
        <v>3634.76</v>
      </c>
      <c r="AW156" s="223">
        <v>2433.9</v>
      </c>
      <c r="AX156" s="223">
        <f>15.1+310</f>
        <v>325.10000000000002</v>
      </c>
      <c r="AY156" s="223">
        <v>875.76</v>
      </c>
      <c r="CK156" s="22">
        <f t="shared" si="12"/>
        <v>3634.76</v>
      </c>
      <c r="CL156" s="3">
        <f t="shared" si="13"/>
        <v>0</v>
      </c>
      <c r="CM156" s="222">
        <f t="shared" si="14"/>
        <v>12318</v>
      </c>
      <c r="CN156" s="3" t="str">
        <f t="shared" si="15"/>
        <v>برنامج دولى</v>
      </c>
    </row>
    <row r="157" spans="3:92" x14ac:dyDescent="0.25">
      <c r="C157" s="223" t="s">
        <v>657</v>
      </c>
      <c r="D157" s="224">
        <v>20352</v>
      </c>
      <c r="E157" s="221">
        <v>12319</v>
      </c>
      <c r="F157" s="250" t="s">
        <v>78</v>
      </c>
      <c r="G157" s="223" t="s">
        <v>5219</v>
      </c>
      <c r="I157" s="223">
        <v>1055.25</v>
      </c>
      <c r="AV157" s="22">
        <f t="shared" si="11"/>
        <v>1055.25</v>
      </c>
      <c r="AW157" s="223">
        <v>706.65</v>
      </c>
      <c r="AX157" s="223">
        <f>4.35+90</f>
        <v>94.35</v>
      </c>
      <c r="AY157" s="223">
        <v>254.25</v>
      </c>
      <c r="CK157" s="22">
        <f t="shared" si="12"/>
        <v>1055.25</v>
      </c>
      <c r="CL157" s="3">
        <f t="shared" si="13"/>
        <v>0</v>
      </c>
      <c r="CM157" s="222">
        <f t="shared" si="14"/>
        <v>12319</v>
      </c>
      <c r="CN157" s="3" t="str">
        <f t="shared" si="15"/>
        <v>برنامج دولى</v>
      </c>
    </row>
    <row r="158" spans="3:92" x14ac:dyDescent="0.25">
      <c r="C158" s="223" t="s">
        <v>657</v>
      </c>
      <c r="D158" s="224">
        <v>20353</v>
      </c>
      <c r="E158" s="221">
        <v>12320</v>
      </c>
      <c r="F158" s="250" t="s">
        <v>78</v>
      </c>
      <c r="G158" s="223" t="s">
        <v>5220</v>
      </c>
      <c r="I158" s="223">
        <v>1641.5</v>
      </c>
      <c r="AV158" s="22">
        <f t="shared" si="11"/>
        <v>1641.5</v>
      </c>
      <c r="AW158" s="223">
        <v>1097.95</v>
      </c>
      <c r="AX158" s="223">
        <f>140+8.05</f>
        <v>148.05000000000001</v>
      </c>
      <c r="AY158" s="223">
        <v>395.5</v>
      </c>
      <c r="CK158" s="22">
        <f t="shared" si="12"/>
        <v>1641.5</v>
      </c>
      <c r="CL158" s="3">
        <f t="shared" si="13"/>
        <v>0</v>
      </c>
      <c r="CM158" s="222">
        <f t="shared" si="14"/>
        <v>12320</v>
      </c>
      <c r="CN158" s="3" t="str">
        <f t="shared" si="15"/>
        <v>برنامج دولى</v>
      </c>
    </row>
    <row r="159" spans="3:92" x14ac:dyDescent="0.25">
      <c r="C159" s="223" t="s">
        <v>657</v>
      </c>
      <c r="D159" s="224">
        <v>20354</v>
      </c>
      <c r="E159" s="221">
        <v>12321</v>
      </c>
      <c r="F159" s="250" t="s">
        <v>78</v>
      </c>
      <c r="G159" s="223" t="s">
        <v>5220</v>
      </c>
      <c r="I159" s="223">
        <v>1407.01</v>
      </c>
      <c r="AV159" s="22">
        <f t="shared" si="11"/>
        <v>1407.01</v>
      </c>
      <c r="AW159" s="223">
        <v>941.2</v>
      </c>
      <c r="AX159" s="223">
        <f>6.8+120</f>
        <v>126.8</v>
      </c>
      <c r="AY159" s="223">
        <v>339.01</v>
      </c>
      <c r="CK159" s="22">
        <f t="shared" si="12"/>
        <v>1407.01</v>
      </c>
      <c r="CL159" s="3">
        <f t="shared" si="13"/>
        <v>0</v>
      </c>
      <c r="CM159" s="222">
        <f t="shared" si="14"/>
        <v>12321</v>
      </c>
      <c r="CN159" s="3" t="str">
        <f t="shared" si="15"/>
        <v>برنامج دولى</v>
      </c>
    </row>
    <row r="160" spans="3:92" x14ac:dyDescent="0.25">
      <c r="C160" s="223" t="s">
        <v>657</v>
      </c>
      <c r="D160" s="224">
        <v>20355</v>
      </c>
      <c r="E160" s="221">
        <v>12322</v>
      </c>
      <c r="F160" s="250" t="s">
        <v>78</v>
      </c>
      <c r="G160" s="223" t="s">
        <v>5220</v>
      </c>
      <c r="I160" s="223">
        <v>1465.63</v>
      </c>
      <c r="AV160" s="22">
        <f t="shared" si="11"/>
        <v>1465.63</v>
      </c>
      <c r="AW160" s="223">
        <v>980.35</v>
      </c>
      <c r="AX160" s="223">
        <f>7.15+125</f>
        <v>132.15</v>
      </c>
      <c r="AY160" s="223">
        <v>353.13</v>
      </c>
      <c r="CK160" s="22">
        <f t="shared" si="12"/>
        <v>1465.63</v>
      </c>
      <c r="CL160" s="3">
        <f t="shared" si="13"/>
        <v>0</v>
      </c>
      <c r="CM160" s="222">
        <f t="shared" si="14"/>
        <v>12322</v>
      </c>
      <c r="CN160" s="3" t="str">
        <f t="shared" si="15"/>
        <v>برنامج دولى</v>
      </c>
    </row>
    <row r="161" spans="3:92" x14ac:dyDescent="0.25">
      <c r="C161" s="223" t="s">
        <v>657</v>
      </c>
      <c r="D161" s="224">
        <v>20356</v>
      </c>
      <c r="E161" s="221">
        <v>12323</v>
      </c>
      <c r="F161" s="250" t="s">
        <v>78</v>
      </c>
      <c r="G161" s="223" t="s">
        <v>4269</v>
      </c>
      <c r="I161" s="223">
        <v>4807.25</v>
      </c>
      <c r="AV161" s="22">
        <f t="shared" si="11"/>
        <v>4807.25</v>
      </c>
      <c r="AW161" s="223">
        <v>3212.3</v>
      </c>
      <c r="AX161" s="223">
        <f>26.7+410</f>
        <v>436.7</v>
      </c>
      <c r="AY161" s="223">
        <v>1158.25</v>
      </c>
      <c r="CK161" s="22">
        <f t="shared" si="12"/>
        <v>4807.25</v>
      </c>
      <c r="CL161" s="3">
        <f t="shared" si="13"/>
        <v>0</v>
      </c>
      <c r="CM161" s="222">
        <f t="shared" si="14"/>
        <v>12323</v>
      </c>
      <c r="CN161" s="3" t="str">
        <f t="shared" si="15"/>
        <v>برنامج دولى</v>
      </c>
    </row>
    <row r="162" spans="3:92" x14ac:dyDescent="0.25">
      <c r="C162" s="223" t="s">
        <v>657</v>
      </c>
      <c r="D162" s="224">
        <v>20357</v>
      </c>
      <c r="E162" s="221">
        <v>12324</v>
      </c>
      <c r="F162" s="250" t="s">
        <v>78</v>
      </c>
      <c r="G162" s="223" t="s">
        <v>5221</v>
      </c>
      <c r="I162" s="223">
        <v>1641.5</v>
      </c>
      <c r="AV162" s="22">
        <f t="shared" si="11"/>
        <v>1641.5</v>
      </c>
      <c r="AW162" s="223">
        <v>1097</v>
      </c>
      <c r="AX162" s="223">
        <f>140+9</f>
        <v>149</v>
      </c>
      <c r="AY162" s="223">
        <v>395.5</v>
      </c>
      <c r="CK162" s="22">
        <f t="shared" si="12"/>
        <v>1641.5</v>
      </c>
      <c r="CL162" s="3">
        <f t="shared" si="13"/>
        <v>0</v>
      </c>
      <c r="CM162" s="222">
        <f t="shared" si="14"/>
        <v>12324</v>
      </c>
      <c r="CN162" s="3" t="str">
        <f t="shared" si="15"/>
        <v>برنامج دولى</v>
      </c>
    </row>
    <row r="163" spans="3:92" x14ac:dyDescent="0.25">
      <c r="C163" s="223" t="s">
        <v>657</v>
      </c>
      <c r="D163" s="224">
        <v>20358</v>
      </c>
      <c r="E163" s="221">
        <v>12325</v>
      </c>
      <c r="F163" s="250" t="s">
        <v>78</v>
      </c>
      <c r="G163" s="223" t="s">
        <v>5221</v>
      </c>
      <c r="I163" s="223">
        <v>1641.5</v>
      </c>
      <c r="AV163" s="22">
        <f t="shared" si="11"/>
        <v>1641.5</v>
      </c>
      <c r="AW163" s="223">
        <v>1097</v>
      </c>
      <c r="AX163" s="223">
        <f>140+9</f>
        <v>149</v>
      </c>
      <c r="AY163" s="223">
        <v>395.5</v>
      </c>
      <c r="CK163" s="22">
        <f t="shared" si="12"/>
        <v>1641.5</v>
      </c>
      <c r="CL163" s="3">
        <f t="shared" si="13"/>
        <v>0</v>
      </c>
      <c r="CM163" s="222">
        <f t="shared" si="14"/>
        <v>12325</v>
      </c>
      <c r="CN163" s="3" t="str">
        <f t="shared" si="15"/>
        <v>برنامج دولى</v>
      </c>
    </row>
    <row r="164" spans="3:92" x14ac:dyDescent="0.25">
      <c r="C164" s="223" t="s">
        <v>657</v>
      </c>
      <c r="D164" s="224">
        <v>20359</v>
      </c>
      <c r="E164" s="221">
        <v>12326</v>
      </c>
      <c r="F164" s="250" t="s">
        <v>78</v>
      </c>
      <c r="G164" s="223" t="s">
        <v>4260</v>
      </c>
      <c r="I164" s="223">
        <v>6097</v>
      </c>
      <c r="AV164" s="22">
        <f t="shared" si="11"/>
        <v>6097</v>
      </c>
      <c r="AW164" s="223">
        <v>4074</v>
      </c>
      <c r="AX164" s="223">
        <f>34+520</f>
        <v>554</v>
      </c>
      <c r="AY164" s="223">
        <v>1469</v>
      </c>
      <c r="CK164" s="22">
        <f t="shared" si="12"/>
        <v>6097</v>
      </c>
      <c r="CL164" s="3">
        <f t="shared" si="13"/>
        <v>0</v>
      </c>
      <c r="CM164" s="222">
        <f t="shared" si="14"/>
        <v>12326</v>
      </c>
      <c r="CN164" s="3" t="str">
        <f t="shared" si="15"/>
        <v>برنامج دولى</v>
      </c>
    </row>
    <row r="165" spans="3:92" x14ac:dyDescent="0.25">
      <c r="C165" s="223" t="s">
        <v>657</v>
      </c>
      <c r="D165" s="224">
        <v>20360</v>
      </c>
      <c r="E165" s="221">
        <v>12327</v>
      </c>
      <c r="F165" s="250" t="s">
        <v>78</v>
      </c>
      <c r="G165" s="223" t="s">
        <v>5222</v>
      </c>
      <c r="I165" s="223">
        <v>600</v>
      </c>
      <c r="AV165" s="22">
        <f t="shared" si="11"/>
        <v>600</v>
      </c>
      <c r="AW165" s="223">
        <v>536.15</v>
      </c>
      <c r="AX165" s="223">
        <v>63.85</v>
      </c>
      <c r="CK165" s="22">
        <f t="shared" si="12"/>
        <v>600</v>
      </c>
      <c r="CL165" s="3">
        <f t="shared" si="13"/>
        <v>0</v>
      </c>
      <c r="CM165" s="222">
        <f t="shared" si="14"/>
        <v>12327</v>
      </c>
      <c r="CN165" s="3" t="str">
        <f t="shared" si="15"/>
        <v>برنامج دولى</v>
      </c>
    </row>
    <row r="166" spans="3:92" x14ac:dyDescent="0.25">
      <c r="C166" s="223" t="s">
        <v>657</v>
      </c>
      <c r="D166" s="224">
        <v>20361</v>
      </c>
      <c r="E166" s="221">
        <v>12328</v>
      </c>
      <c r="F166" s="250" t="s">
        <v>78</v>
      </c>
      <c r="G166" s="223" t="s">
        <v>5222</v>
      </c>
      <c r="I166" s="223">
        <v>600</v>
      </c>
      <c r="AV166" s="22">
        <f t="shared" si="11"/>
        <v>600</v>
      </c>
      <c r="AW166" s="223">
        <v>536.15</v>
      </c>
      <c r="AX166" s="223">
        <v>63.85</v>
      </c>
      <c r="CK166" s="22">
        <f t="shared" si="12"/>
        <v>600</v>
      </c>
      <c r="CL166" s="3">
        <f t="shared" si="13"/>
        <v>0</v>
      </c>
      <c r="CM166" s="222">
        <f t="shared" si="14"/>
        <v>12328</v>
      </c>
      <c r="CN166" s="3" t="str">
        <f t="shared" si="15"/>
        <v>برنامج دولى</v>
      </c>
    </row>
    <row r="167" spans="3:92" x14ac:dyDescent="0.25">
      <c r="C167" s="223" t="s">
        <v>657</v>
      </c>
      <c r="D167" s="224">
        <v>20362</v>
      </c>
      <c r="E167" s="221">
        <v>12329</v>
      </c>
      <c r="F167" s="250" t="s">
        <v>78</v>
      </c>
      <c r="G167" s="223" t="s">
        <v>823</v>
      </c>
      <c r="I167" s="223">
        <v>300</v>
      </c>
      <c r="AV167" s="22">
        <f t="shared" si="11"/>
        <v>300</v>
      </c>
      <c r="AW167" s="223">
        <v>268.35000000000002</v>
      </c>
      <c r="AX167" s="223">
        <v>31.65</v>
      </c>
      <c r="CK167" s="22">
        <f t="shared" si="12"/>
        <v>300</v>
      </c>
      <c r="CL167" s="3">
        <f t="shared" si="13"/>
        <v>0</v>
      </c>
      <c r="CM167" s="222">
        <f t="shared" si="14"/>
        <v>12329</v>
      </c>
      <c r="CN167" s="3" t="str">
        <f t="shared" si="15"/>
        <v>برنامج دولى</v>
      </c>
    </row>
    <row r="168" spans="3:92" x14ac:dyDescent="0.25">
      <c r="C168" s="223" t="s">
        <v>657</v>
      </c>
      <c r="D168" s="224">
        <v>20363</v>
      </c>
      <c r="E168" s="221">
        <v>12330</v>
      </c>
      <c r="F168" s="250" t="s">
        <v>78</v>
      </c>
      <c r="G168" s="223" t="s">
        <v>823</v>
      </c>
      <c r="I168" s="223">
        <v>300</v>
      </c>
      <c r="AV168" s="22">
        <f t="shared" si="11"/>
        <v>300</v>
      </c>
      <c r="AW168" s="223">
        <v>268.35000000000002</v>
      </c>
      <c r="AX168" s="223">
        <v>31.65</v>
      </c>
      <c r="CK168" s="22">
        <f t="shared" si="12"/>
        <v>300</v>
      </c>
      <c r="CL168" s="3">
        <f t="shared" si="13"/>
        <v>0</v>
      </c>
      <c r="CM168" s="222">
        <f t="shared" si="14"/>
        <v>12330</v>
      </c>
      <c r="CN168" s="3" t="str">
        <f t="shared" si="15"/>
        <v>برنامج دولى</v>
      </c>
    </row>
    <row r="169" spans="3:92" x14ac:dyDescent="0.25">
      <c r="C169" s="223" t="s">
        <v>657</v>
      </c>
      <c r="D169" s="224">
        <v>20364</v>
      </c>
      <c r="E169" s="221">
        <v>12331</v>
      </c>
      <c r="F169" s="250" t="s">
        <v>78</v>
      </c>
      <c r="G169" s="223" t="s">
        <v>5223</v>
      </c>
      <c r="I169" s="223">
        <v>450</v>
      </c>
      <c r="AV169" s="22">
        <f t="shared" si="11"/>
        <v>450</v>
      </c>
      <c r="AW169" s="223">
        <v>402.4</v>
      </c>
      <c r="AX169" s="223">
        <v>47.6</v>
      </c>
      <c r="CK169" s="22">
        <f t="shared" si="12"/>
        <v>450</v>
      </c>
      <c r="CL169" s="3">
        <f t="shared" si="13"/>
        <v>0</v>
      </c>
      <c r="CM169" s="222">
        <f t="shared" si="14"/>
        <v>12331</v>
      </c>
      <c r="CN169" s="3" t="str">
        <f t="shared" si="15"/>
        <v>برنامج دولى</v>
      </c>
    </row>
    <row r="170" spans="3:92" x14ac:dyDescent="0.25">
      <c r="C170" s="223" t="s">
        <v>657</v>
      </c>
      <c r="D170" s="224">
        <v>20365</v>
      </c>
      <c r="E170" s="221">
        <v>12332</v>
      </c>
      <c r="F170" s="250" t="s">
        <v>78</v>
      </c>
      <c r="G170" s="223" t="s">
        <v>5224</v>
      </c>
      <c r="I170" s="223">
        <v>883.38</v>
      </c>
      <c r="AV170" s="22">
        <f t="shared" si="11"/>
        <v>883.38</v>
      </c>
      <c r="AW170" s="223">
        <v>661.93</v>
      </c>
      <c r="AX170" s="223">
        <v>84.9</v>
      </c>
      <c r="AY170" s="223">
        <v>136.55000000000001</v>
      </c>
      <c r="CK170" s="22">
        <f t="shared" si="12"/>
        <v>883.37999999999988</v>
      </c>
      <c r="CL170" s="3">
        <f t="shared" si="13"/>
        <v>0</v>
      </c>
      <c r="CM170" s="222">
        <f t="shared" si="14"/>
        <v>12332</v>
      </c>
      <c r="CN170" s="3" t="str">
        <f t="shared" si="15"/>
        <v>برنامج دولى</v>
      </c>
    </row>
    <row r="171" spans="3:92" x14ac:dyDescent="0.25">
      <c r="C171" s="223" t="s">
        <v>657</v>
      </c>
      <c r="D171" s="224">
        <v>20368</v>
      </c>
      <c r="E171" s="221">
        <v>12333</v>
      </c>
      <c r="F171" s="250" t="s">
        <v>78</v>
      </c>
      <c r="G171" s="223" t="s">
        <v>5225</v>
      </c>
      <c r="I171" s="223">
        <v>750</v>
      </c>
      <c r="AV171" s="22">
        <f t="shared" si="11"/>
        <v>750</v>
      </c>
      <c r="AW171" s="223">
        <v>670.1</v>
      </c>
      <c r="AX171" s="223">
        <v>79.900000000000006</v>
      </c>
      <c r="CK171" s="22">
        <f t="shared" si="12"/>
        <v>750</v>
      </c>
      <c r="CL171" s="3">
        <f t="shared" si="13"/>
        <v>0</v>
      </c>
      <c r="CM171" s="222">
        <f t="shared" si="14"/>
        <v>12333</v>
      </c>
      <c r="CN171" s="3" t="str">
        <f t="shared" si="15"/>
        <v>برنامج دولى</v>
      </c>
    </row>
    <row r="172" spans="3:92" x14ac:dyDescent="0.25">
      <c r="C172" s="223" t="s">
        <v>657</v>
      </c>
      <c r="D172" s="224">
        <v>20370</v>
      </c>
      <c r="E172" s="221">
        <v>12334</v>
      </c>
      <c r="F172" s="250" t="s">
        <v>78</v>
      </c>
      <c r="G172" s="223" t="s">
        <v>5226</v>
      </c>
      <c r="I172" s="223">
        <v>1250</v>
      </c>
      <c r="AV172" s="22">
        <f t="shared" si="11"/>
        <v>1250</v>
      </c>
      <c r="AW172" s="223">
        <v>1116</v>
      </c>
      <c r="AX172" s="223">
        <v>134</v>
      </c>
      <c r="CK172" s="22">
        <f t="shared" si="12"/>
        <v>1250</v>
      </c>
      <c r="CL172" s="3">
        <f t="shared" si="13"/>
        <v>0</v>
      </c>
      <c r="CM172" s="222">
        <f t="shared" si="14"/>
        <v>12334</v>
      </c>
      <c r="CN172" s="3" t="str">
        <f t="shared" si="15"/>
        <v>برنامج دولى</v>
      </c>
    </row>
    <row r="173" spans="3:92" x14ac:dyDescent="0.25">
      <c r="C173" s="223" t="s">
        <v>657</v>
      </c>
      <c r="D173" s="224">
        <v>20371</v>
      </c>
      <c r="E173" s="221">
        <v>12335</v>
      </c>
      <c r="F173" s="250" t="s">
        <v>78</v>
      </c>
      <c r="G173" s="223" t="s">
        <v>5226</v>
      </c>
      <c r="I173" s="223">
        <v>1250</v>
      </c>
      <c r="AV173" s="22">
        <f t="shared" si="11"/>
        <v>1250</v>
      </c>
      <c r="AW173" s="223">
        <v>1116</v>
      </c>
      <c r="AX173" s="223">
        <v>134</v>
      </c>
      <c r="CK173" s="22">
        <f t="shared" si="12"/>
        <v>1250</v>
      </c>
      <c r="CL173" s="3">
        <f t="shared" si="13"/>
        <v>0</v>
      </c>
      <c r="CM173" s="222">
        <f t="shared" si="14"/>
        <v>12335</v>
      </c>
      <c r="CN173" s="3" t="str">
        <f t="shared" si="15"/>
        <v>برنامج دولى</v>
      </c>
    </row>
    <row r="174" spans="3:92" x14ac:dyDescent="0.25">
      <c r="C174" s="223" t="s">
        <v>657</v>
      </c>
      <c r="D174" s="224">
        <v>20372</v>
      </c>
      <c r="E174" s="221">
        <v>12336</v>
      </c>
      <c r="F174" s="250" t="s">
        <v>78</v>
      </c>
      <c r="G174" s="223" t="s">
        <v>5226</v>
      </c>
      <c r="I174" s="223">
        <v>1287.54</v>
      </c>
      <c r="AV174" s="22">
        <f t="shared" ref="AV174:AV236" si="16">SUM(I174:AU174)</f>
        <v>1287.54</v>
      </c>
      <c r="AW174" s="223">
        <v>1092.21</v>
      </c>
      <c r="AX174" s="223">
        <v>133.85</v>
      </c>
      <c r="AY174" s="223">
        <v>61.48</v>
      </c>
      <c r="CK174" s="22">
        <f t="shared" si="12"/>
        <v>1287.54</v>
      </c>
      <c r="CL174" s="3">
        <f t="shared" si="13"/>
        <v>0</v>
      </c>
      <c r="CM174" s="222">
        <f t="shared" si="14"/>
        <v>12336</v>
      </c>
      <c r="CN174" s="3" t="str">
        <f t="shared" si="15"/>
        <v>برنامج دولى</v>
      </c>
    </row>
    <row r="175" spans="3:92" x14ac:dyDescent="0.25">
      <c r="C175" s="223" t="s">
        <v>657</v>
      </c>
      <c r="D175" s="224">
        <v>20373</v>
      </c>
      <c r="E175" s="221">
        <v>12337</v>
      </c>
      <c r="F175" s="250" t="s">
        <v>78</v>
      </c>
      <c r="G175" s="223" t="s">
        <v>1228</v>
      </c>
      <c r="I175" s="223">
        <v>3349.74</v>
      </c>
      <c r="AV175" s="22">
        <f t="shared" si="16"/>
        <v>3349.74</v>
      </c>
      <c r="AW175" s="223">
        <v>2686.43</v>
      </c>
      <c r="AX175" s="223">
        <v>336.2</v>
      </c>
      <c r="AY175" s="223">
        <v>327.11</v>
      </c>
      <c r="CK175" s="22">
        <f t="shared" si="12"/>
        <v>3349.74</v>
      </c>
      <c r="CL175" s="3">
        <f t="shared" si="13"/>
        <v>0</v>
      </c>
      <c r="CM175" s="222">
        <f t="shared" si="14"/>
        <v>12337</v>
      </c>
      <c r="CN175" s="3" t="str">
        <f t="shared" si="15"/>
        <v>برنامج دولى</v>
      </c>
    </row>
    <row r="176" spans="3:92" x14ac:dyDescent="0.25">
      <c r="C176" s="223" t="s">
        <v>657</v>
      </c>
      <c r="D176" s="224">
        <v>20374</v>
      </c>
      <c r="E176" s="221">
        <v>12338</v>
      </c>
      <c r="F176" s="250" t="s">
        <v>78</v>
      </c>
      <c r="G176" s="223" t="s">
        <v>1228</v>
      </c>
      <c r="I176" s="223">
        <v>2921.9</v>
      </c>
      <c r="AV176" s="22">
        <f t="shared" si="16"/>
        <v>2921.9</v>
      </c>
      <c r="AW176" s="223">
        <v>2270.79</v>
      </c>
      <c r="AX176" s="223">
        <v>287.7</v>
      </c>
      <c r="AY176" s="223">
        <v>363.41</v>
      </c>
      <c r="CK176" s="22">
        <f t="shared" si="12"/>
        <v>2921.8999999999996</v>
      </c>
      <c r="CL176" s="3">
        <f t="shared" si="13"/>
        <v>0</v>
      </c>
      <c r="CM176" s="222">
        <f t="shared" si="14"/>
        <v>12338</v>
      </c>
      <c r="CN176" s="3" t="str">
        <f t="shared" si="15"/>
        <v>برنامج دولى</v>
      </c>
    </row>
    <row r="177" spans="3:92" x14ac:dyDescent="0.25">
      <c r="C177" s="223" t="s">
        <v>657</v>
      </c>
      <c r="D177" s="224">
        <v>20375</v>
      </c>
      <c r="E177" s="221">
        <v>12339</v>
      </c>
      <c r="F177" s="250" t="s">
        <v>78</v>
      </c>
      <c r="G177" s="223" t="s">
        <v>1228</v>
      </c>
      <c r="I177" s="223">
        <v>1113.8800000000001</v>
      </c>
      <c r="AV177" s="22">
        <f t="shared" si="16"/>
        <v>1113.8800000000001</v>
      </c>
      <c r="AW177" s="223">
        <v>744.9</v>
      </c>
      <c r="AX177" s="223">
        <v>100.6</v>
      </c>
      <c r="AY177" s="223">
        <v>268.38</v>
      </c>
      <c r="CK177" s="22">
        <f t="shared" si="12"/>
        <v>1113.8800000000001</v>
      </c>
      <c r="CL177" s="3">
        <f t="shared" si="13"/>
        <v>0</v>
      </c>
      <c r="CM177" s="222">
        <f t="shared" si="14"/>
        <v>12339</v>
      </c>
      <c r="CN177" s="3" t="str">
        <f t="shared" si="15"/>
        <v>برنامج دولى</v>
      </c>
    </row>
    <row r="178" spans="3:92" x14ac:dyDescent="0.25">
      <c r="C178" s="223" t="s">
        <v>657</v>
      </c>
      <c r="D178" s="224">
        <v>20376</v>
      </c>
      <c r="E178" s="221">
        <v>12340</v>
      </c>
      <c r="F178" s="250" t="s">
        <v>78</v>
      </c>
      <c r="G178" s="223" t="s">
        <v>5227</v>
      </c>
      <c r="I178" s="223">
        <v>1289.75</v>
      </c>
      <c r="AV178" s="22">
        <f t="shared" si="16"/>
        <v>1289.75</v>
      </c>
      <c r="AW178" s="223">
        <v>862</v>
      </c>
      <c r="AX178" s="223">
        <f>7+110</f>
        <v>117</v>
      </c>
      <c r="AY178" s="223">
        <v>310.75</v>
      </c>
      <c r="CK178" s="22">
        <f t="shared" si="12"/>
        <v>1289.75</v>
      </c>
      <c r="CL178" s="3">
        <f t="shared" si="13"/>
        <v>0</v>
      </c>
      <c r="CM178" s="222">
        <f t="shared" si="14"/>
        <v>12340</v>
      </c>
      <c r="CN178" s="3" t="str">
        <f t="shared" si="15"/>
        <v>برنامج دولى</v>
      </c>
    </row>
    <row r="179" spans="3:92" x14ac:dyDescent="0.25">
      <c r="C179" s="223" t="s">
        <v>657</v>
      </c>
      <c r="D179" s="224">
        <v>20377</v>
      </c>
      <c r="E179" s="221">
        <v>12341</v>
      </c>
      <c r="F179" s="250" t="s">
        <v>78</v>
      </c>
      <c r="G179" s="223" t="s">
        <v>5228</v>
      </c>
      <c r="I179" s="223">
        <v>6331.5</v>
      </c>
      <c r="AV179" s="22">
        <f t="shared" si="16"/>
        <v>6331.5</v>
      </c>
      <c r="AW179" s="223">
        <v>4231</v>
      </c>
      <c r="AX179" s="223">
        <f>35+540</f>
        <v>575</v>
      </c>
      <c r="AY179" s="223">
        <v>1525.5</v>
      </c>
      <c r="CK179" s="22">
        <f t="shared" si="12"/>
        <v>6331.5</v>
      </c>
      <c r="CL179" s="3">
        <f t="shared" si="13"/>
        <v>0</v>
      </c>
      <c r="CM179" s="222">
        <f t="shared" si="14"/>
        <v>12341</v>
      </c>
      <c r="CN179" s="3" t="str">
        <f t="shared" si="15"/>
        <v>برنامج دولى</v>
      </c>
    </row>
    <row r="180" spans="3:92" x14ac:dyDescent="0.25">
      <c r="C180" s="223" t="s">
        <v>566</v>
      </c>
      <c r="D180" s="224">
        <v>20717</v>
      </c>
      <c r="E180" s="221">
        <v>12342</v>
      </c>
      <c r="F180" s="250" t="s">
        <v>130</v>
      </c>
      <c r="G180" s="223" t="s">
        <v>5229</v>
      </c>
      <c r="I180" s="223">
        <v>850</v>
      </c>
      <c r="AV180" s="22">
        <f t="shared" si="16"/>
        <v>850</v>
      </c>
      <c r="AW180" s="223">
        <v>759.4</v>
      </c>
      <c r="AX180" s="223">
        <v>90.6</v>
      </c>
      <c r="CK180" s="22">
        <f t="shared" si="12"/>
        <v>850</v>
      </c>
      <c r="CL180" s="3">
        <f t="shared" si="13"/>
        <v>0</v>
      </c>
      <c r="CM180" s="222">
        <f t="shared" si="14"/>
        <v>12342</v>
      </c>
      <c r="CN180" s="3" t="str">
        <f t="shared" si="15"/>
        <v>خ ت طب</v>
      </c>
    </row>
    <row r="181" spans="3:92" x14ac:dyDescent="0.25">
      <c r="C181" s="223" t="s">
        <v>566</v>
      </c>
      <c r="D181" s="224">
        <v>20718</v>
      </c>
      <c r="E181" s="221">
        <v>12343</v>
      </c>
      <c r="F181" s="250" t="s">
        <v>130</v>
      </c>
      <c r="G181" s="223" t="s">
        <v>5230</v>
      </c>
      <c r="I181" s="223">
        <v>77.38</v>
      </c>
      <c r="AV181" s="22">
        <f t="shared" si="16"/>
        <v>77.38</v>
      </c>
      <c r="AW181" s="223">
        <v>49.9</v>
      </c>
      <c r="AX181" s="223">
        <v>5.54</v>
      </c>
      <c r="AY181" s="223">
        <v>18.64</v>
      </c>
      <c r="AZ181" s="223">
        <v>3.3</v>
      </c>
      <c r="CK181" s="22">
        <f t="shared" si="12"/>
        <v>77.38</v>
      </c>
      <c r="CL181" s="3">
        <f t="shared" si="13"/>
        <v>0</v>
      </c>
      <c r="CM181" s="222">
        <f t="shared" si="14"/>
        <v>12343</v>
      </c>
      <c r="CN181" s="3" t="str">
        <f t="shared" si="15"/>
        <v>خ ت طب</v>
      </c>
    </row>
    <row r="182" spans="3:92" x14ac:dyDescent="0.25">
      <c r="C182" s="223" t="s">
        <v>555</v>
      </c>
      <c r="D182" s="224">
        <v>19262</v>
      </c>
      <c r="E182" s="221">
        <v>12344</v>
      </c>
      <c r="F182" s="250" t="s">
        <v>123</v>
      </c>
      <c r="G182" s="223" t="s">
        <v>5231</v>
      </c>
      <c r="I182" s="223">
        <v>1407</v>
      </c>
      <c r="AV182" s="22">
        <f t="shared" si="16"/>
        <v>1407</v>
      </c>
      <c r="AW182" s="223">
        <v>881.2</v>
      </c>
      <c r="AX182" s="223">
        <v>126.8</v>
      </c>
      <c r="AY182" s="223">
        <v>339</v>
      </c>
      <c r="AZ182" s="223">
        <v>60</v>
      </c>
      <c r="CK182" s="22">
        <f t="shared" si="12"/>
        <v>1407</v>
      </c>
      <c r="CL182" s="3">
        <f t="shared" si="13"/>
        <v>0</v>
      </c>
      <c r="CM182" s="222">
        <f t="shared" si="14"/>
        <v>12344</v>
      </c>
      <c r="CN182" s="3" t="str">
        <f t="shared" si="15"/>
        <v>خ ت اسنان</v>
      </c>
    </row>
    <row r="183" spans="3:92" x14ac:dyDescent="0.25">
      <c r="C183" s="223" t="s">
        <v>555</v>
      </c>
      <c r="D183" s="224">
        <v>20430</v>
      </c>
      <c r="E183" s="221">
        <v>12345</v>
      </c>
      <c r="F183" s="250" t="s">
        <v>123</v>
      </c>
      <c r="G183" s="223" t="s">
        <v>5232</v>
      </c>
      <c r="I183" s="223">
        <v>7693.06</v>
      </c>
      <c r="AV183" s="22">
        <f t="shared" si="16"/>
        <v>7693.06</v>
      </c>
      <c r="AW183" s="223">
        <v>5051.3900000000003</v>
      </c>
      <c r="AX183" s="223">
        <v>698.48</v>
      </c>
      <c r="AY183" s="223">
        <v>1607.59</v>
      </c>
      <c r="AZ183" s="223">
        <v>335.6</v>
      </c>
      <c r="CK183" s="22">
        <f t="shared" si="12"/>
        <v>7693.0600000000013</v>
      </c>
      <c r="CL183" s="3">
        <f t="shared" si="13"/>
        <v>0</v>
      </c>
      <c r="CM183" s="222">
        <f t="shared" si="14"/>
        <v>12345</v>
      </c>
      <c r="CN183" s="3" t="str">
        <f t="shared" si="15"/>
        <v>خ ت اسنان</v>
      </c>
    </row>
    <row r="184" spans="3:92" x14ac:dyDescent="0.25">
      <c r="C184" s="223" t="s">
        <v>555</v>
      </c>
      <c r="D184" s="224">
        <v>20431</v>
      </c>
      <c r="E184" s="221">
        <v>12346</v>
      </c>
      <c r="F184" s="250" t="s">
        <v>123</v>
      </c>
      <c r="G184" s="223" t="s">
        <v>5232</v>
      </c>
      <c r="I184" s="223">
        <v>3958.55</v>
      </c>
      <c r="AV184" s="22">
        <f t="shared" si="16"/>
        <v>3958.55</v>
      </c>
      <c r="AW184" s="223">
        <v>2522.56</v>
      </c>
      <c r="AX184" s="223">
        <v>352.47</v>
      </c>
      <c r="AY184" s="223">
        <v>913.48</v>
      </c>
      <c r="AZ184" s="223">
        <v>170.04</v>
      </c>
      <c r="CK184" s="22">
        <f t="shared" si="12"/>
        <v>3958.5499999999997</v>
      </c>
      <c r="CL184" s="3">
        <f t="shared" si="13"/>
        <v>0</v>
      </c>
      <c r="CM184" s="222">
        <f t="shared" si="14"/>
        <v>12346</v>
      </c>
      <c r="CN184" s="3" t="str">
        <f t="shared" si="15"/>
        <v>خ ت اسنان</v>
      </c>
    </row>
    <row r="185" spans="3:92" x14ac:dyDescent="0.25">
      <c r="C185" s="223" t="s">
        <v>555</v>
      </c>
      <c r="D185" s="224">
        <v>20433</v>
      </c>
      <c r="E185" s="221">
        <v>12347</v>
      </c>
      <c r="F185" s="250" t="s">
        <v>123</v>
      </c>
      <c r="G185" s="223" t="s">
        <v>5232</v>
      </c>
      <c r="I185" s="223">
        <v>193.97</v>
      </c>
      <c r="AV185" s="22">
        <f t="shared" si="16"/>
        <v>193.97</v>
      </c>
      <c r="AW185" s="223">
        <v>122.4</v>
      </c>
      <c r="AX185" s="223">
        <v>16.54</v>
      </c>
      <c r="AY185" s="223">
        <v>46.77</v>
      </c>
      <c r="AZ185" s="223">
        <v>8.26</v>
      </c>
      <c r="CK185" s="22">
        <f t="shared" si="12"/>
        <v>193.97</v>
      </c>
      <c r="CL185" s="3">
        <f t="shared" si="13"/>
        <v>0</v>
      </c>
      <c r="CM185" s="222">
        <f t="shared" si="14"/>
        <v>12347</v>
      </c>
      <c r="CN185" s="3" t="str">
        <f t="shared" si="15"/>
        <v>خ ت اسنان</v>
      </c>
    </row>
    <row r="186" spans="3:92" x14ac:dyDescent="0.25">
      <c r="C186" s="223" t="s">
        <v>555</v>
      </c>
      <c r="D186" s="224">
        <v>20432</v>
      </c>
      <c r="E186" s="221">
        <v>12348</v>
      </c>
      <c r="F186" s="250" t="s">
        <v>123</v>
      </c>
      <c r="G186" s="223" t="s">
        <v>5232</v>
      </c>
      <c r="I186" s="223">
        <v>98.02</v>
      </c>
      <c r="AV186" s="22">
        <f t="shared" si="16"/>
        <v>98.02</v>
      </c>
      <c r="AW186" s="223">
        <v>61.71</v>
      </c>
      <c r="AX186" s="223">
        <v>8.51</v>
      </c>
      <c r="AY186" s="223">
        <v>23.62</v>
      </c>
      <c r="AZ186" s="223">
        <v>4.18</v>
      </c>
      <c r="CK186" s="22">
        <f t="shared" si="12"/>
        <v>98.02000000000001</v>
      </c>
      <c r="CL186" s="3">
        <f t="shared" si="13"/>
        <v>0</v>
      </c>
      <c r="CM186" s="222">
        <f t="shared" si="14"/>
        <v>12348</v>
      </c>
      <c r="CN186" s="3" t="str">
        <f t="shared" si="15"/>
        <v>خ ت اسنان</v>
      </c>
    </row>
    <row r="187" spans="3:92" x14ac:dyDescent="0.25">
      <c r="C187" s="223" t="s">
        <v>555</v>
      </c>
      <c r="D187" s="224">
        <v>20434</v>
      </c>
      <c r="E187" s="221">
        <v>12349</v>
      </c>
      <c r="F187" s="250" t="s">
        <v>123</v>
      </c>
      <c r="G187" s="223" t="s">
        <v>5232</v>
      </c>
      <c r="I187" s="223">
        <v>55.8</v>
      </c>
      <c r="AV187" s="22">
        <f t="shared" si="16"/>
        <v>55.8</v>
      </c>
      <c r="AW187" s="223">
        <v>47.38</v>
      </c>
      <c r="AX187" s="223">
        <v>5.63</v>
      </c>
      <c r="AZ187" s="223">
        <v>2.79</v>
      </c>
      <c r="CK187" s="22">
        <f t="shared" si="12"/>
        <v>55.800000000000004</v>
      </c>
      <c r="CL187" s="3">
        <f t="shared" si="13"/>
        <v>0</v>
      </c>
      <c r="CM187" s="222">
        <f t="shared" si="14"/>
        <v>12349</v>
      </c>
      <c r="CN187" s="3" t="str">
        <f t="shared" si="15"/>
        <v>خ ت اسنان</v>
      </c>
    </row>
    <row r="188" spans="3:92" x14ac:dyDescent="0.25">
      <c r="C188" s="223" t="s">
        <v>555</v>
      </c>
      <c r="D188" s="224">
        <v>19246</v>
      </c>
      <c r="E188" s="221">
        <v>12350</v>
      </c>
      <c r="F188" s="250" t="s">
        <v>123</v>
      </c>
      <c r="G188" s="223" t="s">
        <v>4793</v>
      </c>
      <c r="I188" s="223">
        <v>1172.5</v>
      </c>
      <c r="AV188" s="22">
        <f t="shared" si="16"/>
        <v>1172.5</v>
      </c>
      <c r="AW188" s="223">
        <v>734.1</v>
      </c>
      <c r="AX188" s="223">
        <v>105.9</v>
      </c>
      <c r="AY188" s="223">
        <v>282.5</v>
      </c>
      <c r="AZ188" s="223">
        <v>50</v>
      </c>
      <c r="CK188" s="22">
        <f t="shared" si="12"/>
        <v>1172.5</v>
      </c>
      <c r="CL188" s="3">
        <f t="shared" si="13"/>
        <v>0</v>
      </c>
      <c r="CM188" s="222">
        <f t="shared" si="14"/>
        <v>12350</v>
      </c>
      <c r="CN188" s="3" t="str">
        <f t="shared" si="15"/>
        <v>خ ت اسنان</v>
      </c>
    </row>
    <row r="189" spans="3:92" x14ac:dyDescent="0.25">
      <c r="C189" s="223" t="s">
        <v>555</v>
      </c>
      <c r="D189" s="224">
        <v>20436</v>
      </c>
      <c r="E189" s="221">
        <v>12351</v>
      </c>
      <c r="F189" s="250" t="s">
        <v>123</v>
      </c>
      <c r="G189" s="223" t="s">
        <v>5233</v>
      </c>
      <c r="I189" s="223">
        <v>1172.5</v>
      </c>
      <c r="AV189" s="22">
        <f t="shared" si="16"/>
        <v>1172.5</v>
      </c>
      <c r="AW189" s="223">
        <v>734.8</v>
      </c>
      <c r="AX189" s="223">
        <v>105.2</v>
      </c>
      <c r="AY189" s="223">
        <v>282.5</v>
      </c>
      <c r="AZ189" s="223">
        <v>50</v>
      </c>
      <c r="CK189" s="22">
        <f t="shared" si="12"/>
        <v>1172.5</v>
      </c>
      <c r="CL189" s="3">
        <f t="shared" si="13"/>
        <v>0</v>
      </c>
      <c r="CM189" s="222">
        <f t="shared" si="14"/>
        <v>12351</v>
      </c>
      <c r="CN189" s="3" t="str">
        <f t="shared" si="15"/>
        <v>خ ت اسنان</v>
      </c>
    </row>
    <row r="190" spans="3:92" x14ac:dyDescent="0.25">
      <c r="C190" s="223" t="s">
        <v>555</v>
      </c>
      <c r="D190" s="224">
        <v>19864</v>
      </c>
      <c r="E190" s="221">
        <v>12352</v>
      </c>
      <c r="F190" s="250" t="s">
        <v>123</v>
      </c>
      <c r="G190" s="223" t="s">
        <v>5233</v>
      </c>
      <c r="I190" s="223">
        <v>1172.5</v>
      </c>
      <c r="AV190" s="22">
        <f t="shared" si="16"/>
        <v>1172.5</v>
      </c>
      <c r="AW190" s="223">
        <v>734.8</v>
      </c>
      <c r="AX190" s="223">
        <v>105.2</v>
      </c>
      <c r="AY190" s="223">
        <v>282.5</v>
      </c>
      <c r="AZ190" s="223">
        <v>50</v>
      </c>
      <c r="CK190" s="22">
        <f t="shared" si="12"/>
        <v>1172.5</v>
      </c>
      <c r="CL190" s="3">
        <f t="shared" si="13"/>
        <v>0</v>
      </c>
      <c r="CM190" s="222">
        <f t="shared" si="14"/>
        <v>12352</v>
      </c>
      <c r="CN190" s="3" t="str">
        <f t="shared" si="15"/>
        <v>خ ت اسنان</v>
      </c>
    </row>
    <row r="191" spans="3:92" x14ac:dyDescent="0.25">
      <c r="C191" s="223" t="s">
        <v>555</v>
      </c>
      <c r="D191" s="224">
        <v>20435</v>
      </c>
      <c r="E191" s="221">
        <v>12353</v>
      </c>
      <c r="F191" s="250" t="s">
        <v>123</v>
      </c>
      <c r="G191" s="223" t="s">
        <v>5233</v>
      </c>
      <c r="I191" s="223">
        <v>4472.5</v>
      </c>
      <c r="AV191" s="22">
        <f t="shared" si="16"/>
        <v>4472.5</v>
      </c>
      <c r="AW191" s="223">
        <v>3519.8</v>
      </c>
      <c r="AX191" s="223">
        <v>455.2</v>
      </c>
      <c r="AY191" s="223">
        <v>282.5</v>
      </c>
      <c r="AZ191" s="223">
        <v>215</v>
      </c>
      <c r="CK191" s="22">
        <f t="shared" si="12"/>
        <v>4472.5</v>
      </c>
      <c r="CL191" s="3">
        <f t="shared" si="13"/>
        <v>0</v>
      </c>
      <c r="CM191" s="222">
        <f t="shared" si="14"/>
        <v>12353</v>
      </c>
      <c r="CN191" s="3" t="str">
        <f t="shared" si="15"/>
        <v>خ ت اسنان</v>
      </c>
    </row>
    <row r="192" spans="3:92" x14ac:dyDescent="0.25">
      <c r="C192" s="223" t="s">
        <v>555</v>
      </c>
      <c r="D192" s="224">
        <v>19869</v>
      </c>
      <c r="E192" s="221">
        <v>12354</v>
      </c>
      <c r="F192" s="250" t="s">
        <v>123</v>
      </c>
      <c r="G192" s="223" t="s">
        <v>3321</v>
      </c>
      <c r="I192" s="223">
        <v>437.45</v>
      </c>
      <c r="AV192" s="22">
        <f t="shared" si="16"/>
        <v>437.45</v>
      </c>
      <c r="AW192" s="223">
        <v>316.83999999999997</v>
      </c>
      <c r="AX192" s="223">
        <v>41.22</v>
      </c>
      <c r="AY192" s="223">
        <v>59.33</v>
      </c>
      <c r="AZ192" s="223">
        <v>20.059999999999999</v>
      </c>
      <c r="CK192" s="22">
        <f t="shared" si="12"/>
        <v>437.44999999999993</v>
      </c>
      <c r="CL192" s="3">
        <f t="shared" si="13"/>
        <v>0</v>
      </c>
      <c r="CM192" s="222">
        <f t="shared" si="14"/>
        <v>12354</v>
      </c>
      <c r="CN192" s="3" t="str">
        <f t="shared" si="15"/>
        <v>خ ت اسنان</v>
      </c>
    </row>
    <row r="193" spans="1:93" x14ac:dyDescent="0.25">
      <c r="C193" s="223" t="s">
        <v>555</v>
      </c>
      <c r="D193" s="224">
        <v>19872</v>
      </c>
      <c r="E193" s="221">
        <v>12355</v>
      </c>
      <c r="F193" s="250" t="s">
        <v>123</v>
      </c>
      <c r="G193" s="223" t="s">
        <v>5234</v>
      </c>
      <c r="I193" s="223">
        <v>293.12</v>
      </c>
      <c r="AV193" s="22">
        <f t="shared" si="16"/>
        <v>293.12</v>
      </c>
      <c r="AW193" s="223">
        <v>183.95</v>
      </c>
      <c r="AX193" s="223">
        <v>26.05</v>
      </c>
      <c r="AY193" s="223">
        <v>70.62</v>
      </c>
      <c r="AZ193" s="223">
        <v>12.5</v>
      </c>
      <c r="CK193" s="22">
        <f t="shared" si="12"/>
        <v>293.12</v>
      </c>
      <c r="CL193" s="3">
        <f t="shared" si="13"/>
        <v>0</v>
      </c>
      <c r="CM193" s="222">
        <f t="shared" si="14"/>
        <v>12355</v>
      </c>
      <c r="CN193" s="3" t="str">
        <f t="shared" si="15"/>
        <v>خ ت اسنان</v>
      </c>
    </row>
    <row r="194" spans="1:93" x14ac:dyDescent="0.25">
      <c r="C194" s="223" t="s">
        <v>555</v>
      </c>
      <c r="D194" s="224">
        <v>19867</v>
      </c>
      <c r="E194" s="221">
        <v>12356</v>
      </c>
      <c r="F194" s="250" t="s">
        <v>123</v>
      </c>
      <c r="G194" s="223" t="s">
        <v>3321</v>
      </c>
      <c r="I194" s="223">
        <v>437.45</v>
      </c>
      <c r="AV194" s="22">
        <f t="shared" si="16"/>
        <v>437.45</v>
      </c>
      <c r="AW194" s="223">
        <v>316.83999999999997</v>
      </c>
      <c r="AX194" s="223">
        <v>41.22</v>
      </c>
      <c r="AY194" s="223">
        <v>59.33</v>
      </c>
      <c r="AZ194" s="223">
        <v>20.059999999999999</v>
      </c>
      <c r="CK194" s="22">
        <f t="shared" si="12"/>
        <v>437.44999999999993</v>
      </c>
      <c r="CL194" s="3">
        <f t="shared" si="13"/>
        <v>0</v>
      </c>
      <c r="CM194" s="222">
        <f t="shared" si="14"/>
        <v>12356</v>
      </c>
      <c r="CN194" s="3" t="str">
        <f t="shared" si="15"/>
        <v>خ ت اسنان</v>
      </c>
    </row>
    <row r="195" spans="1:93" x14ac:dyDescent="0.25">
      <c r="C195" s="223" t="s">
        <v>555</v>
      </c>
      <c r="D195" s="224">
        <v>19863</v>
      </c>
      <c r="E195" s="221">
        <v>12357</v>
      </c>
      <c r="F195" s="250" t="s">
        <v>123</v>
      </c>
      <c r="G195" s="223" t="str">
        <f>+G191</f>
        <v xml:space="preserve">مكافاه قسم التحصيل </v>
      </c>
      <c r="I195" s="223">
        <v>4472.5</v>
      </c>
      <c r="AV195" s="22">
        <f t="shared" si="16"/>
        <v>4472.5</v>
      </c>
      <c r="AW195" s="223">
        <v>3519.8</v>
      </c>
      <c r="AX195" s="223">
        <v>455.2</v>
      </c>
      <c r="AY195" s="223">
        <v>282.5</v>
      </c>
      <c r="AZ195" s="223">
        <v>215</v>
      </c>
      <c r="CK195" s="22">
        <f t="shared" si="12"/>
        <v>4472.5</v>
      </c>
      <c r="CL195" s="3">
        <f t="shared" si="13"/>
        <v>0</v>
      </c>
      <c r="CM195" s="222">
        <f t="shared" si="14"/>
        <v>12357</v>
      </c>
      <c r="CN195" s="3" t="str">
        <f t="shared" si="15"/>
        <v>خ ت اسنان</v>
      </c>
    </row>
    <row r="196" spans="1:93" x14ac:dyDescent="0.25">
      <c r="C196" s="223" t="s">
        <v>555</v>
      </c>
      <c r="D196" s="224">
        <v>19261</v>
      </c>
      <c r="E196" s="221">
        <v>12358</v>
      </c>
      <c r="F196" s="250" t="s">
        <v>123</v>
      </c>
      <c r="G196" s="223" t="s">
        <v>5235</v>
      </c>
      <c r="I196" s="223">
        <v>293.12</v>
      </c>
      <c r="AV196" s="22">
        <f t="shared" si="16"/>
        <v>293.12</v>
      </c>
      <c r="AW196" s="223">
        <v>183.95</v>
      </c>
      <c r="AX196" s="223">
        <v>26.05</v>
      </c>
      <c r="AY196" s="223">
        <v>70.62</v>
      </c>
      <c r="AZ196" s="223">
        <v>12.5</v>
      </c>
      <c r="CK196" s="22">
        <f t="shared" ref="CK196:CK206" si="17">SUM(AW196:CJ196)</f>
        <v>293.12</v>
      </c>
      <c r="CL196" s="3">
        <f t="shared" ref="CL196:CL206" si="18">+CK196-AV196</f>
        <v>0</v>
      </c>
      <c r="CM196" s="222">
        <f t="shared" ref="CM196:CM206" si="19">+E196</f>
        <v>12358</v>
      </c>
      <c r="CN196" s="3" t="str">
        <f t="shared" ref="CN196:CN206" si="20">+F196</f>
        <v>خ ت اسنان</v>
      </c>
    </row>
    <row r="197" spans="1:93" x14ac:dyDescent="0.25">
      <c r="C197" s="223" t="s">
        <v>555</v>
      </c>
      <c r="D197" s="224">
        <v>19547</v>
      </c>
      <c r="E197" s="221">
        <v>12359</v>
      </c>
      <c r="F197" s="250" t="s">
        <v>123</v>
      </c>
      <c r="G197" s="223" t="s">
        <v>5236</v>
      </c>
      <c r="I197" s="223">
        <v>26000</v>
      </c>
      <c r="AV197" s="22">
        <f t="shared" si="16"/>
        <v>26000</v>
      </c>
      <c r="AW197" s="223">
        <v>21893.599999999999</v>
      </c>
      <c r="AX197" s="223">
        <v>2806.4</v>
      </c>
      <c r="AZ197" s="223">
        <v>1300</v>
      </c>
      <c r="CK197" s="22">
        <f t="shared" si="17"/>
        <v>26000</v>
      </c>
      <c r="CL197" s="3">
        <f t="shared" si="18"/>
        <v>0</v>
      </c>
      <c r="CM197" s="222">
        <f t="shared" si="19"/>
        <v>12359</v>
      </c>
      <c r="CN197" s="3" t="str">
        <f t="shared" si="20"/>
        <v>خ ت اسنان</v>
      </c>
    </row>
    <row r="198" spans="1:93" x14ac:dyDescent="0.25">
      <c r="C198" s="223" t="s">
        <v>555</v>
      </c>
      <c r="D198" s="224">
        <v>19868</v>
      </c>
      <c r="E198" s="221">
        <v>12360</v>
      </c>
      <c r="F198" s="250" t="s">
        <v>123</v>
      </c>
      <c r="G198" s="223" t="s">
        <v>5237</v>
      </c>
      <c r="I198" s="223">
        <v>1407</v>
      </c>
      <c r="AV198" s="22">
        <f t="shared" si="16"/>
        <v>1407</v>
      </c>
      <c r="AW198" s="223">
        <v>881.2</v>
      </c>
      <c r="AX198" s="223">
        <v>126.8</v>
      </c>
      <c r="AY198" s="223">
        <v>339</v>
      </c>
      <c r="AZ198" s="223">
        <v>60</v>
      </c>
      <c r="CK198" s="22">
        <f t="shared" si="17"/>
        <v>1407</v>
      </c>
      <c r="CL198" s="3">
        <f t="shared" si="18"/>
        <v>0</v>
      </c>
      <c r="CM198" s="222">
        <f t="shared" si="19"/>
        <v>12360</v>
      </c>
      <c r="CN198" s="3" t="str">
        <f t="shared" si="20"/>
        <v>خ ت اسنان</v>
      </c>
    </row>
    <row r="199" spans="1:93" x14ac:dyDescent="0.25">
      <c r="C199" s="223" t="s">
        <v>555</v>
      </c>
      <c r="D199" s="224">
        <v>19871</v>
      </c>
      <c r="E199" s="221">
        <v>12361</v>
      </c>
      <c r="F199" s="250" t="s">
        <v>123</v>
      </c>
      <c r="G199" s="223" t="str">
        <f>+G188</f>
        <v>مكافاه انتداب محمد سعيد</v>
      </c>
      <c r="I199" s="223">
        <v>1000</v>
      </c>
      <c r="AV199" s="22">
        <f t="shared" si="16"/>
        <v>1000</v>
      </c>
      <c r="AW199" s="223">
        <v>843.35</v>
      </c>
      <c r="AX199" s="223">
        <v>106.65</v>
      </c>
      <c r="AZ199" s="223">
        <v>50</v>
      </c>
      <c r="CK199" s="22">
        <f t="shared" si="17"/>
        <v>1000</v>
      </c>
      <c r="CL199" s="3">
        <f t="shared" si="18"/>
        <v>0</v>
      </c>
      <c r="CM199" s="222">
        <f t="shared" si="19"/>
        <v>12361</v>
      </c>
      <c r="CN199" s="3" t="str">
        <f t="shared" si="20"/>
        <v>خ ت اسنان</v>
      </c>
    </row>
    <row r="200" spans="1:93" x14ac:dyDescent="0.25">
      <c r="C200" s="223" t="s">
        <v>557</v>
      </c>
      <c r="D200" s="224">
        <v>21149</v>
      </c>
      <c r="E200" s="221">
        <v>12362</v>
      </c>
      <c r="F200" s="250" t="s">
        <v>121</v>
      </c>
      <c r="G200" s="223" t="s">
        <v>5238</v>
      </c>
      <c r="I200" s="223">
        <v>10000</v>
      </c>
      <c r="AV200" s="22">
        <f t="shared" si="16"/>
        <v>10000</v>
      </c>
      <c r="AW200" s="223">
        <v>8920.4</v>
      </c>
      <c r="AX200" s="223">
        <v>1079.5999999999999</v>
      </c>
      <c r="CK200" s="22">
        <f t="shared" si="17"/>
        <v>10000</v>
      </c>
      <c r="CL200" s="3">
        <f t="shared" si="18"/>
        <v>0</v>
      </c>
      <c r="CM200" s="222">
        <f t="shared" si="19"/>
        <v>12362</v>
      </c>
      <c r="CN200" s="3" t="str">
        <f t="shared" si="20"/>
        <v>ماليزى اسنان</v>
      </c>
    </row>
    <row r="201" spans="1:93" x14ac:dyDescent="0.25">
      <c r="C201" s="223" t="s">
        <v>557</v>
      </c>
      <c r="D201" s="224">
        <v>21151</v>
      </c>
      <c r="E201" s="221">
        <v>12363</v>
      </c>
      <c r="F201" s="250" t="s">
        <v>121</v>
      </c>
      <c r="G201" s="223" t="s">
        <v>5238</v>
      </c>
      <c r="I201" s="223">
        <v>69000</v>
      </c>
      <c r="AV201" s="22">
        <f t="shared" si="16"/>
        <v>69000</v>
      </c>
      <c r="AW201" s="223">
        <v>61645</v>
      </c>
      <c r="AX201" s="223">
        <v>7355</v>
      </c>
      <c r="CK201" s="22">
        <f t="shared" si="17"/>
        <v>69000</v>
      </c>
      <c r="CL201" s="3">
        <f t="shared" si="18"/>
        <v>0</v>
      </c>
      <c r="CM201" s="222">
        <f t="shared" si="19"/>
        <v>12363</v>
      </c>
      <c r="CN201" s="3" t="str">
        <f t="shared" si="20"/>
        <v>ماليزى اسنان</v>
      </c>
    </row>
    <row r="202" spans="1:93" x14ac:dyDescent="0.25">
      <c r="C202" s="223" t="s">
        <v>557</v>
      </c>
      <c r="D202" s="224">
        <v>21150</v>
      </c>
      <c r="E202" s="221">
        <v>12364</v>
      </c>
      <c r="F202" s="250" t="s">
        <v>121</v>
      </c>
      <c r="G202" s="223" t="s">
        <v>5239</v>
      </c>
      <c r="I202" s="223">
        <v>10035</v>
      </c>
      <c r="AV202" s="22">
        <f t="shared" si="16"/>
        <v>10035</v>
      </c>
      <c r="AW202" s="223">
        <v>7378.55</v>
      </c>
      <c r="AX202" s="223">
        <v>961.45</v>
      </c>
      <c r="AY202" s="223">
        <v>1695</v>
      </c>
      <c r="CK202" s="22">
        <f t="shared" si="17"/>
        <v>10035</v>
      </c>
      <c r="CL202" s="3">
        <f t="shared" si="18"/>
        <v>0</v>
      </c>
      <c r="CM202" s="222">
        <f t="shared" si="19"/>
        <v>12364</v>
      </c>
      <c r="CN202" s="3" t="str">
        <f t="shared" si="20"/>
        <v>ماليزى اسنان</v>
      </c>
    </row>
    <row r="203" spans="1:93" x14ac:dyDescent="0.25">
      <c r="C203" s="223" t="s">
        <v>557</v>
      </c>
      <c r="D203" s="224">
        <v>21148</v>
      </c>
      <c r="E203" s="221">
        <v>12365</v>
      </c>
      <c r="F203" s="250" t="s">
        <v>121</v>
      </c>
      <c r="G203" s="223" t="s">
        <v>5239</v>
      </c>
      <c r="I203" s="223">
        <v>16801.48</v>
      </c>
      <c r="AV203" s="22">
        <f t="shared" si="16"/>
        <v>16801.48</v>
      </c>
      <c r="AW203" s="223">
        <v>12249.08</v>
      </c>
      <c r="AX203" s="223">
        <v>1602.15</v>
      </c>
      <c r="AY203" s="223">
        <v>2950.25</v>
      </c>
      <c r="CK203" s="22">
        <f t="shared" si="17"/>
        <v>16801.48</v>
      </c>
      <c r="CL203" s="3">
        <f t="shared" si="18"/>
        <v>0</v>
      </c>
      <c r="CM203" s="222">
        <f t="shared" si="19"/>
        <v>12365</v>
      </c>
      <c r="CN203" s="3" t="str">
        <f t="shared" si="20"/>
        <v>ماليزى اسنان</v>
      </c>
    </row>
    <row r="204" spans="1:93" x14ac:dyDescent="0.25">
      <c r="C204" s="223" t="s">
        <v>557</v>
      </c>
      <c r="D204" s="224">
        <v>21150</v>
      </c>
      <c r="E204" s="221">
        <v>12366</v>
      </c>
      <c r="F204" s="250" t="s">
        <v>121</v>
      </c>
      <c r="G204" s="223" t="s">
        <v>5239</v>
      </c>
      <c r="I204" s="223">
        <v>6000</v>
      </c>
      <c r="AV204" s="22">
        <f t="shared" si="16"/>
        <v>6000</v>
      </c>
      <c r="AW204" s="223">
        <v>5355.7</v>
      </c>
      <c r="AX204" s="223">
        <v>644.29999999999995</v>
      </c>
      <c r="CK204" s="22">
        <f t="shared" si="17"/>
        <v>6000</v>
      </c>
      <c r="CL204" s="3">
        <f t="shared" si="18"/>
        <v>0</v>
      </c>
      <c r="CM204" s="222">
        <f t="shared" si="19"/>
        <v>12366</v>
      </c>
      <c r="CN204" s="3" t="str">
        <f t="shared" si="20"/>
        <v>ماليزى اسنان</v>
      </c>
    </row>
    <row r="205" spans="1:93" x14ac:dyDescent="0.25">
      <c r="C205" s="223" t="s">
        <v>557</v>
      </c>
      <c r="D205" s="224">
        <v>21146</v>
      </c>
      <c r="E205" s="221">
        <v>12367</v>
      </c>
      <c r="F205" s="250" t="s">
        <v>121</v>
      </c>
      <c r="G205" s="223" t="s">
        <v>5240</v>
      </c>
      <c r="I205" s="223">
        <v>28999.4</v>
      </c>
      <c r="AV205" s="22">
        <f t="shared" si="16"/>
        <v>28999.4</v>
      </c>
      <c r="AW205" s="223">
        <v>20387.849999999999</v>
      </c>
      <c r="AX205" s="223">
        <v>2708.7</v>
      </c>
      <c r="AY205" s="223">
        <v>5902.85</v>
      </c>
      <c r="CK205" s="22">
        <f t="shared" si="17"/>
        <v>28999.4</v>
      </c>
      <c r="CL205" s="3">
        <f t="shared" si="18"/>
        <v>0</v>
      </c>
      <c r="CM205" s="222">
        <f t="shared" si="19"/>
        <v>12367</v>
      </c>
      <c r="CN205" s="3" t="str">
        <f t="shared" si="20"/>
        <v>ماليزى اسنان</v>
      </c>
    </row>
    <row r="206" spans="1:93" x14ac:dyDescent="0.25">
      <c r="C206" s="223" t="s">
        <v>557</v>
      </c>
      <c r="D206" s="224">
        <v>21144</v>
      </c>
      <c r="E206" s="221">
        <v>12368</v>
      </c>
      <c r="F206" s="250" t="s">
        <v>121</v>
      </c>
      <c r="G206" s="223" t="s">
        <v>5241</v>
      </c>
      <c r="I206" s="223">
        <v>28527.02</v>
      </c>
      <c r="AV206" s="22">
        <f t="shared" si="16"/>
        <v>28527.02</v>
      </c>
      <c r="AW206" s="223">
        <v>19108.02</v>
      </c>
      <c r="AX206" s="223">
        <v>2594.75</v>
      </c>
      <c r="AY206" s="223">
        <v>6824.25</v>
      </c>
      <c r="CK206" s="22">
        <f t="shared" si="17"/>
        <v>28527.02</v>
      </c>
      <c r="CL206" s="3">
        <f t="shared" si="18"/>
        <v>0</v>
      </c>
      <c r="CM206" s="222">
        <f t="shared" si="19"/>
        <v>12368</v>
      </c>
      <c r="CN206" s="3" t="str">
        <f t="shared" si="20"/>
        <v>ماليزى اسنان</v>
      </c>
    </row>
    <row r="207" spans="1:93" s="228" customFormat="1" x14ac:dyDescent="0.25">
      <c r="A207" s="235"/>
      <c r="D207" s="227"/>
      <c r="E207" s="227"/>
      <c r="F207" s="253"/>
      <c r="G207" s="228" t="s">
        <v>5147</v>
      </c>
      <c r="I207" s="229">
        <f>SUM(I4:I206)</f>
        <v>1528465.4699999995</v>
      </c>
      <c r="J207" s="229">
        <f t="shared" ref="J207:BZ207" si="21">SUM(J4:J206)</f>
        <v>941318.1</v>
      </c>
      <c r="K207" s="229">
        <f t="shared" si="21"/>
        <v>0</v>
      </c>
      <c r="L207" s="229">
        <f t="shared" si="21"/>
        <v>1023.76</v>
      </c>
      <c r="M207" s="229">
        <f t="shared" si="21"/>
        <v>731648.99</v>
      </c>
      <c r="N207" s="229">
        <f t="shared" si="21"/>
        <v>731648.99</v>
      </c>
      <c r="O207" s="229">
        <f t="shared" si="21"/>
        <v>731648.99</v>
      </c>
      <c r="P207" s="229">
        <f t="shared" si="21"/>
        <v>0</v>
      </c>
      <c r="Q207" s="229">
        <f t="shared" si="21"/>
        <v>0</v>
      </c>
      <c r="R207" s="229">
        <f t="shared" si="21"/>
        <v>0</v>
      </c>
      <c r="S207" s="229">
        <f t="shared" si="21"/>
        <v>0</v>
      </c>
      <c r="T207" s="229">
        <f t="shared" si="21"/>
        <v>0</v>
      </c>
      <c r="U207" s="229">
        <f t="shared" si="21"/>
        <v>1249230.7999999998</v>
      </c>
      <c r="V207" s="229">
        <f t="shared" si="21"/>
        <v>0</v>
      </c>
      <c r="W207" s="229">
        <f t="shared" si="21"/>
        <v>0</v>
      </c>
      <c r="X207" s="229">
        <f t="shared" si="21"/>
        <v>0</v>
      </c>
      <c r="Y207" s="229">
        <f t="shared" si="21"/>
        <v>0</v>
      </c>
      <c r="Z207" s="229">
        <f t="shared" si="21"/>
        <v>0</v>
      </c>
      <c r="AA207" s="229"/>
      <c r="AB207" s="229">
        <f t="shared" si="21"/>
        <v>0</v>
      </c>
      <c r="AC207" s="229">
        <f t="shared" si="21"/>
        <v>0</v>
      </c>
      <c r="AD207" s="229">
        <f t="shared" si="21"/>
        <v>0</v>
      </c>
      <c r="AE207" s="229">
        <f t="shared" si="21"/>
        <v>0</v>
      </c>
      <c r="AF207" s="229">
        <f t="shared" si="21"/>
        <v>10642.26</v>
      </c>
      <c r="AG207" s="229"/>
      <c r="AH207" s="229">
        <f t="shared" si="21"/>
        <v>0</v>
      </c>
      <c r="AI207" s="229">
        <f t="shared" si="21"/>
        <v>0</v>
      </c>
      <c r="AJ207" s="229">
        <f t="shared" si="21"/>
        <v>0</v>
      </c>
      <c r="AK207" s="229">
        <f t="shared" si="21"/>
        <v>0</v>
      </c>
      <c r="AL207" s="229">
        <f t="shared" si="21"/>
        <v>0</v>
      </c>
      <c r="AM207" s="229">
        <f t="shared" si="21"/>
        <v>0</v>
      </c>
      <c r="AN207" s="229">
        <f t="shared" si="21"/>
        <v>0</v>
      </c>
      <c r="AO207" s="229">
        <f t="shared" si="21"/>
        <v>0</v>
      </c>
      <c r="AP207" s="229">
        <f t="shared" si="21"/>
        <v>0</v>
      </c>
      <c r="AQ207" s="229">
        <f t="shared" si="21"/>
        <v>0</v>
      </c>
      <c r="AR207" s="229">
        <f t="shared" si="21"/>
        <v>0</v>
      </c>
      <c r="AS207" s="229">
        <f t="shared" si="21"/>
        <v>0</v>
      </c>
      <c r="AT207" s="229">
        <f t="shared" si="21"/>
        <v>0</v>
      </c>
      <c r="AU207" s="229">
        <f t="shared" si="21"/>
        <v>0</v>
      </c>
      <c r="AV207" s="229">
        <f t="shared" si="21"/>
        <v>5925627.3599999985</v>
      </c>
      <c r="AW207" s="229">
        <f t="shared" si="21"/>
        <v>4045327.2800000003</v>
      </c>
      <c r="AX207" s="229">
        <f t="shared" si="21"/>
        <v>198137.74999999994</v>
      </c>
      <c r="AY207" s="229">
        <f t="shared" si="21"/>
        <v>126143.73</v>
      </c>
      <c r="AZ207" s="229">
        <f t="shared" si="21"/>
        <v>15214.77</v>
      </c>
      <c r="BA207" s="229">
        <f t="shared" si="21"/>
        <v>0</v>
      </c>
      <c r="BB207" s="229"/>
      <c r="BC207" s="229">
        <f t="shared" si="21"/>
        <v>0</v>
      </c>
      <c r="BD207" s="229">
        <f t="shared" si="21"/>
        <v>0</v>
      </c>
      <c r="BE207" s="229">
        <f t="shared" si="21"/>
        <v>0</v>
      </c>
      <c r="BF207" s="229">
        <f t="shared" si="21"/>
        <v>0</v>
      </c>
      <c r="BG207" s="229"/>
      <c r="BH207" s="229">
        <f t="shared" si="21"/>
        <v>0</v>
      </c>
      <c r="BI207" s="229">
        <f t="shared" si="21"/>
        <v>0</v>
      </c>
      <c r="BJ207" s="229">
        <f t="shared" si="21"/>
        <v>0</v>
      </c>
      <c r="BK207" s="229"/>
      <c r="BL207" s="229">
        <f t="shared" si="21"/>
        <v>0</v>
      </c>
      <c r="BM207" s="229">
        <f t="shared" si="21"/>
        <v>19640.25</v>
      </c>
      <c r="BN207" s="229">
        <f t="shared" si="21"/>
        <v>1086</v>
      </c>
      <c r="BO207" s="229">
        <f t="shared" si="21"/>
        <v>6897.1</v>
      </c>
      <c r="BP207" s="229">
        <f t="shared" si="21"/>
        <v>28905.75</v>
      </c>
      <c r="BQ207" s="229">
        <f t="shared" si="21"/>
        <v>20976.75</v>
      </c>
      <c r="BR207" s="229">
        <f t="shared" si="21"/>
        <v>731648.99</v>
      </c>
      <c r="BS207" s="229">
        <f t="shared" si="21"/>
        <v>731648.99</v>
      </c>
      <c r="BT207" s="229">
        <f t="shared" si="21"/>
        <v>0</v>
      </c>
      <c r="BU207" s="229">
        <f t="shared" si="21"/>
        <v>0</v>
      </c>
      <c r="BV207" s="229">
        <f t="shared" si="21"/>
        <v>0</v>
      </c>
      <c r="BW207" s="229">
        <f t="shared" si="21"/>
        <v>0</v>
      </c>
      <c r="BX207" s="229">
        <f t="shared" si="21"/>
        <v>0</v>
      </c>
      <c r="BY207" s="229">
        <f t="shared" si="21"/>
        <v>0</v>
      </c>
      <c r="BZ207" s="229">
        <f t="shared" si="21"/>
        <v>0</v>
      </c>
      <c r="CA207" s="229">
        <f t="shared" ref="CA207:CO207" si="22">SUM(CA4:CA206)</f>
        <v>0</v>
      </c>
      <c r="CB207" s="229">
        <f t="shared" si="22"/>
        <v>0</v>
      </c>
      <c r="CC207" s="229">
        <f t="shared" si="22"/>
        <v>0</v>
      </c>
      <c r="CD207" s="229">
        <f t="shared" si="22"/>
        <v>0</v>
      </c>
      <c r="CE207" s="229">
        <f t="shared" si="22"/>
        <v>0</v>
      </c>
      <c r="CF207" s="229">
        <f t="shared" si="22"/>
        <v>0</v>
      </c>
      <c r="CG207" s="229">
        <f t="shared" si="22"/>
        <v>0</v>
      </c>
      <c r="CH207" s="229">
        <f t="shared" si="22"/>
        <v>0</v>
      </c>
      <c r="CI207" s="229"/>
      <c r="CJ207" s="229">
        <f t="shared" si="22"/>
        <v>0</v>
      </c>
      <c r="CK207" s="229"/>
      <c r="CL207" s="229">
        <f t="shared" si="22"/>
        <v>0</v>
      </c>
      <c r="CM207" s="259"/>
      <c r="CN207" s="3">
        <f t="shared" ref="CN207:CN270" si="23">+F207</f>
        <v>0</v>
      </c>
      <c r="CO207" s="229">
        <f t="shared" si="22"/>
        <v>0</v>
      </c>
    </row>
    <row r="208" spans="1:93" x14ac:dyDescent="0.25">
      <c r="D208" s="224">
        <v>21127</v>
      </c>
      <c r="E208" s="224">
        <v>12369</v>
      </c>
      <c r="F208" s="250" t="s">
        <v>78</v>
      </c>
      <c r="G208" s="223" t="s">
        <v>5242</v>
      </c>
      <c r="V208" s="223">
        <v>600895.41</v>
      </c>
      <c r="AV208" s="22">
        <f t="shared" si="16"/>
        <v>600895.41</v>
      </c>
      <c r="AW208" s="223">
        <v>600895.41</v>
      </c>
      <c r="CK208" s="22">
        <f t="shared" ref="CK208:CK271" si="24">SUM(AW208:CJ208)</f>
        <v>600895.41</v>
      </c>
      <c r="CL208" s="3">
        <f t="shared" ref="CL208:CL271" si="25">+CK208-AV208</f>
        <v>0</v>
      </c>
      <c r="CM208" s="222">
        <f t="shared" ref="CM208:CM271" si="26">+E208</f>
        <v>12369</v>
      </c>
      <c r="CN208" s="3" t="str">
        <f t="shared" si="23"/>
        <v>برنامج دولى</v>
      </c>
    </row>
    <row r="209" spans="4:92" x14ac:dyDescent="0.25">
      <c r="D209" s="224">
        <v>21128</v>
      </c>
      <c r="E209" s="224">
        <v>12370</v>
      </c>
      <c r="F209" s="250" t="s">
        <v>78</v>
      </c>
      <c r="G209" s="223" t="s">
        <v>5243</v>
      </c>
      <c r="V209" s="223">
        <v>40927.14</v>
      </c>
      <c r="AV209" s="22">
        <f t="shared" si="16"/>
        <v>40927.14</v>
      </c>
      <c r="AW209" s="223">
        <v>40927.14</v>
      </c>
      <c r="CK209" s="22">
        <f t="shared" si="24"/>
        <v>40927.14</v>
      </c>
      <c r="CL209" s="3">
        <f t="shared" si="25"/>
        <v>0</v>
      </c>
      <c r="CM209" s="222">
        <f t="shared" si="26"/>
        <v>12370</v>
      </c>
      <c r="CN209" s="3" t="str">
        <f t="shared" si="23"/>
        <v>برنامج دولى</v>
      </c>
    </row>
    <row r="210" spans="4:92" x14ac:dyDescent="0.25">
      <c r="D210" s="224">
        <v>21129</v>
      </c>
      <c r="E210" s="224">
        <v>12371</v>
      </c>
      <c r="F210" s="250" t="s">
        <v>78</v>
      </c>
      <c r="G210" s="223" t="s">
        <v>5244</v>
      </c>
      <c r="V210" s="223">
        <v>21645.7</v>
      </c>
      <c r="AV210" s="22">
        <f t="shared" si="16"/>
        <v>21645.7</v>
      </c>
      <c r="AW210" s="223">
        <v>21645.7</v>
      </c>
      <c r="CK210" s="22">
        <f t="shared" si="24"/>
        <v>21645.7</v>
      </c>
      <c r="CL210" s="3">
        <f t="shared" si="25"/>
        <v>0</v>
      </c>
      <c r="CM210" s="222">
        <f t="shared" si="26"/>
        <v>12371</v>
      </c>
      <c r="CN210" s="3" t="str">
        <f t="shared" si="23"/>
        <v>برنامج دولى</v>
      </c>
    </row>
    <row r="211" spans="4:92" x14ac:dyDescent="0.25">
      <c r="D211" s="224">
        <v>21130</v>
      </c>
      <c r="E211" s="224">
        <v>12372</v>
      </c>
      <c r="F211" s="250" t="s">
        <v>78</v>
      </c>
      <c r="G211" s="223" t="s">
        <v>5245</v>
      </c>
      <c r="W211" s="223">
        <v>1072</v>
      </c>
      <c r="AV211" s="22">
        <f t="shared" si="16"/>
        <v>1072</v>
      </c>
      <c r="AW211" s="223">
        <v>1072</v>
      </c>
      <c r="CK211" s="22">
        <f t="shared" si="24"/>
        <v>1072</v>
      </c>
      <c r="CL211" s="3">
        <f t="shared" si="25"/>
        <v>0</v>
      </c>
      <c r="CM211" s="222">
        <f t="shared" si="26"/>
        <v>12372</v>
      </c>
      <c r="CN211" s="3" t="str">
        <f t="shared" si="23"/>
        <v>برنامج دولى</v>
      </c>
    </row>
    <row r="212" spans="4:92" x14ac:dyDescent="0.25">
      <c r="D212" s="224">
        <v>21131</v>
      </c>
      <c r="E212" s="224">
        <v>12373</v>
      </c>
      <c r="F212" s="250" t="s">
        <v>130</v>
      </c>
      <c r="G212" s="223" t="str">
        <f>+G208</f>
        <v>كسب عمل مايو</v>
      </c>
      <c r="V212" s="223">
        <v>10526.66</v>
      </c>
      <c r="AV212" s="22">
        <f t="shared" si="16"/>
        <v>10526.66</v>
      </c>
      <c r="AW212" s="223">
        <v>10526.66</v>
      </c>
      <c r="CK212" s="22">
        <f t="shared" si="24"/>
        <v>10526.66</v>
      </c>
      <c r="CL212" s="3">
        <f t="shared" si="25"/>
        <v>0</v>
      </c>
      <c r="CM212" s="222">
        <f t="shared" si="26"/>
        <v>12373</v>
      </c>
      <c r="CN212" s="3" t="str">
        <f t="shared" si="23"/>
        <v>خ ت طب</v>
      </c>
    </row>
    <row r="213" spans="4:92" x14ac:dyDescent="0.25">
      <c r="D213" s="224">
        <v>21132</v>
      </c>
      <c r="E213" s="224">
        <v>12374</v>
      </c>
      <c r="F213" s="250" t="s">
        <v>130</v>
      </c>
      <c r="G213" s="223" t="str">
        <f>+G209</f>
        <v>دمغه عاديه مايو</v>
      </c>
      <c r="V213" s="223">
        <v>221.62</v>
      </c>
      <c r="AV213" s="22">
        <f t="shared" si="16"/>
        <v>221.62</v>
      </c>
      <c r="AW213" s="223">
        <v>221.62</v>
      </c>
      <c r="CK213" s="22">
        <f t="shared" si="24"/>
        <v>221.62</v>
      </c>
      <c r="CL213" s="3">
        <f t="shared" si="25"/>
        <v>0</v>
      </c>
      <c r="CM213" s="222">
        <f t="shared" si="26"/>
        <v>12374</v>
      </c>
      <c r="CN213" s="3" t="str">
        <f t="shared" si="23"/>
        <v>خ ت طب</v>
      </c>
    </row>
    <row r="214" spans="4:92" x14ac:dyDescent="0.25">
      <c r="D214" s="224">
        <v>21133</v>
      </c>
      <c r="E214" s="224">
        <v>12375</v>
      </c>
      <c r="F214" s="250" t="s">
        <v>130</v>
      </c>
      <c r="G214" s="223" t="str">
        <f>+G210</f>
        <v>ضرائب متنوعه مايو</v>
      </c>
      <c r="V214" s="223">
        <v>10505.98</v>
      </c>
      <c r="AV214" s="22">
        <f t="shared" si="16"/>
        <v>10505.98</v>
      </c>
      <c r="AW214" s="223">
        <v>10505.98</v>
      </c>
      <c r="CK214" s="22">
        <f t="shared" si="24"/>
        <v>10505.98</v>
      </c>
      <c r="CL214" s="3">
        <f t="shared" si="25"/>
        <v>0</v>
      </c>
      <c r="CM214" s="222">
        <f t="shared" si="26"/>
        <v>12375</v>
      </c>
      <c r="CN214" s="3" t="str">
        <f t="shared" si="23"/>
        <v>خ ت طب</v>
      </c>
    </row>
    <row r="215" spans="4:92" x14ac:dyDescent="0.25">
      <c r="D215" s="224">
        <v>21134</v>
      </c>
      <c r="E215" s="224">
        <v>12376</v>
      </c>
      <c r="F215" s="250" t="s">
        <v>130</v>
      </c>
      <c r="G215" s="223" t="str">
        <f>+G211</f>
        <v>تنميه موارد مايو</v>
      </c>
      <c r="W215" s="223">
        <v>295.89999999999998</v>
      </c>
      <c r="AV215" s="22">
        <f t="shared" si="16"/>
        <v>295.89999999999998</v>
      </c>
      <c r="AW215" s="223">
        <v>295.89999999999998</v>
      </c>
      <c r="CK215" s="22">
        <f t="shared" si="24"/>
        <v>295.89999999999998</v>
      </c>
      <c r="CL215" s="3">
        <f t="shared" si="25"/>
        <v>0</v>
      </c>
      <c r="CM215" s="222">
        <f t="shared" si="26"/>
        <v>12376</v>
      </c>
      <c r="CN215" s="3" t="str">
        <f t="shared" si="23"/>
        <v>خ ت طب</v>
      </c>
    </row>
    <row r="216" spans="4:92" x14ac:dyDescent="0.25">
      <c r="D216" s="224">
        <v>21135</v>
      </c>
      <c r="E216" s="224">
        <v>12377</v>
      </c>
      <c r="F216" s="250" t="s">
        <v>128</v>
      </c>
      <c r="G216" s="223" t="str">
        <f>+G215</f>
        <v>تنميه موارد مايو</v>
      </c>
      <c r="W216" s="223">
        <v>100</v>
      </c>
      <c r="AV216" s="22">
        <f t="shared" si="16"/>
        <v>100</v>
      </c>
      <c r="AW216" s="223">
        <v>100</v>
      </c>
      <c r="CK216" s="22">
        <f t="shared" si="24"/>
        <v>100</v>
      </c>
      <c r="CL216" s="3">
        <f t="shared" si="25"/>
        <v>0</v>
      </c>
      <c r="CM216" s="222">
        <f t="shared" si="26"/>
        <v>12377</v>
      </c>
      <c r="CN216" s="3" t="str">
        <f t="shared" si="23"/>
        <v>مركز مؤتمرات</v>
      </c>
    </row>
    <row r="217" spans="4:92" x14ac:dyDescent="0.25">
      <c r="D217" s="224">
        <v>21136</v>
      </c>
      <c r="E217" s="224">
        <v>12378</v>
      </c>
      <c r="F217" s="250" t="s">
        <v>128</v>
      </c>
      <c r="G217" s="223" t="str">
        <f>+G214</f>
        <v>ضرائب متنوعه مايو</v>
      </c>
      <c r="V217" s="223">
        <v>1792.6</v>
      </c>
      <c r="AV217" s="22">
        <f t="shared" si="16"/>
        <v>1792.6</v>
      </c>
      <c r="AW217" s="223">
        <v>1792.6</v>
      </c>
      <c r="CK217" s="22">
        <f t="shared" si="24"/>
        <v>1792.6</v>
      </c>
      <c r="CL217" s="3">
        <f t="shared" si="25"/>
        <v>0</v>
      </c>
      <c r="CM217" s="222">
        <f t="shared" si="26"/>
        <v>12378</v>
      </c>
      <c r="CN217" s="3" t="str">
        <f t="shared" si="23"/>
        <v>مركز مؤتمرات</v>
      </c>
    </row>
    <row r="218" spans="4:92" x14ac:dyDescent="0.25">
      <c r="D218" s="224">
        <v>21137</v>
      </c>
      <c r="E218" s="224">
        <v>12379</v>
      </c>
      <c r="F218" s="250" t="s">
        <v>128</v>
      </c>
      <c r="G218" s="223" t="str">
        <f>+G213</f>
        <v>دمغه عاديه مايو</v>
      </c>
      <c r="V218" s="223">
        <v>1102.75</v>
      </c>
      <c r="AV218" s="22">
        <f t="shared" si="16"/>
        <v>1102.75</v>
      </c>
      <c r="AW218" s="223">
        <v>1102.75</v>
      </c>
      <c r="CK218" s="22">
        <f t="shared" si="24"/>
        <v>1102.75</v>
      </c>
      <c r="CL218" s="3">
        <f t="shared" si="25"/>
        <v>0</v>
      </c>
      <c r="CM218" s="222">
        <f t="shared" si="26"/>
        <v>12379</v>
      </c>
      <c r="CN218" s="3" t="str">
        <f t="shared" si="23"/>
        <v>مركز مؤتمرات</v>
      </c>
    </row>
    <row r="219" spans="4:92" x14ac:dyDescent="0.25">
      <c r="D219" s="224">
        <v>21138</v>
      </c>
      <c r="E219" s="224">
        <v>12380</v>
      </c>
      <c r="F219" s="250" t="s">
        <v>128</v>
      </c>
      <c r="G219" s="223" t="str">
        <f>+G212</f>
        <v>كسب عمل مايو</v>
      </c>
      <c r="V219" s="223">
        <v>17005.830000000002</v>
      </c>
      <c r="AV219" s="22">
        <f t="shared" si="16"/>
        <v>17005.830000000002</v>
      </c>
      <c r="AW219" s="223">
        <v>17005.830000000002</v>
      </c>
      <c r="CK219" s="22">
        <f t="shared" si="24"/>
        <v>17005.830000000002</v>
      </c>
      <c r="CL219" s="3">
        <f t="shared" si="25"/>
        <v>0</v>
      </c>
      <c r="CM219" s="222">
        <f t="shared" si="26"/>
        <v>12380</v>
      </c>
      <c r="CN219" s="3" t="str">
        <f t="shared" si="23"/>
        <v>مركز مؤتمرات</v>
      </c>
    </row>
    <row r="220" spans="4:92" x14ac:dyDescent="0.25">
      <c r="D220" s="224">
        <v>21139</v>
      </c>
      <c r="E220" s="224">
        <v>12381</v>
      </c>
      <c r="F220" s="250" t="s">
        <v>171</v>
      </c>
      <c r="G220" s="223" t="str">
        <f>+G219</f>
        <v>كسب عمل مايو</v>
      </c>
      <c r="V220" s="223">
        <v>220</v>
      </c>
      <c r="AV220" s="22">
        <f t="shared" si="16"/>
        <v>220</v>
      </c>
      <c r="AW220" s="223">
        <v>220</v>
      </c>
      <c r="CK220" s="22">
        <f t="shared" si="24"/>
        <v>220</v>
      </c>
      <c r="CL220" s="3">
        <f t="shared" si="25"/>
        <v>0</v>
      </c>
      <c r="CM220" s="222">
        <f t="shared" si="26"/>
        <v>12381</v>
      </c>
      <c r="CN220" s="3" t="str">
        <f t="shared" si="23"/>
        <v>تحاليل طبية</v>
      </c>
    </row>
    <row r="221" spans="4:92" x14ac:dyDescent="0.25">
      <c r="D221" s="224">
        <v>21140</v>
      </c>
      <c r="E221" s="224">
        <v>12382</v>
      </c>
      <c r="F221" s="250" t="s">
        <v>171</v>
      </c>
      <c r="G221" s="223" t="str">
        <f>+G218</f>
        <v>دمغه عاديه مايو</v>
      </c>
      <c r="V221" s="223">
        <v>15.45</v>
      </c>
      <c r="AV221" s="22">
        <f t="shared" si="16"/>
        <v>15.45</v>
      </c>
      <c r="AW221" s="223">
        <v>15.45</v>
      </c>
      <c r="CK221" s="22">
        <f t="shared" si="24"/>
        <v>15.45</v>
      </c>
      <c r="CL221" s="3">
        <f t="shared" si="25"/>
        <v>0</v>
      </c>
      <c r="CM221" s="222">
        <f t="shared" si="26"/>
        <v>12382</v>
      </c>
      <c r="CN221" s="3" t="str">
        <f t="shared" si="23"/>
        <v>تحاليل طبية</v>
      </c>
    </row>
    <row r="222" spans="4:92" x14ac:dyDescent="0.25">
      <c r="D222" s="224">
        <v>21145</v>
      </c>
      <c r="E222" s="224">
        <v>12383</v>
      </c>
      <c r="F222" s="250" t="s">
        <v>5144</v>
      </c>
      <c r="G222" s="223" t="str">
        <f>+G221</f>
        <v>دمغه عاديه مايو</v>
      </c>
      <c r="V222" s="223">
        <v>14168.59</v>
      </c>
      <c r="AV222" s="22">
        <f t="shared" si="16"/>
        <v>14168.59</v>
      </c>
      <c r="AW222" s="223">
        <v>14168.59</v>
      </c>
      <c r="CK222" s="22">
        <f t="shared" si="24"/>
        <v>14168.59</v>
      </c>
      <c r="CL222" s="3">
        <f t="shared" si="25"/>
        <v>0</v>
      </c>
      <c r="CM222" s="222">
        <f t="shared" si="26"/>
        <v>12383</v>
      </c>
      <c r="CN222" s="3" t="str">
        <f t="shared" si="23"/>
        <v>صيدلة اكلينكى</v>
      </c>
    </row>
    <row r="223" spans="4:92" x14ac:dyDescent="0.25">
      <c r="D223" s="224">
        <v>21147</v>
      </c>
      <c r="E223" s="224">
        <v>12384</v>
      </c>
      <c r="F223" s="250" t="s">
        <v>5144</v>
      </c>
      <c r="G223" s="223" t="str">
        <f>+G220</f>
        <v>كسب عمل مايو</v>
      </c>
      <c r="V223" s="223">
        <v>218536.41</v>
      </c>
      <c r="AV223" s="22">
        <f t="shared" si="16"/>
        <v>218536.41</v>
      </c>
      <c r="AW223" s="223">
        <v>218536.41</v>
      </c>
      <c r="CK223" s="22">
        <f t="shared" si="24"/>
        <v>218536.41</v>
      </c>
      <c r="CL223" s="3">
        <f t="shared" si="25"/>
        <v>0</v>
      </c>
      <c r="CM223" s="222">
        <f t="shared" si="26"/>
        <v>12384</v>
      </c>
      <c r="CN223" s="3" t="str">
        <f t="shared" si="23"/>
        <v>صيدلة اكلينكى</v>
      </c>
    </row>
    <row r="224" spans="4:92" x14ac:dyDescent="0.25">
      <c r="D224" s="224">
        <v>21152</v>
      </c>
      <c r="E224" s="224">
        <v>12385</v>
      </c>
      <c r="F224" s="250" t="s">
        <v>5144</v>
      </c>
      <c r="G224" s="223" t="str">
        <f>+G217</f>
        <v>ضرائب متنوعه مايو</v>
      </c>
      <c r="V224" s="223">
        <v>22589.9</v>
      </c>
      <c r="AV224" s="22">
        <f t="shared" si="16"/>
        <v>22589.9</v>
      </c>
      <c r="AW224" s="223">
        <v>22589.9</v>
      </c>
      <c r="CK224" s="22">
        <f t="shared" si="24"/>
        <v>22589.9</v>
      </c>
      <c r="CL224" s="3">
        <f t="shared" si="25"/>
        <v>0</v>
      </c>
      <c r="CM224" s="222">
        <f t="shared" si="26"/>
        <v>12385</v>
      </c>
      <c r="CN224" s="3" t="str">
        <f t="shared" si="23"/>
        <v>صيدلة اكلينكى</v>
      </c>
    </row>
    <row r="225" spans="4:92" x14ac:dyDescent="0.25">
      <c r="D225" s="224">
        <v>21153</v>
      </c>
      <c r="E225" s="224">
        <v>12386</v>
      </c>
      <c r="F225" s="250" t="s">
        <v>5144</v>
      </c>
      <c r="G225" s="223" t="str">
        <f>+G216</f>
        <v>تنميه موارد مايو</v>
      </c>
      <c r="W225" s="223">
        <v>282</v>
      </c>
      <c r="AV225" s="22">
        <f t="shared" si="16"/>
        <v>282</v>
      </c>
      <c r="AW225" s="223">
        <v>282</v>
      </c>
      <c r="CK225" s="22">
        <f t="shared" si="24"/>
        <v>282</v>
      </c>
      <c r="CL225" s="3">
        <f t="shared" si="25"/>
        <v>0</v>
      </c>
      <c r="CM225" s="222">
        <f t="shared" si="26"/>
        <v>12386</v>
      </c>
      <c r="CN225" s="3" t="str">
        <f t="shared" si="23"/>
        <v>صيدلة اكلينكى</v>
      </c>
    </row>
    <row r="226" spans="4:92" x14ac:dyDescent="0.25">
      <c r="D226" s="224">
        <v>21154</v>
      </c>
      <c r="E226" s="224">
        <v>12387</v>
      </c>
      <c r="F226" s="250" t="s">
        <v>119</v>
      </c>
      <c r="G226" s="223" t="str">
        <f>+G223</f>
        <v>كسب عمل مايو</v>
      </c>
      <c r="V226" s="223">
        <v>22523.88</v>
      </c>
      <c r="AV226" s="22">
        <f t="shared" si="16"/>
        <v>22523.88</v>
      </c>
      <c r="AW226" s="223">
        <v>22523.88</v>
      </c>
      <c r="CK226" s="22">
        <f t="shared" si="24"/>
        <v>22523.88</v>
      </c>
      <c r="CL226" s="3">
        <f t="shared" si="25"/>
        <v>0</v>
      </c>
      <c r="CM226" s="222">
        <f t="shared" si="26"/>
        <v>12387</v>
      </c>
      <c r="CN226" s="3" t="str">
        <f t="shared" si="23"/>
        <v>خ ت صيدلة</v>
      </c>
    </row>
    <row r="227" spans="4:92" x14ac:dyDescent="0.25">
      <c r="D227" s="224">
        <v>21155</v>
      </c>
      <c r="E227" s="224">
        <v>12388</v>
      </c>
      <c r="F227" s="250" t="s">
        <v>119</v>
      </c>
      <c r="G227" s="223" t="str">
        <f>+G221</f>
        <v>دمغه عاديه مايو</v>
      </c>
      <c r="V227" s="223">
        <v>904.7</v>
      </c>
      <c r="AV227" s="22">
        <f t="shared" si="16"/>
        <v>904.7</v>
      </c>
      <c r="AW227" s="223">
        <v>904.7</v>
      </c>
      <c r="CK227" s="22">
        <f t="shared" si="24"/>
        <v>904.7</v>
      </c>
      <c r="CL227" s="3">
        <f t="shared" si="25"/>
        <v>0</v>
      </c>
      <c r="CM227" s="222">
        <f t="shared" si="26"/>
        <v>12388</v>
      </c>
      <c r="CN227" s="3" t="str">
        <f t="shared" si="23"/>
        <v>خ ت صيدلة</v>
      </c>
    </row>
    <row r="228" spans="4:92" x14ac:dyDescent="0.25">
      <c r="D228" s="224">
        <v>21156</v>
      </c>
      <c r="E228" s="224">
        <v>12389</v>
      </c>
      <c r="F228" s="250" t="s">
        <v>119</v>
      </c>
      <c r="G228" s="223" t="str">
        <f>+G224</f>
        <v>ضرائب متنوعه مايو</v>
      </c>
      <c r="V228" s="223">
        <v>20162.3</v>
      </c>
      <c r="AV228" s="22">
        <f t="shared" si="16"/>
        <v>20162.3</v>
      </c>
      <c r="AW228" s="223">
        <v>20162.3</v>
      </c>
      <c r="CK228" s="22">
        <f t="shared" si="24"/>
        <v>20162.3</v>
      </c>
      <c r="CL228" s="3">
        <f t="shared" si="25"/>
        <v>0</v>
      </c>
      <c r="CM228" s="222">
        <f t="shared" si="26"/>
        <v>12389</v>
      </c>
      <c r="CN228" s="3" t="str">
        <f t="shared" si="23"/>
        <v>خ ت صيدلة</v>
      </c>
    </row>
    <row r="229" spans="4:92" x14ac:dyDescent="0.25">
      <c r="D229" s="224">
        <v>21157</v>
      </c>
      <c r="E229" s="224">
        <v>12390</v>
      </c>
      <c r="F229" s="250" t="s">
        <v>119</v>
      </c>
      <c r="G229" s="223" t="str">
        <f>+G225</f>
        <v>تنميه موارد مايو</v>
      </c>
      <c r="W229" s="223">
        <v>98</v>
      </c>
      <c r="AV229" s="22">
        <f t="shared" si="16"/>
        <v>98</v>
      </c>
      <c r="AW229" s="223">
        <v>98</v>
      </c>
      <c r="CK229" s="22">
        <f t="shared" si="24"/>
        <v>98</v>
      </c>
      <c r="CL229" s="3">
        <f t="shared" si="25"/>
        <v>0</v>
      </c>
      <c r="CM229" s="222">
        <f t="shared" si="26"/>
        <v>12390</v>
      </c>
      <c r="CN229" s="3" t="str">
        <f t="shared" si="23"/>
        <v>خ ت صيدلة</v>
      </c>
    </row>
    <row r="230" spans="4:92" x14ac:dyDescent="0.25">
      <c r="D230" s="224">
        <v>21158</v>
      </c>
      <c r="E230" s="224">
        <v>12391</v>
      </c>
      <c r="F230" s="250" t="s">
        <v>116</v>
      </c>
      <c r="G230" s="223" t="str">
        <f>+G228</f>
        <v>ضرائب متنوعه مايو</v>
      </c>
      <c r="V230" s="223">
        <v>1956.5</v>
      </c>
      <c r="AV230" s="22">
        <f t="shared" si="16"/>
        <v>1956.5</v>
      </c>
      <c r="AW230" s="223">
        <v>1956.5</v>
      </c>
      <c r="CK230" s="22">
        <f t="shared" si="24"/>
        <v>1956.5</v>
      </c>
      <c r="CL230" s="3">
        <f t="shared" si="25"/>
        <v>0</v>
      </c>
      <c r="CM230" s="222">
        <f t="shared" si="26"/>
        <v>12391</v>
      </c>
      <c r="CN230" s="3" t="str">
        <f t="shared" si="23"/>
        <v>اتحاد صيدلة</v>
      </c>
    </row>
    <row r="231" spans="4:92" x14ac:dyDescent="0.25">
      <c r="D231" s="224">
        <v>21159</v>
      </c>
      <c r="E231" s="224">
        <v>12392</v>
      </c>
      <c r="F231" s="250" t="s">
        <v>116</v>
      </c>
      <c r="G231" s="223" t="str">
        <f>+G229</f>
        <v>تنميه موارد مايو</v>
      </c>
      <c r="W231" s="223">
        <v>30</v>
      </c>
      <c r="AV231" s="22">
        <f t="shared" si="16"/>
        <v>30</v>
      </c>
      <c r="AW231" s="223">
        <v>30</v>
      </c>
      <c r="CK231" s="22">
        <f t="shared" si="24"/>
        <v>30</v>
      </c>
      <c r="CL231" s="3">
        <f t="shared" si="25"/>
        <v>0</v>
      </c>
      <c r="CM231" s="222">
        <f t="shared" si="26"/>
        <v>12392</v>
      </c>
      <c r="CN231" s="3" t="str">
        <f t="shared" si="23"/>
        <v>اتحاد صيدلة</v>
      </c>
    </row>
    <row r="232" spans="4:92" x14ac:dyDescent="0.25">
      <c r="D232" s="224">
        <v>21160</v>
      </c>
      <c r="E232" s="224">
        <v>12393</v>
      </c>
      <c r="F232" s="250" t="s">
        <v>121</v>
      </c>
      <c r="G232" s="223" t="str">
        <f>+G226</f>
        <v>كسب عمل مايو</v>
      </c>
      <c r="V232" s="223">
        <v>198867.47</v>
      </c>
      <c r="AV232" s="22">
        <f t="shared" si="16"/>
        <v>198867.47</v>
      </c>
      <c r="AW232" s="223">
        <v>198867.47</v>
      </c>
      <c r="CK232" s="22">
        <f t="shared" si="24"/>
        <v>198867.47</v>
      </c>
      <c r="CL232" s="3">
        <f t="shared" si="25"/>
        <v>0</v>
      </c>
      <c r="CM232" s="222">
        <f t="shared" si="26"/>
        <v>12393</v>
      </c>
      <c r="CN232" s="3" t="str">
        <f t="shared" si="23"/>
        <v>ماليزى اسنان</v>
      </c>
    </row>
    <row r="233" spans="4:92" x14ac:dyDescent="0.25">
      <c r="D233" s="224">
        <v>21161</v>
      </c>
      <c r="E233" s="224">
        <v>12394</v>
      </c>
      <c r="F233" s="250" t="s">
        <v>121</v>
      </c>
      <c r="G233" s="223" t="str">
        <f>+G227</f>
        <v>دمغه عاديه مايو</v>
      </c>
      <c r="V233" s="223">
        <v>13797.26</v>
      </c>
      <c r="AV233" s="22">
        <f t="shared" si="16"/>
        <v>13797.26</v>
      </c>
      <c r="AW233" s="223">
        <v>13797.26</v>
      </c>
      <c r="CK233" s="22">
        <f t="shared" si="24"/>
        <v>13797.26</v>
      </c>
      <c r="CL233" s="3">
        <f t="shared" si="25"/>
        <v>0</v>
      </c>
      <c r="CM233" s="222">
        <f t="shared" si="26"/>
        <v>12394</v>
      </c>
      <c r="CN233" s="3" t="str">
        <f t="shared" si="23"/>
        <v>ماليزى اسنان</v>
      </c>
    </row>
    <row r="234" spans="4:92" x14ac:dyDescent="0.25">
      <c r="D234" s="224">
        <v>21162</v>
      </c>
      <c r="E234" s="224">
        <v>12395</v>
      </c>
      <c r="F234" s="250" t="s">
        <v>121</v>
      </c>
      <c r="G234" s="223" t="str">
        <f>+G230</f>
        <v>ضرائب متنوعه مايو</v>
      </c>
      <c r="V234" s="223">
        <v>23093.7</v>
      </c>
      <c r="AV234" s="22">
        <f t="shared" si="16"/>
        <v>23093.7</v>
      </c>
      <c r="AW234" s="223">
        <v>23093.7</v>
      </c>
      <c r="CK234" s="22">
        <f t="shared" si="24"/>
        <v>23093.7</v>
      </c>
      <c r="CL234" s="3">
        <f t="shared" si="25"/>
        <v>0</v>
      </c>
      <c r="CM234" s="222">
        <f t="shared" si="26"/>
        <v>12395</v>
      </c>
      <c r="CN234" s="3" t="str">
        <f t="shared" si="23"/>
        <v>ماليزى اسنان</v>
      </c>
    </row>
    <row r="235" spans="4:92" x14ac:dyDescent="0.25">
      <c r="D235" s="224">
        <v>21163</v>
      </c>
      <c r="E235" s="224">
        <v>12396</v>
      </c>
      <c r="F235" s="250" t="s">
        <v>121</v>
      </c>
      <c r="G235" s="223" t="str">
        <f>+G231</f>
        <v>تنميه موارد مايو</v>
      </c>
      <c r="W235" s="223">
        <v>682</v>
      </c>
      <c r="AV235" s="22">
        <f t="shared" si="16"/>
        <v>682</v>
      </c>
      <c r="AW235" s="223">
        <v>682</v>
      </c>
      <c r="CK235" s="22">
        <f t="shared" si="24"/>
        <v>682</v>
      </c>
      <c r="CL235" s="3">
        <f t="shared" si="25"/>
        <v>0</v>
      </c>
      <c r="CM235" s="222">
        <f t="shared" si="26"/>
        <v>12396</v>
      </c>
      <c r="CN235" s="3" t="str">
        <f t="shared" si="23"/>
        <v>ماليزى اسنان</v>
      </c>
    </row>
    <row r="236" spans="4:92" x14ac:dyDescent="0.25">
      <c r="D236" s="224">
        <v>21164</v>
      </c>
      <c r="E236" s="224">
        <v>12397</v>
      </c>
      <c r="F236" s="250" t="s">
        <v>123</v>
      </c>
      <c r="G236" s="223" t="str">
        <f>+G232</f>
        <v>كسب عمل مايو</v>
      </c>
      <c r="V236" s="223">
        <v>12745.71</v>
      </c>
      <c r="AV236" s="22">
        <f t="shared" si="16"/>
        <v>12745.71</v>
      </c>
      <c r="AW236" s="223">
        <v>12745.71</v>
      </c>
      <c r="CK236" s="22">
        <f t="shared" si="24"/>
        <v>12745.71</v>
      </c>
      <c r="CL236" s="3">
        <f t="shared" si="25"/>
        <v>0</v>
      </c>
      <c r="CM236" s="222">
        <f t="shared" si="26"/>
        <v>12397</v>
      </c>
      <c r="CN236" s="3" t="str">
        <f t="shared" si="23"/>
        <v>خ ت اسنان</v>
      </c>
    </row>
    <row r="237" spans="4:92" x14ac:dyDescent="0.25">
      <c r="D237" s="224">
        <v>21165</v>
      </c>
      <c r="E237" s="224">
        <v>12398</v>
      </c>
      <c r="F237" s="250" t="s">
        <v>123</v>
      </c>
      <c r="G237" s="223" t="str">
        <f>+G233</f>
        <v>دمغه عاديه مايو</v>
      </c>
      <c r="V237" s="223">
        <v>487.55</v>
      </c>
      <c r="AV237" s="22">
        <f t="shared" ref="AV237:AV300" si="27">SUM(I237:AU237)</f>
        <v>487.55</v>
      </c>
      <c r="AW237" s="223">
        <v>487.55</v>
      </c>
      <c r="CK237" s="22">
        <f t="shared" si="24"/>
        <v>487.55</v>
      </c>
      <c r="CL237" s="3">
        <f t="shared" si="25"/>
        <v>0</v>
      </c>
      <c r="CM237" s="222">
        <f t="shared" si="26"/>
        <v>12398</v>
      </c>
      <c r="CN237" s="3" t="str">
        <f t="shared" si="23"/>
        <v>خ ت اسنان</v>
      </c>
    </row>
    <row r="238" spans="4:92" x14ac:dyDescent="0.25">
      <c r="D238" s="224">
        <v>21166</v>
      </c>
      <c r="E238" s="224">
        <v>12399</v>
      </c>
      <c r="F238" s="250" t="s">
        <v>122</v>
      </c>
      <c r="G238" s="223" t="str">
        <f>+G236</f>
        <v>كسب عمل مايو</v>
      </c>
      <c r="V238" s="223">
        <v>13337.71</v>
      </c>
      <c r="AV238" s="22">
        <f t="shared" si="27"/>
        <v>13337.71</v>
      </c>
      <c r="AW238" s="223">
        <v>13337.71</v>
      </c>
      <c r="CK238" s="22">
        <f t="shared" si="24"/>
        <v>13337.71</v>
      </c>
      <c r="CL238" s="3">
        <f t="shared" si="25"/>
        <v>0</v>
      </c>
      <c r="CM238" s="222">
        <f t="shared" si="26"/>
        <v>12399</v>
      </c>
      <c r="CN238" s="3" t="str">
        <f t="shared" si="23"/>
        <v>علاج تخصصى</v>
      </c>
    </row>
    <row r="239" spans="4:92" x14ac:dyDescent="0.25">
      <c r="D239" s="224">
        <v>21167</v>
      </c>
      <c r="E239" s="224">
        <v>12400</v>
      </c>
      <c r="F239" s="250" t="s">
        <v>122</v>
      </c>
      <c r="G239" s="223" t="str">
        <f>+G237</f>
        <v>دمغه عاديه مايو</v>
      </c>
      <c r="V239" s="223">
        <v>833.55</v>
      </c>
      <c r="AV239" s="22">
        <f t="shared" si="27"/>
        <v>833.55</v>
      </c>
      <c r="AW239" s="223">
        <v>833.55</v>
      </c>
      <c r="CK239" s="22">
        <f t="shared" si="24"/>
        <v>833.55</v>
      </c>
      <c r="CL239" s="3">
        <f t="shared" si="25"/>
        <v>0</v>
      </c>
      <c r="CM239" s="222">
        <f t="shared" si="26"/>
        <v>12400</v>
      </c>
      <c r="CN239" s="3" t="str">
        <f t="shared" si="23"/>
        <v>علاج تخصصى</v>
      </c>
    </row>
    <row r="240" spans="4:92" x14ac:dyDescent="0.25">
      <c r="D240" s="224">
        <v>21168</v>
      </c>
      <c r="E240" s="224">
        <v>12401</v>
      </c>
      <c r="F240" s="250" t="s">
        <v>249</v>
      </c>
      <c r="G240" s="223" t="str">
        <f>+G238</f>
        <v>كسب عمل مايو</v>
      </c>
      <c r="V240" s="223">
        <v>84061.2</v>
      </c>
      <c r="AV240" s="22">
        <f t="shared" si="27"/>
        <v>84061.2</v>
      </c>
      <c r="AW240" s="223">
        <v>84061.2</v>
      </c>
      <c r="CK240" s="22">
        <f t="shared" si="24"/>
        <v>84061.2</v>
      </c>
      <c r="CL240" s="3">
        <f t="shared" si="25"/>
        <v>0</v>
      </c>
      <c r="CM240" s="222">
        <f t="shared" si="26"/>
        <v>12401</v>
      </c>
      <c r="CN240" s="3" t="str">
        <f t="shared" si="23"/>
        <v>خدمة عامة</v>
      </c>
    </row>
    <row r="241" spans="3:92" x14ac:dyDescent="0.25">
      <c r="D241" s="224">
        <v>21169</v>
      </c>
      <c r="E241" s="224">
        <v>12402</v>
      </c>
      <c r="F241" s="250" t="s">
        <v>249</v>
      </c>
      <c r="G241" s="223" t="str">
        <f>+G239</f>
        <v>دمغه عاديه مايو</v>
      </c>
      <c r="V241" s="223">
        <v>6208.15</v>
      </c>
      <c r="AV241" s="22">
        <f t="shared" si="27"/>
        <v>6208.15</v>
      </c>
      <c r="AW241" s="223">
        <v>6208.15</v>
      </c>
      <c r="CK241" s="22">
        <f t="shared" si="24"/>
        <v>6208.15</v>
      </c>
      <c r="CL241" s="3">
        <f t="shared" si="25"/>
        <v>0</v>
      </c>
      <c r="CM241" s="222">
        <f t="shared" si="26"/>
        <v>12402</v>
      </c>
      <c r="CN241" s="3" t="str">
        <f t="shared" si="23"/>
        <v>خدمة عامة</v>
      </c>
    </row>
    <row r="242" spans="3:92" x14ac:dyDescent="0.25">
      <c r="D242" s="224">
        <v>21170</v>
      </c>
      <c r="E242" s="224">
        <v>12403</v>
      </c>
      <c r="F242" s="250" t="s">
        <v>249</v>
      </c>
      <c r="G242" s="223" t="str">
        <f>+G234</f>
        <v>ضرائب متنوعه مايو</v>
      </c>
      <c r="V242" s="223">
        <v>1432</v>
      </c>
      <c r="AV242" s="22">
        <f t="shared" si="27"/>
        <v>1432</v>
      </c>
      <c r="AW242" s="223">
        <v>1432</v>
      </c>
      <c r="CK242" s="22">
        <f t="shared" si="24"/>
        <v>1432</v>
      </c>
      <c r="CL242" s="3">
        <f t="shared" si="25"/>
        <v>0</v>
      </c>
      <c r="CM242" s="222">
        <f t="shared" si="26"/>
        <v>12403</v>
      </c>
      <c r="CN242" s="3" t="str">
        <f t="shared" si="23"/>
        <v>خدمة عامة</v>
      </c>
    </row>
    <row r="243" spans="3:92" x14ac:dyDescent="0.25">
      <c r="D243" s="224">
        <v>21171</v>
      </c>
      <c r="E243" s="224">
        <v>12404</v>
      </c>
      <c r="F243" s="250" t="s">
        <v>249</v>
      </c>
      <c r="G243" s="223" t="str">
        <f>+G235</f>
        <v>تنميه موارد مايو</v>
      </c>
      <c r="W243" s="223">
        <v>60</v>
      </c>
      <c r="AV243" s="22">
        <f t="shared" si="27"/>
        <v>60</v>
      </c>
      <c r="AW243" s="223">
        <v>60</v>
      </c>
      <c r="CK243" s="22">
        <f t="shared" si="24"/>
        <v>60</v>
      </c>
      <c r="CL243" s="3">
        <f t="shared" si="25"/>
        <v>0</v>
      </c>
      <c r="CM243" s="222">
        <f t="shared" si="26"/>
        <v>12404</v>
      </c>
      <c r="CN243" s="3" t="str">
        <f t="shared" si="23"/>
        <v>خدمة عامة</v>
      </c>
    </row>
    <row r="244" spans="3:92" x14ac:dyDescent="0.25">
      <c r="D244" s="224">
        <v>21172</v>
      </c>
      <c r="E244" s="224">
        <v>12405</v>
      </c>
      <c r="F244" s="250" t="s">
        <v>124</v>
      </c>
      <c r="G244" s="223" t="str">
        <f>+G240</f>
        <v>كسب عمل مايو</v>
      </c>
      <c r="V244" s="223">
        <v>68.459999999999994</v>
      </c>
      <c r="AV244" s="22">
        <f t="shared" si="27"/>
        <v>68.459999999999994</v>
      </c>
      <c r="AW244" s="223">
        <v>68.459999999999994</v>
      </c>
      <c r="CK244" s="22">
        <f t="shared" si="24"/>
        <v>68.459999999999994</v>
      </c>
      <c r="CL244" s="3">
        <f t="shared" si="25"/>
        <v>0</v>
      </c>
      <c r="CM244" s="222">
        <f t="shared" si="26"/>
        <v>12405</v>
      </c>
      <c r="CN244" s="3" t="str">
        <f t="shared" si="23"/>
        <v>تكافل اسنان</v>
      </c>
    </row>
    <row r="245" spans="3:92" x14ac:dyDescent="0.25">
      <c r="D245" s="224">
        <v>21173</v>
      </c>
      <c r="E245" s="224">
        <v>12406</v>
      </c>
      <c r="F245" s="250" t="s">
        <v>124</v>
      </c>
      <c r="G245" s="223" t="str">
        <f>+G241</f>
        <v>دمغه عاديه مايو</v>
      </c>
      <c r="V245" s="223">
        <v>2.2999999999999998</v>
      </c>
      <c r="AV245" s="22">
        <f t="shared" si="27"/>
        <v>2.2999999999999998</v>
      </c>
      <c r="AW245" s="223">
        <v>2.2999999999999998</v>
      </c>
      <c r="CK245" s="22">
        <f t="shared" si="24"/>
        <v>2.2999999999999998</v>
      </c>
      <c r="CL245" s="3">
        <f t="shared" si="25"/>
        <v>0</v>
      </c>
      <c r="CM245" s="222">
        <f t="shared" si="26"/>
        <v>12406</v>
      </c>
      <c r="CN245" s="3" t="str">
        <f t="shared" si="23"/>
        <v>تكافل اسنان</v>
      </c>
    </row>
    <row r="246" spans="3:92" x14ac:dyDescent="0.25">
      <c r="C246" s="223" t="s">
        <v>503</v>
      </c>
      <c r="D246" s="224">
        <v>21068</v>
      </c>
      <c r="E246" s="224">
        <v>12407</v>
      </c>
      <c r="F246" s="250" t="s">
        <v>121</v>
      </c>
      <c r="G246" s="223" t="s">
        <v>5246</v>
      </c>
      <c r="I246" s="223">
        <v>41790</v>
      </c>
      <c r="AV246" s="22">
        <f t="shared" si="27"/>
        <v>41790</v>
      </c>
      <c r="AW246" s="223">
        <v>37319.9</v>
      </c>
      <c r="AX246" s="223">
        <v>4470.1000000000004</v>
      </c>
      <c r="CK246" s="22">
        <f t="shared" si="24"/>
        <v>41790</v>
      </c>
      <c r="CL246" s="3">
        <f t="shared" si="25"/>
        <v>0</v>
      </c>
      <c r="CM246" s="222">
        <f t="shared" si="26"/>
        <v>12407</v>
      </c>
      <c r="CN246" s="3" t="str">
        <f t="shared" si="23"/>
        <v>ماليزى اسنان</v>
      </c>
    </row>
    <row r="247" spans="3:92" x14ac:dyDescent="0.25">
      <c r="C247" s="223" t="s">
        <v>503</v>
      </c>
      <c r="D247" s="224">
        <v>21069</v>
      </c>
      <c r="E247" s="224">
        <v>12408</v>
      </c>
      <c r="F247" s="250" t="s">
        <v>121</v>
      </c>
      <c r="G247" s="223" t="s">
        <v>5246</v>
      </c>
      <c r="I247" s="223">
        <v>230106.73</v>
      </c>
      <c r="AV247" s="22">
        <f t="shared" si="27"/>
        <v>230106.73</v>
      </c>
      <c r="AW247" s="223">
        <v>202732.86</v>
      </c>
      <c r="AX247" s="223">
        <v>24071.1</v>
      </c>
      <c r="AY247" s="223">
        <v>3302.77</v>
      </c>
      <c r="CK247" s="22">
        <f t="shared" si="24"/>
        <v>230106.72999999998</v>
      </c>
      <c r="CL247" s="3">
        <f t="shared" si="25"/>
        <v>0</v>
      </c>
      <c r="CM247" s="222">
        <f t="shared" si="26"/>
        <v>12408</v>
      </c>
      <c r="CN247" s="3" t="str">
        <f t="shared" si="23"/>
        <v>ماليزى اسنان</v>
      </c>
    </row>
    <row r="248" spans="3:92" x14ac:dyDescent="0.25">
      <c r="C248" s="223" t="s">
        <v>503</v>
      </c>
      <c r="D248" s="224">
        <v>21070</v>
      </c>
      <c r="E248" s="224">
        <v>12409</v>
      </c>
      <c r="F248" s="250" t="s">
        <v>121</v>
      </c>
      <c r="G248" s="223" t="s">
        <v>5246</v>
      </c>
      <c r="I248" s="223">
        <v>8864.1</v>
      </c>
      <c r="AV248" s="22">
        <f t="shared" si="27"/>
        <v>8864.1</v>
      </c>
      <c r="AW248" s="223">
        <v>5883.7</v>
      </c>
      <c r="AX248" s="223">
        <f>88.7+756</f>
        <v>844.7</v>
      </c>
      <c r="AY248" s="223">
        <f>2980.4-AX248</f>
        <v>2135.6999999999998</v>
      </c>
      <c r="CK248" s="22">
        <f t="shared" si="24"/>
        <v>8864.0999999999985</v>
      </c>
      <c r="CL248" s="3">
        <f t="shared" si="25"/>
        <v>0</v>
      </c>
      <c r="CM248" s="222">
        <f t="shared" si="26"/>
        <v>12409</v>
      </c>
      <c r="CN248" s="3" t="str">
        <f t="shared" si="23"/>
        <v>ماليزى اسنان</v>
      </c>
    </row>
    <row r="249" spans="3:92" x14ac:dyDescent="0.25">
      <c r="C249" s="223" t="s">
        <v>503</v>
      </c>
      <c r="D249" s="224">
        <v>21067</v>
      </c>
      <c r="E249" s="224">
        <v>12410</v>
      </c>
      <c r="F249" s="250" t="s">
        <v>121</v>
      </c>
      <c r="G249" s="223" t="s">
        <v>5246</v>
      </c>
      <c r="I249" s="223">
        <v>125610</v>
      </c>
      <c r="AV249" s="22">
        <f t="shared" si="27"/>
        <v>125610</v>
      </c>
      <c r="AW249" s="223">
        <v>112282.75</v>
      </c>
      <c r="AX249" s="223">
        <v>13327.25</v>
      </c>
      <c r="CK249" s="22">
        <f t="shared" si="24"/>
        <v>125610</v>
      </c>
      <c r="CL249" s="3">
        <f t="shared" si="25"/>
        <v>0</v>
      </c>
      <c r="CM249" s="222">
        <f t="shared" si="26"/>
        <v>12410</v>
      </c>
      <c r="CN249" s="3" t="str">
        <f t="shared" si="23"/>
        <v>ماليزى اسنان</v>
      </c>
    </row>
    <row r="250" spans="3:92" x14ac:dyDescent="0.25">
      <c r="C250" s="223" t="s">
        <v>503</v>
      </c>
      <c r="D250" s="224">
        <v>21066</v>
      </c>
      <c r="E250" s="224">
        <v>12411</v>
      </c>
      <c r="F250" s="250" t="s">
        <v>121</v>
      </c>
      <c r="G250" s="223" t="s">
        <v>5246</v>
      </c>
      <c r="I250" s="223">
        <v>179820</v>
      </c>
      <c r="AV250" s="22">
        <f t="shared" si="27"/>
        <v>179820</v>
      </c>
      <c r="AW250" s="223">
        <v>160761.4</v>
      </c>
      <c r="AX250" s="223">
        <v>19058.599999999999</v>
      </c>
      <c r="CK250" s="22">
        <f t="shared" si="24"/>
        <v>179820</v>
      </c>
      <c r="CL250" s="3">
        <f t="shared" si="25"/>
        <v>0</v>
      </c>
      <c r="CM250" s="222">
        <f t="shared" si="26"/>
        <v>12411</v>
      </c>
      <c r="CN250" s="3" t="str">
        <f t="shared" si="23"/>
        <v>ماليزى اسنان</v>
      </c>
    </row>
    <row r="251" spans="3:92" x14ac:dyDescent="0.25">
      <c r="C251" s="223" t="s">
        <v>503</v>
      </c>
      <c r="D251" s="224">
        <v>21065</v>
      </c>
      <c r="E251" s="224">
        <v>12412</v>
      </c>
      <c r="F251" s="250" t="s">
        <v>121</v>
      </c>
      <c r="G251" s="223" t="s">
        <v>5246</v>
      </c>
      <c r="I251" s="223">
        <v>19620</v>
      </c>
      <c r="AV251" s="22">
        <f t="shared" si="27"/>
        <v>19620</v>
      </c>
      <c r="AW251" s="223">
        <v>17510.45</v>
      </c>
      <c r="AX251" s="223">
        <v>2109.5500000000002</v>
      </c>
      <c r="CK251" s="22">
        <f t="shared" si="24"/>
        <v>19620</v>
      </c>
      <c r="CL251" s="3">
        <f t="shared" si="25"/>
        <v>0</v>
      </c>
      <c r="CM251" s="222">
        <f t="shared" si="26"/>
        <v>12412</v>
      </c>
      <c r="CN251" s="3" t="str">
        <f t="shared" si="23"/>
        <v>ماليزى اسنان</v>
      </c>
    </row>
    <row r="252" spans="3:92" x14ac:dyDescent="0.25">
      <c r="C252" s="223" t="s">
        <v>503</v>
      </c>
      <c r="D252" s="224">
        <v>21063</v>
      </c>
      <c r="E252" s="224">
        <v>12413</v>
      </c>
      <c r="F252" s="250" t="s">
        <v>121</v>
      </c>
      <c r="G252" s="223" t="s">
        <v>5246</v>
      </c>
      <c r="I252" s="223">
        <v>64650</v>
      </c>
      <c r="AV252" s="22">
        <f t="shared" si="27"/>
        <v>64650</v>
      </c>
      <c r="AW252" s="223">
        <v>57740.35</v>
      </c>
      <c r="AX252" s="223">
        <v>6909.65</v>
      </c>
      <c r="CK252" s="22">
        <f t="shared" si="24"/>
        <v>64650</v>
      </c>
      <c r="CL252" s="3">
        <f t="shared" si="25"/>
        <v>0</v>
      </c>
      <c r="CM252" s="222">
        <f t="shared" si="26"/>
        <v>12413</v>
      </c>
      <c r="CN252" s="3" t="str">
        <f t="shared" si="23"/>
        <v>ماليزى اسنان</v>
      </c>
    </row>
    <row r="253" spans="3:92" x14ac:dyDescent="0.25">
      <c r="C253" s="223" t="s">
        <v>503</v>
      </c>
      <c r="D253" s="224">
        <v>21062</v>
      </c>
      <c r="E253" s="224">
        <v>12414</v>
      </c>
      <c r="F253" s="250" t="s">
        <v>121</v>
      </c>
      <c r="G253" s="223" t="s">
        <v>5246</v>
      </c>
      <c r="I253" s="223">
        <v>5692.5</v>
      </c>
      <c r="AV253" s="22">
        <f t="shared" si="27"/>
        <v>5692.5</v>
      </c>
      <c r="AW253" s="223">
        <v>5084.7</v>
      </c>
      <c r="AX253" s="223">
        <v>607.79999999999995</v>
      </c>
      <c r="CK253" s="22">
        <f t="shared" si="24"/>
        <v>5692.5</v>
      </c>
      <c r="CL253" s="3">
        <f t="shared" si="25"/>
        <v>0</v>
      </c>
      <c r="CM253" s="222">
        <f t="shared" si="26"/>
        <v>12414</v>
      </c>
      <c r="CN253" s="3" t="str">
        <f t="shared" si="23"/>
        <v>ماليزى اسنان</v>
      </c>
    </row>
    <row r="254" spans="3:92" x14ac:dyDescent="0.25">
      <c r="C254" s="223" t="s">
        <v>503</v>
      </c>
      <c r="D254" s="224">
        <v>21061</v>
      </c>
      <c r="E254" s="224">
        <v>12415</v>
      </c>
      <c r="F254" s="250" t="s">
        <v>121</v>
      </c>
      <c r="G254" s="223" t="s">
        <v>5246</v>
      </c>
      <c r="I254" s="223">
        <v>36540</v>
      </c>
      <c r="AV254" s="22">
        <f t="shared" si="27"/>
        <v>36540</v>
      </c>
      <c r="AW254" s="223">
        <v>32605</v>
      </c>
      <c r="AX254" s="223">
        <v>3935</v>
      </c>
      <c r="CK254" s="22">
        <f t="shared" si="24"/>
        <v>36540</v>
      </c>
      <c r="CL254" s="3">
        <f t="shared" si="25"/>
        <v>0</v>
      </c>
      <c r="CM254" s="222">
        <f t="shared" si="26"/>
        <v>12415</v>
      </c>
      <c r="CN254" s="3" t="str">
        <f t="shared" si="23"/>
        <v>ماليزى اسنان</v>
      </c>
    </row>
    <row r="255" spans="3:92" x14ac:dyDescent="0.25">
      <c r="C255" s="223" t="s">
        <v>503</v>
      </c>
      <c r="D255" s="224">
        <v>21060</v>
      </c>
      <c r="E255" s="224">
        <v>12416</v>
      </c>
      <c r="F255" s="250" t="s">
        <v>121</v>
      </c>
      <c r="G255" s="223" t="s">
        <v>5246</v>
      </c>
      <c r="I255" s="223">
        <v>5744.59</v>
      </c>
      <c r="AV255" s="22">
        <f t="shared" si="27"/>
        <v>5744.59</v>
      </c>
      <c r="AW255" s="223">
        <v>4290.16</v>
      </c>
      <c r="AX255" s="223">
        <v>1111.19</v>
      </c>
      <c r="AY255" s="223">
        <v>343.24</v>
      </c>
      <c r="CK255" s="22">
        <f t="shared" si="24"/>
        <v>5744.59</v>
      </c>
      <c r="CL255" s="3">
        <f t="shared" si="25"/>
        <v>0</v>
      </c>
      <c r="CM255" s="222">
        <f t="shared" si="26"/>
        <v>12416</v>
      </c>
      <c r="CN255" s="3" t="str">
        <f t="shared" si="23"/>
        <v>ماليزى اسنان</v>
      </c>
    </row>
    <row r="256" spans="3:92" x14ac:dyDescent="0.25">
      <c r="C256" s="223" t="s">
        <v>503</v>
      </c>
      <c r="D256" s="224">
        <v>21059</v>
      </c>
      <c r="E256" s="224">
        <v>12417</v>
      </c>
      <c r="F256" s="250" t="s">
        <v>121</v>
      </c>
      <c r="G256" s="223" t="s">
        <v>5246</v>
      </c>
      <c r="I256" s="223">
        <v>6142.5</v>
      </c>
      <c r="AV256" s="22">
        <f t="shared" si="27"/>
        <v>6142.5</v>
      </c>
      <c r="AW256" s="223">
        <v>4879.24</v>
      </c>
      <c r="AX256" s="223">
        <v>1263.26</v>
      </c>
      <c r="CK256" s="22">
        <f t="shared" si="24"/>
        <v>6142.5</v>
      </c>
      <c r="CL256" s="3">
        <f t="shared" si="25"/>
        <v>0</v>
      </c>
      <c r="CM256" s="222">
        <f t="shared" si="26"/>
        <v>12417</v>
      </c>
      <c r="CN256" s="3" t="str">
        <f t="shared" si="23"/>
        <v>ماليزى اسنان</v>
      </c>
    </row>
    <row r="257" spans="3:92" x14ac:dyDescent="0.25">
      <c r="C257" s="223" t="s">
        <v>503</v>
      </c>
      <c r="D257" s="224">
        <v>21058</v>
      </c>
      <c r="E257" s="224">
        <v>12418</v>
      </c>
      <c r="F257" s="250" t="s">
        <v>121</v>
      </c>
      <c r="G257" s="223" t="s">
        <v>5246</v>
      </c>
      <c r="I257" s="223">
        <v>7890</v>
      </c>
      <c r="AV257" s="22">
        <f t="shared" si="27"/>
        <v>7890</v>
      </c>
      <c r="AW257" s="223">
        <v>7043.5</v>
      </c>
      <c r="AX257" s="223">
        <v>846.5</v>
      </c>
      <c r="CK257" s="22">
        <f t="shared" si="24"/>
        <v>7890</v>
      </c>
      <c r="CL257" s="3">
        <f t="shared" si="25"/>
        <v>0</v>
      </c>
      <c r="CM257" s="222">
        <f t="shared" si="26"/>
        <v>12418</v>
      </c>
      <c r="CN257" s="3" t="str">
        <f t="shared" si="23"/>
        <v>ماليزى اسنان</v>
      </c>
    </row>
    <row r="258" spans="3:92" x14ac:dyDescent="0.25">
      <c r="C258" s="223" t="s">
        <v>503</v>
      </c>
      <c r="D258" s="224">
        <v>21057</v>
      </c>
      <c r="E258" s="224">
        <v>12419</v>
      </c>
      <c r="F258" s="250" t="s">
        <v>121</v>
      </c>
      <c r="G258" s="223" t="s">
        <v>5246</v>
      </c>
      <c r="I258" s="223">
        <v>226740</v>
      </c>
      <c r="AV258" s="22">
        <f t="shared" si="27"/>
        <v>226740</v>
      </c>
      <c r="AW258" s="223">
        <v>202634.15</v>
      </c>
      <c r="AX258" s="223">
        <v>24105.85</v>
      </c>
      <c r="CK258" s="22">
        <f t="shared" si="24"/>
        <v>226740</v>
      </c>
      <c r="CL258" s="3">
        <f t="shared" si="25"/>
        <v>0</v>
      </c>
      <c r="CM258" s="222">
        <f t="shared" si="26"/>
        <v>12419</v>
      </c>
      <c r="CN258" s="3" t="str">
        <f t="shared" si="23"/>
        <v>ماليزى اسنان</v>
      </c>
    </row>
    <row r="259" spans="3:92" x14ac:dyDescent="0.25">
      <c r="C259" s="223" t="s">
        <v>503</v>
      </c>
      <c r="D259" s="224">
        <v>21056</v>
      </c>
      <c r="E259" s="224">
        <v>12420</v>
      </c>
      <c r="F259" s="250" t="s">
        <v>121</v>
      </c>
      <c r="G259" s="223" t="s">
        <v>5246</v>
      </c>
      <c r="I259" s="223">
        <v>288646.90999999997</v>
      </c>
      <c r="AV259" s="22">
        <f t="shared" si="27"/>
        <v>288646.90999999997</v>
      </c>
      <c r="AW259" s="223">
        <v>257670.81</v>
      </c>
      <c r="AX259" s="223">
        <v>30702.75</v>
      </c>
      <c r="AY259" s="223">
        <v>273.35000000000002</v>
      </c>
      <c r="CK259" s="22">
        <f t="shared" si="24"/>
        <v>288646.90999999997</v>
      </c>
      <c r="CL259" s="3">
        <f t="shared" si="25"/>
        <v>0</v>
      </c>
      <c r="CM259" s="222">
        <f t="shared" si="26"/>
        <v>12420</v>
      </c>
      <c r="CN259" s="3" t="str">
        <f t="shared" si="23"/>
        <v>ماليزى اسنان</v>
      </c>
    </row>
    <row r="260" spans="3:92" x14ac:dyDescent="0.25">
      <c r="C260" s="223" t="s">
        <v>503</v>
      </c>
      <c r="D260" s="224">
        <v>21055</v>
      </c>
      <c r="E260" s="224">
        <v>12421</v>
      </c>
      <c r="F260" s="250" t="s">
        <v>121</v>
      </c>
      <c r="G260" s="223" t="s">
        <v>5246</v>
      </c>
      <c r="I260" s="223">
        <v>22200</v>
      </c>
      <c r="AV260" s="22">
        <f t="shared" si="27"/>
        <v>22200</v>
      </c>
      <c r="AW260" s="223">
        <v>19814.2</v>
      </c>
      <c r="AX260" s="223">
        <v>2385.8000000000002</v>
      </c>
      <c r="CK260" s="22">
        <f t="shared" si="24"/>
        <v>22200</v>
      </c>
      <c r="CL260" s="3">
        <f t="shared" si="25"/>
        <v>0</v>
      </c>
      <c r="CM260" s="222">
        <f t="shared" si="26"/>
        <v>12421</v>
      </c>
      <c r="CN260" s="3" t="str">
        <f t="shared" si="23"/>
        <v>ماليزى اسنان</v>
      </c>
    </row>
    <row r="261" spans="3:92" x14ac:dyDescent="0.25">
      <c r="C261" s="223" t="s">
        <v>503</v>
      </c>
      <c r="D261" s="224">
        <v>21054</v>
      </c>
      <c r="E261" s="224">
        <v>12422</v>
      </c>
      <c r="F261" s="250" t="s">
        <v>121</v>
      </c>
      <c r="G261" s="223" t="s">
        <v>5246</v>
      </c>
      <c r="I261" s="223">
        <v>15193.5</v>
      </c>
      <c r="AV261" s="22">
        <f t="shared" si="27"/>
        <v>15193.5</v>
      </c>
      <c r="AW261" s="223">
        <v>10243.299999999999</v>
      </c>
      <c r="AX261" s="223">
        <f>88.7+1302</f>
        <v>1390.7</v>
      </c>
      <c r="AY261" s="223">
        <f>4950.2-AX261</f>
        <v>3559.5</v>
      </c>
      <c r="CK261" s="22">
        <f t="shared" si="24"/>
        <v>15193.5</v>
      </c>
      <c r="CL261" s="3">
        <f t="shared" si="25"/>
        <v>0</v>
      </c>
      <c r="CM261" s="222">
        <f t="shared" si="26"/>
        <v>12422</v>
      </c>
      <c r="CN261" s="3" t="str">
        <f t="shared" si="23"/>
        <v>ماليزى اسنان</v>
      </c>
    </row>
    <row r="262" spans="3:92" x14ac:dyDescent="0.25">
      <c r="C262" s="223" t="s">
        <v>503</v>
      </c>
      <c r="D262" s="224">
        <v>21053</v>
      </c>
      <c r="E262" s="224">
        <v>12423</v>
      </c>
      <c r="F262" s="250" t="s">
        <v>121</v>
      </c>
      <c r="G262" s="223" t="s">
        <v>5246</v>
      </c>
      <c r="I262" s="223">
        <v>251570.39</v>
      </c>
      <c r="AV262" s="22">
        <f t="shared" si="27"/>
        <v>251570.39</v>
      </c>
      <c r="AW262" s="223">
        <v>223281.47</v>
      </c>
      <c r="AX262" s="223">
        <v>26585.1</v>
      </c>
      <c r="AY262" s="223">
        <v>1703.82</v>
      </c>
      <c r="CK262" s="22">
        <f t="shared" si="24"/>
        <v>251570.39</v>
      </c>
      <c r="CL262" s="3">
        <f t="shared" si="25"/>
        <v>0</v>
      </c>
      <c r="CM262" s="222">
        <f t="shared" si="26"/>
        <v>12423</v>
      </c>
      <c r="CN262" s="3" t="str">
        <f t="shared" si="23"/>
        <v>ماليزى اسنان</v>
      </c>
    </row>
    <row r="263" spans="3:92" x14ac:dyDescent="0.25">
      <c r="C263" s="223" t="s">
        <v>503</v>
      </c>
      <c r="D263" s="224">
        <v>21052</v>
      </c>
      <c r="E263" s="224">
        <v>12424</v>
      </c>
      <c r="F263" s="250" t="s">
        <v>121</v>
      </c>
      <c r="G263" s="223" t="s">
        <v>5246</v>
      </c>
      <c r="I263" s="223">
        <v>9600</v>
      </c>
      <c r="AV263" s="22">
        <f t="shared" si="27"/>
        <v>9600</v>
      </c>
      <c r="AW263" s="223">
        <v>8563.6</v>
      </c>
      <c r="AX263" s="223">
        <v>1036.4000000000001</v>
      </c>
      <c r="CK263" s="22">
        <f t="shared" si="24"/>
        <v>9600</v>
      </c>
      <c r="CL263" s="3">
        <f t="shared" si="25"/>
        <v>0</v>
      </c>
      <c r="CM263" s="222">
        <f t="shared" si="26"/>
        <v>12424</v>
      </c>
      <c r="CN263" s="3" t="str">
        <f t="shared" si="23"/>
        <v>ماليزى اسنان</v>
      </c>
    </row>
    <row r="264" spans="3:92" x14ac:dyDescent="0.25">
      <c r="C264" s="223" t="s">
        <v>503</v>
      </c>
      <c r="D264" s="224">
        <v>21051</v>
      </c>
      <c r="E264" s="224">
        <v>12425</v>
      </c>
      <c r="F264" s="250" t="s">
        <v>121</v>
      </c>
      <c r="G264" s="223" t="s">
        <v>5246</v>
      </c>
      <c r="I264" s="223">
        <v>18973.5</v>
      </c>
      <c r="AV264" s="22">
        <f t="shared" si="27"/>
        <v>18973.5</v>
      </c>
      <c r="AW264" s="223">
        <v>13634</v>
      </c>
      <c r="AX264" s="223">
        <f>100+1680</f>
        <v>1780</v>
      </c>
      <c r="AY264" s="223">
        <v>3559.5</v>
      </c>
      <c r="CK264" s="22">
        <f t="shared" si="24"/>
        <v>18973.5</v>
      </c>
      <c r="CL264" s="3">
        <f t="shared" si="25"/>
        <v>0</v>
      </c>
      <c r="CM264" s="222">
        <f t="shared" si="26"/>
        <v>12425</v>
      </c>
      <c r="CN264" s="3" t="str">
        <f t="shared" si="23"/>
        <v>ماليزى اسنان</v>
      </c>
    </row>
    <row r="265" spans="3:92" x14ac:dyDescent="0.25">
      <c r="C265" s="223" t="s">
        <v>503</v>
      </c>
      <c r="D265" s="224">
        <v>21050</v>
      </c>
      <c r="E265" s="224">
        <v>12426</v>
      </c>
      <c r="F265" s="250" t="s">
        <v>121</v>
      </c>
      <c r="G265" s="223" t="s">
        <v>5246</v>
      </c>
      <c r="I265" s="223">
        <v>252269.38</v>
      </c>
      <c r="AV265" s="22">
        <f t="shared" si="27"/>
        <v>252269.38</v>
      </c>
      <c r="AW265" s="223">
        <v>224656.83</v>
      </c>
      <c r="AX265" s="223">
        <v>26778.35</v>
      </c>
      <c r="AY265" s="223">
        <v>834.2</v>
      </c>
      <c r="CK265" s="22">
        <f t="shared" si="24"/>
        <v>252269.38</v>
      </c>
      <c r="CL265" s="3">
        <f t="shared" si="25"/>
        <v>0</v>
      </c>
      <c r="CM265" s="222">
        <f t="shared" si="26"/>
        <v>12426</v>
      </c>
      <c r="CN265" s="3" t="str">
        <f t="shared" si="23"/>
        <v>ماليزى اسنان</v>
      </c>
    </row>
    <row r="266" spans="3:92" x14ac:dyDescent="0.25">
      <c r="C266" s="223" t="s">
        <v>503</v>
      </c>
      <c r="D266" s="224">
        <v>21049</v>
      </c>
      <c r="E266" s="224">
        <v>12427</v>
      </c>
      <c r="F266" s="250" t="s">
        <v>121</v>
      </c>
      <c r="G266" s="223" t="s">
        <v>5246</v>
      </c>
      <c r="I266" s="223">
        <v>9000</v>
      </c>
      <c r="AV266" s="22">
        <f t="shared" si="27"/>
        <v>9000</v>
      </c>
      <c r="AW266" s="223">
        <v>8028.4</v>
      </c>
      <c r="AX266" s="223">
        <v>971.6</v>
      </c>
      <c r="CK266" s="22">
        <f t="shared" si="24"/>
        <v>9000</v>
      </c>
      <c r="CL266" s="3">
        <f t="shared" si="25"/>
        <v>0</v>
      </c>
      <c r="CM266" s="222">
        <f t="shared" si="26"/>
        <v>12427</v>
      </c>
      <c r="CN266" s="3" t="str">
        <f t="shared" si="23"/>
        <v>ماليزى اسنان</v>
      </c>
    </row>
    <row r="267" spans="3:92" x14ac:dyDescent="0.25">
      <c r="C267" s="223" t="s">
        <v>503</v>
      </c>
      <c r="D267" s="224">
        <v>21048</v>
      </c>
      <c r="E267" s="224">
        <v>12428</v>
      </c>
      <c r="F267" s="250" t="s">
        <v>121</v>
      </c>
      <c r="G267" s="223" t="s">
        <v>5246</v>
      </c>
      <c r="I267" s="223">
        <v>85320</v>
      </c>
      <c r="AV267" s="22">
        <f t="shared" si="27"/>
        <v>85320</v>
      </c>
      <c r="AW267" s="223">
        <v>76170.05</v>
      </c>
      <c r="AX267" s="223">
        <v>9149.9500000000007</v>
      </c>
      <c r="CK267" s="22">
        <f t="shared" si="24"/>
        <v>85320</v>
      </c>
      <c r="CL267" s="3">
        <f t="shared" si="25"/>
        <v>0</v>
      </c>
      <c r="CM267" s="222">
        <f t="shared" si="26"/>
        <v>12428</v>
      </c>
      <c r="CN267" s="3" t="str">
        <f t="shared" si="23"/>
        <v>ماليزى اسنان</v>
      </c>
    </row>
    <row r="268" spans="3:92" x14ac:dyDescent="0.25">
      <c r="C268" s="223" t="s">
        <v>503</v>
      </c>
      <c r="D268" s="224">
        <v>21047</v>
      </c>
      <c r="E268" s="224">
        <v>12429</v>
      </c>
      <c r="F268" s="250" t="s">
        <v>121</v>
      </c>
      <c r="G268" s="223" t="s">
        <v>5246</v>
      </c>
      <c r="I268" s="223">
        <v>12420</v>
      </c>
      <c r="AV268" s="22">
        <f t="shared" si="27"/>
        <v>12420</v>
      </c>
      <c r="AW268" s="223">
        <v>11086.65</v>
      </c>
      <c r="AX268" s="223">
        <v>1333.35</v>
      </c>
      <c r="CK268" s="22">
        <f t="shared" si="24"/>
        <v>12420</v>
      </c>
      <c r="CL268" s="3">
        <f t="shared" si="25"/>
        <v>0</v>
      </c>
      <c r="CM268" s="222">
        <f t="shared" si="26"/>
        <v>12429</v>
      </c>
      <c r="CN268" s="3" t="str">
        <f t="shared" si="23"/>
        <v>ماليزى اسنان</v>
      </c>
    </row>
    <row r="269" spans="3:92" x14ac:dyDescent="0.25">
      <c r="C269" s="223" t="s">
        <v>503</v>
      </c>
      <c r="D269" s="224">
        <v>21080</v>
      </c>
      <c r="E269" s="224">
        <v>12430</v>
      </c>
      <c r="F269" s="250" t="s">
        <v>121</v>
      </c>
      <c r="G269" s="223" t="s">
        <v>5246</v>
      </c>
      <c r="I269" s="223">
        <v>16440</v>
      </c>
      <c r="AV269" s="22">
        <f t="shared" si="27"/>
        <v>16440</v>
      </c>
      <c r="AW269" s="223">
        <v>14671.8</v>
      </c>
      <c r="AX269" s="223">
        <v>1768.2</v>
      </c>
      <c r="CK269" s="22">
        <f t="shared" si="24"/>
        <v>16440</v>
      </c>
      <c r="CL269" s="3">
        <f t="shared" si="25"/>
        <v>0</v>
      </c>
      <c r="CM269" s="222">
        <f t="shared" si="26"/>
        <v>12430</v>
      </c>
      <c r="CN269" s="3" t="str">
        <f t="shared" si="23"/>
        <v>ماليزى اسنان</v>
      </c>
    </row>
    <row r="270" spans="3:92" x14ac:dyDescent="0.25">
      <c r="C270" s="223" t="s">
        <v>503</v>
      </c>
      <c r="D270" s="224">
        <v>21079</v>
      </c>
      <c r="E270" s="224">
        <v>12431</v>
      </c>
      <c r="F270" s="250" t="s">
        <v>121</v>
      </c>
      <c r="G270" s="223" t="s">
        <v>5246</v>
      </c>
      <c r="I270" s="223">
        <v>7560.93</v>
      </c>
      <c r="AV270" s="22">
        <f t="shared" si="27"/>
        <v>7560.93</v>
      </c>
      <c r="AW270" s="223">
        <v>5924.05</v>
      </c>
      <c r="AX270" s="223">
        <v>751</v>
      </c>
      <c r="AY270" s="223">
        <v>885.88</v>
      </c>
      <c r="CK270" s="22">
        <f t="shared" si="24"/>
        <v>7560.93</v>
      </c>
      <c r="CL270" s="3">
        <f t="shared" si="25"/>
        <v>0</v>
      </c>
      <c r="CM270" s="222">
        <f t="shared" si="26"/>
        <v>12431</v>
      </c>
      <c r="CN270" s="3" t="str">
        <f t="shared" si="23"/>
        <v>ماليزى اسنان</v>
      </c>
    </row>
    <row r="271" spans="3:92" x14ac:dyDescent="0.25">
      <c r="C271" s="223" t="s">
        <v>503</v>
      </c>
      <c r="D271" s="224">
        <v>21077</v>
      </c>
      <c r="E271" s="224">
        <v>12432</v>
      </c>
      <c r="F271" s="250" t="s">
        <v>121</v>
      </c>
      <c r="G271" s="223" t="s">
        <v>5246</v>
      </c>
      <c r="I271" s="223">
        <v>600</v>
      </c>
      <c r="AV271" s="22">
        <f t="shared" si="27"/>
        <v>600</v>
      </c>
      <c r="AW271" s="223">
        <v>536.15</v>
      </c>
      <c r="AX271" s="223">
        <v>63.85</v>
      </c>
      <c r="CK271" s="22">
        <f t="shared" si="24"/>
        <v>600</v>
      </c>
      <c r="CL271" s="3">
        <f t="shared" si="25"/>
        <v>0</v>
      </c>
      <c r="CM271" s="222">
        <f t="shared" si="26"/>
        <v>12432</v>
      </c>
      <c r="CN271" s="3" t="str">
        <f t="shared" ref="CN271:CN334" si="28">+F271</f>
        <v>ماليزى اسنان</v>
      </c>
    </row>
    <row r="272" spans="3:92" x14ac:dyDescent="0.25">
      <c r="C272" s="223" t="s">
        <v>503</v>
      </c>
      <c r="D272" s="224">
        <v>21076</v>
      </c>
      <c r="E272" s="224">
        <v>12433</v>
      </c>
      <c r="F272" s="250" t="s">
        <v>121</v>
      </c>
      <c r="G272" s="223" t="s">
        <v>5246</v>
      </c>
      <c r="I272" s="223">
        <v>116370</v>
      </c>
      <c r="AV272" s="22">
        <f t="shared" si="27"/>
        <v>116370</v>
      </c>
      <c r="AW272" s="223">
        <v>104060.4</v>
      </c>
      <c r="AX272" s="223">
        <v>12309.6</v>
      </c>
      <c r="CK272" s="22">
        <f t="shared" ref="CK272:CK335" si="29">SUM(AW272:CJ272)</f>
        <v>116370</v>
      </c>
      <c r="CL272" s="3">
        <f t="shared" ref="CL272:CL335" si="30">+CK272-AV272</f>
        <v>0</v>
      </c>
      <c r="CM272" s="222">
        <f t="shared" ref="CM272:CM335" si="31">+E272</f>
        <v>12433</v>
      </c>
      <c r="CN272" s="3" t="str">
        <f t="shared" si="28"/>
        <v>ماليزى اسنان</v>
      </c>
    </row>
    <row r="273" spans="3:92" x14ac:dyDescent="0.25">
      <c r="C273" s="223" t="s">
        <v>503</v>
      </c>
      <c r="D273" s="224">
        <v>21064</v>
      </c>
      <c r="E273" s="224">
        <v>12434</v>
      </c>
      <c r="F273" s="250" t="s">
        <v>121</v>
      </c>
      <c r="G273" s="223" t="s">
        <v>5246</v>
      </c>
      <c r="I273" s="223">
        <v>4927.5</v>
      </c>
      <c r="AV273" s="22">
        <f t="shared" si="27"/>
        <v>4927.5</v>
      </c>
      <c r="AW273" s="223">
        <v>4400.3</v>
      </c>
      <c r="AX273" s="223">
        <v>527.20000000000005</v>
      </c>
      <c r="CK273" s="22">
        <f t="shared" si="29"/>
        <v>4927.5</v>
      </c>
      <c r="CL273" s="3">
        <f t="shared" si="30"/>
        <v>0</v>
      </c>
      <c r="CM273" s="222">
        <f t="shared" si="31"/>
        <v>12434</v>
      </c>
      <c r="CN273" s="3" t="str">
        <f t="shared" si="28"/>
        <v>ماليزى اسنان</v>
      </c>
    </row>
    <row r="274" spans="3:92" x14ac:dyDescent="0.25">
      <c r="C274" s="223" t="s">
        <v>503</v>
      </c>
      <c r="D274" s="224">
        <v>21075</v>
      </c>
      <c r="E274" s="224">
        <v>12435</v>
      </c>
      <c r="F274" s="250" t="s">
        <v>121</v>
      </c>
      <c r="G274" s="223" t="s">
        <v>5246</v>
      </c>
      <c r="I274" s="223">
        <v>251850</v>
      </c>
      <c r="AV274" s="22">
        <f t="shared" si="27"/>
        <v>251850</v>
      </c>
      <c r="AW274" s="223">
        <v>225226.8</v>
      </c>
      <c r="AX274" s="223">
        <v>26623.200000000001</v>
      </c>
      <c r="CK274" s="22">
        <f t="shared" si="29"/>
        <v>251850</v>
      </c>
      <c r="CL274" s="3">
        <f t="shared" si="30"/>
        <v>0</v>
      </c>
      <c r="CM274" s="222">
        <f t="shared" si="31"/>
        <v>12435</v>
      </c>
      <c r="CN274" s="3" t="str">
        <f t="shared" si="28"/>
        <v>ماليزى اسنان</v>
      </c>
    </row>
    <row r="275" spans="3:92" x14ac:dyDescent="0.25">
      <c r="C275" s="223" t="s">
        <v>503</v>
      </c>
      <c r="D275" s="224">
        <v>21074</v>
      </c>
      <c r="E275" s="224">
        <v>12436</v>
      </c>
      <c r="F275" s="250" t="s">
        <v>121</v>
      </c>
      <c r="G275" s="223" t="s">
        <v>5246</v>
      </c>
      <c r="I275" s="223">
        <v>150513.06</v>
      </c>
      <c r="AV275" s="22">
        <f t="shared" si="27"/>
        <v>150513.06</v>
      </c>
      <c r="AW275" s="223">
        <v>133138.51</v>
      </c>
      <c r="AX275" s="223">
        <v>15846.5</v>
      </c>
      <c r="AY275" s="223">
        <v>1528.05</v>
      </c>
      <c r="CK275" s="22">
        <f t="shared" si="29"/>
        <v>150513.06</v>
      </c>
      <c r="CL275" s="3">
        <f t="shared" si="30"/>
        <v>0</v>
      </c>
      <c r="CM275" s="222">
        <f t="shared" si="31"/>
        <v>12436</v>
      </c>
      <c r="CN275" s="3" t="str">
        <f t="shared" si="28"/>
        <v>ماليزى اسنان</v>
      </c>
    </row>
    <row r="276" spans="3:92" x14ac:dyDescent="0.25">
      <c r="C276" s="223" t="s">
        <v>503</v>
      </c>
      <c r="D276" s="224">
        <v>21073</v>
      </c>
      <c r="E276" s="224">
        <v>12437</v>
      </c>
      <c r="F276" s="250" t="s">
        <v>121</v>
      </c>
      <c r="G276" s="223" t="s">
        <v>5246</v>
      </c>
      <c r="I276" s="223">
        <v>54266.53</v>
      </c>
      <c r="AV276" s="22">
        <f t="shared" si="27"/>
        <v>54266.53</v>
      </c>
      <c r="AW276" s="223">
        <v>44545.68</v>
      </c>
      <c r="AX276" s="223">
        <v>5550.45</v>
      </c>
      <c r="AY276" s="223">
        <v>4170.3999999999996</v>
      </c>
      <c r="CK276" s="22">
        <f t="shared" si="29"/>
        <v>54266.53</v>
      </c>
      <c r="CL276" s="3">
        <f t="shared" si="30"/>
        <v>0</v>
      </c>
      <c r="CM276" s="222">
        <f t="shared" si="31"/>
        <v>12437</v>
      </c>
      <c r="CN276" s="3" t="str">
        <f t="shared" si="28"/>
        <v>ماليزى اسنان</v>
      </c>
    </row>
    <row r="277" spans="3:92" x14ac:dyDescent="0.25">
      <c r="C277" s="223" t="s">
        <v>503</v>
      </c>
      <c r="D277" s="224">
        <v>21072</v>
      </c>
      <c r="E277" s="224">
        <v>12438</v>
      </c>
      <c r="F277" s="250" t="s">
        <v>121</v>
      </c>
      <c r="G277" s="223" t="s">
        <v>5246</v>
      </c>
      <c r="I277" s="223">
        <v>248093.1</v>
      </c>
      <c r="AV277" s="22">
        <f t="shared" si="27"/>
        <v>248093.1</v>
      </c>
      <c r="AW277" s="223">
        <v>217767.75</v>
      </c>
      <c r="AX277" s="223">
        <v>25816.65</v>
      </c>
      <c r="AY277" s="223">
        <v>4508.7</v>
      </c>
      <c r="CK277" s="22">
        <f t="shared" si="29"/>
        <v>248093.1</v>
      </c>
      <c r="CL277" s="3">
        <f t="shared" si="30"/>
        <v>0</v>
      </c>
      <c r="CM277" s="222">
        <f t="shared" si="31"/>
        <v>12438</v>
      </c>
      <c r="CN277" s="3" t="str">
        <f t="shared" si="28"/>
        <v>ماليزى اسنان</v>
      </c>
    </row>
    <row r="278" spans="3:92" x14ac:dyDescent="0.25">
      <c r="C278" s="223" t="s">
        <v>503</v>
      </c>
      <c r="D278" s="224">
        <v>21071</v>
      </c>
      <c r="E278" s="224">
        <v>12439</v>
      </c>
      <c r="F278" s="250" t="s">
        <v>121</v>
      </c>
      <c r="G278" s="223" t="s">
        <v>5246</v>
      </c>
      <c r="I278" s="223">
        <v>26400</v>
      </c>
      <c r="AV278" s="22">
        <f t="shared" si="27"/>
        <v>26400</v>
      </c>
      <c r="AW278" s="223">
        <v>23631.200000000001</v>
      </c>
      <c r="AX278" s="223">
        <v>2768.8</v>
      </c>
      <c r="CK278" s="22">
        <f t="shared" si="29"/>
        <v>26400</v>
      </c>
      <c r="CL278" s="3">
        <f t="shared" si="30"/>
        <v>0</v>
      </c>
      <c r="CM278" s="222">
        <f t="shared" si="31"/>
        <v>12439</v>
      </c>
      <c r="CN278" s="3" t="str">
        <f t="shared" si="28"/>
        <v>ماليزى اسنان</v>
      </c>
    </row>
    <row r="279" spans="3:92" x14ac:dyDescent="0.25">
      <c r="C279" s="223" t="s">
        <v>503</v>
      </c>
      <c r="D279" s="224">
        <v>21085</v>
      </c>
      <c r="E279" s="224">
        <v>12440</v>
      </c>
      <c r="F279" s="250" t="s">
        <v>121</v>
      </c>
      <c r="G279" s="223" t="s">
        <v>5246</v>
      </c>
      <c r="I279" s="223">
        <v>4800</v>
      </c>
      <c r="AV279" s="22">
        <f t="shared" si="27"/>
        <v>4800</v>
      </c>
      <c r="AW279" s="223">
        <v>4284.3500000000004</v>
      </c>
      <c r="AX279" s="223">
        <v>515.65</v>
      </c>
      <c r="CK279" s="22">
        <f t="shared" si="29"/>
        <v>4800</v>
      </c>
      <c r="CL279" s="3">
        <f t="shared" si="30"/>
        <v>0</v>
      </c>
      <c r="CM279" s="222">
        <f t="shared" si="31"/>
        <v>12440</v>
      </c>
      <c r="CN279" s="3" t="str">
        <f t="shared" si="28"/>
        <v>ماليزى اسنان</v>
      </c>
    </row>
    <row r="280" spans="3:92" x14ac:dyDescent="0.25">
      <c r="C280" s="223" t="s">
        <v>503</v>
      </c>
      <c r="D280" s="224">
        <v>21084</v>
      </c>
      <c r="E280" s="224">
        <v>12441</v>
      </c>
      <c r="F280" s="250" t="s">
        <v>121</v>
      </c>
      <c r="G280" s="223" t="s">
        <v>5246</v>
      </c>
      <c r="I280" s="223">
        <v>7260</v>
      </c>
      <c r="AV280" s="22">
        <f t="shared" si="27"/>
        <v>7260</v>
      </c>
      <c r="AW280" s="223">
        <v>6480.95</v>
      </c>
      <c r="AX280" s="223">
        <v>779.05</v>
      </c>
      <c r="CK280" s="22">
        <f t="shared" si="29"/>
        <v>7260</v>
      </c>
      <c r="CL280" s="3">
        <f t="shared" si="30"/>
        <v>0</v>
      </c>
      <c r="CM280" s="222">
        <f t="shared" si="31"/>
        <v>12441</v>
      </c>
      <c r="CN280" s="3" t="str">
        <f t="shared" si="28"/>
        <v>ماليزى اسنان</v>
      </c>
    </row>
    <row r="281" spans="3:92" x14ac:dyDescent="0.25">
      <c r="C281" s="223" t="s">
        <v>503</v>
      </c>
      <c r="D281" s="224">
        <v>21083</v>
      </c>
      <c r="E281" s="224">
        <v>12442</v>
      </c>
      <c r="F281" s="250" t="s">
        <v>121</v>
      </c>
      <c r="G281" s="223" t="s">
        <v>5246</v>
      </c>
      <c r="I281" s="223">
        <v>11880</v>
      </c>
      <c r="AV281" s="22">
        <f t="shared" si="27"/>
        <v>11880</v>
      </c>
      <c r="AW281" s="223">
        <v>10605</v>
      </c>
      <c r="AX281" s="223">
        <v>1275</v>
      </c>
      <c r="CK281" s="22">
        <f t="shared" si="29"/>
        <v>11880</v>
      </c>
      <c r="CL281" s="3">
        <f t="shared" si="30"/>
        <v>0</v>
      </c>
      <c r="CM281" s="222">
        <f t="shared" si="31"/>
        <v>12442</v>
      </c>
      <c r="CN281" s="3" t="str">
        <f t="shared" si="28"/>
        <v>ماليزى اسنان</v>
      </c>
    </row>
    <row r="282" spans="3:92" x14ac:dyDescent="0.25">
      <c r="C282" s="223" t="s">
        <v>503</v>
      </c>
      <c r="D282" s="224">
        <v>21082</v>
      </c>
      <c r="E282" s="224">
        <v>12443</v>
      </c>
      <c r="F282" s="250" t="s">
        <v>121</v>
      </c>
      <c r="G282" s="223" t="s">
        <v>5246</v>
      </c>
      <c r="I282" s="223">
        <v>3600</v>
      </c>
      <c r="AV282" s="22">
        <f t="shared" si="27"/>
        <v>3600</v>
      </c>
      <c r="AW282" s="223">
        <v>3213.35</v>
      </c>
      <c r="AX282" s="223">
        <v>386.65</v>
      </c>
      <c r="CK282" s="22">
        <f t="shared" si="29"/>
        <v>3600</v>
      </c>
      <c r="CL282" s="3">
        <f t="shared" si="30"/>
        <v>0</v>
      </c>
      <c r="CM282" s="222">
        <f t="shared" si="31"/>
        <v>12443</v>
      </c>
      <c r="CN282" s="3" t="str">
        <f t="shared" si="28"/>
        <v>ماليزى اسنان</v>
      </c>
    </row>
    <row r="283" spans="3:92" x14ac:dyDescent="0.25">
      <c r="C283" s="223" t="s">
        <v>503</v>
      </c>
      <c r="D283" s="224">
        <v>21081</v>
      </c>
      <c r="E283" s="224">
        <v>12444</v>
      </c>
      <c r="F283" s="250" t="s">
        <v>121</v>
      </c>
      <c r="G283" s="223" t="s">
        <v>5246</v>
      </c>
      <c r="I283" s="223">
        <v>8460</v>
      </c>
      <c r="AV283" s="22">
        <f t="shared" si="27"/>
        <v>8460</v>
      </c>
      <c r="AW283" s="223">
        <v>7552.95</v>
      </c>
      <c r="AX283" s="223">
        <v>907.05</v>
      </c>
      <c r="CK283" s="22">
        <f t="shared" si="29"/>
        <v>8460</v>
      </c>
      <c r="CL283" s="3">
        <f t="shared" si="30"/>
        <v>0</v>
      </c>
      <c r="CM283" s="222">
        <f t="shared" si="31"/>
        <v>12444</v>
      </c>
      <c r="CN283" s="3" t="str">
        <f t="shared" si="28"/>
        <v>ماليزى اسنان</v>
      </c>
    </row>
    <row r="284" spans="3:92" x14ac:dyDescent="0.25">
      <c r="C284" s="223" t="s">
        <v>503</v>
      </c>
      <c r="D284" s="224">
        <v>21086</v>
      </c>
      <c r="E284" s="224">
        <v>12445</v>
      </c>
      <c r="F284" s="250" t="s">
        <v>121</v>
      </c>
      <c r="G284" s="223" t="s">
        <v>5246</v>
      </c>
      <c r="I284" s="223">
        <v>10692.6</v>
      </c>
      <c r="AV284" s="22">
        <f t="shared" si="27"/>
        <v>10692.6</v>
      </c>
      <c r="AW284" s="223">
        <v>8976.2000000000007</v>
      </c>
      <c r="AX284" s="223">
        <v>1106.2</v>
      </c>
      <c r="AY284" s="223">
        <v>610.20000000000005</v>
      </c>
      <c r="CK284" s="22">
        <f t="shared" si="29"/>
        <v>10692.600000000002</v>
      </c>
      <c r="CL284" s="3">
        <f t="shared" si="30"/>
        <v>0</v>
      </c>
      <c r="CM284" s="222">
        <f t="shared" si="31"/>
        <v>12445</v>
      </c>
      <c r="CN284" s="3" t="str">
        <f t="shared" si="28"/>
        <v>ماليزى اسنان</v>
      </c>
    </row>
    <row r="285" spans="3:92" x14ac:dyDescent="0.25">
      <c r="C285" s="223" t="s">
        <v>503</v>
      </c>
      <c r="D285" s="224">
        <v>21087</v>
      </c>
      <c r="E285" s="224">
        <v>12446</v>
      </c>
      <c r="F285" s="250" t="s">
        <v>121</v>
      </c>
      <c r="G285" s="223" t="s">
        <v>5246</v>
      </c>
      <c r="I285" s="223">
        <v>6600</v>
      </c>
      <c r="AV285" s="22">
        <f t="shared" si="27"/>
        <v>6600</v>
      </c>
      <c r="AW285" s="223">
        <v>5891.9</v>
      </c>
      <c r="AX285" s="223">
        <v>708.1</v>
      </c>
      <c r="CK285" s="22">
        <f t="shared" si="29"/>
        <v>6600</v>
      </c>
      <c r="CL285" s="3">
        <f t="shared" si="30"/>
        <v>0</v>
      </c>
      <c r="CM285" s="222">
        <f t="shared" si="31"/>
        <v>12446</v>
      </c>
      <c r="CN285" s="3" t="str">
        <f t="shared" si="28"/>
        <v>ماليزى اسنان</v>
      </c>
    </row>
    <row r="286" spans="3:92" x14ac:dyDescent="0.25">
      <c r="C286" s="223" t="s">
        <v>503</v>
      </c>
      <c r="D286" s="224">
        <v>21662</v>
      </c>
      <c r="E286" s="224">
        <v>12447</v>
      </c>
      <c r="F286" s="250" t="s">
        <v>121</v>
      </c>
      <c r="G286" s="223" t="s">
        <v>5247</v>
      </c>
      <c r="I286" s="223">
        <v>197820</v>
      </c>
      <c r="AV286" s="22">
        <f t="shared" si="27"/>
        <v>197820</v>
      </c>
      <c r="AW286" s="223">
        <v>176983.85</v>
      </c>
      <c r="AX286" s="223">
        <v>20836.150000000001</v>
      </c>
      <c r="CK286" s="22">
        <f t="shared" si="29"/>
        <v>197820</v>
      </c>
      <c r="CL286" s="3">
        <f t="shared" si="30"/>
        <v>0</v>
      </c>
      <c r="CM286" s="222">
        <f t="shared" si="31"/>
        <v>12447</v>
      </c>
      <c r="CN286" s="3" t="str">
        <f t="shared" si="28"/>
        <v>ماليزى اسنان</v>
      </c>
    </row>
    <row r="287" spans="3:92" x14ac:dyDescent="0.25">
      <c r="C287" s="223" t="s">
        <v>503</v>
      </c>
      <c r="D287" s="224">
        <v>21661</v>
      </c>
      <c r="E287" s="224">
        <v>12448</v>
      </c>
      <c r="F287" s="250" t="s">
        <v>121</v>
      </c>
      <c r="G287" s="223" t="s">
        <v>5247</v>
      </c>
      <c r="I287" s="223">
        <v>31200</v>
      </c>
      <c r="AV287" s="22">
        <f t="shared" si="27"/>
        <v>31200</v>
      </c>
      <c r="AW287" s="223">
        <v>27936.799999999999</v>
      </c>
      <c r="AX287" s="223">
        <v>3263.2</v>
      </c>
      <c r="CK287" s="22">
        <f t="shared" si="29"/>
        <v>31200</v>
      </c>
      <c r="CL287" s="3">
        <f t="shared" si="30"/>
        <v>0</v>
      </c>
      <c r="CM287" s="222">
        <f t="shared" si="31"/>
        <v>12448</v>
      </c>
      <c r="CN287" s="3" t="str">
        <f t="shared" si="28"/>
        <v>ماليزى اسنان</v>
      </c>
    </row>
    <row r="288" spans="3:92" x14ac:dyDescent="0.25">
      <c r="C288" s="223" t="s">
        <v>503</v>
      </c>
      <c r="D288" s="224">
        <v>21660</v>
      </c>
      <c r="E288" s="224">
        <v>12449</v>
      </c>
      <c r="F288" s="250" t="s">
        <v>121</v>
      </c>
      <c r="G288" s="223" t="s">
        <v>5247</v>
      </c>
      <c r="I288" s="223">
        <v>223560</v>
      </c>
      <c r="AV288" s="22">
        <f t="shared" si="27"/>
        <v>223560</v>
      </c>
      <c r="AW288" s="223">
        <v>200060.79999999999</v>
      </c>
      <c r="AX288" s="223">
        <v>23499.200000000001</v>
      </c>
      <c r="CK288" s="22">
        <f t="shared" si="29"/>
        <v>223560</v>
      </c>
      <c r="CL288" s="3">
        <f t="shared" si="30"/>
        <v>0</v>
      </c>
      <c r="CM288" s="222">
        <f t="shared" si="31"/>
        <v>12449</v>
      </c>
      <c r="CN288" s="3" t="str">
        <f t="shared" si="28"/>
        <v>ماليزى اسنان</v>
      </c>
    </row>
    <row r="289" spans="3:92" x14ac:dyDescent="0.25">
      <c r="C289" s="223" t="s">
        <v>503</v>
      </c>
      <c r="D289" s="224">
        <v>2165</v>
      </c>
      <c r="E289" s="224">
        <v>12450</v>
      </c>
      <c r="F289" s="250" t="s">
        <v>121</v>
      </c>
      <c r="G289" s="223" t="s">
        <v>5247</v>
      </c>
      <c r="I289" s="223">
        <v>7110</v>
      </c>
      <c r="AV289" s="22">
        <f t="shared" si="27"/>
        <v>7110</v>
      </c>
      <c r="AW289" s="223">
        <v>6305.3</v>
      </c>
      <c r="AX289" s="223">
        <f>711+48.7</f>
        <v>759.7</v>
      </c>
      <c r="BA289" s="223">
        <v>45</v>
      </c>
      <c r="CK289" s="22">
        <f t="shared" si="29"/>
        <v>7110</v>
      </c>
      <c r="CL289" s="3">
        <f t="shared" si="30"/>
        <v>0</v>
      </c>
      <c r="CM289" s="222">
        <f t="shared" si="31"/>
        <v>12450</v>
      </c>
      <c r="CN289" s="3" t="str">
        <f t="shared" si="28"/>
        <v>ماليزى اسنان</v>
      </c>
    </row>
    <row r="290" spans="3:92" x14ac:dyDescent="0.25">
      <c r="C290" s="223" t="s">
        <v>503</v>
      </c>
      <c r="D290" s="224">
        <v>21658</v>
      </c>
      <c r="E290" s="224">
        <v>12451</v>
      </c>
      <c r="F290" s="250" t="s">
        <v>121</v>
      </c>
      <c r="G290" s="223" t="s">
        <v>5247</v>
      </c>
      <c r="I290" s="223">
        <v>3849.86</v>
      </c>
      <c r="AV290" s="22">
        <f t="shared" si="27"/>
        <v>3849.86</v>
      </c>
      <c r="AW290" s="223">
        <v>3332.75</v>
      </c>
      <c r="AX290" s="223">
        <v>402.7</v>
      </c>
      <c r="AY290" s="223">
        <v>114.41</v>
      </c>
      <c r="CK290" s="22">
        <f t="shared" si="29"/>
        <v>3849.8599999999997</v>
      </c>
      <c r="CL290" s="3">
        <f t="shared" si="30"/>
        <v>0</v>
      </c>
      <c r="CM290" s="222">
        <f t="shared" si="31"/>
        <v>12451</v>
      </c>
      <c r="CN290" s="3" t="str">
        <f t="shared" si="28"/>
        <v>ماليزى اسنان</v>
      </c>
    </row>
    <row r="291" spans="3:92" x14ac:dyDescent="0.25">
      <c r="C291" s="223" t="s">
        <v>503</v>
      </c>
      <c r="D291" s="224">
        <v>21657</v>
      </c>
      <c r="E291" s="224">
        <v>12452</v>
      </c>
      <c r="F291" s="250" t="s">
        <v>121</v>
      </c>
      <c r="G291" s="223" t="s">
        <v>5247</v>
      </c>
      <c r="I291" s="223">
        <v>1680</v>
      </c>
      <c r="AV291" s="22">
        <f t="shared" si="27"/>
        <v>1680</v>
      </c>
      <c r="AW291" s="223">
        <v>1500.9</v>
      </c>
      <c r="AX291" s="223">
        <v>179.1</v>
      </c>
      <c r="CK291" s="22">
        <f t="shared" si="29"/>
        <v>1680</v>
      </c>
      <c r="CL291" s="3">
        <f t="shared" si="30"/>
        <v>0</v>
      </c>
      <c r="CM291" s="222">
        <f t="shared" si="31"/>
        <v>12452</v>
      </c>
      <c r="CN291" s="3" t="str">
        <f t="shared" si="28"/>
        <v>ماليزى اسنان</v>
      </c>
    </row>
    <row r="292" spans="3:92" x14ac:dyDescent="0.25">
      <c r="C292" s="223" t="s">
        <v>503</v>
      </c>
      <c r="D292" s="224">
        <v>21656</v>
      </c>
      <c r="E292" s="224">
        <v>12453</v>
      </c>
      <c r="F292" s="250" t="s">
        <v>121</v>
      </c>
      <c r="G292" s="223" t="s">
        <v>5247</v>
      </c>
      <c r="I292" s="223">
        <v>1200</v>
      </c>
      <c r="AV292" s="22">
        <f t="shared" si="27"/>
        <v>1200</v>
      </c>
      <c r="AW292" s="223">
        <v>1071.3499999999999</v>
      </c>
      <c r="AX292" s="223">
        <v>128.65</v>
      </c>
      <c r="CK292" s="22">
        <f t="shared" si="29"/>
        <v>1200</v>
      </c>
      <c r="CL292" s="3">
        <f t="shared" si="30"/>
        <v>0</v>
      </c>
      <c r="CM292" s="222">
        <f t="shared" si="31"/>
        <v>12453</v>
      </c>
      <c r="CN292" s="3" t="str">
        <f t="shared" si="28"/>
        <v>ماليزى اسنان</v>
      </c>
    </row>
    <row r="293" spans="3:92" x14ac:dyDescent="0.25">
      <c r="C293" s="223" t="s">
        <v>503</v>
      </c>
      <c r="D293" s="224">
        <v>21655</v>
      </c>
      <c r="E293" s="224">
        <v>12454</v>
      </c>
      <c r="F293" s="250" t="s">
        <v>121</v>
      </c>
      <c r="G293" s="223" t="s">
        <v>5247</v>
      </c>
      <c r="I293" s="223">
        <v>5040</v>
      </c>
      <c r="AV293" s="22">
        <f t="shared" si="27"/>
        <v>5040</v>
      </c>
      <c r="AW293" s="223">
        <v>4496.05</v>
      </c>
      <c r="AX293" s="223">
        <v>543.95000000000005</v>
      </c>
      <c r="CK293" s="22">
        <f t="shared" si="29"/>
        <v>5040</v>
      </c>
      <c r="CL293" s="3">
        <f t="shared" si="30"/>
        <v>0</v>
      </c>
      <c r="CM293" s="222">
        <f t="shared" si="31"/>
        <v>12454</v>
      </c>
      <c r="CN293" s="3" t="str">
        <f t="shared" si="28"/>
        <v>ماليزى اسنان</v>
      </c>
    </row>
    <row r="294" spans="3:92" x14ac:dyDescent="0.25">
      <c r="C294" s="223" t="s">
        <v>503</v>
      </c>
      <c r="D294" s="224">
        <v>21654</v>
      </c>
      <c r="E294" s="224">
        <v>12455</v>
      </c>
      <c r="F294" s="250" t="s">
        <v>121</v>
      </c>
      <c r="G294" s="223" t="s">
        <v>5247</v>
      </c>
      <c r="I294" s="223">
        <v>8100</v>
      </c>
      <c r="AV294" s="22">
        <f t="shared" si="27"/>
        <v>8100</v>
      </c>
      <c r="AW294" s="223">
        <v>7225.6</v>
      </c>
      <c r="AX294" s="223">
        <v>874.4</v>
      </c>
      <c r="CK294" s="22">
        <f t="shared" si="29"/>
        <v>8100</v>
      </c>
      <c r="CL294" s="3">
        <f t="shared" si="30"/>
        <v>0</v>
      </c>
      <c r="CM294" s="222">
        <f t="shared" si="31"/>
        <v>12455</v>
      </c>
      <c r="CN294" s="3" t="str">
        <f t="shared" si="28"/>
        <v>ماليزى اسنان</v>
      </c>
    </row>
    <row r="295" spans="3:92" x14ac:dyDescent="0.25">
      <c r="C295" s="223" t="s">
        <v>503</v>
      </c>
      <c r="D295" s="224">
        <v>21653</v>
      </c>
      <c r="E295" s="224">
        <v>12456</v>
      </c>
      <c r="F295" s="250" t="s">
        <v>121</v>
      </c>
      <c r="G295" s="223" t="s">
        <v>5247</v>
      </c>
      <c r="I295" s="223">
        <v>3600</v>
      </c>
      <c r="AV295" s="22">
        <f t="shared" si="27"/>
        <v>3600</v>
      </c>
      <c r="AW295" s="223">
        <v>3213.35</v>
      </c>
      <c r="AX295" s="223">
        <v>386.65</v>
      </c>
      <c r="CK295" s="22">
        <f t="shared" si="29"/>
        <v>3600</v>
      </c>
      <c r="CL295" s="3">
        <f t="shared" si="30"/>
        <v>0</v>
      </c>
      <c r="CM295" s="222">
        <f t="shared" si="31"/>
        <v>12456</v>
      </c>
      <c r="CN295" s="3" t="str">
        <f t="shared" si="28"/>
        <v>ماليزى اسنان</v>
      </c>
    </row>
    <row r="296" spans="3:92" x14ac:dyDescent="0.25">
      <c r="C296" s="223" t="s">
        <v>503</v>
      </c>
      <c r="D296" s="224">
        <v>21652</v>
      </c>
      <c r="E296" s="224">
        <v>12457</v>
      </c>
      <c r="F296" s="250" t="s">
        <v>121</v>
      </c>
      <c r="G296" s="223" t="s">
        <v>5247</v>
      </c>
      <c r="I296" s="223">
        <v>2250</v>
      </c>
      <c r="AV296" s="22">
        <f t="shared" si="27"/>
        <v>2250</v>
      </c>
      <c r="AW296" s="223">
        <v>2008.5</v>
      </c>
      <c r="AX296" s="223">
        <v>241.5</v>
      </c>
      <c r="CK296" s="22">
        <f t="shared" si="29"/>
        <v>2250</v>
      </c>
      <c r="CL296" s="3">
        <f t="shared" si="30"/>
        <v>0</v>
      </c>
      <c r="CM296" s="222">
        <f t="shared" si="31"/>
        <v>12457</v>
      </c>
      <c r="CN296" s="3" t="str">
        <f t="shared" si="28"/>
        <v>ماليزى اسنان</v>
      </c>
    </row>
    <row r="297" spans="3:92" x14ac:dyDescent="0.25">
      <c r="C297" s="223" t="s">
        <v>503</v>
      </c>
      <c r="D297" s="224">
        <v>21651</v>
      </c>
      <c r="E297" s="224">
        <v>12458</v>
      </c>
      <c r="F297" s="250" t="s">
        <v>121</v>
      </c>
      <c r="G297" s="223" t="s">
        <v>5247</v>
      </c>
      <c r="I297" s="223">
        <v>3915</v>
      </c>
      <c r="AV297" s="22">
        <f t="shared" si="27"/>
        <v>3915</v>
      </c>
      <c r="AW297" s="223">
        <v>3494.85</v>
      </c>
      <c r="AX297" s="223">
        <v>420.15</v>
      </c>
      <c r="CK297" s="22">
        <f t="shared" si="29"/>
        <v>3915</v>
      </c>
      <c r="CL297" s="3">
        <f t="shared" si="30"/>
        <v>0</v>
      </c>
      <c r="CM297" s="222">
        <f t="shared" si="31"/>
        <v>12458</v>
      </c>
      <c r="CN297" s="3" t="str">
        <f t="shared" si="28"/>
        <v>ماليزى اسنان</v>
      </c>
    </row>
    <row r="298" spans="3:92" x14ac:dyDescent="0.25">
      <c r="C298" s="223" t="s">
        <v>503</v>
      </c>
      <c r="D298" s="224">
        <v>21650</v>
      </c>
      <c r="E298" s="224">
        <v>12459</v>
      </c>
      <c r="F298" s="250" t="s">
        <v>121</v>
      </c>
      <c r="G298" s="223" t="s">
        <v>5247</v>
      </c>
      <c r="I298" s="223">
        <v>15600</v>
      </c>
      <c r="AV298" s="22">
        <f t="shared" si="27"/>
        <v>15600</v>
      </c>
      <c r="AW298" s="223">
        <v>13916</v>
      </c>
      <c r="AX298" s="223">
        <v>1684</v>
      </c>
      <c r="CK298" s="22">
        <f t="shared" si="29"/>
        <v>15600</v>
      </c>
      <c r="CL298" s="3">
        <f t="shared" si="30"/>
        <v>0</v>
      </c>
      <c r="CM298" s="222">
        <f t="shared" si="31"/>
        <v>12459</v>
      </c>
      <c r="CN298" s="3" t="str">
        <f t="shared" si="28"/>
        <v>ماليزى اسنان</v>
      </c>
    </row>
    <row r="299" spans="3:92" x14ac:dyDescent="0.25">
      <c r="C299" s="223" t="s">
        <v>503</v>
      </c>
      <c r="D299" s="224">
        <v>21649</v>
      </c>
      <c r="E299" s="224">
        <v>12460</v>
      </c>
      <c r="F299" s="250" t="s">
        <v>121</v>
      </c>
      <c r="G299" s="223" t="s">
        <v>5247</v>
      </c>
      <c r="I299" s="223">
        <v>34415</v>
      </c>
      <c r="AV299" s="22">
        <f t="shared" si="27"/>
        <v>34415</v>
      </c>
      <c r="AW299" s="223">
        <v>26716.26</v>
      </c>
      <c r="AX299" s="223">
        <v>3416.2</v>
      </c>
      <c r="AY299" s="223">
        <v>4282.54</v>
      </c>
      <c r="CK299" s="22">
        <f t="shared" si="29"/>
        <v>34415</v>
      </c>
      <c r="CL299" s="3">
        <f t="shared" si="30"/>
        <v>0</v>
      </c>
      <c r="CM299" s="222">
        <f t="shared" si="31"/>
        <v>12460</v>
      </c>
      <c r="CN299" s="3" t="str">
        <f t="shared" si="28"/>
        <v>ماليزى اسنان</v>
      </c>
    </row>
    <row r="300" spans="3:92" x14ac:dyDescent="0.25">
      <c r="C300" s="223" t="s">
        <v>503</v>
      </c>
      <c r="D300" s="224">
        <v>21648</v>
      </c>
      <c r="E300" s="224">
        <v>12461</v>
      </c>
      <c r="F300" s="250" t="s">
        <v>121</v>
      </c>
      <c r="G300" s="223" t="s">
        <v>5247</v>
      </c>
      <c r="I300" s="223">
        <v>222122.93</v>
      </c>
      <c r="AV300" s="22">
        <f t="shared" si="27"/>
        <v>222122.93</v>
      </c>
      <c r="AW300" s="223">
        <v>198403.16</v>
      </c>
      <c r="AX300" s="223">
        <v>23518.45</v>
      </c>
      <c r="AY300" s="223">
        <v>201.32</v>
      </c>
      <c r="CK300" s="22">
        <f t="shared" si="29"/>
        <v>222122.93000000002</v>
      </c>
      <c r="CL300" s="3">
        <f t="shared" si="30"/>
        <v>0</v>
      </c>
      <c r="CM300" s="222">
        <f t="shared" si="31"/>
        <v>12461</v>
      </c>
      <c r="CN300" s="3" t="str">
        <f t="shared" si="28"/>
        <v>ماليزى اسنان</v>
      </c>
    </row>
    <row r="301" spans="3:92" x14ac:dyDescent="0.25">
      <c r="C301" s="223" t="s">
        <v>503</v>
      </c>
      <c r="D301" s="224">
        <v>21646</v>
      </c>
      <c r="E301" s="224">
        <v>12462</v>
      </c>
      <c r="F301" s="250" t="s">
        <v>121</v>
      </c>
      <c r="G301" s="223" t="s">
        <v>5247</v>
      </c>
      <c r="I301" s="223">
        <v>13034.93</v>
      </c>
      <c r="AV301" s="22">
        <f t="shared" ref="AV301:AV364" si="32">SUM(I301:AU301)</f>
        <v>13034.93</v>
      </c>
      <c r="AW301" s="223">
        <v>10793.88</v>
      </c>
      <c r="AX301" s="223">
        <v>1332.25</v>
      </c>
      <c r="AY301" s="223">
        <v>908.8</v>
      </c>
      <c r="CK301" s="22">
        <f t="shared" si="29"/>
        <v>13034.929999999998</v>
      </c>
      <c r="CL301" s="3">
        <f t="shared" si="30"/>
        <v>0</v>
      </c>
      <c r="CM301" s="222">
        <f t="shared" si="31"/>
        <v>12462</v>
      </c>
      <c r="CN301" s="3" t="str">
        <f t="shared" si="28"/>
        <v>ماليزى اسنان</v>
      </c>
    </row>
    <row r="302" spans="3:92" x14ac:dyDescent="0.25">
      <c r="C302" s="223" t="s">
        <v>503</v>
      </c>
      <c r="D302" s="224">
        <v>21645</v>
      </c>
      <c r="E302" s="224">
        <v>12463</v>
      </c>
      <c r="F302" s="250" t="s">
        <v>121</v>
      </c>
      <c r="G302" s="223" t="s">
        <v>5247</v>
      </c>
      <c r="I302" s="223">
        <v>81639.88</v>
      </c>
      <c r="AV302" s="22">
        <f t="shared" si="32"/>
        <v>81639.88</v>
      </c>
      <c r="AW302" s="223">
        <v>68438.490000000005</v>
      </c>
      <c r="AX302" s="223">
        <v>8419.5499999999993</v>
      </c>
      <c r="AY302" s="223">
        <v>4781.84</v>
      </c>
      <c r="CK302" s="22">
        <f t="shared" si="29"/>
        <v>81639.88</v>
      </c>
      <c r="CL302" s="3">
        <f t="shared" si="30"/>
        <v>0</v>
      </c>
      <c r="CM302" s="222">
        <f t="shared" si="31"/>
        <v>12463</v>
      </c>
      <c r="CN302" s="3" t="str">
        <f t="shared" si="28"/>
        <v>ماليزى اسنان</v>
      </c>
    </row>
    <row r="303" spans="3:92" x14ac:dyDescent="0.25">
      <c r="C303" s="223" t="s">
        <v>503</v>
      </c>
      <c r="D303" s="224">
        <v>21629</v>
      </c>
      <c r="E303" s="224">
        <v>12464</v>
      </c>
      <c r="F303" s="250" t="s">
        <v>121</v>
      </c>
      <c r="G303" s="223" t="s">
        <v>5247</v>
      </c>
      <c r="I303" s="223">
        <v>55154.400000000001</v>
      </c>
      <c r="AV303" s="22">
        <f t="shared" si="32"/>
        <v>55154.400000000001</v>
      </c>
      <c r="AW303" s="223">
        <v>36863.35</v>
      </c>
      <c r="AX303" s="223">
        <f>298.25+4704</f>
        <v>5002.25</v>
      </c>
      <c r="AY303" s="223">
        <f>18291.05-AX303</f>
        <v>13288.8</v>
      </c>
      <c r="CK303" s="22">
        <f t="shared" si="29"/>
        <v>55154.399999999994</v>
      </c>
      <c r="CL303" s="3">
        <f t="shared" si="30"/>
        <v>0</v>
      </c>
      <c r="CM303" s="222">
        <f t="shared" si="31"/>
        <v>12464</v>
      </c>
      <c r="CN303" s="3" t="str">
        <f t="shared" si="28"/>
        <v>ماليزى اسنان</v>
      </c>
    </row>
    <row r="304" spans="3:92" x14ac:dyDescent="0.25">
      <c r="C304" s="223" t="s">
        <v>503</v>
      </c>
      <c r="D304" s="224">
        <v>21628</v>
      </c>
      <c r="E304" s="224">
        <v>12465</v>
      </c>
      <c r="F304" s="250" t="s">
        <v>121</v>
      </c>
      <c r="G304" s="223" t="s">
        <v>5247</v>
      </c>
      <c r="I304" s="223">
        <v>351916.39</v>
      </c>
      <c r="AV304" s="22">
        <f t="shared" si="32"/>
        <v>351916.39</v>
      </c>
      <c r="AW304" s="223">
        <v>303634.33</v>
      </c>
      <c r="AX304" s="223">
        <v>36463.85</v>
      </c>
      <c r="AY304" s="223">
        <v>11818.21</v>
      </c>
      <c r="CK304" s="22">
        <f t="shared" si="29"/>
        <v>351916.39</v>
      </c>
      <c r="CL304" s="3">
        <f t="shared" si="30"/>
        <v>0</v>
      </c>
      <c r="CM304" s="222">
        <f t="shared" si="31"/>
        <v>12465</v>
      </c>
      <c r="CN304" s="3" t="str">
        <f t="shared" si="28"/>
        <v>ماليزى اسنان</v>
      </c>
    </row>
    <row r="305" spans="3:92" x14ac:dyDescent="0.25">
      <c r="C305" s="223" t="s">
        <v>503</v>
      </c>
      <c r="D305" s="224">
        <v>21627</v>
      </c>
      <c r="E305" s="224">
        <v>12466</v>
      </c>
      <c r="F305" s="250" t="s">
        <v>121</v>
      </c>
      <c r="G305" s="223" t="s">
        <v>5247</v>
      </c>
      <c r="I305" s="223">
        <v>12400</v>
      </c>
      <c r="AV305" s="22">
        <f t="shared" si="32"/>
        <v>12400</v>
      </c>
      <c r="AW305" s="223">
        <v>11066.35</v>
      </c>
      <c r="AX305" s="223">
        <v>1333.65</v>
      </c>
      <c r="CK305" s="22">
        <f t="shared" si="29"/>
        <v>12400</v>
      </c>
      <c r="CL305" s="3">
        <f t="shared" si="30"/>
        <v>0</v>
      </c>
      <c r="CM305" s="222">
        <f t="shared" si="31"/>
        <v>12466</v>
      </c>
      <c r="CN305" s="3" t="str">
        <f t="shared" si="28"/>
        <v>ماليزى اسنان</v>
      </c>
    </row>
    <row r="306" spans="3:92" x14ac:dyDescent="0.25">
      <c r="C306" s="223" t="s">
        <v>503</v>
      </c>
      <c r="D306" s="224">
        <v>21626</v>
      </c>
      <c r="E306" s="224">
        <v>12467</v>
      </c>
      <c r="F306" s="250" t="s">
        <v>121</v>
      </c>
      <c r="G306" s="223" t="s">
        <v>5247</v>
      </c>
      <c r="I306" s="223">
        <v>9175.3700000000008</v>
      </c>
      <c r="AV306" s="22">
        <f t="shared" si="32"/>
        <v>9175.3700000000008</v>
      </c>
      <c r="AW306" s="223">
        <v>7368.6</v>
      </c>
      <c r="AX306" s="223">
        <v>930</v>
      </c>
      <c r="AY306" s="223">
        <v>876.77</v>
      </c>
      <c r="CK306" s="22">
        <f t="shared" si="29"/>
        <v>9175.3700000000008</v>
      </c>
      <c r="CL306" s="3">
        <f t="shared" si="30"/>
        <v>0</v>
      </c>
      <c r="CM306" s="222">
        <f t="shared" si="31"/>
        <v>12467</v>
      </c>
      <c r="CN306" s="3" t="str">
        <f t="shared" si="28"/>
        <v>ماليزى اسنان</v>
      </c>
    </row>
    <row r="307" spans="3:92" x14ac:dyDescent="0.25">
      <c r="C307" s="223" t="s">
        <v>503</v>
      </c>
      <c r="D307" s="224">
        <v>21625</v>
      </c>
      <c r="E307" s="224">
        <v>12468</v>
      </c>
      <c r="F307" s="250" t="s">
        <v>121</v>
      </c>
      <c r="G307" s="223" t="s">
        <v>5247</v>
      </c>
      <c r="I307" s="223">
        <v>6480</v>
      </c>
      <c r="AV307" s="22">
        <f t="shared" si="32"/>
        <v>6480</v>
      </c>
      <c r="AW307" s="223">
        <v>5780.55</v>
      </c>
      <c r="AX307" s="223">
        <v>699.45</v>
      </c>
      <c r="CK307" s="22">
        <f t="shared" si="29"/>
        <v>6480</v>
      </c>
      <c r="CL307" s="3">
        <f t="shared" si="30"/>
        <v>0</v>
      </c>
      <c r="CM307" s="222">
        <f t="shared" si="31"/>
        <v>12468</v>
      </c>
      <c r="CN307" s="3" t="str">
        <f t="shared" si="28"/>
        <v>ماليزى اسنان</v>
      </c>
    </row>
    <row r="308" spans="3:92" x14ac:dyDescent="0.25">
      <c r="C308" s="223" t="s">
        <v>503</v>
      </c>
      <c r="D308" s="224">
        <v>21624</v>
      </c>
      <c r="E308" s="224">
        <v>12469</v>
      </c>
      <c r="F308" s="250" t="s">
        <v>121</v>
      </c>
      <c r="G308" s="223" t="s">
        <v>5247</v>
      </c>
      <c r="I308" s="223">
        <v>160680</v>
      </c>
      <c r="AV308" s="22">
        <f t="shared" si="32"/>
        <v>160680</v>
      </c>
      <c r="AW308" s="223">
        <v>143658.79999999999</v>
      </c>
      <c r="AX308" s="223">
        <v>17021.2</v>
      </c>
      <c r="CK308" s="22">
        <f t="shared" si="29"/>
        <v>160680</v>
      </c>
      <c r="CL308" s="3">
        <f t="shared" si="30"/>
        <v>0</v>
      </c>
      <c r="CM308" s="222">
        <f t="shared" si="31"/>
        <v>12469</v>
      </c>
      <c r="CN308" s="3" t="str">
        <f t="shared" si="28"/>
        <v>ماليزى اسنان</v>
      </c>
    </row>
    <row r="309" spans="3:92" x14ac:dyDescent="0.25">
      <c r="C309" s="223" t="s">
        <v>503</v>
      </c>
      <c r="D309" s="224">
        <v>21623</v>
      </c>
      <c r="E309" s="224">
        <v>12470</v>
      </c>
      <c r="F309" s="250" t="s">
        <v>121</v>
      </c>
      <c r="G309" s="223" t="s">
        <v>5247</v>
      </c>
      <c r="I309" s="223">
        <v>28000</v>
      </c>
      <c r="AV309" s="22">
        <f t="shared" si="32"/>
        <v>28000</v>
      </c>
      <c r="AW309" s="223">
        <v>25066.400000000001</v>
      </c>
      <c r="AX309" s="223">
        <v>2933.6</v>
      </c>
      <c r="CK309" s="22">
        <f t="shared" si="29"/>
        <v>28000</v>
      </c>
      <c r="CL309" s="3">
        <f t="shared" si="30"/>
        <v>0</v>
      </c>
      <c r="CM309" s="222">
        <f t="shared" si="31"/>
        <v>12470</v>
      </c>
      <c r="CN309" s="3" t="str">
        <f t="shared" si="28"/>
        <v>ماليزى اسنان</v>
      </c>
    </row>
    <row r="310" spans="3:92" x14ac:dyDescent="0.25">
      <c r="C310" s="223" t="s">
        <v>503</v>
      </c>
      <c r="D310" s="224">
        <v>21652</v>
      </c>
      <c r="E310" s="224">
        <v>12471</v>
      </c>
      <c r="F310" s="250" t="s">
        <v>121</v>
      </c>
      <c r="G310" s="223" t="s">
        <v>5247</v>
      </c>
      <c r="I310" s="223">
        <v>27065.05</v>
      </c>
      <c r="AV310" s="22">
        <f t="shared" si="32"/>
        <v>27065.05</v>
      </c>
      <c r="AW310" s="223">
        <v>23344.38</v>
      </c>
      <c r="AX310" s="223">
        <v>2828.05</v>
      </c>
      <c r="AY310" s="223">
        <v>892.62</v>
      </c>
      <c r="CK310" s="22">
        <f t="shared" si="29"/>
        <v>27065.05</v>
      </c>
      <c r="CL310" s="3">
        <f t="shared" si="30"/>
        <v>0</v>
      </c>
      <c r="CM310" s="222">
        <f t="shared" si="31"/>
        <v>12471</v>
      </c>
      <c r="CN310" s="3" t="str">
        <f t="shared" si="28"/>
        <v>ماليزى اسنان</v>
      </c>
    </row>
    <row r="311" spans="3:92" x14ac:dyDescent="0.25">
      <c r="C311" s="223" t="s">
        <v>503</v>
      </c>
      <c r="D311" s="224">
        <v>21621</v>
      </c>
      <c r="E311" s="224">
        <v>12472</v>
      </c>
      <c r="F311" s="250" t="s">
        <v>121</v>
      </c>
      <c r="G311" s="223" t="s">
        <v>5247</v>
      </c>
      <c r="I311" s="223">
        <v>25607.4</v>
      </c>
      <c r="AV311" s="22">
        <f t="shared" si="32"/>
        <v>25607.4</v>
      </c>
      <c r="AW311" s="223">
        <v>17108</v>
      </c>
      <c r="AX311" s="223">
        <f>145.6+2184</f>
        <v>2329.6</v>
      </c>
      <c r="AY311" s="223">
        <v>6169.8</v>
      </c>
      <c r="CK311" s="22">
        <f t="shared" si="29"/>
        <v>25607.399999999998</v>
      </c>
      <c r="CL311" s="3">
        <f t="shared" si="30"/>
        <v>0</v>
      </c>
      <c r="CM311" s="222">
        <f t="shared" si="31"/>
        <v>12472</v>
      </c>
      <c r="CN311" s="3" t="str">
        <f t="shared" si="28"/>
        <v>ماليزى اسنان</v>
      </c>
    </row>
    <row r="312" spans="3:92" x14ac:dyDescent="0.25">
      <c r="C312" s="223" t="s">
        <v>503</v>
      </c>
      <c r="D312" s="224">
        <v>21620</v>
      </c>
      <c r="E312" s="224">
        <v>12473</v>
      </c>
      <c r="F312" s="250" t="s">
        <v>121</v>
      </c>
      <c r="G312" s="223" t="s">
        <v>5247</v>
      </c>
      <c r="I312" s="223">
        <v>150898.20000000001</v>
      </c>
      <c r="AV312" s="22">
        <f t="shared" si="32"/>
        <v>150898.20000000001</v>
      </c>
      <c r="AW312" s="223">
        <v>133929.65</v>
      </c>
      <c r="AX312" s="223">
        <v>16087.15</v>
      </c>
      <c r="AY312" s="223">
        <v>881.4</v>
      </c>
      <c r="CK312" s="22">
        <f t="shared" si="29"/>
        <v>150898.19999999998</v>
      </c>
      <c r="CL312" s="3">
        <f t="shared" si="30"/>
        <v>0</v>
      </c>
      <c r="CM312" s="222">
        <f t="shared" si="31"/>
        <v>12473</v>
      </c>
      <c r="CN312" s="3" t="str">
        <f t="shared" si="28"/>
        <v>ماليزى اسنان</v>
      </c>
    </row>
    <row r="313" spans="3:92" x14ac:dyDescent="0.25">
      <c r="C313" s="223" t="s">
        <v>503</v>
      </c>
      <c r="D313" s="224">
        <v>21619</v>
      </c>
      <c r="E313" s="224">
        <v>12474</v>
      </c>
      <c r="F313" s="250" t="s">
        <v>121</v>
      </c>
      <c r="G313" s="223" t="s">
        <v>5247</v>
      </c>
      <c r="I313" s="223">
        <v>24840</v>
      </c>
      <c r="AV313" s="22">
        <f t="shared" si="32"/>
        <v>24840</v>
      </c>
      <c r="AW313" s="223">
        <v>22231.85</v>
      </c>
      <c r="AX313" s="223">
        <v>2608.15</v>
      </c>
      <c r="CK313" s="22">
        <f t="shared" si="29"/>
        <v>24840</v>
      </c>
      <c r="CL313" s="3">
        <f t="shared" si="30"/>
        <v>0</v>
      </c>
      <c r="CM313" s="222">
        <f t="shared" si="31"/>
        <v>12474</v>
      </c>
      <c r="CN313" s="3" t="str">
        <f t="shared" si="28"/>
        <v>ماليزى اسنان</v>
      </c>
    </row>
    <row r="314" spans="3:92" x14ac:dyDescent="0.25">
      <c r="C314" s="223" t="s">
        <v>503</v>
      </c>
      <c r="D314" s="224">
        <v>21617</v>
      </c>
      <c r="E314" s="224">
        <v>12475</v>
      </c>
      <c r="F314" s="250" t="s">
        <v>121</v>
      </c>
      <c r="G314" s="223" t="s">
        <v>5247</v>
      </c>
      <c r="I314" s="223">
        <v>16074.01</v>
      </c>
      <c r="AV314" s="22">
        <f t="shared" si="32"/>
        <v>16074.01</v>
      </c>
      <c r="AW314" s="223">
        <v>12437.68</v>
      </c>
      <c r="AX314" s="223">
        <v>1590.85</v>
      </c>
      <c r="AY314" s="223">
        <v>2045.48</v>
      </c>
      <c r="CK314" s="22">
        <f t="shared" si="29"/>
        <v>16074.01</v>
      </c>
      <c r="CL314" s="3">
        <f t="shared" si="30"/>
        <v>0</v>
      </c>
      <c r="CM314" s="222">
        <f t="shared" si="31"/>
        <v>12475</v>
      </c>
      <c r="CN314" s="3" t="str">
        <f t="shared" si="28"/>
        <v>ماليزى اسنان</v>
      </c>
    </row>
    <row r="315" spans="3:92" x14ac:dyDescent="0.25">
      <c r="C315" s="223" t="s">
        <v>503</v>
      </c>
      <c r="D315" s="224">
        <v>21618</v>
      </c>
      <c r="E315" s="224">
        <v>12476</v>
      </c>
      <c r="F315" s="250" t="s">
        <v>121</v>
      </c>
      <c r="G315" s="223" t="s">
        <v>5247</v>
      </c>
      <c r="I315" s="223">
        <v>14548.75</v>
      </c>
      <c r="AV315" s="22">
        <f t="shared" si="32"/>
        <v>14548.75</v>
      </c>
      <c r="AW315" s="223">
        <v>12222.44</v>
      </c>
      <c r="AX315" s="223">
        <v>1493.15</v>
      </c>
      <c r="AY315" s="223">
        <v>833.16</v>
      </c>
      <c r="CK315" s="22">
        <f t="shared" si="29"/>
        <v>14548.75</v>
      </c>
      <c r="CL315" s="3">
        <f t="shared" si="30"/>
        <v>0</v>
      </c>
      <c r="CM315" s="222">
        <f t="shared" si="31"/>
        <v>12476</v>
      </c>
      <c r="CN315" s="3" t="str">
        <f t="shared" si="28"/>
        <v>ماليزى اسنان</v>
      </c>
    </row>
    <row r="316" spans="3:92" x14ac:dyDescent="0.25">
      <c r="C316" s="223" t="s">
        <v>503</v>
      </c>
      <c r="D316" s="224">
        <v>21615</v>
      </c>
      <c r="E316" s="224">
        <v>12477</v>
      </c>
      <c r="F316" s="250" t="s">
        <v>121</v>
      </c>
      <c r="G316" s="223" t="s">
        <v>5247</v>
      </c>
      <c r="I316" s="223">
        <v>20514.169999999998</v>
      </c>
      <c r="AV316" s="22">
        <f t="shared" si="32"/>
        <v>20514.169999999998</v>
      </c>
      <c r="AW316" s="223">
        <v>14580.69</v>
      </c>
      <c r="AX316" s="223">
        <v>1938.9</v>
      </c>
      <c r="AY316" s="223">
        <v>3994.58</v>
      </c>
      <c r="CK316" s="22">
        <f t="shared" si="29"/>
        <v>20514.169999999998</v>
      </c>
      <c r="CL316" s="3">
        <f t="shared" si="30"/>
        <v>0</v>
      </c>
      <c r="CM316" s="222">
        <f t="shared" si="31"/>
        <v>12477</v>
      </c>
      <c r="CN316" s="3" t="str">
        <f t="shared" si="28"/>
        <v>ماليزى اسنان</v>
      </c>
    </row>
    <row r="317" spans="3:92" x14ac:dyDescent="0.25">
      <c r="C317" s="223" t="s">
        <v>503</v>
      </c>
      <c r="D317" s="224">
        <v>21644</v>
      </c>
      <c r="E317" s="224">
        <v>12478</v>
      </c>
      <c r="F317" s="250" t="s">
        <v>121</v>
      </c>
      <c r="G317" s="223" t="s">
        <v>5247</v>
      </c>
      <c r="I317" s="223">
        <v>9600</v>
      </c>
      <c r="AV317" s="22">
        <f t="shared" si="32"/>
        <v>9600</v>
      </c>
      <c r="AW317" s="223">
        <v>8563.6</v>
      </c>
      <c r="AX317" s="223">
        <v>1036.4000000000001</v>
      </c>
      <c r="CK317" s="22">
        <f t="shared" si="29"/>
        <v>9600</v>
      </c>
      <c r="CL317" s="3">
        <f t="shared" si="30"/>
        <v>0</v>
      </c>
      <c r="CM317" s="222">
        <f t="shared" si="31"/>
        <v>12478</v>
      </c>
      <c r="CN317" s="3" t="str">
        <f t="shared" si="28"/>
        <v>ماليزى اسنان</v>
      </c>
    </row>
    <row r="318" spans="3:92" x14ac:dyDescent="0.25">
      <c r="C318" s="223" t="s">
        <v>503</v>
      </c>
      <c r="D318" s="224">
        <v>21643</v>
      </c>
      <c r="E318" s="224">
        <v>12479</v>
      </c>
      <c r="F318" s="250" t="s">
        <v>121</v>
      </c>
      <c r="G318" s="223" t="s">
        <v>5247</v>
      </c>
      <c r="I318" s="223">
        <v>14400</v>
      </c>
      <c r="AV318" s="22">
        <f t="shared" si="32"/>
        <v>14400</v>
      </c>
      <c r="AW318" s="223">
        <v>12867.2</v>
      </c>
      <c r="AX318" s="223">
        <v>1532.8</v>
      </c>
      <c r="CK318" s="22">
        <f t="shared" si="29"/>
        <v>14400</v>
      </c>
      <c r="CL318" s="3">
        <f t="shared" si="30"/>
        <v>0</v>
      </c>
      <c r="CM318" s="222">
        <f t="shared" si="31"/>
        <v>12479</v>
      </c>
      <c r="CN318" s="3" t="str">
        <f t="shared" si="28"/>
        <v>ماليزى اسنان</v>
      </c>
    </row>
    <row r="319" spans="3:92" x14ac:dyDescent="0.25">
      <c r="C319" s="223" t="s">
        <v>503</v>
      </c>
      <c r="D319" s="224">
        <v>21642</v>
      </c>
      <c r="E319" s="224">
        <v>12480</v>
      </c>
      <c r="F319" s="250" t="s">
        <v>121</v>
      </c>
      <c r="G319" s="223" t="s">
        <v>5247</v>
      </c>
      <c r="I319" s="223">
        <v>5700</v>
      </c>
      <c r="AV319" s="22">
        <f t="shared" si="32"/>
        <v>5700</v>
      </c>
      <c r="AW319" s="223">
        <v>5089.2</v>
      </c>
      <c r="AX319" s="223">
        <v>610.79999999999995</v>
      </c>
      <c r="CK319" s="22">
        <f t="shared" si="29"/>
        <v>5700</v>
      </c>
      <c r="CL319" s="3">
        <f t="shared" si="30"/>
        <v>0</v>
      </c>
      <c r="CM319" s="222">
        <f t="shared" si="31"/>
        <v>12480</v>
      </c>
      <c r="CN319" s="3" t="str">
        <f t="shared" si="28"/>
        <v>ماليزى اسنان</v>
      </c>
    </row>
    <row r="320" spans="3:92" x14ac:dyDescent="0.25">
      <c r="C320" s="223" t="s">
        <v>503</v>
      </c>
      <c r="D320" s="224">
        <v>21641</v>
      </c>
      <c r="E320" s="224">
        <v>12481</v>
      </c>
      <c r="F320" s="250" t="s">
        <v>121</v>
      </c>
      <c r="G320" s="223" t="s">
        <v>5247</v>
      </c>
      <c r="I320" s="223">
        <v>147609.66</v>
      </c>
      <c r="AV320" s="22">
        <f t="shared" si="32"/>
        <v>147609.66</v>
      </c>
      <c r="AW320" s="223">
        <v>127369.42</v>
      </c>
      <c r="AX320" s="223">
        <v>15606.15</v>
      </c>
      <c r="AY320" s="223">
        <v>4634.09</v>
      </c>
      <c r="CK320" s="22">
        <f t="shared" si="29"/>
        <v>147609.66</v>
      </c>
      <c r="CL320" s="3">
        <f t="shared" si="30"/>
        <v>0</v>
      </c>
      <c r="CM320" s="222">
        <f t="shared" si="31"/>
        <v>12481</v>
      </c>
      <c r="CN320" s="3" t="str">
        <f t="shared" si="28"/>
        <v>ماليزى اسنان</v>
      </c>
    </row>
    <row r="321" spans="3:92" x14ac:dyDescent="0.25">
      <c r="C321" s="223" t="s">
        <v>503</v>
      </c>
      <c r="D321" s="224">
        <v>21639</v>
      </c>
      <c r="E321" s="224">
        <v>12482</v>
      </c>
      <c r="F321" s="250" t="s">
        <v>121</v>
      </c>
      <c r="G321" s="223" t="s">
        <v>5247</v>
      </c>
      <c r="I321" s="223">
        <v>4924.5</v>
      </c>
      <c r="AV321" s="22">
        <f t="shared" si="32"/>
        <v>4924.5</v>
      </c>
      <c r="AW321" s="223">
        <v>3291</v>
      </c>
      <c r="AX321" s="223">
        <f>27+420</f>
        <v>447</v>
      </c>
      <c r="AY321" s="223">
        <f>1633.5-AX321</f>
        <v>1186.5</v>
      </c>
      <c r="CK321" s="22">
        <f t="shared" si="29"/>
        <v>4924.5</v>
      </c>
      <c r="CL321" s="3">
        <f t="shared" si="30"/>
        <v>0</v>
      </c>
      <c r="CM321" s="222">
        <f t="shared" si="31"/>
        <v>12482</v>
      </c>
      <c r="CN321" s="3" t="str">
        <f t="shared" si="28"/>
        <v>ماليزى اسنان</v>
      </c>
    </row>
    <row r="322" spans="3:92" x14ac:dyDescent="0.25">
      <c r="C322" s="223" t="s">
        <v>503</v>
      </c>
      <c r="D322" s="224">
        <v>21638</v>
      </c>
      <c r="E322" s="224">
        <v>12483</v>
      </c>
      <c r="F322" s="250" t="s">
        <v>121</v>
      </c>
      <c r="G322" s="223" t="s">
        <v>5247</v>
      </c>
      <c r="I322" s="223">
        <v>25378.93</v>
      </c>
      <c r="AV322" s="22">
        <f t="shared" si="32"/>
        <v>25378.93</v>
      </c>
      <c r="AW322" s="223">
        <v>21890.94</v>
      </c>
      <c r="AX322" s="223">
        <v>2605.4</v>
      </c>
      <c r="AY322" s="223">
        <v>882.59</v>
      </c>
      <c r="CK322" s="22">
        <f t="shared" si="29"/>
        <v>25378.93</v>
      </c>
      <c r="CL322" s="3">
        <f t="shared" si="30"/>
        <v>0</v>
      </c>
      <c r="CM322" s="222">
        <f t="shared" si="31"/>
        <v>12483</v>
      </c>
      <c r="CN322" s="3" t="str">
        <f t="shared" si="28"/>
        <v>ماليزى اسنان</v>
      </c>
    </row>
    <row r="323" spans="3:92" x14ac:dyDescent="0.25">
      <c r="C323" s="223" t="s">
        <v>503</v>
      </c>
      <c r="D323" s="224">
        <v>21637</v>
      </c>
      <c r="E323" s="224">
        <v>12484</v>
      </c>
      <c r="F323" s="250" t="s">
        <v>121</v>
      </c>
      <c r="G323" s="223" t="s">
        <v>5247</v>
      </c>
      <c r="I323" s="223">
        <v>3600</v>
      </c>
      <c r="AV323" s="22">
        <f t="shared" si="32"/>
        <v>3600</v>
      </c>
      <c r="AW323" s="223">
        <v>3213.35</v>
      </c>
      <c r="AX323" s="223">
        <v>386.65</v>
      </c>
      <c r="CK323" s="22">
        <f t="shared" si="29"/>
        <v>3600</v>
      </c>
      <c r="CL323" s="3">
        <f t="shared" si="30"/>
        <v>0</v>
      </c>
      <c r="CM323" s="222">
        <f t="shared" si="31"/>
        <v>12484</v>
      </c>
      <c r="CN323" s="3" t="str">
        <f t="shared" si="28"/>
        <v>ماليزى اسنان</v>
      </c>
    </row>
    <row r="324" spans="3:92" x14ac:dyDescent="0.25">
      <c r="C324" s="223" t="s">
        <v>503</v>
      </c>
      <c r="D324" s="224">
        <v>21636</v>
      </c>
      <c r="E324" s="224">
        <v>12485</v>
      </c>
      <c r="F324" s="250" t="s">
        <v>121</v>
      </c>
      <c r="G324" s="223" t="s">
        <v>5247</v>
      </c>
      <c r="I324" s="223">
        <v>195301.69</v>
      </c>
      <c r="AV324" s="22">
        <f t="shared" si="32"/>
        <v>195301.69</v>
      </c>
      <c r="AW324" s="223">
        <v>172025.82</v>
      </c>
      <c r="AX324" s="223">
        <v>20521.8</v>
      </c>
      <c r="AY324" s="223">
        <v>2754.07</v>
      </c>
      <c r="CK324" s="22">
        <f t="shared" si="29"/>
        <v>195301.69</v>
      </c>
      <c r="CL324" s="3">
        <f t="shared" si="30"/>
        <v>0</v>
      </c>
      <c r="CM324" s="222">
        <f t="shared" si="31"/>
        <v>12485</v>
      </c>
      <c r="CN324" s="3" t="str">
        <f t="shared" si="28"/>
        <v>ماليزى اسنان</v>
      </c>
    </row>
    <row r="325" spans="3:92" x14ac:dyDescent="0.25">
      <c r="C325" s="223" t="s">
        <v>503</v>
      </c>
      <c r="D325" s="224">
        <v>21640</v>
      </c>
      <c r="E325" s="224">
        <v>12486</v>
      </c>
      <c r="F325" s="250" t="s">
        <v>121</v>
      </c>
      <c r="G325" s="223" t="s">
        <v>5247</v>
      </c>
      <c r="I325" s="223">
        <v>3000</v>
      </c>
      <c r="AV325" s="22">
        <f t="shared" si="32"/>
        <v>3000</v>
      </c>
      <c r="AW325" s="223">
        <v>2677.85</v>
      </c>
      <c r="AX325" s="223">
        <v>322.14999999999998</v>
      </c>
      <c r="CK325" s="22">
        <f t="shared" si="29"/>
        <v>3000</v>
      </c>
      <c r="CL325" s="3">
        <f t="shared" si="30"/>
        <v>0</v>
      </c>
      <c r="CM325" s="222">
        <f t="shared" si="31"/>
        <v>12486</v>
      </c>
      <c r="CN325" s="3" t="str">
        <f t="shared" si="28"/>
        <v>ماليزى اسنان</v>
      </c>
    </row>
    <row r="326" spans="3:92" x14ac:dyDescent="0.25">
      <c r="C326" s="223" t="s">
        <v>503</v>
      </c>
      <c r="D326" s="224">
        <v>21635</v>
      </c>
      <c r="E326" s="224">
        <v>12487</v>
      </c>
      <c r="F326" s="250" t="s">
        <v>121</v>
      </c>
      <c r="G326" s="223" t="s">
        <v>5247</v>
      </c>
      <c r="I326" s="223">
        <v>210807.29</v>
      </c>
      <c r="AV326" s="22">
        <f t="shared" si="32"/>
        <v>210807.29</v>
      </c>
      <c r="AW326" s="223">
        <v>180639.21</v>
      </c>
      <c r="AX326" s="223">
        <v>21869.45</v>
      </c>
      <c r="AY326" s="223">
        <v>8298.6299999999992</v>
      </c>
      <c r="CK326" s="22">
        <f t="shared" si="29"/>
        <v>210807.29</v>
      </c>
      <c r="CL326" s="3">
        <f t="shared" si="30"/>
        <v>0</v>
      </c>
      <c r="CM326" s="222">
        <f t="shared" si="31"/>
        <v>12487</v>
      </c>
      <c r="CN326" s="3" t="str">
        <f t="shared" si="28"/>
        <v>ماليزى اسنان</v>
      </c>
    </row>
    <row r="327" spans="3:92" x14ac:dyDescent="0.25">
      <c r="C327" s="223" t="s">
        <v>503</v>
      </c>
      <c r="D327" s="224">
        <v>21634</v>
      </c>
      <c r="E327" s="224">
        <v>12488</v>
      </c>
      <c r="F327" s="250" t="s">
        <v>121</v>
      </c>
      <c r="G327" s="223" t="s">
        <v>5247</v>
      </c>
      <c r="I327" s="223">
        <v>16800</v>
      </c>
      <c r="AV327" s="22">
        <f t="shared" si="32"/>
        <v>16800</v>
      </c>
      <c r="AW327" s="223">
        <v>14990.4</v>
      </c>
      <c r="AX327" s="223">
        <v>1809.6</v>
      </c>
      <c r="CK327" s="22">
        <f t="shared" si="29"/>
        <v>16800</v>
      </c>
      <c r="CL327" s="3">
        <f t="shared" si="30"/>
        <v>0</v>
      </c>
      <c r="CM327" s="222">
        <f t="shared" si="31"/>
        <v>12488</v>
      </c>
      <c r="CN327" s="3" t="str">
        <f t="shared" si="28"/>
        <v>ماليزى اسنان</v>
      </c>
    </row>
    <row r="328" spans="3:92" x14ac:dyDescent="0.25">
      <c r="C328" s="223" t="s">
        <v>503</v>
      </c>
      <c r="D328" s="224">
        <v>21633</v>
      </c>
      <c r="E328" s="224">
        <v>12489</v>
      </c>
      <c r="F328" s="250" t="s">
        <v>121</v>
      </c>
      <c r="G328" s="223" t="s">
        <v>5247</v>
      </c>
      <c r="I328" s="223">
        <v>3000</v>
      </c>
      <c r="AV328" s="22">
        <f t="shared" si="32"/>
        <v>3000</v>
      </c>
      <c r="AW328" s="223">
        <v>2679.8</v>
      </c>
      <c r="AX328" s="223">
        <v>320.2</v>
      </c>
      <c r="CK328" s="22">
        <f t="shared" si="29"/>
        <v>3000</v>
      </c>
      <c r="CL328" s="3">
        <f t="shared" si="30"/>
        <v>0</v>
      </c>
      <c r="CM328" s="222">
        <f t="shared" si="31"/>
        <v>12489</v>
      </c>
      <c r="CN328" s="3" t="str">
        <f t="shared" si="28"/>
        <v>ماليزى اسنان</v>
      </c>
    </row>
    <row r="329" spans="3:92" x14ac:dyDescent="0.25">
      <c r="C329" s="223" t="s">
        <v>503</v>
      </c>
      <c r="D329" s="224">
        <v>21632</v>
      </c>
      <c r="E329" s="224">
        <v>12490</v>
      </c>
      <c r="F329" s="250" t="s">
        <v>121</v>
      </c>
      <c r="G329" s="223" t="s">
        <v>5247</v>
      </c>
      <c r="I329" s="223">
        <v>8760</v>
      </c>
      <c r="AV329" s="22">
        <f t="shared" si="32"/>
        <v>8760</v>
      </c>
      <c r="AW329" s="223">
        <v>7820.7</v>
      </c>
      <c r="AX329" s="223">
        <v>939.3</v>
      </c>
      <c r="CK329" s="22">
        <f t="shared" si="29"/>
        <v>8760</v>
      </c>
      <c r="CL329" s="3">
        <f t="shared" si="30"/>
        <v>0</v>
      </c>
      <c r="CM329" s="222">
        <f t="shared" si="31"/>
        <v>12490</v>
      </c>
      <c r="CN329" s="3" t="str">
        <f t="shared" si="28"/>
        <v>ماليزى اسنان</v>
      </c>
    </row>
    <row r="330" spans="3:92" x14ac:dyDescent="0.25">
      <c r="C330" s="223" t="s">
        <v>503</v>
      </c>
      <c r="D330" s="224">
        <v>21631</v>
      </c>
      <c r="E330" s="224">
        <v>12491</v>
      </c>
      <c r="F330" s="250" t="s">
        <v>121</v>
      </c>
      <c r="G330" s="223" t="s">
        <v>5247</v>
      </c>
      <c r="I330" s="223">
        <v>216621.36</v>
      </c>
      <c r="AV330" s="22">
        <f t="shared" si="32"/>
        <v>216621.36</v>
      </c>
      <c r="AW330" s="223">
        <v>189908.01</v>
      </c>
      <c r="AX330" s="223">
        <v>22747.95</v>
      </c>
      <c r="AY330" s="226">
        <v>3965.4</v>
      </c>
      <c r="CK330" s="22">
        <f t="shared" si="29"/>
        <v>216621.36000000002</v>
      </c>
      <c r="CL330" s="3">
        <f t="shared" si="30"/>
        <v>0</v>
      </c>
      <c r="CM330" s="222">
        <f t="shared" si="31"/>
        <v>12491</v>
      </c>
      <c r="CN330" s="3" t="str">
        <f t="shared" si="28"/>
        <v>ماليزى اسنان</v>
      </c>
    </row>
    <row r="331" spans="3:92" x14ac:dyDescent="0.25">
      <c r="C331" s="223" t="s">
        <v>503</v>
      </c>
      <c r="D331" s="224">
        <v>21630</v>
      </c>
      <c r="E331" s="224">
        <v>12492</v>
      </c>
      <c r="F331" s="250" t="s">
        <v>121</v>
      </c>
      <c r="G331" s="223" t="s">
        <v>5247</v>
      </c>
      <c r="I331" s="223">
        <v>37200</v>
      </c>
      <c r="AV331" s="22">
        <f t="shared" si="32"/>
        <v>37200</v>
      </c>
      <c r="AW331" s="223">
        <v>33318.800000000003</v>
      </c>
      <c r="AX331" s="223">
        <v>3881.2</v>
      </c>
      <c r="CK331" s="22">
        <f t="shared" si="29"/>
        <v>37200</v>
      </c>
      <c r="CL331" s="3">
        <f t="shared" si="30"/>
        <v>0</v>
      </c>
      <c r="CM331" s="222">
        <f t="shared" si="31"/>
        <v>12492</v>
      </c>
      <c r="CN331" s="3" t="str">
        <f t="shared" si="28"/>
        <v>ماليزى اسنان</v>
      </c>
    </row>
    <row r="332" spans="3:92" x14ac:dyDescent="0.25">
      <c r="C332" s="223" t="s">
        <v>503</v>
      </c>
      <c r="D332" s="224">
        <v>21042</v>
      </c>
      <c r="E332" s="224">
        <v>12493</v>
      </c>
      <c r="F332" s="250" t="s">
        <v>121</v>
      </c>
      <c r="G332" s="223" t="s">
        <v>5247</v>
      </c>
      <c r="I332" s="223">
        <v>12600</v>
      </c>
      <c r="AV332" s="22">
        <f t="shared" si="32"/>
        <v>12600</v>
      </c>
      <c r="AW332" s="223">
        <v>11252.6</v>
      </c>
      <c r="AX332" s="223">
        <v>1347.4</v>
      </c>
      <c r="CK332" s="22">
        <f t="shared" si="29"/>
        <v>12600</v>
      </c>
      <c r="CL332" s="3">
        <f t="shared" si="30"/>
        <v>0</v>
      </c>
      <c r="CM332" s="222">
        <f t="shared" si="31"/>
        <v>12493</v>
      </c>
      <c r="CN332" s="3" t="str">
        <f t="shared" si="28"/>
        <v>ماليزى اسنان</v>
      </c>
    </row>
    <row r="333" spans="3:92" x14ac:dyDescent="0.25">
      <c r="C333" s="223" t="s">
        <v>503</v>
      </c>
      <c r="D333" s="224">
        <v>21041</v>
      </c>
      <c r="E333" s="224">
        <v>12494</v>
      </c>
      <c r="F333" s="250" t="s">
        <v>121</v>
      </c>
      <c r="G333" s="223" t="s">
        <v>5247</v>
      </c>
      <c r="I333" s="223">
        <v>6570</v>
      </c>
      <c r="AV333" s="22">
        <f t="shared" si="32"/>
        <v>6570</v>
      </c>
      <c r="AW333" s="223">
        <v>5865.15</v>
      </c>
      <c r="AX333" s="223">
        <v>704.85</v>
      </c>
      <c r="CK333" s="22">
        <f t="shared" si="29"/>
        <v>6570</v>
      </c>
      <c r="CL333" s="3">
        <f t="shared" si="30"/>
        <v>0</v>
      </c>
      <c r="CM333" s="222">
        <f t="shared" si="31"/>
        <v>12494</v>
      </c>
      <c r="CN333" s="3" t="str">
        <f t="shared" si="28"/>
        <v>ماليزى اسنان</v>
      </c>
    </row>
    <row r="334" spans="3:92" x14ac:dyDescent="0.25">
      <c r="C334" s="223" t="s">
        <v>503</v>
      </c>
      <c r="D334" s="224">
        <v>21044</v>
      </c>
      <c r="E334" s="224">
        <v>12495</v>
      </c>
      <c r="F334" s="250" t="s">
        <v>121</v>
      </c>
      <c r="G334" s="223" t="s">
        <v>5247</v>
      </c>
      <c r="I334" s="223">
        <v>800</v>
      </c>
      <c r="AV334" s="22">
        <f t="shared" si="32"/>
        <v>800</v>
      </c>
      <c r="AW334" s="223">
        <v>714.75</v>
      </c>
      <c r="AX334" s="223">
        <v>85.25</v>
      </c>
      <c r="CK334" s="22">
        <f t="shared" si="29"/>
        <v>800</v>
      </c>
      <c r="CL334" s="3">
        <f t="shared" si="30"/>
        <v>0</v>
      </c>
      <c r="CM334" s="222">
        <f t="shared" si="31"/>
        <v>12495</v>
      </c>
      <c r="CN334" s="3" t="str">
        <f t="shared" si="28"/>
        <v>ماليزى اسنان</v>
      </c>
    </row>
    <row r="335" spans="3:92" x14ac:dyDescent="0.25">
      <c r="C335" s="223" t="s">
        <v>503</v>
      </c>
      <c r="D335" s="224">
        <v>21043</v>
      </c>
      <c r="E335" s="224">
        <v>12496</v>
      </c>
      <c r="F335" s="250" t="s">
        <v>121</v>
      </c>
      <c r="G335" s="223" t="s">
        <v>5247</v>
      </c>
      <c r="I335" s="223">
        <v>120</v>
      </c>
      <c r="AV335" s="22">
        <f t="shared" si="32"/>
        <v>120</v>
      </c>
      <c r="AW335" s="223">
        <v>107.55</v>
      </c>
      <c r="AX335" s="223">
        <v>12.45</v>
      </c>
      <c r="CK335" s="22">
        <f t="shared" si="29"/>
        <v>120</v>
      </c>
      <c r="CL335" s="3">
        <f t="shared" si="30"/>
        <v>0</v>
      </c>
      <c r="CM335" s="222">
        <f t="shared" si="31"/>
        <v>12496</v>
      </c>
      <c r="CN335" s="3" t="str">
        <f t="shared" ref="CN335:CN398" si="33">+F335</f>
        <v>ماليزى اسنان</v>
      </c>
    </row>
    <row r="336" spans="3:92" x14ac:dyDescent="0.25">
      <c r="C336" s="223" t="s">
        <v>503</v>
      </c>
      <c r="D336" s="224">
        <v>21040</v>
      </c>
      <c r="E336" s="224">
        <v>12497</v>
      </c>
      <c r="F336" s="250" t="s">
        <v>121</v>
      </c>
      <c r="G336" s="223" t="s">
        <v>5247</v>
      </c>
      <c r="I336" s="223">
        <v>2250</v>
      </c>
      <c r="AV336" s="22">
        <f t="shared" si="32"/>
        <v>2250</v>
      </c>
      <c r="AW336" s="223">
        <v>2011.25</v>
      </c>
      <c r="AX336" s="223">
        <v>238.75</v>
      </c>
      <c r="CK336" s="22">
        <f t="shared" ref="CK336:CK399" si="34">SUM(AW336:CJ336)</f>
        <v>2250</v>
      </c>
      <c r="CL336" s="3">
        <f t="shared" ref="CL336:CL399" si="35">+CK336-AV336</f>
        <v>0</v>
      </c>
      <c r="CM336" s="222">
        <f t="shared" ref="CM336:CM399" si="36">+E336</f>
        <v>12497</v>
      </c>
      <c r="CN336" s="3" t="str">
        <f t="shared" si="33"/>
        <v>ماليزى اسنان</v>
      </c>
    </row>
    <row r="337" spans="2:92" x14ac:dyDescent="0.25">
      <c r="C337" s="223" t="s">
        <v>503</v>
      </c>
      <c r="D337" s="224">
        <v>21362</v>
      </c>
      <c r="E337" s="224">
        <v>12498</v>
      </c>
      <c r="F337" s="250" t="s">
        <v>121</v>
      </c>
      <c r="G337" s="223" t="s">
        <v>5247</v>
      </c>
      <c r="I337" s="223">
        <v>217107.64</v>
      </c>
      <c r="AV337" s="22">
        <f t="shared" si="32"/>
        <v>217107.64</v>
      </c>
      <c r="AW337" s="223">
        <v>189441.15</v>
      </c>
      <c r="AX337" s="223">
        <v>22806.45</v>
      </c>
      <c r="AY337" s="223">
        <v>4860.04</v>
      </c>
      <c r="CK337" s="22">
        <f t="shared" si="34"/>
        <v>217107.64</v>
      </c>
      <c r="CL337" s="3">
        <f t="shared" si="35"/>
        <v>0</v>
      </c>
      <c r="CM337" s="222">
        <f t="shared" si="36"/>
        <v>12498</v>
      </c>
      <c r="CN337" s="3" t="str">
        <f t="shared" si="33"/>
        <v>ماليزى اسنان</v>
      </c>
    </row>
    <row r="338" spans="2:92" x14ac:dyDescent="0.25">
      <c r="B338" s="223" t="s">
        <v>599</v>
      </c>
      <c r="C338" s="223" t="s">
        <v>503</v>
      </c>
      <c r="D338" s="224">
        <v>21603</v>
      </c>
      <c r="E338" s="224">
        <v>12499</v>
      </c>
      <c r="F338" s="250" t="s">
        <v>121</v>
      </c>
      <c r="G338" s="223" t="s">
        <v>5248</v>
      </c>
      <c r="I338" s="223">
        <v>12500</v>
      </c>
      <c r="AV338" s="22">
        <f t="shared" si="32"/>
        <v>12500</v>
      </c>
      <c r="AW338" s="223">
        <v>11158</v>
      </c>
      <c r="AX338" s="223">
        <v>1342</v>
      </c>
      <c r="CK338" s="22">
        <f t="shared" si="34"/>
        <v>12500</v>
      </c>
      <c r="CL338" s="3">
        <f t="shared" si="35"/>
        <v>0</v>
      </c>
      <c r="CM338" s="222">
        <f t="shared" si="36"/>
        <v>12499</v>
      </c>
      <c r="CN338" s="3" t="str">
        <f t="shared" si="33"/>
        <v>ماليزى اسنان</v>
      </c>
    </row>
    <row r="339" spans="2:92" x14ac:dyDescent="0.25">
      <c r="B339" s="223" t="s">
        <v>599</v>
      </c>
      <c r="C339" s="223" t="s">
        <v>503</v>
      </c>
      <c r="D339" s="224">
        <v>21595</v>
      </c>
      <c r="E339" s="224">
        <v>12500</v>
      </c>
      <c r="F339" s="250" t="s">
        <v>121</v>
      </c>
      <c r="G339" s="223" t="s">
        <v>5249</v>
      </c>
      <c r="I339" s="223">
        <v>29296.880000000001</v>
      </c>
      <c r="AV339" s="22">
        <f t="shared" si="32"/>
        <v>29296.880000000001</v>
      </c>
      <c r="AW339" s="223">
        <v>19980.3</v>
      </c>
      <c r="AX339" s="223">
        <v>2689.1</v>
      </c>
      <c r="AY339" s="223">
        <v>6627.48</v>
      </c>
      <c r="CK339" s="22">
        <f t="shared" si="34"/>
        <v>29296.879999999997</v>
      </c>
      <c r="CL339" s="3">
        <f t="shared" si="35"/>
        <v>0</v>
      </c>
      <c r="CM339" s="222">
        <f t="shared" si="36"/>
        <v>12500</v>
      </c>
      <c r="CN339" s="3" t="str">
        <f t="shared" si="33"/>
        <v>ماليزى اسنان</v>
      </c>
    </row>
    <row r="340" spans="2:92" x14ac:dyDescent="0.25">
      <c r="B340" s="223" t="s">
        <v>599</v>
      </c>
      <c r="C340" s="223" t="s">
        <v>503</v>
      </c>
      <c r="D340" s="224">
        <v>21596</v>
      </c>
      <c r="E340" s="224">
        <v>12501</v>
      </c>
      <c r="F340" s="250" t="s">
        <v>121</v>
      </c>
      <c r="G340" s="223" t="s">
        <v>5250</v>
      </c>
      <c r="I340" s="223">
        <v>2989.88</v>
      </c>
      <c r="AV340" s="22">
        <f t="shared" si="32"/>
        <v>2989.88</v>
      </c>
      <c r="AW340" s="223">
        <v>1998.5</v>
      </c>
      <c r="AX340" s="223">
        <v>271</v>
      </c>
      <c r="AY340" s="223">
        <v>720.38</v>
      </c>
      <c r="CK340" s="22">
        <f t="shared" si="34"/>
        <v>2989.88</v>
      </c>
      <c r="CL340" s="3">
        <f t="shared" si="35"/>
        <v>0</v>
      </c>
      <c r="CM340" s="222">
        <f t="shared" si="36"/>
        <v>12501</v>
      </c>
      <c r="CN340" s="3" t="str">
        <f t="shared" si="33"/>
        <v>ماليزى اسنان</v>
      </c>
    </row>
    <row r="341" spans="2:92" x14ac:dyDescent="0.25">
      <c r="B341" s="223" t="s">
        <v>599</v>
      </c>
      <c r="C341" s="223" t="s">
        <v>503</v>
      </c>
      <c r="D341" s="224">
        <v>21602</v>
      </c>
      <c r="E341" s="224">
        <v>12502</v>
      </c>
      <c r="F341" s="250" t="s">
        <v>121</v>
      </c>
      <c r="G341" s="223" t="s">
        <v>5251</v>
      </c>
      <c r="I341" s="223">
        <v>9000</v>
      </c>
      <c r="AV341" s="22">
        <f t="shared" si="32"/>
        <v>9000</v>
      </c>
      <c r="AW341" s="223">
        <v>8033.2</v>
      </c>
      <c r="AX341" s="223">
        <v>966.8</v>
      </c>
      <c r="CK341" s="22">
        <f t="shared" si="34"/>
        <v>9000</v>
      </c>
      <c r="CL341" s="3">
        <f t="shared" si="35"/>
        <v>0</v>
      </c>
      <c r="CM341" s="222">
        <f t="shared" si="36"/>
        <v>12502</v>
      </c>
      <c r="CN341" s="3" t="str">
        <f t="shared" si="33"/>
        <v>ماليزى اسنان</v>
      </c>
    </row>
    <row r="342" spans="2:92" x14ac:dyDescent="0.25">
      <c r="B342" s="223" t="s">
        <v>599</v>
      </c>
      <c r="C342" s="223" t="s">
        <v>503</v>
      </c>
      <c r="D342" s="224">
        <v>21046</v>
      </c>
      <c r="E342" s="224">
        <v>12503</v>
      </c>
      <c r="F342" s="250" t="s">
        <v>121</v>
      </c>
      <c r="G342" s="223" t="s">
        <v>5252</v>
      </c>
      <c r="I342" s="223">
        <v>14400</v>
      </c>
      <c r="AV342" s="22">
        <f t="shared" si="32"/>
        <v>14400</v>
      </c>
      <c r="AW342" s="223">
        <v>12867.2</v>
      </c>
      <c r="AX342" s="223">
        <v>1532.8</v>
      </c>
      <c r="CK342" s="22">
        <f t="shared" si="34"/>
        <v>14400</v>
      </c>
      <c r="CL342" s="3">
        <f t="shared" si="35"/>
        <v>0</v>
      </c>
      <c r="CM342" s="222">
        <f t="shared" si="36"/>
        <v>12503</v>
      </c>
      <c r="CN342" s="3" t="str">
        <f t="shared" si="33"/>
        <v>ماليزى اسنان</v>
      </c>
    </row>
    <row r="343" spans="2:92" x14ac:dyDescent="0.25">
      <c r="B343" s="223" t="s">
        <v>599</v>
      </c>
      <c r="C343" s="223" t="s">
        <v>503</v>
      </c>
      <c r="D343" s="224">
        <v>21045</v>
      </c>
      <c r="E343" s="224">
        <v>12504</v>
      </c>
      <c r="F343" s="250" t="s">
        <v>121</v>
      </c>
      <c r="G343" s="223" t="s">
        <v>5252</v>
      </c>
      <c r="I343" s="223">
        <v>97080</v>
      </c>
      <c r="AV343" s="22">
        <f t="shared" si="32"/>
        <v>97080</v>
      </c>
      <c r="AW343" s="223">
        <v>86672.7</v>
      </c>
      <c r="AX343" s="223">
        <v>10407.299999999999</v>
      </c>
      <c r="CK343" s="22">
        <f t="shared" si="34"/>
        <v>97080</v>
      </c>
      <c r="CL343" s="3">
        <f t="shared" si="35"/>
        <v>0</v>
      </c>
      <c r="CM343" s="222">
        <f t="shared" si="36"/>
        <v>12504</v>
      </c>
      <c r="CN343" s="3" t="str">
        <f t="shared" si="33"/>
        <v>ماليزى اسنان</v>
      </c>
    </row>
    <row r="344" spans="2:92" x14ac:dyDescent="0.25">
      <c r="B344" s="223" t="s">
        <v>599</v>
      </c>
      <c r="C344" s="223" t="s">
        <v>503</v>
      </c>
      <c r="D344" s="224">
        <v>21607</v>
      </c>
      <c r="E344" s="224">
        <v>12505</v>
      </c>
      <c r="F344" s="250" t="s">
        <v>121</v>
      </c>
      <c r="G344" s="223" t="s">
        <v>5252</v>
      </c>
      <c r="I344" s="223">
        <v>118020</v>
      </c>
      <c r="AV344" s="22">
        <f t="shared" si="32"/>
        <v>118020</v>
      </c>
      <c r="AW344" s="223">
        <v>105377.7</v>
      </c>
      <c r="AX344" s="223">
        <v>12642.3</v>
      </c>
      <c r="CK344" s="22">
        <f t="shared" si="34"/>
        <v>118020</v>
      </c>
      <c r="CL344" s="3">
        <f t="shared" si="35"/>
        <v>0</v>
      </c>
      <c r="CM344" s="222">
        <f t="shared" si="36"/>
        <v>12505</v>
      </c>
      <c r="CN344" s="3" t="str">
        <f t="shared" si="33"/>
        <v>ماليزى اسنان</v>
      </c>
    </row>
    <row r="345" spans="2:92" x14ac:dyDescent="0.25">
      <c r="B345" s="223" t="s">
        <v>599</v>
      </c>
      <c r="C345" s="223" t="s">
        <v>503</v>
      </c>
      <c r="D345" s="224">
        <v>21606</v>
      </c>
      <c r="E345" s="224">
        <v>12506</v>
      </c>
      <c r="F345" s="250" t="s">
        <v>121</v>
      </c>
      <c r="G345" s="223" t="s">
        <v>5253</v>
      </c>
      <c r="I345" s="223">
        <v>5310</v>
      </c>
      <c r="AV345" s="22">
        <f t="shared" si="32"/>
        <v>5310</v>
      </c>
      <c r="AW345" s="223">
        <v>4744.95</v>
      </c>
      <c r="AX345" s="223">
        <v>565.04999999999995</v>
      </c>
      <c r="CK345" s="22">
        <f t="shared" si="34"/>
        <v>5310</v>
      </c>
      <c r="CL345" s="3">
        <f t="shared" si="35"/>
        <v>0</v>
      </c>
      <c r="CM345" s="222">
        <f t="shared" si="36"/>
        <v>12506</v>
      </c>
      <c r="CN345" s="3" t="str">
        <f t="shared" si="33"/>
        <v>ماليزى اسنان</v>
      </c>
    </row>
    <row r="346" spans="2:92" x14ac:dyDescent="0.25">
      <c r="B346" s="223" t="s">
        <v>599</v>
      </c>
      <c r="C346" s="223" t="s">
        <v>503</v>
      </c>
      <c r="D346" s="224">
        <v>21605</v>
      </c>
      <c r="E346" s="224">
        <v>12507</v>
      </c>
      <c r="F346" s="250" t="s">
        <v>121</v>
      </c>
      <c r="G346" s="223" t="s">
        <v>5253</v>
      </c>
      <c r="I346" s="223">
        <v>600</v>
      </c>
      <c r="AV346" s="22">
        <f t="shared" si="32"/>
        <v>600</v>
      </c>
      <c r="AW346" s="223">
        <v>536.15</v>
      </c>
      <c r="AX346" s="223">
        <v>63.85</v>
      </c>
      <c r="CK346" s="22">
        <f t="shared" si="34"/>
        <v>600</v>
      </c>
      <c r="CL346" s="3">
        <f t="shared" si="35"/>
        <v>0</v>
      </c>
      <c r="CM346" s="222">
        <f t="shared" si="36"/>
        <v>12507</v>
      </c>
      <c r="CN346" s="3" t="str">
        <f t="shared" si="33"/>
        <v>ماليزى اسنان</v>
      </c>
    </row>
    <row r="347" spans="2:92" x14ac:dyDescent="0.25">
      <c r="B347" s="223" t="s">
        <v>599</v>
      </c>
      <c r="C347" s="223" t="s">
        <v>503</v>
      </c>
      <c r="D347" s="224">
        <v>21604</v>
      </c>
      <c r="E347" s="224">
        <v>12508</v>
      </c>
      <c r="F347" s="250" t="s">
        <v>121</v>
      </c>
      <c r="G347" s="223" t="s">
        <v>5253</v>
      </c>
      <c r="I347" s="223">
        <v>10620</v>
      </c>
      <c r="AV347" s="22">
        <f t="shared" si="32"/>
        <v>10620</v>
      </c>
      <c r="AW347" s="223">
        <v>9480.4500000000007</v>
      </c>
      <c r="AX347" s="223">
        <v>1139.55</v>
      </c>
      <c r="CK347" s="22">
        <f t="shared" si="34"/>
        <v>10620</v>
      </c>
      <c r="CL347" s="3">
        <f t="shared" si="35"/>
        <v>0</v>
      </c>
      <c r="CM347" s="222">
        <f t="shared" si="36"/>
        <v>12508</v>
      </c>
      <c r="CN347" s="3" t="str">
        <f t="shared" si="33"/>
        <v>ماليزى اسنان</v>
      </c>
    </row>
    <row r="348" spans="2:92" x14ac:dyDescent="0.25">
      <c r="B348" s="223" t="s">
        <v>599</v>
      </c>
      <c r="C348" s="223" t="s">
        <v>503</v>
      </c>
      <c r="D348" s="224">
        <v>21601</v>
      </c>
      <c r="E348" s="224">
        <v>12509</v>
      </c>
      <c r="F348" s="250" t="s">
        <v>121</v>
      </c>
      <c r="G348" s="223" t="s">
        <v>5253</v>
      </c>
      <c r="I348" s="223">
        <v>5820</v>
      </c>
      <c r="AV348" s="22">
        <f t="shared" si="32"/>
        <v>5820</v>
      </c>
      <c r="AW348" s="223">
        <v>5195.3999999999996</v>
      </c>
      <c r="AX348" s="223">
        <v>624.6</v>
      </c>
      <c r="CK348" s="22">
        <f t="shared" si="34"/>
        <v>5820</v>
      </c>
      <c r="CL348" s="3">
        <f t="shared" si="35"/>
        <v>0</v>
      </c>
      <c r="CM348" s="222">
        <f t="shared" si="36"/>
        <v>12509</v>
      </c>
      <c r="CN348" s="3" t="str">
        <f t="shared" si="33"/>
        <v>ماليزى اسنان</v>
      </c>
    </row>
    <row r="349" spans="2:92" x14ac:dyDescent="0.25">
      <c r="B349" s="223" t="s">
        <v>599</v>
      </c>
      <c r="C349" s="223" t="s">
        <v>503</v>
      </c>
      <c r="D349" s="224">
        <v>21600</v>
      </c>
      <c r="E349" s="224">
        <v>12510</v>
      </c>
      <c r="F349" s="250" t="s">
        <v>121</v>
      </c>
      <c r="G349" s="223" t="s">
        <v>5253</v>
      </c>
      <c r="I349" s="223">
        <v>7080</v>
      </c>
      <c r="AV349" s="22">
        <f t="shared" si="32"/>
        <v>7080</v>
      </c>
      <c r="AW349" s="223">
        <v>5622.64</v>
      </c>
      <c r="AX349" s="223">
        <v>1457.36</v>
      </c>
      <c r="CK349" s="22">
        <f t="shared" si="34"/>
        <v>7080</v>
      </c>
      <c r="CL349" s="3">
        <f t="shared" si="35"/>
        <v>0</v>
      </c>
      <c r="CM349" s="222">
        <f t="shared" si="36"/>
        <v>12510</v>
      </c>
      <c r="CN349" s="3" t="str">
        <f t="shared" si="33"/>
        <v>ماليزى اسنان</v>
      </c>
    </row>
    <row r="350" spans="2:92" x14ac:dyDescent="0.25">
      <c r="B350" s="223" t="s">
        <v>599</v>
      </c>
      <c r="C350" s="223" t="s">
        <v>503</v>
      </c>
      <c r="D350" s="224">
        <v>21599</v>
      </c>
      <c r="E350" s="224">
        <v>12511</v>
      </c>
      <c r="F350" s="250" t="s">
        <v>121</v>
      </c>
      <c r="G350" s="223" t="s">
        <v>5253</v>
      </c>
      <c r="I350" s="223">
        <v>11760</v>
      </c>
      <c r="AV350" s="22">
        <f t="shared" si="32"/>
        <v>11760</v>
      </c>
      <c r="AW350" s="223">
        <v>10493.3</v>
      </c>
      <c r="AX350" s="223">
        <v>1266.7</v>
      </c>
      <c r="CK350" s="22">
        <f t="shared" si="34"/>
        <v>11760</v>
      </c>
      <c r="CL350" s="3">
        <f t="shared" si="35"/>
        <v>0</v>
      </c>
      <c r="CM350" s="222">
        <f t="shared" si="36"/>
        <v>12511</v>
      </c>
      <c r="CN350" s="3" t="str">
        <f t="shared" si="33"/>
        <v>ماليزى اسنان</v>
      </c>
    </row>
    <row r="351" spans="2:92" x14ac:dyDescent="0.25">
      <c r="B351" s="223" t="s">
        <v>599</v>
      </c>
      <c r="C351" s="223" t="s">
        <v>503</v>
      </c>
      <c r="D351" s="224">
        <v>21598</v>
      </c>
      <c r="E351" s="224">
        <v>12512</v>
      </c>
      <c r="F351" s="250" t="s">
        <v>121</v>
      </c>
      <c r="G351" s="223" t="str">
        <f>+G344</f>
        <v>مكافاه عملى تدريس ماجستير غرس</v>
      </c>
      <c r="I351" s="223">
        <v>5386.65</v>
      </c>
      <c r="AV351" s="22">
        <f t="shared" si="32"/>
        <v>5386.65</v>
      </c>
      <c r="AW351" s="223">
        <v>4513.2</v>
      </c>
      <c r="AX351" s="223">
        <v>551.4</v>
      </c>
      <c r="AY351" s="223">
        <v>322.05</v>
      </c>
      <c r="CK351" s="22">
        <f t="shared" si="34"/>
        <v>5386.65</v>
      </c>
      <c r="CL351" s="3">
        <f t="shared" si="35"/>
        <v>0</v>
      </c>
      <c r="CM351" s="222">
        <f t="shared" si="36"/>
        <v>12512</v>
      </c>
      <c r="CN351" s="3" t="str">
        <f t="shared" si="33"/>
        <v>ماليزى اسنان</v>
      </c>
    </row>
    <row r="352" spans="2:92" x14ac:dyDescent="0.25">
      <c r="B352" s="223" t="s">
        <v>599</v>
      </c>
      <c r="C352" s="223" t="s">
        <v>503</v>
      </c>
      <c r="D352" s="224">
        <v>21597</v>
      </c>
      <c r="E352" s="224">
        <v>12513</v>
      </c>
      <c r="F352" s="250" t="s">
        <v>121</v>
      </c>
      <c r="G352" s="223" t="str">
        <f>+G345</f>
        <v>مكافاه  تدريس ماجستير غرس</v>
      </c>
      <c r="I352" s="223">
        <v>600</v>
      </c>
      <c r="AV352" s="22">
        <f t="shared" si="32"/>
        <v>600</v>
      </c>
      <c r="AW352" s="223">
        <v>536.15</v>
      </c>
      <c r="AX352" s="223">
        <v>63.85</v>
      </c>
      <c r="CK352" s="22">
        <f t="shared" si="34"/>
        <v>600</v>
      </c>
      <c r="CL352" s="3">
        <f t="shared" si="35"/>
        <v>0</v>
      </c>
      <c r="CM352" s="222">
        <f t="shared" si="36"/>
        <v>12513</v>
      </c>
      <c r="CN352" s="3" t="str">
        <f t="shared" si="33"/>
        <v>ماليزى اسنان</v>
      </c>
    </row>
    <row r="353" spans="3:92" x14ac:dyDescent="0.25">
      <c r="C353" s="223" t="s">
        <v>503</v>
      </c>
      <c r="D353" s="224">
        <v>21385</v>
      </c>
      <c r="E353" s="224">
        <v>12514</v>
      </c>
      <c r="F353" s="250" t="s">
        <v>121</v>
      </c>
      <c r="G353" s="223" t="s">
        <v>5254</v>
      </c>
      <c r="I353" s="223">
        <v>6270</v>
      </c>
      <c r="AV353" s="22">
        <f t="shared" si="32"/>
        <v>6270</v>
      </c>
      <c r="AW353" s="223">
        <v>5599.6</v>
      </c>
      <c r="AX353" s="223">
        <v>670.4</v>
      </c>
      <c r="CK353" s="22">
        <f t="shared" si="34"/>
        <v>6270</v>
      </c>
      <c r="CL353" s="3">
        <f t="shared" si="35"/>
        <v>0</v>
      </c>
      <c r="CM353" s="222">
        <f t="shared" si="36"/>
        <v>12514</v>
      </c>
      <c r="CN353" s="3" t="str">
        <f t="shared" si="33"/>
        <v>ماليزى اسنان</v>
      </c>
    </row>
    <row r="354" spans="3:92" x14ac:dyDescent="0.25">
      <c r="C354" s="223" t="s">
        <v>503</v>
      </c>
      <c r="D354" s="224">
        <v>21384</v>
      </c>
      <c r="E354" s="224">
        <v>12515</v>
      </c>
      <c r="F354" s="250" t="s">
        <v>121</v>
      </c>
      <c r="G354" s="223" t="s">
        <v>5254</v>
      </c>
      <c r="I354" s="223">
        <v>1200</v>
      </c>
      <c r="AV354" s="22">
        <f t="shared" si="32"/>
        <v>1200</v>
      </c>
      <c r="AW354" s="223">
        <v>1072.3</v>
      </c>
      <c r="AX354" s="223">
        <v>127.7</v>
      </c>
      <c r="CK354" s="22">
        <f t="shared" si="34"/>
        <v>1200</v>
      </c>
      <c r="CL354" s="3">
        <f t="shared" si="35"/>
        <v>0</v>
      </c>
      <c r="CM354" s="222">
        <f t="shared" si="36"/>
        <v>12515</v>
      </c>
      <c r="CN354" s="3" t="str">
        <f t="shared" si="33"/>
        <v>ماليزى اسنان</v>
      </c>
    </row>
    <row r="355" spans="3:92" x14ac:dyDescent="0.25">
      <c r="C355" s="223" t="s">
        <v>503</v>
      </c>
      <c r="D355" s="224">
        <v>21383</v>
      </c>
      <c r="E355" s="224">
        <v>12516</v>
      </c>
      <c r="F355" s="250" t="s">
        <v>121</v>
      </c>
      <c r="G355" s="223" t="s">
        <v>5254</v>
      </c>
      <c r="I355" s="223">
        <v>72900</v>
      </c>
      <c r="AV355" s="22">
        <f t="shared" si="32"/>
        <v>72900</v>
      </c>
      <c r="AW355" s="223">
        <v>65091.35</v>
      </c>
      <c r="AX355" s="223">
        <v>7808.65</v>
      </c>
      <c r="CK355" s="22">
        <f t="shared" si="34"/>
        <v>72900</v>
      </c>
      <c r="CL355" s="3">
        <f t="shared" si="35"/>
        <v>0</v>
      </c>
      <c r="CM355" s="222">
        <f t="shared" si="36"/>
        <v>12516</v>
      </c>
      <c r="CN355" s="3" t="str">
        <f t="shared" si="33"/>
        <v>ماليزى اسنان</v>
      </c>
    </row>
    <row r="356" spans="3:92" x14ac:dyDescent="0.25">
      <c r="C356" s="223" t="s">
        <v>503</v>
      </c>
      <c r="D356" s="224">
        <v>21382</v>
      </c>
      <c r="E356" s="224">
        <v>12517</v>
      </c>
      <c r="F356" s="250" t="s">
        <v>121</v>
      </c>
      <c r="G356" s="223" t="s">
        <v>5254</v>
      </c>
      <c r="I356" s="223">
        <v>101765.63</v>
      </c>
      <c r="AV356" s="22">
        <f t="shared" si="32"/>
        <v>101765.63</v>
      </c>
      <c r="AW356" s="223">
        <v>90087.37</v>
      </c>
      <c r="AX356" s="223">
        <v>10882.95</v>
      </c>
      <c r="AY356" s="223">
        <v>795.31</v>
      </c>
      <c r="CK356" s="22">
        <f t="shared" si="34"/>
        <v>101765.62999999999</v>
      </c>
      <c r="CL356" s="3">
        <f t="shared" si="35"/>
        <v>0</v>
      </c>
      <c r="CM356" s="222">
        <f t="shared" si="36"/>
        <v>12517</v>
      </c>
      <c r="CN356" s="3" t="str">
        <f t="shared" si="33"/>
        <v>ماليزى اسنان</v>
      </c>
    </row>
    <row r="357" spans="3:92" x14ac:dyDescent="0.25">
      <c r="C357" s="223" t="s">
        <v>503</v>
      </c>
      <c r="D357" s="224">
        <v>21380</v>
      </c>
      <c r="E357" s="224">
        <v>12518</v>
      </c>
      <c r="F357" s="250" t="s">
        <v>121</v>
      </c>
      <c r="G357" s="223" t="s">
        <v>5254</v>
      </c>
      <c r="I357" s="223">
        <v>9325.09</v>
      </c>
      <c r="AV357" s="22">
        <f t="shared" si="32"/>
        <v>9325.09</v>
      </c>
      <c r="AW357" s="223">
        <v>7458.7</v>
      </c>
      <c r="AX357" s="223">
        <v>940.95</v>
      </c>
      <c r="AY357" s="223">
        <v>925.44</v>
      </c>
      <c r="CK357" s="22">
        <f t="shared" si="34"/>
        <v>9325.09</v>
      </c>
      <c r="CL357" s="3">
        <f t="shared" si="35"/>
        <v>0</v>
      </c>
      <c r="CM357" s="222">
        <f t="shared" si="36"/>
        <v>12518</v>
      </c>
      <c r="CN357" s="3" t="str">
        <f t="shared" si="33"/>
        <v>ماليزى اسنان</v>
      </c>
    </row>
    <row r="358" spans="3:92" x14ac:dyDescent="0.25">
      <c r="C358" s="223" t="s">
        <v>503</v>
      </c>
      <c r="D358" s="224">
        <v>21378</v>
      </c>
      <c r="E358" s="224">
        <v>12519</v>
      </c>
      <c r="F358" s="250" t="s">
        <v>121</v>
      </c>
      <c r="G358" s="223" t="s">
        <v>5254</v>
      </c>
      <c r="I358" s="223">
        <v>1800</v>
      </c>
      <c r="AV358" s="22">
        <f t="shared" si="32"/>
        <v>1800</v>
      </c>
      <c r="AW358" s="223">
        <v>1608.1</v>
      </c>
      <c r="AX358" s="223">
        <v>191.9</v>
      </c>
      <c r="CK358" s="22">
        <f t="shared" si="34"/>
        <v>1800</v>
      </c>
      <c r="CL358" s="3">
        <f t="shared" si="35"/>
        <v>0</v>
      </c>
      <c r="CM358" s="222">
        <f t="shared" si="36"/>
        <v>12519</v>
      </c>
      <c r="CN358" s="3" t="str">
        <f t="shared" si="33"/>
        <v>ماليزى اسنان</v>
      </c>
    </row>
    <row r="359" spans="3:92" x14ac:dyDescent="0.25">
      <c r="C359" s="223" t="s">
        <v>503</v>
      </c>
      <c r="D359" s="224">
        <v>21379</v>
      </c>
      <c r="E359" s="224">
        <v>12520</v>
      </c>
      <c r="F359" s="250" t="s">
        <v>121</v>
      </c>
      <c r="G359" s="223" t="s">
        <v>5254</v>
      </c>
      <c r="I359" s="223">
        <v>11818.8</v>
      </c>
      <c r="AV359" s="22">
        <f t="shared" si="32"/>
        <v>11818.8</v>
      </c>
      <c r="AW359" s="223">
        <v>7892.2</v>
      </c>
      <c r="AX359" s="223">
        <f>1008+71</f>
        <v>1079</v>
      </c>
      <c r="AY359" s="223">
        <f>3926.6-AX359</f>
        <v>2847.6</v>
      </c>
      <c r="CK359" s="22">
        <f t="shared" si="34"/>
        <v>11818.800000000001</v>
      </c>
      <c r="CL359" s="3">
        <f t="shared" si="35"/>
        <v>0</v>
      </c>
      <c r="CM359" s="222">
        <f t="shared" si="36"/>
        <v>12520</v>
      </c>
      <c r="CN359" s="3" t="str">
        <f t="shared" si="33"/>
        <v>ماليزى اسنان</v>
      </c>
    </row>
    <row r="360" spans="3:92" x14ac:dyDescent="0.25">
      <c r="C360" s="223" t="s">
        <v>503</v>
      </c>
      <c r="D360" s="224">
        <v>21377</v>
      </c>
      <c r="E360" s="224">
        <v>12521</v>
      </c>
      <c r="F360" s="250" t="s">
        <v>121</v>
      </c>
      <c r="G360" s="223" t="s">
        <v>5254</v>
      </c>
      <c r="I360" s="223">
        <v>193740</v>
      </c>
      <c r="AV360" s="22">
        <f t="shared" si="32"/>
        <v>193740</v>
      </c>
      <c r="AW360" s="223">
        <v>172861.1</v>
      </c>
      <c r="AX360" s="223">
        <v>20878.900000000001</v>
      </c>
      <c r="CK360" s="22">
        <f t="shared" si="34"/>
        <v>193740</v>
      </c>
      <c r="CL360" s="3">
        <f t="shared" si="35"/>
        <v>0</v>
      </c>
      <c r="CM360" s="222">
        <f t="shared" si="36"/>
        <v>12521</v>
      </c>
      <c r="CN360" s="3" t="str">
        <f t="shared" si="33"/>
        <v>ماليزى اسنان</v>
      </c>
    </row>
    <row r="361" spans="3:92" x14ac:dyDescent="0.25">
      <c r="C361" s="223" t="s">
        <v>503</v>
      </c>
      <c r="D361" s="224">
        <v>21376</v>
      </c>
      <c r="E361" s="224">
        <v>12522</v>
      </c>
      <c r="F361" s="250" t="s">
        <v>121</v>
      </c>
      <c r="G361" s="223" t="s">
        <v>5254</v>
      </c>
      <c r="I361" s="223">
        <v>6894.3</v>
      </c>
      <c r="AV361" s="22">
        <f t="shared" si="32"/>
        <v>6894.3</v>
      </c>
      <c r="AW361" s="223">
        <v>4603.7</v>
      </c>
      <c r="AX361" s="223">
        <f>41.5+588</f>
        <v>629.5</v>
      </c>
      <c r="AY361" s="223">
        <f>2290.6-AX361</f>
        <v>1661.1</v>
      </c>
      <c r="CK361" s="22">
        <f t="shared" si="34"/>
        <v>6894.2999999999993</v>
      </c>
      <c r="CL361" s="3">
        <f t="shared" si="35"/>
        <v>0</v>
      </c>
      <c r="CM361" s="222">
        <f t="shared" si="36"/>
        <v>12522</v>
      </c>
      <c r="CN361" s="3" t="str">
        <f t="shared" si="33"/>
        <v>ماليزى اسنان</v>
      </c>
    </row>
    <row r="362" spans="3:92" x14ac:dyDescent="0.25">
      <c r="C362" s="223" t="s">
        <v>503</v>
      </c>
      <c r="D362" s="224">
        <v>21375</v>
      </c>
      <c r="E362" s="224">
        <v>12523</v>
      </c>
      <c r="F362" s="250" t="s">
        <v>121</v>
      </c>
      <c r="G362" s="223" t="s">
        <v>5254</v>
      </c>
      <c r="I362" s="223">
        <v>151980</v>
      </c>
      <c r="AV362" s="22">
        <f t="shared" si="32"/>
        <v>151980</v>
      </c>
      <c r="AW362" s="223">
        <v>135847.79999999999</v>
      </c>
      <c r="AX362" s="223">
        <v>16132.2</v>
      </c>
      <c r="CK362" s="22">
        <f t="shared" si="34"/>
        <v>151980</v>
      </c>
      <c r="CL362" s="3">
        <f t="shared" si="35"/>
        <v>0</v>
      </c>
      <c r="CM362" s="222">
        <f t="shared" si="36"/>
        <v>12523</v>
      </c>
      <c r="CN362" s="3" t="str">
        <f t="shared" si="33"/>
        <v>ماليزى اسنان</v>
      </c>
    </row>
    <row r="363" spans="3:92" x14ac:dyDescent="0.25">
      <c r="C363" s="223" t="s">
        <v>503</v>
      </c>
      <c r="D363" s="224">
        <v>21374</v>
      </c>
      <c r="E363" s="224">
        <v>12524</v>
      </c>
      <c r="F363" s="250" t="s">
        <v>121</v>
      </c>
      <c r="G363" s="223" t="s">
        <v>5254</v>
      </c>
      <c r="I363" s="223">
        <v>45960</v>
      </c>
      <c r="AV363" s="22">
        <f t="shared" si="32"/>
        <v>45960</v>
      </c>
      <c r="AW363" s="223">
        <v>41126.9</v>
      </c>
      <c r="AX363" s="223">
        <v>4833.1000000000004</v>
      </c>
      <c r="CK363" s="22">
        <f t="shared" si="34"/>
        <v>45960</v>
      </c>
      <c r="CL363" s="3">
        <f t="shared" si="35"/>
        <v>0</v>
      </c>
      <c r="CM363" s="222">
        <f t="shared" si="36"/>
        <v>12524</v>
      </c>
      <c r="CN363" s="3" t="str">
        <f t="shared" si="33"/>
        <v>ماليزى اسنان</v>
      </c>
    </row>
    <row r="364" spans="3:92" x14ac:dyDescent="0.25">
      <c r="C364" s="223" t="s">
        <v>503</v>
      </c>
      <c r="D364" s="224">
        <v>21373</v>
      </c>
      <c r="E364" s="224">
        <v>12525</v>
      </c>
      <c r="F364" s="250" t="s">
        <v>121</v>
      </c>
      <c r="G364" s="223" t="s">
        <v>5254</v>
      </c>
      <c r="I364" s="223">
        <v>65988.3</v>
      </c>
      <c r="AV364" s="22">
        <f t="shared" si="32"/>
        <v>65988.3</v>
      </c>
      <c r="AW364" s="223">
        <v>44145.1</v>
      </c>
      <c r="AX364" s="223">
        <f>316.1+5628</f>
        <v>5944.1</v>
      </c>
      <c r="AY364" s="223">
        <f>21843.2-AX364</f>
        <v>15899.1</v>
      </c>
      <c r="CK364" s="22">
        <f t="shared" si="34"/>
        <v>65988.3</v>
      </c>
      <c r="CL364" s="3">
        <f t="shared" si="35"/>
        <v>0</v>
      </c>
      <c r="CM364" s="222">
        <f t="shared" si="36"/>
        <v>12525</v>
      </c>
      <c r="CN364" s="3" t="str">
        <f t="shared" si="33"/>
        <v>ماليزى اسنان</v>
      </c>
    </row>
    <row r="365" spans="3:92" x14ac:dyDescent="0.25">
      <c r="C365" s="223" t="s">
        <v>503</v>
      </c>
      <c r="D365" s="224">
        <v>21372</v>
      </c>
      <c r="E365" s="224">
        <v>12526</v>
      </c>
      <c r="F365" s="250" t="s">
        <v>121</v>
      </c>
      <c r="G365" s="223" t="s">
        <v>5254</v>
      </c>
      <c r="I365" s="223">
        <v>85290</v>
      </c>
      <c r="AV365" s="22">
        <f t="shared" ref="AV365:AV428" si="37">SUM(I365:AU365)</f>
        <v>85290</v>
      </c>
      <c r="AW365" s="223">
        <v>76216.649999999994</v>
      </c>
      <c r="AX365" s="223">
        <v>9073.35</v>
      </c>
      <c r="CK365" s="22">
        <f t="shared" si="34"/>
        <v>85290</v>
      </c>
      <c r="CL365" s="3">
        <f t="shared" si="35"/>
        <v>0</v>
      </c>
      <c r="CM365" s="222">
        <f t="shared" si="36"/>
        <v>12526</v>
      </c>
      <c r="CN365" s="3" t="str">
        <f t="shared" si="33"/>
        <v>ماليزى اسنان</v>
      </c>
    </row>
    <row r="366" spans="3:92" x14ac:dyDescent="0.25">
      <c r="C366" s="223" t="s">
        <v>503</v>
      </c>
      <c r="D366" s="224">
        <v>21371</v>
      </c>
      <c r="E366" s="224">
        <v>12527</v>
      </c>
      <c r="F366" s="250" t="s">
        <v>121</v>
      </c>
      <c r="G366" s="223" t="s">
        <v>5254</v>
      </c>
      <c r="I366" s="223">
        <v>122490</v>
      </c>
      <c r="AV366" s="22">
        <f t="shared" si="37"/>
        <v>122490</v>
      </c>
      <c r="AW366" s="223">
        <v>109421.85</v>
      </c>
      <c r="AX366" s="223">
        <v>13068.15</v>
      </c>
      <c r="CK366" s="22">
        <f t="shared" si="34"/>
        <v>122490</v>
      </c>
      <c r="CL366" s="3">
        <f t="shared" si="35"/>
        <v>0</v>
      </c>
      <c r="CM366" s="222">
        <f t="shared" si="36"/>
        <v>12527</v>
      </c>
      <c r="CN366" s="3" t="str">
        <f t="shared" si="33"/>
        <v>ماليزى اسنان</v>
      </c>
    </row>
    <row r="367" spans="3:92" x14ac:dyDescent="0.25">
      <c r="C367" s="223" t="s">
        <v>503</v>
      </c>
      <c r="D367" s="224">
        <v>21370</v>
      </c>
      <c r="E367" s="224">
        <v>12528</v>
      </c>
      <c r="F367" s="250" t="s">
        <v>121</v>
      </c>
      <c r="G367" s="223" t="s">
        <v>5254</v>
      </c>
      <c r="I367" s="223">
        <v>1200</v>
      </c>
      <c r="AV367" s="22">
        <f t="shared" si="37"/>
        <v>1200</v>
      </c>
      <c r="AW367" s="223">
        <v>1072.3</v>
      </c>
      <c r="AX367" s="223">
        <v>127.7</v>
      </c>
      <c r="CK367" s="22">
        <f t="shared" si="34"/>
        <v>1200</v>
      </c>
      <c r="CL367" s="3">
        <f t="shared" si="35"/>
        <v>0</v>
      </c>
      <c r="CM367" s="222">
        <f t="shared" si="36"/>
        <v>12528</v>
      </c>
      <c r="CN367" s="3" t="str">
        <f t="shared" si="33"/>
        <v>ماليزى اسنان</v>
      </c>
    </row>
    <row r="368" spans="3:92" x14ac:dyDescent="0.25">
      <c r="C368" s="223" t="s">
        <v>503</v>
      </c>
      <c r="D368" s="224">
        <v>21369</v>
      </c>
      <c r="E368" s="224">
        <v>12529</v>
      </c>
      <c r="F368" s="250" t="s">
        <v>121</v>
      </c>
      <c r="G368" s="223" t="s">
        <v>5254</v>
      </c>
      <c r="I368" s="223">
        <v>7620</v>
      </c>
      <c r="AV368" s="22">
        <f t="shared" si="37"/>
        <v>7620</v>
      </c>
      <c r="AW368" s="223">
        <v>6803.55</v>
      </c>
      <c r="AX368" s="223">
        <v>816.45</v>
      </c>
      <c r="CK368" s="22">
        <f t="shared" si="34"/>
        <v>7620</v>
      </c>
      <c r="CL368" s="3">
        <f t="shared" si="35"/>
        <v>0</v>
      </c>
      <c r="CM368" s="222">
        <f t="shared" si="36"/>
        <v>12529</v>
      </c>
      <c r="CN368" s="3" t="str">
        <f t="shared" si="33"/>
        <v>ماليزى اسنان</v>
      </c>
    </row>
    <row r="369" spans="3:92" x14ac:dyDescent="0.25">
      <c r="C369" s="223" t="s">
        <v>503</v>
      </c>
      <c r="D369" s="224">
        <v>21368</v>
      </c>
      <c r="E369" s="224">
        <v>12530</v>
      </c>
      <c r="F369" s="250" t="s">
        <v>121</v>
      </c>
      <c r="G369" s="223" t="s">
        <v>5254</v>
      </c>
      <c r="I369" s="223">
        <v>10500</v>
      </c>
      <c r="AV369" s="22">
        <f t="shared" si="37"/>
        <v>10500</v>
      </c>
      <c r="AW369" s="223">
        <v>9373.7000000000007</v>
      </c>
      <c r="AX369" s="223">
        <v>1126.3</v>
      </c>
      <c r="CK369" s="22">
        <f t="shared" si="34"/>
        <v>10500</v>
      </c>
      <c r="CL369" s="3">
        <f t="shared" si="35"/>
        <v>0</v>
      </c>
      <c r="CM369" s="222">
        <f t="shared" si="36"/>
        <v>12530</v>
      </c>
      <c r="CN369" s="3" t="str">
        <f t="shared" si="33"/>
        <v>ماليزى اسنان</v>
      </c>
    </row>
    <row r="370" spans="3:92" x14ac:dyDescent="0.25">
      <c r="C370" s="223" t="s">
        <v>503</v>
      </c>
      <c r="D370" s="224">
        <v>21367</v>
      </c>
      <c r="E370" s="224">
        <v>12531</v>
      </c>
      <c r="F370" s="250" t="s">
        <v>121</v>
      </c>
      <c r="G370" s="223" t="s">
        <v>5254</v>
      </c>
      <c r="I370" s="223">
        <v>23400</v>
      </c>
      <c r="AV370" s="22">
        <f t="shared" si="37"/>
        <v>23400</v>
      </c>
      <c r="AW370" s="223">
        <v>20874</v>
      </c>
      <c r="AX370" s="223">
        <v>2526</v>
      </c>
      <c r="CK370" s="22">
        <f t="shared" si="34"/>
        <v>23400</v>
      </c>
      <c r="CL370" s="3">
        <f t="shared" si="35"/>
        <v>0</v>
      </c>
      <c r="CM370" s="222">
        <f t="shared" si="36"/>
        <v>12531</v>
      </c>
      <c r="CN370" s="3" t="str">
        <f t="shared" si="33"/>
        <v>ماليزى اسنان</v>
      </c>
    </row>
    <row r="371" spans="3:92" x14ac:dyDescent="0.25">
      <c r="C371" s="223" t="s">
        <v>503</v>
      </c>
      <c r="D371" s="224">
        <v>21366</v>
      </c>
      <c r="E371" s="224">
        <v>12532</v>
      </c>
      <c r="F371" s="250" t="s">
        <v>121</v>
      </c>
      <c r="G371" s="223" t="s">
        <v>5254</v>
      </c>
      <c r="I371" s="223">
        <v>9000</v>
      </c>
      <c r="AV371" s="22">
        <f t="shared" si="37"/>
        <v>9000</v>
      </c>
      <c r="AW371" s="223">
        <v>8028.4</v>
      </c>
      <c r="AX371" s="223">
        <v>971.6</v>
      </c>
      <c r="CK371" s="22">
        <f t="shared" si="34"/>
        <v>9000</v>
      </c>
      <c r="CL371" s="3">
        <f t="shared" si="35"/>
        <v>0</v>
      </c>
      <c r="CM371" s="222">
        <f t="shared" si="36"/>
        <v>12532</v>
      </c>
      <c r="CN371" s="3" t="str">
        <f t="shared" si="33"/>
        <v>ماليزى اسنان</v>
      </c>
    </row>
    <row r="372" spans="3:92" x14ac:dyDescent="0.25">
      <c r="C372" s="223" t="s">
        <v>503</v>
      </c>
      <c r="D372" s="224">
        <v>21363</v>
      </c>
      <c r="E372" s="224">
        <v>12533</v>
      </c>
      <c r="F372" s="250" t="s">
        <v>121</v>
      </c>
      <c r="G372" s="223" t="s">
        <v>5254</v>
      </c>
      <c r="I372" s="223">
        <v>8613.15</v>
      </c>
      <c r="AV372" s="22">
        <f t="shared" si="37"/>
        <v>8613.15</v>
      </c>
      <c r="AW372" s="223">
        <v>7548.1</v>
      </c>
      <c r="AX372" s="223">
        <v>912.5</v>
      </c>
      <c r="AY372" s="223">
        <v>152.55000000000001</v>
      </c>
      <c r="CK372" s="22">
        <f t="shared" si="34"/>
        <v>8613.15</v>
      </c>
      <c r="CL372" s="3">
        <f t="shared" si="35"/>
        <v>0</v>
      </c>
      <c r="CM372" s="222">
        <f t="shared" si="36"/>
        <v>12533</v>
      </c>
      <c r="CN372" s="3" t="str">
        <f t="shared" si="33"/>
        <v>ماليزى اسنان</v>
      </c>
    </row>
    <row r="373" spans="3:92" x14ac:dyDescent="0.25">
      <c r="C373" s="223" t="s">
        <v>503</v>
      </c>
      <c r="D373" s="224">
        <v>21361</v>
      </c>
      <c r="E373" s="224">
        <v>12534</v>
      </c>
      <c r="F373" s="250" t="s">
        <v>121</v>
      </c>
      <c r="G373" s="223" t="s">
        <v>5254</v>
      </c>
      <c r="I373" s="223">
        <v>121145.59</v>
      </c>
      <c r="AV373" s="22">
        <f t="shared" si="37"/>
        <v>121145.59</v>
      </c>
      <c r="AW373" s="223">
        <v>104265.14</v>
      </c>
      <c r="AX373" s="223">
        <v>12744.35</v>
      </c>
      <c r="AY373" s="223">
        <v>4136.1000000000004</v>
      </c>
      <c r="CK373" s="22">
        <f t="shared" si="34"/>
        <v>121145.59000000001</v>
      </c>
      <c r="CL373" s="3">
        <f t="shared" si="35"/>
        <v>0</v>
      </c>
      <c r="CM373" s="222">
        <f t="shared" si="36"/>
        <v>12534</v>
      </c>
      <c r="CN373" s="3" t="str">
        <f t="shared" si="33"/>
        <v>ماليزى اسنان</v>
      </c>
    </row>
    <row r="374" spans="3:92" x14ac:dyDescent="0.25">
      <c r="C374" s="223" t="s">
        <v>503</v>
      </c>
      <c r="D374" s="224">
        <v>21360</v>
      </c>
      <c r="E374" s="224">
        <v>12535</v>
      </c>
      <c r="F374" s="250" t="s">
        <v>121</v>
      </c>
      <c r="G374" s="223" t="s">
        <v>5254</v>
      </c>
      <c r="I374" s="223">
        <v>317589.32</v>
      </c>
      <c r="AV374" s="22">
        <f t="shared" si="37"/>
        <v>317589.32</v>
      </c>
      <c r="AW374" s="223">
        <v>283568.53999999998</v>
      </c>
      <c r="AX374" s="223">
        <v>33415.949999999997</v>
      </c>
      <c r="AY374" s="223">
        <v>604.83000000000004</v>
      </c>
      <c r="CK374" s="22">
        <f t="shared" si="34"/>
        <v>317589.32</v>
      </c>
      <c r="CL374" s="3">
        <f t="shared" si="35"/>
        <v>0</v>
      </c>
      <c r="CM374" s="222">
        <f t="shared" si="36"/>
        <v>12535</v>
      </c>
      <c r="CN374" s="3" t="str">
        <f t="shared" si="33"/>
        <v>ماليزى اسنان</v>
      </c>
    </row>
    <row r="375" spans="3:92" x14ac:dyDescent="0.25">
      <c r="C375" s="223" t="s">
        <v>503</v>
      </c>
      <c r="D375" s="224">
        <v>21359</v>
      </c>
      <c r="E375" s="224">
        <v>12536</v>
      </c>
      <c r="F375" s="250" t="s">
        <v>121</v>
      </c>
      <c r="G375" s="223" t="s">
        <v>5254</v>
      </c>
      <c r="I375" s="223">
        <v>6120</v>
      </c>
      <c r="AV375" s="22">
        <f t="shared" si="37"/>
        <v>6120</v>
      </c>
      <c r="AW375" s="223">
        <v>5468.85</v>
      </c>
      <c r="AX375" s="223">
        <v>651.15</v>
      </c>
      <c r="CK375" s="22">
        <f t="shared" si="34"/>
        <v>6120</v>
      </c>
      <c r="CL375" s="3">
        <f t="shared" si="35"/>
        <v>0</v>
      </c>
      <c r="CM375" s="222">
        <f t="shared" si="36"/>
        <v>12536</v>
      </c>
      <c r="CN375" s="3" t="str">
        <f t="shared" si="33"/>
        <v>ماليزى اسنان</v>
      </c>
    </row>
    <row r="376" spans="3:92" x14ac:dyDescent="0.25">
      <c r="C376" s="223" t="s">
        <v>503</v>
      </c>
      <c r="D376" s="224">
        <v>21357</v>
      </c>
      <c r="E376" s="224">
        <v>12537</v>
      </c>
      <c r="F376" s="250" t="s">
        <v>121</v>
      </c>
      <c r="G376" s="223" t="s">
        <v>5254</v>
      </c>
      <c r="I376" s="223">
        <v>8100</v>
      </c>
      <c r="AV376" s="22">
        <f t="shared" si="37"/>
        <v>8100</v>
      </c>
      <c r="AW376" s="223">
        <v>7231.35</v>
      </c>
      <c r="AX376" s="223">
        <v>868.65</v>
      </c>
      <c r="CK376" s="22">
        <f t="shared" si="34"/>
        <v>8100</v>
      </c>
      <c r="CL376" s="3">
        <f t="shared" si="35"/>
        <v>0</v>
      </c>
      <c r="CM376" s="222">
        <f t="shared" si="36"/>
        <v>12537</v>
      </c>
      <c r="CN376" s="3" t="str">
        <f t="shared" si="33"/>
        <v>ماليزى اسنان</v>
      </c>
    </row>
    <row r="377" spans="3:92" x14ac:dyDescent="0.25">
      <c r="C377" s="223" t="s">
        <v>503</v>
      </c>
      <c r="D377" s="224">
        <v>21358</v>
      </c>
      <c r="E377" s="224">
        <v>12538</v>
      </c>
      <c r="F377" s="250" t="s">
        <v>121</v>
      </c>
      <c r="G377" s="223" t="s">
        <v>5254</v>
      </c>
      <c r="I377" s="223">
        <v>7440</v>
      </c>
      <c r="AV377" s="22">
        <f t="shared" si="37"/>
        <v>7440</v>
      </c>
      <c r="AW377" s="223">
        <v>6641.7</v>
      </c>
      <c r="AX377" s="223">
        <v>798.3</v>
      </c>
      <c r="CK377" s="22">
        <f t="shared" si="34"/>
        <v>7440</v>
      </c>
      <c r="CL377" s="3">
        <f t="shared" si="35"/>
        <v>0</v>
      </c>
      <c r="CM377" s="222">
        <f t="shared" si="36"/>
        <v>12538</v>
      </c>
      <c r="CN377" s="3" t="str">
        <f t="shared" si="33"/>
        <v>ماليزى اسنان</v>
      </c>
    </row>
    <row r="378" spans="3:92" x14ac:dyDescent="0.25">
      <c r="C378" s="223" t="s">
        <v>503</v>
      </c>
      <c r="D378" s="224">
        <v>21355</v>
      </c>
      <c r="E378" s="224">
        <v>12539</v>
      </c>
      <c r="F378" s="250" t="s">
        <v>121</v>
      </c>
      <c r="G378" s="223" t="s">
        <v>5254</v>
      </c>
      <c r="I378" s="223">
        <v>7140</v>
      </c>
      <c r="AV378" s="22">
        <f t="shared" si="37"/>
        <v>7140</v>
      </c>
      <c r="AW378" s="223">
        <v>6374.2</v>
      </c>
      <c r="AX378" s="223">
        <v>765.8</v>
      </c>
      <c r="CK378" s="22">
        <f t="shared" si="34"/>
        <v>7140</v>
      </c>
      <c r="CL378" s="3">
        <f t="shared" si="35"/>
        <v>0</v>
      </c>
      <c r="CM378" s="222">
        <f t="shared" si="36"/>
        <v>12539</v>
      </c>
      <c r="CN378" s="3" t="str">
        <f t="shared" si="33"/>
        <v>ماليزى اسنان</v>
      </c>
    </row>
    <row r="379" spans="3:92" x14ac:dyDescent="0.25">
      <c r="C379" s="223" t="s">
        <v>503</v>
      </c>
      <c r="D379" s="224">
        <v>21356</v>
      </c>
      <c r="E379" s="224">
        <v>12540</v>
      </c>
      <c r="F379" s="250" t="s">
        <v>121</v>
      </c>
      <c r="G379" s="223" t="s">
        <v>5254</v>
      </c>
      <c r="I379" s="223">
        <v>8610</v>
      </c>
      <c r="AV379" s="22">
        <f t="shared" si="37"/>
        <v>8610</v>
      </c>
      <c r="AW379" s="223">
        <v>7686.1</v>
      </c>
      <c r="AX379" s="223">
        <v>923.9</v>
      </c>
      <c r="CK379" s="22">
        <f t="shared" si="34"/>
        <v>8610</v>
      </c>
      <c r="CL379" s="3">
        <f t="shared" si="35"/>
        <v>0</v>
      </c>
      <c r="CM379" s="222">
        <f t="shared" si="36"/>
        <v>12540</v>
      </c>
      <c r="CN379" s="3" t="str">
        <f t="shared" si="33"/>
        <v>ماليزى اسنان</v>
      </c>
    </row>
    <row r="380" spans="3:92" x14ac:dyDescent="0.25">
      <c r="C380" s="223" t="s">
        <v>503</v>
      </c>
      <c r="D380" s="224">
        <v>21354</v>
      </c>
      <c r="E380" s="224">
        <v>12541</v>
      </c>
      <c r="F380" s="250" t="s">
        <v>121</v>
      </c>
      <c r="G380" s="223" t="s">
        <v>5254</v>
      </c>
      <c r="I380" s="223">
        <v>7410</v>
      </c>
      <c r="AV380" s="22">
        <f t="shared" si="37"/>
        <v>7410</v>
      </c>
      <c r="AW380" s="223">
        <v>6615.8</v>
      </c>
      <c r="AX380" s="223">
        <v>794.2</v>
      </c>
      <c r="CK380" s="22">
        <f t="shared" si="34"/>
        <v>7410</v>
      </c>
      <c r="CL380" s="3">
        <f t="shared" si="35"/>
        <v>0</v>
      </c>
      <c r="CM380" s="222">
        <f t="shared" si="36"/>
        <v>12541</v>
      </c>
      <c r="CN380" s="3" t="str">
        <f t="shared" si="33"/>
        <v>ماليزى اسنان</v>
      </c>
    </row>
    <row r="381" spans="3:92" x14ac:dyDescent="0.25">
      <c r="C381" s="223" t="s">
        <v>503</v>
      </c>
      <c r="D381" s="224">
        <v>21353</v>
      </c>
      <c r="E381" s="224">
        <v>12542</v>
      </c>
      <c r="F381" s="250" t="s">
        <v>121</v>
      </c>
      <c r="G381" s="223" t="s">
        <v>5254</v>
      </c>
      <c r="I381" s="223">
        <v>281550</v>
      </c>
      <c r="AV381" s="22">
        <f t="shared" si="37"/>
        <v>281550</v>
      </c>
      <c r="AW381" s="223">
        <v>252105.5</v>
      </c>
      <c r="AX381" s="223">
        <v>29444.5</v>
      </c>
      <c r="CK381" s="22">
        <f t="shared" si="34"/>
        <v>281550</v>
      </c>
      <c r="CL381" s="3">
        <f t="shared" si="35"/>
        <v>0</v>
      </c>
      <c r="CM381" s="222">
        <f t="shared" si="36"/>
        <v>12542</v>
      </c>
      <c r="CN381" s="3" t="str">
        <f t="shared" si="33"/>
        <v>ماليزى اسنان</v>
      </c>
    </row>
    <row r="382" spans="3:92" x14ac:dyDescent="0.25">
      <c r="C382" s="223" t="s">
        <v>503</v>
      </c>
      <c r="D382" s="224">
        <v>21381</v>
      </c>
      <c r="E382" s="224">
        <v>12543</v>
      </c>
      <c r="F382" s="250" t="s">
        <v>121</v>
      </c>
      <c r="G382" s="223" t="s">
        <v>5247</v>
      </c>
      <c r="I382" s="223">
        <v>42000</v>
      </c>
      <c r="AV382" s="22">
        <f t="shared" si="37"/>
        <v>42000</v>
      </c>
      <c r="AW382" s="223">
        <v>37574.800000000003</v>
      </c>
      <c r="AX382" s="223">
        <v>4425.2</v>
      </c>
      <c r="CK382" s="22">
        <f t="shared" si="34"/>
        <v>42000</v>
      </c>
      <c r="CL382" s="3">
        <f t="shared" si="35"/>
        <v>0</v>
      </c>
      <c r="CM382" s="222">
        <f t="shared" si="36"/>
        <v>12543</v>
      </c>
      <c r="CN382" s="3" t="str">
        <f t="shared" si="33"/>
        <v>ماليزى اسنان</v>
      </c>
    </row>
    <row r="383" spans="3:92" x14ac:dyDescent="0.25">
      <c r="C383" s="223" t="s">
        <v>503</v>
      </c>
      <c r="D383" s="224">
        <v>21365</v>
      </c>
      <c r="E383" s="224">
        <v>12544</v>
      </c>
      <c r="F383" s="250" t="s">
        <v>121</v>
      </c>
      <c r="G383" s="223" t="s">
        <v>5247</v>
      </c>
      <c r="I383" s="223">
        <v>50400</v>
      </c>
      <c r="AV383" s="22">
        <f t="shared" si="37"/>
        <v>50400</v>
      </c>
      <c r="AW383" s="223">
        <v>45062</v>
      </c>
      <c r="AX383" s="223">
        <v>5338</v>
      </c>
      <c r="CK383" s="22">
        <f t="shared" si="34"/>
        <v>50400</v>
      </c>
      <c r="CL383" s="3">
        <f t="shared" si="35"/>
        <v>0</v>
      </c>
      <c r="CM383" s="222">
        <f t="shared" si="36"/>
        <v>12544</v>
      </c>
      <c r="CN383" s="3" t="str">
        <f t="shared" si="33"/>
        <v>ماليزى اسنان</v>
      </c>
    </row>
    <row r="384" spans="3:92" x14ac:dyDescent="0.25">
      <c r="C384" s="223" t="s">
        <v>503</v>
      </c>
      <c r="D384" s="224">
        <v>21364</v>
      </c>
      <c r="E384" s="224">
        <v>12545</v>
      </c>
      <c r="F384" s="250" t="s">
        <v>121</v>
      </c>
      <c r="G384" s="223" t="s">
        <v>5247</v>
      </c>
      <c r="I384" s="223">
        <v>190312.41</v>
      </c>
      <c r="AV384" s="22">
        <f t="shared" si="37"/>
        <v>190312.41</v>
      </c>
      <c r="AW384" s="223">
        <v>166727.5</v>
      </c>
      <c r="AX384" s="223">
        <v>19912.55</v>
      </c>
      <c r="AY384" s="226">
        <v>3672.36</v>
      </c>
      <c r="CK384" s="22">
        <f t="shared" si="34"/>
        <v>190312.40999999997</v>
      </c>
      <c r="CL384" s="3">
        <f t="shared" si="35"/>
        <v>0</v>
      </c>
      <c r="CM384" s="222">
        <f t="shared" si="36"/>
        <v>12545</v>
      </c>
      <c r="CN384" s="3" t="str">
        <f t="shared" si="33"/>
        <v>ماليزى اسنان</v>
      </c>
    </row>
    <row r="385" spans="2:92" x14ac:dyDescent="0.25">
      <c r="B385" s="223" t="s">
        <v>1475</v>
      </c>
      <c r="C385" s="223" t="s">
        <v>592</v>
      </c>
      <c r="D385" s="224">
        <v>20103</v>
      </c>
      <c r="E385" s="224">
        <v>12546</v>
      </c>
      <c r="F385" s="250" t="s">
        <v>5144</v>
      </c>
      <c r="G385" s="223" t="s">
        <v>5255</v>
      </c>
      <c r="I385" s="223">
        <v>15600</v>
      </c>
      <c r="AV385" s="22">
        <f t="shared" si="37"/>
        <v>15600</v>
      </c>
      <c r="AW385" s="223">
        <v>14562.43</v>
      </c>
      <c r="AX385" s="223">
        <f>114.2+373.37</f>
        <v>487.57</v>
      </c>
      <c r="AZ385" s="223">
        <v>550</v>
      </c>
      <c r="CK385" s="22">
        <f t="shared" si="34"/>
        <v>15600</v>
      </c>
      <c r="CL385" s="3">
        <f t="shared" si="35"/>
        <v>0</v>
      </c>
      <c r="CM385" s="222">
        <f t="shared" si="36"/>
        <v>12546</v>
      </c>
      <c r="CN385" s="3" t="str">
        <f t="shared" si="33"/>
        <v>صيدلة اكلينكى</v>
      </c>
    </row>
    <row r="386" spans="2:92" x14ac:dyDescent="0.25">
      <c r="C386" s="223" t="s">
        <v>592</v>
      </c>
      <c r="D386" s="224">
        <v>19900</v>
      </c>
      <c r="E386" s="224">
        <v>12547</v>
      </c>
      <c r="F386" s="250" t="s">
        <v>5144</v>
      </c>
      <c r="G386" s="223" t="s">
        <v>5255</v>
      </c>
      <c r="I386" s="223">
        <v>52656.98</v>
      </c>
      <c r="AV386" s="22">
        <f t="shared" si="37"/>
        <v>52656.98</v>
      </c>
      <c r="AW386" s="223">
        <v>37659.160000000003</v>
      </c>
      <c r="AX386" s="223">
        <f>295.15+965.59</f>
        <v>1260.74</v>
      </c>
      <c r="AY386" s="223">
        <v>12687.08</v>
      </c>
      <c r="AZ386" s="223">
        <v>1050</v>
      </c>
      <c r="CK386" s="22">
        <f t="shared" si="34"/>
        <v>52656.98</v>
      </c>
      <c r="CL386" s="3">
        <f t="shared" si="35"/>
        <v>0</v>
      </c>
      <c r="CM386" s="222">
        <f t="shared" si="36"/>
        <v>12547</v>
      </c>
      <c r="CN386" s="3" t="str">
        <f t="shared" si="33"/>
        <v>صيدلة اكلينكى</v>
      </c>
    </row>
    <row r="387" spans="2:92" x14ac:dyDescent="0.25">
      <c r="C387" s="223" t="s">
        <v>592</v>
      </c>
      <c r="D387" s="224">
        <v>19902</v>
      </c>
      <c r="E387" s="224">
        <v>12548</v>
      </c>
      <c r="F387" s="250" t="s">
        <v>5144</v>
      </c>
      <c r="G387" s="223" t="s">
        <v>5256</v>
      </c>
      <c r="I387" s="223">
        <v>6100</v>
      </c>
      <c r="AV387" s="22">
        <f t="shared" si="37"/>
        <v>6100</v>
      </c>
      <c r="AW387" s="223">
        <v>5444.99</v>
      </c>
      <c r="AX387" s="223">
        <f>610+45.01</f>
        <v>655.01</v>
      </c>
      <c r="CK387" s="22">
        <f t="shared" si="34"/>
        <v>6100</v>
      </c>
      <c r="CL387" s="3">
        <f t="shared" si="35"/>
        <v>0</v>
      </c>
      <c r="CM387" s="222">
        <f t="shared" si="36"/>
        <v>12548</v>
      </c>
      <c r="CN387" s="3" t="str">
        <f t="shared" si="33"/>
        <v>صيدلة اكلينكى</v>
      </c>
    </row>
    <row r="388" spans="2:92" x14ac:dyDescent="0.25">
      <c r="C388" s="223" t="s">
        <v>592</v>
      </c>
      <c r="D388" s="224">
        <v>19901</v>
      </c>
      <c r="E388" s="224">
        <v>12549</v>
      </c>
      <c r="F388" s="250" t="s">
        <v>5144</v>
      </c>
      <c r="G388" s="223" t="s">
        <v>5257</v>
      </c>
      <c r="I388" s="223">
        <v>4221</v>
      </c>
      <c r="AV388" s="22">
        <f t="shared" si="37"/>
        <v>4221</v>
      </c>
      <c r="AW388" s="223">
        <v>3100.79</v>
      </c>
      <c r="AX388" s="223">
        <f>23.7+79.51</f>
        <v>103.21000000000001</v>
      </c>
      <c r="AY388" s="223">
        <v>1017</v>
      </c>
      <c r="CK388" s="22">
        <f t="shared" si="34"/>
        <v>4221</v>
      </c>
      <c r="CL388" s="3">
        <f t="shared" si="35"/>
        <v>0</v>
      </c>
      <c r="CM388" s="222">
        <f t="shared" si="36"/>
        <v>12549</v>
      </c>
      <c r="CN388" s="3" t="str">
        <f t="shared" si="33"/>
        <v>صيدلة اكلينكى</v>
      </c>
    </row>
    <row r="389" spans="2:92" x14ac:dyDescent="0.25">
      <c r="C389" s="223" t="s">
        <v>592</v>
      </c>
      <c r="D389" s="224">
        <v>19911</v>
      </c>
      <c r="E389" s="224">
        <v>12550</v>
      </c>
      <c r="F389" s="250" t="s">
        <v>5144</v>
      </c>
      <c r="G389" s="223" t="s">
        <v>5203</v>
      </c>
      <c r="I389" s="223">
        <v>32817.5</v>
      </c>
      <c r="AV389" s="22">
        <f t="shared" si="37"/>
        <v>32817.5</v>
      </c>
      <c r="AW389" s="223">
        <v>28523.8</v>
      </c>
      <c r="AX389" s="223">
        <v>3446.2</v>
      </c>
      <c r="AY389" s="223">
        <v>847.5</v>
      </c>
      <c r="CK389" s="22">
        <f t="shared" si="34"/>
        <v>32817.5</v>
      </c>
      <c r="CL389" s="3">
        <f t="shared" si="35"/>
        <v>0</v>
      </c>
      <c r="CM389" s="222">
        <f t="shared" si="36"/>
        <v>12550</v>
      </c>
      <c r="CN389" s="3" t="str">
        <f t="shared" si="33"/>
        <v>صيدلة اكلينكى</v>
      </c>
    </row>
    <row r="390" spans="2:92" x14ac:dyDescent="0.25">
      <c r="C390" s="223" t="s">
        <v>592</v>
      </c>
      <c r="D390" s="224">
        <v>19906</v>
      </c>
      <c r="E390" s="224">
        <v>12551</v>
      </c>
      <c r="F390" s="250" t="s">
        <v>5144</v>
      </c>
      <c r="G390" s="223" t="s">
        <v>5203</v>
      </c>
      <c r="I390" s="223">
        <v>586.25</v>
      </c>
      <c r="AV390" s="22">
        <f t="shared" si="37"/>
        <v>586.25</v>
      </c>
      <c r="AW390" s="223">
        <v>392.4</v>
      </c>
      <c r="AX390" s="223">
        <v>52.6</v>
      </c>
      <c r="AY390" s="223">
        <v>141.25</v>
      </c>
      <c r="CK390" s="22">
        <f t="shared" si="34"/>
        <v>586.25</v>
      </c>
      <c r="CL390" s="3">
        <f t="shared" si="35"/>
        <v>0</v>
      </c>
      <c r="CM390" s="222">
        <f t="shared" si="36"/>
        <v>12551</v>
      </c>
      <c r="CN390" s="3" t="str">
        <f t="shared" si="33"/>
        <v>صيدلة اكلينكى</v>
      </c>
    </row>
    <row r="391" spans="2:92" x14ac:dyDescent="0.25">
      <c r="C391" s="223" t="s">
        <v>592</v>
      </c>
      <c r="D391" s="224">
        <v>19910</v>
      </c>
      <c r="E391" s="224">
        <v>12552</v>
      </c>
      <c r="F391" s="250" t="s">
        <v>5144</v>
      </c>
      <c r="G391" s="223" t="s">
        <v>5203</v>
      </c>
      <c r="I391" s="223">
        <v>3250</v>
      </c>
      <c r="AV391" s="22">
        <f t="shared" si="37"/>
        <v>3250</v>
      </c>
      <c r="AW391" s="223">
        <v>2901.35</v>
      </c>
      <c r="AX391" s="223">
        <v>348.65</v>
      </c>
      <c r="CK391" s="22">
        <f t="shared" si="34"/>
        <v>3250</v>
      </c>
      <c r="CL391" s="3">
        <f t="shared" si="35"/>
        <v>0</v>
      </c>
      <c r="CM391" s="222">
        <f t="shared" si="36"/>
        <v>12552</v>
      </c>
      <c r="CN391" s="3" t="str">
        <f t="shared" si="33"/>
        <v>صيدلة اكلينكى</v>
      </c>
    </row>
    <row r="392" spans="2:92" x14ac:dyDescent="0.25">
      <c r="C392" s="223" t="s">
        <v>592</v>
      </c>
      <c r="D392" s="224">
        <v>19908</v>
      </c>
      <c r="E392" s="224">
        <v>12553</v>
      </c>
      <c r="F392" s="250" t="s">
        <v>5144</v>
      </c>
      <c r="G392" s="223" t="s">
        <v>5203</v>
      </c>
      <c r="I392" s="223">
        <v>351.75</v>
      </c>
      <c r="AV392" s="22">
        <f t="shared" si="37"/>
        <v>351.75</v>
      </c>
      <c r="AW392" s="223">
        <v>235.55</v>
      </c>
      <c r="AX392" s="223">
        <v>31.45</v>
      </c>
      <c r="AY392" s="223">
        <v>84.75</v>
      </c>
      <c r="CK392" s="22">
        <f t="shared" si="34"/>
        <v>351.75</v>
      </c>
      <c r="CL392" s="3">
        <f t="shared" si="35"/>
        <v>0</v>
      </c>
      <c r="CM392" s="222">
        <f t="shared" si="36"/>
        <v>12553</v>
      </c>
      <c r="CN392" s="3" t="str">
        <f t="shared" si="33"/>
        <v>صيدلة اكلينكى</v>
      </c>
    </row>
    <row r="393" spans="2:92" x14ac:dyDescent="0.25">
      <c r="C393" s="223" t="s">
        <v>592</v>
      </c>
      <c r="D393" s="224">
        <v>19909</v>
      </c>
      <c r="E393" s="224">
        <v>12554</v>
      </c>
      <c r="F393" s="250" t="s">
        <v>5144</v>
      </c>
      <c r="G393" s="223" t="s">
        <v>5203</v>
      </c>
      <c r="I393" s="223">
        <v>1203.5</v>
      </c>
      <c r="AV393" s="22">
        <f t="shared" si="37"/>
        <v>1203.5</v>
      </c>
      <c r="AW393" s="223">
        <v>918.15</v>
      </c>
      <c r="AX393" s="223">
        <v>115.85</v>
      </c>
      <c r="AY393" s="223">
        <v>169.5</v>
      </c>
      <c r="CK393" s="22">
        <f t="shared" si="34"/>
        <v>1203.5</v>
      </c>
      <c r="CL393" s="3">
        <f t="shared" si="35"/>
        <v>0</v>
      </c>
      <c r="CM393" s="222">
        <f t="shared" si="36"/>
        <v>12554</v>
      </c>
      <c r="CN393" s="3" t="str">
        <f t="shared" si="33"/>
        <v>صيدلة اكلينكى</v>
      </c>
    </row>
    <row r="394" spans="2:92" x14ac:dyDescent="0.25">
      <c r="C394" s="223" t="s">
        <v>592</v>
      </c>
      <c r="D394" s="224">
        <v>19912</v>
      </c>
      <c r="E394" s="224">
        <v>12555</v>
      </c>
      <c r="F394" s="250" t="s">
        <v>5144</v>
      </c>
      <c r="G394" s="223" t="s">
        <v>5203</v>
      </c>
      <c r="I394" s="223">
        <v>2058.75</v>
      </c>
      <c r="AV394" s="22">
        <f t="shared" si="37"/>
        <v>2058.75</v>
      </c>
      <c r="AW394" s="223">
        <v>1473.92</v>
      </c>
      <c r="AX394" s="223">
        <f>150+11.08</f>
        <v>161.08000000000001</v>
      </c>
      <c r="AY394" s="223">
        <v>423.75</v>
      </c>
      <c r="CK394" s="22">
        <f t="shared" si="34"/>
        <v>2058.75</v>
      </c>
      <c r="CL394" s="3">
        <f t="shared" si="35"/>
        <v>0</v>
      </c>
      <c r="CM394" s="222">
        <f t="shared" si="36"/>
        <v>12555</v>
      </c>
      <c r="CN394" s="3" t="str">
        <f t="shared" si="33"/>
        <v>صيدلة اكلينكى</v>
      </c>
    </row>
    <row r="395" spans="2:92" x14ac:dyDescent="0.25">
      <c r="C395" s="223" t="s">
        <v>592</v>
      </c>
      <c r="D395" s="224">
        <v>19907</v>
      </c>
      <c r="E395" s="224">
        <v>12556</v>
      </c>
      <c r="F395" s="250" t="s">
        <v>5144</v>
      </c>
      <c r="G395" s="223" t="s">
        <v>5203</v>
      </c>
      <c r="I395" s="223">
        <v>945.37</v>
      </c>
      <c r="AV395" s="22">
        <f t="shared" si="37"/>
        <v>945.37</v>
      </c>
      <c r="AW395" s="223">
        <v>776.82</v>
      </c>
      <c r="AX395" s="223">
        <v>94.25</v>
      </c>
      <c r="AY395" s="223">
        <v>74.3</v>
      </c>
      <c r="CK395" s="22">
        <f t="shared" si="34"/>
        <v>945.37</v>
      </c>
      <c r="CL395" s="3">
        <f t="shared" si="35"/>
        <v>0</v>
      </c>
      <c r="CM395" s="222">
        <f t="shared" si="36"/>
        <v>12556</v>
      </c>
      <c r="CN395" s="3" t="str">
        <f t="shared" si="33"/>
        <v>صيدلة اكلينكى</v>
      </c>
    </row>
    <row r="396" spans="2:92" x14ac:dyDescent="0.25">
      <c r="C396" s="223" t="s">
        <v>592</v>
      </c>
      <c r="D396" s="224">
        <v>19905</v>
      </c>
      <c r="E396" s="224">
        <v>12557</v>
      </c>
      <c r="F396" s="250" t="s">
        <v>5144</v>
      </c>
      <c r="G396" s="223" t="s">
        <v>5203</v>
      </c>
      <c r="I396" s="223">
        <v>10000</v>
      </c>
      <c r="AV396" s="22">
        <f t="shared" si="37"/>
        <v>10000</v>
      </c>
      <c r="AW396" s="223">
        <v>8927.15</v>
      </c>
      <c r="AX396" s="223">
        <v>1072.8499999999999</v>
      </c>
      <c r="CK396" s="22">
        <f t="shared" si="34"/>
        <v>10000</v>
      </c>
      <c r="CL396" s="3">
        <f t="shared" si="35"/>
        <v>0</v>
      </c>
      <c r="CM396" s="222">
        <f t="shared" si="36"/>
        <v>12557</v>
      </c>
      <c r="CN396" s="3" t="str">
        <f t="shared" si="33"/>
        <v>صيدلة اكلينكى</v>
      </c>
    </row>
    <row r="397" spans="2:92" x14ac:dyDescent="0.25">
      <c r="C397" s="223" t="s">
        <v>592</v>
      </c>
      <c r="D397" s="224">
        <v>19903</v>
      </c>
      <c r="E397" s="224">
        <v>12558</v>
      </c>
      <c r="F397" s="250" t="s">
        <v>5144</v>
      </c>
      <c r="G397" s="223" t="s">
        <v>5203</v>
      </c>
      <c r="I397" s="223">
        <v>500</v>
      </c>
      <c r="AV397" s="22">
        <f t="shared" si="37"/>
        <v>500</v>
      </c>
      <c r="AW397" s="223">
        <v>447.05</v>
      </c>
      <c r="AX397" s="223">
        <v>52.95</v>
      </c>
      <c r="CK397" s="22">
        <f t="shared" si="34"/>
        <v>500</v>
      </c>
      <c r="CL397" s="3">
        <f t="shared" si="35"/>
        <v>0</v>
      </c>
      <c r="CM397" s="222">
        <f t="shared" si="36"/>
        <v>12558</v>
      </c>
      <c r="CN397" s="3" t="str">
        <f t="shared" si="33"/>
        <v>صيدلة اكلينكى</v>
      </c>
    </row>
    <row r="398" spans="2:92" x14ac:dyDescent="0.25">
      <c r="C398" s="223" t="s">
        <v>592</v>
      </c>
      <c r="D398" s="224">
        <v>19904</v>
      </c>
      <c r="E398" s="224">
        <v>12559</v>
      </c>
      <c r="F398" s="250" t="s">
        <v>5144</v>
      </c>
      <c r="G398" s="223" t="s">
        <v>5203</v>
      </c>
      <c r="I398" s="223">
        <v>2000</v>
      </c>
      <c r="AV398" s="22">
        <f t="shared" si="37"/>
        <v>2000</v>
      </c>
      <c r="AW398" s="223">
        <v>1785.35</v>
      </c>
      <c r="AX398" s="223">
        <v>214.65</v>
      </c>
      <c r="CK398" s="22">
        <f t="shared" si="34"/>
        <v>2000</v>
      </c>
      <c r="CL398" s="3">
        <f t="shared" si="35"/>
        <v>0</v>
      </c>
      <c r="CM398" s="222">
        <f t="shared" si="36"/>
        <v>12559</v>
      </c>
      <c r="CN398" s="3" t="str">
        <f t="shared" si="33"/>
        <v>صيدلة اكلينكى</v>
      </c>
    </row>
    <row r="399" spans="2:92" x14ac:dyDescent="0.25">
      <c r="C399" s="223" t="s">
        <v>592</v>
      </c>
      <c r="D399" s="224">
        <v>21143</v>
      </c>
      <c r="E399" s="224">
        <v>12560</v>
      </c>
      <c r="F399" s="250" t="s">
        <v>5144</v>
      </c>
      <c r="G399" s="223" t="s">
        <v>5258</v>
      </c>
      <c r="I399" s="223">
        <v>5000</v>
      </c>
      <c r="AV399" s="22">
        <f t="shared" si="37"/>
        <v>5000</v>
      </c>
      <c r="AW399" s="223">
        <v>4462.8500000000004</v>
      </c>
      <c r="AX399" s="223">
        <v>537.15</v>
      </c>
      <c r="CK399" s="22">
        <f t="shared" si="34"/>
        <v>5000</v>
      </c>
      <c r="CL399" s="3">
        <f t="shared" si="35"/>
        <v>0</v>
      </c>
      <c r="CM399" s="222">
        <f t="shared" si="36"/>
        <v>12560</v>
      </c>
      <c r="CN399" s="3" t="str">
        <f t="shared" ref="CN399:CN462" si="38">+F399</f>
        <v>صيدلة اكلينكى</v>
      </c>
    </row>
    <row r="400" spans="2:92" x14ac:dyDescent="0.25">
      <c r="C400" s="223" t="s">
        <v>592</v>
      </c>
      <c r="D400" s="224">
        <v>20961</v>
      </c>
      <c r="E400" s="224">
        <v>12561</v>
      </c>
      <c r="F400" s="250" t="s">
        <v>5144</v>
      </c>
      <c r="G400" s="223" t="s">
        <v>5259</v>
      </c>
      <c r="I400" s="223">
        <v>10393.129999999999</v>
      </c>
      <c r="AV400" s="22">
        <f t="shared" si="37"/>
        <v>10393.129999999999</v>
      </c>
      <c r="AW400" s="223">
        <v>9221.5499999999993</v>
      </c>
      <c r="AX400" s="223">
        <f>65.95+1035</f>
        <v>1100.95</v>
      </c>
      <c r="AY400" s="223">
        <v>70.63</v>
      </c>
      <c r="CK400" s="22">
        <f t="shared" ref="CK400:CK463" si="39">SUM(AW400:CJ400)</f>
        <v>10393.129999999999</v>
      </c>
      <c r="CL400" s="3">
        <f t="shared" ref="CL400:CL463" si="40">+CK400-AV400</f>
        <v>0</v>
      </c>
      <c r="CM400" s="222">
        <f t="shared" ref="CM400:CM468" si="41">+E400</f>
        <v>12561</v>
      </c>
      <c r="CN400" s="3" t="str">
        <f t="shared" si="38"/>
        <v>صيدلة اكلينكى</v>
      </c>
    </row>
    <row r="401" spans="3:92" x14ac:dyDescent="0.25">
      <c r="C401" s="223" t="s">
        <v>592</v>
      </c>
      <c r="D401" s="224">
        <v>20957</v>
      </c>
      <c r="E401" s="224">
        <v>12562</v>
      </c>
      <c r="F401" s="250" t="s">
        <v>5144</v>
      </c>
      <c r="G401" s="223" t="s">
        <v>5259</v>
      </c>
      <c r="I401" s="223">
        <v>762.12</v>
      </c>
      <c r="AV401" s="22">
        <f t="shared" si="37"/>
        <v>762.12</v>
      </c>
      <c r="AW401" s="223">
        <v>509.8</v>
      </c>
      <c r="AX401" s="223">
        <v>68.7</v>
      </c>
      <c r="AY401" s="223">
        <v>183.62</v>
      </c>
      <c r="CK401" s="22">
        <f t="shared" si="39"/>
        <v>762.12</v>
      </c>
      <c r="CL401" s="3">
        <f t="shared" si="40"/>
        <v>0</v>
      </c>
      <c r="CM401" s="222">
        <f t="shared" si="41"/>
        <v>12562</v>
      </c>
      <c r="CN401" s="3" t="str">
        <f t="shared" si="38"/>
        <v>صيدلة اكلينكى</v>
      </c>
    </row>
    <row r="402" spans="3:92" x14ac:dyDescent="0.25">
      <c r="C402" s="223" t="s">
        <v>592</v>
      </c>
      <c r="D402" s="224">
        <v>20958</v>
      </c>
      <c r="E402" s="224">
        <v>12563</v>
      </c>
      <c r="F402" s="250" t="s">
        <v>5144</v>
      </c>
      <c r="G402" s="223" t="s">
        <v>5259</v>
      </c>
      <c r="I402" s="223">
        <v>1876</v>
      </c>
      <c r="AV402" s="22">
        <f t="shared" si="37"/>
        <v>1876</v>
      </c>
      <c r="AW402" s="223">
        <v>1255.3499999999999</v>
      </c>
      <c r="AX402" s="223">
        <v>168.65</v>
      </c>
      <c r="AY402" s="223">
        <v>452</v>
      </c>
      <c r="CK402" s="22">
        <f t="shared" si="39"/>
        <v>1876</v>
      </c>
      <c r="CL402" s="3">
        <f t="shared" si="40"/>
        <v>0</v>
      </c>
      <c r="CM402" s="222">
        <f t="shared" si="41"/>
        <v>12563</v>
      </c>
      <c r="CN402" s="3" t="str">
        <f t="shared" si="38"/>
        <v>صيدلة اكلينكى</v>
      </c>
    </row>
    <row r="403" spans="3:92" x14ac:dyDescent="0.25">
      <c r="C403" s="223" t="s">
        <v>592</v>
      </c>
      <c r="D403" s="224">
        <v>20959</v>
      </c>
      <c r="E403" s="224">
        <v>12564</v>
      </c>
      <c r="F403" s="250" t="s">
        <v>5144</v>
      </c>
      <c r="G403" s="223" t="s">
        <v>5259</v>
      </c>
      <c r="I403" s="223">
        <v>586.25</v>
      </c>
      <c r="AV403" s="22">
        <f t="shared" si="37"/>
        <v>586.25</v>
      </c>
      <c r="AW403" s="223">
        <v>392.4</v>
      </c>
      <c r="AX403" s="223">
        <v>52.6</v>
      </c>
      <c r="AY403" s="223">
        <v>141.25</v>
      </c>
      <c r="CK403" s="22">
        <f t="shared" si="39"/>
        <v>586.25</v>
      </c>
      <c r="CL403" s="3">
        <f t="shared" si="40"/>
        <v>0</v>
      </c>
      <c r="CM403" s="222">
        <f t="shared" si="41"/>
        <v>12564</v>
      </c>
      <c r="CN403" s="3" t="str">
        <f t="shared" si="38"/>
        <v>صيدلة اكلينكى</v>
      </c>
    </row>
    <row r="404" spans="3:92" x14ac:dyDescent="0.25">
      <c r="C404" s="223" t="s">
        <v>592</v>
      </c>
      <c r="D404" s="224">
        <v>20960</v>
      </c>
      <c r="E404" s="224">
        <v>12565</v>
      </c>
      <c r="F404" s="250" t="s">
        <v>5144</v>
      </c>
      <c r="G404" s="223" t="s">
        <v>5259</v>
      </c>
      <c r="I404" s="223">
        <v>7152.23</v>
      </c>
      <c r="AV404" s="22">
        <f t="shared" si="37"/>
        <v>7152.23</v>
      </c>
      <c r="AW404" s="223">
        <v>4786.25</v>
      </c>
      <c r="AX404" s="223">
        <v>642.75</v>
      </c>
      <c r="AY404" s="223">
        <v>1723.23</v>
      </c>
      <c r="CK404" s="22">
        <f t="shared" si="39"/>
        <v>7152.23</v>
      </c>
      <c r="CL404" s="3">
        <f t="shared" si="40"/>
        <v>0</v>
      </c>
      <c r="CM404" s="222">
        <f t="shared" si="41"/>
        <v>12565</v>
      </c>
      <c r="CN404" s="3" t="str">
        <f t="shared" si="38"/>
        <v>صيدلة اكلينكى</v>
      </c>
    </row>
    <row r="405" spans="3:92" x14ac:dyDescent="0.25">
      <c r="C405" s="223" t="s">
        <v>592</v>
      </c>
      <c r="D405" s="224">
        <v>20944</v>
      </c>
      <c r="E405" s="224">
        <v>12566</v>
      </c>
      <c r="F405" s="250" t="s">
        <v>5144</v>
      </c>
      <c r="G405" s="223" t="s">
        <v>2953</v>
      </c>
      <c r="I405" s="223">
        <v>586.25</v>
      </c>
      <c r="AV405" s="22">
        <f t="shared" si="37"/>
        <v>586.25</v>
      </c>
      <c r="AW405" s="223">
        <v>392.4</v>
      </c>
      <c r="AX405" s="223">
        <f>2.6+50</f>
        <v>52.6</v>
      </c>
      <c r="AY405" s="223">
        <v>141.25</v>
      </c>
      <c r="CK405" s="22">
        <f t="shared" si="39"/>
        <v>586.25</v>
      </c>
      <c r="CL405" s="3">
        <f t="shared" si="40"/>
        <v>0</v>
      </c>
      <c r="CM405" s="222">
        <f t="shared" si="41"/>
        <v>12566</v>
      </c>
      <c r="CN405" s="3" t="str">
        <f t="shared" si="38"/>
        <v>صيدلة اكلينكى</v>
      </c>
    </row>
    <row r="406" spans="3:92" x14ac:dyDescent="0.25">
      <c r="C406" s="223" t="s">
        <v>592</v>
      </c>
      <c r="D406" s="224">
        <v>20941</v>
      </c>
      <c r="E406" s="224">
        <v>12567</v>
      </c>
      <c r="F406" s="250" t="s">
        <v>5144</v>
      </c>
      <c r="G406" s="223" t="s">
        <v>2953</v>
      </c>
      <c r="I406" s="223">
        <v>586.25</v>
      </c>
      <c r="AV406" s="22">
        <f t="shared" si="37"/>
        <v>586.25</v>
      </c>
      <c r="AW406" s="223">
        <v>392.4</v>
      </c>
      <c r="AX406" s="223">
        <v>52.6</v>
      </c>
      <c r="AY406" s="223">
        <v>141.25</v>
      </c>
      <c r="CK406" s="22">
        <f t="shared" si="39"/>
        <v>586.25</v>
      </c>
      <c r="CL406" s="3">
        <f t="shared" si="40"/>
        <v>0</v>
      </c>
      <c r="CM406" s="222">
        <f t="shared" si="41"/>
        <v>12567</v>
      </c>
      <c r="CN406" s="3" t="str">
        <f t="shared" si="38"/>
        <v>صيدلة اكلينكى</v>
      </c>
    </row>
    <row r="407" spans="3:92" x14ac:dyDescent="0.25">
      <c r="C407" s="223" t="s">
        <v>592</v>
      </c>
      <c r="D407" s="224">
        <v>20942</v>
      </c>
      <c r="E407" s="224">
        <v>12568</v>
      </c>
      <c r="F407" s="250" t="s">
        <v>5144</v>
      </c>
      <c r="G407" s="223" t="s">
        <v>2953</v>
      </c>
      <c r="I407" s="223">
        <v>879.38</v>
      </c>
      <c r="AV407" s="22">
        <f t="shared" si="37"/>
        <v>879.38</v>
      </c>
      <c r="AW407" s="223">
        <v>588.15</v>
      </c>
      <c r="AX407" s="223">
        <v>79.349999999999994</v>
      </c>
      <c r="AY407" s="223">
        <v>211.88</v>
      </c>
      <c r="CK407" s="22">
        <f t="shared" si="39"/>
        <v>879.38</v>
      </c>
      <c r="CL407" s="3">
        <f t="shared" si="40"/>
        <v>0</v>
      </c>
      <c r="CM407" s="222">
        <f t="shared" si="41"/>
        <v>12568</v>
      </c>
      <c r="CN407" s="3" t="str">
        <f t="shared" si="38"/>
        <v>صيدلة اكلينكى</v>
      </c>
    </row>
    <row r="408" spans="3:92" x14ac:dyDescent="0.25">
      <c r="C408" s="223" t="s">
        <v>592</v>
      </c>
      <c r="D408" s="224">
        <v>20943</v>
      </c>
      <c r="E408" s="224">
        <v>12569</v>
      </c>
      <c r="F408" s="250" t="s">
        <v>5144</v>
      </c>
      <c r="G408" s="223" t="s">
        <v>2953</v>
      </c>
      <c r="I408" s="223">
        <v>9224.39</v>
      </c>
      <c r="AV408" s="22">
        <f t="shared" si="37"/>
        <v>9224.39</v>
      </c>
      <c r="AW408" s="223">
        <v>7512.9</v>
      </c>
      <c r="AX408" s="223">
        <v>934.6</v>
      </c>
      <c r="AY408" s="223">
        <v>776.89</v>
      </c>
      <c r="CK408" s="22">
        <f t="shared" si="39"/>
        <v>9224.39</v>
      </c>
      <c r="CL408" s="3">
        <f t="shared" si="40"/>
        <v>0</v>
      </c>
      <c r="CM408" s="222">
        <f t="shared" si="41"/>
        <v>12569</v>
      </c>
      <c r="CN408" s="3" t="str">
        <f t="shared" si="38"/>
        <v>صيدلة اكلينكى</v>
      </c>
    </row>
    <row r="409" spans="3:92" x14ac:dyDescent="0.25">
      <c r="C409" s="223" t="s">
        <v>592</v>
      </c>
      <c r="D409" s="224">
        <v>20937</v>
      </c>
      <c r="E409" s="224">
        <v>12570</v>
      </c>
      <c r="F409" s="250" t="s">
        <v>5144</v>
      </c>
      <c r="G409" s="223" t="s">
        <v>5260</v>
      </c>
      <c r="I409" s="223">
        <v>1000</v>
      </c>
      <c r="AV409" s="22">
        <f t="shared" si="37"/>
        <v>1000</v>
      </c>
      <c r="AW409" s="223">
        <v>893.35</v>
      </c>
      <c r="AX409" s="223">
        <v>106.65</v>
      </c>
      <c r="CK409" s="22">
        <f t="shared" si="39"/>
        <v>1000</v>
      </c>
      <c r="CL409" s="3">
        <f t="shared" si="40"/>
        <v>0</v>
      </c>
      <c r="CM409" s="222">
        <f t="shared" si="41"/>
        <v>12570</v>
      </c>
      <c r="CN409" s="3" t="str">
        <f t="shared" si="38"/>
        <v>صيدلة اكلينكى</v>
      </c>
    </row>
    <row r="410" spans="3:92" x14ac:dyDescent="0.25">
      <c r="C410" s="223" t="s">
        <v>592</v>
      </c>
      <c r="D410" s="224">
        <v>20940</v>
      </c>
      <c r="E410" s="224">
        <v>12571</v>
      </c>
      <c r="F410" s="250" t="s">
        <v>5144</v>
      </c>
      <c r="G410" s="223" t="s">
        <v>5261</v>
      </c>
      <c r="I410" s="223">
        <v>293.12</v>
      </c>
      <c r="AV410" s="22">
        <f t="shared" si="37"/>
        <v>293.12</v>
      </c>
      <c r="AW410" s="223">
        <v>196.45</v>
      </c>
      <c r="AX410" s="223">
        <v>26.05</v>
      </c>
      <c r="AY410" s="223">
        <v>70.62</v>
      </c>
      <c r="CK410" s="22">
        <f t="shared" si="39"/>
        <v>293.12</v>
      </c>
      <c r="CL410" s="3">
        <f t="shared" si="40"/>
        <v>0</v>
      </c>
      <c r="CM410" s="222">
        <f t="shared" si="41"/>
        <v>12571</v>
      </c>
      <c r="CN410" s="3" t="str">
        <f t="shared" si="38"/>
        <v>صيدلة اكلينكى</v>
      </c>
    </row>
    <row r="411" spans="3:92" x14ac:dyDescent="0.25">
      <c r="C411" s="223" t="s">
        <v>592</v>
      </c>
      <c r="D411" s="224">
        <v>20946</v>
      </c>
      <c r="E411" s="224">
        <v>12572</v>
      </c>
      <c r="F411" s="250" t="s">
        <v>5144</v>
      </c>
      <c r="G411" s="223" t="s">
        <v>3371</v>
      </c>
      <c r="I411" s="223">
        <v>28500</v>
      </c>
      <c r="AV411" s="22">
        <f t="shared" si="37"/>
        <v>28500</v>
      </c>
      <c r="AW411" s="223">
        <v>25423.599999999999</v>
      </c>
      <c r="AX411" s="223">
        <v>3076.4</v>
      </c>
      <c r="CK411" s="22">
        <f t="shared" si="39"/>
        <v>28500</v>
      </c>
      <c r="CL411" s="3">
        <f t="shared" si="40"/>
        <v>0</v>
      </c>
      <c r="CM411" s="222">
        <f t="shared" si="41"/>
        <v>12572</v>
      </c>
      <c r="CN411" s="3" t="str">
        <f t="shared" si="38"/>
        <v>صيدلة اكلينكى</v>
      </c>
    </row>
    <row r="412" spans="3:92" x14ac:dyDescent="0.25">
      <c r="C412" s="223" t="s">
        <v>592</v>
      </c>
      <c r="D412" s="224">
        <v>20939</v>
      </c>
      <c r="E412" s="224">
        <v>12573</v>
      </c>
      <c r="F412" s="250" t="s">
        <v>5144</v>
      </c>
      <c r="G412" s="223" t="s">
        <v>5262</v>
      </c>
      <c r="I412" s="223">
        <v>7000</v>
      </c>
      <c r="AV412" s="22">
        <f t="shared" si="37"/>
        <v>7000</v>
      </c>
      <c r="AW412" s="223">
        <v>6248.2</v>
      </c>
      <c r="AX412" s="223">
        <v>751.8</v>
      </c>
      <c r="CK412" s="22">
        <f t="shared" si="39"/>
        <v>7000</v>
      </c>
      <c r="CL412" s="3">
        <f t="shared" si="40"/>
        <v>0</v>
      </c>
      <c r="CM412" s="222">
        <f t="shared" si="41"/>
        <v>12573</v>
      </c>
      <c r="CN412" s="3" t="str">
        <f t="shared" si="38"/>
        <v>صيدلة اكلينكى</v>
      </c>
    </row>
    <row r="413" spans="3:92" x14ac:dyDescent="0.25">
      <c r="C413" s="223" t="s">
        <v>592</v>
      </c>
      <c r="D413" s="224">
        <v>20950</v>
      </c>
      <c r="E413" s="224">
        <v>12574</v>
      </c>
      <c r="F413" s="250" t="s">
        <v>5144</v>
      </c>
      <c r="G413" s="223" t="s">
        <v>5263</v>
      </c>
      <c r="I413" s="223">
        <v>4500</v>
      </c>
      <c r="AV413" s="22">
        <f t="shared" si="37"/>
        <v>4500</v>
      </c>
      <c r="AW413" s="223">
        <v>4016.6</v>
      </c>
      <c r="AX413" s="223">
        <v>483.4</v>
      </c>
      <c r="CK413" s="22">
        <f t="shared" si="39"/>
        <v>4500</v>
      </c>
      <c r="CL413" s="3">
        <f t="shared" si="40"/>
        <v>0</v>
      </c>
      <c r="CM413" s="222">
        <f t="shared" si="41"/>
        <v>12574</v>
      </c>
      <c r="CN413" s="3" t="str">
        <f t="shared" si="38"/>
        <v>صيدلة اكلينكى</v>
      </c>
    </row>
    <row r="414" spans="3:92" x14ac:dyDescent="0.25">
      <c r="C414" s="223" t="s">
        <v>592</v>
      </c>
      <c r="D414" s="224">
        <v>20949</v>
      </c>
      <c r="E414" s="224">
        <v>12575</v>
      </c>
      <c r="F414" s="250" t="s">
        <v>5144</v>
      </c>
      <c r="G414" s="223" t="s">
        <v>5264</v>
      </c>
      <c r="I414" s="223">
        <v>3000</v>
      </c>
      <c r="AV414" s="22">
        <f t="shared" si="37"/>
        <v>3000</v>
      </c>
      <c r="AW414" s="223">
        <v>2682.3</v>
      </c>
      <c r="AX414" s="223">
        <v>317.7</v>
      </c>
      <c r="CK414" s="22">
        <f t="shared" si="39"/>
        <v>3000</v>
      </c>
      <c r="CL414" s="3">
        <f t="shared" si="40"/>
        <v>0</v>
      </c>
      <c r="CM414" s="222">
        <f t="shared" si="41"/>
        <v>12575</v>
      </c>
      <c r="CN414" s="3" t="str">
        <f t="shared" si="38"/>
        <v>صيدلة اكلينكى</v>
      </c>
    </row>
    <row r="415" spans="3:92" x14ac:dyDescent="0.25">
      <c r="C415" s="223" t="s">
        <v>592</v>
      </c>
      <c r="D415" s="224">
        <v>20947</v>
      </c>
      <c r="E415" s="224">
        <v>12576</v>
      </c>
      <c r="F415" s="250" t="s">
        <v>5144</v>
      </c>
      <c r="G415" s="223" t="s">
        <v>5265</v>
      </c>
      <c r="I415" s="223">
        <v>1758.75</v>
      </c>
      <c r="AV415" s="22">
        <f t="shared" si="37"/>
        <v>1758.75</v>
      </c>
      <c r="AW415" s="223">
        <v>1175.3499999999999</v>
      </c>
      <c r="AX415" s="223">
        <v>159.65</v>
      </c>
      <c r="AY415" s="223">
        <v>423.75</v>
      </c>
      <c r="CK415" s="22">
        <f t="shared" si="39"/>
        <v>1758.75</v>
      </c>
      <c r="CL415" s="3">
        <f t="shared" si="40"/>
        <v>0</v>
      </c>
      <c r="CM415" s="222">
        <f t="shared" si="41"/>
        <v>12576</v>
      </c>
      <c r="CN415" s="3" t="str">
        <f t="shared" si="38"/>
        <v>صيدلة اكلينكى</v>
      </c>
    </row>
    <row r="416" spans="3:92" x14ac:dyDescent="0.25">
      <c r="C416" s="223" t="s">
        <v>592</v>
      </c>
      <c r="D416" s="224">
        <v>20948</v>
      </c>
      <c r="E416" s="224">
        <v>12577</v>
      </c>
      <c r="F416" s="250" t="s">
        <v>5144</v>
      </c>
      <c r="G416" s="223" t="s">
        <v>5265</v>
      </c>
      <c r="I416" s="223">
        <v>1524.25</v>
      </c>
      <c r="AV416" s="22">
        <f t="shared" si="37"/>
        <v>1524.25</v>
      </c>
      <c r="AW416" s="223">
        <v>1018.7</v>
      </c>
      <c r="AX416" s="223">
        <v>138.30000000000001</v>
      </c>
      <c r="AY416" s="223">
        <v>367.25</v>
      </c>
      <c r="CK416" s="22">
        <f t="shared" si="39"/>
        <v>1524.25</v>
      </c>
      <c r="CL416" s="3">
        <f t="shared" si="40"/>
        <v>0</v>
      </c>
      <c r="CM416" s="222">
        <f t="shared" si="41"/>
        <v>12577</v>
      </c>
      <c r="CN416" s="3" t="str">
        <f t="shared" si="38"/>
        <v>صيدلة اكلينكى</v>
      </c>
    </row>
    <row r="417" spans="3:92" x14ac:dyDescent="0.25">
      <c r="C417" s="223" t="s">
        <v>592</v>
      </c>
      <c r="D417" s="224">
        <v>20945</v>
      </c>
      <c r="E417" s="224">
        <v>12578</v>
      </c>
      <c r="F417" s="250" t="s">
        <v>5144</v>
      </c>
      <c r="G417" s="223" t="s">
        <v>5266</v>
      </c>
      <c r="I417" s="223">
        <v>3106.25</v>
      </c>
      <c r="AV417" s="22">
        <f t="shared" si="37"/>
        <v>3106.25</v>
      </c>
      <c r="AW417" s="223">
        <v>2642.2</v>
      </c>
      <c r="AX417" s="223">
        <v>322.8</v>
      </c>
      <c r="AY417" s="223">
        <v>141.25</v>
      </c>
      <c r="CK417" s="22">
        <f t="shared" si="39"/>
        <v>3106.25</v>
      </c>
      <c r="CL417" s="3">
        <f t="shared" si="40"/>
        <v>0</v>
      </c>
      <c r="CM417" s="222">
        <f t="shared" si="41"/>
        <v>12578</v>
      </c>
      <c r="CN417" s="3" t="str">
        <f t="shared" si="38"/>
        <v>صيدلة اكلينكى</v>
      </c>
    </row>
    <row r="418" spans="3:92" x14ac:dyDescent="0.25">
      <c r="C418" s="223" t="s">
        <v>592</v>
      </c>
      <c r="D418" s="224">
        <v>20956</v>
      </c>
      <c r="E418" s="224">
        <v>12579</v>
      </c>
      <c r="F418" s="250" t="s">
        <v>5144</v>
      </c>
      <c r="G418" s="223" t="s">
        <v>5267</v>
      </c>
      <c r="I418" s="223">
        <v>8066</v>
      </c>
      <c r="AV418" s="22">
        <f t="shared" si="37"/>
        <v>8066</v>
      </c>
      <c r="AW418" s="223">
        <v>5727.1</v>
      </c>
      <c r="AX418" s="223">
        <f>46.9+710</f>
        <v>756.9</v>
      </c>
      <c r="AY418" s="223">
        <v>1582</v>
      </c>
      <c r="CK418" s="22">
        <f t="shared" si="39"/>
        <v>8066</v>
      </c>
      <c r="CL418" s="3">
        <f t="shared" si="40"/>
        <v>0</v>
      </c>
      <c r="CM418" s="222">
        <f t="shared" si="41"/>
        <v>12579</v>
      </c>
      <c r="CN418" s="3" t="str">
        <f t="shared" si="38"/>
        <v>صيدلة اكلينكى</v>
      </c>
    </row>
    <row r="419" spans="3:92" x14ac:dyDescent="0.25">
      <c r="C419" s="223" t="s">
        <v>592</v>
      </c>
      <c r="D419" s="224">
        <v>20953</v>
      </c>
      <c r="E419" s="224">
        <v>12580</v>
      </c>
      <c r="F419" s="250" t="s">
        <v>5144</v>
      </c>
      <c r="G419" s="223" t="s">
        <v>5267</v>
      </c>
      <c r="I419" s="223">
        <v>1641.5</v>
      </c>
      <c r="AV419" s="22">
        <f t="shared" si="37"/>
        <v>1641.5</v>
      </c>
      <c r="AW419" s="223">
        <v>1097</v>
      </c>
      <c r="AX419" s="223">
        <v>149</v>
      </c>
      <c r="AY419" s="223">
        <v>395.5</v>
      </c>
      <c r="CK419" s="22">
        <f t="shared" si="39"/>
        <v>1641.5</v>
      </c>
      <c r="CL419" s="3">
        <f t="shared" si="40"/>
        <v>0</v>
      </c>
      <c r="CM419" s="222">
        <f t="shared" si="41"/>
        <v>12580</v>
      </c>
      <c r="CN419" s="3" t="str">
        <f t="shared" si="38"/>
        <v>صيدلة اكلينكى</v>
      </c>
    </row>
    <row r="420" spans="3:92" x14ac:dyDescent="0.25">
      <c r="C420" s="223" t="s">
        <v>592</v>
      </c>
      <c r="D420" s="224">
        <v>20954</v>
      </c>
      <c r="E420" s="224">
        <v>12581</v>
      </c>
      <c r="F420" s="250" t="s">
        <v>5144</v>
      </c>
      <c r="G420" s="223" t="s">
        <v>5267</v>
      </c>
      <c r="I420" s="223">
        <v>1641.5</v>
      </c>
      <c r="AV420" s="22">
        <f t="shared" si="37"/>
        <v>1641.5</v>
      </c>
      <c r="AW420" s="223">
        <v>1097</v>
      </c>
      <c r="AX420" s="223">
        <v>149</v>
      </c>
      <c r="AY420" s="223">
        <v>395.5</v>
      </c>
      <c r="CK420" s="22">
        <f t="shared" si="39"/>
        <v>1641.5</v>
      </c>
      <c r="CL420" s="3">
        <f t="shared" si="40"/>
        <v>0</v>
      </c>
      <c r="CM420" s="222">
        <f t="shared" si="41"/>
        <v>12581</v>
      </c>
      <c r="CN420" s="3" t="str">
        <f t="shared" si="38"/>
        <v>صيدلة اكلينكى</v>
      </c>
    </row>
    <row r="421" spans="3:92" x14ac:dyDescent="0.25">
      <c r="C421" s="223" t="s">
        <v>592</v>
      </c>
      <c r="D421" s="224">
        <v>20955</v>
      </c>
      <c r="E421" s="224">
        <v>12582</v>
      </c>
      <c r="F421" s="250" t="s">
        <v>5144</v>
      </c>
      <c r="G421" s="223" t="s">
        <v>5267</v>
      </c>
      <c r="I421" s="223">
        <v>16415</v>
      </c>
      <c r="AV421" s="22">
        <f t="shared" si="37"/>
        <v>16415</v>
      </c>
      <c r="AW421" s="223">
        <v>10970</v>
      </c>
      <c r="AX421" s="223">
        <v>1490</v>
      </c>
      <c r="AY421" s="223">
        <v>3955</v>
      </c>
      <c r="CK421" s="22">
        <f t="shared" si="39"/>
        <v>16415</v>
      </c>
      <c r="CL421" s="3">
        <f t="shared" si="40"/>
        <v>0</v>
      </c>
      <c r="CM421" s="222">
        <f t="shared" si="41"/>
        <v>12582</v>
      </c>
      <c r="CN421" s="3" t="str">
        <f t="shared" si="38"/>
        <v>صيدلة اكلينكى</v>
      </c>
    </row>
    <row r="422" spans="3:92" x14ac:dyDescent="0.25">
      <c r="C422" s="223" t="s">
        <v>592</v>
      </c>
      <c r="D422" s="224">
        <v>20951</v>
      </c>
      <c r="E422" s="224">
        <v>12583</v>
      </c>
      <c r="F422" s="250" t="s">
        <v>5144</v>
      </c>
      <c r="G422" s="223" t="s">
        <v>5268</v>
      </c>
      <c r="I422" s="223">
        <v>586.25</v>
      </c>
      <c r="AV422" s="22">
        <f t="shared" si="37"/>
        <v>586.25</v>
      </c>
      <c r="AW422" s="223">
        <v>392.4</v>
      </c>
      <c r="AX422" s="223">
        <v>52.6</v>
      </c>
      <c r="AY422" s="223">
        <v>141.25</v>
      </c>
      <c r="CK422" s="22">
        <f t="shared" si="39"/>
        <v>586.25</v>
      </c>
      <c r="CL422" s="3">
        <f t="shared" si="40"/>
        <v>0</v>
      </c>
      <c r="CM422" s="222">
        <f t="shared" si="41"/>
        <v>12583</v>
      </c>
      <c r="CN422" s="3" t="str">
        <f t="shared" si="38"/>
        <v>صيدلة اكلينكى</v>
      </c>
    </row>
    <row r="423" spans="3:92" x14ac:dyDescent="0.25">
      <c r="C423" s="223" t="s">
        <v>592</v>
      </c>
      <c r="D423" s="224">
        <v>20952</v>
      </c>
      <c r="E423" s="224">
        <v>12584</v>
      </c>
      <c r="F423" s="250" t="s">
        <v>5144</v>
      </c>
      <c r="G423" s="223" t="s">
        <v>5269</v>
      </c>
      <c r="I423" s="223">
        <v>351.75</v>
      </c>
      <c r="AV423" s="22">
        <f t="shared" si="37"/>
        <v>351.75</v>
      </c>
      <c r="AW423" s="223">
        <v>235.55</v>
      </c>
      <c r="AX423" s="223">
        <v>31.45</v>
      </c>
      <c r="AY423" s="226">
        <v>84.75</v>
      </c>
      <c r="CK423" s="22">
        <f t="shared" si="39"/>
        <v>351.75</v>
      </c>
      <c r="CL423" s="3">
        <f t="shared" si="40"/>
        <v>0</v>
      </c>
      <c r="CM423" s="222">
        <f t="shared" si="41"/>
        <v>12584</v>
      </c>
      <c r="CN423" s="3" t="str">
        <f t="shared" si="38"/>
        <v>صيدلة اكلينكى</v>
      </c>
    </row>
    <row r="424" spans="3:92" x14ac:dyDescent="0.25">
      <c r="C424" s="223" t="s">
        <v>571</v>
      </c>
      <c r="D424" s="224">
        <v>20494</v>
      </c>
      <c r="E424" s="224">
        <v>12585</v>
      </c>
      <c r="F424" s="250" t="s">
        <v>78</v>
      </c>
      <c r="G424" s="223" t="s">
        <v>5270</v>
      </c>
      <c r="I424" s="223">
        <v>960</v>
      </c>
      <c r="AV424" s="22">
        <f t="shared" si="37"/>
        <v>960</v>
      </c>
      <c r="AW424" s="223">
        <v>859.4</v>
      </c>
      <c r="AX424" s="223">
        <v>100.6</v>
      </c>
      <c r="CK424" s="22">
        <f t="shared" si="39"/>
        <v>960</v>
      </c>
      <c r="CL424" s="3">
        <f t="shared" si="40"/>
        <v>0</v>
      </c>
      <c r="CM424" s="222">
        <f t="shared" si="41"/>
        <v>12585</v>
      </c>
      <c r="CN424" s="3" t="str">
        <f t="shared" si="38"/>
        <v>برنامج دولى</v>
      </c>
    </row>
    <row r="425" spans="3:92" x14ac:dyDescent="0.25">
      <c r="C425" s="223" t="s">
        <v>571</v>
      </c>
      <c r="D425" s="224">
        <v>20495</v>
      </c>
      <c r="E425" s="224">
        <v>12586</v>
      </c>
      <c r="F425" s="250" t="s">
        <v>78</v>
      </c>
      <c r="G425" s="223" t="s">
        <v>5270</v>
      </c>
      <c r="I425" s="223">
        <v>140.69999999999999</v>
      </c>
      <c r="AV425" s="22">
        <f t="shared" si="37"/>
        <v>140.69999999999999</v>
      </c>
      <c r="AW425" s="223">
        <v>94.45</v>
      </c>
      <c r="AX425" s="223">
        <v>12.35</v>
      </c>
      <c r="AY425" s="223">
        <v>33.9</v>
      </c>
      <c r="CK425" s="22">
        <f t="shared" si="39"/>
        <v>140.69999999999999</v>
      </c>
      <c r="CL425" s="3">
        <f t="shared" si="40"/>
        <v>0</v>
      </c>
      <c r="CM425" s="222">
        <f t="shared" si="41"/>
        <v>12586</v>
      </c>
      <c r="CN425" s="3" t="str">
        <f t="shared" si="38"/>
        <v>برنامج دولى</v>
      </c>
    </row>
    <row r="426" spans="3:92" x14ac:dyDescent="0.25">
      <c r="C426" s="223" t="s">
        <v>571</v>
      </c>
      <c r="D426" s="224">
        <v>20496</v>
      </c>
      <c r="E426" s="224">
        <v>12587</v>
      </c>
      <c r="F426" s="250" t="s">
        <v>78</v>
      </c>
      <c r="G426" s="223" t="s">
        <v>5270</v>
      </c>
      <c r="I426" s="223">
        <v>140.69999999999999</v>
      </c>
      <c r="AV426" s="22">
        <f t="shared" si="37"/>
        <v>140.69999999999999</v>
      </c>
      <c r="AW426" s="223">
        <v>94.45</v>
      </c>
      <c r="AX426" s="223">
        <v>12.35</v>
      </c>
      <c r="AY426" s="223">
        <v>33.9</v>
      </c>
      <c r="CK426" s="22">
        <f t="shared" si="39"/>
        <v>140.69999999999999</v>
      </c>
      <c r="CL426" s="3">
        <f t="shared" si="40"/>
        <v>0</v>
      </c>
      <c r="CM426" s="222">
        <f t="shared" si="41"/>
        <v>12587</v>
      </c>
      <c r="CN426" s="3" t="str">
        <f t="shared" si="38"/>
        <v>برنامج دولى</v>
      </c>
    </row>
    <row r="427" spans="3:92" x14ac:dyDescent="0.25">
      <c r="C427" s="223" t="s">
        <v>571</v>
      </c>
      <c r="D427" s="224">
        <v>20497</v>
      </c>
      <c r="E427" s="224">
        <v>12588</v>
      </c>
      <c r="F427" s="250" t="s">
        <v>78</v>
      </c>
      <c r="G427" s="223" t="s">
        <v>5270</v>
      </c>
      <c r="I427" s="223">
        <v>240</v>
      </c>
      <c r="AV427" s="22">
        <f t="shared" si="37"/>
        <v>240</v>
      </c>
      <c r="AW427" s="223">
        <v>214.85</v>
      </c>
      <c r="AX427" s="223">
        <v>25.15</v>
      </c>
      <c r="CK427" s="22">
        <f t="shared" si="39"/>
        <v>240</v>
      </c>
      <c r="CL427" s="3">
        <f t="shared" si="40"/>
        <v>0</v>
      </c>
      <c r="CM427" s="222">
        <f t="shared" si="41"/>
        <v>12588</v>
      </c>
      <c r="CN427" s="3" t="str">
        <f t="shared" si="38"/>
        <v>برنامج دولى</v>
      </c>
    </row>
    <row r="428" spans="3:92" x14ac:dyDescent="0.25">
      <c r="C428" s="223" t="s">
        <v>657</v>
      </c>
      <c r="D428" s="224">
        <v>20121</v>
      </c>
      <c r="E428" s="224">
        <v>12589</v>
      </c>
      <c r="F428" s="250" t="s">
        <v>78</v>
      </c>
      <c r="G428" s="223" t="s">
        <v>5271</v>
      </c>
      <c r="I428" s="223">
        <v>154187.66</v>
      </c>
      <c r="AV428" s="22">
        <f t="shared" si="37"/>
        <v>154187.66</v>
      </c>
      <c r="AW428" s="223">
        <v>106532.3</v>
      </c>
      <c r="AX428" s="223">
        <f>13430+871.6</f>
        <v>14301.6</v>
      </c>
      <c r="AY428" s="223">
        <v>32569.66</v>
      </c>
      <c r="BA428" s="223">
        <v>784.1</v>
      </c>
      <c r="CK428" s="22">
        <f t="shared" si="39"/>
        <v>154187.66</v>
      </c>
      <c r="CL428" s="3">
        <f t="shared" si="40"/>
        <v>0</v>
      </c>
      <c r="CM428" s="222">
        <f t="shared" si="41"/>
        <v>12589</v>
      </c>
      <c r="CN428" s="3" t="str">
        <f t="shared" si="38"/>
        <v>برنامج دولى</v>
      </c>
    </row>
    <row r="429" spans="3:92" x14ac:dyDescent="0.25">
      <c r="C429" s="223" t="s">
        <v>657</v>
      </c>
      <c r="D429" s="224">
        <v>20122</v>
      </c>
      <c r="E429" s="224">
        <v>12590</v>
      </c>
      <c r="F429" s="250" t="s">
        <v>78</v>
      </c>
      <c r="G429" s="223" t="s">
        <v>5271</v>
      </c>
      <c r="I429" s="223">
        <v>6490.96</v>
      </c>
      <c r="AV429" s="22">
        <f t="shared" ref="AV429:AV492" si="42">SUM(I429:AU429)</f>
        <v>6490.96</v>
      </c>
      <c r="AW429" s="223">
        <v>5041.83</v>
      </c>
      <c r="AX429" s="223">
        <v>645.1</v>
      </c>
      <c r="AY429" s="223">
        <v>804.03</v>
      </c>
      <c r="CK429" s="22">
        <f t="shared" si="39"/>
        <v>6490.96</v>
      </c>
      <c r="CL429" s="3">
        <f t="shared" si="40"/>
        <v>0</v>
      </c>
      <c r="CM429" s="222">
        <f t="shared" si="41"/>
        <v>12590</v>
      </c>
      <c r="CN429" s="3" t="str">
        <f t="shared" si="38"/>
        <v>برنامج دولى</v>
      </c>
    </row>
    <row r="430" spans="3:92" x14ac:dyDescent="0.25">
      <c r="C430" s="223" t="s">
        <v>657</v>
      </c>
      <c r="D430" s="224">
        <v>20123</v>
      </c>
      <c r="E430" s="224">
        <v>12591</v>
      </c>
      <c r="F430" s="250" t="s">
        <v>78</v>
      </c>
      <c r="G430" s="223" t="s">
        <v>5271</v>
      </c>
      <c r="I430" s="223">
        <v>159478.54</v>
      </c>
      <c r="AV430" s="22">
        <f t="shared" si="42"/>
        <v>159478.54</v>
      </c>
      <c r="AW430" s="223">
        <v>116848.11</v>
      </c>
      <c r="AX430" s="223">
        <v>15058.1</v>
      </c>
      <c r="AY430" s="223">
        <v>27322.33</v>
      </c>
      <c r="CG430" s="223">
        <v>250</v>
      </c>
      <c r="CK430" s="22">
        <f t="shared" si="39"/>
        <v>159478.53999999998</v>
      </c>
      <c r="CL430" s="3">
        <f t="shared" si="40"/>
        <v>0</v>
      </c>
      <c r="CM430" s="222">
        <f t="shared" si="41"/>
        <v>12591</v>
      </c>
      <c r="CN430" s="3" t="str">
        <f t="shared" si="38"/>
        <v>برنامج دولى</v>
      </c>
    </row>
    <row r="431" spans="3:92" x14ac:dyDescent="0.25">
      <c r="C431" s="223" t="s">
        <v>657</v>
      </c>
      <c r="D431" s="224">
        <v>20124</v>
      </c>
      <c r="E431" s="224">
        <v>12592</v>
      </c>
      <c r="F431" s="250" t="s">
        <v>78</v>
      </c>
      <c r="G431" s="223" t="s">
        <v>5271</v>
      </c>
      <c r="I431" s="223">
        <v>228197.42</v>
      </c>
      <c r="AV431" s="22">
        <f t="shared" si="42"/>
        <v>228197.42</v>
      </c>
      <c r="AW431" s="223">
        <v>162125.53</v>
      </c>
      <c r="AX431" s="223">
        <v>21424.75</v>
      </c>
      <c r="AY431" s="223">
        <v>44647.14</v>
      </c>
      <c r="CK431" s="22">
        <f t="shared" si="39"/>
        <v>228197.41999999998</v>
      </c>
      <c r="CL431" s="3">
        <f t="shared" si="40"/>
        <v>0</v>
      </c>
      <c r="CM431" s="222">
        <f t="shared" si="41"/>
        <v>12592</v>
      </c>
      <c r="CN431" s="3" t="str">
        <f t="shared" si="38"/>
        <v>برنامج دولى</v>
      </c>
    </row>
    <row r="432" spans="3:92" x14ac:dyDescent="0.25">
      <c r="C432" s="223" t="s">
        <v>657</v>
      </c>
      <c r="D432" s="224">
        <v>20125</v>
      </c>
      <c r="E432" s="224">
        <v>12593</v>
      </c>
      <c r="F432" s="250" t="s">
        <v>78</v>
      </c>
      <c r="G432" s="223" t="s">
        <v>5271</v>
      </c>
      <c r="I432" s="223">
        <v>192352.24</v>
      </c>
      <c r="AV432" s="22">
        <f t="shared" si="42"/>
        <v>192352.24</v>
      </c>
      <c r="AW432" s="223">
        <v>130215.57</v>
      </c>
      <c r="AX432" s="223">
        <v>17588.099999999999</v>
      </c>
      <c r="AY432" s="223">
        <v>44548.57</v>
      </c>
      <c r="CK432" s="22">
        <f t="shared" si="39"/>
        <v>192352.24000000002</v>
      </c>
      <c r="CL432" s="3">
        <f t="shared" si="40"/>
        <v>0</v>
      </c>
      <c r="CM432" s="222">
        <f t="shared" si="41"/>
        <v>12593</v>
      </c>
      <c r="CN432" s="3" t="str">
        <f t="shared" si="38"/>
        <v>برنامج دولى</v>
      </c>
    </row>
    <row r="433" spans="3:92" x14ac:dyDescent="0.25">
      <c r="C433" s="223" t="s">
        <v>657</v>
      </c>
      <c r="D433" s="224">
        <v>20126</v>
      </c>
      <c r="E433" s="224">
        <v>12594</v>
      </c>
      <c r="F433" s="250" t="s">
        <v>78</v>
      </c>
      <c r="G433" s="223" t="s">
        <v>5271</v>
      </c>
      <c r="I433" s="223">
        <v>2110.5</v>
      </c>
      <c r="AV433" s="22">
        <f t="shared" si="42"/>
        <v>2110.5</v>
      </c>
      <c r="AW433" s="223">
        <v>1410.35</v>
      </c>
      <c r="AX433" s="223">
        <v>191.65</v>
      </c>
      <c r="AY433" s="223">
        <v>508.5</v>
      </c>
      <c r="CK433" s="22">
        <f t="shared" si="39"/>
        <v>2110.5</v>
      </c>
      <c r="CL433" s="3">
        <f t="shared" si="40"/>
        <v>0</v>
      </c>
      <c r="CM433" s="222">
        <f t="shared" si="41"/>
        <v>12594</v>
      </c>
      <c r="CN433" s="3" t="str">
        <f t="shared" si="38"/>
        <v>برنامج دولى</v>
      </c>
    </row>
    <row r="434" spans="3:92" x14ac:dyDescent="0.25">
      <c r="C434" s="223" t="s">
        <v>657</v>
      </c>
      <c r="D434" s="224">
        <v>20128</v>
      </c>
      <c r="E434" s="224">
        <v>12595</v>
      </c>
      <c r="F434" s="250" t="s">
        <v>78</v>
      </c>
      <c r="G434" s="223" t="s">
        <v>5271</v>
      </c>
      <c r="I434" s="223">
        <v>114157.75</v>
      </c>
      <c r="AV434" s="22">
        <f t="shared" si="42"/>
        <v>114157.75</v>
      </c>
      <c r="AW434" s="223">
        <v>76150.25</v>
      </c>
      <c r="AX434" s="223">
        <v>10350.75</v>
      </c>
      <c r="AY434" s="223">
        <v>27656.75</v>
      </c>
      <c r="CK434" s="22">
        <f t="shared" si="39"/>
        <v>114157.75</v>
      </c>
      <c r="CL434" s="3">
        <f t="shared" si="40"/>
        <v>0</v>
      </c>
      <c r="CM434" s="222">
        <f t="shared" si="41"/>
        <v>12595</v>
      </c>
      <c r="CN434" s="3" t="str">
        <f t="shared" si="38"/>
        <v>برنامج دولى</v>
      </c>
    </row>
    <row r="435" spans="3:92" x14ac:dyDescent="0.25">
      <c r="C435" s="223" t="s">
        <v>657</v>
      </c>
      <c r="D435" s="224">
        <v>20127</v>
      </c>
      <c r="E435" s="224">
        <v>12596</v>
      </c>
      <c r="F435" s="250" t="s">
        <v>78</v>
      </c>
      <c r="G435" s="223" t="s">
        <v>5271</v>
      </c>
      <c r="I435" s="223">
        <v>5000</v>
      </c>
      <c r="AV435" s="22">
        <f t="shared" si="42"/>
        <v>5000</v>
      </c>
      <c r="AW435" s="223">
        <v>4463.2</v>
      </c>
      <c r="AX435" s="223">
        <v>536.79999999999995</v>
      </c>
      <c r="CK435" s="22">
        <f t="shared" si="39"/>
        <v>5000</v>
      </c>
      <c r="CL435" s="3">
        <f t="shared" si="40"/>
        <v>0</v>
      </c>
      <c r="CM435" s="222">
        <f t="shared" si="41"/>
        <v>12596</v>
      </c>
      <c r="CN435" s="3" t="str">
        <f t="shared" si="38"/>
        <v>برنامج دولى</v>
      </c>
    </row>
    <row r="436" spans="3:92" x14ac:dyDescent="0.25">
      <c r="C436" s="223" t="s">
        <v>657</v>
      </c>
      <c r="D436" s="224">
        <v>20129</v>
      </c>
      <c r="E436" s="224">
        <v>12597</v>
      </c>
      <c r="F436" s="250" t="s">
        <v>78</v>
      </c>
      <c r="G436" s="223" t="s">
        <v>5271</v>
      </c>
      <c r="I436" s="223">
        <v>2500</v>
      </c>
      <c r="AV436" s="22">
        <f t="shared" si="42"/>
        <v>2500</v>
      </c>
      <c r="AW436" s="223">
        <v>2231.6</v>
      </c>
      <c r="AX436" s="223">
        <v>268.39999999999998</v>
      </c>
      <c r="CK436" s="22">
        <f t="shared" si="39"/>
        <v>2500</v>
      </c>
      <c r="CL436" s="3">
        <f t="shared" si="40"/>
        <v>0</v>
      </c>
      <c r="CM436" s="222">
        <f t="shared" si="41"/>
        <v>12597</v>
      </c>
      <c r="CN436" s="3" t="str">
        <f t="shared" si="38"/>
        <v>برنامج دولى</v>
      </c>
    </row>
    <row r="437" spans="3:92" x14ac:dyDescent="0.25">
      <c r="C437" s="223" t="s">
        <v>657</v>
      </c>
      <c r="D437" s="224">
        <v>20130</v>
      </c>
      <c r="E437" s="224">
        <v>12598</v>
      </c>
      <c r="F437" s="250" t="s">
        <v>78</v>
      </c>
      <c r="G437" s="223" t="s">
        <v>5271</v>
      </c>
      <c r="I437" s="223">
        <v>3165.75</v>
      </c>
      <c r="AV437" s="22">
        <f t="shared" si="42"/>
        <v>3165.75</v>
      </c>
      <c r="AW437" s="223">
        <v>2116.1</v>
      </c>
      <c r="AX437" s="223">
        <v>286.89999999999998</v>
      </c>
      <c r="AY437" s="223">
        <v>762.75</v>
      </c>
      <c r="CK437" s="22">
        <f t="shared" si="39"/>
        <v>3165.75</v>
      </c>
      <c r="CL437" s="3">
        <f t="shared" si="40"/>
        <v>0</v>
      </c>
      <c r="CM437" s="222">
        <f t="shared" si="41"/>
        <v>12598</v>
      </c>
      <c r="CN437" s="3" t="str">
        <f t="shared" si="38"/>
        <v>برنامج دولى</v>
      </c>
    </row>
    <row r="438" spans="3:92" x14ac:dyDescent="0.25">
      <c r="C438" s="223" t="s">
        <v>657</v>
      </c>
      <c r="D438" s="224">
        <v>20131</v>
      </c>
      <c r="E438" s="224">
        <v>12599</v>
      </c>
      <c r="F438" s="250" t="s">
        <v>78</v>
      </c>
      <c r="G438" s="223" t="s">
        <v>5271</v>
      </c>
      <c r="I438" s="223">
        <v>1993.25</v>
      </c>
      <c r="AV438" s="22">
        <f t="shared" si="42"/>
        <v>1993.25</v>
      </c>
      <c r="AW438" s="223">
        <v>1332</v>
      </c>
      <c r="AX438" s="223">
        <v>181</v>
      </c>
      <c r="AY438" s="223">
        <v>480.25</v>
      </c>
      <c r="CK438" s="22">
        <f t="shared" si="39"/>
        <v>1993.25</v>
      </c>
      <c r="CL438" s="3">
        <f t="shared" si="40"/>
        <v>0</v>
      </c>
      <c r="CM438" s="222">
        <f t="shared" si="41"/>
        <v>12599</v>
      </c>
      <c r="CN438" s="3" t="str">
        <f t="shared" si="38"/>
        <v>برنامج دولى</v>
      </c>
    </row>
    <row r="439" spans="3:92" x14ac:dyDescent="0.25">
      <c r="C439" s="223" t="s">
        <v>657</v>
      </c>
      <c r="D439" s="224">
        <v>20132</v>
      </c>
      <c r="E439" s="224">
        <v>12600</v>
      </c>
      <c r="F439" s="250" t="s">
        <v>78</v>
      </c>
      <c r="G439" s="223" t="s">
        <v>5271</v>
      </c>
      <c r="I439" s="223">
        <v>1824.91</v>
      </c>
      <c r="AV439" s="22">
        <f t="shared" si="42"/>
        <v>1824.91</v>
      </c>
      <c r="AW439" s="223">
        <v>1438.55</v>
      </c>
      <c r="AX439" s="223">
        <v>181.8</v>
      </c>
      <c r="AY439" s="223">
        <v>204.56</v>
      </c>
      <c r="CK439" s="22">
        <f t="shared" si="39"/>
        <v>1824.9099999999999</v>
      </c>
      <c r="CL439" s="3">
        <f t="shared" si="40"/>
        <v>0</v>
      </c>
      <c r="CM439" s="222">
        <f t="shared" si="41"/>
        <v>12600</v>
      </c>
      <c r="CN439" s="3" t="str">
        <f t="shared" si="38"/>
        <v>برنامج دولى</v>
      </c>
    </row>
    <row r="440" spans="3:92" x14ac:dyDescent="0.25">
      <c r="C440" s="223" t="s">
        <v>657</v>
      </c>
      <c r="D440" s="224">
        <v>20133</v>
      </c>
      <c r="E440" s="224">
        <v>12601</v>
      </c>
      <c r="F440" s="250" t="s">
        <v>78</v>
      </c>
      <c r="G440" s="223" t="s">
        <v>5271</v>
      </c>
      <c r="I440" s="223">
        <v>6683.25</v>
      </c>
      <c r="AV440" s="22">
        <f t="shared" si="42"/>
        <v>6683.25</v>
      </c>
      <c r="AW440" s="223">
        <v>4468.3999999999996</v>
      </c>
      <c r="AX440" s="223">
        <v>604.6</v>
      </c>
      <c r="AY440" s="223">
        <v>1610.25</v>
      </c>
      <c r="CK440" s="22">
        <f t="shared" si="39"/>
        <v>6683.25</v>
      </c>
      <c r="CL440" s="3">
        <f t="shared" si="40"/>
        <v>0</v>
      </c>
      <c r="CM440" s="222">
        <f t="shared" si="41"/>
        <v>12601</v>
      </c>
      <c r="CN440" s="3" t="str">
        <f t="shared" si="38"/>
        <v>برنامج دولى</v>
      </c>
    </row>
    <row r="441" spans="3:92" x14ac:dyDescent="0.25">
      <c r="C441" s="223" t="s">
        <v>657</v>
      </c>
      <c r="D441" s="224">
        <v>20134</v>
      </c>
      <c r="E441" s="224">
        <v>12602</v>
      </c>
      <c r="F441" s="250" t="s">
        <v>78</v>
      </c>
      <c r="G441" s="223" t="s">
        <v>5271</v>
      </c>
      <c r="I441" s="223">
        <v>8611.15</v>
      </c>
      <c r="AV441" s="22">
        <f t="shared" si="42"/>
        <v>8611.15</v>
      </c>
      <c r="AW441" s="223">
        <v>6602.86</v>
      </c>
      <c r="AX441" s="223">
        <v>843.65</v>
      </c>
      <c r="AY441" s="223">
        <v>1164.6400000000001</v>
      </c>
      <c r="CK441" s="22">
        <f t="shared" si="39"/>
        <v>8611.15</v>
      </c>
      <c r="CL441" s="3">
        <f t="shared" si="40"/>
        <v>0</v>
      </c>
      <c r="CM441" s="222">
        <f t="shared" si="41"/>
        <v>12602</v>
      </c>
      <c r="CN441" s="3" t="str">
        <f t="shared" si="38"/>
        <v>برنامج دولى</v>
      </c>
    </row>
    <row r="442" spans="3:92" x14ac:dyDescent="0.25">
      <c r="C442" s="223" t="s">
        <v>657</v>
      </c>
      <c r="D442" s="224">
        <v>20135</v>
      </c>
      <c r="E442" s="224">
        <v>12603</v>
      </c>
      <c r="F442" s="250" t="s">
        <v>78</v>
      </c>
      <c r="G442" s="223" t="s">
        <v>5271</v>
      </c>
      <c r="I442" s="223">
        <v>2110.5</v>
      </c>
      <c r="AV442" s="22">
        <f t="shared" si="42"/>
        <v>2110.5</v>
      </c>
      <c r="AW442" s="223">
        <v>1140.3499999999999</v>
      </c>
      <c r="AX442" s="223">
        <v>191.65</v>
      </c>
      <c r="AY442" s="223">
        <v>508.5</v>
      </c>
      <c r="CG442" s="223">
        <v>270</v>
      </c>
      <c r="CK442" s="22">
        <f t="shared" si="39"/>
        <v>2110.5</v>
      </c>
      <c r="CL442" s="3">
        <f t="shared" si="40"/>
        <v>0</v>
      </c>
      <c r="CM442" s="222">
        <f t="shared" si="41"/>
        <v>12603</v>
      </c>
      <c r="CN442" s="3" t="str">
        <f t="shared" si="38"/>
        <v>برنامج دولى</v>
      </c>
    </row>
    <row r="443" spans="3:92" x14ac:dyDescent="0.25">
      <c r="C443" s="223" t="s">
        <v>657</v>
      </c>
      <c r="D443" s="224">
        <v>20136</v>
      </c>
      <c r="E443" s="224">
        <v>12604</v>
      </c>
      <c r="F443" s="250" t="s">
        <v>78</v>
      </c>
      <c r="G443" s="223" t="s">
        <v>5271</v>
      </c>
      <c r="I443" s="223">
        <v>2110.5</v>
      </c>
      <c r="AV443" s="22">
        <f t="shared" si="42"/>
        <v>2110.5</v>
      </c>
      <c r="AW443" s="223">
        <v>1410.35</v>
      </c>
      <c r="AX443" s="223">
        <v>191.65</v>
      </c>
      <c r="AY443" s="223">
        <v>508.5</v>
      </c>
      <c r="CK443" s="22">
        <f t="shared" si="39"/>
        <v>2110.5</v>
      </c>
      <c r="CL443" s="3">
        <f t="shared" si="40"/>
        <v>0</v>
      </c>
      <c r="CM443" s="222">
        <f t="shared" si="41"/>
        <v>12604</v>
      </c>
      <c r="CN443" s="3" t="str">
        <f t="shared" si="38"/>
        <v>برنامج دولى</v>
      </c>
    </row>
    <row r="444" spans="3:92" x14ac:dyDescent="0.25">
      <c r="C444" s="223" t="s">
        <v>657</v>
      </c>
      <c r="D444" s="224">
        <v>20137</v>
      </c>
      <c r="E444" s="224">
        <v>12605</v>
      </c>
      <c r="F444" s="250" t="s">
        <v>78</v>
      </c>
      <c r="G444" s="223" t="s">
        <v>5271</v>
      </c>
      <c r="I444" s="223">
        <v>4381.62</v>
      </c>
      <c r="AV444" s="22">
        <f t="shared" si="42"/>
        <v>4381.62</v>
      </c>
      <c r="AW444" s="223">
        <v>3786.8</v>
      </c>
      <c r="AX444" s="223">
        <v>461.15</v>
      </c>
      <c r="AY444" s="223">
        <v>133.66999999999999</v>
      </c>
      <c r="CK444" s="22">
        <f t="shared" si="39"/>
        <v>4381.62</v>
      </c>
      <c r="CL444" s="3">
        <f t="shared" si="40"/>
        <v>0</v>
      </c>
      <c r="CM444" s="222">
        <f t="shared" si="41"/>
        <v>12605</v>
      </c>
      <c r="CN444" s="3" t="str">
        <f t="shared" si="38"/>
        <v>برنامج دولى</v>
      </c>
    </row>
    <row r="445" spans="3:92" x14ac:dyDescent="0.25">
      <c r="C445" s="223" t="s">
        <v>657</v>
      </c>
      <c r="D445" s="224">
        <v>20138</v>
      </c>
      <c r="E445" s="224">
        <v>12606</v>
      </c>
      <c r="F445" s="250" t="s">
        <v>78</v>
      </c>
      <c r="G445" s="223" t="s">
        <v>5271</v>
      </c>
      <c r="I445" s="223">
        <v>14524.92</v>
      </c>
      <c r="AV445" s="22">
        <f t="shared" si="42"/>
        <v>14524.92</v>
      </c>
      <c r="AW445" s="223">
        <v>10639.84</v>
      </c>
      <c r="AX445" s="223">
        <v>1387.75</v>
      </c>
      <c r="AY445" s="223">
        <v>2497.33</v>
      </c>
      <c r="CK445" s="22">
        <f t="shared" si="39"/>
        <v>14524.92</v>
      </c>
      <c r="CL445" s="3">
        <f t="shared" si="40"/>
        <v>0</v>
      </c>
      <c r="CM445" s="222">
        <f t="shared" si="41"/>
        <v>12606</v>
      </c>
      <c r="CN445" s="3" t="str">
        <f t="shared" si="38"/>
        <v>برنامج دولى</v>
      </c>
    </row>
    <row r="446" spans="3:92" x14ac:dyDescent="0.25">
      <c r="C446" s="223" t="s">
        <v>657</v>
      </c>
      <c r="D446" s="224">
        <v>20139</v>
      </c>
      <c r="E446" s="224">
        <v>12607</v>
      </c>
      <c r="F446" s="250" t="s">
        <v>78</v>
      </c>
      <c r="G446" s="223" t="s">
        <v>5271</v>
      </c>
      <c r="I446" s="223">
        <v>6283</v>
      </c>
      <c r="AV446" s="22">
        <f t="shared" si="42"/>
        <v>6283</v>
      </c>
      <c r="AW446" s="223">
        <v>4872.3</v>
      </c>
      <c r="AX446" s="223">
        <v>619.70000000000005</v>
      </c>
      <c r="AY446" s="223">
        <v>791</v>
      </c>
      <c r="CK446" s="22">
        <f t="shared" si="39"/>
        <v>6283</v>
      </c>
      <c r="CL446" s="3">
        <f t="shared" si="40"/>
        <v>0</v>
      </c>
      <c r="CM446" s="222">
        <f t="shared" si="41"/>
        <v>12607</v>
      </c>
      <c r="CN446" s="3" t="str">
        <f t="shared" si="38"/>
        <v>برنامج دولى</v>
      </c>
    </row>
    <row r="447" spans="3:92" x14ac:dyDescent="0.25">
      <c r="C447" s="223" t="s">
        <v>657</v>
      </c>
      <c r="D447" s="224">
        <v>20140</v>
      </c>
      <c r="E447" s="224">
        <v>12608</v>
      </c>
      <c r="F447" s="250" t="s">
        <v>78</v>
      </c>
      <c r="G447" s="223" t="s">
        <v>5271</v>
      </c>
      <c r="I447" s="223">
        <v>4610.5</v>
      </c>
      <c r="AV447" s="22">
        <f t="shared" si="42"/>
        <v>4610.5</v>
      </c>
      <c r="AW447" s="223">
        <v>3641.95</v>
      </c>
      <c r="AX447" s="223">
        <v>460.05</v>
      </c>
      <c r="AY447" s="223">
        <v>508.5</v>
      </c>
      <c r="CK447" s="22">
        <f t="shared" si="39"/>
        <v>4610.5</v>
      </c>
      <c r="CL447" s="3">
        <f t="shared" si="40"/>
        <v>0</v>
      </c>
      <c r="CM447" s="222">
        <f t="shared" si="41"/>
        <v>12608</v>
      </c>
      <c r="CN447" s="3" t="str">
        <f t="shared" si="38"/>
        <v>برنامج دولى</v>
      </c>
    </row>
    <row r="448" spans="3:92" x14ac:dyDescent="0.25">
      <c r="C448" s="223" t="s">
        <v>657</v>
      </c>
      <c r="D448" s="224">
        <v>20141</v>
      </c>
      <c r="E448" s="224">
        <v>12609</v>
      </c>
      <c r="F448" s="250" t="s">
        <v>78</v>
      </c>
      <c r="G448" s="223" t="s">
        <v>5271</v>
      </c>
      <c r="I448" s="223">
        <v>36926.639999999999</v>
      </c>
      <c r="AV448" s="22">
        <f t="shared" si="42"/>
        <v>36926.639999999999</v>
      </c>
      <c r="AW448" s="223">
        <v>27663.06</v>
      </c>
      <c r="AX448" s="223">
        <v>3569.95</v>
      </c>
      <c r="AY448" s="223">
        <v>5693.63</v>
      </c>
      <c r="CK448" s="22">
        <f t="shared" si="39"/>
        <v>36926.639999999999</v>
      </c>
      <c r="CL448" s="3">
        <f t="shared" si="40"/>
        <v>0</v>
      </c>
      <c r="CM448" s="222">
        <f t="shared" si="41"/>
        <v>12609</v>
      </c>
      <c r="CN448" s="3" t="str">
        <f t="shared" si="38"/>
        <v>برنامج دولى</v>
      </c>
    </row>
    <row r="449" spans="1:92" x14ac:dyDescent="0.25">
      <c r="C449" s="223" t="s">
        <v>657</v>
      </c>
      <c r="D449" s="224">
        <v>20142</v>
      </c>
      <c r="E449" s="224">
        <v>12610</v>
      </c>
      <c r="F449" s="250" t="s">
        <v>78</v>
      </c>
      <c r="G449" s="223" t="s">
        <v>5271</v>
      </c>
      <c r="I449" s="223">
        <v>10058.73</v>
      </c>
      <c r="AV449" s="22">
        <f t="shared" si="42"/>
        <v>10058.73</v>
      </c>
      <c r="AW449" s="223">
        <v>8127.31</v>
      </c>
      <c r="AX449" s="223">
        <v>1016.4</v>
      </c>
      <c r="AY449" s="223">
        <v>915.02</v>
      </c>
      <c r="CK449" s="22">
        <f t="shared" si="39"/>
        <v>10058.730000000001</v>
      </c>
      <c r="CL449" s="3">
        <f t="shared" si="40"/>
        <v>0</v>
      </c>
      <c r="CM449" s="222">
        <f t="shared" si="41"/>
        <v>12610</v>
      </c>
      <c r="CN449" s="3" t="str">
        <f t="shared" si="38"/>
        <v>برنامج دولى</v>
      </c>
    </row>
    <row r="450" spans="1:92" x14ac:dyDescent="0.25">
      <c r="C450" s="223" t="s">
        <v>657</v>
      </c>
      <c r="D450" s="224">
        <v>20143</v>
      </c>
      <c r="E450" s="224">
        <v>12611</v>
      </c>
      <c r="F450" s="250" t="s">
        <v>78</v>
      </c>
      <c r="G450" s="223" t="s">
        <v>5271</v>
      </c>
      <c r="I450" s="223">
        <v>38434.550000000003</v>
      </c>
      <c r="AV450" s="22">
        <f t="shared" si="42"/>
        <v>38434.550000000003</v>
      </c>
      <c r="AW450" s="223">
        <v>25685.200000000001</v>
      </c>
      <c r="AX450" s="223">
        <f>211+3278</f>
        <v>3489</v>
      </c>
      <c r="AY450" s="223">
        <f>12749.35-AX450</f>
        <v>9260.35</v>
      </c>
      <c r="CK450" s="22">
        <f t="shared" si="39"/>
        <v>38434.550000000003</v>
      </c>
      <c r="CL450" s="3">
        <f t="shared" si="40"/>
        <v>0</v>
      </c>
      <c r="CM450" s="222">
        <f t="shared" si="41"/>
        <v>12611</v>
      </c>
      <c r="CN450" s="3" t="str">
        <f t="shared" si="38"/>
        <v>برنامج دولى</v>
      </c>
    </row>
    <row r="451" spans="1:92" x14ac:dyDescent="0.25">
      <c r="C451" s="223" t="s">
        <v>503</v>
      </c>
      <c r="D451" s="224">
        <v>21401</v>
      </c>
      <c r="E451" s="224">
        <v>12612</v>
      </c>
      <c r="F451" s="250" t="s">
        <v>121</v>
      </c>
      <c r="G451" s="223" t="s">
        <v>5272</v>
      </c>
      <c r="I451" s="223">
        <v>2814</v>
      </c>
      <c r="AV451" s="22">
        <f t="shared" si="42"/>
        <v>2814</v>
      </c>
      <c r="AW451" s="223">
        <v>1884</v>
      </c>
      <c r="AX451" s="223">
        <v>252</v>
      </c>
      <c r="AY451" s="223">
        <v>678</v>
      </c>
      <c r="CK451" s="22">
        <f t="shared" si="39"/>
        <v>2814</v>
      </c>
      <c r="CL451" s="3">
        <f t="shared" si="40"/>
        <v>0</v>
      </c>
      <c r="CM451" s="222">
        <f t="shared" si="41"/>
        <v>12612</v>
      </c>
      <c r="CN451" s="3" t="str">
        <f t="shared" si="38"/>
        <v>ماليزى اسنان</v>
      </c>
    </row>
    <row r="452" spans="1:92" x14ac:dyDescent="0.25">
      <c r="C452" s="223" t="s">
        <v>503</v>
      </c>
      <c r="D452" s="224">
        <v>21394</v>
      </c>
      <c r="E452" s="224">
        <v>12613</v>
      </c>
      <c r="F452" s="250" t="s">
        <v>121</v>
      </c>
      <c r="G452" s="223" t="s">
        <v>5273</v>
      </c>
      <c r="I452" s="223">
        <v>16113.67</v>
      </c>
      <c r="AV452" s="22">
        <f t="shared" si="42"/>
        <v>16113.67</v>
      </c>
      <c r="AW452" s="223">
        <v>10933.7</v>
      </c>
      <c r="AX452" s="223">
        <v>1472.8</v>
      </c>
      <c r="AY452" s="223">
        <v>3707.17</v>
      </c>
      <c r="CK452" s="22">
        <f t="shared" si="39"/>
        <v>16113.67</v>
      </c>
      <c r="CL452" s="3">
        <f t="shared" si="40"/>
        <v>0</v>
      </c>
      <c r="CM452" s="222">
        <f t="shared" si="41"/>
        <v>12613</v>
      </c>
      <c r="CN452" s="3" t="str">
        <f t="shared" si="38"/>
        <v>ماليزى اسنان</v>
      </c>
    </row>
    <row r="453" spans="1:92" x14ac:dyDescent="0.25">
      <c r="C453" s="223" t="s">
        <v>503</v>
      </c>
      <c r="D453" s="224">
        <v>21000</v>
      </c>
      <c r="E453" s="224">
        <v>12614</v>
      </c>
      <c r="F453" s="250" t="s">
        <v>121</v>
      </c>
      <c r="G453" s="223" t="s">
        <v>5274</v>
      </c>
      <c r="I453" s="223">
        <v>12814.25</v>
      </c>
      <c r="AV453" s="22">
        <f t="shared" si="42"/>
        <v>12814.25</v>
      </c>
      <c r="AW453" s="223">
        <v>10057.200000000001</v>
      </c>
      <c r="AX453" s="223">
        <v>1259.8</v>
      </c>
      <c r="AY453" s="223">
        <v>1497.25</v>
      </c>
      <c r="CK453" s="22">
        <f t="shared" si="39"/>
        <v>12814.25</v>
      </c>
      <c r="CL453" s="3">
        <f t="shared" si="40"/>
        <v>0</v>
      </c>
      <c r="CM453" s="222">
        <f t="shared" si="41"/>
        <v>12614</v>
      </c>
      <c r="CN453" s="3" t="str">
        <f t="shared" si="38"/>
        <v>ماليزى اسنان</v>
      </c>
    </row>
    <row r="454" spans="1:92" x14ac:dyDescent="0.25">
      <c r="C454" s="223" t="s">
        <v>503</v>
      </c>
      <c r="D454" s="224">
        <v>20990</v>
      </c>
      <c r="E454" s="224">
        <v>12615</v>
      </c>
      <c r="F454" s="250" t="s">
        <v>121</v>
      </c>
      <c r="G454" s="223" t="s">
        <v>5275</v>
      </c>
      <c r="I454" s="223">
        <v>3634.76</v>
      </c>
      <c r="AV454" s="22">
        <f t="shared" si="42"/>
        <v>3634.76</v>
      </c>
      <c r="AW454" s="223">
        <v>2433.6</v>
      </c>
      <c r="AX454" s="223">
        <v>325.39999999999998</v>
      </c>
      <c r="AY454" s="223">
        <v>875.76</v>
      </c>
      <c r="CK454" s="22">
        <f t="shared" si="39"/>
        <v>3634.76</v>
      </c>
      <c r="CL454" s="3">
        <f t="shared" si="40"/>
        <v>0</v>
      </c>
      <c r="CM454" s="222">
        <f t="shared" si="41"/>
        <v>12615</v>
      </c>
      <c r="CN454" s="3" t="str">
        <f t="shared" si="38"/>
        <v>ماليزى اسنان</v>
      </c>
    </row>
    <row r="455" spans="1:92" x14ac:dyDescent="0.25">
      <c r="C455" s="223" t="s">
        <v>503</v>
      </c>
      <c r="D455" s="224">
        <v>21391</v>
      </c>
      <c r="E455" s="224">
        <v>12616</v>
      </c>
      <c r="F455" s="250" t="s">
        <v>121</v>
      </c>
      <c r="G455" s="223" t="s">
        <v>5276</v>
      </c>
      <c r="I455" s="223">
        <v>4690</v>
      </c>
      <c r="AV455" s="22">
        <f t="shared" si="42"/>
        <v>4690</v>
      </c>
      <c r="AW455" s="223">
        <v>3134</v>
      </c>
      <c r="AX455" s="223">
        <v>426</v>
      </c>
      <c r="AY455" s="223">
        <v>1130</v>
      </c>
      <c r="CK455" s="22">
        <f t="shared" si="39"/>
        <v>4690</v>
      </c>
      <c r="CL455" s="3">
        <f t="shared" si="40"/>
        <v>0</v>
      </c>
      <c r="CM455" s="222">
        <f t="shared" si="41"/>
        <v>12616</v>
      </c>
      <c r="CN455" s="3" t="str">
        <f t="shared" si="38"/>
        <v>ماليزى اسنان</v>
      </c>
    </row>
    <row r="456" spans="1:92" x14ac:dyDescent="0.25">
      <c r="C456" s="223" t="s">
        <v>503</v>
      </c>
      <c r="D456" s="224">
        <v>20999</v>
      </c>
      <c r="E456" s="224">
        <v>12617</v>
      </c>
      <c r="F456" s="250" t="s">
        <v>121</v>
      </c>
      <c r="G456" s="223" t="s">
        <v>5277</v>
      </c>
      <c r="I456" s="223">
        <v>3900.24</v>
      </c>
      <c r="AV456" s="22">
        <f t="shared" si="42"/>
        <v>3900.24</v>
      </c>
      <c r="AW456" s="223">
        <v>2723.55</v>
      </c>
      <c r="AX456" s="223">
        <v>357.45</v>
      </c>
      <c r="AY456" s="223">
        <v>819.24</v>
      </c>
      <c r="CK456" s="22">
        <f t="shared" si="39"/>
        <v>3900.24</v>
      </c>
      <c r="CL456" s="3">
        <f t="shared" si="40"/>
        <v>0</v>
      </c>
      <c r="CM456" s="222">
        <f t="shared" si="41"/>
        <v>12617</v>
      </c>
      <c r="CN456" s="3" t="str">
        <f t="shared" si="38"/>
        <v>ماليزى اسنان</v>
      </c>
    </row>
    <row r="457" spans="1:92" x14ac:dyDescent="0.25">
      <c r="C457" s="223" t="s">
        <v>503</v>
      </c>
      <c r="D457" s="224">
        <v>21021</v>
      </c>
      <c r="E457" s="224">
        <v>12618</v>
      </c>
      <c r="F457" s="250" t="s">
        <v>121</v>
      </c>
      <c r="G457" s="223" t="s">
        <v>5278</v>
      </c>
      <c r="I457" s="223">
        <v>3500</v>
      </c>
      <c r="AV457" s="22">
        <f t="shared" si="42"/>
        <v>3500</v>
      </c>
      <c r="AW457" s="223">
        <v>3124.5</v>
      </c>
      <c r="AX457" s="223">
        <v>375.5</v>
      </c>
      <c r="CK457" s="22">
        <f t="shared" si="39"/>
        <v>3500</v>
      </c>
      <c r="CL457" s="3">
        <f t="shared" si="40"/>
        <v>0</v>
      </c>
      <c r="CM457" s="222">
        <f t="shared" si="41"/>
        <v>12618</v>
      </c>
      <c r="CN457" s="3" t="str">
        <f t="shared" si="38"/>
        <v>ماليزى اسنان</v>
      </c>
    </row>
    <row r="458" spans="1:92" x14ac:dyDescent="0.25">
      <c r="C458" s="223" t="s">
        <v>503</v>
      </c>
      <c r="D458" s="224">
        <v>21016</v>
      </c>
      <c r="E458" s="224">
        <v>12619</v>
      </c>
      <c r="F458" s="250" t="s">
        <v>121</v>
      </c>
      <c r="G458" s="223" t="s">
        <v>5279</v>
      </c>
      <c r="I458" s="223">
        <v>1465.62</v>
      </c>
      <c r="AV458" s="22">
        <f t="shared" si="42"/>
        <v>1465.62</v>
      </c>
      <c r="AW458" s="223">
        <v>979.5</v>
      </c>
      <c r="AX458" s="223">
        <v>133</v>
      </c>
      <c r="AY458" s="223">
        <v>353.12</v>
      </c>
      <c r="CK458" s="22">
        <f t="shared" si="39"/>
        <v>1465.62</v>
      </c>
      <c r="CL458" s="3">
        <f t="shared" si="40"/>
        <v>0</v>
      </c>
      <c r="CM458" s="222">
        <f t="shared" si="41"/>
        <v>12619</v>
      </c>
      <c r="CN458" s="3" t="str">
        <f t="shared" si="38"/>
        <v>ماليزى اسنان</v>
      </c>
    </row>
    <row r="459" spans="1:92" s="226" customFormat="1" x14ac:dyDescent="0.25">
      <c r="A459" s="236"/>
      <c r="D459" s="230">
        <v>21901</v>
      </c>
      <c r="E459" s="230">
        <v>12620</v>
      </c>
      <c r="F459" s="254" t="s">
        <v>78</v>
      </c>
      <c r="G459" s="226" t="s">
        <v>5280</v>
      </c>
      <c r="I459" s="226">
        <v>6756</v>
      </c>
      <c r="AV459" s="22">
        <f t="shared" si="42"/>
        <v>6756</v>
      </c>
      <c r="AW459" s="226">
        <v>6026.75</v>
      </c>
      <c r="AX459" s="226">
        <v>729.25</v>
      </c>
      <c r="CK459" s="22">
        <f t="shared" si="39"/>
        <v>6756</v>
      </c>
      <c r="CL459" s="201">
        <f t="shared" si="40"/>
        <v>0</v>
      </c>
      <c r="CM459" s="221">
        <f t="shared" si="41"/>
        <v>12620</v>
      </c>
      <c r="CN459" s="201" t="str">
        <f t="shared" si="38"/>
        <v>برنامج دولى</v>
      </c>
    </row>
    <row r="460" spans="1:92" x14ac:dyDescent="0.25">
      <c r="D460" s="224">
        <v>21902</v>
      </c>
      <c r="E460" s="224">
        <v>12621</v>
      </c>
      <c r="F460" s="254" t="s">
        <v>78</v>
      </c>
      <c r="G460" s="226" t="s">
        <v>5280</v>
      </c>
      <c r="I460" s="223">
        <v>65881.53</v>
      </c>
      <c r="AV460" s="22">
        <f t="shared" si="42"/>
        <v>65881.53</v>
      </c>
      <c r="AW460" s="223">
        <v>58120.15</v>
      </c>
      <c r="AX460" s="223">
        <v>7062.85</v>
      </c>
      <c r="AY460" s="223">
        <v>698.53</v>
      </c>
      <c r="CK460" s="22">
        <f t="shared" si="39"/>
        <v>65881.53</v>
      </c>
      <c r="CL460" s="3">
        <f t="shared" si="40"/>
        <v>0</v>
      </c>
      <c r="CM460" s="222">
        <f t="shared" si="41"/>
        <v>12621</v>
      </c>
      <c r="CN460" s="3" t="str">
        <f t="shared" si="38"/>
        <v>برنامج دولى</v>
      </c>
    </row>
    <row r="461" spans="1:92" x14ac:dyDescent="0.25">
      <c r="D461" s="224">
        <v>21903</v>
      </c>
      <c r="E461" s="224">
        <v>12622</v>
      </c>
      <c r="F461" s="254" t="s">
        <v>78</v>
      </c>
      <c r="G461" s="226" t="s">
        <v>5280</v>
      </c>
      <c r="I461" s="223">
        <v>19193</v>
      </c>
      <c r="AV461" s="22">
        <f t="shared" si="42"/>
        <v>19193</v>
      </c>
      <c r="AW461" s="223">
        <v>17121.25</v>
      </c>
      <c r="AX461" s="223">
        <v>2071.75</v>
      </c>
      <c r="CK461" s="22">
        <f t="shared" si="39"/>
        <v>19193</v>
      </c>
      <c r="CL461" s="3">
        <f t="shared" si="40"/>
        <v>0</v>
      </c>
      <c r="CM461" s="222">
        <f t="shared" si="41"/>
        <v>12622</v>
      </c>
      <c r="CN461" s="3" t="str">
        <f t="shared" si="38"/>
        <v>برنامج دولى</v>
      </c>
    </row>
    <row r="462" spans="1:92" x14ac:dyDescent="0.25">
      <c r="D462" s="224">
        <v>21904</v>
      </c>
      <c r="E462" s="224">
        <v>12623</v>
      </c>
      <c r="F462" s="254" t="s">
        <v>78</v>
      </c>
      <c r="G462" s="226" t="s">
        <v>5280</v>
      </c>
      <c r="I462" s="223">
        <v>44202.29</v>
      </c>
      <c r="AV462" s="22">
        <f t="shared" si="42"/>
        <v>44202.29</v>
      </c>
      <c r="AW462" s="223">
        <v>39328.44</v>
      </c>
      <c r="AX462" s="223">
        <v>4763.6499999999996</v>
      </c>
      <c r="AY462" s="223">
        <v>110.2</v>
      </c>
      <c r="CK462" s="22">
        <f t="shared" si="39"/>
        <v>44202.29</v>
      </c>
      <c r="CL462" s="3">
        <f t="shared" si="40"/>
        <v>0</v>
      </c>
      <c r="CM462" s="222">
        <f t="shared" si="41"/>
        <v>12623</v>
      </c>
      <c r="CN462" s="3" t="str">
        <f t="shared" si="38"/>
        <v>برنامج دولى</v>
      </c>
    </row>
    <row r="463" spans="1:92" x14ac:dyDescent="0.25">
      <c r="D463" s="224">
        <v>21906</v>
      </c>
      <c r="E463" s="224">
        <v>12624</v>
      </c>
      <c r="F463" s="254" t="s">
        <v>78</v>
      </c>
      <c r="G463" s="226" t="s">
        <v>5280</v>
      </c>
      <c r="I463" s="223">
        <v>5733</v>
      </c>
      <c r="AV463" s="22">
        <f t="shared" si="42"/>
        <v>5733</v>
      </c>
      <c r="AW463" s="223">
        <v>5114.2</v>
      </c>
      <c r="AX463" s="223">
        <v>618.79999999999995</v>
      </c>
      <c r="CK463" s="22">
        <f t="shared" si="39"/>
        <v>5733</v>
      </c>
      <c r="CL463" s="3">
        <f t="shared" si="40"/>
        <v>0</v>
      </c>
      <c r="CM463" s="222">
        <f t="shared" si="41"/>
        <v>12624</v>
      </c>
      <c r="CN463" s="3" t="str">
        <f>+F465</f>
        <v>ماليزى اسنان</v>
      </c>
    </row>
    <row r="464" spans="1:92" x14ac:dyDescent="0.25">
      <c r="D464" s="224">
        <v>21910</v>
      </c>
      <c r="E464" s="224">
        <v>12625</v>
      </c>
      <c r="F464" s="254" t="s">
        <v>78</v>
      </c>
      <c r="G464" s="226" t="s">
        <v>5280</v>
      </c>
      <c r="I464" s="223">
        <v>6443.22</v>
      </c>
      <c r="AV464" s="22">
        <f t="shared" si="42"/>
        <v>6443.22</v>
      </c>
      <c r="AW464" s="223">
        <v>4360.0200000000004</v>
      </c>
      <c r="AX464" s="223">
        <v>592.54999999999995</v>
      </c>
      <c r="AY464" s="223">
        <v>1490.65</v>
      </c>
      <c r="CK464" s="22">
        <f t="shared" ref="CK464:CK468" si="43">SUM(AW464:CJ464)</f>
        <v>6443.2200000000012</v>
      </c>
      <c r="CL464" s="3">
        <f t="shared" ref="CL464:CL468" si="44">+CK464-AV464</f>
        <v>0</v>
      </c>
      <c r="CM464" s="222">
        <f t="shared" si="41"/>
        <v>12625</v>
      </c>
      <c r="CN464" s="3" t="str">
        <f>+F464</f>
        <v>برنامج دولى</v>
      </c>
    </row>
    <row r="465" spans="1:93" x14ac:dyDescent="0.25">
      <c r="B465" s="223">
        <f>+AY465+AY466</f>
        <v>7260.83</v>
      </c>
      <c r="D465" s="224">
        <v>21905</v>
      </c>
      <c r="E465" s="224">
        <v>12626</v>
      </c>
      <c r="F465" s="250" t="s">
        <v>121</v>
      </c>
      <c r="G465" s="226" t="s">
        <v>5280</v>
      </c>
      <c r="I465" s="223">
        <v>6846.62</v>
      </c>
      <c r="AV465" s="22">
        <f t="shared" si="42"/>
        <v>6846.62</v>
      </c>
      <c r="AW465" s="223">
        <v>4867.12</v>
      </c>
      <c r="AX465" s="223">
        <v>647.04999999999995</v>
      </c>
      <c r="AY465" s="223">
        <v>1332.45</v>
      </c>
      <c r="CK465" s="22">
        <f t="shared" si="43"/>
        <v>6846.62</v>
      </c>
      <c r="CL465" s="3">
        <f t="shared" si="44"/>
        <v>0</v>
      </c>
      <c r="CM465" s="222">
        <f t="shared" si="41"/>
        <v>12626</v>
      </c>
      <c r="CN465" s="3" t="str">
        <f>+F465</f>
        <v>ماليزى اسنان</v>
      </c>
    </row>
    <row r="466" spans="1:93" x14ac:dyDescent="0.25">
      <c r="D466" s="224">
        <v>21907</v>
      </c>
      <c r="E466" s="224">
        <v>12627</v>
      </c>
      <c r="F466" s="250" t="s">
        <v>121</v>
      </c>
      <c r="G466" s="226" t="s">
        <v>5280</v>
      </c>
      <c r="I466" s="223">
        <v>25851.98</v>
      </c>
      <c r="AV466" s="22">
        <f t="shared" si="42"/>
        <v>25851.98</v>
      </c>
      <c r="AW466" s="223">
        <v>17544.7</v>
      </c>
      <c r="AX466" s="223">
        <v>2378.9</v>
      </c>
      <c r="AY466" s="223">
        <v>5928.38</v>
      </c>
      <c r="CK466" s="22">
        <f t="shared" si="43"/>
        <v>25851.980000000003</v>
      </c>
      <c r="CL466" s="3">
        <f t="shared" si="44"/>
        <v>0</v>
      </c>
      <c r="CM466" s="222">
        <f t="shared" si="41"/>
        <v>12627</v>
      </c>
      <c r="CN466" s="3" t="str">
        <f>+F466</f>
        <v>ماليزى اسنان</v>
      </c>
    </row>
    <row r="467" spans="1:93" x14ac:dyDescent="0.25">
      <c r="D467" s="224">
        <v>21908</v>
      </c>
      <c r="E467" s="224">
        <v>12628</v>
      </c>
      <c r="F467" s="250" t="s">
        <v>5144</v>
      </c>
      <c r="G467" s="226" t="s">
        <v>5280</v>
      </c>
      <c r="I467" s="223">
        <v>23781.46</v>
      </c>
      <c r="AV467" s="22">
        <f t="shared" si="42"/>
        <v>23781.46</v>
      </c>
      <c r="AW467" s="223">
        <v>17828.689999999999</v>
      </c>
      <c r="AX467" s="223">
        <v>2313.42</v>
      </c>
      <c r="AY467" s="223">
        <v>3639.35</v>
      </c>
      <c r="CK467" s="22">
        <f t="shared" si="43"/>
        <v>23781.46</v>
      </c>
      <c r="CL467" s="3">
        <f t="shared" si="44"/>
        <v>0</v>
      </c>
      <c r="CM467" s="222">
        <f t="shared" si="41"/>
        <v>12628</v>
      </c>
      <c r="CN467" s="3" t="str">
        <f>+F467</f>
        <v>صيدلة اكلينكى</v>
      </c>
    </row>
    <row r="468" spans="1:93" x14ac:dyDescent="0.25">
      <c r="D468" s="224">
        <v>21909</v>
      </c>
      <c r="E468" s="224">
        <v>12629</v>
      </c>
      <c r="F468" s="250" t="s">
        <v>5144</v>
      </c>
      <c r="G468" s="226" t="s">
        <v>5280</v>
      </c>
      <c r="I468" s="223">
        <v>5733</v>
      </c>
      <c r="AV468" s="22">
        <f t="shared" si="42"/>
        <v>5733</v>
      </c>
      <c r="AW468" s="223">
        <v>5114.2</v>
      </c>
      <c r="AX468" s="223">
        <v>618.79999999999995</v>
      </c>
      <c r="CK468" s="22">
        <f t="shared" si="43"/>
        <v>5733</v>
      </c>
      <c r="CL468" s="3">
        <f t="shared" si="44"/>
        <v>0</v>
      </c>
      <c r="CM468" s="222">
        <f t="shared" si="41"/>
        <v>12629</v>
      </c>
      <c r="CN468" s="3" t="str">
        <f>+F468</f>
        <v>صيدلة اكلينكى</v>
      </c>
    </row>
    <row r="469" spans="1:93" s="228" customFormat="1" x14ac:dyDescent="0.25">
      <c r="A469" s="235"/>
      <c r="D469" s="227"/>
      <c r="E469" s="227"/>
      <c r="F469" s="253"/>
      <c r="G469" s="228" t="s">
        <v>5281</v>
      </c>
      <c r="I469" s="228">
        <f>SUM(I208:I468)</f>
        <v>9588148.0800000019</v>
      </c>
      <c r="J469" s="228">
        <f t="shared" ref="J469:BZ469" si="45">SUM(J208:J468)</f>
        <v>0</v>
      </c>
      <c r="K469" s="228">
        <f t="shared" si="45"/>
        <v>0</v>
      </c>
      <c r="L469" s="228">
        <f t="shared" si="45"/>
        <v>0</v>
      </c>
      <c r="M469" s="228">
        <f t="shared" si="45"/>
        <v>0</v>
      </c>
      <c r="N469" s="228">
        <f t="shared" si="45"/>
        <v>0</v>
      </c>
      <c r="O469" s="228">
        <f t="shared" si="45"/>
        <v>0</v>
      </c>
      <c r="P469" s="228">
        <f t="shared" si="45"/>
        <v>0</v>
      </c>
      <c r="Q469" s="228">
        <f t="shared" si="45"/>
        <v>0</v>
      </c>
      <c r="R469" s="228">
        <f t="shared" si="45"/>
        <v>0</v>
      </c>
      <c r="S469" s="228">
        <f t="shared" si="45"/>
        <v>0</v>
      </c>
      <c r="T469" s="228">
        <f t="shared" si="45"/>
        <v>0</v>
      </c>
      <c r="U469" s="228">
        <f t="shared" si="45"/>
        <v>0</v>
      </c>
      <c r="V469" s="228">
        <f t="shared" si="45"/>
        <v>1360636.4799999997</v>
      </c>
      <c r="W469" s="228">
        <f t="shared" si="45"/>
        <v>2619.9</v>
      </c>
      <c r="X469" s="228">
        <f t="shared" si="45"/>
        <v>0</v>
      </c>
      <c r="Y469" s="228">
        <f t="shared" si="45"/>
        <v>0</v>
      </c>
      <c r="Z469" s="228">
        <f t="shared" si="45"/>
        <v>0</v>
      </c>
      <c r="AB469" s="228">
        <f t="shared" si="45"/>
        <v>0</v>
      </c>
      <c r="AC469" s="228">
        <f t="shared" si="45"/>
        <v>0</v>
      </c>
      <c r="AD469" s="228">
        <f t="shared" si="45"/>
        <v>0</v>
      </c>
      <c r="AE469" s="228">
        <f t="shared" si="45"/>
        <v>0</v>
      </c>
      <c r="AF469" s="228">
        <f t="shared" si="45"/>
        <v>0</v>
      </c>
      <c r="AH469" s="228">
        <f t="shared" si="45"/>
        <v>0</v>
      </c>
      <c r="AI469" s="228">
        <f t="shared" si="45"/>
        <v>0</v>
      </c>
      <c r="AJ469" s="228">
        <f t="shared" si="45"/>
        <v>0</v>
      </c>
      <c r="AK469" s="228">
        <f t="shared" si="45"/>
        <v>0</v>
      </c>
      <c r="AL469" s="228">
        <f t="shared" si="45"/>
        <v>0</v>
      </c>
      <c r="AM469" s="228">
        <f t="shared" si="45"/>
        <v>0</v>
      </c>
      <c r="AN469" s="228">
        <f t="shared" si="45"/>
        <v>0</v>
      </c>
      <c r="AO469" s="228">
        <f t="shared" si="45"/>
        <v>0</v>
      </c>
      <c r="AP469" s="228">
        <f t="shared" si="45"/>
        <v>0</v>
      </c>
      <c r="AQ469" s="228">
        <f t="shared" si="45"/>
        <v>0</v>
      </c>
      <c r="AR469" s="228">
        <f t="shared" si="45"/>
        <v>0</v>
      </c>
      <c r="AS469" s="228">
        <f t="shared" si="45"/>
        <v>0</v>
      </c>
      <c r="AT469" s="228">
        <f t="shared" si="45"/>
        <v>0</v>
      </c>
      <c r="AU469" s="228">
        <f t="shared" si="45"/>
        <v>0</v>
      </c>
      <c r="AV469" s="228">
        <f t="shared" si="45"/>
        <v>10951404.459999999</v>
      </c>
      <c r="AW469" s="228">
        <f t="shared" si="45"/>
        <v>9562655.27999999</v>
      </c>
      <c r="AX469" s="228">
        <f t="shared" si="45"/>
        <v>990081.59000000032</v>
      </c>
      <c r="AY469" s="228">
        <f t="shared" si="45"/>
        <v>395718.49000000005</v>
      </c>
      <c r="AZ469" s="228">
        <f t="shared" si="45"/>
        <v>1600</v>
      </c>
      <c r="BA469" s="228">
        <f t="shared" si="45"/>
        <v>829.1</v>
      </c>
      <c r="BC469" s="228">
        <f t="shared" si="45"/>
        <v>0</v>
      </c>
      <c r="BD469" s="228">
        <f t="shared" si="45"/>
        <v>0</v>
      </c>
      <c r="BE469" s="228">
        <f t="shared" si="45"/>
        <v>0</v>
      </c>
      <c r="BF469" s="228">
        <f t="shared" si="45"/>
        <v>0</v>
      </c>
      <c r="BH469" s="228">
        <f t="shared" si="45"/>
        <v>0</v>
      </c>
      <c r="BI469" s="228">
        <f t="shared" si="45"/>
        <v>0</v>
      </c>
      <c r="BJ469" s="228">
        <f t="shared" si="45"/>
        <v>0</v>
      </c>
      <c r="BL469" s="228">
        <f t="shared" si="45"/>
        <v>0</v>
      </c>
      <c r="BM469" s="228">
        <f t="shared" si="45"/>
        <v>0</v>
      </c>
      <c r="BN469" s="228">
        <f t="shared" si="45"/>
        <v>0</v>
      </c>
      <c r="BO469" s="228">
        <f t="shared" si="45"/>
        <v>0</v>
      </c>
      <c r="BP469" s="228">
        <f t="shared" si="45"/>
        <v>0</v>
      </c>
      <c r="BQ469" s="228">
        <f t="shared" si="45"/>
        <v>0</v>
      </c>
      <c r="BR469" s="228">
        <f t="shared" si="45"/>
        <v>0</v>
      </c>
      <c r="BS469" s="228">
        <f t="shared" si="45"/>
        <v>0</v>
      </c>
      <c r="BT469" s="228">
        <f t="shared" si="45"/>
        <v>0</v>
      </c>
      <c r="BU469" s="228">
        <f t="shared" si="45"/>
        <v>0</v>
      </c>
      <c r="BV469" s="228">
        <f t="shared" si="45"/>
        <v>0</v>
      </c>
      <c r="BW469" s="228">
        <f t="shared" si="45"/>
        <v>0</v>
      </c>
      <c r="BX469" s="228">
        <f t="shared" si="45"/>
        <v>0</v>
      </c>
      <c r="BY469" s="228">
        <f t="shared" si="45"/>
        <v>0</v>
      </c>
      <c r="BZ469" s="228">
        <f t="shared" si="45"/>
        <v>0</v>
      </c>
      <c r="CA469" s="228">
        <f t="shared" ref="CA469:CO469" si="46">SUM(CA208:CA468)</f>
        <v>0</v>
      </c>
      <c r="CB469" s="228">
        <f t="shared" si="46"/>
        <v>0</v>
      </c>
      <c r="CC469" s="228">
        <f t="shared" si="46"/>
        <v>0</v>
      </c>
      <c r="CD469" s="228">
        <f t="shared" si="46"/>
        <v>0</v>
      </c>
      <c r="CE469" s="228">
        <f t="shared" si="46"/>
        <v>0</v>
      </c>
      <c r="CF469" s="228">
        <f t="shared" si="46"/>
        <v>0</v>
      </c>
      <c r="CG469" s="228">
        <f t="shared" si="46"/>
        <v>520</v>
      </c>
      <c r="CH469" s="228">
        <f t="shared" si="46"/>
        <v>0</v>
      </c>
      <c r="CJ469" s="228">
        <f t="shared" si="46"/>
        <v>0</v>
      </c>
      <c r="CK469" s="228">
        <f t="shared" si="46"/>
        <v>10951404.459999999</v>
      </c>
      <c r="CL469" s="228">
        <f t="shared" si="46"/>
        <v>0</v>
      </c>
      <c r="CM469" s="260"/>
      <c r="CN469" s="228">
        <f t="shared" si="46"/>
        <v>0</v>
      </c>
      <c r="CO469" s="228">
        <f t="shared" si="46"/>
        <v>0</v>
      </c>
    </row>
    <row r="470" spans="1:93" x14ac:dyDescent="0.25">
      <c r="C470" s="223">
        <v>1</v>
      </c>
      <c r="D470" s="224">
        <v>20428</v>
      </c>
      <c r="E470" s="224">
        <v>12630</v>
      </c>
      <c r="F470" s="250" t="s">
        <v>249</v>
      </c>
      <c r="G470" s="223" t="s">
        <v>5282</v>
      </c>
      <c r="I470" s="223">
        <v>128600</v>
      </c>
      <c r="AV470" s="22">
        <f t="shared" si="42"/>
        <v>128600</v>
      </c>
      <c r="AW470" s="223">
        <v>108644.4</v>
      </c>
      <c r="AX470" s="223">
        <v>13525.6</v>
      </c>
      <c r="AZ470" s="223">
        <v>6430</v>
      </c>
      <c r="CK470" s="22">
        <f t="shared" ref="CK470:CK533" si="47">SUM(AW470:CJ470)</f>
        <v>128600</v>
      </c>
      <c r="CL470" s="3">
        <f t="shared" ref="CL470:CL533" si="48">+CK470-AV470</f>
        <v>0</v>
      </c>
      <c r="CM470" s="222">
        <f t="shared" ref="CM470:CM533" si="49">+E470</f>
        <v>12630</v>
      </c>
      <c r="CN470" s="3" t="str">
        <f t="shared" ref="CN470:CN533" si="50">+F470</f>
        <v>خدمة عامة</v>
      </c>
    </row>
    <row r="471" spans="1:93" x14ac:dyDescent="0.25">
      <c r="C471" s="223">
        <v>2</v>
      </c>
      <c r="D471" s="224">
        <v>20429</v>
      </c>
      <c r="E471" s="224">
        <v>12631</v>
      </c>
      <c r="F471" s="250" t="s">
        <v>249</v>
      </c>
      <c r="G471" s="223" t="s">
        <v>5282</v>
      </c>
      <c r="I471" s="223">
        <v>9000</v>
      </c>
      <c r="AV471" s="22">
        <f t="shared" si="42"/>
        <v>9000</v>
      </c>
      <c r="AW471" s="223">
        <v>7582.2</v>
      </c>
      <c r="AX471" s="223">
        <v>967.8</v>
      </c>
      <c r="AZ471" s="223">
        <v>450</v>
      </c>
      <c r="CK471" s="22">
        <f t="shared" si="47"/>
        <v>9000</v>
      </c>
      <c r="CL471" s="3">
        <f t="shared" si="48"/>
        <v>0</v>
      </c>
      <c r="CM471" s="222">
        <f t="shared" si="49"/>
        <v>12631</v>
      </c>
      <c r="CN471" s="3" t="str">
        <f t="shared" si="50"/>
        <v>خدمة عامة</v>
      </c>
    </row>
    <row r="472" spans="1:93" x14ac:dyDescent="0.25">
      <c r="C472" s="223" t="s">
        <v>503</v>
      </c>
      <c r="D472" s="224">
        <v>20995</v>
      </c>
      <c r="E472" s="224">
        <v>12632</v>
      </c>
      <c r="F472" s="250" t="s">
        <v>121</v>
      </c>
      <c r="G472" s="223" t="s">
        <v>5283</v>
      </c>
      <c r="I472" s="223">
        <v>3282.98</v>
      </c>
      <c r="AV472" s="22">
        <f t="shared" si="42"/>
        <v>3282.98</v>
      </c>
      <c r="AW472" s="223">
        <v>2197.9</v>
      </c>
      <c r="AX472" s="223">
        <v>294.10000000000002</v>
      </c>
      <c r="AY472" s="223">
        <v>790.98</v>
      </c>
      <c r="CK472" s="22">
        <f t="shared" si="47"/>
        <v>3282.98</v>
      </c>
      <c r="CL472" s="3">
        <f t="shared" si="48"/>
        <v>0</v>
      </c>
      <c r="CM472" s="222">
        <f t="shared" si="49"/>
        <v>12632</v>
      </c>
      <c r="CN472" s="3" t="str">
        <f t="shared" si="50"/>
        <v>ماليزى اسنان</v>
      </c>
    </row>
    <row r="473" spans="1:93" x14ac:dyDescent="0.25">
      <c r="C473" s="223" t="s">
        <v>503</v>
      </c>
      <c r="D473" s="224">
        <v>20993</v>
      </c>
      <c r="E473" s="224">
        <v>12633</v>
      </c>
      <c r="F473" s="250" t="s">
        <v>121</v>
      </c>
      <c r="G473" s="223" t="s">
        <v>5284</v>
      </c>
      <c r="I473" s="223">
        <v>3693.35</v>
      </c>
      <c r="AV473" s="22">
        <f t="shared" si="42"/>
        <v>3693.35</v>
      </c>
      <c r="AW473" s="223">
        <v>2472.4</v>
      </c>
      <c r="AX473" s="223">
        <v>331.1</v>
      </c>
      <c r="AY473" s="223">
        <v>889.85</v>
      </c>
      <c r="CK473" s="22">
        <f t="shared" si="47"/>
        <v>3693.35</v>
      </c>
      <c r="CL473" s="3">
        <f t="shared" si="48"/>
        <v>0</v>
      </c>
      <c r="CM473" s="222">
        <f t="shared" si="49"/>
        <v>12633</v>
      </c>
      <c r="CN473" s="3" t="str">
        <f t="shared" si="50"/>
        <v>ماليزى اسنان</v>
      </c>
    </row>
    <row r="474" spans="1:93" x14ac:dyDescent="0.25">
      <c r="C474" s="223" t="s">
        <v>503</v>
      </c>
      <c r="D474" s="224">
        <v>20996</v>
      </c>
      <c r="E474" s="224">
        <v>12634</v>
      </c>
      <c r="F474" s="250" t="s">
        <v>121</v>
      </c>
      <c r="G474" s="223" t="s">
        <v>5285</v>
      </c>
      <c r="I474" s="223">
        <v>2814</v>
      </c>
      <c r="AV474" s="22">
        <f t="shared" si="42"/>
        <v>2814</v>
      </c>
      <c r="AW474" s="223">
        <v>1880.7</v>
      </c>
      <c r="AX474" s="223">
        <v>255.3</v>
      </c>
      <c r="AY474" s="223">
        <v>678</v>
      </c>
      <c r="CK474" s="22">
        <f t="shared" si="47"/>
        <v>2814</v>
      </c>
      <c r="CL474" s="3">
        <f t="shared" si="48"/>
        <v>0</v>
      </c>
      <c r="CM474" s="222">
        <f t="shared" si="49"/>
        <v>12634</v>
      </c>
      <c r="CN474" s="3" t="str">
        <f t="shared" si="50"/>
        <v>ماليزى اسنان</v>
      </c>
    </row>
    <row r="475" spans="1:93" x14ac:dyDescent="0.25">
      <c r="C475" s="223" t="s">
        <v>503</v>
      </c>
      <c r="D475" s="224">
        <v>21400</v>
      </c>
      <c r="E475" s="224">
        <v>12635</v>
      </c>
      <c r="F475" s="250" t="s">
        <v>121</v>
      </c>
      <c r="G475" s="223" t="s">
        <v>5286</v>
      </c>
      <c r="I475" s="223">
        <v>4000</v>
      </c>
      <c r="AV475" s="22">
        <f t="shared" si="42"/>
        <v>4000</v>
      </c>
      <c r="AW475" s="223">
        <v>3570.35</v>
      </c>
      <c r="AX475" s="223">
        <v>429.65</v>
      </c>
      <c r="CK475" s="22">
        <f t="shared" si="47"/>
        <v>4000</v>
      </c>
      <c r="CL475" s="3">
        <f t="shared" si="48"/>
        <v>0</v>
      </c>
      <c r="CM475" s="222">
        <f t="shared" si="49"/>
        <v>12635</v>
      </c>
      <c r="CN475" s="3" t="str">
        <f t="shared" si="50"/>
        <v>ماليزى اسنان</v>
      </c>
    </row>
    <row r="476" spans="1:93" x14ac:dyDescent="0.25">
      <c r="C476" s="223" t="s">
        <v>503</v>
      </c>
      <c r="D476" s="224">
        <v>21397</v>
      </c>
      <c r="E476" s="224">
        <v>12636</v>
      </c>
      <c r="F476" s="250" t="s">
        <v>121</v>
      </c>
      <c r="G476" s="223" t="s">
        <v>5286</v>
      </c>
      <c r="I476" s="223">
        <v>10500</v>
      </c>
      <c r="AV476" s="22">
        <f t="shared" si="42"/>
        <v>10500</v>
      </c>
      <c r="AW476" s="223">
        <v>9372.2999999999993</v>
      </c>
      <c r="AX476" s="223">
        <v>1127.7</v>
      </c>
      <c r="CK476" s="22">
        <f t="shared" si="47"/>
        <v>10500</v>
      </c>
      <c r="CL476" s="3">
        <f t="shared" si="48"/>
        <v>0</v>
      </c>
      <c r="CM476" s="222">
        <f t="shared" si="49"/>
        <v>12636</v>
      </c>
      <c r="CN476" s="3" t="str">
        <f t="shared" si="50"/>
        <v>ماليزى اسنان</v>
      </c>
    </row>
    <row r="477" spans="1:93" x14ac:dyDescent="0.25">
      <c r="C477" s="223" t="s">
        <v>503</v>
      </c>
      <c r="D477" s="224">
        <v>21398</v>
      </c>
      <c r="E477" s="224">
        <v>12637</v>
      </c>
      <c r="F477" s="250" t="s">
        <v>121</v>
      </c>
      <c r="G477" s="223" t="s">
        <v>5286</v>
      </c>
      <c r="I477" s="223">
        <v>7000</v>
      </c>
      <c r="AV477" s="22">
        <f t="shared" si="42"/>
        <v>7000</v>
      </c>
      <c r="AW477" s="223">
        <v>6248.2</v>
      </c>
      <c r="AX477" s="223">
        <v>751.8</v>
      </c>
      <c r="CK477" s="22">
        <f t="shared" si="47"/>
        <v>7000</v>
      </c>
      <c r="CL477" s="3">
        <f t="shared" si="48"/>
        <v>0</v>
      </c>
      <c r="CM477" s="222">
        <f t="shared" si="49"/>
        <v>12637</v>
      </c>
      <c r="CN477" s="3" t="str">
        <f t="shared" si="50"/>
        <v>ماليزى اسنان</v>
      </c>
    </row>
    <row r="478" spans="1:93" x14ac:dyDescent="0.25">
      <c r="C478" s="223" t="s">
        <v>503</v>
      </c>
      <c r="D478" s="224">
        <v>21405</v>
      </c>
      <c r="E478" s="224">
        <v>12638</v>
      </c>
      <c r="F478" s="250" t="s">
        <v>121</v>
      </c>
      <c r="G478" s="223" t="s">
        <v>5286</v>
      </c>
      <c r="I478" s="223">
        <v>4500</v>
      </c>
      <c r="AV478" s="22">
        <f t="shared" si="42"/>
        <v>4500</v>
      </c>
      <c r="AW478" s="223">
        <v>4016.6</v>
      </c>
      <c r="AX478" s="223">
        <v>483.4</v>
      </c>
      <c r="CK478" s="22">
        <f t="shared" si="47"/>
        <v>4500</v>
      </c>
      <c r="CL478" s="3">
        <f t="shared" si="48"/>
        <v>0</v>
      </c>
      <c r="CM478" s="222">
        <f t="shared" si="49"/>
        <v>12638</v>
      </c>
      <c r="CN478" s="3" t="str">
        <f t="shared" si="50"/>
        <v>ماليزى اسنان</v>
      </c>
    </row>
    <row r="479" spans="1:93" x14ac:dyDescent="0.25">
      <c r="C479" s="223" t="s">
        <v>503</v>
      </c>
      <c r="D479" s="224">
        <v>21399</v>
      </c>
      <c r="E479" s="224">
        <v>12639</v>
      </c>
      <c r="F479" s="250" t="s">
        <v>121</v>
      </c>
      <c r="G479" s="223" t="s">
        <v>5287</v>
      </c>
      <c r="I479" s="223">
        <v>7000</v>
      </c>
      <c r="AV479" s="22">
        <f t="shared" si="42"/>
        <v>7000</v>
      </c>
      <c r="AW479" s="223">
        <v>6248.2</v>
      </c>
      <c r="AX479" s="223">
        <v>751.8</v>
      </c>
      <c r="CK479" s="22">
        <f t="shared" si="47"/>
        <v>7000</v>
      </c>
      <c r="CL479" s="3">
        <f t="shared" si="48"/>
        <v>0</v>
      </c>
      <c r="CM479" s="222">
        <f t="shared" si="49"/>
        <v>12639</v>
      </c>
      <c r="CN479" s="3" t="str">
        <f t="shared" si="50"/>
        <v>ماليزى اسنان</v>
      </c>
    </row>
    <row r="480" spans="1:93" x14ac:dyDescent="0.25">
      <c r="C480" s="223" t="s">
        <v>503</v>
      </c>
      <c r="D480" s="224">
        <v>21389</v>
      </c>
      <c r="E480" s="224">
        <v>12640</v>
      </c>
      <c r="F480" s="250" t="s">
        <v>121</v>
      </c>
      <c r="G480" s="223" t="s">
        <v>5288</v>
      </c>
      <c r="I480" s="223">
        <v>55306</v>
      </c>
      <c r="AV480" s="22">
        <f t="shared" si="42"/>
        <v>55306</v>
      </c>
      <c r="AW480" s="223">
        <v>41578.550000000003</v>
      </c>
      <c r="AX480" s="223">
        <v>5365.45</v>
      </c>
      <c r="AY480" s="223">
        <v>8362</v>
      </c>
      <c r="CK480" s="22">
        <f t="shared" si="47"/>
        <v>55306</v>
      </c>
      <c r="CL480" s="3">
        <f t="shared" si="48"/>
        <v>0</v>
      </c>
      <c r="CM480" s="222">
        <f t="shared" si="49"/>
        <v>12640</v>
      </c>
      <c r="CN480" s="3" t="str">
        <f t="shared" si="50"/>
        <v>ماليزى اسنان</v>
      </c>
    </row>
    <row r="481" spans="3:92" x14ac:dyDescent="0.25">
      <c r="C481" s="223" t="s">
        <v>503</v>
      </c>
      <c r="D481" s="224">
        <v>21013</v>
      </c>
      <c r="E481" s="224">
        <v>12641</v>
      </c>
      <c r="F481" s="250" t="s">
        <v>121</v>
      </c>
      <c r="G481" s="223" t="s">
        <v>5303</v>
      </c>
      <c r="I481" s="223">
        <v>1407</v>
      </c>
      <c r="AV481" s="22">
        <f t="shared" si="42"/>
        <v>1407</v>
      </c>
      <c r="AW481" s="223">
        <v>940.35</v>
      </c>
      <c r="AX481" s="223">
        <v>127.65</v>
      </c>
      <c r="AY481" s="223">
        <v>339</v>
      </c>
      <c r="CK481" s="22">
        <f t="shared" si="47"/>
        <v>1407</v>
      </c>
      <c r="CL481" s="3">
        <f t="shared" si="48"/>
        <v>0</v>
      </c>
      <c r="CM481" s="222">
        <f t="shared" si="49"/>
        <v>12641</v>
      </c>
      <c r="CN481" s="3" t="str">
        <f t="shared" si="50"/>
        <v>ماليزى اسنان</v>
      </c>
    </row>
    <row r="482" spans="3:92" x14ac:dyDescent="0.25">
      <c r="C482" s="223" t="s">
        <v>503</v>
      </c>
      <c r="D482" s="224">
        <v>21393</v>
      </c>
      <c r="E482" s="224">
        <v>12642</v>
      </c>
      <c r="F482" s="250" t="s">
        <v>121</v>
      </c>
      <c r="G482" s="223" t="s">
        <v>5289</v>
      </c>
      <c r="I482" s="223">
        <v>2286.38</v>
      </c>
      <c r="AV482" s="22">
        <f t="shared" si="42"/>
        <v>2286.38</v>
      </c>
      <c r="AW482" s="223">
        <v>1528.5</v>
      </c>
      <c r="AX482" s="223">
        <v>207</v>
      </c>
      <c r="AY482" s="223">
        <v>550.88</v>
      </c>
      <c r="CK482" s="22">
        <f t="shared" si="47"/>
        <v>2286.38</v>
      </c>
      <c r="CL482" s="3">
        <f t="shared" si="48"/>
        <v>0</v>
      </c>
      <c r="CM482" s="222">
        <f t="shared" si="49"/>
        <v>12642</v>
      </c>
      <c r="CN482" s="3" t="str">
        <f t="shared" si="50"/>
        <v>ماليزى اسنان</v>
      </c>
    </row>
    <row r="483" spans="3:92" x14ac:dyDescent="0.25">
      <c r="C483" s="223" t="s">
        <v>503</v>
      </c>
      <c r="D483" s="224">
        <v>21396</v>
      </c>
      <c r="E483" s="224">
        <v>12643</v>
      </c>
      <c r="F483" s="250" t="s">
        <v>121</v>
      </c>
      <c r="G483" s="223" t="s">
        <v>5290</v>
      </c>
      <c r="I483" s="223">
        <v>1524.25</v>
      </c>
      <c r="AV483" s="22">
        <f t="shared" si="42"/>
        <v>1524.25</v>
      </c>
      <c r="AW483" s="223">
        <v>1018.7</v>
      </c>
      <c r="AX483" s="223">
        <v>138.30000000000001</v>
      </c>
      <c r="AY483" s="223">
        <v>367.25</v>
      </c>
      <c r="CK483" s="22">
        <f t="shared" si="47"/>
        <v>1524.25</v>
      </c>
      <c r="CL483" s="3">
        <f t="shared" si="48"/>
        <v>0</v>
      </c>
      <c r="CM483" s="222">
        <f t="shared" si="49"/>
        <v>12643</v>
      </c>
      <c r="CN483" s="3" t="str">
        <f t="shared" si="50"/>
        <v>ماليزى اسنان</v>
      </c>
    </row>
    <row r="484" spans="3:92" x14ac:dyDescent="0.25">
      <c r="C484" s="223" t="s">
        <v>503</v>
      </c>
      <c r="D484" s="224">
        <v>21024</v>
      </c>
      <c r="E484" s="224">
        <v>12644</v>
      </c>
      <c r="F484" s="250" t="s">
        <v>121</v>
      </c>
      <c r="G484" s="223" t="s">
        <v>5291</v>
      </c>
      <c r="I484" s="223">
        <v>14180</v>
      </c>
      <c r="AV484" s="22">
        <f t="shared" si="42"/>
        <v>14180</v>
      </c>
      <c r="AW484" s="223">
        <v>12657.05</v>
      </c>
      <c r="AX484" s="223">
        <v>1522.95</v>
      </c>
      <c r="CK484" s="22">
        <f t="shared" si="47"/>
        <v>14180</v>
      </c>
      <c r="CL484" s="3">
        <f t="shared" si="48"/>
        <v>0</v>
      </c>
      <c r="CM484" s="222">
        <f t="shared" si="49"/>
        <v>12644</v>
      </c>
      <c r="CN484" s="3" t="str">
        <f t="shared" si="50"/>
        <v>ماليزى اسنان</v>
      </c>
    </row>
    <row r="485" spans="3:92" x14ac:dyDescent="0.25">
      <c r="C485" s="223" t="s">
        <v>503</v>
      </c>
      <c r="D485" s="224">
        <v>21025</v>
      </c>
      <c r="E485" s="224">
        <v>12645</v>
      </c>
      <c r="F485" s="250" t="s">
        <v>121</v>
      </c>
      <c r="G485" s="223" t="s">
        <v>5291</v>
      </c>
      <c r="I485" s="223">
        <v>3735.82</v>
      </c>
      <c r="AV485" s="22">
        <f t="shared" si="42"/>
        <v>3735.82</v>
      </c>
      <c r="AW485" s="223">
        <v>2898.59</v>
      </c>
      <c r="AX485" s="223">
        <v>369.15</v>
      </c>
      <c r="AY485" s="223">
        <v>468.08</v>
      </c>
      <c r="CK485" s="22">
        <f t="shared" si="47"/>
        <v>3735.82</v>
      </c>
      <c r="CL485" s="3">
        <f t="shared" si="48"/>
        <v>0</v>
      </c>
      <c r="CM485" s="222">
        <f t="shared" si="49"/>
        <v>12645</v>
      </c>
      <c r="CN485" s="3" t="str">
        <f t="shared" si="50"/>
        <v>ماليزى اسنان</v>
      </c>
    </row>
    <row r="486" spans="3:92" x14ac:dyDescent="0.25">
      <c r="C486" s="223" t="s">
        <v>503</v>
      </c>
      <c r="D486" s="224">
        <v>21023</v>
      </c>
      <c r="E486" s="224">
        <v>12646</v>
      </c>
      <c r="F486" s="250" t="s">
        <v>121</v>
      </c>
      <c r="G486" s="223" t="s">
        <v>5292</v>
      </c>
      <c r="I486" s="223">
        <v>1000</v>
      </c>
      <c r="AV486" s="22">
        <f t="shared" si="42"/>
        <v>1000</v>
      </c>
      <c r="AW486" s="223">
        <v>894.1</v>
      </c>
      <c r="AX486" s="223">
        <v>105.9</v>
      </c>
      <c r="CK486" s="22">
        <f t="shared" si="47"/>
        <v>1000</v>
      </c>
      <c r="CL486" s="3">
        <f t="shared" si="48"/>
        <v>0</v>
      </c>
      <c r="CM486" s="222">
        <f t="shared" si="49"/>
        <v>12646</v>
      </c>
      <c r="CN486" s="3" t="str">
        <f t="shared" si="50"/>
        <v>ماليزى اسنان</v>
      </c>
    </row>
    <row r="487" spans="3:92" x14ac:dyDescent="0.25">
      <c r="C487" s="223" t="s">
        <v>503</v>
      </c>
      <c r="D487" s="224">
        <v>21022</v>
      </c>
      <c r="E487" s="224">
        <v>12647</v>
      </c>
      <c r="F487" s="250" t="s">
        <v>121</v>
      </c>
      <c r="G487" s="223" t="s">
        <v>5292</v>
      </c>
      <c r="I487" s="223">
        <v>3000</v>
      </c>
      <c r="AV487" s="22">
        <f t="shared" si="42"/>
        <v>3000</v>
      </c>
      <c r="AW487" s="223">
        <v>2682.3</v>
      </c>
      <c r="AX487" s="223">
        <v>317.7</v>
      </c>
      <c r="CK487" s="22">
        <f t="shared" si="47"/>
        <v>3000</v>
      </c>
      <c r="CL487" s="3">
        <f t="shared" si="48"/>
        <v>0</v>
      </c>
      <c r="CM487" s="222">
        <f t="shared" si="49"/>
        <v>12647</v>
      </c>
      <c r="CN487" s="3" t="str">
        <f t="shared" si="50"/>
        <v>ماليزى اسنان</v>
      </c>
    </row>
    <row r="488" spans="3:92" x14ac:dyDescent="0.25">
      <c r="C488" s="223" t="s">
        <v>503</v>
      </c>
      <c r="D488" s="224">
        <v>21027</v>
      </c>
      <c r="E488" s="224">
        <v>12648</v>
      </c>
      <c r="F488" s="250" t="s">
        <v>121</v>
      </c>
      <c r="G488" s="223" t="s">
        <v>5293</v>
      </c>
      <c r="I488" s="223">
        <v>28828.93</v>
      </c>
      <c r="AV488" s="22">
        <f t="shared" si="42"/>
        <v>28828.93</v>
      </c>
      <c r="AW488" s="223">
        <v>20564.689999999999</v>
      </c>
      <c r="AX488" s="223">
        <v>2714.25</v>
      </c>
      <c r="AY488" s="223">
        <v>5549.99</v>
      </c>
      <c r="CK488" s="22">
        <f t="shared" si="47"/>
        <v>28828.93</v>
      </c>
      <c r="CL488" s="3">
        <f t="shared" si="48"/>
        <v>0</v>
      </c>
      <c r="CM488" s="222">
        <f t="shared" si="49"/>
        <v>12648</v>
      </c>
      <c r="CN488" s="3" t="str">
        <f t="shared" si="50"/>
        <v>ماليزى اسنان</v>
      </c>
    </row>
    <row r="489" spans="3:92" x14ac:dyDescent="0.25">
      <c r="C489" s="223" t="s">
        <v>503</v>
      </c>
      <c r="D489" s="224">
        <v>21030</v>
      </c>
      <c r="E489" s="224">
        <v>12649</v>
      </c>
      <c r="F489" s="250" t="s">
        <v>121</v>
      </c>
      <c r="G489" s="223" t="s">
        <v>5294</v>
      </c>
      <c r="I489" s="223">
        <v>3810.63</v>
      </c>
      <c r="AV489" s="22">
        <f t="shared" si="42"/>
        <v>3810.63</v>
      </c>
      <c r="AW489" s="223">
        <v>2546.9</v>
      </c>
      <c r="AX489" s="223">
        <v>345.6</v>
      </c>
      <c r="AY489" s="223">
        <v>918.13</v>
      </c>
      <c r="CK489" s="22">
        <f t="shared" si="47"/>
        <v>3810.63</v>
      </c>
      <c r="CL489" s="3">
        <f t="shared" si="48"/>
        <v>0</v>
      </c>
      <c r="CM489" s="222">
        <f t="shared" si="49"/>
        <v>12649</v>
      </c>
      <c r="CN489" s="3" t="str">
        <f t="shared" si="50"/>
        <v>ماليزى اسنان</v>
      </c>
    </row>
    <row r="490" spans="3:92" x14ac:dyDescent="0.25">
      <c r="C490" s="223" t="s">
        <v>503</v>
      </c>
      <c r="D490" s="224">
        <v>21029</v>
      </c>
      <c r="E490" s="224">
        <v>12650</v>
      </c>
      <c r="F490" s="250" t="s">
        <v>121</v>
      </c>
      <c r="G490" s="223" t="s">
        <v>5295</v>
      </c>
      <c r="I490" s="223">
        <v>3581.25</v>
      </c>
      <c r="AV490" s="22">
        <f t="shared" si="42"/>
        <v>3581.25</v>
      </c>
      <c r="AW490" s="223">
        <v>2541.4</v>
      </c>
      <c r="AX490" s="223">
        <v>333.6</v>
      </c>
      <c r="AY490" s="223">
        <v>706.25</v>
      </c>
      <c r="CK490" s="22">
        <f t="shared" si="47"/>
        <v>3581.25</v>
      </c>
      <c r="CL490" s="3">
        <f t="shared" si="48"/>
        <v>0</v>
      </c>
      <c r="CM490" s="222">
        <f t="shared" si="49"/>
        <v>12650</v>
      </c>
      <c r="CN490" s="3" t="str">
        <f t="shared" si="50"/>
        <v>ماليزى اسنان</v>
      </c>
    </row>
    <row r="491" spans="3:92" x14ac:dyDescent="0.25">
      <c r="C491" s="223" t="s">
        <v>503</v>
      </c>
      <c r="D491" s="224">
        <v>21031</v>
      </c>
      <c r="E491" s="224">
        <v>12651</v>
      </c>
      <c r="F491" s="250" t="s">
        <v>121</v>
      </c>
      <c r="G491" s="223" t="s">
        <v>5296</v>
      </c>
      <c r="I491" s="223">
        <v>7585.82</v>
      </c>
      <c r="AV491" s="22">
        <f t="shared" si="42"/>
        <v>7585.82</v>
      </c>
      <c r="AW491" s="223">
        <v>5877.43</v>
      </c>
      <c r="AX491" s="223">
        <v>749</v>
      </c>
      <c r="AY491" s="223">
        <v>959.39</v>
      </c>
      <c r="CK491" s="22">
        <f t="shared" si="47"/>
        <v>7585.8200000000006</v>
      </c>
      <c r="CL491" s="3">
        <f t="shared" si="48"/>
        <v>0</v>
      </c>
      <c r="CM491" s="222">
        <f t="shared" si="49"/>
        <v>12651</v>
      </c>
      <c r="CN491" s="3" t="str">
        <f t="shared" si="50"/>
        <v>ماليزى اسنان</v>
      </c>
    </row>
    <row r="492" spans="3:92" x14ac:dyDescent="0.25">
      <c r="C492" s="223" t="s">
        <v>503</v>
      </c>
      <c r="D492" s="224">
        <v>21388</v>
      </c>
      <c r="E492" s="224">
        <v>12652</v>
      </c>
      <c r="F492" s="250" t="s">
        <v>121</v>
      </c>
      <c r="G492" s="223" t="s">
        <v>5297</v>
      </c>
      <c r="I492" s="223">
        <v>12897.5</v>
      </c>
      <c r="AV492" s="22">
        <f t="shared" si="42"/>
        <v>12897.5</v>
      </c>
      <c r="AW492" s="223">
        <v>8623.85</v>
      </c>
      <c r="AX492" s="223">
        <v>1166.1500000000001</v>
      </c>
      <c r="AY492" s="223">
        <v>3107.5</v>
      </c>
      <c r="CK492" s="22">
        <f t="shared" si="47"/>
        <v>12897.5</v>
      </c>
      <c r="CL492" s="3">
        <f t="shared" si="48"/>
        <v>0</v>
      </c>
      <c r="CM492" s="222">
        <f t="shared" si="49"/>
        <v>12652</v>
      </c>
      <c r="CN492" s="3" t="str">
        <f t="shared" si="50"/>
        <v>ماليزى اسنان</v>
      </c>
    </row>
    <row r="493" spans="3:92" x14ac:dyDescent="0.25">
      <c r="C493" s="223" t="s">
        <v>503</v>
      </c>
      <c r="D493" s="224">
        <v>21395</v>
      </c>
      <c r="E493" s="224">
        <v>12653</v>
      </c>
      <c r="F493" s="250" t="s">
        <v>121</v>
      </c>
      <c r="G493" s="223" t="s">
        <v>5298</v>
      </c>
      <c r="I493" s="223">
        <v>12428.5</v>
      </c>
      <c r="AV493" s="22">
        <f t="shared" ref="AV493:AV556" si="51">SUM(I493:AU493)</f>
        <v>12428.5</v>
      </c>
      <c r="AW493" s="223">
        <v>8305</v>
      </c>
      <c r="AX493" s="223">
        <v>1129</v>
      </c>
      <c r="AY493" s="223">
        <v>2994.5</v>
      </c>
      <c r="CK493" s="22">
        <f t="shared" si="47"/>
        <v>12428.5</v>
      </c>
      <c r="CL493" s="3">
        <f t="shared" si="48"/>
        <v>0</v>
      </c>
      <c r="CM493" s="222">
        <f t="shared" si="49"/>
        <v>12653</v>
      </c>
      <c r="CN493" s="3" t="str">
        <f t="shared" si="50"/>
        <v>ماليزى اسنان</v>
      </c>
    </row>
    <row r="494" spans="3:92" x14ac:dyDescent="0.25">
      <c r="C494" s="223" t="s">
        <v>503</v>
      </c>
      <c r="D494" s="224">
        <v>21403</v>
      </c>
      <c r="E494" s="224">
        <v>12654</v>
      </c>
      <c r="F494" s="250" t="s">
        <v>121</v>
      </c>
      <c r="G494" s="223" t="s">
        <v>5299</v>
      </c>
      <c r="I494" s="223">
        <v>7269.5</v>
      </c>
      <c r="AV494" s="22">
        <f t="shared" si="51"/>
        <v>7269.5</v>
      </c>
      <c r="AW494" s="223">
        <v>4858.05</v>
      </c>
      <c r="AX494" s="223">
        <v>659.95</v>
      </c>
      <c r="AY494" s="223">
        <v>1751.5</v>
      </c>
      <c r="CK494" s="22">
        <f t="shared" si="47"/>
        <v>7269.5</v>
      </c>
      <c r="CL494" s="3">
        <f t="shared" si="48"/>
        <v>0</v>
      </c>
      <c r="CM494" s="222">
        <f t="shared" si="49"/>
        <v>12654</v>
      </c>
      <c r="CN494" s="3" t="str">
        <f t="shared" si="50"/>
        <v>ماليزى اسنان</v>
      </c>
    </row>
    <row r="495" spans="3:92" x14ac:dyDescent="0.25">
      <c r="C495" s="223" t="s">
        <v>503</v>
      </c>
      <c r="D495" s="224">
        <v>21404</v>
      </c>
      <c r="E495" s="224">
        <v>12655</v>
      </c>
      <c r="F495" s="250" t="s">
        <v>121</v>
      </c>
      <c r="G495" s="223" t="s">
        <v>5300</v>
      </c>
      <c r="I495" s="223">
        <v>1500</v>
      </c>
      <c r="AV495" s="22">
        <f t="shared" si="51"/>
        <v>1500</v>
      </c>
      <c r="AW495" s="223">
        <v>1339.1</v>
      </c>
      <c r="AX495" s="223">
        <v>160.9</v>
      </c>
      <c r="CK495" s="22">
        <f t="shared" si="47"/>
        <v>1500</v>
      </c>
      <c r="CL495" s="3">
        <f t="shared" si="48"/>
        <v>0</v>
      </c>
      <c r="CM495" s="222">
        <f t="shared" si="49"/>
        <v>12655</v>
      </c>
      <c r="CN495" s="3" t="str">
        <f t="shared" si="50"/>
        <v>ماليزى اسنان</v>
      </c>
    </row>
    <row r="496" spans="3:92" x14ac:dyDescent="0.25">
      <c r="C496" s="223" t="s">
        <v>503</v>
      </c>
      <c r="D496" s="224">
        <v>21009</v>
      </c>
      <c r="E496" s="224">
        <v>12656</v>
      </c>
      <c r="F496" s="250" t="s">
        <v>121</v>
      </c>
      <c r="G496" s="223" t="s">
        <v>5301</v>
      </c>
      <c r="I496" s="223">
        <v>7035</v>
      </c>
      <c r="AV496" s="22">
        <f t="shared" si="51"/>
        <v>7035</v>
      </c>
      <c r="AW496" s="223">
        <v>4700.6499999999996</v>
      </c>
      <c r="AX496" s="223">
        <v>639.35</v>
      </c>
      <c r="AY496" s="223">
        <v>1695</v>
      </c>
      <c r="CK496" s="22">
        <f t="shared" si="47"/>
        <v>7035</v>
      </c>
      <c r="CL496" s="3">
        <f t="shared" si="48"/>
        <v>0</v>
      </c>
      <c r="CM496" s="222">
        <f t="shared" si="49"/>
        <v>12656</v>
      </c>
      <c r="CN496" s="3" t="str">
        <f t="shared" si="50"/>
        <v>ماليزى اسنان</v>
      </c>
    </row>
    <row r="497" spans="3:92" x14ac:dyDescent="0.25">
      <c r="C497" s="223" t="s">
        <v>503</v>
      </c>
      <c r="D497" s="224">
        <v>20997</v>
      </c>
      <c r="E497" s="224">
        <v>12657</v>
      </c>
      <c r="F497" s="250" t="s">
        <v>121</v>
      </c>
      <c r="G497" s="223" t="s">
        <v>5302</v>
      </c>
      <c r="I497" s="223">
        <v>2250</v>
      </c>
      <c r="AV497" s="22">
        <f t="shared" si="51"/>
        <v>2250</v>
      </c>
      <c r="AW497" s="223">
        <v>2008.5</v>
      </c>
      <c r="AX497" s="223">
        <v>241.5</v>
      </c>
      <c r="CK497" s="22">
        <f t="shared" si="47"/>
        <v>2250</v>
      </c>
      <c r="CL497" s="3">
        <f t="shared" si="48"/>
        <v>0</v>
      </c>
      <c r="CM497" s="222">
        <f t="shared" si="49"/>
        <v>12657</v>
      </c>
      <c r="CN497" s="3" t="str">
        <f t="shared" si="50"/>
        <v>ماليزى اسنان</v>
      </c>
    </row>
    <row r="498" spans="3:92" x14ac:dyDescent="0.25">
      <c r="C498" s="223" t="s">
        <v>503</v>
      </c>
      <c r="D498" s="224">
        <v>20994</v>
      </c>
      <c r="E498" s="224">
        <v>12658</v>
      </c>
      <c r="F498" s="250" t="s">
        <v>121</v>
      </c>
      <c r="G498" s="223" t="s">
        <v>5284</v>
      </c>
      <c r="I498" s="223">
        <v>2087.04</v>
      </c>
      <c r="AV498" s="22">
        <f t="shared" si="51"/>
        <v>2087.04</v>
      </c>
      <c r="AW498" s="223">
        <v>1397.1</v>
      </c>
      <c r="AX498" s="223">
        <v>187.1</v>
      </c>
      <c r="AY498" s="223">
        <v>502.84</v>
      </c>
      <c r="CK498" s="22">
        <f t="shared" si="47"/>
        <v>2087.04</v>
      </c>
      <c r="CL498" s="3">
        <f t="shared" si="48"/>
        <v>0</v>
      </c>
      <c r="CM498" s="222">
        <f t="shared" si="49"/>
        <v>12658</v>
      </c>
      <c r="CN498" s="3" t="str">
        <f t="shared" si="50"/>
        <v>ماليزى اسنان</v>
      </c>
    </row>
    <row r="499" spans="3:92" x14ac:dyDescent="0.25">
      <c r="C499" s="223" t="s">
        <v>503</v>
      </c>
      <c r="D499" s="224">
        <v>21001</v>
      </c>
      <c r="E499" s="224">
        <v>12659</v>
      </c>
      <c r="F499" s="250" t="s">
        <v>121</v>
      </c>
      <c r="G499" s="223" t="s">
        <v>5304</v>
      </c>
      <c r="I499" s="223">
        <v>15780.25</v>
      </c>
      <c r="AV499" s="22">
        <f t="shared" si="51"/>
        <v>15780.25</v>
      </c>
      <c r="AW499" s="223">
        <v>11228.4</v>
      </c>
      <c r="AX499" s="223">
        <v>1472.6</v>
      </c>
      <c r="AY499" s="223">
        <v>3079.25</v>
      </c>
      <c r="CK499" s="22">
        <f t="shared" si="47"/>
        <v>15780.25</v>
      </c>
      <c r="CL499" s="3">
        <f t="shared" si="48"/>
        <v>0</v>
      </c>
      <c r="CM499" s="222">
        <f t="shared" si="49"/>
        <v>12659</v>
      </c>
      <c r="CN499" s="3" t="str">
        <f t="shared" si="50"/>
        <v>ماليزى اسنان</v>
      </c>
    </row>
    <row r="500" spans="3:92" x14ac:dyDescent="0.25">
      <c r="C500" s="223" t="s">
        <v>503</v>
      </c>
      <c r="D500" s="224">
        <v>21007</v>
      </c>
      <c r="E500" s="224">
        <v>12660</v>
      </c>
      <c r="F500" s="250" t="s">
        <v>121</v>
      </c>
      <c r="G500" s="223" t="s">
        <v>5305</v>
      </c>
      <c r="I500" s="223">
        <v>351.76</v>
      </c>
      <c r="AV500" s="22">
        <f t="shared" si="51"/>
        <v>351.76</v>
      </c>
      <c r="AW500" s="223">
        <v>236</v>
      </c>
      <c r="AX500" s="223">
        <v>31</v>
      </c>
      <c r="AY500" s="223">
        <v>84.76</v>
      </c>
      <c r="CK500" s="22">
        <f t="shared" si="47"/>
        <v>351.76</v>
      </c>
      <c r="CL500" s="3">
        <f t="shared" si="48"/>
        <v>0</v>
      </c>
      <c r="CM500" s="222">
        <f t="shared" si="49"/>
        <v>12660</v>
      </c>
      <c r="CN500" s="3" t="str">
        <f t="shared" si="50"/>
        <v>ماليزى اسنان</v>
      </c>
    </row>
    <row r="501" spans="3:92" x14ac:dyDescent="0.25">
      <c r="C501" s="223" t="s">
        <v>503</v>
      </c>
      <c r="D501" s="224">
        <v>21387</v>
      </c>
      <c r="E501" s="224">
        <v>12661</v>
      </c>
      <c r="F501" s="250" t="s">
        <v>121</v>
      </c>
      <c r="G501" s="223" t="s">
        <v>5306</v>
      </c>
      <c r="I501" s="223">
        <v>1172.5</v>
      </c>
      <c r="AV501" s="22">
        <f t="shared" si="51"/>
        <v>1172.5</v>
      </c>
      <c r="AW501" s="223">
        <v>784.1</v>
      </c>
      <c r="AX501" s="223">
        <v>105.9</v>
      </c>
      <c r="AY501" s="223">
        <v>282.5</v>
      </c>
      <c r="CK501" s="22">
        <f t="shared" si="47"/>
        <v>1172.5</v>
      </c>
      <c r="CL501" s="3">
        <f t="shared" si="48"/>
        <v>0</v>
      </c>
      <c r="CM501" s="222">
        <f t="shared" si="49"/>
        <v>12661</v>
      </c>
      <c r="CN501" s="3" t="str">
        <f t="shared" si="50"/>
        <v>ماليزى اسنان</v>
      </c>
    </row>
    <row r="502" spans="3:92" x14ac:dyDescent="0.25">
      <c r="C502" s="223" t="s">
        <v>503</v>
      </c>
      <c r="D502" s="224">
        <v>21017</v>
      </c>
      <c r="E502" s="224">
        <v>12662</v>
      </c>
      <c r="F502" s="250" t="s">
        <v>121</v>
      </c>
      <c r="G502" s="223" t="s">
        <v>5307</v>
      </c>
      <c r="I502" s="223">
        <v>1758.76</v>
      </c>
      <c r="AV502" s="22">
        <f t="shared" si="51"/>
        <v>1758.76</v>
      </c>
      <c r="AW502" s="223">
        <v>1176.3</v>
      </c>
      <c r="AX502" s="223">
        <v>158.69999999999999</v>
      </c>
      <c r="AY502" s="223">
        <v>423.76</v>
      </c>
      <c r="CK502" s="22">
        <f t="shared" si="47"/>
        <v>1758.76</v>
      </c>
      <c r="CL502" s="3">
        <f t="shared" si="48"/>
        <v>0</v>
      </c>
      <c r="CM502" s="222">
        <f t="shared" si="49"/>
        <v>12662</v>
      </c>
      <c r="CN502" s="3" t="str">
        <f t="shared" si="50"/>
        <v>ماليزى اسنان</v>
      </c>
    </row>
    <row r="503" spans="3:92" x14ac:dyDescent="0.25">
      <c r="C503" s="223" t="s">
        <v>503</v>
      </c>
      <c r="D503" s="224">
        <v>21015</v>
      </c>
      <c r="E503" s="224">
        <v>12663</v>
      </c>
      <c r="F503" s="250" t="s">
        <v>121</v>
      </c>
      <c r="G503" s="223" t="s">
        <v>5308</v>
      </c>
      <c r="I503" s="223">
        <v>5500</v>
      </c>
      <c r="AV503" s="22">
        <f t="shared" si="51"/>
        <v>5500</v>
      </c>
      <c r="AW503" s="223">
        <v>4906.3999999999996</v>
      </c>
      <c r="AX503" s="223">
        <v>593.6</v>
      </c>
      <c r="CK503" s="22">
        <f t="shared" si="47"/>
        <v>5500</v>
      </c>
      <c r="CL503" s="3">
        <f t="shared" si="48"/>
        <v>0</v>
      </c>
      <c r="CM503" s="222">
        <f t="shared" si="49"/>
        <v>12663</v>
      </c>
      <c r="CN503" s="3" t="str">
        <f t="shared" si="50"/>
        <v>ماليزى اسنان</v>
      </c>
    </row>
    <row r="504" spans="3:92" x14ac:dyDescent="0.25">
      <c r="C504" s="223" t="s">
        <v>503</v>
      </c>
      <c r="D504" s="224">
        <v>21014</v>
      </c>
      <c r="E504" s="224">
        <v>12664</v>
      </c>
      <c r="F504" s="250" t="s">
        <v>121</v>
      </c>
      <c r="G504" s="223" t="s">
        <v>5308</v>
      </c>
      <c r="I504" s="223">
        <v>6663.57</v>
      </c>
      <c r="AV504" s="22">
        <f t="shared" si="51"/>
        <v>6663.57</v>
      </c>
      <c r="AW504" s="223">
        <v>4478.5</v>
      </c>
      <c r="AX504" s="223">
        <v>607.04999999999995</v>
      </c>
      <c r="AY504" s="223">
        <v>1578.02</v>
      </c>
      <c r="CK504" s="22">
        <f t="shared" si="47"/>
        <v>6663.57</v>
      </c>
      <c r="CL504" s="3">
        <f t="shared" si="48"/>
        <v>0</v>
      </c>
      <c r="CM504" s="222">
        <f t="shared" si="49"/>
        <v>12664</v>
      </c>
      <c r="CN504" s="3" t="str">
        <f t="shared" si="50"/>
        <v>ماليزى اسنان</v>
      </c>
    </row>
    <row r="505" spans="3:92" x14ac:dyDescent="0.25">
      <c r="C505" s="223" t="s">
        <v>503</v>
      </c>
      <c r="D505" s="224">
        <v>21018</v>
      </c>
      <c r="E505" s="224">
        <v>12665</v>
      </c>
      <c r="F505" s="250" t="s">
        <v>121</v>
      </c>
      <c r="G505" s="223" t="s">
        <v>5309</v>
      </c>
      <c r="I505" s="223">
        <v>6838.25</v>
      </c>
      <c r="AV505" s="22">
        <f t="shared" si="51"/>
        <v>6838.25</v>
      </c>
      <c r="AW505" s="223">
        <v>5132.8</v>
      </c>
      <c r="AX505" s="223">
        <v>660.2</v>
      </c>
      <c r="AY505" s="223">
        <v>1045.25</v>
      </c>
      <c r="CK505" s="22">
        <f t="shared" si="47"/>
        <v>6838.25</v>
      </c>
      <c r="CL505" s="3">
        <f t="shared" si="48"/>
        <v>0</v>
      </c>
      <c r="CM505" s="222">
        <f t="shared" si="49"/>
        <v>12665</v>
      </c>
      <c r="CN505" s="3" t="str">
        <f t="shared" si="50"/>
        <v>ماليزى اسنان</v>
      </c>
    </row>
    <row r="506" spans="3:92" x14ac:dyDescent="0.25">
      <c r="C506" s="223" t="s">
        <v>503</v>
      </c>
      <c r="D506" s="224">
        <v>21019</v>
      </c>
      <c r="E506" s="224">
        <v>12666</v>
      </c>
      <c r="F506" s="250" t="s">
        <v>121</v>
      </c>
      <c r="G506" s="223" t="s">
        <v>5310</v>
      </c>
      <c r="I506" s="223">
        <v>7517.51</v>
      </c>
      <c r="AV506" s="22">
        <f t="shared" si="51"/>
        <v>7517.51</v>
      </c>
      <c r="AW506" s="223">
        <v>5922.35</v>
      </c>
      <c r="AX506" s="223">
        <v>747.65</v>
      </c>
      <c r="AY506" s="223">
        <v>847.51</v>
      </c>
      <c r="CK506" s="22">
        <f t="shared" si="47"/>
        <v>7517.51</v>
      </c>
      <c r="CL506" s="3">
        <f t="shared" si="48"/>
        <v>0</v>
      </c>
      <c r="CM506" s="222">
        <f t="shared" si="49"/>
        <v>12666</v>
      </c>
      <c r="CN506" s="3" t="str">
        <f t="shared" si="50"/>
        <v>ماليزى اسنان</v>
      </c>
    </row>
    <row r="507" spans="3:92" x14ac:dyDescent="0.25">
      <c r="C507" s="223" t="s">
        <v>503</v>
      </c>
      <c r="D507" s="224">
        <v>21020</v>
      </c>
      <c r="E507" s="224">
        <v>12667</v>
      </c>
      <c r="F507" s="250" t="s">
        <v>121</v>
      </c>
      <c r="G507" s="223" t="s">
        <v>5311</v>
      </c>
      <c r="I507" s="223">
        <v>1250</v>
      </c>
      <c r="AV507" s="22">
        <f t="shared" si="51"/>
        <v>1250</v>
      </c>
      <c r="AW507" s="223">
        <v>1116</v>
      </c>
      <c r="AX507" s="223">
        <v>134</v>
      </c>
      <c r="CK507" s="22">
        <f t="shared" si="47"/>
        <v>1250</v>
      </c>
      <c r="CL507" s="3">
        <f t="shared" si="48"/>
        <v>0</v>
      </c>
      <c r="CM507" s="222">
        <f t="shared" si="49"/>
        <v>12667</v>
      </c>
      <c r="CN507" s="3" t="str">
        <f t="shared" si="50"/>
        <v>ماليزى اسنان</v>
      </c>
    </row>
    <row r="508" spans="3:92" x14ac:dyDescent="0.25">
      <c r="C508" s="223" t="s">
        <v>503</v>
      </c>
      <c r="D508" s="224">
        <v>20998</v>
      </c>
      <c r="E508" s="224">
        <v>12668</v>
      </c>
      <c r="F508" s="250" t="s">
        <v>121</v>
      </c>
      <c r="G508" s="223" t="s">
        <v>5312</v>
      </c>
      <c r="I508" s="223">
        <v>3500</v>
      </c>
      <c r="AV508" s="22">
        <f t="shared" si="51"/>
        <v>3500</v>
      </c>
      <c r="AW508" s="223">
        <v>3124.1</v>
      </c>
      <c r="AX508" s="223">
        <v>375.9</v>
      </c>
      <c r="CK508" s="22">
        <f t="shared" si="47"/>
        <v>3500</v>
      </c>
      <c r="CL508" s="3">
        <f t="shared" si="48"/>
        <v>0</v>
      </c>
      <c r="CM508" s="222">
        <f t="shared" si="49"/>
        <v>12668</v>
      </c>
      <c r="CN508" s="3" t="str">
        <f t="shared" si="50"/>
        <v>ماليزى اسنان</v>
      </c>
    </row>
    <row r="509" spans="3:92" x14ac:dyDescent="0.25">
      <c r="C509" s="223" t="s">
        <v>503</v>
      </c>
      <c r="D509" s="224">
        <v>21402</v>
      </c>
      <c r="E509" s="224">
        <v>12669</v>
      </c>
      <c r="F509" s="250" t="s">
        <v>121</v>
      </c>
      <c r="G509" s="223" t="s">
        <v>5313</v>
      </c>
      <c r="I509" s="223">
        <v>4455.5</v>
      </c>
      <c r="AV509" s="22">
        <f t="shared" si="51"/>
        <v>4455.5</v>
      </c>
      <c r="AW509" s="223">
        <v>2977.35</v>
      </c>
      <c r="AX509" s="223">
        <v>404.65</v>
      </c>
      <c r="AY509" s="223">
        <v>1073.5</v>
      </c>
      <c r="CK509" s="22">
        <f t="shared" si="47"/>
        <v>4455.5</v>
      </c>
      <c r="CL509" s="3">
        <f t="shared" si="48"/>
        <v>0</v>
      </c>
      <c r="CM509" s="222">
        <f t="shared" si="49"/>
        <v>12669</v>
      </c>
      <c r="CN509" s="3" t="str">
        <f t="shared" si="50"/>
        <v>ماليزى اسنان</v>
      </c>
    </row>
    <row r="510" spans="3:92" x14ac:dyDescent="0.25">
      <c r="C510" s="223" t="s">
        <v>503</v>
      </c>
      <c r="D510" s="224">
        <v>21002</v>
      </c>
      <c r="E510" s="224">
        <v>12670</v>
      </c>
      <c r="F510" s="250" t="s">
        <v>121</v>
      </c>
      <c r="G510" s="223" t="s">
        <v>5314</v>
      </c>
      <c r="I510" s="223">
        <v>33452.160000000003</v>
      </c>
      <c r="AV510" s="22">
        <f t="shared" si="51"/>
        <v>33452.160000000003</v>
      </c>
      <c r="AW510" s="223">
        <v>26360.92</v>
      </c>
      <c r="AX510" s="223">
        <v>3321.05</v>
      </c>
      <c r="AY510" s="223">
        <v>3770.19</v>
      </c>
      <c r="CK510" s="22">
        <f t="shared" si="47"/>
        <v>33452.159999999996</v>
      </c>
      <c r="CL510" s="3">
        <f t="shared" si="48"/>
        <v>0</v>
      </c>
      <c r="CM510" s="222">
        <f t="shared" si="49"/>
        <v>12670</v>
      </c>
      <c r="CN510" s="3" t="str">
        <f t="shared" si="50"/>
        <v>ماليزى اسنان</v>
      </c>
    </row>
    <row r="511" spans="3:92" x14ac:dyDescent="0.25">
      <c r="C511" s="223" t="s">
        <v>503</v>
      </c>
      <c r="D511" s="224">
        <v>20991</v>
      </c>
      <c r="E511" s="224">
        <v>12671</v>
      </c>
      <c r="F511" s="250" t="s">
        <v>121</v>
      </c>
      <c r="G511" s="223" t="s">
        <v>5275</v>
      </c>
      <c r="I511" s="223">
        <v>820.76</v>
      </c>
      <c r="AV511" s="22">
        <f t="shared" si="51"/>
        <v>820.76</v>
      </c>
      <c r="AW511" s="223">
        <v>549.6</v>
      </c>
      <c r="AX511" s="223">
        <v>73.400000000000006</v>
      </c>
      <c r="AY511" s="223">
        <v>197.76</v>
      </c>
      <c r="CK511" s="22">
        <f t="shared" si="47"/>
        <v>820.76</v>
      </c>
      <c r="CL511" s="3">
        <f t="shared" si="48"/>
        <v>0</v>
      </c>
      <c r="CM511" s="222">
        <f t="shared" si="49"/>
        <v>12671</v>
      </c>
      <c r="CN511" s="3" t="str">
        <f t="shared" si="50"/>
        <v>ماليزى اسنان</v>
      </c>
    </row>
    <row r="512" spans="3:92" x14ac:dyDescent="0.25">
      <c r="C512" s="223" t="s">
        <v>503</v>
      </c>
      <c r="D512" s="224">
        <v>21003</v>
      </c>
      <c r="E512" s="224">
        <v>12672</v>
      </c>
      <c r="F512" s="250" t="s">
        <v>121</v>
      </c>
      <c r="G512" s="223" t="s">
        <v>5275</v>
      </c>
      <c r="I512" s="223">
        <v>2051.9</v>
      </c>
      <c r="AV512" s="22">
        <f t="shared" si="51"/>
        <v>2051.9</v>
      </c>
      <c r="AW512" s="223">
        <v>1374</v>
      </c>
      <c r="AX512" s="223">
        <v>183.5</v>
      </c>
      <c r="AY512" s="223">
        <v>494.4</v>
      </c>
      <c r="CK512" s="22">
        <f t="shared" si="47"/>
        <v>2051.9</v>
      </c>
      <c r="CL512" s="3">
        <f t="shared" si="48"/>
        <v>0</v>
      </c>
      <c r="CM512" s="222">
        <f t="shared" si="49"/>
        <v>12672</v>
      </c>
      <c r="CN512" s="3" t="str">
        <f t="shared" si="50"/>
        <v>ماليزى اسنان</v>
      </c>
    </row>
    <row r="513" spans="2:92" x14ac:dyDescent="0.25">
      <c r="C513" s="223" t="s">
        <v>503</v>
      </c>
      <c r="D513" s="224">
        <v>20992</v>
      </c>
      <c r="E513" s="224">
        <v>12673</v>
      </c>
      <c r="F513" s="250" t="s">
        <v>121</v>
      </c>
      <c r="G513" s="223" t="str">
        <f>+G472</f>
        <v>ج قسم الخزينه مايو</v>
      </c>
      <c r="I513" s="223">
        <v>2051.88</v>
      </c>
      <c r="AV513" s="22">
        <f t="shared" si="51"/>
        <v>2051.88</v>
      </c>
      <c r="AW513" s="223">
        <v>1372.9</v>
      </c>
      <c r="AX513" s="223">
        <v>184.6</v>
      </c>
      <c r="AY513" s="223">
        <v>494.38</v>
      </c>
      <c r="CK513" s="22">
        <f t="shared" si="47"/>
        <v>2051.88</v>
      </c>
      <c r="CL513" s="3">
        <f t="shared" si="48"/>
        <v>0</v>
      </c>
      <c r="CM513" s="222">
        <f t="shared" si="49"/>
        <v>12673</v>
      </c>
      <c r="CN513" s="3" t="str">
        <f t="shared" si="50"/>
        <v>ماليزى اسنان</v>
      </c>
    </row>
    <row r="514" spans="2:92" x14ac:dyDescent="0.25">
      <c r="B514" s="223" t="s">
        <v>599</v>
      </c>
      <c r="C514" s="223" t="s">
        <v>503</v>
      </c>
      <c r="D514" s="224">
        <v>21039</v>
      </c>
      <c r="E514" s="224">
        <v>12674</v>
      </c>
      <c r="F514" s="250" t="s">
        <v>121</v>
      </c>
      <c r="G514" s="223" t="s">
        <v>5315</v>
      </c>
      <c r="I514" s="223">
        <v>1465.62</v>
      </c>
      <c r="AV514" s="22">
        <f t="shared" si="51"/>
        <v>1465.62</v>
      </c>
      <c r="AW514" s="223">
        <v>979.5</v>
      </c>
      <c r="AX514" s="223">
        <v>133</v>
      </c>
      <c r="AY514" s="223">
        <v>353.12</v>
      </c>
      <c r="CK514" s="22">
        <f t="shared" si="47"/>
        <v>1465.62</v>
      </c>
      <c r="CL514" s="3">
        <f t="shared" si="48"/>
        <v>0</v>
      </c>
      <c r="CM514" s="222">
        <f t="shared" si="49"/>
        <v>12674</v>
      </c>
      <c r="CN514" s="3" t="str">
        <f t="shared" si="50"/>
        <v>ماليزى اسنان</v>
      </c>
    </row>
    <row r="515" spans="2:92" x14ac:dyDescent="0.25">
      <c r="B515" s="223" t="s">
        <v>599</v>
      </c>
      <c r="C515" s="223" t="s">
        <v>503</v>
      </c>
      <c r="D515" s="224">
        <v>21038</v>
      </c>
      <c r="E515" s="224">
        <v>12675</v>
      </c>
      <c r="F515" s="250" t="s">
        <v>121</v>
      </c>
      <c r="G515" s="223" t="s">
        <v>5316</v>
      </c>
      <c r="I515" s="223">
        <v>19020.3</v>
      </c>
      <c r="AV515" s="22">
        <f t="shared" si="51"/>
        <v>19020.3</v>
      </c>
      <c r="AW515" s="223">
        <v>14278.5</v>
      </c>
      <c r="AX515" s="223">
        <v>1842.6</v>
      </c>
      <c r="AY515" s="226">
        <v>2899.2</v>
      </c>
      <c r="CK515" s="22">
        <f t="shared" si="47"/>
        <v>19020.3</v>
      </c>
      <c r="CL515" s="3">
        <f t="shared" si="48"/>
        <v>0</v>
      </c>
      <c r="CM515" s="222">
        <f t="shared" si="49"/>
        <v>12675</v>
      </c>
      <c r="CN515" s="3" t="str">
        <f t="shared" si="50"/>
        <v>ماليزى اسنان</v>
      </c>
    </row>
    <row r="516" spans="2:92" x14ac:dyDescent="0.25">
      <c r="C516" s="223" t="s">
        <v>566</v>
      </c>
      <c r="D516" s="224">
        <v>20543</v>
      </c>
      <c r="E516" s="224">
        <v>12676</v>
      </c>
      <c r="F516" s="250" t="s">
        <v>78</v>
      </c>
      <c r="G516" s="223" t="s">
        <v>5317</v>
      </c>
      <c r="I516" s="223">
        <v>6906.56</v>
      </c>
      <c r="AV516" s="22">
        <f t="shared" si="51"/>
        <v>6906.56</v>
      </c>
      <c r="AW516" s="223">
        <v>6110.44</v>
      </c>
      <c r="AX516" s="223">
        <v>736.25</v>
      </c>
      <c r="AY516" s="223">
        <v>59.87</v>
      </c>
      <c r="CK516" s="22">
        <f t="shared" si="47"/>
        <v>6906.5599999999995</v>
      </c>
      <c r="CL516" s="3">
        <f t="shared" si="48"/>
        <v>0</v>
      </c>
      <c r="CM516" s="222">
        <f t="shared" si="49"/>
        <v>12676</v>
      </c>
      <c r="CN516" s="3" t="str">
        <f t="shared" si="50"/>
        <v>برنامج دولى</v>
      </c>
    </row>
    <row r="517" spans="2:92" x14ac:dyDescent="0.25">
      <c r="C517" s="223">
        <v>48</v>
      </c>
      <c r="D517" s="224">
        <v>20544</v>
      </c>
      <c r="E517" s="224">
        <v>12677</v>
      </c>
      <c r="F517" s="250" t="s">
        <v>78</v>
      </c>
      <c r="G517" s="223" t="s">
        <v>5317</v>
      </c>
      <c r="I517" s="223">
        <v>1055.25</v>
      </c>
      <c r="AV517" s="22">
        <f t="shared" si="51"/>
        <v>1055.25</v>
      </c>
      <c r="AW517" s="223">
        <v>706.7</v>
      </c>
      <c r="AX517" s="223">
        <v>94.3</v>
      </c>
      <c r="AY517" s="223">
        <v>254.25</v>
      </c>
      <c r="CK517" s="22">
        <f t="shared" si="47"/>
        <v>1055.25</v>
      </c>
      <c r="CL517" s="3">
        <f t="shared" si="48"/>
        <v>0</v>
      </c>
      <c r="CM517" s="222">
        <f t="shared" si="49"/>
        <v>12677</v>
      </c>
      <c r="CN517" s="3" t="str">
        <f t="shared" si="50"/>
        <v>برنامج دولى</v>
      </c>
    </row>
    <row r="518" spans="2:92" x14ac:dyDescent="0.25">
      <c r="C518" s="223">
        <v>49</v>
      </c>
      <c r="D518" s="224">
        <v>20542</v>
      </c>
      <c r="E518" s="224">
        <v>12678</v>
      </c>
      <c r="F518" s="250" t="s">
        <v>78</v>
      </c>
      <c r="G518" s="223" t="s">
        <v>565</v>
      </c>
      <c r="I518" s="223">
        <v>25837.360000000001</v>
      </c>
      <c r="AV518" s="22">
        <f t="shared" si="51"/>
        <v>25837.360000000001</v>
      </c>
      <c r="AW518" s="223">
        <v>22747.25</v>
      </c>
      <c r="AX518" s="223">
        <v>2734.15</v>
      </c>
      <c r="AY518" s="223">
        <v>355.96</v>
      </c>
      <c r="CK518" s="22">
        <f t="shared" si="47"/>
        <v>25837.360000000001</v>
      </c>
      <c r="CL518" s="3">
        <f t="shared" si="48"/>
        <v>0</v>
      </c>
      <c r="CM518" s="222">
        <f t="shared" si="49"/>
        <v>12678</v>
      </c>
      <c r="CN518" s="3" t="str">
        <f t="shared" si="50"/>
        <v>برنامج دولى</v>
      </c>
    </row>
    <row r="519" spans="2:92" x14ac:dyDescent="0.25">
      <c r="C519" s="223">
        <v>50</v>
      </c>
      <c r="D519" s="224">
        <v>20541</v>
      </c>
      <c r="E519" s="224">
        <v>12679</v>
      </c>
      <c r="F519" s="250" t="s">
        <v>78</v>
      </c>
      <c r="G519" s="223" t="s">
        <v>565</v>
      </c>
      <c r="I519" s="223">
        <v>1440</v>
      </c>
      <c r="AV519" s="22">
        <f t="shared" si="51"/>
        <v>1440</v>
      </c>
      <c r="AW519" s="223">
        <v>1287.6500000000001</v>
      </c>
      <c r="AX519" s="223">
        <v>152.35</v>
      </c>
      <c r="CK519" s="22">
        <f t="shared" si="47"/>
        <v>1440</v>
      </c>
      <c r="CL519" s="3">
        <f t="shared" si="48"/>
        <v>0</v>
      </c>
      <c r="CM519" s="222">
        <f t="shared" si="49"/>
        <v>12679</v>
      </c>
      <c r="CN519" s="3" t="str">
        <f t="shared" si="50"/>
        <v>برنامج دولى</v>
      </c>
    </row>
    <row r="520" spans="2:92" x14ac:dyDescent="0.25">
      <c r="C520" s="223">
        <v>51</v>
      </c>
      <c r="D520" s="224">
        <v>20537</v>
      </c>
      <c r="E520" s="224">
        <v>12680</v>
      </c>
      <c r="F520" s="250" t="s">
        <v>78</v>
      </c>
      <c r="G520" s="223" t="s">
        <v>565</v>
      </c>
      <c r="I520" s="223">
        <v>5760</v>
      </c>
      <c r="AV520" s="22">
        <f t="shared" si="51"/>
        <v>5760</v>
      </c>
      <c r="AW520" s="223">
        <v>5141.5</v>
      </c>
      <c r="AX520" s="223">
        <v>618.5</v>
      </c>
      <c r="CK520" s="22">
        <f t="shared" si="47"/>
        <v>5760</v>
      </c>
      <c r="CL520" s="3">
        <f t="shared" si="48"/>
        <v>0</v>
      </c>
      <c r="CM520" s="222">
        <f t="shared" si="49"/>
        <v>12680</v>
      </c>
      <c r="CN520" s="3" t="str">
        <f t="shared" si="50"/>
        <v>برنامج دولى</v>
      </c>
    </row>
    <row r="521" spans="2:92" x14ac:dyDescent="0.25">
      <c r="C521" s="223">
        <v>52</v>
      </c>
      <c r="D521" s="224">
        <v>20538</v>
      </c>
      <c r="E521" s="224">
        <v>12681</v>
      </c>
      <c r="F521" s="250" t="s">
        <v>78</v>
      </c>
      <c r="G521" s="223" t="s">
        <v>565</v>
      </c>
      <c r="I521" s="223">
        <v>5760</v>
      </c>
      <c r="AV521" s="22">
        <f t="shared" si="51"/>
        <v>5760</v>
      </c>
      <c r="AW521" s="223">
        <v>5141.5</v>
      </c>
      <c r="AX521" s="223">
        <v>618.5</v>
      </c>
      <c r="CK521" s="22">
        <f t="shared" si="47"/>
        <v>5760</v>
      </c>
      <c r="CL521" s="3">
        <f t="shared" si="48"/>
        <v>0</v>
      </c>
      <c r="CM521" s="222">
        <f t="shared" si="49"/>
        <v>12681</v>
      </c>
      <c r="CN521" s="3" t="str">
        <f t="shared" si="50"/>
        <v>برنامج دولى</v>
      </c>
    </row>
    <row r="522" spans="2:92" x14ac:dyDescent="0.25">
      <c r="C522" s="223">
        <v>53</v>
      </c>
      <c r="D522" s="224">
        <v>20540</v>
      </c>
      <c r="E522" s="224">
        <v>12682</v>
      </c>
      <c r="F522" s="250" t="s">
        <v>78</v>
      </c>
      <c r="G522" s="223" t="s">
        <v>565</v>
      </c>
      <c r="I522" s="223">
        <v>2251.1999999999998</v>
      </c>
      <c r="AV522" s="22">
        <f t="shared" si="51"/>
        <v>2251.1999999999998</v>
      </c>
      <c r="AW522" s="223">
        <v>1504.95</v>
      </c>
      <c r="AX522" s="223">
        <v>203.85</v>
      </c>
      <c r="AY522" s="223">
        <v>542.4</v>
      </c>
      <c r="CK522" s="22">
        <f t="shared" si="47"/>
        <v>2251.1999999999998</v>
      </c>
      <c r="CL522" s="3">
        <f t="shared" si="48"/>
        <v>0</v>
      </c>
      <c r="CM522" s="222">
        <f t="shared" si="49"/>
        <v>12682</v>
      </c>
      <c r="CN522" s="3" t="str">
        <f t="shared" si="50"/>
        <v>برنامج دولى</v>
      </c>
    </row>
    <row r="523" spans="2:92" x14ac:dyDescent="0.25">
      <c r="C523" s="223">
        <v>54</v>
      </c>
      <c r="D523" s="224">
        <v>20517</v>
      </c>
      <c r="E523" s="224">
        <v>12683</v>
      </c>
      <c r="F523" s="250" t="s">
        <v>78</v>
      </c>
      <c r="G523" s="223" t="str">
        <f>+G517</f>
        <v>عب تدريس عظام</v>
      </c>
      <c r="I523" s="223">
        <v>18795</v>
      </c>
      <c r="AV523" s="22">
        <f t="shared" si="51"/>
        <v>18795</v>
      </c>
      <c r="AW523" s="223">
        <v>16772.25</v>
      </c>
      <c r="AX523" s="223">
        <v>2022.75</v>
      </c>
      <c r="CK523" s="22">
        <f t="shared" si="47"/>
        <v>18795</v>
      </c>
      <c r="CL523" s="3">
        <f t="shared" si="48"/>
        <v>0</v>
      </c>
      <c r="CM523" s="222">
        <f t="shared" si="49"/>
        <v>12683</v>
      </c>
      <c r="CN523" s="3" t="str">
        <f t="shared" si="50"/>
        <v>برنامج دولى</v>
      </c>
    </row>
    <row r="524" spans="2:92" x14ac:dyDescent="0.25">
      <c r="C524" s="223">
        <v>55</v>
      </c>
      <c r="D524" s="224">
        <v>20518</v>
      </c>
      <c r="E524" s="224">
        <v>12684</v>
      </c>
      <c r="F524" s="250" t="s">
        <v>78</v>
      </c>
      <c r="G524" s="223" t="s">
        <v>1929</v>
      </c>
      <c r="I524" s="223">
        <v>2901.95</v>
      </c>
      <c r="AV524" s="22">
        <f t="shared" si="51"/>
        <v>2901.95</v>
      </c>
      <c r="AW524" s="223">
        <v>1941</v>
      </c>
      <c r="AX524" s="223">
        <v>261.75</v>
      </c>
      <c r="AY524" s="223">
        <v>699.2</v>
      </c>
      <c r="CK524" s="22">
        <f t="shared" si="47"/>
        <v>2901.95</v>
      </c>
      <c r="CL524" s="3">
        <f t="shared" si="48"/>
        <v>0</v>
      </c>
      <c r="CM524" s="222">
        <f t="shared" si="49"/>
        <v>12684</v>
      </c>
      <c r="CN524" s="3" t="str">
        <f t="shared" si="50"/>
        <v>برنامج دولى</v>
      </c>
    </row>
    <row r="525" spans="2:92" x14ac:dyDescent="0.25">
      <c r="C525" s="223">
        <v>56</v>
      </c>
      <c r="D525" s="224">
        <v>20522</v>
      </c>
      <c r="E525" s="224">
        <v>12685</v>
      </c>
      <c r="F525" s="250" t="s">
        <v>78</v>
      </c>
      <c r="G525" s="223" t="s">
        <v>2772</v>
      </c>
      <c r="I525" s="223">
        <v>3420</v>
      </c>
      <c r="AV525" s="22">
        <f t="shared" si="51"/>
        <v>3420</v>
      </c>
      <c r="AW525" s="223">
        <v>3056.35</v>
      </c>
      <c r="AX525" s="223">
        <v>363.65</v>
      </c>
      <c r="CK525" s="22">
        <f t="shared" si="47"/>
        <v>3420</v>
      </c>
      <c r="CL525" s="3">
        <f t="shared" si="48"/>
        <v>0</v>
      </c>
      <c r="CM525" s="222">
        <f t="shared" si="49"/>
        <v>12685</v>
      </c>
      <c r="CN525" s="3" t="str">
        <f t="shared" si="50"/>
        <v>برنامج دولى</v>
      </c>
    </row>
    <row r="526" spans="2:92" x14ac:dyDescent="0.25">
      <c r="C526" s="223">
        <v>57</v>
      </c>
      <c r="D526" s="224">
        <v>20527</v>
      </c>
      <c r="E526" s="224">
        <v>12686</v>
      </c>
      <c r="F526" s="250" t="s">
        <v>78</v>
      </c>
      <c r="G526" s="223" t="s">
        <v>3309</v>
      </c>
      <c r="I526" s="223">
        <v>10740</v>
      </c>
      <c r="AV526" s="22">
        <f t="shared" si="51"/>
        <v>10740</v>
      </c>
      <c r="AW526" s="223">
        <v>9591.0499999999993</v>
      </c>
      <c r="AX526" s="223">
        <v>1148.95</v>
      </c>
      <c r="CK526" s="22">
        <f t="shared" si="47"/>
        <v>10740</v>
      </c>
      <c r="CL526" s="3">
        <f t="shared" si="48"/>
        <v>0</v>
      </c>
      <c r="CM526" s="222">
        <f t="shared" si="49"/>
        <v>12686</v>
      </c>
      <c r="CN526" s="3" t="str">
        <f t="shared" si="50"/>
        <v>برنامج دولى</v>
      </c>
    </row>
    <row r="527" spans="2:92" x14ac:dyDescent="0.25">
      <c r="C527" s="223">
        <v>58</v>
      </c>
      <c r="D527" s="224">
        <v>20524</v>
      </c>
      <c r="E527" s="224">
        <v>12687</v>
      </c>
      <c r="F527" s="250" t="s">
        <v>78</v>
      </c>
      <c r="G527" s="223" t="s">
        <v>3309</v>
      </c>
      <c r="I527" s="223">
        <v>703.5</v>
      </c>
      <c r="AV527" s="22">
        <f t="shared" si="51"/>
        <v>703.5</v>
      </c>
      <c r="AW527" s="223">
        <v>470.6</v>
      </c>
      <c r="AX527" s="223">
        <v>63.4</v>
      </c>
      <c r="AY527" s="223">
        <v>169.5</v>
      </c>
      <c r="CK527" s="22">
        <f t="shared" si="47"/>
        <v>703.5</v>
      </c>
      <c r="CL527" s="3">
        <f t="shared" si="48"/>
        <v>0</v>
      </c>
      <c r="CM527" s="222">
        <f t="shared" si="49"/>
        <v>12687</v>
      </c>
      <c r="CN527" s="3" t="str">
        <f t="shared" si="50"/>
        <v>برنامج دولى</v>
      </c>
    </row>
    <row r="528" spans="2:92" x14ac:dyDescent="0.25">
      <c r="C528" s="223">
        <v>59</v>
      </c>
      <c r="D528" s="224">
        <v>20523</v>
      </c>
      <c r="E528" s="224">
        <v>12688</v>
      </c>
      <c r="F528" s="250" t="s">
        <v>78</v>
      </c>
      <c r="G528" s="223" t="s">
        <v>3309</v>
      </c>
      <c r="I528" s="223">
        <v>351.75</v>
      </c>
      <c r="AV528" s="22">
        <f t="shared" si="51"/>
        <v>351.75</v>
      </c>
      <c r="AW528" s="223">
        <v>235.55</v>
      </c>
      <c r="AX528" s="223">
        <f>1.45+30</f>
        <v>31.45</v>
      </c>
      <c r="AY528" s="226">
        <f>116.2-AX528</f>
        <v>84.75</v>
      </c>
      <c r="CK528" s="22">
        <f t="shared" si="47"/>
        <v>351.75</v>
      </c>
      <c r="CL528" s="3">
        <f t="shared" si="48"/>
        <v>0</v>
      </c>
      <c r="CM528" s="222">
        <f t="shared" si="49"/>
        <v>12688</v>
      </c>
      <c r="CN528" s="3" t="str">
        <f t="shared" si="50"/>
        <v>برنامج دولى</v>
      </c>
    </row>
    <row r="529" spans="3:92" x14ac:dyDescent="0.25">
      <c r="C529" s="223">
        <v>60</v>
      </c>
      <c r="D529" s="224">
        <v>20526</v>
      </c>
      <c r="E529" s="224">
        <v>12689</v>
      </c>
      <c r="F529" s="250" t="s">
        <v>78</v>
      </c>
      <c r="G529" s="223" t="s">
        <v>3309</v>
      </c>
      <c r="I529" s="223">
        <v>2640</v>
      </c>
      <c r="AV529" s="22">
        <f t="shared" si="51"/>
        <v>2640</v>
      </c>
      <c r="AW529" s="223">
        <v>2358.85</v>
      </c>
      <c r="AX529" s="223">
        <v>281.14999999999998</v>
      </c>
      <c r="CK529" s="22">
        <f t="shared" si="47"/>
        <v>2640</v>
      </c>
      <c r="CL529" s="3">
        <f t="shared" si="48"/>
        <v>0</v>
      </c>
      <c r="CM529" s="222">
        <f t="shared" si="49"/>
        <v>12689</v>
      </c>
      <c r="CN529" s="3" t="str">
        <f t="shared" si="50"/>
        <v>برنامج دولى</v>
      </c>
    </row>
    <row r="530" spans="3:92" x14ac:dyDescent="0.25">
      <c r="C530" s="223">
        <v>61</v>
      </c>
      <c r="D530" s="224">
        <v>20531</v>
      </c>
      <c r="E530" s="224">
        <v>12690</v>
      </c>
      <c r="F530" s="250" t="s">
        <v>78</v>
      </c>
      <c r="G530" s="223" t="s">
        <v>5318</v>
      </c>
      <c r="I530" s="223">
        <v>29280</v>
      </c>
      <c r="AV530" s="22">
        <f t="shared" si="51"/>
        <v>29280</v>
      </c>
      <c r="AW530" s="223">
        <v>26156.55</v>
      </c>
      <c r="AX530" s="223">
        <v>3123.45</v>
      </c>
      <c r="CK530" s="22">
        <f t="shared" si="47"/>
        <v>29280</v>
      </c>
      <c r="CL530" s="3">
        <f t="shared" si="48"/>
        <v>0</v>
      </c>
      <c r="CM530" s="222">
        <f t="shared" si="49"/>
        <v>12690</v>
      </c>
      <c r="CN530" s="3" t="str">
        <f t="shared" si="50"/>
        <v>برنامج دولى</v>
      </c>
    </row>
    <row r="531" spans="3:92" x14ac:dyDescent="0.25">
      <c r="C531" s="223">
        <v>62</v>
      </c>
      <c r="D531" s="224">
        <v>20528</v>
      </c>
      <c r="E531" s="224">
        <v>12691</v>
      </c>
      <c r="F531" s="250" t="s">
        <v>78</v>
      </c>
      <c r="G531" s="223" t="s">
        <v>5318</v>
      </c>
      <c r="I531" s="223">
        <v>46560</v>
      </c>
      <c r="AV531" s="22">
        <f t="shared" si="51"/>
        <v>46560</v>
      </c>
      <c r="AW531" s="223">
        <v>41616</v>
      </c>
      <c r="AX531" s="223">
        <v>4944</v>
      </c>
      <c r="CK531" s="22">
        <f t="shared" si="47"/>
        <v>46560</v>
      </c>
      <c r="CL531" s="3">
        <f t="shared" si="48"/>
        <v>0</v>
      </c>
      <c r="CM531" s="222">
        <f t="shared" si="49"/>
        <v>12691</v>
      </c>
      <c r="CN531" s="3" t="str">
        <f t="shared" si="50"/>
        <v>برنامج دولى</v>
      </c>
    </row>
    <row r="532" spans="3:92" x14ac:dyDescent="0.25">
      <c r="C532" s="223">
        <v>63</v>
      </c>
      <c r="D532" s="224">
        <v>20539</v>
      </c>
      <c r="E532" s="224">
        <v>12692</v>
      </c>
      <c r="F532" s="250" t="s">
        <v>78</v>
      </c>
      <c r="G532" s="223" t="str">
        <f>+G519</f>
        <v>عب تدريس طب شرعى</v>
      </c>
      <c r="I532" s="223">
        <v>5760</v>
      </c>
      <c r="AV532" s="22">
        <f t="shared" si="51"/>
        <v>5760</v>
      </c>
      <c r="AW532" s="223">
        <v>5141.5</v>
      </c>
      <c r="AX532" s="223">
        <v>618.5</v>
      </c>
      <c r="CK532" s="22">
        <f t="shared" si="47"/>
        <v>5760</v>
      </c>
      <c r="CL532" s="3">
        <f t="shared" si="48"/>
        <v>0</v>
      </c>
      <c r="CM532" s="222">
        <f t="shared" si="49"/>
        <v>12692</v>
      </c>
      <c r="CN532" s="3" t="str">
        <f t="shared" si="50"/>
        <v>برنامج دولى</v>
      </c>
    </row>
    <row r="533" spans="3:92" x14ac:dyDescent="0.25">
      <c r="C533" s="223" t="s">
        <v>566</v>
      </c>
      <c r="D533" s="224">
        <v>20895</v>
      </c>
      <c r="E533" s="224">
        <v>12693</v>
      </c>
      <c r="F533" s="250" t="s">
        <v>78</v>
      </c>
      <c r="G533" s="223" t="s">
        <v>854</v>
      </c>
      <c r="I533" s="223">
        <v>4423.8999999999996</v>
      </c>
      <c r="AV533" s="22">
        <f t="shared" si="51"/>
        <v>4423.8999999999996</v>
      </c>
      <c r="AW533" s="223">
        <v>3914.25</v>
      </c>
      <c r="AX533" s="223">
        <v>470.5</v>
      </c>
      <c r="AY533" s="223">
        <v>39.15</v>
      </c>
      <c r="CK533" s="22">
        <f t="shared" si="47"/>
        <v>4423.8999999999996</v>
      </c>
      <c r="CL533" s="3">
        <f t="shared" si="48"/>
        <v>0</v>
      </c>
      <c r="CM533" s="222">
        <f t="shared" si="49"/>
        <v>12693</v>
      </c>
      <c r="CN533" s="3" t="str">
        <f t="shared" si="50"/>
        <v>برنامج دولى</v>
      </c>
    </row>
    <row r="534" spans="3:92" x14ac:dyDescent="0.25">
      <c r="C534" s="223" t="s">
        <v>566</v>
      </c>
      <c r="D534" s="224">
        <v>20894</v>
      </c>
      <c r="E534" s="224">
        <v>12694</v>
      </c>
      <c r="F534" s="250" t="s">
        <v>78</v>
      </c>
      <c r="G534" s="223" t="s">
        <v>854</v>
      </c>
      <c r="I534" s="223">
        <v>3300</v>
      </c>
      <c r="AV534" s="22">
        <f t="shared" si="51"/>
        <v>3300</v>
      </c>
      <c r="AW534" s="223">
        <v>2948.3</v>
      </c>
      <c r="AX534" s="223">
        <v>351.7</v>
      </c>
      <c r="CK534" s="22">
        <f t="shared" ref="CK534:CK597" si="52">SUM(AW534:CJ534)</f>
        <v>3300</v>
      </c>
      <c r="CL534" s="3">
        <f t="shared" ref="CL534:CL597" si="53">+CK534-AV534</f>
        <v>0</v>
      </c>
      <c r="CM534" s="222">
        <f t="shared" ref="CM534:CM597" si="54">+E534</f>
        <v>12694</v>
      </c>
      <c r="CN534" s="3" t="str">
        <f t="shared" ref="CN534:CN597" si="55">+F534</f>
        <v>برنامج دولى</v>
      </c>
    </row>
    <row r="535" spans="3:92" x14ac:dyDescent="0.25">
      <c r="C535" s="223" t="s">
        <v>566</v>
      </c>
      <c r="D535" s="224">
        <v>20636</v>
      </c>
      <c r="E535" s="224">
        <v>12695</v>
      </c>
      <c r="F535" s="250" t="s">
        <v>78</v>
      </c>
      <c r="G535" s="223" t="s">
        <v>5319</v>
      </c>
      <c r="I535" s="223">
        <v>179.31</v>
      </c>
      <c r="AV535" s="22">
        <f t="shared" si="51"/>
        <v>179.31</v>
      </c>
      <c r="AW535" s="223">
        <v>155.03</v>
      </c>
      <c r="AX535" s="223">
        <v>17.22</v>
      </c>
      <c r="AY535" s="223">
        <v>7.06</v>
      </c>
      <c r="CK535" s="22">
        <f t="shared" si="52"/>
        <v>179.31</v>
      </c>
      <c r="CL535" s="3">
        <f t="shared" si="53"/>
        <v>0</v>
      </c>
      <c r="CM535" s="222">
        <f t="shared" si="54"/>
        <v>12695</v>
      </c>
      <c r="CN535" s="3" t="str">
        <f t="shared" si="55"/>
        <v>برنامج دولى</v>
      </c>
    </row>
    <row r="536" spans="3:92" x14ac:dyDescent="0.25">
      <c r="C536" s="223" t="s">
        <v>566</v>
      </c>
      <c r="D536" s="224">
        <v>20890</v>
      </c>
      <c r="E536" s="224">
        <v>12696</v>
      </c>
      <c r="F536" s="250" t="s">
        <v>78</v>
      </c>
      <c r="G536" s="223" t="s">
        <v>1202</v>
      </c>
      <c r="I536" s="223">
        <v>1582.88</v>
      </c>
      <c r="AV536" s="22">
        <f t="shared" si="51"/>
        <v>1582.88</v>
      </c>
      <c r="AW536" s="223">
        <v>1060.5</v>
      </c>
      <c r="AX536" s="223">
        <f>6+135</f>
        <v>141</v>
      </c>
      <c r="AY536" s="223">
        <f>522.38-AX536</f>
        <v>381.38</v>
      </c>
      <c r="CK536" s="22">
        <f t="shared" si="52"/>
        <v>1582.88</v>
      </c>
      <c r="CL536" s="3">
        <f t="shared" si="53"/>
        <v>0</v>
      </c>
      <c r="CM536" s="222">
        <f t="shared" si="54"/>
        <v>12696</v>
      </c>
      <c r="CN536" s="3" t="str">
        <f t="shared" si="55"/>
        <v>برنامج دولى</v>
      </c>
    </row>
    <row r="537" spans="3:92" x14ac:dyDescent="0.25">
      <c r="C537" s="223" t="s">
        <v>566</v>
      </c>
      <c r="D537" s="224">
        <v>20478</v>
      </c>
      <c r="E537" s="224">
        <v>12697</v>
      </c>
      <c r="F537" s="250" t="s">
        <v>78</v>
      </c>
      <c r="G537" s="223" t="s">
        <v>1202</v>
      </c>
      <c r="I537" s="223">
        <v>39190.54</v>
      </c>
      <c r="AV537" s="22">
        <f t="shared" si="51"/>
        <v>39190.54</v>
      </c>
      <c r="AW537" s="223">
        <v>34801.449999999997</v>
      </c>
      <c r="AX537" s="223">
        <v>4175.3</v>
      </c>
      <c r="AY537" s="223">
        <v>213.79</v>
      </c>
      <c r="CK537" s="22">
        <f t="shared" si="52"/>
        <v>39190.54</v>
      </c>
      <c r="CL537" s="3">
        <f t="shared" si="53"/>
        <v>0</v>
      </c>
      <c r="CM537" s="222">
        <f t="shared" si="54"/>
        <v>12697</v>
      </c>
      <c r="CN537" s="3" t="str">
        <f t="shared" si="55"/>
        <v>برنامج دولى</v>
      </c>
    </row>
    <row r="538" spans="3:92" x14ac:dyDescent="0.25">
      <c r="C538" s="223" t="s">
        <v>566</v>
      </c>
      <c r="D538" s="224">
        <v>20477</v>
      </c>
      <c r="E538" s="224">
        <v>12698</v>
      </c>
      <c r="F538" s="250" t="s">
        <v>78</v>
      </c>
      <c r="G538" s="223" t="s">
        <v>1202</v>
      </c>
      <c r="I538" s="223">
        <v>6300</v>
      </c>
      <c r="AV538" s="22">
        <f t="shared" si="51"/>
        <v>6300</v>
      </c>
      <c r="AW538" s="223">
        <v>5629.95</v>
      </c>
      <c r="AX538" s="223">
        <v>670.05</v>
      </c>
      <c r="CK538" s="22">
        <f t="shared" si="52"/>
        <v>6300</v>
      </c>
      <c r="CL538" s="3">
        <f t="shared" si="53"/>
        <v>0</v>
      </c>
      <c r="CM538" s="222">
        <f t="shared" si="54"/>
        <v>12698</v>
      </c>
      <c r="CN538" s="3" t="str">
        <f t="shared" si="55"/>
        <v>برنامج دولى</v>
      </c>
    </row>
    <row r="539" spans="3:92" x14ac:dyDescent="0.25">
      <c r="C539" s="223" t="s">
        <v>566</v>
      </c>
      <c r="D539" s="224">
        <v>20479</v>
      </c>
      <c r="E539" s="224">
        <v>12699</v>
      </c>
      <c r="F539" s="250" t="s">
        <v>78</v>
      </c>
      <c r="G539" s="223" t="s">
        <v>1202</v>
      </c>
      <c r="I539" s="223">
        <v>35.18</v>
      </c>
      <c r="AV539" s="22">
        <f t="shared" si="51"/>
        <v>35.18</v>
      </c>
      <c r="AW539" s="223">
        <v>23.7</v>
      </c>
      <c r="AX539" s="223">
        <v>3</v>
      </c>
      <c r="AY539" s="223">
        <v>8.48</v>
      </c>
      <c r="CK539" s="22">
        <f t="shared" si="52"/>
        <v>35.18</v>
      </c>
      <c r="CL539" s="3">
        <f t="shared" si="53"/>
        <v>0</v>
      </c>
      <c r="CM539" s="222">
        <f t="shared" si="54"/>
        <v>12699</v>
      </c>
      <c r="CN539" s="3" t="str">
        <f t="shared" si="55"/>
        <v>برنامج دولى</v>
      </c>
    </row>
    <row r="540" spans="3:92" x14ac:dyDescent="0.25">
      <c r="C540" s="223" t="s">
        <v>566</v>
      </c>
      <c r="D540" s="224">
        <v>20480</v>
      </c>
      <c r="E540" s="224">
        <v>12700</v>
      </c>
      <c r="F540" s="250" t="s">
        <v>78</v>
      </c>
      <c r="G540" s="223" t="s">
        <v>1202</v>
      </c>
      <c r="I540" s="223">
        <v>1266.3</v>
      </c>
      <c r="AV540" s="22">
        <f t="shared" si="51"/>
        <v>1266.3</v>
      </c>
      <c r="AW540" s="223">
        <v>845.8</v>
      </c>
      <c r="AX540" s="223">
        <f>7.4+108</f>
        <v>115.4</v>
      </c>
      <c r="AY540" s="223">
        <f>420.5-AX540</f>
        <v>305.10000000000002</v>
      </c>
      <c r="CK540" s="22">
        <f t="shared" si="52"/>
        <v>1266.3</v>
      </c>
      <c r="CL540" s="3">
        <f t="shared" si="53"/>
        <v>0</v>
      </c>
      <c r="CM540" s="222">
        <f t="shared" si="54"/>
        <v>12700</v>
      </c>
      <c r="CN540" s="3" t="str">
        <f t="shared" si="55"/>
        <v>برنامج دولى</v>
      </c>
    </row>
    <row r="541" spans="3:92" x14ac:dyDescent="0.25">
      <c r="C541" s="223" t="s">
        <v>566</v>
      </c>
      <c r="D541" s="224">
        <v>20483</v>
      </c>
      <c r="E541" s="224">
        <v>12701</v>
      </c>
      <c r="F541" s="250" t="s">
        <v>78</v>
      </c>
      <c r="G541" s="223" t="s">
        <v>360</v>
      </c>
      <c r="I541" s="223">
        <v>8116.58</v>
      </c>
      <c r="AV541" s="22">
        <f t="shared" si="51"/>
        <v>8116.58</v>
      </c>
      <c r="AW541" s="223">
        <v>7174.8</v>
      </c>
      <c r="AX541" s="223">
        <v>865.5</v>
      </c>
      <c r="AY541" s="223">
        <v>76.28</v>
      </c>
      <c r="CK541" s="22">
        <f t="shared" si="52"/>
        <v>8116.58</v>
      </c>
      <c r="CL541" s="3">
        <f t="shared" si="53"/>
        <v>0</v>
      </c>
      <c r="CM541" s="222">
        <f t="shared" si="54"/>
        <v>12701</v>
      </c>
      <c r="CN541" s="3" t="str">
        <f t="shared" si="55"/>
        <v>برنامج دولى</v>
      </c>
    </row>
    <row r="542" spans="3:92" x14ac:dyDescent="0.25">
      <c r="C542" s="223" t="s">
        <v>566</v>
      </c>
      <c r="D542" s="224">
        <v>20482</v>
      </c>
      <c r="E542" s="224">
        <v>12702</v>
      </c>
      <c r="F542" s="250" t="s">
        <v>78</v>
      </c>
      <c r="G542" s="223" t="s">
        <v>360</v>
      </c>
      <c r="I542" s="223">
        <v>351.75</v>
      </c>
      <c r="AV542" s="22">
        <f t="shared" si="51"/>
        <v>351.75</v>
      </c>
      <c r="AW542" s="223">
        <v>236.2</v>
      </c>
      <c r="AX542" s="223">
        <v>30.8</v>
      </c>
      <c r="AY542" s="223">
        <v>84.75</v>
      </c>
      <c r="CK542" s="22">
        <f t="shared" si="52"/>
        <v>351.75</v>
      </c>
      <c r="CL542" s="3">
        <f t="shared" si="53"/>
        <v>0</v>
      </c>
      <c r="CM542" s="222">
        <f t="shared" si="54"/>
        <v>12702</v>
      </c>
      <c r="CN542" s="3" t="str">
        <f t="shared" si="55"/>
        <v>برنامج دولى</v>
      </c>
    </row>
    <row r="543" spans="3:92" x14ac:dyDescent="0.25">
      <c r="C543" s="223" t="s">
        <v>566</v>
      </c>
      <c r="D543" s="224">
        <v>20892</v>
      </c>
      <c r="E543" s="224">
        <v>12703</v>
      </c>
      <c r="F543" s="250" t="s">
        <v>78</v>
      </c>
      <c r="G543" s="223" t="s">
        <v>3926</v>
      </c>
      <c r="I543" s="223">
        <v>2250</v>
      </c>
      <c r="AV543" s="22">
        <f t="shared" si="51"/>
        <v>2250</v>
      </c>
      <c r="AW543" s="223">
        <v>2012</v>
      </c>
      <c r="AX543" s="223">
        <v>238</v>
      </c>
      <c r="CK543" s="22">
        <f t="shared" si="52"/>
        <v>2250</v>
      </c>
      <c r="CL543" s="3">
        <f t="shared" si="53"/>
        <v>0</v>
      </c>
      <c r="CM543" s="222">
        <f t="shared" si="54"/>
        <v>12703</v>
      </c>
      <c r="CN543" s="3" t="str">
        <f t="shared" si="55"/>
        <v>برنامج دولى</v>
      </c>
    </row>
    <row r="544" spans="3:92" x14ac:dyDescent="0.25">
      <c r="C544" s="223" t="s">
        <v>566</v>
      </c>
      <c r="D544" s="224">
        <v>20481</v>
      </c>
      <c r="E544" s="224">
        <v>12704</v>
      </c>
      <c r="F544" s="250" t="s">
        <v>78</v>
      </c>
      <c r="G544" s="223" t="str">
        <f>+G542</f>
        <v>عب تدريس هستولوجى</v>
      </c>
      <c r="I544" s="223">
        <v>211.05</v>
      </c>
      <c r="AV544" s="22">
        <f t="shared" si="51"/>
        <v>211.05</v>
      </c>
      <c r="AW544" s="223">
        <v>141.80000000000001</v>
      </c>
      <c r="AX544" s="223">
        <v>18.399999999999999</v>
      </c>
      <c r="AY544" s="223">
        <v>50.85</v>
      </c>
      <c r="CK544" s="22">
        <f t="shared" si="52"/>
        <v>211.05</v>
      </c>
      <c r="CL544" s="3">
        <f t="shared" si="53"/>
        <v>0</v>
      </c>
      <c r="CM544" s="222">
        <f t="shared" si="54"/>
        <v>12704</v>
      </c>
      <c r="CN544" s="3" t="str">
        <f t="shared" si="55"/>
        <v>برنامج دولى</v>
      </c>
    </row>
    <row r="545" spans="3:92" x14ac:dyDescent="0.25">
      <c r="C545" s="223" t="s">
        <v>566</v>
      </c>
      <c r="D545" s="224">
        <v>20674</v>
      </c>
      <c r="E545" s="224">
        <v>12705</v>
      </c>
      <c r="F545" s="250" t="s">
        <v>78</v>
      </c>
      <c r="G545" s="223" t="s">
        <v>5320</v>
      </c>
      <c r="I545" s="223">
        <v>910.38</v>
      </c>
      <c r="AV545" s="22">
        <f t="shared" si="51"/>
        <v>910.38</v>
      </c>
      <c r="AW545" s="223">
        <v>724.15</v>
      </c>
      <c r="AX545" s="223">
        <v>87.35</v>
      </c>
      <c r="AY545" s="223">
        <v>98.88</v>
      </c>
      <c r="CK545" s="22">
        <f t="shared" si="52"/>
        <v>910.38</v>
      </c>
      <c r="CL545" s="3">
        <f t="shared" si="53"/>
        <v>0</v>
      </c>
      <c r="CM545" s="222">
        <f t="shared" si="54"/>
        <v>12705</v>
      </c>
      <c r="CN545" s="3" t="str">
        <f t="shared" si="55"/>
        <v>برنامج دولى</v>
      </c>
    </row>
    <row r="546" spans="3:92" x14ac:dyDescent="0.25">
      <c r="C546" s="223" t="s">
        <v>566</v>
      </c>
      <c r="D546" s="224">
        <v>20675</v>
      </c>
      <c r="E546" s="224">
        <v>12706</v>
      </c>
      <c r="F546" s="250" t="s">
        <v>78</v>
      </c>
      <c r="G546" s="223" t="s">
        <v>5320</v>
      </c>
      <c r="I546" s="223">
        <v>487.94</v>
      </c>
      <c r="AV546" s="22">
        <f t="shared" si="51"/>
        <v>487.94</v>
      </c>
      <c r="AW546" s="223">
        <v>417.65</v>
      </c>
      <c r="AX546" s="223">
        <v>49.1</v>
      </c>
      <c r="AY546" s="223">
        <v>21.19</v>
      </c>
      <c r="CK546" s="22">
        <f t="shared" si="52"/>
        <v>487.94</v>
      </c>
      <c r="CL546" s="3">
        <f t="shared" si="53"/>
        <v>0</v>
      </c>
      <c r="CM546" s="222">
        <f t="shared" si="54"/>
        <v>12706</v>
      </c>
      <c r="CN546" s="3" t="str">
        <f t="shared" si="55"/>
        <v>برنامج دولى</v>
      </c>
    </row>
    <row r="547" spans="3:92" x14ac:dyDescent="0.25">
      <c r="C547" s="223" t="s">
        <v>566</v>
      </c>
      <c r="D547" s="224">
        <v>20672</v>
      </c>
      <c r="E547" s="224">
        <v>12707</v>
      </c>
      <c r="F547" s="250" t="s">
        <v>78</v>
      </c>
      <c r="G547" s="223" t="s">
        <v>5321</v>
      </c>
      <c r="I547" s="223">
        <v>175.88</v>
      </c>
      <c r="AV547" s="22">
        <f t="shared" si="51"/>
        <v>175.88</v>
      </c>
      <c r="AW547" s="223">
        <v>117.9</v>
      </c>
      <c r="AX547" s="223">
        <f>15+0.6</f>
        <v>15.6</v>
      </c>
      <c r="AY547" s="223">
        <f>57.98-AX547</f>
        <v>42.379999999999995</v>
      </c>
      <c r="CK547" s="22">
        <f t="shared" si="52"/>
        <v>175.88</v>
      </c>
      <c r="CL547" s="3">
        <f t="shared" si="53"/>
        <v>0</v>
      </c>
      <c r="CM547" s="222">
        <f t="shared" si="54"/>
        <v>12707</v>
      </c>
      <c r="CN547" s="3" t="str">
        <f t="shared" si="55"/>
        <v>برنامج دولى</v>
      </c>
    </row>
    <row r="548" spans="3:92" x14ac:dyDescent="0.25">
      <c r="C548" s="223" t="s">
        <v>566</v>
      </c>
      <c r="D548" s="224">
        <v>20676</v>
      </c>
      <c r="E548" s="224">
        <v>12708</v>
      </c>
      <c r="F548" s="250" t="s">
        <v>78</v>
      </c>
      <c r="G548" s="223" t="s">
        <v>854</v>
      </c>
      <c r="I548" s="223">
        <v>3369.12</v>
      </c>
      <c r="AV548" s="22">
        <f t="shared" si="51"/>
        <v>3369.12</v>
      </c>
      <c r="AW548" s="223">
        <v>2899.49</v>
      </c>
      <c r="AX548" s="223">
        <v>348.25</v>
      </c>
      <c r="AY548" s="223">
        <v>121.38</v>
      </c>
      <c r="CK548" s="22">
        <f t="shared" si="52"/>
        <v>3369.12</v>
      </c>
      <c r="CL548" s="3">
        <f t="shared" si="53"/>
        <v>0</v>
      </c>
      <c r="CM548" s="222">
        <f t="shared" si="54"/>
        <v>12708</v>
      </c>
      <c r="CN548" s="3" t="str">
        <f t="shared" si="55"/>
        <v>برنامج دولى</v>
      </c>
    </row>
    <row r="549" spans="3:92" x14ac:dyDescent="0.25">
      <c r="C549" s="223" t="s">
        <v>566</v>
      </c>
      <c r="D549" s="224">
        <v>20673</v>
      </c>
      <c r="E549" s="224">
        <v>12709</v>
      </c>
      <c r="F549" s="250" t="s">
        <v>78</v>
      </c>
      <c r="G549" s="223" t="str">
        <f>+G546</f>
        <v>مكافاه امتحانات</v>
      </c>
      <c r="I549" s="223">
        <v>150</v>
      </c>
      <c r="AV549" s="22">
        <f t="shared" si="51"/>
        <v>150</v>
      </c>
      <c r="AW549" s="223">
        <v>134.4</v>
      </c>
      <c r="AX549" s="223">
        <v>15.6</v>
      </c>
      <c r="CK549" s="22">
        <f t="shared" si="52"/>
        <v>150</v>
      </c>
      <c r="CL549" s="3">
        <f t="shared" si="53"/>
        <v>0</v>
      </c>
      <c r="CM549" s="222">
        <f t="shared" si="54"/>
        <v>12709</v>
      </c>
      <c r="CN549" s="3" t="str">
        <f t="shared" si="55"/>
        <v>برنامج دولى</v>
      </c>
    </row>
    <row r="550" spans="3:92" x14ac:dyDescent="0.25">
      <c r="C550" s="223" t="s">
        <v>657</v>
      </c>
      <c r="D550" s="224">
        <v>20381</v>
      </c>
      <c r="E550" s="224">
        <v>12710</v>
      </c>
      <c r="F550" s="250" t="s">
        <v>78</v>
      </c>
      <c r="G550" s="223" t="s">
        <v>5322</v>
      </c>
      <c r="I550" s="223">
        <v>6214.25</v>
      </c>
      <c r="AV550" s="22">
        <f t="shared" si="51"/>
        <v>6214.25</v>
      </c>
      <c r="AW550" s="223">
        <v>4152.7</v>
      </c>
      <c r="AX550" s="223">
        <f>34.3+530</f>
        <v>564.29999999999995</v>
      </c>
      <c r="AY550" s="223">
        <v>1497.25</v>
      </c>
      <c r="CK550" s="22">
        <f t="shared" si="52"/>
        <v>6214.25</v>
      </c>
      <c r="CL550" s="3">
        <f t="shared" si="53"/>
        <v>0</v>
      </c>
      <c r="CM550" s="222">
        <f t="shared" si="54"/>
        <v>12710</v>
      </c>
      <c r="CN550" s="3" t="str">
        <f t="shared" si="55"/>
        <v>برنامج دولى</v>
      </c>
    </row>
    <row r="551" spans="3:92" x14ac:dyDescent="0.25">
      <c r="C551" s="223" t="s">
        <v>657</v>
      </c>
      <c r="D551" s="224">
        <v>20382</v>
      </c>
      <c r="E551" s="224">
        <v>12711</v>
      </c>
      <c r="F551" s="250" t="s">
        <v>78</v>
      </c>
      <c r="G551" s="223" t="s">
        <v>5322</v>
      </c>
      <c r="I551" s="223">
        <v>1800</v>
      </c>
      <c r="AV551" s="22">
        <f t="shared" si="51"/>
        <v>1800</v>
      </c>
      <c r="AW551" s="223">
        <v>1606.85</v>
      </c>
      <c r="AX551" s="223">
        <v>193.15</v>
      </c>
      <c r="CK551" s="22">
        <f t="shared" si="52"/>
        <v>1800</v>
      </c>
      <c r="CL551" s="3">
        <f t="shared" si="53"/>
        <v>0</v>
      </c>
      <c r="CM551" s="222">
        <f t="shared" si="54"/>
        <v>12711</v>
      </c>
      <c r="CN551" s="3" t="str">
        <f t="shared" si="55"/>
        <v>برنامج دولى</v>
      </c>
    </row>
    <row r="552" spans="3:92" x14ac:dyDescent="0.25">
      <c r="C552" s="223" t="s">
        <v>657</v>
      </c>
      <c r="D552" s="224">
        <v>20383</v>
      </c>
      <c r="E552" s="224">
        <v>12712</v>
      </c>
      <c r="F552" s="250" t="s">
        <v>78</v>
      </c>
      <c r="G552" s="223" t="s">
        <v>5322</v>
      </c>
      <c r="I552" s="223">
        <v>3500</v>
      </c>
      <c r="AV552" s="22">
        <f t="shared" si="51"/>
        <v>3500</v>
      </c>
      <c r="AW552" s="223">
        <v>3124.45</v>
      </c>
      <c r="AX552" s="223">
        <v>375.55</v>
      </c>
      <c r="CK552" s="22">
        <f t="shared" si="52"/>
        <v>3500</v>
      </c>
      <c r="CL552" s="3">
        <f t="shared" si="53"/>
        <v>0</v>
      </c>
      <c r="CM552" s="222">
        <f t="shared" si="54"/>
        <v>12712</v>
      </c>
      <c r="CN552" s="3" t="str">
        <f t="shared" si="55"/>
        <v>برنامج دولى</v>
      </c>
    </row>
    <row r="553" spans="3:92" x14ac:dyDescent="0.25">
      <c r="C553" s="223" t="s">
        <v>657</v>
      </c>
      <c r="D553" s="224">
        <v>20384</v>
      </c>
      <c r="E553" s="224">
        <v>12713</v>
      </c>
      <c r="F553" s="250" t="s">
        <v>78</v>
      </c>
      <c r="G553" s="223" t="s">
        <v>5322</v>
      </c>
      <c r="I553" s="223">
        <v>19345</v>
      </c>
      <c r="AV553" s="22">
        <f t="shared" si="51"/>
        <v>19345</v>
      </c>
      <c r="AW553" s="223">
        <v>17269.650000000001</v>
      </c>
      <c r="AX553" s="223">
        <v>2075.35</v>
      </c>
      <c r="CK553" s="22">
        <f t="shared" si="52"/>
        <v>19345</v>
      </c>
      <c r="CL553" s="3">
        <f t="shared" si="53"/>
        <v>0</v>
      </c>
      <c r="CM553" s="222">
        <f t="shared" si="54"/>
        <v>12713</v>
      </c>
      <c r="CN553" s="3" t="str">
        <f t="shared" si="55"/>
        <v>برنامج دولى</v>
      </c>
    </row>
    <row r="554" spans="3:92" x14ac:dyDescent="0.25">
      <c r="C554" s="223" t="s">
        <v>657</v>
      </c>
      <c r="D554" s="224">
        <v>20385</v>
      </c>
      <c r="E554" s="224">
        <v>12714</v>
      </c>
      <c r="F554" s="250" t="s">
        <v>78</v>
      </c>
      <c r="G554" s="223" t="s">
        <v>4589</v>
      </c>
      <c r="I554" s="223">
        <v>9870.5</v>
      </c>
      <c r="AV554" s="22">
        <f t="shared" si="51"/>
        <v>9870.5</v>
      </c>
      <c r="AW554" s="223">
        <v>7437.58</v>
      </c>
      <c r="AX554" s="223">
        <v>958.2</v>
      </c>
      <c r="AY554" s="223">
        <v>1474.72</v>
      </c>
      <c r="CK554" s="22">
        <f t="shared" si="52"/>
        <v>9870.5</v>
      </c>
      <c r="CL554" s="3">
        <f t="shared" si="53"/>
        <v>0</v>
      </c>
      <c r="CM554" s="222">
        <f t="shared" si="54"/>
        <v>12714</v>
      </c>
      <c r="CN554" s="3" t="str">
        <f t="shared" si="55"/>
        <v>برنامج دولى</v>
      </c>
    </row>
    <row r="555" spans="3:92" x14ac:dyDescent="0.25">
      <c r="C555" s="223" t="s">
        <v>657</v>
      </c>
      <c r="D555" s="224">
        <v>20380</v>
      </c>
      <c r="E555" s="224">
        <v>12715</v>
      </c>
      <c r="F555" s="250" t="s">
        <v>78</v>
      </c>
      <c r="G555" s="223" t="s">
        <v>2137</v>
      </c>
      <c r="I555" s="223">
        <v>9750</v>
      </c>
      <c r="AV555" s="22">
        <f t="shared" si="51"/>
        <v>9750</v>
      </c>
      <c r="AW555" s="223">
        <v>8698.5</v>
      </c>
      <c r="AX555" s="223">
        <v>1051.5</v>
      </c>
      <c r="CK555" s="22">
        <f t="shared" si="52"/>
        <v>9750</v>
      </c>
      <c r="CL555" s="3">
        <f t="shared" si="53"/>
        <v>0</v>
      </c>
      <c r="CM555" s="222">
        <f t="shared" si="54"/>
        <v>12715</v>
      </c>
      <c r="CN555" s="3" t="str">
        <f t="shared" si="55"/>
        <v>برنامج دولى</v>
      </c>
    </row>
    <row r="556" spans="3:92" x14ac:dyDescent="0.25">
      <c r="C556" s="223" t="s">
        <v>657</v>
      </c>
      <c r="D556" s="224">
        <v>20072</v>
      </c>
      <c r="E556" s="224">
        <v>12716</v>
      </c>
      <c r="F556" s="250" t="s">
        <v>78</v>
      </c>
      <c r="G556" s="223" t="s">
        <v>3009</v>
      </c>
      <c r="I556" s="223">
        <v>574.53</v>
      </c>
      <c r="AV556" s="22">
        <f t="shared" si="51"/>
        <v>574.53</v>
      </c>
      <c r="AW556" s="223">
        <v>384.55</v>
      </c>
      <c r="AX556" s="223">
        <f>2.55+49</f>
        <v>51.55</v>
      </c>
      <c r="AY556" s="223">
        <v>138.43</v>
      </c>
      <c r="CK556" s="22">
        <f t="shared" si="52"/>
        <v>574.53</v>
      </c>
      <c r="CL556" s="3">
        <f t="shared" si="53"/>
        <v>0</v>
      </c>
      <c r="CM556" s="222">
        <f t="shared" si="54"/>
        <v>12716</v>
      </c>
      <c r="CN556" s="3" t="str">
        <f t="shared" si="55"/>
        <v>برنامج دولى</v>
      </c>
    </row>
    <row r="557" spans="3:92" x14ac:dyDescent="0.25">
      <c r="C557" s="223" t="s">
        <v>657</v>
      </c>
      <c r="D557" s="224">
        <v>20070</v>
      </c>
      <c r="E557" s="224">
        <v>12717</v>
      </c>
      <c r="F557" s="250" t="s">
        <v>78</v>
      </c>
      <c r="G557" s="223" t="s">
        <v>3009</v>
      </c>
      <c r="I557" s="223">
        <v>7490.87</v>
      </c>
      <c r="AV557" s="22">
        <f t="shared" ref="AV557:AV620" si="56">SUM(I557:AU557)</f>
        <v>7490.87</v>
      </c>
      <c r="AW557" s="223">
        <v>5005.2</v>
      </c>
      <c r="AX557" s="223">
        <f>41.95+638.88</f>
        <v>680.83</v>
      </c>
      <c r="AY557" s="223">
        <v>1804.84</v>
      </c>
      <c r="CK557" s="22">
        <f t="shared" si="52"/>
        <v>7490.87</v>
      </c>
      <c r="CL557" s="3">
        <f t="shared" si="53"/>
        <v>0</v>
      </c>
      <c r="CM557" s="222">
        <f t="shared" si="54"/>
        <v>12717</v>
      </c>
      <c r="CN557" s="3" t="str">
        <f t="shared" si="55"/>
        <v>برنامج دولى</v>
      </c>
    </row>
    <row r="558" spans="3:92" x14ac:dyDescent="0.25">
      <c r="C558" s="223" t="s">
        <v>657</v>
      </c>
      <c r="D558" s="224">
        <v>20069</v>
      </c>
      <c r="E558" s="224">
        <v>12718</v>
      </c>
      <c r="F558" s="250" t="s">
        <v>78</v>
      </c>
      <c r="G558" s="223" t="s">
        <v>3009</v>
      </c>
      <c r="I558" s="223">
        <v>4534.71</v>
      </c>
      <c r="AV558" s="22">
        <f t="shared" si="56"/>
        <v>4534.71</v>
      </c>
      <c r="AW558" s="223">
        <v>3627.69</v>
      </c>
      <c r="AX558" s="223">
        <v>455.82</v>
      </c>
      <c r="AY558" s="223">
        <v>451.2</v>
      </c>
      <c r="CK558" s="22">
        <f t="shared" si="52"/>
        <v>4534.71</v>
      </c>
      <c r="CL558" s="3">
        <f t="shared" si="53"/>
        <v>0</v>
      </c>
      <c r="CM558" s="222">
        <f t="shared" si="54"/>
        <v>12718</v>
      </c>
      <c r="CN558" s="3" t="str">
        <f t="shared" si="55"/>
        <v>برنامج دولى</v>
      </c>
    </row>
    <row r="559" spans="3:92" x14ac:dyDescent="0.25">
      <c r="C559" s="223" t="s">
        <v>657</v>
      </c>
      <c r="D559" s="224">
        <v>20068</v>
      </c>
      <c r="E559" s="224">
        <v>12719</v>
      </c>
      <c r="F559" s="250" t="s">
        <v>78</v>
      </c>
      <c r="G559" s="223" t="s">
        <v>3009</v>
      </c>
      <c r="I559" s="223">
        <v>3993</v>
      </c>
      <c r="AV559" s="22">
        <f t="shared" si="56"/>
        <v>3993</v>
      </c>
      <c r="AW559" s="223">
        <v>3564.1</v>
      </c>
      <c r="AX559" s="223">
        <v>428.9</v>
      </c>
      <c r="CK559" s="22">
        <f t="shared" si="52"/>
        <v>3993</v>
      </c>
      <c r="CL559" s="3">
        <f t="shared" si="53"/>
        <v>0</v>
      </c>
      <c r="CM559" s="222">
        <f t="shared" si="54"/>
        <v>12719</v>
      </c>
      <c r="CN559" s="3" t="str">
        <f t="shared" si="55"/>
        <v>برنامج دولى</v>
      </c>
    </row>
    <row r="560" spans="3:92" x14ac:dyDescent="0.25">
      <c r="C560" s="223" t="s">
        <v>657</v>
      </c>
      <c r="D560" s="224">
        <v>20067</v>
      </c>
      <c r="E560" s="224">
        <v>12720</v>
      </c>
      <c r="F560" s="250" t="s">
        <v>78</v>
      </c>
      <c r="G560" s="223" t="s">
        <v>3009</v>
      </c>
      <c r="I560" s="223">
        <v>9955.8799999999992</v>
      </c>
      <c r="AV560" s="22">
        <f t="shared" si="56"/>
        <v>9955.8799999999992</v>
      </c>
      <c r="AW560" s="223">
        <v>8881.0400000000009</v>
      </c>
      <c r="AX560" s="223">
        <v>1074.8399999999999</v>
      </c>
      <c r="CK560" s="22">
        <f t="shared" si="52"/>
        <v>9955.880000000001</v>
      </c>
      <c r="CL560" s="3">
        <f t="shared" si="53"/>
        <v>0</v>
      </c>
      <c r="CM560" s="222">
        <f t="shared" si="54"/>
        <v>12720</v>
      </c>
      <c r="CN560" s="3" t="str">
        <f t="shared" si="55"/>
        <v>برنامج دولى</v>
      </c>
    </row>
    <row r="561" spans="3:92" x14ac:dyDescent="0.25">
      <c r="C561" s="223" t="s">
        <v>657</v>
      </c>
      <c r="D561" s="224">
        <v>20066</v>
      </c>
      <c r="E561" s="224">
        <v>12721</v>
      </c>
      <c r="F561" s="250" t="s">
        <v>78</v>
      </c>
      <c r="G561" s="223" t="s">
        <v>3009</v>
      </c>
      <c r="I561" s="223">
        <v>2600</v>
      </c>
      <c r="AV561" s="22">
        <f t="shared" si="56"/>
        <v>2600</v>
      </c>
      <c r="AW561" s="223">
        <v>2320.85</v>
      </c>
      <c r="AX561" s="223">
        <v>279.14999999999998</v>
      </c>
      <c r="CK561" s="22">
        <f t="shared" si="52"/>
        <v>2600</v>
      </c>
      <c r="CL561" s="3">
        <f t="shared" si="53"/>
        <v>0</v>
      </c>
      <c r="CM561" s="222">
        <f t="shared" si="54"/>
        <v>12721</v>
      </c>
      <c r="CN561" s="3" t="str">
        <f t="shared" si="55"/>
        <v>برنامج دولى</v>
      </c>
    </row>
    <row r="562" spans="3:92" x14ac:dyDescent="0.25">
      <c r="C562" s="223" t="s">
        <v>657</v>
      </c>
      <c r="D562" s="224">
        <v>20065</v>
      </c>
      <c r="E562" s="224">
        <v>12722</v>
      </c>
      <c r="F562" s="250" t="s">
        <v>78</v>
      </c>
      <c r="G562" s="223" t="s">
        <v>3009</v>
      </c>
      <c r="I562" s="223">
        <v>2600</v>
      </c>
      <c r="AV562" s="22">
        <f t="shared" si="56"/>
        <v>2600</v>
      </c>
      <c r="AW562" s="223">
        <v>2320.85</v>
      </c>
      <c r="AX562" s="223">
        <v>279.14999999999998</v>
      </c>
      <c r="CK562" s="22">
        <f t="shared" si="52"/>
        <v>2600</v>
      </c>
      <c r="CL562" s="3">
        <f t="shared" si="53"/>
        <v>0</v>
      </c>
      <c r="CM562" s="222">
        <f t="shared" si="54"/>
        <v>12722</v>
      </c>
      <c r="CN562" s="3" t="str">
        <f t="shared" si="55"/>
        <v>برنامج دولى</v>
      </c>
    </row>
    <row r="563" spans="3:92" x14ac:dyDescent="0.25">
      <c r="C563" s="223" t="s">
        <v>657</v>
      </c>
      <c r="D563" s="224">
        <v>20064</v>
      </c>
      <c r="E563" s="224">
        <v>12723</v>
      </c>
      <c r="F563" s="250" t="s">
        <v>78</v>
      </c>
      <c r="G563" s="223" t="s">
        <v>3191</v>
      </c>
      <c r="I563" s="223">
        <v>1266.3</v>
      </c>
      <c r="AV563" s="22">
        <f t="shared" si="56"/>
        <v>1266.3</v>
      </c>
      <c r="AW563" s="223">
        <v>846.35</v>
      </c>
      <c r="AX563" s="223">
        <v>114.85</v>
      </c>
      <c r="AY563" s="223">
        <v>305.10000000000002</v>
      </c>
      <c r="CK563" s="22">
        <f t="shared" si="52"/>
        <v>1266.3000000000002</v>
      </c>
      <c r="CL563" s="3">
        <f t="shared" si="53"/>
        <v>0</v>
      </c>
      <c r="CM563" s="222">
        <f t="shared" si="54"/>
        <v>12723</v>
      </c>
      <c r="CN563" s="3" t="str">
        <f t="shared" si="55"/>
        <v>برنامج دولى</v>
      </c>
    </row>
    <row r="564" spans="3:92" x14ac:dyDescent="0.25">
      <c r="C564" s="223" t="s">
        <v>657</v>
      </c>
      <c r="D564" s="224">
        <v>20063</v>
      </c>
      <c r="E564" s="224">
        <v>12724</v>
      </c>
      <c r="F564" s="250" t="s">
        <v>78</v>
      </c>
      <c r="G564" s="223" t="s">
        <v>3191</v>
      </c>
      <c r="I564" s="223">
        <v>1758.75</v>
      </c>
      <c r="AV564" s="22">
        <f t="shared" si="56"/>
        <v>1758.75</v>
      </c>
      <c r="AW564" s="223">
        <v>1175.3499999999999</v>
      </c>
      <c r="AX564" s="223">
        <v>159.65</v>
      </c>
      <c r="AY564" s="223">
        <v>423.75</v>
      </c>
      <c r="CK564" s="22">
        <f t="shared" si="52"/>
        <v>1758.75</v>
      </c>
      <c r="CL564" s="3">
        <f t="shared" si="53"/>
        <v>0</v>
      </c>
      <c r="CM564" s="222">
        <f t="shared" si="54"/>
        <v>12724</v>
      </c>
      <c r="CN564" s="3" t="str">
        <f t="shared" si="55"/>
        <v>برنامج دولى</v>
      </c>
    </row>
    <row r="565" spans="3:92" x14ac:dyDescent="0.25">
      <c r="C565" s="223" t="s">
        <v>657</v>
      </c>
      <c r="D565" s="224">
        <v>20062</v>
      </c>
      <c r="E565" s="224">
        <v>12725</v>
      </c>
      <c r="F565" s="250" t="s">
        <v>78</v>
      </c>
      <c r="G565" s="223" t="s">
        <v>3191</v>
      </c>
      <c r="I565" s="223">
        <v>6519.08</v>
      </c>
      <c r="AV565" s="22">
        <f t="shared" si="56"/>
        <v>6519.08</v>
      </c>
      <c r="AW565" s="223">
        <v>4359.3</v>
      </c>
      <c r="AX565" s="223">
        <v>589.1</v>
      </c>
      <c r="AY565" s="223">
        <v>1570.68</v>
      </c>
      <c r="CK565" s="22">
        <f t="shared" si="52"/>
        <v>6519.0800000000008</v>
      </c>
      <c r="CL565" s="3">
        <f t="shared" si="53"/>
        <v>0</v>
      </c>
      <c r="CM565" s="222">
        <f t="shared" si="54"/>
        <v>12725</v>
      </c>
      <c r="CN565" s="3" t="str">
        <f t="shared" si="55"/>
        <v>برنامج دولى</v>
      </c>
    </row>
    <row r="566" spans="3:92" x14ac:dyDescent="0.25">
      <c r="C566" s="223" t="s">
        <v>657</v>
      </c>
      <c r="D566" s="224">
        <v>20061</v>
      </c>
      <c r="E566" s="224">
        <v>12726</v>
      </c>
      <c r="F566" s="250" t="s">
        <v>78</v>
      </c>
      <c r="G566" s="223" t="s">
        <v>3191</v>
      </c>
      <c r="I566" s="223">
        <v>4127.1899999999996</v>
      </c>
      <c r="AV566" s="22">
        <f t="shared" si="56"/>
        <v>4127.1899999999996</v>
      </c>
      <c r="AW566" s="223">
        <v>2760.2</v>
      </c>
      <c r="AX566" s="223">
        <v>372.6</v>
      </c>
      <c r="AY566" s="223">
        <v>994.39</v>
      </c>
      <c r="CK566" s="22">
        <f t="shared" si="52"/>
        <v>4127.1899999999996</v>
      </c>
      <c r="CL566" s="3">
        <f t="shared" si="53"/>
        <v>0</v>
      </c>
      <c r="CM566" s="222">
        <f t="shared" si="54"/>
        <v>12726</v>
      </c>
      <c r="CN566" s="3" t="str">
        <f t="shared" si="55"/>
        <v>برنامج دولى</v>
      </c>
    </row>
    <row r="567" spans="3:92" x14ac:dyDescent="0.25">
      <c r="C567" s="223" t="s">
        <v>657</v>
      </c>
      <c r="D567" s="224">
        <v>20106</v>
      </c>
      <c r="E567" s="224">
        <v>12727</v>
      </c>
      <c r="F567" s="250" t="s">
        <v>78</v>
      </c>
      <c r="G567" s="223" t="str">
        <f>+G552</f>
        <v>ج مركز ابحاث طبيه</v>
      </c>
      <c r="I567" s="223">
        <v>7738.53</v>
      </c>
      <c r="AV567" s="22">
        <f t="shared" si="56"/>
        <v>7738.53</v>
      </c>
      <c r="AW567" s="223">
        <v>5177.45</v>
      </c>
      <c r="AX567" s="223">
        <f>36.55+660</f>
        <v>696.55</v>
      </c>
      <c r="AY567" s="223">
        <f>2561.08-AX567</f>
        <v>1864.53</v>
      </c>
      <c r="CK567" s="22">
        <f t="shared" si="52"/>
        <v>7738.53</v>
      </c>
      <c r="CL567" s="3">
        <f t="shared" si="53"/>
        <v>0</v>
      </c>
      <c r="CM567" s="222">
        <f t="shared" si="54"/>
        <v>12727</v>
      </c>
      <c r="CN567" s="3" t="str">
        <f t="shared" si="55"/>
        <v>برنامج دولى</v>
      </c>
    </row>
    <row r="568" spans="3:92" x14ac:dyDescent="0.25">
      <c r="C568" s="223" t="s">
        <v>657</v>
      </c>
      <c r="D568" s="224">
        <v>20060</v>
      </c>
      <c r="E568" s="224">
        <v>12728</v>
      </c>
      <c r="F568" s="250" t="s">
        <v>78</v>
      </c>
      <c r="G568" s="223" t="str">
        <f t="shared" ref="G568" si="57">+G553</f>
        <v>ج مركز ابحاث طبيه</v>
      </c>
      <c r="I568" s="223">
        <v>293.12</v>
      </c>
      <c r="AV568" s="22">
        <f t="shared" si="56"/>
        <v>293.12</v>
      </c>
      <c r="AW568" s="223">
        <v>196.45</v>
      </c>
      <c r="AX568" s="223">
        <v>26.05</v>
      </c>
      <c r="AY568" s="223">
        <v>70.62</v>
      </c>
      <c r="CK568" s="22">
        <f t="shared" si="52"/>
        <v>293.12</v>
      </c>
      <c r="CL568" s="3">
        <f t="shared" si="53"/>
        <v>0</v>
      </c>
      <c r="CM568" s="222">
        <f t="shared" si="54"/>
        <v>12728</v>
      </c>
      <c r="CN568" s="3" t="str">
        <f t="shared" si="55"/>
        <v>برنامج دولى</v>
      </c>
    </row>
    <row r="569" spans="3:92" x14ac:dyDescent="0.25">
      <c r="C569" s="223" t="s">
        <v>657</v>
      </c>
      <c r="D569" s="224">
        <v>20059</v>
      </c>
      <c r="E569" s="224">
        <v>12729</v>
      </c>
      <c r="F569" s="250" t="s">
        <v>78</v>
      </c>
      <c r="G569" s="223" t="str">
        <f>+G568</f>
        <v>ج مركز ابحاث طبيه</v>
      </c>
      <c r="I569" s="223">
        <v>400</v>
      </c>
      <c r="AV569" s="22">
        <f t="shared" si="56"/>
        <v>400</v>
      </c>
      <c r="AW569" s="223">
        <v>357.7</v>
      </c>
      <c r="AX569" s="223">
        <v>42.3</v>
      </c>
      <c r="CK569" s="22">
        <f t="shared" si="52"/>
        <v>400</v>
      </c>
      <c r="CL569" s="3">
        <f t="shared" si="53"/>
        <v>0</v>
      </c>
      <c r="CM569" s="222">
        <f t="shared" si="54"/>
        <v>12729</v>
      </c>
      <c r="CN569" s="3" t="str">
        <f t="shared" si="55"/>
        <v>برنامج دولى</v>
      </c>
    </row>
    <row r="570" spans="3:92" x14ac:dyDescent="0.25">
      <c r="C570" s="223" t="s">
        <v>657</v>
      </c>
      <c r="D570" s="224">
        <v>20058</v>
      </c>
      <c r="E570" s="224">
        <v>12730</v>
      </c>
      <c r="F570" s="250" t="s">
        <v>78</v>
      </c>
      <c r="G570" s="223" t="str">
        <f>+G569</f>
        <v>ج مركز ابحاث طبيه</v>
      </c>
      <c r="I570" s="223">
        <v>1289.75</v>
      </c>
      <c r="AV570" s="22">
        <f t="shared" si="56"/>
        <v>1289.75</v>
      </c>
      <c r="AW570" s="223">
        <v>862</v>
      </c>
      <c r="AX570" s="223">
        <v>117</v>
      </c>
      <c r="AY570" s="223">
        <v>310.75</v>
      </c>
      <c r="CK570" s="22">
        <f t="shared" si="52"/>
        <v>1289.75</v>
      </c>
      <c r="CL570" s="3">
        <f t="shared" si="53"/>
        <v>0</v>
      </c>
      <c r="CM570" s="222">
        <f t="shared" si="54"/>
        <v>12730</v>
      </c>
      <c r="CN570" s="3" t="str">
        <f t="shared" si="55"/>
        <v>برنامج دولى</v>
      </c>
    </row>
    <row r="571" spans="3:92" x14ac:dyDescent="0.25">
      <c r="C571" s="223" t="s">
        <v>657</v>
      </c>
      <c r="D571" s="224">
        <v>20057</v>
      </c>
      <c r="E571" s="224">
        <v>12731</v>
      </c>
      <c r="F571" s="250" t="s">
        <v>78</v>
      </c>
      <c r="G571" s="223" t="str">
        <f t="shared" ref="G571:G573" si="58">+G570</f>
        <v>ج مركز ابحاث طبيه</v>
      </c>
      <c r="I571" s="223">
        <v>2051.88</v>
      </c>
      <c r="AV571" s="22">
        <f t="shared" si="56"/>
        <v>2051.88</v>
      </c>
      <c r="AW571" s="223">
        <v>1371.8</v>
      </c>
      <c r="AX571" s="223">
        <v>185.7</v>
      </c>
      <c r="AY571" s="223">
        <v>494.38</v>
      </c>
      <c r="CK571" s="22">
        <f t="shared" si="52"/>
        <v>2051.88</v>
      </c>
      <c r="CL571" s="3">
        <f t="shared" si="53"/>
        <v>0</v>
      </c>
      <c r="CM571" s="222">
        <f t="shared" si="54"/>
        <v>12731</v>
      </c>
      <c r="CN571" s="3" t="str">
        <f t="shared" si="55"/>
        <v>برنامج دولى</v>
      </c>
    </row>
    <row r="572" spans="3:92" x14ac:dyDescent="0.25">
      <c r="C572" s="223" t="s">
        <v>657</v>
      </c>
      <c r="D572" s="224">
        <v>20056</v>
      </c>
      <c r="E572" s="224">
        <v>12732</v>
      </c>
      <c r="F572" s="250" t="s">
        <v>78</v>
      </c>
      <c r="G572" s="223" t="str">
        <f t="shared" si="58"/>
        <v>ج مركز ابحاث طبيه</v>
      </c>
      <c r="I572" s="223">
        <v>3470.22</v>
      </c>
      <c r="AV572" s="22">
        <f t="shared" si="56"/>
        <v>3470.22</v>
      </c>
      <c r="AW572" s="223">
        <v>2380.6</v>
      </c>
      <c r="AX572" s="223">
        <v>319.55</v>
      </c>
      <c r="AY572" s="223">
        <v>770.07</v>
      </c>
      <c r="CK572" s="22">
        <f t="shared" si="52"/>
        <v>3470.2200000000003</v>
      </c>
      <c r="CL572" s="3">
        <f t="shared" si="53"/>
        <v>0</v>
      </c>
      <c r="CM572" s="222">
        <f t="shared" si="54"/>
        <v>12732</v>
      </c>
      <c r="CN572" s="3" t="str">
        <f t="shared" si="55"/>
        <v>برنامج دولى</v>
      </c>
    </row>
    <row r="573" spans="3:92" x14ac:dyDescent="0.25">
      <c r="C573" s="223" t="s">
        <v>657</v>
      </c>
      <c r="D573" s="224">
        <v>20055</v>
      </c>
      <c r="E573" s="224">
        <v>12733</v>
      </c>
      <c r="F573" s="250" t="s">
        <v>78</v>
      </c>
      <c r="G573" s="223" t="str">
        <f t="shared" si="58"/>
        <v>ج مركز ابحاث طبيه</v>
      </c>
      <c r="I573" s="223">
        <v>18055.66</v>
      </c>
      <c r="AV573" s="22">
        <f t="shared" si="56"/>
        <v>18055.66</v>
      </c>
      <c r="AW573" s="223">
        <v>11992.16</v>
      </c>
      <c r="AX573" s="223">
        <v>1632.5</v>
      </c>
      <c r="AY573" s="223">
        <v>4431</v>
      </c>
      <c r="CK573" s="22">
        <f t="shared" si="52"/>
        <v>18055.66</v>
      </c>
      <c r="CL573" s="3">
        <f t="shared" si="53"/>
        <v>0</v>
      </c>
      <c r="CM573" s="222">
        <f t="shared" si="54"/>
        <v>12733</v>
      </c>
      <c r="CN573" s="3" t="str">
        <f t="shared" si="55"/>
        <v>برنامج دولى</v>
      </c>
    </row>
    <row r="574" spans="3:92" x14ac:dyDescent="0.25">
      <c r="C574" s="223" t="s">
        <v>657</v>
      </c>
      <c r="D574" s="224">
        <v>20054</v>
      </c>
      <c r="E574" s="224">
        <v>12734</v>
      </c>
      <c r="F574" s="250" t="s">
        <v>78</v>
      </c>
      <c r="G574" s="223" t="s">
        <v>3215</v>
      </c>
      <c r="I574" s="223">
        <v>1758.75</v>
      </c>
      <c r="AV574" s="22">
        <f t="shared" si="56"/>
        <v>1758.75</v>
      </c>
      <c r="AW574" s="223">
        <v>1175.3499999999999</v>
      </c>
      <c r="AX574" s="223">
        <v>159.65</v>
      </c>
      <c r="AY574" s="223">
        <v>423.75</v>
      </c>
      <c r="CK574" s="22">
        <f t="shared" si="52"/>
        <v>1758.75</v>
      </c>
      <c r="CL574" s="3">
        <f t="shared" si="53"/>
        <v>0</v>
      </c>
      <c r="CM574" s="222">
        <f t="shared" si="54"/>
        <v>12734</v>
      </c>
      <c r="CN574" s="3" t="str">
        <f t="shared" si="55"/>
        <v>برنامج دولى</v>
      </c>
    </row>
    <row r="575" spans="3:92" x14ac:dyDescent="0.25">
      <c r="C575" s="223" t="s">
        <v>657</v>
      </c>
      <c r="D575" s="224">
        <v>20053</v>
      </c>
      <c r="E575" s="224">
        <v>12735</v>
      </c>
      <c r="F575" s="250" t="s">
        <v>78</v>
      </c>
      <c r="G575" s="223" t="s">
        <v>5319</v>
      </c>
      <c r="I575" s="223">
        <v>1758.75</v>
      </c>
      <c r="AV575" s="22">
        <f t="shared" si="56"/>
        <v>1758.75</v>
      </c>
      <c r="AW575" s="223">
        <v>1175.3499999999999</v>
      </c>
      <c r="AX575" s="223">
        <v>159.65</v>
      </c>
      <c r="AY575" s="223">
        <v>423.75</v>
      </c>
      <c r="CK575" s="22">
        <f t="shared" si="52"/>
        <v>1758.75</v>
      </c>
      <c r="CL575" s="3">
        <f t="shared" si="53"/>
        <v>0</v>
      </c>
      <c r="CM575" s="222">
        <f t="shared" si="54"/>
        <v>12735</v>
      </c>
      <c r="CN575" s="3" t="str">
        <f t="shared" si="55"/>
        <v>برنامج دولى</v>
      </c>
    </row>
    <row r="576" spans="3:92" x14ac:dyDescent="0.25">
      <c r="C576" s="223" t="s">
        <v>657</v>
      </c>
      <c r="D576" s="224">
        <v>20052</v>
      </c>
      <c r="E576" s="224">
        <v>12736</v>
      </c>
      <c r="F576" s="250" t="s">
        <v>78</v>
      </c>
      <c r="G576" s="223" t="str">
        <f>+G574</f>
        <v>مكافاه علاقات ثقافيه</v>
      </c>
      <c r="I576" s="223">
        <v>11035</v>
      </c>
      <c r="AV576" s="22">
        <f t="shared" si="56"/>
        <v>11035</v>
      </c>
      <c r="AW576" s="223">
        <v>8272.1</v>
      </c>
      <c r="AX576" s="223">
        <v>1067.9000000000001</v>
      </c>
      <c r="AY576" s="223">
        <v>1695</v>
      </c>
      <c r="CK576" s="22">
        <f t="shared" si="52"/>
        <v>11035</v>
      </c>
      <c r="CL576" s="3">
        <f t="shared" si="53"/>
        <v>0</v>
      </c>
      <c r="CM576" s="222">
        <f t="shared" si="54"/>
        <v>12736</v>
      </c>
      <c r="CN576" s="3" t="str">
        <f t="shared" si="55"/>
        <v>برنامج دولى</v>
      </c>
    </row>
    <row r="577" spans="3:92" x14ac:dyDescent="0.25">
      <c r="C577" s="223" t="s">
        <v>657</v>
      </c>
      <c r="D577" s="224">
        <v>20051</v>
      </c>
      <c r="E577" s="224">
        <v>12737</v>
      </c>
      <c r="F577" s="250" t="s">
        <v>78</v>
      </c>
      <c r="G577" s="223" t="s">
        <v>822</v>
      </c>
      <c r="I577" s="223">
        <v>600</v>
      </c>
      <c r="AV577" s="22">
        <f t="shared" si="56"/>
        <v>600</v>
      </c>
      <c r="AW577" s="223">
        <v>536.15</v>
      </c>
      <c r="AX577" s="223">
        <v>63.85</v>
      </c>
      <c r="CK577" s="22">
        <f t="shared" si="52"/>
        <v>600</v>
      </c>
      <c r="CL577" s="3">
        <f t="shared" si="53"/>
        <v>0</v>
      </c>
      <c r="CM577" s="222">
        <f t="shared" si="54"/>
        <v>12737</v>
      </c>
      <c r="CN577" s="3" t="str">
        <f t="shared" si="55"/>
        <v>برنامج دولى</v>
      </c>
    </row>
    <row r="578" spans="3:92" x14ac:dyDescent="0.25">
      <c r="C578" s="223" t="s">
        <v>657</v>
      </c>
      <c r="D578" s="224">
        <v>20050</v>
      </c>
      <c r="E578" s="224">
        <v>12738</v>
      </c>
      <c r="F578" s="250" t="s">
        <v>78</v>
      </c>
      <c r="G578" s="223" t="s">
        <v>822</v>
      </c>
      <c r="I578" s="223">
        <v>600</v>
      </c>
      <c r="AV578" s="22">
        <f t="shared" si="56"/>
        <v>600</v>
      </c>
      <c r="AW578" s="223">
        <v>536.15</v>
      </c>
      <c r="AX578" s="223">
        <v>63.85</v>
      </c>
      <c r="CK578" s="22">
        <f t="shared" si="52"/>
        <v>600</v>
      </c>
      <c r="CL578" s="3">
        <f t="shared" si="53"/>
        <v>0</v>
      </c>
      <c r="CM578" s="222">
        <f t="shared" si="54"/>
        <v>12738</v>
      </c>
      <c r="CN578" s="3" t="str">
        <f t="shared" si="55"/>
        <v>برنامج دولى</v>
      </c>
    </row>
    <row r="579" spans="3:92" x14ac:dyDescent="0.25">
      <c r="C579" s="223" t="s">
        <v>657</v>
      </c>
      <c r="D579" s="224">
        <v>20049</v>
      </c>
      <c r="E579" s="224">
        <v>12739</v>
      </c>
      <c r="F579" s="250" t="s">
        <v>78</v>
      </c>
      <c r="G579" s="223" t="s">
        <v>822</v>
      </c>
      <c r="I579" s="223">
        <v>600</v>
      </c>
      <c r="AV579" s="22">
        <f t="shared" si="56"/>
        <v>600</v>
      </c>
      <c r="AW579" s="223">
        <v>536.15</v>
      </c>
      <c r="AX579" s="223">
        <v>63.85</v>
      </c>
      <c r="CK579" s="22">
        <f t="shared" si="52"/>
        <v>600</v>
      </c>
      <c r="CL579" s="3">
        <f t="shared" si="53"/>
        <v>0</v>
      </c>
      <c r="CM579" s="222">
        <f t="shared" si="54"/>
        <v>12739</v>
      </c>
      <c r="CN579" s="3" t="str">
        <f t="shared" si="55"/>
        <v>برنامج دولى</v>
      </c>
    </row>
    <row r="580" spans="3:92" x14ac:dyDescent="0.25">
      <c r="C580" s="223" t="s">
        <v>657</v>
      </c>
      <c r="D580" s="224">
        <v>20048</v>
      </c>
      <c r="E580" s="224">
        <v>12740</v>
      </c>
      <c r="F580" s="250" t="s">
        <v>78</v>
      </c>
      <c r="G580" s="223" t="s">
        <v>822</v>
      </c>
      <c r="I580" s="223">
        <v>1200</v>
      </c>
      <c r="AV580" s="22">
        <f t="shared" si="56"/>
        <v>1200</v>
      </c>
      <c r="AW580" s="223">
        <v>1072.3</v>
      </c>
      <c r="AX580" s="223">
        <v>127.7</v>
      </c>
      <c r="CK580" s="22">
        <f t="shared" si="52"/>
        <v>1200</v>
      </c>
      <c r="CL580" s="3">
        <f t="shared" si="53"/>
        <v>0</v>
      </c>
      <c r="CM580" s="222">
        <f t="shared" si="54"/>
        <v>12740</v>
      </c>
      <c r="CN580" s="3" t="str">
        <f t="shared" si="55"/>
        <v>برنامج دولى</v>
      </c>
    </row>
    <row r="581" spans="3:92" x14ac:dyDescent="0.25">
      <c r="C581" s="223" t="s">
        <v>657</v>
      </c>
      <c r="D581" s="224">
        <v>20047</v>
      </c>
      <c r="E581" s="224">
        <v>12741</v>
      </c>
      <c r="F581" s="250" t="s">
        <v>78</v>
      </c>
      <c r="G581" s="223" t="s">
        <v>823</v>
      </c>
      <c r="I581" s="223">
        <v>351.75</v>
      </c>
      <c r="AV581" s="22">
        <f t="shared" si="56"/>
        <v>351.75</v>
      </c>
      <c r="AW581" s="223">
        <v>235.55</v>
      </c>
      <c r="AX581" s="223">
        <v>31.45</v>
      </c>
      <c r="AY581" s="223">
        <v>84.75</v>
      </c>
      <c r="CK581" s="22">
        <f t="shared" si="52"/>
        <v>351.75</v>
      </c>
      <c r="CL581" s="3">
        <f t="shared" si="53"/>
        <v>0</v>
      </c>
      <c r="CM581" s="222">
        <f t="shared" si="54"/>
        <v>12741</v>
      </c>
      <c r="CN581" s="3" t="str">
        <f t="shared" si="55"/>
        <v>برنامج دولى</v>
      </c>
    </row>
    <row r="582" spans="3:92" x14ac:dyDescent="0.25">
      <c r="C582" s="223" t="s">
        <v>657</v>
      </c>
      <c r="D582" s="224">
        <v>20046</v>
      </c>
      <c r="E582" s="224">
        <v>12742</v>
      </c>
      <c r="F582" s="250" t="s">
        <v>78</v>
      </c>
      <c r="G582" s="223" t="s">
        <v>665</v>
      </c>
      <c r="I582" s="223">
        <v>351.75</v>
      </c>
      <c r="AV582" s="22">
        <f t="shared" si="56"/>
        <v>351.75</v>
      </c>
      <c r="AW582" s="223">
        <v>235.55</v>
      </c>
      <c r="AX582" s="223">
        <v>31.45</v>
      </c>
      <c r="AY582" s="223">
        <v>84.75</v>
      </c>
      <c r="CK582" s="22">
        <f t="shared" si="52"/>
        <v>351.75</v>
      </c>
      <c r="CL582" s="3">
        <f t="shared" si="53"/>
        <v>0</v>
      </c>
      <c r="CM582" s="222">
        <f t="shared" si="54"/>
        <v>12742</v>
      </c>
      <c r="CN582" s="3" t="str">
        <f t="shared" si="55"/>
        <v>برنامج دولى</v>
      </c>
    </row>
    <row r="583" spans="3:92" x14ac:dyDescent="0.25">
      <c r="C583" s="223" t="s">
        <v>657</v>
      </c>
      <c r="D583" s="224">
        <v>20045</v>
      </c>
      <c r="E583" s="224">
        <v>12743</v>
      </c>
      <c r="F583" s="250" t="s">
        <v>78</v>
      </c>
      <c r="G583" s="223" t="str">
        <f>+G581</f>
        <v>مكافاه ماموريه منصور بشير</v>
      </c>
      <c r="I583" s="223">
        <v>527.62</v>
      </c>
      <c r="AV583" s="22">
        <f t="shared" si="56"/>
        <v>527.62</v>
      </c>
      <c r="AW583" s="223">
        <v>353.2</v>
      </c>
      <c r="AX583" s="223">
        <v>47.3</v>
      </c>
      <c r="AY583" s="223">
        <v>127.12</v>
      </c>
      <c r="CK583" s="22">
        <f t="shared" si="52"/>
        <v>527.62</v>
      </c>
      <c r="CL583" s="3">
        <f t="shared" si="53"/>
        <v>0</v>
      </c>
      <c r="CM583" s="222">
        <f t="shared" si="54"/>
        <v>12743</v>
      </c>
      <c r="CN583" s="3" t="str">
        <f t="shared" si="55"/>
        <v>برنامج دولى</v>
      </c>
    </row>
    <row r="584" spans="3:92" x14ac:dyDescent="0.25">
      <c r="C584" s="223" t="s">
        <v>657</v>
      </c>
      <c r="D584" s="224">
        <v>20046</v>
      </c>
      <c r="E584" s="224">
        <v>12744</v>
      </c>
      <c r="F584" s="250" t="s">
        <v>78</v>
      </c>
      <c r="G584" s="223" t="s">
        <v>5323</v>
      </c>
      <c r="I584" s="223">
        <v>5208.3900000000003</v>
      </c>
      <c r="AV584" s="22">
        <f t="shared" si="56"/>
        <v>5208.3900000000003</v>
      </c>
      <c r="AW584" s="223">
        <v>3720.79</v>
      </c>
      <c r="AX584" s="223">
        <v>491.25</v>
      </c>
      <c r="AY584" s="223">
        <v>996.35</v>
      </c>
      <c r="CK584" s="22">
        <f t="shared" si="52"/>
        <v>5208.3900000000003</v>
      </c>
      <c r="CL584" s="3">
        <f t="shared" si="53"/>
        <v>0</v>
      </c>
      <c r="CM584" s="222">
        <f t="shared" si="54"/>
        <v>12744</v>
      </c>
      <c r="CN584" s="3" t="str">
        <f t="shared" si="55"/>
        <v>برنامج دولى</v>
      </c>
    </row>
    <row r="585" spans="3:92" x14ac:dyDescent="0.25">
      <c r="C585" s="223" t="s">
        <v>657</v>
      </c>
      <c r="D585" s="224">
        <v>20045</v>
      </c>
      <c r="E585" s="224">
        <v>12745</v>
      </c>
      <c r="F585" s="250" t="s">
        <v>78</v>
      </c>
      <c r="G585" s="223" t="s">
        <v>5323</v>
      </c>
      <c r="I585" s="223">
        <v>10000.379999999999</v>
      </c>
      <c r="AV585" s="22">
        <f t="shared" si="56"/>
        <v>10000.379999999999</v>
      </c>
      <c r="AW585" s="223">
        <v>7705.16</v>
      </c>
      <c r="AX585" s="223">
        <v>984.45</v>
      </c>
      <c r="AY585" s="223">
        <v>1310.77</v>
      </c>
      <c r="CK585" s="22">
        <f t="shared" si="52"/>
        <v>10000.380000000001</v>
      </c>
      <c r="CL585" s="3">
        <f t="shared" si="53"/>
        <v>0</v>
      </c>
      <c r="CM585" s="222">
        <f t="shared" si="54"/>
        <v>12745</v>
      </c>
      <c r="CN585" s="3" t="str">
        <f t="shared" si="55"/>
        <v>برنامج دولى</v>
      </c>
    </row>
    <row r="586" spans="3:92" x14ac:dyDescent="0.25">
      <c r="C586" s="223" t="s">
        <v>657</v>
      </c>
      <c r="D586" s="224">
        <v>20366</v>
      </c>
      <c r="E586" s="224">
        <v>12746</v>
      </c>
      <c r="F586" s="250" t="s">
        <v>78</v>
      </c>
      <c r="G586" s="223" t="s">
        <v>5324</v>
      </c>
      <c r="I586" s="223">
        <v>410.38</v>
      </c>
      <c r="AV586" s="22">
        <f t="shared" si="56"/>
        <v>410.38</v>
      </c>
      <c r="AW586" s="223">
        <v>274.8</v>
      </c>
      <c r="AX586" s="223">
        <v>36.700000000000003</v>
      </c>
      <c r="AY586" s="223">
        <v>98.88</v>
      </c>
      <c r="CK586" s="22">
        <f t="shared" si="52"/>
        <v>410.38</v>
      </c>
      <c r="CL586" s="3">
        <f t="shared" si="53"/>
        <v>0</v>
      </c>
      <c r="CM586" s="222">
        <f t="shared" si="54"/>
        <v>12746</v>
      </c>
      <c r="CN586" s="3" t="str">
        <f t="shared" si="55"/>
        <v>برنامج دولى</v>
      </c>
    </row>
    <row r="587" spans="3:92" x14ac:dyDescent="0.25">
      <c r="C587" s="223" t="s">
        <v>657</v>
      </c>
      <c r="D587" s="224">
        <v>20367</v>
      </c>
      <c r="E587" s="224">
        <v>12747</v>
      </c>
      <c r="F587" s="250" t="s">
        <v>78</v>
      </c>
      <c r="G587" s="223" t="s">
        <v>3878</v>
      </c>
      <c r="I587" s="223">
        <v>820.76</v>
      </c>
      <c r="AV587" s="22">
        <f t="shared" si="56"/>
        <v>820.76</v>
      </c>
      <c r="AW587" s="223">
        <v>548.95000000000005</v>
      </c>
      <c r="AX587" s="223">
        <f>70+4.05</f>
        <v>74.05</v>
      </c>
      <c r="AY587" s="223">
        <v>197.76</v>
      </c>
      <c r="CK587" s="22">
        <f t="shared" si="52"/>
        <v>820.76</v>
      </c>
      <c r="CL587" s="3">
        <f t="shared" si="53"/>
        <v>0</v>
      </c>
      <c r="CM587" s="222">
        <f t="shared" si="54"/>
        <v>12747</v>
      </c>
      <c r="CN587" s="3" t="str">
        <f t="shared" si="55"/>
        <v>برنامج دولى</v>
      </c>
    </row>
    <row r="588" spans="3:92" x14ac:dyDescent="0.25">
      <c r="C588" s="223" t="s">
        <v>566</v>
      </c>
      <c r="D588" s="224">
        <v>20696</v>
      </c>
      <c r="E588" s="224">
        <v>12748</v>
      </c>
      <c r="F588" s="250" t="s">
        <v>130</v>
      </c>
      <c r="G588" s="223" t="s">
        <v>5325</v>
      </c>
      <c r="I588" s="223">
        <v>2840</v>
      </c>
      <c r="AV588" s="22">
        <f t="shared" si="56"/>
        <v>2840</v>
      </c>
      <c r="AW588" s="223">
        <v>2142.7199999999998</v>
      </c>
      <c r="AX588" s="223">
        <v>555.28</v>
      </c>
      <c r="AZ588" s="223">
        <v>142</v>
      </c>
      <c r="CK588" s="22">
        <f t="shared" si="52"/>
        <v>2840</v>
      </c>
      <c r="CL588" s="3">
        <f t="shared" si="53"/>
        <v>0</v>
      </c>
      <c r="CM588" s="222">
        <f t="shared" si="54"/>
        <v>12748</v>
      </c>
      <c r="CN588" s="3" t="str">
        <f t="shared" si="55"/>
        <v>خ ت طب</v>
      </c>
    </row>
    <row r="589" spans="3:92" x14ac:dyDescent="0.25">
      <c r="C589" s="223" t="s">
        <v>566</v>
      </c>
      <c r="D589" s="224">
        <v>20698</v>
      </c>
      <c r="E589" s="224">
        <v>12749</v>
      </c>
      <c r="F589" s="250" t="s">
        <v>130</v>
      </c>
      <c r="G589" s="223" t="s">
        <v>5325</v>
      </c>
      <c r="I589" s="223">
        <v>2880</v>
      </c>
      <c r="AV589" s="22">
        <f t="shared" si="56"/>
        <v>2880</v>
      </c>
      <c r="AW589" s="223">
        <v>2174.08</v>
      </c>
      <c r="AX589" s="223">
        <v>561.91999999999996</v>
      </c>
      <c r="AZ589" s="223">
        <v>144</v>
      </c>
      <c r="CK589" s="22">
        <f t="shared" si="52"/>
        <v>2880</v>
      </c>
      <c r="CL589" s="3">
        <f t="shared" si="53"/>
        <v>0</v>
      </c>
      <c r="CM589" s="222">
        <f t="shared" si="54"/>
        <v>12749</v>
      </c>
      <c r="CN589" s="3" t="str">
        <f t="shared" si="55"/>
        <v>خ ت طب</v>
      </c>
    </row>
    <row r="590" spans="3:92" x14ac:dyDescent="0.25">
      <c r="C590" s="223" t="s">
        <v>566</v>
      </c>
      <c r="D590" s="224">
        <v>20699</v>
      </c>
      <c r="E590" s="224">
        <v>12750</v>
      </c>
      <c r="F590" s="250" t="s">
        <v>130</v>
      </c>
      <c r="G590" s="223" t="s">
        <v>5325</v>
      </c>
      <c r="I590" s="223">
        <v>480</v>
      </c>
      <c r="AV590" s="22">
        <f t="shared" si="56"/>
        <v>480</v>
      </c>
      <c r="AW590" s="223">
        <v>362.56</v>
      </c>
      <c r="AX590" s="223">
        <v>93.44</v>
      </c>
      <c r="AZ590" s="223">
        <v>24</v>
      </c>
      <c r="CK590" s="22">
        <f t="shared" si="52"/>
        <v>480</v>
      </c>
      <c r="CL590" s="3">
        <f t="shared" si="53"/>
        <v>0</v>
      </c>
      <c r="CM590" s="222">
        <f t="shared" si="54"/>
        <v>12750</v>
      </c>
      <c r="CN590" s="3" t="str">
        <f t="shared" si="55"/>
        <v>خ ت طب</v>
      </c>
    </row>
    <row r="591" spans="3:92" x14ac:dyDescent="0.25">
      <c r="C591" s="223" t="s">
        <v>566</v>
      </c>
      <c r="D591" s="224">
        <v>20697</v>
      </c>
      <c r="E591" s="224">
        <v>12751</v>
      </c>
      <c r="F591" s="250" t="s">
        <v>130</v>
      </c>
      <c r="G591" s="223" t="s">
        <v>5325</v>
      </c>
      <c r="I591" s="223">
        <v>4320</v>
      </c>
      <c r="AV591" s="22">
        <f t="shared" si="56"/>
        <v>4320</v>
      </c>
      <c r="AW591" s="223">
        <v>3261.32</v>
      </c>
      <c r="AX591" s="223">
        <v>842.68</v>
      </c>
      <c r="AZ591" s="223">
        <v>216</v>
      </c>
      <c r="CK591" s="22">
        <f t="shared" si="52"/>
        <v>4320</v>
      </c>
      <c r="CL591" s="3">
        <f t="shared" si="53"/>
        <v>0</v>
      </c>
      <c r="CM591" s="222">
        <f t="shared" si="54"/>
        <v>12751</v>
      </c>
      <c r="CN591" s="3" t="str">
        <f t="shared" si="55"/>
        <v>خ ت طب</v>
      </c>
    </row>
    <row r="592" spans="3:92" x14ac:dyDescent="0.25">
      <c r="C592" s="223" t="s">
        <v>566</v>
      </c>
      <c r="D592" s="224">
        <v>20701</v>
      </c>
      <c r="E592" s="224">
        <v>12752</v>
      </c>
      <c r="F592" s="250" t="s">
        <v>130</v>
      </c>
      <c r="G592" s="223" t="s">
        <v>5325</v>
      </c>
      <c r="I592" s="223">
        <v>5280</v>
      </c>
      <c r="AV592" s="22">
        <f t="shared" si="56"/>
        <v>5280</v>
      </c>
      <c r="AW592" s="223">
        <v>3983.96</v>
      </c>
      <c r="AX592" s="223">
        <v>1032.04</v>
      </c>
      <c r="AZ592" s="223">
        <v>264</v>
      </c>
      <c r="CK592" s="22">
        <f t="shared" si="52"/>
        <v>5280</v>
      </c>
      <c r="CL592" s="3">
        <f t="shared" si="53"/>
        <v>0</v>
      </c>
      <c r="CM592" s="222">
        <f t="shared" si="54"/>
        <v>12752</v>
      </c>
      <c r="CN592" s="3" t="str">
        <f t="shared" si="55"/>
        <v>خ ت طب</v>
      </c>
    </row>
    <row r="593" spans="3:92" x14ac:dyDescent="0.25">
      <c r="C593" s="223" t="s">
        <v>566</v>
      </c>
      <c r="D593" s="224">
        <v>20700</v>
      </c>
      <c r="E593" s="224">
        <v>12753</v>
      </c>
      <c r="F593" s="250" t="s">
        <v>130</v>
      </c>
      <c r="G593" s="223" t="s">
        <v>5325</v>
      </c>
      <c r="I593" s="223">
        <v>2640</v>
      </c>
      <c r="AV593" s="22">
        <f t="shared" si="56"/>
        <v>2640</v>
      </c>
      <c r="AW593" s="223">
        <v>2009.43</v>
      </c>
      <c r="AX593" s="223">
        <v>498.57</v>
      </c>
      <c r="AZ593" s="223">
        <v>132</v>
      </c>
      <c r="CK593" s="22">
        <f t="shared" si="52"/>
        <v>2640</v>
      </c>
      <c r="CL593" s="3">
        <f t="shared" si="53"/>
        <v>0</v>
      </c>
      <c r="CM593" s="222">
        <f t="shared" si="54"/>
        <v>12753</v>
      </c>
      <c r="CN593" s="3" t="str">
        <f t="shared" si="55"/>
        <v>خ ت طب</v>
      </c>
    </row>
    <row r="594" spans="3:92" x14ac:dyDescent="0.25">
      <c r="C594" s="223" t="s">
        <v>566</v>
      </c>
      <c r="D594" s="224">
        <v>20702</v>
      </c>
      <c r="E594" s="224">
        <v>12754</v>
      </c>
      <c r="F594" s="250" t="s">
        <v>130</v>
      </c>
      <c r="G594" s="223" t="s">
        <v>5325</v>
      </c>
      <c r="I594" s="223">
        <v>2880</v>
      </c>
      <c r="AV594" s="22">
        <f t="shared" si="56"/>
        <v>2880</v>
      </c>
      <c r="AW594" s="223">
        <v>2174.2399999999998</v>
      </c>
      <c r="AX594" s="223">
        <v>561.76</v>
      </c>
      <c r="AZ594" s="223">
        <v>144</v>
      </c>
      <c r="CK594" s="22">
        <f t="shared" si="52"/>
        <v>2880</v>
      </c>
      <c r="CL594" s="3">
        <f t="shared" si="53"/>
        <v>0</v>
      </c>
      <c r="CM594" s="222">
        <f t="shared" si="54"/>
        <v>12754</v>
      </c>
      <c r="CN594" s="3" t="str">
        <f t="shared" si="55"/>
        <v>خ ت طب</v>
      </c>
    </row>
    <row r="595" spans="3:92" x14ac:dyDescent="0.25">
      <c r="C595" s="223" t="s">
        <v>566</v>
      </c>
      <c r="D595" s="224">
        <v>20707</v>
      </c>
      <c r="E595" s="224">
        <v>12755</v>
      </c>
      <c r="F595" s="250" t="s">
        <v>130</v>
      </c>
      <c r="G595" s="223" t="s">
        <v>5325</v>
      </c>
      <c r="I595" s="223">
        <v>3300</v>
      </c>
      <c r="AV595" s="22">
        <f t="shared" si="56"/>
        <v>3300</v>
      </c>
      <c r="AW595" s="223">
        <v>2492.48</v>
      </c>
      <c r="AX595" s="223">
        <v>642.52</v>
      </c>
      <c r="AZ595" s="223">
        <v>165</v>
      </c>
      <c r="CK595" s="22">
        <f t="shared" si="52"/>
        <v>3300</v>
      </c>
      <c r="CL595" s="3">
        <f t="shared" si="53"/>
        <v>0</v>
      </c>
      <c r="CM595" s="222">
        <f t="shared" si="54"/>
        <v>12755</v>
      </c>
      <c r="CN595" s="3" t="str">
        <f t="shared" si="55"/>
        <v>خ ت طب</v>
      </c>
    </row>
    <row r="596" spans="3:92" x14ac:dyDescent="0.25">
      <c r="C596" s="223" t="s">
        <v>566</v>
      </c>
      <c r="D596" s="224">
        <v>20708</v>
      </c>
      <c r="E596" s="224">
        <v>12756</v>
      </c>
      <c r="F596" s="250" t="s">
        <v>130</v>
      </c>
      <c r="G596" s="223" t="s">
        <v>5325</v>
      </c>
      <c r="I596" s="223">
        <v>3360</v>
      </c>
      <c r="AV596" s="22">
        <f t="shared" si="56"/>
        <v>3360</v>
      </c>
      <c r="AW596" s="223">
        <v>2537.6799999999998</v>
      </c>
      <c r="AX596" s="223">
        <v>654.32000000000005</v>
      </c>
      <c r="AZ596" s="223">
        <v>168</v>
      </c>
      <c r="CK596" s="22">
        <f t="shared" si="52"/>
        <v>3360</v>
      </c>
      <c r="CL596" s="3">
        <f t="shared" si="53"/>
        <v>0</v>
      </c>
      <c r="CM596" s="222">
        <f t="shared" si="54"/>
        <v>12756</v>
      </c>
      <c r="CN596" s="3" t="str">
        <f t="shared" si="55"/>
        <v>خ ت طب</v>
      </c>
    </row>
    <row r="597" spans="3:92" x14ac:dyDescent="0.25">
      <c r="C597" s="223" t="s">
        <v>566</v>
      </c>
      <c r="D597" s="224">
        <v>20706</v>
      </c>
      <c r="E597" s="224">
        <v>12757</v>
      </c>
      <c r="F597" s="250" t="s">
        <v>130</v>
      </c>
      <c r="G597" s="223" t="s">
        <v>5325</v>
      </c>
      <c r="I597" s="223">
        <v>3300</v>
      </c>
      <c r="AV597" s="22">
        <f t="shared" si="56"/>
        <v>3300</v>
      </c>
      <c r="AW597" s="223">
        <v>2491.44</v>
      </c>
      <c r="AX597" s="223">
        <v>643.55999999999995</v>
      </c>
      <c r="AZ597" s="223">
        <v>165</v>
      </c>
      <c r="CK597" s="22">
        <f t="shared" si="52"/>
        <v>3300</v>
      </c>
      <c r="CL597" s="3">
        <f t="shared" si="53"/>
        <v>0</v>
      </c>
      <c r="CM597" s="222">
        <f t="shared" si="54"/>
        <v>12757</v>
      </c>
      <c r="CN597" s="3" t="str">
        <f t="shared" si="55"/>
        <v>خ ت طب</v>
      </c>
    </row>
    <row r="598" spans="3:92" x14ac:dyDescent="0.25">
      <c r="C598" s="223" t="s">
        <v>566</v>
      </c>
      <c r="D598" s="224">
        <v>20703</v>
      </c>
      <c r="E598" s="224">
        <v>12758</v>
      </c>
      <c r="F598" s="250" t="s">
        <v>130</v>
      </c>
      <c r="G598" s="223" t="s">
        <v>5325</v>
      </c>
      <c r="I598" s="223">
        <v>2440</v>
      </c>
      <c r="AV598" s="22">
        <f t="shared" si="56"/>
        <v>2440</v>
      </c>
      <c r="AW598" s="223">
        <v>1844.4</v>
      </c>
      <c r="AX598" s="223">
        <v>473.6</v>
      </c>
      <c r="AZ598" s="223">
        <v>122</v>
      </c>
      <c r="CK598" s="22">
        <f t="shared" ref="CK598:CK661" si="59">SUM(AW598:CJ598)</f>
        <v>2440</v>
      </c>
      <c r="CL598" s="3">
        <f t="shared" ref="CL598:CL661" si="60">+CK598-AV598</f>
        <v>0</v>
      </c>
      <c r="CM598" s="222">
        <f t="shared" ref="CM598:CM661" si="61">+E598</f>
        <v>12758</v>
      </c>
      <c r="CN598" s="3" t="str">
        <f t="shared" ref="CN598:CN661" si="62">+F598</f>
        <v>خ ت طب</v>
      </c>
    </row>
    <row r="599" spans="3:92" x14ac:dyDescent="0.25">
      <c r="C599" s="223" t="s">
        <v>566</v>
      </c>
      <c r="D599" s="224">
        <v>20451</v>
      </c>
      <c r="E599" s="224">
        <v>12759</v>
      </c>
      <c r="F599" s="250" t="s">
        <v>130</v>
      </c>
      <c r="G599" s="223" t="s">
        <v>5325</v>
      </c>
      <c r="I599" s="223">
        <v>1680</v>
      </c>
      <c r="AV599" s="22">
        <f t="shared" si="56"/>
        <v>1680</v>
      </c>
      <c r="AW599" s="223">
        <v>1268.04</v>
      </c>
      <c r="AX599" s="223">
        <v>327.96</v>
      </c>
      <c r="AZ599" s="223">
        <v>84</v>
      </c>
      <c r="CK599" s="22">
        <f t="shared" si="59"/>
        <v>1680</v>
      </c>
      <c r="CL599" s="3">
        <f t="shared" si="60"/>
        <v>0</v>
      </c>
      <c r="CM599" s="222">
        <f t="shared" si="61"/>
        <v>12759</v>
      </c>
      <c r="CN599" s="3" t="str">
        <f t="shared" si="62"/>
        <v>خ ت طب</v>
      </c>
    </row>
    <row r="600" spans="3:92" x14ac:dyDescent="0.25">
      <c r="C600" s="223" t="s">
        <v>566</v>
      </c>
      <c r="D600" s="224">
        <v>20450</v>
      </c>
      <c r="E600" s="224">
        <v>12760</v>
      </c>
      <c r="F600" s="250" t="s">
        <v>130</v>
      </c>
      <c r="G600" s="223" t="s">
        <v>5326</v>
      </c>
      <c r="I600" s="223">
        <v>30628.5</v>
      </c>
      <c r="AV600" s="22">
        <f t="shared" si="56"/>
        <v>30628.5</v>
      </c>
      <c r="AW600" s="223">
        <v>23099.16</v>
      </c>
      <c r="AX600" s="223">
        <v>5987.84</v>
      </c>
      <c r="AY600" s="226">
        <v>10.5</v>
      </c>
      <c r="AZ600" s="223">
        <v>1531</v>
      </c>
      <c r="CK600" s="22">
        <f t="shared" si="59"/>
        <v>30628.5</v>
      </c>
      <c r="CL600" s="3">
        <f t="shared" si="60"/>
        <v>0</v>
      </c>
      <c r="CM600" s="222">
        <f t="shared" si="61"/>
        <v>12760</v>
      </c>
      <c r="CN600" s="3" t="str">
        <f t="shared" si="62"/>
        <v>خ ت طب</v>
      </c>
    </row>
    <row r="601" spans="3:92" x14ac:dyDescent="0.25">
      <c r="C601" s="223" t="s">
        <v>566</v>
      </c>
      <c r="D601" s="224">
        <v>20449</v>
      </c>
      <c r="E601" s="224">
        <v>12761</v>
      </c>
      <c r="F601" s="250" t="s">
        <v>130</v>
      </c>
      <c r="G601" s="223" t="s">
        <v>5326</v>
      </c>
      <c r="I601" s="223">
        <v>166.8</v>
      </c>
      <c r="AV601" s="22">
        <f t="shared" si="56"/>
        <v>166.8</v>
      </c>
      <c r="AW601" s="223">
        <v>119.8</v>
      </c>
      <c r="AX601" s="223">
        <v>30.6</v>
      </c>
      <c r="AY601" s="223">
        <v>8.4</v>
      </c>
      <c r="AZ601" s="223">
        <v>8</v>
      </c>
      <c r="CK601" s="22">
        <f t="shared" si="59"/>
        <v>166.8</v>
      </c>
      <c r="CL601" s="3">
        <f t="shared" si="60"/>
        <v>0</v>
      </c>
      <c r="CM601" s="222">
        <f t="shared" si="61"/>
        <v>12761</v>
      </c>
      <c r="CN601" s="3" t="str">
        <f t="shared" si="62"/>
        <v>خ ت طب</v>
      </c>
    </row>
    <row r="602" spans="3:92" x14ac:dyDescent="0.25">
      <c r="C602" s="223" t="s">
        <v>566</v>
      </c>
      <c r="D602" s="224">
        <v>20704</v>
      </c>
      <c r="E602" s="224">
        <v>12762</v>
      </c>
      <c r="F602" s="250" t="s">
        <v>130</v>
      </c>
      <c r="G602" s="223" t="str">
        <f>+G599</f>
        <v>مكافاه تدريس دكتوراه</v>
      </c>
      <c r="I602" s="223">
        <v>4847.88</v>
      </c>
      <c r="AV602" s="22">
        <f t="shared" si="56"/>
        <v>4847.88</v>
      </c>
      <c r="AW602" s="223">
        <v>3613.88</v>
      </c>
      <c r="AX602" s="223">
        <v>909.29</v>
      </c>
      <c r="AY602" s="223">
        <v>84.71</v>
      </c>
      <c r="AZ602" s="223">
        <v>240</v>
      </c>
      <c r="CK602" s="22">
        <f t="shared" si="59"/>
        <v>4847.88</v>
      </c>
      <c r="CL602" s="3">
        <f t="shared" si="60"/>
        <v>0</v>
      </c>
      <c r="CM602" s="222">
        <f t="shared" si="61"/>
        <v>12762</v>
      </c>
      <c r="CN602" s="3" t="str">
        <f t="shared" si="62"/>
        <v>خ ت طب</v>
      </c>
    </row>
    <row r="603" spans="3:92" x14ac:dyDescent="0.25">
      <c r="C603" s="223" t="s">
        <v>566</v>
      </c>
      <c r="D603" s="224">
        <v>20705</v>
      </c>
      <c r="E603" s="224">
        <v>12763</v>
      </c>
      <c r="F603" s="250" t="s">
        <v>130</v>
      </c>
      <c r="G603" s="223" t="str">
        <f>+G602</f>
        <v>مكافاه تدريس دكتوراه</v>
      </c>
      <c r="I603" s="223">
        <v>2440</v>
      </c>
      <c r="AV603" s="22">
        <f t="shared" si="56"/>
        <v>2440</v>
      </c>
      <c r="AW603" s="223">
        <v>1844.4</v>
      </c>
      <c r="AX603" s="223">
        <v>473.6</v>
      </c>
      <c r="AZ603" s="223">
        <v>122</v>
      </c>
      <c r="CK603" s="22">
        <f t="shared" si="59"/>
        <v>2440</v>
      </c>
      <c r="CL603" s="3">
        <f t="shared" si="60"/>
        <v>0</v>
      </c>
      <c r="CM603" s="222">
        <f t="shared" si="61"/>
        <v>12763</v>
      </c>
      <c r="CN603" s="3" t="str">
        <f t="shared" si="62"/>
        <v>خ ت طب</v>
      </c>
    </row>
    <row r="604" spans="3:92" x14ac:dyDescent="0.25">
      <c r="C604" s="223" t="s">
        <v>566</v>
      </c>
      <c r="D604" s="224">
        <v>20722</v>
      </c>
      <c r="E604" s="224">
        <v>12764</v>
      </c>
      <c r="F604" s="250" t="s">
        <v>130</v>
      </c>
      <c r="G604" s="223" t="s">
        <v>5327</v>
      </c>
      <c r="I604" s="223">
        <v>4440</v>
      </c>
      <c r="AV604" s="22">
        <f t="shared" si="56"/>
        <v>4440</v>
      </c>
      <c r="AW604" s="223">
        <v>3355.04</v>
      </c>
      <c r="AX604" s="223">
        <v>862.96</v>
      </c>
      <c r="AZ604" s="223">
        <v>222</v>
      </c>
      <c r="CK604" s="22">
        <f t="shared" si="59"/>
        <v>4440</v>
      </c>
      <c r="CL604" s="3">
        <f t="shared" si="60"/>
        <v>0</v>
      </c>
      <c r="CM604" s="222">
        <f t="shared" si="61"/>
        <v>12764</v>
      </c>
      <c r="CN604" s="3" t="str">
        <f t="shared" si="62"/>
        <v>خ ت طب</v>
      </c>
    </row>
    <row r="605" spans="3:92" x14ac:dyDescent="0.25">
      <c r="C605" s="223" t="s">
        <v>566</v>
      </c>
      <c r="D605" s="224">
        <v>20721</v>
      </c>
      <c r="E605" s="224">
        <v>12765</v>
      </c>
      <c r="F605" s="250" t="s">
        <v>130</v>
      </c>
      <c r="G605" s="223" t="s">
        <v>5327</v>
      </c>
      <c r="I605" s="223">
        <v>2311.1999999999998</v>
      </c>
      <c r="AV605" s="22">
        <f t="shared" si="56"/>
        <v>2311.1999999999998</v>
      </c>
      <c r="AW605" s="223">
        <v>1713.67</v>
      </c>
      <c r="AX605" s="223">
        <v>428.33</v>
      </c>
      <c r="AY605" s="223">
        <v>55.2</v>
      </c>
      <c r="AZ605" s="223">
        <v>114</v>
      </c>
      <c r="CK605" s="22">
        <f t="shared" si="59"/>
        <v>2311.1999999999998</v>
      </c>
      <c r="CL605" s="3">
        <f t="shared" si="60"/>
        <v>0</v>
      </c>
      <c r="CM605" s="222">
        <f t="shared" si="61"/>
        <v>12765</v>
      </c>
      <c r="CN605" s="3" t="str">
        <f t="shared" si="62"/>
        <v>خ ت طب</v>
      </c>
    </row>
    <row r="606" spans="3:92" x14ac:dyDescent="0.25">
      <c r="C606" s="223" t="s">
        <v>566</v>
      </c>
      <c r="D606" s="224">
        <v>20695</v>
      </c>
      <c r="E606" s="224">
        <v>12766</v>
      </c>
      <c r="F606" s="250" t="s">
        <v>130</v>
      </c>
      <c r="G606" s="223" t="s">
        <v>5327</v>
      </c>
      <c r="I606" s="223">
        <v>2680</v>
      </c>
      <c r="AV606" s="22">
        <f t="shared" si="56"/>
        <v>2680</v>
      </c>
      <c r="AW606" s="223">
        <v>2025.36</v>
      </c>
      <c r="AX606" s="223">
        <v>520.64</v>
      </c>
      <c r="AZ606" s="223">
        <v>134</v>
      </c>
      <c r="CK606" s="22">
        <f t="shared" si="59"/>
        <v>2680</v>
      </c>
      <c r="CL606" s="3">
        <f t="shared" si="60"/>
        <v>0</v>
      </c>
      <c r="CM606" s="222">
        <f t="shared" si="61"/>
        <v>12766</v>
      </c>
      <c r="CN606" s="3" t="str">
        <f t="shared" si="62"/>
        <v>خ ت طب</v>
      </c>
    </row>
    <row r="607" spans="3:92" x14ac:dyDescent="0.25">
      <c r="C607" s="223" t="s">
        <v>566</v>
      </c>
      <c r="D607" s="224">
        <v>20694</v>
      </c>
      <c r="E607" s="224">
        <v>12767</v>
      </c>
      <c r="F607" s="250" t="s">
        <v>130</v>
      </c>
      <c r="G607" s="223" t="s">
        <v>5327</v>
      </c>
      <c r="I607" s="223">
        <v>1680</v>
      </c>
      <c r="AV607" s="22">
        <f t="shared" si="56"/>
        <v>1680</v>
      </c>
      <c r="AW607" s="223">
        <v>1269.04</v>
      </c>
      <c r="AX607" s="223">
        <v>326.95999999999998</v>
      </c>
      <c r="AZ607" s="223">
        <v>84</v>
      </c>
      <c r="CK607" s="22">
        <f t="shared" si="59"/>
        <v>1680</v>
      </c>
      <c r="CL607" s="3">
        <f t="shared" si="60"/>
        <v>0</v>
      </c>
      <c r="CM607" s="222">
        <f t="shared" si="61"/>
        <v>12767</v>
      </c>
      <c r="CN607" s="3" t="str">
        <f t="shared" si="62"/>
        <v>خ ت طب</v>
      </c>
    </row>
    <row r="608" spans="3:92" x14ac:dyDescent="0.25">
      <c r="C608" s="223" t="s">
        <v>566</v>
      </c>
      <c r="D608" s="224">
        <v>20693</v>
      </c>
      <c r="E608" s="224">
        <v>12768</v>
      </c>
      <c r="F608" s="250" t="s">
        <v>130</v>
      </c>
      <c r="G608" s="223" t="s">
        <v>5327</v>
      </c>
      <c r="I608" s="223">
        <v>2880</v>
      </c>
      <c r="AV608" s="22">
        <f t="shared" si="56"/>
        <v>2880</v>
      </c>
      <c r="AW608" s="223">
        <v>2187.66</v>
      </c>
      <c r="AX608" s="223">
        <v>548.34</v>
      </c>
      <c r="AZ608" s="223">
        <v>144</v>
      </c>
      <c r="CK608" s="22">
        <f t="shared" si="59"/>
        <v>2880</v>
      </c>
      <c r="CL608" s="3">
        <f t="shared" si="60"/>
        <v>0</v>
      </c>
      <c r="CM608" s="222">
        <f t="shared" si="61"/>
        <v>12768</v>
      </c>
      <c r="CN608" s="3" t="str">
        <f t="shared" si="62"/>
        <v>خ ت طب</v>
      </c>
    </row>
    <row r="609" spans="3:92" x14ac:dyDescent="0.25">
      <c r="C609" s="223" t="s">
        <v>566</v>
      </c>
      <c r="D609" s="224">
        <v>20692</v>
      </c>
      <c r="E609" s="224">
        <v>12769</v>
      </c>
      <c r="F609" s="250" t="s">
        <v>130</v>
      </c>
      <c r="G609" s="223" t="s">
        <v>5327</v>
      </c>
      <c r="I609" s="223">
        <v>2760</v>
      </c>
      <c r="AV609" s="22">
        <f t="shared" si="56"/>
        <v>2760</v>
      </c>
      <c r="AW609" s="223">
        <v>2085.1999999999998</v>
      </c>
      <c r="AX609" s="223">
        <v>536.79999999999995</v>
      </c>
      <c r="AZ609" s="223">
        <v>138</v>
      </c>
      <c r="CK609" s="22">
        <f t="shared" si="59"/>
        <v>2760</v>
      </c>
      <c r="CL609" s="3">
        <f t="shared" si="60"/>
        <v>0</v>
      </c>
      <c r="CM609" s="222">
        <f t="shared" si="61"/>
        <v>12769</v>
      </c>
      <c r="CN609" s="3" t="str">
        <f t="shared" si="62"/>
        <v>خ ت طب</v>
      </c>
    </row>
    <row r="610" spans="3:92" x14ac:dyDescent="0.25">
      <c r="C610" s="223" t="s">
        <v>566</v>
      </c>
      <c r="D610" s="224">
        <v>20690</v>
      </c>
      <c r="E610" s="224">
        <v>12770</v>
      </c>
      <c r="F610" s="250" t="s">
        <v>130</v>
      </c>
      <c r="G610" s="223" t="s">
        <v>5327</v>
      </c>
      <c r="I610" s="223">
        <v>3160</v>
      </c>
      <c r="AV610" s="22">
        <f t="shared" si="56"/>
        <v>3160</v>
      </c>
      <c r="AW610" s="223">
        <v>2385.8000000000002</v>
      </c>
      <c r="AX610" s="223">
        <v>616.20000000000005</v>
      </c>
      <c r="AZ610" s="223">
        <v>158</v>
      </c>
      <c r="CK610" s="22">
        <f t="shared" si="59"/>
        <v>3160</v>
      </c>
      <c r="CL610" s="3">
        <f t="shared" si="60"/>
        <v>0</v>
      </c>
      <c r="CM610" s="222">
        <f t="shared" si="61"/>
        <v>12770</v>
      </c>
      <c r="CN610" s="3" t="str">
        <f t="shared" si="62"/>
        <v>خ ت طب</v>
      </c>
    </row>
    <row r="611" spans="3:92" x14ac:dyDescent="0.25">
      <c r="C611" s="223" t="s">
        <v>566</v>
      </c>
      <c r="D611" s="224">
        <v>20691</v>
      </c>
      <c r="E611" s="224">
        <v>12771</v>
      </c>
      <c r="F611" s="250" t="s">
        <v>130</v>
      </c>
      <c r="G611" s="223" t="s">
        <v>5327</v>
      </c>
      <c r="I611" s="223">
        <v>3120</v>
      </c>
      <c r="AV611" s="22">
        <f t="shared" si="56"/>
        <v>3120</v>
      </c>
      <c r="AW611" s="223">
        <v>2356.88</v>
      </c>
      <c r="AX611" s="223">
        <v>607.12</v>
      </c>
      <c r="AZ611" s="223">
        <v>156</v>
      </c>
      <c r="CK611" s="22">
        <f t="shared" si="59"/>
        <v>3120</v>
      </c>
      <c r="CL611" s="3">
        <f t="shared" si="60"/>
        <v>0</v>
      </c>
      <c r="CM611" s="222">
        <f t="shared" si="61"/>
        <v>12771</v>
      </c>
      <c r="CN611" s="3" t="str">
        <f t="shared" si="62"/>
        <v>خ ت طب</v>
      </c>
    </row>
    <row r="612" spans="3:92" x14ac:dyDescent="0.25">
      <c r="C612" s="223" t="s">
        <v>566</v>
      </c>
      <c r="D612" s="224">
        <v>20453</v>
      </c>
      <c r="E612" s="224">
        <v>12772</v>
      </c>
      <c r="F612" s="250" t="s">
        <v>130</v>
      </c>
      <c r="G612" s="223" t="s">
        <v>5328</v>
      </c>
      <c r="I612" s="223">
        <v>240</v>
      </c>
      <c r="AV612" s="22">
        <f t="shared" si="56"/>
        <v>240</v>
      </c>
      <c r="AW612" s="223">
        <v>181.48</v>
      </c>
      <c r="AX612" s="223">
        <v>46.52</v>
      </c>
      <c r="AZ612" s="223">
        <v>12</v>
      </c>
      <c r="CK612" s="22">
        <f t="shared" si="59"/>
        <v>240</v>
      </c>
      <c r="CL612" s="3">
        <f t="shared" si="60"/>
        <v>0</v>
      </c>
      <c r="CM612" s="222">
        <f t="shared" si="61"/>
        <v>12772</v>
      </c>
      <c r="CN612" s="3" t="str">
        <f t="shared" si="62"/>
        <v>خ ت طب</v>
      </c>
    </row>
    <row r="613" spans="3:92" x14ac:dyDescent="0.25">
      <c r="C613" s="223" t="s">
        <v>566</v>
      </c>
      <c r="D613" s="224">
        <v>20452</v>
      </c>
      <c r="E613" s="224">
        <v>12773</v>
      </c>
      <c r="F613" s="250" t="s">
        <v>130</v>
      </c>
      <c r="G613" s="223" t="s">
        <v>5328</v>
      </c>
      <c r="I613" s="223">
        <v>1680</v>
      </c>
      <c r="AV613" s="22">
        <f t="shared" si="56"/>
        <v>1680</v>
      </c>
      <c r="AW613" s="223">
        <v>1267</v>
      </c>
      <c r="AX613" s="223">
        <v>329</v>
      </c>
      <c r="AZ613" s="223">
        <v>84</v>
      </c>
      <c r="CK613" s="22">
        <f t="shared" si="59"/>
        <v>1680</v>
      </c>
      <c r="CL613" s="3">
        <f t="shared" si="60"/>
        <v>0</v>
      </c>
      <c r="CM613" s="222">
        <f t="shared" si="61"/>
        <v>12773</v>
      </c>
      <c r="CN613" s="3" t="str">
        <f t="shared" si="62"/>
        <v>خ ت طب</v>
      </c>
    </row>
    <row r="614" spans="3:92" x14ac:dyDescent="0.25">
      <c r="C614" s="223" t="s">
        <v>566</v>
      </c>
      <c r="D614" s="224">
        <v>20454</v>
      </c>
      <c r="E614" s="224">
        <v>12774</v>
      </c>
      <c r="F614" s="250" t="s">
        <v>130</v>
      </c>
      <c r="G614" s="223" t="s">
        <v>5328</v>
      </c>
      <c r="I614" s="223">
        <v>1680</v>
      </c>
      <c r="AV614" s="22">
        <f t="shared" si="56"/>
        <v>1680</v>
      </c>
      <c r="AW614" s="223">
        <v>1267.52</v>
      </c>
      <c r="AX614" s="223">
        <v>328.48</v>
      </c>
      <c r="AZ614" s="223">
        <v>84</v>
      </c>
      <c r="CK614" s="22">
        <f t="shared" si="59"/>
        <v>1680</v>
      </c>
      <c r="CL614" s="3">
        <f t="shared" si="60"/>
        <v>0</v>
      </c>
      <c r="CM614" s="222">
        <f t="shared" si="61"/>
        <v>12774</v>
      </c>
      <c r="CN614" s="3" t="str">
        <f t="shared" si="62"/>
        <v>خ ت طب</v>
      </c>
    </row>
    <row r="615" spans="3:92" x14ac:dyDescent="0.25">
      <c r="C615" s="223" t="s">
        <v>566</v>
      </c>
      <c r="D615" s="224">
        <v>20455</v>
      </c>
      <c r="E615" s="224">
        <v>12775</v>
      </c>
      <c r="F615" s="250" t="s">
        <v>130</v>
      </c>
      <c r="G615" s="223" t="s">
        <v>5328</v>
      </c>
      <c r="I615" s="223">
        <v>1500</v>
      </c>
      <c r="AV615" s="22">
        <f t="shared" si="56"/>
        <v>1500</v>
      </c>
      <c r="AW615" s="223">
        <v>1134.5999999999999</v>
      </c>
      <c r="AX615" s="223">
        <v>290.39999999999998</v>
      </c>
      <c r="AZ615" s="223">
        <v>75</v>
      </c>
      <c r="CK615" s="22">
        <f t="shared" si="59"/>
        <v>1500</v>
      </c>
      <c r="CL615" s="3">
        <f t="shared" si="60"/>
        <v>0</v>
      </c>
      <c r="CM615" s="222">
        <f t="shared" si="61"/>
        <v>12775</v>
      </c>
      <c r="CN615" s="3" t="str">
        <f t="shared" si="62"/>
        <v>خ ت طب</v>
      </c>
    </row>
    <row r="616" spans="3:92" x14ac:dyDescent="0.25">
      <c r="C616" s="223" t="s">
        <v>566</v>
      </c>
      <c r="D616" s="224">
        <v>20457</v>
      </c>
      <c r="E616" s="224">
        <v>12776</v>
      </c>
      <c r="F616" s="250" t="s">
        <v>130</v>
      </c>
      <c r="G616" s="223" t="s">
        <v>5328</v>
      </c>
      <c r="I616" s="223">
        <v>1440</v>
      </c>
      <c r="AV616" s="22">
        <f t="shared" si="56"/>
        <v>1440</v>
      </c>
      <c r="AW616" s="223">
        <v>1087.4000000000001</v>
      </c>
      <c r="AX616" s="223">
        <v>280.60000000000002</v>
      </c>
      <c r="AZ616" s="223">
        <v>72</v>
      </c>
      <c r="CK616" s="22">
        <f t="shared" si="59"/>
        <v>1440</v>
      </c>
      <c r="CL616" s="3">
        <f t="shared" si="60"/>
        <v>0</v>
      </c>
      <c r="CM616" s="222">
        <f t="shared" si="61"/>
        <v>12776</v>
      </c>
      <c r="CN616" s="3" t="str">
        <f t="shared" si="62"/>
        <v>خ ت طب</v>
      </c>
    </row>
    <row r="617" spans="3:92" x14ac:dyDescent="0.25">
      <c r="C617" s="223" t="s">
        <v>566</v>
      </c>
      <c r="D617" s="224">
        <v>20456</v>
      </c>
      <c r="E617" s="224">
        <v>12777</v>
      </c>
      <c r="F617" s="250" t="s">
        <v>130</v>
      </c>
      <c r="G617" s="223" t="s">
        <v>5328</v>
      </c>
      <c r="I617" s="223">
        <v>200</v>
      </c>
      <c r="AV617" s="22">
        <f t="shared" si="56"/>
        <v>200</v>
      </c>
      <c r="AW617" s="223">
        <v>151.28</v>
      </c>
      <c r="AX617" s="223">
        <v>38.72</v>
      </c>
      <c r="AZ617" s="223">
        <v>10</v>
      </c>
      <c r="CK617" s="22">
        <f t="shared" si="59"/>
        <v>200</v>
      </c>
      <c r="CL617" s="3">
        <f t="shared" si="60"/>
        <v>0</v>
      </c>
      <c r="CM617" s="222">
        <f t="shared" si="61"/>
        <v>12777</v>
      </c>
      <c r="CN617" s="3" t="str">
        <f t="shared" si="62"/>
        <v>خ ت طب</v>
      </c>
    </row>
    <row r="618" spans="3:92" x14ac:dyDescent="0.25">
      <c r="C618" s="223" t="s">
        <v>566</v>
      </c>
      <c r="D618" s="224">
        <v>20458</v>
      </c>
      <c r="E618" s="224">
        <v>12778</v>
      </c>
      <c r="F618" s="250" t="s">
        <v>130</v>
      </c>
      <c r="G618" s="223" t="s">
        <v>814</v>
      </c>
      <c r="I618" s="223">
        <v>2880</v>
      </c>
      <c r="AV618" s="22">
        <f t="shared" si="56"/>
        <v>2880</v>
      </c>
      <c r="AW618" s="223">
        <v>2175.8000000000002</v>
      </c>
      <c r="AX618" s="223">
        <v>560.20000000000005</v>
      </c>
      <c r="AZ618" s="223">
        <v>144</v>
      </c>
      <c r="CK618" s="22">
        <f t="shared" si="59"/>
        <v>2880</v>
      </c>
      <c r="CL618" s="3">
        <f t="shared" si="60"/>
        <v>0</v>
      </c>
      <c r="CM618" s="222">
        <f t="shared" si="61"/>
        <v>12778</v>
      </c>
      <c r="CN618" s="3" t="str">
        <f t="shared" si="62"/>
        <v>خ ت طب</v>
      </c>
    </row>
    <row r="619" spans="3:92" x14ac:dyDescent="0.25">
      <c r="C619" s="223" t="s">
        <v>566</v>
      </c>
      <c r="D619" s="224">
        <v>20459</v>
      </c>
      <c r="E619" s="224">
        <v>12779</v>
      </c>
      <c r="F619" s="250" t="s">
        <v>130</v>
      </c>
      <c r="G619" s="223" t="str">
        <f>+G617</f>
        <v xml:space="preserve">مكافاه تدريس ربيع </v>
      </c>
      <c r="I619" s="223">
        <v>2880</v>
      </c>
      <c r="AV619" s="22">
        <f t="shared" si="56"/>
        <v>2880</v>
      </c>
      <c r="AW619" s="223">
        <v>2174.92</v>
      </c>
      <c r="AX619" s="223">
        <v>561.08000000000004</v>
      </c>
      <c r="AZ619" s="223">
        <v>144</v>
      </c>
      <c r="CK619" s="22">
        <f t="shared" si="59"/>
        <v>2880</v>
      </c>
      <c r="CL619" s="3">
        <f t="shared" si="60"/>
        <v>0</v>
      </c>
      <c r="CM619" s="222">
        <f t="shared" si="61"/>
        <v>12779</v>
      </c>
      <c r="CN619" s="3" t="str">
        <f t="shared" si="62"/>
        <v>خ ت طب</v>
      </c>
    </row>
    <row r="620" spans="3:92" x14ac:dyDescent="0.25">
      <c r="C620" s="223" t="s">
        <v>566</v>
      </c>
      <c r="D620" s="224">
        <v>20460</v>
      </c>
      <c r="E620" s="224">
        <v>12780</v>
      </c>
      <c r="F620" s="250" t="s">
        <v>130</v>
      </c>
      <c r="G620" s="223" t="str">
        <f>+G619</f>
        <v xml:space="preserve">مكافاه تدريس ربيع </v>
      </c>
      <c r="I620" s="223">
        <v>1420</v>
      </c>
      <c r="AV620" s="22">
        <f t="shared" si="56"/>
        <v>1420</v>
      </c>
      <c r="AW620" s="223">
        <v>1074.28</v>
      </c>
      <c r="AX620" s="223">
        <v>274.72000000000003</v>
      </c>
      <c r="AZ620" s="223">
        <v>71</v>
      </c>
      <c r="CK620" s="22">
        <f t="shared" si="59"/>
        <v>1420</v>
      </c>
      <c r="CL620" s="3">
        <f t="shared" si="60"/>
        <v>0</v>
      </c>
      <c r="CM620" s="222">
        <f t="shared" si="61"/>
        <v>12780</v>
      </c>
      <c r="CN620" s="3" t="str">
        <f t="shared" si="62"/>
        <v>خ ت طب</v>
      </c>
    </row>
    <row r="621" spans="3:92" x14ac:dyDescent="0.25">
      <c r="C621" s="223" t="s">
        <v>566</v>
      </c>
      <c r="D621" s="224">
        <v>20448</v>
      </c>
      <c r="E621" s="224">
        <v>12781</v>
      </c>
      <c r="F621" s="250" t="s">
        <v>130</v>
      </c>
      <c r="G621" s="223" t="str">
        <f>+G601</f>
        <v>مكافاه تدريس دراسات عليا</v>
      </c>
      <c r="I621" s="223">
        <v>24544</v>
      </c>
      <c r="AV621" s="22">
        <f t="shared" ref="AV621:AV693" si="63">SUM(I621:AU621)</f>
        <v>24544</v>
      </c>
      <c r="AW621" s="223">
        <v>18508.240000000002</v>
      </c>
      <c r="AX621" s="223">
        <v>4808.5600000000004</v>
      </c>
      <c r="AZ621" s="223">
        <v>1227.2</v>
      </c>
      <c r="CK621" s="22">
        <f t="shared" si="59"/>
        <v>24544.000000000004</v>
      </c>
      <c r="CL621" s="3">
        <f t="shared" si="60"/>
        <v>0</v>
      </c>
      <c r="CM621" s="222">
        <f t="shared" si="61"/>
        <v>12781</v>
      </c>
      <c r="CN621" s="3" t="str">
        <f t="shared" si="62"/>
        <v>خ ت طب</v>
      </c>
    </row>
    <row r="622" spans="3:92" x14ac:dyDescent="0.25">
      <c r="C622" s="223" t="s">
        <v>566</v>
      </c>
      <c r="D622" s="224">
        <v>20709</v>
      </c>
      <c r="E622" s="224">
        <v>12782</v>
      </c>
      <c r="F622" s="250" t="s">
        <v>130</v>
      </c>
      <c r="G622" s="223" t="str">
        <f>+G602</f>
        <v>مكافاه تدريس دكتوراه</v>
      </c>
      <c r="I622" s="223">
        <v>3720</v>
      </c>
      <c r="AV622" s="22">
        <f t="shared" si="63"/>
        <v>3720</v>
      </c>
      <c r="AW622" s="223">
        <v>2806</v>
      </c>
      <c r="AX622" s="223">
        <v>728</v>
      </c>
      <c r="AZ622" s="223">
        <v>186</v>
      </c>
      <c r="CK622" s="22">
        <f t="shared" si="59"/>
        <v>3720</v>
      </c>
      <c r="CL622" s="3">
        <f t="shared" si="60"/>
        <v>0</v>
      </c>
      <c r="CM622" s="222">
        <f t="shared" si="61"/>
        <v>12782</v>
      </c>
      <c r="CN622" s="3" t="str">
        <f t="shared" si="62"/>
        <v>خ ت طب</v>
      </c>
    </row>
    <row r="623" spans="3:92" x14ac:dyDescent="0.25">
      <c r="C623" s="223" t="s">
        <v>566</v>
      </c>
      <c r="D623" s="224">
        <v>20710</v>
      </c>
      <c r="E623" s="224">
        <v>12783</v>
      </c>
      <c r="F623" s="250" t="s">
        <v>130</v>
      </c>
      <c r="G623" s="223" t="str">
        <f>+G603</f>
        <v>مكافاه تدريس دكتوراه</v>
      </c>
      <c r="I623" s="223">
        <v>3360</v>
      </c>
      <c r="AV623" s="22">
        <f t="shared" si="63"/>
        <v>3360</v>
      </c>
      <c r="AW623" s="223">
        <v>2536.3200000000002</v>
      </c>
      <c r="AX623" s="223">
        <v>655.68</v>
      </c>
      <c r="AZ623" s="223">
        <v>168</v>
      </c>
      <c r="CK623" s="22">
        <f t="shared" si="59"/>
        <v>3360</v>
      </c>
      <c r="CL623" s="3">
        <f t="shared" si="60"/>
        <v>0</v>
      </c>
      <c r="CM623" s="222">
        <f t="shared" si="61"/>
        <v>12783</v>
      </c>
      <c r="CN623" s="3" t="str">
        <f t="shared" si="62"/>
        <v>خ ت طب</v>
      </c>
    </row>
    <row r="624" spans="3:92" x14ac:dyDescent="0.25">
      <c r="C624" s="223" t="s">
        <v>566</v>
      </c>
      <c r="D624" s="224">
        <v>20711</v>
      </c>
      <c r="E624" s="224">
        <v>12784</v>
      </c>
      <c r="F624" s="250" t="s">
        <v>130</v>
      </c>
      <c r="G624" s="223" t="str">
        <f>+G623</f>
        <v>مكافاه تدريس دكتوراه</v>
      </c>
      <c r="I624" s="223">
        <v>1700.8</v>
      </c>
      <c r="AV624" s="22">
        <f t="shared" si="63"/>
        <v>1700.8</v>
      </c>
      <c r="AW624" s="223">
        <v>1264.17</v>
      </c>
      <c r="AX624" s="223">
        <v>315.83</v>
      </c>
      <c r="AY624" s="223">
        <v>36.799999999999997</v>
      </c>
      <c r="AZ624" s="223">
        <v>84</v>
      </c>
      <c r="CK624" s="22">
        <f t="shared" si="59"/>
        <v>1700.8</v>
      </c>
      <c r="CL624" s="3">
        <f t="shared" si="60"/>
        <v>0</v>
      </c>
      <c r="CM624" s="222">
        <f t="shared" si="61"/>
        <v>12784</v>
      </c>
      <c r="CN624" s="3" t="str">
        <f t="shared" si="62"/>
        <v>خ ت طب</v>
      </c>
    </row>
    <row r="625" spans="3:92" x14ac:dyDescent="0.25">
      <c r="C625" s="223" t="s">
        <v>566</v>
      </c>
      <c r="D625" s="224">
        <v>20712</v>
      </c>
      <c r="E625" s="224">
        <v>12785</v>
      </c>
      <c r="F625" s="250" t="s">
        <v>130</v>
      </c>
      <c r="G625" s="223" t="str">
        <f>+G624</f>
        <v>مكافاه تدريس دكتوراه</v>
      </c>
      <c r="I625" s="223">
        <v>3360</v>
      </c>
      <c r="AV625" s="22">
        <f t="shared" si="63"/>
        <v>3360</v>
      </c>
      <c r="AW625" s="223">
        <v>2535.84</v>
      </c>
      <c r="AX625" s="223">
        <v>656.16</v>
      </c>
      <c r="AZ625" s="223">
        <v>168</v>
      </c>
      <c r="CK625" s="22">
        <f t="shared" si="59"/>
        <v>3360</v>
      </c>
      <c r="CL625" s="3">
        <f t="shared" si="60"/>
        <v>0</v>
      </c>
      <c r="CM625" s="222">
        <f t="shared" si="61"/>
        <v>12785</v>
      </c>
      <c r="CN625" s="3" t="str">
        <f t="shared" si="62"/>
        <v>خ ت طب</v>
      </c>
    </row>
    <row r="626" spans="3:92" x14ac:dyDescent="0.25">
      <c r="C626" s="223" t="s">
        <v>566</v>
      </c>
      <c r="D626" s="224">
        <v>20712</v>
      </c>
      <c r="E626" s="224">
        <v>12786</v>
      </c>
      <c r="F626" s="250" t="s">
        <v>130</v>
      </c>
      <c r="G626" s="223" t="str">
        <f>+G611</f>
        <v>مكافاه تدريس ماجستير</v>
      </c>
      <c r="I626" s="223">
        <v>3120</v>
      </c>
      <c r="AV626" s="22">
        <f t="shared" si="63"/>
        <v>3120</v>
      </c>
      <c r="AW626" s="223">
        <v>2358.12</v>
      </c>
      <c r="AX626" s="223">
        <v>605.88</v>
      </c>
      <c r="AZ626" s="223">
        <v>156</v>
      </c>
      <c r="CK626" s="22">
        <f t="shared" si="59"/>
        <v>3120</v>
      </c>
      <c r="CL626" s="3">
        <f t="shared" si="60"/>
        <v>0</v>
      </c>
      <c r="CM626" s="222">
        <f t="shared" si="61"/>
        <v>12786</v>
      </c>
      <c r="CN626" s="3" t="str">
        <f t="shared" si="62"/>
        <v>خ ت طب</v>
      </c>
    </row>
    <row r="627" spans="3:92" x14ac:dyDescent="0.25">
      <c r="C627" s="223" t="s">
        <v>566</v>
      </c>
      <c r="D627" s="224">
        <v>20714</v>
      </c>
      <c r="E627" s="224">
        <v>12787</v>
      </c>
      <c r="F627" s="250" t="s">
        <v>130</v>
      </c>
      <c r="G627" s="223" t="str">
        <f>+G626</f>
        <v>مكافاه تدريس ماجستير</v>
      </c>
      <c r="I627" s="223">
        <v>2440</v>
      </c>
      <c r="AV627" s="22">
        <f t="shared" si="63"/>
        <v>2440</v>
      </c>
      <c r="AW627" s="223">
        <v>1844.4</v>
      </c>
      <c r="AX627" s="223">
        <v>473.6</v>
      </c>
      <c r="AZ627" s="223">
        <v>122</v>
      </c>
      <c r="CK627" s="22">
        <f t="shared" si="59"/>
        <v>2440</v>
      </c>
      <c r="CL627" s="3">
        <f t="shared" si="60"/>
        <v>0</v>
      </c>
      <c r="CM627" s="222">
        <f t="shared" si="61"/>
        <v>12787</v>
      </c>
      <c r="CN627" s="3" t="str">
        <f t="shared" si="62"/>
        <v>خ ت طب</v>
      </c>
    </row>
    <row r="628" spans="3:92" x14ac:dyDescent="0.25">
      <c r="C628" s="223" t="s">
        <v>566</v>
      </c>
      <c r="D628" s="224">
        <v>20715</v>
      </c>
      <c r="E628" s="224">
        <v>12788</v>
      </c>
      <c r="F628" s="250" t="s">
        <v>130</v>
      </c>
      <c r="G628" s="223" t="str">
        <f>+G627</f>
        <v>مكافاه تدريس ماجستير</v>
      </c>
      <c r="I628" s="223">
        <v>2800</v>
      </c>
      <c r="AV628" s="22">
        <f t="shared" si="63"/>
        <v>2800</v>
      </c>
      <c r="AW628" s="223">
        <v>2114.48</v>
      </c>
      <c r="AX628" s="223">
        <v>545.52</v>
      </c>
      <c r="AZ628" s="223">
        <v>140</v>
      </c>
      <c r="CK628" s="22">
        <f t="shared" si="59"/>
        <v>2800</v>
      </c>
      <c r="CL628" s="3">
        <f t="shared" si="60"/>
        <v>0</v>
      </c>
      <c r="CM628" s="222">
        <f t="shared" si="61"/>
        <v>12788</v>
      </c>
      <c r="CN628" s="3" t="str">
        <f t="shared" si="62"/>
        <v>خ ت طب</v>
      </c>
    </row>
    <row r="629" spans="3:92" x14ac:dyDescent="0.25">
      <c r="C629" s="223" t="s">
        <v>566</v>
      </c>
      <c r="D629" s="224">
        <v>20716</v>
      </c>
      <c r="E629" s="224">
        <v>12789</v>
      </c>
      <c r="F629" s="250" t="s">
        <v>130</v>
      </c>
      <c r="G629" s="223" t="str">
        <f>+G628</f>
        <v>مكافاه تدريس ماجستير</v>
      </c>
      <c r="I629" s="223">
        <v>2960</v>
      </c>
      <c r="AV629" s="22">
        <f t="shared" si="63"/>
        <v>2960</v>
      </c>
      <c r="AW629" s="223">
        <v>2236.7600000000002</v>
      </c>
      <c r="AX629" s="223">
        <v>575.24</v>
      </c>
      <c r="AZ629" s="223">
        <v>148</v>
      </c>
      <c r="CK629" s="22">
        <f t="shared" si="59"/>
        <v>2960</v>
      </c>
      <c r="CL629" s="3">
        <f t="shared" si="60"/>
        <v>0</v>
      </c>
      <c r="CM629" s="222">
        <f t="shared" si="61"/>
        <v>12789</v>
      </c>
      <c r="CN629" s="3" t="str">
        <f t="shared" si="62"/>
        <v>خ ت طب</v>
      </c>
    </row>
    <row r="630" spans="3:92" x14ac:dyDescent="0.25">
      <c r="C630" s="223" t="s">
        <v>566</v>
      </c>
      <c r="D630" s="224">
        <v>20719</v>
      </c>
      <c r="E630" s="224">
        <v>12790</v>
      </c>
      <c r="F630" s="250" t="s">
        <v>130</v>
      </c>
      <c r="G630" s="223" t="str">
        <f t="shared" ref="G630:G631" si="64">+G629</f>
        <v>مكافاه تدريس ماجستير</v>
      </c>
      <c r="I630" s="223">
        <v>2931.2</v>
      </c>
      <c r="AV630" s="22">
        <f t="shared" si="63"/>
        <v>2931.2</v>
      </c>
      <c r="AW630" s="223">
        <v>2181.5500000000002</v>
      </c>
      <c r="AX630" s="223">
        <v>549.45000000000005</v>
      </c>
      <c r="AY630" s="226">
        <v>55.2</v>
      </c>
      <c r="AZ630" s="223">
        <v>145</v>
      </c>
      <c r="CK630" s="22">
        <f t="shared" si="59"/>
        <v>2931.2</v>
      </c>
      <c r="CL630" s="3">
        <f t="shared" si="60"/>
        <v>0</v>
      </c>
      <c r="CM630" s="222">
        <f t="shared" si="61"/>
        <v>12790</v>
      </c>
      <c r="CN630" s="3" t="str">
        <f t="shared" si="62"/>
        <v>خ ت طب</v>
      </c>
    </row>
    <row r="631" spans="3:92" x14ac:dyDescent="0.25">
      <c r="C631" s="223" t="s">
        <v>566</v>
      </c>
      <c r="D631" s="224">
        <v>20720</v>
      </c>
      <c r="E631" s="224">
        <v>12791</v>
      </c>
      <c r="F631" s="250" t="s">
        <v>130</v>
      </c>
      <c r="G631" s="223" t="str">
        <f t="shared" si="64"/>
        <v>مكافاه تدريس ماجستير</v>
      </c>
      <c r="I631" s="223">
        <v>2040</v>
      </c>
      <c r="AV631" s="22">
        <f t="shared" si="63"/>
        <v>2040</v>
      </c>
      <c r="AW631" s="223">
        <v>1540.8</v>
      </c>
      <c r="AX631" s="223">
        <v>397.2</v>
      </c>
      <c r="AZ631" s="223">
        <v>102</v>
      </c>
      <c r="CK631" s="22">
        <f t="shared" si="59"/>
        <v>2040</v>
      </c>
      <c r="CL631" s="3">
        <f t="shared" si="60"/>
        <v>0</v>
      </c>
      <c r="CM631" s="222">
        <f t="shared" si="61"/>
        <v>12791</v>
      </c>
      <c r="CN631" s="3" t="str">
        <f t="shared" si="62"/>
        <v>خ ت طب</v>
      </c>
    </row>
    <row r="632" spans="3:92" x14ac:dyDescent="0.25">
      <c r="C632" s="223" t="s">
        <v>657</v>
      </c>
      <c r="D632" s="224">
        <v>21940</v>
      </c>
      <c r="E632" s="224">
        <v>12792</v>
      </c>
      <c r="F632" s="250" t="s">
        <v>128</v>
      </c>
      <c r="G632" s="223" t="s">
        <v>5339</v>
      </c>
      <c r="I632" s="223">
        <v>1337.04</v>
      </c>
      <c r="AV632" s="22">
        <f t="shared" si="63"/>
        <v>1337.04</v>
      </c>
      <c r="AW632" s="223">
        <v>1091.4000000000001</v>
      </c>
      <c r="AX632" s="223">
        <v>135.85</v>
      </c>
      <c r="AY632" s="223">
        <v>109.79</v>
      </c>
      <c r="CK632" s="22">
        <f t="shared" si="59"/>
        <v>1337.04</v>
      </c>
      <c r="CL632" s="3">
        <f t="shared" si="60"/>
        <v>0</v>
      </c>
      <c r="CM632" s="222">
        <f t="shared" si="61"/>
        <v>12792</v>
      </c>
      <c r="CN632" s="3" t="str">
        <f t="shared" si="62"/>
        <v>مركز مؤتمرات</v>
      </c>
    </row>
    <row r="633" spans="3:92" x14ac:dyDescent="0.25">
      <c r="C633" s="223" t="s">
        <v>657</v>
      </c>
      <c r="D633" s="224">
        <v>21941</v>
      </c>
      <c r="E633" s="224">
        <v>12793</v>
      </c>
      <c r="F633" s="250" t="s">
        <v>128</v>
      </c>
      <c r="G633" s="223" t="s">
        <v>5339</v>
      </c>
      <c r="I633" s="223">
        <v>17563.18</v>
      </c>
      <c r="AV633" s="22">
        <f t="shared" si="63"/>
        <v>17563.18</v>
      </c>
      <c r="AW633" s="223">
        <v>13727.91</v>
      </c>
      <c r="AX633" s="223">
        <v>1737.9</v>
      </c>
      <c r="AY633" s="223">
        <v>2097.37</v>
      </c>
      <c r="CK633" s="22">
        <f t="shared" si="59"/>
        <v>17563.18</v>
      </c>
      <c r="CL633" s="3">
        <f t="shared" si="60"/>
        <v>0</v>
      </c>
      <c r="CM633" s="222">
        <f t="shared" si="61"/>
        <v>12793</v>
      </c>
      <c r="CN633" s="3" t="str">
        <f t="shared" si="62"/>
        <v>مركز مؤتمرات</v>
      </c>
    </row>
    <row r="634" spans="3:92" x14ac:dyDescent="0.25">
      <c r="C634" s="223" t="s">
        <v>657</v>
      </c>
      <c r="D634" s="224">
        <v>21942</v>
      </c>
      <c r="E634" s="224">
        <v>12794</v>
      </c>
      <c r="F634" s="250" t="s">
        <v>128</v>
      </c>
      <c r="G634" s="223" t="s">
        <v>5339</v>
      </c>
      <c r="I634" s="223">
        <v>3169</v>
      </c>
      <c r="AV634" s="22">
        <f t="shared" si="63"/>
        <v>3169</v>
      </c>
      <c r="AW634" s="223">
        <v>2829.45</v>
      </c>
      <c r="AX634" s="223">
        <v>339.55</v>
      </c>
      <c r="CK634" s="22">
        <f t="shared" si="59"/>
        <v>3169</v>
      </c>
      <c r="CL634" s="3">
        <f t="shared" si="60"/>
        <v>0</v>
      </c>
      <c r="CM634" s="222">
        <f t="shared" si="61"/>
        <v>12794</v>
      </c>
      <c r="CN634" s="3" t="str">
        <f t="shared" si="62"/>
        <v>مركز مؤتمرات</v>
      </c>
    </row>
    <row r="635" spans="3:92" x14ac:dyDescent="0.25">
      <c r="C635" s="223" t="s">
        <v>657</v>
      </c>
      <c r="D635" s="224">
        <v>21943</v>
      </c>
      <c r="E635" s="224">
        <v>12795</v>
      </c>
      <c r="F635" s="250" t="s">
        <v>128</v>
      </c>
      <c r="G635" s="223" t="s">
        <v>5339</v>
      </c>
      <c r="I635" s="223">
        <v>995.5</v>
      </c>
      <c r="AV635" s="22">
        <f t="shared" si="63"/>
        <v>995.5</v>
      </c>
      <c r="AW635" s="223">
        <v>889.3</v>
      </c>
      <c r="AX635" s="223">
        <v>106.2</v>
      </c>
      <c r="CK635" s="22">
        <f t="shared" si="59"/>
        <v>995.5</v>
      </c>
      <c r="CL635" s="3">
        <f t="shared" si="60"/>
        <v>0</v>
      </c>
      <c r="CM635" s="222">
        <f t="shared" si="61"/>
        <v>12795</v>
      </c>
      <c r="CN635" s="3" t="str">
        <f t="shared" si="62"/>
        <v>مركز مؤتمرات</v>
      </c>
    </row>
    <row r="636" spans="3:92" x14ac:dyDescent="0.25">
      <c r="C636" s="223" t="s">
        <v>657</v>
      </c>
      <c r="D636" s="224">
        <v>20577</v>
      </c>
      <c r="E636" s="224">
        <v>12796</v>
      </c>
      <c r="F636" s="250" t="s">
        <v>128</v>
      </c>
      <c r="G636" s="223" t="s">
        <v>5340</v>
      </c>
      <c r="I636" s="223">
        <v>8848</v>
      </c>
      <c r="AV636" s="22">
        <f t="shared" si="63"/>
        <v>8848</v>
      </c>
      <c r="AW636" s="223">
        <v>7898.9</v>
      </c>
      <c r="AX636" s="223">
        <v>949.1</v>
      </c>
      <c r="CK636" s="22">
        <f t="shared" si="59"/>
        <v>8848</v>
      </c>
      <c r="CL636" s="3">
        <f t="shared" si="60"/>
        <v>0</v>
      </c>
      <c r="CM636" s="222">
        <f t="shared" si="61"/>
        <v>12796</v>
      </c>
      <c r="CN636" s="3" t="str">
        <f t="shared" si="62"/>
        <v>مركز مؤتمرات</v>
      </c>
    </row>
    <row r="637" spans="3:92" x14ac:dyDescent="0.25">
      <c r="C637" s="223" t="s">
        <v>657</v>
      </c>
      <c r="D637" s="224">
        <v>20578</v>
      </c>
      <c r="E637" s="224">
        <v>12797</v>
      </c>
      <c r="F637" s="250" t="s">
        <v>128</v>
      </c>
      <c r="G637" s="223" t="s">
        <v>5340</v>
      </c>
      <c r="I637" s="223">
        <v>3390.23</v>
      </c>
      <c r="AV637" s="22">
        <f t="shared" si="63"/>
        <v>3390.23</v>
      </c>
      <c r="AW637" s="223">
        <v>2498.62</v>
      </c>
      <c r="AX637" s="223">
        <v>324.60000000000002</v>
      </c>
      <c r="AY637" s="223">
        <v>567.01</v>
      </c>
      <c r="CK637" s="22">
        <f t="shared" si="59"/>
        <v>3390.2299999999996</v>
      </c>
      <c r="CL637" s="3">
        <f t="shared" si="60"/>
        <v>0</v>
      </c>
      <c r="CM637" s="222">
        <f t="shared" si="61"/>
        <v>12797</v>
      </c>
      <c r="CN637" s="3" t="str">
        <f t="shared" si="62"/>
        <v>مركز مؤتمرات</v>
      </c>
    </row>
    <row r="638" spans="3:92" x14ac:dyDescent="0.25">
      <c r="C638" s="223" t="s">
        <v>657</v>
      </c>
      <c r="D638" s="224">
        <v>20576</v>
      </c>
      <c r="E638" s="224">
        <v>12798</v>
      </c>
      <c r="F638" s="250" t="s">
        <v>128</v>
      </c>
      <c r="G638" s="223" t="s">
        <v>5340</v>
      </c>
      <c r="I638" s="223">
        <v>1641.52</v>
      </c>
      <c r="AV638" s="22">
        <f t="shared" si="63"/>
        <v>1641.52</v>
      </c>
      <c r="AW638" s="223">
        <v>1098.2</v>
      </c>
      <c r="AX638" s="223">
        <f>7.8+140</f>
        <v>147.80000000000001</v>
      </c>
      <c r="AY638" s="223">
        <v>395.52</v>
      </c>
      <c r="CK638" s="22">
        <f t="shared" si="59"/>
        <v>1641.52</v>
      </c>
      <c r="CL638" s="3">
        <f t="shared" si="60"/>
        <v>0</v>
      </c>
      <c r="CM638" s="222">
        <f t="shared" si="61"/>
        <v>12798</v>
      </c>
      <c r="CN638" s="3" t="str">
        <f t="shared" si="62"/>
        <v>مركز مؤتمرات</v>
      </c>
    </row>
    <row r="639" spans="3:92" x14ac:dyDescent="0.25">
      <c r="C639" s="223" t="s">
        <v>657</v>
      </c>
      <c r="D639" s="224">
        <v>20579</v>
      </c>
      <c r="E639" s="224">
        <v>12799</v>
      </c>
      <c r="F639" s="250" t="s">
        <v>128</v>
      </c>
      <c r="G639" s="223" t="s">
        <v>5340</v>
      </c>
      <c r="I639" s="223">
        <v>1570.67</v>
      </c>
      <c r="AV639" s="22">
        <f t="shared" si="63"/>
        <v>1570.67</v>
      </c>
      <c r="AW639" s="223">
        <v>1294.3800000000001</v>
      </c>
      <c r="AX639" s="223">
        <v>160.55000000000001</v>
      </c>
      <c r="AY639" s="226">
        <v>115.74</v>
      </c>
      <c r="CK639" s="22">
        <f t="shared" si="59"/>
        <v>1570.67</v>
      </c>
      <c r="CL639" s="3">
        <f t="shared" si="60"/>
        <v>0</v>
      </c>
      <c r="CM639" s="222">
        <f t="shared" si="61"/>
        <v>12799</v>
      </c>
      <c r="CN639" s="3" t="str">
        <f t="shared" si="62"/>
        <v>مركز مؤتمرات</v>
      </c>
    </row>
    <row r="640" spans="3:92" x14ac:dyDescent="0.25">
      <c r="C640" s="223" t="s">
        <v>588</v>
      </c>
      <c r="D640" s="224">
        <v>20962</v>
      </c>
      <c r="E640" s="224">
        <v>12800</v>
      </c>
      <c r="F640" s="250" t="s">
        <v>119</v>
      </c>
      <c r="G640" s="223" t="s">
        <v>5342</v>
      </c>
      <c r="I640" s="223">
        <v>29613.55</v>
      </c>
      <c r="AV640" s="22">
        <f t="shared" si="63"/>
        <v>29613.55</v>
      </c>
      <c r="AW640" s="223">
        <v>22308.48</v>
      </c>
      <c r="AX640" s="223">
        <v>5802.87</v>
      </c>
      <c r="AY640" s="223">
        <v>22.2</v>
      </c>
      <c r="AZ640" s="223">
        <v>1480</v>
      </c>
      <c r="CK640" s="22">
        <f t="shared" si="59"/>
        <v>29613.55</v>
      </c>
      <c r="CL640" s="3">
        <f t="shared" si="60"/>
        <v>0</v>
      </c>
      <c r="CM640" s="222">
        <f t="shared" si="61"/>
        <v>12800</v>
      </c>
      <c r="CN640" s="3" t="str">
        <f t="shared" si="62"/>
        <v>خ ت صيدلة</v>
      </c>
    </row>
    <row r="641" spans="3:92" x14ac:dyDescent="0.25">
      <c r="C641" s="223" t="s">
        <v>588</v>
      </c>
      <c r="D641" s="224">
        <v>20965</v>
      </c>
      <c r="E641" s="224">
        <v>12801</v>
      </c>
      <c r="F641" s="250" t="s">
        <v>119</v>
      </c>
      <c r="G641" s="223" t="s">
        <v>5343</v>
      </c>
      <c r="I641" s="223">
        <v>20000</v>
      </c>
      <c r="AV641" s="22">
        <f t="shared" si="63"/>
        <v>20000</v>
      </c>
      <c r="AW641" s="223">
        <v>15072.96</v>
      </c>
      <c r="AX641" s="223">
        <v>3927.04</v>
      </c>
      <c r="AZ641" s="223">
        <v>1000</v>
      </c>
      <c r="CK641" s="22">
        <f t="shared" si="59"/>
        <v>20000</v>
      </c>
      <c r="CL641" s="3">
        <f t="shared" si="60"/>
        <v>0</v>
      </c>
      <c r="CM641" s="222">
        <f t="shared" si="61"/>
        <v>12801</v>
      </c>
      <c r="CN641" s="3" t="str">
        <f t="shared" si="62"/>
        <v>خ ت صيدلة</v>
      </c>
    </row>
    <row r="642" spans="3:92" x14ac:dyDescent="0.25">
      <c r="C642" s="223" t="s">
        <v>588</v>
      </c>
      <c r="D642" s="224">
        <v>20964</v>
      </c>
      <c r="E642" s="224">
        <v>12802</v>
      </c>
      <c r="F642" s="250" t="s">
        <v>119</v>
      </c>
      <c r="G642" s="223" t="s">
        <v>5343</v>
      </c>
      <c r="I642" s="223">
        <v>6000</v>
      </c>
      <c r="AV642" s="22">
        <f t="shared" si="63"/>
        <v>6000</v>
      </c>
      <c r="AW642" s="223">
        <v>4521.92</v>
      </c>
      <c r="AX642" s="223">
        <v>1178.08</v>
      </c>
      <c r="AZ642" s="223">
        <v>300</v>
      </c>
      <c r="CK642" s="22">
        <f t="shared" si="59"/>
        <v>6000</v>
      </c>
      <c r="CL642" s="3">
        <f t="shared" si="60"/>
        <v>0</v>
      </c>
      <c r="CM642" s="222">
        <f t="shared" si="61"/>
        <v>12802</v>
      </c>
      <c r="CN642" s="3" t="str">
        <f t="shared" si="62"/>
        <v>خ ت صيدلة</v>
      </c>
    </row>
    <row r="643" spans="3:92" x14ac:dyDescent="0.25">
      <c r="C643" s="223" t="s">
        <v>588</v>
      </c>
      <c r="D643" s="224">
        <v>20963</v>
      </c>
      <c r="E643" s="224">
        <v>12803</v>
      </c>
      <c r="F643" s="250" t="s">
        <v>119</v>
      </c>
      <c r="G643" s="223" t="s">
        <v>5344</v>
      </c>
      <c r="I643" s="223">
        <v>3360</v>
      </c>
      <c r="AV643" s="22">
        <f t="shared" si="63"/>
        <v>3360</v>
      </c>
      <c r="AW643" s="223">
        <v>2534</v>
      </c>
      <c r="AX643" s="223">
        <v>658</v>
      </c>
      <c r="AZ643" s="223">
        <v>168</v>
      </c>
      <c r="CK643" s="22">
        <f t="shared" si="59"/>
        <v>3360</v>
      </c>
      <c r="CL643" s="3">
        <f t="shared" si="60"/>
        <v>0</v>
      </c>
      <c r="CM643" s="222">
        <f t="shared" si="61"/>
        <v>12803</v>
      </c>
      <c r="CN643" s="3" t="str">
        <f t="shared" si="62"/>
        <v>خ ت صيدلة</v>
      </c>
    </row>
    <row r="644" spans="3:92" x14ac:dyDescent="0.25">
      <c r="C644" s="223" t="s">
        <v>503</v>
      </c>
      <c r="D644" s="224">
        <v>21392</v>
      </c>
      <c r="E644" s="224">
        <v>12804</v>
      </c>
      <c r="F644" s="250" t="s">
        <v>121</v>
      </c>
      <c r="G644" s="223" t="s">
        <v>5352</v>
      </c>
      <c r="I644" s="223">
        <v>5862.5</v>
      </c>
      <c r="AV644" s="22">
        <f t="shared" si="63"/>
        <v>5862.5</v>
      </c>
      <c r="AW644" s="223">
        <v>3917.3</v>
      </c>
      <c r="AX644" s="223">
        <v>532.70000000000005</v>
      </c>
      <c r="AY644" s="223">
        <v>1412.5</v>
      </c>
      <c r="CK644" s="22">
        <f t="shared" si="59"/>
        <v>5862.5</v>
      </c>
      <c r="CL644" s="3">
        <f t="shared" si="60"/>
        <v>0</v>
      </c>
      <c r="CM644" s="222">
        <f t="shared" si="61"/>
        <v>12804</v>
      </c>
      <c r="CN644" s="3" t="str">
        <f t="shared" si="62"/>
        <v>ماليزى اسنان</v>
      </c>
    </row>
    <row r="645" spans="3:92" x14ac:dyDescent="0.25">
      <c r="C645" s="223" t="s">
        <v>503</v>
      </c>
      <c r="D645" s="224">
        <v>21391</v>
      </c>
      <c r="E645" s="224">
        <v>12805</v>
      </c>
      <c r="F645" s="250" t="s">
        <v>121</v>
      </c>
      <c r="G645" s="223" t="s">
        <v>5353</v>
      </c>
      <c r="I645" s="223">
        <v>7973</v>
      </c>
      <c r="AV645" s="22">
        <f t="shared" si="63"/>
        <v>7973</v>
      </c>
      <c r="AW645" s="223">
        <v>5327.65</v>
      </c>
      <c r="AX645" s="223">
        <v>724.35</v>
      </c>
      <c r="AY645" s="223">
        <v>1921</v>
      </c>
      <c r="CK645" s="22">
        <f t="shared" si="59"/>
        <v>7973</v>
      </c>
      <c r="CL645" s="3">
        <f t="shared" si="60"/>
        <v>0</v>
      </c>
      <c r="CM645" s="222">
        <f t="shared" si="61"/>
        <v>12805</v>
      </c>
      <c r="CN645" s="3" t="str">
        <f t="shared" si="62"/>
        <v>ماليزى اسنان</v>
      </c>
    </row>
    <row r="646" spans="3:92" x14ac:dyDescent="0.25">
      <c r="C646" s="223" t="s">
        <v>503</v>
      </c>
      <c r="D646" s="224">
        <v>21386</v>
      </c>
      <c r="E646" s="224">
        <v>12806</v>
      </c>
      <c r="F646" s="250" t="s">
        <v>121</v>
      </c>
      <c r="G646" s="223" t="s">
        <v>5354</v>
      </c>
      <c r="I646" s="223">
        <v>7621.25</v>
      </c>
      <c r="AV646" s="22">
        <f t="shared" si="63"/>
        <v>7621.25</v>
      </c>
      <c r="AW646" s="223">
        <v>5096.55</v>
      </c>
      <c r="AX646" s="223">
        <v>688.45</v>
      </c>
      <c r="AY646" s="223">
        <v>1836.25</v>
      </c>
      <c r="CK646" s="22">
        <f t="shared" si="59"/>
        <v>7621.25</v>
      </c>
      <c r="CL646" s="3">
        <f t="shared" si="60"/>
        <v>0</v>
      </c>
      <c r="CM646" s="222">
        <f t="shared" si="61"/>
        <v>12806</v>
      </c>
      <c r="CN646" s="3" t="str">
        <f t="shared" si="62"/>
        <v>ماليزى اسنان</v>
      </c>
    </row>
    <row r="647" spans="3:92" x14ac:dyDescent="0.25">
      <c r="C647" s="223" t="s">
        <v>503</v>
      </c>
      <c r="D647" s="224">
        <v>21028</v>
      </c>
      <c r="E647" s="224">
        <v>12807</v>
      </c>
      <c r="F647" s="250" t="s">
        <v>121</v>
      </c>
      <c r="G647" s="223" t="s">
        <v>5355</v>
      </c>
      <c r="I647" s="223">
        <v>28552.5</v>
      </c>
      <c r="AV647" s="22">
        <f t="shared" si="63"/>
        <v>28552.5</v>
      </c>
      <c r="AW647" s="223">
        <v>19946.73</v>
      </c>
      <c r="AX647" s="223">
        <v>2656.9</v>
      </c>
      <c r="AY647" s="223">
        <v>5948.87</v>
      </c>
      <c r="CK647" s="22">
        <f t="shared" si="59"/>
        <v>28552.5</v>
      </c>
      <c r="CL647" s="3">
        <f t="shared" si="60"/>
        <v>0</v>
      </c>
      <c r="CM647" s="222">
        <f t="shared" si="61"/>
        <v>12807</v>
      </c>
      <c r="CN647" s="3" t="str">
        <f t="shared" si="62"/>
        <v>ماليزى اسنان</v>
      </c>
    </row>
    <row r="648" spans="3:92" x14ac:dyDescent="0.25">
      <c r="C648" s="223" t="s">
        <v>503</v>
      </c>
      <c r="D648" s="224">
        <v>21005</v>
      </c>
      <c r="E648" s="224">
        <v>12808</v>
      </c>
      <c r="F648" s="250" t="s">
        <v>121</v>
      </c>
      <c r="G648" s="223" t="s">
        <v>5356</v>
      </c>
      <c r="I648" s="223">
        <v>4455.5</v>
      </c>
      <c r="AV648" s="22">
        <f t="shared" si="63"/>
        <v>4455.5</v>
      </c>
      <c r="AW648" s="223">
        <v>2979.9</v>
      </c>
      <c r="AX648" s="223">
        <v>402.1</v>
      </c>
      <c r="AY648" s="223">
        <v>1073.5</v>
      </c>
      <c r="CK648" s="22">
        <f t="shared" si="59"/>
        <v>4455.5</v>
      </c>
      <c r="CL648" s="3">
        <f t="shared" si="60"/>
        <v>0</v>
      </c>
      <c r="CM648" s="222">
        <f t="shared" si="61"/>
        <v>12808</v>
      </c>
      <c r="CN648" s="3" t="str">
        <f t="shared" si="62"/>
        <v>ماليزى اسنان</v>
      </c>
    </row>
    <row r="649" spans="3:92" x14ac:dyDescent="0.25">
      <c r="C649" s="223" t="s">
        <v>503</v>
      </c>
      <c r="D649" s="224">
        <v>21034</v>
      </c>
      <c r="E649" s="224">
        <v>12809</v>
      </c>
      <c r="F649" s="250" t="s">
        <v>121</v>
      </c>
      <c r="G649" s="223" t="s">
        <v>5357</v>
      </c>
      <c r="I649" s="223">
        <v>11355.91</v>
      </c>
      <c r="AV649" s="22">
        <f t="shared" si="63"/>
        <v>11355.91</v>
      </c>
      <c r="AW649" s="223">
        <v>9593.2900000000009</v>
      </c>
      <c r="AX649" s="223">
        <v>1179.75</v>
      </c>
      <c r="AY649" s="223">
        <v>582.87</v>
      </c>
      <c r="CK649" s="22">
        <f t="shared" si="59"/>
        <v>11355.910000000002</v>
      </c>
      <c r="CL649" s="3">
        <f t="shared" si="60"/>
        <v>0</v>
      </c>
      <c r="CM649" s="222">
        <f t="shared" si="61"/>
        <v>12809</v>
      </c>
      <c r="CN649" s="3" t="str">
        <f t="shared" si="62"/>
        <v>ماليزى اسنان</v>
      </c>
    </row>
    <row r="650" spans="3:92" x14ac:dyDescent="0.25">
      <c r="C650" s="223" t="s">
        <v>503</v>
      </c>
      <c r="D650" s="224">
        <v>21006</v>
      </c>
      <c r="E650" s="224">
        <v>12810</v>
      </c>
      <c r="F650" s="250" t="s">
        <v>121</v>
      </c>
      <c r="G650" s="223" t="s">
        <v>5358</v>
      </c>
      <c r="I650" s="223">
        <v>586.25</v>
      </c>
      <c r="AV650" s="22">
        <f t="shared" si="63"/>
        <v>586.25</v>
      </c>
      <c r="AW650" s="223">
        <v>392.4</v>
      </c>
      <c r="AX650" s="223">
        <v>52.6</v>
      </c>
      <c r="AY650" s="223">
        <v>141.25</v>
      </c>
      <c r="CK650" s="22">
        <f t="shared" si="59"/>
        <v>586.25</v>
      </c>
      <c r="CL650" s="3">
        <f t="shared" si="60"/>
        <v>0</v>
      </c>
      <c r="CM650" s="222">
        <f t="shared" si="61"/>
        <v>12810</v>
      </c>
      <c r="CN650" s="3" t="str">
        <f t="shared" si="62"/>
        <v>ماليزى اسنان</v>
      </c>
    </row>
    <row r="651" spans="3:92" x14ac:dyDescent="0.25">
      <c r="C651" s="223" t="s">
        <v>503</v>
      </c>
      <c r="D651" s="224">
        <v>21004</v>
      </c>
      <c r="E651" s="224">
        <v>12811</v>
      </c>
      <c r="F651" s="250" t="s">
        <v>121</v>
      </c>
      <c r="G651" s="223" t="s">
        <v>5359</v>
      </c>
      <c r="I651" s="223">
        <v>3869.25</v>
      </c>
      <c r="AV651" s="22">
        <f t="shared" si="63"/>
        <v>3869.25</v>
      </c>
      <c r="AW651" s="223">
        <v>2587.6999999999998</v>
      </c>
      <c r="AX651" s="223">
        <v>349.3</v>
      </c>
      <c r="AY651" s="223">
        <v>932.25</v>
      </c>
      <c r="CK651" s="22">
        <f t="shared" si="59"/>
        <v>3869.25</v>
      </c>
      <c r="CL651" s="3">
        <f t="shared" si="60"/>
        <v>0</v>
      </c>
      <c r="CM651" s="222">
        <f t="shared" si="61"/>
        <v>12811</v>
      </c>
      <c r="CN651" s="3" t="str">
        <f t="shared" si="62"/>
        <v>ماليزى اسنان</v>
      </c>
    </row>
    <row r="652" spans="3:92" x14ac:dyDescent="0.25">
      <c r="C652" s="223" t="s">
        <v>503</v>
      </c>
      <c r="D652" s="224">
        <v>21035</v>
      </c>
      <c r="E652" s="224">
        <v>12812</v>
      </c>
      <c r="F652" s="250" t="s">
        <v>121</v>
      </c>
      <c r="G652" s="223" t="s">
        <v>5360</v>
      </c>
      <c r="I652" s="223">
        <v>18146.349999999999</v>
      </c>
      <c r="AV652" s="22">
        <f t="shared" si="63"/>
        <v>18146.349999999999</v>
      </c>
      <c r="AW652" s="223">
        <v>14449.05</v>
      </c>
      <c r="AX652" s="223">
        <v>1819.95</v>
      </c>
      <c r="AY652" s="223">
        <v>1877.35</v>
      </c>
      <c r="CK652" s="22">
        <f t="shared" si="59"/>
        <v>18146.349999999999</v>
      </c>
      <c r="CL652" s="3">
        <f t="shared" si="60"/>
        <v>0</v>
      </c>
      <c r="CM652" s="222">
        <f t="shared" si="61"/>
        <v>12812</v>
      </c>
      <c r="CN652" s="3" t="str">
        <f t="shared" si="62"/>
        <v>ماليزى اسنان</v>
      </c>
    </row>
    <row r="653" spans="3:92" x14ac:dyDescent="0.25">
      <c r="C653" s="223" t="s">
        <v>503</v>
      </c>
      <c r="D653" s="224">
        <v>21012</v>
      </c>
      <c r="E653" s="224">
        <v>12813</v>
      </c>
      <c r="F653" s="250" t="s">
        <v>121</v>
      </c>
      <c r="G653" s="223" t="s">
        <v>5361</v>
      </c>
      <c r="I653" s="223">
        <v>2814</v>
      </c>
      <c r="AV653" s="22">
        <f t="shared" si="63"/>
        <v>2814</v>
      </c>
      <c r="AW653" s="223">
        <v>1881.55</v>
      </c>
      <c r="AX653" s="223">
        <v>254.45</v>
      </c>
      <c r="AY653" s="223">
        <v>678</v>
      </c>
      <c r="CK653" s="22">
        <f t="shared" si="59"/>
        <v>2814</v>
      </c>
      <c r="CL653" s="3">
        <f t="shared" si="60"/>
        <v>0</v>
      </c>
      <c r="CM653" s="222">
        <f t="shared" si="61"/>
        <v>12813</v>
      </c>
      <c r="CN653" s="3" t="str">
        <f t="shared" si="62"/>
        <v>ماليزى اسنان</v>
      </c>
    </row>
    <row r="654" spans="3:92" x14ac:dyDescent="0.25">
      <c r="C654" s="223" t="s">
        <v>503</v>
      </c>
      <c r="D654" s="224">
        <v>21011</v>
      </c>
      <c r="E654" s="224">
        <v>12814</v>
      </c>
      <c r="F654" s="250" t="s">
        <v>121</v>
      </c>
      <c r="G654" s="223" t="s">
        <v>5362</v>
      </c>
      <c r="I654" s="223">
        <v>4165.75</v>
      </c>
      <c r="AV654" s="22">
        <f t="shared" si="63"/>
        <v>4165.75</v>
      </c>
      <c r="AW654" s="223">
        <v>3010.45</v>
      </c>
      <c r="AX654" s="223">
        <v>392.55</v>
      </c>
      <c r="AY654" s="223">
        <v>762.75</v>
      </c>
      <c r="CK654" s="22">
        <f t="shared" si="59"/>
        <v>4165.75</v>
      </c>
      <c r="CL654" s="3">
        <f t="shared" si="60"/>
        <v>0</v>
      </c>
      <c r="CM654" s="222">
        <f t="shared" si="61"/>
        <v>12814</v>
      </c>
      <c r="CN654" s="3" t="str">
        <f t="shared" si="62"/>
        <v>ماليزى اسنان</v>
      </c>
    </row>
    <row r="655" spans="3:92" x14ac:dyDescent="0.25">
      <c r="C655" s="223" t="s">
        <v>503</v>
      </c>
      <c r="D655" s="224">
        <v>21010</v>
      </c>
      <c r="E655" s="224">
        <v>12815</v>
      </c>
      <c r="F655" s="250" t="s">
        <v>121</v>
      </c>
      <c r="G655" s="223" t="s">
        <v>5363</v>
      </c>
      <c r="I655" s="223">
        <v>4562.05</v>
      </c>
      <c r="AV655" s="22">
        <f t="shared" si="63"/>
        <v>4562.05</v>
      </c>
      <c r="AW655" s="223">
        <v>3214.65</v>
      </c>
      <c r="AX655" s="223">
        <v>426.95</v>
      </c>
      <c r="AY655" s="223">
        <v>920.45</v>
      </c>
      <c r="CK655" s="22">
        <f t="shared" si="59"/>
        <v>4562.05</v>
      </c>
      <c r="CL655" s="3">
        <f t="shared" si="60"/>
        <v>0</v>
      </c>
      <c r="CM655" s="222">
        <f t="shared" si="61"/>
        <v>12815</v>
      </c>
      <c r="CN655" s="3" t="str">
        <f t="shared" si="62"/>
        <v>ماليزى اسنان</v>
      </c>
    </row>
    <row r="656" spans="3:92" x14ac:dyDescent="0.25">
      <c r="C656" s="223" t="s">
        <v>503</v>
      </c>
      <c r="D656" s="224">
        <v>21008</v>
      </c>
      <c r="E656" s="224">
        <v>12816</v>
      </c>
      <c r="F656" s="250" t="s">
        <v>121</v>
      </c>
      <c r="G656" s="223" t="s">
        <v>5305</v>
      </c>
      <c r="I656" s="223">
        <v>879.4</v>
      </c>
      <c r="AV656" s="22">
        <f t="shared" si="63"/>
        <v>879.4</v>
      </c>
      <c r="AW656" s="223">
        <v>590</v>
      </c>
      <c r="AX656" s="223">
        <v>77.5</v>
      </c>
      <c r="AY656" s="223">
        <v>211.9</v>
      </c>
      <c r="CK656" s="22">
        <f t="shared" si="59"/>
        <v>879.4</v>
      </c>
      <c r="CL656" s="3">
        <f t="shared" si="60"/>
        <v>0</v>
      </c>
      <c r="CM656" s="222">
        <f t="shared" si="61"/>
        <v>12816</v>
      </c>
      <c r="CN656" s="3" t="str">
        <f t="shared" si="62"/>
        <v>ماليزى اسنان</v>
      </c>
    </row>
    <row r="657" spans="1:100" x14ac:dyDescent="0.25">
      <c r="C657" s="223" t="s">
        <v>503</v>
      </c>
      <c r="D657" s="224">
        <v>21026</v>
      </c>
      <c r="E657" s="224">
        <v>12817</v>
      </c>
      <c r="F657" s="250" t="s">
        <v>121</v>
      </c>
      <c r="G657" s="223" t="s">
        <v>5291</v>
      </c>
      <c r="I657" s="223">
        <v>7100</v>
      </c>
      <c r="AV657" s="22">
        <f t="shared" si="63"/>
        <v>7100</v>
      </c>
      <c r="AW657" s="223">
        <v>6337.5</v>
      </c>
      <c r="AX657" s="223">
        <v>762.5</v>
      </c>
      <c r="CK657" s="22">
        <f t="shared" si="59"/>
        <v>7100</v>
      </c>
      <c r="CL657" s="3">
        <f t="shared" si="60"/>
        <v>0</v>
      </c>
      <c r="CM657" s="222">
        <f t="shared" si="61"/>
        <v>12817</v>
      </c>
      <c r="CN657" s="3" t="str">
        <f t="shared" si="62"/>
        <v>ماليزى اسنان</v>
      </c>
    </row>
    <row r="658" spans="1:100" ht="31.5" x14ac:dyDescent="0.25">
      <c r="C658" s="223">
        <v>189</v>
      </c>
      <c r="D658" s="224">
        <v>21669</v>
      </c>
      <c r="E658" s="224">
        <v>12818</v>
      </c>
      <c r="F658" s="250" t="s">
        <v>121</v>
      </c>
      <c r="G658" s="225" t="s">
        <v>5329</v>
      </c>
      <c r="J658" s="223">
        <v>332167.5</v>
      </c>
      <c r="AV658" s="22">
        <f t="shared" si="63"/>
        <v>332167.5</v>
      </c>
      <c r="AW658" s="223">
        <v>332167.5</v>
      </c>
      <c r="CK658" s="22">
        <f t="shared" si="59"/>
        <v>332167.5</v>
      </c>
      <c r="CL658" s="3">
        <f t="shared" si="60"/>
        <v>0</v>
      </c>
      <c r="CM658" s="222">
        <f t="shared" si="61"/>
        <v>12818</v>
      </c>
      <c r="CN658" s="3" t="str">
        <f t="shared" si="62"/>
        <v>ماليزى اسنان</v>
      </c>
    </row>
    <row r="659" spans="1:100" ht="31.5" x14ac:dyDescent="0.25">
      <c r="C659" s="223">
        <v>190</v>
      </c>
      <c r="D659" s="224">
        <v>19358</v>
      </c>
      <c r="E659" s="224">
        <v>12819</v>
      </c>
      <c r="F659" s="250" t="s">
        <v>121</v>
      </c>
      <c r="G659" s="225" t="s">
        <v>5330</v>
      </c>
      <c r="J659" s="223">
        <v>125000</v>
      </c>
      <c r="AV659" s="22">
        <f t="shared" si="63"/>
        <v>125000</v>
      </c>
      <c r="AW659" s="223">
        <v>105045.4</v>
      </c>
      <c r="AX659" s="223">
        <f>757.75+2273.25+44.1</f>
        <v>3075.1</v>
      </c>
      <c r="AZ659" s="223">
        <v>5</v>
      </c>
      <c r="BM659" s="223">
        <v>3289.5</v>
      </c>
      <c r="BN659" s="223">
        <v>98</v>
      </c>
      <c r="BO659" s="223">
        <f>493.5*2</f>
        <v>987</v>
      </c>
      <c r="BQ659" s="223">
        <v>12500</v>
      </c>
      <c r="CK659" s="22">
        <f t="shared" si="59"/>
        <v>125000</v>
      </c>
      <c r="CL659" s="3">
        <f t="shared" si="60"/>
        <v>0</v>
      </c>
      <c r="CM659" s="222">
        <f t="shared" si="61"/>
        <v>12819</v>
      </c>
      <c r="CN659" s="3" t="str">
        <f t="shared" si="62"/>
        <v>ماليزى اسنان</v>
      </c>
    </row>
    <row r="660" spans="1:100" x14ac:dyDescent="0.25">
      <c r="C660" s="223">
        <v>191</v>
      </c>
      <c r="D660" s="224">
        <v>2382</v>
      </c>
      <c r="E660" s="224">
        <v>12820</v>
      </c>
      <c r="F660" s="250" t="s">
        <v>78</v>
      </c>
      <c r="G660" s="223" t="s">
        <v>5331</v>
      </c>
      <c r="J660" s="223">
        <v>1710</v>
      </c>
      <c r="AV660" s="22">
        <f t="shared" si="63"/>
        <v>1710</v>
      </c>
      <c r="AW660" s="223">
        <v>1545</v>
      </c>
      <c r="AX660" s="223">
        <f>21.75+65.25+4.5</f>
        <v>91.5</v>
      </c>
      <c r="AZ660" s="223">
        <v>5</v>
      </c>
      <c r="BM660" s="223">
        <v>45</v>
      </c>
      <c r="BN660" s="223">
        <v>10</v>
      </c>
      <c r="BO660" s="223">
        <f>6.75*2</f>
        <v>13.5</v>
      </c>
      <c r="CK660" s="22">
        <f t="shared" si="59"/>
        <v>1710</v>
      </c>
      <c r="CL660" s="3">
        <f t="shared" si="60"/>
        <v>0</v>
      </c>
      <c r="CM660" s="222">
        <f t="shared" si="61"/>
        <v>12820</v>
      </c>
      <c r="CN660" s="3" t="str">
        <f t="shared" si="62"/>
        <v>برنامج دولى</v>
      </c>
    </row>
    <row r="661" spans="1:100" x14ac:dyDescent="0.25">
      <c r="C661" s="223">
        <v>192</v>
      </c>
      <c r="D661" s="224">
        <v>21671</v>
      </c>
      <c r="E661" s="224">
        <v>12821</v>
      </c>
      <c r="F661" s="250" t="s">
        <v>78</v>
      </c>
      <c r="G661" s="223" t="s">
        <v>5332</v>
      </c>
      <c r="J661" s="223">
        <v>30599.82</v>
      </c>
      <c r="AV661" s="22">
        <f t="shared" si="63"/>
        <v>30599.82</v>
      </c>
      <c r="AW661" s="223">
        <v>29516.62</v>
      </c>
      <c r="AX661" s="223">
        <v>1053.2</v>
      </c>
      <c r="AZ661" s="223">
        <v>10</v>
      </c>
      <c r="BN661" s="223">
        <v>20</v>
      </c>
      <c r="CK661" s="22">
        <f t="shared" si="59"/>
        <v>30599.82</v>
      </c>
      <c r="CL661" s="3">
        <f t="shared" si="60"/>
        <v>0</v>
      </c>
      <c r="CM661" s="222">
        <f t="shared" si="61"/>
        <v>12821</v>
      </c>
      <c r="CN661" s="3" t="str">
        <f t="shared" si="62"/>
        <v>برنامج دولى</v>
      </c>
    </row>
    <row r="662" spans="1:100" x14ac:dyDescent="0.25">
      <c r="C662" s="223">
        <v>193</v>
      </c>
      <c r="D662" s="224">
        <v>2219</v>
      </c>
      <c r="E662" s="224">
        <v>12822</v>
      </c>
      <c r="F662" s="250" t="s">
        <v>130</v>
      </c>
      <c r="G662" s="223" t="s">
        <v>5331</v>
      </c>
      <c r="J662" s="223">
        <v>1710</v>
      </c>
      <c r="AV662" s="22">
        <f t="shared" si="63"/>
        <v>1710</v>
      </c>
      <c r="AW662" s="223">
        <v>1545</v>
      </c>
      <c r="AX662" s="223">
        <f>21.75+65.25+4.5</f>
        <v>91.5</v>
      </c>
      <c r="AZ662" s="223">
        <v>5</v>
      </c>
      <c r="BM662" s="223">
        <v>45</v>
      </c>
      <c r="BN662" s="223">
        <v>10</v>
      </c>
      <c r="BO662" s="223">
        <f>6.75*2</f>
        <v>13.5</v>
      </c>
      <c r="CK662" s="22">
        <f t="shared" ref="CK662:CK720" si="65">SUM(AW662:CJ662)</f>
        <v>1710</v>
      </c>
      <c r="CL662" s="3">
        <f t="shared" ref="CL662:CL720" si="66">+CK662-AV662</f>
        <v>0</v>
      </c>
      <c r="CM662" s="222">
        <f t="shared" ref="CM662:CM720" si="67">+E662</f>
        <v>12822</v>
      </c>
      <c r="CN662" s="3" t="str">
        <f t="shared" ref="CN662:CN720" si="68">+F662</f>
        <v>خ ت طب</v>
      </c>
    </row>
    <row r="663" spans="1:100" x14ac:dyDescent="0.25">
      <c r="C663" s="223">
        <v>194</v>
      </c>
      <c r="D663" s="224">
        <v>2218</v>
      </c>
      <c r="E663" s="224">
        <v>12823</v>
      </c>
      <c r="F663" s="250" t="str">
        <f>+F662</f>
        <v>خ ت طب</v>
      </c>
      <c r="G663" s="223" t="s">
        <v>5331</v>
      </c>
      <c r="J663" s="223">
        <v>3420</v>
      </c>
      <c r="AV663" s="22">
        <f t="shared" si="63"/>
        <v>3420</v>
      </c>
      <c r="AW663" s="223">
        <v>3100.7</v>
      </c>
      <c r="AX663" s="223">
        <f>44.25+132.75+6.3</f>
        <v>183.3</v>
      </c>
      <c r="AZ663" s="223">
        <v>5</v>
      </c>
      <c r="BM663" s="223">
        <v>90</v>
      </c>
      <c r="BN663" s="223">
        <v>14</v>
      </c>
      <c r="BO663" s="223">
        <f>13.5*2</f>
        <v>27</v>
      </c>
      <c r="CK663" s="22">
        <f t="shared" si="65"/>
        <v>3420</v>
      </c>
      <c r="CL663" s="3">
        <f t="shared" si="66"/>
        <v>0</v>
      </c>
      <c r="CM663" s="222">
        <f t="shared" si="67"/>
        <v>12823</v>
      </c>
      <c r="CN663" s="3" t="str">
        <f t="shared" si="68"/>
        <v>خ ت طب</v>
      </c>
    </row>
    <row r="664" spans="1:100" x14ac:dyDescent="0.25">
      <c r="C664" s="223">
        <v>195</v>
      </c>
      <c r="D664" s="224">
        <v>21673</v>
      </c>
      <c r="E664" s="224">
        <v>12824</v>
      </c>
      <c r="F664" s="250" t="s">
        <v>5144</v>
      </c>
      <c r="G664" s="223" t="s">
        <v>5333</v>
      </c>
      <c r="J664" s="223">
        <v>1431</v>
      </c>
      <c r="AV664" s="22">
        <f t="shared" si="63"/>
        <v>1431</v>
      </c>
      <c r="AW664" s="223">
        <v>1431</v>
      </c>
      <c r="CK664" s="22">
        <f t="shared" si="65"/>
        <v>1431</v>
      </c>
      <c r="CL664" s="3">
        <f t="shared" si="66"/>
        <v>0</v>
      </c>
      <c r="CM664" s="222">
        <f t="shared" si="67"/>
        <v>12824</v>
      </c>
      <c r="CN664" s="3" t="str">
        <f t="shared" si="68"/>
        <v>صيدلة اكلينكى</v>
      </c>
    </row>
    <row r="665" spans="1:100" x14ac:dyDescent="0.25">
      <c r="C665" s="223">
        <v>196</v>
      </c>
      <c r="D665" s="224">
        <v>21675</v>
      </c>
      <c r="E665" s="224">
        <v>12825</v>
      </c>
      <c r="F665" s="250" t="str">
        <f>+F664</f>
        <v>صيدلة اكلينكى</v>
      </c>
      <c r="G665" s="223" t="s">
        <v>5334</v>
      </c>
      <c r="J665" s="223">
        <v>16530</v>
      </c>
      <c r="AV665" s="22">
        <f t="shared" si="63"/>
        <v>16530</v>
      </c>
      <c r="AW665" s="223">
        <v>14290.1</v>
      </c>
      <c r="AX665" s="223">
        <f>187+561+27.9</f>
        <v>775.9</v>
      </c>
      <c r="AZ665" s="223">
        <v>10</v>
      </c>
      <c r="BM665" s="223">
        <v>435</v>
      </c>
      <c r="BN665" s="223">
        <v>62</v>
      </c>
      <c r="BO665" s="223">
        <f>65.25*2</f>
        <v>130.5</v>
      </c>
      <c r="BQ665" s="223">
        <v>826.5</v>
      </c>
      <c r="CK665" s="22">
        <f t="shared" si="65"/>
        <v>16530</v>
      </c>
      <c r="CL665" s="3">
        <f t="shared" si="66"/>
        <v>0</v>
      </c>
      <c r="CM665" s="222">
        <f t="shared" si="67"/>
        <v>12825</v>
      </c>
      <c r="CN665" s="3" t="str">
        <f t="shared" si="68"/>
        <v>صيدلة اكلينكى</v>
      </c>
    </row>
    <row r="666" spans="1:100" x14ac:dyDescent="0.25">
      <c r="C666" s="223">
        <v>197</v>
      </c>
      <c r="D666" s="224">
        <v>21674</v>
      </c>
      <c r="E666" s="224">
        <v>12826</v>
      </c>
      <c r="F666" s="250" t="s">
        <v>119</v>
      </c>
      <c r="G666" s="223" t="s">
        <v>5335</v>
      </c>
      <c r="S666" s="223">
        <v>4190.1000000000004</v>
      </c>
      <c r="AV666" s="22">
        <f t="shared" si="63"/>
        <v>4190.1000000000004</v>
      </c>
      <c r="AW666" s="223">
        <v>4190.1000000000004</v>
      </c>
      <c r="CK666" s="22">
        <f t="shared" si="65"/>
        <v>4190.1000000000004</v>
      </c>
      <c r="CL666" s="3">
        <f t="shared" si="66"/>
        <v>0</v>
      </c>
      <c r="CM666" s="222">
        <f t="shared" si="67"/>
        <v>12826</v>
      </c>
      <c r="CN666" s="3" t="str">
        <f t="shared" si="68"/>
        <v>خ ت صيدلة</v>
      </c>
    </row>
    <row r="667" spans="1:100" x14ac:dyDescent="0.25">
      <c r="C667" s="223">
        <v>198</v>
      </c>
      <c r="D667" s="224">
        <v>22090</v>
      </c>
      <c r="E667" s="224">
        <v>12827</v>
      </c>
      <c r="F667" s="250" t="str">
        <f>+F661</f>
        <v>برنامج دولى</v>
      </c>
      <c r="G667" s="223" t="s">
        <v>3265</v>
      </c>
      <c r="S667" s="223">
        <v>1275</v>
      </c>
      <c r="AV667" s="22">
        <f t="shared" si="63"/>
        <v>1275</v>
      </c>
      <c r="AW667" s="223">
        <v>1275</v>
      </c>
      <c r="CK667" s="22">
        <f t="shared" si="65"/>
        <v>1275</v>
      </c>
      <c r="CL667" s="3">
        <f t="shared" si="66"/>
        <v>0</v>
      </c>
      <c r="CM667" s="222">
        <f t="shared" si="67"/>
        <v>12827</v>
      </c>
      <c r="CN667" s="3" t="str">
        <f t="shared" si="68"/>
        <v>برنامج دولى</v>
      </c>
    </row>
    <row r="668" spans="1:100" x14ac:dyDescent="0.25">
      <c r="C668" s="223">
        <v>199</v>
      </c>
      <c r="D668" s="224">
        <v>22089</v>
      </c>
      <c r="E668" s="224">
        <v>12828</v>
      </c>
      <c r="F668" s="250" t="str">
        <f>+F667</f>
        <v>برنامج دولى</v>
      </c>
      <c r="G668" s="223" t="s">
        <v>5336</v>
      </c>
      <c r="Y668" s="223">
        <v>17586.5</v>
      </c>
      <c r="AV668" s="22">
        <f t="shared" si="63"/>
        <v>17586.5</v>
      </c>
      <c r="AW668" s="223">
        <v>17586.5</v>
      </c>
      <c r="CK668" s="22">
        <f t="shared" si="65"/>
        <v>17586.5</v>
      </c>
      <c r="CL668" s="3">
        <f t="shared" si="66"/>
        <v>0</v>
      </c>
      <c r="CM668" s="222">
        <f t="shared" si="67"/>
        <v>12828</v>
      </c>
      <c r="CN668" s="3" t="str">
        <f t="shared" si="68"/>
        <v>برنامج دولى</v>
      </c>
    </row>
    <row r="669" spans="1:100" ht="31.5" x14ac:dyDescent="0.25">
      <c r="C669" s="223">
        <v>200</v>
      </c>
      <c r="D669" s="224">
        <v>21860</v>
      </c>
      <c r="E669" s="224">
        <v>12829</v>
      </c>
      <c r="G669" s="225" t="s">
        <v>5337</v>
      </c>
      <c r="AF669" s="223">
        <v>48991.76</v>
      </c>
      <c r="AV669" s="22">
        <f t="shared" si="63"/>
        <v>48991.76</v>
      </c>
      <c r="AW669" s="223">
        <v>48991.76</v>
      </c>
      <c r="CK669" s="22">
        <f t="shared" si="65"/>
        <v>48991.76</v>
      </c>
      <c r="CL669" s="3">
        <f t="shared" si="66"/>
        <v>0</v>
      </c>
      <c r="CM669" s="222">
        <f t="shared" si="67"/>
        <v>12829</v>
      </c>
      <c r="CN669" s="3">
        <f t="shared" si="68"/>
        <v>0</v>
      </c>
    </row>
    <row r="670" spans="1:100" s="228" customFormat="1" x14ac:dyDescent="0.25">
      <c r="A670" s="235"/>
      <c r="D670" s="227"/>
      <c r="E670" s="227"/>
      <c r="F670" s="253"/>
      <c r="G670" s="228" t="s">
        <v>5338</v>
      </c>
      <c r="I670" s="228">
        <f>SUM(I470:I669)</f>
        <v>1241483.58</v>
      </c>
      <c r="J670" s="228">
        <f t="shared" ref="J670:BZ670" si="69">SUM(J470:J669)</f>
        <v>512568.32000000001</v>
      </c>
      <c r="K670" s="228">
        <f t="shared" si="69"/>
        <v>0</v>
      </c>
      <c r="L670" s="228">
        <f t="shared" si="69"/>
        <v>0</v>
      </c>
      <c r="M670" s="228">
        <f t="shared" si="69"/>
        <v>0</v>
      </c>
      <c r="N670" s="228">
        <f t="shared" si="69"/>
        <v>0</v>
      </c>
      <c r="O670" s="228">
        <f t="shared" si="69"/>
        <v>0</v>
      </c>
      <c r="P670" s="228">
        <f t="shared" si="69"/>
        <v>0</v>
      </c>
      <c r="Q670" s="228">
        <f t="shared" si="69"/>
        <v>0</v>
      </c>
      <c r="R670" s="228">
        <f t="shared" si="69"/>
        <v>0</v>
      </c>
      <c r="S670" s="228">
        <f t="shared" si="69"/>
        <v>5465.1</v>
      </c>
      <c r="T670" s="228">
        <f t="shared" si="69"/>
        <v>0</v>
      </c>
      <c r="U670" s="228">
        <f t="shared" si="69"/>
        <v>0</v>
      </c>
      <c r="V670" s="228">
        <f t="shared" si="69"/>
        <v>0</v>
      </c>
      <c r="W670" s="228">
        <f t="shared" si="69"/>
        <v>0</v>
      </c>
      <c r="X670" s="228">
        <f t="shared" si="69"/>
        <v>0</v>
      </c>
      <c r="Y670" s="228">
        <f t="shared" si="69"/>
        <v>17586.5</v>
      </c>
      <c r="Z670" s="228">
        <f t="shared" si="69"/>
        <v>0</v>
      </c>
      <c r="AB670" s="228">
        <f t="shared" si="69"/>
        <v>0</v>
      </c>
      <c r="AC670" s="228">
        <f t="shared" si="69"/>
        <v>0</v>
      </c>
      <c r="AD670" s="228">
        <f t="shared" si="69"/>
        <v>0</v>
      </c>
      <c r="AE670" s="228">
        <f t="shared" si="69"/>
        <v>0</v>
      </c>
      <c r="AF670" s="228">
        <f t="shared" si="69"/>
        <v>48991.76</v>
      </c>
      <c r="AH670" s="228">
        <f t="shared" si="69"/>
        <v>0</v>
      </c>
      <c r="AI670" s="228">
        <f t="shared" si="69"/>
        <v>0</v>
      </c>
      <c r="AJ670" s="228">
        <f t="shared" si="69"/>
        <v>0</v>
      </c>
      <c r="AK670" s="228">
        <f t="shared" si="69"/>
        <v>0</v>
      </c>
      <c r="AL670" s="228">
        <f t="shared" si="69"/>
        <v>0</v>
      </c>
      <c r="AM670" s="228">
        <f t="shared" si="69"/>
        <v>0</v>
      </c>
      <c r="AN670" s="228">
        <f t="shared" si="69"/>
        <v>0</v>
      </c>
      <c r="AO670" s="228">
        <f t="shared" si="69"/>
        <v>0</v>
      </c>
      <c r="AP670" s="228">
        <f t="shared" si="69"/>
        <v>0</v>
      </c>
      <c r="AQ670" s="228">
        <f t="shared" si="69"/>
        <v>0</v>
      </c>
      <c r="AR670" s="228">
        <f t="shared" si="69"/>
        <v>0</v>
      </c>
      <c r="AS670" s="228">
        <f t="shared" si="69"/>
        <v>0</v>
      </c>
      <c r="AT670" s="228">
        <f t="shared" si="69"/>
        <v>0</v>
      </c>
      <c r="AU670" s="228">
        <f t="shared" si="69"/>
        <v>0</v>
      </c>
      <c r="AV670" s="22">
        <f t="shared" si="63"/>
        <v>1826095.2600000002</v>
      </c>
      <c r="AW670" s="228">
        <f t="shared" si="69"/>
        <v>1543673.8800000004</v>
      </c>
      <c r="AX670" s="228">
        <f t="shared" si="69"/>
        <v>151000.37000000008</v>
      </c>
      <c r="AY670" s="228">
        <f t="shared" si="69"/>
        <v>94773.309999999969</v>
      </c>
      <c r="AZ670" s="228">
        <f t="shared" si="69"/>
        <v>18031.2</v>
      </c>
      <c r="BA670" s="228">
        <f t="shared" si="69"/>
        <v>0</v>
      </c>
      <c r="BC670" s="228">
        <f t="shared" si="69"/>
        <v>0</v>
      </c>
      <c r="BD670" s="228">
        <f t="shared" si="69"/>
        <v>0</v>
      </c>
      <c r="BE670" s="228">
        <f t="shared" si="69"/>
        <v>0</v>
      </c>
      <c r="BF670" s="228">
        <f t="shared" si="69"/>
        <v>0</v>
      </c>
      <c r="BH670" s="228">
        <f t="shared" si="69"/>
        <v>0</v>
      </c>
      <c r="BI670" s="228">
        <f t="shared" si="69"/>
        <v>0</v>
      </c>
      <c r="BJ670" s="228">
        <f t="shared" si="69"/>
        <v>0</v>
      </c>
      <c r="BL670" s="228">
        <f t="shared" si="69"/>
        <v>0</v>
      </c>
      <c r="BM670" s="228">
        <f t="shared" si="69"/>
        <v>3904.5</v>
      </c>
      <c r="BN670" s="228">
        <f t="shared" si="69"/>
        <v>214</v>
      </c>
      <c r="BO670" s="228">
        <f t="shared" si="69"/>
        <v>1171.5</v>
      </c>
      <c r="BP670" s="228">
        <f t="shared" si="69"/>
        <v>0</v>
      </c>
      <c r="BQ670" s="228">
        <f t="shared" si="69"/>
        <v>13326.5</v>
      </c>
      <c r="BR670" s="228">
        <f t="shared" si="69"/>
        <v>0</v>
      </c>
      <c r="BS670" s="228">
        <f t="shared" si="69"/>
        <v>0</v>
      </c>
      <c r="BT670" s="228">
        <f t="shared" si="69"/>
        <v>0</v>
      </c>
      <c r="BU670" s="228">
        <f t="shared" si="69"/>
        <v>0</v>
      </c>
      <c r="BV670" s="228">
        <f t="shared" si="69"/>
        <v>0</v>
      </c>
      <c r="BW670" s="228">
        <f t="shared" si="69"/>
        <v>0</v>
      </c>
      <c r="BX670" s="228">
        <f t="shared" si="69"/>
        <v>0</v>
      </c>
      <c r="BY670" s="228">
        <f t="shared" si="69"/>
        <v>0</v>
      </c>
      <c r="BZ670" s="228">
        <f t="shared" si="69"/>
        <v>0</v>
      </c>
      <c r="CA670" s="228">
        <f t="shared" ref="CA670:CV670" si="70">SUM(CA470:CA669)</f>
        <v>0</v>
      </c>
      <c r="CB670" s="228">
        <f t="shared" si="70"/>
        <v>0</v>
      </c>
      <c r="CC670" s="228">
        <f t="shared" si="70"/>
        <v>0</v>
      </c>
      <c r="CD670" s="228">
        <f t="shared" si="70"/>
        <v>0</v>
      </c>
      <c r="CE670" s="228">
        <f t="shared" si="70"/>
        <v>0</v>
      </c>
      <c r="CF670" s="228">
        <f t="shared" si="70"/>
        <v>0</v>
      </c>
      <c r="CG670" s="228">
        <f t="shared" si="70"/>
        <v>0</v>
      </c>
      <c r="CH670" s="228">
        <f t="shared" si="70"/>
        <v>0</v>
      </c>
      <c r="CJ670" s="228">
        <f t="shared" si="70"/>
        <v>0</v>
      </c>
      <c r="CK670" s="22">
        <f t="shared" si="65"/>
        <v>1826095.2600000005</v>
      </c>
      <c r="CL670" s="3">
        <f t="shared" si="66"/>
        <v>0</v>
      </c>
      <c r="CM670" s="222">
        <f t="shared" si="67"/>
        <v>0</v>
      </c>
      <c r="CN670" s="3">
        <f t="shared" si="68"/>
        <v>0</v>
      </c>
      <c r="CO670" s="228">
        <f t="shared" si="70"/>
        <v>0</v>
      </c>
      <c r="CP670" s="228">
        <f t="shared" si="70"/>
        <v>0</v>
      </c>
      <c r="CQ670" s="228">
        <f t="shared" si="70"/>
        <v>0</v>
      </c>
      <c r="CR670" s="228">
        <f t="shared" si="70"/>
        <v>0</v>
      </c>
      <c r="CS670" s="228">
        <f t="shared" si="70"/>
        <v>0</v>
      </c>
      <c r="CT670" s="228">
        <f t="shared" si="70"/>
        <v>0</v>
      </c>
      <c r="CU670" s="228">
        <f t="shared" si="70"/>
        <v>0</v>
      </c>
      <c r="CV670" s="228">
        <f t="shared" si="70"/>
        <v>0</v>
      </c>
    </row>
    <row r="671" spans="1:100" x14ac:dyDescent="0.25">
      <c r="D671" s="230">
        <v>9452</v>
      </c>
      <c r="E671" s="224">
        <v>12830</v>
      </c>
      <c r="F671" s="250" t="s">
        <v>5144</v>
      </c>
      <c r="G671" s="223" t="s">
        <v>5639</v>
      </c>
      <c r="H671" s="223" t="s">
        <v>220</v>
      </c>
      <c r="I671" s="223">
        <v>61857.1</v>
      </c>
      <c r="AV671" s="22">
        <f t="shared" si="63"/>
        <v>61857.1</v>
      </c>
      <c r="AW671" s="223">
        <v>43314.52</v>
      </c>
      <c r="AX671" s="223">
        <v>370.6</v>
      </c>
      <c r="AY671" s="223">
        <f>12795.5+2111.2</f>
        <v>14906.7</v>
      </c>
      <c r="AZ671" s="223">
        <f>3196.9+26.38</f>
        <v>3223.28</v>
      </c>
      <c r="BK671" s="223">
        <v>42</v>
      </c>
      <c r="CK671" s="22">
        <f t="shared" si="65"/>
        <v>61857.099999999991</v>
      </c>
      <c r="CL671" s="3">
        <f t="shared" si="66"/>
        <v>0</v>
      </c>
      <c r="CM671" s="222">
        <f t="shared" si="67"/>
        <v>12830</v>
      </c>
      <c r="CN671" s="3" t="str">
        <f t="shared" si="68"/>
        <v>صيدلة اكلينكى</v>
      </c>
    </row>
    <row r="672" spans="1:100" x14ac:dyDescent="0.25">
      <c r="D672" s="230">
        <v>9453</v>
      </c>
      <c r="E672" s="224">
        <v>12831</v>
      </c>
      <c r="F672" s="250" t="s">
        <v>5144</v>
      </c>
      <c r="G672" s="223" t="s">
        <v>5639</v>
      </c>
      <c r="H672" s="223" t="s">
        <v>220</v>
      </c>
      <c r="I672" s="223">
        <v>6231.05</v>
      </c>
      <c r="AV672" s="22">
        <f t="shared" si="63"/>
        <v>6231.05</v>
      </c>
      <c r="AW672" s="223">
        <v>4679.3900000000003</v>
      </c>
      <c r="AX672" s="223">
        <v>37.4</v>
      </c>
      <c r="AY672" s="223">
        <f>1288.9+212.7</f>
        <v>1501.6000000000001</v>
      </c>
      <c r="AZ672" s="223">
        <f>10+2.66</f>
        <v>12.66</v>
      </c>
      <c r="CK672" s="22">
        <f t="shared" si="65"/>
        <v>6231.05</v>
      </c>
      <c r="CL672" s="3">
        <f t="shared" si="66"/>
        <v>0</v>
      </c>
      <c r="CM672" s="222">
        <f t="shared" si="67"/>
        <v>12831</v>
      </c>
      <c r="CN672" s="3" t="str">
        <f t="shared" si="68"/>
        <v>صيدلة اكلينكى</v>
      </c>
    </row>
    <row r="673" spans="4:92" x14ac:dyDescent="0.25">
      <c r="D673" s="230">
        <v>9454</v>
      </c>
      <c r="E673" s="224">
        <v>12832</v>
      </c>
      <c r="F673" s="250" t="s">
        <v>5144</v>
      </c>
      <c r="G673" s="223" t="s">
        <v>5639</v>
      </c>
      <c r="H673" s="223" t="s">
        <v>220</v>
      </c>
      <c r="I673" s="223">
        <v>6001.28</v>
      </c>
      <c r="AV673" s="22">
        <f t="shared" si="63"/>
        <v>6001.28</v>
      </c>
      <c r="AW673" s="223">
        <v>4138.57</v>
      </c>
      <c r="AX673" s="223">
        <v>36.049999999999997</v>
      </c>
      <c r="AY673" s="223">
        <f>1241.3+204.8</f>
        <v>1446.1</v>
      </c>
      <c r="AZ673" s="223">
        <f>378+2.56</f>
        <v>380.56</v>
      </c>
      <c r="CK673" s="22">
        <f t="shared" si="65"/>
        <v>6001.28</v>
      </c>
      <c r="CL673" s="3">
        <f t="shared" si="66"/>
        <v>0</v>
      </c>
      <c r="CM673" s="222">
        <f t="shared" si="67"/>
        <v>12832</v>
      </c>
      <c r="CN673" s="3" t="str">
        <f t="shared" si="68"/>
        <v>صيدلة اكلينكى</v>
      </c>
    </row>
    <row r="674" spans="4:92" x14ac:dyDescent="0.25">
      <c r="D674" s="230">
        <v>9456</v>
      </c>
      <c r="E674" s="224">
        <v>12833</v>
      </c>
      <c r="F674" s="250" t="s">
        <v>5144</v>
      </c>
      <c r="G674" s="223" t="s">
        <v>5639</v>
      </c>
      <c r="H674" s="223" t="s">
        <v>220</v>
      </c>
      <c r="I674" s="223">
        <v>19808.46</v>
      </c>
      <c r="AV674" s="22">
        <f t="shared" si="63"/>
        <v>19808.46</v>
      </c>
      <c r="AW674" s="223">
        <v>14463.68</v>
      </c>
      <c r="AX674" s="223">
        <v>119.15</v>
      </c>
      <c r="AY674" s="223">
        <f>4097.7+676.1</f>
        <v>4773.8</v>
      </c>
      <c r="AZ674" s="223">
        <f>439.79+8.44</f>
        <v>448.23</v>
      </c>
      <c r="BK674" s="223">
        <v>3.6</v>
      </c>
      <c r="CK674" s="22">
        <f t="shared" si="65"/>
        <v>19808.46</v>
      </c>
      <c r="CL674" s="3">
        <f t="shared" si="66"/>
        <v>0</v>
      </c>
      <c r="CM674" s="222">
        <f t="shared" si="67"/>
        <v>12833</v>
      </c>
      <c r="CN674" s="3" t="str">
        <f t="shared" si="68"/>
        <v>صيدلة اكلينكى</v>
      </c>
    </row>
    <row r="675" spans="4:92" x14ac:dyDescent="0.25">
      <c r="D675" s="230">
        <v>9458</v>
      </c>
      <c r="E675" s="224">
        <v>12834</v>
      </c>
      <c r="F675" s="250" t="s">
        <v>5144</v>
      </c>
      <c r="G675" s="223" t="s">
        <v>5639</v>
      </c>
      <c r="H675" s="223" t="s">
        <v>220</v>
      </c>
      <c r="I675" s="223">
        <v>6453.47</v>
      </c>
      <c r="AV675" s="22">
        <f t="shared" si="63"/>
        <v>6453.47</v>
      </c>
      <c r="AW675" s="223">
        <v>4851.82</v>
      </c>
      <c r="AX675" s="223">
        <v>38.799999999999997</v>
      </c>
      <c r="AY675" s="223">
        <f>1335+220.3</f>
        <v>1555.3</v>
      </c>
      <c r="AZ675" s="223">
        <f>3+2.75</f>
        <v>5.75</v>
      </c>
      <c r="BK675" s="223">
        <v>1.8</v>
      </c>
      <c r="CK675" s="22">
        <f t="shared" si="65"/>
        <v>6453.47</v>
      </c>
      <c r="CL675" s="3">
        <f t="shared" si="66"/>
        <v>0</v>
      </c>
      <c r="CM675" s="222">
        <f t="shared" si="67"/>
        <v>12834</v>
      </c>
      <c r="CN675" s="3" t="str">
        <f t="shared" si="68"/>
        <v>صيدلة اكلينكى</v>
      </c>
    </row>
    <row r="676" spans="4:92" x14ac:dyDescent="0.25">
      <c r="D676" s="230">
        <v>9457</v>
      </c>
      <c r="E676" s="224">
        <v>12835</v>
      </c>
      <c r="F676" s="250" t="s">
        <v>5144</v>
      </c>
      <c r="G676" s="223" t="s">
        <v>5639</v>
      </c>
      <c r="H676" s="223" t="s">
        <v>220</v>
      </c>
      <c r="I676" s="223">
        <v>6228.75</v>
      </c>
      <c r="AV676" s="22">
        <f t="shared" si="63"/>
        <v>6228.75</v>
      </c>
      <c r="AW676" s="223">
        <v>4684.54</v>
      </c>
      <c r="AX676" s="223">
        <v>37.450000000000003</v>
      </c>
      <c r="AY676" s="223">
        <f>1288.5+212.6</f>
        <v>1501.1</v>
      </c>
      <c r="AZ676" s="223">
        <f>3+2.66</f>
        <v>5.66</v>
      </c>
      <c r="CK676" s="22">
        <f t="shared" si="65"/>
        <v>6228.75</v>
      </c>
      <c r="CL676" s="3">
        <f t="shared" si="66"/>
        <v>0</v>
      </c>
      <c r="CM676" s="222">
        <f t="shared" si="67"/>
        <v>12835</v>
      </c>
      <c r="CN676" s="3" t="str">
        <f t="shared" si="68"/>
        <v>صيدلة اكلينكى</v>
      </c>
    </row>
    <row r="677" spans="4:92" x14ac:dyDescent="0.25">
      <c r="D677" s="230">
        <v>9455</v>
      </c>
      <c r="E677" s="224">
        <v>12836</v>
      </c>
      <c r="F677" s="250" t="s">
        <v>5144</v>
      </c>
      <c r="G677" s="223" t="s">
        <v>5639</v>
      </c>
      <c r="H677" s="223" t="s">
        <v>220</v>
      </c>
      <c r="I677" s="223">
        <v>166925.9</v>
      </c>
      <c r="AV677" s="22">
        <f t="shared" si="63"/>
        <v>166925.9</v>
      </c>
      <c r="AW677" s="223">
        <v>119612.12</v>
      </c>
      <c r="AX677" s="223">
        <f>15.33+987.15</f>
        <v>1002.48</v>
      </c>
      <c r="AY677" s="223">
        <f>35337+5830.3+39</f>
        <v>41206.300000000003</v>
      </c>
      <c r="AZ677" s="223">
        <f>4932.1+70.9</f>
        <v>5003</v>
      </c>
      <c r="BK677" s="223">
        <v>102</v>
      </c>
      <c r="CK677" s="22">
        <f t="shared" si="65"/>
        <v>166925.9</v>
      </c>
      <c r="CL677" s="3">
        <f t="shared" si="66"/>
        <v>0</v>
      </c>
      <c r="CM677" s="222">
        <f t="shared" si="67"/>
        <v>12836</v>
      </c>
      <c r="CN677" s="3" t="str">
        <f t="shared" si="68"/>
        <v>صيدلة اكلينكى</v>
      </c>
    </row>
    <row r="678" spans="4:92" x14ac:dyDescent="0.25">
      <c r="D678" s="230">
        <v>9811</v>
      </c>
      <c r="E678" s="224">
        <v>12837</v>
      </c>
      <c r="F678" s="250" t="s">
        <v>78</v>
      </c>
      <c r="G678" s="223" t="s">
        <v>5639</v>
      </c>
      <c r="H678" s="223" t="s">
        <v>220</v>
      </c>
      <c r="I678" s="223">
        <v>6434.53</v>
      </c>
      <c r="AV678" s="22">
        <f t="shared" si="63"/>
        <v>6434.53</v>
      </c>
      <c r="AW678" s="223">
        <v>4756.9399999999996</v>
      </c>
      <c r="AX678" s="223">
        <v>38.700000000000003</v>
      </c>
      <c r="AY678" s="223">
        <f>1331+219.6</f>
        <v>1550.6</v>
      </c>
      <c r="AZ678" s="223">
        <f>73+2.74</f>
        <v>75.739999999999995</v>
      </c>
      <c r="BK678" s="223">
        <v>12.55</v>
      </c>
      <c r="CK678" s="22">
        <f t="shared" si="65"/>
        <v>6434.53</v>
      </c>
      <c r="CL678" s="3">
        <f t="shared" si="66"/>
        <v>0</v>
      </c>
      <c r="CM678" s="222">
        <f t="shared" si="67"/>
        <v>12837</v>
      </c>
      <c r="CN678" s="3" t="str">
        <f t="shared" si="68"/>
        <v>برنامج دولى</v>
      </c>
    </row>
    <row r="679" spans="4:92" x14ac:dyDescent="0.25">
      <c r="D679" s="230">
        <v>9812</v>
      </c>
      <c r="E679" s="224">
        <v>12837</v>
      </c>
      <c r="F679" s="250" t="s">
        <v>78</v>
      </c>
      <c r="G679" s="223" t="s">
        <v>5639</v>
      </c>
      <c r="H679" s="223" t="s">
        <v>220</v>
      </c>
      <c r="I679" s="223">
        <v>13682.72</v>
      </c>
      <c r="AV679" s="22">
        <f t="shared" si="63"/>
        <v>13682.72</v>
      </c>
      <c r="AW679" s="223">
        <v>10260.879999999999</v>
      </c>
      <c r="AX679" s="223">
        <f>30.3+82.3</f>
        <v>112.6</v>
      </c>
      <c r="AY679" s="223">
        <f>2830.4+467</f>
        <v>3297.4</v>
      </c>
      <c r="AZ679" s="223">
        <f>6+5.84</f>
        <v>11.84</v>
      </c>
      <c r="CK679" s="22">
        <f t="shared" si="65"/>
        <v>13682.72</v>
      </c>
      <c r="CL679" s="3">
        <f t="shared" si="66"/>
        <v>0</v>
      </c>
      <c r="CM679" s="222">
        <f t="shared" si="67"/>
        <v>12837</v>
      </c>
      <c r="CN679" s="3" t="str">
        <f t="shared" si="68"/>
        <v>برنامج دولى</v>
      </c>
    </row>
    <row r="680" spans="4:92" x14ac:dyDescent="0.25">
      <c r="D680" s="230">
        <v>9813</v>
      </c>
      <c r="E680" s="224">
        <v>12837</v>
      </c>
      <c r="F680" s="250" t="s">
        <v>78</v>
      </c>
      <c r="G680" s="223" t="s">
        <v>5639</v>
      </c>
      <c r="H680" s="223" t="s">
        <v>220</v>
      </c>
      <c r="I680" s="223">
        <v>12830.43</v>
      </c>
      <c r="AV680" s="22">
        <f t="shared" si="63"/>
        <v>12830.43</v>
      </c>
      <c r="AW680" s="223">
        <v>9505.81</v>
      </c>
      <c r="AX680" s="223">
        <v>77.150000000000006</v>
      </c>
      <c r="AY680" s="223">
        <f>2654.1+437.9</f>
        <v>3092</v>
      </c>
      <c r="AZ680" s="223">
        <f>141+5.47</f>
        <v>146.47</v>
      </c>
      <c r="BK680" s="223">
        <v>9</v>
      </c>
      <c r="CK680" s="22">
        <f t="shared" si="65"/>
        <v>12830.429999999998</v>
      </c>
      <c r="CL680" s="3">
        <f t="shared" si="66"/>
        <v>0</v>
      </c>
      <c r="CM680" s="222">
        <f t="shared" si="67"/>
        <v>12837</v>
      </c>
      <c r="CN680" s="3" t="str">
        <f t="shared" si="68"/>
        <v>برنامج دولى</v>
      </c>
    </row>
    <row r="681" spans="4:92" x14ac:dyDescent="0.25">
      <c r="D681" s="230">
        <v>9816</v>
      </c>
      <c r="E681" s="224">
        <v>12837</v>
      </c>
      <c r="F681" s="250" t="s">
        <v>78</v>
      </c>
      <c r="G681" s="223" t="s">
        <v>5639</v>
      </c>
      <c r="H681" s="223" t="s">
        <v>220</v>
      </c>
      <c r="I681" s="223">
        <v>20117.03</v>
      </c>
      <c r="AV681" s="22">
        <f t="shared" si="63"/>
        <v>20117.03</v>
      </c>
      <c r="AW681" s="223">
        <v>14292.35</v>
      </c>
      <c r="AX681" s="223">
        <f>30.28+118.15</f>
        <v>148.43</v>
      </c>
      <c r="AY681" s="223">
        <f>4161.4+686.6</f>
        <v>4848</v>
      </c>
      <c r="AZ681" s="223">
        <f>464+8.41</f>
        <v>472.41</v>
      </c>
      <c r="BA681" s="223">
        <v>354.04</v>
      </c>
      <c r="BK681" s="223">
        <v>1.8</v>
      </c>
      <c r="CK681" s="22">
        <f t="shared" si="65"/>
        <v>20117.03</v>
      </c>
      <c r="CL681" s="3">
        <f t="shared" si="66"/>
        <v>0</v>
      </c>
      <c r="CM681" s="222">
        <f t="shared" si="67"/>
        <v>12837</v>
      </c>
      <c r="CN681" s="3" t="str">
        <f t="shared" si="68"/>
        <v>برنامج دولى</v>
      </c>
    </row>
    <row r="682" spans="4:92" x14ac:dyDescent="0.25">
      <c r="D682" s="230">
        <v>9814</v>
      </c>
      <c r="E682" s="224">
        <v>12838</v>
      </c>
      <c r="F682" s="250" t="s">
        <v>78</v>
      </c>
      <c r="G682" s="223" t="s">
        <v>5639</v>
      </c>
      <c r="H682" s="223" t="s">
        <v>220</v>
      </c>
      <c r="I682" s="223">
        <v>6434.53</v>
      </c>
      <c r="AV682" s="22">
        <f t="shared" si="63"/>
        <v>6434.53</v>
      </c>
      <c r="AW682" s="223">
        <v>4787.49</v>
      </c>
      <c r="AX682" s="223">
        <v>38.700000000000003</v>
      </c>
      <c r="AY682" s="223">
        <f>1331+219.6</f>
        <v>1550.6</v>
      </c>
      <c r="AZ682" s="223">
        <f>55+2.74</f>
        <v>57.74</v>
      </c>
      <c r="CK682" s="22">
        <f t="shared" si="65"/>
        <v>6434.5299999999988</v>
      </c>
      <c r="CL682" s="3">
        <f t="shared" si="66"/>
        <v>0</v>
      </c>
      <c r="CM682" s="222">
        <f t="shared" si="67"/>
        <v>12838</v>
      </c>
      <c r="CN682" s="3" t="str">
        <f t="shared" si="68"/>
        <v>برنامج دولى</v>
      </c>
    </row>
    <row r="683" spans="4:92" x14ac:dyDescent="0.25">
      <c r="D683" s="230">
        <v>9815</v>
      </c>
      <c r="E683" s="224">
        <v>12838</v>
      </c>
      <c r="F683" s="250" t="s">
        <v>78</v>
      </c>
      <c r="G683" s="223" t="s">
        <v>5639</v>
      </c>
      <c r="H683" s="223" t="s">
        <v>220</v>
      </c>
      <c r="I683" s="223">
        <v>6395.9</v>
      </c>
      <c r="AV683" s="22">
        <f t="shared" si="63"/>
        <v>6395.9</v>
      </c>
      <c r="AW683" s="223">
        <v>4807.32</v>
      </c>
      <c r="AX683" s="223">
        <v>38.450000000000003</v>
      </c>
      <c r="AY683" s="223">
        <f>1323.1+218.3</f>
        <v>1541.3999999999999</v>
      </c>
      <c r="AZ683" s="223">
        <f>3+2.73</f>
        <v>5.73</v>
      </c>
      <c r="BK683" s="223">
        <v>3</v>
      </c>
      <c r="CK683" s="22">
        <f t="shared" si="65"/>
        <v>6395.8999999999987</v>
      </c>
      <c r="CL683" s="3">
        <f t="shared" si="66"/>
        <v>0</v>
      </c>
      <c r="CM683" s="222">
        <f t="shared" si="67"/>
        <v>12838</v>
      </c>
      <c r="CN683" s="3" t="str">
        <f t="shared" si="68"/>
        <v>برنامج دولى</v>
      </c>
    </row>
    <row r="684" spans="4:92" x14ac:dyDescent="0.25">
      <c r="D684" s="230">
        <v>9817</v>
      </c>
      <c r="E684" s="224">
        <v>12838</v>
      </c>
      <c r="F684" s="250" t="s">
        <v>78</v>
      </c>
      <c r="G684" s="223" t="s">
        <v>5639</v>
      </c>
      <c r="H684" s="223" t="s">
        <v>220</v>
      </c>
      <c r="I684" s="223">
        <v>12869.06</v>
      </c>
      <c r="AV684" s="22">
        <f t="shared" si="63"/>
        <v>12869.06</v>
      </c>
      <c r="AW684" s="223">
        <v>9304.49</v>
      </c>
      <c r="AX684" s="223">
        <v>77.400000000000006</v>
      </c>
      <c r="AY684" s="223">
        <f>2662+439.2</f>
        <v>3101.2</v>
      </c>
      <c r="AZ684" s="223">
        <f>380.49+5.48</f>
        <v>385.97</v>
      </c>
      <c r="CK684" s="22">
        <f t="shared" si="65"/>
        <v>12869.06</v>
      </c>
      <c r="CL684" s="3">
        <f t="shared" si="66"/>
        <v>0</v>
      </c>
      <c r="CM684" s="222">
        <f t="shared" si="67"/>
        <v>12838</v>
      </c>
      <c r="CN684" s="3" t="str">
        <f t="shared" si="68"/>
        <v>برنامج دولى</v>
      </c>
    </row>
    <row r="685" spans="4:92" x14ac:dyDescent="0.25">
      <c r="D685" s="230">
        <v>9822</v>
      </c>
      <c r="E685" s="224">
        <v>12839</v>
      </c>
      <c r="F685" s="250" t="s">
        <v>78</v>
      </c>
      <c r="G685" s="223" t="s">
        <v>5639</v>
      </c>
      <c r="H685" s="223" t="s">
        <v>220</v>
      </c>
      <c r="I685" s="223">
        <v>13682.5</v>
      </c>
      <c r="AV685" s="22">
        <f t="shared" si="63"/>
        <v>13682.5</v>
      </c>
      <c r="AW685" s="223">
        <v>10260.68</v>
      </c>
      <c r="AX685" s="223">
        <f>30.28+82.3</f>
        <v>112.58</v>
      </c>
      <c r="AY685" s="223">
        <f>2830.4+467</f>
        <v>3297.4</v>
      </c>
      <c r="AZ685" s="223">
        <f>6+5.84</f>
        <v>11.84</v>
      </c>
      <c r="CK685" s="22">
        <f t="shared" si="65"/>
        <v>13682.5</v>
      </c>
      <c r="CL685" s="3">
        <f t="shared" si="66"/>
        <v>0</v>
      </c>
      <c r="CM685" s="222">
        <f t="shared" si="67"/>
        <v>12839</v>
      </c>
      <c r="CN685" s="3" t="str">
        <f t="shared" si="68"/>
        <v>برنامج دولى</v>
      </c>
    </row>
    <row r="686" spans="4:92" x14ac:dyDescent="0.25">
      <c r="D686" s="230">
        <v>9818</v>
      </c>
      <c r="E686" s="224">
        <v>12840</v>
      </c>
      <c r="F686" s="250" t="s">
        <v>78</v>
      </c>
      <c r="G686" s="223" t="s">
        <v>5639</v>
      </c>
      <c r="H686" s="223" t="s">
        <v>220</v>
      </c>
      <c r="I686" s="223">
        <v>11216.41</v>
      </c>
      <c r="AV686" s="22">
        <f t="shared" si="63"/>
        <v>11216.41</v>
      </c>
      <c r="AW686" s="223">
        <v>7946.72</v>
      </c>
      <c r="AX686" s="223">
        <v>61.85</v>
      </c>
      <c r="AY686" s="223">
        <f>2742.7+452.5</f>
        <v>3195.2</v>
      </c>
      <c r="AZ686" s="223">
        <f>8+4.64</f>
        <v>12.64</v>
      </c>
      <c r="CK686" s="22">
        <f t="shared" si="65"/>
        <v>11216.41</v>
      </c>
      <c r="CL686" s="3">
        <f t="shared" si="66"/>
        <v>0</v>
      </c>
      <c r="CM686" s="222">
        <f t="shared" si="67"/>
        <v>12840</v>
      </c>
      <c r="CN686" s="3" t="str">
        <f t="shared" si="68"/>
        <v>برنامج دولى</v>
      </c>
    </row>
    <row r="687" spans="4:92" x14ac:dyDescent="0.25">
      <c r="D687" s="230">
        <v>9819</v>
      </c>
      <c r="E687" s="224">
        <v>12840</v>
      </c>
      <c r="F687" s="250" t="s">
        <v>78</v>
      </c>
      <c r="G687" s="223" t="s">
        <v>5639</v>
      </c>
      <c r="H687" s="223" t="s">
        <v>220</v>
      </c>
      <c r="I687" s="223">
        <v>80444.7</v>
      </c>
      <c r="AV687" s="22">
        <f t="shared" si="63"/>
        <v>80444.7</v>
      </c>
      <c r="AW687" s="223">
        <v>59931.5</v>
      </c>
      <c r="AX687" s="223">
        <f>106.39+483.8</f>
        <v>590.19000000000005</v>
      </c>
      <c r="AY687" s="223">
        <f>16641+2745.7</f>
        <v>19386.7</v>
      </c>
      <c r="AZ687" s="223">
        <f>502+34.31</f>
        <v>536.30999999999995</v>
      </c>
      <c r="CK687" s="22">
        <f t="shared" si="65"/>
        <v>80444.7</v>
      </c>
      <c r="CL687" s="3">
        <f t="shared" si="66"/>
        <v>0</v>
      </c>
      <c r="CM687" s="222">
        <f t="shared" si="67"/>
        <v>12840</v>
      </c>
      <c r="CN687" s="3" t="str">
        <f t="shared" si="68"/>
        <v>برنامج دولى</v>
      </c>
    </row>
    <row r="688" spans="4:92" x14ac:dyDescent="0.25">
      <c r="D688" s="230">
        <v>9820</v>
      </c>
      <c r="E688" s="224">
        <v>12840</v>
      </c>
      <c r="F688" s="250" t="s">
        <v>78</v>
      </c>
      <c r="G688" s="223" t="s">
        <v>5639</v>
      </c>
      <c r="H688" s="223" t="s">
        <v>220</v>
      </c>
      <c r="I688" s="223">
        <v>45948.44</v>
      </c>
      <c r="AV688" s="22">
        <f t="shared" si="63"/>
        <v>45948.44</v>
      </c>
      <c r="AW688" s="223">
        <v>34148.57</v>
      </c>
      <c r="AX688" s="223">
        <f>30.28+276.35</f>
        <v>306.63</v>
      </c>
      <c r="AY688" s="223">
        <f>9505+1568.3</f>
        <v>11073.3</v>
      </c>
      <c r="AZ688" s="223">
        <f>400.35+19.59</f>
        <v>419.94</v>
      </c>
      <c r="CK688" s="22">
        <f t="shared" si="65"/>
        <v>45948.44</v>
      </c>
      <c r="CL688" s="3">
        <f t="shared" si="66"/>
        <v>0</v>
      </c>
      <c r="CM688" s="222">
        <f t="shared" si="67"/>
        <v>12840</v>
      </c>
      <c r="CN688" s="3" t="str">
        <f t="shared" si="68"/>
        <v>برنامج دولى</v>
      </c>
    </row>
    <row r="689" spans="4:92" x14ac:dyDescent="0.25">
      <c r="D689" s="230">
        <v>9825</v>
      </c>
      <c r="E689" s="224">
        <v>12841</v>
      </c>
      <c r="F689" s="250" t="s">
        <v>78</v>
      </c>
      <c r="G689" s="223" t="s">
        <v>5639</v>
      </c>
      <c r="H689" s="223" t="s">
        <v>220</v>
      </c>
      <c r="I689" s="223">
        <v>6434.53</v>
      </c>
      <c r="AV689" s="22">
        <f t="shared" si="63"/>
        <v>6434.53</v>
      </c>
      <c r="AW689" s="223">
        <v>4816.6899999999996</v>
      </c>
      <c r="AX689" s="223">
        <v>38.5</v>
      </c>
      <c r="AY689" s="223">
        <f>1331+219.6+23</f>
        <v>1573.6</v>
      </c>
      <c r="AZ689" s="223">
        <f>3+2.74</f>
        <v>5.74</v>
      </c>
      <c r="CK689" s="22">
        <f t="shared" si="65"/>
        <v>6434.5299999999988</v>
      </c>
      <c r="CL689" s="3">
        <f t="shared" si="66"/>
        <v>0</v>
      </c>
      <c r="CM689" s="222">
        <f t="shared" si="67"/>
        <v>12841</v>
      </c>
      <c r="CN689" s="3" t="str">
        <f t="shared" si="68"/>
        <v>برنامج دولى</v>
      </c>
    </row>
    <row r="690" spans="4:92" x14ac:dyDescent="0.25">
      <c r="D690" s="230">
        <v>9821</v>
      </c>
      <c r="E690" s="224">
        <v>12842</v>
      </c>
      <c r="F690" s="250" t="s">
        <v>78</v>
      </c>
      <c r="G690" s="223" t="s">
        <v>5639</v>
      </c>
      <c r="H690" s="223" t="s">
        <v>220</v>
      </c>
      <c r="I690" s="223">
        <v>1571640.45</v>
      </c>
      <c r="AV690" s="22">
        <f t="shared" si="63"/>
        <v>1571640.45</v>
      </c>
      <c r="AW690" s="223">
        <v>1159371.06</v>
      </c>
      <c r="AX690" s="223">
        <f>1731.59+9302.15</f>
        <v>11033.74</v>
      </c>
      <c r="AY690" s="223">
        <f>330153.7+54472.8+12</f>
        <v>384638.5</v>
      </c>
      <c r="AZ690" s="223">
        <f>6066.12+663.88</f>
        <v>6730</v>
      </c>
      <c r="BA690" s="223">
        <v>9381.85</v>
      </c>
      <c r="BC690" s="223">
        <v>356.14</v>
      </c>
      <c r="BK690" s="223">
        <v>129.16</v>
      </c>
      <c r="CK690" s="22">
        <f t="shared" si="65"/>
        <v>1571640.45</v>
      </c>
      <c r="CL690" s="3">
        <f t="shared" si="66"/>
        <v>0</v>
      </c>
      <c r="CM690" s="222">
        <f t="shared" si="67"/>
        <v>12842</v>
      </c>
      <c r="CN690" s="3" t="str">
        <f t="shared" si="68"/>
        <v>برنامج دولى</v>
      </c>
    </row>
    <row r="691" spans="4:92" x14ac:dyDescent="0.25">
      <c r="D691" s="230">
        <v>9823</v>
      </c>
      <c r="E691" s="224">
        <v>12843</v>
      </c>
      <c r="F691" s="250" t="s">
        <v>78</v>
      </c>
      <c r="G691" s="223" t="s">
        <v>5639</v>
      </c>
      <c r="H691" s="223" t="s">
        <v>220</v>
      </c>
      <c r="I691" s="223">
        <v>6434.53</v>
      </c>
      <c r="AV691" s="22">
        <f t="shared" si="63"/>
        <v>6434.53</v>
      </c>
      <c r="AW691" s="223">
        <v>4663.95</v>
      </c>
      <c r="AX691" s="223">
        <v>37.299999999999997</v>
      </c>
      <c r="AY691" s="223">
        <f>1331+219.6</f>
        <v>1550.6</v>
      </c>
      <c r="AZ691" s="223">
        <f>3+2.66</f>
        <v>5.66</v>
      </c>
      <c r="BA691" s="223">
        <v>177.02</v>
      </c>
      <c r="CK691" s="22">
        <f t="shared" si="65"/>
        <v>6434.5300000000007</v>
      </c>
      <c r="CL691" s="3">
        <f t="shared" si="66"/>
        <v>0</v>
      </c>
      <c r="CM691" s="222">
        <f t="shared" si="67"/>
        <v>12843</v>
      </c>
      <c r="CN691" s="3" t="str">
        <f t="shared" si="68"/>
        <v>برنامج دولى</v>
      </c>
    </row>
    <row r="692" spans="4:92" x14ac:dyDescent="0.25">
      <c r="D692" s="230">
        <v>9824</v>
      </c>
      <c r="E692" s="224">
        <v>12843</v>
      </c>
      <c r="F692" s="250" t="s">
        <v>78</v>
      </c>
      <c r="G692" s="223" t="s">
        <v>5639</v>
      </c>
      <c r="H692" s="223" t="s">
        <v>220</v>
      </c>
      <c r="I692" s="223">
        <v>12869.06</v>
      </c>
      <c r="AV692" s="22">
        <f t="shared" si="63"/>
        <v>12869.06</v>
      </c>
      <c r="AW692" s="223">
        <v>9563.98</v>
      </c>
      <c r="AX692" s="223">
        <v>77.400000000000006</v>
      </c>
      <c r="AY692" s="223">
        <f>2662+439.2</f>
        <v>3101.2</v>
      </c>
      <c r="AZ692" s="223">
        <f>121+5.48</f>
        <v>126.48</v>
      </c>
      <c r="CK692" s="22">
        <f t="shared" si="65"/>
        <v>12869.059999999998</v>
      </c>
      <c r="CL692" s="3">
        <f t="shared" si="66"/>
        <v>0</v>
      </c>
      <c r="CM692" s="222">
        <f t="shared" si="67"/>
        <v>12843</v>
      </c>
      <c r="CN692" s="3" t="str">
        <f t="shared" si="68"/>
        <v>برنامج دولى</v>
      </c>
    </row>
    <row r="693" spans="4:92" x14ac:dyDescent="0.25">
      <c r="D693" s="230">
        <v>9826</v>
      </c>
      <c r="E693" s="224">
        <v>12843</v>
      </c>
      <c r="F693" s="250" t="s">
        <v>78</v>
      </c>
      <c r="G693" s="223" t="s">
        <v>5639</v>
      </c>
      <c r="H693" s="223" t="s">
        <v>220</v>
      </c>
      <c r="I693" s="223">
        <v>6434.53</v>
      </c>
      <c r="AV693" s="22">
        <f t="shared" si="63"/>
        <v>6434.53</v>
      </c>
      <c r="AW693" s="223">
        <v>3078.49</v>
      </c>
      <c r="AX693" s="223">
        <v>38.700000000000003</v>
      </c>
      <c r="AY693" s="223">
        <f>1331+219.6</f>
        <v>1550.6</v>
      </c>
      <c r="AZ693" s="223">
        <f>961+800+2.74</f>
        <v>1763.74</v>
      </c>
      <c r="BK693" s="223">
        <v>3</v>
      </c>
      <c r="CK693" s="22">
        <f t="shared" si="65"/>
        <v>6434.5299999999988</v>
      </c>
      <c r="CL693" s="3">
        <f t="shared" si="66"/>
        <v>0</v>
      </c>
      <c r="CM693" s="222">
        <f t="shared" si="67"/>
        <v>12843</v>
      </c>
      <c r="CN693" s="3" t="str">
        <f t="shared" si="68"/>
        <v>برنامج دولى</v>
      </c>
    </row>
    <row r="694" spans="4:92" x14ac:dyDescent="0.25">
      <c r="D694" s="230">
        <v>9827</v>
      </c>
      <c r="E694" s="224">
        <v>12844</v>
      </c>
      <c r="F694" s="250" t="s">
        <v>78</v>
      </c>
      <c r="G694" s="223" t="s">
        <v>5639</v>
      </c>
      <c r="H694" s="223" t="s">
        <v>220</v>
      </c>
      <c r="I694" s="223">
        <v>26213.94</v>
      </c>
      <c r="AV694" s="22">
        <f t="shared" ref="AV694:AV720" si="71">SUM(I694:AU694)</f>
        <v>26213.94</v>
      </c>
      <c r="AW694" s="223">
        <v>19684.12</v>
      </c>
      <c r="AX694" s="223">
        <f>15.14+157.65</f>
        <v>172.79000000000002</v>
      </c>
      <c r="AY694" s="223">
        <f>5422.7+894.7</f>
        <v>6317.4</v>
      </c>
      <c r="AZ694" s="223">
        <f>12+11.18</f>
        <v>23.18</v>
      </c>
      <c r="BK694" s="223">
        <v>16.45</v>
      </c>
      <c r="CK694" s="22">
        <f t="shared" si="65"/>
        <v>26213.94</v>
      </c>
      <c r="CL694" s="3">
        <f t="shared" si="66"/>
        <v>0</v>
      </c>
      <c r="CM694" s="222">
        <f t="shared" si="67"/>
        <v>12844</v>
      </c>
      <c r="CN694" s="3" t="str">
        <f t="shared" si="68"/>
        <v>برنامج دولى</v>
      </c>
    </row>
    <row r="695" spans="4:92" x14ac:dyDescent="0.25">
      <c r="D695" s="230">
        <v>9828</v>
      </c>
      <c r="E695" s="224">
        <v>12844</v>
      </c>
      <c r="F695" s="250" t="s">
        <v>78</v>
      </c>
      <c r="G695" s="223" t="s">
        <v>5639</v>
      </c>
      <c r="H695" s="223" t="s">
        <v>220</v>
      </c>
      <c r="I695" s="223">
        <v>6444.5</v>
      </c>
      <c r="AV695" s="22">
        <f t="shared" si="71"/>
        <v>6444.5</v>
      </c>
      <c r="AW695" s="223">
        <v>3547</v>
      </c>
      <c r="AX695" s="223">
        <v>38.75</v>
      </c>
      <c r="AY695" s="223">
        <f>1333.1+219.9</f>
        <v>1553</v>
      </c>
      <c r="AZ695" s="223">
        <f>1303+2.75</f>
        <v>1305.75</v>
      </c>
      <c r="CK695" s="22">
        <f t="shared" si="65"/>
        <v>6444.5</v>
      </c>
      <c r="CL695" s="3">
        <f t="shared" si="66"/>
        <v>0</v>
      </c>
      <c r="CM695" s="222">
        <f t="shared" si="67"/>
        <v>12844</v>
      </c>
      <c r="CN695" s="3" t="str">
        <f t="shared" si="68"/>
        <v>برنامج دولى</v>
      </c>
    </row>
    <row r="696" spans="4:92" x14ac:dyDescent="0.25">
      <c r="D696" s="230">
        <v>9829</v>
      </c>
      <c r="E696" s="224">
        <v>12844</v>
      </c>
      <c r="F696" s="250" t="s">
        <v>78</v>
      </c>
      <c r="G696" s="223" t="s">
        <v>5639</v>
      </c>
      <c r="H696" s="223" t="s">
        <v>220</v>
      </c>
      <c r="I696" s="223">
        <v>6439.23</v>
      </c>
      <c r="AV696" s="22">
        <f t="shared" si="71"/>
        <v>6439.23</v>
      </c>
      <c r="AW696" s="223">
        <v>4720.33</v>
      </c>
      <c r="AX696" s="223">
        <v>38.700000000000003</v>
      </c>
      <c r="AY696" s="223">
        <f>1332.1+219.8</f>
        <v>1551.8999999999999</v>
      </c>
      <c r="AZ696" s="223">
        <f>113+2.75</f>
        <v>115.75</v>
      </c>
      <c r="BK696" s="223">
        <v>12.55</v>
      </c>
      <c r="CK696" s="22">
        <f t="shared" si="65"/>
        <v>6439.23</v>
      </c>
      <c r="CL696" s="3">
        <f t="shared" si="66"/>
        <v>0</v>
      </c>
      <c r="CM696" s="222">
        <f t="shared" si="67"/>
        <v>12844</v>
      </c>
      <c r="CN696" s="3" t="str">
        <f t="shared" si="68"/>
        <v>برنامج دولى</v>
      </c>
    </row>
    <row r="697" spans="4:92" x14ac:dyDescent="0.25">
      <c r="D697" s="230">
        <v>9832</v>
      </c>
      <c r="E697" s="224">
        <v>12847</v>
      </c>
      <c r="F697" s="250" t="s">
        <v>78</v>
      </c>
      <c r="G697" s="223" t="s">
        <v>5639</v>
      </c>
      <c r="H697" s="223" t="s">
        <v>220</v>
      </c>
      <c r="I697" s="223">
        <v>6434.53</v>
      </c>
      <c r="AV697" s="22">
        <f t="shared" si="71"/>
        <v>6434.53</v>
      </c>
      <c r="AW697" s="223">
        <v>4668.67</v>
      </c>
      <c r="AX697" s="223">
        <v>38.700000000000003</v>
      </c>
      <c r="AY697" s="223">
        <f>1331+219.6</f>
        <v>1550.6</v>
      </c>
      <c r="AZ697" s="223">
        <f>173.82+2.74</f>
        <v>176.56</v>
      </c>
      <c r="CK697" s="22">
        <f t="shared" si="65"/>
        <v>6434.53</v>
      </c>
      <c r="CL697" s="3">
        <f t="shared" si="66"/>
        <v>0</v>
      </c>
      <c r="CM697" s="222">
        <f t="shared" si="67"/>
        <v>12847</v>
      </c>
      <c r="CN697" s="3" t="str">
        <f t="shared" si="68"/>
        <v>برنامج دولى</v>
      </c>
    </row>
    <row r="698" spans="4:92" x14ac:dyDescent="0.25">
      <c r="D698" s="230">
        <v>9830</v>
      </c>
      <c r="E698" s="224">
        <v>12845</v>
      </c>
      <c r="F698" s="250" t="s">
        <v>78</v>
      </c>
      <c r="G698" s="223" t="s">
        <v>5639</v>
      </c>
      <c r="H698" s="223" t="s">
        <v>220</v>
      </c>
      <c r="I698" s="223">
        <v>12869.06</v>
      </c>
      <c r="AV698" s="22">
        <f t="shared" si="71"/>
        <v>12869.06</v>
      </c>
      <c r="AW698" s="223">
        <v>8628.98</v>
      </c>
      <c r="AX698" s="223">
        <v>77.400000000000006</v>
      </c>
      <c r="AY698" s="223">
        <f>2662+439.2</f>
        <v>3101.2</v>
      </c>
      <c r="AZ698" s="223">
        <f>1056+5.48</f>
        <v>1061.48</v>
      </c>
      <c r="CK698" s="22">
        <f t="shared" si="65"/>
        <v>12869.059999999998</v>
      </c>
      <c r="CL698" s="3">
        <f t="shared" si="66"/>
        <v>0</v>
      </c>
      <c r="CM698" s="222">
        <f t="shared" si="67"/>
        <v>12845</v>
      </c>
      <c r="CN698" s="3" t="str">
        <f t="shared" si="68"/>
        <v>برنامج دولى</v>
      </c>
    </row>
    <row r="699" spans="4:92" x14ac:dyDescent="0.25">
      <c r="D699" s="230">
        <v>9833</v>
      </c>
      <c r="E699" s="224">
        <v>12846</v>
      </c>
      <c r="F699" s="250" t="s">
        <v>78</v>
      </c>
      <c r="G699" s="223" t="s">
        <v>5639</v>
      </c>
      <c r="H699" s="223" t="s">
        <v>220</v>
      </c>
      <c r="I699" s="223">
        <v>26551.58</v>
      </c>
      <c r="AV699" s="22">
        <f t="shared" si="71"/>
        <v>26551.58</v>
      </c>
      <c r="AW699" s="223">
        <v>19764.14</v>
      </c>
      <c r="AX699" s="223">
        <f>30.28+158.3</f>
        <v>188.58</v>
      </c>
      <c r="AY699" s="223">
        <f>5492.4+906.2</f>
        <v>6398.5999999999995</v>
      </c>
      <c r="AZ699" s="223">
        <f>12+11.24</f>
        <v>23.240000000000002</v>
      </c>
      <c r="BA699" s="223">
        <v>177.02</v>
      </c>
      <c r="CK699" s="22">
        <f t="shared" si="65"/>
        <v>26551.58</v>
      </c>
      <c r="CL699" s="3">
        <f t="shared" si="66"/>
        <v>0</v>
      </c>
      <c r="CM699" s="222">
        <f t="shared" si="67"/>
        <v>12846</v>
      </c>
      <c r="CN699" s="3" t="str">
        <f t="shared" si="68"/>
        <v>برنامج دولى</v>
      </c>
    </row>
    <row r="700" spans="4:92" x14ac:dyDescent="0.25">
      <c r="D700" s="230">
        <v>9834</v>
      </c>
      <c r="E700" s="224">
        <v>12847</v>
      </c>
      <c r="F700" s="250" t="s">
        <v>78</v>
      </c>
      <c r="G700" s="223" t="s">
        <v>5639</v>
      </c>
      <c r="H700" s="223" t="s">
        <v>220</v>
      </c>
      <c r="I700" s="223">
        <v>19226.330000000002</v>
      </c>
      <c r="AV700" s="22">
        <f t="shared" si="71"/>
        <v>19226.330000000002</v>
      </c>
      <c r="AW700" s="223">
        <v>14329.13</v>
      </c>
      <c r="AX700" s="223">
        <v>115.6</v>
      </c>
      <c r="AY700" s="223">
        <f>3977.2+656.2</f>
        <v>4633.3999999999996</v>
      </c>
      <c r="AZ700" s="223">
        <f>139+8.2</f>
        <v>147.19999999999999</v>
      </c>
      <c r="BK700" s="223">
        <v>1</v>
      </c>
      <c r="CK700" s="22">
        <f t="shared" si="65"/>
        <v>19226.329999999998</v>
      </c>
      <c r="CL700" s="3">
        <f t="shared" si="66"/>
        <v>0</v>
      </c>
      <c r="CM700" s="222">
        <f t="shared" si="67"/>
        <v>12847</v>
      </c>
      <c r="CN700" s="3" t="str">
        <f t="shared" si="68"/>
        <v>برنامج دولى</v>
      </c>
    </row>
    <row r="701" spans="4:92" x14ac:dyDescent="0.25">
      <c r="D701" s="230">
        <v>9835</v>
      </c>
      <c r="E701" s="224">
        <v>12847</v>
      </c>
      <c r="F701" s="250" t="s">
        <v>78</v>
      </c>
      <c r="G701" s="223" t="s">
        <v>5639</v>
      </c>
      <c r="H701" s="223" t="s">
        <v>220</v>
      </c>
      <c r="I701" s="223">
        <v>6841.25</v>
      </c>
      <c r="AV701" s="22">
        <f t="shared" si="71"/>
        <v>6841.25</v>
      </c>
      <c r="AW701" s="223">
        <v>5128.34</v>
      </c>
      <c r="AX701" s="223">
        <f>15.14+41.15</f>
        <v>56.29</v>
      </c>
      <c r="AY701" s="223">
        <f>1415.2+233.5</f>
        <v>1648.7</v>
      </c>
      <c r="AZ701" s="223">
        <f>5+2.92</f>
        <v>7.92</v>
      </c>
      <c r="CK701" s="22">
        <f t="shared" si="65"/>
        <v>6841.25</v>
      </c>
      <c r="CL701" s="3">
        <f t="shared" si="66"/>
        <v>0</v>
      </c>
      <c r="CM701" s="222">
        <f t="shared" si="67"/>
        <v>12847</v>
      </c>
      <c r="CN701" s="3" t="str">
        <f t="shared" si="68"/>
        <v>برنامج دولى</v>
      </c>
    </row>
    <row r="702" spans="4:92" x14ac:dyDescent="0.25">
      <c r="D702" s="230">
        <v>9836</v>
      </c>
      <c r="E702" s="224">
        <v>12847</v>
      </c>
      <c r="F702" s="250" t="s">
        <v>78</v>
      </c>
      <c r="G702" s="223" t="s">
        <v>5639</v>
      </c>
      <c r="H702" s="223" t="s">
        <v>220</v>
      </c>
      <c r="I702" s="223">
        <v>6434.53</v>
      </c>
      <c r="AV702" s="22">
        <f t="shared" si="71"/>
        <v>6434.53</v>
      </c>
      <c r="AW702" s="223">
        <v>4839.49</v>
      </c>
      <c r="AX702" s="223">
        <v>38.700000000000003</v>
      </c>
      <c r="AY702" s="223">
        <f>1331+219.6</f>
        <v>1550.6</v>
      </c>
      <c r="AZ702" s="223">
        <f>3+2.74</f>
        <v>5.74</v>
      </c>
      <c r="CK702" s="22">
        <f t="shared" si="65"/>
        <v>6434.5299999999988</v>
      </c>
      <c r="CL702" s="3">
        <f t="shared" si="66"/>
        <v>0</v>
      </c>
      <c r="CM702" s="222">
        <f t="shared" si="67"/>
        <v>12847</v>
      </c>
      <c r="CN702" s="3" t="str">
        <f t="shared" si="68"/>
        <v>برنامج دولى</v>
      </c>
    </row>
    <row r="703" spans="4:92" x14ac:dyDescent="0.25">
      <c r="D703" s="230">
        <v>9831</v>
      </c>
      <c r="E703" s="224">
        <v>12847</v>
      </c>
      <c r="F703" s="250" t="s">
        <v>78</v>
      </c>
      <c r="G703" s="223" t="s">
        <v>5639</v>
      </c>
      <c r="H703" s="223" t="s">
        <v>220</v>
      </c>
      <c r="I703" s="223">
        <v>13275.78</v>
      </c>
      <c r="AV703" s="22">
        <f t="shared" si="71"/>
        <v>13275.78</v>
      </c>
      <c r="AW703" s="223">
        <v>9966.0300000000007</v>
      </c>
      <c r="AX703" s="223">
        <f>15.14+79.85</f>
        <v>94.99</v>
      </c>
      <c r="AY703" s="223">
        <f>2746.2+453.1</f>
        <v>3199.2999999999997</v>
      </c>
      <c r="AZ703" s="223">
        <f>8+5.66</f>
        <v>13.66</v>
      </c>
      <c r="BK703" s="223">
        <v>1.8</v>
      </c>
      <c r="CK703" s="22">
        <f t="shared" si="65"/>
        <v>13275.779999999999</v>
      </c>
      <c r="CL703" s="3">
        <f t="shared" si="66"/>
        <v>0</v>
      </c>
      <c r="CM703" s="222">
        <f t="shared" si="67"/>
        <v>12847</v>
      </c>
      <c r="CN703" s="3" t="str">
        <f t="shared" si="68"/>
        <v>برنامج دولى</v>
      </c>
    </row>
    <row r="704" spans="4:92" x14ac:dyDescent="0.25">
      <c r="D704" s="230">
        <v>9840</v>
      </c>
      <c r="E704" s="224">
        <v>12848</v>
      </c>
      <c r="F704" s="250" t="s">
        <v>78</v>
      </c>
      <c r="G704" s="223" t="str">
        <f>+G709</f>
        <v>مرتبات مؤقتين يونيو</v>
      </c>
      <c r="H704" s="223" t="s">
        <v>220</v>
      </c>
      <c r="I704" s="223">
        <v>6843.45</v>
      </c>
      <c r="AV704" s="22">
        <f t="shared" si="71"/>
        <v>6843.45</v>
      </c>
      <c r="AW704" s="223">
        <v>5132</v>
      </c>
      <c r="AX704" s="223">
        <f>15.33+41.2</f>
        <v>56.53</v>
      </c>
      <c r="AY704" s="223">
        <f>1415.5+233.5</f>
        <v>1649</v>
      </c>
      <c r="AZ704" s="223">
        <f>3+2.92</f>
        <v>5.92</v>
      </c>
      <c r="CK704" s="22">
        <f t="shared" si="65"/>
        <v>6843.45</v>
      </c>
      <c r="CL704" s="3">
        <f t="shared" si="66"/>
        <v>0</v>
      </c>
      <c r="CM704" s="222">
        <f t="shared" si="67"/>
        <v>12848</v>
      </c>
      <c r="CN704" s="3" t="str">
        <f t="shared" si="68"/>
        <v>برنامج دولى</v>
      </c>
    </row>
    <row r="705" spans="4:92" x14ac:dyDescent="0.25">
      <c r="D705" s="230">
        <v>9838</v>
      </c>
      <c r="E705" s="224">
        <v>12848</v>
      </c>
      <c r="F705" s="250" t="s">
        <v>78</v>
      </c>
      <c r="G705" s="223" t="str">
        <f>+G710</f>
        <v>مرتبات مؤقتين يونيو</v>
      </c>
      <c r="H705" s="223" t="s">
        <v>220</v>
      </c>
      <c r="I705" s="223">
        <v>6841.25</v>
      </c>
      <c r="AV705" s="22">
        <f t="shared" si="71"/>
        <v>6841.25</v>
      </c>
      <c r="AW705" s="223">
        <v>5130.34</v>
      </c>
      <c r="AX705" s="223">
        <f>15.14+41.15</f>
        <v>56.29</v>
      </c>
      <c r="AY705" s="223">
        <f>1415.2+233.5</f>
        <v>1648.7</v>
      </c>
      <c r="AZ705" s="223">
        <f>3+2.92</f>
        <v>5.92</v>
      </c>
      <c r="CK705" s="22">
        <f t="shared" si="65"/>
        <v>6841.25</v>
      </c>
      <c r="CL705" s="3">
        <f t="shared" si="66"/>
        <v>0</v>
      </c>
      <c r="CM705" s="222">
        <f t="shared" si="67"/>
        <v>12848</v>
      </c>
      <c r="CN705" s="3" t="str">
        <f t="shared" si="68"/>
        <v>برنامج دولى</v>
      </c>
    </row>
    <row r="706" spans="4:92" x14ac:dyDescent="0.25">
      <c r="D706" s="230">
        <v>9837</v>
      </c>
      <c r="E706" s="224">
        <v>12849</v>
      </c>
      <c r="F706" s="250" t="s">
        <v>78</v>
      </c>
      <c r="G706" s="223" t="str">
        <f>+G711</f>
        <v>مرتبات مؤقتين يونيو</v>
      </c>
      <c r="H706" s="223" t="s">
        <v>220</v>
      </c>
      <c r="I706" s="223">
        <v>6434.53</v>
      </c>
      <c r="AV706" s="22">
        <f t="shared" si="71"/>
        <v>6434.53</v>
      </c>
      <c r="AW706" s="223">
        <v>4839.49</v>
      </c>
      <c r="AX706" s="223">
        <v>38.700000000000003</v>
      </c>
      <c r="AY706" s="223">
        <f>1331+219.6</f>
        <v>1550.6</v>
      </c>
      <c r="AZ706" s="223">
        <f>3+2.74</f>
        <v>5.74</v>
      </c>
      <c r="CK706" s="22">
        <f t="shared" si="65"/>
        <v>6434.5299999999988</v>
      </c>
      <c r="CL706" s="3">
        <f t="shared" si="66"/>
        <v>0</v>
      </c>
      <c r="CM706" s="222">
        <f t="shared" si="67"/>
        <v>12849</v>
      </c>
      <c r="CN706" s="3" t="str">
        <f t="shared" si="68"/>
        <v>برنامج دولى</v>
      </c>
    </row>
    <row r="707" spans="4:92" x14ac:dyDescent="0.25">
      <c r="D707" s="230">
        <v>9839</v>
      </c>
      <c r="E707" s="224">
        <v>12850</v>
      </c>
      <c r="F707" s="250" t="s">
        <v>78</v>
      </c>
      <c r="G707" s="223" t="str">
        <f>+G712</f>
        <v>مرتبات مؤقتين يونيو</v>
      </c>
      <c r="H707" s="223" t="s">
        <v>220</v>
      </c>
      <c r="I707" s="223">
        <v>6841.25</v>
      </c>
      <c r="AV707" s="22">
        <f t="shared" si="71"/>
        <v>6841.25</v>
      </c>
      <c r="AW707" s="223">
        <v>5130.34</v>
      </c>
      <c r="AX707" s="223">
        <f>15.14+41.15</f>
        <v>56.29</v>
      </c>
      <c r="AY707" s="223">
        <f>1415.2+233.5</f>
        <v>1648.7</v>
      </c>
      <c r="AZ707" s="223">
        <f>3+2.92</f>
        <v>5.92</v>
      </c>
      <c r="CK707" s="22">
        <f t="shared" si="65"/>
        <v>6841.25</v>
      </c>
      <c r="CL707" s="3">
        <f t="shared" si="66"/>
        <v>0</v>
      </c>
      <c r="CM707" s="222">
        <f t="shared" si="67"/>
        <v>12850</v>
      </c>
      <c r="CN707" s="3" t="str">
        <f t="shared" si="68"/>
        <v>برنامج دولى</v>
      </c>
    </row>
    <row r="708" spans="4:92" x14ac:dyDescent="0.25">
      <c r="D708" s="224">
        <v>9451</v>
      </c>
      <c r="E708" s="224">
        <v>12851</v>
      </c>
      <c r="F708" s="250" t="s">
        <v>5144</v>
      </c>
      <c r="G708" s="223" t="str">
        <f>+G713</f>
        <v>مرتبات مؤقتين يونيو</v>
      </c>
      <c r="H708" s="223" t="s">
        <v>220</v>
      </c>
      <c r="I708" s="223">
        <v>6029.18</v>
      </c>
      <c r="AV708" s="22">
        <f t="shared" si="71"/>
        <v>6029.18</v>
      </c>
      <c r="AW708" s="223">
        <v>3634.26</v>
      </c>
      <c r="AX708" s="223">
        <v>36.25</v>
      </c>
      <c r="AY708" s="223">
        <f>1247.3+205.8</f>
        <v>1453.1</v>
      </c>
      <c r="AZ708" s="223">
        <f>903+2.57</f>
        <v>905.57</v>
      </c>
      <c r="CK708" s="22">
        <f t="shared" si="65"/>
        <v>6029.18</v>
      </c>
      <c r="CL708" s="3">
        <f t="shared" si="66"/>
        <v>0</v>
      </c>
      <c r="CM708" s="222">
        <f t="shared" si="67"/>
        <v>12851</v>
      </c>
      <c r="CN708" s="3" t="str">
        <f t="shared" si="68"/>
        <v>صيدلة اكلينكى</v>
      </c>
    </row>
    <row r="709" spans="4:92" x14ac:dyDescent="0.25">
      <c r="D709" s="224">
        <v>9544</v>
      </c>
      <c r="E709" s="224">
        <v>12852</v>
      </c>
      <c r="F709" s="250" t="s">
        <v>121</v>
      </c>
      <c r="G709" s="223" t="s">
        <v>5639</v>
      </c>
      <c r="H709" s="223" t="s">
        <v>220</v>
      </c>
      <c r="I709" s="223">
        <v>13240.8</v>
      </c>
      <c r="AV709" s="22">
        <f t="shared" si="71"/>
        <v>13240.8</v>
      </c>
      <c r="AW709" s="223">
        <v>9633.06</v>
      </c>
      <c r="AX709" s="223">
        <v>79.5</v>
      </c>
      <c r="AY709" s="223">
        <f>2739+451.9+16</f>
        <v>3206.9</v>
      </c>
      <c r="AZ709" s="223">
        <f>314.83+5.64</f>
        <v>320.46999999999997</v>
      </c>
      <c r="CJ709" s="223">
        <v>0.87</v>
      </c>
      <c r="CK709" s="22">
        <f t="shared" si="65"/>
        <v>13240.8</v>
      </c>
      <c r="CL709" s="3">
        <f t="shared" si="66"/>
        <v>0</v>
      </c>
      <c r="CM709" s="222">
        <f t="shared" si="67"/>
        <v>12852</v>
      </c>
      <c r="CN709" s="3" t="str">
        <f t="shared" si="68"/>
        <v>ماليزى اسنان</v>
      </c>
    </row>
    <row r="710" spans="4:92" x14ac:dyDescent="0.25">
      <c r="D710" s="224">
        <v>9545</v>
      </c>
      <c r="E710" s="224">
        <v>12852</v>
      </c>
      <c r="F710" s="250" t="s">
        <v>121</v>
      </c>
      <c r="G710" s="223" t="s">
        <v>5639</v>
      </c>
      <c r="H710" s="223" t="s">
        <v>220</v>
      </c>
      <c r="I710" s="223">
        <v>6400.85</v>
      </c>
      <c r="AV710" s="22">
        <f t="shared" si="71"/>
        <v>6400.85</v>
      </c>
      <c r="AW710" s="223">
        <v>4635.71</v>
      </c>
      <c r="AX710" s="223">
        <v>38.5</v>
      </c>
      <c r="AY710" s="223">
        <f>1324+218.4</f>
        <v>1542.4</v>
      </c>
      <c r="AZ710" s="223">
        <f>179.72+2.73</f>
        <v>182.45</v>
      </c>
      <c r="CJ710" s="223">
        <v>1.79</v>
      </c>
      <c r="CK710" s="22">
        <f t="shared" si="65"/>
        <v>6400.85</v>
      </c>
      <c r="CL710" s="3">
        <f t="shared" si="66"/>
        <v>0</v>
      </c>
      <c r="CM710" s="222">
        <f t="shared" si="67"/>
        <v>12852</v>
      </c>
      <c r="CN710" s="3" t="str">
        <f t="shared" si="68"/>
        <v>ماليزى اسنان</v>
      </c>
    </row>
    <row r="711" spans="4:92" x14ac:dyDescent="0.25">
      <c r="D711" s="224">
        <v>9547</v>
      </c>
      <c r="E711" s="224">
        <v>12853</v>
      </c>
      <c r="F711" s="250" t="s">
        <v>121</v>
      </c>
      <c r="G711" s="223" t="s">
        <v>5639</v>
      </c>
      <c r="H711" s="223" t="s">
        <v>220</v>
      </c>
      <c r="I711" s="223">
        <v>13608.39</v>
      </c>
      <c r="AV711" s="22">
        <f t="shared" si="71"/>
        <v>13608.39</v>
      </c>
      <c r="AW711" s="223">
        <v>10070.89</v>
      </c>
      <c r="AX711" s="223">
        <f>81.85+24.75</f>
        <v>106.6</v>
      </c>
      <c r="AY711" s="223">
        <f>2814.8+464.3</f>
        <v>3279.1000000000004</v>
      </c>
      <c r="AZ711" s="223">
        <f>146+5.8</f>
        <v>151.80000000000001</v>
      </c>
      <c r="CK711" s="22">
        <f t="shared" si="65"/>
        <v>13608.39</v>
      </c>
      <c r="CL711" s="3">
        <f t="shared" si="66"/>
        <v>0</v>
      </c>
      <c r="CM711" s="222">
        <f t="shared" si="67"/>
        <v>12853</v>
      </c>
      <c r="CN711" s="3" t="str">
        <f t="shared" si="68"/>
        <v>ماليزى اسنان</v>
      </c>
    </row>
    <row r="712" spans="4:92" x14ac:dyDescent="0.25">
      <c r="D712" s="224">
        <v>9548</v>
      </c>
      <c r="E712" s="224">
        <v>12854</v>
      </c>
      <c r="F712" s="250" t="s">
        <v>121</v>
      </c>
      <c r="G712" s="223" t="s">
        <v>5639</v>
      </c>
      <c r="H712" s="223" t="s">
        <v>220</v>
      </c>
      <c r="I712" s="223">
        <v>6367.87</v>
      </c>
      <c r="AV712" s="22">
        <f t="shared" si="71"/>
        <v>6367.87</v>
      </c>
      <c r="AW712" s="223">
        <v>4702.1499999999996</v>
      </c>
      <c r="AX712" s="223">
        <v>38.299999999999997</v>
      </c>
      <c r="AY712" s="223">
        <f>1317.3+217.4</f>
        <v>1534.7</v>
      </c>
      <c r="AZ712" s="223">
        <f>89.13+2.72</f>
        <v>91.85</v>
      </c>
      <c r="CJ712" s="223">
        <v>0.87</v>
      </c>
      <c r="CK712" s="22">
        <f t="shared" si="65"/>
        <v>6367.87</v>
      </c>
      <c r="CL712" s="3">
        <f t="shared" si="66"/>
        <v>0</v>
      </c>
      <c r="CM712" s="222">
        <f t="shared" si="67"/>
        <v>12854</v>
      </c>
      <c r="CN712" s="3" t="str">
        <f t="shared" si="68"/>
        <v>ماليزى اسنان</v>
      </c>
    </row>
    <row r="713" spans="4:92" x14ac:dyDescent="0.25">
      <c r="D713" s="224">
        <v>9549</v>
      </c>
      <c r="E713" s="224">
        <v>12854</v>
      </c>
      <c r="F713" s="250" t="s">
        <v>121</v>
      </c>
      <c r="G713" s="223" t="s">
        <v>5639</v>
      </c>
      <c r="H713" s="223" t="s">
        <v>220</v>
      </c>
      <c r="I713" s="223">
        <v>6367.87</v>
      </c>
      <c r="AV713" s="22">
        <f t="shared" si="71"/>
        <v>6367.87</v>
      </c>
      <c r="AW713" s="223">
        <v>4789.1499999999996</v>
      </c>
      <c r="AX713" s="223">
        <v>38.299999999999997</v>
      </c>
      <c r="AY713" s="223">
        <f>1317.3+217.4</f>
        <v>1534.7</v>
      </c>
      <c r="AZ713" s="223">
        <f>3+2.72</f>
        <v>5.7200000000000006</v>
      </c>
      <c r="CK713" s="22">
        <f t="shared" si="65"/>
        <v>6367.87</v>
      </c>
      <c r="CL713" s="3">
        <f t="shared" si="66"/>
        <v>0</v>
      </c>
      <c r="CM713" s="222">
        <f t="shared" si="67"/>
        <v>12854</v>
      </c>
      <c r="CN713" s="3" t="str">
        <f t="shared" si="68"/>
        <v>ماليزى اسنان</v>
      </c>
    </row>
    <row r="714" spans="4:92" x14ac:dyDescent="0.25">
      <c r="D714" s="224">
        <v>9550</v>
      </c>
      <c r="E714" s="224">
        <v>12854</v>
      </c>
      <c r="F714" s="250" t="s">
        <v>121</v>
      </c>
      <c r="G714" s="223" t="s">
        <v>5639</v>
      </c>
      <c r="H714" s="223" t="s">
        <v>220</v>
      </c>
      <c r="I714" s="223">
        <v>12782.46</v>
      </c>
      <c r="AV714" s="22">
        <f t="shared" si="71"/>
        <v>12782.46</v>
      </c>
      <c r="AW714" s="223">
        <v>9395.85</v>
      </c>
      <c r="AX714" s="223">
        <v>76.849999999999994</v>
      </c>
      <c r="AY714" s="223">
        <f>2644.4+436.4</f>
        <v>3080.8</v>
      </c>
      <c r="AZ714" s="223">
        <f>221.33+5.45</f>
        <v>226.78</v>
      </c>
      <c r="CJ714" s="223">
        <v>2.1800000000000002</v>
      </c>
      <c r="CK714" s="22">
        <f t="shared" si="65"/>
        <v>12782.460000000001</v>
      </c>
      <c r="CL714" s="3">
        <f t="shared" si="66"/>
        <v>0</v>
      </c>
      <c r="CM714" s="222">
        <f t="shared" si="67"/>
        <v>12854</v>
      </c>
      <c r="CN714" s="3" t="str">
        <f t="shared" si="68"/>
        <v>ماليزى اسنان</v>
      </c>
    </row>
    <row r="715" spans="4:92" x14ac:dyDescent="0.25">
      <c r="D715" s="224">
        <v>9551</v>
      </c>
      <c r="E715" s="224">
        <v>12855</v>
      </c>
      <c r="F715" s="250" t="s">
        <v>121</v>
      </c>
      <c r="G715" s="223" t="s">
        <v>5639</v>
      </c>
      <c r="H715" s="223" t="s">
        <v>220</v>
      </c>
      <c r="I715" s="223">
        <v>6367.87</v>
      </c>
      <c r="AV715" s="22">
        <f t="shared" si="71"/>
        <v>6367.87</v>
      </c>
      <c r="AW715" s="223">
        <v>4789.1499999999996</v>
      </c>
      <c r="AX715" s="223">
        <v>38.299999999999997</v>
      </c>
      <c r="AY715" s="223">
        <f>1317.3+217.4</f>
        <v>1534.7</v>
      </c>
      <c r="AZ715" s="223">
        <f>3+2.72</f>
        <v>5.7200000000000006</v>
      </c>
      <c r="CK715" s="22">
        <f t="shared" si="65"/>
        <v>6367.87</v>
      </c>
      <c r="CL715" s="3">
        <f t="shared" si="66"/>
        <v>0</v>
      </c>
      <c r="CM715" s="222">
        <f t="shared" si="67"/>
        <v>12855</v>
      </c>
      <c r="CN715" s="3" t="str">
        <f t="shared" si="68"/>
        <v>ماليزى اسنان</v>
      </c>
    </row>
    <row r="716" spans="4:92" x14ac:dyDescent="0.25">
      <c r="D716" s="224">
        <v>9554</v>
      </c>
      <c r="E716" s="224">
        <v>12856</v>
      </c>
      <c r="F716" s="250" t="s">
        <v>121</v>
      </c>
      <c r="G716" s="223" t="s">
        <v>5639</v>
      </c>
      <c r="H716" s="223" t="s">
        <v>220</v>
      </c>
      <c r="I716" s="223">
        <v>6269.65</v>
      </c>
      <c r="AV716" s="22">
        <f t="shared" si="71"/>
        <v>6269.65</v>
      </c>
      <c r="AW716" s="223">
        <v>3617.53</v>
      </c>
      <c r="AX716" s="223">
        <v>36.1</v>
      </c>
      <c r="AY716" s="223">
        <f>1296.9+214</f>
        <v>1510.9</v>
      </c>
      <c r="AZ716" s="223">
        <f>3+2.12</f>
        <v>5.12</v>
      </c>
      <c r="BA716" s="223">
        <f>650+450</f>
        <v>1100</v>
      </c>
      <c r="CK716" s="22">
        <f t="shared" si="65"/>
        <v>6269.6500000000005</v>
      </c>
      <c r="CL716" s="3">
        <f t="shared" si="66"/>
        <v>0</v>
      </c>
      <c r="CM716" s="222">
        <f t="shared" si="67"/>
        <v>12856</v>
      </c>
      <c r="CN716" s="3" t="str">
        <f t="shared" si="68"/>
        <v>ماليزى اسنان</v>
      </c>
    </row>
    <row r="717" spans="4:92" x14ac:dyDescent="0.25">
      <c r="D717" s="224">
        <v>9923</v>
      </c>
      <c r="E717" s="224">
        <v>12857</v>
      </c>
      <c r="F717" s="250" t="s">
        <v>78</v>
      </c>
      <c r="G717" s="223" t="s">
        <v>5642</v>
      </c>
      <c r="H717" s="223" t="s">
        <v>220</v>
      </c>
      <c r="I717" s="223">
        <v>1501.9</v>
      </c>
      <c r="AV717" s="22">
        <f t="shared" si="71"/>
        <v>1501.9</v>
      </c>
      <c r="AY717" s="223">
        <v>1501.9</v>
      </c>
      <c r="CK717" s="22">
        <f t="shared" si="65"/>
        <v>1501.9</v>
      </c>
      <c r="CL717" s="3">
        <f t="shared" si="66"/>
        <v>0</v>
      </c>
      <c r="CM717" s="222">
        <f t="shared" si="67"/>
        <v>12857</v>
      </c>
      <c r="CN717" s="3" t="str">
        <f t="shared" si="68"/>
        <v>برنامج دولى</v>
      </c>
    </row>
    <row r="718" spans="4:92" x14ac:dyDescent="0.25">
      <c r="D718" s="224">
        <v>9552</v>
      </c>
      <c r="E718" s="224">
        <v>12858</v>
      </c>
      <c r="F718" s="250" t="s">
        <v>121</v>
      </c>
      <c r="G718" s="223" t="s">
        <v>5639</v>
      </c>
      <c r="H718" s="223" t="s">
        <v>220</v>
      </c>
      <c r="I718" s="223">
        <v>45775.38</v>
      </c>
      <c r="AV718" s="22">
        <f t="shared" si="71"/>
        <v>45775.38</v>
      </c>
      <c r="AW718" s="223">
        <v>34396.699999999997</v>
      </c>
      <c r="AX718" s="223">
        <f>31.22+275.25</f>
        <v>306.47000000000003</v>
      </c>
      <c r="AY718" s="223">
        <f>9469.2+1562.5</f>
        <v>11031.7</v>
      </c>
      <c r="AZ718" s="223">
        <f>21+19.51</f>
        <v>40.510000000000005</v>
      </c>
      <c r="CK718" s="22">
        <f t="shared" si="65"/>
        <v>45775.38</v>
      </c>
      <c r="CL718" s="3">
        <f t="shared" si="66"/>
        <v>0</v>
      </c>
      <c r="CM718" s="222">
        <f t="shared" si="67"/>
        <v>12858</v>
      </c>
      <c r="CN718" s="3" t="str">
        <f t="shared" si="68"/>
        <v>ماليزى اسنان</v>
      </c>
    </row>
    <row r="719" spans="4:92" x14ac:dyDescent="0.25">
      <c r="D719" s="224">
        <v>9553</v>
      </c>
      <c r="E719" s="224">
        <v>12859</v>
      </c>
      <c r="F719" s="250" t="s">
        <v>121</v>
      </c>
      <c r="G719" s="223" t="s">
        <v>5639</v>
      </c>
      <c r="H719" s="223" t="s">
        <v>220</v>
      </c>
      <c r="I719" s="223">
        <v>140643.03</v>
      </c>
      <c r="AV719" s="22">
        <f t="shared" si="71"/>
        <v>140643.03</v>
      </c>
      <c r="AW719" s="223">
        <v>81471.56</v>
      </c>
      <c r="AX719" s="223">
        <v>800.55</v>
      </c>
      <c r="AY719" s="223">
        <f>29093+4800</f>
        <v>33893</v>
      </c>
      <c r="AZ719" s="223">
        <f>326.05+47.9</f>
        <v>373.95</v>
      </c>
      <c r="BA719" s="223">
        <f>13750+10350</f>
        <v>24100</v>
      </c>
      <c r="CJ719" s="223">
        <v>3.97</v>
      </c>
      <c r="CK719" s="22">
        <f t="shared" si="65"/>
        <v>140643.03</v>
      </c>
      <c r="CL719" s="3">
        <f t="shared" si="66"/>
        <v>0</v>
      </c>
      <c r="CM719" s="222">
        <f t="shared" si="67"/>
        <v>12859</v>
      </c>
      <c r="CN719" s="3" t="str">
        <f t="shared" si="68"/>
        <v>ماليزى اسنان</v>
      </c>
    </row>
    <row r="720" spans="4:92" x14ac:dyDescent="0.25">
      <c r="D720" s="224">
        <v>8546</v>
      </c>
      <c r="E720" s="224">
        <v>12860</v>
      </c>
      <c r="F720" s="250" t="s">
        <v>121</v>
      </c>
      <c r="G720" s="223" t="s">
        <v>5639</v>
      </c>
      <c r="H720" s="223" t="s">
        <v>220</v>
      </c>
      <c r="I720" s="223">
        <v>353635.96</v>
      </c>
      <c r="AV720" s="22">
        <f t="shared" si="71"/>
        <v>353635.96</v>
      </c>
      <c r="AW720" s="223">
        <v>264399.95</v>
      </c>
      <c r="AX720" s="223">
        <f>260+2126.85</f>
        <v>2386.85</v>
      </c>
      <c r="AY720" s="223">
        <f>73154.9+12070.4</f>
        <v>85225.299999999988</v>
      </c>
      <c r="AZ720" s="223">
        <f>1460.01+150.74</f>
        <v>1610.75</v>
      </c>
      <c r="CJ720" s="223">
        <v>13.11</v>
      </c>
      <c r="CK720" s="22">
        <f t="shared" si="65"/>
        <v>353635.95999999996</v>
      </c>
      <c r="CL720" s="3">
        <f t="shared" si="66"/>
        <v>0</v>
      </c>
      <c r="CM720" s="222">
        <f t="shared" si="67"/>
        <v>12860</v>
      </c>
      <c r="CN720" s="3" t="str">
        <f t="shared" si="68"/>
        <v>ماليزى اسنان</v>
      </c>
    </row>
    <row r="721" spans="1:92" s="228" customFormat="1" x14ac:dyDescent="0.25">
      <c r="A721" s="235"/>
      <c r="D721" s="227"/>
      <c r="E721" s="227"/>
      <c r="F721" s="253"/>
      <c r="G721" s="228" t="s">
        <v>5341</v>
      </c>
      <c r="I721" s="228">
        <f t="shared" ref="I721:AP721" si="72">SUM(I671:I720)</f>
        <v>2884057.7799999993</v>
      </c>
      <c r="J721" s="228">
        <f t="shared" si="72"/>
        <v>0</v>
      </c>
      <c r="K721" s="228">
        <f t="shared" si="72"/>
        <v>0</v>
      </c>
      <c r="L721" s="228">
        <f t="shared" si="72"/>
        <v>0</v>
      </c>
      <c r="M721" s="228">
        <f t="shared" si="72"/>
        <v>0</v>
      </c>
      <c r="N721" s="228">
        <f t="shared" si="72"/>
        <v>0</v>
      </c>
      <c r="O721" s="228">
        <f t="shared" si="72"/>
        <v>0</v>
      </c>
      <c r="P721" s="228">
        <f t="shared" si="72"/>
        <v>0</v>
      </c>
      <c r="Q721" s="228">
        <f t="shared" si="72"/>
        <v>0</v>
      </c>
      <c r="R721" s="228">
        <f t="shared" si="72"/>
        <v>0</v>
      </c>
      <c r="S721" s="228">
        <f t="shared" si="72"/>
        <v>0</v>
      </c>
      <c r="T721" s="228">
        <f t="shared" si="72"/>
        <v>0</v>
      </c>
      <c r="U721" s="228">
        <f t="shared" si="72"/>
        <v>0</v>
      </c>
      <c r="V721" s="228">
        <f t="shared" si="72"/>
        <v>0</v>
      </c>
      <c r="W721" s="228">
        <f t="shared" si="72"/>
        <v>0</v>
      </c>
      <c r="X721" s="228">
        <f t="shared" si="72"/>
        <v>0</v>
      </c>
      <c r="Y721" s="228">
        <f t="shared" si="72"/>
        <v>0</v>
      </c>
      <c r="Z721" s="228">
        <f t="shared" si="72"/>
        <v>0</v>
      </c>
      <c r="AB721" s="228">
        <f t="shared" si="72"/>
        <v>0</v>
      </c>
      <c r="AC721" s="228">
        <f t="shared" si="72"/>
        <v>0</v>
      </c>
      <c r="AD721" s="228">
        <f t="shared" si="72"/>
        <v>0</v>
      </c>
      <c r="AE721" s="228">
        <f t="shared" si="72"/>
        <v>0</v>
      </c>
      <c r="AF721" s="228">
        <f t="shared" si="72"/>
        <v>0</v>
      </c>
      <c r="AH721" s="228">
        <f t="shared" si="72"/>
        <v>0</v>
      </c>
      <c r="AI721" s="228">
        <f t="shared" si="72"/>
        <v>0</v>
      </c>
      <c r="AJ721" s="228">
        <f t="shared" si="72"/>
        <v>0</v>
      </c>
      <c r="AK721" s="228">
        <f t="shared" si="72"/>
        <v>0</v>
      </c>
      <c r="AL721" s="228">
        <f t="shared" si="72"/>
        <v>0</v>
      </c>
      <c r="AM721" s="228">
        <f t="shared" si="72"/>
        <v>0</v>
      </c>
      <c r="AN721" s="228">
        <f t="shared" si="72"/>
        <v>0</v>
      </c>
      <c r="AO721" s="228">
        <f t="shared" si="72"/>
        <v>0</v>
      </c>
      <c r="AP721" s="228">
        <f t="shared" si="72"/>
        <v>0</v>
      </c>
      <c r="AQ721" s="228">
        <f t="shared" ref="AQ721:BX721" si="73">SUM(AQ671:AQ720)</f>
        <v>0</v>
      </c>
      <c r="AR721" s="228">
        <f t="shared" si="73"/>
        <v>0</v>
      </c>
      <c r="AS721" s="228">
        <f t="shared" si="73"/>
        <v>0</v>
      </c>
      <c r="AT721" s="228">
        <f t="shared" si="73"/>
        <v>0</v>
      </c>
      <c r="AU721" s="228">
        <f t="shared" si="73"/>
        <v>0</v>
      </c>
      <c r="AV721" s="228">
        <f t="shared" si="73"/>
        <v>2884057.7799999993</v>
      </c>
      <c r="AW721" s="228">
        <f t="shared" si="73"/>
        <v>2098285.92</v>
      </c>
      <c r="AX721" s="228">
        <f t="shared" si="73"/>
        <v>19521.130000000005</v>
      </c>
      <c r="AY721" s="228">
        <f t="shared" si="73"/>
        <v>703570.09999999963</v>
      </c>
      <c r="AZ721" s="228">
        <f t="shared" si="73"/>
        <v>26672.059999999994</v>
      </c>
      <c r="BA721" s="228">
        <f t="shared" si="73"/>
        <v>35289.93</v>
      </c>
      <c r="BC721" s="228">
        <f t="shared" si="73"/>
        <v>356.14</v>
      </c>
      <c r="BD721" s="228">
        <f t="shared" si="73"/>
        <v>0</v>
      </c>
      <c r="BE721" s="228">
        <f t="shared" si="73"/>
        <v>0</v>
      </c>
      <c r="BF721" s="228">
        <f t="shared" si="73"/>
        <v>0</v>
      </c>
      <c r="BH721" s="228">
        <f t="shared" si="73"/>
        <v>0</v>
      </c>
      <c r="BI721" s="228">
        <f t="shared" si="73"/>
        <v>0</v>
      </c>
      <c r="BJ721" s="228">
        <f t="shared" si="73"/>
        <v>0</v>
      </c>
      <c r="BK721" s="228">
        <f t="shared" si="73"/>
        <v>339.71000000000004</v>
      </c>
      <c r="BL721" s="228">
        <f t="shared" si="73"/>
        <v>0</v>
      </c>
      <c r="BM721" s="228">
        <f t="shared" si="73"/>
        <v>0</v>
      </c>
      <c r="BN721" s="228">
        <f t="shared" si="73"/>
        <v>0</v>
      </c>
      <c r="BO721" s="228">
        <f t="shared" si="73"/>
        <v>0</v>
      </c>
      <c r="BP721" s="228">
        <f t="shared" si="73"/>
        <v>0</v>
      </c>
      <c r="BQ721" s="228">
        <f t="shared" si="73"/>
        <v>0</v>
      </c>
      <c r="BR721" s="228">
        <f t="shared" si="73"/>
        <v>0</v>
      </c>
      <c r="BS721" s="228">
        <f t="shared" si="73"/>
        <v>0</v>
      </c>
      <c r="BT721" s="228">
        <f t="shared" si="73"/>
        <v>0</v>
      </c>
      <c r="BU721" s="228">
        <f t="shared" si="73"/>
        <v>0</v>
      </c>
      <c r="BV721" s="228">
        <f t="shared" si="73"/>
        <v>0</v>
      </c>
      <c r="BW721" s="228">
        <f t="shared" si="73"/>
        <v>0</v>
      </c>
      <c r="BX721" s="228">
        <f t="shared" si="73"/>
        <v>0</v>
      </c>
      <c r="BY721" s="228">
        <f t="shared" ref="BY721" si="74">SUM(BY671:BY720)</f>
        <v>0</v>
      </c>
      <c r="BZ721" s="228">
        <f t="shared" ref="BZ721:CK721" si="75">SUM(BZ671:BZ720)</f>
        <v>0</v>
      </c>
      <c r="CA721" s="228">
        <f t="shared" si="75"/>
        <v>0</v>
      </c>
      <c r="CB721" s="228">
        <f t="shared" si="75"/>
        <v>0</v>
      </c>
      <c r="CC721" s="228">
        <f t="shared" si="75"/>
        <v>0</v>
      </c>
      <c r="CD721" s="228">
        <f t="shared" si="75"/>
        <v>0</v>
      </c>
      <c r="CE721" s="228">
        <f t="shared" si="75"/>
        <v>0</v>
      </c>
      <c r="CF721" s="228">
        <f t="shared" si="75"/>
        <v>0</v>
      </c>
      <c r="CG721" s="228">
        <f t="shared" si="75"/>
        <v>0</v>
      </c>
      <c r="CH721" s="228">
        <f t="shared" si="75"/>
        <v>0</v>
      </c>
      <c r="CJ721" s="228">
        <f t="shared" si="75"/>
        <v>22.79</v>
      </c>
      <c r="CK721" s="228">
        <f t="shared" si="75"/>
        <v>2884057.7799999993</v>
      </c>
      <c r="CM721" s="260"/>
    </row>
    <row r="722" spans="1:92" x14ac:dyDescent="0.25">
      <c r="D722" s="224">
        <v>21976</v>
      </c>
      <c r="E722" s="224">
        <v>12861</v>
      </c>
      <c r="F722" s="250" t="s">
        <v>128</v>
      </c>
      <c r="G722" s="223" t="s">
        <v>5364</v>
      </c>
      <c r="Y722" s="223">
        <v>4207.5</v>
      </c>
      <c r="AV722" s="22">
        <f t="shared" ref="AV722:AV767" si="76">SUM(I722:AU722)</f>
        <v>4207.5</v>
      </c>
      <c r="AW722" s="223">
        <v>4207.5</v>
      </c>
      <c r="CK722" s="22">
        <f t="shared" ref="CK722:CK785" si="77">SUM(AW722:CJ722)</f>
        <v>4207.5</v>
      </c>
      <c r="CL722" s="3">
        <f t="shared" ref="CL722:CL785" si="78">+CK722-AV722</f>
        <v>0</v>
      </c>
      <c r="CM722" s="222">
        <f t="shared" ref="CM722:CM785" si="79">+E722</f>
        <v>12861</v>
      </c>
      <c r="CN722" s="3" t="str">
        <f t="shared" ref="CN722:CN785" si="80">+F722</f>
        <v>مركز مؤتمرات</v>
      </c>
    </row>
    <row r="723" spans="1:92" x14ac:dyDescent="0.25">
      <c r="D723" s="224">
        <v>21972</v>
      </c>
      <c r="E723" s="224">
        <v>12862</v>
      </c>
      <c r="F723" s="250" t="s">
        <v>121</v>
      </c>
      <c r="G723" s="225" t="s">
        <v>5365</v>
      </c>
      <c r="Y723" s="223">
        <v>20570</v>
      </c>
      <c r="AV723" s="22">
        <f t="shared" si="76"/>
        <v>20570</v>
      </c>
      <c r="AW723" s="223">
        <v>20570</v>
      </c>
      <c r="CK723" s="22">
        <f t="shared" si="77"/>
        <v>20570</v>
      </c>
      <c r="CL723" s="3">
        <f t="shared" si="78"/>
        <v>0</v>
      </c>
      <c r="CM723" s="222">
        <f t="shared" si="79"/>
        <v>12862</v>
      </c>
      <c r="CN723" s="3" t="str">
        <f t="shared" si="80"/>
        <v>ماليزى اسنان</v>
      </c>
    </row>
    <row r="724" spans="1:92" ht="31.5" x14ac:dyDescent="0.25">
      <c r="D724" s="224">
        <v>21667</v>
      </c>
      <c r="E724" s="224">
        <v>12863</v>
      </c>
      <c r="F724" s="250" t="s">
        <v>121</v>
      </c>
      <c r="G724" s="225" t="s">
        <v>5366</v>
      </c>
      <c r="J724" s="223">
        <v>3000</v>
      </c>
      <c r="AV724" s="22">
        <f t="shared" si="76"/>
        <v>3000</v>
      </c>
      <c r="AW724" s="223">
        <v>2690.2</v>
      </c>
      <c r="AX724" s="223">
        <f>44.25+132.75+1.8</f>
        <v>178.8</v>
      </c>
      <c r="AZ724" s="223">
        <v>10</v>
      </c>
      <c r="BM724" s="223">
        <v>90</v>
      </c>
      <c r="BN724" s="223">
        <v>4</v>
      </c>
      <c r="BO724" s="223">
        <f>13.5*2</f>
        <v>27</v>
      </c>
      <c r="CK724" s="22">
        <f t="shared" si="77"/>
        <v>3000</v>
      </c>
      <c r="CL724" s="3">
        <f t="shared" si="78"/>
        <v>0</v>
      </c>
      <c r="CM724" s="222">
        <f t="shared" si="79"/>
        <v>12863</v>
      </c>
      <c r="CN724" s="3" t="str">
        <f t="shared" si="80"/>
        <v>ماليزى اسنان</v>
      </c>
    </row>
    <row r="725" spans="1:92" x14ac:dyDescent="0.25">
      <c r="D725" s="224">
        <v>22181</v>
      </c>
      <c r="E725" s="224">
        <v>12864</v>
      </c>
      <c r="F725" s="250" t="s">
        <v>121</v>
      </c>
      <c r="G725" s="223" t="s">
        <v>5367</v>
      </c>
      <c r="J725" s="223">
        <v>2000</v>
      </c>
      <c r="AV725" s="22">
        <f t="shared" si="76"/>
        <v>2000</v>
      </c>
      <c r="AW725" s="223">
        <v>1822.65</v>
      </c>
      <c r="AX725" s="223">
        <f>25.75+77.25+3.6</f>
        <v>106.6</v>
      </c>
      <c r="AZ725" s="223">
        <v>10</v>
      </c>
      <c r="BM725" s="223">
        <v>52.75</v>
      </c>
      <c r="BN725" s="223">
        <v>8</v>
      </c>
      <c r="CK725" s="22">
        <f t="shared" si="77"/>
        <v>2000</v>
      </c>
      <c r="CL725" s="3">
        <f t="shared" si="78"/>
        <v>0</v>
      </c>
      <c r="CM725" s="222">
        <f t="shared" si="79"/>
        <v>12864</v>
      </c>
      <c r="CN725" s="3" t="str">
        <f t="shared" si="80"/>
        <v>ماليزى اسنان</v>
      </c>
    </row>
    <row r="726" spans="1:92" ht="31.5" x14ac:dyDescent="0.25">
      <c r="D726" s="224">
        <v>21668</v>
      </c>
      <c r="E726" s="224">
        <v>12865</v>
      </c>
      <c r="F726" s="250" t="s">
        <v>121</v>
      </c>
      <c r="G726" s="225" t="s">
        <v>5368</v>
      </c>
      <c r="J726" s="223">
        <v>14820</v>
      </c>
      <c r="AV726" s="22">
        <f t="shared" si="76"/>
        <v>14820</v>
      </c>
      <c r="AW726" s="223">
        <v>13844.3</v>
      </c>
      <c r="AX726" s="223">
        <f>177.75+533.25+38.7</f>
        <v>749.7</v>
      </c>
      <c r="AZ726" s="223">
        <v>10</v>
      </c>
      <c r="BM726" s="223">
        <v>130</v>
      </c>
      <c r="BN726" s="223">
        <v>86</v>
      </c>
      <c r="CK726" s="22">
        <f t="shared" si="77"/>
        <v>14820</v>
      </c>
      <c r="CL726" s="3">
        <f t="shared" si="78"/>
        <v>0</v>
      </c>
      <c r="CM726" s="222">
        <f t="shared" si="79"/>
        <v>12865</v>
      </c>
      <c r="CN726" s="3" t="str">
        <f t="shared" si="80"/>
        <v>ماليزى اسنان</v>
      </c>
    </row>
    <row r="727" spans="1:92" x14ac:dyDescent="0.25">
      <c r="D727" s="224">
        <v>21663</v>
      </c>
      <c r="E727" s="224">
        <v>12866</v>
      </c>
      <c r="F727" s="250" t="s">
        <v>122</v>
      </c>
      <c r="G727" s="223" t="s">
        <v>5369</v>
      </c>
      <c r="J727" s="223">
        <v>9490.5</v>
      </c>
      <c r="AV727" s="22">
        <f t="shared" si="76"/>
        <v>9490.5</v>
      </c>
      <c r="AW727" s="223">
        <v>8757.0499999999993</v>
      </c>
      <c r="AX727" s="223">
        <f>132.5+397.5+34.2</f>
        <v>564.20000000000005</v>
      </c>
      <c r="AZ727" s="223">
        <v>10</v>
      </c>
      <c r="BM727" s="223">
        <v>83.25</v>
      </c>
      <c r="BN727" s="223">
        <v>76</v>
      </c>
      <c r="CK727" s="22">
        <f t="shared" si="77"/>
        <v>9490.5</v>
      </c>
      <c r="CL727" s="3">
        <f t="shared" si="78"/>
        <v>0</v>
      </c>
      <c r="CM727" s="222">
        <f t="shared" si="79"/>
        <v>12866</v>
      </c>
      <c r="CN727" s="3" t="str">
        <f t="shared" si="80"/>
        <v>علاج تخصصى</v>
      </c>
    </row>
    <row r="728" spans="1:92" x14ac:dyDescent="0.25">
      <c r="D728" s="224">
        <v>20500</v>
      </c>
      <c r="E728" s="224">
        <v>12867</v>
      </c>
      <c r="F728" s="250" t="s">
        <v>5144</v>
      </c>
      <c r="G728" s="223" t="s">
        <v>5370</v>
      </c>
      <c r="J728" s="223">
        <v>43175</v>
      </c>
      <c r="AV728" s="22">
        <f t="shared" si="76"/>
        <v>43175</v>
      </c>
      <c r="AW728" s="223">
        <v>41261.35</v>
      </c>
      <c r="AX728" s="223">
        <f>360+9.9+1080</f>
        <v>1449.9</v>
      </c>
      <c r="AZ728" s="223">
        <v>10</v>
      </c>
      <c r="BM728" s="223">
        <v>431.75</v>
      </c>
      <c r="BN728" s="223">
        <v>22</v>
      </c>
      <c r="CK728" s="22">
        <f t="shared" si="77"/>
        <v>43175</v>
      </c>
      <c r="CL728" s="3">
        <f t="shared" si="78"/>
        <v>0</v>
      </c>
      <c r="CM728" s="222">
        <f t="shared" si="79"/>
        <v>12867</v>
      </c>
      <c r="CN728" s="3" t="str">
        <f t="shared" si="80"/>
        <v>صيدلة اكلينكى</v>
      </c>
    </row>
    <row r="729" spans="1:92" x14ac:dyDescent="0.25">
      <c r="D729" s="224">
        <v>22138</v>
      </c>
      <c r="E729" s="224">
        <v>12868</v>
      </c>
      <c r="F729" s="250" t="s">
        <v>2820</v>
      </c>
      <c r="G729" s="223" t="s">
        <v>5371</v>
      </c>
      <c r="J729" s="223">
        <v>2800</v>
      </c>
      <c r="AV729" s="22">
        <f t="shared" si="76"/>
        <v>2800</v>
      </c>
      <c r="AW729" s="223">
        <v>2259.8000000000002</v>
      </c>
      <c r="AX729" s="223">
        <f>41.25+123.75+36</f>
        <v>201</v>
      </c>
      <c r="AZ729" s="223">
        <v>10</v>
      </c>
      <c r="BM729" s="223">
        <v>84</v>
      </c>
      <c r="BN729" s="223">
        <v>80</v>
      </c>
      <c r="BO729" s="223">
        <f>12.6*2</f>
        <v>25.2</v>
      </c>
      <c r="BP729" s="223">
        <v>140</v>
      </c>
      <c r="CK729" s="22">
        <f t="shared" si="77"/>
        <v>2800</v>
      </c>
      <c r="CL729" s="3">
        <f t="shared" si="78"/>
        <v>0</v>
      </c>
      <c r="CM729" s="222">
        <f t="shared" si="79"/>
        <v>12868</v>
      </c>
      <c r="CN729" s="3" t="str">
        <f t="shared" si="80"/>
        <v xml:space="preserve">خ ت طب </v>
      </c>
    </row>
    <row r="730" spans="1:92" x14ac:dyDescent="0.25">
      <c r="D730" s="224">
        <v>22177</v>
      </c>
      <c r="E730" s="224">
        <v>12869</v>
      </c>
      <c r="F730" s="250" t="s">
        <v>78</v>
      </c>
      <c r="G730" s="223" t="s">
        <v>5372</v>
      </c>
      <c r="J730" s="223">
        <v>160</v>
      </c>
      <c r="AV730" s="22">
        <f t="shared" si="76"/>
        <v>160</v>
      </c>
      <c r="AW730" s="223">
        <v>160</v>
      </c>
      <c r="CK730" s="22">
        <f t="shared" si="77"/>
        <v>160</v>
      </c>
      <c r="CL730" s="3">
        <f t="shared" si="78"/>
        <v>0</v>
      </c>
      <c r="CM730" s="222">
        <f t="shared" si="79"/>
        <v>12869</v>
      </c>
      <c r="CN730" s="3" t="str">
        <f t="shared" si="80"/>
        <v>برنامج دولى</v>
      </c>
    </row>
    <row r="731" spans="1:92" x14ac:dyDescent="0.25">
      <c r="D731" s="224">
        <v>22151</v>
      </c>
      <c r="E731" s="224">
        <v>12870</v>
      </c>
      <c r="F731" s="250" t="s">
        <v>78</v>
      </c>
      <c r="G731" s="223" t="s">
        <v>379</v>
      </c>
      <c r="J731" s="223">
        <v>360</v>
      </c>
      <c r="AV731" s="22">
        <f t="shared" si="76"/>
        <v>360</v>
      </c>
      <c r="AW731" s="223">
        <v>360</v>
      </c>
      <c r="CK731" s="22">
        <f t="shared" si="77"/>
        <v>360</v>
      </c>
      <c r="CL731" s="3">
        <f t="shared" si="78"/>
        <v>0</v>
      </c>
      <c r="CM731" s="222">
        <f t="shared" si="79"/>
        <v>12870</v>
      </c>
      <c r="CN731" s="3" t="str">
        <f t="shared" si="80"/>
        <v>برنامج دولى</v>
      </c>
    </row>
    <row r="732" spans="1:92" x14ac:dyDescent="0.25">
      <c r="D732" s="224">
        <v>22155</v>
      </c>
      <c r="E732" s="224">
        <v>12871</v>
      </c>
      <c r="F732" s="250" t="s">
        <v>78</v>
      </c>
      <c r="G732" s="223" t="s">
        <v>390</v>
      </c>
      <c r="J732" s="223">
        <v>160</v>
      </c>
      <c r="AV732" s="22">
        <f t="shared" si="76"/>
        <v>160</v>
      </c>
      <c r="AW732" s="223">
        <v>160</v>
      </c>
      <c r="CK732" s="22">
        <f t="shared" si="77"/>
        <v>160</v>
      </c>
      <c r="CL732" s="3">
        <f t="shared" si="78"/>
        <v>0</v>
      </c>
      <c r="CM732" s="222">
        <f t="shared" si="79"/>
        <v>12871</v>
      </c>
      <c r="CN732" s="3" t="str">
        <f t="shared" si="80"/>
        <v>برنامج دولى</v>
      </c>
    </row>
    <row r="733" spans="1:92" x14ac:dyDescent="0.25">
      <c r="D733" s="224">
        <v>22154</v>
      </c>
      <c r="E733" s="224">
        <v>12872</v>
      </c>
      <c r="F733" s="250" t="s">
        <v>78</v>
      </c>
      <c r="G733" s="223" t="s">
        <v>5373</v>
      </c>
      <c r="J733" s="223">
        <v>280</v>
      </c>
      <c r="AV733" s="22">
        <f t="shared" si="76"/>
        <v>280</v>
      </c>
      <c r="AW733" s="223">
        <v>280</v>
      </c>
      <c r="CK733" s="22">
        <f t="shared" si="77"/>
        <v>280</v>
      </c>
      <c r="CL733" s="3">
        <f t="shared" si="78"/>
        <v>0</v>
      </c>
      <c r="CM733" s="222">
        <f t="shared" si="79"/>
        <v>12872</v>
      </c>
      <c r="CN733" s="3" t="str">
        <f t="shared" si="80"/>
        <v>برنامج دولى</v>
      </c>
    </row>
    <row r="734" spans="1:92" x14ac:dyDescent="0.25">
      <c r="D734" s="224">
        <v>22153</v>
      </c>
      <c r="E734" s="224">
        <v>12873</v>
      </c>
      <c r="F734" s="250" t="s">
        <v>78</v>
      </c>
      <c r="G734" s="223" t="s">
        <v>5374</v>
      </c>
      <c r="J734" s="223">
        <v>200</v>
      </c>
      <c r="AV734" s="22">
        <f t="shared" si="76"/>
        <v>200</v>
      </c>
      <c r="AW734" s="223">
        <v>200</v>
      </c>
      <c r="CK734" s="22">
        <f t="shared" si="77"/>
        <v>200</v>
      </c>
      <c r="CL734" s="3">
        <f t="shared" si="78"/>
        <v>0</v>
      </c>
      <c r="CM734" s="222">
        <f t="shared" si="79"/>
        <v>12873</v>
      </c>
      <c r="CN734" s="3" t="str">
        <f t="shared" si="80"/>
        <v>برنامج دولى</v>
      </c>
    </row>
    <row r="735" spans="1:92" x14ac:dyDescent="0.25">
      <c r="D735" s="224">
        <v>22152</v>
      </c>
      <c r="E735" s="224">
        <v>12874</v>
      </c>
      <c r="F735" s="250" t="s">
        <v>78</v>
      </c>
      <c r="G735" s="223" t="s">
        <v>5375</v>
      </c>
      <c r="J735" s="223">
        <v>480</v>
      </c>
      <c r="AV735" s="22">
        <f t="shared" si="76"/>
        <v>480</v>
      </c>
      <c r="AW735" s="223">
        <v>480</v>
      </c>
      <c r="CK735" s="22">
        <f t="shared" si="77"/>
        <v>480</v>
      </c>
      <c r="CL735" s="3">
        <f t="shared" si="78"/>
        <v>0</v>
      </c>
      <c r="CM735" s="222">
        <f t="shared" si="79"/>
        <v>12874</v>
      </c>
      <c r="CN735" s="3" t="str">
        <f t="shared" si="80"/>
        <v>برنامج دولى</v>
      </c>
    </row>
    <row r="736" spans="1:92" x14ac:dyDescent="0.25">
      <c r="D736" s="224">
        <v>22094</v>
      </c>
      <c r="E736" s="224">
        <v>12875</v>
      </c>
      <c r="F736" s="250" t="s">
        <v>78</v>
      </c>
      <c r="G736" s="223" t="s">
        <v>5376</v>
      </c>
      <c r="J736" s="223">
        <v>300</v>
      </c>
      <c r="AV736" s="22">
        <f t="shared" si="76"/>
        <v>300</v>
      </c>
      <c r="AW736" s="223">
        <v>300</v>
      </c>
      <c r="CK736" s="22">
        <f t="shared" si="77"/>
        <v>300</v>
      </c>
      <c r="CL736" s="3">
        <f t="shared" si="78"/>
        <v>0</v>
      </c>
      <c r="CM736" s="222">
        <f t="shared" si="79"/>
        <v>12875</v>
      </c>
      <c r="CN736" s="3" t="str">
        <f t="shared" si="80"/>
        <v>برنامج دولى</v>
      </c>
    </row>
    <row r="737" spans="3:92" x14ac:dyDescent="0.25">
      <c r="D737" s="224">
        <v>22093</v>
      </c>
      <c r="E737" s="224">
        <v>12876</v>
      </c>
      <c r="F737" s="250" t="s">
        <v>78</v>
      </c>
      <c r="G737" s="223" t="s">
        <v>5377</v>
      </c>
      <c r="J737" s="223">
        <v>190</v>
      </c>
      <c r="AV737" s="22">
        <f t="shared" si="76"/>
        <v>190</v>
      </c>
      <c r="AW737" s="223">
        <v>190</v>
      </c>
      <c r="CK737" s="22">
        <f t="shared" si="77"/>
        <v>190</v>
      </c>
      <c r="CL737" s="3">
        <f t="shared" si="78"/>
        <v>0</v>
      </c>
      <c r="CM737" s="222">
        <f t="shared" si="79"/>
        <v>12876</v>
      </c>
      <c r="CN737" s="3" t="str">
        <f t="shared" si="80"/>
        <v>برنامج دولى</v>
      </c>
    </row>
    <row r="738" spans="3:92" x14ac:dyDescent="0.25">
      <c r="D738" s="224">
        <v>22092</v>
      </c>
      <c r="E738" s="224">
        <v>12877</v>
      </c>
      <c r="F738" s="250" t="s">
        <v>78</v>
      </c>
      <c r="G738" s="223" t="s">
        <v>5378</v>
      </c>
      <c r="J738" s="223">
        <v>640</v>
      </c>
      <c r="AV738" s="22">
        <f t="shared" si="76"/>
        <v>640</v>
      </c>
      <c r="AW738" s="223">
        <v>640</v>
      </c>
      <c r="CK738" s="22">
        <f t="shared" si="77"/>
        <v>640</v>
      </c>
      <c r="CL738" s="3">
        <f t="shared" si="78"/>
        <v>0</v>
      </c>
      <c r="CM738" s="222">
        <f t="shared" si="79"/>
        <v>12877</v>
      </c>
      <c r="CN738" s="3" t="str">
        <f t="shared" si="80"/>
        <v>برنامج دولى</v>
      </c>
    </row>
    <row r="739" spans="3:92" x14ac:dyDescent="0.25">
      <c r="D739" s="224">
        <v>20669</v>
      </c>
      <c r="E739" s="224">
        <v>12878</v>
      </c>
      <c r="F739" s="250" t="s">
        <v>5144</v>
      </c>
      <c r="G739" s="223" t="s">
        <v>5334</v>
      </c>
      <c r="J739" s="223">
        <v>18696</v>
      </c>
      <c r="AV739" s="22">
        <f t="shared" si="76"/>
        <v>18696</v>
      </c>
      <c r="AW739" s="223">
        <v>16427.5</v>
      </c>
      <c r="AX739" s="223">
        <f>198.5+595.5+11.7</f>
        <v>805.7</v>
      </c>
      <c r="AZ739" s="223">
        <v>10</v>
      </c>
      <c r="BM739" s="223">
        <v>492</v>
      </c>
      <c r="BN739" s="223">
        <v>26</v>
      </c>
      <c r="BQ739" s="223">
        <v>934.8</v>
      </c>
      <c r="CK739" s="22">
        <f t="shared" si="77"/>
        <v>18696</v>
      </c>
      <c r="CL739" s="3">
        <f t="shared" si="78"/>
        <v>0</v>
      </c>
      <c r="CM739" s="222">
        <f t="shared" si="79"/>
        <v>12878</v>
      </c>
      <c r="CN739" s="3" t="str">
        <f t="shared" si="80"/>
        <v>صيدلة اكلينكى</v>
      </c>
    </row>
    <row r="740" spans="3:92" x14ac:dyDescent="0.25">
      <c r="D740" s="224">
        <v>21883</v>
      </c>
      <c r="E740" s="224">
        <v>12879</v>
      </c>
      <c r="F740" s="250" t="s">
        <v>5144</v>
      </c>
      <c r="G740" s="223" t="s">
        <v>5379</v>
      </c>
      <c r="M740" s="223">
        <v>167580</v>
      </c>
      <c r="N740" s="223">
        <v>167580</v>
      </c>
      <c r="O740" s="223">
        <v>167580</v>
      </c>
      <c r="AV740" s="22">
        <f t="shared" si="76"/>
        <v>502740</v>
      </c>
      <c r="AW740" s="223">
        <v>152409.1</v>
      </c>
      <c r="AX740" s="223">
        <f>982+2946+18.9</f>
        <v>3946.9</v>
      </c>
      <c r="AZ740" s="223">
        <v>10</v>
      </c>
      <c r="BM740" s="223">
        <v>1470</v>
      </c>
      <c r="BN740" s="223">
        <v>42</v>
      </c>
      <c r="BO740" s="223">
        <f>661.5*2</f>
        <v>1323</v>
      </c>
      <c r="BQ740" s="223">
        <v>8379</v>
      </c>
      <c r="BR740" s="223">
        <v>167580</v>
      </c>
      <c r="BS740" s="223">
        <v>167580</v>
      </c>
      <c r="CK740" s="22">
        <f t="shared" si="77"/>
        <v>502740</v>
      </c>
      <c r="CL740" s="3">
        <f t="shared" si="78"/>
        <v>0</v>
      </c>
      <c r="CM740" s="222">
        <f t="shared" si="79"/>
        <v>12879</v>
      </c>
      <c r="CN740" s="3" t="str">
        <f t="shared" si="80"/>
        <v>صيدلة اكلينكى</v>
      </c>
    </row>
    <row r="741" spans="3:92" x14ac:dyDescent="0.25">
      <c r="D741" s="224">
        <v>22088</v>
      </c>
      <c r="E741" s="224">
        <v>12880</v>
      </c>
      <c r="F741" s="250" t="s">
        <v>78</v>
      </c>
      <c r="G741" s="223" t="s">
        <v>5380</v>
      </c>
      <c r="Y741" s="223">
        <v>325</v>
      </c>
      <c r="AV741" s="22">
        <f t="shared" si="76"/>
        <v>325</v>
      </c>
      <c r="AW741" s="223">
        <v>325</v>
      </c>
      <c r="CK741" s="22">
        <f t="shared" si="77"/>
        <v>325</v>
      </c>
      <c r="CL741" s="3">
        <f t="shared" si="78"/>
        <v>0</v>
      </c>
      <c r="CM741" s="222">
        <f t="shared" si="79"/>
        <v>12880</v>
      </c>
      <c r="CN741" s="3" t="str">
        <f t="shared" si="80"/>
        <v>برنامج دولى</v>
      </c>
    </row>
    <row r="742" spans="3:92" ht="31.5" x14ac:dyDescent="0.25">
      <c r="D742" s="224">
        <v>21978</v>
      </c>
      <c r="E742" s="224">
        <v>12881</v>
      </c>
      <c r="F742" s="250" t="str">
        <f>+F741</f>
        <v>برنامج دولى</v>
      </c>
      <c r="G742" s="225" t="s">
        <v>5381</v>
      </c>
      <c r="Y742" s="223">
        <v>360</v>
      </c>
      <c r="AV742" s="22">
        <f t="shared" si="76"/>
        <v>360</v>
      </c>
      <c r="AW742" s="223">
        <v>360</v>
      </c>
      <c r="CK742" s="22">
        <f t="shared" si="77"/>
        <v>360</v>
      </c>
      <c r="CL742" s="3">
        <f t="shared" si="78"/>
        <v>0</v>
      </c>
      <c r="CM742" s="222">
        <f t="shared" si="79"/>
        <v>12881</v>
      </c>
      <c r="CN742" s="3" t="str">
        <f t="shared" si="80"/>
        <v>برنامج دولى</v>
      </c>
    </row>
    <row r="743" spans="3:92" x14ac:dyDescent="0.25">
      <c r="C743" s="223" t="s">
        <v>503</v>
      </c>
      <c r="D743" s="224">
        <v>21032</v>
      </c>
      <c r="E743" s="224">
        <v>12882</v>
      </c>
      <c r="F743" s="250" t="s">
        <v>121</v>
      </c>
      <c r="G743" s="223" t="s">
        <v>5296</v>
      </c>
      <c r="I743" s="223">
        <v>8083.84</v>
      </c>
      <c r="AV743" s="22">
        <f t="shared" si="76"/>
        <v>8083.84</v>
      </c>
      <c r="AW743" s="223">
        <v>5562.26</v>
      </c>
      <c r="AX743" s="223">
        <v>746.6</v>
      </c>
      <c r="AY743" s="223">
        <v>1774.98</v>
      </c>
      <c r="CK743" s="22">
        <f t="shared" si="77"/>
        <v>8083.84</v>
      </c>
      <c r="CL743" s="3">
        <f t="shared" si="78"/>
        <v>0</v>
      </c>
      <c r="CM743" s="222">
        <f t="shared" si="79"/>
        <v>12882</v>
      </c>
      <c r="CN743" s="3" t="str">
        <f t="shared" si="80"/>
        <v>ماليزى اسنان</v>
      </c>
    </row>
    <row r="744" spans="3:92" x14ac:dyDescent="0.25">
      <c r="C744" s="223" t="s">
        <v>503</v>
      </c>
      <c r="D744" s="224">
        <v>21036</v>
      </c>
      <c r="E744" s="224">
        <v>12883</v>
      </c>
      <c r="F744" s="250" t="s">
        <v>121</v>
      </c>
      <c r="G744" s="223" t="s">
        <v>5382</v>
      </c>
      <c r="I744" s="223">
        <v>7000</v>
      </c>
      <c r="AV744" s="22">
        <f t="shared" si="76"/>
        <v>7000</v>
      </c>
      <c r="AW744" s="223">
        <v>6248.2</v>
      </c>
      <c r="AX744" s="223">
        <v>751.8</v>
      </c>
      <c r="CK744" s="22">
        <f t="shared" si="77"/>
        <v>7000</v>
      </c>
      <c r="CL744" s="3">
        <f t="shared" si="78"/>
        <v>0</v>
      </c>
      <c r="CM744" s="222">
        <f t="shared" si="79"/>
        <v>12883</v>
      </c>
      <c r="CN744" s="3" t="str">
        <f t="shared" si="80"/>
        <v>ماليزى اسنان</v>
      </c>
    </row>
    <row r="745" spans="3:92" x14ac:dyDescent="0.25">
      <c r="C745" s="223" t="s">
        <v>503</v>
      </c>
      <c r="D745" s="224">
        <v>21037</v>
      </c>
      <c r="E745" s="224">
        <v>12884</v>
      </c>
      <c r="F745" s="250" t="s">
        <v>121</v>
      </c>
      <c r="G745" s="223" t="s">
        <v>5382</v>
      </c>
      <c r="I745" s="223">
        <v>10500</v>
      </c>
      <c r="AV745" s="22">
        <f t="shared" si="76"/>
        <v>10500</v>
      </c>
      <c r="AW745" s="223">
        <v>9372.2999999999993</v>
      </c>
      <c r="AX745" s="223">
        <v>1127.7</v>
      </c>
      <c r="CK745" s="22">
        <f t="shared" si="77"/>
        <v>10500</v>
      </c>
      <c r="CL745" s="3">
        <f t="shared" si="78"/>
        <v>0</v>
      </c>
      <c r="CM745" s="222">
        <f t="shared" si="79"/>
        <v>12884</v>
      </c>
      <c r="CN745" s="3" t="str">
        <f t="shared" si="80"/>
        <v>ماليزى اسنان</v>
      </c>
    </row>
    <row r="746" spans="3:92" x14ac:dyDescent="0.25">
      <c r="C746" s="223" t="s">
        <v>503</v>
      </c>
      <c r="D746" s="224">
        <v>21033</v>
      </c>
      <c r="E746" s="224">
        <v>12885</v>
      </c>
      <c r="F746" s="250" t="s">
        <v>121</v>
      </c>
      <c r="G746" s="223" t="s">
        <v>5383</v>
      </c>
      <c r="I746" s="223">
        <v>5000</v>
      </c>
      <c r="AV746" s="22">
        <f t="shared" si="76"/>
        <v>5000</v>
      </c>
      <c r="AW746" s="223">
        <v>4462.8500000000004</v>
      </c>
      <c r="AX746" s="223">
        <v>537.15</v>
      </c>
      <c r="CK746" s="22">
        <f t="shared" si="77"/>
        <v>5000</v>
      </c>
      <c r="CL746" s="3">
        <f t="shared" si="78"/>
        <v>0</v>
      </c>
      <c r="CM746" s="222">
        <f t="shared" si="79"/>
        <v>12885</v>
      </c>
      <c r="CN746" s="3" t="str">
        <f t="shared" si="80"/>
        <v>ماليزى اسنان</v>
      </c>
    </row>
    <row r="747" spans="3:92" x14ac:dyDescent="0.25">
      <c r="C747" s="223" t="s">
        <v>503</v>
      </c>
      <c r="D747" s="224">
        <v>21887</v>
      </c>
      <c r="E747" s="224">
        <v>12886</v>
      </c>
      <c r="F747" s="250" t="s">
        <v>121</v>
      </c>
      <c r="G747" s="223" t="s">
        <v>5384</v>
      </c>
      <c r="I747" s="223">
        <v>1758.75</v>
      </c>
      <c r="AV747" s="22">
        <f t="shared" si="76"/>
        <v>1758.75</v>
      </c>
      <c r="AW747" s="223">
        <v>1175.3499999999999</v>
      </c>
      <c r="AX747" s="223">
        <v>159.65</v>
      </c>
      <c r="AY747" s="223">
        <v>423.75</v>
      </c>
      <c r="CK747" s="22">
        <f t="shared" si="77"/>
        <v>1758.75</v>
      </c>
      <c r="CL747" s="3">
        <f t="shared" si="78"/>
        <v>0</v>
      </c>
      <c r="CM747" s="222">
        <f t="shared" si="79"/>
        <v>12886</v>
      </c>
      <c r="CN747" s="3" t="str">
        <f t="shared" si="80"/>
        <v>ماليزى اسنان</v>
      </c>
    </row>
    <row r="748" spans="3:92" x14ac:dyDescent="0.25">
      <c r="C748" s="223" t="s">
        <v>503</v>
      </c>
      <c r="D748" s="224">
        <v>21888</v>
      </c>
      <c r="E748" s="224">
        <v>12887</v>
      </c>
      <c r="F748" s="250" t="s">
        <v>121</v>
      </c>
      <c r="G748" s="223" t="s">
        <v>5384</v>
      </c>
      <c r="I748" s="223">
        <v>9431.25</v>
      </c>
      <c r="AV748" s="22">
        <f t="shared" si="76"/>
        <v>9431.25</v>
      </c>
      <c r="AW748" s="223">
        <v>7760.95</v>
      </c>
      <c r="AX748" s="223">
        <v>964.05</v>
      </c>
      <c r="AY748" s="223">
        <v>706.25</v>
      </c>
      <c r="CK748" s="22">
        <f t="shared" si="77"/>
        <v>9431.25</v>
      </c>
      <c r="CL748" s="3">
        <f t="shared" si="78"/>
        <v>0</v>
      </c>
      <c r="CM748" s="222">
        <f t="shared" si="79"/>
        <v>12887</v>
      </c>
      <c r="CN748" s="3" t="str">
        <f t="shared" si="80"/>
        <v>ماليزى اسنان</v>
      </c>
    </row>
    <row r="749" spans="3:92" x14ac:dyDescent="0.25">
      <c r="C749" s="223" t="s">
        <v>503</v>
      </c>
      <c r="D749" s="224">
        <v>21765</v>
      </c>
      <c r="E749" s="224">
        <v>12888</v>
      </c>
      <c r="F749" s="250" t="s">
        <v>121</v>
      </c>
      <c r="G749" s="223" t="s">
        <v>5385</v>
      </c>
      <c r="I749" s="223">
        <v>4181.25</v>
      </c>
      <c r="AV749" s="22">
        <f t="shared" si="76"/>
        <v>4181.25</v>
      </c>
      <c r="AW749" s="223">
        <v>3074.65</v>
      </c>
      <c r="AX749" s="223">
        <v>400.35</v>
      </c>
      <c r="AY749" s="223">
        <v>706.25</v>
      </c>
      <c r="CK749" s="22">
        <f t="shared" si="77"/>
        <v>4181.25</v>
      </c>
      <c r="CL749" s="3">
        <f t="shared" si="78"/>
        <v>0</v>
      </c>
      <c r="CM749" s="222">
        <f t="shared" si="79"/>
        <v>12888</v>
      </c>
      <c r="CN749" s="3" t="str">
        <f t="shared" si="80"/>
        <v>ماليزى اسنان</v>
      </c>
    </row>
    <row r="750" spans="3:92" x14ac:dyDescent="0.25">
      <c r="C750" s="223" t="s">
        <v>503</v>
      </c>
      <c r="D750" s="224">
        <v>21764</v>
      </c>
      <c r="E750" s="224">
        <v>12889</v>
      </c>
      <c r="F750" s="250" t="s">
        <v>121</v>
      </c>
      <c r="G750" s="223" t="s">
        <v>5385</v>
      </c>
      <c r="I750" s="223">
        <v>1465.62</v>
      </c>
      <c r="AV750" s="22">
        <f t="shared" si="76"/>
        <v>1465.62</v>
      </c>
      <c r="AW750" s="223">
        <v>979.5</v>
      </c>
      <c r="AX750" s="223">
        <v>133</v>
      </c>
      <c r="AY750" s="223">
        <v>353.12</v>
      </c>
      <c r="CK750" s="22">
        <f t="shared" si="77"/>
        <v>1465.62</v>
      </c>
      <c r="CL750" s="3">
        <f t="shared" si="78"/>
        <v>0</v>
      </c>
      <c r="CM750" s="222">
        <f t="shared" si="79"/>
        <v>12889</v>
      </c>
      <c r="CN750" s="3" t="str">
        <f t="shared" si="80"/>
        <v>ماليزى اسنان</v>
      </c>
    </row>
    <row r="751" spans="3:92" x14ac:dyDescent="0.25">
      <c r="C751" s="223" t="s">
        <v>503</v>
      </c>
      <c r="D751" s="224">
        <v>21762</v>
      </c>
      <c r="E751" s="224">
        <v>12890</v>
      </c>
      <c r="F751" s="250" t="s">
        <v>121</v>
      </c>
      <c r="G751" s="223" t="s">
        <v>5386</v>
      </c>
      <c r="I751" s="223">
        <v>12294.59</v>
      </c>
      <c r="AV751" s="22">
        <f t="shared" si="76"/>
        <v>12294.59</v>
      </c>
      <c r="AW751" s="223">
        <v>9457.9599999999991</v>
      </c>
      <c r="AX751" s="223">
        <v>1207.8</v>
      </c>
      <c r="AY751" s="223">
        <v>1628.83</v>
      </c>
      <c r="CK751" s="22">
        <f t="shared" si="77"/>
        <v>12294.589999999998</v>
      </c>
      <c r="CL751" s="3">
        <f t="shared" si="78"/>
        <v>0</v>
      </c>
      <c r="CM751" s="222">
        <f t="shared" si="79"/>
        <v>12890</v>
      </c>
      <c r="CN751" s="3" t="str">
        <f t="shared" si="80"/>
        <v>ماليزى اسنان</v>
      </c>
    </row>
    <row r="752" spans="3:92" x14ac:dyDescent="0.25">
      <c r="C752" s="223" t="s">
        <v>503</v>
      </c>
      <c r="D752" s="224">
        <v>21763</v>
      </c>
      <c r="E752" s="224">
        <v>12891</v>
      </c>
      <c r="F752" s="250" t="s">
        <v>121</v>
      </c>
      <c r="G752" s="223" t="s">
        <v>5275</v>
      </c>
      <c r="I752" s="223">
        <v>550</v>
      </c>
      <c r="AV752" s="22">
        <f t="shared" si="76"/>
        <v>550</v>
      </c>
      <c r="AW752" s="223">
        <v>491.5</v>
      </c>
      <c r="AX752" s="223">
        <v>58.5</v>
      </c>
      <c r="CK752" s="22">
        <f t="shared" si="77"/>
        <v>550</v>
      </c>
      <c r="CL752" s="3">
        <f t="shared" si="78"/>
        <v>0</v>
      </c>
      <c r="CM752" s="222">
        <f t="shared" si="79"/>
        <v>12891</v>
      </c>
      <c r="CN752" s="3" t="str">
        <f t="shared" si="80"/>
        <v>ماليزى اسنان</v>
      </c>
    </row>
    <row r="753" spans="3:92" x14ac:dyDescent="0.25">
      <c r="C753" s="223" t="s">
        <v>503</v>
      </c>
      <c r="D753" s="224">
        <v>21761</v>
      </c>
      <c r="E753" s="224">
        <v>12892</v>
      </c>
      <c r="F753" s="250" t="s">
        <v>121</v>
      </c>
      <c r="G753" s="223" t="s">
        <v>5387</v>
      </c>
      <c r="I753" s="223">
        <v>2579.5</v>
      </c>
      <c r="AV753" s="22">
        <f t="shared" si="76"/>
        <v>2579.5</v>
      </c>
      <c r="AW753" s="223">
        <v>1724.45</v>
      </c>
      <c r="AX753" s="223">
        <v>233.55</v>
      </c>
      <c r="AY753" s="223">
        <v>621.5</v>
      </c>
      <c r="CK753" s="22">
        <f t="shared" si="77"/>
        <v>2579.5</v>
      </c>
      <c r="CL753" s="3">
        <f t="shared" si="78"/>
        <v>0</v>
      </c>
      <c r="CM753" s="222">
        <f t="shared" si="79"/>
        <v>12892</v>
      </c>
      <c r="CN753" s="3" t="str">
        <f t="shared" si="80"/>
        <v>ماليزى اسنان</v>
      </c>
    </row>
    <row r="754" spans="3:92" x14ac:dyDescent="0.25">
      <c r="C754" s="223" t="s">
        <v>503</v>
      </c>
      <c r="D754" s="224">
        <v>21769</v>
      </c>
      <c r="E754" s="224">
        <v>12893</v>
      </c>
      <c r="F754" s="250" t="s">
        <v>121</v>
      </c>
      <c r="G754" s="223" t="s">
        <v>5388</v>
      </c>
      <c r="I754" s="223">
        <v>5862.51</v>
      </c>
      <c r="AV754" s="22">
        <f t="shared" si="76"/>
        <v>5862.51</v>
      </c>
      <c r="AW754" s="223">
        <v>3917.65</v>
      </c>
      <c r="AX754" s="223">
        <v>532.35</v>
      </c>
      <c r="AY754" s="223">
        <v>1412.51</v>
      </c>
      <c r="CK754" s="22">
        <f t="shared" si="77"/>
        <v>5862.51</v>
      </c>
      <c r="CL754" s="3">
        <f t="shared" si="78"/>
        <v>0</v>
      </c>
      <c r="CM754" s="222">
        <f t="shared" si="79"/>
        <v>12893</v>
      </c>
      <c r="CN754" s="3" t="str">
        <f t="shared" si="80"/>
        <v>ماليزى اسنان</v>
      </c>
    </row>
    <row r="755" spans="3:92" x14ac:dyDescent="0.25">
      <c r="C755" s="223" t="s">
        <v>503</v>
      </c>
      <c r="D755" s="224">
        <v>21768</v>
      </c>
      <c r="E755" s="224">
        <v>12894</v>
      </c>
      <c r="F755" s="250" t="s">
        <v>121</v>
      </c>
      <c r="G755" s="223" t="s">
        <v>5389</v>
      </c>
      <c r="I755" s="223">
        <v>9380</v>
      </c>
      <c r="AV755" s="22">
        <f t="shared" si="76"/>
        <v>9380</v>
      </c>
      <c r="AW755" s="223">
        <v>6267.65</v>
      </c>
      <c r="AX755" s="223">
        <v>852.35</v>
      </c>
      <c r="AY755" s="223">
        <v>2260</v>
      </c>
      <c r="CK755" s="22">
        <f t="shared" si="77"/>
        <v>9380</v>
      </c>
      <c r="CL755" s="3">
        <f t="shared" si="78"/>
        <v>0</v>
      </c>
      <c r="CM755" s="222">
        <f t="shared" si="79"/>
        <v>12894</v>
      </c>
      <c r="CN755" s="3" t="str">
        <f t="shared" si="80"/>
        <v>ماليزى اسنان</v>
      </c>
    </row>
    <row r="756" spans="3:92" x14ac:dyDescent="0.25">
      <c r="C756" s="223" t="s">
        <v>503</v>
      </c>
      <c r="D756" s="224">
        <v>21767</v>
      </c>
      <c r="E756" s="224">
        <v>12895</v>
      </c>
      <c r="F756" s="250" t="s">
        <v>121</v>
      </c>
      <c r="G756" s="223" t="s">
        <v>5390</v>
      </c>
      <c r="I756" s="223">
        <v>2345</v>
      </c>
      <c r="AV756" s="22">
        <f t="shared" si="76"/>
        <v>2345</v>
      </c>
      <c r="AW756" s="223">
        <v>1567</v>
      </c>
      <c r="AX756" s="223">
        <v>213</v>
      </c>
      <c r="AY756" s="223">
        <v>565</v>
      </c>
      <c r="CK756" s="22">
        <f t="shared" si="77"/>
        <v>2345</v>
      </c>
      <c r="CL756" s="3">
        <f t="shared" si="78"/>
        <v>0</v>
      </c>
      <c r="CM756" s="222">
        <f t="shared" si="79"/>
        <v>12895</v>
      </c>
      <c r="CN756" s="3" t="str">
        <f t="shared" si="80"/>
        <v>ماليزى اسنان</v>
      </c>
    </row>
    <row r="757" spans="3:92" x14ac:dyDescent="0.25">
      <c r="C757" s="223" t="s">
        <v>503</v>
      </c>
      <c r="D757" s="224">
        <v>21766</v>
      </c>
      <c r="E757" s="224">
        <v>12896</v>
      </c>
      <c r="F757" s="250" t="s">
        <v>121</v>
      </c>
      <c r="G757" s="223" t="s">
        <v>5391</v>
      </c>
      <c r="I757" s="223">
        <v>36500.550000000003</v>
      </c>
      <c r="AV757" s="22">
        <f t="shared" si="76"/>
        <v>36500.550000000003</v>
      </c>
      <c r="AW757" s="223">
        <v>29149.77</v>
      </c>
      <c r="AX757" s="223">
        <v>3665.1</v>
      </c>
      <c r="AY757" s="223">
        <v>3685.68</v>
      </c>
      <c r="CK757" s="22">
        <f t="shared" si="77"/>
        <v>36500.550000000003</v>
      </c>
      <c r="CL757" s="3">
        <f t="shared" si="78"/>
        <v>0</v>
      </c>
      <c r="CM757" s="222">
        <f t="shared" si="79"/>
        <v>12896</v>
      </c>
      <c r="CN757" s="3" t="str">
        <f t="shared" si="80"/>
        <v>ماليزى اسنان</v>
      </c>
    </row>
    <row r="758" spans="3:92" x14ac:dyDescent="0.25">
      <c r="C758" s="223" t="s">
        <v>503</v>
      </c>
      <c r="D758" s="224">
        <v>21770</v>
      </c>
      <c r="E758" s="224">
        <v>12897</v>
      </c>
      <c r="F758" s="250" t="s">
        <v>121</v>
      </c>
      <c r="G758" s="223" t="s">
        <v>5392</v>
      </c>
      <c r="I758" s="223">
        <v>900</v>
      </c>
      <c r="AV758" s="22">
        <f t="shared" si="76"/>
        <v>900</v>
      </c>
      <c r="AW758" s="223">
        <v>804.05</v>
      </c>
      <c r="AX758" s="223">
        <v>95.95</v>
      </c>
      <c r="CK758" s="22">
        <f t="shared" si="77"/>
        <v>900</v>
      </c>
      <c r="CL758" s="3">
        <f t="shared" si="78"/>
        <v>0</v>
      </c>
      <c r="CM758" s="222">
        <f t="shared" si="79"/>
        <v>12897</v>
      </c>
      <c r="CN758" s="3" t="str">
        <f t="shared" si="80"/>
        <v>ماليزى اسنان</v>
      </c>
    </row>
    <row r="759" spans="3:92" x14ac:dyDescent="0.25">
      <c r="C759" s="223" t="s">
        <v>503</v>
      </c>
      <c r="D759" s="224">
        <v>21772</v>
      </c>
      <c r="E759" s="224">
        <v>12898</v>
      </c>
      <c r="F759" s="250" t="s">
        <v>121</v>
      </c>
      <c r="G759" s="223" t="s">
        <v>5392</v>
      </c>
      <c r="I759" s="223">
        <v>16113.16</v>
      </c>
      <c r="AV759" s="22">
        <f t="shared" si="76"/>
        <v>16113.16</v>
      </c>
      <c r="AW759" s="223">
        <v>11160.3</v>
      </c>
      <c r="AX759" s="223">
        <v>1492.2</v>
      </c>
      <c r="AY759" s="223">
        <v>3460.66</v>
      </c>
      <c r="CK759" s="22">
        <f t="shared" si="77"/>
        <v>16113.16</v>
      </c>
      <c r="CL759" s="3">
        <f t="shared" si="78"/>
        <v>0</v>
      </c>
      <c r="CM759" s="222">
        <f t="shared" si="79"/>
        <v>12898</v>
      </c>
      <c r="CN759" s="3" t="str">
        <f t="shared" si="80"/>
        <v>ماليزى اسنان</v>
      </c>
    </row>
    <row r="760" spans="3:92" x14ac:dyDescent="0.25">
      <c r="C760" s="223" t="s">
        <v>503</v>
      </c>
      <c r="D760" s="224">
        <v>21774</v>
      </c>
      <c r="E760" s="224">
        <v>12899</v>
      </c>
      <c r="F760" s="250" t="s">
        <v>121</v>
      </c>
      <c r="G760" s="223" t="s">
        <v>5393</v>
      </c>
      <c r="I760" s="223">
        <v>9673.1200000000008</v>
      </c>
      <c r="AV760" s="22">
        <f t="shared" si="76"/>
        <v>9673.1200000000008</v>
      </c>
      <c r="AW760" s="223">
        <v>6466.05</v>
      </c>
      <c r="AX760" s="223">
        <v>876.45</v>
      </c>
      <c r="AY760" s="223">
        <v>2330.62</v>
      </c>
      <c r="CK760" s="22">
        <f t="shared" si="77"/>
        <v>9673.119999999999</v>
      </c>
      <c r="CL760" s="3">
        <f t="shared" si="78"/>
        <v>0</v>
      </c>
      <c r="CM760" s="222">
        <f t="shared" si="79"/>
        <v>12899</v>
      </c>
      <c r="CN760" s="3" t="str">
        <f t="shared" si="80"/>
        <v>ماليزى اسنان</v>
      </c>
    </row>
    <row r="761" spans="3:92" x14ac:dyDescent="0.25">
      <c r="C761" s="223" t="s">
        <v>503</v>
      </c>
      <c r="D761" s="224">
        <v>21771</v>
      </c>
      <c r="E761" s="224">
        <v>12900</v>
      </c>
      <c r="F761" s="250" t="s">
        <v>121</v>
      </c>
      <c r="G761" s="223" t="s">
        <v>5394</v>
      </c>
      <c r="I761" s="223">
        <v>4396.8599999999997</v>
      </c>
      <c r="AV761" s="22">
        <f t="shared" si="76"/>
        <v>4396.8599999999997</v>
      </c>
      <c r="AW761" s="223">
        <v>2938.5</v>
      </c>
      <c r="AX761" s="223">
        <v>399</v>
      </c>
      <c r="AY761" s="223">
        <v>1059.3599999999999</v>
      </c>
      <c r="CK761" s="22">
        <f t="shared" si="77"/>
        <v>4396.8599999999997</v>
      </c>
      <c r="CL761" s="3">
        <f t="shared" si="78"/>
        <v>0</v>
      </c>
      <c r="CM761" s="222">
        <f t="shared" si="79"/>
        <v>12900</v>
      </c>
      <c r="CN761" s="3" t="str">
        <f t="shared" si="80"/>
        <v>ماليزى اسنان</v>
      </c>
    </row>
    <row r="762" spans="3:92" x14ac:dyDescent="0.25">
      <c r="C762" s="223" t="s">
        <v>503</v>
      </c>
      <c r="D762" s="224">
        <v>21773</v>
      </c>
      <c r="E762" s="224">
        <v>12901</v>
      </c>
      <c r="F762" s="250" t="s">
        <v>121</v>
      </c>
      <c r="G762" s="223" t="s">
        <v>5395</v>
      </c>
      <c r="I762" s="223">
        <v>1465.62</v>
      </c>
      <c r="AV762" s="22">
        <f t="shared" si="76"/>
        <v>1465.62</v>
      </c>
      <c r="AW762" s="223">
        <v>979.5</v>
      </c>
      <c r="AX762" s="223">
        <v>133</v>
      </c>
      <c r="AY762" s="223">
        <v>353.12</v>
      </c>
      <c r="CK762" s="22">
        <f t="shared" si="77"/>
        <v>1465.62</v>
      </c>
      <c r="CL762" s="3">
        <f t="shared" si="78"/>
        <v>0</v>
      </c>
      <c r="CM762" s="222">
        <f t="shared" si="79"/>
        <v>12901</v>
      </c>
      <c r="CN762" s="3" t="str">
        <f t="shared" si="80"/>
        <v>ماليزى اسنان</v>
      </c>
    </row>
    <row r="763" spans="3:92" x14ac:dyDescent="0.25">
      <c r="C763" s="223" t="s">
        <v>503</v>
      </c>
      <c r="D763" s="224">
        <v>21775</v>
      </c>
      <c r="E763" s="224">
        <v>12902</v>
      </c>
      <c r="F763" s="250" t="s">
        <v>121</v>
      </c>
      <c r="G763" s="223" t="s">
        <v>5396</v>
      </c>
      <c r="I763" s="223">
        <v>10317.99</v>
      </c>
      <c r="AV763" s="22">
        <f t="shared" si="76"/>
        <v>10317.99</v>
      </c>
      <c r="AW763" s="223">
        <v>6895.45</v>
      </c>
      <c r="AX763" s="223">
        <v>936.55</v>
      </c>
      <c r="AY763" s="223">
        <v>2485.9899999999998</v>
      </c>
      <c r="CK763" s="22">
        <f t="shared" si="77"/>
        <v>10317.99</v>
      </c>
      <c r="CL763" s="3">
        <f t="shared" si="78"/>
        <v>0</v>
      </c>
      <c r="CM763" s="222">
        <f t="shared" si="79"/>
        <v>12902</v>
      </c>
      <c r="CN763" s="3" t="str">
        <f t="shared" si="80"/>
        <v>ماليزى اسنان</v>
      </c>
    </row>
    <row r="764" spans="3:92" x14ac:dyDescent="0.25">
      <c r="C764" s="223" t="s">
        <v>503</v>
      </c>
      <c r="D764" s="224">
        <v>21776</v>
      </c>
      <c r="E764" s="224">
        <v>12903</v>
      </c>
      <c r="F764" s="250" t="s">
        <v>121</v>
      </c>
      <c r="G764" s="223" t="s">
        <v>5397</v>
      </c>
      <c r="I764" s="223">
        <v>35958.89</v>
      </c>
      <c r="AV764" s="22">
        <f t="shared" si="76"/>
        <v>35958.89</v>
      </c>
      <c r="AW764" s="223">
        <v>26289.86</v>
      </c>
      <c r="AX764" s="223">
        <v>3431.3</v>
      </c>
      <c r="AY764" s="223">
        <v>6237.73</v>
      </c>
      <c r="CK764" s="22">
        <f t="shared" si="77"/>
        <v>35958.89</v>
      </c>
      <c r="CL764" s="3">
        <f t="shared" si="78"/>
        <v>0</v>
      </c>
      <c r="CM764" s="222">
        <f t="shared" si="79"/>
        <v>12903</v>
      </c>
      <c r="CN764" s="3" t="str">
        <f t="shared" si="80"/>
        <v>ماليزى اسنان</v>
      </c>
    </row>
    <row r="765" spans="3:92" x14ac:dyDescent="0.25">
      <c r="C765" s="223" t="s">
        <v>503</v>
      </c>
      <c r="D765" s="224">
        <v>21778</v>
      </c>
      <c r="E765" s="224">
        <v>12904</v>
      </c>
      <c r="F765" s="250" t="s">
        <v>121</v>
      </c>
      <c r="G765" s="223" t="s">
        <v>5398</v>
      </c>
      <c r="I765" s="223">
        <v>5569.36</v>
      </c>
      <c r="AV765" s="22">
        <f t="shared" si="76"/>
        <v>5569.36</v>
      </c>
      <c r="AW765" s="223">
        <v>3722.6</v>
      </c>
      <c r="AX765" s="223">
        <v>504.9</v>
      </c>
      <c r="AY765" s="223">
        <v>1341.86</v>
      </c>
      <c r="CK765" s="22">
        <f t="shared" si="77"/>
        <v>5569.36</v>
      </c>
      <c r="CL765" s="3">
        <f t="shared" si="78"/>
        <v>0</v>
      </c>
      <c r="CM765" s="222">
        <f t="shared" si="79"/>
        <v>12904</v>
      </c>
      <c r="CN765" s="3" t="str">
        <f t="shared" si="80"/>
        <v>ماليزى اسنان</v>
      </c>
    </row>
    <row r="766" spans="3:92" x14ac:dyDescent="0.25">
      <c r="C766" s="223" t="s">
        <v>503</v>
      </c>
      <c r="D766" s="224">
        <v>21777</v>
      </c>
      <c r="E766" s="224">
        <v>12905</v>
      </c>
      <c r="F766" s="250" t="s">
        <v>121</v>
      </c>
      <c r="G766" s="223" t="s">
        <v>5399</v>
      </c>
      <c r="I766" s="223">
        <v>4689.99</v>
      </c>
      <c r="AV766" s="22">
        <f t="shared" si="76"/>
        <v>4689.99</v>
      </c>
      <c r="AW766" s="223">
        <v>3134.35</v>
      </c>
      <c r="AX766" s="223">
        <v>425.65</v>
      </c>
      <c r="AY766" s="223">
        <v>1129.99</v>
      </c>
      <c r="CK766" s="22">
        <f t="shared" si="77"/>
        <v>4689.99</v>
      </c>
      <c r="CL766" s="3">
        <f t="shared" si="78"/>
        <v>0</v>
      </c>
      <c r="CM766" s="222">
        <f t="shared" si="79"/>
        <v>12905</v>
      </c>
      <c r="CN766" s="3" t="str">
        <f t="shared" si="80"/>
        <v>ماليزى اسنان</v>
      </c>
    </row>
    <row r="767" spans="3:92" x14ac:dyDescent="0.25">
      <c r="C767" s="223" t="s">
        <v>503</v>
      </c>
      <c r="D767" s="224">
        <v>21780</v>
      </c>
      <c r="E767" s="224">
        <v>12906</v>
      </c>
      <c r="F767" s="250" t="s">
        <v>121</v>
      </c>
      <c r="G767" s="223" t="s">
        <v>5400</v>
      </c>
      <c r="I767" s="223">
        <v>39699.96</v>
      </c>
      <c r="AV767" s="22">
        <f t="shared" si="76"/>
        <v>39699.96</v>
      </c>
      <c r="AW767" s="223">
        <v>28650.02</v>
      </c>
      <c r="AX767" s="223">
        <v>3762.3</v>
      </c>
      <c r="AY767" s="223">
        <v>7287.64</v>
      </c>
      <c r="CK767" s="22">
        <f t="shared" si="77"/>
        <v>39699.96</v>
      </c>
      <c r="CL767" s="3">
        <f t="shared" si="78"/>
        <v>0</v>
      </c>
      <c r="CM767" s="222">
        <f t="shared" si="79"/>
        <v>12906</v>
      </c>
      <c r="CN767" s="3" t="str">
        <f t="shared" si="80"/>
        <v>ماليزى اسنان</v>
      </c>
    </row>
    <row r="768" spans="3:92" x14ac:dyDescent="0.25">
      <c r="C768" s="223" t="s">
        <v>503</v>
      </c>
      <c r="D768" s="224">
        <v>21779</v>
      </c>
      <c r="E768" s="224">
        <v>12907</v>
      </c>
      <c r="F768" s="250" t="s">
        <v>121</v>
      </c>
      <c r="G768" s="223" t="s">
        <v>5401</v>
      </c>
      <c r="I768" s="223">
        <v>2638.12</v>
      </c>
      <c r="AV768" s="22">
        <f t="shared" ref="AV768:AV831" si="81">SUM(I768:AU768)</f>
        <v>2638.12</v>
      </c>
      <c r="AW768" s="223">
        <v>1762.85</v>
      </c>
      <c r="AX768" s="223">
        <v>239.65</v>
      </c>
      <c r="AY768" s="223">
        <v>635.62</v>
      </c>
      <c r="CK768" s="22">
        <f t="shared" si="77"/>
        <v>2638.12</v>
      </c>
      <c r="CL768" s="3">
        <f t="shared" si="78"/>
        <v>0</v>
      </c>
      <c r="CM768" s="222">
        <f t="shared" si="79"/>
        <v>12907</v>
      </c>
      <c r="CN768" s="3" t="str">
        <f t="shared" si="80"/>
        <v>ماليزى اسنان</v>
      </c>
    </row>
    <row r="769" spans="3:92" x14ac:dyDescent="0.25">
      <c r="C769" s="223" t="s">
        <v>503</v>
      </c>
      <c r="D769" s="224">
        <v>21782</v>
      </c>
      <c r="E769" s="224">
        <v>12908</v>
      </c>
      <c r="F769" s="250" t="s">
        <v>121</v>
      </c>
      <c r="G769" s="223" t="s">
        <v>5402</v>
      </c>
      <c r="I769" s="223">
        <v>1500</v>
      </c>
      <c r="AV769" s="22">
        <f t="shared" si="81"/>
        <v>1500</v>
      </c>
      <c r="AW769" s="223">
        <v>1339.1</v>
      </c>
      <c r="AX769" s="223">
        <v>160.9</v>
      </c>
      <c r="CK769" s="22">
        <f t="shared" si="77"/>
        <v>1500</v>
      </c>
      <c r="CL769" s="3">
        <f t="shared" si="78"/>
        <v>0</v>
      </c>
      <c r="CM769" s="222">
        <f t="shared" si="79"/>
        <v>12908</v>
      </c>
      <c r="CN769" s="3" t="str">
        <f t="shared" si="80"/>
        <v>ماليزى اسنان</v>
      </c>
    </row>
    <row r="770" spans="3:92" x14ac:dyDescent="0.25">
      <c r="C770" s="223" t="s">
        <v>503</v>
      </c>
      <c r="D770" s="224">
        <v>21781</v>
      </c>
      <c r="E770" s="224">
        <v>12909</v>
      </c>
      <c r="F770" s="250" t="s">
        <v>121</v>
      </c>
      <c r="G770" s="223" t="s">
        <v>5402</v>
      </c>
      <c r="I770" s="223">
        <v>1000</v>
      </c>
      <c r="AV770" s="22">
        <f t="shared" si="81"/>
        <v>1000</v>
      </c>
      <c r="AW770" s="223">
        <v>893.35</v>
      </c>
      <c r="AX770" s="223">
        <v>106.65</v>
      </c>
      <c r="CK770" s="22">
        <f t="shared" si="77"/>
        <v>1000</v>
      </c>
      <c r="CL770" s="3">
        <f t="shared" si="78"/>
        <v>0</v>
      </c>
      <c r="CM770" s="222">
        <f t="shared" si="79"/>
        <v>12909</v>
      </c>
      <c r="CN770" s="3" t="str">
        <f t="shared" si="80"/>
        <v>ماليزى اسنان</v>
      </c>
    </row>
    <row r="771" spans="3:92" x14ac:dyDescent="0.25">
      <c r="C771" s="223" t="s">
        <v>503</v>
      </c>
      <c r="D771" s="224">
        <v>21785</v>
      </c>
      <c r="E771" s="224">
        <v>12910</v>
      </c>
      <c r="F771" s="250" t="s">
        <v>121</v>
      </c>
      <c r="G771" s="223" t="s">
        <v>5403</v>
      </c>
      <c r="I771" s="223">
        <v>18309.86</v>
      </c>
      <c r="AV771" s="22">
        <f t="shared" si="81"/>
        <v>18309.86</v>
      </c>
      <c r="AW771" s="223">
        <v>12517.25</v>
      </c>
      <c r="AX771" s="223">
        <v>1682.25</v>
      </c>
      <c r="AY771" s="223">
        <v>4110.3599999999997</v>
      </c>
      <c r="CK771" s="22">
        <f t="shared" si="77"/>
        <v>18309.86</v>
      </c>
      <c r="CL771" s="3">
        <f t="shared" si="78"/>
        <v>0</v>
      </c>
      <c r="CM771" s="222">
        <f t="shared" si="79"/>
        <v>12910</v>
      </c>
      <c r="CN771" s="3" t="str">
        <f t="shared" si="80"/>
        <v>ماليزى اسنان</v>
      </c>
    </row>
    <row r="772" spans="3:92" x14ac:dyDescent="0.25">
      <c r="C772" s="223" t="s">
        <v>503</v>
      </c>
      <c r="D772" s="224">
        <v>21784</v>
      </c>
      <c r="E772" s="224">
        <v>12911</v>
      </c>
      <c r="F772" s="250" t="s">
        <v>121</v>
      </c>
      <c r="G772" s="223" t="s">
        <v>5403</v>
      </c>
      <c r="I772" s="223">
        <v>2931.24</v>
      </c>
      <c r="AV772" s="22">
        <f t="shared" si="81"/>
        <v>2931.24</v>
      </c>
      <c r="AW772" s="223">
        <v>1959</v>
      </c>
      <c r="AX772" s="223">
        <v>266</v>
      </c>
      <c r="AY772" s="223">
        <v>706.24</v>
      </c>
      <c r="CK772" s="22">
        <f t="shared" si="77"/>
        <v>2931.24</v>
      </c>
      <c r="CL772" s="3">
        <f t="shared" si="78"/>
        <v>0</v>
      </c>
      <c r="CM772" s="222">
        <f t="shared" si="79"/>
        <v>12911</v>
      </c>
      <c r="CN772" s="3" t="str">
        <f t="shared" si="80"/>
        <v>ماليزى اسنان</v>
      </c>
    </row>
    <row r="773" spans="3:92" x14ac:dyDescent="0.25">
      <c r="C773" s="223" t="s">
        <v>503</v>
      </c>
      <c r="D773" s="224">
        <v>21783</v>
      </c>
      <c r="E773" s="224">
        <v>12912</v>
      </c>
      <c r="F773" s="250" t="s">
        <v>121</v>
      </c>
      <c r="G773" s="223" t="s">
        <v>5403</v>
      </c>
      <c r="I773" s="223">
        <v>7328.1</v>
      </c>
      <c r="AV773" s="22">
        <f t="shared" si="81"/>
        <v>7328.1</v>
      </c>
      <c r="AW773" s="223">
        <v>4897.5</v>
      </c>
      <c r="AX773" s="223">
        <v>665</v>
      </c>
      <c r="AY773" s="223">
        <v>1765.6</v>
      </c>
      <c r="CK773" s="22">
        <f t="shared" si="77"/>
        <v>7328.1</v>
      </c>
      <c r="CL773" s="3">
        <f t="shared" si="78"/>
        <v>0</v>
      </c>
      <c r="CM773" s="222">
        <f t="shared" si="79"/>
        <v>12912</v>
      </c>
      <c r="CN773" s="3" t="str">
        <f t="shared" si="80"/>
        <v>ماليزى اسنان</v>
      </c>
    </row>
    <row r="774" spans="3:92" x14ac:dyDescent="0.25">
      <c r="C774" s="223" t="s">
        <v>503</v>
      </c>
      <c r="D774" s="224">
        <v>21786</v>
      </c>
      <c r="E774" s="224">
        <v>12913</v>
      </c>
      <c r="F774" s="250" t="s">
        <v>121</v>
      </c>
      <c r="G774" s="223" t="s">
        <v>5404</v>
      </c>
      <c r="I774" s="223">
        <v>1758.75</v>
      </c>
      <c r="AV774" s="22">
        <f t="shared" si="81"/>
        <v>1758.75</v>
      </c>
      <c r="AW774" s="223">
        <v>1175.3499999999999</v>
      </c>
      <c r="AX774" s="223">
        <v>159.65</v>
      </c>
      <c r="AY774" s="223">
        <v>423.75</v>
      </c>
      <c r="CK774" s="22">
        <f t="shared" si="77"/>
        <v>1758.75</v>
      </c>
      <c r="CL774" s="3">
        <f t="shared" si="78"/>
        <v>0</v>
      </c>
      <c r="CM774" s="222">
        <f t="shared" si="79"/>
        <v>12913</v>
      </c>
      <c r="CN774" s="3" t="str">
        <f t="shared" si="80"/>
        <v>ماليزى اسنان</v>
      </c>
    </row>
    <row r="775" spans="3:92" x14ac:dyDescent="0.25">
      <c r="C775" s="223" t="s">
        <v>503</v>
      </c>
      <c r="D775" s="224">
        <v>21789</v>
      </c>
      <c r="E775" s="224">
        <v>12914</v>
      </c>
      <c r="F775" s="250" t="s">
        <v>121</v>
      </c>
      <c r="G775" s="223" t="s">
        <v>5405</v>
      </c>
      <c r="I775" s="223">
        <v>3500</v>
      </c>
      <c r="AV775" s="22">
        <f t="shared" si="81"/>
        <v>3500</v>
      </c>
      <c r="AW775" s="223">
        <v>3124.1</v>
      </c>
      <c r="AX775" s="223">
        <v>375.9</v>
      </c>
      <c r="CK775" s="22">
        <f t="shared" si="77"/>
        <v>3500</v>
      </c>
      <c r="CL775" s="3">
        <f t="shared" si="78"/>
        <v>0</v>
      </c>
      <c r="CM775" s="222">
        <f t="shared" si="79"/>
        <v>12914</v>
      </c>
      <c r="CN775" s="3" t="str">
        <f t="shared" si="80"/>
        <v>ماليزى اسنان</v>
      </c>
    </row>
    <row r="776" spans="3:92" x14ac:dyDescent="0.25">
      <c r="C776" s="223" t="s">
        <v>503</v>
      </c>
      <c r="D776" s="224">
        <v>12596</v>
      </c>
      <c r="E776" s="224">
        <v>12915</v>
      </c>
      <c r="F776" s="250" t="s">
        <v>121</v>
      </c>
      <c r="G776" s="223" t="s">
        <v>5406</v>
      </c>
      <c r="I776" s="223">
        <v>851.75</v>
      </c>
      <c r="AV776" s="22">
        <f t="shared" si="81"/>
        <v>851.75</v>
      </c>
      <c r="AW776" s="223">
        <v>682.6</v>
      </c>
      <c r="AX776" s="223">
        <v>84.4</v>
      </c>
      <c r="AY776" s="223">
        <v>84.75</v>
      </c>
      <c r="CK776" s="22">
        <f t="shared" si="77"/>
        <v>851.75</v>
      </c>
      <c r="CL776" s="3">
        <f t="shared" si="78"/>
        <v>0</v>
      </c>
      <c r="CM776" s="222">
        <f t="shared" si="79"/>
        <v>12915</v>
      </c>
      <c r="CN776" s="3" t="str">
        <f t="shared" si="80"/>
        <v>ماليزى اسنان</v>
      </c>
    </row>
    <row r="777" spans="3:92" x14ac:dyDescent="0.25">
      <c r="C777" s="223" t="s">
        <v>503</v>
      </c>
      <c r="D777" s="224">
        <v>12597</v>
      </c>
      <c r="E777" s="224">
        <v>12916</v>
      </c>
      <c r="F777" s="250" t="s">
        <v>121</v>
      </c>
      <c r="G777" s="223" t="s">
        <v>5407</v>
      </c>
      <c r="I777" s="223">
        <v>6507</v>
      </c>
      <c r="AV777" s="22">
        <f t="shared" si="81"/>
        <v>6507</v>
      </c>
      <c r="AW777" s="223">
        <v>5493.1</v>
      </c>
      <c r="AX777" s="223">
        <v>674.9</v>
      </c>
      <c r="AY777" s="223">
        <v>339</v>
      </c>
      <c r="CK777" s="22">
        <f t="shared" si="77"/>
        <v>6507</v>
      </c>
      <c r="CL777" s="3">
        <f t="shared" si="78"/>
        <v>0</v>
      </c>
      <c r="CM777" s="222">
        <f t="shared" si="79"/>
        <v>12916</v>
      </c>
      <c r="CN777" s="3" t="str">
        <f t="shared" si="80"/>
        <v>ماليزى اسنان</v>
      </c>
    </row>
    <row r="778" spans="3:92" x14ac:dyDescent="0.25">
      <c r="C778" s="223" t="s">
        <v>503</v>
      </c>
      <c r="D778" s="224">
        <v>21787</v>
      </c>
      <c r="E778" s="224">
        <v>12917</v>
      </c>
      <c r="F778" s="250" t="s">
        <v>121</v>
      </c>
      <c r="G778" s="223" t="s">
        <v>5404</v>
      </c>
      <c r="I778" s="223">
        <v>10576.04</v>
      </c>
      <c r="AV778" s="22">
        <f t="shared" si="81"/>
        <v>10576.04</v>
      </c>
      <c r="AW778" s="223">
        <v>7113.92</v>
      </c>
      <c r="AX778" s="223">
        <v>962.95</v>
      </c>
      <c r="AY778" s="223">
        <v>2499.17</v>
      </c>
      <c r="CK778" s="22">
        <f t="shared" si="77"/>
        <v>10576.04</v>
      </c>
      <c r="CL778" s="3">
        <f t="shared" si="78"/>
        <v>0</v>
      </c>
      <c r="CM778" s="222">
        <f t="shared" si="79"/>
        <v>12917</v>
      </c>
      <c r="CN778" s="3" t="str">
        <f t="shared" si="80"/>
        <v>ماليزى اسنان</v>
      </c>
    </row>
    <row r="779" spans="3:92" x14ac:dyDescent="0.25">
      <c r="C779" s="223" t="s">
        <v>503</v>
      </c>
      <c r="D779" s="224">
        <v>21788</v>
      </c>
      <c r="E779" s="224">
        <v>12918</v>
      </c>
      <c r="F779" s="250" t="s">
        <v>121</v>
      </c>
      <c r="G779" s="223" t="s">
        <v>5408</v>
      </c>
      <c r="I779" s="223">
        <v>35653.360000000001</v>
      </c>
      <c r="AV779" s="22">
        <f t="shared" si="81"/>
        <v>35653.360000000001</v>
      </c>
      <c r="AW779" s="223">
        <v>27779.21</v>
      </c>
      <c r="AX779" s="223">
        <v>3528.8</v>
      </c>
      <c r="AY779" s="223">
        <v>4345.3500000000004</v>
      </c>
      <c r="CK779" s="22">
        <f t="shared" si="77"/>
        <v>35653.360000000001</v>
      </c>
      <c r="CL779" s="3">
        <f t="shared" si="78"/>
        <v>0</v>
      </c>
      <c r="CM779" s="222">
        <f t="shared" si="79"/>
        <v>12918</v>
      </c>
      <c r="CN779" s="3" t="str">
        <f t="shared" si="80"/>
        <v>ماليزى اسنان</v>
      </c>
    </row>
    <row r="780" spans="3:92" x14ac:dyDescent="0.25">
      <c r="C780" s="223" t="s">
        <v>503</v>
      </c>
      <c r="D780" s="224">
        <v>21802</v>
      </c>
      <c r="E780" s="224">
        <v>12919</v>
      </c>
      <c r="F780" s="250" t="s">
        <v>121</v>
      </c>
      <c r="G780" s="223" t="s">
        <v>5409</v>
      </c>
      <c r="I780" s="223">
        <v>6797.03</v>
      </c>
      <c r="AV780" s="22">
        <f t="shared" si="81"/>
        <v>6797.03</v>
      </c>
      <c r="AW780" s="223">
        <v>5233.72</v>
      </c>
      <c r="AX780" s="223">
        <v>667.45</v>
      </c>
      <c r="AY780" s="223">
        <v>895.86</v>
      </c>
      <c r="CK780" s="22">
        <f t="shared" si="77"/>
        <v>6797.03</v>
      </c>
      <c r="CL780" s="3">
        <f t="shared" si="78"/>
        <v>0</v>
      </c>
      <c r="CM780" s="222">
        <f t="shared" si="79"/>
        <v>12919</v>
      </c>
      <c r="CN780" s="3" t="str">
        <f t="shared" si="80"/>
        <v>ماليزى اسنان</v>
      </c>
    </row>
    <row r="781" spans="3:92" x14ac:dyDescent="0.25">
      <c r="C781" s="223" t="s">
        <v>503</v>
      </c>
      <c r="D781" s="224">
        <v>21799</v>
      </c>
      <c r="E781" s="224">
        <v>12920</v>
      </c>
      <c r="F781" s="250" t="s">
        <v>121</v>
      </c>
      <c r="G781" s="223" t="s">
        <v>5410</v>
      </c>
      <c r="I781" s="223">
        <v>1250</v>
      </c>
      <c r="AV781" s="22">
        <f t="shared" si="81"/>
        <v>1250</v>
      </c>
      <c r="AW781" s="223">
        <v>1116</v>
      </c>
      <c r="AX781" s="223">
        <v>134</v>
      </c>
      <c r="CK781" s="22">
        <f t="shared" si="77"/>
        <v>1250</v>
      </c>
      <c r="CL781" s="3">
        <f t="shared" si="78"/>
        <v>0</v>
      </c>
      <c r="CM781" s="222">
        <f t="shared" si="79"/>
        <v>12920</v>
      </c>
      <c r="CN781" s="3" t="str">
        <f t="shared" si="80"/>
        <v>ماليزى اسنان</v>
      </c>
    </row>
    <row r="782" spans="3:92" x14ac:dyDescent="0.25">
      <c r="C782" s="223" t="s">
        <v>503</v>
      </c>
      <c r="D782" s="224">
        <v>21800</v>
      </c>
      <c r="E782" s="224">
        <v>12921</v>
      </c>
      <c r="F782" s="250" t="s">
        <v>121</v>
      </c>
      <c r="G782" s="223" t="s">
        <v>5411</v>
      </c>
      <c r="I782" s="223">
        <v>4181.24</v>
      </c>
      <c r="AV782" s="22">
        <f t="shared" si="81"/>
        <v>4181.24</v>
      </c>
      <c r="AW782" s="223">
        <v>3075</v>
      </c>
      <c r="AX782" s="223">
        <v>400</v>
      </c>
      <c r="AY782" s="223">
        <v>706.24</v>
      </c>
      <c r="CK782" s="22">
        <f t="shared" si="77"/>
        <v>4181.24</v>
      </c>
      <c r="CL782" s="3">
        <f t="shared" si="78"/>
        <v>0</v>
      </c>
      <c r="CM782" s="222">
        <f t="shared" si="79"/>
        <v>12921</v>
      </c>
      <c r="CN782" s="3" t="str">
        <f t="shared" si="80"/>
        <v>ماليزى اسنان</v>
      </c>
    </row>
    <row r="783" spans="3:92" x14ac:dyDescent="0.25">
      <c r="C783" s="223" t="s">
        <v>503</v>
      </c>
      <c r="D783" s="224">
        <v>21798</v>
      </c>
      <c r="E783" s="224">
        <v>12922</v>
      </c>
      <c r="F783" s="250" t="s">
        <v>121</v>
      </c>
      <c r="G783" s="223" t="s">
        <v>5412</v>
      </c>
      <c r="I783" s="223">
        <v>6483.12</v>
      </c>
      <c r="AV783" s="22">
        <f t="shared" si="81"/>
        <v>6483.12</v>
      </c>
      <c r="AW783" s="223">
        <v>4372.16</v>
      </c>
      <c r="AX783" s="223">
        <v>910.34</v>
      </c>
      <c r="AY783" s="223">
        <v>1200.6199999999999</v>
      </c>
      <c r="CK783" s="22">
        <f t="shared" si="77"/>
        <v>6483.12</v>
      </c>
      <c r="CL783" s="3">
        <f t="shared" si="78"/>
        <v>0</v>
      </c>
      <c r="CM783" s="222">
        <f t="shared" si="79"/>
        <v>12922</v>
      </c>
      <c r="CN783" s="3" t="str">
        <f t="shared" si="80"/>
        <v>ماليزى اسنان</v>
      </c>
    </row>
    <row r="784" spans="3:92" x14ac:dyDescent="0.25">
      <c r="C784" s="223" t="s">
        <v>503</v>
      </c>
      <c r="D784" s="224">
        <v>21797</v>
      </c>
      <c r="E784" s="224">
        <v>12923</v>
      </c>
      <c r="F784" s="250" t="s">
        <v>121</v>
      </c>
      <c r="G784" s="223" t="s">
        <v>5413</v>
      </c>
      <c r="I784" s="223">
        <v>5773.91</v>
      </c>
      <c r="AV784" s="22">
        <f t="shared" si="81"/>
        <v>5773.91</v>
      </c>
      <c r="AW784" s="223">
        <v>3974.1</v>
      </c>
      <c r="AX784" s="223">
        <v>532.4</v>
      </c>
      <c r="AY784" s="223">
        <v>1267.4100000000001</v>
      </c>
      <c r="CK784" s="22">
        <f t="shared" si="77"/>
        <v>5773.91</v>
      </c>
      <c r="CL784" s="3">
        <f t="shared" si="78"/>
        <v>0</v>
      </c>
      <c r="CM784" s="222">
        <f t="shared" si="79"/>
        <v>12923</v>
      </c>
      <c r="CN784" s="3" t="str">
        <f t="shared" si="80"/>
        <v>ماليزى اسنان</v>
      </c>
    </row>
    <row r="785" spans="3:92" x14ac:dyDescent="0.25">
      <c r="C785" s="223" t="s">
        <v>503</v>
      </c>
      <c r="D785" s="224">
        <v>21796</v>
      </c>
      <c r="E785" s="224">
        <v>12924</v>
      </c>
      <c r="F785" s="250" t="s">
        <v>121</v>
      </c>
      <c r="G785" s="223" t="s">
        <v>5414</v>
      </c>
      <c r="I785" s="223">
        <v>7195.37</v>
      </c>
      <c r="AV785" s="22">
        <f t="shared" si="81"/>
        <v>7195.37</v>
      </c>
      <c r="AW785" s="223">
        <v>5744.24</v>
      </c>
      <c r="AX785" s="223">
        <v>721.75</v>
      </c>
      <c r="AY785" s="223">
        <v>729.38</v>
      </c>
      <c r="CK785" s="22">
        <f t="shared" si="77"/>
        <v>7195.37</v>
      </c>
      <c r="CL785" s="3">
        <f t="shared" si="78"/>
        <v>0</v>
      </c>
      <c r="CM785" s="222">
        <f t="shared" si="79"/>
        <v>12924</v>
      </c>
      <c r="CN785" s="3" t="str">
        <f t="shared" si="80"/>
        <v>ماليزى اسنان</v>
      </c>
    </row>
    <row r="786" spans="3:92" x14ac:dyDescent="0.25">
      <c r="C786" s="223" t="s">
        <v>503</v>
      </c>
      <c r="D786" s="224">
        <v>21795</v>
      </c>
      <c r="E786" s="224">
        <v>12925</v>
      </c>
      <c r="F786" s="250" t="s">
        <v>121</v>
      </c>
      <c r="G786" s="223" t="s">
        <v>5415</v>
      </c>
      <c r="I786" s="223">
        <v>3810.62</v>
      </c>
      <c r="AV786" s="22">
        <f t="shared" si="81"/>
        <v>3810.62</v>
      </c>
      <c r="AW786" s="223">
        <v>2546.5</v>
      </c>
      <c r="AX786" s="223">
        <v>346</v>
      </c>
      <c r="AY786" s="223">
        <v>918.12</v>
      </c>
      <c r="CK786" s="22">
        <f t="shared" ref="CK786:CK849" si="82">SUM(AW786:CJ786)</f>
        <v>3810.62</v>
      </c>
      <c r="CL786" s="3">
        <f t="shared" ref="CL786:CL849" si="83">+CK786-AV786</f>
        <v>0</v>
      </c>
      <c r="CM786" s="222">
        <f t="shared" ref="CM786:CM849" si="84">+E786</f>
        <v>12925</v>
      </c>
      <c r="CN786" s="3" t="str">
        <f t="shared" ref="CN786:CN849" si="85">+F786</f>
        <v>ماليزى اسنان</v>
      </c>
    </row>
    <row r="787" spans="3:92" x14ac:dyDescent="0.25">
      <c r="C787" s="223" t="s">
        <v>503</v>
      </c>
      <c r="D787" s="224">
        <v>21792</v>
      </c>
      <c r="E787" s="224">
        <v>12926</v>
      </c>
      <c r="F787" s="250" t="s">
        <v>121</v>
      </c>
      <c r="G787" s="223" t="s">
        <v>5416</v>
      </c>
      <c r="I787" s="223">
        <v>2931.25</v>
      </c>
      <c r="AV787" s="22">
        <f t="shared" si="81"/>
        <v>2931.25</v>
      </c>
      <c r="AW787" s="223">
        <v>1958.65</v>
      </c>
      <c r="AX787" s="223">
        <v>266.35000000000002</v>
      </c>
      <c r="AY787" s="223">
        <v>706.25</v>
      </c>
      <c r="CK787" s="22">
        <f t="shared" si="82"/>
        <v>2931.25</v>
      </c>
      <c r="CL787" s="3">
        <f t="shared" si="83"/>
        <v>0</v>
      </c>
      <c r="CM787" s="222">
        <f t="shared" si="84"/>
        <v>12926</v>
      </c>
      <c r="CN787" s="3" t="str">
        <f t="shared" si="85"/>
        <v>ماليزى اسنان</v>
      </c>
    </row>
    <row r="788" spans="3:92" x14ac:dyDescent="0.25">
      <c r="C788" s="223" t="s">
        <v>503</v>
      </c>
      <c r="D788" s="224">
        <v>21794</v>
      </c>
      <c r="E788" s="224">
        <v>12927</v>
      </c>
      <c r="F788" s="250" t="s">
        <v>121</v>
      </c>
      <c r="G788" s="223" t="s">
        <v>5416</v>
      </c>
      <c r="I788" s="223">
        <v>41556.959999999999</v>
      </c>
      <c r="AV788" s="22">
        <f t="shared" si="81"/>
        <v>41556.959999999999</v>
      </c>
      <c r="AW788" s="223">
        <v>30144.95</v>
      </c>
      <c r="AX788" s="223">
        <v>3949.15</v>
      </c>
      <c r="AY788" s="223">
        <v>7462.86</v>
      </c>
      <c r="CK788" s="22">
        <f t="shared" si="82"/>
        <v>41556.959999999999</v>
      </c>
      <c r="CL788" s="3">
        <f t="shared" si="83"/>
        <v>0</v>
      </c>
      <c r="CM788" s="222">
        <f t="shared" si="84"/>
        <v>12927</v>
      </c>
      <c r="CN788" s="3" t="str">
        <f t="shared" si="85"/>
        <v>ماليزى اسنان</v>
      </c>
    </row>
    <row r="789" spans="3:92" x14ac:dyDescent="0.25">
      <c r="C789" s="223" t="s">
        <v>503</v>
      </c>
      <c r="D789" s="224">
        <v>21793</v>
      </c>
      <c r="E789" s="224">
        <v>12928</v>
      </c>
      <c r="F789" s="250" t="s">
        <v>121</v>
      </c>
      <c r="G789" s="223" t="s">
        <v>5417</v>
      </c>
      <c r="I789" s="223">
        <v>9380</v>
      </c>
      <c r="AV789" s="22">
        <f t="shared" si="81"/>
        <v>9380</v>
      </c>
      <c r="AW789" s="223">
        <v>6268.05</v>
      </c>
      <c r="AX789" s="223">
        <v>851.95</v>
      </c>
      <c r="AY789" s="223">
        <v>2260</v>
      </c>
      <c r="CK789" s="22">
        <f t="shared" si="82"/>
        <v>9380</v>
      </c>
      <c r="CL789" s="3">
        <f t="shared" si="83"/>
        <v>0</v>
      </c>
      <c r="CM789" s="222">
        <f t="shared" si="84"/>
        <v>12928</v>
      </c>
      <c r="CN789" s="3" t="str">
        <f t="shared" si="85"/>
        <v>ماليزى اسنان</v>
      </c>
    </row>
    <row r="790" spans="3:92" x14ac:dyDescent="0.25">
      <c r="C790" s="223" t="s">
        <v>503</v>
      </c>
      <c r="D790" s="224">
        <v>21801</v>
      </c>
      <c r="E790" s="224">
        <v>12929</v>
      </c>
      <c r="F790" s="250" t="s">
        <v>121</v>
      </c>
      <c r="G790" s="223" t="s">
        <v>5418</v>
      </c>
      <c r="I790" s="223">
        <v>5006.17</v>
      </c>
      <c r="AV790" s="22">
        <f t="shared" si="81"/>
        <v>5006.17</v>
      </c>
      <c r="AW790" s="223">
        <v>3696.58</v>
      </c>
      <c r="AX790" s="223">
        <v>480.65</v>
      </c>
      <c r="AY790" s="223">
        <v>828.94</v>
      </c>
      <c r="CK790" s="22">
        <f t="shared" si="82"/>
        <v>5006.17</v>
      </c>
      <c r="CL790" s="3">
        <f t="shared" si="83"/>
        <v>0</v>
      </c>
      <c r="CM790" s="222">
        <f t="shared" si="84"/>
        <v>12929</v>
      </c>
      <c r="CN790" s="3" t="str">
        <f t="shared" si="85"/>
        <v>ماليزى اسنان</v>
      </c>
    </row>
    <row r="791" spans="3:92" x14ac:dyDescent="0.25">
      <c r="C791" s="223" t="s">
        <v>503</v>
      </c>
      <c r="D791" s="224">
        <v>21803</v>
      </c>
      <c r="E791" s="224">
        <v>12930</v>
      </c>
      <c r="F791" s="250" t="s">
        <v>121</v>
      </c>
      <c r="G791" s="223" t="s">
        <v>5419</v>
      </c>
      <c r="I791" s="223">
        <v>5646.86</v>
      </c>
      <c r="AV791" s="22">
        <f t="shared" si="81"/>
        <v>5646.86</v>
      </c>
      <c r="AW791" s="223">
        <v>4054.5</v>
      </c>
      <c r="AX791" s="223">
        <v>533</v>
      </c>
      <c r="AY791" s="223">
        <v>1059.3599999999999</v>
      </c>
      <c r="CK791" s="22">
        <f t="shared" si="82"/>
        <v>5646.86</v>
      </c>
      <c r="CL791" s="3">
        <f t="shared" si="83"/>
        <v>0</v>
      </c>
      <c r="CM791" s="222">
        <f t="shared" si="84"/>
        <v>12930</v>
      </c>
      <c r="CN791" s="3" t="str">
        <f t="shared" si="85"/>
        <v>ماليزى اسنان</v>
      </c>
    </row>
    <row r="792" spans="3:92" x14ac:dyDescent="0.25">
      <c r="C792" s="223" t="s">
        <v>592</v>
      </c>
      <c r="D792" s="224">
        <v>21853</v>
      </c>
      <c r="E792" s="224">
        <v>12931</v>
      </c>
      <c r="F792" s="250" t="s">
        <v>121</v>
      </c>
      <c r="G792" s="223" t="s">
        <v>5420</v>
      </c>
      <c r="I792" s="223">
        <v>867.3</v>
      </c>
      <c r="AV792" s="22">
        <f t="shared" si="81"/>
        <v>867.3</v>
      </c>
      <c r="AW792" s="223">
        <v>590.25</v>
      </c>
      <c r="AX792" s="223">
        <v>68.099999999999994</v>
      </c>
      <c r="AY792" s="223">
        <v>208.95</v>
      </c>
      <c r="CK792" s="22">
        <f t="shared" si="82"/>
        <v>867.3</v>
      </c>
      <c r="CL792" s="3">
        <f t="shared" si="83"/>
        <v>0</v>
      </c>
      <c r="CM792" s="222">
        <f t="shared" si="84"/>
        <v>12931</v>
      </c>
      <c r="CN792" s="3" t="str">
        <f t="shared" si="85"/>
        <v>ماليزى اسنان</v>
      </c>
    </row>
    <row r="793" spans="3:92" x14ac:dyDescent="0.25">
      <c r="C793" s="223" t="s">
        <v>367</v>
      </c>
      <c r="D793" s="224">
        <v>21864</v>
      </c>
      <c r="E793" s="224">
        <v>12932</v>
      </c>
      <c r="F793" s="250" t="s">
        <v>121</v>
      </c>
      <c r="G793" s="223" t="s">
        <v>5421</v>
      </c>
      <c r="I793" s="223">
        <v>43956.18</v>
      </c>
      <c r="AV793" s="22">
        <f t="shared" si="81"/>
        <v>43956.18</v>
      </c>
      <c r="AW793" s="223">
        <v>29528.400000000001</v>
      </c>
      <c r="AX793" s="223">
        <v>5092.25</v>
      </c>
      <c r="AY793" s="223">
        <v>9335.5300000000007</v>
      </c>
      <c r="CK793" s="22">
        <f t="shared" si="82"/>
        <v>43956.18</v>
      </c>
      <c r="CL793" s="3">
        <f t="shared" si="83"/>
        <v>0</v>
      </c>
      <c r="CM793" s="222">
        <f t="shared" si="84"/>
        <v>12932</v>
      </c>
      <c r="CN793" s="3" t="str">
        <f t="shared" si="85"/>
        <v>ماليزى اسنان</v>
      </c>
    </row>
    <row r="794" spans="3:92" x14ac:dyDescent="0.25">
      <c r="C794" s="223" t="s">
        <v>367</v>
      </c>
      <c r="D794" s="224">
        <v>21865</v>
      </c>
      <c r="E794" s="224">
        <v>12933</v>
      </c>
      <c r="F794" s="250" t="s">
        <v>121</v>
      </c>
      <c r="G794" s="223" t="s">
        <v>5420</v>
      </c>
      <c r="I794" s="223">
        <v>196.39</v>
      </c>
      <c r="AV794" s="22">
        <f t="shared" si="81"/>
        <v>196.39</v>
      </c>
      <c r="AW794" s="223">
        <v>166.17</v>
      </c>
      <c r="AX794" s="223">
        <v>30.22</v>
      </c>
      <c r="CK794" s="22">
        <f t="shared" si="82"/>
        <v>196.39</v>
      </c>
      <c r="CL794" s="3">
        <f t="shared" si="83"/>
        <v>0</v>
      </c>
      <c r="CM794" s="222">
        <f t="shared" si="84"/>
        <v>12933</v>
      </c>
      <c r="CN794" s="3" t="str">
        <f t="shared" si="85"/>
        <v>ماليزى اسنان</v>
      </c>
    </row>
    <row r="795" spans="3:92" x14ac:dyDescent="0.25">
      <c r="D795" s="224">
        <v>21866</v>
      </c>
      <c r="E795" s="224">
        <v>12934</v>
      </c>
      <c r="F795" s="250" t="s">
        <v>121</v>
      </c>
      <c r="G795" s="223" t="s">
        <v>5421</v>
      </c>
      <c r="I795" s="223">
        <v>568.4</v>
      </c>
      <c r="AV795" s="22">
        <f t="shared" si="81"/>
        <v>568.4</v>
      </c>
      <c r="AW795" s="223">
        <v>422.51</v>
      </c>
      <c r="AX795" s="223">
        <v>83.95</v>
      </c>
      <c r="AY795" s="223">
        <v>61.94</v>
      </c>
      <c r="CK795" s="22">
        <f t="shared" si="82"/>
        <v>568.4</v>
      </c>
      <c r="CL795" s="3">
        <f t="shared" si="83"/>
        <v>0</v>
      </c>
      <c r="CM795" s="222">
        <f t="shared" si="84"/>
        <v>12934</v>
      </c>
      <c r="CN795" s="3" t="str">
        <f t="shared" si="85"/>
        <v>ماليزى اسنان</v>
      </c>
    </row>
    <row r="796" spans="3:92" x14ac:dyDescent="0.25">
      <c r="C796" s="223" t="s">
        <v>592</v>
      </c>
      <c r="D796" s="224">
        <v>21852</v>
      </c>
      <c r="E796" s="224">
        <v>12935</v>
      </c>
      <c r="F796" s="250" t="s">
        <v>121</v>
      </c>
      <c r="G796" s="223" t="s">
        <v>5422</v>
      </c>
      <c r="I796" s="223">
        <v>4695.1000000000004</v>
      </c>
      <c r="AV796" s="22">
        <f t="shared" si="81"/>
        <v>4695.1000000000004</v>
      </c>
      <c r="AW796" s="223">
        <v>3234.41</v>
      </c>
      <c r="AX796" s="223">
        <v>374.15</v>
      </c>
      <c r="AY796" s="223">
        <v>1086.54</v>
      </c>
      <c r="CK796" s="22">
        <f t="shared" si="82"/>
        <v>4695.1000000000004</v>
      </c>
      <c r="CL796" s="3">
        <f t="shared" si="83"/>
        <v>0</v>
      </c>
      <c r="CM796" s="222">
        <f t="shared" si="84"/>
        <v>12935</v>
      </c>
      <c r="CN796" s="3" t="str">
        <f t="shared" si="85"/>
        <v>ماليزى اسنان</v>
      </c>
    </row>
    <row r="797" spans="3:92" x14ac:dyDescent="0.25">
      <c r="C797" s="223" t="s">
        <v>592</v>
      </c>
      <c r="D797" s="224">
        <v>21852</v>
      </c>
      <c r="E797" s="224">
        <v>12936</v>
      </c>
      <c r="F797" s="250" t="s">
        <v>121</v>
      </c>
      <c r="G797" s="223" t="s">
        <v>5423</v>
      </c>
      <c r="I797" s="223">
        <v>867.3</v>
      </c>
      <c r="AV797" s="22">
        <f t="shared" si="81"/>
        <v>867.3</v>
      </c>
      <c r="AW797" s="223">
        <v>590.25</v>
      </c>
      <c r="AX797" s="223">
        <v>68.099999999999994</v>
      </c>
      <c r="AY797" s="223">
        <v>208.95</v>
      </c>
      <c r="CK797" s="22">
        <f t="shared" si="82"/>
        <v>867.3</v>
      </c>
      <c r="CL797" s="3">
        <f t="shared" si="83"/>
        <v>0</v>
      </c>
      <c r="CM797" s="222">
        <f t="shared" si="84"/>
        <v>12936</v>
      </c>
      <c r="CN797" s="3" t="str">
        <f t="shared" si="85"/>
        <v>ماليزى اسنان</v>
      </c>
    </row>
    <row r="798" spans="3:92" x14ac:dyDescent="0.25">
      <c r="D798" s="224">
        <v>21851</v>
      </c>
      <c r="E798" s="224">
        <v>12937</v>
      </c>
      <c r="F798" s="250" t="s">
        <v>121</v>
      </c>
      <c r="G798" s="223" t="s">
        <v>5422</v>
      </c>
      <c r="I798" s="223">
        <v>11175.75</v>
      </c>
      <c r="AV798" s="22">
        <f t="shared" si="81"/>
        <v>11175.75</v>
      </c>
      <c r="AW798" s="223">
        <v>8163.81</v>
      </c>
      <c r="AX798" s="223">
        <v>944.43</v>
      </c>
      <c r="AY798" s="223">
        <v>2067.5100000000002</v>
      </c>
      <c r="CK798" s="22">
        <f t="shared" si="82"/>
        <v>11175.75</v>
      </c>
      <c r="CL798" s="3">
        <f t="shared" si="83"/>
        <v>0</v>
      </c>
      <c r="CM798" s="222">
        <f t="shared" si="84"/>
        <v>12937</v>
      </c>
      <c r="CN798" s="3" t="str">
        <f t="shared" si="85"/>
        <v>ماليزى اسنان</v>
      </c>
    </row>
    <row r="799" spans="3:92" x14ac:dyDescent="0.25">
      <c r="C799" s="223" t="s">
        <v>367</v>
      </c>
      <c r="D799" s="224">
        <v>21866</v>
      </c>
      <c r="E799" s="224">
        <v>12938</v>
      </c>
      <c r="F799" s="250" t="s">
        <v>121</v>
      </c>
      <c r="G799" s="223" t="s">
        <v>5424</v>
      </c>
      <c r="I799" s="223">
        <v>43245.51</v>
      </c>
      <c r="AV799" s="22">
        <f t="shared" si="81"/>
        <v>43245.51</v>
      </c>
      <c r="AW799" s="223">
        <v>29039.77</v>
      </c>
      <c r="AX799" s="223">
        <v>5024.82</v>
      </c>
      <c r="AY799" s="223">
        <v>9180.92</v>
      </c>
      <c r="CK799" s="22">
        <f t="shared" si="82"/>
        <v>43245.509999999995</v>
      </c>
      <c r="CL799" s="3">
        <f t="shared" si="83"/>
        <v>0</v>
      </c>
      <c r="CM799" s="222">
        <f t="shared" si="84"/>
        <v>12938</v>
      </c>
      <c r="CN799" s="3" t="str">
        <f t="shared" si="85"/>
        <v>ماليزى اسنان</v>
      </c>
    </row>
    <row r="800" spans="3:92" x14ac:dyDescent="0.25">
      <c r="C800" s="223" t="s">
        <v>367</v>
      </c>
      <c r="D800" s="224">
        <v>21867</v>
      </c>
      <c r="E800" s="224">
        <v>12939</v>
      </c>
      <c r="F800" s="250" t="s">
        <v>121</v>
      </c>
      <c r="G800" s="223" t="s">
        <v>5424</v>
      </c>
      <c r="I800" s="223">
        <v>568.4</v>
      </c>
      <c r="AV800" s="22">
        <f t="shared" si="81"/>
        <v>568.4</v>
      </c>
      <c r="AW800" s="223">
        <v>422.51</v>
      </c>
      <c r="AX800" s="223">
        <v>83.95</v>
      </c>
      <c r="AY800" s="223">
        <v>61.94</v>
      </c>
      <c r="CK800" s="22">
        <f t="shared" si="82"/>
        <v>568.4</v>
      </c>
      <c r="CL800" s="3">
        <f t="shared" si="83"/>
        <v>0</v>
      </c>
      <c r="CM800" s="222">
        <f t="shared" si="84"/>
        <v>12939</v>
      </c>
      <c r="CN800" s="3" t="str">
        <f t="shared" si="85"/>
        <v>ماليزى اسنان</v>
      </c>
    </row>
    <row r="801" spans="3:92" x14ac:dyDescent="0.25">
      <c r="C801" s="223" t="s">
        <v>367</v>
      </c>
      <c r="D801" s="224">
        <v>21854</v>
      </c>
      <c r="E801" s="224">
        <v>12940</v>
      </c>
      <c r="F801" s="250" t="s">
        <v>121</v>
      </c>
      <c r="G801" s="223" t="s">
        <v>5425</v>
      </c>
      <c r="I801" s="223">
        <v>479.88</v>
      </c>
      <c r="AV801" s="22">
        <f t="shared" si="81"/>
        <v>479.88</v>
      </c>
      <c r="AW801" s="223">
        <v>316.48</v>
      </c>
      <c r="AX801" s="223">
        <v>47.77</v>
      </c>
      <c r="AY801" s="223">
        <v>115.63</v>
      </c>
      <c r="CK801" s="22">
        <f t="shared" si="82"/>
        <v>479.88</v>
      </c>
      <c r="CL801" s="3">
        <f t="shared" si="83"/>
        <v>0</v>
      </c>
      <c r="CM801" s="222">
        <f t="shared" si="84"/>
        <v>12940</v>
      </c>
      <c r="CN801" s="3" t="str">
        <f t="shared" si="85"/>
        <v>ماليزى اسنان</v>
      </c>
    </row>
    <row r="802" spans="3:92" x14ac:dyDescent="0.25">
      <c r="C802" s="223" t="s">
        <v>367</v>
      </c>
      <c r="D802" s="224">
        <v>21890</v>
      </c>
      <c r="E802" s="224">
        <v>12941</v>
      </c>
      <c r="F802" s="250" t="s">
        <v>121</v>
      </c>
      <c r="G802" s="223" t="s">
        <v>5425</v>
      </c>
      <c r="I802" s="223">
        <v>311.3</v>
      </c>
      <c r="AV802" s="22">
        <f t="shared" si="81"/>
        <v>311.3</v>
      </c>
      <c r="AW802" s="223">
        <v>247.68</v>
      </c>
      <c r="AX802" s="223">
        <v>63.62</v>
      </c>
      <c r="CK802" s="22">
        <f t="shared" si="82"/>
        <v>311.3</v>
      </c>
      <c r="CL802" s="3">
        <f t="shared" si="83"/>
        <v>0</v>
      </c>
      <c r="CM802" s="222">
        <f t="shared" si="84"/>
        <v>12941</v>
      </c>
      <c r="CN802" s="3" t="str">
        <f t="shared" si="85"/>
        <v>ماليزى اسنان</v>
      </c>
    </row>
    <row r="803" spans="3:92" x14ac:dyDescent="0.25">
      <c r="C803" s="223" t="s">
        <v>592</v>
      </c>
      <c r="D803" s="224">
        <v>21848</v>
      </c>
      <c r="E803" s="224">
        <v>12942</v>
      </c>
      <c r="F803" s="250" t="s">
        <v>121</v>
      </c>
      <c r="G803" s="223" t="s">
        <v>5426</v>
      </c>
      <c r="I803" s="223">
        <v>1055.48</v>
      </c>
      <c r="AV803" s="22">
        <f t="shared" si="81"/>
        <v>1055.48</v>
      </c>
      <c r="AW803" s="223">
        <v>718.04</v>
      </c>
      <c r="AX803" s="223">
        <v>83.14</v>
      </c>
      <c r="AY803" s="223">
        <v>254.3</v>
      </c>
      <c r="CK803" s="22">
        <f t="shared" si="82"/>
        <v>1055.48</v>
      </c>
      <c r="CL803" s="3">
        <f t="shared" si="83"/>
        <v>0</v>
      </c>
      <c r="CM803" s="222">
        <f t="shared" si="84"/>
        <v>12942</v>
      </c>
      <c r="CN803" s="3" t="str">
        <f t="shared" si="85"/>
        <v>ماليزى اسنان</v>
      </c>
    </row>
    <row r="804" spans="3:92" x14ac:dyDescent="0.25">
      <c r="C804" s="223" t="s">
        <v>592</v>
      </c>
      <c r="D804" s="224">
        <v>21847</v>
      </c>
      <c r="E804" s="224">
        <v>12943</v>
      </c>
      <c r="F804" s="250" t="s">
        <v>121</v>
      </c>
      <c r="G804" s="223" t="s">
        <v>5426</v>
      </c>
      <c r="I804" s="223">
        <v>4695.1000000000004</v>
      </c>
      <c r="AV804" s="22">
        <f t="shared" si="81"/>
        <v>4695.1000000000004</v>
      </c>
      <c r="AW804" s="223">
        <v>3234.41</v>
      </c>
      <c r="AX804" s="223">
        <v>374.15</v>
      </c>
      <c r="AY804" s="223">
        <v>1086.54</v>
      </c>
      <c r="CK804" s="22">
        <f t="shared" si="82"/>
        <v>4695.1000000000004</v>
      </c>
      <c r="CL804" s="3">
        <f t="shared" si="83"/>
        <v>0</v>
      </c>
      <c r="CM804" s="222">
        <f t="shared" si="84"/>
        <v>12943</v>
      </c>
      <c r="CN804" s="3" t="str">
        <f t="shared" si="85"/>
        <v>ماليزى اسنان</v>
      </c>
    </row>
    <row r="805" spans="3:92" x14ac:dyDescent="0.25">
      <c r="C805" s="223" t="s">
        <v>592</v>
      </c>
      <c r="D805" s="224">
        <v>21846</v>
      </c>
      <c r="E805" s="224">
        <v>12944</v>
      </c>
      <c r="F805" s="250" t="s">
        <v>121</v>
      </c>
      <c r="G805" s="223" t="s">
        <v>5427</v>
      </c>
      <c r="I805" s="223">
        <v>11175.75</v>
      </c>
      <c r="AV805" s="22">
        <f t="shared" si="81"/>
        <v>11175.75</v>
      </c>
      <c r="AW805" s="223">
        <v>8163.81</v>
      </c>
      <c r="AX805" s="223">
        <v>944.43</v>
      </c>
      <c r="AY805" s="223">
        <v>2067.5100000000002</v>
      </c>
      <c r="CK805" s="22">
        <f t="shared" si="82"/>
        <v>11175.75</v>
      </c>
      <c r="CL805" s="3">
        <f t="shared" si="83"/>
        <v>0</v>
      </c>
      <c r="CM805" s="222">
        <f t="shared" si="84"/>
        <v>12944</v>
      </c>
      <c r="CN805" s="3" t="str">
        <f t="shared" si="85"/>
        <v>ماليزى اسنان</v>
      </c>
    </row>
    <row r="806" spans="3:92" x14ac:dyDescent="0.25">
      <c r="C806" s="223" t="s">
        <v>592</v>
      </c>
      <c r="D806" s="224">
        <v>21845</v>
      </c>
      <c r="E806" s="224">
        <v>12945</v>
      </c>
      <c r="F806" s="250" t="s">
        <v>121</v>
      </c>
      <c r="G806" s="223" t="s">
        <v>5428</v>
      </c>
      <c r="I806" s="223">
        <v>867.3</v>
      </c>
      <c r="AV806" s="22">
        <f t="shared" si="81"/>
        <v>867.3</v>
      </c>
      <c r="AW806" s="223">
        <v>590.25</v>
      </c>
      <c r="AX806" s="223">
        <v>68.099999999999994</v>
      </c>
      <c r="AY806" s="223">
        <v>208.95</v>
      </c>
      <c r="CK806" s="22">
        <f t="shared" si="82"/>
        <v>867.3</v>
      </c>
      <c r="CL806" s="3">
        <f t="shared" si="83"/>
        <v>0</v>
      </c>
      <c r="CM806" s="222">
        <f t="shared" si="84"/>
        <v>12945</v>
      </c>
      <c r="CN806" s="3" t="str">
        <f t="shared" si="85"/>
        <v>ماليزى اسنان</v>
      </c>
    </row>
    <row r="807" spans="3:92" x14ac:dyDescent="0.25">
      <c r="C807" s="223" t="s">
        <v>503</v>
      </c>
      <c r="D807" s="224">
        <v>22318</v>
      </c>
      <c r="E807" s="224">
        <v>12946</v>
      </c>
      <c r="F807" s="250" t="s">
        <v>121</v>
      </c>
      <c r="G807" s="223" t="s">
        <v>5429</v>
      </c>
      <c r="I807" s="223">
        <v>1200</v>
      </c>
      <c r="AV807" s="22">
        <f t="shared" si="81"/>
        <v>1200</v>
      </c>
      <c r="AW807" s="223">
        <v>1071.3499999999999</v>
      </c>
      <c r="AX807" s="223">
        <v>128.65</v>
      </c>
      <c r="CK807" s="22">
        <f t="shared" si="82"/>
        <v>1200</v>
      </c>
      <c r="CL807" s="3">
        <f t="shared" si="83"/>
        <v>0</v>
      </c>
      <c r="CM807" s="222">
        <f t="shared" si="84"/>
        <v>12946</v>
      </c>
      <c r="CN807" s="3" t="str">
        <f t="shared" si="85"/>
        <v>ماليزى اسنان</v>
      </c>
    </row>
    <row r="808" spans="3:92" x14ac:dyDescent="0.25">
      <c r="C808" s="223" t="s">
        <v>503</v>
      </c>
      <c r="D808" s="224">
        <v>21791</v>
      </c>
      <c r="E808" s="224">
        <v>12947</v>
      </c>
      <c r="F808" s="250" t="s">
        <v>121</v>
      </c>
      <c r="G808" s="223" t="s">
        <v>5430</v>
      </c>
      <c r="I808" s="223">
        <v>14926.76</v>
      </c>
      <c r="AV808" s="22">
        <f t="shared" si="81"/>
        <v>14926.76</v>
      </c>
      <c r="AW808" s="223">
        <v>13055.78</v>
      </c>
      <c r="AX808" s="223">
        <v>1581.5</v>
      </c>
      <c r="AY808" s="223">
        <v>289.48</v>
      </c>
      <c r="CK808" s="22">
        <f t="shared" si="82"/>
        <v>14926.76</v>
      </c>
      <c r="CL808" s="3">
        <f t="shared" si="83"/>
        <v>0</v>
      </c>
      <c r="CM808" s="222">
        <f t="shared" si="84"/>
        <v>12947</v>
      </c>
      <c r="CN808" s="3" t="str">
        <f t="shared" si="85"/>
        <v>ماليزى اسنان</v>
      </c>
    </row>
    <row r="809" spans="3:92" x14ac:dyDescent="0.25">
      <c r="C809" s="223" t="s">
        <v>503</v>
      </c>
      <c r="D809" s="224">
        <v>21790</v>
      </c>
      <c r="E809" s="224">
        <v>12948</v>
      </c>
      <c r="F809" s="250" t="s">
        <v>121</v>
      </c>
      <c r="G809" s="223" t="s">
        <v>5431</v>
      </c>
      <c r="I809" s="223">
        <v>2931.25</v>
      </c>
      <c r="AV809" s="22">
        <f t="shared" si="81"/>
        <v>2931.25</v>
      </c>
      <c r="AW809" s="223">
        <v>1959.45</v>
      </c>
      <c r="AX809" s="223">
        <v>265.55</v>
      </c>
      <c r="AY809" s="231">
        <v>706.25</v>
      </c>
      <c r="CK809" s="22">
        <f t="shared" si="82"/>
        <v>2931.25</v>
      </c>
      <c r="CL809" s="3">
        <f t="shared" si="83"/>
        <v>0</v>
      </c>
      <c r="CM809" s="222">
        <f t="shared" si="84"/>
        <v>12948</v>
      </c>
      <c r="CN809" s="3" t="str">
        <f t="shared" si="85"/>
        <v>ماليزى اسنان</v>
      </c>
    </row>
    <row r="810" spans="3:92" x14ac:dyDescent="0.25">
      <c r="C810" s="223" t="s">
        <v>557</v>
      </c>
      <c r="D810" s="224">
        <v>22022</v>
      </c>
      <c r="E810" s="224">
        <v>12949</v>
      </c>
      <c r="F810" s="250" t="s">
        <v>121</v>
      </c>
      <c r="G810" s="223" t="s">
        <v>5432</v>
      </c>
      <c r="I810" s="223">
        <v>85.1</v>
      </c>
      <c r="AV810" s="22">
        <f t="shared" si="81"/>
        <v>85.1</v>
      </c>
      <c r="AW810" s="223">
        <v>57.22</v>
      </c>
      <c r="AX810" s="223">
        <v>7.36</v>
      </c>
      <c r="AY810" s="223">
        <v>20.52</v>
      </c>
      <c r="CK810" s="22">
        <f t="shared" si="82"/>
        <v>85.1</v>
      </c>
      <c r="CL810" s="3">
        <f t="shared" si="83"/>
        <v>0</v>
      </c>
      <c r="CM810" s="222">
        <f t="shared" si="84"/>
        <v>12949</v>
      </c>
      <c r="CN810" s="3" t="str">
        <f t="shared" si="85"/>
        <v>ماليزى اسنان</v>
      </c>
    </row>
    <row r="811" spans="3:92" x14ac:dyDescent="0.25">
      <c r="C811" s="223" t="s">
        <v>557</v>
      </c>
      <c r="D811" s="224">
        <v>22172</v>
      </c>
      <c r="E811" s="224">
        <v>12950</v>
      </c>
      <c r="F811" s="250" t="s">
        <v>121</v>
      </c>
      <c r="G811" s="223" t="s">
        <v>5433</v>
      </c>
      <c r="I811" s="223">
        <v>72.58</v>
      </c>
      <c r="AV811" s="22">
        <f t="shared" si="81"/>
        <v>72.58</v>
      </c>
      <c r="AW811" s="223">
        <v>65.17</v>
      </c>
      <c r="AX811" s="223">
        <v>7.41</v>
      </c>
      <c r="CK811" s="22">
        <f t="shared" si="82"/>
        <v>72.58</v>
      </c>
      <c r="CL811" s="3">
        <f t="shared" si="83"/>
        <v>0</v>
      </c>
      <c r="CM811" s="222">
        <f t="shared" si="84"/>
        <v>12950</v>
      </c>
      <c r="CN811" s="3" t="str">
        <f t="shared" si="85"/>
        <v>ماليزى اسنان</v>
      </c>
    </row>
    <row r="812" spans="3:92" x14ac:dyDescent="0.25">
      <c r="C812" s="223" t="s">
        <v>592</v>
      </c>
      <c r="D812" s="224">
        <v>21112</v>
      </c>
      <c r="E812" s="224">
        <v>12951</v>
      </c>
      <c r="F812" s="250" t="s">
        <v>121</v>
      </c>
      <c r="G812" s="223" t="s">
        <v>5434</v>
      </c>
      <c r="I812" s="223">
        <v>11725</v>
      </c>
      <c r="AV812" s="22">
        <f t="shared" si="81"/>
        <v>11725</v>
      </c>
      <c r="AW812" s="223">
        <v>7835</v>
      </c>
      <c r="AX812" s="223">
        <v>1065</v>
      </c>
      <c r="AY812" s="223">
        <v>2825</v>
      </c>
      <c r="CK812" s="22">
        <f t="shared" si="82"/>
        <v>11725</v>
      </c>
      <c r="CL812" s="3">
        <f t="shared" si="83"/>
        <v>0</v>
      </c>
      <c r="CM812" s="222">
        <f t="shared" si="84"/>
        <v>12951</v>
      </c>
      <c r="CN812" s="3" t="str">
        <f t="shared" si="85"/>
        <v>ماليزى اسنان</v>
      </c>
    </row>
    <row r="813" spans="3:92" x14ac:dyDescent="0.25">
      <c r="D813" s="224">
        <v>21318</v>
      </c>
      <c r="E813" s="224">
        <v>12952</v>
      </c>
      <c r="F813" s="250" t="s">
        <v>121</v>
      </c>
      <c r="G813" s="223" t="s">
        <v>5434</v>
      </c>
      <c r="I813" s="223">
        <v>140205.6</v>
      </c>
      <c r="AV813" s="22">
        <f t="shared" si="81"/>
        <v>140205.6</v>
      </c>
      <c r="AW813" s="223">
        <v>97384.08</v>
      </c>
      <c r="AX813" s="223">
        <v>13006.55</v>
      </c>
      <c r="AY813" s="223">
        <v>29814.97</v>
      </c>
      <c r="CK813" s="22">
        <f t="shared" si="82"/>
        <v>140205.6</v>
      </c>
      <c r="CL813" s="3">
        <f t="shared" si="83"/>
        <v>0</v>
      </c>
      <c r="CM813" s="222">
        <f t="shared" si="84"/>
        <v>12952</v>
      </c>
      <c r="CN813" s="3" t="str">
        <f t="shared" si="85"/>
        <v>ماليزى اسنان</v>
      </c>
    </row>
    <row r="814" spans="3:92" x14ac:dyDescent="0.25">
      <c r="D814" s="224">
        <v>21319</v>
      </c>
      <c r="E814" s="224">
        <v>12953</v>
      </c>
      <c r="F814" s="250" t="s">
        <v>121</v>
      </c>
      <c r="G814" s="223" t="s">
        <v>5435</v>
      </c>
      <c r="I814" s="223">
        <v>11725</v>
      </c>
      <c r="AV814" s="22">
        <f t="shared" si="81"/>
        <v>11725</v>
      </c>
      <c r="AW814" s="223">
        <v>7835</v>
      </c>
      <c r="AX814" s="223">
        <v>1065</v>
      </c>
      <c r="AY814" s="223">
        <v>2825</v>
      </c>
      <c r="CK814" s="22">
        <f t="shared" si="82"/>
        <v>11725</v>
      </c>
      <c r="CL814" s="3">
        <f t="shared" si="83"/>
        <v>0</v>
      </c>
      <c r="CM814" s="222">
        <f t="shared" si="84"/>
        <v>12953</v>
      </c>
      <c r="CN814" s="3" t="str">
        <f t="shared" si="85"/>
        <v>ماليزى اسنان</v>
      </c>
    </row>
    <row r="815" spans="3:92" x14ac:dyDescent="0.25">
      <c r="D815" s="224">
        <v>21320</v>
      </c>
      <c r="E815" s="224">
        <v>12954</v>
      </c>
      <c r="F815" s="250" t="s">
        <v>121</v>
      </c>
      <c r="G815" s="223" t="s">
        <v>5436</v>
      </c>
      <c r="I815" s="223">
        <v>55935</v>
      </c>
      <c r="AV815" s="22">
        <f t="shared" si="81"/>
        <v>55935</v>
      </c>
      <c r="AW815" s="223">
        <v>37826.35</v>
      </c>
      <c r="AX815" s="223">
        <v>5113.6499999999996</v>
      </c>
      <c r="AY815" s="223">
        <v>12995</v>
      </c>
      <c r="CK815" s="22">
        <f t="shared" si="82"/>
        <v>55935</v>
      </c>
      <c r="CL815" s="3">
        <f t="shared" si="83"/>
        <v>0</v>
      </c>
      <c r="CM815" s="222">
        <f t="shared" si="84"/>
        <v>12954</v>
      </c>
      <c r="CN815" s="3" t="str">
        <f t="shared" si="85"/>
        <v>ماليزى اسنان</v>
      </c>
    </row>
    <row r="816" spans="3:92" x14ac:dyDescent="0.25">
      <c r="D816" s="224">
        <v>21326</v>
      </c>
      <c r="E816" s="224">
        <v>12955</v>
      </c>
      <c r="F816" s="250" t="s">
        <v>121</v>
      </c>
      <c r="G816" s="223" t="s">
        <v>5437</v>
      </c>
      <c r="I816" s="223">
        <v>72000</v>
      </c>
      <c r="AV816" s="22">
        <f t="shared" si="81"/>
        <v>72000</v>
      </c>
      <c r="AW816" s="223">
        <v>64272</v>
      </c>
      <c r="AX816" s="223">
        <v>7728</v>
      </c>
      <c r="CK816" s="22">
        <f t="shared" si="82"/>
        <v>72000</v>
      </c>
      <c r="CL816" s="3">
        <f t="shared" si="83"/>
        <v>0</v>
      </c>
      <c r="CM816" s="222">
        <f t="shared" si="84"/>
        <v>12955</v>
      </c>
      <c r="CN816" s="3" t="str">
        <f t="shared" si="85"/>
        <v>ماليزى اسنان</v>
      </c>
    </row>
    <row r="817" spans="4:92" x14ac:dyDescent="0.25">
      <c r="D817" s="224">
        <v>21330</v>
      </c>
      <c r="E817" s="224">
        <v>12956</v>
      </c>
      <c r="F817" s="250" t="s">
        <v>121</v>
      </c>
      <c r="G817" s="223" t="str">
        <f>+G811</f>
        <v>مكافاه عيد اضحى ا ه ت</v>
      </c>
      <c r="I817" s="223">
        <v>2250</v>
      </c>
      <c r="AV817" s="22">
        <f t="shared" si="81"/>
        <v>2250</v>
      </c>
      <c r="AW817" s="223">
        <v>2008.5</v>
      </c>
      <c r="AX817" s="223">
        <v>241.5</v>
      </c>
      <c r="CK817" s="22">
        <f t="shared" si="82"/>
        <v>2250</v>
      </c>
      <c r="CL817" s="3">
        <f t="shared" si="83"/>
        <v>0</v>
      </c>
      <c r="CM817" s="222">
        <f t="shared" si="84"/>
        <v>12956</v>
      </c>
      <c r="CN817" s="3" t="str">
        <f t="shared" si="85"/>
        <v>ماليزى اسنان</v>
      </c>
    </row>
    <row r="818" spans="4:92" x14ac:dyDescent="0.25">
      <c r="D818" s="224">
        <v>21328</v>
      </c>
      <c r="E818" s="224">
        <v>12957</v>
      </c>
      <c r="F818" s="250" t="s">
        <v>121</v>
      </c>
      <c r="G818" s="223" t="str">
        <f>+G816</f>
        <v>مكافاه عيد اضحى ا متفرغ</v>
      </c>
      <c r="I818" s="223">
        <v>100687.5</v>
      </c>
      <c r="AV818" s="22">
        <f t="shared" si="81"/>
        <v>100687.5</v>
      </c>
      <c r="AW818" s="223">
        <v>89880.45</v>
      </c>
      <c r="AX818" s="223">
        <v>10807.05</v>
      </c>
      <c r="CK818" s="22">
        <f t="shared" si="82"/>
        <v>100687.5</v>
      </c>
      <c r="CL818" s="3">
        <f t="shared" si="83"/>
        <v>0</v>
      </c>
      <c r="CM818" s="222">
        <f t="shared" si="84"/>
        <v>12957</v>
      </c>
      <c r="CN818" s="3" t="str">
        <f t="shared" si="85"/>
        <v>ماليزى اسنان</v>
      </c>
    </row>
    <row r="819" spans="4:92" x14ac:dyDescent="0.25">
      <c r="D819" s="224">
        <v>21329</v>
      </c>
      <c r="E819" s="224">
        <v>12958</v>
      </c>
      <c r="F819" s="250" t="s">
        <v>121</v>
      </c>
      <c r="G819" s="223" t="str">
        <f>+G818</f>
        <v>مكافاه عيد اضحى ا متفرغ</v>
      </c>
      <c r="I819" s="223">
        <v>13500</v>
      </c>
      <c r="AV819" s="22">
        <f t="shared" si="81"/>
        <v>13500</v>
      </c>
      <c r="AW819" s="223">
        <v>12051</v>
      </c>
      <c r="AX819" s="223">
        <v>1449</v>
      </c>
      <c r="CK819" s="22">
        <f t="shared" si="82"/>
        <v>13500</v>
      </c>
      <c r="CL819" s="3">
        <f t="shared" si="83"/>
        <v>0</v>
      </c>
      <c r="CM819" s="222">
        <f t="shared" si="84"/>
        <v>12958</v>
      </c>
      <c r="CN819" s="3" t="str">
        <f t="shared" si="85"/>
        <v>ماليزى اسنان</v>
      </c>
    </row>
    <row r="820" spans="4:92" x14ac:dyDescent="0.25">
      <c r="D820" s="224">
        <v>21331</v>
      </c>
      <c r="E820" s="224">
        <v>12959</v>
      </c>
      <c r="F820" s="250" t="s">
        <v>121</v>
      </c>
      <c r="G820" s="223" t="str">
        <f>+G817</f>
        <v>مكافاه عيد اضحى ا ه ت</v>
      </c>
      <c r="I820" s="223">
        <v>4500</v>
      </c>
      <c r="AV820" s="22">
        <f t="shared" si="81"/>
        <v>4500</v>
      </c>
      <c r="AW820" s="223">
        <v>4017</v>
      </c>
      <c r="AX820" s="223">
        <v>483</v>
      </c>
      <c r="CK820" s="22">
        <f t="shared" si="82"/>
        <v>4500</v>
      </c>
      <c r="CL820" s="3">
        <f t="shared" si="83"/>
        <v>0</v>
      </c>
      <c r="CM820" s="222">
        <f t="shared" si="84"/>
        <v>12959</v>
      </c>
      <c r="CN820" s="3" t="str">
        <f t="shared" si="85"/>
        <v>ماليزى اسنان</v>
      </c>
    </row>
    <row r="821" spans="4:92" x14ac:dyDescent="0.25">
      <c r="D821" s="224">
        <v>21327</v>
      </c>
      <c r="E821" s="224">
        <v>12960</v>
      </c>
      <c r="F821" s="250" t="s">
        <v>121</v>
      </c>
      <c r="G821" s="223" t="str">
        <f>+G818</f>
        <v>مكافاه عيد اضحى ا متفرغ</v>
      </c>
      <c r="I821" s="223">
        <v>105187.5</v>
      </c>
      <c r="AV821" s="22">
        <f t="shared" si="81"/>
        <v>105187.5</v>
      </c>
      <c r="AW821" s="223">
        <v>93897.45</v>
      </c>
      <c r="AX821" s="223">
        <v>11290.05</v>
      </c>
      <c r="CK821" s="22">
        <f t="shared" si="82"/>
        <v>105187.5</v>
      </c>
      <c r="CL821" s="3">
        <f t="shared" si="83"/>
        <v>0</v>
      </c>
      <c r="CM821" s="222">
        <f t="shared" si="84"/>
        <v>12960</v>
      </c>
      <c r="CN821" s="3" t="str">
        <f t="shared" si="85"/>
        <v>ماليزى اسنان</v>
      </c>
    </row>
    <row r="822" spans="4:92" x14ac:dyDescent="0.25">
      <c r="D822" s="224">
        <v>21334</v>
      </c>
      <c r="E822" s="224">
        <v>12961</v>
      </c>
      <c r="F822" s="250" t="s">
        <v>121</v>
      </c>
      <c r="G822" s="223" t="str">
        <f>+G820</f>
        <v>مكافاه عيد اضحى ا ه ت</v>
      </c>
      <c r="I822" s="223">
        <v>5768.52</v>
      </c>
      <c r="AV822" s="22">
        <f t="shared" si="81"/>
        <v>5768.52</v>
      </c>
      <c r="AW822" s="223">
        <v>4247.26</v>
      </c>
      <c r="AX822" s="223">
        <v>549.61</v>
      </c>
      <c r="AY822" s="223">
        <v>971.65</v>
      </c>
      <c r="CK822" s="22">
        <f t="shared" si="82"/>
        <v>5768.5199999999995</v>
      </c>
      <c r="CL822" s="3">
        <f t="shared" si="83"/>
        <v>0</v>
      </c>
      <c r="CM822" s="222">
        <f t="shared" si="84"/>
        <v>12961</v>
      </c>
      <c r="CN822" s="3" t="str">
        <f t="shared" si="85"/>
        <v>ماليزى اسنان</v>
      </c>
    </row>
    <row r="823" spans="4:92" x14ac:dyDescent="0.25">
      <c r="D823" s="224">
        <v>21335</v>
      </c>
      <c r="E823" s="224">
        <v>12962</v>
      </c>
      <c r="F823" s="250" t="s">
        <v>121</v>
      </c>
      <c r="G823" s="223" t="str">
        <f>+G822</f>
        <v>مكافاه عيد اضحى ا ه ت</v>
      </c>
      <c r="I823" s="223">
        <v>2454.37</v>
      </c>
      <c r="AV823" s="22">
        <f t="shared" si="81"/>
        <v>2454.37</v>
      </c>
      <c r="AW823" s="223">
        <v>1879.12</v>
      </c>
      <c r="AX823" s="223">
        <v>240.55</v>
      </c>
      <c r="AY823" s="223">
        <v>334.7</v>
      </c>
      <c r="CK823" s="22">
        <f t="shared" si="82"/>
        <v>2454.37</v>
      </c>
      <c r="CL823" s="3">
        <f t="shared" si="83"/>
        <v>0</v>
      </c>
      <c r="CM823" s="222">
        <f t="shared" si="84"/>
        <v>12962</v>
      </c>
      <c r="CN823" s="3" t="str">
        <f t="shared" si="85"/>
        <v>ماليزى اسنان</v>
      </c>
    </row>
    <row r="824" spans="4:92" x14ac:dyDescent="0.25">
      <c r="D824" s="224">
        <v>21336</v>
      </c>
      <c r="E824" s="224">
        <v>12963</v>
      </c>
      <c r="F824" s="250" t="s">
        <v>121</v>
      </c>
      <c r="G824" s="223" t="str">
        <f>+G823</f>
        <v>مكافاه عيد اضحى ا ه ت</v>
      </c>
      <c r="I824" s="223">
        <v>178941.17</v>
      </c>
      <c r="AV824" s="22">
        <f t="shared" si="81"/>
        <v>178941.17</v>
      </c>
      <c r="AW824" s="223">
        <v>151052.12</v>
      </c>
      <c r="AX824" s="223">
        <v>18568.8</v>
      </c>
      <c r="AY824" s="223">
        <v>9320.25</v>
      </c>
      <c r="CK824" s="22">
        <f t="shared" si="82"/>
        <v>178941.16999999998</v>
      </c>
      <c r="CL824" s="3">
        <f t="shared" si="83"/>
        <v>0</v>
      </c>
      <c r="CM824" s="222">
        <f t="shared" si="84"/>
        <v>12963</v>
      </c>
      <c r="CN824" s="3" t="str">
        <f t="shared" si="85"/>
        <v>ماليزى اسنان</v>
      </c>
    </row>
    <row r="825" spans="4:92" x14ac:dyDescent="0.25">
      <c r="D825" s="224">
        <v>21337</v>
      </c>
      <c r="E825" s="224">
        <v>12964</v>
      </c>
      <c r="F825" s="250" t="s">
        <v>121</v>
      </c>
      <c r="G825" s="223" t="s">
        <v>5438</v>
      </c>
      <c r="I825" s="223">
        <v>143153.18</v>
      </c>
      <c r="AV825" s="22">
        <f t="shared" si="81"/>
        <v>143153.18</v>
      </c>
      <c r="AW825" s="223">
        <v>125647.37</v>
      </c>
      <c r="AX825" s="223">
        <v>15207.85</v>
      </c>
      <c r="AY825" s="223">
        <v>2297.96</v>
      </c>
      <c r="CK825" s="22">
        <f t="shared" si="82"/>
        <v>143153.18</v>
      </c>
      <c r="CL825" s="3">
        <f t="shared" si="83"/>
        <v>0</v>
      </c>
      <c r="CM825" s="222">
        <f t="shared" si="84"/>
        <v>12964</v>
      </c>
      <c r="CN825" s="3" t="str">
        <f t="shared" si="85"/>
        <v>ماليزى اسنان</v>
      </c>
    </row>
    <row r="826" spans="4:92" x14ac:dyDescent="0.25">
      <c r="D826" s="224">
        <v>21338</v>
      </c>
      <c r="E826" s="224">
        <v>12965</v>
      </c>
      <c r="F826" s="250" t="s">
        <v>121</v>
      </c>
      <c r="G826" s="223" t="s">
        <v>5438</v>
      </c>
      <c r="I826" s="223">
        <v>145704.32999999999</v>
      </c>
      <c r="AV826" s="22">
        <f t="shared" si="81"/>
        <v>145704.32999999999</v>
      </c>
      <c r="AW826" s="223">
        <v>127465.05</v>
      </c>
      <c r="AX826" s="223">
        <v>15448.1</v>
      </c>
      <c r="AY826" s="223">
        <v>2791.18</v>
      </c>
      <c r="CK826" s="22">
        <f t="shared" si="82"/>
        <v>145704.32999999999</v>
      </c>
      <c r="CL826" s="3">
        <f t="shared" si="83"/>
        <v>0</v>
      </c>
      <c r="CM826" s="222">
        <f t="shared" si="84"/>
        <v>12965</v>
      </c>
      <c r="CN826" s="3" t="str">
        <f t="shared" si="85"/>
        <v>ماليزى اسنان</v>
      </c>
    </row>
    <row r="827" spans="4:92" x14ac:dyDescent="0.25">
      <c r="D827" s="224">
        <v>21333</v>
      </c>
      <c r="E827" s="224">
        <v>12966</v>
      </c>
      <c r="F827" s="250" t="s">
        <v>121</v>
      </c>
      <c r="G827" s="223" t="str">
        <f>+G824</f>
        <v>مكافاه عيد اضحى ا ه ت</v>
      </c>
      <c r="I827" s="223">
        <v>3846.78</v>
      </c>
      <c r="AV827" s="22">
        <f t="shared" si="81"/>
        <v>3846.78</v>
      </c>
      <c r="AW827" s="223">
        <v>3056.62</v>
      </c>
      <c r="AX827" s="223">
        <v>790.16</v>
      </c>
      <c r="CK827" s="22">
        <f t="shared" si="82"/>
        <v>3846.7799999999997</v>
      </c>
      <c r="CL827" s="3">
        <f t="shared" si="83"/>
        <v>0</v>
      </c>
      <c r="CM827" s="222">
        <f t="shared" si="84"/>
        <v>12966</v>
      </c>
      <c r="CN827" s="3" t="str">
        <f t="shared" si="85"/>
        <v>ماليزى اسنان</v>
      </c>
    </row>
    <row r="828" spans="4:92" x14ac:dyDescent="0.25">
      <c r="D828" s="224">
        <v>21332</v>
      </c>
      <c r="E828" s="224">
        <v>12967</v>
      </c>
      <c r="F828" s="250" t="s">
        <v>121</v>
      </c>
      <c r="G828" s="223" t="str">
        <f>+G827</f>
        <v>مكافاه عيد اضحى ا ه ت</v>
      </c>
      <c r="I828" s="223">
        <v>88138.12</v>
      </c>
      <c r="AV828" s="22">
        <f t="shared" si="81"/>
        <v>88138.12</v>
      </c>
      <c r="AW828" s="223">
        <v>78085.850000000006</v>
      </c>
      <c r="AX828" s="223">
        <v>9416.65</v>
      </c>
      <c r="AY828" s="223">
        <v>635.62</v>
      </c>
      <c r="CK828" s="22">
        <f t="shared" si="82"/>
        <v>88138.12</v>
      </c>
      <c r="CL828" s="3">
        <f t="shared" si="83"/>
        <v>0</v>
      </c>
      <c r="CM828" s="222">
        <f t="shared" si="84"/>
        <v>12967</v>
      </c>
      <c r="CN828" s="3" t="str">
        <f t="shared" si="85"/>
        <v>ماليزى اسنان</v>
      </c>
    </row>
    <row r="829" spans="4:92" x14ac:dyDescent="0.25">
      <c r="D829" s="224">
        <v>21200</v>
      </c>
      <c r="E829" s="224">
        <v>12968</v>
      </c>
      <c r="F829" s="250" t="s">
        <v>121</v>
      </c>
      <c r="G829" s="223" t="str">
        <f>+G825</f>
        <v>مكافاه عيد اضحى معيدين</v>
      </c>
      <c r="I829" s="223">
        <v>170.19</v>
      </c>
      <c r="AV829" s="22">
        <f t="shared" si="81"/>
        <v>170.19</v>
      </c>
      <c r="AW829" s="223">
        <v>114.18</v>
      </c>
      <c r="AX829" s="223">
        <v>15.02</v>
      </c>
      <c r="AY829" s="223">
        <v>40.99</v>
      </c>
      <c r="CK829" s="22">
        <f t="shared" si="82"/>
        <v>170.19000000000003</v>
      </c>
      <c r="CL829" s="3">
        <f t="shared" si="83"/>
        <v>0</v>
      </c>
      <c r="CM829" s="222">
        <f t="shared" si="84"/>
        <v>12968</v>
      </c>
      <c r="CN829" s="3" t="str">
        <f t="shared" si="85"/>
        <v>ماليزى اسنان</v>
      </c>
    </row>
    <row r="830" spans="4:92" x14ac:dyDescent="0.25">
      <c r="D830" s="224">
        <v>21202</v>
      </c>
      <c r="E830" s="224">
        <v>12969</v>
      </c>
      <c r="F830" s="250" t="s">
        <v>121</v>
      </c>
      <c r="G830" s="223" t="s">
        <v>5439</v>
      </c>
      <c r="I830" s="223">
        <v>5276.24</v>
      </c>
      <c r="AV830" s="22">
        <f t="shared" si="81"/>
        <v>5276.24</v>
      </c>
      <c r="AW830" s="223">
        <v>3525.7</v>
      </c>
      <c r="AX830" s="223">
        <v>479.3</v>
      </c>
      <c r="AY830" s="223">
        <v>1271.24</v>
      </c>
      <c r="CK830" s="22">
        <f t="shared" si="82"/>
        <v>5276.24</v>
      </c>
      <c r="CL830" s="3">
        <f t="shared" si="83"/>
        <v>0</v>
      </c>
      <c r="CM830" s="222">
        <f t="shared" si="84"/>
        <v>12969</v>
      </c>
      <c r="CN830" s="3" t="str">
        <f t="shared" si="85"/>
        <v>ماليزى اسنان</v>
      </c>
    </row>
    <row r="831" spans="4:92" x14ac:dyDescent="0.25">
      <c r="D831" s="224">
        <v>21114</v>
      </c>
      <c r="E831" s="224">
        <v>12970</v>
      </c>
      <c r="F831" s="250" t="s">
        <v>121</v>
      </c>
      <c r="G831" s="223" t="s">
        <v>5439</v>
      </c>
      <c r="I831" s="223">
        <v>54388.12</v>
      </c>
      <c r="AV831" s="22">
        <f t="shared" si="81"/>
        <v>54388.12</v>
      </c>
      <c r="AW831" s="223">
        <v>47958.35</v>
      </c>
      <c r="AX831" s="223">
        <v>5794.15</v>
      </c>
      <c r="AY831" s="223">
        <v>635.62</v>
      </c>
      <c r="CK831" s="22">
        <f t="shared" si="82"/>
        <v>54388.12</v>
      </c>
      <c r="CL831" s="3">
        <f t="shared" si="83"/>
        <v>0</v>
      </c>
      <c r="CM831" s="222">
        <f t="shared" si="84"/>
        <v>12970</v>
      </c>
      <c r="CN831" s="3" t="str">
        <f t="shared" si="85"/>
        <v>ماليزى اسنان</v>
      </c>
    </row>
    <row r="832" spans="4:92" x14ac:dyDescent="0.25">
      <c r="D832" s="224">
        <v>21115</v>
      </c>
      <c r="E832" s="224">
        <v>12971</v>
      </c>
      <c r="F832" s="250" t="s">
        <v>121</v>
      </c>
      <c r="G832" s="223" t="str">
        <f>+G821</f>
        <v>مكافاه عيد اضحى ا متفرغ</v>
      </c>
      <c r="I832" s="223">
        <v>2250</v>
      </c>
      <c r="AV832" s="22">
        <f t="shared" ref="AV832:AV895" si="86">SUM(I832:AU832)</f>
        <v>2250</v>
      </c>
      <c r="AW832" s="223">
        <v>2008.5</v>
      </c>
      <c r="AX832" s="223">
        <v>241.5</v>
      </c>
      <c r="CK832" s="22">
        <f t="shared" si="82"/>
        <v>2250</v>
      </c>
      <c r="CL832" s="3">
        <f t="shared" si="83"/>
        <v>0</v>
      </c>
      <c r="CM832" s="222">
        <f t="shared" si="84"/>
        <v>12971</v>
      </c>
      <c r="CN832" s="3" t="str">
        <f t="shared" si="85"/>
        <v>ماليزى اسنان</v>
      </c>
    </row>
    <row r="833" spans="3:92" x14ac:dyDescent="0.25">
      <c r="C833" s="223" t="s">
        <v>367</v>
      </c>
      <c r="D833" s="224">
        <v>21125</v>
      </c>
      <c r="E833" s="224">
        <v>12972</v>
      </c>
      <c r="F833" s="250" t="s">
        <v>121</v>
      </c>
      <c r="G833" s="223" t="s">
        <v>5440</v>
      </c>
      <c r="I833" s="223">
        <v>2345</v>
      </c>
      <c r="AV833" s="22">
        <f t="shared" si="86"/>
        <v>2345</v>
      </c>
      <c r="AW833" s="223">
        <v>1567</v>
      </c>
      <c r="AX833" s="223">
        <v>213</v>
      </c>
      <c r="AY833" s="223">
        <v>565</v>
      </c>
      <c r="CK833" s="22">
        <f t="shared" si="82"/>
        <v>2345</v>
      </c>
      <c r="CL833" s="3">
        <f t="shared" si="83"/>
        <v>0</v>
      </c>
      <c r="CM833" s="222">
        <f t="shared" si="84"/>
        <v>12972</v>
      </c>
      <c r="CN833" s="3" t="str">
        <f t="shared" si="85"/>
        <v>ماليزى اسنان</v>
      </c>
    </row>
    <row r="834" spans="3:92" x14ac:dyDescent="0.25">
      <c r="C834" s="223" t="s">
        <v>367</v>
      </c>
      <c r="D834" s="224">
        <v>21113</v>
      </c>
      <c r="E834" s="224">
        <v>12973</v>
      </c>
      <c r="F834" s="250" t="s">
        <v>121</v>
      </c>
      <c r="G834" s="223" t="s">
        <v>5440</v>
      </c>
      <c r="I834" s="223">
        <v>2345</v>
      </c>
      <c r="AV834" s="22">
        <f t="shared" si="86"/>
        <v>2345</v>
      </c>
      <c r="AW834" s="223">
        <v>1567</v>
      </c>
      <c r="AX834" s="223">
        <v>213</v>
      </c>
      <c r="AY834" s="223">
        <v>565</v>
      </c>
      <c r="CK834" s="22">
        <f t="shared" si="82"/>
        <v>2345</v>
      </c>
      <c r="CL834" s="3">
        <f t="shared" si="83"/>
        <v>0</v>
      </c>
      <c r="CM834" s="222">
        <f t="shared" si="84"/>
        <v>12973</v>
      </c>
      <c r="CN834" s="3" t="str">
        <f t="shared" si="85"/>
        <v>ماليزى اسنان</v>
      </c>
    </row>
    <row r="835" spans="3:92" x14ac:dyDescent="0.25">
      <c r="C835" s="223" t="s">
        <v>367</v>
      </c>
      <c r="D835" s="224">
        <v>21116</v>
      </c>
      <c r="E835" s="224">
        <v>12974</v>
      </c>
      <c r="F835" s="250" t="s">
        <v>121</v>
      </c>
      <c r="G835" s="223" t="s">
        <v>5441</v>
      </c>
      <c r="I835" s="223">
        <v>97054.35</v>
      </c>
      <c r="AV835" s="22">
        <f t="shared" si="86"/>
        <v>97054.35</v>
      </c>
      <c r="AW835" s="223">
        <v>77859.45</v>
      </c>
      <c r="AX835" s="223">
        <v>9771.1</v>
      </c>
      <c r="AY835" s="223">
        <v>9423.7999999999993</v>
      </c>
      <c r="CK835" s="22">
        <f t="shared" si="82"/>
        <v>97054.35</v>
      </c>
      <c r="CL835" s="3">
        <f t="shared" si="83"/>
        <v>0</v>
      </c>
      <c r="CM835" s="222">
        <f t="shared" si="84"/>
        <v>12974</v>
      </c>
      <c r="CN835" s="3" t="str">
        <f t="shared" si="85"/>
        <v>ماليزى اسنان</v>
      </c>
    </row>
    <row r="836" spans="3:92" x14ac:dyDescent="0.25">
      <c r="C836" s="223" t="s">
        <v>367</v>
      </c>
      <c r="D836" s="224">
        <v>21117</v>
      </c>
      <c r="E836" s="224">
        <v>12975</v>
      </c>
      <c r="F836" s="250" t="s">
        <v>121</v>
      </c>
      <c r="G836" s="223" t="s">
        <v>5441</v>
      </c>
      <c r="I836" s="223">
        <v>89406.8</v>
      </c>
      <c r="AV836" s="22">
        <f t="shared" si="86"/>
        <v>89406.8</v>
      </c>
      <c r="AW836" s="223">
        <v>71562.820000000007</v>
      </c>
      <c r="AX836" s="223">
        <v>8989.35</v>
      </c>
      <c r="AY836" s="223">
        <v>8854.6299999999992</v>
      </c>
      <c r="CK836" s="22">
        <f t="shared" si="82"/>
        <v>89406.800000000017</v>
      </c>
      <c r="CL836" s="3">
        <f t="shared" si="83"/>
        <v>0</v>
      </c>
      <c r="CM836" s="222">
        <f t="shared" si="84"/>
        <v>12975</v>
      </c>
      <c r="CN836" s="3" t="str">
        <f t="shared" si="85"/>
        <v>ماليزى اسنان</v>
      </c>
    </row>
    <row r="837" spans="3:92" x14ac:dyDescent="0.25">
      <c r="C837" s="223" t="s">
        <v>367</v>
      </c>
      <c r="D837" s="224">
        <v>21118</v>
      </c>
      <c r="E837" s="224">
        <v>12976</v>
      </c>
      <c r="F837" s="250" t="s">
        <v>121</v>
      </c>
      <c r="G837" s="223" t="s">
        <v>5441</v>
      </c>
      <c r="I837" s="223">
        <v>2345</v>
      </c>
      <c r="AV837" s="22">
        <f t="shared" si="86"/>
        <v>2345</v>
      </c>
      <c r="AW837" s="223">
        <v>1567</v>
      </c>
      <c r="AX837" s="223">
        <v>213</v>
      </c>
      <c r="AY837" s="223">
        <v>565</v>
      </c>
      <c r="CK837" s="22">
        <f t="shared" si="82"/>
        <v>2345</v>
      </c>
      <c r="CL837" s="3">
        <f t="shared" si="83"/>
        <v>0</v>
      </c>
      <c r="CM837" s="222">
        <f t="shared" si="84"/>
        <v>12976</v>
      </c>
      <c r="CN837" s="3" t="str">
        <f t="shared" si="85"/>
        <v>ماليزى اسنان</v>
      </c>
    </row>
    <row r="838" spans="3:92" x14ac:dyDescent="0.25">
      <c r="C838" s="223" t="s">
        <v>367</v>
      </c>
      <c r="D838" s="224">
        <v>21119</v>
      </c>
      <c r="E838" s="224">
        <v>12977</v>
      </c>
      <c r="F838" s="250" t="s">
        <v>121</v>
      </c>
      <c r="G838" s="223" t="s">
        <v>5442</v>
      </c>
      <c r="I838" s="223">
        <v>139603.65</v>
      </c>
      <c r="AV838" s="22">
        <f t="shared" si="86"/>
        <v>139603.65</v>
      </c>
      <c r="AW838" s="223">
        <v>103563.08</v>
      </c>
      <c r="AX838" s="223">
        <v>13434.6</v>
      </c>
      <c r="AY838" s="223">
        <v>22605.97</v>
      </c>
      <c r="CK838" s="22">
        <f t="shared" si="82"/>
        <v>139603.65000000002</v>
      </c>
      <c r="CL838" s="3">
        <f t="shared" si="83"/>
        <v>0</v>
      </c>
      <c r="CM838" s="222">
        <f t="shared" si="84"/>
        <v>12977</v>
      </c>
      <c r="CN838" s="3" t="str">
        <f t="shared" si="85"/>
        <v>ماليزى اسنان</v>
      </c>
    </row>
    <row r="839" spans="3:92" x14ac:dyDescent="0.25">
      <c r="C839" s="223" t="s">
        <v>367</v>
      </c>
      <c r="D839" s="224">
        <v>21120</v>
      </c>
      <c r="E839" s="224">
        <v>12978</v>
      </c>
      <c r="F839" s="250" t="s">
        <v>121</v>
      </c>
      <c r="G839" s="223" t="str">
        <f>+G837</f>
        <v>مكافاه عيد اضحى اداريين</v>
      </c>
      <c r="I839" s="223">
        <v>2000</v>
      </c>
      <c r="AV839" s="22">
        <f t="shared" si="86"/>
        <v>2000</v>
      </c>
      <c r="AW839" s="223">
        <v>1785.35</v>
      </c>
      <c r="AX839" s="223">
        <v>214.65</v>
      </c>
      <c r="CK839" s="22">
        <f t="shared" si="82"/>
        <v>2000</v>
      </c>
      <c r="CL839" s="3">
        <f t="shared" si="83"/>
        <v>0</v>
      </c>
      <c r="CM839" s="222">
        <f t="shared" si="84"/>
        <v>12978</v>
      </c>
      <c r="CN839" s="3" t="str">
        <f t="shared" si="85"/>
        <v>ماليزى اسنان</v>
      </c>
    </row>
    <row r="840" spans="3:92" x14ac:dyDescent="0.25">
      <c r="C840" s="223" t="s">
        <v>367</v>
      </c>
      <c r="D840" s="224">
        <v>21121</v>
      </c>
      <c r="E840" s="224">
        <v>12979</v>
      </c>
      <c r="F840" s="250" t="s">
        <v>121</v>
      </c>
      <c r="G840" s="223" t="str">
        <f>+G814</f>
        <v>مكافاه عيد اضحى خدمات معاونه</v>
      </c>
      <c r="I840" s="223">
        <v>119210.28</v>
      </c>
      <c r="AV840" s="22">
        <f t="shared" si="86"/>
        <v>119210.28</v>
      </c>
      <c r="AW840" s="223">
        <v>97399.65</v>
      </c>
      <c r="AX840" s="223">
        <v>12131.5</v>
      </c>
      <c r="AY840" s="223">
        <v>9679.1299999999992</v>
      </c>
      <c r="CK840" s="22">
        <f t="shared" si="82"/>
        <v>119210.28</v>
      </c>
      <c r="CL840" s="3">
        <f t="shared" si="83"/>
        <v>0</v>
      </c>
      <c r="CM840" s="222">
        <f t="shared" si="84"/>
        <v>12979</v>
      </c>
      <c r="CN840" s="3" t="str">
        <f t="shared" si="85"/>
        <v>ماليزى اسنان</v>
      </c>
    </row>
    <row r="841" spans="3:92" x14ac:dyDescent="0.25">
      <c r="C841" s="223" t="s">
        <v>367</v>
      </c>
      <c r="D841" s="224">
        <v>21122</v>
      </c>
      <c r="E841" s="224">
        <v>12980</v>
      </c>
      <c r="F841" s="250" t="s">
        <v>121</v>
      </c>
      <c r="G841" s="223" t="str">
        <f>+G834</f>
        <v>مكافاه عيد اضحى حكيمات</v>
      </c>
      <c r="I841" s="223">
        <v>125547.94</v>
      </c>
      <c r="AV841" s="22">
        <f t="shared" si="86"/>
        <v>125547.94</v>
      </c>
      <c r="AW841" s="223">
        <v>107576.78</v>
      </c>
      <c r="AX841" s="223">
        <v>13143.35</v>
      </c>
      <c r="AY841" s="223">
        <v>4827.8100000000004</v>
      </c>
      <c r="CK841" s="22">
        <f t="shared" si="82"/>
        <v>125547.94</v>
      </c>
      <c r="CL841" s="3">
        <f t="shared" si="83"/>
        <v>0</v>
      </c>
      <c r="CM841" s="222">
        <f t="shared" si="84"/>
        <v>12980</v>
      </c>
      <c r="CN841" s="3" t="str">
        <f t="shared" si="85"/>
        <v>ماليزى اسنان</v>
      </c>
    </row>
    <row r="842" spans="3:92" x14ac:dyDescent="0.25">
      <c r="C842" s="223" t="s">
        <v>367</v>
      </c>
      <c r="D842" s="224">
        <v>21123</v>
      </c>
      <c r="E842" s="224">
        <v>12981</v>
      </c>
      <c r="F842" s="250" t="s">
        <v>121</v>
      </c>
      <c r="G842" s="223" t="str">
        <f>+G841</f>
        <v>مكافاه عيد اضحى حكيمات</v>
      </c>
      <c r="I842" s="223">
        <v>1733.33</v>
      </c>
      <c r="AV842" s="22">
        <f t="shared" si="86"/>
        <v>1733.33</v>
      </c>
      <c r="AW842" s="223">
        <v>1547.35</v>
      </c>
      <c r="AX842" s="223">
        <v>185.98</v>
      </c>
      <c r="CK842" s="22">
        <f t="shared" si="82"/>
        <v>1733.33</v>
      </c>
      <c r="CL842" s="3">
        <f t="shared" si="83"/>
        <v>0</v>
      </c>
      <c r="CM842" s="222">
        <f t="shared" si="84"/>
        <v>12981</v>
      </c>
      <c r="CN842" s="3" t="str">
        <f t="shared" si="85"/>
        <v>ماليزى اسنان</v>
      </c>
    </row>
    <row r="843" spans="3:92" x14ac:dyDescent="0.25">
      <c r="C843" s="223" t="s">
        <v>367</v>
      </c>
      <c r="D843" s="224">
        <v>21124</v>
      </c>
      <c r="E843" s="224">
        <v>12982</v>
      </c>
      <c r="F843" s="250" t="s">
        <v>121</v>
      </c>
      <c r="G843" s="223" t="str">
        <f>+G842</f>
        <v>مكافاه عيد اضحى حكيمات</v>
      </c>
      <c r="I843" s="223">
        <v>148870.16</v>
      </c>
      <c r="AV843" s="22">
        <f t="shared" si="86"/>
        <v>148870.16</v>
      </c>
      <c r="AW843" s="223">
        <v>115241.75</v>
      </c>
      <c r="AX843" s="223">
        <v>14680.15</v>
      </c>
      <c r="AY843" s="231">
        <v>18948.259999999998</v>
      </c>
      <c r="CK843" s="22">
        <f t="shared" si="82"/>
        <v>148870.16</v>
      </c>
      <c r="CL843" s="3">
        <f t="shared" si="83"/>
        <v>0</v>
      </c>
      <c r="CM843" s="222">
        <f t="shared" si="84"/>
        <v>12982</v>
      </c>
      <c r="CN843" s="3" t="str">
        <f t="shared" si="85"/>
        <v>ماليزى اسنان</v>
      </c>
    </row>
    <row r="844" spans="3:92" x14ac:dyDescent="0.25">
      <c r="D844" s="224">
        <v>20912</v>
      </c>
      <c r="E844" s="224">
        <v>12983</v>
      </c>
      <c r="F844" s="250" t="s">
        <v>5144</v>
      </c>
      <c r="G844" s="223" t="s">
        <v>5443</v>
      </c>
      <c r="I844" s="223">
        <v>6690</v>
      </c>
      <c r="AV844" s="22">
        <f t="shared" si="86"/>
        <v>6690</v>
      </c>
      <c r="AW844" s="223">
        <v>4919.3500000000004</v>
      </c>
      <c r="AX844" s="223">
        <v>640.65</v>
      </c>
      <c r="AY844" s="223">
        <v>1130</v>
      </c>
      <c r="CK844" s="22">
        <f t="shared" si="82"/>
        <v>6690</v>
      </c>
      <c r="CL844" s="3">
        <f t="shared" si="83"/>
        <v>0</v>
      </c>
      <c r="CM844" s="222">
        <f t="shared" si="84"/>
        <v>12983</v>
      </c>
      <c r="CN844" s="3" t="str">
        <f t="shared" si="85"/>
        <v>صيدلة اكلينكى</v>
      </c>
    </row>
    <row r="845" spans="3:92" x14ac:dyDescent="0.25">
      <c r="D845" s="224">
        <v>20911</v>
      </c>
      <c r="E845" s="224">
        <v>12984</v>
      </c>
      <c r="F845" s="250" t="s">
        <v>5144</v>
      </c>
      <c r="G845" s="223" t="s">
        <v>5443</v>
      </c>
      <c r="I845" s="223">
        <v>9380</v>
      </c>
      <c r="AV845" s="22">
        <f t="shared" si="86"/>
        <v>9380</v>
      </c>
      <c r="AW845" s="223">
        <v>6268</v>
      </c>
      <c r="AX845" s="223">
        <v>852</v>
      </c>
      <c r="AY845" s="223">
        <v>2260</v>
      </c>
      <c r="CK845" s="22">
        <f t="shared" si="82"/>
        <v>9380</v>
      </c>
      <c r="CL845" s="3">
        <f t="shared" si="83"/>
        <v>0</v>
      </c>
      <c r="CM845" s="222">
        <f t="shared" si="84"/>
        <v>12984</v>
      </c>
      <c r="CN845" s="3" t="str">
        <f t="shared" si="85"/>
        <v>صيدلة اكلينكى</v>
      </c>
    </row>
    <row r="846" spans="3:92" x14ac:dyDescent="0.25">
      <c r="D846" s="224">
        <v>20913</v>
      </c>
      <c r="E846" s="224">
        <v>12985</v>
      </c>
      <c r="F846" s="250" t="s">
        <v>5144</v>
      </c>
      <c r="G846" s="223" t="s">
        <v>5444</v>
      </c>
      <c r="I846" s="223">
        <v>69903.399999999994</v>
      </c>
      <c r="AV846" s="22">
        <f t="shared" si="86"/>
        <v>69903.399999999994</v>
      </c>
      <c r="AW846" s="223">
        <v>48208.24</v>
      </c>
      <c r="AX846" s="223">
        <v>6459.15</v>
      </c>
      <c r="AY846" s="223">
        <v>15236.01</v>
      </c>
      <c r="CK846" s="22">
        <f t="shared" si="82"/>
        <v>69903.399999999994</v>
      </c>
      <c r="CL846" s="3">
        <f t="shared" si="83"/>
        <v>0</v>
      </c>
      <c r="CM846" s="222">
        <f t="shared" si="84"/>
        <v>12985</v>
      </c>
      <c r="CN846" s="3" t="str">
        <f t="shared" si="85"/>
        <v>صيدلة اكلينكى</v>
      </c>
    </row>
    <row r="847" spans="3:92" x14ac:dyDescent="0.25">
      <c r="D847" s="224">
        <v>21220</v>
      </c>
      <c r="E847" s="224">
        <v>12986</v>
      </c>
      <c r="F847" s="250" t="s">
        <v>5144</v>
      </c>
      <c r="G847" s="223" t="str">
        <f>+G828</f>
        <v>مكافاه عيد اضحى ا ه ت</v>
      </c>
      <c r="I847" s="223">
        <v>74250</v>
      </c>
      <c r="AV847" s="22">
        <f t="shared" si="86"/>
        <v>74250</v>
      </c>
      <c r="AW847" s="223">
        <v>66280.5</v>
      </c>
      <c r="AX847" s="223">
        <v>7969.5</v>
      </c>
      <c r="CK847" s="22">
        <f t="shared" si="82"/>
        <v>74250</v>
      </c>
      <c r="CL847" s="3">
        <f t="shared" si="83"/>
        <v>0</v>
      </c>
      <c r="CM847" s="222">
        <f t="shared" si="84"/>
        <v>12986</v>
      </c>
      <c r="CN847" s="3" t="str">
        <f t="shared" si="85"/>
        <v>صيدلة اكلينكى</v>
      </c>
    </row>
    <row r="848" spans="3:92" x14ac:dyDescent="0.25">
      <c r="D848" s="224">
        <v>20901</v>
      </c>
      <c r="E848" s="224">
        <v>12987</v>
      </c>
      <c r="F848" s="250" t="s">
        <v>5144</v>
      </c>
      <c r="G848" s="223" t="str">
        <f t="shared" ref="G848:G857" si="87">+G847</f>
        <v>مكافاه عيد اضحى ا ه ت</v>
      </c>
      <c r="I848" s="223">
        <v>9014.39</v>
      </c>
      <c r="AV848" s="22">
        <f t="shared" si="86"/>
        <v>9014.39</v>
      </c>
      <c r="AW848" s="223">
        <v>8024.88</v>
      </c>
      <c r="AX848" s="223">
        <v>965.95</v>
      </c>
      <c r="AY848" s="223">
        <v>23.56</v>
      </c>
      <c r="CK848" s="22">
        <f t="shared" si="82"/>
        <v>9014.39</v>
      </c>
      <c r="CL848" s="3">
        <f t="shared" si="83"/>
        <v>0</v>
      </c>
      <c r="CM848" s="222">
        <f t="shared" si="84"/>
        <v>12987</v>
      </c>
      <c r="CN848" s="3" t="str">
        <f t="shared" si="85"/>
        <v>صيدلة اكلينكى</v>
      </c>
    </row>
    <row r="849" spans="3:92" x14ac:dyDescent="0.25">
      <c r="D849" s="224">
        <v>20897</v>
      </c>
      <c r="E849" s="224">
        <v>12988</v>
      </c>
      <c r="F849" s="250" t="s">
        <v>5144</v>
      </c>
      <c r="G849" s="223" t="str">
        <f t="shared" si="87"/>
        <v>مكافاه عيد اضحى ا ه ت</v>
      </c>
      <c r="I849" s="223">
        <v>4500</v>
      </c>
      <c r="AV849" s="22">
        <f t="shared" si="86"/>
        <v>4500</v>
      </c>
      <c r="AW849" s="223">
        <v>4017</v>
      </c>
      <c r="AX849" s="223">
        <v>483</v>
      </c>
      <c r="CK849" s="22">
        <f t="shared" si="82"/>
        <v>4500</v>
      </c>
      <c r="CL849" s="3">
        <f t="shared" si="83"/>
        <v>0</v>
      </c>
      <c r="CM849" s="222">
        <f t="shared" si="84"/>
        <v>12988</v>
      </c>
      <c r="CN849" s="3" t="str">
        <f t="shared" si="85"/>
        <v>صيدلة اكلينكى</v>
      </c>
    </row>
    <row r="850" spans="3:92" x14ac:dyDescent="0.25">
      <c r="D850" s="224">
        <v>20898</v>
      </c>
      <c r="E850" s="224">
        <v>12989</v>
      </c>
      <c r="F850" s="250" t="s">
        <v>5144</v>
      </c>
      <c r="G850" s="223" t="str">
        <f t="shared" si="87"/>
        <v>مكافاه عيد اضحى ا ه ت</v>
      </c>
      <c r="I850" s="223">
        <v>2638.12</v>
      </c>
      <c r="AV850" s="22">
        <f t="shared" si="86"/>
        <v>2638.12</v>
      </c>
      <c r="AW850" s="223">
        <v>1762.85</v>
      </c>
      <c r="AX850" s="223">
        <v>239.65</v>
      </c>
      <c r="AY850" s="223">
        <v>635.62</v>
      </c>
      <c r="CK850" s="22">
        <f t="shared" ref="CK850:CK913" si="88">SUM(AW850:CJ850)</f>
        <v>2638.12</v>
      </c>
      <c r="CL850" s="3">
        <f t="shared" ref="CL850:CL913" si="89">+CK850-AV850</f>
        <v>0</v>
      </c>
      <c r="CM850" s="222">
        <f t="shared" ref="CM850:CM913" si="90">+E850</f>
        <v>12989</v>
      </c>
      <c r="CN850" s="3" t="str">
        <f t="shared" ref="CN850:CN913" si="91">+F850</f>
        <v>صيدلة اكلينكى</v>
      </c>
    </row>
    <row r="851" spans="3:92" x14ac:dyDescent="0.25">
      <c r="D851" s="224">
        <v>20900</v>
      </c>
      <c r="E851" s="224">
        <v>12990</v>
      </c>
      <c r="F851" s="250" t="s">
        <v>5144</v>
      </c>
      <c r="G851" s="223" t="str">
        <f t="shared" si="87"/>
        <v>مكافاه عيد اضحى ا ه ت</v>
      </c>
      <c r="I851" s="223">
        <v>2250</v>
      </c>
      <c r="AV851" s="22">
        <f t="shared" si="86"/>
        <v>2250</v>
      </c>
      <c r="AW851" s="223">
        <v>2008.5</v>
      </c>
      <c r="AX851" s="223">
        <v>241.5</v>
      </c>
      <c r="CK851" s="22">
        <f t="shared" si="88"/>
        <v>2250</v>
      </c>
      <c r="CL851" s="3">
        <f t="shared" si="89"/>
        <v>0</v>
      </c>
      <c r="CM851" s="222">
        <f t="shared" si="90"/>
        <v>12990</v>
      </c>
      <c r="CN851" s="3" t="str">
        <f t="shared" si="91"/>
        <v>صيدلة اكلينكى</v>
      </c>
    </row>
    <row r="852" spans="3:92" x14ac:dyDescent="0.25">
      <c r="D852" s="224">
        <v>20931</v>
      </c>
      <c r="E852" s="224">
        <v>12991</v>
      </c>
      <c r="F852" s="250" t="s">
        <v>5144</v>
      </c>
      <c r="G852" s="223" t="str">
        <f t="shared" si="87"/>
        <v>مكافاه عيد اضحى ا ه ت</v>
      </c>
      <c r="I852" s="223">
        <v>2250</v>
      </c>
      <c r="AV852" s="22">
        <f t="shared" si="86"/>
        <v>2250</v>
      </c>
      <c r="AW852" s="223">
        <v>2008.5</v>
      </c>
      <c r="AX852" s="223">
        <v>241.5</v>
      </c>
      <c r="CK852" s="22">
        <f t="shared" si="88"/>
        <v>2250</v>
      </c>
      <c r="CL852" s="3">
        <f t="shared" si="89"/>
        <v>0</v>
      </c>
      <c r="CM852" s="222">
        <f t="shared" si="90"/>
        <v>12991</v>
      </c>
      <c r="CN852" s="3" t="str">
        <f t="shared" si="91"/>
        <v>صيدلة اكلينكى</v>
      </c>
    </row>
    <row r="853" spans="3:92" x14ac:dyDescent="0.25">
      <c r="D853" s="224">
        <v>20899</v>
      </c>
      <c r="E853" s="224">
        <v>12992</v>
      </c>
      <c r="F853" s="250" t="s">
        <v>5144</v>
      </c>
      <c r="G853" s="223" t="str">
        <f t="shared" si="87"/>
        <v>مكافاه عيد اضحى ا ه ت</v>
      </c>
      <c r="I853" s="223">
        <v>88448.31</v>
      </c>
      <c r="AV853" s="22">
        <f t="shared" si="86"/>
        <v>88448.31</v>
      </c>
      <c r="AW853" s="223">
        <v>77889.5</v>
      </c>
      <c r="AX853" s="223">
        <v>9415.2000000000007</v>
      </c>
      <c r="AY853" s="223">
        <v>1143.6099999999999</v>
      </c>
      <c r="CK853" s="22">
        <f t="shared" si="88"/>
        <v>88448.31</v>
      </c>
      <c r="CL853" s="3">
        <f t="shared" si="89"/>
        <v>0</v>
      </c>
      <c r="CM853" s="222">
        <f t="shared" si="90"/>
        <v>12992</v>
      </c>
      <c r="CN853" s="3" t="str">
        <f t="shared" si="91"/>
        <v>صيدلة اكلينكى</v>
      </c>
    </row>
    <row r="854" spans="3:92" x14ac:dyDescent="0.25">
      <c r="D854" s="224">
        <v>20902</v>
      </c>
      <c r="E854" s="224">
        <v>12993</v>
      </c>
      <c r="F854" s="250" t="s">
        <v>5144</v>
      </c>
      <c r="G854" s="223" t="str">
        <f t="shared" si="87"/>
        <v>مكافاه عيد اضحى ا ه ت</v>
      </c>
      <c r="I854" s="223">
        <v>136219.23000000001</v>
      </c>
      <c r="AV854" s="22">
        <f t="shared" si="86"/>
        <v>136219.23000000001</v>
      </c>
      <c r="AW854" s="223">
        <v>116305.52</v>
      </c>
      <c r="AX854" s="223">
        <v>14232.2</v>
      </c>
      <c r="AY854" s="223">
        <v>5681.51</v>
      </c>
      <c r="CK854" s="22">
        <f t="shared" si="88"/>
        <v>136219.23000000001</v>
      </c>
      <c r="CL854" s="3">
        <f t="shared" si="89"/>
        <v>0</v>
      </c>
      <c r="CM854" s="222">
        <f t="shared" si="90"/>
        <v>12993</v>
      </c>
      <c r="CN854" s="3" t="str">
        <f t="shared" si="91"/>
        <v>صيدلة اكلينكى</v>
      </c>
    </row>
    <row r="855" spans="3:92" x14ac:dyDescent="0.25">
      <c r="D855" s="224">
        <v>20903</v>
      </c>
      <c r="E855" s="224">
        <v>12994</v>
      </c>
      <c r="F855" s="250" t="s">
        <v>5144</v>
      </c>
      <c r="G855" s="223" t="str">
        <f t="shared" si="87"/>
        <v>مكافاه عيد اضحى ا ه ت</v>
      </c>
      <c r="I855" s="223">
        <v>37687.660000000003</v>
      </c>
      <c r="AV855" s="22">
        <f t="shared" si="86"/>
        <v>37687.660000000003</v>
      </c>
      <c r="AW855" s="223">
        <v>31067.66</v>
      </c>
      <c r="AX855" s="223">
        <v>3856.1</v>
      </c>
      <c r="AY855" s="223">
        <v>2763.9</v>
      </c>
      <c r="CK855" s="22">
        <f t="shared" si="88"/>
        <v>37687.660000000003</v>
      </c>
      <c r="CL855" s="3">
        <f t="shared" si="89"/>
        <v>0</v>
      </c>
      <c r="CM855" s="222">
        <f t="shared" si="90"/>
        <v>12994</v>
      </c>
      <c r="CN855" s="3" t="str">
        <f t="shared" si="91"/>
        <v>صيدلة اكلينكى</v>
      </c>
    </row>
    <row r="856" spans="3:92" x14ac:dyDescent="0.25">
      <c r="D856" s="224">
        <v>21916</v>
      </c>
      <c r="E856" s="224">
        <v>12995</v>
      </c>
      <c r="F856" s="250" t="s">
        <v>5144</v>
      </c>
      <c r="G856" s="223" t="str">
        <f t="shared" si="87"/>
        <v>مكافاه عيد اضحى ا ه ت</v>
      </c>
      <c r="I856" s="223">
        <v>9776.24</v>
      </c>
      <c r="AV856" s="22">
        <f t="shared" si="86"/>
        <v>9776.24</v>
      </c>
      <c r="AW856" s="223">
        <v>6163.7</v>
      </c>
      <c r="AX856" s="223">
        <v>962.3</v>
      </c>
      <c r="AY856" s="223">
        <v>1271.24</v>
      </c>
      <c r="BA856" s="223">
        <v>1379</v>
      </c>
      <c r="CK856" s="22">
        <f t="shared" si="88"/>
        <v>9776.24</v>
      </c>
      <c r="CL856" s="3">
        <f t="shared" si="89"/>
        <v>0</v>
      </c>
      <c r="CM856" s="222">
        <f t="shared" si="90"/>
        <v>12995</v>
      </c>
      <c r="CN856" s="3" t="str">
        <f t="shared" si="91"/>
        <v>صيدلة اكلينكى</v>
      </c>
    </row>
    <row r="857" spans="3:92" x14ac:dyDescent="0.25">
      <c r="D857" s="224">
        <v>21917</v>
      </c>
      <c r="E857" s="224">
        <v>12996</v>
      </c>
      <c r="F857" s="250" t="s">
        <v>5144</v>
      </c>
      <c r="G857" s="223" t="str">
        <f t="shared" si="87"/>
        <v>مكافاه عيد اضحى ا ه ت</v>
      </c>
      <c r="I857" s="223">
        <v>4888.12</v>
      </c>
      <c r="AV857" s="22">
        <f t="shared" si="86"/>
        <v>4888.12</v>
      </c>
      <c r="AW857" s="223">
        <v>2392.35</v>
      </c>
      <c r="AX857" s="223">
        <v>481.15</v>
      </c>
      <c r="AY857" s="223">
        <v>635.62</v>
      </c>
      <c r="BA857" s="223">
        <v>1379</v>
      </c>
      <c r="CK857" s="22">
        <f t="shared" si="88"/>
        <v>4888.12</v>
      </c>
      <c r="CL857" s="3">
        <f t="shared" si="89"/>
        <v>0</v>
      </c>
      <c r="CM857" s="222">
        <f t="shared" si="90"/>
        <v>12996</v>
      </c>
      <c r="CN857" s="3" t="str">
        <f t="shared" si="91"/>
        <v>صيدلة اكلينكى</v>
      </c>
    </row>
    <row r="858" spans="3:92" x14ac:dyDescent="0.25">
      <c r="C858" s="223" t="s">
        <v>574</v>
      </c>
      <c r="D858" s="224">
        <v>20905</v>
      </c>
      <c r="E858" s="224">
        <v>12997</v>
      </c>
      <c r="F858" s="250" t="s">
        <v>5144</v>
      </c>
      <c r="G858" s="223" t="str">
        <f>+G821</f>
        <v>مكافاه عيد اضحى ا متفرغ</v>
      </c>
      <c r="I858" s="223">
        <v>27000</v>
      </c>
      <c r="AV858" s="22">
        <f t="shared" si="86"/>
        <v>27000</v>
      </c>
      <c r="AW858" s="223">
        <v>24102</v>
      </c>
      <c r="AX858" s="223">
        <v>2898</v>
      </c>
      <c r="CK858" s="22">
        <f t="shared" si="88"/>
        <v>27000</v>
      </c>
      <c r="CL858" s="3">
        <f t="shared" si="89"/>
        <v>0</v>
      </c>
      <c r="CM858" s="222">
        <f t="shared" si="90"/>
        <v>12997</v>
      </c>
      <c r="CN858" s="3" t="str">
        <f t="shared" si="91"/>
        <v>صيدلة اكلينكى</v>
      </c>
    </row>
    <row r="859" spans="3:92" x14ac:dyDescent="0.25">
      <c r="C859" s="223" t="s">
        <v>574</v>
      </c>
      <c r="D859" s="224">
        <v>20936</v>
      </c>
      <c r="E859" s="224">
        <v>12998</v>
      </c>
      <c r="F859" s="250" t="s">
        <v>5144</v>
      </c>
      <c r="G859" s="223" t="str">
        <f>+G858</f>
        <v>مكافاه عيد اضحى ا متفرغ</v>
      </c>
      <c r="I859" s="223">
        <v>22500</v>
      </c>
      <c r="AV859" s="22">
        <f t="shared" si="86"/>
        <v>22500</v>
      </c>
      <c r="AW859" s="223">
        <v>20085</v>
      </c>
      <c r="AX859" s="223">
        <v>2415</v>
      </c>
      <c r="CK859" s="22">
        <f t="shared" si="88"/>
        <v>22500</v>
      </c>
      <c r="CL859" s="3">
        <f t="shared" si="89"/>
        <v>0</v>
      </c>
      <c r="CM859" s="222">
        <f t="shared" si="90"/>
        <v>12998</v>
      </c>
      <c r="CN859" s="3" t="str">
        <f t="shared" si="91"/>
        <v>صيدلة اكلينكى</v>
      </c>
    </row>
    <row r="860" spans="3:92" x14ac:dyDescent="0.25">
      <c r="C860" s="223" t="s">
        <v>574</v>
      </c>
      <c r="D860" s="224">
        <v>20904</v>
      </c>
      <c r="E860" s="224">
        <v>12999</v>
      </c>
      <c r="F860" s="250" t="s">
        <v>5144</v>
      </c>
      <c r="G860" s="223" t="str">
        <f>+G859</f>
        <v>مكافاه عيد اضحى ا متفرغ</v>
      </c>
      <c r="I860" s="223">
        <v>110250</v>
      </c>
      <c r="AV860" s="22">
        <f t="shared" si="86"/>
        <v>110250</v>
      </c>
      <c r="AW860" s="223">
        <v>98416.5</v>
      </c>
      <c r="AX860" s="223">
        <v>11833.5</v>
      </c>
      <c r="CK860" s="22">
        <f t="shared" si="88"/>
        <v>110250</v>
      </c>
      <c r="CL860" s="3">
        <f t="shared" si="89"/>
        <v>0</v>
      </c>
      <c r="CM860" s="222">
        <f t="shared" si="90"/>
        <v>12999</v>
      </c>
      <c r="CN860" s="3" t="str">
        <f t="shared" si="91"/>
        <v>صيدلة اكلينكى</v>
      </c>
    </row>
    <row r="861" spans="3:92" x14ac:dyDescent="0.25">
      <c r="C861" s="223" t="s">
        <v>574</v>
      </c>
      <c r="D861" s="224">
        <v>12914</v>
      </c>
      <c r="E861" s="224">
        <v>13000</v>
      </c>
      <c r="F861" s="250" t="s">
        <v>5144</v>
      </c>
      <c r="G861" s="223" t="str">
        <f>+G860</f>
        <v>مكافاه عيد اضحى ا متفرغ</v>
      </c>
      <c r="I861" s="223">
        <v>2250</v>
      </c>
      <c r="AV861" s="22">
        <f t="shared" si="86"/>
        <v>2250</v>
      </c>
      <c r="AW861" s="223">
        <v>2008.5</v>
      </c>
      <c r="AX861" s="223">
        <v>241.5</v>
      </c>
      <c r="CK861" s="22">
        <f t="shared" si="88"/>
        <v>2250</v>
      </c>
      <c r="CL861" s="3">
        <f t="shared" si="89"/>
        <v>0</v>
      </c>
      <c r="CM861" s="222">
        <f t="shared" si="90"/>
        <v>13000</v>
      </c>
      <c r="CN861" s="3" t="str">
        <f t="shared" si="91"/>
        <v>صيدلة اكلينكى</v>
      </c>
    </row>
    <row r="862" spans="3:92" x14ac:dyDescent="0.25">
      <c r="D862" s="224">
        <v>20938</v>
      </c>
      <c r="E862" s="224">
        <v>13001</v>
      </c>
      <c r="F862" s="250" t="s">
        <v>5144</v>
      </c>
      <c r="G862" s="223" t="s">
        <v>5445</v>
      </c>
      <c r="I862" s="223">
        <v>50500.69</v>
      </c>
      <c r="AV862" s="22">
        <f t="shared" si="86"/>
        <v>50500.69</v>
      </c>
      <c r="AW862" s="223">
        <v>37889.440000000002</v>
      </c>
      <c r="AX862" s="223">
        <f>4580+333.06</f>
        <v>4913.0600000000004</v>
      </c>
      <c r="AY862" s="223">
        <v>7698.19</v>
      </c>
      <c r="CK862" s="22">
        <f t="shared" si="88"/>
        <v>50500.69</v>
      </c>
      <c r="CL862" s="3">
        <f t="shared" si="89"/>
        <v>0</v>
      </c>
      <c r="CM862" s="222">
        <f t="shared" si="90"/>
        <v>13001</v>
      </c>
      <c r="CN862" s="3" t="str">
        <f t="shared" si="91"/>
        <v>صيدلة اكلينكى</v>
      </c>
    </row>
    <row r="863" spans="3:92" x14ac:dyDescent="0.25">
      <c r="D863" s="224">
        <v>20910</v>
      </c>
      <c r="E863" s="224">
        <v>13002</v>
      </c>
      <c r="F863" s="250" t="s">
        <v>5144</v>
      </c>
      <c r="G863" s="223" t="s">
        <v>5446</v>
      </c>
      <c r="I863" s="223">
        <v>16070</v>
      </c>
      <c r="AV863" s="22">
        <f t="shared" si="86"/>
        <v>16070</v>
      </c>
      <c r="AW863" s="223">
        <v>11187.35</v>
      </c>
      <c r="AX863" s="223">
        <v>1492.65</v>
      </c>
      <c r="AY863" s="223">
        <v>3390</v>
      </c>
      <c r="CK863" s="22">
        <f t="shared" si="88"/>
        <v>16070</v>
      </c>
      <c r="CL863" s="3">
        <f t="shared" si="89"/>
        <v>0</v>
      </c>
      <c r="CM863" s="222">
        <f t="shared" si="90"/>
        <v>13002</v>
      </c>
      <c r="CN863" s="3" t="str">
        <f t="shared" si="91"/>
        <v>صيدلة اكلينكى</v>
      </c>
    </row>
    <row r="864" spans="3:92" x14ac:dyDescent="0.25">
      <c r="C864" s="223" t="s">
        <v>571</v>
      </c>
      <c r="D864" s="224">
        <v>21915</v>
      </c>
      <c r="E864" s="224">
        <v>13003</v>
      </c>
      <c r="F864" s="250" t="s">
        <v>5144</v>
      </c>
      <c r="G864" s="223" t="s">
        <v>5447</v>
      </c>
      <c r="I864" s="223">
        <v>322.58</v>
      </c>
      <c r="AV864" s="22">
        <f t="shared" si="86"/>
        <v>322.58</v>
      </c>
      <c r="AW864" s="223">
        <v>288.52</v>
      </c>
      <c r="AX864" s="223">
        <v>34.06</v>
      </c>
      <c r="CK864" s="22">
        <f t="shared" si="88"/>
        <v>322.58</v>
      </c>
      <c r="CL864" s="3">
        <f t="shared" si="89"/>
        <v>0</v>
      </c>
      <c r="CM864" s="222">
        <f t="shared" si="90"/>
        <v>13003</v>
      </c>
      <c r="CN864" s="3" t="str">
        <f t="shared" si="91"/>
        <v>صيدلة اكلينكى</v>
      </c>
    </row>
    <row r="865" spans="3:92" x14ac:dyDescent="0.25">
      <c r="C865" s="223" t="s">
        <v>571</v>
      </c>
      <c r="D865" s="224">
        <v>20906</v>
      </c>
      <c r="E865" s="224">
        <v>13004</v>
      </c>
      <c r="F865" s="250" t="s">
        <v>5144</v>
      </c>
      <c r="G865" s="223" t="s">
        <v>5447</v>
      </c>
      <c r="I865" s="223">
        <v>81730</v>
      </c>
      <c r="AV865" s="22">
        <f t="shared" si="86"/>
        <v>81730</v>
      </c>
      <c r="AW865" s="223">
        <v>55063.35</v>
      </c>
      <c r="AX865" s="223">
        <v>7456.65</v>
      </c>
      <c r="AY865" s="223">
        <v>19210</v>
      </c>
      <c r="CK865" s="22">
        <f t="shared" si="88"/>
        <v>81730</v>
      </c>
      <c r="CL865" s="3">
        <f t="shared" si="89"/>
        <v>0</v>
      </c>
      <c r="CM865" s="222">
        <f t="shared" si="90"/>
        <v>13004</v>
      </c>
      <c r="CN865" s="3" t="str">
        <f t="shared" si="91"/>
        <v>صيدلة اكلينكى</v>
      </c>
    </row>
    <row r="866" spans="3:92" x14ac:dyDescent="0.25">
      <c r="C866" s="223" t="s">
        <v>571</v>
      </c>
      <c r="D866" s="224">
        <v>20907</v>
      </c>
      <c r="E866" s="224">
        <v>13005</v>
      </c>
      <c r="F866" s="250" t="s">
        <v>5144</v>
      </c>
      <c r="G866" s="223" t="s">
        <v>5447</v>
      </c>
      <c r="I866" s="223">
        <v>2345</v>
      </c>
      <c r="AV866" s="22">
        <f t="shared" si="86"/>
        <v>2345</v>
      </c>
      <c r="AW866" s="223">
        <v>1567</v>
      </c>
      <c r="AX866" s="223">
        <v>213</v>
      </c>
      <c r="AY866" s="223">
        <v>565</v>
      </c>
      <c r="CK866" s="22">
        <f t="shared" si="88"/>
        <v>2345</v>
      </c>
      <c r="CL866" s="3">
        <f t="shared" si="89"/>
        <v>0</v>
      </c>
      <c r="CM866" s="222">
        <f t="shared" si="90"/>
        <v>13005</v>
      </c>
      <c r="CN866" s="3" t="str">
        <f t="shared" si="91"/>
        <v>صيدلة اكلينكى</v>
      </c>
    </row>
    <row r="867" spans="3:92" x14ac:dyDescent="0.25">
      <c r="C867" s="223" t="s">
        <v>571</v>
      </c>
      <c r="D867" s="224">
        <v>20908</v>
      </c>
      <c r="E867" s="224">
        <v>13006</v>
      </c>
      <c r="F867" s="250" t="s">
        <v>5144</v>
      </c>
      <c r="G867" s="223" t="s">
        <v>5447</v>
      </c>
      <c r="I867" s="223">
        <v>149746.46</v>
      </c>
      <c r="AV867" s="22">
        <f t="shared" si="86"/>
        <v>149746.46</v>
      </c>
      <c r="AW867" s="223">
        <v>103550.26</v>
      </c>
      <c r="AX867" s="223">
        <v>13857.8</v>
      </c>
      <c r="AY867" s="223">
        <v>32338.400000000001</v>
      </c>
      <c r="CK867" s="22">
        <f t="shared" si="88"/>
        <v>149746.46</v>
      </c>
      <c r="CL867" s="3">
        <f t="shared" si="89"/>
        <v>0</v>
      </c>
      <c r="CM867" s="222">
        <f t="shared" si="90"/>
        <v>13006</v>
      </c>
      <c r="CN867" s="3" t="str">
        <f t="shared" si="91"/>
        <v>صيدلة اكلينكى</v>
      </c>
    </row>
    <row r="868" spans="3:92" x14ac:dyDescent="0.25">
      <c r="C868" s="223" t="s">
        <v>571</v>
      </c>
      <c r="D868" s="224">
        <v>20909</v>
      </c>
      <c r="E868" s="224">
        <v>13007</v>
      </c>
      <c r="F868" s="250" t="s">
        <v>5144</v>
      </c>
      <c r="G868" s="223" t="s">
        <v>5447</v>
      </c>
      <c r="I868" s="223">
        <v>100831.15</v>
      </c>
      <c r="AV868" s="22">
        <f t="shared" si="86"/>
        <v>100831.15</v>
      </c>
      <c r="AW868" s="223">
        <v>71350.17</v>
      </c>
      <c r="AX868" s="223">
        <v>9450.25</v>
      </c>
      <c r="AY868" s="231">
        <v>20030.73</v>
      </c>
      <c r="CK868" s="22">
        <f t="shared" si="88"/>
        <v>100831.15</v>
      </c>
      <c r="CL868" s="3">
        <f t="shared" si="89"/>
        <v>0</v>
      </c>
      <c r="CM868" s="222">
        <f t="shared" si="90"/>
        <v>13007</v>
      </c>
      <c r="CN868" s="3" t="str">
        <f t="shared" si="91"/>
        <v>صيدلة اكلينكى</v>
      </c>
    </row>
    <row r="869" spans="3:92" x14ac:dyDescent="0.25">
      <c r="D869" s="224">
        <v>20831</v>
      </c>
      <c r="E869" s="224">
        <v>13008</v>
      </c>
      <c r="F869" s="250" t="s">
        <v>78</v>
      </c>
      <c r="G869" s="223" t="str">
        <f>+G863</f>
        <v>مكافاه عيد اضحى متعاقدين</v>
      </c>
      <c r="I869" s="223">
        <v>2345</v>
      </c>
      <c r="AV869" s="22">
        <f t="shared" si="86"/>
        <v>2345</v>
      </c>
      <c r="AW869" s="223">
        <v>1567</v>
      </c>
      <c r="AX869" s="223">
        <v>213</v>
      </c>
      <c r="AY869" s="223">
        <v>565</v>
      </c>
      <c r="CK869" s="22">
        <f t="shared" si="88"/>
        <v>2345</v>
      </c>
      <c r="CL869" s="3">
        <f t="shared" si="89"/>
        <v>0</v>
      </c>
      <c r="CM869" s="222">
        <f t="shared" si="90"/>
        <v>13008</v>
      </c>
      <c r="CN869" s="3" t="str">
        <f t="shared" si="91"/>
        <v>برنامج دولى</v>
      </c>
    </row>
    <row r="870" spans="3:92" x14ac:dyDescent="0.25">
      <c r="D870" s="224">
        <v>20830</v>
      </c>
      <c r="E870" s="224">
        <v>13009</v>
      </c>
      <c r="F870" s="250" t="s">
        <v>78</v>
      </c>
      <c r="G870" s="223" t="str">
        <f>+G869</f>
        <v>مكافاه عيد اضحى متعاقدين</v>
      </c>
      <c r="I870" s="223">
        <v>2345</v>
      </c>
      <c r="AV870" s="22">
        <f t="shared" si="86"/>
        <v>2345</v>
      </c>
      <c r="AW870" s="223">
        <v>1567</v>
      </c>
      <c r="AX870" s="223">
        <v>213</v>
      </c>
      <c r="AY870" s="223">
        <v>565</v>
      </c>
      <c r="CK870" s="22">
        <f t="shared" si="88"/>
        <v>2345</v>
      </c>
      <c r="CL870" s="3">
        <f t="shared" si="89"/>
        <v>0</v>
      </c>
      <c r="CM870" s="222">
        <f t="shared" si="90"/>
        <v>13009</v>
      </c>
      <c r="CN870" s="3" t="str">
        <f t="shared" si="91"/>
        <v>برنامج دولى</v>
      </c>
    </row>
    <row r="871" spans="3:92" x14ac:dyDescent="0.25">
      <c r="D871" s="224">
        <v>20827</v>
      </c>
      <c r="E871" s="224">
        <v>13010</v>
      </c>
      <c r="F871" s="250" t="s">
        <v>78</v>
      </c>
      <c r="G871" s="223" t="str">
        <f>+G812</f>
        <v>مكافاه عيد اضحى مؤقتين</v>
      </c>
      <c r="I871" s="223">
        <v>2345</v>
      </c>
      <c r="AV871" s="22">
        <f t="shared" si="86"/>
        <v>2345</v>
      </c>
      <c r="AW871" s="223">
        <v>1567</v>
      </c>
      <c r="AX871" s="223">
        <v>213</v>
      </c>
      <c r="AY871" s="223">
        <v>565</v>
      </c>
      <c r="CK871" s="22">
        <f t="shared" si="88"/>
        <v>2345</v>
      </c>
      <c r="CL871" s="3">
        <f t="shared" si="89"/>
        <v>0</v>
      </c>
      <c r="CM871" s="222">
        <f t="shared" si="90"/>
        <v>13010</v>
      </c>
      <c r="CN871" s="3" t="str">
        <f t="shared" si="91"/>
        <v>برنامج دولى</v>
      </c>
    </row>
    <row r="872" spans="3:92" x14ac:dyDescent="0.25">
      <c r="D872" s="224">
        <v>20825</v>
      </c>
      <c r="E872" s="224">
        <v>13011</v>
      </c>
      <c r="F872" s="250" t="s">
        <v>78</v>
      </c>
      <c r="G872" s="223" t="str">
        <f>+G813</f>
        <v>مكافاه عيد اضحى مؤقتين</v>
      </c>
      <c r="I872" s="223">
        <v>209140.95</v>
      </c>
      <c r="AV872" s="22">
        <f t="shared" si="86"/>
        <v>209140.95</v>
      </c>
      <c r="AW872" s="223">
        <v>151391.9</v>
      </c>
      <c r="AX872" s="223">
        <v>19851.599999999999</v>
      </c>
      <c r="AY872" s="223">
        <v>37897.449999999997</v>
      </c>
      <c r="CK872" s="22">
        <f t="shared" si="88"/>
        <v>209140.95</v>
      </c>
      <c r="CL872" s="3">
        <f t="shared" si="89"/>
        <v>0</v>
      </c>
      <c r="CM872" s="222">
        <f t="shared" si="90"/>
        <v>13011</v>
      </c>
      <c r="CN872" s="3" t="str">
        <f t="shared" si="91"/>
        <v>برنامج دولى</v>
      </c>
    </row>
    <row r="873" spans="3:92" x14ac:dyDescent="0.25">
      <c r="D873" s="224">
        <v>20826</v>
      </c>
      <c r="E873" s="224">
        <v>13012</v>
      </c>
      <c r="F873" s="250" t="s">
        <v>78</v>
      </c>
      <c r="G873" s="223" t="s">
        <v>5434</v>
      </c>
      <c r="I873" s="223">
        <v>193829</v>
      </c>
      <c r="AV873" s="22">
        <f t="shared" si="86"/>
        <v>193829</v>
      </c>
      <c r="AW873" s="223">
        <v>140336.13</v>
      </c>
      <c r="AX873" s="223">
        <v>18399.05</v>
      </c>
      <c r="AY873" s="223">
        <v>35093.82</v>
      </c>
      <c r="CK873" s="22">
        <f t="shared" si="88"/>
        <v>193829</v>
      </c>
      <c r="CL873" s="3">
        <f t="shared" si="89"/>
        <v>0</v>
      </c>
      <c r="CM873" s="222">
        <f t="shared" si="90"/>
        <v>13012</v>
      </c>
      <c r="CN873" s="3" t="str">
        <f t="shared" si="91"/>
        <v>برنامج دولى</v>
      </c>
    </row>
    <row r="874" spans="3:92" x14ac:dyDescent="0.25">
      <c r="D874" s="224">
        <v>20828</v>
      </c>
      <c r="E874" s="224">
        <v>13013</v>
      </c>
      <c r="F874" s="250" t="s">
        <v>78</v>
      </c>
      <c r="G874" s="223" t="s">
        <v>5434</v>
      </c>
      <c r="I874" s="223">
        <v>209830.24</v>
      </c>
      <c r="AV874" s="22">
        <f t="shared" si="86"/>
        <v>209830.24</v>
      </c>
      <c r="AW874" s="223">
        <v>146684.68</v>
      </c>
      <c r="AX874" s="223">
        <v>19533.8</v>
      </c>
      <c r="AY874" s="223">
        <v>43611.76</v>
      </c>
      <c r="CK874" s="22">
        <f t="shared" si="88"/>
        <v>209830.24</v>
      </c>
      <c r="CL874" s="3">
        <f t="shared" si="89"/>
        <v>0</v>
      </c>
      <c r="CM874" s="222">
        <f t="shared" si="90"/>
        <v>13013</v>
      </c>
      <c r="CN874" s="3" t="str">
        <f t="shared" si="91"/>
        <v>برنامج دولى</v>
      </c>
    </row>
    <row r="875" spans="3:92" x14ac:dyDescent="0.25">
      <c r="D875" s="224">
        <v>22156</v>
      </c>
      <c r="E875" s="224">
        <v>13014</v>
      </c>
      <c r="F875" s="250" t="s">
        <v>78</v>
      </c>
      <c r="G875" s="223" t="s">
        <v>5434</v>
      </c>
      <c r="I875" s="223">
        <v>1483.87</v>
      </c>
      <c r="AV875" s="22">
        <f t="shared" si="86"/>
        <v>1483.87</v>
      </c>
      <c r="AW875" s="223">
        <v>1324.73</v>
      </c>
      <c r="AX875" s="223">
        <v>159.13999999999999</v>
      </c>
      <c r="CK875" s="22">
        <f t="shared" si="88"/>
        <v>1483.87</v>
      </c>
      <c r="CL875" s="3">
        <f t="shared" si="89"/>
        <v>0</v>
      </c>
      <c r="CM875" s="222">
        <f t="shared" si="90"/>
        <v>13014</v>
      </c>
      <c r="CN875" s="3" t="str">
        <f t="shared" si="91"/>
        <v>برنامج دولى</v>
      </c>
    </row>
    <row r="876" spans="3:92" x14ac:dyDescent="0.25">
      <c r="D876" s="224">
        <v>20829</v>
      </c>
      <c r="E876" s="224">
        <v>13015</v>
      </c>
      <c r="F876" s="250" t="s">
        <v>78</v>
      </c>
      <c r="G876" s="223" t="s">
        <v>5434</v>
      </c>
      <c r="I876" s="223">
        <v>57580</v>
      </c>
      <c r="AV876" s="22">
        <f t="shared" si="86"/>
        <v>57580</v>
      </c>
      <c r="AW876" s="223">
        <v>38768.6</v>
      </c>
      <c r="AX876" s="223">
        <v>5251.4</v>
      </c>
      <c r="AY876" s="223">
        <v>13560</v>
      </c>
      <c r="CK876" s="22">
        <f t="shared" si="88"/>
        <v>57580</v>
      </c>
      <c r="CL876" s="3">
        <f t="shared" si="89"/>
        <v>0</v>
      </c>
      <c r="CM876" s="222">
        <f t="shared" si="90"/>
        <v>13015</v>
      </c>
      <c r="CN876" s="3" t="str">
        <f t="shared" si="91"/>
        <v>برنامج دولى</v>
      </c>
    </row>
    <row r="877" spans="3:92" x14ac:dyDescent="0.25">
      <c r="D877" s="224">
        <v>22246</v>
      </c>
      <c r="E877" s="224">
        <v>13016</v>
      </c>
      <c r="F877" s="250" t="s">
        <v>78</v>
      </c>
      <c r="G877" s="223" t="str">
        <f>+G856</f>
        <v>مكافاه عيد اضحى ا ه ت</v>
      </c>
      <c r="I877" s="223">
        <v>2250</v>
      </c>
      <c r="AV877" s="22">
        <f t="shared" si="86"/>
        <v>2250</v>
      </c>
      <c r="AW877" s="223">
        <v>2008.5</v>
      </c>
      <c r="AX877" s="223">
        <v>241.5</v>
      </c>
      <c r="CK877" s="22">
        <f t="shared" si="88"/>
        <v>2250</v>
      </c>
      <c r="CL877" s="3">
        <f t="shared" si="89"/>
        <v>0</v>
      </c>
      <c r="CM877" s="222">
        <f t="shared" si="90"/>
        <v>13016</v>
      </c>
      <c r="CN877" s="3" t="str">
        <f t="shared" si="91"/>
        <v>برنامج دولى</v>
      </c>
    </row>
    <row r="878" spans="3:92" x14ac:dyDescent="0.25">
      <c r="D878" s="224">
        <v>20857</v>
      </c>
      <c r="E878" s="224">
        <v>13017</v>
      </c>
      <c r="F878" s="250" t="s">
        <v>78</v>
      </c>
      <c r="G878" s="223" t="str">
        <f>+G857</f>
        <v>مكافاه عيد اضحى ا ه ت</v>
      </c>
      <c r="I878" s="223">
        <v>2250</v>
      </c>
      <c r="AV878" s="22">
        <f t="shared" si="86"/>
        <v>2250</v>
      </c>
      <c r="AW878" s="223">
        <v>2008.5</v>
      </c>
      <c r="AX878" s="223">
        <v>241.5</v>
      </c>
      <c r="CK878" s="22">
        <f t="shared" si="88"/>
        <v>2250</v>
      </c>
      <c r="CL878" s="3">
        <f t="shared" si="89"/>
        <v>0</v>
      </c>
      <c r="CM878" s="222">
        <f t="shared" si="90"/>
        <v>13017</v>
      </c>
      <c r="CN878" s="3" t="str">
        <f t="shared" si="91"/>
        <v>برنامج دولى</v>
      </c>
    </row>
    <row r="879" spans="3:92" x14ac:dyDescent="0.25">
      <c r="D879" s="224">
        <v>20981</v>
      </c>
      <c r="E879" s="224">
        <v>13018</v>
      </c>
      <c r="F879" s="250" t="s">
        <v>78</v>
      </c>
      <c r="G879" s="223" t="s">
        <v>5433</v>
      </c>
      <c r="I879" s="223">
        <v>10552.48</v>
      </c>
      <c r="AV879" s="22">
        <f t="shared" si="86"/>
        <v>10552.48</v>
      </c>
      <c r="AW879" s="223">
        <v>7051.4</v>
      </c>
      <c r="AX879" s="223">
        <v>958.6</v>
      </c>
      <c r="AY879" s="223">
        <v>2542.48</v>
      </c>
      <c r="CK879" s="22">
        <f t="shared" si="88"/>
        <v>10552.48</v>
      </c>
      <c r="CL879" s="3">
        <f t="shared" si="89"/>
        <v>0</v>
      </c>
      <c r="CM879" s="222">
        <f t="shared" si="90"/>
        <v>13018</v>
      </c>
      <c r="CN879" s="3" t="str">
        <f t="shared" si="91"/>
        <v>برنامج دولى</v>
      </c>
    </row>
    <row r="880" spans="3:92" x14ac:dyDescent="0.25">
      <c r="D880" s="224">
        <v>20861</v>
      </c>
      <c r="E880" s="224">
        <v>13019</v>
      </c>
      <c r="F880" s="250" t="s">
        <v>78</v>
      </c>
      <c r="G880" s="223" t="s">
        <v>5433</v>
      </c>
      <c r="I880" s="223">
        <v>2250</v>
      </c>
      <c r="AV880" s="22">
        <f t="shared" si="86"/>
        <v>2250</v>
      </c>
      <c r="AW880" s="223">
        <v>2008.5</v>
      </c>
      <c r="AX880" s="223">
        <v>241.5</v>
      </c>
      <c r="CK880" s="22">
        <f t="shared" si="88"/>
        <v>2250</v>
      </c>
      <c r="CL880" s="3">
        <f t="shared" si="89"/>
        <v>0</v>
      </c>
      <c r="CM880" s="222">
        <f t="shared" si="90"/>
        <v>13019</v>
      </c>
      <c r="CN880" s="3" t="str">
        <f t="shared" si="91"/>
        <v>برنامج دولى</v>
      </c>
    </row>
    <row r="881" spans="3:92" x14ac:dyDescent="0.25">
      <c r="D881" s="224">
        <v>20896</v>
      </c>
      <c r="E881" s="224">
        <v>13020</v>
      </c>
      <c r="F881" s="250" t="s">
        <v>78</v>
      </c>
      <c r="G881" s="223" t="s">
        <v>5433</v>
      </c>
      <c r="I881" s="223">
        <v>125689.83</v>
      </c>
      <c r="AV881" s="22">
        <f t="shared" si="86"/>
        <v>125689.83</v>
      </c>
      <c r="AW881" s="223">
        <v>111779.83</v>
      </c>
      <c r="AX881" s="223">
        <v>13459.59</v>
      </c>
      <c r="AY881" s="223">
        <v>450.41</v>
      </c>
      <c r="CK881" s="22">
        <f t="shared" si="88"/>
        <v>125689.83</v>
      </c>
      <c r="CL881" s="3">
        <f t="shared" si="89"/>
        <v>0</v>
      </c>
      <c r="CM881" s="222">
        <f t="shared" si="90"/>
        <v>13020</v>
      </c>
      <c r="CN881" s="3" t="str">
        <f t="shared" si="91"/>
        <v>برنامج دولى</v>
      </c>
    </row>
    <row r="882" spans="3:92" x14ac:dyDescent="0.25">
      <c r="D882" s="224">
        <v>20858</v>
      </c>
      <c r="E882" s="224">
        <v>13021</v>
      </c>
      <c r="F882" s="250" t="s">
        <v>78</v>
      </c>
      <c r="G882" s="223" t="s">
        <v>5433</v>
      </c>
      <c r="I882" s="223">
        <v>139500</v>
      </c>
      <c r="AV882" s="22">
        <f t="shared" si="86"/>
        <v>139500</v>
      </c>
      <c r="AW882" s="223">
        <v>124527</v>
      </c>
      <c r="AX882" s="223">
        <v>14973</v>
      </c>
      <c r="CK882" s="22">
        <f t="shared" si="88"/>
        <v>139500</v>
      </c>
      <c r="CL882" s="3">
        <f t="shared" si="89"/>
        <v>0</v>
      </c>
      <c r="CM882" s="222">
        <f t="shared" si="90"/>
        <v>13021</v>
      </c>
      <c r="CN882" s="3" t="str">
        <f t="shared" si="91"/>
        <v>برنامج دولى</v>
      </c>
    </row>
    <row r="883" spans="3:92" x14ac:dyDescent="0.25">
      <c r="D883" s="224">
        <v>20856</v>
      </c>
      <c r="E883" s="224">
        <v>13022</v>
      </c>
      <c r="F883" s="250" t="s">
        <v>78</v>
      </c>
      <c r="G883" s="223" t="s">
        <v>5433</v>
      </c>
      <c r="I883" s="223">
        <v>2250</v>
      </c>
      <c r="AV883" s="22">
        <f t="shared" si="86"/>
        <v>2250</v>
      </c>
      <c r="AW883" s="223">
        <v>2008.5</v>
      </c>
      <c r="AX883" s="223">
        <v>241.5</v>
      </c>
      <c r="CK883" s="22">
        <f t="shared" si="88"/>
        <v>2250</v>
      </c>
      <c r="CL883" s="3">
        <f t="shared" si="89"/>
        <v>0</v>
      </c>
      <c r="CM883" s="222">
        <f t="shared" si="90"/>
        <v>13022</v>
      </c>
      <c r="CN883" s="3" t="str">
        <f t="shared" si="91"/>
        <v>برنامج دولى</v>
      </c>
    </row>
    <row r="884" spans="3:92" x14ac:dyDescent="0.25">
      <c r="D884" s="224">
        <v>20854</v>
      </c>
      <c r="E884" s="224">
        <v>13023</v>
      </c>
      <c r="F884" s="250" t="s">
        <v>78</v>
      </c>
      <c r="G884" s="223" t="s">
        <v>5433</v>
      </c>
      <c r="I884" s="223">
        <v>162000</v>
      </c>
      <c r="AV884" s="22">
        <f t="shared" si="86"/>
        <v>162000</v>
      </c>
      <c r="AW884" s="223">
        <v>144612</v>
      </c>
      <c r="AX884" s="223">
        <v>17388</v>
      </c>
      <c r="CK884" s="22">
        <f t="shared" si="88"/>
        <v>162000</v>
      </c>
      <c r="CL884" s="3">
        <f t="shared" si="89"/>
        <v>0</v>
      </c>
      <c r="CM884" s="222">
        <f t="shared" si="90"/>
        <v>13023</v>
      </c>
      <c r="CN884" s="3" t="str">
        <f t="shared" si="91"/>
        <v>برنامج دولى</v>
      </c>
    </row>
    <row r="885" spans="3:92" x14ac:dyDescent="0.25">
      <c r="D885" s="224">
        <v>20853</v>
      </c>
      <c r="E885" s="224">
        <v>13024</v>
      </c>
      <c r="F885" s="250" t="s">
        <v>78</v>
      </c>
      <c r="G885" s="223" t="s">
        <v>5433</v>
      </c>
      <c r="I885" s="223">
        <v>4377.53</v>
      </c>
      <c r="AV885" s="22">
        <f t="shared" si="86"/>
        <v>4377.53</v>
      </c>
      <c r="AW885" s="223">
        <v>3430.21</v>
      </c>
      <c r="AX885" s="223">
        <v>434.7</v>
      </c>
      <c r="AY885" s="223">
        <v>512.62</v>
      </c>
      <c r="CK885" s="22">
        <f t="shared" si="88"/>
        <v>4377.53</v>
      </c>
      <c r="CL885" s="3">
        <f t="shared" si="89"/>
        <v>0</v>
      </c>
      <c r="CM885" s="222">
        <f t="shared" si="90"/>
        <v>13024</v>
      </c>
      <c r="CN885" s="3" t="str">
        <f t="shared" si="91"/>
        <v>برنامج دولى</v>
      </c>
    </row>
    <row r="886" spans="3:92" x14ac:dyDescent="0.25">
      <c r="D886" s="224">
        <v>20852</v>
      </c>
      <c r="E886" s="224">
        <v>13025</v>
      </c>
      <c r="F886" s="250" t="s">
        <v>78</v>
      </c>
      <c r="G886" s="223" t="s">
        <v>5433</v>
      </c>
      <c r="I886" s="223">
        <v>180000</v>
      </c>
      <c r="AV886" s="22">
        <f t="shared" si="86"/>
        <v>180000</v>
      </c>
      <c r="AW886" s="223">
        <v>160680</v>
      </c>
      <c r="AX886" s="223">
        <v>19320</v>
      </c>
      <c r="CK886" s="22">
        <f t="shared" si="88"/>
        <v>180000</v>
      </c>
      <c r="CL886" s="3">
        <f t="shared" si="89"/>
        <v>0</v>
      </c>
      <c r="CM886" s="222">
        <f t="shared" si="90"/>
        <v>13025</v>
      </c>
      <c r="CN886" s="3" t="str">
        <f t="shared" si="91"/>
        <v>برنامج دولى</v>
      </c>
    </row>
    <row r="887" spans="3:92" x14ac:dyDescent="0.25">
      <c r="D887" s="224">
        <v>20847</v>
      </c>
      <c r="E887" s="224">
        <v>13026</v>
      </c>
      <c r="F887" s="250" t="s">
        <v>78</v>
      </c>
      <c r="G887" s="223" t="s">
        <v>5433</v>
      </c>
      <c r="I887" s="223">
        <v>3701.61</v>
      </c>
      <c r="AV887" s="22">
        <f t="shared" si="86"/>
        <v>3701.61</v>
      </c>
      <c r="AW887" s="223">
        <v>3304.4</v>
      </c>
      <c r="AX887" s="223">
        <v>397.21</v>
      </c>
      <c r="CK887" s="22">
        <f t="shared" si="88"/>
        <v>3701.61</v>
      </c>
      <c r="CL887" s="3">
        <f t="shared" si="89"/>
        <v>0</v>
      </c>
      <c r="CM887" s="222">
        <f t="shared" si="90"/>
        <v>13026</v>
      </c>
      <c r="CN887" s="3" t="str">
        <f t="shared" si="91"/>
        <v>برنامج دولى</v>
      </c>
    </row>
    <row r="888" spans="3:92" x14ac:dyDescent="0.25">
      <c r="D888" s="224">
        <v>20867</v>
      </c>
      <c r="E888" s="224">
        <v>13027</v>
      </c>
      <c r="F888" s="250" t="s">
        <v>78</v>
      </c>
      <c r="G888" s="223" t="s">
        <v>5433</v>
      </c>
      <c r="I888" s="223">
        <v>2250</v>
      </c>
      <c r="AV888" s="22">
        <f t="shared" si="86"/>
        <v>2250</v>
      </c>
      <c r="AW888" s="223">
        <v>2008.5</v>
      </c>
      <c r="AX888" s="223">
        <v>241.5</v>
      </c>
      <c r="CK888" s="22">
        <f t="shared" si="88"/>
        <v>2250</v>
      </c>
      <c r="CL888" s="3">
        <f t="shared" si="89"/>
        <v>0</v>
      </c>
      <c r="CM888" s="222">
        <f t="shared" si="90"/>
        <v>13027</v>
      </c>
      <c r="CN888" s="3" t="str">
        <f t="shared" si="91"/>
        <v>برنامج دولى</v>
      </c>
    </row>
    <row r="889" spans="3:92" x14ac:dyDescent="0.25">
      <c r="D889" s="224">
        <v>20850</v>
      </c>
      <c r="E889" s="224">
        <v>13028</v>
      </c>
      <c r="F889" s="250" t="s">
        <v>78</v>
      </c>
      <c r="G889" s="223" t="s">
        <v>5433</v>
      </c>
      <c r="I889" s="223">
        <v>168750</v>
      </c>
      <c r="AV889" s="22">
        <f t="shared" si="86"/>
        <v>168750</v>
      </c>
      <c r="AW889" s="223">
        <v>149834.1</v>
      </c>
      <c r="AX889" s="223">
        <v>18112.5</v>
      </c>
      <c r="AZ889" s="223">
        <v>803.4</v>
      </c>
      <c r="CK889" s="22">
        <f t="shared" si="88"/>
        <v>168750</v>
      </c>
      <c r="CL889" s="3">
        <f t="shared" si="89"/>
        <v>0</v>
      </c>
      <c r="CM889" s="222">
        <f t="shared" si="90"/>
        <v>13028</v>
      </c>
      <c r="CN889" s="3" t="str">
        <f t="shared" si="91"/>
        <v>برنامج دولى</v>
      </c>
    </row>
    <row r="890" spans="3:92" x14ac:dyDescent="0.25">
      <c r="D890" s="224">
        <v>20848</v>
      </c>
      <c r="E890" s="224">
        <v>13029</v>
      </c>
      <c r="F890" s="250" t="s">
        <v>78</v>
      </c>
      <c r="G890" s="223" t="s">
        <v>5433</v>
      </c>
      <c r="I890" s="223">
        <v>165483.87</v>
      </c>
      <c r="AV890" s="22">
        <f t="shared" si="86"/>
        <v>165483.87</v>
      </c>
      <c r="AW890" s="223">
        <v>147722.07999999999</v>
      </c>
      <c r="AX890" s="223">
        <v>17761.79</v>
      </c>
      <c r="CK890" s="22">
        <f t="shared" si="88"/>
        <v>165483.87</v>
      </c>
      <c r="CL890" s="3">
        <f t="shared" si="89"/>
        <v>0</v>
      </c>
      <c r="CM890" s="222">
        <f t="shared" si="90"/>
        <v>13029</v>
      </c>
      <c r="CN890" s="3" t="str">
        <f t="shared" si="91"/>
        <v>برنامج دولى</v>
      </c>
    </row>
    <row r="891" spans="3:92" x14ac:dyDescent="0.25">
      <c r="D891" s="224">
        <v>20849</v>
      </c>
      <c r="E891" s="224">
        <v>13030</v>
      </c>
      <c r="F891" s="250" t="s">
        <v>78</v>
      </c>
      <c r="G891" s="223" t="s">
        <v>5433</v>
      </c>
      <c r="I891" s="223">
        <v>2250</v>
      </c>
      <c r="AV891" s="22">
        <f t="shared" si="86"/>
        <v>2250</v>
      </c>
      <c r="AW891" s="223">
        <v>2008.5</v>
      </c>
      <c r="AX891" s="223">
        <v>241.5</v>
      </c>
      <c r="CK891" s="22">
        <f t="shared" si="88"/>
        <v>2250</v>
      </c>
      <c r="CL891" s="3">
        <f t="shared" si="89"/>
        <v>0</v>
      </c>
      <c r="CM891" s="222">
        <f t="shared" si="90"/>
        <v>13030</v>
      </c>
      <c r="CN891" s="3" t="str">
        <f t="shared" si="91"/>
        <v>برنامج دولى</v>
      </c>
    </row>
    <row r="892" spans="3:92" x14ac:dyDescent="0.25">
      <c r="D892" s="224">
        <v>20846</v>
      </c>
      <c r="E892" s="224">
        <v>13031</v>
      </c>
      <c r="F892" s="250" t="s">
        <v>78</v>
      </c>
      <c r="G892" s="223" t="s">
        <v>5433</v>
      </c>
      <c r="I892" s="223">
        <v>191250</v>
      </c>
      <c r="AV892" s="22">
        <f t="shared" si="86"/>
        <v>191250</v>
      </c>
      <c r="AW892" s="223">
        <v>170722.5</v>
      </c>
      <c r="AX892" s="223">
        <v>20527.5</v>
      </c>
      <c r="CK892" s="22">
        <f t="shared" si="88"/>
        <v>191250</v>
      </c>
      <c r="CL892" s="3">
        <f t="shared" si="89"/>
        <v>0</v>
      </c>
      <c r="CM892" s="222">
        <f t="shared" si="90"/>
        <v>13031</v>
      </c>
      <c r="CN892" s="3" t="str">
        <f t="shared" si="91"/>
        <v>برنامج دولى</v>
      </c>
    </row>
    <row r="893" spans="3:92" x14ac:dyDescent="0.25">
      <c r="D893" s="224">
        <v>20845</v>
      </c>
      <c r="E893" s="224">
        <v>13032</v>
      </c>
      <c r="F893" s="250" t="s">
        <v>78</v>
      </c>
      <c r="G893" s="223" t="s">
        <v>5433</v>
      </c>
      <c r="I893" s="223">
        <v>171000</v>
      </c>
      <c r="AV893" s="22">
        <f t="shared" si="86"/>
        <v>171000</v>
      </c>
      <c r="AW893" s="223">
        <v>152646</v>
      </c>
      <c r="AX893" s="223">
        <v>18354</v>
      </c>
      <c r="CK893" s="22">
        <f t="shared" si="88"/>
        <v>171000</v>
      </c>
      <c r="CL893" s="3">
        <f t="shared" si="89"/>
        <v>0</v>
      </c>
      <c r="CM893" s="222">
        <f t="shared" si="90"/>
        <v>13032</v>
      </c>
      <c r="CN893" s="3" t="str">
        <f t="shared" si="91"/>
        <v>برنامج دولى</v>
      </c>
    </row>
    <row r="894" spans="3:92" x14ac:dyDescent="0.25">
      <c r="D894" s="224">
        <v>20844</v>
      </c>
      <c r="E894" s="224">
        <v>13033</v>
      </c>
      <c r="F894" s="250" t="s">
        <v>78</v>
      </c>
      <c r="G894" s="223" t="s">
        <v>5433</v>
      </c>
      <c r="I894" s="223">
        <v>72000</v>
      </c>
      <c r="AV894" s="22">
        <f t="shared" si="86"/>
        <v>72000</v>
      </c>
      <c r="AW894" s="223">
        <v>64272</v>
      </c>
      <c r="AX894" s="223">
        <v>7728</v>
      </c>
      <c r="CK894" s="22">
        <f t="shared" si="88"/>
        <v>72000</v>
      </c>
      <c r="CL894" s="3">
        <f t="shared" si="89"/>
        <v>0</v>
      </c>
      <c r="CM894" s="222">
        <f t="shared" si="90"/>
        <v>13033</v>
      </c>
      <c r="CN894" s="3" t="str">
        <f t="shared" si="91"/>
        <v>برنامج دولى</v>
      </c>
    </row>
    <row r="895" spans="3:92" x14ac:dyDescent="0.25">
      <c r="C895" s="223" t="s">
        <v>574</v>
      </c>
      <c r="D895" s="224">
        <v>20842</v>
      </c>
      <c r="E895" s="224">
        <v>13034</v>
      </c>
      <c r="F895" s="250" t="s">
        <v>78</v>
      </c>
      <c r="G895" s="223" t="s">
        <v>5433</v>
      </c>
      <c r="I895" s="223">
        <v>130500</v>
      </c>
      <c r="AV895" s="22">
        <f t="shared" si="86"/>
        <v>130500</v>
      </c>
      <c r="AW895" s="223">
        <v>116493</v>
      </c>
      <c r="AX895" s="223">
        <v>14007</v>
      </c>
      <c r="CK895" s="22">
        <f t="shared" si="88"/>
        <v>130500</v>
      </c>
      <c r="CL895" s="3">
        <f t="shared" si="89"/>
        <v>0</v>
      </c>
      <c r="CM895" s="222">
        <f t="shared" si="90"/>
        <v>13034</v>
      </c>
      <c r="CN895" s="3" t="str">
        <f t="shared" si="91"/>
        <v>برنامج دولى</v>
      </c>
    </row>
    <row r="896" spans="3:92" x14ac:dyDescent="0.25">
      <c r="C896" s="223" t="s">
        <v>574</v>
      </c>
      <c r="D896" s="224">
        <v>20841</v>
      </c>
      <c r="E896" s="224">
        <v>13035</v>
      </c>
      <c r="F896" s="250" t="s">
        <v>78</v>
      </c>
      <c r="G896" s="223" t="s">
        <v>5433</v>
      </c>
      <c r="I896" s="223">
        <v>73451.61</v>
      </c>
      <c r="AV896" s="22">
        <f t="shared" ref="AV896:AV959" si="92">SUM(I896:AU896)</f>
        <v>73451.61</v>
      </c>
      <c r="AW896" s="223">
        <v>65567.899999999994</v>
      </c>
      <c r="AX896" s="223">
        <v>7883.71</v>
      </c>
      <c r="CK896" s="22">
        <f t="shared" si="88"/>
        <v>73451.61</v>
      </c>
      <c r="CL896" s="3">
        <f t="shared" si="89"/>
        <v>0</v>
      </c>
      <c r="CM896" s="222">
        <f t="shared" si="90"/>
        <v>13035</v>
      </c>
      <c r="CN896" s="3" t="str">
        <f t="shared" si="91"/>
        <v>برنامج دولى</v>
      </c>
    </row>
    <row r="897" spans="3:92" x14ac:dyDescent="0.25">
      <c r="D897" s="224">
        <v>20840</v>
      </c>
      <c r="E897" s="224">
        <v>13036</v>
      </c>
      <c r="F897" s="250" t="s">
        <v>78</v>
      </c>
      <c r="G897" s="223" t="s">
        <v>5433</v>
      </c>
      <c r="I897" s="223">
        <v>2250</v>
      </c>
      <c r="AV897" s="22">
        <f t="shared" si="92"/>
        <v>2250</v>
      </c>
      <c r="AW897" s="223">
        <v>2008.5</v>
      </c>
      <c r="AX897" s="223">
        <v>241.5</v>
      </c>
      <c r="CK897" s="22">
        <f t="shared" si="88"/>
        <v>2250</v>
      </c>
      <c r="CL897" s="3">
        <f t="shared" si="89"/>
        <v>0</v>
      </c>
      <c r="CM897" s="222">
        <f t="shared" si="90"/>
        <v>13036</v>
      </c>
      <c r="CN897" s="3" t="str">
        <f t="shared" si="91"/>
        <v>برنامج دولى</v>
      </c>
    </row>
    <row r="898" spans="3:92" x14ac:dyDescent="0.25">
      <c r="D898" s="224">
        <v>19809</v>
      </c>
      <c r="E898" s="224">
        <v>13037</v>
      </c>
      <c r="F898" s="250" t="s">
        <v>78</v>
      </c>
      <c r="G898" s="223" t="s">
        <v>5433</v>
      </c>
      <c r="I898" s="223">
        <v>3974.68</v>
      </c>
      <c r="AV898" s="22">
        <f t="shared" si="92"/>
        <v>3974.68</v>
      </c>
      <c r="AW898" s="223">
        <v>2690.57</v>
      </c>
      <c r="AX898" s="223">
        <v>361.44</v>
      </c>
      <c r="AY898" s="223">
        <v>922.67</v>
      </c>
      <c r="CK898" s="22">
        <f t="shared" si="88"/>
        <v>3974.6800000000003</v>
      </c>
      <c r="CL898" s="3">
        <f t="shared" si="89"/>
        <v>0</v>
      </c>
      <c r="CM898" s="222">
        <f t="shared" si="90"/>
        <v>13037</v>
      </c>
      <c r="CN898" s="3" t="str">
        <f t="shared" si="91"/>
        <v>برنامج دولى</v>
      </c>
    </row>
    <row r="899" spans="3:92" x14ac:dyDescent="0.25">
      <c r="D899" s="224">
        <v>19810</v>
      </c>
      <c r="E899" s="224">
        <v>13038</v>
      </c>
      <c r="F899" s="250" t="s">
        <v>78</v>
      </c>
      <c r="G899" s="223" t="s">
        <v>5433</v>
      </c>
      <c r="I899" s="223">
        <v>37425.22</v>
      </c>
      <c r="AV899" s="22">
        <f t="shared" si="92"/>
        <v>37425.22</v>
      </c>
      <c r="AW899" s="223">
        <v>26919.93</v>
      </c>
      <c r="AX899" s="223">
        <v>3535.53</v>
      </c>
      <c r="AY899" s="223">
        <v>6969.76</v>
      </c>
      <c r="CK899" s="22">
        <f t="shared" si="88"/>
        <v>37425.22</v>
      </c>
      <c r="CL899" s="3">
        <f t="shared" si="89"/>
        <v>0</v>
      </c>
      <c r="CM899" s="222">
        <f t="shared" si="90"/>
        <v>13038</v>
      </c>
      <c r="CN899" s="3" t="str">
        <f t="shared" si="91"/>
        <v>برنامج دولى</v>
      </c>
    </row>
    <row r="900" spans="3:92" x14ac:dyDescent="0.25">
      <c r="D900" s="224">
        <v>19811</v>
      </c>
      <c r="E900" s="224">
        <v>13039</v>
      </c>
      <c r="F900" s="250" t="s">
        <v>78</v>
      </c>
      <c r="G900" s="223" t="s">
        <v>5433</v>
      </c>
      <c r="I900" s="223">
        <v>17728.72</v>
      </c>
      <c r="AV900" s="22">
        <f t="shared" si="92"/>
        <v>17728.72</v>
      </c>
      <c r="AW900" s="223">
        <v>12074.41</v>
      </c>
      <c r="AX900" s="223">
        <f>1567.75+101.1</f>
        <v>1668.85</v>
      </c>
      <c r="AY900" s="223">
        <v>3359.38</v>
      </c>
      <c r="BA900" s="223">
        <v>626.08000000000004</v>
      </c>
      <c r="CK900" s="22">
        <f t="shared" si="88"/>
        <v>17728.72</v>
      </c>
      <c r="CL900" s="3">
        <f t="shared" si="89"/>
        <v>0</v>
      </c>
      <c r="CM900" s="222">
        <f t="shared" si="90"/>
        <v>13039</v>
      </c>
      <c r="CN900" s="3" t="str">
        <f t="shared" si="91"/>
        <v>برنامج دولى</v>
      </c>
    </row>
    <row r="901" spans="3:92" x14ac:dyDescent="0.25">
      <c r="D901" s="224">
        <v>20832</v>
      </c>
      <c r="E901" s="224">
        <v>13040</v>
      </c>
      <c r="F901" s="250" t="s">
        <v>78</v>
      </c>
      <c r="G901" s="223" t="s">
        <v>5441</v>
      </c>
      <c r="I901" s="223">
        <v>99875.31</v>
      </c>
      <c r="AV901" s="22">
        <f t="shared" si="92"/>
        <v>99875.31</v>
      </c>
      <c r="AW901" s="223">
        <v>76551.429999999993</v>
      </c>
      <c r="AX901" s="223">
        <v>9792.69</v>
      </c>
      <c r="AY901" s="223">
        <v>13531.19</v>
      </c>
      <c r="CK901" s="22">
        <f t="shared" si="88"/>
        <v>99875.31</v>
      </c>
      <c r="CL901" s="3">
        <f t="shared" si="89"/>
        <v>0</v>
      </c>
      <c r="CM901" s="222">
        <f t="shared" si="90"/>
        <v>13040</v>
      </c>
      <c r="CN901" s="3" t="str">
        <f t="shared" si="91"/>
        <v>برنامج دولى</v>
      </c>
    </row>
    <row r="902" spans="3:92" x14ac:dyDescent="0.25">
      <c r="D902" s="224">
        <v>20914</v>
      </c>
      <c r="E902" s="224">
        <v>13041</v>
      </c>
      <c r="F902" s="250" t="s">
        <v>78</v>
      </c>
      <c r="G902" s="223" t="str">
        <f>+G861</f>
        <v>مكافاه عيد اضحى ا متفرغ</v>
      </c>
      <c r="I902" s="223">
        <v>2250</v>
      </c>
      <c r="AV902" s="22">
        <f t="shared" si="92"/>
        <v>2250</v>
      </c>
      <c r="AW902" s="223">
        <v>2008.5</v>
      </c>
      <c r="AX902" s="223">
        <v>241.5</v>
      </c>
      <c r="CK902" s="22">
        <f t="shared" si="88"/>
        <v>2250</v>
      </c>
      <c r="CL902" s="3">
        <f t="shared" si="89"/>
        <v>0</v>
      </c>
      <c r="CM902" s="222">
        <f t="shared" si="90"/>
        <v>13041</v>
      </c>
      <c r="CN902" s="3" t="str">
        <f t="shared" si="91"/>
        <v>برنامج دولى</v>
      </c>
    </row>
    <row r="903" spans="3:92" x14ac:dyDescent="0.25">
      <c r="D903" s="224">
        <v>20919</v>
      </c>
      <c r="E903" s="224">
        <v>13042</v>
      </c>
      <c r="F903" s="250" t="s">
        <v>78</v>
      </c>
      <c r="G903" s="223" t="str">
        <f>+G902</f>
        <v>مكافاه عيد اضحى ا متفرغ</v>
      </c>
      <c r="I903" s="223">
        <v>2250</v>
      </c>
      <c r="AV903" s="22">
        <f t="shared" si="92"/>
        <v>2250</v>
      </c>
      <c r="AW903" s="223">
        <v>2008.5</v>
      </c>
      <c r="AX903" s="223">
        <v>241.5</v>
      </c>
      <c r="CK903" s="22">
        <f t="shared" si="88"/>
        <v>2250</v>
      </c>
      <c r="CL903" s="3">
        <f t="shared" si="89"/>
        <v>0</v>
      </c>
      <c r="CM903" s="222">
        <f t="shared" si="90"/>
        <v>13042</v>
      </c>
      <c r="CN903" s="3" t="str">
        <f t="shared" si="91"/>
        <v>برنامج دولى</v>
      </c>
    </row>
    <row r="904" spans="3:92" x14ac:dyDescent="0.25">
      <c r="D904" s="224">
        <v>20915</v>
      </c>
      <c r="E904" s="224">
        <v>13043</v>
      </c>
      <c r="F904" s="250" t="s">
        <v>78</v>
      </c>
      <c r="G904" s="223" t="str">
        <f>+G903</f>
        <v>مكافاه عيد اضحى ا متفرغ</v>
      </c>
      <c r="I904" s="223">
        <v>42750</v>
      </c>
      <c r="AV904" s="22">
        <f t="shared" si="92"/>
        <v>42750</v>
      </c>
      <c r="AW904" s="223">
        <v>38161.5</v>
      </c>
      <c r="AX904" s="223">
        <v>4588.5</v>
      </c>
      <c r="CK904" s="22">
        <f t="shared" si="88"/>
        <v>42750</v>
      </c>
      <c r="CL904" s="3">
        <f t="shared" si="89"/>
        <v>0</v>
      </c>
      <c r="CM904" s="222">
        <f t="shared" si="90"/>
        <v>13043</v>
      </c>
      <c r="CN904" s="3" t="str">
        <f t="shared" si="91"/>
        <v>برنامج دولى</v>
      </c>
    </row>
    <row r="905" spans="3:92" x14ac:dyDescent="0.25">
      <c r="D905" s="224">
        <v>20916</v>
      </c>
      <c r="E905" s="224">
        <v>13044</v>
      </c>
      <c r="F905" s="250" t="s">
        <v>78</v>
      </c>
      <c r="G905" s="223" t="str">
        <f t="shared" ref="G905:G912" si="93">+G904</f>
        <v>مكافاه عيد اضحى ا متفرغ</v>
      </c>
      <c r="I905" s="223">
        <v>191250</v>
      </c>
      <c r="AV905" s="22">
        <f t="shared" si="92"/>
        <v>191250</v>
      </c>
      <c r="AW905" s="223">
        <v>170722.5</v>
      </c>
      <c r="AX905" s="223">
        <v>20527.5</v>
      </c>
      <c r="CK905" s="22">
        <f t="shared" si="88"/>
        <v>191250</v>
      </c>
      <c r="CL905" s="3">
        <f t="shared" si="89"/>
        <v>0</v>
      </c>
      <c r="CM905" s="222">
        <f t="shared" si="90"/>
        <v>13044</v>
      </c>
      <c r="CN905" s="3" t="str">
        <f t="shared" si="91"/>
        <v>برنامج دولى</v>
      </c>
    </row>
    <row r="906" spans="3:92" x14ac:dyDescent="0.25">
      <c r="D906" s="224">
        <v>20924</v>
      </c>
      <c r="E906" s="224">
        <v>13045</v>
      </c>
      <c r="F906" s="250" t="s">
        <v>78</v>
      </c>
      <c r="G906" s="223" t="str">
        <f t="shared" si="93"/>
        <v>مكافاه عيد اضحى ا متفرغ</v>
      </c>
      <c r="I906" s="223">
        <v>173250</v>
      </c>
      <c r="AV906" s="22">
        <f t="shared" si="92"/>
        <v>173250</v>
      </c>
      <c r="AW906" s="223">
        <v>154654.5</v>
      </c>
      <c r="AX906" s="223">
        <v>18595.5</v>
      </c>
      <c r="CK906" s="22">
        <f t="shared" si="88"/>
        <v>173250</v>
      </c>
      <c r="CL906" s="3">
        <f t="shared" si="89"/>
        <v>0</v>
      </c>
      <c r="CM906" s="222">
        <f t="shared" si="90"/>
        <v>13045</v>
      </c>
      <c r="CN906" s="3" t="str">
        <f t="shared" si="91"/>
        <v>برنامج دولى</v>
      </c>
    </row>
    <row r="907" spans="3:92" x14ac:dyDescent="0.25">
      <c r="C907" s="223" t="s">
        <v>563</v>
      </c>
      <c r="D907" s="224">
        <v>20923</v>
      </c>
      <c r="E907" s="224">
        <v>13046</v>
      </c>
      <c r="F907" s="250" t="s">
        <v>78</v>
      </c>
      <c r="G907" s="223" t="str">
        <f t="shared" si="93"/>
        <v>مكافاه عيد اضحى ا متفرغ</v>
      </c>
      <c r="I907" s="223">
        <v>186750</v>
      </c>
      <c r="AV907" s="22">
        <f t="shared" si="92"/>
        <v>186750</v>
      </c>
      <c r="AW907" s="223">
        <v>166203.37</v>
      </c>
      <c r="AX907" s="223">
        <v>20044.5</v>
      </c>
      <c r="CJ907" s="223">
        <v>502.13</v>
      </c>
      <c r="CK907" s="22">
        <f t="shared" si="88"/>
        <v>186750</v>
      </c>
      <c r="CL907" s="3">
        <f t="shared" si="89"/>
        <v>0</v>
      </c>
      <c r="CM907" s="222">
        <f t="shared" si="90"/>
        <v>13046</v>
      </c>
      <c r="CN907" s="3" t="str">
        <f t="shared" si="91"/>
        <v>برنامج دولى</v>
      </c>
    </row>
    <row r="908" spans="3:92" x14ac:dyDescent="0.25">
      <c r="C908" s="223" t="s">
        <v>563</v>
      </c>
      <c r="D908" s="224">
        <v>20922</v>
      </c>
      <c r="E908" s="224">
        <v>13047</v>
      </c>
      <c r="F908" s="250" t="s">
        <v>78</v>
      </c>
      <c r="G908" s="223" t="str">
        <f t="shared" si="93"/>
        <v>مكافاه عيد اضحى ا متفرغ</v>
      </c>
      <c r="I908" s="223">
        <v>178185.48</v>
      </c>
      <c r="AV908" s="22">
        <f t="shared" si="92"/>
        <v>178185.48</v>
      </c>
      <c r="AW908" s="223">
        <v>159060.88</v>
      </c>
      <c r="AX908" s="223">
        <v>19124.599999999999</v>
      </c>
      <c r="CK908" s="22">
        <f t="shared" si="88"/>
        <v>178185.48</v>
      </c>
      <c r="CL908" s="3">
        <f t="shared" si="89"/>
        <v>0</v>
      </c>
      <c r="CM908" s="222">
        <f t="shared" si="90"/>
        <v>13047</v>
      </c>
      <c r="CN908" s="3" t="str">
        <f t="shared" si="91"/>
        <v>برنامج دولى</v>
      </c>
    </row>
    <row r="909" spans="3:92" x14ac:dyDescent="0.25">
      <c r="C909" s="223" t="s">
        <v>563</v>
      </c>
      <c r="D909" s="224">
        <v>20921</v>
      </c>
      <c r="E909" s="224">
        <v>13048</v>
      </c>
      <c r="F909" s="250" t="s">
        <v>78</v>
      </c>
      <c r="G909" s="223" t="str">
        <f t="shared" si="93"/>
        <v>مكافاه عيد اضحى ا متفرغ</v>
      </c>
      <c r="I909" s="223">
        <v>172524.19</v>
      </c>
      <c r="AV909" s="22">
        <f t="shared" si="92"/>
        <v>172524.19</v>
      </c>
      <c r="AW909" s="223">
        <v>154006.67000000001</v>
      </c>
      <c r="AX909" s="223">
        <v>18517.52</v>
      </c>
      <c r="CK909" s="22">
        <f t="shared" si="88"/>
        <v>172524.19</v>
      </c>
      <c r="CL909" s="3">
        <f t="shared" si="89"/>
        <v>0</v>
      </c>
      <c r="CM909" s="222">
        <f t="shared" si="90"/>
        <v>13048</v>
      </c>
      <c r="CN909" s="3" t="str">
        <f t="shared" si="91"/>
        <v>برنامج دولى</v>
      </c>
    </row>
    <row r="910" spans="3:92" x14ac:dyDescent="0.25">
      <c r="C910" s="223" t="s">
        <v>563</v>
      </c>
      <c r="D910" s="224">
        <v>20920</v>
      </c>
      <c r="E910" s="224">
        <v>13049</v>
      </c>
      <c r="F910" s="250" t="s">
        <v>78</v>
      </c>
      <c r="G910" s="223" t="str">
        <f t="shared" si="93"/>
        <v>مكافاه عيد اضحى ا متفرغ</v>
      </c>
      <c r="I910" s="223">
        <v>157500</v>
      </c>
      <c r="AV910" s="22">
        <f t="shared" si="92"/>
        <v>157500</v>
      </c>
      <c r="AW910" s="223">
        <v>140595</v>
      </c>
      <c r="AX910" s="223">
        <v>16905</v>
      </c>
      <c r="CK910" s="22">
        <f t="shared" si="88"/>
        <v>157500</v>
      </c>
      <c r="CL910" s="3">
        <f t="shared" si="89"/>
        <v>0</v>
      </c>
      <c r="CM910" s="222">
        <f t="shared" si="90"/>
        <v>13049</v>
      </c>
      <c r="CN910" s="3" t="str">
        <f t="shared" si="91"/>
        <v>برنامج دولى</v>
      </c>
    </row>
    <row r="911" spans="3:92" x14ac:dyDescent="0.25">
      <c r="C911" s="223" t="s">
        <v>563</v>
      </c>
      <c r="D911" s="224">
        <v>20918</v>
      </c>
      <c r="E911" s="224">
        <v>13050</v>
      </c>
      <c r="F911" s="250" t="s">
        <v>78</v>
      </c>
      <c r="G911" s="223" t="str">
        <f t="shared" si="93"/>
        <v>مكافاه عيد اضحى ا متفرغ</v>
      </c>
      <c r="I911" s="223">
        <v>195750</v>
      </c>
      <c r="AV911" s="22">
        <f t="shared" si="92"/>
        <v>195750</v>
      </c>
      <c r="AW911" s="223">
        <v>174981</v>
      </c>
      <c r="AX911" s="223">
        <v>20769</v>
      </c>
      <c r="CK911" s="22">
        <f t="shared" si="88"/>
        <v>195750</v>
      </c>
      <c r="CL911" s="3">
        <f t="shared" si="89"/>
        <v>0</v>
      </c>
      <c r="CM911" s="222">
        <f t="shared" si="90"/>
        <v>13050</v>
      </c>
      <c r="CN911" s="3" t="str">
        <f t="shared" si="91"/>
        <v>برنامج دولى</v>
      </c>
    </row>
    <row r="912" spans="3:92" x14ac:dyDescent="0.25">
      <c r="D912" s="224">
        <v>20917</v>
      </c>
      <c r="E912" s="224">
        <v>13051</v>
      </c>
      <c r="F912" s="250" t="s">
        <v>78</v>
      </c>
      <c r="G912" s="223" t="str">
        <f t="shared" si="93"/>
        <v>مكافاه عيد اضحى ا متفرغ</v>
      </c>
      <c r="I912" s="223">
        <v>211500</v>
      </c>
      <c r="AV912" s="22">
        <f t="shared" si="92"/>
        <v>211500</v>
      </c>
      <c r="AW912" s="223">
        <v>188799</v>
      </c>
      <c r="AX912" s="223">
        <v>22701</v>
      </c>
      <c r="CK912" s="22">
        <f t="shared" si="88"/>
        <v>211500</v>
      </c>
      <c r="CL912" s="3">
        <f t="shared" si="89"/>
        <v>0</v>
      </c>
      <c r="CM912" s="222">
        <f t="shared" si="90"/>
        <v>13051</v>
      </c>
      <c r="CN912" s="3" t="str">
        <f t="shared" si="91"/>
        <v>برنامج دولى</v>
      </c>
    </row>
    <row r="913" spans="3:92" x14ac:dyDescent="0.25">
      <c r="D913" s="224">
        <v>20862</v>
      </c>
      <c r="E913" s="224">
        <v>13052</v>
      </c>
      <c r="F913" s="250" t="s">
        <v>78</v>
      </c>
      <c r="G913" s="223" t="str">
        <f>+G897</f>
        <v>مكافاه عيد اضحى ا ه ت</v>
      </c>
      <c r="I913" s="223">
        <v>102406.05</v>
      </c>
      <c r="AV913" s="22">
        <f t="shared" si="92"/>
        <v>102406.05</v>
      </c>
      <c r="AW913" s="223">
        <v>90315.77</v>
      </c>
      <c r="AX913" s="223">
        <v>10910.2</v>
      </c>
      <c r="AY913" s="223">
        <v>1180.08</v>
      </c>
      <c r="CK913" s="22">
        <f t="shared" si="88"/>
        <v>102406.05</v>
      </c>
      <c r="CL913" s="3">
        <f t="shared" si="89"/>
        <v>0</v>
      </c>
      <c r="CM913" s="222">
        <f t="shared" si="90"/>
        <v>13052</v>
      </c>
      <c r="CN913" s="3" t="str">
        <f t="shared" si="91"/>
        <v>برنامج دولى</v>
      </c>
    </row>
    <row r="914" spans="3:92" x14ac:dyDescent="0.25">
      <c r="D914" s="224">
        <v>20860</v>
      </c>
      <c r="E914" s="224">
        <v>13053</v>
      </c>
      <c r="F914" s="250" t="s">
        <v>78</v>
      </c>
      <c r="G914" s="223" t="str">
        <f>+G898</f>
        <v>مكافاه عيد اضحى ا ه ت</v>
      </c>
      <c r="I914" s="223">
        <v>152603.59</v>
      </c>
      <c r="AV914" s="22">
        <f t="shared" si="92"/>
        <v>152603.59</v>
      </c>
      <c r="AW914" s="223">
        <v>135722.26</v>
      </c>
      <c r="AX914" s="223">
        <v>16341.87</v>
      </c>
      <c r="AY914" s="223">
        <v>539.46</v>
      </c>
      <c r="CK914" s="22">
        <f t="shared" ref="CK914:CK966" si="94">SUM(AW914:CJ914)</f>
        <v>152603.59</v>
      </c>
      <c r="CL914" s="3">
        <f t="shared" ref="CL914:CL966" si="95">+CK914-AV914</f>
        <v>0</v>
      </c>
      <c r="CM914" s="222">
        <f t="shared" ref="CM914:CM966" si="96">+E914</f>
        <v>13053</v>
      </c>
      <c r="CN914" s="3" t="str">
        <f t="shared" ref="CN914:CN966" si="97">+F914</f>
        <v>برنامج دولى</v>
      </c>
    </row>
    <row r="915" spans="3:92" x14ac:dyDescent="0.25">
      <c r="D915" s="224">
        <v>20869</v>
      </c>
      <c r="E915" s="224">
        <v>13054</v>
      </c>
      <c r="F915" s="250" t="s">
        <v>78</v>
      </c>
      <c r="G915" s="223" t="str">
        <f>+G899</f>
        <v>مكافاه عيد اضحى ا ه ت</v>
      </c>
      <c r="I915" s="223">
        <v>86276.24</v>
      </c>
      <c r="AV915" s="22">
        <f t="shared" si="92"/>
        <v>86276.24</v>
      </c>
      <c r="AW915" s="223">
        <v>75831.7</v>
      </c>
      <c r="AX915" s="223">
        <v>9173.2999999999993</v>
      </c>
      <c r="AY915" s="223">
        <v>1271.24</v>
      </c>
      <c r="CK915" s="22">
        <f t="shared" si="94"/>
        <v>86276.24</v>
      </c>
      <c r="CL915" s="3">
        <f t="shared" si="95"/>
        <v>0</v>
      </c>
      <c r="CM915" s="222">
        <f t="shared" si="96"/>
        <v>13054</v>
      </c>
      <c r="CN915" s="3" t="str">
        <f t="shared" si="97"/>
        <v>برنامج دولى</v>
      </c>
    </row>
    <row r="916" spans="3:92" x14ac:dyDescent="0.25">
      <c r="D916" s="224">
        <v>20929</v>
      </c>
      <c r="E916" s="224">
        <v>13055</v>
      </c>
      <c r="F916" s="250" t="s">
        <v>78</v>
      </c>
      <c r="G916" s="223" t="str">
        <f>+G900</f>
        <v>مكافاه عيد اضحى ا ه ت</v>
      </c>
      <c r="I916" s="223">
        <v>138984.01</v>
      </c>
      <c r="AV916" s="22">
        <f t="shared" si="92"/>
        <v>138984.01</v>
      </c>
      <c r="AW916" s="223">
        <v>122860.64</v>
      </c>
      <c r="AX916" s="223">
        <v>14828.9</v>
      </c>
      <c r="AY916" s="223">
        <v>1294.47</v>
      </c>
      <c r="CK916" s="22">
        <f t="shared" si="94"/>
        <v>138984.01</v>
      </c>
      <c r="CL916" s="3">
        <f t="shared" si="95"/>
        <v>0</v>
      </c>
      <c r="CM916" s="222">
        <f t="shared" si="96"/>
        <v>13055</v>
      </c>
      <c r="CN916" s="3" t="str">
        <f t="shared" si="97"/>
        <v>برنامج دولى</v>
      </c>
    </row>
    <row r="917" spans="3:92" x14ac:dyDescent="0.25">
      <c r="D917" s="224">
        <v>20928</v>
      </c>
      <c r="E917" s="224">
        <v>13056</v>
      </c>
      <c r="F917" s="250" t="s">
        <v>78</v>
      </c>
      <c r="G917" s="223" t="str">
        <f>+G916</f>
        <v>مكافاه عيد اضحى ا ه ت</v>
      </c>
      <c r="I917" s="223">
        <v>113903.56</v>
      </c>
      <c r="AV917" s="22">
        <f t="shared" si="92"/>
        <v>113903.56</v>
      </c>
      <c r="AW917" s="223">
        <v>99536.42</v>
      </c>
      <c r="AX917" s="223">
        <v>12068.5</v>
      </c>
      <c r="AY917" s="223">
        <v>2298.64</v>
      </c>
      <c r="CK917" s="22">
        <f t="shared" si="94"/>
        <v>113903.56</v>
      </c>
      <c r="CL917" s="3">
        <f t="shared" si="95"/>
        <v>0</v>
      </c>
      <c r="CM917" s="222">
        <f t="shared" si="96"/>
        <v>13056</v>
      </c>
      <c r="CN917" s="3" t="str">
        <f t="shared" si="97"/>
        <v>برنامج دولى</v>
      </c>
    </row>
    <row r="918" spans="3:92" x14ac:dyDescent="0.25">
      <c r="D918" s="224">
        <v>20930</v>
      </c>
      <c r="E918" s="224">
        <v>13057</v>
      </c>
      <c r="F918" s="250" t="s">
        <v>78</v>
      </c>
      <c r="G918" s="223" t="str">
        <f>+G917</f>
        <v>مكافاه عيد اضحى ا ه ت</v>
      </c>
      <c r="I918" s="223">
        <v>45195.49</v>
      </c>
      <c r="AV918" s="22">
        <f t="shared" si="92"/>
        <v>45195.49</v>
      </c>
      <c r="AW918" s="223">
        <v>40046.25</v>
      </c>
      <c r="AX918" s="223">
        <v>4829.1000000000004</v>
      </c>
      <c r="AY918" s="223">
        <v>320.14</v>
      </c>
      <c r="CK918" s="22">
        <f t="shared" si="94"/>
        <v>45195.49</v>
      </c>
      <c r="CL918" s="3">
        <f t="shared" si="95"/>
        <v>0</v>
      </c>
      <c r="CM918" s="222">
        <f t="shared" si="96"/>
        <v>13057</v>
      </c>
      <c r="CN918" s="3" t="str">
        <f t="shared" si="97"/>
        <v>برنامج دولى</v>
      </c>
    </row>
    <row r="919" spans="3:92" x14ac:dyDescent="0.25">
      <c r="D919" s="224">
        <v>20865</v>
      </c>
      <c r="E919" s="224">
        <v>13058</v>
      </c>
      <c r="F919" s="250" t="s">
        <v>78</v>
      </c>
      <c r="G919" s="223" t="str">
        <f>+G918</f>
        <v>مكافاه عيد اضحى ا ه ت</v>
      </c>
      <c r="I919" s="223">
        <v>9388.1200000000008</v>
      </c>
      <c r="AV919" s="22">
        <f t="shared" si="92"/>
        <v>9388.1200000000008</v>
      </c>
      <c r="AW919" s="223">
        <v>7788.35</v>
      </c>
      <c r="AX919" s="223">
        <v>964.15</v>
      </c>
      <c r="AY919" s="223">
        <v>635.62</v>
      </c>
      <c r="CK919" s="22">
        <f t="shared" si="94"/>
        <v>9388.1200000000008</v>
      </c>
      <c r="CL919" s="3">
        <f t="shared" si="95"/>
        <v>0</v>
      </c>
      <c r="CM919" s="222">
        <f t="shared" si="96"/>
        <v>13058</v>
      </c>
      <c r="CN919" s="3" t="str">
        <f t="shared" si="97"/>
        <v>برنامج دولى</v>
      </c>
    </row>
    <row r="920" spans="3:92" x14ac:dyDescent="0.25">
      <c r="D920" s="224">
        <v>20863</v>
      </c>
      <c r="E920" s="224">
        <v>13059</v>
      </c>
      <c r="F920" s="250" t="s">
        <v>78</v>
      </c>
      <c r="G920" s="223" t="str">
        <f>+G919</f>
        <v>مكافاه عيد اضحى ا ه ت</v>
      </c>
      <c r="I920" s="223">
        <v>2250</v>
      </c>
      <c r="AV920" s="22">
        <f t="shared" si="92"/>
        <v>2250</v>
      </c>
      <c r="AW920" s="223">
        <v>2008.5</v>
      </c>
      <c r="AX920" s="223">
        <v>241.5</v>
      </c>
      <c r="CK920" s="22">
        <f t="shared" si="94"/>
        <v>2250</v>
      </c>
      <c r="CL920" s="3">
        <f t="shared" si="95"/>
        <v>0</v>
      </c>
      <c r="CM920" s="222">
        <f t="shared" si="96"/>
        <v>13059</v>
      </c>
      <c r="CN920" s="3" t="str">
        <f t="shared" si="97"/>
        <v>برنامج دولى</v>
      </c>
    </row>
    <row r="921" spans="3:92" x14ac:dyDescent="0.25">
      <c r="D921" s="224">
        <v>20926</v>
      </c>
      <c r="E921" s="224">
        <v>13060</v>
      </c>
      <c r="F921" s="250" t="s">
        <v>78</v>
      </c>
      <c r="G921" s="223" t="str">
        <f t="shared" ref="G921:G924" si="98">+G920</f>
        <v>مكافاه عيد اضحى ا ه ت</v>
      </c>
      <c r="I921" s="223">
        <v>140283.54</v>
      </c>
      <c r="AV921" s="22">
        <f t="shared" si="92"/>
        <v>140283.54</v>
      </c>
      <c r="AW921" s="223">
        <v>117152.2</v>
      </c>
      <c r="AX921" s="223">
        <v>14465.2</v>
      </c>
      <c r="AY921" s="223">
        <v>8666.14</v>
      </c>
      <c r="CK921" s="22">
        <f t="shared" si="94"/>
        <v>140283.53999999998</v>
      </c>
      <c r="CL921" s="3">
        <f t="shared" si="95"/>
        <v>0</v>
      </c>
      <c r="CM921" s="222">
        <f t="shared" si="96"/>
        <v>13060</v>
      </c>
      <c r="CN921" s="3" t="str">
        <f t="shared" si="97"/>
        <v>برنامج دولى</v>
      </c>
    </row>
    <row r="922" spans="3:92" x14ac:dyDescent="0.25">
      <c r="D922" s="224">
        <v>20927</v>
      </c>
      <c r="E922" s="224">
        <v>13061</v>
      </c>
      <c r="F922" s="250" t="s">
        <v>78</v>
      </c>
      <c r="G922" s="223" t="str">
        <f t="shared" si="98"/>
        <v>مكافاه عيد اضحى ا ه ت</v>
      </c>
      <c r="I922" s="223">
        <v>70397.73</v>
      </c>
      <c r="AV922" s="22">
        <f t="shared" si="92"/>
        <v>70397.73</v>
      </c>
      <c r="AW922" s="223">
        <v>61853.38</v>
      </c>
      <c r="AX922" s="223">
        <v>7483.55</v>
      </c>
      <c r="AY922" s="223">
        <v>1060.8</v>
      </c>
      <c r="CK922" s="22">
        <f t="shared" si="94"/>
        <v>70397.73</v>
      </c>
      <c r="CL922" s="3">
        <f t="shared" si="95"/>
        <v>0</v>
      </c>
      <c r="CM922" s="222">
        <f t="shared" si="96"/>
        <v>13061</v>
      </c>
      <c r="CN922" s="3" t="str">
        <f t="shared" si="97"/>
        <v>برنامج دولى</v>
      </c>
    </row>
    <row r="923" spans="3:92" x14ac:dyDescent="0.25">
      <c r="D923" s="224">
        <v>20866</v>
      </c>
      <c r="E923" s="224">
        <v>13062</v>
      </c>
      <c r="F923" s="250" t="s">
        <v>78</v>
      </c>
      <c r="G923" s="223" t="str">
        <f t="shared" si="98"/>
        <v>مكافاه عيد اضحى ا ه ت</v>
      </c>
      <c r="I923" s="223">
        <v>138329.69</v>
      </c>
      <c r="AV923" s="22">
        <f t="shared" si="92"/>
        <v>138329.69</v>
      </c>
      <c r="AW923" s="223">
        <v>121835.14</v>
      </c>
      <c r="AX923" s="223">
        <v>14726.35</v>
      </c>
      <c r="AY923" s="223">
        <v>1768.2</v>
      </c>
      <c r="CK923" s="22">
        <f t="shared" si="94"/>
        <v>138329.69</v>
      </c>
      <c r="CL923" s="3">
        <f t="shared" si="95"/>
        <v>0</v>
      </c>
      <c r="CM923" s="222">
        <f t="shared" si="96"/>
        <v>13062</v>
      </c>
      <c r="CN923" s="3" t="str">
        <f t="shared" si="97"/>
        <v>برنامج دولى</v>
      </c>
    </row>
    <row r="924" spans="3:92" x14ac:dyDescent="0.25">
      <c r="D924" s="224">
        <v>20868</v>
      </c>
      <c r="E924" s="224">
        <v>13063</v>
      </c>
      <c r="F924" s="250" t="s">
        <v>78</v>
      </c>
      <c r="G924" s="223" t="str">
        <f t="shared" si="98"/>
        <v>مكافاه عيد اضحى ا ه ت</v>
      </c>
      <c r="I924" s="223">
        <v>66487.490000000005</v>
      </c>
      <c r="AV924" s="22">
        <f t="shared" si="92"/>
        <v>66487.490000000005</v>
      </c>
      <c r="AW924" s="223">
        <v>57463.12</v>
      </c>
      <c r="AX924" s="223">
        <v>6997.75</v>
      </c>
      <c r="AY924" s="223">
        <v>2026.62</v>
      </c>
      <c r="CK924" s="22">
        <f t="shared" si="94"/>
        <v>66487.490000000005</v>
      </c>
      <c r="CL924" s="3">
        <f t="shared" si="95"/>
        <v>0</v>
      </c>
      <c r="CM924" s="222">
        <f t="shared" si="96"/>
        <v>13063</v>
      </c>
      <c r="CN924" s="3" t="str">
        <f t="shared" si="97"/>
        <v>برنامج دولى</v>
      </c>
    </row>
    <row r="925" spans="3:92" x14ac:dyDescent="0.25">
      <c r="D925" s="224">
        <v>20864</v>
      </c>
      <c r="E925" s="224">
        <v>13064</v>
      </c>
      <c r="F925" s="250" t="s">
        <v>78</v>
      </c>
      <c r="G925" s="223" t="str">
        <f>+G924</f>
        <v>مكافاه عيد اضحى ا ه ت</v>
      </c>
      <c r="I925" s="223">
        <v>128723.87</v>
      </c>
      <c r="AV925" s="22">
        <f t="shared" si="92"/>
        <v>128723.87</v>
      </c>
      <c r="AW925" s="223">
        <v>114184.57</v>
      </c>
      <c r="AX925" s="223">
        <v>13763.25</v>
      </c>
      <c r="AY925" s="223">
        <v>776.05</v>
      </c>
      <c r="CK925" s="22">
        <f t="shared" si="94"/>
        <v>128723.87000000001</v>
      </c>
      <c r="CL925" s="3">
        <f t="shared" si="95"/>
        <v>0</v>
      </c>
      <c r="CM925" s="222">
        <f t="shared" si="96"/>
        <v>13064</v>
      </c>
      <c r="CN925" s="3" t="str">
        <f t="shared" si="97"/>
        <v>برنامج دولى</v>
      </c>
    </row>
    <row r="926" spans="3:92" x14ac:dyDescent="0.25">
      <c r="D926" s="224">
        <v>20859</v>
      </c>
      <c r="E926" s="224">
        <v>13065</v>
      </c>
      <c r="F926" s="250" t="s">
        <v>78</v>
      </c>
      <c r="G926" s="223" t="str">
        <f>+G925</f>
        <v>مكافاه عيد اضحى ا ه ت</v>
      </c>
      <c r="I926" s="223">
        <v>138902.13</v>
      </c>
      <c r="AV926" s="22">
        <f t="shared" si="92"/>
        <v>138902.13</v>
      </c>
      <c r="AW926" s="223">
        <v>117141.58</v>
      </c>
      <c r="AX926" s="223">
        <v>14406.28</v>
      </c>
      <c r="AY926" s="223">
        <v>7354.27</v>
      </c>
      <c r="CK926" s="22">
        <f t="shared" si="94"/>
        <v>138902.13</v>
      </c>
      <c r="CL926" s="3">
        <f t="shared" si="95"/>
        <v>0</v>
      </c>
      <c r="CM926" s="222">
        <f t="shared" si="96"/>
        <v>13065</v>
      </c>
      <c r="CN926" s="3" t="str">
        <f t="shared" si="97"/>
        <v>برنامج دولى</v>
      </c>
    </row>
    <row r="927" spans="3:92" x14ac:dyDescent="0.25">
      <c r="D927" s="224">
        <v>20925</v>
      </c>
      <c r="E927" s="224">
        <v>13066</v>
      </c>
      <c r="F927" s="250" t="s">
        <v>78</v>
      </c>
      <c r="G927" s="223" t="s">
        <v>5438</v>
      </c>
      <c r="I927" s="223">
        <v>54309.25</v>
      </c>
      <c r="AV927" s="22">
        <f t="shared" si="92"/>
        <v>54309.25</v>
      </c>
      <c r="AW927" s="223">
        <v>37710.49</v>
      </c>
      <c r="AX927" s="223">
        <v>5037.8999999999996</v>
      </c>
      <c r="AY927" s="223">
        <v>11560.86</v>
      </c>
      <c r="CK927" s="22">
        <f t="shared" si="94"/>
        <v>54309.25</v>
      </c>
      <c r="CL927" s="3">
        <f t="shared" si="95"/>
        <v>0</v>
      </c>
      <c r="CM927" s="222">
        <f t="shared" si="96"/>
        <v>13066</v>
      </c>
      <c r="CN927" s="3" t="str">
        <f t="shared" si="97"/>
        <v>برنامج دولى</v>
      </c>
    </row>
    <row r="928" spans="3:92" x14ac:dyDescent="0.25">
      <c r="C928" s="223" t="s">
        <v>566</v>
      </c>
      <c r="D928" s="224">
        <v>20836</v>
      </c>
      <c r="E928" s="224">
        <v>13067</v>
      </c>
      <c r="F928" s="250" t="s">
        <v>78</v>
      </c>
      <c r="G928" s="223" t="str">
        <f>+G901</f>
        <v>مكافاه عيد اضحى اداريين</v>
      </c>
      <c r="I928" s="223">
        <v>10689.95</v>
      </c>
      <c r="AV928" s="22">
        <f t="shared" si="92"/>
        <v>10689.95</v>
      </c>
      <c r="AW928" s="223">
        <v>8490.09</v>
      </c>
      <c r="AX928" s="223">
        <v>1069.95</v>
      </c>
      <c r="AY928" s="223">
        <v>1129.9100000000001</v>
      </c>
      <c r="CK928" s="22">
        <f t="shared" si="94"/>
        <v>10689.95</v>
      </c>
      <c r="CL928" s="3">
        <f t="shared" si="95"/>
        <v>0</v>
      </c>
      <c r="CM928" s="222">
        <f t="shared" si="96"/>
        <v>13067</v>
      </c>
      <c r="CN928" s="3" t="str">
        <f t="shared" si="97"/>
        <v>برنامج دولى</v>
      </c>
    </row>
    <row r="929" spans="3:92" x14ac:dyDescent="0.25">
      <c r="C929" s="223" t="s">
        <v>566</v>
      </c>
      <c r="D929" s="224">
        <v>20837</v>
      </c>
      <c r="E929" s="224">
        <v>13068</v>
      </c>
      <c r="F929" s="250" t="s">
        <v>78</v>
      </c>
      <c r="G929" s="223" t="str">
        <f>+G928</f>
        <v>مكافاه عيد اضحى اداريين</v>
      </c>
      <c r="I929" s="223">
        <v>45873.18</v>
      </c>
      <c r="AV929" s="22">
        <f t="shared" si="92"/>
        <v>45873.18</v>
      </c>
      <c r="AW929" s="223">
        <v>35041.040000000001</v>
      </c>
      <c r="AX929" s="223">
        <v>4489.1000000000004</v>
      </c>
      <c r="AY929" s="223">
        <v>6343.04</v>
      </c>
      <c r="CK929" s="22">
        <f t="shared" si="94"/>
        <v>45873.18</v>
      </c>
      <c r="CL929" s="3">
        <f t="shared" si="95"/>
        <v>0</v>
      </c>
      <c r="CM929" s="222">
        <f t="shared" si="96"/>
        <v>13068</v>
      </c>
      <c r="CN929" s="3" t="str">
        <f t="shared" si="97"/>
        <v>برنامج دولى</v>
      </c>
    </row>
    <row r="930" spans="3:92" x14ac:dyDescent="0.25">
      <c r="C930" s="223" t="s">
        <v>566</v>
      </c>
      <c r="D930" s="224">
        <v>20838</v>
      </c>
      <c r="E930" s="224">
        <v>13069</v>
      </c>
      <c r="F930" s="250" t="s">
        <v>78</v>
      </c>
      <c r="G930" s="223" t="s">
        <v>5448</v>
      </c>
      <c r="I930" s="223">
        <v>2248.92</v>
      </c>
      <c r="AV930" s="22">
        <f t="shared" si="92"/>
        <v>2248.92</v>
      </c>
      <c r="AW930" s="223">
        <v>1627.82</v>
      </c>
      <c r="AX930" s="223">
        <v>213.45</v>
      </c>
      <c r="AY930" s="223">
        <v>407.65</v>
      </c>
      <c r="CK930" s="22">
        <f t="shared" si="94"/>
        <v>2248.92</v>
      </c>
      <c r="CL930" s="3">
        <f t="shared" si="95"/>
        <v>0</v>
      </c>
      <c r="CM930" s="222">
        <f t="shared" si="96"/>
        <v>13069</v>
      </c>
      <c r="CN930" s="3" t="str">
        <f t="shared" si="97"/>
        <v>برنامج دولى</v>
      </c>
    </row>
    <row r="931" spans="3:92" x14ac:dyDescent="0.25">
      <c r="C931" s="223" t="s">
        <v>566</v>
      </c>
      <c r="D931" s="224">
        <v>20835</v>
      </c>
      <c r="E931" s="224">
        <v>13070</v>
      </c>
      <c r="F931" s="250" t="s">
        <v>78</v>
      </c>
      <c r="G931" s="223" t="str">
        <f>+G930</f>
        <v>مكافاه عيد اضحى فنيين</v>
      </c>
      <c r="I931" s="223">
        <v>96496.37</v>
      </c>
      <c r="AV931" s="22">
        <f t="shared" si="92"/>
        <v>96496.37</v>
      </c>
      <c r="AW931" s="223">
        <v>73240.61</v>
      </c>
      <c r="AX931" s="223">
        <v>9177.65</v>
      </c>
      <c r="AY931" s="223">
        <v>14078.11</v>
      </c>
      <c r="CK931" s="22">
        <f t="shared" si="94"/>
        <v>96496.37</v>
      </c>
      <c r="CL931" s="3">
        <f t="shared" si="95"/>
        <v>0</v>
      </c>
      <c r="CM931" s="222">
        <f t="shared" si="96"/>
        <v>13070</v>
      </c>
      <c r="CN931" s="3" t="str">
        <f t="shared" si="97"/>
        <v>برنامج دولى</v>
      </c>
    </row>
    <row r="932" spans="3:92" x14ac:dyDescent="0.25">
      <c r="C932" s="223" t="s">
        <v>566</v>
      </c>
      <c r="D932" s="224">
        <v>20833</v>
      </c>
      <c r="E932" s="224">
        <v>13071</v>
      </c>
      <c r="F932" s="250" t="s">
        <v>78</v>
      </c>
      <c r="G932" s="223" t="str">
        <f>+G929</f>
        <v>مكافاه عيد اضحى اداريين</v>
      </c>
      <c r="I932" s="223">
        <v>4345</v>
      </c>
      <c r="AV932" s="22">
        <f t="shared" si="92"/>
        <v>4345</v>
      </c>
      <c r="AW932" s="223">
        <v>3352.35</v>
      </c>
      <c r="AX932" s="223">
        <v>427.65</v>
      </c>
      <c r="AY932" s="223">
        <v>565</v>
      </c>
      <c r="CK932" s="22">
        <f t="shared" si="94"/>
        <v>4345</v>
      </c>
      <c r="CL932" s="3">
        <f t="shared" si="95"/>
        <v>0</v>
      </c>
      <c r="CM932" s="222">
        <f t="shared" si="96"/>
        <v>13071</v>
      </c>
      <c r="CN932" s="3" t="str">
        <f t="shared" si="97"/>
        <v>برنامج دولى</v>
      </c>
    </row>
    <row r="933" spans="3:92" x14ac:dyDescent="0.25">
      <c r="E933" s="224">
        <v>13072</v>
      </c>
      <c r="F933" s="250" t="s">
        <v>332</v>
      </c>
      <c r="I933" s="223">
        <v>0</v>
      </c>
      <c r="AV933" s="22">
        <f t="shared" si="92"/>
        <v>0</v>
      </c>
      <c r="AW933" s="223">
        <v>0</v>
      </c>
      <c r="CK933" s="22">
        <f t="shared" si="94"/>
        <v>0</v>
      </c>
      <c r="CL933" s="3">
        <f t="shared" si="95"/>
        <v>0</v>
      </c>
      <c r="CM933" s="222">
        <f t="shared" si="96"/>
        <v>13072</v>
      </c>
      <c r="CN933" s="3" t="str">
        <f t="shared" si="97"/>
        <v xml:space="preserve">لاب فقط </v>
      </c>
    </row>
    <row r="934" spans="3:92" x14ac:dyDescent="0.25">
      <c r="E934" s="224">
        <v>13073</v>
      </c>
      <c r="F934" s="250" t="s">
        <v>332</v>
      </c>
      <c r="I934" s="223">
        <v>0</v>
      </c>
      <c r="AV934" s="22">
        <f t="shared" si="92"/>
        <v>0</v>
      </c>
      <c r="AW934" s="223">
        <v>0</v>
      </c>
      <c r="CK934" s="22">
        <f t="shared" si="94"/>
        <v>0</v>
      </c>
      <c r="CL934" s="3">
        <f t="shared" si="95"/>
        <v>0</v>
      </c>
      <c r="CM934" s="222">
        <f t="shared" si="96"/>
        <v>13073</v>
      </c>
      <c r="CN934" s="3" t="str">
        <f t="shared" si="97"/>
        <v xml:space="preserve">لاب فقط </v>
      </c>
    </row>
    <row r="935" spans="3:92" x14ac:dyDescent="0.25">
      <c r="C935" s="223" t="s">
        <v>566</v>
      </c>
      <c r="D935" s="224">
        <v>20834</v>
      </c>
      <c r="E935" s="224">
        <v>13074</v>
      </c>
      <c r="F935" s="250" t="s">
        <v>78</v>
      </c>
      <c r="G935" s="223" t="str">
        <f>+G931</f>
        <v>مكافاه عيد اضحى فنيين</v>
      </c>
      <c r="I935" s="223">
        <v>12000</v>
      </c>
      <c r="AV935" s="22">
        <f t="shared" si="92"/>
        <v>12000</v>
      </c>
      <c r="AW935" s="223">
        <v>10712.1</v>
      </c>
      <c r="AX935" s="223">
        <v>1287.9000000000001</v>
      </c>
      <c r="CK935" s="22">
        <f t="shared" si="94"/>
        <v>12000</v>
      </c>
      <c r="CL935" s="3">
        <f t="shared" si="95"/>
        <v>0</v>
      </c>
      <c r="CM935" s="222">
        <f t="shared" si="96"/>
        <v>13074</v>
      </c>
      <c r="CN935" s="3" t="str">
        <f t="shared" si="97"/>
        <v>برنامج دولى</v>
      </c>
    </row>
    <row r="936" spans="3:92" x14ac:dyDescent="0.25">
      <c r="C936" s="223" t="s">
        <v>566</v>
      </c>
      <c r="D936" s="224">
        <v>20824</v>
      </c>
      <c r="E936" s="224">
        <v>13075</v>
      </c>
      <c r="F936" s="250" t="s">
        <v>78</v>
      </c>
      <c r="G936" s="223" t="s">
        <v>5435</v>
      </c>
      <c r="I936" s="223">
        <v>158143.41</v>
      </c>
      <c r="AV936" s="22">
        <f t="shared" si="92"/>
        <v>158143.41</v>
      </c>
      <c r="AW936" s="223">
        <v>119441.77</v>
      </c>
      <c r="AX936" s="223">
        <v>15375.45</v>
      </c>
      <c r="AY936" s="223">
        <v>23326.19</v>
      </c>
      <c r="CK936" s="22">
        <f t="shared" si="94"/>
        <v>158143.41</v>
      </c>
      <c r="CL936" s="3">
        <f t="shared" si="95"/>
        <v>0</v>
      </c>
      <c r="CM936" s="222">
        <f t="shared" si="96"/>
        <v>13075</v>
      </c>
      <c r="CN936" s="3" t="str">
        <f t="shared" si="97"/>
        <v>برنامج دولى</v>
      </c>
    </row>
    <row r="937" spans="3:92" x14ac:dyDescent="0.25">
      <c r="D937" s="224">
        <v>20843</v>
      </c>
      <c r="E937" s="224">
        <v>13076</v>
      </c>
      <c r="F937" s="250" t="s">
        <v>78</v>
      </c>
      <c r="G937" s="223" t="str">
        <f>+G926</f>
        <v>مكافاه عيد اضحى ا ه ت</v>
      </c>
      <c r="I937" s="223">
        <v>2250</v>
      </c>
      <c r="AV937" s="22">
        <f t="shared" si="92"/>
        <v>2250</v>
      </c>
      <c r="AW937" s="223">
        <v>2008.5</v>
      </c>
      <c r="AX937" s="223">
        <v>241.5</v>
      </c>
      <c r="CK937" s="22">
        <f t="shared" si="94"/>
        <v>2250</v>
      </c>
      <c r="CL937" s="3">
        <f t="shared" si="95"/>
        <v>0</v>
      </c>
      <c r="CM937" s="222">
        <f t="shared" si="96"/>
        <v>13076</v>
      </c>
      <c r="CN937" s="3" t="str">
        <f t="shared" si="97"/>
        <v>برنامج دولى</v>
      </c>
    </row>
    <row r="938" spans="3:92" x14ac:dyDescent="0.25">
      <c r="C938" s="223" t="s">
        <v>574</v>
      </c>
      <c r="D938" s="224">
        <v>20839</v>
      </c>
      <c r="E938" s="224">
        <v>13077</v>
      </c>
      <c r="F938" s="250" t="s">
        <v>78</v>
      </c>
      <c r="G938" s="223" t="str">
        <f>+G937</f>
        <v>مكافاه عيد اضحى ا ه ت</v>
      </c>
      <c r="I938" s="223">
        <v>20250</v>
      </c>
      <c r="AV938" s="22">
        <f t="shared" si="92"/>
        <v>20250</v>
      </c>
      <c r="AW938" s="223">
        <v>18076.5</v>
      </c>
      <c r="AX938" s="223">
        <v>2173.5</v>
      </c>
      <c r="CK938" s="22">
        <f t="shared" si="94"/>
        <v>20250</v>
      </c>
      <c r="CL938" s="3">
        <f t="shared" si="95"/>
        <v>0</v>
      </c>
      <c r="CM938" s="222">
        <f t="shared" si="96"/>
        <v>13077</v>
      </c>
      <c r="CN938" s="3" t="str">
        <f t="shared" si="97"/>
        <v>برنامج دولى</v>
      </c>
    </row>
    <row r="939" spans="3:92" x14ac:dyDescent="0.25">
      <c r="D939" s="224">
        <v>20582</v>
      </c>
      <c r="E939" s="224">
        <v>13078</v>
      </c>
      <c r="F939" s="250" t="s">
        <v>78</v>
      </c>
      <c r="G939" s="223" t="s">
        <v>5449</v>
      </c>
      <c r="I939" s="223">
        <v>7745.72</v>
      </c>
      <c r="AV939" s="22">
        <f t="shared" si="92"/>
        <v>7745.72</v>
      </c>
      <c r="AW939" s="223">
        <v>5175.78</v>
      </c>
      <c r="AX939" s="223">
        <v>703.67</v>
      </c>
      <c r="AY939" s="223">
        <v>1866.27</v>
      </c>
      <c r="CK939" s="22">
        <f t="shared" si="94"/>
        <v>7745.7199999999993</v>
      </c>
      <c r="CL939" s="3">
        <f t="shared" si="95"/>
        <v>0</v>
      </c>
      <c r="CM939" s="222">
        <f t="shared" si="96"/>
        <v>13078</v>
      </c>
      <c r="CN939" s="3" t="str">
        <f t="shared" si="97"/>
        <v>برنامج دولى</v>
      </c>
    </row>
    <row r="940" spans="3:92" x14ac:dyDescent="0.25">
      <c r="C940" s="223" t="s">
        <v>571</v>
      </c>
      <c r="D940" s="224">
        <v>20583</v>
      </c>
      <c r="E940" s="224">
        <v>13079</v>
      </c>
      <c r="F940" s="250" t="s">
        <v>78</v>
      </c>
      <c r="G940" s="223" t="s">
        <v>5449</v>
      </c>
      <c r="I940" s="223">
        <v>12434.24</v>
      </c>
      <c r="AV940" s="22">
        <f t="shared" si="92"/>
        <v>12434.24</v>
      </c>
      <c r="AW940" s="223">
        <v>8308.8799999999992</v>
      </c>
      <c r="AX940" s="223">
        <v>1129.48</v>
      </c>
      <c r="AY940" s="223">
        <v>2995.88</v>
      </c>
      <c r="CK940" s="22">
        <f t="shared" si="94"/>
        <v>12434.239999999998</v>
      </c>
      <c r="CL940" s="3">
        <f t="shared" si="95"/>
        <v>0</v>
      </c>
      <c r="CM940" s="222">
        <f t="shared" si="96"/>
        <v>13079</v>
      </c>
      <c r="CN940" s="3" t="str">
        <f t="shared" si="97"/>
        <v>برنامج دولى</v>
      </c>
    </row>
    <row r="941" spans="3:92" x14ac:dyDescent="0.25">
      <c r="C941" s="223" t="s">
        <v>571</v>
      </c>
      <c r="D941" s="224">
        <v>20580</v>
      </c>
      <c r="E941" s="224">
        <v>13080</v>
      </c>
      <c r="F941" s="250" t="s">
        <v>78</v>
      </c>
      <c r="G941" s="223" t="s">
        <v>5449</v>
      </c>
      <c r="I941" s="223">
        <v>56452.03</v>
      </c>
      <c r="AV941" s="22">
        <f t="shared" si="92"/>
        <v>56452.03</v>
      </c>
      <c r="AW941" s="223">
        <v>37723.72</v>
      </c>
      <c r="AX941" s="223">
        <v>5126.8900000000003</v>
      </c>
      <c r="AY941" s="223">
        <v>13601.42</v>
      </c>
      <c r="CK941" s="22">
        <f t="shared" si="94"/>
        <v>56452.03</v>
      </c>
      <c r="CL941" s="3">
        <f t="shared" si="95"/>
        <v>0</v>
      </c>
      <c r="CM941" s="222">
        <f t="shared" si="96"/>
        <v>13080</v>
      </c>
      <c r="CN941" s="3" t="str">
        <f t="shared" si="97"/>
        <v>برنامج دولى</v>
      </c>
    </row>
    <row r="942" spans="3:92" x14ac:dyDescent="0.25">
      <c r="C942" s="223" t="s">
        <v>571</v>
      </c>
      <c r="D942" s="224">
        <v>20581</v>
      </c>
      <c r="E942" s="224">
        <v>13081</v>
      </c>
      <c r="F942" s="250" t="s">
        <v>78</v>
      </c>
      <c r="G942" s="223" t="s">
        <v>5449</v>
      </c>
      <c r="I942" s="223">
        <v>9966.7099999999991</v>
      </c>
      <c r="AV942" s="22">
        <f t="shared" si="92"/>
        <v>9966.7099999999991</v>
      </c>
      <c r="AW942" s="223">
        <v>6661.36</v>
      </c>
      <c r="AX942" s="223">
        <v>904.04</v>
      </c>
      <c r="AY942" s="223">
        <v>2401.31</v>
      </c>
      <c r="CK942" s="22">
        <f t="shared" si="94"/>
        <v>9966.7099999999991</v>
      </c>
      <c r="CL942" s="3">
        <f t="shared" si="95"/>
        <v>0</v>
      </c>
      <c r="CM942" s="222">
        <f t="shared" si="96"/>
        <v>13081</v>
      </c>
      <c r="CN942" s="3" t="str">
        <f t="shared" si="97"/>
        <v>برنامج دولى</v>
      </c>
    </row>
    <row r="943" spans="3:92" x14ac:dyDescent="0.25">
      <c r="C943" s="223" t="s">
        <v>571</v>
      </c>
      <c r="D943" s="224">
        <v>20584</v>
      </c>
      <c r="E943" s="224">
        <v>13082</v>
      </c>
      <c r="F943" s="250" t="s">
        <v>78</v>
      </c>
      <c r="G943" s="223" t="s">
        <v>5449</v>
      </c>
      <c r="I943" s="223">
        <v>5600.88</v>
      </c>
      <c r="AV943" s="22">
        <f t="shared" si="92"/>
        <v>5600.88</v>
      </c>
      <c r="AW943" s="223">
        <v>3742.58</v>
      </c>
      <c r="AX943" s="223">
        <v>508.84</v>
      </c>
      <c r="AY943" s="223">
        <v>1349.46</v>
      </c>
      <c r="CK943" s="22">
        <f t="shared" si="94"/>
        <v>5600.88</v>
      </c>
      <c r="CL943" s="3">
        <f t="shared" si="95"/>
        <v>0</v>
      </c>
      <c r="CM943" s="222">
        <f t="shared" si="96"/>
        <v>13082</v>
      </c>
      <c r="CN943" s="3" t="str">
        <f t="shared" si="97"/>
        <v>برنامج دولى</v>
      </c>
    </row>
    <row r="944" spans="3:92" x14ac:dyDescent="0.25">
      <c r="C944" s="223" t="s">
        <v>571</v>
      </c>
      <c r="D944" s="224">
        <v>20585</v>
      </c>
      <c r="E944" s="224">
        <v>13083</v>
      </c>
      <c r="F944" s="250" t="s">
        <v>78</v>
      </c>
      <c r="G944" s="223" t="s">
        <v>5449</v>
      </c>
      <c r="I944" s="223">
        <v>6711.57</v>
      </c>
      <c r="AV944" s="22">
        <f t="shared" si="92"/>
        <v>6711.57</v>
      </c>
      <c r="AW944" s="223">
        <v>4484.57</v>
      </c>
      <c r="AX944" s="223">
        <v>609.91999999999996</v>
      </c>
      <c r="AY944" s="223">
        <v>1617.08</v>
      </c>
      <c r="CK944" s="22">
        <f t="shared" si="94"/>
        <v>6711.57</v>
      </c>
      <c r="CL944" s="3">
        <f t="shared" si="95"/>
        <v>0</v>
      </c>
      <c r="CM944" s="222">
        <f t="shared" si="96"/>
        <v>13083</v>
      </c>
      <c r="CN944" s="3" t="str">
        <f t="shared" si="97"/>
        <v>برنامج دولى</v>
      </c>
    </row>
    <row r="945" spans="3:92" x14ac:dyDescent="0.25">
      <c r="C945" s="223" t="s">
        <v>571</v>
      </c>
      <c r="D945" s="224">
        <v>20586</v>
      </c>
      <c r="E945" s="224">
        <v>13084</v>
      </c>
      <c r="F945" s="250" t="s">
        <v>78</v>
      </c>
      <c r="G945" s="223" t="s">
        <v>5449</v>
      </c>
      <c r="I945" s="223">
        <v>2852.61</v>
      </c>
      <c r="AV945" s="22">
        <f t="shared" si="92"/>
        <v>2852.61</v>
      </c>
      <c r="AW945" s="223">
        <v>1906.12</v>
      </c>
      <c r="AX945" s="223">
        <v>259.19</v>
      </c>
      <c r="AY945" s="223">
        <v>687.3</v>
      </c>
      <c r="CK945" s="22">
        <f t="shared" si="94"/>
        <v>2852.6099999999997</v>
      </c>
      <c r="CL945" s="3">
        <f t="shared" si="95"/>
        <v>0</v>
      </c>
      <c r="CM945" s="222">
        <f t="shared" si="96"/>
        <v>13084</v>
      </c>
      <c r="CN945" s="3" t="str">
        <f t="shared" si="97"/>
        <v>برنامج دولى</v>
      </c>
    </row>
    <row r="946" spans="3:92" x14ac:dyDescent="0.25">
      <c r="C946" s="223" t="s">
        <v>571</v>
      </c>
      <c r="D946" s="224">
        <v>20587</v>
      </c>
      <c r="E946" s="224">
        <v>13085</v>
      </c>
      <c r="F946" s="250" t="s">
        <v>78</v>
      </c>
      <c r="G946" s="223" t="s">
        <v>5450</v>
      </c>
      <c r="I946" s="223">
        <v>57404.58</v>
      </c>
      <c r="AV946" s="22">
        <f t="shared" si="92"/>
        <v>57404.58</v>
      </c>
      <c r="AW946" s="223">
        <v>41201.919999999998</v>
      </c>
      <c r="AX946" s="223">
        <v>5422.89</v>
      </c>
      <c r="AY946" s="223">
        <v>10779.77</v>
      </c>
      <c r="CK946" s="22">
        <f t="shared" si="94"/>
        <v>57404.58</v>
      </c>
      <c r="CL946" s="3">
        <f t="shared" si="95"/>
        <v>0</v>
      </c>
      <c r="CM946" s="222">
        <f t="shared" si="96"/>
        <v>13085</v>
      </c>
      <c r="CN946" s="3" t="str">
        <f t="shared" si="97"/>
        <v>برنامج دولى</v>
      </c>
    </row>
    <row r="947" spans="3:92" x14ac:dyDescent="0.25">
      <c r="C947" s="223" t="s">
        <v>571</v>
      </c>
      <c r="D947" s="224">
        <v>20588</v>
      </c>
      <c r="E947" s="224">
        <v>13086</v>
      </c>
      <c r="F947" s="250" t="s">
        <v>78</v>
      </c>
      <c r="G947" s="223" t="s">
        <v>5450</v>
      </c>
      <c r="I947" s="223">
        <v>9675.4699999999993</v>
      </c>
      <c r="AV947" s="22">
        <f t="shared" si="92"/>
        <v>9675.4699999999993</v>
      </c>
      <c r="AW947" s="223">
        <v>6466.66</v>
      </c>
      <c r="AX947" s="223">
        <v>877.61</v>
      </c>
      <c r="AY947" s="223">
        <v>2331.1999999999998</v>
      </c>
      <c r="CK947" s="22">
        <f t="shared" si="94"/>
        <v>9675.4699999999993</v>
      </c>
      <c r="CL947" s="3">
        <f t="shared" si="95"/>
        <v>0</v>
      </c>
      <c r="CM947" s="222">
        <f t="shared" si="96"/>
        <v>13086</v>
      </c>
      <c r="CN947" s="3" t="str">
        <f t="shared" si="97"/>
        <v>برنامج دولى</v>
      </c>
    </row>
    <row r="948" spans="3:92" x14ac:dyDescent="0.25">
      <c r="C948" s="223" t="s">
        <v>571</v>
      </c>
      <c r="D948" s="224">
        <v>20589</v>
      </c>
      <c r="E948" s="224">
        <v>13087</v>
      </c>
      <c r="F948" s="250" t="s">
        <v>78</v>
      </c>
      <c r="G948" s="223" t="s">
        <v>5450</v>
      </c>
      <c r="I948" s="223">
        <v>12350.17</v>
      </c>
      <c r="AV948" s="22">
        <f t="shared" si="92"/>
        <v>12350.17</v>
      </c>
      <c r="AW948" s="223">
        <v>8562.9699999999993</v>
      </c>
      <c r="AX948" s="223">
        <v>1144.72</v>
      </c>
      <c r="AY948" s="223">
        <v>2642.48</v>
      </c>
      <c r="CK948" s="22">
        <f t="shared" si="94"/>
        <v>12350.169999999998</v>
      </c>
      <c r="CL948" s="3">
        <f t="shared" si="95"/>
        <v>0</v>
      </c>
      <c r="CM948" s="222">
        <f t="shared" si="96"/>
        <v>13087</v>
      </c>
      <c r="CN948" s="3" t="str">
        <f t="shared" si="97"/>
        <v>برنامج دولى</v>
      </c>
    </row>
    <row r="949" spans="3:92" x14ac:dyDescent="0.25">
      <c r="C949" s="223" t="s">
        <v>571</v>
      </c>
      <c r="D949" s="224">
        <v>20590</v>
      </c>
      <c r="E949" s="224">
        <v>13088</v>
      </c>
      <c r="F949" s="250" t="s">
        <v>78</v>
      </c>
      <c r="G949" s="223" t="s">
        <v>5450</v>
      </c>
      <c r="I949" s="223">
        <v>7627.01</v>
      </c>
      <c r="AV949" s="22">
        <f t="shared" si="92"/>
        <v>7627.01</v>
      </c>
      <c r="AW949" s="223">
        <v>5151.38</v>
      </c>
      <c r="AX949" s="223">
        <v>696.89</v>
      </c>
      <c r="AY949" s="223">
        <v>1778.74</v>
      </c>
      <c r="CK949" s="22">
        <f t="shared" si="94"/>
        <v>7627.01</v>
      </c>
      <c r="CL949" s="3">
        <f t="shared" si="95"/>
        <v>0</v>
      </c>
      <c r="CM949" s="222">
        <f t="shared" si="96"/>
        <v>13088</v>
      </c>
      <c r="CN949" s="3" t="str">
        <f t="shared" si="97"/>
        <v>برنامج دولى</v>
      </c>
    </row>
    <row r="950" spans="3:92" x14ac:dyDescent="0.25">
      <c r="C950" s="223" t="s">
        <v>571</v>
      </c>
      <c r="D950" s="224">
        <v>20604</v>
      </c>
      <c r="E950" s="224">
        <v>13089</v>
      </c>
      <c r="F950" s="250" t="s">
        <v>78</v>
      </c>
      <c r="G950" s="223" t="s">
        <v>5450</v>
      </c>
      <c r="I950" s="223">
        <v>2492.44</v>
      </c>
      <c r="AV950" s="22">
        <f t="shared" si="92"/>
        <v>2492.44</v>
      </c>
      <c r="AW950" s="223">
        <v>2224.85</v>
      </c>
      <c r="AX950" s="223">
        <v>267.58999999999997</v>
      </c>
      <c r="CK950" s="22">
        <f t="shared" si="94"/>
        <v>2492.44</v>
      </c>
      <c r="CL950" s="3">
        <f t="shared" si="95"/>
        <v>0</v>
      </c>
      <c r="CM950" s="222">
        <f t="shared" si="96"/>
        <v>13089</v>
      </c>
      <c r="CN950" s="3" t="str">
        <f t="shared" si="97"/>
        <v>برنامج دولى</v>
      </c>
    </row>
    <row r="951" spans="3:92" x14ac:dyDescent="0.25">
      <c r="C951" s="223" t="s">
        <v>571</v>
      </c>
      <c r="D951" s="224">
        <v>20605</v>
      </c>
      <c r="E951" s="224">
        <v>13090</v>
      </c>
      <c r="F951" s="250" t="s">
        <v>78</v>
      </c>
      <c r="G951" s="223" t="s">
        <v>5450</v>
      </c>
      <c r="I951" s="223">
        <v>5351.96</v>
      </c>
      <c r="AV951" s="22">
        <f t="shared" si="92"/>
        <v>5351.96</v>
      </c>
      <c r="AW951" s="223">
        <v>3576.24</v>
      </c>
      <c r="AX951" s="223">
        <v>486.21</v>
      </c>
      <c r="AY951" s="223">
        <v>1289.51</v>
      </c>
      <c r="CK951" s="22">
        <f t="shared" si="94"/>
        <v>5351.96</v>
      </c>
      <c r="CL951" s="3">
        <f t="shared" si="95"/>
        <v>0</v>
      </c>
      <c r="CM951" s="222">
        <f t="shared" si="96"/>
        <v>13090</v>
      </c>
      <c r="CN951" s="3" t="str">
        <f t="shared" si="97"/>
        <v>برنامج دولى</v>
      </c>
    </row>
    <row r="952" spans="3:92" x14ac:dyDescent="0.25">
      <c r="C952" s="223" t="s">
        <v>571</v>
      </c>
      <c r="D952" s="224">
        <v>20606</v>
      </c>
      <c r="E952" s="224">
        <v>13091</v>
      </c>
      <c r="F952" s="250" t="s">
        <v>78</v>
      </c>
      <c r="G952" s="223" t="s">
        <v>5450</v>
      </c>
      <c r="I952" s="223">
        <v>6371.62</v>
      </c>
      <c r="AV952" s="22">
        <f t="shared" si="92"/>
        <v>6371.62</v>
      </c>
      <c r="AW952" s="223">
        <v>4463.3100000000004</v>
      </c>
      <c r="AX952" s="223">
        <v>594.12</v>
      </c>
      <c r="AY952" s="223">
        <v>1314.19</v>
      </c>
      <c r="CK952" s="22">
        <f t="shared" si="94"/>
        <v>6371.6200000000008</v>
      </c>
      <c r="CL952" s="3">
        <f t="shared" si="95"/>
        <v>0</v>
      </c>
      <c r="CM952" s="222">
        <f t="shared" si="96"/>
        <v>13091</v>
      </c>
      <c r="CN952" s="3" t="str">
        <f t="shared" si="97"/>
        <v>برنامج دولى</v>
      </c>
    </row>
    <row r="953" spans="3:92" x14ac:dyDescent="0.25">
      <c r="C953" s="223" t="s">
        <v>571</v>
      </c>
      <c r="D953" s="224">
        <v>20597</v>
      </c>
      <c r="E953" s="224">
        <v>13092</v>
      </c>
      <c r="F953" s="250" t="s">
        <v>78</v>
      </c>
      <c r="G953" s="223" t="s">
        <v>5451</v>
      </c>
      <c r="I953" s="223">
        <v>3122.3</v>
      </c>
      <c r="AV953" s="22">
        <f t="shared" si="92"/>
        <v>3122.3</v>
      </c>
      <c r="AW953" s="223">
        <v>2787.02</v>
      </c>
      <c r="AX953" s="223">
        <v>335.28</v>
      </c>
      <c r="CK953" s="22">
        <f t="shared" si="94"/>
        <v>3122.3</v>
      </c>
      <c r="CL953" s="3">
        <f t="shared" si="95"/>
        <v>0</v>
      </c>
      <c r="CM953" s="222">
        <f t="shared" si="96"/>
        <v>13092</v>
      </c>
      <c r="CN953" s="3" t="str">
        <f t="shared" si="97"/>
        <v>برنامج دولى</v>
      </c>
    </row>
    <row r="954" spans="3:92" x14ac:dyDescent="0.25">
      <c r="C954" s="223" t="s">
        <v>571</v>
      </c>
      <c r="D954" s="224">
        <v>20598</v>
      </c>
      <c r="E954" s="224">
        <v>13093</v>
      </c>
      <c r="F954" s="250" t="s">
        <v>78</v>
      </c>
      <c r="G954" s="223" t="s">
        <v>5451</v>
      </c>
      <c r="I954" s="223">
        <v>6766.57</v>
      </c>
      <c r="AV954" s="22">
        <f t="shared" si="92"/>
        <v>6766.57</v>
      </c>
      <c r="AW954" s="223">
        <v>5207.8500000000004</v>
      </c>
      <c r="AX954" s="223">
        <v>665.47</v>
      </c>
      <c r="AY954" s="223">
        <v>893.25</v>
      </c>
      <c r="CK954" s="22">
        <f t="shared" si="94"/>
        <v>6766.5700000000006</v>
      </c>
      <c r="CL954" s="3">
        <f t="shared" si="95"/>
        <v>0</v>
      </c>
      <c r="CM954" s="222">
        <f t="shared" si="96"/>
        <v>13093</v>
      </c>
      <c r="CN954" s="3" t="str">
        <f t="shared" si="97"/>
        <v>برنامج دولى</v>
      </c>
    </row>
    <row r="955" spans="3:92" x14ac:dyDescent="0.25">
      <c r="C955" s="223" t="s">
        <v>571</v>
      </c>
      <c r="D955" s="224">
        <v>20599</v>
      </c>
      <c r="E955" s="224">
        <v>13094</v>
      </c>
      <c r="F955" s="250" t="s">
        <v>78</v>
      </c>
      <c r="G955" s="223" t="s">
        <v>5451</v>
      </c>
      <c r="I955" s="223">
        <v>7086.7</v>
      </c>
      <c r="AV955" s="22">
        <f t="shared" si="92"/>
        <v>7086.7</v>
      </c>
      <c r="AW955" s="223">
        <v>5999.65</v>
      </c>
      <c r="AX955" s="223">
        <v>737.1</v>
      </c>
      <c r="AY955" s="223">
        <v>349.95</v>
      </c>
      <c r="CK955" s="22">
        <f t="shared" si="94"/>
        <v>7086.7</v>
      </c>
      <c r="CL955" s="3">
        <f t="shared" si="95"/>
        <v>0</v>
      </c>
      <c r="CM955" s="222">
        <f t="shared" si="96"/>
        <v>13094</v>
      </c>
      <c r="CN955" s="3" t="str">
        <f t="shared" si="97"/>
        <v>برنامج دولى</v>
      </c>
    </row>
    <row r="956" spans="3:92" x14ac:dyDescent="0.25">
      <c r="C956" s="223" t="s">
        <v>571</v>
      </c>
      <c r="D956" s="224">
        <v>20600</v>
      </c>
      <c r="E956" s="224">
        <v>13095</v>
      </c>
      <c r="F956" s="250" t="s">
        <v>78</v>
      </c>
      <c r="G956" s="223" t="s">
        <v>5451</v>
      </c>
      <c r="I956" s="223">
        <v>11459.94</v>
      </c>
      <c r="AV956" s="22">
        <f t="shared" si="92"/>
        <v>11459.94</v>
      </c>
      <c r="AW956" s="223">
        <v>8978.4599999999991</v>
      </c>
      <c r="AX956" s="223">
        <v>1138.43</v>
      </c>
      <c r="AY956" s="223">
        <v>1343.05</v>
      </c>
      <c r="CK956" s="22">
        <f t="shared" si="94"/>
        <v>11459.939999999999</v>
      </c>
      <c r="CL956" s="3">
        <f t="shared" si="95"/>
        <v>0</v>
      </c>
      <c r="CM956" s="222">
        <f t="shared" si="96"/>
        <v>13095</v>
      </c>
      <c r="CN956" s="3" t="str">
        <f t="shared" si="97"/>
        <v>برنامج دولى</v>
      </c>
    </row>
    <row r="957" spans="3:92" x14ac:dyDescent="0.25">
      <c r="C957" s="223" t="s">
        <v>571</v>
      </c>
      <c r="D957" s="224">
        <v>20601</v>
      </c>
      <c r="E957" s="224">
        <v>13096</v>
      </c>
      <c r="F957" s="250" t="s">
        <v>78</v>
      </c>
      <c r="G957" s="223" t="s">
        <v>5451</v>
      </c>
      <c r="I957" s="223">
        <v>12397.15</v>
      </c>
      <c r="AV957" s="22">
        <f t="shared" si="92"/>
        <v>12397.15</v>
      </c>
      <c r="AW957" s="223">
        <v>10105.68</v>
      </c>
      <c r="AX957" s="223">
        <v>1260.19</v>
      </c>
      <c r="AY957" s="223">
        <v>1031.28</v>
      </c>
      <c r="CK957" s="22">
        <f t="shared" si="94"/>
        <v>12397.150000000001</v>
      </c>
      <c r="CL957" s="3">
        <f t="shared" si="95"/>
        <v>0</v>
      </c>
      <c r="CM957" s="222">
        <f t="shared" si="96"/>
        <v>13096</v>
      </c>
      <c r="CN957" s="3" t="str">
        <f t="shared" si="97"/>
        <v>برنامج دولى</v>
      </c>
    </row>
    <row r="958" spans="3:92" x14ac:dyDescent="0.25">
      <c r="C958" s="223" t="s">
        <v>571</v>
      </c>
      <c r="D958" s="224">
        <v>20602</v>
      </c>
      <c r="E958" s="224">
        <v>13097</v>
      </c>
      <c r="F958" s="250" t="s">
        <v>78</v>
      </c>
      <c r="G958" s="223" t="s">
        <v>5451</v>
      </c>
      <c r="I958" s="223">
        <v>11735.96</v>
      </c>
      <c r="AV958" s="22">
        <f t="shared" si="92"/>
        <v>11735.96</v>
      </c>
      <c r="AW958" s="223">
        <v>7964.11</v>
      </c>
      <c r="AX958" s="223">
        <v>1073.8399999999999</v>
      </c>
      <c r="AY958" s="223">
        <v>2698.01</v>
      </c>
      <c r="CK958" s="22">
        <f t="shared" si="94"/>
        <v>11735.96</v>
      </c>
      <c r="CL958" s="3">
        <f t="shared" si="95"/>
        <v>0</v>
      </c>
      <c r="CM958" s="222">
        <f t="shared" si="96"/>
        <v>13097</v>
      </c>
      <c r="CN958" s="3" t="str">
        <f t="shared" si="97"/>
        <v>برنامج دولى</v>
      </c>
    </row>
    <row r="959" spans="3:92" x14ac:dyDescent="0.25">
      <c r="C959" s="223" t="s">
        <v>571</v>
      </c>
      <c r="D959" s="224">
        <v>20603</v>
      </c>
      <c r="E959" s="224">
        <v>13098</v>
      </c>
      <c r="F959" s="250" t="s">
        <v>78</v>
      </c>
      <c r="G959" s="223" t="s">
        <v>5451</v>
      </c>
      <c r="I959" s="223">
        <v>68104.11</v>
      </c>
      <c r="AV959" s="22">
        <f t="shared" si="92"/>
        <v>68104.11</v>
      </c>
      <c r="AW959" s="223">
        <v>55040.32</v>
      </c>
      <c r="AX959" s="223">
        <v>6888.44</v>
      </c>
      <c r="AY959" s="223">
        <v>6175.35</v>
      </c>
      <c r="CK959" s="22">
        <f t="shared" si="94"/>
        <v>68104.11</v>
      </c>
      <c r="CL959" s="3">
        <f t="shared" si="95"/>
        <v>0</v>
      </c>
      <c r="CM959" s="222">
        <f t="shared" si="96"/>
        <v>13098</v>
      </c>
      <c r="CN959" s="3" t="str">
        <f t="shared" si="97"/>
        <v>برنامج دولى</v>
      </c>
    </row>
    <row r="960" spans="3:92" x14ac:dyDescent="0.25">
      <c r="C960" s="223" t="s">
        <v>571</v>
      </c>
      <c r="D960" s="224">
        <v>20596</v>
      </c>
      <c r="E960" s="224">
        <v>13099</v>
      </c>
      <c r="F960" s="250" t="s">
        <v>78</v>
      </c>
      <c r="G960" s="223" t="s">
        <v>5452</v>
      </c>
      <c r="I960" s="223">
        <v>63985.31</v>
      </c>
      <c r="AV960" s="22">
        <f t="shared" ref="AV960:AV1023" si="99">SUM(I960:AU960)</f>
        <v>63985.31</v>
      </c>
      <c r="AW960" s="223">
        <v>54113.48</v>
      </c>
      <c r="AX960" s="223">
        <v>6647.93</v>
      </c>
      <c r="AY960" s="223">
        <v>3223.9</v>
      </c>
      <c r="CK960" s="22">
        <f t="shared" si="94"/>
        <v>63985.310000000005</v>
      </c>
      <c r="CL960" s="3">
        <f t="shared" si="95"/>
        <v>0</v>
      </c>
      <c r="CM960" s="222">
        <f t="shared" si="96"/>
        <v>13099</v>
      </c>
      <c r="CN960" s="3" t="str">
        <f t="shared" si="97"/>
        <v>برنامج دولى</v>
      </c>
    </row>
    <row r="961" spans="1:99" x14ac:dyDescent="0.25">
      <c r="C961" s="223" t="s">
        <v>571</v>
      </c>
      <c r="D961" s="224">
        <v>20595</v>
      </c>
      <c r="E961" s="224">
        <v>13100</v>
      </c>
      <c r="F961" s="250" t="s">
        <v>78</v>
      </c>
      <c r="G961" s="223" t="s">
        <v>5452</v>
      </c>
      <c r="I961" s="223">
        <v>11133.93</v>
      </c>
      <c r="AV961" s="22">
        <f t="shared" si="99"/>
        <v>11133.93</v>
      </c>
      <c r="AW961" s="223">
        <v>8269.31</v>
      </c>
      <c r="AX961" s="223">
        <v>1071.1300000000001</v>
      </c>
      <c r="AY961" s="223">
        <v>1793.49</v>
      </c>
      <c r="CK961" s="22">
        <f t="shared" si="94"/>
        <v>11133.929999999998</v>
      </c>
      <c r="CL961" s="3">
        <f t="shared" si="95"/>
        <v>0</v>
      </c>
      <c r="CM961" s="222">
        <f t="shared" si="96"/>
        <v>13100</v>
      </c>
      <c r="CN961" s="3" t="str">
        <f t="shared" si="97"/>
        <v>برنامج دولى</v>
      </c>
    </row>
    <row r="962" spans="1:99" x14ac:dyDescent="0.25">
      <c r="C962" s="223" t="s">
        <v>571</v>
      </c>
      <c r="D962" s="224">
        <v>20594</v>
      </c>
      <c r="E962" s="224">
        <v>13101</v>
      </c>
      <c r="F962" s="250" t="s">
        <v>78</v>
      </c>
      <c r="G962" s="223" t="s">
        <v>5452</v>
      </c>
      <c r="I962" s="223">
        <v>11832.39</v>
      </c>
      <c r="AV962" s="22">
        <f t="shared" si="99"/>
        <v>11832.39</v>
      </c>
      <c r="AW962" s="223">
        <v>9854.32</v>
      </c>
      <c r="AX962" s="223">
        <v>1218.0899999999999</v>
      </c>
      <c r="AY962" s="223">
        <v>759.98</v>
      </c>
      <c r="CK962" s="22">
        <f t="shared" si="94"/>
        <v>11832.39</v>
      </c>
      <c r="CL962" s="3">
        <f t="shared" si="95"/>
        <v>0</v>
      </c>
      <c r="CM962" s="222">
        <f t="shared" si="96"/>
        <v>13101</v>
      </c>
      <c r="CN962" s="3" t="str">
        <f t="shared" si="97"/>
        <v>برنامج دولى</v>
      </c>
    </row>
    <row r="963" spans="1:99" x14ac:dyDescent="0.25">
      <c r="C963" s="223" t="s">
        <v>571</v>
      </c>
      <c r="D963" s="224">
        <v>20593</v>
      </c>
      <c r="E963" s="224">
        <v>13102</v>
      </c>
      <c r="F963" s="250" t="s">
        <v>78</v>
      </c>
      <c r="G963" s="223" t="s">
        <v>5452</v>
      </c>
      <c r="I963" s="223">
        <v>12518.49</v>
      </c>
      <c r="AV963" s="22">
        <f t="shared" si="99"/>
        <v>12518.49</v>
      </c>
      <c r="AW963" s="223">
        <v>10284.629999999999</v>
      </c>
      <c r="AX963" s="223">
        <v>1278.8399999999999</v>
      </c>
      <c r="AY963" s="223">
        <v>955.02</v>
      </c>
      <c r="CK963" s="22">
        <f t="shared" si="94"/>
        <v>12518.49</v>
      </c>
      <c r="CL963" s="3">
        <f t="shared" si="95"/>
        <v>0</v>
      </c>
      <c r="CM963" s="222">
        <f t="shared" si="96"/>
        <v>13102</v>
      </c>
      <c r="CN963" s="3" t="str">
        <f t="shared" si="97"/>
        <v>برنامج دولى</v>
      </c>
    </row>
    <row r="964" spans="1:99" x14ac:dyDescent="0.25">
      <c r="C964" s="223" t="s">
        <v>571</v>
      </c>
      <c r="D964" s="224">
        <v>20592</v>
      </c>
      <c r="E964" s="224">
        <v>13103</v>
      </c>
      <c r="F964" s="250" t="s">
        <v>78</v>
      </c>
      <c r="G964" s="223" t="s">
        <v>5452</v>
      </c>
      <c r="I964" s="223">
        <v>7621.97</v>
      </c>
      <c r="AV964" s="22">
        <f t="shared" si="99"/>
        <v>7621.97</v>
      </c>
      <c r="AW964" s="223">
        <v>6803.32</v>
      </c>
      <c r="AX964" s="223">
        <v>818.65</v>
      </c>
      <c r="CK964" s="22">
        <f t="shared" si="94"/>
        <v>7621.9699999999993</v>
      </c>
      <c r="CL964" s="3">
        <f t="shared" si="95"/>
        <v>0</v>
      </c>
      <c r="CM964" s="222">
        <f t="shared" si="96"/>
        <v>13103</v>
      </c>
      <c r="CN964" s="3" t="str">
        <f t="shared" si="97"/>
        <v>برنامج دولى</v>
      </c>
    </row>
    <row r="965" spans="1:99" x14ac:dyDescent="0.25">
      <c r="C965" s="223" t="s">
        <v>571</v>
      </c>
      <c r="D965" s="224">
        <v>20591</v>
      </c>
      <c r="E965" s="224">
        <v>13104</v>
      </c>
      <c r="F965" s="250" t="s">
        <v>78</v>
      </c>
      <c r="G965" s="223" t="s">
        <v>5452</v>
      </c>
      <c r="I965" s="223">
        <v>6221.13</v>
      </c>
      <c r="AV965" s="22">
        <f t="shared" si="99"/>
        <v>6221.13</v>
      </c>
      <c r="AW965" s="223">
        <v>5553.06</v>
      </c>
      <c r="AX965" s="223">
        <v>668.07</v>
      </c>
      <c r="CK965" s="22">
        <f t="shared" si="94"/>
        <v>6221.13</v>
      </c>
      <c r="CL965" s="3">
        <f t="shared" si="95"/>
        <v>0</v>
      </c>
      <c r="CM965" s="222">
        <f t="shared" si="96"/>
        <v>13104</v>
      </c>
      <c r="CN965" s="3" t="str">
        <f t="shared" si="97"/>
        <v>برنامج دولى</v>
      </c>
    </row>
    <row r="966" spans="1:99" x14ac:dyDescent="0.25">
      <c r="C966" s="223" t="s">
        <v>571</v>
      </c>
      <c r="D966" s="224">
        <v>20590</v>
      </c>
      <c r="E966" s="224">
        <v>13105</v>
      </c>
      <c r="F966" s="250" t="s">
        <v>78</v>
      </c>
      <c r="G966" s="223" t="s">
        <v>5452</v>
      </c>
      <c r="I966" s="223">
        <v>2853.18</v>
      </c>
      <c r="AV966" s="22">
        <f t="shared" si="99"/>
        <v>2853.18</v>
      </c>
      <c r="AW966" s="223">
        <v>2546.81</v>
      </c>
      <c r="AX966" s="223">
        <v>306.37</v>
      </c>
      <c r="CK966" s="22">
        <f t="shared" si="94"/>
        <v>2853.18</v>
      </c>
      <c r="CL966" s="3">
        <f t="shared" si="95"/>
        <v>0</v>
      </c>
      <c r="CM966" s="222">
        <f t="shared" si="96"/>
        <v>13105</v>
      </c>
      <c r="CN966" s="3" t="str">
        <f t="shared" si="97"/>
        <v>برنامج دولى</v>
      </c>
    </row>
    <row r="967" spans="1:99" s="228" customFormat="1" x14ac:dyDescent="0.25">
      <c r="A967" s="235"/>
      <c r="D967" s="227"/>
      <c r="E967" s="227"/>
      <c r="F967" s="253"/>
      <c r="G967" s="228" t="s">
        <v>5453</v>
      </c>
      <c r="I967" s="228">
        <f>SUM(I722:I966)</f>
        <v>9628418.1900000032</v>
      </c>
      <c r="J967" s="228">
        <f t="shared" ref="J967:BZ967" si="100">SUM(J722:J966)</f>
        <v>96751.5</v>
      </c>
      <c r="K967" s="228">
        <f t="shared" si="100"/>
        <v>0</v>
      </c>
      <c r="L967" s="228">
        <f t="shared" si="100"/>
        <v>0</v>
      </c>
      <c r="M967" s="228">
        <f t="shared" si="100"/>
        <v>167580</v>
      </c>
      <c r="N967" s="228">
        <f t="shared" si="100"/>
        <v>167580</v>
      </c>
      <c r="O967" s="228">
        <f t="shared" si="100"/>
        <v>167580</v>
      </c>
      <c r="P967" s="228">
        <f t="shared" si="100"/>
        <v>0</v>
      </c>
      <c r="Q967" s="228">
        <f t="shared" si="100"/>
        <v>0</v>
      </c>
      <c r="R967" s="228">
        <f t="shared" si="100"/>
        <v>0</v>
      </c>
      <c r="S967" s="228">
        <f t="shared" si="100"/>
        <v>0</v>
      </c>
      <c r="T967" s="228">
        <f t="shared" si="100"/>
        <v>0</v>
      </c>
      <c r="U967" s="228">
        <f t="shared" si="100"/>
        <v>0</v>
      </c>
      <c r="V967" s="228">
        <f t="shared" si="100"/>
        <v>0</v>
      </c>
      <c r="W967" s="228">
        <f t="shared" si="100"/>
        <v>0</v>
      </c>
      <c r="X967" s="228">
        <f t="shared" si="100"/>
        <v>0</v>
      </c>
      <c r="Y967" s="228">
        <f t="shared" si="100"/>
        <v>25462.5</v>
      </c>
      <c r="Z967" s="228">
        <f t="shared" si="100"/>
        <v>0</v>
      </c>
      <c r="AB967" s="228">
        <f t="shared" si="100"/>
        <v>0</v>
      </c>
      <c r="AC967" s="228">
        <f t="shared" si="100"/>
        <v>0</v>
      </c>
      <c r="AD967" s="228">
        <f t="shared" si="100"/>
        <v>0</v>
      </c>
      <c r="AE967" s="228">
        <f t="shared" si="100"/>
        <v>0</v>
      </c>
      <c r="AF967" s="228">
        <f t="shared" si="100"/>
        <v>0</v>
      </c>
      <c r="AH967" s="228">
        <f t="shared" si="100"/>
        <v>0</v>
      </c>
      <c r="AI967" s="228">
        <f t="shared" si="100"/>
        <v>0</v>
      </c>
      <c r="AJ967" s="228">
        <f t="shared" si="100"/>
        <v>0</v>
      </c>
      <c r="AK967" s="228">
        <f t="shared" si="100"/>
        <v>0</v>
      </c>
      <c r="AL967" s="228">
        <f t="shared" si="100"/>
        <v>0</v>
      </c>
      <c r="AM967" s="228">
        <f t="shared" si="100"/>
        <v>0</v>
      </c>
      <c r="AN967" s="228">
        <f t="shared" si="100"/>
        <v>0</v>
      </c>
      <c r="AO967" s="228">
        <f t="shared" si="100"/>
        <v>0</v>
      </c>
      <c r="AP967" s="228">
        <f t="shared" si="100"/>
        <v>0</v>
      </c>
      <c r="AQ967" s="228">
        <f t="shared" si="100"/>
        <v>0</v>
      </c>
      <c r="AR967" s="228">
        <f t="shared" si="100"/>
        <v>0</v>
      </c>
      <c r="AS967" s="228">
        <f t="shared" si="100"/>
        <v>0</v>
      </c>
      <c r="AT967" s="228">
        <f t="shared" si="100"/>
        <v>0</v>
      </c>
      <c r="AU967" s="228">
        <f t="shared" si="100"/>
        <v>0</v>
      </c>
      <c r="AV967" s="228">
        <f t="shared" si="100"/>
        <v>10253372.190000003</v>
      </c>
      <c r="AW967" s="228">
        <f t="shared" si="100"/>
        <v>8234571.7199999988</v>
      </c>
      <c r="AX967" s="228">
        <f t="shared" si="100"/>
        <v>997698.83999999973</v>
      </c>
      <c r="AY967" s="228">
        <f t="shared" si="100"/>
        <v>667165.27</v>
      </c>
      <c r="AZ967" s="228">
        <f t="shared" si="100"/>
        <v>883.4</v>
      </c>
      <c r="BA967" s="228">
        <f t="shared" si="100"/>
        <v>3384.08</v>
      </c>
      <c r="BC967" s="228">
        <f t="shared" si="100"/>
        <v>0</v>
      </c>
      <c r="BD967" s="228">
        <f t="shared" si="100"/>
        <v>0</v>
      </c>
      <c r="BE967" s="228">
        <f t="shared" si="100"/>
        <v>0</v>
      </c>
      <c r="BF967" s="228">
        <f t="shared" si="100"/>
        <v>0</v>
      </c>
      <c r="BH967" s="228">
        <f t="shared" si="100"/>
        <v>0</v>
      </c>
      <c r="BI967" s="228">
        <f t="shared" si="100"/>
        <v>0</v>
      </c>
      <c r="BJ967" s="228">
        <f t="shared" si="100"/>
        <v>0</v>
      </c>
      <c r="BL967" s="228">
        <f t="shared" si="100"/>
        <v>0</v>
      </c>
      <c r="BM967" s="228">
        <f t="shared" si="100"/>
        <v>2833.75</v>
      </c>
      <c r="BN967" s="228">
        <f t="shared" si="100"/>
        <v>344</v>
      </c>
      <c r="BO967" s="228">
        <f t="shared" si="100"/>
        <v>1375.2</v>
      </c>
      <c r="BP967" s="228">
        <f t="shared" si="100"/>
        <v>140</v>
      </c>
      <c r="BQ967" s="228">
        <f t="shared" si="100"/>
        <v>9313.7999999999993</v>
      </c>
      <c r="BR967" s="228">
        <f t="shared" si="100"/>
        <v>167580</v>
      </c>
      <c r="BS967" s="228">
        <f t="shared" si="100"/>
        <v>167580</v>
      </c>
      <c r="BT967" s="228">
        <f t="shared" si="100"/>
        <v>0</v>
      </c>
      <c r="BU967" s="228">
        <f t="shared" si="100"/>
        <v>0</v>
      </c>
      <c r="BV967" s="228">
        <f t="shared" si="100"/>
        <v>0</v>
      </c>
      <c r="BW967" s="228">
        <f t="shared" si="100"/>
        <v>0</v>
      </c>
      <c r="BX967" s="228">
        <f t="shared" si="100"/>
        <v>0</v>
      </c>
      <c r="BY967" s="228">
        <f t="shared" si="100"/>
        <v>0</v>
      </c>
      <c r="BZ967" s="228">
        <f t="shared" si="100"/>
        <v>0</v>
      </c>
      <c r="CA967" s="228">
        <f t="shared" ref="CA967:CU967" si="101">SUM(CA722:CA966)</f>
        <v>0</v>
      </c>
      <c r="CB967" s="228">
        <f t="shared" si="101"/>
        <v>0</v>
      </c>
      <c r="CC967" s="228">
        <f t="shared" si="101"/>
        <v>0</v>
      </c>
      <c r="CD967" s="228">
        <f t="shared" si="101"/>
        <v>0</v>
      </c>
      <c r="CE967" s="228">
        <f t="shared" si="101"/>
        <v>0</v>
      </c>
      <c r="CF967" s="228">
        <f t="shared" si="101"/>
        <v>0</v>
      </c>
      <c r="CG967" s="228">
        <f t="shared" si="101"/>
        <v>0</v>
      </c>
      <c r="CH967" s="228">
        <f t="shared" si="101"/>
        <v>0</v>
      </c>
      <c r="CJ967" s="228">
        <f t="shared" si="101"/>
        <v>502.13</v>
      </c>
      <c r="CL967" s="228">
        <f t="shared" si="101"/>
        <v>0</v>
      </c>
      <c r="CM967" s="260"/>
      <c r="CN967" s="228">
        <f t="shared" si="101"/>
        <v>0</v>
      </c>
      <c r="CO967" s="228">
        <f t="shared" si="101"/>
        <v>0</v>
      </c>
      <c r="CP967" s="228">
        <f t="shared" si="101"/>
        <v>0</v>
      </c>
      <c r="CQ967" s="228">
        <f t="shared" si="101"/>
        <v>0</v>
      </c>
      <c r="CR967" s="228">
        <f t="shared" si="101"/>
        <v>0</v>
      </c>
      <c r="CS967" s="228">
        <f t="shared" si="101"/>
        <v>0</v>
      </c>
      <c r="CT967" s="228">
        <f t="shared" si="101"/>
        <v>0</v>
      </c>
      <c r="CU967" s="228">
        <f t="shared" si="101"/>
        <v>0</v>
      </c>
    </row>
    <row r="968" spans="1:99" x14ac:dyDescent="0.25">
      <c r="C968" s="223" t="s">
        <v>592</v>
      </c>
      <c r="D968" s="224">
        <v>21105</v>
      </c>
      <c r="E968" s="224">
        <v>13106</v>
      </c>
      <c r="F968" s="250" t="s">
        <v>5144</v>
      </c>
      <c r="G968" s="223" t="s">
        <v>1023</v>
      </c>
      <c r="I968" s="223">
        <v>3716.82</v>
      </c>
      <c r="AV968" s="22">
        <f t="shared" si="99"/>
        <v>3716.82</v>
      </c>
      <c r="AW968" s="223">
        <v>2485.4499999999998</v>
      </c>
      <c r="AX968" s="223">
        <v>335.85</v>
      </c>
      <c r="AY968" s="223">
        <v>895.52</v>
      </c>
      <c r="CK968" s="22">
        <f t="shared" ref="CK968:CK1031" si="102">SUM(AW968:CJ968)</f>
        <v>3716.8199999999997</v>
      </c>
      <c r="CL968" s="3">
        <f t="shared" ref="CL968:CL1031" si="103">+CK968-AV968</f>
        <v>0</v>
      </c>
      <c r="CM968" s="222">
        <f t="shared" ref="CM968:CM1031" si="104">+E968</f>
        <v>13106</v>
      </c>
      <c r="CN968" s="3" t="str">
        <f t="shared" ref="CN968:CN1031" si="105">+F968</f>
        <v>صيدلة اكلينكى</v>
      </c>
    </row>
    <row r="969" spans="1:99" x14ac:dyDescent="0.25">
      <c r="C969" s="223" t="s">
        <v>592</v>
      </c>
      <c r="D969" s="224">
        <v>21106</v>
      </c>
      <c r="E969" s="224">
        <v>13107</v>
      </c>
      <c r="F969" s="250" t="s">
        <v>5144</v>
      </c>
      <c r="G969" s="223" t="s">
        <v>1023</v>
      </c>
      <c r="I969" s="223">
        <v>7392.61</v>
      </c>
      <c r="AV969" s="22">
        <f t="shared" si="99"/>
        <v>7392.61</v>
      </c>
      <c r="AW969" s="223">
        <v>4945.3500000000004</v>
      </c>
      <c r="AX969" s="223">
        <v>666.1</v>
      </c>
      <c r="AY969" s="223">
        <v>1781.16</v>
      </c>
      <c r="CK969" s="22">
        <f t="shared" si="102"/>
        <v>7392.6100000000006</v>
      </c>
      <c r="CL969" s="3">
        <f t="shared" si="103"/>
        <v>0</v>
      </c>
      <c r="CM969" s="222">
        <f t="shared" si="104"/>
        <v>13107</v>
      </c>
      <c r="CN969" s="3" t="str">
        <f t="shared" si="105"/>
        <v>صيدلة اكلينكى</v>
      </c>
    </row>
    <row r="970" spans="1:99" x14ac:dyDescent="0.25">
      <c r="C970" s="223" t="s">
        <v>592</v>
      </c>
      <c r="D970" s="224">
        <v>21107</v>
      </c>
      <c r="E970" s="224">
        <v>13108</v>
      </c>
      <c r="F970" s="250" t="s">
        <v>5144</v>
      </c>
      <c r="G970" s="223" t="s">
        <v>1023</v>
      </c>
      <c r="I970" s="223">
        <v>439.69</v>
      </c>
      <c r="AV970" s="22">
        <f t="shared" si="99"/>
        <v>439.69</v>
      </c>
      <c r="AW970" s="223">
        <v>294.39999999999998</v>
      </c>
      <c r="AX970" s="223">
        <v>39.35</v>
      </c>
      <c r="AY970" s="223">
        <v>105.94</v>
      </c>
      <c r="CK970" s="22">
        <f t="shared" si="102"/>
        <v>439.69</v>
      </c>
      <c r="CL970" s="3">
        <f t="shared" si="103"/>
        <v>0</v>
      </c>
      <c r="CM970" s="222">
        <f t="shared" si="104"/>
        <v>13108</v>
      </c>
      <c r="CN970" s="3" t="str">
        <f t="shared" si="105"/>
        <v>صيدلة اكلينكى</v>
      </c>
    </row>
    <row r="971" spans="1:99" x14ac:dyDescent="0.25">
      <c r="C971" s="223" t="s">
        <v>592</v>
      </c>
      <c r="D971" s="224">
        <v>21108</v>
      </c>
      <c r="E971" s="224">
        <v>13109</v>
      </c>
      <c r="F971" s="250" t="s">
        <v>5144</v>
      </c>
      <c r="G971" s="223" t="s">
        <v>1023</v>
      </c>
      <c r="I971" s="223">
        <v>703.5</v>
      </c>
      <c r="AV971" s="22">
        <f t="shared" si="99"/>
        <v>703.5</v>
      </c>
      <c r="AW971" s="223">
        <v>470.6</v>
      </c>
      <c r="AX971" s="223">
        <v>63.4</v>
      </c>
      <c r="AY971" s="223">
        <v>169.5</v>
      </c>
      <c r="CK971" s="22">
        <f t="shared" si="102"/>
        <v>703.5</v>
      </c>
      <c r="CL971" s="3">
        <f t="shared" si="103"/>
        <v>0</v>
      </c>
      <c r="CM971" s="222">
        <f t="shared" si="104"/>
        <v>13109</v>
      </c>
      <c r="CN971" s="3" t="str">
        <f t="shared" si="105"/>
        <v>صيدلة اكلينكى</v>
      </c>
    </row>
    <row r="972" spans="1:99" x14ac:dyDescent="0.25">
      <c r="C972" s="223" t="s">
        <v>592</v>
      </c>
      <c r="D972" s="224">
        <v>21109</v>
      </c>
      <c r="E972" s="224">
        <v>13110</v>
      </c>
      <c r="F972" s="250" t="s">
        <v>5144</v>
      </c>
      <c r="G972" s="223" t="s">
        <v>1023</v>
      </c>
      <c r="I972" s="223">
        <v>53009.71</v>
      </c>
      <c r="AV972" s="22">
        <f t="shared" si="99"/>
        <v>53009.71</v>
      </c>
      <c r="AW972" s="223">
        <v>35876.76</v>
      </c>
      <c r="AX972" s="223">
        <v>4809.8500000000004</v>
      </c>
      <c r="AY972" s="223">
        <v>12323.1</v>
      </c>
      <c r="CK972" s="22">
        <f t="shared" si="102"/>
        <v>53009.71</v>
      </c>
      <c r="CL972" s="3">
        <f t="shared" si="103"/>
        <v>0</v>
      </c>
      <c r="CM972" s="222">
        <f t="shared" si="104"/>
        <v>13110</v>
      </c>
      <c r="CN972" s="3" t="str">
        <f t="shared" si="105"/>
        <v>صيدلة اكلينكى</v>
      </c>
    </row>
    <row r="973" spans="1:99" x14ac:dyDescent="0.25">
      <c r="C973" s="223" t="s">
        <v>592</v>
      </c>
      <c r="D973" s="224">
        <v>21912</v>
      </c>
      <c r="E973" s="224">
        <v>13111</v>
      </c>
      <c r="F973" s="250" t="s">
        <v>5144</v>
      </c>
      <c r="G973" s="223" t="s">
        <v>5454</v>
      </c>
      <c r="I973" s="223">
        <v>1231.1199999999999</v>
      </c>
      <c r="AV973" s="22">
        <f t="shared" si="99"/>
        <v>1231.1199999999999</v>
      </c>
      <c r="AW973" s="223">
        <v>835.07</v>
      </c>
      <c r="AX973" s="223">
        <v>99.43</v>
      </c>
      <c r="AY973" s="223">
        <v>296.62</v>
      </c>
      <c r="CK973" s="22">
        <f t="shared" si="102"/>
        <v>1231.1199999999999</v>
      </c>
      <c r="CL973" s="3">
        <f t="shared" si="103"/>
        <v>0</v>
      </c>
      <c r="CM973" s="222">
        <f t="shared" si="104"/>
        <v>13111</v>
      </c>
      <c r="CN973" s="3" t="str">
        <f t="shared" si="105"/>
        <v>صيدلة اكلينكى</v>
      </c>
    </row>
    <row r="974" spans="1:99" x14ac:dyDescent="0.25">
      <c r="C974" s="223" t="s">
        <v>592</v>
      </c>
      <c r="D974" s="224">
        <v>21913</v>
      </c>
      <c r="E974" s="224">
        <v>13112</v>
      </c>
      <c r="F974" s="250" t="s">
        <v>5144</v>
      </c>
      <c r="G974" s="223" t="s">
        <v>5192</v>
      </c>
      <c r="I974" s="223">
        <v>7210.88</v>
      </c>
      <c r="AV974" s="22">
        <f t="shared" si="99"/>
        <v>7210.88</v>
      </c>
      <c r="AW974" s="223">
        <v>4813.12</v>
      </c>
      <c r="AX974" s="223">
        <f>615+45.38</f>
        <v>660.38</v>
      </c>
      <c r="AY974" s="223">
        <v>1737.38</v>
      </c>
      <c r="CK974" s="22">
        <f t="shared" si="102"/>
        <v>7210.88</v>
      </c>
      <c r="CL974" s="3">
        <f t="shared" si="103"/>
        <v>0</v>
      </c>
      <c r="CM974" s="222">
        <f t="shared" si="104"/>
        <v>13112</v>
      </c>
      <c r="CN974" s="3" t="str">
        <f t="shared" si="105"/>
        <v>صيدلة اكلينكى</v>
      </c>
    </row>
    <row r="975" spans="1:99" x14ac:dyDescent="0.25">
      <c r="C975" s="223" t="s">
        <v>592</v>
      </c>
      <c r="D975" s="224">
        <v>21099</v>
      </c>
      <c r="E975" s="224">
        <v>13113</v>
      </c>
      <c r="F975" s="250" t="s">
        <v>5144</v>
      </c>
      <c r="G975" s="223" t="s">
        <v>5192</v>
      </c>
      <c r="I975" s="223">
        <v>1758.75</v>
      </c>
      <c r="AV975" s="22">
        <f t="shared" si="99"/>
        <v>1758.75</v>
      </c>
      <c r="AW975" s="223">
        <v>1176.8</v>
      </c>
      <c r="AX975" s="223">
        <v>158.19999999999999</v>
      </c>
      <c r="AY975" s="223">
        <v>423.75</v>
      </c>
      <c r="CK975" s="22">
        <f t="shared" si="102"/>
        <v>1758.75</v>
      </c>
      <c r="CL975" s="3">
        <f t="shared" si="103"/>
        <v>0</v>
      </c>
      <c r="CM975" s="222">
        <f t="shared" si="104"/>
        <v>13113</v>
      </c>
      <c r="CN975" s="3" t="str">
        <f t="shared" si="105"/>
        <v>صيدلة اكلينكى</v>
      </c>
    </row>
    <row r="976" spans="1:99" x14ac:dyDescent="0.25">
      <c r="C976" s="223" t="s">
        <v>592</v>
      </c>
      <c r="D976" s="224">
        <v>21100</v>
      </c>
      <c r="E976" s="224">
        <v>13114</v>
      </c>
      <c r="F976" s="250" t="s">
        <v>5144</v>
      </c>
      <c r="G976" s="223" t="s">
        <v>5192</v>
      </c>
      <c r="I976" s="223">
        <v>13454.44</v>
      </c>
      <c r="AV976" s="22">
        <f t="shared" si="99"/>
        <v>13454.44</v>
      </c>
      <c r="AW976" s="223">
        <v>8992.25</v>
      </c>
      <c r="AX976" s="223">
        <v>1220.5</v>
      </c>
      <c r="AY976" s="223">
        <v>3241.69</v>
      </c>
      <c r="CK976" s="22">
        <f t="shared" si="102"/>
        <v>13454.44</v>
      </c>
      <c r="CL976" s="3">
        <f t="shared" si="103"/>
        <v>0</v>
      </c>
      <c r="CM976" s="222">
        <f t="shared" si="104"/>
        <v>13114</v>
      </c>
      <c r="CN976" s="3" t="str">
        <f t="shared" si="105"/>
        <v>صيدلة اكلينكى</v>
      </c>
    </row>
    <row r="977" spans="3:92" x14ac:dyDescent="0.25">
      <c r="C977" s="223" t="s">
        <v>592</v>
      </c>
      <c r="D977" s="224">
        <v>21101</v>
      </c>
      <c r="E977" s="224">
        <v>13115</v>
      </c>
      <c r="F977" s="250" t="s">
        <v>5144</v>
      </c>
      <c r="G977" s="223" t="s">
        <v>5192</v>
      </c>
      <c r="I977" s="223">
        <v>11900.87</v>
      </c>
      <c r="AV977" s="22">
        <f t="shared" si="99"/>
        <v>11900.87</v>
      </c>
      <c r="AW977" s="223">
        <v>7959.25</v>
      </c>
      <c r="AX977" s="223">
        <v>1074.25</v>
      </c>
      <c r="AY977" s="223">
        <v>2867.37</v>
      </c>
      <c r="CK977" s="22">
        <f t="shared" si="102"/>
        <v>11900.869999999999</v>
      </c>
      <c r="CL977" s="3">
        <f t="shared" si="103"/>
        <v>0</v>
      </c>
      <c r="CM977" s="222">
        <f t="shared" si="104"/>
        <v>13115</v>
      </c>
      <c r="CN977" s="3" t="str">
        <f t="shared" si="105"/>
        <v>صيدلة اكلينكى</v>
      </c>
    </row>
    <row r="978" spans="3:92" x14ac:dyDescent="0.25">
      <c r="C978" s="223" t="s">
        <v>592</v>
      </c>
      <c r="D978" s="224">
        <v>21110</v>
      </c>
      <c r="E978" s="224">
        <v>13116</v>
      </c>
      <c r="F978" s="250" t="s">
        <v>5144</v>
      </c>
      <c r="G978" s="223" t="str">
        <f>+G971</f>
        <v xml:space="preserve">مكافاه اداريين وعمال </v>
      </c>
      <c r="I978" s="223">
        <v>25691.01</v>
      </c>
      <c r="AV978" s="22">
        <f t="shared" si="99"/>
        <v>25691.01</v>
      </c>
      <c r="AW978" s="223">
        <v>23317.759999999998</v>
      </c>
      <c r="AX978" s="223">
        <f>574.5+175.79</f>
        <v>750.29</v>
      </c>
      <c r="AY978" s="223">
        <v>1622.96</v>
      </c>
      <c r="CK978" s="22">
        <f t="shared" si="102"/>
        <v>25691.01</v>
      </c>
      <c r="CL978" s="3">
        <f t="shared" si="103"/>
        <v>0</v>
      </c>
      <c r="CM978" s="222">
        <f t="shared" si="104"/>
        <v>13116</v>
      </c>
      <c r="CN978" s="3" t="str">
        <f t="shared" si="105"/>
        <v>صيدلة اكلينكى</v>
      </c>
    </row>
    <row r="979" spans="3:92" x14ac:dyDescent="0.25">
      <c r="C979" s="223" t="s">
        <v>592</v>
      </c>
      <c r="D979" s="224">
        <v>21102</v>
      </c>
      <c r="E979" s="224">
        <v>13117</v>
      </c>
      <c r="F979" s="250" t="s">
        <v>5144</v>
      </c>
      <c r="G979" s="223" t="str">
        <f>+G977</f>
        <v>مكافاه تدريس</v>
      </c>
      <c r="I979" s="223">
        <v>2738</v>
      </c>
      <c r="AV979" s="22">
        <f t="shared" si="99"/>
        <v>2738</v>
      </c>
      <c r="AW979" s="223">
        <v>2414.7399999999998</v>
      </c>
      <c r="AX979" s="223">
        <f>80+17.26</f>
        <v>97.26</v>
      </c>
      <c r="AY979" s="223">
        <v>226</v>
      </c>
      <c r="CK979" s="22">
        <f t="shared" si="102"/>
        <v>2738</v>
      </c>
      <c r="CL979" s="3">
        <f t="shared" si="103"/>
        <v>0</v>
      </c>
      <c r="CM979" s="222">
        <f t="shared" si="104"/>
        <v>13117</v>
      </c>
      <c r="CN979" s="3" t="str">
        <f t="shared" si="105"/>
        <v>صيدلة اكلينكى</v>
      </c>
    </row>
    <row r="980" spans="3:92" x14ac:dyDescent="0.25">
      <c r="C980" s="223" t="s">
        <v>592</v>
      </c>
      <c r="D980" s="224">
        <v>21103</v>
      </c>
      <c r="E980" s="224">
        <v>13118</v>
      </c>
      <c r="F980" s="250" t="s">
        <v>5144</v>
      </c>
      <c r="G980" s="223" t="str">
        <f>+G978</f>
        <v xml:space="preserve">مكافاه اداريين وعمال </v>
      </c>
      <c r="I980" s="223">
        <v>1000</v>
      </c>
      <c r="AV980" s="22">
        <f t="shared" si="99"/>
        <v>1000</v>
      </c>
      <c r="AW980" s="223">
        <v>893.35</v>
      </c>
      <c r="AX980" s="223">
        <v>106.65</v>
      </c>
      <c r="CK980" s="22">
        <f t="shared" si="102"/>
        <v>1000</v>
      </c>
      <c r="CL980" s="3">
        <f t="shared" si="103"/>
        <v>0</v>
      </c>
      <c r="CM980" s="222">
        <f t="shared" si="104"/>
        <v>13118</v>
      </c>
      <c r="CN980" s="3" t="str">
        <f t="shared" si="105"/>
        <v>صيدلة اكلينكى</v>
      </c>
    </row>
    <row r="981" spans="3:92" x14ac:dyDescent="0.25">
      <c r="C981" s="223" t="s">
        <v>592</v>
      </c>
      <c r="D981" s="224">
        <v>21104</v>
      </c>
      <c r="E981" s="224">
        <v>13119</v>
      </c>
      <c r="F981" s="250" t="s">
        <v>5144</v>
      </c>
      <c r="G981" s="223" t="str">
        <f>+G980</f>
        <v xml:space="preserve">مكافاه اداريين وعمال </v>
      </c>
      <c r="I981" s="223">
        <v>700</v>
      </c>
      <c r="AV981" s="22">
        <f t="shared" si="99"/>
        <v>700</v>
      </c>
      <c r="AW981" s="223">
        <v>625.45000000000005</v>
      </c>
      <c r="AX981" s="223">
        <v>74.55</v>
      </c>
      <c r="CK981" s="22">
        <f t="shared" si="102"/>
        <v>700</v>
      </c>
      <c r="CL981" s="3">
        <f t="shared" si="103"/>
        <v>0</v>
      </c>
      <c r="CM981" s="222">
        <f t="shared" si="104"/>
        <v>13119</v>
      </c>
      <c r="CN981" s="3" t="str">
        <f t="shared" si="105"/>
        <v>صيدلة اكلينكى</v>
      </c>
    </row>
    <row r="982" spans="3:92" x14ac:dyDescent="0.25">
      <c r="C982" s="223" t="s">
        <v>657</v>
      </c>
      <c r="D982" s="224">
        <v>22282</v>
      </c>
      <c r="E982" s="224">
        <v>13120</v>
      </c>
      <c r="F982" s="250" t="s">
        <v>5144</v>
      </c>
      <c r="G982" s="223" t="s">
        <v>5455</v>
      </c>
      <c r="I982" s="223">
        <v>750</v>
      </c>
      <c r="AV982" s="22">
        <f t="shared" si="99"/>
        <v>750</v>
      </c>
      <c r="AW982" s="223">
        <v>670.1</v>
      </c>
      <c r="AX982" s="223">
        <v>79.900000000000006</v>
      </c>
      <c r="CK982" s="22">
        <f t="shared" si="102"/>
        <v>750</v>
      </c>
      <c r="CL982" s="3">
        <f t="shared" si="103"/>
        <v>0</v>
      </c>
      <c r="CM982" s="222">
        <f t="shared" si="104"/>
        <v>13120</v>
      </c>
      <c r="CN982" s="3" t="str">
        <f t="shared" si="105"/>
        <v>صيدلة اكلينكى</v>
      </c>
    </row>
    <row r="983" spans="3:92" x14ac:dyDescent="0.25">
      <c r="C983" s="223" t="s">
        <v>657</v>
      </c>
      <c r="D983" s="224">
        <v>22281</v>
      </c>
      <c r="E983" s="224">
        <v>13121</v>
      </c>
      <c r="F983" s="250" t="s">
        <v>5144</v>
      </c>
      <c r="G983" s="223" t="s">
        <v>5455</v>
      </c>
      <c r="I983" s="223">
        <v>351.75</v>
      </c>
      <c r="AV983" s="22">
        <f t="shared" si="99"/>
        <v>351.75</v>
      </c>
      <c r="AW983" s="223">
        <v>235.55</v>
      </c>
      <c r="AX983" s="223">
        <v>31.45</v>
      </c>
      <c r="AY983" s="223">
        <v>84.75</v>
      </c>
      <c r="CK983" s="22">
        <f t="shared" si="102"/>
        <v>351.75</v>
      </c>
      <c r="CL983" s="3">
        <f t="shared" si="103"/>
        <v>0</v>
      </c>
      <c r="CM983" s="222">
        <f t="shared" si="104"/>
        <v>13121</v>
      </c>
      <c r="CN983" s="3" t="str">
        <f t="shared" si="105"/>
        <v>صيدلة اكلينكى</v>
      </c>
    </row>
    <row r="984" spans="3:92" x14ac:dyDescent="0.25">
      <c r="C984" s="223" t="s">
        <v>657</v>
      </c>
      <c r="D984" s="224">
        <v>22460</v>
      </c>
      <c r="E984" s="224">
        <v>13122</v>
      </c>
      <c r="F984" s="250" t="s">
        <v>5144</v>
      </c>
      <c r="G984" s="223" t="s">
        <v>5455</v>
      </c>
      <c r="I984" s="223">
        <v>6750</v>
      </c>
      <c r="AV984" s="22">
        <f t="shared" si="99"/>
        <v>6750</v>
      </c>
      <c r="AW984" s="223">
        <v>6032.05</v>
      </c>
      <c r="AX984" s="223">
        <v>717.95</v>
      </c>
      <c r="CK984" s="22">
        <f t="shared" si="102"/>
        <v>6750</v>
      </c>
      <c r="CL984" s="3">
        <f t="shared" si="103"/>
        <v>0</v>
      </c>
      <c r="CM984" s="222">
        <f t="shared" si="104"/>
        <v>13122</v>
      </c>
      <c r="CN984" s="3" t="str">
        <f t="shared" si="105"/>
        <v>صيدلة اكلينكى</v>
      </c>
    </row>
    <row r="985" spans="3:92" x14ac:dyDescent="0.25">
      <c r="C985" s="223" t="s">
        <v>657</v>
      </c>
      <c r="D985" s="224">
        <v>21937</v>
      </c>
      <c r="E985" s="224">
        <v>13123</v>
      </c>
      <c r="F985" s="250" t="s">
        <v>119</v>
      </c>
      <c r="G985" s="223" t="s">
        <v>1562</v>
      </c>
      <c r="I985" s="223">
        <v>978.69</v>
      </c>
      <c r="AV985" s="22">
        <f t="shared" si="99"/>
        <v>978.69</v>
      </c>
      <c r="AW985" s="223">
        <v>711.92</v>
      </c>
      <c r="AX985" s="223">
        <v>183.83</v>
      </c>
      <c r="AY985" s="223">
        <v>35.44</v>
      </c>
      <c r="AZ985" s="223">
        <v>47.5</v>
      </c>
      <c r="CK985" s="22">
        <f t="shared" si="102"/>
        <v>978.69</v>
      </c>
      <c r="CL985" s="3">
        <f t="shared" si="103"/>
        <v>0</v>
      </c>
      <c r="CM985" s="222">
        <f t="shared" si="104"/>
        <v>13123</v>
      </c>
      <c r="CN985" s="3" t="str">
        <f t="shared" si="105"/>
        <v>خ ت صيدلة</v>
      </c>
    </row>
    <row r="986" spans="3:92" x14ac:dyDescent="0.25">
      <c r="C986" s="223" t="s">
        <v>657</v>
      </c>
      <c r="D986" s="224">
        <v>21938</v>
      </c>
      <c r="E986" s="224">
        <v>13124</v>
      </c>
      <c r="F986" s="250" t="s">
        <v>119</v>
      </c>
      <c r="G986" s="223" t="s">
        <v>1562</v>
      </c>
      <c r="I986" s="223">
        <v>286.69</v>
      </c>
      <c r="AV986" s="22">
        <f t="shared" si="99"/>
        <v>286.69</v>
      </c>
      <c r="AW986" s="223">
        <v>205.64</v>
      </c>
      <c r="AX986" s="223">
        <v>52.86</v>
      </c>
      <c r="AY986" s="223">
        <v>14.44</v>
      </c>
      <c r="AZ986" s="223">
        <v>13.75</v>
      </c>
      <c r="CK986" s="22">
        <f t="shared" si="102"/>
        <v>286.69</v>
      </c>
      <c r="CL986" s="3">
        <f t="shared" si="103"/>
        <v>0</v>
      </c>
      <c r="CM986" s="222">
        <f t="shared" si="104"/>
        <v>13124</v>
      </c>
      <c r="CN986" s="3" t="str">
        <f t="shared" si="105"/>
        <v>خ ت صيدلة</v>
      </c>
    </row>
    <row r="987" spans="3:92" x14ac:dyDescent="0.25">
      <c r="C987" s="223" t="s">
        <v>657</v>
      </c>
      <c r="D987" s="224">
        <v>21945</v>
      </c>
      <c r="E987" s="224">
        <v>13125</v>
      </c>
      <c r="F987" s="250" t="s">
        <v>119</v>
      </c>
      <c r="G987" s="223" t="s">
        <v>1562</v>
      </c>
      <c r="I987" s="223">
        <v>990.38</v>
      </c>
      <c r="AV987" s="22">
        <f t="shared" si="99"/>
        <v>990.38</v>
      </c>
      <c r="AW987" s="223">
        <v>709.4</v>
      </c>
      <c r="AX987" s="223">
        <v>183.6</v>
      </c>
      <c r="AY987" s="223">
        <v>49.88</v>
      </c>
      <c r="AZ987" s="223">
        <v>47.5</v>
      </c>
      <c r="CK987" s="22">
        <f t="shared" si="102"/>
        <v>990.38</v>
      </c>
      <c r="CL987" s="3">
        <f t="shared" si="103"/>
        <v>0</v>
      </c>
      <c r="CM987" s="222">
        <f t="shared" si="104"/>
        <v>13125</v>
      </c>
      <c r="CN987" s="3" t="str">
        <f t="shared" si="105"/>
        <v>خ ت صيدلة</v>
      </c>
    </row>
    <row r="988" spans="3:92" x14ac:dyDescent="0.25">
      <c r="C988" s="223" t="s">
        <v>657</v>
      </c>
      <c r="D988" s="224">
        <v>21946</v>
      </c>
      <c r="E988" s="224">
        <v>13126</v>
      </c>
      <c r="F988" s="250" t="s">
        <v>119</v>
      </c>
      <c r="G988" s="223" t="s">
        <v>1562</v>
      </c>
      <c r="I988" s="223">
        <v>1530.88</v>
      </c>
      <c r="AV988" s="22">
        <f t="shared" si="99"/>
        <v>1530.88</v>
      </c>
      <c r="AW988" s="223">
        <v>1012.16</v>
      </c>
      <c r="AX988" s="223">
        <v>161.84</v>
      </c>
      <c r="AY988" s="223">
        <v>289.38</v>
      </c>
      <c r="AZ988" s="223">
        <v>67.5</v>
      </c>
      <c r="CK988" s="22">
        <f t="shared" si="102"/>
        <v>1530.88</v>
      </c>
      <c r="CL988" s="3">
        <f t="shared" si="103"/>
        <v>0</v>
      </c>
      <c r="CM988" s="222">
        <f t="shared" si="104"/>
        <v>13126</v>
      </c>
      <c r="CN988" s="3" t="str">
        <f t="shared" si="105"/>
        <v>خ ت صيدلة</v>
      </c>
    </row>
    <row r="989" spans="3:92" x14ac:dyDescent="0.25">
      <c r="C989" s="223" t="s">
        <v>657</v>
      </c>
      <c r="D989" s="224">
        <v>21947</v>
      </c>
      <c r="E989" s="224">
        <v>13127</v>
      </c>
      <c r="F989" s="250" t="s">
        <v>119</v>
      </c>
      <c r="G989" s="223" t="s">
        <v>1562</v>
      </c>
      <c r="I989" s="223">
        <v>1625</v>
      </c>
      <c r="AV989" s="22">
        <f t="shared" si="99"/>
        <v>1625</v>
      </c>
      <c r="AW989" s="223">
        <v>1227.24</v>
      </c>
      <c r="AX989" s="223">
        <v>316.51</v>
      </c>
      <c r="AZ989" s="223">
        <v>81.25</v>
      </c>
      <c r="CK989" s="22">
        <f t="shared" si="102"/>
        <v>1625</v>
      </c>
      <c r="CL989" s="3">
        <f t="shared" si="103"/>
        <v>0</v>
      </c>
      <c r="CM989" s="222">
        <f t="shared" si="104"/>
        <v>13127</v>
      </c>
      <c r="CN989" s="3" t="str">
        <f t="shared" si="105"/>
        <v>خ ت صيدلة</v>
      </c>
    </row>
    <row r="990" spans="3:92" x14ac:dyDescent="0.25">
      <c r="C990" s="223" t="s">
        <v>657</v>
      </c>
      <c r="D990" s="224">
        <v>21948</v>
      </c>
      <c r="E990" s="224">
        <v>13128</v>
      </c>
      <c r="F990" s="250" t="s">
        <v>119</v>
      </c>
      <c r="G990" s="223" t="s">
        <v>1562</v>
      </c>
      <c r="I990" s="223">
        <v>703.69</v>
      </c>
      <c r="AV990" s="22">
        <f t="shared" si="99"/>
        <v>703.69</v>
      </c>
      <c r="AW990" s="223">
        <v>504.12</v>
      </c>
      <c r="AX990" s="223">
        <v>130.38</v>
      </c>
      <c r="AY990" s="223">
        <v>35.44</v>
      </c>
      <c r="AZ990" s="223">
        <v>33.75</v>
      </c>
      <c r="CK990" s="22">
        <f t="shared" si="102"/>
        <v>703.69</v>
      </c>
      <c r="CL990" s="3">
        <f t="shared" si="103"/>
        <v>0</v>
      </c>
      <c r="CM990" s="222">
        <f t="shared" si="104"/>
        <v>13128</v>
      </c>
      <c r="CN990" s="3" t="str">
        <f t="shared" si="105"/>
        <v>خ ت صيدلة</v>
      </c>
    </row>
    <row r="991" spans="3:92" x14ac:dyDescent="0.25">
      <c r="C991" s="223" t="s">
        <v>657</v>
      </c>
      <c r="D991" s="224">
        <v>21950</v>
      </c>
      <c r="E991" s="224">
        <v>13129</v>
      </c>
      <c r="F991" s="250" t="s">
        <v>119</v>
      </c>
      <c r="G991" s="223" t="s">
        <v>1562</v>
      </c>
      <c r="I991" s="223">
        <v>990.38</v>
      </c>
      <c r="AV991" s="22">
        <f t="shared" si="99"/>
        <v>990.38</v>
      </c>
      <c r="AW991" s="223">
        <v>709.4</v>
      </c>
      <c r="AX991" s="223">
        <v>183.6</v>
      </c>
      <c r="AY991" s="223">
        <v>49.88</v>
      </c>
      <c r="AZ991" s="223">
        <v>47.5</v>
      </c>
      <c r="CK991" s="22">
        <f t="shared" si="102"/>
        <v>990.38</v>
      </c>
      <c r="CL991" s="3">
        <f t="shared" si="103"/>
        <v>0</v>
      </c>
      <c r="CM991" s="222">
        <f t="shared" si="104"/>
        <v>13129</v>
      </c>
      <c r="CN991" s="3" t="str">
        <f t="shared" si="105"/>
        <v>خ ت صيدلة</v>
      </c>
    </row>
    <row r="992" spans="3:92" x14ac:dyDescent="0.25">
      <c r="C992" s="223" t="s">
        <v>657</v>
      </c>
      <c r="D992" s="224">
        <v>21949</v>
      </c>
      <c r="E992" s="224">
        <v>13130</v>
      </c>
      <c r="F992" s="250" t="s">
        <v>119</v>
      </c>
      <c r="G992" s="223" t="s">
        <v>1562</v>
      </c>
      <c r="I992" s="223">
        <v>1367</v>
      </c>
      <c r="AV992" s="22">
        <f t="shared" si="99"/>
        <v>1367</v>
      </c>
      <c r="AW992" s="223">
        <v>1015.96</v>
      </c>
      <c r="AX992" s="223">
        <v>262.54000000000002</v>
      </c>
      <c r="AY992" s="223">
        <v>21</v>
      </c>
      <c r="AZ992" s="223">
        <v>67.5</v>
      </c>
      <c r="CK992" s="22">
        <f t="shared" si="102"/>
        <v>1367</v>
      </c>
      <c r="CL992" s="3">
        <f t="shared" si="103"/>
        <v>0</v>
      </c>
      <c r="CM992" s="222">
        <f t="shared" si="104"/>
        <v>13130</v>
      </c>
      <c r="CN992" s="3" t="str">
        <f t="shared" si="105"/>
        <v>خ ت صيدلة</v>
      </c>
    </row>
    <row r="993" spans="3:92" x14ac:dyDescent="0.25">
      <c r="C993" s="223" t="s">
        <v>657</v>
      </c>
      <c r="D993" s="224">
        <v>21951</v>
      </c>
      <c r="E993" s="224">
        <v>13131</v>
      </c>
      <c r="F993" s="250" t="s">
        <v>119</v>
      </c>
      <c r="G993" s="223" t="s">
        <v>1562</v>
      </c>
      <c r="I993" s="223">
        <v>1917</v>
      </c>
      <c r="AV993" s="22">
        <f t="shared" si="99"/>
        <v>1917</v>
      </c>
      <c r="AW993" s="223">
        <v>1431.16</v>
      </c>
      <c r="AX993" s="223">
        <v>369.84</v>
      </c>
      <c r="AY993" s="223">
        <v>21</v>
      </c>
      <c r="AZ993" s="223">
        <v>95</v>
      </c>
      <c r="CK993" s="22">
        <f t="shared" si="102"/>
        <v>1917</v>
      </c>
      <c r="CL993" s="3">
        <f t="shared" si="103"/>
        <v>0</v>
      </c>
      <c r="CM993" s="222">
        <f t="shared" si="104"/>
        <v>13131</v>
      </c>
      <c r="CN993" s="3" t="str">
        <f t="shared" si="105"/>
        <v>خ ت صيدلة</v>
      </c>
    </row>
    <row r="994" spans="3:92" x14ac:dyDescent="0.25">
      <c r="C994" s="223" t="s">
        <v>657</v>
      </c>
      <c r="D994" s="224">
        <v>21952</v>
      </c>
      <c r="E994" s="224">
        <v>13132</v>
      </c>
      <c r="F994" s="250" t="s">
        <v>119</v>
      </c>
      <c r="G994" s="223" t="s">
        <v>1562</v>
      </c>
      <c r="I994" s="223">
        <v>990.38</v>
      </c>
      <c r="AV994" s="22">
        <f t="shared" si="99"/>
        <v>990.38</v>
      </c>
      <c r="AW994" s="223">
        <v>709.4</v>
      </c>
      <c r="AX994" s="223">
        <v>183.6</v>
      </c>
      <c r="AY994" s="223">
        <v>49.88</v>
      </c>
      <c r="AZ994" s="223">
        <v>47.5</v>
      </c>
      <c r="CK994" s="22">
        <f t="shared" si="102"/>
        <v>990.38</v>
      </c>
      <c r="CL994" s="3">
        <f t="shared" si="103"/>
        <v>0</v>
      </c>
      <c r="CM994" s="222">
        <f t="shared" si="104"/>
        <v>13132</v>
      </c>
      <c r="CN994" s="3" t="str">
        <f t="shared" si="105"/>
        <v>خ ت صيدلة</v>
      </c>
    </row>
    <row r="995" spans="3:92" x14ac:dyDescent="0.25">
      <c r="C995" s="223" t="s">
        <v>657</v>
      </c>
      <c r="D995" s="224">
        <v>21953</v>
      </c>
      <c r="E995" s="224">
        <v>13133</v>
      </c>
      <c r="F995" s="250" t="s">
        <v>119</v>
      </c>
      <c r="G995" s="223" t="s">
        <v>1562</v>
      </c>
      <c r="I995" s="223">
        <v>950</v>
      </c>
      <c r="AV995" s="22">
        <f t="shared" si="99"/>
        <v>950</v>
      </c>
      <c r="AW995" s="223">
        <v>717.36</v>
      </c>
      <c r="AX995" s="223">
        <v>185.14</v>
      </c>
      <c r="AZ995" s="223">
        <v>47.5</v>
      </c>
      <c r="CK995" s="22">
        <f t="shared" si="102"/>
        <v>950</v>
      </c>
      <c r="CL995" s="3">
        <f t="shared" si="103"/>
        <v>0</v>
      </c>
      <c r="CM995" s="222">
        <f t="shared" si="104"/>
        <v>13133</v>
      </c>
      <c r="CN995" s="3" t="str">
        <f t="shared" si="105"/>
        <v>خ ت صيدلة</v>
      </c>
    </row>
    <row r="996" spans="3:92" x14ac:dyDescent="0.25">
      <c r="C996" s="223" t="s">
        <v>657</v>
      </c>
      <c r="D996" s="224">
        <v>21954</v>
      </c>
      <c r="E996" s="224">
        <v>13134</v>
      </c>
      <c r="F996" s="250" t="s">
        <v>119</v>
      </c>
      <c r="G996" s="223" t="s">
        <v>1562</v>
      </c>
      <c r="I996" s="223">
        <v>990.38</v>
      </c>
      <c r="AV996" s="22">
        <f t="shared" si="99"/>
        <v>990.38</v>
      </c>
      <c r="AW996" s="223">
        <v>709.4</v>
      </c>
      <c r="AX996" s="223">
        <v>183.6</v>
      </c>
      <c r="AY996" s="223">
        <v>49.88</v>
      </c>
      <c r="AZ996" s="223">
        <v>47.5</v>
      </c>
      <c r="CK996" s="22">
        <f t="shared" si="102"/>
        <v>990.38</v>
      </c>
      <c r="CL996" s="3">
        <f t="shared" si="103"/>
        <v>0</v>
      </c>
      <c r="CM996" s="222">
        <f t="shared" si="104"/>
        <v>13134</v>
      </c>
      <c r="CN996" s="3" t="str">
        <f t="shared" si="105"/>
        <v>خ ت صيدلة</v>
      </c>
    </row>
    <row r="997" spans="3:92" x14ac:dyDescent="0.25">
      <c r="C997" s="223" t="s">
        <v>657</v>
      </c>
      <c r="D997" s="224">
        <v>21955</v>
      </c>
      <c r="E997" s="224">
        <v>13135</v>
      </c>
      <c r="F997" s="250" t="s">
        <v>119</v>
      </c>
      <c r="G997" s="223" t="s">
        <v>1562</v>
      </c>
      <c r="I997" s="223">
        <v>1061.8800000000001</v>
      </c>
      <c r="AV997" s="22">
        <f t="shared" si="99"/>
        <v>1061.8800000000001</v>
      </c>
      <c r="AW997" s="223">
        <v>712.01</v>
      </c>
      <c r="AX997" s="223">
        <v>125.99</v>
      </c>
      <c r="AY997" s="223">
        <v>176.38</v>
      </c>
      <c r="AZ997" s="223">
        <v>47.5</v>
      </c>
      <c r="CK997" s="22">
        <f t="shared" si="102"/>
        <v>1061.8800000000001</v>
      </c>
      <c r="CL997" s="3">
        <f t="shared" si="103"/>
        <v>0</v>
      </c>
      <c r="CM997" s="222">
        <f t="shared" si="104"/>
        <v>13135</v>
      </c>
      <c r="CN997" s="3" t="str">
        <f t="shared" si="105"/>
        <v>خ ت صيدلة</v>
      </c>
    </row>
    <row r="998" spans="3:92" x14ac:dyDescent="0.25">
      <c r="C998" s="223" t="s">
        <v>657</v>
      </c>
      <c r="D998" s="224">
        <v>21939</v>
      </c>
      <c r="E998" s="224">
        <v>13136</v>
      </c>
      <c r="F998" s="250" t="s">
        <v>119</v>
      </c>
      <c r="G998" s="223" t="s">
        <v>1562</v>
      </c>
      <c r="I998" s="223">
        <v>1092</v>
      </c>
      <c r="AV998" s="22">
        <f t="shared" si="99"/>
        <v>1092</v>
      </c>
      <c r="AW998" s="223">
        <v>808.48</v>
      </c>
      <c r="AX998" s="223">
        <v>208.77</v>
      </c>
      <c r="AY998" s="223">
        <v>21</v>
      </c>
      <c r="AZ998" s="223">
        <v>53.75</v>
      </c>
      <c r="CK998" s="22">
        <f t="shared" si="102"/>
        <v>1092</v>
      </c>
      <c r="CL998" s="3">
        <f t="shared" si="103"/>
        <v>0</v>
      </c>
      <c r="CM998" s="222">
        <f t="shared" si="104"/>
        <v>13136</v>
      </c>
      <c r="CN998" s="3" t="str">
        <f t="shared" si="105"/>
        <v>خ ت صيدلة</v>
      </c>
    </row>
    <row r="999" spans="3:92" x14ac:dyDescent="0.25">
      <c r="C999" s="223" t="s">
        <v>657</v>
      </c>
      <c r="D999" s="224">
        <v>22158</v>
      </c>
      <c r="E999" s="224">
        <v>13137</v>
      </c>
      <c r="F999" s="250" t="s">
        <v>119</v>
      </c>
      <c r="G999" s="223" t="s">
        <v>1562</v>
      </c>
      <c r="I999" s="223">
        <v>1014.44</v>
      </c>
      <c r="AV999" s="22">
        <f t="shared" si="99"/>
        <v>1014.44</v>
      </c>
      <c r="AW999" s="223">
        <v>713.53</v>
      </c>
      <c r="AX999" s="223">
        <v>154.72</v>
      </c>
      <c r="AY999" s="223">
        <v>98.69</v>
      </c>
      <c r="AZ999" s="223">
        <v>47.5</v>
      </c>
      <c r="CK999" s="22">
        <f t="shared" si="102"/>
        <v>1014.44</v>
      </c>
      <c r="CL999" s="3">
        <f t="shared" si="103"/>
        <v>0</v>
      </c>
      <c r="CM999" s="222">
        <f t="shared" si="104"/>
        <v>13137</v>
      </c>
      <c r="CN999" s="3" t="str">
        <f t="shared" si="105"/>
        <v>خ ت صيدلة</v>
      </c>
    </row>
    <row r="1000" spans="3:92" x14ac:dyDescent="0.25">
      <c r="C1000" s="223" t="s">
        <v>657</v>
      </c>
      <c r="D1000" s="224">
        <v>22157</v>
      </c>
      <c r="E1000" s="224">
        <v>13138</v>
      </c>
      <c r="F1000" s="250" t="s">
        <v>119</v>
      </c>
      <c r="G1000" s="223" t="s">
        <v>1562</v>
      </c>
      <c r="I1000" s="223">
        <v>675</v>
      </c>
      <c r="AV1000" s="22">
        <f t="shared" si="99"/>
        <v>675</v>
      </c>
      <c r="AW1000" s="223">
        <v>509.48</v>
      </c>
      <c r="AX1000" s="223">
        <v>131.77000000000001</v>
      </c>
      <c r="AZ1000" s="223">
        <v>33.75</v>
      </c>
      <c r="CK1000" s="22">
        <f t="shared" si="102"/>
        <v>675</v>
      </c>
      <c r="CL1000" s="3">
        <f t="shared" si="103"/>
        <v>0</v>
      </c>
      <c r="CM1000" s="222">
        <f t="shared" si="104"/>
        <v>13138</v>
      </c>
      <c r="CN1000" s="3" t="str">
        <f t="shared" si="105"/>
        <v>خ ت صيدلة</v>
      </c>
    </row>
    <row r="1001" spans="3:92" x14ac:dyDescent="0.25">
      <c r="C1001" s="223" t="s">
        <v>555</v>
      </c>
      <c r="D1001" s="224">
        <v>21934</v>
      </c>
      <c r="E1001" s="224">
        <v>13139</v>
      </c>
      <c r="F1001" s="250" t="s">
        <v>123</v>
      </c>
      <c r="G1001" s="223" t="s">
        <v>5456</v>
      </c>
      <c r="I1001" s="223">
        <v>3326.29</v>
      </c>
      <c r="AV1001" s="22">
        <f t="shared" si="99"/>
        <v>3326.29</v>
      </c>
      <c r="AW1001" s="223">
        <v>2098.58</v>
      </c>
      <c r="AX1001" s="223">
        <v>287.75</v>
      </c>
      <c r="AY1001" s="223">
        <v>798.02</v>
      </c>
      <c r="AZ1001" s="223">
        <v>141.94</v>
      </c>
      <c r="CK1001" s="22">
        <f t="shared" si="102"/>
        <v>3326.29</v>
      </c>
      <c r="CL1001" s="3">
        <f t="shared" si="103"/>
        <v>0</v>
      </c>
      <c r="CM1001" s="222">
        <f t="shared" si="104"/>
        <v>13139</v>
      </c>
      <c r="CN1001" s="3" t="str">
        <f t="shared" si="105"/>
        <v>خ ت اسنان</v>
      </c>
    </row>
    <row r="1002" spans="3:92" x14ac:dyDescent="0.25">
      <c r="C1002" s="223" t="s">
        <v>555</v>
      </c>
      <c r="D1002" s="224">
        <v>21932</v>
      </c>
      <c r="E1002" s="224">
        <v>13140</v>
      </c>
      <c r="F1002" s="250" t="s">
        <v>123</v>
      </c>
      <c r="G1002" s="223" t="s">
        <v>5456</v>
      </c>
      <c r="I1002" s="223">
        <v>929.56</v>
      </c>
      <c r="AV1002" s="22">
        <f t="shared" si="99"/>
        <v>929.56</v>
      </c>
      <c r="AW1002" s="223">
        <v>586.57000000000005</v>
      </c>
      <c r="AX1002" s="223">
        <v>79.38</v>
      </c>
      <c r="AY1002" s="223">
        <v>223.97</v>
      </c>
      <c r="AZ1002" s="223">
        <v>39.64</v>
      </c>
      <c r="CK1002" s="22">
        <f t="shared" si="102"/>
        <v>929.56000000000006</v>
      </c>
      <c r="CL1002" s="3">
        <f t="shared" si="103"/>
        <v>0</v>
      </c>
      <c r="CM1002" s="222">
        <f t="shared" si="104"/>
        <v>13140</v>
      </c>
      <c r="CN1002" s="3" t="str">
        <f t="shared" si="105"/>
        <v>خ ت اسنان</v>
      </c>
    </row>
    <row r="1003" spans="3:92" x14ac:dyDescent="0.25">
      <c r="C1003" s="223" t="s">
        <v>555</v>
      </c>
      <c r="D1003" s="224">
        <v>21090</v>
      </c>
      <c r="E1003" s="224">
        <v>13141</v>
      </c>
      <c r="F1003" s="250" t="s">
        <v>123</v>
      </c>
      <c r="G1003" s="223" t="s">
        <v>5457</v>
      </c>
      <c r="I1003" s="223">
        <v>31314.23</v>
      </c>
      <c r="AV1003" s="22">
        <f t="shared" si="99"/>
        <v>31314.23</v>
      </c>
      <c r="AW1003" s="223">
        <v>21495.22</v>
      </c>
      <c r="AX1003" s="223">
        <v>2991.35</v>
      </c>
      <c r="AY1003" s="223">
        <v>5427.66</v>
      </c>
      <c r="AZ1003" s="223">
        <v>1400</v>
      </c>
      <c r="CK1003" s="22">
        <f t="shared" si="102"/>
        <v>31314.23</v>
      </c>
      <c r="CL1003" s="3">
        <f t="shared" si="103"/>
        <v>0</v>
      </c>
      <c r="CM1003" s="222">
        <f t="shared" si="104"/>
        <v>13141</v>
      </c>
      <c r="CN1003" s="3" t="str">
        <f t="shared" si="105"/>
        <v>خ ت اسنان</v>
      </c>
    </row>
    <row r="1004" spans="3:92" x14ac:dyDescent="0.25">
      <c r="C1004" s="223" t="s">
        <v>555</v>
      </c>
      <c r="D1004" s="224">
        <v>21088</v>
      </c>
      <c r="E1004" s="224">
        <v>13142</v>
      </c>
      <c r="F1004" s="250" t="s">
        <v>123</v>
      </c>
      <c r="G1004" s="223" t="s">
        <v>5457</v>
      </c>
      <c r="I1004" s="223">
        <v>4659.88</v>
      </c>
      <c r="AV1004" s="22">
        <f t="shared" si="99"/>
        <v>4659.88</v>
      </c>
      <c r="AW1004" s="223">
        <v>2952.72</v>
      </c>
      <c r="AX1004" s="223">
        <v>426.5</v>
      </c>
      <c r="AY1004" s="223">
        <v>1080.6600000000001</v>
      </c>
      <c r="AZ1004" s="223">
        <v>200</v>
      </c>
      <c r="CK1004" s="22">
        <f t="shared" si="102"/>
        <v>4659.88</v>
      </c>
      <c r="CL1004" s="3">
        <f t="shared" si="103"/>
        <v>0</v>
      </c>
      <c r="CM1004" s="222">
        <f t="shared" si="104"/>
        <v>13142</v>
      </c>
      <c r="CN1004" s="3" t="str">
        <f t="shared" si="105"/>
        <v>خ ت اسنان</v>
      </c>
    </row>
    <row r="1005" spans="3:92" x14ac:dyDescent="0.25">
      <c r="C1005" s="223" t="s">
        <v>555</v>
      </c>
      <c r="D1005" s="224">
        <v>21089</v>
      </c>
      <c r="E1005" s="224">
        <v>13143</v>
      </c>
      <c r="F1005" s="250" t="s">
        <v>123</v>
      </c>
      <c r="G1005" s="223" t="s">
        <v>5457</v>
      </c>
      <c r="I1005" s="223">
        <v>25795</v>
      </c>
      <c r="AV1005" s="22">
        <f t="shared" si="99"/>
        <v>25795</v>
      </c>
      <c r="AW1005" s="223">
        <v>16135.25</v>
      </c>
      <c r="AX1005" s="223">
        <v>2344.75</v>
      </c>
      <c r="AY1005" s="223">
        <v>6215</v>
      </c>
      <c r="AZ1005" s="223">
        <v>1100</v>
      </c>
      <c r="CK1005" s="22">
        <f t="shared" si="102"/>
        <v>25795</v>
      </c>
      <c r="CL1005" s="3">
        <f t="shared" si="103"/>
        <v>0</v>
      </c>
      <c r="CM1005" s="222">
        <f t="shared" si="104"/>
        <v>13143</v>
      </c>
      <c r="CN1005" s="3" t="str">
        <f t="shared" si="105"/>
        <v>خ ت اسنان</v>
      </c>
    </row>
    <row r="1006" spans="3:92" x14ac:dyDescent="0.25">
      <c r="C1006" s="223" t="s">
        <v>555</v>
      </c>
      <c r="D1006" s="224">
        <v>21091</v>
      </c>
      <c r="E1006" s="224">
        <v>13144</v>
      </c>
      <c r="F1006" s="250" t="s">
        <v>123</v>
      </c>
      <c r="G1006" s="223" t="s">
        <v>5457</v>
      </c>
      <c r="I1006" s="223">
        <v>39525.949999999997</v>
      </c>
      <c r="AV1006" s="22">
        <f t="shared" si="99"/>
        <v>39525.949999999997</v>
      </c>
      <c r="AW1006" s="223">
        <v>30299.66</v>
      </c>
      <c r="AX1006" s="223">
        <v>4033.45</v>
      </c>
      <c r="AY1006" s="223">
        <v>3317.84</v>
      </c>
      <c r="AZ1006" s="223">
        <v>1875</v>
      </c>
      <c r="CK1006" s="22">
        <f t="shared" si="102"/>
        <v>39525.949999999997</v>
      </c>
      <c r="CL1006" s="3">
        <f t="shared" si="103"/>
        <v>0</v>
      </c>
      <c r="CM1006" s="222">
        <f t="shared" si="104"/>
        <v>13144</v>
      </c>
      <c r="CN1006" s="3" t="str">
        <f t="shared" si="105"/>
        <v>خ ت اسنان</v>
      </c>
    </row>
    <row r="1007" spans="3:92" x14ac:dyDescent="0.25">
      <c r="C1007" s="223" t="s">
        <v>555</v>
      </c>
      <c r="D1007" s="224">
        <v>21933</v>
      </c>
      <c r="E1007" s="224">
        <v>13145</v>
      </c>
      <c r="F1007" s="250" t="s">
        <v>123</v>
      </c>
      <c r="G1007" s="223" t="str">
        <f>+G1002</f>
        <v>م خ ت ابريل</v>
      </c>
      <c r="I1007" s="223">
        <v>87.94</v>
      </c>
      <c r="AV1007" s="22">
        <f t="shared" si="99"/>
        <v>87.94</v>
      </c>
      <c r="AW1007" s="223">
        <v>55.4</v>
      </c>
      <c r="AX1007" s="223">
        <v>7.6</v>
      </c>
      <c r="AY1007" s="223">
        <v>21.19</v>
      </c>
      <c r="AZ1007" s="223">
        <v>3.75</v>
      </c>
      <c r="CK1007" s="22">
        <f t="shared" si="102"/>
        <v>87.94</v>
      </c>
      <c r="CL1007" s="3">
        <f t="shared" si="103"/>
        <v>0</v>
      </c>
      <c r="CM1007" s="222">
        <f t="shared" si="104"/>
        <v>13145</v>
      </c>
      <c r="CN1007" s="3" t="str">
        <f t="shared" si="105"/>
        <v>خ ت اسنان</v>
      </c>
    </row>
    <row r="1008" spans="3:92" x14ac:dyDescent="0.25">
      <c r="C1008" s="223" t="s">
        <v>555</v>
      </c>
      <c r="D1008" s="224">
        <v>16435</v>
      </c>
      <c r="E1008" s="224">
        <v>13146</v>
      </c>
      <c r="F1008" s="250" t="s">
        <v>123</v>
      </c>
      <c r="G1008" s="223" t="s">
        <v>5458</v>
      </c>
      <c r="I1008" s="223">
        <v>334.5</v>
      </c>
      <c r="AV1008" s="22">
        <f t="shared" si="99"/>
        <v>334.5</v>
      </c>
      <c r="AW1008" s="223">
        <v>221.63</v>
      </c>
      <c r="AX1008" s="223">
        <v>30.8</v>
      </c>
      <c r="AY1008" s="223">
        <v>56.5</v>
      </c>
      <c r="AZ1008" s="223">
        <v>15</v>
      </c>
      <c r="BA1008" s="223">
        <v>10.57</v>
      </c>
      <c r="CK1008" s="22">
        <f t="shared" si="102"/>
        <v>334.5</v>
      </c>
      <c r="CL1008" s="3">
        <f t="shared" si="103"/>
        <v>0</v>
      </c>
      <c r="CM1008" s="222">
        <f t="shared" si="104"/>
        <v>13146</v>
      </c>
      <c r="CN1008" s="3" t="str">
        <f t="shared" si="105"/>
        <v>خ ت اسنان</v>
      </c>
    </row>
    <row r="1009" spans="3:92" x14ac:dyDescent="0.25">
      <c r="C1009" s="223" t="s">
        <v>555</v>
      </c>
      <c r="D1009" s="224">
        <v>17774</v>
      </c>
      <c r="E1009" s="224">
        <v>13147</v>
      </c>
      <c r="F1009" s="250" t="s">
        <v>123</v>
      </c>
      <c r="G1009" s="223" t="s">
        <v>5458</v>
      </c>
      <c r="I1009" s="223">
        <v>351.75</v>
      </c>
      <c r="AV1009" s="22">
        <f t="shared" si="99"/>
        <v>351.75</v>
      </c>
      <c r="AW1009" s="223">
        <v>210.68</v>
      </c>
      <c r="AX1009" s="223">
        <v>30.75</v>
      </c>
      <c r="AY1009" s="223">
        <v>84.75</v>
      </c>
      <c r="AZ1009" s="223">
        <v>15</v>
      </c>
      <c r="BA1009" s="223">
        <v>10.57</v>
      </c>
      <c r="CK1009" s="22">
        <f t="shared" si="102"/>
        <v>351.75</v>
      </c>
      <c r="CL1009" s="3">
        <f t="shared" si="103"/>
        <v>0</v>
      </c>
      <c r="CM1009" s="222">
        <f t="shared" si="104"/>
        <v>13147</v>
      </c>
      <c r="CN1009" s="3" t="str">
        <f t="shared" si="105"/>
        <v>خ ت اسنان</v>
      </c>
    </row>
    <row r="1010" spans="3:92" x14ac:dyDescent="0.25">
      <c r="C1010" s="223" t="s">
        <v>555</v>
      </c>
      <c r="D1010" s="224">
        <v>19870</v>
      </c>
      <c r="E1010" s="224">
        <v>13148</v>
      </c>
      <c r="F1010" s="250" t="s">
        <v>123</v>
      </c>
      <c r="G1010" s="223" t="s">
        <v>5458</v>
      </c>
      <c r="I1010" s="223">
        <v>334.5</v>
      </c>
      <c r="AV1010" s="22">
        <f t="shared" si="99"/>
        <v>334.5</v>
      </c>
      <c r="AW1010" s="223">
        <v>221.63</v>
      </c>
      <c r="AX1010" s="223">
        <v>30.8</v>
      </c>
      <c r="AY1010" s="223">
        <v>56.5</v>
      </c>
      <c r="AZ1010" s="223">
        <v>15</v>
      </c>
      <c r="BA1010" s="223">
        <v>10.57</v>
      </c>
      <c r="CK1010" s="22">
        <f t="shared" si="102"/>
        <v>334.5</v>
      </c>
      <c r="CL1010" s="3">
        <f t="shared" si="103"/>
        <v>0</v>
      </c>
      <c r="CM1010" s="222">
        <f t="shared" si="104"/>
        <v>13148</v>
      </c>
      <c r="CN1010" s="3" t="str">
        <f t="shared" si="105"/>
        <v>خ ت اسنان</v>
      </c>
    </row>
    <row r="1011" spans="3:92" x14ac:dyDescent="0.25">
      <c r="C1011" s="223" t="s">
        <v>555</v>
      </c>
      <c r="D1011" s="224">
        <v>21209</v>
      </c>
      <c r="E1011" s="224">
        <v>13149</v>
      </c>
      <c r="F1011" s="250" t="s">
        <v>123</v>
      </c>
      <c r="G1011" s="223" t="s">
        <v>2230</v>
      </c>
      <c r="I1011" s="223">
        <v>2651.75</v>
      </c>
      <c r="AV1011" s="22">
        <f t="shared" si="99"/>
        <v>2651.75</v>
      </c>
      <c r="AW1011" s="223">
        <v>2162.6999999999998</v>
      </c>
      <c r="AX1011" s="223">
        <v>274.3</v>
      </c>
      <c r="AY1011" s="223">
        <v>84.75</v>
      </c>
      <c r="AZ1011" s="223">
        <v>130</v>
      </c>
      <c r="CK1011" s="22">
        <f t="shared" si="102"/>
        <v>2651.75</v>
      </c>
      <c r="CL1011" s="3">
        <f t="shared" si="103"/>
        <v>0</v>
      </c>
      <c r="CM1011" s="222">
        <f t="shared" si="104"/>
        <v>13149</v>
      </c>
      <c r="CN1011" s="3" t="str">
        <f t="shared" si="105"/>
        <v>خ ت اسنان</v>
      </c>
    </row>
    <row r="1012" spans="3:92" x14ac:dyDescent="0.25">
      <c r="C1012" s="223" t="s">
        <v>555</v>
      </c>
      <c r="D1012" s="224">
        <v>21210</v>
      </c>
      <c r="E1012" s="224">
        <v>13150</v>
      </c>
      <c r="F1012" s="250" t="s">
        <v>123</v>
      </c>
      <c r="G1012" s="223" t="s">
        <v>2230</v>
      </c>
      <c r="I1012" s="223">
        <v>703.5</v>
      </c>
      <c r="AV1012" s="22">
        <f t="shared" si="99"/>
        <v>703.5</v>
      </c>
      <c r="AW1012" s="223">
        <v>441.1</v>
      </c>
      <c r="AX1012" s="223">
        <v>62.9</v>
      </c>
      <c r="AY1012" s="223">
        <v>169.5</v>
      </c>
      <c r="AZ1012" s="223">
        <v>30</v>
      </c>
      <c r="CK1012" s="22">
        <f t="shared" si="102"/>
        <v>703.5</v>
      </c>
      <c r="CL1012" s="3">
        <f t="shared" si="103"/>
        <v>0</v>
      </c>
      <c r="CM1012" s="222">
        <f t="shared" si="104"/>
        <v>13150</v>
      </c>
      <c r="CN1012" s="3" t="str">
        <f t="shared" si="105"/>
        <v>خ ت اسنان</v>
      </c>
    </row>
    <row r="1013" spans="3:92" x14ac:dyDescent="0.25">
      <c r="C1013" s="223" t="s">
        <v>555</v>
      </c>
      <c r="D1013" s="224">
        <v>21211</v>
      </c>
      <c r="E1013" s="224">
        <v>13151</v>
      </c>
      <c r="F1013" s="250" t="s">
        <v>123</v>
      </c>
      <c r="G1013" s="223" t="s">
        <v>2230</v>
      </c>
      <c r="I1013" s="223">
        <v>3303.5</v>
      </c>
      <c r="AV1013" s="22">
        <f t="shared" si="99"/>
        <v>3303.5</v>
      </c>
      <c r="AW1013" s="223">
        <v>2636.6</v>
      </c>
      <c r="AX1013" s="223">
        <v>337.4</v>
      </c>
      <c r="AY1013" s="223">
        <v>169.5</v>
      </c>
      <c r="AZ1013" s="223">
        <v>160</v>
      </c>
      <c r="CK1013" s="22">
        <f t="shared" si="102"/>
        <v>3303.5</v>
      </c>
      <c r="CL1013" s="3">
        <f t="shared" si="103"/>
        <v>0</v>
      </c>
      <c r="CM1013" s="222">
        <f t="shared" si="104"/>
        <v>13151</v>
      </c>
      <c r="CN1013" s="3" t="str">
        <f t="shared" si="105"/>
        <v>خ ت اسنان</v>
      </c>
    </row>
    <row r="1014" spans="3:92" x14ac:dyDescent="0.25">
      <c r="C1014" s="223" t="s">
        <v>555</v>
      </c>
      <c r="D1014" s="224">
        <v>21212</v>
      </c>
      <c r="E1014" s="224">
        <v>13152</v>
      </c>
      <c r="F1014" s="250" t="s">
        <v>123</v>
      </c>
      <c r="G1014" s="223" t="s">
        <v>2230</v>
      </c>
      <c r="I1014" s="223">
        <v>703.5</v>
      </c>
      <c r="AV1014" s="22">
        <f t="shared" si="99"/>
        <v>703.5</v>
      </c>
      <c r="AW1014" s="223">
        <v>471.1</v>
      </c>
      <c r="AX1014" s="223">
        <v>62.9</v>
      </c>
      <c r="AY1014" s="223">
        <v>169.5</v>
      </c>
      <c r="CK1014" s="22">
        <f t="shared" si="102"/>
        <v>703.5</v>
      </c>
      <c r="CL1014" s="3">
        <f t="shared" si="103"/>
        <v>0</v>
      </c>
      <c r="CM1014" s="222">
        <f t="shared" si="104"/>
        <v>13152</v>
      </c>
      <c r="CN1014" s="3" t="str">
        <f t="shared" si="105"/>
        <v>خ ت اسنان</v>
      </c>
    </row>
    <row r="1015" spans="3:92" x14ac:dyDescent="0.25">
      <c r="C1015" s="223" t="s">
        <v>635</v>
      </c>
      <c r="D1015" s="224">
        <v>21834</v>
      </c>
      <c r="E1015" s="224">
        <v>13153</v>
      </c>
      <c r="F1015" s="250" t="s">
        <v>122</v>
      </c>
      <c r="G1015" s="223" t="s">
        <v>5459</v>
      </c>
      <c r="I1015" s="223">
        <v>13826.88</v>
      </c>
      <c r="AV1015" s="22">
        <f t="shared" si="99"/>
        <v>13826.88</v>
      </c>
      <c r="AW1015" s="223">
        <v>11167.91</v>
      </c>
      <c r="AX1015" s="223">
        <v>1448.65</v>
      </c>
      <c r="AY1015" s="223">
        <v>535.32000000000005</v>
      </c>
      <c r="AZ1015" s="223">
        <v>675</v>
      </c>
      <c r="CK1015" s="22">
        <f t="shared" si="102"/>
        <v>13826.88</v>
      </c>
      <c r="CL1015" s="3">
        <f t="shared" si="103"/>
        <v>0</v>
      </c>
      <c r="CM1015" s="222">
        <f t="shared" si="104"/>
        <v>13153</v>
      </c>
      <c r="CN1015" s="3" t="str">
        <f t="shared" si="105"/>
        <v>علاج تخصصى</v>
      </c>
    </row>
    <row r="1016" spans="3:92" x14ac:dyDescent="0.25">
      <c r="C1016" s="223" t="s">
        <v>635</v>
      </c>
      <c r="D1016" s="224">
        <v>21835</v>
      </c>
      <c r="E1016" s="224">
        <v>13154</v>
      </c>
      <c r="F1016" s="250" t="s">
        <v>122</v>
      </c>
      <c r="G1016" s="223" t="s">
        <v>5460</v>
      </c>
      <c r="I1016" s="223">
        <v>5000</v>
      </c>
      <c r="AV1016" s="22">
        <f t="shared" si="99"/>
        <v>5000</v>
      </c>
      <c r="AW1016" s="223">
        <v>4212.8500000000004</v>
      </c>
      <c r="AX1016" s="223">
        <v>537.15</v>
      </c>
      <c r="AZ1016" s="223">
        <v>250</v>
      </c>
      <c r="CK1016" s="22">
        <f t="shared" si="102"/>
        <v>5000</v>
      </c>
      <c r="CL1016" s="3">
        <f t="shared" si="103"/>
        <v>0</v>
      </c>
      <c r="CM1016" s="222">
        <f t="shared" si="104"/>
        <v>13154</v>
      </c>
      <c r="CN1016" s="3" t="str">
        <f t="shared" si="105"/>
        <v>علاج تخصصى</v>
      </c>
    </row>
    <row r="1017" spans="3:92" x14ac:dyDescent="0.25">
      <c r="C1017" s="223" t="s">
        <v>635</v>
      </c>
      <c r="D1017" s="224">
        <v>21837</v>
      </c>
      <c r="E1017" s="224">
        <v>13155</v>
      </c>
      <c r="F1017" s="250" t="s">
        <v>122</v>
      </c>
      <c r="G1017" s="223" t="s">
        <v>5461</v>
      </c>
      <c r="I1017" s="223">
        <v>7288.88</v>
      </c>
      <c r="AV1017" s="22">
        <f t="shared" si="99"/>
        <v>7288.88</v>
      </c>
      <c r="AW1017" s="223">
        <v>5558.33</v>
      </c>
      <c r="AX1017" s="223">
        <v>736.85</v>
      </c>
      <c r="AY1017" s="223">
        <v>649.05999999999995</v>
      </c>
      <c r="AZ1017" s="223">
        <v>344.64</v>
      </c>
      <c r="CK1017" s="22">
        <f t="shared" si="102"/>
        <v>7288.88</v>
      </c>
      <c r="CL1017" s="3">
        <f t="shared" si="103"/>
        <v>0</v>
      </c>
      <c r="CM1017" s="222">
        <f t="shared" si="104"/>
        <v>13155</v>
      </c>
      <c r="CN1017" s="3" t="str">
        <f t="shared" si="105"/>
        <v>علاج تخصصى</v>
      </c>
    </row>
    <row r="1018" spans="3:92" x14ac:dyDescent="0.25">
      <c r="C1018" s="223" t="s">
        <v>635</v>
      </c>
      <c r="D1018" s="224">
        <v>21893</v>
      </c>
      <c r="E1018" s="224">
        <v>13156</v>
      </c>
      <c r="F1018" s="250" t="s">
        <v>122</v>
      </c>
      <c r="G1018" s="223" t="s">
        <v>5459</v>
      </c>
      <c r="I1018" s="223">
        <v>3500</v>
      </c>
      <c r="AV1018" s="22">
        <f t="shared" si="99"/>
        <v>3500</v>
      </c>
      <c r="AW1018" s="223">
        <v>2949.1</v>
      </c>
      <c r="AX1018" s="223">
        <v>375.9</v>
      </c>
      <c r="AZ1018" s="223">
        <v>175</v>
      </c>
      <c r="CK1018" s="22">
        <f t="shared" si="102"/>
        <v>3500</v>
      </c>
      <c r="CL1018" s="3">
        <f t="shared" si="103"/>
        <v>0</v>
      </c>
      <c r="CM1018" s="222">
        <f t="shared" si="104"/>
        <v>13156</v>
      </c>
      <c r="CN1018" s="3" t="str">
        <f t="shared" si="105"/>
        <v>علاج تخصصى</v>
      </c>
    </row>
    <row r="1019" spans="3:92" x14ac:dyDescent="0.25">
      <c r="C1019" s="223" t="s">
        <v>635</v>
      </c>
      <c r="D1019" s="224">
        <v>21891</v>
      </c>
      <c r="E1019" s="224">
        <v>13157</v>
      </c>
      <c r="F1019" s="250" t="s">
        <v>122</v>
      </c>
      <c r="G1019" s="223" t="s">
        <v>5462</v>
      </c>
      <c r="I1019" s="223">
        <v>5000</v>
      </c>
      <c r="AV1019" s="22">
        <f t="shared" si="99"/>
        <v>5000</v>
      </c>
      <c r="AW1019" s="223">
        <v>4212.8500000000004</v>
      </c>
      <c r="AX1019" s="223">
        <v>537.15</v>
      </c>
      <c r="AZ1019" s="223">
        <v>250</v>
      </c>
      <c r="CK1019" s="22">
        <f t="shared" si="102"/>
        <v>5000</v>
      </c>
      <c r="CL1019" s="3">
        <f t="shared" si="103"/>
        <v>0</v>
      </c>
      <c r="CM1019" s="222">
        <f t="shared" si="104"/>
        <v>13157</v>
      </c>
      <c r="CN1019" s="3" t="str">
        <f t="shared" si="105"/>
        <v>علاج تخصصى</v>
      </c>
    </row>
    <row r="1020" spans="3:92" x14ac:dyDescent="0.25">
      <c r="C1020" s="223" t="s">
        <v>635</v>
      </c>
      <c r="D1020" s="224">
        <v>21889</v>
      </c>
      <c r="E1020" s="224">
        <v>13158</v>
      </c>
      <c r="F1020" s="250" t="s">
        <v>122</v>
      </c>
      <c r="G1020" s="223" t="s">
        <v>5463</v>
      </c>
      <c r="I1020" s="223">
        <v>3500</v>
      </c>
      <c r="AV1020" s="22">
        <f t="shared" si="99"/>
        <v>3500</v>
      </c>
      <c r="AW1020" s="223">
        <v>2949.1</v>
      </c>
      <c r="AX1020" s="223">
        <v>375.9</v>
      </c>
      <c r="AZ1020" s="223">
        <v>175</v>
      </c>
      <c r="CK1020" s="22">
        <f t="shared" si="102"/>
        <v>3500</v>
      </c>
      <c r="CL1020" s="3">
        <f t="shared" si="103"/>
        <v>0</v>
      </c>
      <c r="CM1020" s="222">
        <f t="shared" si="104"/>
        <v>13158</v>
      </c>
      <c r="CN1020" s="3" t="str">
        <f t="shared" si="105"/>
        <v>علاج تخصصى</v>
      </c>
    </row>
    <row r="1021" spans="3:92" x14ac:dyDescent="0.25">
      <c r="C1021" s="223" t="s">
        <v>635</v>
      </c>
      <c r="D1021" s="224">
        <v>21892</v>
      </c>
      <c r="E1021" s="224">
        <v>13159</v>
      </c>
      <c r="F1021" s="250" t="s">
        <v>122</v>
      </c>
      <c r="G1021" s="223" t="s">
        <v>5464</v>
      </c>
      <c r="I1021" s="223">
        <v>16813.990000000002</v>
      </c>
      <c r="AV1021" s="22">
        <f t="shared" si="99"/>
        <v>16813.990000000002</v>
      </c>
      <c r="AW1021" s="223">
        <v>13916.18</v>
      </c>
      <c r="AX1021" s="223">
        <v>1786.19</v>
      </c>
      <c r="AY1021" s="223">
        <v>279.48</v>
      </c>
      <c r="AZ1021" s="223">
        <v>832.14</v>
      </c>
      <c r="CK1021" s="22">
        <f t="shared" si="102"/>
        <v>16813.990000000002</v>
      </c>
      <c r="CL1021" s="3">
        <f t="shared" si="103"/>
        <v>0</v>
      </c>
      <c r="CM1021" s="222">
        <f t="shared" si="104"/>
        <v>13159</v>
      </c>
      <c r="CN1021" s="3" t="str">
        <f t="shared" si="105"/>
        <v>علاج تخصصى</v>
      </c>
    </row>
    <row r="1022" spans="3:92" x14ac:dyDescent="0.25">
      <c r="C1022" s="223" t="s">
        <v>635</v>
      </c>
      <c r="D1022" s="224">
        <v>21890</v>
      </c>
      <c r="E1022" s="224">
        <v>13160</v>
      </c>
      <c r="F1022" s="250" t="s">
        <v>122</v>
      </c>
      <c r="G1022" s="223" t="s">
        <v>5463</v>
      </c>
      <c r="I1022" s="223">
        <v>13000</v>
      </c>
      <c r="AV1022" s="22">
        <f t="shared" si="99"/>
        <v>13000</v>
      </c>
      <c r="AW1022" s="223">
        <v>10953.55</v>
      </c>
      <c r="AX1022" s="223">
        <v>1396.45</v>
      </c>
      <c r="AZ1022" s="223">
        <v>650</v>
      </c>
      <c r="CK1022" s="22">
        <f t="shared" si="102"/>
        <v>13000</v>
      </c>
      <c r="CL1022" s="3">
        <f t="shared" si="103"/>
        <v>0</v>
      </c>
      <c r="CM1022" s="222">
        <f t="shared" si="104"/>
        <v>13160</v>
      </c>
      <c r="CN1022" s="3" t="str">
        <f t="shared" si="105"/>
        <v>علاج تخصصى</v>
      </c>
    </row>
    <row r="1023" spans="3:92" x14ac:dyDescent="0.25">
      <c r="C1023" s="223" t="s">
        <v>635</v>
      </c>
      <c r="D1023" s="224">
        <v>21836</v>
      </c>
      <c r="E1023" s="224">
        <v>13161</v>
      </c>
      <c r="F1023" s="250" t="s">
        <v>122</v>
      </c>
      <c r="G1023" s="223" t="s">
        <v>5465</v>
      </c>
      <c r="I1023" s="223">
        <v>2712.4</v>
      </c>
      <c r="AV1023" s="22">
        <f t="shared" si="99"/>
        <v>2712.4</v>
      </c>
      <c r="AW1023" s="223">
        <v>2072.4</v>
      </c>
      <c r="AX1023" s="223">
        <v>270.3</v>
      </c>
      <c r="AY1023" s="223">
        <v>241.48</v>
      </c>
      <c r="AZ1023" s="223">
        <v>128.22</v>
      </c>
      <c r="CK1023" s="22">
        <f t="shared" si="102"/>
        <v>2712.4</v>
      </c>
      <c r="CL1023" s="3">
        <f t="shared" si="103"/>
        <v>0</v>
      </c>
      <c r="CM1023" s="222">
        <f t="shared" si="104"/>
        <v>13161</v>
      </c>
      <c r="CN1023" s="3" t="str">
        <f t="shared" si="105"/>
        <v>علاج تخصصى</v>
      </c>
    </row>
    <row r="1024" spans="3:92" x14ac:dyDescent="0.25">
      <c r="C1024" s="223" t="s">
        <v>635</v>
      </c>
      <c r="D1024" s="224">
        <v>21892</v>
      </c>
      <c r="E1024" s="224">
        <v>13162</v>
      </c>
      <c r="F1024" s="250" t="s">
        <v>122</v>
      </c>
      <c r="G1024" s="223" t="s">
        <v>5466</v>
      </c>
      <c r="I1024" s="223">
        <v>8811.33</v>
      </c>
      <c r="AV1024" s="22">
        <f t="shared" ref="AV1024:AV1087" si="106">SUM(I1024:AU1024)</f>
        <v>8811.33</v>
      </c>
      <c r="AW1024" s="223">
        <v>7278.18</v>
      </c>
      <c r="AX1024" s="223">
        <v>934.73</v>
      </c>
      <c r="AY1024" s="223">
        <v>162.46</v>
      </c>
      <c r="AZ1024" s="223">
        <v>435.96</v>
      </c>
      <c r="CK1024" s="22">
        <f t="shared" si="102"/>
        <v>8811.3299999999981</v>
      </c>
      <c r="CL1024" s="3">
        <f t="shared" si="103"/>
        <v>0</v>
      </c>
      <c r="CM1024" s="222">
        <f t="shared" si="104"/>
        <v>13162</v>
      </c>
      <c r="CN1024" s="3" t="str">
        <f t="shared" si="105"/>
        <v>علاج تخصصى</v>
      </c>
    </row>
    <row r="1025" spans="2:92" x14ac:dyDescent="0.25">
      <c r="B1025" s="223" t="s">
        <v>5468</v>
      </c>
      <c r="C1025" s="223" t="s">
        <v>367</v>
      </c>
      <c r="D1025" s="224">
        <v>21863</v>
      </c>
      <c r="E1025" s="224">
        <v>13163</v>
      </c>
      <c r="F1025" s="250" t="s">
        <v>121</v>
      </c>
      <c r="G1025" s="223" t="s">
        <v>5467</v>
      </c>
      <c r="I1025" s="223">
        <v>42548.67</v>
      </c>
      <c r="AV1025" s="22">
        <f t="shared" si="106"/>
        <v>42548.67</v>
      </c>
      <c r="AW1025" s="223">
        <v>28296.06</v>
      </c>
      <c r="AX1025" s="223">
        <v>5006.41</v>
      </c>
      <c r="AY1025" s="223">
        <v>8998.02</v>
      </c>
      <c r="BL1025" s="223">
        <v>248.18</v>
      </c>
      <c r="CK1025" s="22">
        <f t="shared" si="102"/>
        <v>42548.670000000006</v>
      </c>
      <c r="CL1025" s="3">
        <f t="shared" si="103"/>
        <v>0</v>
      </c>
      <c r="CM1025" s="222">
        <f t="shared" si="104"/>
        <v>13163</v>
      </c>
      <c r="CN1025" s="3" t="str">
        <f t="shared" si="105"/>
        <v>ماليزى اسنان</v>
      </c>
    </row>
    <row r="1026" spans="2:92" x14ac:dyDescent="0.25">
      <c r="C1026" s="223" t="s">
        <v>592</v>
      </c>
      <c r="D1026" s="224">
        <v>21850</v>
      </c>
      <c r="E1026" s="224">
        <v>13164</v>
      </c>
      <c r="F1026" s="250" t="s">
        <v>121</v>
      </c>
      <c r="G1026" s="223" t="s">
        <v>5469</v>
      </c>
      <c r="I1026" s="223">
        <v>16608.099999999999</v>
      </c>
      <c r="AV1026" s="22">
        <f t="shared" si="106"/>
        <v>16608.099999999999</v>
      </c>
      <c r="AW1026" s="223">
        <v>12297.48</v>
      </c>
      <c r="AX1026" s="223">
        <v>1423.26</v>
      </c>
      <c r="AY1026" s="223">
        <v>2887.36</v>
      </c>
      <c r="CK1026" s="22">
        <f t="shared" si="102"/>
        <v>16608.099999999999</v>
      </c>
      <c r="CL1026" s="3">
        <f t="shared" si="103"/>
        <v>0</v>
      </c>
      <c r="CM1026" s="222">
        <f t="shared" si="104"/>
        <v>13164</v>
      </c>
      <c r="CN1026" s="3" t="str">
        <f t="shared" si="105"/>
        <v>ماليزى اسنان</v>
      </c>
    </row>
    <row r="1027" spans="2:92" x14ac:dyDescent="0.25">
      <c r="B1027" s="223" t="s">
        <v>1179</v>
      </c>
      <c r="C1027" s="223" t="s">
        <v>592</v>
      </c>
      <c r="D1027" s="224">
        <v>22048</v>
      </c>
      <c r="E1027" s="224">
        <v>13165</v>
      </c>
      <c r="F1027" s="250" t="s">
        <v>121</v>
      </c>
      <c r="G1027" s="223" t="s">
        <v>5470</v>
      </c>
      <c r="I1027" s="223">
        <v>161635.75</v>
      </c>
      <c r="AV1027" s="22">
        <f t="shared" si="106"/>
        <v>161635.75</v>
      </c>
      <c r="AW1027" s="223">
        <v>122886.21</v>
      </c>
      <c r="AX1027" s="223">
        <v>15763.45</v>
      </c>
      <c r="AY1027" s="223">
        <v>22986.09</v>
      </c>
      <c r="CK1027" s="22">
        <f t="shared" si="102"/>
        <v>161635.75</v>
      </c>
      <c r="CL1027" s="3">
        <f t="shared" si="103"/>
        <v>0</v>
      </c>
      <c r="CM1027" s="222">
        <f t="shared" si="104"/>
        <v>13165</v>
      </c>
      <c r="CN1027" s="3" t="str">
        <f t="shared" si="105"/>
        <v>ماليزى اسنان</v>
      </c>
    </row>
    <row r="1028" spans="2:92" x14ac:dyDescent="0.25">
      <c r="B1028" s="223" t="s">
        <v>599</v>
      </c>
      <c r="C1028" s="223" t="s">
        <v>592</v>
      </c>
      <c r="D1028" s="224">
        <v>22051</v>
      </c>
      <c r="E1028" s="224">
        <v>13166</v>
      </c>
      <c r="F1028" s="250" t="s">
        <v>121</v>
      </c>
      <c r="G1028" s="223" t="s">
        <v>5471</v>
      </c>
      <c r="I1028" s="223">
        <v>1000</v>
      </c>
      <c r="AV1028" s="22">
        <f t="shared" si="106"/>
        <v>1000</v>
      </c>
      <c r="AW1028" s="223">
        <v>893.35</v>
      </c>
      <c r="AX1028" s="223">
        <v>106.65</v>
      </c>
      <c r="CK1028" s="22">
        <f t="shared" si="102"/>
        <v>1000</v>
      </c>
      <c r="CL1028" s="3">
        <f t="shared" si="103"/>
        <v>0</v>
      </c>
      <c r="CM1028" s="222">
        <f t="shared" si="104"/>
        <v>13166</v>
      </c>
      <c r="CN1028" s="3" t="str">
        <f t="shared" si="105"/>
        <v>ماليزى اسنان</v>
      </c>
    </row>
    <row r="1029" spans="2:92" x14ac:dyDescent="0.25">
      <c r="B1029" s="223" t="s">
        <v>599</v>
      </c>
      <c r="C1029" s="223" t="s">
        <v>592</v>
      </c>
      <c r="D1029" s="224">
        <v>22051</v>
      </c>
      <c r="E1029" s="224">
        <v>13167</v>
      </c>
      <c r="F1029" s="250" t="s">
        <v>121</v>
      </c>
      <c r="G1029" s="223" t="str">
        <f>+G1027</f>
        <v>مكافاه برنامج دولى فصل ربيع اداريين</v>
      </c>
      <c r="I1029" s="223">
        <v>1407</v>
      </c>
      <c r="AV1029" s="22">
        <f t="shared" si="106"/>
        <v>1407</v>
      </c>
      <c r="AW1029" s="223">
        <v>940.35</v>
      </c>
      <c r="AX1029" s="223">
        <v>127.65</v>
      </c>
      <c r="AY1029" s="223">
        <v>339</v>
      </c>
      <c r="CK1029" s="22">
        <f t="shared" si="102"/>
        <v>1407</v>
      </c>
      <c r="CL1029" s="3">
        <f t="shared" si="103"/>
        <v>0</v>
      </c>
      <c r="CM1029" s="222">
        <f t="shared" si="104"/>
        <v>13167</v>
      </c>
      <c r="CN1029" s="3" t="str">
        <f t="shared" si="105"/>
        <v>ماليزى اسنان</v>
      </c>
    </row>
    <row r="1030" spans="2:92" x14ac:dyDescent="0.25">
      <c r="B1030" s="223" t="s">
        <v>599</v>
      </c>
      <c r="C1030" s="223" t="s">
        <v>592</v>
      </c>
      <c r="D1030" s="224">
        <v>22052</v>
      </c>
      <c r="E1030" s="224">
        <v>13168</v>
      </c>
      <c r="F1030" s="250" t="s">
        <v>121</v>
      </c>
      <c r="G1030" s="223" t="s">
        <v>5472</v>
      </c>
      <c r="I1030" s="223">
        <v>1800</v>
      </c>
      <c r="AV1030" s="22">
        <f t="shared" si="106"/>
        <v>1800</v>
      </c>
      <c r="AW1030" s="223">
        <v>1606.85</v>
      </c>
      <c r="AX1030" s="223">
        <f>13.15+180</f>
        <v>193.15</v>
      </c>
      <c r="CK1030" s="22">
        <f t="shared" si="102"/>
        <v>1800</v>
      </c>
      <c r="CL1030" s="3">
        <f t="shared" si="103"/>
        <v>0</v>
      </c>
      <c r="CM1030" s="222">
        <f t="shared" si="104"/>
        <v>13168</v>
      </c>
      <c r="CN1030" s="3" t="str">
        <f t="shared" si="105"/>
        <v>ماليزى اسنان</v>
      </c>
    </row>
    <row r="1031" spans="2:92" x14ac:dyDescent="0.25">
      <c r="B1031" s="223" t="s">
        <v>599</v>
      </c>
      <c r="C1031" s="223" t="s">
        <v>592</v>
      </c>
      <c r="D1031" s="224">
        <v>22050</v>
      </c>
      <c r="E1031" s="224">
        <v>13169</v>
      </c>
      <c r="F1031" s="250" t="s">
        <v>121</v>
      </c>
      <c r="G1031" s="223" t="str">
        <f>+G1028</f>
        <v>مكافاه برنامج دولى فصل ربيع خدمات معاونه</v>
      </c>
      <c r="I1031" s="223">
        <v>5862.5</v>
      </c>
      <c r="AV1031" s="22">
        <f t="shared" si="106"/>
        <v>5862.5</v>
      </c>
      <c r="AW1031" s="223">
        <v>3920.5</v>
      </c>
      <c r="AX1031" s="223">
        <v>529.5</v>
      </c>
      <c r="AY1031" s="223">
        <v>1412.5</v>
      </c>
      <c r="CK1031" s="22">
        <f t="shared" si="102"/>
        <v>5862.5</v>
      </c>
      <c r="CL1031" s="3">
        <f t="shared" si="103"/>
        <v>0</v>
      </c>
      <c r="CM1031" s="222">
        <f t="shared" si="104"/>
        <v>13169</v>
      </c>
      <c r="CN1031" s="3" t="str">
        <f t="shared" si="105"/>
        <v>ماليزى اسنان</v>
      </c>
    </row>
    <row r="1032" spans="2:92" x14ac:dyDescent="0.25">
      <c r="B1032" s="223" t="s">
        <v>599</v>
      </c>
      <c r="C1032" s="223" t="s">
        <v>592</v>
      </c>
      <c r="D1032" s="224">
        <v>22049</v>
      </c>
      <c r="E1032" s="224">
        <v>13170</v>
      </c>
      <c r="F1032" s="250" t="s">
        <v>121</v>
      </c>
      <c r="G1032" s="223" t="s">
        <v>5473</v>
      </c>
      <c r="I1032" s="223">
        <v>43426.2</v>
      </c>
      <c r="AV1032" s="22">
        <f t="shared" si="106"/>
        <v>43426.2</v>
      </c>
      <c r="AW1032" s="223">
        <v>31564.1</v>
      </c>
      <c r="AX1032" s="223">
        <v>4122.1000000000004</v>
      </c>
      <c r="AY1032" s="223">
        <v>7740</v>
      </c>
      <c r="CK1032" s="22">
        <f t="shared" ref="CK1032:CK1095" si="107">SUM(AW1032:CJ1032)</f>
        <v>43426.2</v>
      </c>
      <c r="CL1032" s="3">
        <f t="shared" ref="CL1032:CL1095" si="108">+CK1032-AV1032</f>
        <v>0</v>
      </c>
      <c r="CM1032" s="222">
        <f t="shared" ref="CM1032:CM1095" si="109">+E1032</f>
        <v>13170</v>
      </c>
      <c r="CN1032" s="3" t="str">
        <f t="shared" ref="CN1032:CN1095" si="110">+F1032</f>
        <v>ماليزى اسنان</v>
      </c>
    </row>
    <row r="1033" spans="2:92" x14ac:dyDescent="0.25">
      <c r="B1033" s="223" t="s">
        <v>599</v>
      </c>
      <c r="C1033" s="223" t="s">
        <v>592</v>
      </c>
      <c r="D1033" s="224">
        <v>22064</v>
      </c>
      <c r="E1033" s="224">
        <v>13171</v>
      </c>
      <c r="F1033" s="250" t="s">
        <v>121</v>
      </c>
      <c r="G1033" s="223" t="str">
        <f>+G1029</f>
        <v>مكافاه برنامج دولى فصل ربيع اداريين</v>
      </c>
      <c r="I1033" s="223">
        <v>2110.5</v>
      </c>
      <c r="AV1033" s="22">
        <f t="shared" si="106"/>
        <v>2110.5</v>
      </c>
      <c r="AW1033" s="223">
        <v>1410.35</v>
      </c>
      <c r="AX1033" s="223">
        <v>191.65</v>
      </c>
      <c r="AY1033" s="223">
        <v>508.5</v>
      </c>
      <c r="CK1033" s="22">
        <f t="shared" si="107"/>
        <v>2110.5</v>
      </c>
      <c r="CL1033" s="3">
        <f t="shared" si="108"/>
        <v>0</v>
      </c>
      <c r="CM1033" s="222">
        <f t="shared" si="109"/>
        <v>13171</v>
      </c>
      <c r="CN1033" s="3" t="str">
        <f t="shared" si="110"/>
        <v>ماليزى اسنان</v>
      </c>
    </row>
    <row r="1034" spans="2:92" x14ac:dyDescent="0.25">
      <c r="B1034" s="223" t="s">
        <v>599</v>
      </c>
      <c r="C1034" s="223" t="s">
        <v>592</v>
      </c>
      <c r="D1034" s="224">
        <v>22043</v>
      </c>
      <c r="E1034" s="224">
        <v>13172</v>
      </c>
      <c r="F1034" s="250" t="s">
        <v>121</v>
      </c>
      <c r="G1034" s="223" t="s">
        <v>5474</v>
      </c>
      <c r="I1034" s="223">
        <v>62040</v>
      </c>
      <c r="AV1034" s="22">
        <f t="shared" si="106"/>
        <v>62040</v>
      </c>
      <c r="AW1034" s="223">
        <v>55358.55</v>
      </c>
      <c r="AX1034" s="223">
        <v>6681.45</v>
      </c>
      <c r="CK1034" s="22">
        <f t="shared" si="107"/>
        <v>62040</v>
      </c>
      <c r="CL1034" s="3">
        <f t="shared" si="108"/>
        <v>0</v>
      </c>
      <c r="CM1034" s="222">
        <f t="shared" si="109"/>
        <v>13172</v>
      </c>
      <c r="CN1034" s="3" t="str">
        <f t="shared" si="110"/>
        <v>ماليزى اسنان</v>
      </c>
    </row>
    <row r="1035" spans="2:92" x14ac:dyDescent="0.25">
      <c r="B1035" s="223" t="s">
        <v>599</v>
      </c>
      <c r="C1035" s="223" t="s">
        <v>592</v>
      </c>
      <c r="D1035" s="224">
        <v>22042</v>
      </c>
      <c r="E1035" s="224">
        <v>13173</v>
      </c>
      <c r="F1035" s="250" t="s">
        <v>121</v>
      </c>
      <c r="G1035" s="223" t="s">
        <v>5474</v>
      </c>
      <c r="I1035" s="223">
        <v>165149</v>
      </c>
      <c r="AV1035" s="22">
        <f t="shared" si="106"/>
        <v>165149</v>
      </c>
      <c r="AW1035" s="223">
        <v>147433.04999999999</v>
      </c>
      <c r="AX1035" s="223">
        <v>17715.95</v>
      </c>
      <c r="CK1035" s="22">
        <f t="shared" si="107"/>
        <v>165149</v>
      </c>
      <c r="CL1035" s="3">
        <f t="shared" si="108"/>
        <v>0</v>
      </c>
      <c r="CM1035" s="222">
        <f t="shared" si="109"/>
        <v>13173</v>
      </c>
      <c r="CN1035" s="3" t="str">
        <f t="shared" si="110"/>
        <v>ماليزى اسنان</v>
      </c>
    </row>
    <row r="1036" spans="2:92" x14ac:dyDescent="0.25">
      <c r="B1036" s="223" t="s">
        <v>599</v>
      </c>
      <c r="C1036" s="223" t="s">
        <v>592</v>
      </c>
      <c r="D1036" s="224">
        <v>22041</v>
      </c>
      <c r="E1036" s="224">
        <v>13174</v>
      </c>
      <c r="F1036" s="250" t="s">
        <v>121</v>
      </c>
      <c r="G1036" s="223" t="str">
        <f>+G1035</f>
        <v>مكافاه تدريس دراسات عليا ا متفرغ</v>
      </c>
      <c r="I1036" s="223">
        <v>17280</v>
      </c>
      <c r="AV1036" s="22">
        <f t="shared" si="106"/>
        <v>17280</v>
      </c>
      <c r="AW1036" s="223">
        <v>15421.2</v>
      </c>
      <c r="AX1036" s="223">
        <v>1858.8</v>
      </c>
      <c r="CK1036" s="22">
        <f t="shared" si="107"/>
        <v>17280</v>
      </c>
      <c r="CL1036" s="3">
        <f t="shared" si="108"/>
        <v>0</v>
      </c>
      <c r="CM1036" s="222">
        <f t="shared" si="109"/>
        <v>13174</v>
      </c>
      <c r="CN1036" s="3" t="str">
        <f t="shared" si="110"/>
        <v>ماليزى اسنان</v>
      </c>
    </row>
    <row r="1037" spans="2:92" x14ac:dyDescent="0.25">
      <c r="B1037" s="223" t="s">
        <v>599</v>
      </c>
      <c r="C1037" s="223" t="s">
        <v>592</v>
      </c>
      <c r="D1037" s="224">
        <v>22045</v>
      </c>
      <c r="E1037" s="224">
        <v>13175</v>
      </c>
      <c r="F1037" s="250" t="s">
        <v>121</v>
      </c>
      <c r="G1037" s="223" t="s">
        <v>5475</v>
      </c>
      <c r="I1037" s="223">
        <v>1164</v>
      </c>
      <c r="AV1037" s="22">
        <f t="shared" si="106"/>
        <v>1164</v>
      </c>
      <c r="AW1037" s="223">
        <v>1039.25</v>
      </c>
      <c r="AX1037" s="223">
        <v>124.75</v>
      </c>
      <c r="CK1037" s="22">
        <f t="shared" si="107"/>
        <v>1164</v>
      </c>
      <c r="CL1037" s="3">
        <f t="shared" si="108"/>
        <v>0</v>
      </c>
      <c r="CM1037" s="222">
        <f t="shared" si="109"/>
        <v>13175</v>
      </c>
      <c r="CN1037" s="3" t="str">
        <f t="shared" si="110"/>
        <v>ماليزى اسنان</v>
      </c>
    </row>
    <row r="1038" spans="2:92" x14ac:dyDescent="0.25">
      <c r="B1038" s="223" t="s">
        <v>599</v>
      </c>
      <c r="C1038" s="223" t="s">
        <v>592</v>
      </c>
      <c r="D1038" s="224">
        <v>22046</v>
      </c>
      <c r="E1038" s="224">
        <v>13176</v>
      </c>
      <c r="F1038" s="250" t="s">
        <v>121</v>
      </c>
      <c r="G1038" s="223" t="s">
        <v>5475</v>
      </c>
      <c r="I1038" s="223">
        <v>15600</v>
      </c>
      <c r="AV1038" s="22">
        <f t="shared" si="106"/>
        <v>15600</v>
      </c>
      <c r="AW1038" s="223">
        <v>13943.6</v>
      </c>
      <c r="AX1038" s="223">
        <v>1656.4</v>
      </c>
      <c r="CK1038" s="22">
        <f t="shared" si="107"/>
        <v>15600</v>
      </c>
      <c r="CL1038" s="3">
        <f t="shared" si="108"/>
        <v>0</v>
      </c>
      <c r="CM1038" s="222">
        <f t="shared" si="109"/>
        <v>13176</v>
      </c>
      <c r="CN1038" s="3" t="str">
        <f t="shared" si="110"/>
        <v>ماليزى اسنان</v>
      </c>
    </row>
    <row r="1039" spans="2:92" x14ac:dyDescent="0.25">
      <c r="B1039" s="223" t="s">
        <v>599</v>
      </c>
      <c r="C1039" s="223" t="s">
        <v>592</v>
      </c>
      <c r="D1039" s="224">
        <v>22044</v>
      </c>
      <c r="E1039" s="224">
        <v>13177</v>
      </c>
      <c r="F1039" s="250" t="s">
        <v>121</v>
      </c>
      <c r="G1039" s="223" t="s">
        <v>5475</v>
      </c>
      <c r="I1039" s="223">
        <v>13200</v>
      </c>
      <c r="AV1039" s="22">
        <f t="shared" si="106"/>
        <v>13200</v>
      </c>
      <c r="AW1039" s="223">
        <v>11790.8</v>
      </c>
      <c r="AX1039" s="223">
        <v>1409.2</v>
      </c>
      <c r="CK1039" s="22">
        <f t="shared" si="107"/>
        <v>13200</v>
      </c>
      <c r="CL1039" s="3">
        <f t="shared" si="108"/>
        <v>0</v>
      </c>
      <c r="CM1039" s="222">
        <f t="shared" si="109"/>
        <v>13177</v>
      </c>
      <c r="CN1039" s="3" t="str">
        <f t="shared" si="110"/>
        <v>ماليزى اسنان</v>
      </c>
    </row>
    <row r="1040" spans="2:92" x14ac:dyDescent="0.25">
      <c r="B1040" s="223" t="s">
        <v>599</v>
      </c>
      <c r="C1040" s="223" t="s">
        <v>592</v>
      </c>
      <c r="D1040" s="224">
        <v>22047</v>
      </c>
      <c r="E1040" s="224">
        <v>13178</v>
      </c>
      <c r="F1040" s="250" t="s">
        <v>121</v>
      </c>
      <c r="G1040" s="223" t="s">
        <v>5475</v>
      </c>
      <c r="I1040" s="223">
        <v>8880</v>
      </c>
      <c r="AV1040" s="22">
        <f t="shared" si="106"/>
        <v>8880</v>
      </c>
      <c r="AW1040" s="223">
        <v>7921.35</v>
      </c>
      <c r="AX1040" s="223">
        <f>70.65+888</f>
        <v>958.65</v>
      </c>
      <c r="CK1040" s="22">
        <f t="shared" si="107"/>
        <v>8880</v>
      </c>
      <c r="CL1040" s="3">
        <f t="shared" si="108"/>
        <v>0</v>
      </c>
      <c r="CM1040" s="222">
        <f t="shared" si="109"/>
        <v>13178</v>
      </c>
      <c r="CN1040" s="3" t="str">
        <f t="shared" si="110"/>
        <v>ماليزى اسنان</v>
      </c>
    </row>
    <row r="1041" spans="2:92" x14ac:dyDescent="0.25">
      <c r="B1041" s="223" t="s">
        <v>599</v>
      </c>
      <c r="C1041" s="223" t="s">
        <v>592</v>
      </c>
      <c r="D1041" s="224">
        <v>22040</v>
      </c>
      <c r="E1041" s="224">
        <v>13179</v>
      </c>
      <c r="F1041" s="250" t="s">
        <v>121</v>
      </c>
      <c r="G1041" s="223" t="s">
        <v>5475</v>
      </c>
      <c r="I1041" s="223">
        <v>1005671.46</v>
      </c>
      <c r="AV1041" s="22">
        <f t="shared" si="106"/>
        <v>1005671.46</v>
      </c>
      <c r="AW1041" s="223">
        <v>897085.74</v>
      </c>
      <c r="AX1041" s="223">
        <v>107484.3</v>
      </c>
      <c r="AY1041" s="223">
        <v>1101.42</v>
      </c>
      <c r="CK1041" s="22">
        <f t="shared" si="107"/>
        <v>1005671.4600000001</v>
      </c>
      <c r="CL1041" s="3">
        <f t="shared" si="108"/>
        <v>0</v>
      </c>
      <c r="CM1041" s="222">
        <f t="shared" si="109"/>
        <v>13179</v>
      </c>
      <c r="CN1041" s="3" t="str">
        <f t="shared" si="110"/>
        <v>ماليزى اسنان</v>
      </c>
    </row>
    <row r="1042" spans="2:92" x14ac:dyDescent="0.25">
      <c r="B1042" s="223" t="s">
        <v>599</v>
      </c>
      <c r="C1042" s="223" t="s">
        <v>592</v>
      </c>
      <c r="D1042" s="224">
        <v>22029</v>
      </c>
      <c r="E1042" s="224">
        <v>13180</v>
      </c>
      <c r="F1042" s="250" t="s">
        <v>121</v>
      </c>
      <c r="G1042" s="223" t="s">
        <v>5476</v>
      </c>
      <c r="I1042" s="223">
        <v>34092.25</v>
      </c>
      <c r="AV1042" s="22">
        <f t="shared" si="106"/>
        <v>34092.25</v>
      </c>
      <c r="AW1042" s="223">
        <v>23806.9</v>
      </c>
      <c r="AX1042" s="223">
        <v>3183.53</v>
      </c>
      <c r="AY1042" s="223">
        <v>7101.82</v>
      </c>
      <c r="CK1042" s="22">
        <f t="shared" si="107"/>
        <v>34092.25</v>
      </c>
      <c r="CL1042" s="3">
        <f t="shared" si="108"/>
        <v>0</v>
      </c>
      <c r="CM1042" s="222">
        <f t="shared" si="109"/>
        <v>13180</v>
      </c>
      <c r="CN1042" s="3" t="str">
        <f t="shared" si="110"/>
        <v>ماليزى اسنان</v>
      </c>
    </row>
    <row r="1043" spans="2:92" x14ac:dyDescent="0.25">
      <c r="B1043" s="223" t="s">
        <v>599</v>
      </c>
      <c r="C1043" s="223" t="s">
        <v>592</v>
      </c>
      <c r="D1043" s="224">
        <v>22030</v>
      </c>
      <c r="E1043" s="224">
        <v>13181</v>
      </c>
      <c r="F1043" s="250" t="s">
        <v>121</v>
      </c>
      <c r="G1043" s="223" t="s">
        <v>5477</v>
      </c>
      <c r="I1043" s="223">
        <v>71044.600000000006</v>
      </c>
      <c r="AV1043" s="22">
        <f t="shared" si="106"/>
        <v>71044.600000000006</v>
      </c>
      <c r="AW1043" s="223">
        <v>49960.59</v>
      </c>
      <c r="AX1043" s="223">
        <v>6671.84</v>
      </c>
      <c r="AY1043" s="223">
        <v>14412.17</v>
      </c>
      <c r="CK1043" s="22">
        <f t="shared" si="107"/>
        <v>71044.599999999991</v>
      </c>
      <c r="CL1043" s="3">
        <f t="shared" si="108"/>
        <v>0</v>
      </c>
      <c r="CM1043" s="222">
        <f t="shared" si="109"/>
        <v>13181</v>
      </c>
      <c r="CN1043" s="3" t="str">
        <f t="shared" si="110"/>
        <v>ماليزى اسنان</v>
      </c>
    </row>
    <row r="1044" spans="2:92" x14ac:dyDescent="0.25">
      <c r="C1044" s="223" t="s">
        <v>657</v>
      </c>
      <c r="D1044" s="224">
        <v>22166</v>
      </c>
      <c r="E1044" s="224">
        <v>13182</v>
      </c>
      <c r="F1044" s="250" t="s">
        <v>128</v>
      </c>
      <c r="G1044" s="223" t="s">
        <v>5478</v>
      </c>
      <c r="I1044" s="223">
        <v>3845.75</v>
      </c>
      <c r="AV1044" s="22">
        <f t="shared" si="106"/>
        <v>3845.75</v>
      </c>
      <c r="AW1044" s="223">
        <v>3433.02</v>
      </c>
      <c r="AX1044" s="223">
        <v>412.73</v>
      </c>
      <c r="CK1044" s="22">
        <f t="shared" si="107"/>
        <v>3845.75</v>
      </c>
      <c r="CL1044" s="3">
        <f t="shared" si="108"/>
        <v>0</v>
      </c>
      <c r="CM1044" s="222">
        <f t="shared" si="109"/>
        <v>13182</v>
      </c>
      <c r="CN1044" s="3" t="str">
        <f t="shared" si="110"/>
        <v>مركز مؤتمرات</v>
      </c>
    </row>
    <row r="1045" spans="2:92" x14ac:dyDescent="0.25">
      <c r="C1045" s="223" t="s">
        <v>657</v>
      </c>
      <c r="D1045" s="224">
        <v>22170</v>
      </c>
      <c r="E1045" s="224">
        <v>13183</v>
      </c>
      <c r="F1045" s="250" t="s">
        <v>128</v>
      </c>
      <c r="G1045" s="223" t="s">
        <v>5479</v>
      </c>
      <c r="I1045" s="223">
        <v>4000</v>
      </c>
      <c r="AV1045" s="22">
        <f t="shared" si="106"/>
        <v>4000</v>
      </c>
      <c r="AW1045" s="223">
        <v>3570.35</v>
      </c>
      <c r="AX1045" s="223">
        <v>429.65</v>
      </c>
      <c r="CK1045" s="22">
        <f t="shared" si="107"/>
        <v>4000</v>
      </c>
      <c r="CL1045" s="3">
        <f t="shared" si="108"/>
        <v>0</v>
      </c>
      <c r="CM1045" s="222">
        <f t="shared" si="109"/>
        <v>13183</v>
      </c>
      <c r="CN1045" s="3" t="str">
        <f t="shared" si="110"/>
        <v>مركز مؤتمرات</v>
      </c>
    </row>
    <row r="1046" spans="2:92" x14ac:dyDescent="0.25">
      <c r="C1046" s="223" t="s">
        <v>657</v>
      </c>
      <c r="D1046" s="224">
        <v>22169</v>
      </c>
      <c r="E1046" s="224">
        <v>13184</v>
      </c>
      <c r="F1046" s="250" t="s">
        <v>128</v>
      </c>
      <c r="G1046" s="223" t="s">
        <v>5480</v>
      </c>
      <c r="I1046" s="223">
        <v>4000</v>
      </c>
      <c r="AV1046" s="22">
        <f t="shared" si="106"/>
        <v>4000</v>
      </c>
      <c r="AW1046" s="223">
        <v>3570.35</v>
      </c>
      <c r="AX1046" s="223">
        <v>429.65</v>
      </c>
      <c r="CK1046" s="22">
        <f t="shared" si="107"/>
        <v>4000</v>
      </c>
      <c r="CL1046" s="3">
        <f t="shared" si="108"/>
        <v>0</v>
      </c>
      <c r="CM1046" s="222">
        <f t="shared" si="109"/>
        <v>13184</v>
      </c>
      <c r="CN1046" s="3" t="str">
        <f t="shared" si="110"/>
        <v>مركز مؤتمرات</v>
      </c>
    </row>
    <row r="1047" spans="2:92" x14ac:dyDescent="0.25">
      <c r="C1047" s="223" t="s">
        <v>657</v>
      </c>
      <c r="D1047" s="224">
        <v>22165</v>
      </c>
      <c r="E1047" s="224">
        <v>13185</v>
      </c>
      <c r="F1047" s="250" t="s">
        <v>128</v>
      </c>
      <c r="G1047" s="223" t="s">
        <v>674</v>
      </c>
      <c r="I1047" s="223">
        <v>1170</v>
      </c>
      <c r="AV1047" s="22">
        <f t="shared" si="106"/>
        <v>1170</v>
      </c>
      <c r="AW1047" s="223">
        <v>1044.5999999999999</v>
      </c>
      <c r="AX1047" s="223">
        <v>125.4</v>
      </c>
      <c r="CK1047" s="22">
        <f t="shared" si="107"/>
        <v>1170</v>
      </c>
      <c r="CL1047" s="3">
        <f t="shared" si="108"/>
        <v>0</v>
      </c>
      <c r="CM1047" s="222">
        <f t="shared" si="109"/>
        <v>13185</v>
      </c>
      <c r="CN1047" s="3" t="str">
        <f t="shared" si="110"/>
        <v>مركز مؤتمرات</v>
      </c>
    </row>
    <row r="1048" spans="2:92" x14ac:dyDescent="0.25">
      <c r="C1048" s="223" t="s">
        <v>657</v>
      </c>
      <c r="D1048" s="224">
        <v>22164</v>
      </c>
      <c r="E1048" s="224">
        <v>13186</v>
      </c>
      <c r="F1048" s="250" t="s">
        <v>128</v>
      </c>
      <c r="G1048" s="223" t="s">
        <v>5481</v>
      </c>
      <c r="I1048" s="223">
        <v>16012.55</v>
      </c>
      <c r="AV1048" s="22">
        <f t="shared" si="106"/>
        <v>16012.55</v>
      </c>
      <c r="AW1048" s="223">
        <v>13488.48</v>
      </c>
      <c r="AX1048" s="223">
        <v>1656</v>
      </c>
      <c r="AY1048" s="223">
        <v>868.07</v>
      </c>
      <c r="CK1048" s="22">
        <f t="shared" si="107"/>
        <v>16012.55</v>
      </c>
      <c r="CL1048" s="3">
        <f t="shared" si="108"/>
        <v>0</v>
      </c>
      <c r="CM1048" s="222">
        <f t="shared" si="109"/>
        <v>13186</v>
      </c>
      <c r="CN1048" s="3" t="str">
        <f t="shared" si="110"/>
        <v>مركز مؤتمرات</v>
      </c>
    </row>
    <row r="1049" spans="2:92" x14ac:dyDescent="0.25">
      <c r="C1049" s="223" t="s">
        <v>657</v>
      </c>
      <c r="D1049" s="224">
        <v>22163</v>
      </c>
      <c r="E1049" s="224">
        <v>13187</v>
      </c>
      <c r="F1049" s="250" t="s">
        <v>128</v>
      </c>
      <c r="G1049" s="223" t="s">
        <v>5481</v>
      </c>
      <c r="I1049" s="223">
        <v>945.5</v>
      </c>
      <c r="AV1049" s="22">
        <f t="shared" si="106"/>
        <v>945.5</v>
      </c>
      <c r="AW1049" s="223">
        <v>844.65</v>
      </c>
      <c r="AX1049" s="223">
        <v>100.85</v>
      </c>
      <c r="CK1049" s="22">
        <f t="shared" si="107"/>
        <v>945.5</v>
      </c>
      <c r="CL1049" s="3">
        <f t="shared" si="108"/>
        <v>0</v>
      </c>
      <c r="CM1049" s="222">
        <f t="shared" si="109"/>
        <v>13187</v>
      </c>
      <c r="CN1049" s="3" t="str">
        <f t="shared" si="110"/>
        <v>مركز مؤتمرات</v>
      </c>
    </row>
    <row r="1050" spans="2:92" x14ac:dyDescent="0.25">
      <c r="C1050" s="223" t="s">
        <v>657</v>
      </c>
      <c r="D1050" s="224">
        <v>22162</v>
      </c>
      <c r="E1050" s="224">
        <v>13188</v>
      </c>
      <c r="F1050" s="250" t="s">
        <v>128</v>
      </c>
      <c r="G1050" s="223" t="s">
        <v>5481</v>
      </c>
      <c r="I1050" s="223">
        <v>3119</v>
      </c>
      <c r="AV1050" s="22">
        <f t="shared" si="106"/>
        <v>3119</v>
      </c>
      <c r="AW1050" s="223">
        <v>2784.8</v>
      </c>
      <c r="AX1050" s="223">
        <v>334.2</v>
      </c>
      <c r="CK1050" s="22">
        <f t="shared" si="107"/>
        <v>3119</v>
      </c>
      <c r="CL1050" s="3">
        <f t="shared" si="108"/>
        <v>0</v>
      </c>
      <c r="CM1050" s="222">
        <f t="shared" si="109"/>
        <v>13188</v>
      </c>
      <c r="CN1050" s="3" t="str">
        <f t="shared" si="110"/>
        <v>مركز مؤتمرات</v>
      </c>
    </row>
    <row r="1051" spans="2:92" x14ac:dyDescent="0.25">
      <c r="C1051" s="223" t="s">
        <v>657</v>
      </c>
      <c r="D1051" s="224">
        <v>22171</v>
      </c>
      <c r="E1051" s="224">
        <v>13189</v>
      </c>
      <c r="F1051" s="250" t="s">
        <v>128</v>
      </c>
      <c r="G1051" s="223" t="str">
        <f>+G1044</f>
        <v>مكافاه العاملين مايو</v>
      </c>
      <c r="I1051" s="223">
        <v>16694.32</v>
      </c>
      <c r="AV1051" s="22">
        <f t="shared" si="106"/>
        <v>16694.32</v>
      </c>
      <c r="AW1051" s="223">
        <v>13808.01</v>
      </c>
      <c r="AX1051" s="223">
        <v>1708.35</v>
      </c>
      <c r="AY1051" s="223">
        <v>1177.96</v>
      </c>
      <c r="CK1051" s="22">
        <f t="shared" si="107"/>
        <v>16694.32</v>
      </c>
      <c r="CL1051" s="3">
        <f t="shared" si="108"/>
        <v>0</v>
      </c>
      <c r="CM1051" s="222">
        <f t="shared" si="109"/>
        <v>13189</v>
      </c>
      <c r="CN1051" s="3" t="str">
        <f t="shared" si="110"/>
        <v>مركز مؤتمرات</v>
      </c>
    </row>
    <row r="1052" spans="2:92" x14ac:dyDescent="0.25">
      <c r="C1052" s="223" t="s">
        <v>657</v>
      </c>
      <c r="D1052" s="224">
        <v>22168</v>
      </c>
      <c r="E1052" s="224">
        <v>13190</v>
      </c>
      <c r="F1052" s="250" t="s">
        <v>128</v>
      </c>
      <c r="G1052" s="223" t="str">
        <f>+G1051</f>
        <v>مكافاه العاملين مايو</v>
      </c>
      <c r="I1052" s="223">
        <v>3474.7</v>
      </c>
      <c r="AV1052" s="22">
        <f t="shared" si="106"/>
        <v>3474.7</v>
      </c>
      <c r="AW1052" s="223">
        <v>3101.88</v>
      </c>
      <c r="AX1052" s="223">
        <v>372.82</v>
      </c>
      <c r="CK1052" s="22">
        <f t="shared" si="107"/>
        <v>3474.7000000000003</v>
      </c>
      <c r="CL1052" s="3">
        <f t="shared" si="108"/>
        <v>0</v>
      </c>
      <c r="CM1052" s="222">
        <f t="shared" si="109"/>
        <v>13190</v>
      </c>
      <c r="CN1052" s="3" t="str">
        <f t="shared" si="110"/>
        <v>مركز مؤتمرات</v>
      </c>
    </row>
    <row r="1053" spans="2:92" x14ac:dyDescent="0.25">
      <c r="C1053" s="223" t="s">
        <v>657</v>
      </c>
      <c r="D1053" s="224">
        <v>22167</v>
      </c>
      <c r="E1053" s="224">
        <v>13191</v>
      </c>
      <c r="F1053" s="250" t="s">
        <v>128</v>
      </c>
      <c r="G1053" s="223" t="str">
        <f>+G1052</f>
        <v>مكافاه العاملين مايو</v>
      </c>
      <c r="I1053" s="223">
        <v>2973.4</v>
      </c>
      <c r="AV1053" s="22">
        <f t="shared" si="106"/>
        <v>2973.4</v>
      </c>
      <c r="AW1053" s="223">
        <v>2654.51</v>
      </c>
      <c r="AX1053" s="223">
        <v>318.89</v>
      </c>
      <c r="CK1053" s="22">
        <f t="shared" si="107"/>
        <v>2973.4</v>
      </c>
      <c r="CL1053" s="3">
        <f t="shared" si="108"/>
        <v>0</v>
      </c>
      <c r="CM1053" s="222">
        <f t="shared" si="109"/>
        <v>13191</v>
      </c>
      <c r="CN1053" s="3" t="str">
        <f t="shared" si="110"/>
        <v>مركز مؤتمرات</v>
      </c>
    </row>
    <row r="1054" spans="2:92" x14ac:dyDescent="0.25">
      <c r="D1054" s="224">
        <v>21594</v>
      </c>
      <c r="E1054" s="224">
        <v>13192</v>
      </c>
      <c r="F1054" s="250" t="s">
        <v>78</v>
      </c>
      <c r="G1054" s="223" t="s">
        <v>5482</v>
      </c>
      <c r="I1054" s="223">
        <v>109.35</v>
      </c>
      <c r="AV1054" s="22">
        <f t="shared" si="106"/>
        <v>109.35</v>
      </c>
      <c r="AW1054" s="223">
        <v>98.02</v>
      </c>
      <c r="AX1054" s="223">
        <f>10.93+0.4</f>
        <v>11.33</v>
      </c>
      <c r="CK1054" s="22">
        <f t="shared" si="107"/>
        <v>109.35</v>
      </c>
      <c r="CL1054" s="3">
        <f t="shared" si="108"/>
        <v>0</v>
      </c>
      <c r="CM1054" s="222">
        <f t="shared" si="109"/>
        <v>13192</v>
      </c>
      <c r="CN1054" s="3" t="str">
        <f t="shared" si="110"/>
        <v>برنامج دولى</v>
      </c>
    </row>
    <row r="1055" spans="2:92" x14ac:dyDescent="0.25">
      <c r="D1055" s="224">
        <v>20671</v>
      </c>
      <c r="E1055" s="224">
        <v>13193</v>
      </c>
      <c r="F1055" s="250" t="s">
        <v>78</v>
      </c>
      <c r="G1055" s="223" t="s">
        <v>5483</v>
      </c>
      <c r="I1055" s="223">
        <v>109.35</v>
      </c>
      <c r="AV1055" s="22">
        <f t="shared" si="106"/>
        <v>109.35</v>
      </c>
      <c r="AW1055" s="223">
        <v>98.02</v>
      </c>
      <c r="AX1055" s="223">
        <v>11.33</v>
      </c>
      <c r="CK1055" s="22">
        <f t="shared" si="107"/>
        <v>109.35</v>
      </c>
      <c r="CL1055" s="3">
        <f t="shared" si="108"/>
        <v>0</v>
      </c>
      <c r="CM1055" s="222">
        <f t="shared" si="109"/>
        <v>13193</v>
      </c>
      <c r="CN1055" s="3" t="str">
        <f t="shared" si="110"/>
        <v>برنامج دولى</v>
      </c>
    </row>
    <row r="1056" spans="2:92" x14ac:dyDescent="0.25">
      <c r="D1056" s="224">
        <v>21936</v>
      </c>
      <c r="E1056" s="224">
        <v>13194</v>
      </c>
      <c r="F1056" s="250" t="s">
        <v>78</v>
      </c>
      <c r="G1056" s="223" t="s">
        <v>5484</v>
      </c>
      <c r="I1056" s="223">
        <v>225</v>
      </c>
      <c r="AV1056" s="22">
        <f t="shared" si="106"/>
        <v>225</v>
      </c>
      <c r="AW1056" s="223">
        <v>201.45</v>
      </c>
      <c r="AX1056" s="223">
        <v>23.55</v>
      </c>
      <c r="CK1056" s="22">
        <f t="shared" si="107"/>
        <v>225</v>
      </c>
      <c r="CL1056" s="3">
        <f t="shared" si="108"/>
        <v>0</v>
      </c>
      <c r="CM1056" s="222">
        <f t="shared" si="109"/>
        <v>13194</v>
      </c>
      <c r="CN1056" s="3" t="str">
        <f t="shared" si="110"/>
        <v>برنامج دولى</v>
      </c>
    </row>
    <row r="1057" spans="4:92" x14ac:dyDescent="0.25">
      <c r="D1057" s="224">
        <v>21325</v>
      </c>
      <c r="E1057" s="224">
        <v>13195</v>
      </c>
      <c r="F1057" s="250" t="s">
        <v>121</v>
      </c>
      <c r="G1057" s="223" t="s">
        <v>5485</v>
      </c>
      <c r="I1057" s="223">
        <v>1089.8900000000001</v>
      </c>
      <c r="AV1057" s="22">
        <f t="shared" si="106"/>
        <v>1089.8900000000001</v>
      </c>
      <c r="AW1057" s="223">
        <v>822.09</v>
      </c>
      <c r="AX1057" s="223">
        <v>212.92</v>
      </c>
      <c r="AY1057" s="223">
        <v>54.88</v>
      </c>
      <c r="CK1057" s="22">
        <f t="shared" si="107"/>
        <v>1089.8900000000001</v>
      </c>
      <c r="CL1057" s="3">
        <f t="shared" si="108"/>
        <v>0</v>
      </c>
      <c r="CM1057" s="222">
        <f t="shared" si="109"/>
        <v>13195</v>
      </c>
      <c r="CN1057" s="3" t="str">
        <f t="shared" si="110"/>
        <v>ماليزى اسنان</v>
      </c>
    </row>
    <row r="1058" spans="4:92" x14ac:dyDescent="0.25">
      <c r="D1058" s="224">
        <v>22216</v>
      </c>
      <c r="E1058" s="224">
        <v>13196</v>
      </c>
      <c r="F1058" s="250" t="s">
        <v>78</v>
      </c>
      <c r="G1058" s="223" t="s">
        <v>665</v>
      </c>
      <c r="I1058" s="223">
        <v>351.75</v>
      </c>
      <c r="AV1058" s="22">
        <f t="shared" si="106"/>
        <v>351.75</v>
      </c>
      <c r="AW1058" s="223">
        <v>235.55</v>
      </c>
      <c r="AX1058" s="223">
        <v>31.45</v>
      </c>
      <c r="AY1058" s="223">
        <v>84.75</v>
      </c>
      <c r="CK1058" s="22">
        <f t="shared" si="107"/>
        <v>351.75</v>
      </c>
      <c r="CL1058" s="3">
        <f t="shared" si="108"/>
        <v>0</v>
      </c>
      <c r="CM1058" s="222">
        <f t="shared" si="109"/>
        <v>13196</v>
      </c>
      <c r="CN1058" s="3" t="str">
        <f t="shared" si="110"/>
        <v>برنامج دولى</v>
      </c>
    </row>
    <row r="1059" spans="4:92" x14ac:dyDescent="0.25">
      <c r="D1059" s="224">
        <v>22217</v>
      </c>
      <c r="E1059" s="224">
        <v>13197</v>
      </c>
      <c r="F1059" s="250" t="s">
        <v>78</v>
      </c>
      <c r="G1059" s="223" t="s">
        <v>5486</v>
      </c>
      <c r="I1059" s="223">
        <v>1400</v>
      </c>
      <c r="AV1059" s="22">
        <f t="shared" si="106"/>
        <v>1400</v>
      </c>
      <c r="AW1059" s="223">
        <v>1250.9000000000001</v>
      </c>
      <c r="AX1059" s="223">
        <v>149.1</v>
      </c>
      <c r="CK1059" s="22">
        <f t="shared" si="107"/>
        <v>1400</v>
      </c>
      <c r="CL1059" s="3">
        <f t="shared" si="108"/>
        <v>0</v>
      </c>
      <c r="CM1059" s="222">
        <f t="shared" si="109"/>
        <v>13197</v>
      </c>
      <c r="CN1059" s="3" t="str">
        <f t="shared" si="110"/>
        <v>برنامج دولى</v>
      </c>
    </row>
    <row r="1060" spans="4:92" x14ac:dyDescent="0.25">
      <c r="D1060" s="224">
        <v>22215</v>
      </c>
      <c r="E1060" s="224">
        <v>13198</v>
      </c>
      <c r="F1060" s="250" t="s">
        <v>78</v>
      </c>
      <c r="G1060" s="223" t="s">
        <v>3936</v>
      </c>
      <c r="I1060" s="223">
        <v>31664.25</v>
      </c>
      <c r="AV1060" s="22">
        <f t="shared" si="106"/>
        <v>31664.25</v>
      </c>
      <c r="AW1060" s="223">
        <v>26877.4</v>
      </c>
      <c r="AX1060" s="223">
        <v>3289.6</v>
      </c>
      <c r="AY1060" s="223">
        <v>1497.25</v>
      </c>
      <c r="CK1060" s="22">
        <f t="shared" si="107"/>
        <v>31664.25</v>
      </c>
      <c r="CL1060" s="3">
        <f t="shared" si="108"/>
        <v>0</v>
      </c>
      <c r="CM1060" s="222">
        <f t="shared" si="109"/>
        <v>13198</v>
      </c>
      <c r="CN1060" s="3" t="str">
        <f t="shared" si="110"/>
        <v>برنامج دولى</v>
      </c>
    </row>
    <row r="1061" spans="4:92" x14ac:dyDescent="0.25">
      <c r="D1061" s="224">
        <v>22214</v>
      </c>
      <c r="E1061" s="224">
        <v>13199</v>
      </c>
      <c r="F1061" s="250" t="s">
        <v>78</v>
      </c>
      <c r="G1061" s="223" t="s">
        <v>3936</v>
      </c>
      <c r="I1061" s="223">
        <v>3603.5</v>
      </c>
      <c r="AV1061" s="22">
        <f t="shared" si="106"/>
        <v>3603.5</v>
      </c>
      <c r="AW1061" s="223">
        <v>3059.55</v>
      </c>
      <c r="AX1061" s="223">
        <v>374.45</v>
      </c>
      <c r="AY1061" s="223">
        <v>169.5</v>
      </c>
      <c r="CK1061" s="22">
        <f t="shared" si="107"/>
        <v>3603.5</v>
      </c>
      <c r="CL1061" s="3">
        <f t="shared" si="108"/>
        <v>0</v>
      </c>
      <c r="CM1061" s="222">
        <f t="shared" si="109"/>
        <v>13199</v>
      </c>
      <c r="CN1061" s="3" t="str">
        <f t="shared" si="110"/>
        <v>برنامج دولى</v>
      </c>
    </row>
    <row r="1062" spans="4:92" x14ac:dyDescent="0.25">
      <c r="D1062" s="224">
        <v>22213</v>
      </c>
      <c r="E1062" s="224">
        <v>13200</v>
      </c>
      <c r="F1062" s="250" t="s">
        <v>78</v>
      </c>
      <c r="G1062" s="223" t="s">
        <v>3936</v>
      </c>
      <c r="I1062" s="223">
        <v>18111.61</v>
      </c>
      <c r="AV1062" s="22">
        <f t="shared" si="106"/>
        <v>18111.61</v>
      </c>
      <c r="AW1062" s="223">
        <v>15314.74</v>
      </c>
      <c r="AX1062" s="223">
        <v>1795.25</v>
      </c>
      <c r="AY1062" s="223">
        <v>1001.62</v>
      </c>
      <c r="CK1062" s="22">
        <f t="shared" si="107"/>
        <v>18111.609999999997</v>
      </c>
      <c r="CL1062" s="3">
        <f t="shared" si="108"/>
        <v>0</v>
      </c>
      <c r="CM1062" s="222">
        <f t="shared" si="109"/>
        <v>13200</v>
      </c>
      <c r="CN1062" s="3" t="str">
        <f t="shared" si="110"/>
        <v>برنامج دولى</v>
      </c>
    </row>
    <row r="1063" spans="4:92" x14ac:dyDescent="0.25">
      <c r="D1063" s="224">
        <v>22212</v>
      </c>
      <c r="E1063" s="224">
        <v>13201</v>
      </c>
      <c r="F1063" s="250" t="s">
        <v>78</v>
      </c>
      <c r="G1063" s="223" t="s">
        <v>786</v>
      </c>
      <c r="I1063" s="223">
        <v>1000</v>
      </c>
      <c r="AV1063" s="22">
        <f t="shared" si="106"/>
        <v>1000</v>
      </c>
      <c r="AW1063" s="223">
        <v>893.35</v>
      </c>
      <c r="AX1063" s="223">
        <v>106.65</v>
      </c>
      <c r="CK1063" s="22">
        <f t="shared" si="107"/>
        <v>1000</v>
      </c>
      <c r="CL1063" s="3">
        <f t="shared" si="108"/>
        <v>0</v>
      </c>
      <c r="CM1063" s="222">
        <f t="shared" si="109"/>
        <v>13201</v>
      </c>
      <c r="CN1063" s="3" t="str">
        <f t="shared" si="110"/>
        <v>برنامج دولى</v>
      </c>
    </row>
    <row r="1064" spans="4:92" x14ac:dyDescent="0.25">
      <c r="D1064" s="224">
        <v>22210</v>
      </c>
      <c r="E1064" s="224">
        <v>13202</v>
      </c>
      <c r="F1064" s="250" t="s">
        <v>78</v>
      </c>
      <c r="G1064" s="223" t="s">
        <v>786</v>
      </c>
      <c r="I1064" s="223">
        <v>2000</v>
      </c>
      <c r="AV1064" s="22">
        <f t="shared" si="106"/>
        <v>2000</v>
      </c>
      <c r="AW1064" s="223">
        <v>1786.7</v>
      </c>
      <c r="AX1064" s="223">
        <v>213.3</v>
      </c>
      <c r="CK1064" s="22">
        <f t="shared" si="107"/>
        <v>2000</v>
      </c>
      <c r="CL1064" s="3">
        <f t="shared" si="108"/>
        <v>0</v>
      </c>
      <c r="CM1064" s="222">
        <f t="shared" si="109"/>
        <v>13202</v>
      </c>
      <c r="CN1064" s="3" t="str">
        <f t="shared" si="110"/>
        <v>برنامج دولى</v>
      </c>
    </row>
    <row r="1065" spans="4:92" x14ac:dyDescent="0.25">
      <c r="D1065" s="224">
        <v>22211</v>
      </c>
      <c r="E1065" s="224">
        <v>13203</v>
      </c>
      <c r="F1065" s="250" t="s">
        <v>78</v>
      </c>
      <c r="G1065" s="223" t="str">
        <f>+G1064</f>
        <v>مكافاه تسويات ضربيه</v>
      </c>
      <c r="I1065" s="223">
        <v>1000</v>
      </c>
      <c r="AV1065" s="22">
        <f t="shared" si="106"/>
        <v>1000</v>
      </c>
      <c r="AW1065" s="223">
        <v>893.35</v>
      </c>
      <c r="AX1065" s="223">
        <v>106.65</v>
      </c>
      <c r="CK1065" s="22">
        <f t="shared" si="107"/>
        <v>1000</v>
      </c>
      <c r="CL1065" s="3">
        <f t="shared" si="108"/>
        <v>0</v>
      </c>
      <c r="CM1065" s="222">
        <f t="shared" si="109"/>
        <v>13203</v>
      </c>
      <c r="CN1065" s="3" t="str">
        <f t="shared" si="110"/>
        <v>برنامج دولى</v>
      </c>
    </row>
    <row r="1066" spans="4:92" x14ac:dyDescent="0.25">
      <c r="D1066" s="224">
        <v>22209</v>
      </c>
      <c r="E1066" s="224">
        <v>13204</v>
      </c>
      <c r="F1066" s="250" t="s">
        <v>78</v>
      </c>
      <c r="G1066" s="223" t="s">
        <v>889</v>
      </c>
      <c r="I1066" s="223">
        <v>1000</v>
      </c>
      <c r="AV1066" s="22">
        <f t="shared" si="106"/>
        <v>1000</v>
      </c>
      <c r="AW1066" s="223">
        <v>893.35</v>
      </c>
      <c r="AX1066" s="223">
        <v>106.65</v>
      </c>
      <c r="CK1066" s="22">
        <f t="shared" si="107"/>
        <v>1000</v>
      </c>
      <c r="CL1066" s="3">
        <f t="shared" si="108"/>
        <v>0</v>
      </c>
      <c r="CM1066" s="222">
        <f t="shared" si="109"/>
        <v>13204</v>
      </c>
      <c r="CN1066" s="3" t="str">
        <f t="shared" si="110"/>
        <v>برنامج دولى</v>
      </c>
    </row>
    <row r="1067" spans="4:92" x14ac:dyDescent="0.25">
      <c r="D1067" s="224">
        <v>22208</v>
      </c>
      <c r="E1067" s="224">
        <v>13205</v>
      </c>
      <c r="F1067" s="250" t="s">
        <v>78</v>
      </c>
      <c r="G1067" s="223" t="s">
        <v>889</v>
      </c>
      <c r="I1067" s="223">
        <v>1500</v>
      </c>
      <c r="AV1067" s="22">
        <f t="shared" si="106"/>
        <v>1500</v>
      </c>
      <c r="AW1067" s="223">
        <v>1339.1</v>
      </c>
      <c r="AX1067" s="223">
        <v>160.9</v>
      </c>
      <c r="CK1067" s="22">
        <f t="shared" si="107"/>
        <v>1500</v>
      </c>
      <c r="CL1067" s="3">
        <f t="shared" si="108"/>
        <v>0</v>
      </c>
      <c r="CM1067" s="222">
        <f t="shared" si="109"/>
        <v>13205</v>
      </c>
      <c r="CN1067" s="3" t="str">
        <f t="shared" si="110"/>
        <v>برنامج دولى</v>
      </c>
    </row>
    <row r="1068" spans="4:92" x14ac:dyDescent="0.25">
      <c r="D1068" s="224">
        <v>22207</v>
      </c>
      <c r="E1068" s="224">
        <v>13206</v>
      </c>
      <c r="F1068" s="250" t="s">
        <v>78</v>
      </c>
      <c r="G1068" s="223" t="s">
        <v>662</v>
      </c>
      <c r="I1068" s="223">
        <v>1353.5</v>
      </c>
      <c r="AV1068" s="22">
        <f t="shared" si="106"/>
        <v>1353.5</v>
      </c>
      <c r="AW1068" s="223">
        <v>1051.4000000000001</v>
      </c>
      <c r="AX1068" s="223">
        <v>132.6</v>
      </c>
      <c r="AY1068" s="223">
        <v>169.5</v>
      </c>
      <c r="CK1068" s="22">
        <f t="shared" si="107"/>
        <v>1353.5</v>
      </c>
      <c r="CL1068" s="3">
        <f t="shared" si="108"/>
        <v>0</v>
      </c>
      <c r="CM1068" s="222">
        <f t="shared" si="109"/>
        <v>13206</v>
      </c>
      <c r="CN1068" s="3" t="str">
        <f t="shared" si="110"/>
        <v>برنامج دولى</v>
      </c>
    </row>
    <row r="1069" spans="4:92" x14ac:dyDescent="0.25">
      <c r="D1069" s="224">
        <v>22206</v>
      </c>
      <c r="E1069" s="224">
        <v>13207</v>
      </c>
      <c r="F1069" s="250" t="s">
        <v>78</v>
      </c>
      <c r="G1069" s="223" t="s">
        <v>662</v>
      </c>
      <c r="I1069" s="223">
        <v>1500</v>
      </c>
      <c r="AV1069" s="22">
        <f t="shared" si="106"/>
        <v>1500</v>
      </c>
      <c r="AW1069" s="223">
        <v>1339.1</v>
      </c>
      <c r="AX1069" s="223">
        <v>160.9</v>
      </c>
      <c r="CK1069" s="22">
        <f t="shared" si="107"/>
        <v>1500</v>
      </c>
      <c r="CL1069" s="3">
        <f t="shared" si="108"/>
        <v>0</v>
      </c>
      <c r="CM1069" s="222">
        <f t="shared" si="109"/>
        <v>13207</v>
      </c>
      <c r="CN1069" s="3" t="str">
        <f t="shared" si="110"/>
        <v>برنامج دولى</v>
      </c>
    </row>
    <row r="1070" spans="4:92" x14ac:dyDescent="0.25">
      <c r="D1070" s="224">
        <v>22205</v>
      </c>
      <c r="E1070" s="224">
        <v>13208</v>
      </c>
      <c r="F1070" s="250" t="s">
        <v>78</v>
      </c>
      <c r="G1070" s="223" t="s">
        <v>4088</v>
      </c>
      <c r="I1070" s="223">
        <v>4203.62</v>
      </c>
      <c r="AV1070" s="22">
        <f t="shared" si="106"/>
        <v>4203.62</v>
      </c>
      <c r="AW1070" s="223">
        <v>3216</v>
      </c>
      <c r="AX1070" s="223">
        <v>408.5</v>
      </c>
      <c r="AY1070" s="223">
        <v>579.12</v>
      </c>
      <c r="CK1070" s="22">
        <f t="shared" si="107"/>
        <v>4203.62</v>
      </c>
      <c r="CL1070" s="3">
        <f t="shared" si="108"/>
        <v>0</v>
      </c>
      <c r="CM1070" s="222">
        <f t="shared" si="109"/>
        <v>13208</v>
      </c>
      <c r="CN1070" s="3" t="str">
        <f t="shared" si="110"/>
        <v>برنامج دولى</v>
      </c>
    </row>
    <row r="1071" spans="4:92" x14ac:dyDescent="0.25">
      <c r="D1071" s="224">
        <v>22204</v>
      </c>
      <c r="E1071" s="224">
        <v>13209</v>
      </c>
      <c r="F1071" s="250" t="s">
        <v>78</v>
      </c>
      <c r="G1071" s="223" t="s">
        <v>4088</v>
      </c>
      <c r="I1071" s="223">
        <v>850</v>
      </c>
      <c r="AV1071" s="22">
        <f t="shared" si="106"/>
        <v>850</v>
      </c>
      <c r="AW1071" s="223">
        <v>759.4</v>
      </c>
      <c r="AX1071" s="223">
        <v>90.6</v>
      </c>
      <c r="CK1071" s="22">
        <f t="shared" si="107"/>
        <v>850</v>
      </c>
      <c r="CL1071" s="3">
        <f t="shared" si="108"/>
        <v>0</v>
      </c>
      <c r="CM1071" s="222">
        <f t="shared" si="109"/>
        <v>13209</v>
      </c>
      <c r="CN1071" s="3" t="str">
        <f t="shared" si="110"/>
        <v>برنامج دولى</v>
      </c>
    </row>
    <row r="1072" spans="4:92" x14ac:dyDescent="0.25">
      <c r="D1072" s="224">
        <v>22203</v>
      </c>
      <c r="E1072" s="224">
        <v>13210</v>
      </c>
      <c r="F1072" s="250" t="s">
        <v>78</v>
      </c>
      <c r="G1072" s="223" t="s">
        <v>4088</v>
      </c>
      <c r="I1072" s="223">
        <v>12748.09</v>
      </c>
      <c r="AV1072" s="22">
        <f t="shared" si="106"/>
        <v>12748.09</v>
      </c>
      <c r="AW1072" s="223">
        <v>9862.18</v>
      </c>
      <c r="AX1072" s="223">
        <v>1251.3499999999999</v>
      </c>
      <c r="AY1072" s="223">
        <v>1634.56</v>
      </c>
      <c r="CK1072" s="22">
        <f t="shared" si="107"/>
        <v>12748.09</v>
      </c>
      <c r="CL1072" s="3">
        <f t="shared" si="108"/>
        <v>0</v>
      </c>
      <c r="CM1072" s="222">
        <f t="shared" si="109"/>
        <v>13210</v>
      </c>
      <c r="CN1072" s="3" t="str">
        <f t="shared" si="110"/>
        <v>برنامج دولى</v>
      </c>
    </row>
    <row r="1073" spans="2:92" x14ac:dyDescent="0.25">
      <c r="D1073" s="224">
        <v>22202</v>
      </c>
      <c r="E1073" s="224">
        <v>13211</v>
      </c>
      <c r="F1073" s="250" t="s">
        <v>78</v>
      </c>
      <c r="G1073" s="223" t="s">
        <v>4088</v>
      </c>
      <c r="I1073" s="223">
        <v>1993.25</v>
      </c>
      <c r="AV1073" s="22">
        <f t="shared" si="106"/>
        <v>1993.25</v>
      </c>
      <c r="AW1073" s="223">
        <v>1332</v>
      </c>
      <c r="AX1073" s="223">
        <v>181</v>
      </c>
      <c r="AY1073" s="226">
        <v>480.25</v>
      </c>
      <c r="CK1073" s="22">
        <f t="shared" si="107"/>
        <v>1993.25</v>
      </c>
      <c r="CL1073" s="3">
        <f t="shared" si="108"/>
        <v>0</v>
      </c>
      <c r="CM1073" s="222">
        <f t="shared" si="109"/>
        <v>13211</v>
      </c>
      <c r="CN1073" s="3" t="str">
        <f t="shared" si="110"/>
        <v>برنامج دولى</v>
      </c>
    </row>
    <row r="1074" spans="2:92" x14ac:dyDescent="0.25">
      <c r="D1074" s="224">
        <v>22201</v>
      </c>
      <c r="E1074" s="224">
        <v>13212</v>
      </c>
      <c r="F1074" s="250" t="s">
        <v>78</v>
      </c>
      <c r="G1074" s="223" t="s">
        <v>4088</v>
      </c>
      <c r="I1074" s="223">
        <v>950</v>
      </c>
      <c r="AV1074" s="22">
        <f t="shared" si="106"/>
        <v>950</v>
      </c>
      <c r="AW1074" s="223">
        <v>848.7</v>
      </c>
      <c r="AX1074" s="223">
        <v>101.3</v>
      </c>
      <c r="CK1074" s="22">
        <f t="shared" si="107"/>
        <v>950</v>
      </c>
      <c r="CL1074" s="3">
        <f t="shared" si="108"/>
        <v>0</v>
      </c>
      <c r="CM1074" s="222">
        <f t="shared" si="109"/>
        <v>13212</v>
      </c>
      <c r="CN1074" s="3" t="str">
        <f t="shared" si="110"/>
        <v>برنامج دولى</v>
      </c>
    </row>
    <row r="1075" spans="2:92" x14ac:dyDescent="0.25">
      <c r="D1075" s="224">
        <v>22200</v>
      </c>
      <c r="E1075" s="224">
        <v>13213</v>
      </c>
      <c r="F1075" s="250" t="s">
        <v>78</v>
      </c>
      <c r="G1075" s="223" t="s">
        <v>4088</v>
      </c>
      <c r="I1075" s="223">
        <v>2900</v>
      </c>
      <c r="AV1075" s="22">
        <f t="shared" si="106"/>
        <v>2900</v>
      </c>
      <c r="AW1075" s="223">
        <v>2588.6</v>
      </c>
      <c r="AX1075" s="223">
        <v>311.39999999999998</v>
      </c>
      <c r="CK1075" s="22">
        <f t="shared" si="107"/>
        <v>2900</v>
      </c>
      <c r="CL1075" s="3">
        <f t="shared" si="108"/>
        <v>0</v>
      </c>
      <c r="CM1075" s="222">
        <f t="shared" si="109"/>
        <v>13213</v>
      </c>
      <c r="CN1075" s="3" t="str">
        <f t="shared" si="110"/>
        <v>برنامج دولى</v>
      </c>
    </row>
    <row r="1076" spans="2:92" x14ac:dyDescent="0.25">
      <c r="D1076" s="224">
        <v>22199</v>
      </c>
      <c r="E1076" s="224">
        <v>13214</v>
      </c>
      <c r="F1076" s="250" t="s">
        <v>78</v>
      </c>
      <c r="G1076" s="223" t="s">
        <v>3012</v>
      </c>
      <c r="I1076" s="223">
        <v>1750</v>
      </c>
      <c r="AV1076" s="22">
        <f t="shared" si="106"/>
        <v>1750</v>
      </c>
      <c r="AW1076" s="223">
        <v>1563.45</v>
      </c>
      <c r="AX1076" s="223">
        <v>186.55</v>
      </c>
      <c r="CK1076" s="22">
        <f t="shared" si="107"/>
        <v>1750</v>
      </c>
      <c r="CL1076" s="3">
        <f t="shared" si="108"/>
        <v>0</v>
      </c>
      <c r="CM1076" s="222">
        <f t="shared" si="109"/>
        <v>13214</v>
      </c>
      <c r="CN1076" s="3" t="str">
        <f t="shared" si="110"/>
        <v>برنامج دولى</v>
      </c>
    </row>
    <row r="1077" spans="2:92" x14ac:dyDescent="0.25">
      <c r="D1077" s="224">
        <v>22198</v>
      </c>
      <c r="E1077" s="224">
        <v>13215</v>
      </c>
      <c r="F1077" s="250" t="s">
        <v>78</v>
      </c>
      <c r="G1077" s="223" t="s">
        <v>3012</v>
      </c>
      <c r="I1077" s="223">
        <v>1500</v>
      </c>
      <c r="AV1077" s="22">
        <f t="shared" si="106"/>
        <v>1500</v>
      </c>
      <c r="AW1077" s="223">
        <v>1339.1</v>
      </c>
      <c r="AX1077" s="223">
        <v>160.9</v>
      </c>
      <c r="CK1077" s="22">
        <f t="shared" si="107"/>
        <v>1500</v>
      </c>
      <c r="CL1077" s="3">
        <f t="shared" si="108"/>
        <v>0</v>
      </c>
      <c r="CM1077" s="222">
        <f t="shared" si="109"/>
        <v>13215</v>
      </c>
      <c r="CN1077" s="3" t="str">
        <f t="shared" si="110"/>
        <v>برنامج دولى</v>
      </c>
    </row>
    <row r="1078" spans="2:92" x14ac:dyDescent="0.25">
      <c r="D1078" s="224">
        <v>22176</v>
      </c>
      <c r="E1078" s="224">
        <v>13216</v>
      </c>
      <c r="F1078" s="250" t="s">
        <v>78</v>
      </c>
      <c r="G1078" s="223" t="s">
        <v>5487</v>
      </c>
      <c r="I1078" s="223">
        <v>2532.6</v>
      </c>
      <c r="AV1078" s="22">
        <f t="shared" si="106"/>
        <v>2532.6</v>
      </c>
      <c r="AW1078" s="223">
        <v>1692.35</v>
      </c>
      <c r="AX1078" s="223">
        <v>230.05</v>
      </c>
      <c r="AY1078" s="223">
        <v>610.20000000000005</v>
      </c>
      <c r="CK1078" s="22">
        <f t="shared" si="107"/>
        <v>2532.6</v>
      </c>
      <c r="CL1078" s="3">
        <f t="shared" si="108"/>
        <v>0</v>
      </c>
      <c r="CM1078" s="222">
        <f t="shared" si="109"/>
        <v>13216</v>
      </c>
      <c r="CN1078" s="3" t="str">
        <f t="shared" si="110"/>
        <v>برنامج دولى</v>
      </c>
    </row>
    <row r="1079" spans="2:92" x14ac:dyDescent="0.25">
      <c r="D1079" s="224">
        <v>22197</v>
      </c>
      <c r="E1079" s="224">
        <v>13217</v>
      </c>
      <c r="F1079" s="250" t="s">
        <v>78</v>
      </c>
      <c r="G1079" s="223" t="s">
        <v>5488</v>
      </c>
      <c r="I1079" s="223">
        <v>4103.75</v>
      </c>
      <c r="AV1079" s="22">
        <f t="shared" si="106"/>
        <v>4103.75</v>
      </c>
      <c r="AW1079" s="223">
        <v>2746.8</v>
      </c>
      <c r="AX1079" s="223">
        <f>18.2+350</f>
        <v>368.2</v>
      </c>
      <c r="AY1079" s="223">
        <f>1356.95-AX1079</f>
        <v>988.75</v>
      </c>
      <c r="CK1079" s="22">
        <f t="shared" si="107"/>
        <v>4103.75</v>
      </c>
      <c r="CL1079" s="3">
        <f t="shared" si="108"/>
        <v>0</v>
      </c>
      <c r="CM1079" s="222">
        <f t="shared" si="109"/>
        <v>13217</v>
      </c>
      <c r="CN1079" s="3" t="str">
        <f t="shared" si="110"/>
        <v>برنامج دولى</v>
      </c>
    </row>
    <row r="1080" spans="2:92" x14ac:dyDescent="0.25">
      <c r="D1080" s="224">
        <v>22218</v>
      </c>
      <c r="E1080" s="224">
        <v>13218</v>
      </c>
      <c r="F1080" s="250" t="s">
        <v>78</v>
      </c>
      <c r="G1080" s="223" t="s">
        <v>5489</v>
      </c>
      <c r="I1080" s="223">
        <v>1641.5</v>
      </c>
      <c r="AV1080" s="22">
        <f t="shared" si="106"/>
        <v>1641.5</v>
      </c>
      <c r="AW1080" s="223">
        <v>1097</v>
      </c>
      <c r="AX1080" s="223">
        <f>9+140</f>
        <v>149</v>
      </c>
      <c r="AY1080" s="223">
        <f>544.5-AX1080</f>
        <v>395.5</v>
      </c>
      <c r="CK1080" s="22">
        <f t="shared" si="107"/>
        <v>1641.5</v>
      </c>
      <c r="CL1080" s="3">
        <f t="shared" si="108"/>
        <v>0</v>
      </c>
      <c r="CM1080" s="222">
        <f t="shared" si="109"/>
        <v>13218</v>
      </c>
      <c r="CN1080" s="3" t="str">
        <f t="shared" si="110"/>
        <v>برنامج دولى</v>
      </c>
    </row>
    <row r="1081" spans="2:92" x14ac:dyDescent="0.25">
      <c r="D1081" s="224">
        <v>20369</v>
      </c>
      <c r="E1081" s="224">
        <v>13219</v>
      </c>
      <c r="F1081" s="250" t="s">
        <v>78</v>
      </c>
      <c r="G1081" s="223" t="s">
        <v>5490</v>
      </c>
      <c r="I1081" s="223">
        <v>1143.19</v>
      </c>
      <c r="AV1081" s="22">
        <f t="shared" si="106"/>
        <v>1143.19</v>
      </c>
      <c r="AW1081" s="223">
        <v>764.5</v>
      </c>
      <c r="AX1081" s="223">
        <f>97.5+5.75</f>
        <v>103.25</v>
      </c>
      <c r="AY1081" s="223">
        <v>275.44</v>
      </c>
      <c r="CK1081" s="22">
        <f t="shared" si="107"/>
        <v>1143.19</v>
      </c>
      <c r="CL1081" s="3">
        <f t="shared" si="108"/>
        <v>0</v>
      </c>
      <c r="CM1081" s="222">
        <f t="shared" si="109"/>
        <v>13219</v>
      </c>
      <c r="CN1081" s="3" t="str">
        <f t="shared" si="110"/>
        <v>برنامج دولى</v>
      </c>
    </row>
    <row r="1082" spans="2:92" x14ac:dyDescent="0.25">
      <c r="D1082" s="224">
        <v>20545</v>
      </c>
      <c r="E1082" s="224">
        <v>13220</v>
      </c>
      <c r="F1082" s="250" t="s">
        <v>78</v>
      </c>
      <c r="G1082" s="223" t="s">
        <v>5317</v>
      </c>
      <c r="I1082" s="223">
        <v>23550</v>
      </c>
      <c r="AV1082" s="22">
        <f t="shared" si="106"/>
        <v>23550</v>
      </c>
      <c r="AW1082" s="223">
        <v>21034.75</v>
      </c>
      <c r="AX1082" s="223">
        <v>2515.25</v>
      </c>
      <c r="CK1082" s="22">
        <f t="shared" si="107"/>
        <v>23550</v>
      </c>
      <c r="CL1082" s="3">
        <f t="shared" si="108"/>
        <v>0</v>
      </c>
      <c r="CM1082" s="222">
        <f t="shared" si="109"/>
        <v>13220</v>
      </c>
      <c r="CN1082" s="3" t="str">
        <f t="shared" si="110"/>
        <v>برنامج دولى</v>
      </c>
    </row>
    <row r="1083" spans="2:92" x14ac:dyDescent="0.25">
      <c r="D1083" s="224">
        <v>22195</v>
      </c>
      <c r="E1083" s="224">
        <v>13221</v>
      </c>
      <c r="F1083" s="250" t="s">
        <v>78</v>
      </c>
      <c r="G1083" s="223" t="s">
        <v>5491</v>
      </c>
      <c r="I1083" s="223">
        <v>996.63</v>
      </c>
      <c r="AV1083" s="22">
        <f t="shared" si="106"/>
        <v>996.63</v>
      </c>
      <c r="AW1083" s="223">
        <v>665.9</v>
      </c>
      <c r="AX1083" s="223">
        <f>5.6+85</f>
        <v>90.6</v>
      </c>
      <c r="AY1083" s="223">
        <v>240.13</v>
      </c>
      <c r="CK1083" s="22">
        <f t="shared" si="107"/>
        <v>996.63</v>
      </c>
      <c r="CL1083" s="3">
        <f t="shared" si="108"/>
        <v>0</v>
      </c>
      <c r="CM1083" s="222">
        <f t="shared" si="109"/>
        <v>13221</v>
      </c>
      <c r="CN1083" s="3" t="str">
        <f t="shared" si="110"/>
        <v>برنامج دولى</v>
      </c>
    </row>
    <row r="1084" spans="2:92" x14ac:dyDescent="0.25">
      <c r="D1084" s="224">
        <v>21979</v>
      </c>
      <c r="E1084" s="224">
        <v>13222</v>
      </c>
      <c r="F1084" s="250" t="s">
        <v>78</v>
      </c>
      <c r="G1084" s="223" t="s">
        <v>5492</v>
      </c>
      <c r="I1084" s="223">
        <v>1758.75</v>
      </c>
      <c r="AV1084" s="22">
        <f t="shared" si="106"/>
        <v>1758.75</v>
      </c>
      <c r="AW1084" s="223">
        <v>1175.3499999999999</v>
      </c>
      <c r="AX1084" s="223">
        <v>159.65</v>
      </c>
      <c r="AY1084" s="223">
        <v>423.75</v>
      </c>
      <c r="CK1084" s="22">
        <f t="shared" si="107"/>
        <v>1758.75</v>
      </c>
      <c r="CL1084" s="3">
        <f t="shared" si="108"/>
        <v>0</v>
      </c>
      <c r="CM1084" s="222">
        <f t="shared" si="109"/>
        <v>13222</v>
      </c>
      <c r="CN1084" s="3" t="str">
        <f t="shared" si="110"/>
        <v>برنامج دولى</v>
      </c>
    </row>
    <row r="1085" spans="2:92" x14ac:dyDescent="0.25">
      <c r="D1085" s="224">
        <v>20108</v>
      </c>
      <c r="E1085" s="224">
        <v>13223</v>
      </c>
      <c r="F1085" s="250" t="s">
        <v>78</v>
      </c>
      <c r="G1085" s="223" t="s">
        <v>5492</v>
      </c>
      <c r="I1085" s="223">
        <v>650</v>
      </c>
      <c r="AV1085" s="22">
        <f t="shared" si="106"/>
        <v>650</v>
      </c>
      <c r="AW1085" s="223">
        <v>581.85</v>
      </c>
      <c r="AX1085" s="223">
        <v>68.150000000000006</v>
      </c>
      <c r="CK1085" s="22">
        <f t="shared" si="107"/>
        <v>650</v>
      </c>
      <c r="CL1085" s="3">
        <f t="shared" si="108"/>
        <v>0</v>
      </c>
      <c r="CM1085" s="222">
        <f t="shared" si="109"/>
        <v>13223</v>
      </c>
      <c r="CN1085" s="3" t="str">
        <f t="shared" si="110"/>
        <v>برنامج دولى</v>
      </c>
    </row>
    <row r="1086" spans="2:92" x14ac:dyDescent="0.25">
      <c r="D1086" s="224">
        <v>20109</v>
      </c>
      <c r="E1086" s="224">
        <v>13224</v>
      </c>
      <c r="F1086" s="250" t="s">
        <v>78</v>
      </c>
      <c r="G1086" s="223" t="s">
        <v>5492</v>
      </c>
      <c r="I1086" s="223">
        <v>7646.68</v>
      </c>
      <c r="AV1086" s="22">
        <f t="shared" si="106"/>
        <v>7646.68</v>
      </c>
      <c r="AW1086" s="223">
        <v>5401.5</v>
      </c>
      <c r="AX1086" s="223">
        <v>711.2</v>
      </c>
      <c r="AY1086" s="223">
        <v>1533.98</v>
      </c>
      <c r="CK1086" s="22">
        <f t="shared" si="107"/>
        <v>7646.68</v>
      </c>
      <c r="CL1086" s="3">
        <f t="shared" si="108"/>
        <v>0</v>
      </c>
      <c r="CM1086" s="222">
        <f t="shared" si="109"/>
        <v>13224</v>
      </c>
      <c r="CN1086" s="3" t="str">
        <f t="shared" si="110"/>
        <v>برنامج دولى</v>
      </c>
    </row>
    <row r="1087" spans="2:92" x14ac:dyDescent="0.25">
      <c r="D1087" s="224">
        <v>20107</v>
      </c>
      <c r="E1087" s="224">
        <v>13225</v>
      </c>
      <c r="F1087" s="250" t="s">
        <v>78</v>
      </c>
      <c r="G1087" s="223" t="s">
        <v>5492</v>
      </c>
      <c r="I1087" s="223">
        <v>2579.5</v>
      </c>
      <c r="AV1087" s="22">
        <f t="shared" si="106"/>
        <v>2579.5</v>
      </c>
      <c r="AW1087" s="223">
        <v>1724.95</v>
      </c>
      <c r="AX1087" s="223">
        <f>13.05+220</f>
        <v>233.05</v>
      </c>
      <c r="AY1087" s="223">
        <v>621.5</v>
      </c>
      <c r="CK1087" s="22">
        <f t="shared" si="107"/>
        <v>2579.5</v>
      </c>
      <c r="CL1087" s="3">
        <f t="shared" si="108"/>
        <v>0</v>
      </c>
      <c r="CM1087" s="222">
        <f t="shared" si="109"/>
        <v>13225</v>
      </c>
      <c r="CN1087" s="3" t="str">
        <f t="shared" si="110"/>
        <v>برنامج دولى</v>
      </c>
    </row>
    <row r="1088" spans="2:92" x14ac:dyDescent="0.25">
      <c r="B1088" s="223" t="s">
        <v>5637</v>
      </c>
      <c r="D1088" s="224">
        <v>20247</v>
      </c>
      <c r="E1088" s="224">
        <v>13226</v>
      </c>
      <c r="F1088" s="250" t="s">
        <v>78</v>
      </c>
      <c r="G1088" s="223" t="s">
        <v>5493</v>
      </c>
      <c r="I1088" s="223">
        <v>703.5</v>
      </c>
      <c r="AV1088" s="22">
        <f t="shared" ref="AV1088:AV1151" si="111">SUM(I1088:AU1088)</f>
        <v>703.5</v>
      </c>
      <c r="AW1088" s="223">
        <v>477.54</v>
      </c>
      <c r="AX1088" s="223">
        <v>56.46</v>
      </c>
      <c r="AY1088" s="223">
        <v>169.5</v>
      </c>
      <c r="CK1088" s="22">
        <f t="shared" si="107"/>
        <v>703.5</v>
      </c>
      <c r="CL1088" s="3">
        <f t="shared" si="108"/>
        <v>0</v>
      </c>
      <c r="CM1088" s="222">
        <f t="shared" si="109"/>
        <v>13226</v>
      </c>
      <c r="CN1088" s="3" t="str">
        <f t="shared" si="110"/>
        <v>برنامج دولى</v>
      </c>
    </row>
    <row r="1089" spans="4:92" x14ac:dyDescent="0.25">
      <c r="D1089" s="224">
        <v>21911</v>
      </c>
      <c r="E1089" s="224">
        <v>13227</v>
      </c>
      <c r="F1089" s="250" t="s">
        <v>78</v>
      </c>
      <c r="G1089" s="223" t="s">
        <v>5494</v>
      </c>
      <c r="I1089" s="223">
        <v>1407</v>
      </c>
      <c r="AV1089" s="22">
        <f t="shared" si="111"/>
        <v>1407</v>
      </c>
      <c r="AW1089" s="223">
        <v>940.35</v>
      </c>
      <c r="AX1089" s="223">
        <f>7.65+120</f>
        <v>127.65</v>
      </c>
      <c r="AY1089" s="223">
        <v>339</v>
      </c>
      <c r="CK1089" s="22">
        <f t="shared" si="107"/>
        <v>1407</v>
      </c>
      <c r="CL1089" s="3">
        <f t="shared" si="108"/>
        <v>0</v>
      </c>
      <c r="CM1089" s="222">
        <f t="shared" si="109"/>
        <v>13227</v>
      </c>
      <c r="CN1089" s="3" t="str">
        <f t="shared" si="110"/>
        <v>برنامج دولى</v>
      </c>
    </row>
    <row r="1090" spans="4:92" x14ac:dyDescent="0.25">
      <c r="D1090" s="224">
        <v>19733</v>
      </c>
      <c r="E1090" s="224">
        <v>13228</v>
      </c>
      <c r="F1090" s="250" t="s">
        <v>78</v>
      </c>
      <c r="G1090" s="223" t="s">
        <v>5495</v>
      </c>
      <c r="I1090" s="223">
        <v>7641.92</v>
      </c>
      <c r="AV1090" s="22">
        <f t="shared" si="111"/>
        <v>7641.92</v>
      </c>
      <c r="AW1090" s="223">
        <v>5825.47</v>
      </c>
      <c r="AX1090" s="223">
        <v>1468.67</v>
      </c>
      <c r="AY1090" s="226">
        <v>347.78</v>
      </c>
      <c r="CK1090" s="22">
        <f t="shared" si="107"/>
        <v>7641.92</v>
      </c>
      <c r="CL1090" s="3">
        <f t="shared" si="108"/>
        <v>0</v>
      </c>
      <c r="CM1090" s="222">
        <f t="shared" si="109"/>
        <v>13228</v>
      </c>
      <c r="CN1090" s="3" t="str">
        <f t="shared" si="110"/>
        <v>برنامج دولى</v>
      </c>
    </row>
    <row r="1091" spans="4:92" x14ac:dyDescent="0.25">
      <c r="E1091" s="224">
        <v>13229</v>
      </c>
      <c r="F1091" s="250" t="s">
        <v>332</v>
      </c>
      <c r="G1091" s="223" t="s">
        <v>5542</v>
      </c>
      <c r="AV1091" s="22">
        <f t="shared" si="111"/>
        <v>0</v>
      </c>
      <c r="CK1091" s="22">
        <f t="shared" si="107"/>
        <v>0</v>
      </c>
      <c r="CL1091" s="3">
        <f t="shared" si="108"/>
        <v>0</v>
      </c>
      <c r="CM1091" s="222">
        <f t="shared" si="109"/>
        <v>13229</v>
      </c>
      <c r="CN1091" s="3" t="str">
        <f t="shared" si="110"/>
        <v xml:space="preserve">لاب فقط </v>
      </c>
    </row>
    <row r="1092" spans="4:92" x14ac:dyDescent="0.25">
      <c r="E1092" s="224">
        <v>13230</v>
      </c>
      <c r="F1092" s="250" t="s">
        <v>332</v>
      </c>
      <c r="G1092" s="223" t="s">
        <v>5543</v>
      </c>
      <c r="AV1092" s="22">
        <f t="shared" si="111"/>
        <v>0</v>
      </c>
      <c r="CK1092" s="22">
        <f t="shared" si="107"/>
        <v>0</v>
      </c>
      <c r="CL1092" s="3">
        <f t="shared" si="108"/>
        <v>0</v>
      </c>
      <c r="CM1092" s="222">
        <f t="shared" si="109"/>
        <v>13230</v>
      </c>
      <c r="CN1092" s="3" t="str">
        <f t="shared" si="110"/>
        <v xml:space="preserve">لاب فقط </v>
      </c>
    </row>
    <row r="1093" spans="4:92" x14ac:dyDescent="0.25">
      <c r="E1093" s="224">
        <v>13231</v>
      </c>
      <c r="F1093" s="250" t="s">
        <v>332</v>
      </c>
      <c r="G1093" s="223" t="s">
        <v>5544</v>
      </c>
      <c r="AV1093" s="22">
        <f t="shared" si="111"/>
        <v>0</v>
      </c>
      <c r="CK1093" s="22">
        <f t="shared" si="107"/>
        <v>0</v>
      </c>
      <c r="CL1093" s="3">
        <f t="shared" si="108"/>
        <v>0</v>
      </c>
      <c r="CM1093" s="222">
        <f t="shared" si="109"/>
        <v>13231</v>
      </c>
      <c r="CN1093" s="3" t="str">
        <f t="shared" si="110"/>
        <v xml:space="preserve">لاب فقط </v>
      </c>
    </row>
    <row r="1094" spans="4:92" x14ac:dyDescent="0.25">
      <c r="D1094" s="224">
        <v>22161</v>
      </c>
      <c r="E1094" s="224">
        <v>13232</v>
      </c>
      <c r="F1094" s="250" t="s">
        <v>78</v>
      </c>
      <c r="G1094" s="223" t="s">
        <v>5545</v>
      </c>
      <c r="I1094" s="223">
        <v>49245</v>
      </c>
      <c r="AV1094" s="22">
        <f t="shared" si="111"/>
        <v>49245</v>
      </c>
      <c r="AW1094" s="223">
        <v>32907</v>
      </c>
      <c r="AX1094" s="223">
        <f>273+4200</f>
        <v>4473</v>
      </c>
      <c r="AY1094" s="223">
        <v>11865</v>
      </c>
      <c r="CK1094" s="22">
        <f t="shared" si="107"/>
        <v>49245</v>
      </c>
      <c r="CL1094" s="3">
        <f t="shared" si="108"/>
        <v>0</v>
      </c>
      <c r="CM1094" s="222">
        <f t="shared" si="109"/>
        <v>13232</v>
      </c>
      <c r="CN1094" s="3" t="str">
        <f t="shared" si="110"/>
        <v>برنامج دولى</v>
      </c>
    </row>
    <row r="1095" spans="4:92" x14ac:dyDescent="0.25">
      <c r="D1095" s="224">
        <v>2202</v>
      </c>
      <c r="E1095" s="224">
        <v>13233</v>
      </c>
      <c r="F1095" s="250" t="s">
        <v>78</v>
      </c>
      <c r="G1095" s="223" t="s">
        <v>5546</v>
      </c>
      <c r="I1095" s="223">
        <v>351.75</v>
      </c>
      <c r="AV1095" s="22">
        <f t="shared" si="111"/>
        <v>351.75</v>
      </c>
      <c r="AW1095" s="223">
        <v>235.55</v>
      </c>
      <c r="AX1095" s="223">
        <f>1.45+30</f>
        <v>31.45</v>
      </c>
      <c r="AY1095" s="223">
        <v>84.75</v>
      </c>
      <c r="CK1095" s="22">
        <f t="shared" si="107"/>
        <v>351.75</v>
      </c>
      <c r="CL1095" s="3">
        <f t="shared" si="108"/>
        <v>0</v>
      </c>
      <c r="CM1095" s="222">
        <f t="shared" si="109"/>
        <v>13233</v>
      </c>
      <c r="CN1095" s="3" t="str">
        <f t="shared" si="110"/>
        <v>برنامج دولى</v>
      </c>
    </row>
    <row r="1096" spans="4:92" x14ac:dyDescent="0.25">
      <c r="D1096" s="224">
        <v>22179</v>
      </c>
      <c r="E1096" s="224">
        <v>13234</v>
      </c>
      <c r="F1096" s="250" t="s">
        <v>78</v>
      </c>
      <c r="G1096" s="223" t="s">
        <v>5547</v>
      </c>
      <c r="I1096" s="223">
        <v>750</v>
      </c>
      <c r="AV1096" s="22">
        <f t="shared" si="111"/>
        <v>750</v>
      </c>
      <c r="AW1096" s="223">
        <v>670.1</v>
      </c>
      <c r="AX1096" s="223">
        <v>79.900000000000006</v>
      </c>
      <c r="CK1096" s="22">
        <f t="shared" ref="CK1096:CK1159" si="112">SUM(AW1096:CJ1096)</f>
        <v>750</v>
      </c>
      <c r="CL1096" s="3">
        <f t="shared" ref="CL1096:CL1159" si="113">+CK1096-AV1096</f>
        <v>0</v>
      </c>
      <c r="CM1096" s="222">
        <f t="shared" ref="CM1096:CM1159" si="114">+E1096</f>
        <v>13234</v>
      </c>
      <c r="CN1096" s="3" t="str">
        <f t="shared" ref="CN1096:CN1159" si="115">+F1096</f>
        <v>برنامج دولى</v>
      </c>
    </row>
    <row r="1097" spans="4:92" x14ac:dyDescent="0.25">
      <c r="D1097" s="224">
        <v>22183</v>
      </c>
      <c r="E1097" s="224">
        <v>13235</v>
      </c>
      <c r="F1097" s="250" t="s">
        <v>78</v>
      </c>
      <c r="G1097" s="223" t="s">
        <v>5548</v>
      </c>
      <c r="I1097" s="223">
        <v>879.38</v>
      </c>
      <c r="AV1097" s="22">
        <f t="shared" si="111"/>
        <v>879.38</v>
      </c>
      <c r="AW1097" s="223">
        <v>588.15</v>
      </c>
      <c r="AX1097" s="223">
        <f>4.35+75</f>
        <v>79.349999999999994</v>
      </c>
      <c r="AY1097" s="223">
        <v>211.88</v>
      </c>
      <c r="CK1097" s="22">
        <f t="shared" si="112"/>
        <v>879.38</v>
      </c>
      <c r="CL1097" s="3">
        <f t="shared" si="113"/>
        <v>0</v>
      </c>
      <c r="CM1097" s="222">
        <f t="shared" si="114"/>
        <v>13235</v>
      </c>
      <c r="CN1097" s="3" t="str">
        <f t="shared" si="115"/>
        <v>برنامج دولى</v>
      </c>
    </row>
    <row r="1098" spans="4:92" x14ac:dyDescent="0.25">
      <c r="D1098" s="224">
        <v>22184</v>
      </c>
      <c r="E1098" s="224">
        <v>13236</v>
      </c>
      <c r="F1098" s="250" t="s">
        <v>78</v>
      </c>
      <c r="G1098" s="223" t="str">
        <f>+G1096</f>
        <v>مكافاه متابعه امتحانات</v>
      </c>
      <c r="I1098" s="223">
        <v>750</v>
      </c>
      <c r="AV1098" s="22">
        <f t="shared" si="111"/>
        <v>750</v>
      </c>
      <c r="AW1098" s="223">
        <v>670.1</v>
      </c>
      <c r="AX1098" s="223">
        <v>79.900000000000006</v>
      </c>
      <c r="CK1098" s="22">
        <f t="shared" si="112"/>
        <v>750</v>
      </c>
      <c r="CL1098" s="3">
        <f t="shared" si="113"/>
        <v>0</v>
      </c>
      <c r="CM1098" s="222">
        <f t="shared" si="114"/>
        <v>13236</v>
      </c>
      <c r="CN1098" s="3" t="str">
        <f t="shared" si="115"/>
        <v>برنامج دولى</v>
      </c>
    </row>
    <row r="1099" spans="4:92" x14ac:dyDescent="0.25">
      <c r="D1099" s="224">
        <v>22455</v>
      </c>
      <c r="E1099" s="224">
        <v>13237</v>
      </c>
      <c r="F1099" s="250" t="s">
        <v>78</v>
      </c>
      <c r="G1099" s="223" t="str">
        <f>+G1097</f>
        <v>ج مريم ناجى</v>
      </c>
      <c r="I1099" s="223">
        <v>879.38</v>
      </c>
      <c r="AV1099" s="22">
        <f t="shared" si="111"/>
        <v>879.38</v>
      </c>
      <c r="AW1099" s="223">
        <v>588.15</v>
      </c>
      <c r="AX1099" s="223">
        <f>4.35+75</f>
        <v>79.349999999999994</v>
      </c>
      <c r="AY1099" s="223">
        <v>211.88</v>
      </c>
      <c r="CK1099" s="22">
        <f t="shared" si="112"/>
        <v>879.38</v>
      </c>
      <c r="CL1099" s="3">
        <f t="shared" si="113"/>
        <v>0</v>
      </c>
      <c r="CM1099" s="222">
        <f t="shared" si="114"/>
        <v>13237</v>
      </c>
      <c r="CN1099" s="3" t="str">
        <f t="shared" si="115"/>
        <v>برنامج دولى</v>
      </c>
    </row>
    <row r="1100" spans="4:92" x14ac:dyDescent="0.25">
      <c r="D1100" s="224">
        <v>22185</v>
      </c>
      <c r="E1100" s="224">
        <v>13238</v>
      </c>
      <c r="F1100" s="250" t="s">
        <v>78</v>
      </c>
      <c r="G1100" s="223" t="s">
        <v>5549</v>
      </c>
      <c r="I1100" s="223">
        <v>1350</v>
      </c>
      <c r="AV1100" s="22">
        <f t="shared" si="111"/>
        <v>1350</v>
      </c>
      <c r="AW1100" s="223">
        <v>1206.9000000000001</v>
      </c>
      <c r="AX1100" s="223">
        <v>143.1</v>
      </c>
      <c r="CK1100" s="22">
        <f t="shared" si="112"/>
        <v>1350</v>
      </c>
      <c r="CL1100" s="3">
        <f t="shared" si="113"/>
        <v>0</v>
      </c>
      <c r="CM1100" s="222">
        <f t="shared" si="114"/>
        <v>13238</v>
      </c>
      <c r="CN1100" s="3" t="str">
        <f t="shared" si="115"/>
        <v>برنامج دولى</v>
      </c>
    </row>
    <row r="1101" spans="4:92" x14ac:dyDescent="0.25">
      <c r="D1101" s="224">
        <v>22186</v>
      </c>
      <c r="E1101" s="224">
        <v>13239</v>
      </c>
      <c r="F1101" s="250" t="s">
        <v>78</v>
      </c>
      <c r="G1101" s="223" t="s">
        <v>5549</v>
      </c>
      <c r="I1101" s="223">
        <v>2635.54</v>
      </c>
      <c r="AV1101" s="22">
        <f t="shared" si="111"/>
        <v>2635.54</v>
      </c>
      <c r="AW1101" s="223">
        <v>1844.33</v>
      </c>
      <c r="AX1101" s="223">
        <v>241.7</v>
      </c>
      <c r="AY1101" s="223">
        <v>549.51</v>
      </c>
      <c r="CK1101" s="22">
        <f t="shared" si="112"/>
        <v>2635.54</v>
      </c>
      <c r="CL1101" s="3">
        <f t="shared" si="113"/>
        <v>0</v>
      </c>
      <c r="CM1101" s="222">
        <f t="shared" si="114"/>
        <v>13239</v>
      </c>
      <c r="CN1101" s="3" t="str">
        <f t="shared" si="115"/>
        <v>برنامج دولى</v>
      </c>
    </row>
    <row r="1102" spans="4:92" x14ac:dyDescent="0.25">
      <c r="D1102" s="224">
        <v>22187</v>
      </c>
      <c r="E1102" s="224">
        <v>13240</v>
      </c>
      <c r="F1102" s="250" t="s">
        <v>78</v>
      </c>
      <c r="G1102" s="223" t="s">
        <v>852</v>
      </c>
      <c r="I1102" s="223">
        <v>2710.5</v>
      </c>
      <c r="AV1102" s="22">
        <f t="shared" si="111"/>
        <v>2710.5</v>
      </c>
      <c r="AW1102" s="223">
        <v>1947.95</v>
      </c>
      <c r="AX1102" s="223">
        <v>254.05</v>
      </c>
      <c r="AY1102" s="223">
        <v>508.5</v>
      </c>
      <c r="CK1102" s="22">
        <f t="shared" si="112"/>
        <v>2710.5</v>
      </c>
      <c r="CL1102" s="3">
        <f t="shared" si="113"/>
        <v>0</v>
      </c>
      <c r="CM1102" s="222">
        <f t="shared" si="114"/>
        <v>13240</v>
      </c>
      <c r="CN1102" s="3" t="str">
        <f t="shared" si="115"/>
        <v>برنامج دولى</v>
      </c>
    </row>
    <row r="1103" spans="4:92" x14ac:dyDescent="0.25">
      <c r="D1103" s="224">
        <v>22188</v>
      </c>
      <c r="E1103" s="224">
        <v>13241</v>
      </c>
      <c r="F1103" s="250" t="s">
        <v>78</v>
      </c>
      <c r="G1103" s="223" t="str">
        <f>+G1102</f>
        <v>مكافاه مراقبين اداريين</v>
      </c>
      <c r="I1103" s="223">
        <v>703.5</v>
      </c>
      <c r="AV1103" s="22">
        <f t="shared" si="111"/>
        <v>703.5</v>
      </c>
      <c r="AW1103" s="223">
        <v>470.6</v>
      </c>
      <c r="AX1103" s="223">
        <v>63.4</v>
      </c>
      <c r="AY1103" s="223">
        <v>169.5</v>
      </c>
      <c r="CK1103" s="22">
        <f t="shared" si="112"/>
        <v>703.5</v>
      </c>
      <c r="CL1103" s="3">
        <f t="shared" si="113"/>
        <v>0</v>
      </c>
      <c r="CM1103" s="222">
        <f t="shared" si="114"/>
        <v>13241</v>
      </c>
      <c r="CN1103" s="3" t="str">
        <f t="shared" si="115"/>
        <v>برنامج دولى</v>
      </c>
    </row>
    <row r="1104" spans="4:92" x14ac:dyDescent="0.25">
      <c r="D1104" s="224">
        <v>22189</v>
      </c>
      <c r="E1104" s="224">
        <v>13242</v>
      </c>
      <c r="F1104" s="250" t="s">
        <v>78</v>
      </c>
      <c r="G1104" s="223" t="str">
        <f>+G1103</f>
        <v>مكافاه مراقبين اداريين</v>
      </c>
      <c r="I1104" s="223">
        <v>2407</v>
      </c>
      <c r="AV1104" s="22">
        <f t="shared" si="111"/>
        <v>2407</v>
      </c>
      <c r="AW1104" s="223">
        <v>1834.55</v>
      </c>
      <c r="AX1104" s="223">
        <v>233.45</v>
      </c>
      <c r="AY1104" s="223">
        <v>339</v>
      </c>
      <c r="CK1104" s="22">
        <f t="shared" si="112"/>
        <v>2407</v>
      </c>
      <c r="CL1104" s="3">
        <f t="shared" si="113"/>
        <v>0</v>
      </c>
      <c r="CM1104" s="222">
        <f t="shared" si="114"/>
        <v>13242</v>
      </c>
      <c r="CN1104" s="3" t="str">
        <f t="shared" si="115"/>
        <v>برنامج دولى</v>
      </c>
    </row>
    <row r="1105" spans="4:92" x14ac:dyDescent="0.25">
      <c r="D1105" s="224">
        <v>22190</v>
      </c>
      <c r="E1105" s="224">
        <v>13243</v>
      </c>
      <c r="F1105" s="250" t="s">
        <v>78</v>
      </c>
      <c r="G1105" s="223" t="s">
        <v>3321</v>
      </c>
      <c r="I1105" s="223">
        <v>800</v>
      </c>
      <c r="AV1105" s="22">
        <f t="shared" si="111"/>
        <v>800</v>
      </c>
      <c r="AW1105" s="223">
        <v>715.45</v>
      </c>
      <c r="AX1105" s="223">
        <v>84.55</v>
      </c>
      <c r="CK1105" s="22">
        <f t="shared" si="112"/>
        <v>800</v>
      </c>
      <c r="CL1105" s="3">
        <f t="shared" si="113"/>
        <v>0</v>
      </c>
      <c r="CM1105" s="222">
        <f t="shared" si="114"/>
        <v>13243</v>
      </c>
      <c r="CN1105" s="3" t="str">
        <f t="shared" si="115"/>
        <v>برنامج دولى</v>
      </c>
    </row>
    <row r="1106" spans="4:92" x14ac:dyDescent="0.25">
      <c r="D1106" s="224">
        <v>22191</v>
      </c>
      <c r="E1106" s="224">
        <v>13244</v>
      </c>
      <c r="F1106" s="250" t="s">
        <v>78</v>
      </c>
      <c r="G1106" s="223" t="s">
        <v>5550</v>
      </c>
      <c r="I1106" s="223">
        <v>700</v>
      </c>
      <c r="AV1106" s="22">
        <f t="shared" si="111"/>
        <v>700</v>
      </c>
      <c r="AW1106" s="223">
        <v>625.45000000000005</v>
      </c>
      <c r="AX1106" s="223">
        <v>74.55</v>
      </c>
      <c r="CK1106" s="22">
        <f t="shared" si="112"/>
        <v>700</v>
      </c>
      <c r="CL1106" s="3">
        <f t="shared" si="113"/>
        <v>0</v>
      </c>
      <c r="CM1106" s="222">
        <f t="shared" si="114"/>
        <v>13244</v>
      </c>
      <c r="CN1106" s="3" t="str">
        <f t="shared" si="115"/>
        <v>برنامج دولى</v>
      </c>
    </row>
    <row r="1107" spans="4:92" x14ac:dyDescent="0.25">
      <c r="D1107" s="224">
        <v>22192</v>
      </c>
      <c r="E1107" s="224">
        <v>13245</v>
      </c>
      <c r="F1107" s="250" t="s">
        <v>78</v>
      </c>
      <c r="G1107" s="223" t="s">
        <v>5551</v>
      </c>
      <c r="I1107" s="223">
        <v>700</v>
      </c>
      <c r="AV1107" s="22">
        <f t="shared" si="111"/>
        <v>700</v>
      </c>
      <c r="AW1107" s="223">
        <v>625.45000000000005</v>
      </c>
      <c r="AX1107" s="223">
        <v>74.55</v>
      </c>
      <c r="CK1107" s="22">
        <f t="shared" si="112"/>
        <v>700</v>
      </c>
      <c r="CL1107" s="3">
        <f t="shared" si="113"/>
        <v>0</v>
      </c>
      <c r="CM1107" s="222">
        <f t="shared" si="114"/>
        <v>13245</v>
      </c>
      <c r="CN1107" s="3" t="str">
        <f t="shared" si="115"/>
        <v>برنامج دولى</v>
      </c>
    </row>
    <row r="1108" spans="4:92" x14ac:dyDescent="0.25">
      <c r="D1108" s="224">
        <v>22193</v>
      </c>
      <c r="E1108" s="224">
        <v>13246</v>
      </c>
      <c r="F1108" s="250" t="s">
        <v>78</v>
      </c>
      <c r="G1108" s="223" t="s">
        <v>5552</v>
      </c>
      <c r="I1108" s="223">
        <v>2500</v>
      </c>
      <c r="AV1108" s="22">
        <f t="shared" si="111"/>
        <v>2500</v>
      </c>
      <c r="AW1108" s="223">
        <v>2232</v>
      </c>
      <c r="AX1108" s="223">
        <v>268</v>
      </c>
      <c r="CK1108" s="22">
        <f t="shared" si="112"/>
        <v>2500</v>
      </c>
      <c r="CL1108" s="3">
        <f t="shared" si="113"/>
        <v>0</v>
      </c>
      <c r="CM1108" s="222">
        <f t="shared" si="114"/>
        <v>13246</v>
      </c>
      <c r="CN1108" s="3" t="str">
        <f t="shared" si="115"/>
        <v>برنامج دولى</v>
      </c>
    </row>
    <row r="1109" spans="4:92" x14ac:dyDescent="0.25">
      <c r="D1109" s="224">
        <v>22194</v>
      </c>
      <c r="E1109" s="224">
        <v>13247</v>
      </c>
      <c r="F1109" s="250" t="s">
        <v>78</v>
      </c>
      <c r="G1109" s="223" t="str">
        <f>+G1105</f>
        <v>مكافاه رعايه الشباب</v>
      </c>
      <c r="I1109" s="223">
        <v>600</v>
      </c>
      <c r="AV1109" s="22">
        <f t="shared" si="111"/>
        <v>600</v>
      </c>
      <c r="AW1109" s="223">
        <v>536.15</v>
      </c>
      <c r="AX1109" s="223">
        <v>63.85</v>
      </c>
      <c r="CK1109" s="22">
        <f t="shared" si="112"/>
        <v>600</v>
      </c>
      <c r="CL1109" s="3">
        <f t="shared" si="113"/>
        <v>0</v>
      </c>
      <c r="CM1109" s="222">
        <f t="shared" si="114"/>
        <v>13247</v>
      </c>
      <c r="CN1109" s="3" t="str">
        <f t="shared" si="115"/>
        <v>برنامج دولى</v>
      </c>
    </row>
    <row r="1110" spans="4:92" x14ac:dyDescent="0.25">
      <c r="D1110" s="224">
        <v>21925</v>
      </c>
      <c r="E1110" s="224">
        <v>13248</v>
      </c>
      <c r="F1110" s="250" t="s">
        <v>78</v>
      </c>
      <c r="G1110" s="223" t="s">
        <v>5553</v>
      </c>
      <c r="I1110" s="223">
        <v>3000</v>
      </c>
      <c r="AV1110" s="22">
        <f t="shared" si="111"/>
        <v>3000</v>
      </c>
      <c r="AW1110" s="223">
        <v>2678.2</v>
      </c>
      <c r="AX1110" s="223">
        <v>321.8</v>
      </c>
      <c r="CK1110" s="22">
        <f t="shared" si="112"/>
        <v>3000</v>
      </c>
      <c r="CL1110" s="3">
        <f t="shared" si="113"/>
        <v>0</v>
      </c>
      <c r="CM1110" s="222">
        <f t="shared" si="114"/>
        <v>13248</v>
      </c>
      <c r="CN1110" s="3" t="str">
        <f t="shared" si="115"/>
        <v>برنامج دولى</v>
      </c>
    </row>
    <row r="1111" spans="4:92" x14ac:dyDescent="0.25">
      <c r="D1111" s="224">
        <v>21923</v>
      </c>
      <c r="E1111" s="224">
        <v>13249</v>
      </c>
      <c r="F1111" s="250" t="s">
        <v>78</v>
      </c>
      <c r="G1111" s="223" t="s">
        <v>5554</v>
      </c>
      <c r="I1111" s="223">
        <v>950</v>
      </c>
      <c r="AV1111" s="22">
        <f t="shared" si="111"/>
        <v>950</v>
      </c>
      <c r="AW1111" s="223">
        <v>849.2</v>
      </c>
      <c r="AX1111" s="223">
        <v>100.8</v>
      </c>
      <c r="CK1111" s="22">
        <f t="shared" si="112"/>
        <v>950</v>
      </c>
      <c r="CL1111" s="3">
        <f t="shared" si="113"/>
        <v>0</v>
      </c>
      <c r="CM1111" s="222">
        <f t="shared" si="114"/>
        <v>13249</v>
      </c>
      <c r="CN1111" s="3" t="str">
        <f t="shared" si="115"/>
        <v>برنامج دولى</v>
      </c>
    </row>
    <row r="1112" spans="4:92" x14ac:dyDescent="0.25">
      <c r="D1112" s="224">
        <v>21928</v>
      </c>
      <c r="E1112" s="224">
        <v>13250</v>
      </c>
      <c r="F1112" s="250" t="s">
        <v>78</v>
      </c>
      <c r="G1112" s="223" t="s">
        <v>5555</v>
      </c>
      <c r="I1112" s="223">
        <v>5750</v>
      </c>
      <c r="AV1112" s="22">
        <f t="shared" si="111"/>
        <v>5750</v>
      </c>
      <c r="AW1112" s="223">
        <v>5132.95</v>
      </c>
      <c r="AX1112" s="223">
        <v>617.04999999999995</v>
      </c>
      <c r="CK1112" s="22">
        <f t="shared" si="112"/>
        <v>5750</v>
      </c>
      <c r="CL1112" s="3">
        <f t="shared" si="113"/>
        <v>0</v>
      </c>
      <c r="CM1112" s="222">
        <f t="shared" si="114"/>
        <v>13250</v>
      </c>
      <c r="CN1112" s="3" t="str">
        <f t="shared" si="115"/>
        <v>برنامج دولى</v>
      </c>
    </row>
    <row r="1113" spans="4:92" x14ac:dyDescent="0.25">
      <c r="D1113" s="224">
        <v>21930</v>
      </c>
      <c r="E1113" s="224">
        <v>13251</v>
      </c>
      <c r="F1113" s="250" t="s">
        <v>78</v>
      </c>
      <c r="G1113" s="223" t="s">
        <v>5555</v>
      </c>
      <c r="I1113" s="223">
        <v>1500</v>
      </c>
      <c r="AV1113" s="22">
        <f t="shared" si="111"/>
        <v>1500</v>
      </c>
      <c r="AW1113" s="223">
        <v>1340.2</v>
      </c>
      <c r="AX1113" s="223">
        <v>159.80000000000001</v>
      </c>
      <c r="CK1113" s="22">
        <f t="shared" si="112"/>
        <v>1500</v>
      </c>
      <c r="CL1113" s="3">
        <f t="shared" si="113"/>
        <v>0</v>
      </c>
      <c r="CM1113" s="222">
        <f t="shared" si="114"/>
        <v>13251</v>
      </c>
      <c r="CN1113" s="3" t="str">
        <f t="shared" si="115"/>
        <v>برنامج دولى</v>
      </c>
    </row>
    <row r="1114" spans="4:92" x14ac:dyDescent="0.25">
      <c r="D1114" s="224">
        <v>21931</v>
      </c>
      <c r="E1114" s="224">
        <v>13252</v>
      </c>
      <c r="F1114" s="250" t="s">
        <v>78</v>
      </c>
      <c r="G1114" s="223" t="s">
        <v>5555</v>
      </c>
      <c r="I1114" s="223">
        <v>750</v>
      </c>
      <c r="AV1114" s="22">
        <f t="shared" si="111"/>
        <v>750</v>
      </c>
      <c r="AW1114" s="223">
        <v>670.1</v>
      </c>
      <c r="AX1114" s="223">
        <v>79.900000000000006</v>
      </c>
      <c r="CK1114" s="22">
        <f t="shared" si="112"/>
        <v>750</v>
      </c>
      <c r="CL1114" s="3">
        <f t="shared" si="113"/>
        <v>0</v>
      </c>
      <c r="CM1114" s="222">
        <f t="shared" si="114"/>
        <v>13252</v>
      </c>
      <c r="CN1114" s="3" t="str">
        <f t="shared" si="115"/>
        <v>برنامج دولى</v>
      </c>
    </row>
    <row r="1115" spans="4:92" x14ac:dyDescent="0.25">
      <c r="D1115" s="224">
        <v>21900</v>
      </c>
      <c r="E1115" s="224">
        <v>13253</v>
      </c>
      <c r="F1115" s="250" t="s">
        <v>78</v>
      </c>
      <c r="G1115" s="223" t="s">
        <v>5555</v>
      </c>
      <c r="I1115" s="223">
        <v>1758.76</v>
      </c>
      <c r="AV1115" s="22">
        <f t="shared" si="111"/>
        <v>1758.76</v>
      </c>
      <c r="AW1115" s="223">
        <v>1176.3</v>
      </c>
      <c r="AX1115" s="223">
        <v>158.69999999999999</v>
      </c>
      <c r="AY1115" s="223">
        <v>423.76</v>
      </c>
      <c r="CK1115" s="22">
        <f t="shared" si="112"/>
        <v>1758.76</v>
      </c>
      <c r="CL1115" s="3">
        <f t="shared" si="113"/>
        <v>0</v>
      </c>
      <c r="CM1115" s="222">
        <f t="shared" si="114"/>
        <v>13253</v>
      </c>
      <c r="CN1115" s="3" t="str">
        <f t="shared" si="115"/>
        <v>برنامج دولى</v>
      </c>
    </row>
    <row r="1116" spans="4:92" x14ac:dyDescent="0.25">
      <c r="D1116" s="224">
        <v>21927</v>
      </c>
      <c r="E1116" s="224">
        <v>13254</v>
      </c>
      <c r="F1116" s="250" t="s">
        <v>78</v>
      </c>
      <c r="G1116" s="223" t="s">
        <v>5556</v>
      </c>
      <c r="I1116" s="223">
        <v>650</v>
      </c>
      <c r="AV1116" s="22">
        <f t="shared" si="111"/>
        <v>650</v>
      </c>
      <c r="AW1116" s="223">
        <v>580.79999999999995</v>
      </c>
      <c r="AX1116" s="223">
        <v>69.2</v>
      </c>
      <c r="CK1116" s="22">
        <f t="shared" si="112"/>
        <v>650</v>
      </c>
      <c r="CL1116" s="3">
        <f t="shared" si="113"/>
        <v>0</v>
      </c>
      <c r="CM1116" s="222">
        <f t="shared" si="114"/>
        <v>13254</v>
      </c>
      <c r="CN1116" s="3" t="str">
        <f t="shared" si="115"/>
        <v>برنامج دولى</v>
      </c>
    </row>
    <row r="1117" spans="4:92" x14ac:dyDescent="0.25">
      <c r="D1117" s="224">
        <v>21929</v>
      </c>
      <c r="E1117" s="224">
        <v>13255</v>
      </c>
      <c r="F1117" s="250" t="s">
        <v>78</v>
      </c>
      <c r="G1117" s="223" t="s">
        <v>5556</v>
      </c>
      <c r="I1117" s="223">
        <v>650</v>
      </c>
      <c r="AV1117" s="22">
        <f t="shared" si="111"/>
        <v>650</v>
      </c>
      <c r="AW1117" s="223">
        <v>580.79999999999995</v>
      </c>
      <c r="AX1117" s="223">
        <v>69.2</v>
      </c>
      <c r="CK1117" s="22">
        <f t="shared" si="112"/>
        <v>650</v>
      </c>
      <c r="CL1117" s="3">
        <f t="shared" si="113"/>
        <v>0</v>
      </c>
      <c r="CM1117" s="222">
        <f t="shared" si="114"/>
        <v>13255</v>
      </c>
      <c r="CN1117" s="3" t="str">
        <f t="shared" si="115"/>
        <v>برنامج دولى</v>
      </c>
    </row>
    <row r="1118" spans="4:92" x14ac:dyDescent="0.25">
      <c r="D1118" s="224">
        <v>21926</v>
      </c>
      <c r="E1118" s="224">
        <v>13256</v>
      </c>
      <c r="F1118" s="250" t="s">
        <v>78</v>
      </c>
      <c r="G1118" s="223" t="s">
        <v>1215</v>
      </c>
      <c r="I1118" s="223">
        <v>4500</v>
      </c>
      <c r="AV1118" s="22">
        <f t="shared" si="111"/>
        <v>4500</v>
      </c>
      <c r="AW1118" s="223">
        <v>4017.3</v>
      </c>
      <c r="AX1118" s="223">
        <v>482.7</v>
      </c>
      <c r="CK1118" s="22">
        <f t="shared" si="112"/>
        <v>4500</v>
      </c>
      <c r="CL1118" s="3">
        <f t="shared" si="113"/>
        <v>0</v>
      </c>
      <c r="CM1118" s="222">
        <f t="shared" si="114"/>
        <v>13256</v>
      </c>
      <c r="CN1118" s="3" t="str">
        <f t="shared" si="115"/>
        <v>برنامج دولى</v>
      </c>
    </row>
    <row r="1119" spans="4:92" x14ac:dyDescent="0.25">
      <c r="D1119" s="224">
        <v>22021</v>
      </c>
      <c r="E1119" s="224">
        <v>13257</v>
      </c>
      <c r="F1119" s="250" t="s">
        <v>78</v>
      </c>
      <c r="G1119" s="223" t="str">
        <f>+G1118</f>
        <v>مكافاه صحه بيانات مكتب الوكيل</v>
      </c>
      <c r="I1119" s="223">
        <v>1500</v>
      </c>
      <c r="AV1119" s="22">
        <f t="shared" si="111"/>
        <v>1500</v>
      </c>
      <c r="AW1119" s="223">
        <v>1339.1</v>
      </c>
      <c r="AX1119" s="223">
        <v>160.9</v>
      </c>
      <c r="CK1119" s="22">
        <f t="shared" si="112"/>
        <v>1500</v>
      </c>
      <c r="CL1119" s="3">
        <f t="shared" si="113"/>
        <v>0</v>
      </c>
      <c r="CM1119" s="222">
        <f t="shared" si="114"/>
        <v>13257</v>
      </c>
      <c r="CN1119" s="3" t="str">
        <f t="shared" si="115"/>
        <v>برنامج دولى</v>
      </c>
    </row>
    <row r="1120" spans="4:92" x14ac:dyDescent="0.25">
      <c r="D1120" s="224">
        <v>21925</v>
      </c>
      <c r="E1120" s="224">
        <v>13258</v>
      </c>
      <c r="F1120" s="250" t="s">
        <v>78</v>
      </c>
      <c r="G1120" s="223" t="s">
        <v>5557</v>
      </c>
      <c r="I1120" s="223">
        <v>1407</v>
      </c>
      <c r="AV1120" s="22">
        <f t="shared" si="111"/>
        <v>1407</v>
      </c>
      <c r="AW1120" s="223">
        <v>940.35</v>
      </c>
      <c r="AX1120" s="223">
        <v>127.65</v>
      </c>
      <c r="AY1120" s="223">
        <v>339</v>
      </c>
      <c r="CK1120" s="22">
        <f t="shared" si="112"/>
        <v>1407</v>
      </c>
      <c r="CL1120" s="3">
        <f t="shared" si="113"/>
        <v>0</v>
      </c>
      <c r="CM1120" s="222">
        <f t="shared" si="114"/>
        <v>13258</v>
      </c>
      <c r="CN1120" s="3" t="str">
        <f t="shared" si="115"/>
        <v>برنامج دولى</v>
      </c>
    </row>
    <row r="1121" spans="4:92" x14ac:dyDescent="0.25">
      <c r="D1121" s="224">
        <v>20071</v>
      </c>
      <c r="E1121" s="224">
        <v>13259</v>
      </c>
      <c r="F1121" s="250" t="s">
        <v>78</v>
      </c>
      <c r="G1121" s="223" t="s">
        <v>2570</v>
      </c>
      <c r="I1121" s="223">
        <v>6463.16</v>
      </c>
      <c r="AV1121" s="22">
        <f t="shared" si="111"/>
        <v>6463.16</v>
      </c>
      <c r="AW1121" s="223">
        <v>4911.1000000000004</v>
      </c>
      <c r="AX1121" s="223">
        <v>634.27</v>
      </c>
      <c r="AY1121" s="223">
        <v>917.79</v>
      </c>
      <c r="CK1121" s="22">
        <f t="shared" si="112"/>
        <v>6463.1600000000008</v>
      </c>
      <c r="CL1121" s="3">
        <f t="shared" si="113"/>
        <v>0</v>
      </c>
      <c r="CM1121" s="222">
        <f t="shared" si="114"/>
        <v>13259</v>
      </c>
      <c r="CN1121" s="3" t="str">
        <f t="shared" si="115"/>
        <v>برنامج دولى</v>
      </c>
    </row>
    <row r="1122" spans="4:92" x14ac:dyDescent="0.25">
      <c r="D1122" s="224">
        <v>20607</v>
      </c>
      <c r="E1122" s="224">
        <v>13260</v>
      </c>
      <c r="F1122" s="250" t="s">
        <v>78</v>
      </c>
      <c r="G1122" s="223" t="s">
        <v>1902</v>
      </c>
      <c r="I1122" s="223">
        <v>7050</v>
      </c>
      <c r="AV1122" s="22">
        <f t="shared" si="111"/>
        <v>7050</v>
      </c>
      <c r="AW1122" s="223">
        <v>6293.55</v>
      </c>
      <c r="AX1122" s="223">
        <v>756.45</v>
      </c>
      <c r="CK1122" s="22">
        <f t="shared" si="112"/>
        <v>7050</v>
      </c>
      <c r="CL1122" s="3">
        <f t="shared" si="113"/>
        <v>0</v>
      </c>
      <c r="CM1122" s="222">
        <f t="shared" si="114"/>
        <v>13260</v>
      </c>
      <c r="CN1122" s="3" t="str">
        <f t="shared" si="115"/>
        <v>برنامج دولى</v>
      </c>
    </row>
    <row r="1123" spans="4:92" x14ac:dyDescent="0.25">
      <c r="D1123" s="224">
        <v>20608</v>
      </c>
      <c r="E1123" s="224">
        <v>13261</v>
      </c>
      <c r="F1123" s="250" t="s">
        <v>78</v>
      </c>
      <c r="G1123" s="223" t="str">
        <f>+G1122</f>
        <v>مكافاه تعليم الكترونى</v>
      </c>
      <c r="I1123" s="223">
        <v>1775</v>
      </c>
      <c r="AV1123" s="22">
        <f t="shared" si="111"/>
        <v>1775</v>
      </c>
      <c r="AW1123" s="223">
        <v>1584.55</v>
      </c>
      <c r="AX1123" s="223">
        <v>190.45</v>
      </c>
      <c r="CK1123" s="22">
        <f t="shared" si="112"/>
        <v>1775</v>
      </c>
      <c r="CL1123" s="3">
        <f t="shared" si="113"/>
        <v>0</v>
      </c>
      <c r="CM1123" s="222">
        <f t="shared" si="114"/>
        <v>13261</v>
      </c>
      <c r="CN1123" s="3" t="str">
        <f t="shared" si="115"/>
        <v>برنامج دولى</v>
      </c>
    </row>
    <row r="1124" spans="4:92" x14ac:dyDescent="0.25">
      <c r="D1124" s="224">
        <v>20609</v>
      </c>
      <c r="E1124" s="224">
        <v>13262</v>
      </c>
      <c r="F1124" s="250" t="s">
        <v>78</v>
      </c>
      <c r="G1124" s="223" t="s">
        <v>5558</v>
      </c>
      <c r="I1124" s="223">
        <v>600</v>
      </c>
      <c r="AV1124" s="22">
        <f t="shared" si="111"/>
        <v>600</v>
      </c>
      <c r="AW1124" s="223">
        <v>536.15</v>
      </c>
      <c r="AX1124" s="223">
        <v>63.85</v>
      </c>
      <c r="CK1124" s="22">
        <f t="shared" si="112"/>
        <v>600</v>
      </c>
      <c r="CL1124" s="3">
        <f t="shared" si="113"/>
        <v>0</v>
      </c>
      <c r="CM1124" s="222">
        <f t="shared" si="114"/>
        <v>13262</v>
      </c>
      <c r="CN1124" s="3" t="str">
        <f t="shared" si="115"/>
        <v>برنامج دولى</v>
      </c>
    </row>
    <row r="1125" spans="4:92" x14ac:dyDescent="0.25">
      <c r="D1125" s="224">
        <v>20610</v>
      </c>
      <c r="E1125" s="224">
        <v>13263</v>
      </c>
      <c r="F1125" s="250" t="s">
        <v>78</v>
      </c>
      <c r="G1125" s="223" t="s">
        <v>5559</v>
      </c>
      <c r="I1125" s="223">
        <v>4989.18</v>
      </c>
      <c r="AV1125" s="22">
        <f t="shared" si="111"/>
        <v>4989.18</v>
      </c>
      <c r="AW1125" s="223">
        <v>3863.53</v>
      </c>
      <c r="AX1125" s="223">
        <v>488.3</v>
      </c>
      <c r="AY1125" s="223">
        <v>637.35</v>
      </c>
      <c r="CK1125" s="22">
        <f t="shared" si="112"/>
        <v>4989.18</v>
      </c>
      <c r="CL1125" s="3">
        <f t="shared" si="113"/>
        <v>0</v>
      </c>
      <c r="CM1125" s="222">
        <f t="shared" si="114"/>
        <v>13263</v>
      </c>
      <c r="CN1125" s="3" t="str">
        <f t="shared" si="115"/>
        <v>برنامج دولى</v>
      </c>
    </row>
    <row r="1126" spans="4:92" x14ac:dyDescent="0.25">
      <c r="D1126" s="224">
        <v>20611</v>
      </c>
      <c r="E1126" s="224">
        <v>13264</v>
      </c>
      <c r="F1126" s="250" t="s">
        <v>78</v>
      </c>
      <c r="G1126" s="223" t="s">
        <v>5560</v>
      </c>
      <c r="I1126" s="223">
        <v>15026.38</v>
      </c>
      <c r="AV1126" s="22">
        <f t="shared" si="111"/>
        <v>15026.38</v>
      </c>
      <c r="AW1126" s="223">
        <v>13372.23</v>
      </c>
      <c r="AX1126" s="223">
        <v>1610.95</v>
      </c>
      <c r="AY1126" s="223">
        <v>43.2</v>
      </c>
      <c r="CK1126" s="22">
        <f t="shared" si="112"/>
        <v>15026.380000000001</v>
      </c>
      <c r="CL1126" s="3">
        <f t="shared" si="113"/>
        <v>0</v>
      </c>
      <c r="CM1126" s="222">
        <f t="shared" si="114"/>
        <v>13264</v>
      </c>
      <c r="CN1126" s="3" t="str">
        <f t="shared" si="115"/>
        <v>برنامج دولى</v>
      </c>
    </row>
    <row r="1127" spans="4:92" x14ac:dyDescent="0.25">
      <c r="D1127" s="224">
        <v>20612</v>
      </c>
      <c r="E1127" s="224">
        <v>13265</v>
      </c>
      <c r="F1127" s="250" t="s">
        <v>78</v>
      </c>
      <c r="G1127" s="223" t="s">
        <v>5560</v>
      </c>
      <c r="I1127" s="223">
        <v>6000</v>
      </c>
      <c r="AV1127" s="22">
        <f t="shared" si="111"/>
        <v>6000</v>
      </c>
      <c r="AW1127" s="223">
        <v>5352.4</v>
      </c>
      <c r="AX1127" s="223">
        <v>647.6</v>
      </c>
      <c r="CK1127" s="22">
        <f t="shared" si="112"/>
        <v>6000</v>
      </c>
      <c r="CL1127" s="3">
        <f t="shared" si="113"/>
        <v>0</v>
      </c>
      <c r="CM1127" s="222">
        <f t="shared" si="114"/>
        <v>13265</v>
      </c>
      <c r="CN1127" s="3" t="str">
        <f t="shared" si="115"/>
        <v>برنامج دولى</v>
      </c>
    </row>
    <row r="1128" spans="4:92" x14ac:dyDescent="0.25">
      <c r="D1128" s="224">
        <v>20614</v>
      </c>
      <c r="E1128" s="224">
        <v>13266</v>
      </c>
      <c r="F1128" s="250" t="s">
        <v>78</v>
      </c>
      <c r="G1128" s="223" t="s">
        <v>5560</v>
      </c>
      <c r="I1128" s="223">
        <v>4103.75</v>
      </c>
      <c r="AV1128" s="22">
        <f t="shared" si="111"/>
        <v>4103.75</v>
      </c>
      <c r="AW1128" s="223">
        <v>2742.35</v>
      </c>
      <c r="AX1128" s="223">
        <v>372.65</v>
      </c>
      <c r="AY1128" s="223">
        <v>988.75</v>
      </c>
      <c r="CK1128" s="22">
        <f t="shared" si="112"/>
        <v>4103.75</v>
      </c>
      <c r="CL1128" s="3">
        <f t="shared" si="113"/>
        <v>0</v>
      </c>
      <c r="CM1128" s="222">
        <f t="shared" si="114"/>
        <v>13266</v>
      </c>
      <c r="CN1128" s="3" t="str">
        <f t="shared" si="115"/>
        <v>برنامج دولى</v>
      </c>
    </row>
    <row r="1129" spans="4:92" x14ac:dyDescent="0.25">
      <c r="D1129" s="224">
        <v>20613</v>
      </c>
      <c r="E1129" s="224">
        <v>13267</v>
      </c>
      <c r="F1129" s="250" t="s">
        <v>78</v>
      </c>
      <c r="G1129" s="223" t="s">
        <v>5560</v>
      </c>
      <c r="I1129" s="223">
        <v>1758.75</v>
      </c>
      <c r="AV1129" s="22">
        <f t="shared" si="111"/>
        <v>1758.75</v>
      </c>
      <c r="AW1129" s="223">
        <v>1175.3499999999999</v>
      </c>
      <c r="AX1129" s="223">
        <v>159.65</v>
      </c>
      <c r="AY1129" s="223">
        <v>423.75</v>
      </c>
      <c r="CK1129" s="22">
        <f t="shared" si="112"/>
        <v>1758.75</v>
      </c>
      <c r="CL1129" s="3">
        <f t="shared" si="113"/>
        <v>0</v>
      </c>
      <c r="CM1129" s="222">
        <f t="shared" si="114"/>
        <v>13267</v>
      </c>
      <c r="CN1129" s="3" t="str">
        <f t="shared" si="115"/>
        <v>برنامج دولى</v>
      </c>
    </row>
    <row r="1130" spans="4:92" x14ac:dyDescent="0.25">
      <c r="D1130" s="224">
        <v>20615</v>
      </c>
      <c r="E1130" s="224">
        <v>13268</v>
      </c>
      <c r="F1130" s="250" t="s">
        <v>78</v>
      </c>
      <c r="G1130" s="223" t="s">
        <v>5560</v>
      </c>
      <c r="I1130" s="223">
        <v>879.38</v>
      </c>
      <c r="AV1130" s="22">
        <f t="shared" si="111"/>
        <v>879.38</v>
      </c>
      <c r="AW1130" s="223">
        <v>588.15</v>
      </c>
      <c r="AX1130" s="223">
        <v>79.349999999999994</v>
      </c>
      <c r="AY1130" s="223">
        <v>211.88</v>
      </c>
      <c r="CK1130" s="22">
        <f t="shared" si="112"/>
        <v>879.38</v>
      </c>
      <c r="CL1130" s="3">
        <f t="shared" si="113"/>
        <v>0</v>
      </c>
      <c r="CM1130" s="222">
        <f t="shared" si="114"/>
        <v>13268</v>
      </c>
      <c r="CN1130" s="3" t="str">
        <f t="shared" si="115"/>
        <v>برنامج دولى</v>
      </c>
    </row>
    <row r="1131" spans="4:92" x14ac:dyDescent="0.25">
      <c r="D1131" s="224">
        <v>20616</v>
      </c>
      <c r="E1131" s="224">
        <v>13269</v>
      </c>
      <c r="F1131" s="250" t="s">
        <v>78</v>
      </c>
      <c r="G1131" s="223" t="s">
        <v>5561</v>
      </c>
      <c r="I1131" s="223">
        <v>500</v>
      </c>
      <c r="AV1131" s="22">
        <f t="shared" si="111"/>
        <v>500</v>
      </c>
      <c r="AW1131" s="223">
        <v>447.05</v>
      </c>
      <c r="AX1131" s="223">
        <v>52.95</v>
      </c>
      <c r="CK1131" s="22">
        <f t="shared" si="112"/>
        <v>500</v>
      </c>
      <c r="CL1131" s="3">
        <f t="shared" si="113"/>
        <v>0</v>
      </c>
      <c r="CM1131" s="222">
        <f t="shared" si="114"/>
        <v>13269</v>
      </c>
      <c r="CN1131" s="3" t="str">
        <f t="shared" si="115"/>
        <v>برنامج دولى</v>
      </c>
    </row>
    <row r="1132" spans="4:92" x14ac:dyDescent="0.25">
      <c r="D1132" s="224">
        <v>20617</v>
      </c>
      <c r="E1132" s="224">
        <v>13270</v>
      </c>
      <c r="F1132" s="250" t="s">
        <v>78</v>
      </c>
      <c r="G1132" s="223" t="s">
        <v>5562</v>
      </c>
      <c r="I1132" s="223">
        <v>1000</v>
      </c>
      <c r="AV1132" s="22">
        <f t="shared" si="111"/>
        <v>1000</v>
      </c>
      <c r="AW1132" s="223">
        <v>893.35</v>
      </c>
      <c r="AX1132" s="223">
        <v>106.65</v>
      </c>
      <c r="CK1132" s="22">
        <f t="shared" si="112"/>
        <v>1000</v>
      </c>
      <c r="CL1132" s="3">
        <f t="shared" si="113"/>
        <v>0</v>
      </c>
      <c r="CM1132" s="222">
        <f t="shared" si="114"/>
        <v>13270</v>
      </c>
      <c r="CN1132" s="3" t="str">
        <f t="shared" si="115"/>
        <v>برنامج دولى</v>
      </c>
    </row>
    <row r="1133" spans="4:92" x14ac:dyDescent="0.25">
      <c r="D1133" s="224">
        <v>20618</v>
      </c>
      <c r="E1133" s="224">
        <v>13271</v>
      </c>
      <c r="F1133" s="250" t="s">
        <v>78</v>
      </c>
      <c r="G1133" s="223" t="s">
        <v>5563</v>
      </c>
      <c r="I1133" s="223">
        <v>4700</v>
      </c>
      <c r="AV1133" s="22">
        <f t="shared" si="111"/>
        <v>4700</v>
      </c>
      <c r="AW1133" s="223">
        <v>4195.8</v>
      </c>
      <c r="AX1133" s="223">
        <v>504.2</v>
      </c>
      <c r="CK1133" s="22">
        <f t="shared" si="112"/>
        <v>4700</v>
      </c>
      <c r="CL1133" s="3">
        <f t="shared" si="113"/>
        <v>0</v>
      </c>
      <c r="CM1133" s="222">
        <f t="shared" si="114"/>
        <v>13271</v>
      </c>
      <c r="CN1133" s="3" t="str">
        <f t="shared" si="115"/>
        <v>برنامج دولى</v>
      </c>
    </row>
    <row r="1134" spans="4:92" x14ac:dyDescent="0.25">
      <c r="D1134" s="224">
        <v>20619</v>
      </c>
      <c r="E1134" s="224">
        <v>13272</v>
      </c>
      <c r="F1134" s="250" t="s">
        <v>78</v>
      </c>
      <c r="G1134" s="223" t="s">
        <v>5563</v>
      </c>
      <c r="I1134" s="223">
        <v>8322.48</v>
      </c>
      <c r="AV1134" s="22">
        <f t="shared" si="111"/>
        <v>8322.48</v>
      </c>
      <c r="AW1134" s="223">
        <v>6480.7</v>
      </c>
      <c r="AX1134" s="223">
        <v>822.35</v>
      </c>
      <c r="AY1134" s="223">
        <v>1019.43</v>
      </c>
      <c r="CK1134" s="22">
        <f t="shared" si="112"/>
        <v>8322.48</v>
      </c>
      <c r="CL1134" s="3">
        <f t="shared" si="113"/>
        <v>0</v>
      </c>
      <c r="CM1134" s="222">
        <f t="shared" si="114"/>
        <v>13272</v>
      </c>
      <c r="CN1134" s="3" t="str">
        <f t="shared" si="115"/>
        <v>برنامج دولى</v>
      </c>
    </row>
    <row r="1135" spans="4:92" x14ac:dyDescent="0.25">
      <c r="D1135" s="224">
        <v>20620</v>
      </c>
      <c r="E1135" s="224">
        <v>13273</v>
      </c>
      <c r="F1135" s="250" t="s">
        <v>78</v>
      </c>
      <c r="G1135" s="223" t="s">
        <v>5563</v>
      </c>
      <c r="I1135" s="223">
        <v>1868.92</v>
      </c>
      <c r="AV1135" s="22">
        <f t="shared" si="111"/>
        <v>1868.92</v>
      </c>
      <c r="AW1135" s="223">
        <v>1259.17</v>
      </c>
      <c r="AX1135" s="223">
        <v>169.35</v>
      </c>
      <c r="AY1135" s="223">
        <v>440.4</v>
      </c>
      <c r="CK1135" s="22">
        <f t="shared" si="112"/>
        <v>1868.92</v>
      </c>
      <c r="CL1135" s="3">
        <f t="shared" si="113"/>
        <v>0</v>
      </c>
      <c r="CM1135" s="222">
        <f t="shared" si="114"/>
        <v>13273</v>
      </c>
      <c r="CN1135" s="3" t="str">
        <f t="shared" si="115"/>
        <v>برنامج دولى</v>
      </c>
    </row>
    <row r="1136" spans="4:92" x14ac:dyDescent="0.25">
      <c r="D1136" s="224">
        <v>20621</v>
      </c>
      <c r="E1136" s="224">
        <v>13274</v>
      </c>
      <c r="F1136" s="250" t="s">
        <v>78</v>
      </c>
      <c r="G1136" s="223" t="s">
        <v>2574</v>
      </c>
      <c r="I1136" s="223">
        <v>1600</v>
      </c>
      <c r="AV1136" s="22">
        <f t="shared" si="111"/>
        <v>1600</v>
      </c>
      <c r="AW1136" s="223">
        <v>1429.5</v>
      </c>
      <c r="AX1136" s="223">
        <v>170.5</v>
      </c>
      <c r="CK1136" s="22">
        <f t="shared" si="112"/>
        <v>1600</v>
      </c>
      <c r="CL1136" s="3">
        <f t="shared" si="113"/>
        <v>0</v>
      </c>
      <c r="CM1136" s="222">
        <f t="shared" si="114"/>
        <v>13274</v>
      </c>
      <c r="CN1136" s="3" t="str">
        <f t="shared" si="115"/>
        <v>برنامج دولى</v>
      </c>
    </row>
    <row r="1137" spans="3:92" x14ac:dyDescent="0.25">
      <c r="D1137" s="224">
        <v>20622</v>
      </c>
      <c r="E1137" s="224">
        <v>13275</v>
      </c>
      <c r="F1137" s="250" t="s">
        <v>78</v>
      </c>
      <c r="G1137" s="223" t="s">
        <v>2574</v>
      </c>
      <c r="I1137" s="223">
        <v>800</v>
      </c>
      <c r="AV1137" s="22">
        <f t="shared" si="111"/>
        <v>800</v>
      </c>
      <c r="AW1137" s="223">
        <v>714.75</v>
      </c>
      <c r="AX1137" s="223">
        <v>85.25</v>
      </c>
      <c r="CK1137" s="22">
        <f t="shared" si="112"/>
        <v>800</v>
      </c>
      <c r="CL1137" s="3">
        <f t="shared" si="113"/>
        <v>0</v>
      </c>
      <c r="CM1137" s="222">
        <f t="shared" si="114"/>
        <v>13275</v>
      </c>
      <c r="CN1137" s="3" t="str">
        <f t="shared" si="115"/>
        <v>برنامج دولى</v>
      </c>
    </row>
    <row r="1138" spans="3:92" x14ac:dyDescent="0.25">
      <c r="D1138" s="224">
        <v>20623</v>
      </c>
      <c r="E1138" s="224">
        <v>13276</v>
      </c>
      <c r="F1138" s="250" t="s">
        <v>78</v>
      </c>
      <c r="G1138" s="223" t="s">
        <v>5564</v>
      </c>
      <c r="I1138" s="223">
        <v>3000</v>
      </c>
      <c r="AV1138" s="22">
        <f t="shared" si="111"/>
        <v>3000</v>
      </c>
      <c r="AW1138" s="223">
        <v>2677.85</v>
      </c>
      <c r="AX1138" s="223">
        <v>322.14999999999998</v>
      </c>
      <c r="CK1138" s="22">
        <f t="shared" si="112"/>
        <v>3000</v>
      </c>
      <c r="CL1138" s="3">
        <f t="shared" si="113"/>
        <v>0</v>
      </c>
      <c r="CM1138" s="222">
        <f t="shared" si="114"/>
        <v>13276</v>
      </c>
      <c r="CN1138" s="3" t="str">
        <f t="shared" si="115"/>
        <v>برنامج دولى</v>
      </c>
    </row>
    <row r="1139" spans="3:92" x14ac:dyDescent="0.25">
      <c r="D1139" s="224">
        <v>20624</v>
      </c>
      <c r="E1139" s="224">
        <v>13277</v>
      </c>
      <c r="F1139" s="250" t="s">
        <v>78</v>
      </c>
      <c r="G1139" s="223" t="s">
        <v>5564</v>
      </c>
      <c r="I1139" s="223">
        <v>4533.9399999999996</v>
      </c>
      <c r="AV1139" s="22">
        <f t="shared" si="111"/>
        <v>4533.9399999999996</v>
      </c>
      <c r="AW1139" s="223">
        <v>3996.3</v>
      </c>
      <c r="AX1139" s="223">
        <v>482.05</v>
      </c>
      <c r="AY1139" s="223">
        <v>55.59</v>
      </c>
      <c r="CK1139" s="22">
        <f t="shared" si="112"/>
        <v>4533.9400000000005</v>
      </c>
      <c r="CL1139" s="3">
        <f t="shared" si="113"/>
        <v>0</v>
      </c>
      <c r="CM1139" s="222">
        <f t="shared" si="114"/>
        <v>13277</v>
      </c>
      <c r="CN1139" s="3" t="str">
        <f t="shared" si="115"/>
        <v>برنامج دولى</v>
      </c>
    </row>
    <row r="1140" spans="3:92" x14ac:dyDescent="0.25">
      <c r="D1140" s="224">
        <v>20625</v>
      </c>
      <c r="E1140" s="224">
        <v>13278</v>
      </c>
      <c r="F1140" s="250" t="s">
        <v>78</v>
      </c>
      <c r="G1140" s="223" t="s">
        <v>5564</v>
      </c>
      <c r="I1140" s="223">
        <v>2500</v>
      </c>
      <c r="AV1140" s="22">
        <f t="shared" si="111"/>
        <v>2500</v>
      </c>
      <c r="AW1140" s="223">
        <v>2231.6</v>
      </c>
      <c r="AX1140" s="223">
        <v>268.39999999999998</v>
      </c>
      <c r="CK1140" s="22">
        <f t="shared" si="112"/>
        <v>2500</v>
      </c>
      <c r="CL1140" s="3">
        <f t="shared" si="113"/>
        <v>0</v>
      </c>
      <c r="CM1140" s="222">
        <f t="shared" si="114"/>
        <v>13278</v>
      </c>
      <c r="CN1140" s="3" t="str">
        <f t="shared" si="115"/>
        <v>برنامج دولى</v>
      </c>
    </row>
    <row r="1141" spans="3:92" x14ac:dyDescent="0.25">
      <c r="D1141" s="224">
        <v>20626</v>
      </c>
      <c r="E1141" s="224">
        <v>13279</v>
      </c>
      <c r="F1141" s="250" t="s">
        <v>78</v>
      </c>
      <c r="G1141" s="223" t="s">
        <v>665</v>
      </c>
      <c r="I1141" s="223">
        <v>351.75</v>
      </c>
      <c r="AV1141" s="22">
        <f t="shared" si="111"/>
        <v>351.75</v>
      </c>
      <c r="AW1141" s="223">
        <v>235.55</v>
      </c>
      <c r="AX1141" s="223">
        <v>31.45</v>
      </c>
      <c r="AY1141" s="223">
        <v>84.75</v>
      </c>
      <c r="CK1141" s="22">
        <f t="shared" si="112"/>
        <v>351.75</v>
      </c>
      <c r="CL1141" s="3">
        <f t="shared" si="113"/>
        <v>0</v>
      </c>
      <c r="CM1141" s="222">
        <f t="shared" si="114"/>
        <v>13279</v>
      </c>
      <c r="CN1141" s="3" t="str">
        <f t="shared" si="115"/>
        <v>برنامج دولى</v>
      </c>
    </row>
    <row r="1142" spans="3:92" x14ac:dyDescent="0.25">
      <c r="D1142" s="224">
        <v>20627</v>
      </c>
      <c r="E1142" s="224">
        <v>13280</v>
      </c>
      <c r="F1142" s="250" t="s">
        <v>78</v>
      </c>
      <c r="G1142" s="223" t="s">
        <v>885</v>
      </c>
      <c r="I1142" s="223">
        <v>3862.25</v>
      </c>
      <c r="AV1142" s="22">
        <f t="shared" si="111"/>
        <v>3862.25</v>
      </c>
      <c r="AW1142" s="223">
        <v>2971.8</v>
      </c>
      <c r="AX1142" s="223">
        <v>297.2</v>
      </c>
      <c r="AY1142" s="223">
        <v>593.25</v>
      </c>
      <c r="CK1142" s="22">
        <f t="shared" si="112"/>
        <v>3862.25</v>
      </c>
      <c r="CL1142" s="3">
        <f t="shared" si="113"/>
        <v>0</v>
      </c>
      <c r="CM1142" s="222">
        <f t="shared" si="114"/>
        <v>13280</v>
      </c>
      <c r="CN1142" s="3" t="str">
        <f t="shared" si="115"/>
        <v>برنامج دولى</v>
      </c>
    </row>
    <row r="1143" spans="3:92" x14ac:dyDescent="0.25">
      <c r="D1143" s="224">
        <v>20628</v>
      </c>
      <c r="E1143" s="224">
        <v>13281</v>
      </c>
      <c r="F1143" s="250" t="s">
        <v>78</v>
      </c>
      <c r="G1143" s="223" t="s">
        <v>885</v>
      </c>
      <c r="I1143" s="223">
        <v>2365.9299999999998</v>
      </c>
      <c r="AV1143" s="22">
        <f t="shared" si="111"/>
        <v>2365.9299999999998</v>
      </c>
      <c r="AW1143" s="223">
        <v>1707.88</v>
      </c>
      <c r="AX1143" s="223">
        <v>222.55</v>
      </c>
      <c r="AY1143" s="223">
        <v>435.5</v>
      </c>
      <c r="CK1143" s="22">
        <f t="shared" si="112"/>
        <v>2365.9300000000003</v>
      </c>
      <c r="CL1143" s="3">
        <f t="shared" si="113"/>
        <v>0</v>
      </c>
      <c r="CM1143" s="222">
        <f t="shared" si="114"/>
        <v>13281</v>
      </c>
      <c r="CN1143" s="3" t="str">
        <f t="shared" si="115"/>
        <v>برنامج دولى</v>
      </c>
    </row>
    <row r="1144" spans="3:92" x14ac:dyDescent="0.25">
      <c r="D1144" s="224">
        <v>20629</v>
      </c>
      <c r="E1144" s="224">
        <v>13282</v>
      </c>
      <c r="F1144" s="250" t="s">
        <v>78</v>
      </c>
      <c r="G1144" s="223" t="s">
        <v>885</v>
      </c>
      <c r="I1144" s="223">
        <v>1366.72</v>
      </c>
      <c r="AV1144" s="22">
        <f t="shared" si="111"/>
        <v>1366.72</v>
      </c>
      <c r="AW1144" s="223">
        <v>965.85</v>
      </c>
      <c r="AX1144" s="223">
        <v>127.85</v>
      </c>
      <c r="AY1144" s="223">
        <v>273.02</v>
      </c>
      <c r="CK1144" s="22">
        <f t="shared" si="112"/>
        <v>1366.72</v>
      </c>
      <c r="CL1144" s="3">
        <f t="shared" si="113"/>
        <v>0</v>
      </c>
      <c r="CM1144" s="222">
        <f t="shared" si="114"/>
        <v>13282</v>
      </c>
      <c r="CN1144" s="3" t="str">
        <f t="shared" si="115"/>
        <v>برنامج دولى</v>
      </c>
    </row>
    <row r="1145" spans="3:92" x14ac:dyDescent="0.25">
      <c r="D1145" s="224">
        <v>20630</v>
      </c>
      <c r="E1145" s="224">
        <v>13283</v>
      </c>
      <c r="F1145" s="250" t="s">
        <v>78</v>
      </c>
      <c r="G1145" s="223" t="s">
        <v>885</v>
      </c>
      <c r="I1145" s="223">
        <v>1400</v>
      </c>
      <c r="AV1145" s="22">
        <f t="shared" si="111"/>
        <v>1400</v>
      </c>
      <c r="AW1145" s="223">
        <v>1250.9000000000001</v>
      </c>
      <c r="AX1145" s="223">
        <v>149.1</v>
      </c>
      <c r="CK1145" s="22">
        <f t="shared" si="112"/>
        <v>1400</v>
      </c>
      <c r="CL1145" s="3">
        <f t="shared" si="113"/>
        <v>0</v>
      </c>
      <c r="CM1145" s="222">
        <f t="shared" si="114"/>
        <v>13283</v>
      </c>
      <c r="CN1145" s="3" t="str">
        <f t="shared" si="115"/>
        <v>برنامج دولى</v>
      </c>
    </row>
    <row r="1146" spans="3:92" x14ac:dyDescent="0.25">
      <c r="D1146" s="224">
        <v>20891</v>
      </c>
      <c r="E1146" s="224">
        <v>13284</v>
      </c>
      <c r="F1146" s="250" t="s">
        <v>78</v>
      </c>
      <c r="G1146" s="223" t="s">
        <v>5565</v>
      </c>
      <c r="I1146" s="223">
        <v>3500</v>
      </c>
      <c r="AV1146" s="22">
        <f t="shared" si="111"/>
        <v>3500</v>
      </c>
      <c r="AW1146" s="223">
        <v>3124.1</v>
      </c>
      <c r="AX1146" s="223">
        <v>375.9</v>
      </c>
      <c r="CK1146" s="22">
        <f t="shared" si="112"/>
        <v>3500</v>
      </c>
      <c r="CL1146" s="3">
        <f t="shared" si="113"/>
        <v>0</v>
      </c>
      <c r="CM1146" s="222">
        <f t="shared" si="114"/>
        <v>13284</v>
      </c>
      <c r="CN1146" s="3" t="str">
        <f t="shared" si="115"/>
        <v>برنامج دولى</v>
      </c>
    </row>
    <row r="1147" spans="3:92" x14ac:dyDescent="0.25">
      <c r="D1147" s="224">
        <v>20689</v>
      </c>
      <c r="E1147" s="224">
        <v>13285</v>
      </c>
      <c r="F1147" s="250" t="s">
        <v>78</v>
      </c>
      <c r="G1147" s="223" t="s">
        <v>5566</v>
      </c>
      <c r="I1147" s="223">
        <v>64277.3</v>
      </c>
      <c r="AV1147" s="22">
        <f t="shared" si="111"/>
        <v>64277.3</v>
      </c>
      <c r="AW1147" s="223">
        <v>42947.92</v>
      </c>
      <c r="AX1147" s="223">
        <f>360.35+5482.07</f>
        <v>5842.42</v>
      </c>
      <c r="AY1147" s="223">
        <v>15486.96</v>
      </c>
      <c r="CK1147" s="22">
        <f t="shared" si="112"/>
        <v>64277.299999999996</v>
      </c>
      <c r="CL1147" s="3">
        <f t="shared" si="113"/>
        <v>0</v>
      </c>
      <c r="CM1147" s="222">
        <f t="shared" si="114"/>
        <v>13285</v>
      </c>
      <c r="CN1147" s="3" t="str">
        <f t="shared" si="115"/>
        <v>برنامج دولى</v>
      </c>
    </row>
    <row r="1148" spans="3:92" x14ac:dyDescent="0.25">
      <c r="D1148" s="224">
        <v>20120</v>
      </c>
      <c r="E1148" s="224">
        <v>13286</v>
      </c>
      <c r="F1148" s="250" t="s">
        <v>78</v>
      </c>
      <c r="G1148" s="223" t="s">
        <v>3177</v>
      </c>
      <c r="I1148" s="223">
        <v>34486.65</v>
      </c>
      <c r="AV1148" s="22">
        <f t="shared" si="111"/>
        <v>34486.65</v>
      </c>
      <c r="AW1148" s="223">
        <v>30483.3</v>
      </c>
      <c r="AX1148" s="223">
        <v>3681.3</v>
      </c>
      <c r="AY1148" s="223">
        <v>322.05</v>
      </c>
      <c r="CK1148" s="22">
        <f t="shared" si="112"/>
        <v>34486.65</v>
      </c>
      <c r="CL1148" s="3">
        <f t="shared" si="113"/>
        <v>0</v>
      </c>
      <c r="CM1148" s="222">
        <f t="shared" si="114"/>
        <v>13286</v>
      </c>
      <c r="CN1148" s="3" t="str">
        <f t="shared" si="115"/>
        <v>برنامج دولى</v>
      </c>
    </row>
    <row r="1149" spans="3:92" x14ac:dyDescent="0.25">
      <c r="C1149" s="223" t="s">
        <v>5568</v>
      </c>
      <c r="D1149" s="224">
        <v>22280</v>
      </c>
      <c r="E1149" s="224">
        <v>13287</v>
      </c>
      <c r="F1149" s="250" t="s">
        <v>78</v>
      </c>
      <c r="G1149" s="223" t="s">
        <v>5567</v>
      </c>
      <c r="I1149" s="223">
        <v>4191.47</v>
      </c>
      <c r="AV1149" s="22">
        <f t="shared" si="111"/>
        <v>4191.47</v>
      </c>
      <c r="AW1149" s="223">
        <v>3494.24</v>
      </c>
      <c r="AX1149" s="223">
        <v>424.6</v>
      </c>
      <c r="AY1149" s="223">
        <v>272.63</v>
      </c>
      <c r="CK1149" s="22">
        <f t="shared" si="112"/>
        <v>4191.4699999999993</v>
      </c>
      <c r="CL1149" s="3">
        <f t="shared" si="113"/>
        <v>0</v>
      </c>
      <c r="CM1149" s="222">
        <f t="shared" si="114"/>
        <v>13287</v>
      </c>
      <c r="CN1149" s="3" t="str">
        <f t="shared" si="115"/>
        <v>برنامج دولى</v>
      </c>
    </row>
    <row r="1150" spans="3:92" x14ac:dyDescent="0.25">
      <c r="C1150" s="223" t="s">
        <v>5568</v>
      </c>
      <c r="D1150" s="224">
        <v>22279</v>
      </c>
      <c r="E1150" s="224">
        <v>13288</v>
      </c>
      <c r="F1150" s="250" t="s">
        <v>78</v>
      </c>
      <c r="G1150" s="223" t="s">
        <v>5567</v>
      </c>
      <c r="I1150" s="223">
        <v>250</v>
      </c>
      <c r="AV1150" s="22">
        <f t="shared" si="111"/>
        <v>250</v>
      </c>
      <c r="AW1150" s="223">
        <v>223.8</v>
      </c>
      <c r="AX1150" s="223">
        <v>26.2</v>
      </c>
      <c r="CK1150" s="22">
        <f t="shared" si="112"/>
        <v>250</v>
      </c>
      <c r="CL1150" s="3">
        <f t="shared" si="113"/>
        <v>0</v>
      </c>
      <c r="CM1150" s="222">
        <f t="shared" si="114"/>
        <v>13288</v>
      </c>
      <c r="CN1150" s="3" t="str">
        <f t="shared" si="115"/>
        <v>برنامج دولى</v>
      </c>
    </row>
    <row r="1151" spans="3:92" x14ac:dyDescent="0.25">
      <c r="C1151" s="223" t="s">
        <v>5568</v>
      </c>
      <c r="D1151" s="224">
        <v>22278</v>
      </c>
      <c r="E1151" s="224">
        <v>13289</v>
      </c>
      <c r="F1151" s="250" t="s">
        <v>78</v>
      </c>
      <c r="G1151" s="223" t="s">
        <v>5567</v>
      </c>
      <c r="I1151" s="223">
        <v>650</v>
      </c>
      <c r="AV1151" s="22">
        <f t="shared" si="111"/>
        <v>650</v>
      </c>
      <c r="AW1151" s="223">
        <v>580.79999999999995</v>
      </c>
      <c r="AX1151" s="223">
        <v>69.2</v>
      </c>
      <c r="CK1151" s="22">
        <f t="shared" si="112"/>
        <v>650</v>
      </c>
      <c r="CL1151" s="3">
        <f t="shared" si="113"/>
        <v>0</v>
      </c>
      <c r="CM1151" s="222">
        <f t="shared" si="114"/>
        <v>13289</v>
      </c>
      <c r="CN1151" s="3" t="str">
        <f t="shared" si="115"/>
        <v>برنامج دولى</v>
      </c>
    </row>
    <row r="1152" spans="3:92" x14ac:dyDescent="0.25">
      <c r="C1152" s="223" t="s">
        <v>5568</v>
      </c>
      <c r="D1152" s="224">
        <v>22276</v>
      </c>
      <c r="E1152" s="224">
        <v>13290</v>
      </c>
      <c r="F1152" s="250" t="s">
        <v>78</v>
      </c>
      <c r="G1152" s="223" t="s">
        <v>5567</v>
      </c>
      <c r="I1152" s="223">
        <v>10477.799999999999</v>
      </c>
      <c r="AV1152" s="22">
        <f t="shared" ref="AV1152:AV1216" si="116">SUM(I1152:AU1152)</f>
        <v>10477.799999999999</v>
      </c>
      <c r="AW1152" s="223">
        <v>9208.7900000000009</v>
      </c>
      <c r="AX1152" s="223">
        <v>1100.6500000000001</v>
      </c>
      <c r="AY1152" s="223">
        <v>168.36</v>
      </c>
      <c r="CK1152" s="22">
        <f t="shared" si="112"/>
        <v>10477.800000000001</v>
      </c>
      <c r="CL1152" s="3">
        <f t="shared" si="113"/>
        <v>0</v>
      </c>
      <c r="CM1152" s="222">
        <f t="shared" si="114"/>
        <v>13290</v>
      </c>
      <c r="CN1152" s="3" t="str">
        <f t="shared" si="115"/>
        <v>برنامج دولى</v>
      </c>
    </row>
    <row r="1153" spans="2:92" x14ac:dyDescent="0.25">
      <c r="C1153" s="223" t="s">
        <v>5568</v>
      </c>
      <c r="D1153" s="224">
        <v>22268</v>
      </c>
      <c r="E1153" s="224">
        <v>13291</v>
      </c>
      <c r="F1153" s="250" t="s">
        <v>78</v>
      </c>
      <c r="G1153" s="223" t="s">
        <v>5567</v>
      </c>
      <c r="I1153" s="223">
        <v>18120</v>
      </c>
      <c r="AV1153" s="22">
        <f t="shared" si="116"/>
        <v>18120</v>
      </c>
      <c r="AW1153" s="223">
        <v>16183.05</v>
      </c>
      <c r="AX1153" s="223">
        <v>1936.95</v>
      </c>
      <c r="CK1153" s="22">
        <f t="shared" si="112"/>
        <v>18120</v>
      </c>
      <c r="CL1153" s="3">
        <f t="shared" si="113"/>
        <v>0</v>
      </c>
      <c r="CM1153" s="222">
        <f t="shared" si="114"/>
        <v>13291</v>
      </c>
      <c r="CN1153" s="3" t="str">
        <f t="shared" si="115"/>
        <v>برنامج دولى</v>
      </c>
    </row>
    <row r="1154" spans="2:92" x14ac:dyDescent="0.25">
      <c r="C1154" s="223" t="s">
        <v>5568</v>
      </c>
      <c r="D1154" s="224">
        <v>22269</v>
      </c>
      <c r="E1154" s="224">
        <v>13292</v>
      </c>
      <c r="F1154" s="250" t="s">
        <v>78</v>
      </c>
      <c r="G1154" s="223" t="s">
        <v>5567</v>
      </c>
      <c r="I1154" s="223">
        <v>2055.04</v>
      </c>
      <c r="AV1154" s="22">
        <f t="shared" si="116"/>
        <v>2055.04</v>
      </c>
      <c r="AW1154" s="223">
        <v>1720</v>
      </c>
      <c r="AX1154" s="223">
        <v>212.15</v>
      </c>
      <c r="AY1154" s="223">
        <v>122.89</v>
      </c>
      <c r="CK1154" s="22">
        <f t="shared" si="112"/>
        <v>2055.04</v>
      </c>
      <c r="CL1154" s="3">
        <f t="shared" si="113"/>
        <v>0</v>
      </c>
      <c r="CM1154" s="222">
        <f t="shared" si="114"/>
        <v>13292</v>
      </c>
      <c r="CN1154" s="3" t="str">
        <f t="shared" si="115"/>
        <v>برنامج دولى</v>
      </c>
    </row>
    <row r="1155" spans="2:92" x14ac:dyDescent="0.25">
      <c r="D1155" s="224">
        <v>21881</v>
      </c>
      <c r="E1155" s="224">
        <v>13293</v>
      </c>
      <c r="F1155" s="250" t="s">
        <v>119</v>
      </c>
      <c r="G1155" s="223" t="s">
        <v>5497</v>
      </c>
      <c r="M1155" s="223">
        <v>55600</v>
      </c>
      <c r="N1155" s="223">
        <v>55600</v>
      </c>
      <c r="O1155" s="223">
        <v>55600</v>
      </c>
      <c r="AV1155" s="22">
        <f t="shared" si="116"/>
        <v>166800</v>
      </c>
      <c r="AW1155" s="223">
        <v>49972.1</v>
      </c>
      <c r="AX1155" s="223">
        <f>433.75+1301.25+14.4</f>
        <v>1749.4</v>
      </c>
      <c r="AZ1155" s="223">
        <f>5+5</f>
        <v>10</v>
      </c>
      <c r="BM1155" s="223">
        <v>556</v>
      </c>
      <c r="BN1155" s="223">
        <v>32</v>
      </c>
      <c r="BO1155" s="223">
        <f>250.25*2</f>
        <v>500.5</v>
      </c>
      <c r="BQ1155" s="223">
        <v>2780</v>
      </c>
      <c r="BR1155" s="223">
        <v>55600</v>
      </c>
      <c r="BS1155" s="223">
        <v>55600</v>
      </c>
      <c r="CK1155" s="22">
        <f t="shared" si="112"/>
        <v>166800</v>
      </c>
      <c r="CL1155" s="3">
        <f t="shared" si="113"/>
        <v>0</v>
      </c>
      <c r="CM1155" s="222">
        <f t="shared" si="114"/>
        <v>13293</v>
      </c>
      <c r="CN1155" s="3" t="str">
        <f t="shared" si="115"/>
        <v>خ ت صيدلة</v>
      </c>
    </row>
    <row r="1156" spans="2:92" x14ac:dyDescent="0.25">
      <c r="D1156" s="224">
        <v>21880</v>
      </c>
      <c r="E1156" s="224">
        <v>13294</v>
      </c>
      <c r="F1156" s="250" t="s">
        <v>119</v>
      </c>
      <c r="G1156" s="223" t="s">
        <v>5498</v>
      </c>
      <c r="M1156" s="223">
        <v>24000</v>
      </c>
      <c r="N1156" s="223">
        <v>24000</v>
      </c>
      <c r="O1156" s="223">
        <v>24000</v>
      </c>
      <c r="AV1156" s="22">
        <f t="shared" si="116"/>
        <v>72000</v>
      </c>
      <c r="AW1156" s="223">
        <v>21320.3</v>
      </c>
      <c r="AX1156" s="223">
        <f>244+732+11.7</f>
        <v>987.7</v>
      </c>
      <c r="AZ1156" s="223">
        <v>10</v>
      </c>
      <c r="BM1156" s="223">
        <v>240</v>
      </c>
      <c r="BN1156" s="223">
        <v>26</v>
      </c>
      <c r="BO1156" s="223">
        <f>108*2</f>
        <v>216</v>
      </c>
      <c r="BQ1156" s="223">
        <v>1200</v>
      </c>
      <c r="BR1156" s="223">
        <v>24000</v>
      </c>
      <c r="BS1156" s="223">
        <v>24000</v>
      </c>
      <c r="CK1156" s="22">
        <f t="shared" si="112"/>
        <v>72000</v>
      </c>
      <c r="CL1156" s="3">
        <f t="shared" si="113"/>
        <v>0</v>
      </c>
      <c r="CM1156" s="222">
        <f t="shared" si="114"/>
        <v>13294</v>
      </c>
      <c r="CN1156" s="3" t="str">
        <f t="shared" si="115"/>
        <v>خ ت صيدلة</v>
      </c>
    </row>
    <row r="1157" spans="2:92" x14ac:dyDescent="0.25">
      <c r="D1157" s="224">
        <v>21884</v>
      </c>
      <c r="E1157" s="224">
        <v>13295</v>
      </c>
      <c r="F1157" s="250" t="s">
        <v>5144</v>
      </c>
      <c r="G1157" s="223" t="s">
        <v>5499</v>
      </c>
      <c r="M1157" s="223">
        <v>5280</v>
      </c>
      <c r="N1157" s="223">
        <v>5280</v>
      </c>
      <c r="O1157" s="223">
        <v>5280</v>
      </c>
      <c r="AV1157" s="22">
        <f t="shared" si="116"/>
        <v>15840</v>
      </c>
      <c r="AW1157" s="223">
        <v>4578.3999999999996</v>
      </c>
      <c r="AX1157" s="223">
        <f>83.75+251.25+12.6</f>
        <v>347.6</v>
      </c>
      <c r="AZ1157" s="223">
        <v>10</v>
      </c>
      <c r="BM1157" s="223">
        <v>52</v>
      </c>
      <c r="BN1157" s="223">
        <v>28</v>
      </c>
      <c r="BQ1157" s="223">
        <v>264</v>
      </c>
      <c r="BR1157" s="223">
        <v>5280</v>
      </c>
      <c r="BS1157" s="223">
        <v>5280</v>
      </c>
      <c r="CK1157" s="22">
        <f t="shared" si="112"/>
        <v>15840</v>
      </c>
      <c r="CL1157" s="3">
        <f t="shared" si="113"/>
        <v>0</v>
      </c>
      <c r="CM1157" s="222">
        <f t="shared" si="114"/>
        <v>13295</v>
      </c>
      <c r="CN1157" s="3" t="str">
        <f t="shared" si="115"/>
        <v>صيدلة اكلينكى</v>
      </c>
    </row>
    <row r="1158" spans="2:92" x14ac:dyDescent="0.25">
      <c r="D1158" s="224">
        <v>21879</v>
      </c>
      <c r="E1158" s="224">
        <v>13296</v>
      </c>
      <c r="F1158" s="250" t="s">
        <v>5144</v>
      </c>
      <c r="G1158" s="223" t="s">
        <v>5500</v>
      </c>
      <c r="J1158" s="223">
        <v>3285</v>
      </c>
      <c r="AV1158" s="22">
        <f t="shared" si="116"/>
        <v>3285</v>
      </c>
      <c r="AW1158" s="223">
        <v>3285</v>
      </c>
      <c r="CK1158" s="22">
        <f t="shared" si="112"/>
        <v>3285</v>
      </c>
      <c r="CL1158" s="3">
        <f t="shared" si="113"/>
        <v>0</v>
      </c>
      <c r="CM1158" s="222">
        <f t="shared" si="114"/>
        <v>13296</v>
      </c>
      <c r="CN1158" s="3" t="str">
        <f t="shared" si="115"/>
        <v>صيدلة اكلينكى</v>
      </c>
    </row>
    <row r="1159" spans="2:92" x14ac:dyDescent="0.25">
      <c r="B1159" s="223" t="s">
        <v>374</v>
      </c>
      <c r="D1159" s="224">
        <v>21882</v>
      </c>
      <c r="E1159" s="224">
        <v>13297</v>
      </c>
      <c r="F1159" s="250" t="s">
        <v>119</v>
      </c>
      <c r="G1159" s="223" t="s">
        <v>5501</v>
      </c>
      <c r="J1159" s="223">
        <v>19161.12</v>
      </c>
      <c r="AV1159" s="22">
        <f t="shared" si="116"/>
        <v>19161.12</v>
      </c>
      <c r="AW1159" s="223">
        <v>679.97</v>
      </c>
      <c r="AX1159" s="223">
        <f>18+602.55+200.85</f>
        <v>821.4</v>
      </c>
      <c r="AZ1159" s="223">
        <v>10</v>
      </c>
      <c r="BN1159" s="223">
        <v>40</v>
      </c>
      <c r="BO1159" s="223">
        <f>75.75*2</f>
        <v>151.5</v>
      </c>
      <c r="BQ1159" s="223">
        <v>958.25</v>
      </c>
      <c r="CJ1159" s="223">
        <v>16500</v>
      </c>
      <c r="CK1159" s="22">
        <f t="shared" si="112"/>
        <v>19161.12</v>
      </c>
      <c r="CL1159" s="3">
        <f t="shared" si="113"/>
        <v>0</v>
      </c>
      <c r="CM1159" s="222">
        <f t="shared" si="114"/>
        <v>13297</v>
      </c>
      <c r="CN1159" s="3" t="str">
        <f t="shared" si="115"/>
        <v>خ ت صيدلة</v>
      </c>
    </row>
    <row r="1160" spans="2:92" x14ac:dyDescent="0.25">
      <c r="D1160" s="224">
        <v>22087</v>
      </c>
      <c r="E1160" s="224">
        <v>13298</v>
      </c>
      <c r="F1160" s="250" t="s">
        <v>78</v>
      </c>
      <c r="G1160" s="223" t="s">
        <v>5502</v>
      </c>
      <c r="S1160" s="223">
        <v>126323.85</v>
      </c>
      <c r="AV1160" s="22">
        <f t="shared" si="116"/>
        <v>126323.85</v>
      </c>
      <c r="AW1160" s="223">
        <v>83676.45</v>
      </c>
      <c r="CJ1160" s="223">
        <v>42647.4</v>
      </c>
      <c r="CK1160" s="22">
        <f t="shared" ref="CK1160:CK1179" si="117">SUM(AW1160:CJ1160)</f>
        <v>126323.85</v>
      </c>
      <c r="CL1160" s="3">
        <f t="shared" ref="CL1160:CL1179" si="118">+CK1160-AV1160</f>
        <v>0</v>
      </c>
      <c r="CM1160" s="222">
        <f t="shared" ref="CM1160:CM1179" si="119">+E1160</f>
        <v>13298</v>
      </c>
      <c r="CN1160" s="3" t="str">
        <f t="shared" ref="CN1160:CN1179" si="120">+F1160</f>
        <v>برنامج دولى</v>
      </c>
    </row>
    <row r="1161" spans="2:92" x14ac:dyDescent="0.25">
      <c r="D1161" s="224">
        <v>22140</v>
      </c>
      <c r="E1161" s="224">
        <v>13299</v>
      </c>
      <c r="F1161" s="250" t="s">
        <v>78</v>
      </c>
      <c r="G1161" s="223" t="s">
        <v>5503</v>
      </c>
      <c r="J1161" s="223">
        <v>80300</v>
      </c>
      <c r="AV1161" s="22">
        <f t="shared" si="116"/>
        <v>80300</v>
      </c>
      <c r="AW1161" s="223">
        <v>33179.15</v>
      </c>
      <c r="AX1161" s="223">
        <f>522.65+1567.95+36</f>
        <v>2126.6</v>
      </c>
      <c r="AZ1161" s="223">
        <v>10</v>
      </c>
      <c r="BM1161" s="223">
        <v>2113.15</v>
      </c>
      <c r="BN1161" s="223">
        <v>80</v>
      </c>
      <c r="BO1161" s="223">
        <f>316.8*2</f>
        <v>633.6</v>
      </c>
      <c r="BQ1161" s="223">
        <v>4015</v>
      </c>
      <c r="CJ1161" s="223">
        <f>4015+34127.5</f>
        <v>38142.5</v>
      </c>
      <c r="CK1161" s="22">
        <f t="shared" si="117"/>
        <v>80300</v>
      </c>
      <c r="CL1161" s="3">
        <f t="shared" si="118"/>
        <v>0</v>
      </c>
      <c r="CM1161" s="222">
        <f t="shared" si="119"/>
        <v>13299</v>
      </c>
      <c r="CN1161" s="3" t="str">
        <f t="shared" si="120"/>
        <v>برنامج دولى</v>
      </c>
    </row>
    <row r="1162" spans="2:92" x14ac:dyDescent="0.25">
      <c r="D1162" s="224">
        <v>15830</v>
      </c>
      <c r="E1162" s="224">
        <v>13300</v>
      </c>
      <c r="F1162" s="250" t="s">
        <v>78</v>
      </c>
      <c r="G1162" s="223" t="s">
        <v>5504</v>
      </c>
      <c r="J1162" s="223">
        <v>15160</v>
      </c>
      <c r="AV1162" s="22">
        <f t="shared" si="116"/>
        <v>15160</v>
      </c>
      <c r="AW1162" s="223">
        <v>13436.3</v>
      </c>
      <c r="AX1162" s="223">
        <v>756</v>
      </c>
      <c r="AZ1162" s="223">
        <v>10</v>
      </c>
      <c r="BN1162" s="223">
        <v>80</v>
      </c>
      <c r="BO1162" s="223">
        <f>59.85*2</f>
        <v>119.7</v>
      </c>
      <c r="BP1162" s="223">
        <v>758</v>
      </c>
      <c r="CK1162" s="22">
        <f t="shared" si="117"/>
        <v>15160</v>
      </c>
      <c r="CL1162" s="3">
        <f t="shared" si="118"/>
        <v>0</v>
      </c>
      <c r="CM1162" s="222">
        <f t="shared" si="119"/>
        <v>13300</v>
      </c>
      <c r="CN1162" s="3" t="str">
        <f t="shared" si="120"/>
        <v>برنامج دولى</v>
      </c>
    </row>
    <row r="1163" spans="2:92" x14ac:dyDescent="0.25">
      <c r="D1163" s="224">
        <v>22470</v>
      </c>
      <c r="E1163" s="224">
        <v>13301</v>
      </c>
      <c r="F1163" s="250" t="s">
        <v>78</v>
      </c>
      <c r="G1163" s="223" t="s">
        <v>5505</v>
      </c>
      <c r="J1163" s="223">
        <v>66896</v>
      </c>
      <c r="AV1163" s="22">
        <f t="shared" si="116"/>
        <v>66896</v>
      </c>
      <c r="AW1163" s="223">
        <v>61071.6</v>
      </c>
      <c r="AX1163" s="223">
        <v>1856.8</v>
      </c>
      <c r="AZ1163" s="223">
        <v>10</v>
      </c>
      <c r="BN1163" s="223">
        <v>80</v>
      </c>
      <c r="BO1163" s="223">
        <f>266.4*2</f>
        <v>532.79999999999995</v>
      </c>
      <c r="BP1163" s="223">
        <v>3344.8</v>
      </c>
      <c r="CK1163" s="22">
        <f t="shared" si="117"/>
        <v>66896</v>
      </c>
      <c r="CL1163" s="3">
        <f t="shared" si="118"/>
        <v>0</v>
      </c>
      <c r="CM1163" s="222">
        <f t="shared" si="119"/>
        <v>13301</v>
      </c>
      <c r="CN1163" s="3" t="str">
        <f t="shared" si="120"/>
        <v>برنامج دولى</v>
      </c>
    </row>
    <row r="1164" spans="2:92" x14ac:dyDescent="0.25">
      <c r="D1164" s="224">
        <v>21908</v>
      </c>
      <c r="E1164" s="224">
        <v>13302</v>
      </c>
      <c r="F1164" s="250" t="s">
        <v>78</v>
      </c>
      <c r="G1164" s="223" t="s">
        <v>5504</v>
      </c>
      <c r="J1164" s="223">
        <v>37600</v>
      </c>
      <c r="AV1164" s="22">
        <f t="shared" si="116"/>
        <v>37600</v>
      </c>
      <c r="AW1164" s="223">
        <v>34105.4</v>
      </c>
      <c r="AX1164" s="223">
        <v>1227.5999999999999</v>
      </c>
      <c r="AZ1164" s="223">
        <v>10</v>
      </c>
      <c r="BN1164" s="223">
        <v>80</v>
      </c>
      <c r="BO1164" s="223">
        <f>148.5*2</f>
        <v>297</v>
      </c>
      <c r="BP1164" s="223">
        <v>1880</v>
      </c>
      <c r="CK1164" s="22">
        <f t="shared" si="117"/>
        <v>37600</v>
      </c>
      <c r="CL1164" s="3">
        <f t="shared" si="118"/>
        <v>0</v>
      </c>
      <c r="CM1164" s="222">
        <f t="shared" si="119"/>
        <v>13302</v>
      </c>
      <c r="CN1164" s="3" t="str">
        <f t="shared" si="120"/>
        <v>برنامج دولى</v>
      </c>
    </row>
    <row r="1165" spans="2:92" x14ac:dyDescent="0.25">
      <c r="D1165" s="224">
        <v>19736</v>
      </c>
      <c r="E1165" s="224">
        <v>13303</v>
      </c>
      <c r="F1165" s="250" t="s">
        <v>78</v>
      </c>
      <c r="G1165" s="223" t="s">
        <v>5506</v>
      </c>
      <c r="J1165" s="223">
        <v>490</v>
      </c>
      <c r="AV1165" s="22">
        <f t="shared" si="116"/>
        <v>490</v>
      </c>
      <c r="AW1165" s="223">
        <v>490</v>
      </c>
      <c r="CK1165" s="22">
        <f t="shared" si="117"/>
        <v>490</v>
      </c>
      <c r="CL1165" s="3">
        <f t="shared" si="118"/>
        <v>0</v>
      </c>
      <c r="CM1165" s="222">
        <f t="shared" si="119"/>
        <v>13303</v>
      </c>
      <c r="CN1165" s="3" t="str">
        <f t="shared" si="120"/>
        <v>برنامج دولى</v>
      </c>
    </row>
    <row r="1166" spans="2:92" x14ac:dyDescent="0.25">
      <c r="D1166" s="224">
        <v>22226</v>
      </c>
      <c r="E1166" s="224">
        <v>13304</v>
      </c>
      <c r="F1166" s="250" t="s">
        <v>130</v>
      </c>
      <c r="G1166" s="223" t="s">
        <v>5507</v>
      </c>
      <c r="J1166" s="223">
        <v>20000</v>
      </c>
      <c r="AV1166" s="22">
        <f t="shared" si="116"/>
        <v>20000</v>
      </c>
      <c r="AW1166" s="223">
        <v>16368.45</v>
      </c>
      <c r="AX1166" s="223">
        <v>857.2</v>
      </c>
      <c r="AZ1166" s="223">
        <v>10</v>
      </c>
      <c r="BM1166" s="223">
        <v>526.35</v>
      </c>
      <c r="BN1166" s="223">
        <v>80</v>
      </c>
      <c r="BO1166" s="223">
        <f>79*2</f>
        <v>158</v>
      </c>
      <c r="BQ1166" s="223">
        <v>2000</v>
      </c>
      <c r="CK1166" s="22">
        <f t="shared" si="117"/>
        <v>20000</v>
      </c>
      <c r="CL1166" s="3">
        <f t="shared" si="118"/>
        <v>0</v>
      </c>
      <c r="CM1166" s="222">
        <f t="shared" si="119"/>
        <v>13304</v>
      </c>
      <c r="CN1166" s="3" t="str">
        <f t="shared" si="120"/>
        <v>خ ت طب</v>
      </c>
    </row>
    <row r="1167" spans="2:92" x14ac:dyDescent="0.25">
      <c r="D1167" s="224">
        <v>22227</v>
      </c>
      <c r="E1167" s="224">
        <v>13305</v>
      </c>
      <c r="F1167" s="250" t="s">
        <v>130</v>
      </c>
      <c r="G1167" s="223" t="s">
        <v>5508</v>
      </c>
      <c r="J1167" s="223">
        <v>1400</v>
      </c>
      <c r="AV1167" s="22">
        <f t="shared" si="116"/>
        <v>1400</v>
      </c>
      <c r="AW1167" s="223">
        <v>1262.55</v>
      </c>
      <c r="AX1167" s="223">
        <v>73.5</v>
      </c>
      <c r="AZ1167" s="223">
        <v>10</v>
      </c>
      <c r="BM1167" s="223">
        <v>36.85</v>
      </c>
      <c r="BN1167" s="223">
        <v>6</v>
      </c>
      <c r="BO1167" s="223">
        <f>5.55*2</f>
        <v>11.1</v>
      </c>
      <c r="CK1167" s="22">
        <f t="shared" si="117"/>
        <v>1399.9999999999998</v>
      </c>
      <c r="CL1167" s="3">
        <f t="shared" si="118"/>
        <v>0</v>
      </c>
      <c r="CM1167" s="222">
        <f t="shared" si="119"/>
        <v>13305</v>
      </c>
      <c r="CN1167" s="3" t="str">
        <f t="shared" si="120"/>
        <v>خ ت طب</v>
      </c>
    </row>
    <row r="1168" spans="2:92" x14ac:dyDescent="0.25">
      <c r="D1168" s="224">
        <v>22226</v>
      </c>
      <c r="E1168" s="224">
        <v>13306</v>
      </c>
      <c r="F1168" s="250" t="s">
        <v>130</v>
      </c>
      <c r="G1168" s="223" t="s">
        <v>5509</v>
      </c>
      <c r="J1168" s="223">
        <v>5400</v>
      </c>
      <c r="AV1168" s="22">
        <f t="shared" si="116"/>
        <v>5400</v>
      </c>
      <c r="AW1168" s="223">
        <v>4915.3</v>
      </c>
      <c r="AX1168" s="223">
        <v>283.89999999999998</v>
      </c>
      <c r="AZ1168" s="223">
        <v>10</v>
      </c>
      <c r="BM1168" s="223">
        <v>142.1</v>
      </c>
      <c r="BN1168" s="223">
        <v>6</v>
      </c>
      <c r="BO1168" s="223">
        <f>21.35*2</f>
        <v>42.7</v>
      </c>
      <c r="CK1168" s="22">
        <f t="shared" si="117"/>
        <v>5400</v>
      </c>
      <c r="CL1168" s="3">
        <f t="shared" si="118"/>
        <v>0</v>
      </c>
      <c r="CM1168" s="222">
        <f t="shared" si="119"/>
        <v>13306</v>
      </c>
      <c r="CN1168" s="3" t="str">
        <f t="shared" si="120"/>
        <v>خ ت طب</v>
      </c>
    </row>
    <row r="1169" spans="1:96" x14ac:dyDescent="0.25">
      <c r="D1169" s="224">
        <v>22228</v>
      </c>
      <c r="E1169" s="224">
        <v>13307</v>
      </c>
      <c r="F1169" s="250" t="s">
        <v>130</v>
      </c>
      <c r="G1169" s="223" t="s">
        <v>5510</v>
      </c>
      <c r="J1169" s="223">
        <v>7500</v>
      </c>
      <c r="AV1169" s="22">
        <f t="shared" si="116"/>
        <v>7500</v>
      </c>
      <c r="AW1169" s="223">
        <v>6806.7</v>
      </c>
      <c r="AX1169" s="223">
        <v>420.7</v>
      </c>
      <c r="AZ1169" s="223">
        <v>10</v>
      </c>
      <c r="BM1169" s="223">
        <v>197.4</v>
      </c>
      <c r="BN1169" s="223">
        <v>6</v>
      </c>
      <c r="BO1169" s="223">
        <f>29.6*2</f>
        <v>59.2</v>
      </c>
      <c r="CK1169" s="22">
        <f t="shared" si="117"/>
        <v>7499.9999999999991</v>
      </c>
      <c r="CL1169" s="3">
        <f t="shared" si="118"/>
        <v>0</v>
      </c>
      <c r="CM1169" s="222">
        <f t="shared" si="119"/>
        <v>13307</v>
      </c>
      <c r="CN1169" s="3" t="str">
        <f t="shared" si="120"/>
        <v>خ ت طب</v>
      </c>
    </row>
    <row r="1170" spans="1:96" x14ac:dyDescent="0.25">
      <c r="D1170" s="224">
        <v>21907</v>
      </c>
      <c r="E1170" s="224">
        <v>13308</v>
      </c>
      <c r="F1170" s="250" t="s">
        <v>130</v>
      </c>
      <c r="G1170" s="223" t="str">
        <f>+G1164</f>
        <v>شركه ديجيتك اصلاح ماكينه تصوير</v>
      </c>
      <c r="J1170" s="223">
        <v>32856.720000000001</v>
      </c>
      <c r="AV1170" s="22">
        <f t="shared" si="116"/>
        <v>32856.720000000001</v>
      </c>
      <c r="AW1170" s="223">
        <v>29736.37</v>
      </c>
      <c r="AX1170" s="223">
        <v>1128</v>
      </c>
      <c r="AZ1170" s="223">
        <v>10</v>
      </c>
      <c r="BN1170" s="223">
        <v>80</v>
      </c>
      <c r="BO1170" s="223">
        <f>129.75*2</f>
        <v>259.5</v>
      </c>
      <c r="BP1170" s="223">
        <v>1642.85</v>
      </c>
      <c r="CK1170" s="22">
        <f t="shared" si="117"/>
        <v>32856.720000000001</v>
      </c>
      <c r="CL1170" s="3">
        <f t="shared" si="118"/>
        <v>0</v>
      </c>
      <c r="CM1170" s="222">
        <f t="shared" si="119"/>
        <v>13308</v>
      </c>
      <c r="CN1170" s="3" t="str">
        <f t="shared" si="120"/>
        <v>خ ت طب</v>
      </c>
    </row>
    <row r="1171" spans="1:96" x14ac:dyDescent="0.25">
      <c r="D1171" s="224">
        <v>22313</v>
      </c>
      <c r="E1171" s="224">
        <v>13309</v>
      </c>
      <c r="F1171" s="250" t="s">
        <v>249</v>
      </c>
      <c r="G1171" s="223" t="s">
        <v>5511</v>
      </c>
      <c r="J1171" s="223">
        <v>51300</v>
      </c>
      <c r="AV1171" s="22">
        <f t="shared" si="116"/>
        <v>51300</v>
      </c>
      <c r="AW1171" s="223">
        <v>49245</v>
      </c>
      <c r="AX1171" s="223">
        <f>369.75+1109.25+36</f>
        <v>1515</v>
      </c>
      <c r="AZ1171" s="223">
        <v>10</v>
      </c>
      <c r="BM1171" s="223">
        <v>450</v>
      </c>
      <c r="BN1171" s="223">
        <v>80</v>
      </c>
      <c r="CK1171" s="22">
        <f t="shared" si="117"/>
        <v>51300</v>
      </c>
      <c r="CL1171" s="3">
        <f t="shared" si="118"/>
        <v>0</v>
      </c>
      <c r="CM1171" s="222">
        <f t="shared" si="119"/>
        <v>13309</v>
      </c>
      <c r="CN1171" s="3" t="str">
        <f t="shared" si="120"/>
        <v>خدمة عامة</v>
      </c>
    </row>
    <row r="1172" spans="1:96" x14ac:dyDescent="0.25">
      <c r="D1172" s="224">
        <v>21666</v>
      </c>
      <c r="E1172" s="224">
        <v>13310</v>
      </c>
      <c r="F1172" s="250" t="s">
        <v>1766</v>
      </c>
      <c r="G1172" s="223" t="s">
        <v>5512</v>
      </c>
      <c r="J1172" s="223">
        <v>9804</v>
      </c>
      <c r="AV1172" s="22">
        <f t="shared" si="116"/>
        <v>9804</v>
      </c>
      <c r="AW1172" s="223">
        <v>9041.1</v>
      </c>
      <c r="AX1172" s="223">
        <f>137+411+36.9</f>
        <v>584.9</v>
      </c>
      <c r="AZ1172" s="223">
        <v>10</v>
      </c>
      <c r="BM1172" s="223">
        <v>86</v>
      </c>
      <c r="BN1172" s="223">
        <v>82</v>
      </c>
      <c r="CK1172" s="22">
        <f t="shared" si="117"/>
        <v>9804</v>
      </c>
      <c r="CL1172" s="3">
        <f t="shared" si="118"/>
        <v>0</v>
      </c>
      <c r="CM1172" s="222">
        <f t="shared" si="119"/>
        <v>13310</v>
      </c>
      <c r="CN1172" s="3" t="str">
        <f t="shared" si="120"/>
        <v xml:space="preserve">ماليزى اسنان </v>
      </c>
    </row>
    <row r="1173" spans="1:96" x14ac:dyDescent="0.25">
      <c r="D1173" s="224">
        <v>21665</v>
      </c>
      <c r="E1173" s="224">
        <v>13311</v>
      </c>
      <c r="F1173" s="250" t="s">
        <v>1766</v>
      </c>
      <c r="G1173" s="223" t="s">
        <v>5513</v>
      </c>
      <c r="J1173" s="223">
        <v>8721</v>
      </c>
      <c r="AV1173" s="22">
        <f t="shared" si="116"/>
        <v>8721</v>
      </c>
      <c r="AW1173" s="223">
        <v>8031.5</v>
      </c>
      <c r="AX1173" s="223">
        <f>121.75+365.25+36</f>
        <v>523</v>
      </c>
      <c r="AZ1173" s="223">
        <v>10</v>
      </c>
      <c r="BM1173" s="223">
        <v>76.5</v>
      </c>
      <c r="BN1173" s="223">
        <v>80</v>
      </c>
      <c r="CK1173" s="22">
        <f t="shared" si="117"/>
        <v>8721</v>
      </c>
      <c r="CL1173" s="3">
        <f t="shared" si="118"/>
        <v>0</v>
      </c>
      <c r="CM1173" s="222">
        <f t="shared" si="119"/>
        <v>13311</v>
      </c>
      <c r="CN1173" s="3" t="str">
        <f t="shared" si="120"/>
        <v xml:space="preserve">ماليزى اسنان </v>
      </c>
    </row>
    <row r="1174" spans="1:96" x14ac:dyDescent="0.25">
      <c r="D1174" s="224">
        <v>21664</v>
      </c>
      <c r="E1174" s="224">
        <v>13312</v>
      </c>
      <c r="F1174" s="250" t="s">
        <v>1766</v>
      </c>
      <c r="G1174" s="223" t="s">
        <v>5514</v>
      </c>
      <c r="J1174" s="223">
        <v>6231.24</v>
      </c>
      <c r="AV1174" s="22">
        <f t="shared" si="116"/>
        <v>6231.24</v>
      </c>
      <c r="AW1174" s="223">
        <v>5700.59</v>
      </c>
      <c r="AX1174" s="223">
        <f>86.75+260.25+36.9</f>
        <v>383.9</v>
      </c>
      <c r="AZ1174" s="223">
        <v>10</v>
      </c>
      <c r="BM1174" s="223">
        <v>54.75</v>
      </c>
      <c r="BN1174" s="223">
        <v>82</v>
      </c>
      <c r="CK1174" s="22">
        <f t="shared" si="117"/>
        <v>6231.24</v>
      </c>
      <c r="CL1174" s="3">
        <f t="shared" si="118"/>
        <v>0</v>
      </c>
      <c r="CM1174" s="222">
        <f t="shared" si="119"/>
        <v>13312</v>
      </c>
      <c r="CN1174" s="3" t="str">
        <f t="shared" si="120"/>
        <v xml:space="preserve">ماليزى اسنان </v>
      </c>
    </row>
    <row r="1175" spans="1:96" ht="31.5" x14ac:dyDescent="0.25">
      <c r="D1175" s="224">
        <v>22469</v>
      </c>
      <c r="E1175" s="224">
        <v>13313</v>
      </c>
      <c r="F1175" s="250" t="s">
        <v>1766</v>
      </c>
      <c r="G1175" s="225" t="s">
        <v>5515</v>
      </c>
      <c r="J1175" s="223">
        <v>795896.04</v>
      </c>
      <c r="AV1175" s="22">
        <f t="shared" si="116"/>
        <v>795896.04</v>
      </c>
      <c r="AW1175" s="223">
        <v>751311.39</v>
      </c>
      <c r="AX1175" s="223">
        <f>4288.75+12866.25+59.4</f>
        <v>17214.400000000001</v>
      </c>
      <c r="AZ1175" s="223">
        <v>10</v>
      </c>
      <c r="BM1175" s="223">
        <v>20944.75</v>
      </c>
      <c r="BN1175" s="223">
        <v>132</v>
      </c>
      <c r="BO1175" s="223">
        <f>3141.75*2</f>
        <v>6283.5</v>
      </c>
      <c r="CK1175" s="22">
        <f t="shared" si="117"/>
        <v>795896.04</v>
      </c>
      <c r="CL1175" s="3">
        <f t="shared" si="118"/>
        <v>0</v>
      </c>
      <c r="CM1175" s="222">
        <f t="shared" si="119"/>
        <v>13313</v>
      </c>
      <c r="CN1175" s="3" t="str">
        <f t="shared" si="120"/>
        <v xml:space="preserve">ماليزى اسنان </v>
      </c>
    </row>
    <row r="1176" spans="1:96" ht="31.5" x14ac:dyDescent="0.25">
      <c r="D1176" s="224">
        <v>22468</v>
      </c>
      <c r="E1176" s="224">
        <v>13314</v>
      </c>
      <c r="F1176" s="250" t="s">
        <v>1766</v>
      </c>
      <c r="G1176" s="225" t="s">
        <v>5516</v>
      </c>
      <c r="J1176" s="223">
        <v>795896.04</v>
      </c>
      <c r="AV1176" s="22">
        <f t="shared" si="116"/>
        <v>795896.04</v>
      </c>
      <c r="AW1176" s="223">
        <v>592126.34</v>
      </c>
      <c r="AX1176" s="223">
        <f>4288.75+12866.25+61.2</f>
        <v>17216.2</v>
      </c>
      <c r="AZ1176" s="223">
        <v>10</v>
      </c>
      <c r="BM1176" s="223">
        <v>20944.75</v>
      </c>
      <c r="BN1176" s="223">
        <v>136</v>
      </c>
      <c r="BO1176" s="223">
        <f>3141.75*2</f>
        <v>6283.5</v>
      </c>
      <c r="BP1176" s="223">
        <v>159179.25</v>
      </c>
      <c r="CK1176" s="22">
        <f t="shared" si="117"/>
        <v>795896.03999999992</v>
      </c>
      <c r="CL1176" s="3">
        <f t="shared" si="118"/>
        <v>0</v>
      </c>
      <c r="CM1176" s="222">
        <f t="shared" si="119"/>
        <v>13314</v>
      </c>
      <c r="CN1176" s="3" t="str">
        <f t="shared" si="120"/>
        <v xml:space="preserve">ماليزى اسنان </v>
      </c>
    </row>
    <row r="1177" spans="1:96" x14ac:dyDescent="0.25">
      <c r="D1177" s="224">
        <v>21909</v>
      </c>
      <c r="E1177" s="224">
        <v>13315</v>
      </c>
      <c r="F1177" s="250" t="s">
        <v>1766</v>
      </c>
      <c r="G1177" s="223" t="s">
        <v>5517</v>
      </c>
      <c r="J1177" s="223">
        <v>6270</v>
      </c>
      <c r="AV1177" s="22">
        <f t="shared" si="116"/>
        <v>6270</v>
      </c>
      <c r="AW1177" s="223">
        <v>5252.5</v>
      </c>
      <c r="AX1177" s="223">
        <f>87.25+261.75+40.5</f>
        <v>389.5</v>
      </c>
      <c r="AZ1177" s="223">
        <v>10</v>
      </c>
      <c r="BM1177" s="223">
        <v>165</v>
      </c>
      <c r="BN1177" s="223">
        <v>90</v>
      </c>
      <c r="BO1177" s="223">
        <f>24.75*2</f>
        <v>49.5</v>
      </c>
      <c r="BP1177" s="223">
        <v>313.5</v>
      </c>
      <c r="CK1177" s="22">
        <f t="shared" si="117"/>
        <v>6270</v>
      </c>
      <c r="CL1177" s="3">
        <f t="shared" si="118"/>
        <v>0</v>
      </c>
      <c r="CM1177" s="222">
        <f t="shared" si="119"/>
        <v>13315</v>
      </c>
      <c r="CN1177" s="3" t="str">
        <f t="shared" si="120"/>
        <v xml:space="preserve">ماليزى اسنان </v>
      </c>
    </row>
    <row r="1178" spans="1:96" x14ac:dyDescent="0.25">
      <c r="E1178" s="224">
        <v>13316</v>
      </c>
      <c r="F1178" s="250" t="s">
        <v>332</v>
      </c>
      <c r="G1178" s="223" t="s">
        <v>899</v>
      </c>
      <c r="AV1178" s="22">
        <f t="shared" si="116"/>
        <v>0</v>
      </c>
      <c r="CK1178" s="22">
        <f t="shared" si="117"/>
        <v>0</v>
      </c>
      <c r="CL1178" s="3">
        <f t="shared" si="118"/>
        <v>0</v>
      </c>
      <c r="CM1178" s="222">
        <f t="shared" si="119"/>
        <v>13316</v>
      </c>
      <c r="CN1178" s="3" t="str">
        <f t="shared" si="120"/>
        <v xml:space="preserve">لاب فقط </v>
      </c>
    </row>
    <row r="1179" spans="1:96" x14ac:dyDescent="0.25">
      <c r="D1179" s="224">
        <v>19355</v>
      </c>
      <c r="E1179" s="224">
        <v>13317</v>
      </c>
      <c r="F1179" s="250" t="s">
        <v>925</v>
      </c>
      <c r="G1179" s="223" t="s">
        <v>5518</v>
      </c>
      <c r="Y1179" s="223">
        <v>6800</v>
      </c>
      <c r="AV1179" s="22">
        <f t="shared" si="116"/>
        <v>6800</v>
      </c>
      <c r="AW1179" s="223">
        <v>6800</v>
      </c>
      <c r="CK1179" s="22">
        <f t="shared" si="117"/>
        <v>6800</v>
      </c>
      <c r="CL1179" s="3">
        <f t="shared" si="118"/>
        <v>0</v>
      </c>
      <c r="CM1179" s="222">
        <f t="shared" si="119"/>
        <v>13317</v>
      </c>
      <c r="CN1179" s="3" t="str">
        <f t="shared" si="120"/>
        <v xml:space="preserve">خ ت اسنان </v>
      </c>
    </row>
    <row r="1180" spans="1:96" s="228" customFormat="1" x14ac:dyDescent="0.25">
      <c r="A1180" s="235"/>
      <c r="D1180" s="227"/>
      <c r="E1180" s="227"/>
      <c r="F1180" s="253"/>
      <c r="G1180" s="228" t="s">
        <v>5496</v>
      </c>
      <c r="I1180" s="228">
        <f>SUM(I968:I1179)</f>
        <v>2540665.36</v>
      </c>
      <c r="J1180" s="228">
        <f t="shared" ref="J1180:BZ1180" si="121">SUM(J968:J1179)</f>
        <v>1964167.1600000001</v>
      </c>
      <c r="K1180" s="228">
        <f t="shared" si="121"/>
        <v>0</v>
      </c>
      <c r="L1180" s="228">
        <f t="shared" si="121"/>
        <v>0</v>
      </c>
      <c r="M1180" s="228">
        <f t="shared" si="121"/>
        <v>84880</v>
      </c>
      <c r="N1180" s="228">
        <f t="shared" si="121"/>
        <v>84880</v>
      </c>
      <c r="O1180" s="228">
        <f t="shared" si="121"/>
        <v>84880</v>
      </c>
      <c r="P1180" s="228">
        <f t="shared" si="121"/>
        <v>0</v>
      </c>
      <c r="Q1180" s="228">
        <f t="shared" si="121"/>
        <v>0</v>
      </c>
      <c r="R1180" s="228">
        <f t="shared" si="121"/>
        <v>0</v>
      </c>
      <c r="S1180" s="228">
        <f t="shared" si="121"/>
        <v>126323.85</v>
      </c>
      <c r="T1180" s="228">
        <f t="shared" si="121"/>
        <v>0</v>
      </c>
      <c r="U1180" s="228">
        <f t="shared" si="121"/>
        <v>0</v>
      </c>
      <c r="V1180" s="228">
        <f t="shared" si="121"/>
        <v>0</v>
      </c>
      <c r="W1180" s="228">
        <f t="shared" si="121"/>
        <v>0</v>
      </c>
      <c r="X1180" s="228">
        <f t="shared" si="121"/>
        <v>0</v>
      </c>
      <c r="Y1180" s="228">
        <f t="shared" si="121"/>
        <v>6800</v>
      </c>
      <c r="Z1180" s="228">
        <f t="shared" si="121"/>
        <v>0</v>
      </c>
      <c r="AB1180" s="228">
        <f t="shared" si="121"/>
        <v>0</v>
      </c>
      <c r="AC1180" s="228">
        <f t="shared" si="121"/>
        <v>0</v>
      </c>
      <c r="AD1180" s="228">
        <f t="shared" si="121"/>
        <v>0</v>
      </c>
      <c r="AE1180" s="228">
        <f t="shared" si="121"/>
        <v>0</v>
      </c>
      <c r="AF1180" s="228">
        <f t="shared" si="121"/>
        <v>0</v>
      </c>
      <c r="AH1180" s="228">
        <f t="shared" si="121"/>
        <v>0</v>
      </c>
      <c r="AI1180" s="228">
        <f t="shared" si="121"/>
        <v>0</v>
      </c>
      <c r="AJ1180" s="228">
        <f t="shared" si="121"/>
        <v>0</v>
      </c>
      <c r="AK1180" s="228">
        <f t="shared" si="121"/>
        <v>0</v>
      </c>
      <c r="AL1180" s="228">
        <f t="shared" si="121"/>
        <v>0</v>
      </c>
      <c r="AM1180" s="228">
        <f t="shared" si="121"/>
        <v>0</v>
      </c>
      <c r="AN1180" s="228">
        <f t="shared" si="121"/>
        <v>0</v>
      </c>
      <c r="AO1180" s="228">
        <f t="shared" si="121"/>
        <v>0</v>
      </c>
      <c r="AP1180" s="228">
        <f t="shared" si="121"/>
        <v>0</v>
      </c>
      <c r="AQ1180" s="228">
        <f t="shared" si="121"/>
        <v>0</v>
      </c>
      <c r="AR1180" s="228">
        <f t="shared" si="121"/>
        <v>0</v>
      </c>
      <c r="AS1180" s="228">
        <f t="shared" si="121"/>
        <v>0</v>
      </c>
      <c r="AT1180" s="228">
        <f t="shared" si="121"/>
        <v>0</v>
      </c>
      <c r="AU1180" s="228">
        <f t="shared" si="121"/>
        <v>0</v>
      </c>
      <c r="AV1180" s="228">
        <f t="shared" si="121"/>
        <v>4892596.370000001</v>
      </c>
      <c r="AW1180" s="228">
        <f t="shared" si="121"/>
        <v>3896611.790000001</v>
      </c>
      <c r="AX1180" s="228">
        <f t="shared" si="121"/>
        <v>311980.53000000014</v>
      </c>
      <c r="AY1180" s="228">
        <f t="shared" si="121"/>
        <v>164781.37000000002</v>
      </c>
      <c r="AZ1180" s="228">
        <f t="shared" si="121"/>
        <v>10067.539999999999</v>
      </c>
      <c r="BA1180" s="228">
        <f t="shared" si="121"/>
        <v>31.71</v>
      </c>
      <c r="BC1180" s="228">
        <f t="shared" si="121"/>
        <v>0</v>
      </c>
      <c r="BD1180" s="228">
        <f t="shared" si="121"/>
        <v>0</v>
      </c>
      <c r="BE1180" s="228">
        <f t="shared" si="121"/>
        <v>0</v>
      </c>
      <c r="BF1180" s="228">
        <f t="shared" si="121"/>
        <v>0</v>
      </c>
      <c r="BH1180" s="228">
        <f t="shared" si="121"/>
        <v>0</v>
      </c>
      <c r="BI1180" s="228">
        <f t="shared" si="121"/>
        <v>0</v>
      </c>
      <c r="BJ1180" s="228">
        <f t="shared" si="121"/>
        <v>0</v>
      </c>
      <c r="BL1180" s="228">
        <f t="shared" si="121"/>
        <v>248.18</v>
      </c>
      <c r="BM1180" s="228">
        <f t="shared" si="121"/>
        <v>46585.599999999999</v>
      </c>
      <c r="BN1180" s="228">
        <f t="shared" si="121"/>
        <v>1306</v>
      </c>
      <c r="BO1180" s="228">
        <f t="shared" si="121"/>
        <v>15598.099999999999</v>
      </c>
      <c r="BP1180" s="228">
        <f t="shared" si="121"/>
        <v>167118.39999999999</v>
      </c>
      <c r="BQ1180" s="228">
        <f t="shared" si="121"/>
        <v>11217.25</v>
      </c>
      <c r="BR1180" s="228">
        <f t="shared" si="121"/>
        <v>84880</v>
      </c>
      <c r="BS1180" s="228">
        <f t="shared" si="121"/>
        <v>84880</v>
      </c>
      <c r="BT1180" s="228">
        <f t="shared" si="121"/>
        <v>0</v>
      </c>
      <c r="BU1180" s="228">
        <f t="shared" si="121"/>
        <v>0</v>
      </c>
      <c r="BV1180" s="228">
        <f t="shared" si="121"/>
        <v>0</v>
      </c>
      <c r="BW1180" s="228">
        <f t="shared" si="121"/>
        <v>0</v>
      </c>
      <c r="BX1180" s="228">
        <f t="shared" si="121"/>
        <v>0</v>
      </c>
      <c r="BY1180" s="228">
        <f t="shared" si="121"/>
        <v>0</v>
      </c>
      <c r="BZ1180" s="228">
        <f t="shared" si="121"/>
        <v>0</v>
      </c>
      <c r="CA1180" s="228">
        <f t="shared" ref="CA1180:CR1180" si="122">SUM(CA968:CA1179)</f>
        <v>0</v>
      </c>
      <c r="CB1180" s="228">
        <f t="shared" si="122"/>
        <v>0</v>
      </c>
      <c r="CC1180" s="228">
        <f t="shared" si="122"/>
        <v>0</v>
      </c>
      <c r="CD1180" s="228">
        <f t="shared" si="122"/>
        <v>0</v>
      </c>
      <c r="CE1180" s="228">
        <f t="shared" si="122"/>
        <v>0</v>
      </c>
      <c r="CF1180" s="228">
        <f t="shared" si="122"/>
        <v>0</v>
      </c>
      <c r="CG1180" s="228">
        <f t="shared" si="122"/>
        <v>0</v>
      </c>
      <c r="CH1180" s="228">
        <f t="shared" si="122"/>
        <v>0</v>
      </c>
      <c r="CJ1180" s="228">
        <f t="shared" si="122"/>
        <v>97289.9</v>
      </c>
      <c r="CK1180" s="228">
        <f t="shared" si="122"/>
        <v>4892596.37</v>
      </c>
      <c r="CL1180" s="228">
        <f t="shared" si="122"/>
        <v>0</v>
      </c>
      <c r="CM1180" s="260"/>
      <c r="CN1180" s="228">
        <f t="shared" si="122"/>
        <v>0</v>
      </c>
      <c r="CO1180" s="228">
        <f t="shared" si="122"/>
        <v>0</v>
      </c>
      <c r="CP1180" s="228">
        <f t="shared" si="122"/>
        <v>0</v>
      </c>
      <c r="CQ1180" s="228">
        <f t="shared" si="122"/>
        <v>0</v>
      </c>
      <c r="CR1180" s="228">
        <f t="shared" si="122"/>
        <v>0</v>
      </c>
    </row>
    <row r="1181" spans="1:96" x14ac:dyDescent="0.25">
      <c r="A1181" s="234">
        <v>45479</v>
      </c>
      <c r="D1181" s="224">
        <v>10141</v>
      </c>
      <c r="E1181" s="224">
        <v>13318</v>
      </c>
      <c r="G1181" s="223" t="s">
        <v>5643</v>
      </c>
      <c r="H1181" s="223" t="s">
        <v>220</v>
      </c>
      <c r="AF1181" s="223">
        <v>2383.8000000000002</v>
      </c>
      <c r="AV1181" s="22">
        <f t="shared" si="116"/>
        <v>2383.8000000000002</v>
      </c>
      <c r="AW1181" s="223">
        <v>2383.8000000000002</v>
      </c>
      <c r="CK1181" s="22">
        <f t="shared" ref="CK1181:CK1201" si="123">SUM(AW1181:CJ1181)</f>
        <v>2383.8000000000002</v>
      </c>
      <c r="CL1181" s="3">
        <f t="shared" ref="CL1181:CL1201" si="124">+CK1181-AV1181</f>
        <v>0</v>
      </c>
      <c r="CM1181" s="222">
        <f t="shared" ref="CM1181:CM1201" si="125">+E1181</f>
        <v>13318</v>
      </c>
      <c r="CN1181" s="3">
        <f t="shared" ref="CN1181:CN1201" si="126">+F1181</f>
        <v>0</v>
      </c>
    </row>
    <row r="1182" spans="1:96" x14ac:dyDescent="0.25">
      <c r="A1182" s="234">
        <v>45479</v>
      </c>
      <c r="D1182" s="224">
        <v>10145</v>
      </c>
      <c r="E1182" s="224">
        <v>13319</v>
      </c>
      <c r="G1182" s="223" t="s">
        <v>5644</v>
      </c>
      <c r="H1182" s="223" t="s">
        <v>220</v>
      </c>
      <c r="AF1182" s="223">
        <v>225</v>
      </c>
      <c r="AV1182" s="22">
        <f t="shared" si="116"/>
        <v>225</v>
      </c>
      <c r="AW1182" s="223">
        <v>225</v>
      </c>
      <c r="CK1182" s="22">
        <f t="shared" si="123"/>
        <v>225</v>
      </c>
      <c r="CL1182" s="3">
        <f t="shared" si="124"/>
        <v>0</v>
      </c>
      <c r="CM1182" s="222">
        <f t="shared" si="125"/>
        <v>13319</v>
      </c>
      <c r="CN1182" s="3">
        <f t="shared" si="126"/>
        <v>0</v>
      </c>
    </row>
    <row r="1183" spans="1:96" x14ac:dyDescent="0.25">
      <c r="A1183" s="234">
        <v>45479</v>
      </c>
      <c r="E1183" s="224">
        <v>13320</v>
      </c>
      <c r="G1183" s="223" t="s">
        <v>5662</v>
      </c>
      <c r="H1183" s="223" t="s">
        <v>220</v>
      </c>
      <c r="AG1183" s="223">
        <f>149.4+190.31</f>
        <v>339.71000000000004</v>
      </c>
      <c r="AV1183" s="22">
        <f t="shared" si="116"/>
        <v>339.71000000000004</v>
      </c>
      <c r="AW1183" s="223">
        <v>339.71000000000004</v>
      </c>
      <c r="CK1183" s="22">
        <f t="shared" si="123"/>
        <v>339.71000000000004</v>
      </c>
      <c r="CL1183" s="3">
        <f t="shared" si="124"/>
        <v>0</v>
      </c>
      <c r="CM1183" s="222">
        <f t="shared" si="125"/>
        <v>13320</v>
      </c>
      <c r="CN1183" s="3">
        <f t="shared" si="126"/>
        <v>0</v>
      </c>
    </row>
    <row r="1184" spans="1:96" x14ac:dyDescent="0.25">
      <c r="A1184" s="234">
        <v>45479</v>
      </c>
      <c r="D1184" s="224">
        <v>10142</v>
      </c>
      <c r="E1184" s="224">
        <v>13321</v>
      </c>
      <c r="G1184" s="223" t="s">
        <v>5645</v>
      </c>
      <c r="H1184" s="223" t="s">
        <v>220</v>
      </c>
      <c r="AF1184" s="223">
        <v>2</v>
      </c>
      <c r="AV1184" s="22">
        <f t="shared" si="116"/>
        <v>2</v>
      </c>
      <c r="AW1184" s="223">
        <v>2</v>
      </c>
      <c r="CK1184" s="22">
        <f t="shared" si="123"/>
        <v>2</v>
      </c>
      <c r="CL1184" s="3">
        <f t="shared" si="124"/>
        <v>0</v>
      </c>
      <c r="CM1184" s="222">
        <f t="shared" si="125"/>
        <v>13321</v>
      </c>
      <c r="CN1184" s="3">
        <f t="shared" si="126"/>
        <v>0</v>
      </c>
    </row>
    <row r="1185" spans="1:92" x14ac:dyDescent="0.25">
      <c r="A1185" s="234">
        <v>45479</v>
      </c>
      <c r="E1185" s="224">
        <v>13322</v>
      </c>
      <c r="G1185" s="223" t="s">
        <v>5661</v>
      </c>
      <c r="H1185" s="223" t="s">
        <v>220</v>
      </c>
      <c r="U1185" s="223">
        <v>703570.1</v>
      </c>
      <c r="AV1185" s="22">
        <f t="shared" si="116"/>
        <v>703570.1</v>
      </c>
      <c r="AW1185" s="223">
        <v>703570.1</v>
      </c>
      <c r="CK1185" s="22">
        <f t="shared" si="123"/>
        <v>703570.1</v>
      </c>
      <c r="CL1185" s="3">
        <f t="shared" si="124"/>
        <v>0</v>
      </c>
      <c r="CM1185" s="222">
        <f t="shared" si="125"/>
        <v>13322</v>
      </c>
      <c r="CN1185" s="3">
        <f t="shared" si="126"/>
        <v>0</v>
      </c>
    </row>
    <row r="1186" spans="1:92" x14ac:dyDescent="0.25">
      <c r="A1186" s="234">
        <v>45479</v>
      </c>
      <c r="D1186" s="224">
        <v>10135</v>
      </c>
      <c r="E1186" s="224">
        <v>13323</v>
      </c>
      <c r="G1186" s="223" t="s">
        <v>5646</v>
      </c>
      <c r="H1186" s="223" t="s">
        <v>220</v>
      </c>
      <c r="AF1186" s="223">
        <v>2158</v>
      </c>
      <c r="AV1186" s="22">
        <f t="shared" si="116"/>
        <v>2158</v>
      </c>
      <c r="AW1186" s="223">
        <v>2158</v>
      </c>
      <c r="CK1186" s="22">
        <f t="shared" si="123"/>
        <v>2158</v>
      </c>
      <c r="CL1186" s="3">
        <f t="shared" si="124"/>
        <v>0</v>
      </c>
      <c r="CM1186" s="222">
        <f t="shared" si="125"/>
        <v>13323</v>
      </c>
      <c r="CN1186" s="3">
        <f t="shared" si="126"/>
        <v>0</v>
      </c>
    </row>
    <row r="1187" spans="1:92" x14ac:dyDescent="0.25">
      <c r="A1187" s="234">
        <v>45479</v>
      </c>
      <c r="D1187" s="224">
        <v>10131</v>
      </c>
      <c r="E1187" s="224">
        <v>13324</v>
      </c>
      <c r="G1187" s="223" t="s">
        <v>5647</v>
      </c>
      <c r="H1187" s="223" t="s">
        <v>220</v>
      </c>
      <c r="AF1187" s="223">
        <v>2</v>
      </c>
      <c r="AV1187" s="22">
        <f t="shared" si="116"/>
        <v>2</v>
      </c>
      <c r="AW1187" s="223">
        <v>2</v>
      </c>
      <c r="CK1187" s="22">
        <f t="shared" si="123"/>
        <v>2</v>
      </c>
      <c r="CL1187" s="3">
        <f t="shared" si="124"/>
        <v>0</v>
      </c>
      <c r="CM1187" s="222">
        <f t="shared" si="125"/>
        <v>13324</v>
      </c>
      <c r="CN1187" s="3">
        <f t="shared" si="126"/>
        <v>0</v>
      </c>
    </row>
    <row r="1188" spans="1:92" x14ac:dyDescent="0.25">
      <c r="A1188" s="234">
        <v>45479</v>
      </c>
      <c r="E1188" s="224">
        <v>13325</v>
      </c>
      <c r="G1188" s="223" t="s">
        <v>5663</v>
      </c>
      <c r="H1188" s="223" t="s">
        <v>220</v>
      </c>
      <c r="AF1188" s="223">
        <v>800</v>
      </c>
      <c r="AV1188" s="22">
        <f t="shared" si="116"/>
        <v>800</v>
      </c>
      <c r="AW1188" s="223">
        <v>800</v>
      </c>
      <c r="CK1188" s="22">
        <f t="shared" si="123"/>
        <v>800</v>
      </c>
      <c r="CL1188" s="3">
        <f t="shared" si="124"/>
        <v>0</v>
      </c>
      <c r="CM1188" s="222">
        <f t="shared" si="125"/>
        <v>13325</v>
      </c>
      <c r="CN1188" s="3">
        <f t="shared" si="126"/>
        <v>0</v>
      </c>
    </row>
    <row r="1189" spans="1:92" x14ac:dyDescent="0.25">
      <c r="A1189" s="234">
        <v>45479</v>
      </c>
      <c r="D1189" s="224">
        <v>10156</v>
      </c>
      <c r="E1189" s="224">
        <v>13326</v>
      </c>
      <c r="G1189" s="223" t="s">
        <v>5648</v>
      </c>
      <c r="H1189" s="223" t="s">
        <v>220</v>
      </c>
      <c r="AF1189" s="223">
        <v>14</v>
      </c>
      <c r="AV1189" s="22">
        <f t="shared" si="116"/>
        <v>14</v>
      </c>
      <c r="AW1189" s="223">
        <v>14</v>
      </c>
      <c r="CK1189" s="22">
        <f t="shared" si="123"/>
        <v>14</v>
      </c>
      <c r="CL1189" s="3">
        <f t="shared" si="124"/>
        <v>0</v>
      </c>
      <c r="CM1189" s="222">
        <f t="shared" si="125"/>
        <v>13326</v>
      </c>
      <c r="CN1189" s="3">
        <f t="shared" si="126"/>
        <v>0</v>
      </c>
    </row>
    <row r="1190" spans="1:92" x14ac:dyDescent="0.25">
      <c r="A1190" s="234">
        <v>45479</v>
      </c>
      <c r="D1190" s="224">
        <v>10149</v>
      </c>
      <c r="E1190" s="224">
        <v>13327</v>
      </c>
      <c r="G1190" s="223" t="s">
        <v>5649</v>
      </c>
      <c r="H1190" s="223" t="s">
        <v>220</v>
      </c>
      <c r="AF1190" s="223">
        <v>2665.16</v>
      </c>
      <c r="AV1190" s="22">
        <f t="shared" si="116"/>
        <v>2665.16</v>
      </c>
      <c r="AW1190" s="223">
        <v>2665.16</v>
      </c>
      <c r="CK1190" s="22">
        <f t="shared" si="123"/>
        <v>2665.16</v>
      </c>
      <c r="CL1190" s="3">
        <f t="shared" si="124"/>
        <v>0</v>
      </c>
      <c r="CM1190" s="222">
        <f t="shared" si="125"/>
        <v>13327</v>
      </c>
      <c r="CN1190" s="3">
        <f t="shared" si="126"/>
        <v>0</v>
      </c>
    </row>
    <row r="1191" spans="1:92" x14ac:dyDescent="0.25">
      <c r="A1191" s="234">
        <v>45479</v>
      </c>
      <c r="D1191" s="224">
        <v>10133</v>
      </c>
      <c r="E1191" s="224">
        <v>13328</v>
      </c>
      <c r="G1191" s="223" t="s">
        <v>5650</v>
      </c>
      <c r="H1191" s="223" t="s">
        <v>220</v>
      </c>
      <c r="AF1191" s="223">
        <v>700</v>
      </c>
      <c r="AV1191" s="22">
        <f t="shared" si="116"/>
        <v>700</v>
      </c>
      <c r="AW1191" s="223">
        <v>700</v>
      </c>
      <c r="CK1191" s="22">
        <f t="shared" si="123"/>
        <v>700</v>
      </c>
      <c r="CL1191" s="3">
        <f t="shared" si="124"/>
        <v>0</v>
      </c>
      <c r="CM1191" s="222">
        <f t="shared" si="125"/>
        <v>13328</v>
      </c>
      <c r="CN1191" s="3">
        <f t="shared" si="126"/>
        <v>0</v>
      </c>
    </row>
    <row r="1192" spans="1:92" x14ac:dyDescent="0.25">
      <c r="A1192" s="234">
        <v>45479</v>
      </c>
      <c r="D1192" s="224">
        <v>10137</v>
      </c>
      <c r="E1192" s="224">
        <v>13329</v>
      </c>
      <c r="G1192" s="223" t="s">
        <v>5651</v>
      </c>
      <c r="H1192" s="223" t="s">
        <v>220</v>
      </c>
      <c r="AF1192" s="223">
        <v>6410</v>
      </c>
      <c r="AV1192" s="22">
        <f t="shared" si="116"/>
        <v>6410</v>
      </c>
      <c r="AW1192" s="223">
        <v>6410</v>
      </c>
      <c r="CK1192" s="22">
        <f t="shared" si="123"/>
        <v>6410</v>
      </c>
      <c r="CL1192" s="3">
        <f t="shared" si="124"/>
        <v>0</v>
      </c>
      <c r="CM1192" s="222">
        <f t="shared" si="125"/>
        <v>13329</v>
      </c>
      <c r="CN1192" s="3">
        <f t="shared" si="126"/>
        <v>0</v>
      </c>
    </row>
    <row r="1193" spans="1:92" x14ac:dyDescent="0.25">
      <c r="A1193" s="234">
        <v>45479</v>
      </c>
      <c r="D1193" s="224">
        <v>10132</v>
      </c>
      <c r="E1193" s="224">
        <v>13330</v>
      </c>
      <c r="G1193" s="223" t="s">
        <v>5652</v>
      </c>
      <c r="H1193" s="223" t="s">
        <v>220</v>
      </c>
      <c r="AF1193" s="223">
        <v>2113.37</v>
      </c>
      <c r="AV1193" s="22">
        <f t="shared" si="116"/>
        <v>2113.37</v>
      </c>
      <c r="AW1193" s="223">
        <v>2113.37</v>
      </c>
      <c r="CK1193" s="22">
        <f t="shared" si="123"/>
        <v>2113.37</v>
      </c>
      <c r="CL1193" s="3">
        <f t="shared" si="124"/>
        <v>0</v>
      </c>
      <c r="CM1193" s="222">
        <f t="shared" si="125"/>
        <v>13330</v>
      </c>
      <c r="CN1193" s="3">
        <f t="shared" si="126"/>
        <v>0</v>
      </c>
    </row>
    <row r="1194" spans="1:92" x14ac:dyDescent="0.25">
      <c r="A1194" s="234">
        <v>45479</v>
      </c>
      <c r="D1194" s="224">
        <v>10152</v>
      </c>
      <c r="E1194" s="224">
        <v>13331</v>
      </c>
      <c r="G1194" s="223" t="s">
        <v>5653</v>
      </c>
      <c r="H1194" s="223" t="s">
        <v>220</v>
      </c>
      <c r="AF1194" s="223">
        <v>1177.31</v>
      </c>
      <c r="AV1194" s="22">
        <f t="shared" si="116"/>
        <v>1177.31</v>
      </c>
      <c r="AW1194" s="223">
        <v>1177.31</v>
      </c>
      <c r="CK1194" s="22">
        <f t="shared" si="123"/>
        <v>1177.31</v>
      </c>
      <c r="CL1194" s="3">
        <f t="shared" si="124"/>
        <v>0</v>
      </c>
      <c r="CM1194" s="222">
        <f t="shared" si="125"/>
        <v>13331</v>
      </c>
      <c r="CN1194" s="3">
        <f t="shared" si="126"/>
        <v>0</v>
      </c>
    </row>
    <row r="1195" spans="1:92" x14ac:dyDescent="0.25">
      <c r="A1195" s="234">
        <v>45479</v>
      </c>
      <c r="D1195" s="224">
        <v>10151</v>
      </c>
      <c r="E1195" s="224">
        <v>13332</v>
      </c>
      <c r="G1195" s="223" t="s">
        <v>5654</v>
      </c>
      <c r="H1195" s="223" t="s">
        <v>220</v>
      </c>
      <c r="AF1195" s="223">
        <v>825</v>
      </c>
      <c r="AV1195" s="22">
        <f t="shared" si="116"/>
        <v>825</v>
      </c>
      <c r="AW1195" s="223">
        <v>825</v>
      </c>
      <c r="CK1195" s="22">
        <f t="shared" si="123"/>
        <v>825</v>
      </c>
      <c r="CL1195" s="3">
        <f t="shared" si="124"/>
        <v>0</v>
      </c>
      <c r="CM1195" s="222">
        <f t="shared" si="125"/>
        <v>13332</v>
      </c>
      <c r="CN1195" s="3">
        <f t="shared" si="126"/>
        <v>0</v>
      </c>
    </row>
    <row r="1196" spans="1:92" x14ac:dyDescent="0.25">
      <c r="A1196" s="234">
        <v>45479</v>
      </c>
      <c r="D1196" s="224">
        <v>10158</v>
      </c>
      <c r="E1196" s="224">
        <v>13333</v>
      </c>
      <c r="G1196" s="223" t="s">
        <v>5655</v>
      </c>
      <c r="H1196" s="223" t="s">
        <v>220</v>
      </c>
      <c r="AF1196" s="223">
        <v>1209.42</v>
      </c>
      <c r="AV1196" s="22">
        <f t="shared" si="116"/>
        <v>1209.42</v>
      </c>
      <c r="AW1196" s="223">
        <v>1209.42</v>
      </c>
      <c r="CK1196" s="22">
        <f t="shared" si="123"/>
        <v>1209.42</v>
      </c>
      <c r="CL1196" s="3">
        <f t="shared" si="124"/>
        <v>0</v>
      </c>
      <c r="CM1196" s="222">
        <f t="shared" si="125"/>
        <v>13333</v>
      </c>
      <c r="CN1196" s="3">
        <f t="shared" si="126"/>
        <v>0</v>
      </c>
    </row>
    <row r="1197" spans="1:92" x14ac:dyDescent="0.25">
      <c r="A1197" s="234">
        <v>45479</v>
      </c>
      <c r="D1197" s="224">
        <v>10129</v>
      </c>
      <c r="E1197" s="224">
        <v>13334</v>
      </c>
      <c r="G1197" s="223" t="s">
        <v>5656</v>
      </c>
      <c r="H1197" s="223" t="s">
        <v>220</v>
      </c>
      <c r="AF1197" s="223">
        <v>1331</v>
      </c>
      <c r="AV1197" s="22">
        <f t="shared" si="116"/>
        <v>1331</v>
      </c>
      <c r="AW1197" s="223">
        <v>1331</v>
      </c>
      <c r="CK1197" s="22">
        <f t="shared" si="123"/>
        <v>1331</v>
      </c>
      <c r="CL1197" s="3">
        <f t="shared" si="124"/>
        <v>0</v>
      </c>
      <c r="CM1197" s="222">
        <f t="shared" si="125"/>
        <v>13334</v>
      </c>
      <c r="CN1197" s="3">
        <f t="shared" si="126"/>
        <v>0</v>
      </c>
    </row>
    <row r="1198" spans="1:92" x14ac:dyDescent="0.25">
      <c r="A1198" s="234">
        <v>45479</v>
      </c>
      <c r="D1198" s="224">
        <v>10162</v>
      </c>
      <c r="E1198" s="224">
        <v>13335</v>
      </c>
      <c r="G1198" s="223" t="s">
        <v>5657</v>
      </c>
      <c r="H1198" s="223" t="s">
        <v>220</v>
      </c>
      <c r="V1198" s="223">
        <v>2411.73</v>
      </c>
      <c r="AV1198" s="22">
        <f t="shared" si="116"/>
        <v>2411.73</v>
      </c>
      <c r="AW1198" s="223">
        <v>2411.73</v>
      </c>
      <c r="CK1198" s="22">
        <f t="shared" si="123"/>
        <v>2411.73</v>
      </c>
      <c r="CL1198" s="3">
        <f t="shared" si="124"/>
        <v>0</v>
      </c>
      <c r="CM1198" s="222">
        <f t="shared" si="125"/>
        <v>13335</v>
      </c>
      <c r="CN1198" s="3">
        <f t="shared" si="126"/>
        <v>0</v>
      </c>
    </row>
    <row r="1199" spans="1:92" x14ac:dyDescent="0.25">
      <c r="A1199" s="234">
        <v>45479</v>
      </c>
      <c r="D1199" s="224">
        <v>10163</v>
      </c>
      <c r="E1199" s="224">
        <v>13336</v>
      </c>
      <c r="G1199" s="223" t="s">
        <v>5658</v>
      </c>
      <c r="H1199" s="223" t="s">
        <v>220</v>
      </c>
      <c r="V1199" s="223">
        <v>17109.400000000001</v>
      </c>
      <c r="AV1199" s="22">
        <f t="shared" si="116"/>
        <v>17109.400000000001</v>
      </c>
      <c r="AW1199" s="223">
        <v>17109.400000000001</v>
      </c>
      <c r="CK1199" s="22">
        <f t="shared" si="123"/>
        <v>17109.400000000001</v>
      </c>
      <c r="CL1199" s="3">
        <f t="shared" si="124"/>
        <v>0</v>
      </c>
      <c r="CM1199" s="222">
        <f t="shared" si="125"/>
        <v>13336</v>
      </c>
      <c r="CN1199" s="3">
        <f t="shared" si="126"/>
        <v>0</v>
      </c>
    </row>
    <row r="1200" spans="1:92" x14ac:dyDescent="0.25">
      <c r="A1200" s="234">
        <v>45479</v>
      </c>
      <c r="D1200" s="224">
        <v>10138</v>
      </c>
      <c r="E1200" s="224">
        <v>13337</v>
      </c>
      <c r="G1200" s="223" t="s">
        <v>5659</v>
      </c>
      <c r="H1200" s="223" t="s">
        <v>220</v>
      </c>
      <c r="AF1200" s="223">
        <v>4550</v>
      </c>
      <c r="AV1200" s="22">
        <f t="shared" si="116"/>
        <v>4550</v>
      </c>
      <c r="AW1200" s="223">
        <v>4550</v>
      </c>
      <c r="CK1200" s="22">
        <f t="shared" si="123"/>
        <v>4550</v>
      </c>
      <c r="CL1200" s="3">
        <f t="shared" si="124"/>
        <v>0</v>
      </c>
      <c r="CM1200" s="222">
        <f t="shared" si="125"/>
        <v>13337</v>
      </c>
      <c r="CN1200" s="3">
        <f t="shared" si="126"/>
        <v>0</v>
      </c>
    </row>
    <row r="1201" spans="1:96" x14ac:dyDescent="0.25">
      <c r="A1201" s="234">
        <v>45479</v>
      </c>
      <c r="D1201" s="224">
        <v>10146</v>
      </c>
      <c r="E1201" s="224">
        <v>13338</v>
      </c>
      <c r="G1201" s="223" t="s">
        <v>5660</v>
      </c>
      <c r="H1201" s="223" t="s">
        <v>220</v>
      </c>
      <c r="AF1201" s="223">
        <v>106</v>
      </c>
      <c r="AV1201" s="22">
        <f t="shared" si="116"/>
        <v>106</v>
      </c>
      <c r="AW1201" s="223">
        <v>106</v>
      </c>
      <c r="CK1201" s="22">
        <f t="shared" si="123"/>
        <v>106</v>
      </c>
      <c r="CL1201" s="3">
        <f t="shared" si="124"/>
        <v>0</v>
      </c>
      <c r="CM1201" s="222">
        <f t="shared" si="125"/>
        <v>13338</v>
      </c>
      <c r="CN1201" s="3">
        <f t="shared" si="126"/>
        <v>0</v>
      </c>
    </row>
    <row r="1202" spans="1:96" s="228" customFormat="1" x14ac:dyDescent="0.25">
      <c r="A1202" s="235"/>
      <c r="D1202" s="227"/>
      <c r="E1202" s="227"/>
      <c r="F1202" s="253"/>
      <c r="G1202" s="228" t="s">
        <v>5533</v>
      </c>
      <c r="U1202" s="228">
        <f>SUM(U1181:U1201)</f>
        <v>703570.1</v>
      </c>
      <c r="V1202" s="228">
        <f t="shared" ref="V1202:CK1202" si="127">SUM(V1181:V1201)</f>
        <v>19521.13</v>
      </c>
      <c r="W1202" s="228">
        <f t="shared" si="127"/>
        <v>0</v>
      </c>
      <c r="X1202" s="228">
        <f t="shared" si="127"/>
        <v>0</v>
      </c>
      <c r="Y1202" s="228">
        <f t="shared" si="127"/>
        <v>0</v>
      </c>
      <c r="Z1202" s="228">
        <f t="shared" si="127"/>
        <v>0</v>
      </c>
      <c r="AB1202" s="228">
        <f t="shared" si="127"/>
        <v>0</v>
      </c>
      <c r="AC1202" s="228">
        <f t="shared" si="127"/>
        <v>0</v>
      </c>
      <c r="AD1202" s="228">
        <f t="shared" si="127"/>
        <v>0</v>
      </c>
      <c r="AE1202" s="228">
        <f t="shared" si="127"/>
        <v>0</v>
      </c>
      <c r="AF1202" s="228">
        <f t="shared" si="127"/>
        <v>26672.059999999998</v>
      </c>
      <c r="AG1202" s="228">
        <f t="shared" si="127"/>
        <v>339.71000000000004</v>
      </c>
      <c r="AH1202" s="228">
        <f t="shared" si="127"/>
        <v>0</v>
      </c>
      <c r="AI1202" s="228">
        <f t="shared" si="127"/>
        <v>0</v>
      </c>
      <c r="AJ1202" s="228">
        <f t="shared" si="127"/>
        <v>0</v>
      </c>
      <c r="AK1202" s="228">
        <f t="shared" si="127"/>
        <v>0</v>
      </c>
      <c r="AL1202" s="228">
        <f t="shared" si="127"/>
        <v>0</v>
      </c>
      <c r="AM1202" s="228">
        <f t="shared" si="127"/>
        <v>0</v>
      </c>
      <c r="AN1202" s="228">
        <f t="shared" si="127"/>
        <v>0</v>
      </c>
      <c r="AO1202" s="228">
        <f t="shared" si="127"/>
        <v>0</v>
      </c>
      <c r="AP1202" s="228">
        <f t="shared" si="127"/>
        <v>0</v>
      </c>
      <c r="AQ1202" s="228">
        <f t="shared" si="127"/>
        <v>0</v>
      </c>
      <c r="AR1202" s="228">
        <f t="shared" si="127"/>
        <v>0</v>
      </c>
      <c r="AS1202" s="228">
        <f t="shared" si="127"/>
        <v>0</v>
      </c>
      <c r="AT1202" s="228">
        <f t="shared" si="127"/>
        <v>0</v>
      </c>
      <c r="AU1202" s="228">
        <f t="shared" si="127"/>
        <v>0</v>
      </c>
      <c r="AV1202" s="228">
        <f t="shared" si="127"/>
        <v>750103.00000000012</v>
      </c>
      <c r="AW1202" s="228">
        <f t="shared" si="127"/>
        <v>750103.00000000012</v>
      </c>
      <c r="AX1202" s="228">
        <f t="shared" si="127"/>
        <v>0</v>
      </c>
      <c r="AY1202" s="228">
        <f t="shared" si="127"/>
        <v>0</v>
      </c>
      <c r="AZ1202" s="228">
        <f t="shared" si="127"/>
        <v>0</v>
      </c>
      <c r="BA1202" s="228">
        <f t="shared" si="127"/>
        <v>0</v>
      </c>
      <c r="BC1202" s="228">
        <f t="shared" si="127"/>
        <v>0</v>
      </c>
      <c r="BD1202" s="228">
        <f t="shared" si="127"/>
        <v>0</v>
      </c>
      <c r="BE1202" s="228">
        <f t="shared" si="127"/>
        <v>0</v>
      </c>
      <c r="BF1202" s="228">
        <f t="shared" si="127"/>
        <v>0</v>
      </c>
      <c r="BH1202" s="228">
        <f t="shared" si="127"/>
        <v>0</v>
      </c>
      <c r="BI1202" s="228">
        <f t="shared" si="127"/>
        <v>0</v>
      </c>
      <c r="BJ1202" s="228">
        <f t="shared" si="127"/>
        <v>0</v>
      </c>
      <c r="BK1202" s="228">
        <f t="shared" si="127"/>
        <v>0</v>
      </c>
      <c r="BL1202" s="228">
        <f t="shared" si="127"/>
        <v>0</v>
      </c>
      <c r="BM1202" s="228">
        <f t="shared" si="127"/>
        <v>0</v>
      </c>
      <c r="BN1202" s="228">
        <f t="shared" si="127"/>
        <v>0</v>
      </c>
      <c r="BO1202" s="228">
        <f t="shared" si="127"/>
        <v>0</v>
      </c>
      <c r="BP1202" s="228">
        <f t="shared" si="127"/>
        <v>0</v>
      </c>
      <c r="BQ1202" s="228">
        <f t="shared" si="127"/>
        <v>0</v>
      </c>
      <c r="BR1202" s="228">
        <f t="shared" si="127"/>
        <v>0</v>
      </c>
      <c r="BS1202" s="228">
        <f t="shared" si="127"/>
        <v>0</v>
      </c>
      <c r="BT1202" s="228">
        <f t="shared" si="127"/>
        <v>0</v>
      </c>
      <c r="BU1202" s="228">
        <f t="shared" si="127"/>
        <v>0</v>
      </c>
      <c r="BV1202" s="228">
        <f t="shared" si="127"/>
        <v>0</v>
      </c>
      <c r="BW1202" s="228">
        <f t="shared" si="127"/>
        <v>0</v>
      </c>
      <c r="BX1202" s="228">
        <f t="shared" si="127"/>
        <v>0</v>
      </c>
      <c r="BY1202" s="228">
        <f t="shared" si="127"/>
        <v>0</v>
      </c>
      <c r="BZ1202" s="228">
        <f t="shared" si="127"/>
        <v>0</v>
      </c>
      <c r="CA1202" s="228">
        <f t="shared" si="127"/>
        <v>0</v>
      </c>
      <c r="CB1202" s="228">
        <f t="shared" si="127"/>
        <v>0</v>
      </c>
      <c r="CC1202" s="228">
        <f t="shared" si="127"/>
        <v>0</v>
      </c>
      <c r="CD1202" s="228">
        <f t="shared" si="127"/>
        <v>0</v>
      </c>
      <c r="CE1202" s="228">
        <f t="shared" si="127"/>
        <v>0</v>
      </c>
      <c r="CF1202" s="228">
        <f t="shared" si="127"/>
        <v>0</v>
      </c>
      <c r="CG1202" s="228">
        <f t="shared" si="127"/>
        <v>0</v>
      </c>
      <c r="CH1202" s="228">
        <f t="shared" si="127"/>
        <v>0</v>
      </c>
      <c r="CJ1202" s="228">
        <f t="shared" si="127"/>
        <v>0</v>
      </c>
      <c r="CK1202" s="228">
        <f t="shared" si="127"/>
        <v>750103.00000000012</v>
      </c>
      <c r="CL1202" s="228">
        <f t="shared" ref="CL1202:CR1202" si="128">SUM(CL1181:CL1201)</f>
        <v>0</v>
      </c>
      <c r="CM1202" s="260"/>
      <c r="CN1202" s="228">
        <f t="shared" si="128"/>
        <v>0</v>
      </c>
      <c r="CO1202" s="228">
        <f t="shared" si="128"/>
        <v>0</v>
      </c>
      <c r="CP1202" s="228">
        <f t="shared" si="128"/>
        <v>0</v>
      </c>
      <c r="CQ1202" s="228">
        <f t="shared" si="128"/>
        <v>0</v>
      </c>
      <c r="CR1202" s="228">
        <f t="shared" si="128"/>
        <v>0</v>
      </c>
    </row>
    <row r="1203" spans="1:96" x14ac:dyDescent="0.25">
      <c r="A1203" s="234">
        <v>45510</v>
      </c>
      <c r="D1203" s="224">
        <v>12252</v>
      </c>
      <c r="E1203" s="224">
        <v>13339</v>
      </c>
      <c r="F1203" s="250" t="s">
        <v>78</v>
      </c>
      <c r="G1203" s="223" t="s">
        <v>5530</v>
      </c>
      <c r="J1203" s="223">
        <v>4362</v>
      </c>
      <c r="AD1203" s="223">
        <v>4362</v>
      </c>
      <c r="AV1203" s="22">
        <f t="shared" si="116"/>
        <v>8724</v>
      </c>
      <c r="AW1203" s="223">
        <v>4362</v>
      </c>
      <c r="BX1203" s="223">
        <v>4362</v>
      </c>
      <c r="CK1203" s="22">
        <f t="shared" ref="CK1203:CK1266" si="129">SUM(AW1203:CJ1203)</f>
        <v>8724</v>
      </c>
      <c r="CL1203" s="3">
        <f t="shared" ref="CL1203:CL1266" si="130">+CK1203-AV1203</f>
        <v>0</v>
      </c>
      <c r="CM1203" s="222">
        <f t="shared" ref="CM1203:CM1266" si="131">+E1203</f>
        <v>13339</v>
      </c>
      <c r="CN1203" s="3" t="str">
        <f t="shared" ref="CN1203:CN1266" si="132">+F1203</f>
        <v>برنامج دولى</v>
      </c>
    </row>
    <row r="1204" spans="1:96" ht="47.25" x14ac:dyDescent="0.25">
      <c r="D1204" s="224">
        <v>22471</v>
      </c>
      <c r="E1204" s="224">
        <v>13340</v>
      </c>
      <c r="F1204" s="250" t="s">
        <v>1766</v>
      </c>
      <c r="G1204" s="225" t="s">
        <v>5529</v>
      </c>
      <c r="I1204" s="225"/>
      <c r="J1204" s="223">
        <v>1000000</v>
      </c>
      <c r="AD1204" s="223">
        <v>1000000</v>
      </c>
      <c r="AV1204" s="22">
        <f t="shared" si="116"/>
        <v>2000000</v>
      </c>
      <c r="AW1204" s="223">
        <v>1000000</v>
      </c>
      <c r="BX1204" s="223">
        <v>1000000</v>
      </c>
      <c r="CK1204" s="22">
        <f t="shared" si="129"/>
        <v>2000000</v>
      </c>
      <c r="CL1204" s="3">
        <f t="shared" si="130"/>
        <v>0</v>
      </c>
      <c r="CM1204" s="222">
        <f t="shared" si="131"/>
        <v>13340</v>
      </c>
      <c r="CN1204" s="3" t="str">
        <f t="shared" si="132"/>
        <v xml:space="preserve">ماليزى اسنان </v>
      </c>
    </row>
    <row r="1205" spans="1:96" ht="31.5" x14ac:dyDescent="0.25">
      <c r="E1205" s="224">
        <v>13341</v>
      </c>
      <c r="F1205" s="250" t="s">
        <v>78</v>
      </c>
      <c r="G1205" s="225" t="s">
        <v>5532</v>
      </c>
      <c r="J1205" s="223">
        <v>10050</v>
      </c>
      <c r="AD1205" s="223">
        <v>10050</v>
      </c>
      <c r="AV1205" s="22">
        <f t="shared" si="116"/>
        <v>20100</v>
      </c>
      <c r="AW1205" s="223">
        <v>9900</v>
      </c>
      <c r="BX1205" s="223">
        <v>10050</v>
      </c>
      <c r="CJ1205" s="223">
        <v>150</v>
      </c>
      <c r="CK1205" s="22">
        <f t="shared" si="129"/>
        <v>20100</v>
      </c>
      <c r="CL1205" s="3">
        <f t="shared" si="130"/>
        <v>0</v>
      </c>
      <c r="CM1205" s="222">
        <f t="shared" si="131"/>
        <v>13341</v>
      </c>
      <c r="CN1205" s="3" t="str">
        <f t="shared" si="132"/>
        <v>برنامج دولى</v>
      </c>
    </row>
    <row r="1206" spans="1:96" x14ac:dyDescent="0.25">
      <c r="E1206" s="224">
        <v>13342</v>
      </c>
      <c r="F1206" s="250" t="s">
        <v>332</v>
      </c>
      <c r="G1206" s="223" t="s">
        <v>5537</v>
      </c>
      <c r="AV1206" s="22">
        <f t="shared" si="116"/>
        <v>0</v>
      </c>
      <c r="CK1206" s="22">
        <f t="shared" si="129"/>
        <v>0</v>
      </c>
      <c r="CL1206" s="3">
        <f t="shared" si="130"/>
        <v>0</v>
      </c>
      <c r="CM1206" s="222">
        <f t="shared" si="131"/>
        <v>13342</v>
      </c>
      <c r="CN1206" s="3" t="str">
        <f t="shared" si="132"/>
        <v xml:space="preserve">لاب فقط </v>
      </c>
    </row>
    <row r="1207" spans="1:96" x14ac:dyDescent="0.25">
      <c r="E1207" s="224">
        <v>13343</v>
      </c>
      <c r="F1207" s="250" t="s">
        <v>332</v>
      </c>
      <c r="G1207" s="223" t="s">
        <v>5538</v>
      </c>
      <c r="AV1207" s="22">
        <f t="shared" si="116"/>
        <v>0</v>
      </c>
      <c r="CK1207" s="22">
        <f t="shared" si="129"/>
        <v>0</v>
      </c>
      <c r="CL1207" s="3">
        <f t="shared" si="130"/>
        <v>0</v>
      </c>
      <c r="CM1207" s="222">
        <f t="shared" si="131"/>
        <v>13343</v>
      </c>
      <c r="CN1207" s="3" t="str">
        <f t="shared" si="132"/>
        <v xml:space="preserve">لاب فقط </v>
      </c>
    </row>
    <row r="1208" spans="1:96" x14ac:dyDescent="0.25">
      <c r="E1208" s="224">
        <v>13344</v>
      </c>
      <c r="F1208" s="250" t="s">
        <v>332</v>
      </c>
      <c r="G1208" s="223" t="s">
        <v>5539</v>
      </c>
      <c r="AV1208" s="22">
        <f t="shared" si="116"/>
        <v>0</v>
      </c>
      <c r="CK1208" s="22">
        <f t="shared" si="129"/>
        <v>0</v>
      </c>
      <c r="CL1208" s="3">
        <f t="shared" si="130"/>
        <v>0</v>
      </c>
      <c r="CM1208" s="222">
        <f t="shared" si="131"/>
        <v>13344</v>
      </c>
      <c r="CN1208" s="3" t="str">
        <f t="shared" si="132"/>
        <v xml:space="preserve">لاب فقط </v>
      </c>
    </row>
    <row r="1209" spans="1:96" x14ac:dyDescent="0.25">
      <c r="E1209" s="224">
        <v>13345</v>
      </c>
      <c r="F1209" s="250" t="s">
        <v>332</v>
      </c>
      <c r="G1209" s="223" t="s">
        <v>5540</v>
      </c>
      <c r="AV1209" s="22">
        <f t="shared" si="116"/>
        <v>0</v>
      </c>
      <c r="CK1209" s="22">
        <f t="shared" si="129"/>
        <v>0</v>
      </c>
      <c r="CL1209" s="3">
        <f t="shared" si="130"/>
        <v>0</v>
      </c>
      <c r="CM1209" s="222">
        <f t="shared" si="131"/>
        <v>13345</v>
      </c>
      <c r="CN1209" s="3" t="str">
        <f t="shared" si="132"/>
        <v xml:space="preserve">لاب فقط </v>
      </c>
    </row>
    <row r="1210" spans="1:96" x14ac:dyDescent="0.25">
      <c r="E1210" s="224">
        <v>13346</v>
      </c>
      <c r="F1210" s="250" t="s">
        <v>332</v>
      </c>
      <c r="G1210" s="223" t="s">
        <v>5541</v>
      </c>
      <c r="AV1210" s="22">
        <f t="shared" si="116"/>
        <v>0</v>
      </c>
      <c r="CK1210" s="22">
        <f t="shared" si="129"/>
        <v>0</v>
      </c>
      <c r="CL1210" s="3">
        <f t="shared" si="130"/>
        <v>0</v>
      </c>
      <c r="CM1210" s="222">
        <f t="shared" si="131"/>
        <v>13346</v>
      </c>
      <c r="CN1210" s="3" t="str">
        <f t="shared" si="132"/>
        <v xml:space="preserve">لاب فقط </v>
      </c>
    </row>
    <row r="1211" spans="1:96" x14ac:dyDescent="0.25">
      <c r="E1211" s="224">
        <v>13347</v>
      </c>
      <c r="F1211" s="250" t="s">
        <v>332</v>
      </c>
      <c r="G1211" s="223" t="s">
        <v>5534</v>
      </c>
      <c r="AV1211" s="22">
        <f t="shared" si="116"/>
        <v>0</v>
      </c>
      <c r="CK1211" s="22">
        <f t="shared" si="129"/>
        <v>0</v>
      </c>
      <c r="CL1211" s="3">
        <f t="shared" si="130"/>
        <v>0</v>
      </c>
      <c r="CM1211" s="222">
        <f t="shared" si="131"/>
        <v>13347</v>
      </c>
      <c r="CN1211" s="3" t="str">
        <f t="shared" si="132"/>
        <v xml:space="preserve">لاب فقط </v>
      </c>
    </row>
    <row r="1212" spans="1:96" x14ac:dyDescent="0.25">
      <c r="E1212" s="224">
        <v>13348</v>
      </c>
      <c r="F1212" s="250" t="s">
        <v>332</v>
      </c>
      <c r="G1212" s="223" t="s">
        <v>5535</v>
      </c>
      <c r="AV1212" s="22">
        <f t="shared" si="116"/>
        <v>0</v>
      </c>
      <c r="CK1212" s="22">
        <f t="shared" si="129"/>
        <v>0</v>
      </c>
      <c r="CL1212" s="3">
        <f t="shared" si="130"/>
        <v>0</v>
      </c>
      <c r="CM1212" s="222">
        <f t="shared" si="131"/>
        <v>13348</v>
      </c>
      <c r="CN1212" s="3" t="str">
        <f t="shared" si="132"/>
        <v xml:space="preserve">لاب فقط </v>
      </c>
    </row>
    <row r="1213" spans="1:96" x14ac:dyDescent="0.25">
      <c r="E1213" s="224">
        <v>13349</v>
      </c>
      <c r="F1213" s="250" t="s">
        <v>332</v>
      </c>
      <c r="G1213" s="223" t="s">
        <v>5536</v>
      </c>
      <c r="AV1213" s="22">
        <f t="shared" si="116"/>
        <v>0</v>
      </c>
      <c r="CK1213" s="22">
        <f t="shared" si="129"/>
        <v>0</v>
      </c>
      <c r="CL1213" s="3">
        <f t="shared" si="130"/>
        <v>0</v>
      </c>
      <c r="CM1213" s="222">
        <f t="shared" si="131"/>
        <v>13349</v>
      </c>
      <c r="CN1213" s="3" t="str">
        <f t="shared" si="132"/>
        <v xml:space="preserve">لاب فقط </v>
      </c>
    </row>
    <row r="1214" spans="1:96" x14ac:dyDescent="0.25">
      <c r="C1214" s="223" t="s">
        <v>5568</v>
      </c>
      <c r="D1214" s="224">
        <v>22270</v>
      </c>
      <c r="E1214" s="224">
        <v>13350</v>
      </c>
      <c r="F1214" s="250" t="s">
        <v>78</v>
      </c>
      <c r="G1214" s="223" t="s">
        <v>5567</v>
      </c>
      <c r="I1214" s="223">
        <v>2321.56</v>
      </c>
      <c r="AV1214" s="22">
        <f t="shared" si="116"/>
        <v>2321.56</v>
      </c>
      <c r="AW1214" s="223">
        <v>1552.5</v>
      </c>
      <c r="AX1214" s="223">
        <v>209.7</v>
      </c>
      <c r="AY1214" s="223">
        <v>559.36</v>
      </c>
      <c r="CK1214" s="22">
        <f t="shared" si="129"/>
        <v>2321.56</v>
      </c>
      <c r="CL1214" s="3">
        <f t="shared" si="130"/>
        <v>0</v>
      </c>
      <c r="CM1214" s="222">
        <f t="shared" si="131"/>
        <v>13350</v>
      </c>
      <c r="CN1214" s="3" t="str">
        <f t="shared" si="132"/>
        <v>برنامج دولى</v>
      </c>
    </row>
    <row r="1215" spans="1:96" x14ac:dyDescent="0.25">
      <c r="C1215" s="223" t="s">
        <v>5568</v>
      </c>
      <c r="D1215" s="224">
        <v>22271</v>
      </c>
      <c r="E1215" s="224">
        <v>13351</v>
      </c>
      <c r="F1215" s="250" t="s">
        <v>78</v>
      </c>
      <c r="G1215" s="223" t="s">
        <v>5567</v>
      </c>
      <c r="I1215" s="223">
        <v>480</v>
      </c>
      <c r="AV1215" s="22">
        <f t="shared" si="116"/>
        <v>480</v>
      </c>
      <c r="AW1215" s="223">
        <v>429.2</v>
      </c>
      <c r="AX1215" s="223">
        <v>50.8</v>
      </c>
      <c r="CK1215" s="22">
        <f t="shared" si="129"/>
        <v>480</v>
      </c>
      <c r="CL1215" s="3">
        <f t="shared" si="130"/>
        <v>0</v>
      </c>
      <c r="CM1215" s="222">
        <f t="shared" si="131"/>
        <v>13351</v>
      </c>
      <c r="CN1215" s="3" t="str">
        <f t="shared" si="132"/>
        <v>برنامج دولى</v>
      </c>
    </row>
    <row r="1216" spans="1:96" x14ac:dyDescent="0.25">
      <c r="C1216" s="223" t="s">
        <v>5568</v>
      </c>
      <c r="D1216" s="224">
        <v>22274</v>
      </c>
      <c r="E1216" s="224">
        <v>13352</v>
      </c>
      <c r="F1216" s="250" t="s">
        <v>78</v>
      </c>
      <c r="G1216" s="223" t="s">
        <v>1004</v>
      </c>
      <c r="I1216" s="223">
        <v>4643.1000000000004</v>
      </c>
      <c r="AV1216" s="22">
        <f t="shared" si="116"/>
        <v>4643.1000000000004</v>
      </c>
      <c r="AW1216" s="223">
        <v>3102.3</v>
      </c>
      <c r="AX1216" s="223">
        <v>422.1</v>
      </c>
      <c r="AY1216" s="223">
        <v>1118.7</v>
      </c>
      <c r="CK1216" s="22">
        <f t="shared" si="129"/>
        <v>4643.1000000000004</v>
      </c>
      <c r="CL1216" s="3">
        <f t="shared" si="130"/>
        <v>0</v>
      </c>
      <c r="CM1216" s="222">
        <f t="shared" si="131"/>
        <v>13352</v>
      </c>
      <c r="CN1216" s="3" t="str">
        <f t="shared" si="132"/>
        <v>برنامج دولى</v>
      </c>
    </row>
    <row r="1217" spans="3:92" x14ac:dyDescent="0.25">
      <c r="C1217" s="223" t="s">
        <v>5568</v>
      </c>
      <c r="D1217" s="224">
        <v>22275</v>
      </c>
      <c r="E1217" s="224">
        <v>13353</v>
      </c>
      <c r="F1217" s="250" t="s">
        <v>78</v>
      </c>
      <c r="G1217" s="223" t="s">
        <v>1004</v>
      </c>
      <c r="I1217" s="223">
        <v>1890</v>
      </c>
      <c r="AV1217" s="22">
        <f t="shared" ref="AV1217:AV1280" si="133">SUM(I1217:AU1217)</f>
        <v>1890</v>
      </c>
      <c r="AW1217" s="223">
        <v>1687.2</v>
      </c>
      <c r="AX1217" s="223">
        <v>202.8</v>
      </c>
      <c r="CK1217" s="22">
        <f t="shared" si="129"/>
        <v>1890</v>
      </c>
      <c r="CL1217" s="3">
        <f t="shared" si="130"/>
        <v>0</v>
      </c>
      <c r="CM1217" s="222">
        <f t="shared" si="131"/>
        <v>13353</v>
      </c>
      <c r="CN1217" s="3" t="str">
        <f t="shared" si="132"/>
        <v>برنامج دولى</v>
      </c>
    </row>
    <row r="1218" spans="3:92" x14ac:dyDescent="0.25">
      <c r="C1218" s="223" t="s">
        <v>5568</v>
      </c>
      <c r="D1218" s="224">
        <v>22272</v>
      </c>
      <c r="E1218" s="224">
        <v>13354</v>
      </c>
      <c r="F1218" s="250" t="s">
        <v>78</v>
      </c>
      <c r="G1218" s="223" t="s">
        <v>1004</v>
      </c>
      <c r="I1218" s="223">
        <v>7592.5</v>
      </c>
      <c r="AV1218" s="22">
        <f t="shared" si="133"/>
        <v>7592.5</v>
      </c>
      <c r="AW1218" s="223">
        <v>5492.96</v>
      </c>
      <c r="AX1218" s="223">
        <v>719.8</v>
      </c>
      <c r="AY1218" s="223">
        <v>1379.74</v>
      </c>
      <c r="CK1218" s="22">
        <f t="shared" si="129"/>
        <v>7592.5</v>
      </c>
      <c r="CL1218" s="3">
        <f t="shared" si="130"/>
        <v>0</v>
      </c>
      <c r="CM1218" s="222">
        <f t="shared" si="131"/>
        <v>13354</v>
      </c>
      <c r="CN1218" s="3" t="str">
        <f t="shared" si="132"/>
        <v>برنامج دولى</v>
      </c>
    </row>
    <row r="1219" spans="3:92" x14ac:dyDescent="0.25">
      <c r="C1219" s="223" t="s">
        <v>5568</v>
      </c>
      <c r="D1219" s="224">
        <v>22273</v>
      </c>
      <c r="E1219" s="224">
        <v>13355</v>
      </c>
      <c r="F1219" s="250" t="s">
        <v>78</v>
      </c>
      <c r="G1219" s="223" t="s">
        <v>1004</v>
      </c>
      <c r="I1219" s="223">
        <v>685.91</v>
      </c>
      <c r="AV1219" s="22">
        <f t="shared" si="133"/>
        <v>685.91</v>
      </c>
      <c r="AW1219" s="223">
        <v>458.85</v>
      </c>
      <c r="AX1219" s="223">
        <v>61.8</v>
      </c>
      <c r="AY1219" s="223">
        <v>165.26</v>
      </c>
      <c r="CK1219" s="22">
        <f t="shared" si="129"/>
        <v>685.91</v>
      </c>
      <c r="CL1219" s="3">
        <f t="shared" si="130"/>
        <v>0</v>
      </c>
      <c r="CM1219" s="222">
        <f t="shared" si="131"/>
        <v>13355</v>
      </c>
      <c r="CN1219" s="3" t="str">
        <f t="shared" si="132"/>
        <v>برنامج دولى</v>
      </c>
    </row>
    <row r="1220" spans="3:92" x14ac:dyDescent="0.25">
      <c r="C1220" s="223" t="s">
        <v>5568</v>
      </c>
      <c r="D1220" s="224">
        <v>22459</v>
      </c>
      <c r="E1220" s="224">
        <v>13356</v>
      </c>
      <c r="F1220" s="250" t="s">
        <v>78</v>
      </c>
      <c r="G1220" s="223" t="s">
        <v>1004</v>
      </c>
      <c r="I1220" s="223">
        <v>30001.89</v>
      </c>
      <c r="AV1220" s="22">
        <f t="shared" si="133"/>
        <v>30001.89</v>
      </c>
      <c r="AW1220" s="223">
        <v>25954.7</v>
      </c>
      <c r="AX1220" s="223">
        <v>3159.75</v>
      </c>
      <c r="AY1220" s="223">
        <v>887.44</v>
      </c>
      <c r="CK1220" s="22">
        <f t="shared" si="129"/>
        <v>30001.89</v>
      </c>
      <c r="CL1220" s="3">
        <f t="shared" si="130"/>
        <v>0</v>
      </c>
      <c r="CM1220" s="222">
        <f t="shared" si="131"/>
        <v>13356</v>
      </c>
      <c r="CN1220" s="3" t="str">
        <f t="shared" si="132"/>
        <v>برنامج دولى</v>
      </c>
    </row>
    <row r="1221" spans="3:92" x14ac:dyDescent="0.25">
      <c r="C1221" s="223" t="s">
        <v>5568</v>
      </c>
      <c r="D1221" s="224">
        <v>22458</v>
      </c>
      <c r="E1221" s="224">
        <v>13357</v>
      </c>
      <c r="F1221" s="250" t="s">
        <v>78</v>
      </c>
      <c r="G1221" s="223" t="s">
        <v>1004</v>
      </c>
      <c r="I1221" s="223">
        <v>5329.01</v>
      </c>
      <c r="AV1221" s="22">
        <f t="shared" si="133"/>
        <v>5329.01</v>
      </c>
      <c r="AW1221" s="223">
        <v>3558.55</v>
      </c>
      <c r="AX1221" s="223">
        <f>32+454.5</f>
        <v>486.5</v>
      </c>
      <c r="AY1221" s="223">
        <f>1770.46-AX1221</f>
        <v>1283.96</v>
      </c>
      <c r="CK1221" s="22">
        <f t="shared" si="129"/>
        <v>5329.01</v>
      </c>
      <c r="CL1221" s="3">
        <f t="shared" si="130"/>
        <v>0</v>
      </c>
      <c r="CM1221" s="222">
        <f t="shared" si="131"/>
        <v>13357</v>
      </c>
      <c r="CN1221" s="3" t="str">
        <f t="shared" si="132"/>
        <v>برنامج دولى</v>
      </c>
    </row>
    <row r="1222" spans="3:92" x14ac:dyDescent="0.25">
      <c r="C1222" s="223" t="s">
        <v>5568</v>
      </c>
      <c r="D1222" s="224">
        <v>22277</v>
      </c>
      <c r="E1222" s="224">
        <v>13358</v>
      </c>
      <c r="F1222" s="250" t="s">
        <v>78</v>
      </c>
      <c r="G1222" s="223" t="str">
        <f>+G1215</f>
        <v>مكافاه تدريس وافدين</v>
      </c>
      <c r="I1222" s="223">
        <v>908.69</v>
      </c>
      <c r="AV1222" s="22">
        <f t="shared" si="133"/>
        <v>908.69</v>
      </c>
      <c r="AW1222" s="223">
        <v>607.75</v>
      </c>
      <c r="AX1222" s="223">
        <f>4.5+77.5</f>
        <v>82</v>
      </c>
      <c r="AY1222" s="223">
        <v>218.94</v>
      </c>
      <c r="CK1222" s="22">
        <f t="shared" si="129"/>
        <v>908.69</v>
      </c>
      <c r="CL1222" s="3">
        <f t="shared" si="130"/>
        <v>0</v>
      </c>
      <c r="CM1222" s="222">
        <f t="shared" si="131"/>
        <v>13358</v>
      </c>
      <c r="CN1222" s="3" t="str">
        <f t="shared" si="132"/>
        <v>برنامج دولى</v>
      </c>
    </row>
    <row r="1223" spans="3:92" x14ac:dyDescent="0.25">
      <c r="C1223" s="223" t="s">
        <v>566</v>
      </c>
      <c r="D1223" s="224">
        <v>20535</v>
      </c>
      <c r="E1223" s="224">
        <v>13359</v>
      </c>
      <c r="F1223" s="250" t="s">
        <v>78</v>
      </c>
      <c r="G1223" s="223" t="s">
        <v>431</v>
      </c>
      <c r="I1223" s="223">
        <v>9870</v>
      </c>
      <c r="AV1223" s="22">
        <f t="shared" si="133"/>
        <v>9870</v>
      </c>
      <c r="AW1223" s="223">
        <v>8810.1</v>
      </c>
      <c r="AX1223" s="223">
        <v>1059.9000000000001</v>
      </c>
      <c r="CK1223" s="22">
        <f t="shared" si="129"/>
        <v>9870</v>
      </c>
      <c r="CL1223" s="3">
        <f t="shared" si="130"/>
        <v>0</v>
      </c>
      <c r="CM1223" s="222">
        <f t="shared" si="131"/>
        <v>13359</v>
      </c>
      <c r="CN1223" s="3" t="str">
        <f t="shared" si="132"/>
        <v>برنامج دولى</v>
      </c>
    </row>
    <row r="1224" spans="3:92" x14ac:dyDescent="0.25">
      <c r="C1224" s="223" t="s">
        <v>566</v>
      </c>
      <c r="D1224" s="224">
        <v>20533</v>
      </c>
      <c r="E1224" s="224">
        <v>13360</v>
      </c>
      <c r="F1224" s="250" t="s">
        <v>78</v>
      </c>
      <c r="G1224" s="223" t="s">
        <v>431</v>
      </c>
      <c r="I1224" s="223">
        <v>2690.89</v>
      </c>
      <c r="AV1224" s="22">
        <f t="shared" si="133"/>
        <v>2690.89</v>
      </c>
      <c r="AW1224" s="223">
        <v>1800.35</v>
      </c>
      <c r="AX1224" s="223">
        <f>12.7+229.5</f>
        <v>242.2</v>
      </c>
      <c r="AY1224" s="223">
        <f>890.54-AX1224</f>
        <v>648.33999999999992</v>
      </c>
      <c r="CK1224" s="22">
        <f t="shared" si="129"/>
        <v>2690.89</v>
      </c>
      <c r="CL1224" s="3">
        <f t="shared" si="130"/>
        <v>0</v>
      </c>
      <c r="CM1224" s="222">
        <f t="shared" si="131"/>
        <v>13360</v>
      </c>
      <c r="CN1224" s="3" t="str">
        <f t="shared" si="132"/>
        <v>برنامج دولى</v>
      </c>
    </row>
    <row r="1225" spans="3:92" x14ac:dyDescent="0.25">
      <c r="C1225" s="223" t="s">
        <v>566</v>
      </c>
      <c r="D1225" s="224">
        <v>20534</v>
      </c>
      <c r="E1225" s="224">
        <v>13361</v>
      </c>
      <c r="F1225" s="250" t="s">
        <v>78</v>
      </c>
      <c r="G1225" s="223" t="s">
        <v>431</v>
      </c>
      <c r="I1225" s="223">
        <v>1793.92</v>
      </c>
      <c r="AV1225" s="22">
        <f t="shared" si="133"/>
        <v>1793.92</v>
      </c>
      <c r="AW1225" s="223">
        <v>1199.8499999999999</v>
      </c>
      <c r="AX1225" s="223">
        <v>161.85</v>
      </c>
      <c r="AY1225" s="223">
        <v>432.22</v>
      </c>
      <c r="CK1225" s="22">
        <f t="shared" si="129"/>
        <v>1793.9199999999998</v>
      </c>
      <c r="CL1225" s="3">
        <f t="shared" si="130"/>
        <v>0</v>
      </c>
      <c r="CM1225" s="222">
        <f t="shared" si="131"/>
        <v>13361</v>
      </c>
      <c r="CN1225" s="3" t="str">
        <f t="shared" si="132"/>
        <v>برنامج دولى</v>
      </c>
    </row>
    <row r="1226" spans="3:92" x14ac:dyDescent="0.25">
      <c r="C1226" s="223" t="s">
        <v>566</v>
      </c>
      <c r="D1226" s="224">
        <v>20536</v>
      </c>
      <c r="E1226" s="224">
        <v>13362</v>
      </c>
      <c r="F1226" s="250" t="s">
        <v>78</v>
      </c>
      <c r="G1226" s="223" t="s">
        <v>431</v>
      </c>
      <c r="I1226" s="223">
        <v>52844.55</v>
      </c>
      <c r="AV1226" s="22">
        <f t="shared" si="133"/>
        <v>52844.55</v>
      </c>
      <c r="AW1226" s="223">
        <v>46968.65</v>
      </c>
      <c r="AX1226" s="223">
        <v>5655.55</v>
      </c>
      <c r="AY1226" s="223">
        <v>220.35</v>
      </c>
      <c r="CK1226" s="22">
        <f t="shared" si="129"/>
        <v>52844.55</v>
      </c>
      <c r="CL1226" s="3">
        <f t="shared" si="130"/>
        <v>0</v>
      </c>
      <c r="CM1226" s="222">
        <f t="shared" si="131"/>
        <v>13362</v>
      </c>
      <c r="CN1226" s="3" t="str">
        <f t="shared" si="132"/>
        <v>برنامج دولى</v>
      </c>
    </row>
    <row r="1227" spans="3:92" x14ac:dyDescent="0.25">
      <c r="C1227" s="223" t="s">
        <v>566</v>
      </c>
      <c r="D1227" s="224">
        <v>20521</v>
      </c>
      <c r="E1227" s="224">
        <v>13363</v>
      </c>
      <c r="F1227" s="250" t="s">
        <v>78</v>
      </c>
      <c r="G1227" s="223" t="s">
        <v>5317</v>
      </c>
      <c r="I1227" s="223">
        <v>19230</v>
      </c>
      <c r="AV1227" s="22">
        <f t="shared" si="133"/>
        <v>19230</v>
      </c>
      <c r="AW1227" s="223">
        <v>17181.95</v>
      </c>
      <c r="AX1227" s="223">
        <v>2048.0500000000002</v>
      </c>
      <c r="CK1227" s="22">
        <f t="shared" si="129"/>
        <v>19230</v>
      </c>
      <c r="CL1227" s="3">
        <f t="shared" si="130"/>
        <v>0</v>
      </c>
      <c r="CM1227" s="222">
        <f t="shared" si="131"/>
        <v>13363</v>
      </c>
      <c r="CN1227" s="3" t="str">
        <f t="shared" si="132"/>
        <v>برنامج دولى</v>
      </c>
    </row>
    <row r="1228" spans="3:92" x14ac:dyDescent="0.25">
      <c r="C1228" s="223" t="s">
        <v>566</v>
      </c>
      <c r="D1228" s="224">
        <v>21891</v>
      </c>
      <c r="E1228" s="224">
        <v>13364</v>
      </c>
      <c r="F1228" s="250" t="s">
        <v>78</v>
      </c>
      <c r="G1228" s="223" t="str">
        <f>+G1226</f>
        <v>عب تدريس انف واذن</v>
      </c>
      <c r="I1228" s="223">
        <v>457.28</v>
      </c>
      <c r="AV1228" s="22">
        <f t="shared" si="133"/>
        <v>457.28</v>
      </c>
      <c r="AW1228" s="223">
        <v>306.14999999999998</v>
      </c>
      <c r="AX1228" s="223">
        <f>1.95+39</f>
        <v>40.950000000000003</v>
      </c>
      <c r="AY1228" s="223">
        <f>151.13-AX1228</f>
        <v>110.17999999999999</v>
      </c>
      <c r="CK1228" s="22">
        <f t="shared" si="129"/>
        <v>457.28</v>
      </c>
      <c r="CL1228" s="3">
        <f t="shared" si="130"/>
        <v>0</v>
      </c>
      <c r="CM1228" s="222">
        <f t="shared" si="131"/>
        <v>13364</v>
      </c>
      <c r="CN1228" s="3" t="str">
        <f t="shared" si="132"/>
        <v>برنامج دولى</v>
      </c>
    </row>
    <row r="1229" spans="3:92" x14ac:dyDescent="0.25">
      <c r="C1229" s="223" t="s">
        <v>566</v>
      </c>
      <c r="D1229" s="224">
        <v>20519</v>
      </c>
      <c r="E1229" s="224">
        <v>13365</v>
      </c>
      <c r="F1229" s="250" t="s">
        <v>78</v>
      </c>
      <c r="G1229" s="223" t="s">
        <v>431</v>
      </c>
      <c r="I1229" s="223">
        <v>2702.16</v>
      </c>
      <c r="AV1229" s="22">
        <f t="shared" si="133"/>
        <v>2702.16</v>
      </c>
      <c r="AW1229" s="223">
        <v>2136.4899999999998</v>
      </c>
      <c r="AX1229" s="223">
        <v>267.35000000000002</v>
      </c>
      <c r="AY1229" s="223">
        <v>298.32</v>
      </c>
      <c r="CK1229" s="22">
        <f t="shared" si="129"/>
        <v>2702.16</v>
      </c>
      <c r="CL1229" s="3">
        <f t="shared" si="130"/>
        <v>0</v>
      </c>
      <c r="CM1229" s="222">
        <f t="shared" si="131"/>
        <v>13365</v>
      </c>
      <c r="CN1229" s="3" t="str">
        <f t="shared" si="132"/>
        <v>برنامج دولى</v>
      </c>
    </row>
    <row r="1230" spans="3:92" x14ac:dyDescent="0.25">
      <c r="C1230" s="223" t="s">
        <v>566</v>
      </c>
      <c r="D1230" s="224">
        <v>20520</v>
      </c>
      <c r="E1230" s="224">
        <v>13366</v>
      </c>
      <c r="F1230" s="250" t="s">
        <v>78</v>
      </c>
      <c r="G1230" s="223" t="str">
        <f>+G1227</f>
        <v>عب تدريس عظام</v>
      </c>
      <c r="I1230" s="223">
        <v>967.3</v>
      </c>
      <c r="AV1230" s="22">
        <f t="shared" si="133"/>
        <v>967.3</v>
      </c>
      <c r="AW1230" s="223">
        <v>647.95000000000005</v>
      </c>
      <c r="AX1230" s="223">
        <v>86.3</v>
      </c>
      <c r="AY1230" s="223">
        <v>233.05</v>
      </c>
      <c r="CK1230" s="22">
        <f t="shared" si="129"/>
        <v>967.3</v>
      </c>
      <c r="CL1230" s="3">
        <f t="shared" si="130"/>
        <v>0</v>
      </c>
      <c r="CM1230" s="222">
        <f t="shared" si="131"/>
        <v>13366</v>
      </c>
      <c r="CN1230" s="3" t="str">
        <f t="shared" si="132"/>
        <v>برنامج دولى</v>
      </c>
    </row>
    <row r="1231" spans="3:92" x14ac:dyDescent="0.25">
      <c r="C1231" s="223" t="s">
        <v>566</v>
      </c>
      <c r="D1231" s="224">
        <v>20528</v>
      </c>
      <c r="E1231" s="224">
        <v>13367</v>
      </c>
      <c r="F1231" s="250" t="s">
        <v>78</v>
      </c>
      <c r="G1231" s="223" t="str">
        <f>+G1229</f>
        <v>عب تدريس انف واذن</v>
      </c>
      <c r="I1231" s="223">
        <v>1899.46</v>
      </c>
      <c r="AV1231" s="22">
        <f t="shared" si="133"/>
        <v>1899.46</v>
      </c>
      <c r="AW1231" s="223">
        <v>1271.2</v>
      </c>
      <c r="AX1231" s="223">
        <f>8.6+162</f>
        <v>170.6</v>
      </c>
      <c r="AY1231" s="223">
        <f>628.26-AX1231</f>
        <v>457.65999999999997</v>
      </c>
      <c r="CK1231" s="22">
        <f t="shared" si="129"/>
        <v>1899.46</v>
      </c>
      <c r="CL1231" s="3">
        <f t="shared" si="130"/>
        <v>0</v>
      </c>
      <c r="CM1231" s="222">
        <f t="shared" si="131"/>
        <v>13367</v>
      </c>
      <c r="CN1231" s="3" t="str">
        <f t="shared" si="132"/>
        <v>برنامج دولى</v>
      </c>
    </row>
    <row r="1232" spans="3:92" x14ac:dyDescent="0.25">
      <c r="C1232" s="223" t="s">
        <v>566</v>
      </c>
      <c r="D1232" s="224">
        <v>20530</v>
      </c>
      <c r="E1232" s="224">
        <v>13368</v>
      </c>
      <c r="F1232" s="250" t="s">
        <v>78</v>
      </c>
      <c r="G1232" s="223" t="str">
        <f>+G1231</f>
        <v>عب تدريس انف واذن</v>
      </c>
      <c r="I1232" s="223">
        <v>9519.9500000000007</v>
      </c>
      <c r="AV1232" s="22">
        <f t="shared" si="133"/>
        <v>9519.9500000000007</v>
      </c>
      <c r="AW1232" s="223">
        <v>7980.16</v>
      </c>
      <c r="AX1232" s="223">
        <v>983.05</v>
      </c>
      <c r="AY1232" s="223">
        <v>556.74</v>
      </c>
      <c r="CK1232" s="22">
        <f t="shared" si="129"/>
        <v>9519.9499999999989</v>
      </c>
      <c r="CL1232" s="3">
        <f t="shared" si="130"/>
        <v>0</v>
      </c>
      <c r="CM1232" s="222">
        <f t="shared" si="131"/>
        <v>13368</v>
      </c>
      <c r="CN1232" s="3" t="str">
        <f t="shared" si="132"/>
        <v>برنامج دولى</v>
      </c>
    </row>
    <row r="1233" spans="3:92" x14ac:dyDescent="0.25">
      <c r="C1233" s="223" t="s">
        <v>566</v>
      </c>
      <c r="D1233" s="224">
        <v>20529</v>
      </c>
      <c r="E1233" s="224">
        <v>13369</v>
      </c>
      <c r="F1233" s="250" t="s">
        <v>78</v>
      </c>
      <c r="G1233" s="223" t="str">
        <f>+G1232</f>
        <v>عب تدريس انف واذن</v>
      </c>
      <c r="I1233" s="223">
        <v>1266.3</v>
      </c>
      <c r="AV1233" s="22">
        <f t="shared" si="133"/>
        <v>1266.3</v>
      </c>
      <c r="AW1233" s="223">
        <v>847.1</v>
      </c>
      <c r="AX1233" s="223">
        <v>114.1</v>
      </c>
      <c r="AY1233" s="223">
        <v>305.10000000000002</v>
      </c>
      <c r="CK1233" s="22">
        <f t="shared" si="129"/>
        <v>1266.3000000000002</v>
      </c>
      <c r="CL1233" s="3">
        <f t="shared" si="130"/>
        <v>0</v>
      </c>
      <c r="CM1233" s="222">
        <f t="shared" si="131"/>
        <v>13369</v>
      </c>
      <c r="CN1233" s="3" t="str">
        <f t="shared" si="132"/>
        <v>برنامج دولى</v>
      </c>
    </row>
    <row r="1234" spans="3:92" x14ac:dyDescent="0.25">
      <c r="C1234" s="223" t="s">
        <v>566</v>
      </c>
      <c r="D1234" s="224">
        <v>20532</v>
      </c>
      <c r="E1234" s="224">
        <v>13370</v>
      </c>
      <c r="F1234" s="250" t="s">
        <v>78</v>
      </c>
      <c r="G1234" s="223" t="str">
        <f>+G1233</f>
        <v>عب تدريس انف واذن</v>
      </c>
      <c r="I1234" s="223">
        <v>46408.17</v>
      </c>
      <c r="AV1234" s="22">
        <f t="shared" si="133"/>
        <v>46408.17</v>
      </c>
      <c r="AW1234" s="223">
        <v>41157.08</v>
      </c>
      <c r="AX1234" s="223">
        <v>4959.3</v>
      </c>
      <c r="AY1234" s="223">
        <v>291.79000000000002</v>
      </c>
      <c r="CK1234" s="22">
        <f t="shared" si="129"/>
        <v>46408.170000000006</v>
      </c>
      <c r="CL1234" s="3">
        <f t="shared" si="130"/>
        <v>0</v>
      </c>
      <c r="CM1234" s="222">
        <f t="shared" si="131"/>
        <v>13370</v>
      </c>
      <c r="CN1234" s="3" t="str">
        <f t="shared" si="132"/>
        <v>برنامج دولى</v>
      </c>
    </row>
    <row r="1235" spans="3:92" x14ac:dyDescent="0.25">
      <c r="C1235" s="223" t="s">
        <v>5189</v>
      </c>
      <c r="D1235" s="224">
        <v>22257</v>
      </c>
      <c r="E1235" s="224">
        <v>13371</v>
      </c>
      <c r="F1235" s="250" t="s">
        <v>78</v>
      </c>
      <c r="G1235" s="223" t="s">
        <v>1929</v>
      </c>
      <c r="I1235" s="223">
        <v>633.15</v>
      </c>
      <c r="AV1235" s="22">
        <f t="shared" si="133"/>
        <v>633.15</v>
      </c>
      <c r="AW1235" s="223">
        <v>424.5</v>
      </c>
      <c r="AX1235" s="223">
        <v>56.1</v>
      </c>
      <c r="AY1235" s="223">
        <v>152.55000000000001</v>
      </c>
      <c r="CK1235" s="22">
        <f t="shared" si="129"/>
        <v>633.15000000000009</v>
      </c>
      <c r="CL1235" s="3">
        <f t="shared" si="130"/>
        <v>0</v>
      </c>
      <c r="CM1235" s="222">
        <f t="shared" si="131"/>
        <v>13371</v>
      </c>
      <c r="CN1235" s="3" t="str">
        <f t="shared" si="132"/>
        <v>برنامج دولى</v>
      </c>
    </row>
    <row r="1236" spans="3:92" x14ac:dyDescent="0.25">
      <c r="C1236" s="223" t="s">
        <v>5189</v>
      </c>
      <c r="D1236" s="224">
        <v>22259</v>
      </c>
      <c r="E1236" s="224">
        <v>13372</v>
      </c>
      <c r="F1236" s="250" t="s">
        <v>78</v>
      </c>
      <c r="G1236" s="223" t="s">
        <v>1929</v>
      </c>
      <c r="I1236" s="223">
        <v>2532.6</v>
      </c>
      <c r="AV1236" s="22">
        <f t="shared" si="133"/>
        <v>2532.6</v>
      </c>
      <c r="AW1236" s="223">
        <v>1692.35</v>
      </c>
      <c r="AX1236" s="223">
        <v>230.05</v>
      </c>
      <c r="AY1236" s="223">
        <v>610.20000000000005</v>
      </c>
      <c r="CK1236" s="22">
        <f t="shared" si="129"/>
        <v>2532.6</v>
      </c>
      <c r="CL1236" s="3">
        <f t="shared" si="130"/>
        <v>0</v>
      </c>
      <c r="CM1236" s="222">
        <f t="shared" si="131"/>
        <v>13372</v>
      </c>
      <c r="CN1236" s="3" t="str">
        <f t="shared" si="132"/>
        <v>برنامج دولى</v>
      </c>
    </row>
    <row r="1237" spans="3:92" x14ac:dyDescent="0.25">
      <c r="C1237" s="223" t="s">
        <v>5189</v>
      </c>
      <c r="D1237" s="224">
        <v>22258</v>
      </c>
      <c r="E1237" s="224">
        <v>13373</v>
      </c>
      <c r="F1237" s="250" t="s">
        <v>78</v>
      </c>
      <c r="G1237" s="223" t="s">
        <v>1929</v>
      </c>
      <c r="I1237" s="223">
        <v>351.76</v>
      </c>
      <c r="AV1237" s="22">
        <f t="shared" si="133"/>
        <v>351.76</v>
      </c>
      <c r="AW1237" s="223">
        <v>236</v>
      </c>
      <c r="AX1237" s="223">
        <v>31</v>
      </c>
      <c r="AY1237" s="223">
        <v>84.76</v>
      </c>
      <c r="CK1237" s="22">
        <f t="shared" si="129"/>
        <v>351.76</v>
      </c>
      <c r="CL1237" s="3">
        <f t="shared" si="130"/>
        <v>0</v>
      </c>
      <c r="CM1237" s="222">
        <f t="shared" si="131"/>
        <v>13373</v>
      </c>
      <c r="CN1237" s="3" t="str">
        <f t="shared" si="132"/>
        <v>برنامج دولى</v>
      </c>
    </row>
    <row r="1238" spans="3:92" x14ac:dyDescent="0.25">
      <c r="C1238" s="223" t="s">
        <v>5189</v>
      </c>
      <c r="D1238" s="224">
        <v>22256</v>
      </c>
      <c r="E1238" s="224">
        <v>13374</v>
      </c>
      <c r="F1238" s="250" t="s">
        <v>78</v>
      </c>
      <c r="G1238" s="223" t="s">
        <v>5558</v>
      </c>
      <c r="I1238" s="223">
        <v>19873.88</v>
      </c>
      <c r="AV1238" s="22">
        <f t="shared" si="133"/>
        <v>19873.88</v>
      </c>
      <c r="AW1238" s="223">
        <v>13279.5</v>
      </c>
      <c r="AX1238" s="223">
        <f>111+1695</f>
        <v>1806</v>
      </c>
      <c r="AY1238" s="223">
        <f>6594.38-AX1238</f>
        <v>4788.38</v>
      </c>
      <c r="CK1238" s="22">
        <f t="shared" si="129"/>
        <v>19873.88</v>
      </c>
      <c r="CL1238" s="3">
        <f t="shared" si="130"/>
        <v>0</v>
      </c>
      <c r="CM1238" s="222">
        <f t="shared" si="131"/>
        <v>13374</v>
      </c>
      <c r="CN1238" s="3" t="str">
        <f t="shared" si="132"/>
        <v>برنامج دولى</v>
      </c>
    </row>
    <row r="1239" spans="3:92" x14ac:dyDescent="0.25">
      <c r="C1239" s="223" t="s">
        <v>5189</v>
      </c>
      <c r="D1239" s="224">
        <v>22260</v>
      </c>
      <c r="E1239" s="224">
        <v>13375</v>
      </c>
      <c r="F1239" s="250" t="s">
        <v>78</v>
      </c>
      <c r="G1239" s="223" t="str">
        <f>+G1237</f>
        <v>عب تدريس جراحه</v>
      </c>
      <c r="I1239" s="223">
        <v>1260</v>
      </c>
      <c r="AV1239" s="22">
        <f t="shared" si="133"/>
        <v>1260</v>
      </c>
      <c r="AW1239" s="223">
        <v>1124.9000000000001</v>
      </c>
      <c r="AX1239" s="223">
        <v>135.1</v>
      </c>
      <c r="CK1239" s="22">
        <f t="shared" si="129"/>
        <v>1260</v>
      </c>
      <c r="CL1239" s="3">
        <f t="shared" si="130"/>
        <v>0</v>
      </c>
      <c r="CM1239" s="222">
        <f t="shared" si="131"/>
        <v>13375</v>
      </c>
      <c r="CN1239" s="3" t="str">
        <f t="shared" si="132"/>
        <v>برنامج دولى</v>
      </c>
    </row>
    <row r="1240" spans="3:92" x14ac:dyDescent="0.25">
      <c r="C1240" s="223" t="s">
        <v>5189</v>
      </c>
      <c r="D1240" s="224">
        <v>21703</v>
      </c>
      <c r="E1240" s="224">
        <v>13376</v>
      </c>
      <c r="F1240" s="250" t="s">
        <v>78</v>
      </c>
      <c r="G1240" s="223" t="str">
        <f>+G1239</f>
        <v>عب تدريس جراحه</v>
      </c>
      <c r="I1240" s="223">
        <v>1582.88</v>
      </c>
      <c r="AV1240" s="22">
        <f t="shared" si="133"/>
        <v>1582.88</v>
      </c>
      <c r="AW1240" s="223">
        <v>1058.75</v>
      </c>
      <c r="AX1240" s="223">
        <f>7.75+135</f>
        <v>142.75</v>
      </c>
      <c r="AY1240" s="223">
        <f>524.13-AX1240</f>
        <v>381.38</v>
      </c>
      <c r="CK1240" s="22">
        <f t="shared" si="129"/>
        <v>1582.88</v>
      </c>
      <c r="CL1240" s="3">
        <f t="shared" si="130"/>
        <v>0</v>
      </c>
      <c r="CM1240" s="222">
        <f t="shared" si="131"/>
        <v>13376</v>
      </c>
      <c r="CN1240" s="3" t="str">
        <f t="shared" si="132"/>
        <v>برنامج دولى</v>
      </c>
    </row>
    <row r="1241" spans="3:92" x14ac:dyDescent="0.25">
      <c r="C1241" s="223" t="s">
        <v>5189</v>
      </c>
      <c r="D1241" s="224">
        <v>21757</v>
      </c>
      <c r="E1241" s="224">
        <v>13377</v>
      </c>
      <c r="F1241" s="250" t="s">
        <v>78</v>
      </c>
      <c r="G1241" s="223" t="str">
        <f>+G1240</f>
        <v>عب تدريس جراحه</v>
      </c>
      <c r="I1241" s="223">
        <v>4221</v>
      </c>
      <c r="AV1241" s="22">
        <f t="shared" si="133"/>
        <v>4221</v>
      </c>
      <c r="AW1241" s="223">
        <v>2820.7</v>
      </c>
      <c r="AX1241" s="223">
        <f>23.3+360</f>
        <v>383.3</v>
      </c>
      <c r="AY1241" s="223">
        <f>1400.3-AX1241</f>
        <v>1017</v>
      </c>
      <c r="CK1241" s="22">
        <f t="shared" si="129"/>
        <v>4221</v>
      </c>
      <c r="CL1241" s="3">
        <f t="shared" si="130"/>
        <v>0</v>
      </c>
      <c r="CM1241" s="222">
        <f t="shared" si="131"/>
        <v>13377</v>
      </c>
      <c r="CN1241" s="3" t="str">
        <f t="shared" si="132"/>
        <v>برنامج دولى</v>
      </c>
    </row>
    <row r="1242" spans="3:92" x14ac:dyDescent="0.25">
      <c r="C1242" s="223" t="s">
        <v>5189</v>
      </c>
      <c r="D1242" s="224">
        <v>21758</v>
      </c>
      <c r="E1242" s="224">
        <v>13378</v>
      </c>
      <c r="F1242" s="250" t="s">
        <v>78</v>
      </c>
      <c r="G1242" s="223" t="str">
        <f t="shared" ref="G1242:G1243" si="134">+G1241</f>
        <v>عب تدريس جراحه</v>
      </c>
      <c r="I1242" s="223">
        <v>3517.5</v>
      </c>
      <c r="AV1242" s="22">
        <f t="shared" si="133"/>
        <v>3517.5</v>
      </c>
      <c r="AW1242" s="223">
        <v>2350.6999999999998</v>
      </c>
      <c r="AX1242" s="223">
        <f>19.3+300</f>
        <v>319.3</v>
      </c>
      <c r="AY1242" s="223">
        <f>1166.8-AX1242</f>
        <v>847.5</v>
      </c>
      <c r="CK1242" s="22">
        <f t="shared" si="129"/>
        <v>3517.5</v>
      </c>
      <c r="CL1242" s="3">
        <f t="shared" si="130"/>
        <v>0</v>
      </c>
      <c r="CM1242" s="222">
        <f t="shared" si="131"/>
        <v>13378</v>
      </c>
      <c r="CN1242" s="3" t="str">
        <f t="shared" si="132"/>
        <v>برنامج دولى</v>
      </c>
    </row>
    <row r="1243" spans="3:92" x14ac:dyDescent="0.25">
      <c r="C1243" s="223" t="s">
        <v>5189</v>
      </c>
      <c r="D1243" s="224">
        <v>21759</v>
      </c>
      <c r="E1243" s="224">
        <v>13379</v>
      </c>
      <c r="F1243" s="250" t="s">
        <v>78</v>
      </c>
      <c r="G1243" s="223" t="str">
        <f t="shared" si="134"/>
        <v>عب تدريس جراحه</v>
      </c>
      <c r="I1243" s="223">
        <v>4924.5</v>
      </c>
      <c r="AV1243" s="22">
        <f t="shared" si="133"/>
        <v>4924.5</v>
      </c>
      <c r="AW1243" s="223">
        <v>3290.7</v>
      </c>
      <c r="AX1243" s="223">
        <f>27.3+420</f>
        <v>447.3</v>
      </c>
      <c r="AY1243" s="223">
        <f>1633.8-AX1243</f>
        <v>1186.5</v>
      </c>
      <c r="CK1243" s="22">
        <f t="shared" si="129"/>
        <v>4924.5</v>
      </c>
      <c r="CL1243" s="3">
        <f t="shared" si="130"/>
        <v>0</v>
      </c>
      <c r="CM1243" s="222">
        <f t="shared" si="131"/>
        <v>13379</v>
      </c>
      <c r="CN1243" s="3" t="str">
        <f t="shared" si="132"/>
        <v>برنامج دولى</v>
      </c>
    </row>
    <row r="1244" spans="3:92" x14ac:dyDescent="0.25">
      <c r="C1244" s="223" t="s">
        <v>5189</v>
      </c>
      <c r="D1244" s="224">
        <v>22261</v>
      </c>
      <c r="E1244" s="224">
        <v>13380</v>
      </c>
      <c r="F1244" s="250" t="s">
        <v>78</v>
      </c>
      <c r="G1244" s="223" t="s">
        <v>4177</v>
      </c>
      <c r="I1244" s="223">
        <v>960</v>
      </c>
      <c r="AV1244" s="22">
        <f t="shared" si="133"/>
        <v>960</v>
      </c>
      <c r="AW1244" s="223">
        <v>857.6</v>
      </c>
      <c r="AX1244" s="223">
        <v>102.4</v>
      </c>
      <c r="CK1244" s="22">
        <f t="shared" si="129"/>
        <v>960</v>
      </c>
      <c r="CL1244" s="3">
        <f t="shared" si="130"/>
        <v>0</v>
      </c>
      <c r="CM1244" s="222">
        <f t="shared" si="131"/>
        <v>13380</v>
      </c>
      <c r="CN1244" s="3" t="str">
        <f t="shared" si="132"/>
        <v>برنامج دولى</v>
      </c>
    </row>
    <row r="1245" spans="3:92" x14ac:dyDescent="0.25">
      <c r="C1245" s="223" t="s">
        <v>5189</v>
      </c>
      <c r="D1245" s="224">
        <v>21755</v>
      </c>
      <c r="E1245" s="224">
        <v>13381</v>
      </c>
      <c r="F1245" s="250" t="s">
        <v>78</v>
      </c>
      <c r="G1245" s="223" t="str">
        <f>+G1243</f>
        <v>عب تدريس جراحه</v>
      </c>
      <c r="I1245" s="223">
        <v>1758.75</v>
      </c>
      <c r="AV1245" s="22">
        <f t="shared" si="133"/>
        <v>1758.75</v>
      </c>
      <c r="AW1245" s="223">
        <v>1176.3</v>
      </c>
      <c r="AX1245" s="223">
        <f>8.7+150</f>
        <v>158.69999999999999</v>
      </c>
      <c r="AY1245" s="223">
        <f>582.45-AX1245</f>
        <v>423.75000000000006</v>
      </c>
      <c r="CK1245" s="22">
        <f t="shared" si="129"/>
        <v>1758.75</v>
      </c>
      <c r="CL1245" s="3">
        <f t="shared" si="130"/>
        <v>0</v>
      </c>
      <c r="CM1245" s="222">
        <f t="shared" si="131"/>
        <v>13381</v>
      </c>
      <c r="CN1245" s="3" t="str">
        <f t="shared" si="132"/>
        <v>برنامج دولى</v>
      </c>
    </row>
    <row r="1246" spans="3:92" x14ac:dyDescent="0.25">
      <c r="C1246" s="223" t="s">
        <v>5189</v>
      </c>
      <c r="D1246" s="224">
        <v>21756</v>
      </c>
      <c r="E1246" s="224">
        <v>13382</v>
      </c>
      <c r="F1246" s="250" t="s">
        <v>78</v>
      </c>
      <c r="G1246" s="223" t="str">
        <f>+G1245</f>
        <v>عب تدريس جراحه</v>
      </c>
      <c r="I1246" s="223">
        <v>1758.75</v>
      </c>
      <c r="AV1246" s="22">
        <f t="shared" si="133"/>
        <v>1758.75</v>
      </c>
      <c r="AW1246" s="223">
        <v>1176.75</v>
      </c>
      <c r="AX1246" s="223">
        <f>150+8.25</f>
        <v>158.25</v>
      </c>
      <c r="AY1246" s="223">
        <f>582-AX1246</f>
        <v>423.75</v>
      </c>
      <c r="CK1246" s="22">
        <f t="shared" si="129"/>
        <v>1758.75</v>
      </c>
      <c r="CL1246" s="3">
        <f t="shared" si="130"/>
        <v>0</v>
      </c>
      <c r="CM1246" s="222">
        <f t="shared" si="131"/>
        <v>13382</v>
      </c>
      <c r="CN1246" s="3" t="str">
        <f t="shared" si="132"/>
        <v>برنامج دولى</v>
      </c>
    </row>
    <row r="1247" spans="3:92" x14ac:dyDescent="0.25">
      <c r="C1247" s="223" t="s">
        <v>5189</v>
      </c>
      <c r="D1247" s="224">
        <v>21754</v>
      </c>
      <c r="E1247" s="224">
        <v>13383</v>
      </c>
      <c r="F1247" s="250" t="s">
        <v>78</v>
      </c>
      <c r="G1247" s="223" t="str">
        <f t="shared" ref="G1247:G1248" si="135">+G1246</f>
        <v>عب تدريس جراحه</v>
      </c>
      <c r="I1247" s="223">
        <v>879.38</v>
      </c>
      <c r="AV1247" s="22">
        <f t="shared" si="133"/>
        <v>879.38</v>
      </c>
      <c r="AW1247" s="223">
        <v>588.15</v>
      </c>
      <c r="AX1247" s="223">
        <f>4.35+75</f>
        <v>79.349999999999994</v>
      </c>
      <c r="AY1247" s="223">
        <f>291.23-AX1247</f>
        <v>211.88000000000002</v>
      </c>
      <c r="CK1247" s="22">
        <f t="shared" si="129"/>
        <v>879.38</v>
      </c>
      <c r="CL1247" s="3">
        <f t="shared" si="130"/>
        <v>0</v>
      </c>
      <c r="CM1247" s="222">
        <f t="shared" si="131"/>
        <v>13383</v>
      </c>
      <c r="CN1247" s="3" t="str">
        <f t="shared" si="132"/>
        <v>برنامج دولى</v>
      </c>
    </row>
    <row r="1248" spans="3:92" x14ac:dyDescent="0.25">
      <c r="C1248" s="223" t="s">
        <v>5189</v>
      </c>
      <c r="D1248" s="224">
        <v>21753</v>
      </c>
      <c r="E1248" s="224">
        <v>13384</v>
      </c>
      <c r="F1248" s="250" t="s">
        <v>78</v>
      </c>
      <c r="G1248" s="223" t="str">
        <f t="shared" si="135"/>
        <v>عب تدريس جراحه</v>
      </c>
      <c r="I1248" s="223">
        <v>1758.75</v>
      </c>
      <c r="AV1248" s="22">
        <f t="shared" si="133"/>
        <v>1758.75</v>
      </c>
      <c r="AW1248" s="223">
        <v>1176.3</v>
      </c>
      <c r="AX1248" s="223">
        <f>8.7+150</f>
        <v>158.69999999999999</v>
      </c>
      <c r="AY1248" s="223">
        <f>582.45-AX1248</f>
        <v>423.75000000000006</v>
      </c>
      <c r="CK1248" s="22">
        <f t="shared" si="129"/>
        <v>1758.75</v>
      </c>
      <c r="CL1248" s="3">
        <f t="shared" si="130"/>
        <v>0</v>
      </c>
      <c r="CM1248" s="222">
        <f t="shared" si="131"/>
        <v>13384</v>
      </c>
      <c r="CN1248" s="3" t="str">
        <f t="shared" si="132"/>
        <v>برنامج دولى</v>
      </c>
    </row>
    <row r="1249" spans="3:92" x14ac:dyDescent="0.25">
      <c r="C1249" s="223" t="s">
        <v>5189</v>
      </c>
      <c r="D1249" s="224">
        <v>20893</v>
      </c>
      <c r="E1249" s="224">
        <v>13385</v>
      </c>
      <c r="F1249" s="250" t="s">
        <v>78</v>
      </c>
      <c r="G1249" s="223" t="s">
        <v>5569</v>
      </c>
      <c r="I1249" s="223">
        <v>20072.59</v>
      </c>
      <c r="AV1249" s="22">
        <f t="shared" si="133"/>
        <v>20072.59</v>
      </c>
      <c r="AW1249" s="223">
        <v>17806.86</v>
      </c>
      <c r="AX1249" s="223">
        <v>2146.85</v>
      </c>
      <c r="AY1249" s="223">
        <v>118.88</v>
      </c>
      <c r="CK1249" s="22">
        <f t="shared" si="129"/>
        <v>20072.59</v>
      </c>
      <c r="CL1249" s="3">
        <f t="shared" si="130"/>
        <v>0</v>
      </c>
      <c r="CM1249" s="222">
        <f t="shared" si="131"/>
        <v>13385</v>
      </c>
      <c r="CN1249" s="3" t="str">
        <f t="shared" si="132"/>
        <v>برنامج دولى</v>
      </c>
    </row>
    <row r="1250" spans="3:92" x14ac:dyDescent="0.25">
      <c r="C1250" s="223" t="s">
        <v>5189</v>
      </c>
      <c r="D1250" s="224">
        <v>20889</v>
      </c>
      <c r="E1250" s="224">
        <v>13386</v>
      </c>
      <c r="F1250" s="250" t="s">
        <v>78</v>
      </c>
      <c r="G1250" s="223" t="s">
        <v>5558</v>
      </c>
      <c r="I1250" s="223">
        <v>703.5</v>
      </c>
      <c r="AV1250" s="22">
        <f t="shared" si="133"/>
        <v>703.5</v>
      </c>
      <c r="AW1250" s="223">
        <v>471.8</v>
      </c>
      <c r="AX1250" s="223">
        <f>2.2+60</f>
        <v>62.2</v>
      </c>
      <c r="AY1250" s="223">
        <f>231.7-AX1250</f>
        <v>169.5</v>
      </c>
      <c r="CK1250" s="22">
        <f t="shared" si="129"/>
        <v>703.5</v>
      </c>
      <c r="CL1250" s="3">
        <f t="shared" si="130"/>
        <v>0</v>
      </c>
      <c r="CM1250" s="222">
        <f t="shared" si="131"/>
        <v>13386</v>
      </c>
      <c r="CN1250" s="3" t="str">
        <f t="shared" si="132"/>
        <v>برنامج دولى</v>
      </c>
    </row>
    <row r="1251" spans="3:92" x14ac:dyDescent="0.25">
      <c r="C1251" s="223" t="s">
        <v>5189</v>
      </c>
      <c r="D1251" s="224">
        <v>21704</v>
      </c>
      <c r="E1251" s="224">
        <v>13387</v>
      </c>
      <c r="F1251" s="250" t="s">
        <v>78</v>
      </c>
      <c r="G1251" s="223" t="s">
        <v>569</v>
      </c>
      <c r="I1251" s="223">
        <v>86693.33</v>
      </c>
      <c r="AV1251" s="22">
        <f t="shared" si="133"/>
        <v>86693.33</v>
      </c>
      <c r="AW1251" s="223">
        <v>72018.460000000006</v>
      </c>
      <c r="AX1251" s="223">
        <v>8937.5</v>
      </c>
      <c r="AY1251" s="223">
        <v>5737.37</v>
      </c>
      <c r="CK1251" s="22">
        <f t="shared" si="129"/>
        <v>86693.33</v>
      </c>
      <c r="CL1251" s="3">
        <f t="shared" si="130"/>
        <v>0</v>
      </c>
      <c r="CM1251" s="222">
        <f t="shared" si="131"/>
        <v>13387</v>
      </c>
      <c r="CN1251" s="3" t="str">
        <f t="shared" si="132"/>
        <v>برنامج دولى</v>
      </c>
    </row>
    <row r="1252" spans="3:92" x14ac:dyDescent="0.25">
      <c r="C1252" s="223" t="s">
        <v>5189</v>
      </c>
      <c r="D1252" s="224">
        <v>21707</v>
      </c>
      <c r="E1252" s="224">
        <v>13388</v>
      </c>
      <c r="F1252" s="250" t="s">
        <v>78</v>
      </c>
      <c r="G1252" s="223" t="s">
        <v>569</v>
      </c>
      <c r="I1252" s="223">
        <v>1538.91</v>
      </c>
      <c r="AV1252" s="22">
        <f t="shared" si="133"/>
        <v>1538.91</v>
      </c>
      <c r="AW1252" s="223">
        <v>1028.49</v>
      </c>
      <c r="AX1252" s="223">
        <v>139.65</v>
      </c>
      <c r="AY1252" s="223">
        <v>370.77</v>
      </c>
      <c r="CK1252" s="22">
        <f t="shared" si="129"/>
        <v>1538.91</v>
      </c>
      <c r="CL1252" s="3">
        <f t="shared" si="130"/>
        <v>0</v>
      </c>
      <c r="CM1252" s="222">
        <f t="shared" si="131"/>
        <v>13388</v>
      </c>
      <c r="CN1252" s="3" t="str">
        <f t="shared" si="132"/>
        <v>برنامج دولى</v>
      </c>
    </row>
    <row r="1253" spans="3:92" x14ac:dyDescent="0.25">
      <c r="C1253" s="223" t="s">
        <v>5189</v>
      </c>
      <c r="D1253" s="224">
        <v>21705</v>
      </c>
      <c r="E1253" s="224">
        <v>13389</v>
      </c>
      <c r="F1253" s="250" t="s">
        <v>78</v>
      </c>
      <c r="G1253" s="223" t="s">
        <v>569</v>
      </c>
      <c r="I1253" s="223">
        <v>50727.8</v>
      </c>
      <c r="AV1253" s="22">
        <f t="shared" si="133"/>
        <v>50727.8</v>
      </c>
      <c r="AW1253" s="223">
        <v>38245</v>
      </c>
      <c r="AX1253" s="223">
        <v>4944.8500000000004</v>
      </c>
      <c r="AY1253" s="223">
        <v>7537.95</v>
      </c>
      <c r="CK1253" s="22">
        <f t="shared" si="129"/>
        <v>50727.799999999996</v>
      </c>
      <c r="CL1253" s="3">
        <f t="shared" si="130"/>
        <v>0</v>
      </c>
      <c r="CM1253" s="222">
        <f t="shared" si="131"/>
        <v>13389</v>
      </c>
      <c r="CN1253" s="3" t="str">
        <f t="shared" si="132"/>
        <v>برنامج دولى</v>
      </c>
    </row>
    <row r="1254" spans="3:92" x14ac:dyDescent="0.25">
      <c r="C1254" s="223" t="s">
        <v>5189</v>
      </c>
      <c r="D1254" s="224">
        <v>21706</v>
      </c>
      <c r="E1254" s="224">
        <v>13390</v>
      </c>
      <c r="F1254" s="250" t="s">
        <v>78</v>
      </c>
      <c r="G1254" s="223" t="s">
        <v>569</v>
      </c>
      <c r="I1254" s="223">
        <v>11457.03</v>
      </c>
      <c r="AV1254" s="22">
        <f t="shared" si="133"/>
        <v>11457.03</v>
      </c>
      <c r="AW1254" s="223">
        <v>8870.68</v>
      </c>
      <c r="AX1254" s="223">
        <v>1129.5999999999999</v>
      </c>
      <c r="AY1254" s="223">
        <v>1456.75</v>
      </c>
      <c r="CK1254" s="22">
        <f t="shared" si="129"/>
        <v>11457.03</v>
      </c>
      <c r="CL1254" s="3">
        <f t="shared" si="130"/>
        <v>0</v>
      </c>
      <c r="CM1254" s="222">
        <f t="shared" si="131"/>
        <v>13390</v>
      </c>
      <c r="CN1254" s="3" t="str">
        <f t="shared" si="132"/>
        <v>برنامج دولى</v>
      </c>
    </row>
    <row r="1255" spans="3:92" x14ac:dyDescent="0.25">
      <c r="C1255" s="223" t="s">
        <v>5189</v>
      </c>
      <c r="D1255" s="224">
        <v>21760</v>
      </c>
      <c r="E1255" s="224">
        <v>13391</v>
      </c>
      <c r="F1255" s="250" t="s">
        <v>78</v>
      </c>
      <c r="G1255" s="223" t="s">
        <v>569</v>
      </c>
      <c r="I1255" s="223">
        <v>1547.7</v>
      </c>
      <c r="AV1255" s="22">
        <f t="shared" si="133"/>
        <v>1547.7</v>
      </c>
      <c r="AW1255" s="223">
        <v>1033.25</v>
      </c>
      <c r="AX1255" s="223">
        <f>9.55+132</f>
        <v>141.55000000000001</v>
      </c>
      <c r="AY1255" s="223">
        <f>514.45-AX1255</f>
        <v>372.90000000000003</v>
      </c>
      <c r="CK1255" s="22">
        <f t="shared" si="129"/>
        <v>1547.7</v>
      </c>
      <c r="CL1255" s="3">
        <f t="shared" si="130"/>
        <v>0</v>
      </c>
      <c r="CM1255" s="222">
        <f t="shared" si="131"/>
        <v>13391</v>
      </c>
      <c r="CN1255" s="3" t="str">
        <f t="shared" si="132"/>
        <v>برنامج دولى</v>
      </c>
    </row>
    <row r="1256" spans="3:92" x14ac:dyDescent="0.25">
      <c r="C1256" s="223" t="s">
        <v>5189</v>
      </c>
      <c r="D1256" s="224">
        <v>20484</v>
      </c>
      <c r="E1256" s="224">
        <v>13392</v>
      </c>
      <c r="F1256" s="250" t="s">
        <v>78</v>
      </c>
      <c r="G1256" s="223" t="s">
        <v>360</v>
      </c>
      <c r="I1256" s="223">
        <v>316.58</v>
      </c>
      <c r="AV1256" s="22">
        <f t="shared" si="133"/>
        <v>316.58</v>
      </c>
      <c r="AW1256" s="223">
        <v>212.6</v>
      </c>
      <c r="AX1256" s="223">
        <v>27.7</v>
      </c>
      <c r="AY1256" s="223">
        <v>76.28</v>
      </c>
      <c r="CK1256" s="22">
        <f t="shared" si="129"/>
        <v>316.58</v>
      </c>
      <c r="CL1256" s="3">
        <f t="shared" si="130"/>
        <v>0</v>
      </c>
      <c r="CM1256" s="222">
        <f t="shared" si="131"/>
        <v>13392</v>
      </c>
      <c r="CN1256" s="3" t="str">
        <f t="shared" si="132"/>
        <v>برنامج دولى</v>
      </c>
    </row>
    <row r="1257" spans="3:92" x14ac:dyDescent="0.25">
      <c r="C1257" s="223" t="s">
        <v>5189</v>
      </c>
      <c r="D1257" s="224">
        <v>20486</v>
      </c>
      <c r="E1257" s="224">
        <v>13393</v>
      </c>
      <c r="F1257" s="250" t="s">
        <v>78</v>
      </c>
      <c r="G1257" s="223" t="str">
        <f>+G1256</f>
        <v>عب تدريس هستولوجى</v>
      </c>
      <c r="I1257" s="223">
        <v>12062.1</v>
      </c>
      <c r="AV1257" s="22">
        <f t="shared" si="133"/>
        <v>12062.1</v>
      </c>
      <c r="AW1257" s="223">
        <v>10669.9</v>
      </c>
      <c r="AX1257" s="223">
        <v>1290.5</v>
      </c>
      <c r="AY1257" s="223">
        <v>101.7</v>
      </c>
      <c r="CK1257" s="22">
        <f t="shared" si="129"/>
        <v>12062.1</v>
      </c>
      <c r="CL1257" s="3">
        <f t="shared" si="130"/>
        <v>0</v>
      </c>
      <c r="CM1257" s="222">
        <f t="shared" si="131"/>
        <v>13393</v>
      </c>
      <c r="CN1257" s="3" t="str">
        <f t="shared" si="132"/>
        <v>برنامج دولى</v>
      </c>
    </row>
    <row r="1258" spans="3:92" x14ac:dyDescent="0.25">
      <c r="C1258" s="223" t="s">
        <v>5189</v>
      </c>
      <c r="D1258" s="224">
        <v>20485</v>
      </c>
      <c r="E1258" s="224">
        <v>13394</v>
      </c>
      <c r="F1258" s="250" t="s">
        <v>78</v>
      </c>
      <c r="G1258" s="223" t="str">
        <f>+G1257</f>
        <v>عب تدريس هستولوجى</v>
      </c>
      <c r="I1258" s="223">
        <v>1220.7</v>
      </c>
      <c r="AV1258" s="22">
        <f t="shared" si="133"/>
        <v>1220.7</v>
      </c>
      <c r="AW1258" s="223">
        <v>1058.95</v>
      </c>
      <c r="AX1258" s="223">
        <v>127.85</v>
      </c>
      <c r="AY1258" s="223">
        <v>33.9</v>
      </c>
      <c r="CK1258" s="22">
        <f t="shared" si="129"/>
        <v>1220.7</v>
      </c>
      <c r="CL1258" s="3">
        <f t="shared" si="130"/>
        <v>0</v>
      </c>
      <c r="CM1258" s="222">
        <f t="shared" si="131"/>
        <v>13394</v>
      </c>
      <c r="CN1258" s="3" t="str">
        <f t="shared" si="132"/>
        <v>برنامج دولى</v>
      </c>
    </row>
    <row r="1259" spans="3:92" x14ac:dyDescent="0.25">
      <c r="C1259" s="223" t="s">
        <v>5189</v>
      </c>
      <c r="D1259" s="224">
        <v>20492</v>
      </c>
      <c r="E1259" s="224">
        <v>13395</v>
      </c>
      <c r="F1259" s="250" t="s">
        <v>78</v>
      </c>
      <c r="G1259" s="223" t="s">
        <v>2588</v>
      </c>
      <c r="I1259" s="223">
        <v>3120</v>
      </c>
      <c r="AV1259" s="22">
        <f t="shared" si="133"/>
        <v>3120</v>
      </c>
      <c r="AW1259" s="223">
        <v>2786.55</v>
      </c>
      <c r="AX1259" s="223">
        <v>333.45</v>
      </c>
      <c r="CK1259" s="22">
        <f t="shared" si="129"/>
        <v>3120</v>
      </c>
      <c r="CL1259" s="3">
        <f t="shared" si="130"/>
        <v>0</v>
      </c>
      <c r="CM1259" s="222">
        <f t="shared" si="131"/>
        <v>13395</v>
      </c>
      <c r="CN1259" s="3" t="str">
        <f t="shared" si="132"/>
        <v>برنامج دولى</v>
      </c>
    </row>
    <row r="1260" spans="3:92" x14ac:dyDescent="0.25">
      <c r="C1260" s="223" t="s">
        <v>5189</v>
      </c>
      <c r="D1260" s="224">
        <v>20487</v>
      </c>
      <c r="E1260" s="224">
        <v>13396</v>
      </c>
      <c r="F1260" s="250" t="s">
        <v>78</v>
      </c>
      <c r="G1260" s="223" t="str">
        <f>+G1258</f>
        <v>عب تدريس هستولوجى</v>
      </c>
      <c r="I1260" s="223">
        <v>540</v>
      </c>
      <c r="AV1260" s="22">
        <f t="shared" si="133"/>
        <v>540</v>
      </c>
      <c r="AW1260" s="223">
        <v>483.1</v>
      </c>
      <c r="AX1260" s="223">
        <v>56.9</v>
      </c>
      <c r="CK1260" s="22">
        <f t="shared" si="129"/>
        <v>540</v>
      </c>
      <c r="CL1260" s="3">
        <f t="shared" si="130"/>
        <v>0</v>
      </c>
      <c r="CM1260" s="222">
        <f t="shared" si="131"/>
        <v>13396</v>
      </c>
      <c r="CN1260" s="3" t="str">
        <f t="shared" si="132"/>
        <v>برنامج دولى</v>
      </c>
    </row>
    <row r="1261" spans="3:92" x14ac:dyDescent="0.25">
      <c r="C1261" s="223" t="s">
        <v>5189</v>
      </c>
      <c r="D1261" s="224">
        <v>20488</v>
      </c>
      <c r="E1261" s="224">
        <v>13397</v>
      </c>
      <c r="F1261" s="250" t="s">
        <v>78</v>
      </c>
      <c r="G1261" s="223" t="s">
        <v>360</v>
      </c>
      <c r="I1261" s="223">
        <v>35.18</v>
      </c>
      <c r="AV1261" s="22">
        <f t="shared" si="133"/>
        <v>35.18</v>
      </c>
      <c r="AW1261" s="223">
        <v>23.7</v>
      </c>
      <c r="AX1261" s="223">
        <v>3</v>
      </c>
      <c r="AY1261" s="223">
        <v>8.48</v>
      </c>
      <c r="CK1261" s="22">
        <f t="shared" si="129"/>
        <v>35.18</v>
      </c>
      <c r="CL1261" s="3">
        <f t="shared" si="130"/>
        <v>0</v>
      </c>
      <c r="CM1261" s="222">
        <f t="shared" si="131"/>
        <v>13397</v>
      </c>
      <c r="CN1261" s="3" t="str">
        <f t="shared" si="132"/>
        <v>برنامج دولى</v>
      </c>
    </row>
    <row r="1262" spans="3:92" x14ac:dyDescent="0.25">
      <c r="C1262" s="223" t="s">
        <v>5189</v>
      </c>
      <c r="D1262" s="224">
        <v>20489</v>
      </c>
      <c r="E1262" s="224">
        <v>13398</v>
      </c>
      <c r="F1262" s="250" t="s">
        <v>78</v>
      </c>
      <c r="G1262" s="223" t="s">
        <v>360</v>
      </c>
      <c r="I1262" s="223">
        <v>140.69999999999999</v>
      </c>
      <c r="AV1262" s="22">
        <f t="shared" si="133"/>
        <v>140.69999999999999</v>
      </c>
      <c r="AW1262" s="223">
        <v>94.7</v>
      </c>
      <c r="AX1262" s="223">
        <v>12.1</v>
      </c>
      <c r="AY1262" s="223">
        <v>33.9</v>
      </c>
      <c r="CK1262" s="22">
        <f t="shared" si="129"/>
        <v>140.69999999999999</v>
      </c>
      <c r="CL1262" s="3">
        <f t="shared" si="130"/>
        <v>0</v>
      </c>
      <c r="CM1262" s="222">
        <f t="shared" si="131"/>
        <v>13398</v>
      </c>
      <c r="CN1262" s="3" t="str">
        <f t="shared" si="132"/>
        <v>برنامج دولى</v>
      </c>
    </row>
    <row r="1263" spans="3:92" x14ac:dyDescent="0.25">
      <c r="C1263" s="223" t="s">
        <v>5189</v>
      </c>
      <c r="D1263" s="224">
        <v>20491</v>
      </c>
      <c r="E1263" s="224">
        <v>13399</v>
      </c>
      <c r="F1263" s="250" t="s">
        <v>78</v>
      </c>
      <c r="G1263" s="223" t="s">
        <v>360</v>
      </c>
      <c r="I1263" s="223">
        <v>10969.7</v>
      </c>
      <c r="AV1263" s="22">
        <f t="shared" si="133"/>
        <v>10969.7</v>
      </c>
      <c r="AW1263" s="223">
        <v>9637.39</v>
      </c>
      <c r="AX1263" s="223">
        <v>1164.95</v>
      </c>
      <c r="AY1263" s="223">
        <v>167.36</v>
      </c>
      <c r="CK1263" s="22">
        <f t="shared" si="129"/>
        <v>10969.7</v>
      </c>
      <c r="CL1263" s="3">
        <f t="shared" si="130"/>
        <v>0</v>
      </c>
      <c r="CM1263" s="222">
        <f t="shared" si="131"/>
        <v>13399</v>
      </c>
      <c r="CN1263" s="3" t="str">
        <f t="shared" si="132"/>
        <v>برنامج دولى</v>
      </c>
    </row>
    <row r="1264" spans="3:92" x14ac:dyDescent="0.25">
      <c r="C1264" s="223" t="s">
        <v>5189</v>
      </c>
      <c r="D1264" s="224">
        <v>20490</v>
      </c>
      <c r="E1264" s="224">
        <v>13400</v>
      </c>
      <c r="F1264" s="250" t="s">
        <v>78</v>
      </c>
      <c r="G1264" s="223" t="s">
        <v>360</v>
      </c>
      <c r="I1264" s="223">
        <v>3455.94</v>
      </c>
      <c r="AV1264" s="22">
        <f t="shared" si="133"/>
        <v>3455.94</v>
      </c>
      <c r="AW1264" s="223">
        <v>2310.54</v>
      </c>
      <c r="AX1264" s="223">
        <v>312.75</v>
      </c>
      <c r="AY1264" s="223">
        <v>832.65</v>
      </c>
      <c r="CK1264" s="22">
        <f t="shared" si="129"/>
        <v>3455.94</v>
      </c>
      <c r="CL1264" s="3">
        <f t="shared" si="130"/>
        <v>0</v>
      </c>
      <c r="CM1264" s="222">
        <f t="shared" si="131"/>
        <v>13400</v>
      </c>
      <c r="CN1264" s="3" t="str">
        <f t="shared" si="132"/>
        <v>برنامج دولى</v>
      </c>
    </row>
    <row r="1265" spans="3:92" x14ac:dyDescent="0.25">
      <c r="C1265" s="223" t="s">
        <v>5189</v>
      </c>
      <c r="D1265" s="224">
        <v>20493</v>
      </c>
      <c r="E1265" s="224">
        <v>13401</v>
      </c>
      <c r="F1265" s="250" t="s">
        <v>78</v>
      </c>
      <c r="G1265" s="223" t="s">
        <v>360</v>
      </c>
      <c r="I1265" s="223">
        <v>133741.09</v>
      </c>
      <c r="AV1265" s="22">
        <f t="shared" si="133"/>
        <v>133741.09</v>
      </c>
      <c r="AW1265" s="223">
        <v>118704.45</v>
      </c>
      <c r="AX1265" s="223">
        <v>14382.9</v>
      </c>
      <c r="AY1265" s="223">
        <v>173.74</v>
      </c>
      <c r="BA1265" s="223">
        <v>480</v>
      </c>
      <c r="CK1265" s="22">
        <f t="shared" si="129"/>
        <v>133741.09</v>
      </c>
      <c r="CL1265" s="3">
        <f t="shared" si="130"/>
        <v>0</v>
      </c>
      <c r="CM1265" s="222">
        <f t="shared" si="131"/>
        <v>13401</v>
      </c>
      <c r="CN1265" s="3" t="str">
        <f t="shared" si="132"/>
        <v>برنامج دولى</v>
      </c>
    </row>
    <row r="1266" spans="3:92" x14ac:dyDescent="0.25">
      <c r="C1266" s="223" t="s">
        <v>566</v>
      </c>
      <c r="D1266" s="224">
        <v>22267</v>
      </c>
      <c r="E1266" s="224">
        <v>13402</v>
      </c>
      <c r="F1266" s="250" t="s">
        <v>78</v>
      </c>
      <c r="G1266" s="223" t="s">
        <v>360</v>
      </c>
      <c r="I1266" s="223">
        <v>105.53</v>
      </c>
      <c r="AV1266" s="22">
        <f t="shared" si="133"/>
        <v>105.53</v>
      </c>
      <c r="AW1266" s="223">
        <v>71.05</v>
      </c>
      <c r="AX1266" s="223">
        <v>9.0500000000000007</v>
      </c>
      <c r="AY1266" s="223">
        <v>25.43</v>
      </c>
      <c r="CK1266" s="22">
        <f t="shared" si="129"/>
        <v>105.53</v>
      </c>
      <c r="CL1266" s="3">
        <f t="shared" si="130"/>
        <v>0</v>
      </c>
      <c r="CM1266" s="222">
        <f t="shared" si="131"/>
        <v>13402</v>
      </c>
      <c r="CN1266" s="3" t="str">
        <f t="shared" si="132"/>
        <v>برنامج دولى</v>
      </c>
    </row>
    <row r="1267" spans="3:92" x14ac:dyDescent="0.25">
      <c r="C1267" s="223" t="s">
        <v>566</v>
      </c>
      <c r="D1267" s="224">
        <v>22265</v>
      </c>
      <c r="E1267" s="224">
        <v>13403</v>
      </c>
      <c r="F1267" s="250" t="s">
        <v>78</v>
      </c>
      <c r="G1267" s="223" t="s">
        <v>360</v>
      </c>
      <c r="I1267" s="223">
        <v>4380</v>
      </c>
      <c r="AV1267" s="22">
        <f t="shared" si="133"/>
        <v>4380</v>
      </c>
      <c r="AW1267" s="223">
        <v>3910.65</v>
      </c>
      <c r="AX1267" s="223">
        <v>469.35</v>
      </c>
      <c r="CK1267" s="22">
        <f t="shared" ref="CK1267:CK1330" si="136">SUM(AW1267:CJ1267)</f>
        <v>4380</v>
      </c>
      <c r="CL1267" s="3">
        <f t="shared" ref="CL1267:CL1330" si="137">+CK1267-AV1267</f>
        <v>0</v>
      </c>
      <c r="CM1267" s="222">
        <f t="shared" ref="CM1267:CM1330" si="138">+E1267</f>
        <v>13403</v>
      </c>
      <c r="CN1267" s="3" t="str">
        <f t="shared" ref="CN1267:CN1330" si="139">+F1267</f>
        <v>برنامج دولى</v>
      </c>
    </row>
    <row r="1268" spans="3:92" x14ac:dyDescent="0.25">
      <c r="C1268" s="223" t="s">
        <v>566</v>
      </c>
      <c r="D1268" s="224">
        <v>22266</v>
      </c>
      <c r="E1268" s="224">
        <v>13404</v>
      </c>
      <c r="F1268" s="250" t="s">
        <v>78</v>
      </c>
      <c r="G1268" s="223" t="s">
        <v>360</v>
      </c>
      <c r="I1268" s="223">
        <v>35.18</v>
      </c>
      <c r="AV1268" s="22">
        <f t="shared" si="133"/>
        <v>35.18</v>
      </c>
      <c r="AW1268" s="223">
        <v>23.7</v>
      </c>
      <c r="AX1268" s="223">
        <v>3</v>
      </c>
      <c r="AY1268" s="223">
        <v>8.48</v>
      </c>
      <c r="CK1268" s="22">
        <f t="shared" si="136"/>
        <v>35.18</v>
      </c>
      <c r="CL1268" s="3">
        <f t="shared" si="137"/>
        <v>0</v>
      </c>
      <c r="CM1268" s="222">
        <f t="shared" si="138"/>
        <v>13404</v>
      </c>
      <c r="CN1268" s="3" t="str">
        <f t="shared" si="139"/>
        <v>برنامج دولى</v>
      </c>
    </row>
    <row r="1269" spans="3:92" x14ac:dyDescent="0.25">
      <c r="C1269" s="223" t="s">
        <v>566</v>
      </c>
      <c r="D1269" s="224">
        <v>22457</v>
      </c>
      <c r="E1269" s="224">
        <v>13405</v>
      </c>
      <c r="F1269" s="250" t="s">
        <v>78</v>
      </c>
      <c r="G1269" s="223" t="s">
        <v>569</v>
      </c>
      <c r="I1269" s="223">
        <v>1086.22</v>
      </c>
      <c r="AV1269" s="22">
        <f t="shared" si="133"/>
        <v>1086.22</v>
      </c>
      <c r="AW1269" s="223">
        <v>916.15</v>
      </c>
      <c r="AX1269" s="223">
        <v>110.75</v>
      </c>
      <c r="AY1269" s="223">
        <v>59.32</v>
      </c>
      <c r="CK1269" s="22">
        <f t="shared" si="136"/>
        <v>1086.22</v>
      </c>
      <c r="CL1269" s="3">
        <f t="shared" si="137"/>
        <v>0</v>
      </c>
      <c r="CM1269" s="222">
        <f t="shared" si="138"/>
        <v>13405</v>
      </c>
      <c r="CN1269" s="3" t="str">
        <f t="shared" si="139"/>
        <v>برنامج دولى</v>
      </c>
    </row>
    <row r="1270" spans="3:92" x14ac:dyDescent="0.25">
      <c r="C1270" s="223" t="s">
        <v>566</v>
      </c>
      <c r="D1270" s="224">
        <v>22263</v>
      </c>
      <c r="E1270" s="224">
        <v>13406</v>
      </c>
      <c r="F1270" s="250" t="s">
        <v>78</v>
      </c>
      <c r="G1270" s="223" t="s">
        <v>569</v>
      </c>
      <c r="I1270" s="223">
        <v>10200</v>
      </c>
      <c r="AV1270" s="22">
        <f t="shared" si="133"/>
        <v>10200</v>
      </c>
      <c r="AW1270" s="223">
        <v>9099.7999999999993</v>
      </c>
      <c r="AX1270" s="223">
        <v>1100.2</v>
      </c>
      <c r="CK1270" s="22">
        <f t="shared" si="136"/>
        <v>10200</v>
      </c>
      <c r="CL1270" s="3">
        <f t="shared" si="137"/>
        <v>0</v>
      </c>
      <c r="CM1270" s="222">
        <f t="shared" si="138"/>
        <v>13406</v>
      </c>
      <c r="CN1270" s="3" t="str">
        <f t="shared" si="139"/>
        <v>برنامج دولى</v>
      </c>
    </row>
    <row r="1271" spans="3:92" x14ac:dyDescent="0.25">
      <c r="C1271" s="223" t="s">
        <v>566</v>
      </c>
      <c r="D1271" s="224">
        <v>22262</v>
      </c>
      <c r="E1271" s="224">
        <v>13407</v>
      </c>
      <c r="F1271" s="250" t="s">
        <v>78</v>
      </c>
      <c r="G1271" s="223" t="s">
        <v>569</v>
      </c>
      <c r="I1271" s="223">
        <v>3180</v>
      </c>
      <c r="AV1271" s="22">
        <f t="shared" si="133"/>
        <v>3180</v>
      </c>
      <c r="AW1271" s="223">
        <v>2838.5</v>
      </c>
      <c r="AX1271" s="223">
        <v>341.5</v>
      </c>
      <c r="CK1271" s="22">
        <f t="shared" si="136"/>
        <v>3180</v>
      </c>
      <c r="CL1271" s="3">
        <f t="shared" si="137"/>
        <v>0</v>
      </c>
      <c r="CM1271" s="222">
        <f t="shared" si="138"/>
        <v>13407</v>
      </c>
      <c r="CN1271" s="3" t="str">
        <f t="shared" si="139"/>
        <v>برنامج دولى</v>
      </c>
    </row>
    <row r="1272" spans="3:92" x14ac:dyDescent="0.25">
      <c r="C1272" s="223" t="s">
        <v>566</v>
      </c>
      <c r="D1272" s="224">
        <v>22264</v>
      </c>
      <c r="E1272" s="224">
        <v>13408</v>
      </c>
      <c r="F1272" s="250" t="s">
        <v>78</v>
      </c>
      <c r="G1272" s="223" t="s">
        <v>569</v>
      </c>
      <c r="I1272" s="223">
        <v>246.22</v>
      </c>
      <c r="AV1272" s="22">
        <f t="shared" si="133"/>
        <v>246.22</v>
      </c>
      <c r="AW1272" s="223">
        <v>165.05</v>
      </c>
      <c r="AX1272" s="223">
        <v>21.85</v>
      </c>
      <c r="AY1272" s="223">
        <v>59.32</v>
      </c>
      <c r="CK1272" s="22">
        <f t="shared" si="136"/>
        <v>246.22</v>
      </c>
      <c r="CL1272" s="3">
        <f t="shared" si="137"/>
        <v>0</v>
      </c>
      <c r="CM1272" s="222">
        <f t="shared" si="138"/>
        <v>13408</v>
      </c>
      <c r="CN1272" s="3" t="str">
        <f t="shared" si="139"/>
        <v>برنامج دولى</v>
      </c>
    </row>
    <row r="1273" spans="3:92" x14ac:dyDescent="0.25">
      <c r="C1273" s="223" t="s">
        <v>5189</v>
      </c>
      <c r="D1273" s="224">
        <v>21738</v>
      </c>
      <c r="E1273" s="224">
        <v>13409</v>
      </c>
      <c r="F1273" s="250" t="s">
        <v>78</v>
      </c>
      <c r="G1273" s="223" t="str">
        <f>+G1243</f>
        <v>عب تدريس جراحه</v>
      </c>
      <c r="I1273" s="223">
        <v>1440</v>
      </c>
      <c r="AV1273" s="22">
        <f t="shared" si="133"/>
        <v>1440</v>
      </c>
      <c r="AW1273" s="223">
        <v>1285.55</v>
      </c>
      <c r="AX1273" s="223">
        <v>154.44999999999999</v>
      </c>
      <c r="CK1273" s="22">
        <f t="shared" si="136"/>
        <v>1440</v>
      </c>
      <c r="CL1273" s="3">
        <f t="shared" si="137"/>
        <v>0</v>
      </c>
      <c r="CM1273" s="222">
        <f t="shared" si="138"/>
        <v>13409</v>
      </c>
      <c r="CN1273" s="3" t="str">
        <f t="shared" si="139"/>
        <v>برنامج دولى</v>
      </c>
    </row>
    <row r="1274" spans="3:92" x14ac:dyDescent="0.25">
      <c r="C1274" s="223" t="s">
        <v>5189</v>
      </c>
      <c r="D1274" s="224">
        <v>21736</v>
      </c>
      <c r="E1274" s="224">
        <v>13410</v>
      </c>
      <c r="F1274" s="250" t="s">
        <v>78</v>
      </c>
      <c r="G1274" s="223" t="str">
        <f>+G1273</f>
        <v>عب تدريس جراحه</v>
      </c>
      <c r="I1274" s="223">
        <v>351.75</v>
      </c>
      <c r="AV1274" s="22">
        <f t="shared" si="133"/>
        <v>351.75</v>
      </c>
      <c r="AW1274" s="223">
        <v>235.55</v>
      </c>
      <c r="AX1274" s="223">
        <v>31.45</v>
      </c>
      <c r="AY1274" s="223">
        <v>84.75</v>
      </c>
      <c r="CK1274" s="22">
        <f t="shared" si="136"/>
        <v>351.75</v>
      </c>
      <c r="CL1274" s="3">
        <f t="shared" si="137"/>
        <v>0</v>
      </c>
      <c r="CM1274" s="222">
        <f t="shared" si="138"/>
        <v>13410</v>
      </c>
      <c r="CN1274" s="3" t="str">
        <f t="shared" si="139"/>
        <v>برنامج دولى</v>
      </c>
    </row>
    <row r="1275" spans="3:92" x14ac:dyDescent="0.25">
      <c r="C1275" s="223" t="s">
        <v>5189</v>
      </c>
      <c r="D1275" s="224">
        <v>21737</v>
      </c>
      <c r="E1275" s="224">
        <v>13411</v>
      </c>
      <c r="F1275" s="250" t="s">
        <v>78</v>
      </c>
      <c r="G1275" s="223" t="str">
        <f t="shared" ref="G1275:G1278" si="140">+G1245</f>
        <v>عب تدريس جراحه</v>
      </c>
      <c r="I1275" s="223">
        <v>2100</v>
      </c>
      <c r="AV1275" s="22">
        <f t="shared" si="133"/>
        <v>2100</v>
      </c>
      <c r="AW1275" s="223">
        <v>1874.6</v>
      </c>
      <c r="AX1275" s="223">
        <v>225.4</v>
      </c>
      <c r="CK1275" s="22">
        <f t="shared" si="136"/>
        <v>2100</v>
      </c>
      <c r="CL1275" s="3">
        <f t="shared" si="137"/>
        <v>0</v>
      </c>
      <c r="CM1275" s="222">
        <f t="shared" si="138"/>
        <v>13411</v>
      </c>
      <c r="CN1275" s="3" t="str">
        <f t="shared" si="139"/>
        <v>برنامج دولى</v>
      </c>
    </row>
    <row r="1276" spans="3:92" x14ac:dyDescent="0.25">
      <c r="C1276" s="223" t="s">
        <v>5189</v>
      </c>
      <c r="D1276" s="224">
        <v>21735</v>
      </c>
      <c r="E1276" s="224">
        <v>13412</v>
      </c>
      <c r="F1276" s="250" t="s">
        <v>78</v>
      </c>
      <c r="G1276" s="223" t="str">
        <f t="shared" si="140"/>
        <v>عب تدريس جراحه</v>
      </c>
      <c r="I1276" s="223">
        <v>422.1</v>
      </c>
      <c r="AV1276" s="22">
        <f t="shared" si="133"/>
        <v>422.1</v>
      </c>
      <c r="AW1276" s="223">
        <v>282.60000000000002</v>
      </c>
      <c r="AX1276" s="223">
        <f>36+1.8</f>
        <v>37.799999999999997</v>
      </c>
      <c r="AY1276" s="223">
        <f>139.5-AX1276</f>
        <v>101.7</v>
      </c>
      <c r="CK1276" s="22">
        <f t="shared" si="136"/>
        <v>422.1</v>
      </c>
      <c r="CL1276" s="3">
        <f t="shared" si="137"/>
        <v>0</v>
      </c>
      <c r="CM1276" s="222">
        <f t="shared" si="138"/>
        <v>13412</v>
      </c>
      <c r="CN1276" s="3" t="str">
        <f t="shared" si="139"/>
        <v>برنامج دولى</v>
      </c>
    </row>
    <row r="1277" spans="3:92" x14ac:dyDescent="0.25">
      <c r="C1277" s="223" t="s">
        <v>5189</v>
      </c>
      <c r="D1277" s="224">
        <v>21746</v>
      </c>
      <c r="E1277" s="224">
        <v>13413</v>
      </c>
      <c r="F1277" s="250" t="s">
        <v>78</v>
      </c>
      <c r="G1277" s="223" t="str">
        <f t="shared" si="140"/>
        <v>عب تدريس جراحه</v>
      </c>
      <c r="I1277" s="223">
        <v>3600</v>
      </c>
      <c r="AV1277" s="22">
        <f t="shared" si="133"/>
        <v>3600</v>
      </c>
      <c r="AW1277" s="223">
        <v>3213.7</v>
      </c>
      <c r="AX1277" s="223">
        <v>386.3</v>
      </c>
      <c r="CK1277" s="22">
        <f t="shared" si="136"/>
        <v>3600</v>
      </c>
      <c r="CL1277" s="3">
        <f t="shared" si="137"/>
        <v>0</v>
      </c>
      <c r="CM1277" s="222">
        <f t="shared" si="138"/>
        <v>13413</v>
      </c>
      <c r="CN1277" s="3" t="str">
        <f t="shared" si="139"/>
        <v>برنامج دولى</v>
      </c>
    </row>
    <row r="1278" spans="3:92" x14ac:dyDescent="0.25">
      <c r="C1278" s="223" t="s">
        <v>5189</v>
      </c>
      <c r="D1278" s="224">
        <v>21747</v>
      </c>
      <c r="E1278" s="224">
        <v>13414</v>
      </c>
      <c r="F1278" s="250" t="s">
        <v>78</v>
      </c>
      <c r="G1278" s="223" t="str">
        <f t="shared" si="140"/>
        <v>عب تدريس جراحه</v>
      </c>
      <c r="I1278" s="223">
        <v>37650</v>
      </c>
      <c r="AV1278" s="22">
        <f t="shared" si="133"/>
        <v>37650</v>
      </c>
      <c r="AW1278" s="223">
        <v>33623.25</v>
      </c>
      <c r="AX1278" s="223">
        <v>4026.75</v>
      </c>
      <c r="CK1278" s="22">
        <f t="shared" si="136"/>
        <v>37650</v>
      </c>
      <c r="CL1278" s="3">
        <f t="shared" si="137"/>
        <v>0</v>
      </c>
      <c r="CM1278" s="222">
        <f t="shared" si="138"/>
        <v>13414</v>
      </c>
      <c r="CN1278" s="3" t="str">
        <f t="shared" si="139"/>
        <v>برنامج دولى</v>
      </c>
    </row>
    <row r="1279" spans="3:92" x14ac:dyDescent="0.25">
      <c r="C1279" s="223" t="s">
        <v>5189</v>
      </c>
      <c r="D1279" s="224">
        <v>21744</v>
      </c>
      <c r="E1279" s="224">
        <v>13415</v>
      </c>
      <c r="F1279" s="250" t="s">
        <v>78</v>
      </c>
      <c r="G1279" s="223" t="str">
        <f>+G1278</f>
        <v>عب تدريس جراحه</v>
      </c>
      <c r="I1279" s="223">
        <v>1266.3</v>
      </c>
      <c r="AV1279" s="22">
        <f t="shared" si="133"/>
        <v>1266.3</v>
      </c>
      <c r="AW1279" s="223">
        <v>846.35</v>
      </c>
      <c r="AX1279" s="223">
        <v>114.85</v>
      </c>
      <c r="AY1279" s="223">
        <v>305.10000000000002</v>
      </c>
      <c r="CK1279" s="22">
        <f t="shared" si="136"/>
        <v>1266.3000000000002</v>
      </c>
      <c r="CL1279" s="3">
        <f t="shared" si="137"/>
        <v>0</v>
      </c>
      <c r="CM1279" s="222">
        <f t="shared" si="138"/>
        <v>13415</v>
      </c>
      <c r="CN1279" s="3" t="str">
        <f t="shared" si="139"/>
        <v>برنامج دولى</v>
      </c>
    </row>
    <row r="1280" spans="3:92" x14ac:dyDescent="0.25">
      <c r="C1280" s="223" t="s">
        <v>5189</v>
      </c>
      <c r="D1280" s="224">
        <v>21745</v>
      </c>
      <c r="E1280" s="224">
        <v>13416</v>
      </c>
      <c r="F1280" s="250" t="s">
        <v>78</v>
      </c>
      <c r="G1280" s="223" t="str">
        <f>+G1279</f>
        <v>عب تدريس جراحه</v>
      </c>
      <c r="I1280" s="223">
        <v>2110.5</v>
      </c>
      <c r="AV1280" s="22">
        <f t="shared" si="133"/>
        <v>2110.5</v>
      </c>
      <c r="AW1280" s="223">
        <v>1411.4</v>
      </c>
      <c r="AX1280" s="223">
        <v>190.6</v>
      </c>
      <c r="AY1280" s="223">
        <v>508.5</v>
      </c>
      <c r="CK1280" s="22">
        <f t="shared" si="136"/>
        <v>2110.5</v>
      </c>
      <c r="CL1280" s="3">
        <f t="shared" si="137"/>
        <v>0</v>
      </c>
      <c r="CM1280" s="222">
        <f t="shared" si="138"/>
        <v>13416</v>
      </c>
      <c r="CN1280" s="3" t="str">
        <f t="shared" si="139"/>
        <v>برنامج دولى</v>
      </c>
    </row>
    <row r="1281" spans="3:92" x14ac:dyDescent="0.25">
      <c r="C1281" s="223" t="s">
        <v>5189</v>
      </c>
      <c r="D1281" s="224">
        <v>21750</v>
      </c>
      <c r="E1281" s="224">
        <v>13417</v>
      </c>
      <c r="F1281" s="250" t="s">
        <v>78</v>
      </c>
      <c r="G1281" s="223" t="str">
        <f t="shared" ref="G1281:G1294" si="141">+G1280</f>
        <v>عب تدريس جراحه</v>
      </c>
      <c r="I1281" s="223">
        <v>1160.78</v>
      </c>
      <c r="AV1281" s="22">
        <f t="shared" ref="AV1281:AV1344" si="142">SUM(I1281:AU1281)</f>
        <v>1160.78</v>
      </c>
      <c r="AW1281" s="223">
        <v>776.25</v>
      </c>
      <c r="AX1281" s="223">
        <v>104.85</v>
      </c>
      <c r="AY1281" s="223">
        <v>279.68</v>
      </c>
      <c r="CK1281" s="22">
        <f t="shared" si="136"/>
        <v>1160.78</v>
      </c>
      <c r="CL1281" s="3">
        <f t="shared" si="137"/>
        <v>0</v>
      </c>
      <c r="CM1281" s="222">
        <f t="shared" si="138"/>
        <v>13417</v>
      </c>
      <c r="CN1281" s="3" t="str">
        <f t="shared" si="139"/>
        <v>برنامج دولى</v>
      </c>
    </row>
    <row r="1282" spans="3:92" x14ac:dyDescent="0.25">
      <c r="C1282" s="223" t="s">
        <v>5189</v>
      </c>
      <c r="D1282" s="224">
        <v>21751</v>
      </c>
      <c r="E1282" s="224">
        <v>13418</v>
      </c>
      <c r="F1282" s="250" t="s">
        <v>78</v>
      </c>
      <c r="G1282" s="223" t="str">
        <f t="shared" si="141"/>
        <v>عب تدريس جراحه</v>
      </c>
      <c r="I1282" s="223">
        <v>34800</v>
      </c>
      <c r="AV1282" s="22">
        <f t="shared" si="142"/>
        <v>34800</v>
      </c>
      <c r="AW1282" s="223">
        <v>31059.05</v>
      </c>
      <c r="AX1282" s="223">
        <v>3740.95</v>
      </c>
      <c r="CK1282" s="22">
        <f t="shared" si="136"/>
        <v>34800</v>
      </c>
      <c r="CL1282" s="3">
        <f t="shared" si="137"/>
        <v>0</v>
      </c>
      <c r="CM1282" s="222">
        <f t="shared" si="138"/>
        <v>13418</v>
      </c>
      <c r="CN1282" s="3" t="str">
        <f t="shared" si="139"/>
        <v>برنامج دولى</v>
      </c>
    </row>
    <row r="1283" spans="3:92" x14ac:dyDescent="0.25">
      <c r="C1283" s="223" t="s">
        <v>5189</v>
      </c>
      <c r="D1283" s="224">
        <v>21749</v>
      </c>
      <c r="E1283" s="224">
        <v>13419</v>
      </c>
      <c r="F1283" s="250" t="s">
        <v>78</v>
      </c>
      <c r="G1283" s="223" t="str">
        <f t="shared" si="141"/>
        <v>عب تدريس جراحه</v>
      </c>
      <c r="I1283" s="223">
        <v>1934.62</v>
      </c>
      <c r="AV1283" s="22">
        <f t="shared" si="142"/>
        <v>1934.62</v>
      </c>
      <c r="AW1283" s="223">
        <v>1293.9000000000001</v>
      </c>
      <c r="AX1283" s="223">
        <v>174.6</v>
      </c>
      <c r="AY1283" s="223">
        <v>466.12</v>
      </c>
      <c r="CK1283" s="22">
        <f t="shared" si="136"/>
        <v>1934.62</v>
      </c>
      <c r="CL1283" s="3">
        <f t="shared" si="137"/>
        <v>0</v>
      </c>
      <c r="CM1283" s="222">
        <f t="shared" si="138"/>
        <v>13419</v>
      </c>
      <c r="CN1283" s="3" t="str">
        <f t="shared" si="139"/>
        <v>برنامج دولى</v>
      </c>
    </row>
    <row r="1284" spans="3:92" x14ac:dyDescent="0.25">
      <c r="C1284" s="223" t="s">
        <v>5189</v>
      </c>
      <c r="D1284" s="224">
        <v>21748</v>
      </c>
      <c r="E1284" s="224">
        <v>13420</v>
      </c>
      <c r="F1284" s="250" t="s">
        <v>78</v>
      </c>
      <c r="G1284" s="223" t="str">
        <f t="shared" si="141"/>
        <v>عب تدريس جراحه</v>
      </c>
      <c r="I1284" s="223">
        <v>3300</v>
      </c>
      <c r="AV1284" s="22">
        <f t="shared" si="142"/>
        <v>3300</v>
      </c>
      <c r="AW1284" s="223">
        <v>2946</v>
      </c>
      <c r="AX1284" s="223">
        <v>354</v>
      </c>
      <c r="CK1284" s="22">
        <f t="shared" si="136"/>
        <v>3300</v>
      </c>
      <c r="CL1284" s="3">
        <f t="shared" si="137"/>
        <v>0</v>
      </c>
      <c r="CM1284" s="222">
        <f t="shared" si="138"/>
        <v>13420</v>
      </c>
      <c r="CN1284" s="3" t="str">
        <f t="shared" si="139"/>
        <v>برنامج دولى</v>
      </c>
    </row>
    <row r="1285" spans="3:92" x14ac:dyDescent="0.25">
      <c r="C1285" s="223" t="s">
        <v>5189</v>
      </c>
      <c r="D1285" s="224">
        <v>21714</v>
      </c>
      <c r="E1285" s="224">
        <v>13421</v>
      </c>
      <c r="F1285" s="250" t="s">
        <v>78</v>
      </c>
      <c r="G1285" s="223" t="str">
        <f t="shared" si="141"/>
        <v>عب تدريس جراحه</v>
      </c>
      <c r="I1285" s="223">
        <v>27600</v>
      </c>
      <c r="AV1285" s="22">
        <f t="shared" si="142"/>
        <v>27600</v>
      </c>
      <c r="AW1285" s="223">
        <v>24624.75</v>
      </c>
      <c r="AX1285" s="223">
        <v>2975.25</v>
      </c>
      <c r="CK1285" s="22">
        <f t="shared" si="136"/>
        <v>27600</v>
      </c>
      <c r="CL1285" s="3">
        <f t="shared" si="137"/>
        <v>0</v>
      </c>
      <c r="CM1285" s="222">
        <f t="shared" si="138"/>
        <v>13421</v>
      </c>
      <c r="CN1285" s="3" t="str">
        <f t="shared" si="139"/>
        <v>برنامج دولى</v>
      </c>
    </row>
    <row r="1286" spans="3:92" x14ac:dyDescent="0.25">
      <c r="C1286" s="223" t="s">
        <v>5189</v>
      </c>
      <c r="D1286" s="224" t="s">
        <v>5570</v>
      </c>
      <c r="E1286" s="224">
        <v>13422</v>
      </c>
      <c r="F1286" s="250" t="s">
        <v>78</v>
      </c>
      <c r="G1286" s="223" t="str">
        <f t="shared" si="141"/>
        <v>عب تدريس جراحه</v>
      </c>
      <c r="I1286" s="223">
        <v>914.55</v>
      </c>
      <c r="AV1286" s="22">
        <f t="shared" si="142"/>
        <v>914.55</v>
      </c>
      <c r="AW1286" s="223">
        <v>611.65</v>
      </c>
      <c r="AX1286" s="223">
        <f>4.55+78</f>
        <v>82.55</v>
      </c>
      <c r="AY1286" s="223">
        <f>302.9-AX1286</f>
        <v>220.34999999999997</v>
      </c>
      <c r="CK1286" s="22">
        <f t="shared" si="136"/>
        <v>914.55</v>
      </c>
      <c r="CL1286" s="3">
        <f t="shared" si="137"/>
        <v>0</v>
      </c>
      <c r="CM1286" s="222">
        <f t="shared" si="138"/>
        <v>13422</v>
      </c>
      <c r="CN1286" s="3" t="str">
        <f t="shared" si="139"/>
        <v>برنامج دولى</v>
      </c>
    </row>
    <row r="1287" spans="3:92" x14ac:dyDescent="0.25">
      <c r="C1287" s="223" t="s">
        <v>5189</v>
      </c>
      <c r="D1287" s="224">
        <v>21739</v>
      </c>
      <c r="E1287" s="224">
        <v>13423</v>
      </c>
      <c r="F1287" s="250" t="s">
        <v>78</v>
      </c>
      <c r="G1287" s="223" t="str">
        <f t="shared" si="141"/>
        <v>عب تدريس جراحه</v>
      </c>
      <c r="I1287" s="223">
        <v>3165.75</v>
      </c>
      <c r="AV1287" s="22">
        <f t="shared" si="142"/>
        <v>3165.75</v>
      </c>
      <c r="AW1287" s="223">
        <v>2115.35</v>
      </c>
      <c r="AX1287" s="223">
        <f>17.65+270</f>
        <v>287.64999999999998</v>
      </c>
      <c r="AY1287" s="223">
        <f>1050.4-AX1287</f>
        <v>762.75000000000011</v>
      </c>
      <c r="CK1287" s="22">
        <f t="shared" si="136"/>
        <v>3165.75</v>
      </c>
      <c r="CL1287" s="3">
        <f t="shared" si="137"/>
        <v>0</v>
      </c>
      <c r="CM1287" s="222">
        <f t="shared" si="138"/>
        <v>13423</v>
      </c>
      <c r="CN1287" s="3" t="str">
        <f t="shared" si="139"/>
        <v>برنامج دولى</v>
      </c>
    </row>
    <row r="1288" spans="3:92" x14ac:dyDescent="0.25">
      <c r="C1288" s="223" t="s">
        <v>5189</v>
      </c>
      <c r="D1288" s="224">
        <v>21740</v>
      </c>
      <c r="E1288" s="224">
        <v>13424</v>
      </c>
      <c r="F1288" s="250" t="s">
        <v>78</v>
      </c>
      <c r="G1288" s="223" t="str">
        <f t="shared" si="141"/>
        <v>عب تدريس جراحه</v>
      </c>
      <c r="I1288" s="223">
        <v>17400</v>
      </c>
      <c r="AV1288" s="22">
        <f t="shared" si="142"/>
        <v>17400</v>
      </c>
      <c r="AW1288" s="223">
        <v>15531.6</v>
      </c>
      <c r="AX1288" s="223">
        <v>1868.4</v>
      </c>
      <c r="CK1288" s="22">
        <f t="shared" si="136"/>
        <v>17400</v>
      </c>
      <c r="CL1288" s="3">
        <f t="shared" si="137"/>
        <v>0</v>
      </c>
      <c r="CM1288" s="222">
        <f t="shared" si="138"/>
        <v>13424</v>
      </c>
      <c r="CN1288" s="3" t="str">
        <f t="shared" si="139"/>
        <v>برنامج دولى</v>
      </c>
    </row>
    <row r="1289" spans="3:92" x14ac:dyDescent="0.25">
      <c r="C1289" s="223" t="s">
        <v>5189</v>
      </c>
      <c r="D1289" s="224">
        <v>21741</v>
      </c>
      <c r="E1289" s="224">
        <v>13425</v>
      </c>
      <c r="F1289" s="250" t="s">
        <v>78</v>
      </c>
      <c r="G1289" s="223" t="str">
        <f t="shared" si="141"/>
        <v>عب تدريس جراحه</v>
      </c>
      <c r="I1289" s="223">
        <v>3150</v>
      </c>
      <c r="AV1289" s="22">
        <f t="shared" si="142"/>
        <v>3150</v>
      </c>
      <c r="AW1289" s="223">
        <v>2811.75</v>
      </c>
      <c r="AX1289" s="223">
        <v>338.25</v>
      </c>
      <c r="CK1289" s="22">
        <f t="shared" si="136"/>
        <v>3150</v>
      </c>
      <c r="CL1289" s="3">
        <f t="shared" si="137"/>
        <v>0</v>
      </c>
      <c r="CM1289" s="222">
        <f t="shared" si="138"/>
        <v>13425</v>
      </c>
      <c r="CN1289" s="3" t="str">
        <f t="shared" si="139"/>
        <v>برنامج دولى</v>
      </c>
    </row>
    <row r="1290" spans="3:92" x14ac:dyDescent="0.25">
      <c r="C1290" s="223" t="s">
        <v>5189</v>
      </c>
      <c r="D1290" s="224">
        <v>21742</v>
      </c>
      <c r="E1290" s="224">
        <v>13426</v>
      </c>
      <c r="F1290" s="250" t="s">
        <v>78</v>
      </c>
      <c r="G1290" s="223" t="str">
        <f t="shared" si="141"/>
        <v>عب تدريس جراحه</v>
      </c>
      <c r="I1290" s="223">
        <v>2814.01</v>
      </c>
      <c r="AV1290" s="22">
        <f t="shared" si="142"/>
        <v>2814.01</v>
      </c>
      <c r="AW1290" s="223">
        <v>1882</v>
      </c>
      <c r="AX1290" s="223">
        <v>254</v>
      </c>
      <c r="AY1290" s="223">
        <v>678.01</v>
      </c>
      <c r="CK1290" s="22">
        <f t="shared" si="136"/>
        <v>2814.01</v>
      </c>
      <c r="CL1290" s="3">
        <f t="shared" si="137"/>
        <v>0</v>
      </c>
      <c r="CM1290" s="222">
        <f t="shared" si="138"/>
        <v>13426</v>
      </c>
      <c r="CN1290" s="3" t="str">
        <f t="shared" si="139"/>
        <v>برنامج دولى</v>
      </c>
    </row>
    <row r="1291" spans="3:92" x14ac:dyDescent="0.25">
      <c r="C1291" s="223" t="s">
        <v>5189</v>
      </c>
      <c r="D1291" s="224">
        <v>12743</v>
      </c>
      <c r="E1291" s="224">
        <v>13427</v>
      </c>
      <c r="F1291" s="250" t="s">
        <v>78</v>
      </c>
      <c r="G1291" s="223" t="str">
        <f t="shared" si="141"/>
        <v>عب تدريس جراحه</v>
      </c>
      <c r="I1291" s="223">
        <v>3483.86</v>
      </c>
      <c r="AV1291" s="22">
        <f t="shared" si="142"/>
        <v>3483.86</v>
      </c>
      <c r="AW1291" s="223">
        <v>2372</v>
      </c>
      <c r="AX1291" s="223">
        <v>319.45</v>
      </c>
      <c r="AY1291" s="223">
        <v>792.41</v>
      </c>
      <c r="CK1291" s="22">
        <f t="shared" si="136"/>
        <v>3483.8599999999997</v>
      </c>
      <c r="CL1291" s="3">
        <f t="shared" si="137"/>
        <v>0</v>
      </c>
      <c r="CM1291" s="222">
        <f t="shared" si="138"/>
        <v>13427</v>
      </c>
      <c r="CN1291" s="3" t="str">
        <f t="shared" si="139"/>
        <v>برنامج دولى</v>
      </c>
    </row>
    <row r="1292" spans="3:92" x14ac:dyDescent="0.25">
      <c r="C1292" s="223" t="s">
        <v>5189</v>
      </c>
      <c r="D1292" s="224">
        <v>21711</v>
      </c>
      <c r="E1292" s="224">
        <v>13428</v>
      </c>
      <c r="F1292" s="250" t="s">
        <v>78</v>
      </c>
      <c r="G1292" s="223" t="str">
        <f t="shared" si="141"/>
        <v>عب تدريس جراحه</v>
      </c>
      <c r="I1292" s="223">
        <v>3600</v>
      </c>
      <c r="AV1292" s="22">
        <f t="shared" si="142"/>
        <v>3600</v>
      </c>
      <c r="AW1292" s="223">
        <v>3213.7</v>
      </c>
      <c r="AX1292" s="223">
        <v>386.3</v>
      </c>
      <c r="CK1292" s="22">
        <f t="shared" si="136"/>
        <v>3600</v>
      </c>
      <c r="CL1292" s="3">
        <f t="shared" si="137"/>
        <v>0</v>
      </c>
      <c r="CM1292" s="222">
        <f t="shared" si="138"/>
        <v>13428</v>
      </c>
      <c r="CN1292" s="3" t="str">
        <f t="shared" si="139"/>
        <v>برنامج دولى</v>
      </c>
    </row>
    <row r="1293" spans="3:92" x14ac:dyDescent="0.25">
      <c r="C1293" s="223" t="s">
        <v>5189</v>
      </c>
      <c r="D1293" s="224">
        <v>21712</v>
      </c>
      <c r="E1293" s="224">
        <v>13429</v>
      </c>
      <c r="F1293" s="250" t="s">
        <v>78</v>
      </c>
      <c r="G1293" s="223" t="str">
        <f t="shared" si="141"/>
        <v>عب تدريس جراحه</v>
      </c>
      <c r="I1293" s="223">
        <v>3376.8</v>
      </c>
      <c r="AV1293" s="22">
        <f t="shared" si="142"/>
        <v>3376.8</v>
      </c>
      <c r="AW1293" s="223">
        <v>2257.75</v>
      </c>
      <c r="AX1293" s="223">
        <v>305.45</v>
      </c>
      <c r="AY1293" s="223">
        <v>813.6</v>
      </c>
      <c r="CK1293" s="22">
        <f t="shared" si="136"/>
        <v>3376.7999999999997</v>
      </c>
      <c r="CL1293" s="3">
        <f t="shared" si="137"/>
        <v>0</v>
      </c>
      <c r="CM1293" s="222">
        <f t="shared" si="138"/>
        <v>13429</v>
      </c>
      <c r="CN1293" s="3" t="str">
        <f t="shared" si="139"/>
        <v>برنامج دولى</v>
      </c>
    </row>
    <row r="1294" spans="3:92" x14ac:dyDescent="0.25">
      <c r="C1294" s="223" t="s">
        <v>5189</v>
      </c>
      <c r="D1294" s="224">
        <v>21713</v>
      </c>
      <c r="E1294" s="224">
        <v>13430</v>
      </c>
      <c r="F1294" s="250" t="s">
        <v>78</v>
      </c>
      <c r="G1294" s="223" t="str">
        <f t="shared" si="141"/>
        <v>عب تدريس جراحه</v>
      </c>
      <c r="I1294" s="223">
        <v>6300</v>
      </c>
      <c r="AV1294" s="22">
        <f t="shared" si="142"/>
        <v>6300</v>
      </c>
      <c r="AW1294" s="223">
        <v>5620</v>
      </c>
      <c r="AX1294" s="223">
        <v>680</v>
      </c>
      <c r="CK1294" s="22">
        <f t="shared" si="136"/>
        <v>6300</v>
      </c>
      <c r="CL1294" s="3">
        <f t="shared" si="137"/>
        <v>0</v>
      </c>
      <c r="CM1294" s="222">
        <f t="shared" si="138"/>
        <v>13430</v>
      </c>
      <c r="CN1294" s="3" t="str">
        <f t="shared" si="139"/>
        <v>برنامج دولى</v>
      </c>
    </row>
    <row r="1295" spans="3:92" x14ac:dyDescent="0.25">
      <c r="C1295" s="223" t="s">
        <v>5189</v>
      </c>
      <c r="D1295" s="224">
        <v>21715</v>
      </c>
      <c r="E1295" s="224">
        <v>13431</v>
      </c>
      <c r="F1295" s="250" t="s">
        <v>78</v>
      </c>
      <c r="G1295" s="223" t="s">
        <v>582</v>
      </c>
      <c r="I1295" s="223">
        <v>16500</v>
      </c>
      <c r="AV1295" s="22">
        <f t="shared" si="142"/>
        <v>16500</v>
      </c>
      <c r="AW1295" s="223">
        <v>14733.8</v>
      </c>
      <c r="AX1295" s="223">
        <v>1766.2</v>
      </c>
      <c r="CK1295" s="22">
        <f t="shared" si="136"/>
        <v>16500</v>
      </c>
      <c r="CL1295" s="3">
        <f t="shared" si="137"/>
        <v>0</v>
      </c>
      <c r="CM1295" s="222">
        <f t="shared" si="138"/>
        <v>13431</v>
      </c>
      <c r="CN1295" s="3" t="str">
        <f t="shared" si="139"/>
        <v>برنامج دولى</v>
      </c>
    </row>
    <row r="1296" spans="3:92" x14ac:dyDescent="0.25">
      <c r="C1296" s="223" t="s">
        <v>5189</v>
      </c>
      <c r="D1296" s="224">
        <v>21730</v>
      </c>
      <c r="E1296" s="224">
        <v>13432</v>
      </c>
      <c r="F1296" s="250" t="s">
        <v>78</v>
      </c>
      <c r="G1296" s="223" t="str">
        <f>+G1294</f>
        <v>عب تدريس جراحه</v>
      </c>
      <c r="I1296" s="223">
        <v>41704.89</v>
      </c>
      <c r="AV1296" s="22">
        <f t="shared" si="142"/>
        <v>41704.89</v>
      </c>
      <c r="AW1296" s="223">
        <v>37279.83</v>
      </c>
      <c r="AX1296" s="223">
        <v>4417.05</v>
      </c>
      <c r="AY1296" s="223">
        <v>8.01</v>
      </c>
      <c r="CK1296" s="22">
        <f t="shared" si="136"/>
        <v>41704.890000000007</v>
      </c>
      <c r="CL1296" s="3">
        <f t="shared" si="137"/>
        <v>0</v>
      </c>
      <c r="CM1296" s="222">
        <f t="shared" si="138"/>
        <v>13432</v>
      </c>
      <c r="CN1296" s="3" t="str">
        <f t="shared" si="139"/>
        <v>برنامج دولى</v>
      </c>
    </row>
    <row r="1297" spans="3:92" x14ac:dyDescent="0.25">
      <c r="C1297" s="223" t="s">
        <v>5189</v>
      </c>
      <c r="D1297" s="224">
        <v>21727</v>
      </c>
      <c r="E1297" s="224">
        <v>13433</v>
      </c>
      <c r="F1297" s="250" t="s">
        <v>78</v>
      </c>
      <c r="G1297" s="223" t="str">
        <f>+G1296</f>
        <v>عب تدريس جراحه</v>
      </c>
      <c r="I1297" s="223">
        <v>1256.8399999999999</v>
      </c>
      <c r="AV1297" s="22">
        <f t="shared" si="142"/>
        <v>1256.8399999999999</v>
      </c>
      <c r="AW1297" s="223">
        <v>989.63</v>
      </c>
      <c r="AX1297" s="223">
        <v>125</v>
      </c>
      <c r="AY1297" s="223">
        <v>142.21</v>
      </c>
      <c r="CK1297" s="22">
        <f t="shared" si="136"/>
        <v>1256.8400000000001</v>
      </c>
      <c r="CL1297" s="3">
        <f t="shared" si="137"/>
        <v>0</v>
      </c>
      <c r="CM1297" s="222">
        <f t="shared" si="138"/>
        <v>13433</v>
      </c>
      <c r="CN1297" s="3" t="str">
        <f t="shared" si="139"/>
        <v>برنامج دولى</v>
      </c>
    </row>
    <row r="1298" spans="3:92" x14ac:dyDescent="0.25">
      <c r="C1298" s="223" t="s">
        <v>5189</v>
      </c>
      <c r="D1298" s="224">
        <v>21728</v>
      </c>
      <c r="E1298" s="224">
        <v>13434</v>
      </c>
      <c r="F1298" s="250" t="s">
        <v>78</v>
      </c>
      <c r="G1298" s="223" t="str">
        <f t="shared" ref="G1298:G1307" si="143">+G1296</f>
        <v>عب تدريس جراحه</v>
      </c>
      <c r="I1298" s="223">
        <v>914.55</v>
      </c>
      <c r="AV1298" s="22">
        <f t="shared" si="142"/>
        <v>914.55</v>
      </c>
      <c r="AW1298" s="223">
        <v>611.65</v>
      </c>
      <c r="AX1298" s="223">
        <v>82.55</v>
      </c>
      <c r="AY1298" s="223">
        <v>220.35</v>
      </c>
      <c r="CK1298" s="22">
        <f t="shared" si="136"/>
        <v>914.55</v>
      </c>
      <c r="CL1298" s="3">
        <f t="shared" si="137"/>
        <v>0</v>
      </c>
      <c r="CM1298" s="222">
        <f t="shared" si="138"/>
        <v>13434</v>
      </c>
      <c r="CN1298" s="3" t="str">
        <f t="shared" si="139"/>
        <v>برنامج دولى</v>
      </c>
    </row>
    <row r="1299" spans="3:92" x14ac:dyDescent="0.25">
      <c r="C1299" s="223" t="s">
        <v>5189</v>
      </c>
      <c r="D1299" s="224">
        <v>21729</v>
      </c>
      <c r="E1299" s="224">
        <v>13435</v>
      </c>
      <c r="F1299" s="250" t="s">
        <v>78</v>
      </c>
      <c r="G1299" s="223" t="str">
        <f t="shared" si="143"/>
        <v>عب تدريس جراحه</v>
      </c>
      <c r="I1299" s="223">
        <v>3120</v>
      </c>
      <c r="AV1299" s="22">
        <f t="shared" si="142"/>
        <v>3120</v>
      </c>
      <c r="AW1299" s="223">
        <v>2785.3</v>
      </c>
      <c r="AX1299" s="223">
        <v>334.7</v>
      </c>
      <c r="CK1299" s="22">
        <f t="shared" si="136"/>
        <v>3120</v>
      </c>
      <c r="CL1299" s="3">
        <f t="shared" si="137"/>
        <v>0</v>
      </c>
      <c r="CM1299" s="222">
        <f t="shared" si="138"/>
        <v>13435</v>
      </c>
      <c r="CN1299" s="3" t="str">
        <f t="shared" si="139"/>
        <v>برنامج دولى</v>
      </c>
    </row>
    <row r="1300" spans="3:92" x14ac:dyDescent="0.25">
      <c r="C1300" s="223" t="s">
        <v>5189</v>
      </c>
      <c r="D1300" s="224">
        <v>21725</v>
      </c>
      <c r="E1300" s="224">
        <v>13436</v>
      </c>
      <c r="F1300" s="250" t="s">
        <v>78</v>
      </c>
      <c r="G1300" s="223" t="str">
        <f t="shared" si="143"/>
        <v>عب تدريس جراحه</v>
      </c>
      <c r="I1300" s="223">
        <v>2108.4</v>
      </c>
      <c r="AV1300" s="22">
        <f t="shared" si="142"/>
        <v>2108.4</v>
      </c>
      <c r="AW1300" s="223">
        <v>1503.9</v>
      </c>
      <c r="AX1300" s="223">
        <v>197.7</v>
      </c>
      <c r="AY1300" s="223">
        <v>406.8</v>
      </c>
      <c r="CK1300" s="22">
        <f t="shared" si="136"/>
        <v>2108.4</v>
      </c>
      <c r="CL1300" s="3">
        <f t="shared" si="137"/>
        <v>0</v>
      </c>
      <c r="CM1300" s="222">
        <f t="shared" si="138"/>
        <v>13436</v>
      </c>
      <c r="CN1300" s="3" t="str">
        <f t="shared" si="139"/>
        <v>برنامج دولى</v>
      </c>
    </row>
    <row r="1301" spans="3:92" x14ac:dyDescent="0.25">
      <c r="C1301" s="223" t="s">
        <v>5189</v>
      </c>
      <c r="D1301" s="224">
        <v>21722</v>
      </c>
      <c r="E1301" s="224">
        <v>13437</v>
      </c>
      <c r="F1301" s="250" t="s">
        <v>78</v>
      </c>
      <c r="G1301" s="223" t="str">
        <f t="shared" si="143"/>
        <v>عب تدريس جراحه</v>
      </c>
      <c r="I1301" s="223">
        <v>1680</v>
      </c>
      <c r="AV1301" s="22">
        <f t="shared" si="142"/>
        <v>1680</v>
      </c>
      <c r="AW1301" s="223">
        <v>1499.75</v>
      </c>
      <c r="AX1301" s="223">
        <v>180.25</v>
      </c>
      <c r="CK1301" s="22">
        <f t="shared" si="136"/>
        <v>1680</v>
      </c>
      <c r="CL1301" s="3">
        <f t="shared" si="137"/>
        <v>0</v>
      </c>
      <c r="CM1301" s="222">
        <f t="shared" si="138"/>
        <v>13437</v>
      </c>
      <c r="CN1301" s="3" t="str">
        <f t="shared" si="139"/>
        <v>برنامج دولى</v>
      </c>
    </row>
    <row r="1302" spans="3:92" x14ac:dyDescent="0.25">
      <c r="C1302" s="223" t="s">
        <v>5189</v>
      </c>
      <c r="D1302" s="224">
        <v>21723</v>
      </c>
      <c r="E1302" s="224">
        <v>13438</v>
      </c>
      <c r="F1302" s="250" t="s">
        <v>78</v>
      </c>
      <c r="G1302" s="223" t="str">
        <f t="shared" si="143"/>
        <v>عب تدريس جراحه</v>
      </c>
      <c r="I1302" s="223">
        <v>351.75</v>
      </c>
      <c r="AV1302" s="22">
        <f t="shared" si="142"/>
        <v>351.75</v>
      </c>
      <c r="AW1302" s="223">
        <v>235.55</v>
      </c>
      <c r="AX1302" s="223">
        <v>31.45</v>
      </c>
      <c r="AY1302" s="223">
        <v>84.75</v>
      </c>
      <c r="CK1302" s="22">
        <f t="shared" si="136"/>
        <v>351.75</v>
      </c>
      <c r="CL1302" s="3">
        <f t="shared" si="137"/>
        <v>0</v>
      </c>
      <c r="CM1302" s="222">
        <f t="shared" si="138"/>
        <v>13438</v>
      </c>
      <c r="CN1302" s="3" t="str">
        <f t="shared" si="139"/>
        <v>برنامج دولى</v>
      </c>
    </row>
    <row r="1303" spans="3:92" x14ac:dyDescent="0.25">
      <c r="C1303" s="223" t="s">
        <v>5189</v>
      </c>
      <c r="D1303" s="224">
        <v>21721</v>
      </c>
      <c r="E1303" s="224">
        <v>13439</v>
      </c>
      <c r="F1303" s="250" t="s">
        <v>78</v>
      </c>
      <c r="G1303" s="223" t="str">
        <f t="shared" si="143"/>
        <v>عب تدريس جراحه</v>
      </c>
      <c r="I1303" s="223">
        <v>1496.98</v>
      </c>
      <c r="AV1303" s="22">
        <f t="shared" si="142"/>
        <v>1496.98</v>
      </c>
      <c r="AW1303" s="223">
        <v>1249.52</v>
      </c>
      <c r="AX1303" s="223">
        <v>154.15</v>
      </c>
      <c r="AY1303" s="223">
        <v>93.31</v>
      </c>
      <c r="CK1303" s="22">
        <f t="shared" si="136"/>
        <v>1496.98</v>
      </c>
      <c r="CL1303" s="3">
        <f t="shared" si="137"/>
        <v>0</v>
      </c>
      <c r="CM1303" s="222">
        <f t="shared" si="138"/>
        <v>13439</v>
      </c>
      <c r="CN1303" s="3" t="str">
        <f t="shared" si="139"/>
        <v>برنامج دولى</v>
      </c>
    </row>
    <row r="1304" spans="3:92" x14ac:dyDescent="0.25">
      <c r="C1304" s="223" t="s">
        <v>5189</v>
      </c>
      <c r="D1304" s="224">
        <v>21718</v>
      </c>
      <c r="E1304" s="224">
        <v>13440</v>
      </c>
      <c r="F1304" s="250" t="s">
        <v>78</v>
      </c>
      <c r="G1304" s="223" t="str">
        <f t="shared" si="143"/>
        <v>عب تدريس جراحه</v>
      </c>
      <c r="I1304" s="223">
        <v>3600</v>
      </c>
      <c r="AV1304" s="22">
        <f t="shared" si="142"/>
        <v>3600</v>
      </c>
      <c r="AW1304" s="223">
        <v>3213.7</v>
      </c>
      <c r="AX1304" s="223">
        <v>386.3</v>
      </c>
      <c r="CK1304" s="22">
        <f t="shared" si="136"/>
        <v>3600</v>
      </c>
      <c r="CL1304" s="3">
        <f t="shared" si="137"/>
        <v>0</v>
      </c>
      <c r="CM1304" s="222">
        <f t="shared" si="138"/>
        <v>13440</v>
      </c>
      <c r="CN1304" s="3" t="str">
        <f t="shared" si="139"/>
        <v>برنامج دولى</v>
      </c>
    </row>
    <row r="1305" spans="3:92" x14ac:dyDescent="0.25">
      <c r="C1305" s="223" t="s">
        <v>5189</v>
      </c>
      <c r="D1305" s="224">
        <v>21717</v>
      </c>
      <c r="E1305" s="224">
        <v>13441</v>
      </c>
      <c r="F1305" s="250" t="s">
        <v>78</v>
      </c>
      <c r="G1305" s="223" t="str">
        <f t="shared" si="143"/>
        <v>عب تدريس جراحه</v>
      </c>
      <c r="I1305" s="223">
        <v>2321.5500000000002</v>
      </c>
      <c r="AV1305" s="22">
        <f t="shared" si="142"/>
        <v>2321.5500000000002</v>
      </c>
      <c r="AW1305" s="223">
        <v>1552.05</v>
      </c>
      <c r="AX1305" s="223">
        <v>210.15</v>
      </c>
      <c r="AY1305" s="223">
        <v>559.35</v>
      </c>
      <c r="CK1305" s="22">
        <f t="shared" si="136"/>
        <v>2321.5500000000002</v>
      </c>
      <c r="CL1305" s="3">
        <f t="shared" si="137"/>
        <v>0</v>
      </c>
      <c r="CM1305" s="222">
        <f t="shared" si="138"/>
        <v>13441</v>
      </c>
      <c r="CN1305" s="3" t="str">
        <f t="shared" si="139"/>
        <v>برنامج دولى</v>
      </c>
    </row>
    <row r="1306" spans="3:92" x14ac:dyDescent="0.25">
      <c r="C1306" s="223" t="s">
        <v>5189</v>
      </c>
      <c r="D1306" s="224">
        <v>21716</v>
      </c>
      <c r="E1306" s="224">
        <v>13442</v>
      </c>
      <c r="F1306" s="250" t="s">
        <v>78</v>
      </c>
      <c r="G1306" s="223" t="str">
        <f t="shared" si="143"/>
        <v>عب تدريس جراحه</v>
      </c>
      <c r="I1306" s="223">
        <v>1055.25</v>
      </c>
      <c r="AV1306" s="22">
        <f t="shared" si="142"/>
        <v>1055.25</v>
      </c>
      <c r="AW1306" s="223">
        <v>705.7</v>
      </c>
      <c r="AX1306" s="223">
        <v>95.3</v>
      </c>
      <c r="AY1306" s="223">
        <v>254.25</v>
      </c>
      <c r="CK1306" s="22">
        <f t="shared" si="136"/>
        <v>1055.25</v>
      </c>
      <c r="CL1306" s="3">
        <f t="shared" si="137"/>
        <v>0</v>
      </c>
      <c r="CM1306" s="222">
        <f t="shared" si="138"/>
        <v>13442</v>
      </c>
      <c r="CN1306" s="3" t="str">
        <f t="shared" si="139"/>
        <v>برنامج دولى</v>
      </c>
    </row>
    <row r="1307" spans="3:92" x14ac:dyDescent="0.25">
      <c r="D1307" s="224">
        <v>21719</v>
      </c>
      <c r="E1307" s="224">
        <v>13443</v>
      </c>
      <c r="F1307" s="250" t="s">
        <v>78</v>
      </c>
      <c r="G1307" s="223" t="str">
        <f t="shared" si="143"/>
        <v>عب تدريس جراحه</v>
      </c>
      <c r="I1307" s="223">
        <v>111300</v>
      </c>
      <c r="AV1307" s="22">
        <f t="shared" si="142"/>
        <v>111300</v>
      </c>
      <c r="AW1307" s="223">
        <v>99549.9</v>
      </c>
      <c r="AX1307" s="223">
        <v>11750.1</v>
      </c>
      <c r="CK1307" s="22">
        <f t="shared" si="136"/>
        <v>111300</v>
      </c>
      <c r="CL1307" s="3">
        <f t="shared" si="137"/>
        <v>0</v>
      </c>
      <c r="CM1307" s="222">
        <f t="shared" si="138"/>
        <v>13443</v>
      </c>
      <c r="CN1307" s="3" t="str">
        <f t="shared" si="139"/>
        <v>برنامج دولى</v>
      </c>
    </row>
    <row r="1308" spans="3:92" x14ac:dyDescent="0.25">
      <c r="D1308" s="224">
        <v>21709</v>
      </c>
      <c r="E1308" s="224">
        <v>13444</v>
      </c>
      <c r="F1308" s="250" t="s">
        <v>78</v>
      </c>
      <c r="G1308" s="223" t="s">
        <v>2772</v>
      </c>
      <c r="I1308" s="223">
        <v>5738.4</v>
      </c>
      <c r="AV1308" s="22">
        <f t="shared" si="142"/>
        <v>5738.4</v>
      </c>
      <c r="AW1308" s="223">
        <v>4744.5</v>
      </c>
      <c r="AX1308" s="223">
        <v>587.1</v>
      </c>
      <c r="AY1308" s="223">
        <v>406.8</v>
      </c>
      <c r="CK1308" s="22">
        <f t="shared" si="136"/>
        <v>5738.4000000000005</v>
      </c>
      <c r="CL1308" s="3">
        <f t="shared" si="137"/>
        <v>0</v>
      </c>
      <c r="CM1308" s="222">
        <f t="shared" si="138"/>
        <v>13444</v>
      </c>
      <c r="CN1308" s="3" t="str">
        <f t="shared" si="139"/>
        <v>برنامج دولى</v>
      </c>
    </row>
    <row r="1309" spans="3:92" x14ac:dyDescent="0.25">
      <c r="D1309" s="224">
        <v>21708</v>
      </c>
      <c r="E1309" s="224">
        <v>13445</v>
      </c>
      <c r="F1309" s="250" t="s">
        <v>78</v>
      </c>
      <c r="G1309" s="223" t="s">
        <v>2772</v>
      </c>
      <c r="I1309" s="223">
        <v>2426.96</v>
      </c>
      <c r="AV1309" s="22">
        <f t="shared" si="142"/>
        <v>2426.96</v>
      </c>
      <c r="AW1309" s="223">
        <v>1966.8</v>
      </c>
      <c r="AX1309" s="223">
        <v>244.05</v>
      </c>
      <c r="AY1309" s="223">
        <v>216.11</v>
      </c>
      <c r="CK1309" s="22">
        <f t="shared" si="136"/>
        <v>2426.96</v>
      </c>
      <c r="CL1309" s="3">
        <f t="shared" si="137"/>
        <v>0</v>
      </c>
      <c r="CM1309" s="222">
        <f t="shared" si="138"/>
        <v>13445</v>
      </c>
      <c r="CN1309" s="3" t="str">
        <f t="shared" si="139"/>
        <v>برنامج دولى</v>
      </c>
    </row>
    <row r="1310" spans="3:92" x14ac:dyDescent="0.25">
      <c r="D1310" s="224">
        <v>21710</v>
      </c>
      <c r="E1310" s="224">
        <v>13446</v>
      </c>
      <c r="F1310" s="250" t="s">
        <v>78</v>
      </c>
      <c r="G1310" s="223" t="s">
        <v>2772</v>
      </c>
      <c r="I1310" s="223">
        <v>113786.96</v>
      </c>
      <c r="AV1310" s="22">
        <f t="shared" si="142"/>
        <v>113786.96</v>
      </c>
      <c r="AW1310" s="223">
        <v>101338.15</v>
      </c>
      <c r="AX1310" s="223">
        <v>12232.7</v>
      </c>
      <c r="AY1310" s="223">
        <v>216.11</v>
      </c>
      <c r="CK1310" s="22">
        <f t="shared" si="136"/>
        <v>113786.95999999999</v>
      </c>
      <c r="CL1310" s="3">
        <f t="shared" si="137"/>
        <v>0</v>
      </c>
      <c r="CM1310" s="222">
        <f t="shared" si="138"/>
        <v>13446</v>
      </c>
      <c r="CN1310" s="3" t="str">
        <f t="shared" si="139"/>
        <v>برنامج دولى</v>
      </c>
    </row>
    <row r="1311" spans="3:92" x14ac:dyDescent="0.25">
      <c r="D1311" s="224">
        <v>21724</v>
      </c>
      <c r="E1311" s="224">
        <v>13447</v>
      </c>
      <c r="F1311" s="250" t="s">
        <v>78</v>
      </c>
      <c r="G1311" s="223" t="str">
        <f>+G1307</f>
        <v>عب تدريس جراحه</v>
      </c>
      <c r="I1311" s="223">
        <v>2110.5</v>
      </c>
      <c r="AV1311" s="22">
        <f t="shared" si="142"/>
        <v>2110.5</v>
      </c>
      <c r="AW1311" s="223">
        <v>1410.35</v>
      </c>
      <c r="AX1311" s="223">
        <f>11.65+180</f>
        <v>191.65</v>
      </c>
      <c r="AY1311" s="223">
        <f>700.15-AX1311</f>
        <v>508.5</v>
      </c>
      <c r="CK1311" s="22">
        <f t="shared" si="136"/>
        <v>2110.5</v>
      </c>
      <c r="CL1311" s="3">
        <f t="shared" si="137"/>
        <v>0</v>
      </c>
      <c r="CM1311" s="222">
        <f t="shared" si="138"/>
        <v>13447</v>
      </c>
      <c r="CN1311" s="3" t="str">
        <f t="shared" si="139"/>
        <v>برنامج دولى</v>
      </c>
    </row>
    <row r="1312" spans="3:92" x14ac:dyDescent="0.25">
      <c r="D1312" s="224">
        <v>21720</v>
      </c>
      <c r="E1312" s="224">
        <v>13448</v>
      </c>
      <c r="F1312" s="250" t="s">
        <v>78</v>
      </c>
      <c r="G1312" s="223" t="str">
        <f>+G1311</f>
        <v>عب تدريس جراحه</v>
      </c>
      <c r="I1312" s="223">
        <v>844.2</v>
      </c>
      <c r="AV1312" s="22">
        <f t="shared" si="142"/>
        <v>844.2</v>
      </c>
      <c r="AW1312" s="223">
        <v>564.65</v>
      </c>
      <c r="AX1312" s="223">
        <f>4.15+72</f>
        <v>76.150000000000006</v>
      </c>
      <c r="AY1312" s="223">
        <f>279.55-AX1312</f>
        <v>203.4</v>
      </c>
      <c r="CK1312" s="22">
        <f t="shared" si="136"/>
        <v>844.19999999999993</v>
      </c>
      <c r="CL1312" s="3">
        <f t="shared" si="137"/>
        <v>0</v>
      </c>
      <c r="CM1312" s="222">
        <f t="shared" si="138"/>
        <v>13448</v>
      </c>
      <c r="CN1312" s="3" t="str">
        <f t="shared" si="139"/>
        <v>برنامج دولى</v>
      </c>
    </row>
    <row r="1313" spans="1:92" x14ac:dyDescent="0.25">
      <c r="D1313" s="224">
        <v>21731</v>
      </c>
      <c r="E1313" s="224">
        <v>13449</v>
      </c>
      <c r="F1313" s="250" t="s">
        <v>78</v>
      </c>
      <c r="G1313" s="223" t="str">
        <f>+G1312</f>
        <v>عب تدريس جراحه</v>
      </c>
      <c r="I1313" s="223">
        <v>422.1</v>
      </c>
      <c r="AV1313" s="22">
        <f t="shared" si="142"/>
        <v>422.1</v>
      </c>
      <c r="AW1313" s="223">
        <v>282.60000000000002</v>
      </c>
      <c r="AX1313" s="223">
        <f>1.8+36</f>
        <v>37.799999999999997</v>
      </c>
      <c r="AY1313" s="223">
        <f>139.5-AX1313</f>
        <v>101.7</v>
      </c>
      <c r="CK1313" s="22">
        <f t="shared" si="136"/>
        <v>422.1</v>
      </c>
      <c r="CL1313" s="3">
        <f t="shared" si="137"/>
        <v>0</v>
      </c>
      <c r="CM1313" s="222">
        <f t="shared" si="138"/>
        <v>13449</v>
      </c>
      <c r="CN1313" s="3" t="str">
        <f t="shared" si="139"/>
        <v>برنامج دولى</v>
      </c>
    </row>
    <row r="1314" spans="1:92" x14ac:dyDescent="0.25">
      <c r="D1314" s="224">
        <v>21732</v>
      </c>
      <c r="E1314" s="224">
        <v>13450</v>
      </c>
      <c r="F1314" s="250" t="s">
        <v>78</v>
      </c>
      <c r="G1314" s="223" t="str">
        <f>+G1313</f>
        <v>عب تدريس جراحه</v>
      </c>
      <c r="I1314" s="223">
        <v>1260</v>
      </c>
      <c r="AV1314" s="22">
        <f t="shared" si="142"/>
        <v>1260</v>
      </c>
      <c r="AW1314" s="223">
        <v>1124.9000000000001</v>
      </c>
      <c r="AX1314" s="223">
        <v>135.1</v>
      </c>
      <c r="CK1314" s="22">
        <f t="shared" si="136"/>
        <v>1260</v>
      </c>
      <c r="CL1314" s="3">
        <f t="shared" si="137"/>
        <v>0</v>
      </c>
      <c r="CM1314" s="222">
        <f t="shared" si="138"/>
        <v>13450</v>
      </c>
      <c r="CN1314" s="3" t="str">
        <f t="shared" si="139"/>
        <v>برنامج دولى</v>
      </c>
    </row>
    <row r="1315" spans="1:92" x14ac:dyDescent="0.25">
      <c r="D1315" s="224">
        <v>21733</v>
      </c>
      <c r="E1315" s="224">
        <v>13451</v>
      </c>
      <c r="F1315" s="250" t="s">
        <v>78</v>
      </c>
      <c r="G1315" s="223" t="str">
        <f t="shared" ref="G1315:G1317" si="144">+G1314</f>
        <v>عب تدريس جراحه</v>
      </c>
      <c r="I1315" s="223">
        <v>360</v>
      </c>
      <c r="AV1315" s="22">
        <f t="shared" si="142"/>
        <v>360</v>
      </c>
      <c r="AW1315" s="223">
        <v>321.95</v>
      </c>
      <c r="AX1315" s="223">
        <v>38.049999999999997</v>
      </c>
      <c r="CK1315" s="22">
        <f t="shared" si="136"/>
        <v>360</v>
      </c>
      <c r="CL1315" s="3">
        <f t="shared" si="137"/>
        <v>0</v>
      </c>
      <c r="CM1315" s="222">
        <f t="shared" si="138"/>
        <v>13451</v>
      </c>
      <c r="CN1315" s="3" t="str">
        <f t="shared" si="139"/>
        <v>برنامج دولى</v>
      </c>
    </row>
    <row r="1316" spans="1:92" x14ac:dyDescent="0.25">
      <c r="D1316" s="224">
        <v>21734</v>
      </c>
      <c r="E1316" s="224">
        <v>13452</v>
      </c>
      <c r="F1316" s="250" t="s">
        <v>78</v>
      </c>
      <c r="G1316" s="223" t="str">
        <f t="shared" si="144"/>
        <v>عب تدريس جراحه</v>
      </c>
      <c r="I1316" s="223">
        <v>175.88</v>
      </c>
      <c r="AV1316" s="22">
        <f t="shared" si="142"/>
        <v>175.88</v>
      </c>
      <c r="AW1316" s="223">
        <v>118</v>
      </c>
      <c r="AX1316" s="223">
        <v>15.5</v>
      </c>
      <c r="AY1316" s="223">
        <v>42.38</v>
      </c>
      <c r="CK1316" s="22">
        <f t="shared" si="136"/>
        <v>175.88</v>
      </c>
      <c r="CL1316" s="3">
        <f t="shared" si="137"/>
        <v>0</v>
      </c>
      <c r="CM1316" s="222">
        <f t="shared" si="138"/>
        <v>13452</v>
      </c>
      <c r="CN1316" s="3" t="str">
        <f t="shared" si="139"/>
        <v>برنامج دولى</v>
      </c>
    </row>
    <row r="1317" spans="1:92" x14ac:dyDescent="0.25">
      <c r="D1317" s="224">
        <v>21726</v>
      </c>
      <c r="E1317" s="224">
        <v>13453</v>
      </c>
      <c r="F1317" s="250" t="s">
        <v>78</v>
      </c>
      <c r="G1317" s="223" t="str">
        <f t="shared" si="144"/>
        <v>عب تدريس جراحه</v>
      </c>
      <c r="I1317" s="223">
        <v>351.75</v>
      </c>
      <c r="AV1317" s="22">
        <f t="shared" si="142"/>
        <v>351.75</v>
      </c>
      <c r="AW1317" s="223">
        <v>235.55</v>
      </c>
      <c r="AX1317" s="223">
        <v>31.45</v>
      </c>
      <c r="AY1317" s="223">
        <v>84.75</v>
      </c>
      <c r="CK1317" s="22">
        <f t="shared" si="136"/>
        <v>351.75</v>
      </c>
      <c r="CL1317" s="3">
        <f t="shared" si="137"/>
        <v>0</v>
      </c>
      <c r="CM1317" s="222">
        <f t="shared" si="138"/>
        <v>13453</v>
      </c>
      <c r="CN1317" s="3" t="str">
        <f t="shared" si="139"/>
        <v>برنامج دولى</v>
      </c>
    </row>
    <row r="1318" spans="1:92" x14ac:dyDescent="0.25">
      <c r="D1318" s="224">
        <v>19731</v>
      </c>
      <c r="E1318" s="224">
        <v>13454</v>
      </c>
      <c r="F1318" s="250" t="s">
        <v>78</v>
      </c>
      <c r="G1318" s="223" t="s">
        <v>5571</v>
      </c>
      <c r="I1318" s="223">
        <v>2361.69</v>
      </c>
      <c r="AV1318" s="22">
        <f t="shared" si="142"/>
        <v>2361.69</v>
      </c>
      <c r="AW1318" s="223">
        <v>2108.17</v>
      </c>
      <c r="AX1318" s="223">
        <v>253.52</v>
      </c>
      <c r="CK1318" s="22">
        <f t="shared" si="136"/>
        <v>2361.69</v>
      </c>
      <c r="CL1318" s="3">
        <f t="shared" si="137"/>
        <v>0</v>
      </c>
      <c r="CM1318" s="222">
        <f t="shared" si="138"/>
        <v>13454</v>
      </c>
      <c r="CN1318" s="3" t="str">
        <f t="shared" si="139"/>
        <v>برنامج دولى</v>
      </c>
    </row>
    <row r="1319" spans="1:92" x14ac:dyDescent="0.25">
      <c r="D1319" s="224">
        <v>19732</v>
      </c>
      <c r="E1319" s="224">
        <v>13455</v>
      </c>
      <c r="F1319" s="250" t="s">
        <v>78</v>
      </c>
      <c r="G1319" s="223" t="s">
        <v>5572</v>
      </c>
      <c r="I1319" s="223">
        <v>1674.81</v>
      </c>
      <c r="AV1319" s="22">
        <f t="shared" si="142"/>
        <v>1674.81</v>
      </c>
      <c r="AW1319" s="223">
        <v>1495.13</v>
      </c>
      <c r="AX1319" s="223">
        <v>179.68</v>
      </c>
      <c r="CK1319" s="22">
        <f t="shared" si="136"/>
        <v>1674.8100000000002</v>
      </c>
      <c r="CL1319" s="3">
        <f t="shared" si="137"/>
        <v>0</v>
      </c>
      <c r="CM1319" s="222">
        <f t="shared" si="138"/>
        <v>13455</v>
      </c>
      <c r="CN1319" s="3" t="str">
        <f t="shared" si="139"/>
        <v>برنامج دولى</v>
      </c>
    </row>
    <row r="1320" spans="1:92" x14ac:dyDescent="0.25">
      <c r="D1320" s="224">
        <v>19730</v>
      </c>
      <c r="E1320" s="224">
        <v>13456</v>
      </c>
      <c r="F1320" s="250" t="s">
        <v>78</v>
      </c>
      <c r="G1320" s="223" t="s">
        <v>5573</v>
      </c>
      <c r="I1320" s="223">
        <v>684.15</v>
      </c>
      <c r="AV1320" s="22">
        <f t="shared" si="142"/>
        <v>684.15</v>
      </c>
      <c r="AW1320" s="223">
        <v>611.29</v>
      </c>
      <c r="AX1320" s="223">
        <v>72.86</v>
      </c>
      <c r="CK1320" s="22">
        <f t="shared" si="136"/>
        <v>684.15</v>
      </c>
      <c r="CL1320" s="3">
        <f t="shared" si="137"/>
        <v>0</v>
      </c>
      <c r="CM1320" s="222">
        <f t="shared" si="138"/>
        <v>13456</v>
      </c>
      <c r="CN1320" s="3" t="str">
        <f t="shared" si="139"/>
        <v>برنامج دولى</v>
      </c>
    </row>
    <row r="1321" spans="1:92" x14ac:dyDescent="0.25">
      <c r="D1321" s="224">
        <v>20406</v>
      </c>
      <c r="E1321" s="224">
        <v>13457</v>
      </c>
      <c r="F1321" s="250" t="s">
        <v>78</v>
      </c>
      <c r="G1321" s="223" t="s">
        <v>5574</v>
      </c>
      <c r="I1321" s="223">
        <v>993.42</v>
      </c>
      <c r="AV1321" s="22">
        <f t="shared" si="142"/>
        <v>993.42</v>
      </c>
      <c r="AW1321" s="223">
        <v>887.48</v>
      </c>
      <c r="AX1321" s="223">
        <v>105.94</v>
      </c>
      <c r="CK1321" s="22">
        <f t="shared" si="136"/>
        <v>993.42000000000007</v>
      </c>
      <c r="CL1321" s="3">
        <f t="shared" si="137"/>
        <v>0</v>
      </c>
      <c r="CM1321" s="222">
        <f t="shared" si="138"/>
        <v>13457</v>
      </c>
      <c r="CN1321" s="3" t="str">
        <f t="shared" si="139"/>
        <v>برنامج دولى</v>
      </c>
    </row>
    <row r="1322" spans="1:92" x14ac:dyDescent="0.25">
      <c r="D1322" s="224">
        <v>20404</v>
      </c>
      <c r="E1322" s="224">
        <v>13458</v>
      </c>
      <c r="F1322" s="250" t="s">
        <v>78</v>
      </c>
      <c r="G1322" s="223" t="s">
        <v>5575</v>
      </c>
      <c r="I1322" s="223">
        <v>2303.0100000000002</v>
      </c>
      <c r="AV1322" s="22">
        <f t="shared" si="142"/>
        <v>2303.0100000000002</v>
      </c>
      <c r="AW1322" s="223">
        <v>2055.81</v>
      </c>
      <c r="AX1322" s="223">
        <v>247.2</v>
      </c>
      <c r="CK1322" s="22">
        <f t="shared" si="136"/>
        <v>2303.0099999999998</v>
      </c>
      <c r="CL1322" s="3">
        <f t="shared" si="137"/>
        <v>0</v>
      </c>
      <c r="CM1322" s="222">
        <f t="shared" si="138"/>
        <v>13458</v>
      </c>
      <c r="CN1322" s="3" t="str">
        <f t="shared" si="139"/>
        <v>برنامج دولى</v>
      </c>
    </row>
    <row r="1323" spans="1:92" x14ac:dyDescent="0.25">
      <c r="D1323" s="224">
        <v>20408</v>
      </c>
      <c r="E1323" s="224">
        <v>13459</v>
      </c>
      <c r="F1323" s="250" t="s">
        <v>78</v>
      </c>
      <c r="G1323" s="223" t="s">
        <v>5576</v>
      </c>
      <c r="I1323" s="223">
        <v>761.24</v>
      </c>
      <c r="AV1323" s="22">
        <f t="shared" si="142"/>
        <v>761.24</v>
      </c>
      <c r="AW1323" s="223">
        <v>680.12</v>
      </c>
      <c r="AX1323" s="223">
        <v>81.12</v>
      </c>
      <c r="CK1323" s="22">
        <f t="shared" si="136"/>
        <v>761.24</v>
      </c>
      <c r="CL1323" s="3">
        <f t="shared" si="137"/>
        <v>0</v>
      </c>
      <c r="CM1323" s="222">
        <f t="shared" si="138"/>
        <v>13459</v>
      </c>
      <c r="CN1323" s="3" t="str">
        <f t="shared" si="139"/>
        <v>برنامج دولى</v>
      </c>
    </row>
    <row r="1324" spans="1:92" x14ac:dyDescent="0.25">
      <c r="D1324" s="224">
        <v>19729</v>
      </c>
      <c r="E1324" s="224">
        <v>13460</v>
      </c>
      <c r="F1324" s="250" t="s">
        <v>78</v>
      </c>
      <c r="G1324" s="223" t="s">
        <v>5577</v>
      </c>
      <c r="I1324" s="223">
        <v>878.19</v>
      </c>
      <c r="AV1324" s="22">
        <f t="shared" si="142"/>
        <v>878.19</v>
      </c>
      <c r="AW1324" s="223">
        <v>784.57</v>
      </c>
      <c r="AX1324" s="223">
        <v>93.62</v>
      </c>
      <c r="CK1324" s="22">
        <f t="shared" si="136"/>
        <v>878.19</v>
      </c>
      <c r="CL1324" s="3">
        <f t="shared" si="137"/>
        <v>0</v>
      </c>
      <c r="CM1324" s="222">
        <f t="shared" si="138"/>
        <v>13460</v>
      </c>
      <c r="CN1324" s="3" t="str">
        <f t="shared" si="139"/>
        <v>برنامج دولى</v>
      </c>
    </row>
    <row r="1325" spans="1:92" x14ac:dyDescent="0.25">
      <c r="D1325" s="224">
        <v>19544</v>
      </c>
      <c r="E1325" s="224">
        <v>13461</v>
      </c>
      <c r="F1325" s="250" t="s">
        <v>78</v>
      </c>
      <c r="G1325" s="223" t="s">
        <v>5578</v>
      </c>
      <c r="I1325" s="223">
        <v>1386.75</v>
      </c>
      <c r="AV1325" s="22">
        <f t="shared" si="142"/>
        <v>1386.75</v>
      </c>
      <c r="AW1325" s="223">
        <v>1238.03</v>
      </c>
      <c r="AX1325" s="223">
        <v>148.72</v>
      </c>
      <c r="CK1325" s="22">
        <f t="shared" si="136"/>
        <v>1386.75</v>
      </c>
      <c r="CL1325" s="3">
        <f t="shared" si="137"/>
        <v>0</v>
      </c>
      <c r="CM1325" s="222">
        <f t="shared" si="138"/>
        <v>13461</v>
      </c>
      <c r="CN1325" s="3" t="str">
        <f t="shared" si="139"/>
        <v>برنامج دولى</v>
      </c>
    </row>
    <row r="1326" spans="1:92" s="226" customFormat="1" x14ac:dyDescent="0.25">
      <c r="A1326" s="236"/>
      <c r="D1326" s="230">
        <v>19543</v>
      </c>
      <c r="E1326" s="230">
        <v>13462</v>
      </c>
      <c r="F1326" s="250" t="s">
        <v>78</v>
      </c>
      <c r="G1326" s="226" t="s">
        <v>5579</v>
      </c>
      <c r="I1326" s="226">
        <v>1456.52</v>
      </c>
      <c r="AV1326" s="22">
        <f t="shared" si="142"/>
        <v>1456.52</v>
      </c>
      <c r="AW1326" s="226">
        <v>1300.32</v>
      </c>
      <c r="AX1326" s="226">
        <v>156.19999999999999</v>
      </c>
      <c r="CK1326" s="22">
        <f t="shared" si="136"/>
        <v>1456.52</v>
      </c>
      <c r="CL1326" s="3">
        <f t="shared" si="137"/>
        <v>0</v>
      </c>
      <c r="CM1326" s="222">
        <f t="shared" si="138"/>
        <v>13462</v>
      </c>
      <c r="CN1326" s="3" t="str">
        <f t="shared" si="139"/>
        <v>برنامج دولى</v>
      </c>
    </row>
    <row r="1327" spans="1:92" x14ac:dyDescent="0.25">
      <c r="D1327" s="224">
        <v>19542</v>
      </c>
      <c r="E1327" s="224">
        <v>13463</v>
      </c>
      <c r="F1327" s="250" t="s">
        <v>78</v>
      </c>
      <c r="G1327" s="223" t="s">
        <v>5580</v>
      </c>
      <c r="I1327" s="223">
        <v>1527.59</v>
      </c>
      <c r="AV1327" s="22">
        <f t="shared" si="142"/>
        <v>1527.59</v>
      </c>
      <c r="AW1327" s="223">
        <v>1363.73</v>
      </c>
      <c r="AX1327" s="223">
        <v>163.86</v>
      </c>
      <c r="CK1327" s="22">
        <f t="shared" si="136"/>
        <v>1527.5900000000001</v>
      </c>
      <c r="CL1327" s="3">
        <f t="shared" si="137"/>
        <v>0</v>
      </c>
      <c r="CM1327" s="222">
        <f t="shared" si="138"/>
        <v>13463</v>
      </c>
      <c r="CN1327" s="3" t="str">
        <f t="shared" si="139"/>
        <v>برنامج دولى</v>
      </c>
    </row>
    <row r="1328" spans="1:92" x14ac:dyDescent="0.25">
      <c r="C1328" s="223" t="s">
        <v>571</v>
      </c>
      <c r="D1328" s="224">
        <v>22408</v>
      </c>
      <c r="E1328" s="224">
        <v>13464</v>
      </c>
      <c r="F1328" s="250" t="s">
        <v>130</v>
      </c>
      <c r="G1328" s="223" t="s">
        <v>5581</v>
      </c>
      <c r="I1328" s="223">
        <v>4121.09</v>
      </c>
      <c r="AV1328" s="22">
        <f t="shared" si="142"/>
        <v>4121.09</v>
      </c>
      <c r="AW1328" s="223">
        <v>3109.37</v>
      </c>
      <c r="AX1328" s="223">
        <v>803.94</v>
      </c>
      <c r="AY1328" s="223">
        <v>1.78</v>
      </c>
      <c r="AZ1328" s="223">
        <v>206</v>
      </c>
      <c r="CK1328" s="22">
        <f t="shared" si="136"/>
        <v>4121.09</v>
      </c>
      <c r="CL1328" s="3">
        <f t="shared" si="137"/>
        <v>0</v>
      </c>
      <c r="CM1328" s="222">
        <f t="shared" si="138"/>
        <v>13464</v>
      </c>
      <c r="CN1328" s="3" t="str">
        <f t="shared" si="139"/>
        <v>خ ت طب</v>
      </c>
    </row>
    <row r="1329" spans="3:92" x14ac:dyDescent="0.25">
      <c r="C1329" s="223" t="s">
        <v>571</v>
      </c>
      <c r="D1329" s="224">
        <v>22432</v>
      </c>
      <c r="E1329" s="224">
        <v>13465</v>
      </c>
      <c r="F1329" s="250" t="s">
        <v>130</v>
      </c>
      <c r="G1329" s="223" t="s">
        <v>5582</v>
      </c>
      <c r="I1329" s="223">
        <v>1300</v>
      </c>
      <c r="AV1329" s="22">
        <f t="shared" si="142"/>
        <v>1300</v>
      </c>
      <c r="AW1329" s="223">
        <v>981.76</v>
      </c>
      <c r="AX1329" s="223">
        <v>253.24</v>
      </c>
      <c r="AZ1329" s="223">
        <v>65</v>
      </c>
      <c r="CK1329" s="22">
        <f t="shared" si="136"/>
        <v>1300</v>
      </c>
      <c r="CL1329" s="3">
        <f t="shared" si="137"/>
        <v>0</v>
      </c>
      <c r="CM1329" s="222">
        <f t="shared" si="138"/>
        <v>13465</v>
      </c>
      <c r="CN1329" s="3" t="str">
        <f t="shared" si="139"/>
        <v>خ ت طب</v>
      </c>
    </row>
    <row r="1330" spans="3:92" x14ac:dyDescent="0.25">
      <c r="C1330" s="223" t="s">
        <v>571</v>
      </c>
      <c r="D1330" s="224">
        <v>22444</v>
      </c>
      <c r="E1330" s="224">
        <v>13466</v>
      </c>
      <c r="F1330" s="250" t="s">
        <v>130</v>
      </c>
      <c r="G1330" s="223" t="s">
        <v>5582</v>
      </c>
      <c r="I1330" s="223">
        <v>2980</v>
      </c>
      <c r="AV1330" s="22">
        <f t="shared" si="142"/>
        <v>2980</v>
      </c>
      <c r="AW1330" s="223">
        <v>2250.52</v>
      </c>
      <c r="AX1330" s="223">
        <v>580.48</v>
      </c>
      <c r="AZ1330" s="223">
        <v>149</v>
      </c>
      <c r="CK1330" s="22">
        <f t="shared" si="136"/>
        <v>2980</v>
      </c>
      <c r="CL1330" s="3">
        <f t="shared" si="137"/>
        <v>0</v>
      </c>
      <c r="CM1330" s="222">
        <f t="shared" si="138"/>
        <v>13466</v>
      </c>
      <c r="CN1330" s="3" t="str">
        <f t="shared" si="139"/>
        <v>خ ت طب</v>
      </c>
    </row>
    <row r="1331" spans="3:92" x14ac:dyDescent="0.25">
      <c r="C1331" s="223" t="s">
        <v>571</v>
      </c>
      <c r="D1331" s="224">
        <v>22445</v>
      </c>
      <c r="E1331" s="224">
        <v>13467</v>
      </c>
      <c r="F1331" s="250" t="s">
        <v>130</v>
      </c>
      <c r="G1331" s="223" t="s">
        <v>5582</v>
      </c>
      <c r="I1331" s="223">
        <v>2920</v>
      </c>
      <c r="AV1331" s="22">
        <f t="shared" si="142"/>
        <v>2920</v>
      </c>
      <c r="AW1331" s="223">
        <v>2207.16</v>
      </c>
      <c r="AX1331" s="223">
        <v>566.83999999999992</v>
      </c>
      <c r="AZ1331" s="223">
        <v>146</v>
      </c>
      <c r="CK1331" s="22">
        <f t="shared" ref="CK1331:CK1394" si="145">SUM(AW1331:CJ1331)</f>
        <v>2920</v>
      </c>
      <c r="CL1331" s="3">
        <f t="shared" ref="CL1331:CL1394" si="146">+CK1331-AV1331</f>
        <v>0</v>
      </c>
      <c r="CM1331" s="222">
        <f t="shared" ref="CM1331:CM1394" si="147">+E1331</f>
        <v>13467</v>
      </c>
      <c r="CN1331" s="3" t="str">
        <f t="shared" ref="CN1331:CN1394" si="148">+F1331</f>
        <v>خ ت طب</v>
      </c>
    </row>
    <row r="1332" spans="3:92" x14ac:dyDescent="0.25">
      <c r="C1332" s="223" t="s">
        <v>571</v>
      </c>
      <c r="D1332" s="224">
        <v>22443</v>
      </c>
      <c r="E1332" s="224">
        <v>13468</v>
      </c>
      <c r="F1332" s="250" t="s">
        <v>130</v>
      </c>
      <c r="G1332" s="223" t="s">
        <v>5582</v>
      </c>
      <c r="I1332" s="223">
        <v>2400</v>
      </c>
      <c r="AV1332" s="22">
        <f t="shared" si="142"/>
        <v>2400</v>
      </c>
      <c r="AW1332" s="223">
        <v>1815.24</v>
      </c>
      <c r="AX1332" s="223">
        <v>464.76</v>
      </c>
      <c r="AZ1332" s="223">
        <v>120</v>
      </c>
      <c r="CK1332" s="22">
        <f t="shared" si="145"/>
        <v>2400</v>
      </c>
      <c r="CL1332" s="3">
        <f t="shared" si="146"/>
        <v>0</v>
      </c>
      <c r="CM1332" s="222">
        <f t="shared" si="147"/>
        <v>13468</v>
      </c>
      <c r="CN1332" s="3" t="str">
        <f t="shared" si="148"/>
        <v>خ ت طب</v>
      </c>
    </row>
    <row r="1333" spans="3:92" x14ac:dyDescent="0.25">
      <c r="C1333" s="223" t="s">
        <v>571</v>
      </c>
      <c r="D1333" s="224">
        <v>22442</v>
      </c>
      <c r="E1333" s="224">
        <v>13469</v>
      </c>
      <c r="F1333" s="250" t="s">
        <v>130</v>
      </c>
      <c r="G1333" s="223" t="s">
        <v>5582</v>
      </c>
      <c r="I1333" s="223">
        <v>2800</v>
      </c>
      <c r="AV1333" s="22">
        <f t="shared" si="142"/>
        <v>2800</v>
      </c>
      <c r="AW1333" s="223">
        <v>2116.1999999999998</v>
      </c>
      <c r="AX1333" s="223">
        <v>543.79999999999995</v>
      </c>
      <c r="AZ1333" s="223">
        <v>140</v>
      </c>
      <c r="CK1333" s="22">
        <f t="shared" si="145"/>
        <v>2800</v>
      </c>
      <c r="CL1333" s="3">
        <f t="shared" si="146"/>
        <v>0</v>
      </c>
      <c r="CM1333" s="222">
        <f t="shared" si="147"/>
        <v>13469</v>
      </c>
      <c r="CN1333" s="3" t="str">
        <f t="shared" si="148"/>
        <v>خ ت طب</v>
      </c>
    </row>
    <row r="1334" spans="3:92" x14ac:dyDescent="0.25">
      <c r="C1334" s="223" t="s">
        <v>571</v>
      </c>
      <c r="D1334" s="224">
        <v>22441</v>
      </c>
      <c r="E1334" s="224">
        <v>13470</v>
      </c>
      <c r="F1334" s="250" t="s">
        <v>130</v>
      </c>
      <c r="G1334" s="223" t="s">
        <v>5582</v>
      </c>
      <c r="I1334" s="223">
        <v>4700</v>
      </c>
      <c r="AV1334" s="22">
        <f t="shared" si="142"/>
        <v>4700</v>
      </c>
      <c r="AW1334" s="223">
        <v>3549</v>
      </c>
      <c r="AX1334" s="223">
        <v>916</v>
      </c>
      <c r="AZ1334" s="223">
        <v>235</v>
      </c>
      <c r="CK1334" s="22">
        <f t="shared" si="145"/>
        <v>4700</v>
      </c>
      <c r="CL1334" s="3">
        <f t="shared" si="146"/>
        <v>0</v>
      </c>
      <c r="CM1334" s="222">
        <f t="shared" si="147"/>
        <v>13470</v>
      </c>
      <c r="CN1334" s="3" t="str">
        <f t="shared" si="148"/>
        <v>خ ت طب</v>
      </c>
    </row>
    <row r="1335" spans="3:92" x14ac:dyDescent="0.25">
      <c r="C1335" s="223" t="s">
        <v>571</v>
      </c>
      <c r="D1335" s="224">
        <v>22430</v>
      </c>
      <c r="E1335" s="224">
        <v>13471</v>
      </c>
      <c r="F1335" s="250" t="s">
        <v>130</v>
      </c>
      <c r="G1335" s="223" t="s">
        <v>5582</v>
      </c>
      <c r="I1335" s="223">
        <v>3000</v>
      </c>
      <c r="AV1335" s="22">
        <f t="shared" si="142"/>
        <v>3000</v>
      </c>
      <c r="AW1335" s="223">
        <v>2265.7199999999998</v>
      </c>
      <c r="AX1335" s="223">
        <v>584.28</v>
      </c>
      <c r="AZ1335" s="223">
        <v>150</v>
      </c>
      <c r="CK1335" s="22">
        <f t="shared" si="145"/>
        <v>3000</v>
      </c>
      <c r="CL1335" s="3">
        <f t="shared" si="146"/>
        <v>0</v>
      </c>
      <c r="CM1335" s="222">
        <f t="shared" si="147"/>
        <v>13471</v>
      </c>
      <c r="CN1335" s="3" t="str">
        <f t="shared" si="148"/>
        <v>خ ت طب</v>
      </c>
    </row>
    <row r="1336" spans="3:92" x14ac:dyDescent="0.25">
      <c r="C1336" s="223" t="s">
        <v>571</v>
      </c>
      <c r="D1336" s="224">
        <v>22434</v>
      </c>
      <c r="E1336" s="224">
        <v>13472</v>
      </c>
      <c r="F1336" s="250" t="s">
        <v>130</v>
      </c>
      <c r="G1336" s="223" t="s">
        <v>5582</v>
      </c>
      <c r="I1336" s="223">
        <v>1680</v>
      </c>
      <c r="AV1336" s="22">
        <f t="shared" si="142"/>
        <v>1680</v>
      </c>
      <c r="AW1336" s="223">
        <v>1268.48</v>
      </c>
      <c r="AX1336" s="223">
        <v>327.52</v>
      </c>
      <c r="AZ1336" s="223">
        <v>84</v>
      </c>
      <c r="CK1336" s="22">
        <f t="shared" si="145"/>
        <v>1680</v>
      </c>
      <c r="CL1336" s="3">
        <f t="shared" si="146"/>
        <v>0</v>
      </c>
      <c r="CM1336" s="222">
        <f t="shared" si="147"/>
        <v>13472</v>
      </c>
      <c r="CN1336" s="3" t="str">
        <f t="shared" si="148"/>
        <v>خ ت طب</v>
      </c>
    </row>
    <row r="1337" spans="3:92" x14ac:dyDescent="0.25">
      <c r="C1337" s="223" t="s">
        <v>571</v>
      </c>
      <c r="D1337" s="224">
        <v>22396</v>
      </c>
      <c r="E1337" s="224">
        <v>13473</v>
      </c>
      <c r="F1337" s="250" t="s">
        <v>130</v>
      </c>
      <c r="G1337" s="223" t="s">
        <v>5583</v>
      </c>
      <c r="I1337" s="223">
        <v>5540</v>
      </c>
      <c r="AV1337" s="22">
        <f t="shared" si="142"/>
        <v>5540</v>
      </c>
      <c r="AW1337" s="223">
        <v>4180.4799999999996</v>
      </c>
      <c r="AX1337" s="223">
        <v>1082.52</v>
      </c>
      <c r="AZ1337" s="223">
        <v>277</v>
      </c>
      <c r="CK1337" s="22">
        <f t="shared" si="145"/>
        <v>5540</v>
      </c>
      <c r="CL1337" s="3">
        <f t="shared" si="146"/>
        <v>0</v>
      </c>
      <c r="CM1337" s="222">
        <f t="shared" si="147"/>
        <v>13473</v>
      </c>
      <c r="CN1337" s="3" t="str">
        <f t="shared" si="148"/>
        <v>خ ت طب</v>
      </c>
    </row>
    <row r="1338" spans="3:92" x14ac:dyDescent="0.25">
      <c r="C1338" s="223" t="s">
        <v>571</v>
      </c>
      <c r="D1338" s="224">
        <v>22424</v>
      </c>
      <c r="E1338" s="224">
        <v>13474</v>
      </c>
      <c r="F1338" s="250" t="s">
        <v>130</v>
      </c>
      <c r="G1338" s="223" t="s">
        <v>5584</v>
      </c>
      <c r="I1338" s="223">
        <v>1400</v>
      </c>
      <c r="AV1338" s="22">
        <f t="shared" si="142"/>
        <v>1400</v>
      </c>
      <c r="AW1338" s="223">
        <v>1055.8800000000001</v>
      </c>
      <c r="AX1338" s="223">
        <v>274.12</v>
      </c>
      <c r="AZ1338" s="223">
        <v>70</v>
      </c>
      <c r="CK1338" s="22">
        <f t="shared" si="145"/>
        <v>1400</v>
      </c>
      <c r="CL1338" s="3">
        <f t="shared" si="146"/>
        <v>0</v>
      </c>
      <c r="CM1338" s="222">
        <f t="shared" si="147"/>
        <v>13474</v>
      </c>
      <c r="CN1338" s="3" t="str">
        <f t="shared" si="148"/>
        <v>خ ت طب</v>
      </c>
    </row>
    <row r="1339" spans="3:92" x14ac:dyDescent="0.25">
      <c r="C1339" s="223" t="s">
        <v>571</v>
      </c>
      <c r="D1339" s="224">
        <v>22423</v>
      </c>
      <c r="E1339" s="224">
        <v>13475</v>
      </c>
      <c r="F1339" s="250" t="s">
        <v>130</v>
      </c>
      <c r="G1339" s="223" t="s">
        <v>5584</v>
      </c>
      <c r="I1339" s="223">
        <v>1640</v>
      </c>
      <c r="AV1339" s="22">
        <f t="shared" si="142"/>
        <v>1640</v>
      </c>
      <c r="AW1339" s="223">
        <v>1240.1600000000001</v>
      </c>
      <c r="AX1339" s="223">
        <v>317.84000000000003</v>
      </c>
      <c r="AZ1339" s="223">
        <v>82</v>
      </c>
      <c r="CK1339" s="22">
        <f t="shared" si="145"/>
        <v>1640</v>
      </c>
      <c r="CL1339" s="3">
        <f t="shared" si="146"/>
        <v>0</v>
      </c>
      <c r="CM1339" s="222">
        <f t="shared" si="147"/>
        <v>13475</v>
      </c>
      <c r="CN1339" s="3" t="str">
        <f t="shared" si="148"/>
        <v>خ ت طب</v>
      </c>
    </row>
    <row r="1340" spans="3:92" x14ac:dyDescent="0.25">
      <c r="C1340" s="223" t="s">
        <v>571</v>
      </c>
      <c r="D1340" s="224">
        <v>22422</v>
      </c>
      <c r="E1340" s="224">
        <v>13476</v>
      </c>
      <c r="F1340" s="250" t="s">
        <v>130</v>
      </c>
      <c r="G1340" s="223" t="s">
        <v>5584</v>
      </c>
      <c r="I1340" s="223">
        <v>3360</v>
      </c>
      <c r="AV1340" s="22">
        <f t="shared" si="142"/>
        <v>3360</v>
      </c>
      <c r="AW1340" s="223">
        <v>2533.7199999999998</v>
      </c>
      <c r="AX1340" s="223">
        <v>658.28</v>
      </c>
      <c r="AZ1340" s="223">
        <v>168</v>
      </c>
      <c r="CK1340" s="22">
        <f t="shared" si="145"/>
        <v>3360</v>
      </c>
      <c r="CL1340" s="3">
        <f t="shared" si="146"/>
        <v>0</v>
      </c>
      <c r="CM1340" s="222">
        <f t="shared" si="147"/>
        <v>13476</v>
      </c>
      <c r="CN1340" s="3" t="str">
        <f t="shared" si="148"/>
        <v>خ ت طب</v>
      </c>
    </row>
    <row r="1341" spans="3:92" x14ac:dyDescent="0.25">
      <c r="D1341" s="224">
        <v>22421</v>
      </c>
      <c r="E1341" s="224">
        <v>13477</v>
      </c>
      <c r="F1341" s="250" t="s">
        <v>130</v>
      </c>
      <c r="G1341" s="223" t="s">
        <v>5584</v>
      </c>
      <c r="I1341" s="223">
        <v>1120</v>
      </c>
      <c r="AV1341" s="22">
        <f t="shared" si="142"/>
        <v>1120</v>
      </c>
      <c r="AW1341" s="223">
        <v>886.53</v>
      </c>
      <c r="AX1341" s="223">
        <v>177.47</v>
      </c>
      <c r="AZ1341" s="223">
        <v>56</v>
      </c>
      <c r="CK1341" s="22">
        <f t="shared" si="145"/>
        <v>1120</v>
      </c>
      <c r="CL1341" s="3">
        <f t="shared" si="146"/>
        <v>0</v>
      </c>
      <c r="CM1341" s="222">
        <f t="shared" si="147"/>
        <v>13477</v>
      </c>
      <c r="CN1341" s="3" t="str">
        <f t="shared" si="148"/>
        <v>خ ت طب</v>
      </c>
    </row>
    <row r="1342" spans="3:92" x14ac:dyDescent="0.25">
      <c r="D1342" s="224">
        <v>22440</v>
      </c>
      <c r="E1342" s="224">
        <v>13478</v>
      </c>
      <c r="F1342" s="250" t="s">
        <v>130</v>
      </c>
      <c r="G1342" s="223" t="s">
        <v>5582</v>
      </c>
      <c r="I1342" s="223">
        <v>3720</v>
      </c>
      <c r="AV1342" s="22">
        <f t="shared" si="142"/>
        <v>3720</v>
      </c>
      <c r="AW1342" s="223">
        <v>2809.96</v>
      </c>
      <c r="AX1342" s="223">
        <v>724.04</v>
      </c>
      <c r="AZ1342" s="223">
        <v>186</v>
      </c>
      <c r="CK1342" s="22">
        <f t="shared" si="145"/>
        <v>3720</v>
      </c>
      <c r="CL1342" s="3">
        <f t="shared" si="146"/>
        <v>0</v>
      </c>
      <c r="CM1342" s="222">
        <f t="shared" si="147"/>
        <v>13478</v>
      </c>
      <c r="CN1342" s="3" t="str">
        <f t="shared" si="148"/>
        <v>خ ت طب</v>
      </c>
    </row>
    <row r="1343" spans="3:92" x14ac:dyDescent="0.25">
      <c r="D1343" s="224">
        <v>22404</v>
      </c>
      <c r="E1343" s="224">
        <v>13479</v>
      </c>
      <c r="F1343" s="250" t="s">
        <v>130</v>
      </c>
      <c r="G1343" s="223" t="s">
        <v>5581</v>
      </c>
      <c r="I1343" s="223">
        <v>8344.9</v>
      </c>
      <c r="AV1343" s="22">
        <f t="shared" si="142"/>
        <v>8344.9</v>
      </c>
      <c r="AW1343" s="223">
        <v>6113.16</v>
      </c>
      <c r="AX1343" s="223">
        <v>1584.44</v>
      </c>
      <c r="AY1343" s="223">
        <v>237.3</v>
      </c>
      <c r="AZ1343" s="223">
        <v>410</v>
      </c>
      <c r="CK1343" s="22">
        <f t="shared" si="145"/>
        <v>8344.9000000000015</v>
      </c>
      <c r="CL1343" s="3">
        <f t="shared" si="146"/>
        <v>0</v>
      </c>
      <c r="CM1343" s="222">
        <f t="shared" si="147"/>
        <v>13479</v>
      </c>
      <c r="CN1343" s="3" t="str">
        <f t="shared" si="148"/>
        <v>خ ت طب</v>
      </c>
    </row>
    <row r="1344" spans="3:92" x14ac:dyDescent="0.25">
      <c r="D1344" s="224">
        <v>22405</v>
      </c>
      <c r="E1344" s="224">
        <v>13480</v>
      </c>
      <c r="F1344" s="250" t="s">
        <v>130</v>
      </c>
      <c r="G1344" s="223" t="s">
        <v>5581</v>
      </c>
      <c r="I1344" s="223">
        <v>4863.5</v>
      </c>
      <c r="AV1344" s="22">
        <f t="shared" si="142"/>
        <v>4863.5</v>
      </c>
      <c r="AW1344" s="223">
        <v>3538.84</v>
      </c>
      <c r="AX1344" s="223">
        <v>917.16000000000008</v>
      </c>
      <c r="AY1344" s="223">
        <v>169.5</v>
      </c>
      <c r="AZ1344" s="223">
        <v>238</v>
      </c>
      <c r="CK1344" s="22">
        <f t="shared" si="145"/>
        <v>4863.5</v>
      </c>
      <c r="CL1344" s="3">
        <f t="shared" si="146"/>
        <v>0</v>
      </c>
      <c r="CM1344" s="222">
        <f t="shared" si="147"/>
        <v>13480</v>
      </c>
      <c r="CN1344" s="3" t="str">
        <f t="shared" si="148"/>
        <v>خ ت طب</v>
      </c>
    </row>
    <row r="1345" spans="3:92" x14ac:dyDescent="0.25">
      <c r="D1345" s="224">
        <v>22397</v>
      </c>
      <c r="E1345" s="224">
        <v>13481</v>
      </c>
      <c r="F1345" s="250" t="s">
        <v>130</v>
      </c>
      <c r="G1345" s="223" t="s">
        <v>5583</v>
      </c>
      <c r="I1345" s="223">
        <v>9520</v>
      </c>
      <c r="AV1345" s="22">
        <f t="shared" ref="AV1345:AV1408" si="149">SUM(I1345:AU1345)</f>
        <v>9520</v>
      </c>
      <c r="AW1345" s="223">
        <v>7185.08</v>
      </c>
      <c r="AX1345" s="223">
        <v>1858.92</v>
      </c>
      <c r="AZ1345" s="223">
        <v>476</v>
      </c>
      <c r="CK1345" s="22">
        <f t="shared" si="145"/>
        <v>9520</v>
      </c>
      <c r="CL1345" s="3">
        <f t="shared" si="146"/>
        <v>0</v>
      </c>
      <c r="CM1345" s="222">
        <f t="shared" si="147"/>
        <v>13481</v>
      </c>
      <c r="CN1345" s="3" t="str">
        <f t="shared" si="148"/>
        <v>خ ت طب</v>
      </c>
    </row>
    <row r="1346" spans="3:92" x14ac:dyDescent="0.25">
      <c r="D1346" s="224">
        <v>22398</v>
      </c>
      <c r="E1346" s="224">
        <v>13482</v>
      </c>
      <c r="F1346" s="250" t="s">
        <v>130</v>
      </c>
      <c r="G1346" s="223" t="s">
        <v>5583</v>
      </c>
      <c r="I1346" s="223">
        <v>1439.02</v>
      </c>
      <c r="AV1346" s="22">
        <f t="shared" si="149"/>
        <v>1439.02</v>
      </c>
      <c r="AW1346" s="223">
        <v>1036.94</v>
      </c>
      <c r="AX1346" s="223">
        <v>268.18</v>
      </c>
      <c r="AY1346" s="223">
        <v>63.9</v>
      </c>
      <c r="AZ1346" s="223">
        <v>70</v>
      </c>
      <c r="CK1346" s="22">
        <f t="shared" si="145"/>
        <v>1439.0200000000002</v>
      </c>
      <c r="CL1346" s="3">
        <f t="shared" si="146"/>
        <v>0</v>
      </c>
      <c r="CM1346" s="222">
        <f t="shared" si="147"/>
        <v>13482</v>
      </c>
      <c r="CN1346" s="3" t="str">
        <f t="shared" si="148"/>
        <v>خ ت طب</v>
      </c>
    </row>
    <row r="1347" spans="3:92" x14ac:dyDescent="0.25">
      <c r="D1347" s="224">
        <v>22433</v>
      </c>
      <c r="E1347" s="224">
        <v>13483</v>
      </c>
      <c r="F1347" s="250" t="s">
        <v>130</v>
      </c>
      <c r="G1347" s="223" t="s">
        <v>5582</v>
      </c>
      <c r="I1347" s="223">
        <v>4260</v>
      </c>
      <c r="AV1347" s="22">
        <f t="shared" si="149"/>
        <v>4260</v>
      </c>
      <c r="AW1347" s="223">
        <v>3215.28</v>
      </c>
      <c r="AX1347" s="223">
        <v>831.72</v>
      </c>
      <c r="AZ1347" s="223">
        <v>213</v>
      </c>
      <c r="CK1347" s="22">
        <f t="shared" si="145"/>
        <v>4260</v>
      </c>
      <c r="CL1347" s="3">
        <f t="shared" si="146"/>
        <v>0</v>
      </c>
      <c r="CM1347" s="222">
        <f t="shared" si="147"/>
        <v>13483</v>
      </c>
      <c r="CN1347" s="3" t="str">
        <f t="shared" si="148"/>
        <v>خ ت طب</v>
      </c>
    </row>
    <row r="1348" spans="3:92" x14ac:dyDescent="0.25">
      <c r="D1348" s="224">
        <v>22411</v>
      </c>
      <c r="E1348" s="224">
        <v>13484</v>
      </c>
      <c r="F1348" s="250" t="s">
        <v>130</v>
      </c>
      <c r="G1348" s="223" t="s">
        <v>5581</v>
      </c>
      <c r="I1348" s="223">
        <v>1680</v>
      </c>
      <c r="AV1348" s="22">
        <f t="shared" si="149"/>
        <v>1680</v>
      </c>
      <c r="AW1348" s="223">
        <v>1267</v>
      </c>
      <c r="AX1348" s="223">
        <v>329</v>
      </c>
      <c r="AZ1348" s="223">
        <v>84</v>
      </c>
      <c r="CK1348" s="22">
        <f t="shared" si="145"/>
        <v>1680</v>
      </c>
      <c r="CL1348" s="3">
        <f t="shared" si="146"/>
        <v>0</v>
      </c>
      <c r="CM1348" s="222">
        <f t="shared" si="147"/>
        <v>13484</v>
      </c>
      <c r="CN1348" s="3" t="str">
        <f t="shared" si="148"/>
        <v>خ ت طب</v>
      </c>
    </row>
    <row r="1349" spans="3:92" x14ac:dyDescent="0.25">
      <c r="D1349" s="224">
        <v>22399</v>
      </c>
      <c r="E1349" s="224">
        <v>13485</v>
      </c>
      <c r="F1349" s="250" t="s">
        <v>130</v>
      </c>
      <c r="G1349" s="223" t="s">
        <v>5583</v>
      </c>
      <c r="I1349" s="223">
        <v>5960</v>
      </c>
      <c r="AV1349" s="22">
        <f t="shared" si="149"/>
        <v>5960</v>
      </c>
      <c r="AW1349" s="223">
        <v>4497.92</v>
      </c>
      <c r="AX1349" s="223">
        <v>1164.08</v>
      </c>
      <c r="AZ1349" s="223">
        <v>298</v>
      </c>
      <c r="CK1349" s="22">
        <f t="shared" si="145"/>
        <v>5960</v>
      </c>
      <c r="CL1349" s="3">
        <f t="shared" si="146"/>
        <v>0</v>
      </c>
      <c r="CM1349" s="222">
        <f t="shared" si="147"/>
        <v>13485</v>
      </c>
      <c r="CN1349" s="3" t="str">
        <f t="shared" si="148"/>
        <v>خ ت طب</v>
      </c>
    </row>
    <row r="1350" spans="3:92" x14ac:dyDescent="0.25">
      <c r="D1350" s="224">
        <v>22395</v>
      </c>
      <c r="E1350" s="224">
        <v>13486</v>
      </c>
      <c r="F1350" s="250" t="s">
        <v>130</v>
      </c>
      <c r="G1350" s="223" t="s">
        <v>5583</v>
      </c>
      <c r="I1350" s="223">
        <v>1070.1099999999999</v>
      </c>
      <c r="AV1350" s="22">
        <f t="shared" si="149"/>
        <v>1070.1099999999999</v>
      </c>
      <c r="AW1350" s="223">
        <v>769.95</v>
      </c>
      <c r="AX1350" s="223">
        <v>198.84</v>
      </c>
      <c r="AY1350" s="223">
        <v>49.32</v>
      </c>
      <c r="AZ1350" s="223">
        <v>52</v>
      </c>
      <c r="CK1350" s="22">
        <f t="shared" si="145"/>
        <v>1070.1100000000001</v>
      </c>
      <c r="CL1350" s="3">
        <f t="shared" si="146"/>
        <v>0</v>
      </c>
      <c r="CM1350" s="222">
        <f t="shared" si="147"/>
        <v>13486</v>
      </c>
      <c r="CN1350" s="3" t="str">
        <f t="shared" si="148"/>
        <v>خ ت طب</v>
      </c>
    </row>
    <row r="1351" spans="3:92" x14ac:dyDescent="0.25">
      <c r="C1351" s="223" t="s">
        <v>571</v>
      </c>
      <c r="D1351" s="224">
        <v>22406</v>
      </c>
      <c r="E1351" s="224">
        <v>13487</v>
      </c>
      <c r="F1351" s="250" t="s">
        <v>130</v>
      </c>
      <c r="G1351" s="223" t="s">
        <v>5581</v>
      </c>
      <c r="I1351" s="223">
        <v>4840</v>
      </c>
      <c r="AV1351" s="22">
        <f t="shared" si="149"/>
        <v>4840</v>
      </c>
      <c r="AW1351" s="223">
        <v>3651.8</v>
      </c>
      <c r="AX1351" s="223">
        <v>946.2</v>
      </c>
      <c r="AZ1351" s="223">
        <v>242</v>
      </c>
      <c r="CK1351" s="22">
        <f t="shared" si="145"/>
        <v>4840</v>
      </c>
      <c r="CL1351" s="3">
        <f t="shared" si="146"/>
        <v>0</v>
      </c>
      <c r="CM1351" s="222">
        <f t="shared" si="147"/>
        <v>13487</v>
      </c>
      <c r="CN1351" s="3" t="str">
        <f t="shared" si="148"/>
        <v>خ ت طب</v>
      </c>
    </row>
    <row r="1352" spans="3:92" x14ac:dyDescent="0.25">
      <c r="C1352" s="223" t="s">
        <v>571</v>
      </c>
      <c r="D1352" s="224">
        <v>22407</v>
      </c>
      <c r="E1352" s="224">
        <v>13488</v>
      </c>
      <c r="F1352" s="250" t="s">
        <v>130</v>
      </c>
      <c r="G1352" s="223" t="s">
        <v>5581</v>
      </c>
      <c r="I1352" s="223">
        <v>11760</v>
      </c>
      <c r="AV1352" s="22">
        <f t="shared" si="149"/>
        <v>11760</v>
      </c>
      <c r="AW1352" s="223">
        <v>8871.48</v>
      </c>
      <c r="AX1352" s="223">
        <v>2300.52</v>
      </c>
      <c r="AZ1352" s="223">
        <v>588</v>
      </c>
      <c r="CK1352" s="22">
        <f t="shared" si="145"/>
        <v>11760</v>
      </c>
      <c r="CL1352" s="3">
        <f t="shared" si="146"/>
        <v>0</v>
      </c>
      <c r="CM1352" s="222">
        <f t="shared" si="147"/>
        <v>13488</v>
      </c>
      <c r="CN1352" s="3" t="str">
        <f t="shared" si="148"/>
        <v>خ ت طب</v>
      </c>
    </row>
    <row r="1353" spans="3:92" x14ac:dyDescent="0.25">
      <c r="C1353" s="223" t="s">
        <v>571</v>
      </c>
      <c r="D1353" s="224">
        <v>22400</v>
      </c>
      <c r="E1353" s="224">
        <v>13489</v>
      </c>
      <c r="F1353" s="250" t="s">
        <v>130</v>
      </c>
      <c r="G1353" s="223" t="s">
        <v>5583</v>
      </c>
      <c r="I1353" s="223">
        <v>3920</v>
      </c>
      <c r="AV1353" s="22">
        <f t="shared" si="149"/>
        <v>3920</v>
      </c>
      <c r="AW1353" s="223">
        <v>2958.16</v>
      </c>
      <c r="AX1353" s="223">
        <v>765.83999999999992</v>
      </c>
      <c r="AZ1353" s="223">
        <v>196</v>
      </c>
      <c r="CK1353" s="22">
        <f t="shared" si="145"/>
        <v>3920</v>
      </c>
      <c r="CL1353" s="3">
        <f t="shared" si="146"/>
        <v>0</v>
      </c>
      <c r="CM1353" s="222">
        <f t="shared" si="147"/>
        <v>13489</v>
      </c>
      <c r="CN1353" s="3" t="str">
        <f t="shared" si="148"/>
        <v>خ ت طب</v>
      </c>
    </row>
    <row r="1354" spans="3:92" x14ac:dyDescent="0.25">
      <c r="C1354" s="223" t="s">
        <v>571</v>
      </c>
      <c r="D1354" s="224">
        <v>22394</v>
      </c>
      <c r="E1354" s="224">
        <v>13490</v>
      </c>
      <c r="F1354" s="250" t="s">
        <v>130</v>
      </c>
      <c r="G1354" s="223" t="s">
        <v>5585</v>
      </c>
      <c r="I1354" s="223">
        <v>3360</v>
      </c>
      <c r="AV1354" s="22">
        <f t="shared" si="149"/>
        <v>3360</v>
      </c>
      <c r="AW1354" s="223">
        <v>2533.7199999999998</v>
      </c>
      <c r="AX1354" s="223">
        <v>658.28</v>
      </c>
      <c r="AZ1354" s="223">
        <v>168</v>
      </c>
      <c r="CK1354" s="22">
        <f t="shared" si="145"/>
        <v>3360</v>
      </c>
      <c r="CL1354" s="3">
        <f t="shared" si="146"/>
        <v>0</v>
      </c>
      <c r="CM1354" s="222">
        <f t="shared" si="147"/>
        <v>13490</v>
      </c>
      <c r="CN1354" s="3" t="str">
        <f t="shared" si="148"/>
        <v>خ ت طب</v>
      </c>
    </row>
    <row r="1355" spans="3:92" x14ac:dyDescent="0.25">
      <c r="D1355" s="224">
        <v>22417</v>
      </c>
      <c r="E1355" s="224">
        <v>13491</v>
      </c>
      <c r="F1355" s="250" t="s">
        <v>130</v>
      </c>
      <c r="G1355" s="223" t="s">
        <v>5584</v>
      </c>
      <c r="I1355" s="223">
        <v>3360</v>
      </c>
      <c r="AV1355" s="22">
        <f t="shared" si="149"/>
        <v>3360</v>
      </c>
      <c r="AW1355" s="223">
        <v>2533.7199999999998</v>
      </c>
      <c r="AX1355" s="223">
        <v>658.28</v>
      </c>
      <c r="AZ1355" s="223">
        <v>168</v>
      </c>
      <c r="CK1355" s="22">
        <f t="shared" si="145"/>
        <v>3360</v>
      </c>
      <c r="CL1355" s="3">
        <f t="shared" si="146"/>
        <v>0</v>
      </c>
      <c r="CM1355" s="222">
        <f t="shared" si="147"/>
        <v>13491</v>
      </c>
      <c r="CN1355" s="3" t="str">
        <f t="shared" si="148"/>
        <v>خ ت طب</v>
      </c>
    </row>
    <row r="1356" spans="3:92" x14ac:dyDescent="0.25">
      <c r="D1356" s="224">
        <v>22419</v>
      </c>
      <c r="E1356" s="224">
        <v>13492</v>
      </c>
      <c r="F1356" s="250" t="s">
        <v>130</v>
      </c>
      <c r="G1356" s="223" t="s">
        <v>5584</v>
      </c>
      <c r="I1356" s="223">
        <v>3360</v>
      </c>
      <c r="AV1356" s="22">
        <f t="shared" si="149"/>
        <v>3360</v>
      </c>
      <c r="AW1356" s="223">
        <v>2533.7199999999998</v>
      </c>
      <c r="AX1356" s="223">
        <v>658.28</v>
      </c>
      <c r="AZ1356" s="223">
        <v>168</v>
      </c>
      <c r="CK1356" s="22">
        <f t="shared" si="145"/>
        <v>3360</v>
      </c>
      <c r="CL1356" s="3">
        <f t="shared" si="146"/>
        <v>0</v>
      </c>
      <c r="CM1356" s="222">
        <f t="shared" si="147"/>
        <v>13492</v>
      </c>
      <c r="CN1356" s="3" t="str">
        <f t="shared" si="148"/>
        <v>خ ت طب</v>
      </c>
    </row>
    <row r="1357" spans="3:92" x14ac:dyDescent="0.25">
      <c r="D1357" s="224">
        <v>22420</v>
      </c>
      <c r="E1357" s="224">
        <v>13493</v>
      </c>
      <c r="F1357" s="250" t="s">
        <v>130</v>
      </c>
      <c r="G1357" s="223" t="s">
        <v>5584</v>
      </c>
      <c r="I1357" s="223">
        <v>3360</v>
      </c>
      <c r="AV1357" s="22">
        <f t="shared" si="149"/>
        <v>3360</v>
      </c>
      <c r="AW1357" s="223">
        <v>2536.16</v>
      </c>
      <c r="AX1357" s="223">
        <v>655.83999999999992</v>
      </c>
      <c r="AZ1357" s="223">
        <v>168</v>
      </c>
      <c r="CK1357" s="22">
        <f t="shared" si="145"/>
        <v>3360</v>
      </c>
      <c r="CL1357" s="3">
        <f t="shared" si="146"/>
        <v>0</v>
      </c>
      <c r="CM1357" s="222">
        <f t="shared" si="147"/>
        <v>13493</v>
      </c>
      <c r="CN1357" s="3" t="str">
        <f t="shared" si="148"/>
        <v>خ ت طب</v>
      </c>
    </row>
    <row r="1358" spans="3:92" x14ac:dyDescent="0.25">
      <c r="D1358" s="224">
        <v>22414</v>
      </c>
      <c r="E1358" s="224">
        <v>13494</v>
      </c>
      <c r="F1358" s="250" t="s">
        <v>130</v>
      </c>
      <c r="G1358" s="223" t="s">
        <v>5584</v>
      </c>
      <c r="I1358" s="223">
        <v>24360</v>
      </c>
      <c r="AV1358" s="22">
        <f t="shared" si="149"/>
        <v>24360</v>
      </c>
      <c r="AW1358" s="223">
        <v>18367.96</v>
      </c>
      <c r="AX1358" s="223">
        <v>4774.04</v>
      </c>
      <c r="AZ1358" s="223">
        <v>1218</v>
      </c>
      <c r="CK1358" s="22">
        <f t="shared" si="145"/>
        <v>24360</v>
      </c>
      <c r="CL1358" s="3">
        <f t="shared" si="146"/>
        <v>0</v>
      </c>
      <c r="CM1358" s="222">
        <f t="shared" si="147"/>
        <v>13494</v>
      </c>
      <c r="CN1358" s="3" t="str">
        <f t="shared" si="148"/>
        <v>خ ت طب</v>
      </c>
    </row>
    <row r="1359" spans="3:92" x14ac:dyDescent="0.25">
      <c r="D1359" s="224">
        <v>22413</v>
      </c>
      <c r="E1359" s="224">
        <v>13495</v>
      </c>
      <c r="F1359" s="250" t="s">
        <v>130</v>
      </c>
      <c r="G1359" s="223" t="s">
        <v>5584</v>
      </c>
      <c r="I1359" s="223">
        <v>5040</v>
      </c>
      <c r="AV1359" s="22">
        <f t="shared" si="149"/>
        <v>5040</v>
      </c>
      <c r="AW1359" s="223">
        <v>3801</v>
      </c>
      <c r="AX1359" s="223">
        <v>987</v>
      </c>
      <c r="AZ1359" s="223">
        <v>252</v>
      </c>
      <c r="CK1359" s="22">
        <f t="shared" si="145"/>
        <v>5040</v>
      </c>
      <c r="CL1359" s="3">
        <f t="shared" si="146"/>
        <v>0</v>
      </c>
      <c r="CM1359" s="222">
        <f t="shared" si="147"/>
        <v>13495</v>
      </c>
      <c r="CN1359" s="3" t="str">
        <f t="shared" si="148"/>
        <v>خ ت طب</v>
      </c>
    </row>
    <row r="1360" spans="3:92" x14ac:dyDescent="0.25">
      <c r="D1360" s="224">
        <v>22415</v>
      </c>
      <c r="E1360" s="224">
        <v>13496</v>
      </c>
      <c r="F1360" s="250" t="s">
        <v>130</v>
      </c>
      <c r="G1360" s="223" t="s">
        <v>5584</v>
      </c>
      <c r="I1360" s="223">
        <v>3360</v>
      </c>
      <c r="AV1360" s="22">
        <f t="shared" si="149"/>
        <v>3360</v>
      </c>
      <c r="AW1360" s="223">
        <v>2533.7199999999998</v>
      </c>
      <c r="AX1360" s="223">
        <v>658.28</v>
      </c>
      <c r="AZ1360" s="223">
        <v>168</v>
      </c>
      <c r="CK1360" s="22">
        <f t="shared" si="145"/>
        <v>3360</v>
      </c>
      <c r="CL1360" s="3">
        <f t="shared" si="146"/>
        <v>0</v>
      </c>
      <c r="CM1360" s="222">
        <f t="shared" si="147"/>
        <v>13496</v>
      </c>
      <c r="CN1360" s="3" t="str">
        <f t="shared" si="148"/>
        <v>خ ت طب</v>
      </c>
    </row>
    <row r="1361" spans="3:92" x14ac:dyDescent="0.25">
      <c r="D1361" s="224">
        <v>22418</v>
      </c>
      <c r="E1361" s="224">
        <v>13497</v>
      </c>
      <c r="F1361" s="250" t="s">
        <v>130</v>
      </c>
      <c r="G1361" s="223" t="s">
        <v>5584</v>
      </c>
      <c r="I1361" s="223">
        <v>3360</v>
      </c>
      <c r="AV1361" s="22">
        <f t="shared" si="149"/>
        <v>3360</v>
      </c>
      <c r="AW1361" s="223">
        <v>2533.7199999999998</v>
      </c>
      <c r="AX1361" s="223">
        <v>658.28</v>
      </c>
      <c r="AZ1361" s="223">
        <v>168</v>
      </c>
      <c r="CK1361" s="22">
        <f t="shared" si="145"/>
        <v>3360</v>
      </c>
      <c r="CL1361" s="3">
        <f t="shared" si="146"/>
        <v>0</v>
      </c>
      <c r="CM1361" s="222">
        <f t="shared" si="147"/>
        <v>13497</v>
      </c>
      <c r="CN1361" s="3" t="str">
        <f t="shared" si="148"/>
        <v>خ ت طب</v>
      </c>
    </row>
    <row r="1362" spans="3:92" x14ac:dyDescent="0.25">
      <c r="D1362" s="224">
        <v>22416</v>
      </c>
      <c r="E1362" s="224">
        <v>13498</v>
      </c>
      <c r="F1362" s="250" t="s">
        <v>130</v>
      </c>
      <c r="G1362" s="223" t="s">
        <v>5584</v>
      </c>
      <c r="I1362" s="223">
        <v>1680</v>
      </c>
      <c r="AV1362" s="22">
        <f t="shared" si="149"/>
        <v>1680</v>
      </c>
      <c r="AW1362" s="223">
        <v>1267</v>
      </c>
      <c r="AX1362" s="223">
        <v>329</v>
      </c>
      <c r="AZ1362" s="223">
        <v>84</v>
      </c>
      <c r="CK1362" s="22">
        <f t="shared" si="145"/>
        <v>1680</v>
      </c>
      <c r="CL1362" s="3">
        <f t="shared" si="146"/>
        <v>0</v>
      </c>
      <c r="CM1362" s="222">
        <f t="shared" si="147"/>
        <v>13498</v>
      </c>
      <c r="CN1362" s="3" t="str">
        <f t="shared" si="148"/>
        <v>خ ت طب</v>
      </c>
    </row>
    <row r="1363" spans="3:92" x14ac:dyDescent="0.25">
      <c r="C1363" s="223" t="s">
        <v>571</v>
      </c>
      <c r="D1363" s="224">
        <v>22393</v>
      </c>
      <c r="E1363" s="224">
        <v>13499</v>
      </c>
      <c r="F1363" s="250" t="s">
        <v>130</v>
      </c>
      <c r="G1363" s="223" t="s">
        <v>5585</v>
      </c>
      <c r="I1363" s="223">
        <v>12140</v>
      </c>
      <c r="AV1363" s="22">
        <f t="shared" si="149"/>
        <v>12140</v>
      </c>
      <c r="AW1363" s="223">
        <v>9153.7999999999993</v>
      </c>
      <c r="AX1363" s="223">
        <v>2379.1999999999998</v>
      </c>
      <c r="AZ1363" s="223">
        <v>607</v>
      </c>
      <c r="CK1363" s="22">
        <f t="shared" si="145"/>
        <v>12140</v>
      </c>
      <c r="CL1363" s="3">
        <f t="shared" si="146"/>
        <v>0</v>
      </c>
      <c r="CM1363" s="222">
        <f t="shared" si="147"/>
        <v>13499</v>
      </c>
      <c r="CN1363" s="3" t="str">
        <f t="shared" si="148"/>
        <v>خ ت طب</v>
      </c>
    </row>
    <row r="1364" spans="3:92" x14ac:dyDescent="0.25">
      <c r="C1364" s="223" t="s">
        <v>571</v>
      </c>
      <c r="D1364" s="224">
        <v>22439</v>
      </c>
      <c r="E1364" s="224">
        <v>13500</v>
      </c>
      <c r="F1364" s="250" t="s">
        <v>130</v>
      </c>
      <c r="G1364" s="223" t="s">
        <v>5582</v>
      </c>
      <c r="I1364" s="223">
        <v>4120</v>
      </c>
      <c r="AV1364" s="22">
        <f t="shared" si="149"/>
        <v>4120</v>
      </c>
      <c r="AW1364" s="223">
        <v>3112.96</v>
      </c>
      <c r="AX1364" s="223">
        <v>801.04</v>
      </c>
      <c r="AZ1364" s="223">
        <v>206</v>
      </c>
      <c r="CK1364" s="22">
        <f t="shared" si="145"/>
        <v>4120</v>
      </c>
      <c r="CL1364" s="3">
        <f t="shared" si="146"/>
        <v>0</v>
      </c>
      <c r="CM1364" s="222">
        <f t="shared" si="147"/>
        <v>13500</v>
      </c>
      <c r="CN1364" s="3" t="str">
        <f t="shared" si="148"/>
        <v>خ ت طب</v>
      </c>
    </row>
    <row r="1365" spans="3:92" x14ac:dyDescent="0.25">
      <c r="C1365" s="223" t="s">
        <v>571</v>
      </c>
      <c r="D1365" s="224">
        <v>22392</v>
      </c>
      <c r="E1365" s="224">
        <v>13501</v>
      </c>
      <c r="F1365" s="250" t="s">
        <v>130</v>
      </c>
      <c r="G1365" s="223" t="s">
        <v>5585</v>
      </c>
      <c r="I1365" s="223">
        <v>8400</v>
      </c>
      <c r="AV1365" s="22">
        <f t="shared" si="149"/>
        <v>8400</v>
      </c>
      <c r="AW1365" s="223">
        <v>6334.44</v>
      </c>
      <c r="AX1365" s="223">
        <v>1645.56</v>
      </c>
      <c r="AZ1365" s="223">
        <v>420</v>
      </c>
      <c r="CK1365" s="22">
        <f t="shared" si="145"/>
        <v>8400</v>
      </c>
      <c r="CL1365" s="3">
        <f t="shared" si="146"/>
        <v>0</v>
      </c>
      <c r="CM1365" s="222">
        <f t="shared" si="147"/>
        <v>13501</v>
      </c>
      <c r="CN1365" s="3" t="str">
        <f t="shared" si="148"/>
        <v>خ ت طب</v>
      </c>
    </row>
    <row r="1366" spans="3:92" x14ac:dyDescent="0.25">
      <c r="C1366" s="223" t="s">
        <v>571</v>
      </c>
      <c r="D1366" s="224">
        <v>22425</v>
      </c>
      <c r="E1366" s="224">
        <v>13502</v>
      </c>
      <c r="F1366" s="250" t="s">
        <v>130</v>
      </c>
      <c r="G1366" s="223" t="s">
        <v>5582</v>
      </c>
      <c r="I1366" s="223">
        <v>3000</v>
      </c>
      <c r="AV1366" s="22">
        <f t="shared" si="149"/>
        <v>3000</v>
      </c>
      <c r="AW1366" s="223">
        <v>2266.7199999999998</v>
      </c>
      <c r="AX1366" s="223">
        <v>583.28</v>
      </c>
      <c r="AZ1366" s="223">
        <v>150</v>
      </c>
      <c r="CK1366" s="22">
        <f t="shared" si="145"/>
        <v>3000</v>
      </c>
      <c r="CL1366" s="3">
        <f t="shared" si="146"/>
        <v>0</v>
      </c>
      <c r="CM1366" s="222">
        <f t="shared" si="147"/>
        <v>13502</v>
      </c>
      <c r="CN1366" s="3" t="str">
        <f t="shared" si="148"/>
        <v>خ ت طب</v>
      </c>
    </row>
    <row r="1367" spans="3:92" x14ac:dyDescent="0.25">
      <c r="C1367" s="223" t="s">
        <v>571</v>
      </c>
      <c r="D1367" s="224">
        <v>22430</v>
      </c>
      <c r="E1367" s="224">
        <v>13503</v>
      </c>
      <c r="F1367" s="250" t="s">
        <v>130</v>
      </c>
      <c r="G1367" s="223" t="s">
        <v>5582</v>
      </c>
      <c r="I1367" s="223">
        <v>1560</v>
      </c>
      <c r="AV1367" s="22">
        <f t="shared" si="149"/>
        <v>1560</v>
      </c>
      <c r="AW1367" s="223">
        <v>1178.48</v>
      </c>
      <c r="AX1367" s="223">
        <v>303.52</v>
      </c>
      <c r="AZ1367" s="223">
        <v>78</v>
      </c>
      <c r="CK1367" s="22">
        <f t="shared" si="145"/>
        <v>1560</v>
      </c>
      <c r="CL1367" s="3">
        <f t="shared" si="146"/>
        <v>0</v>
      </c>
      <c r="CM1367" s="222">
        <f t="shared" si="147"/>
        <v>13503</v>
      </c>
      <c r="CN1367" s="3" t="str">
        <f t="shared" si="148"/>
        <v>خ ت طب</v>
      </c>
    </row>
    <row r="1368" spans="3:92" x14ac:dyDescent="0.25">
      <c r="C1368" s="223" t="s">
        <v>571</v>
      </c>
      <c r="D1368" s="224">
        <v>22427</v>
      </c>
      <c r="E1368" s="224">
        <v>13504</v>
      </c>
      <c r="F1368" s="250" t="s">
        <v>130</v>
      </c>
      <c r="G1368" s="223" t="s">
        <v>5582</v>
      </c>
      <c r="I1368" s="223">
        <v>3320</v>
      </c>
      <c r="AV1368" s="22">
        <f t="shared" si="149"/>
        <v>3320</v>
      </c>
      <c r="AW1368" s="223">
        <v>2506.64</v>
      </c>
      <c r="AX1368" s="223">
        <v>647.36</v>
      </c>
      <c r="AZ1368" s="223">
        <v>166</v>
      </c>
      <c r="CK1368" s="22">
        <f t="shared" si="145"/>
        <v>3320</v>
      </c>
      <c r="CL1368" s="3">
        <f t="shared" si="146"/>
        <v>0</v>
      </c>
      <c r="CM1368" s="222">
        <f t="shared" si="147"/>
        <v>13504</v>
      </c>
      <c r="CN1368" s="3" t="str">
        <f t="shared" si="148"/>
        <v>خ ت طب</v>
      </c>
    </row>
    <row r="1369" spans="3:92" x14ac:dyDescent="0.25">
      <c r="C1369" s="223" t="s">
        <v>571</v>
      </c>
      <c r="D1369" s="224">
        <v>22426</v>
      </c>
      <c r="E1369" s="224">
        <v>13505</v>
      </c>
      <c r="F1369" s="250" t="s">
        <v>130</v>
      </c>
      <c r="G1369" s="223" t="s">
        <v>5582</v>
      </c>
      <c r="I1369" s="223">
        <v>1320</v>
      </c>
      <c r="AV1369" s="22">
        <f t="shared" si="149"/>
        <v>1320</v>
      </c>
      <c r="AW1369" s="223">
        <v>995.56</v>
      </c>
      <c r="AX1369" s="223">
        <v>258.44</v>
      </c>
      <c r="AZ1369" s="223">
        <v>66</v>
      </c>
      <c r="CK1369" s="22">
        <f t="shared" si="145"/>
        <v>1320</v>
      </c>
      <c r="CL1369" s="3">
        <f t="shared" si="146"/>
        <v>0</v>
      </c>
      <c r="CM1369" s="222">
        <f t="shared" si="147"/>
        <v>13505</v>
      </c>
      <c r="CN1369" s="3" t="str">
        <f t="shared" si="148"/>
        <v>خ ت طب</v>
      </c>
    </row>
    <row r="1370" spans="3:92" x14ac:dyDescent="0.25">
      <c r="C1370" s="223" t="s">
        <v>571</v>
      </c>
      <c r="D1370" s="224">
        <v>22431</v>
      </c>
      <c r="E1370" s="224">
        <v>13506</v>
      </c>
      <c r="F1370" s="250" t="s">
        <v>130</v>
      </c>
      <c r="G1370" s="223" t="s">
        <v>5582</v>
      </c>
      <c r="I1370" s="223">
        <v>1580</v>
      </c>
      <c r="AV1370" s="22">
        <f t="shared" si="149"/>
        <v>1580</v>
      </c>
      <c r="AW1370" s="223">
        <v>1193.5999999999999</v>
      </c>
      <c r="AX1370" s="223">
        <v>307.39999999999998</v>
      </c>
      <c r="AZ1370" s="223">
        <v>79</v>
      </c>
      <c r="CK1370" s="22">
        <f t="shared" si="145"/>
        <v>1580</v>
      </c>
      <c r="CL1370" s="3">
        <f t="shared" si="146"/>
        <v>0</v>
      </c>
      <c r="CM1370" s="222">
        <f t="shared" si="147"/>
        <v>13506</v>
      </c>
      <c r="CN1370" s="3" t="str">
        <f t="shared" si="148"/>
        <v>خ ت طب</v>
      </c>
    </row>
    <row r="1371" spans="3:92" x14ac:dyDescent="0.25">
      <c r="C1371" s="223" t="s">
        <v>571</v>
      </c>
      <c r="D1371" s="224">
        <v>22429</v>
      </c>
      <c r="E1371" s="224">
        <v>13507</v>
      </c>
      <c r="F1371" s="250" t="s">
        <v>130</v>
      </c>
      <c r="G1371" s="223" t="s">
        <v>5582</v>
      </c>
      <c r="I1371" s="223">
        <v>3200</v>
      </c>
      <c r="AV1371" s="22">
        <f t="shared" si="149"/>
        <v>3200</v>
      </c>
      <c r="AW1371" s="223">
        <v>2418.48</v>
      </c>
      <c r="AX1371" s="223">
        <v>621.52</v>
      </c>
      <c r="AZ1371" s="223">
        <v>160</v>
      </c>
      <c r="CK1371" s="22">
        <f t="shared" si="145"/>
        <v>3200</v>
      </c>
      <c r="CL1371" s="3">
        <f t="shared" si="146"/>
        <v>0</v>
      </c>
      <c r="CM1371" s="222">
        <f t="shared" si="147"/>
        <v>13507</v>
      </c>
      <c r="CN1371" s="3" t="str">
        <f t="shared" si="148"/>
        <v>خ ت طب</v>
      </c>
    </row>
    <row r="1372" spans="3:92" x14ac:dyDescent="0.25">
      <c r="C1372" s="223" t="s">
        <v>571</v>
      </c>
      <c r="D1372" s="224">
        <v>22428</v>
      </c>
      <c r="E1372" s="224">
        <v>13508</v>
      </c>
      <c r="F1372" s="250" t="s">
        <v>130</v>
      </c>
      <c r="G1372" s="223" t="s">
        <v>5582</v>
      </c>
      <c r="I1372" s="223">
        <v>1560</v>
      </c>
      <c r="AV1372" s="22">
        <f t="shared" si="149"/>
        <v>1560</v>
      </c>
      <c r="AW1372" s="223">
        <v>1178.52</v>
      </c>
      <c r="AX1372" s="223">
        <f>294.63+8.85</f>
        <v>303.48</v>
      </c>
      <c r="AZ1372" s="223">
        <v>78</v>
      </c>
      <c r="CK1372" s="22">
        <f t="shared" si="145"/>
        <v>1560</v>
      </c>
      <c r="CL1372" s="3">
        <f t="shared" si="146"/>
        <v>0</v>
      </c>
      <c r="CM1372" s="222">
        <f t="shared" si="147"/>
        <v>13508</v>
      </c>
      <c r="CN1372" s="3" t="str">
        <f t="shared" si="148"/>
        <v>خ ت طب</v>
      </c>
    </row>
    <row r="1373" spans="3:92" x14ac:dyDescent="0.25">
      <c r="C1373" s="223" t="s">
        <v>571</v>
      </c>
      <c r="D1373" s="224">
        <v>22438</v>
      </c>
      <c r="E1373" s="224">
        <v>13509</v>
      </c>
      <c r="F1373" s="250" t="s">
        <v>130</v>
      </c>
      <c r="G1373" s="223" t="s">
        <v>5582</v>
      </c>
      <c r="I1373" s="223">
        <v>2880</v>
      </c>
      <c r="AV1373" s="22">
        <f t="shared" si="149"/>
        <v>2880</v>
      </c>
      <c r="AW1373" s="223">
        <v>2174.88</v>
      </c>
      <c r="AX1373" s="223">
        <v>561.12</v>
      </c>
      <c r="AZ1373" s="223">
        <v>144</v>
      </c>
      <c r="CK1373" s="22">
        <f t="shared" si="145"/>
        <v>2880</v>
      </c>
      <c r="CL1373" s="3">
        <f t="shared" si="146"/>
        <v>0</v>
      </c>
      <c r="CM1373" s="222">
        <f t="shared" si="147"/>
        <v>13509</v>
      </c>
      <c r="CN1373" s="3" t="str">
        <f t="shared" si="148"/>
        <v>خ ت طب</v>
      </c>
    </row>
    <row r="1374" spans="3:92" x14ac:dyDescent="0.25">
      <c r="C1374" s="223" t="s">
        <v>571</v>
      </c>
      <c r="D1374" s="224">
        <v>22401</v>
      </c>
      <c r="E1374" s="224">
        <v>13510</v>
      </c>
      <c r="F1374" s="250" t="s">
        <v>130</v>
      </c>
      <c r="G1374" s="223" t="s">
        <v>5581</v>
      </c>
      <c r="I1374" s="223">
        <v>3220</v>
      </c>
      <c r="AV1374" s="22">
        <f t="shared" si="149"/>
        <v>3220</v>
      </c>
      <c r="AW1374" s="223">
        <v>2429.3200000000002</v>
      </c>
      <c r="AX1374" s="223">
        <v>629.68000000000006</v>
      </c>
      <c r="AZ1374" s="223">
        <v>161</v>
      </c>
      <c r="CK1374" s="22">
        <f t="shared" si="145"/>
        <v>3220</v>
      </c>
      <c r="CL1374" s="3">
        <f t="shared" si="146"/>
        <v>0</v>
      </c>
      <c r="CM1374" s="222">
        <f t="shared" si="147"/>
        <v>13510</v>
      </c>
      <c r="CN1374" s="3" t="str">
        <f t="shared" si="148"/>
        <v>خ ت طب</v>
      </c>
    </row>
    <row r="1375" spans="3:92" x14ac:dyDescent="0.25">
      <c r="C1375" s="223" t="s">
        <v>571</v>
      </c>
      <c r="D1375" s="224">
        <v>22436</v>
      </c>
      <c r="E1375" s="224">
        <v>13511</v>
      </c>
      <c r="F1375" s="250" t="s">
        <v>130</v>
      </c>
      <c r="G1375" s="223" t="s">
        <v>5582</v>
      </c>
      <c r="I1375" s="223">
        <v>4860</v>
      </c>
      <c r="AV1375" s="22">
        <f t="shared" si="149"/>
        <v>4860</v>
      </c>
      <c r="AW1375" s="223">
        <v>3668.4</v>
      </c>
      <c r="AX1375" s="223">
        <v>948.6</v>
      </c>
      <c r="AZ1375" s="223">
        <v>243</v>
      </c>
      <c r="CK1375" s="22">
        <f t="shared" si="145"/>
        <v>4860</v>
      </c>
      <c r="CL1375" s="3">
        <f t="shared" si="146"/>
        <v>0</v>
      </c>
      <c r="CM1375" s="222">
        <f t="shared" si="147"/>
        <v>13511</v>
      </c>
      <c r="CN1375" s="3" t="str">
        <f t="shared" si="148"/>
        <v>خ ت طب</v>
      </c>
    </row>
    <row r="1376" spans="3:92" x14ac:dyDescent="0.25">
      <c r="C1376" s="223" t="s">
        <v>571</v>
      </c>
      <c r="D1376" s="224">
        <v>22403</v>
      </c>
      <c r="E1376" s="224">
        <v>13512</v>
      </c>
      <c r="F1376" s="250" t="s">
        <v>130</v>
      </c>
      <c r="G1376" s="223" t="s">
        <v>5581</v>
      </c>
      <c r="I1376" s="223">
        <v>1600</v>
      </c>
      <c r="AV1376" s="22">
        <f t="shared" si="149"/>
        <v>1600</v>
      </c>
      <c r="AW1376" s="223">
        <v>1208</v>
      </c>
      <c r="AX1376" s="223">
        <v>312</v>
      </c>
      <c r="AZ1376" s="223">
        <v>80</v>
      </c>
      <c r="CK1376" s="22">
        <f t="shared" si="145"/>
        <v>1600</v>
      </c>
      <c r="CL1376" s="3">
        <f t="shared" si="146"/>
        <v>0</v>
      </c>
      <c r="CM1376" s="222">
        <f t="shared" si="147"/>
        <v>13512</v>
      </c>
      <c r="CN1376" s="3" t="str">
        <f t="shared" si="148"/>
        <v>خ ت طب</v>
      </c>
    </row>
    <row r="1377" spans="3:92" x14ac:dyDescent="0.25">
      <c r="C1377" s="223" t="s">
        <v>571</v>
      </c>
      <c r="D1377" s="224">
        <v>22402</v>
      </c>
      <c r="E1377" s="224">
        <v>13513</v>
      </c>
      <c r="F1377" s="250" t="s">
        <v>130</v>
      </c>
      <c r="G1377" s="223" t="s">
        <v>5581</v>
      </c>
      <c r="I1377" s="223">
        <v>1680</v>
      </c>
      <c r="AV1377" s="22">
        <f t="shared" si="149"/>
        <v>1680</v>
      </c>
      <c r="AW1377" s="223">
        <v>1267</v>
      </c>
      <c r="AX1377" s="223">
        <v>329</v>
      </c>
      <c r="AZ1377" s="223">
        <v>84</v>
      </c>
      <c r="CK1377" s="22">
        <f t="shared" si="145"/>
        <v>1680</v>
      </c>
      <c r="CL1377" s="3">
        <f t="shared" si="146"/>
        <v>0</v>
      </c>
      <c r="CM1377" s="222">
        <f t="shared" si="147"/>
        <v>13513</v>
      </c>
      <c r="CN1377" s="3" t="str">
        <f t="shared" si="148"/>
        <v>خ ت طب</v>
      </c>
    </row>
    <row r="1378" spans="3:92" x14ac:dyDescent="0.25">
      <c r="C1378" s="223" t="s">
        <v>571</v>
      </c>
      <c r="D1378" s="224">
        <v>22410</v>
      </c>
      <c r="E1378" s="224">
        <v>13514</v>
      </c>
      <c r="F1378" s="250" t="s">
        <v>130</v>
      </c>
      <c r="G1378" s="223" t="s">
        <v>5581</v>
      </c>
      <c r="I1378" s="223">
        <v>7420</v>
      </c>
      <c r="AV1378" s="22">
        <f t="shared" si="149"/>
        <v>7420</v>
      </c>
      <c r="AW1378" s="223">
        <v>5598.72</v>
      </c>
      <c r="AX1378" s="223">
        <v>1450.28</v>
      </c>
      <c r="AZ1378" s="223">
        <v>371</v>
      </c>
      <c r="CK1378" s="22">
        <f t="shared" si="145"/>
        <v>7420</v>
      </c>
      <c r="CL1378" s="3">
        <f t="shared" si="146"/>
        <v>0</v>
      </c>
      <c r="CM1378" s="222">
        <f t="shared" si="147"/>
        <v>13514</v>
      </c>
      <c r="CN1378" s="3" t="str">
        <f t="shared" si="148"/>
        <v>خ ت طب</v>
      </c>
    </row>
    <row r="1379" spans="3:92" x14ac:dyDescent="0.25">
      <c r="C1379" s="223" t="s">
        <v>571</v>
      </c>
      <c r="D1379" s="224">
        <v>22409</v>
      </c>
      <c r="E1379" s="224">
        <v>13515</v>
      </c>
      <c r="F1379" s="250" t="s">
        <v>130</v>
      </c>
      <c r="G1379" s="223" t="s">
        <v>5581</v>
      </c>
      <c r="I1379" s="223">
        <v>6640</v>
      </c>
      <c r="AV1379" s="22">
        <f t="shared" si="149"/>
        <v>6640</v>
      </c>
      <c r="AW1379" s="223">
        <v>5008.8</v>
      </c>
      <c r="AX1379" s="223">
        <v>1299.2</v>
      </c>
      <c r="AZ1379" s="223">
        <v>332</v>
      </c>
      <c r="CK1379" s="22">
        <f t="shared" si="145"/>
        <v>6640</v>
      </c>
      <c r="CL1379" s="3">
        <f t="shared" si="146"/>
        <v>0</v>
      </c>
      <c r="CM1379" s="222">
        <f t="shared" si="147"/>
        <v>13515</v>
      </c>
      <c r="CN1379" s="3" t="str">
        <f t="shared" si="148"/>
        <v>خ ت طب</v>
      </c>
    </row>
    <row r="1380" spans="3:92" x14ac:dyDescent="0.25">
      <c r="C1380" s="223" t="s">
        <v>571</v>
      </c>
      <c r="D1380" s="224">
        <v>22437</v>
      </c>
      <c r="E1380" s="224">
        <v>13516</v>
      </c>
      <c r="F1380" s="250" t="s">
        <v>130</v>
      </c>
      <c r="G1380" s="223" t="s">
        <v>5582</v>
      </c>
      <c r="I1380" s="223">
        <v>3180</v>
      </c>
      <c r="AV1380" s="22">
        <f t="shared" si="149"/>
        <v>3180</v>
      </c>
      <c r="AW1380" s="223">
        <v>2402.2399999999998</v>
      </c>
      <c r="AX1380" s="223">
        <v>618.76</v>
      </c>
      <c r="AZ1380" s="223">
        <v>159</v>
      </c>
      <c r="CK1380" s="22">
        <f t="shared" si="145"/>
        <v>3180</v>
      </c>
      <c r="CL1380" s="3">
        <f t="shared" si="146"/>
        <v>0</v>
      </c>
      <c r="CM1380" s="222">
        <f t="shared" si="147"/>
        <v>13516</v>
      </c>
      <c r="CN1380" s="3" t="str">
        <f t="shared" si="148"/>
        <v>خ ت طب</v>
      </c>
    </row>
    <row r="1381" spans="3:92" x14ac:dyDescent="0.25">
      <c r="C1381" s="223" t="s">
        <v>571</v>
      </c>
      <c r="D1381" s="224">
        <v>22412</v>
      </c>
      <c r="E1381" s="224">
        <v>13517</v>
      </c>
      <c r="F1381" s="250" t="s">
        <v>130</v>
      </c>
      <c r="G1381" s="223" t="s">
        <v>5584</v>
      </c>
      <c r="I1381" s="223">
        <v>12880</v>
      </c>
      <c r="AV1381" s="22">
        <f t="shared" si="149"/>
        <v>12880</v>
      </c>
      <c r="AW1381" s="223">
        <v>9712.64</v>
      </c>
      <c r="AX1381" s="223">
        <v>2523.3599999999997</v>
      </c>
      <c r="AZ1381" s="223">
        <v>644</v>
      </c>
      <c r="CK1381" s="22">
        <f t="shared" si="145"/>
        <v>12880</v>
      </c>
      <c r="CL1381" s="3">
        <f t="shared" si="146"/>
        <v>0</v>
      </c>
      <c r="CM1381" s="222">
        <f t="shared" si="147"/>
        <v>13517</v>
      </c>
      <c r="CN1381" s="3" t="str">
        <f t="shared" si="148"/>
        <v>خ ت طب</v>
      </c>
    </row>
    <row r="1382" spans="3:92" x14ac:dyDescent="0.25">
      <c r="C1382" s="223" t="s">
        <v>588</v>
      </c>
      <c r="D1382" s="224">
        <v>21453</v>
      </c>
      <c r="E1382" s="224">
        <v>13518</v>
      </c>
      <c r="F1382" s="250" t="s">
        <v>119</v>
      </c>
      <c r="G1382" s="223" t="s">
        <v>5586</v>
      </c>
      <c r="I1382" s="223">
        <v>1618.06</v>
      </c>
      <c r="AV1382" s="22">
        <f t="shared" si="149"/>
        <v>1618.06</v>
      </c>
      <c r="AW1382" s="223">
        <v>1122.52</v>
      </c>
      <c r="AX1382" s="223">
        <f>28.78+7.9</f>
        <v>36.68</v>
      </c>
      <c r="AY1382" s="223">
        <v>389.86</v>
      </c>
      <c r="AZ1382" s="223">
        <v>69</v>
      </c>
      <c r="CK1382" s="22">
        <f t="shared" si="145"/>
        <v>1618.06</v>
      </c>
      <c r="CL1382" s="3">
        <f t="shared" si="146"/>
        <v>0</v>
      </c>
      <c r="CM1382" s="222">
        <f t="shared" si="147"/>
        <v>13518</v>
      </c>
      <c r="CN1382" s="3" t="str">
        <f t="shared" si="148"/>
        <v>خ ت صيدلة</v>
      </c>
    </row>
    <row r="1383" spans="3:92" x14ac:dyDescent="0.25">
      <c r="C1383" s="223" t="s">
        <v>588</v>
      </c>
      <c r="D1383" s="224">
        <v>21691</v>
      </c>
      <c r="E1383" s="224">
        <v>13519</v>
      </c>
      <c r="F1383" s="250" t="s">
        <v>119</v>
      </c>
      <c r="G1383" s="223" t="s">
        <v>5586</v>
      </c>
      <c r="I1383" s="223">
        <v>809.02</v>
      </c>
      <c r="AV1383" s="22">
        <f t="shared" si="149"/>
        <v>809.02</v>
      </c>
      <c r="AW1383" s="223">
        <v>518.09</v>
      </c>
      <c r="AX1383" s="223">
        <v>61.510000000000005</v>
      </c>
      <c r="AY1383" s="223">
        <v>194.92</v>
      </c>
      <c r="AZ1383" s="223">
        <v>34.5</v>
      </c>
      <c r="CK1383" s="22">
        <f t="shared" si="145"/>
        <v>809.02</v>
      </c>
      <c r="CL1383" s="3">
        <f t="shared" si="146"/>
        <v>0</v>
      </c>
      <c r="CM1383" s="222">
        <f t="shared" si="147"/>
        <v>13519</v>
      </c>
      <c r="CN1383" s="3" t="str">
        <f t="shared" si="148"/>
        <v>خ ت صيدلة</v>
      </c>
    </row>
    <row r="1384" spans="3:92" x14ac:dyDescent="0.25">
      <c r="C1384" s="223" t="s">
        <v>588</v>
      </c>
      <c r="D1384" s="224">
        <v>21097</v>
      </c>
      <c r="E1384" s="224">
        <v>13520</v>
      </c>
      <c r="F1384" s="250" t="s">
        <v>119</v>
      </c>
      <c r="G1384" s="223" t="s">
        <v>5587</v>
      </c>
      <c r="I1384" s="223">
        <v>16227.4</v>
      </c>
      <c r="AV1384" s="22">
        <f t="shared" si="149"/>
        <v>16227.4</v>
      </c>
      <c r="AW1384" s="223">
        <v>9699.75</v>
      </c>
      <c r="AX1384" s="223">
        <v>1925.85</v>
      </c>
      <c r="AY1384" s="223">
        <v>3909.8</v>
      </c>
      <c r="AZ1384" s="223">
        <v>692</v>
      </c>
      <c r="CK1384" s="22">
        <f t="shared" si="145"/>
        <v>16227.400000000001</v>
      </c>
      <c r="CL1384" s="3">
        <f t="shared" si="146"/>
        <v>0</v>
      </c>
      <c r="CM1384" s="222">
        <f t="shared" si="147"/>
        <v>13520</v>
      </c>
      <c r="CN1384" s="3" t="str">
        <f t="shared" si="148"/>
        <v>خ ت صيدلة</v>
      </c>
    </row>
    <row r="1385" spans="3:92" x14ac:dyDescent="0.25">
      <c r="C1385" s="223" t="s">
        <v>588</v>
      </c>
      <c r="D1385" s="224">
        <v>21095</v>
      </c>
      <c r="E1385" s="224">
        <v>13521</v>
      </c>
      <c r="F1385" s="250" t="s">
        <v>119</v>
      </c>
      <c r="G1385" s="223" t="s">
        <v>5587</v>
      </c>
      <c r="I1385" s="223">
        <v>1020.08</v>
      </c>
      <c r="AV1385" s="22">
        <f t="shared" si="149"/>
        <v>1020.08</v>
      </c>
      <c r="AW1385" s="223">
        <v>653.13</v>
      </c>
      <c r="AX1385" s="223">
        <v>77.669999999999987</v>
      </c>
      <c r="AY1385" s="223">
        <v>245.78</v>
      </c>
      <c r="AZ1385" s="223">
        <v>43.5</v>
      </c>
      <c r="CK1385" s="22">
        <f t="shared" si="145"/>
        <v>1020.0799999999999</v>
      </c>
      <c r="CL1385" s="3">
        <f t="shared" si="146"/>
        <v>0</v>
      </c>
      <c r="CM1385" s="222">
        <f t="shared" si="147"/>
        <v>13521</v>
      </c>
      <c r="CN1385" s="3" t="str">
        <f t="shared" si="148"/>
        <v>خ ت صيدلة</v>
      </c>
    </row>
    <row r="1386" spans="3:92" x14ac:dyDescent="0.25">
      <c r="C1386" s="223" t="s">
        <v>588</v>
      </c>
      <c r="D1386" s="224">
        <v>21096</v>
      </c>
      <c r="E1386" s="224">
        <v>13522</v>
      </c>
      <c r="F1386" s="250" t="s">
        <v>119</v>
      </c>
      <c r="G1386" s="223" t="s">
        <v>5587</v>
      </c>
      <c r="I1386" s="223">
        <v>6002.05</v>
      </c>
      <c r="AV1386" s="22">
        <f t="shared" si="149"/>
        <v>6002.05</v>
      </c>
      <c r="AW1386" s="223">
        <v>3816.95</v>
      </c>
      <c r="AX1386" s="223">
        <v>452.84</v>
      </c>
      <c r="AY1386" s="223">
        <v>1477.26</v>
      </c>
      <c r="AZ1386" s="223">
        <v>255</v>
      </c>
      <c r="CK1386" s="22">
        <f t="shared" si="145"/>
        <v>6002.05</v>
      </c>
      <c r="CL1386" s="3">
        <f t="shared" si="146"/>
        <v>0</v>
      </c>
      <c r="CM1386" s="222">
        <f t="shared" si="147"/>
        <v>13522</v>
      </c>
      <c r="CN1386" s="3" t="str">
        <f t="shared" si="148"/>
        <v>خ ت صيدلة</v>
      </c>
    </row>
    <row r="1387" spans="3:92" x14ac:dyDescent="0.25">
      <c r="C1387" s="223" t="s">
        <v>588</v>
      </c>
      <c r="D1387" s="224">
        <v>21098</v>
      </c>
      <c r="E1387" s="224">
        <v>13523</v>
      </c>
      <c r="F1387" s="250" t="s">
        <v>119</v>
      </c>
      <c r="G1387" s="223" t="s">
        <v>5587</v>
      </c>
      <c r="I1387" s="223">
        <v>5510.75</v>
      </c>
      <c r="AV1387" s="22">
        <f t="shared" si="149"/>
        <v>5510.75</v>
      </c>
      <c r="AW1387" s="223">
        <v>3822.96</v>
      </c>
      <c r="AX1387" s="223">
        <v>125.04</v>
      </c>
      <c r="AY1387" s="223">
        <v>1327.75</v>
      </c>
      <c r="AZ1387" s="223">
        <v>235</v>
      </c>
      <c r="CK1387" s="22">
        <f t="shared" si="145"/>
        <v>5510.75</v>
      </c>
      <c r="CL1387" s="3">
        <f t="shared" si="146"/>
        <v>0</v>
      </c>
      <c r="CM1387" s="222">
        <f t="shared" si="147"/>
        <v>13523</v>
      </c>
      <c r="CN1387" s="3" t="str">
        <f t="shared" si="148"/>
        <v>خ ت صيدلة</v>
      </c>
    </row>
    <row r="1388" spans="3:92" x14ac:dyDescent="0.25">
      <c r="C1388" s="223" t="s">
        <v>588</v>
      </c>
      <c r="D1388" s="224">
        <v>21094</v>
      </c>
      <c r="E1388" s="224">
        <v>13524</v>
      </c>
      <c r="F1388" s="250" t="s">
        <v>119</v>
      </c>
      <c r="G1388" s="223" t="s">
        <v>5587</v>
      </c>
      <c r="I1388" s="223">
        <v>500</v>
      </c>
      <c r="AV1388" s="22">
        <f t="shared" si="149"/>
        <v>500</v>
      </c>
      <c r="AW1388" s="223">
        <v>401.24</v>
      </c>
      <c r="AX1388" s="223">
        <v>73.760000000000005</v>
      </c>
      <c r="AZ1388" s="223">
        <v>25</v>
      </c>
      <c r="CK1388" s="22">
        <f t="shared" si="145"/>
        <v>500</v>
      </c>
      <c r="CL1388" s="3">
        <f t="shared" si="146"/>
        <v>0</v>
      </c>
      <c r="CM1388" s="222">
        <f t="shared" si="147"/>
        <v>13524</v>
      </c>
      <c r="CN1388" s="3" t="str">
        <f t="shared" si="148"/>
        <v>خ ت صيدلة</v>
      </c>
    </row>
    <row r="1389" spans="3:92" x14ac:dyDescent="0.25">
      <c r="C1389" s="223" t="s">
        <v>588</v>
      </c>
      <c r="D1389" s="224">
        <v>21463</v>
      </c>
      <c r="E1389" s="224">
        <v>13525</v>
      </c>
      <c r="F1389" s="250" t="s">
        <v>119</v>
      </c>
      <c r="G1389" s="223" t="s">
        <v>5588</v>
      </c>
      <c r="I1389" s="223">
        <v>351.75</v>
      </c>
      <c r="AV1389" s="22">
        <f t="shared" si="149"/>
        <v>351.75</v>
      </c>
      <c r="AW1389" s="223">
        <v>225.72</v>
      </c>
      <c r="AX1389" s="223">
        <v>41.28</v>
      </c>
      <c r="AY1389" s="223">
        <v>84.75</v>
      </c>
      <c r="CK1389" s="22">
        <f t="shared" si="145"/>
        <v>351.75</v>
      </c>
      <c r="CL1389" s="3">
        <f t="shared" si="146"/>
        <v>0</v>
      </c>
      <c r="CM1389" s="222">
        <f t="shared" si="147"/>
        <v>13525</v>
      </c>
      <c r="CN1389" s="3" t="str">
        <f t="shared" si="148"/>
        <v>خ ت صيدلة</v>
      </c>
    </row>
    <row r="1390" spans="3:92" x14ac:dyDescent="0.25">
      <c r="C1390" s="223" t="s">
        <v>588</v>
      </c>
      <c r="D1390" s="224">
        <v>21462</v>
      </c>
      <c r="E1390" s="224">
        <v>13526</v>
      </c>
      <c r="F1390" s="250" t="s">
        <v>119</v>
      </c>
      <c r="G1390" s="223" t="s">
        <v>5589</v>
      </c>
      <c r="I1390" s="223">
        <v>300</v>
      </c>
      <c r="AV1390" s="22">
        <f t="shared" si="149"/>
        <v>300</v>
      </c>
      <c r="AW1390" s="223">
        <v>226.68</v>
      </c>
      <c r="AX1390" s="223">
        <v>58.32</v>
      </c>
      <c r="AZ1390" s="223">
        <v>15</v>
      </c>
      <c r="CK1390" s="22">
        <f t="shared" si="145"/>
        <v>300</v>
      </c>
      <c r="CL1390" s="3">
        <f t="shared" si="146"/>
        <v>0</v>
      </c>
      <c r="CM1390" s="222">
        <f t="shared" si="147"/>
        <v>13526</v>
      </c>
      <c r="CN1390" s="3" t="str">
        <f t="shared" si="148"/>
        <v>خ ت صيدلة</v>
      </c>
    </row>
    <row r="1391" spans="3:92" x14ac:dyDescent="0.25">
      <c r="C1391" s="223" t="s">
        <v>588</v>
      </c>
      <c r="D1391" s="224">
        <v>21464</v>
      </c>
      <c r="E1391" s="224">
        <v>13527</v>
      </c>
      <c r="F1391" s="250" t="s">
        <v>119</v>
      </c>
      <c r="G1391" s="223" t="s">
        <v>5590</v>
      </c>
      <c r="I1391" s="223">
        <v>703.5</v>
      </c>
      <c r="AV1391" s="22">
        <f t="shared" si="149"/>
        <v>703.5</v>
      </c>
      <c r="AW1391" s="223">
        <v>443.03</v>
      </c>
      <c r="AX1391" s="223">
        <v>60.97</v>
      </c>
      <c r="AY1391" s="223">
        <v>169.5</v>
      </c>
      <c r="AZ1391" s="223">
        <v>30</v>
      </c>
      <c r="CK1391" s="22">
        <f t="shared" si="145"/>
        <v>703.5</v>
      </c>
      <c r="CL1391" s="3">
        <f t="shared" si="146"/>
        <v>0</v>
      </c>
      <c r="CM1391" s="222">
        <f t="shared" si="147"/>
        <v>13527</v>
      </c>
      <c r="CN1391" s="3" t="str">
        <f t="shared" si="148"/>
        <v>خ ت صيدلة</v>
      </c>
    </row>
    <row r="1392" spans="3:92" x14ac:dyDescent="0.25">
      <c r="C1392" s="223" t="s">
        <v>588</v>
      </c>
      <c r="D1392" s="224">
        <v>21459</v>
      </c>
      <c r="E1392" s="224">
        <v>13528</v>
      </c>
      <c r="F1392" s="250" t="s">
        <v>119</v>
      </c>
      <c r="G1392" s="223" t="s">
        <v>5591</v>
      </c>
      <c r="I1392" s="223">
        <v>3000</v>
      </c>
      <c r="AV1392" s="22">
        <f t="shared" si="149"/>
        <v>3000</v>
      </c>
      <c r="AW1392" s="223">
        <v>2545.0700000000002</v>
      </c>
      <c r="AX1392" s="223">
        <v>304.92999999999995</v>
      </c>
      <c r="AZ1392" s="223">
        <v>150</v>
      </c>
      <c r="CK1392" s="22">
        <f t="shared" si="145"/>
        <v>3000</v>
      </c>
      <c r="CL1392" s="3">
        <f t="shared" si="146"/>
        <v>0</v>
      </c>
      <c r="CM1392" s="222">
        <f t="shared" si="147"/>
        <v>13528</v>
      </c>
      <c r="CN1392" s="3" t="str">
        <f t="shared" si="148"/>
        <v>خ ت صيدلة</v>
      </c>
    </row>
    <row r="1393" spans="3:92" x14ac:dyDescent="0.25">
      <c r="C1393" s="223" t="s">
        <v>588</v>
      </c>
      <c r="D1393" s="224">
        <v>21460</v>
      </c>
      <c r="E1393" s="224">
        <v>13529</v>
      </c>
      <c r="F1393" s="250" t="s">
        <v>119</v>
      </c>
      <c r="G1393" s="223" t="s">
        <v>5592</v>
      </c>
      <c r="I1393" s="223">
        <v>1500</v>
      </c>
      <c r="AV1393" s="22">
        <f t="shared" si="149"/>
        <v>1500</v>
      </c>
      <c r="AW1393" s="223">
        <v>1201.98</v>
      </c>
      <c r="AX1393" s="223">
        <v>223.02</v>
      </c>
      <c r="AZ1393" s="223">
        <v>75</v>
      </c>
      <c r="CK1393" s="22">
        <f t="shared" si="145"/>
        <v>1500</v>
      </c>
      <c r="CL1393" s="3">
        <f t="shared" si="146"/>
        <v>0</v>
      </c>
      <c r="CM1393" s="222">
        <f t="shared" si="147"/>
        <v>13529</v>
      </c>
      <c r="CN1393" s="3" t="str">
        <f t="shared" si="148"/>
        <v>خ ت صيدلة</v>
      </c>
    </row>
    <row r="1394" spans="3:92" x14ac:dyDescent="0.25">
      <c r="C1394" s="223" t="s">
        <v>588</v>
      </c>
      <c r="D1394" s="224">
        <v>21461</v>
      </c>
      <c r="E1394" s="224">
        <v>13530</v>
      </c>
      <c r="F1394" s="250" t="s">
        <v>119</v>
      </c>
      <c r="G1394" s="223" t="s">
        <v>5593</v>
      </c>
      <c r="I1394" s="223">
        <v>1407</v>
      </c>
      <c r="AV1394" s="22">
        <f t="shared" si="149"/>
        <v>1407</v>
      </c>
      <c r="AW1394" s="223">
        <v>800.28</v>
      </c>
      <c r="AX1394" s="223">
        <v>207.72</v>
      </c>
      <c r="AY1394" s="223">
        <v>339</v>
      </c>
      <c r="AZ1394" s="223">
        <v>60</v>
      </c>
      <c r="CK1394" s="22">
        <f t="shared" si="145"/>
        <v>1407</v>
      </c>
      <c r="CL1394" s="3">
        <f t="shared" si="146"/>
        <v>0</v>
      </c>
      <c r="CM1394" s="222">
        <f t="shared" si="147"/>
        <v>13530</v>
      </c>
      <c r="CN1394" s="3" t="str">
        <f t="shared" si="148"/>
        <v>خ ت صيدلة</v>
      </c>
    </row>
    <row r="1395" spans="3:92" x14ac:dyDescent="0.25">
      <c r="C1395" s="223" t="s">
        <v>588</v>
      </c>
      <c r="D1395" s="224">
        <v>21466</v>
      </c>
      <c r="E1395" s="224">
        <v>13531</v>
      </c>
      <c r="F1395" s="250" t="s">
        <v>119</v>
      </c>
      <c r="G1395" s="223" t="s">
        <v>5594</v>
      </c>
      <c r="I1395" s="223">
        <v>2391.92</v>
      </c>
      <c r="AV1395" s="22">
        <f t="shared" si="149"/>
        <v>2391.92</v>
      </c>
      <c r="AW1395" s="223">
        <v>1490.25</v>
      </c>
      <c r="AX1395" s="223">
        <v>223.35</v>
      </c>
      <c r="AY1395" s="223">
        <v>576.32000000000005</v>
      </c>
      <c r="AZ1395" s="223">
        <v>102</v>
      </c>
      <c r="CK1395" s="22">
        <f t="shared" ref="CK1395:CK1458" si="150">SUM(AW1395:CJ1395)</f>
        <v>2391.92</v>
      </c>
      <c r="CL1395" s="3">
        <f t="shared" ref="CL1395:CL1458" si="151">+CK1395-AV1395</f>
        <v>0</v>
      </c>
      <c r="CM1395" s="222">
        <f t="shared" ref="CM1395:CM1458" si="152">+E1395</f>
        <v>13531</v>
      </c>
      <c r="CN1395" s="3" t="str">
        <f t="shared" ref="CN1395:CN1458" si="153">+F1395</f>
        <v>خ ت صيدلة</v>
      </c>
    </row>
    <row r="1396" spans="3:92" x14ac:dyDescent="0.25">
      <c r="C1396" s="223" t="s">
        <v>588</v>
      </c>
      <c r="D1396" s="224">
        <v>21465</v>
      </c>
      <c r="E1396" s="224">
        <v>13532</v>
      </c>
      <c r="F1396" s="250" t="s">
        <v>119</v>
      </c>
      <c r="G1396" s="223" t="s">
        <v>5595</v>
      </c>
      <c r="I1396" s="223">
        <v>1237.28</v>
      </c>
      <c r="AV1396" s="22">
        <f t="shared" si="149"/>
        <v>1237.28</v>
      </c>
      <c r="AW1396" s="223">
        <v>1035.5899999999999</v>
      </c>
      <c r="AX1396" s="223">
        <f>6.45+26.56</f>
        <v>33.01</v>
      </c>
      <c r="AY1396" s="223">
        <v>110.18</v>
      </c>
      <c r="AZ1396" s="223">
        <v>58.5</v>
      </c>
      <c r="CK1396" s="22">
        <f t="shared" si="150"/>
        <v>1237.28</v>
      </c>
      <c r="CL1396" s="3">
        <f t="shared" si="151"/>
        <v>0</v>
      </c>
      <c r="CM1396" s="222">
        <f t="shared" si="152"/>
        <v>13532</v>
      </c>
      <c r="CN1396" s="3" t="str">
        <f t="shared" si="153"/>
        <v>خ ت صيدلة</v>
      </c>
    </row>
    <row r="1397" spans="3:92" x14ac:dyDescent="0.25">
      <c r="C1397" s="223" t="s">
        <v>588</v>
      </c>
      <c r="D1397" s="224">
        <v>21467</v>
      </c>
      <c r="E1397" s="224">
        <v>13533</v>
      </c>
      <c r="F1397" s="250" t="s">
        <v>119</v>
      </c>
      <c r="G1397" s="223" t="s">
        <v>5594</v>
      </c>
      <c r="I1397" s="223">
        <v>914.56</v>
      </c>
      <c r="AV1397" s="22">
        <f t="shared" si="149"/>
        <v>914.56</v>
      </c>
      <c r="AW1397" s="223">
        <v>586.17999999999995</v>
      </c>
      <c r="AX1397" s="223">
        <v>69.02000000000001</v>
      </c>
      <c r="AY1397" s="223">
        <v>220.36</v>
      </c>
      <c r="AZ1397" s="223">
        <v>39</v>
      </c>
      <c r="CK1397" s="22">
        <f t="shared" si="150"/>
        <v>914.56</v>
      </c>
      <c r="CL1397" s="3">
        <f t="shared" si="151"/>
        <v>0</v>
      </c>
      <c r="CM1397" s="222">
        <f t="shared" si="152"/>
        <v>13533</v>
      </c>
      <c r="CN1397" s="3" t="str">
        <f t="shared" si="153"/>
        <v>خ ت صيدلة</v>
      </c>
    </row>
    <row r="1398" spans="3:92" x14ac:dyDescent="0.25">
      <c r="C1398" s="223" t="s">
        <v>588</v>
      </c>
      <c r="D1398" s="224">
        <v>21454</v>
      </c>
      <c r="E1398" s="224">
        <v>13534</v>
      </c>
      <c r="F1398" s="250" t="s">
        <v>119</v>
      </c>
      <c r="G1398" s="223" t="s">
        <v>5596</v>
      </c>
      <c r="I1398" s="223">
        <v>3517.5</v>
      </c>
      <c r="AV1398" s="22">
        <f t="shared" si="149"/>
        <v>3517.5</v>
      </c>
      <c r="AW1398" s="223">
        <v>2038.93</v>
      </c>
      <c r="AX1398" s="223">
        <v>481.07</v>
      </c>
      <c r="AY1398" s="223">
        <v>847.5</v>
      </c>
      <c r="AZ1398" s="223">
        <v>150</v>
      </c>
      <c r="CK1398" s="22">
        <f t="shared" si="150"/>
        <v>3517.5</v>
      </c>
      <c r="CL1398" s="3">
        <f t="shared" si="151"/>
        <v>0</v>
      </c>
      <c r="CM1398" s="222">
        <f t="shared" si="152"/>
        <v>13534</v>
      </c>
      <c r="CN1398" s="3" t="str">
        <f t="shared" si="153"/>
        <v>خ ت صيدلة</v>
      </c>
    </row>
    <row r="1399" spans="3:92" x14ac:dyDescent="0.25">
      <c r="C1399" s="223" t="s">
        <v>588</v>
      </c>
      <c r="D1399" s="224">
        <v>21458</v>
      </c>
      <c r="E1399" s="224">
        <v>13535</v>
      </c>
      <c r="F1399" s="250" t="s">
        <v>119</v>
      </c>
      <c r="G1399" s="223" t="s">
        <v>5597</v>
      </c>
      <c r="I1399" s="223">
        <v>140.69999999999999</v>
      </c>
      <c r="AV1399" s="22">
        <f t="shared" si="149"/>
        <v>140.69999999999999</v>
      </c>
      <c r="AW1399" s="223">
        <v>90.4</v>
      </c>
      <c r="AX1399" s="223">
        <v>10.4</v>
      </c>
      <c r="AY1399" s="223">
        <v>33.9</v>
      </c>
      <c r="AZ1399" s="223">
        <v>6</v>
      </c>
      <c r="CK1399" s="22">
        <f t="shared" si="150"/>
        <v>140.70000000000002</v>
      </c>
      <c r="CL1399" s="3">
        <f t="shared" si="151"/>
        <v>0</v>
      </c>
      <c r="CM1399" s="222">
        <f t="shared" si="152"/>
        <v>13535</v>
      </c>
      <c r="CN1399" s="3" t="str">
        <f t="shared" si="153"/>
        <v>خ ت صيدلة</v>
      </c>
    </row>
    <row r="1400" spans="3:92" x14ac:dyDescent="0.25">
      <c r="C1400" s="223" t="s">
        <v>588</v>
      </c>
      <c r="D1400" s="224">
        <v>21457</v>
      </c>
      <c r="E1400" s="224">
        <v>13536</v>
      </c>
      <c r="F1400" s="250" t="s">
        <v>119</v>
      </c>
      <c r="G1400" s="223" t="s">
        <v>5597</v>
      </c>
      <c r="I1400" s="223">
        <v>2810.34</v>
      </c>
      <c r="AV1400" s="22">
        <f t="shared" si="149"/>
        <v>2810.34</v>
      </c>
      <c r="AW1400" s="223">
        <v>1710.04</v>
      </c>
      <c r="AX1400" s="223">
        <v>355.91</v>
      </c>
      <c r="AY1400" s="223">
        <v>622.89</v>
      </c>
      <c r="AZ1400" s="223">
        <v>121.5</v>
      </c>
      <c r="CK1400" s="22">
        <f t="shared" si="150"/>
        <v>2810.3399999999997</v>
      </c>
      <c r="CL1400" s="3">
        <f t="shared" si="151"/>
        <v>0</v>
      </c>
      <c r="CM1400" s="222">
        <f t="shared" si="152"/>
        <v>13536</v>
      </c>
      <c r="CN1400" s="3" t="str">
        <f t="shared" si="153"/>
        <v>خ ت صيدلة</v>
      </c>
    </row>
    <row r="1401" spans="3:92" x14ac:dyDescent="0.25">
      <c r="C1401" s="223" t="s">
        <v>588</v>
      </c>
      <c r="D1401" s="224">
        <v>21455</v>
      </c>
      <c r="E1401" s="224">
        <v>13537</v>
      </c>
      <c r="F1401" s="250" t="s">
        <v>119</v>
      </c>
      <c r="G1401" s="223" t="s">
        <v>5598</v>
      </c>
      <c r="I1401" s="223">
        <v>2490.6</v>
      </c>
      <c r="AV1401" s="22">
        <f t="shared" si="149"/>
        <v>2490.6</v>
      </c>
      <c r="AW1401" s="223">
        <v>1591.52</v>
      </c>
      <c r="AX1401" s="223">
        <v>182.98000000000002</v>
      </c>
      <c r="AY1401" s="223">
        <v>610.20000000000005</v>
      </c>
      <c r="AZ1401" s="223">
        <v>105.9</v>
      </c>
      <c r="CK1401" s="22">
        <f t="shared" si="150"/>
        <v>2490.6</v>
      </c>
      <c r="CL1401" s="3">
        <f t="shared" si="151"/>
        <v>0</v>
      </c>
      <c r="CM1401" s="222">
        <f t="shared" si="152"/>
        <v>13537</v>
      </c>
      <c r="CN1401" s="3" t="str">
        <f t="shared" si="153"/>
        <v>خ ت صيدلة</v>
      </c>
    </row>
    <row r="1402" spans="3:92" x14ac:dyDescent="0.25">
      <c r="C1402" s="223" t="s">
        <v>588</v>
      </c>
      <c r="D1402" s="224">
        <v>21456</v>
      </c>
      <c r="E1402" s="224">
        <v>13538</v>
      </c>
      <c r="F1402" s="250" t="s">
        <v>119</v>
      </c>
      <c r="G1402" s="223" t="s">
        <v>5598</v>
      </c>
      <c r="I1402" s="223">
        <v>422.1</v>
      </c>
      <c r="AV1402" s="22">
        <f t="shared" si="149"/>
        <v>422.1</v>
      </c>
      <c r="AW1402" s="223">
        <v>271.2</v>
      </c>
      <c r="AX1402" s="223">
        <v>31.2</v>
      </c>
      <c r="AY1402" s="223">
        <v>101.7</v>
      </c>
      <c r="AZ1402" s="223">
        <v>18</v>
      </c>
      <c r="CK1402" s="22">
        <f t="shared" si="150"/>
        <v>422.09999999999997</v>
      </c>
      <c r="CL1402" s="3">
        <f t="shared" si="151"/>
        <v>0</v>
      </c>
      <c r="CM1402" s="222">
        <f t="shared" si="152"/>
        <v>13538</v>
      </c>
      <c r="CN1402" s="3" t="str">
        <f t="shared" si="153"/>
        <v>خ ت صيدلة</v>
      </c>
    </row>
    <row r="1403" spans="3:92" x14ac:dyDescent="0.25">
      <c r="C1403" s="223" t="s">
        <v>588</v>
      </c>
      <c r="D1403" s="224">
        <v>21690</v>
      </c>
      <c r="E1403" s="224">
        <v>13539</v>
      </c>
      <c r="F1403" s="250" t="s">
        <v>119</v>
      </c>
      <c r="G1403" s="223" t="s">
        <v>5586</v>
      </c>
      <c r="I1403" s="223">
        <v>5544.12</v>
      </c>
      <c r="AV1403" s="22">
        <f t="shared" si="149"/>
        <v>5544.12</v>
      </c>
      <c r="AW1403" s="223">
        <v>3415.22</v>
      </c>
      <c r="AX1403" s="223">
        <v>717.88</v>
      </c>
      <c r="AY1403" s="223">
        <v>1169.52</v>
      </c>
      <c r="AZ1403" s="223">
        <v>241.5</v>
      </c>
      <c r="CK1403" s="22">
        <f t="shared" si="150"/>
        <v>5544.119999999999</v>
      </c>
      <c r="CL1403" s="3">
        <f t="shared" si="151"/>
        <v>0</v>
      </c>
      <c r="CM1403" s="222">
        <f t="shared" si="152"/>
        <v>13539</v>
      </c>
      <c r="CN1403" s="3" t="str">
        <f t="shared" si="153"/>
        <v>خ ت صيدلة</v>
      </c>
    </row>
    <row r="1404" spans="3:92" x14ac:dyDescent="0.25">
      <c r="D1404" s="224">
        <v>22080</v>
      </c>
      <c r="E1404" s="224">
        <v>13540</v>
      </c>
      <c r="F1404" s="250" t="s">
        <v>925</v>
      </c>
      <c r="G1404" s="223" t="s">
        <v>5607</v>
      </c>
      <c r="I1404" s="223">
        <v>87.94</v>
      </c>
      <c r="AV1404" s="22">
        <f t="shared" si="149"/>
        <v>87.94</v>
      </c>
      <c r="AW1404" s="223">
        <v>55.4</v>
      </c>
      <c r="AX1404" s="223">
        <v>7.6</v>
      </c>
      <c r="AY1404" s="223">
        <v>21.19</v>
      </c>
      <c r="AZ1404" s="223">
        <v>3.75</v>
      </c>
      <c r="CK1404" s="22">
        <f t="shared" si="150"/>
        <v>87.94</v>
      </c>
      <c r="CL1404" s="3">
        <f t="shared" si="151"/>
        <v>0</v>
      </c>
      <c r="CM1404" s="222">
        <f t="shared" si="152"/>
        <v>13540</v>
      </c>
      <c r="CN1404" s="3" t="str">
        <f t="shared" si="153"/>
        <v xml:space="preserve">خ ت اسنان </v>
      </c>
    </row>
    <row r="1405" spans="3:92" x14ac:dyDescent="0.25">
      <c r="D1405" s="224">
        <v>22081</v>
      </c>
      <c r="E1405" s="224">
        <v>13541</v>
      </c>
      <c r="F1405" s="250" t="s">
        <v>925</v>
      </c>
      <c r="G1405" s="223" t="s">
        <v>5608</v>
      </c>
      <c r="I1405" s="223">
        <v>789.7</v>
      </c>
      <c r="AV1405" s="22">
        <f t="shared" si="149"/>
        <v>789.7</v>
      </c>
      <c r="AW1405" s="223">
        <v>598.73</v>
      </c>
      <c r="AX1405" s="223">
        <v>66.67</v>
      </c>
      <c r="AY1405" s="223">
        <v>124.3</v>
      </c>
      <c r="CK1405" s="22">
        <f t="shared" si="150"/>
        <v>789.69999999999993</v>
      </c>
      <c r="CL1405" s="3">
        <f t="shared" si="151"/>
        <v>0</v>
      </c>
      <c r="CM1405" s="222">
        <f t="shared" si="152"/>
        <v>13541</v>
      </c>
      <c r="CN1405" s="3" t="str">
        <f t="shared" si="153"/>
        <v xml:space="preserve">خ ت اسنان </v>
      </c>
    </row>
    <row r="1406" spans="3:92" x14ac:dyDescent="0.25">
      <c r="D1406" s="224">
        <v>22079</v>
      </c>
      <c r="E1406" s="224">
        <v>13542</v>
      </c>
      <c r="F1406" s="250" t="s">
        <v>925</v>
      </c>
      <c r="G1406" s="223" t="s">
        <v>5607</v>
      </c>
      <c r="I1406" s="223">
        <v>3294.51</v>
      </c>
      <c r="AV1406" s="22">
        <f t="shared" si="149"/>
        <v>3294.51</v>
      </c>
      <c r="AW1406" s="223">
        <v>2075.4699999999998</v>
      </c>
      <c r="AX1406" s="223">
        <v>284.77999999999997</v>
      </c>
      <c r="AY1406" s="223">
        <v>793.78</v>
      </c>
      <c r="AZ1406" s="223">
        <v>140.47999999999999</v>
      </c>
      <c r="CK1406" s="22">
        <f t="shared" si="150"/>
        <v>3294.5099999999998</v>
      </c>
      <c r="CL1406" s="3">
        <f t="shared" si="151"/>
        <v>0</v>
      </c>
      <c r="CM1406" s="222">
        <f t="shared" si="152"/>
        <v>13542</v>
      </c>
      <c r="CN1406" s="3" t="str">
        <f t="shared" si="153"/>
        <v xml:space="preserve">خ ت اسنان </v>
      </c>
    </row>
    <row r="1407" spans="3:92" x14ac:dyDescent="0.25">
      <c r="D1407" s="224">
        <v>22070</v>
      </c>
      <c r="E1407" s="224">
        <v>13543</v>
      </c>
      <c r="F1407" s="250" t="s">
        <v>249</v>
      </c>
      <c r="G1407" s="223" t="s">
        <v>5609</v>
      </c>
      <c r="I1407" s="223">
        <v>21228.11</v>
      </c>
      <c r="AV1407" s="22">
        <f t="shared" si="149"/>
        <v>21228.11</v>
      </c>
      <c r="AW1407" s="223">
        <v>14193.85</v>
      </c>
      <c r="AX1407" s="223">
        <f>109.1+1810.5</f>
        <v>1919.6</v>
      </c>
      <c r="AY1407" s="223">
        <v>5114.66</v>
      </c>
      <c r="CK1407" s="22">
        <f t="shared" si="150"/>
        <v>21228.11</v>
      </c>
      <c r="CL1407" s="3">
        <f t="shared" si="151"/>
        <v>0</v>
      </c>
      <c r="CM1407" s="222">
        <f t="shared" si="152"/>
        <v>13543</v>
      </c>
      <c r="CN1407" s="3" t="str">
        <f t="shared" si="153"/>
        <v>خدمة عامة</v>
      </c>
    </row>
    <row r="1408" spans="3:92" x14ac:dyDescent="0.25">
      <c r="D1408" s="224">
        <v>22067</v>
      </c>
      <c r="E1408" s="224">
        <v>13544</v>
      </c>
      <c r="F1408" s="250" t="s">
        <v>249</v>
      </c>
      <c r="G1408" s="223" t="s">
        <v>5609</v>
      </c>
      <c r="I1408" s="223">
        <v>5025</v>
      </c>
      <c r="AV1408" s="22">
        <f t="shared" si="149"/>
        <v>5025</v>
      </c>
      <c r="AW1408" s="223">
        <v>4234.6000000000004</v>
      </c>
      <c r="AX1408" s="223">
        <v>539.15</v>
      </c>
      <c r="AZ1408" s="223">
        <v>251.25</v>
      </c>
      <c r="CK1408" s="22">
        <f t="shared" si="150"/>
        <v>5025</v>
      </c>
      <c r="CL1408" s="3">
        <f t="shared" si="151"/>
        <v>0</v>
      </c>
      <c r="CM1408" s="222">
        <f t="shared" si="152"/>
        <v>13544</v>
      </c>
      <c r="CN1408" s="3" t="str">
        <f t="shared" si="153"/>
        <v>خدمة عامة</v>
      </c>
    </row>
    <row r="1409" spans="4:92" x14ac:dyDescent="0.25">
      <c r="D1409" s="224">
        <v>22068</v>
      </c>
      <c r="E1409" s="224">
        <v>13545</v>
      </c>
      <c r="F1409" s="250" t="s">
        <v>249</v>
      </c>
      <c r="G1409" s="223" t="s">
        <v>5609</v>
      </c>
      <c r="I1409" s="223">
        <v>3798.85</v>
      </c>
      <c r="AV1409" s="22">
        <f t="shared" ref="AV1409:AV1553" si="154">SUM(I1409:AU1409)</f>
        <v>3798.85</v>
      </c>
      <c r="AW1409" s="223">
        <v>2393.5</v>
      </c>
      <c r="AX1409" s="223">
        <v>344</v>
      </c>
      <c r="AY1409" s="223">
        <v>898.85</v>
      </c>
      <c r="AZ1409" s="223">
        <v>162.5</v>
      </c>
      <c r="CK1409" s="22">
        <f t="shared" si="150"/>
        <v>3798.85</v>
      </c>
      <c r="CL1409" s="3">
        <f t="shared" si="151"/>
        <v>0</v>
      </c>
      <c r="CM1409" s="222">
        <f t="shared" si="152"/>
        <v>13545</v>
      </c>
      <c r="CN1409" s="3" t="str">
        <f t="shared" si="153"/>
        <v>خدمة عامة</v>
      </c>
    </row>
    <row r="1410" spans="4:92" x14ac:dyDescent="0.25">
      <c r="D1410" s="224">
        <v>22065</v>
      </c>
      <c r="E1410" s="224">
        <v>13546</v>
      </c>
      <c r="F1410" s="250" t="s">
        <v>249</v>
      </c>
      <c r="G1410" s="223" t="s">
        <v>5609</v>
      </c>
      <c r="I1410" s="223">
        <v>86214.16</v>
      </c>
      <c r="AV1410" s="22">
        <f t="shared" si="154"/>
        <v>86214.16</v>
      </c>
      <c r="AW1410" s="223">
        <v>66997.75</v>
      </c>
      <c r="AX1410" s="223">
        <v>8810.35</v>
      </c>
      <c r="AY1410" s="223">
        <v>6287.31</v>
      </c>
      <c r="AZ1410" s="223">
        <v>4118.75</v>
      </c>
      <c r="CK1410" s="22">
        <f t="shared" si="150"/>
        <v>86214.16</v>
      </c>
      <c r="CL1410" s="3">
        <f t="shared" si="151"/>
        <v>0</v>
      </c>
      <c r="CM1410" s="222">
        <f t="shared" si="152"/>
        <v>13546</v>
      </c>
      <c r="CN1410" s="3" t="str">
        <f t="shared" si="153"/>
        <v>خدمة عامة</v>
      </c>
    </row>
    <row r="1411" spans="4:92" x14ac:dyDescent="0.25">
      <c r="D1411" s="224">
        <v>22066</v>
      </c>
      <c r="E1411" s="224">
        <v>13547</v>
      </c>
      <c r="F1411" s="250" t="s">
        <v>249</v>
      </c>
      <c r="G1411" s="223" t="s">
        <v>5609</v>
      </c>
      <c r="I1411" s="223">
        <v>32941.61</v>
      </c>
      <c r="AV1411" s="22">
        <f t="shared" si="154"/>
        <v>32941.61</v>
      </c>
      <c r="AW1411" s="223">
        <v>23025.35</v>
      </c>
      <c r="AX1411" s="223">
        <v>3170.15</v>
      </c>
      <c r="AY1411" s="223">
        <v>5259.61</v>
      </c>
      <c r="AZ1411" s="223">
        <v>1486.5</v>
      </c>
      <c r="CK1411" s="22">
        <f t="shared" si="150"/>
        <v>32941.61</v>
      </c>
      <c r="CL1411" s="3">
        <f t="shared" si="151"/>
        <v>0</v>
      </c>
      <c r="CM1411" s="222">
        <f t="shared" si="152"/>
        <v>13547</v>
      </c>
      <c r="CN1411" s="3" t="str">
        <f t="shared" si="153"/>
        <v>خدمة عامة</v>
      </c>
    </row>
    <row r="1412" spans="4:92" x14ac:dyDescent="0.25">
      <c r="D1412" s="224">
        <v>22069</v>
      </c>
      <c r="E1412" s="224">
        <v>13548</v>
      </c>
      <c r="F1412" s="250" t="s">
        <v>249</v>
      </c>
      <c r="G1412" s="223" t="s">
        <v>5609</v>
      </c>
      <c r="I1412" s="223">
        <v>2462.2399999999998</v>
      </c>
      <c r="AV1412" s="22">
        <f t="shared" si="154"/>
        <v>2462.2399999999998</v>
      </c>
      <c r="AW1412" s="223">
        <v>1540.7</v>
      </c>
      <c r="AX1412" s="223">
        <v>223.3</v>
      </c>
      <c r="AY1412" s="223">
        <v>593.24</v>
      </c>
      <c r="AZ1412" s="223">
        <v>105</v>
      </c>
      <c r="CK1412" s="22">
        <f t="shared" si="150"/>
        <v>2462.2399999999998</v>
      </c>
      <c r="CL1412" s="3">
        <f t="shared" si="151"/>
        <v>0</v>
      </c>
      <c r="CM1412" s="222">
        <f t="shared" si="152"/>
        <v>13548</v>
      </c>
      <c r="CN1412" s="3" t="str">
        <f t="shared" si="153"/>
        <v>خدمة عامة</v>
      </c>
    </row>
    <row r="1413" spans="4:92" x14ac:dyDescent="0.25">
      <c r="D1413" s="224">
        <v>22077</v>
      </c>
      <c r="E1413" s="224">
        <v>13549</v>
      </c>
      <c r="F1413" s="250" t="s">
        <v>249</v>
      </c>
      <c r="G1413" s="223" t="s">
        <v>5610</v>
      </c>
      <c r="I1413" s="223">
        <v>2851.34</v>
      </c>
      <c r="AV1413" s="22">
        <f t="shared" si="154"/>
        <v>2851.34</v>
      </c>
      <c r="AW1413" s="223">
        <v>2106.96</v>
      </c>
      <c r="AX1413" s="223">
        <v>282.14999999999998</v>
      </c>
      <c r="AY1413" s="223">
        <v>329.73</v>
      </c>
      <c r="AZ1413" s="223">
        <v>132.5</v>
      </c>
      <c r="CK1413" s="22">
        <f t="shared" si="150"/>
        <v>2851.34</v>
      </c>
      <c r="CL1413" s="3">
        <f t="shared" si="151"/>
        <v>0</v>
      </c>
      <c r="CM1413" s="222">
        <f t="shared" si="152"/>
        <v>13549</v>
      </c>
      <c r="CN1413" s="3" t="str">
        <f t="shared" si="153"/>
        <v>خدمة عامة</v>
      </c>
    </row>
    <row r="1414" spans="4:92" x14ac:dyDescent="0.25">
      <c r="D1414" s="224">
        <v>22076</v>
      </c>
      <c r="E1414" s="224">
        <v>13550</v>
      </c>
      <c r="F1414" s="250" t="s">
        <v>249</v>
      </c>
      <c r="G1414" s="223" t="s">
        <v>5610</v>
      </c>
      <c r="I1414" s="223">
        <v>3508.93</v>
      </c>
      <c r="AV1414" s="22">
        <f t="shared" si="154"/>
        <v>3508.93</v>
      </c>
      <c r="AW1414" s="223">
        <v>2208.42</v>
      </c>
      <c r="AX1414" s="223">
        <v>317.05</v>
      </c>
      <c r="AY1414" s="223">
        <v>833.46</v>
      </c>
      <c r="AZ1414" s="223">
        <v>150</v>
      </c>
      <c r="CK1414" s="22">
        <f t="shared" si="150"/>
        <v>3508.9300000000003</v>
      </c>
      <c r="CL1414" s="3">
        <f t="shared" si="151"/>
        <v>0</v>
      </c>
      <c r="CM1414" s="222">
        <f t="shared" si="152"/>
        <v>13550</v>
      </c>
      <c r="CN1414" s="3" t="str">
        <f t="shared" si="153"/>
        <v>خدمة عامة</v>
      </c>
    </row>
    <row r="1415" spans="4:92" x14ac:dyDescent="0.25">
      <c r="D1415" s="224">
        <v>22078</v>
      </c>
      <c r="E1415" s="224">
        <v>13551</v>
      </c>
      <c r="F1415" s="250" t="s">
        <v>249</v>
      </c>
      <c r="G1415" s="223" t="s">
        <v>5610</v>
      </c>
      <c r="I1415" s="223">
        <v>850</v>
      </c>
      <c r="AV1415" s="22">
        <f t="shared" si="154"/>
        <v>850</v>
      </c>
      <c r="AW1415" s="223">
        <v>716.9</v>
      </c>
      <c r="AX1415" s="223">
        <v>90.6</v>
      </c>
      <c r="AZ1415" s="223">
        <v>42.5</v>
      </c>
      <c r="CK1415" s="22">
        <f t="shared" si="150"/>
        <v>850</v>
      </c>
      <c r="CL1415" s="3">
        <f t="shared" si="151"/>
        <v>0</v>
      </c>
      <c r="CM1415" s="222">
        <f t="shared" si="152"/>
        <v>13551</v>
      </c>
      <c r="CN1415" s="3" t="str">
        <f t="shared" si="153"/>
        <v>خدمة عامة</v>
      </c>
    </row>
    <row r="1416" spans="4:92" x14ac:dyDescent="0.25">
      <c r="D1416" s="224">
        <v>21839</v>
      </c>
      <c r="E1416" s="224">
        <v>13552</v>
      </c>
      <c r="F1416" s="250" t="s">
        <v>249</v>
      </c>
      <c r="G1416" s="223" t="s">
        <v>5611</v>
      </c>
      <c r="I1416" s="223">
        <v>13938.39</v>
      </c>
      <c r="AV1416" s="22">
        <f t="shared" si="154"/>
        <v>13938.39</v>
      </c>
      <c r="AW1416" s="223">
        <v>10359.66</v>
      </c>
      <c r="AX1416" s="223">
        <v>1391.95</v>
      </c>
      <c r="AY1416" s="223">
        <v>1536.78</v>
      </c>
      <c r="AZ1416" s="223">
        <v>650</v>
      </c>
      <c r="CK1416" s="22">
        <f t="shared" si="150"/>
        <v>13938.390000000001</v>
      </c>
      <c r="CL1416" s="3">
        <f t="shared" si="151"/>
        <v>0</v>
      </c>
      <c r="CM1416" s="222">
        <f t="shared" si="152"/>
        <v>13552</v>
      </c>
      <c r="CN1416" s="3" t="str">
        <f t="shared" si="153"/>
        <v>خدمة عامة</v>
      </c>
    </row>
    <row r="1417" spans="4:92" x14ac:dyDescent="0.25">
      <c r="D1417" s="224">
        <v>21838</v>
      </c>
      <c r="E1417" s="224">
        <v>13553</v>
      </c>
      <c r="F1417" s="250" t="s">
        <v>249</v>
      </c>
      <c r="G1417" s="223" t="s">
        <v>5611</v>
      </c>
      <c r="I1417" s="223">
        <v>3500</v>
      </c>
      <c r="AV1417" s="22">
        <f t="shared" si="154"/>
        <v>3500</v>
      </c>
      <c r="AW1417" s="223">
        <v>2949.1</v>
      </c>
      <c r="AX1417" s="223">
        <v>375.9</v>
      </c>
      <c r="AZ1417" s="223">
        <v>175</v>
      </c>
      <c r="CK1417" s="22">
        <f t="shared" si="150"/>
        <v>3500</v>
      </c>
      <c r="CL1417" s="3">
        <f t="shared" si="151"/>
        <v>0</v>
      </c>
      <c r="CM1417" s="222">
        <f t="shared" si="152"/>
        <v>13553</v>
      </c>
      <c r="CN1417" s="3" t="str">
        <f t="shared" si="153"/>
        <v>خدمة عامة</v>
      </c>
    </row>
    <row r="1418" spans="4:92" x14ac:dyDescent="0.25">
      <c r="D1418" s="224">
        <v>21840</v>
      </c>
      <c r="E1418" s="224">
        <v>13554</v>
      </c>
      <c r="F1418" s="250" t="s">
        <v>249</v>
      </c>
      <c r="G1418" s="223" t="s">
        <v>5611</v>
      </c>
      <c r="I1418" s="223">
        <v>5000</v>
      </c>
      <c r="AV1418" s="22">
        <f t="shared" si="154"/>
        <v>5000</v>
      </c>
      <c r="AW1418" s="223">
        <v>4212.8500000000004</v>
      </c>
      <c r="AX1418" s="223">
        <v>537.15</v>
      </c>
      <c r="AZ1418" s="223">
        <v>250</v>
      </c>
      <c r="CK1418" s="22">
        <f t="shared" si="150"/>
        <v>5000</v>
      </c>
      <c r="CL1418" s="3">
        <f t="shared" si="151"/>
        <v>0</v>
      </c>
      <c r="CM1418" s="222">
        <f t="shared" si="152"/>
        <v>13554</v>
      </c>
      <c r="CN1418" s="3" t="str">
        <f t="shared" si="153"/>
        <v>خدمة عامة</v>
      </c>
    </row>
    <row r="1419" spans="4:92" x14ac:dyDescent="0.25">
      <c r="D1419" s="224">
        <v>21844</v>
      </c>
      <c r="E1419" s="224">
        <v>13555</v>
      </c>
      <c r="F1419" s="250" t="s">
        <v>249</v>
      </c>
      <c r="G1419" s="223" t="s">
        <v>5612</v>
      </c>
      <c r="I1419" s="223">
        <v>48000</v>
      </c>
      <c r="AV1419" s="22">
        <f t="shared" si="154"/>
        <v>48000</v>
      </c>
      <c r="AW1419" s="223">
        <v>40418.400000000001</v>
      </c>
      <c r="AX1419" s="223">
        <v>5181.6000000000004</v>
      </c>
      <c r="AZ1419" s="223">
        <v>2400</v>
      </c>
      <c r="CK1419" s="22">
        <f t="shared" si="150"/>
        <v>48000</v>
      </c>
      <c r="CL1419" s="3">
        <f t="shared" si="151"/>
        <v>0</v>
      </c>
      <c r="CM1419" s="222">
        <f t="shared" si="152"/>
        <v>13555</v>
      </c>
      <c r="CN1419" s="3" t="str">
        <f t="shared" si="153"/>
        <v>خدمة عامة</v>
      </c>
    </row>
    <row r="1420" spans="4:92" x14ac:dyDescent="0.25">
      <c r="D1420" s="224">
        <v>21843</v>
      </c>
      <c r="E1420" s="224">
        <v>13556</v>
      </c>
      <c r="F1420" s="250" t="s">
        <v>249</v>
      </c>
      <c r="G1420" s="223" t="s">
        <v>5612</v>
      </c>
      <c r="I1420" s="223">
        <v>8000</v>
      </c>
      <c r="AV1420" s="22">
        <f t="shared" si="154"/>
        <v>8000</v>
      </c>
      <c r="AW1420" s="223">
        <v>6736.4</v>
      </c>
      <c r="AX1420" s="223">
        <v>863.6</v>
      </c>
      <c r="AZ1420" s="223">
        <v>400</v>
      </c>
      <c r="CK1420" s="22">
        <f t="shared" si="150"/>
        <v>8000</v>
      </c>
      <c r="CL1420" s="3">
        <f t="shared" si="151"/>
        <v>0</v>
      </c>
      <c r="CM1420" s="222">
        <f t="shared" si="152"/>
        <v>13556</v>
      </c>
      <c r="CN1420" s="3" t="str">
        <f t="shared" si="153"/>
        <v>خدمة عامة</v>
      </c>
    </row>
    <row r="1421" spans="4:92" x14ac:dyDescent="0.25">
      <c r="D1421" s="224">
        <v>21841</v>
      </c>
      <c r="E1421" s="224">
        <v>13557</v>
      </c>
      <c r="F1421" s="250" t="s">
        <v>249</v>
      </c>
      <c r="G1421" s="223" t="s">
        <v>5613</v>
      </c>
      <c r="I1421" s="223">
        <v>8000</v>
      </c>
      <c r="AV1421" s="22">
        <f t="shared" si="154"/>
        <v>8000</v>
      </c>
      <c r="AW1421" s="223">
        <v>6736.4</v>
      </c>
      <c r="AX1421" s="223">
        <v>863.6</v>
      </c>
      <c r="AZ1421" s="223">
        <v>400</v>
      </c>
      <c r="CK1421" s="22">
        <f t="shared" si="150"/>
        <v>8000</v>
      </c>
      <c r="CL1421" s="3">
        <f t="shared" si="151"/>
        <v>0</v>
      </c>
      <c r="CM1421" s="222">
        <f t="shared" si="152"/>
        <v>13557</v>
      </c>
      <c r="CN1421" s="3" t="str">
        <f t="shared" si="153"/>
        <v>خدمة عامة</v>
      </c>
    </row>
    <row r="1422" spans="4:92" x14ac:dyDescent="0.25">
      <c r="D1422" s="224">
        <v>21842</v>
      </c>
      <c r="E1422" s="224">
        <v>13558</v>
      </c>
      <c r="F1422" s="250" t="s">
        <v>249</v>
      </c>
      <c r="G1422" s="223" t="s">
        <v>5613</v>
      </c>
      <c r="I1422" s="223">
        <v>48000</v>
      </c>
      <c r="AV1422" s="22">
        <f t="shared" si="154"/>
        <v>48000</v>
      </c>
      <c r="AW1422" s="223">
        <v>40418.400000000001</v>
      </c>
      <c r="AX1422" s="223">
        <v>5181.6000000000004</v>
      </c>
      <c r="AZ1422" s="223">
        <v>2400</v>
      </c>
      <c r="CK1422" s="22">
        <f t="shared" si="150"/>
        <v>48000</v>
      </c>
      <c r="CL1422" s="3">
        <f t="shared" si="151"/>
        <v>0</v>
      </c>
      <c r="CM1422" s="222">
        <f t="shared" si="152"/>
        <v>13558</v>
      </c>
      <c r="CN1422" s="3" t="str">
        <f t="shared" si="153"/>
        <v>خدمة عامة</v>
      </c>
    </row>
    <row r="1423" spans="4:92" x14ac:dyDescent="0.25">
      <c r="D1423" s="224">
        <v>19243</v>
      </c>
      <c r="E1423" s="224">
        <v>13559</v>
      </c>
      <c r="F1423" s="250" t="s">
        <v>249</v>
      </c>
      <c r="G1423" s="223" t="s">
        <v>5615</v>
      </c>
      <c r="I1423" s="223">
        <v>2931.25</v>
      </c>
      <c r="AV1423" s="22">
        <f t="shared" si="154"/>
        <v>2931.25</v>
      </c>
      <c r="AW1423" s="223">
        <v>1958.65</v>
      </c>
      <c r="AX1423" s="223">
        <f>16.35+250</f>
        <v>266.35000000000002</v>
      </c>
      <c r="AY1423" s="223">
        <v>706.25</v>
      </c>
      <c r="CK1423" s="22">
        <f t="shared" si="150"/>
        <v>2931.25</v>
      </c>
      <c r="CL1423" s="3">
        <f t="shared" si="151"/>
        <v>0</v>
      </c>
      <c r="CM1423" s="222">
        <f t="shared" si="152"/>
        <v>13559</v>
      </c>
      <c r="CN1423" s="3" t="str">
        <f t="shared" si="153"/>
        <v>خدمة عامة</v>
      </c>
    </row>
    <row r="1424" spans="4:92" x14ac:dyDescent="0.25">
      <c r="D1424" s="224">
        <v>19257</v>
      </c>
      <c r="E1424" s="224">
        <v>13560</v>
      </c>
      <c r="F1424" s="250" t="s">
        <v>249</v>
      </c>
      <c r="G1424" s="223" t="s">
        <v>5614</v>
      </c>
      <c r="I1424" s="223">
        <v>7620.84</v>
      </c>
      <c r="AV1424" s="22">
        <f t="shared" si="154"/>
        <v>7620.84</v>
      </c>
      <c r="AW1424" s="223">
        <v>5505.6</v>
      </c>
      <c r="AX1424" s="223">
        <v>748.5</v>
      </c>
      <c r="AY1424" s="223">
        <v>1016.74</v>
      </c>
      <c r="AZ1424" s="223">
        <v>350</v>
      </c>
      <c r="CK1424" s="22">
        <f t="shared" si="150"/>
        <v>7620.84</v>
      </c>
      <c r="CL1424" s="3">
        <f t="shared" si="151"/>
        <v>0</v>
      </c>
      <c r="CM1424" s="222">
        <f t="shared" si="152"/>
        <v>13560</v>
      </c>
      <c r="CN1424" s="3" t="str">
        <f t="shared" si="153"/>
        <v>خدمة عامة</v>
      </c>
    </row>
    <row r="1425" spans="3:92" x14ac:dyDescent="0.25">
      <c r="D1425" s="224">
        <v>19244</v>
      </c>
      <c r="E1425" s="224">
        <v>13561</v>
      </c>
      <c r="F1425" s="250" t="s">
        <v>249</v>
      </c>
      <c r="G1425" s="223" t="str">
        <f>+G1423</f>
        <v>ج نشاط الميكرسكوب الالكترونى ابريل</v>
      </c>
      <c r="I1425" s="223">
        <v>6448.75</v>
      </c>
      <c r="AV1425" s="22">
        <f t="shared" si="154"/>
        <v>6448.75</v>
      </c>
      <c r="AW1425" s="223">
        <v>4309</v>
      </c>
      <c r="AX1425" s="223">
        <f>36+550</f>
        <v>586</v>
      </c>
      <c r="AY1425" s="223">
        <v>1553.75</v>
      </c>
      <c r="CK1425" s="22">
        <f t="shared" si="150"/>
        <v>6448.75</v>
      </c>
      <c r="CL1425" s="3">
        <f t="shared" si="151"/>
        <v>0</v>
      </c>
      <c r="CM1425" s="222">
        <f t="shared" si="152"/>
        <v>13561</v>
      </c>
      <c r="CN1425" s="3" t="str">
        <f t="shared" si="153"/>
        <v>خدمة عامة</v>
      </c>
    </row>
    <row r="1426" spans="3:92" x14ac:dyDescent="0.25">
      <c r="D1426" s="224">
        <v>19258</v>
      </c>
      <c r="E1426" s="224">
        <v>13562</v>
      </c>
      <c r="F1426" s="250" t="s">
        <v>249</v>
      </c>
      <c r="G1426" s="223" t="str">
        <f>+G1424</f>
        <v>مكافاه عاملين بوحده بيت الحيوان ابريل</v>
      </c>
      <c r="I1426" s="223">
        <v>1172.5</v>
      </c>
      <c r="AV1426" s="22">
        <f t="shared" si="154"/>
        <v>1172.5</v>
      </c>
      <c r="AW1426" s="223">
        <v>734.1</v>
      </c>
      <c r="AX1426" s="223">
        <v>105.9</v>
      </c>
      <c r="AY1426" s="223">
        <v>282.5</v>
      </c>
      <c r="AZ1426" s="223">
        <v>50</v>
      </c>
      <c r="CK1426" s="22">
        <f t="shared" si="150"/>
        <v>1172.5</v>
      </c>
      <c r="CL1426" s="3">
        <f t="shared" si="151"/>
        <v>0</v>
      </c>
      <c r="CM1426" s="222">
        <f t="shared" si="152"/>
        <v>13562</v>
      </c>
      <c r="CN1426" s="3" t="str">
        <f t="shared" si="153"/>
        <v>خدمة عامة</v>
      </c>
    </row>
    <row r="1427" spans="3:92" x14ac:dyDescent="0.25">
      <c r="D1427" s="224">
        <v>19245</v>
      </c>
      <c r="E1427" s="224">
        <v>13563</v>
      </c>
      <c r="F1427" s="250" t="s">
        <v>249</v>
      </c>
      <c r="G1427" s="223" t="s">
        <v>5616</v>
      </c>
      <c r="I1427" s="223">
        <v>703.5</v>
      </c>
      <c r="AV1427" s="22">
        <f t="shared" si="154"/>
        <v>703.5</v>
      </c>
      <c r="AW1427" s="223">
        <v>471.1</v>
      </c>
      <c r="AX1427" s="223">
        <f>60+2.9</f>
        <v>62.9</v>
      </c>
      <c r="AY1427" s="223">
        <v>169.5</v>
      </c>
      <c r="CK1427" s="22">
        <f t="shared" si="150"/>
        <v>703.5</v>
      </c>
      <c r="CL1427" s="3">
        <f t="shared" si="151"/>
        <v>0</v>
      </c>
      <c r="CM1427" s="222">
        <f t="shared" si="152"/>
        <v>13563</v>
      </c>
      <c r="CN1427" s="3" t="str">
        <f t="shared" si="153"/>
        <v>خدمة عامة</v>
      </c>
    </row>
    <row r="1428" spans="3:92" x14ac:dyDescent="0.25">
      <c r="D1428" s="224">
        <v>21834</v>
      </c>
      <c r="E1428" s="224">
        <v>13564</v>
      </c>
      <c r="F1428" s="250" t="s">
        <v>125</v>
      </c>
      <c r="G1428" s="223" t="s">
        <v>5618</v>
      </c>
      <c r="I1428" s="223">
        <v>7231.21</v>
      </c>
      <c r="AV1428" s="22">
        <f t="shared" si="154"/>
        <v>7231.21</v>
      </c>
      <c r="AW1428" s="223">
        <v>5607.13</v>
      </c>
      <c r="AX1428" s="223">
        <v>736.65</v>
      </c>
      <c r="AY1428" s="223">
        <v>542.42999999999995</v>
      </c>
      <c r="AZ1428" s="223">
        <v>345</v>
      </c>
      <c r="CK1428" s="22">
        <f t="shared" si="150"/>
        <v>7231.21</v>
      </c>
      <c r="CL1428" s="3">
        <f t="shared" si="151"/>
        <v>0</v>
      </c>
      <c r="CM1428" s="222">
        <f t="shared" si="152"/>
        <v>13564</v>
      </c>
      <c r="CN1428" s="3" t="str">
        <f t="shared" si="153"/>
        <v>اختبار مواد</v>
      </c>
    </row>
    <row r="1429" spans="3:92" x14ac:dyDescent="0.25">
      <c r="D1429" s="224">
        <v>19259</v>
      </c>
      <c r="E1429" s="224">
        <v>13565</v>
      </c>
      <c r="F1429" s="250" t="s">
        <v>249</v>
      </c>
      <c r="G1429" s="223" t="s">
        <v>5619</v>
      </c>
      <c r="I1429" s="223">
        <v>3501.53</v>
      </c>
      <c r="AV1429" s="22">
        <f t="shared" si="154"/>
        <v>3501.53</v>
      </c>
      <c r="AW1429" s="223">
        <v>2657.49</v>
      </c>
      <c r="AX1429" s="223">
        <v>349</v>
      </c>
      <c r="AY1429" s="223">
        <v>330.04</v>
      </c>
      <c r="AZ1429" s="223">
        <v>165</v>
      </c>
      <c r="CK1429" s="22">
        <f t="shared" si="150"/>
        <v>3501.5299999999997</v>
      </c>
      <c r="CL1429" s="3">
        <f t="shared" si="151"/>
        <v>0</v>
      </c>
      <c r="CM1429" s="222">
        <f t="shared" si="152"/>
        <v>13565</v>
      </c>
      <c r="CN1429" s="3" t="str">
        <f t="shared" si="153"/>
        <v>خدمة عامة</v>
      </c>
    </row>
    <row r="1430" spans="3:92" x14ac:dyDescent="0.25">
      <c r="D1430" s="224">
        <v>19260</v>
      </c>
      <c r="E1430" s="224">
        <v>13566</v>
      </c>
      <c r="F1430" s="250" t="s">
        <v>249</v>
      </c>
      <c r="G1430" s="223" t="s">
        <v>5619</v>
      </c>
      <c r="I1430" s="223">
        <v>3752</v>
      </c>
      <c r="AV1430" s="22">
        <f t="shared" si="154"/>
        <v>3752</v>
      </c>
      <c r="AW1430" s="223">
        <v>2348</v>
      </c>
      <c r="AX1430" s="223">
        <v>340</v>
      </c>
      <c r="AY1430" s="223">
        <v>904</v>
      </c>
      <c r="AZ1430" s="223">
        <v>160</v>
      </c>
      <c r="CK1430" s="22">
        <f t="shared" si="150"/>
        <v>3752</v>
      </c>
      <c r="CL1430" s="3">
        <f t="shared" si="151"/>
        <v>0</v>
      </c>
      <c r="CM1430" s="222">
        <f t="shared" si="152"/>
        <v>13566</v>
      </c>
      <c r="CN1430" s="3" t="str">
        <f t="shared" si="153"/>
        <v>خدمة عامة</v>
      </c>
    </row>
    <row r="1431" spans="3:92" x14ac:dyDescent="0.25">
      <c r="D1431" s="224">
        <v>19255</v>
      </c>
      <c r="E1431" s="224">
        <v>13567</v>
      </c>
      <c r="F1431" s="250" t="s">
        <v>249</v>
      </c>
      <c r="G1431" s="223" t="str">
        <f>+G1426</f>
        <v>مكافاه عاملين بوحده بيت الحيوان ابريل</v>
      </c>
      <c r="I1431" s="223">
        <v>3500</v>
      </c>
      <c r="AV1431" s="22">
        <f t="shared" si="154"/>
        <v>3500</v>
      </c>
      <c r="AW1431" s="223">
        <v>2949.1</v>
      </c>
      <c r="AX1431" s="223">
        <v>375.9</v>
      </c>
      <c r="AZ1431" s="223">
        <v>175</v>
      </c>
      <c r="CK1431" s="22">
        <f t="shared" si="150"/>
        <v>3500</v>
      </c>
      <c r="CL1431" s="3">
        <f t="shared" si="151"/>
        <v>0</v>
      </c>
      <c r="CM1431" s="222">
        <f t="shared" si="152"/>
        <v>13567</v>
      </c>
      <c r="CN1431" s="3" t="str">
        <f t="shared" si="153"/>
        <v>خدمة عامة</v>
      </c>
    </row>
    <row r="1432" spans="3:92" x14ac:dyDescent="0.25">
      <c r="D1432" s="224">
        <v>19881</v>
      </c>
      <c r="E1432" s="224">
        <v>13568</v>
      </c>
      <c r="F1432" s="250" t="s">
        <v>249</v>
      </c>
      <c r="G1432" s="223" t="s">
        <v>5620</v>
      </c>
      <c r="I1432" s="223">
        <v>3386.25</v>
      </c>
      <c r="AV1432" s="22">
        <f t="shared" si="154"/>
        <v>3386.25</v>
      </c>
      <c r="AW1432" s="223">
        <v>2730.5</v>
      </c>
      <c r="AX1432" s="223">
        <v>349.5</v>
      </c>
      <c r="AY1432" s="223">
        <v>141.25</v>
      </c>
      <c r="AZ1432" s="223">
        <v>165</v>
      </c>
      <c r="CK1432" s="22">
        <f t="shared" si="150"/>
        <v>3386.25</v>
      </c>
      <c r="CL1432" s="3">
        <f t="shared" si="151"/>
        <v>0</v>
      </c>
      <c r="CM1432" s="222">
        <f t="shared" si="152"/>
        <v>13568</v>
      </c>
      <c r="CN1432" s="3" t="str">
        <f t="shared" si="153"/>
        <v>خدمة عامة</v>
      </c>
    </row>
    <row r="1433" spans="3:92" x14ac:dyDescent="0.25">
      <c r="E1433" s="224">
        <v>13569</v>
      </c>
      <c r="F1433" s="250" t="s">
        <v>332</v>
      </c>
      <c r="G1433" s="223" t="s">
        <v>5617</v>
      </c>
      <c r="AV1433" s="22">
        <f t="shared" si="154"/>
        <v>0</v>
      </c>
      <c r="CK1433" s="22">
        <f t="shared" si="150"/>
        <v>0</v>
      </c>
      <c r="CL1433" s="3">
        <f t="shared" si="151"/>
        <v>0</v>
      </c>
      <c r="CM1433" s="222">
        <f t="shared" si="152"/>
        <v>13569</v>
      </c>
      <c r="CN1433" s="3" t="str">
        <f t="shared" si="153"/>
        <v xml:space="preserve">لاب فقط </v>
      </c>
    </row>
    <row r="1434" spans="3:92" x14ac:dyDescent="0.25">
      <c r="D1434" s="224">
        <v>19880</v>
      </c>
      <c r="E1434" s="224">
        <v>13570</v>
      </c>
      <c r="F1434" s="250" t="s">
        <v>249</v>
      </c>
      <c r="G1434" s="223" t="str">
        <f>+G1432</f>
        <v>مكافاه ايرادات مجله مايو</v>
      </c>
      <c r="I1434" s="223">
        <v>3441.5</v>
      </c>
      <c r="AV1434" s="22">
        <f t="shared" si="154"/>
        <v>3441.5</v>
      </c>
      <c r="AW1434" s="223">
        <v>2544.5500000000002</v>
      </c>
      <c r="AX1434" s="223">
        <v>341.45</v>
      </c>
      <c r="AY1434" s="223">
        <v>395.5</v>
      </c>
      <c r="AZ1434" s="223">
        <v>160</v>
      </c>
      <c r="CK1434" s="22">
        <f t="shared" si="150"/>
        <v>3441.5</v>
      </c>
      <c r="CL1434" s="3">
        <f t="shared" si="151"/>
        <v>0</v>
      </c>
      <c r="CM1434" s="222">
        <f t="shared" si="152"/>
        <v>13570</v>
      </c>
      <c r="CN1434" s="3" t="str">
        <f t="shared" si="153"/>
        <v>خدمة عامة</v>
      </c>
    </row>
    <row r="1435" spans="3:92" x14ac:dyDescent="0.25">
      <c r="C1435" s="223" t="s">
        <v>367</v>
      </c>
      <c r="D1435" s="224">
        <v>22302</v>
      </c>
      <c r="E1435" s="224">
        <v>13571</v>
      </c>
      <c r="F1435" s="250" t="s">
        <v>119</v>
      </c>
      <c r="G1435" s="223" t="s">
        <v>5600</v>
      </c>
      <c r="I1435" s="226">
        <v>1700</v>
      </c>
      <c r="AV1435" s="22">
        <f t="shared" si="154"/>
        <v>1700</v>
      </c>
      <c r="AW1435" s="223">
        <v>1282.08</v>
      </c>
      <c r="AX1435" s="223">
        <v>332.91999999999996</v>
      </c>
      <c r="AZ1435" s="223">
        <v>85</v>
      </c>
      <c r="CK1435" s="22">
        <f t="shared" si="150"/>
        <v>1700</v>
      </c>
      <c r="CL1435" s="3">
        <f t="shared" si="151"/>
        <v>0</v>
      </c>
      <c r="CM1435" s="222">
        <f t="shared" si="152"/>
        <v>13571</v>
      </c>
      <c r="CN1435" s="3" t="str">
        <f t="shared" si="153"/>
        <v>خ ت صيدلة</v>
      </c>
    </row>
    <row r="1436" spans="3:92" x14ac:dyDescent="0.25">
      <c r="C1436" s="223" t="s">
        <v>367</v>
      </c>
      <c r="D1436" s="224">
        <v>22301</v>
      </c>
      <c r="E1436" s="224">
        <v>13572</v>
      </c>
      <c r="F1436" s="250" t="s">
        <v>119</v>
      </c>
      <c r="G1436" s="223" t="s">
        <v>5600</v>
      </c>
      <c r="I1436" s="226">
        <v>1300</v>
      </c>
      <c r="AV1436" s="22">
        <f t="shared" si="154"/>
        <v>1300</v>
      </c>
      <c r="AW1436" s="223">
        <v>980.48</v>
      </c>
      <c r="AX1436" s="223">
        <v>254.52</v>
      </c>
      <c r="AZ1436" s="223">
        <v>65</v>
      </c>
      <c r="CK1436" s="22">
        <f t="shared" si="150"/>
        <v>1300</v>
      </c>
      <c r="CL1436" s="3">
        <f t="shared" si="151"/>
        <v>0</v>
      </c>
      <c r="CM1436" s="222">
        <f t="shared" si="152"/>
        <v>13572</v>
      </c>
      <c r="CN1436" s="3" t="str">
        <f t="shared" si="153"/>
        <v>خ ت صيدلة</v>
      </c>
    </row>
    <row r="1437" spans="3:92" x14ac:dyDescent="0.25">
      <c r="C1437" s="223" t="s">
        <v>367</v>
      </c>
      <c r="D1437" s="224">
        <v>22285</v>
      </c>
      <c r="E1437" s="224">
        <v>13573</v>
      </c>
      <c r="F1437" s="250" t="s">
        <v>119</v>
      </c>
      <c r="G1437" s="223" t="s">
        <v>5603</v>
      </c>
      <c r="I1437" s="223">
        <v>12480</v>
      </c>
      <c r="AV1437" s="22">
        <f t="shared" si="154"/>
        <v>12480</v>
      </c>
      <c r="AW1437" s="223">
        <v>9405.52</v>
      </c>
      <c r="AX1437" s="223">
        <v>2450.48</v>
      </c>
      <c r="AZ1437" s="223">
        <v>624</v>
      </c>
      <c r="CK1437" s="22">
        <f t="shared" si="150"/>
        <v>12480</v>
      </c>
      <c r="CL1437" s="3">
        <f t="shared" si="151"/>
        <v>0</v>
      </c>
      <c r="CM1437" s="222">
        <f t="shared" si="152"/>
        <v>13573</v>
      </c>
      <c r="CN1437" s="3" t="str">
        <f t="shared" si="153"/>
        <v>خ ت صيدلة</v>
      </c>
    </row>
    <row r="1438" spans="3:92" x14ac:dyDescent="0.25">
      <c r="C1438" s="223" t="s">
        <v>367</v>
      </c>
      <c r="D1438" s="224">
        <v>22295</v>
      </c>
      <c r="E1438" s="224">
        <v>13574</v>
      </c>
      <c r="F1438" s="250" t="s">
        <v>119</v>
      </c>
      <c r="G1438" s="223" t="s">
        <v>5601</v>
      </c>
      <c r="I1438" s="226">
        <v>817.42</v>
      </c>
      <c r="AV1438" s="22">
        <f t="shared" si="154"/>
        <v>817.42</v>
      </c>
      <c r="AW1438" s="223">
        <v>594.95000000000005</v>
      </c>
      <c r="AX1438" s="223">
        <v>153.94</v>
      </c>
      <c r="AY1438" s="223">
        <v>28.53</v>
      </c>
      <c r="AZ1438" s="223">
        <v>40</v>
      </c>
      <c r="CK1438" s="22">
        <f t="shared" si="150"/>
        <v>817.42000000000007</v>
      </c>
      <c r="CL1438" s="3">
        <f t="shared" si="151"/>
        <v>0</v>
      </c>
      <c r="CM1438" s="222">
        <f t="shared" si="152"/>
        <v>13574</v>
      </c>
      <c r="CN1438" s="3" t="str">
        <f t="shared" si="153"/>
        <v>خ ت صيدلة</v>
      </c>
    </row>
    <row r="1439" spans="3:92" x14ac:dyDescent="0.25">
      <c r="C1439" s="223" t="s">
        <v>367</v>
      </c>
      <c r="D1439" s="224">
        <v>22293</v>
      </c>
      <c r="E1439" s="224">
        <v>13575</v>
      </c>
      <c r="F1439" s="250" t="s">
        <v>119</v>
      </c>
      <c r="G1439" s="223" t="s">
        <v>5601</v>
      </c>
      <c r="I1439" s="226">
        <v>562.79999999999995</v>
      </c>
      <c r="AV1439" s="22">
        <f t="shared" si="154"/>
        <v>562.79999999999995</v>
      </c>
      <c r="AW1439" s="223">
        <v>340.64</v>
      </c>
      <c r="AX1439" s="223">
        <v>62.56</v>
      </c>
      <c r="AY1439" s="223">
        <v>135.6</v>
      </c>
      <c r="AZ1439" s="223">
        <v>24</v>
      </c>
      <c r="CK1439" s="22">
        <f t="shared" si="150"/>
        <v>562.79999999999995</v>
      </c>
      <c r="CL1439" s="3">
        <f t="shared" si="151"/>
        <v>0</v>
      </c>
      <c r="CM1439" s="222">
        <f t="shared" si="152"/>
        <v>13575</v>
      </c>
      <c r="CN1439" s="3" t="str">
        <f t="shared" si="153"/>
        <v>خ ت صيدلة</v>
      </c>
    </row>
    <row r="1440" spans="3:92" x14ac:dyDescent="0.25">
      <c r="C1440" s="223" t="s">
        <v>367</v>
      </c>
      <c r="D1440" s="224">
        <v>22294</v>
      </c>
      <c r="E1440" s="224">
        <v>13576</v>
      </c>
      <c r="F1440" s="250" t="s">
        <v>119</v>
      </c>
      <c r="G1440" s="223" t="s">
        <v>5601</v>
      </c>
      <c r="I1440" s="226">
        <v>2080</v>
      </c>
      <c r="AV1440" s="22">
        <f t="shared" si="154"/>
        <v>2080</v>
      </c>
      <c r="AW1440" s="223">
        <v>1568.6</v>
      </c>
      <c r="AX1440" s="223">
        <v>407.4</v>
      </c>
      <c r="AZ1440" s="223">
        <v>104</v>
      </c>
      <c r="CK1440" s="22">
        <f t="shared" si="150"/>
        <v>2080</v>
      </c>
      <c r="CL1440" s="3">
        <f t="shared" si="151"/>
        <v>0</v>
      </c>
      <c r="CM1440" s="222">
        <f t="shared" si="152"/>
        <v>13576</v>
      </c>
      <c r="CN1440" s="3" t="str">
        <f t="shared" si="153"/>
        <v>خ ت صيدلة</v>
      </c>
    </row>
    <row r="1441" spans="3:92" x14ac:dyDescent="0.25">
      <c r="C1441" s="223" t="s">
        <v>367</v>
      </c>
      <c r="D1441" s="224">
        <v>22304</v>
      </c>
      <c r="E1441" s="224">
        <v>13577</v>
      </c>
      <c r="F1441" s="250" t="s">
        <v>119</v>
      </c>
      <c r="G1441" s="223" t="s">
        <v>5602</v>
      </c>
      <c r="I1441" s="226">
        <v>1395.41</v>
      </c>
      <c r="AV1441" s="22">
        <f t="shared" si="154"/>
        <v>1395.41</v>
      </c>
      <c r="AW1441" s="223">
        <v>828.68</v>
      </c>
      <c r="AX1441" s="223">
        <v>171.02</v>
      </c>
      <c r="AY1441" s="223">
        <v>336.2</v>
      </c>
      <c r="AZ1441" s="223">
        <v>59.51</v>
      </c>
      <c r="CK1441" s="22">
        <f t="shared" si="150"/>
        <v>1395.4099999999999</v>
      </c>
      <c r="CL1441" s="3">
        <f t="shared" si="151"/>
        <v>0</v>
      </c>
      <c r="CM1441" s="222">
        <f t="shared" si="152"/>
        <v>13577</v>
      </c>
      <c r="CN1441" s="3" t="str">
        <f t="shared" si="153"/>
        <v>خ ت صيدلة</v>
      </c>
    </row>
    <row r="1442" spans="3:92" x14ac:dyDescent="0.25">
      <c r="C1442" s="223" t="s">
        <v>367</v>
      </c>
      <c r="D1442" s="224">
        <v>22303</v>
      </c>
      <c r="E1442" s="224">
        <v>13578</v>
      </c>
      <c r="F1442" s="250" t="s">
        <v>119</v>
      </c>
      <c r="G1442" s="223" t="s">
        <v>5602</v>
      </c>
      <c r="I1442" s="226">
        <v>1233.9100000000001</v>
      </c>
      <c r="AV1442" s="22">
        <f t="shared" si="154"/>
        <v>1233.9100000000001</v>
      </c>
      <c r="AW1442" s="223">
        <v>749.24</v>
      </c>
      <c r="AX1442" s="223">
        <v>88.1</v>
      </c>
      <c r="AY1442" s="223">
        <v>345.42</v>
      </c>
      <c r="AZ1442" s="223">
        <v>51.15</v>
      </c>
      <c r="CK1442" s="22">
        <f t="shared" si="150"/>
        <v>1233.9100000000001</v>
      </c>
      <c r="CL1442" s="3">
        <f t="shared" si="151"/>
        <v>0</v>
      </c>
      <c r="CM1442" s="222">
        <f t="shared" si="152"/>
        <v>13578</v>
      </c>
      <c r="CN1442" s="3" t="str">
        <f t="shared" si="153"/>
        <v>خ ت صيدلة</v>
      </c>
    </row>
    <row r="1443" spans="3:92" x14ac:dyDescent="0.25">
      <c r="C1443" s="223" t="s">
        <v>367</v>
      </c>
      <c r="D1443" s="224">
        <v>22291</v>
      </c>
      <c r="E1443" s="224">
        <v>13579</v>
      </c>
      <c r="F1443" s="250" t="s">
        <v>119</v>
      </c>
      <c r="G1443" s="223" t="s">
        <v>5606</v>
      </c>
      <c r="I1443" s="226">
        <v>1200</v>
      </c>
      <c r="AV1443" s="22">
        <f t="shared" si="154"/>
        <v>1200</v>
      </c>
      <c r="AW1443" s="223">
        <v>905.08</v>
      </c>
      <c r="AX1443" s="223">
        <v>234.92000000000002</v>
      </c>
      <c r="AZ1443" s="223">
        <v>60</v>
      </c>
      <c r="CK1443" s="22">
        <f t="shared" si="150"/>
        <v>1200</v>
      </c>
      <c r="CL1443" s="3">
        <f t="shared" si="151"/>
        <v>0</v>
      </c>
      <c r="CM1443" s="222">
        <f t="shared" si="152"/>
        <v>13579</v>
      </c>
      <c r="CN1443" s="3" t="str">
        <f t="shared" si="153"/>
        <v>خ ت صيدلة</v>
      </c>
    </row>
    <row r="1444" spans="3:92" x14ac:dyDescent="0.25">
      <c r="C1444" s="223" t="s">
        <v>367</v>
      </c>
      <c r="D1444" s="224">
        <v>22290</v>
      </c>
      <c r="E1444" s="224">
        <v>13580</v>
      </c>
      <c r="F1444" s="250" t="s">
        <v>119</v>
      </c>
      <c r="G1444" s="223" t="s">
        <v>5606</v>
      </c>
      <c r="I1444" s="226">
        <v>41450</v>
      </c>
      <c r="AV1444" s="22">
        <f t="shared" si="154"/>
        <v>41450</v>
      </c>
      <c r="AW1444" s="223">
        <v>31252.04</v>
      </c>
      <c r="AX1444" s="223">
        <v>8125.46</v>
      </c>
      <c r="AZ1444" s="223">
        <v>2072.5</v>
      </c>
      <c r="CK1444" s="22">
        <f t="shared" si="150"/>
        <v>41450</v>
      </c>
      <c r="CL1444" s="3">
        <f t="shared" si="151"/>
        <v>0</v>
      </c>
      <c r="CM1444" s="222">
        <f t="shared" si="152"/>
        <v>13580</v>
      </c>
      <c r="CN1444" s="3" t="str">
        <f t="shared" si="153"/>
        <v>خ ت صيدلة</v>
      </c>
    </row>
    <row r="1445" spans="3:92" x14ac:dyDescent="0.25">
      <c r="C1445" s="223" t="s">
        <v>367</v>
      </c>
      <c r="D1445" s="224">
        <v>22311</v>
      </c>
      <c r="E1445" s="224">
        <v>13581</v>
      </c>
      <c r="F1445" s="250" t="s">
        <v>119</v>
      </c>
      <c r="G1445" s="223" t="s">
        <v>5605</v>
      </c>
      <c r="I1445" s="223">
        <v>527.62</v>
      </c>
      <c r="AV1445" s="22">
        <f t="shared" si="154"/>
        <v>527.62</v>
      </c>
      <c r="AW1445" s="223">
        <v>338.13</v>
      </c>
      <c r="AX1445" s="223">
        <v>39.869999999999997</v>
      </c>
      <c r="AY1445" s="223">
        <v>127.12</v>
      </c>
      <c r="AZ1445" s="223">
        <v>22.5</v>
      </c>
      <c r="CK1445" s="22">
        <f t="shared" si="150"/>
        <v>527.62</v>
      </c>
      <c r="CL1445" s="3">
        <f t="shared" si="151"/>
        <v>0</v>
      </c>
      <c r="CM1445" s="222">
        <f t="shared" si="152"/>
        <v>13581</v>
      </c>
      <c r="CN1445" s="3" t="str">
        <f t="shared" si="153"/>
        <v>خ ت صيدلة</v>
      </c>
    </row>
    <row r="1446" spans="3:92" x14ac:dyDescent="0.25">
      <c r="C1446" s="223" t="s">
        <v>367</v>
      </c>
      <c r="D1446" s="224">
        <v>22312</v>
      </c>
      <c r="E1446" s="224">
        <v>13582</v>
      </c>
      <c r="F1446" s="250" t="s">
        <v>119</v>
      </c>
      <c r="G1446" s="223" t="s">
        <v>5605</v>
      </c>
      <c r="I1446" s="223">
        <v>680</v>
      </c>
      <c r="AV1446" s="22">
        <f t="shared" si="154"/>
        <v>680</v>
      </c>
      <c r="AW1446" s="223">
        <v>577.39</v>
      </c>
      <c r="AX1446" s="223">
        <v>68.61</v>
      </c>
      <c r="AZ1446" s="223">
        <v>34</v>
      </c>
      <c r="CK1446" s="22">
        <f t="shared" si="150"/>
        <v>680</v>
      </c>
      <c r="CL1446" s="3">
        <f t="shared" si="151"/>
        <v>0</v>
      </c>
      <c r="CM1446" s="222">
        <f t="shared" si="152"/>
        <v>13582</v>
      </c>
      <c r="CN1446" s="3" t="str">
        <f t="shared" si="153"/>
        <v>خ ت صيدلة</v>
      </c>
    </row>
    <row r="1447" spans="3:92" x14ac:dyDescent="0.25">
      <c r="C1447" s="223" t="s">
        <v>367</v>
      </c>
      <c r="D1447" s="224">
        <v>22310</v>
      </c>
      <c r="E1447" s="224">
        <v>13583</v>
      </c>
      <c r="F1447" s="250" t="s">
        <v>119</v>
      </c>
      <c r="G1447" s="223" t="s">
        <v>5605</v>
      </c>
      <c r="I1447" s="223">
        <v>8767.27</v>
      </c>
      <c r="AV1447" s="22">
        <f t="shared" si="154"/>
        <v>8767.27</v>
      </c>
      <c r="AW1447" s="223">
        <v>5532.89</v>
      </c>
      <c r="AX1447" s="223">
        <v>656.98</v>
      </c>
      <c r="AY1447" s="223">
        <v>2206.4</v>
      </c>
      <c r="AZ1447" s="223">
        <v>371</v>
      </c>
      <c r="CK1447" s="22">
        <f t="shared" si="150"/>
        <v>8767.27</v>
      </c>
      <c r="CL1447" s="3">
        <f t="shared" si="151"/>
        <v>0</v>
      </c>
      <c r="CM1447" s="222">
        <f t="shared" si="152"/>
        <v>13583</v>
      </c>
      <c r="CN1447" s="3" t="str">
        <f t="shared" si="153"/>
        <v>خ ت صيدلة</v>
      </c>
    </row>
    <row r="1448" spans="3:92" x14ac:dyDescent="0.25">
      <c r="C1448" s="223" t="s">
        <v>367</v>
      </c>
      <c r="D1448" s="224">
        <v>22309</v>
      </c>
      <c r="E1448" s="224">
        <v>13584</v>
      </c>
      <c r="F1448" s="250" t="s">
        <v>119</v>
      </c>
      <c r="G1448" s="223" t="s">
        <v>5605</v>
      </c>
      <c r="I1448" s="223">
        <v>2110.48</v>
      </c>
      <c r="AV1448" s="22">
        <f t="shared" si="154"/>
        <v>2110.48</v>
      </c>
      <c r="AW1448" s="223">
        <v>1352.52</v>
      </c>
      <c r="AX1448" s="223">
        <v>159.47999999999999</v>
      </c>
      <c r="AY1448" s="223">
        <v>508.48</v>
      </c>
      <c r="AZ1448" s="223">
        <v>90</v>
      </c>
      <c r="CK1448" s="22">
        <f t="shared" si="150"/>
        <v>2110.48</v>
      </c>
      <c r="CL1448" s="3">
        <f t="shared" si="151"/>
        <v>0</v>
      </c>
      <c r="CM1448" s="222">
        <f t="shared" si="152"/>
        <v>13584</v>
      </c>
      <c r="CN1448" s="3" t="str">
        <f t="shared" si="153"/>
        <v>خ ت صيدلة</v>
      </c>
    </row>
    <row r="1449" spans="3:92" x14ac:dyDescent="0.25">
      <c r="C1449" s="223" t="s">
        <v>367</v>
      </c>
      <c r="D1449" s="224">
        <v>22298</v>
      </c>
      <c r="E1449" s="224">
        <v>13585</v>
      </c>
      <c r="F1449" s="250" t="s">
        <v>119</v>
      </c>
      <c r="G1449" s="223" t="s">
        <v>5599</v>
      </c>
      <c r="I1449" s="223">
        <v>325</v>
      </c>
      <c r="AV1449" s="22">
        <f t="shared" si="154"/>
        <v>325</v>
      </c>
      <c r="AW1449" s="223">
        <v>245.56</v>
      </c>
      <c r="AX1449" s="223">
        <v>63.19</v>
      </c>
      <c r="AZ1449" s="223">
        <v>16.25</v>
      </c>
      <c r="CK1449" s="22">
        <f t="shared" si="150"/>
        <v>325</v>
      </c>
      <c r="CL1449" s="3">
        <f t="shared" si="151"/>
        <v>0</v>
      </c>
      <c r="CM1449" s="222">
        <f t="shared" si="152"/>
        <v>13585</v>
      </c>
      <c r="CN1449" s="3" t="str">
        <f t="shared" si="153"/>
        <v>خ ت صيدلة</v>
      </c>
    </row>
    <row r="1450" spans="3:92" x14ac:dyDescent="0.25">
      <c r="C1450" s="223" t="s">
        <v>367</v>
      </c>
      <c r="D1450" s="224">
        <v>22287</v>
      </c>
      <c r="E1450" s="224">
        <v>13586</v>
      </c>
      <c r="F1450" s="250" t="s">
        <v>119</v>
      </c>
      <c r="G1450" s="223" t="s">
        <v>5604</v>
      </c>
      <c r="I1450" s="223">
        <v>3120</v>
      </c>
      <c r="AV1450" s="22">
        <f t="shared" si="154"/>
        <v>3120</v>
      </c>
      <c r="AW1450" s="223">
        <v>2352.7600000000002</v>
      </c>
      <c r="AX1450" s="223">
        <v>611.24</v>
      </c>
      <c r="AZ1450" s="223">
        <v>156</v>
      </c>
      <c r="CK1450" s="22">
        <f t="shared" si="150"/>
        <v>3120</v>
      </c>
      <c r="CL1450" s="3">
        <f t="shared" si="151"/>
        <v>0</v>
      </c>
      <c r="CM1450" s="222">
        <f t="shared" si="152"/>
        <v>13586</v>
      </c>
      <c r="CN1450" s="3" t="str">
        <f t="shared" si="153"/>
        <v>خ ت صيدلة</v>
      </c>
    </row>
    <row r="1451" spans="3:92" x14ac:dyDescent="0.25">
      <c r="C1451" s="223" t="s">
        <v>367</v>
      </c>
      <c r="D1451" s="224">
        <v>22286</v>
      </c>
      <c r="E1451" s="224">
        <v>13587</v>
      </c>
      <c r="F1451" s="250" t="s">
        <v>119</v>
      </c>
      <c r="G1451" s="223" t="s">
        <v>5603</v>
      </c>
      <c r="I1451" s="223">
        <v>17040</v>
      </c>
      <c r="AV1451" s="22">
        <f t="shared" si="154"/>
        <v>17040</v>
      </c>
      <c r="AW1451" s="223">
        <v>12847.08</v>
      </c>
      <c r="AX1451" s="223">
        <v>3340.92</v>
      </c>
      <c r="AZ1451" s="223">
        <v>852</v>
      </c>
      <c r="CK1451" s="22">
        <f t="shared" si="150"/>
        <v>17040</v>
      </c>
      <c r="CL1451" s="3">
        <f t="shared" si="151"/>
        <v>0</v>
      </c>
      <c r="CM1451" s="222">
        <f t="shared" si="152"/>
        <v>13587</v>
      </c>
      <c r="CN1451" s="3" t="str">
        <f t="shared" si="153"/>
        <v>خ ت صيدلة</v>
      </c>
    </row>
    <row r="1452" spans="3:92" x14ac:dyDescent="0.25">
      <c r="C1452" s="223" t="s">
        <v>367</v>
      </c>
      <c r="D1452" s="224">
        <v>22288</v>
      </c>
      <c r="E1452" s="224">
        <v>13588</v>
      </c>
      <c r="F1452" s="250" t="s">
        <v>119</v>
      </c>
      <c r="G1452" s="223" t="s">
        <v>5603</v>
      </c>
      <c r="I1452" s="223">
        <v>9360</v>
      </c>
      <c r="AV1452" s="22">
        <f t="shared" si="154"/>
        <v>9360</v>
      </c>
      <c r="AW1452" s="223">
        <v>7054</v>
      </c>
      <c r="AX1452" s="223">
        <v>1838</v>
      </c>
      <c r="AZ1452" s="223">
        <v>468</v>
      </c>
      <c r="CK1452" s="22">
        <f t="shared" si="150"/>
        <v>9360</v>
      </c>
      <c r="CL1452" s="3">
        <f t="shared" si="151"/>
        <v>0</v>
      </c>
      <c r="CM1452" s="222">
        <f t="shared" si="152"/>
        <v>13588</v>
      </c>
      <c r="CN1452" s="3" t="str">
        <f t="shared" si="153"/>
        <v>خ ت صيدلة</v>
      </c>
    </row>
    <row r="1453" spans="3:92" x14ac:dyDescent="0.25">
      <c r="C1453" s="223" t="s">
        <v>367</v>
      </c>
      <c r="D1453" s="224">
        <v>22299</v>
      </c>
      <c r="E1453" s="224">
        <v>13589</v>
      </c>
      <c r="F1453" s="250" t="s">
        <v>119</v>
      </c>
      <c r="G1453" s="223" t="s">
        <v>5599</v>
      </c>
      <c r="I1453" s="223">
        <v>15325</v>
      </c>
      <c r="AV1453" s="22">
        <f t="shared" si="154"/>
        <v>15325</v>
      </c>
      <c r="AW1453" s="223">
        <v>11560.44</v>
      </c>
      <c r="AX1453" s="223">
        <v>2998.31</v>
      </c>
      <c r="AZ1453" s="223">
        <v>766.25</v>
      </c>
      <c r="CK1453" s="22">
        <f t="shared" si="150"/>
        <v>15325</v>
      </c>
      <c r="CL1453" s="3">
        <f t="shared" si="151"/>
        <v>0</v>
      </c>
      <c r="CM1453" s="222">
        <f t="shared" si="152"/>
        <v>13589</v>
      </c>
      <c r="CN1453" s="3" t="str">
        <f t="shared" si="153"/>
        <v>خ ت صيدلة</v>
      </c>
    </row>
    <row r="1454" spans="3:92" x14ac:dyDescent="0.25">
      <c r="C1454" s="223" t="s">
        <v>367</v>
      </c>
      <c r="D1454" s="224">
        <v>22283</v>
      </c>
      <c r="E1454" s="224">
        <v>13590</v>
      </c>
      <c r="F1454" s="250" t="s">
        <v>119</v>
      </c>
      <c r="G1454" s="223" t="s">
        <v>5603</v>
      </c>
      <c r="I1454" s="223">
        <v>240247.2</v>
      </c>
      <c r="AV1454" s="22">
        <f t="shared" si="154"/>
        <v>240247.2</v>
      </c>
      <c r="AW1454" s="223">
        <v>181210.7</v>
      </c>
      <c r="AX1454" s="223">
        <v>47024.14</v>
      </c>
      <c r="AZ1454" s="223">
        <v>12012.36</v>
      </c>
      <c r="CK1454" s="22">
        <f t="shared" si="150"/>
        <v>240247.2</v>
      </c>
      <c r="CL1454" s="3">
        <f t="shared" si="151"/>
        <v>0</v>
      </c>
      <c r="CM1454" s="222">
        <f t="shared" si="152"/>
        <v>13590</v>
      </c>
      <c r="CN1454" s="3" t="str">
        <f t="shared" si="153"/>
        <v>خ ت صيدلة</v>
      </c>
    </row>
    <row r="1455" spans="3:92" x14ac:dyDescent="0.25">
      <c r="C1455" s="223" t="s">
        <v>367</v>
      </c>
      <c r="D1455" s="224">
        <v>22284</v>
      </c>
      <c r="E1455" s="224">
        <v>13591</v>
      </c>
      <c r="F1455" s="250" t="s">
        <v>119</v>
      </c>
      <c r="G1455" s="223" t="s">
        <v>5603</v>
      </c>
      <c r="I1455" s="223">
        <v>3600</v>
      </c>
      <c r="AV1455" s="22">
        <f t="shared" si="154"/>
        <v>3600</v>
      </c>
      <c r="AW1455" s="223">
        <v>2714.96</v>
      </c>
      <c r="AX1455" s="223">
        <v>705.04</v>
      </c>
      <c r="AZ1455" s="223">
        <v>180</v>
      </c>
      <c r="CK1455" s="22">
        <f t="shared" si="150"/>
        <v>3600</v>
      </c>
      <c r="CL1455" s="3">
        <f t="shared" si="151"/>
        <v>0</v>
      </c>
      <c r="CM1455" s="222">
        <f t="shared" si="152"/>
        <v>13591</v>
      </c>
      <c r="CN1455" s="3" t="str">
        <f t="shared" si="153"/>
        <v>خ ت صيدلة</v>
      </c>
    </row>
    <row r="1456" spans="3:92" x14ac:dyDescent="0.25">
      <c r="C1456" s="223" t="s">
        <v>367</v>
      </c>
      <c r="D1456" s="224">
        <v>22307</v>
      </c>
      <c r="E1456" s="224">
        <v>13592</v>
      </c>
      <c r="F1456" s="250" t="s">
        <v>119</v>
      </c>
      <c r="G1456" s="223" t="s">
        <v>5605</v>
      </c>
      <c r="I1456" s="223">
        <v>42410.1</v>
      </c>
      <c r="AV1456" s="22">
        <f t="shared" si="154"/>
        <v>42410.1</v>
      </c>
      <c r="AW1456" s="223">
        <v>25809.23</v>
      </c>
      <c r="AX1456" s="223">
        <v>4842.87</v>
      </c>
      <c r="AY1456" s="223">
        <v>9941</v>
      </c>
      <c r="AZ1456" s="223">
        <v>1817</v>
      </c>
      <c r="CK1456" s="22">
        <f t="shared" si="150"/>
        <v>42410.1</v>
      </c>
      <c r="CL1456" s="3">
        <f t="shared" si="151"/>
        <v>0</v>
      </c>
      <c r="CM1456" s="222">
        <f t="shared" si="152"/>
        <v>13592</v>
      </c>
      <c r="CN1456" s="3" t="str">
        <f t="shared" si="153"/>
        <v>خ ت صيدلة</v>
      </c>
    </row>
    <row r="1457" spans="1:94" x14ac:dyDescent="0.25">
      <c r="C1457" s="223" t="s">
        <v>367</v>
      </c>
      <c r="D1457" s="224">
        <v>22308</v>
      </c>
      <c r="E1457" s="224">
        <v>13593</v>
      </c>
      <c r="F1457" s="250" t="s">
        <v>119</v>
      </c>
      <c r="G1457" s="223" t="s">
        <v>5605</v>
      </c>
      <c r="I1457" s="223">
        <v>797.3</v>
      </c>
      <c r="AV1457" s="22">
        <f t="shared" si="154"/>
        <v>797.3</v>
      </c>
      <c r="AW1457" s="223">
        <v>482.21</v>
      </c>
      <c r="AX1457" s="223">
        <v>88.990000000000009</v>
      </c>
      <c r="AY1457" s="223">
        <v>192.1</v>
      </c>
      <c r="AZ1457" s="223">
        <v>34</v>
      </c>
      <c r="CK1457" s="22">
        <f t="shared" si="150"/>
        <v>797.30000000000007</v>
      </c>
      <c r="CL1457" s="3">
        <f t="shared" si="151"/>
        <v>0</v>
      </c>
      <c r="CM1457" s="222">
        <f t="shared" si="152"/>
        <v>13593</v>
      </c>
      <c r="CN1457" s="3" t="str">
        <f t="shared" si="153"/>
        <v>خ ت صيدلة</v>
      </c>
    </row>
    <row r="1458" spans="1:94" x14ac:dyDescent="0.25">
      <c r="C1458" s="223" t="s">
        <v>367</v>
      </c>
      <c r="D1458" s="224">
        <v>22297</v>
      </c>
      <c r="E1458" s="224">
        <v>13594</v>
      </c>
      <c r="F1458" s="250" t="s">
        <v>119</v>
      </c>
      <c r="G1458" s="223" t="str">
        <f>+G1454</f>
        <v>م تدريس ربيع من الداخل اساتذة</v>
      </c>
      <c r="I1458" s="223">
        <v>70542.19</v>
      </c>
      <c r="AV1458" s="22">
        <f t="shared" si="154"/>
        <v>70542.19</v>
      </c>
      <c r="AW1458" s="223">
        <v>52975.65</v>
      </c>
      <c r="AX1458" s="223">
        <v>13749.65</v>
      </c>
      <c r="AY1458" s="223">
        <v>298.89</v>
      </c>
      <c r="AZ1458" s="223">
        <v>3518</v>
      </c>
      <c r="CK1458" s="22">
        <f t="shared" si="150"/>
        <v>70542.19</v>
      </c>
      <c r="CL1458" s="3">
        <f t="shared" si="151"/>
        <v>0</v>
      </c>
      <c r="CM1458" s="222">
        <f t="shared" si="152"/>
        <v>13594</v>
      </c>
      <c r="CN1458" s="3" t="str">
        <f t="shared" si="153"/>
        <v>خ ت صيدلة</v>
      </c>
    </row>
    <row r="1459" spans="1:94" x14ac:dyDescent="0.25">
      <c r="C1459" s="223" t="s">
        <v>367</v>
      </c>
      <c r="D1459" s="224">
        <v>22023</v>
      </c>
      <c r="E1459" s="224">
        <v>13595</v>
      </c>
      <c r="F1459" s="250" t="s">
        <v>121</v>
      </c>
      <c r="G1459" s="223" t="s">
        <v>5621</v>
      </c>
      <c r="I1459" s="223">
        <v>2345</v>
      </c>
      <c r="AV1459" s="22">
        <f t="shared" si="154"/>
        <v>2345</v>
      </c>
      <c r="AW1459" s="223">
        <v>1567</v>
      </c>
      <c r="AX1459" s="223">
        <v>213</v>
      </c>
      <c r="AY1459" s="223">
        <v>565</v>
      </c>
      <c r="CK1459" s="22">
        <f t="shared" ref="CK1459:CK1487" si="155">SUM(AW1459:CJ1459)</f>
        <v>2345</v>
      </c>
      <c r="CL1459" s="3">
        <f t="shared" ref="CL1459:CL1487" si="156">+CK1459-AV1459</f>
        <v>0</v>
      </c>
      <c r="CM1459" s="222">
        <f t="shared" ref="CM1459:CM1485" si="157">+E1459</f>
        <v>13595</v>
      </c>
      <c r="CN1459" s="3" t="str">
        <f t="shared" ref="CN1459:CN1485" si="158">+F1459</f>
        <v>ماليزى اسنان</v>
      </c>
      <c r="CO1459" s="223">
        <v>200</v>
      </c>
      <c r="CP1459" s="223">
        <v>13</v>
      </c>
    </row>
    <row r="1460" spans="1:94" x14ac:dyDescent="0.25">
      <c r="C1460" s="223" t="s">
        <v>367</v>
      </c>
      <c r="D1460" s="224">
        <v>22053</v>
      </c>
      <c r="E1460" s="224">
        <v>13596</v>
      </c>
      <c r="F1460" s="250" t="s">
        <v>121</v>
      </c>
      <c r="G1460" s="223" t="s">
        <v>5622</v>
      </c>
      <c r="I1460" s="223">
        <v>214.9</v>
      </c>
      <c r="AV1460" s="22">
        <f t="shared" si="154"/>
        <v>214.9</v>
      </c>
      <c r="AW1460" s="223">
        <v>146.19</v>
      </c>
      <c r="AX1460" s="223">
        <v>16.940000000000001</v>
      </c>
      <c r="AY1460" s="223">
        <v>51.77</v>
      </c>
      <c r="CK1460" s="22">
        <f t="shared" si="155"/>
        <v>214.9</v>
      </c>
      <c r="CL1460" s="3">
        <f t="shared" si="156"/>
        <v>0</v>
      </c>
      <c r="CM1460" s="222">
        <f t="shared" si="157"/>
        <v>13596</v>
      </c>
      <c r="CN1460" s="3" t="str">
        <f t="shared" si="158"/>
        <v>ماليزى اسنان</v>
      </c>
      <c r="CO1460" s="223">
        <v>16.239999999999998</v>
      </c>
      <c r="CP1460" s="223">
        <v>0.7</v>
      </c>
    </row>
    <row r="1461" spans="1:94" x14ac:dyDescent="0.25">
      <c r="C1461" s="223" t="s">
        <v>5196</v>
      </c>
      <c r="D1461" s="224">
        <v>21278</v>
      </c>
      <c r="E1461" s="224">
        <v>13597</v>
      </c>
      <c r="F1461" s="250" t="s">
        <v>121</v>
      </c>
      <c r="G1461" s="223" t="s">
        <v>5623</v>
      </c>
      <c r="I1461" s="223">
        <v>554.79</v>
      </c>
      <c r="AV1461" s="22">
        <f t="shared" si="154"/>
        <v>554.79</v>
      </c>
      <c r="AW1461" s="223">
        <v>495.76</v>
      </c>
      <c r="AX1461" s="223">
        <f>3.55+55.48</f>
        <v>59.029999999999994</v>
      </c>
      <c r="CK1461" s="22">
        <f t="shared" si="155"/>
        <v>554.79</v>
      </c>
      <c r="CL1461" s="3">
        <f t="shared" si="156"/>
        <v>0</v>
      </c>
      <c r="CM1461" s="222">
        <f t="shared" si="157"/>
        <v>13597</v>
      </c>
      <c r="CN1461" s="3" t="str">
        <f t="shared" si="158"/>
        <v>ماليزى اسنان</v>
      </c>
      <c r="CO1461" s="223">
        <v>55.48</v>
      </c>
      <c r="CP1461" s="223">
        <v>3.55</v>
      </c>
    </row>
    <row r="1462" spans="1:94" x14ac:dyDescent="0.25">
      <c r="C1462" s="223" t="s">
        <v>5196</v>
      </c>
      <c r="D1462" s="224">
        <v>21921</v>
      </c>
      <c r="E1462" s="224">
        <v>13598</v>
      </c>
      <c r="F1462" s="250" t="s">
        <v>121</v>
      </c>
      <c r="G1462" s="223" t="s">
        <v>5624</v>
      </c>
      <c r="I1462" s="223">
        <v>314.98</v>
      </c>
      <c r="AV1462" s="22">
        <f t="shared" si="154"/>
        <v>314.98</v>
      </c>
      <c r="AW1462" s="223">
        <v>281.73</v>
      </c>
      <c r="AX1462" s="223">
        <v>33.25</v>
      </c>
      <c r="CK1462" s="22">
        <f t="shared" si="155"/>
        <v>314.98</v>
      </c>
      <c r="CL1462" s="3">
        <f t="shared" si="156"/>
        <v>0</v>
      </c>
      <c r="CM1462" s="222">
        <f t="shared" si="157"/>
        <v>13598</v>
      </c>
      <c r="CN1462" s="3" t="str">
        <f t="shared" si="158"/>
        <v>ماليزى اسنان</v>
      </c>
      <c r="CO1462" s="223">
        <v>31.5</v>
      </c>
      <c r="CP1462" s="223">
        <v>1.75</v>
      </c>
    </row>
    <row r="1463" spans="1:94" x14ac:dyDescent="0.25">
      <c r="C1463" s="223" t="s">
        <v>5196</v>
      </c>
      <c r="D1463" s="224">
        <v>21280</v>
      </c>
      <c r="E1463" s="224">
        <v>13599</v>
      </c>
      <c r="F1463" s="250" t="s">
        <v>121</v>
      </c>
      <c r="G1463" s="223" t="s">
        <v>5625</v>
      </c>
      <c r="I1463" s="223">
        <v>455.08</v>
      </c>
      <c r="AV1463" s="22">
        <f t="shared" si="154"/>
        <v>455.08</v>
      </c>
      <c r="AW1463" s="223">
        <v>406.92</v>
      </c>
      <c r="AX1463" s="223">
        <v>48.16</v>
      </c>
      <c r="CK1463" s="22">
        <f t="shared" si="155"/>
        <v>455.08000000000004</v>
      </c>
      <c r="CL1463" s="3">
        <f t="shared" si="156"/>
        <v>0</v>
      </c>
      <c r="CM1463" s="222">
        <f t="shared" si="157"/>
        <v>13599</v>
      </c>
      <c r="CN1463" s="3" t="str">
        <f t="shared" si="158"/>
        <v>ماليزى اسنان</v>
      </c>
      <c r="CO1463" s="223">
        <v>45.51</v>
      </c>
      <c r="CP1463" s="223">
        <v>2.65</v>
      </c>
    </row>
    <row r="1464" spans="1:94" x14ac:dyDescent="0.25">
      <c r="D1464" s="224">
        <v>22472</v>
      </c>
      <c r="E1464" s="224">
        <v>13600</v>
      </c>
      <c r="F1464" s="250" t="s">
        <v>78</v>
      </c>
      <c r="G1464" s="223" t="s">
        <v>5626</v>
      </c>
      <c r="AB1464" s="223">
        <v>719513.1</v>
      </c>
      <c r="AV1464" s="22">
        <f t="shared" si="154"/>
        <v>719513.1</v>
      </c>
      <c r="AW1464" s="223">
        <v>719513.1</v>
      </c>
      <c r="CK1464" s="22">
        <f t="shared" si="155"/>
        <v>719513.1</v>
      </c>
      <c r="CL1464" s="3">
        <f t="shared" si="156"/>
        <v>0</v>
      </c>
      <c r="CM1464" s="222">
        <f t="shared" si="157"/>
        <v>13600</v>
      </c>
      <c r="CN1464" s="3" t="str">
        <f t="shared" si="158"/>
        <v>برنامج دولى</v>
      </c>
    </row>
    <row r="1465" spans="1:94" s="226" customFormat="1" x14ac:dyDescent="0.25">
      <c r="A1465" s="236"/>
      <c r="D1465" s="230"/>
      <c r="E1465" s="224">
        <v>13601</v>
      </c>
      <c r="F1465" s="250" t="s">
        <v>78</v>
      </c>
      <c r="G1465" s="226" t="s">
        <v>431</v>
      </c>
      <c r="I1465" s="226">
        <v>316.58</v>
      </c>
      <c r="AV1465" s="22">
        <f t="shared" si="154"/>
        <v>316.58</v>
      </c>
      <c r="AW1465" s="226">
        <v>212.05</v>
      </c>
      <c r="AX1465" s="226">
        <f>1.25+27</f>
        <v>28.25</v>
      </c>
      <c r="AY1465" s="226">
        <f>104.53-AX1465</f>
        <v>76.28</v>
      </c>
      <c r="CK1465" s="22">
        <f t="shared" si="155"/>
        <v>316.58000000000004</v>
      </c>
      <c r="CL1465" s="3">
        <f t="shared" si="156"/>
        <v>0</v>
      </c>
      <c r="CM1465" s="222">
        <f t="shared" si="157"/>
        <v>13601</v>
      </c>
      <c r="CN1465" s="3" t="str">
        <f t="shared" si="158"/>
        <v>برنامج دولى</v>
      </c>
      <c r="CO1465" s="226">
        <v>27</v>
      </c>
      <c r="CP1465" s="226">
        <v>1.25</v>
      </c>
    </row>
    <row r="1466" spans="1:94" s="226" customFormat="1" x14ac:dyDescent="0.25">
      <c r="A1466" s="236"/>
      <c r="D1466" s="230">
        <v>21446</v>
      </c>
      <c r="E1466" s="224">
        <v>13602</v>
      </c>
      <c r="F1466" s="254" t="s">
        <v>119</v>
      </c>
      <c r="G1466" s="226" t="s">
        <v>5627</v>
      </c>
      <c r="I1466" s="226">
        <v>125</v>
      </c>
      <c r="AV1466" s="22">
        <f t="shared" si="154"/>
        <v>125</v>
      </c>
      <c r="AW1466" s="226">
        <v>99.64</v>
      </c>
      <c r="AX1466" s="226">
        <v>25.36</v>
      </c>
      <c r="CK1466" s="22">
        <f t="shared" si="155"/>
        <v>125</v>
      </c>
      <c r="CL1466" s="3">
        <f t="shared" si="156"/>
        <v>0</v>
      </c>
      <c r="CM1466" s="222">
        <f t="shared" si="157"/>
        <v>13602</v>
      </c>
      <c r="CN1466" s="3" t="str">
        <f t="shared" si="158"/>
        <v>خ ت صيدلة</v>
      </c>
      <c r="CO1466" s="226">
        <v>24.91</v>
      </c>
      <c r="CP1466" s="226">
        <v>4.4999999999999998E-2</v>
      </c>
    </row>
    <row r="1467" spans="1:94" s="226" customFormat="1" x14ac:dyDescent="0.25">
      <c r="A1467" s="236"/>
      <c r="D1467" s="230">
        <v>22034</v>
      </c>
      <c r="E1467" s="224">
        <v>13603</v>
      </c>
      <c r="F1467" s="254" t="s">
        <v>249</v>
      </c>
      <c r="G1467" s="226" t="s">
        <v>5630</v>
      </c>
      <c r="I1467" s="226">
        <v>19785.939999999999</v>
      </c>
      <c r="AV1467" s="22">
        <f t="shared" si="154"/>
        <v>19785.939999999999</v>
      </c>
      <c r="AW1467" s="226">
        <v>14914.05</v>
      </c>
      <c r="AX1467" s="226">
        <v>104.7</v>
      </c>
      <c r="AY1467" s="226">
        <v>4767.1899999999996</v>
      </c>
      <c r="CK1467" s="22">
        <f t="shared" si="155"/>
        <v>19785.939999999999</v>
      </c>
      <c r="CL1467" s="3">
        <f t="shared" si="156"/>
        <v>0</v>
      </c>
      <c r="CM1467" s="222">
        <f t="shared" si="157"/>
        <v>13603</v>
      </c>
      <c r="CN1467" s="3" t="str">
        <f t="shared" si="158"/>
        <v>خدمة عامة</v>
      </c>
      <c r="CP1467" s="226">
        <v>104.7</v>
      </c>
    </row>
    <row r="1468" spans="1:94" s="226" customFormat="1" x14ac:dyDescent="0.25">
      <c r="A1468" s="236"/>
      <c r="D1468" s="230">
        <v>22035</v>
      </c>
      <c r="E1468" s="224">
        <v>13604</v>
      </c>
      <c r="F1468" s="254" t="s">
        <v>249</v>
      </c>
      <c r="G1468" s="226" t="s">
        <v>5630</v>
      </c>
      <c r="I1468" s="226">
        <v>7831.1</v>
      </c>
      <c r="AV1468" s="22">
        <f t="shared" si="154"/>
        <v>7831.1</v>
      </c>
      <c r="AW1468" s="226">
        <v>5133.37</v>
      </c>
      <c r="AX1468" s="226">
        <v>724.7</v>
      </c>
      <c r="AY1468" s="226">
        <v>1631.28</v>
      </c>
      <c r="AZ1468" s="226">
        <v>341.75</v>
      </c>
      <c r="CK1468" s="22">
        <f t="shared" si="155"/>
        <v>7831.0999999999995</v>
      </c>
      <c r="CL1468" s="3">
        <f t="shared" si="156"/>
        <v>0</v>
      </c>
      <c r="CM1468" s="222">
        <f t="shared" si="157"/>
        <v>13604</v>
      </c>
      <c r="CN1468" s="3" t="str">
        <f t="shared" si="158"/>
        <v>خدمة عامة</v>
      </c>
      <c r="CO1468" s="226">
        <v>683.5</v>
      </c>
      <c r="CP1468" s="226">
        <v>41.2</v>
      </c>
    </row>
    <row r="1469" spans="1:94" s="226" customFormat="1" x14ac:dyDescent="0.25">
      <c r="A1469" s="236"/>
      <c r="D1469" s="230">
        <v>22033</v>
      </c>
      <c r="E1469" s="224">
        <v>13605</v>
      </c>
      <c r="F1469" s="254" t="s">
        <v>249</v>
      </c>
      <c r="G1469" s="226" t="s">
        <v>5630</v>
      </c>
      <c r="I1469" s="226">
        <v>5130</v>
      </c>
      <c r="AV1469" s="22">
        <f t="shared" si="154"/>
        <v>5130</v>
      </c>
      <c r="AW1469" s="226">
        <v>4323.3500000000004</v>
      </c>
      <c r="AX1469" s="226">
        <v>550.15</v>
      </c>
      <c r="AZ1469" s="226">
        <v>256.5</v>
      </c>
      <c r="CK1469" s="22">
        <f t="shared" si="155"/>
        <v>5130</v>
      </c>
      <c r="CL1469" s="3">
        <f t="shared" si="156"/>
        <v>0</v>
      </c>
      <c r="CM1469" s="222">
        <f t="shared" si="157"/>
        <v>13605</v>
      </c>
      <c r="CN1469" s="3" t="str">
        <f t="shared" si="158"/>
        <v>خدمة عامة</v>
      </c>
    </row>
    <row r="1470" spans="1:94" s="226" customFormat="1" x14ac:dyDescent="0.25">
      <c r="A1470" s="236"/>
      <c r="D1470" s="230">
        <v>22031</v>
      </c>
      <c r="E1470" s="224">
        <v>13606</v>
      </c>
      <c r="F1470" s="254" t="s">
        <v>249</v>
      </c>
      <c r="G1470" s="226" t="s">
        <v>5630</v>
      </c>
      <c r="I1470" s="226">
        <v>35471.26</v>
      </c>
      <c r="AV1470" s="22">
        <f t="shared" si="154"/>
        <v>35471.26</v>
      </c>
      <c r="AW1470" s="226">
        <v>24167.25</v>
      </c>
      <c r="AX1470" s="226">
        <v>3368.25</v>
      </c>
      <c r="AY1470" s="226">
        <v>6356.26</v>
      </c>
      <c r="AZ1470" s="226">
        <v>1579.5</v>
      </c>
      <c r="CK1470" s="22">
        <f t="shared" si="155"/>
        <v>35471.26</v>
      </c>
      <c r="CL1470" s="3">
        <f t="shared" si="156"/>
        <v>0</v>
      </c>
      <c r="CM1470" s="222">
        <f t="shared" si="157"/>
        <v>13606</v>
      </c>
      <c r="CN1470" s="3" t="str">
        <f t="shared" si="158"/>
        <v>خدمة عامة</v>
      </c>
      <c r="CO1470" s="226">
        <v>3159</v>
      </c>
      <c r="CP1470" s="226">
        <v>209.25</v>
      </c>
    </row>
    <row r="1471" spans="1:94" s="226" customFormat="1" x14ac:dyDescent="0.25">
      <c r="A1471" s="236"/>
      <c r="D1471" s="230">
        <v>22032</v>
      </c>
      <c r="E1471" s="224">
        <v>13607</v>
      </c>
      <c r="F1471" s="254" t="s">
        <v>249</v>
      </c>
      <c r="G1471" s="226" t="s">
        <v>5630</v>
      </c>
      <c r="I1471" s="226">
        <v>86430.11</v>
      </c>
      <c r="AV1471" s="22">
        <f t="shared" si="154"/>
        <v>86430.11</v>
      </c>
      <c r="AW1471" s="226">
        <v>64973.22</v>
      </c>
      <c r="AX1471" s="226">
        <v>8664.9500000000007</v>
      </c>
      <c r="AY1471" s="226">
        <v>8737.19</v>
      </c>
      <c r="AZ1471" s="226">
        <v>4054.75</v>
      </c>
      <c r="CK1471" s="22">
        <f t="shared" si="155"/>
        <v>86430.11</v>
      </c>
      <c r="CL1471" s="3">
        <f t="shared" si="156"/>
        <v>0</v>
      </c>
      <c r="CM1471" s="222">
        <f t="shared" si="157"/>
        <v>13607</v>
      </c>
      <c r="CN1471" s="3" t="str">
        <f t="shared" si="158"/>
        <v>خدمة عامة</v>
      </c>
      <c r="CO1471" s="226">
        <v>8109.5</v>
      </c>
      <c r="CP1471" s="226">
        <v>555.45000000000005</v>
      </c>
    </row>
    <row r="1472" spans="1:94" s="226" customFormat="1" x14ac:dyDescent="0.25">
      <c r="A1472" s="236"/>
      <c r="D1472" s="230">
        <v>22074</v>
      </c>
      <c r="E1472" s="224">
        <v>13608</v>
      </c>
      <c r="F1472" s="254" t="s">
        <v>249</v>
      </c>
      <c r="G1472" s="226" t="s">
        <v>5610</v>
      </c>
      <c r="I1472" s="226">
        <v>19809.919999999998</v>
      </c>
      <c r="AV1472" s="22">
        <f t="shared" si="154"/>
        <v>19809.919999999998</v>
      </c>
      <c r="AW1472" s="226">
        <v>13001.27</v>
      </c>
      <c r="AX1472" s="226">
        <v>1833.2</v>
      </c>
      <c r="AY1472" s="226">
        <v>4110.45</v>
      </c>
      <c r="AZ1472" s="226">
        <v>865</v>
      </c>
      <c r="CK1472" s="22">
        <f t="shared" si="155"/>
        <v>19809.920000000002</v>
      </c>
      <c r="CL1472" s="3">
        <f t="shared" si="156"/>
        <v>0</v>
      </c>
      <c r="CM1472" s="222">
        <f t="shared" si="157"/>
        <v>13608</v>
      </c>
      <c r="CN1472" s="3" t="str">
        <f t="shared" si="158"/>
        <v>خدمة عامة</v>
      </c>
      <c r="CO1472" s="226">
        <v>1730</v>
      </c>
      <c r="CP1472" s="226">
        <v>103.2</v>
      </c>
    </row>
    <row r="1473" spans="1:96" s="226" customFormat="1" x14ac:dyDescent="0.25">
      <c r="A1473" s="236"/>
      <c r="D1473" s="230">
        <v>22075</v>
      </c>
      <c r="E1473" s="224">
        <v>13609</v>
      </c>
      <c r="F1473" s="254" t="s">
        <v>249</v>
      </c>
      <c r="G1473" s="226" t="s">
        <v>5610</v>
      </c>
      <c r="I1473" s="226">
        <v>59097.23</v>
      </c>
      <c r="AV1473" s="22">
        <f t="shared" si="154"/>
        <v>59097.23</v>
      </c>
      <c r="AW1473" s="226">
        <v>42901.120000000003</v>
      </c>
      <c r="AX1473" s="226">
        <v>5783.55</v>
      </c>
      <c r="AY1473" s="226">
        <v>7692.56</v>
      </c>
      <c r="AZ1473" s="226">
        <v>2720</v>
      </c>
      <c r="CK1473" s="22">
        <f t="shared" si="155"/>
        <v>59097.23</v>
      </c>
      <c r="CL1473" s="3">
        <f t="shared" si="156"/>
        <v>0</v>
      </c>
      <c r="CM1473" s="222">
        <f t="shared" si="157"/>
        <v>13609</v>
      </c>
      <c r="CN1473" s="3" t="str">
        <f t="shared" si="158"/>
        <v>خدمة عامة</v>
      </c>
      <c r="CO1473" s="226">
        <v>5440</v>
      </c>
      <c r="CP1473" s="226">
        <v>343.55</v>
      </c>
    </row>
    <row r="1474" spans="1:96" s="226" customFormat="1" x14ac:dyDescent="0.25">
      <c r="A1474" s="236"/>
      <c r="D1474" s="230">
        <v>22061</v>
      </c>
      <c r="E1474" s="224">
        <v>13610</v>
      </c>
      <c r="F1474" s="254" t="s">
        <v>249</v>
      </c>
      <c r="G1474" s="226" t="s">
        <v>5631</v>
      </c>
      <c r="I1474" s="226">
        <v>120103.93</v>
      </c>
      <c r="AV1474" s="22">
        <f t="shared" si="154"/>
        <v>120103.93</v>
      </c>
      <c r="AW1474" s="226">
        <v>100741.06</v>
      </c>
      <c r="AX1474" s="226">
        <v>12557.6</v>
      </c>
      <c r="AY1474" s="226">
        <v>825.27</v>
      </c>
      <c r="AZ1474" s="226">
        <v>5980</v>
      </c>
      <c r="CK1474" s="22">
        <f t="shared" si="155"/>
        <v>120103.93000000001</v>
      </c>
      <c r="CL1474" s="3">
        <f t="shared" si="156"/>
        <v>0</v>
      </c>
      <c r="CM1474" s="222">
        <f t="shared" si="157"/>
        <v>13610</v>
      </c>
      <c r="CN1474" s="3" t="str">
        <f t="shared" si="158"/>
        <v>خدمة عامة</v>
      </c>
      <c r="CO1474" s="226">
        <v>11960</v>
      </c>
      <c r="CP1474" s="226">
        <v>597.6</v>
      </c>
    </row>
    <row r="1475" spans="1:96" s="226" customFormat="1" x14ac:dyDescent="0.25">
      <c r="A1475" s="236"/>
      <c r="D1475" s="230">
        <v>22063</v>
      </c>
      <c r="E1475" s="224">
        <v>13611</v>
      </c>
      <c r="F1475" s="254" t="s">
        <v>249</v>
      </c>
      <c r="G1475" s="226" t="s">
        <v>5631</v>
      </c>
      <c r="I1475" s="226">
        <v>9172.5</v>
      </c>
      <c r="AV1475" s="22">
        <f t="shared" si="154"/>
        <v>9172.5</v>
      </c>
      <c r="AW1475" s="226">
        <v>7472.55</v>
      </c>
      <c r="AX1475" s="226">
        <v>967.45</v>
      </c>
      <c r="AY1475" s="226">
        <v>282.5</v>
      </c>
      <c r="AZ1475" s="226">
        <v>450</v>
      </c>
      <c r="CK1475" s="22">
        <f t="shared" si="155"/>
        <v>9172.5</v>
      </c>
      <c r="CL1475" s="3">
        <f t="shared" si="156"/>
        <v>0</v>
      </c>
      <c r="CM1475" s="222">
        <f t="shared" si="157"/>
        <v>13611</v>
      </c>
      <c r="CN1475" s="3" t="str">
        <f t="shared" si="158"/>
        <v>خدمة عامة</v>
      </c>
      <c r="CO1475" s="226">
        <v>900</v>
      </c>
      <c r="CP1475" s="226">
        <v>67.45</v>
      </c>
    </row>
    <row r="1476" spans="1:96" s="226" customFormat="1" x14ac:dyDescent="0.25">
      <c r="A1476" s="236"/>
      <c r="D1476" s="230">
        <v>22062</v>
      </c>
      <c r="E1476" s="224">
        <v>13612</v>
      </c>
      <c r="F1476" s="254" t="s">
        <v>249</v>
      </c>
      <c r="G1476" s="226" t="s">
        <v>5631</v>
      </c>
      <c r="I1476" s="226">
        <v>586.25</v>
      </c>
      <c r="AV1476" s="22">
        <f t="shared" si="154"/>
        <v>586.25</v>
      </c>
      <c r="AW1476" s="226">
        <v>367.4</v>
      </c>
      <c r="AX1476" s="226">
        <v>52.6</v>
      </c>
      <c r="AY1476" s="226">
        <v>141.25</v>
      </c>
      <c r="AZ1476" s="226">
        <v>25</v>
      </c>
      <c r="CK1476" s="22">
        <f t="shared" si="155"/>
        <v>586.25</v>
      </c>
      <c r="CL1476" s="3">
        <f t="shared" si="156"/>
        <v>0</v>
      </c>
      <c r="CM1476" s="222">
        <f t="shared" si="157"/>
        <v>13612</v>
      </c>
      <c r="CN1476" s="3" t="str">
        <f t="shared" si="158"/>
        <v>خدمة عامة</v>
      </c>
      <c r="CO1476" s="226">
        <v>50</v>
      </c>
      <c r="CP1476" s="226">
        <v>2.6</v>
      </c>
    </row>
    <row r="1477" spans="1:96" s="226" customFormat="1" x14ac:dyDescent="0.25">
      <c r="A1477" s="236"/>
      <c r="D1477" s="230">
        <v>22060</v>
      </c>
      <c r="E1477" s="224">
        <v>13613</v>
      </c>
      <c r="F1477" s="254" t="s">
        <v>249</v>
      </c>
      <c r="G1477" s="226" t="s">
        <v>5631</v>
      </c>
      <c r="I1477" s="226">
        <v>14070</v>
      </c>
      <c r="AV1477" s="22">
        <f t="shared" si="154"/>
        <v>14070</v>
      </c>
      <c r="AW1477" s="226">
        <v>9397.0499999999993</v>
      </c>
      <c r="AX1477" s="226">
        <f>82.95+1200</f>
        <v>1282.95</v>
      </c>
      <c r="AY1477" s="226">
        <v>3390</v>
      </c>
      <c r="CK1477" s="22">
        <f t="shared" si="155"/>
        <v>14070</v>
      </c>
      <c r="CL1477" s="3">
        <f t="shared" si="156"/>
        <v>0</v>
      </c>
      <c r="CM1477" s="222">
        <f t="shared" si="157"/>
        <v>13613</v>
      </c>
      <c r="CN1477" s="3" t="str">
        <f t="shared" si="158"/>
        <v>خدمة عامة</v>
      </c>
      <c r="CO1477" s="226">
        <v>1200</v>
      </c>
      <c r="CP1477" s="226">
        <v>82.95</v>
      </c>
    </row>
    <row r="1478" spans="1:96" s="226" customFormat="1" x14ac:dyDescent="0.25">
      <c r="A1478" s="236"/>
      <c r="D1478" s="230">
        <v>22058</v>
      </c>
      <c r="E1478" s="224">
        <v>13614</v>
      </c>
      <c r="F1478" s="254" t="s">
        <v>249</v>
      </c>
      <c r="G1478" s="226" t="s">
        <v>5632</v>
      </c>
      <c r="I1478" s="226">
        <v>152999.41</v>
      </c>
      <c r="AV1478" s="22">
        <f t="shared" si="154"/>
        <v>152999.41</v>
      </c>
      <c r="AW1478" s="226">
        <v>128492.39</v>
      </c>
      <c r="AX1478" s="226">
        <v>16064.15</v>
      </c>
      <c r="AY1478" s="226">
        <v>817.87</v>
      </c>
      <c r="AZ1478" s="226">
        <v>7625</v>
      </c>
      <c r="CK1478" s="22">
        <f t="shared" si="155"/>
        <v>152999.41</v>
      </c>
      <c r="CL1478" s="3">
        <f t="shared" si="156"/>
        <v>0</v>
      </c>
      <c r="CM1478" s="222">
        <f t="shared" si="157"/>
        <v>13614</v>
      </c>
      <c r="CN1478" s="3" t="str">
        <f t="shared" si="158"/>
        <v>خدمة عامة</v>
      </c>
      <c r="CO1478" s="226">
        <v>15250</v>
      </c>
      <c r="CP1478" s="226">
        <v>814.15</v>
      </c>
    </row>
    <row r="1479" spans="1:96" s="226" customFormat="1" x14ac:dyDescent="0.25">
      <c r="A1479" s="236"/>
      <c r="D1479" s="230">
        <v>22059</v>
      </c>
      <c r="E1479" s="224">
        <v>13615</v>
      </c>
      <c r="F1479" s="254" t="s">
        <v>249</v>
      </c>
      <c r="G1479" s="226" t="s">
        <v>5632</v>
      </c>
      <c r="I1479" s="226">
        <v>8172.5</v>
      </c>
      <c r="AV1479" s="22">
        <f t="shared" si="154"/>
        <v>8172.5</v>
      </c>
      <c r="AW1479" s="226">
        <v>7029.85</v>
      </c>
      <c r="AX1479" s="226">
        <v>860.15</v>
      </c>
      <c r="AY1479" s="226">
        <v>282.5</v>
      </c>
      <c r="CK1479" s="22">
        <f t="shared" si="155"/>
        <v>8172.5</v>
      </c>
      <c r="CL1479" s="3">
        <f t="shared" si="156"/>
        <v>0</v>
      </c>
      <c r="CM1479" s="222">
        <f t="shared" si="157"/>
        <v>13615</v>
      </c>
      <c r="CN1479" s="3" t="str">
        <f t="shared" si="158"/>
        <v>خدمة عامة</v>
      </c>
      <c r="CO1479" s="226">
        <v>800</v>
      </c>
      <c r="CP1479" s="226">
        <v>60.15</v>
      </c>
    </row>
    <row r="1480" spans="1:96" s="226" customFormat="1" x14ac:dyDescent="0.25">
      <c r="A1480" s="236"/>
      <c r="C1480" s="226" t="s">
        <v>367</v>
      </c>
      <c r="D1480" s="230">
        <v>22292</v>
      </c>
      <c r="E1480" s="230">
        <v>13616</v>
      </c>
      <c r="F1480" s="254" t="s">
        <v>119</v>
      </c>
      <c r="G1480" s="226" t="str">
        <f>+G1481</f>
        <v>مكافاه تدريس من الداخل ربيع</v>
      </c>
      <c r="I1480" s="226">
        <v>11959.5</v>
      </c>
      <c r="AV1480" s="22">
        <f t="shared" si="154"/>
        <v>11959.5</v>
      </c>
      <c r="AW1480" s="226">
        <v>8284.18</v>
      </c>
      <c r="AX1480" s="226">
        <f>71.4+212.42</f>
        <v>283.82</v>
      </c>
      <c r="AY1480" s="226">
        <v>2881.5</v>
      </c>
      <c r="AZ1480" s="226">
        <v>510</v>
      </c>
      <c r="CK1480" s="22">
        <f t="shared" si="155"/>
        <v>11959.5</v>
      </c>
      <c r="CL1480" s="3">
        <f t="shared" si="156"/>
        <v>0</v>
      </c>
      <c r="CM1480" s="222">
        <f t="shared" si="157"/>
        <v>13616</v>
      </c>
      <c r="CN1480" s="3" t="str">
        <f t="shared" si="158"/>
        <v>خ ت صيدلة</v>
      </c>
    </row>
    <row r="1481" spans="1:96" s="226" customFormat="1" x14ac:dyDescent="0.25">
      <c r="A1481" s="236"/>
      <c r="C1481" s="226" t="s">
        <v>367</v>
      </c>
      <c r="D1481" s="230">
        <v>22306</v>
      </c>
      <c r="E1481" s="230">
        <v>13617</v>
      </c>
      <c r="F1481" s="254" t="s">
        <v>119</v>
      </c>
      <c r="G1481" s="226" t="s">
        <v>5633</v>
      </c>
      <c r="I1481" s="226">
        <v>8828.3700000000008</v>
      </c>
      <c r="AV1481" s="22">
        <f t="shared" si="154"/>
        <v>8828.3700000000008</v>
      </c>
      <c r="AW1481" s="226">
        <v>6913.94</v>
      </c>
      <c r="AX1481" s="226">
        <f>44.1+177.26</f>
        <v>221.35999999999999</v>
      </c>
      <c r="AY1481" s="226">
        <v>1291.07</v>
      </c>
      <c r="AZ1481" s="226">
        <v>402</v>
      </c>
      <c r="CK1481" s="22">
        <f t="shared" si="155"/>
        <v>8828.369999999999</v>
      </c>
      <c r="CL1481" s="3">
        <f t="shared" si="156"/>
        <v>0</v>
      </c>
      <c r="CM1481" s="222">
        <f t="shared" si="157"/>
        <v>13617</v>
      </c>
      <c r="CN1481" s="3" t="str">
        <f t="shared" si="158"/>
        <v>خ ت صيدلة</v>
      </c>
    </row>
    <row r="1482" spans="1:96" s="226" customFormat="1" x14ac:dyDescent="0.25">
      <c r="A1482" s="236"/>
      <c r="C1482" s="226" t="s">
        <v>367</v>
      </c>
      <c r="D1482" s="230">
        <v>22305</v>
      </c>
      <c r="E1482" s="230">
        <v>13618</v>
      </c>
      <c r="F1482" s="254" t="s">
        <v>119</v>
      </c>
      <c r="G1482" s="226" t="s">
        <v>5633</v>
      </c>
      <c r="I1482" s="226">
        <v>351.75</v>
      </c>
      <c r="AV1482" s="22">
        <f t="shared" si="154"/>
        <v>351.75</v>
      </c>
      <c r="AW1482" s="226">
        <v>244.29</v>
      </c>
      <c r="AX1482" s="226">
        <f>1.45+6.26</f>
        <v>7.71</v>
      </c>
      <c r="AY1482" s="226">
        <v>84.75</v>
      </c>
      <c r="AZ1482" s="226">
        <v>15</v>
      </c>
      <c r="CK1482" s="22">
        <f t="shared" si="155"/>
        <v>351.75</v>
      </c>
      <c r="CL1482" s="3">
        <f t="shared" si="156"/>
        <v>0</v>
      </c>
      <c r="CM1482" s="222">
        <f t="shared" si="157"/>
        <v>13618</v>
      </c>
      <c r="CN1482" s="3" t="str">
        <f t="shared" si="158"/>
        <v>خ ت صيدلة</v>
      </c>
    </row>
    <row r="1483" spans="1:96" s="226" customFormat="1" x14ac:dyDescent="0.25">
      <c r="A1483" s="236"/>
      <c r="C1483" s="226" t="s">
        <v>367</v>
      </c>
      <c r="D1483" s="230">
        <v>22289</v>
      </c>
      <c r="E1483" s="230">
        <v>13619</v>
      </c>
      <c r="F1483" s="254" t="s">
        <v>119</v>
      </c>
      <c r="G1483" s="226" t="s">
        <v>5633</v>
      </c>
      <c r="I1483" s="226">
        <v>844.2</v>
      </c>
      <c r="AV1483" s="22">
        <f t="shared" si="154"/>
        <v>844.2</v>
      </c>
      <c r="AW1483" s="226">
        <v>585.63</v>
      </c>
      <c r="AX1483" s="226">
        <f>4.15+15.02</f>
        <v>19.170000000000002</v>
      </c>
      <c r="AY1483" s="226">
        <v>203.4</v>
      </c>
      <c r="AZ1483" s="226">
        <v>36</v>
      </c>
      <c r="CK1483" s="22">
        <f t="shared" si="155"/>
        <v>844.19999999999993</v>
      </c>
      <c r="CL1483" s="3">
        <f t="shared" si="156"/>
        <v>0</v>
      </c>
      <c r="CM1483" s="222">
        <f t="shared" si="157"/>
        <v>13619</v>
      </c>
      <c r="CN1483" s="3" t="str">
        <f t="shared" si="158"/>
        <v>خ ت صيدلة</v>
      </c>
    </row>
    <row r="1484" spans="1:96" s="226" customFormat="1" x14ac:dyDescent="0.25">
      <c r="A1484" s="236"/>
      <c r="C1484" s="226" t="s">
        <v>367</v>
      </c>
      <c r="D1484" s="230">
        <v>22296</v>
      </c>
      <c r="E1484" s="230">
        <v>13620</v>
      </c>
      <c r="F1484" s="254" t="s">
        <v>119</v>
      </c>
      <c r="G1484" s="226" t="str">
        <f>+G1482</f>
        <v>مكافاه تدريس من الداخل ربيع</v>
      </c>
      <c r="I1484" s="226">
        <v>69412</v>
      </c>
      <c r="AV1484" s="22">
        <f t="shared" si="154"/>
        <v>69412</v>
      </c>
      <c r="AW1484" s="226">
        <v>48097.49</v>
      </c>
      <c r="AX1484" s="226">
        <f>397.2+1233.31</f>
        <v>1630.51</v>
      </c>
      <c r="AY1484" s="226">
        <v>16724</v>
      </c>
      <c r="AZ1484" s="226">
        <v>2960</v>
      </c>
      <c r="CK1484" s="22">
        <f t="shared" si="155"/>
        <v>69412</v>
      </c>
      <c r="CL1484" s="3">
        <f t="shared" si="156"/>
        <v>0</v>
      </c>
      <c r="CM1484" s="222">
        <f t="shared" si="157"/>
        <v>13620</v>
      </c>
      <c r="CN1484" s="3" t="str">
        <f t="shared" si="158"/>
        <v>خ ت صيدلة</v>
      </c>
    </row>
    <row r="1485" spans="1:96" s="226" customFormat="1" x14ac:dyDescent="0.25">
      <c r="A1485" s="236"/>
      <c r="C1485" s="226" t="s">
        <v>367</v>
      </c>
      <c r="D1485" s="230">
        <v>22300</v>
      </c>
      <c r="E1485" s="230">
        <v>13621</v>
      </c>
      <c r="F1485" s="254" t="s">
        <v>119</v>
      </c>
      <c r="G1485" s="226" t="str">
        <f>+G1482</f>
        <v>مكافاه تدريس من الداخل ربيع</v>
      </c>
      <c r="I1485" s="226">
        <v>24739.86</v>
      </c>
      <c r="AV1485" s="22">
        <f t="shared" si="154"/>
        <v>24739.86</v>
      </c>
      <c r="AW1485" s="226">
        <v>17162.75</v>
      </c>
      <c r="AX1485" s="226">
        <f>121.2+440.05</f>
        <v>561.25</v>
      </c>
      <c r="AY1485" s="226">
        <v>5960.86</v>
      </c>
      <c r="AZ1485" s="226">
        <v>1055</v>
      </c>
      <c r="CK1485" s="22">
        <f t="shared" si="155"/>
        <v>24739.86</v>
      </c>
      <c r="CL1485" s="3">
        <f t="shared" si="156"/>
        <v>0</v>
      </c>
      <c r="CM1485" s="222">
        <f t="shared" si="157"/>
        <v>13621</v>
      </c>
      <c r="CN1485" s="3" t="str">
        <f t="shared" si="158"/>
        <v>خ ت صيدلة</v>
      </c>
    </row>
    <row r="1486" spans="1:96" s="228" customFormat="1" x14ac:dyDescent="0.25">
      <c r="A1486" s="235"/>
      <c r="D1486" s="227"/>
      <c r="E1486" s="227"/>
      <c r="F1486" s="253"/>
      <c r="G1486" s="228" t="s">
        <v>5531</v>
      </c>
      <c r="I1486" s="228">
        <f>SUM(I1203:I1485)</f>
        <v>2871878.2100000009</v>
      </c>
      <c r="J1486" s="228">
        <f t="shared" ref="J1486:BZ1486" si="159">SUM(J1203:J1485)</f>
        <v>1014412</v>
      </c>
      <c r="K1486" s="228">
        <f t="shared" si="159"/>
        <v>0</v>
      </c>
      <c r="L1486" s="228">
        <f t="shared" si="159"/>
        <v>0</v>
      </c>
      <c r="M1486" s="228">
        <f t="shared" si="159"/>
        <v>0</v>
      </c>
      <c r="N1486" s="228">
        <f t="shared" si="159"/>
        <v>0</v>
      </c>
      <c r="O1486" s="228">
        <f t="shared" si="159"/>
        <v>0</v>
      </c>
      <c r="P1486" s="228">
        <f t="shared" si="159"/>
        <v>0</v>
      </c>
      <c r="Q1486" s="228">
        <f t="shared" si="159"/>
        <v>0</v>
      </c>
      <c r="R1486" s="228">
        <f t="shared" si="159"/>
        <v>0</v>
      </c>
      <c r="S1486" s="228">
        <f t="shared" si="159"/>
        <v>0</v>
      </c>
      <c r="T1486" s="228">
        <f t="shared" si="159"/>
        <v>0</v>
      </c>
      <c r="U1486" s="228">
        <f t="shared" si="159"/>
        <v>0</v>
      </c>
      <c r="V1486" s="228">
        <f t="shared" si="159"/>
        <v>0</v>
      </c>
      <c r="W1486" s="228">
        <f t="shared" si="159"/>
        <v>0</v>
      </c>
      <c r="X1486" s="228">
        <f t="shared" si="159"/>
        <v>0</v>
      </c>
      <c r="Y1486" s="228">
        <f t="shared" si="159"/>
        <v>0</v>
      </c>
      <c r="Z1486" s="228">
        <f t="shared" si="159"/>
        <v>0</v>
      </c>
      <c r="AB1486" s="228">
        <f t="shared" si="159"/>
        <v>719513.1</v>
      </c>
      <c r="AC1486" s="228">
        <f t="shared" si="159"/>
        <v>0</v>
      </c>
      <c r="AD1486" s="228">
        <f t="shared" si="159"/>
        <v>1014412</v>
      </c>
      <c r="AE1486" s="228">
        <f t="shared" si="159"/>
        <v>0</v>
      </c>
      <c r="AF1486" s="228">
        <f t="shared" si="159"/>
        <v>0</v>
      </c>
      <c r="AH1486" s="228">
        <f t="shared" si="159"/>
        <v>0</v>
      </c>
      <c r="AI1486" s="228">
        <f t="shared" si="159"/>
        <v>0</v>
      </c>
      <c r="AJ1486" s="228">
        <f t="shared" si="159"/>
        <v>0</v>
      </c>
      <c r="AK1486" s="228">
        <f t="shared" si="159"/>
        <v>0</v>
      </c>
      <c r="AL1486" s="228">
        <f t="shared" si="159"/>
        <v>0</v>
      </c>
      <c r="AM1486" s="228">
        <f t="shared" si="159"/>
        <v>0</v>
      </c>
      <c r="AN1486" s="228">
        <f t="shared" si="159"/>
        <v>0</v>
      </c>
      <c r="AO1486" s="228">
        <f t="shared" si="159"/>
        <v>0</v>
      </c>
      <c r="AP1486" s="228">
        <f t="shared" si="159"/>
        <v>0</v>
      </c>
      <c r="AQ1486" s="228">
        <f t="shared" si="159"/>
        <v>0</v>
      </c>
      <c r="AR1486" s="228">
        <f t="shared" si="159"/>
        <v>0</v>
      </c>
      <c r="AS1486" s="228">
        <f t="shared" si="159"/>
        <v>0</v>
      </c>
      <c r="AT1486" s="228">
        <f t="shared" si="159"/>
        <v>0</v>
      </c>
      <c r="AU1486" s="228">
        <f t="shared" si="159"/>
        <v>0</v>
      </c>
      <c r="AV1486" s="22">
        <f t="shared" si="154"/>
        <v>5620215.3100000005</v>
      </c>
      <c r="AW1486" s="228">
        <f t="shared" si="159"/>
        <v>4010790.6200000015</v>
      </c>
      <c r="AX1486" s="228">
        <f t="shared" si="159"/>
        <v>345423.51000000013</v>
      </c>
      <c r="AY1486" s="228">
        <f t="shared" si="159"/>
        <v>167405.52999999997</v>
      </c>
      <c r="AZ1486" s="228">
        <f t="shared" si="159"/>
        <v>81553.649999999994</v>
      </c>
      <c r="BA1486" s="228">
        <f t="shared" si="159"/>
        <v>480</v>
      </c>
      <c r="BC1486" s="228">
        <f t="shared" si="159"/>
        <v>0</v>
      </c>
      <c r="BD1486" s="228">
        <f t="shared" si="159"/>
        <v>0</v>
      </c>
      <c r="BE1486" s="228">
        <f t="shared" si="159"/>
        <v>0</v>
      </c>
      <c r="BF1486" s="228">
        <f t="shared" si="159"/>
        <v>0</v>
      </c>
      <c r="BH1486" s="228">
        <f t="shared" si="159"/>
        <v>0</v>
      </c>
      <c r="BI1486" s="228">
        <f t="shared" si="159"/>
        <v>0</v>
      </c>
      <c r="BJ1486" s="228">
        <f t="shared" si="159"/>
        <v>0</v>
      </c>
      <c r="BL1486" s="228">
        <f t="shared" si="159"/>
        <v>0</v>
      </c>
      <c r="BM1486" s="228">
        <f t="shared" si="159"/>
        <v>0</v>
      </c>
      <c r="BN1486" s="228">
        <f t="shared" si="159"/>
        <v>0</v>
      </c>
      <c r="BO1486" s="228">
        <f t="shared" si="159"/>
        <v>0</v>
      </c>
      <c r="BP1486" s="228">
        <f t="shared" si="159"/>
        <v>0</v>
      </c>
      <c r="BQ1486" s="228">
        <f t="shared" si="159"/>
        <v>0</v>
      </c>
      <c r="BR1486" s="228">
        <f t="shared" si="159"/>
        <v>0</v>
      </c>
      <c r="BS1486" s="228">
        <f t="shared" si="159"/>
        <v>0</v>
      </c>
      <c r="BT1486" s="228">
        <f t="shared" si="159"/>
        <v>0</v>
      </c>
      <c r="BU1486" s="228">
        <f t="shared" si="159"/>
        <v>0</v>
      </c>
      <c r="BV1486" s="228">
        <f t="shared" si="159"/>
        <v>0</v>
      </c>
      <c r="BW1486" s="228">
        <f t="shared" si="159"/>
        <v>0</v>
      </c>
      <c r="BX1486" s="228">
        <f t="shared" si="159"/>
        <v>1014412</v>
      </c>
      <c r="BY1486" s="228">
        <f t="shared" si="159"/>
        <v>0</v>
      </c>
      <c r="BZ1486" s="228">
        <f t="shared" si="159"/>
        <v>0</v>
      </c>
      <c r="CA1486" s="228">
        <f t="shared" ref="CA1486:CP1486" si="160">SUM(CA1203:CA1485)</f>
        <v>0</v>
      </c>
      <c r="CB1486" s="228">
        <f t="shared" si="160"/>
        <v>0</v>
      </c>
      <c r="CC1486" s="228">
        <f t="shared" si="160"/>
        <v>0</v>
      </c>
      <c r="CD1486" s="228">
        <f t="shared" si="160"/>
        <v>0</v>
      </c>
      <c r="CE1486" s="228">
        <f t="shared" si="160"/>
        <v>0</v>
      </c>
      <c r="CF1486" s="228">
        <f t="shared" si="160"/>
        <v>0</v>
      </c>
      <c r="CG1486" s="228">
        <f t="shared" si="160"/>
        <v>0</v>
      </c>
      <c r="CH1486" s="228">
        <f t="shared" si="160"/>
        <v>0</v>
      </c>
      <c r="CJ1486" s="228">
        <f t="shared" si="160"/>
        <v>150</v>
      </c>
      <c r="CK1486" s="22">
        <f t="shared" si="155"/>
        <v>5620215.3100000024</v>
      </c>
      <c r="CL1486" s="3">
        <f t="shared" si="156"/>
        <v>0</v>
      </c>
      <c r="CM1486" s="222"/>
      <c r="CN1486" s="3"/>
      <c r="CO1486" s="228">
        <f t="shared" si="160"/>
        <v>49682.64</v>
      </c>
      <c r="CP1486" s="228">
        <f t="shared" si="160"/>
        <v>3005.1950000000002</v>
      </c>
    </row>
    <row r="1487" spans="1:96" s="226" customFormat="1" x14ac:dyDescent="0.25">
      <c r="A1487" s="236">
        <v>45541</v>
      </c>
      <c r="D1487" s="230">
        <v>21963</v>
      </c>
      <c r="E1487" s="230">
        <v>13622</v>
      </c>
      <c r="F1487" s="254" t="s">
        <v>78</v>
      </c>
      <c r="G1487" s="226" t="s">
        <v>5634</v>
      </c>
      <c r="U1487" s="226">
        <v>177.42</v>
      </c>
      <c r="AV1487" s="22">
        <f t="shared" si="154"/>
        <v>177.42</v>
      </c>
      <c r="AW1487" s="226">
        <v>177.42</v>
      </c>
      <c r="CK1487" s="22">
        <f t="shared" si="155"/>
        <v>177.42</v>
      </c>
      <c r="CL1487" s="3">
        <f t="shared" si="156"/>
        <v>0</v>
      </c>
      <c r="CM1487" s="222">
        <f>+E1487</f>
        <v>13622</v>
      </c>
      <c r="CN1487" s="3" t="str">
        <f>+F1487</f>
        <v>برنامج دولى</v>
      </c>
    </row>
    <row r="1488" spans="1:96" s="228" customFormat="1" x14ac:dyDescent="0.25">
      <c r="A1488" s="235"/>
      <c r="D1488" s="227"/>
      <c r="E1488" s="227"/>
      <c r="F1488" s="253"/>
      <c r="G1488" s="228" t="s">
        <v>5638</v>
      </c>
      <c r="U1488" s="228">
        <f>SUM(U1487)</f>
        <v>177.42</v>
      </c>
      <c r="V1488" s="228">
        <f t="shared" ref="V1488:CL1488" si="161">SUM(V1487)</f>
        <v>0</v>
      </c>
      <c r="W1488" s="228">
        <f t="shared" si="161"/>
        <v>0</v>
      </c>
      <c r="X1488" s="228">
        <f t="shared" si="161"/>
        <v>0</v>
      </c>
      <c r="Y1488" s="228">
        <f t="shared" si="161"/>
        <v>0</v>
      </c>
      <c r="Z1488" s="228">
        <f t="shared" si="161"/>
        <v>0</v>
      </c>
      <c r="AB1488" s="228">
        <f t="shared" si="161"/>
        <v>0</v>
      </c>
      <c r="AC1488" s="228">
        <f t="shared" si="161"/>
        <v>0</v>
      </c>
      <c r="AD1488" s="228">
        <f t="shared" si="161"/>
        <v>0</v>
      </c>
      <c r="AE1488" s="228">
        <f t="shared" si="161"/>
        <v>0</v>
      </c>
      <c r="AF1488" s="228">
        <f t="shared" si="161"/>
        <v>0</v>
      </c>
      <c r="AH1488" s="228">
        <f t="shared" si="161"/>
        <v>0</v>
      </c>
      <c r="AI1488" s="228">
        <f t="shared" si="161"/>
        <v>0</v>
      </c>
      <c r="AJ1488" s="228">
        <f t="shared" si="161"/>
        <v>0</v>
      </c>
      <c r="AK1488" s="228">
        <f t="shared" si="161"/>
        <v>0</v>
      </c>
      <c r="AL1488" s="228">
        <f t="shared" si="161"/>
        <v>0</v>
      </c>
      <c r="AM1488" s="228">
        <f t="shared" si="161"/>
        <v>0</v>
      </c>
      <c r="AN1488" s="228">
        <f t="shared" si="161"/>
        <v>0</v>
      </c>
      <c r="AO1488" s="228">
        <f t="shared" si="161"/>
        <v>0</v>
      </c>
      <c r="AP1488" s="228">
        <f t="shared" si="161"/>
        <v>0</v>
      </c>
      <c r="AQ1488" s="228">
        <f t="shared" si="161"/>
        <v>0</v>
      </c>
      <c r="AR1488" s="228">
        <f t="shared" si="161"/>
        <v>0</v>
      </c>
      <c r="AS1488" s="228">
        <f t="shared" si="161"/>
        <v>0</v>
      </c>
      <c r="AT1488" s="228">
        <f t="shared" si="161"/>
        <v>0</v>
      </c>
      <c r="AU1488" s="228">
        <f t="shared" si="161"/>
        <v>0</v>
      </c>
      <c r="AV1488" s="228">
        <f t="shared" si="161"/>
        <v>177.42</v>
      </c>
      <c r="AW1488" s="228">
        <f t="shared" si="161"/>
        <v>177.42</v>
      </c>
      <c r="AX1488" s="228">
        <f t="shared" si="161"/>
        <v>0</v>
      </c>
      <c r="AY1488" s="228">
        <f t="shared" si="161"/>
        <v>0</v>
      </c>
      <c r="AZ1488" s="228">
        <f t="shared" si="161"/>
        <v>0</v>
      </c>
      <c r="BA1488" s="228">
        <f t="shared" si="161"/>
        <v>0</v>
      </c>
      <c r="BC1488" s="228">
        <f t="shared" si="161"/>
        <v>0</v>
      </c>
      <c r="BD1488" s="228">
        <f t="shared" si="161"/>
        <v>0</v>
      </c>
      <c r="BE1488" s="228">
        <f t="shared" si="161"/>
        <v>0</v>
      </c>
      <c r="BF1488" s="228">
        <f t="shared" si="161"/>
        <v>0</v>
      </c>
      <c r="BH1488" s="228">
        <f t="shared" si="161"/>
        <v>0</v>
      </c>
      <c r="BI1488" s="228">
        <f t="shared" si="161"/>
        <v>0</v>
      </c>
      <c r="BJ1488" s="228">
        <f t="shared" si="161"/>
        <v>0</v>
      </c>
      <c r="BL1488" s="228">
        <f t="shared" si="161"/>
        <v>0</v>
      </c>
      <c r="BM1488" s="228">
        <f t="shared" si="161"/>
        <v>0</v>
      </c>
      <c r="BN1488" s="228">
        <f t="shared" si="161"/>
        <v>0</v>
      </c>
      <c r="BO1488" s="228">
        <f t="shared" si="161"/>
        <v>0</v>
      </c>
      <c r="BP1488" s="228">
        <f t="shared" si="161"/>
        <v>0</v>
      </c>
      <c r="BQ1488" s="228">
        <f t="shared" si="161"/>
        <v>0</v>
      </c>
      <c r="BR1488" s="228">
        <f t="shared" si="161"/>
        <v>0</v>
      </c>
      <c r="BS1488" s="228">
        <f t="shared" si="161"/>
        <v>0</v>
      </c>
      <c r="BT1488" s="228">
        <f t="shared" si="161"/>
        <v>0</v>
      </c>
      <c r="BU1488" s="228">
        <f t="shared" si="161"/>
        <v>0</v>
      </c>
      <c r="BV1488" s="228">
        <f t="shared" si="161"/>
        <v>0</v>
      </c>
      <c r="BW1488" s="228">
        <f t="shared" si="161"/>
        <v>0</v>
      </c>
      <c r="BX1488" s="228">
        <f t="shared" si="161"/>
        <v>0</v>
      </c>
      <c r="BY1488" s="228">
        <f t="shared" si="161"/>
        <v>0</v>
      </c>
      <c r="BZ1488" s="228">
        <f t="shared" si="161"/>
        <v>0</v>
      </c>
      <c r="CA1488" s="228">
        <f t="shared" si="161"/>
        <v>0</v>
      </c>
      <c r="CB1488" s="228">
        <f t="shared" si="161"/>
        <v>0</v>
      </c>
      <c r="CC1488" s="228">
        <f t="shared" si="161"/>
        <v>0</v>
      </c>
      <c r="CD1488" s="228">
        <f t="shared" si="161"/>
        <v>0</v>
      </c>
      <c r="CE1488" s="228">
        <f t="shared" si="161"/>
        <v>0</v>
      </c>
      <c r="CF1488" s="228">
        <f t="shared" si="161"/>
        <v>0</v>
      </c>
      <c r="CG1488" s="228">
        <f t="shared" si="161"/>
        <v>0</v>
      </c>
      <c r="CH1488" s="228">
        <f t="shared" si="161"/>
        <v>0</v>
      </c>
      <c r="CJ1488" s="228">
        <f t="shared" si="161"/>
        <v>0</v>
      </c>
      <c r="CK1488" s="228">
        <f t="shared" si="161"/>
        <v>177.42</v>
      </c>
      <c r="CL1488" s="228">
        <f t="shared" si="161"/>
        <v>0</v>
      </c>
      <c r="CM1488" s="260"/>
      <c r="CN1488" s="228">
        <f t="shared" ref="CN1488:CR1488" si="162">SUM(CN1487)</f>
        <v>0</v>
      </c>
      <c r="CO1488" s="228">
        <f t="shared" si="162"/>
        <v>0</v>
      </c>
      <c r="CP1488" s="228">
        <f t="shared" si="162"/>
        <v>0</v>
      </c>
      <c r="CQ1488" s="228">
        <f t="shared" si="162"/>
        <v>0</v>
      </c>
      <c r="CR1488" s="228">
        <f t="shared" si="162"/>
        <v>0</v>
      </c>
    </row>
    <row r="1489" spans="1:94" s="226" customFormat="1" x14ac:dyDescent="0.25">
      <c r="A1489" s="236" t="s">
        <v>1179</v>
      </c>
      <c r="D1489" s="230">
        <v>22196</v>
      </c>
      <c r="E1489" s="230">
        <v>13623</v>
      </c>
      <c r="F1489" s="254" t="s">
        <v>78</v>
      </c>
      <c r="G1489" s="226" t="s">
        <v>5640</v>
      </c>
      <c r="I1489" s="226">
        <v>996.63</v>
      </c>
      <c r="AV1489" s="22">
        <f t="shared" si="154"/>
        <v>996.63</v>
      </c>
      <c r="AW1489" s="226">
        <v>665.9</v>
      </c>
      <c r="AX1489" s="226">
        <f>5.6+85</f>
        <v>90.6</v>
      </c>
      <c r="AY1489" s="226">
        <v>240.13</v>
      </c>
      <c r="CK1489" s="22">
        <f t="shared" ref="CK1489:CK1520" si="163">SUM(AW1489:CJ1489)</f>
        <v>996.63</v>
      </c>
      <c r="CL1489" s="3">
        <f t="shared" ref="CL1489:CL1520" si="164">+CK1489-AV1489</f>
        <v>0</v>
      </c>
      <c r="CM1489" s="222">
        <f t="shared" ref="CM1489:CM1520" si="165">+E1489</f>
        <v>13623</v>
      </c>
      <c r="CN1489" s="3" t="str">
        <f t="shared" ref="CN1489:CN1520" si="166">+F1489</f>
        <v>برنامج دولى</v>
      </c>
    </row>
    <row r="1490" spans="1:94" s="228" customFormat="1" x14ac:dyDescent="0.25">
      <c r="A1490" s="235"/>
      <c r="D1490" s="227"/>
      <c r="E1490" s="227"/>
      <c r="F1490" s="253"/>
      <c r="G1490" s="228" t="s">
        <v>5641</v>
      </c>
      <c r="I1490" s="228">
        <f>SUM(I1489)</f>
        <v>996.63</v>
      </c>
      <c r="J1490" s="228">
        <f t="shared" ref="J1490:BY1490" si="167">SUM(J1489)</f>
        <v>0</v>
      </c>
      <c r="K1490" s="228">
        <f t="shared" si="167"/>
        <v>0</v>
      </c>
      <c r="L1490" s="228">
        <f t="shared" si="167"/>
        <v>0</v>
      </c>
      <c r="M1490" s="228">
        <f t="shared" si="167"/>
        <v>0</v>
      </c>
      <c r="N1490" s="228">
        <f t="shared" si="167"/>
        <v>0</v>
      </c>
      <c r="O1490" s="228">
        <f t="shared" si="167"/>
        <v>0</v>
      </c>
      <c r="P1490" s="228">
        <f t="shared" si="167"/>
        <v>0</v>
      </c>
      <c r="Q1490" s="228">
        <f t="shared" si="167"/>
        <v>0</v>
      </c>
      <c r="R1490" s="228">
        <f t="shared" si="167"/>
        <v>0</v>
      </c>
      <c r="S1490" s="228">
        <f t="shared" si="167"/>
        <v>0</v>
      </c>
      <c r="T1490" s="228">
        <f t="shared" si="167"/>
        <v>0</v>
      </c>
      <c r="U1490" s="228">
        <f t="shared" si="167"/>
        <v>0</v>
      </c>
      <c r="V1490" s="228">
        <f t="shared" si="167"/>
        <v>0</v>
      </c>
      <c r="W1490" s="228">
        <f t="shared" si="167"/>
        <v>0</v>
      </c>
      <c r="X1490" s="228">
        <f t="shared" si="167"/>
        <v>0</v>
      </c>
      <c r="Y1490" s="228">
        <f t="shared" si="167"/>
        <v>0</v>
      </c>
      <c r="Z1490" s="228">
        <f t="shared" si="167"/>
        <v>0</v>
      </c>
      <c r="AB1490" s="228">
        <f t="shared" si="167"/>
        <v>0</v>
      </c>
      <c r="AC1490" s="228">
        <f t="shared" si="167"/>
        <v>0</v>
      </c>
      <c r="AD1490" s="228">
        <f t="shared" si="167"/>
        <v>0</v>
      </c>
      <c r="AE1490" s="228">
        <f t="shared" si="167"/>
        <v>0</v>
      </c>
      <c r="AF1490" s="228">
        <f t="shared" si="167"/>
        <v>0</v>
      </c>
      <c r="AH1490" s="228">
        <f t="shared" si="167"/>
        <v>0</v>
      </c>
      <c r="AI1490" s="228">
        <f t="shared" si="167"/>
        <v>0</v>
      </c>
      <c r="AJ1490" s="228">
        <f t="shared" si="167"/>
        <v>0</v>
      </c>
      <c r="AK1490" s="228">
        <f t="shared" si="167"/>
        <v>0</v>
      </c>
      <c r="AL1490" s="228">
        <f t="shared" si="167"/>
        <v>0</v>
      </c>
      <c r="AM1490" s="228">
        <f t="shared" si="167"/>
        <v>0</v>
      </c>
      <c r="AN1490" s="228">
        <f t="shared" si="167"/>
        <v>0</v>
      </c>
      <c r="AO1490" s="228">
        <f t="shared" si="167"/>
        <v>0</v>
      </c>
      <c r="AP1490" s="228">
        <f t="shared" si="167"/>
        <v>0</v>
      </c>
      <c r="AQ1490" s="228">
        <f t="shared" si="167"/>
        <v>0</v>
      </c>
      <c r="AR1490" s="228">
        <f t="shared" si="167"/>
        <v>0</v>
      </c>
      <c r="AS1490" s="228">
        <f t="shared" si="167"/>
        <v>0</v>
      </c>
      <c r="AT1490" s="228">
        <f t="shared" si="167"/>
        <v>0</v>
      </c>
      <c r="AU1490" s="228">
        <f t="shared" si="167"/>
        <v>0</v>
      </c>
      <c r="AV1490" s="22">
        <f t="shared" si="154"/>
        <v>996.63</v>
      </c>
      <c r="AW1490" s="228">
        <f t="shared" si="167"/>
        <v>665.9</v>
      </c>
      <c r="AX1490" s="228">
        <f t="shared" si="167"/>
        <v>90.6</v>
      </c>
      <c r="AY1490" s="228">
        <f t="shared" si="167"/>
        <v>240.13</v>
      </c>
      <c r="AZ1490" s="228">
        <f t="shared" si="167"/>
        <v>0</v>
      </c>
      <c r="BA1490" s="228">
        <f t="shared" si="167"/>
        <v>0</v>
      </c>
      <c r="BC1490" s="228">
        <f t="shared" si="167"/>
        <v>0</v>
      </c>
      <c r="BD1490" s="228">
        <f t="shared" si="167"/>
        <v>0</v>
      </c>
      <c r="BE1490" s="228">
        <f t="shared" si="167"/>
        <v>0</v>
      </c>
      <c r="BF1490" s="228">
        <f t="shared" si="167"/>
        <v>0</v>
      </c>
      <c r="BH1490" s="228">
        <f t="shared" si="167"/>
        <v>0</v>
      </c>
      <c r="BI1490" s="228">
        <f t="shared" si="167"/>
        <v>0</v>
      </c>
      <c r="BJ1490" s="228">
        <f t="shared" si="167"/>
        <v>0</v>
      </c>
      <c r="BK1490" s="228">
        <f t="shared" si="167"/>
        <v>0</v>
      </c>
      <c r="BL1490" s="228">
        <f t="shared" si="167"/>
        <v>0</v>
      </c>
      <c r="BM1490" s="228">
        <f t="shared" si="167"/>
        <v>0</v>
      </c>
      <c r="BN1490" s="228">
        <f t="shared" si="167"/>
        <v>0</v>
      </c>
      <c r="BO1490" s="228">
        <f t="shared" si="167"/>
        <v>0</v>
      </c>
      <c r="BP1490" s="228">
        <f t="shared" si="167"/>
        <v>0</v>
      </c>
      <c r="BQ1490" s="228">
        <f t="shared" si="167"/>
        <v>0</v>
      </c>
      <c r="BR1490" s="228">
        <f t="shared" si="167"/>
        <v>0</v>
      </c>
      <c r="BS1490" s="228">
        <f t="shared" si="167"/>
        <v>0</v>
      </c>
      <c r="BT1490" s="228">
        <f t="shared" si="167"/>
        <v>0</v>
      </c>
      <c r="BU1490" s="228">
        <f t="shared" si="167"/>
        <v>0</v>
      </c>
      <c r="BV1490" s="228">
        <f t="shared" si="167"/>
        <v>0</v>
      </c>
      <c r="BW1490" s="228">
        <f t="shared" si="167"/>
        <v>0</v>
      </c>
      <c r="BX1490" s="228">
        <f t="shared" si="167"/>
        <v>0</v>
      </c>
      <c r="BY1490" s="228">
        <f t="shared" si="167"/>
        <v>0</v>
      </c>
      <c r="BZ1490" s="228">
        <f t="shared" ref="BZ1490:CP1490" si="168">SUM(BZ1489)</f>
        <v>0</v>
      </c>
      <c r="CA1490" s="228">
        <f t="shared" si="168"/>
        <v>0</v>
      </c>
      <c r="CB1490" s="228">
        <f t="shared" si="168"/>
        <v>0</v>
      </c>
      <c r="CC1490" s="228">
        <f t="shared" si="168"/>
        <v>0</v>
      </c>
      <c r="CD1490" s="228">
        <f t="shared" si="168"/>
        <v>0</v>
      </c>
      <c r="CE1490" s="228">
        <f t="shared" si="168"/>
        <v>0</v>
      </c>
      <c r="CF1490" s="228">
        <f t="shared" si="168"/>
        <v>0</v>
      </c>
      <c r="CG1490" s="228">
        <f t="shared" si="168"/>
        <v>0</v>
      </c>
      <c r="CH1490" s="228">
        <f t="shared" si="168"/>
        <v>0</v>
      </c>
      <c r="CJ1490" s="228">
        <f t="shared" si="168"/>
        <v>0</v>
      </c>
      <c r="CK1490" s="22">
        <f t="shared" si="163"/>
        <v>996.63</v>
      </c>
      <c r="CL1490" s="3">
        <f t="shared" si="164"/>
        <v>0</v>
      </c>
      <c r="CM1490" s="222">
        <f t="shared" si="165"/>
        <v>0</v>
      </c>
      <c r="CN1490" s="3">
        <f t="shared" si="166"/>
        <v>0</v>
      </c>
      <c r="CO1490" s="228">
        <f t="shared" si="168"/>
        <v>0</v>
      </c>
      <c r="CP1490" s="228">
        <f t="shared" si="168"/>
        <v>0</v>
      </c>
    </row>
    <row r="1491" spans="1:94" s="226" customFormat="1" x14ac:dyDescent="0.25">
      <c r="A1491" s="236"/>
      <c r="D1491" s="230">
        <v>22501</v>
      </c>
      <c r="E1491" s="230">
        <v>13624</v>
      </c>
      <c r="F1491" s="254" t="s">
        <v>78</v>
      </c>
      <c r="G1491" s="226" t="s">
        <v>5661</v>
      </c>
      <c r="U1491" s="226">
        <v>707092.04</v>
      </c>
      <c r="AV1491" s="22">
        <f t="shared" si="154"/>
        <v>707092.04</v>
      </c>
      <c r="AW1491" s="226">
        <v>707092.04</v>
      </c>
      <c r="CK1491" s="22">
        <f t="shared" si="163"/>
        <v>707092.04</v>
      </c>
      <c r="CL1491" s="3">
        <f t="shared" si="164"/>
        <v>0</v>
      </c>
      <c r="CM1491" s="222">
        <f t="shared" si="165"/>
        <v>13624</v>
      </c>
      <c r="CN1491" s="3" t="str">
        <f t="shared" si="166"/>
        <v>برنامج دولى</v>
      </c>
    </row>
    <row r="1492" spans="1:94" s="226" customFormat="1" x14ac:dyDescent="0.25">
      <c r="A1492" s="236"/>
      <c r="D1492" s="230">
        <v>22502</v>
      </c>
      <c r="E1492" s="230">
        <v>13625</v>
      </c>
      <c r="F1492" s="254" t="s">
        <v>130</v>
      </c>
      <c r="G1492" s="226" t="s">
        <v>5661</v>
      </c>
      <c r="U1492" s="226">
        <v>791.25</v>
      </c>
      <c r="AV1492" s="22">
        <f t="shared" si="154"/>
        <v>791.25</v>
      </c>
      <c r="AW1492" s="226">
        <v>791.25</v>
      </c>
      <c r="CK1492" s="22">
        <f t="shared" si="163"/>
        <v>791.25</v>
      </c>
      <c r="CL1492" s="3">
        <f t="shared" si="164"/>
        <v>0</v>
      </c>
      <c r="CM1492" s="222">
        <f t="shared" si="165"/>
        <v>13625</v>
      </c>
      <c r="CN1492" s="3" t="str">
        <f t="shared" si="166"/>
        <v>خ ت طب</v>
      </c>
    </row>
    <row r="1493" spans="1:94" s="226" customFormat="1" x14ac:dyDescent="0.25">
      <c r="A1493" s="236"/>
      <c r="D1493" s="230">
        <v>22503</v>
      </c>
      <c r="E1493" s="230">
        <v>13626</v>
      </c>
      <c r="F1493" s="254" t="s">
        <v>128</v>
      </c>
      <c r="G1493" s="226" t="s">
        <v>5661</v>
      </c>
      <c r="U1493" s="226">
        <v>5331.46</v>
      </c>
      <c r="AV1493" s="22">
        <f t="shared" si="154"/>
        <v>5331.46</v>
      </c>
      <c r="AW1493" s="226">
        <v>5331.46</v>
      </c>
      <c r="CK1493" s="22">
        <f t="shared" si="163"/>
        <v>5331.46</v>
      </c>
      <c r="CL1493" s="3">
        <f t="shared" si="164"/>
        <v>0</v>
      </c>
      <c r="CM1493" s="222">
        <f t="shared" si="165"/>
        <v>13626</v>
      </c>
      <c r="CN1493" s="3" t="str">
        <f t="shared" si="166"/>
        <v>مركز مؤتمرات</v>
      </c>
    </row>
    <row r="1494" spans="1:94" s="226" customFormat="1" x14ac:dyDescent="0.25">
      <c r="A1494" s="236"/>
      <c r="D1494" s="230">
        <v>22504</v>
      </c>
      <c r="E1494" s="230">
        <v>13627</v>
      </c>
      <c r="F1494" s="254" t="s">
        <v>119</v>
      </c>
      <c r="G1494" s="226" t="s">
        <v>5661</v>
      </c>
      <c r="U1494" s="226">
        <v>58700.41</v>
      </c>
      <c r="AV1494" s="22">
        <f t="shared" si="154"/>
        <v>58700.41</v>
      </c>
      <c r="AW1494" s="226">
        <v>58700.41</v>
      </c>
      <c r="CK1494" s="22">
        <f t="shared" si="163"/>
        <v>58700.41</v>
      </c>
      <c r="CL1494" s="3">
        <f t="shared" si="164"/>
        <v>0</v>
      </c>
      <c r="CM1494" s="222">
        <f t="shared" si="165"/>
        <v>13627</v>
      </c>
      <c r="CN1494" s="3" t="str">
        <f t="shared" si="166"/>
        <v>خ ت صيدلة</v>
      </c>
    </row>
    <row r="1495" spans="1:94" s="226" customFormat="1" x14ac:dyDescent="0.25">
      <c r="A1495" s="236"/>
      <c r="D1495" s="230">
        <v>22505</v>
      </c>
      <c r="E1495" s="230">
        <v>13628</v>
      </c>
      <c r="F1495" s="254" t="s">
        <v>729</v>
      </c>
      <c r="G1495" s="226" t="s">
        <v>5661</v>
      </c>
      <c r="U1495" s="226">
        <v>2585.9699999999998</v>
      </c>
      <c r="AV1495" s="22">
        <f t="shared" si="154"/>
        <v>2585.9699999999998</v>
      </c>
      <c r="AW1495" s="226">
        <v>2585.9699999999998</v>
      </c>
      <c r="CK1495" s="22">
        <f t="shared" si="163"/>
        <v>2585.9699999999998</v>
      </c>
      <c r="CL1495" s="3">
        <f t="shared" si="164"/>
        <v>0</v>
      </c>
      <c r="CM1495" s="222">
        <f t="shared" si="165"/>
        <v>13628</v>
      </c>
      <c r="CN1495" s="3" t="str">
        <f t="shared" si="166"/>
        <v>خدمات صيدلة</v>
      </c>
    </row>
    <row r="1496" spans="1:94" s="226" customFormat="1" x14ac:dyDescent="0.25">
      <c r="A1496" s="236"/>
      <c r="D1496" s="230">
        <v>22506</v>
      </c>
      <c r="E1496" s="230">
        <v>13629</v>
      </c>
      <c r="F1496" s="254" t="s">
        <v>5144</v>
      </c>
      <c r="G1496" s="226" t="s">
        <v>5661</v>
      </c>
      <c r="U1496" s="226">
        <v>188109.85</v>
      </c>
      <c r="AV1496" s="22">
        <f t="shared" si="154"/>
        <v>188109.85</v>
      </c>
      <c r="AW1496" s="226">
        <v>188109.85</v>
      </c>
      <c r="CK1496" s="22">
        <f t="shared" si="163"/>
        <v>188109.85</v>
      </c>
      <c r="CL1496" s="3">
        <f t="shared" si="164"/>
        <v>0</v>
      </c>
      <c r="CM1496" s="222">
        <f t="shared" si="165"/>
        <v>13629</v>
      </c>
      <c r="CN1496" s="3" t="str">
        <f t="shared" si="166"/>
        <v>صيدلة اكلينكى</v>
      </c>
    </row>
    <row r="1497" spans="1:94" s="226" customFormat="1" x14ac:dyDescent="0.25">
      <c r="A1497" s="236"/>
      <c r="D1497" s="230">
        <v>22507</v>
      </c>
      <c r="E1497" s="230">
        <v>13630</v>
      </c>
      <c r="F1497" s="254" t="s">
        <v>122</v>
      </c>
      <c r="G1497" s="226" t="s">
        <v>5661</v>
      </c>
      <c r="U1497" s="226">
        <v>3113.29</v>
      </c>
      <c r="AV1497" s="22">
        <f t="shared" si="154"/>
        <v>3113.29</v>
      </c>
      <c r="AW1497" s="226">
        <v>3113.29</v>
      </c>
      <c r="CK1497" s="22">
        <f t="shared" si="163"/>
        <v>3113.29</v>
      </c>
      <c r="CL1497" s="3">
        <f t="shared" si="164"/>
        <v>0</v>
      </c>
      <c r="CM1497" s="222">
        <f t="shared" si="165"/>
        <v>13630</v>
      </c>
      <c r="CN1497" s="3" t="str">
        <f t="shared" si="166"/>
        <v>علاج تخصصى</v>
      </c>
    </row>
    <row r="1498" spans="1:94" s="226" customFormat="1" x14ac:dyDescent="0.25">
      <c r="A1498" s="236"/>
      <c r="D1498" s="230">
        <v>22508</v>
      </c>
      <c r="E1498" s="230">
        <v>13631</v>
      </c>
      <c r="F1498" s="254" t="s">
        <v>925</v>
      </c>
      <c r="G1498" s="226" t="s">
        <v>5661</v>
      </c>
      <c r="U1498" s="226">
        <v>29617.84</v>
      </c>
      <c r="AV1498" s="22">
        <f t="shared" si="154"/>
        <v>29617.84</v>
      </c>
      <c r="AW1498" s="226">
        <v>29617.84</v>
      </c>
      <c r="CK1498" s="22">
        <f t="shared" si="163"/>
        <v>29617.84</v>
      </c>
      <c r="CL1498" s="3">
        <f t="shared" si="164"/>
        <v>0</v>
      </c>
      <c r="CM1498" s="222">
        <f t="shared" si="165"/>
        <v>13631</v>
      </c>
      <c r="CN1498" s="3" t="str">
        <f t="shared" si="166"/>
        <v xml:space="preserve">خ ت اسنان </v>
      </c>
    </row>
    <row r="1499" spans="1:94" s="226" customFormat="1" x14ac:dyDescent="0.25">
      <c r="A1499" s="236"/>
      <c r="D1499" s="230">
        <v>22509</v>
      </c>
      <c r="E1499" s="230">
        <v>13632</v>
      </c>
      <c r="F1499" s="254" t="s">
        <v>249</v>
      </c>
      <c r="G1499" s="226" t="s">
        <v>5661</v>
      </c>
      <c r="U1499" s="226">
        <v>66840.72</v>
      </c>
      <c r="AV1499" s="22">
        <f t="shared" si="154"/>
        <v>66840.72</v>
      </c>
      <c r="AW1499" s="226">
        <v>66840.72</v>
      </c>
      <c r="CK1499" s="22">
        <f t="shared" si="163"/>
        <v>66840.72</v>
      </c>
      <c r="CL1499" s="3">
        <f t="shared" si="164"/>
        <v>0</v>
      </c>
      <c r="CM1499" s="222">
        <f t="shared" si="165"/>
        <v>13632</v>
      </c>
      <c r="CN1499" s="3" t="str">
        <f t="shared" si="166"/>
        <v>خدمة عامة</v>
      </c>
    </row>
    <row r="1500" spans="1:94" s="226" customFormat="1" x14ac:dyDescent="0.25">
      <c r="A1500" s="236"/>
      <c r="D1500" s="230">
        <v>22510</v>
      </c>
      <c r="E1500" s="230">
        <v>13633</v>
      </c>
      <c r="F1500" s="254" t="s">
        <v>124</v>
      </c>
      <c r="G1500" s="226" t="s">
        <v>5661</v>
      </c>
      <c r="U1500" s="226">
        <v>121.02</v>
      </c>
      <c r="AV1500" s="22">
        <f t="shared" si="154"/>
        <v>121.02</v>
      </c>
      <c r="AW1500" s="226">
        <v>121.02</v>
      </c>
      <c r="CK1500" s="22">
        <f t="shared" si="163"/>
        <v>121.02</v>
      </c>
      <c r="CL1500" s="3">
        <f t="shared" si="164"/>
        <v>0</v>
      </c>
      <c r="CM1500" s="222">
        <f t="shared" si="165"/>
        <v>13633</v>
      </c>
      <c r="CN1500" s="3" t="str">
        <f t="shared" si="166"/>
        <v>تكافل اسنان</v>
      </c>
    </row>
    <row r="1501" spans="1:94" s="226" customFormat="1" x14ac:dyDescent="0.25">
      <c r="A1501" s="236"/>
      <c r="D1501" s="230">
        <v>22511</v>
      </c>
      <c r="E1501" s="230">
        <v>13634</v>
      </c>
      <c r="F1501" s="254" t="s">
        <v>121</v>
      </c>
      <c r="G1501" s="226" t="s">
        <v>5661</v>
      </c>
      <c r="U1501" s="226">
        <v>553204.13</v>
      </c>
      <c r="AV1501" s="22">
        <f t="shared" si="154"/>
        <v>553204.13</v>
      </c>
      <c r="AW1501" s="226">
        <v>553204.13</v>
      </c>
      <c r="CK1501" s="22">
        <f t="shared" si="163"/>
        <v>553204.13</v>
      </c>
      <c r="CL1501" s="3">
        <f t="shared" si="164"/>
        <v>0</v>
      </c>
      <c r="CM1501" s="222">
        <f t="shared" si="165"/>
        <v>13634</v>
      </c>
      <c r="CN1501" s="3" t="str">
        <f t="shared" si="166"/>
        <v>ماليزى اسنان</v>
      </c>
    </row>
    <row r="1502" spans="1:94" s="226" customFormat="1" x14ac:dyDescent="0.25">
      <c r="A1502" s="236"/>
      <c r="D1502" s="230">
        <v>22512</v>
      </c>
      <c r="E1502" s="230">
        <v>13635</v>
      </c>
      <c r="F1502" s="254" t="s">
        <v>125</v>
      </c>
      <c r="G1502" s="226" t="s">
        <v>5661</v>
      </c>
      <c r="U1502" s="226">
        <v>542.42999999999995</v>
      </c>
      <c r="AV1502" s="22">
        <f t="shared" si="154"/>
        <v>542.42999999999995</v>
      </c>
      <c r="AW1502" s="226">
        <v>542.42999999999995</v>
      </c>
      <c r="CK1502" s="22">
        <f t="shared" si="163"/>
        <v>542.42999999999995</v>
      </c>
      <c r="CL1502" s="3">
        <f t="shared" si="164"/>
        <v>0</v>
      </c>
      <c r="CM1502" s="222">
        <f t="shared" si="165"/>
        <v>13635</v>
      </c>
      <c r="CN1502" s="3" t="str">
        <f t="shared" si="166"/>
        <v>اختبار مواد</v>
      </c>
    </row>
    <row r="1503" spans="1:94" s="226" customFormat="1" x14ac:dyDescent="0.25">
      <c r="A1503" s="236"/>
      <c r="C1503" s="226">
        <v>1</v>
      </c>
      <c r="D1503" s="230">
        <v>22543</v>
      </c>
      <c r="E1503" s="230">
        <v>13636</v>
      </c>
      <c r="F1503" s="254" t="s">
        <v>78</v>
      </c>
      <c r="G1503" s="226" t="s">
        <v>5668</v>
      </c>
      <c r="V1503" s="226">
        <v>68873.98</v>
      </c>
      <c r="AV1503" s="22">
        <f t="shared" si="154"/>
        <v>68873.98</v>
      </c>
      <c r="AW1503" s="226">
        <v>68873.98</v>
      </c>
      <c r="CK1503" s="22">
        <f t="shared" si="163"/>
        <v>68873.98</v>
      </c>
      <c r="CL1503" s="3">
        <f t="shared" si="164"/>
        <v>0</v>
      </c>
      <c r="CM1503" s="222">
        <f t="shared" si="165"/>
        <v>13636</v>
      </c>
      <c r="CN1503" s="3" t="str">
        <f t="shared" si="166"/>
        <v>برنامج دولى</v>
      </c>
    </row>
    <row r="1504" spans="1:94" s="226" customFormat="1" x14ac:dyDescent="0.25">
      <c r="A1504" s="236"/>
      <c r="C1504" s="226">
        <v>2</v>
      </c>
      <c r="D1504" s="230">
        <v>22544</v>
      </c>
      <c r="E1504" s="230">
        <v>13637</v>
      </c>
      <c r="F1504" s="254" t="s">
        <v>78</v>
      </c>
      <c r="G1504" s="226" t="s">
        <v>5669</v>
      </c>
      <c r="V1504" s="226">
        <v>964485.88</v>
      </c>
      <c r="AV1504" s="22">
        <f t="shared" si="154"/>
        <v>964485.88</v>
      </c>
      <c r="AW1504" s="226">
        <v>964485.88</v>
      </c>
      <c r="CK1504" s="22">
        <f t="shared" si="163"/>
        <v>964485.88</v>
      </c>
      <c r="CL1504" s="3">
        <f t="shared" si="164"/>
        <v>0</v>
      </c>
      <c r="CM1504" s="222">
        <f t="shared" si="165"/>
        <v>13637</v>
      </c>
      <c r="CN1504" s="3" t="str">
        <f t="shared" si="166"/>
        <v>برنامج دولى</v>
      </c>
    </row>
    <row r="1505" spans="1:92" s="226" customFormat="1" x14ac:dyDescent="0.25">
      <c r="A1505" s="236"/>
      <c r="C1505" s="226">
        <v>3</v>
      </c>
      <c r="D1505" s="230">
        <v>22545</v>
      </c>
      <c r="E1505" s="230">
        <v>13638</v>
      </c>
      <c r="F1505" s="254" t="s">
        <v>78</v>
      </c>
      <c r="G1505" s="226" t="s">
        <v>5670</v>
      </c>
      <c r="V1505" s="226">
        <v>15464.7</v>
      </c>
      <c r="AV1505" s="22">
        <f t="shared" si="154"/>
        <v>15464.7</v>
      </c>
      <c r="AW1505" s="226">
        <v>15464.7</v>
      </c>
      <c r="CK1505" s="22">
        <f t="shared" si="163"/>
        <v>15464.7</v>
      </c>
      <c r="CL1505" s="3">
        <f t="shared" si="164"/>
        <v>0</v>
      </c>
      <c r="CM1505" s="222">
        <f t="shared" si="165"/>
        <v>13638</v>
      </c>
      <c r="CN1505" s="3" t="str">
        <f t="shared" si="166"/>
        <v>برنامج دولى</v>
      </c>
    </row>
    <row r="1506" spans="1:92" s="226" customFormat="1" x14ac:dyDescent="0.25">
      <c r="A1506" s="236"/>
      <c r="C1506" s="226">
        <v>4</v>
      </c>
      <c r="D1506" s="230">
        <v>22546</v>
      </c>
      <c r="E1506" s="230">
        <v>13639</v>
      </c>
      <c r="F1506" s="254" t="s">
        <v>78</v>
      </c>
      <c r="G1506" s="226" t="s">
        <v>5671</v>
      </c>
      <c r="W1506" s="226">
        <v>590</v>
      </c>
      <c r="AV1506" s="22">
        <f t="shared" si="154"/>
        <v>590</v>
      </c>
      <c r="AW1506" s="226">
        <v>590</v>
      </c>
      <c r="CK1506" s="22">
        <f t="shared" si="163"/>
        <v>590</v>
      </c>
      <c r="CL1506" s="3">
        <f t="shared" si="164"/>
        <v>0</v>
      </c>
      <c r="CM1506" s="222">
        <f t="shared" si="165"/>
        <v>13639</v>
      </c>
      <c r="CN1506" s="3" t="str">
        <f t="shared" si="166"/>
        <v>برنامج دولى</v>
      </c>
    </row>
    <row r="1507" spans="1:92" s="226" customFormat="1" x14ac:dyDescent="0.25">
      <c r="A1507" s="236"/>
      <c r="C1507" s="226">
        <v>5</v>
      </c>
      <c r="D1507" s="230">
        <v>22547</v>
      </c>
      <c r="E1507" s="230">
        <v>13640</v>
      </c>
      <c r="F1507" s="254" t="s">
        <v>130</v>
      </c>
      <c r="G1507" s="226" t="str">
        <f>+G1504</f>
        <v>كسب عمل يونيو</v>
      </c>
      <c r="V1507" s="226">
        <v>75206.929999999993</v>
      </c>
      <c r="AV1507" s="22">
        <f t="shared" si="154"/>
        <v>75206.929999999993</v>
      </c>
      <c r="AW1507" s="226">
        <v>75206.929999999993</v>
      </c>
      <c r="CK1507" s="22">
        <f t="shared" si="163"/>
        <v>75206.929999999993</v>
      </c>
      <c r="CL1507" s="3">
        <f t="shared" si="164"/>
        <v>0</v>
      </c>
      <c r="CM1507" s="222">
        <f t="shared" si="165"/>
        <v>13640</v>
      </c>
      <c r="CN1507" s="3" t="str">
        <f t="shared" si="166"/>
        <v>خ ت طب</v>
      </c>
    </row>
    <row r="1508" spans="1:92" s="226" customFormat="1" x14ac:dyDescent="0.25">
      <c r="A1508" s="236"/>
      <c r="C1508" s="226">
        <v>6</v>
      </c>
      <c r="D1508" s="230">
        <v>22548</v>
      </c>
      <c r="E1508" s="230">
        <v>13641</v>
      </c>
      <c r="F1508" s="254" t="s">
        <v>130</v>
      </c>
      <c r="G1508" s="226" t="str">
        <f>+G1503</f>
        <v>دمغه عاديه يونيو</v>
      </c>
      <c r="V1508" s="226">
        <v>2646.49</v>
      </c>
      <c r="AV1508" s="22">
        <f t="shared" si="154"/>
        <v>2646.49</v>
      </c>
      <c r="AW1508" s="226">
        <v>2646.49</v>
      </c>
      <c r="CK1508" s="22">
        <f t="shared" si="163"/>
        <v>2646.49</v>
      </c>
      <c r="CL1508" s="3">
        <f t="shared" si="164"/>
        <v>0</v>
      </c>
      <c r="CM1508" s="222">
        <f t="shared" si="165"/>
        <v>13641</v>
      </c>
      <c r="CN1508" s="3" t="str">
        <f t="shared" si="166"/>
        <v>خ ت طب</v>
      </c>
    </row>
    <row r="1509" spans="1:92" s="226" customFormat="1" x14ac:dyDescent="0.25">
      <c r="A1509" s="236"/>
      <c r="C1509" s="226">
        <v>7</v>
      </c>
      <c r="D1509" s="230">
        <v>22549</v>
      </c>
      <c r="E1509" s="230">
        <v>13642</v>
      </c>
      <c r="F1509" s="254" t="s">
        <v>130</v>
      </c>
      <c r="G1509" s="226" t="str">
        <f>+G1505</f>
        <v>ضرائب متنوعه يونيو</v>
      </c>
      <c r="V1509" s="226">
        <v>15745.7</v>
      </c>
      <c r="AV1509" s="22">
        <f t="shared" si="154"/>
        <v>15745.7</v>
      </c>
      <c r="AW1509" s="226">
        <v>15745.7</v>
      </c>
      <c r="CK1509" s="22">
        <f t="shared" si="163"/>
        <v>15745.7</v>
      </c>
      <c r="CL1509" s="3">
        <f t="shared" si="164"/>
        <v>0</v>
      </c>
      <c r="CM1509" s="222">
        <f t="shared" si="165"/>
        <v>13642</v>
      </c>
      <c r="CN1509" s="3" t="str">
        <f t="shared" si="166"/>
        <v>خ ت طب</v>
      </c>
    </row>
    <row r="1510" spans="1:92" s="226" customFormat="1" x14ac:dyDescent="0.25">
      <c r="A1510" s="236"/>
      <c r="C1510" s="226">
        <v>8</v>
      </c>
      <c r="D1510" s="230">
        <v>22550</v>
      </c>
      <c r="E1510" s="230">
        <v>13643</v>
      </c>
      <c r="F1510" s="254" t="s">
        <v>130</v>
      </c>
      <c r="G1510" s="226" t="str">
        <f>+G1506</f>
        <v>تنميه موارد يونيو</v>
      </c>
      <c r="W1510" s="226">
        <v>522</v>
      </c>
      <c r="AV1510" s="22">
        <f t="shared" si="154"/>
        <v>522</v>
      </c>
      <c r="AW1510" s="226">
        <v>522</v>
      </c>
      <c r="CK1510" s="22">
        <f t="shared" si="163"/>
        <v>522</v>
      </c>
      <c r="CL1510" s="3">
        <f t="shared" si="164"/>
        <v>0</v>
      </c>
      <c r="CM1510" s="222">
        <f t="shared" si="165"/>
        <v>13643</v>
      </c>
      <c r="CN1510" s="3" t="str">
        <f t="shared" si="166"/>
        <v>خ ت طب</v>
      </c>
    </row>
    <row r="1511" spans="1:92" s="226" customFormat="1" x14ac:dyDescent="0.25">
      <c r="A1511" s="236"/>
      <c r="C1511" s="226">
        <v>9</v>
      </c>
      <c r="D1511" s="230">
        <v>22551</v>
      </c>
      <c r="E1511" s="230">
        <v>13644</v>
      </c>
      <c r="F1511" s="254" t="s">
        <v>128</v>
      </c>
      <c r="G1511" s="226" t="str">
        <f>+G1507</f>
        <v>كسب عمل يونيو</v>
      </c>
      <c r="V1511" s="226">
        <v>9149.49</v>
      </c>
      <c r="AV1511" s="22">
        <f t="shared" si="154"/>
        <v>9149.49</v>
      </c>
      <c r="AW1511" s="226">
        <v>9149.49</v>
      </c>
      <c r="CK1511" s="22">
        <f t="shared" si="163"/>
        <v>9149.49</v>
      </c>
      <c r="CL1511" s="3">
        <f t="shared" si="164"/>
        <v>0</v>
      </c>
      <c r="CM1511" s="222">
        <f t="shared" si="165"/>
        <v>13644</v>
      </c>
      <c r="CN1511" s="3" t="str">
        <f t="shared" si="166"/>
        <v>مركز مؤتمرات</v>
      </c>
    </row>
    <row r="1512" spans="1:92" s="226" customFormat="1" x14ac:dyDescent="0.25">
      <c r="A1512" s="236"/>
      <c r="C1512" s="226">
        <v>10</v>
      </c>
      <c r="D1512" s="230">
        <v>22552</v>
      </c>
      <c r="E1512" s="230">
        <v>13645</v>
      </c>
      <c r="F1512" s="254" t="s">
        <v>128</v>
      </c>
      <c r="G1512" s="226" t="str">
        <f>+G1508</f>
        <v>دمغه عاديه يونيو</v>
      </c>
      <c r="V1512" s="226">
        <v>640.6</v>
      </c>
      <c r="AV1512" s="22">
        <f t="shared" si="154"/>
        <v>640.6</v>
      </c>
      <c r="AW1512" s="226">
        <v>640.6</v>
      </c>
      <c r="CK1512" s="22">
        <f t="shared" si="163"/>
        <v>640.6</v>
      </c>
      <c r="CL1512" s="3">
        <f t="shared" si="164"/>
        <v>0</v>
      </c>
      <c r="CM1512" s="222">
        <f t="shared" si="165"/>
        <v>13645</v>
      </c>
      <c r="CN1512" s="3" t="str">
        <f t="shared" si="166"/>
        <v>مركز مؤتمرات</v>
      </c>
    </row>
    <row r="1513" spans="1:92" s="226" customFormat="1" x14ac:dyDescent="0.25">
      <c r="A1513" s="236"/>
      <c r="C1513" s="226">
        <v>11</v>
      </c>
      <c r="D1513" s="230">
        <v>22553</v>
      </c>
      <c r="E1513" s="230">
        <v>13646</v>
      </c>
      <c r="F1513" s="254" t="s">
        <v>5144</v>
      </c>
      <c r="G1513" s="226" t="str">
        <f>+G1507</f>
        <v>كسب عمل يونيو</v>
      </c>
      <c r="V1513" s="226">
        <v>142551.87</v>
      </c>
      <c r="AV1513" s="22">
        <f t="shared" si="154"/>
        <v>142551.87</v>
      </c>
      <c r="AW1513" s="226">
        <v>142551.87</v>
      </c>
      <c r="CK1513" s="22">
        <f t="shared" si="163"/>
        <v>142551.87</v>
      </c>
      <c r="CL1513" s="3">
        <f t="shared" si="164"/>
        <v>0</v>
      </c>
      <c r="CM1513" s="222">
        <f t="shared" si="165"/>
        <v>13646</v>
      </c>
      <c r="CN1513" s="3" t="str">
        <f t="shared" si="166"/>
        <v>صيدلة اكلينكى</v>
      </c>
    </row>
    <row r="1514" spans="1:92" s="226" customFormat="1" x14ac:dyDescent="0.25">
      <c r="A1514" s="236"/>
      <c r="C1514" s="226">
        <v>12</v>
      </c>
      <c r="D1514" s="230">
        <v>22554</v>
      </c>
      <c r="E1514" s="230">
        <v>13647</v>
      </c>
      <c r="F1514" s="254" t="s">
        <v>5144</v>
      </c>
      <c r="G1514" s="226" t="str">
        <f>+G1508</f>
        <v>دمغه عاديه يونيو</v>
      </c>
      <c r="V1514" s="226">
        <v>10382.69</v>
      </c>
      <c r="AV1514" s="22">
        <f t="shared" si="154"/>
        <v>10382.69</v>
      </c>
      <c r="AW1514" s="226">
        <v>10382.69</v>
      </c>
      <c r="CK1514" s="22">
        <f t="shared" si="163"/>
        <v>10382.69</v>
      </c>
      <c r="CL1514" s="3">
        <f t="shared" si="164"/>
        <v>0</v>
      </c>
      <c r="CM1514" s="222">
        <f t="shared" si="165"/>
        <v>13647</v>
      </c>
      <c r="CN1514" s="3" t="str">
        <f t="shared" si="166"/>
        <v>صيدلة اكلينكى</v>
      </c>
    </row>
    <row r="1515" spans="1:92" s="226" customFormat="1" x14ac:dyDescent="0.25">
      <c r="A1515" s="236"/>
      <c r="C1515" s="226">
        <v>13</v>
      </c>
      <c r="D1515" s="230">
        <v>22555</v>
      </c>
      <c r="E1515" s="230">
        <v>13648</v>
      </c>
      <c r="F1515" s="254" t="s">
        <v>5144</v>
      </c>
      <c r="G1515" s="226" t="str">
        <f>+G1509</f>
        <v>ضرائب متنوعه يونيو</v>
      </c>
      <c r="V1515" s="226">
        <v>17098.7</v>
      </c>
      <c r="AV1515" s="22">
        <f t="shared" si="154"/>
        <v>17098.7</v>
      </c>
      <c r="AW1515" s="226">
        <v>17098.7</v>
      </c>
      <c r="CK1515" s="22">
        <f t="shared" si="163"/>
        <v>17098.7</v>
      </c>
      <c r="CL1515" s="3">
        <f t="shared" si="164"/>
        <v>0</v>
      </c>
      <c r="CM1515" s="222">
        <f t="shared" si="165"/>
        <v>13648</v>
      </c>
      <c r="CN1515" s="3" t="str">
        <f t="shared" si="166"/>
        <v>صيدلة اكلينكى</v>
      </c>
    </row>
    <row r="1516" spans="1:92" s="226" customFormat="1" x14ac:dyDescent="0.25">
      <c r="A1516" s="236"/>
      <c r="C1516" s="226">
        <v>14</v>
      </c>
      <c r="D1516" s="230">
        <v>22556</v>
      </c>
      <c r="E1516" s="230">
        <v>13649</v>
      </c>
      <c r="F1516" s="254" t="s">
        <v>5144</v>
      </c>
      <c r="G1516" s="226" t="str">
        <f>+G1510</f>
        <v>تنميه موارد يونيو</v>
      </c>
      <c r="W1516" s="226">
        <v>386</v>
      </c>
      <c r="AV1516" s="22">
        <f t="shared" si="154"/>
        <v>386</v>
      </c>
      <c r="AW1516" s="226">
        <v>386</v>
      </c>
      <c r="CK1516" s="22">
        <f t="shared" si="163"/>
        <v>386</v>
      </c>
      <c r="CL1516" s="3">
        <f t="shared" si="164"/>
        <v>0</v>
      </c>
      <c r="CM1516" s="222">
        <f t="shared" si="165"/>
        <v>13649</v>
      </c>
      <c r="CN1516" s="3" t="str">
        <f t="shared" si="166"/>
        <v>صيدلة اكلينكى</v>
      </c>
    </row>
    <row r="1517" spans="1:92" s="226" customFormat="1" x14ac:dyDescent="0.25">
      <c r="A1517" s="236"/>
      <c r="C1517" s="226">
        <v>15</v>
      </c>
      <c r="D1517" s="230">
        <v>22557</v>
      </c>
      <c r="E1517" s="230">
        <v>13650</v>
      </c>
      <c r="F1517" s="254" t="s">
        <v>119</v>
      </c>
      <c r="G1517" s="226" t="str">
        <f t="shared" ref="G1517:G1522" si="169">+G1513</f>
        <v>كسب عمل يونيو</v>
      </c>
      <c r="V1517" s="226">
        <v>108771.98</v>
      </c>
      <c r="AV1517" s="22">
        <f t="shared" si="154"/>
        <v>108771.98</v>
      </c>
      <c r="AW1517" s="226">
        <v>108771.98</v>
      </c>
      <c r="CK1517" s="22">
        <f t="shared" si="163"/>
        <v>108771.98</v>
      </c>
      <c r="CL1517" s="3">
        <f t="shared" si="164"/>
        <v>0</v>
      </c>
      <c r="CM1517" s="222">
        <f t="shared" si="165"/>
        <v>13650</v>
      </c>
      <c r="CN1517" s="3" t="str">
        <f t="shared" si="166"/>
        <v>خ ت صيدلة</v>
      </c>
    </row>
    <row r="1518" spans="1:92" s="226" customFormat="1" x14ac:dyDescent="0.25">
      <c r="A1518" s="236"/>
      <c r="C1518" s="226">
        <v>16</v>
      </c>
      <c r="D1518" s="230">
        <v>22558</v>
      </c>
      <c r="E1518" s="230">
        <v>13651</v>
      </c>
      <c r="F1518" s="254" t="s">
        <v>119</v>
      </c>
      <c r="G1518" s="226" t="str">
        <f t="shared" si="169"/>
        <v>دمغه عاديه يونيو</v>
      </c>
      <c r="V1518" s="226">
        <v>4892.3500000000004</v>
      </c>
      <c r="AV1518" s="22">
        <f t="shared" si="154"/>
        <v>4892.3500000000004</v>
      </c>
      <c r="AW1518" s="226">
        <v>4892.3500000000004</v>
      </c>
      <c r="CK1518" s="22">
        <f t="shared" si="163"/>
        <v>4892.3500000000004</v>
      </c>
      <c r="CL1518" s="3">
        <f t="shared" si="164"/>
        <v>0</v>
      </c>
      <c r="CM1518" s="222">
        <f t="shared" si="165"/>
        <v>13651</v>
      </c>
      <c r="CN1518" s="3" t="str">
        <f t="shared" si="166"/>
        <v>خ ت صيدلة</v>
      </c>
    </row>
    <row r="1519" spans="1:92" s="226" customFormat="1" x14ac:dyDescent="0.25">
      <c r="A1519" s="236"/>
      <c r="C1519" s="226">
        <v>17</v>
      </c>
      <c r="D1519" s="230">
        <v>22559</v>
      </c>
      <c r="E1519" s="230">
        <v>13652</v>
      </c>
      <c r="F1519" s="254" t="s">
        <v>119</v>
      </c>
      <c r="G1519" s="226" t="str">
        <f t="shared" si="169"/>
        <v>ضرائب متنوعه يونيو</v>
      </c>
      <c r="V1519" s="226">
        <v>5170.8999999999996</v>
      </c>
      <c r="AV1519" s="22">
        <f t="shared" si="154"/>
        <v>5170.8999999999996</v>
      </c>
      <c r="AW1519" s="226">
        <v>5170.8999999999996</v>
      </c>
      <c r="CK1519" s="22">
        <f t="shared" si="163"/>
        <v>5170.8999999999996</v>
      </c>
      <c r="CL1519" s="3">
        <f t="shared" si="164"/>
        <v>0</v>
      </c>
      <c r="CM1519" s="222">
        <f t="shared" si="165"/>
        <v>13652</v>
      </c>
      <c r="CN1519" s="3" t="str">
        <f t="shared" si="166"/>
        <v>خ ت صيدلة</v>
      </c>
    </row>
    <row r="1520" spans="1:92" s="226" customFormat="1" x14ac:dyDescent="0.25">
      <c r="A1520" s="236"/>
      <c r="C1520" s="226">
        <v>18</v>
      </c>
      <c r="D1520" s="230">
        <v>22560</v>
      </c>
      <c r="E1520" s="230">
        <v>13653</v>
      </c>
      <c r="F1520" s="254" t="s">
        <v>119</v>
      </c>
      <c r="G1520" s="226" t="str">
        <f t="shared" si="169"/>
        <v>تنميه موارد يونيو</v>
      </c>
      <c r="W1520" s="226">
        <v>270</v>
      </c>
      <c r="AV1520" s="22">
        <f t="shared" si="154"/>
        <v>270</v>
      </c>
      <c r="AW1520" s="226">
        <v>270</v>
      </c>
      <c r="CK1520" s="22">
        <f t="shared" si="163"/>
        <v>270</v>
      </c>
      <c r="CL1520" s="3">
        <f t="shared" si="164"/>
        <v>0</v>
      </c>
      <c r="CM1520" s="222">
        <f t="shared" si="165"/>
        <v>13653</v>
      </c>
      <c r="CN1520" s="3" t="str">
        <f t="shared" si="166"/>
        <v>خ ت صيدلة</v>
      </c>
    </row>
    <row r="1521" spans="1:92" s="226" customFormat="1" x14ac:dyDescent="0.25">
      <c r="A1521" s="236"/>
      <c r="C1521" s="226">
        <v>19</v>
      </c>
      <c r="D1521" s="230">
        <v>22561</v>
      </c>
      <c r="E1521" s="230">
        <v>13654</v>
      </c>
      <c r="F1521" s="254" t="s">
        <v>729</v>
      </c>
      <c r="G1521" s="226" t="str">
        <f t="shared" si="169"/>
        <v>كسب عمل يونيو</v>
      </c>
      <c r="V1521" s="226">
        <v>1358.51</v>
      </c>
      <c r="AV1521" s="22">
        <f t="shared" si="154"/>
        <v>1358.51</v>
      </c>
      <c r="AW1521" s="226">
        <v>1358.51</v>
      </c>
      <c r="CK1521" s="22">
        <f t="shared" ref="CK1521:CK1543" si="170">SUM(AW1521:CJ1521)</f>
        <v>1358.51</v>
      </c>
      <c r="CL1521" s="3">
        <f t="shared" ref="CL1521:CL1543" si="171">+CK1521-AV1521</f>
        <v>0</v>
      </c>
      <c r="CM1521" s="222">
        <f t="shared" ref="CM1521:CM1543" si="172">+E1521</f>
        <v>13654</v>
      </c>
      <c r="CN1521" s="3" t="str">
        <f t="shared" ref="CN1521:CN1543" si="173">+F1521</f>
        <v>خدمات صيدلة</v>
      </c>
    </row>
    <row r="1522" spans="1:92" s="226" customFormat="1" x14ac:dyDescent="0.25">
      <c r="A1522" s="236"/>
      <c r="C1522" s="226">
        <v>20</v>
      </c>
      <c r="D1522" s="230">
        <v>22562</v>
      </c>
      <c r="E1522" s="230">
        <v>13655</v>
      </c>
      <c r="F1522" s="254" t="s">
        <v>729</v>
      </c>
      <c r="G1522" s="226" t="str">
        <f t="shared" si="169"/>
        <v>دمغه عاديه يونيو</v>
      </c>
      <c r="V1522" s="226">
        <v>96.34</v>
      </c>
      <c r="AV1522" s="22">
        <f t="shared" si="154"/>
        <v>96.34</v>
      </c>
      <c r="AW1522" s="226">
        <v>96.34</v>
      </c>
      <c r="CK1522" s="22">
        <f t="shared" si="170"/>
        <v>96.34</v>
      </c>
      <c r="CL1522" s="3">
        <f t="shared" si="171"/>
        <v>0</v>
      </c>
      <c r="CM1522" s="222">
        <f t="shared" si="172"/>
        <v>13655</v>
      </c>
      <c r="CN1522" s="3" t="str">
        <f t="shared" si="173"/>
        <v>خدمات صيدلة</v>
      </c>
    </row>
    <row r="1523" spans="1:92" s="226" customFormat="1" x14ac:dyDescent="0.25">
      <c r="A1523" s="236"/>
      <c r="C1523" s="226">
        <v>21</v>
      </c>
      <c r="D1523" s="230">
        <v>22563</v>
      </c>
      <c r="E1523" s="230">
        <v>13656</v>
      </c>
      <c r="F1523" s="254" t="s">
        <v>121</v>
      </c>
      <c r="G1523" s="226" t="str">
        <f>+G1521</f>
        <v>كسب عمل يونيو</v>
      </c>
      <c r="V1523" s="226">
        <v>1172106.49</v>
      </c>
      <c r="AV1523" s="22">
        <f t="shared" si="154"/>
        <v>1172106.49</v>
      </c>
      <c r="AW1523" s="226">
        <v>1172106.49</v>
      </c>
      <c r="CK1523" s="22">
        <f t="shared" si="170"/>
        <v>1172106.49</v>
      </c>
      <c r="CL1523" s="3">
        <f t="shared" si="171"/>
        <v>0</v>
      </c>
      <c r="CM1523" s="222">
        <f t="shared" si="172"/>
        <v>13656</v>
      </c>
      <c r="CN1523" s="3" t="str">
        <f t="shared" si="173"/>
        <v>ماليزى اسنان</v>
      </c>
    </row>
    <row r="1524" spans="1:92" s="226" customFormat="1" x14ac:dyDescent="0.25">
      <c r="A1524" s="236"/>
      <c r="C1524" s="226">
        <v>22</v>
      </c>
      <c r="D1524" s="230">
        <v>22564</v>
      </c>
      <c r="E1524" s="230">
        <v>13657</v>
      </c>
      <c r="F1524" s="254" t="s">
        <v>121</v>
      </c>
      <c r="G1524" s="226" t="str">
        <f>+G1518</f>
        <v>دمغه عاديه يونيو</v>
      </c>
      <c r="V1524" s="226">
        <v>174872.28</v>
      </c>
      <c r="AV1524" s="22">
        <f t="shared" si="154"/>
        <v>174872.28</v>
      </c>
      <c r="AW1524" s="226">
        <v>174872.28</v>
      </c>
      <c r="CK1524" s="22">
        <f t="shared" si="170"/>
        <v>174872.28</v>
      </c>
      <c r="CL1524" s="3">
        <f t="shared" si="171"/>
        <v>0</v>
      </c>
      <c r="CM1524" s="222">
        <f t="shared" si="172"/>
        <v>13657</v>
      </c>
      <c r="CN1524" s="3" t="str">
        <f t="shared" si="173"/>
        <v>ماليزى اسنان</v>
      </c>
    </row>
    <row r="1525" spans="1:92" s="226" customFormat="1" x14ac:dyDescent="0.25">
      <c r="A1525" s="236"/>
      <c r="C1525" s="226">
        <v>23</v>
      </c>
      <c r="D1525" s="230">
        <v>22565</v>
      </c>
      <c r="E1525" s="230">
        <v>13658</v>
      </c>
      <c r="F1525" s="254" t="s">
        <v>121</v>
      </c>
      <c r="G1525" s="226" t="str">
        <f>+G1519</f>
        <v>ضرائب متنوعه يونيو</v>
      </c>
      <c r="V1525" s="226">
        <v>51388.7</v>
      </c>
      <c r="AV1525" s="22">
        <f t="shared" si="154"/>
        <v>51388.7</v>
      </c>
      <c r="AW1525" s="226">
        <v>51388.7</v>
      </c>
      <c r="CK1525" s="22">
        <f t="shared" si="170"/>
        <v>51388.7</v>
      </c>
      <c r="CL1525" s="3">
        <f t="shared" si="171"/>
        <v>0</v>
      </c>
      <c r="CM1525" s="222">
        <f t="shared" si="172"/>
        <v>13658</v>
      </c>
      <c r="CN1525" s="3" t="str">
        <f t="shared" si="173"/>
        <v>ماليزى اسنان</v>
      </c>
    </row>
    <row r="1526" spans="1:92" s="226" customFormat="1" x14ac:dyDescent="0.25">
      <c r="A1526" s="236"/>
      <c r="C1526" s="226">
        <v>24</v>
      </c>
      <c r="D1526" s="230">
        <v>22566</v>
      </c>
      <c r="E1526" s="230">
        <v>13659</v>
      </c>
      <c r="F1526" s="254" t="s">
        <v>121</v>
      </c>
      <c r="G1526" s="226" t="str">
        <f>+G1520</f>
        <v>تنميه موارد يونيو</v>
      </c>
      <c r="W1526" s="226">
        <v>1026</v>
      </c>
      <c r="AV1526" s="22">
        <f t="shared" si="154"/>
        <v>1026</v>
      </c>
      <c r="AW1526" s="226">
        <v>1026</v>
      </c>
      <c r="CK1526" s="22">
        <f t="shared" si="170"/>
        <v>1026</v>
      </c>
      <c r="CL1526" s="3">
        <f t="shared" si="171"/>
        <v>0</v>
      </c>
      <c r="CM1526" s="222">
        <f t="shared" si="172"/>
        <v>13659</v>
      </c>
      <c r="CN1526" s="3" t="str">
        <f t="shared" si="173"/>
        <v>ماليزى اسنان</v>
      </c>
    </row>
    <row r="1527" spans="1:92" s="226" customFormat="1" x14ac:dyDescent="0.25">
      <c r="A1527" s="236"/>
      <c r="C1527" s="226">
        <v>25</v>
      </c>
      <c r="D1527" s="230">
        <v>22567</v>
      </c>
      <c r="E1527" s="230">
        <v>13660</v>
      </c>
      <c r="F1527" s="254" t="s">
        <v>925</v>
      </c>
      <c r="G1527" s="226" t="str">
        <f>+G1523</f>
        <v>كسب عمل يونيو</v>
      </c>
      <c r="V1527" s="226">
        <v>18277.900000000001</v>
      </c>
      <c r="AV1527" s="22">
        <f t="shared" si="154"/>
        <v>18277.900000000001</v>
      </c>
      <c r="AW1527" s="226">
        <v>18277.900000000001</v>
      </c>
      <c r="CK1527" s="22">
        <f t="shared" si="170"/>
        <v>18277.900000000001</v>
      </c>
      <c r="CL1527" s="3">
        <f t="shared" si="171"/>
        <v>0</v>
      </c>
      <c r="CM1527" s="222">
        <f t="shared" si="172"/>
        <v>13660</v>
      </c>
      <c r="CN1527" s="3" t="str">
        <f t="shared" si="173"/>
        <v xml:space="preserve">خ ت اسنان </v>
      </c>
    </row>
    <row r="1528" spans="1:92" s="226" customFormat="1" x14ac:dyDescent="0.25">
      <c r="A1528" s="236"/>
      <c r="C1528" s="226">
        <v>26</v>
      </c>
      <c r="D1528" s="230">
        <v>22568</v>
      </c>
      <c r="E1528" s="230">
        <v>13661</v>
      </c>
      <c r="F1528" s="254" t="s">
        <v>925</v>
      </c>
      <c r="G1528" s="226" t="str">
        <f>+G1524</f>
        <v>دمغه عاديه يونيو</v>
      </c>
      <c r="V1528" s="226">
        <v>1155.95</v>
      </c>
      <c r="AV1528" s="22">
        <f t="shared" si="154"/>
        <v>1155.95</v>
      </c>
      <c r="AW1528" s="226">
        <v>1155.95</v>
      </c>
      <c r="CK1528" s="22">
        <f t="shared" si="170"/>
        <v>1155.95</v>
      </c>
      <c r="CL1528" s="3">
        <f t="shared" si="171"/>
        <v>0</v>
      </c>
      <c r="CM1528" s="222">
        <f t="shared" si="172"/>
        <v>13661</v>
      </c>
      <c r="CN1528" s="3" t="str">
        <f t="shared" si="173"/>
        <v xml:space="preserve">خ ت اسنان </v>
      </c>
    </row>
    <row r="1529" spans="1:92" s="226" customFormat="1" x14ac:dyDescent="0.25">
      <c r="A1529" s="236"/>
      <c r="C1529" s="226">
        <v>27</v>
      </c>
      <c r="D1529" s="230">
        <v>22569</v>
      </c>
      <c r="E1529" s="230">
        <v>13662</v>
      </c>
      <c r="F1529" s="254" t="s">
        <v>122</v>
      </c>
      <c r="G1529" s="226" t="str">
        <f>+G1527</f>
        <v>كسب عمل يونيو</v>
      </c>
      <c r="V1529" s="226">
        <v>13785.34</v>
      </c>
      <c r="AV1529" s="22">
        <f t="shared" si="154"/>
        <v>13785.34</v>
      </c>
      <c r="AW1529" s="226">
        <v>13785.34</v>
      </c>
      <c r="CK1529" s="22">
        <f t="shared" si="170"/>
        <v>13785.34</v>
      </c>
      <c r="CL1529" s="3">
        <f t="shared" si="171"/>
        <v>0</v>
      </c>
      <c r="CM1529" s="222">
        <f t="shared" si="172"/>
        <v>13662</v>
      </c>
      <c r="CN1529" s="3" t="str">
        <f t="shared" si="173"/>
        <v>علاج تخصصى</v>
      </c>
    </row>
    <row r="1530" spans="1:92" s="226" customFormat="1" x14ac:dyDescent="0.25">
      <c r="A1530" s="236"/>
      <c r="C1530" s="226">
        <v>28</v>
      </c>
      <c r="D1530" s="230">
        <v>22570</v>
      </c>
      <c r="E1530" s="230">
        <v>13663</v>
      </c>
      <c r="F1530" s="254" t="s">
        <v>122</v>
      </c>
      <c r="G1530" s="226" t="str">
        <f>+G1524</f>
        <v>دمغه عاديه يونيو</v>
      </c>
      <c r="V1530" s="226">
        <v>969</v>
      </c>
      <c r="AV1530" s="22">
        <f t="shared" si="154"/>
        <v>969</v>
      </c>
      <c r="AW1530" s="226">
        <v>969</v>
      </c>
      <c r="CK1530" s="22">
        <f t="shared" si="170"/>
        <v>969</v>
      </c>
      <c r="CL1530" s="3">
        <f t="shared" si="171"/>
        <v>0</v>
      </c>
      <c r="CM1530" s="222">
        <f t="shared" si="172"/>
        <v>13663</v>
      </c>
      <c r="CN1530" s="3" t="str">
        <f t="shared" si="173"/>
        <v>علاج تخصصى</v>
      </c>
    </row>
    <row r="1531" spans="1:92" s="226" customFormat="1" x14ac:dyDescent="0.25">
      <c r="A1531" s="236"/>
      <c r="C1531" s="226">
        <v>29</v>
      </c>
      <c r="D1531" s="230">
        <v>22571</v>
      </c>
      <c r="E1531" s="230">
        <v>13664</v>
      </c>
      <c r="F1531" s="254" t="s">
        <v>122</v>
      </c>
      <c r="G1531" s="226" t="str">
        <f>+G1525</f>
        <v>ضرائب متنوعه يونيو</v>
      </c>
      <c r="V1531" s="226">
        <v>564.20000000000005</v>
      </c>
      <c r="AV1531" s="22">
        <f t="shared" si="154"/>
        <v>564.20000000000005</v>
      </c>
      <c r="AW1531" s="226">
        <v>564.20000000000005</v>
      </c>
      <c r="CK1531" s="22">
        <f t="shared" si="170"/>
        <v>564.20000000000005</v>
      </c>
      <c r="CL1531" s="3">
        <f t="shared" si="171"/>
        <v>0</v>
      </c>
      <c r="CM1531" s="222">
        <f t="shared" si="172"/>
        <v>13664</v>
      </c>
      <c r="CN1531" s="3" t="str">
        <f t="shared" si="173"/>
        <v>علاج تخصصى</v>
      </c>
    </row>
    <row r="1532" spans="1:92" s="226" customFormat="1" x14ac:dyDescent="0.25">
      <c r="A1532" s="236"/>
      <c r="C1532" s="226">
        <v>30</v>
      </c>
      <c r="D1532" s="230">
        <v>22572</v>
      </c>
      <c r="E1532" s="230">
        <v>13665</v>
      </c>
      <c r="F1532" s="254" t="str">
        <f>+F1531</f>
        <v>علاج تخصصى</v>
      </c>
      <c r="G1532" s="226" t="str">
        <f>+G1526</f>
        <v>تنميه موارد يونيو</v>
      </c>
      <c r="W1532" s="226">
        <v>76</v>
      </c>
      <c r="AV1532" s="22">
        <f t="shared" si="154"/>
        <v>76</v>
      </c>
      <c r="AW1532" s="226">
        <v>76</v>
      </c>
      <c r="CK1532" s="22">
        <f t="shared" si="170"/>
        <v>76</v>
      </c>
      <c r="CL1532" s="3">
        <f t="shared" si="171"/>
        <v>0</v>
      </c>
      <c r="CM1532" s="222">
        <f t="shared" si="172"/>
        <v>13665</v>
      </c>
      <c r="CN1532" s="3" t="str">
        <f t="shared" si="173"/>
        <v>علاج تخصصى</v>
      </c>
    </row>
    <row r="1533" spans="1:92" s="226" customFormat="1" x14ac:dyDescent="0.25">
      <c r="A1533" s="236"/>
      <c r="C1533" s="226">
        <v>31</v>
      </c>
      <c r="D1533" s="230">
        <v>22573</v>
      </c>
      <c r="E1533" s="230">
        <v>13666</v>
      </c>
      <c r="F1533" s="254" t="s">
        <v>249</v>
      </c>
      <c r="G1533" s="226" t="str">
        <f t="shared" ref="G1533:G1538" si="174">+G1529</f>
        <v>كسب عمل يونيو</v>
      </c>
      <c r="V1533" s="226">
        <v>109527.1</v>
      </c>
      <c r="AV1533" s="22">
        <f t="shared" si="154"/>
        <v>109527.1</v>
      </c>
      <c r="AW1533" s="226">
        <v>109527.1</v>
      </c>
      <c r="CK1533" s="22">
        <f t="shared" si="170"/>
        <v>109527.1</v>
      </c>
      <c r="CL1533" s="3">
        <f t="shared" si="171"/>
        <v>0</v>
      </c>
      <c r="CM1533" s="222">
        <f t="shared" si="172"/>
        <v>13666</v>
      </c>
      <c r="CN1533" s="3" t="str">
        <f t="shared" si="173"/>
        <v>خدمة عامة</v>
      </c>
    </row>
    <row r="1534" spans="1:92" s="226" customFormat="1" x14ac:dyDescent="0.25">
      <c r="A1534" s="236"/>
      <c r="C1534" s="226">
        <v>32</v>
      </c>
      <c r="D1534" s="230">
        <v>22574</v>
      </c>
      <c r="E1534" s="230">
        <v>13667</v>
      </c>
      <c r="F1534" s="254" t="s">
        <v>249</v>
      </c>
      <c r="G1534" s="226" t="str">
        <f t="shared" si="174"/>
        <v>دمغه عاديه يونيو</v>
      </c>
      <c r="V1534" s="226">
        <v>7572.1</v>
      </c>
      <c r="AV1534" s="22">
        <f t="shared" si="154"/>
        <v>7572.1</v>
      </c>
      <c r="AW1534" s="226">
        <v>7572.1</v>
      </c>
      <c r="CK1534" s="22">
        <f t="shared" si="170"/>
        <v>7572.1</v>
      </c>
      <c r="CL1534" s="3">
        <f t="shared" si="171"/>
        <v>0</v>
      </c>
      <c r="CM1534" s="222">
        <f t="shared" si="172"/>
        <v>13667</v>
      </c>
      <c r="CN1534" s="3" t="str">
        <f t="shared" si="173"/>
        <v>خدمة عامة</v>
      </c>
    </row>
    <row r="1535" spans="1:92" s="226" customFormat="1" x14ac:dyDescent="0.25">
      <c r="A1535" s="236"/>
      <c r="C1535" s="226">
        <v>33</v>
      </c>
      <c r="D1535" s="230">
        <v>22575</v>
      </c>
      <c r="E1535" s="230">
        <v>13668</v>
      </c>
      <c r="F1535" s="254" t="s">
        <v>249</v>
      </c>
      <c r="G1535" s="226" t="str">
        <f t="shared" si="174"/>
        <v>ضرائب متنوعه يونيو</v>
      </c>
      <c r="V1535" s="226">
        <v>1515</v>
      </c>
      <c r="AV1535" s="22">
        <f t="shared" si="154"/>
        <v>1515</v>
      </c>
      <c r="AW1535" s="226">
        <v>1515</v>
      </c>
      <c r="CK1535" s="22">
        <f t="shared" si="170"/>
        <v>1515</v>
      </c>
      <c r="CL1535" s="3">
        <f t="shared" si="171"/>
        <v>0</v>
      </c>
      <c r="CM1535" s="222">
        <f t="shared" si="172"/>
        <v>13668</v>
      </c>
      <c r="CN1535" s="3" t="str">
        <f t="shared" si="173"/>
        <v>خدمة عامة</v>
      </c>
    </row>
    <row r="1536" spans="1:92" s="226" customFormat="1" x14ac:dyDescent="0.25">
      <c r="A1536" s="236"/>
      <c r="C1536" s="226">
        <v>34</v>
      </c>
      <c r="D1536" s="230">
        <v>22576</v>
      </c>
      <c r="E1536" s="230">
        <v>13669</v>
      </c>
      <c r="F1536" s="254" t="s">
        <v>249</v>
      </c>
      <c r="G1536" s="226" t="str">
        <f t="shared" si="174"/>
        <v>تنميه موارد يونيو</v>
      </c>
      <c r="W1536" s="226">
        <v>80</v>
      </c>
      <c r="AV1536" s="22">
        <f t="shared" si="154"/>
        <v>80</v>
      </c>
      <c r="AW1536" s="226">
        <v>80</v>
      </c>
      <c r="CK1536" s="22">
        <f t="shared" si="170"/>
        <v>80</v>
      </c>
      <c r="CL1536" s="3">
        <f t="shared" si="171"/>
        <v>0</v>
      </c>
      <c r="CM1536" s="222">
        <f t="shared" si="172"/>
        <v>13669</v>
      </c>
      <c r="CN1536" s="3" t="str">
        <f t="shared" si="173"/>
        <v>خدمة عامة</v>
      </c>
    </row>
    <row r="1537" spans="1:92" s="226" customFormat="1" x14ac:dyDescent="0.25">
      <c r="A1537" s="236"/>
      <c r="C1537" s="226">
        <v>35</v>
      </c>
      <c r="D1537" s="230">
        <v>22577</v>
      </c>
      <c r="E1537" s="230">
        <v>13670</v>
      </c>
      <c r="F1537" s="254" t="s">
        <v>124</v>
      </c>
      <c r="G1537" s="226" t="str">
        <f t="shared" si="174"/>
        <v>كسب عمل يونيو</v>
      </c>
      <c r="V1537" s="226">
        <v>136.91999999999999</v>
      </c>
      <c r="AV1537" s="22">
        <f t="shared" si="154"/>
        <v>136.91999999999999</v>
      </c>
      <c r="AW1537" s="226">
        <v>136.91999999999999</v>
      </c>
      <c r="CK1537" s="22">
        <f t="shared" si="170"/>
        <v>136.91999999999999</v>
      </c>
      <c r="CL1537" s="3">
        <f t="shared" si="171"/>
        <v>0</v>
      </c>
      <c r="CM1537" s="222">
        <f t="shared" si="172"/>
        <v>13670</v>
      </c>
      <c r="CN1537" s="3" t="str">
        <f t="shared" si="173"/>
        <v>تكافل اسنان</v>
      </c>
    </row>
    <row r="1538" spans="1:92" s="226" customFormat="1" x14ac:dyDescent="0.25">
      <c r="A1538" s="236"/>
      <c r="C1538" s="226">
        <v>36</v>
      </c>
      <c r="D1538" s="230">
        <v>22578</v>
      </c>
      <c r="E1538" s="230">
        <v>13671</v>
      </c>
      <c r="F1538" s="254" t="s">
        <v>124</v>
      </c>
      <c r="G1538" s="226" t="str">
        <f t="shared" si="174"/>
        <v>دمغه عاديه يونيو</v>
      </c>
      <c r="V1538" s="226">
        <v>5.0999999999999996</v>
      </c>
      <c r="AV1538" s="22">
        <f t="shared" si="154"/>
        <v>5.0999999999999996</v>
      </c>
      <c r="AW1538" s="226">
        <v>5.0999999999999996</v>
      </c>
      <c r="CK1538" s="22">
        <f t="shared" si="170"/>
        <v>5.0999999999999996</v>
      </c>
      <c r="CL1538" s="3">
        <f t="shared" si="171"/>
        <v>0</v>
      </c>
      <c r="CM1538" s="222">
        <f t="shared" si="172"/>
        <v>13671</v>
      </c>
      <c r="CN1538" s="3" t="str">
        <f t="shared" si="173"/>
        <v>تكافل اسنان</v>
      </c>
    </row>
    <row r="1539" spans="1:92" s="226" customFormat="1" ht="31.5" x14ac:dyDescent="0.25">
      <c r="A1539" s="236"/>
      <c r="D1539" s="230">
        <v>22523</v>
      </c>
      <c r="E1539" s="230">
        <v>13672</v>
      </c>
      <c r="F1539" s="254"/>
      <c r="G1539" s="239" t="s">
        <v>5672</v>
      </c>
      <c r="AF1539" s="226">
        <v>35385.25</v>
      </c>
      <c r="AV1539" s="22">
        <f t="shared" si="154"/>
        <v>35385.25</v>
      </c>
      <c r="AW1539" s="226">
        <v>35385.25</v>
      </c>
      <c r="CK1539" s="22">
        <f t="shared" si="170"/>
        <v>35385.25</v>
      </c>
      <c r="CL1539" s="3">
        <f t="shared" si="171"/>
        <v>0</v>
      </c>
      <c r="CM1539" s="222">
        <f t="shared" si="172"/>
        <v>13672</v>
      </c>
      <c r="CN1539" s="3">
        <f t="shared" si="173"/>
        <v>0</v>
      </c>
    </row>
    <row r="1540" spans="1:92" s="226" customFormat="1" x14ac:dyDescent="0.25">
      <c r="A1540" s="236"/>
      <c r="D1540" s="230">
        <v>22524</v>
      </c>
      <c r="E1540" s="230">
        <v>13673</v>
      </c>
      <c r="F1540" s="254"/>
      <c r="G1540" s="226" t="s">
        <v>5673</v>
      </c>
      <c r="AF1540" s="226">
        <v>1750</v>
      </c>
      <c r="AV1540" s="22">
        <f t="shared" si="154"/>
        <v>1750</v>
      </c>
      <c r="AW1540" s="226">
        <v>1750</v>
      </c>
      <c r="CK1540" s="22">
        <f t="shared" si="170"/>
        <v>1750</v>
      </c>
      <c r="CL1540" s="3">
        <f t="shared" si="171"/>
        <v>0</v>
      </c>
      <c r="CM1540" s="222">
        <f t="shared" si="172"/>
        <v>13673</v>
      </c>
      <c r="CN1540" s="3">
        <f t="shared" si="173"/>
        <v>0</v>
      </c>
    </row>
    <row r="1541" spans="1:92" s="226" customFormat="1" ht="31.5" x14ac:dyDescent="0.25">
      <c r="A1541" s="236"/>
      <c r="D1541" s="230">
        <v>22525</v>
      </c>
      <c r="E1541" s="230">
        <v>13674</v>
      </c>
      <c r="F1541" s="254"/>
      <c r="G1541" s="239" t="s">
        <v>5674</v>
      </c>
      <c r="AF1541" s="226">
        <v>20760.900000000001</v>
      </c>
      <c r="AV1541" s="22">
        <f t="shared" si="154"/>
        <v>20760.900000000001</v>
      </c>
      <c r="AW1541" s="226">
        <v>20760.900000000001</v>
      </c>
      <c r="CK1541" s="22">
        <f t="shared" si="170"/>
        <v>20760.900000000001</v>
      </c>
      <c r="CL1541" s="3">
        <f t="shared" si="171"/>
        <v>0</v>
      </c>
      <c r="CM1541" s="222">
        <f t="shared" si="172"/>
        <v>13674</v>
      </c>
      <c r="CN1541" s="3">
        <f t="shared" si="173"/>
        <v>0</v>
      </c>
    </row>
    <row r="1542" spans="1:92" s="226" customFormat="1" ht="31.5" x14ac:dyDescent="0.25">
      <c r="A1542" s="236"/>
      <c r="D1542" s="230">
        <v>22526</v>
      </c>
      <c r="E1542" s="230">
        <v>13675</v>
      </c>
      <c r="F1542" s="254"/>
      <c r="G1542" s="239" t="s">
        <v>5675</v>
      </c>
      <c r="AF1542" s="226">
        <v>68849.41</v>
      </c>
      <c r="AV1542" s="22">
        <f t="shared" si="154"/>
        <v>68849.41</v>
      </c>
      <c r="AW1542" s="226">
        <v>68849.41</v>
      </c>
      <c r="CK1542" s="22">
        <f t="shared" si="170"/>
        <v>68849.41</v>
      </c>
      <c r="CL1542" s="3">
        <f t="shared" si="171"/>
        <v>0</v>
      </c>
      <c r="CM1542" s="222">
        <f t="shared" si="172"/>
        <v>13675</v>
      </c>
      <c r="CN1542" s="3">
        <f t="shared" si="173"/>
        <v>0</v>
      </c>
    </row>
    <row r="1543" spans="1:92" s="226" customFormat="1" x14ac:dyDescent="0.25">
      <c r="A1543" s="236"/>
      <c r="D1543" s="230">
        <v>22527</v>
      </c>
      <c r="E1543" s="230">
        <v>13676</v>
      </c>
      <c r="F1543" s="254"/>
      <c r="G1543" s="226" t="s">
        <v>5655</v>
      </c>
      <c r="AF1543" s="226">
        <v>1150</v>
      </c>
      <c r="AV1543" s="22">
        <f t="shared" si="154"/>
        <v>1150</v>
      </c>
      <c r="AW1543" s="226">
        <v>1150</v>
      </c>
      <c r="CK1543" s="22">
        <f t="shared" si="170"/>
        <v>1150</v>
      </c>
      <c r="CL1543" s="3">
        <f t="shared" si="171"/>
        <v>0</v>
      </c>
      <c r="CM1543" s="222">
        <f t="shared" si="172"/>
        <v>13676</v>
      </c>
      <c r="CN1543" s="3">
        <f t="shared" si="173"/>
        <v>0</v>
      </c>
    </row>
    <row r="1544" spans="1:92" s="226" customFormat="1" x14ac:dyDescent="0.25">
      <c r="A1544" s="236"/>
      <c r="D1544" s="230">
        <v>22596</v>
      </c>
      <c r="E1544" s="230">
        <v>13677</v>
      </c>
      <c r="F1544" s="254" t="s">
        <v>78</v>
      </c>
      <c r="G1544" s="226" t="s">
        <v>5676</v>
      </c>
      <c r="X1544" s="226">
        <v>32268.27</v>
      </c>
      <c r="AV1544" s="22">
        <f t="shared" si="154"/>
        <v>32268.27</v>
      </c>
      <c r="AW1544" s="226">
        <v>32268.27</v>
      </c>
      <c r="CK1544" s="22"/>
      <c r="CL1544" s="3"/>
      <c r="CM1544" s="222"/>
      <c r="CN1544" s="3"/>
    </row>
    <row r="1545" spans="1:92" s="226" customFormat="1" x14ac:dyDescent="0.25">
      <c r="A1545" s="236"/>
      <c r="D1545" s="230">
        <v>22597</v>
      </c>
      <c r="E1545" s="230">
        <v>13678</v>
      </c>
      <c r="F1545" s="254" t="s">
        <v>130</v>
      </c>
      <c r="G1545" s="226" t="s">
        <v>5676</v>
      </c>
      <c r="X1545" s="226">
        <v>13003.9</v>
      </c>
      <c r="AV1545" s="22">
        <f t="shared" si="154"/>
        <v>13003.9</v>
      </c>
      <c r="AW1545" s="226">
        <v>13003.9</v>
      </c>
      <c r="CK1545" s="22">
        <f t="shared" ref="CK1545:CK1553" si="175">SUM(AW1545:CJ1545)</f>
        <v>13003.9</v>
      </c>
      <c r="CL1545" s="3">
        <f t="shared" ref="CL1545:CL1553" si="176">+CK1545-AV1545</f>
        <v>0</v>
      </c>
      <c r="CM1545" s="222">
        <f t="shared" ref="CM1545:CM1553" si="177">+E1545</f>
        <v>13678</v>
      </c>
      <c r="CN1545" s="3" t="str">
        <f t="shared" ref="CN1545:CN1553" si="178">+F1545</f>
        <v>خ ت طب</v>
      </c>
    </row>
    <row r="1546" spans="1:92" s="226" customFormat="1" x14ac:dyDescent="0.25">
      <c r="A1546" s="236"/>
      <c r="D1546" s="230">
        <v>22598</v>
      </c>
      <c r="E1546" s="230">
        <v>13679</v>
      </c>
      <c r="F1546" s="254" t="s">
        <v>128</v>
      </c>
      <c r="G1546" s="226" t="s">
        <v>5676</v>
      </c>
      <c r="X1546" s="226">
        <v>2160</v>
      </c>
      <c r="AV1546" s="22">
        <f t="shared" si="154"/>
        <v>2160</v>
      </c>
      <c r="AW1546" s="226">
        <v>2160</v>
      </c>
      <c r="CK1546" s="22">
        <f t="shared" si="175"/>
        <v>2160</v>
      </c>
      <c r="CL1546" s="3">
        <f t="shared" si="176"/>
        <v>0</v>
      </c>
      <c r="CM1546" s="222">
        <f t="shared" si="177"/>
        <v>13679</v>
      </c>
      <c r="CN1546" s="3" t="str">
        <f t="shared" si="178"/>
        <v>مركز مؤتمرات</v>
      </c>
    </row>
    <row r="1547" spans="1:92" s="226" customFormat="1" x14ac:dyDescent="0.25">
      <c r="A1547" s="236"/>
      <c r="D1547" s="230">
        <v>22599</v>
      </c>
      <c r="E1547" s="230">
        <v>13680</v>
      </c>
      <c r="F1547" s="254" t="s">
        <v>5144</v>
      </c>
      <c r="G1547" s="226" t="s">
        <v>5676</v>
      </c>
      <c r="X1547" s="226">
        <v>37452.550000000003</v>
      </c>
      <c r="AV1547" s="22">
        <f t="shared" si="154"/>
        <v>37452.550000000003</v>
      </c>
      <c r="AW1547" s="226">
        <v>37452.550000000003</v>
      </c>
      <c r="CK1547" s="22">
        <f t="shared" si="175"/>
        <v>37452.550000000003</v>
      </c>
      <c r="CL1547" s="3">
        <f t="shared" si="176"/>
        <v>0</v>
      </c>
      <c r="CM1547" s="222">
        <f t="shared" si="177"/>
        <v>13680</v>
      </c>
      <c r="CN1547" s="3" t="str">
        <f t="shared" si="178"/>
        <v>صيدلة اكلينكى</v>
      </c>
    </row>
    <row r="1548" spans="1:92" s="226" customFormat="1" x14ac:dyDescent="0.25">
      <c r="A1548" s="236"/>
      <c r="D1548" s="230">
        <v>22600</v>
      </c>
      <c r="E1548" s="230">
        <v>13681</v>
      </c>
      <c r="F1548" s="254" t="s">
        <v>119</v>
      </c>
      <c r="G1548" s="226" t="s">
        <v>5676</v>
      </c>
      <c r="X1548" s="226">
        <v>13691.25</v>
      </c>
      <c r="AV1548" s="22">
        <f t="shared" si="154"/>
        <v>13691.25</v>
      </c>
      <c r="AW1548" s="226">
        <v>13691.25</v>
      </c>
      <c r="CK1548" s="22">
        <f t="shared" si="175"/>
        <v>13691.25</v>
      </c>
      <c r="CL1548" s="3">
        <f t="shared" si="176"/>
        <v>0</v>
      </c>
      <c r="CM1548" s="222">
        <f t="shared" si="177"/>
        <v>13681</v>
      </c>
      <c r="CN1548" s="3" t="str">
        <f t="shared" si="178"/>
        <v>خ ت صيدلة</v>
      </c>
    </row>
    <row r="1549" spans="1:92" s="226" customFormat="1" x14ac:dyDescent="0.25">
      <c r="A1549" s="236"/>
      <c r="D1549" s="230">
        <v>22601</v>
      </c>
      <c r="E1549" s="230">
        <v>13682</v>
      </c>
      <c r="F1549" s="254" t="s">
        <v>116</v>
      </c>
      <c r="G1549" s="226" t="s">
        <v>5676</v>
      </c>
      <c r="X1549" s="226">
        <v>642.75</v>
      </c>
      <c r="AV1549" s="22">
        <f t="shared" si="154"/>
        <v>642.75</v>
      </c>
      <c r="AW1549" s="226">
        <v>642.75</v>
      </c>
      <c r="CK1549" s="22">
        <f t="shared" si="175"/>
        <v>642.75</v>
      </c>
      <c r="CL1549" s="3">
        <f t="shared" si="176"/>
        <v>0</v>
      </c>
      <c r="CM1549" s="222">
        <f t="shared" si="177"/>
        <v>13682</v>
      </c>
      <c r="CN1549" s="3" t="str">
        <f t="shared" si="178"/>
        <v>اتحاد صيدلة</v>
      </c>
    </row>
    <row r="1550" spans="1:92" s="226" customFormat="1" x14ac:dyDescent="0.25">
      <c r="A1550" s="236"/>
      <c r="D1550" s="230">
        <v>22602</v>
      </c>
      <c r="E1550" s="230">
        <v>13683</v>
      </c>
      <c r="F1550" s="254" t="s">
        <v>121</v>
      </c>
      <c r="G1550" s="226" t="s">
        <v>5676</v>
      </c>
      <c r="X1550" s="226">
        <v>75011.600000000006</v>
      </c>
      <c r="AV1550" s="22">
        <f t="shared" si="154"/>
        <v>75011.600000000006</v>
      </c>
      <c r="AW1550" s="226">
        <v>75011.600000000006</v>
      </c>
      <c r="CK1550" s="22">
        <f t="shared" si="175"/>
        <v>75011.600000000006</v>
      </c>
      <c r="CL1550" s="3">
        <f t="shared" si="176"/>
        <v>0</v>
      </c>
      <c r="CM1550" s="222">
        <f t="shared" si="177"/>
        <v>13683</v>
      </c>
      <c r="CN1550" s="3" t="str">
        <f t="shared" si="178"/>
        <v>ماليزى اسنان</v>
      </c>
    </row>
    <row r="1551" spans="1:92" s="226" customFormat="1" x14ac:dyDescent="0.25">
      <c r="A1551" s="236"/>
      <c r="D1551" s="230">
        <v>22603</v>
      </c>
      <c r="E1551" s="230">
        <v>13684</v>
      </c>
      <c r="F1551" s="254" t="s">
        <v>249</v>
      </c>
      <c r="G1551" s="226" t="s">
        <v>5676</v>
      </c>
      <c r="X1551" s="226">
        <v>869</v>
      </c>
      <c r="AV1551" s="22">
        <f t="shared" si="154"/>
        <v>869</v>
      </c>
      <c r="AW1551" s="226">
        <v>869</v>
      </c>
      <c r="CK1551" s="22">
        <f t="shared" si="175"/>
        <v>869</v>
      </c>
      <c r="CL1551" s="3">
        <f t="shared" si="176"/>
        <v>0</v>
      </c>
      <c r="CM1551" s="222">
        <f t="shared" si="177"/>
        <v>13684</v>
      </c>
      <c r="CN1551" s="3" t="str">
        <f t="shared" si="178"/>
        <v>خدمة عامة</v>
      </c>
    </row>
    <row r="1552" spans="1:92" s="226" customFormat="1" x14ac:dyDescent="0.25">
      <c r="A1552" s="236"/>
      <c r="D1552" s="230">
        <v>22604</v>
      </c>
      <c r="E1552" s="230">
        <v>13685</v>
      </c>
      <c r="F1552" s="254" t="s">
        <v>122</v>
      </c>
      <c r="G1552" s="226" t="s">
        <v>5676</v>
      </c>
      <c r="X1552" s="226">
        <v>83.25</v>
      </c>
      <c r="AV1552" s="22">
        <f t="shared" si="154"/>
        <v>83.25</v>
      </c>
      <c r="AW1552" s="226">
        <v>83.25</v>
      </c>
      <c r="CK1552" s="22">
        <f t="shared" si="175"/>
        <v>83.25</v>
      </c>
      <c r="CL1552" s="3">
        <f t="shared" si="176"/>
        <v>0</v>
      </c>
      <c r="CM1552" s="222">
        <f t="shared" si="177"/>
        <v>13685</v>
      </c>
      <c r="CN1552" s="3" t="str">
        <f t="shared" si="178"/>
        <v>علاج تخصصى</v>
      </c>
    </row>
    <row r="1553" spans="1:98" s="226" customFormat="1" ht="31.5" x14ac:dyDescent="0.25">
      <c r="A1553" s="236"/>
      <c r="C1553" s="226" t="s">
        <v>5716</v>
      </c>
      <c r="D1553" s="230">
        <v>22513</v>
      </c>
      <c r="E1553" s="230">
        <v>13686</v>
      </c>
      <c r="F1553" s="254"/>
      <c r="G1553" s="239" t="s">
        <v>5677</v>
      </c>
      <c r="AC1553" s="226">
        <v>133109.70000000001</v>
      </c>
      <c r="AV1553" s="22">
        <f t="shared" si="154"/>
        <v>133109.70000000001</v>
      </c>
      <c r="AW1553" s="226">
        <v>131778.6</v>
      </c>
      <c r="CJ1553" s="226">
        <v>1331.1</v>
      </c>
      <c r="CK1553" s="22">
        <f t="shared" si="175"/>
        <v>133109.70000000001</v>
      </c>
      <c r="CL1553" s="3">
        <f t="shared" si="176"/>
        <v>0</v>
      </c>
      <c r="CM1553" s="222">
        <f t="shared" si="177"/>
        <v>13686</v>
      </c>
      <c r="CN1553" s="3">
        <f t="shared" si="178"/>
        <v>0</v>
      </c>
    </row>
    <row r="1554" spans="1:98" s="228" customFormat="1" x14ac:dyDescent="0.25">
      <c r="A1554" s="235"/>
      <c r="D1554" s="227"/>
      <c r="E1554" s="227"/>
      <c r="F1554" s="253"/>
      <c r="G1554" s="240" t="s">
        <v>5678</v>
      </c>
      <c r="U1554" s="228">
        <f>SUM(U1491:U1553)</f>
        <v>1616050.41</v>
      </c>
      <c r="V1554" s="228">
        <f t="shared" ref="V1554:CL1554" si="179">SUM(V1491:V1553)</f>
        <v>2994413.1900000004</v>
      </c>
      <c r="W1554" s="228">
        <f t="shared" si="179"/>
        <v>2950</v>
      </c>
      <c r="X1554" s="228">
        <f t="shared" si="179"/>
        <v>175182.57</v>
      </c>
      <c r="Y1554" s="228">
        <f t="shared" si="179"/>
        <v>0</v>
      </c>
      <c r="Z1554" s="228">
        <f t="shared" si="179"/>
        <v>0</v>
      </c>
      <c r="AB1554" s="228">
        <f t="shared" si="179"/>
        <v>0</v>
      </c>
      <c r="AC1554" s="228">
        <f t="shared" si="179"/>
        <v>133109.70000000001</v>
      </c>
      <c r="AD1554" s="228">
        <f t="shared" si="179"/>
        <v>0</v>
      </c>
      <c r="AE1554" s="228">
        <f t="shared" si="179"/>
        <v>0</v>
      </c>
      <c r="AF1554" s="228">
        <f t="shared" si="179"/>
        <v>127895.56</v>
      </c>
      <c r="AH1554" s="228">
        <f t="shared" si="179"/>
        <v>0</v>
      </c>
      <c r="AI1554" s="228">
        <f t="shared" si="179"/>
        <v>0</v>
      </c>
      <c r="AJ1554" s="228">
        <f t="shared" si="179"/>
        <v>0</v>
      </c>
      <c r="AK1554" s="228">
        <f t="shared" si="179"/>
        <v>0</v>
      </c>
      <c r="AL1554" s="228">
        <f t="shared" si="179"/>
        <v>0</v>
      </c>
      <c r="AM1554" s="228">
        <f t="shared" si="179"/>
        <v>0</v>
      </c>
      <c r="AN1554" s="228">
        <f t="shared" si="179"/>
        <v>0</v>
      </c>
      <c r="AO1554" s="228">
        <f t="shared" si="179"/>
        <v>0</v>
      </c>
      <c r="AP1554" s="228">
        <f t="shared" si="179"/>
        <v>0</v>
      </c>
      <c r="AQ1554" s="228">
        <f t="shared" si="179"/>
        <v>0</v>
      </c>
      <c r="AR1554" s="228">
        <f t="shared" si="179"/>
        <v>0</v>
      </c>
      <c r="AS1554" s="228">
        <f t="shared" si="179"/>
        <v>0</v>
      </c>
      <c r="AT1554" s="228">
        <f t="shared" si="179"/>
        <v>0</v>
      </c>
      <c r="AU1554" s="228">
        <f t="shared" si="179"/>
        <v>0</v>
      </c>
      <c r="AV1554" s="228">
        <f t="shared" si="179"/>
        <v>5049601.4300000006</v>
      </c>
      <c r="AW1554" s="228">
        <f t="shared" si="179"/>
        <v>5048270.33</v>
      </c>
      <c r="AX1554" s="228">
        <f t="shared" si="179"/>
        <v>0</v>
      </c>
      <c r="AY1554" s="228">
        <f t="shared" si="179"/>
        <v>0</v>
      </c>
      <c r="AZ1554" s="228">
        <f t="shared" si="179"/>
        <v>0</v>
      </c>
      <c r="BA1554" s="228">
        <f t="shared" si="179"/>
        <v>0</v>
      </c>
      <c r="BC1554" s="228">
        <f t="shared" si="179"/>
        <v>0</v>
      </c>
      <c r="BD1554" s="228">
        <f t="shared" si="179"/>
        <v>0</v>
      </c>
      <c r="BE1554" s="228">
        <f t="shared" si="179"/>
        <v>0</v>
      </c>
      <c r="BF1554" s="228">
        <f t="shared" si="179"/>
        <v>0</v>
      </c>
      <c r="BH1554" s="228">
        <f t="shared" si="179"/>
        <v>0</v>
      </c>
      <c r="BI1554" s="228">
        <f t="shared" si="179"/>
        <v>0</v>
      </c>
      <c r="BJ1554" s="228">
        <f t="shared" si="179"/>
        <v>0</v>
      </c>
      <c r="BK1554" s="228">
        <f t="shared" si="179"/>
        <v>0</v>
      </c>
      <c r="BL1554" s="228">
        <f t="shared" si="179"/>
        <v>0</v>
      </c>
      <c r="BM1554" s="228">
        <f t="shared" si="179"/>
        <v>0</v>
      </c>
      <c r="BN1554" s="228">
        <f t="shared" si="179"/>
        <v>0</v>
      </c>
      <c r="BO1554" s="228">
        <f t="shared" si="179"/>
        <v>0</v>
      </c>
      <c r="BP1554" s="228">
        <f t="shared" si="179"/>
        <v>0</v>
      </c>
      <c r="BQ1554" s="228">
        <f t="shared" si="179"/>
        <v>0</v>
      </c>
      <c r="BR1554" s="228">
        <f t="shared" si="179"/>
        <v>0</v>
      </c>
      <c r="BS1554" s="228">
        <f t="shared" si="179"/>
        <v>0</v>
      </c>
      <c r="BT1554" s="228">
        <f t="shared" si="179"/>
        <v>0</v>
      </c>
      <c r="BU1554" s="228">
        <f t="shared" si="179"/>
        <v>0</v>
      </c>
      <c r="BV1554" s="228">
        <f t="shared" si="179"/>
        <v>0</v>
      </c>
      <c r="BW1554" s="228">
        <f t="shared" si="179"/>
        <v>0</v>
      </c>
      <c r="BX1554" s="228">
        <f t="shared" si="179"/>
        <v>0</v>
      </c>
      <c r="BY1554" s="228">
        <f t="shared" si="179"/>
        <v>0</v>
      </c>
      <c r="BZ1554" s="228">
        <f t="shared" si="179"/>
        <v>0</v>
      </c>
      <c r="CA1554" s="228">
        <f t="shared" si="179"/>
        <v>0</v>
      </c>
      <c r="CB1554" s="228">
        <f t="shared" si="179"/>
        <v>0</v>
      </c>
      <c r="CC1554" s="228">
        <f t="shared" si="179"/>
        <v>0</v>
      </c>
      <c r="CD1554" s="228">
        <f t="shared" si="179"/>
        <v>0</v>
      </c>
      <c r="CE1554" s="228">
        <f t="shared" si="179"/>
        <v>0</v>
      </c>
      <c r="CF1554" s="228">
        <f t="shared" si="179"/>
        <v>0</v>
      </c>
      <c r="CG1554" s="228">
        <f t="shared" si="179"/>
        <v>0</v>
      </c>
      <c r="CH1554" s="228">
        <f t="shared" si="179"/>
        <v>0</v>
      </c>
      <c r="CJ1554" s="228">
        <f t="shared" si="179"/>
        <v>1331.1</v>
      </c>
      <c r="CK1554" s="228">
        <f t="shared" si="179"/>
        <v>5017333.1600000011</v>
      </c>
      <c r="CL1554" s="228">
        <f t="shared" si="179"/>
        <v>0</v>
      </c>
      <c r="CM1554" s="260"/>
    </row>
    <row r="1555" spans="1:98" s="226" customFormat="1" x14ac:dyDescent="0.25">
      <c r="A1555" s="236"/>
      <c r="D1555" s="230"/>
      <c r="E1555" s="230">
        <v>13687</v>
      </c>
      <c r="F1555" s="254" t="s">
        <v>332</v>
      </c>
      <c r="G1555" s="239" t="s">
        <v>899</v>
      </c>
      <c r="CM1555" s="217"/>
    </row>
    <row r="1556" spans="1:98" s="233" customFormat="1" x14ac:dyDescent="0.25">
      <c r="A1556" s="237"/>
      <c r="D1556" s="232"/>
      <c r="E1556" s="232"/>
      <c r="F1556" s="255"/>
      <c r="AV1556" s="22">
        <f t="shared" ref="AV1556:AV1612" si="180">SUM(I1556:AU1556)</f>
        <v>0</v>
      </c>
      <c r="CK1556" s="22">
        <f t="shared" ref="CK1556:CK1594" si="181">SUM(AW1556:CJ1556)</f>
        <v>0</v>
      </c>
      <c r="CL1556" s="3">
        <f t="shared" ref="CL1556:CL1594" si="182">+CK1556-AV1556</f>
        <v>0</v>
      </c>
      <c r="CM1556" s="222">
        <f t="shared" ref="CM1556:CM1594" si="183">+E1556</f>
        <v>0</v>
      </c>
      <c r="CN1556" s="3">
        <f t="shared" ref="CN1556:CN1594" si="184">+F1556</f>
        <v>0</v>
      </c>
    </row>
    <row r="1557" spans="1:98" x14ac:dyDescent="0.25">
      <c r="A1557" s="234">
        <v>45388</v>
      </c>
      <c r="E1557" s="223">
        <v>560</v>
      </c>
      <c r="F1557" s="250" t="s">
        <v>332</v>
      </c>
      <c r="G1557" s="223" t="s">
        <v>5526</v>
      </c>
      <c r="AV1557" s="22">
        <f t="shared" si="180"/>
        <v>0</v>
      </c>
      <c r="CK1557" s="22">
        <f t="shared" si="181"/>
        <v>0</v>
      </c>
      <c r="CL1557" s="3">
        <f t="shared" si="182"/>
        <v>0</v>
      </c>
      <c r="CM1557" s="222">
        <f t="shared" si="183"/>
        <v>560</v>
      </c>
      <c r="CN1557" s="3" t="str">
        <f t="shared" si="184"/>
        <v xml:space="preserve">لاب فقط </v>
      </c>
    </row>
    <row r="1558" spans="1:98" x14ac:dyDescent="0.25">
      <c r="A1558" s="234">
        <v>45388</v>
      </c>
      <c r="E1558" s="223">
        <v>561</v>
      </c>
      <c r="F1558" s="250" t="s">
        <v>332</v>
      </c>
      <c r="G1558" s="223" t="s">
        <v>5526</v>
      </c>
      <c r="AV1558" s="22">
        <f t="shared" si="180"/>
        <v>0</v>
      </c>
      <c r="CK1558" s="22">
        <f t="shared" si="181"/>
        <v>0</v>
      </c>
      <c r="CL1558" s="3">
        <f t="shared" si="182"/>
        <v>0</v>
      </c>
      <c r="CM1558" s="222">
        <f t="shared" si="183"/>
        <v>561</v>
      </c>
      <c r="CN1558" s="3" t="str">
        <f t="shared" si="184"/>
        <v xml:space="preserve">لاب فقط </v>
      </c>
    </row>
    <row r="1559" spans="1:98" x14ac:dyDescent="0.25">
      <c r="A1559" s="234">
        <v>45388</v>
      </c>
      <c r="E1559" s="223">
        <v>562</v>
      </c>
      <c r="F1559" s="250" t="s">
        <v>332</v>
      </c>
      <c r="G1559" s="223" t="s">
        <v>5526</v>
      </c>
      <c r="AV1559" s="22">
        <f t="shared" si="180"/>
        <v>0</v>
      </c>
      <c r="CK1559" s="22">
        <f t="shared" si="181"/>
        <v>0</v>
      </c>
      <c r="CL1559" s="3">
        <f t="shared" si="182"/>
        <v>0</v>
      </c>
      <c r="CM1559" s="222">
        <f t="shared" si="183"/>
        <v>562</v>
      </c>
      <c r="CN1559" s="3" t="str">
        <f t="shared" si="184"/>
        <v xml:space="preserve">لاب فقط </v>
      </c>
    </row>
    <row r="1560" spans="1:98" x14ac:dyDescent="0.25">
      <c r="E1560" s="224">
        <v>563</v>
      </c>
      <c r="F1560" s="250" t="s">
        <v>332</v>
      </c>
      <c r="G1560" s="223" t="s">
        <v>5635</v>
      </c>
      <c r="AV1560" s="22">
        <f t="shared" si="180"/>
        <v>0</v>
      </c>
      <c r="CK1560" s="22">
        <f t="shared" si="181"/>
        <v>0</v>
      </c>
      <c r="CL1560" s="3">
        <f t="shared" si="182"/>
        <v>0</v>
      </c>
      <c r="CM1560" s="222">
        <f t="shared" si="183"/>
        <v>563</v>
      </c>
      <c r="CN1560" s="3" t="str">
        <f t="shared" si="184"/>
        <v xml:space="preserve">لاب فقط </v>
      </c>
    </row>
    <row r="1561" spans="1:98" ht="31.5" x14ac:dyDescent="0.25">
      <c r="E1561" s="223">
        <v>564</v>
      </c>
      <c r="G1561" s="225" t="s">
        <v>5524</v>
      </c>
      <c r="AE1561" s="223">
        <v>85369.12</v>
      </c>
      <c r="AV1561" s="22">
        <f t="shared" si="180"/>
        <v>85369.12</v>
      </c>
      <c r="BW1561" s="223">
        <v>85369.12</v>
      </c>
      <c r="CK1561" s="22">
        <f t="shared" si="181"/>
        <v>85369.12</v>
      </c>
      <c r="CL1561" s="3">
        <f t="shared" si="182"/>
        <v>0</v>
      </c>
      <c r="CM1561" s="222">
        <f t="shared" si="183"/>
        <v>564</v>
      </c>
      <c r="CN1561" s="3">
        <f t="shared" si="184"/>
        <v>0</v>
      </c>
    </row>
    <row r="1562" spans="1:98" x14ac:dyDescent="0.25">
      <c r="E1562" s="223">
        <v>565</v>
      </c>
      <c r="G1562" s="223" t="s">
        <v>5521</v>
      </c>
      <c r="R1562" s="223">
        <v>2500</v>
      </c>
      <c r="AV1562" s="22">
        <f t="shared" si="180"/>
        <v>2500</v>
      </c>
      <c r="BV1562" s="223">
        <v>2500</v>
      </c>
      <c r="CK1562" s="22">
        <f t="shared" si="181"/>
        <v>2500</v>
      </c>
      <c r="CL1562" s="3">
        <f t="shared" si="182"/>
        <v>0</v>
      </c>
      <c r="CM1562" s="222">
        <f t="shared" si="183"/>
        <v>565</v>
      </c>
      <c r="CN1562" s="3">
        <f t="shared" si="184"/>
        <v>0</v>
      </c>
    </row>
    <row r="1563" spans="1:98" x14ac:dyDescent="0.25">
      <c r="E1563" s="223">
        <v>566</v>
      </c>
      <c r="G1563" s="223" t="s">
        <v>5522</v>
      </c>
      <c r="R1563" s="223">
        <v>15000</v>
      </c>
      <c r="AV1563" s="22">
        <f t="shared" si="180"/>
        <v>15000</v>
      </c>
      <c r="BV1563" s="223">
        <v>15000</v>
      </c>
      <c r="CK1563" s="22">
        <f t="shared" si="181"/>
        <v>15000</v>
      </c>
      <c r="CL1563" s="3">
        <f t="shared" si="182"/>
        <v>0</v>
      </c>
      <c r="CM1563" s="222">
        <f t="shared" si="183"/>
        <v>566</v>
      </c>
      <c r="CN1563" s="3">
        <f t="shared" si="184"/>
        <v>0</v>
      </c>
    </row>
    <row r="1564" spans="1:98" x14ac:dyDescent="0.25">
      <c r="E1564" s="223">
        <v>567</v>
      </c>
      <c r="G1564" s="223" t="s">
        <v>5523</v>
      </c>
      <c r="R1564" s="223">
        <v>6700</v>
      </c>
      <c r="AV1564" s="22">
        <f t="shared" si="180"/>
        <v>6700</v>
      </c>
      <c r="BV1564" s="223">
        <v>6700</v>
      </c>
      <c r="CK1564" s="22">
        <f t="shared" si="181"/>
        <v>6700</v>
      </c>
      <c r="CL1564" s="3">
        <f t="shared" si="182"/>
        <v>0</v>
      </c>
      <c r="CM1564" s="222">
        <f t="shared" si="183"/>
        <v>567</v>
      </c>
      <c r="CN1564" s="3">
        <f t="shared" si="184"/>
        <v>0</v>
      </c>
    </row>
    <row r="1565" spans="1:98" ht="31.5" x14ac:dyDescent="0.25">
      <c r="E1565" s="223">
        <v>568</v>
      </c>
      <c r="G1565" s="225" t="s">
        <v>5525</v>
      </c>
      <c r="AE1565" s="223">
        <v>3550</v>
      </c>
      <c r="AV1565" s="22">
        <f t="shared" si="180"/>
        <v>3550</v>
      </c>
      <c r="BW1565" s="223">
        <v>3550</v>
      </c>
      <c r="CK1565" s="22">
        <f t="shared" si="181"/>
        <v>3550</v>
      </c>
      <c r="CL1565" s="3">
        <f t="shared" si="182"/>
        <v>0</v>
      </c>
      <c r="CM1565" s="222">
        <f t="shared" si="183"/>
        <v>568</v>
      </c>
      <c r="CN1565" s="3">
        <f t="shared" si="184"/>
        <v>0</v>
      </c>
    </row>
    <row r="1566" spans="1:98" x14ac:dyDescent="0.25">
      <c r="B1566" s="234"/>
      <c r="E1566" s="224">
        <v>569</v>
      </c>
      <c r="F1566" s="250" t="s">
        <v>121</v>
      </c>
      <c r="G1566" s="223" t="s">
        <v>5636</v>
      </c>
      <c r="Y1566" s="223">
        <v>1000</v>
      </c>
      <c r="AV1566" s="22">
        <f t="shared" si="180"/>
        <v>1000</v>
      </c>
      <c r="BF1566" s="223">
        <v>1000</v>
      </c>
      <c r="CK1566" s="22">
        <f t="shared" si="181"/>
        <v>1000</v>
      </c>
      <c r="CL1566" s="3">
        <f t="shared" si="182"/>
        <v>0</v>
      </c>
      <c r="CM1566" s="222">
        <f t="shared" si="183"/>
        <v>569</v>
      </c>
      <c r="CN1566" s="3" t="str">
        <f t="shared" si="184"/>
        <v>ماليزى اسنان</v>
      </c>
    </row>
    <row r="1567" spans="1:98" s="228" customFormat="1" x14ac:dyDescent="0.25">
      <c r="A1567" s="235"/>
      <c r="D1567" s="227"/>
      <c r="E1567" s="227"/>
      <c r="F1567" s="253"/>
      <c r="G1567" s="228" t="s">
        <v>5527</v>
      </c>
      <c r="R1567" s="228">
        <f>SUM(R1557:R1566)</f>
        <v>24200</v>
      </c>
      <c r="S1567" s="228">
        <f t="shared" ref="S1567:CH1567" si="185">SUM(S1557:S1566)</f>
        <v>0</v>
      </c>
      <c r="T1567" s="228">
        <f t="shared" si="185"/>
        <v>0</v>
      </c>
      <c r="U1567" s="228">
        <f t="shared" si="185"/>
        <v>0</v>
      </c>
      <c r="V1567" s="228">
        <f t="shared" si="185"/>
        <v>0</v>
      </c>
      <c r="W1567" s="228">
        <f t="shared" si="185"/>
        <v>0</v>
      </c>
      <c r="X1567" s="228">
        <f t="shared" si="185"/>
        <v>0</v>
      </c>
      <c r="Y1567" s="228">
        <f t="shared" si="185"/>
        <v>1000</v>
      </c>
      <c r="Z1567" s="228">
        <f t="shared" si="185"/>
        <v>0</v>
      </c>
      <c r="AB1567" s="228">
        <f t="shared" si="185"/>
        <v>0</v>
      </c>
      <c r="AC1567" s="228">
        <f t="shared" si="185"/>
        <v>0</v>
      </c>
      <c r="AD1567" s="228">
        <f t="shared" si="185"/>
        <v>0</v>
      </c>
      <c r="AE1567" s="228">
        <f t="shared" si="185"/>
        <v>88919.12</v>
      </c>
      <c r="AF1567" s="228">
        <f t="shared" si="185"/>
        <v>0</v>
      </c>
      <c r="AH1567" s="228">
        <f t="shared" si="185"/>
        <v>0</v>
      </c>
      <c r="AI1567" s="228">
        <f t="shared" si="185"/>
        <v>0</v>
      </c>
      <c r="AJ1567" s="228">
        <f t="shared" si="185"/>
        <v>0</v>
      </c>
      <c r="AK1567" s="228">
        <f t="shared" si="185"/>
        <v>0</v>
      </c>
      <c r="AL1567" s="228">
        <f t="shared" si="185"/>
        <v>0</v>
      </c>
      <c r="AM1567" s="228">
        <f t="shared" si="185"/>
        <v>0</v>
      </c>
      <c r="AN1567" s="228">
        <f t="shared" si="185"/>
        <v>0</v>
      </c>
      <c r="AO1567" s="228">
        <f t="shared" si="185"/>
        <v>0</v>
      </c>
      <c r="AP1567" s="228">
        <f t="shared" si="185"/>
        <v>0</v>
      </c>
      <c r="AQ1567" s="228">
        <f t="shared" si="185"/>
        <v>0</v>
      </c>
      <c r="AR1567" s="228">
        <f t="shared" si="185"/>
        <v>0</v>
      </c>
      <c r="AS1567" s="228">
        <f t="shared" si="185"/>
        <v>0</v>
      </c>
      <c r="AT1567" s="228">
        <f t="shared" si="185"/>
        <v>0</v>
      </c>
      <c r="AU1567" s="228">
        <f t="shared" si="185"/>
        <v>0</v>
      </c>
      <c r="AV1567" s="22">
        <f t="shared" si="180"/>
        <v>114119.12</v>
      </c>
      <c r="AW1567" s="228">
        <f t="shared" si="185"/>
        <v>0</v>
      </c>
      <c r="AX1567" s="228">
        <f t="shared" si="185"/>
        <v>0</v>
      </c>
      <c r="AY1567" s="228">
        <f t="shared" si="185"/>
        <v>0</v>
      </c>
      <c r="AZ1567" s="228">
        <f t="shared" si="185"/>
        <v>0</v>
      </c>
      <c r="BA1567" s="228">
        <f t="shared" si="185"/>
        <v>0</v>
      </c>
      <c r="BC1567" s="228">
        <f t="shared" si="185"/>
        <v>0</v>
      </c>
      <c r="BD1567" s="228">
        <f t="shared" si="185"/>
        <v>0</v>
      </c>
      <c r="BE1567" s="228">
        <f t="shared" si="185"/>
        <v>0</v>
      </c>
      <c r="BF1567" s="228">
        <f t="shared" si="185"/>
        <v>1000</v>
      </c>
      <c r="BH1567" s="228">
        <f t="shared" si="185"/>
        <v>0</v>
      </c>
      <c r="BI1567" s="228">
        <f t="shared" si="185"/>
        <v>0</v>
      </c>
      <c r="BJ1567" s="228">
        <f t="shared" si="185"/>
        <v>0</v>
      </c>
      <c r="BK1567" s="228">
        <f t="shared" si="185"/>
        <v>0</v>
      </c>
      <c r="BL1567" s="228">
        <f t="shared" si="185"/>
        <v>0</v>
      </c>
      <c r="BM1567" s="228">
        <f t="shared" si="185"/>
        <v>0</v>
      </c>
      <c r="BN1567" s="228">
        <f t="shared" si="185"/>
        <v>0</v>
      </c>
      <c r="BO1567" s="228">
        <f t="shared" si="185"/>
        <v>0</v>
      </c>
      <c r="BP1567" s="228">
        <f t="shared" si="185"/>
        <v>0</v>
      </c>
      <c r="BQ1567" s="228">
        <f t="shared" si="185"/>
        <v>0</v>
      </c>
      <c r="BR1567" s="228">
        <f t="shared" si="185"/>
        <v>0</v>
      </c>
      <c r="BS1567" s="228">
        <f t="shared" si="185"/>
        <v>0</v>
      </c>
      <c r="BT1567" s="228">
        <f t="shared" si="185"/>
        <v>0</v>
      </c>
      <c r="BU1567" s="228">
        <f t="shared" si="185"/>
        <v>0</v>
      </c>
      <c r="BV1567" s="228">
        <f t="shared" si="185"/>
        <v>24200</v>
      </c>
      <c r="BW1567" s="228">
        <f t="shared" si="185"/>
        <v>88919.12</v>
      </c>
      <c r="BX1567" s="228">
        <f t="shared" si="185"/>
        <v>0</v>
      </c>
      <c r="BY1567" s="228">
        <f t="shared" si="185"/>
        <v>0</v>
      </c>
      <c r="BZ1567" s="228">
        <f t="shared" si="185"/>
        <v>0</v>
      </c>
      <c r="CA1567" s="228">
        <f t="shared" si="185"/>
        <v>0</v>
      </c>
      <c r="CB1567" s="228">
        <f t="shared" si="185"/>
        <v>0</v>
      </c>
      <c r="CC1567" s="228">
        <f t="shared" si="185"/>
        <v>0</v>
      </c>
      <c r="CD1567" s="228">
        <f t="shared" si="185"/>
        <v>0</v>
      </c>
      <c r="CE1567" s="228">
        <f t="shared" si="185"/>
        <v>0</v>
      </c>
      <c r="CF1567" s="228">
        <f t="shared" si="185"/>
        <v>0</v>
      </c>
      <c r="CG1567" s="228">
        <f t="shared" si="185"/>
        <v>0</v>
      </c>
      <c r="CH1567" s="228">
        <f t="shared" si="185"/>
        <v>0</v>
      </c>
      <c r="CJ1567" s="228">
        <f t="shared" ref="CJ1567:CO1567" si="186">SUM(CJ1557:CJ1566)</f>
        <v>0</v>
      </c>
      <c r="CK1567" s="22">
        <f t="shared" si="181"/>
        <v>114119.12</v>
      </c>
      <c r="CL1567" s="3">
        <f t="shared" si="182"/>
        <v>0</v>
      </c>
      <c r="CM1567" s="222">
        <f t="shared" si="183"/>
        <v>0</v>
      </c>
      <c r="CN1567" s="3">
        <f t="shared" si="184"/>
        <v>0</v>
      </c>
      <c r="CO1567" s="228">
        <f t="shared" si="186"/>
        <v>0</v>
      </c>
      <c r="CP1567" s="228">
        <f>SUM(CP1557:CP1564)</f>
        <v>0</v>
      </c>
      <c r="CQ1567" s="228">
        <f>SUM(CQ1557:CQ1564)</f>
        <v>0</v>
      </c>
      <c r="CR1567" s="228">
        <f>SUM(CR1557:CR1564)</f>
        <v>0</v>
      </c>
      <c r="CS1567" s="228">
        <f>SUM(CS1557:CS1564)</f>
        <v>0</v>
      </c>
      <c r="CT1567" s="228">
        <f>SUM(CT1557:CT1564)</f>
        <v>0</v>
      </c>
    </row>
    <row r="1568" spans="1:98" x14ac:dyDescent="0.25">
      <c r="E1568" s="224">
        <v>570</v>
      </c>
      <c r="G1568" s="223" t="s">
        <v>5664</v>
      </c>
      <c r="I1568" s="223">
        <v>1023369.15</v>
      </c>
      <c r="AV1568" s="22">
        <f t="shared" si="180"/>
        <v>1023369.15</v>
      </c>
      <c r="CJ1568" s="223">
        <v>1023369.15</v>
      </c>
      <c r="CK1568" s="22">
        <f t="shared" si="181"/>
        <v>1023369.15</v>
      </c>
      <c r="CL1568" s="3">
        <f t="shared" si="182"/>
        <v>0</v>
      </c>
      <c r="CM1568" s="222">
        <f t="shared" si="183"/>
        <v>570</v>
      </c>
      <c r="CN1568" s="3">
        <f t="shared" si="184"/>
        <v>0</v>
      </c>
    </row>
    <row r="1569" spans="1:94" x14ac:dyDescent="0.25">
      <c r="E1569" s="224">
        <v>571</v>
      </c>
      <c r="G1569" s="223" t="s">
        <v>5665</v>
      </c>
      <c r="I1569" s="223">
        <v>8687638.5</v>
      </c>
      <c r="AV1569" s="22">
        <f t="shared" si="180"/>
        <v>8687638.5</v>
      </c>
      <c r="CJ1569" s="223">
        <v>8687638.5</v>
      </c>
      <c r="CK1569" s="22">
        <f t="shared" si="181"/>
        <v>8687638.5</v>
      </c>
      <c r="CL1569" s="3">
        <f t="shared" si="182"/>
        <v>0</v>
      </c>
      <c r="CM1569" s="222">
        <f t="shared" si="183"/>
        <v>571</v>
      </c>
      <c r="CN1569" s="3">
        <f t="shared" si="184"/>
        <v>0</v>
      </c>
    </row>
    <row r="1570" spans="1:94" x14ac:dyDescent="0.25">
      <c r="E1570" s="224">
        <v>572</v>
      </c>
      <c r="G1570" s="223" t="s">
        <v>5666</v>
      </c>
      <c r="I1570" s="223">
        <v>1027240.16</v>
      </c>
      <c r="AV1570" s="22">
        <f t="shared" si="180"/>
        <v>1027240.16</v>
      </c>
      <c r="CJ1570" s="223">
        <v>1027240.16</v>
      </c>
      <c r="CK1570" s="22">
        <f t="shared" si="181"/>
        <v>1027240.16</v>
      </c>
      <c r="CL1570" s="3">
        <f t="shared" si="182"/>
        <v>0</v>
      </c>
      <c r="CM1570" s="222">
        <f t="shared" si="183"/>
        <v>572</v>
      </c>
      <c r="CN1570" s="3">
        <f t="shared" si="184"/>
        <v>0</v>
      </c>
    </row>
    <row r="1571" spans="1:94" s="228" customFormat="1" x14ac:dyDescent="0.25">
      <c r="A1571" s="235"/>
      <c r="D1571" s="227"/>
      <c r="E1571" s="227"/>
      <c r="F1571" s="253"/>
      <c r="G1571" s="228" t="s">
        <v>5667</v>
      </c>
      <c r="I1571" s="228">
        <f>SUM(I1568:I1570)</f>
        <v>10738247.810000001</v>
      </c>
      <c r="J1571" s="228">
        <f t="shared" ref="J1571:BY1571" si="187">SUM(J1568:J1570)</f>
        <v>0</v>
      </c>
      <c r="K1571" s="228">
        <f t="shared" si="187"/>
        <v>0</v>
      </c>
      <c r="L1571" s="228">
        <f t="shared" si="187"/>
        <v>0</v>
      </c>
      <c r="M1571" s="228">
        <f t="shared" si="187"/>
        <v>0</v>
      </c>
      <c r="N1571" s="228">
        <f t="shared" si="187"/>
        <v>0</v>
      </c>
      <c r="O1571" s="228">
        <f t="shared" si="187"/>
        <v>0</v>
      </c>
      <c r="P1571" s="228">
        <f t="shared" si="187"/>
        <v>0</v>
      </c>
      <c r="Q1571" s="228">
        <f t="shared" si="187"/>
        <v>0</v>
      </c>
      <c r="R1571" s="228">
        <f t="shared" si="187"/>
        <v>0</v>
      </c>
      <c r="S1571" s="228">
        <f t="shared" si="187"/>
        <v>0</v>
      </c>
      <c r="T1571" s="228">
        <f t="shared" si="187"/>
        <v>0</v>
      </c>
      <c r="U1571" s="228">
        <f t="shared" si="187"/>
        <v>0</v>
      </c>
      <c r="V1571" s="228">
        <f t="shared" si="187"/>
        <v>0</v>
      </c>
      <c r="W1571" s="228">
        <f t="shared" si="187"/>
        <v>0</v>
      </c>
      <c r="X1571" s="228">
        <f t="shared" si="187"/>
        <v>0</v>
      </c>
      <c r="Y1571" s="228">
        <f t="shared" si="187"/>
        <v>0</v>
      </c>
      <c r="Z1571" s="228">
        <f t="shared" si="187"/>
        <v>0</v>
      </c>
      <c r="AB1571" s="228">
        <f t="shared" si="187"/>
        <v>0</v>
      </c>
      <c r="AC1571" s="228">
        <f t="shared" si="187"/>
        <v>0</v>
      </c>
      <c r="AD1571" s="228">
        <f t="shared" si="187"/>
        <v>0</v>
      </c>
      <c r="AE1571" s="228">
        <f t="shared" si="187"/>
        <v>0</v>
      </c>
      <c r="AF1571" s="228">
        <f t="shared" si="187"/>
        <v>0</v>
      </c>
      <c r="AH1571" s="228">
        <f t="shared" si="187"/>
        <v>0</v>
      </c>
      <c r="AI1571" s="228">
        <f t="shared" si="187"/>
        <v>0</v>
      </c>
      <c r="AJ1571" s="228">
        <f t="shared" si="187"/>
        <v>0</v>
      </c>
      <c r="AK1571" s="228">
        <f t="shared" si="187"/>
        <v>0</v>
      </c>
      <c r="AL1571" s="228">
        <f t="shared" si="187"/>
        <v>0</v>
      </c>
      <c r="AM1571" s="228">
        <f t="shared" si="187"/>
        <v>0</v>
      </c>
      <c r="AN1571" s="228">
        <f t="shared" si="187"/>
        <v>0</v>
      </c>
      <c r="AO1571" s="228">
        <f t="shared" si="187"/>
        <v>0</v>
      </c>
      <c r="AP1571" s="228">
        <f t="shared" si="187"/>
        <v>0</v>
      </c>
      <c r="AQ1571" s="228">
        <f t="shared" si="187"/>
        <v>0</v>
      </c>
      <c r="AR1571" s="228">
        <f t="shared" si="187"/>
        <v>0</v>
      </c>
      <c r="AS1571" s="228">
        <f t="shared" si="187"/>
        <v>0</v>
      </c>
      <c r="AT1571" s="228">
        <f t="shared" si="187"/>
        <v>0</v>
      </c>
      <c r="AU1571" s="228">
        <f t="shared" si="187"/>
        <v>0</v>
      </c>
      <c r="AV1571" s="22">
        <f t="shared" si="180"/>
        <v>10738247.810000001</v>
      </c>
      <c r="AW1571" s="228">
        <f t="shared" si="187"/>
        <v>0</v>
      </c>
      <c r="AX1571" s="228">
        <f t="shared" si="187"/>
        <v>0</v>
      </c>
      <c r="AY1571" s="228">
        <f t="shared" si="187"/>
        <v>0</v>
      </c>
      <c r="AZ1571" s="228">
        <f t="shared" si="187"/>
        <v>0</v>
      </c>
      <c r="BA1571" s="228">
        <f t="shared" si="187"/>
        <v>0</v>
      </c>
      <c r="BC1571" s="228">
        <f t="shared" si="187"/>
        <v>0</v>
      </c>
      <c r="BD1571" s="228">
        <f t="shared" si="187"/>
        <v>0</v>
      </c>
      <c r="BE1571" s="228">
        <f t="shared" si="187"/>
        <v>0</v>
      </c>
      <c r="BF1571" s="228">
        <f t="shared" si="187"/>
        <v>0</v>
      </c>
      <c r="BH1571" s="228">
        <f t="shared" si="187"/>
        <v>0</v>
      </c>
      <c r="BI1571" s="228">
        <f t="shared" si="187"/>
        <v>0</v>
      </c>
      <c r="BJ1571" s="228">
        <f t="shared" si="187"/>
        <v>0</v>
      </c>
      <c r="BK1571" s="228">
        <f t="shared" si="187"/>
        <v>0</v>
      </c>
      <c r="BL1571" s="228">
        <f t="shared" si="187"/>
        <v>0</v>
      </c>
      <c r="BM1571" s="228">
        <f t="shared" si="187"/>
        <v>0</v>
      </c>
      <c r="BN1571" s="228">
        <f t="shared" si="187"/>
        <v>0</v>
      </c>
      <c r="BO1571" s="228">
        <f t="shared" si="187"/>
        <v>0</v>
      </c>
      <c r="BP1571" s="228">
        <f t="shared" si="187"/>
        <v>0</v>
      </c>
      <c r="BQ1571" s="228">
        <f t="shared" si="187"/>
        <v>0</v>
      </c>
      <c r="BR1571" s="228">
        <f t="shared" si="187"/>
        <v>0</v>
      </c>
      <c r="BS1571" s="228">
        <f t="shared" si="187"/>
        <v>0</v>
      </c>
      <c r="BT1571" s="228">
        <f t="shared" si="187"/>
        <v>0</v>
      </c>
      <c r="BU1571" s="228">
        <f t="shared" si="187"/>
        <v>0</v>
      </c>
      <c r="BV1571" s="228">
        <f t="shared" si="187"/>
        <v>0</v>
      </c>
      <c r="BW1571" s="228">
        <f t="shared" si="187"/>
        <v>0</v>
      </c>
      <c r="BX1571" s="228">
        <f t="shared" si="187"/>
        <v>0</v>
      </c>
      <c r="BY1571" s="228">
        <f t="shared" si="187"/>
        <v>0</v>
      </c>
      <c r="BZ1571" s="228">
        <f t="shared" ref="BZ1571:CP1571" si="188">SUM(BZ1568:BZ1570)</f>
        <v>0</v>
      </c>
      <c r="CA1571" s="228">
        <f t="shared" si="188"/>
        <v>0</v>
      </c>
      <c r="CB1571" s="228">
        <f t="shared" si="188"/>
        <v>0</v>
      </c>
      <c r="CC1571" s="228">
        <f t="shared" si="188"/>
        <v>0</v>
      </c>
      <c r="CD1571" s="228">
        <f t="shared" si="188"/>
        <v>0</v>
      </c>
      <c r="CE1571" s="228">
        <f t="shared" si="188"/>
        <v>0</v>
      </c>
      <c r="CF1571" s="228">
        <f t="shared" si="188"/>
        <v>0</v>
      </c>
      <c r="CG1571" s="228">
        <f t="shared" si="188"/>
        <v>0</v>
      </c>
      <c r="CH1571" s="228">
        <f t="shared" si="188"/>
        <v>0</v>
      </c>
      <c r="CJ1571" s="228">
        <f t="shared" si="188"/>
        <v>10738247.810000001</v>
      </c>
      <c r="CK1571" s="22">
        <f t="shared" si="181"/>
        <v>10738247.810000001</v>
      </c>
      <c r="CL1571" s="3">
        <f t="shared" si="182"/>
        <v>0</v>
      </c>
      <c r="CM1571" s="222">
        <f t="shared" si="183"/>
        <v>0</v>
      </c>
      <c r="CN1571" s="3">
        <f t="shared" si="184"/>
        <v>0</v>
      </c>
      <c r="CO1571" s="228">
        <f t="shared" si="188"/>
        <v>0</v>
      </c>
      <c r="CP1571" s="228">
        <f t="shared" si="188"/>
        <v>0</v>
      </c>
    </row>
    <row r="1572" spans="1:94" x14ac:dyDescent="0.25">
      <c r="D1572" s="224">
        <v>1</v>
      </c>
      <c r="E1572" s="224">
        <v>573</v>
      </c>
      <c r="F1572" s="250" t="s">
        <v>122</v>
      </c>
      <c r="G1572" s="223" t="s">
        <v>5679</v>
      </c>
      <c r="AT1572" s="223">
        <v>150</v>
      </c>
      <c r="AV1572" s="22">
        <f t="shared" si="180"/>
        <v>150</v>
      </c>
      <c r="CJ1572" s="223">
        <v>150</v>
      </c>
      <c r="CK1572" s="22">
        <f t="shared" si="181"/>
        <v>150</v>
      </c>
      <c r="CL1572" s="3">
        <f t="shared" si="182"/>
        <v>0</v>
      </c>
      <c r="CM1572" s="222">
        <f t="shared" si="183"/>
        <v>573</v>
      </c>
      <c r="CN1572" s="3" t="str">
        <f t="shared" si="184"/>
        <v>علاج تخصصى</v>
      </c>
    </row>
    <row r="1573" spans="1:94" x14ac:dyDescent="0.25">
      <c r="D1573" s="224">
        <v>2</v>
      </c>
      <c r="E1573" s="224">
        <v>574</v>
      </c>
      <c r="F1573" s="250" t="s">
        <v>122</v>
      </c>
      <c r="G1573" s="223" t="s">
        <v>5680</v>
      </c>
      <c r="AT1573" s="223">
        <v>100</v>
      </c>
      <c r="AV1573" s="22">
        <f t="shared" si="180"/>
        <v>100</v>
      </c>
      <c r="CJ1573" s="223">
        <v>100</v>
      </c>
      <c r="CK1573" s="22">
        <f t="shared" si="181"/>
        <v>100</v>
      </c>
      <c r="CL1573" s="3">
        <f t="shared" si="182"/>
        <v>0</v>
      </c>
      <c r="CM1573" s="222">
        <f t="shared" si="183"/>
        <v>574</v>
      </c>
      <c r="CN1573" s="3" t="str">
        <f t="shared" si="184"/>
        <v>علاج تخصصى</v>
      </c>
    </row>
    <row r="1574" spans="1:94" x14ac:dyDescent="0.25">
      <c r="D1574" s="224">
        <v>3</v>
      </c>
      <c r="E1574" s="224">
        <v>575</v>
      </c>
      <c r="F1574" s="250" t="s">
        <v>122</v>
      </c>
      <c r="G1574" s="223" t="s">
        <v>5681</v>
      </c>
      <c r="AT1574" s="223">
        <v>200</v>
      </c>
      <c r="AV1574" s="22">
        <f t="shared" si="180"/>
        <v>200</v>
      </c>
      <c r="CJ1574" s="223">
        <v>200</v>
      </c>
      <c r="CK1574" s="22">
        <f t="shared" si="181"/>
        <v>200</v>
      </c>
      <c r="CL1574" s="3">
        <f t="shared" si="182"/>
        <v>0</v>
      </c>
      <c r="CM1574" s="222">
        <f t="shared" si="183"/>
        <v>575</v>
      </c>
      <c r="CN1574" s="3" t="str">
        <f t="shared" si="184"/>
        <v>علاج تخصصى</v>
      </c>
    </row>
    <row r="1575" spans="1:94" x14ac:dyDescent="0.25">
      <c r="D1575" s="224">
        <v>4</v>
      </c>
      <c r="E1575" s="224">
        <v>576</v>
      </c>
      <c r="F1575" s="250" t="s">
        <v>122</v>
      </c>
      <c r="G1575" s="223" t="s">
        <v>5682</v>
      </c>
      <c r="AT1575" s="223">
        <v>250</v>
      </c>
      <c r="AV1575" s="22">
        <f t="shared" si="180"/>
        <v>250</v>
      </c>
      <c r="CJ1575" s="223">
        <v>250</v>
      </c>
      <c r="CK1575" s="22">
        <f t="shared" si="181"/>
        <v>250</v>
      </c>
      <c r="CL1575" s="3">
        <f t="shared" si="182"/>
        <v>0</v>
      </c>
      <c r="CM1575" s="222">
        <f t="shared" si="183"/>
        <v>576</v>
      </c>
      <c r="CN1575" s="3" t="str">
        <f t="shared" si="184"/>
        <v>علاج تخصصى</v>
      </c>
    </row>
    <row r="1576" spans="1:94" x14ac:dyDescent="0.25">
      <c r="D1576" s="224">
        <v>5</v>
      </c>
      <c r="E1576" s="224">
        <v>577</v>
      </c>
      <c r="F1576" s="250" t="s">
        <v>249</v>
      </c>
      <c r="G1576" s="223" t="s">
        <v>5683</v>
      </c>
      <c r="AT1576" s="223">
        <v>8355</v>
      </c>
      <c r="AV1576" s="22">
        <f t="shared" si="180"/>
        <v>8355</v>
      </c>
      <c r="CJ1576" s="223">
        <v>8355</v>
      </c>
      <c r="CK1576" s="22">
        <f t="shared" si="181"/>
        <v>8355</v>
      </c>
      <c r="CL1576" s="3">
        <f t="shared" si="182"/>
        <v>0</v>
      </c>
      <c r="CM1576" s="222">
        <f t="shared" si="183"/>
        <v>577</v>
      </c>
      <c r="CN1576" s="3" t="str">
        <f t="shared" si="184"/>
        <v>خدمة عامة</v>
      </c>
    </row>
    <row r="1577" spans="1:94" x14ac:dyDescent="0.25">
      <c r="D1577" s="224">
        <v>6</v>
      </c>
      <c r="E1577" s="224">
        <v>578</v>
      </c>
      <c r="F1577" s="250" t="s">
        <v>249</v>
      </c>
      <c r="G1577" s="223" t="s">
        <v>5684</v>
      </c>
      <c r="AT1577" s="223">
        <v>9345</v>
      </c>
      <c r="AV1577" s="22">
        <f t="shared" si="180"/>
        <v>9345</v>
      </c>
      <c r="CJ1577" s="223">
        <v>9345</v>
      </c>
      <c r="CK1577" s="22">
        <f t="shared" si="181"/>
        <v>9345</v>
      </c>
      <c r="CL1577" s="3">
        <f t="shared" si="182"/>
        <v>0</v>
      </c>
      <c r="CM1577" s="222">
        <f t="shared" si="183"/>
        <v>578</v>
      </c>
      <c r="CN1577" s="3" t="str">
        <f t="shared" si="184"/>
        <v>خدمة عامة</v>
      </c>
    </row>
    <row r="1578" spans="1:94" x14ac:dyDescent="0.25">
      <c r="D1578" s="224">
        <v>7</v>
      </c>
      <c r="E1578" s="224">
        <v>579</v>
      </c>
      <c r="F1578" s="250" t="s">
        <v>249</v>
      </c>
      <c r="G1578" s="223" t="s">
        <v>5685</v>
      </c>
      <c r="AT1578" s="223">
        <v>8740</v>
      </c>
      <c r="AV1578" s="22">
        <f t="shared" si="180"/>
        <v>8740</v>
      </c>
      <c r="CJ1578" s="223">
        <v>8740</v>
      </c>
      <c r="CK1578" s="22">
        <f t="shared" si="181"/>
        <v>8740</v>
      </c>
      <c r="CL1578" s="3">
        <f t="shared" si="182"/>
        <v>0</v>
      </c>
      <c r="CM1578" s="222">
        <f t="shared" si="183"/>
        <v>579</v>
      </c>
      <c r="CN1578" s="3" t="str">
        <f t="shared" si="184"/>
        <v>خدمة عامة</v>
      </c>
    </row>
    <row r="1579" spans="1:94" x14ac:dyDescent="0.25">
      <c r="D1579" s="224">
        <v>8</v>
      </c>
      <c r="E1579" s="224">
        <v>580</v>
      </c>
      <c r="F1579" s="250" t="s">
        <v>249</v>
      </c>
      <c r="G1579" s="223" t="s">
        <v>5686</v>
      </c>
      <c r="AT1579" s="223">
        <v>10985</v>
      </c>
      <c r="AV1579" s="22">
        <f t="shared" si="180"/>
        <v>10985</v>
      </c>
      <c r="CJ1579" s="223">
        <v>10985</v>
      </c>
      <c r="CK1579" s="22">
        <f t="shared" si="181"/>
        <v>10985</v>
      </c>
      <c r="CL1579" s="3">
        <f t="shared" si="182"/>
        <v>0</v>
      </c>
      <c r="CM1579" s="222">
        <f t="shared" si="183"/>
        <v>580</v>
      </c>
      <c r="CN1579" s="3" t="str">
        <f t="shared" si="184"/>
        <v>خدمة عامة</v>
      </c>
    </row>
    <row r="1580" spans="1:94" x14ac:dyDescent="0.25">
      <c r="D1580" s="224">
        <v>9</v>
      </c>
      <c r="E1580" s="224">
        <v>581</v>
      </c>
      <c r="F1580" s="250" t="s">
        <v>249</v>
      </c>
      <c r="G1580" s="223" t="s">
        <v>5687</v>
      </c>
      <c r="AT1580" s="223">
        <v>8030</v>
      </c>
      <c r="AV1580" s="22">
        <f t="shared" si="180"/>
        <v>8030</v>
      </c>
      <c r="CJ1580" s="223">
        <v>8030</v>
      </c>
      <c r="CK1580" s="22">
        <f t="shared" si="181"/>
        <v>8030</v>
      </c>
      <c r="CL1580" s="3">
        <f t="shared" si="182"/>
        <v>0</v>
      </c>
      <c r="CM1580" s="222">
        <f t="shared" si="183"/>
        <v>581</v>
      </c>
      <c r="CN1580" s="3" t="str">
        <f t="shared" si="184"/>
        <v>خدمة عامة</v>
      </c>
    </row>
    <row r="1581" spans="1:94" x14ac:dyDescent="0.25">
      <c r="D1581" s="224">
        <v>10</v>
      </c>
      <c r="E1581" s="224">
        <v>582</v>
      </c>
      <c r="F1581" s="250" t="s">
        <v>249</v>
      </c>
      <c r="G1581" s="223" t="s">
        <v>5688</v>
      </c>
      <c r="AT1581" s="223">
        <v>8935</v>
      </c>
      <c r="AV1581" s="22">
        <f t="shared" si="180"/>
        <v>8935</v>
      </c>
      <c r="CJ1581" s="223">
        <v>8935</v>
      </c>
      <c r="CK1581" s="22">
        <f t="shared" si="181"/>
        <v>8935</v>
      </c>
      <c r="CL1581" s="3">
        <f t="shared" si="182"/>
        <v>0</v>
      </c>
      <c r="CM1581" s="222">
        <f t="shared" si="183"/>
        <v>582</v>
      </c>
      <c r="CN1581" s="3" t="str">
        <f t="shared" si="184"/>
        <v>خدمة عامة</v>
      </c>
    </row>
    <row r="1582" spans="1:94" x14ac:dyDescent="0.25">
      <c r="D1582" s="224">
        <v>11</v>
      </c>
      <c r="E1582" s="224">
        <v>583</v>
      </c>
      <c r="F1582" s="250" t="s">
        <v>121</v>
      </c>
      <c r="G1582" s="223" t="s">
        <v>5689</v>
      </c>
      <c r="AT1582" s="223">
        <v>30</v>
      </c>
      <c r="AV1582" s="22">
        <f t="shared" si="180"/>
        <v>30</v>
      </c>
      <c r="CJ1582" s="223">
        <v>30</v>
      </c>
      <c r="CK1582" s="22">
        <f t="shared" si="181"/>
        <v>30</v>
      </c>
      <c r="CL1582" s="3">
        <f t="shared" si="182"/>
        <v>0</v>
      </c>
      <c r="CM1582" s="222">
        <f t="shared" si="183"/>
        <v>583</v>
      </c>
      <c r="CN1582" s="3" t="str">
        <f t="shared" si="184"/>
        <v>ماليزى اسنان</v>
      </c>
    </row>
    <row r="1583" spans="1:94" x14ac:dyDescent="0.25">
      <c r="D1583" s="224">
        <v>12</v>
      </c>
      <c r="E1583" s="224">
        <v>584</v>
      </c>
      <c r="F1583" s="250" t="s">
        <v>121</v>
      </c>
      <c r="G1583" s="223" t="s">
        <v>5691</v>
      </c>
      <c r="AT1583" s="223">
        <v>605</v>
      </c>
      <c r="AV1583" s="22">
        <f t="shared" si="180"/>
        <v>605</v>
      </c>
      <c r="BB1583" s="223">
        <v>605</v>
      </c>
      <c r="CK1583" s="22">
        <f t="shared" si="181"/>
        <v>605</v>
      </c>
      <c r="CL1583" s="3">
        <f t="shared" si="182"/>
        <v>0</v>
      </c>
      <c r="CM1583" s="222">
        <f t="shared" si="183"/>
        <v>584</v>
      </c>
      <c r="CN1583" s="3" t="str">
        <f t="shared" si="184"/>
        <v>ماليزى اسنان</v>
      </c>
    </row>
    <row r="1584" spans="1:94" x14ac:dyDescent="0.25">
      <c r="D1584" s="224">
        <v>13</v>
      </c>
      <c r="E1584" s="224">
        <v>585</v>
      </c>
      <c r="G1584" s="223" t="s">
        <v>1157</v>
      </c>
      <c r="AM1584" s="223">
        <v>46500</v>
      </c>
      <c r="AV1584" s="22">
        <f t="shared" si="180"/>
        <v>46500</v>
      </c>
      <c r="CA1584" s="223">
        <v>46500</v>
      </c>
      <c r="CK1584" s="22">
        <f t="shared" si="181"/>
        <v>46500</v>
      </c>
      <c r="CL1584" s="3">
        <f t="shared" si="182"/>
        <v>0</v>
      </c>
      <c r="CM1584" s="222">
        <f t="shared" si="183"/>
        <v>585</v>
      </c>
      <c r="CN1584" s="3">
        <f t="shared" si="184"/>
        <v>0</v>
      </c>
    </row>
    <row r="1585" spans="1:92" x14ac:dyDescent="0.25">
      <c r="D1585" s="224">
        <v>14</v>
      </c>
      <c r="E1585" s="224">
        <v>586</v>
      </c>
      <c r="G1585" s="223" t="s">
        <v>5692</v>
      </c>
      <c r="AL1585" s="223">
        <v>11000</v>
      </c>
      <c r="AV1585" s="22">
        <f t="shared" si="180"/>
        <v>11000</v>
      </c>
      <c r="BZ1585" s="223">
        <v>11000</v>
      </c>
      <c r="CK1585" s="22">
        <f t="shared" si="181"/>
        <v>11000</v>
      </c>
      <c r="CL1585" s="3">
        <f t="shared" si="182"/>
        <v>0</v>
      </c>
      <c r="CM1585" s="222">
        <f t="shared" si="183"/>
        <v>586</v>
      </c>
      <c r="CN1585" s="3">
        <f t="shared" si="184"/>
        <v>0</v>
      </c>
    </row>
    <row r="1586" spans="1:92" x14ac:dyDescent="0.25">
      <c r="D1586" s="224">
        <v>15</v>
      </c>
      <c r="E1586" s="224">
        <v>587</v>
      </c>
      <c r="G1586" s="223" t="str">
        <f>+G1584</f>
        <v>خطاب ضمان مكتب الاندلس للمقاولات (طب )</v>
      </c>
      <c r="AL1586" s="223">
        <v>33000</v>
      </c>
      <c r="AV1586" s="22">
        <f t="shared" si="180"/>
        <v>33000</v>
      </c>
      <c r="BZ1586" s="223">
        <v>33000</v>
      </c>
      <c r="CK1586" s="22">
        <f t="shared" si="181"/>
        <v>33000</v>
      </c>
      <c r="CL1586" s="3">
        <f t="shared" si="182"/>
        <v>0</v>
      </c>
      <c r="CM1586" s="222">
        <f t="shared" si="183"/>
        <v>587</v>
      </c>
      <c r="CN1586" s="3">
        <f t="shared" si="184"/>
        <v>0</v>
      </c>
    </row>
    <row r="1587" spans="1:92" x14ac:dyDescent="0.25">
      <c r="D1587" s="224">
        <v>16</v>
      </c>
      <c r="E1587" s="224">
        <v>588</v>
      </c>
      <c r="G1587" s="223" t="s">
        <v>5693</v>
      </c>
      <c r="AN1587" s="223">
        <v>9000</v>
      </c>
      <c r="AV1587" s="22">
        <f t="shared" si="180"/>
        <v>9000</v>
      </c>
      <c r="CB1587" s="223">
        <v>9000</v>
      </c>
      <c r="CK1587" s="22">
        <f t="shared" si="181"/>
        <v>9000</v>
      </c>
      <c r="CL1587" s="3">
        <f t="shared" si="182"/>
        <v>0</v>
      </c>
      <c r="CM1587" s="222">
        <f t="shared" si="183"/>
        <v>588</v>
      </c>
      <c r="CN1587" s="3">
        <f t="shared" si="184"/>
        <v>0</v>
      </c>
    </row>
    <row r="1588" spans="1:92" x14ac:dyDescent="0.25">
      <c r="E1588" s="224">
        <v>589</v>
      </c>
      <c r="G1588" s="223" t="s">
        <v>5694</v>
      </c>
      <c r="AA1588" s="223">
        <v>31824.14</v>
      </c>
      <c r="AV1588" s="22">
        <f t="shared" si="180"/>
        <v>31824.14</v>
      </c>
      <c r="BG1588" s="223">
        <v>31824.14</v>
      </c>
      <c r="CK1588" s="22">
        <f t="shared" si="181"/>
        <v>31824.14</v>
      </c>
      <c r="CL1588" s="3">
        <f t="shared" si="182"/>
        <v>0</v>
      </c>
      <c r="CM1588" s="222">
        <f t="shared" si="183"/>
        <v>589</v>
      </c>
      <c r="CN1588" s="3">
        <f t="shared" si="184"/>
        <v>0</v>
      </c>
    </row>
    <row r="1589" spans="1:92" ht="31.5" x14ac:dyDescent="0.25">
      <c r="E1589" s="224">
        <v>590</v>
      </c>
      <c r="G1589" s="225" t="s">
        <v>5695</v>
      </c>
      <c r="T1589" s="223">
        <v>344817.3</v>
      </c>
      <c r="AV1589" s="22">
        <f t="shared" si="180"/>
        <v>344817.3</v>
      </c>
      <c r="CJ1589" s="223">
        <v>344817.3</v>
      </c>
      <c r="CK1589" s="22">
        <f t="shared" si="181"/>
        <v>344817.3</v>
      </c>
      <c r="CL1589" s="3">
        <f t="shared" si="182"/>
        <v>0</v>
      </c>
      <c r="CM1589" s="222">
        <f t="shared" si="183"/>
        <v>590</v>
      </c>
      <c r="CN1589" s="3">
        <f t="shared" si="184"/>
        <v>0</v>
      </c>
    </row>
    <row r="1590" spans="1:92" ht="31.5" x14ac:dyDescent="0.25">
      <c r="E1590" s="224">
        <v>591</v>
      </c>
      <c r="G1590" s="225" t="s">
        <v>5696</v>
      </c>
      <c r="S1590" s="223">
        <v>482855.1</v>
      </c>
      <c r="AV1590" s="22">
        <f t="shared" si="180"/>
        <v>482855.1</v>
      </c>
      <c r="CJ1590" s="223">
        <v>482855.1</v>
      </c>
      <c r="CK1590" s="22">
        <f t="shared" si="181"/>
        <v>482855.1</v>
      </c>
      <c r="CL1590" s="3">
        <f t="shared" si="182"/>
        <v>0</v>
      </c>
      <c r="CM1590" s="222">
        <f t="shared" si="183"/>
        <v>591</v>
      </c>
      <c r="CN1590" s="3">
        <f t="shared" si="184"/>
        <v>0</v>
      </c>
    </row>
    <row r="1591" spans="1:92" x14ac:dyDescent="0.25">
      <c r="E1591" s="224">
        <v>592</v>
      </c>
      <c r="G1591" s="223" t="s">
        <v>5697</v>
      </c>
      <c r="L1591" s="223">
        <v>1838663.01</v>
      </c>
      <c r="AH1591" s="223">
        <v>27526856.170000002</v>
      </c>
      <c r="AV1591" s="22">
        <f t="shared" si="180"/>
        <v>29365519.180000003</v>
      </c>
      <c r="BD1591" s="223">
        <v>29365519.18</v>
      </c>
      <c r="CK1591" s="22">
        <f t="shared" si="181"/>
        <v>29365519.18</v>
      </c>
      <c r="CL1591" s="3">
        <f t="shared" si="182"/>
        <v>0</v>
      </c>
      <c r="CM1591" s="222">
        <f t="shared" si="183"/>
        <v>592</v>
      </c>
      <c r="CN1591" s="3">
        <f t="shared" si="184"/>
        <v>0</v>
      </c>
    </row>
    <row r="1592" spans="1:92" x14ac:dyDescent="0.25">
      <c r="E1592" s="224">
        <v>593</v>
      </c>
      <c r="G1592" s="223" t="s">
        <v>5698</v>
      </c>
      <c r="AH1592" s="223">
        <v>6617289.29</v>
      </c>
      <c r="AI1592" s="223">
        <v>9608066.5700000003</v>
      </c>
      <c r="AV1592" s="22">
        <f t="shared" si="180"/>
        <v>16225355.859999999</v>
      </c>
      <c r="BD1592" s="223">
        <v>6617289.29</v>
      </c>
      <c r="CJ1592" s="223">
        <v>9608066.5700000003</v>
      </c>
      <c r="CK1592" s="22">
        <f t="shared" si="181"/>
        <v>16225355.859999999</v>
      </c>
      <c r="CL1592" s="3">
        <f t="shared" si="182"/>
        <v>0</v>
      </c>
      <c r="CM1592" s="222">
        <f t="shared" si="183"/>
        <v>593</v>
      </c>
      <c r="CN1592" s="3">
        <f t="shared" si="184"/>
        <v>0</v>
      </c>
    </row>
    <row r="1593" spans="1:92" x14ac:dyDescent="0.25">
      <c r="E1593" s="224">
        <v>594</v>
      </c>
      <c r="G1593" s="223" t="s">
        <v>5699</v>
      </c>
      <c r="AK1593" s="223">
        <v>27526856.170000002</v>
      </c>
      <c r="AV1593" s="22">
        <f t="shared" si="180"/>
        <v>27526856.170000002</v>
      </c>
      <c r="AW1593" s="223">
        <v>26737984.620000001</v>
      </c>
      <c r="BE1593" s="223">
        <v>788871.55</v>
      </c>
      <c r="CK1593" s="22">
        <f t="shared" si="181"/>
        <v>27526856.170000002</v>
      </c>
      <c r="CL1593" s="3">
        <f t="shared" si="182"/>
        <v>0</v>
      </c>
      <c r="CM1593" s="222">
        <f t="shared" si="183"/>
        <v>594</v>
      </c>
      <c r="CN1593" s="3">
        <f t="shared" si="184"/>
        <v>0</v>
      </c>
    </row>
    <row r="1594" spans="1:92" x14ac:dyDescent="0.25">
      <c r="E1594" s="224">
        <v>595</v>
      </c>
      <c r="G1594" s="223" t="s">
        <v>5700</v>
      </c>
      <c r="AH1594" s="223">
        <v>23999810.039999999</v>
      </c>
      <c r="AK1594" s="223">
        <v>6617289.29</v>
      </c>
      <c r="AV1594" s="22">
        <f t="shared" si="180"/>
        <v>30617099.329999998</v>
      </c>
      <c r="BE1594" s="223">
        <v>30617099.329999998</v>
      </c>
      <c r="CK1594" s="22">
        <f t="shared" si="181"/>
        <v>30617099.329999998</v>
      </c>
      <c r="CL1594" s="3">
        <f t="shared" si="182"/>
        <v>0</v>
      </c>
      <c r="CM1594" s="222">
        <f t="shared" si="183"/>
        <v>595</v>
      </c>
      <c r="CN1594" s="3">
        <f t="shared" si="184"/>
        <v>0</v>
      </c>
    </row>
    <row r="1595" spans="1:92" s="228" customFormat="1" x14ac:dyDescent="0.25">
      <c r="A1595" s="235"/>
      <c r="D1595" s="227"/>
      <c r="E1595" s="227"/>
      <c r="F1595" s="253"/>
      <c r="G1595" s="228" t="s">
        <v>5701</v>
      </c>
      <c r="L1595" s="228">
        <f>SUM(L1572:L1594)</f>
        <v>1838663.01</v>
      </c>
      <c r="M1595" s="228">
        <f t="shared" ref="M1595:BX1595" si="189">SUM(M1572:M1594)</f>
        <v>0</v>
      </c>
      <c r="N1595" s="228">
        <f t="shared" si="189"/>
        <v>0</v>
      </c>
      <c r="O1595" s="228">
        <f t="shared" si="189"/>
        <v>0</v>
      </c>
      <c r="P1595" s="228">
        <f t="shared" si="189"/>
        <v>0</v>
      </c>
      <c r="Q1595" s="228">
        <f t="shared" si="189"/>
        <v>0</v>
      </c>
      <c r="R1595" s="228">
        <f t="shared" si="189"/>
        <v>0</v>
      </c>
      <c r="S1595" s="228">
        <f t="shared" si="189"/>
        <v>482855.1</v>
      </c>
      <c r="T1595" s="228">
        <f t="shared" si="189"/>
        <v>344817.3</v>
      </c>
      <c r="U1595" s="228">
        <f t="shared" si="189"/>
        <v>0</v>
      </c>
      <c r="V1595" s="228">
        <f t="shared" si="189"/>
        <v>0</v>
      </c>
      <c r="W1595" s="228">
        <f t="shared" si="189"/>
        <v>0</v>
      </c>
      <c r="X1595" s="228">
        <f t="shared" si="189"/>
        <v>0</v>
      </c>
      <c r="Y1595" s="228">
        <f t="shared" si="189"/>
        <v>0</v>
      </c>
      <c r="Z1595" s="228">
        <f t="shared" si="189"/>
        <v>0</v>
      </c>
      <c r="AA1595" s="228">
        <f t="shared" si="189"/>
        <v>31824.14</v>
      </c>
      <c r="AB1595" s="228">
        <f t="shared" si="189"/>
        <v>0</v>
      </c>
      <c r="AC1595" s="228">
        <f t="shared" si="189"/>
        <v>0</v>
      </c>
      <c r="AD1595" s="228">
        <f t="shared" si="189"/>
        <v>0</v>
      </c>
      <c r="AE1595" s="228">
        <f t="shared" si="189"/>
        <v>0</v>
      </c>
      <c r="AF1595" s="228">
        <f t="shared" si="189"/>
        <v>0</v>
      </c>
      <c r="AG1595" s="228">
        <f t="shared" si="189"/>
        <v>0</v>
      </c>
      <c r="AH1595" s="228">
        <f t="shared" si="189"/>
        <v>58143955.5</v>
      </c>
      <c r="AI1595" s="228">
        <f t="shared" si="189"/>
        <v>9608066.5700000003</v>
      </c>
      <c r="AJ1595" s="228">
        <f t="shared" si="189"/>
        <v>0</v>
      </c>
      <c r="AK1595" s="228">
        <f t="shared" si="189"/>
        <v>34144145.460000001</v>
      </c>
      <c r="AL1595" s="228">
        <f t="shared" si="189"/>
        <v>44000</v>
      </c>
      <c r="AM1595" s="228">
        <f t="shared" si="189"/>
        <v>46500</v>
      </c>
      <c r="AN1595" s="228">
        <f t="shared" si="189"/>
        <v>9000</v>
      </c>
      <c r="AO1595" s="228">
        <f t="shared" si="189"/>
        <v>0</v>
      </c>
      <c r="AP1595" s="228">
        <f t="shared" si="189"/>
        <v>0</v>
      </c>
      <c r="AQ1595" s="228">
        <f t="shared" si="189"/>
        <v>0</v>
      </c>
      <c r="AR1595" s="228">
        <f t="shared" si="189"/>
        <v>0</v>
      </c>
      <c r="AS1595" s="228">
        <f t="shared" si="189"/>
        <v>0</v>
      </c>
      <c r="AT1595" s="228">
        <f t="shared" si="189"/>
        <v>55725</v>
      </c>
      <c r="AU1595" s="228">
        <f t="shared" si="189"/>
        <v>0</v>
      </c>
      <c r="AV1595" s="228">
        <f t="shared" si="189"/>
        <v>104749552.08</v>
      </c>
      <c r="AW1595" s="228">
        <f t="shared" si="189"/>
        <v>26737984.620000001</v>
      </c>
      <c r="AX1595" s="228">
        <f t="shared" si="189"/>
        <v>0</v>
      </c>
      <c r="AY1595" s="228">
        <f t="shared" si="189"/>
        <v>0</v>
      </c>
      <c r="AZ1595" s="228">
        <f t="shared" si="189"/>
        <v>0</v>
      </c>
      <c r="BA1595" s="228">
        <f t="shared" si="189"/>
        <v>0</v>
      </c>
      <c r="BB1595" s="228">
        <f t="shared" si="189"/>
        <v>605</v>
      </c>
      <c r="BC1595" s="228">
        <f t="shared" si="189"/>
        <v>0</v>
      </c>
      <c r="BD1595" s="228">
        <f t="shared" si="189"/>
        <v>35982808.469999999</v>
      </c>
      <c r="BE1595" s="228">
        <f t="shared" si="189"/>
        <v>31405970.879999999</v>
      </c>
      <c r="BF1595" s="228">
        <f t="shared" si="189"/>
        <v>0</v>
      </c>
      <c r="BG1595" s="228">
        <f t="shared" si="189"/>
        <v>31824.14</v>
      </c>
      <c r="BH1595" s="228">
        <f t="shared" si="189"/>
        <v>0</v>
      </c>
      <c r="BI1595" s="228">
        <f t="shared" si="189"/>
        <v>0</v>
      </c>
      <c r="BJ1595" s="228">
        <f t="shared" si="189"/>
        <v>0</v>
      </c>
      <c r="BK1595" s="228">
        <f t="shared" si="189"/>
        <v>0</v>
      </c>
      <c r="BL1595" s="228">
        <f t="shared" si="189"/>
        <v>0</v>
      </c>
      <c r="BM1595" s="228">
        <f t="shared" si="189"/>
        <v>0</v>
      </c>
      <c r="BN1595" s="228">
        <f t="shared" si="189"/>
        <v>0</v>
      </c>
      <c r="BO1595" s="228">
        <f t="shared" si="189"/>
        <v>0</v>
      </c>
      <c r="BP1595" s="228">
        <f t="shared" si="189"/>
        <v>0</v>
      </c>
      <c r="BQ1595" s="228">
        <f t="shared" si="189"/>
        <v>0</v>
      </c>
      <c r="BR1595" s="228">
        <f t="shared" si="189"/>
        <v>0</v>
      </c>
      <c r="BS1595" s="228">
        <f t="shared" si="189"/>
        <v>0</v>
      </c>
      <c r="BT1595" s="228">
        <f t="shared" si="189"/>
        <v>0</v>
      </c>
      <c r="BU1595" s="228">
        <f t="shared" si="189"/>
        <v>0</v>
      </c>
      <c r="BV1595" s="228">
        <f t="shared" si="189"/>
        <v>0</v>
      </c>
      <c r="BW1595" s="228">
        <f t="shared" si="189"/>
        <v>0</v>
      </c>
      <c r="BX1595" s="228">
        <f t="shared" si="189"/>
        <v>0</v>
      </c>
      <c r="BY1595" s="228">
        <f t="shared" ref="BY1595:CN1595" si="190">SUM(BY1572:BY1594)</f>
        <v>0</v>
      </c>
      <c r="BZ1595" s="228">
        <f t="shared" si="190"/>
        <v>44000</v>
      </c>
      <c r="CA1595" s="228">
        <f t="shared" si="190"/>
        <v>46500</v>
      </c>
      <c r="CB1595" s="228">
        <f t="shared" si="190"/>
        <v>9000</v>
      </c>
      <c r="CC1595" s="228">
        <f t="shared" si="190"/>
        <v>0</v>
      </c>
      <c r="CD1595" s="228">
        <f t="shared" si="190"/>
        <v>0</v>
      </c>
      <c r="CE1595" s="228">
        <f t="shared" si="190"/>
        <v>0</v>
      </c>
      <c r="CF1595" s="228">
        <f t="shared" si="190"/>
        <v>0</v>
      </c>
      <c r="CG1595" s="228">
        <f t="shared" si="190"/>
        <v>0</v>
      </c>
      <c r="CH1595" s="228">
        <f t="shared" si="190"/>
        <v>0</v>
      </c>
      <c r="CJ1595" s="228">
        <f t="shared" si="190"/>
        <v>10490858.970000001</v>
      </c>
      <c r="CK1595" s="228">
        <f t="shared" si="190"/>
        <v>104749552.08</v>
      </c>
      <c r="CL1595" s="228">
        <f t="shared" si="190"/>
        <v>0</v>
      </c>
      <c r="CM1595" s="260"/>
      <c r="CN1595" s="228">
        <f t="shared" si="190"/>
        <v>0</v>
      </c>
    </row>
    <row r="1596" spans="1:92" x14ac:dyDescent="0.25">
      <c r="A1596" s="234" t="s">
        <v>5703</v>
      </c>
      <c r="E1596" s="224">
        <v>596</v>
      </c>
      <c r="G1596" s="223" t="s">
        <v>5704</v>
      </c>
      <c r="AH1596" s="223">
        <v>6588.05</v>
      </c>
      <c r="AV1596" s="22">
        <f t="shared" si="180"/>
        <v>6588.05</v>
      </c>
      <c r="BL1596" s="223">
        <v>6588.05</v>
      </c>
      <c r="CK1596" s="22">
        <f t="shared" ref="CK1596:CK1604" si="191">SUM(AW1596:CJ1596)</f>
        <v>6588.05</v>
      </c>
      <c r="CL1596" s="3">
        <f t="shared" ref="CL1596:CL1604" si="192">+CK1596-AV1596</f>
        <v>0</v>
      </c>
      <c r="CM1596" s="222">
        <f t="shared" ref="CM1596:CM1604" si="193">+E1596</f>
        <v>596</v>
      </c>
      <c r="CN1596" s="3">
        <f t="shared" ref="CN1596:CN1604" si="194">+F1596</f>
        <v>0</v>
      </c>
    </row>
    <row r="1597" spans="1:92" x14ac:dyDescent="0.25">
      <c r="E1597" s="224">
        <v>597</v>
      </c>
      <c r="F1597" s="250" t="s">
        <v>332</v>
      </c>
      <c r="G1597" s="223" t="s">
        <v>3075</v>
      </c>
      <c r="AV1597" s="22">
        <f t="shared" si="180"/>
        <v>0</v>
      </c>
      <c r="CK1597" s="22">
        <f t="shared" si="191"/>
        <v>0</v>
      </c>
      <c r="CL1597" s="3">
        <f t="shared" si="192"/>
        <v>0</v>
      </c>
      <c r="CM1597" s="222">
        <f t="shared" si="193"/>
        <v>597</v>
      </c>
      <c r="CN1597" s="3" t="str">
        <f t="shared" si="194"/>
        <v xml:space="preserve">لاب فقط </v>
      </c>
    </row>
    <row r="1598" spans="1:92" x14ac:dyDescent="0.25">
      <c r="E1598" s="224">
        <v>598</v>
      </c>
      <c r="F1598" s="250" t="s">
        <v>332</v>
      </c>
      <c r="G1598" s="223" t="s">
        <v>3075</v>
      </c>
      <c r="AV1598" s="22">
        <f t="shared" si="180"/>
        <v>0</v>
      </c>
      <c r="CK1598" s="22">
        <f t="shared" si="191"/>
        <v>0</v>
      </c>
      <c r="CL1598" s="3">
        <f t="shared" si="192"/>
        <v>0</v>
      </c>
      <c r="CM1598" s="222">
        <f t="shared" si="193"/>
        <v>598</v>
      </c>
      <c r="CN1598" s="3" t="str">
        <f t="shared" si="194"/>
        <v xml:space="preserve">لاب فقط </v>
      </c>
    </row>
    <row r="1599" spans="1:92" x14ac:dyDescent="0.25">
      <c r="E1599" s="224">
        <v>599</v>
      </c>
      <c r="F1599" s="250" t="s">
        <v>332</v>
      </c>
      <c r="G1599" s="223" t="s">
        <v>3075</v>
      </c>
      <c r="AV1599" s="22">
        <f t="shared" si="180"/>
        <v>0</v>
      </c>
      <c r="CK1599" s="22">
        <f t="shared" si="191"/>
        <v>0</v>
      </c>
      <c r="CL1599" s="3">
        <f t="shared" si="192"/>
        <v>0</v>
      </c>
      <c r="CM1599" s="222">
        <f t="shared" si="193"/>
        <v>599</v>
      </c>
      <c r="CN1599" s="3" t="str">
        <f t="shared" si="194"/>
        <v xml:space="preserve">لاب فقط </v>
      </c>
    </row>
    <row r="1600" spans="1:92" x14ac:dyDescent="0.25">
      <c r="E1600" s="224">
        <v>600</v>
      </c>
      <c r="F1600" s="250" t="s">
        <v>122</v>
      </c>
      <c r="G1600" s="223" t="s">
        <v>5705</v>
      </c>
      <c r="AT1600" s="223">
        <v>400</v>
      </c>
      <c r="AV1600" s="22">
        <f t="shared" si="180"/>
        <v>400</v>
      </c>
      <c r="CJ1600" s="223">
        <v>400</v>
      </c>
      <c r="CK1600" s="22">
        <f t="shared" si="191"/>
        <v>400</v>
      </c>
      <c r="CL1600" s="3">
        <f t="shared" si="192"/>
        <v>0</v>
      </c>
      <c r="CM1600" s="222">
        <f t="shared" si="193"/>
        <v>600</v>
      </c>
      <c r="CN1600" s="3" t="str">
        <f t="shared" si="194"/>
        <v>علاج تخصصى</v>
      </c>
    </row>
    <row r="1601" spans="1:94" x14ac:dyDescent="0.25">
      <c r="E1601" s="224">
        <v>601</v>
      </c>
      <c r="F1601" s="250" t="s">
        <v>249</v>
      </c>
      <c r="G1601" s="223" t="s">
        <v>5706</v>
      </c>
      <c r="AT1601" s="223">
        <v>7745</v>
      </c>
      <c r="AV1601" s="22">
        <f t="shared" si="180"/>
        <v>7745</v>
      </c>
      <c r="CJ1601" s="223">
        <v>7745</v>
      </c>
      <c r="CK1601" s="22">
        <f t="shared" si="191"/>
        <v>7745</v>
      </c>
      <c r="CL1601" s="3">
        <f t="shared" si="192"/>
        <v>0</v>
      </c>
      <c r="CM1601" s="222">
        <f t="shared" si="193"/>
        <v>601</v>
      </c>
      <c r="CN1601" s="3" t="str">
        <f t="shared" si="194"/>
        <v>خدمة عامة</v>
      </c>
    </row>
    <row r="1602" spans="1:94" ht="31.5" x14ac:dyDescent="0.25">
      <c r="C1602" s="225" t="s">
        <v>5709</v>
      </c>
      <c r="E1602" s="224">
        <v>602</v>
      </c>
      <c r="F1602" s="250" t="s">
        <v>121</v>
      </c>
      <c r="G1602" s="225" t="s">
        <v>5707</v>
      </c>
      <c r="J1602" s="241">
        <v>103205.4</v>
      </c>
      <c r="L1602" s="241">
        <f>17075157.14+49725483.87</f>
        <v>66800641.009999998</v>
      </c>
      <c r="Y1602" s="241">
        <f>110547617.93+31351873.83</f>
        <v>141899491.75999999</v>
      </c>
      <c r="AR1602" s="241">
        <v>386898601.16000003</v>
      </c>
      <c r="AV1602" s="22">
        <f t="shared" si="180"/>
        <v>595701939.33000004</v>
      </c>
      <c r="CF1602" s="241">
        <v>208803338.16999999</v>
      </c>
      <c r="CJ1602" s="241">
        <v>386898601.16000003</v>
      </c>
      <c r="CK1602" s="22">
        <f t="shared" si="191"/>
        <v>595701939.33000004</v>
      </c>
      <c r="CL1602" s="3">
        <f t="shared" si="192"/>
        <v>0</v>
      </c>
      <c r="CM1602" s="222">
        <f t="shared" si="193"/>
        <v>602</v>
      </c>
      <c r="CN1602" s="3" t="str">
        <f t="shared" si="194"/>
        <v>ماليزى اسنان</v>
      </c>
    </row>
    <row r="1603" spans="1:94" ht="31.5" x14ac:dyDescent="0.25">
      <c r="C1603" s="225" t="s">
        <v>5709</v>
      </c>
      <c r="E1603" s="224">
        <v>603</v>
      </c>
      <c r="F1603" s="250" t="s">
        <v>5144</v>
      </c>
      <c r="G1603" s="225" t="s">
        <v>5707</v>
      </c>
      <c r="J1603" s="223">
        <v>25421.75</v>
      </c>
      <c r="L1603" s="223">
        <f>1331711.25</f>
        <v>1331711.25</v>
      </c>
      <c r="Y1603" s="223">
        <v>1531023.33</v>
      </c>
      <c r="AR1603" s="223">
        <v>22150680</v>
      </c>
      <c r="AV1603" s="22">
        <f t="shared" si="180"/>
        <v>25038836.329999998</v>
      </c>
      <c r="CF1603" s="223">
        <v>2888156.33</v>
      </c>
      <c r="CJ1603" s="242">
        <v>22150680</v>
      </c>
      <c r="CK1603" s="22">
        <f t="shared" si="191"/>
        <v>25038836.329999998</v>
      </c>
      <c r="CL1603" s="3">
        <f t="shared" si="192"/>
        <v>0</v>
      </c>
      <c r="CM1603" s="222">
        <f t="shared" si="193"/>
        <v>603</v>
      </c>
      <c r="CN1603" s="3" t="str">
        <f t="shared" si="194"/>
        <v>صيدلة اكلينكى</v>
      </c>
    </row>
    <row r="1604" spans="1:94" ht="47.25" x14ac:dyDescent="0.25">
      <c r="C1604" s="225" t="s">
        <v>5710</v>
      </c>
      <c r="E1604" s="224">
        <v>604</v>
      </c>
      <c r="F1604" s="250" t="s">
        <v>78</v>
      </c>
      <c r="G1604" s="225" t="s">
        <v>5707</v>
      </c>
      <c r="J1604" s="241">
        <v>386445.5</v>
      </c>
      <c r="L1604" s="241">
        <f>45590392.77+63356412.66</f>
        <v>108946805.43000001</v>
      </c>
      <c r="Y1604" s="241">
        <f>590360640.17+46960932.84+278757.5</f>
        <v>637600330.50999999</v>
      </c>
      <c r="AR1604" s="223">
        <v>301572632</v>
      </c>
      <c r="AV1604" s="22">
        <f t="shared" si="180"/>
        <v>1048506213.4400001</v>
      </c>
      <c r="CF1604" s="223">
        <v>746933581.44000006</v>
      </c>
      <c r="CJ1604" s="223">
        <v>301572632</v>
      </c>
      <c r="CK1604" s="22">
        <f t="shared" si="191"/>
        <v>1048506213.4400001</v>
      </c>
      <c r="CL1604" s="3">
        <f t="shared" si="192"/>
        <v>0</v>
      </c>
      <c r="CM1604" s="222">
        <f t="shared" si="193"/>
        <v>604</v>
      </c>
      <c r="CN1604" s="3" t="str">
        <f t="shared" si="194"/>
        <v>برنامج دولى</v>
      </c>
    </row>
    <row r="1605" spans="1:94" s="228" customFormat="1" x14ac:dyDescent="0.25">
      <c r="A1605" s="235"/>
      <c r="D1605" s="227"/>
      <c r="E1605" s="227"/>
      <c r="F1605" s="253"/>
      <c r="G1605" s="228" t="s">
        <v>5708</v>
      </c>
      <c r="J1605" s="243">
        <f>SUM(J1596:J1604)</f>
        <v>515072.65</v>
      </c>
      <c r="K1605" s="228">
        <f t="shared" ref="K1605:BV1605" si="195">SUM(K1596:K1604)</f>
        <v>0</v>
      </c>
      <c r="L1605" s="243">
        <f t="shared" si="195"/>
        <v>177079157.69</v>
      </c>
      <c r="M1605" s="228">
        <f t="shared" si="195"/>
        <v>0</v>
      </c>
      <c r="N1605" s="228">
        <f t="shared" si="195"/>
        <v>0</v>
      </c>
      <c r="O1605" s="228">
        <f t="shared" si="195"/>
        <v>0</v>
      </c>
      <c r="P1605" s="228">
        <f t="shared" si="195"/>
        <v>0</v>
      </c>
      <c r="Q1605" s="228">
        <f t="shared" si="195"/>
        <v>0</v>
      </c>
      <c r="R1605" s="228">
        <f t="shared" si="195"/>
        <v>0</v>
      </c>
      <c r="S1605" s="228">
        <f t="shared" si="195"/>
        <v>0</v>
      </c>
      <c r="T1605" s="228">
        <f t="shared" si="195"/>
        <v>0</v>
      </c>
      <c r="U1605" s="228">
        <f t="shared" si="195"/>
        <v>0</v>
      </c>
      <c r="V1605" s="228">
        <f t="shared" si="195"/>
        <v>0</v>
      </c>
      <c r="W1605" s="228">
        <f t="shared" si="195"/>
        <v>0</v>
      </c>
      <c r="X1605" s="228">
        <f t="shared" si="195"/>
        <v>0</v>
      </c>
      <c r="Y1605" s="229">
        <f t="shared" si="195"/>
        <v>781030845.60000002</v>
      </c>
      <c r="Z1605" s="228">
        <f t="shared" si="195"/>
        <v>0</v>
      </c>
      <c r="AA1605" s="228">
        <f t="shared" si="195"/>
        <v>0</v>
      </c>
      <c r="AB1605" s="228">
        <f t="shared" si="195"/>
        <v>0</v>
      </c>
      <c r="AC1605" s="228">
        <f t="shared" si="195"/>
        <v>0</v>
      </c>
      <c r="AD1605" s="228">
        <f t="shared" si="195"/>
        <v>0</v>
      </c>
      <c r="AE1605" s="228">
        <f t="shared" si="195"/>
        <v>0</v>
      </c>
      <c r="AF1605" s="228">
        <f t="shared" si="195"/>
        <v>0</v>
      </c>
      <c r="AG1605" s="228">
        <f t="shared" si="195"/>
        <v>0</v>
      </c>
      <c r="AH1605" s="228">
        <f t="shared" si="195"/>
        <v>6588.05</v>
      </c>
      <c r="AI1605" s="228">
        <f t="shared" si="195"/>
        <v>0</v>
      </c>
      <c r="AJ1605" s="228">
        <f t="shared" si="195"/>
        <v>0</v>
      </c>
      <c r="AK1605" s="228">
        <f t="shared" si="195"/>
        <v>0</v>
      </c>
      <c r="AL1605" s="228">
        <f t="shared" si="195"/>
        <v>0</v>
      </c>
      <c r="AM1605" s="228">
        <f t="shared" si="195"/>
        <v>0</v>
      </c>
      <c r="AN1605" s="228">
        <f t="shared" si="195"/>
        <v>0</v>
      </c>
      <c r="AO1605" s="228">
        <f t="shared" si="195"/>
        <v>0</v>
      </c>
      <c r="AP1605" s="228">
        <f t="shared" si="195"/>
        <v>0</v>
      </c>
      <c r="AQ1605" s="228">
        <f t="shared" si="195"/>
        <v>0</v>
      </c>
      <c r="AR1605" s="229">
        <f t="shared" si="195"/>
        <v>710621913.16000009</v>
      </c>
      <c r="AS1605" s="228">
        <f t="shared" si="195"/>
        <v>0</v>
      </c>
      <c r="AT1605" s="228">
        <f t="shared" si="195"/>
        <v>8145</v>
      </c>
      <c r="AU1605" s="228">
        <f t="shared" si="195"/>
        <v>0</v>
      </c>
      <c r="AV1605" s="228">
        <f t="shared" si="195"/>
        <v>1669261722.1500001</v>
      </c>
      <c r="AW1605" s="228">
        <f t="shared" si="195"/>
        <v>0</v>
      </c>
      <c r="AX1605" s="228">
        <f t="shared" si="195"/>
        <v>0</v>
      </c>
      <c r="AY1605" s="228">
        <f t="shared" si="195"/>
        <v>0</v>
      </c>
      <c r="AZ1605" s="228">
        <f t="shared" si="195"/>
        <v>0</v>
      </c>
      <c r="BA1605" s="228">
        <f t="shared" si="195"/>
        <v>0</v>
      </c>
      <c r="BB1605" s="228">
        <f t="shared" si="195"/>
        <v>0</v>
      </c>
      <c r="BC1605" s="228">
        <f t="shared" si="195"/>
        <v>0</v>
      </c>
      <c r="BD1605" s="228">
        <f t="shared" si="195"/>
        <v>0</v>
      </c>
      <c r="BE1605" s="228">
        <f t="shared" si="195"/>
        <v>0</v>
      </c>
      <c r="BF1605" s="228">
        <f t="shared" si="195"/>
        <v>0</v>
      </c>
      <c r="BG1605" s="228">
        <f t="shared" si="195"/>
        <v>0</v>
      </c>
      <c r="BH1605" s="228">
        <f t="shared" si="195"/>
        <v>0</v>
      </c>
      <c r="BI1605" s="228">
        <f t="shared" si="195"/>
        <v>0</v>
      </c>
      <c r="BJ1605" s="228">
        <f t="shared" si="195"/>
        <v>0</v>
      </c>
      <c r="BK1605" s="228">
        <f t="shared" si="195"/>
        <v>0</v>
      </c>
      <c r="BL1605" s="228">
        <f t="shared" si="195"/>
        <v>6588.05</v>
      </c>
      <c r="BM1605" s="228">
        <f t="shared" si="195"/>
        <v>0</v>
      </c>
      <c r="BN1605" s="228">
        <f t="shared" si="195"/>
        <v>0</v>
      </c>
      <c r="BO1605" s="228">
        <f t="shared" si="195"/>
        <v>0</v>
      </c>
      <c r="BP1605" s="228">
        <f t="shared" si="195"/>
        <v>0</v>
      </c>
      <c r="BQ1605" s="228">
        <f t="shared" si="195"/>
        <v>0</v>
      </c>
      <c r="BR1605" s="228">
        <f t="shared" si="195"/>
        <v>0</v>
      </c>
      <c r="BS1605" s="228">
        <f t="shared" si="195"/>
        <v>0</v>
      </c>
      <c r="BT1605" s="228">
        <f t="shared" si="195"/>
        <v>0</v>
      </c>
      <c r="BU1605" s="228">
        <f t="shared" si="195"/>
        <v>0</v>
      </c>
      <c r="BV1605" s="228">
        <f t="shared" si="195"/>
        <v>0</v>
      </c>
      <c r="BW1605" s="228">
        <f t="shared" ref="BW1605:CP1605" si="196">SUM(BW1596:BW1604)</f>
        <v>0</v>
      </c>
      <c r="BX1605" s="228">
        <f t="shared" si="196"/>
        <v>0</v>
      </c>
      <c r="BY1605" s="228">
        <f t="shared" si="196"/>
        <v>0</v>
      </c>
      <c r="BZ1605" s="228">
        <f t="shared" si="196"/>
        <v>0</v>
      </c>
      <c r="CA1605" s="228">
        <f t="shared" si="196"/>
        <v>0</v>
      </c>
      <c r="CB1605" s="228">
        <f t="shared" si="196"/>
        <v>0</v>
      </c>
      <c r="CC1605" s="228">
        <f t="shared" si="196"/>
        <v>0</v>
      </c>
      <c r="CD1605" s="228">
        <f t="shared" si="196"/>
        <v>0</v>
      </c>
      <c r="CE1605" s="228">
        <f t="shared" si="196"/>
        <v>0</v>
      </c>
      <c r="CF1605" s="243">
        <f t="shared" si="196"/>
        <v>958625075.94000006</v>
      </c>
      <c r="CG1605" s="228">
        <f t="shared" si="196"/>
        <v>0</v>
      </c>
      <c r="CH1605" s="228">
        <f t="shared" si="196"/>
        <v>0</v>
      </c>
      <c r="CJ1605" s="229">
        <f t="shared" si="196"/>
        <v>710630058.16000009</v>
      </c>
      <c r="CK1605" s="228">
        <f t="shared" si="196"/>
        <v>1669261722.1500001</v>
      </c>
      <c r="CL1605" s="228">
        <f t="shared" si="196"/>
        <v>0</v>
      </c>
      <c r="CM1605" s="260"/>
      <c r="CN1605" s="228">
        <f t="shared" si="196"/>
        <v>0</v>
      </c>
      <c r="CO1605" s="228">
        <f t="shared" si="196"/>
        <v>0</v>
      </c>
      <c r="CP1605" s="228">
        <f t="shared" si="196"/>
        <v>0</v>
      </c>
    </row>
    <row r="1606" spans="1:94" x14ac:dyDescent="0.25">
      <c r="E1606" s="224">
        <v>605</v>
      </c>
      <c r="F1606" s="250" t="s">
        <v>332</v>
      </c>
      <c r="G1606" s="225" t="s">
        <v>5718</v>
      </c>
      <c r="AV1606" s="22">
        <f t="shared" si="180"/>
        <v>0</v>
      </c>
      <c r="CK1606" s="22">
        <f t="shared" ref="CK1606:CK1614" si="197">SUM(AW1606:CJ1606)</f>
        <v>0</v>
      </c>
      <c r="CL1606" s="3">
        <f t="shared" ref="CL1606:CL1614" si="198">+CK1606-AV1606</f>
        <v>0</v>
      </c>
      <c r="CM1606" s="222">
        <f t="shared" ref="CM1606:CM1614" si="199">+E1606</f>
        <v>605</v>
      </c>
      <c r="CN1606" s="3" t="str">
        <f t="shared" ref="CN1606:CN1614" si="200">+F1606</f>
        <v xml:space="preserve">لاب فقط </v>
      </c>
    </row>
    <row r="1607" spans="1:94" x14ac:dyDescent="0.25">
      <c r="E1607" s="224">
        <v>606</v>
      </c>
      <c r="F1607" s="250" t="s">
        <v>332</v>
      </c>
      <c r="G1607" s="225" t="s">
        <v>5717</v>
      </c>
      <c r="AV1607" s="22">
        <f t="shared" si="180"/>
        <v>0</v>
      </c>
      <c r="CK1607" s="22">
        <f t="shared" si="197"/>
        <v>0</v>
      </c>
      <c r="CL1607" s="3">
        <f t="shared" si="198"/>
        <v>0</v>
      </c>
      <c r="CM1607" s="222">
        <f t="shared" si="199"/>
        <v>606</v>
      </c>
      <c r="CN1607" s="3" t="str">
        <f t="shared" si="200"/>
        <v xml:space="preserve">لاب فقط </v>
      </c>
    </row>
    <row r="1608" spans="1:94" x14ac:dyDescent="0.25">
      <c r="E1608" s="224">
        <v>607</v>
      </c>
      <c r="F1608" s="250" t="s">
        <v>332</v>
      </c>
      <c r="G1608" s="225" t="s">
        <v>5720</v>
      </c>
      <c r="AV1608" s="22">
        <f t="shared" si="180"/>
        <v>0</v>
      </c>
      <c r="CK1608" s="22">
        <f t="shared" si="197"/>
        <v>0</v>
      </c>
      <c r="CL1608" s="3">
        <f t="shared" si="198"/>
        <v>0</v>
      </c>
      <c r="CM1608" s="222">
        <f t="shared" si="199"/>
        <v>607</v>
      </c>
      <c r="CN1608" s="3" t="str">
        <f t="shared" si="200"/>
        <v xml:space="preserve">لاب فقط </v>
      </c>
    </row>
    <row r="1609" spans="1:94" x14ac:dyDescent="0.25">
      <c r="E1609" s="224">
        <v>608</v>
      </c>
      <c r="F1609" s="250" t="s">
        <v>332</v>
      </c>
      <c r="G1609" s="225" t="s">
        <v>5721</v>
      </c>
      <c r="AV1609" s="22">
        <f t="shared" si="180"/>
        <v>0</v>
      </c>
      <c r="CK1609" s="22">
        <f t="shared" si="197"/>
        <v>0</v>
      </c>
      <c r="CL1609" s="3">
        <f t="shared" si="198"/>
        <v>0</v>
      </c>
      <c r="CM1609" s="222">
        <f t="shared" si="199"/>
        <v>608</v>
      </c>
      <c r="CN1609" s="3" t="str">
        <f t="shared" si="200"/>
        <v xml:space="preserve">لاب فقط </v>
      </c>
    </row>
    <row r="1610" spans="1:94" x14ac:dyDescent="0.25">
      <c r="E1610" s="224">
        <v>609</v>
      </c>
      <c r="F1610" s="250" t="s">
        <v>332</v>
      </c>
      <c r="G1610" s="225" t="s">
        <v>5722</v>
      </c>
      <c r="AV1610" s="22">
        <f t="shared" si="180"/>
        <v>0</v>
      </c>
      <c r="CK1610" s="22">
        <f t="shared" si="197"/>
        <v>0</v>
      </c>
      <c r="CL1610" s="3">
        <f t="shared" si="198"/>
        <v>0</v>
      </c>
      <c r="CM1610" s="222">
        <f t="shared" si="199"/>
        <v>609</v>
      </c>
      <c r="CN1610" s="3" t="str">
        <f t="shared" si="200"/>
        <v xml:space="preserve">لاب فقط </v>
      </c>
    </row>
    <row r="1611" spans="1:94" x14ac:dyDescent="0.25">
      <c r="A1611" s="234" t="s">
        <v>5711</v>
      </c>
      <c r="E1611" s="224">
        <v>610</v>
      </c>
      <c r="G1611" s="225" t="s">
        <v>5712</v>
      </c>
      <c r="S1611" s="223">
        <v>133636.4</v>
      </c>
      <c r="AV1611" s="22">
        <f t="shared" si="180"/>
        <v>133636.4</v>
      </c>
      <c r="CJ1611" s="223">
        <v>133636.4</v>
      </c>
      <c r="CK1611" s="22">
        <f t="shared" si="197"/>
        <v>133636.4</v>
      </c>
      <c r="CL1611" s="3">
        <f t="shared" si="198"/>
        <v>0</v>
      </c>
      <c r="CM1611" s="222">
        <f t="shared" si="199"/>
        <v>610</v>
      </c>
      <c r="CN1611" s="3">
        <f t="shared" si="200"/>
        <v>0</v>
      </c>
    </row>
    <row r="1612" spans="1:94" x14ac:dyDescent="0.25">
      <c r="E1612" s="224">
        <v>611</v>
      </c>
      <c r="G1612" s="223" t="s">
        <v>5713</v>
      </c>
      <c r="Y1612" s="223">
        <v>15903.5</v>
      </c>
      <c r="AV1612" s="22">
        <f t="shared" si="180"/>
        <v>15903.5</v>
      </c>
      <c r="BP1612" s="223">
        <v>15903.5</v>
      </c>
      <c r="CK1612" s="22">
        <f t="shared" si="197"/>
        <v>15903.5</v>
      </c>
      <c r="CL1612" s="3">
        <f t="shared" si="198"/>
        <v>0</v>
      </c>
      <c r="CM1612" s="222">
        <f t="shared" si="199"/>
        <v>611</v>
      </c>
      <c r="CN1612" s="3">
        <f t="shared" si="200"/>
        <v>0</v>
      </c>
    </row>
    <row r="1613" spans="1:94" x14ac:dyDescent="0.25">
      <c r="E1613" s="224">
        <v>612</v>
      </c>
      <c r="G1613" s="223" t="s">
        <v>5714</v>
      </c>
      <c r="AI1613" s="223">
        <v>259674.2</v>
      </c>
      <c r="AV1613" s="22">
        <f t="shared" ref="AV1613:AV1671" si="201">SUM(I1613:AU1613)</f>
        <v>259674.2</v>
      </c>
      <c r="BL1613" s="223">
        <v>259674.2</v>
      </c>
      <c r="CK1613" s="22">
        <f t="shared" si="197"/>
        <v>259674.2</v>
      </c>
      <c r="CL1613" s="3">
        <f t="shared" si="198"/>
        <v>0</v>
      </c>
      <c r="CM1613" s="222">
        <f t="shared" si="199"/>
        <v>612</v>
      </c>
      <c r="CN1613" s="3">
        <f t="shared" si="200"/>
        <v>0</v>
      </c>
    </row>
    <row r="1614" spans="1:94" x14ac:dyDescent="0.25">
      <c r="E1614" s="224">
        <v>613</v>
      </c>
      <c r="G1614" s="223" t="s">
        <v>5715</v>
      </c>
      <c r="Y1614" s="223">
        <v>1673554.89</v>
      </c>
      <c r="AV1614" s="22">
        <f t="shared" si="201"/>
        <v>1673554.89</v>
      </c>
      <c r="BA1614" s="223">
        <v>1673554.89</v>
      </c>
      <c r="CK1614" s="22">
        <f t="shared" si="197"/>
        <v>1673554.89</v>
      </c>
      <c r="CL1614" s="3">
        <f t="shared" si="198"/>
        <v>0</v>
      </c>
      <c r="CM1614" s="222">
        <f t="shared" si="199"/>
        <v>613</v>
      </c>
      <c r="CN1614" s="3">
        <f t="shared" si="200"/>
        <v>0</v>
      </c>
    </row>
    <row r="1615" spans="1:94" s="228" customFormat="1" ht="31.5" x14ac:dyDescent="0.25">
      <c r="A1615" s="235"/>
      <c r="D1615" s="227"/>
      <c r="E1615" s="227"/>
      <c r="F1615" s="253"/>
      <c r="G1615" s="240" t="s">
        <v>5719</v>
      </c>
      <c r="S1615" s="228">
        <f>SUM(S1606:S1614)</f>
        <v>133636.4</v>
      </c>
      <c r="T1615" s="228">
        <f t="shared" ref="T1615:CE1615" si="202">SUM(T1606:T1614)</f>
        <v>0</v>
      </c>
      <c r="U1615" s="228">
        <f t="shared" si="202"/>
        <v>0</v>
      </c>
      <c r="V1615" s="228">
        <f t="shared" si="202"/>
        <v>0</v>
      </c>
      <c r="W1615" s="228">
        <f t="shared" si="202"/>
        <v>0</v>
      </c>
      <c r="X1615" s="228">
        <f t="shared" si="202"/>
        <v>0</v>
      </c>
      <c r="Y1615" s="228">
        <f t="shared" si="202"/>
        <v>1689458.39</v>
      </c>
      <c r="Z1615" s="228">
        <f t="shared" si="202"/>
        <v>0</v>
      </c>
      <c r="AA1615" s="228">
        <f t="shared" si="202"/>
        <v>0</v>
      </c>
      <c r="AB1615" s="228">
        <f t="shared" si="202"/>
        <v>0</v>
      </c>
      <c r="AC1615" s="228">
        <f t="shared" si="202"/>
        <v>0</v>
      </c>
      <c r="AD1615" s="228">
        <f t="shared" si="202"/>
        <v>0</v>
      </c>
      <c r="AE1615" s="228">
        <f t="shared" si="202"/>
        <v>0</v>
      </c>
      <c r="AF1615" s="228">
        <f t="shared" si="202"/>
        <v>0</v>
      </c>
      <c r="AG1615" s="228">
        <f t="shared" si="202"/>
        <v>0</v>
      </c>
      <c r="AH1615" s="228">
        <f t="shared" si="202"/>
        <v>0</v>
      </c>
      <c r="AI1615" s="228">
        <f t="shared" si="202"/>
        <v>259674.2</v>
      </c>
      <c r="AJ1615" s="228">
        <f t="shared" si="202"/>
        <v>0</v>
      </c>
      <c r="AK1615" s="228">
        <f t="shared" si="202"/>
        <v>0</v>
      </c>
      <c r="AL1615" s="228">
        <f t="shared" si="202"/>
        <v>0</v>
      </c>
      <c r="AM1615" s="228">
        <f t="shared" si="202"/>
        <v>0</v>
      </c>
      <c r="AN1615" s="228">
        <f t="shared" si="202"/>
        <v>0</v>
      </c>
      <c r="AO1615" s="228">
        <f t="shared" si="202"/>
        <v>0</v>
      </c>
      <c r="AP1615" s="228">
        <f t="shared" si="202"/>
        <v>0</v>
      </c>
      <c r="AQ1615" s="228">
        <f t="shared" si="202"/>
        <v>0</v>
      </c>
      <c r="AR1615" s="228">
        <f t="shared" si="202"/>
        <v>0</v>
      </c>
      <c r="AS1615" s="228">
        <f t="shared" si="202"/>
        <v>0</v>
      </c>
      <c r="AT1615" s="228">
        <f t="shared" si="202"/>
        <v>0</v>
      </c>
      <c r="AU1615" s="228">
        <f t="shared" si="202"/>
        <v>0</v>
      </c>
      <c r="AV1615" s="228">
        <f t="shared" si="202"/>
        <v>2082768.9899999998</v>
      </c>
      <c r="AW1615" s="228">
        <f t="shared" si="202"/>
        <v>0</v>
      </c>
      <c r="AX1615" s="228">
        <f t="shared" si="202"/>
        <v>0</v>
      </c>
      <c r="AY1615" s="228">
        <f t="shared" si="202"/>
        <v>0</v>
      </c>
      <c r="AZ1615" s="228">
        <f t="shared" si="202"/>
        <v>0</v>
      </c>
      <c r="BA1615" s="228">
        <f t="shared" si="202"/>
        <v>1673554.89</v>
      </c>
      <c r="BB1615" s="228">
        <f t="shared" si="202"/>
        <v>0</v>
      </c>
      <c r="BC1615" s="228">
        <f t="shared" si="202"/>
        <v>0</v>
      </c>
      <c r="BD1615" s="228">
        <f t="shared" si="202"/>
        <v>0</v>
      </c>
      <c r="BE1615" s="228">
        <f t="shared" si="202"/>
        <v>0</v>
      </c>
      <c r="BF1615" s="228">
        <f t="shared" si="202"/>
        <v>0</v>
      </c>
      <c r="BG1615" s="228">
        <f t="shared" si="202"/>
        <v>0</v>
      </c>
      <c r="BH1615" s="228">
        <f t="shared" si="202"/>
        <v>0</v>
      </c>
      <c r="BI1615" s="228">
        <f t="shared" si="202"/>
        <v>0</v>
      </c>
      <c r="BJ1615" s="228">
        <f t="shared" si="202"/>
        <v>0</v>
      </c>
      <c r="BK1615" s="228">
        <f t="shared" si="202"/>
        <v>0</v>
      </c>
      <c r="BL1615" s="229">
        <f t="shared" si="202"/>
        <v>259674.2</v>
      </c>
      <c r="BM1615" s="228">
        <f t="shared" si="202"/>
        <v>0</v>
      </c>
      <c r="BN1615" s="228">
        <f t="shared" si="202"/>
        <v>0</v>
      </c>
      <c r="BO1615" s="228">
        <f t="shared" si="202"/>
        <v>0</v>
      </c>
      <c r="BP1615" s="228">
        <f t="shared" si="202"/>
        <v>15903.5</v>
      </c>
      <c r="BQ1615" s="228">
        <f t="shared" si="202"/>
        <v>0</v>
      </c>
      <c r="BR1615" s="228">
        <f t="shared" si="202"/>
        <v>0</v>
      </c>
      <c r="BS1615" s="228">
        <f t="shared" si="202"/>
        <v>0</v>
      </c>
      <c r="BT1615" s="228">
        <f t="shared" si="202"/>
        <v>0</v>
      </c>
      <c r="BU1615" s="228">
        <f t="shared" si="202"/>
        <v>0</v>
      </c>
      <c r="BV1615" s="228">
        <f t="shared" si="202"/>
        <v>0</v>
      </c>
      <c r="BW1615" s="228">
        <f t="shared" si="202"/>
        <v>0</v>
      </c>
      <c r="BX1615" s="228">
        <f t="shared" si="202"/>
        <v>0</v>
      </c>
      <c r="BY1615" s="228">
        <f t="shared" si="202"/>
        <v>0</v>
      </c>
      <c r="BZ1615" s="228">
        <f t="shared" si="202"/>
        <v>0</v>
      </c>
      <c r="CA1615" s="228">
        <f t="shared" si="202"/>
        <v>0</v>
      </c>
      <c r="CB1615" s="228">
        <f t="shared" si="202"/>
        <v>0</v>
      </c>
      <c r="CC1615" s="228">
        <f t="shared" si="202"/>
        <v>0</v>
      </c>
      <c r="CD1615" s="228">
        <f t="shared" si="202"/>
        <v>0</v>
      </c>
      <c r="CE1615" s="228">
        <f t="shared" si="202"/>
        <v>0</v>
      </c>
      <c r="CF1615" s="228">
        <f t="shared" ref="CF1615:CP1615" si="203">SUM(CF1606:CF1614)</f>
        <v>0</v>
      </c>
      <c r="CG1615" s="228">
        <f t="shared" si="203"/>
        <v>0</v>
      </c>
      <c r="CH1615" s="228">
        <f t="shared" si="203"/>
        <v>0</v>
      </c>
      <c r="CJ1615" s="228">
        <f t="shared" si="203"/>
        <v>133636.4</v>
      </c>
      <c r="CK1615" s="228">
        <f t="shared" si="203"/>
        <v>2082768.9899999998</v>
      </c>
      <c r="CL1615" s="228">
        <f t="shared" si="203"/>
        <v>0</v>
      </c>
      <c r="CM1615" s="260"/>
      <c r="CN1615" s="228">
        <f t="shared" si="203"/>
        <v>0</v>
      </c>
      <c r="CO1615" s="228">
        <f t="shared" si="203"/>
        <v>0</v>
      </c>
      <c r="CP1615" s="228">
        <f t="shared" si="203"/>
        <v>0</v>
      </c>
    </row>
    <row r="1616" spans="1:94" s="245" customFormat="1" x14ac:dyDescent="0.25">
      <c r="A1616" s="244"/>
      <c r="D1616" s="246"/>
      <c r="E1616" s="246"/>
      <c r="F1616" s="256"/>
      <c r="G1616" s="245" t="s">
        <v>5723</v>
      </c>
      <c r="I1616" s="245">
        <f>+I1615+I1605+I1595</f>
        <v>0</v>
      </c>
      <c r="J1616" s="245">
        <f t="shared" ref="J1616:BU1616" si="204">+J1615+J1605+J1595</f>
        <v>515072.65</v>
      </c>
      <c r="K1616" s="245">
        <f t="shared" si="204"/>
        <v>0</v>
      </c>
      <c r="L1616" s="247">
        <f t="shared" si="204"/>
        <v>178917820.69999999</v>
      </c>
      <c r="M1616" s="245">
        <f t="shared" si="204"/>
        <v>0</v>
      </c>
      <c r="N1616" s="245">
        <f t="shared" si="204"/>
        <v>0</v>
      </c>
      <c r="O1616" s="245">
        <f t="shared" si="204"/>
        <v>0</v>
      </c>
      <c r="P1616" s="245">
        <f t="shared" si="204"/>
        <v>0</v>
      </c>
      <c r="Q1616" s="245">
        <f t="shared" si="204"/>
        <v>0</v>
      </c>
      <c r="R1616" s="245">
        <f t="shared" si="204"/>
        <v>0</v>
      </c>
      <c r="S1616" s="247">
        <f t="shared" si="204"/>
        <v>616491.5</v>
      </c>
      <c r="T1616" s="247">
        <f t="shared" si="204"/>
        <v>344817.3</v>
      </c>
      <c r="U1616" s="245">
        <f t="shared" si="204"/>
        <v>0</v>
      </c>
      <c r="V1616" s="245">
        <f t="shared" si="204"/>
        <v>0</v>
      </c>
      <c r="W1616" s="245">
        <f t="shared" si="204"/>
        <v>0</v>
      </c>
      <c r="X1616" s="245">
        <f t="shared" si="204"/>
        <v>0</v>
      </c>
      <c r="Y1616" s="247">
        <f t="shared" si="204"/>
        <v>782720303.99000001</v>
      </c>
      <c r="Z1616" s="245">
        <f t="shared" si="204"/>
        <v>0</v>
      </c>
      <c r="AA1616" s="245">
        <f t="shared" si="204"/>
        <v>31824.14</v>
      </c>
      <c r="AB1616" s="245">
        <f t="shared" si="204"/>
        <v>0</v>
      </c>
      <c r="AC1616" s="245">
        <f t="shared" si="204"/>
        <v>0</v>
      </c>
      <c r="AD1616" s="245">
        <f t="shared" si="204"/>
        <v>0</v>
      </c>
      <c r="AE1616" s="245">
        <f t="shared" si="204"/>
        <v>0</v>
      </c>
      <c r="AF1616" s="245">
        <f t="shared" si="204"/>
        <v>0</v>
      </c>
      <c r="AG1616" s="245">
        <f t="shared" si="204"/>
        <v>0</v>
      </c>
      <c r="AH1616" s="247">
        <f t="shared" si="204"/>
        <v>58150543.549999997</v>
      </c>
      <c r="AI1616" s="245">
        <f t="shared" si="204"/>
        <v>9867740.7699999996</v>
      </c>
      <c r="AJ1616" s="245">
        <f t="shared" si="204"/>
        <v>0</v>
      </c>
      <c r="AK1616" s="245">
        <f t="shared" si="204"/>
        <v>34144145.460000001</v>
      </c>
      <c r="AL1616" s="245">
        <f t="shared" si="204"/>
        <v>44000</v>
      </c>
      <c r="AM1616" s="245">
        <f t="shared" si="204"/>
        <v>46500</v>
      </c>
      <c r="AN1616" s="245">
        <f t="shared" si="204"/>
        <v>9000</v>
      </c>
      <c r="AO1616" s="245">
        <f t="shared" si="204"/>
        <v>0</v>
      </c>
      <c r="AP1616" s="245">
        <f t="shared" si="204"/>
        <v>0</v>
      </c>
      <c r="AQ1616" s="245">
        <f t="shared" si="204"/>
        <v>0</v>
      </c>
      <c r="AR1616" s="247">
        <f t="shared" si="204"/>
        <v>710621913.16000009</v>
      </c>
      <c r="AS1616" s="245">
        <f t="shared" si="204"/>
        <v>0</v>
      </c>
      <c r="AT1616" s="245">
        <f t="shared" si="204"/>
        <v>63870</v>
      </c>
      <c r="AU1616" s="245">
        <f t="shared" si="204"/>
        <v>0</v>
      </c>
      <c r="AV1616" s="245">
        <f t="shared" si="204"/>
        <v>1776094043.22</v>
      </c>
      <c r="AW1616" s="245">
        <f t="shared" si="204"/>
        <v>26737984.620000001</v>
      </c>
      <c r="AX1616" s="245">
        <f t="shared" si="204"/>
        <v>0</v>
      </c>
      <c r="AY1616" s="245">
        <f t="shared" si="204"/>
        <v>0</v>
      </c>
      <c r="AZ1616" s="245">
        <f t="shared" si="204"/>
        <v>0</v>
      </c>
      <c r="BA1616" s="245">
        <f t="shared" si="204"/>
        <v>1673554.89</v>
      </c>
      <c r="BB1616" s="245">
        <f t="shared" si="204"/>
        <v>605</v>
      </c>
      <c r="BC1616" s="245">
        <f t="shared" si="204"/>
        <v>0</v>
      </c>
      <c r="BD1616" s="245">
        <f t="shared" si="204"/>
        <v>35982808.469999999</v>
      </c>
      <c r="BE1616" s="245">
        <f t="shared" si="204"/>
        <v>31405970.879999999</v>
      </c>
      <c r="BF1616" s="245">
        <f t="shared" si="204"/>
        <v>0</v>
      </c>
      <c r="BG1616" s="245">
        <f t="shared" si="204"/>
        <v>31824.14</v>
      </c>
      <c r="BH1616" s="245">
        <f t="shared" si="204"/>
        <v>0</v>
      </c>
      <c r="BI1616" s="245">
        <f t="shared" si="204"/>
        <v>0</v>
      </c>
      <c r="BJ1616" s="245">
        <f t="shared" si="204"/>
        <v>0</v>
      </c>
      <c r="BK1616" s="245">
        <f t="shared" si="204"/>
        <v>0</v>
      </c>
      <c r="BL1616" s="247">
        <f t="shared" si="204"/>
        <v>266262.25</v>
      </c>
      <c r="BM1616" s="245">
        <f t="shared" si="204"/>
        <v>0</v>
      </c>
      <c r="BN1616" s="245">
        <f t="shared" si="204"/>
        <v>0</v>
      </c>
      <c r="BO1616" s="245">
        <f t="shared" si="204"/>
        <v>0</v>
      </c>
      <c r="BP1616" s="247">
        <f t="shared" si="204"/>
        <v>15903.5</v>
      </c>
      <c r="BQ1616" s="245">
        <f t="shared" si="204"/>
        <v>0</v>
      </c>
      <c r="BR1616" s="245">
        <f t="shared" si="204"/>
        <v>0</v>
      </c>
      <c r="BS1616" s="245">
        <f t="shared" si="204"/>
        <v>0</v>
      </c>
      <c r="BT1616" s="245">
        <f t="shared" si="204"/>
        <v>0</v>
      </c>
      <c r="BU1616" s="245">
        <f t="shared" si="204"/>
        <v>0</v>
      </c>
      <c r="BV1616" s="245">
        <f t="shared" ref="BV1616:CO1616" si="205">+BV1615+BV1605+BV1595</f>
        <v>0</v>
      </c>
      <c r="BW1616" s="245">
        <f t="shared" si="205"/>
        <v>0</v>
      </c>
      <c r="BX1616" s="245">
        <f t="shared" si="205"/>
        <v>0</v>
      </c>
      <c r="BY1616" s="245">
        <f t="shared" si="205"/>
        <v>0</v>
      </c>
      <c r="BZ1616" s="245">
        <f t="shared" si="205"/>
        <v>44000</v>
      </c>
      <c r="CA1616" s="245">
        <f t="shared" si="205"/>
        <v>46500</v>
      </c>
      <c r="CB1616" s="245">
        <f t="shared" si="205"/>
        <v>9000</v>
      </c>
      <c r="CC1616" s="245">
        <f t="shared" si="205"/>
        <v>0</v>
      </c>
      <c r="CD1616" s="245">
        <f t="shared" si="205"/>
        <v>0</v>
      </c>
      <c r="CE1616" s="245">
        <f t="shared" si="205"/>
        <v>0</v>
      </c>
      <c r="CF1616" s="247">
        <f t="shared" si="205"/>
        <v>958625075.94000006</v>
      </c>
      <c r="CG1616" s="245">
        <f t="shared" si="205"/>
        <v>0</v>
      </c>
      <c r="CH1616" s="245">
        <f t="shared" si="205"/>
        <v>0</v>
      </c>
      <c r="CJ1616" s="247">
        <f t="shared" si="205"/>
        <v>721254553.53000009</v>
      </c>
      <c r="CK1616" s="245">
        <f t="shared" si="205"/>
        <v>1776094043.22</v>
      </c>
      <c r="CL1616" s="245">
        <f t="shared" si="205"/>
        <v>0</v>
      </c>
      <c r="CM1616" s="261">
        <f t="shared" si="205"/>
        <v>0</v>
      </c>
      <c r="CN1616" s="245">
        <f t="shared" si="205"/>
        <v>0</v>
      </c>
      <c r="CO1616" s="245">
        <f t="shared" si="205"/>
        <v>0</v>
      </c>
    </row>
    <row r="1617" spans="1:92" x14ac:dyDescent="0.25">
      <c r="A1617" s="234" t="s">
        <v>5725</v>
      </c>
      <c r="E1617" s="224">
        <v>614</v>
      </c>
      <c r="G1617" s="225" t="s">
        <v>5726</v>
      </c>
      <c r="I1617" s="223">
        <v>63232.75</v>
      </c>
      <c r="AV1617" s="22">
        <f t="shared" si="201"/>
        <v>63232.75</v>
      </c>
      <c r="CJ1617" s="223">
        <v>63232.75</v>
      </c>
      <c r="CK1617" s="22">
        <f t="shared" ref="CK1617:CK1637" si="206">SUM(AW1617:CJ1617)</f>
        <v>63232.75</v>
      </c>
      <c r="CL1617" s="3">
        <f t="shared" ref="CL1617:CL1637" si="207">+CK1617-AV1617</f>
        <v>0</v>
      </c>
      <c r="CM1617" s="222">
        <f t="shared" ref="CM1617:CM1637" si="208">+E1617</f>
        <v>614</v>
      </c>
      <c r="CN1617" s="3">
        <f t="shared" ref="CN1617:CN1637" si="209">+F1617</f>
        <v>0</v>
      </c>
    </row>
    <row r="1618" spans="1:92" x14ac:dyDescent="0.25">
      <c r="A1618" s="234" t="s">
        <v>5725</v>
      </c>
      <c r="E1618" s="224">
        <v>615</v>
      </c>
      <c r="G1618" s="225" t="s">
        <v>5724</v>
      </c>
      <c r="I1618" s="223">
        <v>159529.5</v>
      </c>
      <c r="AV1618" s="22">
        <f t="shared" si="201"/>
        <v>159529.5</v>
      </c>
      <c r="CJ1618" s="223">
        <v>159529.5</v>
      </c>
      <c r="CK1618" s="22">
        <f t="shared" si="206"/>
        <v>159529.5</v>
      </c>
      <c r="CL1618" s="3">
        <f t="shared" si="207"/>
        <v>0</v>
      </c>
      <c r="CM1618" s="222">
        <f t="shared" si="208"/>
        <v>615</v>
      </c>
      <c r="CN1618" s="3">
        <f t="shared" si="209"/>
        <v>0</v>
      </c>
    </row>
    <row r="1619" spans="1:92" x14ac:dyDescent="0.25">
      <c r="A1619" s="234" t="s">
        <v>5725</v>
      </c>
      <c r="E1619" s="224">
        <v>616</v>
      </c>
      <c r="G1619" s="225" t="s">
        <v>5727</v>
      </c>
      <c r="AH1619" s="223">
        <v>31786254.949999999</v>
      </c>
      <c r="AI1619" s="223">
        <v>58256523.229999997</v>
      </c>
      <c r="AV1619" s="22">
        <f t="shared" si="201"/>
        <v>90042778.179999992</v>
      </c>
      <c r="BD1619" s="223">
        <v>31786254.949999999</v>
      </c>
      <c r="CJ1619" s="223">
        <v>58256523.229999997</v>
      </c>
      <c r="CK1619" s="22">
        <f t="shared" si="206"/>
        <v>90042778.179999992</v>
      </c>
      <c r="CL1619" s="3">
        <f t="shared" si="207"/>
        <v>0</v>
      </c>
      <c r="CM1619" s="222">
        <f t="shared" si="208"/>
        <v>616</v>
      </c>
      <c r="CN1619" s="3">
        <f t="shared" si="209"/>
        <v>0</v>
      </c>
    </row>
    <row r="1620" spans="1:92" ht="31.5" x14ac:dyDescent="0.25">
      <c r="A1620" s="234" t="s">
        <v>5725</v>
      </c>
      <c r="E1620" s="224">
        <v>617</v>
      </c>
      <c r="G1620" s="225" t="s">
        <v>5728</v>
      </c>
      <c r="AK1620" s="223">
        <v>31786254.949999999</v>
      </c>
      <c r="AV1620" s="22">
        <f t="shared" si="201"/>
        <v>31786254.949999999</v>
      </c>
      <c r="AW1620" s="223">
        <v>24324591.920000002</v>
      </c>
      <c r="BE1620" s="223">
        <v>7461663.0300000003</v>
      </c>
      <c r="CK1620" s="22">
        <f t="shared" si="206"/>
        <v>31786254.950000003</v>
      </c>
      <c r="CL1620" s="3">
        <f t="shared" si="207"/>
        <v>0</v>
      </c>
      <c r="CM1620" s="222">
        <f t="shared" si="208"/>
        <v>617</v>
      </c>
      <c r="CN1620" s="3">
        <f t="shared" si="209"/>
        <v>0</v>
      </c>
    </row>
    <row r="1621" spans="1:92" ht="31.5" x14ac:dyDescent="0.25">
      <c r="E1621" s="224">
        <v>618</v>
      </c>
      <c r="F1621" s="250" t="s">
        <v>332</v>
      </c>
      <c r="G1621" s="225" t="s">
        <v>5742</v>
      </c>
      <c r="AI1621" s="241"/>
      <c r="AV1621" s="22">
        <f t="shared" si="201"/>
        <v>0</v>
      </c>
      <c r="CK1621" s="22">
        <f t="shared" si="206"/>
        <v>0</v>
      </c>
      <c r="CL1621" s="3">
        <f t="shared" si="207"/>
        <v>0</v>
      </c>
      <c r="CM1621" s="222">
        <f t="shared" si="208"/>
        <v>618</v>
      </c>
      <c r="CN1621" s="3" t="str">
        <f t="shared" si="209"/>
        <v xml:space="preserve">لاب فقط </v>
      </c>
    </row>
    <row r="1622" spans="1:92" x14ac:dyDescent="0.25">
      <c r="E1622" s="224">
        <v>619</v>
      </c>
      <c r="F1622" s="250" t="s">
        <v>332</v>
      </c>
      <c r="G1622" s="223" t="s">
        <v>5734</v>
      </c>
      <c r="AV1622" s="22">
        <f t="shared" si="201"/>
        <v>0</v>
      </c>
      <c r="CK1622" s="22">
        <f t="shared" si="206"/>
        <v>0</v>
      </c>
      <c r="CL1622" s="3">
        <f t="shared" si="207"/>
        <v>0</v>
      </c>
      <c r="CM1622" s="222">
        <f t="shared" si="208"/>
        <v>619</v>
      </c>
      <c r="CN1622" s="3" t="str">
        <f t="shared" si="209"/>
        <v xml:space="preserve">لاب فقط </v>
      </c>
    </row>
    <row r="1623" spans="1:92" x14ac:dyDescent="0.25">
      <c r="A1623" s="234" t="s">
        <v>5725</v>
      </c>
      <c r="E1623" s="224">
        <v>620</v>
      </c>
      <c r="G1623" s="223" t="s">
        <v>5729</v>
      </c>
      <c r="AH1623" s="223">
        <v>138810.57999999999</v>
      </c>
      <c r="AV1623" s="22">
        <f t="shared" si="201"/>
        <v>138810.57999999999</v>
      </c>
      <c r="BD1623" s="223">
        <v>138810.57999999999</v>
      </c>
      <c r="CK1623" s="22">
        <f t="shared" si="206"/>
        <v>138810.57999999999</v>
      </c>
      <c r="CL1623" s="3">
        <f t="shared" si="207"/>
        <v>0</v>
      </c>
      <c r="CM1623" s="222">
        <f t="shared" si="208"/>
        <v>620</v>
      </c>
      <c r="CN1623" s="3">
        <f t="shared" si="209"/>
        <v>0</v>
      </c>
    </row>
    <row r="1624" spans="1:92" x14ac:dyDescent="0.25">
      <c r="E1624" s="224">
        <v>621</v>
      </c>
      <c r="F1624" s="250" t="s">
        <v>332</v>
      </c>
      <c r="G1624" s="223" t="s">
        <v>5763</v>
      </c>
      <c r="S1624" s="223">
        <v>638.65</v>
      </c>
      <c r="Y1624" s="223">
        <v>68712.850000000006</v>
      </c>
      <c r="AV1624" s="22">
        <f t="shared" si="201"/>
        <v>69351.5</v>
      </c>
      <c r="BP1624" s="223">
        <v>68712.850000000006</v>
      </c>
      <c r="CJ1624" s="223">
        <v>638.65</v>
      </c>
      <c r="CK1624" s="22">
        <f t="shared" si="206"/>
        <v>69351.5</v>
      </c>
      <c r="CL1624" s="3">
        <f t="shared" si="207"/>
        <v>0</v>
      </c>
      <c r="CM1624" s="222">
        <f t="shared" si="208"/>
        <v>621</v>
      </c>
      <c r="CN1624" s="3" t="str">
        <f t="shared" si="209"/>
        <v xml:space="preserve">لاب فقط </v>
      </c>
    </row>
    <row r="1625" spans="1:92" x14ac:dyDescent="0.25">
      <c r="A1625" s="234" t="s">
        <v>5739</v>
      </c>
      <c r="E1625" s="224">
        <v>622</v>
      </c>
      <c r="G1625" s="225" t="s">
        <v>5730</v>
      </c>
      <c r="AK1625" s="223">
        <v>51658.7</v>
      </c>
      <c r="AV1625" s="22">
        <f t="shared" si="201"/>
        <v>51658.7</v>
      </c>
      <c r="BE1625" s="223">
        <v>51658.7</v>
      </c>
      <c r="CK1625" s="22">
        <f t="shared" si="206"/>
        <v>51658.7</v>
      </c>
      <c r="CL1625" s="3">
        <f t="shared" si="207"/>
        <v>0</v>
      </c>
      <c r="CM1625" s="222">
        <f t="shared" si="208"/>
        <v>622</v>
      </c>
      <c r="CN1625" s="3">
        <f t="shared" si="209"/>
        <v>0</v>
      </c>
    </row>
    <row r="1626" spans="1:92" x14ac:dyDescent="0.25">
      <c r="E1626" s="224">
        <v>623</v>
      </c>
      <c r="F1626" s="250" t="s">
        <v>122</v>
      </c>
      <c r="G1626" s="223" t="s">
        <v>5731</v>
      </c>
      <c r="AT1626" s="223">
        <v>50</v>
      </c>
      <c r="AV1626" s="22">
        <f t="shared" si="201"/>
        <v>50</v>
      </c>
      <c r="CJ1626" s="223">
        <v>50</v>
      </c>
      <c r="CK1626" s="22">
        <f t="shared" si="206"/>
        <v>50</v>
      </c>
      <c r="CL1626" s="3">
        <f t="shared" si="207"/>
        <v>0</v>
      </c>
      <c r="CM1626" s="222">
        <f t="shared" si="208"/>
        <v>623</v>
      </c>
      <c r="CN1626" s="3" t="str">
        <f t="shared" si="209"/>
        <v>علاج تخصصى</v>
      </c>
    </row>
    <row r="1627" spans="1:92" x14ac:dyDescent="0.25">
      <c r="E1627" s="224">
        <v>624</v>
      </c>
      <c r="F1627" s="250" t="s">
        <v>249</v>
      </c>
      <c r="G1627" s="223" t="s">
        <v>5732</v>
      </c>
      <c r="AT1627" s="223">
        <v>8650</v>
      </c>
      <c r="AV1627" s="22">
        <f t="shared" si="201"/>
        <v>8650</v>
      </c>
      <c r="CJ1627" s="223">
        <v>8650</v>
      </c>
      <c r="CK1627" s="22">
        <f t="shared" si="206"/>
        <v>8650</v>
      </c>
      <c r="CL1627" s="3">
        <f t="shared" si="207"/>
        <v>0</v>
      </c>
      <c r="CM1627" s="222">
        <f t="shared" si="208"/>
        <v>624</v>
      </c>
      <c r="CN1627" s="3" t="str">
        <f t="shared" si="209"/>
        <v>خدمة عامة</v>
      </c>
    </row>
    <row r="1628" spans="1:92" x14ac:dyDescent="0.25">
      <c r="E1628" s="224">
        <v>625</v>
      </c>
      <c r="F1628" s="250" t="s">
        <v>249</v>
      </c>
      <c r="G1628" s="223" t="s">
        <v>5733</v>
      </c>
      <c r="AT1628" s="223">
        <v>1120</v>
      </c>
      <c r="AV1628" s="22">
        <f t="shared" si="201"/>
        <v>1120</v>
      </c>
      <c r="CJ1628" s="223">
        <v>1120</v>
      </c>
      <c r="CK1628" s="22">
        <f t="shared" si="206"/>
        <v>1120</v>
      </c>
      <c r="CL1628" s="3">
        <f t="shared" si="207"/>
        <v>0</v>
      </c>
      <c r="CM1628" s="222">
        <f t="shared" si="208"/>
        <v>625</v>
      </c>
      <c r="CN1628" s="3" t="str">
        <f t="shared" si="209"/>
        <v>خدمة عامة</v>
      </c>
    </row>
    <row r="1629" spans="1:92" x14ac:dyDescent="0.25">
      <c r="E1629" s="224">
        <v>626</v>
      </c>
      <c r="G1629" s="223" t="s">
        <v>5735</v>
      </c>
      <c r="AM1629" s="223">
        <v>600</v>
      </c>
      <c r="AV1629" s="22">
        <f t="shared" si="201"/>
        <v>600</v>
      </c>
      <c r="CA1629" s="223">
        <v>600</v>
      </c>
      <c r="CK1629" s="22">
        <f t="shared" si="206"/>
        <v>600</v>
      </c>
      <c r="CL1629" s="3">
        <f t="shared" si="207"/>
        <v>0</v>
      </c>
      <c r="CM1629" s="222">
        <f t="shared" si="208"/>
        <v>626</v>
      </c>
      <c r="CN1629" s="3">
        <f t="shared" si="209"/>
        <v>0</v>
      </c>
    </row>
    <row r="1630" spans="1:92" x14ac:dyDescent="0.25">
      <c r="E1630" s="224">
        <v>627</v>
      </c>
      <c r="F1630" s="250" t="s">
        <v>5736</v>
      </c>
      <c r="G1630" s="223" t="s">
        <v>5737</v>
      </c>
      <c r="J1630" s="223">
        <v>700</v>
      </c>
      <c r="L1630" s="223">
        <v>20879.099999999999</v>
      </c>
      <c r="AR1630" s="223">
        <v>139194</v>
      </c>
      <c r="AV1630" s="22">
        <f t="shared" si="201"/>
        <v>160773.1</v>
      </c>
      <c r="CF1630" s="223">
        <v>21579.1</v>
      </c>
      <c r="CJ1630" s="223">
        <v>139194</v>
      </c>
      <c r="CK1630" s="22">
        <f t="shared" si="206"/>
        <v>160773.1</v>
      </c>
      <c r="CL1630" s="3">
        <f t="shared" si="207"/>
        <v>0</v>
      </c>
      <c r="CM1630" s="222">
        <f t="shared" si="208"/>
        <v>627</v>
      </c>
      <c r="CN1630" s="3" t="str">
        <f t="shared" si="209"/>
        <v xml:space="preserve">مركز مؤتمرات </v>
      </c>
    </row>
    <row r="1631" spans="1:92" x14ac:dyDescent="0.25">
      <c r="E1631" s="224">
        <v>628</v>
      </c>
      <c r="F1631" s="250" t="s">
        <v>729</v>
      </c>
      <c r="G1631" s="223" t="s">
        <v>5737</v>
      </c>
      <c r="L1631" s="223">
        <v>120</v>
      </c>
      <c r="AV1631" s="22">
        <f t="shared" si="201"/>
        <v>120</v>
      </c>
      <c r="CF1631" s="223">
        <v>120</v>
      </c>
      <c r="CK1631" s="22">
        <f t="shared" si="206"/>
        <v>120</v>
      </c>
      <c r="CL1631" s="3">
        <f t="shared" si="207"/>
        <v>0</v>
      </c>
      <c r="CM1631" s="222">
        <f t="shared" si="208"/>
        <v>628</v>
      </c>
      <c r="CN1631" s="3" t="str">
        <f t="shared" si="209"/>
        <v>خدمات صيدلة</v>
      </c>
    </row>
    <row r="1632" spans="1:92" x14ac:dyDescent="0.25">
      <c r="E1632" s="224">
        <v>629</v>
      </c>
      <c r="F1632" s="250" t="s">
        <v>122</v>
      </c>
      <c r="G1632" s="223" t="s">
        <v>5738</v>
      </c>
      <c r="L1632" s="223">
        <v>427.5</v>
      </c>
      <c r="AR1632" s="223">
        <v>2300</v>
      </c>
      <c r="AV1632" s="22">
        <f t="shared" si="201"/>
        <v>2727.5</v>
      </c>
      <c r="CF1632" s="223">
        <v>427.5</v>
      </c>
      <c r="CH1632" s="223">
        <v>2300</v>
      </c>
      <c r="CK1632" s="22">
        <f t="shared" si="206"/>
        <v>2727.5</v>
      </c>
      <c r="CL1632" s="3">
        <f t="shared" si="207"/>
        <v>0</v>
      </c>
      <c r="CM1632" s="222">
        <f t="shared" si="208"/>
        <v>629</v>
      </c>
      <c r="CN1632" s="3" t="str">
        <f t="shared" si="209"/>
        <v>علاج تخصصى</v>
      </c>
    </row>
    <row r="1633" spans="1:92" x14ac:dyDescent="0.25">
      <c r="E1633" s="224">
        <v>630</v>
      </c>
      <c r="F1633" s="250" t="s">
        <v>123</v>
      </c>
      <c r="G1633" s="223" t="s">
        <v>5738</v>
      </c>
      <c r="L1633" s="223">
        <v>52.5</v>
      </c>
      <c r="AV1633" s="22">
        <f t="shared" si="201"/>
        <v>52.5</v>
      </c>
      <c r="CF1633" s="223">
        <v>52.5</v>
      </c>
      <c r="CK1633" s="22">
        <f t="shared" si="206"/>
        <v>52.5</v>
      </c>
      <c r="CL1633" s="3">
        <f t="shared" si="207"/>
        <v>0</v>
      </c>
      <c r="CM1633" s="222">
        <f t="shared" si="208"/>
        <v>630</v>
      </c>
      <c r="CN1633" s="3" t="str">
        <f t="shared" si="209"/>
        <v>خ ت اسنان</v>
      </c>
    </row>
    <row r="1634" spans="1:92" x14ac:dyDescent="0.25">
      <c r="E1634" s="224">
        <v>631</v>
      </c>
      <c r="F1634" s="250" t="s">
        <v>249</v>
      </c>
      <c r="G1634" s="223" t="s">
        <v>5738</v>
      </c>
      <c r="L1634" s="223">
        <v>24445.5</v>
      </c>
      <c r="AR1634" s="223">
        <v>105470</v>
      </c>
      <c r="AV1634" s="22">
        <f t="shared" si="201"/>
        <v>129915.5</v>
      </c>
      <c r="CF1634" s="223">
        <v>24445.5</v>
      </c>
      <c r="CH1634" s="223">
        <v>105470</v>
      </c>
      <c r="CK1634" s="22">
        <f t="shared" si="206"/>
        <v>129915.5</v>
      </c>
      <c r="CL1634" s="3">
        <f t="shared" si="207"/>
        <v>0</v>
      </c>
      <c r="CM1634" s="222">
        <f t="shared" si="208"/>
        <v>631</v>
      </c>
      <c r="CN1634" s="3" t="str">
        <f t="shared" si="209"/>
        <v>خدمة عامة</v>
      </c>
    </row>
    <row r="1635" spans="1:92" x14ac:dyDescent="0.25">
      <c r="E1635" s="224">
        <v>632</v>
      </c>
      <c r="F1635" s="250" t="s">
        <v>121</v>
      </c>
      <c r="G1635" s="223" t="s">
        <v>5738</v>
      </c>
      <c r="AR1635" s="223">
        <v>635</v>
      </c>
      <c r="AV1635" s="22">
        <f t="shared" si="201"/>
        <v>635</v>
      </c>
      <c r="CH1635" s="223">
        <v>635</v>
      </c>
      <c r="CK1635" s="22">
        <f t="shared" si="206"/>
        <v>635</v>
      </c>
      <c r="CL1635" s="3">
        <f t="shared" si="207"/>
        <v>0</v>
      </c>
      <c r="CM1635" s="222">
        <f t="shared" si="208"/>
        <v>632</v>
      </c>
      <c r="CN1635" s="3" t="str">
        <f t="shared" si="209"/>
        <v>ماليزى اسنان</v>
      </c>
    </row>
    <row r="1636" spans="1:92" x14ac:dyDescent="0.25">
      <c r="E1636" s="224">
        <v>633</v>
      </c>
      <c r="F1636" s="250" t="s">
        <v>78</v>
      </c>
      <c r="G1636" s="223" t="s">
        <v>5737</v>
      </c>
      <c r="J1636" s="223">
        <v>460</v>
      </c>
      <c r="L1636" s="223">
        <v>105350.38</v>
      </c>
      <c r="AR1636" s="223">
        <v>275285.25</v>
      </c>
      <c r="AV1636" s="22">
        <f t="shared" si="201"/>
        <v>381095.63</v>
      </c>
      <c r="CF1636" s="223">
        <v>105810.38</v>
      </c>
      <c r="CJ1636" s="223">
        <v>275285.25</v>
      </c>
      <c r="CK1636" s="22">
        <f t="shared" si="206"/>
        <v>381095.63</v>
      </c>
      <c r="CL1636" s="3">
        <f t="shared" si="207"/>
        <v>0</v>
      </c>
      <c r="CM1636" s="222">
        <f t="shared" si="208"/>
        <v>633</v>
      </c>
      <c r="CN1636" s="3" t="str">
        <f t="shared" si="209"/>
        <v>برنامج دولى</v>
      </c>
    </row>
    <row r="1637" spans="1:92" ht="30" x14ac:dyDescent="0.25">
      <c r="E1637" s="224">
        <v>634</v>
      </c>
      <c r="F1637" s="257" t="s">
        <v>5740</v>
      </c>
      <c r="G1637" s="223" t="s">
        <v>5737</v>
      </c>
      <c r="J1637" s="223">
        <v>220</v>
      </c>
      <c r="L1637" s="223">
        <v>20257.5</v>
      </c>
      <c r="Y1637" s="223">
        <v>25000</v>
      </c>
      <c r="AR1637" s="223">
        <v>95050</v>
      </c>
      <c r="AV1637" s="22">
        <f t="shared" si="201"/>
        <v>140527.5</v>
      </c>
      <c r="BJ1637" s="223">
        <v>50</v>
      </c>
      <c r="CF1637" s="223">
        <v>45477.5</v>
      </c>
      <c r="CJ1637" s="223">
        <v>95000</v>
      </c>
      <c r="CK1637" s="22">
        <f t="shared" si="206"/>
        <v>140527.5</v>
      </c>
      <c r="CL1637" s="3">
        <f t="shared" si="207"/>
        <v>0</v>
      </c>
      <c r="CM1637" s="222">
        <f t="shared" si="208"/>
        <v>634</v>
      </c>
      <c r="CN1637" s="3" t="str">
        <f t="shared" si="209"/>
        <v>تحسين خدمات صحية</v>
      </c>
    </row>
    <row r="1638" spans="1:92" s="228" customFormat="1" x14ac:dyDescent="0.25">
      <c r="A1638" s="235"/>
      <c r="D1638" s="227"/>
      <c r="E1638" s="227"/>
      <c r="F1638" s="253"/>
      <c r="G1638" s="228" t="s">
        <v>5741</v>
      </c>
      <c r="I1638" s="228">
        <f>SUM(I1617:I1637)</f>
        <v>222762.25</v>
      </c>
      <c r="J1638" s="228">
        <f t="shared" ref="J1638:BU1638" si="210">SUM(J1617:J1637)</f>
        <v>1380</v>
      </c>
      <c r="K1638" s="228">
        <f t="shared" si="210"/>
        <v>0</v>
      </c>
      <c r="L1638" s="228">
        <f t="shared" si="210"/>
        <v>171532.48</v>
      </c>
      <c r="M1638" s="228">
        <f t="shared" si="210"/>
        <v>0</v>
      </c>
      <c r="N1638" s="228">
        <f t="shared" si="210"/>
        <v>0</v>
      </c>
      <c r="O1638" s="228">
        <f t="shared" si="210"/>
        <v>0</v>
      </c>
      <c r="P1638" s="228">
        <f t="shared" si="210"/>
        <v>0</v>
      </c>
      <c r="Q1638" s="228">
        <f t="shared" si="210"/>
        <v>0</v>
      </c>
      <c r="R1638" s="228">
        <f t="shared" si="210"/>
        <v>0</v>
      </c>
      <c r="S1638" s="228">
        <f t="shared" si="210"/>
        <v>638.65</v>
      </c>
      <c r="T1638" s="228">
        <f t="shared" si="210"/>
        <v>0</v>
      </c>
      <c r="U1638" s="228">
        <f t="shared" si="210"/>
        <v>0</v>
      </c>
      <c r="V1638" s="228">
        <f t="shared" si="210"/>
        <v>0</v>
      </c>
      <c r="W1638" s="228">
        <f t="shared" si="210"/>
        <v>0</v>
      </c>
      <c r="X1638" s="228">
        <f t="shared" si="210"/>
        <v>0</v>
      </c>
      <c r="Y1638" s="228">
        <f t="shared" si="210"/>
        <v>93712.85</v>
      </c>
      <c r="Z1638" s="228">
        <f t="shared" si="210"/>
        <v>0</v>
      </c>
      <c r="AA1638" s="228">
        <f t="shared" si="210"/>
        <v>0</v>
      </c>
      <c r="AB1638" s="228">
        <f t="shared" si="210"/>
        <v>0</v>
      </c>
      <c r="AC1638" s="228">
        <f t="shared" si="210"/>
        <v>0</v>
      </c>
      <c r="AD1638" s="228">
        <f t="shared" si="210"/>
        <v>0</v>
      </c>
      <c r="AE1638" s="228">
        <f t="shared" si="210"/>
        <v>0</v>
      </c>
      <c r="AF1638" s="228">
        <f t="shared" si="210"/>
        <v>0</v>
      </c>
      <c r="AG1638" s="228">
        <f t="shared" si="210"/>
        <v>0</v>
      </c>
      <c r="AH1638" s="228">
        <f t="shared" si="210"/>
        <v>31925065.529999997</v>
      </c>
      <c r="AI1638" s="228">
        <f t="shared" si="210"/>
        <v>58256523.229999997</v>
      </c>
      <c r="AJ1638" s="228">
        <f t="shared" si="210"/>
        <v>0</v>
      </c>
      <c r="AK1638" s="228">
        <f t="shared" si="210"/>
        <v>31837913.649999999</v>
      </c>
      <c r="AL1638" s="228">
        <f t="shared" si="210"/>
        <v>0</v>
      </c>
      <c r="AM1638" s="228">
        <f t="shared" si="210"/>
        <v>600</v>
      </c>
      <c r="AN1638" s="228">
        <f t="shared" si="210"/>
        <v>0</v>
      </c>
      <c r="AO1638" s="228">
        <f t="shared" si="210"/>
        <v>0</v>
      </c>
      <c r="AP1638" s="228">
        <f t="shared" si="210"/>
        <v>0</v>
      </c>
      <c r="AQ1638" s="228">
        <f t="shared" si="210"/>
        <v>0</v>
      </c>
      <c r="AR1638" s="228">
        <f t="shared" si="210"/>
        <v>617934.25</v>
      </c>
      <c r="AS1638" s="228">
        <f t="shared" si="210"/>
        <v>0</v>
      </c>
      <c r="AT1638" s="228">
        <f t="shared" si="210"/>
        <v>9820</v>
      </c>
      <c r="AU1638" s="228">
        <f t="shared" si="210"/>
        <v>0</v>
      </c>
      <c r="AV1638" s="228">
        <f t="shared" si="210"/>
        <v>123137882.88999999</v>
      </c>
      <c r="AW1638" s="228">
        <f t="shared" si="210"/>
        <v>24324591.920000002</v>
      </c>
      <c r="AX1638" s="228">
        <f t="shared" si="210"/>
        <v>0</v>
      </c>
      <c r="AY1638" s="228">
        <f t="shared" si="210"/>
        <v>0</v>
      </c>
      <c r="AZ1638" s="228">
        <f t="shared" si="210"/>
        <v>0</v>
      </c>
      <c r="BA1638" s="228">
        <f t="shared" si="210"/>
        <v>0</v>
      </c>
      <c r="BB1638" s="228">
        <f t="shared" si="210"/>
        <v>0</v>
      </c>
      <c r="BC1638" s="228">
        <f t="shared" si="210"/>
        <v>0</v>
      </c>
      <c r="BD1638" s="228">
        <f t="shared" si="210"/>
        <v>31925065.529999997</v>
      </c>
      <c r="BE1638" s="228">
        <f t="shared" si="210"/>
        <v>7513321.7300000004</v>
      </c>
      <c r="BF1638" s="228">
        <f t="shared" si="210"/>
        <v>0</v>
      </c>
      <c r="BG1638" s="228">
        <f t="shared" si="210"/>
        <v>0</v>
      </c>
      <c r="BH1638" s="228">
        <f t="shared" si="210"/>
        <v>0</v>
      </c>
      <c r="BI1638" s="228">
        <f t="shared" si="210"/>
        <v>0</v>
      </c>
      <c r="BJ1638" s="228">
        <f t="shared" si="210"/>
        <v>50</v>
      </c>
      <c r="BK1638" s="228">
        <f t="shared" si="210"/>
        <v>0</v>
      </c>
      <c r="BL1638" s="228">
        <f t="shared" si="210"/>
        <v>0</v>
      </c>
      <c r="BM1638" s="228">
        <f t="shared" si="210"/>
        <v>0</v>
      </c>
      <c r="BN1638" s="228">
        <f t="shared" si="210"/>
        <v>0</v>
      </c>
      <c r="BO1638" s="228">
        <f t="shared" si="210"/>
        <v>0</v>
      </c>
      <c r="BP1638" s="228">
        <f t="shared" si="210"/>
        <v>68712.850000000006</v>
      </c>
      <c r="BQ1638" s="228">
        <f t="shared" si="210"/>
        <v>0</v>
      </c>
      <c r="BR1638" s="228">
        <f t="shared" si="210"/>
        <v>0</v>
      </c>
      <c r="BS1638" s="228">
        <f t="shared" si="210"/>
        <v>0</v>
      </c>
      <c r="BT1638" s="228">
        <f t="shared" si="210"/>
        <v>0</v>
      </c>
      <c r="BU1638" s="228">
        <f t="shared" si="210"/>
        <v>0</v>
      </c>
      <c r="BV1638" s="228">
        <f t="shared" ref="BV1638:CN1638" si="211">SUM(BV1617:BV1637)</f>
        <v>0</v>
      </c>
      <c r="BW1638" s="228">
        <f t="shared" si="211"/>
        <v>0</v>
      </c>
      <c r="BX1638" s="228">
        <f t="shared" si="211"/>
        <v>0</v>
      </c>
      <c r="BY1638" s="228">
        <f t="shared" si="211"/>
        <v>0</v>
      </c>
      <c r="BZ1638" s="228">
        <f t="shared" si="211"/>
        <v>0</v>
      </c>
      <c r="CA1638" s="228">
        <f t="shared" si="211"/>
        <v>600</v>
      </c>
      <c r="CB1638" s="228">
        <f t="shared" si="211"/>
        <v>0</v>
      </c>
      <c r="CC1638" s="228">
        <f t="shared" si="211"/>
        <v>0</v>
      </c>
      <c r="CD1638" s="228">
        <f t="shared" si="211"/>
        <v>0</v>
      </c>
      <c r="CE1638" s="228">
        <f t="shared" si="211"/>
        <v>0</v>
      </c>
      <c r="CF1638" s="228">
        <f t="shared" si="211"/>
        <v>197912.48</v>
      </c>
      <c r="CG1638" s="228">
        <f t="shared" si="211"/>
        <v>0</v>
      </c>
      <c r="CH1638" s="228">
        <f t="shared" si="211"/>
        <v>108405</v>
      </c>
      <c r="CJ1638" s="228">
        <f t="shared" si="211"/>
        <v>58999223.379999995</v>
      </c>
      <c r="CK1638" s="228">
        <f t="shared" si="211"/>
        <v>123137882.88999999</v>
      </c>
      <c r="CL1638" s="228">
        <f t="shared" si="211"/>
        <v>0</v>
      </c>
      <c r="CM1638" s="260"/>
      <c r="CN1638" s="228">
        <f t="shared" si="211"/>
        <v>0</v>
      </c>
    </row>
    <row r="1639" spans="1:92" x14ac:dyDescent="0.25">
      <c r="E1639" s="224">
        <v>635</v>
      </c>
      <c r="F1639" s="250" t="s">
        <v>249</v>
      </c>
      <c r="G1639" s="223" t="s">
        <v>5743</v>
      </c>
      <c r="AT1639" s="223">
        <v>1795</v>
      </c>
      <c r="AV1639" s="22">
        <f t="shared" si="201"/>
        <v>1795</v>
      </c>
      <c r="CJ1639" s="223">
        <v>1795</v>
      </c>
      <c r="CK1639" s="22">
        <f t="shared" ref="CK1639:CK1654" si="212">SUM(AW1639:CJ1639)</f>
        <v>1795</v>
      </c>
      <c r="CL1639" s="3">
        <f>+CK1639-AV1639</f>
        <v>0</v>
      </c>
      <c r="CM1639" s="222">
        <f t="shared" ref="CM1639:CM1654" si="213">+E1639</f>
        <v>635</v>
      </c>
      <c r="CN1639" s="3" t="str">
        <f t="shared" ref="CN1639:CN1654" si="214">+F1639</f>
        <v>خدمة عامة</v>
      </c>
    </row>
    <row r="1640" spans="1:92" x14ac:dyDescent="0.25">
      <c r="E1640" s="224">
        <v>636</v>
      </c>
      <c r="F1640" s="250" t="s">
        <v>78</v>
      </c>
      <c r="G1640" s="223" t="s">
        <v>5744</v>
      </c>
      <c r="J1640" s="223">
        <v>540</v>
      </c>
      <c r="AR1640" s="223">
        <v>8701</v>
      </c>
      <c r="AV1640" s="22">
        <f t="shared" si="201"/>
        <v>9241</v>
      </c>
      <c r="CF1640" s="223">
        <v>540</v>
      </c>
      <c r="CJ1640" s="223">
        <v>8701</v>
      </c>
      <c r="CK1640" s="22">
        <f t="shared" si="212"/>
        <v>9241</v>
      </c>
      <c r="CL1640" s="3">
        <f>+CK1640-AV1640</f>
        <v>0</v>
      </c>
      <c r="CM1640" s="222">
        <f t="shared" si="213"/>
        <v>636</v>
      </c>
      <c r="CN1640" s="3" t="str">
        <f t="shared" si="214"/>
        <v>برنامج دولى</v>
      </c>
    </row>
    <row r="1641" spans="1:92" x14ac:dyDescent="0.25">
      <c r="E1641" s="224">
        <v>637</v>
      </c>
      <c r="F1641" s="250" t="s">
        <v>122</v>
      </c>
      <c r="G1641" s="223" t="s">
        <v>5744</v>
      </c>
      <c r="AR1641" s="223">
        <v>700</v>
      </c>
      <c r="AV1641" s="22">
        <f t="shared" si="201"/>
        <v>700</v>
      </c>
      <c r="CH1641" s="223">
        <v>700</v>
      </c>
      <c r="CK1641" s="22">
        <f t="shared" si="212"/>
        <v>700</v>
      </c>
      <c r="CL1641" s="3">
        <f>+CK1641-AV1641</f>
        <v>0</v>
      </c>
      <c r="CM1641" s="222">
        <f t="shared" si="213"/>
        <v>637</v>
      </c>
      <c r="CN1641" s="3" t="str">
        <f t="shared" si="214"/>
        <v>علاج تخصصى</v>
      </c>
    </row>
    <row r="1642" spans="1:92" x14ac:dyDescent="0.25">
      <c r="E1642" s="224">
        <v>638</v>
      </c>
      <c r="F1642" s="250" t="s">
        <v>249</v>
      </c>
      <c r="G1642" s="223" t="s">
        <v>5744</v>
      </c>
      <c r="AR1642" s="223">
        <v>30310</v>
      </c>
      <c r="AV1642" s="22">
        <f t="shared" si="201"/>
        <v>30310</v>
      </c>
      <c r="CH1642" s="223">
        <v>28710</v>
      </c>
      <c r="CJ1642" s="223">
        <v>1600</v>
      </c>
      <c r="CK1642" s="22">
        <f t="shared" si="212"/>
        <v>30310</v>
      </c>
      <c r="CL1642" s="3">
        <f>+CK1642-AV1642</f>
        <v>0</v>
      </c>
      <c r="CM1642" s="222">
        <f t="shared" si="213"/>
        <v>638</v>
      </c>
      <c r="CN1642" s="3" t="str">
        <f t="shared" si="214"/>
        <v>خدمة عامة</v>
      </c>
    </row>
    <row r="1643" spans="1:92" ht="30" x14ac:dyDescent="0.25">
      <c r="E1643" s="224">
        <v>639</v>
      </c>
      <c r="F1643" s="257" t="s">
        <v>5740</v>
      </c>
      <c r="G1643" s="223" t="s">
        <v>5744</v>
      </c>
      <c r="J1643" s="223">
        <v>50</v>
      </c>
      <c r="AR1643" s="223">
        <v>25000</v>
      </c>
      <c r="AV1643" s="22">
        <f t="shared" si="201"/>
        <v>25050</v>
      </c>
      <c r="CF1643" s="223">
        <v>50</v>
      </c>
      <c r="CJ1643" s="223">
        <v>25000</v>
      </c>
      <c r="CK1643" s="22">
        <f t="shared" si="212"/>
        <v>25050</v>
      </c>
      <c r="CL1643" s="3">
        <f>+CK1643-AV1643</f>
        <v>0</v>
      </c>
      <c r="CM1643" s="222">
        <f t="shared" si="213"/>
        <v>639</v>
      </c>
      <c r="CN1643" s="3" t="str">
        <f t="shared" si="214"/>
        <v>تحسين خدمات صحية</v>
      </c>
    </row>
    <row r="1644" spans="1:92" x14ac:dyDescent="0.25">
      <c r="E1644" s="224">
        <v>640</v>
      </c>
      <c r="F1644" s="250" t="s">
        <v>249</v>
      </c>
      <c r="G1644" s="223" t="s">
        <v>5746</v>
      </c>
      <c r="AT1644" s="223">
        <v>7170</v>
      </c>
      <c r="AV1644" s="22">
        <f t="shared" si="201"/>
        <v>7170</v>
      </c>
      <c r="CJ1644" s="223">
        <v>7170</v>
      </c>
      <c r="CK1644" s="22">
        <f t="shared" si="212"/>
        <v>7170</v>
      </c>
      <c r="CM1644" s="258">
        <f t="shared" si="213"/>
        <v>640</v>
      </c>
      <c r="CN1644" s="223" t="str">
        <f t="shared" si="214"/>
        <v>خدمة عامة</v>
      </c>
    </row>
    <row r="1645" spans="1:92" x14ac:dyDescent="0.25">
      <c r="E1645" s="224">
        <v>641</v>
      </c>
      <c r="F1645" s="250" t="s">
        <v>122</v>
      </c>
      <c r="G1645" s="223" t="s">
        <v>5745</v>
      </c>
      <c r="AT1645" s="223">
        <v>250</v>
      </c>
      <c r="AV1645" s="22">
        <f>SUM(I1645:AU1645)</f>
        <v>250</v>
      </c>
      <c r="CJ1645" s="223">
        <v>250</v>
      </c>
      <c r="CK1645" s="22">
        <f t="shared" si="212"/>
        <v>250</v>
      </c>
      <c r="CL1645" s="3">
        <f t="shared" ref="CL1645:CL1654" si="215">+CK1645-AV1645</f>
        <v>0</v>
      </c>
      <c r="CM1645" s="222">
        <f t="shared" si="213"/>
        <v>641</v>
      </c>
      <c r="CN1645" s="3" t="str">
        <f t="shared" si="214"/>
        <v>علاج تخصصى</v>
      </c>
    </row>
    <row r="1646" spans="1:92" x14ac:dyDescent="0.25">
      <c r="E1646" s="224">
        <v>642</v>
      </c>
      <c r="F1646" s="250" t="s">
        <v>332</v>
      </c>
      <c r="G1646" s="223" t="s">
        <v>5748</v>
      </c>
      <c r="AV1646" s="22">
        <f t="shared" si="201"/>
        <v>0</v>
      </c>
      <c r="CK1646" s="22">
        <f t="shared" si="212"/>
        <v>0</v>
      </c>
      <c r="CL1646" s="3">
        <f t="shared" si="215"/>
        <v>0</v>
      </c>
      <c r="CM1646" s="222">
        <f t="shared" si="213"/>
        <v>642</v>
      </c>
      <c r="CN1646" s="3" t="str">
        <f t="shared" si="214"/>
        <v xml:space="preserve">لاب فقط </v>
      </c>
    </row>
    <row r="1647" spans="1:92" x14ac:dyDescent="0.25">
      <c r="E1647" s="224">
        <v>643</v>
      </c>
      <c r="F1647" s="250" t="s">
        <v>249</v>
      </c>
      <c r="G1647" s="223" t="s">
        <v>5747</v>
      </c>
      <c r="AT1647" s="223">
        <v>11195</v>
      </c>
      <c r="AV1647" s="22">
        <f t="shared" si="201"/>
        <v>11195</v>
      </c>
      <c r="CJ1647" s="223">
        <v>11195</v>
      </c>
      <c r="CK1647" s="22">
        <f t="shared" si="212"/>
        <v>11195</v>
      </c>
      <c r="CL1647" s="3">
        <f t="shared" si="215"/>
        <v>0</v>
      </c>
      <c r="CM1647" s="222">
        <f t="shared" si="213"/>
        <v>643</v>
      </c>
      <c r="CN1647" s="3" t="str">
        <f t="shared" si="214"/>
        <v>خدمة عامة</v>
      </c>
    </row>
    <row r="1648" spans="1:92" ht="31.5" x14ac:dyDescent="0.25">
      <c r="E1648" s="224">
        <v>644</v>
      </c>
      <c r="G1648" s="225" t="s">
        <v>5751</v>
      </c>
      <c r="AI1648" s="223">
        <v>24066333.629999999</v>
      </c>
      <c r="AV1648" s="22">
        <f t="shared" si="201"/>
        <v>24066333.629999999</v>
      </c>
      <c r="BD1648" s="223">
        <v>24066333.629999999</v>
      </c>
      <c r="CK1648" s="22">
        <f t="shared" si="212"/>
        <v>24066333.629999999</v>
      </c>
      <c r="CL1648" s="3">
        <f t="shared" si="215"/>
        <v>0</v>
      </c>
      <c r="CM1648" s="222">
        <f t="shared" si="213"/>
        <v>644</v>
      </c>
      <c r="CN1648" s="3">
        <f t="shared" si="214"/>
        <v>0</v>
      </c>
    </row>
    <row r="1649" spans="1:93" ht="31.5" x14ac:dyDescent="0.25">
      <c r="E1649" s="224">
        <v>645</v>
      </c>
      <c r="G1649" s="225" t="s">
        <v>5752</v>
      </c>
      <c r="AI1649" s="223">
        <v>12325415.27</v>
      </c>
      <c r="AV1649" s="22">
        <f t="shared" si="201"/>
        <v>12325415.27</v>
      </c>
      <c r="BD1649" s="223">
        <v>12325415.27</v>
      </c>
      <c r="CK1649" s="22">
        <f t="shared" si="212"/>
        <v>12325415.27</v>
      </c>
      <c r="CL1649" s="3">
        <f t="shared" si="215"/>
        <v>0</v>
      </c>
      <c r="CM1649" s="222">
        <f t="shared" si="213"/>
        <v>645</v>
      </c>
      <c r="CN1649" s="3">
        <f t="shared" si="214"/>
        <v>0</v>
      </c>
    </row>
    <row r="1650" spans="1:93" ht="31.5" x14ac:dyDescent="0.25">
      <c r="E1650" s="224">
        <v>646</v>
      </c>
      <c r="G1650" s="225" t="s">
        <v>5753</v>
      </c>
      <c r="AI1650" s="223">
        <v>24700</v>
      </c>
      <c r="AV1650" s="22">
        <f t="shared" si="201"/>
        <v>24700</v>
      </c>
      <c r="BD1650" s="223">
        <v>24700</v>
      </c>
      <c r="CK1650" s="22">
        <f t="shared" si="212"/>
        <v>24700</v>
      </c>
      <c r="CL1650" s="3">
        <f t="shared" si="215"/>
        <v>0</v>
      </c>
      <c r="CM1650" s="222">
        <f t="shared" si="213"/>
        <v>646</v>
      </c>
      <c r="CN1650" s="3">
        <f t="shared" si="214"/>
        <v>0</v>
      </c>
    </row>
    <row r="1651" spans="1:93" ht="47.25" x14ac:dyDescent="0.25">
      <c r="E1651" s="224">
        <v>647</v>
      </c>
      <c r="G1651" s="225" t="s">
        <v>5750</v>
      </c>
      <c r="AI1651" s="223">
        <v>185221.02</v>
      </c>
      <c r="AV1651" s="22">
        <f t="shared" si="201"/>
        <v>185221.02</v>
      </c>
      <c r="BD1651" s="223">
        <v>185221.02</v>
      </c>
      <c r="CK1651" s="22">
        <f t="shared" si="212"/>
        <v>185221.02</v>
      </c>
      <c r="CL1651" s="3">
        <f t="shared" si="215"/>
        <v>0</v>
      </c>
      <c r="CM1651" s="222">
        <f t="shared" si="213"/>
        <v>647</v>
      </c>
      <c r="CN1651" s="3">
        <f t="shared" si="214"/>
        <v>0</v>
      </c>
    </row>
    <row r="1652" spans="1:93" ht="31.5" x14ac:dyDescent="0.25">
      <c r="E1652" s="224">
        <v>648</v>
      </c>
      <c r="G1652" s="225" t="s">
        <v>5754</v>
      </c>
      <c r="AI1652" s="223">
        <v>135150.43</v>
      </c>
      <c r="AV1652" s="22">
        <f t="shared" si="201"/>
        <v>135150.43</v>
      </c>
      <c r="BD1652" s="223">
        <v>135150.43</v>
      </c>
      <c r="CK1652" s="22">
        <f t="shared" si="212"/>
        <v>135150.43</v>
      </c>
      <c r="CL1652" s="3">
        <f t="shared" si="215"/>
        <v>0</v>
      </c>
      <c r="CM1652" s="222">
        <f t="shared" si="213"/>
        <v>648</v>
      </c>
      <c r="CN1652" s="3">
        <f t="shared" si="214"/>
        <v>0</v>
      </c>
    </row>
    <row r="1653" spans="1:93" ht="31.5" x14ac:dyDescent="0.25">
      <c r="E1653" s="224">
        <v>649</v>
      </c>
      <c r="G1653" s="225" t="s">
        <v>5755</v>
      </c>
      <c r="AI1653" s="223">
        <v>1950.7</v>
      </c>
      <c r="AV1653" s="22">
        <f t="shared" si="201"/>
        <v>1950.7</v>
      </c>
      <c r="BD1653" s="223">
        <v>1950.7</v>
      </c>
      <c r="CK1653" s="22">
        <f t="shared" si="212"/>
        <v>1950.7</v>
      </c>
      <c r="CL1653" s="3">
        <f t="shared" si="215"/>
        <v>0</v>
      </c>
      <c r="CM1653" s="222">
        <f t="shared" si="213"/>
        <v>649</v>
      </c>
      <c r="CN1653" s="3">
        <f t="shared" si="214"/>
        <v>0</v>
      </c>
    </row>
    <row r="1654" spans="1:93" ht="31.5" x14ac:dyDescent="0.25">
      <c r="E1654" s="224">
        <v>650</v>
      </c>
      <c r="G1654" s="225" t="s">
        <v>5758</v>
      </c>
      <c r="AI1654" s="223">
        <v>199.76</v>
      </c>
      <c r="AV1654" s="22">
        <f>SUM(I1654:AU1654)</f>
        <v>199.76</v>
      </c>
      <c r="BD1654" s="223">
        <v>199.76</v>
      </c>
      <c r="CK1654" s="22">
        <f t="shared" si="212"/>
        <v>199.76</v>
      </c>
      <c r="CL1654" s="3">
        <f t="shared" si="215"/>
        <v>0</v>
      </c>
      <c r="CM1654" s="222">
        <f t="shared" si="213"/>
        <v>650</v>
      </c>
      <c r="CN1654" s="3">
        <f t="shared" si="214"/>
        <v>0</v>
      </c>
    </row>
    <row r="1655" spans="1:93" s="228" customFormat="1" x14ac:dyDescent="0.25">
      <c r="A1655" s="235"/>
      <c r="D1655" s="227"/>
      <c r="E1655" s="227"/>
      <c r="F1655" s="253"/>
      <c r="G1655" s="240" t="s">
        <v>5749</v>
      </c>
      <c r="J1655" s="228">
        <f>SUM(J1639:J1654)</f>
        <v>590</v>
      </c>
      <c r="K1655" s="228">
        <f t="shared" ref="K1655:BV1655" si="216">SUM(K1639:K1654)</f>
        <v>0</v>
      </c>
      <c r="L1655" s="228">
        <f t="shared" si="216"/>
        <v>0</v>
      </c>
      <c r="M1655" s="228">
        <f t="shared" si="216"/>
        <v>0</v>
      </c>
      <c r="N1655" s="228">
        <f t="shared" si="216"/>
        <v>0</v>
      </c>
      <c r="O1655" s="228">
        <f t="shared" si="216"/>
        <v>0</v>
      </c>
      <c r="P1655" s="228">
        <f t="shared" si="216"/>
        <v>0</v>
      </c>
      <c r="Q1655" s="228">
        <f t="shared" si="216"/>
        <v>0</v>
      </c>
      <c r="R1655" s="228">
        <f t="shared" si="216"/>
        <v>0</v>
      </c>
      <c r="S1655" s="228">
        <f t="shared" si="216"/>
        <v>0</v>
      </c>
      <c r="T1655" s="228">
        <f t="shared" si="216"/>
        <v>0</v>
      </c>
      <c r="U1655" s="228">
        <f t="shared" si="216"/>
        <v>0</v>
      </c>
      <c r="V1655" s="228">
        <f t="shared" si="216"/>
        <v>0</v>
      </c>
      <c r="W1655" s="228">
        <f t="shared" si="216"/>
        <v>0</v>
      </c>
      <c r="X1655" s="228">
        <f t="shared" si="216"/>
        <v>0</v>
      </c>
      <c r="Y1655" s="228">
        <f t="shared" si="216"/>
        <v>0</v>
      </c>
      <c r="Z1655" s="228">
        <f t="shared" si="216"/>
        <v>0</v>
      </c>
      <c r="AA1655" s="228">
        <f t="shared" si="216"/>
        <v>0</v>
      </c>
      <c r="AB1655" s="228">
        <f t="shared" si="216"/>
        <v>0</v>
      </c>
      <c r="AC1655" s="228">
        <f t="shared" si="216"/>
        <v>0</v>
      </c>
      <c r="AD1655" s="228">
        <f t="shared" si="216"/>
        <v>0</v>
      </c>
      <c r="AE1655" s="228">
        <f t="shared" si="216"/>
        <v>0</v>
      </c>
      <c r="AF1655" s="228">
        <f t="shared" si="216"/>
        <v>0</v>
      </c>
      <c r="AG1655" s="228">
        <f t="shared" si="216"/>
        <v>0</v>
      </c>
      <c r="AH1655" s="228">
        <f t="shared" si="216"/>
        <v>0</v>
      </c>
      <c r="AI1655" s="228">
        <f t="shared" si="216"/>
        <v>36738970.810000002</v>
      </c>
      <c r="AJ1655" s="228">
        <f t="shared" si="216"/>
        <v>0</v>
      </c>
      <c r="AK1655" s="228">
        <f t="shared" si="216"/>
        <v>0</v>
      </c>
      <c r="AL1655" s="228">
        <f t="shared" si="216"/>
        <v>0</v>
      </c>
      <c r="AM1655" s="228">
        <f t="shared" si="216"/>
        <v>0</v>
      </c>
      <c r="AN1655" s="228">
        <f t="shared" si="216"/>
        <v>0</v>
      </c>
      <c r="AO1655" s="228">
        <f t="shared" si="216"/>
        <v>0</v>
      </c>
      <c r="AP1655" s="228">
        <f t="shared" si="216"/>
        <v>0</v>
      </c>
      <c r="AQ1655" s="228">
        <f t="shared" si="216"/>
        <v>0</v>
      </c>
      <c r="AR1655" s="228">
        <f t="shared" si="216"/>
        <v>64711</v>
      </c>
      <c r="AS1655" s="228">
        <f t="shared" si="216"/>
        <v>0</v>
      </c>
      <c r="AT1655" s="228">
        <f t="shared" si="216"/>
        <v>20410</v>
      </c>
      <c r="AU1655" s="228">
        <f t="shared" si="216"/>
        <v>0</v>
      </c>
      <c r="AV1655" s="228">
        <f t="shared" si="216"/>
        <v>36824681.810000002</v>
      </c>
      <c r="AW1655" s="228">
        <f t="shared" si="216"/>
        <v>0</v>
      </c>
      <c r="AX1655" s="228">
        <f t="shared" si="216"/>
        <v>0</v>
      </c>
      <c r="AY1655" s="228">
        <f t="shared" si="216"/>
        <v>0</v>
      </c>
      <c r="AZ1655" s="228">
        <f t="shared" si="216"/>
        <v>0</v>
      </c>
      <c r="BA1655" s="228">
        <f t="shared" si="216"/>
        <v>0</v>
      </c>
      <c r="BB1655" s="228">
        <f t="shared" si="216"/>
        <v>0</v>
      </c>
      <c r="BC1655" s="228">
        <f t="shared" si="216"/>
        <v>0</v>
      </c>
      <c r="BD1655" s="228">
        <f t="shared" si="216"/>
        <v>36738970.810000002</v>
      </c>
      <c r="BE1655" s="228">
        <f t="shared" si="216"/>
        <v>0</v>
      </c>
      <c r="BF1655" s="228">
        <f t="shared" si="216"/>
        <v>0</v>
      </c>
      <c r="BG1655" s="228">
        <f t="shared" si="216"/>
        <v>0</v>
      </c>
      <c r="BH1655" s="228">
        <f t="shared" si="216"/>
        <v>0</v>
      </c>
      <c r="BI1655" s="228">
        <f t="shared" si="216"/>
        <v>0</v>
      </c>
      <c r="BJ1655" s="228">
        <f t="shared" si="216"/>
        <v>0</v>
      </c>
      <c r="BK1655" s="228">
        <f t="shared" si="216"/>
        <v>0</v>
      </c>
      <c r="BL1655" s="228">
        <f t="shared" si="216"/>
        <v>0</v>
      </c>
      <c r="BM1655" s="228">
        <f t="shared" si="216"/>
        <v>0</v>
      </c>
      <c r="BN1655" s="228">
        <f t="shared" si="216"/>
        <v>0</v>
      </c>
      <c r="BO1655" s="228">
        <f t="shared" si="216"/>
        <v>0</v>
      </c>
      <c r="BP1655" s="228">
        <f t="shared" si="216"/>
        <v>0</v>
      </c>
      <c r="BQ1655" s="228">
        <f t="shared" si="216"/>
        <v>0</v>
      </c>
      <c r="BR1655" s="228">
        <f t="shared" si="216"/>
        <v>0</v>
      </c>
      <c r="BS1655" s="228">
        <f t="shared" si="216"/>
        <v>0</v>
      </c>
      <c r="BT1655" s="228">
        <f t="shared" si="216"/>
        <v>0</v>
      </c>
      <c r="BU1655" s="228">
        <f t="shared" si="216"/>
        <v>0</v>
      </c>
      <c r="BV1655" s="228">
        <f t="shared" si="216"/>
        <v>0</v>
      </c>
      <c r="BW1655" s="228">
        <f t="shared" ref="BW1655:CO1655" si="217">SUM(BW1639:BW1654)</f>
        <v>0</v>
      </c>
      <c r="BX1655" s="228">
        <f t="shared" si="217"/>
        <v>0</v>
      </c>
      <c r="BY1655" s="228">
        <f t="shared" si="217"/>
        <v>0</v>
      </c>
      <c r="BZ1655" s="228">
        <f t="shared" si="217"/>
        <v>0</v>
      </c>
      <c r="CA1655" s="228">
        <f t="shared" si="217"/>
        <v>0</v>
      </c>
      <c r="CB1655" s="228">
        <f t="shared" si="217"/>
        <v>0</v>
      </c>
      <c r="CC1655" s="228">
        <f t="shared" si="217"/>
        <v>0</v>
      </c>
      <c r="CD1655" s="228">
        <f t="shared" si="217"/>
        <v>0</v>
      </c>
      <c r="CE1655" s="228">
        <f t="shared" si="217"/>
        <v>0</v>
      </c>
      <c r="CF1655" s="228">
        <f t="shared" si="217"/>
        <v>590</v>
      </c>
      <c r="CG1655" s="228">
        <f t="shared" si="217"/>
        <v>0</v>
      </c>
      <c r="CH1655" s="228">
        <f t="shared" si="217"/>
        <v>29410</v>
      </c>
      <c r="CJ1655" s="228">
        <f t="shared" si="217"/>
        <v>55711</v>
      </c>
      <c r="CK1655" s="228">
        <f t="shared" si="217"/>
        <v>36824681.810000002</v>
      </c>
      <c r="CL1655" s="228">
        <f t="shared" si="217"/>
        <v>0</v>
      </c>
      <c r="CN1655" s="228">
        <f t="shared" si="217"/>
        <v>0</v>
      </c>
      <c r="CO1655" s="228">
        <f t="shared" si="217"/>
        <v>0</v>
      </c>
    </row>
    <row r="1656" spans="1:93" x14ac:dyDescent="0.25">
      <c r="B1656" s="223" t="s">
        <v>5761</v>
      </c>
      <c r="E1656" s="224">
        <v>651</v>
      </c>
      <c r="G1656" s="223" t="s">
        <v>5757</v>
      </c>
      <c r="L1656" s="241">
        <v>5050498.67</v>
      </c>
      <c r="AV1656" s="22">
        <f t="shared" si="201"/>
        <v>5050498.67</v>
      </c>
      <c r="BD1656" s="223">
        <v>5050498.67</v>
      </c>
      <c r="CK1656" s="22">
        <f t="shared" ref="CK1656:CK1664" si="218">SUM(AW1656:CJ1656)</f>
        <v>5050498.67</v>
      </c>
      <c r="CL1656" s="3">
        <f t="shared" ref="CL1656:CL1664" si="219">+CK1656-AV1656</f>
        <v>0</v>
      </c>
      <c r="CM1656" s="222">
        <f t="shared" ref="CM1656:CM1664" si="220">+E1656</f>
        <v>651</v>
      </c>
      <c r="CN1656" s="3">
        <f t="shared" ref="CN1656:CN1664" si="221">+F1656</f>
        <v>0</v>
      </c>
    </row>
    <row r="1657" spans="1:93" x14ac:dyDescent="0.25">
      <c r="B1657" s="223" t="s">
        <v>5761</v>
      </c>
      <c r="E1657" s="224">
        <v>652</v>
      </c>
      <c r="G1657" s="223" t="s">
        <v>5759</v>
      </c>
      <c r="I1657" s="223">
        <v>180504.95</v>
      </c>
      <c r="AV1657" s="22">
        <f t="shared" si="201"/>
        <v>180504.95</v>
      </c>
      <c r="CJ1657" s="223">
        <v>180504.95</v>
      </c>
      <c r="CK1657" s="22">
        <f t="shared" si="218"/>
        <v>180504.95</v>
      </c>
      <c r="CL1657" s="3">
        <f t="shared" si="219"/>
        <v>0</v>
      </c>
      <c r="CM1657" s="222">
        <f t="shared" si="220"/>
        <v>652</v>
      </c>
      <c r="CN1657" s="3">
        <f t="shared" si="221"/>
        <v>0</v>
      </c>
    </row>
    <row r="1658" spans="1:93" x14ac:dyDescent="0.25">
      <c r="B1658" s="223" t="s">
        <v>5760</v>
      </c>
      <c r="E1658" s="224">
        <v>653</v>
      </c>
      <c r="G1658" s="223" t="s">
        <v>5756</v>
      </c>
      <c r="AI1658" s="223">
        <v>180504.95</v>
      </c>
      <c r="AV1658" s="22">
        <f t="shared" si="201"/>
        <v>180504.95</v>
      </c>
      <c r="BD1658" s="223">
        <v>180504.95</v>
      </c>
      <c r="CK1658" s="22">
        <f t="shared" si="218"/>
        <v>180504.95</v>
      </c>
      <c r="CL1658" s="3">
        <f t="shared" si="219"/>
        <v>0</v>
      </c>
      <c r="CM1658" s="222">
        <f t="shared" si="220"/>
        <v>653</v>
      </c>
      <c r="CN1658" s="3">
        <f t="shared" si="221"/>
        <v>0</v>
      </c>
    </row>
    <row r="1659" spans="1:93" x14ac:dyDescent="0.25">
      <c r="E1659" s="224">
        <v>654</v>
      </c>
      <c r="F1659" s="250" t="s">
        <v>332</v>
      </c>
      <c r="G1659" s="223" t="s">
        <v>5764</v>
      </c>
      <c r="AV1659" s="22">
        <f t="shared" si="201"/>
        <v>0</v>
      </c>
      <c r="CK1659" s="22">
        <f t="shared" si="218"/>
        <v>0</v>
      </c>
      <c r="CL1659" s="3">
        <f t="shared" si="219"/>
        <v>0</v>
      </c>
      <c r="CM1659" s="222">
        <f t="shared" si="220"/>
        <v>654</v>
      </c>
      <c r="CN1659" s="3" t="str">
        <f t="shared" si="221"/>
        <v xml:space="preserve">لاب فقط </v>
      </c>
    </row>
    <row r="1660" spans="1:93" ht="31.5" x14ac:dyDescent="0.25">
      <c r="B1660" s="223" t="s">
        <v>5761</v>
      </c>
      <c r="E1660" s="224">
        <v>655</v>
      </c>
      <c r="G1660" s="225" t="s">
        <v>5765</v>
      </c>
      <c r="AI1660" s="262">
        <v>325</v>
      </c>
      <c r="AV1660" s="22">
        <f t="shared" si="201"/>
        <v>325</v>
      </c>
      <c r="BD1660" s="223">
        <v>325</v>
      </c>
      <c r="CK1660" s="22">
        <f t="shared" si="218"/>
        <v>325</v>
      </c>
      <c r="CL1660" s="3">
        <f t="shared" si="219"/>
        <v>0</v>
      </c>
      <c r="CM1660" s="222">
        <f t="shared" si="220"/>
        <v>655</v>
      </c>
      <c r="CN1660" s="3">
        <f t="shared" si="221"/>
        <v>0</v>
      </c>
    </row>
    <row r="1661" spans="1:93" x14ac:dyDescent="0.25">
      <c r="B1661" s="223" t="s">
        <v>5761</v>
      </c>
      <c r="E1661" s="224">
        <v>656</v>
      </c>
      <c r="G1661" s="223" t="s">
        <v>5766</v>
      </c>
      <c r="AI1661" s="223">
        <v>650</v>
      </c>
      <c r="AV1661" s="22">
        <f t="shared" si="201"/>
        <v>650</v>
      </c>
      <c r="BD1661" s="223">
        <v>650</v>
      </c>
      <c r="CK1661" s="22">
        <f t="shared" si="218"/>
        <v>650</v>
      </c>
      <c r="CL1661" s="3">
        <f t="shared" si="219"/>
        <v>0</v>
      </c>
      <c r="CM1661" s="222">
        <f t="shared" si="220"/>
        <v>656</v>
      </c>
      <c r="CN1661" s="3">
        <f t="shared" si="221"/>
        <v>0</v>
      </c>
    </row>
    <row r="1662" spans="1:93" x14ac:dyDescent="0.25">
      <c r="B1662" s="223" t="s">
        <v>5761</v>
      </c>
      <c r="E1662" s="224">
        <v>657</v>
      </c>
      <c r="F1662" s="250" t="s">
        <v>1431</v>
      </c>
      <c r="G1662" s="223" t="s">
        <v>5767</v>
      </c>
      <c r="AV1662" s="22">
        <f t="shared" si="201"/>
        <v>0</v>
      </c>
      <c r="CK1662" s="22">
        <f t="shared" si="218"/>
        <v>0</v>
      </c>
      <c r="CL1662" s="3">
        <f t="shared" si="219"/>
        <v>0</v>
      </c>
      <c r="CM1662" s="222">
        <f t="shared" si="220"/>
        <v>657</v>
      </c>
      <c r="CN1662" s="3" t="str">
        <f t="shared" si="221"/>
        <v>لاب فقط</v>
      </c>
    </row>
    <row r="1663" spans="1:93" ht="31.5" x14ac:dyDescent="0.25">
      <c r="E1663" s="224">
        <v>658</v>
      </c>
      <c r="G1663" s="225" t="s">
        <v>5768</v>
      </c>
      <c r="AI1663" s="241">
        <f>187525827.52+78844517.11+46700</f>
        <v>266417044.63</v>
      </c>
      <c r="AV1663" s="22">
        <f t="shared" si="201"/>
        <v>266417044.63</v>
      </c>
      <c r="BD1663" s="241">
        <v>266417044.63</v>
      </c>
      <c r="CK1663" s="22">
        <f t="shared" si="218"/>
        <v>266417044.63</v>
      </c>
      <c r="CL1663" s="3">
        <f t="shared" si="219"/>
        <v>0</v>
      </c>
      <c r="CM1663" s="222">
        <f t="shared" si="220"/>
        <v>658</v>
      </c>
      <c r="CN1663" s="3">
        <f t="shared" si="221"/>
        <v>0</v>
      </c>
    </row>
    <row r="1664" spans="1:93" x14ac:dyDescent="0.25">
      <c r="E1664" s="224">
        <v>659</v>
      </c>
      <c r="G1664" s="223" t="s">
        <v>5769</v>
      </c>
      <c r="Y1664" s="223">
        <v>87630420.730000004</v>
      </c>
      <c r="AU1664" s="241">
        <v>293610471.91000003</v>
      </c>
      <c r="AV1664" s="22">
        <f>SUM(H1664:AU1664)</f>
        <v>381240892.64000005</v>
      </c>
      <c r="CI1664" s="241">
        <v>381240892.63999999</v>
      </c>
      <c r="CK1664" s="22">
        <f t="shared" si="218"/>
        <v>381240892.63999999</v>
      </c>
      <c r="CL1664" s="3">
        <f t="shared" si="219"/>
        <v>0</v>
      </c>
      <c r="CM1664" s="222">
        <f t="shared" si="220"/>
        <v>659</v>
      </c>
      <c r="CN1664" s="3">
        <f t="shared" si="221"/>
        <v>0</v>
      </c>
    </row>
    <row r="1665" spans="1:96" s="228" customFormat="1" x14ac:dyDescent="0.25">
      <c r="A1665" s="235"/>
      <c r="D1665" s="227"/>
      <c r="E1665" s="227"/>
      <c r="F1665" s="253"/>
      <c r="G1665" s="228" t="s">
        <v>5762</v>
      </c>
      <c r="I1665" s="228">
        <f>SUM(I1656:I1664)</f>
        <v>180504.95</v>
      </c>
      <c r="J1665" s="228">
        <f t="shared" ref="J1665:BU1665" si="222">SUM(J1656:J1664)</f>
        <v>0</v>
      </c>
      <c r="K1665" s="228">
        <f t="shared" si="222"/>
        <v>0</v>
      </c>
      <c r="L1665" s="229">
        <f t="shared" si="222"/>
        <v>5050498.67</v>
      </c>
      <c r="M1665" s="228">
        <f t="shared" si="222"/>
        <v>0</v>
      </c>
      <c r="N1665" s="228">
        <f t="shared" si="222"/>
        <v>0</v>
      </c>
      <c r="O1665" s="228">
        <f t="shared" si="222"/>
        <v>0</v>
      </c>
      <c r="P1665" s="228">
        <f t="shared" si="222"/>
        <v>0</v>
      </c>
      <c r="Q1665" s="228">
        <f t="shared" si="222"/>
        <v>0</v>
      </c>
      <c r="R1665" s="228">
        <f t="shared" si="222"/>
        <v>0</v>
      </c>
      <c r="S1665" s="228">
        <f t="shared" si="222"/>
        <v>0</v>
      </c>
      <c r="T1665" s="228">
        <f t="shared" si="222"/>
        <v>0</v>
      </c>
      <c r="U1665" s="228">
        <f t="shared" si="222"/>
        <v>0</v>
      </c>
      <c r="V1665" s="228">
        <f t="shared" si="222"/>
        <v>0</v>
      </c>
      <c r="W1665" s="228">
        <f t="shared" si="222"/>
        <v>0</v>
      </c>
      <c r="X1665" s="228">
        <f t="shared" si="222"/>
        <v>0</v>
      </c>
      <c r="Y1665" s="228">
        <f t="shared" si="222"/>
        <v>87630420.730000004</v>
      </c>
      <c r="Z1665" s="228">
        <f t="shared" si="222"/>
        <v>0</v>
      </c>
      <c r="AA1665" s="228">
        <f t="shared" si="222"/>
        <v>0</v>
      </c>
      <c r="AB1665" s="228">
        <f t="shared" si="222"/>
        <v>0</v>
      </c>
      <c r="AC1665" s="228">
        <f t="shared" si="222"/>
        <v>0</v>
      </c>
      <c r="AD1665" s="228">
        <f t="shared" si="222"/>
        <v>0</v>
      </c>
      <c r="AE1665" s="228">
        <f t="shared" si="222"/>
        <v>0</v>
      </c>
      <c r="AF1665" s="228">
        <f t="shared" si="222"/>
        <v>0</v>
      </c>
      <c r="AG1665" s="228">
        <f t="shared" si="222"/>
        <v>0</v>
      </c>
      <c r="AH1665" s="228">
        <f t="shared" si="222"/>
        <v>0</v>
      </c>
      <c r="AI1665" s="229">
        <f t="shared" si="222"/>
        <v>266598524.57999998</v>
      </c>
      <c r="AJ1665" s="228">
        <f t="shared" si="222"/>
        <v>0</v>
      </c>
      <c r="AK1665" s="228">
        <f t="shared" si="222"/>
        <v>0</v>
      </c>
      <c r="AL1665" s="228">
        <f t="shared" si="222"/>
        <v>0</v>
      </c>
      <c r="AM1665" s="228">
        <f t="shared" si="222"/>
        <v>0</v>
      </c>
      <c r="AN1665" s="228">
        <f t="shared" si="222"/>
        <v>0</v>
      </c>
      <c r="AO1665" s="228">
        <f t="shared" si="222"/>
        <v>0</v>
      </c>
      <c r="AP1665" s="228">
        <f t="shared" si="222"/>
        <v>0</v>
      </c>
      <c r="AQ1665" s="228">
        <f t="shared" si="222"/>
        <v>0</v>
      </c>
      <c r="AR1665" s="228">
        <f t="shared" si="222"/>
        <v>0</v>
      </c>
      <c r="AS1665" s="228">
        <f t="shared" si="222"/>
        <v>0</v>
      </c>
      <c r="AT1665" s="228">
        <f t="shared" si="222"/>
        <v>0</v>
      </c>
      <c r="AU1665" s="229">
        <f t="shared" si="222"/>
        <v>293610471.91000003</v>
      </c>
      <c r="AV1665" s="229">
        <f t="shared" si="222"/>
        <v>653070420.84000003</v>
      </c>
      <c r="AW1665" s="228">
        <f t="shared" si="222"/>
        <v>0</v>
      </c>
      <c r="AX1665" s="228">
        <f t="shared" si="222"/>
        <v>0</v>
      </c>
      <c r="AY1665" s="228">
        <f t="shared" si="222"/>
        <v>0</v>
      </c>
      <c r="AZ1665" s="228">
        <f t="shared" si="222"/>
        <v>0</v>
      </c>
      <c r="BA1665" s="228">
        <f t="shared" si="222"/>
        <v>0</v>
      </c>
      <c r="BB1665" s="228">
        <f t="shared" si="222"/>
        <v>0</v>
      </c>
      <c r="BC1665" s="228">
        <f t="shared" si="222"/>
        <v>0</v>
      </c>
      <c r="BD1665" s="229">
        <f t="shared" si="222"/>
        <v>271649023.25</v>
      </c>
      <c r="BE1665" s="228">
        <f t="shared" si="222"/>
        <v>0</v>
      </c>
      <c r="BF1665" s="228">
        <f t="shared" si="222"/>
        <v>0</v>
      </c>
      <c r="BG1665" s="228">
        <f t="shared" si="222"/>
        <v>0</v>
      </c>
      <c r="BH1665" s="228">
        <f t="shared" si="222"/>
        <v>0</v>
      </c>
      <c r="BI1665" s="228">
        <f t="shared" si="222"/>
        <v>0</v>
      </c>
      <c r="BJ1665" s="228">
        <f t="shared" si="222"/>
        <v>0</v>
      </c>
      <c r="BK1665" s="228">
        <f t="shared" si="222"/>
        <v>0</v>
      </c>
      <c r="BL1665" s="228">
        <f t="shared" si="222"/>
        <v>0</v>
      </c>
      <c r="BM1665" s="228">
        <f t="shared" si="222"/>
        <v>0</v>
      </c>
      <c r="BN1665" s="228">
        <f t="shared" si="222"/>
        <v>0</v>
      </c>
      <c r="BO1665" s="228">
        <f t="shared" si="222"/>
        <v>0</v>
      </c>
      <c r="BP1665" s="228">
        <f t="shared" si="222"/>
        <v>0</v>
      </c>
      <c r="BQ1665" s="228">
        <f t="shared" si="222"/>
        <v>0</v>
      </c>
      <c r="BR1665" s="228">
        <f t="shared" si="222"/>
        <v>0</v>
      </c>
      <c r="BS1665" s="228">
        <f t="shared" si="222"/>
        <v>0</v>
      </c>
      <c r="BT1665" s="228">
        <f t="shared" si="222"/>
        <v>0</v>
      </c>
      <c r="BU1665" s="228">
        <f t="shared" si="222"/>
        <v>0</v>
      </c>
      <c r="BV1665" s="228">
        <f t="shared" ref="BV1665:CR1665" si="223">SUM(BV1656:BV1664)</f>
        <v>0</v>
      </c>
      <c r="BW1665" s="228">
        <f t="shared" si="223"/>
        <v>0</v>
      </c>
      <c r="BX1665" s="228">
        <f t="shared" si="223"/>
        <v>0</v>
      </c>
      <c r="BY1665" s="228">
        <f t="shared" si="223"/>
        <v>0</v>
      </c>
      <c r="BZ1665" s="228">
        <f t="shared" si="223"/>
        <v>0</v>
      </c>
      <c r="CA1665" s="228">
        <f t="shared" si="223"/>
        <v>0</v>
      </c>
      <c r="CB1665" s="228">
        <f t="shared" si="223"/>
        <v>0</v>
      </c>
      <c r="CC1665" s="228">
        <f t="shared" si="223"/>
        <v>0</v>
      </c>
      <c r="CD1665" s="228">
        <f t="shared" si="223"/>
        <v>0</v>
      </c>
      <c r="CE1665" s="228">
        <f t="shared" si="223"/>
        <v>0</v>
      </c>
      <c r="CF1665" s="228">
        <f t="shared" si="223"/>
        <v>0</v>
      </c>
      <c r="CG1665" s="228">
        <f t="shared" si="223"/>
        <v>0</v>
      </c>
      <c r="CH1665" s="228">
        <f t="shared" si="223"/>
        <v>0</v>
      </c>
      <c r="CI1665" s="229">
        <f t="shared" si="223"/>
        <v>381240892.63999999</v>
      </c>
      <c r="CJ1665" s="228">
        <f t="shared" si="223"/>
        <v>180504.95</v>
      </c>
      <c r="CK1665" s="228">
        <f t="shared" si="223"/>
        <v>653070420.83999991</v>
      </c>
      <c r="CL1665" s="228">
        <f t="shared" si="223"/>
        <v>0</v>
      </c>
      <c r="CN1665" s="228">
        <f t="shared" si="223"/>
        <v>0</v>
      </c>
      <c r="CO1665" s="228">
        <f t="shared" si="223"/>
        <v>0</v>
      </c>
      <c r="CP1665" s="228">
        <f t="shared" si="223"/>
        <v>0</v>
      </c>
      <c r="CQ1665" s="228">
        <f t="shared" si="223"/>
        <v>0</v>
      </c>
      <c r="CR1665" s="228">
        <f t="shared" si="223"/>
        <v>0</v>
      </c>
    </row>
    <row r="1666" spans="1:96" x14ac:dyDescent="0.25">
      <c r="AV1666" s="22">
        <f t="shared" si="201"/>
        <v>0</v>
      </c>
      <c r="CK1666" s="22">
        <f t="shared" ref="CK1666:CK1697" si="224">SUM(AW1666:CJ1666)</f>
        <v>0</v>
      </c>
      <c r="CL1666" s="3">
        <f t="shared" ref="CL1666:CL1697" si="225">+CK1666-AV1666</f>
        <v>0</v>
      </c>
      <c r="CM1666" s="222">
        <f t="shared" ref="CM1666:CM1707" si="226">+E1666</f>
        <v>0</v>
      </c>
      <c r="CN1666" s="3">
        <f t="shared" ref="CN1666:CN1707" si="227">+F1666</f>
        <v>0</v>
      </c>
    </row>
    <row r="1667" spans="1:96" x14ac:dyDescent="0.25">
      <c r="AV1667" s="22">
        <f t="shared" si="201"/>
        <v>0</v>
      </c>
      <c r="CK1667" s="22">
        <f t="shared" si="224"/>
        <v>0</v>
      </c>
      <c r="CL1667" s="3">
        <f t="shared" si="225"/>
        <v>0</v>
      </c>
      <c r="CM1667" s="222">
        <f t="shared" si="226"/>
        <v>0</v>
      </c>
      <c r="CN1667" s="3">
        <f t="shared" si="227"/>
        <v>0</v>
      </c>
    </row>
    <row r="1668" spans="1:96" x14ac:dyDescent="0.25">
      <c r="AV1668" s="22">
        <f t="shared" si="201"/>
        <v>0</v>
      </c>
      <c r="CK1668" s="22">
        <f t="shared" si="224"/>
        <v>0</v>
      </c>
      <c r="CL1668" s="3">
        <f t="shared" si="225"/>
        <v>0</v>
      </c>
      <c r="CM1668" s="222">
        <f t="shared" si="226"/>
        <v>0</v>
      </c>
      <c r="CN1668" s="3">
        <f t="shared" si="227"/>
        <v>0</v>
      </c>
    </row>
    <row r="1669" spans="1:96" x14ac:dyDescent="0.25">
      <c r="AV1669" s="22">
        <f t="shared" si="201"/>
        <v>0</v>
      </c>
      <c r="CK1669" s="22">
        <f t="shared" si="224"/>
        <v>0</v>
      </c>
      <c r="CL1669" s="3">
        <f t="shared" si="225"/>
        <v>0</v>
      </c>
      <c r="CM1669" s="222">
        <f t="shared" si="226"/>
        <v>0</v>
      </c>
      <c r="CN1669" s="3">
        <f t="shared" si="227"/>
        <v>0</v>
      </c>
    </row>
    <row r="1670" spans="1:96" x14ac:dyDescent="0.25">
      <c r="AV1670" s="22">
        <f t="shared" si="201"/>
        <v>0</v>
      </c>
      <c r="CK1670" s="22">
        <f t="shared" si="224"/>
        <v>0</v>
      </c>
      <c r="CL1670" s="3">
        <f t="shared" si="225"/>
        <v>0</v>
      </c>
      <c r="CM1670" s="222">
        <f t="shared" si="226"/>
        <v>0</v>
      </c>
      <c r="CN1670" s="3">
        <f t="shared" si="227"/>
        <v>0</v>
      </c>
    </row>
    <row r="1671" spans="1:96" x14ac:dyDescent="0.25">
      <c r="AV1671" s="22">
        <f t="shared" si="201"/>
        <v>0</v>
      </c>
      <c r="CK1671" s="22">
        <f t="shared" si="224"/>
        <v>0</v>
      </c>
      <c r="CL1671" s="3">
        <f t="shared" si="225"/>
        <v>0</v>
      </c>
      <c r="CM1671" s="222">
        <f t="shared" si="226"/>
        <v>0</v>
      </c>
      <c r="CN1671" s="3">
        <f t="shared" si="227"/>
        <v>0</v>
      </c>
    </row>
    <row r="1672" spans="1:96" x14ac:dyDescent="0.25">
      <c r="AV1672" s="22">
        <f t="shared" ref="AV1672:AV1700" si="228">SUM(I1672:AU1672)</f>
        <v>0</v>
      </c>
      <c r="CK1672" s="22">
        <f t="shared" si="224"/>
        <v>0</v>
      </c>
      <c r="CL1672" s="3">
        <f t="shared" si="225"/>
        <v>0</v>
      </c>
      <c r="CM1672" s="222">
        <f t="shared" si="226"/>
        <v>0</v>
      </c>
      <c r="CN1672" s="3">
        <f t="shared" si="227"/>
        <v>0</v>
      </c>
    </row>
    <row r="1673" spans="1:96" x14ac:dyDescent="0.25">
      <c r="AV1673" s="22">
        <f t="shared" si="228"/>
        <v>0</v>
      </c>
      <c r="CK1673" s="22">
        <f t="shared" si="224"/>
        <v>0</v>
      </c>
      <c r="CL1673" s="3">
        <f t="shared" si="225"/>
        <v>0</v>
      </c>
      <c r="CM1673" s="222">
        <f t="shared" si="226"/>
        <v>0</v>
      </c>
      <c r="CN1673" s="3">
        <f t="shared" si="227"/>
        <v>0</v>
      </c>
    </row>
    <row r="1674" spans="1:96" x14ac:dyDescent="0.25">
      <c r="AV1674" s="22">
        <f t="shared" si="228"/>
        <v>0</v>
      </c>
      <c r="CK1674" s="22">
        <f t="shared" si="224"/>
        <v>0</v>
      </c>
      <c r="CL1674" s="3">
        <f t="shared" si="225"/>
        <v>0</v>
      </c>
      <c r="CM1674" s="222">
        <f t="shared" si="226"/>
        <v>0</v>
      </c>
      <c r="CN1674" s="3">
        <f t="shared" si="227"/>
        <v>0</v>
      </c>
    </row>
    <row r="1675" spans="1:96" x14ac:dyDescent="0.25">
      <c r="AV1675" s="22">
        <f t="shared" si="228"/>
        <v>0</v>
      </c>
      <c r="CK1675" s="22">
        <f t="shared" si="224"/>
        <v>0</v>
      </c>
      <c r="CL1675" s="3">
        <f t="shared" si="225"/>
        <v>0</v>
      </c>
      <c r="CM1675" s="222">
        <f t="shared" si="226"/>
        <v>0</v>
      </c>
      <c r="CN1675" s="3">
        <f t="shared" si="227"/>
        <v>0</v>
      </c>
    </row>
    <row r="1676" spans="1:96" x14ac:dyDescent="0.25">
      <c r="AV1676" s="22">
        <f t="shared" si="228"/>
        <v>0</v>
      </c>
      <c r="CK1676" s="22">
        <f t="shared" si="224"/>
        <v>0</v>
      </c>
      <c r="CL1676" s="3">
        <f t="shared" si="225"/>
        <v>0</v>
      </c>
      <c r="CM1676" s="222">
        <f t="shared" si="226"/>
        <v>0</v>
      </c>
      <c r="CN1676" s="3">
        <f t="shared" si="227"/>
        <v>0</v>
      </c>
    </row>
    <row r="1677" spans="1:96" x14ac:dyDescent="0.25">
      <c r="AV1677" s="22">
        <f t="shared" si="228"/>
        <v>0</v>
      </c>
      <c r="CK1677" s="22">
        <f t="shared" si="224"/>
        <v>0</v>
      </c>
      <c r="CL1677" s="3">
        <f t="shared" si="225"/>
        <v>0</v>
      </c>
      <c r="CM1677" s="222">
        <f t="shared" si="226"/>
        <v>0</v>
      </c>
      <c r="CN1677" s="3">
        <f t="shared" si="227"/>
        <v>0</v>
      </c>
    </row>
    <row r="1678" spans="1:96" x14ac:dyDescent="0.25">
      <c r="AV1678" s="22">
        <f t="shared" si="228"/>
        <v>0</v>
      </c>
      <c r="CK1678" s="22">
        <f t="shared" si="224"/>
        <v>0</v>
      </c>
      <c r="CL1678" s="3">
        <f t="shared" si="225"/>
        <v>0</v>
      </c>
      <c r="CM1678" s="222">
        <f t="shared" si="226"/>
        <v>0</v>
      </c>
      <c r="CN1678" s="3">
        <f t="shared" si="227"/>
        <v>0</v>
      </c>
    </row>
    <row r="1679" spans="1:96" x14ac:dyDescent="0.25">
      <c r="AV1679" s="22">
        <f t="shared" si="228"/>
        <v>0</v>
      </c>
      <c r="CK1679" s="22">
        <f t="shared" si="224"/>
        <v>0</v>
      </c>
      <c r="CL1679" s="3">
        <f t="shared" si="225"/>
        <v>0</v>
      </c>
      <c r="CM1679" s="222">
        <f t="shared" si="226"/>
        <v>0</v>
      </c>
      <c r="CN1679" s="3">
        <f t="shared" si="227"/>
        <v>0</v>
      </c>
    </row>
    <row r="1680" spans="1:96" x14ac:dyDescent="0.25">
      <c r="AV1680" s="22">
        <f t="shared" si="228"/>
        <v>0</v>
      </c>
      <c r="CK1680" s="22">
        <f t="shared" si="224"/>
        <v>0</v>
      </c>
      <c r="CL1680" s="3">
        <f t="shared" si="225"/>
        <v>0</v>
      </c>
      <c r="CM1680" s="222">
        <f t="shared" si="226"/>
        <v>0</v>
      </c>
      <c r="CN1680" s="3">
        <f t="shared" si="227"/>
        <v>0</v>
      </c>
    </row>
    <row r="1681" spans="48:92" x14ac:dyDescent="0.25">
      <c r="AV1681" s="22">
        <f t="shared" si="228"/>
        <v>0</v>
      </c>
      <c r="CK1681" s="22">
        <f t="shared" si="224"/>
        <v>0</v>
      </c>
      <c r="CL1681" s="3">
        <f t="shared" si="225"/>
        <v>0</v>
      </c>
      <c r="CM1681" s="222">
        <f t="shared" si="226"/>
        <v>0</v>
      </c>
      <c r="CN1681" s="3">
        <f t="shared" si="227"/>
        <v>0</v>
      </c>
    </row>
    <row r="1682" spans="48:92" x14ac:dyDescent="0.25">
      <c r="AV1682" s="22">
        <f t="shared" si="228"/>
        <v>0</v>
      </c>
      <c r="CK1682" s="22">
        <f t="shared" si="224"/>
        <v>0</v>
      </c>
      <c r="CL1682" s="3">
        <f t="shared" si="225"/>
        <v>0</v>
      </c>
      <c r="CM1682" s="222">
        <f t="shared" si="226"/>
        <v>0</v>
      </c>
      <c r="CN1682" s="3">
        <f t="shared" si="227"/>
        <v>0</v>
      </c>
    </row>
    <row r="1683" spans="48:92" x14ac:dyDescent="0.25">
      <c r="AV1683" s="22">
        <f t="shared" si="228"/>
        <v>0</v>
      </c>
      <c r="CK1683" s="22">
        <f t="shared" si="224"/>
        <v>0</v>
      </c>
      <c r="CL1683" s="3">
        <f t="shared" si="225"/>
        <v>0</v>
      </c>
      <c r="CM1683" s="222">
        <f t="shared" si="226"/>
        <v>0</v>
      </c>
      <c r="CN1683" s="3">
        <f t="shared" si="227"/>
        <v>0</v>
      </c>
    </row>
    <row r="1684" spans="48:92" x14ac:dyDescent="0.25">
      <c r="AV1684" s="22">
        <f t="shared" si="228"/>
        <v>0</v>
      </c>
      <c r="CK1684" s="22">
        <f t="shared" si="224"/>
        <v>0</v>
      </c>
      <c r="CL1684" s="3">
        <f t="shared" si="225"/>
        <v>0</v>
      </c>
      <c r="CM1684" s="222">
        <f t="shared" si="226"/>
        <v>0</v>
      </c>
      <c r="CN1684" s="3">
        <f t="shared" si="227"/>
        <v>0</v>
      </c>
    </row>
    <row r="1685" spans="48:92" x14ac:dyDescent="0.25">
      <c r="AV1685" s="22">
        <f t="shared" si="228"/>
        <v>0</v>
      </c>
      <c r="CK1685" s="22">
        <f t="shared" si="224"/>
        <v>0</v>
      </c>
      <c r="CL1685" s="3">
        <f t="shared" si="225"/>
        <v>0</v>
      </c>
      <c r="CM1685" s="222">
        <f t="shared" si="226"/>
        <v>0</v>
      </c>
      <c r="CN1685" s="3">
        <f t="shared" si="227"/>
        <v>0</v>
      </c>
    </row>
    <row r="1686" spans="48:92" x14ac:dyDescent="0.25">
      <c r="AV1686" s="22">
        <f t="shared" si="228"/>
        <v>0</v>
      </c>
      <c r="CK1686" s="22">
        <f t="shared" si="224"/>
        <v>0</v>
      </c>
      <c r="CL1686" s="3">
        <f t="shared" si="225"/>
        <v>0</v>
      </c>
      <c r="CM1686" s="222">
        <f t="shared" si="226"/>
        <v>0</v>
      </c>
      <c r="CN1686" s="3">
        <f t="shared" si="227"/>
        <v>0</v>
      </c>
    </row>
    <row r="1687" spans="48:92" x14ac:dyDescent="0.25">
      <c r="AV1687" s="22">
        <f t="shared" si="228"/>
        <v>0</v>
      </c>
      <c r="CK1687" s="22">
        <f t="shared" si="224"/>
        <v>0</v>
      </c>
      <c r="CL1687" s="3">
        <f t="shared" si="225"/>
        <v>0</v>
      </c>
      <c r="CM1687" s="222">
        <f t="shared" si="226"/>
        <v>0</v>
      </c>
      <c r="CN1687" s="3">
        <f t="shared" si="227"/>
        <v>0</v>
      </c>
    </row>
    <row r="1688" spans="48:92" x14ac:dyDescent="0.25">
      <c r="AV1688" s="22">
        <f t="shared" si="228"/>
        <v>0</v>
      </c>
      <c r="CK1688" s="22">
        <f t="shared" si="224"/>
        <v>0</v>
      </c>
      <c r="CL1688" s="3">
        <f t="shared" si="225"/>
        <v>0</v>
      </c>
      <c r="CM1688" s="222">
        <f t="shared" si="226"/>
        <v>0</v>
      </c>
      <c r="CN1688" s="3">
        <f t="shared" si="227"/>
        <v>0</v>
      </c>
    </row>
    <row r="1689" spans="48:92" x14ac:dyDescent="0.25">
      <c r="AV1689" s="22">
        <f t="shared" si="228"/>
        <v>0</v>
      </c>
      <c r="CK1689" s="22">
        <f t="shared" si="224"/>
        <v>0</v>
      </c>
      <c r="CL1689" s="3">
        <f t="shared" si="225"/>
        <v>0</v>
      </c>
      <c r="CM1689" s="222">
        <f t="shared" si="226"/>
        <v>0</v>
      </c>
      <c r="CN1689" s="3">
        <f t="shared" si="227"/>
        <v>0</v>
      </c>
    </row>
    <row r="1690" spans="48:92" x14ac:dyDescent="0.25">
      <c r="AV1690" s="22">
        <f t="shared" si="228"/>
        <v>0</v>
      </c>
      <c r="CK1690" s="22">
        <f t="shared" si="224"/>
        <v>0</v>
      </c>
      <c r="CL1690" s="3">
        <f t="shared" si="225"/>
        <v>0</v>
      </c>
      <c r="CM1690" s="222">
        <f t="shared" si="226"/>
        <v>0</v>
      </c>
      <c r="CN1690" s="3">
        <f t="shared" si="227"/>
        <v>0</v>
      </c>
    </row>
    <row r="1691" spans="48:92" x14ac:dyDescent="0.25">
      <c r="AV1691" s="22">
        <f t="shared" si="228"/>
        <v>0</v>
      </c>
      <c r="CK1691" s="22">
        <f t="shared" si="224"/>
        <v>0</v>
      </c>
      <c r="CL1691" s="3">
        <f t="shared" si="225"/>
        <v>0</v>
      </c>
      <c r="CM1691" s="222">
        <f t="shared" si="226"/>
        <v>0</v>
      </c>
      <c r="CN1691" s="3">
        <f t="shared" si="227"/>
        <v>0</v>
      </c>
    </row>
    <row r="1692" spans="48:92" x14ac:dyDescent="0.25">
      <c r="AV1692" s="22">
        <f t="shared" si="228"/>
        <v>0</v>
      </c>
      <c r="CK1692" s="22">
        <f t="shared" si="224"/>
        <v>0</v>
      </c>
      <c r="CL1692" s="3">
        <f t="shared" si="225"/>
        <v>0</v>
      </c>
      <c r="CM1692" s="222">
        <f t="shared" si="226"/>
        <v>0</v>
      </c>
      <c r="CN1692" s="3">
        <f t="shared" si="227"/>
        <v>0</v>
      </c>
    </row>
    <row r="1693" spans="48:92" x14ac:dyDescent="0.25">
      <c r="AV1693" s="22">
        <f t="shared" si="228"/>
        <v>0</v>
      </c>
      <c r="CK1693" s="22">
        <f t="shared" si="224"/>
        <v>0</v>
      </c>
      <c r="CL1693" s="3">
        <f t="shared" si="225"/>
        <v>0</v>
      </c>
      <c r="CM1693" s="222">
        <f t="shared" si="226"/>
        <v>0</v>
      </c>
      <c r="CN1693" s="3">
        <f t="shared" si="227"/>
        <v>0</v>
      </c>
    </row>
    <row r="1694" spans="48:92" x14ac:dyDescent="0.25">
      <c r="AV1694" s="22">
        <f t="shared" si="228"/>
        <v>0</v>
      </c>
      <c r="CK1694" s="22">
        <f t="shared" si="224"/>
        <v>0</v>
      </c>
      <c r="CL1694" s="3">
        <f t="shared" si="225"/>
        <v>0</v>
      </c>
      <c r="CM1694" s="222">
        <f t="shared" si="226"/>
        <v>0</v>
      </c>
      <c r="CN1694" s="3">
        <f t="shared" si="227"/>
        <v>0</v>
      </c>
    </row>
    <row r="1695" spans="48:92" x14ac:dyDescent="0.25">
      <c r="AV1695" s="22">
        <f t="shared" si="228"/>
        <v>0</v>
      </c>
      <c r="CK1695" s="22">
        <f t="shared" si="224"/>
        <v>0</v>
      </c>
      <c r="CL1695" s="3">
        <f t="shared" si="225"/>
        <v>0</v>
      </c>
      <c r="CM1695" s="222">
        <f t="shared" si="226"/>
        <v>0</v>
      </c>
      <c r="CN1695" s="3">
        <f t="shared" si="227"/>
        <v>0</v>
      </c>
    </row>
    <row r="1696" spans="48:92" x14ac:dyDescent="0.25">
      <c r="AV1696" s="22">
        <f t="shared" si="228"/>
        <v>0</v>
      </c>
      <c r="CK1696" s="22">
        <f t="shared" si="224"/>
        <v>0</v>
      </c>
      <c r="CL1696" s="3">
        <f t="shared" si="225"/>
        <v>0</v>
      </c>
      <c r="CM1696" s="222">
        <f t="shared" si="226"/>
        <v>0</v>
      </c>
      <c r="CN1696" s="3">
        <f t="shared" si="227"/>
        <v>0</v>
      </c>
    </row>
    <row r="1697" spans="48:92" x14ac:dyDescent="0.25">
      <c r="AV1697" s="22">
        <f t="shared" si="228"/>
        <v>0</v>
      </c>
      <c r="CK1697" s="22">
        <f t="shared" si="224"/>
        <v>0</v>
      </c>
      <c r="CL1697" s="3">
        <f t="shared" si="225"/>
        <v>0</v>
      </c>
      <c r="CM1697" s="222">
        <f t="shared" si="226"/>
        <v>0</v>
      </c>
      <c r="CN1697" s="3">
        <f t="shared" si="227"/>
        <v>0</v>
      </c>
    </row>
    <row r="1698" spans="48:92" x14ac:dyDescent="0.25">
      <c r="AV1698" s="22">
        <f t="shared" si="228"/>
        <v>0</v>
      </c>
      <c r="CK1698" s="22">
        <f t="shared" ref="CK1698:CK1714" si="229">SUM(AW1698:CJ1698)</f>
        <v>0</v>
      </c>
      <c r="CL1698" s="3">
        <f t="shared" ref="CL1698:CL1714" si="230">+CK1698-AV1698</f>
        <v>0</v>
      </c>
      <c r="CM1698" s="222">
        <f t="shared" si="226"/>
        <v>0</v>
      </c>
      <c r="CN1698" s="3">
        <f t="shared" si="227"/>
        <v>0</v>
      </c>
    </row>
    <row r="1699" spans="48:92" x14ac:dyDescent="0.25">
      <c r="AV1699" s="22">
        <f t="shared" si="228"/>
        <v>0</v>
      </c>
      <c r="CK1699" s="22">
        <f t="shared" si="229"/>
        <v>0</v>
      </c>
      <c r="CL1699" s="3">
        <f t="shared" si="230"/>
        <v>0</v>
      </c>
      <c r="CM1699" s="222">
        <f t="shared" si="226"/>
        <v>0</v>
      </c>
      <c r="CN1699" s="3">
        <f t="shared" si="227"/>
        <v>0</v>
      </c>
    </row>
    <row r="1700" spans="48:92" x14ac:dyDescent="0.25">
      <c r="AV1700" s="22">
        <f t="shared" si="228"/>
        <v>0</v>
      </c>
      <c r="CK1700" s="22">
        <f t="shared" si="229"/>
        <v>0</v>
      </c>
      <c r="CL1700" s="3">
        <f t="shared" si="230"/>
        <v>0</v>
      </c>
      <c r="CM1700" s="222">
        <f t="shared" si="226"/>
        <v>0</v>
      </c>
      <c r="CN1700" s="3">
        <f t="shared" si="227"/>
        <v>0</v>
      </c>
    </row>
    <row r="1701" spans="48:92" x14ac:dyDescent="0.25">
      <c r="AV1701" s="22">
        <f t="shared" ref="AV1701:AV1764" si="231">SUM(I1701:AU1701)</f>
        <v>0</v>
      </c>
      <c r="CK1701" s="22">
        <f t="shared" si="229"/>
        <v>0</v>
      </c>
      <c r="CL1701" s="3">
        <f t="shared" si="230"/>
        <v>0</v>
      </c>
      <c r="CM1701" s="222">
        <f t="shared" si="226"/>
        <v>0</v>
      </c>
      <c r="CN1701" s="3">
        <f t="shared" si="227"/>
        <v>0</v>
      </c>
    </row>
    <row r="1702" spans="48:92" x14ac:dyDescent="0.25">
      <c r="AV1702" s="22">
        <f t="shared" si="231"/>
        <v>0</v>
      </c>
      <c r="CK1702" s="22">
        <f t="shared" si="229"/>
        <v>0</v>
      </c>
      <c r="CL1702" s="3">
        <f t="shared" si="230"/>
        <v>0</v>
      </c>
      <c r="CM1702" s="222">
        <f t="shared" si="226"/>
        <v>0</v>
      </c>
      <c r="CN1702" s="3">
        <f t="shared" si="227"/>
        <v>0</v>
      </c>
    </row>
    <row r="1703" spans="48:92" x14ac:dyDescent="0.25">
      <c r="AV1703" s="22">
        <f t="shared" si="231"/>
        <v>0</v>
      </c>
      <c r="CK1703" s="22">
        <f t="shared" si="229"/>
        <v>0</v>
      </c>
      <c r="CL1703" s="3">
        <f t="shared" si="230"/>
        <v>0</v>
      </c>
      <c r="CM1703" s="222">
        <f t="shared" si="226"/>
        <v>0</v>
      </c>
      <c r="CN1703" s="3">
        <f t="shared" si="227"/>
        <v>0</v>
      </c>
    </row>
    <row r="1704" spans="48:92" x14ac:dyDescent="0.25">
      <c r="AV1704" s="22">
        <f t="shared" si="231"/>
        <v>0</v>
      </c>
      <c r="CK1704" s="22">
        <f t="shared" si="229"/>
        <v>0</v>
      </c>
      <c r="CL1704" s="3">
        <f t="shared" si="230"/>
        <v>0</v>
      </c>
      <c r="CM1704" s="222">
        <f t="shared" si="226"/>
        <v>0</v>
      </c>
      <c r="CN1704" s="3">
        <f t="shared" si="227"/>
        <v>0</v>
      </c>
    </row>
    <row r="1705" spans="48:92" x14ac:dyDescent="0.25">
      <c r="AV1705" s="22">
        <f t="shared" si="231"/>
        <v>0</v>
      </c>
      <c r="CK1705" s="22">
        <f t="shared" si="229"/>
        <v>0</v>
      </c>
      <c r="CL1705" s="3">
        <f t="shared" si="230"/>
        <v>0</v>
      </c>
      <c r="CM1705" s="222">
        <f t="shared" si="226"/>
        <v>0</v>
      </c>
      <c r="CN1705" s="3">
        <f t="shared" si="227"/>
        <v>0</v>
      </c>
    </row>
    <row r="1706" spans="48:92" x14ac:dyDescent="0.25">
      <c r="AV1706" s="22">
        <f t="shared" si="231"/>
        <v>0</v>
      </c>
      <c r="CK1706" s="22">
        <f t="shared" si="229"/>
        <v>0</v>
      </c>
      <c r="CL1706" s="3">
        <f t="shared" si="230"/>
        <v>0</v>
      </c>
      <c r="CM1706" s="222">
        <f t="shared" si="226"/>
        <v>0</v>
      </c>
      <c r="CN1706" s="3">
        <f t="shared" si="227"/>
        <v>0</v>
      </c>
    </row>
    <row r="1707" spans="48:92" x14ac:dyDescent="0.25">
      <c r="AV1707" s="22">
        <f t="shared" si="231"/>
        <v>0</v>
      </c>
      <c r="CK1707" s="22">
        <f t="shared" si="229"/>
        <v>0</v>
      </c>
      <c r="CL1707" s="3">
        <f t="shared" si="230"/>
        <v>0</v>
      </c>
      <c r="CM1707" s="222">
        <f t="shared" si="226"/>
        <v>0</v>
      </c>
      <c r="CN1707" s="3">
        <f t="shared" si="227"/>
        <v>0</v>
      </c>
    </row>
    <row r="1708" spans="48:92" x14ac:dyDescent="0.25">
      <c r="AV1708" s="22">
        <f t="shared" si="231"/>
        <v>0</v>
      </c>
      <c r="CK1708" s="22">
        <f t="shared" si="229"/>
        <v>0</v>
      </c>
      <c r="CL1708" s="3">
        <f t="shared" si="230"/>
        <v>0</v>
      </c>
      <c r="CM1708" s="222">
        <f t="shared" ref="CM1708:CM1714" si="232">+E1708</f>
        <v>0</v>
      </c>
      <c r="CN1708" s="3">
        <f t="shared" ref="CN1708:CN1714" si="233">+F1708</f>
        <v>0</v>
      </c>
    </row>
    <row r="1709" spans="48:92" x14ac:dyDescent="0.25">
      <c r="AV1709" s="22">
        <f t="shared" si="231"/>
        <v>0</v>
      </c>
      <c r="CK1709" s="22">
        <f t="shared" si="229"/>
        <v>0</v>
      </c>
      <c r="CL1709" s="3">
        <f t="shared" si="230"/>
        <v>0</v>
      </c>
      <c r="CM1709" s="222">
        <f t="shared" si="232"/>
        <v>0</v>
      </c>
      <c r="CN1709" s="3">
        <f t="shared" si="233"/>
        <v>0</v>
      </c>
    </row>
    <row r="1710" spans="48:92" x14ac:dyDescent="0.25">
      <c r="AV1710" s="22">
        <f t="shared" si="231"/>
        <v>0</v>
      </c>
      <c r="CK1710" s="22">
        <f t="shared" si="229"/>
        <v>0</v>
      </c>
      <c r="CL1710" s="3">
        <f t="shared" si="230"/>
        <v>0</v>
      </c>
      <c r="CM1710" s="222">
        <f t="shared" si="232"/>
        <v>0</v>
      </c>
      <c r="CN1710" s="3">
        <f t="shared" si="233"/>
        <v>0</v>
      </c>
    </row>
    <row r="1711" spans="48:92" x14ac:dyDescent="0.25">
      <c r="AV1711" s="22">
        <f t="shared" si="231"/>
        <v>0</v>
      </c>
      <c r="CK1711" s="22">
        <f t="shared" si="229"/>
        <v>0</v>
      </c>
      <c r="CL1711" s="3">
        <f t="shared" si="230"/>
        <v>0</v>
      </c>
      <c r="CM1711" s="222">
        <f t="shared" si="232"/>
        <v>0</v>
      </c>
      <c r="CN1711" s="3">
        <f t="shared" si="233"/>
        <v>0</v>
      </c>
    </row>
    <row r="1712" spans="48:92" x14ac:dyDescent="0.25">
      <c r="AV1712" s="22">
        <f t="shared" si="231"/>
        <v>0</v>
      </c>
      <c r="CK1712" s="22">
        <f t="shared" si="229"/>
        <v>0</v>
      </c>
      <c r="CL1712" s="3">
        <f t="shared" si="230"/>
        <v>0</v>
      </c>
      <c r="CM1712" s="222">
        <f t="shared" si="232"/>
        <v>0</v>
      </c>
      <c r="CN1712" s="3">
        <f t="shared" si="233"/>
        <v>0</v>
      </c>
    </row>
    <row r="1713" spans="48:92" x14ac:dyDescent="0.25">
      <c r="AV1713" s="22">
        <f t="shared" si="231"/>
        <v>0</v>
      </c>
      <c r="CK1713" s="22">
        <f t="shared" si="229"/>
        <v>0</v>
      </c>
      <c r="CL1713" s="3">
        <f t="shared" si="230"/>
        <v>0</v>
      </c>
      <c r="CM1713" s="222">
        <f t="shared" si="232"/>
        <v>0</v>
      </c>
      <c r="CN1713" s="3">
        <f t="shared" si="233"/>
        <v>0</v>
      </c>
    </row>
    <row r="1714" spans="48:92" x14ac:dyDescent="0.25">
      <c r="AV1714" s="22">
        <f t="shared" si="231"/>
        <v>0</v>
      </c>
      <c r="CK1714" s="22">
        <f t="shared" si="229"/>
        <v>0</v>
      </c>
      <c r="CL1714" s="3">
        <f t="shared" si="230"/>
        <v>0</v>
      </c>
      <c r="CM1714" s="222">
        <f t="shared" si="232"/>
        <v>0</v>
      </c>
      <c r="CN1714" s="3">
        <f t="shared" si="233"/>
        <v>0</v>
      </c>
    </row>
    <row r="1715" spans="48:92" x14ac:dyDescent="0.25">
      <c r="AV1715" s="22">
        <f t="shared" si="231"/>
        <v>0</v>
      </c>
    </row>
    <row r="1716" spans="48:92" x14ac:dyDescent="0.25">
      <c r="AV1716" s="22">
        <f t="shared" si="231"/>
        <v>0</v>
      </c>
    </row>
    <row r="1717" spans="48:92" x14ac:dyDescent="0.25">
      <c r="AV1717" s="22">
        <f t="shared" si="231"/>
        <v>0</v>
      </c>
    </row>
    <row r="1718" spans="48:92" x14ac:dyDescent="0.25">
      <c r="AV1718" s="22">
        <f t="shared" si="231"/>
        <v>0</v>
      </c>
    </row>
    <row r="1719" spans="48:92" x14ac:dyDescent="0.25">
      <c r="AV1719" s="22">
        <f t="shared" si="231"/>
        <v>0</v>
      </c>
    </row>
    <row r="1720" spans="48:92" x14ac:dyDescent="0.25">
      <c r="AV1720" s="22">
        <f t="shared" si="231"/>
        <v>0</v>
      </c>
    </row>
    <row r="1721" spans="48:92" x14ac:dyDescent="0.25">
      <c r="AV1721" s="22">
        <f t="shared" si="231"/>
        <v>0</v>
      </c>
    </row>
    <row r="1722" spans="48:92" x14ac:dyDescent="0.25">
      <c r="AV1722" s="22">
        <f t="shared" si="231"/>
        <v>0</v>
      </c>
    </row>
    <row r="1723" spans="48:92" x14ac:dyDescent="0.25">
      <c r="AV1723" s="22">
        <f t="shared" si="231"/>
        <v>0</v>
      </c>
    </row>
    <row r="1724" spans="48:92" x14ac:dyDescent="0.25">
      <c r="AV1724" s="22">
        <f t="shared" si="231"/>
        <v>0</v>
      </c>
    </row>
    <row r="1725" spans="48:92" x14ac:dyDescent="0.25">
      <c r="AV1725" s="22">
        <f t="shared" si="231"/>
        <v>0</v>
      </c>
    </row>
    <row r="1726" spans="48:92" x14ac:dyDescent="0.25">
      <c r="AV1726" s="22">
        <f t="shared" si="231"/>
        <v>0</v>
      </c>
    </row>
    <row r="1727" spans="48:92" x14ac:dyDescent="0.25">
      <c r="AV1727" s="22">
        <f t="shared" si="231"/>
        <v>0</v>
      </c>
    </row>
    <row r="1728" spans="48:92" x14ac:dyDescent="0.25">
      <c r="AV1728" s="22">
        <f t="shared" si="231"/>
        <v>0</v>
      </c>
    </row>
    <row r="1729" spans="48:48" x14ac:dyDescent="0.25">
      <c r="AV1729" s="22">
        <f t="shared" si="231"/>
        <v>0</v>
      </c>
    </row>
    <row r="1730" spans="48:48" x14ac:dyDescent="0.25">
      <c r="AV1730" s="22">
        <f t="shared" si="231"/>
        <v>0</v>
      </c>
    </row>
    <row r="1731" spans="48:48" x14ac:dyDescent="0.25">
      <c r="AV1731" s="22">
        <f t="shared" si="231"/>
        <v>0</v>
      </c>
    </row>
    <row r="1732" spans="48:48" x14ac:dyDescent="0.25">
      <c r="AV1732" s="22">
        <f t="shared" si="231"/>
        <v>0</v>
      </c>
    </row>
    <row r="1733" spans="48:48" x14ac:dyDescent="0.25">
      <c r="AV1733" s="22">
        <f t="shared" si="231"/>
        <v>0</v>
      </c>
    </row>
    <row r="1734" spans="48:48" x14ac:dyDescent="0.25">
      <c r="AV1734" s="22">
        <f t="shared" si="231"/>
        <v>0</v>
      </c>
    </row>
    <row r="1735" spans="48:48" x14ac:dyDescent="0.25">
      <c r="AV1735" s="22">
        <f t="shared" si="231"/>
        <v>0</v>
      </c>
    </row>
    <row r="1736" spans="48:48" x14ac:dyDescent="0.25">
      <c r="AV1736" s="22">
        <f t="shared" si="231"/>
        <v>0</v>
      </c>
    </row>
    <row r="1737" spans="48:48" x14ac:dyDescent="0.25">
      <c r="AV1737" s="22">
        <f t="shared" si="231"/>
        <v>0</v>
      </c>
    </row>
    <row r="1738" spans="48:48" x14ac:dyDescent="0.25">
      <c r="AV1738" s="22">
        <f t="shared" si="231"/>
        <v>0</v>
      </c>
    </row>
    <row r="1739" spans="48:48" x14ac:dyDescent="0.25">
      <c r="AV1739" s="22">
        <f t="shared" si="231"/>
        <v>0</v>
      </c>
    </row>
    <row r="1740" spans="48:48" x14ac:dyDescent="0.25">
      <c r="AV1740" s="22">
        <f t="shared" si="231"/>
        <v>0</v>
      </c>
    </row>
    <row r="1741" spans="48:48" x14ac:dyDescent="0.25">
      <c r="AV1741" s="22">
        <f t="shared" si="231"/>
        <v>0</v>
      </c>
    </row>
    <row r="1742" spans="48:48" x14ac:dyDescent="0.25">
      <c r="AV1742" s="22">
        <f t="shared" si="231"/>
        <v>0</v>
      </c>
    </row>
    <row r="1743" spans="48:48" x14ac:dyDescent="0.25">
      <c r="AV1743" s="22">
        <f t="shared" si="231"/>
        <v>0</v>
      </c>
    </row>
    <row r="1744" spans="48:48" x14ac:dyDescent="0.25">
      <c r="AV1744" s="22">
        <f t="shared" si="231"/>
        <v>0</v>
      </c>
    </row>
    <row r="1745" spans="48:48" x14ac:dyDescent="0.25">
      <c r="AV1745" s="22">
        <f t="shared" si="231"/>
        <v>0</v>
      </c>
    </row>
    <row r="1746" spans="48:48" x14ac:dyDescent="0.25">
      <c r="AV1746" s="22">
        <f t="shared" si="231"/>
        <v>0</v>
      </c>
    </row>
    <row r="1747" spans="48:48" x14ac:dyDescent="0.25">
      <c r="AV1747" s="22">
        <f t="shared" si="231"/>
        <v>0</v>
      </c>
    </row>
    <row r="1748" spans="48:48" x14ac:dyDescent="0.25">
      <c r="AV1748" s="22">
        <f t="shared" si="231"/>
        <v>0</v>
      </c>
    </row>
    <row r="1749" spans="48:48" x14ac:dyDescent="0.25">
      <c r="AV1749" s="22">
        <f t="shared" si="231"/>
        <v>0</v>
      </c>
    </row>
    <row r="1750" spans="48:48" x14ac:dyDescent="0.25">
      <c r="AV1750" s="22">
        <f t="shared" si="231"/>
        <v>0</v>
      </c>
    </row>
    <row r="1751" spans="48:48" x14ac:dyDescent="0.25">
      <c r="AV1751" s="22">
        <f t="shared" si="231"/>
        <v>0</v>
      </c>
    </row>
    <row r="1752" spans="48:48" x14ac:dyDescent="0.25">
      <c r="AV1752" s="22">
        <f t="shared" si="231"/>
        <v>0</v>
      </c>
    </row>
    <row r="1753" spans="48:48" x14ac:dyDescent="0.25">
      <c r="AV1753" s="22">
        <f t="shared" si="231"/>
        <v>0</v>
      </c>
    </row>
    <row r="1754" spans="48:48" x14ac:dyDescent="0.25">
      <c r="AV1754" s="22">
        <f t="shared" si="231"/>
        <v>0</v>
      </c>
    </row>
    <row r="1755" spans="48:48" x14ac:dyDescent="0.25">
      <c r="AV1755" s="22">
        <f t="shared" si="231"/>
        <v>0</v>
      </c>
    </row>
    <row r="1756" spans="48:48" x14ac:dyDescent="0.25">
      <c r="AV1756" s="22">
        <f t="shared" si="231"/>
        <v>0</v>
      </c>
    </row>
    <row r="1757" spans="48:48" x14ac:dyDescent="0.25">
      <c r="AV1757" s="22">
        <f t="shared" si="231"/>
        <v>0</v>
      </c>
    </row>
    <row r="1758" spans="48:48" x14ac:dyDescent="0.25">
      <c r="AV1758" s="22">
        <f t="shared" si="231"/>
        <v>0</v>
      </c>
    </row>
    <row r="1759" spans="48:48" x14ac:dyDescent="0.25">
      <c r="AV1759" s="22">
        <f t="shared" si="231"/>
        <v>0</v>
      </c>
    </row>
    <row r="1760" spans="48:48" x14ac:dyDescent="0.25">
      <c r="AV1760" s="22">
        <f t="shared" si="231"/>
        <v>0</v>
      </c>
    </row>
    <row r="1761" spans="48:48" x14ac:dyDescent="0.25">
      <c r="AV1761" s="22">
        <f t="shared" si="231"/>
        <v>0</v>
      </c>
    </row>
    <row r="1762" spans="48:48" x14ac:dyDescent="0.25">
      <c r="AV1762" s="22">
        <f t="shared" si="231"/>
        <v>0</v>
      </c>
    </row>
    <row r="1763" spans="48:48" x14ac:dyDescent="0.25">
      <c r="AV1763" s="22">
        <f t="shared" si="231"/>
        <v>0</v>
      </c>
    </row>
    <row r="1764" spans="48:48" x14ac:dyDescent="0.25">
      <c r="AV1764" s="22">
        <f t="shared" si="231"/>
        <v>0</v>
      </c>
    </row>
    <row r="1765" spans="48:48" x14ac:dyDescent="0.25">
      <c r="AV1765" s="22">
        <f t="shared" ref="AV1765:AV1828" si="234">SUM(I1765:AU1765)</f>
        <v>0</v>
      </c>
    </row>
    <row r="1766" spans="48:48" x14ac:dyDescent="0.25">
      <c r="AV1766" s="22">
        <f t="shared" si="234"/>
        <v>0</v>
      </c>
    </row>
    <row r="1767" spans="48:48" x14ac:dyDescent="0.25">
      <c r="AV1767" s="22">
        <f t="shared" si="234"/>
        <v>0</v>
      </c>
    </row>
    <row r="1768" spans="48:48" x14ac:dyDescent="0.25">
      <c r="AV1768" s="22">
        <f t="shared" si="234"/>
        <v>0</v>
      </c>
    </row>
    <row r="1769" spans="48:48" x14ac:dyDescent="0.25">
      <c r="AV1769" s="22">
        <f t="shared" si="234"/>
        <v>0</v>
      </c>
    </row>
    <row r="1770" spans="48:48" x14ac:dyDescent="0.25">
      <c r="AV1770" s="22">
        <f t="shared" si="234"/>
        <v>0</v>
      </c>
    </row>
    <row r="1771" spans="48:48" x14ac:dyDescent="0.25">
      <c r="AV1771" s="22">
        <f t="shared" si="234"/>
        <v>0</v>
      </c>
    </row>
    <row r="1772" spans="48:48" x14ac:dyDescent="0.25">
      <c r="AV1772" s="22">
        <f t="shared" si="234"/>
        <v>0</v>
      </c>
    </row>
    <row r="1773" spans="48:48" x14ac:dyDescent="0.25">
      <c r="AV1773" s="22">
        <f t="shared" si="234"/>
        <v>0</v>
      </c>
    </row>
    <row r="1774" spans="48:48" x14ac:dyDescent="0.25">
      <c r="AV1774" s="22">
        <f t="shared" si="234"/>
        <v>0</v>
      </c>
    </row>
    <row r="1775" spans="48:48" x14ac:dyDescent="0.25">
      <c r="AV1775" s="22">
        <f t="shared" si="234"/>
        <v>0</v>
      </c>
    </row>
    <row r="1776" spans="48:48" x14ac:dyDescent="0.25">
      <c r="AV1776" s="22">
        <f t="shared" si="234"/>
        <v>0</v>
      </c>
    </row>
    <row r="1777" spans="48:48" x14ac:dyDescent="0.25">
      <c r="AV1777" s="22">
        <f t="shared" si="234"/>
        <v>0</v>
      </c>
    </row>
    <row r="1778" spans="48:48" x14ac:dyDescent="0.25">
      <c r="AV1778" s="22">
        <f t="shared" si="234"/>
        <v>0</v>
      </c>
    </row>
    <row r="1779" spans="48:48" x14ac:dyDescent="0.25">
      <c r="AV1779" s="22">
        <f t="shared" si="234"/>
        <v>0</v>
      </c>
    </row>
    <row r="1780" spans="48:48" x14ac:dyDescent="0.25">
      <c r="AV1780" s="22">
        <f t="shared" si="234"/>
        <v>0</v>
      </c>
    </row>
    <row r="1781" spans="48:48" x14ac:dyDescent="0.25">
      <c r="AV1781" s="22">
        <f t="shared" si="234"/>
        <v>0</v>
      </c>
    </row>
    <row r="1782" spans="48:48" x14ac:dyDescent="0.25">
      <c r="AV1782" s="22">
        <f t="shared" si="234"/>
        <v>0</v>
      </c>
    </row>
    <row r="1783" spans="48:48" x14ac:dyDescent="0.25">
      <c r="AV1783" s="22">
        <f t="shared" si="234"/>
        <v>0</v>
      </c>
    </row>
    <row r="1784" spans="48:48" x14ac:dyDescent="0.25">
      <c r="AV1784" s="22">
        <f t="shared" si="234"/>
        <v>0</v>
      </c>
    </row>
    <row r="1785" spans="48:48" x14ac:dyDescent="0.25">
      <c r="AV1785" s="22">
        <f t="shared" si="234"/>
        <v>0</v>
      </c>
    </row>
    <row r="1786" spans="48:48" x14ac:dyDescent="0.25">
      <c r="AV1786" s="22">
        <f t="shared" si="234"/>
        <v>0</v>
      </c>
    </row>
    <row r="1787" spans="48:48" x14ac:dyDescent="0.25">
      <c r="AV1787" s="22">
        <f t="shared" si="234"/>
        <v>0</v>
      </c>
    </row>
    <row r="1788" spans="48:48" x14ac:dyDescent="0.25">
      <c r="AV1788" s="22">
        <f t="shared" si="234"/>
        <v>0</v>
      </c>
    </row>
    <row r="1789" spans="48:48" x14ac:dyDescent="0.25">
      <c r="AV1789" s="22">
        <f t="shared" si="234"/>
        <v>0</v>
      </c>
    </row>
    <row r="1790" spans="48:48" x14ac:dyDescent="0.25">
      <c r="AV1790" s="22">
        <f t="shared" si="234"/>
        <v>0</v>
      </c>
    </row>
    <row r="1791" spans="48:48" x14ac:dyDescent="0.25">
      <c r="AV1791" s="22">
        <f t="shared" si="234"/>
        <v>0</v>
      </c>
    </row>
    <row r="1792" spans="48:48" x14ac:dyDescent="0.25">
      <c r="AV1792" s="22">
        <f t="shared" si="234"/>
        <v>0</v>
      </c>
    </row>
    <row r="1793" spans="48:48" x14ac:dyDescent="0.25">
      <c r="AV1793" s="22">
        <f t="shared" si="234"/>
        <v>0</v>
      </c>
    </row>
    <row r="1794" spans="48:48" x14ac:dyDescent="0.25">
      <c r="AV1794" s="22">
        <f t="shared" si="234"/>
        <v>0</v>
      </c>
    </row>
    <row r="1795" spans="48:48" x14ac:dyDescent="0.25">
      <c r="AV1795" s="22">
        <f t="shared" si="234"/>
        <v>0</v>
      </c>
    </row>
    <row r="1796" spans="48:48" x14ac:dyDescent="0.25">
      <c r="AV1796" s="22">
        <f t="shared" si="234"/>
        <v>0</v>
      </c>
    </row>
    <row r="1797" spans="48:48" x14ac:dyDescent="0.25">
      <c r="AV1797" s="22">
        <f t="shared" si="234"/>
        <v>0</v>
      </c>
    </row>
    <row r="1798" spans="48:48" x14ac:dyDescent="0.25">
      <c r="AV1798" s="22">
        <f t="shared" si="234"/>
        <v>0</v>
      </c>
    </row>
    <row r="1799" spans="48:48" x14ac:dyDescent="0.25">
      <c r="AV1799" s="22">
        <f t="shared" si="234"/>
        <v>0</v>
      </c>
    </row>
    <row r="1800" spans="48:48" x14ac:dyDescent="0.25">
      <c r="AV1800" s="22">
        <f t="shared" si="234"/>
        <v>0</v>
      </c>
    </row>
    <row r="1801" spans="48:48" x14ac:dyDescent="0.25">
      <c r="AV1801" s="22">
        <f t="shared" si="234"/>
        <v>0</v>
      </c>
    </row>
    <row r="1802" spans="48:48" x14ac:dyDescent="0.25">
      <c r="AV1802" s="22">
        <f t="shared" si="234"/>
        <v>0</v>
      </c>
    </row>
    <row r="1803" spans="48:48" x14ac:dyDescent="0.25">
      <c r="AV1803" s="22">
        <f t="shared" si="234"/>
        <v>0</v>
      </c>
    </row>
    <row r="1804" spans="48:48" x14ac:dyDescent="0.25">
      <c r="AV1804" s="22">
        <f t="shared" si="234"/>
        <v>0</v>
      </c>
    </row>
    <row r="1805" spans="48:48" x14ac:dyDescent="0.25">
      <c r="AV1805" s="22">
        <f t="shared" si="234"/>
        <v>0</v>
      </c>
    </row>
    <row r="1806" spans="48:48" x14ac:dyDescent="0.25">
      <c r="AV1806" s="22">
        <f t="shared" si="234"/>
        <v>0</v>
      </c>
    </row>
    <row r="1807" spans="48:48" x14ac:dyDescent="0.25">
      <c r="AV1807" s="22">
        <f t="shared" si="234"/>
        <v>0</v>
      </c>
    </row>
    <row r="1808" spans="48:48" x14ac:dyDescent="0.25">
      <c r="AV1808" s="22">
        <f t="shared" si="234"/>
        <v>0</v>
      </c>
    </row>
    <row r="1809" spans="48:48" x14ac:dyDescent="0.25">
      <c r="AV1809" s="22">
        <f t="shared" si="234"/>
        <v>0</v>
      </c>
    </row>
    <row r="1810" spans="48:48" x14ac:dyDescent="0.25">
      <c r="AV1810" s="22">
        <f t="shared" si="234"/>
        <v>0</v>
      </c>
    </row>
    <row r="1811" spans="48:48" x14ac:dyDescent="0.25">
      <c r="AV1811" s="22">
        <f t="shared" si="234"/>
        <v>0</v>
      </c>
    </row>
    <row r="1812" spans="48:48" x14ac:dyDescent="0.25">
      <c r="AV1812" s="22">
        <f t="shared" si="234"/>
        <v>0</v>
      </c>
    </row>
    <row r="1813" spans="48:48" x14ac:dyDescent="0.25">
      <c r="AV1813" s="22">
        <f t="shared" si="234"/>
        <v>0</v>
      </c>
    </row>
    <row r="1814" spans="48:48" x14ac:dyDescent="0.25">
      <c r="AV1814" s="22">
        <f t="shared" si="234"/>
        <v>0</v>
      </c>
    </row>
    <row r="1815" spans="48:48" x14ac:dyDescent="0.25">
      <c r="AV1815" s="22">
        <f t="shared" si="234"/>
        <v>0</v>
      </c>
    </row>
    <row r="1816" spans="48:48" x14ac:dyDescent="0.25">
      <c r="AV1816" s="22">
        <f t="shared" si="234"/>
        <v>0</v>
      </c>
    </row>
    <row r="1817" spans="48:48" x14ac:dyDescent="0.25">
      <c r="AV1817" s="22">
        <f t="shared" si="234"/>
        <v>0</v>
      </c>
    </row>
    <row r="1818" spans="48:48" x14ac:dyDescent="0.25">
      <c r="AV1818" s="22">
        <f t="shared" si="234"/>
        <v>0</v>
      </c>
    </row>
    <row r="1819" spans="48:48" x14ac:dyDescent="0.25">
      <c r="AV1819" s="22">
        <f t="shared" si="234"/>
        <v>0</v>
      </c>
    </row>
    <row r="1820" spans="48:48" x14ac:dyDescent="0.25">
      <c r="AV1820" s="22">
        <f t="shared" si="234"/>
        <v>0</v>
      </c>
    </row>
    <row r="1821" spans="48:48" x14ac:dyDescent="0.25">
      <c r="AV1821" s="22">
        <f t="shared" si="234"/>
        <v>0</v>
      </c>
    </row>
    <row r="1822" spans="48:48" x14ac:dyDescent="0.25">
      <c r="AV1822" s="22">
        <f t="shared" si="234"/>
        <v>0</v>
      </c>
    </row>
    <row r="1823" spans="48:48" x14ac:dyDescent="0.25">
      <c r="AV1823" s="22">
        <f t="shared" si="234"/>
        <v>0</v>
      </c>
    </row>
    <row r="1824" spans="48:48" x14ac:dyDescent="0.25">
      <c r="AV1824" s="22">
        <f t="shared" si="234"/>
        <v>0</v>
      </c>
    </row>
    <row r="1825" spans="48:48" x14ac:dyDescent="0.25">
      <c r="AV1825" s="22">
        <f t="shared" si="234"/>
        <v>0</v>
      </c>
    </row>
    <row r="1826" spans="48:48" x14ac:dyDescent="0.25">
      <c r="AV1826" s="22">
        <f t="shared" si="234"/>
        <v>0</v>
      </c>
    </row>
    <row r="1827" spans="48:48" x14ac:dyDescent="0.25">
      <c r="AV1827" s="22">
        <f t="shared" si="234"/>
        <v>0</v>
      </c>
    </row>
    <row r="1828" spans="48:48" x14ac:dyDescent="0.25">
      <c r="AV1828" s="22">
        <f t="shared" si="234"/>
        <v>0</v>
      </c>
    </row>
    <row r="1829" spans="48:48" x14ac:dyDescent="0.25">
      <c r="AV1829" s="22">
        <f t="shared" ref="AV1829:AV1892" si="235">SUM(I1829:AU1829)</f>
        <v>0</v>
      </c>
    </row>
    <row r="1830" spans="48:48" x14ac:dyDescent="0.25">
      <c r="AV1830" s="22">
        <f t="shared" si="235"/>
        <v>0</v>
      </c>
    </row>
    <row r="1831" spans="48:48" x14ac:dyDescent="0.25">
      <c r="AV1831" s="22">
        <f t="shared" si="235"/>
        <v>0</v>
      </c>
    </row>
    <row r="1832" spans="48:48" x14ac:dyDescent="0.25">
      <c r="AV1832" s="22">
        <f t="shared" si="235"/>
        <v>0</v>
      </c>
    </row>
    <row r="1833" spans="48:48" x14ac:dyDescent="0.25">
      <c r="AV1833" s="22">
        <f t="shared" si="235"/>
        <v>0</v>
      </c>
    </row>
    <row r="1834" spans="48:48" x14ac:dyDescent="0.25">
      <c r="AV1834" s="22">
        <f t="shared" si="235"/>
        <v>0</v>
      </c>
    </row>
    <row r="1835" spans="48:48" x14ac:dyDescent="0.25">
      <c r="AV1835" s="22">
        <f t="shared" si="235"/>
        <v>0</v>
      </c>
    </row>
    <row r="1836" spans="48:48" x14ac:dyDescent="0.25">
      <c r="AV1836" s="22">
        <f t="shared" si="235"/>
        <v>0</v>
      </c>
    </row>
    <row r="1837" spans="48:48" x14ac:dyDescent="0.25">
      <c r="AV1837" s="22">
        <f t="shared" si="235"/>
        <v>0</v>
      </c>
    </row>
    <row r="1838" spans="48:48" x14ac:dyDescent="0.25">
      <c r="AV1838" s="22">
        <f t="shared" si="235"/>
        <v>0</v>
      </c>
    </row>
    <row r="1839" spans="48:48" x14ac:dyDescent="0.25">
      <c r="AV1839" s="22">
        <f t="shared" si="235"/>
        <v>0</v>
      </c>
    </row>
    <row r="1840" spans="48:48" x14ac:dyDescent="0.25">
      <c r="AV1840" s="22">
        <f t="shared" si="235"/>
        <v>0</v>
      </c>
    </row>
    <row r="1841" spans="48:48" x14ac:dyDescent="0.25">
      <c r="AV1841" s="22">
        <f t="shared" si="235"/>
        <v>0</v>
      </c>
    </row>
    <row r="1842" spans="48:48" x14ac:dyDescent="0.25">
      <c r="AV1842" s="22">
        <f t="shared" si="235"/>
        <v>0</v>
      </c>
    </row>
    <row r="1843" spans="48:48" x14ac:dyDescent="0.25">
      <c r="AV1843" s="22">
        <f t="shared" si="235"/>
        <v>0</v>
      </c>
    </row>
    <row r="1844" spans="48:48" x14ac:dyDescent="0.25">
      <c r="AV1844" s="22">
        <f t="shared" si="235"/>
        <v>0</v>
      </c>
    </row>
    <row r="1845" spans="48:48" x14ac:dyDescent="0.25">
      <c r="AV1845" s="22">
        <f t="shared" si="235"/>
        <v>0</v>
      </c>
    </row>
    <row r="1846" spans="48:48" x14ac:dyDescent="0.25">
      <c r="AV1846" s="22">
        <f t="shared" si="235"/>
        <v>0</v>
      </c>
    </row>
    <row r="1847" spans="48:48" x14ac:dyDescent="0.25">
      <c r="AV1847" s="22">
        <f t="shared" si="235"/>
        <v>0</v>
      </c>
    </row>
    <row r="1848" spans="48:48" x14ac:dyDescent="0.25">
      <c r="AV1848" s="22">
        <f t="shared" si="235"/>
        <v>0</v>
      </c>
    </row>
    <row r="1849" spans="48:48" x14ac:dyDescent="0.25">
      <c r="AV1849" s="22">
        <f t="shared" si="235"/>
        <v>0</v>
      </c>
    </row>
    <row r="1850" spans="48:48" x14ac:dyDescent="0.25">
      <c r="AV1850" s="22">
        <f t="shared" si="235"/>
        <v>0</v>
      </c>
    </row>
    <row r="1851" spans="48:48" x14ac:dyDescent="0.25">
      <c r="AV1851" s="22">
        <f t="shared" si="235"/>
        <v>0</v>
      </c>
    </row>
    <row r="1852" spans="48:48" x14ac:dyDescent="0.25">
      <c r="AV1852" s="22">
        <f t="shared" si="235"/>
        <v>0</v>
      </c>
    </row>
    <row r="1853" spans="48:48" x14ac:dyDescent="0.25">
      <c r="AV1853" s="22">
        <f t="shared" si="235"/>
        <v>0</v>
      </c>
    </row>
    <row r="1854" spans="48:48" x14ac:dyDescent="0.25">
      <c r="AV1854" s="22">
        <f t="shared" si="235"/>
        <v>0</v>
      </c>
    </row>
    <row r="1855" spans="48:48" x14ac:dyDescent="0.25">
      <c r="AV1855" s="22">
        <f t="shared" si="235"/>
        <v>0</v>
      </c>
    </row>
    <row r="1856" spans="48:48" x14ac:dyDescent="0.25">
      <c r="AV1856" s="22">
        <f t="shared" si="235"/>
        <v>0</v>
      </c>
    </row>
    <row r="1857" spans="48:48" x14ac:dyDescent="0.25">
      <c r="AV1857" s="22">
        <f t="shared" si="235"/>
        <v>0</v>
      </c>
    </row>
    <row r="1858" spans="48:48" x14ac:dyDescent="0.25">
      <c r="AV1858" s="22">
        <f t="shared" si="235"/>
        <v>0</v>
      </c>
    </row>
    <row r="1859" spans="48:48" x14ac:dyDescent="0.25">
      <c r="AV1859" s="22">
        <f t="shared" si="235"/>
        <v>0</v>
      </c>
    </row>
    <row r="1860" spans="48:48" x14ac:dyDescent="0.25">
      <c r="AV1860" s="22">
        <f t="shared" si="235"/>
        <v>0</v>
      </c>
    </row>
    <row r="1861" spans="48:48" x14ac:dyDescent="0.25">
      <c r="AV1861" s="22">
        <f t="shared" si="235"/>
        <v>0</v>
      </c>
    </row>
    <row r="1862" spans="48:48" x14ac:dyDescent="0.25">
      <c r="AV1862" s="22">
        <f t="shared" si="235"/>
        <v>0</v>
      </c>
    </row>
    <row r="1863" spans="48:48" x14ac:dyDescent="0.25">
      <c r="AV1863" s="22">
        <f t="shared" si="235"/>
        <v>0</v>
      </c>
    </row>
    <row r="1864" spans="48:48" x14ac:dyDescent="0.25">
      <c r="AV1864" s="22">
        <f t="shared" si="235"/>
        <v>0</v>
      </c>
    </row>
    <row r="1865" spans="48:48" x14ac:dyDescent="0.25">
      <c r="AV1865" s="22">
        <f t="shared" si="235"/>
        <v>0</v>
      </c>
    </row>
    <row r="1866" spans="48:48" x14ac:dyDescent="0.25">
      <c r="AV1866" s="22">
        <f t="shared" si="235"/>
        <v>0</v>
      </c>
    </row>
    <row r="1867" spans="48:48" x14ac:dyDescent="0.25">
      <c r="AV1867" s="22">
        <f t="shared" si="235"/>
        <v>0</v>
      </c>
    </row>
    <row r="1868" spans="48:48" x14ac:dyDescent="0.25">
      <c r="AV1868" s="22">
        <f t="shared" si="235"/>
        <v>0</v>
      </c>
    </row>
    <row r="1869" spans="48:48" x14ac:dyDescent="0.25">
      <c r="AV1869" s="22">
        <f t="shared" si="235"/>
        <v>0</v>
      </c>
    </row>
    <row r="1870" spans="48:48" x14ac:dyDescent="0.25">
      <c r="AV1870" s="22">
        <f t="shared" si="235"/>
        <v>0</v>
      </c>
    </row>
    <row r="1871" spans="48:48" x14ac:dyDescent="0.25">
      <c r="AV1871" s="22">
        <f t="shared" si="235"/>
        <v>0</v>
      </c>
    </row>
    <row r="1872" spans="48:48" x14ac:dyDescent="0.25">
      <c r="AV1872" s="22">
        <f t="shared" si="235"/>
        <v>0</v>
      </c>
    </row>
    <row r="1873" spans="48:48" x14ac:dyDescent="0.25">
      <c r="AV1873" s="22">
        <f t="shared" si="235"/>
        <v>0</v>
      </c>
    </row>
    <row r="1874" spans="48:48" x14ac:dyDescent="0.25">
      <c r="AV1874" s="22">
        <f t="shared" si="235"/>
        <v>0</v>
      </c>
    </row>
    <row r="1875" spans="48:48" x14ac:dyDescent="0.25">
      <c r="AV1875" s="22">
        <f t="shared" si="235"/>
        <v>0</v>
      </c>
    </row>
    <row r="1876" spans="48:48" x14ac:dyDescent="0.25">
      <c r="AV1876" s="22">
        <f t="shared" si="235"/>
        <v>0</v>
      </c>
    </row>
    <row r="1877" spans="48:48" x14ac:dyDescent="0.25">
      <c r="AV1877" s="22">
        <f t="shared" si="235"/>
        <v>0</v>
      </c>
    </row>
    <row r="1878" spans="48:48" x14ac:dyDescent="0.25">
      <c r="AV1878" s="22">
        <f t="shared" si="235"/>
        <v>0</v>
      </c>
    </row>
    <row r="1879" spans="48:48" x14ac:dyDescent="0.25">
      <c r="AV1879" s="22">
        <f t="shared" si="235"/>
        <v>0</v>
      </c>
    </row>
    <row r="1880" spans="48:48" x14ac:dyDescent="0.25">
      <c r="AV1880" s="22">
        <f t="shared" si="235"/>
        <v>0</v>
      </c>
    </row>
    <row r="1881" spans="48:48" x14ac:dyDescent="0.25">
      <c r="AV1881" s="22">
        <f t="shared" si="235"/>
        <v>0</v>
      </c>
    </row>
    <row r="1882" spans="48:48" x14ac:dyDescent="0.25">
      <c r="AV1882" s="22">
        <f t="shared" si="235"/>
        <v>0</v>
      </c>
    </row>
    <row r="1883" spans="48:48" x14ac:dyDescent="0.25">
      <c r="AV1883" s="22">
        <f t="shared" si="235"/>
        <v>0</v>
      </c>
    </row>
    <row r="1884" spans="48:48" x14ac:dyDescent="0.25">
      <c r="AV1884" s="22">
        <f t="shared" si="235"/>
        <v>0</v>
      </c>
    </row>
    <row r="1885" spans="48:48" x14ac:dyDescent="0.25">
      <c r="AV1885" s="22">
        <f t="shared" si="235"/>
        <v>0</v>
      </c>
    </row>
    <row r="1886" spans="48:48" x14ac:dyDescent="0.25">
      <c r="AV1886" s="22">
        <f t="shared" si="235"/>
        <v>0</v>
      </c>
    </row>
    <row r="1887" spans="48:48" x14ac:dyDescent="0.25">
      <c r="AV1887" s="22">
        <f t="shared" si="235"/>
        <v>0</v>
      </c>
    </row>
    <row r="1888" spans="48:48" x14ac:dyDescent="0.25">
      <c r="AV1888" s="22">
        <f t="shared" si="235"/>
        <v>0</v>
      </c>
    </row>
    <row r="1889" spans="48:48" x14ac:dyDescent="0.25">
      <c r="AV1889" s="22">
        <f t="shared" si="235"/>
        <v>0</v>
      </c>
    </row>
    <row r="1890" spans="48:48" x14ac:dyDescent="0.25">
      <c r="AV1890" s="22">
        <f t="shared" si="235"/>
        <v>0</v>
      </c>
    </row>
    <row r="1891" spans="48:48" x14ac:dyDescent="0.25">
      <c r="AV1891" s="22">
        <f t="shared" si="235"/>
        <v>0</v>
      </c>
    </row>
    <row r="1892" spans="48:48" x14ac:dyDescent="0.25">
      <c r="AV1892" s="22">
        <f t="shared" si="235"/>
        <v>0</v>
      </c>
    </row>
    <row r="1893" spans="48:48" x14ac:dyDescent="0.25">
      <c r="AV1893" s="22">
        <f t="shared" ref="AV1893:AV1956" si="236">SUM(I1893:AU1893)</f>
        <v>0</v>
      </c>
    </row>
    <row r="1894" spans="48:48" x14ac:dyDescent="0.25">
      <c r="AV1894" s="22">
        <f t="shared" si="236"/>
        <v>0</v>
      </c>
    </row>
    <row r="1895" spans="48:48" x14ac:dyDescent="0.25">
      <c r="AV1895" s="22">
        <f t="shared" si="236"/>
        <v>0</v>
      </c>
    </row>
    <row r="1896" spans="48:48" x14ac:dyDescent="0.25">
      <c r="AV1896" s="22">
        <f t="shared" si="236"/>
        <v>0</v>
      </c>
    </row>
    <row r="1897" spans="48:48" x14ac:dyDescent="0.25">
      <c r="AV1897" s="22">
        <f t="shared" si="236"/>
        <v>0</v>
      </c>
    </row>
    <row r="1898" spans="48:48" x14ac:dyDescent="0.25">
      <c r="AV1898" s="22">
        <f t="shared" si="236"/>
        <v>0</v>
      </c>
    </row>
    <row r="1899" spans="48:48" x14ac:dyDescent="0.25">
      <c r="AV1899" s="22">
        <f t="shared" si="236"/>
        <v>0</v>
      </c>
    </row>
    <row r="1900" spans="48:48" x14ac:dyDescent="0.25">
      <c r="AV1900" s="22">
        <f t="shared" si="236"/>
        <v>0</v>
      </c>
    </row>
    <row r="1901" spans="48:48" x14ac:dyDescent="0.25">
      <c r="AV1901" s="22">
        <f t="shared" si="236"/>
        <v>0</v>
      </c>
    </row>
    <row r="1902" spans="48:48" x14ac:dyDescent="0.25">
      <c r="AV1902" s="22">
        <f t="shared" si="236"/>
        <v>0</v>
      </c>
    </row>
    <row r="1903" spans="48:48" x14ac:dyDescent="0.25">
      <c r="AV1903" s="22">
        <f t="shared" si="236"/>
        <v>0</v>
      </c>
    </row>
    <row r="1904" spans="48:48" x14ac:dyDescent="0.25">
      <c r="AV1904" s="22">
        <f t="shared" si="236"/>
        <v>0</v>
      </c>
    </row>
    <row r="1905" spans="48:48" x14ac:dyDescent="0.25">
      <c r="AV1905" s="22">
        <f t="shared" si="236"/>
        <v>0</v>
      </c>
    </row>
    <row r="1906" spans="48:48" x14ac:dyDescent="0.25">
      <c r="AV1906" s="22">
        <f t="shared" si="236"/>
        <v>0</v>
      </c>
    </row>
    <row r="1907" spans="48:48" x14ac:dyDescent="0.25">
      <c r="AV1907" s="22">
        <f t="shared" si="236"/>
        <v>0</v>
      </c>
    </row>
    <row r="1908" spans="48:48" x14ac:dyDescent="0.25">
      <c r="AV1908" s="22">
        <f t="shared" si="236"/>
        <v>0</v>
      </c>
    </row>
    <row r="1909" spans="48:48" x14ac:dyDescent="0.25">
      <c r="AV1909" s="22">
        <f t="shared" si="236"/>
        <v>0</v>
      </c>
    </row>
    <row r="1910" spans="48:48" x14ac:dyDescent="0.25">
      <c r="AV1910" s="22">
        <f t="shared" si="236"/>
        <v>0</v>
      </c>
    </row>
    <row r="1911" spans="48:48" x14ac:dyDescent="0.25">
      <c r="AV1911" s="22">
        <f t="shared" si="236"/>
        <v>0</v>
      </c>
    </row>
    <row r="1912" spans="48:48" x14ac:dyDescent="0.25">
      <c r="AV1912" s="22">
        <f t="shared" si="236"/>
        <v>0</v>
      </c>
    </row>
    <row r="1913" spans="48:48" x14ac:dyDescent="0.25">
      <c r="AV1913" s="22">
        <f t="shared" si="236"/>
        <v>0</v>
      </c>
    </row>
    <row r="1914" spans="48:48" x14ac:dyDescent="0.25">
      <c r="AV1914" s="22">
        <f t="shared" si="236"/>
        <v>0</v>
      </c>
    </row>
    <row r="1915" spans="48:48" x14ac:dyDescent="0.25">
      <c r="AV1915" s="22">
        <f t="shared" si="236"/>
        <v>0</v>
      </c>
    </row>
    <row r="1916" spans="48:48" x14ac:dyDescent="0.25">
      <c r="AV1916" s="22">
        <f t="shared" si="236"/>
        <v>0</v>
      </c>
    </row>
    <row r="1917" spans="48:48" x14ac:dyDescent="0.25">
      <c r="AV1917" s="22">
        <f t="shared" si="236"/>
        <v>0</v>
      </c>
    </row>
    <row r="1918" spans="48:48" x14ac:dyDescent="0.25">
      <c r="AV1918" s="22">
        <f t="shared" si="236"/>
        <v>0</v>
      </c>
    </row>
    <row r="1919" spans="48:48" x14ac:dyDescent="0.25">
      <c r="AV1919" s="22">
        <f t="shared" si="236"/>
        <v>0</v>
      </c>
    </row>
    <row r="1920" spans="48:48" x14ac:dyDescent="0.25">
      <c r="AV1920" s="22">
        <f t="shared" si="236"/>
        <v>0</v>
      </c>
    </row>
    <row r="1921" spans="48:48" x14ac:dyDescent="0.25">
      <c r="AV1921" s="22">
        <f t="shared" si="236"/>
        <v>0</v>
      </c>
    </row>
    <row r="1922" spans="48:48" x14ac:dyDescent="0.25">
      <c r="AV1922" s="22">
        <f t="shared" si="236"/>
        <v>0</v>
      </c>
    </row>
    <row r="1923" spans="48:48" x14ac:dyDescent="0.25">
      <c r="AV1923" s="22">
        <f t="shared" si="236"/>
        <v>0</v>
      </c>
    </row>
    <row r="1924" spans="48:48" x14ac:dyDescent="0.25">
      <c r="AV1924" s="22">
        <f t="shared" si="236"/>
        <v>0</v>
      </c>
    </row>
    <row r="1925" spans="48:48" x14ac:dyDescent="0.25">
      <c r="AV1925" s="22">
        <f t="shared" si="236"/>
        <v>0</v>
      </c>
    </row>
    <row r="1926" spans="48:48" x14ac:dyDescent="0.25">
      <c r="AV1926" s="22">
        <f t="shared" si="236"/>
        <v>0</v>
      </c>
    </row>
    <row r="1927" spans="48:48" x14ac:dyDescent="0.25">
      <c r="AV1927" s="22">
        <f t="shared" si="236"/>
        <v>0</v>
      </c>
    </row>
    <row r="1928" spans="48:48" x14ac:dyDescent="0.25">
      <c r="AV1928" s="22">
        <f t="shared" si="236"/>
        <v>0</v>
      </c>
    </row>
    <row r="1929" spans="48:48" x14ac:dyDescent="0.25">
      <c r="AV1929" s="22">
        <f t="shared" si="236"/>
        <v>0</v>
      </c>
    </row>
    <row r="1930" spans="48:48" x14ac:dyDescent="0.25">
      <c r="AV1930" s="22">
        <f t="shared" si="236"/>
        <v>0</v>
      </c>
    </row>
    <row r="1931" spans="48:48" x14ac:dyDescent="0.25">
      <c r="AV1931" s="22">
        <f t="shared" si="236"/>
        <v>0</v>
      </c>
    </row>
    <row r="1932" spans="48:48" x14ac:dyDescent="0.25">
      <c r="AV1932" s="22">
        <f t="shared" si="236"/>
        <v>0</v>
      </c>
    </row>
    <row r="1933" spans="48:48" x14ac:dyDescent="0.25">
      <c r="AV1933" s="22">
        <f t="shared" si="236"/>
        <v>0</v>
      </c>
    </row>
    <row r="1934" spans="48:48" x14ac:dyDescent="0.25">
      <c r="AV1934" s="22">
        <f t="shared" si="236"/>
        <v>0</v>
      </c>
    </row>
    <row r="1935" spans="48:48" x14ac:dyDescent="0.25">
      <c r="AV1935" s="22">
        <f t="shared" si="236"/>
        <v>0</v>
      </c>
    </row>
    <row r="1936" spans="48:48" x14ac:dyDescent="0.25">
      <c r="AV1936" s="22">
        <f t="shared" si="236"/>
        <v>0</v>
      </c>
    </row>
    <row r="1937" spans="48:48" x14ac:dyDescent="0.25">
      <c r="AV1937" s="22">
        <f t="shared" si="236"/>
        <v>0</v>
      </c>
    </row>
    <row r="1938" spans="48:48" x14ac:dyDescent="0.25">
      <c r="AV1938" s="22">
        <f t="shared" si="236"/>
        <v>0</v>
      </c>
    </row>
    <row r="1939" spans="48:48" x14ac:dyDescent="0.25">
      <c r="AV1939" s="22">
        <f t="shared" si="236"/>
        <v>0</v>
      </c>
    </row>
    <row r="1940" spans="48:48" x14ac:dyDescent="0.25">
      <c r="AV1940" s="22">
        <f t="shared" si="236"/>
        <v>0</v>
      </c>
    </row>
    <row r="1941" spans="48:48" x14ac:dyDescent="0.25">
      <c r="AV1941" s="22">
        <f t="shared" si="236"/>
        <v>0</v>
      </c>
    </row>
    <row r="1942" spans="48:48" x14ac:dyDescent="0.25">
      <c r="AV1942" s="22">
        <f t="shared" si="236"/>
        <v>0</v>
      </c>
    </row>
    <row r="1943" spans="48:48" x14ac:dyDescent="0.25">
      <c r="AV1943" s="22">
        <f t="shared" si="236"/>
        <v>0</v>
      </c>
    </row>
    <row r="1944" spans="48:48" x14ac:dyDescent="0.25">
      <c r="AV1944" s="22">
        <f t="shared" si="236"/>
        <v>0</v>
      </c>
    </row>
    <row r="1945" spans="48:48" x14ac:dyDescent="0.25">
      <c r="AV1945" s="22">
        <f t="shared" si="236"/>
        <v>0</v>
      </c>
    </row>
    <row r="1946" spans="48:48" x14ac:dyDescent="0.25">
      <c r="AV1946" s="22">
        <f t="shared" si="236"/>
        <v>0</v>
      </c>
    </row>
    <row r="1947" spans="48:48" x14ac:dyDescent="0.25">
      <c r="AV1947" s="22">
        <f t="shared" si="236"/>
        <v>0</v>
      </c>
    </row>
    <row r="1948" spans="48:48" x14ac:dyDescent="0.25">
      <c r="AV1948" s="22">
        <f t="shared" si="236"/>
        <v>0</v>
      </c>
    </row>
    <row r="1949" spans="48:48" x14ac:dyDescent="0.25">
      <c r="AV1949" s="22">
        <f t="shared" si="236"/>
        <v>0</v>
      </c>
    </row>
    <row r="1950" spans="48:48" x14ac:dyDescent="0.25">
      <c r="AV1950" s="22">
        <f t="shared" si="236"/>
        <v>0</v>
      </c>
    </row>
    <row r="1951" spans="48:48" x14ac:dyDescent="0.25">
      <c r="AV1951" s="22">
        <f t="shared" si="236"/>
        <v>0</v>
      </c>
    </row>
    <row r="1952" spans="48:48" x14ac:dyDescent="0.25">
      <c r="AV1952" s="22">
        <f t="shared" si="236"/>
        <v>0</v>
      </c>
    </row>
    <row r="1953" spans="48:48" x14ac:dyDescent="0.25">
      <c r="AV1953" s="22">
        <f t="shared" si="236"/>
        <v>0</v>
      </c>
    </row>
    <row r="1954" spans="48:48" x14ac:dyDescent="0.25">
      <c r="AV1954" s="22">
        <f t="shared" si="236"/>
        <v>0</v>
      </c>
    </row>
    <row r="1955" spans="48:48" x14ac:dyDescent="0.25">
      <c r="AV1955" s="22">
        <f t="shared" si="236"/>
        <v>0</v>
      </c>
    </row>
    <row r="1956" spans="48:48" x14ac:dyDescent="0.25">
      <c r="AV1956" s="22">
        <f t="shared" si="236"/>
        <v>0</v>
      </c>
    </row>
    <row r="1957" spans="48:48" x14ac:dyDescent="0.25">
      <c r="AV1957" s="22">
        <f t="shared" ref="AV1957:AV2020" si="237">SUM(I1957:AU1957)</f>
        <v>0</v>
      </c>
    </row>
    <row r="1958" spans="48:48" x14ac:dyDescent="0.25">
      <c r="AV1958" s="22">
        <f t="shared" si="237"/>
        <v>0</v>
      </c>
    </row>
    <row r="1959" spans="48:48" x14ac:dyDescent="0.25">
      <c r="AV1959" s="22">
        <f t="shared" si="237"/>
        <v>0</v>
      </c>
    </row>
    <row r="1960" spans="48:48" x14ac:dyDescent="0.25">
      <c r="AV1960" s="22">
        <f t="shared" si="237"/>
        <v>0</v>
      </c>
    </row>
    <row r="1961" spans="48:48" x14ac:dyDescent="0.25">
      <c r="AV1961" s="22">
        <f t="shared" si="237"/>
        <v>0</v>
      </c>
    </row>
    <row r="1962" spans="48:48" x14ac:dyDescent="0.25">
      <c r="AV1962" s="22">
        <f t="shared" si="237"/>
        <v>0</v>
      </c>
    </row>
    <row r="1963" spans="48:48" x14ac:dyDescent="0.25">
      <c r="AV1963" s="22">
        <f t="shared" si="237"/>
        <v>0</v>
      </c>
    </row>
    <row r="1964" spans="48:48" x14ac:dyDescent="0.25">
      <c r="AV1964" s="22">
        <f t="shared" si="237"/>
        <v>0</v>
      </c>
    </row>
    <row r="1965" spans="48:48" x14ac:dyDescent="0.25">
      <c r="AV1965" s="22">
        <f t="shared" si="237"/>
        <v>0</v>
      </c>
    </row>
    <row r="1966" spans="48:48" x14ac:dyDescent="0.25">
      <c r="AV1966" s="22">
        <f t="shared" si="237"/>
        <v>0</v>
      </c>
    </row>
    <row r="1967" spans="48:48" x14ac:dyDescent="0.25">
      <c r="AV1967" s="22">
        <f t="shared" si="237"/>
        <v>0</v>
      </c>
    </row>
    <row r="1968" spans="48:48" x14ac:dyDescent="0.25">
      <c r="AV1968" s="22">
        <f t="shared" si="237"/>
        <v>0</v>
      </c>
    </row>
    <row r="1969" spans="48:48" x14ac:dyDescent="0.25">
      <c r="AV1969" s="22">
        <f t="shared" si="237"/>
        <v>0</v>
      </c>
    </row>
    <row r="1970" spans="48:48" x14ac:dyDescent="0.25">
      <c r="AV1970" s="22">
        <f t="shared" si="237"/>
        <v>0</v>
      </c>
    </row>
    <row r="1971" spans="48:48" x14ac:dyDescent="0.25">
      <c r="AV1971" s="22">
        <f t="shared" si="237"/>
        <v>0</v>
      </c>
    </row>
    <row r="1972" spans="48:48" x14ac:dyDescent="0.25">
      <c r="AV1972" s="22">
        <f t="shared" si="237"/>
        <v>0</v>
      </c>
    </row>
    <row r="1973" spans="48:48" x14ac:dyDescent="0.25">
      <c r="AV1973" s="22">
        <f t="shared" si="237"/>
        <v>0</v>
      </c>
    </row>
    <row r="1974" spans="48:48" x14ac:dyDescent="0.25">
      <c r="AV1974" s="22">
        <f t="shared" si="237"/>
        <v>0</v>
      </c>
    </row>
    <row r="1975" spans="48:48" x14ac:dyDescent="0.25">
      <c r="AV1975" s="22">
        <f t="shared" si="237"/>
        <v>0</v>
      </c>
    </row>
    <row r="1976" spans="48:48" x14ac:dyDescent="0.25">
      <c r="AV1976" s="22">
        <f t="shared" si="237"/>
        <v>0</v>
      </c>
    </row>
    <row r="1977" spans="48:48" x14ac:dyDescent="0.25">
      <c r="AV1977" s="22">
        <f t="shared" si="237"/>
        <v>0</v>
      </c>
    </row>
    <row r="1978" spans="48:48" x14ac:dyDescent="0.25">
      <c r="AV1978" s="22">
        <f t="shared" si="237"/>
        <v>0</v>
      </c>
    </row>
    <row r="1979" spans="48:48" x14ac:dyDescent="0.25">
      <c r="AV1979" s="22">
        <f t="shared" si="237"/>
        <v>0</v>
      </c>
    </row>
    <row r="1980" spans="48:48" x14ac:dyDescent="0.25">
      <c r="AV1980" s="22">
        <f t="shared" si="237"/>
        <v>0</v>
      </c>
    </row>
    <row r="1981" spans="48:48" x14ac:dyDescent="0.25">
      <c r="AV1981" s="22">
        <f t="shared" si="237"/>
        <v>0</v>
      </c>
    </row>
    <row r="1982" spans="48:48" x14ac:dyDescent="0.25">
      <c r="AV1982" s="22">
        <f t="shared" si="237"/>
        <v>0</v>
      </c>
    </row>
    <row r="1983" spans="48:48" x14ac:dyDescent="0.25">
      <c r="AV1983" s="22">
        <f t="shared" si="237"/>
        <v>0</v>
      </c>
    </row>
    <row r="1984" spans="48:48" x14ac:dyDescent="0.25">
      <c r="AV1984" s="22">
        <f t="shared" si="237"/>
        <v>0</v>
      </c>
    </row>
    <row r="1985" spans="48:48" x14ac:dyDescent="0.25">
      <c r="AV1985" s="22">
        <f t="shared" si="237"/>
        <v>0</v>
      </c>
    </row>
    <row r="1986" spans="48:48" x14ac:dyDescent="0.25">
      <c r="AV1986" s="22">
        <f t="shared" si="237"/>
        <v>0</v>
      </c>
    </row>
    <row r="1987" spans="48:48" x14ac:dyDescent="0.25">
      <c r="AV1987" s="22">
        <f t="shared" si="237"/>
        <v>0</v>
      </c>
    </row>
    <row r="1988" spans="48:48" x14ac:dyDescent="0.25">
      <c r="AV1988" s="22">
        <f t="shared" si="237"/>
        <v>0</v>
      </c>
    </row>
    <row r="1989" spans="48:48" x14ac:dyDescent="0.25">
      <c r="AV1989" s="22">
        <f t="shared" si="237"/>
        <v>0</v>
      </c>
    </row>
    <row r="1990" spans="48:48" x14ac:dyDescent="0.25">
      <c r="AV1990" s="22">
        <f t="shared" si="237"/>
        <v>0</v>
      </c>
    </row>
    <row r="1991" spans="48:48" x14ac:dyDescent="0.25">
      <c r="AV1991" s="22">
        <f t="shared" si="237"/>
        <v>0</v>
      </c>
    </row>
    <row r="1992" spans="48:48" x14ac:dyDescent="0.25">
      <c r="AV1992" s="22">
        <f t="shared" si="237"/>
        <v>0</v>
      </c>
    </row>
    <row r="1993" spans="48:48" x14ac:dyDescent="0.25">
      <c r="AV1993" s="22">
        <f t="shared" si="237"/>
        <v>0</v>
      </c>
    </row>
    <row r="1994" spans="48:48" x14ac:dyDescent="0.25">
      <c r="AV1994" s="22">
        <f t="shared" si="237"/>
        <v>0</v>
      </c>
    </row>
    <row r="1995" spans="48:48" x14ac:dyDescent="0.25">
      <c r="AV1995" s="22">
        <f t="shared" si="237"/>
        <v>0</v>
      </c>
    </row>
    <row r="1996" spans="48:48" x14ac:dyDescent="0.25">
      <c r="AV1996" s="22">
        <f t="shared" si="237"/>
        <v>0</v>
      </c>
    </row>
    <row r="1997" spans="48:48" x14ac:dyDescent="0.25">
      <c r="AV1997" s="22">
        <f t="shared" si="237"/>
        <v>0</v>
      </c>
    </row>
    <row r="1998" spans="48:48" x14ac:dyDescent="0.25">
      <c r="AV1998" s="22">
        <f t="shared" si="237"/>
        <v>0</v>
      </c>
    </row>
    <row r="1999" spans="48:48" x14ac:dyDescent="0.25">
      <c r="AV1999" s="22">
        <f t="shared" si="237"/>
        <v>0</v>
      </c>
    </row>
    <row r="2000" spans="48:48" x14ac:dyDescent="0.25">
      <c r="AV2000" s="22">
        <f t="shared" si="237"/>
        <v>0</v>
      </c>
    </row>
    <row r="2001" spans="48:48" x14ac:dyDescent="0.25">
      <c r="AV2001" s="22">
        <f t="shared" si="237"/>
        <v>0</v>
      </c>
    </row>
    <row r="2002" spans="48:48" x14ac:dyDescent="0.25">
      <c r="AV2002" s="22">
        <f t="shared" si="237"/>
        <v>0</v>
      </c>
    </row>
    <row r="2003" spans="48:48" x14ac:dyDescent="0.25">
      <c r="AV2003" s="22">
        <f t="shared" si="237"/>
        <v>0</v>
      </c>
    </row>
    <row r="2004" spans="48:48" x14ac:dyDescent="0.25">
      <c r="AV2004" s="22">
        <f t="shared" si="237"/>
        <v>0</v>
      </c>
    </row>
    <row r="2005" spans="48:48" x14ac:dyDescent="0.25">
      <c r="AV2005" s="22">
        <f t="shared" si="237"/>
        <v>0</v>
      </c>
    </row>
    <row r="2006" spans="48:48" x14ac:dyDescent="0.25">
      <c r="AV2006" s="22">
        <f t="shared" si="237"/>
        <v>0</v>
      </c>
    </row>
    <row r="2007" spans="48:48" x14ac:dyDescent="0.25">
      <c r="AV2007" s="22">
        <f t="shared" si="237"/>
        <v>0</v>
      </c>
    </row>
    <row r="2008" spans="48:48" x14ac:dyDescent="0.25">
      <c r="AV2008" s="22">
        <f t="shared" si="237"/>
        <v>0</v>
      </c>
    </row>
    <row r="2009" spans="48:48" x14ac:dyDescent="0.25">
      <c r="AV2009" s="22">
        <f t="shared" si="237"/>
        <v>0</v>
      </c>
    </row>
    <row r="2010" spans="48:48" x14ac:dyDescent="0.25">
      <c r="AV2010" s="22">
        <f t="shared" si="237"/>
        <v>0</v>
      </c>
    </row>
    <row r="2011" spans="48:48" x14ac:dyDescent="0.25">
      <c r="AV2011" s="22">
        <f t="shared" si="237"/>
        <v>0</v>
      </c>
    </row>
    <row r="2012" spans="48:48" x14ac:dyDescent="0.25">
      <c r="AV2012" s="22">
        <f t="shared" si="237"/>
        <v>0</v>
      </c>
    </row>
    <row r="2013" spans="48:48" x14ac:dyDescent="0.25">
      <c r="AV2013" s="22">
        <f t="shared" si="237"/>
        <v>0</v>
      </c>
    </row>
    <row r="2014" spans="48:48" x14ac:dyDescent="0.25">
      <c r="AV2014" s="22">
        <f t="shared" si="237"/>
        <v>0</v>
      </c>
    </row>
    <row r="2015" spans="48:48" x14ac:dyDescent="0.25">
      <c r="AV2015" s="22">
        <f t="shared" si="237"/>
        <v>0</v>
      </c>
    </row>
    <row r="2016" spans="48:48" x14ac:dyDescent="0.25">
      <c r="AV2016" s="22">
        <f t="shared" si="237"/>
        <v>0</v>
      </c>
    </row>
    <row r="2017" spans="48:48" x14ac:dyDescent="0.25">
      <c r="AV2017" s="22">
        <f t="shared" si="237"/>
        <v>0</v>
      </c>
    </row>
    <row r="2018" spans="48:48" x14ac:dyDescent="0.25">
      <c r="AV2018" s="22">
        <f t="shared" si="237"/>
        <v>0</v>
      </c>
    </row>
    <row r="2019" spans="48:48" x14ac:dyDescent="0.25">
      <c r="AV2019" s="22">
        <f t="shared" si="237"/>
        <v>0</v>
      </c>
    </row>
    <row r="2020" spans="48:48" x14ac:dyDescent="0.25">
      <c r="AV2020" s="22">
        <f t="shared" si="237"/>
        <v>0</v>
      </c>
    </row>
    <row r="2021" spans="48:48" x14ac:dyDescent="0.25">
      <c r="AV2021" s="22">
        <f t="shared" ref="AV2021:AV2084" si="238">SUM(I2021:AU2021)</f>
        <v>0</v>
      </c>
    </row>
    <row r="2022" spans="48:48" x14ac:dyDescent="0.25">
      <c r="AV2022" s="22">
        <f t="shared" si="238"/>
        <v>0</v>
      </c>
    </row>
    <row r="2023" spans="48:48" x14ac:dyDescent="0.25">
      <c r="AV2023" s="22">
        <f t="shared" si="238"/>
        <v>0</v>
      </c>
    </row>
    <row r="2024" spans="48:48" x14ac:dyDescent="0.25">
      <c r="AV2024" s="22">
        <f t="shared" si="238"/>
        <v>0</v>
      </c>
    </row>
    <row r="2025" spans="48:48" x14ac:dyDescent="0.25">
      <c r="AV2025" s="22">
        <f t="shared" si="238"/>
        <v>0</v>
      </c>
    </row>
    <row r="2026" spans="48:48" x14ac:dyDescent="0.25">
      <c r="AV2026" s="22">
        <f t="shared" si="238"/>
        <v>0</v>
      </c>
    </row>
    <row r="2027" spans="48:48" x14ac:dyDescent="0.25">
      <c r="AV2027" s="22">
        <f t="shared" si="238"/>
        <v>0</v>
      </c>
    </row>
    <row r="2028" spans="48:48" x14ac:dyDescent="0.25">
      <c r="AV2028" s="22">
        <f t="shared" si="238"/>
        <v>0</v>
      </c>
    </row>
    <row r="2029" spans="48:48" x14ac:dyDescent="0.25">
      <c r="AV2029" s="22">
        <f t="shared" si="238"/>
        <v>0</v>
      </c>
    </row>
    <row r="2030" spans="48:48" x14ac:dyDescent="0.25">
      <c r="AV2030" s="22">
        <f t="shared" si="238"/>
        <v>0</v>
      </c>
    </row>
    <row r="2031" spans="48:48" x14ac:dyDescent="0.25">
      <c r="AV2031" s="22">
        <f t="shared" si="238"/>
        <v>0</v>
      </c>
    </row>
    <row r="2032" spans="48:48" x14ac:dyDescent="0.25">
      <c r="AV2032" s="22">
        <f t="shared" si="238"/>
        <v>0</v>
      </c>
    </row>
    <row r="2033" spans="48:48" x14ac:dyDescent="0.25">
      <c r="AV2033" s="22">
        <f t="shared" si="238"/>
        <v>0</v>
      </c>
    </row>
    <row r="2034" spans="48:48" x14ac:dyDescent="0.25">
      <c r="AV2034" s="22">
        <f t="shared" si="238"/>
        <v>0</v>
      </c>
    </row>
    <row r="2035" spans="48:48" x14ac:dyDescent="0.25">
      <c r="AV2035" s="22">
        <f t="shared" si="238"/>
        <v>0</v>
      </c>
    </row>
    <row r="2036" spans="48:48" x14ac:dyDescent="0.25">
      <c r="AV2036" s="22">
        <f t="shared" si="238"/>
        <v>0</v>
      </c>
    </row>
    <row r="2037" spans="48:48" x14ac:dyDescent="0.25">
      <c r="AV2037" s="22">
        <f t="shared" si="238"/>
        <v>0</v>
      </c>
    </row>
    <row r="2038" spans="48:48" x14ac:dyDescent="0.25">
      <c r="AV2038" s="22">
        <f t="shared" si="238"/>
        <v>0</v>
      </c>
    </row>
    <row r="2039" spans="48:48" x14ac:dyDescent="0.25">
      <c r="AV2039" s="22">
        <f t="shared" si="238"/>
        <v>0</v>
      </c>
    </row>
    <row r="2040" spans="48:48" x14ac:dyDescent="0.25">
      <c r="AV2040" s="22">
        <f t="shared" si="238"/>
        <v>0</v>
      </c>
    </row>
    <row r="2041" spans="48:48" x14ac:dyDescent="0.25">
      <c r="AV2041" s="22">
        <f t="shared" si="238"/>
        <v>0</v>
      </c>
    </row>
    <row r="2042" spans="48:48" x14ac:dyDescent="0.25">
      <c r="AV2042" s="22">
        <f t="shared" si="238"/>
        <v>0</v>
      </c>
    </row>
    <row r="2043" spans="48:48" x14ac:dyDescent="0.25">
      <c r="AV2043" s="22">
        <f t="shared" si="238"/>
        <v>0</v>
      </c>
    </row>
    <row r="2044" spans="48:48" x14ac:dyDescent="0.25">
      <c r="AV2044" s="22">
        <f t="shared" si="238"/>
        <v>0</v>
      </c>
    </row>
    <row r="2045" spans="48:48" x14ac:dyDescent="0.25">
      <c r="AV2045" s="22">
        <f t="shared" si="238"/>
        <v>0</v>
      </c>
    </row>
    <row r="2046" spans="48:48" x14ac:dyDescent="0.25">
      <c r="AV2046" s="22">
        <f t="shared" si="238"/>
        <v>0</v>
      </c>
    </row>
    <row r="2047" spans="48:48" x14ac:dyDescent="0.25">
      <c r="AV2047" s="22">
        <f t="shared" si="238"/>
        <v>0</v>
      </c>
    </row>
    <row r="2048" spans="48:48" x14ac:dyDescent="0.25">
      <c r="AV2048" s="22">
        <f t="shared" si="238"/>
        <v>0</v>
      </c>
    </row>
    <row r="2049" spans="48:48" x14ac:dyDescent="0.25">
      <c r="AV2049" s="22">
        <f t="shared" si="238"/>
        <v>0</v>
      </c>
    </row>
    <row r="2050" spans="48:48" x14ac:dyDescent="0.25">
      <c r="AV2050" s="22">
        <f t="shared" si="238"/>
        <v>0</v>
      </c>
    </row>
    <row r="2051" spans="48:48" x14ac:dyDescent="0.25">
      <c r="AV2051" s="22">
        <f t="shared" si="238"/>
        <v>0</v>
      </c>
    </row>
    <row r="2052" spans="48:48" x14ac:dyDescent="0.25">
      <c r="AV2052" s="22">
        <f t="shared" si="238"/>
        <v>0</v>
      </c>
    </row>
    <row r="2053" spans="48:48" x14ac:dyDescent="0.25">
      <c r="AV2053" s="22">
        <f t="shared" si="238"/>
        <v>0</v>
      </c>
    </row>
    <row r="2054" spans="48:48" x14ac:dyDescent="0.25">
      <c r="AV2054" s="22">
        <f t="shared" si="238"/>
        <v>0</v>
      </c>
    </row>
    <row r="2055" spans="48:48" x14ac:dyDescent="0.25">
      <c r="AV2055" s="22">
        <f t="shared" si="238"/>
        <v>0</v>
      </c>
    </row>
    <row r="2056" spans="48:48" x14ac:dyDescent="0.25">
      <c r="AV2056" s="22">
        <f t="shared" si="238"/>
        <v>0</v>
      </c>
    </row>
    <row r="2057" spans="48:48" x14ac:dyDescent="0.25">
      <c r="AV2057" s="22">
        <f t="shared" si="238"/>
        <v>0</v>
      </c>
    </row>
    <row r="2058" spans="48:48" x14ac:dyDescent="0.25">
      <c r="AV2058" s="22">
        <f t="shared" si="238"/>
        <v>0</v>
      </c>
    </row>
    <row r="2059" spans="48:48" x14ac:dyDescent="0.25">
      <c r="AV2059" s="22">
        <f t="shared" si="238"/>
        <v>0</v>
      </c>
    </row>
    <row r="2060" spans="48:48" x14ac:dyDescent="0.25">
      <c r="AV2060" s="22">
        <f t="shared" si="238"/>
        <v>0</v>
      </c>
    </row>
    <row r="2061" spans="48:48" x14ac:dyDescent="0.25">
      <c r="AV2061" s="22">
        <f t="shared" si="238"/>
        <v>0</v>
      </c>
    </row>
    <row r="2062" spans="48:48" x14ac:dyDescent="0.25">
      <c r="AV2062" s="22">
        <f t="shared" si="238"/>
        <v>0</v>
      </c>
    </row>
    <row r="2063" spans="48:48" x14ac:dyDescent="0.25">
      <c r="AV2063" s="22">
        <f t="shared" si="238"/>
        <v>0</v>
      </c>
    </row>
    <row r="2064" spans="48:48" x14ac:dyDescent="0.25">
      <c r="AV2064" s="22">
        <f t="shared" si="238"/>
        <v>0</v>
      </c>
    </row>
    <row r="2065" spans="48:48" x14ac:dyDescent="0.25">
      <c r="AV2065" s="22">
        <f t="shared" si="238"/>
        <v>0</v>
      </c>
    </row>
    <row r="2066" spans="48:48" x14ac:dyDescent="0.25">
      <c r="AV2066" s="22">
        <f t="shared" si="238"/>
        <v>0</v>
      </c>
    </row>
    <row r="2067" spans="48:48" x14ac:dyDescent="0.25">
      <c r="AV2067" s="22">
        <f t="shared" si="238"/>
        <v>0</v>
      </c>
    </row>
    <row r="2068" spans="48:48" x14ac:dyDescent="0.25">
      <c r="AV2068" s="22">
        <f t="shared" si="238"/>
        <v>0</v>
      </c>
    </row>
    <row r="2069" spans="48:48" x14ac:dyDescent="0.25">
      <c r="AV2069" s="22">
        <f t="shared" si="238"/>
        <v>0</v>
      </c>
    </row>
    <row r="2070" spans="48:48" x14ac:dyDescent="0.25">
      <c r="AV2070" s="22">
        <f t="shared" si="238"/>
        <v>0</v>
      </c>
    </row>
    <row r="2071" spans="48:48" x14ac:dyDescent="0.25">
      <c r="AV2071" s="22">
        <f t="shared" si="238"/>
        <v>0</v>
      </c>
    </row>
    <row r="2072" spans="48:48" x14ac:dyDescent="0.25">
      <c r="AV2072" s="22">
        <f t="shared" si="238"/>
        <v>0</v>
      </c>
    </row>
    <row r="2073" spans="48:48" x14ac:dyDescent="0.25">
      <c r="AV2073" s="22">
        <f t="shared" si="238"/>
        <v>0</v>
      </c>
    </row>
    <row r="2074" spans="48:48" x14ac:dyDescent="0.25">
      <c r="AV2074" s="22">
        <f t="shared" si="238"/>
        <v>0</v>
      </c>
    </row>
    <row r="2075" spans="48:48" x14ac:dyDescent="0.25">
      <c r="AV2075" s="22">
        <f t="shared" si="238"/>
        <v>0</v>
      </c>
    </row>
    <row r="2076" spans="48:48" x14ac:dyDescent="0.25">
      <c r="AV2076" s="22">
        <f t="shared" si="238"/>
        <v>0</v>
      </c>
    </row>
    <row r="2077" spans="48:48" x14ac:dyDescent="0.25">
      <c r="AV2077" s="22">
        <f t="shared" si="238"/>
        <v>0</v>
      </c>
    </row>
    <row r="2078" spans="48:48" x14ac:dyDescent="0.25">
      <c r="AV2078" s="22">
        <f t="shared" si="238"/>
        <v>0</v>
      </c>
    </row>
    <row r="2079" spans="48:48" x14ac:dyDescent="0.25">
      <c r="AV2079" s="22">
        <f t="shared" si="238"/>
        <v>0</v>
      </c>
    </row>
    <row r="2080" spans="48:48" x14ac:dyDescent="0.25">
      <c r="AV2080" s="22">
        <f t="shared" si="238"/>
        <v>0</v>
      </c>
    </row>
    <row r="2081" spans="48:48" x14ac:dyDescent="0.25">
      <c r="AV2081" s="22">
        <f t="shared" si="238"/>
        <v>0</v>
      </c>
    </row>
    <row r="2082" spans="48:48" x14ac:dyDescent="0.25">
      <c r="AV2082" s="22">
        <f t="shared" si="238"/>
        <v>0</v>
      </c>
    </row>
    <row r="2083" spans="48:48" x14ac:dyDescent="0.25">
      <c r="AV2083" s="22">
        <f t="shared" si="238"/>
        <v>0</v>
      </c>
    </row>
    <row r="2084" spans="48:48" x14ac:dyDescent="0.25">
      <c r="AV2084" s="22">
        <f t="shared" si="238"/>
        <v>0</v>
      </c>
    </row>
    <row r="2085" spans="48:48" x14ac:dyDescent="0.25">
      <c r="AV2085" s="22">
        <f t="shared" ref="AV2085:AV2148" si="239">SUM(I2085:AU2085)</f>
        <v>0</v>
      </c>
    </row>
    <row r="2086" spans="48:48" x14ac:dyDescent="0.25">
      <c r="AV2086" s="22">
        <f t="shared" si="239"/>
        <v>0</v>
      </c>
    </row>
    <row r="2087" spans="48:48" x14ac:dyDescent="0.25">
      <c r="AV2087" s="22">
        <f t="shared" si="239"/>
        <v>0</v>
      </c>
    </row>
    <row r="2088" spans="48:48" x14ac:dyDescent="0.25">
      <c r="AV2088" s="22">
        <f t="shared" si="239"/>
        <v>0</v>
      </c>
    </row>
    <row r="2089" spans="48:48" x14ac:dyDescent="0.25">
      <c r="AV2089" s="22">
        <f t="shared" si="239"/>
        <v>0</v>
      </c>
    </row>
    <row r="2090" spans="48:48" x14ac:dyDescent="0.25">
      <c r="AV2090" s="22">
        <f t="shared" si="239"/>
        <v>0</v>
      </c>
    </row>
    <row r="2091" spans="48:48" x14ac:dyDescent="0.25">
      <c r="AV2091" s="22">
        <f t="shared" si="239"/>
        <v>0</v>
      </c>
    </row>
    <row r="2092" spans="48:48" x14ac:dyDescent="0.25">
      <c r="AV2092" s="22">
        <f t="shared" si="239"/>
        <v>0</v>
      </c>
    </row>
    <row r="2093" spans="48:48" x14ac:dyDescent="0.25">
      <c r="AV2093" s="22">
        <f t="shared" si="239"/>
        <v>0</v>
      </c>
    </row>
    <row r="2094" spans="48:48" x14ac:dyDescent="0.25">
      <c r="AV2094" s="22">
        <f t="shared" si="239"/>
        <v>0</v>
      </c>
    </row>
    <row r="2095" spans="48:48" x14ac:dyDescent="0.25">
      <c r="AV2095" s="22">
        <f t="shared" si="239"/>
        <v>0</v>
      </c>
    </row>
    <row r="2096" spans="48:48" x14ac:dyDescent="0.25">
      <c r="AV2096" s="22">
        <f t="shared" si="239"/>
        <v>0</v>
      </c>
    </row>
    <row r="2097" spans="48:48" x14ac:dyDescent="0.25">
      <c r="AV2097" s="22">
        <f t="shared" si="239"/>
        <v>0</v>
      </c>
    </row>
    <row r="2098" spans="48:48" x14ac:dyDescent="0.25">
      <c r="AV2098" s="22">
        <f t="shared" si="239"/>
        <v>0</v>
      </c>
    </row>
    <row r="2099" spans="48:48" x14ac:dyDescent="0.25">
      <c r="AV2099" s="22">
        <f t="shared" si="239"/>
        <v>0</v>
      </c>
    </row>
    <row r="2100" spans="48:48" x14ac:dyDescent="0.25">
      <c r="AV2100" s="22">
        <f t="shared" si="239"/>
        <v>0</v>
      </c>
    </row>
    <row r="2101" spans="48:48" x14ac:dyDescent="0.25">
      <c r="AV2101" s="22">
        <f t="shared" si="239"/>
        <v>0</v>
      </c>
    </row>
    <row r="2102" spans="48:48" x14ac:dyDescent="0.25">
      <c r="AV2102" s="22">
        <f t="shared" si="239"/>
        <v>0</v>
      </c>
    </row>
    <row r="2103" spans="48:48" x14ac:dyDescent="0.25">
      <c r="AV2103" s="22">
        <f t="shared" si="239"/>
        <v>0</v>
      </c>
    </row>
    <row r="2104" spans="48:48" x14ac:dyDescent="0.25">
      <c r="AV2104" s="22">
        <f t="shared" si="239"/>
        <v>0</v>
      </c>
    </row>
    <row r="2105" spans="48:48" x14ac:dyDescent="0.25">
      <c r="AV2105" s="22">
        <f t="shared" si="239"/>
        <v>0</v>
      </c>
    </row>
    <row r="2106" spans="48:48" x14ac:dyDescent="0.25">
      <c r="AV2106" s="22">
        <f t="shared" si="239"/>
        <v>0</v>
      </c>
    </row>
    <row r="2107" spans="48:48" x14ac:dyDescent="0.25">
      <c r="AV2107" s="22">
        <f t="shared" si="239"/>
        <v>0</v>
      </c>
    </row>
    <row r="2108" spans="48:48" x14ac:dyDescent="0.25">
      <c r="AV2108" s="22">
        <f t="shared" si="239"/>
        <v>0</v>
      </c>
    </row>
    <row r="2109" spans="48:48" x14ac:dyDescent="0.25">
      <c r="AV2109" s="22">
        <f t="shared" si="239"/>
        <v>0</v>
      </c>
    </row>
    <row r="2110" spans="48:48" x14ac:dyDescent="0.25">
      <c r="AV2110" s="22">
        <f t="shared" si="239"/>
        <v>0</v>
      </c>
    </row>
    <row r="2111" spans="48:48" x14ac:dyDescent="0.25">
      <c r="AV2111" s="22">
        <f t="shared" si="239"/>
        <v>0</v>
      </c>
    </row>
    <row r="2112" spans="48:48" x14ac:dyDescent="0.25">
      <c r="AV2112" s="22">
        <f t="shared" si="239"/>
        <v>0</v>
      </c>
    </row>
    <row r="2113" spans="48:48" x14ac:dyDescent="0.25">
      <c r="AV2113" s="22">
        <f t="shared" si="239"/>
        <v>0</v>
      </c>
    </row>
    <row r="2114" spans="48:48" x14ac:dyDescent="0.25">
      <c r="AV2114" s="22">
        <f t="shared" si="239"/>
        <v>0</v>
      </c>
    </row>
    <row r="2115" spans="48:48" x14ac:dyDescent="0.25">
      <c r="AV2115" s="22">
        <f t="shared" si="239"/>
        <v>0</v>
      </c>
    </row>
    <row r="2116" spans="48:48" x14ac:dyDescent="0.25">
      <c r="AV2116" s="22">
        <f t="shared" si="239"/>
        <v>0</v>
      </c>
    </row>
    <row r="2117" spans="48:48" x14ac:dyDescent="0.25">
      <c r="AV2117" s="22">
        <f t="shared" si="239"/>
        <v>0</v>
      </c>
    </row>
    <row r="2118" spans="48:48" x14ac:dyDescent="0.25">
      <c r="AV2118" s="22">
        <f t="shared" si="239"/>
        <v>0</v>
      </c>
    </row>
    <row r="2119" spans="48:48" x14ac:dyDescent="0.25">
      <c r="AV2119" s="22">
        <f t="shared" si="239"/>
        <v>0</v>
      </c>
    </row>
    <row r="2120" spans="48:48" x14ac:dyDescent="0.25">
      <c r="AV2120" s="22">
        <f t="shared" si="239"/>
        <v>0</v>
      </c>
    </row>
    <row r="2121" spans="48:48" x14ac:dyDescent="0.25">
      <c r="AV2121" s="22">
        <f t="shared" si="239"/>
        <v>0</v>
      </c>
    </row>
    <row r="2122" spans="48:48" x14ac:dyDescent="0.25">
      <c r="AV2122" s="22">
        <f t="shared" si="239"/>
        <v>0</v>
      </c>
    </row>
    <row r="2123" spans="48:48" x14ac:dyDescent="0.25">
      <c r="AV2123" s="22">
        <f t="shared" si="239"/>
        <v>0</v>
      </c>
    </row>
    <row r="2124" spans="48:48" x14ac:dyDescent="0.25">
      <c r="AV2124" s="22">
        <f t="shared" si="239"/>
        <v>0</v>
      </c>
    </row>
    <row r="2125" spans="48:48" x14ac:dyDescent="0.25">
      <c r="AV2125" s="22">
        <f t="shared" si="239"/>
        <v>0</v>
      </c>
    </row>
    <row r="2126" spans="48:48" x14ac:dyDescent="0.25">
      <c r="AV2126" s="22">
        <f t="shared" si="239"/>
        <v>0</v>
      </c>
    </row>
    <row r="2127" spans="48:48" x14ac:dyDescent="0.25">
      <c r="AV2127" s="22">
        <f t="shared" si="239"/>
        <v>0</v>
      </c>
    </row>
    <row r="2128" spans="48:48" x14ac:dyDescent="0.25">
      <c r="AV2128" s="22">
        <f t="shared" si="239"/>
        <v>0</v>
      </c>
    </row>
    <row r="2129" spans="48:48" x14ac:dyDescent="0.25">
      <c r="AV2129" s="22">
        <f t="shared" si="239"/>
        <v>0</v>
      </c>
    </row>
    <row r="2130" spans="48:48" x14ac:dyDescent="0.25">
      <c r="AV2130" s="22">
        <f t="shared" si="239"/>
        <v>0</v>
      </c>
    </row>
    <row r="2131" spans="48:48" x14ac:dyDescent="0.25">
      <c r="AV2131" s="22">
        <f t="shared" si="239"/>
        <v>0</v>
      </c>
    </row>
    <row r="2132" spans="48:48" x14ac:dyDescent="0.25">
      <c r="AV2132" s="22">
        <f t="shared" si="239"/>
        <v>0</v>
      </c>
    </row>
    <row r="2133" spans="48:48" x14ac:dyDescent="0.25">
      <c r="AV2133" s="22">
        <f t="shared" si="239"/>
        <v>0</v>
      </c>
    </row>
    <row r="2134" spans="48:48" x14ac:dyDescent="0.25">
      <c r="AV2134" s="22">
        <f t="shared" si="239"/>
        <v>0</v>
      </c>
    </row>
    <row r="2135" spans="48:48" x14ac:dyDescent="0.25">
      <c r="AV2135" s="22">
        <f t="shared" si="239"/>
        <v>0</v>
      </c>
    </row>
    <row r="2136" spans="48:48" x14ac:dyDescent="0.25">
      <c r="AV2136" s="22">
        <f t="shared" si="239"/>
        <v>0</v>
      </c>
    </row>
    <row r="2137" spans="48:48" x14ac:dyDescent="0.25">
      <c r="AV2137" s="22">
        <f t="shared" si="239"/>
        <v>0</v>
      </c>
    </row>
    <row r="2138" spans="48:48" x14ac:dyDescent="0.25">
      <c r="AV2138" s="22">
        <f t="shared" si="239"/>
        <v>0</v>
      </c>
    </row>
    <row r="2139" spans="48:48" x14ac:dyDescent="0.25">
      <c r="AV2139" s="22">
        <f t="shared" si="239"/>
        <v>0</v>
      </c>
    </row>
    <row r="2140" spans="48:48" x14ac:dyDescent="0.25">
      <c r="AV2140" s="22">
        <f t="shared" si="239"/>
        <v>0</v>
      </c>
    </row>
    <row r="2141" spans="48:48" x14ac:dyDescent="0.25">
      <c r="AV2141" s="22">
        <f t="shared" si="239"/>
        <v>0</v>
      </c>
    </row>
    <row r="2142" spans="48:48" x14ac:dyDescent="0.25">
      <c r="AV2142" s="22">
        <f t="shared" si="239"/>
        <v>0</v>
      </c>
    </row>
    <row r="2143" spans="48:48" x14ac:dyDescent="0.25">
      <c r="AV2143" s="22">
        <f t="shared" si="239"/>
        <v>0</v>
      </c>
    </row>
    <row r="2144" spans="48:48" x14ac:dyDescent="0.25">
      <c r="AV2144" s="22">
        <f t="shared" si="239"/>
        <v>0</v>
      </c>
    </row>
    <row r="2145" spans="48:48" x14ac:dyDescent="0.25">
      <c r="AV2145" s="22">
        <f t="shared" si="239"/>
        <v>0</v>
      </c>
    </row>
    <row r="2146" spans="48:48" x14ac:dyDescent="0.25">
      <c r="AV2146" s="22">
        <f t="shared" si="239"/>
        <v>0</v>
      </c>
    </row>
    <row r="2147" spans="48:48" x14ac:dyDescent="0.25">
      <c r="AV2147" s="22">
        <f t="shared" si="239"/>
        <v>0</v>
      </c>
    </row>
    <row r="2148" spans="48:48" x14ac:dyDescent="0.25">
      <c r="AV2148" s="22">
        <f t="shared" si="239"/>
        <v>0</v>
      </c>
    </row>
    <row r="2149" spans="48:48" x14ac:dyDescent="0.25">
      <c r="AV2149" s="22">
        <f t="shared" ref="AV2149:AV2212" si="240">SUM(I2149:AU2149)</f>
        <v>0</v>
      </c>
    </row>
    <row r="2150" spans="48:48" x14ac:dyDescent="0.25">
      <c r="AV2150" s="22">
        <f t="shared" si="240"/>
        <v>0</v>
      </c>
    </row>
    <row r="2151" spans="48:48" x14ac:dyDescent="0.25">
      <c r="AV2151" s="22">
        <f t="shared" si="240"/>
        <v>0</v>
      </c>
    </row>
    <row r="2152" spans="48:48" x14ac:dyDescent="0.25">
      <c r="AV2152" s="22">
        <f t="shared" si="240"/>
        <v>0</v>
      </c>
    </row>
    <row r="2153" spans="48:48" x14ac:dyDescent="0.25">
      <c r="AV2153" s="22">
        <f t="shared" si="240"/>
        <v>0</v>
      </c>
    </row>
    <row r="2154" spans="48:48" x14ac:dyDescent="0.25">
      <c r="AV2154" s="22">
        <f t="shared" si="240"/>
        <v>0</v>
      </c>
    </row>
    <row r="2155" spans="48:48" x14ac:dyDescent="0.25">
      <c r="AV2155" s="22">
        <f t="shared" si="240"/>
        <v>0</v>
      </c>
    </row>
    <row r="2156" spans="48:48" x14ac:dyDescent="0.25">
      <c r="AV2156" s="22">
        <f t="shared" si="240"/>
        <v>0</v>
      </c>
    </row>
    <row r="2157" spans="48:48" x14ac:dyDescent="0.25">
      <c r="AV2157" s="22">
        <f t="shared" si="240"/>
        <v>0</v>
      </c>
    </row>
    <row r="2158" spans="48:48" x14ac:dyDescent="0.25">
      <c r="AV2158" s="22">
        <f t="shared" si="240"/>
        <v>0</v>
      </c>
    </row>
    <row r="2159" spans="48:48" x14ac:dyDescent="0.25">
      <c r="AV2159" s="22">
        <f t="shared" si="240"/>
        <v>0</v>
      </c>
    </row>
    <row r="2160" spans="48:48" x14ac:dyDescent="0.25">
      <c r="AV2160" s="22">
        <f t="shared" si="240"/>
        <v>0</v>
      </c>
    </row>
    <row r="2161" spans="48:48" x14ac:dyDescent="0.25">
      <c r="AV2161" s="22">
        <f t="shared" si="240"/>
        <v>0</v>
      </c>
    </row>
    <row r="2162" spans="48:48" x14ac:dyDescent="0.25">
      <c r="AV2162" s="22">
        <f t="shared" si="240"/>
        <v>0</v>
      </c>
    </row>
    <row r="2163" spans="48:48" x14ac:dyDescent="0.25">
      <c r="AV2163" s="22">
        <f t="shared" si="240"/>
        <v>0</v>
      </c>
    </row>
    <row r="2164" spans="48:48" x14ac:dyDescent="0.25">
      <c r="AV2164" s="22">
        <f t="shared" si="240"/>
        <v>0</v>
      </c>
    </row>
    <row r="2165" spans="48:48" x14ac:dyDescent="0.25">
      <c r="AV2165" s="22">
        <f t="shared" si="240"/>
        <v>0</v>
      </c>
    </row>
    <row r="2166" spans="48:48" x14ac:dyDescent="0.25">
      <c r="AV2166" s="22">
        <f t="shared" si="240"/>
        <v>0</v>
      </c>
    </row>
    <row r="2167" spans="48:48" x14ac:dyDescent="0.25">
      <c r="AV2167" s="22">
        <f t="shared" si="240"/>
        <v>0</v>
      </c>
    </row>
    <row r="2168" spans="48:48" x14ac:dyDescent="0.25">
      <c r="AV2168" s="22">
        <f t="shared" si="240"/>
        <v>0</v>
      </c>
    </row>
    <row r="2169" spans="48:48" x14ac:dyDescent="0.25">
      <c r="AV2169" s="22">
        <f t="shared" si="240"/>
        <v>0</v>
      </c>
    </row>
    <row r="2170" spans="48:48" x14ac:dyDescent="0.25">
      <c r="AV2170" s="22">
        <f t="shared" si="240"/>
        <v>0</v>
      </c>
    </row>
    <row r="2171" spans="48:48" x14ac:dyDescent="0.25">
      <c r="AV2171" s="22">
        <f t="shared" si="240"/>
        <v>0</v>
      </c>
    </row>
    <row r="2172" spans="48:48" x14ac:dyDescent="0.25">
      <c r="AV2172" s="22">
        <f t="shared" si="240"/>
        <v>0</v>
      </c>
    </row>
    <row r="2173" spans="48:48" x14ac:dyDescent="0.25">
      <c r="AV2173" s="22">
        <f t="shared" si="240"/>
        <v>0</v>
      </c>
    </row>
    <row r="2174" spans="48:48" x14ac:dyDescent="0.25">
      <c r="AV2174" s="22">
        <f t="shared" si="240"/>
        <v>0</v>
      </c>
    </row>
    <row r="2175" spans="48:48" x14ac:dyDescent="0.25">
      <c r="AV2175" s="22">
        <f t="shared" si="240"/>
        <v>0</v>
      </c>
    </row>
    <row r="2176" spans="48:48" x14ac:dyDescent="0.25">
      <c r="AV2176" s="22">
        <f t="shared" si="240"/>
        <v>0</v>
      </c>
    </row>
    <row r="2177" spans="48:48" x14ac:dyDescent="0.25">
      <c r="AV2177" s="22">
        <f t="shared" si="240"/>
        <v>0</v>
      </c>
    </row>
    <row r="2178" spans="48:48" x14ac:dyDescent="0.25">
      <c r="AV2178" s="22">
        <f t="shared" si="240"/>
        <v>0</v>
      </c>
    </row>
    <row r="2179" spans="48:48" x14ac:dyDescent="0.25">
      <c r="AV2179" s="22">
        <f t="shared" si="240"/>
        <v>0</v>
      </c>
    </row>
    <row r="2180" spans="48:48" x14ac:dyDescent="0.25">
      <c r="AV2180" s="22">
        <f t="shared" si="240"/>
        <v>0</v>
      </c>
    </row>
    <row r="2181" spans="48:48" x14ac:dyDescent="0.25">
      <c r="AV2181" s="22">
        <f t="shared" si="240"/>
        <v>0</v>
      </c>
    </row>
    <row r="2182" spans="48:48" x14ac:dyDescent="0.25">
      <c r="AV2182" s="22">
        <f t="shared" si="240"/>
        <v>0</v>
      </c>
    </row>
    <row r="2183" spans="48:48" x14ac:dyDescent="0.25">
      <c r="AV2183" s="22">
        <f t="shared" si="240"/>
        <v>0</v>
      </c>
    </row>
    <row r="2184" spans="48:48" x14ac:dyDescent="0.25">
      <c r="AV2184" s="22">
        <f t="shared" si="240"/>
        <v>0</v>
      </c>
    </row>
    <row r="2185" spans="48:48" x14ac:dyDescent="0.25">
      <c r="AV2185" s="22">
        <f t="shared" si="240"/>
        <v>0</v>
      </c>
    </row>
    <row r="2186" spans="48:48" x14ac:dyDescent="0.25">
      <c r="AV2186" s="22">
        <f t="shared" si="240"/>
        <v>0</v>
      </c>
    </row>
    <row r="2187" spans="48:48" x14ac:dyDescent="0.25">
      <c r="AV2187" s="22">
        <f t="shared" si="240"/>
        <v>0</v>
      </c>
    </row>
    <row r="2188" spans="48:48" x14ac:dyDescent="0.25">
      <c r="AV2188" s="22">
        <f t="shared" si="240"/>
        <v>0</v>
      </c>
    </row>
    <row r="2189" spans="48:48" x14ac:dyDescent="0.25">
      <c r="AV2189" s="22">
        <f t="shared" si="240"/>
        <v>0</v>
      </c>
    </row>
    <row r="2190" spans="48:48" x14ac:dyDescent="0.25">
      <c r="AV2190" s="22">
        <f t="shared" si="240"/>
        <v>0</v>
      </c>
    </row>
    <row r="2191" spans="48:48" x14ac:dyDescent="0.25">
      <c r="AV2191" s="22">
        <f t="shared" si="240"/>
        <v>0</v>
      </c>
    </row>
    <row r="2192" spans="48:48" x14ac:dyDescent="0.25">
      <c r="AV2192" s="22">
        <f t="shared" si="240"/>
        <v>0</v>
      </c>
    </row>
    <row r="2193" spans="48:48" x14ac:dyDescent="0.25">
      <c r="AV2193" s="22">
        <f t="shared" si="240"/>
        <v>0</v>
      </c>
    </row>
    <row r="2194" spans="48:48" x14ac:dyDescent="0.25">
      <c r="AV2194" s="22">
        <f t="shared" si="240"/>
        <v>0</v>
      </c>
    </row>
    <row r="2195" spans="48:48" x14ac:dyDescent="0.25">
      <c r="AV2195" s="22">
        <f t="shared" si="240"/>
        <v>0</v>
      </c>
    </row>
    <row r="2196" spans="48:48" x14ac:dyDescent="0.25">
      <c r="AV2196" s="22">
        <f t="shared" si="240"/>
        <v>0</v>
      </c>
    </row>
    <row r="2197" spans="48:48" x14ac:dyDescent="0.25">
      <c r="AV2197" s="22">
        <f t="shared" si="240"/>
        <v>0</v>
      </c>
    </row>
    <row r="2198" spans="48:48" x14ac:dyDescent="0.25">
      <c r="AV2198" s="22">
        <f t="shared" si="240"/>
        <v>0</v>
      </c>
    </row>
    <row r="2199" spans="48:48" x14ac:dyDescent="0.25">
      <c r="AV2199" s="22">
        <f t="shared" si="240"/>
        <v>0</v>
      </c>
    </row>
    <row r="2200" spans="48:48" x14ac:dyDescent="0.25">
      <c r="AV2200" s="22">
        <f t="shared" si="240"/>
        <v>0</v>
      </c>
    </row>
    <row r="2201" spans="48:48" x14ac:dyDescent="0.25">
      <c r="AV2201" s="22">
        <f t="shared" si="240"/>
        <v>0</v>
      </c>
    </row>
    <row r="2202" spans="48:48" x14ac:dyDescent="0.25">
      <c r="AV2202" s="22">
        <f t="shared" si="240"/>
        <v>0</v>
      </c>
    </row>
    <row r="2203" spans="48:48" x14ac:dyDescent="0.25">
      <c r="AV2203" s="22">
        <f t="shared" si="240"/>
        <v>0</v>
      </c>
    </row>
    <row r="2204" spans="48:48" x14ac:dyDescent="0.25">
      <c r="AV2204" s="22">
        <f t="shared" si="240"/>
        <v>0</v>
      </c>
    </row>
    <row r="2205" spans="48:48" x14ac:dyDescent="0.25">
      <c r="AV2205" s="22">
        <f t="shared" si="240"/>
        <v>0</v>
      </c>
    </row>
    <row r="2206" spans="48:48" x14ac:dyDescent="0.25">
      <c r="AV2206" s="22">
        <f t="shared" si="240"/>
        <v>0</v>
      </c>
    </row>
    <row r="2207" spans="48:48" x14ac:dyDescent="0.25">
      <c r="AV2207" s="22">
        <f t="shared" si="240"/>
        <v>0</v>
      </c>
    </row>
    <row r="2208" spans="48:48" x14ac:dyDescent="0.25">
      <c r="AV2208" s="22">
        <f t="shared" si="240"/>
        <v>0</v>
      </c>
    </row>
    <row r="2209" spans="48:48" x14ac:dyDescent="0.25">
      <c r="AV2209" s="22">
        <f t="shared" si="240"/>
        <v>0</v>
      </c>
    </row>
    <row r="2210" spans="48:48" x14ac:dyDescent="0.25">
      <c r="AV2210" s="22">
        <f t="shared" si="240"/>
        <v>0</v>
      </c>
    </row>
    <row r="2211" spans="48:48" x14ac:dyDescent="0.25">
      <c r="AV2211" s="22">
        <f t="shared" si="240"/>
        <v>0</v>
      </c>
    </row>
    <row r="2212" spans="48:48" x14ac:dyDescent="0.25">
      <c r="AV2212" s="22">
        <f t="shared" si="240"/>
        <v>0</v>
      </c>
    </row>
    <row r="2213" spans="48:48" x14ac:dyDescent="0.25">
      <c r="AV2213" s="22">
        <f t="shared" ref="AV2213:AV2276" si="241">SUM(I2213:AU2213)</f>
        <v>0</v>
      </c>
    </row>
    <row r="2214" spans="48:48" x14ac:dyDescent="0.25">
      <c r="AV2214" s="22">
        <f t="shared" si="241"/>
        <v>0</v>
      </c>
    </row>
    <row r="2215" spans="48:48" x14ac:dyDescent="0.25">
      <c r="AV2215" s="22">
        <f t="shared" si="241"/>
        <v>0</v>
      </c>
    </row>
    <row r="2216" spans="48:48" x14ac:dyDescent="0.25">
      <c r="AV2216" s="22">
        <f t="shared" si="241"/>
        <v>0</v>
      </c>
    </row>
    <row r="2217" spans="48:48" x14ac:dyDescent="0.25">
      <c r="AV2217" s="22">
        <f t="shared" si="241"/>
        <v>0</v>
      </c>
    </row>
    <row r="2218" spans="48:48" x14ac:dyDescent="0.25">
      <c r="AV2218" s="22">
        <f t="shared" si="241"/>
        <v>0</v>
      </c>
    </row>
    <row r="2219" spans="48:48" x14ac:dyDescent="0.25">
      <c r="AV2219" s="22">
        <f t="shared" si="241"/>
        <v>0</v>
      </c>
    </row>
    <row r="2220" spans="48:48" x14ac:dyDescent="0.25">
      <c r="AV2220" s="22">
        <f t="shared" si="241"/>
        <v>0</v>
      </c>
    </row>
    <row r="2221" spans="48:48" x14ac:dyDescent="0.25">
      <c r="AV2221" s="22">
        <f t="shared" si="241"/>
        <v>0</v>
      </c>
    </row>
    <row r="2222" spans="48:48" x14ac:dyDescent="0.25">
      <c r="AV2222" s="22">
        <f t="shared" si="241"/>
        <v>0</v>
      </c>
    </row>
    <row r="2223" spans="48:48" x14ac:dyDescent="0.25">
      <c r="AV2223" s="22">
        <f t="shared" si="241"/>
        <v>0</v>
      </c>
    </row>
    <row r="2224" spans="48:48" x14ac:dyDescent="0.25">
      <c r="AV2224" s="22">
        <f t="shared" si="241"/>
        <v>0</v>
      </c>
    </row>
    <row r="2225" spans="48:48" x14ac:dyDescent="0.25">
      <c r="AV2225" s="22">
        <f t="shared" si="241"/>
        <v>0</v>
      </c>
    </row>
    <row r="2226" spans="48:48" x14ac:dyDescent="0.25">
      <c r="AV2226" s="22">
        <f t="shared" si="241"/>
        <v>0</v>
      </c>
    </row>
    <row r="2227" spans="48:48" x14ac:dyDescent="0.25">
      <c r="AV2227" s="22">
        <f t="shared" si="241"/>
        <v>0</v>
      </c>
    </row>
    <row r="2228" spans="48:48" x14ac:dyDescent="0.25">
      <c r="AV2228" s="22">
        <f t="shared" si="241"/>
        <v>0</v>
      </c>
    </row>
    <row r="2229" spans="48:48" x14ac:dyDescent="0.25">
      <c r="AV2229" s="22">
        <f t="shared" si="241"/>
        <v>0</v>
      </c>
    </row>
    <row r="2230" spans="48:48" x14ac:dyDescent="0.25">
      <c r="AV2230" s="22">
        <f t="shared" si="241"/>
        <v>0</v>
      </c>
    </row>
    <row r="2231" spans="48:48" x14ac:dyDescent="0.25">
      <c r="AV2231" s="22">
        <f t="shared" si="241"/>
        <v>0</v>
      </c>
    </row>
    <row r="2232" spans="48:48" x14ac:dyDescent="0.25">
      <c r="AV2232" s="22">
        <f t="shared" si="241"/>
        <v>0</v>
      </c>
    </row>
    <row r="2233" spans="48:48" x14ac:dyDescent="0.25">
      <c r="AV2233" s="22">
        <f t="shared" si="241"/>
        <v>0</v>
      </c>
    </row>
    <row r="2234" spans="48:48" x14ac:dyDescent="0.25">
      <c r="AV2234" s="22">
        <f t="shared" si="241"/>
        <v>0</v>
      </c>
    </row>
    <row r="2235" spans="48:48" x14ac:dyDescent="0.25">
      <c r="AV2235" s="22">
        <f t="shared" si="241"/>
        <v>0</v>
      </c>
    </row>
    <row r="2236" spans="48:48" x14ac:dyDescent="0.25">
      <c r="AV2236" s="22">
        <f t="shared" si="241"/>
        <v>0</v>
      </c>
    </row>
    <row r="2237" spans="48:48" x14ac:dyDescent="0.25">
      <c r="AV2237" s="22">
        <f t="shared" si="241"/>
        <v>0</v>
      </c>
    </row>
    <row r="2238" spans="48:48" x14ac:dyDescent="0.25">
      <c r="AV2238" s="22">
        <f t="shared" si="241"/>
        <v>0</v>
      </c>
    </row>
    <row r="2239" spans="48:48" x14ac:dyDescent="0.25">
      <c r="AV2239" s="22">
        <f t="shared" si="241"/>
        <v>0</v>
      </c>
    </row>
    <row r="2240" spans="48:48" x14ac:dyDescent="0.25">
      <c r="AV2240" s="22">
        <f t="shared" si="241"/>
        <v>0</v>
      </c>
    </row>
    <row r="2241" spans="48:48" x14ac:dyDescent="0.25">
      <c r="AV2241" s="22">
        <f t="shared" si="241"/>
        <v>0</v>
      </c>
    </row>
    <row r="2242" spans="48:48" x14ac:dyDescent="0.25">
      <c r="AV2242" s="22">
        <f t="shared" si="241"/>
        <v>0</v>
      </c>
    </row>
    <row r="2243" spans="48:48" x14ac:dyDescent="0.25">
      <c r="AV2243" s="22">
        <f t="shared" si="241"/>
        <v>0</v>
      </c>
    </row>
    <row r="2244" spans="48:48" x14ac:dyDescent="0.25">
      <c r="AV2244" s="22">
        <f t="shared" si="241"/>
        <v>0</v>
      </c>
    </row>
    <row r="2245" spans="48:48" x14ac:dyDescent="0.25">
      <c r="AV2245" s="22">
        <f t="shared" si="241"/>
        <v>0</v>
      </c>
    </row>
    <row r="2246" spans="48:48" x14ac:dyDescent="0.25">
      <c r="AV2246" s="22">
        <f t="shared" si="241"/>
        <v>0</v>
      </c>
    </row>
    <row r="2247" spans="48:48" x14ac:dyDescent="0.25">
      <c r="AV2247" s="22">
        <f t="shared" si="241"/>
        <v>0</v>
      </c>
    </row>
    <row r="2248" spans="48:48" x14ac:dyDescent="0.25">
      <c r="AV2248" s="22">
        <f t="shared" si="241"/>
        <v>0</v>
      </c>
    </row>
    <row r="2249" spans="48:48" x14ac:dyDescent="0.25">
      <c r="AV2249" s="22">
        <f t="shared" si="241"/>
        <v>0</v>
      </c>
    </row>
    <row r="2250" spans="48:48" x14ac:dyDescent="0.25">
      <c r="AV2250" s="22">
        <f t="shared" si="241"/>
        <v>0</v>
      </c>
    </row>
    <row r="2251" spans="48:48" x14ac:dyDescent="0.25">
      <c r="AV2251" s="22">
        <f t="shared" si="241"/>
        <v>0</v>
      </c>
    </row>
    <row r="2252" spans="48:48" x14ac:dyDescent="0.25">
      <c r="AV2252" s="22">
        <f t="shared" si="241"/>
        <v>0</v>
      </c>
    </row>
    <row r="2253" spans="48:48" x14ac:dyDescent="0.25">
      <c r="AV2253" s="22">
        <f t="shared" si="241"/>
        <v>0</v>
      </c>
    </row>
    <row r="2254" spans="48:48" x14ac:dyDescent="0.25">
      <c r="AV2254" s="22">
        <f t="shared" si="241"/>
        <v>0</v>
      </c>
    </row>
    <row r="2255" spans="48:48" x14ac:dyDescent="0.25">
      <c r="AV2255" s="22">
        <f t="shared" si="241"/>
        <v>0</v>
      </c>
    </row>
    <row r="2256" spans="48:48" x14ac:dyDescent="0.25">
      <c r="AV2256" s="22">
        <f t="shared" si="241"/>
        <v>0</v>
      </c>
    </row>
    <row r="2257" spans="48:48" x14ac:dyDescent="0.25">
      <c r="AV2257" s="22">
        <f t="shared" si="241"/>
        <v>0</v>
      </c>
    </row>
    <row r="2258" spans="48:48" x14ac:dyDescent="0.25">
      <c r="AV2258" s="22">
        <f t="shared" si="241"/>
        <v>0</v>
      </c>
    </row>
    <row r="2259" spans="48:48" x14ac:dyDescent="0.25">
      <c r="AV2259" s="22">
        <f t="shared" si="241"/>
        <v>0</v>
      </c>
    </row>
    <row r="2260" spans="48:48" x14ac:dyDescent="0.25">
      <c r="AV2260" s="22">
        <f t="shared" si="241"/>
        <v>0</v>
      </c>
    </row>
    <row r="2261" spans="48:48" x14ac:dyDescent="0.25">
      <c r="AV2261" s="22">
        <f t="shared" si="241"/>
        <v>0</v>
      </c>
    </row>
    <row r="2262" spans="48:48" x14ac:dyDescent="0.25">
      <c r="AV2262" s="22">
        <f t="shared" si="241"/>
        <v>0</v>
      </c>
    </row>
    <row r="2263" spans="48:48" x14ac:dyDescent="0.25">
      <c r="AV2263" s="22">
        <f t="shared" si="241"/>
        <v>0</v>
      </c>
    </row>
    <row r="2264" spans="48:48" x14ac:dyDescent="0.25">
      <c r="AV2264" s="22">
        <f t="shared" si="241"/>
        <v>0</v>
      </c>
    </row>
    <row r="2265" spans="48:48" x14ac:dyDescent="0.25">
      <c r="AV2265" s="22">
        <f t="shared" si="241"/>
        <v>0</v>
      </c>
    </row>
    <row r="2266" spans="48:48" x14ac:dyDescent="0.25">
      <c r="AV2266" s="22">
        <f t="shared" si="241"/>
        <v>0</v>
      </c>
    </row>
    <row r="2267" spans="48:48" x14ac:dyDescent="0.25">
      <c r="AV2267" s="22">
        <f t="shared" si="241"/>
        <v>0</v>
      </c>
    </row>
    <row r="2268" spans="48:48" x14ac:dyDescent="0.25">
      <c r="AV2268" s="22">
        <f t="shared" si="241"/>
        <v>0</v>
      </c>
    </row>
    <row r="2269" spans="48:48" x14ac:dyDescent="0.25">
      <c r="AV2269" s="22">
        <f t="shared" si="241"/>
        <v>0</v>
      </c>
    </row>
    <row r="2270" spans="48:48" x14ac:dyDescent="0.25">
      <c r="AV2270" s="22">
        <f t="shared" si="241"/>
        <v>0</v>
      </c>
    </row>
    <row r="2271" spans="48:48" x14ac:dyDescent="0.25">
      <c r="AV2271" s="22">
        <f t="shared" si="241"/>
        <v>0</v>
      </c>
    </row>
    <row r="2272" spans="48:48" x14ac:dyDescent="0.25">
      <c r="AV2272" s="22">
        <f t="shared" si="241"/>
        <v>0</v>
      </c>
    </row>
    <row r="2273" spans="48:48" x14ac:dyDescent="0.25">
      <c r="AV2273" s="22">
        <f t="shared" si="241"/>
        <v>0</v>
      </c>
    </row>
    <row r="2274" spans="48:48" x14ac:dyDescent="0.25">
      <c r="AV2274" s="22">
        <f t="shared" si="241"/>
        <v>0</v>
      </c>
    </row>
    <row r="2275" spans="48:48" x14ac:dyDescent="0.25">
      <c r="AV2275" s="22">
        <f t="shared" si="241"/>
        <v>0</v>
      </c>
    </row>
    <row r="2276" spans="48:48" x14ac:dyDescent="0.25">
      <c r="AV2276" s="22">
        <f t="shared" si="241"/>
        <v>0</v>
      </c>
    </row>
    <row r="2277" spans="48:48" x14ac:dyDescent="0.25">
      <c r="AV2277" s="22">
        <f t="shared" ref="AV2277:AV2340" si="242">SUM(I2277:AU2277)</f>
        <v>0</v>
      </c>
    </row>
    <row r="2278" spans="48:48" x14ac:dyDescent="0.25">
      <c r="AV2278" s="22">
        <f t="shared" si="242"/>
        <v>0</v>
      </c>
    </row>
    <row r="2279" spans="48:48" x14ac:dyDescent="0.25">
      <c r="AV2279" s="22">
        <f t="shared" si="242"/>
        <v>0</v>
      </c>
    </row>
    <row r="2280" spans="48:48" x14ac:dyDescent="0.25">
      <c r="AV2280" s="22">
        <f t="shared" si="242"/>
        <v>0</v>
      </c>
    </row>
    <row r="2281" spans="48:48" x14ac:dyDescent="0.25">
      <c r="AV2281" s="22">
        <f t="shared" si="242"/>
        <v>0</v>
      </c>
    </row>
    <row r="2282" spans="48:48" x14ac:dyDescent="0.25">
      <c r="AV2282" s="22">
        <f t="shared" si="242"/>
        <v>0</v>
      </c>
    </row>
    <row r="2283" spans="48:48" x14ac:dyDescent="0.25">
      <c r="AV2283" s="22">
        <f t="shared" si="242"/>
        <v>0</v>
      </c>
    </row>
    <row r="2284" spans="48:48" x14ac:dyDescent="0.25">
      <c r="AV2284" s="22">
        <f t="shared" si="242"/>
        <v>0</v>
      </c>
    </row>
    <row r="2285" spans="48:48" x14ac:dyDescent="0.25">
      <c r="AV2285" s="22">
        <f t="shared" si="242"/>
        <v>0</v>
      </c>
    </row>
    <row r="2286" spans="48:48" x14ac:dyDescent="0.25">
      <c r="AV2286" s="22">
        <f t="shared" si="242"/>
        <v>0</v>
      </c>
    </row>
    <row r="2287" spans="48:48" x14ac:dyDescent="0.25">
      <c r="AV2287" s="22">
        <f t="shared" si="242"/>
        <v>0</v>
      </c>
    </row>
    <row r="2288" spans="48:48" x14ac:dyDescent="0.25">
      <c r="AV2288" s="22">
        <f t="shared" si="242"/>
        <v>0</v>
      </c>
    </row>
    <row r="2289" spans="48:48" x14ac:dyDescent="0.25">
      <c r="AV2289" s="22">
        <f t="shared" si="242"/>
        <v>0</v>
      </c>
    </row>
    <row r="2290" spans="48:48" x14ac:dyDescent="0.25">
      <c r="AV2290" s="22">
        <f t="shared" si="242"/>
        <v>0</v>
      </c>
    </row>
    <row r="2291" spans="48:48" x14ac:dyDescent="0.25">
      <c r="AV2291" s="22">
        <f t="shared" si="242"/>
        <v>0</v>
      </c>
    </row>
    <row r="2292" spans="48:48" x14ac:dyDescent="0.25">
      <c r="AV2292" s="22">
        <f t="shared" si="242"/>
        <v>0</v>
      </c>
    </row>
    <row r="2293" spans="48:48" x14ac:dyDescent="0.25">
      <c r="AV2293" s="22">
        <f t="shared" si="242"/>
        <v>0</v>
      </c>
    </row>
    <row r="2294" spans="48:48" x14ac:dyDescent="0.25">
      <c r="AV2294" s="22">
        <f t="shared" si="242"/>
        <v>0</v>
      </c>
    </row>
    <row r="2295" spans="48:48" x14ac:dyDescent="0.25">
      <c r="AV2295" s="22">
        <f t="shared" si="242"/>
        <v>0</v>
      </c>
    </row>
    <row r="2296" spans="48:48" x14ac:dyDescent="0.25">
      <c r="AV2296" s="22">
        <f t="shared" si="242"/>
        <v>0</v>
      </c>
    </row>
    <row r="2297" spans="48:48" x14ac:dyDescent="0.25">
      <c r="AV2297" s="22">
        <f t="shared" si="242"/>
        <v>0</v>
      </c>
    </row>
    <row r="2298" spans="48:48" x14ac:dyDescent="0.25">
      <c r="AV2298" s="22">
        <f t="shared" si="242"/>
        <v>0</v>
      </c>
    </row>
    <row r="2299" spans="48:48" x14ac:dyDescent="0.25">
      <c r="AV2299" s="22">
        <f t="shared" si="242"/>
        <v>0</v>
      </c>
    </row>
    <row r="2300" spans="48:48" x14ac:dyDescent="0.25">
      <c r="AV2300" s="22">
        <f t="shared" si="242"/>
        <v>0</v>
      </c>
    </row>
    <row r="2301" spans="48:48" x14ac:dyDescent="0.25">
      <c r="AV2301" s="22">
        <f t="shared" si="242"/>
        <v>0</v>
      </c>
    </row>
    <row r="2302" spans="48:48" x14ac:dyDescent="0.25">
      <c r="AV2302" s="22">
        <f t="shared" si="242"/>
        <v>0</v>
      </c>
    </row>
    <row r="2303" spans="48:48" x14ac:dyDescent="0.25">
      <c r="AV2303" s="22">
        <f t="shared" si="242"/>
        <v>0</v>
      </c>
    </row>
    <row r="2304" spans="48:48" x14ac:dyDescent="0.25">
      <c r="AV2304" s="22">
        <f t="shared" si="242"/>
        <v>0</v>
      </c>
    </row>
    <row r="2305" spans="48:48" x14ac:dyDescent="0.25">
      <c r="AV2305" s="22">
        <f t="shared" si="242"/>
        <v>0</v>
      </c>
    </row>
    <row r="2306" spans="48:48" x14ac:dyDescent="0.25">
      <c r="AV2306" s="22">
        <f t="shared" si="242"/>
        <v>0</v>
      </c>
    </row>
    <row r="2307" spans="48:48" x14ac:dyDescent="0.25">
      <c r="AV2307" s="22">
        <f t="shared" si="242"/>
        <v>0</v>
      </c>
    </row>
    <row r="2308" spans="48:48" x14ac:dyDescent="0.25">
      <c r="AV2308" s="22">
        <f t="shared" si="242"/>
        <v>0</v>
      </c>
    </row>
    <row r="2309" spans="48:48" x14ac:dyDescent="0.25">
      <c r="AV2309" s="22">
        <f t="shared" si="242"/>
        <v>0</v>
      </c>
    </row>
    <row r="2310" spans="48:48" x14ac:dyDescent="0.25">
      <c r="AV2310" s="22">
        <f t="shared" si="242"/>
        <v>0</v>
      </c>
    </row>
    <row r="2311" spans="48:48" x14ac:dyDescent="0.25">
      <c r="AV2311" s="22">
        <f t="shared" si="242"/>
        <v>0</v>
      </c>
    </row>
    <row r="2312" spans="48:48" x14ac:dyDescent="0.25">
      <c r="AV2312" s="22">
        <f t="shared" si="242"/>
        <v>0</v>
      </c>
    </row>
    <row r="2313" spans="48:48" x14ac:dyDescent="0.25">
      <c r="AV2313" s="22">
        <f t="shared" si="242"/>
        <v>0</v>
      </c>
    </row>
    <row r="2314" spans="48:48" x14ac:dyDescent="0.25">
      <c r="AV2314" s="22">
        <f t="shared" si="242"/>
        <v>0</v>
      </c>
    </row>
    <row r="2315" spans="48:48" x14ac:dyDescent="0.25">
      <c r="AV2315" s="22">
        <f t="shared" si="242"/>
        <v>0</v>
      </c>
    </row>
    <row r="2316" spans="48:48" x14ac:dyDescent="0.25">
      <c r="AV2316" s="22">
        <f t="shared" si="242"/>
        <v>0</v>
      </c>
    </row>
    <row r="2317" spans="48:48" x14ac:dyDescent="0.25">
      <c r="AV2317" s="22">
        <f t="shared" si="242"/>
        <v>0</v>
      </c>
    </row>
    <row r="2318" spans="48:48" x14ac:dyDescent="0.25">
      <c r="AV2318" s="22">
        <f t="shared" si="242"/>
        <v>0</v>
      </c>
    </row>
    <row r="2319" spans="48:48" x14ac:dyDescent="0.25">
      <c r="AV2319" s="22">
        <f t="shared" si="242"/>
        <v>0</v>
      </c>
    </row>
    <row r="2320" spans="48:48" x14ac:dyDescent="0.25">
      <c r="AV2320" s="22">
        <f t="shared" si="242"/>
        <v>0</v>
      </c>
    </row>
    <row r="2321" spans="48:48" x14ac:dyDescent="0.25">
      <c r="AV2321" s="22">
        <f t="shared" si="242"/>
        <v>0</v>
      </c>
    </row>
    <row r="2322" spans="48:48" x14ac:dyDescent="0.25">
      <c r="AV2322" s="22">
        <f t="shared" si="242"/>
        <v>0</v>
      </c>
    </row>
    <row r="2323" spans="48:48" x14ac:dyDescent="0.25">
      <c r="AV2323" s="22">
        <f t="shared" si="242"/>
        <v>0</v>
      </c>
    </row>
    <row r="2324" spans="48:48" x14ac:dyDescent="0.25">
      <c r="AV2324" s="22">
        <f t="shared" si="242"/>
        <v>0</v>
      </c>
    </row>
    <row r="2325" spans="48:48" x14ac:dyDescent="0.25">
      <c r="AV2325" s="22">
        <f t="shared" si="242"/>
        <v>0</v>
      </c>
    </row>
    <row r="2326" spans="48:48" x14ac:dyDescent="0.25">
      <c r="AV2326" s="22">
        <f t="shared" si="242"/>
        <v>0</v>
      </c>
    </row>
    <row r="2327" spans="48:48" x14ac:dyDescent="0.25">
      <c r="AV2327" s="22">
        <f t="shared" si="242"/>
        <v>0</v>
      </c>
    </row>
    <row r="2328" spans="48:48" x14ac:dyDescent="0.25">
      <c r="AV2328" s="22">
        <f t="shared" si="242"/>
        <v>0</v>
      </c>
    </row>
    <row r="2329" spans="48:48" x14ac:dyDescent="0.25">
      <c r="AV2329" s="22">
        <f t="shared" si="242"/>
        <v>0</v>
      </c>
    </row>
    <row r="2330" spans="48:48" x14ac:dyDescent="0.25">
      <c r="AV2330" s="22">
        <f t="shared" si="242"/>
        <v>0</v>
      </c>
    </row>
    <row r="2331" spans="48:48" x14ac:dyDescent="0.25">
      <c r="AV2331" s="22">
        <f t="shared" si="242"/>
        <v>0</v>
      </c>
    </row>
    <row r="2332" spans="48:48" x14ac:dyDescent="0.25">
      <c r="AV2332" s="22">
        <f t="shared" si="242"/>
        <v>0</v>
      </c>
    </row>
    <row r="2333" spans="48:48" x14ac:dyDescent="0.25">
      <c r="AV2333" s="22">
        <f t="shared" si="242"/>
        <v>0</v>
      </c>
    </row>
    <row r="2334" spans="48:48" x14ac:dyDescent="0.25">
      <c r="AV2334" s="22">
        <f t="shared" si="242"/>
        <v>0</v>
      </c>
    </row>
    <row r="2335" spans="48:48" x14ac:dyDescent="0.25">
      <c r="AV2335" s="22">
        <f t="shared" si="242"/>
        <v>0</v>
      </c>
    </row>
    <row r="2336" spans="48:48" x14ac:dyDescent="0.25">
      <c r="AV2336" s="22">
        <f t="shared" si="242"/>
        <v>0</v>
      </c>
    </row>
    <row r="2337" spans="48:48" x14ac:dyDescent="0.25">
      <c r="AV2337" s="22">
        <f t="shared" si="242"/>
        <v>0</v>
      </c>
    </row>
    <row r="2338" spans="48:48" x14ac:dyDescent="0.25">
      <c r="AV2338" s="22">
        <f t="shared" si="242"/>
        <v>0</v>
      </c>
    </row>
    <row r="2339" spans="48:48" x14ac:dyDescent="0.25">
      <c r="AV2339" s="22">
        <f t="shared" si="242"/>
        <v>0</v>
      </c>
    </row>
    <row r="2340" spans="48:48" x14ac:dyDescent="0.25">
      <c r="AV2340" s="22">
        <f t="shared" si="242"/>
        <v>0</v>
      </c>
    </row>
    <row r="2341" spans="48:48" x14ac:dyDescent="0.25">
      <c r="AV2341" s="22">
        <f t="shared" ref="AV2341:AV2404" si="243">SUM(I2341:AU2341)</f>
        <v>0</v>
      </c>
    </row>
    <row r="2342" spans="48:48" x14ac:dyDescent="0.25">
      <c r="AV2342" s="22">
        <f t="shared" si="243"/>
        <v>0</v>
      </c>
    </row>
    <row r="2343" spans="48:48" x14ac:dyDescent="0.25">
      <c r="AV2343" s="22">
        <f t="shared" si="243"/>
        <v>0</v>
      </c>
    </row>
    <row r="2344" spans="48:48" x14ac:dyDescent="0.25">
      <c r="AV2344" s="22">
        <f t="shared" si="243"/>
        <v>0</v>
      </c>
    </row>
    <row r="2345" spans="48:48" x14ac:dyDescent="0.25">
      <c r="AV2345" s="22">
        <f t="shared" si="243"/>
        <v>0</v>
      </c>
    </row>
    <row r="2346" spans="48:48" x14ac:dyDescent="0.25">
      <c r="AV2346" s="22">
        <f t="shared" si="243"/>
        <v>0</v>
      </c>
    </row>
    <row r="2347" spans="48:48" x14ac:dyDescent="0.25">
      <c r="AV2347" s="22">
        <f t="shared" si="243"/>
        <v>0</v>
      </c>
    </row>
    <row r="2348" spans="48:48" x14ac:dyDescent="0.25">
      <c r="AV2348" s="22">
        <f t="shared" si="243"/>
        <v>0</v>
      </c>
    </row>
    <row r="2349" spans="48:48" x14ac:dyDescent="0.25">
      <c r="AV2349" s="22">
        <f t="shared" si="243"/>
        <v>0</v>
      </c>
    </row>
    <row r="2350" spans="48:48" x14ac:dyDescent="0.25">
      <c r="AV2350" s="22">
        <f t="shared" si="243"/>
        <v>0</v>
      </c>
    </row>
    <row r="2351" spans="48:48" x14ac:dyDescent="0.25">
      <c r="AV2351" s="22">
        <f t="shared" si="243"/>
        <v>0</v>
      </c>
    </row>
    <row r="2352" spans="48:48" x14ac:dyDescent="0.25">
      <c r="AV2352" s="22">
        <f t="shared" si="243"/>
        <v>0</v>
      </c>
    </row>
    <row r="2353" spans="48:48" x14ac:dyDescent="0.25">
      <c r="AV2353" s="22">
        <f t="shared" si="243"/>
        <v>0</v>
      </c>
    </row>
    <row r="2354" spans="48:48" x14ac:dyDescent="0.25">
      <c r="AV2354" s="22">
        <f t="shared" si="243"/>
        <v>0</v>
      </c>
    </row>
    <row r="2355" spans="48:48" x14ac:dyDescent="0.25">
      <c r="AV2355" s="22">
        <f t="shared" si="243"/>
        <v>0</v>
      </c>
    </row>
    <row r="2356" spans="48:48" x14ac:dyDescent="0.25">
      <c r="AV2356" s="22">
        <f t="shared" si="243"/>
        <v>0</v>
      </c>
    </row>
    <row r="2357" spans="48:48" x14ac:dyDescent="0.25">
      <c r="AV2357" s="22">
        <f t="shared" si="243"/>
        <v>0</v>
      </c>
    </row>
    <row r="2358" spans="48:48" x14ac:dyDescent="0.25">
      <c r="AV2358" s="22">
        <f t="shared" si="243"/>
        <v>0</v>
      </c>
    </row>
    <row r="2359" spans="48:48" x14ac:dyDescent="0.25">
      <c r="AV2359" s="22">
        <f t="shared" si="243"/>
        <v>0</v>
      </c>
    </row>
    <row r="2360" spans="48:48" x14ac:dyDescent="0.25">
      <c r="AV2360" s="22">
        <f t="shared" si="243"/>
        <v>0</v>
      </c>
    </row>
    <row r="2361" spans="48:48" x14ac:dyDescent="0.25">
      <c r="AV2361" s="22">
        <f t="shared" si="243"/>
        <v>0</v>
      </c>
    </row>
    <row r="2362" spans="48:48" x14ac:dyDescent="0.25">
      <c r="AV2362" s="22">
        <f t="shared" si="243"/>
        <v>0</v>
      </c>
    </row>
    <row r="2363" spans="48:48" x14ac:dyDescent="0.25">
      <c r="AV2363" s="22">
        <f t="shared" si="243"/>
        <v>0</v>
      </c>
    </row>
    <row r="2364" spans="48:48" x14ac:dyDescent="0.25">
      <c r="AV2364" s="22">
        <f t="shared" si="243"/>
        <v>0</v>
      </c>
    </row>
    <row r="2365" spans="48:48" x14ac:dyDescent="0.25">
      <c r="AV2365" s="22">
        <f t="shared" si="243"/>
        <v>0</v>
      </c>
    </row>
    <row r="2366" spans="48:48" x14ac:dyDescent="0.25">
      <c r="AV2366" s="22">
        <f t="shared" si="243"/>
        <v>0</v>
      </c>
    </row>
    <row r="2367" spans="48:48" x14ac:dyDescent="0.25">
      <c r="AV2367" s="22">
        <f t="shared" si="243"/>
        <v>0</v>
      </c>
    </row>
    <row r="2368" spans="48:48" x14ac:dyDescent="0.25">
      <c r="AV2368" s="22">
        <f t="shared" si="243"/>
        <v>0</v>
      </c>
    </row>
    <row r="2369" spans="48:48" x14ac:dyDescent="0.25">
      <c r="AV2369" s="22">
        <f t="shared" si="243"/>
        <v>0</v>
      </c>
    </row>
    <row r="2370" spans="48:48" x14ac:dyDescent="0.25">
      <c r="AV2370" s="22">
        <f t="shared" si="243"/>
        <v>0</v>
      </c>
    </row>
    <row r="2371" spans="48:48" x14ac:dyDescent="0.25">
      <c r="AV2371" s="22">
        <f t="shared" si="243"/>
        <v>0</v>
      </c>
    </row>
    <row r="2372" spans="48:48" x14ac:dyDescent="0.25">
      <c r="AV2372" s="22">
        <f t="shared" si="243"/>
        <v>0</v>
      </c>
    </row>
    <row r="2373" spans="48:48" x14ac:dyDescent="0.25">
      <c r="AV2373" s="22">
        <f t="shared" si="243"/>
        <v>0</v>
      </c>
    </row>
    <row r="2374" spans="48:48" x14ac:dyDescent="0.25">
      <c r="AV2374" s="22">
        <f t="shared" si="243"/>
        <v>0</v>
      </c>
    </row>
    <row r="2375" spans="48:48" x14ac:dyDescent="0.25">
      <c r="AV2375" s="22">
        <f t="shared" si="243"/>
        <v>0</v>
      </c>
    </row>
    <row r="2376" spans="48:48" x14ac:dyDescent="0.25">
      <c r="AV2376" s="22">
        <f t="shared" si="243"/>
        <v>0</v>
      </c>
    </row>
    <row r="2377" spans="48:48" x14ac:dyDescent="0.25">
      <c r="AV2377" s="22">
        <f t="shared" si="243"/>
        <v>0</v>
      </c>
    </row>
    <row r="2378" spans="48:48" x14ac:dyDescent="0.25">
      <c r="AV2378" s="22">
        <f t="shared" si="243"/>
        <v>0</v>
      </c>
    </row>
    <row r="2379" spans="48:48" x14ac:dyDescent="0.25">
      <c r="AV2379" s="22">
        <f t="shared" si="243"/>
        <v>0</v>
      </c>
    </row>
    <row r="2380" spans="48:48" x14ac:dyDescent="0.25">
      <c r="AV2380" s="22">
        <f t="shared" si="243"/>
        <v>0</v>
      </c>
    </row>
    <row r="2381" spans="48:48" x14ac:dyDescent="0.25">
      <c r="AV2381" s="22">
        <f t="shared" si="243"/>
        <v>0</v>
      </c>
    </row>
    <row r="2382" spans="48:48" x14ac:dyDescent="0.25">
      <c r="AV2382" s="22">
        <f t="shared" si="243"/>
        <v>0</v>
      </c>
    </row>
    <row r="2383" spans="48:48" x14ac:dyDescent="0.25">
      <c r="AV2383" s="22">
        <f t="shared" si="243"/>
        <v>0</v>
      </c>
    </row>
    <row r="2384" spans="48:48" x14ac:dyDescent="0.25">
      <c r="AV2384" s="22">
        <f t="shared" si="243"/>
        <v>0</v>
      </c>
    </row>
    <row r="2385" spans="48:48" x14ac:dyDescent="0.25">
      <c r="AV2385" s="22">
        <f t="shared" si="243"/>
        <v>0</v>
      </c>
    </row>
    <row r="2386" spans="48:48" x14ac:dyDescent="0.25">
      <c r="AV2386" s="22">
        <f t="shared" si="243"/>
        <v>0</v>
      </c>
    </row>
    <row r="2387" spans="48:48" x14ac:dyDescent="0.25">
      <c r="AV2387" s="22">
        <f t="shared" si="243"/>
        <v>0</v>
      </c>
    </row>
    <row r="2388" spans="48:48" x14ac:dyDescent="0.25">
      <c r="AV2388" s="22">
        <f t="shared" si="243"/>
        <v>0</v>
      </c>
    </row>
    <row r="2389" spans="48:48" x14ac:dyDescent="0.25">
      <c r="AV2389" s="22">
        <f t="shared" si="243"/>
        <v>0</v>
      </c>
    </row>
    <row r="2390" spans="48:48" x14ac:dyDescent="0.25">
      <c r="AV2390" s="22">
        <f t="shared" si="243"/>
        <v>0</v>
      </c>
    </row>
    <row r="2391" spans="48:48" x14ac:dyDescent="0.25">
      <c r="AV2391" s="22">
        <f t="shared" si="243"/>
        <v>0</v>
      </c>
    </row>
    <row r="2392" spans="48:48" x14ac:dyDescent="0.25">
      <c r="AV2392" s="22">
        <f t="shared" si="243"/>
        <v>0</v>
      </c>
    </row>
    <row r="2393" spans="48:48" x14ac:dyDescent="0.25">
      <c r="AV2393" s="22">
        <f t="shared" si="243"/>
        <v>0</v>
      </c>
    </row>
    <row r="2394" spans="48:48" x14ac:dyDescent="0.25">
      <c r="AV2394" s="22">
        <f t="shared" si="243"/>
        <v>0</v>
      </c>
    </row>
    <row r="2395" spans="48:48" x14ac:dyDescent="0.25">
      <c r="AV2395" s="22">
        <f t="shared" si="243"/>
        <v>0</v>
      </c>
    </row>
    <row r="2396" spans="48:48" x14ac:dyDescent="0.25">
      <c r="AV2396" s="22">
        <f t="shared" si="243"/>
        <v>0</v>
      </c>
    </row>
    <row r="2397" spans="48:48" x14ac:dyDescent="0.25">
      <c r="AV2397" s="22">
        <f t="shared" si="243"/>
        <v>0</v>
      </c>
    </row>
    <row r="2398" spans="48:48" x14ac:dyDescent="0.25">
      <c r="AV2398" s="22">
        <f t="shared" si="243"/>
        <v>0</v>
      </c>
    </row>
    <row r="2399" spans="48:48" x14ac:dyDescent="0.25">
      <c r="AV2399" s="22">
        <f t="shared" si="243"/>
        <v>0</v>
      </c>
    </row>
    <row r="2400" spans="48:48" x14ac:dyDescent="0.25">
      <c r="AV2400" s="22">
        <f t="shared" si="243"/>
        <v>0</v>
      </c>
    </row>
    <row r="2401" spans="48:48" x14ac:dyDescent="0.25">
      <c r="AV2401" s="22">
        <f t="shared" si="243"/>
        <v>0</v>
      </c>
    </row>
    <row r="2402" spans="48:48" x14ac:dyDescent="0.25">
      <c r="AV2402" s="22">
        <f t="shared" si="243"/>
        <v>0</v>
      </c>
    </row>
    <row r="2403" spans="48:48" x14ac:dyDescent="0.25">
      <c r="AV2403" s="22">
        <f t="shared" si="243"/>
        <v>0</v>
      </c>
    </row>
    <row r="2404" spans="48:48" x14ac:dyDescent="0.25">
      <c r="AV2404" s="22">
        <f t="shared" si="243"/>
        <v>0</v>
      </c>
    </row>
    <row r="2405" spans="48:48" x14ac:dyDescent="0.25">
      <c r="AV2405" s="22">
        <f t="shared" ref="AV2405:AV2452" si="244">SUM(I2405:AU2405)</f>
        <v>0</v>
      </c>
    </row>
    <row r="2406" spans="48:48" x14ac:dyDescent="0.25">
      <c r="AV2406" s="22">
        <f t="shared" si="244"/>
        <v>0</v>
      </c>
    </row>
    <row r="2407" spans="48:48" x14ac:dyDescent="0.25">
      <c r="AV2407" s="22">
        <f t="shared" si="244"/>
        <v>0</v>
      </c>
    </row>
    <row r="2408" spans="48:48" x14ac:dyDescent="0.25">
      <c r="AV2408" s="22">
        <f t="shared" si="244"/>
        <v>0</v>
      </c>
    </row>
    <row r="2409" spans="48:48" x14ac:dyDescent="0.25">
      <c r="AV2409" s="22">
        <f t="shared" si="244"/>
        <v>0</v>
      </c>
    </row>
    <row r="2410" spans="48:48" x14ac:dyDescent="0.25">
      <c r="AV2410" s="22">
        <f t="shared" si="244"/>
        <v>0</v>
      </c>
    </row>
    <row r="2411" spans="48:48" x14ac:dyDescent="0.25">
      <c r="AV2411" s="22">
        <f t="shared" si="244"/>
        <v>0</v>
      </c>
    </row>
    <row r="2412" spans="48:48" x14ac:dyDescent="0.25">
      <c r="AV2412" s="22">
        <f t="shared" si="244"/>
        <v>0</v>
      </c>
    </row>
    <row r="2413" spans="48:48" x14ac:dyDescent="0.25">
      <c r="AV2413" s="22">
        <f t="shared" si="244"/>
        <v>0</v>
      </c>
    </row>
    <row r="2414" spans="48:48" x14ac:dyDescent="0.25">
      <c r="AV2414" s="22">
        <f t="shared" si="244"/>
        <v>0</v>
      </c>
    </row>
    <row r="2415" spans="48:48" x14ac:dyDescent="0.25">
      <c r="AV2415" s="22">
        <f t="shared" si="244"/>
        <v>0</v>
      </c>
    </row>
    <row r="2416" spans="48:48" x14ac:dyDescent="0.25">
      <c r="AV2416" s="22">
        <f t="shared" si="244"/>
        <v>0</v>
      </c>
    </row>
    <row r="2417" spans="48:48" x14ac:dyDescent="0.25">
      <c r="AV2417" s="22">
        <f t="shared" si="244"/>
        <v>0</v>
      </c>
    </row>
    <row r="2418" spans="48:48" x14ac:dyDescent="0.25">
      <c r="AV2418" s="22">
        <f t="shared" si="244"/>
        <v>0</v>
      </c>
    </row>
    <row r="2419" spans="48:48" x14ac:dyDescent="0.25">
      <c r="AV2419" s="22">
        <f t="shared" si="244"/>
        <v>0</v>
      </c>
    </row>
    <row r="2420" spans="48:48" x14ac:dyDescent="0.25">
      <c r="AV2420" s="22">
        <f t="shared" si="244"/>
        <v>0</v>
      </c>
    </row>
    <row r="2421" spans="48:48" x14ac:dyDescent="0.25">
      <c r="AV2421" s="22">
        <f t="shared" si="244"/>
        <v>0</v>
      </c>
    </row>
    <row r="2422" spans="48:48" x14ac:dyDescent="0.25">
      <c r="AV2422" s="22">
        <f t="shared" si="244"/>
        <v>0</v>
      </c>
    </row>
    <row r="2423" spans="48:48" x14ac:dyDescent="0.25">
      <c r="AV2423" s="22">
        <f t="shared" si="244"/>
        <v>0</v>
      </c>
    </row>
    <row r="2424" spans="48:48" x14ac:dyDescent="0.25">
      <c r="AV2424" s="22">
        <f t="shared" si="244"/>
        <v>0</v>
      </c>
    </row>
    <row r="2425" spans="48:48" x14ac:dyDescent="0.25">
      <c r="AV2425" s="22">
        <f t="shared" si="244"/>
        <v>0</v>
      </c>
    </row>
    <row r="2426" spans="48:48" x14ac:dyDescent="0.25">
      <c r="AV2426" s="22">
        <f t="shared" si="244"/>
        <v>0</v>
      </c>
    </row>
    <row r="2427" spans="48:48" x14ac:dyDescent="0.25">
      <c r="AV2427" s="22">
        <f t="shared" si="244"/>
        <v>0</v>
      </c>
    </row>
    <row r="2428" spans="48:48" x14ac:dyDescent="0.25">
      <c r="AV2428" s="22">
        <f t="shared" si="244"/>
        <v>0</v>
      </c>
    </row>
    <row r="2429" spans="48:48" x14ac:dyDescent="0.25">
      <c r="AV2429" s="22">
        <f t="shared" si="244"/>
        <v>0</v>
      </c>
    </row>
    <row r="2430" spans="48:48" x14ac:dyDescent="0.25">
      <c r="AV2430" s="22">
        <f t="shared" si="244"/>
        <v>0</v>
      </c>
    </row>
    <row r="2431" spans="48:48" x14ac:dyDescent="0.25">
      <c r="AV2431" s="22">
        <f t="shared" si="244"/>
        <v>0</v>
      </c>
    </row>
    <row r="2432" spans="48:48" x14ac:dyDescent="0.25">
      <c r="AV2432" s="22">
        <f t="shared" si="244"/>
        <v>0</v>
      </c>
    </row>
    <row r="2433" spans="48:48" x14ac:dyDescent="0.25">
      <c r="AV2433" s="22">
        <f t="shared" si="244"/>
        <v>0</v>
      </c>
    </row>
    <row r="2434" spans="48:48" x14ac:dyDescent="0.25">
      <c r="AV2434" s="22">
        <f t="shared" si="244"/>
        <v>0</v>
      </c>
    </row>
    <row r="2435" spans="48:48" x14ac:dyDescent="0.25">
      <c r="AV2435" s="22">
        <f t="shared" si="244"/>
        <v>0</v>
      </c>
    </row>
    <row r="2436" spans="48:48" x14ac:dyDescent="0.25">
      <c r="AV2436" s="22">
        <f t="shared" si="244"/>
        <v>0</v>
      </c>
    </row>
    <row r="2437" spans="48:48" x14ac:dyDescent="0.25">
      <c r="AV2437" s="22">
        <f t="shared" si="244"/>
        <v>0</v>
      </c>
    </row>
    <row r="2438" spans="48:48" x14ac:dyDescent="0.25">
      <c r="AV2438" s="22">
        <f t="shared" si="244"/>
        <v>0</v>
      </c>
    </row>
    <row r="2439" spans="48:48" x14ac:dyDescent="0.25">
      <c r="AV2439" s="22">
        <f t="shared" si="244"/>
        <v>0</v>
      </c>
    </row>
    <row r="2440" spans="48:48" x14ac:dyDescent="0.25">
      <c r="AV2440" s="22">
        <f t="shared" si="244"/>
        <v>0</v>
      </c>
    </row>
    <row r="2441" spans="48:48" x14ac:dyDescent="0.25">
      <c r="AV2441" s="22">
        <f t="shared" si="244"/>
        <v>0</v>
      </c>
    </row>
    <row r="2442" spans="48:48" x14ac:dyDescent="0.25">
      <c r="AV2442" s="22">
        <f t="shared" si="244"/>
        <v>0</v>
      </c>
    </row>
    <row r="2443" spans="48:48" x14ac:dyDescent="0.25">
      <c r="AV2443" s="22">
        <f t="shared" si="244"/>
        <v>0</v>
      </c>
    </row>
    <row r="2444" spans="48:48" x14ac:dyDescent="0.25">
      <c r="AV2444" s="22">
        <f t="shared" si="244"/>
        <v>0</v>
      </c>
    </row>
    <row r="2445" spans="48:48" x14ac:dyDescent="0.25">
      <c r="AV2445" s="22">
        <f t="shared" si="244"/>
        <v>0</v>
      </c>
    </row>
    <row r="2446" spans="48:48" x14ac:dyDescent="0.25">
      <c r="AV2446" s="22">
        <f t="shared" si="244"/>
        <v>0</v>
      </c>
    </row>
    <row r="2447" spans="48:48" x14ac:dyDescent="0.25">
      <c r="AV2447" s="22">
        <f t="shared" si="244"/>
        <v>0</v>
      </c>
    </row>
    <row r="2448" spans="48:48" x14ac:dyDescent="0.25">
      <c r="AV2448" s="22">
        <f t="shared" si="244"/>
        <v>0</v>
      </c>
    </row>
    <row r="2449" spans="48:48" x14ac:dyDescent="0.25">
      <c r="AV2449" s="22">
        <f t="shared" si="244"/>
        <v>0</v>
      </c>
    </row>
    <row r="2450" spans="48:48" x14ac:dyDescent="0.25">
      <c r="AV2450" s="22">
        <f t="shared" si="244"/>
        <v>0</v>
      </c>
    </row>
    <row r="2451" spans="48:48" x14ac:dyDescent="0.25">
      <c r="AV2451" s="22">
        <f t="shared" si="244"/>
        <v>0</v>
      </c>
    </row>
    <row r="2452" spans="48:48" x14ac:dyDescent="0.25">
      <c r="AV2452" s="22">
        <f t="shared" si="244"/>
        <v>0</v>
      </c>
    </row>
  </sheetData>
  <autoFilter ref="F1:F2452" xr:uid="{5731F7BF-2492-470E-8574-32AC95AE6060}"/>
  <phoneticPr fontId="18" type="noConversion"/>
  <pageMargins left="0.25" right="0.25" top="0.75" bottom="0.75" header="0.3" footer="0.3"/>
  <pageSetup scale="80" fitToHeight="0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84D7A-02BA-485D-9C73-43780321474B}">
  <dimension ref="O8"/>
  <sheetViews>
    <sheetView workbookViewId="0">
      <selection activeCell="O20" sqref="O20"/>
    </sheetView>
  </sheetViews>
  <sheetFormatPr defaultRowHeight="15" x14ac:dyDescent="0.25"/>
  <cols>
    <col min="9" max="9" width="2" customWidth="1"/>
    <col min="10" max="10" width="14.28515625" customWidth="1"/>
    <col min="11" max="11" width="13.85546875" customWidth="1"/>
    <col min="12" max="12" width="14.140625" customWidth="1"/>
    <col min="14" max="14" width="5" customWidth="1"/>
    <col min="15" max="15" width="16.85546875" customWidth="1"/>
  </cols>
  <sheetData>
    <row r="8" spans="15:15" x14ac:dyDescent="0.25">
      <c r="O8" s="26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7</vt:i4>
      </vt:variant>
    </vt:vector>
  </HeadingPairs>
  <TitlesOfParts>
    <vt:vector size="21" baseType="lpstr">
      <vt:lpstr>يوليو</vt:lpstr>
      <vt:lpstr>اغسطس</vt:lpstr>
      <vt:lpstr>بيرول يوليو واغسطس</vt:lpstr>
      <vt:lpstr>سبتمبر</vt:lpstr>
      <vt:lpstr>اكتوبر</vt:lpstr>
      <vt:lpstr>نوفمبر</vt:lpstr>
      <vt:lpstr>ديسمبر</vt:lpstr>
      <vt:lpstr>يناير</vt:lpstr>
      <vt:lpstr>فبراير</vt:lpstr>
      <vt:lpstr>مارس</vt:lpstr>
      <vt:lpstr>ابريل</vt:lpstr>
      <vt:lpstr>مايو</vt:lpstr>
      <vt:lpstr>يونيو</vt:lpstr>
      <vt:lpstr>Sheet1</vt:lpstr>
      <vt:lpstr>سبتمبر!Print_Area</vt:lpstr>
      <vt:lpstr>فبراير!Print_Area</vt:lpstr>
      <vt:lpstr>مايو!Print_Area</vt:lpstr>
      <vt:lpstr>يونيو!Print_Area</vt:lpstr>
      <vt:lpstr>سبتمبر!Print_Titles</vt:lpstr>
      <vt:lpstr>مايو!Print_Titles</vt:lpstr>
      <vt:lpstr>يونيو!Print_Titles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</dc:creator>
  <cp:lastModifiedBy>walid</cp:lastModifiedBy>
  <cp:lastPrinted>2024-07-04T09:36:04Z</cp:lastPrinted>
  <dcterms:created xsi:type="dcterms:W3CDTF">2024-05-25T06:00:13Z</dcterms:created>
  <dcterms:modified xsi:type="dcterms:W3CDTF">2024-07-10T07:14:15Z</dcterms:modified>
</cp:coreProperties>
</file>